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bbe98f0a9efcebe/Documents/Ecole de commerce/Dernière année à Neoma/MSc International Finance/Semester 1/Dissertation/"/>
    </mc:Choice>
  </mc:AlternateContent>
  <xr:revisionPtr revIDLastSave="2220" documentId="8_{DB423A7A-1747-414F-94FC-799F4CD59ABC}" xr6:coauthVersionLast="47" xr6:coauthVersionMax="47" xr10:uidLastSave="{E674C811-D392-49F6-B394-C7A4ED28169C}"/>
  <bookViews>
    <workbookView xWindow="-110" yWindow="-110" windowWidth="25820" windowHeight="15500" activeTab="13" xr2:uid="{00000000-000D-0000-FFFF-FFFF00000000}"/>
  </bookViews>
  <sheets>
    <sheet name="Data Bloomberg" sheetId="5" r:id="rId1"/>
    <sheet name="Data VIX &amp; V2X Bloomberg" sheetId="20" r:id="rId2"/>
    <sheet name="Clean Data" sheetId="10" state="hidden" r:id="rId3"/>
    <sheet name="Computing yields" sheetId="11" r:id="rId4"/>
    <sheet name="CAC France" sheetId="13" r:id="rId5"/>
    <sheet name="DAX Germany" sheetId="14" r:id="rId6"/>
    <sheet name="IBEX Spain" sheetId="16" r:id="rId7"/>
    <sheet name="FTSEMIB Italy " sheetId="19" r:id="rId8"/>
    <sheet name="SXSE eurostoxx" sheetId="12" r:id="rId9"/>
    <sheet name="UKX UK" sheetId="15" r:id="rId10"/>
    <sheet name="Correlation and regression" sheetId="21" r:id="rId11"/>
    <sheet name="Tableaux" sheetId="23" state="hidden" r:id="rId12"/>
    <sheet name="Variables presentation" sheetId="25" state="hidden" r:id="rId13"/>
    <sheet name="Overview statistical CAC 40 " sheetId="24" r:id="rId14"/>
    <sheet name="Feuil3" sheetId="26" state="hidden" r:id="rId15"/>
    <sheet name="Feuil6" sheetId="29" state="hidden" r:id="rId16"/>
    <sheet name="Feuil4" sheetId="27" state="hidden" r:id="rId17"/>
    <sheet name="Feuil5" sheetId="28" state="hidden" r:id="rId18"/>
  </sheets>
  <definedNames>
    <definedName name="_xlnm._FilterDatabase" localSheetId="7" hidden="1">'FTSEMIB Italy '!$A$1:$G$3818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15" l="1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C15" i="23"/>
  <c r="B15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B14" i="23"/>
  <c r="E14" i="21"/>
  <c r="D14" i="21"/>
  <c r="C14" i="21"/>
  <c r="B14" i="21"/>
  <c r="Y3" i="15" l="1"/>
  <c r="X3" i="15"/>
  <c r="Z3" i="12"/>
  <c r="Y3" i="12"/>
  <c r="Y3" i="19"/>
  <c r="X3" i="19"/>
  <c r="X3" i="16"/>
  <c r="Y3" i="16"/>
  <c r="Y3" i="14"/>
  <c r="X3" i="14"/>
  <c r="Y3" i="13"/>
  <c r="X3" i="13"/>
  <c r="S8" i="23"/>
  <c r="R8" i="23"/>
  <c r="Q8" i="23"/>
  <c r="S7" i="23"/>
  <c r="R7" i="23"/>
  <c r="Q7" i="23"/>
  <c r="S6" i="23"/>
  <c r="R6" i="23"/>
  <c r="Q6" i="23"/>
  <c r="S5" i="23"/>
  <c r="R5" i="23"/>
  <c r="Q5" i="23"/>
  <c r="S4" i="23"/>
  <c r="R4" i="23"/>
  <c r="Q4" i="23"/>
  <c r="S3" i="23"/>
  <c r="R3" i="23"/>
  <c r="Q3" i="23"/>
  <c r="S2" i="23"/>
  <c r="R2" i="23"/>
  <c r="Q2" i="23"/>
  <c r="P8" i="23"/>
  <c r="O8" i="23"/>
  <c r="N8" i="23"/>
  <c r="P7" i="23"/>
  <c r="O7" i="23"/>
  <c r="N7" i="23"/>
  <c r="P6" i="23"/>
  <c r="O6" i="23"/>
  <c r="N6" i="23"/>
  <c r="P5" i="23"/>
  <c r="O5" i="23"/>
  <c r="N5" i="23"/>
  <c r="P4" i="23"/>
  <c r="O4" i="23"/>
  <c r="N4" i="23"/>
  <c r="P3" i="23"/>
  <c r="O3" i="23"/>
  <c r="N3" i="23"/>
  <c r="P2" i="23"/>
  <c r="O2" i="23"/>
  <c r="N2" i="23"/>
  <c r="M8" i="23"/>
  <c r="L8" i="23"/>
  <c r="K8" i="23"/>
  <c r="M7" i="23"/>
  <c r="L7" i="23"/>
  <c r="K7" i="23"/>
  <c r="M6" i="23"/>
  <c r="L6" i="23"/>
  <c r="K6" i="23"/>
  <c r="M5" i="23"/>
  <c r="L5" i="23"/>
  <c r="K5" i="23"/>
  <c r="M4" i="23"/>
  <c r="L4" i="23"/>
  <c r="K4" i="23"/>
  <c r="M3" i="23"/>
  <c r="L3" i="23"/>
  <c r="K3" i="23"/>
  <c r="M2" i="23"/>
  <c r="L2" i="23"/>
  <c r="K2" i="23"/>
  <c r="J8" i="23"/>
  <c r="I8" i="23"/>
  <c r="H8" i="23"/>
  <c r="J7" i="23"/>
  <c r="I7" i="23"/>
  <c r="H7" i="23"/>
  <c r="J6" i="23"/>
  <c r="I6" i="23"/>
  <c r="H6" i="23"/>
  <c r="J5" i="23"/>
  <c r="I5" i="23"/>
  <c r="H5" i="23"/>
  <c r="J4" i="23"/>
  <c r="I4" i="23"/>
  <c r="H4" i="23"/>
  <c r="J3" i="23"/>
  <c r="I3" i="23"/>
  <c r="H3" i="23"/>
  <c r="J2" i="23"/>
  <c r="I2" i="23"/>
  <c r="H2" i="23"/>
  <c r="G8" i="23"/>
  <c r="F8" i="23"/>
  <c r="E8" i="23"/>
  <c r="G7" i="23"/>
  <c r="F7" i="23"/>
  <c r="E7" i="23"/>
  <c r="G5" i="23"/>
  <c r="F5" i="23"/>
  <c r="E5" i="23"/>
  <c r="G6" i="23"/>
  <c r="F6" i="23"/>
  <c r="E6" i="23"/>
  <c r="G4" i="23"/>
  <c r="F4" i="23"/>
  <c r="E4" i="23"/>
  <c r="G3" i="23"/>
  <c r="F3" i="23"/>
  <c r="E3" i="23"/>
  <c r="D3" i="23"/>
  <c r="G2" i="23"/>
  <c r="F2" i="23"/>
  <c r="E2" i="23"/>
  <c r="D2" i="23"/>
  <c r="D4" i="23"/>
  <c r="D5" i="23"/>
  <c r="D6" i="23"/>
  <c r="D7" i="23"/>
  <c r="D8" i="23"/>
  <c r="C7" i="23"/>
  <c r="C6" i="23"/>
  <c r="C5" i="23"/>
  <c r="C4" i="23"/>
  <c r="C3" i="23"/>
  <c r="C2" i="23"/>
  <c r="C8" i="23"/>
  <c r="B5" i="23"/>
  <c r="B8" i="23"/>
  <c r="B7" i="23"/>
  <c r="B6" i="23"/>
  <c r="B4" i="23"/>
  <c r="B3" i="23"/>
  <c r="B2" i="23"/>
  <c r="L179" i="19"/>
  <c r="L171" i="19"/>
  <c r="L163" i="19"/>
  <c r="L155" i="19"/>
  <c r="L147" i="19"/>
  <c r="L139" i="19"/>
  <c r="L131" i="19"/>
  <c r="L125" i="19"/>
  <c r="L123" i="19"/>
  <c r="L115" i="19"/>
  <c r="L107" i="19"/>
  <c r="L99" i="19"/>
  <c r="L91" i="19"/>
  <c r="L83" i="19"/>
  <c r="L75" i="19"/>
  <c r="L67" i="19"/>
  <c r="L59" i="19"/>
  <c r="L51" i="19"/>
  <c r="L43" i="19"/>
  <c r="L35" i="19"/>
  <c r="L27" i="19"/>
  <c r="L19" i="19"/>
  <c r="L11" i="19"/>
  <c r="L4" i="19"/>
  <c r="L3" i="19"/>
  <c r="C3802" i="19" a="1"/>
  <c r="C3802" i="19" s="1"/>
  <c r="L186" i="19" s="1"/>
  <c r="C3781" i="19" a="1"/>
  <c r="C3781" i="19" s="1"/>
  <c r="L185" i="19" s="1"/>
  <c r="C3761" i="19" a="1"/>
  <c r="C3761" i="19" s="1"/>
  <c r="L184" i="19" s="1"/>
  <c r="C3739" i="19" a="1"/>
  <c r="C3739" i="19" s="1"/>
  <c r="L183" i="19" s="1"/>
  <c r="C3721" i="19" a="1"/>
  <c r="C3721" i="19" s="1"/>
  <c r="L182" i="19" s="1"/>
  <c r="C3700" i="19" a="1"/>
  <c r="C3700" i="19" s="1"/>
  <c r="L181" i="19" s="1"/>
  <c r="C3677" i="19" a="1"/>
  <c r="C3677" i="19" s="1"/>
  <c r="L180" i="19" s="1"/>
  <c r="C3656" i="19"/>
  <c r="C3656" i="19" a="1"/>
  <c r="C3636" i="19" a="1"/>
  <c r="C3636" i="19" s="1"/>
  <c r="L178" i="19" s="1"/>
  <c r="C3613" i="19" a="1"/>
  <c r="C3613" i="19" s="1"/>
  <c r="L177" i="19" s="1"/>
  <c r="C3593" i="19" a="1"/>
  <c r="C3593" i="19" s="1"/>
  <c r="L176" i="19" s="1"/>
  <c r="C3573" i="19" a="1"/>
  <c r="C3573" i="19" s="1"/>
  <c r="L175" i="19" s="1"/>
  <c r="C3552" i="19" a="1"/>
  <c r="C3552" i="19" s="1"/>
  <c r="L174" i="19" s="1"/>
  <c r="C3532" i="19" a="1"/>
  <c r="C3532" i="19" s="1"/>
  <c r="L173" i="19" s="1"/>
  <c r="C3511" i="19" a="1"/>
  <c r="C3511" i="19" s="1"/>
  <c r="L172" i="19" s="1"/>
  <c r="C3489" i="19" a="1"/>
  <c r="C3489" i="19" s="1"/>
  <c r="C3470" i="19" a="1"/>
  <c r="C3470" i="19" s="1"/>
  <c r="L170" i="19" s="1"/>
  <c r="C3448" i="19" a="1"/>
  <c r="C3448" i="19" s="1"/>
  <c r="L169" i="19" s="1"/>
  <c r="C3426" i="19" a="1"/>
  <c r="C3426" i="19" s="1"/>
  <c r="L168" i="19" s="1"/>
  <c r="C3405" i="19" a="1"/>
  <c r="C3405" i="19" s="1"/>
  <c r="L167" i="19" s="1"/>
  <c r="C3384" i="19" a="1"/>
  <c r="C3384" i="19" s="1"/>
  <c r="L166" i="19" s="1"/>
  <c r="C3363" i="19" a="1"/>
  <c r="C3363" i="19" s="1"/>
  <c r="L165" i="19" s="1"/>
  <c r="C3341" i="19" a="1"/>
  <c r="C3341" i="19" s="1"/>
  <c r="L164" i="19" s="1"/>
  <c r="C3321" i="19" a="1"/>
  <c r="C3321" i="19" s="1"/>
  <c r="C3303" i="19" a="1"/>
  <c r="C3303" i="19" s="1"/>
  <c r="L162" i="19" s="1"/>
  <c r="C3280" i="19" a="1"/>
  <c r="C3280" i="19" s="1"/>
  <c r="L161" i="19" s="1"/>
  <c r="C3260" i="19" a="1"/>
  <c r="C3260" i="19" s="1"/>
  <c r="L160" i="19" s="1"/>
  <c r="C3239" i="19" a="1"/>
  <c r="C3239" i="19" s="1"/>
  <c r="L159" i="19" s="1"/>
  <c r="C3219" i="19" a="1"/>
  <c r="C3219" i="19" s="1"/>
  <c r="L158" i="19" s="1"/>
  <c r="C3197" i="19" a="1"/>
  <c r="C3197" i="19" s="1"/>
  <c r="L157" i="19" s="1"/>
  <c r="C3176" i="19" a="1"/>
  <c r="C3176" i="19" s="1"/>
  <c r="L156" i="19" s="1"/>
  <c r="C3155" i="19" a="1"/>
  <c r="C3155" i="19" s="1"/>
  <c r="C3134" i="19" a="1"/>
  <c r="C3134" i="19" s="1"/>
  <c r="L154" i="19" s="1"/>
  <c r="C3113" i="19" a="1"/>
  <c r="C3113" i="19" s="1"/>
  <c r="L153" i="19" s="1"/>
  <c r="C3093" i="19" a="1"/>
  <c r="C3093" i="19" s="1"/>
  <c r="L152" i="19" s="1"/>
  <c r="C3072" i="19" a="1"/>
  <c r="C3072" i="19" s="1"/>
  <c r="L151" i="19" s="1"/>
  <c r="C3053" i="19" a="1"/>
  <c r="C3053" i="19" s="1"/>
  <c r="L150" i="19" s="1"/>
  <c r="C3030" i="19" a="1"/>
  <c r="C3030" i="19" s="1"/>
  <c r="L149" i="19" s="1"/>
  <c r="C3010" i="19" a="1"/>
  <c r="C3010" i="19" s="1"/>
  <c r="L148" i="19" s="1"/>
  <c r="C2990" i="19" a="1"/>
  <c r="C2990" i="19" s="1"/>
  <c r="C2971" i="19" a="1"/>
  <c r="C2971" i="19" s="1"/>
  <c r="L146" i="19" s="1"/>
  <c r="C2949" i="19" a="1"/>
  <c r="C2949" i="19" s="1"/>
  <c r="L145" i="19" s="1"/>
  <c r="C2928" i="19" a="1"/>
  <c r="C2928" i="19" s="1"/>
  <c r="L144" i="19" s="1"/>
  <c r="C2906" i="19" a="1"/>
  <c r="C2906" i="19" s="1"/>
  <c r="L143" i="19" s="1"/>
  <c r="C2885" i="19" a="1"/>
  <c r="C2885" i="19" s="1"/>
  <c r="L142" i="19" s="1"/>
  <c r="C2863" i="19" a="1"/>
  <c r="C2863" i="19" s="1"/>
  <c r="L141" i="19" s="1"/>
  <c r="C2841" i="19" a="1"/>
  <c r="C2841" i="19" s="1"/>
  <c r="L140" i="19" s="1"/>
  <c r="C2823" i="19" a="1"/>
  <c r="C2823" i="19" s="1"/>
  <c r="C2803" i="19" a="1"/>
  <c r="C2803" i="19" s="1"/>
  <c r="L138" i="19" s="1"/>
  <c r="C2780" i="19" a="1"/>
  <c r="C2780" i="19" s="1"/>
  <c r="L137" i="19" s="1"/>
  <c r="C2760" i="19" a="1"/>
  <c r="C2760" i="19" s="1"/>
  <c r="L136" i="19" s="1"/>
  <c r="C2740" i="19" a="1"/>
  <c r="C2740" i="19" s="1"/>
  <c r="L135" i="19" s="1"/>
  <c r="C2721" i="19" a="1"/>
  <c r="C2721" i="19" s="1"/>
  <c r="L134" i="19" s="1"/>
  <c r="C2700" i="19" a="1"/>
  <c r="C2700" i="19" s="1"/>
  <c r="L133" i="19" s="1"/>
  <c r="C2678" i="19" a="1"/>
  <c r="C2678" i="19" s="1"/>
  <c r="L132" i="19" s="1"/>
  <c r="C2656" i="19" a="1"/>
  <c r="C2656" i="19" s="1"/>
  <c r="C2636" i="19" a="1"/>
  <c r="C2636" i="19" s="1"/>
  <c r="L130" i="19" s="1"/>
  <c r="C2613" i="19" a="1"/>
  <c r="C2613" i="19" s="1"/>
  <c r="L129" i="19" s="1"/>
  <c r="C2592" i="19" a="1"/>
  <c r="C2592" i="19" s="1"/>
  <c r="L128" i="19" s="1"/>
  <c r="C2574" i="19" a="1"/>
  <c r="C2574" i="19" s="1"/>
  <c r="L127" i="19" s="1"/>
  <c r="C2554" i="19" a="1"/>
  <c r="C2554" i="19" s="1"/>
  <c r="L126" i="19" s="1"/>
  <c r="C2532" i="19" a="1"/>
  <c r="C2532" i="19" s="1"/>
  <c r="C2512" i="19" a="1"/>
  <c r="C2512" i="19" s="1"/>
  <c r="L124" i="19" s="1"/>
  <c r="C2490" i="19" a="1"/>
  <c r="C2490" i="19" s="1"/>
  <c r="C2472" i="19" a="1"/>
  <c r="C2472" i="19" s="1"/>
  <c r="L122" i="19" s="1"/>
  <c r="C2451" i="19" a="1"/>
  <c r="C2451" i="19" s="1"/>
  <c r="L121" i="19" s="1"/>
  <c r="C2429" i="19" a="1"/>
  <c r="C2429" i="19" s="1"/>
  <c r="L120" i="19" s="1"/>
  <c r="C2408" i="19" a="1"/>
  <c r="C2408" i="19" s="1"/>
  <c r="L119" i="19" s="1"/>
  <c r="C2388" i="19" a="1"/>
  <c r="C2388" i="19" s="1"/>
  <c r="L118" i="19" s="1"/>
  <c r="C2365" i="19" a="1"/>
  <c r="C2365" i="19" s="1"/>
  <c r="L117" i="19" s="1"/>
  <c r="C2346" i="19" a="1"/>
  <c r="C2346" i="19" s="1"/>
  <c r="L116" i="19" s="1"/>
  <c r="C2326" i="19" a="1"/>
  <c r="C2326" i="19" s="1"/>
  <c r="C2306" i="19" a="1"/>
  <c r="C2306" i="19" s="1"/>
  <c r="L114" i="19" s="1"/>
  <c r="C2285" i="19" a="1"/>
  <c r="C2285" i="19" s="1"/>
  <c r="L113" i="19" s="1"/>
  <c r="C2265" i="19" a="1"/>
  <c r="C2265" i="19" s="1"/>
  <c r="L112" i="19" s="1"/>
  <c r="C2243" i="19" a="1"/>
  <c r="C2243" i="19" s="1"/>
  <c r="L111" i="19" s="1"/>
  <c r="C2226" i="19" a="1"/>
  <c r="C2226" i="19" s="1"/>
  <c r="L110" i="19" s="1"/>
  <c r="C2204" i="19" a="1"/>
  <c r="C2204" i="19" s="1"/>
  <c r="L109" i="19" s="1"/>
  <c r="C2182" i="19" a="1"/>
  <c r="C2182" i="19" s="1"/>
  <c r="L108" i="19" s="1"/>
  <c r="C2162" i="19" a="1"/>
  <c r="C2162" i="19" s="1"/>
  <c r="C2141" i="19" a="1"/>
  <c r="C2141" i="19" s="1"/>
  <c r="L106" i="19" s="1"/>
  <c r="C2119" i="19" a="1"/>
  <c r="C2119" i="19" s="1"/>
  <c r="L105" i="19" s="1"/>
  <c r="C2098" i="19" a="1"/>
  <c r="C2098" i="19" s="1"/>
  <c r="L104" i="19" s="1"/>
  <c r="C2079" i="19" a="1"/>
  <c r="C2079" i="19" s="1"/>
  <c r="L103" i="19" s="1"/>
  <c r="C2059" i="19" a="1"/>
  <c r="C2059" i="19" s="1"/>
  <c r="L102" i="19" s="1"/>
  <c r="C2038" i="19" a="1"/>
  <c r="C2038" i="19" s="1"/>
  <c r="L101" i="19" s="1"/>
  <c r="C2018" i="19" a="1"/>
  <c r="C2018" i="19" s="1"/>
  <c r="L100" i="19" s="1"/>
  <c r="C1996" i="19" a="1"/>
  <c r="C1996" i="19" s="1"/>
  <c r="C1977" i="19" a="1"/>
  <c r="C1977" i="19" s="1"/>
  <c r="L98" i="19" s="1"/>
  <c r="C1955" i="19" a="1"/>
  <c r="C1955" i="19" s="1"/>
  <c r="L97" i="19" s="1"/>
  <c r="C1935" i="19" a="1"/>
  <c r="C1935" i="19" s="1"/>
  <c r="L96" i="19" s="1"/>
  <c r="C1914" i="19" a="1"/>
  <c r="C1914" i="19" s="1"/>
  <c r="L95" i="19" s="1"/>
  <c r="C1893" i="19" a="1"/>
  <c r="C1893" i="19" s="1"/>
  <c r="L94" i="19" s="1"/>
  <c r="C1872" i="19" a="1"/>
  <c r="C1872" i="19" s="1"/>
  <c r="L93" i="19" s="1"/>
  <c r="C1851" i="19" a="1"/>
  <c r="C1851" i="19" s="1"/>
  <c r="L92" i="19" s="1"/>
  <c r="C1830" i="19" a="1"/>
  <c r="C1830" i="19" s="1"/>
  <c r="C1812" i="19" a="1"/>
  <c r="C1812" i="19" s="1"/>
  <c r="L90" i="19" s="1"/>
  <c r="C1789" i="19" a="1"/>
  <c r="C1789" i="19" s="1"/>
  <c r="L89" i="19" s="1"/>
  <c r="C1769" i="19" a="1"/>
  <c r="C1769" i="19" s="1"/>
  <c r="L88" i="19" s="1"/>
  <c r="C1748" i="19" a="1"/>
  <c r="C1748" i="19" s="1"/>
  <c r="L87" i="19" s="1"/>
  <c r="C1728" i="19" a="1"/>
  <c r="C1728" i="19" s="1"/>
  <c r="L86" i="19" s="1"/>
  <c r="C1706" i="19" a="1"/>
  <c r="C1706" i="19" s="1"/>
  <c r="L85" i="19" s="1"/>
  <c r="C1686" i="19" a="1"/>
  <c r="C1686" i="19" s="1"/>
  <c r="L84" i="19" s="1"/>
  <c r="C1664" i="19" a="1"/>
  <c r="C1664" i="19" s="1"/>
  <c r="C1643" i="19" a="1"/>
  <c r="C1643" i="19" s="1"/>
  <c r="L82" i="19" s="1"/>
  <c r="C1622" i="19" a="1"/>
  <c r="C1622" i="19" s="1"/>
  <c r="L81" i="19" s="1"/>
  <c r="C1600" i="19" a="1"/>
  <c r="C1600" i="19" s="1"/>
  <c r="L80" i="19" s="1"/>
  <c r="C1581" i="19" a="1"/>
  <c r="C1581" i="19" s="1"/>
  <c r="L79" i="19" s="1"/>
  <c r="C1560" i="19" a="1"/>
  <c r="C1560" i="19" s="1"/>
  <c r="L78" i="19" s="1"/>
  <c r="C1539" i="19" a="1"/>
  <c r="C1539" i="19" s="1"/>
  <c r="L77" i="19" s="1"/>
  <c r="C1518" i="19" a="1"/>
  <c r="C1518" i="19" s="1"/>
  <c r="L76" i="19" s="1"/>
  <c r="C1498" i="19" a="1"/>
  <c r="C1498" i="19" s="1"/>
  <c r="C1479" i="19" a="1"/>
  <c r="C1479" i="19" s="1"/>
  <c r="L74" i="19" s="1"/>
  <c r="C1458" i="19" a="1"/>
  <c r="C1458" i="19" s="1"/>
  <c r="L73" i="19" s="1"/>
  <c r="C1436" i="19" a="1"/>
  <c r="C1436" i="19" s="1"/>
  <c r="L72" i="19" s="1"/>
  <c r="C1414" i="19" a="1"/>
  <c r="C1414" i="19" s="1"/>
  <c r="L71" i="19" s="1"/>
  <c r="C1394" i="19" a="1"/>
  <c r="C1394" i="19" s="1"/>
  <c r="L70" i="19" s="1"/>
  <c r="C1371" i="19" a="1"/>
  <c r="C1371" i="19" s="1"/>
  <c r="L69" i="19" s="1"/>
  <c r="C1349" i="19" a="1"/>
  <c r="C1349" i="19" s="1"/>
  <c r="L68" i="19" s="1"/>
  <c r="C1331" i="19" a="1"/>
  <c r="C1331" i="19" s="1"/>
  <c r="C1311" i="19" a="1"/>
  <c r="C1311" i="19" s="1"/>
  <c r="L66" i="19" s="1"/>
  <c r="C1289" i="19" a="1"/>
  <c r="C1289" i="19" s="1"/>
  <c r="L65" i="19" s="1"/>
  <c r="C1269" i="19" a="1"/>
  <c r="C1269" i="19" s="1"/>
  <c r="L64" i="19" s="1"/>
  <c r="C1248" i="19" a="1"/>
  <c r="C1248" i="19" s="1"/>
  <c r="L63" i="19" s="1"/>
  <c r="C1229" i="19" a="1"/>
  <c r="C1229" i="19" s="1"/>
  <c r="L62" i="19" s="1"/>
  <c r="C1209" i="19" a="1"/>
  <c r="C1209" i="19" s="1"/>
  <c r="L61" i="19" s="1"/>
  <c r="C1187" i="19" a="1"/>
  <c r="C1187" i="19" s="1"/>
  <c r="L60" i="19" s="1"/>
  <c r="C1165" i="19" a="1"/>
  <c r="C1165" i="19" s="1"/>
  <c r="C1146" i="19" a="1"/>
  <c r="C1146" i="19" s="1"/>
  <c r="L58" i="19" s="1"/>
  <c r="C1123" i="19" a="1"/>
  <c r="C1123" i="19" s="1"/>
  <c r="L57" i="19" s="1"/>
  <c r="C1102" i="19" a="1"/>
  <c r="C1102" i="19" s="1"/>
  <c r="L56" i="19" s="1"/>
  <c r="C1083" i="19" a="1"/>
  <c r="C1083" i="19" s="1"/>
  <c r="L55" i="19" s="1"/>
  <c r="C1063" i="19" a="1"/>
  <c r="C1063" i="19" s="1"/>
  <c r="L54" i="19" s="1"/>
  <c r="C1042" i="19" a="1"/>
  <c r="C1042" i="19" s="1"/>
  <c r="L53" i="19" s="1"/>
  <c r="C1022" i="19" a="1"/>
  <c r="C1022" i="19" s="1"/>
  <c r="L52" i="19" s="1"/>
  <c r="C1000" i="19" a="1"/>
  <c r="C1000" i="19" s="1"/>
  <c r="C982" i="19" a="1"/>
  <c r="C982" i="19" s="1"/>
  <c r="L50" i="19" s="1"/>
  <c r="C961" i="19" a="1"/>
  <c r="C961" i="19" s="1"/>
  <c r="L49" i="19" s="1"/>
  <c r="C938" i="19" a="1"/>
  <c r="C938" i="19" s="1"/>
  <c r="L48" i="19" s="1"/>
  <c r="C917" i="19" a="1"/>
  <c r="C917" i="19" s="1"/>
  <c r="L47" i="19" s="1"/>
  <c r="C897" i="19" a="1"/>
  <c r="C897" i="19" s="1"/>
  <c r="L46" i="19" s="1"/>
  <c r="C874" i="19" a="1"/>
  <c r="C874" i="19" s="1"/>
  <c r="L45" i="19" s="1"/>
  <c r="C854" i="19" a="1"/>
  <c r="C854" i="19" s="1"/>
  <c r="L44" i="19" s="1"/>
  <c r="C834" i="19" a="1"/>
  <c r="C834" i="19" s="1"/>
  <c r="C813" i="19" a="1"/>
  <c r="C813" i="19" s="1"/>
  <c r="L42" i="19" s="1"/>
  <c r="C793" i="19" a="1"/>
  <c r="C793" i="19" s="1"/>
  <c r="L41" i="19" s="1"/>
  <c r="C773" i="19" a="1"/>
  <c r="C773" i="19" s="1"/>
  <c r="L40" i="19" s="1"/>
  <c r="C751" i="19" a="1"/>
  <c r="C751" i="19" s="1"/>
  <c r="L39" i="19" s="1"/>
  <c r="C734" i="19" a="1"/>
  <c r="C734" i="19" s="1"/>
  <c r="L38" i="19" s="1"/>
  <c r="C712" i="19" a="1"/>
  <c r="C712" i="19" s="1"/>
  <c r="L37" i="19" s="1"/>
  <c r="C689" i="19" a="1"/>
  <c r="C689" i="19" s="1"/>
  <c r="L36" i="19" s="1"/>
  <c r="C669" i="19" a="1"/>
  <c r="C669" i="19" s="1"/>
  <c r="C648" i="19" a="1"/>
  <c r="C648" i="19" s="1"/>
  <c r="L34" i="19" s="1"/>
  <c r="C626" i="19" a="1"/>
  <c r="C626" i="19" s="1"/>
  <c r="L33" i="19" s="1"/>
  <c r="C607" i="19" a="1"/>
  <c r="C607" i="19" s="1"/>
  <c r="L32" i="19" s="1"/>
  <c r="C586" i="19" a="1"/>
  <c r="C586" i="19" s="1"/>
  <c r="L31" i="19" s="1"/>
  <c r="C567" i="19" a="1"/>
  <c r="C567" i="19" s="1"/>
  <c r="L30" i="19" s="1"/>
  <c r="C545" i="19" a="1"/>
  <c r="C545" i="19" s="1"/>
  <c r="L29" i="19" s="1"/>
  <c r="C524" i="19" a="1"/>
  <c r="C524" i="19" s="1"/>
  <c r="L28" i="19" s="1"/>
  <c r="C503" i="19" a="1"/>
  <c r="C503" i="19" s="1"/>
  <c r="C483" i="19" a="1"/>
  <c r="C483" i="19" s="1"/>
  <c r="L26" i="19" s="1"/>
  <c r="C461" i="19" a="1"/>
  <c r="C461" i="19" s="1"/>
  <c r="L25" i="19" s="1"/>
  <c r="C440" i="19" a="1"/>
  <c r="C440" i="19" s="1"/>
  <c r="L24" i="19" s="1"/>
  <c r="C418" i="19" a="1"/>
  <c r="C418" i="19" s="1"/>
  <c r="L23" i="19" s="1"/>
  <c r="C397" i="19" a="1"/>
  <c r="C397" i="19" s="1"/>
  <c r="L22" i="19" s="1"/>
  <c r="C376" i="19" a="1"/>
  <c r="C376" i="19" s="1"/>
  <c r="L21" i="19" s="1"/>
  <c r="C354" i="19" a="1"/>
  <c r="C354" i="19" s="1"/>
  <c r="L20" i="19" s="1"/>
  <c r="C334" i="19" a="1"/>
  <c r="C334" i="19" s="1"/>
  <c r="C316" i="19" a="1"/>
  <c r="C316" i="19" s="1"/>
  <c r="L18" i="19" s="1"/>
  <c r="C293" i="19" a="1"/>
  <c r="C293" i="19" s="1"/>
  <c r="L17" i="19" s="1"/>
  <c r="C273" i="19" a="1"/>
  <c r="C273" i="19" s="1"/>
  <c r="L16" i="19" s="1"/>
  <c r="C253" i="19" a="1"/>
  <c r="C253" i="19" s="1"/>
  <c r="L15" i="19" s="1"/>
  <c r="C234" i="19" a="1"/>
  <c r="C234" i="19" s="1"/>
  <c r="L14" i="19" s="1"/>
  <c r="C212" i="19" a="1"/>
  <c r="C212" i="19" s="1"/>
  <c r="L13" i="19" s="1"/>
  <c r="C191" i="19" a="1"/>
  <c r="C191" i="19" s="1"/>
  <c r="L12" i="19" s="1"/>
  <c r="C169" i="19" a="1"/>
  <c r="C169" i="19" s="1"/>
  <c r="C148" i="19" a="1"/>
  <c r="C148" i="19" s="1"/>
  <c r="L10" i="19" s="1"/>
  <c r="C126" i="19" a="1"/>
  <c r="C126" i="19" s="1"/>
  <c r="L9" i="19" s="1"/>
  <c r="C104" i="19" a="1"/>
  <c r="C104" i="19" s="1"/>
  <c r="L8" i="19" s="1"/>
  <c r="C85" i="19" a="1"/>
  <c r="C85" i="19" s="1"/>
  <c r="L7" i="19" s="1"/>
  <c r="C65" i="19" a="1"/>
  <c r="C65" i="19" s="1"/>
  <c r="L6" i="19" s="1"/>
  <c r="C42" i="19" a="1"/>
  <c r="C42" i="19" s="1"/>
  <c r="L5" i="19" s="1"/>
  <c r="C22" i="19" a="1"/>
  <c r="C22" i="19" s="1"/>
  <c r="C2" i="19" a="1"/>
  <c r="C2" i="19" s="1"/>
  <c r="L171" i="16"/>
  <c r="L163" i="16"/>
  <c r="L155" i="16"/>
  <c r="L147" i="16"/>
  <c r="L139" i="16"/>
  <c r="L131" i="16"/>
  <c r="L125" i="16"/>
  <c r="L123" i="16"/>
  <c r="L115" i="16"/>
  <c r="L107" i="16"/>
  <c r="L99" i="16"/>
  <c r="L91" i="16"/>
  <c r="L83" i="16"/>
  <c r="L75" i="16"/>
  <c r="L67" i="16"/>
  <c r="L59" i="16"/>
  <c r="L51" i="16"/>
  <c r="L43" i="16"/>
  <c r="L35" i="16"/>
  <c r="L27" i="16"/>
  <c r="L20" i="16"/>
  <c r="L19" i="16"/>
  <c r="L13" i="16"/>
  <c r="L12" i="16"/>
  <c r="L11" i="16"/>
  <c r="L5" i="16"/>
  <c r="L4" i="16"/>
  <c r="L3" i="16"/>
  <c r="C3802" i="16" a="1"/>
  <c r="C3802" i="16" s="1"/>
  <c r="L186" i="16" s="1"/>
  <c r="C3781" i="16" a="1"/>
  <c r="C3781" i="16" s="1"/>
  <c r="L185" i="16" s="1"/>
  <c r="C3761" i="16" a="1"/>
  <c r="C3761" i="16" s="1"/>
  <c r="L184" i="16" s="1"/>
  <c r="C3739" i="16" a="1"/>
  <c r="C3739" i="16" s="1"/>
  <c r="L183" i="16" s="1"/>
  <c r="C3721" i="16" a="1"/>
  <c r="C3721" i="16" s="1"/>
  <c r="L182" i="16" s="1"/>
  <c r="C3700" i="16" a="1"/>
  <c r="C3700" i="16" s="1"/>
  <c r="L181" i="16" s="1"/>
  <c r="C3677" i="16" a="1"/>
  <c r="C3677" i="16" s="1"/>
  <c r="L180" i="16" s="1"/>
  <c r="C3656" i="16"/>
  <c r="L179" i="16" s="1"/>
  <c r="C3656" i="16" a="1"/>
  <c r="C3636" i="16" a="1"/>
  <c r="C3636" i="16" s="1"/>
  <c r="L178" i="16" s="1"/>
  <c r="C3613" i="16" a="1"/>
  <c r="C3613" i="16" s="1"/>
  <c r="L177" i="16" s="1"/>
  <c r="C3593" i="16" a="1"/>
  <c r="C3593" i="16" s="1"/>
  <c r="L176" i="16" s="1"/>
  <c r="C3573" i="16" a="1"/>
  <c r="C3573" i="16" s="1"/>
  <c r="L175" i="16" s="1"/>
  <c r="C3552" i="16" a="1"/>
  <c r="C3552" i="16" s="1"/>
  <c r="L174" i="16" s="1"/>
  <c r="C3532" i="16" a="1"/>
  <c r="C3532" i="16" s="1"/>
  <c r="L173" i="16" s="1"/>
  <c r="C3511" i="16" a="1"/>
  <c r="C3511" i="16" s="1"/>
  <c r="L172" i="16" s="1"/>
  <c r="C3489" i="16" a="1"/>
  <c r="C3489" i="16" s="1"/>
  <c r="C3470" i="16" a="1"/>
  <c r="C3470" i="16" s="1"/>
  <c r="L170" i="16" s="1"/>
  <c r="C3448" i="16" a="1"/>
  <c r="C3448" i="16" s="1"/>
  <c r="L169" i="16" s="1"/>
  <c r="C3426" i="16" a="1"/>
  <c r="C3426" i="16" s="1"/>
  <c r="L168" i="16" s="1"/>
  <c r="C3405" i="16" a="1"/>
  <c r="C3405" i="16" s="1"/>
  <c r="L167" i="16" s="1"/>
  <c r="C3384" i="16" a="1"/>
  <c r="C3384" i="16" s="1"/>
  <c r="L166" i="16" s="1"/>
  <c r="C3363" i="16" a="1"/>
  <c r="C3363" i="16" s="1"/>
  <c r="L165" i="16" s="1"/>
  <c r="C3341" i="16" a="1"/>
  <c r="C3341" i="16" s="1"/>
  <c r="L164" i="16" s="1"/>
  <c r="C3321" i="16" a="1"/>
  <c r="C3321" i="16" s="1"/>
  <c r="C3303" i="16" a="1"/>
  <c r="C3303" i="16" s="1"/>
  <c r="L162" i="16" s="1"/>
  <c r="C3280" i="16" a="1"/>
  <c r="C3280" i="16" s="1"/>
  <c r="L161" i="16" s="1"/>
  <c r="C3260" i="16" a="1"/>
  <c r="C3260" i="16" s="1"/>
  <c r="L160" i="16" s="1"/>
  <c r="C3239" i="16" a="1"/>
  <c r="C3239" i="16" s="1"/>
  <c r="L159" i="16" s="1"/>
  <c r="C3219" i="16" a="1"/>
  <c r="C3219" i="16" s="1"/>
  <c r="L158" i="16" s="1"/>
  <c r="C3197" i="16" a="1"/>
  <c r="C3197" i="16" s="1"/>
  <c r="L157" i="16" s="1"/>
  <c r="C3176" i="16" a="1"/>
  <c r="C3176" i="16" s="1"/>
  <c r="L156" i="16" s="1"/>
  <c r="C3155" i="16" a="1"/>
  <c r="C3155" i="16" s="1"/>
  <c r="C3134" i="16" a="1"/>
  <c r="C3134" i="16" s="1"/>
  <c r="L154" i="16" s="1"/>
  <c r="C3113" i="16" a="1"/>
  <c r="C3113" i="16" s="1"/>
  <c r="L153" i="16" s="1"/>
  <c r="C3093" i="16" a="1"/>
  <c r="C3093" i="16" s="1"/>
  <c r="L152" i="16" s="1"/>
  <c r="C3072" i="16" a="1"/>
  <c r="C3072" i="16" s="1"/>
  <c r="L151" i="16" s="1"/>
  <c r="C3053" i="16" a="1"/>
  <c r="C3053" i="16" s="1"/>
  <c r="L150" i="16" s="1"/>
  <c r="C3030" i="16" a="1"/>
  <c r="C3030" i="16" s="1"/>
  <c r="L149" i="16" s="1"/>
  <c r="C3010" i="16" a="1"/>
  <c r="C3010" i="16" s="1"/>
  <c r="L148" i="16" s="1"/>
  <c r="C2990" i="16" a="1"/>
  <c r="C2990" i="16" s="1"/>
  <c r="C2971" i="16" a="1"/>
  <c r="C2971" i="16" s="1"/>
  <c r="L146" i="16" s="1"/>
  <c r="C2949" i="16" a="1"/>
  <c r="C2949" i="16" s="1"/>
  <c r="L145" i="16" s="1"/>
  <c r="C2928" i="16" a="1"/>
  <c r="C2928" i="16" s="1"/>
  <c r="L144" i="16" s="1"/>
  <c r="C2906" i="16" a="1"/>
  <c r="C2906" i="16" s="1"/>
  <c r="L143" i="16" s="1"/>
  <c r="C2885" i="16" a="1"/>
  <c r="C2885" i="16" s="1"/>
  <c r="L142" i="16" s="1"/>
  <c r="C2863" i="16" a="1"/>
  <c r="C2863" i="16" s="1"/>
  <c r="L141" i="16" s="1"/>
  <c r="C2841" i="16" a="1"/>
  <c r="C2841" i="16" s="1"/>
  <c r="L140" i="16" s="1"/>
  <c r="C2823" i="16" a="1"/>
  <c r="C2823" i="16" s="1"/>
  <c r="C2803" i="16" a="1"/>
  <c r="C2803" i="16" s="1"/>
  <c r="L138" i="16" s="1"/>
  <c r="C2780" i="16" a="1"/>
  <c r="C2780" i="16" s="1"/>
  <c r="L137" i="16" s="1"/>
  <c r="C2760" i="16" a="1"/>
  <c r="C2760" i="16" s="1"/>
  <c r="L136" i="16" s="1"/>
  <c r="C2740" i="16" a="1"/>
  <c r="C2740" i="16" s="1"/>
  <c r="L135" i="16" s="1"/>
  <c r="C2721" i="16" a="1"/>
  <c r="C2721" i="16" s="1"/>
  <c r="L134" i="16" s="1"/>
  <c r="C2700" i="16" a="1"/>
  <c r="C2700" i="16" s="1"/>
  <c r="L133" i="16" s="1"/>
  <c r="C2678" i="16" a="1"/>
  <c r="C2678" i="16" s="1"/>
  <c r="L132" i="16" s="1"/>
  <c r="C2656" i="16" a="1"/>
  <c r="C2656" i="16" s="1"/>
  <c r="C2636" i="16" a="1"/>
  <c r="C2636" i="16" s="1"/>
  <c r="L130" i="16" s="1"/>
  <c r="C2613" i="16" a="1"/>
  <c r="C2613" i="16" s="1"/>
  <c r="L129" i="16" s="1"/>
  <c r="C2592" i="16" a="1"/>
  <c r="C2592" i="16" s="1"/>
  <c r="L128" i="16" s="1"/>
  <c r="C2574" i="16" a="1"/>
  <c r="C2574" i="16" s="1"/>
  <c r="L127" i="16" s="1"/>
  <c r="C2554" i="16" a="1"/>
  <c r="C2554" i="16" s="1"/>
  <c r="L126" i="16" s="1"/>
  <c r="C2532" i="16" a="1"/>
  <c r="C2532" i="16" s="1"/>
  <c r="C2512" i="16" a="1"/>
  <c r="C2512" i="16" s="1"/>
  <c r="L124" i="16" s="1"/>
  <c r="C2490" i="16" a="1"/>
  <c r="C2490" i="16" s="1"/>
  <c r="C2472" i="16" a="1"/>
  <c r="C2472" i="16" s="1"/>
  <c r="L122" i="16" s="1"/>
  <c r="C2451" i="16" a="1"/>
  <c r="C2451" i="16" s="1"/>
  <c r="L121" i="16" s="1"/>
  <c r="C2429" i="16" a="1"/>
  <c r="C2429" i="16" s="1"/>
  <c r="L120" i="16" s="1"/>
  <c r="C2408" i="16" a="1"/>
  <c r="C2408" i="16" s="1"/>
  <c r="L119" i="16" s="1"/>
  <c r="C2388" i="16" a="1"/>
  <c r="C2388" i="16" s="1"/>
  <c r="L118" i="16" s="1"/>
  <c r="C2365" i="16" a="1"/>
  <c r="C2365" i="16" s="1"/>
  <c r="L117" i="16" s="1"/>
  <c r="C2346" i="16" a="1"/>
  <c r="C2346" i="16" s="1"/>
  <c r="L116" i="16" s="1"/>
  <c r="C2326" i="16" a="1"/>
  <c r="C2326" i="16" s="1"/>
  <c r="C2306" i="16" a="1"/>
  <c r="C2306" i="16" s="1"/>
  <c r="L114" i="16" s="1"/>
  <c r="C2285" i="16" a="1"/>
  <c r="C2285" i="16" s="1"/>
  <c r="L113" i="16" s="1"/>
  <c r="C2265" i="16" a="1"/>
  <c r="C2265" i="16" s="1"/>
  <c r="L112" i="16" s="1"/>
  <c r="C2243" i="16" a="1"/>
  <c r="C2243" i="16" s="1"/>
  <c r="L111" i="16" s="1"/>
  <c r="C2226" i="16" a="1"/>
  <c r="C2226" i="16" s="1"/>
  <c r="L110" i="16" s="1"/>
  <c r="C2204" i="16" a="1"/>
  <c r="C2204" i="16" s="1"/>
  <c r="L109" i="16" s="1"/>
  <c r="C2182" i="16" a="1"/>
  <c r="C2182" i="16" s="1"/>
  <c r="L108" i="16" s="1"/>
  <c r="C2162" i="16" a="1"/>
  <c r="C2162" i="16" s="1"/>
  <c r="C2141" i="16" a="1"/>
  <c r="C2141" i="16" s="1"/>
  <c r="L106" i="16" s="1"/>
  <c r="C2119" i="16" a="1"/>
  <c r="C2119" i="16" s="1"/>
  <c r="L105" i="16" s="1"/>
  <c r="C2098" i="16" a="1"/>
  <c r="C2098" i="16" s="1"/>
  <c r="L104" i="16" s="1"/>
  <c r="C2079" i="16" a="1"/>
  <c r="C2079" i="16" s="1"/>
  <c r="L103" i="16" s="1"/>
  <c r="C2059" i="16" a="1"/>
  <c r="C2059" i="16" s="1"/>
  <c r="L102" i="16" s="1"/>
  <c r="C2038" i="16" a="1"/>
  <c r="C2038" i="16" s="1"/>
  <c r="L101" i="16" s="1"/>
  <c r="C2018" i="16" a="1"/>
  <c r="C2018" i="16" s="1"/>
  <c r="L100" i="16" s="1"/>
  <c r="C1996" i="16" a="1"/>
  <c r="C1996" i="16" s="1"/>
  <c r="C1977" i="16" a="1"/>
  <c r="C1977" i="16" s="1"/>
  <c r="L98" i="16" s="1"/>
  <c r="C1955" i="16" a="1"/>
  <c r="C1955" i="16" s="1"/>
  <c r="L97" i="16" s="1"/>
  <c r="C1935" i="16" a="1"/>
  <c r="C1935" i="16" s="1"/>
  <c r="L96" i="16" s="1"/>
  <c r="C1914" i="16" a="1"/>
  <c r="C1914" i="16" s="1"/>
  <c r="L95" i="16" s="1"/>
  <c r="C1893" i="16" a="1"/>
  <c r="C1893" i="16" s="1"/>
  <c r="L94" i="16" s="1"/>
  <c r="C1872" i="16" a="1"/>
  <c r="C1872" i="16" s="1"/>
  <c r="L93" i="16" s="1"/>
  <c r="C1851" i="16" a="1"/>
  <c r="C1851" i="16" s="1"/>
  <c r="L92" i="16" s="1"/>
  <c r="C1830" i="16" a="1"/>
  <c r="C1830" i="16" s="1"/>
  <c r="C1812" i="16" a="1"/>
  <c r="C1812" i="16" s="1"/>
  <c r="L90" i="16" s="1"/>
  <c r="C1789" i="16" a="1"/>
  <c r="C1789" i="16" s="1"/>
  <c r="L89" i="16" s="1"/>
  <c r="C1769" i="16" a="1"/>
  <c r="C1769" i="16" s="1"/>
  <c r="L88" i="16" s="1"/>
  <c r="C1748" i="16" a="1"/>
  <c r="C1748" i="16" s="1"/>
  <c r="L87" i="16" s="1"/>
  <c r="C1728" i="16" a="1"/>
  <c r="C1728" i="16" s="1"/>
  <c r="L86" i="16" s="1"/>
  <c r="C1706" i="16" a="1"/>
  <c r="C1706" i="16" s="1"/>
  <c r="L85" i="16" s="1"/>
  <c r="C1686" i="16" a="1"/>
  <c r="C1686" i="16" s="1"/>
  <c r="L84" i="16" s="1"/>
  <c r="C1664" i="16" a="1"/>
  <c r="C1664" i="16" s="1"/>
  <c r="C1643" i="16" a="1"/>
  <c r="C1643" i="16" s="1"/>
  <c r="L82" i="16" s="1"/>
  <c r="C1622" i="16" a="1"/>
  <c r="C1622" i="16" s="1"/>
  <c r="L81" i="16" s="1"/>
  <c r="C1600" i="16" a="1"/>
  <c r="C1600" i="16" s="1"/>
  <c r="L80" i="16" s="1"/>
  <c r="C1581" i="16" a="1"/>
  <c r="C1581" i="16" s="1"/>
  <c r="L79" i="16" s="1"/>
  <c r="C1560" i="16" a="1"/>
  <c r="C1560" i="16" s="1"/>
  <c r="L78" i="16" s="1"/>
  <c r="C1539" i="16" a="1"/>
  <c r="C1539" i="16" s="1"/>
  <c r="L77" i="16" s="1"/>
  <c r="C1518" i="16" a="1"/>
  <c r="C1518" i="16" s="1"/>
  <c r="L76" i="16" s="1"/>
  <c r="C1498" i="16" a="1"/>
  <c r="C1498" i="16" s="1"/>
  <c r="C1479" i="16" a="1"/>
  <c r="C1479" i="16" s="1"/>
  <c r="L74" i="16" s="1"/>
  <c r="C1458" i="16" a="1"/>
  <c r="C1458" i="16" s="1"/>
  <c r="L73" i="16" s="1"/>
  <c r="C1436" i="16" a="1"/>
  <c r="C1436" i="16" s="1"/>
  <c r="L72" i="16" s="1"/>
  <c r="C1414" i="16" a="1"/>
  <c r="C1414" i="16" s="1"/>
  <c r="L71" i="16" s="1"/>
  <c r="C1394" i="16" a="1"/>
  <c r="C1394" i="16" s="1"/>
  <c r="L70" i="16" s="1"/>
  <c r="C1371" i="16" a="1"/>
  <c r="C1371" i="16" s="1"/>
  <c r="L69" i="16" s="1"/>
  <c r="C1349" i="16" a="1"/>
  <c r="C1349" i="16" s="1"/>
  <c r="L68" i="16" s="1"/>
  <c r="C1331" i="16" a="1"/>
  <c r="C1331" i="16" s="1"/>
  <c r="C1311" i="16" a="1"/>
  <c r="C1311" i="16" s="1"/>
  <c r="L66" i="16" s="1"/>
  <c r="C1289" i="16" a="1"/>
  <c r="C1289" i="16" s="1"/>
  <c r="L65" i="16" s="1"/>
  <c r="C1269" i="16" a="1"/>
  <c r="C1269" i="16" s="1"/>
  <c r="L64" i="16" s="1"/>
  <c r="C1248" i="16" a="1"/>
  <c r="C1248" i="16" s="1"/>
  <c r="L63" i="16" s="1"/>
  <c r="C1229" i="16" a="1"/>
  <c r="C1229" i="16" s="1"/>
  <c r="L62" i="16" s="1"/>
  <c r="C1209" i="16" a="1"/>
  <c r="C1209" i="16" s="1"/>
  <c r="L61" i="16" s="1"/>
  <c r="C1187" i="16" a="1"/>
  <c r="C1187" i="16" s="1"/>
  <c r="L60" i="16" s="1"/>
  <c r="C1165" i="16" a="1"/>
  <c r="C1165" i="16" s="1"/>
  <c r="C1146" i="16" a="1"/>
  <c r="C1146" i="16" s="1"/>
  <c r="L58" i="16" s="1"/>
  <c r="C1123" i="16" a="1"/>
  <c r="C1123" i="16" s="1"/>
  <c r="L57" i="16" s="1"/>
  <c r="C1102" i="16" a="1"/>
  <c r="C1102" i="16" s="1"/>
  <c r="L56" i="16" s="1"/>
  <c r="C1083" i="16" a="1"/>
  <c r="C1083" i="16" s="1"/>
  <c r="L55" i="16" s="1"/>
  <c r="C1063" i="16" a="1"/>
  <c r="C1063" i="16" s="1"/>
  <c r="L54" i="16" s="1"/>
  <c r="C1042" i="16" a="1"/>
  <c r="C1042" i="16" s="1"/>
  <c r="L53" i="16" s="1"/>
  <c r="C1022" i="16" a="1"/>
  <c r="C1022" i="16" s="1"/>
  <c r="L52" i="16" s="1"/>
  <c r="C1000" i="16" a="1"/>
  <c r="C1000" i="16" s="1"/>
  <c r="C982" i="16" a="1"/>
  <c r="C982" i="16" s="1"/>
  <c r="L50" i="16" s="1"/>
  <c r="C961" i="16" a="1"/>
  <c r="C961" i="16" s="1"/>
  <c r="L49" i="16" s="1"/>
  <c r="C938" i="16" a="1"/>
  <c r="C938" i="16" s="1"/>
  <c r="L48" i="16" s="1"/>
  <c r="C917" i="16" a="1"/>
  <c r="C917" i="16" s="1"/>
  <c r="L47" i="16" s="1"/>
  <c r="C897" i="16" a="1"/>
  <c r="C897" i="16" s="1"/>
  <c r="L46" i="16" s="1"/>
  <c r="C874" i="16" a="1"/>
  <c r="C874" i="16" s="1"/>
  <c r="L45" i="16" s="1"/>
  <c r="C854" i="16" a="1"/>
  <c r="C854" i="16" s="1"/>
  <c r="L44" i="16" s="1"/>
  <c r="C834" i="16" a="1"/>
  <c r="C834" i="16" s="1"/>
  <c r="C813" i="16" a="1"/>
  <c r="C813" i="16" s="1"/>
  <c r="L42" i="16" s="1"/>
  <c r="C793" i="16" a="1"/>
  <c r="C793" i="16" s="1"/>
  <c r="L41" i="16" s="1"/>
  <c r="C773" i="16" a="1"/>
  <c r="C773" i="16" s="1"/>
  <c r="L40" i="16" s="1"/>
  <c r="C751" i="16" a="1"/>
  <c r="C751" i="16" s="1"/>
  <c r="L39" i="16" s="1"/>
  <c r="C734" i="16" a="1"/>
  <c r="C734" i="16" s="1"/>
  <c r="L38" i="16" s="1"/>
  <c r="C712" i="16" a="1"/>
  <c r="C712" i="16" s="1"/>
  <c r="L37" i="16" s="1"/>
  <c r="C689" i="16" a="1"/>
  <c r="C689" i="16" s="1"/>
  <c r="L36" i="16" s="1"/>
  <c r="C669" i="16" a="1"/>
  <c r="C669" i="16" s="1"/>
  <c r="C648" i="16" a="1"/>
  <c r="C648" i="16" s="1"/>
  <c r="L34" i="16" s="1"/>
  <c r="C626" i="16" a="1"/>
  <c r="C626" i="16" s="1"/>
  <c r="L33" i="16" s="1"/>
  <c r="C607" i="16" a="1"/>
  <c r="C607" i="16" s="1"/>
  <c r="L32" i="16" s="1"/>
  <c r="C586" i="16" a="1"/>
  <c r="C586" i="16" s="1"/>
  <c r="L31" i="16" s="1"/>
  <c r="C567" i="16" a="1"/>
  <c r="C567" i="16" s="1"/>
  <c r="L30" i="16" s="1"/>
  <c r="C545" i="16" a="1"/>
  <c r="C545" i="16" s="1"/>
  <c r="L29" i="16" s="1"/>
  <c r="C524" i="16" a="1"/>
  <c r="C524" i="16" s="1"/>
  <c r="L28" i="16" s="1"/>
  <c r="C503" i="16"/>
  <c r="C503" i="16" a="1"/>
  <c r="C483" i="16" a="1"/>
  <c r="C483" i="16" s="1"/>
  <c r="L26" i="16" s="1"/>
  <c r="C461" i="16" a="1"/>
  <c r="C461" i="16" s="1"/>
  <c r="L25" i="16" s="1"/>
  <c r="C440" i="16" a="1"/>
  <c r="C440" i="16" s="1"/>
  <c r="L24" i="16" s="1"/>
  <c r="C418" i="16" a="1"/>
  <c r="C418" i="16" s="1"/>
  <c r="L23" i="16" s="1"/>
  <c r="C397" i="16" a="1"/>
  <c r="C397" i="16" s="1"/>
  <c r="L22" i="16" s="1"/>
  <c r="C376" i="16" a="1"/>
  <c r="C376" i="16" s="1"/>
  <c r="L21" i="16" s="1"/>
  <c r="C354" i="16" a="1"/>
  <c r="C354" i="16" s="1"/>
  <c r="C334" i="16" a="1"/>
  <c r="C334" i="16" s="1"/>
  <c r="C316" i="16" a="1"/>
  <c r="C316" i="16" s="1"/>
  <c r="L18" i="16" s="1"/>
  <c r="C293" i="16" a="1"/>
  <c r="C293" i="16" s="1"/>
  <c r="L17" i="16" s="1"/>
  <c r="C273" i="16" a="1"/>
  <c r="C273" i="16" s="1"/>
  <c r="L16" i="16" s="1"/>
  <c r="C253" i="16" a="1"/>
  <c r="C253" i="16" s="1"/>
  <c r="L15" i="16" s="1"/>
  <c r="C234" i="16" a="1"/>
  <c r="C234" i="16" s="1"/>
  <c r="L14" i="16" s="1"/>
  <c r="C212" i="16" a="1"/>
  <c r="C212" i="16" s="1"/>
  <c r="C191" i="16" a="1"/>
  <c r="C191" i="16" s="1"/>
  <c r="C169" i="16" a="1"/>
  <c r="C169" i="16" s="1"/>
  <c r="C148" i="16" a="1"/>
  <c r="C148" i="16" s="1"/>
  <c r="L10" i="16" s="1"/>
  <c r="C126" i="16" a="1"/>
  <c r="C126" i="16" s="1"/>
  <c r="L9" i="16" s="1"/>
  <c r="C104" i="16" a="1"/>
  <c r="C104" i="16" s="1"/>
  <c r="L8" i="16" s="1"/>
  <c r="C85" i="16" a="1"/>
  <c r="C85" i="16" s="1"/>
  <c r="L7" i="16" s="1"/>
  <c r="C65" i="16" a="1"/>
  <c r="C65" i="16" s="1"/>
  <c r="L6" i="16" s="1"/>
  <c r="C42" i="16" a="1"/>
  <c r="C42" i="16" s="1"/>
  <c r="C22" i="16" a="1"/>
  <c r="C22" i="16" s="1"/>
  <c r="C2" i="16" a="1"/>
  <c r="C2" i="16" s="1"/>
  <c r="L125" i="15"/>
  <c r="L123" i="15"/>
  <c r="L115" i="15"/>
  <c r="L107" i="15"/>
  <c r="L99" i="15"/>
  <c r="L92" i="15"/>
  <c r="L91" i="15"/>
  <c r="L84" i="15"/>
  <c r="L83" i="15"/>
  <c r="L76" i="15"/>
  <c r="L75" i="15"/>
  <c r="L68" i="15"/>
  <c r="L67" i="15"/>
  <c r="L61" i="15"/>
  <c r="L60" i="15"/>
  <c r="L59" i="15"/>
  <c r="L53" i="15"/>
  <c r="L52" i="15"/>
  <c r="L51" i="15"/>
  <c r="L45" i="15"/>
  <c r="L44" i="15"/>
  <c r="L38" i="15"/>
  <c r="L37" i="15"/>
  <c r="L36" i="15"/>
  <c r="L35" i="15"/>
  <c r="L30" i="15"/>
  <c r="L29" i="15"/>
  <c r="L28" i="15"/>
  <c r="L27" i="15"/>
  <c r="L23" i="15"/>
  <c r="L22" i="15"/>
  <c r="L21" i="15"/>
  <c r="L20" i="15"/>
  <c r="L19" i="15"/>
  <c r="L15" i="15"/>
  <c r="L14" i="15"/>
  <c r="L13" i="15"/>
  <c r="L12" i="15"/>
  <c r="L11" i="15"/>
  <c r="L7" i="15"/>
  <c r="L6" i="15"/>
  <c r="L5" i="15"/>
  <c r="L4" i="15"/>
  <c r="L3" i="15"/>
  <c r="C3802" i="15" a="1"/>
  <c r="C3802" i="15" s="1"/>
  <c r="L186" i="15" s="1"/>
  <c r="C3781" i="15" a="1"/>
  <c r="C3781" i="15" s="1"/>
  <c r="L185" i="15" s="1"/>
  <c r="C3761" i="15" a="1"/>
  <c r="C3761" i="15" s="1"/>
  <c r="L184" i="15" s="1"/>
  <c r="C3739" i="15" a="1"/>
  <c r="C3739" i="15" s="1"/>
  <c r="L183" i="15" s="1"/>
  <c r="C3721" i="15" a="1"/>
  <c r="C3721" i="15" s="1"/>
  <c r="L182" i="15" s="1"/>
  <c r="C3700" i="15" a="1"/>
  <c r="C3700" i="15" s="1"/>
  <c r="L181" i="15" s="1"/>
  <c r="C3677" i="15" a="1"/>
  <c r="C3677" i="15" s="1"/>
  <c r="L180" i="15" s="1"/>
  <c r="C3656" i="15" a="1"/>
  <c r="C3656" i="15" s="1"/>
  <c r="L179" i="15" s="1"/>
  <c r="C3636" i="15" a="1"/>
  <c r="C3636" i="15" s="1"/>
  <c r="L178" i="15" s="1"/>
  <c r="C3613" i="15" a="1"/>
  <c r="C3613" i="15" s="1"/>
  <c r="L177" i="15" s="1"/>
  <c r="C3593" i="15" a="1"/>
  <c r="C3593" i="15" s="1"/>
  <c r="L176" i="15" s="1"/>
  <c r="C3573" i="15" a="1"/>
  <c r="C3573" i="15" s="1"/>
  <c r="L175" i="15" s="1"/>
  <c r="C3552" i="15" a="1"/>
  <c r="C3552" i="15" s="1"/>
  <c r="L174" i="15" s="1"/>
  <c r="C3532" i="15" a="1"/>
  <c r="C3532" i="15" s="1"/>
  <c r="L173" i="15" s="1"/>
  <c r="C3511" i="15" a="1"/>
  <c r="C3511" i="15" s="1"/>
  <c r="L172" i="15" s="1"/>
  <c r="C3489" i="15" a="1"/>
  <c r="C3489" i="15" s="1"/>
  <c r="L171" i="15" s="1"/>
  <c r="C3470" i="15" a="1"/>
  <c r="C3470" i="15" s="1"/>
  <c r="L170" i="15" s="1"/>
  <c r="C3448" i="15" a="1"/>
  <c r="C3448" i="15" s="1"/>
  <c r="L169" i="15" s="1"/>
  <c r="C3426" i="15" a="1"/>
  <c r="C3426" i="15" s="1"/>
  <c r="L168" i="15" s="1"/>
  <c r="C3405" i="15" a="1"/>
  <c r="C3405" i="15" s="1"/>
  <c r="L167" i="15" s="1"/>
  <c r="C3384" i="15" a="1"/>
  <c r="C3384" i="15" s="1"/>
  <c r="L166" i="15" s="1"/>
  <c r="C3363" i="15" a="1"/>
  <c r="C3363" i="15" s="1"/>
  <c r="L165" i="15" s="1"/>
  <c r="C3341" i="15" a="1"/>
  <c r="C3341" i="15" s="1"/>
  <c r="L164" i="15" s="1"/>
  <c r="C3321" i="15" a="1"/>
  <c r="C3321" i="15" s="1"/>
  <c r="L163" i="15" s="1"/>
  <c r="C3303" i="15" a="1"/>
  <c r="C3303" i="15" s="1"/>
  <c r="L162" i="15" s="1"/>
  <c r="C3280" i="15" a="1"/>
  <c r="C3280" i="15" s="1"/>
  <c r="L161" i="15" s="1"/>
  <c r="C3260" i="15" a="1"/>
  <c r="C3260" i="15" s="1"/>
  <c r="L160" i="15" s="1"/>
  <c r="C3239" i="15" a="1"/>
  <c r="C3239" i="15" s="1"/>
  <c r="L159" i="15" s="1"/>
  <c r="C3219" i="15" a="1"/>
  <c r="C3219" i="15" s="1"/>
  <c r="L158" i="15" s="1"/>
  <c r="C3197" i="15" a="1"/>
  <c r="C3197" i="15" s="1"/>
  <c r="L157" i="15" s="1"/>
  <c r="C3176" i="15" a="1"/>
  <c r="C3176" i="15" s="1"/>
  <c r="L156" i="15" s="1"/>
  <c r="C3155" i="15" a="1"/>
  <c r="C3155" i="15" s="1"/>
  <c r="L155" i="15" s="1"/>
  <c r="C3134" i="15" a="1"/>
  <c r="C3134" i="15" s="1"/>
  <c r="L154" i="15" s="1"/>
  <c r="C3113" i="15" a="1"/>
  <c r="C3113" i="15" s="1"/>
  <c r="L153" i="15" s="1"/>
  <c r="C3093" i="15" a="1"/>
  <c r="C3093" i="15" s="1"/>
  <c r="L152" i="15" s="1"/>
  <c r="C3072" i="15" a="1"/>
  <c r="C3072" i="15" s="1"/>
  <c r="L151" i="15" s="1"/>
  <c r="C3053" i="15" a="1"/>
  <c r="C3053" i="15" s="1"/>
  <c r="L150" i="15" s="1"/>
  <c r="C3030" i="15" a="1"/>
  <c r="C3030" i="15" s="1"/>
  <c r="L149" i="15" s="1"/>
  <c r="C3010" i="15" a="1"/>
  <c r="C3010" i="15" s="1"/>
  <c r="L148" i="15" s="1"/>
  <c r="C2990" i="15" a="1"/>
  <c r="C2990" i="15" s="1"/>
  <c r="L147" i="15" s="1"/>
  <c r="C2971" i="15" a="1"/>
  <c r="C2971" i="15" s="1"/>
  <c r="L146" i="15" s="1"/>
  <c r="C2949" i="15" a="1"/>
  <c r="C2949" i="15" s="1"/>
  <c r="L145" i="15" s="1"/>
  <c r="C2928" i="15" a="1"/>
  <c r="C2928" i="15" s="1"/>
  <c r="L144" i="15" s="1"/>
  <c r="C2906" i="15" a="1"/>
  <c r="C2906" i="15" s="1"/>
  <c r="L143" i="15" s="1"/>
  <c r="C2885" i="15" a="1"/>
  <c r="C2885" i="15" s="1"/>
  <c r="L142" i="15" s="1"/>
  <c r="C2863" i="15" a="1"/>
  <c r="C2863" i="15" s="1"/>
  <c r="L141" i="15" s="1"/>
  <c r="C2841" i="15" a="1"/>
  <c r="C2841" i="15" s="1"/>
  <c r="L140" i="15" s="1"/>
  <c r="C2823" i="15" a="1"/>
  <c r="C2823" i="15" s="1"/>
  <c r="L139" i="15" s="1"/>
  <c r="C2803" i="15" a="1"/>
  <c r="C2803" i="15" s="1"/>
  <c r="L138" i="15" s="1"/>
  <c r="C2780" i="15" a="1"/>
  <c r="C2780" i="15" s="1"/>
  <c r="L137" i="15" s="1"/>
  <c r="C2760" i="15" a="1"/>
  <c r="C2760" i="15" s="1"/>
  <c r="L136" i="15" s="1"/>
  <c r="C2740" i="15" a="1"/>
  <c r="C2740" i="15" s="1"/>
  <c r="L135" i="15" s="1"/>
  <c r="C2721" i="15" a="1"/>
  <c r="C2721" i="15" s="1"/>
  <c r="L134" i="15" s="1"/>
  <c r="C2700" i="15" a="1"/>
  <c r="C2700" i="15" s="1"/>
  <c r="L133" i="15" s="1"/>
  <c r="C2678" i="15" a="1"/>
  <c r="C2678" i="15" s="1"/>
  <c r="L132" i="15" s="1"/>
  <c r="C2656" i="15" a="1"/>
  <c r="C2656" i="15" s="1"/>
  <c r="L131" i="15" s="1"/>
  <c r="C2636" i="15" a="1"/>
  <c r="C2636" i="15" s="1"/>
  <c r="L130" i="15" s="1"/>
  <c r="C2613" i="15" a="1"/>
  <c r="C2613" i="15" s="1"/>
  <c r="L129" i="15" s="1"/>
  <c r="C2592" i="15" a="1"/>
  <c r="C2592" i="15" s="1"/>
  <c r="L128" i="15" s="1"/>
  <c r="C2574" i="15" a="1"/>
  <c r="C2574" i="15" s="1"/>
  <c r="L127" i="15" s="1"/>
  <c r="C2554" i="15" a="1"/>
  <c r="C2554" i="15" s="1"/>
  <c r="L126" i="15" s="1"/>
  <c r="C2532" i="15" a="1"/>
  <c r="C2532" i="15" s="1"/>
  <c r="C2512" i="15" a="1"/>
  <c r="C2512" i="15" s="1"/>
  <c r="L124" i="15" s="1"/>
  <c r="C2490" i="15" a="1"/>
  <c r="C2490" i="15" s="1"/>
  <c r="C2472" i="15" a="1"/>
  <c r="C2472" i="15" s="1"/>
  <c r="L122" i="15" s="1"/>
  <c r="C2451" i="15" a="1"/>
  <c r="C2451" i="15" s="1"/>
  <c r="L121" i="15" s="1"/>
  <c r="C2429" i="15" a="1"/>
  <c r="C2429" i="15" s="1"/>
  <c r="L120" i="15" s="1"/>
  <c r="C2408" i="15" a="1"/>
  <c r="C2408" i="15" s="1"/>
  <c r="L119" i="15" s="1"/>
  <c r="C2388" i="15" a="1"/>
  <c r="C2388" i="15" s="1"/>
  <c r="L118" i="15" s="1"/>
  <c r="C2365" i="15" a="1"/>
  <c r="C2365" i="15" s="1"/>
  <c r="L117" i="15" s="1"/>
  <c r="C2346" i="15" a="1"/>
  <c r="C2346" i="15" s="1"/>
  <c r="L116" i="15" s="1"/>
  <c r="C2326" i="15" a="1"/>
  <c r="C2326" i="15" s="1"/>
  <c r="C2306" i="15" a="1"/>
  <c r="C2306" i="15" s="1"/>
  <c r="L114" i="15" s="1"/>
  <c r="C2285" i="15" a="1"/>
  <c r="C2285" i="15" s="1"/>
  <c r="L113" i="15" s="1"/>
  <c r="C2265" i="15" a="1"/>
  <c r="C2265" i="15" s="1"/>
  <c r="L112" i="15" s="1"/>
  <c r="C2243" i="15" a="1"/>
  <c r="C2243" i="15" s="1"/>
  <c r="L111" i="15" s="1"/>
  <c r="C2226" i="15" a="1"/>
  <c r="C2226" i="15" s="1"/>
  <c r="L110" i="15" s="1"/>
  <c r="C2204" i="15" a="1"/>
  <c r="C2204" i="15" s="1"/>
  <c r="L109" i="15" s="1"/>
  <c r="C2182" i="15" a="1"/>
  <c r="C2182" i="15" s="1"/>
  <c r="L108" i="15" s="1"/>
  <c r="C2162" i="15" a="1"/>
  <c r="C2162" i="15" s="1"/>
  <c r="C2141" i="15" a="1"/>
  <c r="C2141" i="15" s="1"/>
  <c r="L106" i="15" s="1"/>
  <c r="C2119" i="15" a="1"/>
  <c r="C2119" i="15" s="1"/>
  <c r="L105" i="15" s="1"/>
  <c r="C2098" i="15" a="1"/>
  <c r="C2098" i="15" s="1"/>
  <c r="L104" i="15" s="1"/>
  <c r="C2079" i="15" a="1"/>
  <c r="C2079" i="15" s="1"/>
  <c r="L103" i="15" s="1"/>
  <c r="C2059" i="15" a="1"/>
  <c r="C2059" i="15" s="1"/>
  <c r="L102" i="15" s="1"/>
  <c r="C2038" i="15" a="1"/>
  <c r="C2038" i="15" s="1"/>
  <c r="L101" i="15" s="1"/>
  <c r="C2018" i="15" a="1"/>
  <c r="C2018" i="15" s="1"/>
  <c r="L100" i="15" s="1"/>
  <c r="C1996" i="15" a="1"/>
  <c r="C1996" i="15" s="1"/>
  <c r="C1977" i="15" a="1"/>
  <c r="C1977" i="15" s="1"/>
  <c r="L98" i="15" s="1"/>
  <c r="C1955" i="15" a="1"/>
  <c r="C1955" i="15" s="1"/>
  <c r="L97" i="15" s="1"/>
  <c r="C1935" i="15" a="1"/>
  <c r="C1935" i="15" s="1"/>
  <c r="L96" i="15" s="1"/>
  <c r="C1914" i="15" a="1"/>
  <c r="C1914" i="15" s="1"/>
  <c r="L95" i="15" s="1"/>
  <c r="C1893" i="15" a="1"/>
  <c r="C1893" i="15" s="1"/>
  <c r="L94" i="15" s="1"/>
  <c r="C1872" i="15" a="1"/>
  <c r="C1872" i="15" s="1"/>
  <c r="L93" i="15" s="1"/>
  <c r="C1851" i="15" a="1"/>
  <c r="C1851" i="15" s="1"/>
  <c r="C1830" i="15" a="1"/>
  <c r="C1830" i="15" s="1"/>
  <c r="C1812" i="15" a="1"/>
  <c r="C1812" i="15" s="1"/>
  <c r="L90" i="15" s="1"/>
  <c r="C1789" i="15" a="1"/>
  <c r="C1789" i="15" s="1"/>
  <c r="L89" i="15" s="1"/>
  <c r="C1769" i="15" a="1"/>
  <c r="C1769" i="15" s="1"/>
  <c r="L88" i="15" s="1"/>
  <c r="C1748" i="15" a="1"/>
  <c r="C1748" i="15" s="1"/>
  <c r="L87" i="15" s="1"/>
  <c r="C1728" i="15" a="1"/>
  <c r="C1728" i="15" s="1"/>
  <c r="L86" i="15" s="1"/>
  <c r="C1706" i="15" a="1"/>
  <c r="C1706" i="15" s="1"/>
  <c r="L85" i="15" s="1"/>
  <c r="C1686" i="15" a="1"/>
  <c r="C1686" i="15" s="1"/>
  <c r="C1664" i="15" a="1"/>
  <c r="C1664" i="15" s="1"/>
  <c r="C1643" i="15" a="1"/>
  <c r="C1643" i="15" s="1"/>
  <c r="L82" i="15" s="1"/>
  <c r="C1622" i="15" a="1"/>
  <c r="C1622" i="15" s="1"/>
  <c r="L81" i="15" s="1"/>
  <c r="C1600" i="15" a="1"/>
  <c r="C1600" i="15" s="1"/>
  <c r="L80" i="15" s="1"/>
  <c r="C1581" i="15" a="1"/>
  <c r="C1581" i="15" s="1"/>
  <c r="L79" i="15" s="1"/>
  <c r="C1560" i="15" a="1"/>
  <c r="C1560" i="15" s="1"/>
  <c r="L78" i="15" s="1"/>
  <c r="C1539" i="15" a="1"/>
  <c r="C1539" i="15" s="1"/>
  <c r="L77" i="15" s="1"/>
  <c r="C1518" i="15" a="1"/>
  <c r="C1518" i="15" s="1"/>
  <c r="C1498" i="15" a="1"/>
  <c r="C1498" i="15" s="1"/>
  <c r="C1479" i="15" a="1"/>
  <c r="C1479" i="15" s="1"/>
  <c r="L74" i="15" s="1"/>
  <c r="C1458" i="15" a="1"/>
  <c r="C1458" i="15" s="1"/>
  <c r="L73" i="15" s="1"/>
  <c r="C1436" i="15" a="1"/>
  <c r="C1436" i="15" s="1"/>
  <c r="L72" i="15" s="1"/>
  <c r="C1414" i="15" a="1"/>
  <c r="C1414" i="15" s="1"/>
  <c r="L71" i="15" s="1"/>
  <c r="C1394" i="15" a="1"/>
  <c r="C1394" i="15" s="1"/>
  <c r="L70" i="15" s="1"/>
  <c r="C1371" i="15" a="1"/>
  <c r="C1371" i="15" s="1"/>
  <c r="L69" i="15" s="1"/>
  <c r="C1349" i="15" a="1"/>
  <c r="C1349" i="15" s="1"/>
  <c r="C1331" i="15" a="1"/>
  <c r="C1331" i="15" s="1"/>
  <c r="C1311" i="15" a="1"/>
  <c r="C1311" i="15" s="1"/>
  <c r="L66" i="15" s="1"/>
  <c r="C1289" i="15" a="1"/>
  <c r="C1289" i="15" s="1"/>
  <c r="L65" i="15" s="1"/>
  <c r="C1269" i="15" a="1"/>
  <c r="C1269" i="15" s="1"/>
  <c r="L64" i="15" s="1"/>
  <c r="C1248" i="15" a="1"/>
  <c r="C1248" i="15" s="1"/>
  <c r="L63" i="15" s="1"/>
  <c r="C1229" i="15" a="1"/>
  <c r="C1229" i="15" s="1"/>
  <c r="L62" i="15" s="1"/>
  <c r="C1209" i="15" a="1"/>
  <c r="C1209" i="15" s="1"/>
  <c r="C1187" i="15" a="1"/>
  <c r="C1187" i="15" s="1"/>
  <c r="C1165" i="15" a="1"/>
  <c r="C1165" i="15" s="1"/>
  <c r="C1146" i="15" a="1"/>
  <c r="C1146" i="15" s="1"/>
  <c r="L58" i="15" s="1"/>
  <c r="C1123" i="15" a="1"/>
  <c r="C1123" i="15" s="1"/>
  <c r="L57" i="15" s="1"/>
  <c r="C1102" i="15" a="1"/>
  <c r="C1102" i="15" s="1"/>
  <c r="L56" i="15" s="1"/>
  <c r="C1083" i="15" a="1"/>
  <c r="C1083" i="15" s="1"/>
  <c r="L55" i="15" s="1"/>
  <c r="C1063" i="15" a="1"/>
  <c r="C1063" i="15" s="1"/>
  <c r="L54" i="15" s="1"/>
  <c r="C1042" i="15" a="1"/>
  <c r="C1042" i="15" s="1"/>
  <c r="C1022" i="15" a="1"/>
  <c r="C1022" i="15" s="1"/>
  <c r="C1000" i="15" a="1"/>
  <c r="C1000" i="15" s="1"/>
  <c r="C982" i="15" a="1"/>
  <c r="C982" i="15" s="1"/>
  <c r="L50" i="15" s="1"/>
  <c r="C961" i="15" a="1"/>
  <c r="C961" i="15" s="1"/>
  <c r="L49" i="15" s="1"/>
  <c r="C938" i="15" a="1"/>
  <c r="C938" i="15" s="1"/>
  <c r="L48" i="15" s="1"/>
  <c r="C917" i="15" a="1"/>
  <c r="C917" i="15" s="1"/>
  <c r="L47" i="15" s="1"/>
  <c r="C897" i="15" a="1"/>
  <c r="C897" i="15" s="1"/>
  <c r="L46" i="15" s="1"/>
  <c r="C874" i="15" a="1"/>
  <c r="C874" i="15" s="1"/>
  <c r="C854" i="15" a="1"/>
  <c r="C854" i="15" s="1"/>
  <c r="C834" i="15" a="1"/>
  <c r="C834" i="15" s="1"/>
  <c r="L43" i="15" s="1"/>
  <c r="C813" i="15" a="1"/>
  <c r="C813" i="15" s="1"/>
  <c r="L42" i="15" s="1"/>
  <c r="C793" i="15" a="1"/>
  <c r="C793" i="15" s="1"/>
  <c r="L41" i="15" s="1"/>
  <c r="C773" i="15" a="1"/>
  <c r="C773" i="15" s="1"/>
  <c r="L40" i="15" s="1"/>
  <c r="C751" i="15" a="1"/>
  <c r="C751" i="15" s="1"/>
  <c r="L39" i="15" s="1"/>
  <c r="C734" i="15" a="1"/>
  <c r="C734" i="15" s="1"/>
  <c r="C712" i="15" a="1"/>
  <c r="C712" i="15" s="1"/>
  <c r="C689" i="15" a="1"/>
  <c r="C689" i="15" s="1"/>
  <c r="C669" i="15" a="1"/>
  <c r="C669" i="15" s="1"/>
  <c r="C648" i="15" a="1"/>
  <c r="C648" i="15" s="1"/>
  <c r="L34" i="15" s="1"/>
  <c r="C626" i="15" a="1"/>
  <c r="C626" i="15" s="1"/>
  <c r="L33" i="15" s="1"/>
  <c r="C607" i="15" a="1"/>
  <c r="C607" i="15" s="1"/>
  <c r="L32" i="15" s="1"/>
  <c r="C586" i="15"/>
  <c r="L31" i="15" s="1"/>
  <c r="C586" i="15" a="1"/>
  <c r="C567" i="15" a="1"/>
  <c r="C567" i="15" s="1"/>
  <c r="C545" i="15" a="1"/>
  <c r="C545" i="15" s="1"/>
  <c r="C524" i="15" a="1"/>
  <c r="C524" i="15" s="1"/>
  <c r="C503" i="15" a="1"/>
  <c r="C503" i="15" s="1"/>
  <c r="C483" i="15" a="1"/>
  <c r="C483" i="15" s="1"/>
  <c r="L26" i="15" s="1"/>
  <c r="C461" i="15" a="1"/>
  <c r="C461" i="15" s="1"/>
  <c r="L25" i="15" s="1"/>
  <c r="C440" i="15" a="1"/>
  <c r="C440" i="15" s="1"/>
  <c r="L24" i="15" s="1"/>
  <c r="C418" i="15" a="1"/>
  <c r="C418" i="15" s="1"/>
  <c r="C397" i="15" a="1"/>
  <c r="C397" i="15" s="1"/>
  <c r="C376" i="15" a="1"/>
  <c r="C376" i="15" s="1"/>
  <c r="C354" i="15" a="1"/>
  <c r="C354" i="15" s="1"/>
  <c r="C334" i="15" a="1"/>
  <c r="C334" i="15" s="1"/>
  <c r="C316" i="15" a="1"/>
  <c r="C316" i="15" s="1"/>
  <c r="L18" i="15" s="1"/>
  <c r="C293" i="15" a="1"/>
  <c r="C293" i="15" s="1"/>
  <c r="L17" i="15" s="1"/>
  <c r="C273" i="15" a="1"/>
  <c r="C273" i="15" s="1"/>
  <c r="L16" i="15" s="1"/>
  <c r="C253" i="15" a="1"/>
  <c r="C253" i="15" s="1"/>
  <c r="C234" i="15" a="1"/>
  <c r="C234" i="15" s="1"/>
  <c r="C212" i="15" a="1"/>
  <c r="C212" i="15" s="1"/>
  <c r="C191" i="15" a="1"/>
  <c r="C191" i="15" s="1"/>
  <c r="C169" i="15" a="1"/>
  <c r="C169" i="15" s="1"/>
  <c r="C148" i="15" a="1"/>
  <c r="C148" i="15" s="1"/>
  <c r="L10" i="15" s="1"/>
  <c r="C126" i="15" a="1"/>
  <c r="C126" i="15" s="1"/>
  <c r="L9" i="15" s="1"/>
  <c r="C104" i="15" a="1"/>
  <c r="C104" i="15" s="1"/>
  <c r="L8" i="15" s="1"/>
  <c r="C85" i="15" a="1"/>
  <c r="C85" i="15" s="1"/>
  <c r="C65" i="15" a="1"/>
  <c r="C65" i="15" s="1"/>
  <c r="C42" i="15" a="1"/>
  <c r="C42" i="15" s="1"/>
  <c r="C22" i="15" a="1"/>
  <c r="C22" i="15" s="1"/>
  <c r="C2" i="15" a="1"/>
  <c r="C2" i="15" s="1"/>
  <c r="L179" i="14"/>
  <c r="L171" i="14"/>
  <c r="L163" i="14"/>
  <c r="L155" i="14"/>
  <c r="L147" i="14"/>
  <c r="L139" i="14"/>
  <c r="L131" i="14"/>
  <c r="L125" i="14"/>
  <c r="L123" i="14"/>
  <c r="L115" i="14"/>
  <c r="L107" i="14"/>
  <c r="L99" i="14"/>
  <c r="L91" i="14"/>
  <c r="L83" i="14"/>
  <c r="L75" i="14"/>
  <c r="L67" i="14"/>
  <c r="L59" i="14"/>
  <c r="L51" i="14"/>
  <c r="L43" i="14"/>
  <c r="L35" i="14"/>
  <c r="L27" i="14"/>
  <c r="L19" i="14"/>
  <c r="L11" i="14"/>
  <c r="L3" i="14"/>
  <c r="F11" i="14"/>
  <c r="C3802" i="14" a="1"/>
  <c r="C3802" i="14" s="1"/>
  <c r="L186" i="14" s="1"/>
  <c r="C3781" i="14" a="1"/>
  <c r="C3781" i="14" s="1"/>
  <c r="L185" i="14" s="1"/>
  <c r="C3761" i="14" a="1"/>
  <c r="C3761" i="14" s="1"/>
  <c r="L184" i="14" s="1"/>
  <c r="C3739" i="14" a="1"/>
  <c r="C3739" i="14" s="1"/>
  <c r="L183" i="14" s="1"/>
  <c r="C3721" i="14" a="1"/>
  <c r="C3721" i="14" s="1"/>
  <c r="L182" i="14" s="1"/>
  <c r="C3700" i="14" a="1"/>
  <c r="C3700" i="14" s="1"/>
  <c r="L181" i="14" s="1"/>
  <c r="C3677" i="14" a="1"/>
  <c r="C3677" i="14" s="1"/>
  <c r="L180" i="14" s="1"/>
  <c r="C3656" i="14" a="1"/>
  <c r="C3656" i="14" s="1"/>
  <c r="C3636" i="14" a="1"/>
  <c r="C3636" i="14" s="1"/>
  <c r="L178" i="14" s="1"/>
  <c r="C3613" i="14" a="1"/>
  <c r="C3613" i="14" s="1"/>
  <c r="L177" i="14" s="1"/>
  <c r="C3593" i="14" a="1"/>
  <c r="C3593" i="14" s="1"/>
  <c r="L176" i="14" s="1"/>
  <c r="C3573" i="14" a="1"/>
  <c r="C3573" i="14" s="1"/>
  <c r="L175" i="14" s="1"/>
  <c r="C3552" i="14" a="1"/>
  <c r="C3552" i="14" s="1"/>
  <c r="L174" i="14" s="1"/>
  <c r="C3532" i="14" a="1"/>
  <c r="C3532" i="14" s="1"/>
  <c r="L173" i="14" s="1"/>
  <c r="C3511" i="14" a="1"/>
  <c r="C3511" i="14" s="1"/>
  <c r="L172" i="14" s="1"/>
  <c r="C3489" i="14" a="1"/>
  <c r="C3489" i="14" s="1"/>
  <c r="C3470" i="14" a="1"/>
  <c r="C3470" i="14" s="1"/>
  <c r="L170" i="14" s="1"/>
  <c r="C3448" i="14" a="1"/>
  <c r="C3448" i="14" s="1"/>
  <c r="L169" i="14" s="1"/>
  <c r="C3426" i="14" a="1"/>
  <c r="C3426" i="14" s="1"/>
  <c r="L168" i="14" s="1"/>
  <c r="C3405" i="14" a="1"/>
  <c r="C3405" i="14" s="1"/>
  <c r="L167" i="14" s="1"/>
  <c r="C3384" i="14" a="1"/>
  <c r="C3384" i="14" s="1"/>
  <c r="L166" i="14" s="1"/>
  <c r="C3363" i="14" a="1"/>
  <c r="C3363" i="14" s="1"/>
  <c r="L165" i="14" s="1"/>
  <c r="C3341" i="14" a="1"/>
  <c r="C3341" i="14" s="1"/>
  <c r="L164" i="14" s="1"/>
  <c r="C3321" i="14" a="1"/>
  <c r="C3321" i="14" s="1"/>
  <c r="C3303" i="14" a="1"/>
  <c r="C3303" i="14" s="1"/>
  <c r="L162" i="14" s="1"/>
  <c r="C3280" i="14" a="1"/>
  <c r="C3280" i="14" s="1"/>
  <c r="L161" i="14" s="1"/>
  <c r="C3260" i="14" a="1"/>
  <c r="C3260" i="14" s="1"/>
  <c r="L160" i="14" s="1"/>
  <c r="C3239" i="14" a="1"/>
  <c r="C3239" i="14" s="1"/>
  <c r="L159" i="14" s="1"/>
  <c r="C3219" i="14" a="1"/>
  <c r="C3219" i="14" s="1"/>
  <c r="L158" i="14" s="1"/>
  <c r="C3197" i="14" a="1"/>
  <c r="C3197" i="14" s="1"/>
  <c r="L157" i="14" s="1"/>
  <c r="C3176" i="14" a="1"/>
  <c r="C3176" i="14" s="1"/>
  <c r="L156" i="14" s="1"/>
  <c r="C3155" i="14" a="1"/>
  <c r="C3155" i="14" s="1"/>
  <c r="C3134" i="14" a="1"/>
  <c r="C3134" i="14" s="1"/>
  <c r="L154" i="14" s="1"/>
  <c r="C3113" i="14" a="1"/>
  <c r="C3113" i="14" s="1"/>
  <c r="L153" i="14" s="1"/>
  <c r="C3093" i="14" a="1"/>
  <c r="C3093" i="14" s="1"/>
  <c r="L152" i="14" s="1"/>
  <c r="C3072" i="14" a="1"/>
  <c r="C3072" i="14" s="1"/>
  <c r="L151" i="14" s="1"/>
  <c r="C3053" i="14" a="1"/>
  <c r="C3053" i="14" s="1"/>
  <c r="L150" i="14" s="1"/>
  <c r="C3030" i="14" a="1"/>
  <c r="C3030" i="14" s="1"/>
  <c r="L149" i="14" s="1"/>
  <c r="C3010" i="14" a="1"/>
  <c r="C3010" i="14" s="1"/>
  <c r="L148" i="14" s="1"/>
  <c r="C2990" i="14" a="1"/>
  <c r="C2990" i="14" s="1"/>
  <c r="C2971" i="14" a="1"/>
  <c r="C2971" i="14" s="1"/>
  <c r="L146" i="14" s="1"/>
  <c r="C2949" i="14" a="1"/>
  <c r="C2949" i="14" s="1"/>
  <c r="L145" i="14" s="1"/>
  <c r="C2928" i="14" a="1"/>
  <c r="C2928" i="14" s="1"/>
  <c r="L144" i="14" s="1"/>
  <c r="C2906" i="14" a="1"/>
  <c r="C2906" i="14" s="1"/>
  <c r="L143" i="14" s="1"/>
  <c r="C2885" i="14" a="1"/>
  <c r="C2885" i="14" s="1"/>
  <c r="L142" i="14" s="1"/>
  <c r="C2863" i="14" a="1"/>
  <c r="C2863" i="14" s="1"/>
  <c r="L141" i="14" s="1"/>
  <c r="C2841" i="14" a="1"/>
  <c r="C2841" i="14" s="1"/>
  <c r="L140" i="14" s="1"/>
  <c r="C2823" i="14" a="1"/>
  <c r="C2823" i="14" s="1"/>
  <c r="C2803" i="14" a="1"/>
  <c r="C2803" i="14" s="1"/>
  <c r="L138" i="14" s="1"/>
  <c r="C2780" i="14" a="1"/>
  <c r="C2780" i="14" s="1"/>
  <c r="L137" i="14" s="1"/>
  <c r="C2760" i="14" a="1"/>
  <c r="C2760" i="14" s="1"/>
  <c r="L136" i="14" s="1"/>
  <c r="C2740" i="14" a="1"/>
  <c r="C2740" i="14" s="1"/>
  <c r="L135" i="14" s="1"/>
  <c r="C2721" i="14" a="1"/>
  <c r="C2721" i="14" s="1"/>
  <c r="L134" i="14" s="1"/>
  <c r="C2700" i="14" a="1"/>
  <c r="C2700" i="14" s="1"/>
  <c r="L133" i="14" s="1"/>
  <c r="C2678" i="14" a="1"/>
  <c r="C2678" i="14" s="1"/>
  <c r="L132" i="14" s="1"/>
  <c r="C2656" i="14" a="1"/>
  <c r="C2656" i="14" s="1"/>
  <c r="C2636" i="14" a="1"/>
  <c r="C2636" i="14" s="1"/>
  <c r="L130" i="14" s="1"/>
  <c r="C2613" i="14" a="1"/>
  <c r="C2613" i="14" s="1"/>
  <c r="L129" i="14" s="1"/>
  <c r="C2592" i="14" a="1"/>
  <c r="C2592" i="14" s="1"/>
  <c r="L128" i="14" s="1"/>
  <c r="C2574" i="14" a="1"/>
  <c r="C2574" i="14" s="1"/>
  <c r="L127" i="14" s="1"/>
  <c r="C2554" i="14" a="1"/>
  <c r="C2554" i="14" s="1"/>
  <c r="L126" i="14" s="1"/>
  <c r="C2532" i="14" a="1"/>
  <c r="C2532" i="14" s="1"/>
  <c r="C2512" i="14" a="1"/>
  <c r="C2512" i="14" s="1"/>
  <c r="L124" i="14" s="1"/>
  <c r="C2490" i="14" a="1"/>
  <c r="C2490" i="14" s="1"/>
  <c r="C2472" i="14" a="1"/>
  <c r="C2472" i="14" s="1"/>
  <c r="L122" i="14" s="1"/>
  <c r="C2451" i="14" a="1"/>
  <c r="C2451" i="14" s="1"/>
  <c r="L121" i="14" s="1"/>
  <c r="C2429" i="14" a="1"/>
  <c r="C2429" i="14" s="1"/>
  <c r="L120" i="14" s="1"/>
  <c r="C2408" i="14" a="1"/>
  <c r="C2408" i="14" s="1"/>
  <c r="L119" i="14" s="1"/>
  <c r="C2388" i="14" a="1"/>
  <c r="C2388" i="14" s="1"/>
  <c r="L118" i="14" s="1"/>
  <c r="C2365" i="14" a="1"/>
  <c r="C2365" i="14" s="1"/>
  <c r="L117" i="14" s="1"/>
  <c r="C2346" i="14" a="1"/>
  <c r="C2346" i="14" s="1"/>
  <c r="L116" i="14" s="1"/>
  <c r="C2326" i="14" a="1"/>
  <c r="C2326" i="14" s="1"/>
  <c r="C2306" i="14" a="1"/>
  <c r="C2306" i="14" s="1"/>
  <c r="L114" i="14" s="1"/>
  <c r="C2285" i="14" a="1"/>
  <c r="C2285" i="14" s="1"/>
  <c r="L113" i="14" s="1"/>
  <c r="C2265" i="14" a="1"/>
  <c r="C2265" i="14" s="1"/>
  <c r="L112" i="14" s="1"/>
  <c r="C2243" i="14" a="1"/>
  <c r="C2243" i="14" s="1"/>
  <c r="L111" i="14" s="1"/>
  <c r="C2226" i="14" a="1"/>
  <c r="C2226" i="14" s="1"/>
  <c r="L110" i="14" s="1"/>
  <c r="C2204" i="14" a="1"/>
  <c r="C2204" i="14" s="1"/>
  <c r="L109" i="14" s="1"/>
  <c r="C2182" i="14" a="1"/>
  <c r="C2182" i="14" s="1"/>
  <c r="L108" i="14" s="1"/>
  <c r="C2162" i="14" a="1"/>
  <c r="C2162" i="14" s="1"/>
  <c r="C2141" i="14" a="1"/>
  <c r="C2141" i="14" s="1"/>
  <c r="L106" i="14" s="1"/>
  <c r="C2119" i="14" a="1"/>
  <c r="C2119" i="14" s="1"/>
  <c r="L105" i="14" s="1"/>
  <c r="C2098" i="14" a="1"/>
  <c r="C2098" i="14" s="1"/>
  <c r="L104" i="14" s="1"/>
  <c r="C2079" i="14" a="1"/>
  <c r="C2079" i="14" s="1"/>
  <c r="L103" i="14" s="1"/>
  <c r="C2059" i="14" a="1"/>
  <c r="C2059" i="14" s="1"/>
  <c r="L102" i="14" s="1"/>
  <c r="C2038" i="14" a="1"/>
  <c r="C2038" i="14" s="1"/>
  <c r="L101" i="14" s="1"/>
  <c r="C2018" i="14" a="1"/>
  <c r="C2018" i="14" s="1"/>
  <c r="L100" i="14" s="1"/>
  <c r="C1996" i="14" a="1"/>
  <c r="C1996" i="14" s="1"/>
  <c r="C1977" i="14" a="1"/>
  <c r="C1977" i="14" s="1"/>
  <c r="L98" i="14" s="1"/>
  <c r="C1955" i="14" a="1"/>
  <c r="C1955" i="14" s="1"/>
  <c r="L97" i="14" s="1"/>
  <c r="C1935" i="14" a="1"/>
  <c r="C1935" i="14" s="1"/>
  <c r="L96" i="14" s="1"/>
  <c r="C1914" i="14" a="1"/>
  <c r="C1914" i="14" s="1"/>
  <c r="L95" i="14" s="1"/>
  <c r="C1893" i="14" a="1"/>
  <c r="C1893" i="14" s="1"/>
  <c r="L94" i="14" s="1"/>
  <c r="C1872" i="14" a="1"/>
  <c r="C1872" i="14" s="1"/>
  <c r="L93" i="14" s="1"/>
  <c r="C1851" i="14" a="1"/>
  <c r="C1851" i="14" s="1"/>
  <c r="L92" i="14" s="1"/>
  <c r="C1830" i="14" a="1"/>
  <c r="C1830" i="14" s="1"/>
  <c r="C1812" i="14" a="1"/>
  <c r="C1812" i="14" s="1"/>
  <c r="L90" i="14" s="1"/>
  <c r="C1789" i="14" a="1"/>
  <c r="C1789" i="14" s="1"/>
  <c r="L89" i="14" s="1"/>
  <c r="C1769" i="14" a="1"/>
  <c r="C1769" i="14" s="1"/>
  <c r="L88" i="14" s="1"/>
  <c r="C1748" i="14" a="1"/>
  <c r="C1748" i="14" s="1"/>
  <c r="L87" i="14" s="1"/>
  <c r="C1728" i="14" a="1"/>
  <c r="C1728" i="14" s="1"/>
  <c r="L86" i="14" s="1"/>
  <c r="C1706" i="14" a="1"/>
  <c r="C1706" i="14" s="1"/>
  <c r="L85" i="14" s="1"/>
  <c r="C1686" i="14" a="1"/>
  <c r="C1686" i="14" s="1"/>
  <c r="L84" i="14" s="1"/>
  <c r="C1664" i="14" a="1"/>
  <c r="C1664" i="14" s="1"/>
  <c r="C1643" i="14" a="1"/>
  <c r="C1643" i="14" s="1"/>
  <c r="L82" i="14" s="1"/>
  <c r="C1622" i="14" a="1"/>
  <c r="C1622" i="14" s="1"/>
  <c r="L81" i="14" s="1"/>
  <c r="C1600" i="14" a="1"/>
  <c r="C1600" i="14" s="1"/>
  <c r="L80" i="14" s="1"/>
  <c r="C1581" i="14" a="1"/>
  <c r="C1581" i="14" s="1"/>
  <c r="L79" i="14" s="1"/>
  <c r="C1560" i="14" a="1"/>
  <c r="C1560" i="14" s="1"/>
  <c r="L78" i="14" s="1"/>
  <c r="C1539" i="14" a="1"/>
  <c r="C1539" i="14" s="1"/>
  <c r="L77" i="14" s="1"/>
  <c r="C1518" i="14" a="1"/>
  <c r="C1518" i="14" s="1"/>
  <c r="L76" i="14" s="1"/>
  <c r="C1498" i="14" a="1"/>
  <c r="C1498" i="14" s="1"/>
  <c r="C1479" i="14" a="1"/>
  <c r="C1479" i="14" s="1"/>
  <c r="L74" i="14" s="1"/>
  <c r="C1458" i="14" a="1"/>
  <c r="C1458" i="14" s="1"/>
  <c r="L73" i="14" s="1"/>
  <c r="C1436" i="14" a="1"/>
  <c r="C1436" i="14" s="1"/>
  <c r="L72" i="14" s="1"/>
  <c r="C1414" i="14" a="1"/>
  <c r="C1414" i="14" s="1"/>
  <c r="L71" i="14" s="1"/>
  <c r="C1394" i="14" a="1"/>
  <c r="C1394" i="14" s="1"/>
  <c r="L70" i="14" s="1"/>
  <c r="C1371" i="14" a="1"/>
  <c r="C1371" i="14" s="1"/>
  <c r="L69" i="14" s="1"/>
  <c r="C1349" i="14" a="1"/>
  <c r="C1349" i="14" s="1"/>
  <c r="L68" i="14" s="1"/>
  <c r="C1331" i="14" a="1"/>
  <c r="C1331" i="14" s="1"/>
  <c r="C1311" i="14" a="1"/>
  <c r="C1311" i="14" s="1"/>
  <c r="L66" i="14" s="1"/>
  <c r="C1289" i="14" a="1"/>
  <c r="C1289" i="14" s="1"/>
  <c r="L65" i="14" s="1"/>
  <c r="C1269" i="14" a="1"/>
  <c r="C1269" i="14" s="1"/>
  <c r="L64" i="14" s="1"/>
  <c r="C1248" i="14" a="1"/>
  <c r="C1248" i="14" s="1"/>
  <c r="L63" i="14" s="1"/>
  <c r="C1229" i="14" a="1"/>
  <c r="C1229" i="14" s="1"/>
  <c r="L62" i="14" s="1"/>
  <c r="C1209" i="14" a="1"/>
  <c r="C1209" i="14" s="1"/>
  <c r="L61" i="14" s="1"/>
  <c r="C1187" i="14" a="1"/>
  <c r="C1187" i="14" s="1"/>
  <c r="L60" i="14" s="1"/>
  <c r="C1165" i="14" a="1"/>
  <c r="C1165" i="14" s="1"/>
  <c r="C1146" i="14" a="1"/>
  <c r="C1146" i="14" s="1"/>
  <c r="L58" i="14" s="1"/>
  <c r="C1123" i="14" a="1"/>
  <c r="C1123" i="14" s="1"/>
  <c r="L57" i="14" s="1"/>
  <c r="C1102" i="14" a="1"/>
  <c r="C1102" i="14" s="1"/>
  <c r="L56" i="14" s="1"/>
  <c r="C1083" i="14" a="1"/>
  <c r="C1083" i="14" s="1"/>
  <c r="L55" i="14" s="1"/>
  <c r="C1063" i="14" a="1"/>
  <c r="C1063" i="14" s="1"/>
  <c r="L54" i="14" s="1"/>
  <c r="C1042" i="14" a="1"/>
  <c r="C1042" i="14" s="1"/>
  <c r="L53" i="14" s="1"/>
  <c r="C1022" i="14" a="1"/>
  <c r="C1022" i="14" s="1"/>
  <c r="L52" i="14" s="1"/>
  <c r="C1000" i="14" a="1"/>
  <c r="C1000" i="14" s="1"/>
  <c r="C982" i="14" a="1"/>
  <c r="C982" i="14" s="1"/>
  <c r="L50" i="14" s="1"/>
  <c r="C961" i="14" a="1"/>
  <c r="C961" i="14" s="1"/>
  <c r="L49" i="14" s="1"/>
  <c r="C938" i="14" a="1"/>
  <c r="C938" i="14" s="1"/>
  <c r="L48" i="14" s="1"/>
  <c r="C917" i="14" a="1"/>
  <c r="C917" i="14" s="1"/>
  <c r="L47" i="14" s="1"/>
  <c r="C897" i="14" a="1"/>
  <c r="C897" i="14" s="1"/>
  <c r="L46" i="14" s="1"/>
  <c r="C874" i="14" a="1"/>
  <c r="C874" i="14" s="1"/>
  <c r="L45" i="14" s="1"/>
  <c r="C854" i="14" a="1"/>
  <c r="C854" i="14" s="1"/>
  <c r="L44" i="14" s="1"/>
  <c r="C834" i="14" a="1"/>
  <c r="C834" i="14" s="1"/>
  <c r="C813" i="14" a="1"/>
  <c r="C813" i="14" s="1"/>
  <c r="L42" i="14" s="1"/>
  <c r="C793" i="14" a="1"/>
  <c r="C793" i="14" s="1"/>
  <c r="L41" i="14" s="1"/>
  <c r="C773" i="14" a="1"/>
  <c r="C773" i="14" s="1"/>
  <c r="L40" i="14" s="1"/>
  <c r="C751" i="14" a="1"/>
  <c r="C751" i="14" s="1"/>
  <c r="L39" i="14" s="1"/>
  <c r="C734" i="14" a="1"/>
  <c r="C734" i="14" s="1"/>
  <c r="L38" i="14" s="1"/>
  <c r="C712" i="14" a="1"/>
  <c r="C712" i="14" s="1"/>
  <c r="L37" i="14" s="1"/>
  <c r="C689" i="14" a="1"/>
  <c r="C689" i="14" s="1"/>
  <c r="L36" i="14" s="1"/>
  <c r="C669" i="14" a="1"/>
  <c r="C669" i="14" s="1"/>
  <c r="C648" i="14" a="1"/>
  <c r="C648" i="14" s="1"/>
  <c r="L34" i="14" s="1"/>
  <c r="C626" i="14" a="1"/>
  <c r="C626" i="14" s="1"/>
  <c r="L33" i="14" s="1"/>
  <c r="C607" i="14" a="1"/>
  <c r="C607" i="14" s="1"/>
  <c r="L32" i="14" s="1"/>
  <c r="C586" i="14" a="1"/>
  <c r="C586" i="14" s="1"/>
  <c r="L31" i="14" s="1"/>
  <c r="C567" i="14" a="1"/>
  <c r="C567" i="14" s="1"/>
  <c r="L30" i="14" s="1"/>
  <c r="C545" i="14" a="1"/>
  <c r="C545" i="14" s="1"/>
  <c r="L29" i="14" s="1"/>
  <c r="C524" i="14" a="1"/>
  <c r="C524" i="14" s="1"/>
  <c r="L28" i="14" s="1"/>
  <c r="C503" i="14" a="1"/>
  <c r="C503" i="14" s="1"/>
  <c r="C483" i="14" a="1"/>
  <c r="C483" i="14" s="1"/>
  <c r="L26" i="14" s="1"/>
  <c r="C461" i="14" a="1"/>
  <c r="C461" i="14" s="1"/>
  <c r="L25" i="14" s="1"/>
  <c r="C440" i="14" a="1"/>
  <c r="C440" i="14" s="1"/>
  <c r="L24" i="14" s="1"/>
  <c r="C418" i="14" a="1"/>
  <c r="C418" i="14" s="1"/>
  <c r="L23" i="14" s="1"/>
  <c r="C397" i="14" a="1"/>
  <c r="C397" i="14" s="1"/>
  <c r="L22" i="14" s="1"/>
  <c r="C376" i="14" a="1"/>
  <c r="C376" i="14" s="1"/>
  <c r="L21" i="14" s="1"/>
  <c r="C354" i="14" a="1"/>
  <c r="C354" i="14" s="1"/>
  <c r="L20" i="14" s="1"/>
  <c r="C334" i="14" a="1"/>
  <c r="C334" i="14" s="1"/>
  <c r="C316" i="14" a="1"/>
  <c r="C316" i="14" s="1"/>
  <c r="L18" i="14" s="1"/>
  <c r="C293" i="14" a="1"/>
  <c r="C293" i="14" s="1"/>
  <c r="L17" i="14" s="1"/>
  <c r="C273" i="14" a="1"/>
  <c r="C273" i="14" s="1"/>
  <c r="L16" i="14" s="1"/>
  <c r="C253" i="14" a="1"/>
  <c r="C253" i="14" s="1"/>
  <c r="L15" i="14" s="1"/>
  <c r="C234" i="14" a="1"/>
  <c r="C234" i="14" s="1"/>
  <c r="L14" i="14" s="1"/>
  <c r="C212" i="14" a="1"/>
  <c r="C212" i="14" s="1"/>
  <c r="L13" i="14" s="1"/>
  <c r="C191" i="14" a="1"/>
  <c r="C191" i="14" s="1"/>
  <c r="L12" i="14" s="1"/>
  <c r="C169" i="14" a="1"/>
  <c r="C169" i="14" s="1"/>
  <c r="C148" i="14" a="1"/>
  <c r="C148" i="14" s="1"/>
  <c r="L10" i="14" s="1"/>
  <c r="C126" i="14" a="1"/>
  <c r="C126" i="14" s="1"/>
  <c r="L9" i="14" s="1"/>
  <c r="C104" i="14" a="1"/>
  <c r="C104" i="14" s="1"/>
  <c r="L8" i="14" s="1"/>
  <c r="C85" i="14" a="1"/>
  <c r="C85" i="14" s="1"/>
  <c r="L7" i="14" s="1"/>
  <c r="C65" i="14" a="1"/>
  <c r="C65" i="14" s="1"/>
  <c r="L6" i="14" s="1"/>
  <c r="C42" i="14" a="1"/>
  <c r="C42" i="14" s="1"/>
  <c r="L5" i="14" s="1"/>
  <c r="C22" i="14" a="1"/>
  <c r="C22" i="14" s="1"/>
  <c r="L4" i="14" s="1"/>
  <c r="C2" i="14" a="1"/>
  <c r="C2" i="14" s="1"/>
  <c r="O3" i="12"/>
  <c r="L179" i="12"/>
  <c r="L172" i="12"/>
  <c r="L171" i="12"/>
  <c r="L164" i="12"/>
  <c r="L163" i="12"/>
  <c r="L156" i="12"/>
  <c r="L149" i="12"/>
  <c r="L148" i="12"/>
  <c r="L147" i="12"/>
  <c r="L141" i="12"/>
  <c r="L140" i="12"/>
  <c r="L139" i="12"/>
  <c r="L133" i="12"/>
  <c r="L132" i="12"/>
  <c r="L131" i="12"/>
  <c r="L124" i="12"/>
  <c r="L118" i="12"/>
  <c r="L117" i="12"/>
  <c r="L116" i="12"/>
  <c r="L115" i="12"/>
  <c r="L110" i="12"/>
  <c r="L109" i="12"/>
  <c r="L108" i="12"/>
  <c r="L107" i="12"/>
  <c r="L102" i="12"/>
  <c r="L101" i="12"/>
  <c r="L100" i="12"/>
  <c r="L99" i="12"/>
  <c r="L94" i="12"/>
  <c r="L93" i="12"/>
  <c r="L92" i="12"/>
  <c r="L87" i="12"/>
  <c r="L86" i="12"/>
  <c r="L85" i="12"/>
  <c r="L84" i="12"/>
  <c r="L83" i="12"/>
  <c r="L79" i="12"/>
  <c r="L78" i="12"/>
  <c r="L77" i="12"/>
  <c r="L76" i="12"/>
  <c r="L75" i="12"/>
  <c r="L71" i="12"/>
  <c r="L70" i="12"/>
  <c r="L69" i="12"/>
  <c r="L68" i="12"/>
  <c r="L67" i="12"/>
  <c r="L63" i="12"/>
  <c r="L62" i="12"/>
  <c r="L61" i="12"/>
  <c r="L60" i="12"/>
  <c r="L55" i="12"/>
  <c r="L54" i="12"/>
  <c r="L53" i="12"/>
  <c r="L52" i="12"/>
  <c r="L51" i="12"/>
  <c r="L47" i="12"/>
  <c r="L46" i="12"/>
  <c r="L45" i="12"/>
  <c r="L44" i="12"/>
  <c r="L43" i="12"/>
  <c r="L39" i="12"/>
  <c r="L38" i="12"/>
  <c r="L37" i="12"/>
  <c r="L36" i="12"/>
  <c r="L35" i="12"/>
  <c r="L31" i="12"/>
  <c r="L30" i="12"/>
  <c r="L28" i="12"/>
  <c r="L27" i="12"/>
  <c r="L23" i="12"/>
  <c r="L22" i="12"/>
  <c r="L21" i="12"/>
  <c r="L20" i="12"/>
  <c r="L19" i="12"/>
  <c r="L15" i="12"/>
  <c r="L14" i="12"/>
  <c r="L13" i="12"/>
  <c r="L12" i="12"/>
  <c r="L11" i="12"/>
  <c r="L7" i="12"/>
  <c r="L6" i="12"/>
  <c r="L5" i="12"/>
  <c r="L4" i="12"/>
  <c r="L3" i="12"/>
  <c r="C2" i="12" a="1"/>
  <c r="C2" i="12" s="1"/>
  <c r="C3802" i="12" a="1"/>
  <c r="C3802" i="12" s="1"/>
  <c r="L186" i="12" s="1"/>
  <c r="C3781" i="12" a="1"/>
  <c r="C3781" i="12" s="1"/>
  <c r="L185" i="12" s="1"/>
  <c r="C3761" i="12" a="1"/>
  <c r="C3761" i="12" s="1"/>
  <c r="L184" i="12" s="1"/>
  <c r="C3739" i="12" a="1"/>
  <c r="C3739" i="12" s="1"/>
  <c r="L183" i="12" s="1"/>
  <c r="C3721" i="12" a="1"/>
  <c r="C3721" i="12" s="1"/>
  <c r="L182" i="12" s="1"/>
  <c r="C3700" i="12" a="1"/>
  <c r="C3700" i="12" s="1"/>
  <c r="L181" i="12" s="1"/>
  <c r="C3677" i="12"/>
  <c r="L180" i="12" s="1"/>
  <c r="C3677" i="12" a="1"/>
  <c r="C3656" i="12" a="1"/>
  <c r="C3656" i="12" s="1"/>
  <c r="C3636" i="12" a="1"/>
  <c r="C3636" i="12" s="1"/>
  <c r="L178" i="12" s="1"/>
  <c r="C3613" i="12" a="1"/>
  <c r="C3613" i="12" s="1"/>
  <c r="L177" i="12" s="1"/>
  <c r="C3593" i="12" a="1"/>
  <c r="C3593" i="12" s="1"/>
  <c r="L176" i="12" s="1"/>
  <c r="C3573" i="12" a="1"/>
  <c r="C3573" i="12" s="1"/>
  <c r="L175" i="12" s="1"/>
  <c r="C3552" i="12" a="1"/>
  <c r="C3552" i="12" s="1"/>
  <c r="L174" i="12" s="1"/>
  <c r="C3532" i="12" a="1"/>
  <c r="C3532" i="12" s="1"/>
  <c r="L173" i="12" s="1"/>
  <c r="C3511" i="12" a="1"/>
  <c r="C3511" i="12" s="1"/>
  <c r="C3489" i="12" a="1"/>
  <c r="C3489" i="12" s="1"/>
  <c r="C3470" i="12" a="1"/>
  <c r="C3470" i="12" s="1"/>
  <c r="L170" i="12" s="1"/>
  <c r="C3448" i="12" a="1"/>
  <c r="C3448" i="12" s="1"/>
  <c r="L169" i="12" s="1"/>
  <c r="C3426" i="12" a="1"/>
  <c r="C3426" i="12" s="1"/>
  <c r="L168" i="12" s="1"/>
  <c r="C3405" i="12" a="1"/>
  <c r="C3405" i="12" s="1"/>
  <c r="L167" i="12" s="1"/>
  <c r="C3384" i="12" a="1"/>
  <c r="C3384" i="12" s="1"/>
  <c r="L166" i="12" s="1"/>
  <c r="C3363" i="12" a="1"/>
  <c r="C3363" i="12" s="1"/>
  <c r="L165" i="12" s="1"/>
  <c r="C3341" i="12" a="1"/>
  <c r="C3341" i="12" s="1"/>
  <c r="C3321" i="12" a="1"/>
  <c r="C3321" i="12" s="1"/>
  <c r="C3303" i="12" a="1"/>
  <c r="C3303" i="12" s="1"/>
  <c r="L162" i="12" s="1"/>
  <c r="C3280" i="12" a="1"/>
  <c r="C3280" i="12" s="1"/>
  <c r="L161" i="12" s="1"/>
  <c r="C3260" i="12" a="1"/>
  <c r="C3260" i="12" s="1"/>
  <c r="L160" i="12" s="1"/>
  <c r="C3239" i="12" a="1"/>
  <c r="C3239" i="12" s="1"/>
  <c r="L159" i="12" s="1"/>
  <c r="C3219" i="12" a="1"/>
  <c r="C3219" i="12" s="1"/>
  <c r="L158" i="12" s="1"/>
  <c r="C3197" i="12" a="1"/>
  <c r="C3197" i="12" s="1"/>
  <c r="L157" i="12" s="1"/>
  <c r="C3176" i="12" a="1"/>
  <c r="C3176" i="12" s="1"/>
  <c r="C3155" i="12" a="1"/>
  <c r="C3155" i="12" s="1"/>
  <c r="L155" i="12" s="1"/>
  <c r="C3134" i="12" a="1"/>
  <c r="C3134" i="12" s="1"/>
  <c r="L154" i="12" s="1"/>
  <c r="C3113" i="12" a="1"/>
  <c r="C3113" i="12" s="1"/>
  <c r="L153" i="12" s="1"/>
  <c r="C3093" i="12" a="1"/>
  <c r="C3093" i="12" s="1"/>
  <c r="L152" i="12" s="1"/>
  <c r="C3072" i="12" a="1"/>
  <c r="C3072" i="12" s="1"/>
  <c r="L151" i="12" s="1"/>
  <c r="C3053" i="12" a="1"/>
  <c r="C3053" i="12" s="1"/>
  <c r="L150" i="12" s="1"/>
  <c r="C3030" i="12" a="1"/>
  <c r="C3030" i="12" s="1"/>
  <c r="C3010" i="12" a="1"/>
  <c r="C3010" i="12" s="1"/>
  <c r="C2990" i="12" a="1"/>
  <c r="C2990" i="12" s="1"/>
  <c r="C2971" i="12" a="1"/>
  <c r="C2971" i="12" s="1"/>
  <c r="L146" i="12" s="1"/>
  <c r="C2949" i="12" a="1"/>
  <c r="C2949" i="12" s="1"/>
  <c r="L145" i="12" s="1"/>
  <c r="C2928" i="12" a="1"/>
  <c r="C2928" i="12" s="1"/>
  <c r="L144" i="12" s="1"/>
  <c r="C2906" i="12" a="1"/>
  <c r="C2906" i="12" s="1"/>
  <c r="L143" i="12" s="1"/>
  <c r="C2885" i="12" a="1"/>
  <c r="C2885" i="12" s="1"/>
  <c r="L142" i="12" s="1"/>
  <c r="C2863" i="12" a="1"/>
  <c r="C2863" i="12" s="1"/>
  <c r="C2841" i="12" a="1"/>
  <c r="C2841" i="12" s="1"/>
  <c r="C2823" i="12" a="1"/>
  <c r="C2823" i="12" s="1"/>
  <c r="C2803" i="12" a="1"/>
  <c r="C2803" i="12" s="1"/>
  <c r="L138" i="12" s="1"/>
  <c r="C2780" i="12" a="1"/>
  <c r="C2780" i="12" s="1"/>
  <c r="L137" i="12" s="1"/>
  <c r="C2760" i="12" a="1"/>
  <c r="C2760" i="12" s="1"/>
  <c r="L136" i="12" s="1"/>
  <c r="C2740" i="12" a="1"/>
  <c r="C2740" i="12" s="1"/>
  <c r="L135" i="12" s="1"/>
  <c r="C2721" i="12" a="1"/>
  <c r="C2721" i="12" s="1"/>
  <c r="L134" i="12" s="1"/>
  <c r="C2700" i="12" a="1"/>
  <c r="C2700" i="12" s="1"/>
  <c r="C2678" i="12" a="1"/>
  <c r="C2678" i="12" s="1"/>
  <c r="C2656" i="12" a="1"/>
  <c r="C2656" i="12" s="1"/>
  <c r="C2636" i="12" a="1"/>
  <c r="C2636" i="12" s="1"/>
  <c r="L130" i="12" s="1"/>
  <c r="C2613" i="12" a="1"/>
  <c r="C2613" i="12" s="1"/>
  <c r="L129" i="12" s="1"/>
  <c r="C2592" i="12" a="1"/>
  <c r="C2592" i="12" s="1"/>
  <c r="L128" i="12" s="1"/>
  <c r="C2574" i="12" a="1"/>
  <c r="C2574" i="12" s="1"/>
  <c r="L127" i="12" s="1"/>
  <c r="C2554" i="12" a="1"/>
  <c r="C2554" i="12" s="1"/>
  <c r="L126" i="12" s="1"/>
  <c r="C2532" i="12" a="1"/>
  <c r="C2532" i="12" s="1"/>
  <c r="C2512" i="12" a="1"/>
  <c r="C2512" i="12" s="1"/>
  <c r="C2490" i="12" a="1"/>
  <c r="C2490" i="12" s="1"/>
  <c r="L123" i="12" s="1"/>
  <c r="C2472" i="12" a="1"/>
  <c r="C2472" i="12" s="1"/>
  <c r="L122" i="12" s="1"/>
  <c r="C2451" i="12" a="1"/>
  <c r="C2451" i="12" s="1"/>
  <c r="L121" i="12" s="1"/>
  <c r="C2429" i="12" a="1"/>
  <c r="C2429" i="12" s="1"/>
  <c r="L120" i="12" s="1"/>
  <c r="C2408" i="12" a="1"/>
  <c r="C2408" i="12" s="1"/>
  <c r="L119" i="12" s="1"/>
  <c r="C2388" i="12" a="1"/>
  <c r="C2388" i="12" s="1"/>
  <c r="C2365" i="12" a="1"/>
  <c r="C2365" i="12" s="1"/>
  <c r="C2346" i="12" a="1"/>
  <c r="C2346" i="12" s="1"/>
  <c r="C2326" i="12" a="1"/>
  <c r="C2326" i="12" s="1"/>
  <c r="C2306" i="12" a="1"/>
  <c r="C2306" i="12" s="1"/>
  <c r="L114" i="12" s="1"/>
  <c r="C2285" i="12" a="1"/>
  <c r="C2285" i="12" s="1"/>
  <c r="L113" i="12" s="1"/>
  <c r="C2265" i="12" a="1"/>
  <c r="C2265" i="12" s="1"/>
  <c r="L112" i="12" s="1"/>
  <c r="C2243" i="12" a="1"/>
  <c r="C2243" i="12" s="1"/>
  <c r="L111" i="12" s="1"/>
  <c r="C2226" i="12" a="1"/>
  <c r="C2226" i="12" s="1"/>
  <c r="C2204" i="12" a="1"/>
  <c r="C2204" i="12" s="1"/>
  <c r="C2182" i="12" a="1"/>
  <c r="C2182" i="12" s="1"/>
  <c r="C2162" i="12" a="1"/>
  <c r="C2162" i="12" s="1"/>
  <c r="C2141" i="12" a="1"/>
  <c r="C2141" i="12" s="1"/>
  <c r="L106" i="12" s="1"/>
  <c r="C2119" i="12" a="1"/>
  <c r="C2119" i="12" s="1"/>
  <c r="L105" i="12" s="1"/>
  <c r="C2098" i="12" a="1"/>
  <c r="C2098" i="12" s="1"/>
  <c r="L104" i="12" s="1"/>
  <c r="C2079" i="12" a="1"/>
  <c r="C2079" i="12" s="1"/>
  <c r="L103" i="12" s="1"/>
  <c r="C2059" i="12" a="1"/>
  <c r="C2059" i="12" s="1"/>
  <c r="C2038" i="12" a="1"/>
  <c r="C2038" i="12" s="1"/>
  <c r="C2018" i="12" a="1"/>
  <c r="C2018" i="12" s="1"/>
  <c r="C1996" i="12" a="1"/>
  <c r="C1996" i="12" s="1"/>
  <c r="C1977" i="12" a="1"/>
  <c r="C1977" i="12" s="1"/>
  <c r="L98" i="12" s="1"/>
  <c r="C1955" i="12" a="1"/>
  <c r="C1955" i="12" s="1"/>
  <c r="L97" i="12" s="1"/>
  <c r="C1935" i="12" a="1"/>
  <c r="C1935" i="12" s="1"/>
  <c r="L96" i="12" s="1"/>
  <c r="C1914" i="12" a="1"/>
  <c r="C1914" i="12" s="1"/>
  <c r="L95" i="12" s="1"/>
  <c r="C1893" i="12" a="1"/>
  <c r="C1893" i="12" s="1"/>
  <c r="C1872" i="12" a="1"/>
  <c r="C1872" i="12" s="1"/>
  <c r="C1851" i="12" a="1"/>
  <c r="C1851" i="12" s="1"/>
  <c r="C1830" i="12" a="1"/>
  <c r="C1830" i="12" s="1"/>
  <c r="L91" i="12" s="1"/>
  <c r="C1812" i="12" a="1"/>
  <c r="C1812" i="12" s="1"/>
  <c r="L90" i="12" s="1"/>
  <c r="C1789" i="12" a="1"/>
  <c r="C1789" i="12" s="1"/>
  <c r="L89" i="12" s="1"/>
  <c r="C1769" i="12" a="1"/>
  <c r="C1769" i="12" s="1"/>
  <c r="L88" i="12" s="1"/>
  <c r="C1748" i="12" a="1"/>
  <c r="C1748" i="12" s="1"/>
  <c r="C1728" i="12" a="1"/>
  <c r="C1728" i="12" s="1"/>
  <c r="C1706" i="12" a="1"/>
  <c r="C1706" i="12" s="1"/>
  <c r="C1686" i="12" a="1"/>
  <c r="C1686" i="12" s="1"/>
  <c r="C1664" i="12" a="1"/>
  <c r="C1664" i="12" s="1"/>
  <c r="C1643" i="12" a="1"/>
  <c r="C1643" i="12" s="1"/>
  <c r="L82" i="12" s="1"/>
  <c r="C1622" i="12" a="1"/>
  <c r="C1622" i="12" s="1"/>
  <c r="L81" i="12" s="1"/>
  <c r="C1600" i="12" a="1"/>
  <c r="C1600" i="12" s="1"/>
  <c r="L80" i="12" s="1"/>
  <c r="C1581" i="12" a="1"/>
  <c r="C1581" i="12" s="1"/>
  <c r="C1560" i="12" a="1"/>
  <c r="C1560" i="12" s="1"/>
  <c r="C1539" i="12" a="1"/>
  <c r="C1539" i="12" s="1"/>
  <c r="C1518" i="12" a="1"/>
  <c r="C1518" i="12" s="1"/>
  <c r="C1498" i="12" a="1"/>
  <c r="C1498" i="12" s="1"/>
  <c r="C1479" i="12" a="1"/>
  <c r="C1479" i="12" s="1"/>
  <c r="L74" i="12" s="1"/>
  <c r="C1458" i="12" a="1"/>
  <c r="C1458" i="12" s="1"/>
  <c r="L73" i="12" s="1"/>
  <c r="C1436" i="12" a="1"/>
  <c r="C1436" i="12" s="1"/>
  <c r="L72" i="12" s="1"/>
  <c r="C1414" i="12" a="1"/>
  <c r="C1414" i="12" s="1"/>
  <c r="C1394" i="12" a="1"/>
  <c r="C1394" i="12" s="1"/>
  <c r="C1371" i="12" a="1"/>
  <c r="C1371" i="12" s="1"/>
  <c r="C1349" i="12" a="1"/>
  <c r="C1349" i="12" s="1"/>
  <c r="C1331" i="12" a="1"/>
  <c r="C1331" i="12" s="1"/>
  <c r="C1311" i="12" a="1"/>
  <c r="C1311" i="12" s="1"/>
  <c r="L66" i="12" s="1"/>
  <c r="C1289" i="12" a="1"/>
  <c r="C1289" i="12" s="1"/>
  <c r="L65" i="12" s="1"/>
  <c r="C1269" i="12" a="1"/>
  <c r="C1269" i="12" s="1"/>
  <c r="L64" i="12" s="1"/>
  <c r="C1248" i="12" a="1"/>
  <c r="C1248" i="12" s="1"/>
  <c r="C1229" i="12" a="1"/>
  <c r="C1229" i="12" s="1"/>
  <c r="C1209" i="12" a="1"/>
  <c r="C1209" i="12" s="1"/>
  <c r="C1187" i="12" a="1"/>
  <c r="C1187" i="12" s="1"/>
  <c r="C1165" i="12" a="1"/>
  <c r="C1165" i="12" s="1"/>
  <c r="L59" i="12" s="1"/>
  <c r="C1146" i="12" a="1"/>
  <c r="C1146" i="12" s="1"/>
  <c r="L58" i="12" s="1"/>
  <c r="C1123" i="12" a="1"/>
  <c r="C1123" i="12" s="1"/>
  <c r="L57" i="12" s="1"/>
  <c r="C1102" i="12" a="1"/>
  <c r="C1102" i="12" s="1"/>
  <c r="L56" i="12" s="1"/>
  <c r="C1083" i="12" a="1"/>
  <c r="C1083" i="12" s="1"/>
  <c r="C1063" i="12" a="1"/>
  <c r="C1063" i="12" s="1"/>
  <c r="C1042" i="12" a="1"/>
  <c r="C1042" i="12" s="1"/>
  <c r="C1022" i="12" a="1"/>
  <c r="C1022" i="12" s="1"/>
  <c r="C1000" i="12" a="1"/>
  <c r="C1000" i="12" s="1"/>
  <c r="C982" i="12" a="1"/>
  <c r="C982" i="12" s="1"/>
  <c r="L50" i="12" s="1"/>
  <c r="C961" i="12" a="1"/>
  <c r="C961" i="12" s="1"/>
  <c r="L49" i="12" s="1"/>
  <c r="C938" i="12" a="1"/>
  <c r="C938" i="12" s="1"/>
  <c r="L48" i="12" s="1"/>
  <c r="C917" i="12" a="1"/>
  <c r="C917" i="12" s="1"/>
  <c r="C897" i="12" a="1"/>
  <c r="C897" i="12" s="1"/>
  <c r="C874" i="12" a="1"/>
  <c r="C874" i="12" s="1"/>
  <c r="C854" i="12" a="1"/>
  <c r="C854" i="12" s="1"/>
  <c r="C834" i="12" a="1"/>
  <c r="C834" i="12" s="1"/>
  <c r="C813" i="12" a="1"/>
  <c r="C813" i="12" s="1"/>
  <c r="L42" i="12" s="1"/>
  <c r="C793" i="12" a="1"/>
  <c r="C793" i="12" s="1"/>
  <c r="L41" i="12" s="1"/>
  <c r="C773" i="12" a="1"/>
  <c r="C773" i="12" s="1"/>
  <c r="L40" i="12" s="1"/>
  <c r="C751" i="12" a="1"/>
  <c r="C751" i="12" s="1"/>
  <c r="C734" i="12" a="1"/>
  <c r="C734" i="12" s="1"/>
  <c r="C712" i="12" a="1"/>
  <c r="C712" i="12" s="1"/>
  <c r="C689" i="12" a="1"/>
  <c r="C689" i="12" s="1"/>
  <c r="C669" i="12" a="1"/>
  <c r="C669" i="12" s="1"/>
  <c r="C648" i="12" a="1"/>
  <c r="C648" i="12" s="1"/>
  <c r="L34" i="12" s="1"/>
  <c r="C626" i="12" a="1"/>
  <c r="C626" i="12" s="1"/>
  <c r="L33" i="12" s="1"/>
  <c r="C607" i="12" a="1"/>
  <c r="C607" i="12" s="1"/>
  <c r="L32" i="12" s="1"/>
  <c r="C586" i="12" a="1"/>
  <c r="C586" i="12" s="1"/>
  <c r="C567" i="12" a="1"/>
  <c r="C567" i="12" s="1"/>
  <c r="C545" i="12" a="1"/>
  <c r="C545" i="12" s="1"/>
  <c r="L29" i="12" s="1"/>
  <c r="C524" i="12" a="1"/>
  <c r="C524" i="12" s="1"/>
  <c r="C503" i="12" a="1"/>
  <c r="C503" i="12" s="1"/>
  <c r="C483" i="12" a="1"/>
  <c r="C483" i="12" s="1"/>
  <c r="L26" i="12" s="1"/>
  <c r="C461" i="12" a="1"/>
  <c r="C461" i="12" s="1"/>
  <c r="L25" i="12" s="1"/>
  <c r="C440" i="12" a="1"/>
  <c r="C440" i="12" s="1"/>
  <c r="L24" i="12" s="1"/>
  <c r="C418" i="12" a="1"/>
  <c r="C418" i="12" s="1"/>
  <c r="C397" i="12" a="1"/>
  <c r="C397" i="12" s="1"/>
  <c r="C376" i="12" a="1"/>
  <c r="C376" i="12" s="1"/>
  <c r="C354" i="12" a="1"/>
  <c r="C354" i="12" s="1"/>
  <c r="C334" i="12" a="1"/>
  <c r="C334" i="12" s="1"/>
  <c r="C316" i="12" a="1"/>
  <c r="C316" i="12" s="1"/>
  <c r="L18" i="12" s="1"/>
  <c r="C293" i="12" a="1"/>
  <c r="C293" i="12" s="1"/>
  <c r="L17" i="12" s="1"/>
  <c r="C273" i="12" a="1"/>
  <c r="C273" i="12" s="1"/>
  <c r="L16" i="12" s="1"/>
  <c r="C253" i="12" a="1"/>
  <c r="C253" i="12" s="1"/>
  <c r="C234" i="12" a="1"/>
  <c r="C234" i="12" s="1"/>
  <c r="C212" i="12" a="1"/>
  <c r="C212" i="12" s="1"/>
  <c r="C191" i="12" a="1"/>
  <c r="C191" i="12" s="1"/>
  <c r="C169" i="12" a="1"/>
  <c r="C169" i="12" s="1"/>
  <c r="C148" i="12" a="1"/>
  <c r="C148" i="12" s="1"/>
  <c r="L10" i="12" s="1"/>
  <c r="C126" i="12" a="1"/>
  <c r="C126" i="12" s="1"/>
  <c r="L9" i="12" s="1"/>
  <c r="C104" i="12" a="1"/>
  <c r="C104" i="12" s="1"/>
  <c r="L8" i="12" s="1"/>
  <c r="C85" i="12" a="1"/>
  <c r="C85" i="12" s="1"/>
  <c r="C65" i="12" a="1"/>
  <c r="C65" i="12" s="1"/>
  <c r="C42" i="12" a="1"/>
  <c r="C42" i="12" s="1"/>
  <c r="C22" i="12" a="1"/>
  <c r="C22" i="12" s="1"/>
  <c r="C234" i="13" a="1"/>
  <c r="C234" i="13" s="1"/>
  <c r="L14" i="13" s="1"/>
  <c r="C253" i="13" a="1"/>
  <c r="C253" i="13" s="1"/>
  <c r="L15" i="13" s="1"/>
  <c r="C273" i="13" a="1"/>
  <c r="C273" i="13" s="1"/>
  <c r="L16" i="13" s="1"/>
  <c r="C293" i="13" a="1"/>
  <c r="C293" i="13" s="1"/>
  <c r="L17" i="13" s="1"/>
  <c r="C316" i="13" a="1"/>
  <c r="C316" i="13" s="1"/>
  <c r="L18" i="13" s="1"/>
  <c r="C334" i="13" a="1"/>
  <c r="C334" i="13" s="1"/>
  <c r="L19" i="13" s="1"/>
  <c r="C354" i="13" a="1"/>
  <c r="C354" i="13"/>
  <c r="C376" i="13" a="1"/>
  <c r="C376" i="13" s="1"/>
  <c r="L21" i="13" s="1"/>
  <c r="C397" i="13" a="1"/>
  <c r="C397" i="13" s="1"/>
  <c r="L22" i="13" s="1"/>
  <c r="C418" i="13" a="1"/>
  <c r="C418" i="13" s="1"/>
  <c r="L23" i="13" s="1"/>
  <c r="C440" i="13" a="1"/>
  <c r="C440" i="13" s="1"/>
  <c r="L24" i="13" s="1"/>
  <c r="C461" i="13" a="1"/>
  <c r="C461" i="13" s="1"/>
  <c r="L25" i="13" s="1"/>
  <c r="C483" i="13" a="1"/>
  <c r="C483" i="13"/>
  <c r="C503" i="13" a="1"/>
  <c r="C503" i="13" s="1"/>
  <c r="L27" i="13" s="1"/>
  <c r="C524" i="13" a="1"/>
  <c r="C524" i="13"/>
  <c r="C545" i="13" a="1"/>
  <c r="C545" i="13" s="1"/>
  <c r="L29" i="13" s="1"/>
  <c r="C567" i="13" a="1"/>
  <c r="C567" i="13" s="1"/>
  <c r="L30" i="13" s="1"/>
  <c r="C586" i="13" a="1"/>
  <c r="C586" i="13"/>
  <c r="C607" i="13" a="1"/>
  <c r="C607" i="13" s="1"/>
  <c r="L32" i="13" s="1"/>
  <c r="C626" i="13" a="1"/>
  <c r="C626" i="13" s="1"/>
  <c r="L33" i="13" s="1"/>
  <c r="C648" i="13" a="1"/>
  <c r="C648" i="13" s="1"/>
  <c r="L34" i="13" s="1"/>
  <c r="C669" i="13" a="1"/>
  <c r="C669" i="13"/>
  <c r="C689" i="13" a="1"/>
  <c r="C689" i="13" s="1"/>
  <c r="L36" i="13" s="1"/>
  <c r="C712" i="13" a="1"/>
  <c r="C712" i="13" s="1"/>
  <c r="L37" i="13" s="1"/>
  <c r="C734" i="13" a="1"/>
  <c r="C734" i="13"/>
  <c r="C751" i="13" a="1"/>
  <c r="C751" i="13" s="1"/>
  <c r="L39" i="13" s="1"/>
  <c r="C773" i="13" a="1"/>
  <c r="C773" i="13"/>
  <c r="C793" i="13" a="1"/>
  <c r="C793" i="13" s="1"/>
  <c r="L41" i="13" s="1"/>
  <c r="C813" i="13" a="1"/>
  <c r="C813" i="13" s="1"/>
  <c r="L42" i="13" s="1"/>
  <c r="C834" i="13" a="1"/>
  <c r="C834" i="13"/>
  <c r="C854" i="13" a="1"/>
  <c r="C854" i="13"/>
  <c r="C874" i="13" a="1"/>
  <c r="C874" i="13" s="1"/>
  <c r="L45" i="13" s="1"/>
  <c r="C897" i="13" a="1"/>
  <c r="C897" i="13" s="1"/>
  <c r="L46" i="13" s="1"/>
  <c r="C917" i="13" a="1"/>
  <c r="C917" i="13" s="1"/>
  <c r="L47" i="13" s="1"/>
  <c r="C938" i="13" a="1"/>
  <c r="C938" i="13" s="1"/>
  <c r="L48" i="13" s="1"/>
  <c r="C961" i="13" a="1"/>
  <c r="C961" i="13" s="1"/>
  <c r="L49" i="13" s="1"/>
  <c r="C982" i="13" a="1"/>
  <c r="C982" i="13" s="1"/>
  <c r="L50" i="13" s="1"/>
  <c r="C1000" i="13" a="1"/>
  <c r="C1000" i="13"/>
  <c r="C1022" i="13" a="1"/>
  <c r="C1022" i="13" s="1"/>
  <c r="L52" i="13" s="1"/>
  <c r="C1042" i="13" a="1"/>
  <c r="C1042" i="13" s="1"/>
  <c r="L53" i="13" s="1"/>
  <c r="C1063" i="13" a="1"/>
  <c r="C1063" i="13" s="1"/>
  <c r="L54" i="13" s="1"/>
  <c r="C1083" i="13" a="1"/>
  <c r="C1083" i="13"/>
  <c r="C1102" i="13" a="1"/>
  <c r="C1102" i="13" s="1"/>
  <c r="L56" i="13" s="1"/>
  <c r="C1123" i="13" a="1"/>
  <c r="C1123" i="13"/>
  <c r="C1146" i="13" a="1"/>
  <c r="C1146" i="13" s="1"/>
  <c r="L58" i="13" s="1"/>
  <c r="C1165" i="13" a="1"/>
  <c r="C1165" i="13" s="1"/>
  <c r="L59" i="13" s="1"/>
  <c r="C1187" i="13" a="1"/>
  <c r="C1187" i="13" s="1"/>
  <c r="L60" i="13" s="1"/>
  <c r="C1209" i="13" a="1"/>
  <c r="C1209" i="13"/>
  <c r="C1229" i="13" a="1"/>
  <c r="C1229" i="13" s="1"/>
  <c r="L62" i="13" s="1"/>
  <c r="C1248" i="13" a="1"/>
  <c r="C1248" i="13" s="1"/>
  <c r="L63" i="13" s="1"/>
  <c r="C1269" i="13" a="1"/>
  <c r="C1269" i="13" s="1"/>
  <c r="L64" i="13" s="1"/>
  <c r="C1289" i="13" a="1"/>
  <c r="C1289" i="13" s="1"/>
  <c r="L65" i="13" s="1"/>
  <c r="C1311" i="13" a="1"/>
  <c r="C1311" i="13" s="1"/>
  <c r="L66" i="13" s="1"/>
  <c r="C1331" i="13" a="1"/>
  <c r="C1331" i="13" s="1"/>
  <c r="L67" i="13" s="1"/>
  <c r="C1349" i="13" a="1"/>
  <c r="C1349" i="13" s="1"/>
  <c r="L68" i="13" s="1"/>
  <c r="C1371" i="13" a="1"/>
  <c r="C1371" i="13" s="1"/>
  <c r="L69" i="13" s="1"/>
  <c r="C1394" i="13" a="1"/>
  <c r="C1394" i="13" s="1"/>
  <c r="L70" i="13" s="1"/>
  <c r="C1414" i="13" a="1"/>
  <c r="C1414" i="13" s="1"/>
  <c r="L71" i="13" s="1"/>
  <c r="C1436" i="13" a="1"/>
  <c r="C1436" i="13" s="1"/>
  <c r="L72" i="13" s="1"/>
  <c r="C1458" i="13" a="1"/>
  <c r="C1458" i="13" s="1"/>
  <c r="L73" i="13" s="1"/>
  <c r="C1479" i="13" a="1"/>
  <c r="C1479" i="13" s="1"/>
  <c r="L74" i="13" s="1"/>
  <c r="C1498" i="13" a="1"/>
  <c r="C1498" i="13" s="1"/>
  <c r="L75" i="13" s="1"/>
  <c r="C1518" i="13" a="1"/>
  <c r="C1518" i="13"/>
  <c r="C1539" i="13" a="1"/>
  <c r="C1539" i="13"/>
  <c r="C1560" i="13" a="1"/>
  <c r="C1560" i="13"/>
  <c r="C1581" i="13" a="1"/>
  <c r="C1581" i="13"/>
  <c r="C1600" i="13" a="1"/>
  <c r="C1600" i="13"/>
  <c r="C1622" i="13" a="1"/>
  <c r="C1622" i="13"/>
  <c r="C1643" i="13" a="1"/>
  <c r="C1643" i="13" s="1"/>
  <c r="L82" i="13" s="1"/>
  <c r="C1664" i="13" a="1"/>
  <c r="C1664" i="13" s="1"/>
  <c r="L83" i="13" s="1"/>
  <c r="C1686" i="13" a="1"/>
  <c r="C1686" i="13" s="1"/>
  <c r="L84" i="13" s="1"/>
  <c r="C1706" i="13" a="1"/>
  <c r="C1706" i="13" s="1"/>
  <c r="L85" i="13" s="1"/>
  <c r="C1728" i="13" a="1"/>
  <c r="C1728" i="13" s="1"/>
  <c r="L86" i="13" s="1"/>
  <c r="C1748" i="13" a="1"/>
  <c r="C1748" i="13" s="1"/>
  <c r="L87" i="13" s="1"/>
  <c r="C1769" i="13" a="1"/>
  <c r="C1769" i="13" s="1"/>
  <c r="L88" i="13" s="1"/>
  <c r="C1789" i="13" a="1"/>
  <c r="C1789" i="13" s="1"/>
  <c r="L89" i="13" s="1"/>
  <c r="C1812" i="13" a="1"/>
  <c r="C1812" i="13"/>
  <c r="L90" i="13" s="1"/>
  <c r="C1830" i="13" a="1"/>
  <c r="C1830" i="13" s="1"/>
  <c r="L91" i="13" s="1"/>
  <c r="C1851" i="13" a="1"/>
  <c r="C1851" i="13" s="1"/>
  <c r="L92" i="13" s="1"/>
  <c r="C1872" i="13" a="1"/>
  <c r="C1872" i="13" s="1"/>
  <c r="L93" i="13" s="1"/>
  <c r="C1893" i="13" a="1"/>
  <c r="C1893" i="13" s="1"/>
  <c r="L94" i="13" s="1"/>
  <c r="C1914" i="13" a="1"/>
  <c r="C1914" i="13"/>
  <c r="C1935" i="13" a="1"/>
  <c r="C1935" i="13" s="1"/>
  <c r="L96" i="13" s="1"/>
  <c r="C1955" i="13" a="1"/>
  <c r="C1955" i="13" s="1"/>
  <c r="L97" i="13" s="1"/>
  <c r="C1977" i="13" a="1"/>
  <c r="C1977" i="13" s="1"/>
  <c r="L98" i="13" s="1"/>
  <c r="C1996" i="13" a="1"/>
  <c r="C1996" i="13" s="1"/>
  <c r="L99" i="13" s="1"/>
  <c r="C2018" i="13" a="1"/>
  <c r="C2018" i="13" s="1"/>
  <c r="L100" i="13" s="1"/>
  <c r="C2038" i="13" a="1"/>
  <c r="C2038" i="13"/>
  <c r="C2059" i="13" a="1"/>
  <c r="C2059" i="13" s="1"/>
  <c r="L102" i="13" s="1"/>
  <c r="C2079" i="13" a="1"/>
  <c r="C2079" i="13" s="1"/>
  <c r="L103" i="13" s="1"/>
  <c r="C2098" i="13" a="1"/>
  <c r="C2098" i="13"/>
  <c r="C2119" i="13" a="1"/>
  <c r="C2119" i="13" s="1"/>
  <c r="L105" i="13" s="1"/>
  <c r="C2141" i="13" a="1"/>
  <c r="C2141" i="13" s="1"/>
  <c r="L106" i="13" s="1"/>
  <c r="C2162" i="13" a="1"/>
  <c r="C2162" i="13"/>
  <c r="C2182" i="13" a="1"/>
  <c r="C2182" i="13" s="1"/>
  <c r="L108" i="13" s="1"/>
  <c r="C2204" i="13" a="1"/>
  <c r="C2204" i="13"/>
  <c r="L109" i="13" s="1"/>
  <c r="C2226" i="13" a="1"/>
  <c r="C2226" i="13" s="1"/>
  <c r="L110" i="13" s="1"/>
  <c r="C2243" i="13" a="1"/>
  <c r="C2243" i="13" s="1"/>
  <c r="L111" i="13" s="1"/>
  <c r="C2265" i="13" a="1"/>
  <c r="C2265" i="13" s="1"/>
  <c r="L112" i="13" s="1"/>
  <c r="C2285" i="13" a="1"/>
  <c r="C2285" i="13" s="1"/>
  <c r="C2306" i="13" a="1"/>
  <c r="C2306" i="13" s="1"/>
  <c r="L114" i="13" s="1"/>
  <c r="C2326" i="13" a="1"/>
  <c r="C2326" i="13"/>
  <c r="C2346" i="13" a="1"/>
  <c r="C2346" i="13" s="1"/>
  <c r="L116" i="13" s="1"/>
  <c r="C2365" i="13" a="1"/>
  <c r="C2365" i="13" s="1"/>
  <c r="L117" i="13" s="1"/>
  <c r="C2388" i="13" a="1"/>
  <c r="C2388" i="13" s="1"/>
  <c r="L118" i="13" s="1"/>
  <c r="C2408" i="13" a="1"/>
  <c r="C2408" i="13" s="1"/>
  <c r="L119" i="13" s="1"/>
  <c r="C2429" i="13" a="1"/>
  <c r="C2429" i="13" s="1"/>
  <c r="L120" i="13" s="1"/>
  <c r="C2451" i="13" a="1"/>
  <c r="C2451" i="13" s="1"/>
  <c r="L121" i="13" s="1"/>
  <c r="C2472" i="13" a="1"/>
  <c r="C2472" i="13" s="1"/>
  <c r="L122" i="13" s="1"/>
  <c r="C2490" i="13" a="1"/>
  <c r="C2490" i="13" s="1"/>
  <c r="L123" i="13" s="1"/>
  <c r="C2512" i="13" a="1"/>
  <c r="C2512" i="13" s="1"/>
  <c r="L124" i="13" s="1"/>
  <c r="C2532" i="13" a="1"/>
  <c r="C2532" i="13" s="1"/>
  <c r="C2554" i="13" a="1"/>
  <c r="C2554" i="13"/>
  <c r="C2574" i="13" a="1"/>
  <c r="C2574" i="13" s="1"/>
  <c r="L127" i="13" s="1"/>
  <c r="C2592" i="13" a="1"/>
  <c r="C2592" i="13" s="1"/>
  <c r="L128" i="13" s="1"/>
  <c r="C2613" i="13" a="1"/>
  <c r="C2613" i="13" s="1"/>
  <c r="L129" i="13" s="1"/>
  <c r="C2636" i="13" a="1"/>
  <c r="C2636" i="13" s="1"/>
  <c r="L130" i="13" s="1"/>
  <c r="C2656" i="13" a="1"/>
  <c r="C2656" i="13" s="1"/>
  <c r="L131" i="13" s="1"/>
  <c r="C2678" i="13" a="1"/>
  <c r="C2678" i="13" s="1"/>
  <c r="L132" i="13" s="1"/>
  <c r="C2700" i="13" a="1"/>
  <c r="C2700" i="13" s="1"/>
  <c r="L133" i="13" s="1"/>
  <c r="C2721" i="13" a="1"/>
  <c r="C2721" i="13" s="1"/>
  <c r="L134" i="13" s="1"/>
  <c r="C2740" i="13" a="1"/>
  <c r="C2740" i="13" s="1"/>
  <c r="L135" i="13" s="1"/>
  <c r="C2760" i="13" a="1"/>
  <c r="C2760" i="13" s="1"/>
  <c r="L136" i="13" s="1"/>
  <c r="C2780" i="13" a="1"/>
  <c r="C2780" i="13" s="1"/>
  <c r="L137" i="13" s="1"/>
  <c r="C2803" i="13" a="1"/>
  <c r="C2803" i="13" s="1"/>
  <c r="L138" i="13" s="1"/>
  <c r="C2823" i="13" a="1"/>
  <c r="C2823" i="13" s="1"/>
  <c r="L139" i="13" s="1"/>
  <c r="C2841" i="13" a="1"/>
  <c r="C2841" i="13" s="1"/>
  <c r="L140" i="13" s="1"/>
  <c r="C2863" i="13" a="1"/>
  <c r="C2863" i="13" s="1"/>
  <c r="L141" i="13" s="1"/>
  <c r="C2885" i="13" a="1"/>
  <c r="C2885" i="13" s="1"/>
  <c r="L142" i="13" s="1"/>
  <c r="C2906" i="13" a="1"/>
  <c r="C2906" i="13"/>
  <c r="C2928" i="13" a="1"/>
  <c r="C2928" i="13"/>
  <c r="C2949" i="13" a="1"/>
  <c r="C2949" i="13" s="1"/>
  <c r="L145" i="13" s="1"/>
  <c r="C2971" i="13" a="1"/>
  <c r="C2971" i="13" s="1"/>
  <c r="L146" i="13" s="1"/>
  <c r="C2990" i="13" a="1"/>
  <c r="C2990" i="13" s="1"/>
  <c r="L147" i="13" s="1"/>
  <c r="C3010" i="13" a="1"/>
  <c r="C3010" i="13" s="1"/>
  <c r="L148" i="13" s="1"/>
  <c r="C3030" i="13" a="1"/>
  <c r="C3030" i="13" s="1"/>
  <c r="L149" i="13" s="1"/>
  <c r="C3053" i="13" a="1"/>
  <c r="C3053" i="13"/>
  <c r="C3072" i="13" a="1"/>
  <c r="C3072" i="13" s="1"/>
  <c r="L151" i="13" s="1"/>
  <c r="C3093" i="13" a="1"/>
  <c r="C3093" i="13"/>
  <c r="C3113" i="13" a="1"/>
  <c r="C3113" i="13" s="1"/>
  <c r="L153" i="13" s="1"/>
  <c r="C3134" i="13" a="1"/>
  <c r="C3134" i="13"/>
  <c r="C3155" i="13" a="1"/>
  <c r="C3155" i="13" s="1"/>
  <c r="L155" i="13" s="1"/>
  <c r="C3176" i="13" a="1"/>
  <c r="C3176" i="13"/>
  <c r="C3197" i="13" a="1"/>
  <c r="C3197" i="13" s="1"/>
  <c r="L157" i="13" s="1"/>
  <c r="C3219" i="13" a="1"/>
  <c r="C3219" i="13" s="1"/>
  <c r="L158" i="13" s="1"/>
  <c r="C3239" i="13" a="1"/>
  <c r="C3239" i="13" s="1"/>
  <c r="L159" i="13" s="1"/>
  <c r="C3260" i="13" a="1"/>
  <c r="C3260" i="13" s="1"/>
  <c r="L160" i="13" s="1"/>
  <c r="C3280" i="13" a="1"/>
  <c r="C3280" i="13" s="1"/>
  <c r="L161" i="13" s="1"/>
  <c r="C3303" i="13" a="1"/>
  <c r="C3303" i="13" s="1"/>
  <c r="L162" i="13" s="1"/>
  <c r="C3321" i="13" a="1"/>
  <c r="C3321" i="13" s="1"/>
  <c r="L163" i="13" s="1"/>
  <c r="C3341" i="13" a="1"/>
  <c r="C3341" i="13" s="1"/>
  <c r="L164" i="13" s="1"/>
  <c r="C3363" i="13" a="1"/>
  <c r="C3363" i="13" s="1"/>
  <c r="L165" i="13" s="1"/>
  <c r="C3384" i="13" a="1"/>
  <c r="C3384" i="13" s="1"/>
  <c r="L166" i="13" s="1"/>
  <c r="C3405" i="13" a="1"/>
  <c r="C3405" i="13" s="1"/>
  <c r="L167" i="13" s="1"/>
  <c r="C3426" i="13" a="1"/>
  <c r="C3426" i="13" s="1"/>
  <c r="L168" i="13" s="1"/>
  <c r="C3448" i="13" a="1"/>
  <c r="C3448" i="13" s="1"/>
  <c r="L169" i="13" s="1"/>
  <c r="C3470" i="13" a="1"/>
  <c r="C3470" i="13" s="1"/>
  <c r="L170" i="13" s="1"/>
  <c r="C3489" i="13" a="1"/>
  <c r="C3489" i="13"/>
  <c r="C3511" i="13" a="1"/>
  <c r="C3511" i="13" s="1"/>
  <c r="L172" i="13" s="1"/>
  <c r="C3532" i="13" a="1"/>
  <c r="C3532" i="13" s="1"/>
  <c r="L173" i="13" s="1"/>
  <c r="C3552" i="13" a="1"/>
  <c r="C3552" i="13" s="1"/>
  <c r="L174" i="13" s="1"/>
  <c r="C3573" i="13" a="1"/>
  <c r="C3573" i="13"/>
  <c r="L175" i="13"/>
  <c r="C3593" i="13" a="1"/>
  <c r="C3593" i="13"/>
  <c r="C3613" i="13" a="1"/>
  <c r="C3613" i="13" s="1"/>
  <c r="L177" i="13" s="1"/>
  <c r="C3636" i="13" a="1"/>
  <c r="C3636" i="13" s="1"/>
  <c r="L178" i="13" s="1"/>
  <c r="C3656" i="13" a="1"/>
  <c r="C3656" i="13" s="1"/>
  <c r="L179" i="13" s="1"/>
  <c r="C3677" i="13" a="1"/>
  <c r="C3677" i="13" s="1"/>
  <c r="L180" i="13" s="1"/>
  <c r="C3700" i="13" a="1"/>
  <c r="C3700" i="13" s="1"/>
  <c r="L181" i="13" s="1"/>
  <c r="C3721" i="13" a="1"/>
  <c r="C3721" i="13" s="1"/>
  <c r="L182" i="13" s="1"/>
  <c r="C3739" i="13" a="1"/>
  <c r="C3739" i="13" s="1"/>
  <c r="L183" i="13" s="1"/>
  <c r="C3761" i="13" a="1"/>
  <c r="C3761" i="13" s="1"/>
  <c r="L184" i="13" s="1"/>
  <c r="C3781" i="13" a="1"/>
  <c r="C3781" i="13" s="1"/>
  <c r="L185" i="13" s="1"/>
  <c r="C3802" i="13" a="1"/>
  <c r="C3802" i="13" s="1"/>
  <c r="L186" i="13" s="1"/>
  <c r="L26" i="13"/>
  <c r="L31" i="13"/>
  <c r="L38" i="13"/>
  <c r="L40" i="13"/>
  <c r="L55" i="13"/>
  <c r="L57" i="13"/>
  <c r="L78" i="13"/>
  <c r="L79" i="13"/>
  <c r="L80" i="13"/>
  <c r="L81" i="13"/>
  <c r="L95" i="13"/>
  <c r="L104" i="13"/>
  <c r="L126" i="13"/>
  <c r="L143" i="13"/>
  <c r="L144" i="13"/>
  <c r="L150" i="13"/>
  <c r="L152" i="13"/>
  <c r="L154" i="13"/>
  <c r="L176" i="13"/>
  <c r="C212" i="13" a="1"/>
  <c r="C212" i="13" s="1"/>
  <c r="L13" i="13" s="1"/>
  <c r="C2" i="13" a="1"/>
  <c r="C2" i="13"/>
  <c r="L3" i="13"/>
  <c r="L8" i="13"/>
  <c r="L4" i="13"/>
  <c r="L5" i="13"/>
  <c r="L6" i="13"/>
  <c r="L7" i="13"/>
  <c r="L9" i="13"/>
  <c r="L10" i="13"/>
  <c r="L11" i="13"/>
  <c r="L12" i="13"/>
  <c r="L20" i="13"/>
  <c r="L28" i="13"/>
  <c r="L35" i="13"/>
  <c r="L43" i="13"/>
  <c r="L44" i="13"/>
  <c r="L51" i="13"/>
  <c r="L61" i="13"/>
  <c r="L76" i="13"/>
  <c r="L77" i="13"/>
  <c r="L101" i="13"/>
  <c r="L107" i="13"/>
  <c r="L115" i="13"/>
  <c r="L156" i="13"/>
  <c r="L171" i="13"/>
  <c r="M4" i="13"/>
  <c r="C191" i="13" a="1"/>
  <c r="C191" i="13" s="1"/>
  <c r="B191" i="13" a="1"/>
  <c r="B191" i="13" s="1"/>
  <c r="K12" i="13" s="1"/>
  <c r="M13" i="13" s="1"/>
  <c r="C169" i="13" a="1"/>
  <c r="C169" i="13" s="1"/>
  <c r="C148" i="13" a="1"/>
  <c r="C148" i="13" s="1"/>
  <c r="C126" i="13" a="1"/>
  <c r="C126" i="13" s="1"/>
  <c r="C104" i="13" a="1"/>
  <c r="C104" i="13" s="1"/>
  <c r="B104" i="13" a="1"/>
  <c r="B104" i="13"/>
  <c r="K8" i="13" s="1"/>
  <c r="M9" i="13" s="1"/>
  <c r="C85" i="13" a="1"/>
  <c r="C85" i="13" s="1"/>
  <c r="B65" i="13" a="1"/>
  <c r="B65" i="13" s="1"/>
  <c r="K6" i="13" s="1"/>
  <c r="M7" i="13" s="1"/>
  <c r="C65" i="13" a="1"/>
  <c r="C65" i="13" s="1"/>
  <c r="B42" i="13" a="1"/>
  <c r="B42" i="13" s="1"/>
  <c r="K5" i="13" s="1"/>
  <c r="M6" i="13" s="1"/>
  <c r="C42" i="13" a="1"/>
  <c r="C42" i="13"/>
  <c r="C22" i="13" a="1"/>
  <c r="C22" i="13" s="1"/>
  <c r="M43" i="12"/>
  <c r="M145" i="12"/>
  <c r="M177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5" i="12"/>
  <c r="S4" i="12"/>
  <c r="K171" i="14"/>
  <c r="M172" i="14" s="1"/>
  <c r="B3802" i="12" a="1"/>
  <c r="B3802" i="12" s="1"/>
  <c r="K186" i="12" s="1"/>
  <c r="B3781" i="12" a="1"/>
  <c r="B3781" i="12" s="1"/>
  <c r="K185" i="12" s="1"/>
  <c r="M186" i="12" s="1"/>
  <c r="B3761" i="12" a="1"/>
  <c r="B3761" i="12" s="1"/>
  <c r="K184" i="12" s="1"/>
  <c r="M185" i="12" s="1"/>
  <c r="B3739" i="12" a="1"/>
  <c r="B3739" i="12" s="1"/>
  <c r="K183" i="12" s="1"/>
  <c r="M184" i="12" s="1"/>
  <c r="B3721" i="12" a="1"/>
  <c r="B3721" i="12" s="1"/>
  <c r="K182" i="12" s="1"/>
  <c r="M183" i="12" s="1"/>
  <c r="B3700" i="12" a="1"/>
  <c r="B3700" i="12" s="1"/>
  <c r="K181" i="12" s="1"/>
  <c r="M182" i="12" s="1"/>
  <c r="B3677" i="12" a="1"/>
  <c r="B3677" i="12" s="1"/>
  <c r="K180" i="12" s="1"/>
  <c r="M181" i="12" s="1"/>
  <c r="B3656" i="12" a="1"/>
  <c r="B3656" i="12" s="1"/>
  <c r="K179" i="12" s="1"/>
  <c r="M180" i="12" s="1"/>
  <c r="B3636" i="12" a="1"/>
  <c r="B3636" i="12" s="1"/>
  <c r="K178" i="12" s="1"/>
  <c r="M179" i="12" s="1"/>
  <c r="B3613" i="12" a="1"/>
  <c r="B3613" i="12" s="1"/>
  <c r="K177" i="12" s="1"/>
  <c r="M178" i="12" s="1"/>
  <c r="B3593" i="12" a="1"/>
  <c r="B3593" i="12" s="1"/>
  <c r="K176" i="12" s="1"/>
  <c r="B3573" i="12" a="1"/>
  <c r="B3573" i="12" s="1"/>
  <c r="K175" i="12" s="1"/>
  <c r="M176" i="12" s="1"/>
  <c r="B3552" i="12" a="1"/>
  <c r="B3552" i="12" s="1"/>
  <c r="K174" i="12" s="1"/>
  <c r="M175" i="12" s="1"/>
  <c r="B3532" i="12" a="1"/>
  <c r="B3532" i="12" s="1"/>
  <c r="K173" i="12" s="1"/>
  <c r="M174" i="12" s="1"/>
  <c r="B3511" i="12" a="1"/>
  <c r="B3511" i="12" s="1"/>
  <c r="K172" i="12" s="1"/>
  <c r="M173" i="12" s="1"/>
  <c r="B3489" i="12" a="1"/>
  <c r="B3489" i="12" s="1"/>
  <c r="K171" i="12" s="1"/>
  <c r="M172" i="12" s="1"/>
  <c r="B3470" i="12" a="1"/>
  <c r="B3470" i="12" s="1"/>
  <c r="K170" i="12" s="1"/>
  <c r="M171" i="12" s="1"/>
  <c r="B3448" i="12" a="1"/>
  <c r="B3448" i="12" s="1"/>
  <c r="K169" i="12" s="1"/>
  <c r="M170" i="12" s="1"/>
  <c r="B3426" i="12" a="1"/>
  <c r="B3426" i="12" s="1"/>
  <c r="K168" i="12" s="1"/>
  <c r="M169" i="12" s="1"/>
  <c r="B3405" i="12" a="1"/>
  <c r="B3405" i="12" s="1"/>
  <c r="K167" i="12" s="1"/>
  <c r="M168" i="12" s="1"/>
  <c r="B3384" i="12" a="1"/>
  <c r="B3384" i="12" s="1"/>
  <c r="K166" i="12" s="1"/>
  <c r="M167" i="12" s="1"/>
  <c r="B3363" i="12" a="1"/>
  <c r="B3363" i="12" s="1"/>
  <c r="K165" i="12" s="1"/>
  <c r="M166" i="12" s="1"/>
  <c r="B3341" i="12" a="1"/>
  <c r="B3341" i="12" s="1"/>
  <c r="K164" i="12" s="1"/>
  <c r="M165" i="12" s="1"/>
  <c r="B3321" i="12" a="1"/>
  <c r="B3321" i="12" s="1"/>
  <c r="K163" i="12" s="1"/>
  <c r="M164" i="12" s="1"/>
  <c r="B3303" i="12" a="1"/>
  <c r="B3303" i="12" s="1"/>
  <c r="K162" i="12" s="1"/>
  <c r="M163" i="12" s="1"/>
  <c r="B3280" i="12" a="1"/>
  <c r="B3280" i="12" s="1"/>
  <c r="K161" i="12" s="1"/>
  <c r="M162" i="12" s="1"/>
  <c r="B3260" i="12" a="1"/>
  <c r="B3260" i="12" s="1"/>
  <c r="K160" i="12" s="1"/>
  <c r="M161" i="12" s="1"/>
  <c r="B3239" i="12" a="1"/>
  <c r="B3239" i="12" s="1"/>
  <c r="K159" i="12" s="1"/>
  <c r="M160" i="12" s="1"/>
  <c r="B3219" i="12" a="1"/>
  <c r="B3219" i="12" s="1"/>
  <c r="K158" i="12" s="1"/>
  <c r="M159" i="12" s="1"/>
  <c r="B3197" i="12" a="1"/>
  <c r="B3197" i="12" s="1"/>
  <c r="K157" i="12" s="1"/>
  <c r="M158" i="12" s="1"/>
  <c r="B3176" i="12" a="1"/>
  <c r="B3176" i="12" s="1"/>
  <c r="K156" i="12" s="1"/>
  <c r="M157" i="12" s="1"/>
  <c r="B3155" i="12" a="1"/>
  <c r="B3155" i="12" s="1"/>
  <c r="K155" i="12" s="1"/>
  <c r="M156" i="12" s="1"/>
  <c r="B3134" i="12" a="1"/>
  <c r="B3134" i="12" s="1"/>
  <c r="K154" i="12" s="1"/>
  <c r="M155" i="12" s="1"/>
  <c r="B3113" i="12" a="1"/>
  <c r="B3113" i="12" s="1"/>
  <c r="K153" i="12" s="1"/>
  <c r="M154" i="12" s="1"/>
  <c r="B3093" i="12" a="1"/>
  <c r="B3093" i="12" s="1"/>
  <c r="K152" i="12" s="1"/>
  <c r="M153" i="12" s="1"/>
  <c r="B3072" i="12" a="1"/>
  <c r="B3072" i="12" s="1"/>
  <c r="K151" i="12" s="1"/>
  <c r="M152" i="12" s="1"/>
  <c r="B3053" i="12" a="1"/>
  <c r="B3053" i="12" s="1"/>
  <c r="K150" i="12" s="1"/>
  <c r="M151" i="12" s="1"/>
  <c r="B3030" i="12" a="1"/>
  <c r="B3030" i="12" s="1"/>
  <c r="K149" i="12" s="1"/>
  <c r="M150" i="12" s="1"/>
  <c r="B3010" i="12" a="1"/>
  <c r="B3010" i="12" s="1"/>
  <c r="K148" i="12" s="1"/>
  <c r="M149" i="12" s="1"/>
  <c r="B2990" i="12" a="1"/>
  <c r="B2990" i="12" s="1"/>
  <c r="K147" i="12" s="1"/>
  <c r="M148" i="12" s="1"/>
  <c r="B2971" i="12" a="1"/>
  <c r="B2971" i="12" s="1"/>
  <c r="K146" i="12" s="1"/>
  <c r="M147" i="12" s="1"/>
  <c r="B2949" i="12" a="1"/>
  <c r="B2949" i="12" s="1"/>
  <c r="K145" i="12" s="1"/>
  <c r="M146" i="12" s="1"/>
  <c r="B2928" i="12" a="1"/>
  <c r="B2928" i="12" s="1"/>
  <c r="K144" i="12" s="1"/>
  <c r="B2906" i="12" a="1"/>
  <c r="B2906" i="12" s="1"/>
  <c r="K143" i="12" s="1"/>
  <c r="M144" i="12" s="1"/>
  <c r="B2885" i="12" a="1"/>
  <c r="B2885" i="12" s="1"/>
  <c r="K142" i="12" s="1"/>
  <c r="M143" i="12" s="1"/>
  <c r="B2863" i="12" a="1"/>
  <c r="B2863" i="12" s="1"/>
  <c r="K141" i="12" s="1"/>
  <c r="M142" i="12" s="1"/>
  <c r="B2841" i="12" a="1"/>
  <c r="B2841" i="12" s="1"/>
  <c r="K140" i="12" s="1"/>
  <c r="M141" i="12" s="1"/>
  <c r="B2823" i="12" a="1"/>
  <c r="B2823" i="12" s="1"/>
  <c r="K139" i="12" s="1"/>
  <c r="M140" i="12" s="1"/>
  <c r="B2803" i="12" a="1"/>
  <c r="B2803" i="12" s="1"/>
  <c r="K138" i="12" s="1"/>
  <c r="M139" i="12" s="1"/>
  <c r="B2780" i="12" a="1"/>
  <c r="B2780" i="12" s="1"/>
  <c r="K137" i="12" s="1"/>
  <c r="M138" i="12" s="1"/>
  <c r="B2760" i="12" a="1"/>
  <c r="B2760" i="12" s="1"/>
  <c r="K136" i="12" s="1"/>
  <c r="M137" i="12" s="1"/>
  <c r="B2740" i="12" a="1"/>
  <c r="B2740" i="12" s="1"/>
  <c r="K135" i="12" s="1"/>
  <c r="M136" i="12" s="1"/>
  <c r="B2721" i="12" a="1"/>
  <c r="B2721" i="12" s="1"/>
  <c r="K134" i="12" s="1"/>
  <c r="M135" i="12" s="1"/>
  <c r="B2700" i="12" a="1"/>
  <c r="B2700" i="12" s="1"/>
  <c r="K133" i="12" s="1"/>
  <c r="M134" i="12" s="1"/>
  <c r="B2678" i="12" a="1"/>
  <c r="B2678" i="12" s="1"/>
  <c r="K132" i="12" s="1"/>
  <c r="M133" i="12" s="1"/>
  <c r="B2656" i="12" a="1"/>
  <c r="B2656" i="12" s="1"/>
  <c r="K131" i="12" s="1"/>
  <c r="M132" i="12" s="1"/>
  <c r="B2636" i="12" a="1"/>
  <c r="B2636" i="12" s="1"/>
  <c r="K130" i="12" s="1"/>
  <c r="M131" i="12" s="1"/>
  <c r="B2613" i="12" a="1"/>
  <c r="B2613" i="12" s="1"/>
  <c r="K129" i="12" s="1"/>
  <c r="M130" i="12" s="1"/>
  <c r="B2592" i="12" a="1"/>
  <c r="B2592" i="12" s="1"/>
  <c r="K128" i="12" s="1"/>
  <c r="M129" i="12" s="1"/>
  <c r="B2574" i="12" a="1"/>
  <c r="B2574" i="12" s="1"/>
  <c r="K127" i="12" s="1"/>
  <c r="M128" i="12" s="1"/>
  <c r="B2554" i="12" a="1"/>
  <c r="B2554" i="12" s="1"/>
  <c r="K126" i="12" s="1"/>
  <c r="M127" i="12" s="1"/>
  <c r="B2532" i="12" a="1"/>
  <c r="B2532" i="12" s="1"/>
  <c r="B2512" i="12" a="1"/>
  <c r="B2512" i="12" s="1"/>
  <c r="K124" i="12" s="1"/>
  <c r="M125" i="12" s="1"/>
  <c r="B2490" i="12" a="1"/>
  <c r="B2490" i="12" s="1"/>
  <c r="K123" i="12" s="1"/>
  <c r="M124" i="12" s="1"/>
  <c r="B2472" i="12" a="1"/>
  <c r="B2472" i="12" s="1"/>
  <c r="K122" i="12" s="1"/>
  <c r="M123" i="12" s="1"/>
  <c r="B2451" i="12" a="1"/>
  <c r="B2451" i="12" s="1"/>
  <c r="K121" i="12" s="1"/>
  <c r="M122" i="12" s="1"/>
  <c r="B2429" i="12" a="1"/>
  <c r="B2429" i="12" s="1"/>
  <c r="K120" i="12" s="1"/>
  <c r="M121" i="12" s="1"/>
  <c r="B2408" i="12" a="1"/>
  <c r="B2408" i="12" s="1"/>
  <c r="K119" i="12" s="1"/>
  <c r="M120" i="12" s="1"/>
  <c r="B2388" i="12" a="1"/>
  <c r="B2388" i="12" s="1"/>
  <c r="K118" i="12" s="1"/>
  <c r="M119" i="12" s="1"/>
  <c r="B2365" i="12" a="1"/>
  <c r="B2365" i="12" s="1"/>
  <c r="K117" i="12" s="1"/>
  <c r="M118" i="12" s="1"/>
  <c r="B2346" i="12" a="1"/>
  <c r="B2346" i="12" s="1"/>
  <c r="K116" i="12" s="1"/>
  <c r="M117" i="12" s="1"/>
  <c r="B2326" i="12" a="1"/>
  <c r="B2326" i="12" s="1"/>
  <c r="K115" i="12" s="1"/>
  <c r="M116" i="12" s="1"/>
  <c r="B2306" i="12" a="1"/>
  <c r="B2306" i="12" s="1"/>
  <c r="K114" i="12" s="1"/>
  <c r="M115" i="12" s="1"/>
  <c r="B2285" i="12" a="1"/>
  <c r="B2285" i="12" s="1"/>
  <c r="K113" i="12" s="1"/>
  <c r="M114" i="12" s="1"/>
  <c r="B2265" i="12" a="1"/>
  <c r="B2265" i="12" s="1"/>
  <c r="K112" i="12" s="1"/>
  <c r="M113" i="12" s="1"/>
  <c r="B2243" i="12" a="1"/>
  <c r="B2243" i="12" s="1"/>
  <c r="K111" i="12" s="1"/>
  <c r="M112" i="12" s="1"/>
  <c r="B2226" i="12" a="1"/>
  <c r="B2226" i="12" s="1"/>
  <c r="K110" i="12" s="1"/>
  <c r="M111" i="12" s="1"/>
  <c r="B2204" i="12" a="1"/>
  <c r="B2204" i="12" s="1"/>
  <c r="K109" i="12" s="1"/>
  <c r="M110" i="12" s="1"/>
  <c r="B2182" i="12" a="1"/>
  <c r="B2182" i="12" s="1"/>
  <c r="K108" i="12" s="1"/>
  <c r="M109" i="12" s="1"/>
  <c r="B2162" i="12" a="1"/>
  <c r="B2162" i="12" s="1"/>
  <c r="K107" i="12" s="1"/>
  <c r="M108" i="12" s="1"/>
  <c r="B2141" i="12" a="1"/>
  <c r="B2141" i="12" s="1"/>
  <c r="K106" i="12" s="1"/>
  <c r="M107" i="12" s="1"/>
  <c r="B2119" i="12" a="1"/>
  <c r="B2119" i="12" s="1"/>
  <c r="K105" i="12" s="1"/>
  <c r="M106" i="12" s="1"/>
  <c r="B2098" i="12" a="1"/>
  <c r="B2098" i="12" s="1"/>
  <c r="K104" i="12" s="1"/>
  <c r="M105" i="12" s="1"/>
  <c r="B2079" i="12" a="1"/>
  <c r="B2079" i="12" s="1"/>
  <c r="K103" i="12" s="1"/>
  <c r="M104" i="12" s="1"/>
  <c r="B2059" i="12" a="1"/>
  <c r="B2059" i="12" s="1"/>
  <c r="K102" i="12" s="1"/>
  <c r="M103" i="12" s="1"/>
  <c r="B2038" i="12" a="1"/>
  <c r="B2038" i="12" s="1"/>
  <c r="K101" i="12" s="1"/>
  <c r="M102" i="12" s="1"/>
  <c r="B2018" i="12" a="1"/>
  <c r="B2018" i="12" s="1"/>
  <c r="K100" i="12" s="1"/>
  <c r="M101" i="12" s="1"/>
  <c r="B1996" i="12" a="1"/>
  <c r="B1996" i="12" s="1"/>
  <c r="K99" i="12" s="1"/>
  <c r="M100" i="12" s="1"/>
  <c r="B1977" i="12" a="1"/>
  <c r="B1977" i="12" s="1"/>
  <c r="K98" i="12" s="1"/>
  <c r="M99" i="12" s="1"/>
  <c r="B1955" i="12" a="1"/>
  <c r="B1955" i="12" s="1"/>
  <c r="K97" i="12" s="1"/>
  <c r="M98" i="12" s="1"/>
  <c r="B1935" i="12" a="1"/>
  <c r="B1935" i="12" s="1"/>
  <c r="K96" i="12" s="1"/>
  <c r="M97" i="12" s="1"/>
  <c r="B1914" i="12" a="1"/>
  <c r="B1914" i="12" s="1"/>
  <c r="K95" i="12" s="1"/>
  <c r="M96" i="12" s="1"/>
  <c r="B1893" i="12" a="1"/>
  <c r="B1893" i="12" s="1"/>
  <c r="K94" i="12" s="1"/>
  <c r="M95" i="12" s="1"/>
  <c r="B1872" i="12" a="1"/>
  <c r="B1872" i="12" s="1"/>
  <c r="K93" i="12" s="1"/>
  <c r="M94" i="12" s="1"/>
  <c r="B1851" i="12" a="1"/>
  <c r="B1851" i="12" s="1"/>
  <c r="K92" i="12" s="1"/>
  <c r="M93" i="12" s="1"/>
  <c r="B1830" i="12" a="1"/>
  <c r="B1830" i="12" s="1"/>
  <c r="K91" i="12" s="1"/>
  <c r="M92" i="12" s="1"/>
  <c r="B1812" i="12" a="1"/>
  <c r="B1812" i="12" s="1"/>
  <c r="K90" i="12" s="1"/>
  <c r="M91" i="12" s="1"/>
  <c r="B1789" i="12" a="1"/>
  <c r="B1789" i="12" s="1"/>
  <c r="K89" i="12" s="1"/>
  <c r="M90" i="12" s="1"/>
  <c r="B1769" i="12" a="1"/>
  <c r="B1769" i="12" s="1"/>
  <c r="K88" i="12" s="1"/>
  <c r="M89" i="12" s="1"/>
  <c r="B1748" i="12" a="1"/>
  <c r="B1748" i="12" s="1"/>
  <c r="K87" i="12" s="1"/>
  <c r="M88" i="12" s="1"/>
  <c r="B1728" i="12" a="1"/>
  <c r="B1728" i="12" s="1"/>
  <c r="K86" i="12" s="1"/>
  <c r="M87" i="12" s="1"/>
  <c r="B1706" i="12" a="1"/>
  <c r="B1706" i="12" s="1"/>
  <c r="K85" i="12" s="1"/>
  <c r="M86" i="12" s="1"/>
  <c r="B1686" i="12" a="1"/>
  <c r="B1686" i="12" s="1"/>
  <c r="K84" i="12" s="1"/>
  <c r="M85" i="12" s="1"/>
  <c r="B1664" i="12" a="1"/>
  <c r="B1664" i="12" s="1"/>
  <c r="K83" i="12" s="1"/>
  <c r="M84" i="12" s="1"/>
  <c r="B1643" i="12" a="1"/>
  <c r="B1643" i="12" s="1"/>
  <c r="K82" i="12" s="1"/>
  <c r="M83" i="12" s="1"/>
  <c r="B1622" i="12" a="1"/>
  <c r="B1622" i="12" s="1"/>
  <c r="K81" i="12" s="1"/>
  <c r="M82" i="12" s="1"/>
  <c r="B1600" i="12" a="1"/>
  <c r="B1600" i="12" s="1"/>
  <c r="K80" i="12" s="1"/>
  <c r="M81" i="12" s="1"/>
  <c r="B1581" i="12" a="1"/>
  <c r="B1581" i="12" s="1"/>
  <c r="K79" i="12" s="1"/>
  <c r="M80" i="12" s="1"/>
  <c r="B1560" i="12" a="1"/>
  <c r="B1560" i="12" s="1"/>
  <c r="K78" i="12" s="1"/>
  <c r="M79" i="12" s="1"/>
  <c r="B1539" i="12" a="1"/>
  <c r="B1539" i="12" s="1"/>
  <c r="K77" i="12" s="1"/>
  <c r="M78" i="12" s="1"/>
  <c r="B1518" i="12" a="1"/>
  <c r="B1518" i="12" s="1"/>
  <c r="K76" i="12" s="1"/>
  <c r="M77" i="12" s="1"/>
  <c r="B1498" i="12" a="1"/>
  <c r="B1498" i="12" s="1"/>
  <c r="K75" i="12" s="1"/>
  <c r="M76" i="12" s="1"/>
  <c r="B1479" i="12" a="1"/>
  <c r="B1479" i="12" s="1"/>
  <c r="K74" i="12" s="1"/>
  <c r="M75" i="12" s="1"/>
  <c r="B1458" i="12" a="1"/>
  <c r="B1458" i="12" s="1"/>
  <c r="K73" i="12" s="1"/>
  <c r="M74" i="12" s="1"/>
  <c r="B1436" i="12" a="1"/>
  <c r="B1436" i="12" s="1"/>
  <c r="K72" i="12" s="1"/>
  <c r="M73" i="12" s="1"/>
  <c r="B1414" i="12" a="1"/>
  <c r="B1414" i="12" s="1"/>
  <c r="K71" i="12" s="1"/>
  <c r="M72" i="12" s="1"/>
  <c r="B1394" i="12" a="1"/>
  <c r="B1394" i="12" s="1"/>
  <c r="K70" i="12" s="1"/>
  <c r="M71" i="12" s="1"/>
  <c r="B1371" i="12" a="1"/>
  <c r="B1371" i="12" s="1"/>
  <c r="K69" i="12" s="1"/>
  <c r="M70" i="12" s="1"/>
  <c r="B1349" i="12" a="1"/>
  <c r="B1349" i="12" s="1"/>
  <c r="K68" i="12" s="1"/>
  <c r="M69" i="12" s="1"/>
  <c r="B1331" i="12" a="1"/>
  <c r="B1331" i="12" s="1"/>
  <c r="K67" i="12" s="1"/>
  <c r="M68" i="12" s="1"/>
  <c r="B1311" i="12" a="1"/>
  <c r="B1311" i="12" s="1"/>
  <c r="K66" i="12" s="1"/>
  <c r="M67" i="12" s="1"/>
  <c r="B1289" i="12" a="1"/>
  <c r="B1289" i="12" s="1"/>
  <c r="K65" i="12" s="1"/>
  <c r="M66" i="12" s="1"/>
  <c r="B1269" i="12" a="1"/>
  <c r="B1269" i="12" s="1"/>
  <c r="K64" i="12" s="1"/>
  <c r="M65" i="12" s="1"/>
  <c r="B1248" i="12" a="1"/>
  <c r="B1248" i="12" s="1"/>
  <c r="K63" i="12" s="1"/>
  <c r="M64" i="12" s="1"/>
  <c r="B1229" i="12" a="1"/>
  <c r="B1229" i="12" s="1"/>
  <c r="K62" i="12" s="1"/>
  <c r="M63" i="12" s="1"/>
  <c r="B1209" i="12" a="1"/>
  <c r="B1209" i="12" s="1"/>
  <c r="K61" i="12" s="1"/>
  <c r="M62" i="12" s="1"/>
  <c r="B1187" i="12" a="1"/>
  <c r="B1187" i="12" s="1"/>
  <c r="K60" i="12" s="1"/>
  <c r="M61" i="12" s="1"/>
  <c r="B1165" i="12" a="1"/>
  <c r="B1165" i="12" s="1"/>
  <c r="K59" i="12" s="1"/>
  <c r="M60" i="12" s="1"/>
  <c r="B1146" i="12" a="1"/>
  <c r="B1146" i="12" s="1"/>
  <c r="K58" i="12" s="1"/>
  <c r="M59" i="12" s="1"/>
  <c r="B1123" i="12" a="1"/>
  <c r="B1123" i="12" s="1"/>
  <c r="K57" i="12" s="1"/>
  <c r="M58" i="12" s="1"/>
  <c r="B1102" i="12" a="1"/>
  <c r="B1102" i="12" s="1"/>
  <c r="K56" i="12" s="1"/>
  <c r="M57" i="12" s="1"/>
  <c r="B1083" i="12" a="1"/>
  <c r="B1083" i="12" s="1"/>
  <c r="K55" i="12" s="1"/>
  <c r="M56" i="12" s="1"/>
  <c r="B1063" i="12" a="1"/>
  <c r="B1063" i="12" s="1"/>
  <c r="K54" i="12" s="1"/>
  <c r="M55" i="12" s="1"/>
  <c r="B1042" i="12" a="1"/>
  <c r="B1042" i="12" s="1"/>
  <c r="K53" i="12" s="1"/>
  <c r="M54" i="12" s="1"/>
  <c r="B1022" i="12" a="1"/>
  <c r="B1022" i="12" s="1"/>
  <c r="K52" i="12" s="1"/>
  <c r="M53" i="12" s="1"/>
  <c r="B1000" i="12" a="1"/>
  <c r="B1000" i="12" s="1"/>
  <c r="K51" i="12" s="1"/>
  <c r="M52" i="12" s="1"/>
  <c r="B982" i="12" a="1"/>
  <c r="B982" i="12" s="1"/>
  <c r="K50" i="12" s="1"/>
  <c r="M51" i="12" s="1"/>
  <c r="B961" i="12" a="1"/>
  <c r="B961" i="12" s="1"/>
  <c r="K49" i="12" s="1"/>
  <c r="M50" i="12" s="1"/>
  <c r="B938" i="12" a="1"/>
  <c r="B938" i="12" s="1"/>
  <c r="K48" i="12" s="1"/>
  <c r="M49" i="12" s="1"/>
  <c r="B917" i="12" a="1"/>
  <c r="B917" i="12" s="1"/>
  <c r="K47" i="12" s="1"/>
  <c r="M48" i="12" s="1"/>
  <c r="B897" i="12" a="1"/>
  <c r="B897" i="12" s="1"/>
  <c r="K46" i="12" s="1"/>
  <c r="M47" i="12" s="1"/>
  <c r="B874" i="12" a="1"/>
  <c r="B874" i="12" s="1"/>
  <c r="K45" i="12" s="1"/>
  <c r="M46" i="12" s="1"/>
  <c r="B854" i="12" a="1"/>
  <c r="B854" i="12" s="1"/>
  <c r="K44" i="12" s="1"/>
  <c r="M45" i="12" s="1"/>
  <c r="B834" i="12" a="1"/>
  <c r="B834" i="12" s="1"/>
  <c r="K43" i="12" s="1"/>
  <c r="M44" i="12" s="1"/>
  <c r="B813" i="12" a="1"/>
  <c r="B813" i="12" s="1"/>
  <c r="K42" i="12" s="1"/>
  <c r="B793" i="12" a="1"/>
  <c r="B793" i="12" s="1"/>
  <c r="K41" i="12" s="1"/>
  <c r="M42" i="12" s="1"/>
  <c r="B773" i="12" a="1"/>
  <c r="B773" i="12" s="1"/>
  <c r="K40" i="12" s="1"/>
  <c r="M41" i="12" s="1"/>
  <c r="B751" i="12" a="1"/>
  <c r="B751" i="12" s="1"/>
  <c r="K39" i="12" s="1"/>
  <c r="M40" i="12" s="1"/>
  <c r="B734" i="12" a="1"/>
  <c r="B734" i="12" s="1"/>
  <c r="K38" i="12" s="1"/>
  <c r="M39" i="12" s="1"/>
  <c r="B712" i="12" a="1"/>
  <c r="B712" i="12" s="1"/>
  <c r="K37" i="12" s="1"/>
  <c r="M38" i="12" s="1"/>
  <c r="B689" i="12" a="1"/>
  <c r="B689" i="12" s="1"/>
  <c r="K36" i="12" s="1"/>
  <c r="M37" i="12" s="1"/>
  <c r="B669" i="12" a="1"/>
  <c r="B669" i="12" s="1"/>
  <c r="K35" i="12" s="1"/>
  <c r="M36" i="12" s="1"/>
  <c r="B648" i="12" a="1"/>
  <c r="B648" i="12" s="1"/>
  <c r="K34" i="12" s="1"/>
  <c r="M35" i="12" s="1"/>
  <c r="B626" i="12" a="1"/>
  <c r="B626" i="12" s="1"/>
  <c r="K33" i="12" s="1"/>
  <c r="M34" i="12" s="1"/>
  <c r="B607" i="12" a="1"/>
  <c r="B607" i="12" s="1"/>
  <c r="K32" i="12" s="1"/>
  <c r="M33" i="12" s="1"/>
  <c r="B586" i="12" a="1"/>
  <c r="B586" i="12" s="1"/>
  <c r="K31" i="12" s="1"/>
  <c r="M32" i="12" s="1"/>
  <c r="B567" i="12" a="1"/>
  <c r="B567" i="12" s="1"/>
  <c r="K30" i="12" s="1"/>
  <c r="M31" i="12" s="1"/>
  <c r="B545" i="12" a="1"/>
  <c r="B545" i="12" s="1"/>
  <c r="K29" i="12" s="1"/>
  <c r="M30" i="12" s="1"/>
  <c r="B524" i="12" a="1"/>
  <c r="B524" i="12" s="1"/>
  <c r="K28" i="12" s="1"/>
  <c r="M29" i="12" s="1"/>
  <c r="B503" i="12" a="1"/>
  <c r="B503" i="12" s="1"/>
  <c r="K27" i="12" s="1"/>
  <c r="M28" i="12" s="1"/>
  <c r="B483" i="12" a="1"/>
  <c r="B483" i="12" s="1"/>
  <c r="K26" i="12" s="1"/>
  <c r="M27" i="12" s="1"/>
  <c r="B461" i="12" a="1"/>
  <c r="B461" i="12" s="1"/>
  <c r="K25" i="12" s="1"/>
  <c r="M26" i="12" s="1"/>
  <c r="B440" i="12" a="1"/>
  <c r="B440" i="12" s="1"/>
  <c r="K24" i="12" s="1"/>
  <c r="M25" i="12" s="1"/>
  <c r="B418" i="12" a="1"/>
  <c r="B418" i="12" s="1"/>
  <c r="K23" i="12" s="1"/>
  <c r="M24" i="12" s="1"/>
  <c r="B397" i="12" a="1"/>
  <c r="B397" i="12" s="1"/>
  <c r="K22" i="12" s="1"/>
  <c r="M23" i="12" s="1"/>
  <c r="B376" i="12" a="1"/>
  <c r="B376" i="12" s="1"/>
  <c r="K21" i="12" s="1"/>
  <c r="M22" i="12" s="1"/>
  <c r="B354" i="12" a="1"/>
  <c r="B354" i="12" s="1"/>
  <c r="K20" i="12" s="1"/>
  <c r="M21" i="12" s="1"/>
  <c r="B334" i="12" a="1"/>
  <c r="B334" i="12" s="1"/>
  <c r="K19" i="12" s="1"/>
  <c r="M20" i="12" s="1"/>
  <c r="B316" i="12" a="1"/>
  <c r="B316" i="12" s="1"/>
  <c r="K18" i="12" s="1"/>
  <c r="M19" i="12" s="1"/>
  <c r="B293" i="12" a="1"/>
  <c r="B293" i="12" s="1"/>
  <c r="K17" i="12" s="1"/>
  <c r="M18" i="12" s="1"/>
  <c r="B273" i="12" a="1"/>
  <c r="B273" i="12" s="1"/>
  <c r="K16" i="12" s="1"/>
  <c r="M17" i="12" s="1"/>
  <c r="B253" i="12" a="1"/>
  <c r="B253" i="12" s="1"/>
  <c r="K15" i="12" s="1"/>
  <c r="M16" i="12" s="1"/>
  <c r="B234" i="12" a="1"/>
  <c r="B234" i="12" s="1"/>
  <c r="K14" i="12" s="1"/>
  <c r="M15" i="12" s="1"/>
  <c r="B212" i="12" a="1"/>
  <c r="B212" i="12" s="1"/>
  <c r="K13" i="12" s="1"/>
  <c r="M14" i="12" s="1"/>
  <c r="B191" i="12" a="1"/>
  <c r="B191" i="12" s="1"/>
  <c r="K12" i="12" s="1"/>
  <c r="M13" i="12" s="1"/>
  <c r="B169" i="12" a="1"/>
  <c r="B169" i="12" s="1"/>
  <c r="K11" i="12" s="1"/>
  <c r="M12" i="12" s="1"/>
  <c r="B148" i="12" a="1"/>
  <c r="B148" i="12" s="1"/>
  <c r="K10" i="12" s="1"/>
  <c r="M11" i="12" s="1"/>
  <c r="B126" i="12" a="1"/>
  <c r="B126" i="12" s="1"/>
  <c r="K9" i="12" s="1"/>
  <c r="M10" i="12" s="1"/>
  <c r="B104" i="12" a="1"/>
  <c r="B104" i="12" s="1"/>
  <c r="K8" i="12" s="1"/>
  <c r="M9" i="12" s="1"/>
  <c r="B85" i="12" a="1"/>
  <c r="B85" i="12" s="1"/>
  <c r="K7" i="12" s="1"/>
  <c r="M8" i="12" s="1"/>
  <c r="B65" i="12" a="1"/>
  <c r="B65" i="12" s="1"/>
  <c r="K6" i="12" s="1"/>
  <c r="M7" i="12" s="1"/>
  <c r="B42" i="12" a="1"/>
  <c r="B42" i="12" s="1"/>
  <c r="K5" i="12" s="1"/>
  <c r="M6" i="12" s="1"/>
  <c r="B22" i="12" a="1"/>
  <c r="B22" i="12" s="1"/>
  <c r="K4" i="12" s="1"/>
  <c r="M5" i="12" s="1"/>
  <c r="B2" i="12" a="1"/>
  <c r="B2" i="12" s="1"/>
  <c r="K3" i="12" s="1"/>
  <c r="M4" i="12" s="1"/>
  <c r="B3802" i="13" a="1"/>
  <c r="B3802" i="13" s="1"/>
  <c r="K186" i="13" s="1"/>
  <c r="B3781" i="13" a="1"/>
  <c r="B3781" i="13" s="1"/>
  <c r="K185" i="13" s="1"/>
  <c r="M186" i="13" s="1"/>
  <c r="B3761" i="13" a="1"/>
  <c r="B3761" i="13" s="1"/>
  <c r="K184" i="13" s="1"/>
  <c r="M185" i="13" s="1"/>
  <c r="B3739" i="13" a="1"/>
  <c r="B3739" i="13" s="1"/>
  <c r="K183" i="13" s="1"/>
  <c r="M184" i="13" s="1"/>
  <c r="B3721" i="13" a="1"/>
  <c r="B3721" i="13" s="1"/>
  <c r="K182" i="13" s="1"/>
  <c r="M183" i="13" s="1"/>
  <c r="B3700" i="13" a="1"/>
  <c r="B3700" i="13" s="1"/>
  <c r="K181" i="13" s="1"/>
  <c r="M182" i="13" s="1"/>
  <c r="B3677" i="13" a="1"/>
  <c r="B3677" i="13" s="1"/>
  <c r="K180" i="13" s="1"/>
  <c r="M181" i="13" s="1"/>
  <c r="B3656" i="13" a="1"/>
  <c r="B3656" i="13" s="1"/>
  <c r="K179" i="13" s="1"/>
  <c r="M180" i="13" s="1"/>
  <c r="B3636" i="13" a="1"/>
  <c r="B3636" i="13" s="1"/>
  <c r="K178" i="13" s="1"/>
  <c r="M179" i="13" s="1"/>
  <c r="B3613" i="13" a="1"/>
  <c r="B3613" i="13" s="1"/>
  <c r="K177" i="13" s="1"/>
  <c r="M178" i="13" s="1"/>
  <c r="B3593" i="13" a="1"/>
  <c r="B3593" i="13" s="1"/>
  <c r="K176" i="13" s="1"/>
  <c r="M177" i="13" s="1"/>
  <c r="B3573" i="13" a="1"/>
  <c r="B3573" i="13" s="1"/>
  <c r="K175" i="13" s="1"/>
  <c r="M176" i="13" s="1"/>
  <c r="B3552" i="13" a="1"/>
  <c r="B3552" i="13" s="1"/>
  <c r="K174" i="13" s="1"/>
  <c r="M175" i="13" s="1"/>
  <c r="B3532" i="13" a="1"/>
  <c r="B3532" i="13" s="1"/>
  <c r="K173" i="13" s="1"/>
  <c r="M174" i="13" s="1"/>
  <c r="B3511" i="13" a="1"/>
  <c r="B3511" i="13" s="1"/>
  <c r="K172" i="13" s="1"/>
  <c r="M173" i="13" s="1"/>
  <c r="B3489" i="13" a="1"/>
  <c r="B3489" i="13" s="1"/>
  <c r="K171" i="13" s="1"/>
  <c r="M172" i="13" s="1"/>
  <c r="B3470" i="13" a="1"/>
  <c r="B3470" i="13" s="1"/>
  <c r="K170" i="13" s="1"/>
  <c r="M171" i="13" s="1"/>
  <c r="B3448" i="13" a="1"/>
  <c r="B3448" i="13" s="1"/>
  <c r="K169" i="13" s="1"/>
  <c r="M170" i="13" s="1"/>
  <c r="B3426" i="13" a="1"/>
  <c r="B3426" i="13" s="1"/>
  <c r="K168" i="13" s="1"/>
  <c r="M169" i="13" s="1"/>
  <c r="B3405" i="13" a="1"/>
  <c r="B3405" i="13" s="1"/>
  <c r="K167" i="13" s="1"/>
  <c r="M168" i="13" s="1"/>
  <c r="B3384" i="13" a="1"/>
  <c r="B3384" i="13" s="1"/>
  <c r="K166" i="13" s="1"/>
  <c r="M167" i="13" s="1"/>
  <c r="B3363" i="13" a="1"/>
  <c r="B3363" i="13" s="1"/>
  <c r="K165" i="13" s="1"/>
  <c r="M166" i="13" s="1"/>
  <c r="B3341" i="13" a="1"/>
  <c r="B3341" i="13" s="1"/>
  <c r="K164" i="13" s="1"/>
  <c r="M165" i="13" s="1"/>
  <c r="B3321" i="13" a="1"/>
  <c r="B3321" i="13" s="1"/>
  <c r="K163" i="13" s="1"/>
  <c r="M164" i="13" s="1"/>
  <c r="B3303" i="13" a="1"/>
  <c r="B3303" i="13" s="1"/>
  <c r="K162" i="13" s="1"/>
  <c r="M163" i="13" s="1"/>
  <c r="B3280" i="13" a="1"/>
  <c r="B3280" i="13" s="1"/>
  <c r="K161" i="13" s="1"/>
  <c r="M162" i="13" s="1"/>
  <c r="B3260" i="13" a="1"/>
  <c r="B3260" i="13" s="1"/>
  <c r="K160" i="13" s="1"/>
  <c r="M161" i="13" s="1"/>
  <c r="B3239" i="13" a="1"/>
  <c r="B3239" i="13" s="1"/>
  <c r="K159" i="13" s="1"/>
  <c r="M160" i="13" s="1"/>
  <c r="B3219" i="13" a="1"/>
  <c r="B3219" i="13" s="1"/>
  <c r="K158" i="13" s="1"/>
  <c r="M159" i="13" s="1"/>
  <c r="B3197" i="13" a="1"/>
  <c r="B3197" i="13" s="1"/>
  <c r="K157" i="13" s="1"/>
  <c r="M158" i="13" s="1"/>
  <c r="B3176" i="13" a="1"/>
  <c r="B3176" i="13" s="1"/>
  <c r="K156" i="13" s="1"/>
  <c r="M157" i="13" s="1"/>
  <c r="B3155" i="13" a="1"/>
  <c r="B3155" i="13" s="1"/>
  <c r="K155" i="13" s="1"/>
  <c r="M156" i="13" s="1"/>
  <c r="B3134" i="13" a="1"/>
  <c r="B3134" i="13" s="1"/>
  <c r="K154" i="13" s="1"/>
  <c r="M155" i="13" s="1"/>
  <c r="B3113" i="13" a="1"/>
  <c r="B3113" i="13" s="1"/>
  <c r="K153" i="13" s="1"/>
  <c r="M154" i="13" s="1"/>
  <c r="B3093" i="13" a="1"/>
  <c r="B3093" i="13" s="1"/>
  <c r="K152" i="13" s="1"/>
  <c r="M153" i="13" s="1"/>
  <c r="B3072" i="13" a="1"/>
  <c r="B3072" i="13" s="1"/>
  <c r="K151" i="13" s="1"/>
  <c r="M152" i="13" s="1"/>
  <c r="B3053" i="13" a="1"/>
  <c r="B3053" i="13" s="1"/>
  <c r="K150" i="13" s="1"/>
  <c r="M151" i="13" s="1"/>
  <c r="B3030" i="13" a="1"/>
  <c r="B3030" i="13" s="1"/>
  <c r="K149" i="13" s="1"/>
  <c r="M150" i="13" s="1"/>
  <c r="B3010" i="13" a="1"/>
  <c r="B3010" i="13" s="1"/>
  <c r="K148" i="13" s="1"/>
  <c r="M149" i="13" s="1"/>
  <c r="B2990" i="13" a="1"/>
  <c r="B2990" i="13" s="1"/>
  <c r="K147" i="13" s="1"/>
  <c r="M148" i="13" s="1"/>
  <c r="B2971" i="13" a="1"/>
  <c r="B2971" i="13" s="1"/>
  <c r="K146" i="13" s="1"/>
  <c r="M147" i="13" s="1"/>
  <c r="B2949" i="13" a="1"/>
  <c r="B2949" i="13" s="1"/>
  <c r="K145" i="13" s="1"/>
  <c r="M146" i="13" s="1"/>
  <c r="B2928" i="13" a="1"/>
  <c r="B2928" i="13" s="1"/>
  <c r="K144" i="13" s="1"/>
  <c r="M145" i="13" s="1"/>
  <c r="B2906" i="13" a="1"/>
  <c r="B2906" i="13" s="1"/>
  <c r="K143" i="13" s="1"/>
  <c r="M144" i="13" s="1"/>
  <c r="B2885" i="13" a="1"/>
  <c r="B2885" i="13" s="1"/>
  <c r="K142" i="13" s="1"/>
  <c r="M143" i="13" s="1"/>
  <c r="B2863" i="13" a="1"/>
  <c r="B2863" i="13" s="1"/>
  <c r="K141" i="13" s="1"/>
  <c r="M142" i="13" s="1"/>
  <c r="B2841" i="13" a="1"/>
  <c r="B2841" i="13" s="1"/>
  <c r="K140" i="13" s="1"/>
  <c r="M141" i="13" s="1"/>
  <c r="B2823" i="13" a="1"/>
  <c r="B2823" i="13" s="1"/>
  <c r="K139" i="13" s="1"/>
  <c r="M140" i="13" s="1"/>
  <c r="B2803" i="13" a="1"/>
  <c r="B2803" i="13" s="1"/>
  <c r="K138" i="13" s="1"/>
  <c r="M139" i="13" s="1"/>
  <c r="B2780" i="13" a="1"/>
  <c r="B2780" i="13" s="1"/>
  <c r="K137" i="13" s="1"/>
  <c r="M138" i="13" s="1"/>
  <c r="B2760" i="13" a="1"/>
  <c r="B2760" i="13" s="1"/>
  <c r="K136" i="13" s="1"/>
  <c r="M137" i="13" s="1"/>
  <c r="B2740" i="13" a="1"/>
  <c r="B2740" i="13" s="1"/>
  <c r="K135" i="13" s="1"/>
  <c r="M136" i="13" s="1"/>
  <c r="B2721" i="13" a="1"/>
  <c r="B2721" i="13" s="1"/>
  <c r="K134" i="13" s="1"/>
  <c r="M135" i="13" s="1"/>
  <c r="B2700" i="13" a="1"/>
  <c r="B2700" i="13" s="1"/>
  <c r="K133" i="13" s="1"/>
  <c r="M134" i="13" s="1"/>
  <c r="B2678" i="13" a="1"/>
  <c r="B2678" i="13" s="1"/>
  <c r="K132" i="13" s="1"/>
  <c r="M133" i="13" s="1"/>
  <c r="B2656" i="13" a="1"/>
  <c r="B2656" i="13" s="1"/>
  <c r="K131" i="13" s="1"/>
  <c r="M132" i="13" s="1"/>
  <c r="B2636" i="13" a="1"/>
  <c r="B2636" i="13" s="1"/>
  <c r="K130" i="13" s="1"/>
  <c r="M131" i="13" s="1"/>
  <c r="B2613" i="13" a="1"/>
  <c r="B2613" i="13" s="1"/>
  <c r="K129" i="13" s="1"/>
  <c r="M130" i="13" s="1"/>
  <c r="B2592" i="13" a="1"/>
  <c r="B2592" i="13" s="1"/>
  <c r="K128" i="13" s="1"/>
  <c r="M129" i="13" s="1"/>
  <c r="B2574" i="13" a="1"/>
  <c r="B2574" i="13" s="1"/>
  <c r="K127" i="13" s="1"/>
  <c r="M128" i="13" s="1"/>
  <c r="B2554" i="13" a="1"/>
  <c r="B2554" i="13" s="1"/>
  <c r="K126" i="13" s="1"/>
  <c r="M127" i="13" s="1"/>
  <c r="B2532" i="13" a="1"/>
  <c r="B2532" i="13" s="1"/>
  <c r="B2512" i="13" a="1"/>
  <c r="B2512" i="13" s="1"/>
  <c r="K124" i="13" s="1"/>
  <c r="M125" i="13" s="1"/>
  <c r="B2490" i="13" a="1"/>
  <c r="B2490" i="13" s="1"/>
  <c r="K123" i="13" s="1"/>
  <c r="M124" i="13" s="1"/>
  <c r="B2472" i="13" a="1"/>
  <c r="B2472" i="13" s="1"/>
  <c r="K122" i="13" s="1"/>
  <c r="M123" i="13" s="1"/>
  <c r="B2451" i="13" a="1"/>
  <c r="B2451" i="13" s="1"/>
  <c r="K121" i="13" s="1"/>
  <c r="M122" i="13" s="1"/>
  <c r="B2429" i="13" a="1"/>
  <c r="B2429" i="13" s="1"/>
  <c r="K120" i="13" s="1"/>
  <c r="M121" i="13" s="1"/>
  <c r="B2408" i="13" a="1"/>
  <c r="B2408" i="13" s="1"/>
  <c r="K119" i="13" s="1"/>
  <c r="M120" i="13" s="1"/>
  <c r="B2388" i="13" a="1"/>
  <c r="B2388" i="13" s="1"/>
  <c r="K118" i="13" s="1"/>
  <c r="M119" i="13" s="1"/>
  <c r="B2365" i="13" a="1"/>
  <c r="B2365" i="13" s="1"/>
  <c r="K117" i="13" s="1"/>
  <c r="M118" i="13" s="1"/>
  <c r="B2346" i="13" a="1"/>
  <c r="B2346" i="13" s="1"/>
  <c r="K116" i="13" s="1"/>
  <c r="M117" i="13" s="1"/>
  <c r="B2326" i="13" a="1"/>
  <c r="B2326" i="13" s="1"/>
  <c r="K115" i="13" s="1"/>
  <c r="M116" i="13" s="1"/>
  <c r="B2306" i="13" a="1"/>
  <c r="B2306" i="13" s="1"/>
  <c r="K114" i="13" s="1"/>
  <c r="M115" i="13" s="1"/>
  <c r="B2285" i="13" a="1"/>
  <c r="B2285" i="13" s="1"/>
  <c r="K113" i="13" s="1"/>
  <c r="M114" i="13" s="1"/>
  <c r="B2265" i="13" a="1"/>
  <c r="B2265" i="13" s="1"/>
  <c r="K112" i="13" s="1"/>
  <c r="M113" i="13" s="1"/>
  <c r="B2243" i="13" a="1"/>
  <c r="B2243" i="13" s="1"/>
  <c r="K111" i="13" s="1"/>
  <c r="M112" i="13" s="1"/>
  <c r="B2226" i="13" a="1"/>
  <c r="B2226" i="13" s="1"/>
  <c r="K110" i="13" s="1"/>
  <c r="M111" i="13" s="1"/>
  <c r="B2204" i="13" a="1"/>
  <c r="B2204" i="13" s="1"/>
  <c r="K109" i="13" s="1"/>
  <c r="M110" i="13" s="1"/>
  <c r="B2182" i="13" a="1"/>
  <c r="B2182" i="13" s="1"/>
  <c r="K108" i="13" s="1"/>
  <c r="M109" i="13" s="1"/>
  <c r="B2162" i="13" a="1"/>
  <c r="B2162" i="13" s="1"/>
  <c r="K107" i="13" s="1"/>
  <c r="M108" i="13" s="1"/>
  <c r="B2141" i="13" a="1"/>
  <c r="B2141" i="13" s="1"/>
  <c r="K106" i="13" s="1"/>
  <c r="M107" i="13" s="1"/>
  <c r="B2119" i="13" a="1"/>
  <c r="B2119" i="13" s="1"/>
  <c r="K105" i="13" s="1"/>
  <c r="M106" i="13" s="1"/>
  <c r="B2098" i="13" a="1"/>
  <c r="B2098" i="13" s="1"/>
  <c r="K104" i="13" s="1"/>
  <c r="M105" i="13" s="1"/>
  <c r="B2079" i="13" a="1"/>
  <c r="B2079" i="13" s="1"/>
  <c r="K103" i="13" s="1"/>
  <c r="M104" i="13" s="1"/>
  <c r="B2059" i="13" a="1"/>
  <c r="B2059" i="13" s="1"/>
  <c r="K102" i="13" s="1"/>
  <c r="M103" i="13" s="1"/>
  <c r="B2038" i="13" a="1"/>
  <c r="B2038" i="13" s="1"/>
  <c r="K101" i="13" s="1"/>
  <c r="M102" i="13" s="1"/>
  <c r="B2018" i="13" a="1"/>
  <c r="B2018" i="13" s="1"/>
  <c r="K100" i="13" s="1"/>
  <c r="M101" i="13" s="1"/>
  <c r="B1996" i="13" a="1"/>
  <c r="B1996" i="13" s="1"/>
  <c r="K99" i="13" s="1"/>
  <c r="M100" i="13" s="1"/>
  <c r="B1977" i="13" a="1"/>
  <c r="B1977" i="13" s="1"/>
  <c r="K98" i="13" s="1"/>
  <c r="M99" i="13" s="1"/>
  <c r="B1955" i="13" a="1"/>
  <c r="B1955" i="13" s="1"/>
  <c r="K97" i="13" s="1"/>
  <c r="M98" i="13" s="1"/>
  <c r="B1935" i="13" a="1"/>
  <c r="B1935" i="13" s="1"/>
  <c r="K96" i="13" s="1"/>
  <c r="M97" i="13" s="1"/>
  <c r="B1914" i="13" a="1"/>
  <c r="B1914" i="13" s="1"/>
  <c r="K95" i="13" s="1"/>
  <c r="M96" i="13" s="1"/>
  <c r="B1893" i="13" a="1"/>
  <c r="B1893" i="13" s="1"/>
  <c r="K94" i="13" s="1"/>
  <c r="M95" i="13" s="1"/>
  <c r="B1872" i="13" a="1"/>
  <c r="B1872" i="13" s="1"/>
  <c r="K93" i="13" s="1"/>
  <c r="M94" i="13" s="1"/>
  <c r="B1851" i="13" a="1"/>
  <c r="B1851" i="13" s="1"/>
  <c r="K92" i="13" s="1"/>
  <c r="M93" i="13" s="1"/>
  <c r="B1830" i="13" a="1"/>
  <c r="B1830" i="13" s="1"/>
  <c r="K91" i="13" s="1"/>
  <c r="M92" i="13" s="1"/>
  <c r="B1812" i="13" a="1"/>
  <c r="B1812" i="13" s="1"/>
  <c r="K90" i="13" s="1"/>
  <c r="M91" i="13" s="1"/>
  <c r="B1789" i="13" a="1"/>
  <c r="B1789" i="13" s="1"/>
  <c r="K89" i="13" s="1"/>
  <c r="M90" i="13" s="1"/>
  <c r="B1769" i="13" a="1"/>
  <c r="B1769" i="13" s="1"/>
  <c r="K88" i="13" s="1"/>
  <c r="M89" i="13" s="1"/>
  <c r="B1748" i="13" a="1"/>
  <c r="B1748" i="13" s="1"/>
  <c r="K87" i="13" s="1"/>
  <c r="M88" i="13" s="1"/>
  <c r="B1728" i="13" a="1"/>
  <c r="B1728" i="13" s="1"/>
  <c r="K86" i="13" s="1"/>
  <c r="M87" i="13" s="1"/>
  <c r="B1706" i="13" a="1"/>
  <c r="B1706" i="13" s="1"/>
  <c r="K85" i="13" s="1"/>
  <c r="M86" i="13" s="1"/>
  <c r="B1686" i="13" a="1"/>
  <c r="B1686" i="13" s="1"/>
  <c r="K84" i="13" s="1"/>
  <c r="M85" i="13" s="1"/>
  <c r="B1664" i="13" a="1"/>
  <c r="B1664" i="13" s="1"/>
  <c r="K83" i="13" s="1"/>
  <c r="M84" i="13" s="1"/>
  <c r="B1643" i="13" a="1"/>
  <c r="B1643" i="13" s="1"/>
  <c r="K82" i="13" s="1"/>
  <c r="M83" i="13" s="1"/>
  <c r="B1622" i="13" a="1"/>
  <c r="B1622" i="13" s="1"/>
  <c r="K81" i="13" s="1"/>
  <c r="M82" i="13" s="1"/>
  <c r="B1600" i="13" a="1"/>
  <c r="B1600" i="13" s="1"/>
  <c r="K80" i="13" s="1"/>
  <c r="M81" i="13" s="1"/>
  <c r="B1581" i="13" a="1"/>
  <c r="B1581" i="13" s="1"/>
  <c r="K79" i="13" s="1"/>
  <c r="M80" i="13" s="1"/>
  <c r="B1560" i="13" a="1"/>
  <c r="B1560" i="13" s="1"/>
  <c r="K78" i="13" s="1"/>
  <c r="M79" i="13" s="1"/>
  <c r="B1539" i="13" a="1"/>
  <c r="B1539" i="13" s="1"/>
  <c r="K77" i="13" s="1"/>
  <c r="M78" i="13" s="1"/>
  <c r="B1518" i="13" a="1"/>
  <c r="B1518" i="13" s="1"/>
  <c r="K76" i="13" s="1"/>
  <c r="M77" i="13" s="1"/>
  <c r="B1498" i="13" a="1"/>
  <c r="B1498" i="13" s="1"/>
  <c r="K75" i="13" s="1"/>
  <c r="M76" i="13" s="1"/>
  <c r="B1479" i="13" a="1"/>
  <c r="B1479" i="13" s="1"/>
  <c r="K74" i="13" s="1"/>
  <c r="M75" i="13" s="1"/>
  <c r="B1458" i="13" a="1"/>
  <c r="B1458" i="13" s="1"/>
  <c r="K73" i="13" s="1"/>
  <c r="M74" i="13" s="1"/>
  <c r="B1436" i="13" a="1"/>
  <c r="B1436" i="13" s="1"/>
  <c r="K72" i="13" s="1"/>
  <c r="M73" i="13" s="1"/>
  <c r="B1414" i="13" a="1"/>
  <c r="B1414" i="13" s="1"/>
  <c r="K71" i="13" s="1"/>
  <c r="M72" i="13" s="1"/>
  <c r="B1394" i="13" a="1"/>
  <c r="B1394" i="13" s="1"/>
  <c r="K70" i="13" s="1"/>
  <c r="M71" i="13" s="1"/>
  <c r="B1371" i="13" a="1"/>
  <c r="B1371" i="13" s="1"/>
  <c r="K69" i="13" s="1"/>
  <c r="M70" i="13" s="1"/>
  <c r="B1349" i="13" a="1"/>
  <c r="B1349" i="13" s="1"/>
  <c r="K68" i="13" s="1"/>
  <c r="M69" i="13" s="1"/>
  <c r="B1331" i="13" a="1"/>
  <c r="B1331" i="13" s="1"/>
  <c r="K67" i="13" s="1"/>
  <c r="M68" i="13" s="1"/>
  <c r="B1311" i="13" a="1"/>
  <c r="B1311" i="13" s="1"/>
  <c r="K66" i="13" s="1"/>
  <c r="M67" i="13" s="1"/>
  <c r="B1289" i="13" a="1"/>
  <c r="B1289" i="13" s="1"/>
  <c r="K65" i="13" s="1"/>
  <c r="M66" i="13" s="1"/>
  <c r="B1269" i="13" a="1"/>
  <c r="B1269" i="13" s="1"/>
  <c r="K64" i="13" s="1"/>
  <c r="M65" i="13" s="1"/>
  <c r="B1248" i="13" a="1"/>
  <c r="B1248" i="13" s="1"/>
  <c r="K63" i="13" s="1"/>
  <c r="M64" i="13" s="1"/>
  <c r="B1229" i="13" a="1"/>
  <c r="B1229" i="13" s="1"/>
  <c r="K62" i="13" s="1"/>
  <c r="M63" i="13" s="1"/>
  <c r="B1209" i="13" a="1"/>
  <c r="B1209" i="13" s="1"/>
  <c r="K61" i="13" s="1"/>
  <c r="M62" i="13" s="1"/>
  <c r="B1187" i="13" a="1"/>
  <c r="B1187" i="13" s="1"/>
  <c r="K60" i="13" s="1"/>
  <c r="M61" i="13" s="1"/>
  <c r="B1165" i="13" a="1"/>
  <c r="B1165" i="13" s="1"/>
  <c r="K59" i="13" s="1"/>
  <c r="M60" i="13" s="1"/>
  <c r="B1146" i="13" a="1"/>
  <c r="B1146" i="13" s="1"/>
  <c r="K58" i="13" s="1"/>
  <c r="M59" i="13" s="1"/>
  <c r="B1123" i="13" a="1"/>
  <c r="B1123" i="13" s="1"/>
  <c r="K57" i="13" s="1"/>
  <c r="M58" i="13" s="1"/>
  <c r="B1102" i="13" a="1"/>
  <c r="B1102" i="13" s="1"/>
  <c r="K56" i="13" s="1"/>
  <c r="M57" i="13" s="1"/>
  <c r="B1083" i="13" a="1"/>
  <c r="B1083" i="13" s="1"/>
  <c r="K55" i="13" s="1"/>
  <c r="M56" i="13" s="1"/>
  <c r="B1063" i="13" a="1"/>
  <c r="B1063" i="13" s="1"/>
  <c r="K54" i="13" s="1"/>
  <c r="M55" i="13" s="1"/>
  <c r="B1042" i="13" a="1"/>
  <c r="B1042" i="13" s="1"/>
  <c r="K53" i="13" s="1"/>
  <c r="M54" i="13" s="1"/>
  <c r="B1022" i="13" a="1"/>
  <c r="B1022" i="13" s="1"/>
  <c r="K52" i="13" s="1"/>
  <c r="M53" i="13" s="1"/>
  <c r="B1000" i="13" a="1"/>
  <c r="B1000" i="13" s="1"/>
  <c r="K51" i="13" s="1"/>
  <c r="M52" i="13" s="1"/>
  <c r="B982" i="13" a="1"/>
  <c r="B982" i="13" s="1"/>
  <c r="K50" i="13" s="1"/>
  <c r="M51" i="13" s="1"/>
  <c r="B961" i="13" a="1"/>
  <c r="B961" i="13" s="1"/>
  <c r="K49" i="13" s="1"/>
  <c r="M50" i="13" s="1"/>
  <c r="B938" i="13" a="1"/>
  <c r="B938" i="13" s="1"/>
  <c r="K48" i="13" s="1"/>
  <c r="M49" i="13" s="1"/>
  <c r="B917" i="13" a="1"/>
  <c r="B917" i="13" s="1"/>
  <c r="K47" i="13" s="1"/>
  <c r="M48" i="13" s="1"/>
  <c r="B897" i="13" a="1"/>
  <c r="B897" i="13" s="1"/>
  <c r="K46" i="13" s="1"/>
  <c r="M47" i="13" s="1"/>
  <c r="B874" i="13" a="1"/>
  <c r="B874" i="13" s="1"/>
  <c r="K45" i="13" s="1"/>
  <c r="M46" i="13" s="1"/>
  <c r="B854" i="13" a="1"/>
  <c r="B854" i="13" s="1"/>
  <c r="K44" i="13" s="1"/>
  <c r="M45" i="13" s="1"/>
  <c r="B834" i="13" a="1"/>
  <c r="B834" i="13" s="1"/>
  <c r="K43" i="13" s="1"/>
  <c r="M44" i="13" s="1"/>
  <c r="B813" i="13" a="1"/>
  <c r="B813" i="13" s="1"/>
  <c r="K42" i="13" s="1"/>
  <c r="M43" i="13" s="1"/>
  <c r="B793" i="13" a="1"/>
  <c r="B793" i="13" s="1"/>
  <c r="K41" i="13" s="1"/>
  <c r="M42" i="13" s="1"/>
  <c r="B773" i="13" a="1"/>
  <c r="B773" i="13" s="1"/>
  <c r="K40" i="13" s="1"/>
  <c r="M41" i="13" s="1"/>
  <c r="B751" i="13" a="1"/>
  <c r="B751" i="13" s="1"/>
  <c r="K39" i="13" s="1"/>
  <c r="M40" i="13" s="1"/>
  <c r="B734" i="13" a="1"/>
  <c r="B734" i="13" s="1"/>
  <c r="K38" i="13" s="1"/>
  <c r="M39" i="13" s="1"/>
  <c r="B712" i="13" a="1"/>
  <c r="B712" i="13" s="1"/>
  <c r="K37" i="13" s="1"/>
  <c r="M38" i="13" s="1"/>
  <c r="B689" i="13" a="1"/>
  <c r="B689" i="13" s="1"/>
  <c r="K36" i="13" s="1"/>
  <c r="M37" i="13" s="1"/>
  <c r="B669" i="13" a="1"/>
  <c r="B669" i="13" s="1"/>
  <c r="K35" i="13" s="1"/>
  <c r="M36" i="13" s="1"/>
  <c r="B648" i="13" a="1"/>
  <c r="B648" i="13" s="1"/>
  <c r="K34" i="13" s="1"/>
  <c r="M35" i="13" s="1"/>
  <c r="B626" i="13" a="1"/>
  <c r="B626" i="13" s="1"/>
  <c r="K33" i="13" s="1"/>
  <c r="M34" i="13" s="1"/>
  <c r="B607" i="13" a="1"/>
  <c r="B607" i="13" s="1"/>
  <c r="K32" i="13" s="1"/>
  <c r="M33" i="13" s="1"/>
  <c r="B586" i="13" a="1"/>
  <c r="B586" i="13" s="1"/>
  <c r="K31" i="13" s="1"/>
  <c r="M32" i="13" s="1"/>
  <c r="B567" i="13" a="1"/>
  <c r="B567" i="13" s="1"/>
  <c r="K30" i="13" s="1"/>
  <c r="M31" i="13" s="1"/>
  <c r="B545" i="13" a="1"/>
  <c r="B545" i="13" s="1"/>
  <c r="K29" i="13" s="1"/>
  <c r="M30" i="13" s="1"/>
  <c r="B524" i="13" a="1"/>
  <c r="B524" i="13" s="1"/>
  <c r="K28" i="13" s="1"/>
  <c r="M29" i="13" s="1"/>
  <c r="B503" i="13" a="1"/>
  <c r="B503" i="13" s="1"/>
  <c r="K27" i="13" s="1"/>
  <c r="M28" i="13" s="1"/>
  <c r="B483" i="13" a="1"/>
  <c r="B483" i="13" s="1"/>
  <c r="K26" i="13" s="1"/>
  <c r="M27" i="13" s="1"/>
  <c r="B461" i="13" a="1"/>
  <c r="B461" i="13" s="1"/>
  <c r="K25" i="13" s="1"/>
  <c r="M26" i="13" s="1"/>
  <c r="B440" i="13" a="1"/>
  <c r="B440" i="13" s="1"/>
  <c r="K24" i="13" s="1"/>
  <c r="M25" i="13" s="1"/>
  <c r="B418" i="13" a="1"/>
  <c r="B418" i="13" s="1"/>
  <c r="K23" i="13" s="1"/>
  <c r="M24" i="13" s="1"/>
  <c r="B397" i="13" a="1"/>
  <c r="B397" i="13" s="1"/>
  <c r="K22" i="13" s="1"/>
  <c r="M23" i="13" s="1"/>
  <c r="B376" i="13" a="1"/>
  <c r="B376" i="13" s="1"/>
  <c r="K21" i="13" s="1"/>
  <c r="M22" i="13" s="1"/>
  <c r="B354" i="13" a="1"/>
  <c r="B354" i="13" s="1"/>
  <c r="K20" i="13" s="1"/>
  <c r="M21" i="13" s="1"/>
  <c r="B334" i="13" a="1"/>
  <c r="B334" i="13" s="1"/>
  <c r="K19" i="13" s="1"/>
  <c r="M20" i="13" s="1"/>
  <c r="B316" i="13" a="1"/>
  <c r="B316" i="13" s="1"/>
  <c r="K18" i="13" s="1"/>
  <c r="M19" i="13" s="1"/>
  <c r="B293" i="13" a="1"/>
  <c r="B293" i="13" s="1"/>
  <c r="K17" i="13" s="1"/>
  <c r="M18" i="13" s="1"/>
  <c r="B273" i="13" a="1"/>
  <c r="B273" i="13" s="1"/>
  <c r="K16" i="13" s="1"/>
  <c r="M17" i="13" s="1"/>
  <c r="B253" i="13" a="1"/>
  <c r="B253" i="13" s="1"/>
  <c r="K15" i="13" s="1"/>
  <c r="M16" i="13" s="1"/>
  <c r="B234" i="13" a="1"/>
  <c r="B234" i="13" s="1"/>
  <c r="K14" i="13" s="1"/>
  <c r="M15" i="13" s="1"/>
  <c r="B212" i="13" a="1"/>
  <c r="B212" i="13" s="1"/>
  <c r="K13" i="13" s="1"/>
  <c r="M14" i="13" s="1"/>
  <c r="B169" i="13" a="1"/>
  <c r="B169" i="13" s="1"/>
  <c r="K11" i="13" s="1"/>
  <c r="M12" i="13" s="1"/>
  <c r="B148" i="13" a="1"/>
  <c r="B148" i="13" s="1"/>
  <c r="K10" i="13" s="1"/>
  <c r="M11" i="13" s="1"/>
  <c r="B126" i="13" a="1"/>
  <c r="B126" i="13" s="1"/>
  <c r="K9" i="13" s="1"/>
  <c r="M10" i="13" s="1"/>
  <c r="B85" i="13" a="1"/>
  <c r="B85" i="13" s="1"/>
  <c r="K7" i="13" s="1"/>
  <c r="M8" i="13" s="1"/>
  <c r="B22" i="13" a="1"/>
  <c r="B22" i="13" s="1"/>
  <c r="K4" i="13" s="1"/>
  <c r="M5" i="13" s="1"/>
  <c r="B2" i="13" a="1"/>
  <c r="B2" i="13" s="1"/>
  <c r="K3" i="13" s="1"/>
  <c r="B3802" i="14" a="1"/>
  <c r="B3802" i="14" s="1"/>
  <c r="K186" i="14" s="1"/>
  <c r="B3781" i="14" a="1"/>
  <c r="B3781" i="14" s="1"/>
  <c r="K185" i="14" s="1"/>
  <c r="M186" i="14" s="1"/>
  <c r="B3761" i="14" a="1"/>
  <c r="B3761" i="14" s="1"/>
  <c r="K184" i="14" s="1"/>
  <c r="M185" i="14" s="1"/>
  <c r="B3739" i="14" a="1"/>
  <c r="B3739" i="14" s="1"/>
  <c r="K183" i="14" s="1"/>
  <c r="M184" i="14" s="1"/>
  <c r="B3721" i="14" a="1"/>
  <c r="B3721" i="14" s="1"/>
  <c r="K182" i="14" s="1"/>
  <c r="M183" i="14" s="1"/>
  <c r="B3700" i="14" a="1"/>
  <c r="B3700" i="14" s="1"/>
  <c r="K181" i="14" s="1"/>
  <c r="M182" i="14" s="1"/>
  <c r="B3677" i="14" a="1"/>
  <c r="B3677" i="14" s="1"/>
  <c r="K180" i="14" s="1"/>
  <c r="M181" i="14" s="1"/>
  <c r="B3656" i="14" a="1"/>
  <c r="B3656" i="14" s="1"/>
  <c r="K179" i="14" s="1"/>
  <c r="M180" i="14" s="1"/>
  <c r="B3636" i="14" a="1"/>
  <c r="B3636" i="14" s="1"/>
  <c r="K178" i="14" s="1"/>
  <c r="M179" i="14" s="1"/>
  <c r="B3613" i="14" a="1"/>
  <c r="B3613" i="14" s="1"/>
  <c r="K177" i="14" s="1"/>
  <c r="M178" i="14" s="1"/>
  <c r="B3593" i="14" a="1"/>
  <c r="B3593" i="14" s="1"/>
  <c r="K176" i="14" s="1"/>
  <c r="M177" i="14" s="1"/>
  <c r="B3573" i="14" a="1"/>
  <c r="B3573" i="14" s="1"/>
  <c r="K175" i="14" s="1"/>
  <c r="M176" i="14" s="1"/>
  <c r="B3552" i="14" a="1"/>
  <c r="B3552" i="14" s="1"/>
  <c r="K174" i="14" s="1"/>
  <c r="M175" i="14" s="1"/>
  <c r="B3532" i="14" a="1"/>
  <c r="B3532" i="14" s="1"/>
  <c r="K173" i="14" s="1"/>
  <c r="M174" i="14" s="1"/>
  <c r="B3511" i="14" a="1"/>
  <c r="B3511" i="14" s="1"/>
  <c r="K172" i="14" s="1"/>
  <c r="M173" i="14" s="1"/>
  <c r="B3489" i="14" a="1"/>
  <c r="B3489" i="14" s="1"/>
  <c r="B3470" i="14" a="1"/>
  <c r="B3470" i="14" s="1"/>
  <c r="K170" i="14" s="1"/>
  <c r="M171" i="14" s="1"/>
  <c r="B3448" i="14" a="1"/>
  <c r="B3448" i="14" s="1"/>
  <c r="K169" i="14" s="1"/>
  <c r="M170" i="14" s="1"/>
  <c r="B3426" i="14" a="1"/>
  <c r="B3426" i="14" s="1"/>
  <c r="K168" i="14" s="1"/>
  <c r="M169" i="14" s="1"/>
  <c r="B3405" i="14" a="1"/>
  <c r="B3405" i="14" s="1"/>
  <c r="K167" i="14" s="1"/>
  <c r="M168" i="14" s="1"/>
  <c r="B3384" i="14" a="1"/>
  <c r="B3384" i="14" s="1"/>
  <c r="K166" i="14" s="1"/>
  <c r="M167" i="14" s="1"/>
  <c r="B3363" i="14" a="1"/>
  <c r="B3363" i="14" s="1"/>
  <c r="K165" i="14" s="1"/>
  <c r="M166" i="14" s="1"/>
  <c r="B3341" i="14" a="1"/>
  <c r="B3341" i="14" s="1"/>
  <c r="K164" i="14" s="1"/>
  <c r="M165" i="14" s="1"/>
  <c r="B3321" i="14" a="1"/>
  <c r="B3321" i="14" s="1"/>
  <c r="K163" i="14" s="1"/>
  <c r="M164" i="14" s="1"/>
  <c r="B3303" i="14" a="1"/>
  <c r="B3303" i="14" s="1"/>
  <c r="K162" i="14" s="1"/>
  <c r="M163" i="14" s="1"/>
  <c r="B3280" i="14" a="1"/>
  <c r="B3280" i="14" s="1"/>
  <c r="K161" i="14" s="1"/>
  <c r="M162" i="14" s="1"/>
  <c r="B3260" i="14" a="1"/>
  <c r="B3260" i="14" s="1"/>
  <c r="K160" i="14" s="1"/>
  <c r="M161" i="14" s="1"/>
  <c r="B3239" i="14" a="1"/>
  <c r="B3239" i="14" s="1"/>
  <c r="K159" i="14" s="1"/>
  <c r="M160" i="14" s="1"/>
  <c r="B3219" i="14" a="1"/>
  <c r="B3219" i="14" s="1"/>
  <c r="K158" i="14" s="1"/>
  <c r="M159" i="14" s="1"/>
  <c r="B3197" i="14" a="1"/>
  <c r="B3197" i="14" s="1"/>
  <c r="K157" i="14" s="1"/>
  <c r="M158" i="14" s="1"/>
  <c r="B3176" i="14" a="1"/>
  <c r="B3176" i="14" s="1"/>
  <c r="K156" i="14" s="1"/>
  <c r="M157" i="14" s="1"/>
  <c r="B3155" i="14" a="1"/>
  <c r="B3155" i="14" s="1"/>
  <c r="K155" i="14" s="1"/>
  <c r="M156" i="14" s="1"/>
  <c r="B3134" i="14" a="1"/>
  <c r="B3134" i="14" s="1"/>
  <c r="K154" i="14" s="1"/>
  <c r="M155" i="14" s="1"/>
  <c r="B3113" i="14" a="1"/>
  <c r="B3113" i="14" s="1"/>
  <c r="K153" i="14" s="1"/>
  <c r="M154" i="14" s="1"/>
  <c r="B3093" i="14" a="1"/>
  <c r="B3093" i="14" s="1"/>
  <c r="K152" i="14" s="1"/>
  <c r="M153" i="14" s="1"/>
  <c r="B3072" i="14" a="1"/>
  <c r="B3072" i="14" s="1"/>
  <c r="K151" i="14" s="1"/>
  <c r="M152" i="14" s="1"/>
  <c r="B3053" i="14" a="1"/>
  <c r="B3053" i="14" s="1"/>
  <c r="K150" i="14" s="1"/>
  <c r="M151" i="14" s="1"/>
  <c r="B3030" i="14" a="1"/>
  <c r="B3030" i="14" s="1"/>
  <c r="K149" i="14" s="1"/>
  <c r="M150" i="14" s="1"/>
  <c r="B3010" i="14" a="1"/>
  <c r="B3010" i="14" s="1"/>
  <c r="K148" i="14" s="1"/>
  <c r="M149" i="14" s="1"/>
  <c r="B2990" i="14" a="1"/>
  <c r="B2990" i="14" s="1"/>
  <c r="K147" i="14" s="1"/>
  <c r="M148" i="14" s="1"/>
  <c r="B2971" i="14" a="1"/>
  <c r="B2971" i="14" s="1"/>
  <c r="K146" i="14" s="1"/>
  <c r="M147" i="14" s="1"/>
  <c r="B2949" i="14" a="1"/>
  <c r="B2949" i="14" s="1"/>
  <c r="K145" i="14" s="1"/>
  <c r="M146" i="14" s="1"/>
  <c r="B2928" i="14" a="1"/>
  <c r="B2928" i="14" s="1"/>
  <c r="K144" i="14" s="1"/>
  <c r="M145" i="14" s="1"/>
  <c r="B2906" i="14" a="1"/>
  <c r="B2906" i="14" s="1"/>
  <c r="K143" i="14" s="1"/>
  <c r="M144" i="14" s="1"/>
  <c r="B2885" i="14" a="1"/>
  <c r="B2885" i="14" s="1"/>
  <c r="K142" i="14" s="1"/>
  <c r="M143" i="14" s="1"/>
  <c r="B2863" i="14" a="1"/>
  <c r="B2863" i="14" s="1"/>
  <c r="K141" i="14" s="1"/>
  <c r="M142" i="14" s="1"/>
  <c r="B2841" i="14" a="1"/>
  <c r="B2841" i="14" s="1"/>
  <c r="K140" i="14" s="1"/>
  <c r="M141" i="14" s="1"/>
  <c r="B2823" i="14" a="1"/>
  <c r="B2823" i="14" s="1"/>
  <c r="K139" i="14" s="1"/>
  <c r="M140" i="14" s="1"/>
  <c r="B2803" i="14" a="1"/>
  <c r="B2803" i="14" s="1"/>
  <c r="K138" i="14" s="1"/>
  <c r="M139" i="14" s="1"/>
  <c r="B2780" i="14" a="1"/>
  <c r="B2780" i="14" s="1"/>
  <c r="K137" i="14" s="1"/>
  <c r="M138" i="14" s="1"/>
  <c r="B2760" i="14" a="1"/>
  <c r="B2760" i="14" s="1"/>
  <c r="K136" i="14" s="1"/>
  <c r="M137" i="14" s="1"/>
  <c r="B2740" i="14" a="1"/>
  <c r="B2740" i="14" s="1"/>
  <c r="K135" i="14" s="1"/>
  <c r="M136" i="14" s="1"/>
  <c r="B2721" i="14" a="1"/>
  <c r="B2721" i="14" s="1"/>
  <c r="K134" i="14" s="1"/>
  <c r="M135" i="14" s="1"/>
  <c r="B2700" i="14" a="1"/>
  <c r="B2700" i="14" s="1"/>
  <c r="K133" i="14" s="1"/>
  <c r="M134" i="14" s="1"/>
  <c r="B2678" i="14" a="1"/>
  <c r="B2678" i="14" s="1"/>
  <c r="K132" i="14" s="1"/>
  <c r="M133" i="14" s="1"/>
  <c r="B2656" i="14" a="1"/>
  <c r="B2656" i="14" s="1"/>
  <c r="K131" i="14" s="1"/>
  <c r="M132" i="14" s="1"/>
  <c r="B2636" i="14" a="1"/>
  <c r="B2636" i="14" s="1"/>
  <c r="K130" i="14" s="1"/>
  <c r="M131" i="14" s="1"/>
  <c r="B2613" i="14" a="1"/>
  <c r="B2613" i="14" s="1"/>
  <c r="K129" i="14" s="1"/>
  <c r="M130" i="14" s="1"/>
  <c r="B2592" i="14" a="1"/>
  <c r="B2592" i="14" s="1"/>
  <c r="K128" i="14" s="1"/>
  <c r="M129" i="14" s="1"/>
  <c r="B2574" i="14" a="1"/>
  <c r="B2574" i="14" s="1"/>
  <c r="K127" i="14" s="1"/>
  <c r="M128" i="14" s="1"/>
  <c r="B2554" i="14" a="1"/>
  <c r="B2554" i="14" s="1"/>
  <c r="K126" i="14" s="1"/>
  <c r="M127" i="14" s="1"/>
  <c r="B2532" i="14" a="1"/>
  <c r="B2532" i="14" s="1"/>
  <c r="B2512" i="14" a="1"/>
  <c r="B2512" i="14" s="1"/>
  <c r="K124" i="14" s="1"/>
  <c r="M125" i="14" s="1"/>
  <c r="B2490" i="14" a="1"/>
  <c r="B2490" i="14" s="1"/>
  <c r="K123" i="14" s="1"/>
  <c r="M124" i="14" s="1"/>
  <c r="B2472" i="14" a="1"/>
  <c r="B2472" i="14" s="1"/>
  <c r="K122" i="14" s="1"/>
  <c r="M123" i="14" s="1"/>
  <c r="B2451" i="14" a="1"/>
  <c r="B2451" i="14" s="1"/>
  <c r="K121" i="14" s="1"/>
  <c r="M122" i="14" s="1"/>
  <c r="B2429" i="14" a="1"/>
  <c r="B2429" i="14" s="1"/>
  <c r="K120" i="14" s="1"/>
  <c r="M121" i="14" s="1"/>
  <c r="B2408" i="14" a="1"/>
  <c r="B2408" i="14" s="1"/>
  <c r="K119" i="14" s="1"/>
  <c r="M120" i="14" s="1"/>
  <c r="B2388" i="14" a="1"/>
  <c r="B2388" i="14" s="1"/>
  <c r="K118" i="14" s="1"/>
  <c r="M119" i="14" s="1"/>
  <c r="B2365" i="14" a="1"/>
  <c r="B2365" i="14" s="1"/>
  <c r="K117" i="14" s="1"/>
  <c r="M118" i="14" s="1"/>
  <c r="B2346" i="14" a="1"/>
  <c r="B2346" i="14" s="1"/>
  <c r="K116" i="14" s="1"/>
  <c r="M117" i="14" s="1"/>
  <c r="B2326" i="14" a="1"/>
  <c r="B2326" i="14" s="1"/>
  <c r="K115" i="14" s="1"/>
  <c r="M116" i="14" s="1"/>
  <c r="B2306" i="14" a="1"/>
  <c r="B2306" i="14" s="1"/>
  <c r="K114" i="14" s="1"/>
  <c r="M115" i="14" s="1"/>
  <c r="B2285" i="14" a="1"/>
  <c r="B2285" i="14" s="1"/>
  <c r="K113" i="14" s="1"/>
  <c r="M114" i="14" s="1"/>
  <c r="B2265" i="14" a="1"/>
  <c r="B2265" i="14" s="1"/>
  <c r="K112" i="14" s="1"/>
  <c r="M113" i="14" s="1"/>
  <c r="B2243" i="14" a="1"/>
  <c r="B2243" i="14" s="1"/>
  <c r="K111" i="14" s="1"/>
  <c r="M112" i="14" s="1"/>
  <c r="B2226" i="14" a="1"/>
  <c r="B2226" i="14" s="1"/>
  <c r="K110" i="14" s="1"/>
  <c r="M111" i="14" s="1"/>
  <c r="B2204" i="14" a="1"/>
  <c r="B2204" i="14" s="1"/>
  <c r="K109" i="14" s="1"/>
  <c r="M110" i="14" s="1"/>
  <c r="B2182" i="14" a="1"/>
  <c r="B2182" i="14" s="1"/>
  <c r="K108" i="14" s="1"/>
  <c r="M109" i="14" s="1"/>
  <c r="B2162" i="14" a="1"/>
  <c r="B2162" i="14" s="1"/>
  <c r="K107" i="14" s="1"/>
  <c r="M108" i="14" s="1"/>
  <c r="B2141" i="14" a="1"/>
  <c r="B2141" i="14" s="1"/>
  <c r="K106" i="14" s="1"/>
  <c r="M107" i="14" s="1"/>
  <c r="B2119" i="14" a="1"/>
  <c r="B2119" i="14" s="1"/>
  <c r="K105" i="14" s="1"/>
  <c r="M106" i="14" s="1"/>
  <c r="B2098" i="14" a="1"/>
  <c r="B2098" i="14" s="1"/>
  <c r="K104" i="14" s="1"/>
  <c r="M105" i="14" s="1"/>
  <c r="B2079" i="14" a="1"/>
  <c r="B2079" i="14" s="1"/>
  <c r="K103" i="14" s="1"/>
  <c r="M104" i="14" s="1"/>
  <c r="B2059" i="14" a="1"/>
  <c r="B2059" i="14" s="1"/>
  <c r="K102" i="14" s="1"/>
  <c r="M103" i="14" s="1"/>
  <c r="B2038" i="14" a="1"/>
  <c r="B2038" i="14" s="1"/>
  <c r="K101" i="14" s="1"/>
  <c r="M102" i="14" s="1"/>
  <c r="B2018" i="14" a="1"/>
  <c r="B2018" i="14" s="1"/>
  <c r="K100" i="14" s="1"/>
  <c r="M101" i="14" s="1"/>
  <c r="B1996" i="14" a="1"/>
  <c r="B1996" i="14" s="1"/>
  <c r="K99" i="14" s="1"/>
  <c r="M100" i="14" s="1"/>
  <c r="B1977" i="14" a="1"/>
  <c r="B1977" i="14" s="1"/>
  <c r="K98" i="14" s="1"/>
  <c r="M99" i="14" s="1"/>
  <c r="B1955" i="14" a="1"/>
  <c r="B1955" i="14" s="1"/>
  <c r="K97" i="14" s="1"/>
  <c r="M98" i="14" s="1"/>
  <c r="B1935" i="14" a="1"/>
  <c r="B1935" i="14" s="1"/>
  <c r="K96" i="14" s="1"/>
  <c r="M97" i="14" s="1"/>
  <c r="B1914" i="14" a="1"/>
  <c r="B1914" i="14" s="1"/>
  <c r="K95" i="14" s="1"/>
  <c r="M96" i="14" s="1"/>
  <c r="B1893" i="14" a="1"/>
  <c r="B1893" i="14" s="1"/>
  <c r="K94" i="14" s="1"/>
  <c r="M95" i="14" s="1"/>
  <c r="B1872" i="14" a="1"/>
  <c r="B1872" i="14" s="1"/>
  <c r="K93" i="14" s="1"/>
  <c r="M94" i="14" s="1"/>
  <c r="B1851" i="14" a="1"/>
  <c r="B1851" i="14" s="1"/>
  <c r="K92" i="14" s="1"/>
  <c r="M93" i="14" s="1"/>
  <c r="B1830" i="14" a="1"/>
  <c r="B1830" i="14" s="1"/>
  <c r="K91" i="14" s="1"/>
  <c r="M92" i="14" s="1"/>
  <c r="B1812" i="14" a="1"/>
  <c r="B1812" i="14" s="1"/>
  <c r="K90" i="14" s="1"/>
  <c r="M91" i="14" s="1"/>
  <c r="B1789" i="14" a="1"/>
  <c r="B1789" i="14" s="1"/>
  <c r="K89" i="14" s="1"/>
  <c r="M90" i="14" s="1"/>
  <c r="B1769" i="14" a="1"/>
  <c r="B1769" i="14" s="1"/>
  <c r="K88" i="14" s="1"/>
  <c r="M89" i="14" s="1"/>
  <c r="B1748" i="14" a="1"/>
  <c r="B1748" i="14" s="1"/>
  <c r="K87" i="14" s="1"/>
  <c r="M88" i="14" s="1"/>
  <c r="B1728" i="14" a="1"/>
  <c r="B1728" i="14" s="1"/>
  <c r="K86" i="14" s="1"/>
  <c r="M87" i="14" s="1"/>
  <c r="B1706" i="14" a="1"/>
  <c r="B1706" i="14" s="1"/>
  <c r="K85" i="14" s="1"/>
  <c r="M86" i="14" s="1"/>
  <c r="B1686" i="14" a="1"/>
  <c r="B1686" i="14" s="1"/>
  <c r="K84" i="14" s="1"/>
  <c r="M85" i="14" s="1"/>
  <c r="B1664" i="14" a="1"/>
  <c r="B1664" i="14" s="1"/>
  <c r="K83" i="14" s="1"/>
  <c r="M84" i="14" s="1"/>
  <c r="B1643" i="14" a="1"/>
  <c r="B1643" i="14" s="1"/>
  <c r="K82" i="14" s="1"/>
  <c r="M83" i="14" s="1"/>
  <c r="B1622" i="14" a="1"/>
  <c r="B1622" i="14" s="1"/>
  <c r="K81" i="14" s="1"/>
  <c r="M82" i="14" s="1"/>
  <c r="B1600" i="14" a="1"/>
  <c r="B1600" i="14" s="1"/>
  <c r="K80" i="14" s="1"/>
  <c r="M81" i="14" s="1"/>
  <c r="B1581" i="14" a="1"/>
  <c r="B1581" i="14" s="1"/>
  <c r="K79" i="14" s="1"/>
  <c r="M80" i="14" s="1"/>
  <c r="B1560" i="14" a="1"/>
  <c r="B1560" i="14" s="1"/>
  <c r="K78" i="14" s="1"/>
  <c r="M79" i="14" s="1"/>
  <c r="B1539" i="14" a="1"/>
  <c r="B1539" i="14" s="1"/>
  <c r="K77" i="14" s="1"/>
  <c r="M78" i="14" s="1"/>
  <c r="B1518" i="14" a="1"/>
  <c r="B1518" i="14" s="1"/>
  <c r="K76" i="14" s="1"/>
  <c r="M77" i="14" s="1"/>
  <c r="B1498" i="14" a="1"/>
  <c r="B1498" i="14" s="1"/>
  <c r="K75" i="14" s="1"/>
  <c r="M76" i="14" s="1"/>
  <c r="B1479" i="14" a="1"/>
  <c r="B1479" i="14" s="1"/>
  <c r="K74" i="14" s="1"/>
  <c r="M75" i="14" s="1"/>
  <c r="B1458" i="14" a="1"/>
  <c r="B1458" i="14" s="1"/>
  <c r="K73" i="14" s="1"/>
  <c r="M74" i="14" s="1"/>
  <c r="B1436" i="14" a="1"/>
  <c r="B1436" i="14" s="1"/>
  <c r="K72" i="14" s="1"/>
  <c r="M73" i="14" s="1"/>
  <c r="B1414" i="14" a="1"/>
  <c r="B1414" i="14" s="1"/>
  <c r="K71" i="14" s="1"/>
  <c r="M72" i="14" s="1"/>
  <c r="B1394" i="14" a="1"/>
  <c r="B1394" i="14" s="1"/>
  <c r="K70" i="14" s="1"/>
  <c r="M71" i="14" s="1"/>
  <c r="B1371" i="14" a="1"/>
  <c r="B1371" i="14" s="1"/>
  <c r="K69" i="14" s="1"/>
  <c r="M70" i="14" s="1"/>
  <c r="B1349" i="14" a="1"/>
  <c r="B1349" i="14" s="1"/>
  <c r="K68" i="14" s="1"/>
  <c r="M69" i="14" s="1"/>
  <c r="B1331" i="14" a="1"/>
  <c r="B1331" i="14" s="1"/>
  <c r="K67" i="14" s="1"/>
  <c r="M68" i="14" s="1"/>
  <c r="B1311" i="14" a="1"/>
  <c r="B1311" i="14" s="1"/>
  <c r="K66" i="14" s="1"/>
  <c r="M67" i="14" s="1"/>
  <c r="B1289" i="14" a="1"/>
  <c r="B1289" i="14" s="1"/>
  <c r="K65" i="14" s="1"/>
  <c r="M66" i="14" s="1"/>
  <c r="B1269" i="14" a="1"/>
  <c r="B1269" i="14" s="1"/>
  <c r="K64" i="14" s="1"/>
  <c r="M65" i="14" s="1"/>
  <c r="B1248" i="14" a="1"/>
  <c r="B1248" i="14" s="1"/>
  <c r="K63" i="14" s="1"/>
  <c r="M64" i="14" s="1"/>
  <c r="B1229" i="14" a="1"/>
  <c r="B1229" i="14" s="1"/>
  <c r="K62" i="14" s="1"/>
  <c r="M63" i="14" s="1"/>
  <c r="B1209" i="14" a="1"/>
  <c r="B1209" i="14" s="1"/>
  <c r="K61" i="14" s="1"/>
  <c r="M62" i="14" s="1"/>
  <c r="B1187" i="14" a="1"/>
  <c r="B1187" i="14" s="1"/>
  <c r="K60" i="14" s="1"/>
  <c r="M61" i="14" s="1"/>
  <c r="B1165" i="14" a="1"/>
  <c r="B1165" i="14" s="1"/>
  <c r="K59" i="14" s="1"/>
  <c r="M60" i="14" s="1"/>
  <c r="B1146" i="14" a="1"/>
  <c r="B1146" i="14" s="1"/>
  <c r="K58" i="14" s="1"/>
  <c r="M59" i="14" s="1"/>
  <c r="B1123" i="14" a="1"/>
  <c r="B1123" i="14" s="1"/>
  <c r="K57" i="14" s="1"/>
  <c r="M58" i="14" s="1"/>
  <c r="B1102" i="14" a="1"/>
  <c r="B1102" i="14" s="1"/>
  <c r="K56" i="14" s="1"/>
  <c r="M57" i="14" s="1"/>
  <c r="B1083" i="14" a="1"/>
  <c r="B1083" i="14" s="1"/>
  <c r="K55" i="14" s="1"/>
  <c r="M56" i="14" s="1"/>
  <c r="B1063" i="14" a="1"/>
  <c r="B1063" i="14" s="1"/>
  <c r="K54" i="14" s="1"/>
  <c r="M55" i="14" s="1"/>
  <c r="B1042" i="14" a="1"/>
  <c r="B1042" i="14" s="1"/>
  <c r="K53" i="14" s="1"/>
  <c r="M54" i="14" s="1"/>
  <c r="B1022" i="14" a="1"/>
  <c r="B1022" i="14" s="1"/>
  <c r="K52" i="14" s="1"/>
  <c r="M53" i="14" s="1"/>
  <c r="B1000" i="14" a="1"/>
  <c r="B1000" i="14" s="1"/>
  <c r="K51" i="14" s="1"/>
  <c r="M52" i="14" s="1"/>
  <c r="B982" i="14" a="1"/>
  <c r="B982" i="14" s="1"/>
  <c r="K50" i="14" s="1"/>
  <c r="M51" i="14" s="1"/>
  <c r="B961" i="14" a="1"/>
  <c r="B961" i="14" s="1"/>
  <c r="K49" i="14" s="1"/>
  <c r="M50" i="14" s="1"/>
  <c r="B938" i="14" a="1"/>
  <c r="B938" i="14" s="1"/>
  <c r="K48" i="14" s="1"/>
  <c r="M49" i="14" s="1"/>
  <c r="B917" i="14" a="1"/>
  <c r="B917" i="14" s="1"/>
  <c r="K47" i="14" s="1"/>
  <c r="M48" i="14" s="1"/>
  <c r="B897" i="14" a="1"/>
  <c r="B897" i="14" s="1"/>
  <c r="K46" i="14" s="1"/>
  <c r="M47" i="14" s="1"/>
  <c r="B874" i="14" a="1"/>
  <c r="B874" i="14" s="1"/>
  <c r="K45" i="14" s="1"/>
  <c r="M46" i="14" s="1"/>
  <c r="B854" i="14" a="1"/>
  <c r="B854" i="14" s="1"/>
  <c r="K44" i="14" s="1"/>
  <c r="M45" i="14" s="1"/>
  <c r="B834" i="14" a="1"/>
  <c r="B834" i="14" s="1"/>
  <c r="K43" i="14" s="1"/>
  <c r="M44" i="14" s="1"/>
  <c r="B813" i="14" a="1"/>
  <c r="B813" i="14" s="1"/>
  <c r="K42" i="14" s="1"/>
  <c r="M43" i="14" s="1"/>
  <c r="B793" i="14" a="1"/>
  <c r="B793" i="14" s="1"/>
  <c r="K41" i="14" s="1"/>
  <c r="M42" i="14" s="1"/>
  <c r="B773" i="14" a="1"/>
  <c r="B773" i="14" s="1"/>
  <c r="K40" i="14" s="1"/>
  <c r="M41" i="14" s="1"/>
  <c r="B751" i="14" a="1"/>
  <c r="B751" i="14" s="1"/>
  <c r="K39" i="14" s="1"/>
  <c r="M40" i="14" s="1"/>
  <c r="B734" i="14" a="1"/>
  <c r="B734" i="14" s="1"/>
  <c r="K38" i="14" s="1"/>
  <c r="M39" i="14" s="1"/>
  <c r="B712" i="14" a="1"/>
  <c r="B712" i="14" s="1"/>
  <c r="K37" i="14" s="1"/>
  <c r="M38" i="14" s="1"/>
  <c r="B689" i="14" a="1"/>
  <c r="B689" i="14" s="1"/>
  <c r="K36" i="14" s="1"/>
  <c r="M37" i="14" s="1"/>
  <c r="B669" i="14" a="1"/>
  <c r="B669" i="14" s="1"/>
  <c r="K35" i="14" s="1"/>
  <c r="M36" i="14" s="1"/>
  <c r="B648" i="14" a="1"/>
  <c r="B648" i="14" s="1"/>
  <c r="K34" i="14" s="1"/>
  <c r="M35" i="14" s="1"/>
  <c r="B626" i="14" a="1"/>
  <c r="B626" i="14" s="1"/>
  <c r="K33" i="14" s="1"/>
  <c r="M34" i="14" s="1"/>
  <c r="B607" i="14" a="1"/>
  <c r="B607" i="14" s="1"/>
  <c r="K32" i="14" s="1"/>
  <c r="M33" i="14" s="1"/>
  <c r="B586" i="14" a="1"/>
  <c r="B586" i="14" s="1"/>
  <c r="K31" i="14" s="1"/>
  <c r="M32" i="14" s="1"/>
  <c r="B567" i="14" a="1"/>
  <c r="B567" i="14" s="1"/>
  <c r="K30" i="14" s="1"/>
  <c r="M31" i="14" s="1"/>
  <c r="B545" i="14" a="1"/>
  <c r="B545" i="14" s="1"/>
  <c r="K29" i="14" s="1"/>
  <c r="M30" i="14" s="1"/>
  <c r="B524" i="14" a="1"/>
  <c r="B524" i="14" s="1"/>
  <c r="K28" i="14" s="1"/>
  <c r="M29" i="14" s="1"/>
  <c r="B503" i="14" a="1"/>
  <c r="B503" i="14" s="1"/>
  <c r="K27" i="14" s="1"/>
  <c r="M28" i="14" s="1"/>
  <c r="B483" i="14" a="1"/>
  <c r="B483" i="14" s="1"/>
  <c r="K26" i="14" s="1"/>
  <c r="M27" i="14" s="1"/>
  <c r="B461" i="14" a="1"/>
  <c r="B461" i="14" s="1"/>
  <c r="K25" i="14" s="1"/>
  <c r="M26" i="14" s="1"/>
  <c r="B440" i="14" a="1"/>
  <c r="B440" i="14" s="1"/>
  <c r="K24" i="14" s="1"/>
  <c r="M25" i="14" s="1"/>
  <c r="B418" i="14" a="1"/>
  <c r="B418" i="14" s="1"/>
  <c r="K23" i="14" s="1"/>
  <c r="M24" i="14" s="1"/>
  <c r="B397" i="14" a="1"/>
  <c r="B397" i="14" s="1"/>
  <c r="K22" i="14" s="1"/>
  <c r="M23" i="14" s="1"/>
  <c r="B376" i="14" a="1"/>
  <c r="B376" i="14" s="1"/>
  <c r="K21" i="14" s="1"/>
  <c r="M22" i="14" s="1"/>
  <c r="B354" i="14" a="1"/>
  <c r="B354" i="14" s="1"/>
  <c r="K20" i="14" s="1"/>
  <c r="M21" i="14" s="1"/>
  <c r="B334" i="14" a="1"/>
  <c r="B334" i="14" s="1"/>
  <c r="K19" i="14" s="1"/>
  <c r="M20" i="14" s="1"/>
  <c r="B316" i="14" a="1"/>
  <c r="B316" i="14" s="1"/>
  <c r="K18" i="14" s="1"/>
  <c r="M19" i="14" s="1"/>
  <c r="B293" i="14" a="1"/>
  <c r="B293" i="14" s="1"/>
  <c r="K17" i="14" s="1"/>
  <c r="M18" i="14" s="1"/>
  <c r="B273" i="14" a="1"/>
  <c r="B273" i="14" s="1"/>
  <c r="K16" i="14" s="1"/>
  <c r="M17" i="14" s="1"/>
  <c r="B253" i="14" a="1"/>
  <c r="B253" i="14" s="1"/>
  <c r="K15" i="14" s="1"/>
  <c r="M16" i="14" s="1"/>
  <c r="B234" i="14" a="1"/>
  <c r="B234" i="14" s="1"/>
  <c r="K14" i="14" s="1"/>
  <c r="M15" i="14" s="1"/>
  <c r="B212" i="14" a="1"/>
  <c r="B212" i="14" s="1"/>
  <c r="K13" i="14" s="1"/>
  <c r="M14" i="14" s="1"/>
  <c r="B191" i="14" a="1"/>
  <c r="B191" i="14" s="1"/>
  <c r="K12" i="14" s="1"/>
  <c r="M13" i="14" s="1"/>
  <c r="B169" i="14" a="1"/>
  <c r="B169" i="14" s="1"/>
  <c r="K11" i="14" s="1"/>
  <c r="M12" i="14" s="1"/>
  <c r="B148" i="14" a="1"/>
  <c r="B148" i="14" s="1"/>
  <c r="K10" i="14" s="1"/>
  <c r="M11" i="14" s="1"/>
  <c r="B126" i="14" a="1"/>
  <c r="B126" i="14" s="1"/>
  <c r="K9" i="14" s="1"/>
  <c r="M10" i="14" s="1"/>
  <c r="B104" i="14" a="1"/>
  <c r="B104" i="14" s="1"/>
  <c r="K8" i="14" s="1"/>
  <c r="M9" i="14" s="1"/>
  <c r="B85" i="14" a="1"/>
  <c r="B85" i="14" s="1"/>
  <c r="K7" i="14" s="1"/>
  <c r="M8" i="14" s="1"/>
  <c r="B65" i="14" a="1"/>
  <c r="B65" i="14" s="1"/>
  <c r="K6" i="14" s="1"/>
  <c r="M7" i="14" s="1"/>
  <c r="B42" i="14" a="1"/>
  <c r="B42" i="14" s="1"/>
  <c r="K5" i="14" s="1"/>
  <c r="M6" i="14" s="1"/>
  <c r="B22" i="14" a="1"/>
  <c r="B22" i="14" s="1"/>
  <c r="K4" i="14" s="1"/>
  <c r="M5" i="14" s="1"/>
  <c r="B2" i="14" a="1"/>
  <c r="B2" i="14" s="1"/>
  <c r="K3" i="14" s="1"/>
  <c r="M4" i="14" s="1"/>
  <c r="B3802" i="15" a="1"/>
  <c r="B3802" i="15" s="1"/>
  <c r="K186" i="15" s="1"/>
  <c r="B3781" i="15" a="1"/>
  <c r="B3781" i="15" s="1"/>
  <c r="K185" i="15" s="1"/>
  <c r="M186" i="15" s="1"/>
  <c r="B3761" i="15" a="1"/>
  <c r="B3761" i="15" s="1"/>
  <c r="K184" i="15" s="1"/>
  <c r="M185" i="15" s="1"/>
  <c r="B3739" i="15" a="1"/>
  <c r="B3739" i="15" s="1"/>
  <c r="K183" i="15" s="1"/>
  <c r="M184" i="15" s="1"/>
  <c r="B3721" i="15" a="1"/>
  <c r="B3721" i="15" s="1"/>
  <c r="K182" i="15" s="1"/>
  <c r="M183" i="15" s="1"/>
  <c r="B3700" i="15" a="1"/>
  <c r="B3700" i="15" s="1"/>
  <c r="K181" i="15" s="1"/>
  <c r="M182" i="15" s="1"/>
  <c r="B3677" i="15" a="1"/>
  <c r="B3677" i="15" s="1"/>
  <c r="K180" i="15" s="1"/>
  <c r="M181" i="15" s="1"/>
  <c r="B3656" i="15" a="1"/>
  <c r="B3656" i="15" s="1"/>
  <c r="K179" i="15" s="1"/>
  <c r="M180" i="15" s="1"/>
  <c r="B3636" i="15" a="1"/>
  <c r="B3636" i="15" s="1"/>
  <c r="K178" i="15" s="1"/>
  <c r="M179" i="15" s="1"/>
  <c r="B3613" i="15" a="1"/>
  <c r="B3613" i="15" s="1"/>
  <c r="K177" i="15" s="1"/>
  <c r="M178" i="15" s="1"/>
  <c r="B3593" i="15" a="1"/>
  <c r="B3593" i="15" s="1"/>
  <c r="K176" i="15" s="1"/>
  <c r="M177" i="15" s="1"/>
  <c r="B3573" i="15" a="1"/>
  <c r="B3573" i="15" s="1"/>
  <c r="K175" i="15" s="1"/>
  <c r="M176" i="15" s="1"/>
  <c r="B3552" i="15" a="1"/>
  <c r="B3552" i="15" s="1"/>
  <c r="K174" i="15" s="1"/>
  <c r="M175" i="15" s="1"/>
  <c r="B3532" i="15" a="1"/>
  <c r="B3532" i="15" s="1"/>
  <c r="K173" i="15" s="1"/>
  <c r="M174" i="15" s="1"/>
  <c r="B3511" i="15" a="1"/>
  <c r="B3511" i="15" s="1"/>
  <c r="K172" i="15" s="1"/>
  <c r="M173" i="15" s="1"/>
  <c r="B3489" i="15" a="1"/>
  <c r="B3489" i="15" s="1"/>
  <c r="K171" i="15" s="1"/>
  <c r="M172" i="15" s="1"/>
  <c r="B3470" i="15" a="1"/>
  <c r="B3470" i="15" s="1"/>
  <c r="K170" i="15" s="1"/>
  <c r="M171" i="15" s="1"/>
  <c r="B3448" i="15" a="1"/>
  <c r="B3448" i="15" s="1"/>
  <c r="K169" i="15" s="1"/>
  <c r="M170" i="15" s="1"/>
  <c r="B3426" i="15" a="1"/>
  <c r="B3426" i="15" s="1"/>
  <c r="K168" i="15" s="1"/>
  <c r="M169" i="15" s="1"/>
  <c r="B3405" i="15" a="1"/>
  <c r="B3405" i="15" s="1"/>
  <c r="K167" i="15" s="1"/>
  <c r="M168" i="15" s="1"/>
  <c r="B3384" i="15" a="1"/>
  <c r="B3384" i="15" s="1"/>
  <c r="K166" i="15" s="1"/>
  <c r="M167" i="15" s="1"/>
  <c r="B3363" i="15" a="1"/>
  <c r="B3363" i="15" s="1"/>
  <c r="K165" i="15" s="1"/>
  <c r="M166" i="15" s="1"/>
  <c r="B3341" i="15" a="1"/>
  <c r="B3341" i="15" s="1"/>
  <c r="K164" i="15" s="1"/>
  <c r="M165" i="15" s="1"/>
  <c r="B3321" i="15" a="1"/>
  <c r="B3321" i="15" s="1"/>
  <c r="K163" i="15" s="1"/>
  <c r="M164" i="15" s="1"/>
  <c r="B3303" i="15" a="1"/>
  <c r="B3303" i="15" s="1"/>
  <c r="K162" i="15" s="1"/>
  <c r="M163" i="15" s="1"/>
  <c r="B3280" i="15" a="1"/>
  <c r="B3280" i="15" s="1"/>
  <c r="K161" i="15" s="1"/>
  <c r="M162" i="15" s="1"/>
  <c r="B3260" i="15" a="1"/>
  <c r="B3260" i="15" s="1"/>
  <c r="K160" i="15" s="1"/>
  <c r="M161" i="15" s="1"/>
  <c r="B3239" i="15" a="1"/>
  <c r="B3239" i="15" s="1"/>
  <c r="K159" i="15" s="1"/>
  <c r="M160" i="15" s="1"/>
  <c r="B3219" i="15" a="1"/>
  <c r="B3219" i="15" s="1"/>
  <c r="K158" i="15" s="1"/>
  <c r="M159" i="15" s="1"/>
  <c r="B3197" i="15" a="1"/>
  <c r="B3197" i="15" s="1"/>
  <c r="K157" i="15" s="1"/>
  <c r="M158" i="15" s="1"/>
  <c r="B3176" i="15" a="1"/>
  <c r="B3176" i="15" s="1"/>
  <c r="K156" i="15" s="1"/>
  <c r="M157" i="15" s="1"/>
  <c r="B3155" i="15" a="1"/>
  <c r="B3155" i="15" s="1"/>
  <c r="K155" i="15" s="1"/>
  <c r="M156" i="15" s="1"/>
  <c r="B3134" i="15" a="1"/>
  <c r="B3134" i="15" s="1"/>
  <c r="K154" i="15" s="1"/>
  <c r="M155" i="15" s="1"/>
  <c r="B3113" i="15" a="1"/>
  <c r="B3113" i="15" s="1"/>
  <c r="K153" i="15" s="1"/>
  <c r="M154" i="15" s="1"/>
  <c r="B3093" i="15" a="1"/>
  <c r="B3093" i="15" s="1"/>
  <c r="K152" i="15" s="1"/>
  <c r="M153" i="15" s="1"/>
  <c r="B3072" i="15" a="1"/>
  <c r="B3072" i="15" s="1"/>
  <c r="K151" i="15" s="1"/>
  <c r="M152" i="15" s="1"/>
  <c r="B3053" i="15" a="1"/>
  <c r="B3053" i="15" s="1"/>
  <c r="K150" i="15" s="1"/>
  <c r="M151" i="15" s="1"/>
  <c r="B3030" i="15" a="1"/>
  <c r="B3030" i="15" s="1"/>
  <c r="K149" i="15" s="1"/>
  <c r="M150" i="15" s="1"/>
  <c r="B3010" i="15" a="1"/>
  <c r="B3010" i="15" s="1"/>
  <c r="K148" i="15" s="1"/>
  <c r="M149" i="15" s="1"/>
  <c r="B2990" i="15" a="1"/>
  <c r="B2990" i="15" s="1"/>
  <c r="K147" i="15" s="1"/>
  <c r="M148" i="15" s="1"/>
  <c r="B2971" i="15" a="1"/>
  <c r="B2971" i="15" s="1"/>
  <c r="K146" i="15" s="1"/>
  <c r="M147" i="15" s="1"/>
  <c r="B2949" i="15" a="1"/>
  <c r="B2949" i="15" s="1"/>
  <c r="K145" i="15" s="1"/>
  <c r="M146" i="15" s="1"/>
  <c r="B2928" i="15" a="1"/>
  <c r="B2928" i="15" s="1"/>
  <c r="K144" i="15" s="1"/>
  <c r="M145" i="15" s="1"/>
  <c r="B2906" i="15" a="1"/>
  <c r="B2906" i="15" s="1"/>
  <c r="K143" i="15" s="1"/>
  <c r="M144" i="15" s="1"/>
  <c r="B2885" i="15" a="1"/>
  <c r="B2885" i="15" s="1"/>
  <c r="K142" i="15" s="1"/>
  <c r="M143" i="15" s="1"/>
  <c r="B2863" i="15" a="1"/>
  <c r="B2863" i="15" s="1"/>
  <c r="K141" i="15" s="1"/>
  <c r="M142" i="15" s="1"/>
  <c r="B2841" i="15" a="1"/>
  <c r="B2841" i="15" s="1"/>
  <c r="K140" i="15" s="1"/>
  <c r="M141" i="15" s="1"/>
  <c r="B2823" i="15" a="1"/>
  <c r="B2823" i="15" s="1"/>
  <c r="K139" i="15" s="1"/>
  <c r="M140" i="15" s="1"/>
  <c r="B2803" i="15" a="1"/>
  <c r="B2803" i="15" s="1"/>
  <c r="K138" i="15" s="1"/>
  <c r="M139" i="15" s="1"/>
  <c r="B2780" i="15" a="1"/>
  <c r="B2780" i="15" s="1"/>
  <c r="K137" i="15" s="1"/>
  <c r="M138" i="15" s="1"/>
  <c r="B2760" i="15" a="1"/>
  <c r="B2760" i="15" s="1"/>
  <c r="K136" i="15" s="1"/>
  <c r="M137" i="15" s="1"/>
  <c r="B2740" i="15" a="1"/>
  <c r="B2740" i="15" s="1"/>
  <c r="K135" i="15" s="1"/>
  <c r="M136" i="15" s="1"/>
  <c r="B2721" i="15" a="1"/>
  <c r="B2721" i="15" s="1"/>
  <c r="K134" i="15" s="1"/>
  <c r="M135" i="15" s="1"/>
  <c r="B2700" i="15" a="1"/>
  <c r="B2700" i="15" s="1"/>
  <c r="K133" i="15" s="1"/>
  <c r="M134" i="15" s="1"/>
  <c r="B2678" i="15" a="1"/>
  <c r="B2678" i="15" s="1"/>
  <c r="K132" i="15" s="1"/>
  <c r="M133" i="15" s="1"/>
  <c r="B2656" i="15" a="1"/>
  <c r="B2656" i="15" s="1"/>
  <c r="K131" i="15" s="1"/>
  <c r="M132" i="15" s="1"/>
  <c r="B2636" i="15" a="1"/>
  <c r="B2636" i="15" s="1"/>
  <c r="K130" i="15" s="1"/>
  <c r="M131" i="15" s="1"/>
  <c r="B2613" i="15" a="1"/>
  <c r="B2613" i="15" s="1"/>
  <c r="K129" i="15" s="1"/>
  <c r="M130" i="15" s="1"/>
  <c r="B2592" i="15" a="1"/>
  <c r="B2592" i="15" s="1"/>
  <c r="K128" i="15" s="1"/>
  <c r="M129" i="15" s="1"/>
  <c r="B2574" i="15" a="1"/>
  <c r="B2574" i="15" s="1"/>
  <c r="K127" i="15" s="1"/>
  <c r="M128" i="15" s="1"/>
  <c r="B2554" i="15" a="1"/>
  <c r="B2554" i="15" s="1"/>
  <c r="K126" i="15" s="1"/>
  <c r="M127" i="15" s="1"/>
  <c r="B2532" i="15" a="1"/>
  <c r="B2532" i="15" s="1"/>
  <c r="B2512" i="15" a="1"/>
  <c r="B2512" i="15" s="1"/>
  <c r="K124" i="15" s="1"/>
  <c r="M125" i="15" s="1"/>
  <c r="B2490" i="15" a="1"/>
  <c r="B2490" i="15" s="1"/>
  <c r="K123" i="15" s="1"/>
  <c r="M124" i="15" s="1"/>
  <c r="B2472" i="15" a="1"/>
  <c r="B2472" i="15" s="1"/>
  <c r="K122" i="15" s="1"/>
  <c r="M123" i="15" s="1"/>
  <c r="B2451" i="15" a="1"/>
  <c r="B2451" i="15" s="1"/>
  <c r="K121" i="15" s="1"/>
  <c r="M122" i="15" s="1"/>
  <c r="B2429" i="15" a="1"/>
  <c r="B2429" i="15" s="1"/>
  <c r="K120" i="15" s="1"/>
  <c r="M121" i="15" s="1"/>
  <c r="B2408" i="15" a="1"/>
  <c r="B2408" i="15" s="1"/>
  <c r="K119" i="15" s="1"/>
  <c r="M120" i="15" s="1"/>
  <c r="B2388" i="15" a="1"/>
  <c r="B2388" i="15" s="1"/>
  <c r="K118" i="15" s="1"/>
  <c r="M119" i="15" s="1"/>
  <c r="B2365" i="15" a="1"/>
  <c r="B2365" i="15" s="1"/>
  <c r="K117" i="15" s="1"/>
  <c r="M118" i="15" s="1"/>
  <c r="B2346" i="15" a="1"/>
  <c r="B2346" i="15" s="1"/>
  <c r="K116" i="15" s="1"/>
  <c r="M117" i="15" s="1"/>
  <c r="B2326" i="15" a="1"/>
  <c r="B2326" i="15" s="1"/>
  <c r="K115" i="15" s="1"/>
  <c r="M116" i="15" s="1"/>
  <c r="B2306" i="15" a="1"/>
  <c r="B2306" i="15" s="1"/>
  <c r="K114" i="15" s="1"/>
  <c r="M115" i="15" s="1"/>
  <c r="B2285" i="15" a="1"/>
  <c r="B2285" i="15" s="1"/>
  <c r="K113" i="15" s="1"/>
  <c r="M114" i="15" s="1"/>
  <c r="B2265" i="15" a="1"/>
  <c r="B2265" i="15" s="1"/>
  <c r="K112" i="15" s="1"/>
  <c r="M113" i="15" s="1"/>
  <c r="B2243" i="15" a="1"/>
  <c r="B2243" i="15" s="1"/>
  <c r="K111" i="15" s="1"/>
  <c r="M112" i="15" s="1"/>
  <c r="B2226" i="15" a="1"/>
  <c r="B2226" i="15" s="1"/>
  <c r="K110" i="15" s="1"/>
  <c r="M111" i="15" s="1"/>
  <c r="B2204" i="15" a="1"/>
  <c r="B2204" i="15" s="1"/>
  <c r="K109" i="15" s="1"/>
  <c r="M110" i="15" s="1"/>
  <c r="B2182" i="15" a="1"/>
  <c r="B2182" i="15" s="1"/>
  <c r="K108" i="15" s="1"/>
  <c r="M109" i="15" s="1"/>
  <c r="B2162" i="15" a="1"/>
  <c r="B2162" i="15" s="1"/>
  <c r="K107" i="15" s="1"/>
  <c r="M108" i="15" s="1"/>
  <c r="B2141" i="15" a="1"/>
  <c r="B2141" i="15" s="1"/>
  <c r="K106" i="15" s="1"/>
  <c r="M107" i="15" s="1"/>
  <c r="B2119" i="15" a="1"/>
  <c r="B2119" i="15" s="1"/>
  <c r="K105" i="15" s="1"/>
  <c r="M106" i="15" s="1"/>
  <c r="B2098" i="15" a="1"/>
  <c r="B2098" i="15" s="1"/>
  <c r="K104" i="15" s="1"/>
  <c r="M105" i="15" s="1"/>
  <c r="B2079" i="15" a="1"/>
  <c r="B2079" i="15" s="1"/>
  <c r="K103" i="15" s="1"/>
  <c r="M104" i="15" s="1"/>
  <c r="B2059" i="15" a="1"/>
  <c r="B2059" i="15" s="1"/>
  <c r="K102" i="15" s="1"/>
  <c r="M103" i="15" s="1"/>
  <c r="B2038" i="15" a="1"/>
  <c r="B2038" i="15" s="1"/>
  <c r="K101" i="15" s="1"/>
  <c r="M102" i="15" s="1"/>
  <c r="B2018" i="15" a="1"/>
  <c r="B2018" i="15" s="1"/>
  <c r="K100" i="15" s="1"/>
  <c r="M101" i="15" s="1"/>
  <c r="B1996" i="15" a="1"/>
  <c r="B1996" i="15" s="1"/>
  <c r="K99" i="15" s="1"/>
  <c r="M100" i="15" s="1"/>
  <c r="B1977" i="15" a="1"/>
  <c r="B1977" i="15" s="1"/>
  <c r="K98" i="15" s="1"/>
  <c r="M99" i="15" s="1"/>
  <c r="B1955" i="15" a="1"/>
  <c r="B1955" i="15" s="1"/>
  <c r="K97" i="15" s="1"/>
  <c r="M98" i="15" s="1"/>
  <c r="B1935" i="15" a="1"/>
  <c r="B1935" i="15" s="1"/>
  <c r="K96" i="15" s="1"/>
  <c r="M97" i="15" s="1"/>
  <c r="B1914" i="15" a="1"/>
  <c r="B1914" i="15" s="1"/>
  <c r="K95" i="15" s="1"/>
  <c r="M96" i="15" s="1"/>
  <c r="B1893" i="15" a="1"/>
  <c r="B1893" i="15" s="1"/>
  <c r="K94" i="15" s="1"/>
  <c r="M95" i="15" s="1"/>
  <c r="B1872" i="15" a="1"/>
  <c r="B1872" i="15" s="1"/>
  <c r="K93" i="15" s="1"/>
  <c r="M94" i="15" s="1"/>
  <c r="B1851" i="15" a="1"/>
  <c r="B1851" i="15" s="1"/>
  <c r="K92" i="15" s="1"/>
  <c r="M93" i="15" s="1"/>
  <c r="B1830" i="15" a="1"/>
  <c r="B1830" i="15" s="1"/>
  <c r="K91" i="15" s="1"/>
  <c r="M92" i="15" s="1"/>
  <c r="B1812" i="15" a="1"/>
  <c r="B1812" i="15" s="1"/>
  <c r="K90" i="15" s="1"/>
  <c r="M91" i="15" s="1"/>
  <c r="B1789" i="15" a="1"/>
  <c r="B1789" i="15" s="1"/>
  <c r="K89" i="15" s="1"/>
  <c r="M90" i="15" s="1"/>
  <c r="B1769" i="15" a="1"/>
  <c r="B1769" i="15" s="1"/>
  <c r="K88" i="15" s="1"/>
  <c r="M89" i="15" s="1"/>
  <c r="B1748" i="15" a="1"/>
  <c r="B1748" i="15" s="1"/>
  <c r="K87" i="15" s="1"/>
  <c r="M88" i="15" s="1"/>
  <c r="B1728" i="15" a="1"/>
  <c r="B1728" i="15" s="1"/>
  <c r="K86" i="15" s="1"/>
  <c r="M87" i="15" s="1"/>
  <c r="B1706" i="15" a="1"/>
  <c r="B1706" i="15" s="1"/>
  <c r="K85" i="15" s="1"/>
  <c r="M86" i="15" s="1"/>
  <c r="B1686" i="15" a="1"/>
  <c r="B1686" i="15" s="1"/>
  <c r="K84" i="15" s="1"/>
  <c r="M85" i="15" s="1"/>
  <c r="B1664" i="15" a="1"/>
  <c r="B1664" i="15" s="1"/>
  <c r="K83" i="15" s="1"/>
  <c r="M84" i="15" s="1"/>
  <c r="B1643" i="15" a="1"/>
  <c r="B1643" i="15" s="1"/>
  <c r="K82" i="15" s="1"/>
  <c r="M83" i="15" s="1"/>
  <c r="B1622" i="15" a="1"/>
  <c r="B1622" i="15" s="1"/>
  <c r="K81" i="15" s="1"/>
  <c r="M82" i="15" s="1"/>
  <c r="B1600" i="15" a="1"/>
  <c r="B1600" i="15" s="1"/>
  <c r="K80" i="15" s="1"/>
  <c r="M81" i="15" s="1"/>
  <c r="B1581" i="15" a="1"/>
  <c r="B1581" i="15" s="1"/>
  <c r="K79" i="15" s="1"/>
  <c r="M80" i="15" s="1"/>
  <c r="B1560" i="15" a="1"/>
  <c r="B1560" i="15" s="1"/>
  <c r="K78" i="15" s="1"/>
  <c r="M79" i="15" s="1"/>
  <c r="B1539" i="15" a="1"/>
  <c r="B1539" i="15" s="1"/>
  <c r="K77" i="15" s="1"/>
  <c r="M78" i="15" s="1"/>
  <c r="B1518" i="15" a="1"/>
  <c r="B1518" i="15" s="1"/>
  <c r="K76" i="15" s="1"/>
  <c r="M77" i="15" s="1"/>
  <c r="B1498" i="15" a="1"/>
  <c r="B1498" i="15" s="1"/>
  <c r="K75" i="15" s="1"/>
  <c r="M76" i="15" s="1"/>
  <c r="B1479" i="15" a="1"/>
  <c r="B1479" i="15" s="1"/>
  <c r="K74" i="15" s="1"/>
  <c r="M75" i="15" s="1"/>
  <c r="B1458" i="15" a="1"/>
  <c r="B1458" i="15" s="1"/>
  <c r="K73" i="15" s="1"/>
  <c r="M74" i="15" s="1"/>
  <c r="B1436" i="15" a="1"/>
  <c r="B1436" i="15" s="1"/>
  <c r="K72" i="15" s="1"/>
  <c r="M73" i="15" s="1"/>
  <c r="B1414" i="15" a="1"/>
  <c r="B1414" i="15" s="1"/>
  <c r="K71" i="15" s="1"/>
  <c r="M72" i="15" s="1"/>
  <c r="B1394" i="15" a="1"/>
  <c r="B1394" i="15" s="1"/>
  <c r="K70" i="15" s="1"/>
  <c r="M71" i="15" s="1"/>
  <c r="B1371" i="15" a="1"/>
  <c r="B1371" i="15" s="1"/>
  <c r="K69" i="15" s="1"/>
  <c r="M70" i="15" s="1"/>
  <c r="B1349" i="15" a="1"/>
  <c r="B1349" i="15" s="1"/>
  <c r="K68" i="15" s="1"/>
  <c r="M69" i="15" s="1"/>
  <c r="B1331" i="15" a="1"/>
  <c r="B1331" i="15" s="1"/>
  <c r="K67" i="15" s="1"/>
  <c r="M68" i="15" s="1"/>
  <c r="B1311" i="15" a="1"/>
  <c r="B1311" i="15" s="1"/>
  <c r="K66" i="15" s="1"/>
  <c r="M67" i="15" s="1"/>
  <c r="B1289" i="15" a="1"/>
  <c r="B1289" i="15" s="1"/>
  <c r="K65" i="15" s="1"/>
  <c r="M66" i="15" s="1"/>
  <c r="B1269" i="15" a="1"/>
  <c r="B1269" i="15" s="1"/>
  <c r="K64" i="15" s="1"/>
  <c r="M65" i="15" s="1"/>
  <c r="B1248" i="15" a="1"/>
  <c r="B1248" i="15" s="1"/>
  <c r="K63" i="15" s="1"/>
  <c r="M64" i="15" s="1"/>
  <c r="B1229" i="15" a="1"/>
  <c r="B1229" i="15" s="1"/>
  <c r="K62" i="15" s="1"/>
  <c r="M63" i="15" s="1"/>
  <c r="B1209" i="15" a="1"/>
  <c r="B1209" i="15" s="1"/>
  <c r="K61" i="15" s="1"/>
  <c r="M62" i="15" s="1"/>
  <c r="B1187" i="15" a="1"/>
  <c r="B1187" i="15" s="1"/>
  <c r="K60" i="15" s="1"/>
  <c r="M61" i="15" s="1"/>
  <c r="B1165" i="15" a="1"/>
  <c r="B1165" i="15" s="1"/>
  <c r="K59" i="15" s="1"/>
  <c r="M60" i="15" s="1"/>
  <c r="B1146" i="15" a="1"/>
  <c r="B1146" i="15" s="1"/>
  <c r="K58" i="15" s="1"/>
  <c r="M59" i="15" s="1"/>
  <c r="B1123" i="15" a="1"/>
  <c r="B1123" i="15" s="1"/>
  <c r="K57" i="15" s="1"/>
  <c r="M58" i="15" s="1"/>
  <c r="B1102" i="15" a="1"/>
  <c r="B1102" i="15" s="1"/>
  <c r="K56" i="15" s="1"/>
  <c r="M57" i="15" s="1"/>
  <c r="B1083" i="15" a="1"/>
  <c r="B1083" i="15" s="1"/>
  <c r="K55" i="15" s="1"/>
  <c r="M56" i="15" s="1"/>
  <c r="B1063" i="15" a="1"/>
  <c r="B1063" i="15" s="1"/>
  <c r="K54" i="15" s="1"/>
  <c r="M55" i="15" s="1"/>
  <c r="B1042" i="15" a="1"/>
  <c r="B1042" i="15" s="1"/>
  <c r="K53" i="15" s="1"/>
  <c r="M54" i="15" s="1"/>
  <c r="B1022" i="15" a="1"/>
  <c r="B1022" i="15" s="1"/>
  <c r="K52" i="15" s="1"/>
  <c r="M53" i="15" s="1"/>
  <c r="B1000" i="15" a="1"/>
  <c r="B1000" i="15" s="1"/>
  <c r="K51" i="15" s="1"/>
  <c r="M52" i="15" s="1"/>
  <c r="B982" i="15" a="1"/>
  <c r="B982" i="15" s="1"/>
  <c r="K50" i="15" s="1"/>
  <c r="M51" i="15" s="1"/>
  <c r="B961" i="15" a="1"/>
  <c r="B961" i="15" s="1"/>
  <c r="K49" i="15" s="1"/>
  <c r="M50" i="15" s="1"/>
  <c r="B938" i="15" a="1"/>
  <c r="B938" i="15" s="1"/>
  <c r="K48" i="15" s="1"/>
  <c r="M49" i="15" s="1"/>
  <c r="B917" i="15" a="1"/>
  <c r="B917" i="15" s="1"/>
  <c r="K47" i="15" s="1"/>
  <c r="M48" i="15" s="1"/>
  <c r="B897" i="15" a="1"/>
  <c r="B897" i="15" s="1"/>
  <c r="K46" i="15" s="1"/>
  <c r="M47" i="15" s="1"/>
  <c r="B874" i="15" a="1"/>
  <c r="B874" i="15" s="1"/>
  <c r="K45" i="15" s="1"/>
  <c r="M46" i="15" s="1"/>
  <c r="B854" i="15" a="1"/>
  <c r="B854" i="15" s="1"/>
  <c r="K44" i="15" s="1"/>
  <c r="M45" i="15" s="1"/>
  <c r="B834" i="15" a="1"/>
  <c r="B834" i="15" s="1"/>
  <c r="K43" i="15" s="1"/>
  <c r="M44" i="15" s="1"/>
  <c r="B813" i="15" a="1"/>
  <c r="B813" i="15" s="1"/>
  <c r="K42" i="15" s="1"/>
  <c r="M43" i="15" s="1"/>
  <c r="B793" i="15" a="1"/>
  <c r="B793" i="15" s="1"/>
  <c r="K41" i="15" s="1"/>
  <c r="M42" i="15" s="1"/>
  <c r="B773" i="15" a="1"/>
  <c r="B773" i="15" s="1"/>
  <c r="K40" i="15" s="1"/>
  <c r="M41" i="15" s="1"/>
  <c r="B751" i="15" a="1"/>
  <c r="B751" i="15" s="1"/>
  <c r="K39" i="15" s="1"/>
  <c r="M40" i="15" s="1"/>
  <c r="B734" i="15" a="1"/>
  <c r="B734" i="15" s="1"/>
  <c r="K38" i="15" s="1"/>
  <c r="M39" i="15" s="1"/>
  <c r="B712" i="15" a="1"/>
  <c r="B712" i="15" s="1"/>
  <c r="K37" i="15" s="1"/>
  <c r="M38" i="15" s="1"/>
  <c r="B689" i="15" a="1"/>
  <c r="B689" i="15" s="1"/>
  <c r="K36" i="15" s="1"/>
  <c r="M37" i="15" s="1"/>
  <c r="B669" i="15" a="1"/>
  <c r="B669" i="15" s="1"/>
  <c r="K35" i="15" s="1"/>
  <c r="M36" i="15" s="1"/>
  <c r="B648" i="15" a="1"/>
  <c r="B648" i="15" s="1"/>
  <c r="K34" i="15" s="1"/>
  <c r="M35" i="15" s="1"/>
  <c r="B626" i="15" a="1"/>
  <c r="B626" i="15" s="1"/>
  <c r="K33" i="15" s="1"/>
  <c r="M34" i="15" s="1"/>
  <c r="B607" i="15" a="1"/>
  <c r="B607" i="15" s="1"/>
  <c r="K32" i="15" s="1"/>
  <c r="M33" i="15" s="1"/>
  <c r="B586" i="15" a="1"/>
  <c r="B586" i="15" s="1"/>
  <c r="K31" i="15" s="1"/>
  <c r="M32" i="15" s="1"/>
  <c r="B567" i="15" a="1"/>
  <c r="B567" i="15" s="1"/>
  <c r="K30" i="15" s="1"/>
  <c r="M31" i="15" s="1"/>
  <c r="B545" i="15" a="1"/>
  <c r="B545" i="15" s="1"/>
  <c r="K29" i="15" s="1"/>
  <c r="M30" i="15" s="1"/>
  <c r="B524" i="15" a="1"/>
  <c r="B524" i="15" s="1"/>
  <c r="K28" i="15" s="1"/>
  <c r="M29" i="15" s="1"/>
  <c r="B503" i="15" a="1"/>
  <c r="B503" i="15" s="1"/>
  <c r="K27" i="15" s="1"/>
  <c r="M28" i="15" s="1"/>
  <c r="B483" i="15" a="1"/>
  <c r="B483" i="15" s="1"/>
  <c r="K26" i="15" s="1"/>
  <c r="M27" i="15" s="1"/>
  <c r="B461" i="15" a="1"/>
  <c r="B461" i="15" s="1"/>
  <c r="K25" i="15" s="1"/>
  <c r="M26" i="15" s="1"/>
  <c r="B440" i="15" a="1"/>
  <c r="B440" i="15" s="1"/>
  <c r="K24" i="15" s="1"/>
  <c r="M25" i="15" s="1"/>
  <c r="B418" i="15" a="1"/>
  <c r="B418" i="15" s="1"/>
  <c r="K23" i="15" s="1"/>
  <c r="M24" i="15" s="1"/>
  <c r="B397" i="15" a="1"/>
  <c r="B397" i="15" s="1"/>
  <c r="K22" i="15" s="1"/>
  <c r="M23" i="15" s="1"/>
  <c r="B376" i="15" a="1"/>
  <c r="B376" i="15" s="1"/>
  <c r="K21" i="15" s="1"/>
  <c r="M22" i="15" s="1"/>
  <c r="B354" i="15" a="1"/>
  <c r="B354" i="15" s="1"/>
  <c r="K20" i="15" s="1"/>
  <c r="M21" i="15" s="1"/>
  <c r="B334" i="15" a="1"/>
  <c r="B334" i="15" s="1"/>
  <c r="K19" i="15" s="1"/>
  <c r="M20" i="15" s="1"/>
  <c r="B316" i="15" a="1"/>
  <c r="B316" i="15" s="1"/>
  <c r="K18" i="15" s="1"/>
  <c r="M19" i="15" s="1"/>
  <c r="B293" i="15" a="1"/>
  <c r="B293" i="15" s="1"/>
  <c r="K17" i="15" s="1"/>
  <c r="M18" i="15" s="1"/>
  <c r="B273" i="15" a="1"/>
  <c r="B273" i="15" s="1"/>
  <c r="K16" i="15" s="1"/>
  <c r="M17" i="15" s="1"/>
  <c r="B253" i="15" a="1"/>
  <c r="B253" i="15" s="1"/>
  <c r="K15" i="15" s="1"/>
  <c r="M16" i="15" s="1"/>
  <c r="B234" i="15" a="1"/>
  <c r="B234" i="15" s="1"/>
  <c r="K14" i="15" s="1"/>
  <c r="M15" i="15" s="1"/>
  <c r="B212" i="15" a="1"/>
  <c r="B212" i="15" s="1"/>
  <c r="K13" i="15" s="1"/>
  <c r="M14" i="15" s="1"/>
  <c r="B191" i="15" a="1"/>
  <c r="B191" i="15" s="1"/>
  <c r="K12" i="15" s="1"/>
  <c r="M13" i="15" s="1"/>
  <c r="B169" i="15" a="1"/>
  <c r="B169" i="15" s="1"/>
  <c r="K11" i="15" s="1"/>
  <c r="M12" i="15" s="1"/>
  <c r="B148" i="15" a="1"/>
  <c r="B148" i="15" s="1"/>
  <c r="K10" i="15" s="1"/>
  <c r="M11" i="15" s="1"/>
  <c r="B126" i="15" a="1"/>
  <c r="B126" i="15" s="1"/>
  <c r="K9" i="15" s="1"/>
  <c r="M10" i="15" s="1"/>
  <c r="B104" i="15" a="1"/>
  <c r="B104" i="15" s="1"/>
  <c r="K8" i="15" s="1"/>
  <c r="M9" i="15" s="1"/>
  <c r="B85" i="15" a="1"/>
  <c r="B85" i="15" s="1"/>
  <c r="K7" i="15" s="1"/>
  <c r="M8" i="15" s="1"/>
  <c r="B65" i="15" a="1"/>
  <c r="B65" i="15" s="1"/>
  <c r="K6" i="15" s="1"/>
  <c r="M7" i="15" s="1"/>
  <c r="B42" i="15" a="1"/>
  <c r="B42" i="15" s="1"/>
  <c r="K5" i="15" s="1"/>
  <c r="M6" i="15" s="1"/>
  <c r="B22" i="15" a="1"/>
  <c r="B22" i="15" s="1"/>
  <c r="K4" i="15" s="1"/>
  <c r="M5" i="15" s="1"/>
  <c r="B2" i="15" a="1"/>
  <c r="B2" i="15" s="1"/>
  <c r="K3" i="15" s="1"/>
  <c r="M4" i="15" s="1"/>
  <c r="B3802" i="16" a="1"/>
  <c r="B3802" i="16" s="1"/>
  <c r="K186" i="16" s="1"/>
  <c r="B3781" i="16" a="1"/>
  <c r="B3781" i="16" s="1"/>
  <c r="K185" i="16" s="1"/>
  <c r="M186" i="16" s="1"/>
  <c r="B3761" i="16" a="1"/>
  <c r="B3761" i="16" s="1"/>
  <c r="K184" i="16" s="1"/>
  <c r="M185" i="16" s="1"/>
  <c r="B3739" i="16" a="1"/>
  <c r="B3739" i="16" s="1"/>
  <c r="K183" i="16" s="1"/>
  <c r="M184" i="16" s="1"/>
  <c r="B3721" i="16" a="1"/>
  <c r="B3721" i="16" s="1"/>
  <c r="K182" i="16" s="1"/>
  <c r="M183" i="16" s="1"/>
  <c r="B3700" i="16" a="1"/>
  <c r="B3700" i="16" s="1"/>
  <c r="K181" i="16" s="1"/>
  <c r="M182" i="16" s="1"/>
  <c r="B3677" i="16" a="1"/>
  <c r="B3677" i="16" s="1"/>
  <c r="K180" i="16" s="1"/>
  <c r="M181" i="16" s="1"/>
  <c r="B3656" i="16" a="1"/>
  <c r="B3656" i="16" s="1"/>
  <c r="K179" i="16" s="1"/>
  <c r="M180" i="16" s="1"/>
  <c r="B3636" i="16" a="1"/>
  <c r="B3636" i="16" s="1"/>
  <c r="K178" i="16" s="1"/>
  <c r="M179" i="16" s="1"/>
  <c r="B3613" i="16" a="1"/>
  <c r="B3613" i="16" s="1"/>
  <c r="K177" i="16" s="1"/>
  <c r="M178" i="16" s="1"/>
  <c r="B3593" i="16" a="1"/>
  <c r="B3593" i="16" s="1"/>
  <c r="K176" i="16" s="1"/>
  <c r="M177" i="16" s="1"/>
  <c r="B3573" i="16" a="1"/>
  <c r="B3573" i="16" s="1"/>
  <c r="K175" i="16" s="1"/>
  <c r="M176" i="16" s="1"/>
  <c r="B3552" i="16" a="1"/>
  <c r="B3552" i="16" s="1"/>
  <c r="K174" i="16" s="1"/>
  <c r="M175" i="16" s="1"/>
  <c r="B3532" i="16" a="1"/>
  <c r="B3532" i="16" s="1"/>
  <c r="K173" i="16" s="1"/>
  <c r="M174" i="16" s="1"/>
  <c r="B3511" i="16" a="1"/>
  <c r="B3511" i="16" s="1"/>
  <c r="K172" i="16" s="1"/>
  <c r="M173" i="16" s="1"/>
  <c r="B3489" i="16" a="1"/>
  <c r="B3489" i="16" s="1"/>
  <c r="K171" i="16" s="1"/>
  <c r="M172" i="16" s="1"/>
  <c r="B3470" i="16" a="1"/>
  <c r="B3470" i="16" s="1"/>
  <c r="K170" i="16" s="1"/>
  <c r="M171" i="16" s="1"/>
  <c r="B3448" i="16" a="1"/>
  <c r="B3448" i="16" s="1"/>
  <c r="K169" i="16" s="1"/>
  <c r="M170" i="16" s="1"/>
  <c r="B3426" i="16" a="1"/>
  <c r="B3426" i="16" s="1"/>
  <c r="K168" i="16" s="1"/>
  <c r="M169" i="16" s="1"/>
  <c r="B3405" i="16" a="1"/>
  <c r="B3405" i="16" s="1"/>
  <c r="K167" i="16" s="1"/>
  <c r="M168" i="16" s="1"/>
  <c r="B3384" i="16" a="1"/>
  <c r="B3384" i="16" s="1"/>
  <c r="K166" i="16" s="1"/>
  <c r="M167" i="16" s="1"/>
  <c r="B3363" i="16" a="1"/>
  <c r="B3363" i="16" s="1"/>
  <c r="K165" i="16" s="1"/>
  <c r="M166" i="16" s="1"/>
  <c r="B3341" i="16" a="1"/>
  <c r="B3341" i="16" s="1"/>
  <c r="K164" i="16" s="1"/>
  <c r="M165" i="16" s="1"/>
  <c r="B3321" i="16" a="1"/>
  <c r="B3321" i="16" s="1"/>
  <c r="K163" i="16" s="1"/>
  <c r="M164" i="16" s="1"/>
  <c r="B3303" i="16" a="1"/>
  <c r="B3303" i="16" s="1"/>
  <c r="K162" i="16" s="1"/>
  <c r="M163" i="16" s="1"/>
  <c r="B3280" i="16" a="1"/>
  <c r="B3280" i="16" s="1"/>
  <c r="K161" i="16" s="1"/>
  <c r="M162" i="16" s="1"/>
  <c r="B3260" i="16" a="1"/>
  <c r="B3260" i="16" s="1"/>
  <c r="K160" i="16" s="1"/>
  <c r="M161" i="16" s="1"/>
  <c r="B3239" i="16" a="1"/>
  <c r="B3239" i="16" s="1"/>
  <c r="K159" i="16" s="1"/>
  <c r="M160" i="16" s="1"/>
  <c r="B3219" i="16" a="1"/>
  <c r="B3219" i="16" s="1"/>
  <c r="K158" i="16" s="1"/>
  <c r="M159" i="16" s="1"/>
  <c r="B3197" i="16" a="1"/>
  <c r="B3197" i="16" s="1"/>
  <c r="K157" i="16" s="1"/>
  <c r="M158" i="16" s="1"/>
  <c r="B3176" i="16" a="1"/>
  <c r="B3176" i="16" s="1"/>
  <c r="K156" i="16" s="1"/>
  <c r="M157" i="16" s="1"/>
  <c r="B3155" i="16" a="1"/>
  <c r="B3155" i="16" s="1"/>
  <c r="K155" i="16" s="1"/>
  <c r="M156" i="16" s="1"/>
  <c r="B3134" i="16" a="1"/>
  <c r="B3134" i="16" s="1"/>
  <c r="K154" i="16" s="1"/>
  <c r="M155" i="16" s="1"/>
  <c r="B3113" i="16" a="1"/>
  <c r="B3113" i="16" s="1"/>
  <c r="K153" i="16" s="1"/>
  <c r="M154" i="16" s="1"/>
  <c r="B3093" i="16" a="1"/>
  <c r="B3093" i="16" s="1"/>
  <c r="K152" i="16" s="1"/>
  <c r="M153" i="16" s="1"/>
  <c r="B3072" i="16" a="1"/>
  <c r="B3072" i="16" s="1"/>
  <c r="K151" i="16" s="1"/>
  <c r="M152" i="16" s="1"/>
  <c r="B3053" i="16" a="1"/>
  <c r="B3053" i="16" s="1"/>
  <c r="K150" i="16" s="1"/>
  <c r="M151" i="16" s="1"/>
  <c r="B3030" i="16" a="1"/>
  <c r="B3030" i="16" s="1"/>
  <c r="K149" i="16" s="1"/>
  <c r="M150" i="16" s="1"/>
  <c r="B3010" i="16" a="1"/>
  <c r="B3010" i="16" s="1"/>
  <c r="K148" i="16" s="1"/>
  <c r="M149" i="16" s="1"/>
  <c r="B2990" i="16" a="1"/>
  <c r="B2990" i="16" s="1"/>
  <c r="K147" i="16" s="1"/>
  <c r="M148" i="16" s="1"/>
  <c r="B2971" i="16" a="1"/>
  <c r="B2971" i="16" s="1"/>
  <c r="K146" i="16" s="1"/>
  <c r="M147" i="16" s="1"/>
  <c r="B2949" i="16" a="1"/>
  <c r="B2949" i="16" s="1"/>
  <c r="K145" i="16" s="1"/>
  <c r="M146" i="16" s="1"/>
  <c r="B2928" i="16" a="1"/>
  <c r="B2928" i="16" s="1"/>
  <c r="K144" i="16" s="1"/>
  <c r="M145" i="16" s="1"/>
  <c r="B2906" i="16" a="1"/>
  <c r="B2906" i="16" s="1"/>
  <c r="K143" i="16" s="1"/>
  <c r="M144" i="16" s="1"/>
  <c r="B2885" i="16" a="1"/>
  <c r="B2885" i="16" s="1"/>
  <c r="K142" i="16" s="1"/>
  <c r="M143" i="16" s="1"/>
  <c r="B2863" i="16" a="1"/>
  <c r="B2863" i="16" s="1"/>
  <c r="K141" i="16" s="1"/>
  <c r="M142" i="16" s="1"/>
  <c r="B2841" i="16" a="1"/>
  <c r="B2841" i="16" s="1"/>
  <c r="K140" i="16" s="1"/>
  <c r="M141" i="16" s="1"/>
  <c r="B2823" i="16" a="1"/>
  <c r="B2823" i="16" s="1"/>
  <c r="K139" i="16" s="1"/>
  <c r="M140" i="16" s="1"/>
  <c r="B2803" i="16" a="1"/>
  <c r="B2803" i="16" s="1"/>
  <c r="K138" i="16" s="1"/>
  <c r="M139" i="16" s="1"/>
  <c r="B2780" i="16" a="1"/>
  <c r="B2780" i="16" s="1"/>
  <c r="K137" i="16" s="1"/>
  <c r="M138" i="16" s="1"/>
  <c r="B2760" i="16" a="1"/>
  <c r="B2760" i="16" s="1"/>
  <c r="K136" i="16" s="1"/>
  <c r="M137" i="16" s="1"/>
  <c r="B2740" i="16" a="1"/>
  <c r="B2740" i="16" s="1"/>
  <c r="K135" i="16" s="1"/>
  <c r="M136" i="16" s="1"/>
  <c r="B2721" i="16" a="1"/>
  <c r="B2721" i="16" s="1"/>
  <c r="K134" i="16" s="1"/>
  <c r="M135" i="16" s="1"/>
  <c r="B2700" i="16" a="1"/>
  <c r="B2700" i="16" s="1"/>
  <c r="K133" i="16" s="1"/>
  <c r="M134" i="16" s="1"/>
  <c r="B2678" i="16" a="1"/>
  <c r="B2678" i="16" s="1"/>
  <c r="K132" i="16" s="1"/>
  <c r="M133" i="16" s="1"/>
  <c r="B2656" i="16" a="1"/>
  <c r="B2656" i="16" s="1"/>
  <c r="K131" i="16" s="1"/>
  <c r="M132" i="16" s="1"/>
  <c r="B2636" i="16" a="1"/>
  <c r="B2636" i="16" s="1"/>
  <c r="K130" i="16" s="1"/>
  <c r="M131" i="16" s="1"/>
  <c r="B2613" i="16" a="1"/>
  <c r="B2613" i="16" s="1"/>
  <c r="K129" i="16" s="1"/>
  <c r="M130" i="16" s="1"/>
  <c r="B2592" i="16" a="1"/>
  <c r="B2592" i="16" s="1"/>
  <c r="K128" i="16" s="1"/>
  <c r="M129" i="16" s="1"/>
  <c r="B2574" i="16" a="1"/>
  <c r="B2574" i="16" s="1"/>
  <c r="K127" i="16" s="1"/>
  <c r="M128" i="16" s="1"/>
  <c r="B2554" i="16" a="1"/>
  <c r="B2554" i="16" s="1"/>
  <c r="K126" i="16" s="1"/>
  <c r="M127" i="16" s="1"/>
  <c r="B2532" i="16" a="1"/>
  <c r="B2532" i="16" s="1"/>
  <c r="B2512" i="16" a="1"/>
  <c r="B2512" i="16" s="1"/>
  <c r="K124" i="16" s="1"/>
  <c r="M125" i="16" s="1"/>
  <c r="B2490" i="16" a="1"/>
  <c r="B2490" i="16" s="1"/>
  <c r="K123" i="16" s="1"/>
  <c r="M124" i="16" s="1"/>
  <c r="B2472" i="16" a="1"/>
  <c r="B2472" i="16" s="1"/>
  <c r="K122" i="16" s="1"/>
  <c r="M123" i="16" s="1"/>
  <c r="B2451" i="16" a="1"/>
  <c r="B2451" i="16" s="1"/>
  <c r="K121" i="16" s="1"/>
  <c r="M122" i="16" s="1"/>
  <c r="B2429" i="16" a="1"/>
  <c r="B2429" i="16" s="1"/>
  <c r="K120" i="16" s="1"/>
  <c r="M121" i="16" s="1"/>
  <c r="B2408" i="16" a="1"/>
  <c r="B2408" i="16" s="1"/>
  <c r="K119" i="16" s="1"/>
  <c r="M120" i="16" s="1"/>
  <c r="B2388" i="16" a="1"/>
  <c r="B2388" i="16" s="1"/>
  <c r="K118" i="16" s="1"/>
  <c r="M119" i="16" s="1"/>
  <c r="B2365" i="16" a="1"/>
  <c r="B2365" i="16" s="1"/>
  <c r="K117" i="16" s="1"/>
  <c r="M118" i="16" s="1"/>
  <c r="B2346" i="16" a="1"/>
  <c r="B2346" i="16" s="1"/>
  <c r="K116" i="16" s="1"/>
  <c r="M117" i="16" s="1"/>
  <c r="B2326" i="16" a="1"/>
  <c r="B2326" i="16" s="1"/>
  <c r="K115" i="16" s="1"/>
  <c r="M116" i="16" s="1"/>
  <c r="B2306" i="16" a="1"/>
  <c r="B2306" i="16" s="1"/>
  <c r="K114" i="16" s="1"/>
  <c r="M115" i="16" s="1"/>
  <c r="B2285" i="16" a="1"/>
  <c r="B2285" i="16" s="1"/>
  <c r="K113" i="16" s="1"/>
  <c r="M114" i="16" s="1"/>
  <c r="B2265" i="16" a="1"/>
  <c r="B2265" i="16" s="1"/>
  <c r="K112" i="16" s="1"/>
  <c r="M113" i="16" s="1"/>
  <c r="B2243" i="16" a="1"/>
  <c r="B2243" i="16" s="1"/>
  <c r="K111" i="16" s="1"/>
  <c r="M112" i="16" s="1"/>
  <c r="B2226" i="16" a="1"/>
  <c r="B2226" i="16" s="1"/>
  <c r="K110" i="16" s="1"/>
  <c r="M111" i="16" s="1"/>
  <c r="B2204" i="16" a="1"/>
  <c r="B2204" i="16" s="1"/>
  <c r="K109" i="16" s="1"/>
  <c r="M110" i="16" s="1"/>
  <c r="B2182" i="16" a="1"/>
  <c r="B2182" i="16" s="1"/>
  <c r="K108" i="16" s="1"/>
  <c r="M109" i="16" s="1"/>
  <c r="B2162" i="16" a="1"/>
  <c r="B2162" i="16" s="1"/>
  <c r="K107" i="16" s="1"/>
  <c r="M108" i="16" s="1"/>
  <c r="B2141" i="16" a="1"/>
  <c r="B2141" i="16" s="1"/>
  <c r="K106" i="16" s="1"/>
  <c r="M107" i="16" s="1"/>
  <c r="B2119" i="16" a="1"/>
  <c r="B2119" i="16" s="1"/>
  <c r="K105" i="16" s="1"/>
  <c r="M106" i="16" s="1"/>
  <c r="B2098" i="16" a="1"/>
  <c r="B2098" i="16" s="1"/>
  <c r="K104" i="16" s="1"/>
  <c r="M105" i="16" s="1"/>
  <c r="B2079" i="16" a="1"/>
  <c r="B2079" i="16" s="1"/>
  <c r="K103" i="16" s="1"/>
  <c r="M104" i="16" s="1"/>
  <c r="B2059" i="16" a="1"/>
  <c r="B2059" i="16" s="1"/>
  <c r="K102" i="16" s="1"/>
  <c r="M103" i="16" s="1"/>
  <c r="B2038" i="16" a="1"/>
  <c r="B2038" i="16" s="1"/>
  <c r="K101" i="16" s="1"/>
  <c r="M102" i="16" s="1"/>
  <c r="B2018" i="16" a="1"/>
  <c r="B2018" i="16" s="1"/>
  <c r="K100" i="16" s="1"/>
  <c r="M101" i="16" s="1"/>
  <c r="B1996" i="16" a="1"/>
  <c r="B1996" i="16" s="1"/>
  <c r="K99" i="16" s="1"/>
  <c r="M100" i="16" s="1"/>
  <c r="B1977" i="16" a="1"/>
  <c r="B1977" i="16" s="1"/>
  <c r="K98" i="16" s="1"/>
  <c r="M99" i="16" s="1"/>
  <c r="B1955" i="16" a="1"/>
  <c r="B1955" i="16" s="1"/>
  <c r="K97" i="16" s="1"/>
  <c r="M98" i="16" s="1"/>
  <c r="B1935" i="16" a="1"/>
  <c r="B1935" i="16" s="1"/>
  <c r="K96" i="16" s="1"/>
  <c r="M97" i="16" s="1"/>
  <c r="B1914" i="16" a="1"/>
  <c r="B1914" i="16" s="1"/>
  <c r="K95" i="16" s="1"/>
  <c r="M96" i="16" s="1"/>
  <c r="B1893" i="16" a="1"/>
  <c r="B1893" i="16" s="1"/>
  <c r="K94" i="16" s="1"/>
  <c r="M95" i="16" s="1"/>
  <c r="B1872" i="16" a="1"/>
  <c r="B1872" i="16" s="1"/>
  <c r="K93" i="16" s="1"/>
  <c r="M94" i="16" s="1"/>
  <c r="B1851" i="16" a="1"/>
  <c r="B1851" i="16" s="1"/>
  <c r="K92" i="16" s="1"/>
  <c r="M93" i="16" s="1"/>
  <c r="B1830" i="16" a="1"/>
  <c r="B1830" i="16" s="1"/>
  <c r="K91" i="16" s="1"/>
  <c r="M92" i="16" s="1"/>
  <c r="B1812" i="16" a="1"/>
  <c r="B1812" i="16" s="1"/>
  <c r="K90" i="16" s="1"/>
  <c r="M91" i="16" s="1"/>
  <c r="B1789" i="16" a="1"/>
  <c r="B1789" i="16" s="1"/>
  <c r="K89" i="16" s="1"/>
  <c r="M90" i="16" s="1"/>
  <c r="B1769" i="16" a="1"/>
  <c r="B1769" i="16" s="1"/>
  <c r="K88" i="16" s="1"/>
  <c r="M89" i="16" s="1"/>
  <c r="B1748" i="16" a="1"/>
  <c r="B1748" i="16" s="1"/>
  <c r="K87" i="16" s="1"/>
  <c r="M88" i="16" s="1"/>
  <c r="B1728" i="16" a="1"/>
  <c r="B1728" i="16" s="1"/>
  <c r="K86" i="16" s="1"/>
  <c r="M87" i="16" s="1"/>
  <c r="B1706" i="16" a="1"/>
  <c r="B1706" i="16" s="1"/>
  <c r="K85" i="16" s="1"/>
  <c r="M86" i="16" s="1"/>
  <c r="B1686" i="16" a="1"/>
  <c r="B1686" i="16" s="1"/>
  <c r="K84" i="16" s="1"/>
  <c r="M85" i="16" s="1"/>
  <c r="B1664" i="16" a="1"/>
  <c r="B1664" i="16" s="1"/>
  <c r="K83" i="16" s="1"/>
  <c r="M84" i="16" s="1"/>
  <c r="B1643" i="16" a="1"/>
  <c r="B1643" i="16" s="1"/>
  <c r="K82" i="16" s="1"/>
  <c r="M83" i="16" s="1"/>
  <c r="B1622" i="16" a="1"/>
  <c r="B1622" i="16" s="1"/>
  <c r="K81" i="16" s="1"/>
  <c r="M82" i="16" s="1"/>
  <c r="B1600" i="16" a="1"/>
  <c r="B1600" i="16" s="1"/>
  <c r="K80" i="16" s="1"/>
  <c r="M81" i="16" s="1"/>
  <c r="B1581" i="16" a="1"/>
  <c r="B1581" i="16" s="1"/>
  <c r="K79" i="16" s="1"/>
  <c r="M80" i="16" s="1"/>
  <c r="B1560" i="16" a="1"/>
  <c r="B1560" i="16" s="1"/>
  <c r="K78" i="16" s="1"/>
  <c r="M79" i="16" s="1"/>
  <c r="B1539" i="16" a="1"/>
  <c r="B1539" i="16" s="1"/>
  <c r="K77" i="16" s="1"/>
  <c r="M78" i="16" s="1"/>
  <c r="B1518" i="16" a="1"/>
  <c r="B1518" i="16" s="1"/>
  <c r="K76" i="16" s="1"/>
  <c r="M77" i="16" s="1"/>
  <c r="B1498" i="16" a="1"/>
  <c r="B1498" i="16" s="1"/>
  <c r="K75" i="16" s="1"/>
  <c r="M76" i="16" s="1"/>
  <c r="B1479" i="16" a="1"/>
  <c r="B1479" i="16" s="1"/>
  <c r="K74" i="16" s="1"/>
  <c r="M75" i="16" s="1"/>
  <c r="B1458" i="16" a="1"/>
  <c r="B1458" i="16" s="1"/>
  <c r="K73" i="16" s="1"/>
  <c r="M74" i="16" s="1"/>
  <c r="B1436" i="16" a="1"/>
  <c r="B1436" i="16" s="1"/>
  <c r="K72" i="16" s="1"/>
  <c r="M73" i="16" s="1"/>
  <c r="B1414" i="16" a="1"/>
  <c r="B1414" i="16" s="1"/>
  <c r="K71" i="16" s="1"/>
  <c r="M72" i="16" s="1"/>
  <c r="B1394" i="16" a="1"/>
  <c r="B1394" i="16" s="1"/>
  <c r="K70" i="16" s="1"/>
  <c r="M71" i="16" s="1"/>
  <c r="B1371" i="16" a="1"/>
  <c r="B1371" i="16" s="1"/>
  <c r="K69" i="16" s="1"/>
  <c r="M70" i="16" s="1"/>
  <c r="B1349" i="16" a="1"/>
  <c r="B1349" i="16" s="1"/>
  <c r="K68" i="16" s="1"/>
  <c r="M69" i="16" s="1"/>
  <c r="B1331" i="16" a="1"/>
  <c r="B1331" i="16" s="1"/>
  <c r="K67" i="16" s="1"/>
  <c r="M68" i="16" s="1"/>
  <c r="B1311" i="16" a="1"/>
  <c r="B1311" i="16" s="1"/>
  <c r="K66" i="16" s="1"/>
  <c r="M67" i="16" s="1"/>
  <c r="B1289" i="16" a="1"/>
  <c r="B1289" i="16" s="1"/>
  <c r="K65" i="16" s="1"/>
  <c r="M66" i="16" s="1"/>
  <c r="B1269" i="16" a="1"/>
  <c r="B1269" i="16" s="1"/>
  <c r="K64" i="16" s="1"/>
  <c r="M65" i="16" s="1"/>
  <c r="B1248" i="16" a="1"/>
  <c r="B1248" i="16" s="1"/>
  <c r="K63" i="16" s="1"/>
  <c r="M64" i="16" s="1"/>
  <c r="B1229" i="16" a="1"/>
  <c r="B1229" i="16" s="1"/>
  <c r="K62" i="16" s="1"/>
  <c r="M63" i="16" s="1"/>
  <c r="B1209" i="16" a="1"/>
  <c r="B1209" i="16" s="1"/>
  <c r="K61" i="16" s="1"/>
  <c r="M62" i="16" s="1"/>
  <c r="B1187" i="16" a="1"/>
  <c r="B1187" i="16" s="1"/>
  <c r="K60" i="16" s="1"/>
  <c r="M61" i="16" s="1"/>
  <c r="B1165" i="16" a="1"/>
  <c r="B1165" i="16" s="1"/>
  <c r="K59" i="16" s="1"/>
  <c r="M60" i="16" s="1"/>
  <c r="B1146" i="16" a="1"/>
  <c r="B1146" i="16" s="1"/>
  <c r="K58" i="16" s="1"/>
  <c r="M59" i="16" s="1"/>
  <c r="B1123" i="16" a="1"/>
  <c r="B1123" i="16" s="1"/>
  <c r="K57" i="16" s="1"/>
  <c r="M58" i="16" s="1"/>
  <c r="B1102" i="16" a="1"/>
  <c r="B1102" i="16" s="1"/>
  <c r="K56" i="16" s="1"/>
  <c r="M57" i="16" s="1"/>
  <c r="B1083" i="16" a="1"/>
  <c r="B1083" i="16" s="1"/>
  <c r="K55" i="16" s="1"/>
  <c r="M56" i="16" s="1"/>
  <c r="B1063" i="16" a="1"/>
  <c r="B1063" i="16" s="1"/>
  <c r="K54" i="16" s="1"/>
  <c r="M55" i="16" s="1"/>
  <c r="B1042" i="16" a="1"/>
  <c r="B1042" i="16" s="1"/>
  <c r="K53" i="16" s="1"/>
  <c r="M54" i="16" s="1"/>
  <c r="B1022" i="16" a="1"/>
  <c r="B1022" i="16" s="1"/>
  <c r="K52" i="16" s="1"/>
  <c r="M53" i="16" s="1"/>
  <c r="B1000" i="16" a="1"/>
  <c r="B1000" i="16" s="1"/>
  <c r="K51" i="16" s="1"/>
  <c r="M52" i="16" s="1"/>
  <c r="B982" i="16" a="1"/>
  <c r="B982" i="16" s="1"/>
  <c r="K50" i="16" s="1"/>
  <c r="M51" i="16" s="1"/>
  <c r="B961" i="16" a="1"/>
  <c r="B961" i="16" s="1"/>
  <c r="K49" i="16" s="1"/>
  <c r="M50" i="16" s="1"/>
  <c r="B938" i="16" a="1"/>
  <c r="B938" i="16" s="1"/>
  <c r="K48" i="16" s="1"/>
  <c r="M49" i="16" s="1"/>
  <c r="B917" i="16" a="1"/>
  <c r="B917" i="16" s="1"/>
  <c r="K47" i="16" s="1"/>
  <c r="M48" i="16" s="1"/>
  <c r="B897" i="16" a="1"/>
  <c r="B897" i="16" s="1"/>
  <c r="K46" i="16" s="1"/>
  <c r="M47" i="16" s="1"/>
  <c r="B874" i="16" a="1"/>
  <c r="B874" i="16" s="1"/>
  <c r="K45" i="16" s="1"/>
  <c r="M46" i="16" s="1"/>
  <c r="B854" i="16" a="1"/>
  <c r="B854" i="16" s="1"/>
  <c r="K44" i="16" s="1"/>
  <c r="M45" i="16" s="1"/>
  <c r="B834" i="16" a="1"/>
  <c r="B834" i="16" s="1"/>
  <c r="K43" i="16" s="1"/>
  <c r="M44" i="16" s="1"/>
  <c r="B813" i="16" a="1"/>
  <c r="B813" i="16" s="1"/>
  <c r="K42" i="16" s="1"/>
  <c r="M43" i="16" s="1"/>
  <c r="B793" i="16" a="1"/>
  <c r="B793" i="16" s="1"/>
  <c r="K41" i="16" s="1"/>
  <c r="M42" i="16" s="1"/>
  <c r="B773" i="16" a="1"/>
  <c r="B773" i="16" s="1"/>
  <c r="K40" i="16" s="1"/>
  <c r="M41" i="16" s="1"/>
  <c r="B751" i="16" a="1"/>
  <c r="B751" i="16" s="1"/>
  <c r="K39" i="16" s="1"/>
  <c r="M40" i="16" s="1"/>
  <c r="B734" i="16" a="1"/>
  <c r="B734" i="16" s="1"/>
  <c r="K38" i="16" s="1"/>
  <c r="M39" i="16" s="1"/>
  <c r="B712" i="16" a="1"/>
  <c r="B712" i="16" s="1"/>
  <c r="K37" i="16" s="1"/>
  <c r="M38" i="16" s="1"/>
  <c r="B689" i="16" a="1"/>
  <c r="B689" i="16" s="1"/>
  <c r="K36" i="16" s="1"/>
  <c r="M37" i="16" s="1"/>
  <c r="B669" i="16" a="1"/>
  <c r="B669" i="16" s="1"/>
  <c r="K35" i="16" s="1"/>
  <c r="M36" i="16" s="1"/>
  <c r="B648" i="16" a="1"/>
  <c r="B648" i="16" s="1"/>
  <c r="K34" i="16" s="1"/>
  <c r="M35" i="16" s="1"/>
  <c r="B626" i="16" a="1"/>
  <c r="B626" i="16" s="1"/>
  <c r="K33" i="16" s="1"/>
  <c r="M34" i="16" s="1"/>
  <c r="B607" i="16" a="1"/>
  <c r="B607" i="16" s="1"/>
  <c r="K32" i="16" s="1"/>
  <c r="M33" i="16" s="1"/>
  <c r="B586" i="16" a="1"/>
  <c r="B586" i="16" s="1"/>
  <c r="K31" i="16" s="1"/>
  <c r="M32" i="16" s="1"/>
  <c r="B567" i="16" a="1"/>
  <c r="B567" i="16" s="1"/>
  <c r="K30" i="16" s="1"/>
  <c r="M31" i="16" s="1"/>
  <c r="B545" i="16" a="1"/>
  <c r="B545" i="16" s="1"/>
  <c r="K29" i="16" s="1"/>
  <c r="M30" i="16" s="1"/>
  <c r="B524" i="16" a="1"/>
  <c r="B524" i="16" s="1"/>
  <c r="K28" i="16" s="1"/>
  <c r="M29" i="16" s="1"/>
  <c r="B503" i="16" a="1"/>
  <c r="B503" i="16" s="1"/>
  <c r="K27" i="16" s="1"/>
  <c r="M28" i="16" s="1"/>
  <c r="B483" i="16" a="1"/>
  <c r="B483" i="16" s="1"/>
  <c r="K26" i="16" s="1"/>
  <c r="M27" i="16" s="1"/>
  <c r="B461" i="16" a="1"/>
  <c r="B461" i="16" s="1"/>
  <c r="K25" i="16" s="1"/>
  <c r="M26" i="16" s="1"/>
  <c r="B440" i="16" a="1"/>
  <c r="B440" i="16" s="1"/>
  <c r="K24" i="16" s="1"/>
  <c r="M25" i="16" s="1"/>
  <c r="B418" i="16" a="1"/>
  <c r="B418" i="16" s="1"/>
  <c r="K23" i="16" s="1"/>
  <c r="M24" i="16" s="1"/>
  <c r="B397" i="16" a="1"/>
  <c r="B397" i="16" s="1"/>
  <c r="K22" i="16" s="1"/>
  <c r="M23" i="16" s="1"/>
  <c r="B376" i="16" a="1"/>
  <c r="B376" i="16" s="1"/>
  <c r="K21" i="16" s="1"/>
  <c r="M22" i="16" s="1"/>
  <c r="B354" i="16" a="1"/>
  <c r="B354" i="16" s="1"/>
  <c r="K20" i="16" s="1"/>
  <c r="M21" i="16" s="1"/>
  <c r="B334" i="16" a="1"/>
  <c r="B334" i="16" s="1"/>
  <c r="K19" i="16" s="1"/>
  <c r="M20" i="16" s="1"/>
  <c r="B316" i="16" a="1"/>
  <c r="B316" i="16" s="1"/>
  <c r="K18" i="16" s="1"/>
  <c r="M19" i="16" s="1"/>
  <c r="B293" i="16" a="1"/>
  <c r="B293" i="16" s="1"/>
  <c r="K17" i="16" s="1"/>
  <c r="M18" i="16" s="1"/>
  <c r="B273" i="16" a="1"/>
  <c r="B273" i="16" s="1"/>
  <c r="K16" i="16" s="1"/>
  <c r="M17" i="16" s="1"/>
  <c r="B253" i="16" a="1"/>
  <c r="B253" i="16" s="1"/>
  <c r="K15" i="16" s="1"/>
  <c r="M16" i="16" s="1"/>
  <c r="B234" i="16" a="1"/>
  <c r="B234" i="16" s="1"/>
  <c r="K14" i="16" s="1"/>
  <c r="M15" i="16" s="1"/>
  <c r="B212" i="16" a="1"/>
  <c r="B212" i="16" s="1"/>
  <c r="K13" i="16" s="1"/>
  <c r="M14" i="16" s="1"/>
  <c r="B191" i="16" a="1"/>
  <c r="B191" i="16" s="1"/>
  <c r="K12" i="16" s="1"/>
  <c r="M13" i="16" s="1"/>
  <c r="B169" i="16" a="1"/>
  <c r="B169" i="16" s="1"/>
  <c r="K11" i="16" s="1"/>
  <c r="M12" i="16" s="1"/>
  <c r="B148" i="16" a="1"/>
  <c r="B148" i="16" s="1"/>
  <c r="K10" i="16" s="1"/>
  <c r="M11" i="16" s="1"/>
  <c r="B126" i="16" a="1"/>
  <c r="B126" i="16" s="1"/>
  <c r="K9" i="16" s="1"/>
  <c r="M10" i="16" s="1"/>
  <c r="B104" i="16" a="1"/>
  <c r="B104" i="16" s="1"/>
  <c r="K8" i="16" s="1"/>
  <c r="M9" i="16" s="1"/>
  <c r="B85" i="16" a="1"/>
  <c r="B85" i="16" s="1"/>
  <c r="K7" i="16" s="1"/>
  <c r="M8" i="16" s="1"/>
  <c r="B65" i="16" a="1"/>
  <c r="B65" i="16" s="1"/>
  <c r="K6" i="16" s="1"/>
  <c r="M7" i="16" s="1"/>
  <c r="B42" i="16" a="1"/>
  <c r="B42" i="16" s="1"/>
  <c r="K5" i="16" s="1"/>
  <c r="M6" i="16" s="1"/>
  <c r="B22" i="16" a="1"/>
  <c r="B22" i="16" s="1"/>
  <c r="K4" i="16" s="1"/>
  <c r="M5" i="16" s="1"/>
  <c r="B2" i="16" a="1"/>
  <c r="B2" i="16" s="1"/>
  <c r="K3" i="16" s="1"/>
  <c r="M4" i="16" s="1"/>
  <c r="B3802" i="19" a="1"/>
  <c r="B3802" i="19" s="1"/>
  <c r="K186" i="19" s="1"/>
  <c r="B3781" i="19" a="1"/>
  <c r="B3781" i="19" s="1"/>
  <c r="K185" i="19" s="1"/>
  <c r="M186" i="19" s="1"/>
  <c r="B3761" i="19" a="1"/>
  <c r="B3761" i="19" s="1"/>
  <c r="K184" i="19" s="1"/>
  <c r="M185" i="19" s="1"/>
  <c r="B3739" i="19" a="1"/>
  <c r="B3739" i="19" s="1"/>
  <c r="K183" i="19" s="1"/>
  <c r="M184" i="19" s="1"/>
  <c r="B3721" i="19" a="1"/>
  <c r="B3721" i="19" s="1"/>
  <c r="K182" i="19" s="1"/>
  <c r="M183" i="19" s="1"/>
  <c r="B3700" i="19" a="1"/>
  <c r="B3700" i="19" s="1"/>
  <c r="K181" i="19" s="1"/>
  <c r="M182" i="19" s="1"/>
  <c r="B3677" i="19" a="1"/>
  <c r="B3677" i="19" s="1"/>
  <c r="K180" i="19" s="1"/>
  <c r="M181" i="19" s="1"/>
  <c r="B3656" i="19" a="1"/>
  <c r="B3656" i="19" s="1"/>
  <c r="K179" i="19" s="1"/>
  <c r="M180" i="19" s="1"/>
  <c r="B3636" i="19" a="1"/>
  <c r="B3636" i="19" s="1"/>
  <c r="K178" i="19" s="1"/>
  <c r="M179" i="19" s="1"/>
  <c r="B3613" i="19" a="1"/>
  <c r="B3613" i="19" s="1"/>
  <c r="K177" i="19" s="1"/>
  <c r="M178" i="19" s="1"/>
  <c r="B3593" i="19" a="1"/>
  <c r="B3593" i="19" s="1"/>
  <c r="K176" i="19" s="1"/>
  <c r="M177" i="19" s="1"/>
  <c r="B3573" i="19" a="1"/>
  <c r="B3573" i="19" s="1"/>
  <c r="K175" i="19" s="1"/>
  <c r="M176" i="19" s="1"/>
  <c r="B3552" i="19" a="1"/>
  <c r="B3552" i="19" s="1"/>
  <c r="K174" i="19" s="1"/>
  <c r="M175" i="19" s="1"/>
  <c r="B3532" i="19" a="1"/>
  <c r="B3532" i="19" s="1"/>
  <c r="K173" i="19" s="1"/>
  <c r="M174" i="19" s="1"/>
  <c r="B3511" i="19" a="1"/>
  <c r="B3511" i="19" s="1"/>
  <c r="K172" i="19" s="1"/>
  <c r="M173" i="19" s="1"/>
  <c r="B3489" i="19" a="1"/>
  <c r="B3489" i="19" s="1"/>
  <c r="K171" i="19" s="1"/>
  <c r="M172" i="19" s="1"/>
  <c r="B3470" i="19" a="1"/>
  <c r="B3470" i="19" s="1"/>
  <c r="K170" i="19" s="1"/>
  <c r="M171" i="19" s="1"/>
  <c r="B3448" i="19" a="1"/>
  <c r="B3448" i="19" s="1"/>
  <c r="K169" i="19" s="1"/>
  <c r="M170" i="19" s="1"/>
  <c r="B3426" i="19" a="1"/>
  <c r="B3426" i="19" s="1"/>
  <c r="K168" i="19" s="1"/>
  <c r="M169" i="19" s="1"/>
  <c r="B3405" i="19" a="1"/>
  <c r="B3405" i="19" s="1"/>
  <c r="K167" i="19" s="1"/>
  <c r="M168" i="19" s="1"/>
  <c r="B3384" i="19" a="1"/>
  <c r="B3384" i="19" s="1"/>
  <c r="K166" i="19" s="1"/>
  <c r="M167" i="19" s="1"/>
  <c r="B3363" i="19" a="1"/>
  <c r="B3363" i="19" s="1"/>
  <c r="K165" i="19" s="1"/>
  <c r="M166" i="19" s="1"/>
  <c r="B3341" i="19" a="1"/>
  <c r="B3341" i="19" s="1"/>
  <c r="K164" i="19" s="1"/>
  <c r="M165" i="19" s="1"/>
  <c r="B3321" i="19" a="1"/>
  <c r="B3321" i="19" s="1"/>
  <c r="K163" i="19" s="1"/>
  <c r="M164" i="19" s="1"/>
  <c r="B3303" i="19" a="1"/>
  <c r="B3303" i="19" s="1"/>
  <c r="K162" i="19" s="1"/>
  <c r="M163" i="19" s="1"/>
  <c r="B3280" i="19" a="1"/>
  <c r="B3280" i="19" s="1"/>
  <c r="K161" i="19" s="1"/>
  <c r="M162" i="19" s="1"/>
  <c r="B3260" i="19" a="1"/>
  <c r="B3260" i="19" s="1"/>
  <c r="K160" i="19" s="1"/>
  <c r="M161" i="19" s="1"/>
  <c r="B3239" i="19" a="1"/>
  <c r="B3239" i="19" s="1"/>
  <c r="K159" i="19" s="1"/>
  <c r="M160" i="19" s="1"/>
  <c r="B3219" i="19" a="1"/>
  <c r="B3219" i="19" s="1"/>
  <c r="K158" i="19" s="1"/>
  <c r="M159" i="19" s="1"/>
  <c r="B3197" i="19" a="1"/>
  <c r="B3197" i="19" s="1"/>
  <c r="K157" i="19" s="1"/>
  <c r="M158" i="19" s="1"/>
  <c r="B3176" i="19" a="1"/>
  <c r="B3176" i="19" s="1"/>
  <c r="K156" i="19" s="1"/>
  <c r="M157" i="19" s="1"/>
  <c r="B3155" i="19" a="1"/>
  <c r="B3155" i="19" s="1"/>
  <c r="K155" i="19" s="1"/>
  <c r="M156" i="19" s="1"/>
  <c r="B3134" i="19" a="1"/>
  <c r="B3134" i="19" s="1"/>
  <c r="K154" i="19" s="1"/>
  <c r="M155" i="19" s="1"/>
  <c r="B3113" i="19" a="1"/>
  <c r="B3113" i="19" s="1"/>
  <c r="K153" i="19" s="1"/>
  <c r="M154" i="19" s="1"/>
  <c r="B3093" i="19" a="1"/>
  <c r="B3093" i="19" s="1"/>
  <c r="K152" i="19" s="1"/>
  <c r="M153" i="19" s="1"/>
  <c r="B3072" i="19" a="1"/>
  <c r="B3072" i="19" s="1"/>
  <c r="K151" i="19" s="1"/>
  <c r="M152" i="19" s="1"/>
  <c r="B3053" i="19" a="1"/>
  <c r="B3053" i="19" s="1"/>
  <c r="K150" i="19" s="1"/>
  <c r="M151" i="19" s="1"/>
  <c r="B3030" i="19" a="1"/>
  <c r="B3030" i="19" s="1"/>
  <c r="K149" i="19" s="1"/>
  <c r="M150" i="19" s="1"/>
  <c r="B3010" i="19" a="1"/>
  <c r="B3010" i="19" s="1"/>
  <c r="K148" i="19" s="1"/>
  <c r="M149" i="19" s="1"/>
  <c r="B2990" i="19" a="1"/>
  <c r="B2990" i="19" s="1"/>
  <c r="K147" i="19" s="1"/>
  <c r="M148" i="19" s="1"/>
  <c r="B2971" i="19" a="1"/>
  <c r="B2971" i="19" s="1"/>
  <c r="K146" i="19" s="1"/>
  <c r="M147" i="19" s="1"/>
  <c r="B2949" i="19" a="1"/>
  <c r="B2949" i="19" s="1"/>
  <c r="K145" i="19" s="1"/>
  <c r="M146" i="19" s="1"/>
  <c r="B2928" i="19" a="1"/>
  <c r="B2928" i="19" s="1"/>
  <c r="K144" i="19" s="1"/>
  <c r="M145" i="19" s="1"/>
  <c r="B2906" i="19" a="1"/>
  <c r="B2906" i="19" s="1"/>
  <c r="K143" i="19" s="1"/>
  <c r="M144" i="19" s="1"/>
  <c r="B2885" i="19" a="1"/>
  <c r="B2885" i="19" s="1"/>
  <c r="K142" i="19" s="1"/>
  <c r="M143" i="19" s="1"/>
  <c r="B2863" i="19" a="1"/>
  <c r="B2863" i="19" s="1"/>
  <c r="K141" i="19" s="1"/>
  <c r="M142" i="19" s="1"/>
  <c r="B2841" i="19" a="1"/>
  <c r="B2841" i="19" s="1"/>
  <c r="K140" i="19" s="1"/>
  <c r="M141" i="19" s="1"/>
  <c r="B2823" i="19" a="1"/>
  <c r="B2823" i="19" s="1"/>
  <c r="K139" i="19" s="1"/>
  <c r="M140" i="19" s="1"/>
  <c r="B2803" i="19" a="1"/>
  <c r="B2803" i="19" s="1"/>
  <c r="K138" i="19" s="1"/>
  <c r="M139" i="19" s="1"/>
  <c r="B2780" i="19" a="1"/>
  <c r="B2780" i="19" s="1"/>
  <c r="K137" i="19" s="1"/>
  <c r="M138" i="19" s="1"/>
  <c r="B2760" i="19" a="1"/>
  <c r="B2760" i="19" s="1"/>
  <c r="K136" i="19" s="1"/>
  <c r="M137" i="19" s="1"/>
  <c r="B2740" i="19" a="1"/>
  <c r="B2740" i="19" s="1"/>
  <c r="K135" i="19" s="1"/>
  <c r="M136" i="19" s="1"/>
  <c r="B2721" i="19" a="1"/>
  <c r="B2721" i="19" s="1"/>
  <c r="K134" i="19" s="1"/>
  <c r="M135" i="19" s="1"/>
  <c r="B2700" i="19" a="1"/>
  <c r="B2700" i="19" s="1"/>
  <c r="K133" i="19" s="1"/>
  <c r="M134" i="19" s="1"/>
  <c r="B2678" i="19" a="1"/>
  <c r="B2678" i="19" s="1"/>
  <c r="K132" i="19" s="1"/>
  <c r="M133" i="19" s="1"/>
  <c r="B2656" i="19" a="1"/>
  <c r="B2656" i="19" s="1"/>
  <c r="K131" i="19" s="1"/>
  <c r="M132" i="19" s="1"/>
  <c r="B2636" i="19" a="1"/>
  <c r="B2636" i="19" s="1"/>
  <c r="K130" i="19" s="1"/>
  <c r="M131" i="19" s="1"/>
  <c r="B2613" i="19" a="1"/>
  <c r="B2613" i="19" s="1"/>
  <c r="K129" i="19" s="1"/>
  <c r="M130" i="19" s="1"/>
  <c r="B2592" i="19" a="1"/>
  <c r="B2592" i="19" s="1"/>
  <c r="K128" i="19" s="1"/>
  <c r="M129" i="19" s="1"/>
  <c r="B2574" i="19" a="1"/>
  <c r="B2574" i="19" s="1"/>
  <c r="K127" i="19" s="1"/>
  <c r="M128" i="19" s="1"/>
  <c r="B2554" i="19" a="1"/>
  <c r="B2554" i="19" s="1"/>
  <c r="K126" i="19" s="1"/>
  <c r="M127" i="19" s="1"/>
  <c r="B2532" i="19" a="1"/>
  <c r="B2532" i="19" s="1"/>
  <c r="B2512" i="19" a="1"/>
  <c r="B2512" i="19" s="1"/>
  <c r="K124" i="19" s="1"/>
  <c r="M125" i="19" s="1"/>
  <c r="B2490" i="19" a="1"/>
  <c r="B2490" i="19" s="1"/>
  <c r="K123" i="19" s="1"/>
  <c r="M124" i="19" s="1"/>
  <c r="B2472" i="19" a="1"/>
  <c r="B2472" i="19" s="1"/>
  <c r="K122" i="19" s="1"/>
  <c r="M123" i="19" s="1"/>
  <c r="B2451" i="19" a="1"/>
  <c r="B2451" i="19" s="1"/>
  <c r="K121" i="19" s="1"/>
  <c r="M122" i="19" s="1"/>
  <c r="B2429" i="19" a="1"/>
  <c r="B2429" i="19" s="1"/>
  <c r="K120" i="19" s="1"/>
  <c r="M121" i="19" s="1"/>
  <c r="B2408" i="19" a="1"/>
  <c r="B2408" i="19" s="1"/>
  <c r="K119" i="19" s="1"/>
  <c r="M120" i="19" s="1"/>
  <c r="B2388" i="19" a="1"/>
  <c r="B2388" i="19" s="1"/>
  <c r="K118" i="19" s="1"/>
  <c r="M119" i="19" s="1"/>
  <c r="B2365" i="19" a="1"/>
  <c r="B2365" i="19" s="1"/>
  <c r="K117" i="19" s="1"/>
  <c r="M118" i="19" s="1"/>
  <c r="B2346" i="19" a="1"/>
  <c r="B2346" i="19" s="1"/>
  <c r="K116" i="19" s="1"/>
  <c r="M117" i="19" s="1"/>
  <c r="B2326" i="19" a="1"/>
  <c r="B2326" i="19" s="1"/>
  <c r="K115" i="19" s="1"/>
  <c r="M116" i="19" s="1"/>
  <c r="B2306" i="19" a="1"/>
  <c r="B2306" i="19" s="1"/>
  <c r="K114" i="19" s="1"/>
  <c r="M115" i="19" s="1"/>
  <c r="B2285" i="19" a="1"/>
  <c r="B2285" i="19" s="1"/>
  <c r="B2265" i="19" a="1"/>
  <c r="B2265" i="19" s="1"/>
  <c r="K112" i="19" s="1"/>
  <c r="M113" i="19" s="1"/>
  <c r="B2243" i="19" a="1"/>
  <c r="B2243" i="19" s="1"/>
  <c r="K111" i="19" s="1"/>
  <c r="M112" i="19" s="1"/>
  <c r="B2226" i="19" a="1"/>
  <c r="B2226" i="19" s="1"/>
  <c r="K110" i="19" s="1"/>
  <c r="M111" i="19" s="1"/>
  <c r="B2204" i="19" a="1"/>
  <c r="B2204" i="19" s="1"/>
  <c r="K109" i="19" s="1"/>
  <c r="M110" i="19" s="1"/>
  <c r="B2182" i="19" a="1"/>
  <c r="B2182" i="19" s="1"/>
  <c r="K108" i="19" s="1"/>
  <c r="M109" i="19" s="1"/>
  <c r="B2162" i="19" a="1"/>
  <c r="B2162" i="19" s="1"/>
  <c r="K107" i="19" s="1"/>
  <c r="M108" i="19" s="1"/>
  <c r="B2141" i="19" a="1"/>
  <c r="B2141" i="19" s="1"/>
  <c r="K106" i="19" s="1"/>
  <c r="M107" i="19" s="1"/>
  <c r="B2119" i="19" a="1"/>
  <c r="B2119" i="19" s="1"/>
  <c r="K105" i="19" s="1"/>
  <c r="M106" i="19" s="1"/>
  <c r="B2098" i="19" a="1"/>
  <c r="B2098" i="19" s="1"/>
  <c r="K104" i="19" s="1"/>
  <c r="M105" i="19" s="1"/>
  <c r="B2079" i="19" a="1"/>
  <c r="B2079" i="19" s="1"/>
  <c r="K103" i="19" s="1"/>
  <c r="M104" i="19" s="1"/>
  <c r="B2059" i="19" a="1"/>
  <c r="B2059" i="19" s="1"/>
  <c r="K102" i="19" s="1"/>
  <c r="M103" i="19" s="1"/>
  <c r="B2038" i="19" a="1"/>
  <c r="B2038" i="19" s="1"/>
  <c r="K101" i="19" s="1"/>
  <c r="M102" i="19" s="1"/>
  <c r="B2018" i="19" a="1"/>
  <c r="B2018" i="19" s="1"/>
  <c r="K100" i="19" s="1"/>
  <c r="M101" i="19" s="1"/>
  <c r="B1996" i="19" a="1"/>
  <c r="B1996" i="19" s="1"/>
  <c r="K99" i="19" s="1"/>
  <c r="M100" i="19" s="1"/>
  <c r="B1977" i="19" a="1"/>
  <c r="B1977" i="19" s="1"/>
  <c r="K98" i="19" s="1"/>
  <c r="M99" i="19" s="1"/>
  <c r="B1955" i="19" a="1"/>
  <c r="B1955" i="19" s="1"/>
  <c r="K97" i="19" s="1"/>
  <c r="M98" i="19" s="1"/>
  <c r="B1935" i="19" a="1"/>
  <c r="B1935" i="19" s="1"/>
  <c r="K96" i="19" s="1"/>
  <c r="M97" i="19" s="1"/>
  <c r="B1914" i="19" a="1"/>
  <c r="B1914" i="19" s="1"/>
  <c r="K95" i="19" s="1"/>
  <c r="M96" i="19" s="1"/>
  <c r="B1893" i="19" a="1"/>
  <c r="B1893" i="19" s="1"/>
  <c r="K94" i="19" s="1"/>
  <c r="M95" i="19" s="1"/>
  <c r="B1872" i="19" a="1"/>
  <c r="B1872" i="19" s="1"/>
  <c r="K93" i="19" s="1"/>
  <c r="M94" i="19" s="1"/>
  <c r="B1851" i="19" a="1"/>
  <c r="B1851" i="19" s="1"/>
  <c r="K92" i="19" s="1"/>
  <c r="M93" i="19" s="1"/>
  <c r="B1830" i="19" a="1"/>
  <c r="B1830" i="19" s="1"/>
  <c r="K91" i="19" s="1"/>
  <c r="M92" i="19" s="1"/>
  <c r="B1812" i="19" a="1"/>
  <c r="B1812" i="19" s="1"/>
  <c r="K90" i="19" s="1"/>
  <c r="M91" i="19" s="1"/>
  <c r="B1789" i="19" a="1"/>
  <c r="B1789" i="19" s="1"/>
  <c r="K89" i="19" s="1"/>
  <c r="M90" i="19" s="1"/>
  <c r="B1769" i="19" a="1"/>
  <c r="B1769" i="19" s="1"/>
  <c r="K88" i="19" s="1"/>
  <c r="M89" i="19" s="1"/>
  <c r="B1748" i="19" a="1"/>
  <c r="B1748" i="19" s="1"/>
  <c r="K87" i="19" s="1"/>
  <c r="M88" i="19" s="1"/>
  <c r="B1728" i="19" a="1"/>
  <c r="B1728" i="19" s="1"/>
  <c r="K86" i="19" s="1"/>
  <c r="M87" i="19" s="1"/>
  <c r="B1706" i="19" a="1"/>
  <c r="B1706" i="19" s="1"/>
  <c r="K85" i="19" s="1"/>
  <c r="M86" i="19" s="1"/>
  <c r="B1686" i="19" a="1"/>
  <c r="B1686" i="19" s="1"/>
  <c r="K84" i="19" s="1"/>
  <c r="M85" i="19" s="1"/>
  <c r="B1664" i="19" a="1"/>
  <c r="B1664" i="19" s="1"/>
  <c r="K83" i="19" s="1"/>
  <c r="M84" i="19" s="1"/>
  <c r="B1643" i="19" a="1"/>
  <c r="B1643" i="19" s="1"/>
  <c r="K82" i="19" s="1"/>
  <c r="M83" i="19" s="1"/>
  <c r="B1622" i="19" a="1"/>
  <c r="B1622" i="19" s="1"/>
  <c r="K81" i="19" s="1"/>
  <c r="M82" i="19" s="1"/>
  <c r="B1600" i="19" a="1"/>
  <c r="B1600" i="19" s="1"/>
  <c r="K80" i="19" s="1"/>
  <c r="M81" i="19" s="1"/>
  <c r="B1581" i="19" a="1"/>
  <c r="B1581" i="19" s="1"/>
  <c r="K79" i="19" s="1"/>
  <c r="M80" i="19" s="1"/>
  <c r="B1560" i="19" a="1"/>
  <c r="B1560" i="19" s="1"/>
  <c r="K78" i="19" s="1"/>
  <c r="M79" i="19" s="1"/>
  <c r="B1539" i="19" a="1"/>
  <c r="B1539" i="19" s="1"/>
  <c r="K77" i="19" s="1"/>
  <c r="M78" i="19" s="1"/>
  <c r="B1518" i="19" a="1"/>
  <c r="B1518" i="19" s="1"/>
  <c r="K76" i="19" s="1"/>
  <c r="M77" i="19" s="1"/>
  <c r="B1498" i="19" a="1"/>
  <c r="B1498" i="19" s="1"/>
  <c r="K75" i="19" s="1"/>
  <c r="M76" i="19" s="1"/>
  <c r="B1479" i="19" a="1"/>
  <c r="B1479" i="19" s="1"/>
  <c r="K74" i="19" s="1"/>
  <c r="M75" i="19" s="1"/>
  <c r="B1458" i="19" a="1"/>
  <c r="B1458" i="19" s="1"/>
  <c r="K73" i="19" s="1"/>
  <c r="M74" i="19" s="1"/>
  <c r="B1436" i="19" a="1"/>
  <c r="B1436" i="19" s="1"/>
  <c r="K72" i="19" s="1"/>
  <c r="M73" i="19" s="1"/>
  <c r="B1414" i="19" a="1"/>
  <c r="B1414" i="19" s="1"/>
  <c r="K71" i="19" s="1"/>
  <c r="M72" i="19" s="1"/>
  <c r="B1394" i="19" a="1"/>
  <c r="B1394" i="19" s="1"/>
  <c r="K70" i="19" s="1"/>
  <c r="M71" i="19" s="1"/>
  <c r="B1371" i="19" a="1"/>
  <c r="B1371" i="19" s="1"/>
  <c r="K69" i="19" s="1"/>
  <c r="M70" i="19" s="1"/>
  <c r="B1349" i="19" a="1"/>
  <c r="B1349" i="19" s="1"/>
  <c r="K68" i="19" s="1"/>
  <c r="M69" i="19" s="1"/>
  <c r="B1331" i="19" a="1"/>
  <c r="B1331" i="19" s="1"/>
  <c r="K67" i="19" s="1"/>
  <c r="M68" i="19" s="1"/>
  <c r="B1311" i="19" a="1"/>
  <c r="B1311" i="19" s="1"/>
  <c r="K66" i="19" s="1"/>
  <c r="M67" i="19" s="1"/>
  <c r="B1289" i="19" a="1"/>
  <c r="B1289" i="19" s="1"/>
  <c r="K65" i="19" s="1"/>
  <c r="M66" i="19" s="1"/>
  <c r="B1269" i="19" a="1"/>
  <c r="B1269" i="19" s="1"/>
  <c r="K64" i="19" s="1"/>
  <c r="M65" i="19" s="1"/>
  <c r="B1248" i="19" a="1"/>
  <c r="B1248" i="19" s="1"/>
  <c r="K63" i="19" s="1"/>
  <c r="M64" i="19" s="1"/>
  <c r="B1229" i="19" a="1"/>
  <c r="B1229" i="19" s="1"/>
  <c r="K62" i="19" s="1"/>
  <c r="M63" i="19" s="1"/>
  <c r="B1209" i="19" a="1"/>
  <c r="B1209" i="19" s="1"/>
  <c r="K61" i="19" s="1"/>
  <c r="M62" i="19" s="1"/>
  <c r="B1187" i="19" a="1"/>
  <c r="B1187" i="19" s="1"/>
  <c r="K60" i="19" s="1"/>
  <c r="M61" i="19" s="1"/>
  <c r="B1165" i="19" a="1"/>
  <c r="B1165" i="19" s="1"/>
  <c r="K59" i="19" s="1"/>
  <c r="M60" i="19" s="1"/>
  <c r="B1146" i="19" a="1"/>
  <c r="B1146" i="19" s="1"/>
  <c r="K58" i="19" s="1"/>
  <c r="M59" i="19" s="1"/>
  <c r="B1123" i="19" a="1"/>
  <c r="B1123" i="19" s="1"/>
  <c r="K57" i="19" s="1"/>
  <c r="M58" i="19" s="1"/>
  <c r="B1102" i="19" a="1"/>
  <c r="B1102" i="19" s="1"/>
  <c r="K56" i="19" s="1"/>
  <c r="M57" i="19" s="1"/>
  <c r="B1083" i="19" a="1"/>
  <c r="B1083" i="19" s="1"/>
  <c r="K55" i="19" s="1"/>
  <c r="M56" i="19" s="1"/>
  <c r="B1063" i="19" a="1"/>
  <c r="B1063" i="19" s="1"/>
  <c r="K54" i="19" s="1"/>
  <c r="M55" i="19" s="1"/>
  <c r="B1042" i="19" a="1"/>
  <c r="B1042" i="19" s="1"/>
  <c r="K53" i="19" s="1"/>
  <c r="M54" i="19" s="1"/>
  <c r="B1022" i="19" a="1"/>
  <c r="B1022" i="19" s="1"/>
  <c r="K52" i="19" s="1"/>
  <c r="M53" i="19" s="1"/>
  <c r="B1000" i="19" a="1"/>
  <c r="B1000" i="19" s="1"/>
  <c r="K51" i="19" s="1"/>
  <c r="M52" i="19" s="1"/>
  <c r="B982" i="19" a="1"/>
  <c r="B982" i="19" s="1"/>
  <c r="K50" i="19" s="1"/>
  <c r="M51" i="19" s="1"/>
  <c r="B961" i="19" a="1"/>
  <c r="B961" i="19" s="1"/>
  <c r="K49" i="19" s="1"/>
  <c r="M50" i="19" s="1"/>
  <c r="B938" i="19" a="1"/>
  <c r="B938" i="19" s="1"/>
  <c r="K48" i="19" s="1"/>
  <c r="M49" i="19" s="1"/>
  <c r="B917" i="19" a="1"/>
  <c r="B917" i="19" s="1"/>
  <c r="K47" i="19" s="1"/>
  <c r="M48" i="19" s="1"/>
  <c r="B897" i="19" a="1"/>
  <c r="B897" i="19" s="1"/>
  <c r="K46" i="19" s="1"/>
  <c r="M47" i="19" s="1"/>
  <c r="B874" i="19" a="1"/>
  <c r="B874" i="19" s="1"/>
  <c r="K45" i="19" s="1"/>
  <c r="M46" i="19" s="1"/>
  <c r="B854" i="19" a="1"/>
  <c r="B854" i="19" s="1"/>
  <c r="K44" i="19" s="1"/>
  <c r="M45" i="19" s="1"/>
  <c r="B834" i="19" a="1"/>
  <c r="B834" i="19" s="1"/>
  <c r="K43" i="19" s="1"/>
  <c r="M44" i="19" s="1"/>
  <c r="B813" i="19" a="1"/>
  <c r="B813" i="19" s="1"/>
  <c r="K42" i="19" s="1"/>
  <c r="M43" i="19" s="1"/>
  <c r="B793" i="19" a="1"/>
  <c r="B793" i="19" s="1"/>
  <c r="K41" i="19" s="1"/>
  <c r="M42" i="19" s="1"/>
  <c r="B773" i="19" a="1"/>
  <c r="B773" i="19" s="1"/>
  <c r="K40" i="19" s="1"/>
  <c r="M41" i="19" s="1"/>
  <c r="B751" i="19" a="1"/>
  <c r="B751" i="19" s="1"/>
  <c r="K39" i="19" s="1"/>
  <c r="M40" i="19" s="1"/>
  <c r="B734" i="19" a="1"/>
  <c r="B734" i="19" s="1"/>
  <c r="K38" i="19" s="1"/>
  <c r="M39" i="19" s="1"/>
  <c r="B712" i="19" a="1"/>
  <c r="B712" i="19" s="1"/>
  <c r="K37" i="19" s="1"/>
  <c r="M38" i="19" s="1"/>
  <c r="B689" i="19" a="1"/>
  <c r="B689" i="19" s="1"/>
  <c r="K36" i="19" s="1"/>
  <c r="M37" i="19" s="1"/>
  <c r="B669" i="19" a="1"/>
  <c r="B669" i="19" s="1"/>
  <c r="K35" i="19" s="1"/>
  <c r="M36" i="19" s="1"/>
  <c r="B648" i="19" a="1"/>
  <c r="B648" i="19" s="1"/>
  <c r="K34" i="19" s="1"/>
  <c r="M35" i="19" s="1"/>
  <c r="B626" i="19" a="1"/>
  <c r="B626" i="19" s="1"/>
  <c r="K33" i="19" s="1"/>
  <c r="M34" i="19" s="1"/>
  <c r="B607" i="19" a="1"/>
  <c r="B607" i="19" s="1"/>
  <c r="K32" i="19" s="1"/>
  <c r="M33" i="19" s="1"/>
  <c r="B586" i="19" a="1"/>
  <c r="B586" i="19" s="1"/>
  <c r="K31" i="19" s="1"/>
  <c r="M32" i="19" s="1"/>
  <c r="B567" i="19" a="1"/>
  <c r="B567" i="19" s="1"/>
  <c r="K30" i="19" s="1"/>
  <c r="M31" i="19" s="1"/>
  <c r="B545" i="19" a="1"/>
  <c r="B545" i="19" s="1"/>
  <c r="K29" i="19" s="1"/>
  <c r="M30" i="19" s="1"/>
  <c r="B524" i="19" a="1"/>
  <c r="B524" i="19" s="1"/>
  <c r="K28" i="19" s="1"/>
  <c r="M29" i="19" s="1"/>
  <c r="B503" i="19" a="1"/>
  <c r="B503" i="19" s="1"/>
  <c r="K27" i="19" s="1"/>
  <c r="M28" i="19" s="1"/>
  <c r="B483" i="19" a="1"/>
  <c r="B483" i="19" s="1"/>
  <c r="K26" i="19" s="1"/>
  <c r="M27" i="19" s="1"/>
  <c r="B461" i="19" a="1"/>
  <c r="B461" i="19" s="1"/>
  <c r="K25" i="19" s="1"/>
  <c r="M26" i="19" s="1"/>
  <c r="B440" i="19" a="1"/>
  <c r="B440" i="19" s="1"/>
  <c r="K24" i="19" s="1"/>
  <c r="M25" i="19" s="1"/>
  <c r="B418" i="19" a="1"/>
  <c r="B418" i="19" s="1"/>
  <c r="K23" i="19" s="1"/>
  <c r="M24" i="19" s="1"/>
  <c r="B397" i="19" a="1"/>
  <c r="B397" i="19" s="1"/>
  <c r="K22" i="19" s="1"/>
  <c r="M23" i="19" s="1"/>
  <c r="B376" i="19" a="1"/>
  <c r="B376" i="19" s="1"/>
  <c r="K21" i="19" s="1"/>
  <c r="M22" i="19" s="1"/>
  <c r="B354" i="19" a="1"/>
  <c r="B354" i="19" s="1"/>
  <c r="K20" i="19" s="1"/>
  <c r="M21" i="19" s="1"/>
  <c r="B334" i="19" a="1"/>
  <c r="B334" i="19" s="1"/>
  <c r="K19" i="19" s="1"/>
  <c r="M20" i="19" s="1"/>
  <c r="B316" i="19" a="1"/>
  <c r="B316" i="19" s="1"/>
  <c r="K18" i="19" s="1"/>
  <c r="M19" i="19" s="1"/>
  <c r="B293" i="19" a="1"/>
  <c r="B293" i="19" s="1"/>
  <c r="K17" i="19" s="1"/>
  <c r="M18" i="19" s="1"/>
  <c r="B273" i="19" a="1"/>
  <c r="B273" i="19" s="1"/>
  <c r="K16" i="19" s="1"/>
  <c r="M17" i="19" s="1"/>
  <c r="B253" i="19" a="1"/>
  <c r="B253" i="19" s="1"/>
  <c r="K15" i="19" s="1"/>
  <c r="M16" i="19" s="1"/>
  <c r="B234" i="19" a="1"/>
  <c r="B234" i="19" s="1"/>
  <c r="K14" i="19" s="1"/>
  <c r="M15" i="19" s="1"/>
  <c r="B212" i="19" a="1"/>
  <c r="B212" i="19" s="1"/>
  <c r="K13" i="19" s="1"/>
  <c r="M14" i="19" s="1"/>
  <c r="B191" i="19" a="1"/>
  <c r="B191" i="19" s="1"/>
  <c r="K12" i="19" s="1"/>
  <c r="M13" i="19" s="1"/>
  <c r="B169" i="19" a="1"/>
  <c r="B169" i="19" s="1"/>
  <c r="K11" i="19" s="1"/>
  <c r="M12" i="19" s="1"/>
  <c r="B148" i="19" a="1"/>
  <c r="B148" i="19" s="1"/>
  <c r="K10" i="19" s="1"/>
  <c r="M11" i="19" s="1"/>
  <c r="B126" i="19" a="1"/>
  <c r="B126" i="19" s="1"/>
  <c r="K9" i="19" s="1"/>
  <c r="M10" i="19" s="1"/>
  <c r="B104" i="19" a="1"/>
  <c r="B104" i="19" s="1"/>
  <c r="K8" i="19" s="1"/>
  <c r="M9" i="19" s="1"/>
  <c r="B85" i="19" a="1"/>
  <c r="B85" i="19" s="1"/>
  <c r="K7" i="19" s="1"/>
  <c r="M8" i="19" s="1"/>
  <c r="B65" i="19" a="1"/>
  <c r="B65" i="19" s="1"/>
  <c r="K6" i="19" s="1"/>
  <c r="M7" i="19" s="1"/>
  <c r="B42" i="19" a="1"/>
  <c r="B42" i="19" s="1"/>
  <c r="K5" i="19" s="1"/>
  <c r="M6" i="19" s="1"/>
  <c r="B22" i="19" a="1"/>
  <c r="B22" i="19" s="1"/>
  <c r="K4" i="19" s="1"/>
  <c r="M5" i="19" s="1"/>
  <c r="B2" i="19" a="1"/>
  <c r="B2" i="19" s="1"/>
  <c r="K3" i="19" s="1"/>
  <c r="M4" i="19" s="1"/>
  <c r="R186" i="13"/>
  <c r="R185" i="13"/>
  <c r="R184" i="13"/>
  <c r="R183" i="13"/>
  <c r="R182" i="13"/>
  <c r="R181" i="13"/>
  <c r="R180" i="13"/>
  <c r="R179" i="13"/>
  <c r="R178" i="13"/>
  <c r="R177" i="13"/>
  <c r="R176" i="13"/>
  <c r="R175" i="13"/>
  <c r="R174" i="13"/>
  <c r="R173" i="13"/>
  <c r="R172" i="13"/>
  <c r="R171" i="13"/>
  <c r="R170" i="13"/>
  <c r="R169" i="13"/>
  <c r="R168" i="13"/>
  <c r="R167" i="13"/>
  <c r="R166" i="13"/>
  <c r="R165" i="13"/>
  <c r="R164" i="13"/>
  <c r="R163" i="13"/>
  <c r="R162" i="13"/>
  <c r="R161" i="13"/>
  <c r="R160" i="13"/>
  <c r="R159" i="13"/>
  <c r="R158" i="13"/>
  <c r="R157" i="13"/>
  <c r="R156" i="13"/>
  <c r="R155" i="13"/>
  <c r="R154" i="13"/>
  <c r="R153" i="13"/>
  <c r="R152" i="13"/>
  <c r="R151" i="13"/>
  <c r="R150" i="13"/>
  <c r="R149" i="13"/>
  <c r="R148" i="13"/>
  <c r="R147" i="13"/>
  <c r="R146" i="13"/>
  <c r="R145" i="13"/>
  <c r="R144" i="13"/>
  <c r="R143" i="13"/>
  <c r="R142" i="13"/>
  <c r="R141" i="13"/>
  <c r="R140" i="13"/>
  <c r="R139" i="13"/>
  <c r="R138" i="13"/>
  <c r="R137" i="13"/>
  <c r="R136" i="13"/>
  <c r="R135" i="13"/>
  <c r="R134" i="13"/>
  <c r="R133" i="13"/>
  <c r="R132" i="13"/>
  <c r="R131" i="13"/>
  <c r="R130" i="13"/>
  <c r="R129" i="13"/>
  <c r="R128" i="13"/>
  <c r="R127" i="13"/>
  <c r="R126" i="13"/>
  <c r="R125" i="13"/>
  <c r="R124" i="13"/>
  <c r="R123" i="13"/>
  <c r="R122" i="13"/>
  <c r="R121" i="13"/>
  <c r="R120" i="13"/>
  <c r="R119" i="13"/>
  <c r="R118" i="13"/>
  <c r="R117" i="13"/>
  <c r="R116" i="13"/>
  <c r="R115" i="13"/>
  <c r="R114" i="13"/>
  <c r="R113" i="13"/>
  <c r="R112" i="13"/>
  <c r="R111" i="13"/>
  <c r="R110" i="13"/>
  <c r="R109" i="13"/>
  <c r="R108" i="13"/>
  <c r="R107" i="13"/>
  <c r="R106" i="13"/>
  <c r="R105" i="13"/>
  <c r="R104" i="13"/>
  <c r="R103" i="13"/>
  <c r="R102" i="13"/>
  <c r="R101" i="13"/>
  <c r="R100" i="13"/>
  <c r="R99" i="13"/>
  <c r="R98" i="13"/>
  <c r="R97" i="13"/>
  <c r="R96" i="13"/>
  <c r="R95" i="13"/>
  <c r="R94" i="13"/>
  <c r="R93" i="13"/>
  <c r="R92" i="13"/>
  <c r="R91" i="13"/>
  <c r="R90" i="13"/>
  <c r="R89" i="13"/>
  <c r="R88" i="13"/>
  <c r="R87" i="13"/>
  <c r="R86" i="13"/>
  <c r="R85" i="13"/>
  <c r="R84" i="13"/>
  <c r="R83" i="13"/>
  <c r="R82" i="13"/>
  <c r="R81" i="13"/>
  <c r="R80" i="13"/>
  <c r="R79" i="13"/>
  <c r="R78" i="13"/>
  <c r="R77" i="13"/>
  <c r="R76" i="13"/>
  <c r="R75" i="13"/>
  <c r="R74" i="13"/>
  <c r="R73" i="13"/>
  <c r="R72" i="13"/>
  <c r="R71" i="13"/>
  <c r="R70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R8" i="13"/>
  <c r="R7" i="13"/>
  <c r="R6" i="13"/>
  <c r="R5" i="13"/>
  <c r="R4" i="13"/>
  <c r="R186" i="14"/>
  <c r="R185" i="14"/>
  <c r="R184" i="14"/>
  <c r="R183" i="14"/>
  <c r="R182" i="14"/>
  <c r="R181" i="14"/>
  <c r="R180" i="14"/>
  <c r="R179" i="14"/>
  <c r="R178" i="14"/>
  <c r="R177" i="14"/>
  <c r="R176" i="14"/>
  <c r="R175" i="14"/>
  <c r="R174" i="14"/>
  <c r="R173" i="14"/>
  <c r="R172" i="14"/>
  <c r="R171" i="14"/>
  <c r="R170" i="14"/>
  <c r="R169" i="14"/>
  <c r="R168" i="14"/>
  <c r="R167" i="14"/>
  <c r="R166" i="14"/>
  <c r="R165" i="14"/>
  <c r="R164" i="14"/>
  <c r="R163" i="14"/>
  <c r="R162" i="14"/>
  <c r="R161" i="14"/>
  <c r="R160" i="14"/>
  <c r="R159" i="14"/>
  <c r="R158" i="14"/>
  <c r="R157" i="14"/>
  <c r="R156" i="14"/>
  <c r="R155" i="14"/>
  <c r="R154" i="14"/>
  <c r="R153" i="14"/>
  <c r="R152" i="14"/>
  <c r="R151" i="14"/>
  <c r="R150" i="14"/>
  <c r="R149" i="14"/>
  <c r="R148" i="14"/>
  <c r="R147" i="14"/>
  <c r="R146" i="14"/>
  <c r="R145" i="14"/>
  <c r="R144" i="14"/>
  <c r="R143" i="14"/>
  <c r="R142" i="14"/>
  <c r="R141" i="14"/>
  <c r="R140" i="14"/>
  <c r="R139" i="14"/>
  <c r="R138" i="14"/>
  <c r="R137" i="14"/>
  <c r="R136" i="14"/>
  <c r="R135" i="14"/>
  <c r="R134" i="14"/>
  <c r="R133" i="14"/>
  <c r="R132" i="14"/>
  <c r="R131" i="14"/>
  <c r="R130" i="14"/>
  <c r="R129" i="14"/>
  <c r="R128" i="14"/>
  <c r="R127" i="14"/>
  <c r="R126" i="14"/>
  <c r="R125" i="14"/>
  <c r="R124" i="14"/>
  <c r="R123" i="14"/>
  <c r="R122" i="14"/>
  <c r="R121" i="14"/>
  <c r="R120" i="14"/>
  <c r="R119" i="14"/>
  <c r="R118" i="14"/>
  <c r="R117" i="14"/>
  <c r="R116" i="14"/>
  <c r="R115" i="14"/>
  <c r="R114" i="14"/>
  <c r="R113" i="14"/>
  <c r="R112" i="14"/>
  <c r="R111" i="14"/>
  <c r="R110" i="14"/>
  <c r="R109" i="14"/>
  <c r="R108" i="14"/>
  <c r="R107" i="14"/>
  <c r="R106" i="14"/>
  <c r="R105" i="14"/>
  <c r="R104" i="14"/>
  <c r="R103" i="14"/>
  <c r="R102" i="14"/>
  <c r="R101" i="14"/>
  <c r="R100" i="14"/>
  <c r="R99" i="14"/>
  <c r="R98" i="14"/>
  <c r="R97" i="14"/>
  <c r="R96" i="14"/>
  <c r="R95" i="14"/>
  <c r="R94" i="14"/>
  <c r="R93" i="14"/>
  <c r="R92" i="14"/>
  <c r="R91" i="14"/>
  <c r="R90" i="14"/>
  <c r="R89" i="14"/>
  <c r="R88" i="14"/>
  <c r="R87" i="14"/>
  <c r="R86" i="14"/>
  <c r="R85" i="14"/>
  <c r="R84" i="14"/>
  <c r="R83" i="14"/>
  <c r="R82" i="14"/>
  <c r="R81" i="14"/>
  <c r="R80" i="14"/>
  <c r="R79" i="14"/>
  <c r="R78" i="14"/>
  <c r="R77" i="14"/>
  <c r="R76" i="14"/>
  <c r="R75" i="14"/>
  <c r="R74" i="14"/>
  <c r="R73" i="14"/>
  <c r="R72" i="14"/>
  <c r="R71" i="14"/>
  <c r="R70" i="14"/>
  <c r="R69" i="14"/>
  <c r="R68" i="14"/>
  <c r="R67" i="14"/>
  <c r="R66" i="14"/>
  <c r="R65" i="14"/>
  <c r="R64" i="14"/>
  <c r="R63" i="14"/>
  <c r="R62" i="14"/>
  <c r="R61" i="14"/>
  <c r="R60" i="14"/>
  <c r="R59" i="14"/>
  <c r="R58" i="14"/>
  <c r="R57" i="14"/>
  <c r="R56" i="14"/>
  <c r="R55" i="14"/>
  <c r="R54" i="14"/>
  <c r="R53" i="14"/>
  <c r="R52" i="14"/>
  <c r="R51" i="14"/>
  <c r="R50" i="14"/>
  <c r="R49" i="14"/>
  <c r="R48" i="14"/>
  <c r="R47" i="14"/>
  <c r="R46" i="14"/>
  <c r="R45" i="14"/>
  <c r="R44" i="14"/>
  <c r="R43" i="14"/>
  <c r="R42" i="14"/>
  <c r="R41" i="14"/>
  <c r="R40" i="14"/>
  <c r="R39" i="14"/>
  <c r="R38" i="14"/>
  <c r="R37" i="14"/>
  <c r="R36" i="14"/>
  <c r="R35" i="14"/>
  <c r="R34" i="14"/>
  <c r="R33" i="14"/>
  <c r="R32" i="14"/>
  <c r="R31" i="14"/>
  <c r="R30" i="14"/>
  <c r="R29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R4" i="14"/>
  <c r="R186" i="15"/>
  <c r="R185" i="15"/>
  <c r="R184" i="15"/>
  <c r="R183" i="15"/>
  <c r="R182" i="15"/>
  <c r="R181" i="15"/>
  <c r="R180" i="15"/>
  <c r="R179" i="15"/>
  <c r="R178" i="15"/>
  <c r="R177" i="15"/>
  <c r="R176" i="15"/>
  <c r="R175" i="15"/>
  <c r="R174" i="15"/>
  <c r="R173" i="15"/>
  <c r="R172" i="15"/>
  <c r="R171" i="15"/>
  <c r="R170" i="15"/>
  <c r="R169" i="15"/>
  <c r="R168" i="15"/>
  <c r="R167" i="15"/>
  <c r="R166" i="15"/>
  <c r="R165" i="15"/>
  <c r="R164" i="15"/>
  <c r="R163" i="15"/>
  <c r="R162" i="15"/>
  <c r="R161" i="15"/>
  <c r="R160" i="15"/>
  <c r="R159" i="15"/>
  <c r="R158" i="15"/>
  <c r="R157" i="15"/>
  <c r="R156" i="15"/>
  <c r="R155" i="15"/>
  <c r="R154" i="15"/>
  <c r="R153" i="15"/>
  <c r="R152" i="15"/>
  <c r="R151" i="15"/>
  <c r="R150" i="15"/>
  <c r="R149" i="15"/>
  <c r="R148" i="15"/>
  <c r="R147" i="15"/>
  <c r="R146" i="15"/>
  <c r="R145" i="15"/>
  <c r="R144" i="15"/>
  <c r="R143" i="15"/>
  <c r="R142" i="15"/>
  <c r="R141" i="15"/>
  <c r="R140" i="15"/>
  <c r="R139" i="15"/>
  <c r="R138" i="15"/>
  <c r="R137" i="15"/>
  <c r="R136" i="15"/>
  <c r="R135" i="15"/>
  <c r="R134" i="15"/>
  <c r="R133" i="15"/>
  <c r="R132" i="15"/>
  <c r="R131" i="15"/>
  <c r="R130" i="15"/>
  <c r="R129" i="15"/>
  <c r="R128" i="15"/>
  <c r="R127" i="15"/>
  <c r="R126" i="15"/>
  <c r="R125" i="15"/>
  <c r="R124" i="15"/>
  <c r="R123" i="15"/>
  <c r="R122" i="15"/>
  <c r="R121" i="15"/>
  <c r="R120" i="15"/>
  <c r="R119" i="15"/>
  <c r="R118" i="15"/>
  <c r="R117" i="15"/>
  <c r="R116" i="15"/>
  <c r="R115" i="15"/>
  <c r="R114" i="15"/>
  <c r="R113" i="15"/>
  <c r="R112" i="15"/>
  <c r="R111" i="15"/>
  <c r="R110" i="15"/>
  <c r="R109" i="15"/>
  <c r="R108" i="15"/>
  <c r="R107" i="15"/>
  <c r="R106" i="15"/>
  <c r="R105" i="15"/>
  <c r="R104" i="15"/>
  <c r="R103" i="15"/>
  <c r="R102" i="15"/>
  <c r="R101" i="15"/>
  <c r="R100" i="15"/>
  <c r="R99" i="15"/>
  <c r="R98" i="15"/>
  <c r="R97" i="15"/>
  <c r="R96" i="15"/>
  <c r="R95" i="15"/>
  <c r="R94" i="15"/>
  <c r="R93" i="15"/>
  <c r="R92" i="15"/>
  <c r="R91" i="15"/>
  <c r="R90" i="15"/>
  <c r="R89" i="15"/>
  <c r="R88" i="15"/>
  <c r="R87" i="15"/>
  <c r="R86" i="15"/>
  <c r="R85" i="15"/>
  <c r="R84" i="15"/>
  <c r="R83" i="15"/>
  <c r="R82" i="15"/>
  <c r="R81" i="15"/>
  <c r="R80" i="15"/>
  <c r="R79" i="15"/>
  <c r="R78" i="15"/>
  <c r="R77" i="15"/>
  <c r="R76" i="15"/>
  <c r="R75" i="15"/>
  <c r="R74" i="15"/>
  <c r="R73" i="15"/>
  <c r="R72" i="15"/>
  <c r="R71" i="15"/>
  <c r="R70" i="15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R5" i="15"/>
  <c r="R4" i="15"/>
  <c r="R186" i="16"/>
  <c r="R185" i="16"/>
  <c r="R184" i="16"/>
  <c r="R183" i="16"/>
  <c r="R182" i="16"/>
  <c r="R181" i="16"/>
  <c r="R180" i="16"/>
  <c r="R179" i="16"/>
  <c r="R178" i="16"/>
  <c r="R177" i="16"/>
  <c r="R176" i="16"/>
  <c r="R175" i="16"/>
  <c r="R174" i="16"/>
  <c r="R173" i="16"/>
  <c r="R172" i="16"/>
  <c r="R171" i="16"/>
  <c r="R170" i="16"/>
  <c r="R169" i="16"/>
  <c r="R168" i="16"/>
  <c r="R167" i="16"/>
  <c r="R166" i="16"/>
  <c r="R165" i="16"/>
  <c r="R164" i="16"/>
  <c r="R163" i="16"/>
  <c r="R162" i="16"/>
  <c r="R161" i="16"/>
  <c r="R160" i="16"/>
  <c r="R159" i="16"/>
  <c r="R158" i="16"/>
  <c r="R157" i="16"/>
  <c r="R156" i="16"/>
  <c r="R155" i="16"/>
  <c r="R154" i="16"/>
  <c r="R153" i="16"/>
  <c r="R152" i="16"/>
  <c r="R151" i="16"/>
  <c r="R150" i="16"/>
  <c r="R149" i="16"/>
  <c r="R148" i="16"/>
  <c r="R147" i="16"/>
  <c r="R146" i="16"/>
  <c r="R145" i="16"/>
  <c r="R144" i="16"/>
  <c r="R143" i="16"/>
  <c r="R142" i="16"/>
  <c r="R141" i="16"/>
  <c r="R140" i="16"/>
  <c r="R139" i="16"/>
  <c r="R138" i="16"/>
  <c r="R137" i="16"/>
  <c r="R136" i="16"/>
  <c r="R135" i="16"/>
  <c r="R134" i="16"/>
  <c r="R133" i="16"/>
  <c r="R132" i="16"/>
  <c r="R131" i="16"/>
  <c r="R130" i="16"/>
  <c r="R129" i="16"/>
  <c r="R128" i="16"/>
  <c r="R127" i="16"/>
  <c r="R126" i="16"/>
  <c r="R125" i="16"/>
  <c r="R124" i="16"/>
  <c r="R123" i="16"/>
  <c r="R122" i="16"/>
  <c r="R121" i="16"/>
  <c r="R120" i="16"/>
  <c r="R119" i="16"/>
  <c r="R118" i="16"/>
  <c r="R117" i="16"/>
  <c r="R116" i="16"/>
  <c r="R115" i="16"/>
  <c r="R114" i="16"/>
  <c r="R113" i="16"/>
  <c r="R112" i="16"/>
  <c r="R111" i="16"/>
  <c r="R110" i="16"/>
  <c r="R109" i="16"/>
  <c r="R108" i="16"/>
  <c r="R107" i="16"/>
  <c r="R106" i="16"/>
  <c r="R105" i="16"/>
  <c r="R104" i="16"/>
  <c r="R103" i="16"/>
  <c r="R102" i="16"/>
  <c r="R101" i="16"/>
  <c r="R100" i="16"/>
  <c r="R99" i="16"/>
  <c r="R98" i="16"/>
  <c r="R97" i="16"/>
  <c r="R96" i="16"/>
  <c r="R95" i="16"/>
  <c r="R94" i="16"/>
  <c r="R93" i="16"/>
  <c r="R92" i="16"/>
  <c r="R91" i="16"/>
  <c r="R90" i="16"/>
  <c r="R89" i="16"/>
  <c r="R88" i="16"/>
  <c r="R87" i="16"/>
  <c r="R86" i="16"/>
  <c r="R85" i="16"/>
  <c r="R84" i="16"/>
  <c r="R83" i="16"/>
  <c r="R82" i="16"/>
  <c r="R81" i="16"/>
  <c r="R80" i="16"/>
  <c r="R79" i="16"/>
  <c r="R78" i="16"/>
  <c r="R77" i="16"/>
  <c r="R76" i="16"/>
  <c r="R75" i="16"/>
  <c r="R74" i="16"/>
  <c r="R73" i="16"/>
  <c r="R72" i="16"/>
  <c r="R71" i="16"/>
  <c r="R70" i="16"/>
  <c r="R69" i="16"/>
  <c r="R68" i="16"/>
  <c r="R67" i="16"/>
  <c r="R66" i="16"/>
  <c r="R65" i="16"/>
  <c r="R64" i="16"/>
  <c r="R63" i="16"/>
  <c r="R62" i="16"/>
  <c r="R61" i="16"/>
  <c r="R60" i="16"/>
  <c r="R59" i="16"/>
  <c r="R58" i="16"/>
  <c r="R57" i="16"/>
  <c r="R56" i="16"/>
  <c r="R55" i="16"/>
  <c r="R54" i="16"/>
  <c r="R53" i="16"/>
  <c r="R52" i="16"/>
  <c r="R51" i="16"/>
  <c r="R50" i="16"/>
  <c r="R49" i="16"/>
  <c r="R48" i="16"/>
  <c r="R47" i="16"/>
  <c r="R46" i="16"/>
  <c r="R45" i="16"/>
  <c r="R44" i="16"/>
  <c r="R43" i="16"/>
  <c r="R42" i="16"/>
  <c r="R41" i="16"/>
  <c r="R40" i="16"/>
  <c r="R39" i="16"/>
  <c r="R38" i="16"/>
  <c r="R37" i="16"/>
  <c r="R36" i="16"/>
  <c r="R35" i="16"/>
  <c r="R34" i="16"/>
  <c r="R33" i="16"/>
  <c r="R32" i="16"/>
  <c r="R31" i="16"/>
  <c r="R30" i="16"/>
  <c r="R29" i="16"/>
  <c r="R28" i="16"/>
  <c r="R27" i="16"/>
  <c r="R26" i="16"/>
  <c r="R25" i="16"/>
  <c r="R24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11" i="16"/>
  <c r="R10" i="16"/>
  <c r="R9" i="16"/>
  <c r="R8" i="16"/>
  <c r="R7" i="16"/>
  <c r="R6" i="16"/>
  <c r="R5" i="16"/>
  <c r="R4" i="16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4" i="19"/>
  <c r="L125" i="12" l="1"/>
  <c r="L125" i="13"/>
  <c r="L113" i="13"/>
  <c r="K125" i="14"/>
  <c r="M126" i="14" s="1"/>
  <c r="K125" i="16"/>
  <c r="M126" i="16" s="1"/>
  <c r="K125" i="15"/>
  <c r="M126" i="15" s="1"/>
  <c r="K125" i="12"/>
  <c r="M126" i="12" s="1"/>
  <c r="K125" i="13"/>
  <c r="M126" i="13" s="1"/>
  <c r="K113" i="19"/>
  <c r="M114" i="19" s="1"/>
  <c r="K125" i="19"/>
  <c r="M126" i="19" s="1"/>
  <c r="Q186" i="12" l="1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D3802" i="12" a="1"/>
  <c r="D3802" i="12" s="1"/>
  <c r="N186" i="12" s="1"/>
  <c r="O186" i="12" s="1"/>
  <c r="D3781" i="12" a="1"/>
  <c r="D3781" i="12" s="1"/>
  <c r="N185" i="12" s="1"/>
  <c r="O185" i="12" s="1"/>
  <c r="D3761" i="12" a="1"/>
  <c r="D3761" i="12" s="1"/>
  <c r="N184" i="12" s="1"/>
  <c r="O184" i="12" s="1"/>
  <c r="D3739" i="12" a="1"/>
  <c r="D3739" i="12" s="1"/>
  <c r="N183" i="12" s="1"/>
  <c r="O183" i="12" s="1"/>
  <c r="D3721" i="12" a="1"/>
  <c r="D3721" i="12" s="1"/>
  <c r="N182" i="12" s="1"/>
  <c r="O182" i="12" s="1"/>
  <c r="D3700" i="12" a="1"/>
  <c r="D3700" i="12" s="1"/>
  <c r="N181" i="12" s="1"/>
  <c r="O181" i="12" s="1"/>
  <c r="D3677" i="12" a="1"/>
  <c r="D3677" i="12" s="1"/>
  <c r="N180" i="12" s="1"/>
  <c r="O180" i="12" s="1"/>
  <c r="D3656" i="12" a="1"/>
  <c r="D3656" i="12" s="1"/>
  <c r="N179" i="12" s="1"/>
  <c r="O179" i="12" s="1"/>
  <c r="D3636" i="12" a="1"/>
  <c r="D3636" i="12" s="1"/>
  <c r="N178" i="12" s="1"/>
  <c r="O178" i="12" s="1"/>
  <c r="D3613" i="12" a="1"/>
  <c r="D3613" i="12" s="1"/>
  <c r="N177" i="12" s="1"/>
  <c r="O177" i="12" s="1"/>
  <c r="D3593" i="12" a="1"/>
  <c r="D3593" i="12" s="1"/>
  <c r="N176" i="12" s="1"/>
  <c r="O176" i="12" s="1"/>
  <c r="D3573" i="12" a="1"/>
  <c r="D3573" i="12" s="1"/>
  <c r="N175" i="12" s="1"/>
  <c r="O175" i="12" s="1"/>
  <c r="D3552" i="12" a="1"/>
  <c r="D3552" i="12" s="1"/>
  <c r="N174" i="12" s="1"/>
  <c r="O174" i="12" s="1"/>
  <c r="D3532" i="12" a="1"/>
  <c r="D3532" i="12" s="1"/>
  <c r="N173" i="12" s="1"/>
  <c r="O173" i="12" s="1"/>
  <c r="D3511" i="12" a="1"/>
  <c r="D3511" i="12" s="1"/>
  <c r="N172" i="12" s="1"/>
  <c r="O172" i="12" s="1"/>
  <c r="D3489" i="12" a="1"/>
  <c r="D3489" i="12" s="1"/>
  <c r="N171" i="12" s="1"/>
  <c r="O171" i="12" s="1"/>
  <c r="D3470" i="12" a="1"/>
  <c r="D3470" i="12" s="1"/>
  <c r="N170" i="12" s="1"/>
  <c r="O170" i="12" s="1"/>
  <c r="D3448" i="12" a="1"/>
  <c r="D3448" i="12" s="1"/>
  <c r="N169" i="12" s="1"/>
  <c r="O169" i="12" s="1"/>
  <c r="D3426" i="12" a="1"/>
  <c r="D3426" i="12" s="1"/>
  <c r="N168" i="12" s="1"/>
  <c r="O168" i="12" s="1"/>
  <c r="D3405" i="12" a="1"/>
  <c r="D3405" i="12" s="1"/>
  <c r="N167" i="12" s="1"/>
  <c r="O167" i="12" s="1"/>
  <c r="D3384" i="12" a="1"/>
  <c r="D3384" i="12" s="1"/>
  <c r="N166" i="12" s="1"/>
  <c r="O166" i="12" s="1"/>
  <c r="D3363" i="12" a="1"/>
  <c r="D3363" i="12" s="1"/>
  <c r="N165" i="12" s="1"/>
  <c r="O165" i="12" s="1"/>
  <c r="D3341" i="12" a="1"/>
  <c r="D3341" i="12" s="1"/>
  <c r="N164" i="12" s="1"/>
  <c r="O164" i="12" s="1"/>
  <c r="D3321" i="12" a="1"/>
  <c r="D3321" i="12" s="1"/>
  <c r="N163" i="12" s="1"/>
  <c r="O163" i="12" s="1"/>
  <c r="D3303" i="12" a="1"/>
  <c r="D3303" i="12" s="1"/>
  <c r="N162" i="12" s="1"/>
  <c r="O162" i="12" s="1"/>
  <c r="D3280" i="12" a="1"/>
  <c r="D3280" i="12" s="1"/>
  <c r="N161" i="12" s="1"/>
  <c r="O161" i="12" s="1"/>
  <c r="D3260" i="12" a="1"/>
  <c r="D3260" i="12" s="1"/>
  <c r="N160" i="12" s="1"/>
  <c r="O160" i="12" s="1"/>
  <c r="D3239" i="12" a="1"/>
  <c r="D3239" i="12" s="1"/>
  <c r="N159" i="12" s="1"/>
  <c r="O159" i="12" s="1"/>
  <c r="D3219" i="12" a="1"/>
  <c r="D3219" i="12" s="1"/>
  <c r="N158" i="12" s="1"/>
  <c r="O158" i="12" s="1"/>
  <c r="D3197" i="12" a="1"/>
  <c r="D3197" i="12" s="1"/>
  <c r="N157" i="12" s="1"/>
  <c r="O157" i="12" s="1"/>
  <c r="D3176" i="12" a="1"/>
  <c r="D3176" i="12" s="1"/>
  <c r="N156" i="12" s="1"/>
  <c r="O156" i="12" s="1"/>
  <c r="D3155" i="12" a="1"/>
  <c r="D3155" i="12" s="1"/>
  <c r="N155" i="12" s="1"/>
  <c r="O155" i="12" s="1"/>
  <c r="D3134" i="12" a="1"/>
  <c r="D3134" i="12" s="1"/>
  <c r="N154" i="12" s="1"/>
  <c r="O154" i="12" s="1"/>
  <c r="D3113" i="12" a="1"/>
  <c r="D3113" i="12" s="1"/>
  <c r="N153" i="12" s="1"/>
  <c r="O153" i="12" s="1"/>
  <c r="D3093" i="12" a="1"/>
  <c r="D3093" i="12" s="1"/>
  <c r="N152" i="12" s="1"/>
  <c r="O152" i="12" s="1"/>
  <c r="D3072" i="12" a="1"/>
  <c r="D3072" i="12" s="1"/>
  <c r="N151" i="12" s="1"/>
  <c r="O151" i="12" s="1"/>
  <c r="D3053" i="12" a="1"/>
  <c r="D3053" i="12" s="1"/>
  <c r="N150" i="12" s="1"/>
  <c r="O150" i="12" s="1"/>
  <c r="D3030" i="12" a="1"/>
  <c r="D3030" i="12" s="1"/>
  <c r="N149" i="12" s="1"/>
  <c r="O149" i="12" s="1"/>
  <c r="D3010" i="12" a="1"/>
  <c r="D3010" i="12" s="1"/>
  <c r="N148" i="12" s="1"/>
  <c r="O148" i="12" s="1"/>
  <c r="D2990" i="12" a="1"/>
  <c r="D2990" i="12" s="1"/>
  <c r="N147" i="12" s="1"/>
  <c r="O147" i="12" s="1"/>
  <c r="D2971" i="12" a="1"/>
  <c r="D2971" i="12" s="1"/>
  <c r="N146" i="12" s="1"/>
  <c r="O146" i="12" s="1"/>
  <c r="D2949" i="12" a="1"/>
  <c r="D2949" i="12" s="1"/>
  <c r="N145" i="12" s="1"/>
  <c r="O145" i="12" s="1"/>
  <c r="D2928" i="12" a="1"/>
  <c r="D2928" i="12" s="1"/>
  <c r="N144" i="12" s="1"/>
  <c r="O144" i="12" s="1"/>
  <c r="D2906" i="12" a="1"/>
  <c r="D2906" i="12" s="1"/>
  <c r="N143" i="12" s="1"/>
  <c r="O143" i="12" s="1"/>
  <c r="D2885" i="12" a="1"/>
  <c r="D2885" i="12" s="1"/>
  <c r="N142" i="12" s="1"/>
  <c r="O142" i="12" s="1"/>
  <c r="D2863" i="12" a="1"/>
  <c r="D2863" i="12" s="1"/>
  <c r="N141" i="12" s="1"/>
  <c r="O141" i="12" s="1"/>
  <c r="D2841" i="12" a="1"/>
  <c r="D2841" i="12" s="1"/>
  <c r="N140" i="12" s="1"/>
  <c r="O140" i="12" s="1"/>
  <c r="D2823" i="12" a="1"/>
  <c r="D2823" i="12" s="1"/>
  <c r="N139" i="12" s="1"/>
  <c r="O139" i="12" s="1"/>
  <c r="D2803" i="12" a="1"/>
  <c r="D2803" i="12" s="1"/>
  <c r="N138" i="12" s="1"/>
  <c r="O138" i="12" s="1"/>
  <c r="D2780" i="12" a="1"/>
  <c r="D2780" i="12" s="1"/>
  <c r="N137" i="12" s="1"/>
  <c r="O137" i="12" s="1"/>
  <c r="D2760" i="12" a="1"/>
  <c r="D2760" i="12" s="1"/>
  <c r="N136" i="12" s="1"/>
  <c r="O136" i="12" s="1"/>
  <c r="D2740" i="12" a="1"/>
  <c r="D2740" i="12" s="1"/>
  <c r="N135" i="12" s="1"/>
  <c r="O135" i="12" s="1"/>
  <c r="D2721" i="12" a="1"/>
  <c r="D2721" i="12" s="1"/>
  <c r="N134" i="12" s="1"/>
  <c r="O134" i="12" s="1"/>
  <c r="D2700" i="12" a="1"/>
  <c r="D2700" i="12" s="1"/>
  <c r="N133" i="12" s="1"/>
  <c r="O133" i="12" s="1"/>
  <c r="D2678" i="12" a="1"/>
  <c r="D2678" i="12" s="1"/>
  <c r="N132" i="12" s="1"/>
  <c r="O132" i="12" s="1"/>
  <c r="D2656" i="12" a="1"/>
  <c r="D2656" i="12" s="1"/>
  <c r="N131" i="12" s="1"/>
  <c r="O131" i="12" s="1"/>
  <c r="D2636" i="12" a="1"/>
  <c r="D2636" i="12" s="1"/>
  <c r="N130" i="12" s="1"/>
  <c r="O130" i="12" s="1"/>
  <c r="D2613" i="12" a="1"/>
  <c r="D2613" i="12" s="1"/>
  <c r="N129" i="12" s="1"/>
  <c r="O129" i="12" s="1"/>
  <c r="D2592" i="12" a="1"/>
  <c r="D2592" i="12" s="1"/>
  <c r="N128" i="12" s="1"/>
  <c r="O128" i="12" s="1"/>
  <c r="D2574" i="12" a="1"/>
  <c r="D2574" i="12" s="1"/>
  <c r="N127" i="12" s="1"/>
  <c r="O127" i="12" s="1"/>
  <c r="D2554" i="12" a="1"/>
  <c r="D2554" i="12" s="1"/>
  <c r="N126" i="12" s="1"/>
  <c r="O126" i="12" s="1"/>
  <c r="D2532" i="12" a="1"/>
  <c r="D2532" i="12" s="1"/>
  <c r="D2512" i="12" a="1"/>
  <c r="D2512" i="12" s="1"/>
  <c r="N124" i="12" s="1"/>
  <c r="O124" i="12" s="1"/>
  <c r="D2490" i="12" a="1"/>
  <c r="D2490" i="12" s="1"/>
  <c r="N123" i="12" s="1"/>
  <c r="O123" i="12" s="1"/>
  <c r="D2472" i="12" a="1"/>
  <c r="D2472" i="12" s="1"/>
  <c r="N122" i="12" s="1"/>
  <c r="O122" i="12" s="1"/>
  <c r="D2451" i="12" a="1"/>
  <c r="D2451" i="12" s="1"/>
  <c r="N121" i="12" s="1"/>
  <c r="O121" i="12" s="1"/>
  <c r="D2429" i="12" a="1"/>
  <c r="D2429" i="12" s="1"/>
  <c r="N120" i="12" s="1"/>
  <c r="O120" i="12" s="1"/>
  <c r="D2408" i="12" a="1"/>
  <c r="D2408" i="12" s="1"/>
  <c r="N119" i="12" s="1"/>
  <c r="O119" i="12" s="1"/>
  <c r="D2388" i="12" a="1"/>
  <c r="D2388" i="12" s="1"/>
  <c r="N118" i="12" s="1"/>
  <c r="O118" i="12" s="1"/>
  <c r="D2365" i="12" a="1"/>
  <c r="D2365" i="12" s="1"/>
  <c r="N117" i="12" s="1"/>
  <c r="O117" i="12" s="1"/>
  <c r="D2346" i="12" a="1"/>
  <c r="D2346" i="12" s="1"/>
  <c r="N116" i="12" s="1"/>
  <c r="O116" i="12" s="1"/>
  <c r="D2326" i="12" a="1"/>
  <c r="D2326" i="12" s="1"/>
  <c r="N115" i="12" s="1"/>
  <c r="O115" i="12" s="1"/>
  <c r="D2306" i="12" a="1"/>
  <c r="D2306" i="12" s="1"/>
  <c r="N114" i="12" s="1"/>
  <c r="O114" i="12" s="1"/>
  <c r="D2285" i="12" a="1"/>
  <c r="D2285" i="12" s="1"/>
  <c r="N125" i="12" s="1"/>
  <c r="O125" i="12" s="1"/>
  <c r="D2265" i="12" a="1"/>
  <c r="D2265" i="12" s="1"/>
  <c r="N112" i="12" s="1"/>
  <c r="O112" i="12" s="1"/>
  <c r="D2243" i="12" a="1"/>
  <c r="D2243" i="12" s="1"/>
  <c r="N111" i="12" s="1"/>
  <c r="O111" i="12" s="1"/>
  <c r="D2226" i="12" a="1"/>
  <c r="D2226" i="12" s="1"/>
  <c r="N110" i="12" s="1"/>
  <c r="O110" i="12" s="1"/>
  <c r="D2204" i="12" a="1"/>
  <c r="D2204" i="12" s="1"/>
  <c r="N109" i="12" s="1"/>
  <c r="O109" i="12" s="1"/>
  <c r="D2182" i="12" a="1"/>
  <c r="D2182" i="12" s="1"/>
  <c r="N108" i="12" s="1"/>
  <c r="O108" i="12" s="1"/>
  <c r="D2162" i="12" a="1"/>
  <c r="D2162" i="12" s="1"/>
  <c r="N107" i="12" s="1"/>
  <c r="O107" i="12" s="1"/>
  <c r="D2141" i="12" a="1"/>
  <c r="D2141" i="12" s="1"/>
  <c r="N106" i="12" s="1"/>
  <c r="O106" i="12" s="1"/>
  <c r="D2119" i="12" a="1"/>
  <c r="D2119" i="12" s="1"/>
  <c r="N105" i="12" s="1"/>
  <c r="O105" i="12" s="1"/>
  <c r="D2098" i="12" a="1"/>
  <c r="D2098" i="12" s="1"/>
  <c r="N104" i="12" s="1"/>
  <c r="O104" i="12" s="1"/>
  <c r="D2079" i="12" a="1"/>
  <c r="D2079" i="12" s="1"/>
  <c r="N103" i="12" s="1"/>
  <c r="O103" i="12" s="1"/>
  <c r="D2059" i="12" a="1"/>
  <c r="D2059" i="12" s="1"/>
  <c r="N102" i="12" s="1"/>
  <c r="O102" i="12" s="1"/>
  <c r="D2038" i="12" a="1"/>
  <c r="D2038" i="12" s="1"/>
  <c r="N101" i="12" s="1"/>
  <c r="O101" i="12" s="1"/>
  <c r="D2018" i="12" a="1"/>
  <c r="D2018" i="12" s="1"/>
  <c r="N100" i="12" s="1"/>
  <c r="O100" i="12" s="1"/>
  <c r="D1996" i="12" a="1"/>
  <c r="D1996" i="12" s="1"/>
  <c r="N99" i="12" s="1"/>
  <c r="O99" i="12" s="1"/>
  <c r="D1977" i="12" a="1"/>
  <c r="D1977" i="12" s="1"/>
  <c r="N98" i="12" s="1"/>
  <c r="O98" i="12" s="1"/>
  <c r="D1955" i="12" a="1"/>
  <c r="D1955" i="12" s="1"/>
  <c r="N97" i="12" s="1"/>
  <c r="O97" i="12" s="1"/>
  <c r="D1935" i="12" a="1"/>
  <c r="D1935" i="12" s="1"/>
  <c r="N96" i="12" s="1"/>
  <c r="O96" i="12" s="1"/>
  <c r="D1914" i="12" a="1"/>
  <c r="D1914" i="12" s="1"/>
  <c r="N95" i="12" s="1"/>
  <c r="O95" i="12" s="1"/>
  <c r="D1893" i="12" a="1"/>
  <c r="D1893" i="12" s="1"/>
  <c r="N94" i="12" s="1"/>
  <c r="O94" i="12" s="1"/>
  <c r="D1872" i="12" a="1"/>
  <c r="D1872" i="12" s="1"/>
  <c r="N93" i="12" s="1"/>
  <c r="O93" i="12" s="1"/>
  <c r="D1851" i="12" a="1"/>
  <c r="D1851" i="12" s="1"/>
  <c r="N92" i="12" s="1"/>
  <c r="O92" i="12" s="1"/>
  <c r="D1830" i="12" a="1"/>
  <c r="D1830" i="12" s="1"/>
  <c r="N91" i="12" s="1"/>
  <c r="O91" i="12" s="1"/>
  <c r="D1812" i="12" a="1"/>
  <c r="D1812" i="12" s="1"/>
  <c r="N90" i="12" s="1"/>
  <c r="O90" i="12" s="1"/>
  <c r="D1789" i="12" a="1"/>
  <c r="D1789" i="12" s="1"/>
  <c r="N89" i="12" s="1"/>
  <c r="O89" i="12" s="1"/>
  <c r="D1769" i="12" a="1"/>
  <c r="D1769" i="12" s="1"/>
  <c r="N88" i="12" s="1"/>
  <c r="O88" i="12" s="1"/>
  <c r="D1748" i="12" a="1"/>
  <c r="D1748" i="12" s="1"/>
  <c r="N87" i="12" s="1"/>
  <c r="O87" i="12" s="1"/>
  <c r="D1728" i="12" a="1"/>
  <c r="D1728" i="12" s="1"/>
  <c r="N86" i="12" s="1"/>
  <c r="O86" i="12" s="1"/>
  <c r="D1706" i="12" a="1"/>
  <c r="D1706" i="12" s="1"/>
  <c r="N85" i="12" s="1"/>
  <c r="O85" i="12" s="1"/>
  <c r="D1686" i="12" a="1"/>
  <c r="D1686" i="12" s="1"/>
  <c r="N84" i="12" s="1"/>
  <c r="O84" i="12" s="1"/>
  <c r="D1664" i="12" a="1"/>
  <c r="D1664" i="12" s="1"/>
  <c r="N83" i="12" s="1"/>
  <c r="O83" i="12" s="1"/>
  <c r="D1643" i="12" a="1"/>
  <c r="D1643" i="12" s="1"/>
  <c r="N82" i="12" s="1"/>
  <c r="O82" i="12" s="1"/>
  <c r="D1622" i="12" a="1"/>
  <c r="D1622" i="12" s="1"/>
  <c r="N81" i="12" s="1"/>
  <c r="O81" i="12" s="1"/>
  <c r="D1600" i="12" a="1"/>
  <c r="D1600" i="12" s="1"/>
  <c r="N80" i="12" s="1"/>
  <c r="O80" i="12" s="1"/>
  <c r="D1581" i="12" a="1"/>
  <c r="D1581" i="12" s="1"/>
  <c r="N79" i="12" s="1"/>
  <c r="O79" i="12" s="1"/>
  <c r="D1560" i="12" a="1"/>
  <c r="D1560" i="12" s="1"/>
  <c r="N78" i="12" s="1"/>
  <c r="O78" i="12" s="1"/>
  <c r="D1539" i="12" a="1"/>
  <c r="D1539" i="12" s="1"/>
  <c r="N77" i="12" s="1"/>
  <c r="O77" i="12" s="1"/>
  <c r="D1518" i="12" a="1"/>
  <c r="D1518" i="12" s="1"/>
  <c r="N76" i="12" s="1"/>
  <c r="O76" i="12" s="1"/>
  <c r="D1498" i="12" a="1"/>
  <c r="D1498" i="12" s="1"/>
  <c r="N75" i="12" s="1"/>
  <c r="O75" i="12" s="1"/>
  <c r="D1479" i="12" a="1"/>
  <c r="D1479" i="12" s="1"/>
  <c r="N74" i="12" s="1"/>
  <c r="O74" i="12" s="1"/>
  <c r="D1458" i="12" a="1"/>
  <c r="D1458" i="12" s="1"/>
  <c r="N73" i="12" s="1"/>
  <c r="O73" i="12" s="1"/>
  <c r="D1436" i="12" a="1"/>
  <c r="D1436" i="12" s="1"/>
  <c r="N72" i="12" s="1"/>
  <c r="O72" i="12" s="1"/>
  <c r="D1414" i="12" a="1"/>
  <c r="D1414" i="12" s="1"/>
  <c r="N71" i="12" s="1"/>
  <c r="O71" i="12" s="1"/>
  <c r="D1394" i="12" a="1"/>
  <c r="D1394" i="12" s="1"/>
  <c r="N70" i="12" s="1"/>
  <c r="O70" i="12" s="1"/>
  <c r="D1371" i="12" a="1"/>
  <c r="D1371" i="12" s="1"/>
  <c r="N69" i="12" s="1"/>
  <c r="O69" i="12" s="1"/>
  <c r="D1349" i="12" a="1"/>
  <c r="D1349" i="12" s="1"/>
  <c r="N68" i="12" s="1"/>
  <c r="O68" i="12" s="1"/>
  <c r="D1331" i="12" a="1"/>
  <c r="D1331" i="12" s="1"/>
  <c r="N67" i="12" s="1"/>
  <c r="O67" i="12" s="1"/>
  <c r="D1311" i="12" a="1"/>
  <c r="D1311" i="12" s="1"/>
  <c r="N66" i="12" s="1"/>
  <c r="O66" i="12" s="1"/>
  <c r="D1289" i="12" a="1"/>
  <c r="D1289" i="12" s="1"/>
  <c r="N65" i="12" s="1"/>
  <c r="O65" i="12" s="1"/>
  <c r="D1269" i="12" a="1"/>
  <c r="D1269" i="12" s="1"/>
  <c r="N64" i="12" s="1"/>
  <c r="O64" i="12" s="1"/>
  <c r="D1248" i="12" a="1"/>
  <c r="D1248" i="12" s="1"/>
  <c r="N63" i="12" s="1"/>
  <c r="O63" i="12" s="1"/>
  <c r="D1229" i="12" a="1"/>
  <c r="D1229" i="12" s="1"/>
  <c r="N62" i="12" s="1"/>
  <c r="O62" i="12" s="1"/>
  <c r="D1209" i="12" a="1"/>
  <c r="D1209" i="12" s="1"/>
  <c r="N61" i="12" s="1"/>
  <c r="O61" i="12" s="1"/>
  <c r="D1187" i="12" a="1"/>
  <c r="D1187" i="12" s="1"/>
  <c r="N60" i="12" s="1"/>
  <c r="O60" i="12" s="1"/>
  <c r="D1165" i="12" a="1"/>
  <c r="D1165" i="12" s="1"/>
  <c r="N59" i="12" s="1"/>
  <c r="O59" i="12" s="1"/>
  <c r="D1146" i="12" a="1"/>
  <c r="D1146" i="12" s="1"/>
  <c r="N58" i="12" s="1"/>
  <c r="O58" i="12" s="1"/>
  <c r="D1123" i="12" a="1"/>
  <c r="D1123" i="12" s="1"/>
  <c r="N57" i="12" s="1"/>
  <c r="O57" i="12" s="1"/>
  <c r="D1102" i="12" a="1"/>
  <c r="D1102" i="12" s="1"/>
  <c r="N56" i="12" s="1"/>
  <c r="O56" i="12" s="1"/>
  <c r="D1083" i="12" a="1"/>
  <c r="D1083" i="12" s="1"/>
  <c r="N55" i="12" s="1"/>
  <c r="O55" i="12" s="1"/>
  <c r="D1063" i="12" a="1"/>
  <c r="D1063" i="12" s="1"/>
  <c r="N54" i="12" s="1"/>
  <c r="O54" i="12" s="1"/>
  <c r="D1042" i="12" a="1"/>
  <c r="D1042" i="12" s="1"/>
  <c r="N53" i="12" s="1"/>
  <c r="O53" i="12" s="1"/>
  <c r="D1022" i="12" a="1"/>
  <c r="D1022" i="12" s="1"/>
  <c r="N52" i="12" s="1"/>
  <c r="O52" i="12" s="1"/>
  <c r="D1000" i="12" a="1"/>
  <c r="D1000" i="12" s="1"/>
  <c r="N51" i="12" s="1"/>
  <c r="O51" i="12" s="1"/>
  <c r="D982" i="12" a="1"/>
  <c r="D982" i="12" s="1"/>
  <c r="N50" i="12" s="1"/>
  <c r="O50" i="12" s="1"/>
  <c r="D961" i="12" a="1"/>
  <c r="D961" i="12" s="1"/>
  <c r="N49" i="12" s="1"/>
  <c r="O49" i="12" s="1"/>
  <c r="D938" i="12" a="1"/>
  <c r="D938" i="12" s="1"/>
  <c r="N48" i="12" s="1"/>
  <c r="O48" i="12" s="1"/>
  <c r="D917" i="12" a="1"/>
  <c r="D917" i="12" s="1"/>
  <c r="N47" i="12" s="1"/>
  <c r="O47" i="12" s="1"/>
  <c r="D897" i="12" a="1"/>
  <c r="D897" i="12" s="1"/>
  <c r="N46" i="12" s="1"/>
  <c r="O46" i="12" s="1"/>
  <c r="D874" i="12" a="1"/>
  <c r="D874" i="12" s="1"/>
  <c r="N45" i="12" s="1"/>
  <c r="O45" i="12" s="1"/>
  <c r="D854" i="12" a="1"/>
  <c r="D854" i="12" s="1"/>
  <c r="N44" i="12" s="1"/>
  <c r="O44" i="12" s="1"/>
  <c r="D834" i="12" a="1"/>
  <c r="D834" i="12" s="1"/>
  <c r="N43" i="12" s="1"/>
  <c r="O43" i="12" s="1"/>
  <c r="D813" i="12" a="1"/>
  <c r="D813" i="12" s="1"/>
  <c r="N42" i="12" s="1"/>
  <c r="O42" i="12" s="1"/>
  <c r="D793" i="12" a="1"/>
  <c r="D793" i="12" s="1"/>
  <c r="N41" i="12" s="1"/>
  <c r="O41" i="12" s="1"/>
  <c r="D773" i="12" a="1"/>
  <c r="D773" i="12" s="1"/>
  <c r="N40" i="12" s="1"/>
  <c r="O40" i="12" s="1"/>
  <c r="D751" i="12" a="1"/>
  <c r="D751" i="12" s="1"/>
  <c r="N39" i="12" s="1"/>
  <c r="O39" i="12" s="1"/>
  <c r="D734" i="12" a="1"/>
  <c r="D734" i="12" s="1"/>
  <c r="N38" i="12" s="1"/>
  <c r="O38" i="12" s="1"/>
  <c r="D712" i="12" a="1"/>
  <c r="D712" i="12" s="1"/>
  <c r="N37" i="12" s="1"/>
  <c r="O37" i="12" s="1"/>
  <c r="D689" i="12" a="1"/>
  <c r="D689" i="12" s="1"/>
  <c r="N36" i="12" s="1"/>
  <c r="O36" i="12" s="1"/>
  <c r="D669" i="12" a="1"/>
  <c r="D669" i="12" s="1"/>
  <c r="N35" i="12" s="1"/>
  <c r="O35" i="12" s="1"/>
  <c r="D648" i="12" a="1"/>
  <c r="D648" i="12" s="1"/>
  <c r="N34" i="12" s="1"/>
  <c r="O34" i="12" s="1"/>
  <c r="D626" i="12" a="1"/>
  <c r="D626" i="12" s="1"/>
  <c r="N33" i="12" s="1"/>
  <c r="O33" i="12" s="1"/>
  <c r="D607" i="12" a="1"/>
  <c r="D607" i="12" s="1"/>
  <c r="N32" i="12" s="1"/>
  <c r="O32" i="12" s="1"/>
  <c r="D586" i="12" a="1"/>
  <c r="D586" i="12" s="1"/>
  <c r="N31" i="12" s="1"/>
  <c r="O31" i="12" s="1"/>
  <c r="D567" i="12" a="1"/>
  <c r="D567" i="12" s="1"/>
  <c r="N30" i="12" s="1"/>
  <c r="O30" i="12" s="1"/>
  <c r="D545" i="12" a="1"/>
  <c r="D545" i="12" s="1"/>
  <c r="N29" i="12" s="1"/>
  <c r="O29" i="12" s="1"/>
  <c r="D524" i="12" a="1"/>
  <c r="D524" i="12" s="1"/>
  <c r="N28" i="12" s="1"/>
  <c r="O28" i="12" s="1"/>
  <c r="D503" i="12" a="1"/>
  <c r="D503" i="12" s="1"/>
  <c r="N27" i="12" s="1"/>
  <c r="O27" i="12" s="1"/>
  <c r="D483" i="12" a="1"/>
  <c r="D483" i="12" s="1"/>
  <c r="N26" i="12" s="1"/>
  <c r="O26" i="12" s="1"/>
  <c r="D461" i="12" a="1"/>
  <c r="D461" i="12" s="1"/>
  <c r="N25" i="12" s="1"/>
  <c r="O25" i="12" s="1"/>
  <c r="D440" i="12" a="1"/>
  <c r="D440" i="12" s="1"/>
  <c r="N24" i="12" s="1"/>
  <c r="O24" i="12" s="1"/>
  <c r="D418" i="12" a="1"/>
  <c r="D418" i="12" s="1"/>
  <c r="N23" i="12" s="1"/>
  <c r="O23" i="12" s="1"/>
  <c r="D397" i="12" a="1"/>
  <c r="D397" i="12" s="1"/>
  <c r="N22" i="12" s="1"/>
  <c r="O22" i="12" s="1"/>
  <c r="D376" i="12" a="1"/>
  <c r="D376" i="12" s="1"/>
  <c r="N21" i="12" s="1"/>
  <c r="O21" i="12" s="1"/>
  <c r="D354" i="12" a="1"/>
  <c r="D354" i="12" s="1"/>
  <c r="N20" i="12" s="1"/>
  <c r="O20" i="12" s="1"/>
  <c r="D334" i="12" a="1"/>
  <c r="D334" i="12" s="1"/>
  <c r="N19" i="12" s="1"/>
  <c r="O19" i="12" s="1"/>
  <c r="D316" i="12" a="1"/>
  <c r="D316" i="12" s="1"/>
  <c r="N18" i="12" s="1"/>
  <c r="O18" i="12" s="1"/>
  <c r="D293" i="12" a="1"/>
  <c r="D293" i="12" s="1"/>
  <c r="N17" i="12" s="1"/>
  <c r="O17" i="12" s="1"/>
  <c r="D273" i="12" a="1"/>
  <c r="D273" i="12" s="1"/>
  <c r="N16" i="12" s="1"/>
  <c r="O16" i="12" s="1"/>
  <c r="D253" i="12" a="1"/>
  <c r="D253" i="12" s="1"/>
  <c r="N15" i="12" s="1"/>
  <c r="O15" i="12" s="1"/>
  <c r="D234" i="12" a="1"/>
  <c r="D234" i="12" s="1"/>
  <c r="N14" i="12" s="1"/>
  <c r="O14" i="12" s="1"/>
  <c r="D212" i="12" a="1"/>
  <c r="D212" i="12" s="1"/>
  <c r="N13" i="12" s="1"/>
  <c r="O13" i="12" s="1"/>
  <c r="D191" i="12" a="1"/>
  <c r="D191" i="12" s="1"/>
  <c r="N12" i="12" s="1"/>
  <c r="O12" i="12" s="1"/>
  <c r="D169" i="12" a="1"/>
  <c r="D169" i="12" s="1"/>
  <c r="N11" i="12" s="1"/>
  <c r="O11" i="12" s="1"/>
  <c r="D148" i="12" a="1"/>
  <c r="D148" i="12" s="1"/>
  <c r="N10" i="12" s="1"/>
  <c r="O10" i="12" s="1"/>
  <c r="D126" i="12" a="1"/>
  <c r="D126" i="12" s="1"/>
  <c r="N9" i="12" s="1"/>
  <c r="O9" i="12" s="1"/>
  <c r="D104" i="12" a="1"/>
  <c r="D104" i="12" s="1"/>
  <c r="N8" i="12" s="1"/>
  <c r="O8" i="12" s="1"/>
  <c r="D85" i="12" a="1"/>
  <c r="D85" i="12" s="1"/>
  <c r="N7" i="12" s="1"/>
  <c r="O7" i="12" s="1"/>
  <c r="D65" i="12" a="1"/>
  <c r="D65" i="12" s="1"/>
  <c r="N6" i="12" s="1"/>
  <c r="O6" i="12" s="1"/>
  <c r="D42" i="12" a="1"/>
  <c r="D42" i="12" s="1"/>
  <c r="N5" i="12" s="1"/>
  <c r="O5" i="12" s="1"/>
  <c r="D22" i="12" a="1"/>
  <c r="D22" i="12" s="1"/>
  <c r="N4" i="12" s="1"/>
  <c r="O4" i="12" s="1"/>
  <c r="D2" i="12" a="1"/>
  <c r="D2" i="12" s="1"/>
  <c r="N3" i="12" s="1"/>
  <c r="D3802" i="13" a="1"/>
  <c r="D3802" i="13" s="1"/>
  <c r="N186" i="13" s="1"/>
  <c r="O186" i="13" s="1"/>
  <c r="D3781" i="13" a="1"/>
  <c r="D3781" i="13" s="1"/>
  <c r="N185" i="13" s="1"/>
  <c r="O185" i="13" s="1"/>
  <c r="D3761" i="13" a="1"/>
  <c r="D3761" i="13" s="1"/>
  <c r="N184" i="13" s="1"/>
  <c r="O184" i="13" s="1"/>
  <c r="D3739" i="13" a="1"/>
  <c r="D3739" i="13" s="1"/>
  <c r="N183" i="13" s="1"/>
  <c r="O183" i="13" s="1"/>
  <c r="D3721" i="13" a="1"/>
  <c r="D3721" i="13" s="1"/>
  <c r="N182" i="13" s="1"/>
  <c r="O182" i="13" s="1"/>
  <c r="D3700" i="13" a="1"/>
  <c r="D3700" i="13" s="1"/>
  <c r="N181" i="13" s="1"/>
  <c r="O181" i="13" s="1"/>
  <c r="D3677" i="13" a="1"/>
  <c r="D3677" i="13" s="1"/>
  <c r="N180" i="13" s="1"/>
  <c r="O180" i="13" s="1"/>
  <c r="D3656" i="13" a="1"/>
  <c r="D3656" i="13" s="1"/>
  <c r="N179" i="13" s="1"/>
  <c r="O179" i="13" s="1"/>
  <c r="D3636" i="13" a="1"/>
  <c r="D3636" i="13" s="1"/>
  <c r="N178" i="13" s="1"/>
  <c r="O178" i="13" s="1"/>
  <c r="D3613" i="13" a="1"/>
  <c r="D3613" i="13" s="1"/>
  <c r="N177" i="13" s="1"/>
  <c r="O177" i="13" s="1"/>
  <c r="D3593" i="13" a="1"/>
  <c r="D3593" i="13" s="1"/>
  <c r="N176" i="13" s="1"/>
  <c r="O176" i="13" s="1"/>
  <c r="D3573" i="13" a="1"/>
  <c r="D3573" i="13" s="1"/>
  <c r="N175" i="13" s="1"/>
  <c r="O175" i="13" s="1"/>
  <c r="D3552" i="13" a="1"/>
  <c r="D3552" i="13" s="1"/>
  <c r="N174" i="13" s="1"/>
  <c r="O174" i="13" s="1"/>
  <c r="D3532" i="13" a="1"/>
  <c r="D3532" i="13" s="1"/>
  <c r="N173" i="13" s="1"/>
  <c r="O173" i="13" s="1"/>
  <c r="D3511" i="13" a="1"/>
  <c r="D3511" i="13" s="1"/>
  <c r="N172" i="13" s="1"/>
  <c r="O172" i="13" s="1"/>
  <c r="D3489" i="13" a="1"/>
  <c r="D3489" i="13" s="1"/>
  <c r="N171" i="13" s="1"/>
  <c r="O171" i="13" s="1"/>
  <c r="D3470" i="13" a="1"/>
  <c r="D3470" i="13" s="1"/>
  <c r="N170" i="13" s="1"/>
  <c r="O170" i="13" s="1"/>
  <c r="D3448" i="13" a="1"/>
  <c r="D3448" i="13" s="1"/>
  <c r="N169" i="13" s="1"/>
  <c r="O169" i="13" s="1"/>
  <c r="D3426" i="13" a="1"/>
  <c r="D3426" i="13" s="1"/>
  <c r="N168" i="13" s="1"/>
  <c r="O168" i="13" s="1"/>
  <c r="D3405" i="13" a="1"/>
  <c r="D3405" i="13" s="1"/>
  <c r="N167" i="13" s="1"/>
  <c r="O167" i="13" s="1"/>
  <c r="D3384" i="13" a="1"/>
  <c r="D3384" i="13" s="1"/>
  <c r="N166" i="13" s="1"/>
  <c r="O166" i="13" s="1"/>
  <c r="D3363" i="13" a="1"/>
  <c r="D3363" i="13" s="1"/>
  <c r="N165" i="13" s="1"/>
  <c r="O165" i="13" s="1"/>
  <c r="D3341" i="13" a="1"/>
  <c r="D3341" i="13" s="1"/>
  <c r="N164" i="13" s="1"/>
  <c r="O164" i="13" s="1"/>
  <c r="D3321" i="13" a="1"/>
  <c r="D3321" i="13" s="1"/>
  <c r="N163" i="13" s="1"/>
  <c r="O163" i="13" s="1"/>
  <c r="D3303" i="13" a="1"/>
  <c r="D3303" i="13" s="1"/>
  <c r="N162" i="13" s="1"/>
  <c r="O162" i="13" s="1"/>
  <c r="D3280" i="13" a="1"/>
  <c r="D3280" i="13" s="1"/>
  <c r="N161" i="13" s="1"/>
  <c r="O161" i="13" s="1"/>
  <c r="D3260" i="13" a="1"/>
  <c r="D3260" i="13" s="1"/>
  <c r="N160" i="13" s="1"/>
  <c r="O160" i="13" s="1"/>
  <c r="D3239" i="13" a="1"/>
  <c r="D3239" i="13" s="1"/>
  <c r="N159" i="13" s="1"/>
  <c r="O159" i="13" s="1"/>
  <c r="D3219" i="13" a="1"/>
  <c r="D3219" i="13" s="1"/>
  <c r="N158" i="13" s="1"/>
  <c r="O158" i="13" s="1"/>
  <c r="D3197" i="13" a="1"/>
  <c r="D3197" i="13" s="1"/>
  <c r="N157" i="13" s="1"/>
  <c r="O157" i="13" s="1"/>
  <c r="D3176" i="13" a="1"/>
  <c r="D3176" i="13" s="1"/>
  <c r="N156" i="13" s="1"/>
  <c r="O156" i="13" s="1"/>
  <c r="D3155" i="13" a="1"/>
  <c r="D3155" i="13" s="1"/>
  <c r="N155" i="13" s="1"/>
  <c r="O155" i="13" s="1"/>
  <c r="D3134" i="13" a="1"/>
  <c r="D3134" i="13" s="1"/>
  <c r="N154" i="13" s="1"/>
  <c r="O154" i="13" s="1"/>
  <c r="D3113" i="13" a="1"/>
  <c r="D3113" i="13" s="1"/>
  <c r="N153" i="13" s="1"/>
  <c r="O153" i="13" s="1"/>
  <c r="D3093" i="13" a="1"/>
  <c r="D3093" i="13" s="1"/>
  <c r="N152" i="13" s="1"/>
  <c r="O152" i="13" s="1"/>
  <c r="D3072" i="13" a="1"/>
  <c r="D3072" i="13" s="1"/>
  <c r="N151" i="13" s="1"/>
  <c r="O151" i="13" s="1"/>
  <c r="D3053" i="13" a="1"/>
  <c r="D3053" i="13" s="1"/>
  <c r="N150" i="13" s="1"/>
  <c r="O150" i="13" s="1"/>
  <c r="D3030" i="13" a="1"/>
  <c r="D3030" i="13" s="1"/>
  <c r="N149" i="13" s="1"/>
  <c r="O149" i="13" s="1"/>
  <c r="D3010" i="13" a="1"/>
  <c r="D3010" i="13" s="1"/>
  <c r="N148" i="13" s="1"/>
  <c r="O148" i="13" s="1"/>
  <c r="D2990" i="13" a="1"/>
  <c r="D2990" i="13" s="1"/>
  <c r="N147" i="13" s="1"/>
  <c r="O147" i="13" s="1"/>
  <c r="D2971" i="13" a="1"/>
  <c r="D2971" i="13" s="1"/>
  <c r="N146" i="13" s="1"/>
  <c r="O146" i="13" s="1"/>
  <c r="D2949" i="13" a="1"/>
  <c r="D2949" i="13" s="1"/>
  <c r="N145" i="13" s="1"/>
  <c r="O145" i="13" s="1"/>
  <c r="D2928" i="13" a="1"/>
  <c r="D2928" i="13" s="1"/>
  <c r="N144" i="13" s="1"/>
  <c r="O144" i="13" s="1"/>
  <c r="D2906" i="13" a="1"/>
  <c r="D2906" i="13" s="1"/>
  <c r="N143" i="13" s="1"/>
  <c r="O143" i="13" s="1"/>
  <c r="D2885" i="13" a="1"/>
  <c r="D2885" i="13" s="1"/>
  <c r="N142" i="13" s="1"/>
  <c r="O142" i="13" s="1"/>
  <c r="D2863" i="13" a="1"/>
  <c r="D2863" i="13" s="1"/>
  <c r="N141" i="13" s="1"/>
  <c r="O141" i="13" s="1"/>
  <c r="D2841" i="13" a="1"/>
  <c r="D2841" i="13" s="1"/>
  <c r="N140" i="13" s="1"/>
  <c r="O140" i="13" s="1"/>
  <c r="D2823" i="13" a="1"/>
  <c r="D2823" i="13" s="1"/>
  <c r="N139" i="13" s="1"/>
  <c r="O139" i="13" s="1"/>
  <c r="D2803" i="13" a="1"/>
  <c r="D2803" i="13" s="1"/>
  <c r="N138" i="13" s="1"/>
  <c r="O138" i="13" s="1"/>
  <c r="D2780" i="13" a="1"/>
  <c r="D2780" i="13" s="1"/>
  <c r="N137" i="13" s="1"/>
  <c r="O137" i="13" s="1"/>
  <c r="D2760" i="13" a="1"/>
  <c r="D2760" i="13" s="1"/>
  <c r="N136" i="13" s="1"/>
  <c r="O136" i="13" s="1"/>
  <c r="D2740" i="13" a="1"/>
  <c r="D2740" i="13" s="1"/>
  <c r="N135" i="13" s="1"/>
  <c r="O135" i="13" s="1"/>
  <c r="D2721" i="13" a="1"/>
  <c r="D2721" i="13" s="1"/>
  <c r="N134" i="13" s="1"/>
  <c r="O134" i="13" s="1"/>
  <c r="D2700" i="13" a="1"/>
  <c r="D2700" i="13" s="1"/>
  <c r="N133" i="13" s="1"/>
  <c r="O133" i="13" s="1"/>
  <c r="D2678" i="13" a="1"/>
  <c r="D2678" i="13" s="1"/>
  <c r="N132" i="13" s="1"/>
  <c r="O132" i="13" s="1"/>
  <c r="D2656" i="13" a="1"/>
  <c r="D2656" i="13" s="1"/>
  <c r="N131" i="13" s="1"/>
  <c r="O131" i="13" s="1"/>
  <c r="D2636" i="13" a="1"/>
  <c r="D2636" i="13" s="1"/>
  <c r="N130" i="13" s="1"/>
  <c r="O130" i="13" s="1"/>
  <c r="D2613" i="13" a="1"/>
  <c r="D2613" i="13" s="1"/>
  <c r="N129" i="13" s="1"/>
  <c r="O129" i="13" s="1"/>
  <c r="D2592" i="13" a="1"/>
  <c r="D2592" i="13" s="1"/>
  <c r="N128" i="13" s="1"/>
  <c r="O128" i="13" s="1"/>
  <c r="D2574" i="13" a="1"/>
  <c r="D2574" i="13" s="1"/>
  <c r="N127" i="13" s="1"/>
  <c r="O127" i="13" s="1"/>
  <c r="D2554" i="13" a="1"/>
  <c r="D2554" i="13" s="1"/>
  <c r="N126" i="13" s="1"/>
  <c r="O126" i="13" s="1"/>
  <c r="D2532" i="13" a="1"/>
  <c r="D2532" i="13" s="1"/>
  <c r="D2512" i="13" a="1"/>
  <c r="D2512" i="13" s="1"/>
  <c r="N124" i="13" s="1"/>
  <c r="O124" i="13" s="1"/>
  <c r="D2490" i="13" a="1"/>
  <c r="D2490" i="13" s="1"/>
  <c r="N123" i="13" s="1"/>
  <c r="O123" i="13" s="1"/>
  <c r="D2472" i="13" a="1"/>
  <c r="D2472" i="13" s="1"/>
  <c r="N122" i="13" s="1"/>
  <c r="O122" i="13" s="1"/>
  <c r="D2451" i="13" a="1"/>
  <c r="D2451" i="13" s="1"/>
  <c r="N121" i="13" s="1"/>
  <c r="O121" i="13" s="1"/>
  <c r="D2429" i="13" a="1"/>
  <c r="D2429" i="13" s="1"/>
  <c r="N120" i="13" s="1"/>
  <c r="O120" i="13" s="1"/>
  <c r="D2408" i="13" a="1"/>
  <c r="D2408" i="13" s="1"/>
  <c r="N119" i="13" s="1"/>
  <c r="O119" i="13" s="1"/>
  <c r="D2388" i="13" a="1"/>
  <c r="D2388" i="13" s="1"/>
  <c r="N118" i="13" s="1"/>
  <c r="O118" i="13" s="1"/>
  <c r="D2365" i="13" a="1"/>
  <c r="D2365" i="13" s="1"/>
  <c r="N117" i="13" s="1"/>
  <c r="O117" i="13" s="1"/>
  <c r="D2346" i="13" a="1"/>
  <c r="D2346" i="13" s="1"/>
  <c r="N116" i="13" s="1"/>
  <c r="O116" i="13" s="1"/>
  <c r="D2326" i="13" a="1"/>
  <c r="D2326" i="13" s="1"/>
  <c r="N115" i="13" s="1"/>
  <c r="O115" i="13" s="1"/>
  <c r="D2306" i="13" a="1"/>
  <c r="D2306" i="13" s="1"/>
  <c r="N114" i="13" s="1"/>
  <c r="O114" i="13" s="1"/>
  <c r="D2285" i="13" a="1"/>
  <c r="D2285" i="13" s="1"/>
  <c r="N125" i="13" s="1"/>
  <c r="O125" i="13" s="1"/>
  <c r="D2265" i="13" a="1"/>
  <c r="D2265" i="13" s="1"/>
  <c r="N112" i="13" s="1"/>
  <c r="O112" i="13" s="1"/>
  <c r="D2243" i="13" a="1"/>
  <c r="D2243" i="13" s="1"/>
  <c r="N111" i="13" s="1"/>
  <c r="O111" i="13" s="1"/>
  <c r="D2226" i="13" a="1"/>
  <c r="D2226" i="13" s="1"/>
  <c r="N110" i="13" s="1"/>
  <c r="O110" i="13" s="1"/>
  <c r="D2204" i="13" a="1"/>
  <c r="D2204" i="13" s="1"/>
  <c r="N109" i="13" s="1"/>
  <c r="O109" i="13" s="1"/>
  <c r="D2182" i="13" a="1"/>
  <c r="D2182" i="13" s="1"/>
  <c r="N108" i="13" s="1"/>
  <c r="O108" i="13" s="1"/>
  <c r="D2162" i="13" a="1"/>
  <c r="D2162" i="13" s="1"/>
  <c r="N107" i="13" s="1"/>
  <c r="O107" i="13" s="1"/>
  <c r="D2141" i="13" a="1"/>
  <c r="D2141" i="13" s="1"/>
  <c r="N106" i="13" s="1"/>
  <c r="O106" i="13" s="1"/>
  <c r="D2119" i="13" a="1"/>
  <c r="D2119" i="13" s="1"/>
  <c r="N105" i="13" s="1"/>
  <c r="O105" i="13" s="1"/>
  <c r="D2098" i="13" a="1"/>
  <c r="D2098" i="13" s="1"/>
  <c r="N104" i="13" s="1"/>
  <c r="O104" i="13" s="1"/>
  <c r="D2079" i="13" a="1"/>
  <c r="D2079" i="13" s="1"/>
  <c r="N103" i="13" s="1"/>
  <c r="O103" i="13" s="1"/>
  <c r="D2059" i="13" a="1"/>
  <c r="D2059" i="13" s="1"/>
  <c r="N102" i="13" s="1"/>
  <c r="O102" i="13" s="1"/>
  <c r="D2038" i="13" a="1"/>
  <c r="D2038" i="13" s="1"/>
  <c r="N101" i="13" s="1"/>
  <c r="O101" i="13" s="1"/>
  <c r="D2018" i="13" a="1"/>
  <c r="D2018" i="13" s="1"/>
  <c r="N100" i="13" s="1"/>
  <c r="O100" i="13" s="1"/>
  <c r="D1996" i="13" a="1"/>
  <c r="D1996" i="13" s="1"/>
  <c r="N99" i="13" s="1"/>
  <c r="O99" i="13" s="1"/>
  <c r="D1977" i="13" a="1"/>
  <c r="D1977" i="13" s="1"/>
  <c r="N98" i="13" s="1"/>
  <c r="O98" i="13" s="1"/>
  <c r="D1955" i="13" a="1"/>
  <c r="D1955" i="13" s="1"/>
  <c r="N97" i="13" s="1"/>
  <c r="O97" i="13" s="1"/>
  <c r="D1935" i="13" a="1"/>
  <c r="D1935" i="13" s="1"/>
  <c r="N96" i="13" s="1"/>
  <c r="O96" i="13" s="1"/>
  <c r="D1914" i="13" a="1"/>
  <c r="D1914" i="13" s="1"/>
  <c r="N95" i="13" s="1"/>
  <c r="O95" i="13" s="1"/>
  <c r="D1893" i="13" a="1"/>
  <c r="D1893" i="13" s="1"/>
  <c r="N94" i="13" s="1"/>
  <c r="O94" i="13" s="1"/>
  <c r="D1872" i="13" a="1"/>
  <c r="D1872" i="13" s="1"/>
  <c r="N93" i="13" s="1"/>
  <c r="O93" i="13" s="1"/>
  <c r="D1851" i="13" a="1"/>
  <c r="D1851" i="13" s="1"/>
  <c r="N92" i="13" s="1"/>
  <c r="O92" i="13" s="1"/>
  <c r="D1830" i="13" a="1"/>
  <c r="D1830" i="13" s="1"/>
  <c r="N91" i="13" s="1"/>
  <c r="O91" i="13" s="1"/>
  <c r="D1812" i="13" a="1"/>
  <c r="D1812" i="13" s="1"/>
  <c r="N90" i="13" s="1"/>
  <c r="O90" i="13" s="1"/>
  <c r="D1789" i="13" a="1"/>
  <c r="D1789" i="13" s="1"/>
  <c r="N89" i="13" s="1"/>
  <c r="O89" i="13" s="1"/>
  <c r="D1769" i="13" a="1"/>
  <c r="D1769" i="13" s="1"/>
  <c r="N88" i="13" s="1"/>
  <c r="O88" i="13" s="1"/>
  <c r="D1748" i="13" a="1"/>
  <c r="D1748" i="13" s="1"/>
  <c r="N87" i="13" s="1"/>
  <c r="O87" i="13" s="1"/>
  <c r="D1728" i="13" a="1"/>
  <c r="D1728" i="13" s="1"/>
  <c r="N86" i="13" s="1"/>
  <c r="O86" i="13" s="1"/>
  <c r="D1706" i="13" a="1"/>
  <c r="D1706" i="13" s="1"/>
  <c r="N85" i="13" s="1"/>
  <c r="O85" i="13" s="1"/>
  <c r="D1686" i="13" a="1"/>
  <c r="D1686" i="13" s="1"/>
  <c r="N84" i="13" s="1"/>
  <c r="O84" i="13" s="1"/>
  <c r="D1664" i="13" a="1"/>
  <c r="D1664" i="13" s="1"/>
  <c r="N83" i="13" s="1"/>
  <c r="O83" i="13" s="1"/>
  <c r="D1643" i="13" a="1"/>
  <c r="D1643" i="13" s="1"/>
  <c r="N82" i="13" s="1"/>
  <c r="O82" i="13" s="1"/>
  <c r="D1622" i="13" a="1"/>
  <c r="D1622" i="13" s="1"/>
  <c r="N81" i="13" s="1"/>
  <c r="O81" i="13" s="1"/>
  <c r="D1600" i="13" a="1"/>
  <c r="D1600" i="13" s="1"/>
  <c r="N80" i="13" s="1"/>
  <c r="O80" i="13" s="1"/>
  <c r="D1581" i="13" a="1"/>
  <c r="D1581" i="13" s="1"/>
  <c r="N79" i="13" s="1"/>
  <c r="O79" i="13" s="1"/>
  <c r="D1560" i="13" a="1"/>
  <c r="D1560" i="13" s="1"/>
  <c r="N78" i="13" s="1"/>
  <c r="O78" i="13" s="1"/>
  <c r="D1539" i="13" a="1"/>
  <c r="D1539" i="13" s="1"/>
  <c r="N77" i="13" s="1"/>
  <c r="O77" i="13" s="1"/>
  <c r="D1518" i="13" a="1"/>
  <c r="D1518" i="13" s="1"/>
  <c r="N76" i="13" s="1"/>
  <c r="O76" i="13" s="1"/>
  <c r="D1498" i="13" a="1"/>
  <c r="D1498" i="13" s="1"/>
  <c r="N75" i="13" s="1"/>
  <c r="O75" i="13" s="1"/>
  <c r="D1479" i="13" a="1"/>
  <c r="D1479" i="13" s="1"/>
  <c r="N74" i="13" s="1"/>
  <c r="O74" i="13" s="1"/>
  <c r="D1458" i="13" a="1"/>
  <c r="D1458" i="13" s="1"/>
  <c r="N73" i="13" s="1"/>
  <c r="O73" i="13" s="1"/>
  <c r="D1436" i="13" a="1"/>
  <c r="D1436" i="13" s="1"/>
  <c r="N72" i="13" s="1"/>
  <c r="O72" i="13" s="1"/>
  <c r="D1414" i="13" a="1"/>
  <c r="D1414" i="13" s="1"/>
  <c r="N71" i="13" s="1"/>
  <c r="O71" i="13" s="1"/>
  <c r="D1394" i="13" a="1"/>
  <c r="D1394" i="13" s="1"/>
  <c r="N70" i="13" s="1"/>
  <c r="O70" i="13" s="1"/>
  <c r="D1371" i="13" a="1"/>
  <c r="D1371" i="13" s="1"/>
  <c r="N69" i="13" s="1"/>
  <c r="O69" i="13" s="1"/>
  <c r="D1349" i="13" a="1"/>
  <c r="D1349" i="13" s="1"/>
  <c r="N68" i="13" s="1"/>
  <c r="O68" i="13" s="1"/>
  <c r="D1331" i="13" a="1"/>
  <c r="D1331" i="13" s="1"/>
  <c r="N67" i="13" s="1"/>
  <c r="O67" i="13" s="1"/>
  <c r="D1311" i="13" a="1"/>
  <c r="D1311" i="13" s="1"/>
  <c r="N66" i="13" s="1"/>
  <c r="O66" i="13" s="1"/>
  <c r="D1289" i="13" a="1"/>
  <c r="D1289" i="13" s="1"/>
  <c r="N65" i="13" s="1"/>
  <c r="O65" i="13" s="1"/>
  <c r="D1269" i="13" a="1"/>
  <c r="D1269" i="13" s="1"/>
  <c r="N64" i="13" s="1"/>
  <c r="O64" i="13" s="1"/>
  <c r="D1248" i="13" a="1"/>
  <c r="D1248" i="13" s="1"/>
  <c r="N63" i="13" s="1"/>
  <c r="O63" i="13" s="1"/>
  <c r="D1229" i="13" a="1"/>
  <c r="D1229" i="13" s="1"/>
  <c r="N62" i="13" s="1"/>
  <c r="O62" i="13" s="1"/>
  <c r="D1209" i="13" a="1"/>
  <c r="D1209" i="13" s="1"/>
  <c r="N61" i="13" s="1"/>
  <c r="O61" i="13" s="1"/>
  <c r="D1187" i="13" a="1"/>
  <c r="D1187" i="13" s="1"/>
  <c r="N60" i="13" s="1"/>
  <c r="O60" i="13" s="1"/>
  <c r="D1165" i="13" a="1"/>
  <c r="D1165" i="13" s="1"/>
  <c r="N59" i="13" s="1"/>
  <c r="O59" i="13" s="1"/>
  <c r="D1146" i="13" a="1"/>
  <c r="D1146" i="13" s="1"/>
  <c r="N58" i="13" s="1"/>
  <c r="O58" i="13" s="1"/>
  <c r="D1123" i="13" a="1"/>
  <c r="D1123" i="13" s="1"/>
  <c r="N57" i="13" s="1"/>
  <c r="O57" i="13" s="1"/>
  <c r="D1102" i="13" a="1"/>
  <c r="D1102" i="13" s="1"/>
  <c r="N56" i="13" s="1"/>
  <c r="O56" i="13" s="1"/>
  <c r="D1083" i="13" a="1"/>
  <c r="D1083" i="13" s="1"/>
  <c r="N55" i="13" s="1"/>
  <c r="O55" i="13" s="1"/>
  <c r="D1063" i="13" a="1"/>
  <c r="D1063" i="13" s="1"/>
  <c r="N54" i="13" s="1"/>
  <c r="O54" i="13" s="1"/>
  <c r="D1042" i="13" a="1"/>
  <c r="D1042" i="13" s="1"/>
  <c r="N53" i="13" s="1"/>
  <c r="O53" i="13" s="1"/>
  <c r="D1022" i="13" a="1"/>
  <c r="D1022" i="13" s="1"/>
  <c r="N52" i="13" s="1"/>
  <c r="O52" i="13" s="1"/>
  <c r="D1000" i="13" a="1"/>
  <c r="D1000" i="13" s="1"/>
  <c r="N51" i="13" s="1"/>
  <c r="O51" i="13" s="1"/>
  <c r="D982" i="13" a="1"/>
  <c r="D982" i="13" s="1"/>
  <c r="N50" i="13" s="1"/>
  <c r="O50" i="13" s="1"/>
  <c r="D961" i="13" a="1"/>
  <c r="D961" i="13" s="1"/>
  <c r="N49" i="13" s="1"/>
  <c r="O49" i="13" s="1"/>
  <c r="D938" i="13" a="1"/>
  <c r="D938" i="13" s="1"/>
  <c r="N48" i="13" s="1"/>
  <c r="O48" i="13" s="1"/>
  <c r="D917" i="13" a="1"/>
  <c r="D917" i="13" s="1"/>
  <c r="N47" i="13" s="1"/>
  <c r="O47" i="13" s="1"/>
  <c r="D897" i="13" a="1"/>
  <c r="D897" i="13" s="1"/>
  <c r="N46" i="13" s="1"/>
  <c r="O46" i="13" s="1"/>
  <c r="D874" i="13" a="1"/>
  <c r="D874" i="13" s="1"/>
  <c r="N45" i="13" s="1"/>
  <c r="O45" i="13" s="1"/>
  <c r="D854" i="13" a="1"/>
  <c r="D854" i="13" s="1"/>
  <c r="N44" i="13" s="1"/>
  <c r="O44" i="13" s="1"/>
  <c r="D834" i="13" a="1"/>
  <c r="D834" i="13" s="1"/>
  <c r="N43" i="13" s="1"/>
  <c r="O43" i="13" s="1"/>
  <c r="D813" i="13" a="1"/>
  <c r="D813" i="13" s="1"/>
  <c r="N42" i="13" s="1"/>
  <c r="O42" i="13" s="1"/>
  <c r="D793" i="13" a="1"/>
  <c r="D793" i="13" s="1"/>
  <c r="N41" i="13" s="1"/>
  <c r="O41" i="13" s="1"/>
  <c r="D773" i="13" a="1"/>
  <c r="D773" i="13" s="1"/>
  <c r="N40" i="13" s="1"/>
  <c r="O40" i="13" s="1"/>
  <c r="D751" i="13" a="1"/>
  <c r="D751" i="13" s="1"/>
  <c r="N39" i="13" s="1"/>
  <c r="O39" i="13" s="1"/>
  <c r="D734" i="13" a="1"/>
  <c r="D734" i="13" s="1"/>
  <c r="N38" i="13" s="1"/>
  <c r="O38" i="13" s="1"/>
  <c r="D712" i="13" a="1"/>
  <c r="D712" i="13" s="1"/>
  <c r="N37" i="13" s="1"/>
  <c r="O37" i="13" s="1"/>
  <c r="D689" i="13" a="1"/>
  <c r="D689" i="13" s="1"/>
  <c r="N36" i="13" s="1"/>
  <c r="O36" i="13" s="1"/>
  <c r="D669" i="13" a="1"/>
  <c r="D669" i="13" s="1"/>
  <c r="N35" i="13" s="1"/>
  <c r="O35" i="13" s="1"/>
  <c r="D648" i="13" a="1"/>
  <c r="D648" i="13" s="1"/>
  <c r="N34" i="13" s="1"/>
  <c r="O34" i="13" s="1"/>
  <c r="D626" i="13" a="1"/>
  <c r="D626" i="13" s="1"/>
  <c r="N33" i="13" s="1"/>
  <c r="O33" i="13" s="1"/>
  <c r="D607" i="13" a="1"/>
  <c r="D607" i="13" s="1"/>
  <c r="N32" i="13" s="1"/>
  <c r="O32" i="13" s="1"/>
  <c r="D586" i="13" a="1"/>
  <c r="D586" i="13" s="1"/>
  <c r="N31" i="13" s="1"/>
  <c r="O31" i="13" s="1"/>
  <c r="D567" i="13" a="1"/>
  <c r="D567" i="13" s="1"/>
  <c r="N30" i="13" s="1"/>
  <c r="O30" i="13" s="1"/>
  <c r="D545" i="13" a="1"/>
  <c r="D545" i="13" s="1"/>
  <c r="N29" i="13" s="1"/>
  <c r="O29" i="13" s="1"/>
  <c r="D524" i="13" a="1"/>
  <c r="D524" i="13" s="1"/>
  <c r="N28" i="13" s="1"/>
  <c r="O28" i="13" s="1"/>
  <c r="D503" i="13" a="1"/>
  <c r="D503" i="13" s="1"/>
  <c r="N27" i="13" s="1"/>
  <c r="O27" i="13" s="1"/>
  <c r="D483" i="13" a="1"/>
  <c r="D483" i="13" s="1"/>
  <c r="N26" i="13" s="1"/>
  <c r="O26" i="13" s="1"/>
  <c r="D461" i="13" a="1"/>
  <c r="D461" i="13" s="1"/>
  <c r="N25" i="13" s="1"/>
  <c r="O25" i="13" s="1"/>
  <c r="D440" i="13" a="1"/>
  <c r="D440" i="13" s="1"/>
  <c r="N24" i="13" s="1"/>
  <c r="O24" i="13" s="1"/>
  <c r="D418" i="13" a="1"/>
  <c r="D418" i="13" s="1"/>
  <c r="N23" i="13" s="1"/>
  <c r="O23" i="13" s="1"/>
  <c r="D397" i="13" a="1"/>
  <c r="D397" i="13" s="1"/>
  <c r="N22" i="13" s="1"/>
  <c r="O22" i="13" s="1"/>
  <c r="D376" i="13" a="1"/>
  <c r="D376" i="13" s="1"/>
  <c r="N21" i="13" s="1"/>
  <c r="O21" i="13" s="1"/>
  <c r="D354" i="13" a="1"/>
  <c r="D354" i="13" s="1"/>
  <c r="N20" i="13" s="1"/>
  <c r="O20" i="13" s="1"/>
  <c r="D334" i="13" a="1"/>
  <c r="D334" i="13" s="1"/>
  <c r="N19" i="13" s="1"/>
  <c r="O19" i="13" s="1"/>
  <c r="D316" i="13" a="1"/>
  <c r="D316" i="13" s="1"/>
  <c r="N18" i="13" s="1"/>
  <c r="O18" i="13" s="1"/>
  <c r="D293" i="13" a="1"/>
  <c r="D293" i="13" s="1"/>
  <c r="N17" i="13" s="1"/>
  <c r="O17" i="13" s="1"/>
  <c r="D273" i="13" a="1"/>
  <c r="D273" i="13" s="1"/>
  <c r="N16" i="13" s="1"/>
  <c r="O16" i="13" s="1"/>
  <c r="D253" i="13" a="1"/>
  <c r="D253" i="13" s="1"/>
  <c r="N15" i="13" s="1"/>
  <c r="O15" i="13" s="1"/>
  <c r="D234" i="13" a="1"/>
  <c r="D234" i="13" s="1"/>
  <c r="N14" i="13" s="1"/>
  <c r="O14" i="13" s="1"/>
  <c r="D212" i="13" a="1"/>
  <c r="D212" i="13" s="1"/>
  <c r="N13" i="13" s="1"/>
  <c r="O13" i="13" s="1"/>
  <c r="D191" i="13" a="1"/>
  <c r="D191" i="13" s="1"/>
  <c r="N12" i="13" s="1"/>
  <c r="O12" i="13" s="1"/>
  <c r="D169" i="13" a="1"/>
  <c r="D169" i="13" s="1"/>
  <c r="N11" i="13" s="1"/>
  <c r="O11" i="13" s="1"/>
  <c r="D148" i="13" a="1"/>
  <c r="D148" i="13" s="1"/>
  <c r="N10" i="13" s="1"/>
  <c r="O10" i="13" s="1"/>
  <c r="D126" i="13" a="1"/>
  <c r="D126" i="13" s="1"/>
  <c r="N9" i="13" s="1"/>
  <c r="O9" i="13" s="1"/>
  <c r="D104" i="13" a="1"/>
  <c r="D104" i="13" s="1"/>
  <c r="N8" i="13" s="1"/>
  <c r="O8" i="13" s="1"/>
  <c r="D85" i="13" a="1"/>
  <c r="D85" i="13" s="1"/>
  <c r="N7" i="13" s="1"/>
  <c r="O7" i="13" s="1"/>
  <c r="D65" i="13" a="1"/>
  <c r="D65" i="13" s="1"/>
  <c r="N6" i="13" s="1"/>
  <c r="O6" i="13" s="1"/>
  <c r="D42" i="13" a="1"/>
  <c r="D42" i="13" s="1"/>
  <c r="N5" i="13" s="1"/>
  <c r="O5" i="13" s="1"/>
  <c r="D22" i="13" a="1"/>
  <c r="D22" i="13" s="1"/>
  <c r="N4" i="13" s="1"/>
  <c r="O4" i="13" s="1"/>
  <c r="D2" i="13" a="1"/>
  <c r="D2" i="13" s="1"/>
  <c r="N3" i="13" s="1"/>
  <c r="D3802" i="14" a="1"/>
  <c r="D3802" i="14" s="1"/>
  <c r="N186" i="14" s="1"/>
  <c r="O186" i="14" s="1"/>
  <c r="D3781" i="14" a="1"/>
  <c r="D3781" i="14" s="1"/>
  <c r="N185" i="14" s="1"/>
  <c r="O185" i="14" s="1"/>
  <c r="D3761" i="14" a="1"/>
  <c r="D3761" i="14" s="1"/>
  <c r="N184" i="14" s="1"/>
  <c r="O184" i="14" s="1"/>
  <c r="D3739" i="14" a="1"/>
  <c r="D3739" i="14" s="1"/>
  <c r="N183" i="14" s="1"/>
  <c r="O183" i="14" s="1"/>
  <c r="D3721" i="14" a="1"/>
  <c r="D3721" i="14" s="1"/>
  <c r="N182" i="14" s="1"/>
  <c r="O182" i="14" s="1"/>
  <c r="D3700" i="14" a="1"/>
  <c r="D3700" i="14" s="1"/>
  <c r="N181" i="14" s="1"/>
  <c r="O181" i="14" s="1"/>
  <c r="D3677" i="14" a="1"/>
  <c r="D3677" i="14" s="1"/>
  <c r="N180" i="14" s="1"/>
  <c r="O180" i="14" s="1"/>
  <c r="D3656" i="14" a="1"/>
  <c r="D3656" i="14" s="1"/>
  <c r="N179" i="14" s="1"/>
  <c r="O179" i="14" s="1"/>
  <c r="D3636" i="14" a="1"/>
  <c r="D3636" i="14" s="1"/>
  <c r="N178" i="14" s="1"/>
  <c r="O178" i="14" s="1"/>
  <c r="D3613" i="14" a="1"/>
  <c r="D3613" i="14" s="1"/>
  <c r="N177" i="14" s="1"/>
  <c r="O177" i="14" s="1"/>
  <c r="D3593" i="14" a="1"/>
  <c r="D3593" i="14" s="1"/>
  <c r="N176" i="14" s="1"/>
  <c r="O176" i="14" s="1"/>
  <c r="D3573" i="14" a="1"/>
  <c r="D3573" i="14" s="1"/>
  <c r="N175" i="14" s="1"/>
  <c r="O175" i="14" s="1"/>
  <c r="D3552" i="14" a="1"/>
  <c r="D3552" i="14" s="1"/>
  <c r="N174" i="14" s="1"/>
  <c r="O174" i="14" s="1"/>
  <c r="D3532" i="14" a="1"/>
  <c r="D3532" i="14" s="1"/>
  <c r="N173" i="14" s="1"/>
  <c r="O173" i="14" s="1"/>
  <c r="D3511" i="14" a="1"/>
  <c r="D3511" i="14" s="1"/>
  <c r="N172" i="14" s="1"/>
  <c r="O172" i="14" s="1"/>
  <c r="D3489" i="14" a="1"/>
  <c r="D3489" i="14" s="1"/>
  <c r="N171" i="14" s="1"/>
  <c r="O171" i="14" s="1"/>
  <c r="D3470" i="14" a="1"/>
  <c r="D3470" i="14" s="1"/>
  <c r="N170" i="14" s="1"/>
  <c r="O170" i="14" s="1"/>
  <c r="D3448" i="14" a="1"/>
  <c r="D3448" i="14" s="1"/>
  <c r="N169" i="14" s="1"/>
  <c r="O169" i="14" s="1"/>
  <c r="D3426" i="14" a="1"/>
  <c r="D3426" i="14" s="1"/>
  <c r="N168" i="14" s="1"/>
  <c r="O168" i="14" s="1"/>
  <c r="D3405" i="14" a="1"/>
  <c r="D3405" i="14" s="1"/>
  <c r="N167" i="14" s="1"/>
  <c r="O167" i="14" s="1"/>
  <c r="D3384" i="14" a="1"/>
  <c r="D3384" i="14" s="1"/>
  <c r="N166" i="14" s="1"/>
  <c r="O166" i="14" s="1"/>
  <c r="D3363" i="14" a="1"/>
  <c r="D3363" i="14" s="1"/>
  <c r="N165" i="14" s="1"/>
  <c r="O165" i="14" s="1"/>
  <c r="D3341" i="14" a="1"/>
  <c r="D3341" i="14" s="1"/>
  <c r="N164" i="14" s="1"/>
  <c r="O164" i="14" s="1"/>
  <c r="D3321" i="14" a="1"/>
  <c r="D3321" i="14" s="1"/>
  <c r="N163" i="14" s="1"/>
  <c r="O163" i="14" s="1"/>
  <c r="D3303" i="14" a="1"/>
  <c r="D3303" i="14" s="1"/>
  <c r="N162" i="14" s="1"/>
  <c r="O162" i="14" s="1"/>
  <c r="D3280" i="14" a="1"/>
  <c r="D3280" i="14" s="1"/>
  <c r="N161" i="14" s="1"/>
  <c r="O161" i="14" s="1"/>
  <c r="D3260" i="14" a="1"/>
  <c r="D3260" i="14" s="1"/>
  <c r="N160" i="14" s="1"/>
  <c r="O160" i="14" s="1"/>
  <c r="D3239" i="14" a="1"/>
  <c r="D3239" i="14" s="1"/>
  <c r="N159" i="14" s="1"/>
  <c r="O159" i="14" s="1"/>
  <c r="D3219" i="14" a="1"/>
  <c r="D3219" i="14" s="1"/>
  <c r="N158" i="14" s="1"/>
  <c r="O158" i="14" s="1"/>
  <c r="D3197" i="14" a="1"/>
  <c r="D3197" i="14" s="1"/>
  <c r="N157" i="14" s="1"/>
  <c r="O157" i="14" s="1"/>
  <c r="D3176" i="14" a="1"/>
  <c r="D3176" i="14" s="1"/>
  <c r="N156" i="14" s="1"/>
  <c r="O156" i="14" s="1"/>
  <c r="D3155" i="14" a="1"/>
  <c r="D3155" i="14" s="1"/>
  <c r="N155" i="14" s="1"/>
  <c r="O155" i="14" s="1"/>
  <c r="D3134" i="14" a="1"/>
  <c r="D3134" i="14" s="1"/>
  <c r="N154" i="14" s="1"/>
  <c r="O154" i="14" s="1"/>
  <c r="D3113" i="14" a="1"/>
  <c r="D3113" i="14" s="1"/>
  <c r="N153" i="14" s="1"/>
  <c r="O153" i="14" s="1"/>
  <c r="D3093" i="14" a="1"/>
  <c r="D3093" i="14" s="1"/>
  <c r="N152" i="14" s="1"/>
  <c r="O152" i="14" s="1"/>
  <c r="D3072" i="14" a="1"/>
  <c r="D3072" i="14" s="1"/>
  <c r="N151" i="14" s="1"/>
  <c r="O151" i="14" s="1"/>
  <c r="D3053" i="14" a="1"/>
  <c r="D3053" i="14" s="1"/>
  <c r="N150" i="14" s="1"/>
  <c r="O150" i="14" s="1"/>
  <c r="D3030" i="14" a="1"/>
  <c r="D3030" i="14" s="1"/>
  <c r="N149" i="14" s="1"/>
  <c r="O149" i="14" s="1"/>
  <c r="D3010" i="14" a="1"/>
  <c r="D3010" i="14" s="1"/>
  <c r="N148" i="14" s="1"/>
  <c r="O148" i="14" s="1"/>
  <c r="D2990" i="14" a="1"/>
  <c r="D2990" i="14" s="1"/>
  <c r="N147" i="14" s="1"/>
  <c r="O147" i="14" s="1"/>
  <c r="D2971" i="14" a="1"/>
  <c r="D2971" i="14" s="1"/>
  <c r="N146" i="14" s="1"/>
  <c r="O146" i="14" s="1"/>
  <c r="D2949" i="14" a="1"/>
  <c r="D2949" i="14" s="1"/>
  <c r="N145" i="14" s="1"/>
  <c r="O145" i="14" s="1"/>
  <c r="D2928" i="14" a="1"/>
  <c r="D2928" i="14" s="1"/>
  <c r="N144" i="14" s="1"/>
  <c r="O144" i="14" s="1"/>
  <c r="D2906" i="14" a="1"/>
  <c r="D2906" i="14" s="1"/>
  <c r="N143" i="14" s="1"/>
  <c r="O143" i="14" s="1"/>
  <c r="D2885" i="14" a="1"/>
  <c r="D2885" i="14" s="1"/>
  <c r="N142" i="14" s="1"/>
  <c r="O142" i="14" s="1"/>
  <c r="D2863" i="14" a="1"/>
  <c r="D2863" i="14" s="1"/>
  <c r="N141" i="14" s="1"/>
  <c r="O141" i="14" s="1"/>
  <c r="D2841" i="14" a="1"/>
  <c r="D2841" i="14" s="1"/>
  <c r="N140" i="14" s="1"/>
  <c r="O140" i="14" s="1"/>
  <c r="D2823" i="14" a="1"/>
  <c r="D2823" i="14" s="1"/>
  <c r="N139" i="14" s="1"/>
  <c r="O139" i="14" s="1"/>
  <c r="D2803" i="14" a="1"/>
  <c r="D2803" i="14" s="1"/>
  <c r="N138" i="14" s="1"/>
  <c r="O138" i="14" s="1"/>
  <c r="D2780" i="14" a="1"/>
  <c r="D2780" i="14" s="1"/>
  <c r="N137" i="14" s="1"/>
  <c r="O137" i="14" s="1"/>
  <c r="D2760" i="14" a="1"/>
  <c r="D2760" i="14" s="1"/>
  <c r="N136" i="14" s="1"/>
  <c r="O136" i="14" s="1"/>
  <c r="D2740" i="14" a="1"/>
  <c r="D2740" i="14" s="1"/>
  <c r="N135" i="14" s="1"/>
  <c r="O135" i="14" s="1"/>
  <c r="D2721" i="14" a="1"/>
  <c r="D2721" i="14" s="1"/>
  <c r="N134" i="14" s="1"/>
  <c r="O134" i="14" s="1"/>
  <c r="D2700" i="14" a="1"/>
  <c r="D2700" i="14" s="1"/>
  <c r="N133" i="14" s="1"/>
  <c r="O133" i="14" s="1"/>
  <c r="D2678" i="14" a="1"/>
  <c r="D2678" i="14" s="1"/>
  <c r="N132" i="14" s="1"/>
  <c r="O132" i="14" s="1"/>
  <c r="D2656" i="14" a="1"/>
  <c r="D2656" i="14" s="1"/>
  <c r="N131" i="14" s="1"/>
  <c r="O131" i="14" s="1"/>
  <c r="D2636" i="14" a="1"/>
  <c r="D2636" i="14" s="1"/>
  <c r="N130" i="14" s="1"/>
  <c r="O130" i="14" s="1"/>
  <c r="D2613" i="14" a="1"/>
  <c r="D2613" i="14" s="1"/>
  <c r="N129" i="14" s="1"/>
  <c r="O129" i="14" s="1"/>
  <c r="D2592" i="14" a="1"/>
  <c r="D2592" i="14" s="1"/>
  <c r="N128" i="14" s="1"/>
  <c r="O128" i="14" s="1"/>
  <c r="D2574" i="14" a="1"/>
  <c r="D2574" i="14" s="1"/>
  <c r="N127" i="14" s="1"/>
  <c r="O127" i="14" s="1"/>
  <c r="D2554" i="14" a="1"/>
  <c r="D2554" i="14" s="1"/>
  <c r="N126" i="14" s="1"/>
  <c r="O126" i="14" s="1"/>
  <c r="D2532" i="14" a="1"/>
  <c r="D2532" i="14" s="1"/>
  <c r="D2512" i="14" a="1"/>
  <c r="D2512" i="14" s="1"/>
  <c r="N124" i="14" s="1"/>
  <c r="O124" i="14" s="1"/>
  <c r="D2490" i="14" a="1"/>
  <c r="D2490" i="14" s="1"/>
  <c r="N123" i="14" s="1"/>
  <c r="O123" i="14" s="1"/>
  <c r="D2472" i="14" a="1"/>
  <c r="D2472" i="14" s="1"/>
  <c r="N122" i="14" s="1"/>
  <c r="O122" i="14" s="1"/>
  <c r="D2451" i="14" a="1"/>
  <c r="D2451" i="14" s="1"/>
  <c r="N121" i="14" s="1"/>
  <c r="O121" i="14" s="1"/>
  <c r="D2429" i="14" a="1"/>
  <c r="D2429" i="14" s="1"/>
  <c r="N120" i="14" s="1"/>
  <c r="O120" i="14" s="1"/>
  <c r="D2408" i="14" a="1"/>
  <c r="D2408" i="14" s="1"/>
  <c r="N119" i="14" s="1"/>
  <c r="O119" i="14" s="1"/>
  <c r="D2388" i="14" a="1"/>
  <c r="D2388" i="14" s="1"/>
  <c r="N118" i="14" s="1"/>
  <c r="O118" i="14" s="1"/>
  <c r="D2365" i="14" a="1"/>
  <c r="D2365" i="14" s="1"/>
  <c r="N117" i="14" s="1"/>
  <c r="O117" i="14" s="1"/>
  <c r="D2346" i="14" a="1"/>
  <c r="D2346" i="14" s="1"/>
  <c r="N116" i="14" s="1"/>
  <c r="O116" i="14" s="1"/>
  <c r="D2326" i="14" a="1"/>
  <c r="D2326" i="14" s="1"/>
  <c r="N115" i="14" s="1"/>
  <c r="O115" i="14" s="1"/>
  <c r="D2306" i="14" a="1"/>
  <c r="D2306" i="14" s="1"/>
  <c r="N114" i="14" s="1"/>
  <c r="O114" i="14" s="1"/>
  <c r="D2285" i="14" a="1"/>
  <c r="D2285" i="14" s="1"/>
  <c r="N113" i="14" s="1"/>
  <c r="O113" i="14" s="1"/>
  <c r="D2265" i="14" a="1"/>
  <c r="D2265" i="14" s="1"/>
  <c r="N112" i="14" s="1"/>
  <c r="O112" i="14" s="1"/>
  <c r="D2243" i="14" a="1"/>
  <c r="D2243" i="14" s="1"/>
  <c r="N111" i="14" s="1"/>
  <c r="O111" i="14" s="1"/>
  <c r="D2226" i="14" a="1"/>
  <c r="D2226" i="14" s="1"/>
  <c r="N110" i="14" s="1"/>
  <c r="O110" i="14" s="1"/>
  <c r="D2204" i="14" a="1"/>
  <c r="D2204" i="14" s="1"/>
  <c r="N109" i="14" s="1"/>
  <c r="O109" i="14" s="1"/>
  <c r="D2182" i="14" a="1"/>
  <c r="D2182" i="14" s="1"/>
  <c r="N108" i="14" s="1"/>
  <c r="O108" i="14" s="1"/>
  <c r="D2162" i="14" a="1"/>
  <c r="D2162" i="14" s="1"/>
  <c r="N107" i="14" s="1"/>
  <c r="O107" i="14" s="1"/>
  <c r="D2141" i="14" a="1"/>
  <c r="D2141" i="14" s="1"/>
  <c r="N106" i="14" s="1"/>
  <c r="O106" i="14" s="1"/>
  <c r="D2119" i="14" a="1"/>
  <c r="D2119" i="14" s="1"/>
  <c r="N105" i="14" s="1"/>
  <c r="O105" i="14" s="1"/>
  <c r="D2098" i="14" a="1"/>
  <c r="D2098" i="14" s="1"/>
  <c r="N104" i="14" s="1"/>
  <c r="O104" i="14" s="1"/>
  <c r="D2079" i="14" a="1"/>
  <c r="D2079" i="14" s="1"/>
  <c r="N103" i="14" s="1"/>
  <c r="O103" i="14" s="1"/>
  <c r="D2059" i="14" a="1"/>
  <c r="D2059" i="14" s="1"/>
  <c r="N102" i="14" s="1"/>
  <c r="O102" i="14" s="1"/>
  <c r="D2038" i="14" a="1"/>
  <c r="D2038" i="14" s="1"/>
  <c r="N101" i="14" s="1"/>
  <c r="O101" i="14" s="1"/>
  <c r="D2018" i="14" a="1"/>
  <c r="D2018" i="14" s="1"/>
  <c r="N100" i="14" s="1"/>
  <c r="O100" i="14" s="1"/>
  <c r="D1996" i="14" a="1"/>
  <c r="D1996" i="14" s="1"/>
  <c r="N99" i="14" s="1"/>
  <c r="O99" i="14" s="1"/>
  <c r="D1977" i="14" a="1"/>
  <c r="D1977" i="14" s="1"/>
  <c r="N98" i="14" s="1"/>
  <c r="O98" i="14" s="1"/>
  <c r="D1955" i="14" a="1"/>
  <c r="D1955" i="14" s="1"/>
  <c r="N97" i="14" s="1"/>
  <c r="O97" i="14" s="1"/>
  <c r="D1935" i="14" a="1"/>
  <c r="D1935" i="14" s="1"/>
  <c r="N96" i="14" s="1"/>
  <c r="O96" i="14" s="1"/>
  <c r="D1914" i="14" a="1"/>
  <c r="D1914" i="14" s="1"/>
  <c r="N95" i="14" s="1"/>
  <c r="O95" i="14" s="1"/>
  <c r="D1893" i="14" a="1"/>
  <c r="D1893" i="14" s="1"/>
  <c r="N94" i="14" s="1"/>
  <c r="O94" i="14" s="1"/>
  <c r="D1872" i="14" a="1"/>
  <c r="D1872" i="14" s="1"/>
  <c r="N93" i="14" s="1"/>
  <c r="O93" i="14" s="1"/>
  <c r="D1851" i="14" a="1"/>
  <c r="D1851" i="14" s="1"/>
  <c r="N92" i="14" s="1"/>
  <c r="O92" i="14" s="1"/>
  <c r="D1830" i="14" a="1"/>
  <c r="D1830" i="14" s="1"/>
  <c r="N91" i="14" s="1"/>
  <c r="O91" i="14" s="1"/>
  <c r="D1812" i="14" a="1"/>
  <c r="D1812" i="14" s="1"/>
  <c r="N90" i="14" s="1"/>
  <c r="O90" i="14" s="1"/>
  <c r="D1789" i="14" a="1"/>
  <c r="D1789" i="14" s="1"/>
  <c r="N89" i="14" s="1"/>
  <c r="O89" i="14" s="1"/>
  <c r="D1769" i="14" a="1"/>
  <c r="D1769" i="14" s="1"/>
  <c r="N88" i="14" s="1"/>
  <c r="O88" i="14" s="1"/>
  <c r="D1748" i="14" a="1"/>
  <c r="D1748" i="14" s="1"/>
  <c r="N87" i="14" s="1"/>
  <c r="O87" i="14" s="1"/>
  <c r="D1728" i="14" a="1"/>
  <c r="D1728" i="14" s="1"/>
  <c r="N86" i="14" s="1"/>
  <c r="O86" i="14" s="1"/>
  <c r="D1706" i="14" a="1"/>
  <c r="D1706" i="14" s="1"/>
  <c r="N85" i="14" s="1"/>
  <c r="O85" i="14" s="1"/>
  <c r="D1686" i="14" a="1"/>
  <c r="D1686" i="14" s="1"/>
  <c r="N84" i="14" s="1"/>
  <c r="O84" i="14" s="1"/>
  <c r="D1664" i="14" a="1"/>
  <c r="D1664" i="14" s="1"/>
  <c r="N83" i="14" s="1"/>
  <c r="O83" i="14" s="1"/>
  <c r="D1643" i="14" a="1"/>
  <c r="D1643" i="14" s="1"/>
  <c r="N82" i="14" s="1"/>
  <c r="O82" i="14" s="1"/>
  <c r="D1622" i="14" a="1"/>
  <c r="D1622" i="14" s="1"/>
  <c r="N81" i="14" s="1"/>
  <c r="O81" i="14" s="1"/>
  <c r="D1600" i="14" a="1"/>
  <c r="D1600" i="14" s="1"/>
  <c r="N80" i="14" s="1"/>
  <c r="O80" i="14" s="1"/>
  <c r="D1581" i="14" a="1"/>
  <c r="D1581" i="14" s="1"/>
  <c r="N79" i="14" s="1"/>
  <c r="O79" i="14" s="1"/>
  <c r="D1560" i="14" a="1"/>
  <c r="D1560" i="14" s="1"/>
  <c r="N78" i="14" s="1"/>
  <c r="O78" i="14" s="1"/>
  <c r="D1539" i="14" a="1"/>
  <c r="D1539" i="14" s="1"/>
  <c r="N77" i="14" s="1"/>
  <c r="O77" i="14" s="1"/>
  <c r="D1518" i="14" a="1"/>
  <c r="D1518" i="14" s="1"/>
  <c r="N76" i="14" s="1"/>
  <c r="O76" i="14" s="1"/>
  <c r="D1498" i="14" a="1"/>
  <c r="D1498" i="14" s="1"/>
  <c r="N75" i="14" s="1"/>
  <c r="O75" i="14" s="1"/>
  <c r="D1479" i="14" a="1"/>
  <c r="D1479" i="14" s="1"/>
  <c r="N74" i="14" s="1"/>
  <c r="O74" i="14" s="1"/>
  <c r="D1458" i="14" a="1"/>
  <c r="D1458" i="14" s="1"/>
  <c r="N73" i="14" s="1"/>
  <c r="O73" i="14" s="1"/>
  <c r="D1436" i="14" a="1"/>
  <c r="D1436" i="14" s="1"/>
  <c r="N72" i="14" s="1"/>
  <c r="O72" i="14" s="1"/>
  <c r="D1414" i="14" a="1"/>
  <c r="D1414" i="14" s="1"/>
  <c r="N71" i="14" s="1"/>
  <c r="O71" i="14" s="1"/>
  <c r="D1394" i="14" a="1"/>
  <c r="D1394" i="14" s="1"/>
  <c r="N70" i="14" s="1"/>
  <c r="O70" i="14" s="1"/>
  <c r="D1371" i="14" a="1"/>
  <c r="D1371" i="14" s="1"/>
  <c r="N69" i="14" s="1"/>
  <c r="O69" i="14" s="1"/>
  <c r="D1349" i="14" a="1"/>
  <c r="D1349" i="14" s="1"/>
  <c r="N68" i="14" s="1"/>
  <c r="O68" i="14" s="1"/>
  <c r="D1331" i="14" a="1"/>
  <c r="D1331" i="14" s="1"/>
  <c r="N67" i="14" s="1"/>
  <c r="O67" i="14" s="1"/>
  <c r="D1311" i="14" a="1"/>
  <c r="D1311" i="14" s="1"/>
  <c r="N66" i="14" s="1"/>
  <c r="O66" i="14" s="1"/>
  <c r="D1289" i="14" a="1"/>
  <c r="D1289" i="14" s="1"/>
  <c r="N65" i="14" s="1"/>
  <c r="O65" i="14" s="1"/>
  <c r="D1269" i="14" a="1"/>
  <c r="D1269" i="14" s="1"/>
  <c r="N64" i="14" s="1"/>
  <c r="O64" i="14" s="1"/>
  <c r="D1248" i="14" a="1"/>
  <c r="D1248" i="14" s="1"/>
  <c r="N63" i="14" s="1"/>
  <c r="O63" i="14" s="1"/>
  <c r="D1229" i="14" a="1"/>
  <c r="D1229" i="14" s="1"/>
  <c r="N62" i="14" s="1"/>
  <c r="O62" i="14" s="1"/>
  <c r="D1209" i="14" a="1"/>
  <c r="D1209" i="14" s="1"/>
  <c r="N61" i="14" s="1"/>
  <c r="O61" i="14" s="1"/>
  <c r="D1187" i="14" a="1"/>
  <c r="D1187" i="14" s="1"/>
  <c r="N60" i="14" s="1"/>
  <c r="O60" i="14" s="1"/>
  <c r="D1165" i="14" a="1"/>
  <c r="D1165" i="14" s="1"/>
  <c r="N59" i="14" s="1"/>
  <c r="O59" i="14" s="1"/>
  <c r="D1146" i="14" a="1"/>
  <c r="D1146" i="14" s="1"/>
  <c r="N58" i="14" s="1"/>
  <c r="O58" i="14" s="1"/>
  <c r="D1123" i="14" a="1"/>
  <c r="D1123" i="14" s="1"/>
  <c r="N57" i="14" s="1"/>
  <c r="O57" i="14" s="1"/>
  <c r="D1102" i="14" a="1"/>
  <c r="D1102" i="14" s="1"/>
  <c r="N56" i="14" s="1"/>
  <c r="O56" i="14" s="1"/>
  <c r="D1083" i="14" a="1"/>
  <c r="D1083" i="14" s="1"/>
  <c r="N55" i="14" s="1"/>
  <c r="O55" i="14" s="1"/>
  <c r="D1063" i="14" a="1"/>
  <c r="D1063" i="14" s="1"/>
  <c r="N54" i="14" s="1"/>
  <c r="O54" i="14" s="1"/>
  <c r="D1042" i="14" a="1"/>
  <c r="D1042" i="14" s="1"/>
  <c r="N53" i="14" s="1"/>
  <c r="O53" i="14" s="1"/>
  <c r="D1022" i="14" a="1"/>
  <c r="D1022" i="14" s="1"/>
  <c r="N52" i="14" s="1"/>
  <c r="O52" i="14" s="1"/>
  <c r="D1000" i="14" a="1"/>
  <c r="D1000" i="14" s="1"/>
  <c r="N51" i="14" s="1"/>
  <c r="O51" i="14" s="1"/>
  <c r="D982" i="14" a="1"/>
  <c r="D982" i="14" s="1"/>
  <c r="N50" i="14" s="1"/>
  <c r="O50" i="14" s="1"/>
  <c r="D961" i="14" a="1"/>
  <c r="D961" i="14" s="1"/>
  <c r="N49" i="14" s="1"/>
  <c r="O49" i="14" s="1"/>
  <c r="D938" i="14" a="1"/>
  <c r="D938" i="14" s="1"/>
  <c r="N48" i="14" s="1"/>
  <c r="O48" i="14" s="1"/>
  <c r="D917" i="14" a="1"/>
  <c r="D917" i="14" s="1"/>
  <c r="N47" i="14" s="1"/>
  <c r="O47" i="14" s="1"/>
  <c r="D897" i="14" a="1"/>
  <c r="D897" i="14" s="1"/>
  <c r="N46" i="14" s="1"/>
  <c r="O46" i="14" s="1"/>
  <c r="D874" i="14" a="1"/>
  <c r="D874" i="14" s="1"/>
  <c r="N45" i="14" s="1"/>
  <c r="O45" i="14" s="1"/>
  <c r="D854" i="14" a="1"/>
  <c r="D854" i="14" s="1"/>
  <c r="N44" i="14" s="1"/>
  <c r="O44" i="14" s="1"/>
  <c r="D834" i="14" a="1"/>
  <c r="D834" i="14" s="1"/>
  <c r="N43" i="14" s="1"/>
  <c r="O43" i="14" s="1"/>
  <c r="D813" i="14" a="1"/>
  <c r="D813" i="14" s="1"/>
  <c r="N42" i="14" s="1"/>
  <c r="O42" i="14" s="1"/>
  <c r="D793" i="14" a="1"/>
  <c r="D793" i="14" s="1"/>
  <c r="N41" i="14" s="1"/>
  <c r="O41" i="14" s="1"/>
  <c r="D773" i="14" a="1"/>
  <c r="D773" i="14" s="1"/>
  <c r="N40" i="14" s="1"/>
  <c r="O40" i="14" s="1"/>
  <c r="D751" i="14" a="1"/>
  <c r="D751" i="14" s="1"/>
  <c r="N39" i="14" s="1"/>
  <c r="O39" i="14" s="1"/>
  <c r="D734" i="14" a="1"/>
  <c r="D734" i="14" s="1"/>
  <c r="N38" i="14" s="1"/>
  <c r="O38" i="14" s="1"/>
  <c r="D712" i="14" a="1"/>
  <c r="D712" i="14" s="1"/>
  <c r="N37" i="14" s="1"/>
  <c r="O37" i="14" s="1"/>
  <c r="D689" i="14" a="1"/>
  <c r="D689" i="14" s="1"/>
  <c r="N36" i="14" s="1"/>
  <c r="O36" i="14" s="1"/>
  <c r="D669" i="14" a="1"/>
  <c r="D669" i="14" s="1"/>
  <c r="N35" i="14" s="1"/>
  <c r="O35" i="14" s="1"/>
  <c r="D648" i="14" a="1"/>
  <c r="D648" i="14" s="1"/>
  <c r="N34" i="14" s="1"/>
  <c r="O34" i="14" s="1"/>
  <c r="D626" i="14" a="1"/>
  <c r="D626" i="14" s="1"/>
  <c r="N33" i="14" s="1"/>
  <c r="O33" i="14" s="1"/>
  <c r="D607" i="14" a="1"/>
  <c r="D607" i="14" s="1"/>
  <c r="N32" i="14" s="1"/>
  <c r="O32" i="14" s="1"/>
  <c r="D586" i="14" a="1"/>
  <c r="D586" i="14" s="1"/>
  <c r="N31" i="14" s="1"/>
  <c r="O31" i="14" s="1"/>
  <c r="D567" i="14" a="1"/>
  <c r="D567" i="14" s="1"/>
  <c r="N30" i="14" s="1"/>
  <c r="O30" i="14" s="1"/>
  <c r="D545" i="14" a="1"/>
  <c r="D545" i="14" s="1"/>
  <c r="N29" i="14" s="1"/>
  <c r="O29" i="14" s="1"/>
  <c r="D524" i="14" a="1"/>
  <c r="D524" i="14" s="1"/>
  <c r="N28" i="14" s="1"/>
  <c r="O28" i="14" s="1"/>
  <c r="D503" i="14" a="1"/>
  <c r="D503" i="14" s="1"/>
  <c r="N27" i="14" s="1"/>
  <c r="O27" i="14" s="1"/>
  <c r="D483" i="14" a="1"/>
  <c r="D483" i="14" s="1"/>
  <c r="N26" i="14" s="1"/>
  <c r="O26" i="14" s="1"/>
  <c r="D461" i="14" a="1"/>
  <c r="D461" i="14" s="1"/>
  <c r="N25" i="14" s="1"/>
  <c r="O25" i="14" s="1"/>
  <c r="D440" i="14" a="1"/>
  <c r="D440" i="14" s="1"/>
  <c r="N24" i="14" s="1"/>
  <c r="O24" i="14" s="1"/>
  <c r="D418" i="14" a="1"/>
  <c r="D418" i="14" s="1"/>
  <c r="N23" i="14" s="1"/>
  <c r="O23" i="14" s="1"/>
  <c r="D397" i="14" a="1"/>
  <c r="D397" i="14" s="1"/>
  <c r="N22" i="14" s="1"/>
  <c r="O22" i="14" s="1"/>
  <c r="D376" i="14" a="1"/>
  <c r="D376" i="14" s="1"/>
  <c r="N21" i="14" s="1"/>
  <c r="O21" i="14" s="1"/>
  <c r="D354" i="14" a="1"/>
  <c r="D354" i="14" s="1"/>
  <c r="N20" i="14" s="1"/>
  <c r="O20" i="14" s="1"/>
  <c r="D334" i="14" a="1"/>
  <c r="D334" i="14" s="1"/>
  <c r="N19" i="14" s="1"/>
  <c r="O19" i="14" s="1"/>
  <c r="D316" i="14" a="1"/>
  <c r="D316" i="14" s="1"/>
  <c r="N18" i="14" s="1"/>
  <c r="O18" i="14" s="1"/>
  <c r="D293" i="14" a="1"/>
  <c r="D293" i="14" s="1"/>
  <c r="N17" i="14" s="1"/>
  <c r="O17" i="14" s="1"/>
  <c r="D273" i="14" a="1"/>
  <c r="D273" i="14" s="1"/>
  <c r="N16" i="14" s="1"/>
  <c r="O16" i="14" s="1"/>
  <c r="D253" i="14" a="1"/>
  <c r="D253" i="14" s="1"/>
  <c r="N15" i="14" s="1"/>
  <c r="O15" i="14" s="1"/>
  <c r="D234" i="14" a="1"/>
  <c r="D234" i="14" s="1"/>
  <c r="N14" i="14" s="1"/>
  <c r="O14" i="14" s="1"/>
  <c r="D212" i="14" a="1"/>
  <c r="D212" i="14" s="1"/>
  <c r="N13" i="14" s="1"/>
  <c r="O13" i="14" s="1"/>
  <c r="D191" i="14" a="1"/>
  <c r="D191" i="14" s="1"/>
  <c r="N12" i="14" s="1"/>
  <c r="O12" i="14" s="1"/>
  <c r="D169" i="14" a="1"/>
  <c r="D169" i="14" s="1"/>
  <c r="N11" i="14" s="1"/>
  <c r="O11" i="14" s="1"/>
  <c r="D148" i="14" a="1"/>
  <c r="D148" i="14" s="1"/>
  <c r="N10" i="14" s="1"/>
  <c r="O10" i="14" s="1"/>
  <c r="D126" i="14" a="1"/>
  <c r="D126" i="14" s="1"/>
  <c r="N9" i="14" s="1"/>
  <c r="O9" i="14" s="1"/>
  <c r="D104" i="14" a="1"/>
  <c r="D104" i="14" s="1"/>
  <c r="N8" i="14" s="1"/>
  <c r="O8" i="14" s="1"/>
  <c r="D85" i="14" a="1"/>
  <c r="D85" i="14" s="1"/>
  <c r="N7" i="14" s="1"/>
  <c r="O7" i="14" s="1"/>
  <c r="D65" i="14" a="1"/>
  <c r="D65" i="14" s="1"/>
  <c r="N6" i="14" s="1"/>
  <c r="O6" i="14" s="1"/>
  <c r="D42" i="14" a="1"/>
  <c r="D42" i="14" s="1"/>
  <c r="N5" i="14" s="1"/>
  <c r="O5" i="14" s="1"/>
  <c r="D22" i="14" a="1"/>
  <c r="D22" i="14" s="1"/>
  <c r="N4" i="14" s="1"/>
  <c r="O4" i="14" s="1"/>
  <c r="D2" i="14" a="1"/>
  <c r="D2" i="14" s="1"/>
  <c r="N3" i="14" s="1"/>
  <c r="O3" i="14" s="1"/>
  <c r="D3802" i="15" a="1"/>
  <c r="D3802" i="15" s="1"/>
  <c r="N186" i="15" s="1"/>
  <c r="O186" i="15" s="1"/>
  <c r="D3781" i="15" a="1"/>
  <c r="D3781" i="15" s="1"/>
  <c r="N185" i="15" s="1"/>
  <c r="O185" i="15" s="1"/>
  <c r="D3761" i="15" a="1"/>
  <c r="D3761" i="15" s="1"/>
  <c r="N184" i="15" s="1"/>
  <c r="O184" i="15" s="1"/>
  <c r="D3739" i="15" a="1"/>
  <c r="D3739" i="15" s="1"/>
  <c r="N183" i="15" s="1"/>
  <c r="O183" i="15" s="1"/>
  <c r="D3721" i="15" a="1"/>
  <c r="D3721" i="15" s="1"/>
  <c r="N182" i="15" s="1"/>
  <c r="O182" i="15" s="1"/>
  <c r="D3700" i="15" a="1"/>
  <c r="D3700" i="15" s="1"/>
  <c r="N181" i="15" s="1"/>
  <c r="O181" i="15" s="1"/>
  <c r="D3677" i="15" a="1"/>
  <c r="D3677" i="15" s="1"/>
  <c r="N180" i="15" s="1"/>
  <c r="O180" i="15" s="1"/>
  <c r="D3656" i="15" a="1"/>
  <c r="D3656" i="15" s="1"/>
  <c r="N179" i="15" s="1"/>
  <c r="O179" i="15" s="1"/>
  <c r="D3636" i="15" a="1"/>
  <c r="D3636" i="15" s="1"/>
  <c r="N178" i="15" s="1"/>
  <c r="O178" i="15" s="1"/>
  <c r="D3613" i="15" a="1"/>
  <c r="D3613" i="15" s="1"/>
  <c r="N177" i="15" s="1"/>
  <c r="O177" i="15" s="1"/>
  <c r="D3593" i="15" a="1"/>
  <c r="D3593" i="15" s="1"/>
  <c r="N176" i="15" s="1"/>
  <c r="O176" i="15" s="1"/>
  <c r="D3573" i="15" a="1"/>
  <c r="D3573" i="15" s="1"/>
  <c r="N175" i="15" s="1"/>
  <c r="O175" i="15" s="1"/>
  <c r="D3552" i="15" a="1"/>
  <c r="D3552" i="15" s="1"/>
  <c r="N174" i="15" s="1"/>
  <c r="O174" i="15" s="1"/>
  <c r="D3532" i="15" a="1"/>
  <c r="D3532" i="15" s="1"/>
  <c r="N173" i="15" s="1"/>
  <c r="O173" i="15" s="1"/>
  <c r="D3511" i="15" a="1"/>
  <c r="D3511" i="15" s="1"/>
  <c r="N172" i="15" s="1"/>
  <c r="O172" i="15" s="1"/>
  <c r="D3489" i="15" a="1"/>
  <c r="D3489" i="15" s="1"/>
  <c r="N171" i="15" s="1"/>
  <c r="O171" i="15" s="1"/>
  <c r="D3470" i="15" a="1"/>
  <c r="D3470" i="15" s="1"/>
  <c r="N170" i="15" s="1"/>
  <c r="O170" i="15" s="1"/>
  <c r="D3448" i="15" a="1"/>
  <c r="D3448" i="15" s="1"/>
  <c r="N169" i="15" s="1"/>
  <c r="O169" i="15" s="1"/>
  <c r="D3426" i="15" a="1"/>
  <c r="D3426" i="15" s="1"/>
  <c r="N168" i="15" s="1"/>
  <c r="O168" i="15" s="1"/>
  <c r="D3405" i="15" a="1"/>
  <c r="D3405" i="15" s="1"/>
  <c r="N167" i="15" s="1"/>
  <c r="O167" i="15" s="1"/>
  <c r="D3384" i="15" a="1"/>
  <c r="D3384" i="15" s="1"/>
  <c r="N166" i="15" s="1"/>
  <c r="O166" i="15" s="1"/>
  <c r="D3363" i="15" a="1"/>
  <c r="D3363" i="15" s="1"/>
  <c r="N165" i="15" s="1"/>
  <c r="O165" i="15" s="1"/>
  <c r="D3341" i="15" a="1"/>
  <c r="D3341" i="15" s="1"/>
  <c r="N164" i="15" s="1"/>
  <c r="O164" i="15" s="1"/>
  <c r="D3321" i="15" a="1"/>
  <c r="D3321" i="15" s="1"/>
  <c r="N163" i="15" s="1"/>
  <c r="O163" i="15" s="1"/>
  <c r="D3303" i="15" a="1"/>
  <c r="D3303" i="15" s="1"/>
  <c r="N162" i="15" s="1"/>
  <c r="O162" i="15" s="1"/>
  <c r="D3280" i="15" a="1"/>
  <c r="D3280" i="15" s="1"/>
  <c r="N161" i="15" s="1"/>
  <c r="O161" i="15" s="1"/>
  <c r="D3260" i="15" a="1"/>
  <c r="D3260" i="15" s="1"/>
  <c r="N160" i="15" s="1"/>
  <c r="O160" i="15" s="1"/>
  <c r="D3239" i="15" a="1"/>
  <c r="D3239" i="15" s="1"/>
  <c r="N159" i="15" s="1"/>
  <c r="O159" i="15" s="1"/>
  <c r="D3219" i="15" a="1"/>
  <c r="D3219" i="15" s="1"/>
  <c r="N158" i="15" s="1"/>
  <c r="O158" i="15" s="1"/>
  <c r="D3197" i="15" a="1"/>
  <c r="D3197" i="15" s="1"/>
  <c r="N157" i="15" s="1"/>
  <c r="O157" i="15" s="1"/>
  <c r="D3176" i="15" a="1"/>
  <c r="D3176" i="15" s="1"/>
  <c r="N156" i="15" s="1"/>
  <c r="O156" i="15" s="1"/>
  <c r="D3155" i="15" a="1"/>
  <c r="D3155" i="15" s="1"/>
  <c r="N155" i="15" s="1"/>
  <c r="O155" i="15" s="1"/>
  <c r="D3134" i="15" a="1"/>
  <c r="D3134" i="15" s="1"/>
  <c r="N154" i="15" s="1"/>
  <c r="O154" i="15" s="1"/>
  <c r="D3113" i="15" a="1"/>
  <c r="D3113" i="15" s="1"/>
  <c r="N153" i="15" s="1"/>
  <c r="O153" i="15" s="1"/>
  <c r="D3093" i="15" a="1"/>
  <c r="D3093" i="15" s="1"/>
  <c r="N152" i="15" s="1"/>
  <c r="O152" i="15" s="1"/>
  <c r="D3072" i="15" a="1"/>
  <c r="D3072" i="15" s="1"/>
  <c r="N151" i="15" s="1"/>
  <c r="O151" i="15" s="1"/>
  <c r="D3053" i="15" a="1"/>
  <c r="D3053" i="15" s="1"/>
  <c r="N150" i="15" s="1"/>
  <c r="O150" i="15" s="1"/>
  <c r="D3030" i="15" a="1"/>
  <c r="D3030" i="15" s="1"/>
  <c r="N149" i="15" s="1"/>
  <c r="O149" i="15" s="1"/>
  <c r="D3010" i="15" a="1"/>
  <c r="D3010" i="15" s="1"/>
  <c r="N148" i="15" s="1"/>
  <c r="O148" i="15" s="1"/>
  <c r="D2990" i="15" a="1"/>
  <c r="D2990" i="15" s="1"/>
  <c r="N147" i="15" s="1"/>
  <c r="O147" i="15" s="1"/>
  <c r="D2971" i="15" a="1"/>
  <c r="D2971" i="15" s="1"/>
  <c r="N146" i="15" s="1"/>
  <c r="O146" i="15" s="1"/>
  <c r="D2949" i="15" a="1"/>
  <c r="D2949" i="15" s="1"/>
  <c r="N145" i="15" s="1"/>
  <c r="O145" i="15" s="1"/>
  <c r="D2928" i="15" a="1"/>
  <c r="D2928" i="15" s="1"/>
  <c r="N144" i="15" s="1"/>
  <c r="O144" i="15" s="1"/>
  <c r="D2906" i="15" a="1"/>
  <c r="D2906" i="15" s="1"/>
  <c r="N143" i="15" s="1"/>
  <c r="O143" i="15" s="1"/>
  <c r="D2885" i="15" a="1"/>
  <c r="D2885" i="15" s="1"/>
  <c r="N142" i="15" s="1"/>
  <c r="O142" i="15" s="1"/>
  <c r="D2863" i="15" a="1"/>
  <c r="D2863" i="15" s="1"/>
  <c r="N141" i="15" s="1"/>
  <c r="O141" i="15" s="1"/>
  <c r="D2841" i="15" a="1"/>
  <c r="D2841" i="15" s="1"/>
  <c r="N140" i="15" s="1"/>
  <c r="O140" i="15" s="1"/>
  <c r="D2823" i="15" a="1"/>
  <c r="D2823" i="15" s="1"/>
  <c r="N139" i="15" s="1"/>
  <c r="O139" i="15" s="1"/>
  <c r="D2803" i="15" a="1"/>
  <c r="D2803" i="15" s="1"/>
  <c r="N138" i="15" s="1"/>
  <c r="O138" i="15" s="1"/>
  <c r="D2780" i="15" a="1"/>
  <c r="D2780" i="15" s="1"/>
  <c r="N137" i="15" s="1"/>
  <c r="O137" i="15" s="1"/>
  <c r="D2760" i="15" a="1"/>
  <c r="D2760" i="15" s="1"/>
  <c r="N136" i="15" s="1"/>
  <c r="O136" i="15" s="1"/>
  <c r="D2740" i="15" a="1"/>
  <c r="D2740" i="15" s="1"/>
  <c r="N135" i="15" s="1"/>
  <c r="O135" i="15" s="1"/>
  <c r="D2721" i="15" a="1"/>
  <c r="D2721" i="15" s="1"/>
  <c r="N134" i="15" s="1"/>
  <c r="O134" i="15" s="1"/>
  <c r="D2700" i="15" a="1"/>
  <c r="D2700" i="15" s="1"/>
  <c r="N133" i="15" s="1"/>
  <c r="O133" i="15" s="1"/>
  <c r="D2678" i="15" a="1"/>
  <c r="D2678" i="15" s="1"/>
  <c r="N132" i="15" s="1"/>
  <c r="O132" i="15" s="1"/>
  <c r="D2656" i="15" a="1"/>
  <c r="D2656" i="15" s="1"/>
  <c r="N131" i="15" s="1"/>
  <c r="O131" i="15" s="1"/>
  <c r="D2636" i="15" a="1"/>
  <c r="D2636" i="15" s="1"/>
  <c r="N130" i="15" s="1"/>
  <c r="O130" i="15" s="1"/>
  <c r="D2613" i="15" a="1"/>
  <c r="D2613" i="15" s="1"/>
  <c r="N129" i="15" s="1"/>
  <c r="O129" i="15" s="1"/>
  <c r="D2592" i="15" a="1"/>
  <c r="D2592" i="15" s="1"/>
  <c r="N128" i="15" s="1"/>
  <c r="O128" i="15" s="1"/>
  <c r="D2574" i="15" a="1"/>
  <c r="D2574" i="15" s="1"/>
  <c r="N127" i="15" s="1"/>
  <c r="O127" i="15" s="1"/>
  <c r="D2554" i="15" a="1"/>
  <c r="D2554" i="15" s="1"/>
  <c r="N126" i="15" s="1"/>
  <c r="O126" i="15" s="1"/>
  <c r="D2532" i="15" a="1"/>
  <c r="D2532" i="15" s="1"/>
  <c r="D2512" i="15" a="1"/>
  <c r="D2512" i="15" s="1"/>
  <c r="N124" i="15" s="1"/>
  <c r="O124" i="15" s="1"/>
  <c r="D2490" i="15" a="1"/>
  <c r="D2490" i="15" s="1"/>
  <c r="N123" i="15" s="1"/>
  <c r="O123" i="15" s="1"/>
  <c r="D2472" i="15" a="1"/>
  <c r="D2472" i="15" s="1"/>
  <c r="N122" i="15" s="1"/>
  <c r="O122" i="15" s="1"/>
  <c r="D2451" i="15" a="1"/>
  <c r="D2451" i="15" s="1"/>
  <c r="N121" i="15" s="1"/>
  <c r="O121" i="15" s="1"/>
  <c r="D2429" i="15" a="1"/>
  <c r="D2429" i="15" s="1"/>
  <c r="N120" i="15" s="1"/>
  <c r="O120" i="15" s="1"/>
  <c r="D2408" i="15" a="1"/>
  <c r="D2408" i="15" s="1"/>
  <c r="N119" i="15" s="1"/>
  <c r="O119" i="15" s="1"/>
  <c r="D2388" i="15" a="1"/>
  <c r="D2388" i="15" s="1"/>
  <c r="N118" i="15" s="1"/>
  <c r="O118" i="15" s="1"/>
  <c r="D2365" i="15" a="1"/>
  <c r="D2365" i="15" s="1"/>
  <c r="N117" i="15" s="1"/>
  <c r="O117" i="15" s="1"/>
  <c r="D2346" i="15" a="1"/>
  <c r="D2346" i="15" s="1"/>
  <c r="N116" i="15" s="1"/>
  <c r="O116" i="15" s="1"/>
  <c r="D2326" i="15" a="1"/>
  <c r="D2326" i="15" s="1"/>
  <c r="N115" i="15" s="1"/>
  <c r="O115" i="15" s="1"/>
  <c r="D2306" i="15" a="1"/>
  <c r="D2306" i="15" s="1"/>
  <c r="N114" i="15" s="1"/>
  <c r="O114" i="15" s="1"/>
  <c r="D2285" i="15" a="1"/>
  <c r="D2285" i="15" s="1"/>
  <c r="N113" i="15" s="1"/>
  <c r="O113" i="15" s="1"/>
  <c r="D2265" i="15" a="1"/>
  <c r="D2265" i="15" s="1"/>
  <c r="N112" i="15" s="1"/>
  <c r="O112" i="15" s="1"/>
  <c r="D2243" i="15" a="1"/>
  <c r="D2243" i="15" s="1"/>
  <c r="N111" i="15" s="1"/>
  <c r="O111" i="15" s="1"/>
  <c r="D2226" i="15" a="1"/>
  <c r="D2226" i="15" s="1"/>
  <c r="N110" i="15" s="1"/>
  <c r="O110" i="15" s="1"/>
  <c r="D2204" i="15" a="1"/>
  <c r="D2204" i="15" s="1"/>
  <c r="N109" i="15" s="1"/>
  <c r="O109" i="15" s="1"/>
  <c r="D2182" i="15" a="1"/>
  <c r="D2182" i="15" s="1"/>
  <c r="N108" i="15" s="1"/>
  <c r="O108" i="15" s="1"/>
  <c r="D2162" i="15" a="1"/>
  <c r="D2162" i="15" s="1"/>
  <c r="N107" i="15" s="1"/>
  <c r="O107" i="15" s="1"/>
  <c r="D2141" i="15" a="1"/>
  <c r="D2141" i="15" s="1"/>
  <c r="N106" i="15" s="1"/>
  <c r="O106" i="15" s="1"/>
  <c r="D2119" i="15" a="1"/>
  <c r="D2119" i="15" s="1"/>
  <c r="N105" i="15" s="1"/>
  <c r="O105" i="15" s="1"/>
  <c r="D2098" i="15" a="1"/>
  <c r="D2098" i="15" s="1"/>
  <c r="N104" i="15" s="1"/>
  <c r="O104" i="15" s="1"/>
  <c r="D2079" i="15" a="1"/>
  <c r="D2079" i="15" s="1"/>
  <c r="N103" i="15" s="1"/>
  <c r="O103" i="15" s="1"/>
  <c r="D2059" i="15" a="1"/>
  <c r="D2059" i="15" s="1"/>
  <c r="N102" i="15" s="1"/>
  <c r="O102" i="15" s="1"/>
  <c r="D2038" i="15" a="1"/>
  <c r="D2038" i="15" s="1"/>
  <c r="N101" i="15" s="1"/>
  <c r="O101" i="15" s="1"/>
  <c r="D2018" i="15" a="1"/>
  <c r="D2018" i="15" s="1"/>
  <c r="N100" i="15" s="1"/>
  <c r="O100" i="15" s="1"/>
  <c r="D1996" i="15" a="1"/>
  <c r="D1996" i="15" s="1"/>
  <c r="N99" i="15" s="1"/>
  <c r="O99" i="15" s="1"/>
  <c r="D1977" i="15" a="1"/>
  <c r="D1977" i="15" s="1"/>
  <c r="N98" i="15" s="1"/>
  <c r="O98" i="15" s="1"/>
  <c r="D1955" i="15" a="1"/>
  <c r="D1955" i="15" s="1"/>
  <c r="N97" i="15" s="1"/>
  <c r="O97" i="15" s="1"/>
  <c r="D1935" i="15" a="1"/>
  <c r="D1935" i="15" s="1"/>
  <c r="N96" i="15" s="1"/>
  <c r="O96" i="15" s="1"/>
  <c r="D1914" i="15" a="1"/>
  <c r="D1914" i="15" s="1"/>
  <c r="N95" i="15" s="1"/>
  <c r="O95" i="15" s="1"/>
  <c r="D1893" i="15" a="1"/>
  <c r="D1893" i="15" s="1"/>
  <c r="N94" i="15" s="1"/>
  <c r="O94" i="15" s="1"/>
  <c r="D1872" i="15" a="1"/>
  <c r="D1872" i="15" s="1"/>
  <c r="N93" i="15" s="1"/>
  <c r="O93" i="15" s="1"/>
  <c r="D1851" i="15" a="1"/>
  <c r="D1851" i="15" s="1"/>
  <c r="N92" i="15" s="1"/>
  <c r="O92" i="15" s="1"/>
  <c r="D1830" i="15" a="1"/>
  <c r="D1830" i="15" s="1"/>
  <c r="N91" i="15" s="1"/>
  <c r="O91" i="15" s="1"/>
  <c r="D1812" i="15" a="1"/>
  <c r="D1812" i="15" s="1"/>
  <c r="N90" i="15" s="1"/>
  <c r="O90" i="15" s="1"/>
  <c r="D1789" i="15" a="1"/>
  <c r="D1789" i="15" s="1"/>
  <c r="N89" i="15" s="1"/>
  <c r="O89" i="15" s="1"/>
  <c r="D1769" i="15" a="1"/>
  <c r="D1769" i="15" s="1"/>
  <c r="N88" i="15" s="1"/>
  <c r="O88" i="15" s="1"/>
  <c r="D1748" i="15" a="1"/>
  <c r="D1748" i="15" s="1"/>
  <c r="N87" i="15" s="1"/>
  <c r="O87" i="15" s="1"/>
  <c r="D1728" i="15" a="1"/>
  <c r="D1728" i="15" s="1"/>
  <c r="N86" i="15" s="1"/>
  <c r="O86" i="15" s="1"/>
  <c r="D1706" i="15" a="1"/>
  <c r="D1706" i="15" s="1"/>
  <c r="N85" i="15" s="1"/>
  <c r="O85" i="15" s="1"/>
  <c r="D1686" i="15" a="1"/>
  <c r="D1686" i="15" s="1"/>
  <c r="N84" i="15" s="1"/>
  <c r="O84" i="15" s="1"/>
  <c r="D1664" i="15" a="1"/>
  <c r="D1664" i="15" s="1"/>
  <c r="N83" i="15" s="1"/>
  <c r="O83" i="15" s="1"/>
  <c r="D1643" i="15" a="1"/>
  <c r="D1643" i="15" s="1"/>
  <c r="N82" i="15" s="1"/>
  <c r="O82" i="15" s="1"/>
  <c r="D1622" i="15" a="1"/>
  <c r="D1622" i="15" s="1"/>
  <c r="N81" i="15" s="1"/>
  <c r="O81" i="15" s="1"/>
  <c r="D1600" i="15" a="1"/>
  <c r="D1600" i="15" s="1"/>
  <c r="N80" i="15" s="1"/>
  <c r="O80" i="15" s="1"/>
  <c r="D1581" i="15" a="1"/>
  <c r="D1581" i="15" s="1"/>
  <c r="N79" i="15" s="1"/>
  <c r="O79" i="15" s="1"/>
  <c r="D1560" i="15" a="1"/>
  <c r="D1560" i="15" s="1"/>
  <c r="N78" i="15" s="1"/>
  <c r="O78" i="15" s="1"/>
  <c r="D1539" i="15" a="1"/>
  <c r="D1539" i="15" s="1"/>
  <c r="N77" i="15" s="1"/>
  <c r="O77" i="15" s="1"/>
  <c r="D1518" i="15" a="1"/>
  <c r="D1518" i="15" s="1"/>
  <c r="N76" i="15" s="1"/>
  <c r="O76" i="15" s="1"/>
  <c r="D1498" i="15" a="1"/>
  <c r="D1498" i="15" s="1"/>
  <c r="N75" i="15" s="1"/>
  <c r="O75" i="15" s="1"/>
  <c r="D1479" i="15" a="1"/>
  <c r="D1479" i="15" s="1"/>
  <c r="N74" i="15" s="1"/>
  <c r="O74" i="15" s="1"/>
  <c r="D1458" i="15" a="1"/>
  <c r="D1458" i="15" s="1"/>
  <c r="N73" i="15" s="1"/>
  <c r="O73" i="15" s="1"/>
  <c r="D1436" i="15" a="1"/>
  <c r="D1436" i="15" s="1"/>
  <c r="N72" i="15" s="1"/>
  <c r="O72" i="15" s="1"/>
  <c r="D1414" i="15" a="1"/>
  <c r="D1414" i="15" s="1"/>
  <c r="N71" i="15" s="1"/>
  <c r="O71" i="15" s="1"/>
  <c r="D1394" i="15" a="1"/>
  <c r="D1394" i="15" s="1"/>
  <c r="N70" i="15" s="1"/>
  <c r="O70" i="15" s="1"/>
  <c r="D1371" i="15" a="1"/>
  <c r="D1371" i="15" s="1"/>
  <c r="N69" i="15" s="1"/>
  <c r="O69" i="15" s="1"/>
  <c r="D1349" i="15" a="1"/>
  <c r="D1349" i="15" s="1"/>
  <c r="N68" i="15" s="1"/>
  <c r="O68" i="15" s="1"/>
  <c r="D1331" i="15" a="1"/>
  <c r="D1331" i="15" s="1"/>
  <c r="N67" i="15" s="1"/>
  <c r="O67" i="15" s="1"/>
  <c r="D1311" i="15" a="1"/>
  <c r="D1311" i="15" s="1"/>
  <c r="N66" i="15" s="1"/>
  <c r="O66" i="15" s="1"/>
  <c r="D1289" i="15" a="1"/>
  <c r="D1289" i="15" s="1"/>
  <c r="N65" i="15" s="1"/>
  <c r="O65" i="15" s="1"/>
  <c r="D1269" i="15" a="1"/>
  <c r="D1269" i="15" s="1"/>
  <c r="N64" i="15" s="1"/>
  <c r="O64" i="15" s="1"/>
  <c r="D1248" i="15" a="1"/>
  <c r="D1248" i="15" s="1"/>
  <c r="N63" i="15" s="1"/>
  <c r="O63" i="15" s="1"/>
  <c r="D1229" i="15" a="1"/>
  <c r="D1229" i="15" s="1"/>
  <c r="N62" i="15" s="1"/>
  <c r="O62" i="15" s="1"/>
  <c r="D1209" i="15" a="1"/>
  <c r="D1209" i="15" s="1"/>
  <c r="N61" i="15" s="1"/>
  <c r="O61" i="15" s="1"/>
  <c r="D1187" i="15" a="1"/>
  <c r="D1187" i="15" s="1"/>
  <c r="N60" i="15" s="1"/>
  <c r="O60" i="15" s="1"/>
  <c r="D1165" i="15" a="1"/>
  <c r="D1165" i="15" s="1"/>
  <c r="N59" i="15" s="1"/>
  <c r="O59" i="15" s="1"/>
  <c r="D1146" i="15" a="1"/>
  <c r="D1146" i="15" s="1"/>
  <c r="N58" i="15" s="1"/>
  <c r="O58" i="15" s="1"/>
  <c r="D1123" i="15" a="1"/>
  <c r="D1123" i="15" s="1"/>
  <c r="N57" i="15" s="1"/>
  <c r="O57" i="15" s="1"/>
  <c r="D1102" i="15" a="1"/>
  <c r="D1102" i="15" s="1"/>
  <c r="N56" i="15" s="1"/>
  <c r="O56" i="15" s="1"/>
  <c r="D1083" i="15" a="1"/>
  <c r="D1083" i="15" s="1"/>
  <c r="N55" i="15" s="1"/>
  <c r="O55" i="15" s="1"/>
  <c r="D1063" i="15" a="1"/>
  <c r="D1063" i="15" s="1"/>
  <c r="N54" i="15" s="1"/>
  <c r="O54" i="15" s="1"/>
  <c r="D1042" i="15" a="1"/>
  <c r="D1042" i="15" s="1"/>
  <c r="N53" i="15" s="1"/>
  <c r="O53" i="15" s="1"/>
  <c r="D1022" i="15" a="1"/>
  <c r="D1022" i="15" s="1"/>
  <c r="N52" i="15" s="1"/>
  <c r="O52" i="15" s="1"/>
  <c r="D1000" i="15" a="1"/>
  <c r="D1000" i="15" s="1"/>
  <c r="N51" i="15" s="1"/>
  <c r="O51" i="15" s="1"/>
  <c r="D982" i="15" a="1"/>
  <c r="D982" i="15" s="1"/>
  <c r="N50" i="15" s="1"/>
  <c r="O50" i="15" s="1"/>
  <c r="D961" i="15" a="1"/>
  <c r="D961" i="15" s="1"/>
  <c r="N49" i="15" s="1"/>
  <c r="O49" i="15" s="1"/>
  <c r="D938" i="15" a="1"/>
  <c r="D938" i="15" s="1"/>
  <c r="N48" i="15" s="1"/>
  <c r="O48" i="15" s="1"/>
  <c r="D917" i="15" a="1"/>
  <c r="D917" i="15" s="1"/>
  <c r="N47" i="15" s="1"/>
  <c r="O47" i="15" s="1"/>
  <c r="D897" i="15" a="1"/>
  <c r="D897" i="15" s="1"/>
  <c r="N46" i="15" s="1"/>
  <c r="O46" i="15" s="1"/>
  <c r="D874" i="15" a="1"/>
  <c r="D874" i="15" s="1"/>
  <c r="N45" i="15" s="1"/>
  <c r="O45" i="15" s="1"/>
  <c r="D854" i="15" a="1"/>
  <c r="D854" i="15" s="1"/>
  <c r="N44" i="15" s="1"/>
  <c r="O44" i="15" s="1"/>
  <c r="D834" i="15" a="1"/>
  <c r="D834" i="15" s="1"/>
  <c r="N43" i="15" s="1"/>
  <c r="O43" i="15" s="1"/>
  <c r="D813" i="15" a="1"/>
  <c r="D813" i="15" s="1"/>
  <c r="N42" i="15" s="1"/>
  <c r="O42" i="15" s="1"/>
  <c r="D793" i="15" a="1"/>
  <c r="D793" i="15" s="1"/>
  <c r="N41" i="15" s="1"/>
  <c r="O41" i="15" s="1"/>
  <c r="D773" i="15" a="1"/>
  <c r="D773" i="15" s="1"/>
  <c r="N40" i="15" s="1"/>
  <c r="O40" i="15" s="1"/>
  <c r="D751" i="15" a="1"/>
  <c r="D751" i="15" s="1"/>
  <c r="N39" i="15" s="1"/>
  <c r="O39" i="15" s="1"/>
  <c r="D734" i="15" a="1"/>
  <c r="D734" i="15" s="1"/>
  <c r="N38" i="15" s="1"/>
  <c r="O38" i="15" s="1"/>
  <c r="D712" i="15" a="1"/>
  <c r="D712" i="15" s="1"/>
  <c r="N37" i="15" s="1"/>
  <c r="O37" i="15" s="1"/>
  <c r="D689" i="15" a="1"/>
  <c r="D689" i="15" s="1"/>
  <c r="N36" i="15" s="1"/>
  <c r="O36" i="15" s="1"/>
  <c r="D669" i="15" a="1"/>
  <c r="D669" i="15" s="1"/>
  <c r="N35" i="15" s="1"/>
  <c r="O35" i="15" s="1"/>
  <c r="D648" i="15" a="1"/>
  <c r="D648" i="15" s="1"/>
  <c r="N34" i="15" s="1"/>
  <c r="O34" i="15" s="1"/>
  <c r="D626" i="15" a="1"/>
  <c r="D626" i="15" s="1"/>
  <c r="N33" i="15" s="1"/>
  <c r="O33" i="15" s="1"/>
  <c r="D607" i="15" a="1"/>
  <c r="D607" i="15" s="1"/>
  <c r="N32" i="15" s="1"/>
  <c r="O32" i="15" s="1"/>
  <c r="D586" i="15" a="1"/>
  <c r="D586" i="15" s="1"/>
  <c r="N31" i="15" s="1"/>
  <c r="O31" i="15" s="1"/>
  <c r="D567" i="15" a="1"/>
  <c r="D567" i="15" s="1"/>
  <c r="N30" i="15" s="1"/>
  <c r="O30" i="15" s="1"/>
  <c r="D545" i="15" a="1"/>
  <c r="D545" i="15" s="1"/>
  <c r="N29" i="15" s="1"/>
  <c r="O29" i="15" s="1"/>
  <c r="D524" i="15" a="1"/>
  <c r="D524" i="15" s="1"/>
  <c r="N28" i="15" s="1"/>
  <c r="O28" i="15" s="1"/>
  <c r="D503" i="15" a="1"/>
  <c r="D503" i="15" s="1"/>
  <c r="N27" i="15" s="1"/>
  <c r="O27" i="15" s="1"/>
  <c r="D483" i="15" a="1"/>
  <c r="D483" i="15" s="1"/>
  <c r="N26" i="15" s="1"/>
  <c r="O26" i="15" s="1"/>
  <c r="D461" i="15" a="1"/>
  <c r="D461" i="15" s="1"/>
  <c r="N25" i="15" s="1"/>
  <c r="O25" i="15" s="1"/>
  <c r="D440" i="15" a="1"/>
  <c r="D440" i="15" s="1"/>
  <c r="N24" i="15" s="1"/>
  <c r="O24" i="15" s="1"/>
  <c r="D418" i="15" a="1"/>
  <c r="D418" i="15" s="1"/>
  <c r="N23" i="15" s="1"/>
  <c r="O23" i="15" s="1"/>
  <c r="D397" i="15" a="1"/>
  <c r="D397" i="15" s="1"/>
  <c r="N22" i="15" s="1"/>
  <c r="O22" i="15" s="1"/>
  <c r="D376" i="15" a="1"/>
  <c r="D376" i="15" s="1"/>
  <c r="N21" i="15" s="1"/>
  <c r="O21" i="15" s="1"/>
  <c r="D354" i="15" a="1"/>
  <c r="D354" i="15" s="1"/>
  <c r="N20" i="15" s="1"/>
  <c r="O20" i="15" s="1"/>
  <c r="D334" i="15" a="1"/>
  <c r="D334" i="15" s="1"/>
  <c r="N19" i="15" s="1"/>
  <c r="O19" i="15" s="1"/>
  <c r="D316" i="15" a="1"/>
  <c r="D316" i="15" s="1"/>
  <c r="N18" i="15" s="1"/>
  <c r="O18" i="15" s="1"/>
  <c r="D293" i="15" a="1"/>
  <c r="D293" i="15" s="1"/>
  <c r="N17" i="15" s="1"/>
  <c r="O17" i="15" s="1"/>
  <c r="D273" i="15" a="1"/>
  <c r="D273" i="15" s="1"/>
  <c r="N16" i="15" s="1"/>
  <c r="O16" i="15" s="1"/>
  <c r="D253" i="15" a="1"/>
  <c r="D253" i="15" s="1"/>
  <c r="N15" i="15" s="1"/>
  <c r="O15" i="15" s="1"/>
  <c r="D234" i="15" a="1"/>
  <c r="D234" i="15" s="1"/>
  <c r="N14" i="15" s="1"/>
  <c r="O14" i="15" s="1"/>
  <c r="D212" i="15" a="1"/>
  <c r="D212" i="15" s="1"/>
  <c r="N13" i="15" s="1"/>
  <c r="O13" i="15" s="1"/>
  <c r="D191" i="15" a="1"/>
  <c r="D191" i="15" s="1"/>
  <c r="N12" i="15" s="1"/>
  <c r="O12" i="15" s="1"/>
  <c r="D169" i="15" a="1"/>
  <c r="D169" i="15" s="1"/>
  <c r="N11" i="15" s="1"/>
  <c r="O11" i="15" s="1"/>
  <c r="D148" i="15" a="1"/>
  <c r="D148" i="15" s="1"/>
  <c r="N10" i="15" s="1"/>
  <c r="O10" i="15" s="1"/>
  <c r="D126" i="15" a="1"/>
  <c r="D126" i="15" s="1"/>
  <c r="N9" i="15" s="1"/>
  <c r="O9" i="15" s="1"/>
  <c r="D104" i="15" a="1"/>
  <c r="D104" i="15" s="1"/>
  <c r="N8" i="15" s="1"/>
  <c r="O8" i="15" s="1"/>
  <c r="D85" i="15" a="1"/>
  <c r="D85" i="15" s="1"/>
  <c r="N7" i="15" s="1"/>
  <c r="O7" i="15" s="1"/>
  <c r="D65" i="15" a="1"/>
  <c r="D65" i="15" s="1"/>
  <c r="N6" i="15" s="1"/>
  <c r="O6" i="15" s="1"/>
  <c r="D42" i="15" a="1"/>
  <c r="D42" i="15" s="1"/>
  <c r="N5" i="15" s="1"/>
  <c r="O5" i="15" s="1"/>
  <c r="D22" i="15" a="1"/>
  <c r="D22" i="15" s="1"/>
  <c r="N4" i="15" s="1"/>
  <c r="D2" i="15" a="1"/>
  <c r="D2" i="15" s="1"/>
  <c r="N3" i="15" s="1"/>
  <c r="D3802" i="16" a="1"/>
  <c r="D3802" i="16" s="1"/>
  <c r="N186" i="16" s="1"/>
  <c r="O186" i="16" s="1"/>
  <c r="D3781" i="16" a="1"/>
  <c r="D3781" i="16" s="1"/>
  <c r="N185" i="16" s="1"/>
  <c r="O185" i="16" s="1"/>
  <c r="D3761" i="16" a="1"/>
  <c r="D3761" i="16" s="1"/>
  <c r="N184" i="16" s="1"/>
  <c r="O184" i="16" s="1"/>
  <c r="D3739" i="16" a="1"/>
  <c r="D3739" i="16" s="1"/>
  <c r="N183" i="16" s="1"/>
  <c r="O183" i="16" s="1"/>
  <c r="D3721" i="16" a="1"/>
  <c r="D3721" i="16" s="1"/>
  <c r="N182" i="16" s="1"/>
  <c r="O182" i="16" s="1"/>
  <c r="D3700" i="16" a="1"/>
  <c r="D3700" i="16" s="1"/>
  <c r="N181" i="16" s="1"/>
  <c r="O181" i="16" s="1"/>
  <c r="D3677" i="16" a="1"/>
  <c r="D3677" i="16" s="1"/>
  <c r="N180" i="16" s="1"/>
  <c r="O180" i="16" s="1"/>
  <c r="D3656" i="16" a="1"/>
  <c r="D3656" i="16" s="1"/>
  <c r="N179" i="16" s="1"/>
  <c r="O179" i="16" s="1"/>
  <c r="D3636" i="16" a="1"/>
  <c r="D3636" i="16" s="1"/>
  <c r="N178" i="16" s="1"/>
  <c r="O178" i="16" s="1"/>
  <c r="D3613" i="16" a="1"/>
  <c r="D3613" i="16" s="1"/>
  <c r="N177" i="16" s="1"/>
  <c r="O177" i="16" s="1"/>
  <c r="D3593" i="16" a="1"/>
  <c r="D3593" i="16" s="1"/>
  <c r="N176" i="16" s="1"/>
  <c r="O176" i="16" s="1"/>
  <c r="D3573" i="16" a="1"/>
  <c r="D3573" i="16" s="1"/>
  <c r="N175" i="16" s="1"/>
  <c r="O175" i="16" s="1"/>
  <c r="D3552" i="16" a="1"/>
  <c r="D3552" i="16" s="1"/>
  <c r="N174" i="16" s="1"/>
  <c r="O174" i="16" s="1"/>
  <c r="D3532" i="16" a="1"/>
  <c r="D3532" i="16" s="1"/>
  <c r="N173" i="16" s="1"/>
  <c r="O173" i="16" s="1"/>
  <c r="D3511" i="16" a="1"/>
  <c r="D3511" i="16" s="1"/>
  <c r="N172" i="16" s="1"/>
  <c r="O172" i="16" s="1"/>
  <c r="D3489" i="16" a="1"/>
  <c r="D3489" i="16" s="1"/>
  <c r="N171" i="16" s="1"/>
  <c r="O171" i="16" s="1"/>
  <c r="D3470" i="16" a="1"/>
  <c r="D3470" i="16" s="1"/>
  <c r="N170" i="16" s="1"/>
  <c r="O170" i="16" s="1"/>
  <c r="D3448" i="16" a="1"/>
  <c r="D3448" i="16" s="1"/>
  <c r="N169" i="16" s="1"/>
  <c r="O169" i="16" s="1"/>
  <c r="D3426" i="16" a="1"/>
  <c r="D3426" i="16" s="1"/>
  <c r="N168" i="16" s="1"/>
  <c r="O168" i="16" s="1"/>
  <c r="D3405" i="16" a="1"/>
  <c r="D3405" i="16" s="1"/>
  <c r="N167" i="16" s="1"/>
  <c r="O167" i="16" s="1"/>
  <c r="D3384" i="16" a="1"/>
  <c r="D3384" i="16" s="1"/>
  <c r="N166" i="16" s="1"/>
  <c r="O166" i="16" s="1"/>
  <c r="D3363" i="16" a="1"/>
  <c r="D3363" i="16" s="1"/>
  <c r="N165" i="16" s="1"/>
  <c r="O165" i="16" s="1"/>
  <c r="D3341" i="16" a="1"/>
  <c r="D3341" i="16" s="1"/>
  <c r="N164" i="16" s="1"/>
  <c r="O164" i="16" s="1"/>
  <c r="D3321" i="16" a="1"/>
  <c r="D3321" i="16" s="1"/>
  <c r="N163" i="16" s="1"/>
  <c r="O163" i="16" s="1"/>
  <c r="D3303" i="16" a="1"/>
  <c r="D3303" i="16" s="1"/>
  <c r="N162" i="16" s="1"/>
  <c r="O162" i="16" s="1"/>
  <c r="D3280" i="16" a="1"/>
  <c r="D3280" i="16" s="1"/>
  <c r="N161" i="16" s="1"/>
  <c r="O161" i="16" s="1"/>
  <c r="D3260" i="16" a="1"/>
  <c r="D3260" i="16" s="1"/>
  <c r="N160" i="16" s="1"/>
  <c r="O160" i="16" s="1"/>
  <c r="D3239" i="16" a="1"/>
  <c r="D3239" i="16" s="1"/>
  <c r="N159" i="16" s="1"/>
  <c r="O159" i="16" s="1"/>
  <c r="D3219" i="16" a="1"/>
  <c r="D3219" i="16" s="1"/>
  <c r="N158" i="16" s="1"/>
  <c r="O158" i="16" s="1"/>
  <c r="D3197" i="16" a="1"/>
  <c r="D3197" i="16" s="1"/>
  <c r="N157" i="16" s="1"/>
  <c r="O157" i="16" s="1"/>
  <c r="D3176" i="16" a="1"/>
  <c r="D3176" i="16" s="1"/>
  <c r="N156" i="16" s="1"/>
  <c r="O156" i="16" s="1"/>
  <c r="D3155" i="16" a="1"/>
  <c r="D3155" i="16" s="1"/>
  <c r="N155" i="16" s="1"/>
  <c r="O155" i="16" s="1"/>
  <c r="D3134" i="16" a="1"/>
  <c r="D3134" i="16" s="1"/>
  <c r="N154" i="16" s="1"/>
  <c r="O154" i="16" s="1"/>
  <c r="D3113" i="16" a="1"/>
  <c r="D3113" i="16" s="1"/>
  <c r="N153" i="16" s="1"/>
  <c r="O153" i="16" s="1"/>
  <c r="D3093" i="16" a="1"/>
  <c r="D3093" i="16" s="1"/>
  <c r="N152" i="16" s="1"/>
  <c r="O152" i="16" s="1"/>
  <c r="D3072" i="16" a="1"/>
  <c r="D3072" i="16" s="1"/>
  <c r="N151" i="16" s="1"/>
  <c r="O151" i="16" s="1"/>
  <c r="D3053" i="16" a="1"/>
  <c r="D3053" i="16" s="1"/>
  <c r="N150" i="16" s="1"/>
  <c r="O150" i="16" s="1"/>
  <c r="D3030" i="16" a="1"/>
  <c r="D3030" i="16" s="1"/>
  <c r="N149" i="16" s="1"/>
  <c r="O149" i="16" s="1"/>
  <c r="D3010" i="16" a="1"/>
  <c r="D3010" i="16" s="1"/>
  <c r="N148" i="16" s="1"/>
  <c r="O148" i="16" s="1"/>
  <c r="D2990" i="16" a="1"/>
  <c r="D2990" i="16" s="1"/>
  <c r="N147" i="16" s="1"/>
  <c r="O147" i="16" s="1"/>
  <c r="D2971" i="16" a="1"/>
  <c r="D2971" i="16" s="1"/>
  <c r="N146" i="16" s="1"/>
  <c r="O146" i="16" s="1"/>
  <c r="D2949" i="16" a="1"/>
  <c r="D2949" i="16" s="1"/>
  <c r="N145" i="16" s="1"/>
  <c r="O145" i="16" s="1"/>
  <c r="D2928" i="16" a="1"/>
  <c r="D2928" i="16" s="1"/>
  <c r="N144" i="16" s="1"/>
  <c r="O144" i="16" s="1"/>
  <c r="D2906" i="16" a="1"/>
  <c r="D2906" i="16" s="1"/>
  <c r="N143" i="16" s="1"/>
  <c r="O143" i="16" s="1"/>
  <c r="D2885" i="16" a="1"/>
  <c r="D2885" i="16" s="1"/>
  <c r="N142" i="16" s="1"/>
  <c r="O142" i="16" s="1"/>
  <c r="D2863" i="16" a="1"/>
  <c r="D2863" i="16" s="1"/>
  <c r="N141" i="16" s="1"/>
  <c r="O141" i="16" s="1"/>
  <c r="D2841" i="16" a="1"/>
  <c r="D2841" i="16" s="1"/>
  <c r="N140" i="16" s="1"/>
  <c r="O140" i="16" s="1"/>
  <c r="D2823" i="16" a="1"/>
  <c r="D2823" i="16" s="1"/>
  <c r="N139" i="16" s="1"/>
  <c r="O139" i="16" s="1"/>
  <c r="D2803" i="16" a="1"/>
  <c r="D2803" i="16" s="1"/>
  <c r="N138" i="16" s="1"/>
  <c r="O138" i="16" s="1"/>
  <c r="D2780" i="16" a="1"/>
  <c r="D2780" i="16" s="1"/>
  <c r="N137" i="16" s="1"/>
  <c r="O137" i="16" s="1"/>
  <c r="D2760" i="16" a="1"/>
  <c r="D2760" i="16" s="1"/>
  <c r="N136" i="16" s="1"/>
  <c r="O136" i="16" s="1"/>
  <c r="D2740" i="16" a="1"/>
  <c r="D2740" i="16" s="1"/>
  <c r="N135" i="16" s="1"/>
  <c r="O135" i="16" s="1"/>
  <c r="D2721" i="16" a="1"/>
  <c r="D2721" i="16" s="1"/>
  <c r="N134" i="16" s="1"/>
  <c r="O134" i="16" s="1"/>
  <c r="D2700" i="16" a="1"/>
  <c r="D2700" i="16" s="1"/>
  <c r="N133" i="16" s="1"/>
  <c r="O133" i="16" s="1"/>
  <c r="D2678" i="16" a="1"/>
  <c r="D2678" i="16" s="1"/>
  <c r="N132" i="16" s="1"/>
  <c r="O132" i="16" s="1"/>
  <c r="D2656" i="16" a="1"/>
  <c r="D2656" i="16" s="1"/>
  <c r="N131" i="16" s="1"/>
  <c r="O131" i="16" s="1"/>
  <c r="D2636" i="16" a="1"/>
  <c r="D2636" i="16" s="1"/>
  <c r="N130" i="16" s="1"/>
  <c r="O130" i="16" s="1"/>
  <c r="D2613" i="16" a="1"/>
  <c r="D2613" i="16" s="1"/>
  <c r="N129" i="16" s="1"/>
  <c r="O129" i="16" s="1"/>
  <c r="D2592" i="16" a="1"/>
  <c r="D2592" i="16" s="1"/>
  <c r="N128" i="16" s="1"/>
  <c r="O128" i="16" s="1"/>
  <c r="D2574" i="16" a="1"/>
  <c r="D2574" i="16" s="1"/>
  <c r="N127" i="16" s="1"/>
  <c r="O127" i="16" s="1"/>
  <c r="D2554" i="16" a="1"/>
  <c r="D2554" i="16" s="1"/>
  <c r="N126" i="16" s="1"/>
  <c r="O126" i="16" s="1"/>
  <c r="D2532" i="16" a="1"/>
  <c r="D2532" i="16" s="1"/>
  <c r="D2512" i="16" a="1"/>
  <c r="D2512" i="16" s="1"/>
  <c r="N124" i="16" s="1"/>
  <c r="O124" i="16" s="1"/>
  <c r="D2490" i="16" a="1"/>
  <c r="D2490" i="16" s="1"/>
  <c r="N123" i="16" s="1"/>
  <c r="O123" i="16" s="1"/>
  <c r="D2472" i="16" a="1"/>
  <c r="D2472" i="16" s="1"/>
  <c r="N122" i="16" s="1"/>
  <c r="O122" i="16" s="1"/>
  <c r="D2451" i="16" a="1"/>
  <c r="D2451" i="16" s="1"/>
  <c r="N121" i="16" s="1"/>
  <c r="O121" i="16" s="1"/>
  <c r="D2429" i="16" a="1"/>
  <c r="D2429" i="16" s="1"/>
  <c r="N120" i="16" s="1"/>
  <c r="O120" i="16" s="1"/>
  <c r="D2408" i="16" a="1"/>
  <c r="D2408" i="16" s="1"/>
  <c r="N119" i="16" s="1"/>
  <c r="O119" i="16" s="1"/>
  <c r="D2388" i="16" a="1"/>
  <c r="D2388" i="16" s="1"/>
  <c r="N118" i="16" s="1"/>
  <c r="O118" i="16" s="1"/>
  <c r="D2365" i="16" a="1"/>
  <c r="D2365" i="16" s="1"/>
  <c r="N117" i="16" s="1"/>
  <c r="O117" i="16" s="1"/>
  <c r="D2346" i="16" a="1"/>
  <c r="D2346" i="16" s="1"/>
  <c r="N116" i="16" s="1"/>
  <c r="O116" i="16" s="1"/>
  <c r="D2326" i="16" a="1"/>
  <c r="D2326" i="16" s="1"/>
  <c r="N115" i="16" s="1"/>
  <c r="O115" i="16" s="1"/>
  <c r="D2306" i="16" a="1"/>
  <c r="D2306" i="16" s="1"/>
  <c r="N114" i="16" s="1"/>
  <c r="O114" i="16" s="1"/>
  <c r="D2285" i="16" a="1"/>
  <c r="D2285" i="16" s="1"/>
  <c r="N113" i="16" s="1"/>
  <c r="O113" i="16" s="1"/>
  <c r="D2265" i="16" a="1"/>
  <c r="D2265" i="16" s="1"/>
  <c r="N112" i="16" s="1"/>
  <c r="O112" i="16" s="1"/>
  <c r="D2243" i="16" a="1"/>
  <c r="D2243" i="16" s="1"/>
  <c r="N111" i="16" s="1"/>
  <c r="O111" i="16" s="1"/>
  <c r="D2226" i="16" a="1"/>
  <c r="D2226" i="16" s="1"/>
  <c r="N110" i="16" s="1"/>
  <c r="O110" i="16" s="1"/>
  <c r="D2204" i="16" a="1"/>
  <c r="D2204" i="16" s="1"/>
  <c r="N109" i="16" s="1"/>
  <c r="O109" i="16" s="1"/>
  <c r="D2182" i="16" a="1"/>
  <c r="D2182" i="16" s="1"/>
  <c r="N108" i="16" s="1"/>
  <c r="O108" i="16" s="1"/>
  <c r="D2162" i="16" a="1"/>
  <c r="D2162" i="16" s="1"/>
  <c r="N107" i="16" s="1"/>
  <c r="O107" i="16" s="1"/>
  <c r="D2141" i="16" a="1"/>
  <c r="D2141" i="16" s="1"/>
  <c r="N106" i="16" s="1"/>
  <c r="O106" i="16" s="1"/>
  <c r="D2119" i="16" a="1"/>
  <c r="D2119" i="16" s="1"/>
  <c r="N105" i="16" s="1"/>
  <c r="O105" i="16" s="1"/>
  <c r="D2098" i="16" a="1"/>
  <c r="D2098" i="16" s="1"/>
  <c r="N104" i="16" s="1"/>
  <c r="O104" i="16" s="1"/>
  <c r="D2079" i="16" a="1"/>
  <c r="D2079" i="16" s="1"/>
  <c r="N103" i="16" s="1"/>
  <c r="O103" i="16" s="1"/>
  <c r="D2059" i="16" a="1"/>
  <c r="D2059" i="16" s="1"/>
  <c r="N102" i="16" s="1"/>
  <c r="O102" i="16" s="1"/>
  <c r="D2038" i="16" a="1"/>
  <c r="D2038" i="16" s="1"/>
  <c r="N101" i="16" s="1"/>
  <c r="O101" i="16" s="1"/>
  <c r="D2018" i="16" a="1"/>
  <c r="D2018" i="16" s="1"/>
  <c r="N100" i="16" s="1"/>
  <c r="O100" i="16" s="1"/>
  <c r="D1996" i="16" a="1"/>
  <c r="D1996" i="16" s="1"/>
  <c r="N99" i="16" s="1"/>
  <c r="O99" i="16" s="1"/>
  <c r="D1977" i="16" a="1"/>
  <c r="D1977" i="16" s="1"/>
  <c r="N98" i="16" s="1"/>
  <c r="O98" i="16" s="1"/>
  <c r="D1955" i="16" a="1"/>
  <c r="D1955" i="16" s="1"/>
  <c r="N97" i="16" s="1"/>
  <c r="O97" i="16" s="1"/>
  <c r="D1935" i="16" a="1"/>
  <c r="D1935" i="16" s="1"/>
  <c r="N96" i="16" s="1"/>
  <c r="O96" i="16" s="1"/>
  <c r="D1914" i="16" a="1"/>
  <c r="D1914" i="16" s="1"/>
  <c r="N95" i="16" s="1"/>
  <c r="O95" i="16" s="1"/>
  <c r="D1893" i="16" a="1"/>
  <c r="D1893" i="16" s="1"/>
  <c r="N94" i="16" s="1"/>
  <c r="O94" i="16" s="1"/>
  <c r="D1872" i="16" a="1"/>
  <c r="D1872" i="16" s="1"/>
  <c r="N93" i="16" s="1"/>
  <c r="O93" i="16" s="1"/>
  <c r="D1851" i="16" a="1"/>
  <c r="D1851" i="16" s="1"/>
  <c r="N92" i="16" s="1"/>
  <c r="O92" i="16" s="1"/>
  <c r="D1830" i="16" a="1"/>
  <c r="D1830" i="16" s="1"/>
  <c r="N91" i="16" s="1"/>
  <c r="O91" i="16" s="1"/>
  <c r="D1812" i="16" a="1"/>
  <c r="D1812" i="16" s="1"/>
  <c r="N90" i="16" s="1"/>
  <c r="O90" i="16" s="1"/>
  <c r="D1789" i="16" a="1"/>
  <c r="D1789" i="16" s="1"/>
  <c r="N89" i="16" s="1"/>
  <c r="O89" i="16" s="1"/>
  <c r="D1769" i="16" a="1"/>
  <c r="D1769" i="16" s="1"/>
  <c r="N88" i="16" s="1"/>
  <c r="O88" i="16" s="1"/>
  <c r="D1748" i="16" a="1"/>
  <c r="D1748" i="16" s="1"/>
  <c r="N87" i="16" s="1"/>
  <c r="O87" i="16" s="1"/>
  <c r="D1728" i="16" a="1"/>
  <c r="D1728" i="16" s="1"/>
  <c r="N86" i="16" s="1"/>
  <c r="O86" i="16" s="1"/>
  <c r="D1706" i="16" a="1"/>
  <c r="D1706" i="16" s="1"/>
  <c r="N85" i="16" s="1"/>
  <c r="O85" i="16" s="1"/>
  <c r="D1686" i="16" a="1"/>
  <c r="D1686" i="16" s="1"/>
  <c r="N84" i="16" s="1"/>
  <c r="O84" i="16" s="1"/>
  <c r="D1664" i="16" a="1"/>
  <c r="D1664" i="16" s="1"/>
  <c r="N83" i="16" s="1"/>
  <c r="O83" i="16" s="1"/>
  <c r="D1643" i="16" a="1"/>
  <c r="D1643" i="16" s="1"/>
  <c r="N82" i="16" s="1"/>
  <c r="O82" i="16" s="1"/>
  <c r="D1622" i="16" a="1"/>
  <c r="D1622" i="16" s="1"/>
  <c r="N81" i="16" s="1"/>
  <c r="O81" i="16" s="1"/>
  <c r="D1600" i="16" a="1"/>
  <c r="D1600" i="16" s="1"/>
  <c r="N80" i="16" s="1"/>
  <c r="O80" i="16" s="1"/>
  <c r="D1581" i="16" a="1"/>
  <c r="D1581" i="16" s="1"/>
  <c r="N79" i="16" s="1"/>
  <c r="O79" i="16" s="1"/>
  <c r="D1560" i="16" a="1"/>
  <c r="D1560" i="16" s="1"/>
  <c r="N78" i="16" s="1"/>
  <c r="O78" i="16" s="1"/>
  <c r="D1539" i="16" a="1"/>
  <c r="D1539" i="16" s="1"/>
  <c r="N77" i="16" s="1"/>
  <c r="O77" i="16" s="1"/>
  <c r="D1518" i="16" a="1"/>
  <c r="D1518" i="16" s="1"/>
  <c r="N76" i="16" s="1"/>
  <c r="O76" i="16" s="1"/>
  <c r="D1498" i="16" a="1"/>
  <c r="D1498" i="16" s="1"/>
  <c r="N75" i="16" s="1"/>
  <c r="O75" i="16" s="1"/>
  <c r="D1479" i="16" a="1"/>
  <c r="D1479" i="16" s="1"/>
  <c r="N74" i="16" s="1"/>
  <c r="O74" i="16" s="1"/>
  <c r="D1458" i="16" a="1"/>
  <c r="D1458" i="16" s="1"/>
  <c r="N73" i="16" s="1"/>
  <c r="O73" i="16" s="1"/>
  <c r="D1436" i="16" a="1"/>
  <c r="D1436" i="16" s="1"/>
  <c r="N72" i="16" s="1"/>
  <c r="O72" i="16" s="1"/>
  <c r="D1414" i="16" a="1"/>
  <c r="D1414" i="16" s="1"/>
  <c r="N71" i="16" s="1"/>
  <c r="O71" i="16" s="1"/>
  <c r="D1394" i="16" a="1"/>
  <c r="D1394" i="16" s="1"/>
  <c r="N70" i="16" s="1"/>
  <c r="O70" i="16" s="1"/>
  <c r="D1371" i="16" a="1"/>
  <c r="D1371" i="16" s="1"/>
  <c r="N69" i="16" s="1"/>
  <c r="O69" i="16" s="1"/>
  <c r="D1349" i="16" a="1"/>
  <c r="D1349" i="16" s="1"/>
  <c r="N68" i="16" s="1"/>
  <c r="O68" i="16" s="1"/>
  <c r="D1331" i="16" a="1"/>
  <c r="D1331" i="16" s="1"/>
  <c r="N67" i="16" s="1"/>
  <c r="O67" i="16" s="1"/>
  <c r="D1311" i="16" a="1"/>
  <c r="D1311" i="16" s="1"/>
  <c r="N66" i="16" s="1"/>
  <c r="O66" i="16" s="1"/>
  <c r="D1289" i="16" a="1"/>
  <c r="D1289" i="16" s="1"/>
  <c r="N65" i="16" s="1"/>
  <c r="O65" i="16" s="1"/>
  <c r="D1269" i="16" a="1"/>
  <c r="D1269" i="16" s="1"/>
  <c r="N64" i="16" s="1"/>
  <c r="O64" i="16" s="1"/>
  <c r="D1248" i="16" a="1"/>
  <c r="D1248" i="16" s="1"/>
  <c r="N63" i="16" s="1"/>
  <c r="O63" i="16" s="1"/>
  <c r="D1229" i="16" a="1"/>
  <c r="D1229" i="16" s="1"/>
  <c r="N62" i="16" s="1"/>
  <c r="O62" i="16" s="1"/>
  <c r="D1209" i="16" a="1"/>
  <c r="D1209" i="16" s="1"/>
  <c r="N61" i="16" s="1"/>
  <c r="O61" i="16" s="1"/>
  <c r="D1187" i="16" a="1"/>
  <c r="D1187" i="16" s="1"/>
  <c r="N60" i="16" s="1"/>
  <c r="O60" i="16" s="1"/>
  <c r="D1165" i="16" a="1"/>
  <c r="D1165" i="16" s="1"/>
  <c r="N59" i="16" s="1"/>
  <c r="O59" i="16" s="1"/>
  <c r="D1146" i="16" a="1"/>
  <c r="D1146" i="16" s="1"/>
  <c r="N58" i="16" s="1"/>
  <c r="O58" i="16" s="1"/>
  <c r="D1123" i="16" a="1"/>
  <c r="D1123" i="16" s="1"/>
  <c r="N57" i="16" s="1"/>
  <c r="O57" i="16" s="1"/>
  <c r="D1102" i="16" a="1"/>
  <c r="D1102" i="16" s="1"/>
  <c r="N56" i="16" s="1"/>
  <c r="O56" i="16" s="1"/>
  <c r="D1083" i="16" a="1"/>
  <c r="D1083" i="16" s="1"/>
  <c r="N55" i="16" s="1"/>
  <c r="O55" i="16" s="1"/>
  <c r="D1063" i="16" a="1"/>
  <c r="D1063" i="16" s="1"/>
  <c r="N54" i="16" s="1"/>
  <c r="O54" i="16" s="1"/>
  <c r="D1042" i="16" a="1"/>
  <c r="D1042" i="16" s="1"/>
  <c r="N53" i="16" s="1"/>
  <c r="O53" i="16" s="1"/>
  <c r="D1022" i="16" a="1"/>
  <c r="D1022" i="16" s="1"/>
  <c r="N52" i="16" s="1"/>
  <c r="O52" i="16" s="1"/>
  <c r="D1000" i="16" a="1"/>
  <c r="D1000" i="16" s="1"/>
  <c r="N51" i="16" s="1"/>
  <c r="O51" i="16" s="1"/>
  <c r="D982" i="16" a="1"/>
  <c r="D982" i="16" s="1"/>
  <c r="N50" i="16" s="1"/>
  <c r="O50" i="16" s="1"/>
  <c r="D961" i="16" a="1"/>
  <c r="D961" i="16" s="1"/>
  <c r="N49" i="16" s="1"/>
  <c r="O49" i="16" s="1"/>
  <c r="D938" i="16" a="1"/>
  <c r="D938" i="16" s="1"/>
  <c r="N48" i="16" s="1"/>
  <c r="O48" i="16" s="1"/>
  <c r="D917" i="16" a="1"/>
  <c r="D917" i="16" s="1"/>
  <c r="N47" i="16" s="1"/>
  <c r="O47" i="16" s="1"/>
  <c r="D897" i="16" a="1"/>
  <c r="D897" i="16" s="1"/>
  <c r="N46" i="16" s="1"/>
  <c r="O46" i="16" s="1"/>
  <c r="D874" i="16" a="1"/>
  <c r="D874" i="16" s="1"/>
  <c r="N45" i="16" s="1"/>
  <c r="O45" i="16" s="1"/>
  <c r="D854" i="16" a="1"/>
  <c r="D854" i="16" s="1"/>
  <c r="N44" i="16" s="1"/>
  <c r="O44" i="16" s="1"/>
  <c r="D834" i="16" a="1"/>
  <c r="D834" i="16" s="1"/>
  <c r="N43" i="16" s="1"/>
  <c r="O43" i="16" s="1"/>
  <c r="D813" i="16" a="1"/>
  <c r="D813" i="16" s="1"/>
  <c r="N42" i="16" s="1"/>
  <c r="O42" i="16" s="1"/>
  <c r="D793" i="16" a="1"/>
  <c r="D793" i="16" s="1"/>
  <c r="N41" i="16" s="1"/>
  <c r="O41" i="16" s="1"/>
  <c r="D773" i="16" a="1"/>
  <c r="D773" i="16" s="1"/>
  <c r="N40" i="16" s="1"/>
  <c r="O40" i="16" s="1"/>
  <c r="D751" i="16" a="1"/>
  <c r="D751" i="16" s="1"/>
  <c r="N39" i="16" s="1"/>
  <c r="O39" i="16" s="1"/>
  <c r="D734" i="16" a="1"/>
  <c r="D734" i="16" s="1"/>
  <c r="N38" i="16" s="1"/>
  <c r="O38" i="16" s="1"/>
  <c r="D712" i="16" a="1"/>
  <c r="D712" i="16" s="1"/>
  <c r="N37" i="16" s="1"/>
  <c r="O37" i="16" s="1"/>
  <c r="D689" i="16" a="1"/>
  <c r="D689" i="16" s="1"/>
  <c r="N36" i="16" s="1"/>
  <c r="O36" i="16" s="1"/>
  <c r="D669" i="16" a="1"/>
  <c r="D669" i="16" s="1"/>
  <c r="N35" i="16" s="1"/>
  <c r="O35" i="16" s="1"/>
  <c r="D648" i="16" a="1"/>
  <c r="D648" i="16" s="1"/>
  <c r="N34" i="16" s="1"/>
  <c r="O34" i="16" s="1"/>
  <c r="D626" i="16" a="1"/>
  <c r="D626" i="16" s="1"/>
  <c r="N33" i="16" s="1"/>
  <c r="O33" i="16" s="1"/>
  <c r="D607" i="16" a="1"/>
  <c r="D607" i="16" s="1"/>
  <c r="N32" i="16" s="1"/>
  <c r="O32" i="16" s="1"/>
  <c r="D586" i="16" a="1"/>
  <c r="D586" i="16" s="1"/>
  <c r="N31" i="16" s="1"/>
  <c r="O31" i="16" s="1"/>
  <c r="D567" i="16" a="1"/>
  <c r="D567" i="16" s="1"/>
  <c r="N30" i="16" s="1"/>
  <c r="O30" i="16" s="1"/>
  <c r="D545" i="16" a="1"/>
  <c r="D545" i="16" s="1"/>
  <c r="N29" i="16" s="1"/>
  <c r="O29" i="16" s="1"/>
  <c r="D524" i="16" a="1"/>
  <c r="D524" i="16" s="1"/>
  <c r="N28" i="16" s="1"/>
  <c r="O28" i="16" s="1"/>
  <c r="D503" i="16" a="1"/>
  <c r="D503" i="16" s="1"/>
  <c r="N27" i="16" s="1"/>
  <c r="O27" i="16" s="1"/>
  <c r="D483" i="16" a="1"/>
  <c r="D483" i="16" s="1"/>
  <c r="N26" i="16" s="1"/>
  <c r="O26" i="16" s="1"/>
  <c r="D461" i="16" a="1"/>
  <c r="D461" i="16" s="1"/>
  <c r="N25" i="16" s="1"/>
  <c r="O25" i="16" s="1"/>
  <c r="D440" i="16" a="1"/>
  <c r="D440" i="16" s="1"/>
  <c r="N24" i="16" s="1"/>
  <c r="O24" i="16" s="1"/>
  <c r="D418" i="16" a="1"/>
  <c r="D418" i="16" s="1"/>
  <c r="N23" i="16" s="1"/>
  <c r="O23" i="16" s="1"/>
  <c r="D397" i="16" a="1"/>
  <c r="D397" i="16" s="1"/>
  <c r="N22" i="16" s="1"/>
  <c r="O22" i="16" s="1"/>
  <c r="D376" i="16" a="1"/>
  <c r="D376" i="16" s="1"/>
  <c r="N21" i="16" s="1"/>
  <c r="O21" i="16" s="1"/>
  <c r="D354" i="16" a="1"/>
  <c r="D354" i="16" s="1"/>
  <c r="N20" i="16" s="1"/>
  <c r="O20" i="16" s="1"/>
  <c r="D334" i="16" a="1"/>
  <c r="D334" i="16" s="1"/>
  <c r="N19" i="16" s="1"/>
  <c r="O19" i="16" s="1"/>
  <c r="D316" i="16" a="1"/>
  <c r="D316" i="16" s="1"/>
  <c r="N18" i="16" s="1"/>
  <c r="O18" i="16" s="1"/>
  <c r="D293" i="16" a="1"/>
  <c r="D293" i="16" s="1"/>
  <c r="N17" i="16" s="1"/>
  <c r="O17" i="16" s="1"/>
  <c r="D273" i="16" a="1"/>
  <c r="D273" i="16" s="1"/>
  <c r="N16" i="16" s="1"/>
  <c r="O16" i="16" s="1"/>
  <c r="D253" i="16" a="1"/>
  <c r="D253" i="16" s="1"/>
  <c r="N15" i="16" s="1"/>
  <c r="O15" i="16" s="1"/>
  <c r="D234" i="16" a="1"/>
  <c r="D234" i="16" s="1"/>
  <c r="N14" i="16" s="1"/>
  <c r="O14" i="16" s="1"/>
  <c r="D212" i="16" a="1"/>
  <c r="D212" i="16" s="1"/>
  <c r="N13" i="16" s="1"/>
  <c r="O13" i="16" s="1"/>
  <c r="D191" i="16" a="1"/>
  <c r="D191" i="16" s="1"/>
  <c r="N12" i="16" s="1"/>
  <c r="O12" i="16" s="1"/>
  <c r="D169" i="16" a="1"/>
  <c r="D169" i="16" s="1"/>
  <c r="N11" i="16" s="1"/>
  <c r="O11" i="16" s="1"/>
  <c r="D148" i="16" a="1"/>
  <c r="D148" i="16" s="1"/>
  <c r="N10" i="16" s="1"/>
  <c r="O10" i="16" s="1"/>
  <c r="D126" i="16" a="1"/>
  <c r="D126" i="16" s="1"/>
  <c r="N9" i="16" s="1"/>
  <c r="O9" i="16" s="1"/>
  <c r="D104" i="16" a="1"/>
  <c r="D104" i="16" s="1"/>
  <c r="N8" i="16" s="1"/>
  <c r="O8" i="16" s="1"/>
  <c r="D85" i="16" a="1"/>
  <c r="D85" i="16" s="1"/>
  <c r="N7" i="16" s="1"/>
  <c r="O7" i="16" s="1"/>
  <c r="D65" i="16" a="1"/>
  <c r="D65" i="16" s="1"/>
  <c r="N6" i="16" s="1"/>
  <c r="O6" i="16" s="1"/>
  <c r="D42" i="16" a="1"/>
  <c r="D42" i="16" s="1"/>
  <c r="N5" i="16" s="1"/>
  <c r="O5" i="16" s="1"/>
  <c r="D22" i="16" a="1"/>
  <c r="D22" i="16" s="1"/>
  <c r="N4" i="16" s="1"/>
  <c r="O4" i="16" s="1"/>
  <c r="D2" i="16" a="1"/>
  <c r="D2" i="16" s="1"/>
  <c r="N3" i="16" s="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Y167" i="11"/>
  <c r="Y168" i="11"/>
  <c r="Y169" i="11"/>
  <c r="Y170" i="11"/>
  <c r="Y171" i="11"/>
  <c r="Y172" i="11"/>
  <c r="Y173" i="11"/>
  <c r="Y174" i="11"/>
  <c r="Y175" i="11"/>
  <c r="Y176" i="11"/>
  <c r="Y177" i="11"/>
  <c r="Y178" i="11"/>
  <c r="Y179" i="11"/>
  <c r="Y180" i="11"/>
  <c r="Y181" i="11"/>
  <c r="Y182" i="11"/>
  <c r="Y183" i="11"/>
  <c r="Y184" i="11"/>
  <c r="Y185" i="11"/>
  <c r="Y186" i="11"/>
  <c r="Y187" i="11"/>
  <c r="Y188" i="11"/>
  <c r="Y189" i="11"/>
  <c r="Y190" i="11"/>
  <c r="Y191" i="11"/>
  <c r="Y192" i="11"/>
  <c r="Y193" i="11"/>
  <c r="Y194" i="11"/>
  <c r="Y195" i="11"/>
  <c r="Y196" i="11"/>
  <c r="Y197" i="11"/>
  <c r="Y198" i="11"/>
  <c r="Y199" i="11"/>
  <c r="Y200" i="11"/>
  <c r="Y201" i="11"/>
  <c r="Y202" i="11"/>
  <c r="Y203" i="11"/>
  <c r="Y204" i="11"/>
  <c r="Y205" i="11"/>
  <c r="Y206" i="11"/>
  <c r="Y207" i="11"/>
  <c r="Y208" i="11"/>
  <c r="Y209" i="11"/>
  <c r="Y210" i="11"/>
  <c r="Y211" i="11"/>
  <c r="Y212" i="11"/>
  <c r="Y213" i="11"/>
  <c r="Y214" i="11"/>
  <c r="Y215" i="11"/>
  <c r="Y216" i="11"/>
  <c r="Y217" i="11"/>
  <c r="Y218" i="11"/>
  <c r="Y219" i="11"/>
  <c r="Y220" i="11"/>
  <c r="Y221" i="11"/>
  <c r="Y222" i="11"/>
  <c r="Y223" i="11"/>
  <c r="Y224" i="11"/>
  <c r="Y225" i="11"/>
  <c r="Y226" i="11"/>
  <c r="Y227" i="11"/>
  <c r="Y228" i="11"/>
  <c r="Y229" i="11"/>
  <c r="Y230" i="11"/>
  <c r="Y231" i="11"/>
  <c r="Y232" i="11"/>
  <c r="Y233" i="11"/>
  <c r="Y234" i="11"/>
  <c r="Y235" i="11"/>
  <c r="Y236" i="11"/>
  <c r="Y237" i="11"/>
  <c r="Y238" i="11"/>
  <c r="Y239" i="11"/>
  <c r="Y240" i="11"/>
  <c r="Y241" i="11"/>
  <c r="Y242" i="11"/>
  <c r="Y243" i="11"/>
  <c r="Y244" i="11"/>
  <c r="Y245" i="11"/>
  <c r="Y246" i="11"/>
  <c r="Y247" i="11"/>
  <c r="Y248" i="11"/>
  <c r="Y249" i="11"/>
  <c r="Y250" i="11"/>
  <c r="Y251" i="11"/>
  <c r="Y252" i="11"/>
  <c r="Y253" i="11"/>
  <c r="Y254" i="11"/>
  <c r="Y255" i="11"/>
  <c r="Y256" i="11"/>
  <c r="Y257" i="11"/>
  <c r="Y258" i="11"/>
  <c r="Y259" i="11"/>
  <c r="Y260" i="11"/>
  <c r="Y261" i="11"/>
  <c r="Y262" i="11"/>
  <c r="Y263" i="11"/>
  <c r="Y264" i="11"/>
  <c r="Y265" i="11"/>
  <c r="Y266" i="11"/>
  <c r="Y267" i="11"/>
  <c r="Y268" i="11"/>
  <c r="Y269" i="11"/>
  <c r="Y270" i="11"/>
  <c r="Y271" i="11"/>
  <c r="Y272" i="11"/>
  <c r="Y273" i="11"/>
  <c r="Y274" i="11"/>
  <c r="Y275" i="11"/>
  <c r="Y276" i="11"/>
  <c r="Y277" i="11"/>
  <c r="Y278" i="11"/>
  <c r="Y279" i="11"/>
  <c r="Y280" i="11"/>
  <c r="Y281" i="11"/>
  <c r="Y282" i="11"/>
  <c r="Y283" i="11"/>
  <c r="Y284" i="11"/>
  <c r="Y285" i="11"/>
  <c r="Y286" i="11"/>
  <c r="Y287" i="11"/>
  <c r="Y288" i="11"/>
  <c r="Y289" i="11"/>
  <c r="Y290" i="11"/>
  <c r="Y291" i="11"/>
  <c r="Y292" i="11"/>
  <c r="Y293" i="11"/>
  <c r="Y294" i="11"/>
  <c r="Y295" i="11"/>
  <c r="Y296" i="11"/>
  <c r="Y297" i="11"/>
  <c r="Y298" i="11"/>
  <c r="Y299" i="11"/>
  <c r="Y300" i="11"/>
  <c r="Y301" i="11"/>
  <c r="Y302" i="11"/>
  <c r="Y303" i="11"/>
  <c r="Y304" i="11"/>
  <c r="Y305" i="11"/>
  <c r="Y306" i="11"/>
  <c r="Y307" i="11"/>
  <c r="Y308" i="11"/>
  <c r="Y309" i="11"/>
  <c r="Y310" i="11"/>
  <c r="Y311" i="11"/>
  <c r="Y312" i="11"/>
  <c r="Y313" i="11"/>
  <c r="Y314" i="11"/>
  <c r="Y315" i="11"/>
  <c r="Y316" i="11"/>
  <c r="Y317" i="11"/>
  <c r="Y318" i="11"/>
  <c r="Y319" i="11"/>
  <c r="Y320" i="11"/>
  <c r="Y321" i="11"/>
  <c r="Y322" i="11"/>
  <c r="Y323" i="11"/>
  <c r="Y324" i="11"/>
  <c r="Y325" i="11"/>
  <c r="Y326" i="11"/>
  <c r="Y327" i="11"/>
  <c r="Y328" i="11"/>
  <c r="Y329" i="11"/>
  <c r="Y330" i="11"/>
  <c r="Y331" i="11"/>
  <c r="Y332" i="11"/>
  <c r="Y333" i="11"/>
  <c r="Y334" i="11"/>
  <c r="Y335" i="11"/>
  <c r="Y336" i="11"/>
  <c r="Y337" i="11"/>
  <c r="Y338" i="11"/>
  <c r="Y339" i="11"/>
  <c r="Y340" i="11"/>
  <c r="Y341" i="11"/>
  <c r="Y342" i="11"/>
  <c r="Y343" i="11"/>
  <c r="Y344" i="11"/>
  <c r="Y345" i="11"/>
  <c r="Y346" i="11"/>
  <c r="Y347" i="11"/>
  <c r="Y348" i="11"/>
  <c r="Y349" i="11"/>
  <c r="Y350" i="11"/>
  <c r="Y351" i="11"/>
  <c r="Y352" i="11"/>
  <c r="Y353" i="11"/>
  <c r="Y354" i="11"/>
  <c r="Y355" i="11"/>
  <c r="Y356" i="11"/>
  <c r="Y357" i="11"/>
  <c r="Y358" i="11"/>
  <c r="Y359" i="11"/>
  <c r="Y360" i="11"/>
  <c r="Y361" i="11"/>
  <c r="Y362" i="11"/>
  <c r="Y363" i="11"/>
  <c r="Y364" i="11"/>
  <c r="Y365" i="11"/>
  <c r="Y366" i="11"/>
  <c r="Y367" i="11"/>
  <c r="Y368" i="11"/>
  <c r="Y369" i="11"/>
  <c r="Y370" i="11"/>
  <c r="Y371" i="11"/>
  <c r="Y372" i="11"/>
  <c r="Y373" i="11"/>
  <c r="Y374" i="11"/>
  <c r="Y375" i="11"/>
  <c r="Y376" i="11"/>
  <c r="Y377" i="11"/>
  <c r="Y378" i="11"/>
  <c r="Y379" i="11"/>
  <c r="Y380" i="11"/>
  <c r="Y381" i="11"/>
  <c r="Y382" i="11"/>
  <c r="Y383" i="11"/>
  <c r="Y384" i="11"/>
  <c r="Y385" i="11"/>
  <c r="Y386" i="11"/>
  <c r="Y387" i="11"/>
  <c r="Y388" i="11"/>
  <c r="Y389" i="11"/>
  <c r="Y390" i="11"/>
  <c r="Y391" i="11"/>
  <c r="Y392" i="11"/>
  <c r="Y393" i="11"/>
  <c r="Y394" i="11"/>
  <c r="Y395" i="11"/>
  <c r="Y396" i="11"/>
  <c r="Y397" i="11"/>
  <c r="Y398" i="11"/>
  <c r="Y399" i="11"/>
  <c r="Y400" i="11"/>
  <c r="Y401" i="11"/>
  <c r="Y402" i="11"/>
  <c r="Y403" i="11"/>
  <c r="Y404" i="11"/>
  <c r="Y405" i="11"/>
  <c r="Y406" i="11"/>
  <c r="Y407" i="11"/>
  <c r="Y408" i="11"/>
  <c r="Y409" i="11"/>
  <c r="Y410" i="11"/>
  <c r="Y411" i="11"/>
  <c r="Y412" i="11"/>
  <c r="Y413" i="11"/>
  <c r="Y414" i="11"/>
  <c r="Y415" i="11"/>
  <c r="Y416" i="11"/>
  <c r="Y417" i="11"/>
  <c r="Y418" i="11"/>
  <c r="Y419" i="11"/>
  <c r="Y420" i="11"/>
  <c r="Y421" i="11"/>
  <c r="Y422" i="11"/>
  <c r="Y423" i="11"/>
  <c r="Y424" i="11"/>
  <c r="Y425" i="11"/>
  <c r="Y426" i="11"/>
  <c r="Y427" i="11"/>
  <c r="Y428" i="11"/>
  <c r="Y429" i="11"/>
  <c r="Y430" i="11"/>
  <c r="Y431" i="11"/>
  <c r="Y432" i="11"/>
  <c r="Y433" i="11"/>
  <c r="Y434" i="11"/>
  <c r="Y435" i="11"/>
  <c r="Y436" i="11"/>
  <c r="Y437" i="11"/>
  <c r="Y438" i="11"/>
  <c r="Y439" i="11"/>
  <c r="Y440" i="11"/>
  <c r="Y441" i="11"/>
  <c r="Y442" i="11"/>
  <c r="Y443" i="11"/>
  <c r="Y444" i="11"/>
  <c r="Y445" i="11"/>
  <c r="Y446" i="11"/>
  <c r="Y447" i="11"/>
  <c r="Y448" i="11"/>
  <c r="Y449" i="11"/>
  <c r="Y450" i="11"/>
  <c r="Y451" i="11"/>
  <c r="Y452" i="11"/>
  <c r="Y453" i="11"/>
  <c r="Y454" i="11"/>
  <c r="Y455" i="11"/>
  <c r="Y456" i="11"/>
  <c r="Y457" i="11"/>
  <c r="Y458" i="11"/>
  <c r="Y459" i="11"/>
  <c r="Y460" i="11"/>
  <c r="Y461" i="11"/>
  <c r="Y462" i="11"/>
  <c r="Y463" i="11"/>
  <c r="Y464" i="11"/>
  <c r="Y465" i="11"/>
  <c r="Y466" i="11"/>
  <c r="Y467" i="11"/>
  <c r="Y468" i="11"/>
  <c r="Y469" i="11"/>
  <c r="Y470" i="11"/>
  <c r="Y471" i="11"/>
  <c r="Y472" i="11"/>
  <c r="Y473" i="11"/>
  <c r="Y474" i="11"/>
  <c r="Y475" i="11"/>
  <c r="Y476" i="11"/>
  <c r="Y477" i="11"/>
  <c r="Y478" i="11"/>
  <c r="Y479" i="11"/>
  <c r="Y480" i="11"/>
  <c r="Y481" i="11"/>
  <c r="Y482" i="11"/>
  <c r="Y483" i="11"/>
  <c r="Y484" i="11"/>
  <c r="Y485" i="11"/>
  <c r="Y486" i="11"/>
  <c r="Y487" i="11"/>
  <c r="Y488" i="11"/>
  <c r="Y489" i="11"/>
  <c r="Y490" i="11"/>
  <c r="Y491" i="11"/>
  <c r="Y492" i="11"/>
  <c r="Y493" i="11"/>
  <c r="Y494" i="11"/>
  <c r="Y495" i="11"/>
  <c r="Y496" i="11"/>
  <c r="Y497" i="11"/>
  <c r="Y498" i="11"/>
  <c r="Y499" i="11"/>
  <c r="Y500" i="11"/>
  <c r="Y501" i="11"/>
  <c r="Y502" i="11"/>
  <c r="Y503" i="11"/>
  <c r="Y504" i="11"/>
  <c r="Y505" i="11"/>
  <c r="Y506" i="11"/>
  <c r="Y507" i="11"/>
  <c r="Y508" i="11"/>
  <c r="Y509" i="11"/>
  <c r="Y510" i="11"/>
  <c r="Y511" i="11"/>
  <c r="Y512" i="11"/>
  <c r="Y513" i="11"/>
  <c r="Y514" i="11"/>
  <c r="Y515" i="11"/>
  <c r="Y516" i="11"/>
  <c r="Y517" i="11"/>
  <c r="Y518" i="11"/>
  <c r="Y519" i="11"/>
  <c r="Y520" i="11"/>
  <c r="Y521" i="11"/>
  <c r="Y522" i="11"/>
  <c r="Y523" i="11"/>
  <c r="Y524" i="11"/>
  <c r="Y525" i="11"/>
  <c r="Y526" i="11"/>
  <c r="Y527" i="11"/>
  <c r="Y528" i="11"/>
  <c r="Y529" i="11"/>
  <c r="Y530" i="11"/>
  <c r="Y531" i="11"/>
  <c r="Y532" i="11"/>
  <c r="Y533" i="11"/>
  <c r="Y534" i="11"/>
  <c r="Y535" i="11"/>
  <c r="Y536" i="11"/>
  <c r="Y537" i="11"/>
  <c r="Y538" i="11"/>
  <c r="Y539" i="11"/>
  <c r="Y540" i="11"/>
  <c r="Y541" i="11"/>
  <c r="Y542" i="11"/>
  <c r="Y543" i="11"/>
  <c r="Y544" i="11"/>
  <c r="Y545" i="11"/>
  <c r="Y546" i="11"/>
  <c r="Y547" i="11"/>
  <c r="Y548" i="11"/>
  <c r="Y549" i="11"/>
  <c r="Y550" i="11"/>
  <c r="Y551" i="11"/>
  <c r="Y552" i="11"/>
  <c r="Y553" i="11"/>
  <c r="Y554" i="11"/>
  <c r="Y555" i="11"/>
  <c r="Y556" i="11"/>
  <c r="Y557" i="11"/>
  <c r="Y558" i="11"/>
  <c r="Y559" i="11"/>
  <c r="Y560" i="11"/>
  <c r="Y561" i="11"/>
  <c r="Y562" i="11"/>
  <c r="Y563" i="11"/>
  <c r="Y564" i="11"/>
  <c r="Y565" i="11"/>
  <c r="Y566" i="11"/>
  <c r="Y567" i="11"/>
  <c r="Y568" i="11"/>
  <c r="Y569" i="11"/>
  <c r="Y570" i="11"/>
  <c r="Y571" i="11"/>
  <c r="Y572" i="11"/>
  <c r="Y573" i="11"/>
  <c r="Y574" i="11"/>
  <c r="Y575" i="11"/>
  <c r="Y576" i="11"/>
  <c r="Y577" i="11"/>
  <c r="Y578" i="11"/>
  <c r="Y579" i="11"/>
  <c r="Y580" i="11"/>
  <c r="Y581" i="11"/>
  <c r="Y582" i="11"/>
  <c r="Y583" i="11"/>
  <c r="Y584" i="11"/>
  <c r="Y585" i="11"/>
  <c r="Y586" i="11"/>
  <c r="Y587" i="11"/>
  <c r="Y588" i="11"/>
  <c r="Y589" i="11"/>
  <c r="Y590" i="11"/>
  <c r="Y591" i="11"/>
  <c r="Y592" i="11"/>
  <c r="Y593" i="11"/>
  <c r="Y594" i="11"/>
  <c r="Y595" i="11"/>
  <c r="Y596" i="11"/>
  <c r="Y597" i="11"/>
  <c r="Y598" i="11"/>
  <c r="Y599" i="11"/>
  <c r="Y600" i="11"/>
  <c r="Y601" i="11"/>
  <c r="Y602" i="11"/>
  <c r="Y603" i="11"/>
  <c r="Y604" i="11"/>
  <c r="Y605" i="11"/>
  <c r="Y606" i="11"/>
  <c r="Y607" i="11"/>
  <c r="Y608" i="11"/>
  <c r="Y609" i="11"/>
  <c r="Y610" i="11"/>
  <c r="Y611" i="11"/>
  <c r="Y612" i="11"/>
  <c r="Y613" i="11"/>
  <c r="Y614" i="11"/>
  <c r="Y615" i="11"/>
  <c r="Y616" i="11"/>
  <c r="Y617" i="11"/>
  <c r="Y618" i="11"/>
  <c r="Y619" i="11"/>
  <c r="Y620" i="11"/>
  <c r="Y621" i="11"/>
  <c r="Y622" i="11"/>
  <c r="Y623" i="11"/>
  <c r="Y624" i="11"/>
  <c r="Y625" i="11"/>
  <c r="Y626" i="11"/>
  <c r="Y627" i="11"/>
  <c r="Y628" i="11"/>
  <c r="Y629" i="11"/>
  <c r="Y630" i="11"/>
  <c r="Y631" i="11"/>
  <c r="Y632" i="11"/>
  <c r="Y633" i="11"/>
  <c r="Y634" i="11"/>
  <c r="Y635" i="11"/>
  <c r="Y636" i="11"/>
  <c r="Y637" i="11"/>
  <c r="Y638" i="11"/>
  <c r="Y639" i="11"/>
  <c r="Y640" i="11"/>
  <c r="Y641" i="11"/>
  <c r="Y642" i="11"/>
  <c r="Y643" i="11"/>
  <c r="Y644" i="11"/>
  <c r="Y645" i="11"/>
  <c r="Y646" i="11"/>
  <c r="Y647" i="11"/>
  <c r="Y648" i="11"/>
  <c r="Y649" i="11"/>
  <c r="Y650" i="11"/>
  <c r="Y651" i="11"/>
  <c r="Y652" i="11"/>
  <c r="Y653" i="11"/>
  <c r="Y654" i="11"/>
  <c r="Y655" i="11"/>
  <c r="Y656" i="11"/>
  <c r="Y657" i="11"/>
  <c r="Y658" i="11"/>
  <c r="Y659" i="11"/>
  <c r="Y660" i="11"/>
  <c r="Y661" i="11"/>
  <c r="Y662" i="11"/>
  <c r="Y663" i="11"/>
  <c r="Y664" i="11"/>
  <c r="Y665" i="11"/>
  <c r="Y666" i="11"/>
  <c r="Y667" i="11"/>
  <c r="Y668" i="11"/>
  <c r="Y669" i="11"/>
  <c r="Y670" i="11"/>
  <c r="Y671" i="11"/>
  <c r="Y672" i="11"/>
  <c r="Y673" i="11"/>
  <c r="Y674" i="11"/>
  <c r="Y675" i="11"/>
  <c r="Y676" i="11"/>
  <c r="Y677" i="11"/>
  <c r="Y678" i="11"/>
  <c r="Y679" i="11"/>
  <c r="Y680" i="11"/>
  <c r="Y681" i="11"/>
  <c r="Y682" i="11"/>
  <c r="Y683" i="11"/>
  <c r="Y684" i="11"/>
  <c r="Y685" i="11"/>
  <c r="Y686" i="11"/>
  <c r="Y687" i="11"/>
  <c r="Y688" i="11"/>
  <c r="Y689" i="11"/>
  <c r="Y690" i="11"/>
  <c r="Y691" i="11"/>
  <c r="Y692" i="11"/>
  <c r="Y693" i="11"/>
  <c r="Y694" i="11"/>
  <c r="Y695" i="11"/>
  <c r="Y696" i="11"/>
  <c r="Y697" i="11"/>
  <c r="Y698" i="11"/>
  <c r="Y699" i="11"/>
  <c r="Y700" i="11"/>
  <c r="Y701" i="11"/>
  <c r="Y702" i="11"/>
  <c r="Y703" i="11"/>
  <c r="Y704" i="11"/>
  <c r="Y705" i="11"/>
  <c r="Y706" i="11"/>
  <c r="Y707" i="11"/>
  <c r="Y708" i="11"/>
  <c r="Y709" i="11"/>
  <c r="Y710" i="11"/>
  <c r="Y711" i="11"/>
  <c r="Y712" i="11"/>
  <c r="Y713" i="11"/>
  <c r="Y714" i="11"/>
  <c r="Y715" i="11"/>
  <c r="Y716" i="11"/>
  <c r="Y717" i="11"/>
  <c r="Y718" i="11"/>
  <c r="Y719" i="11"/>
  <c r="Y720" i="11"/>
  <c r="Y721" i="11"/>
  <c r="Y722" i="11"/>
  <c r="Y723" i="11"/>
  <c r="Y724" i="11"/>
  <c r="Y725" i="11"/>
  <c r="Y726" i="11"/>
  <c r="Y727" i="11"/>
  <c r="Y728" i="11"/>
  <c r="Y729" i="11"/>
  <c r="Y730" i="11"/>
  <c r="Y731" i="11"/>
  <c r="Y732" i="11"/>
  <c r="Y733" i="11"/>
  <c r="Y734" i="11"/>
  <c r="Y735" i="11"/>
  <c r="Y736" i="11"/>
  <c r="Y737" i="11"/>
  <c r="Y738" i="11"/>
  <c r="Y739" i="11"/>
  <c r="Y740" i="11"/>
  <c r="Y741" i="11"/>
  <c r="Y742" i="11"/>
  <c r="Y743" i="11"/>
  <c r="Y744" i="11"/>
  <c r="Y745" i="11"/>
  <c r="Y746" i="11"/>
  <c r="Y747" i="11"/>
  <c r="Y748" i="11"/>
  <c r="Y749" i="11"/>
  <c r="Y750" i="11"/>
  <c r="Y751" i="11"/>
  <c r="Y752" i="11"/>
  <c r="Y753" i="11"/>
  <c r="Y754" i="11"/>
  <c r="Y755" i="11"/>
  <c r="Y756" i="11"/>
  <c r="Y757" i="11"/>
  <c r="Y758" i="11"/>
  <c r="Y759" i="11"/>
  <c r="Y760" i="11"/>
  <c r="Y761" i="11"/>
  <c r="Y762" i="11"/>
  <c r="Y763" i="11"/>
  <c r="Y764" i="11"/>
  <c r="Y765" i="11"/>
  <c r="Y766" i="11"/>
  <c r="Y767" i="11"/>
  <c r="Y768" i="11"/>
  <c r="Y769" i="11"/>
  <c r="Y770" i="11"/>
  <c r="Y771" i="11"/>
  <c r="Y772" i="11"/>
  <c r="Y773" i="11"/>
  <c r="Y774" i="11"/>
  <c r="Y775" i="11"/>
  <c r="Y776" i="11"/>
  <c r="Y777" i="11"/>
  <c r="Y778" i="11"/>
  <c r="Y779" i="11"/>
  <c r="Y780" i="11"/>
  <c r="Y781" i="11"/>
  <c r="Y782" i="11"/>
  <c r="Y783" i="11"/>
  <c r="Y784" i="11"/>
  <c r="Y785" i="11"/>
  <c r="Y786" i="11"/>
  <c r="Y787" i="11"/>
  <c r="Y788" i="11"/>
  <c r="Y789" i="11"/>
  <c r="Y790" i="11"/>
  <c r="Y791" i="11"/>
  <c r="Y792" i="11"/>
  <c r="Y793" i="11"/>
  <c r="Y794" i="11"/>
  <c r="Y795" i="11"/>
  <c r="Y796" i="11"/>
  <c r="Y797" i="11"/>
  <c r="Y798" i="11"/>
  <c r="Y799" i="11"/>
  <c r="Y800" i="11"/>
  <c r="Y801" i="11"/>
  <c r="Y802" i="11"/>
  <c r="Y803" i="11"/>
  <c r="Y804" i="11"/>
  <c r="Y805" i="11"/>
  <c r="Y806" i="11"/>
  <c r="Y807" i="11"/>
  <c r="Y808" i="11"/>
  <c r="Y809" i="11"/>
  <c r="Y810" i="11"/>
  <c r="Y811" i="11"/>
  <c r="Y812" i="11"/>
  <c r="Y813" i="11"/>
  <c r="Y814" i="11"/>
  <c r="Y815" i="11"/>
  <c r="Y816" i="11"/>
  <c r="Y817" i="11"/>
  <c r="Y818" i="11"/>
  <c r="Y819" i="11"/>
  <c r="Y820" i="11"/>
  <c r="Y821" i="11"/>
  <c r="Y822" i="11"/>
  <c r="Y823" i="11"/>
  <c r="Y824" i="11"/>
  <c r="Y825" i="11"/>
  <c r="Y826" i="11"/>
  <c r="Y827" i="11"/>
  <c r="Y828" i="11"/>
  <c r="Y829" i="11"/>
  <c r="Y830" i="11"/>
  <c r="Y831" i="11"/>
  <c r="Y832" i="11"/>
  <c r="Y833" i="11"/>
  <c r="Y834" i="11"/>
  <c r="Y835" i="11"/>
  <c r="Y836" i="11"/>
  <c r="Y837" i="11"/>
  <c r="Y838" i="11"/>
  <c r="Y839" i="11"/>
  <c r="Y840" i="11"/>
  <c r="Y841" i="11"/>
  <c r="Y842" i="11"/>
  <c r="Y843" i="11"/>
  <c r="Y844" i="11"/>
  <c r="Y845" i="11"/>
  <c r="Y846" i="11"/>
  <c r="Y847" i="11"/>
  <c r="Y848" i="11"/>
  <c r="Y849" i="11"/>
  <c r="Y850" i="11"/>
  <c r="Y851" i="11"/>
  <c r="Y852" i="11"/>
  <c r="Y853" i="11"/>
  <c r="Y854" i="11"/>
  <c r="Y855" i="11"/>
  <c r="Y856" i="11"/>
  <c r="Y857" i="11"/>
  <c r="Y858" i="11"/>
  <c r="Y859" i="11"/>
  <c r="Y860" i="11"/>
  <c r="Y861" i="11"/>
  <c r="Y862" i="11"/>
  <c r="Y863" i="11"/>
  <c r="Y864" i="11"/>
  <c r="Y865" i="11"/>
  <c r="Y866" i="11"/>
  <c r="Y867" i="11"/>
  <c r="Y868" i="11"/>
  <c r="Y869" i="11"/>
  <c r="Y870" i="11"/>
  <c r="Y871" i="11"/>
  <c r="Y872" i="11"/>
  <c r="Y873" i="11"/>
  <c r="Y874" i="11"/>
  <c r="Y875" i="11"/>
  <c r="Y876" i="11"/>
  <c r="Y877" i="11"/>
  <c r="Y878" i="11"/>
  <c r="Y879" i="11"/>
  <c r="Y880" i="11"/>
  <c r="Y881" i="11"/>
  <c r="Y882" i="11"/>
  <c r="Y883" i="11"/>
  <c r="Y884" i="11"/>
  <c r="Y885" i="11"/>
  <c r="Y886" i="11"/>
  <c r="Y887" i="11"/>
  <c r="Y888" i="11"/>
  <c r="Y889" i="11"/>
  <c r="Y890" i="11"/>
  <c r="Y891" i="11"/>
  <c r="Y892" i="11"/>
  <c r="Y893" i="11"/>
  <c r="Y894" i="11"/>
  <c r="Y895" i="11"/>
  <c r="Y896" i="11"/>
  <c r="Y897" i="11"/>
  <c r="Y898" i="11"/>
  <c r="Y899" i="11"/>
  <c r="Y900" i="11"/>
  <c r="Y901" i="11"/>
  <c r="Y902" i="11"/>
  <c r="Y903" i="11"/>
  <c r="Y904" i="11"/>
  <c r="Y905" i="11"/>
  <c r="Y906" i="11"/>
  <c r="Y907" i="11"/>
  <c r="Y908" i="11"/>
  <c r="Y909" i="11"/>
  <c r="Y910" i="11"/>
  <c r="Y911" i="11"/>
  <c r="Y912" i="11"/>
  <c r="Y913" i="11"/>
  <c r="Y914" i="11"/>
  <c r="Y915" i="11"/>
  <c r="Y916" i="11"/>
  <c r="Y917" i="11"/>
  <c r="Y918" i="11"/>
  <c r="Y919" i="11"/>
  <c r="Y920" i="11"/>
  <c r="Y921" i="11"/>
  <c r="Y922" i="11"/>
  <c r="Y923" i="11"/>
  <c r="Y924" i="11"/>
  <c r="Y925" i="11"/>
  <c r="Y926" i="11"/>
  <c r="Y927" i="11"/>
  <c r="Y928" i="11"/>
  <c r="Y929" i="11"/>
  <c r="Y930" i="11"/>
  <c r="Y931" i="11"/>
  <c r="Y932" i="11"/>
  <c r="Y933" i="11"/>
  <c r="Y934" i="11"/>
  <c r="Y935" i="11"/>
  <c r="Y936" i="11"/>
  <c r="Y937" i="11"/>
  <c r="Y938" i="11"/>
  <c r="Y939" i="11"/>
  <c r="Y940" i="11"/>
  <c r="Y941" i="11"/>
  <c r="Y942" i="11"/>
  <c r="Y943" i="11"/>
  <c r="Y944" i="11"/>
  <c r="Y945" i="11"/>
  <c r="Y946" i="11"/>
  <c r="Y947" i="11"/>
  <c r="Y948" i="11"/>
  <c r="Y949" i="11"/>
  <c r="Y950" i="11"/>
  <c r="Y951" i="11"/>
  <c r="Y952" i="11"/>
  <c r="Y953" i="11"/>
  <c r="Y954" i="11"/>
  <c r="Y955" i="11"/>
  <c r="Y956" i="11"/>
  <c r="Y957" i="11"/>
  <c r="Y958" i="11"/>
  <c r="Y959" i="11"/>
  <c r="Y960" i="11"/>
  <c r="Y961" i="11"/>
  <c r="Y962" i="11"/>
  <c r="Y963" i="11"/>
  <c r="Y964" i="11"/>
  <c r="Y965" i="11"/>
  <c r="Y966" i="11"/>
  <c r="Y967" i="11"/>
  <c r="Y968" i="11"/>
  <c r="Y969" i="11"/>
  <c r="Y970" i="11"/>
  <c r="Y971" i="11"/>
  <c r="Y972" i="11"/>
  <c r="Y973" i="11"/>
  <c r="Y974" i="11"/>
  <c r="Y975" i="11"/>
  <c r="Y976" i="11"/>
  <c r="Y977" i="11"/>
  <c r="Y978" i="11"/>
  <c r="Y979" i="11"/>
  <c r="Y980" i="11"/>
  <c r="Y981" i="11"/>
  <c r="Y982" i="11"/>
  <c r="Y983" i="11"/>
  <c r="Y984" i="11"/>
  <c r="Y985" i="11"/>
  <c r="Y986" i="11"/>
  <c r="Y987" i="11"/>
  <c r="Y988" i="11"/>
  <c r="Y989" i="11"/>
  <c r="Y990" i="11"/>
  <c r="Y991" i="11"/>
  <c r="Y992" i="11"/>
  <c r="Y993" i="11"/>
  <c r="Y994" i="11"/>
  <c r="Y995" i="11"/>
  <c r="Y996" i="11"/>
  <c r="Y997" i="11"/>
  <c r="Y998" i="11"/>
  <c r="Y999" i="11"/>
  <c r="Y1000" i="11"/>
  <c r="Y1001" i="11"/>
  <c r="Y1002" i="11"/>
  <c r="Y1003" i="11"/>
  <c r="Y1004" i="11"/>
  <c r="Y1005" i="11"/>
  <c r="Y1006" i="11"/>
  <c r="Y1007" i="11"/>
  <c r="Y1008" i="11"/>
  <c r="Y1009" i="11"/>
  <c r="Y1010" i="11"/>
  <c r="Y1011" i="11"/>
  <c r="Y1012" i="11"/>
  <c r="Y1013" i="11"/>
  <c r="Y1014" i="11"/>
  <c r="Y1015" i="11"/>
  <c r="Y1016" i="11"/>
  <c r="Y1017" i="11"/>
  <c r="Y1018" i="11"/>
  <c r="Y1019" i="11"/>
  <c r="Y1020" i="11"/>
  <c r="Y1021" i="11"/>
  <c r="Y1022" i="11"/>
  <c r="Y1023" i="11"/>
  <c r="Y1024" i="11"/>
  <c r="Y1025" i="11"/>
  <c r="Y1026" i="11"/>
  <c r="Y1027" i="11"/>
  <c r="Y1028" i="11"/>
  <c r="Y1029" i="11"/>
  <c r="Y1030" i="11"/>
  <c r="Y1031" i="11"/>
  <c r="Y1032" i="11"/>
  <c r="Y1033" i="11"/>
  <c r="Y1034" i="11"/>
  <c r="Y1035" i="11"/>
  <c r="Y1036" i="11"/>
  <c r="Y1037" i="11"/>
  <c r="Y1038" i="11"/>
  <c r="Y1039" i="11"/>
  <c r="Y1040" i="11"/>
  <c r="Y1041" i="11"/>
  <c r="Y1042" i="11"/>
  <c r="Y1043" i="11"/>
  <c r="Y1044" i="11"/>
  <c r="Y1045" i="11"/>
  <c r="Y1046" i="11"/>
  <c r="Y1047" i="11"/>
  <c r="Y1048" i="11"/>
  <c r="Y1049" i="11"/>
  <c r="Y1050" i="11"/>
  <c r="Y1051" i="11"/>
  <c r="Y1052" i="11"/>
  <c r="Y1053" i="11"/>
  <c r="Y1054" i="11"/>
  <c r="Y1055" i="11"/>
  <c r="Y1056" i="11"/>
  <c r="Y1057" i="11"/>
  <c r="Y1058" i="11"/>
  <c r="Y1059" i="11"/>
  <c r="Y1060" i="11"/>
  <c r="Y1061" i="11"/>
  <c r="Y1062" i="11"/>
  <c r="Y1063" i="11"/>
  <c r="Y1064" i="11"/>
  <c r="Y1065" i="11"/>
  <c r="Y1066" i="11"/>
  <c r="Y1067" i="11"/>
  <c r="Y1068" i="11"/>
  <c r="Y1069" i="11"/>
  <c r="Y1070" i="11"/>
  <c r="Y1071" i="11"/>
  <c r="Y1072" i="11"/>
  <c r="Y1073" i="11"/>
  <c r="Y1074" i="11"/>
  <c r="Y1075" i="11"/>
  <c r="Y1076" i="11"/>
  <c r="Y1077" i="11"/>
  <c r="Y1078" i="11"/>
  <c r="Y1079" i="11"/>
  <c r="Y1080" i="11"/>
  <c r="Y1081" i="11"/>
  <c r="Y1082" i="11"/>
  <c r="Y1083" i="11"/>
  <c r="Y1084" i="11"/>
  <c r="Y1085" i="11"/>
  <c r="Y1086" i="11"/>
  <c r="Y1087" i="11"/>
  <c r="Y1088" i="11"/>
  <c r="Y1089" i="11"/>
  <c r="Y1090" i="11"/>
  <c r="Y1091" i="11"/>
  <c r="Y1092" i="11"/>
  <c r="Y1093" i="11"/>
  <c r="Y1094" i="11"/>
  <c r="Y1095" i="11"/>
  <c r="Y1096" i="11"/>
  <c r="Y1097" i="11"/>
  <c r="Y1098" i="11"/>
  <c r="Y1099" i="11"/>
  <c r="Y1100" i="11"/>
  <c r="Y1101" i="11"/>
  <c r="Y1102" i="11"/>
  <c r="Y1103" i="11"/>
  <c r="Y1104" i="11"/>
  <c r="Y1105" i="11"/>
  <c r="Y1106" i="11"/>
  <c r="Y1107" i="11"/>
  <c r="Y1108" i="11"/>
  <c r="Y1109" i="11"/>
  <c r="Y1110" i="11"/>
  <c r="Y1111" i="11"/>
  <c r="Y1112" i="11"/>
  <c r="Y1113" i="11"/>
  <c r="Y1114" i="11"/>
  <c r="Y1115" i="11"/>
  <c r="Y1116" i="11"/>
  <c r="Y1117" i="11"/>
  <c r="Y1118" i="11"/>
  <c r="Y1119" i="11"/>
  <c r="Y1120" i="11"/>
  <c r="Y1121" i="11"/>
  <c r="Y1122" i="11"/>
  <c r="Y1123" i="11"/>
  <c r="Y1124" i="11"/>
  <c r="Y1125" i="11"/>
  <c r="Y1126" i="11"/>
  <c r="Y1127" i="11"/>
  <c r="Y1128" i="11"/>
  <c r="Y1129" i="11"/>
  <c r="Y1130" i="11"/>
  <c r="Y1131" i="11"/>
  <c r="Y1132" i="11"/>
  <c r="Y1133" i="11"/>
  <c r="Y1134" i="11"/>
  <c r="Y1135" i="11"/>
  <c r="Y1136" i="11"/>
  <c r="Y1137" i="11"/>
  <c r="Y1138" i="11"/>
  <c r="Y1139" i="11"/>
  <c r="Y1140" i="11"/>
  <c r="Y1141" i="11"/>
  <c r="Y1142" i="11"/>
  <c r="Y1143" i="11"/>
  <c r="Y1144" i="11"/>
  <c r="Y1145" i="11"/>
  <c r="Y1146" i="11"/>
  <c r="Y1147" i="11"/>
  <c r="Y1148" i="11"/>
  <c r="Y1149" i="11"/>
  <c r="Y1150" i="11"/>
  <c r="Y1151" i="11"/>
  <c r="Y1152" i="11"/>
  <c r="Y1153" i="11"/>
  <c r="Y1154" i="11"/>
  <c r="Y1155" i="11"/>
  <c r="Y1156" i="11"/>
  <c r="Y1157" i="11"/>
  <c r="Y1158" i="11"/>
  <c r="Y1159" i="11"/>
  <c r="Y1160" i="11"/>
  <c r="Y1161" i="11"/>
  <c r="Y1162" i="11"/>
  <c r="Y1163" i="11"/>
  <c r="Y1164" i="11"/>
  <c r="Y1165" i="11"/>
  <c r="Y1166" i="11"/>
  <c r="Y1167" i="11"/>
  <c r="Y1168" i="11"/>
  <c r="Y1169" i="11"/>
  <c r="Y1170" i="11"/>
  <c r="Y1171" i="11"/>
  <c r="Y1172" i="11"/>
  <c r="Y1173" i="11"/>
  <c r="Y1174" i="11"/>
  <c r="Y1175" i="11"/>
  <c r="Y1176" i="11"/>
  <c r="Y1177" i="11"/>
  <c r="Y1178" i="11"/>
  <c r="Y1179" i="11"/>
  <c r="Y1180" i="11"/>
  <c r="Y1181" i="11"/>
  <c r="Y1182" i="11"/>
  <c r="Y1183" i="11"/>
  <c r="Y1184" i="11"/>
  <c r="Y1185" i="11"/>
  <c r="Y1186" i="11"/>
  <c r="Y1187" i="11"/>
  <c r="Y1188" i="11"/>
  <c r="Y1189" i="11"/>
  <c r="Y1190" i="11"/>
  <c r="Y1191" i="11"/>
  <c r="Y1192" i="11"/>
  <c r="Y1193" i="11"/>
  <c r="Y1194" i="11"/>
  <c r="Y1195" i="11"/>
  <c r="Y1196" i="11"/>
  <c r="Y1197" i="11"/>
  <c r="Y1198" i="11"/>
  <c r="Y1199" i="11"/>
  <c r="Y1200" i="11"/>
  <c r="Y1201" i="11"/>
  <c r="Y1202" i="11"/>
  <c r="Y1203" i="11"/>
  <c r="Y1204" i="11"/>
  <c r="Y1205" i="11"/>
  <c r="Y1206" i="11"/>
  <c r="Y1207" i="11"/>
  <c r="Y1208" i="11"/>
  <c r="Y1209" i="11"/>
  <c r="Y1210" i="11"/>
  <c r="Y1211" i="11"/>
  <c r="Y1212" i="11"/>
  <c r="Y1213" i="11"/>
  <c r="Y1214" i="11"/>
  <c r="Y1215" i="11"/>
  <c r="Y1216" i="11"/>
  <c r="Y1217" i="11"/>
  <c r="Y1218" i="11"/>
  <c r="Y1219" i="11"/>
  <c r="Y1220" i="11"/>
  <c r="Y1221" i="11"/>
  <c r="Y1222" i="11"/>
  <c r="Y1223" i="11"/>
  <c r="Y1224" i="11"/>
  <c r="Y1225" i="11"/>
  <c r="Y1226" i="11"/>
  <c r="Y1227" i="11"/>
  <c r="Y1228" i="11"/>
  <c r="Y1229" i="11"/>
  <c r="Y1230" i="11"/>
  <c r="Y1231" i="11"/>
  <c r="Y1232" i="11"/>
  <c r="Y1233" i="11"/>
  <c r="Y1234" i="11"/>
  <c r="Y1235" i="11"/>
  <c r="Y1236" i="11"/>
  <c r="Y1237" i="11"/>
  <c r="Y1238" i="11"/>
  <c r="Y1239" i="11"/>
  <c r="Y1240" i="11"/>
  <c r="Y1241" i="11"/>
  <c r="Y1242" i="11"/>
  <c r="Y1243" i="11"/>
  <c r="Y1244" i="11"/>
  <c r="Y1245" i="11"/>
  <c r="Y1246" i="11"/>
  <c r="Y1247" i="11"/>
  <c r="Y1248" i="11"/>
  <c r="Y1249" i="11"/>
  <c r="Y1250" i="11"/>
  <c r="Y1251" i="11"/>
  <c r="Y1252" i="11"/>
  <c r="Y1253" i="11"/>
  <c r="Y1254" i="11"/>
  <c r="Y1255" i="11"/>
  <c r="Y1256" i="11"/>
  <c r="Y1257" i="11"/>
  <c r="Y1258" i="11"/>
  <c r="Y1259" i="11"/>
  <c r="Y1260" i="11"/>
  <c r="Y1261" i="11"/>
  <c r="Y1262" i="11"/>
  <c r="Y1263" i="11"/>
  <c r="Y1264" i="11"/>
  <c r="Y1265" i="11"/>
  <c r="Y1266" i="11"/>
  <c r="Y1267" i="11"/>
  <c r="Y1268" i="11"/>
  <c r="Y1269" i="11"/>
  <c r="Y1270" i="11"/>
  <c r="Y1271" i="11"/>
  <c r="Y1272" i="11"/>
  <c r="Y1273" i="11"/>
  <c r="Y1274" i="11"/>
  <c r="Y1275" i="11"/>
  <c r="Y1276" i="11"/>
  <c r="Y1277" i="11"/>
  <c r="Y1278" i="11"/>
  <c r="Y1279" i="11"/>
  <c r="Y1280" i="11"/>
  <c r="Y1281" i="11"/>
  <c r="Y1282" i="11"/>
  <c r="Y1283" i="11"/>
  <c r="Y1284" i="11"/>
  <c r="Y1285" i="11"/>
  <c r="Y1286" i="11"/>
  <c r="Y1287" i="11"/>
  <c r="Y1288" i="11"/>
  <c r="Y1289" i="11"/>
  <c r="Y1290" i="11"/>
  <c r="Y1291" i="11"/>
  <c r="Y1292" i="11"/>
  <c r="Y1293" i="11"/>
  <c r="Y1294" i="11"/>
  <c r="Y1295" i="11"/>
  <c r="Y1296" i="11"/>
  <c r="Y1297" i="11"/>
  <c r="Y1298" i="11"/>
  <c r="Y1299" i="11"/>
  <c r="Y1300" i="11"/>
  <c r="Y1301" i="11"/>
  <c r="Y1302" i="11"/>
  <c r="Y1303" i="11"/>
  <c r="Y1304" i="11"/>
  <c r="Y1305" i="11"/>
  <c r="Y1306" i="11"/>
  <c r="Y1307" i="11"/>
  <c r="Y1308" i="11"/>
  <c r="Y1309" i="11"/>
  <c r="Y1310" i="11"/>
  <c r="Y1311" i="11"/>
  <c r="Y1312" i="11"/>
  <c r="Y1313" i="11"/>
  <c r="Y1314" i="11"/>
  <c r="Y1315" i="11"/>
  <c r="Y1316" i="11"/>
  <c r="Y1317" i="11"/>
  <c r="Y1318" i="11"/>
  <c r="Y1319" i="11"/>
  <c r="Y1320" i="11"/>
  <c r="Y1321" i="11"/>
  <c r="Y1322" i="11"/>
  <c r="Y1323" i="11"/>
  <c r="Y1324" i="11"/>
  <c r="Y1325" i="11"/>
  <c r="Y1326" i="11"/>
  <c r="Y1327" i="11"/>
  <c r="Y1328" i="11"/>
  <c r="Y1329" i="11"/>
  <c r="Y1330" i="11"/>
  <c r="Y1331" i="11"/>
  <c r="Y1332" i="11"/>
  <c r="Y1333" i="11"/>
  <c r="Y1334" i="11"/>
  <c r="Y1335" i="11"/>
  <c r="Y1336" i="11"/>
  <c r="Y1337" i="11"/>
  <c r="Y1338" i="11"/>
  <c r="Y1339" i="11"/>
  <c r="Y1340" i="11"/>
  <c r="Y1341" i="11"/>
  <c r="Y1342" i="11"/>
  <c r="Y1343" i="11"/>
  <c r="Y1344" i="11"/>
  <c r="Y1345" i="11"/>
  <c r="Y1346" i="11"/>
  <c r="Y1347" i="11"/>
  <c r="Y1348" i="11"/>
  <c r="Y1349" i="11"/>
  <c r="Y1350" i="11"/>
  <c r="Y1351" i="11"/>
  <c r="Y1352" i="11"/>
  <c r="Y1353" i="11"/>
  <c r="Y1354" i="11"/>
  <c r="Y1355" i="11"/>
  <c r="Y1356" i="11"/>
  <c r="Y1357" i="11"/>
  <c r="Y1358" i="11"/>
  <c r="Y1359" i="11"/>
  <c r="Y1360" i="11"/>
  <c r="Y1361" i="11"/>
  <c r="Y1362" i="11"/>
  <c r="Y1363" i="11"/>
  <c r="Y1364" i="11"/>
  <c r="Y1365" i="11"/>
  <c r="Y1366" i="11"/>
  <c r="Y1367" i="11"/>
  <c r="Y1368" i="11"/>
  <c r="Y1369" i="11"/>
  <c r="Y1370" i="11"/>
  <c r="Y1371" i="11"/>
  <c r="Y1372" i="11"/>
  <c r="Y1373" i="11"/>
  <c r="Y1374" i="11"/>
  <c r="Y1375" i="11"/>
  <c r="Y1376" i="11"/>
  <c r="Y1377" i="11"/>
  <c r="Y1378" i="11"/>
  <c r="Y1379" i="11"/>
  <c r="Y1380" i="11"/>
  <c r="Y1381" i="11"/>
  <c r="Y1382" i="11"/>
  <c r="Y1383" i="11"/>
  <c r="Y1384" i="11"/>
  <c r="Y1385" i="11"/>
  <c r="Y1386" i="11"/>
  <c r="Y1387" i="11"/>
  <c r="Y1388" i="11"/>
  <c r="Y1389" i="11"/>
  <c r="Y1390" i="11"/>
  <c r="Y1391" i="11"/>
  <c r="Y1392" i="11"/>
  <c r="Y1393" i="11"/>
  <c r="Y1394" i="11"/>
  <c r="Y1395" i="11"/>
  <c r="Y1396" i="11"/>
  <c r="Y1397" i="11"/>
  <c r="Y1398" i="11"/>
  <c r="Y1399" i="11"/>
  <c r="Y1400" i="11"/>
  <c r="Y1401" i="11"/>
  <c r="Y1402" i="11"/>
  <c r="Y1403" i="11"/>
  <c r="Y1404" i="11"/>
  <c r="Y1405" i="11"/>
  <c r="Y1406" i="11"/>
  <c r="Y1407" i="11"/>
  <c r="Y1408" i="11"/>
  <c r="Y1409" i="11"/>
  <c r="Y1410" i="11"/>
  <c r="Y1411" i="11"/>
  <c r="Y1412" i="11"/>
  <c r="Y1413" i="11"/>
  <c r="Y1414" i="11"/>
  <c r="Y1415" i="11"/>
  <c r="Y1416" i="11"/>
  <c r="Y1417" i="11"/>
  <c r="Y1418" i="11"/>
  <c r="Y1419" i="11"/>
  <c r="Y1420" i="11"/>
  <c r="Y1421" i="11"/>
  <c r="Y1422" i="11"/>
  <c r="Y1423" i="11"/>
  <c r="Y1424" i="11"/>
  <c r="Y1425" i="11"/>
  <c r="Y1426" i="11"/>
  <c r="Y1427" i="11"/>
  <c r="Y1428" i="11"/>
  <c r="Y1429" i="11"/>
  <c r="Y1430" i="11"/>
  <c r="Y1431" i="11"/>
  <c r="Y1432" i="11"/>
  <c r="Y1433" i="11"/>
  <c r="Y1434" i="11"/>
  <c r="Y1435" i="11"/>
  <c r="Y1436" i="11"/>
  <c r="Y1437" i="11"/>
  <c r="Y1438" i="11"/>
  <c r="Y1439" i="11"/>
  <c r="Y1440" i="11"/>
  <c r="Y1441" i="11"/>
  <c r="Y1442" i="11"/>
  <c r="Y1443" i="11"/>
  <c r="Y1444" i="11"/>
  <c r="Y1445" i="11"/>
  <c r="Y1446" i="11"/>
  <c r="Y1447" i="11"/>
  <c r="Y1448" i="11"/>
  <c r="Y1449" i="11"/>
  <c r="Y1450" i="11"/>
  <c r="Y1451" i="11"/>
  <c r="Y1452" i="11"/>
  <c r="Y1453" i="11"/>
  <c r="Y1454" i="11"/>
  <c r="Y1455" i="11"/>
  <c r="Y1456" i="11"/>
  <c r="Y1457" i="11"/>
  <c r="Y1458" i="11"/>
  <c r="Y1459" i="11"/>
  <c r="Y1460" i="11"/>
  <c r="Y1461" i="11"/>
  <c r="Y1462" i="11"/>
  <c r="Y1463" i="11"/>
  <c r="Y1464" i="11"/>
  <c r="Y1465" i="11"/>
  <c r="Y1466" i="11"/>
  <c r="Y1467" i="11"/>
  <c r="Y1468" i="11"/>
  <c r="Y1469" i="11"/>
  <c r="Y1470" i="11"/>
  <c r="Y1471" i="11"/>
  <c r="Y1472" i="11"/>
  <c r="Y1473" i="11"/>
  <c r="Y1474" i="11"/>
  <c r="Y1475" i="11"/>
  <c r="Y1476" i="11"/>
  <c r="Y1477" i="11"/>
  <c r="Y1478" i="11"/>
  <c r="Y1479" i="11"/>
  <c r="Y1480" i="11"/>
  <c r="Y1481" i="11"/>
  <c r="Y1482" i="11"/>
  <c r="Y1483" i="11"/>
  <c r="Y1484" i="11"/>
  <c r="Y1485" i="11"/>
  <c r="Y1486" i="11"/>
  <c r="Y1487" i="11"/>
  <c r="Y1488" i="11"/>
  <c r="Y1489" i="11"/>
  <c r="Y1490" i="11"/>
  <c r="Y1491" i="11"/>
  <c r="Y1492" i="11"/>
  <c r="Y1493" i="11"/>
  <c r="Y1494" i="11"/>
  <c r="Y1495" i="11"/>
  <c r="Y1496" i="11"/>
  <c r="Y1497" i="11"/>
  <c r="Y1498" i="11"/>
  <c r="Y1499" i="11"/>
  <c r="Y1500" i="11"/>
  <c r="Y1501" i="11"/>
  <c r="Y1502" i="11"/>
  <c r="Y1503" i="11"/>
  <c r="Y1504" i="11"/>
  <c r="Y1505" i="11"/>
  <c r="Y1506" i="11"/>
  <c r="Y1507" i="11"/>
  <c r="Y1508" i="11"/>
  <c r="Y1509" i="11"/>
  <c r="Y1510" i="11"/>
  <c r="Y1511" i="11"/>
  <c r="Y1512" i="11"/>
  <c r="Y1513" i="11"/>
  <c r="Y1514" i="11"/>
  <c r="Y1515" i="11"/>
  <c r="Y1516" i="11"/>
  <c r="Y1517" i="11"/>
  <c r="Y1518" i="11"/>
  <c r="Y1519" i="11"/>
  <c r="Y1520" i="11"/>
  <c r="Y1521" i="11"/>
  <c r="Y1522" i="11"/>
  <c r="Y1523" i="11"/>
  <c r="Y1524" i="11"/>
  <c r="Y1525" i="11"/>
  <c r="Y1526" i="11"/>
  <c r="Y1527" i="11"/>
  <c r="Y1528" i="11"/>
  <c r="Y1529" i="11"/>
  <c r="Y1530" i="11"/>
  <c r="Y1531" i="11"/>
  <c r="Y1532" i="11"/>
  <c r="Y1533" i="11"/>
  <c r="Y1534" i="11"/>
  <c r="Y1535" i="11"/>
  <c r="Y1536" i="11"/>
  <c r="Y1537" i="11"/>
  <c r="Y1538" i="11"/>
  <c r="Y1539" i="11"/>
  <c r="Y1540" i="11"/>
  <c r="Y1541" i="11"/>
  <c r="Y1542" i="11"/>
  <c r="Y1543" i="11"/>
  <c r="Y1544" i="11"/>
  <c r="Y1545" i="11"/>
  <c r="Y1546" i="11"/>
  <c r="Y1547" i="11"/>
  <c r="Y1548" i="11"/>
  <c r="Y1549" i="11"/>
  <c r="Y1550" i="11"/>
  <c r="Y1551" i="11"/>
  <c r="Y1552" i="11"/>
  <c r="Y1553" i="11"/>
  <c r="Y1554" i="11"/>
  <c r="Y1555" i="11"/>
  <c r="Y1556" i="11"/>
  <c r="Y1557" i="11"/>
  <c r="Y1558" i="11"/>
  <c r="Y1559" i="11"/>
  <c r="Y1560" i="11"/>
  <c r="Y1561" i="11"/>
  <c r="Y1562" i="11"/>
  <c r="Y1563" i="11"/>
  <c r="Y1564" i="11"/>
  <c r="Y1565" i="11"/>
  <c r="Y1566" i="11"/>
  <c r="Y1567" i="11"/>
  <c r="Y1568" i="11"/>
  <c r="Y1569" i="11"/>
  <c r="Y1570" i="11"/>
  <c r="Y1571" i="11"/>
  <c r="Y1572" i="11"/>
  <c r="Y1573" i="11"/>
  <c r="Y1574" i="11"/>
  <c r="Y1575" i="11"/>
  <c r="Y1576" i="11"/>
  <c r="Y1577" i="11"/>
  <c r="Y1578" i="11"/>
  <c r="Y1579" i="11"/>
  <c r="Y1580" i="11"/>
  <c r="Y1581" i="11"/>
  <c r="Y1582" i="11"/>
  <c r="Y1583" i="11"/>
  <c r="Y1584" i="11"/>
  <c r="Y1585" i="11"/>
  <c r="Y1586" i="11"/>
  <c r="Y1587" i="11"/>
  <c r="Y1588" i="11"/>
  <c r="Y1589" i="11"/>
  <c r="Y1590" i="11"/>
  <c r="Y1591" i="11"/>
  <c r="Y1592" i="11"/>
  <c r="Y1593" i="11"/>
  <c r="Y1594" i="11"/>
  <c r="Y1595" i="11"/>
  <c r="Y1596" i="11"/>
  <c r="Y1597" i="11"/>
  <c r="Y1598" i="11"/>
  <c r="Y1599" i="11"/>
  <c r="Y1600" i="11"/>
  <c r="Y1601" i="11"/>
  <c r="Y1602" i="11"/>
  <c r="Y1603" i="11"/>
  <c r="Y1604" i="11"/>
  <c r="Y1605" i="11"/>
  <c r="Y1606" i="11"/>
  <c r="Y1607" i="11"/>
  <c r="Y1608" i="11"/>
  <c r="Y1609" i="11"/>
  <c r="Y1610" i="11"/>
  <c r="Y1611" i="11"/>
  <c r="Y1612" i="11"/>
  <c r="Y1613" i="11"/>
  <c r="Y1614" i="11"/>
  <c r="Y1615" i="11"/>
  <c r="Y1616" i="11"/>
  <c r="Y1617" i="11"/>
  <c r="Y1618" i="11"/>
  <c r="Y1619" i="11"/>
  <c r="Y1620" i="11"/>
  <c r="Y1621" i="11"/>
  <c r="Y1622" i="11"/>
  <c r="Y1623" i="11"/>
  <c r="Y1624" i="11"/>
  <c r="Y1625" i="11"/>
  <c r="Y1626" i="11"/>
  <c r="Y1627" i="11"/>
  <c r="Y1628" i="11"/>
  <c r="Y1629" i="11"/>
  <c r="Y1630" i="11"/>
  <c r="Y1631" i="11"/>
  <c r="Y1632" i="11"/>
  <c r="Y1633" i="11"/>
  <c r="Y1634" i="11"/>
  <c r="Y1635" i="11"/>
  <c r="Y1636" i="11"/>
  <c r="Y1637" i="11"/>
  <c r="Y1638" i="11"/>
  <c r="Y1639" i="11"/>
  <c r="Y1640" i="11"/>
  <c r="Y1641" i="11"/>
  <c r="Y1642" i="11"/>
  <c r="Y1643" i="11"/>
  <c r="Y1644" i="11"/>
  <c r="Y1645" i="11"/>
  <c r="Y1646" i="11"/>
  <c r="Y1647" i="11"/>
  <c r="Y1648" i="11"/>
  <c r="Y1649" i="11"/>
  <c r="Y1650" i="11"/>
  <c r="Y1651" i="11"/>
  <c r="Y1652" i="11"/>
  <c r="Y1653" i="11"/>
  <c r="Y1654" i="11"/>
  <c r="Y1655" i="11"/>
  <c r="Y1656" i="11"/>
  <c r="Y1657" i="11"/>
  <c r="Y1658" i="11"/>
  <c r="Y1659" i="11"/>
  <c r="Y1660" i="11"/>
  <c r="Y1661" i="11"/>
  <c r="Y1662" i="11"/>
  <c r="Y1663" i="11"/>
  <c r="Y1664" i="11"/>
  <c r="Y1665" i="11"/>
  <c r="Y1666" i="11"/>
  <c r="Y1667" i="11"/>
  <c r="Y1668" i="11"/>
  <c r="Y1669" i="11"/>
  <c r="Y1670" i="11"/>
  <c r="Y1671" i="11"/>
  <c r="Y1672" i="11"/>
  <c r="Y1673" i="11"/>
  <c r="Y1674" i="11"/>
  <c r="Y1675" i="11"/>
  <c r="Y1676" i="11"/>
  <c r="Y1677" i="11"/>
  <c r="Y1678" i="11"/>
  <c r="Y1679" i="11"/>
  <c r="Y1680" i="11"/>
  <c r="Y1681" i="11"/>
  <c r="Y1682" i="11"/>
  <c r="Y1683" i="11"/>
  <c r="Y1684" i="11"/>
  <c r="Y1685" i="11"/>
  <c r="Y1686" i="11"/>
  <c r="Y1687" i="11"/>
  <c r="Y1688" i="11"/>
  <c r="Y1689" i="11"/>
  <c r="Y1690" i="11"/>
  <c r="Y1691" i="11"/>
  <c r="Y1692" i="11"/>
  <c r="Y1693" i="11"/>
  <c r="Y1694" i="11"/>
  <c r="Y1695" i="11"/>
  <c r="Y1696" i="11"/>
  <c r="Y1697" i="11"/>
  <c r="Y1698" i="11"/>
  <c r="Y1699" i="11"/>
  <c r="Y1700" i="11"/>
  <c r="Y1701" i="11"/>
  <c r="Y1702" i="11"/>
  <c r="Y1703" i="11"/>
  <c r="Y1704" i="11"/>
  <c r="Y1705" i="11"/>
  <c r="Y1706" i="11"/>
  <c r="Y1707" i="11"/>
  <c r="Y1708" i="11"/>
  <c r="Y1709" i="11"/>
  <c r="Y1710" i="11"/>
  <c r="Y1711" i="11"/>
  <c r="Y1712" i="11"/>
  <c r="Y1713" i="11"/>
  <c r="Y1714" i="11"/>
  <c r="Y1715" i="11"/>
  <c r="Y1716" i="11"/>
  <c r="Y1717" i="11"/>
  <c r="Y1718" i="11"/>
  <c r="Y1719" i="11"/>
  <c r="Y1720" i="11"/>
  <c r="Y1721" i="11"/>
  <c r="Y1722" i="11"/>
  <c r="Y1723" i="11"/>
  <c r="Y1724" i="11"/>
  <c r="Y1725" i="11"/>
  <c r="Y1726" i="11"/>
  <c r="Y1727" i="11"/>
  <c r="Y1728" i="11"/>
  <c r="Y1729" i="11"/>
  <c r="Y1730" i="11"/>
  <c r="Y1731" i="11"/>
  <c r="Y1732" i="11"/>
  <c r="Y1733" i="11"/>
  <c r="Y1734" i="11"/>
  <c r="Y1735" i="11"/>
  <c r="Y1736" i="11"/>
  <c r="Y1737" i="11"/>
  <c r="Y1738" i="11"/>
  <c r="Y1739" i="11"/>
  <c r="Y1740" i="11"/>
  <c r="Y1741" i="11"/>
  <c r="Y1742" i="11"/>
  <c r="Y1743" i="11"/>
  <c r="Y1744" i="11"/>
  <c r="Y1745" i="11"/>
  <c r="Y1746" i="11"/>
  <c r="Y1747" i="11"/>
  <c r="Y1748" i="11"/>
  <c r="Y1749" i="11"/>
  <c r="Y1750" i="11"/>
  <c r="Y1751" i="11"/>
  <c r="Y1752" i="11"/>
  <c r="Y1753" i="11"/>
  <c r="Y1754" i="11"/>
  <c r="Y1755" i="11"/>
  <c r="Y1756" i="11"/>
  <c r="Y1757" i="11"/>
  <c r="Y1758" i="11"/>
  <c r="Y1759" i="11"/>
  <c r="Y1760" i="11"/>
  <c r="Y1761" i="11"/>
  <c r="Y1762" i="11"/>
  <c r="Y1763" i="11"/>
  <c r="Y1764" i="11"/>
  <c r="Y1765" i="11"/>
  <c r="Y1766" i="11"/>
  <c r="Y1767" i="11"/>
  <c r="Y1768" i="11"/>
  <c r="Y1769" i="11"/>
  <c r="Y1770" i="11"/>
  <c r="Y1771" i="11"/>
  <c r="Y1772" i="11"/>
  <c r="Y1773" i="11"/>
  <c r="Y1774" i="11"/>
  <c r="Y1775" i="11"/>
  <c r="Y1776" i="11"/>
  <c r="Y1777" i="11"/>
  <c r="Y1778" i="11"/>
  <c r="Y1779" i="11"/>
  <c r="Y1780" i="11"/>
  <c r="Y1781" i="11"/>
  <c r="Y1782" i="11"/>
  <c r="Y1783" i="11"/>
  <c r="Y1784" i="11"/>
  <c r="Y1785" i="11"/>
  <c r="Y1786" i="11"/>
  <c r="Y1787" i="11"/>
  <c r="Y1788" i="11"/>
  <c r="Y1789" i="11"/>
  <c r="Y1790" i="11"/>
  <c r="Y1791" i="11"/>
  <c r="Y1792" i="11"/>
  <c r="Y1793" i="11"/>
  <c r="Y1794" i="11"/>
  <c r="Y1795" i="11"/>
  <c r="Y1796" i="11"/>
  <c r="Y1797" i="11"/>
  <c r="Y1798" i="11"/>
  <c r="Y1799" i="11"/>
  <c r="Y1800" i="11"/>
  <c r="Y1801" i="11"/>
  <c r="Y1802" i="11"/>
  <c r="Y1803" i="11"/>
  <c r="Y1804" i="11"/>
  <c r="Y1805" i="11"/>
  <c r="Y1806" i="11"/>
  <c r="Y1807" i="11"/>
  <c r="Y1808" i="11"/>
  <c r="Y1809" i="11"/>
  <c r="Y1810" i="11"/>
  <c r="Y1811" i="11"/>
  <c r="Y1812" i="11"/>
  <c r="Y1813" i="11"/>
  <c r="Y1814" i="11"/>
  <c r="Y1815" i="11"/>
  <c r="Y1816" i="11"/>
  <c r="Y1817" i="11"/>
  <c r="Y1818" i="11"/>
  <c r="Y1819" i="11"/>
  <c r="Y1820" i="11"/>
  <c r="Y1821" i="11"/>
  <c r="Y1822" i="11"/>
  <c r="Y1823" i="11"/>
  <c r="Y1824" i="11"/>
  <c r="Y1825" i="11"/>
  <c r="Y1826" i="11"/>
  <c r="Y1827" i="11"/>
  <c r="Y1828" i="11"/>
  <c r="Y1829" i="11"/>
  <c r="Y1830" i="11"/>
  <c r="Y1831" i="11"/>
  <c r="Y1832" i="11"/>
  <c r="Y1833" i="11"/>
  <c r="Y1834" i="11"/>
  <c r="Y1835" i="11"/>
  <c r="Y1836" i="11"/>
  <c r="Y1837" i="11"/>
  <c r="Y1838" i="11"/>
  <c r="Y1839" i="11"/>
  <c r="Y1840" i="11"/>
  <c r="Y1841" i="11"/>
  <c r="Y1842" i="11"/>
  <c r="Y1843" i="11"/>
  <c r="Y1844" i="11"/>
  <c r="Y1845" i="11"/>
  <c r="Y1846" i="11"/>
  <c r="Y1847" i="11"/>
  <c r="Y1848" i="11"/>
  <c r="Y1849" i="11"/>
  <c r="Y1850" i="11"/>
  <c r="Y1851" i="11"/>
  <c r="Y1852" i="11"/>
  <c r="Y1853" i="11"/>
  <c r="Y1854" i="11"/>
  <c r="Y1855" i="11"/>
  <c r="Y1856" i="11"/>
  <c r="Y1857" i="11"/>
  <c r="Y1858" i="11"/>
  <c r="Y1859" i="11"/>
  <c r="Y1860" i="11"/>
  <c r="Y1861" i="11"/>
  <c r="Y1862" i="11"/>
  <c r="Y1863" i="11"/>
  <c r="Y1864" i="11"/>
  <c r="Y1865" i="11"/>
  <c r="Y1866" i="11"/>
  <c r="Y1867" i="11"/>
  <c r="Y1868" i="11"/>
  <c r="Y1869" i="11"/>
  <c r="Y1870" i="11"/>
  <c r="Y1871" i="11"/>
  <c r="Y1872" i="11"/>
  <c r="Y1873" i="11"/>
  <c r="Y1874" i="11"/>
  <c r="Y1875" i="11"/>
  <c r="Y1876" i="11"/>
  <c r="Y1877" i="11"/>
  <c r="Y1878" i="11"/>
  <c r="Y1879" i="11"/>
  <c r="Y1880" i="11"/>
  <c r="Y1881" i="11"/>
  <c r="Y1882" i="11"/>
  <c r="Y1883" i="11"/>
  <c r="Y1884" i="11"/>
  <c r="Y1885" i="11"/>
  <c r="Y1886" i="11"/>
  <c r="Y1887" i="11"/>
  <c r="Y1888" i="11"/>
  <c r="Y1889" i="11"/>
  <c r="Y1890" i="11"/>
  <c r="Y1891" i="11"/>
  <c r="Y1892" i="11"/>
  <c r="Y1893" i="11"/>
  <c r="Y1894" i="11"/>
  <c r="Y1895" i="11"/>
  <c r="Y1896" i="11"/>
  <c r="Y1897" i="11"/>
  <c r="Y1898" i="11"/>
  <c r="Y1899" i="11"/>
  <c r="Y1900" i="11"/>
  <c r="Y1901" i="11"/>
  <c r="Y1902" i="11"/>
  <c r="Y1903" i="11"/>
  <c r="Y1904" i="11"/>
  <c r="Y1905" i="11"/>
  <c r="Y1906" i="11"/>
  <c r="Y1907" i="11"/>
  <c r="Y1908" i="11"/>
  <c r="Y1909" i="11"/>
  <c r="Y1910" i="11"/>
  <c r="Y1911" i="11"/>
  <c r="Y1912" i="11"/>
  <c r="Y1913" i="11"/>
  <c r="Y1914" i="11"/>
  <c r="Y1915" i="11"/>
  <c r="Y1916" i="11"/>
  <c r="Y1917" i="11"/>
  <c r="Y1918" i="11"/>
  <c r="Y1919" i="11"/>
  <c r="Y1920" i="11"/>
  <c r="Y1921" i="11"/>
  <c r="Y1922" i="11"/>
  <c r="Y1923" i="11"/>
  <c r="Y1924" i="11"/>
  <c r="Y1925" i="11"/>
  <c r="Y1926" i="11"/>
  <c r="Y1927" i="11"/>
  <c r="Y1928" i="11"/>
  <c r="Y1929" i="11"/>
  <c r="Y1930" i="11"/>
  <c r="Y1931" i="11"/>
  <c r="Y1932" i="11"/>
  <c r="Y1933" i="11"/>
  <c r="Y1934" i="11"/>
  <c r="Y1935" i="11"/>
  <c r="Y1936" i="11"/>
  <c r="Y1937" i="11"/>
  <c r="Y1938" i="11"/>
  <c r="Y1939" i="11"/>
  <c r="Y1940" i="11"/>
  <c r="Y1941" i="11"/>
  <c r="Y1942" i="11"/>
  <c r="Y1943" i="11"/>
  <c r="Y1944" i="11"/>
  <c r="Y1945" i="11"/>
  <c r="Y1946" i="11"/>
  <c r="Y1947" i="11"/>
  <c r="Y1948" i="11"/>
  <c r="Y1949" i="11"/>
  <c r="Y1950" i="11"/>
  <c r="Y1951" i="11"/>
  <c r="Y1952" i="11"/>
  <c r="Y1953" i="11"/>
  <c r="Y1954" i="11"/>
  <c r="Y1955" i="11"/>
  <c r="Y1956" i="11"/>
  <c r="Y1957" i="11"/>
  <c r="Y1958" i="11"/>
  <c r="Y1959" i="11"/>
  <c r="Y1960" i="11"/>
  <c r="Y1961" i="11"/>
  <c r="Y1962" i="11"/>
  <c r="Y1963" i="11"/>
  <c r="Y1964" i="11"/>
  <c r="Y1965" i="11"/>
  <c r="Y1966" i="11"/>
  <c r="Y1967" i="11"/>
  <c r="Y1968" i="11"/>
  <c r="Y1969" i="11"/>
  <c r="Y1970" i="11"/>
  <c r="Y1971" i="11"/>
  <c r="Y1972" i="11"/>
  <c r="Y1973" i="11"/>
  <c r="Y1974" i="11"/>
  <c r="Y1975" i="11"/>
  <c r="Y1976" i="11"/>
  <c r="Y1977" i="11"/>
  <c r="Y1978" i="11"/>
  <c r="Y1979" i="11"/>
  <c r="Y1980" i="11"/>
  <c r="Y1981" i="11"/>
  <c r="Y1982" i="11"/>
  <c r="Y1983" i="11"/>
  <c r="Y1984" i="11"/>
  <c r="Y1985" i="11"/>
  <c r="Y1986" i="11"/>
  <c r="Y1987" i="11"/>
  <c r="Y1988" i="11"/>
  <c r="Y1989" i="11"/>
  <c r="Y1990" i="11"/>
  <c r="Y1991" i="11"/>
  <c r="Y1992" i="11"/>
  <c r="Y1993" i="11"/>
  <c r="Y1994" i="11"/>
  <c r="Y1995" i="11"/>
  <c r="Y1996" i="11"/>
  <c r="Y1997" i="11"/>
  <c r="Y1998" i="11"/>
  <c r="Y1999" i="11"/>
  <c r="Y2000" i="11"/>
  <c r="Y2001" i="11"/>
  <c r="Y2002" i="11"/>
  <c r="Y2003" i="11"/>
  <c r="Y2004" i="11"/>
  <c r="Y2005" i="11"/>
  <c r="Y2006" i="11"/>
  <c r="Y2007" i="11"/>
  <c r="Y2008" i="11"/>
  <c r="Y2009" i="11"/>
  <c r="Y2010" i="11"/>
  <c r="Y2011" i="11"/>
  <c r="Y2012" i="11"/>
  <c r="Y2013" i="11"/>
  <c r="Y2014" i="11"/>
  <c r="Y2015" i="11"/>
  <c r="Y2016" i="11"/>
  <c r="Y2017" i="11"/>
  <c r="Y2018" i="11"/>
  <c r="Y2019" i="11"/>
  <c r="Y2020" i="11"/>
  <c r="Y2021" i="11"/>
  <c r="Y2022" i="11"/>
  <c r="Y2023" i="11"/>
  <c r="Y2024" i="11"/>
  <c r="Y2025" i="11"/>
  <c r="Y2026" i="11"/>
  <c r="Y2027" i="11"/>
  <c r="Y2028" i="11"/>
  <c r="Y2029" i="11"/>
  <c r="Y2030" i="11"/>
  <c r="Y2031" i="11"/>
  <c r="Y2032" i="11"/>
  <c r="Y2033" i="11"/>
  <c r="Y2034" i="11"/>
  <c r="Y2035" i="11"/>
  <c r="Y2036" i="11"/>
  <c r="Y2037" i="11"/>
  <c r="Y2038" i="11"/>
  <c r="Y2039" i="11"/>
  <c r="Y2040" i="11"/>
  <c r="Y2041" i="11"/>
  <c r="Y2042" i="11"/>
  <c r="Y2043" i="11"/>
  <c r="Y2044" i="11"/>
  <c r="Y2045" i="11"/>
  <c r="Y2046" i="11"/>
  <c r="Y2047" i="11"/>
  <c r="Y2048" i="11"/>
  <c r="Y2049" i="11"/>
  <c r="Y2050" i="11"/>
  <c r="Y2051" i="11"/>
  <c r="Y2052" i="11"/>
  <c r="Y2053" i="11"/>
  <c r="Y2054" i="11"/>
  <c r="Y2055" i="11"/>
  <c r="Y2056" i="11"/>
  <c r="Y2057" i="11"/>
  <c r="Y2058" i="11"/>
  <c r="Y2059" i="11"/>
  <c r="Y2060" i="11"/>
  <c r="Y2061" i="11"/>
  <c r="Y2062" i="11"/>
  <c r="Y2063" i="11"/>
  <c r="Y2064" i="11"/>
  <c r="Y2065" i="11"/>
  <c r="Y2066" i="11"/>
  <c r="Y2067" i="11"/>
  <c r="Y2068" i="11"/>
  <c r="Y2069" i="11"/>
  <c r="Y2070" i="11"/>
  <c r="Y2071" i="11"/>
  <c r="Y2072" i="11"/>
  <c r="Y2073" i="11"/>
  <c r="Y2074" i="11"/>
  <c r="Y2075" i="11"/>
  <c r="Y2076" i="11"/>
  <c r="Y2077" i="11"/>
  <c r="Y2078" i="11"/>
  <c r="Y2079" i="11"/>
  <c r="Y2080" i="11"/>
  <c r="Y2081" i="11"/>
  <c r="Y2082" i="11"/>
  <c r="Y2083" i="11"/>
  <c r="Y2084" i="11"/>
  <c r="Y2085" i="11"/>
  <c r="Y2086" i="11"/>
  <c r="Y2087" i="11"/>
  <c r="Y2088" i="11"/>
  <c r="Y2089" i="11"/>
  <c r="Y2090" i="11"/>
  <c r="Y2091" i="11"/>
  <c r="Y2092" i="11"/>
  <c r="Y2093" i="11"/>
  <c r="Y2094" i="11"/>
  <c r="Y2095" i="11"/>
  <c r="Y2096" i="11"/>
  <c r="Y2097" i="11"/>
  <c r="Y2098" i="11"/>
  <c r="Y2099" i="11"/>
  <c r="Y2100" i="11"/>
  <c r="Y2101" i="11"/>
  <c r="Y2102" i="11"/>
  <c r="Y2103" i="11"/>
  <c r="Y2104" i="11"/>
  <c r="Y2105" i="11"/>
  <c r="Y2106" i="11"/>
  <c r="Y2107" i="11"/>
  <c r="Y2108" i="11"/>
  <c r="Y2109" i="11"/>
  <c r="Y2110" i="11"/>
  <c r="Y2111" i="11"/>
  <c r="Y2112" i="11"/>
  <c r="Y2113" i="11"/>
  <c r="Y2114" i="11"/>
  <c r="Y2115" i="11"/>
  <c r="Y2116" i="11"/>
  <c r="Y2117" i="11"/>
  <c r="Y2118" i="11"/>
  <c r="Y2119" i="11"/>
  <c r="Y2120" i="11"/>
  <c r="Y2121" i="11"/>
  <c r="Y2122" i="11"/>
  <c r="Y2123" i="11"/>
  <c r="Y2124" i="11"/>
  <c r="Y2125" i="11"/>
  <c r="Y2126" i="11"/>
  <c r="Y2127" i="11"/>
  <c r="Y2128" i="11"/>
  <c r="Y2129" i="11"/>
  <c r="Y2130" i="11"/>
  <c r="Y2131" i="11"/>
  <c r="Y2132" i="11"/>
  <c r="Y2133" i="11"/>
  <c r="Y2134" i="11"/>
  <c r="Y2135" i="11"/>
  <c r="Y2136" i="11"/>
  <c r="Y2137" i="11"/>
  <c r="Y2138" i="11"/>
  <c r="Y2139" i="11"/>
  <c r="Y2140" i="11"/>
  <c r="Y2141" i="11"/>
  <c r="Y2142" i="11"/>
  <c r="Y2143" i="11"/>
  <c r="Y2144" i="11"/>
  <c r="Y2145" i="11"/>
  <c r="Y2146" i="11"/>
  <c r="Y2147" i="11"/>
  <c r="Y2148" i="11"/>
  <c r="Y2149" i="11"/>
  <c r="Y2150" i="11"/>
  <c r="Y2151" i="11"/>
  <c r="Y2152" i="11"/>
  <c r="Y2153" i="11"/>
  <c r="Y2154" i="11"/>
  <c r="Y2155" i="11"/>
  <c r="Y2156" i="11"/>
  <c r="Y2157" i="11"/>
  <c r="Y2158" i="11"/>
  <c r="Y2159" i="11"/>
  <c r="Y2160" i="11"/>
  <c r="Y2161" i="11"/>
  <c r="Y2162" i="11"/>
  <c r="Y2163" i="11"/>
  <c r="Y2164" i="11"/>
  <c r="Y2165" i="11"/>
  <c r="Y2166" i="11"/>
  <c r="Y2167" i="11"/>
  <c r="Y2168" i="11"/>
  <c r="Y2169" i="11"/>
  <c r="Y2170" i="11"/>
  <c r="Y2171" i="11"/>
  <c r="Y2172" i="11"/>
  <c r="Y2173" i="11"/>
  <c r="Y2174" i="11"/>
  <c r="Y2175" i="11"/>
  <c r="Y2176" i="11"/>
  <c r="Y2177" i="11"/>
  <c r="Y2178" i="11"/>
  <c r="Y2179" i="11"/>
  <c r="Y2180" i="11"/>
  <c r="Y2181" i="11"/>
  <c r="Y2182" i="11"/>
  <c r="Y2183" i="11"/>
  <c r="Y2184" i="11"/>
  <c r="Y2185" i="11"/>
  <c r="Y2186" i="11"/>
  <c r="Y2187" i="11"/>
  <c r="Y2188" i="11"/>
  <c r="Y2189" i="11"/>
  <c r="Y2190" i="11"/>
  <c r="Y2191" i="11"/>
  <c r="Y2192" i="11"/>
  <c r="Y2193" i="11"/>
  <c r="Y2194" i="11"/>
  <c r="Y2195" i="11"/>
  <c r="Y2196" i="11"/>
  <c r="Y2197" i="11"/>
  <c r="Y2198" i="11"/>
  <c r="Y2199" i="11"/>
  <c r="Y2200" i="11"/>
  <c r="Y2201" i="11"/>
  <c r="Y2202" i="11"/>
  <c r="Y2203" i="11"/>
  <c r="Y2204" i="11"/>
  <c r="Y2205" i="11"/>
  <c r="Y2206" i="11"/>
  <c r="Y2207" i="11"/>
  <c r="Y2208" i="11"/>
  <c r="Y2209" i="11"/>
  <c r="Y2210" i="11"/>
  <c r="Y2211" i="11"/>
  <c r="Y2212" i="11"/>
  <c r="Y2213" i="11"/>
  <c r="Y2214" i="11"/>
  <c r="Y2215" i="11"/>
  <c r="Y2216" i="11"/>
  <c r="Y2217" i="11"/>
  <c r="Y2218" i="11"/>
  <c r="Y2219" i="11"/>
  <c r="Y2220" i="11"/>
  <c r="Y2221" i="11"/>
  <c r="Y2222" i="11"/>
  <c r="Y2223" i="11"/>
  <c r="Y2224" i="11"/>
  <c r="Y2225" i="11"/>
  <c r="Y2226" i="11"/>
  <c r="Y2227" i="11"/>
  <c r="Y2228" i="11"/>
  <c r="Y2229" i="11"/>
  <c r="Y2230" i="11"/>
  <c r="Y2231" i="11"/>
  <c r="Y2232" i="11"/>
  <c r="Y2233" i="11"/>
  <c r="Y2234" i="11"/>
  <c r="Y2235" i="11"/>
  <c r="Y2236" i="11"/>
  <c r="Y2237" i="11"/>
  <c r="Y2238" i="11"/>
  <c r="Y2239" i="11"/>
  <c r="Y2240" i="11"/>
  <c r="Y2241" i="11"/>
  <c r="Y2242" i="11"/>
  <c r="Y2243" i="11"/>
  <c r="Y2244" i="11"/>
  <c r="Y2245" i="11"/>
  <c r="Y2246" i="11"/>
  <c r="Y2247" i="11"/>
  <c r="Y2248" i="11"/>
  <c r="Y2249" i="11"/>
  <c r="Y2250" i="11"/>
  <c r="Y2251" i="11"/>
  <c r="Y2252" i="11"/>
  <c r="Y2253" i="11"/>
  <c r="Y2254" i="11"/>
  <c r="Y2255" i="11"/>
  <c r="Y2256" i="11"/>
  <c r="Y2257" i="11"/>
  <c r="Y2258" i="11"/>
  <c r="Y2259" i="11"/>
  <c r="Y2260" i="11"/>
  <c r="Y2261" i="11"/>
  <c r="Y2262" i="11"/>
  <c r="Y2263" i="11"/>
  <c r="Y2264" i="11"/>
  <c r="Y2265" i="11"/>
  <c r="Y2266" i="11"/>
  <c r="Y2267" i="11"/>
  <c r="Y2268" i="11"/>
  <c r="Y2269" i="11"/>
  <c r="Y2270" i="11"/>
  <c r="Y2271" i="11"/>
  <c r="Y2272" i="11"/>
  <c r="Y2273" i="11"/>
  <c r="Y2274" i="11"/>
  <c r="Y2275" i="11"/>
  <c r="Y2276" i="11"/>
  <c r="Y2277" i="11"/>
  <c r="Y2278" i="11"/>
  <c r="Y2279" i="11"/>
  <c r="Y2280" i="11"/>
  <c r="Y2281" i="11"/>
  <c r="Y2282" i="11"/>
  <c r="Y2283" i="11"/>
  <c r="Y2284" i="11"/>
  <c r="Y2285" i="11"/>
  <c r="Y2286" i="11"/>
  <c r="Y2287" i="11"/>
  <c r="Y2288" i="11"/>
  <c r="Y2289" i="11"/>
  <c r="Y2290" i="11"/>
  <c r="Y2291" i="11"/>
  <c r="Y2292" i="11"/>
  <c r="Y2293" i="11"/>
  <c r="Y2294" i="11"/>
  <c r="Y2295" i="11"/>
  <c r="Y2296" i="11"/>
  <c r="Y2297" i="11"/>
  <c r="Y2298" i="11"/>
  <c r="Y2299" i="11"/>
  <c r="Y2300" i="11"/>
  <c r="Y2301" i="11"/>
  <c r="Y2302" i="11"/>
  <c r="Y2303" i="11"/>
  <c r="Y2304" i="11"/>
  <c r="Y2305" i="11"/>
  <c r="Y2306" i="11"/>
  <c r="Y2307" i="11"/>
  <c r="Y2308" i="11"/>
  <c r="Y2309" i="11"/>
  <c r="Y2310" i="11"/>
  <c r="Y2311" i="11"/>
  <c r="Y2312" i="11"/>
  <c r="Y2313" i="11"/>
  <c r="Y2314" i="11"/>
  <c r="Y2315" i="11"/>
  <c r="Y2316" i="11"/>
  <c r="Y2317" i="11"/>
  <c r="Y2318" i="11"/>
  <c r="Y2319" i="11"/>
  <c r="Y2320" i="11"/>
  <c r="Y2321" i="11"/>
  <c r="Y2322" i="11"/>
  <c r="Y2323" i="11"/>
  <c r="Y2324" i="11"/>
  <c r="Y2325" i="11"/>
  <c r="Y2326" i="11"/>
  <c r="Y2327" i="11"/>
  <c r="Y2328" i="11"/>
  <c r="Y2329" i="11"/>
  <c r="Y2330" i="11"/>
  <c r="Y2331" i="11"/>
  <c r="Y2332" i="11"/>
  <c r="Y2333" i="11"/>
  <c r="Y2334" i="11"/>
  <c r="Y2335" i="11"/>
  <c r="Y2336" i="11"/>
  <c r="Y2337" i="11"/>
  <c r="Y2338" i="11"/>
  <c r="Y2339" i="11"/>
  <c r="Y2340" i="11"/>
  <c r="Y2341" i="11"/>
  <c r="Y2342" i="11"/>
  <c r="Y2343" i="11"/>
  <c r="Y2344" i="11"/>
  <c r="Y2345" i="11"/>
  <c r="Y2346" i="11"/>
  <c r="Y2347" i="11"/>
  <c r="Y2348" i="11"/>
  <c r="Y2349" i="11"/>
  <c r="Y2350" i="11"/>
  <c r="Y2351" i="11"/>
  <c r="Y2352" i="11"/>
  <c r="Y2353" i="11"/>
  <c r="Y2354" i="11"/>
  <c r="Y2355" i="11"/>
  <c r="Y2356" i="11"/>
  <c r="Y2357" i="11"/>
  <c r="Y2358" i="11"/>
  <c r="Y2359" i="11"/>
  <c r="Y2360" i="11"/>
  <c r="Y2361" i="11"/>
  <c r="Y2362" i="11"/>
  <c r="Y2363" i="11"/>
  <c r="Y2364" i="11"/>
  <c r="Y2365" i="11"/>
  <c r="Y2366" i="11"/>
  <c r="Y2367" i="11"/>
  <c r="Y2368" i="11"/>
  <c r="Y2369" i="11"/>
  <c r="Y2370" i="11"/>
  <c r="Y2371" i="11"/>
  <c r="Y2372" i="11"/>
  <c r="Y2373" i="11"/>
  <c r="Y2374" i="11"/>
  <c r="Y2375" i="11"/>
  <c r="Y2376" i="11"/>
  <c r="Y2377" i="11"/>
  <c r="Y2378" i="11"/>
  <c r="Y2379" i="11"/>
  <c r="Y2380" i="11"/>
  <c r="Y2381" i="11"/>
  <c r="Y2382" i="11"/>
  <c r="Y2383" i="11"/>
  <c r="Y2384" i="11"/>
  <c r="Y2385" i="11"/>
  <c r="Y2386" i="11"/>
  <c r="Y2387" i="11"/>
  <c r="Y2388" i="11"/>
  <c r="Y2389" i="11"/>
  <c r="Y2390" i="11"/>
  <c r="Y2391" i="11"/>
  <c r="Y2392" i="11"/>
  <c r="Y2393" i="11"/>
  <c r="Y2394" i="11"/>
  <c r="Y2395" i="11"/>
  <c r="Y2396" i="11"/>
  <c r="Y2397" i="11"/>
  <c r="Y2398" i="11"/>
  <c r="Y2399" i="11"/>
  <c r="Y2400" i="11"/>
  <c r="Y2401" i="11"/>
  <c r="Y2402" i="11"/>
  <c r="Y2403" i="11"/>
  <c r="Y2404" i="11"/>
  <c r="Y2405" i="11"/>
  <c r="Y2406" i="11"/>
  <c r="Y2407" i="11"/>
  <c r="Y2408" i="11"/>
  <c r="Y2409" i="11"/>
  <c r="Y2410" i="11"/>
  <c r="Y2411" i="11"/>
  <c r="Y2412" i="11"/>
  <c r="Y2413" i="11"/>
  <c r="Y2414" i="11"/>
  <c r="Y2415" i="11"/>
  <c r="Y2416" i="11"/>
  <c r="Y2417" i="11"/>
  <c r="Y2418" i="11"/>
  <c r="Y2419" i="11"/>
  <c r="Y2420" i="11"/>
  <c r="Y2421" i="11"/>
  <c r="Y2422" i="11"/>
  <c r="Y2423" i="11"/>
  <c r="Y2424" i="11"/>
  <c r="Y2425" i="11"/>
  <c r="Y2426" i="11"/>
  <c r="Y2427" i="11"/>
  <c r="Y2428" i="11"/>
  <c r="Y2429" i="11"/>
  <c r="Y2430" i="11"/>
  <c r="Y2431" i="11"/>
  <c r="Y2432" i="11"/>
  <c r="Y2433" i="11"/>
  <c r="Y2434" i="11"/>
  <c r="Y2435" i="11"/>
  <c r="Y2436" i="11"/>
  <c r="Y2437" i="11"/>
  <c r="Y2438" i="11"/>
  <c r="Y2439" i="11"/>
  <c r="Y2440" i="11"/>
  <c r="Y2441" i="11"/>
  <c r="Y2442" i="11"/>
  <c r="Y2443" i="11"/>
  <c r="Y2444" i="11"/>
  <c r="Y2445" i="11"/>
  <c r="Y2446" i="11"/>
  <c r="Y2447" i="11"/>
  <c r="Y2448" i="11"/>
  <c r="Y2449" i="11"/>
  <c r="Y2450" i="11"/>
  <c r="Y2451" i="11"/>
  <c r="Y2452" i="11"/>
  <c r="Y2453" i="11"/>
  <c r="Y2454" i="11"/>
  <c r="Y2455" i="11"/>
  <c r="Y2456" i="11"/>
  <c r="Y2457" i="11"/>
  <c r="Y2458" i="11"/>
  <c r="Y2459" i="11"/>
  <c r="Y2460" i="11"/>
  <c r="Y2461" i="11"/>
  <c r="Y2462" i="11"/>
  <c r="Y2463" i="11"/>
  <c r="Y2464" i="11"/>
  <c r="Y2465" i="11"/>
  <c r="Y2466" i="11"/>
  <c r="Y2467" i="11"/>
  <c r="Y2468" i="11"/>
  <c r="Y2469" i="11"/>
  <c r="Y2470" i="11"/>
  <c r="Y2471" i="11"/>
  <c r="Y2472" i="11"/>
  <c r="Y2473" i="11"/>
  <c r="Y2474" i="11"/>
  <c r="Y2475" i="11"/>
  <c r="Y2476" i="11"/>
  <c r="Y2477" i="11"/>
  <c r="Y2478" i="11"/>
  <c r="Y2479" i="11"/>
  <c r="Y2480" i="11"/>
  <c r="Y2481" i="11"/>
  <c r="Y2482" i="11"/>
  <c r="Y2483" i="11"/>
  <c r="Y2484" i="11"/>
  <c r="Y2485" i="11"/>
  <c r="Y2486" i="11"/>
  <c r="Y2487" i="11"/>
  <c r="Y2488" i="11"/>
  <c r="Y2489" i="11"/>
  <c r="Y2490" i="11"/>
  <c r="Y2491" i="11"/>
  <c r="Y2492" i="11"/>
  <c r="Y2493" i="11"/>
  <c r="Y2494" i="11"/>
  <c r="Y2495" i="11"/>
  <c r="Y2496" i="11"/>
  <c r="Y2497" i="11"/>
  <c r="Y2498" i="11"/>
  <c r="Y2499" i="11"/>
  <c r="Y2500" i="11"/>
  <c r="Y2501" i="11"/>
  <c r="Y2502" i="11"/>
  <c r="Y2503" i="11"/>
  <c r="Y2504" i="11"/>
  <c r="Y2505" i="11"/>
  <c r="Y2506" i="11"/>
  <c r="Y2507" i="11"/>
  <c r="Y2508" i="11"/>
  <c r="Y2509" i="11"/>
  <c r="Y2510" i="11"/>
  <c r="Y2511" i="11"/>
  <c r="Y2512" i="11"/>
  <c r="Y2513" i="11"/>
  <c r="Y2514" i="11"/>
  <c r="Y2515" i="11"/>
  <c r="Y2516" i="11"/>
  <c r="Y2517" i="11"/>
  <c r="Y2518" i="11"/>
  <c r="Y2519" i="11"/>
  <c r="Y2520" i="11"/>
  <c r="Y2521" i="11"/>
  <c r="Y2522" i="11"/>
  <c r="Y2523" i="11"/>
  <c r="Y2524" i="11"/>
  <c r="Y2525" i="11"/>
  <c r="Y2526" i="11"/>
  <c r="Y2527" i="11"/>
  <c r="Y2528" i="11"/>
  <c r="Y2529" i="11"/>
  <c r="Y2530" i="11"/>
  <c r="Y2531" i="11"/>
  <c r="Y2532" i="11"/>
  <c r="Y2533" i="11"/>
  <c r="Y2534" i="11"/>
  <c r="Y2535" i="11"/>
  <c r="Y2536" i="11"/>
  <c r="Y2537" i="11"/>
  <c r="Y2538" i="11"/>
  <c r="Y2539" i="11"/>
  <c r="Y2540" i="11"/>
  <c r="Y2541" i="11"/>
  <c r="Y2542" i="11"/>
  <c r="Y2543" i="11"/>
  <c r="Y2544" i="11"/>
  <c r="Y2545" i="11"/>
  <c r="Y2546" i="11"/>
  <c r="Y2547" i="11"/>
  <c r="Y2548" i="11"/>
  <c r="Y2549" i="11"/>
  <c r="Y2550" i="11"/>
  <c r="Y2551" i="11"/>
  <c r="Y2552" i="11"/>
  <c r="Y2553" i="11"/>
  <c r="Y2554" i="11"/>
  <c r="Y2555" i="11"/>
  <c r="Y2556" i="11"/>
  <c r="Y2557" i="11"/>
  <c r="Y2558" i="11"/>
  <c r="Y2559" i="11"/>
  <c r="Y2560" i="11"/>
  <c r="Y2561" i="11"/>
  <c r="Y2562" i="11"/>
  <c r="Y2563" i="11"/>
  <c r="Y2564" i="11"/>
  <c r="Y2565" i="11"/>
  <c r="Y2566" i="11"/>
  <c r="Y2567" i="11"/>
  <c r="Y2568" i="11"/>
  <c r="Y2569" i="11"/>
  <c r="Y2570" i="11"/>
  <c r="Y2571" i="11"/>
  <c r="Y2572" i="11"/>
  <c r="Y2573" i="11"/>
  <c r="Y2574" i="11"/>
  <c r="Y2575" i="11"/>
  <c r="Y2576" i="11"/>
  <c r="Y2577" i="11"/>
  <c r="Y2578" i="11"/>
  <c r="Y2579" i="11"/>
  <c r="Y2580" i="11"/>
  <c r="Y2581" i="11"/>
  <c r="Y2582" i="11"/>
  <c r="Y2583" i="11"/>
  <c r="Y2584" i="11"/>
  <c r="Y2585" i="11"/>
  <c r="Y2586" i="11"/>
  <c r="Y2587" i="11"/>
  <c r="Y2588" i="11"/>
  <c r="Y2589" i="11"/>
  <c r="Y2590" i="11"/>
  <c r="Y2591" i="11"/>
  <c r="Y2592" i="11"/>
  <c r="Y2593" i="11"/>
  <c r="Y2594" i="11"/>
  <c r="Y2595" i="11"/>
  <c r="Y2596" i="11"/>
  <c r="Y2597" i="11"/>
  <c r="Y2598" i="11"/>
  <c r="Y2599" i="11"/>
  <c r="Y2600" i="11"/>
  <c r="Y2601" i="11"/>
  <c r="Y2602" i="11"/>
  <c r="Y2603" i="11"/>
  <c r="Y2604" i="11"/>
  <c r="Y2605" i="11"/>
  <c r="Y2606" i="11"/>
  <c r="Y2607" i="11"/>
  <c r="Y2608" i="11"/>
  <c r="Y2609" i="11"/>
  <c r="Y2610" i="11"/>
  <c r="Y2611" i="11"/>
  <c r="Y2612" i="11"/>
  <c r="Y2613" i="11"/>
  <c r="Y2614" i="11"/>
  <c r="Y2615" i="11"/>
  <c r="Y2616" i="11"/>
  <c r="Y2617" i="11"/>
  <c r="Y2618" i="11"/>
  <c r="Y2619" i="11"/>
  <c r="Y2620" i="11"/>
  <c r="Y2621" i="11"/>
  <c r="Y2622" i="11"/>
  <c r="Y2623" i="11"/>
  <c r="Y2624" i="11"/>
  <c r="Y2625" i="11"/>
  <c r="Y2626" i="11"/>
  <c r="Y2627" i="11"/>
  <c r="Y2628" i="11"/>
  <c r="Y2629" i="11"/>
  <c r="Y2630" i="11"/>
  <c r="Y2631" i="11"/>
  <c r="Y2632" i="11"/>
  <c r="Y2633" i="11"/>
  <c r="Y2634" i="11"/>
  <c r="Y2635" i="11"/>
  <c r="Y2636" i="11"/>
  <c r="Y2637" i="11"/>
  <c r="Y2638" i="11"/>
  <c r="Y2639" i="11"/>
  <c r="Y2640" i="11"/>
  <c r="Y2641" i="11"/>
  <c r="Y2642" i="11"/>
  <c r="Y2643" i="11"/>
  <c r="Y2644" i="11"/>
  <c r="Y2645" i="11"/>
  <c r="Y2646" i="11"/>
  <c r="Y2647" i="11"/>
  <c r="Y2648" i="11"/>
  <c r="Y2649" i="11"/>
  <c r="Y2650" i="11"/>
  <c r="Y2651" i="11"/>
  <c r="Y2652" i="11"/>
  <c r="Y2653" i="11"/>
  <c r="Y2654" i="11"/>
  <c r="Y2655" i="11"/>
  <c r="Y2656" i="11"/>
  <c r="Y2657" i="11"/>
  <c r="Y2658" i="11"/>
  <c r="Y2659" i="11"/>
  <c r="Y2660" i="11"/>
  <c r="Y2661" i="11"/>
  <c r="Y2662" i="11"/>
  <c r="Y2663" i="11"/>
  <c r="Y2664" i="11"/>
  <c r="Y2665" i="11"/>
  <c r="Y2666" i="11"/>
  <c r="Y2667" i="11"/>
  <c r="Y2668" i="11"/>
  <c r="Y2669" i="11"/>
  <c r="Y2670" i="11"/>
  <c r="Y2671" i="11"/>
  <c r="Y2672" i="11"/>
  <c r="Y2673" i="11"/>
  <c r="Y2674" i="11"/>
  <c r="Y2675" i="11"/>
  <c r="Y2676" i="11"/>
  <c r="Y2677" i="11"/>
  <c r="Y2678" i="11"/>
  <c r="Y2679" i="11"/>
  <c r="Y2680" i="11"/>
  <c r="Y2681" i="11"/>
  <c r="Y2682" i="11"/>
  <c r="Y2683" i="11"/>
  <c r="Y2684" i="11"/>
  <c r="Y2685" i="11"/>
  <c r="Y2686" i="11"/>
  <c r="Y2687" i="11"/>
  <c r="Y2688" i="11"/>
  <c r="Y2689" i="11"/>
  <c r="Y2690" i="11"/>
  <c r="Y2691" i="11"/>
  <c r="Y2692" i="11"/>
  <c r="Y2693" i="11"/>
  <c r="Y2694" i="11"/>
  <c r="Y2695" i="11"/>
  <c r="Y2696" i="11"/>
  <c r="Y2697" i="11"/>
  <c r="Y2698" i="11"/>
  <c r="Y2699" i="11"/>
  <c r="Y2700" i="11"/>
  <c r="Y2701" i="11"/>
  <c r="Y2702" i="11"/>
  <c r="Y2703" i="11"/>
  <c r="Y2704" i="11"/>
  <c r="Y2705" i="11"/>
  <c r="Y2706" i="11"/>
  <c r="Y2707" i="11"/>
  <c r="Y2708" i="11"/>
  <c r="Y2709" i="11"/>
  <c r="Y2710" i="11"/>
  <c r="Y2711" i="11"/>
  <c r="Y2712" i="11"/>
  <c r="Y2713" i="11"/>
  <c r="Y2714" i="11"/>
  <c r="Y2715" i="11"/>
  <c r="Y2716" i="11"/>
  <c r="Y2717" i="11"/>
  <c r="Y2718" i="11"/>
  <c r="Y2719" i="11"/>
  <c r="Y2720" i="11"/>
  <c r="Y2721" i="11"/>
  <c r="Y2722" i="11"/>
  <c r="Y2723" i="11"/>
  <c r="Y2724" i="11"/>
  <c r="Y2725" i="11"/>
  <c r="Y2726" i="11"/>
  <c r="Y2727" i="11"/>
  <c r="Y2728" i="11"/>
  <c r="Y2729" i="11"/>
  <c r="Y2730" i="11"/>
  <c r="Y2731" i="11"/>
  <c r="Y2732" i="11"/>
  <c r="Y2733" i="11"/>
  <c r="Y2734" i="11"/>
  <c r="Y2735" i="11"/>
  <c r="Y2736" i="11"/>
  <c r="Y2737" i="11"/>
  <c r="Y2738" i="11"/>
  <c r="Y2739" i="11"/>
  <c r="Y2740" i="11"/>
  <c r="Y2741" i="11"/>
  <c r="Y2742" i="11"/>
  <c r="Y2743" i="11"/>
  <c r="Y2744" i="11"/>
  <c r="Y2745" i="11"/>
  <c r="Y2746" i="11"/>
  <c r="Y2747" i="11"/>
  <c r="Y2748" i="11"/>
  <c r="Y2749" i="11"/>
  <c r="Y2750" i="11"/>
  <c r="Y2751" i="11"/>
  <c r="Y2752" i="11"/>
  <c r="Y2753" i="11"/>
  <c r="Y2754" i="11"/>
  <c r="Y2755" i="11"/>
  <c r="Y2756" i="11"/>
  <c r="Y2757" i="11"/>
  <c r="Y2758" i="11"/>
  <c r="Y2759" i="11"/>
  <c r="Y2760" i="11"/>
  <c r="Y2761" i="11"/>
  <c r="Y2762" i="11"/>
  <c r="Y2763" i="11"/>
  <c r="Y2764" i="11"/>
  <c r="Y2765" i="11"/>
  <c r="Y2766" i="11"/>
  <c r="Y2767" i="11"/>
  <c r="Y2768" i="11"/>
  <c r="Y2769" i="11"/>
  <c r="Y2770" i="11"/>
  <c r="Y2771" i="11"/>
  <c r="Y2772" i="11"/>
  <c r="Y2773" i="11"/>
  <c r="Y2774" i="11"/>
  <c r="Y2775" i="11"/>
  <c r="Y2776" i="11"/>
  <c r="Y2777" i="11"/>
  <c r="Y2778" i="11"/>
  <c r="Y2779" i="11"/>
  <c r="Y2780" i="11"/>
  <c r="Y2781" i="11"/>
  <c r="Y2782" i="11"/>
  <c r="Y2783" i="11"/>
  <c r="Y2784" i="11"/>
  <c r="Y2785" i="11"/>
  <c r="Y2786" i="11"/>
  <c r="Y2787" i="11"/>
  <c r="Y2788" i="11"/>
  <c r="Y2789" i="11"/>
  <c r="Y2790" i="11"/>
  <c r="Y2791" i="11"/>
  <c r="Y2792" i="11"/>
  <c r="Y2793" i="11"/>
  <c r="Y2794" i="11"/>
  <c r="Y2795" i="11"/>
  <c r="Y2796" i="11"/>
  <c r="Y2797" i="11"/>
  <c r="Y2798" i="11"/>
  <c r="Y2799" i="11"/>
  <c r="Y2800" i="11"/>
  <c r="Y2801" i="11"/>
  <c r="Y2802" i="11"/>
  <c r="Y2803" i="11"/>
  <c r="Y2804" i="11"/>
  <c r="Y2805" i="11"/>
  <c r="Y2806" i="11"/>
  <c r="Y2807" i="11"/>
  <c r="Y2808" i="11"/>
  <c r="Y2809" i="11"/>
  <c r="Y2810" i="11"/>
  <c r="Y2811" i="11"/>
  <c r="Y2812" i="11"/>
  <c r="Y2813" i="11"/>
  <c r="Y2814" i="11"/>
  <c r="Y2815" i="11"/>
  <c r="Y2816" i="11"/>
  <c r="Y2817" i="11"/>
  <c r="Y2818" i="11"/>
  <c r="Y2819" i="11"/>
  <c r="Y2820" i="11"/>
  <c r="Y2821" i="11"/>
  <c r="Y2822" i="11"/>
  <c r="Y2823" i="11"/>
  <c r="Y2824" i="11"/>
  <c r="Y2825" i="11"/>
  <c r="Y2826" i="11"/>
  <c r="Y2827" i="11"/>
  <c r="Y2828" i="11"/>
  <c r="Y2829" i="11"/>
  <c r="Y2830" i="11"/>
  <c r="Y2831" i="11"/>
  <c r="Y2832" i="11"/>
  <c r="Y2833" i="11"/>
  <c r="Y2834" i="11"/>
  <c r="Y2835" i="11"/>
  <c r="Y2836" i="11"/>
  <c r="Y2837" i="11"/>
  <c r="Y2838" i="11"/>
  <c r="Y2839" i="11"/>
  <c r="Y2840" i="11"/>
  <c r="Y2841" i="11"/>
  <c r="Y2842" i="11"/>
  <c r="Y2843" i="11"/>
  <c r="Y2844" i="11"/>
  <c r="Y2845" i="11"/>
  <c r="Y2846" i="11"/>
  <c r="Y2847" i="11"/>
  <c r="Y2848" i="11"/>
  <c r="Y2849" i="11"/>
  <c r="Y2850" i="11"/>
  <c r="Y2851" i="11"/>
  <c r="Y2852" i="11"/>
  <c r="Y2853" i="11"/>
  <c r="Y2854" i="11"/>
  <c r="Y2855" i="11"/>
  <c r="Y2856" i="11"/>
  <c r="Y2857" i="11"/>
  <c r="Y2858" i="11"/>
  <c r="Y2859" i="11"/>
  <c r="Y2860" i="11"/>
  <c r="Y2861" i="11"/>
  <c r="Y2862" i="11"/>
  <c r="Y2863" i="11"/>
  <c r="Y2864" i="11"/>
  <c r="Y2865" i="11"/>
  <c r="Y2866" i="11"/>
  <c r="Y2867" i="11"/>
  <c r="Y2868" i="11"/>
  <c r="Y2869" i="11"/>
  <c r="Y2870" i="11"/>
  <c r="Y2871" i="11"/>
  <c r="Y2872" i="11"/>
  <c r="Y2873" i="11"/>
  <c r="Y2874" i="11"/>
  <c r="Y2875" i="11"/>
  <c r="Y2876" i="11"/>
  <c r="Y2877" i="11"/>
  <c r="Y2878" i="11"/>
  <c r="Y2879" i="11"/>
  <c r="Y2880" i="11"/>
  <c r="Y2881" i="11"/>
  <c r="Y2882" i="11"/>
  <c r="Y2883" i="11"/>
  <c r="Y2884" i="11"/>
  <c r="Y2885" i="11"/>
  <c r="Y2886" i="11"/>
  <c r="Y2887" i="11"/>
  <c r="Y2888" i="11"/>
  <c r="Y2889" i="11"/>
  <c r="Y2890" i="11"/>
  <c r="Y2891" i="11"/>
  <c r="Y2892" i="11"/>
  <c r="Y2893" i="11"/>
  <c r="Y2894" i="11"/>
  <c r="Y2895" i="11"/>
  <c r="Y2896" i="11"/>
  <c r="Y2897" i="11"/>
  <c r="Y2898" i="11"/>
  <c r="Y2899" i="11"/>
  <c r="Y2900" i="11"/>
  <c r="Y2901" i="11"/>
  <c r="Y2902" i="11"/>
  <c r="Y2903" i="11"/>
  <c r="Y2904" i="11"/>
  <c r="Y2905" i="11"/>
  <c r="Y2906" i="11"/>
  <c r="Y2907" i="11"/>
  <c r="Y2908" i="11"/>
  <c r="Y2909" i="11"/>
  <c r="Y2910" i="11"/>
  <c r="Y2911" i="11"/>
  <c r="Y2912" i="11"/>
  <c r="Y2913" i="11"/>
  <c r="Y2914" i="11"/>
  <c r="Y2915" i="11"/>
  <c r="Y2916" i="11"/>
  <c r="Y2917" i="11"/>
  <c r="Y2918" i="11"/>
  <c r="Y2919" i="11"/>
  <c r="Y2920" i="11"/>
  <c r="Y2921" i="11"/>
  <c r="Y2922" i="11"/>
  <c r="Y2923" i="11"/>
  <c r="Y2924" i="11"/>
  <c r="Y2925" i="11"/>
  <c r="Y2926" i="11"/>
  <c r="Y2927" i="11"/>
  <c r="Y2928" i="11"/>
  <c r="Y2929" i="11"/>
  <c r="Y2930" i="11"/>
  <c r="Y2931" i="11"/>
  <c r="Y2932" i="11"/>
  <c r="Y2933" i="11"/>
  <c r="Y2934" i="11"/>
  <c r="Y2935" i="11"/>
  <c r="Y2936" i="11"/>
  <c r="Y2937" i="11"/>
  <c r="Y2938" i="11"/>
  <c r="Y2939" i="11"/>
  <c r="Y2940" i="11"/>
  <c r="Y2941" i="11"/>
  <c r="Y2942" i="11"/>
  <c r="Y2943" i="11"/>
  <c r="Y2944" i="11"/>
  <c r="Y2945" i="11"/>
  <c r="Y2946" i="11"/>
  <c r="Y2947" i="11"/>
  <c r="Y2948" i="11"/>
  <c r="Y2949" i="11"/>
  <c r="Y2950" i="11"/>
  <c r="Y2951" i="11"/>
  <c r="Y2952" i="11"/>
  <c r="Y2953" i="11"/>
  <c r="Y2954" i="11"/>
  <c r="Y2955" i="11"/>
  <c r="Y2956" i="11"/>
  <c r="Y2957" i="11"/>
  <c r="Y2958" i="11"/>
  <c r="Y2959" i="11"/>
  <c r="Y2960" i="11"/>
  <c r="Y2961" i="11"/>
  <c r="Y2962" i="11"/>
  <c r="Y2963" i="11"/>
  <c r="Y2964" i="11"/>
  <c r="Y2965" i="11"/>
  <c r="Y2966" i="11"/>
  <c r="Y2967" i="11"/>
  <c r="Y2968" i="11"/>
  <c r="Y2969" i="11"/>
  <c r="Y2970" i="11"/>
  <c r="Y2971" i="11"/>
  <c r="Y2972" i="11"/>
  <c r="Y2973" i="11"/>
  <c r="Y2974" i="11"/>
  <c r="Y2975" i="11"/>
  <c r="Y2976" i="11"/>
  <c r="Y2977" i="11"/>
  <c r="Y2978" i="11"/>
  <c r="Y2979" i="11"/>
  <c r="Y2980" i="11"/>
  <c r="Y2981" i="11"/>
  <c r="Y2982" i="11"/>
  <c r="Y2983" i="11"/>
  <c r="Y2984" i="11"/>
  <c r="Y2985" i="11"/>
  <c r="Y2986" i="11"/>
  <c r="Y2987" i="11"/>
  <c r="Y2988" i="11"/>
  <c r="Y2989" i="11"/>
  <c r="Y2990" i="11"/>
  <c r="Y2991" i="11"/>
  <c r="Y2992" i="11"/>
  <c r="Y2993" i="11"/>
  <c r="Y2994" i="11"/>
  <c r="Y2995" i="11"/>
  <c r="Y2996" i="11"/>
  <c r="Y2997" i="11"/>
  <c r="Y2998" i="11"/>
  <c r="Y2999" i="11"/>
  <c r="Y3000" i="11"/>
  <c r="Y3001" i="11"/>
  <c r="Y3002" i="11"/>
  <c r="Y3003" i="11"/>
  <c r="Y3004" i="11"/>
  <c r="Y3005" i="11"/>
  <c r="Y3006" i="11"/>
  <c r="Y3007" i="11"/>
  <c r="Y3008" i="11"/>
  <c r="Y3009" i="11"/>
  <c r="Y3010" i="11"/>
  <c r="Y3011" i="11"/>
  <c r="Y3012" i="11"/>
  <c r="Y3013" i="11"/>
  <c r="Y3014" i="11"/>
  <c r="Y3015" i="11"/>
  <c r="Y3016" i="11"/>
  <c r="Y3017" i="11"/>
  <c r="Y3018" i="11"/>
  <c r="Y3019" i="11"/>
  <c r="Y3020" i="11"/>
  <c r="Y3021" i="11"/>
  <c r="Y3022" i="11"/>
  <c r="Y3023" i="11"/>
  <c r="Y3024" i="11"/>
  <c r="Y3025" i="11"/>
  <c r="Y3026" i="11"/>
  <c r="Y3027" i="11"/>
  <c r="Y3028" i="11"/>
  <c r="Y3029" i="11"/>
  <c r="Y3030" i="11"/>
  <c r="Y3031" i="11"/>
  <c r="Y3032" i="11"/>
  <c r="Y3033" i="11"/>
  <c r="Y3034" i="11"/>
  <c r="Y3035" i="11"/>
  <c r="Y3036" i="11"/>
  <c r="Y3037" i="11"/>
  <c r="Y3038" i="11"/>
  <c r="Y3039" i="11"/>
  <c r="Y3040" i="11"/>
  <c r="Y3041" i="11"/>
  <c r="Y3042" i="11"/>
  <c r="Y3043" i="11"/>
  <c r="Y3044" i="11"/>
  <c r="Y3045" i="11"/>
  <c r="Y3046" i="11"/>
  <c r="Y3047" i="11"/>
  <c r="Y3048" i="11"/>
  <c r="Y3049" i="11"/>
  <c r="Y3050" i="11"/>
  <c r="Y3051" i="11"/>
  <c r="Y3052" i="11"/>
  <c r="Y3053" i="11"/>
  <c r="Y3054" i="11"/>
  <c r="Y3055" i="11"/>
  <c r="Y3056" i="11"/>
  <c r="Y3057" i="11"/>
  <c r="Y3058" i="11"/>
  <c r="Y3059" i="11"/>
  <c r="Y3060" i="11"/>
  <c r="Y3061" i="11"/>
  <c r="Y3062" i="11"/>
  <c r="Y3063" i="11"/>
  <c r="Y3064" i="11"/>
  <c r="Y3065" i="11"/>
  <c r="Y3066" i="11"/>
  <c r="Y3067" i="11"/>
  <c r="Y3068" i="11"/>
  <c r="Y3069" i="11"/>
  <c r="Y3070" i="11"/>
  <c r="Y3071" i="11"/>
  <c r="Y3072" i="11"/>
  <c r="Y3073" i="11"/>
  <c r="Y3074" i="11"/>
  <c r="Y3075" i="11"/>
  <c r="Y3076" i="11"/>
  <c r="Y3077" i="11"/>
  <c r="Y3078" i="11"/>
  <c r="Y3079" i="11"/>
  <c r="Y3080" i="11"/>
  <c r="Y3081" i="11"/>
  <c r="Y3082" i="11"/>
  <c r="Y3083" i="11"/>
  <c r="Y3084" i="11"/>
  <c r="Y3085" i="11"/>
  <c r="Y3086" i="11"/>
  <c r="Y3087" i="11"/>
  <c r="Y3088" i="11"/>
  <c r="Y3089" i="11"/>
  <c r="Y3090" i="11"/>
  <c r="Y3091" i="11"/>
  <c r="Y3092" i="11"/>
  <c r="Y3093" i="11"/>
  <c r="Y3094" i="11"/>
  <c r="Y3095" i="11"/>
  <c r="Y3096" i="11"/>
  <c r="Y3097" i="11"/>
  <c r="Y3098" i="11"/>
  <c r="Y3099" i="11"/>
  <c r="Y3100" i="11"/>
  <c r="Y3101" i="11"/>
  <c r="Y3102" i="11"/>
  <c r="Y3103" i="11"/>
  <c r="Y3104" i="11"/>
  <c r="Y3105" i="11"/>
  <c r="Y3106" i="11"/>
  <c r="Y3107" i="11"/>
  <c r="Y3108" i="11"/>
  <c r="Y3109" i="11"/>
  <c r="Y3110" i="11"/>
  <c r="Y3111" i="11"/>
  <c r="Y3112" i="11"/>
  <c r="Y3113" i="11"/>
  <c r="Y3114" i="11"/>
  <c r="Y3115" i="11"/>
  <c r="Y3116" i="11"/>
  <c r="Y3117" i="11"/>
  <c r="Y3118" i="11"/>
  <c r="Y3119" i="11"/>
  <c r="Y3120" i="11"/>
  <c r="Y3121" i="11"/>
  <c r="Y3122" i="11"/>
  <c r="Y3123" i="11"/>
  <c r="Y3124" i="11"/>
  <c r="Y3125" i="11"/>
  <c r="Y3126" i="11"/>
  <c r="Y3127" i="11"/>
  <c r="Y3128" i="11"/>
  <c r="Y3129" i="11"/>
  <c r="Y3130" i="11"/>
  <c r="Y3131" i="11"/>
  <c r="Y3132" i="11"/>
  <c r="Y3133" i="11"/>
  <c r="Y3134" i="11"/>
  <c r="Y3135" i="11"/>
  <c r="Y3136" i="11"/>
  <c r="Y3137" i="11"/>
  <c r="Y3138" i="11"/>
  <c r="Y3139" i="11"/>
  <c r="Y3140" i="11"/>
  <c r="Y3141" i="11"/>
  <c r="Y3142" i="11"/>
  <c r="Y3143" i="11"/>
  <c r="Y3144" i="11"/>
  <c r="Y3145" i="11"/>
  <c r="Y3146" i="11"/>
  <c r="Y3147" i="11"/>
  <c r="Y3148" i="11"/>
  <c r="Y3149" i="11"/>
  <c r="Y3150" i="11"/>
  <c r="Y3151" i="11"/>
  <c r="Y3152" i="11"/>
  <c r="Y3153" i="11"/>
  <c r="Y3154" i="11"/>
  <c r="Y3155" i="11"/>
  <c r="Y3156" i="11"/>
  <c r="Y3157" i="11"/>
  <c r="Y3158" i="11"/>
  <c r="Y3159" i="11"/>
  <c r="Y3160" i="11"/>
  <c r="Y3161" i="11"/>
  <c r="Y3162" i="11"/>
  <c r="Y3163" i="11"/>
  <c r="Y3164" i="11"/>
  <c r="Y3165" i="11"/>
  <c r="Y3166" i="11"/>
  <c r="Y3167" i="11"/>
  <c r="Y3168" i="11"/>
  <c r="Y3169" i="11"/>
  <c r="Y3170" i="11"/>
  <c r="Y3171" i="11"/>
  <c r="Y3172" i="11"/>
  <c r="Y3173" i="11"/>
  <c r="Y3174" i="11"/>
  <c r="Y3175" i="11"/>
  <c r="Y3176" i="11"/>
  <c r="Y3177" i="11"/>
  <c r="Y3178" i="11"/>
  <c r="Y3179" i="11"/>
  <c r="Y3180" i="11"/>
  <c r="Y3181" i="11"/>
  <c r="Y3182" i="11"/>
  <c r="Y3183" i="11"/>
  <c r="Y3184" i="11"/>
  <c r="Y3185" i="11"/>
  <c r="Y3186" i="11"/>
  <c r="Y3187" i="11"/>
  <c r="Y3188" i="11"/>
  <c r="Y3189" i="11"/>
  <c r="Y3190" i="11"/>
  <c r="Y3191" i="11"/>
  <c r="Y3192" i="11"/>
  <c r="Y3193" i="11"/>
  <c r="Y3194" i="11"/>
  <c r="Y3195" i="11"/>
  <c r="Y3196" i="11"/>
  <c r="Y3197" i="11"/>
  <c r="Y3198" i="11"/>
  <c r="Y3199" i="11"/>
  <c r="Y3200" i="11"/>
  <c r="Y3201" i="11"/>
  <c r="Y3202" i="11"/>
  <c r="Y3203" i="11"/>
  <c r="Y3204" i="11"/>
  <c r="Y3205" i="11"/>
  <c r="Y3206" i="11"/>
  <c r="Y3207" i="11"/>
  <c r="Y3208" i="11"/>
  <c r="Y3209" i="11"/>
  <c r="Y3210" i="11"/>
  <c r="Y3211" i="11"/>
  <c r="Y3212" i="11"/>
  <c r="Y3213" i="11"/>
  <c r="Y3214" i="11"/>
  <c r="Y3215" i="11"/>
  <c r="Y3216" i="11"/>
  <c r="Y3217" i="11"/>
  <c r="Y3218" i="11"/>
  <c r="Y3219" i="11"/>
  <c r="Y3220" i="11"/>
  <c r="Y3221" i="11"/>
  <c r="Y3222" i="11"/>
  <c r="Y3223" i="11"/>
  <c r="Y3224" i="11"/>
  <c r="Y3225" i="11"/>
  <c r="Y3226" i="11"/>
  <c r="Y3227" i="11"/>
  <c r="Y3228" i="11"/>
  <c r="Y3229" i="11"/>
  <c r="Y3230" i="11"/>
  <c r="Y3231" i="11"/>
  <c r="Y3232" i="11"/>
  <c r="Y3233" i="11"/>
  <c r="Y3234" i="11"/>
  <c r="Y3235" i="11"/>
  <c r="Y3236" i="11"/>
  <c r="Y3237" i="11"/>
  <c r="Y3238" i="11"/>
  <c r="Y3239" i="11"/>
  <c r="Y3240" i="11"/>
  <c r="Y3241" i="11"/>
  <c r="Y3242" i="11"/>
  <c r="Y3243" i="11"/>
  <c r="Y3244" i="11"/>
  <c r="Y3245" i="11"/>
  <c r="Y3246" i="11"/>
  <c r="Y3247" i="11"/>
  <c r="Y3248" i="11"/>
  <c r="Y3249" i="11"/>
  <c r="Y3250" i="11"/>
  <c r="Y3251" i="11"/>
  <c r="Y3252" i="11"/>
  <c r="Y3253" i="11"/>
  <c r="Y3254" i="11"/>
  <c r="Y3255" i="11"/>
  <c r="Y3256" i="11"/>
  <c r="Y3257" i="11"/>
  <c r="Y3258" i="11"/>
  <c r="Y3259" i="11"/>
  <c r="Y3260" i="11"/>
  <c r="Y3261" i="11"/>
  <c r="Y3262" i="11"/>
  <c r="Y3263" i="11"/>
  <c r="Y3264" i="11"/>
  <c r="Y3265" i="11"/>
  <c r="Y3266" i="11"/>
  <c r="Y3267" i="11"/>
  <c r="Y3268" i="11"/>
  <c r="Y3269" i="11"/>
  <c r="Y3270" i="11"/>
  <c r="Y3271" i="11"/>
  <c r="Y3272" i="11"/>
  <c r="Y3273" i="11"/>
  <c r="Y3274" i="11"/>
  <c r="Y3275" i="11"/>
  <c r="Y3276" i="11"/>
  <c r="Y3277" i="11"/>
  <c r="Y3278" i="11"/>
  <c r="Y3279" i="11"/>
  <c r="Y3280" i="11"/>
  <c r="Y3281" i="11"/>
  <c r="Y3282" i="11"/>
  <c r="Y3283" i="11"/>
  <c r="Y3284" i="11"/>
  <c r="Y3285" i="11"/>
  <c r="Y3286" i="11"/>
  <c r="Y3287" i="11"/>
  <c r="Y3288" i="11"/>
  <c r="Y3289" i="11"/>
  <c r="Y3290" i="11"/>
  <c r="Y3291" i="11"/>
  <c r="Y3292" i="11"/>
  <c r="Y3293" i="11"/>
  <c r="Y3294" i="11"/>
  <c r="Y3295" i="11"/>
  <c r="Y3296" i="11"/>
  <c r="Y3297" i="11"/>
  <c r="Y3298" i="11"/>
  <c r="Y3299" i="11"/>
  <c r="Y3300" i="11"/>
  <c r="Y3301" i="11"/>
  <c r="Y3302" i="11"/>
  <c r="Y3303" i="11"/>
  <c r="Y3304" i="11"/>
  <c r="Y3305" i="11"/>
  <c r="Y3306" i="11"/>
  <c r="Y3307" i="11"/>
  <c r="Y3308" i="11"/>
  <c r="Y3309" i="11"/>
  <c r="Y3310" i="11"/>
  <c r="Y3311" i="11"/>
  <c r="Y3312" i="11"/>
  <c r="Y3313" i="11"/>
  <c r="Y3314" i="11"/>
  <c r="Y3315" i="11"/>
  <c r="Y3316" i="11"/>
  <c r="Y3317" i="11"/>
  <c r="Y3318" i="11"/>
  <c r="Y3319" i="11"/>
  <c r="Y3320" i="11"/>
  <c r="Y3321" i="11"/>
  <c r="Y3322" i="11"/>
  <c r="Y3323" i="11"/>
  <c r="Y3324" i="11"/>
  <c r="Y3325" i="11"/>
  <c r="Y3326" i="11"/>
  <c r="Y3327" i="11"/>
  <c r="Y3328" i="11"/>
  <c r="Y3329" i="11"/>
  <c r="Y3330" i="11"/>
  <c r="Y3331" i="11"/>
  <c r="Y3332" i="11"/>
  <c r="Y3333" i="11"/>
  <c r="Y3334" i="11"/>
  <c r="Y3335" i="11"/>
  <c r="Y3336" i="11"/>
  <c r="Y3337" i="11"/>
  <c r="Y3338" i="11"/>
  <c r="Y3339" i="11"/>
  <c r="Y3340" i="11"/>
  <c r="Y3341" i="11"/>
  <c r="Y3342" i="11"/>
  <c r="Y3343" i="11"/>
  <c r="Y3344" i="11"/>
  <c r="Y3345" i="11"/>
  <c r="Y3346" i="11"/>
  <c r="Y3347" i="11"/>
  <c r="Y3348" i="11"/>
  <c r="Y3349" i="11"/>
  <c r="Y3350" i="11"/>
  <c r="Y3351" i="11"/>
  <c r="Y3352" i="11"/>
  <c r="Y3353" i="11"/>
  <c r="Y3354" i="11"/>
  <c r="Y3355" i="11"/>
  <c r="Y3356" i="11"/>
  <c r="Y3357" i="11"/>
  <c r="Y3358" i="11"/>
  <c r="Y3359" i="11"/>
  <c r="Y3360" i="11"/>
  <c r="Y3361" i="11"/>
  <c r="Y3362" i="11"/>
  <c r="Y3363" i="11"/>
  <c r="Y3364" i="11"/>
  <c r="Y3365" i="11"/>
  <c r="Y3366" i="11"/>
  <c r="Y3367" i="11"/>
  <c r="Y3368" i="11"/>
  <c r="Y3369" i="11"/>
  <c r="Y3370" i="11"/>
  <c r="Y3371" i="11"/>
  <c r="Y3372" i="11"/>
  <c r="Y3373" i="11"/>
  <c r="Y3374" i="11"/>
  <c r="Y3375" i="11"/>
  <c r="Y3376" i="11"/>
  <c r="Y3377" i="11"/>
  <c r="Y3378" i="11"/>
  <c r="Y3379" i="11"/>
  <c r="Y3380" i="11"/>
  <c r="Y3381" i="11"/>
  <c r="Y3382" i="11"/>
  <c r="Y3383" i="11"/>
  <c r="Y3384" i="11"/>
  <c r="Y3385" i="11"/>
  <c r="Y3386" i="11"/>
  <c r="Y3387" i="11"/>
  <c r="Y3388" i="11"/>
  <c r="Y3389" i="11"/>
  <c r="Y3390" i="11"/>
  <c r="Y3391" i="11"/>
  <c r="Y3392" i="11"/>
  <c r="Y3393" i="11"/>
  <c r="Y3394" i="11"/>
  <c r="Y3395" i="11"/>
  <c r="Y3396" i="11"/>
  <c r="Y3397" i="11"/>
  <c r="Y3398" i="11"/>
  <c r="Y3399" i="11"/>
  <c r="Y3400" i="11"/>
  <c r="Y3401" i="11"/>
  <c r="Y3402" i="11"/>
  <c r="Y3403" i="11"/>
  <c r="Y3404" i="11"/>
  <c r="Y3405" i="11"/>
  <c r="Y3406" i="11"/>
  <c r="Y3407" i="11"/>
  <c r="Y3408" i="11"/>
  <c r="Y3409" i="11"/>
  <c r="Y3410" i="11"/>
  <c r="Y3411" i="11"/>
  <c r="Y3412" i="11"/>
  <c r="Y3413" i="11"/>
  <c r="Y3414" i="11"/>
  <c r="Y3415" i="11"/>
  <c r="Y3416" i="11"/>
  <c r="Y3417" i="11"/>
  <c r="Y3418" i="11"/>
  <c r="Y3419" i="11"/>
  <c r="Y3420" i="11"/>
  <c r="Y3421" i="11"/>
  <c r="Y3422" i="11"/>
  <c r="Y3423" i="11"/>
  <c r="Y3424" i="11"/>
  <c r="Y3425" i="11"/>
  <c r="Y3426" i="11"/>
  <c r="Y3427" i="11"/>
  <c r="Y3428" i="11"/>
  <c r="Y3429" i="11"/>
  <c r="Y3430" i="11"/>
  <c r="Y3431" i="11"/>
  <c r="Y3432" i="11"/>
  <c r="Y3433" i="11"/>
  <c r="Y3434" i="11"/>
  <c r="Y3435" i="11"/>
  <c r="Y3436" i="11"/>
  <c r="Y3437" i="11"/>
  <c r="Y3438" i="11"/>
  <c r="Y3439" i="11"/>
  <c r="Y3440" i="11"/>
  <c r="Y3441" i="11"/>
  <c r="Y3442" i="11"/>
  <c r="Y3443" i="11"/>
  <c r="Y3444" i="11"/>
  <c r="Y3445" i="11"/>
  <c r="Y3446" i="11"/>
  <c r="Y3447" i="11"/>
  <c r="Y3448" i="11"/>
  <c r="Y3449" i="11"/>
  <c r="Y3450" i="11"/>
  <c r="Y3451" i="11"/>
  <c r="Y3452" i="11"/>
  <c r="Y3453" i="11"/>
  <c r="Y3454" i="11"/>
  <c r="Y3455" i="11"/>
  <c r="Y3456" i="11"/>
  <c r="Y3457" i="11"/>
  <c r="Y3458" i="11"/>
  <c r="Y3459" i="11"/>
  <c r="Y3460" i="11"/>
  <c r="Y3461" i="11"/>
  <c r="Y3462" i="11"/>
  <c r="Y3463" i="11"/>
  <c r="Y3464" i="11"/>
  <c r="Y3465" i="11"/>
  <c r="Y3466" i="11"/>
  <c r="Y3467" i="11"/>
  <c r="Y3468" i="11"/>
  <c r="Y3469" i="11"/>
  <c r="Y3470" i="11"/>
  <c r="Y3471" i="11"/>
  <c r="Y3472" i="11"/>
  <c r="Y3473" i="11"/>
  <c r="Y3474" i="11"/>
  <c r="Y3475" i="11"/>
  <c r="Y3476" i="11"/>
  <c r="Y3477" i="11"/>
  <c r="Y3478" i="11"/>
  <c r="Y3479" i="11"/>
  <c r="Y3480" i="11"/>
  <c r="Y3481" i="11"/>
  <c r="Y3482" i="11"/>
  <c r="Y3483" i="11"/>
  <c r="Y3484" i="11"/>
  <c r="Y3485" i="11"/>
  <c r="Y3486" i="11"/>
  <c r="Y3487" i="11"/>
  <c r="Y3488" i="11"/>
  <c r="Y3489" i="11"/>
  <c r="Y3490" i="11"/>
  <c r="Y3491" i="11"/>
  <c r="Y3492" i="11"/>
  <c r="Y3493" i="11"/>
  <c r="Y3494" i="11"/>
  <c r="Y3495" i="11"/>
  <c r="Y3496" i="11"/>
  <c r="Y3497" i="11"/>
  <c r="Y3498" i="11"/>
  <c r="Y3499" i="11"/>
  <c r="Y3500" i="11"/>
  <c r="Y3501" i="11"/>
  <c r="Y3502" i="11"/>
  <c r="Y3503" i="11"/>
  <c r="Y3504" i="11"/>
  <c r="Y3505" i="11"/>
  <c r="Y3506" i="11"/>
  <c r="Y3507" i="11"/>
  <c r="Y3508" i="11"/>
  <c r="Y3509" i="11"/>
  <c r="Y3510" i="11"/>
  <c r="Y3511" i="11"/>
  <c r="Y3512" i="11"/>
  <c r="Y3513" i="11"/>
  <c r="Y3514" i="11"/>
  <c r="Y3515" i="11"/>
  <c r="Y3516" i="11"/>
  <c r="Y3517" i="11"/>
  <c r="Y3518" i="11"/>
  <c r="Y3519" i="11"/>
  <c r="Y3520" i="11"/>
  <c r="Y3521" i="11"/>
  <c r="Y3522" i="11"/>
  <c r="Y3523" i="11"/>
  <c r="Y3524" i="11"/>
  <c r="Y3525" i="11"/>
  <c r="Y3526" i="11"/>
  <c r="Y3527" i="11"/>
  <c r="Y3528" i="11"/>
  <c r="Y3529" i="11"/>
  <c r="Y3530" i="11"/>
  <c r="Y3531" i="11"/>
  <c r="Y3532" i="11"/>
  <c r="Y3533" i="11"/>
  <c r="Y3534" i="11"/>
  <c r="Y3535" i="11"/>
  <c r="Y3536" i="11"/>
  <c r="Y3537" i="11"/>
  <c r="Y3538" i="11"/>
  <c r="Y3539" i="11"/>
  <c r="Y3540" i="11"/>
  <c r="Y3541" i="11"/>
  <c r="Y3542" i="11"/>
  <c r="Y3543" i="11"/>
  <c r="Y3544" i="11"/>
  <c r="Y3545" i="11"/>
  <c r="Y3546" i="11"/>
  <c r="Y3547" i="11"/>
  <c r="Y3548" i="11"/>
  <c r="Y3549" i="11"/>
  <c r="Y3550" i="11"/>
  <c r="Y3551" i="11"/>
  <c r="Y3552" i="11"/>
  <c r="Y3553" i="11"/>
  <c r="Y3554" i="11"/>
  <c r="Y3555" i="11"/>
  <c r="Y3556" i="11"/>
  <c r="Y3557" i="11"/>
  <c r="Y3558" i="11"/>
  <c r="Y3559" i="11"/>
  <c r="Y3560" i="11"/>
  <c r="Y3561" i="11"/>
  <c r="Y3562" i="11"/>
  <c r="Y3563" i="11"/>
  <c r="Y3564" i="11"/>
  <c r="Y3565" i="11"/>
  <c r="Y3566" i="11"/>
  <c r="Y3567" i="11"/>
  <c r="Y3568" i="11"/>
  <c r="Y3569" i="11"/>
  <c r="Y3570" i="11"/>
  <c r="Y3571" i="11"/>
  <c r="Y3572" i="11"/>
  <c r="Y3573" i="11"/>
  <c r="Y3574" i="11"/>
  <c r="Y3575" i="11"/>
  <c r="Y3576" i="11"/>
  <c r="Y3577" i="11"/>
  <c r="Y3578" i="11"/>
  <c r="Y3579" i="11"/>
  <c r="Y3580" i="11"/>
  <c r="Y3581" i="11"/>
  <c r="Y3582" i="11"/>
  <c r="Y3583" i="11"/>
  <c r="Y3584" i="11"/>
  <c r="Y3585" i="11"/>
  <c r="Y3586" i="11"/>
  <c r="Y3587" i="11"/>
  <c r="Y3588" i="11"/>
  <c r="Y3589" i="11"/>
  <c r="Y3590" i="11"/>
  <c r="Y3591" i="11"/>
  <c r="Y3592" i="11"/>
  <c r="Y3593" i="11"/>
  <c r="Y3594" i="11"/>
  <c r="Y3595" i="11"/>
  <c r="Y3596" i="11"/>
  <c r="Y3597" i="11"/>
  <c r="Y3598" i="11"/>
  <c r="Y3599" i="11"/>
  <c r="Y3600" i="11"/>
  <c r="Y3601" i="11"/>
  <c r="Y3602" i="11"/>
  <c r="Y3603" i="11"/>
  <c r="Y3604" i="11"/>
  <c r="Y3605" i="11"/>
  <c r="Y3606" i="11"/>
  <c r="Y3607" i="11"/>
  <c r="Y3608" i="11"/>
  <c r="Y3609" i="11"/>
  <c r="Y3610" i="11"/>
  <c r="Y3611" i="11"/>
  <c r="Y3612" i="11"/>
  <c r="Y3613" i="11"/>
  <c r="Y3614" i="11"/>
  <c r="Y3615" i="11"/>
  <c r="Y3616" i="11"/>
  <c r="Y3617" i="11"/>
  <c r="Y3618" i="11"/>
  <c r="Y3619" i="11"/>
  <c r="Y3620" i="11"/>
  <c r="Y3621" i="11"/>
  <c r="Y3622" i="11"/>
  <c r="Y3623" i="11"/>
  <c r="Y3624" i="11"/>
  <c r="Y3625" i="11"/>
  <c r="Y3626" i="11"/>
  <c r="Y3627" i="11"/>
  <c r="Y3628" i="11"/>
  <c r="Y3629" i="11"/>
  <c r="Y3630" i="11"/>
  <c r="Y3631" i="11"/>
  <c r="Y3632" i="11"/>
  <c r="Y3633" i="11"/>
  <c r="Y3634" i="11"/>
  <c r="Y3635" i="11"/>
  <c r="Y3636" i="11"/>
  <c r="Y3637" i="11"/>
  <c r="Y3638" i="11"/>
  <c r="Y3639" i="11"/>
  <c r="Y3640" i="11"/>
  <c r="Y3641" i="11"/>
  <c r="Y3642" i="11"/>
  <c r="Y3643" i="11"/>
  <c r="Y3644" i="11"/>
  <c r="Y3645" i="11"/>
  <c r="Y3646" i="11"/>
  <c r="Y3647" i="11"/>
  <c r="Y3648" i="11"/>
  <c r="Y3649" i="11"/>
  <c r="Y3650" i="11"/>
  <c r="Y3651" i="11"/>
  <c r="Y3652" i="11"/>
  <c r="Y3653" i="11"/>
  <c r="Y3654" i="11"/>
  <c r="Y3655" i="11"/>
  <c r="Y3656" i="11"/>
  <c r="Y3657" i="11"/>
  <c r="Y3658" i="11"/>
  <c r="Y3659" i="11"/>
  <c r="Y3660" i="11"/>
  <c r="Y3661" i="11"/>
  <c r="Y3662" i="11"/>
  <c r="Y3663" i="11"/>
  <c r="Y3664" i="11"/>
  <c r="Y3665" i="11"/>
  <c r="Y3666" i="11"/>
  <c r="Y3667" i="11"/>
  <c r="Y3668" i="11"/>
  <c r="Y3669" i="11"/>
  <c r="Y3670" i="11"/>
  <c r="Y3671" i="11"/>
  <c r="Y3672" i="11"/>
  <c r="Y3673" i="11"/>
  <c r="Y3674" i="11"/>
  <c r="Y3675" i="11"/>
  <c r="Y3676" i="11"/>
  <c r="Y3677" i="11"/>
  <c r="Y3678" i="11"/>
  <c r="Y3679" i="11"/>
  <c r="Y3680" i="11"/>
  <c r="Y3681" i="11"/>
  <c r="Y3682" i="11"/>
  <c r="Y3683" i="11"/>
  <c r="Y3684" i="11"/>
  <c r="Y3685" i="11"/>
  <c r="Y3686" i="11"/>
  <c r="Y3687" i="11"/>
  <c r="Y3688" i="11"/>
  <c r="Y3689" i="11"/>
  <c r="Y3690" i="11"/>
  <c r="Y3691" i="11"/>
  <c r="Y3692" i="11"/>
  <c r="Y3693" i="11"/>
  <c r="Y3694" i="11"/>
  <c r="Y3695" i="11"/>
  <c r="Y3696" i="11"/>
  <c r="Y3697" i="11"/>
  <c r="Y3698" i="11"/>
  <c r="Y3699" i="11"/>
  <c r="Y3700" i="11"/>
  <c r="Y3701" i="11"/>
  <c r="Y3702" i="11"/>
  <c r="Y3703" i="11"/>
  <c r="Y3704" i="11"/>
  <c r="Y3705" i="11"/>
  <c r="Y3706" i="11"/>
  <c r="Y3707" i="11"/>
  <c r="Y3708" i="11"/>
  <c r="Y3709" i="11"/>
  <c r="Y3710" i="11"/>
  <c r="Y3711" i="11"/>
  <c r="Y3712" i="11"/>
  <c r="Y3713" i="11"/>
  <c r="Y3714" i="11"/>
  <c r="Y3715" i="11"/>
  <c r="Y3716" i="11"/>
  <c r="Y3717" i="11"/>
  <c r="Y3718" i="11"/>
  <c r="Y3719" i="11"/>
  <c r="Y3720" i="11"/>
  <c r="Y3721" i="11"/>
  <c r="Y3722" i="11"/>
  <c r="Y3723" i="11"/>
  <c r="Y3724" i="11"/>
  <c r="Y3725" i="11"/>
  <c r="Y3726" i="11"/>
  <c r="Y3727" i="11"/>
  <c r="Y3728" i="11"/>
  <c r="Y3729" i="11"/>
  <c r="Y3730" i="11"/>
  <c r="Y3731" i="11"/>
  <c r="Y3732" i="11"/>
  <c r="Y3733" i="11"/>
  <c r="Y3734" i="11"/>
  <c r="Y3735" i="11"/>
  <c r="Y3736" i="11"/>
  <c r="Y3737" i="11"/>
  <c r="Y3738" i="11"/>
  <c r="Y3739" i="11"/>
  <c r="Y3740" i="11"/>
  <c r="Y3741" i="11"/>
  <c r="Y3742" i="11"/>
  <c r="Y3743" i="11"/>
  <c r="Y3744" i="11"/>
  <c r="Y3745" i="11"/>
  <c r="Y3746" i="11"/>
  <c r="Y3747" i="11"/>
  <c r="Y3748" i="11"/>
  <c r="Y3749" i="11"/>
  <c r="Y3750" i="11"/>
  <c r="Y3751" i="11"/>
  <c r="Y3752" i="11"/>
  <c r="Y3753" i="11"/>
  <c r="Y3754" i="11"/>
  <c r="Y3755" i="11"/>
  <c r="Y3756" i="11"/>
  <c r="Y3757" i="11"/>
  <c r="Y3758" i="11"/>
  <c r="Y3759" i="11"/>
  <c r="Y3760" i="11"/>
  <c r="Y3761" i="11"/>
  <c r="Y3762" i="11"/>
  <c r="Y3763" i="11"/>
  <c r="Y3764" i="11"/>
  <c r="Y3765" i="11"/>
  <c r="Y3766" i="11"/>
  <c r="Y3767" i="11"/>
  <c r="Y3768" i="11"/>
  <c r="Y3769" i="11"/>
  <c r="Y3770" i="11"/>
  <c r="Y3771" i="11"/>
  <c r="Y3772" i="11"/>
  <c r="Y3773" i="11"/>
  <c r="Y3774" i="11"/>
  <c r="Y3775" i="11"/>
  <c r="Y3776" i="11"/>
  <c r="Y3777" i="11"/>
  <c r="Y3778" i="11"/>
  <c r="Y3779" i="11"/>
  <c r="Y3780" i="11"/>
  <c r="Y3781" i="11"/>
  <c r="Y3782" i="11"/>
  <c r="Y3783" i="11"/>
  <c r="Y3784" i="11"/>
  <c r="Y3785" i="11"/>
  <c r="Y3786" i="11"/>
  <c r="Y3787" i="11"/>
  <c r="Y3788" i="11"/>
  <c r="Y3789" i="11"/>
  <c r="Y3790" i="11"/>
  <c r="Y3791" i="11"/>
  <c r="Y3792" i="11"/>
  <c r="Y3793" i="11"/>
  <c r="Y3794" i="11"/>
  <c r="Y3795" i="11"/>
  <c r="Y3796" i="11"/>
  <c r="Y3797" i="11"/>
  <c r="Y3798" i="11"/>
  <c r="Y3799" i="11"/>
  <c r="Y3800" i="11"/>
  <c r="Y3801" i="11"/>
  <c r="Y3802" i="11"/>
  <c r="Y3803" i="11"/>
  <c r="Y3804" i="11"/>
  <c r="Y3805" i="11"/>
  <c r="Y3806" i="11"/>
  <c r="Y3807" i="11"/>
  <c r="Y3808" i="11"/>
  <c r="Y3809" i="11"/>
  <c r="Y3810" i="11"/>
  <c r="Y3811" i="11"/>
  <c r="Y3812" i="11"/>
  <c r="Y3813" i="11"/>
  <c r="Y3814" i="11"/>
  <c r="Y3815" i="11"/>
  <c r="Y3816" i="11"/>
  <c r="Y3817" i="11"/>
  <c r="Y3818" i="11"/>
  <c r="Y3819" i="11"/>
  <c r="Y4" i="11"/>
  <c r="X4" i="11"/>
  <c r="D3802" i="19" a="1"/>
  <c r="D3802" i="19" s="1"/>
  <c r="N186" i="19" s="1"/>
  <c r="O186" i="19" s="1"/>
  <c r="D3721" i="19" a="1"/>
  <c r="D3721" i="19" s="1"/>
  <c r="N182" i="19" s="1"/>
  <c r="O182" i="19" s="1"/>
  <c r="D3781" i="19" a="1"/>
  <c r="D3781" i="19" s="1"/>
  <c r="N185" i="19" s="1"/>
  <c r="O185" i="19" s="1"/>
  <c r="D3761" i="19" a="1"/>
  <c r="D3761" i="19" s="1"/>
  <c r="N184" i="19" s="1"/>
  <c r="O184" i="19" s="1"/>
  <c r="D3739" i="19" a="1"/>
  <c r="D3739" i="19" s="1"/>
  <c r="N183" i="19" s="1"/>
  <c r="O183" i="19" s="1"/>
  <c r="D3700" i="19" a="1"/>
  <c r="D3700" i="19" s="1"/>
  <c r="N181" i="19" s="1"/>
  <c r="O181" i="19" s="1"/>
  <c r="D3677" i="19" a="1"/>
  <c r="D3677" i="19" s="1"/>
  <c r="N180" i="19" s="1"/>
  <c r="O180" i="19" s="1"/>
  <c r="D3656" i="19" a="1"/>
  <c r="D3656" i="19" s="1"/>
  <c r="N179" i="19" s="1"/>
  <c r="O179" i="19" s="1"/>
  <c r="D3636" i="19" a="1"/>
  <c r="D3636" i="19" s="1"/>
  <c r="N178" i="19" s="1"/>
  <c r="O178" i="19" s="1"/>
  <c r="D3613" i="19" a="1"/>
  <c r="D3613" i="19" s="1"/>
  <c r="N177" i="19" s="1"/>
  <c r="O177" i="19" s="1"/>
  <c r="D3593" i="19" a="1"/>
  <c r="D3593" i="19" s="1"/>
  <c r="N176" i="19" s="1"/>
  <c r="O176" i="19" s="1"/>
  <c r="D3573" i="19" a="1"/>
  <c r="D3573" i="19" s="1"/>
  <c r="N175" i="19" s="1"/>
  <c r="O175" i="19" s="1"/>
  <c r="D3552" i="19" a="1"/>
  <c r="D3552" i="19" s="1"/>
  <c r="N174" i="19" s="1"/>
  <c r="O174" i="19" s="1"/>
  <c r="D3532" i="19" a="1"/>
  <c r="D3532" i="19" s="1"/>
  <c r="N173" i="19" s="1"/>
  <c r="O173" i="19" s="1"/>
  <c r="D3511" i="19" a="1"/>
  <c r="D3511" i="19" s="1"/>
  <c r="N172" i="19" s="1"/>
  <c r="O172" i="19" s="1"/>
  <c r="D3303" i="19" a="1"/>
  <c r="D3303" i="19" s="1"/>
  <c r="N162" i="19" s="1"/>
  <c r="O162" i="19" s="1"/>
  <c r="D3489" i="19" a="1"/>
  <c r="D3489" i="19" s="1"/>
  <c r="N171" i="19" s="1"/>
  <c r="O171" i="19" s="1"/>
  <c r="D3470" i="19" a="1"/>
  <c r="D3470" i="19" s="1"/>
  <c r="N170" i="19" s="1"/>
  <c r="O170" i="19" s="1"/>
  <c r="D3448" i="19" a="1"/>
  <c r="D3448" i="19" s="1"/>
  <c r="N169" i="19" s="1"/>
  <c r="O169" i="19" s="1"/>
  <c r="D3426" i="19" a="1"/>
  <c r="D3426" i="19" s="1"/>
  <c r="N168" i="19" s="1"/>
  <c r="O168" i="19" s="1"/>
  <c r="D3405" i="19" a="1"/>
  <c r="D3405" i="19" s="1"/>
  <c r="N167" i="19" s="1"/>
  <c r="O167" i="19" s="1"/>
  <c r="D3384" i="19" a="1"/>
  <c r="D3384" i="19" s="1"/>
  <c r="N166" i="19" s="1"/>
  <c r="O166" i="19" s="1"/>
  <c r="D3363" i="19" a="1"/>
  <c r="D3363" i="19" s="1"/>
  <c r="N165" i="19" s="1"/>
  <c r="O165" i="19" s="1"/>
  <c r="D3341" i="19" a="1"/>
  <c r="D3341" i="19" s="1"/>
  <c r="N164" i="19" s="1"/>
  <c r="O164" i="19" s="1"/>
  <c r="D3321" i="19" a="1"/>
  <c r="D3321" i="19" s="1"/>
  <c r="N163" i="19" s="1"/>
  <c r="O163" i="19" s="1"/>
  <c r="D3280" i="19" a="1"/>
  <c r="D3280" i="19" s="1"/>
  <c r="N161" i="19" s="1"/>
  <c r="O161" i="19" s="1"/>
  <c r="D3260" i="19" a="1"/>
  <c r="D3260" i="19" s="1"/>
  <c r="N160" i="19" s="1"/>
  <c r="O160" i="19" s="1"/>
  <c r="D3239" i="19" a="1"/>
  <c r="D3239" i="19" s="1"/>
  <c r="N159" i="19" s="1"/>
  <c r="O159" i="19" s="1"/>
  <c r="D3219" i="19" a="1"/>
  <c r="D3219" i="19" s="1"/>
  <c r="N158" i="19" s="1"/>
  <c r="O158" i="19" s="1"/>
  <c r="D3197" i="19" a="1"/>
  <c r="D3197" i="19" s="1"/>
  <c r="N157" i="19" s="1"/>
  <c r="O157" i="19" s="1"/>
  <c r="D3176" i="19" a="1"/>
  <c r="D3176" i="19" s="1"/>
  <c r="N156" i="19" s="1"/>
  <c r="O156" i="19" s="1"/>
  <c r="D3155" i="19" a="1"/>
  <c r="D3155" i="19" s="1"/>
  <c r="N155" i="19" s="1"/>
  <c r="O155" i="19" s="1"/>
  <c r="D3134" i="19" a="1"/>
  <c r="D3134" i="19" s="1"/>
  <c r="N154" i="19" s="1"/>
  <c r="O154" i="19" s="1"/>
  <c r="D3113" i="19" a="1"/>
  <c r="D3113" i="19" s="1"/>
  <c r="N153" i="19" s="1"/>
  <c r="O153" i="19" s="1"/>
  <c r="D3093" i="19" a="1"/>
  <c r="D3093" i="19" s="1"/>
  <c r="N152" i="19" s="1"/>
  <c r="O152" i="19" s="1"/>
  <c r="D3072" i="19" a="1"/>
  <c r="D3072" i="19" s="1"/>
  <c r="N151" i="19" s="1"/>
  <c r="O151" i="19" s="1"/>
  <c r="D3053" i="19" a="1"/>
  <c r="D3053" i="19" s="1"/>
  <c r="N150" i="19" s="1"/>
  <c r="O150" i="19" s="1"/>
  <c r="D3030" i="19" a="1"/>
  <c r="D3030" i="19" s="1"/>
  <c r="N149" i="19" s="1"/>
  <c r="O149" i="19" s="1"/>
  <c r="D3010" i="19" a="1"/>
  <c r="D3010" i="19" s="1"/>
  <c r="N148" i="19" s="1"/>
  <c r="O148" i="19" s="1"/>
  <c r="D2990" i="19" a="1"/>
  <c r="D2990" i="19" s="1"/>
  <c r="N147" i="19" s="1"/>
  <c r="O147" i="19" s="1"/>
  <c r="D2823" i="19" a="1"/>
  <c r="D2823" i="19" s="1"/>
  <c r="N139" i="19" s="1"/>
  <c r="O139" i="19" s="1"/>
  <c r="D2971" i="19" a="1"/>
  <c r="D2971" i="19" s="1"/>
  <c r="N146" i="19" s="1"/>
  <c r="O146" i="19" s="1"/>
  <c r="D2949" i="19" a="1"/>
  <c r="D2949" i="19" s="1"/>
  <c r="N145" i="19" s="1"/>
  <c r="O145" i="19" s="1"/>
  <c r="D2928" i="19" a="1"/>
  <c r="D2928" i="19" s="1"/>
  <c r="N144" i="19" s="1"/>
  <c r="O144" i="19" s="1"/>
  <c r="D2906" i="19" a="1"/>
  <c r="D2906" i="19" s="1"/>
  <c r="N143" i="19" s="1"/>
  <c r="O143" i="19" s="1"/>
  <c r="D2885" i="19" a="1"/>
  <c r="D2885" i="19" s="1"/>
  <c r="N142" i="19" s="1"/>
  <c r="O142" i="19" s="1"/>
  <c r="D2863" i="19" a="1"/>
  <c r="D2863" i="19" s="1"/>
  <c r="N141" i="19" s="1"/>
  <c r="O141" i="19" s="1"/>
  <c r="D2841" i="19" a="1"/>
  <c r="D2841" i="19" s="1"/>
  <c r="N140" i="19" s="1"/>
  <c r="O140" i="19" s="1"/>
  <c r="D2803" i="19" a="1"/>
  <c r="D2803" i="19" s="1"/>
  <c r="N138" i="19" s="1"/>
  <c r="O138" i="19" s="1"/>
  <c r="D2780" i="19" a="1"/>
  <c r="D2780" i="19" s="1"/>
  <c r="N137" i="19" s="1"/>
  <c r="O137" i="19" s="1"/>
  <c r="D2760" i="19" a="1"/>
  <c r="D2760" i="19" s="1"/>
  <c r="N136" i="19" s="1"/>
  <c r="O136" i="19" s="1"/>
  <c r="D2740" i="19" a="1"/>
  <c r="D2740" i="19" s="1"/>
  <c r="N135" i="19" s="1"/>
  <c r="O135" i="19" s="1"/>
  <c r="D2574" i="19" a="1"/>
  <c r="D2574" i="19" s="1"/>
  <c r="N127" i="19" s="1"/>
  <c r="O127" i="19" s="1"/>
  <c r="D2721" i="19" a="1"/>
  <c r="D2721" i="19" s="1"/>
  <c r="N134" i="19" s="1"/>
  <c r="O134" i="19" s="1"/>
  <c r="D2700" i="19" a="1"/>
  <c r="D2700" i="19" s="1"/>
  <c r="N133" i="19" s="1"/>
  <c r="O133" i="19" s="1"/>
  <c r="D2678" i="19" a="1"/>
  <c r="D2678" i="19" s="1"/>
  <c r="N132" i="19" s="1"/>
  <c r="O132" i="19" s="1"/>
  <c r="D2656" i="19" a="1"/>
  <c r="D2656" i="19" s="1"/>
  <c r="N131" i="19" s="1"/>
  <c r="O131" i="19" s="1"/>
  <c r="D2636" i="19" a="1"/>
  <c r="D2636" i="19" s="1"/>
  <c r="N130" i="19" s="1"/>
  <c r="O130" i="19" s="1"/>
  <c r="D2613" i="19" a="1"/>
  <c r="D2613" i="19" s="1"/>
  <c r="N129" i="19" s="1"/>
  <c r="O129" i="19" s="1"/>
  <c r="D2592" i="19" a="1"/>
  <c r="D2592" i="19" s="1"/>
  <c r="N128" i="19" s="1"/>
  <c r="O128" i="19" s="1"/>
  <c r="D2554" i="19" a="1"/>
  <c r="D2554" i="19" s="1"/>
  <c r="N126" i="19" s="1"/>
  <c r="O126" i="19" s="1"/>
  <c r="D2532" i="19" a="1"/>
  <c r="D2532" i="19" s="1"/>
  <c r="D2512" i="19" a="1"/>
  <c r="D2512" i="19" s="1"/>
  <c r="N124" i="19" s="1"/>
  <c r="O124" i="19" s="1"/>
  <c r="D2490" i="19" a="1"/>
  <c r="D2490" i="19" s="1"/>
  <c r="N123" i="19" s="1"/>
  <c r="O123" i="19" s="1"/>
  <c r="D2472" i="19" a="1"/>
  <c r="D2472" i="19" s="1"/>
  <c r="N122" i="19" s="1"/>
  <c r="O122" i="19" s="1"/>
  <c r="D2451" i="19" a="1"/>
  <c r="D2451" i="19" s="1"/>
  <c r="N121" i="19" s="1"/>
  <c r="O121" i="19" s="1"/>
  <c r="D2429" i="19" a="1"/>
  <c r="D2429" i="19" s="1"/>
  <c r="N120" i="19" s="1"/>
  <c r="O120" i="19" s="1"/>
  <c r="D2408" i="19" a="1"/>
  <c r="D2408" i="19" s="1"/>
  <c r="N119" i="19" s="1"/>
  <c r="O119" i="19" s="1"/>
  <c r="D2388" i="19" a="1"/>
  <c r="D2388" i="19" s="1"/>
  <c r="N118" i="19" s="1"/>
  <c r="O118" i="19" s="1"/>
  <c r="D2365" i="19" a="1"/>
  <c r="D2365" i="19" s="1"/>
  <c r="N117" i="19" s="1"/>
  <c r="O117" i="19" s="1"/>
  <c r="D2346" i="19" a="1"/>
  <c r="D2346" i="19" s="1"/>
  <c r="N116" i="19" s="1"/>
  <c r="O116" i="19" s="1"/>
  <c r="D2326" i="19" a="1"/>
  <c r="D2326" i="19" s="1"/>
  <c r="N115" i="19" s="1"/>
  <c r="O115" i="19" s="1"/>
  <c r="D2306" i="19" a="1"/>
  <c r="D2306" i="19" s="1"/>
  <c r="N114" i="19" s="1"/>
  <c r="O114" i="19" s="1"/>
  <c r="D2285" i="19" a="1"/>
  <c r="D2285" i="19" s="1"/>
  <c r="N125" i="19" s="1"/>
  <c r="O125" i="19" s="1"/>
  <c r="D2265" i="19" a="1"/>
  <c r="D2265" i="19" s="1"/>
  <c r="N112" i="19" s="1"/>
  <c r="O112" i="19" s="1"/>
  <c r="D2243" i="19" a="1"/>
  <c r="D2243" i="19" s="1"/>
  <c r="N111" i="19" s="1"/>
  <c r="O111" i="19" s="1"/>
  <c r="D2226" i="19" a="1"/>
  <c r="D2226" i="19" s="1"/>
  <c r="N110" i="19" s="1"/>
  <c r="O110" i="19" s="1"/>
  <c r="D2204" i="19" a="1"/>
  <c r="D2204" i="19" s="1"/>
  <c r="N109" i="19" s="1"/>
  <c r="O109" i="19" s="1"/>
  <c r="D2182" i="19" a="1"/>
  <c r="D2182" i="19" s="1"/>
  <c r="N108" i="19" s="1"/>
  <c r="O108" i="19" s="1"/>
  <c r="D2162" i="19" a="1"/>
  <c r="D2162" i="19" s="1"/>
  <c r="N107" i="19" s="1"/>
  <c r="O107" i="19" s="1"/>
  <c r="D2141" i="19" a="1"/>
  <c r="D2141" i="19" s="1"/>
  <c r="N106" i="19" s="1"/>
  <c r="O106" i="19" s="1"/>
  <c r="D2119" i="19" a="1"/>
  <c r="D2119" i="19" s="1"/>
  <c r="N105" i="19" s="1"/>
  <c r="O105" i="19" s="1"/>
  <c r="D2098" i="19" a="1"/>
  <c r="D2098" i="19" s="1"/>
  <c r="N104" i="19" s="1"/>
  <c r="O104" i="19" s="1"/>
  <c r="D2079" i="19" a="1"/>
  <c r="D2079" i="19" s="1"/>
  <c r="N103" i="19" s="1"/>
  <c r="O103" i="19" s="1"/>
  <c r="D2059" i="19" a="1"/>
  <c r="D2059" i="19" s="1"/>
  <c r="N102" i="19" s="1"/>
  <c r="O102" i="19" s="1"/>
  <c r="D2038" i="19" a="1"/>
  <c r="D2038" i="19" s="1"/>
  <c r="N101" i="19" s="1"/>
  <c r="O101" i="19" s="1"/>
  <c r="D2018" i="19" a="1"/>
  <c r="D2018" i="19" s="1"/>
  <c r="N100" i="19" s="1"/>
  <c r="O100" i="19" s="1"/>
  <c r="D1996" i="19" a="1"/>
  <c r="D1996" i="19" s="1"/>
  <c r="N99" i="19" s="1"/>
  <c r="O99" i="19" s="1"/>
  <c r="D1977" i="19" a="1"/>
  <c r="D1977" i="19" s="1"/>
  <c r="N98" i="19" s="1"/>
  <c r="O98" i="19" s="1"/>
  <c r="D1955" i="19" a="1"/>
  <c r="D1955" i="19" s="1"/>
  <c r="N97" i="19" s="1"/>
  <c r="O97" i="19" s="1"/>
  <c r="D1935" i="19" a="1"/>
  <c r="D1935" i="19" s="1"/>
  <c r="N96" i="19" s="1"/>
  <c r="O96" i="19" s="1"/>
  <c r="D1914" i="19" a="1"/>
  <c r="D1914" i="19" s="1"/>
  <c r="N95" i="19" s="1"/>
  <c r="O95" i="19" s="1"/>
  <c r="D1893" i="19" a="1"/>
  <c r="D1893" i="19" s="1"/>
  <c r="N94" i="19" s="1"/>
  <c r="O94" i="19" s="1"/>
  <c r="D1872" i="19" a="1"/>
  <c r="D1872" i="19" s="1"/>
  <c r="N93" i="19" s="1"/>
  <c r="O93" i="19" s="1"/>
  <c r="D1851" i="19" a="1"/>
  <c r="D1851" i="19" s="1"/>
  <c r="N92" i="19" s="1"/>
  <c r="O92" i="19" s="1"/>
  <c r="D1830" i="19" a="1"/>
  <c r="D1830" i="19" s="1"/>
  <c r="N91" i="19" s="1"/>
  <c r="O91" i="19" s="1"/>
  <c r="D1812" i="19" a="1"/>
  <c r="D1812" i="19" s="1"/>
  <c r="N90" i="19" s="1"/>
  <c r="O90" i="19" s="1"/>
  <c r="D1789" i="19" a="1"/>
  <c r="D1789" i="19" s="1"/>
  <c r="N89" i="19" s="1"/>
  <c r="O89" i="19" s="1"/>
  <c r="D1769" i="19" a="1"/>
  <c r="D1769" i="19" s="1"/>
  <c r="N88" i="19" s="1"/>
  <c r="O88" i="19" s="1"/>
  <c r="D1748" i="19" a="1"/>
  <c r="D1748" i="19" s="1"/>
  <c r="N87" i="19" s="1"/>
  <c r="O87" i="19" s="1"/>
  <c r="D1728" i="19" a="1"/>
  <c r="D1728" i="19" s="1"/>
  <c r="N86" i="19" s="1"/>
  <c r="O86" i="19" s="1"/>
  <c r="D1706" i="19" a="1"/>
  <c r="D1706" i="19" s="1"/>
  <c r="N85" i="19" s="1"/>
  <c r="O85" i="19" s="1"/>
  <c r="D1686" i="19" a="1"/>
  <c r="D1686" i="19" s="1"/>
  <c r="N84" i="19" s="1"/>
  <c r="O84" i="19" s="1"/>
  <c r="D1664" i="19" a="1"/>
  <c r="D1664" i="19" s="1"/>
  <c r="N83" i="19" s="1"/>
  <c r="O83" i="19" s="1"/>
  <c r="D1643" i="19" a="1"/>
  <c r="D1643" i="19" s="1"/>
  <c r="N82" i="19" s="1"/>
  <c r="O82" i="19" s="1"/>
  <c r="D1622" i="19" a="1"/>
  <c r="D1622" i="19" s="1"/>
  <c r="N81" i="19" s="1"/>
  <c r="O81" i="19" s="1"/>
  <c r="D1600" i="19" a="1"/>
  <c r="D1600" i="19" s="1"/>
  <c r="N80" i="19" s="1"/>
  <c r="O80" i="19" s="1"/>
  <c r="D1581" i="19" a="1"/>
  <c r="D1581" i="19" s="1"/>
  <c r="N79" i="19" s="1"/>
  <c r="O79" i="19" s="1"/>
  <c r="D1560" i="19" a="1"/>
  <c r="D1560" i="19" s="1"/>
  <c r="N78" i="19" s="1"/>
  <c r="O78" i="19" s="1"/>
  <c r="D1539" i="19" a="1"/>
  <c r="D1539" i="19" s="1"/>
  <c r="N77" i="19" s="1"/>
  <c r="O77" i="19" s="1"/>
  <c r="D1518" i="19" a="1"/>
  <c r="D1518" i="19" s="1"/>
  <c r="N76" i="19" s="1"/>
  <c r="O76" i="19" s="1"/>
  <c r="D1498" i="19" a="1"/>
  <c r="D1498" i="19" s="1"/>
  <c r="N75" i="19" s="1"/>
  <c r="O75" i="19" s="1"/>
  <c r="D1479" i="19" a="1"/>
  <c r="D1479" i="19" s="1"/>
  <c r="N74" i="19" s="1"/>
  <c r="O74" i="19" s="1"/>
  <c r="D1458" i="19" a="1"/>
  <c r="D1458" i="19" s="1"/>
  <c r="N73" i="19" s="1"/>
  <c r="O73" i="19" s="1"/>
  <c r="D1436" i="19" a="1"/>
  <c r="D1436" i="19" s="1"/>
  <c r="N72" i="19" s="1"/>
  <c r="O72" i="19" s="1"/>
  <c r="D1414" i="19" a="1"/>
  <c r="D1414" i="19" s="1"/>
  <c r="N71" i="19" s="1"/>
  <c r="O71" i="19" s="1"/>
  <c r="D1394" i="19" a="1"/>
  <c r="D1394" i="19" s="1"/>
  <c r="N70" i="19" s="1"/>
  <c r="O70" i="19" s="1"/>
  <c r="D1371" i="19" a="1"/>
  <c r="D1371" i="19" s="1"/>
  <c r="N69" i="19" s="1"/>
  <c r="O69" i="19" s="1"/>
  <c r="D1349" i="19" a="1"/>
  <c r="D1349" i="19" s="1"/>
  <c r="N68" i="19" s="1"/>
  <c r="O68" i="19" s="1"/>
  <c r="D1331" i="19" a="1"/>
  <c r="D1331" i="19" s="1"/>
  <c r="N67" i="19" s="1"/>
  <c r="O67" i="19" s="1"/>
  <c r="D1311" i="19" a="1"/>
  <c r="D1311" i="19" s="1"/>
  <c r="N66" i="19" s="1"/>
  <c r="O66" i="19" s="1"/>
  <c r="D1289" i="19" a="1"/>
  <c r="D1289" i="19" s="1"/>
  <c r="N65" i="19" s="1"/>
  <c r="O65" i="19" s="1"/>
  <c r="D1269" i="19" a="1"/>
  <c r="D1269" i="19" s="1"/>
  <c r="N64" i="19" s="1"/>
  <c r="O64" i="19" s="1"/>
  <c r="D1248" i="19" a="1"/>
  <c r="D1248" i="19" s="1"/>
  <c r="N63" i="19" s="1"/>
  <c r="O63" i="19" s="1"/>
  <c r="D1229" i="19" a="1"/>
  <c r="D1229" i="19" s="1"/>
  <c r="N62" i="19" s="1"/>
  <c r="O62" i="19" s="1"/>
  <c r="D1209" i="19" a="1"/>
  <c r="D1209" i="19" s="1"/>
  <c r="N61" i="19" s="1"/>
  <c r="O61" i="19" s="1"/>
  <c r="D1187" i="19" a="1"/>
  <c r="D1187" i="19" s="1"/>
  <c r="N60" i="19" s="1"/>
  <c r="O60" i="19" s="1"/>
  <c r="D1165" i="19" a="1"/>
  <c r="D1165" i="19" s="1"/>
  <c r="N59" i="19" s="1"/>
  <c r="O59" i="19" s="1"/>
  <c r="D1146" i="19" a="1"/>
  <c r="D1146" i="19" s="1"/>
  <c r="N58" i="19" s="1"/>
  <c r="O58" i="19" s="1"/>
  <c r="D1123" i="19" a="1"/>
  <c r="D1123" i="19" s="1"/>
  <c r="N57" i="19" s="1"/>
  <c r="O57" i="19" s="1"/>
  <c r="D1102" i="19" a="1"/>
  <c r="D1102" i="19" s="1"/>
  <c r="N56" i="19" s="1"/>
  <c r="O56" i="19" s="1"/>
  <c r="D1083" i="19" a="1"/>
  <c r="D1083" i="19" s="1"/>
  <c r="N55" i="19" s="1"/>
  <c r="O55" i="19" s="1"/>
  <c r="D1063" i="19" a="1"/>
  <c r="D1063" i="19" s="1"/>
  <c r="N54" i="19" s="1"/>
  <c r="O54" i="19" s="1"/>
  <c r="D1042" i="19" a="1"/>
  <c r="D1042" i="19" s="1"/>
  <c r="N53" i="19" s="1"/>
  <c r="O53" i="19" s="1"/>
  <c r="D1022" i="19" a="1"/>
  <c r="D1022" i="19" s="1"/>
  <c r="N52" i="19" s="1"/>
  <c r="O52" i="19" s="1"/>
  <c r="D1000" i="19" a="1"/>
  <c r="D1000" i="19" s="1"/>
  <c r="N51" i="19" s="1"/>
  <c r="O51" i="19" s="1"/>
  <c r="D982" i="19" a="1"/>
  <c r="D982" i="19" s="1"/>
  <c r="N50" i="19" s="1"/>
  <c r="O50" i="19" s="1"/>
  <c r="D961" i="19" a="1"/>
  <c r="D961" i="19" s="1"/>
  <c r="N49" i="19" s="1"/>
  <c r="O49" i="19" s="1"/>
  <c r="D938" i="19" a="1"/>
  <c r="D938" i="19" s="1"/>
  <c r="N48" i="19" s="1"/>
  <c r="O48" i="19" s="1"/>
  <c r="D917" i="19" a="1"/>
  <c r="D917" i="19" s="1"/>
  <c r="N47" i="19" s="1"/>
  <c r="O47" i="19" s="1"/>
  <c r="D897" i="19" a="1"/>
  <c r="D897" i="19" s="1"/>
  <c r="N46" i="19" s="1"/>
  <c r="O46" i="19" s="1"/>
  <c r="D874" i="19" a="1"/>
  <c r="D874" i="19" s="1"/>
  <c r="N45" i="19" s="1"/>
  <c r="O45" i="19" s="1"/>
  <c r="D854" i="19" a="1"/>
  <c r="D854" i="19" s="1"/>
  <c r="N44" i="19" s="1"/>
  <c r="O44" i="19" s="1"/>
  <c r="D834" i="19" a="1"/>
  <c r="D834" i="19" s="1"/>
  <c r="N43" i="19" s="1"/>
  <c r="O43" i="19" s="1"/>
  <c r="D813" i="19" a="1"/>
  <c r="D813" i="19" s="1"/>
  <c r="N42" i="19" s="1"/>
  <c r="O42" i="19" s="1"/>
  <c r="D793" i="19" a="1"/>
  <c r="D793" i="19" s="1"/>
  <c r="N41" i="19" s="1"/>
  <c r="O41" i="19" s="1"/>
  <c r="D773" i="19" a="1"/>
  <c r="D773" i="19" s="1"/>
  <c r="N40" i="19" s="1"/>
  <c r="O40" i="19" s="1"/>
  <c r="D751" i="19" a="1"/>
  <c r="D751" i="19" s="1"/>
  <c r="N39" i="19" s="1"/>
  <c r="O39" i="19" s="1"/>
  <c r="D734" i="19" a="1"/>
  <c r="D734" i="19" s="1"/>
  <c r="N38" i="19" s="1"/>
  <c r="O38" i="19" s="1"/>
  <c r="D712" i="19" a="1"/>
  <c r="D712" i="19" s="1"/>
  <c r="N37" i="19" s="1"/>
  <c r="O37" i="19" s="1"/>
  <c r="D689" i="19" a="1"/>
  <c r="D689" i="19" s="1"/>
  <c r="N36" i="19" s="1"/>
  <c r="O36" i="19" s="1"/>
  <c r="D669" i="19" a="1"/>
  <c r="D669" i="19" s="1"/>
  <c r="N35" i="19" s="1"/>
  <c r="O35" i="19" s="1"/>
  <c r="D648" i="19" a="1"/>
  <c r="D648" i="19" s="1"/>
  <c r="N34" i="19" s="1"/>
  <c r="O34" i="19" s="1"/>
  <c r="D626" i="19" a="1"/>
  <c r="D626" i="19" s="1"/>
  <c r="N33" i="19" s="1"/>
  <c r="O33" i="19" s="1"/>
  <c r="D607" i="19" a="1"/>
  <c r="D607" i="19" s="1"/>
  <c r="N32" i="19" s="1"/>
  <c r="O32" i="19" s="1"/>
  <c r="D586" i="19" a="1"/>
  <c r="D586" i="19" s="1"/>
  <c r="N31" i="19" s="1"/>
  <c r="O31" i="19" s="1"/>
  <c r="D567" i="19" a="1"/>
  <c r="D567" i="19" s="1"/>
  <c r="N30" i="19" s="1"/>
  <c r="O30" i="19" s="1"/>
  <c r="D545" i="19" a="1"/>
  <c r="D545" i="19" s="1"/>
  <c r="N29" i="19" s="1"/>
  <c r="O29" i="19" s="1"/>
  <c r="D524" i="19" a="1"/>
  <c r="D524" i="19" s="1"/>
  <c r="N28" i="19" s="1"/>
  <c r="O28" i="19" s="1"/>
  <c r="D503" i="19" a="1"/>
  <c r="D503" i="19" s="1"/>
  <c r="N27" i="19" s="1"/>
  <c r="O27" i="19" s="1"/>
  <c r="D483" i="19" a="1"/>
  <c r="D483" i="19" s="1"/>
  <c r="N26" i="19" s="1"/>
  <c r="O26" i="19" s="1"/>
  <c r="D461" i="19" a="1"/>
  <c r="D461" i="19" s="1"/>
  <c r="N25" i="19" s="1"/>
  <c r="O25" i="19" s="1"/>
  <c r="D440" i="19" a="1"/>
  <c r="D440" i="19" s="1"/>
  <c r="N24" i="19" s="1"/>
  <c r="O24" i="19" s="1"/>
  <c r="D418" i="19" a="1"/>
  <c r="D418" i="19" s="1"/>
  <c r="N23" i="19" s="1"/>
  <c r="O23" i="19" s="1"/>
  <c r="D397" i="19" a="1"/>
  <c r="D397" i="19" s="1"/>
  <c r="N22" i="19" s="1"/>
  <c r="O22" i="19" s="1"/>
  <c r="D376" i="19" a="1"/>
  <c r="D376" i="19" s="1"/>
  <c r="N21" i="19" s="1"/>
  <c r="O21" i="19" s="1"/>
  <c r="D354" i="19" a="1"/>
  <c r="D354" i="19" s="1"/>
  <c r="N20" i="19" s="1"/>
  <c r="O20" i="19" s="1"/>
  <c r="D334" i="19" a="1"/>
  <c r="D334" i="19" s="1"/>
  <c r="N19" i="19" s="1"/>
  <c r="O19" i="19" s="1"/>
  <c r="D316" i="19" a="1"/>
  <c r="D316" i="19" s="1"/>
  <c r="N18" i="19" s="1"/>
  <c r="O18" i="19" s="1"/>
  <c r="D293" i="19" a="1"/>
  <c r="D293" i="19" s="1"/>
  <c r="N17" i="19" s="1"/>
  <c r="O17" i="19" s="1"/>
  <c r="D273" i="19" a="1"/>
  <c r="D273" i="19" s="1"/>
  <c r="N16" i="19" s="1"/>
  <c r="O16" i="19" s="1"/>
  <c r="D253" i="19" a="1"/>
  <c r="D253" i="19" s="1"/>
  <c r="N15" i="19" s="1"/>
  <c r="O15" i="19" s="1"/>
  <c r="D212" i="19" a="1"/>
  <c r="D212" i="19" s="1"/>
  <c r="N13" i="19" s="1"/>
  <c r="O13" i="19" s="1"/>
  <c r="D234" i="19" a="1"/>
  <c r="D234" i="19" s="1"/>
  <c r="N14" i="19" s="1"/>
  <c r="O14" i="19" s="1"/>
  <c r="D191" i="19" a="1"/>
  <c r="D191" i="19" s="1"/>
  <c r="N12" i="19" s="1"/>
  <c r="O12" i="19" s="1"/>
  <c r="D169" i="19" a="1"/>
  <c r="D169" i="19" s="1"/>
  <c r="N11" i="19" s="1"/>
  <c r="O11" i="19" s="1"/>
  <c r="D148" i="19" a="1"/>
  <c r="D148" i="19" s="1"/>
  <c r="N10" i="19" s="1"/>
  <c r="O10" i="19" s="1"/>
  <c r="D126" i="19" a="1"/>
  <c r="D126" i="19" s="1"/>
  <c r="N9" i="19" s="1"/>
  <c r="O9" i="19" s="1"/>
  <c r="D104" i="19" a="1"/>
  <c r="D104" i="19" s="1"/>
  <c r="N8" i="19" s="1"/>
  <c r="O8" i="19" s="1"/>
  <c r="D85" i="19" a="1"/>
  <c r="D85" i="19" s="1"/>
  <c r="N7" i="19" s="1"/>
  <c r="O7" i="19" s="1"/>
  <c r="D65" i="19" a="1"/>
  <c r="D65" i="19" s="1"/>
  <c r="N6" i="19" s="1"/>
  <c r="O6" i="19" s="1"/>
  <c r="D42" i="19" a="1"/>
  <c r="D42" i="19" s="1"/>
  <c r="N5" i="19" s="1"/>
  <c r="O5" i="19" s="1"/>
  <c r="D22" i="19" a="1"/>
  <c r="D22" i="19" s="1"/>
  <c r="N4" i="19" s="1"/>
  <c r="O4" i="19" s="1"/>
  <c r="D2" i="19" a="1"/>
  <c r="D2" i="19" s="1"/>
  <c r="N3" i="19" s="1"/>
  <c r="O3" i="19" s="1"/>
  <c r="F3818" i="19"/>
  <c r="G3818" i="19" s="1"/>
  <c r="F3817" i="19"/>
  <c r="G3817" i="19" s="1"/>
  <c r="F3816" i="19"/>
  <c r="G3816" i="19" s="1"/>
  <c r="F3815" i="19"/>
  <c r="G3815" i="19" s="1"/>
  <c r="F3814" i="19"/>
  <c r="G3814" i="19" s="1"/>
  <c r="F3813" i="19"/>
  <c r="G3813" i="19" s="1"/>
  <c r="F3812" i="19"/>
  <c r="G3812" i="19" s="1"/>
  <c r="F3811" i="19"/>
  <c r="G3811" i="19" s="1"/>
  <c r="F3810" i="19"/>
  <c r="G3810" i="19" s="1"/>
  <c r="F3809" i="19"/>
  <c r="G3809" i="19" s="1"/>
  <c r="F3808" i="19"/>
  <c r="G3808" i="19" s="1"/>
  <c r="F3807" i="19"/>
  <c r="G3807" i="19" s="1"/>
  <c r="F3806" i="19"/>
  <c r="G3806" i="19" s="1"/>
  <c r="F3805" i="19"/>
  <c r="G3805" i="19" s="1"/>
  <c r="F3804" i="19"/>
  <c r="G3804" i="19" s="1"/>
  <c r="F3803" i="19"/>
  <c r="G3803" i="19" s="1"/>
  <c r="F3802" i="19"/>
  <c r="G3802" i="19" s="1"/>
  <c r="F3801" i="19"/>
  <c r="G3801" i="19" s="1"/>
  <c r="F3800" i="19"/>
  <c r="G3800" i="19" s="1"/>
  <c r="F3799" i="19"/>
  <c r="G3799" i="19" s="1"/>
  <c r="F3798" i="19"/>
  <c r="G3798" i="19" s="1"/>
  <c r="F3797" i="19"/>
  <c r="G3797" i="19" s="1"/>
  <c r="F3796" i="19"/>
  <c r="G3796" i="19" s="1"/>
  <c r="F3795" i="19"/>
  <c r="G3795" i="19" s="1"/>
  <c r="F3794" i="19"/>
  <c r="G3794" i="19" s="1"/>
  <c r="F3793" i="19"/>
  <c r="G3793" i="19" s="1"/>
  <c r="F3792" i="19"/>
  <c r="G3792" i="19" s="1"/>
  <c r="F3791" i="19"/>
  <c r="G3791" i="19" s="1"/>
  <c r="F3790" i="19"/>
  <c r="G3790" i="19" s="1"/>
  <c r="F3789" i="19"/>
  <c r="G3789" i="19" s="1"/>
  <c r="F3788" i="19"/>
  <c r="G3788" i="19" s="1"/>
  <c r="F3787" i="19"/>
  <c r="G3787" i="19" s="1"/>
  <c r="F3786" i="19"/>
  <c r="G3786" i="19" s="1"/>
  <c r="F3785" i="19"/>
  <c r="G3785" i="19" s="1"/>
  <c r="F3784" i="19"/>
  <c r="G3784" i="19" s="1"/>
  <c r="F3783" i="19"/>
  <c r="G3783" i="19" s="1"/>
  <c r="F3782" i="19"/>
  <c r="G3782" i="19" s="1"/>
  <c r="F3781" i="19"/>
  <c r="G3781" i="19" s="1"/>
  <c r="F3780" i="19"/>
  <c r="G3780" i="19" s="1"/>
  <c r="F3779" i="19"/>
  <c r="G3779" i="19" s="1"/>
  <c r="F3778" i="19"/>
  <c r="G3778" i="19" s="1"/>
  <c r="F3777" i="19"/>
  <c r="G3777" i="19" s="1"/>
  <c r="F3776" i="19"/>
  <c r="G3776" i="19" s="1"/>
  <c r="F3775" i="19"/>
  <c r="G3775" i="19" s="1"/>
  <c r="F3774" i="19"/>
  <c r="G3774" i="19" s="1"/>
  <c r="F3773" i="19"/>
  <c r="G3773" i="19" s="1"/>
  <c r="F3772" i="19"/>
  <c r="G3772" i="19" s="1"/>
  <c r="F3771" i="19"/>
  <c r="G3771" i="19" s="1"/>
  <c r="F3770" i="19"/>
  <c r="G3770" i="19" s="1"/>
  <c r="F3769" i="19"/>
  <c r="G3769" i="19" s="1"/>
  <c r="F3768" i="19"/>
  <c r="G3768" i="19" s="1"/>
  <c r="F3767" i="19"/>
  <c r="G3767" i="19" s="1"/>
  <c r="F3766" i="19"/>
  <c r="G3766" i="19" s="1"/>
  <c r="F3765" i="19"/>
  <c r="G3765" i="19" s="1"/>
  <c r="F3764" i="19"/>
  <c r="G3764" i="19" s="1"/>
  <c r="F3763" i="19"/>
  <c r="G3763" i="19" s="1"/>
  <c r="F3762" i="19"/>
  <c r="G3762" i="19" s="1"/>
  <c r="F3761" i="19"/>
  <c r="G3761" i="19" s="1"/>
  <c r="F3760" i="19"/>
  <c r="G3760" i="19" s="1"/>
  <c r="F3759" i="19"/>
  <c r="G3759" i="19" s="1"/>
  <c r="F3758" i="19"/>
  <c r="G3758" i="19" s="1"/>
  <c r="F3757" i="19"/>
  <c r="G3757" i="19" s="1"/>
  <c r="F3756" i="19"/>
  <c r="G3756" i="19" s="1"/>
  <c r="F3755" i="19"/>
  <c r="G3755" i="19" s="1"/>
  <c r="F3754" i="19"/>
  <c r="G3754" i="19" s="1"/>
  <c r="F3753" i="19"/>
  <c r="G3753" i="19" s="1"/>
  <c r="F3752" i="19"/>
  <c r="G3752" i="19" s="1"/>
  <c r="F3751" i="19"/>
  <c r="G3751" i="19" s="1"/>
  <c r="F3750" i="19"/>
  <c r="G3750" i="19" s="1"/>
  <c r="F3749" i="19"/>
  <c r="G3749" i="19" s="1"/>
  <c r="F3748" i="19"/>
  <c r="G3748" i="19" s="1"/>
  <c r="F3747" i="19"/>
  <c r="G3747" i="19" s="1"/>
  <c r="F3746" i="19"/>
  <c r="G3746" i="19" s="1"/>
  <c r="F3745" i="19"/>
  <c r="G3745" i="19" s="1"/>
  <c r="F3744" i="19"/>
  <c r="G3744" i="19" s="1"/>
  <c r="F3743" i="19"/>
  <c r="G3743" i="19" s="1"/>
  <c r="F3742" i="19"/>
  <c r="G3742" i="19" s="1"/>
  <c r="F3741" i="19"/>
  <c r="G3741" i="19" s="1"/>
  <c r="F3740" i="19"/>
  <c r="G3740" i="19" s="1"/>
  <c r="F3739" i="19"/>
  <c r="G3739" i="19" s="1"/>
  <c r="F3738" i="19"/>
  <c r="G3738" i="19" s="1"/>
  <c r="F3737" i="19"/>
  <c r="G3737" i="19" s="1"/>
  <c r="F3736" i="19"/>
  <c r="G3736" i="19" s="1"/>
  <c r="F3735" i="19"/>
  <c r="G3735" i="19" s="1"/>
  <c r="F3734" i="19"/>
  <c r="G3734" i="19" s="1"/>
  <c r="F3733" i="19"/>
  <c r="G3733" i="19" s="1"/>
  <c r="F3732" i="19"/>
  <c r="G3732" i="19" s="1"/>
  <c r="F3731" i="19"/>
  <c r="G3731" i="19" s="1"/>
  <c r="F3730" i="19"/>
  <c r="G3730" i="19" s="1"/>
  <c r="F3729" i="19"/>
  <c r="G3729" i="19" s="1"/>
  <c r="F3728" i="19"/>
  <c r="G3728" i="19" s="1"/>
  <c r="F3727" i="19"/>
  <c r="G3727" i="19" s="1"/>
  <c r="F3726" i="19"/>
  <c r="G3726" i="19" s="1"/>
  <c r="F3725" i="19"/>
  <c r="G3725" i="19" s="1"/>
  <c r="F3724" i="19"/>
  <c r="G3724" i="19" s="1"/>
  <c r="F3723" i="19"/>
  <c r="G3723" i="19" s="1"/>
  <c r="F3722" i="19"/>
  <c r="G3722" i="19" s="1"/>
  <c r="F3721" i="19"/>
  <c r="G3721" i="19" s="1"/>
  <c r="F3720" i="19"/>
  <c r="G3720" i="19" s="1"/>
  <c r="F3719" i="19"/>
  <c r="G3719" i="19" s="1"/>
  <c r="F3718" i="19"/>
  <c r="G3718" i="19" s="1"/>
  <c r="F3717" i="19"/>
  <c r="G3717" i="19" s="1"/>
  <c r="F3716" i="19"/>
  <c r="G3716" i="19" s="1"/>
  <c r="F3715" i="19"/>
  <c r="G3715" i="19" s="1"/>
  <c r="F3714" i="19"/>
  <c r="G3714" i="19" s="1"/>
  <c r="F3713" i="19"/>
  <c r="G3713" i="19" s="1"/>
  <c r="F3712" i="19"/>
  <c r="G3712" i="19" s="1"/>
  <c r="F3711" i="19"/>
  <c r="G3711" i="19" s="1"/>
  <c r="F3710" i="19"/>
  <c r="G3710" i="19" s="1"/>
  <c r="F3709" i="19"/>
  <c r="G3709" i="19" s="1"/>
  <c r="F3708" i="19"/>
  <c r="G3708" i="19" s="1"/>
  <c r="F3707" i="19"/>
  <c r="G3707" i="19" s="1"/>
  <c r="F3706" i="19"/>
  <c r="G3706" i="19" s="1"/>
  <c r="F3705" i="19"/>
  <c r="G3705" i="19" s="1"/>
  <c r="F3704" i="19"/>
  <c r="G3704" i="19" s="1"/>
  <c r="F3703" i="19"/>
  <c r="G3703" i="19" s="1"/>
  <c r="F3702" i="19"/>
  <c r="G3702" i="19" s="1"/>
  <c r="F3701" i="19"/>
  <c r="G3701" i="19" s="1"/>
  <c r="F3700" i="19"/>
  <c r="G3700" i="19" s="1"/>
  <c r="F3699" i="19"/>
  <c r="G3699" i="19" s="1"/>
  <c r="F3698" i="19"/>
  <c r="G3698" i="19" s="1"/>
  <c r="F3697" i="19"/>
  <c r="G3697" i="19" s="1"/>
  <c r="F3696" i="19"/>
  <c r="G3696" i="19" s="1"/>
  <c r="F3695" i="19"/>
  <c r="G3695" i="19" s="1"/>
  <c r="F3694" i="19"/>
  <c r="G3694" i="19" s="1"/>
  <c r="F3693" i="19"/>
  <c r="G3693" i="19" s="1"/>
  <c r="F3692" i="19"/>
  <c r="G3692" i="19" s="1"/>
  <c r="F3691" i="19"/>
  <c r="G3691" i="19" s="1"/>
  <c r="F3690" i="19"/>
  <c r="G3690" i="19" s="1"/>
  <c r="F3689" i="19"/>
  <c r="G3689" i="19" s="1"/>
  <c r="F3688" i="19"/>
  <c r="G3688" i="19" s="1"/>
  <c r="F3687" i="19"/>
  <c r="G3687" i="19" s="1"/>
  <c r="F3686" i="19"/>
  <c r="G3686" i="19" s="1"/>
  <c r="F3685" i="19"/>
  <c r="G3685" i="19" s="1"/>
  <c r="F3684" i="19"/>
  <c r="G3684" i="19" s="1"/>
  <c r="F3683" i="19"/>
  <c r="G3683" i="19" s="1"/>
  <c r="F3682" i="19"/>
  <c r="G3682" i="19" s="1"/>
  <c r="F3681" i="19"/>
  <c r="G3681" i="19" s="1"/>
  <c r="F3680" i="19"/>
  <c r="G3680" i="19" s="1"/>
  <c r="F3679" i="19"/>
  <c r="G3679" i="19" s="1"/>
  <c r="F3678" i="19"/>
  <c r="G3678" i="19" s="1"/>
  <c r="F3677" i="19"/>
  <c r="G3677" i="19" s="1"/>
  <c r="F3676" i="19"/>
  <c r="G3676" i="19" s="1"/>
  <c r="F3675" i="19"/>
  <c r="G3675" i="19" s="1"/>
  <c r="F3674" i="19"/>
  <c r="G3674" i="19" s="1"/>
  <c r="F3673" i="19"/>
  <c r="G3673" i="19" s="1"/>
  <c r="F3672" i="19"/>
  <c r="G3672" i="19" s="1"/>
  <c r="F3671" i="19"/>
  <c r="G3671" i="19" s="1"/>
  <c r="F3670" i="19"/>
  <c r="G3670" i="19" s="1"/>
  <c r="F3669" i="19"/>
  <c r="G3669" i="19" s="1"/>
  <c r="F3668" i="19"/>
  <c r="G3668" i="19" s="1"/>
  <c r="F3667" i="19"/>
  <c r="G3667" i="19" s="1"/>
  <c r="F3666" i="19"/>
  <c r="G3666" i="19" s="1"/>
  <c r="F3665" i="19"/>
  <c r="G3665" i="19" s="1"/>
  <c r="F3664" i="19"/>
  <c r="G3664" i="19" s="1"/>
  <c r="F3663" i="19"/>
  <c r="G3663" i="19" s="1"/>
  <c r="F3662" i="19"/>
  <c r="G3662" i="19" s="1"/>
  <c r="F3661" i="19"/>
  <c r="G3661" i="19" s="1"/>
  <c r="F3660" i="19"/>
  <c r="G3660" i="19" s="1"/>
  <c r="F3659" i="19"/>
  <c r="G3659" i="19" s="1"/>
  <c r="F3658" i="19"/>
  <c r="G3658" i="19" s="1"/>
  <c r="F3657" i="19"/>
  <c r="G3657" i="19" s="1"/>
  <c r="F3656" i="19"/>
  <c r="G3656" i="19" s="1"/>
  <c r="F3655" i="19"/>
  <c r="G3655" i="19" s="1"/>
  <c r="F3654" i="19"/>
  <c r="G3654" i="19" s="1"/>
  <c r="F3653" i="19"/>
  <c r="G3653" i="19" s="1"/>
  <c r="F3652" i="19"/>
  <c r="G3652" i="19" s="1"/>
  <c r="F3651" i="19"/>
  <c r="G3651" i="19" s="1"/>
  <c r="F3650" i="19"/>
  <c r="G3650" i="19" s="1"/>
  <c r="F3649" i="19"/>
  <c r="G3649" i="19" s="1"/>
  <c r="F3648" i="19"/>
  <c r="G3648" i="19" s="1"/>
  <c r="F3647" i="19"/>
  <c r="G3647" i="19" s="1"/>
  <c r="F3646" i="19"/>
  <c r="G3646" i="19" s="1"/>
  <c r="F3645" i="19"/>
  <c r="G3645" i="19" s="1"/>
  <c r="F3644" i="19"/>
  <c r="G3644" i="19" s="1"/>
  <c r="F3643" i="19"/>
  <c r="G3643" i="19" s="1"/>
  <c r="F3642" i="19"/>
  <c r="G3642" i="19" s="1"/>
  <c r="F3641" i="19"/>
  <c r="G3641" i="19" s="1"/>
  <c r="F3640" i="19"/>
  <c r="G3640" i="19" s="1"/>
  <c r="F3639" i="19"/>
  <c r="G3639" i="19" s="1"/>
  <c r="F3638" i="19"/>
  <c r="G3638" i="19" s="1"/>
  <c r="F3637" i="19"/>
  <c r="G3637" i="19" s="1"/>
  <c r="F3636" i="19"/>
  <c r="G3636" i="19" s="1"/>
  <c r="F3635" i="19"/>
  <c r="G3635" i="19" s="1"/>
  <c r="F3634" i="19"/>
  <c r="G3634" i="19" s="1"/>
  <c r="F3633" i="19"/>
  <c r="G3633" i="19" s="1"/>
  <c r="F3632" i="19"/>
  <c r="G3632" i="19" s="1"/>
  <c r="F3631" i="19"/>
  <c r="G3631" i="19" s="1"/>
  <c r="F3630" i="19"/>
  <c r="G3630" i="19" s="1"/>
  <c r="F3629" i="19"/>
  <c r="G3629" i="19" s="1"/>
  <c r="F3628" i="19"/>
  <c r="G3628" i="19" s="1"/>
  <c r="F3627" i="19"/>
  <c r="G3627" i="19" s="1"/>
  <c r="F3626" i="19"/>
  <c r="G3626" i="19" s="1"/>
  <c r="F3625" i="19"/>
  <c r="G3625" i="19" s="1"/>
  <c r="F3624" i="19"/>
  <c r="G3624" i="19" s="1"/>
  <c r="F3623" i="19"/>
  <c r="G3623" i="19" s="1"/>
  <c r="F3622" i="19"/>
  <c r="G3622" i="19" s="1"/>
  <c r="F3621" i="19"/>
  <c r="G3621" i="19" s="1"/>
  <c r="F3620" i="19"/>
  <c r="G3620" i="19" s="1"/>
  <c r="F3619" i="19"/>
  <c r="G3619" i="19" s="1"/>
  <c r="F3618" i="19"/>
  <c r="G3618" i="19" s="1"/>
  <c r="F3617" i="19"/>
  <c r="G3617" i="19" s="1"/>
  <c r="F3616" i="19"/>
  <c r="G3616" i="19" s="1"/>
  <c r="F3615" i="19"/>
  <c r="G3615" i="19" s="1"/>
  <c r="F3614" i="19"/>
  <c r="G3614" i="19" s="1"/>
  <c r="F3613" i="19"/>
  <c r="G3613" i="19" s="1"/>
  <c r="F3612" i="19"/>
  <c r="G3612" i="19" s="1"/>
  <c r="F3611" i="19"/>
  <c r="G3611" i="19" s="1"/>
  <c r="F3610" i="19"/>
  <c r="G3610" i="19" s="1"/>
  <c r="F3609" i="19"/>
  <c r="G3609" i="19" s="1"/>
  <c r="F3608" i="19"/>
  <c r="G3608" i="19" s="1"/>
  <c r="F3607" i="19"/>
  <c r="G3607" i="19" s="1"/>
  <c r="F3606" i="19"/>
  <c r="G3606" i="19" s="1"/>
  <c r="F3605" i="19"/>
  <c r="G3605" i="19" s="1"/>
  <c r="F3604" i="19"/>
  <c r="G3604" i="19" s="1"/>
  <c r="F3603" i="19"/>
  <c r="G3603" i="19" s="1"/>
  <c r="F3602" i="19"/>
  <c r="G3602" i="19" s="1"/>
  <c r="F3601" i="19"/>
  <c r="G3601" i="19" s="1"/>
  <c r="F3600" i="19"/>
  <c r="G3600" i="19" s="1"/>
  <c r="F3599" i="19"/>
  <c r="G3599" i="19" s="1"/>
  <c r="F3598" i="19"/>
  <c r="G3598" i="19" s="1"/>
  <c r="F3597" i="19"/>
  <c r="G3597" i="19" s="1"/>
  <c r="F3596" i="19"/>
  <c r="G3596" i="19" s="1"/>
  <c r="F3595" i="19"/>
  <c r="G3595" i="19" s="1"/>
  <c r="F3594" i="19"/>
  <c r="G3594" i="19" s="1"/>
  <c r="F3593" i="19"/>
  <c r="G3593" i="19" s="1"/>
  <c r="F3592" i="19"/>
  <c r="G3592" i="19" s="1"/>
  <c r="F3591" i="19"/>
  <c r="G3591" i="19" s="1"/>
  <c r="F3590" i="19"/>
  <c r="G3590" i="19" s="1"/>
  <c r="F3589" i="19"/>
  <c r="G3589" i="19" s="1"/>
  <c r="F3588" i="19"/>
  <c r="G3588" i="19" s="1"/>
  <c r="F3587" i="19"/>
  <c r="G3587" i="19" s="1"/>
  <c r="F3586" i="19"/>
  <c r="G3586" i="19" s="1"/>
  <c r="F3585" i="19"/>
  <c r="G3585" i="19" s="1"/>
  <c r="F3584" i="19"/>
  <c r="G3584" i="19" s="1"/>
  <c r="F3583" i="19"/>
  <c r="G3583" i="19" s="1"/>
  <c r="F3582" i="19"/>
  <c r="G3582" i="19" s="1"/>
  <c r="F3581" i="19"/>
  <c r="G3581" i="19" s="1"/>
  <c r="F3580" i="19"/>
  <c r="G3580" i="19" s="1"/>
  <c r="F3579" i="19"/>
  <c r="G3579" i="19" s="1"/>
  <c r="F3578" i="19"/>
  <c r="G3578" i="19" s="1"/>
  <c r="F3577" i="19"/>
  <c r="G3577" i="19" s="1"/>
  <c r="F3576" i="19"/>
  <c r="G3576" i="19" s="1"/>
  <c r="F3575" i="19"/>
  <c r="G3575" i="19" s="1"/>
  <c r="F3574" i="19"/>
  <c r="G3574" i="19" s="1"/>
  <c r="F3573" i="19"/>
  <c r="G3573" i="19" s="1"/>
  <c r="F3572" i="19"/>
  <c r="G3572" i="19" s="1"/>
  <c r="F3571" i="19"/>
  <c r="G3571" i="19" s="1"/>
  <c r="F3570" i="19"/>
  <c r="G3570" i="19" s="1"/>
  <c r="F3569" i="19"/>
  <c r="G3569" i="19" s="1"/>
  <c r="F3568" i="19"/>
  <c r="G3568" i="19" s="1"/>
  <c r="F3567" i="19"/>
  <c r="G3567" i="19" s="1"/>
  <c r="F3566" i="19"/>
  <c r="G3566" i="19" s="1"/>
  <c r="F3565" i="19"/>
  <c r="G3565" i="19" s="1"/>
  <c r="F3564" i="19"/>
  <c r="G3564" i="19" s="1"/>
  <c r="F3563" i="19"/>
  <c r="G3563" i="19" s="1"/>
  <c r="F3562" i="19"/>
  <c r="G3562" i="19" s="1"/>
  <c r="F3561" i="19"/>
  <c r="G3561" i="19" s="1"/>
  <c r="F3560" i="19"/>
  <c r="G3560" i="19" s="1"/>
  <c r="F3559" i="19"/>
  <c r="G3559" i="19" s="1"/>
  <c r="F3558" i="19"/>
  <c r="G3558" i="19" s="1"/>
  <c r="F3557" i="19"/>
  <c r="G3557" i="19" s="1"/>
  <c r="F3556" i="19"/>
  <c r="G3556" i="19" s="1"/>
  <c r="F3555" i="19"/>
  <c r="G3555" i="19" s="1"/>
  <c r="F3554" i="19"/>
  <c r="G3554" i="19" s="1"/>
  <c r="F3553" i="19"/>
  <c r="G3553" i="19" s="1"/>
  <c r="F3552" i="19"/>
  <c r="G3552" i="19" s="1"/>
  <c r="F3551" i="19"/>
  <c r="G3551" i="19" s="1"/>
  <c r="F3550" i="19"/>
  <c r="G3550" i="19" s="1"/>
  <c r="F3549" i="19"/>
  <c r="G3549" i="19" s="1"/>
  <c r="F3548" i="19"/>
  <c r="G3548" i="19" s="1"/>
  <c r="F3547" i="19"/>
  <c r="G3547" i="19" s="1"/>
  <c r="F3546" i="19"/>
  <c r="G3546" i="19" s="1"/>
  <c r="F3545" i="19"/>
  <c r="G3545" i="19" s="1"/>
  <c r="F3544" i="19"/>
  <c r="G3544" i="19" s="1"/>
  <c r="F3543" i="19"/>
  <c r="G3543" i="19" s="1"/>
  <c r="F3542" i="19"/>
  <c r="G3542" i="19" s="1"/>
  <c r="F3541" i="19"/>
  <c r="G3541" i="19" s="1"/>
  <c r="F3540" i="19"/>
  <c r="G3540" i="19" s="1"/>
  <c r="F3539" i="19"/>
  <c r="G3539" i="19" s="1"/>
  <c r="F3538" i="19"/>
  <c r="G3538" i="19" s="1"/>
  <c r="F3537" i="19"/>
  <c r="G3537" i="19" s="1"/>
  <c r="F3536" i="19"/>
  <c r="G3536" i="19" s="1"/>
  <c r="F3535" i="19"/>
  <c r="G3535" i="19" s="1"/>
  <c r="F3534" i="19"/>
  <c r="G3534" i="19" s="1"/>
  <c r="F3533" i="19"/>
  <c r="G3533" i="19" s="1"/>
  <c r="F3532" i="19"/>
  <c r="G3532" i="19" s="1"/>
  <c r="F3531" i="19"/>
  <c r="G3531" i="19" s="1"/>
  <c r="F3530" i="19"/>
  <c r="G3530" i="19" s="1"/>
  <c r="F3529" i="19"/>
  <c r="G3529" i="19" s="1"/>
  <c r="F3528" i="19"/>
  <c r="G3528" i="19" s="1"/>
  <c r="F3527" i="19"/>
  <c r="G3527" i="19" s="1"/>
  <c r="F3526" i="19"/>
  <c r="G3526" i="19" s="1"/>
  <c r="F3525" i="19"/>
  <c r="G3525" i="19" s="1"/>
  <c r="F3524" i="19"/>
  <c r="G3524" i="19" s="1"/>
  <c r="F3523" i="19"/>
  <c r="G3523" i="19" s="1"/>
  <c r="F3522" i="19"/>
  <c r="G3522" i="19" s="1"/>
  <c r="F3521" i="19"/>
  <c r="G3521" i="19" s="1"/>
  <c r="F3520" i="19"/>
  <c r="G3520" i="19" s="1"/>
  <c r="F3519" i="19"/>
  <c r="G3519" i="19" s="1"/>
  <c r="F3518" i="19"/>
  <c r="G3518" i="19" s="1"/>
  <c r="F3517" i="19"/>
  <c r="G3517" i="19" s="1"/>
  <c r="F3516" i="19"/>
  <c r="G3516" i="19" s="1"/>
  <c r="F3515" i="19"/>
  <c r="G3515" i="19" s="1"/>
  <c r="F3514" i="19"/>
  <c r="G3514" i="19" s="1"/>
  <c r="F3513" i="19"/>
  <c r="G3513" i="19" s="1"/>
  <c r="F3512" i="19"/>
  <c r="G3512" i="19" s="1"/>
  <c r="F3511" i="19"/>
  <c r="G3511" i="19" s="1"/>
  <c r="F3510" i="19"/>
  <c r="G3510" i="19" s="1"/>
  <c r="F3509" i="19"/>
  <c r="G3509" i="19" s="1"/>
  <c r="F3508" i="19"/>
  <c r="G3508" i="19" s="1"/>
  <c r="F3507" i="19"/>
  <c r="G3507" i="19" s="1"/>
  <c r="F3506" i="19"/>
  <c r="G3506" i="19" s="1"/>
  <c r="F3505" i="19"/>
  <c r="G3505" i="19" s="1"/>
  <c r="F3504" i="19"/>
  <c r="G3504" i="19" s="1"/>
  <c r="F3503" i="19"/>
  <c r="G3503" i="19" s="1"/>
  <c r="F3502" i="19"/>
  <c r="G3502" i="19" s="1"/>
  <c r="F3501" i="19"/>
  <c r="G3501" i="19" s="1"/>
  <c r="F3500" i="19"/>
  <c r="G3500" i="19" s="1"/>
  <c r="F3499" i="19"/>
  <c r="G3499" i="19" s="1"/>
  <c r="F3498" i="19"/>
  <c r="G3498" i="19" s="1"/>
  <c r="F3497" i="19"/>
  <c r="G3497" i="19" s="1"/>
  <c r="F3496" i="19"/>
  <c r="G3496" i="19" s="1"/>
  <c r="F3495" i="19"/>
  <c r="G3495" i="19" s="1"/>
  <c r="F3494" i="19"/>
  <c r="G3494" i="19" s="1"/>
  <c r="F3493" i="19"/>
  <c r="G3493" i="19" s="1"/>
  <c r="F3492" i="19"/>
  <c r="G3492" i="19" s="1"/>
  <c r="F3491" i="19"/>
  <c r="G3491" i="19" s="1"/>
  <c r="F3490" i="19"/>
  <c r="G3490" i="19" s="1"/>
  <c r="F3489" i="19"/>
  <c r="G3489" i="19" s="1"/>
  <c r="F3488" i="19"/>
  <c r="G3488" i="19" s="1"/>
  <c r="F3487" i="19"/>
  <c r="G3487" i="19" s="1"/>
  <c r="F3486" i="19"/>
  <c r="G3486" i="19" s="1"/>
  <c r="F3485" i="19"/>
  <c r="G3485" i="19" s="1"/>
  <c r="F3484" i="19"/>
  <c r="G3484" i="19" s="1"/>
  <c r="F3483" i="19"/>
  <c r="G3483" i="19" s="1"/>
  <c r="F3482" i="19"/>
  <c r="G3482" i="19" s="1"/>
  <c r="F3481" i="19"/>
  <c r="G3481" i="19" s="1"/>
  <c r="F3480" i="19"/>
  <c r="G3480" i="19" s="1"/>
  <c r="F3479" i="19"/>
  <c r="G3479" i="19" s="1"/>
  <c r="F3478" i="19"/>
  <c r="G3478" i="19" s="1"/>
  <c r="F3477" i="19"/>
  <c r="G3477" i="19" s="1"/>
  <c r="F3476" i="19"/>
  <c r="G3476" i="19" s="1"/>
  <c r="F3475" i="19"/>
  <c r="G3475" i="19" s="1"/>
  <c r="F3474" i="19"/>
  <c r="G3474" i="19" s="1"/>
  <c r="F3473" i="19"/>
  <c r="G3473" i="19" s="1"/>
  <c r="F3472" i="19"/>
  <c r="G3472" i="19" s="1"/>
  <c r="F3471" i="19"/>
  <c r="G3471" i="19" s="1"/>
  <c r="F3470" i="19"/>
  <c r="G3470" i="19" s="1"/>
  <c r="F3469" i="19"/>
  <c r="G3469" i="19" s="1"/>
  <c r="F3468" i="19"/>
  <c r="G3468" i="19" s="1"/>
  <c r="F3467" i="19"/>
  <c r="G3467" i="19" s="1"/>
  <c r="F3466" i="19"/>
  <c r="G3466" i="19" s="1"/>
  <c r="F3465" i="19"/>
  <c r="G3465" i="19" s="1"/>
  <c r="F3464" i="19"/>
  <c r="G3464" i="19" s="1"/>
  <c r="F3463" i="19"/>
  <c r="G3463" i="19" s="1"/>
  <c r="F3462" i="19"/>
  <c r="G3462" i="19" s="1"/>
  <c r="F3461" i="19"/>
  <c r="G3461" i="19" s="1"/>
  <c r="F3460" i="19"/>
  <c r="G3460" i="19" s="1"/>
  <c r="F3459" i="19"/>
  <c r="G3459" i="19" s="1"/>
  <c r="F3458" i="19"/>
  <c r="G3458" i="19" s="1"/>
  <c r="F3457" i="19"/>
  <c r="G3457" i="19" s="1"/>
  <c r="F3456" i="19"/>
  <c r="G3456" i="19" s="1"/>
  <c r="F3455" i="19"/>
  <c r="G3455" i="19" s="1"/>
  <c r="F3454" i="19"/>
  <c r="G3454" i="19" s="1"/>
  <c r="F3453" i="19"/>
  <c r="G3453" i="19" s="1"/>
  <c r="F3452" i="19"/>
  <c r="G3452" i="19" s="1"/>
  <c r="F3451" i="19"/>
  <c r="G3451" i="19" s="1"/>
  <c r="F3450" i="19"/>
  <c r="G3450" i="19" s="1"/>
  <c r="F3449" i="19"/>
  <c r="G3449" i="19" s="1"/>
  <c r="F3448" i="19"/>
  <c r="G3448" i="19" s="1"/>
  <c r="F3447" i="19"/>
  <c r="G3447" i="19" s="1"/>
  <c r="F3446" i="19"/>
  <c r="G3446" i="19" s="1"/>
  <c r="F3445" i="19"/>
  <c r="G3445" i="19" s="1"/>
  <c r="F3444" i="19"/>
  <c r="G3444" i="19" s="1"/>
  <c r="F3443" i="19"/>
  <c r="G3443" i="19" s="1"/>
  <c r="F3442" i="19"/>
  <c r="G3442" i="19" s="1"/>
  <c r="F3441" i="19"/>
  <c r="G3441" i="19" s="1"/>
  <c r="F3440" i="19"/>
  <c r="G3440" i="19" s="1"/>
  <c r="F3439" i="19"/>
  <c r="G3439" i="19" s="1"/>
  <c r="F3438" i="19"/>
  <c r="G3438" i="19" s="1"/>
  <c r="F3437" i="19"/>
  <c r="G3437" i="19" s="1"/>
  <c r="F3436" i="19"/>
  <c r="G3436" i="19" s="1"/>
  <c r="F3435" i="19"/>
  <c r="G3435" i="19" s="1"/>
  <c r="F3434" i="19"/>
  <c r="G3434" i="19" s="1"/>
  <c r="F3433" i="19"/>
  <c r="G3433" i="19" s="1"/>
  <c r="F3432" i="19"/>
  <c r="G3432" i="19" s="1"/>
  <c r="F3431" i="19"/>
  <c r="G3431" i="19" s="1"/>
  <c r="F3430" i="19"/>
  <c r="G3430" i="19" s="1"/>
  <c r="F3429" i="19"/>
  <c r="G3429" i="19" s="1"/>
  <c r="F3428" i="19"/>
  <c r="G3428" i="19" s="1"/>
  <c r="F3427" i="19"/>
  <c r="G3427" i="19" s="1"/>
  <c r="F3426" i="19"/>
  <c r="G3426" i="19" s="1"/>
  <c r="F3425" i="19"/>
  <c r="G3425" i="19" s="1"/>
  <c r="F3424" i="19"/>
  <c r="G3424" i="19" s="1"/>
  <c r="F3423" i="19"/>
  <c r="G3423" i="19" s="1"/>
  <c r="F3422" i="19"/>
  <c r="G3422" i="19" s="1"/>
  <c r="F3421" i="19"/>
  <c r="G3421" i="19" s="1"/>
  <c r="F3420" i="19"/>
  <c r="G3420" i="19" s="1"/>
  <c r="F3419" i="19"/>
  <c r="G3419" i="19" s="1"/>
  <c r="F3418" i="19"/>
  <c r="G3418" i="19" s="1"/>
  <c r="F3417" i="19"/>
  <c r="G3417" i="19" s="1"/>
  <c r="F3416" i="19"/>
  <c r="G3416" i="19" s="1"/>
  <c r="F3415" i="19"/>
  <c r="G3415" i="19" s="1"/>
  <c r="F3414" i="19"/>
  <c r="G3414" i="19" s="1"/>
  <c r="F3413" i="19"/>
  <c r="G3413" i="19" s="1"/>
  <c r="F3412" i="19"/>
  <c r="G3412" i="19" s="1"/>
  <c r="F3411" i="19"/>
  <c r="G3411" i="19" s="1"/>
  <c r="F3410" i="19"/>
  <c r="G3410" i="19" s="1"/>
  <c r="F3409" i="19"/>
  <c r="G3409" i="19" s="1"/>
  <c r="F3408" i="19"/>
  <c r="G3408" i="19" s="1"/>
  <c r="F3407" i="19"/>
  <c r="G3407" i="19" s="1"/>
  <c r="F3406" i="19"/>
  <c r="G3406" i="19" s="1"/>
  <c r="F3405" i="19"/>
  <c r="G3405" i="19" s="1"/>
  <c r="F3404" i="19"/>
  <c r="G3404" i="19" s="1"/>
  <c r="F3403" i="19"/>
  <c r="G3403" i="19" s="1"/>
  <c r="F3402" i="19"/>
  <c r="G3402" i="19" s="1"/>
  <c r="F3401" i="19"/>
  <c r="G3401" i="19" s="1"/>
  <c r="F3400" i="19"/>
  <c r="G3400" i="19" s="1"/>
  <c r="F3399" i="19"/>
  <c r="G3399" i="19" s="1"/>
  <c r="F3398" i="19"/>
  <c r="G3398" i="19" s="1"/>
  <c r="F3397" i="19"/>
  <c r="G3397" i="19" s="1"/>
  <c r="F3396" i="19"/>
  <c r="G3396" i="19" s="1"/>
  <c r="F3395" i="19"/>
  <c r="G3395" i="19" s="1"/>
  <c r="F3394" i="19"/>
  <c r="G3394" i="19" s="1"/>
  <c r="F3393" i="19"/>
  <c r="G3393" i="19" s="1"/>
  <c r="F3392" i="19"/>
  <c r="G3392" i="19" s="1"/>
  <c r="F3391" i="19"/>
  <c r="G3391" i="19" s="1"/>
  <c r="F3390" i="19"/>
  <c r="G3390" i="19" s="1"/>
  <c r="F3389" i="19"/>
  <c r="G3389" i="19" s="1"/>
  <c r="F3388" i="19"/>
  <c r="G3388" i="19" s="1"/>
  <c r="F3387" i="19"/>
  <c r="G3387" i="19" s="1"/>
  <c r="F3386" i="19"/>
  <c r="G3386" i="19" s="1"/>
  <c r="F3385" i="19"/>
  <c r="G3385" i="19" s="1"/>
  <c r="F3384" i="19"/>
  <c r="G3384" i="19" s="1"/>
  <c r="F3383" i="19"/>
  <c r="G3383" i="19" s="1"/>
  <c r="F3382" i="19"/>
  <c r="G3382" i="19" s="1"/>
  <c r="F3381" i="19"/>
  <c r="G3381" i="19" s="1"/>
  <c r="F3380" i="19"/>
  <c r="G3380" i="19" s="1"/>
  <c r="F3379" i="19"/>
  <c r="G3379" i="19" s="1"/>
  <c r="F3378" i="19"/>
  <c r="G3378" i="19" s="1"/>
  <c r="F3377" i="19"/>
  <c r="G3377" i="19" s="1"/>
  <c r="F3376" i="19"/>
  <c r="G3376" i="19" s="1"/>
  <c r="F3375" i="19"/>
  <c r="G3375" i="19" s="1"/>
  <c r="F3374" i="19"/>
  <c r="G3374" i="19" s="1"/>
  <c r="F3373" i="19"/>
  <c r="G3373" i="19" s="1"/>
  <c r="F3372" i="19"/>
  <c r="G3372" i="19" s="1"/>
  <c r="F3371" i="19"/>
  <c r="G3371" i="19" s="1"/>
  <c r="F3370" i="19"/>
  <c r="G3370" i="19" s="1"/>
  <c r="F3369" i="19"/>
  <c r="G3369" i="19" s="1"/>
  <c r="F3368" i="19"/>
  <c r="G3368" i="19" s="1"/>
  <c r="F3367" i="19"/>
  <c r="G3367" i="19" s="1"/>
  <c r="F3366" i="19"/>
  <c r="G3366" i="19" s="1"/>
  <c r="F3365" i="19"/>
  <c r="G3365" i="19" s="1"/>
  <c r="F3364" i="19"/>
  <c r="G3364" i="19" s="1"/>
  <c r="F3363" i="19"/>
  <c r="G3363" i="19" s="1"/>
  <c r="F3362" i="19"/>
  <c r="G3362" i="19" s="1"/>
  <c r="F3361" i="19"/>
  <c r="G3361" i="19" s="1"/>
  <c r="F3360" i="19"/>
  <c r="G3360" i="19" s="1"/>
  <c r="F3359" i="19"/>
  <c r="G3359" i="19" s="1"/>
  <c r="F3358" i="19"/>
  <c r="G3358" i="19" s="1"/>
  <c r="F3357" i="19"/>
  <c r="G3357" i="19" s="1"/>
  <c r="F3356" i="19"/>
  <c r="G3356" i="19" s="1"/>
  <c r="F3355" i="19"/>
  <c r="G3355" i="19" s="1"/>
  <c r="F3354" i="19"/>
  <c r="G3354" i="19" s="1"/>
  <c r="F3353" i="19"/>
  <c r="G3353" i="19" s="1"/>
  <c r="F3352" i="19"/>
  <c r="G3352" i="19" s="1"/>
  <c r="F3351" i="19"/>
  <c r="G3351" i="19" s="1"/>
  <c r="F3350" i="19"/>
  <c r="G3350" i="19" s="1"/>
  <c r="F3349" i="19"/>
  <c r="G3349" i="19" s="1"/>
  <c r="F3348" i="19"/>
  <c r="G3348" i="19" s="1"/>
  <c r="F3347" i="19"/>
  <c r="G3347" i="19" s="1"/>
  <c r="F3346" i="19"/>
  <c r="G3346" i="19" s="1"/>
  <c r="F3345" i="19"/>
  <c r="G3345" i="19" s="1"/>
  <c r="F3344" i="19"/>
  <c r="G3344" i="19" s="1"/>
  <c r="F3343" i="19"/>
  <c r="G3343" i="19" s="1"/>
  <c r="F3342" i="19"/>
  <c r="G3342" i="19" s="1"/>
  <c r="F3341" i="19"/>
  <c r="G3341" i="19" s="1"/>
  <c r="F3340" i="19"/>
  <c r="G3340" i="19" s="1"/>
  <c r="F3339" i="19"/>
  <c r="G3339" i="19" s="1"/>
  <c r="F3338" i="19"/>
  <c r="G3338" i="19" s="1"/>
  <c r="F3337" i="19"/>
  <c r="G3337" i="19" s="1"/>
  <c r="F3336" i="19"/>
  <c r="G3336" i="19" s="1"/>
  <c r="F3335" i="19"/>
  <c r="G3335" i="19" s="1"/>
  <c r="F3334" i="19"/>
  <c r="G3334" i="19" s="1"/>
  <c r="F3333" i="19"/>
  <c r="G3333" i="19" s="1"/>
  <c r="F3332" i="19"/>
  <c r="G3332" i="19" s="1"/>
  <c r="F3331" i="19"/>
  <c r="G3331" i="19" s="1"/>
  <c r="F3330" i="19"/>
  <c r="G3330" i="19" s="1"/>
  <c r="F3329" i="19"/>
  <c r="G3329" i="19" s="1"/>
  <c r="F3328" i="19"/>
  <c r="G3328" i="19" s="1"/>
  <c r="F3327" i="19"/>
  <c r="G3327" i="19" s="1"/>
  <c r="F3326" i="19"/>
  <c r="G3326" i="19" s="1"/>
  <c r="F3325" i="19"/>
  <c r="G3325" i="19" s="1"/>
  <c r="F3324" i="19"/>
  <c r="G3324" i="19" s="1"/>
  <c r="F3323" i="19"/>
  <c r="G3323" i="19" s="1"/>
  <c r="F3322" i="19"/>
  <c r="G3322" i="19" s="1"/>
  <c r="F3321" i="19"/>
  <c r="G3321" i="19" s="1"/>
  <c r="F3320" i="19"/>
  <c r="G3320" i="19" s="1"/>
  <c r="F3319" i="19"/>
  <c r="G3319" i="19" s="1"/>
  <c r="F3318" i="19"/>
  <c r="G3318" i="19" s="1"/>
  <c r="F3317" i="19"/>
  <c r="G3317" i="19" s="1"/>
  <c r="F3316" i="19"/>
  <c r="G3316" i="19" s="1"/>
  <c r="F3315" i="19"/>
  <c r="G3315" i="19" s="1"/>
  <c r="F3314" i="19"/>
  <c r="G3314" i="19" s="1"/>
  <c r="F3313" i="19"/>
  <c r="G3313" i="19" s="1"/>
  <c r="F3312" i="19"/>
  <c r="G3312" i="19" s="1"/>
  <c r="F3311" i="19"/>
  <c r="G3311" i="19" s="1"/>
  <c r="F3310" i="19"/>
  <c r="G3310" i="19" s="1"/>
  <c r="F3309" i="19"/>
  <c r="G3309" i="19" s="1"/>
  <c r="F3308" i="19"/>
  <c r="G3308" i="19" s="1"/>
  <c r="F3307" i="19"/>
  <c r="G3307" i="19" s="1"/>
  <c r="F3306" i="19"/>
  <c r="G3306" i="19" s="1"/>
  <c r="F3305" i="19"/>
  <c r="G3305" i="19" s="1"/>
  <c r="F3304" i="19"/>
  <c r="G3304" i="19" s="1"/>
  <c r="F3303" i="19"/>
  <c r="G3303" i="19" s="1"/>
  <c r="F3302" i="19"/>
  <c r="G3302" i="19" s="1"/>
  <c r="F3301" i="19"/>
  <c r="G3301" i="19" s="1"/>
  <c r="F3300" i="19"/>
  <c r="G3300" i="19" s="1"/>
  <c r="F3299" i="19"/>
  <c r="G3299" i="19" s="1"/>
  <c r="F3298" i="19"/>
  <c r="G3298" i="19" s="1"/>
  <c r="F3297" i="19"/>
  <c r="G3297" i="19" s="1"/>
  <c r="F3296" i="19"/>
  <c r="G3296" i="19" s="1"/>
  <c r="F3295" i="19"/>
  <c r="G3295" i="19" s="1"/>
  <c r="F3294" i="19"/>
  <c r="G3294" i="19" s="1"/>
  <c r="F3293" i="19"/>
  <c r="G3293" i="19" s="1"/>
  <c r="F3292" i="19"/>
  <c r="G3292" i="19" s="1"/>
  <c r="F3291" i="19"/>
  <c r="G3291" i="19" s="1"/>
  <c r="F3290" i="19"/>
  <c r="G3290" i="19" s="1"/>
  <c r="F3289" i="19"/>
  <c r="G3289" i="19" s="1"/>
  <c r="F3288" i="19"/>
  <c r="G3288" i="19" s="1"/>
  <c r="F3287" i="19"/>
  <c r="G3287" i="19" s="1"/>
  <c r="F3286" i="19"/>
  <c r="G3286" i="19" s="1"/>
  <c r="F3285" i="19"/>
  <c r="G3285" i="19" s="1"/>
  <c r="F3284" i="19"/>
  <c r="G3284" i="19" s="1"/>
  <c r="F3283" i="19"/>
  <c r="G3283" i="19" s="1"/>
  <c r="F3282" i="19"/>
  <c r="G3282" i="19" s="1"/>
  <c r="F3281" i="19"/>
  <c r="G3281" i="19" s="1"/>
  <c r="F3280" i="19"/>
  <c r="G3280" i="19" s="1"/>
  <c r="F3279" i="19"/>
  <c r="G3279" i="19" s="1"/>
  <c r="F3278" i="19"/>
  <c r="G3278" i="19" s="1"/>
  <c r="F3277" i="19"/>
  <c r="G3277" i="19" s="1"/>
  <c r="F3276" i="19"/>
  <c r="G3276" i="19" s="1"/>
  <c r="F3275" i="19"/>
  <c r="G3275" i="19" s="1"/>
  <c r="F3274" i="19"/>
  <c r="G3274" i="19" s="1"/>
  <c r="F3273" i="19"/>
  <c r="G3273" i="19" s="1"/>
  <c r="F3272" i="19"/>
  <c r="G3272" i="19" s="1"/>
  <c r="F3271" i="19"/>
  <c r="G3271" i="19" s="1"/>
  <c r="F3270" i="19"/>
  <c r="G3270" i="19" s="1"/>
  <c r="F3269" i="19"/>
  <c r="G3269" i="19" s="1"/>
  <c r="F3268" i="19"/>
  <c r="G3268" i="19" s="1"/>
  <c r="F3267" i="19"/>
  <c r="G3267" i="19" s="1"/>
  <c r="F3266" i="19"/>
  <c r="G3266" i="19" s="1"/>
  <c r="F3265" i="19"/>
  <c r="G3265" i="19" s="1"/>
  <c r="F3264" i="19"/>
  <c r="G3264" i="19" s="1"/>
  <c r="F3263" i="19"/>
  <c r="G3263" i="19" s="1"/>
  <c r="F3262" i="19"/>
  <c r="G3262" i="19" s="1"/>
  <c r="F3261" i="19"/>
  <c r="G3261" i="19" s="1"/>
  <c r="F3260" i="19"/>
  <c r="G3260" i="19" s="1"/>
  <c r="F3259" i="19"/>
  <c r="G3259" i="19" s="1"/>
  <c r="F3258" i="19"/>
  <c r="G3258" i="19" s="1"/>
  <c r="F3257" i="19"/>
  <c r="G3257" i="19" s="1"/>
  <c r="F3256" i="19"/>
  <c r="G3256" i="19" s="1"/>
  <c r="F3255" i="19"/>
  <c r="G3255" i="19" s="1"/>
  <c r="F3254" i="19"/>
  <c r="G3254" i="19" s="1"/>
  <c r="F3253" i="19"/>
  <c r="G3253" i="19" s="1"/>
  <c r="F3252" i="19"/>
  <c r="G3252" i="19" s="1"/>
  <c r="F3251" i="19"/>
  <c r="G3251" i="19" s="1"/>
  <c r="F3250" i="19"/>
  <c r="G3250" i="19" s="1"/>
  <c r="F3249" i="19"/>
  <c r="G3249" i="19" s="1"/>
  <c r="F3248" i="19"/>
  <c r="G3248" i="19" s="1"/>
  <c r="F3247" i="19"/>
  <c r="G3247" i="19" s="1"/>
  <c r="F3246" i="19"/>
  <c r="G3246" i="19" s="1"/>
  <c r="F3245" i="19"/>
  <c r="G3245" i="19" s="1"/>
  <c r="F3244" i="19"/>
  <c r="G3244" i="19" s="1"/>
  <c r="F3243" i="19"/>
  <c r="G3243" i="19" s="1"/>
  <c r="F3242" i="19"/>
  <c r="G3242" i="19" s="1"/>
  <c r="F3241" i="19"/>
  <c r="G3241" i="19" s="1"/>
  <c r="F3240" i="19"/>
  <c r="G3240" i="19" s="1"/>
  <c r="F3239" i="19"/>
  <c r="G3239" i="19" s="1"/>
  <c r="F3238" i="19"/>
  <c r="G3238" i="19" s="1"/>
  <c r="F3237" i="19"/>
  <c r="G3237" i="19" s="1"/>
  <c r="F3236" i="19"/>
  <c r="G3236" i="19" s="1"/>
  <c r="F3235" i="19"/>
  <c r="G3235" i="19" s="1"/>
  <c r="F3234" i="19"/>
  <c r="G3234" i="19" s="1"/>
  <c r="F3233" i="19"/>
  <c r="G3233" i="19" s="1"/>
  <c r="F3232" i="19"/>
  <c r="G3232" i="19" s="1"/>
  <c r="F3231" i="19"/>
  <c r="G3231" i="19" s="1"/>
  <c r="F3230" i="19"/>
  <c r="G3230" i="19" s="1"/>
  <c r="F3229" i="19"/>
  <c r="G3229" i="19" s="1"/>
  <c r="F3228" i="19"/>
  <c r="G3228" i="19" s="1"/>
  <c r="F3227" i="19"/>
  <c r="G3227" i="19" s="1"/>
  <c r="F3226" i="19"/>
  <c r="G3226" i="19" s="1"/>
  <c r="F3225" i="19"/>
  <c r="G3225" i="19" s="1"/>
  <c r="F3224" i="19"/>
  <c r="G3224" i="19" s="1"/>
  <c r="F3223" i="19"/>
  <c r="G3223" i="19" s="1"/>
  <c r="F3222" i="19"/>
  <c r="G3222" i="19" s="1"/>
  <c r="F3221" i="19"/>
  <c r="G3221" i="19" s="1"/>
  <c r="F3220" i="19"/>
  <c r="G3220" i="19" s="1"/>
  <c r="F3219" i="19"/>
  <c r="G3219" i="19" s="1"/>
  <c r="F3218" i="19"/>
  <c r="G3218" i="19" s="1"/>
  <c r="F3217" i="19"/>
  <c r="G3217" i="19" s="1"/>
  <c r="F3216" i="19"/>
  <c r="G3216" i="19" s="1"/>
  <c r="F3215" i="19"/>
  <c r="G3215" i="19" s="1"/>
  <c r="F3214" i="19"/>
  <c r="G3214" i="19" s="1"/>
  <c r="F3213" i="19"/>
  <c r="G3213" i="19" s="1"/>
  <c r="F3212" i="19"/>
  <c r="G3212" i="19" s="1"/>
  <c r="F3211" i="19"/>
  <c r="G3211" i="19" s="1"/>
  <c r="F3210" i="19"/>
  <c r="G3210" i="19" s="1"/>
  <c r="F3209" i="19"/>
  <c r="G3209" i="19" s="1"/>
  <c r="F3208" i="19"/>
  <c r="G3208" i="19" s="1"/>
  <c r="F3207" i="19"/>
  <c r="G3207" i="19" s="1"/>
  <c r="F3206" i="19"/>
  <c r="G3206" i="19" s="1"/>
  <c r="F3205" i="19"/>
  <c r="G3205" i="19" s="1"/>
  <c r="F3204" i="19"/>
  <c r="G3204" i="19" s="1"/>
  <c r="F3203" i="19"/>
  <c r="G3203" i="19" s="1"/>
  <c r="F3202" i="19"/>
  <c r="G3202" i="19" s="1"/>
  <c r="F3201" i="19"/>
  <c r="G3201" i="19" s="1"/>
  <c r="F3200" i="19"/>
  <c r="G3200" i="19" s="1"/>
  <c r="F3199" i="19"/>
  <c r="G3199" i="19" s="1"/>
  <c r="F3198" i="19"/>
  <c r="G3198" i="19" s="1"/>
  <c r="F3197" i="19"/>
  <c r="G3197" i="19" s="1"/>
  <c r="F3196" i="19"/>
  <c r="G3196" i="19" s="1"/>
  <c r="F3195" i="19"/>
  <c r="G3195" i="19" s="1"/>
  <c r="F3194" i="19"/>
  <c r="G3194" i="19" s="1"/>
  <c r="F3193" i="19"/>
  <c r="G3193" i="19" s="1"/>
  <c r="F3192" i="19"/>
  <c r="G3192" i="19" s="1"/>
  <c r="F3191" i="19"/>
  <c r="G3191" i="19" s="1"/>
  <c r="F3190" i="19"/>
  <c r="G3190" i="19" s="1"/>
  <c r="F3189" i="19"/>
  <c r="G3189" i="19" s="1"/>
  <c r="F3188" i="19"/>
  <c r="G3188" i="19" s="1"/>
  <c r="F3187" i="19"/>
  <c r="G3187" i="19" s="1"/>
  <c r="F3186" i="19"/>
  <c r="G3186" i="19" s="1"/>
  <c r="F3185" i="19"/>
  <c r="G3185" i="19" s="1"/>
  <c r="F3184" i="19"/>
  <c r="G3184" i="19" s="1"/>
  <c r="F3183" i="19"/>
  <c r="G3183" i="19" s="1"/>
  <c r="F3182" i="19"/>
  <c r="G3182" i="19" s="1"/>
  <c r="F3181" i="19"/>
  <c r="G3181" i="19" s="1"/>
  <c r="F3180" i="19"/>
  <c r="G3180" i="19" s="1"/>
  <c r="F3179" i="19"/>
  <c r="G3179" i="19" s="1"/>
  <c r="F3178" i="19"/>
  <c r="G3178" i="19" s="1"/>
  <c r="F3177" i="19"/>
  <c r="G3177" i="19" s="1"/>
  <c r="F3176" i="19"/>
  <c r="G3176" i="19" s="1"/>
  <c r="F3175" i="19"/>
  <c r="G3175" i="19" s="1"/>
  <c r="F3174" i="19"/>
  <c r="G3174" i="19" s="1"/>
  <c r="F3173" i="19"/>
  <c r="G3173" i="19" s="1"/>
  <c r="F3172" i="19"/>
  <c r="G3172" i="19" s="1"/>
  <c r="F3171" i="19"/>
  <c r="G3171" i="19" s="1"/>
  <c r="F3170" i="19"/>
  <c r="G3170" i="19" s="1"/>
  <c r="F3169" i="19"/>
  <c r="G3169" i="19" s="1"/>
  <c r="F3168" i="19"/>
  <c r="G3168" i="19" s="1"/>
  <c r="F3167" i="19"/>
  <c r="G3167" i="19" s="1"/>
  <c r="F3166" i="19"/>
  <c r="G3166" i="19" s="1"/>
  <c r="F3165" i="19"/>
  <c r="G3165" i="19" s="1"/>
  <c r="F3164" i="19"/>
  <c r="G3164" i="19" s="1"/>
  <c r="F3163" i="19"/>
  <c r="G3163" i="19" s="1"/>
  <c r="F3162" i="19"/>
  <c r="G3162" i="19" s="1"/>
  <c r="F3161" i="19"/>
  <c r="G3161" i="19" s="1"/>
  <c r="F3160" i="19"/>
  <c r="G3160" i="19" s="1"/>
  <c r="F3159" i="19"/>
  <c r="G3159" i="19" s="1"/>
  <c r="F3158" i="19"/>
  <c r="G3158" i="19" s="1"/>
  <c r="F3157" i="19"/>
  <c r="G3157" i="19" s="1"/>
  <c r="F3156" i="19"/>
  <c r="G3156" i="19" s="1"/>
  <c r="F3155" i="19"/>
  <c r="G3155" i="19" s="1"/>
  <c r="F3154" i="19"/>
  <c r="G3154" i="19" s="1"/>
  <c r="F3153" i="19"/>
  <c r="G3153" i="19" s="1"/>
  <c r="F3152" i="19"/>
  <c r="G3152" i="19" s="1"/>
  <c r="F3151" i="19"/>
  <c r="G3151" i="19" s="1"/>
  <c r="F3150" i="19"/>
  <c r="G3150" i="19" s="1"/>
  <c r="F3149" i="19"/>
  <c r="G3149" i="19" s="1"/>
  <c r="F3148" i="19"/>
  <c r="G3148" i="19" s="1"/>
  <c r="F3147" i="19"/>
  <c r="G3147" i="19" s="1"/>
  <c r="F3146" i="19"/>
  <c r="G3146" i="19" s="1"/>
  <c r="F3145" i="19"/>
  <c r="G3145" i="19" s="1"/>
  <c r="F3144" i="19"/>
  <c r="G3144" i="19" s="1"/>
  <c r="F3143" i="19"/>
  <c r="G3143" i="19" s="1"/>
  <c r="F3142" i="19"/>
  <c r="G3142" i="19" s="1"/>
  <c r="F3141" i="19"/>
  <c r="G3141" i="19" s="1"/>
  <c r="F3140" i="19"/>
  <c r="G3140" i="19" s="1"/>
  <c r="F3139" i="19"/>
  <c r="G3139" i="19" s="1"/>
  <c r="F3138" i="19"/>
  <c r="G3138" i="19" s="1"/>
  <c r="F3137" i="19"/>
  <c r="G3137" i="19" s="1"/>
  <c r="F3136" i="19"/>
  <c r="G3136" i="19" s="1"/>
  <c r="F3135" i="19"/>
  <c r="G3135" i="19" s="1"/>
  <c r="F3134" i="19"/>
  <c r="G3134" i="19" s="1"/>
  <c r="F3133" i="19"/>
  <c r="G3133" i="19" s="1"/>
  <c r="F3132" i="19"/>
  <c r="G3132" i="19" s="1"/>
  <c r="F3131" i="19"/>
  <c r="G3131" i="19" s="1"/>
  <c r="F3130" i="19"/>
  <c r="G3130" i="19" s="1"/>
  <c r="F3129" i="19"/>
  <c r="G3129" i="19" s="1"/>
  <c r="F3128" i="19"/>
  <c r="G3128" i="19" s="1"/>
  <c r="F3127" i="19"/>
  <c r="G3127" i="19" s="1"/>
  <c r="F3126" i="19"/>
  <c r="G3126" i="19" s="1"/>
  <c r="F3125" i="19"/>
  <c r="G3125" i="19" s="1"/>
  <c r="F3124" i="19"/>
  <c r="G3124" i="19" s="1"/>
  <c r="F3123" i="19"/>
  <c r="G3123" i="19" s="1"/>
  <c r="F3122" i="19"/>
  <c r="G3122" i="19" s="1"/>
  <c r="F3121" i="19"/>
  <c r="G3121" i="19" s="1"/>
  <c r="F3120" i="19"/>
  <c r="G3120" i="19" s="1"/>
  <c r="F3119" i="19"/>
  <c r="G3119" i="19" s="1"/>
  <c r="F3118" i="19"/>
  <c r="G3118" i="19" s="1"/>
  <c r="F3117" i="19"/>
  <c r="G3117" i="19" s="1"/>
  <c r="F3116" i="19"/>
  <c r="G3116" i="19" s="1"/>
  <c r="F3115" i="19"/>
  <c r="G3115" i="19" s="1"/>
  <c r="F3114" i="19"/>
  <c r="G3114" i="19" s="1"/>
  <c r="F3113" i="19"/>
  <c r="G3113" i="19" s="1"/>
  <c r="F3112" i="19"/>
  <c r="G3112" i="19" s="1"/>
  <c r="F3111" i="19"/>
  <c r="G3111" i="19" s="1"/>
  <c r="F3110" i="19"/>
  <c r="G3110" i="19" s="1"/>
  <c r="F3109" i="19"/>
  <c r="G3109" i="19" s="1"/>
  <c r="F3108" i="19"/>
  <c r="G3108" i="19" s="1"/>
  <c r="F3107" i="19"/>
  <c r="G3107" i="19" s="1"/>
  <c r="F3106" i="19"/>
  <c r="G3106" i="19" s="1"/>
  <c r="F3105" i="19"/>
  <c r="G3105" i="19" s="1"/>
  <c r="F3104" i="19"/>
  <c r="G3104" i="19" s="1"/>
  <c r="F3103" i="19"/>
  <c r="G3103" i="19" s="1"/>
  <c r="F3102" i="19"/>
  <c r="G3102" i="19" s="1"/>
  <c r="F3101" i="19"/>
  <c r="G3101" i="19" s="1"/>
  <c r="F3100" i="19"/>
  <c r="G3100" i="19" s="1"/>
  <c r="F3099" i="19"/>
  <c r="G3099" i="19" s="1"/>
  <c r="F3098" i="19"/>
  <c r="G3098" i="19" s="1"/>
  <c r="F3097" i="19"/>
  <c r="G3097" i="19" s="1"/>
  <c r="F3096" i="19"/>
  <c r="G3096" i="19" s="1"/>
  <c r="F3095" i="19"/>
  <c r="G3095" i="19" s="1"/>
  <c r="F3094" i="19"/>
  <c r="G3094" i="19" s="1"/>
  <c r="F3093" i="19"/>
  <c r="G3093" i="19" s="1"/>
  <c r="F3092" i="19"/>
  <c r="G3092" i="19" s="1"/>
  <c r="F3091" i="19"/>
  <c r="G3091" i="19" s="1"/>
  <c r="F3090" i="19"/>
  <c r="G3090" i="19" s="1"/>
  <c r="F3089" i="19"/>
  <c r="G3089" i="19" s="1"/>
  <c r="F3088" i="19"/>
  <c r="G3088" i="19" s="1"/>
  <c r="F3087" i="19"/>
  <c r="G3087" i="19" s="1"/>
  <c r="F3086" i="19"/>
  <c r="G3086" i="19" s="1"/>
  <c r="F3085" i="19"/>
  <c r="G3085" i="19" s="1"/>
  <c r="F3084" i="19"/>
  <c r="G3084" i="19" s="1"/>
  <c r="F3083" i="19"/>
  <c r="G3083" i="19" s="1"/>
  <c r="F3082" i="19"/>
  <c r="G3082" i="19" s="1"/>
  <c r="F3081" i="19"/>
  <c r="G3081" i="19" s="1"/>
  <c r="F3080" i="19"/>
  <c r="G3080" i="19" s="1"/>
  <c r="F3079" i="19"/>
  <c r="G3079" i="19" s="1"/>
  <c r="F3078" i="19"/>
  <c r="G3078" i="19" s="1"/>
  <c r="F3077" i="19"/>
  <c r="G3077" i="19" s="1"/>
  <c r="F3076" i="19"/>
  <c r="G3076" i="19" s="1"/>
  <c r="F3075" i="19"/>
  <c r="G3075" i="19" s="1"/>
  <c r="F3074" i="19"/>
  <c r="G3074" i="19" s="1"/>
  <c r="F3073" i="19"/>
  <c r="G3073" i="19" s="1"/>
  <c r="F3072" i="19"/>
  <c r="G3072" i="19" s="1"/>
  <c r="F3071" i="19"/>
  <c r="G3071" i="19" s="1"/>
  <c r="F3070" i="19"/>
  <c r="G3070" i="19" s="1"/>
  <c r="F3069" i="19"/>
  <c r="G3069" i="19" s="1"/>
  <c r="F3068" i="19"/>
  <c r="G3068" i="19" s="1"/>
  <c r="F3067" i="19"/>
  <c r="G3067" i="19" s="1"/>
  <c r="F3066" i="19"/>
  <c r="G3066" i="19" s="1"/>
  <c r="F3065" i="19"/>
  <c r="G3065" i="19" s="1"/>
  <c r="F3064" i="19"/>
  <c r="G3064" i="19" s="1"/>
  <c r="F3063" i="19"/>
  <c r="G3063" i="19" s="1"/>
  <c r="F3062" i="19"/>
  <c r="G3062" i="19" s="1"/>
  <c r="F3061" i="19"/>
  <c r="G3061" i="19" s="1"/>
  <c r="F3060" i="19"/>
  <c r="G3060" i="19" s="1"/>
  <c r="F3059" i="19"/>
  <c r="G3059" i="19" s="1"/>
  <c r="F3058" i="19"/>
  <c r="G3058" i="19" s="1"/>
  <c r="F3057" i="19"/>
  <c r="G3057" i="19" s="1"/>
  <c r="F3056" i="19"/>
  <c r="G3056" i="19" s="1"/>
  <c r="F3055" i="19"/>
  <c r="G3055" i="19" s="1"/>
  <c r="F3054" i="19"/>
  <c r="G3054" i="19" s="1"/>
  <c r="F3053" i="19"/>
  <c r="G3053" i="19" s="1"/>
  <c r="F3052" i="19"/>
  <c r="G3052" i="19" s="1"/>
  <c r="F3051" i="19"/>
  <c r="G3051" i="19" s="1"/>
  <c r="F3050" i="19"/>
  <c r="G3050" i="19" s="1"/>
  <c r="F3049" i="19"/>
  <c r="G3049" i="19" s="1"/>
  <c r="F3048" i="19"/>
  <c r="G3048" i="19" s="1"/>
  <c r="F3047" i="19"/>
  <c r="G3047" i="19" s="1"/>
  <c r="F3046" i="19"/>
  <c r="G3046" i="19" s="1"/>
  <c r="F3045" i="19"/>
  <c r="G3045" i="19" s="1"/>
  <c r="F3044" i="19"/>
  <c r="G3044" i="19" s="1"/>
  <c r="F3043" i="19"/>
  <c r="G3043" i="19" s="1"/>
  <c r="F3042" i="19"/>
  <c r="G3042" i="19" s="1"/>
  <c r="F3041" i="19"/>
  <c r="G3041" i="19" s="1"/>
  <c r="F3040" i="19"/>
  <c r="G3040" i="19" s="1"/>
  <c r="F3039" i="19"/>
  <c r="G3039" i="19" s="1"/>
  <c r="F3038" i="19"/>
  <c r="G3038" i="19" s="1"/>
  <c r="F3037" i="19"/>
  <c r="G3037" i="19" s="1"/>
  <c r="F3036" i="19"/>
  <c r="G3036" i="19" s="1"/>
  <c r="F3035" i="19"/>
  <c r="G3035" i="19" s="1"/>
  <c r="F3034" i="19"/>
  <c r="G3034" i="19" s="1"/>
  <c r="F3033" i="19"/>
  <c r="G3033" i="19" s="1"/>
  <c r="F3032" i="19"/>
  <c r="G3032" i="19" s="1"/>
  <c r="F3031" i="19"/>
  <c r="G3031" i="19" s="1"/>
  <c r="F3030" i="19"/>
  <c r="G3030" i="19" s="1"/>
  <c r="F3029" i="19"/>
  <c r="G3029" i="19" s="1"/>
  <c r="F3028" i="19"/>
  <c r="G3028" i="19" s="1"/>
  <c r="F3027" i="19"/>
  <c r="G3027" i="19" s="1"/>
  <c r="F3026" i="19"/>
  <c r="G3026" i="19" s="1"/>
  <c r="F3025" i="19"/>
  <c r="G3025" i="19" s="1"/>
  <c r="F3024" i="19"/>
  <c r="G3024" i="19" s="1"/>
  <c r="F3023" i="19"/>
  <c r="G3023" i="19" s="1"/>
  <c r="F3022" i="19"/>
  <c r="G3022" i="19" s="1"/>
  <c r="F3021" i="19"/>
  <c r="G3021" i="19" s="1"/>
  <c r="F3020" i="19"/>
  <c r="G3020" i="19" s="1"/>
  <c r="F3019" i="19"/>
  <c r="G3019" i="19" s="1"/>
  <c r="F3018" i="19"/>
  <c r="G3018" i="19" s="1"/>
  <c r="F3017" i="19"/>
  <c r="G3017" i="19" s="1"/>
  <c r="F3016" i="19"/>
  <c r="G3016" i="19" s="1"/>
  <c r="F3015" i="19"/>
  <c r="G3015" i="19" s="1"/>
  <c r="F3014" i="19"/>
  <c r="G3014" i="19" s="1"/>
  <c r="F3013" i="19"/>
  <c r="G3013" i="19" s="1"/>
  <c r="F3012" i="19"/>
  <c r="G3012" i="19" s="1"/>
  <c r="F3011" i="19"/>
  <c r="G3011" i="19" s="1"/>
  <c r="F3010" i="19"/>
  <c r="G3010" i="19" s="1"/>
  <c r="F3009" i="19"/>
  <c r="G3009" i="19" s="1"/>
  <c r="F3008" i="19"/>
  <c r="G3008" i="19" s="1"/>
  <c r="F3007" i="19"/>
  <c r="G3007" i="19" s="1"/>
  <c r="F3006" i="19"/>
  <c r="G3006" i="19" s="1"/>
  <c r="F3005" i="19"/>
  <c r="G3005" i="19" s="1"/>
  <c r="F3004" i="19"/>
  <c r="G3004" i="19" s="1"/>
  <c r="F3003" i="19"/>
  <c r="G3003" i="19" s="1"/>
  <c r="F3002" i="19"/>
  <c r="G3002" i="19" s="1"/>
  <c r="F3001" i="19"/>
  <c r="G3001" i="19" s="1"/>
  <c r="F3000" i="19"/>
  <c r="G3000" i="19" s="1"/>
  <c r="F2999" i="19"/>
  <c r="G2999" i="19" s="1"/>
  <c r="F2998" i="19"/>
  <c r="G2998" i="19" s="1"/>
  <c r="F2997" i="19"/>
  <c r="G2997" i="19" s="1"/>
  <c r="F2996" i="19"/>
  <c r="G2996" i="19" s="1"/>
  <c r="F2995" i="19"/>
  <c r="G2995" i="19" s="1"/>
  <c r="F2994" i="19"/>
  <c r="G2994" i="19" s="1"/>
  <c r="F2993" i="19"/>
  <c r="G2993" i="19" s="1"/>
  <c r="F2992" i="19"/>
  <c r="G2992" i="19" s="1"/>
  <c r="F2991" i="19"/>
  <c r="G2991" i="19" s="1"/>
  <c r="F2990" i="19"/>
  <c r="G2990" i="19" s="1"/>
  <c r="F2989" i="19"/>
  <c r="G2989" i="19" s="1"/>
  <c r="F2988" i="19"/>
  <c r="G2988" i="19" s="1"/>
  <c r="F2987" i="19"/>
  <c r="G2987" i="19" s="1"/>
  <c r="F2986" i="19"/>
  <c r="G2986" i="19" s="1"/>
  <c r="F2985" i="19"/>
  <c r="G2985" i="19" s="1"/>
  <c r="F2984" i="19"/>
  <c r="G2984" i="19" s="1"/>
  <c r="F2983" i="19"/>
  <c r="G2983" i="19" s="1"/>
  <c r="F2982" i="19"/>
  <c r="G2982" i="19" s="1"/>
  <c r="F2981" i="19"/>
  <c r="G2981" i="19" s="1"/>
  <c r="F2980" i="19"/>
  <c r="G2980" i="19" s="1"/>
  <c r="F2979" i="19"/>
  <c r="G2979" i="19" s="1"/>
  <c r="F2978" i="19"/>
  <c r="G2978" i="19" s="1"/>
  <c r="F2977" i="19"/>
  <c r="G2977" i="19" s="1"/>
  <c r="F2976" i="19"/>
  <c r="G2976" i="19" s="1"/>
  <c r="F2975" i="19"/>
  <c r="G2975" i="19" s="1"/>
  <c r="F2974" i="19"/>
  <c r="G2974" i="19" s="1"/>
  <c r="F2973" i="19"/>
  <c r="G2973" i="19" s="1"/>
  <c r="F2972" i="19"/>
  <c r="G2972" i="19" s="1"/>
  <c r="F2971" i="19"/>
  <c r="G2971" i="19" s="1"/>
  <c r="F2970" i="19"/>
  <c r="G2970" i="19" s="1"/>
  <c r="F2969" i="19"/>
  <c r="G2969" i="19" s="1"/>
  <c r="F2968" i="19"/>
  <c r="G2968" i="19" s="1"/>
  <c r="F2967" i="19"/>
  <c r="G2967" i="19" s="1"/>
  <c r="F2966" i="19"/>
  <c r="G2966" i="19" s="1"/>
  <c r="F2965" i="19"/>
  <c r="G2965" i="19" s="1"/>
  <c r="F2964" i="19"/>
  <c r="G2964" i="19" s="1"/>
  <c r="F2963" i="19"/>
  <c r="G2963" i="19" s="1"/>
  <c r="F2962" i="19"/>
  <c r="G2962" i="19" s="1"/>
  <c r="F2961" i="19"/>
  <c r="G2961" i="19" s="1"/>
  <c r="F2960" i="19"/>
  <c r="G2960" i="19" s="1"/>
  <c r="F2959" i="19"/>
  <c r="G2959" i="19" s="1"/>
  <c r="F2958" i="19"/>
  <c r="G2958" i="19" s="1"/>
  <c r="F2957" i="19"/>
  <c r="G2957" i="19" s="1"/>
  <c r="F2956" i="19"/>
  <c r="G2956" i="19" s="1"/>
  <c r="F2955" i="19"/>
  <c r="G2955" i="19" s="1"/>
  <c r="F2954" i="19"/>
  <c r="G2954" i="19" s="1"/>
  <c r="F2953" i="19"/>
  <c r="G2953" i="19" s="1"/>
  <c r="F2952" i="19"/>
  <c r="G2952" i="19" s="1"/>
  <c r="F2951" i="19"/>
  <c r="G2951" i="19" s="1"/>
  <c r="F2950" i="19"/>
  <c r="G2950" i="19" s="1"/>
  <c r="F2949" i="19"/>
  <c r="G2949" i="19" s="1"/>
  <c r="F2948" i="19"/>
  <c r="G2948" i="19" s="1"/>
  <c r="F2947" i="19"/>
  <c r="G2947" i="19" s="1"/>
  <c r="F2946" i="19"/>
  <c r="G2946" i="19" s="1"/>
  <c r="F2945" i="19"/>
  <c r="G2945" i="19" s="1"/>
  <c r="F2944" i="19"/>
  <c r="G2944" i="19" s="1"/>
  <c r="F2943" i="19"/>
  <c r="G2943" i="19" s="1"/>
  <c r="F2942" i="19"/>
  <c r="G2942" i="19" s="1"/>
  <c r="F2941" i="19"/>
  <c r="G2941" i="19" s="1"/>
  <c r="F2940" i="19"/>
  <c r="G2940" i="19" s="1"/>
  <c r="F2939" i="19"/>
  <c r="G2939" i="19" s="1"/>
  <c r="F2938" i="19"/>
  <c r="G2938" i="19" s="1"/>
  <c r="F2937" i="19"/>
  <c r="G2937" i="19" s="1"/>
  <c r="F2936" i="19"/>
  <c r="G2936" i="19" s="1"/>
  <c r="F2935" i="19"/>
  <c r="G2935" i="19" s="1"/>
  <c r="F2934" i="19"/>
  <c r="G2934" i="19" s="1"/>
  <c r="F2933" i="19"/>
  <c r="G2933" i="19" s="1"/>
  <c r="F2932" i="19"/>
  <c r="G2932" i="19" s="1"/>
  <c r="F2931" i="19"/>
  <c r="G2931" i="19" s="1"/>
  <c r="F2930" i="19"/>
  <c r="G2930" i="19" s="1"/>
  <c r="F2929" i="19"/>
  <c r="G2929" i="19" s="1"/>
  <c r="F2928" i="19"/>
  <c r="G2928" i="19" s="1"/>
  <c r="F2927" i="19"/>
  <c r="G2927" i="19" s="1"/>
  <c r="F2926" i="19"/>
  <c r="G2926" i="19" s="1"/>
  <c r="F2925" i="19"/>
  <c r="G2925" i="19" s="1"/>
  <c r="F2924" i="19"/>
  <c r="G2924" i="19" s="1"/>
  <c r="F2923" i="19"/>
  <c r="G2923" i="19" s="1"/>
  <c r="F2922" i="19"/>
  <c r="G2922" i="19" s="1"/>
  <c r="F2921" i="19"/>
  <c r="G2921" i="19" s="1"/>
  <c r="F2920" i="19"/>
  <c r="G2920" i="19" s="1"/>
  <c r="F2919" i="19"/>
  <c r="G2919" i="19" s="1"/>
  <c r="F2918" i="19"/>
  <c r="G2918" i="19" s="1"/>
  <c r="F2917" i="19"/>
  <c r="G2917" i="19" s="1"/>
  <c r="F2916" i="19"/>
  <c r="G2916" i="19" s="1"/>
  <c r="F2915" i="19"/>
  <c r="G2915" i="19" s="1"/>
  <c r="F2914" i="19"/>
  <c r="G2914" i="19" s="1"/>
  <c r="F2913" i="19"/>
  <c r="G2913" i="19" s="1"/>
  <c r="F2912" i="19"/>
  <c r="G2912" i="19" s="1"/>
  <c r="F2911" i="19"/>
  <c r="G2911" i="19" s="1"/>
  <c r="F2910" i="19"/>
  <c r="G2910" i="19" s="1"/>
  <c r="F2909" i="19"/>
  <c r="G2909" i="19" s="1"/>
  <c r="F2908" i="19"/>
  <c r="G2908" i="19" s="1"/>
  <c r="F2907" i="19"/>
  <c r="G2907" i="19" s="1"/>
  <c r="F2906" i="19"/>
  <c r="G2906" i="19" s="1"/>
  <c r="F2905" i="19"/>
  <c r="G2905" i="19" s="1"/>
  <c r="F2904" i="19"/>
  <c r="G2904" i="19" s="1"/>
  <c r="F2903" i="19"/>
  <c r="G2903" i="19" s="1"/>
  <c r="F2902" i="19"/>
  <c r="G2902" i="19" s="1"/>
  <c r="F2901" i="19"/>
  <c r="G2901" i="19" s="1"/>
  <c r="F2900" i="19"/>
  <c r="G2900" i="19" s="1"/>
  <c r="F2899" i="19"/>
  <c r="G2899" i="19" s="1"/>
  <c r="F2898" i="19"/>
  <c r="G2898" i="19" s="1"/>
  <c r="F2897" i="19"/>
  <c r="G2897" i="19" s="1"/>
  <c r="F2896" i="19"/>
  <c r="G2896" i="19" s="1"/>
  <c r="F2895" i="19"/>
  <c r="G2895" i="19" s="1"/>
  <c r="F2894" i="19"/>
  <c r="G2894" i="19" s="1"/>
  <c r="F2893" i="19"/>
  <c r="G2893" i="19" s="1"/>
  <c r="F2892" i="19"/>
  <c r="G2892" i="19" s="1"/>
  <c r="F2891" i="19"/>
  <c r="G2891" i="19" s="1"/>
  <c r="F2890" i="19"/>
  <c r="G2890" i="19" s="1"/>
  <c r="F2889" i="19"/>
  <c r="G2889" i="19" s="1"/>
  <c r="F2888" i="19"/>
  <c r="G2888" i="19" s="1"/>
  <c r="F2887" i="19"/>
  <c r="G2887" i="19" s="1"/>
  <c r="F2886" i="19"/>
  <c r="G2886" i="19" s="1"/>
  <c r="F2885" i="19"/>
  <c r="G2885" i="19" s="1"/>
  <c r="F2884" i="19"/>
  <c r="G2884" i="19" s="1"/>
  <c r="F2883" i="19"/>
  <c r="G2883" i="19" s="1"/>
  <c r="F2882" i="19"/>
  <c r="G2882" i="19" s="1"/>
  <c r="F2881" i="19"/>
  <c r="G2881" i="19" s="1"/>
  <c r="F2880" i="19"/>
  <c r="G2880" i="19" s="1"/>
  <c r="F2879" i="19"/>
  <c r="G2879" i="19" s="1"/>
  <c r="F2878" i="19"/>
  <c r="G2878" i="19" s="1"/>
  <c r="F2877" i="19"/>
  <c r="G2877" i="19" s="1"/>
  <c r="F2876" i="19"/>
  <c r="G2876" i="19" s="1"/>
  <c r="F2875" i="19"/>
  <c r="G2875" i="19" s="1"/>
  <c r="F2874" i="19"/>
  <c r="G2874" i="19" s="1"/>
  <c r="F2873" i="19"/>
  <c r="G2873" i="19" s="1"/>
  <c r="F2872" i="19"/>
  <c r="G2872" i="19" s="1"/>
  <c r="F2871" i="19"/>
  <c r="G2871" i="19" s="1"/>
  <c r="F2870" i="19"/>
  <c r="G2870" i="19" s="1"/>
  <c r="F2869" i="19"/>
  <c r="G2869" i="19" s="1"/>
  <c r="F2868" i="19"/>
  <c r="G2868" i="19" s="1"/>
  <c r="F2867" i="19"/>
  <c r="G2867" i="19" s="1"/>
  <c r="F2866" i="19"/>
  <c r="G2866" i="19" s="1"/>
  <c r="F2865" i="19"/>
  <c r="G2865" i="19" s="1"/>
  <c r="F2864" i="19"/>
  <c r="G2864" i="19" s="1"/>
  <c r="F2863" i="19"/>
  <c r="G2863" i="19" s="1"/>
  <c r="F2862" i="19"/>
  <c r="G2862" i="19" s="1"/>
  <c r="F2861" i="19"/>
  <c r="G2861" i="19" s="1"/>
  <c r="F2860" i="19"/>
  <c r="G2860" i="19" s="1"/>
  <c r="F2859" i="19"/>
  <c r="G2859" i="19" s="1"/>
  <c r="F2858" i="19"/>
  <c r="G2858" i="19" s="1"/>
  <c r="F2857" i="19"/>
  <c r="G2857" i="19" s="1"/>
  <c r="F2856" i="19"/>
  <c r="G2856" i="19" s="1"/>
  <c r="F2855" i="19"/>
  <c r="G2855" i="19" s="1"/>
  <c r="F2854" i="19"/>
  <c r="G2854" i="19" s="1"/>
  <c r="F2853" i="19"/>
  <c r="G2853" i="19" s="1"/>
  <c r="F2852" i="19"/>
  <c r="G2852" i="19" s="1"/>
  <c r="F2851" i="19"/>
  <c r="G2851" i="19" s="1"/>
  <c r="F2850" i="19"/>
  <c r="G2850" i="19" s="1"/>
  <c r="F2849" i="19"/>
  <c r="G2849" i="19" s="1"/>
  <c r="F2848" i="19"/>
  <c r="G2848" i="19" s="1"/>
  <c r="F2847" i="19"/>
  <c r="G2847" i="19" s="1"/>
  <c r="F2846" i="19"/>
  <c r="G2846" i="19" s="1"/>
  <c r="F2845" i="19"/>
  <c r="G2845" i="19" s="1"/>
  <c r="F2844" i="19"/>
  <c r="G2844" i="19" s="1"/>
  <c r="F2843" i="19"/>
  <c r="G2843" i="19" s="1"/>
  <c r="F2842" i="19"/>
  <c r="G2842" i="19" s="1"/>
  <c r="F2841" i="19"/>
  <c r="G2841" i="19" s="1"/>
  <c r="F2840" i="19"/>
  <c r="G2840" i="19" s="1"/>
  <c r="F2839" i="19"/>
  <c r="G2839" i="19" s="1"/>
  <c r="F2838" i="19"/>
  <c r="G2838" i="19" s="1"/>
  <c r="F2837" i="19"/>
  <c r="G2837" i="19" s="1"/>
  <c r="F2836" i="19"/>
  <c r="G2836" i="19" s="1"/>
  <c r="F2835" i="19"/>
  <c r="G2835" i="19" s="1"/>
  <c r="F2834" i="19"/>
  <c r="G2834" i="19" s="1"/>
  <c r="F2833" i="19"/>
  <c r="G2833" i="19" s="1"/>
  <c r="F2832" i="19"/>
  <c r="G2832" i="19" s="1"/>
  <c r="F2831" i="19"/>
  <c r="G2831" i="19" s="1"/>
  <c r="F2830" i="19"/>
  <c r="G2830" i="19" s="1"/>
  <c r="F2829" i="19"/>
  <c r="G2829" i="19" s="1"/>
  <c r="F2828" i="19"/>
  <c r="G2828" i="19" s="1"/>
  <c r="F2827" i="19"/>
  <c r="G2827" i="19" s="1"/>
  <c r="F2826" i="19"/>
  <c r="G2826" i="19" s="1"/>
  <c r="F2825" i="19"/>
  <c r="G2825" i="19" s="1"/>
  <c r="F2824" i="19"/>
  <c r="G2824" i="19" s="1"/>
  <c r="F2823" i="19"/>
  <c r="G2823" i="19" s="1"/>
  <c r="F2822" i="19"/>
  <c r="G2822" i="19" s="1"/>
  <c r="F2821" i="19"/>
  <c r="G2821" i="19" s="1"/>
  <c r="F2820" i="19"/>
  <c r="G2820" i="19" s="1"/>
  <c r="F2819" i="19"/>
  <c r="G2819" i="19" s="1"/>
  <c r="F2818" i="19"/>
  <c r="G2818" i="19" s="1"/>
  <c r="F2817" i="19"/>
  <c r="G2817" i="19" s="1"/>
  <c r="F2816" i="19"/>
  <c r="G2816" i="19" s="1"/>
  <c r="F2815" i="19"/>
  <c r="G2815" i="19" s="1"/>
  <c r="F2814" i="19"/>
  <c r="G2814" i="19" s="1"/>
  <c r="F2813" i="19"/>
  <c r="G2813" i="19" s="1"/>
  <c r="F2812" i="19"/>
  <c r="G2812" i="19" s="1"/>
  <c r="F2811" i="19"/>
  <c r="G2811" i="19" s="1"/>
  <c r="F2810" i="19"/>
  <c r="G2810" i="19" s="1"/>
  <c r="F2809" i="19"/>
  <c r="G2809" i="19" s="1"/>
  <c r="F2808" i="19"/>
  <c r="G2808" i="19" s="1"/>
  <c r="F2807" i="19"/>
  <c r="G2807" i="19" s="1"/>
  <c r="F2806" i="19"/>
  <c r="G2806" i="19" s="1"/>
  <c r="F2805" i="19"/>
  <c r="G2805" i="19" s="1"/>
  <c r="F2804" i="19"/>
  <c r="G2804" i="19" s="1"/>
  <c r="F2803" i="19"/>
  <c r="G2803" i="19" s="1"/>
  <c r="F2802" i="19"/>
  <c r="G2802" i="19" s="1"/>
  <c r="F2801" i="19"/>
  <c r="G2801" i="19" s="1"/>
  <c r="F2800" i="19"/>
  <c r="G2800" i="19" s="1"/>
  <c r="F2799" i="19"/>
  <c r="G2799" i="19" s="1"/>
  <c r="F2798" i="19"/>
  <c r="G2798" i="19" s="1"/>
  <c r="F2797" i="19"/>
  <c r="G2797" i="19" s="1"/>
  <c r="F2796" i="19"/>
  <c r="G2796" i="19" s="1"/>
  <c r="F2795" i="19"/>
  <c r="G2795" i="19" s="1"/>
  <c r="F2794" i="19"/>
  <c r="G2794" i="19" s="1"/>
  <c r="F2793" i="19"/>
  <c r="G2793" i="19" s="1"/>
  <c r="F2792" i="19"/>
  <c r="G2792" i="19" s="1"/>
  <c r="F2791" i="19"/>
  <c r="G2791" i="19" s="1"/>
  <c r="F2790" i="19"/>
  <c r="G2790" i="19" s="1"/>
  <c r="F2789" i="19"/>
  <c r="G2789" i="19" s="1"/>
  <c r="F2788" i="19"/>
  <c r="G2788" i="19" s="1"/>
  <c r="F2787" i="19"/>
  <c r="G2787" i="19" s="1"/>
  <c r="F2786" i="19"/>
  <c r="G2786" i="19" s="1"/>
  <c r="F2785" i="19"/>
  <c r="G2785" i="19" s="1"/>
  <c r="F2784" i="19"/>
  <c r="G2784" i="19" s="1"/>
  <c r="F2783" i="19"/>
  <c r="G2783" i="19" s="1"/>
  <c r="F2782" i="19"/>
  <c r="G2782" i="19" s="1"/>
  <c r="F2781" i="19"/>
  <c r="G2781" i="19" s="1"/>
  <c r="F2780" i="19"/>
  <c r="G2780" i="19" s="1"/>
  <c r="F2779" i="19"/>
  <c r="G2779" i="19" s="1"/>
  <c r="F2778" i="19"/>
  <c r="G2778" i="19" s="1"/>
  <c r="F2777" i="19"/>
  <c r="G2777" i="19" s="1"/>
  <c r="F2776" i="19"/>
  <c r="G2776" i="19" s="1"/>
  <c r="F2775" i="19"/>
  <c r="G2775" i="19" s="1"/>
  <c r="F2774" i="19"/>
  <c r="G2774" i="19" s="1"/>
  <c r="F2773" i="19"/>
  <c r="G2773" i="19" s="1"/>
  <c r="F2772" i="19"/>
  <c r="G2772" i="19" s="1"/>
  <c r="F2771" i="19"/>
  <c r="G2771" i="19" s="1"/>
  <c r="F2770" i="19"/>
  <c r="G2770" i="19" s="1"/>
  <c r="F2769" i="19"/>
  <c r="G2769" i="19" s="1"/>
  <c r="F2768" i="19"/>
  <c r="G2768" i="19" s="1"/>
  <c r="F2767" i="19"/>
  <c r="G2767" i="19" s="1"/>
  <c r="F2766" i="19"/>
  <c r="G2766" i="19" s="1"/>
  <c r="F2765" i="19"/>
  <c r="G2765" i="19" s="1"/>
  <c r="F2764" i="19"/>
  <c r="G2764" i="19" s="1"/>
  <c r="F2763" i="19"/>
  <c r="G2763" i="19" s="1"/>
  <c r="F2762" i="19"/>
  <c r="G2762" i="19" s="1"/>
  <c r="F2761" i="19"/>
  <c r="G2761" i="19" s="1"/>
  <c r="F2760" i="19"/>
  <c r="G2760" i="19" s="1"/>
  <c r="F2759" i="19"/>
  <c r="G2759" i="19" s="1"/>
  <c r="F2758" i="19"/>
  <c r="G2758" i="19" s="1"/>
  <c r="F2757" i="19"/>
  <c r="G2757" i="19" s="1"/>
  <c r="F2756" i="19"/>
  <c r="G2756" i="19" s="1"/>
  <c r="F2755" i="19"/>
  <c r="G2755" i="19" s="1"/>
  <c r="F2754" i="19"/>
  <c r="G2754" i="19" s="1"/>
  <c r="F2753" i="19"/>
  <c r="G2753" i="19" s="1"/>
  <c r="F2752" i="19"/>
  <c r="G2752" i="19" s="1"/>
  <c r="F2751" i="19"/>
  <c r="G2751" i="19" s="1"/>
  <c r="F2750" i="19"/>
  <c r="G2750" i="19" s="1"/>
  <c r="F2749" i="19"/>
  <c r="G2749" i="19" s="1"/>
  <c r="F2748" i="19"/>
  <c r="G2748" i="19" s="1"/>
  <c r="F2747" i="19"/>
  <c r="G2747" i="19" s="1"/>
  <c r="F2746" i="19"/>
  <c r="G2746" i="19" s="1"/>
  <c r="F2745" i="19"/>
  <c r="G2745" i="19" s="1"/>
  <c r="F2744" i="19"/>
  <c r="G2744" i="19" s="1"/>
  <c r="F2743" i="19"/>
  <c r="G2743" i="19" s="1"/>
  <c r="F2742" i="19"/>
  <c r="G2742" i="19" s="1"/>
  <c r="F2741" i="19"/>
  <c r="G2741" i="19" s="1"/>
  <c r="F2740" i="19"/>
  <c r="G2740" i="19" s="1"/>
  <c r="F2739" i="19"/>
  <c r="G2739" i="19" s="1"/>
  <c r="F2738" i="19"/>
  <c r="G2738" i="19" s="1"/>
  <c r="F2737" i="19"/>
  <c r="G2737" i="19" s="1"/>
  <c r="F2736" i="19"/>
  <c r="G2736" i="19" s="1"/>
  <c r="F2735" i="19"/>
  <c r="G2735" i="19" s="1"/>
  <c r="F2734" i="19"/>
  <c r="G2734" i="19" s="1"/>
  <c r="F2733" i="19"/>
  <c r="G2733" i="19" s="1"/>
  <c r="F2732" i="19"/>
  <c r="G2732" i="19" s="1"/>
  <c r="F2731" i="19"/>
  <c r="G2731" i="19" s="1"/>
  <c r="F2730" i="19"/>
  <c r="G2730" i="19" s="1"/>
  <c r="F2729" i="19"/>
  <c r="G2729" i="19" s="1"/>
  <c r="F2728" i="19"/>
  <c r="G2728" i="19" s="1"/>
  <c r="F2727" i="19"/>
  <c r="G2727" i="19" s="1"/>
  <c r="F2726" i="19"/>
  <c r="G2726" i="19" s="1"/>
  <c r="F2725" i="19"/>
  <c r="G2725" i="19" s="1"/>
  <c r="F2724" i="19"/>
  <c r="G2724" i="19" s="1"/>
  <c r="F2723" i="19"/>
  <c r="G2723" i="19" s="1"/>
  <c r="F2722" i="19"/>
  <c r="G2722" i="19" s="1"/>
  <c r="F2721" i="19"/>
  <c r="G2721" i="19" s="1"/>
  <c r="F2720" i="19"/>
  <c r="G2720" i="19" s="1"/>
  <c r="F2719" i="19"/>
  <c r="G2719" i="19" s="1"/>
  <c r="F2718" i="19"/>
  <c r="G2718" i="19" s="1"/>
  <c r="F2717" i="19"/>
  <c r="G2717" i="19" s="1"/>
  <c r="F2716" i="19"/>
  <c r="G2716" i="19" s="1"/>
  <c r="F2715" i="19"/>
  <c r="G2715" i="19" s="1"/>
  <c r="F2714" i="19"/>
  <c r="G2714" i="19" s="1"/>
  <c r="F2713" i="19"/>
  <c r="G2713" i="19" s="1"/>
  <c r="F2712" i="19"/>
  <c r="G2712" i="19" s="1"/>
  <c r="F2711" i="19"/>
  <c r="G2711" i="19" s="1"/>
  <c r="F2710" i="19"/>
  <c r="G2710" i="19" s="1"/>
  <c r="F2709" i="19"/>
  <c r="G2709" i="19" s="1"/>
  <c r="F2708" i="19"/>
  <c r="G2708" i="19" s="1"/>
  <c r="F2707" i="19"/>
  <c r="G2707" i="19" s="1"/>
  <c r="F2706" i="19"/>
  <c r="G2706" i="19" s="1"/>
  <c r="F2705" i="19"/>
  <c r="G2705" i="19" s="1"/>
  <c r="F2704" i="19"/>
  <c r="G2704" i="19" s="1"/>
  <c r="F2703" i="19"/>
  <c r="G2703" i="19" s="1"/>
  <c r="F2702" i="19"/>
  <c r="G2702" i="19" s="1"/>
  <c r="F2701" i="19"/>
  <c r="G2701" i="19" s="1"/>
  <c r="F2700" i="19"/>
  <c r="G2700" i="19" s="1"/>
  <c r="F2699" i="19"/>
  <c r="G2699" i="19" s="1"/>
  <c r="F2698" i="19"/>
  <c r="G2698" i="19" s="1"/>
  <c r="F2697" i="19"/>
  <c r="G2697" i="19" s="1"/>
  <c r="F2696" i="19"/>
  <c r="G2696" i="19" s="1"/>
  <c r="F2695" i="19"/>
  <c r="G2695" i="19" s="1"/>
  <c r="F2694" i="19"/>
  <c r="G2694" i="19" s="1"/>
  <c r="F2693" i="19"/>
  <c r="G2693" i="19" s="1"/>
  <c r="F2692" i="19"/>
  <c r="G2692" i="19" s="1"/>
  <c r="F2691" i="19"/>
  <c r="G2691" i="19" s="1"/>
  <c r="F2690" i="19"/>
  <c r="G2690" i="19" s="1"/>
  <c r="F2689" i="19"/>
  <c r="G2689" i="19" s="1"/>
  <c r="F2688" i="19"/>
  <c r="G2688" i="19" s="1"/>
  <c r="F2687" i="19"/>
  <c r="G2687" i="19" s="1"/>
  <c r="F2686" i="19"/>
  <c r="G2686" i="19" s="1"/>
  <c r="F2685" i="19"/>
  <c r="G2685" i="19" s="1"/>
  <c r="F2684" i="19"/>
  <c r="G2684" i="19" s="1"/>
  <c r="F2683" i="19"/>
  <c r="G2683" i="19" s="1"/>
  <c r="F2682" i="19"/>
  <c r="G2682" i="19" s="1"/>
  <c r="F2681" i="19"/>
  <c r="G2681" i="19" s="1"/>
  <c r="F2680" i="19"/>
  <c r="G2680" i="19" s="1"/>
  <c r="F2679" i="19"/>
  <c r="G2679" i="19" s="1"/>
  <c r="F2678" i="19"/>
  <c r="G2678" i="19" s="1"/>
  <c r="F2677" i="19"/>
  <c r="G2677" i="19" s="1"/>
  <c r="F2676" i="19"/>
  <c r="G2676" i="19" s="1"/>
  <c r="F2675" i="19"/>
  <c r="G2675" i="19" s="1"/>
  <c r="F2674" i="19"/>
  <c r="G2674" i="19" s="1"/>
  <c r="F2673" i="19"/>
  <c r="G2673" i="19" s="1"/>
  <c r="F2672" i="19"/>
  <c r="G2672" i="19" s="1"/>
  <c r="F2671" i="19"/>
  <c r="G2671" i="19" s="1"/>
  <c r="F2670" i="19"/>
  <c r="G2670" i="19" s="1"/>
  <c r="F2669" i="19"/>
  <c r="G2669" i="19" s="1"/>
  <c r="F2668" i="19"/>
  <c r="G2668" i="19" s="1"/>
  <c r="F2667" i="19"/>
  <c r="G2667" i="19" s="1"/>
  <c r="F2666" i="19"/>
  <c r="G2666" i="19" s="1"/>
  <c r="F2665" i="19"/>
  <c r="G2665" i="19" s="1"/>
  <c r="F2664" i="19"/>
  <c r="G2664" i="19" s="1"/>
  <c r="F2663" i="19"/>
  <c r="G2663" i="19" s="1"/>
  <c r="F2662" i="19"/>
  <c r="G2662" i="19" s="1"/>
  <c r="F2661" i="19"/>
  <c r="G2661" i="19" s="1"/>
  <c r="F2660" i="19"/>
  <c r="G2660" i="19" s="1"/>
  <c r="F2659" i="19"/>
  <c r="G2659" i="19" s="1"/>
  <c r="F2658" i="19"/>
  <c r="G2658" i="19" s="1"/>
  <c r="F2657" i="19"/>
  <c r="G2657" i="19" s="1"/>
  <c r="F2656" i="19"/>
  <c r="G2656" i="19" s="1"/>
  <c r="F2655" i="19"/>
  <c r="G2655" i="19" s="1"/>
  <c r="F2654" i="19"/>
  <c r="G2654" i="19" s="1"/>
  <c r="F2653" i="19"/>
  <c r="G2653" i="19" s="1"/>
  <c r="F2652" i="19"/>
  <c r="G2652" i="19" s="1"/>
  <c r="F2651" i="19"/>
  <c r="G2651" i="19" s="1"/>
  <c r="F2650" i="19"/>
  <c r="G2650" i="19" s="1"/>
  <c r="F2649" i="19"/>
  <c r="G2649" i="19" s="1"/>
  <c r="F2648" i="19"/>
  <c r="G2648" i="19" s="1"/>
  <c r="F2647" i="19"/>
  <c r="G2647" i="19" s="1"/>
  <c r="F2646" i="19"/>
  <c r="G2646" i="19" s="1"/>
  <c r="F2645" i="19"/>
  <c r="G2645" i="19" s="1"/>
  <c r="F2644" i="19"/>
  <c r="G2644" i="19" s="1"/>
  <c r="F2643" i="19"/>
  <c r="G2643" i="19" s="1"/>
  <c r="F2642" i="19"/>
  <c r="G2642" i="19" s="1"/>
  <c r="F2641" i="19"/>
  <c r="G2641" i="19" s="1"/>
  <c r="F2640" i="19"/>
  <c r="G2640" i="19" s="1"/>
  <c r="F2639" i="19"/>
  <c r="G2639" i="19" s="1"/>
  <c r="F2638" i="19"/>
  <c r="G2638" i="19" s="1"/>
  <c r="F2637" i="19"/>
  <c r="G2637" i="19" s="1"/>
  <c r="F2636" i="19"/>
  <c r="G2636" i="19" s="1"/>
  <c r="F2635" i="19"/>
  <c r="G2635" i="19" s="1"/>
  <c r="F2634" i="19"/>
  <c r="G2634" i="19" s="1"/>
  <c r="F2633" i="19"/>
  <c r="G2633" i="19" s="1"/>
  <c r="F2632" i="19"/>
  <c r="G2632" i="19" s="1"/>
  <c r="F2631" i="19"/>
  <c r="G2631" i="19" s="1"/>
  <c r="F2630" i="19"/>
  <c r="G2630" i="19" s="1"/>
  <c r="F2629" i="19"/>
  <c r="G2629" i="19" s="1"/>
  <c r="F2628" i="19"/>
  <c r="G2628" i="19" s="1"/>
  <c r="F2627" i="19"/>
  <c r="G2627" i="19" s="1"/>
  <c r="F2626" i="19"/>
  <c r="G2626" i="19" s="1"/>
  <c r="F2625" i="19"/>
  <c r="G2625" i="19" s="1"/>
  <c r="F2624" i="19"/>
  <c r="G2624" i="19" s="1"/>
  <c r="F2623" i="19"/>
  <c r="G2623" i="19" s="1"/>
  <c r="F2622" i="19"/>
  <c r="G2622" i="19" s="1"/>
  <c r="F2621" i="19"/>
  <c r="G2621" i="19" s="1"/>
  <c r="F2620" i="19"/>
  <c r="G2620" i="19" s="1"/>
  <c r="F2619" i="19"/>
  <c r="G2619" i="19" s="1"/>
  <c r="F2618" i="19"/>
  <c r="G2618" i="19" s="1"/>
  <c r="F2617" i="19"/>
  <c r="G2617" i="19" s="1"/>
  <c r="F2616" i="19"/>
  <c r="G2616" i="19" s="1"/>
  <c r="F2615" i="19"/>
  <c r="G2615" i="19" s="1"/>
  <c r="F2614" i="19"/>
  <c r="G2614" i="19" s="1"/>
  <c r="F2613" i="19"/>
  <c r="G2613" i="19" s="1"/>
  <c r="F2612" i="19"/>
  <c r="G2612" i="19" s="1"/>
  <c r="F2611" i="19"/>
  <c r="G2611" i="19" s="1"/>
  <c r="F2610" i="19"/>
  <c r="G2610" i="19" s="1"/>
  <c r="F2609" i="19"/>
  <c r="G2609" i="19" s="1"/>
  <c r="F2608" i="19"/>
  <c r="G2608" i="19" s="1"/>
  <c r="F2607" i="19"/>
  <c r="G2607" i="19" s="1"/>
  <c r="F2606" i="19"/>
  <c r="G2606" i="19" s="1"/>
  <c r="F2605" i="19"/>
  <c r="G2605" i="19" s="1"/>
  <c r="F2604" i="19"/>
  <c r="G2604" i="19" s="1"/>
  <c r="F2603" i="19"/>
  <c r="G2603" i="19" s="1"/>
  <c r="F2602" i="19"/>
  <c r="G2602" i="19" s="1"/>
  <c r="F2601" i="19"/>
  <c r="G2601" i="19" s="1"/>
  <c r="F2600" i="19"/>
  <c r="G2600" i="19" s="1"/>
  <c r="F2599" i="19"/>
  <c r="G2599" i="19" s="1"/>
  <c r="F2598" i="19"/>
  <c r="G2598" i="19" s="1"/>
  <c r="F2597" i="19"/>
  <c r="G2597" i="19" s="1"/>
  <c r="F2596" i="19"/>
  <c r="G2596" i="19" s="1"/>
  <c r="F2595" i="19"/>
  <c r="G2595" i="19" s="1"/>
  <c r="F2594" i="19"/>
  <c r="G2594" i="19" s="1"/>
  <c r="F2593" i="19"/>
  <c r="G2593" i="19" s="1"/>
  <c r="F2592" i="19"/>
  <c r="G2592" i="19" s="1"/>
  <c r="F2591" i="19"/>
  <c r="G2591" i="19" s="1"/>
  <c r="F2590" i="19"/>
  <c r="G2590" i="19" s="1"/>
  <c r="F2589" i="19"/>
  <c r="G2589" i="19" s="1"/>
  <c r="F2588" i="19"/>
  <c r="G2588" i="19" s="1"/>
  <c r="F2587" i="19"/>
  <c r="G2587" i="19" s="1"/>
  <c r="F2586" i="19"/>
  <c r="G2586" i="19" s="1"/>
  <c r="F2585" i="19"/>
  <c r="G2585" i="19" s="1"/>
  <c r="F2584" i="19"/>
  <c r="G2584" i="19" s="1"/>
  <c r="F2583" i="19"/>
  <c r="G2583" i="19" s="1"/>
  <c r="F2582" i="19"/>
  <c r="G2582" i="19" s="1"/>
  <c r="F2581" i="19"/>
  <c r="G2581" i="19" s="1"/>
  <c r="F2580" i="19"/>
  <c r="G2580" i="19" s="1"/>
  <c r="F2579" i="19"/>
  <c r="G2579" i="19" s="1"/>
  <c r="F2578" i="19"/>
  <c r="G2578" i="19" s="1"/>
  <c r="F2577" i="19"/>
  <c r="G2577" i="19" s="1"/>
  <c r="F2576" i="19"/>
  <c r="G2576" i="19" s="1"/>
  <c r="F2575" i="19"/>
  <c r="G2575" i="19" s="1"/>
  <c r="F2574" i="19"/>
  <c r="G2574" i="19" s="1"/>
  <c r="F2573" i="19"/>
  <c r="G2573" i="19" s="1"/>
  <c r="F2572" i="19"/>
  <c r="G2572" i="19" s="1"/>
  <c r="F2571" i="19"/>
  <c r="G2571" i="19" s="1"/>
  <c r="F2570" i="19"/>
  <c r="G2570" i="19" s="1"/>
  <c r="F2569" i="19"/>
  <c r="G2569" i="19" s="1"/>
  <c r="F2568" i="19"/>
  <c r="G2568" i="19" s="1"/>
  <c r="F2567" i="19"/>
  <c r="G2567" i="19" s="1"/>
  <c r="F2566" i="19"/>
  <c r="G2566" i="19" s="1"/>
  <c r="F2565" i="19"/>
  <c r="G2565" i="19" s="1"/>
  <c r="F2564" i="19"/>
  <c r="G2564" i="19" s="1"/>
  <c r="F2563" i="19"/>
  <c r="G2563" i="19" s="1"/>
  <c r="F2562" i="19"/>
  <c r="G2562" i="19" s="1"/>
  <c r="F2561" i="19"/>
  <c r="G2561" i="19" s="1"/>
  <c r="F2560" i="19"/>
  <c r="G2560" i="19" s="1"/>
  <c r="F2559" i="19"/>
  <c r="G2559" i="19" s="1"/>
  <c r="F2558" i="19"/>
  <c r="G2558" i="19" s="1"/>
  <c r="F2557" i="19"/>
  <c r="G2557" i="19" s="1"/>
  <c r="F2556" i="19"/>
  <c r="G2556" i="19" s="1"/>
  <c r="F2555" i="19"/>
  <c r="G2555" i="19" s="1"/>
  <c r="F2554" i="19"/>
  <c r="G2554" i="19" s="1"/>
  <c r="F2553" i="19"/>
  <c r="G2553" i="19" s="1"/>
  <c r="F2552" i="19"/>
  <c r="G2552" i="19" s="1"/>
  <c r="F2551" i="19"/>
  <c r="G2551" i="19" s="1"/>
  <c r="F2550" i="19"/>
  <c r="G2550" i="19" s="1"/>
  <c r="F2549" i="19"/>
  <c r="G2549" i="19" s="1"/>
  <c r="F2548" i="19"/>
  <c r="G2548" i="19" s="1"/>
  <c r="F2547" i="19"/>
  <c r="G2547" i="19" s="1"/>
  <c r="F2546" i="19"/>
  <c r="G2546" i="19" s="1"/>
  <c r="F2545" i="19"/>
  <c r="G2545" i="19" s="1"/>
  <c r="F2544" i="19"/>
  <c r="G2544" i="19" s="1"/>
  <c r="F2543" i="19"/>
  <c r="G2543" i="19" s="1"/>
  <c r="F2542" i="19"/>
  <c r="G2542" i="19" s="1"/>
  <c r="F2541" i="19"/>
  <c r="G2541" i="19" s="1"/>
  <c r="F2540" i="19"/>
  <c r="G2540" i="19" s="1"/>
  <c r="F2539" i="19"/>
  <c r="G2539" i="19" s="1"/>
  <c r="F2538" i="19"/>
  <c r="G2538" i="19" s="1"/>
  <c r="F2537" i="19"/>
  <c r="G2537" i="19" s="1"/>
  <c r="F2536" i="19"/>
  <c r="G2536" i="19" s="1"/>
  <c r="F2535" i="19"/>
  <c r="G2535" i="19" s="1"/>
  <c r="F2534" i="19"/>
  <c r="G2534" i="19" s="1"/>
  <c r="F2533" i="19"/>
  <c r="G2533" i="19" s="1"/>
  <c r="F2532" i="19"/>
  <c r="G2532" i="19" s="1"/>
  <c r="F2531" i="19"/>
  <c r="G2531" i="19" s="1"/>
  <c r="F2530" i="19"/>
  <c r="G2530" i="19" s="1"/>
  <c r="F2529" i="19"/>
  <c r="G2529" i="19" s="1"/>
  <c r="F2528" i="19"/>
  <c r="G2528" i="19" s="1"/>
  <c r="F2527" i="19"/>
  <c r="G2527" i="19" s="1"/>
  <c r="F2526" i="19"/>
  <c r="G2526" i="19" s="1"/>
  <c r="F2525" i="19"/>
  <c r="G2525" i="19" s="1"/>
  <c r="F2524" i="19"/>
  <c r="G2524" i="19" s="1"/>
  <c r="F2523" i="19"/>
  <c r="G2523" i="19" s="1"/>
  <c r="F2522" i="19"/>
  <c r="G2522" i="19" s="1"/>
  <c r="F2521" i="19"/>
  <c r="G2521" i="19" s="1"/>
  <c r="F2520" i="19"/>
  <c r="G2520" i="19" s="1"/>
  <c r="F2519" i="19"/>
  <c r="G2519" i="19" s="1"/>
  <c r="F2518" i="19"/>
  <c r="G2518" i="19" s="1"/>
  <c r="F2517" i="19"/>
  <c r="G2517" i="19" s="1"/>
  <c r="F2516" i="19"/>
  <c r="G2516" i="19" s="1"/>
  <c r="F2515" i="19"/>
  <c r="G2515" i="19" s="1"/>
  <c r="F2514" i="19"/>
  <c r="G2514" i="19" s="1"/>
  <c r="F2513" i="19"/>
  <c r="G2513" i="19" s="1"/>
  <c r="F2512" i="19"/>
  <c r="G2512" i="19" s="1"/>
  <c r="F2511" i="19"/>
  <c r="G2511" i="19" s="1"/>
  <c r="F2510" i="19"/>
  <c r="G2510" i="19" s="1"/>
  <c r="F2509" i="19"/>
  <c r="G2509" i="19" s="1"/>
  <c r="F2508" i="19"/>
  <c r="G2508" i="19" s="1"/>
  <c r="F2507" i="19"/>
  <c r="G2507" i="19" s="1"/>
  <c r="F2506" i="19"/>
  <c r="G2506" i="19" s="1"/>
  <c r="F2505" i="19"/>
  <c r="G2505" i="19" s="1"/>
  <c r="F2504" i="19"/>
  <c r="G2504" i="19" s="1"/>
  <c r="F2503" i="19"/>
  <c r="G2503" i="19" s="1"/>
  <c r="F2502" i="19"/>
  <c r="G2502" i="19" s="1"/>
  <c r="F2501" i="19"/>
  <c r="G2501" i="19" s="1"/>
  <c r="F2500" i="19"/>
  <c r="G2500" i="19" s="1"/>
  <c r="F2499" i="19"/>
  <c r="G2499" i="19" s="1"/>
  <c r="F2498" i="19"/>
  <c r="G2498" i="19" s="1"/>
  <c r="F2497" i="19"/>
  <c r="G2497" i="19" s="1"/>
  <c r="F2496" i="19"/>
  <c r="G2496" i="19" s="1"/>
  <c r="F2495" i="19"/>
  <c r="G2495" i="19" s="1"/>
  <c r="F2494" i="19"/>
  <c r="G2494" i="19" s="1"/>
  <c r="F2493" i="19"/>
  <c r="G2493" i="19" s="1"/>
  <c r="F2492" i="19"/>
  <c r="G2492" i="19" s="1"/>
  <c r="F2491" i="19"/>
  <c r="G2491" i="19" s="1"/>
  <c r="F2490" i="19"/>
  <c r="G2490" i="19" s="1"/>
  <c r="F2489" i="19"/>
  <c r="G2489" i="19" s="1"/>
  <c r="F2488" i="19"/>
  <c r="G2488" i="19" s="1"/>
  <c r="F2487" i="19"/>
  <c r="G2487" i="19" s="1"/>
  <c r="F2486" i="19"/>
  <c r="G2486" i="19" s="1"/>
  <c r="F2485" i="19"/>
  <c r="G2485" i="19" s="1"/>
  <c r="F2484" i="19"/>
  <c r="G2484" i="19" s="1"/>
  <c r="F2483" i="19"/>
  <c r="G2483" i="19" s="1"/>
  <c r="F2482" i="19"/>
  <c r="G2482" i="19" s="1"/>
  <c r="F2481" i="19"/>
  <c r="G2481" i="19" s="1"/>
  <c r="F2480" i="19"/>
  <c r="G2480" i="19" s="1"/>
  <c r="F2479" i="19"/>
  <c r="G2479" i="19" s="1"/>
  <c r="F2478" i="19"/>
  <c r="G2478" i="19" s="1"/>
  <c r="F2477" i="19"/>
  <c r="G2477" i="19" s="1"/>
  <c r="F2476" i="19"/>
  <c r="G2476" i="19" s="1"/>
  <c r="F2475" i="19"/>
  <c r="G2475" i="19" s="1"/>
  <c r="F2474" i="19"/>
  <c r="G2474" i="19" s="1"/>
  <c r="F2473" i="19"/>
  <c r="G2473" i="19" s="1"/>
  <c r="F2472" i="19"/>
  <c r="G2472" i="19" s="1"/>
  <c r="F2471" i="19"/>
  <c r="G2471" i="19" s="1"/>
  <c r="F2470" i="19"/>
  <c r="G2470" i="19" s="1"/>
  <c r="F2469" i="19"/>
  <c r="G2469" i="19" s="1"/>
  <c r="F2468" i="19"/>
  <c r="G2468" i="19" s="1"/>
  <c r="F2467" i="19"/>
  <c r="G2467" i="19" s="1"/>
  <c r="F2466" i="19"/>
  <c r="G2466" i="19" s="1"/>
  <c r="F2465" i="19"/>
  <c r="G2465" i="19" s="1"/>
  <c r="F2464" i="19"/>
  <c r="G2464" i="19" s="1"/>
  <c r="F2463" i="19"/>
  <c r="G2463" i="19" s="1"/>
  <c r="F2462" i="19"/>
  <c r="G2462" i="19" s="1"/>
  <c r="F2461" i="19"/>
  <c r="G2461" i="19" s="1"/>
  <c r="F2460" i="19"/>
  <c r="G2460" i="19" s="1"/>
  <c r="F2459" i="19"/>
  <c r="G2459" i="19" s="1"/>
  <c r="F2458" i="19"/>
  <c r="G2458" i="19" s="1"/>
  <c r="F2457" i="19"/>
  <c r="G2457" i="19" s="1"/>
  <c r="F2456" i="19"/>
  <c r="G2456" i="19" s="1"/>
  <c r="F2455" i="19"/>
  <c r="G2455" i="19" s="1"/>
  <c r="F2454" i="19"/>
  <c r="G2454" i="19" s="1"/>
  <c r="F2453" i="19"/>
  <c r="G2453" i="19" s="1"/>
  <c r="F2452" i="19"/>
  <c r="G2452" i="19" s="1"/>
  <c r="F2451" i="19"/>
  <c r="G2451" i="19" s="1"/>
  <c r="F2450" i="19"/>
  <c r="G2450" i="19" s="1"/>
  <c r="F2449" i="19"/>
  <c r="G2449" i="19" s="1"/>
  <c r="F2448" i="19"/>
  <c r="G2448" i="19" s="1"/>
  <c r="F2447" i="19"/>
  <c r="G2447" i="19" s="1"/>
  <c r="F2446" i="19"/>
  <c r="G2446" i="19" s="1"/>
  <c r="F2445" i="19"/>
  <c r="G2445" i="19" s="1"/>
  <c r="F2444" i="19"/>
  <c r="G2444" i="19" s="1"/>
  <c r="F2443" i="19"/>
  <c r="G2443" i="19" s="1"/>
  <c r="F2442" i="19"/>
  <c r="G2442" i="19" s="1"/>
  <c r="F2441" i="19"/>
  <c r="G2441" i="19" s="1"/>
  <c r="F2440" i="19"/>
  <c r="G2440" i="19" s="1"/>
  <c r="F2439" i="19"/>
  <c r="G2439" i="19" s="1"/>
  <c r="F2438" i="19"/>
  <c r="G2438" i="19" s="1"/>
  <c r="F2437" i="19"/>
  <c r="G2437" i="19" s="1"/>
  <c r="F2436" i="19"/>
  <c r="G2436" i="19" s="1"/>
  <c r="F2435" i="19"/>
  <c r="G2435" i="19" s="1"/>
  <c r="F2434" i="19"/>
  <c r="G2434" i="19" s="1"/>
  <c r="F2433" i="19"/>
  <c r="G2433" i="19" s="1"/>
  <c r="F2432" i="19"/>
  <c r="G2432" i="19" s="1"/>
  <c r="F2431" i="19"/>
  <c r="G2431" i="19" s="1"/>
  <c r="F2430" i="19"/>
  <c r="G2430" i="19" s="1"/>
  <c r="F2429" i="19"/>
  <c r="G2429" i="19" s="1"/>
  <c r="F2428" i="19"/>
  <c r="G2428" i="19" s="1"/>
  <c r="F2427" i="19"/>
  <c r="G2427" i="19" s="1"/>
  <c r="F2426" i="19"/>
  <c r="G2426" i="19" s="1"/>
  <c r="F2425" i="19"/>
  <c r="G2425" i="19" s="1"/>
  <c r="F2424" i="19"/>
  <c r="G2424" i="19" s="1"/>
  <c r="F2423" i="19"/>
  <c r="G2423" i="19" s="1"/>
  <c r="F2422" i="19"/>
  <c r="G2422" i="19" s="1"/>
  <c r="F2421" i="19"/>
  <c r="G2421" i="19" s="1"/>
  <c r="F2420" i="19"/>
  <c r="G2420" i="19" s="1"/>
  <c r="F2419" i="19"/>
  <c r="G2419" i="19" s="1"/>
  <c r="F2418" i="19"/>
  <c r="G2418" i="19" s="1"/>
  <c r="F2417" i="19"/>
  <c r="G2417" i="19" s="1"/>
  <c r="F2416" i="19"/>
  <c r="G2416" i="19" s="1"/>
  <c r="F2415" i="19"/>
  <c r="G2415" i="19" s="1"/>
  <c r="F2414" i="19"/>
  <c r="G2414" i="19" s="1"/>
  <c r="F2413" i="19"/>
  <c r="G2413" i="19" s="1"/>
  <c r="F2412" i="19"/>
  <c r="G2412" i="19" s="1"/>
  <c r="F2411" i="19"/>
  <c r="G2411" i="19" s="1"/>
  <c r="F2410" i="19"/>
  <c r="G2410" i="19" s="1"/>
  <c r="F2409" i="19"/>
  <c r="G2409" i="19" s="1"/>
  <c r="F2408" i="19"/>
  <c r="G2408" i="19" s="1"/>
  <c r="F2407" i="19"/>
  <c r="G2407" i="19" s="1"/>
  <c r="F2406" i="19"/>
  <c r="G2406" i="19" s="1"/>
  <c r="F2405" i="19"/>
  <c r="G2405" i="19" s="1"/>
  <c r="F2404" i="19"/>
  <c r="G2404" i="19" s="1"/>
  <c r="F2403" i="19"/>
  <c r="G2403" i="19" s="1"/>
  <c r="F2402" i="19"/>
  <c r="G2402" i="19" s="1"/>
  <c r="F2401" i="19"/>
  <c r="G2401" i="19" s="1"/>
  <c r="F2400" i="19"/>
  <c r="G2400" i="19" s="1"/>
  <c r="F2399" i="19"/>
  <c r="G2399" i="19" s="1"/>
  <c r="F2398" i="19"/>
  <c r="G2398" i="19" s="1"/>
  <c r="F2397" i="19"/>
  <c r="G2397" i="19" s="1"/>
  <c r="F2396" i="19"/>
  <c r="G2396" i="19" s="1"/>
  <c r="F2395" i="19"/>
  <c r="G2395" i="19" s="1"/>
  <c r="F2394" i="19"/>
  <c r="G2394" i="19" s="1"/>
  <c r="F2393" i="19"/>
  <c r="G2393" i="19" s="1"/>
  <c r="F2392" i="19"/>
  <c r="G2392" i="19" s="1"/>
  <c r="F2391" i="19"/>
  <c r="G2391" i="19" s="1"/>
  <c r="F2390" i="19"/>
  <c r="G2390" i="19" s="1"/>
  <c r="F2389" i="19"/>
  <c r="G2389" i="19" s="1"/>
  <c r="F2388" i="19"/>
  <c r="G2388" i="19" s="1"/>
  <c r="F2387" i="19"/>
  <c r="G2387" i="19" s="1"/>
  <c r="F2386" i="19"/>
  <c r="G2386" i="19" s="1"/>
  <c r="F2385" i="19"/>
  <c r="G2385" i="19" s="1"/>
  <c r="F2384" i="19"/>
  <c r="G2384" i="19" s="1"/>
  <c r="F2383" i="19"/>
  <c r="G2383" i="19" s="1"/>
  <c r="F2382" i="19"/>
  <c r="G2382" i="19" s="1"/>
  <c r="F2381" i="19"/>
  <c r="G2381" i="19" s="1"/>
  <c r="F2380" i="19"/>
  <c r="G2380" i="19" s="1"/>
  <c r="F2379" i="19"/>
  <c r="G2379" i="19" s="1"/>
  <c r="F2378" i="19"/>
  <c r="G2378" i="19" s="1"/>
  <c r="F2377" i="19"/>
  <c r="G2377" i="19" s="1"/>
  <c r="F2376" i="19"/>
  <c r="G2376" i="19" s="1"/>
  <c r="F2375" i="19"/>
  <c r="G2375" i="19" s="1"/>
  <c r="F2374" i="19"/>
  <c r="G2374" i="19" s="1"/>
  <c r="F2373" i="19"/>
  <c r="G2373" i="19" s="1"/>
  <c r="F2372" i="19"/>
  <c r="G2372" i="19" s="1"/>
  <c r="F2371" i="19"/>
  <c r="G2371" i="19" s="1"/>
  <c r="F2370" i="19"/>
  <c r="G2370" i="19" s="1"/>
  <c r="F2369" i="19"/>
  <c r="G2369" i="19" s="1"/>
  <c r="F2368" i="19"/>
  <c r="G2368" i="19" s="1"/>
  <c r="F2367" i="19"/>
  <c r="G2367" i="19" s="1"/>
  <c r="F2366" i="19"/>
  <c r="G2366" i="19" s="1"/>
  <c r="F2365" i="19"/>
  <c r="G2365" i="19" s="1"/>
  <c r="F2364" i="19"/>
  <c r="G2364" i="19" s="1"/>
  <c r="F2363" i="19"/>
  <c r="G2363" i="19" s="1"/>
  <c r="F2362" i="19"/>
  <c r="G2362" i="19" s="1"/>
  <c r="F2361" i="19"/>
  <c r="G2361" i="19" s="1"/>
  <c r="F2360" i="19"/>
  <c r="G2360" i="19" s="1"/>
  <c r="F2359" i="19"/>
  <c r="G2359" i="19" s="1"/>
  <c r="F2358" i="19"/>
  <c r="G2358" i="19" s="1"/>
  <c r="F2357" i="19"/>
  <c r="G2357" i="19" s="1"/>
  <c r="F2356" i="19"/>
  <c r="G2356" i="19" s="1"/>
  <c r="F2355" i="19"/>
  <c r="G2355" i="19" s="1"/>
  <c r="F2354" i="19"/>
  <c r="G2354" i="19" s="1"/>
  <c r="F2353" i="19"/>
  <c r="G2353" i="19" s="1"/>
  <c r="F2352" i="19"/>
  <c r="G2352" i="19" s="1"/>
  <c r="F2351" i="19"/>
  <c r="G2351" i="19" s="1"/>
  <c r="F2350" i="19"/>
  <c r="G2350" i="19" s="1"/>
  <c r="F2349" i="19"/>
  <c r="G2349" i="19" s="1"/>
  <c r="F2348" i="19"/>
  <c r="G2348" i="19" s="1"/>
  <c r="F2347" i="19"/>
  <c r="G2347" i="19" s="1"/>
  <c r="F2346" i="19"/>
  <c r="G2346" i="19" s="1"/>
  <c r="F2345" i="19"/>
  <c r="G2345" i="19" s="1"/>
  <c r="F2344" i="19"/>
  <c r="G2344" i="19" s="1"/>
  <c r="F2343" i="19"/>
  <c r="G2343" i="19" s="1"/>
  <c r="F2342" i="19"/>
  <c r="G2342" i="19" s="1"/>
  <c r="F2341" i="19"/>
  <c r="G2341" i="19" s="1"/>
  <c r="F2340" i="19"/>
  <c r="G2340" i="19" s="1"/>
  <c r="F2339" i="19"/>
  <c r="G2339" i="19" s="1"/>
  <c r="F2338" i="19"/>
  <c r="G2338" i="19" s="1"/>
  <c r="F2337" i="19"/>
  <c r="G2337" i="19" s="1"/>
  <c r="F2336" i="19"/>
  <c r="G2336" i="19" s="1"/>
  <c r="F2335" i="19"/>
  <c r="G2335" i="19" s="1"/>
  <c r="F2334" i="19"/>
  <c r="G2334" i="19" s="1"/>
  <c r="F2333" i="19"/>
  <c r="G2333" i="19" s="1"/>
  <c r="F2332" i="19"/>
  <c r="G2332" i="19" s="1"/>
  <c r="F2331" i="19"/>
  <c r="G2331" i="19" s="1"/>
  <c r="F2330" i="19"/>
  <c r="G2330" i="19" s="1"/>
  <c r="F2329" i="19"/>
  <c r="G2329" i="19" s="1"/>
  <c r="F2328" i="19"/>
  <c r="G2328" i="19" s="1"/>
  <c r="F2327" i="19"/>
  <c r="G2327" i="19" s="1"/>
  <c r="F2326" i="19"/>
  <c r="G2326" i="19" s="1"/>
  <c r="F2325" i="19"/>
  <c r="G2325" i="19" s="1"/>
  <c r="F2324" i="19"/>
  <c r="G2324" i="19" s="1"/>
  <c r="F2323" i="19"/>
  <c r="G2323" i="19" s="1"/>
  <c r="F2322" i="19"/>
  <c r="G2322" i="19" s="1"/>
  <c r="F2321" i="19"/>
  <c r="G2321" i="19" s="1"/>
  <c r="F2320" i="19"/>
  <c r="G2320" i="19" s="1"/>
  <c r="F2319" i="19"/>
  <c r="G2319" i="19" s="1"/>
  <c r="F2318" i="19"/>
  <c r="G2318" i="19" s="1"/>
  <c r="F2317" i="19"/>
  <c r="G2317" i="19" s="1"/>
  <c r="F2316" i="19"/>
  <c r="G2316" i="19" s="1"/>
  <c r="F2315" i="19"/>
  <c r="G2315" i="19" s="1"/>
  <c r="F2314" i="19"/>
  <c r="G2314" i="19" s="1"/>
  <c r="F2313" i="19"/>
  <c r="G2313" i="19" s="1"/>
  <c r="F2312" i="19"/>
  <c r="G2312" i="19" s="1"/>
  <c r="F2311" i="19"/>
  <c r="G2311" i="19" s="1"/>
  <c r="F2310" i="19"/>
  <c r="G2310" i="19" s="1"/>
  <c r="F2309" i="19"/>
  <c r="G2309" i="19" s="1"/>
  <c r="F2308" i="19"/>
  <c r="G2308" i="19" s="1"/>
  <c r="F2307" i="19"/>
  <c r="G2307" i="19" s="1"/>
  <c r="F2306" i="19"/>
  <c r="G2306" i="19" s="1"/>
  <c r="F2305" i="19"/>
  <c r="G2305" i="19" s="1"/>
  <c r="F2304" i="19"/>
  <c r="G2304" i="19" s="1"/>
  <c r="F2303" i="19"/>
  <c r="G2303" i="19" s="1"/>
  <c r="F2302" i="19"/>
  <c r="G2302" i="19" s="1"/>
  <c r="F2301" i="19"/>
  <c r="G2301" i="19" s="1"/>
  <c r="F2300" i="19"/>
  <c r="G2300" i="19" s="1"/>
  <c r="F2299" i="19"/>
  <c r="G2299" i="19" s="1"/>
  <c r="F2298" i="19"/>
  <c r="G2298" i="19" s="1"/>
  <c r="F2297" i="19"/>
  <c r="G2297" i="19" s="1"/>
  <c r="F2296" i="19"/>
  <c r="G2296" i="19" s="1"/>
  <c r="F2295" i="19"/>
  <c r="G2295" i="19" s="1"/>
  <c r="F2294" i="19"/>
  <c r="G2294" i="19" s="1"/>
  <c r="F2293" i="19"/>
  <c r="G2293" i="19" s="1"/>
  <c r="F2292" i="19"/>
  <c r="G2292" i="19" s="1"/>
  <c r="F2291" i="19"/>
  <c r="G2291" i="19" s="1"/>
  <c r="F2290" i="19"/>
  <c r="G2290" i="19" s="1"/>
  <c r="F2289" i="19"/>
  <c r="G2289" i="19" s="1"/>
  <c r="F2288" i="19"/>
  <c r="G2288" i="19" s="1"/>
  <c r="F2287" i="19"/>
  <c r="G2287" i="19" s="1"/>
  <c r="F2286" i="19"/>
  <c r="G2286" i="19" s="1"/>
  <c r="F2285" i="19"/>
  <c r="G2285" i="19" s="1"/>
  <c r="F2284" i="19"/>
  <c r="G2284" i="19" s="1"/>
  <c r="F2283" i="19"/>
  <c r="G2283" i="19" s="1"/>
  <c r="F2282" i="19"/>
  <c r="G2282" i="19" s="1"/>
  <c r="F2281" i="19"/>
  <c r="G2281" i="19" s="1"/>
  <c r="F2280" i="19"/>
  <c r="G2280" i="19" s="1"/>
  <c r="F2279" i="19"/>
  <c r="G2279" i="19" s="1"/>
  <c r="F2278" i="19"/>
  <c r="G2278" i="19" s="1"/>
  <c r="F2277" i="19"/>
  <c r="G2277" i="19" s="1"/>
  <c r="F2276" i="19"/>
  <c r="G2276" i="19" s="1"/>
  <c r="F2275" i="19"/>
  <c r="G2275" i="19" s="1"/>
  <c r="F2274" i="19"/>
  <c r="G2274" i="19" s="1"/>
  <c r="F2273" i="19"/>
  <c r="G2273" i="19" s="1"/>
  <c r="F2272" i="19"/>
  <c r="G2272" i="19" s="1"/>
  <c r="F2271" i="19"/>
  <c r="G2271" i="19" s="1"/>
  <c r="F2270" i="19"/>
  <c r="G2270" i="19" s="1"/>
  <c r="F2269" i="19"/>
  <c r="G2269" i="19" s="1"/>
  <c r="F2268" i="19"/>
  <c r="G2268" i="19" s="1"/>
  <c r="F2267" i="19"/>
  <c r="G2267" i="19" s="1"/>
  <c r="F2266" i="19"/>
  <c r="G2266" i="19" s="1"/>
  <c r="F2265" i="19"/>
  <c r="G2265" i="19" s="1"/>
  <c r="F2264" i="19"/>
  <c r="G2264" i="19" s="1"/>
  <c r="F2263" i="19"/>
  <c r="G2263" i="19" s="1"/>
  <c r="F2262" i="19"/>
  <c r="G2262" i="19" s="1"/>
  <c r="F2261" i="19"/>
  <c r="G2261" i="19" s="1"/>
  <c r="F2260" i="19"/>
  <c r="G2260" i="19" s="1"/>
  <c r="F2259" i="19"/>
  <c r="G2259" i="19" s="1"/>
  <c r="F2258" i="19"/>
  <c r="G2258" i="19" s="1"/>
  <c r="F2257" i="19"/>
  <c r="G2257" i="19" s="1"/>
  <c r="F2256" i="19"/>
  <c r="G2256" i="19" s="1"/>
  <c r="F2255" i="19"/>
  <c r="G2255" i="19" s="1"/>
  <c r="F2254" i="19"/>
  <c r="G2254" i="19" s="1"/>
  <c r="F2253" i="19"/>
  <c r="G2253" i="19" s="1"/>
  <c r="F2252" i="19"/>
  <c r="G2252" i="19" s="1"/>
  <c r="F2251" i="19"/>
  <c r="G2251" i="19" s="1"/>
  <c r="F2250" i="19"/>
  <c r="G2250" i="19" s="1"/>
  <c r="F2249" i="19"/>
  <c r="G2249" i="19" s="1"/>
  <c r="F2248" i="19"/>
  <c r="G2248" i="19" s="1"/>
  <c r="F2247" i="19"/>
  <c r="G2247" i="19" s="1"/>
  <c r="F2246" i="19"/>
  <c r="G2246" i="19" s="1"/>
  <c r="F2245" i="19"/>
  <c r="G2245" i="19" s="1"/>
  <c r="F2244" i="19"/>
  <c r="G2244" i="19" s="1"/>
  <c r="F2243" i="19"/>
  <c r="G2243" i="19" s="1"/>
  <c r="F2242" i="19"/>
  <c r="G2242" i="19" s="1"/>
  <c r="F2241" i="19"/>
  <c r="G2241" i="19" s="1"/>
  <c r="F2240" i="19"/>
  <c r="G2240" i="19" s="1"/>
  <c r="F2239" i="19"/>
  <c r="G2239" i="19" s="1"/>
  <c r="F2238" i="19"/>
  <c r="G2238" i="19" s="1"/>
  <c r="F2237" i="19"/>
  <c r="G2237" i="19" s="1"/>
  <c r="F2236" i="19"/>
  <c r="G2236" i="19" s="1"/>
  <c r="F2235" i="19"/>
  <c r="G2235" i="19" s="1"/>
  <c r="F2234" i="19"/>
  <c r="G2234" i="19" s="1"/>
  <c r="F2233" i="19"/>
  <c r="G2233" i="19" s="1"/>
  <c r="F2232" i="19"/>
  <c r="G2232" i="19" s="1"/>
  <c r="F2231" i="19"/>
  <c r="G2231" i="19" s="1"/>
  <c r="F2230" i="19"/>
  <c r="G2230" i="19" s="1"/>
  <c r="F2229" i="19"/>
  <c r="G2229" i="19" s="1"/>
  <c r="F2228" i="19"/>
  <c r="G2228" i="19" s="1"/>
  <c r="F2227" i="19"/>
  <c r="G2227" i="19" s="1"/>
  <c r="F2226" i="19"/>
  <c r="G2226" i="19" s="1"/>
  <c r="F2225" i="19"/>
  <c r="G2225" i="19" s="1"/>
  <c r="F2224" i="19"/>
  <c r="G2224" i="19" s="1"/>
  <c r="F2223" i="19"/>
  <c r="G2223" i="19" s="1"/>
  <c r="F2222" i="19"/>
  <c r="G2222" i="19" s="1"/>
  <c r="F2221" i="19"/>
  <c r="G2221" i="19" s="1"/>
  <c r="F2220" i="19"/>
  <c r="G2220" i="19" s="1"/>
  <c r="F2219" i="19"/>
  <c r="G2219" i="19" s="1"/>
  <c r="F2218" i="19"/>
  <c r="G2218" i="19" s="1"/>
  <c r="F2217" i="19"/>
  <c r="G2217" i="19" s="1"/>
  <c r="F2216" i="19"/>
  <c r="G2216" i="19" s="1"/>
  <c r="F2215" i="19"/>
  <c r="G2215" i="19" s="1"/>
  <c r="F2214" i="19"/>
  <c r="G2214" i="19" s="1"/>
  <c r="F2213" i="19"/>
  <c r="G2213" i="19" s="1"/>
  <c r="F2212" i="19"/>
  <c r="G2212" i="19" s="1"/>
  <c r="F2211" i="19"/>
  <c r="G2211" i="19" s="1"/>
  <c r="F2210" i="19"/>
  <c r="G2210" i="19" s="1"/>
  <c r="F2209" i="19"/>
  <c r="G2209" i="19" s="1"/>
  <c r="F2208" i="19"/>
  <c r="G2208" i="19" s="1"/>
  <c r="F2207" i="19"/>
  <c r="G2207" i="19" s="1"/>
  <c r="F2206" i="19"/>
  <c r="G2206" i="19" s="1"/>
  <c r="F2205" i="19"/>
  <c r="G2205" i="19" s="1"/>
  <c r="F2204" i="19"/>
  <c r="G2204" i="19" s="1"/>
  <c r="F2203" i="19"/>
  <c r="G2203" i="19" s="1"/>
  <c r="F2202" i="19"/>
  <c r="G2202" i="19" s="1"/>
  <c r="F2201" i="19"/>
  <c r="G2201" i="19" s="1"/>
  <c r="F2200" i="19"/>
  <c r="G2200" i="19" s="1"/>
  <c r="F2199" i="19"/>
  <c r="G2199" i="19" s="1"/>
  <c r="F2198" i="19"/>
  <c r="G2198" i="19" s="1"/>
  <c r="F2197" i="19"/>
  <c r="G2197" i="19" s="1"/>
  <c r="F2196" i="19"/>
  <c r="G2196" i="19" s="1"/>
  <c r="F2195" i="19"/>
  <c r="G2195" i="19" s="1"/>
  <c r="F2194" i="19"/>
  <c r="G2194" i="19" s="1"/>
  <c r="F2193" i="19"/>
  <c r="G2193" i="19" s="1"/>
  <c r="F2192" i="19"/>
  <c r="G2192" i="19" s="1"/>
  <c r="F2191" i="19"/>
  <c r="G2191" i="19" s="1"/>
  <c r="F2190" i="19"/>
  <c r="G2190" i="19" s="1"/>
  <c r="F2189" i="19"/>
  <c r="G2189" i="19" s="1"/>
  <c r="F2188" i="19"/>
  <c r="G2188" i="19" s="1"/>
  <c r="F2187" i="19"/>
  <c r="G2187" i="19" s="1"/>
  <c r="F2186" i="19"/>
  <c r="G2186" i="19" s="1"/>
  <c r="F2185" i="19"/>
  <c r="G2185" i="19" s="1"/>
  <c r="F2184" i="19"/>
  <c r="G2184" i="19" s="1"/>
  <c r="F2183" i="19"/>
  <c r="G2183" i="19" s="1"/>
  <c r="F2182" i="19"/>
  <c r="G2182" i="19" s="1"/>
  <c r="F2181" i="19"/>
  <c r="G2181" i="19" s="1"/>
  <c r="F2180" i="19"/>
  <c r="G2180" i="19" s="1"/>
  <c r="F2179" i="19"/>
  <c r="G2179" i="19" s="1"/>
  <c r="F2178" i="19"/>
  <c r="G2178" i="19" s="1"/>
  <c r="F2177" i="19"/>
  <c r="G2177" i="19" s="1"/>
  <c r="F2176" i="19"/>
  <c r="G2176" i="19" s="1"/>
  <c r="F2175" i="19"/>
  <c r="G2175" i="19" s="1"/>
  <c r="F2174" i="19"/>
  <c r="G2174" i="19" s="1"/>
  <c r="F2173" i="19"/>
  <c r="G2173" i="19" s="1"/>
  <c r="F2172" i="19"/>
  <c r="G2172" i="19" s="1"/>
  <c r="F2171" i="19"/>
  <c r="G2171" i="19" s="1"/>
  <c r="F2170" i="19"/>
  <c r="G2170" i="19" s="1"/>
  <c r="F2169" i="19"/>
  <c r="G2169" i="19" s="1"/>
  <c r="F2168" i="19"/>
  <c r="G2168" i="19" s="1"/>
  <c r="F2167" i="19"/>
  <c r="G2167" i="19" s="1"/>
  <c r="F2166" i="19"/>
  <c r="G2166" i="19" s="1"/>
  <c r="F2165" i="19"/>
  <c r="G2165" i="19" s="1"/>
  <c r="F2164" i="19"/>
  <c r="G2164" i="19" s="1"/>
  <c r="F2163" i="19"/>
  <c r="G2163" i="19" s="1"/>
  <c r="F2162" i="19"/>
  <c r="G2162" i="19" s="1"/>
  <c r="F2161" i="19"/>
  <c r="G2161" i="19" s="1"/>
  <c r="F2160" i="19"/>
  <c r="G2160" i="19" s="1"/>
  <c r="F2159" i="19"/>
  <c r="G2159" i="19" s="1"/>
  <c r="F2158" i="19"/>
  <c r="G2158" i="19" s="1"/>
  <c r="F2157" i="19"/>
  <c r="G2157" i="19" s="1"/>
  <c r="F2156" i="19"/>
  <c r="G2156" i="19" s="1"/>
  <c r="F2155" i="19"/>
  <c r="G2155" i="19" s="1"/>
  <c r="F2154" i="19"/>
  <c r="G2154" i="19" s="1"/>
  <c r="F2153" i="19"/>
  <c r="G2153" i="19" s="1"/>
  <c r="F2152" i="19"/>
  <c r="G2152" i="19" s="1"/>
  <c r="F2151" i="19"/>
  <c r="G2151" i="19" s="1"/>
  <c r="F2150" i="19"/>
  <c r="G2150" i="19" s="1"/>
  <c r="F2149" i="19"/>
  <c r="G2149" i="19" s="1"/>
  <c r="F2148" i="19"/>
  <c r="G2148" i="19" s="1"/>
  <c r="F2147" i="19"/>
  <c r="G2147" i="19" s="1"/>
  <c r="F2146" i="19"/>
  <c r="G2146" i="19" s="1"/>
  <c r="F2145" i="19"/>
  <c r="G2145" i="19" s="1"/>
  <c r="F2144" i="19"/>
  <c r="G2144" i="19" s="1"/>
  <c r="F2143" i="19"/>
  <c r="G2143" i="19" s="1"/>
  <c r="F2142" i="19"/>
  <c r="G2142" i="19" s="1"/>
  <c r="F2141" i="19"/>
  <c r="G2141" i="19" s="1"/>
  <c r="F2140" i="19"/>
  <c r="G2140" i="19" s="1"/>
  <c r="F2139" i="19"/>
  <c r="G2139" i="19" s="1"/>
  <c r="F2138" i="19"/>
  <c r="G2138" i="19" s="1"/>
  <c r="F2137" i="19"/>
  <c r="G2137" i="19" s="1"/>
  <c r="F2136" i="19"/>
  <c r="G2136" i="19" s="1"/>
  <c r="F2135" i="19"/>
  <c r="G2135" i="19" s="1"/>
  <c r="F2134" i="19"/>
  <c r="G2134" i="19" s="1"/>
  <c r="F2133" i="19"/>
  <c r="G2133" i="19" s="1"/>
  <c r="F2132" i="19"/>
  <c r="G2132" i="19" s="1"/>
  <c r="F2131" i="19"/>
  <c r="G2131" i="19" s="1"/>
  <c r="F2130" i="19"/>
  <c r="G2130" i="19" s="1"/>
  <c r="F2129" i="19"/>
  <c r="G2129" i="19" s="1"/>
  <c r="F2128" i="19"/>
  <c r="G2128" i="19" s="1"/>
  <c r="F2127" i="19"/>
  <c r="G2127" i="19" s="1"/>
  <c r="F2126" i="19"/>
  <c r="G2126" i="19" s="1"/>
  <c r="F2125" i="19"/>
  <c r="G2125" i="19" s="1"/>
  <c r="F2124" i="19"/>
  <c r="G2124" i="19" s="1"/>
  <c r="F2123" i="19"/>
  <c r="G2123" i="19" s="1"/>
  <c r="F2122" i="19"/>
  <c r="G2122" i="19" s="1"/>
  <c r="F2121" i="19"/>
  <c r="G2121" i="19" s="1"/>
  <c r="F2120" i="19"/>
  <c r="G2120" i="19" s="1"/>
  <c r="F2119" i="19"/>
  <c r="G2119" i="19" s="1"/>
  <c r="F2118" i="19"/>
  <c r="G2118" i="19" s="1"/>
  <c r="F2117" i="19"/>
  <c r="G2117" i="19" s="1"/>
  <c r="F2116" i="19"/>
  <c r="G2116" i="19" s="1"/>
  <c r="F2115" i="19"/>
  <c r="G2115" i="19" s="1"/>
  <c r="F2114" i="19"/>
  <c r="G2114" i="19" s="1"/>
  <c r="F2113" i="19"/>
  <c r="G2113" i="19" s="1"/>
  <c r="F2112" i="19"/>
  <c r="G2112" i="19" s="1"/>
  <c r="F2111" i="19"/>
  <c r="G2111" i="19" s="1"/>
  <c r="F2110" i="19"/>
  <c r="G2110" i="19" s="1"/>
  <c r="F2109" i="19"/>
  <c r="G2109" i="19" s="1"/>
  <c r="F2108" i="19"/>
  <c r="G2108" i="19" s="1"/>
  <c r="F2107" i="19"/>
  <c r="G2107" i="19" s="1"/>
  <c r="F2106" i="19"/>
  <c r="G2106" i="19" s="1"/>
  <c r="F2105" i="19"/>
  <c r="G2105" i="19" s="1"/>
  <c r="F2104" i="19"/>
  <c r="G2104" i="19" s="1"/>
  <c r="F2103" i="19"/>
  <c r="G2103" i="19" s="1"/>
  <c r="F2102" i="19"/>
  <c r="G2102" i="19" s="1"/>
  <c r="F2101" i="19"/>
  <c r="G2101" i="19" s="1"/>
  <c r="F2100" i="19"/>
  <c r="G2100" i="19" s="1"/>
  <c r="F2099" i="19"/>
  <c r="G2099" i="19" s="1"/>
  <c r="F2098" i="19"/>
  <c r="G2098" i="19" s="1"/>
  <c r="F2097" i="19"/>
  <c r="G2097" i="19" s="1"/>
  <c r="F2096" i="19"/>
  <c r="G2096" i="19" s="1"/>
  <c r="F2095" i="19"/>
  <c r="G2095" i="19" s="1"/>
  <c r="F2094" i="19"/>
  <c r="G2094" i="19" s="1"/>
  <c r="F2093" i="19"/>
  <c r="G2093" i="19" s="1"/>
  <c r="F2092" i="19"/>
  <c r="G2092" i="19" s="1"/>
  <c r="F2091" i="19"/>
  <c r="G2091" i="19" s="1"/>
  <c r="F2090" i="19"/>
  <c r="G2090" i="19" s="1"/>
  <c r="F2089" i="19"/>
  <c r="G2089" i="19" s="1"/>
  <c r="F2088" i="19"/>
  <c r="G2088" i="19" s="1"/>
  <c r="F2087" i="19"/>
  <c r="G2087" i="19" s="1"/>
  <c r="F2086" i="19"/>
  <c r="G2086" i="19" s="1"/>
  <c r="F2085" i="19"/>
  <c r="G2085" i="19" s="1"/>
  <c r="F2084" i="19"/>
  <c r="G2084" i="19" s="1"/>
  <c r="F2083" i="19"/>
  <c r="G2083" i="19" s="1"/>
  <c r="F2082" i="19"/>
  <c r="G2082" i="19" s="1"/>
  <c r="F2081" i="19"/>
  <c r="G2081" i="19" s="1"/>
  <c r="F2080" i="19"/>
  <c r="G2080" i="19" s="1"/>
  <c r="F2079" i="19"/>
  <c r="G2079" i="19" s="1"/>
  <c r="F2078" i="19"/>
  <c r="G2078" i="19" s="1"/>
  <c r="F2077" i="19"/>
  <c r="G2077" i="19" s="1"/>
  <c r="F2076" i="19"/>
  <c r="G2076" i="19" s="1"/>
  <c r="F2075" i="19"/>
  <c r="G2075" i="19" s="1"/>
  <c r="F2074" i="19"/>
  <c r="G2074" i="19" s="1"/>
  <c r="F2073" i="19"/>
  <c r="G2073" i="19" s="1"/>
  <c r="F2072" i="19"/>
  <c r="G2072" i="19" s="1"/>
  <c r="F2071" i="19"/>
  <c r="G2071" i="19" s="1"/>
  <c r="F2070" i="19"/>
  <c r="G2070" i="19" s="1"/>
  <c r="F2069" i="19"/>
  <c r="G2069" i="19" s="1"/>
  <c r="F2068" i="19"/>
  <c r="G2068" i="19" s="1"/>
  <c r="F2067" i="19"/>
  <c r="G2067" i="19" s="1"/>
  <c r="F2066" i="19"/>
  <c r="G2066" i="19" s="1"/>
  <c r="F2065" i="19"/>
  <c r="G2065" i="19" s="1"/>
  <c r="F2064" i="19"/>
  <c r="G2064" i="19" s="1"/>
  <c r="F2063" i="19"/>
  <c r="G2063" i="19" s="1"/>
  <c r="F2062" i="19"/>
  <c r="G2062" i="19" s="1"/>
  <c r="F2061" i="19"/>
  <c r="G2061" i="19" s="1"/>
  <c r="F2060" i="19"/>
  <c r="G2060" i="19" s="1"/>
  <c r="F2059" i="19"/>
  <c r="G2059" i="19" s="1"/>
  <c r="F2058" i="19"/>
  <c r="G2058" i="19" s="1"/>
  <c r="F2057" i="19"/>
  <c r="G2057" i="19" s="1"/>
  <c r="F2056" i="19"/>
  <c r="G2056" i="19" s="1"/>
  <c r="F2055" i="19"/>
  <c r="G2055" i="19" s="1"/>
  <c r="F2054" i="19"/>
  <c r="G2054" i="19" s="1"/>
  <c r="F2053" i="19"/>
  <c r="G2053" i="19" s="1"/>
  <c r="F2052" i="19"/>
  <c r="G2052" i="19" s="1"/>
  <c r="F2051" i="19"/>
  <c r="G2051" i="19" s="1"/>
  <c r="F2050" i="19"/>
  <c r="G2050" i="19" s="1"/>
  <c r="F2049" i="19"/>
  <c r="G2049" i="19" s="1"/>
  <c r="F2048" i="19"/>
  <c r="G2048" i="19" s="1"/>
  <c r="F2047" i="19"/>
  <c r="G2047" i="19" s="1"/>
  <c r="F2046" i="19"/>
  <c r="G2046" i="19" s="1"/>
  <c r="F2045" i="19"/>
  <c r="G2045" i="19" s="1"/>
  <c r="F2044" i="19"/>
  <c r="G2044" i="19" s="1"/>
  <c r="F2043" i="19"/>
  <c r="G2043" i="19" s="1"/>
  <c r="F2042" i="19"/>
  <c r="G2042" i="19" s="1"/>
  <c r="F2041" i="19"/>
  <c r="G2041" i="19" s="1"/>
  <c r="F2040" i="19"/>
  <c r="G2040" i="19" s="1"/>
  <c r="F2039" i="19"/>
  <c r="G2039" i="19" s="1"/>
  <c r="F2038" i="19"/>
  <c r="G2038" i="19" s="1"/>
  <c r="F2037" i="19"/>
  <c r="G2037" i="19" s="1"/>
  <c r="F2036" i="19"/>
  <c r="G2036" i="19" s="1"/>
  <c r="F2035" i="19"/>
  <c r="G2035" i="19" s="1"/>
  <c r="F2034" i="19"/>
  <c r="G2034" i="19" s="1"/>
  <c r="F2033" i="19"/>
  <c r="G2033" i="19" s="1"/>
  <c r="F2032" i="19"/>
  <c r="G2032" i="19" s="1"/>
  <c r="F2031" i="19"/>
  <c r="G2031" i="19" s="1"/>
  <c r="F2030" i="19"/>
  <c r="G2030" i="19" s="1"/>
  <c r="F2029" i="19"/>
  <c r="G2029" i="19" s="1"/>
  <c r="F2028" i="19"/>
  <c r="G2028" i="19" s="1"/>
  <c r="F2027" i="19"/>
  <c r="G2027" i="19" s="1"/>
  <c r="F2026" i="19"/>
  <c r="G2026" i="19" s="1"/>
  <c r="F2025" i="19"/>
  <c r="G2025" i="19" s="1"/>
  <c r="F2024" i="19"/>
  <c r="G2024" i="19" s="1"/>
  <c r="F2023" i="19"/>
  <c r="G2023" i="19" s="1"/>
  <c r="F2022" i="19"/>
  <c r="G2022" i="19" s="1"/>
  <c r="F2021" i="19"/>
  <c r="G2021" i="19" s="1"/>
  <c r="F2020" i="19"/>
  <c r="G2020" i="19" s="1"/>
  <c r="F2019" i="19"/>
  <c r="G2019" i="19" s="1"/>
  <c r="F2018" i="19"/>
  <c r="G2018" i="19" s="1"/>
  <c r="F2017" i="19"/>
  <c r="G2017" i="19" s="1"/>
  <c r="F2016" i="19"/>
  <c r="G2016" i="19" s="1"/>
  <c r="F2015" i="19"/>
  <c r="G2015" i="19" s="1"/>
  <c r="F2014" i="19"/>
  <c r="G2014" i="19" s="1"/>
  <c r="F2013" i="19"/>
  <c r="G2013" i="19" s="1"/>
  <c r="F2012" i="19"/>
  <c r="G2012" i="19" s="1"/>
  <c r="F2011" i="19"/>
  <c r="G2011" i="19" s="1"/>
  <c r="F2010" i="19"/>
  <c r="G2010" i="19" s="1"/>
  <c r="F2009" i="19"/>
  <c r="G2009" i="19" s="1"/>
  <c r="F2008" i="19"/>
  <c r="G2008" i="19" s="1"/>
  <c r="F2007" i="19"/>
  <c r="G2007" i="19" s="1"/>
  <c r="F2006" i="19"/>
  <c r="G2006" i="19" s="1"/>
  <c r="F2005" i="19"/>
  <c r="G2005" i="19" s="1"/>
  <c r="F2004" i="19"/>
  <c r="G2004" i="19" s="1"/>
  <c r="F2003" i="19"/>
  <c r="G2003" i="19" s="1"/>
  <c r="F2002" i="19"/>
  <c r="G2002" i="19" s="1"/>
  <c r="F2001" i="19"/>
  <c r="G2001" i="19" s="1"/>
  <c r="F2000" i="19"/>
  <c r="G2000" i="19" s="1"/>
  <c r="F1999" i="19"/>
  <c r="G1999" i="19" s="1"/>
  <c r="F1998" i="19"/>
  <c r="G1998" i="19" s="1"/>
  <c r="F1997" i="19"/>
  <c r="G1997" i="19" s="1"/>
  <c r="F1996" i="19"/>
  <c r="G1996" i="19" s="1"/>
  <c r="F1995" i="19"/>
  <c r="G1995" i="19" s="1"/>
  <c r="F1994" i="19"/>
  <c r="G1994" i="19" s="1"/>
  <c r="F1993" i="19"/>
  <c r="G1993" i="19" s="1"/>
  <c r="F1992" i="19"/>
  <c r="G1992" i="19" s="1"/>
  <c r="F1991" i="19"/>
  <c r="G1991" i="19" s="1"/>
  <c r="F1990" i="19"/>
  <c r="G1990" i="19" s="1"/>
  <c r="F1989" i="19"/>
  <c r="G1989" i="19" s="1"/>
  <c r="F1988" i="19"/>
  <c r="G1988" i="19" s="1"/>
  <c r="F1987" i="19"/>
  <c r="G1987" i="19" s="1"/>
  <c r="F1986" i="19"/>
  <c r="G1986" i="19" s="1"/>
  <c r="F1985" i="19"/>
  <c r="G1985" i="19" s="1"/>
  <c r="F1984" i="19"/>
  <c r="G1984" i="19" s="1"/>
  <c r="F1983" i="19"/>
  <c r="G1983" i="19" s="1"/>
  <c r="F1982" i="19"/>
  <c r="G1982" i="19" s="1"/>
  <c r="F1981" i="19"/>
  <c r="G1981" i="19" s="1"/>
  <c r="F1980" i="19"/>
  <c r="G1980" i="19" s="1"/>
  <c r="F1979" i="19"/>
  <c r="G1979" i="19" s="1"/>
  <c r="F1978" i="19"/>
  <c r="G1978" i="19" s="1"/>
  <c r="F1977" i="19"/>
  <c r="G1977" i="19" s="1"/>
  <c r="F1976" i="19"/>
  <c r="G1976" i="19" s="1"/>
  <c r="F1975" i="19"/>
  <c r="G1975" i="19" s="1"/>
  <c r="F1974" i="19"/>
  <c r="G1974" i="19" s="1"/>
  <c r="F1973" i="19"/>
  <c r="G1973" i="19" s="1"/>
  <c r="F1972" i="19"/>
  <c r="G1972" i="19" s="1"/>
  <c r="F1971" i="19"/>
  <c r="G1971" i="19" s="1"/>
  <c r="F1970" i="19"/>
  <c r="G1970" i="19" s="1"/>
  <c r="F1969" i="19"/>
  <c r="G1969" i="19" s="1"/>
  <c r="F1968" i="19"/>
  <c r="G1968" i="19" s="1"/>
  <c r="F1967" i="19"/>
  <c r="G1967" i="19" s="1"/>
  <c r="F1966" i="19"/>
  <c r="G1966" i="19" s="1"/>
  <c r="F1965" i="19"/>
  <c r="G1965" i="19" s="1"/>
  <c r="F1964" i="19"/>
  <c r="G1964" i="19" s="1"/>
  <c r="F1963" i="19"/>
  <c r="G1963" i="19" s="1"/>
  <c r="F1962" i="19"/>
  <c r="G1962" i="19" s="1"/>
  <c r="F1961" i="19"/>
  <c r="G1961" i="19" s="1"/>
  <c r="F1960" i="19"/>
  <c r="G1960" i="19" s="1"/>
  <c r="F1959" i="19"/>
  <c r="G1959" i="19" s="1"/>
  <c r="F1958" i="19"/>
  <c r="G1958" i="19" s="1"/>
  <c r="F1957" i="19"/>
  <c r="G1957" i="19" s="1"/>
  <c r="F1956" i="19"/>
  <c r="G1956" i="19" s="1"/>
  <c r="F1955" i="19"/>
  <c r="G1955" i="19" s="1"/>
  <c r="F1954" i="19"/>
  <c r="G1954" i="19" s="1"/>
  <c r="F1953" i="19"/>
  <c r="G1953" i="19" s="1"/>
  <c r="F1952" i="19"/>
  <c r="G1952" i="19" s="1"/>
  <c r="F1951" i="19"/>
  <c r="G1951" i="19" s="1"/>
  <c r="F1950" i="19"/>
  <c r="G1950" i="19" s="1"/>
  <c r="F1949" i="19"/>
  <c r="G1949" i="19" s="1"/>
  <c r="F1948" i="19"/>
  <c r="G1948" i="19" s="1"/>
  <c r="F1947" i="19"/>
  <c r="G1947" i="19" s="1"/>
  <c r="F1946" i="19"/>
  <c r="G1946" i="19" s="1"/>
  <c r="F1945" i="19"/>
  <c r="G1945" i="19" s="1"/>
  <c r="F1944" i="19"/>
  <c r="G1944" i="19" s="1"/>
  <c r="F1943" i="19"/>
  <c r="G1943" i="19" s="1"/>
  <c r="F1942" i="19"/>
  <c r="G1942" i="19" s="1"/>
  <c r="F1941" i="19"/>
  <c r="G1941" i="19" s="1"/>
  <c r="F1940" i="19"/>
  <c r="G1940" i="19" s="1"/>
  <c r="F1939" i="19"/>
  <c r="G1939" i="19" s="1"/>
  <c r="F1938" i="19"/>
  <c r="G1938" i="19" s="1"/>
  <c r="F1937" i="19"/>
  <c r="G1937" i="19" s="1"/>
  <c r="F1936" i="19"/>
  <c r="G1936" i="19" s="1"/>
  <c r="F1935" i="19"/>
  <c r="G1935" i="19" s="1"/>
  <c r="F1934" i="19"/>
  <c r="G1934" i="19" s="1"/>
  <c r="F1933" i="19"/>
  <c r="G1933" i="19" s="1"/>
  <c r="F1932" i="19"/>
  <c r="G1932" i="19" s="1"/>
  <c r="F1931" i="19"/>
  <c r="G1931" i="19" s="1"/>
  <c r="F1930" i="19"/>
  <c r="G1930" i="19" s="1"/>
  <c r="F1929" i="19"/>
  <c r="G1929" i="19" s="1"/>
  <c r="F1928" i="19"/>
  <c r="G1928" i="19" s="1"/>
  <c r="F1927" i="19"/>
  <c r="G1927" i="19" s="1"/>
  <c r="F1926" i="19"/>
  <c r="G1926" i="19" s="1"/>
  <c r="F1925" i="19"/>
  <c r="G1925" i="19" s="1"/>
  <c r="F1924" i="19"/>
  <c r="G1924" i="19" s="1"/>
  <c r="F1923" i="19"/>
  <c r="G1923" i="19" s="1"/>
  <c r="F1922" i="19"/>
  <c r="G1922" i="19" s="1"/>
  <c r="F1921" i="19"/>
  <c r="G1921" i="19" s="1"/>
  <c r="F1920" i="19"/>
  <c r="G1920" i="19" s="1"/>
  <c r="F1919" i="19"/>
  <c r="G1919" i="19" s="1"/>
  <c r="F1918" i="19"/>
  <c r="G1918" i="19" s="1"/>
  <c r="F1917" i="19"/>
  <c r="G1917" i="19" s="1"/>
  <c r="F1916" i="19"/>
  <c r="G1916" i="19" s="1"/>
  <c r="F1915" i="19"/>
  <c r="G1915" i="19" s="1"/>
  <c r="F1914" i="19"/>
  <c r="G1914" i="19" s="1"/>
  <c r="F1913" i="19"/>
  <c r="G1913" i="19" s="1"/>
  <c r="F1912" i="19"/>
  <c r="G1912" i="19" s="1"/>
  <c r="F1911" i="19"/>
  <c r="G1911" i="19" s="1"/>
  <c r="F1910" i="19"/>
  <c r="G1910" i="19" s="1"/>
  <c r="F1909" i="19"/>
  <c r="G1909" i="19" s="1"/>
  <c r="F1908" i="19"/>
  <c r="G1908" i="19" s="1"/>
  <c r="F1907" i="19"/>
  <c r="G1907" i="19" s="1"/>
  <c r="F1906" i="19"/>
  <c r="G1906" i="19" s="1"/>
  <c r="F1905" i="19"/>
  <c r="G1905" i="19" s="1"/>
  <c r="F1904" i="19"/>
  <c r="G1904" i="19" s="1"/>
  <c r="F1903" i="19"/>
  <c r="G1903" i="19" s="1"/>
  <c r="F1902" i="19"/>
  <c r="G1902" i="19" s="1"/>
  <c r="F1901" i="19"/>
  <c r="G1901" i="19" s="1"/>
  <c r="F1900" i="19"/>
  <c r="G1900" i="19" s="1"/>
  <c r="F1899" i="19"/>
  <c r="G1899" i="19" s="1"/>
  <c r="F1898" i="19"/>
  <c r="G1898" i="19" s="1"/>
  <c r="F1897" i="19"/>
  <c r="G1897" i="19" s="1"/>
  <c r="F1896" i="19"/>
  <c r="G1896" i="19" s="1"/>
  <c r="F1895" i="19"/>
  <c r="G1895" i="19" s="1"/>
  <c r="F1894" i="19"/>
  <c r="G1894" i="19" s="1"/>
  <c r="F1893" i="19"/>
  <c r="G1893" i="19" s="1"/>
  <c r="F1892" i="19"/>
  <c r="G1892" i="19" s="1"/>
  <c r="F1891" i="19"/>
  <c r="G1891" i="19" s="1"/>
  <c r="F1890" i="19"/>
  <c r="G1890" i="19" s="1"/>
  <c r="F1889" i="19"/>
  <c r="G1889" i="19" s="1"/>
  <c r="F1888" i="19"/>
  <c r="G1888" i="19" s="1"/>
  <c r="F1887" i="19"/>
  <c r="G1887" i="19" s="1"/>
  <c r="F1886" i="19"/>
  <c r="G1886" i="19" s="1"/>
  <c r="F1885" i="19"/>
  <c r="G1885" i="19" s="1"/>
  <c r="F1884" i="19"/>
  <c r="G1884" i="19" s="1"/>
  <c r="F1883" i="19"/>
  <c r="G1883" i="19" s="1"/>
  <c r="F1882" i="19"/>
  <c r="G1882" i="19" s="1"/>
  <c r="F1881" i="19"/>
  <c r="G1881" i="19" s="1"/>
  <c r="F1880" i="19"/>
  <c r="G1880" i="19" s="1"/>
  <c r="F1879" i="19"/>
  <c r="G1879" i="19" s="1"/>
  <c r="F1878" i="19"/>
  <c r="G1878" i="19" s="1"/>
  <c r="F1877" i="19"/>
  <c r="G1877" i="19" s="1"/>
  <c r="F1876" i="19"/>
  <c r="G1876" i="19" s="1"/>
  <c r="F1875" i="19"/>
  <c r="G1875" i="19" s="1"/>
  <c r="F1874" i="19"/>
  <c r="G1874" i="19" s="1"/>
  <c r="F1873" i="19"/>
  <c r="G1873" i="19" s="1"/>
  <c r="F1872" i="19"/>
  <c r="G1872" i="19" s="1"/>
  <c r="F1871" i="19"/>
  <c r="G1871" i="19" s="1"/>
  <c r="F1870" i="19"/>
  <c r="G1870" i="19" s="1"/>
  <c r="F1869" i="19"/>
  <c r="G1869" i="19" s="1"/>
  <c r="F1868" i="19"/>
  <c r="G1868" i="19" s="1"/>
  <c r="F1867" i="19"/>
  <c r="G1867" i="19" s="1"/>
  <c r="F1866" i="19"/>
  <c r="G1866" i="19" s="1"/>
  <c r="F1865" i="19"/>
  <c r="G1865" i="19" s="1"/>
  <c r="F1864" i="19"/>
  <c r="G1864" i="19" s="1"/>
  <c r="F1863" i="19"/>
  <c r="G1863" i="19" s="1"/>
  <c r="F1862" i="19"/>
  <c r="G1862" i="19" s="1"/>
  <c r="F1861" i="19"/>
  <c r="G1861" i="19" s="1"/>
  <c r="F1860" i="19"/>
  <c r="G1860" i="19" s="1"/>
  <c r="F1859" i="19"/>
  <c r="G1859" i="19" s="1"/>
  <c r="F1858" i="19"/>
  <c r="G1858" i="19" s="1"/>
  <c r="F1857" i="19"/>
  <c r="G1857" i="19" s="1"/>
  <c r="F1856" i="19"/>
  <c r="G1856" i="19" s="1"/>
  <c r="F1855" i="19"/>
  <c r="G1855" i="19" s="1"/>
  <c r="F1854" i="19"/>
  <c r="G1854" i="19" s="1"/>
  <c r="F1853" i="19"/>
  <c r="G1853" i="19" s="1"/>
  <c r="F1852" i="19"/>
  <c r="G1852" i="19" s="1"/>
  <c r="F1851" i="19"/>
  <c r="G1851" i="19" s="1"/>
  <c r="F1850" i="19"/>
  <c r="G1850" i="19" s="1"/>
  <c r="F1849" i="19"/>
  <c r="G1849" i="19" s="1"/>
  <c r="F1848" i="19"/>
  <c r="G1848" i="19" s="1"/>
  <c r="F1847" i="19"/>
  <c r="G1847" i="19" s="1"/>
  <c r="F1846" i="19"/>
  <c r="G1846" i="19" s="1"/>
  <c r="F1845" i="19"/>
  <c r="G1845" i="19" s="1"/>
  <c r="F1844" i="19"/>
  <c r="G1844" i="19" s="1"/>
  <c r="F1843" i="19"/>
  <c r="G1843" i="19" s="1"/>
  <c r="F1842" i="19"/>
  <c r="G1842" i="19" s="1"/>
  <c r="F1841" i="19"/>
  <c r="G1841" i="19" s="1"/>
  <c r="F1840" i="19"/>
  <c r="G1840" i="19" s="1"/>
  <c r="F1839" i="19"/>
  <c r="G1839" i="19" s="1"/>
  <c r="F1838" i="19"/>
  <c r="G1838" i="19" s="1"/>
  <c r="F1837" i="19"/>
  <c r="G1837" i="19" s="1"/>
  <c r="F1836" i="19"/>
  <c r="G1836" i="19" s="1"/>
  <c r="F1835" i="19"/>
  <c r="G1835" i="19" s="1"/>
  <c r="F1834" i="19"/>
  <c r="G1834" i="19" s="1"/>
  <c r="F1833" i="19"/>
  <c r="G1833" i="19" s="1"/>
  <c r="F1832" i="19"/>
  <c r="G1832" i="19" s="1"/>
  <c r="F1831" i="19"/>
  <c r="G1831" i="19" s="1"/>
  <c r="F1830" i="19"/>
  <c r="G1830" i="19" s="1"/>
  <c r="F1829" i="19"/>
  <c r="G1829" i="19" s="1"/>
  <c r="F1828" i="19"/>
  <c r="G1828" i="19" s="1"/>
  <c r="F1827" i="19"/>
  <c r="G1827" i="19" s="1"/>
  <c r="F1826" i="19"/>
  <c r="G1826" i="19" s="1"/>
  <c r="F1825" i="19"/>
  <c r="G1825" i="19" s="1"/>
  <c r="F1824" i="19"/>
  <c r="G1824" i="19" s="1"/>
  <c r="F1823" i="19"/>
  <c r="G1823" i="19" s="1"/>
  <c r="F1822" i="19"/>
  <c r="G1822" i="19" s="1"/>
  <c r="F1821" i="19"/>
  <c r="G1821" i="19" s="1"/>
  <c r="F1820" i="19"/>
  <c r="G1820" i="19" s="1"/>
  <c r="F1819" i="19"/>
  <c r="G1819" i="19" s="1"/>
  <c r="F1818" i="19"/>
  <c r="G1818" i="19" s="1"/>
  <c r="F1817" i="19"/>
  <c r="G1817" i="19" s="1"/>
  <c r="F1816" i="19"/>
  <c r="G1816" i="19" s="1"/>
  <c r="F1815" i="19"/>
  <c r="G1815" i="19" s="1"/>
  <c r="F1814" i="19"/>
  <c r="G1814" i="19" s="1"/>
  <c r="F1813" i="19"/>
  <c r="G1813" i="19" s="1"/>
  <c r="F1812" i="19"/>
  <c r="G1812" i="19" s="1"/>
  <c r="F1811" i="19"/>
  <c r="G1811" i="19" s="1"/>
  <c r="F1810" i="19"/>
  <c r="G1810" i="19" s="1"/>
  <c r="F1809" i="19"/>
  <c r="G1809" i="19" s="1"/>
  <c r="F1808" i="19"/>
  <c r="G1808" i="19" s="1"/>
  <c r="F1807" i="19"/>
  <c r="G1807" i="19" s="1"/>
  <c r="F1806" i="19"/>
  <c r="G1806" i="19" s="1"/>
  <c r="F1805" i="19"/>
  <c r="G1805" i="19" s="1"/>
  <c r="F1804" i="19"/>
  <c r="G1804" i="19" s="1"/>
  <c r="F1803" i="19"/>
  <c r="G1803" i="19" s="1"/>
  <c r="F1802" i="19"/>
  <c r="G1802" i="19" s="1"/>
  <c r="F1801" i="19"/>
  <c r="G1801" i="19" s="1"/>
  <c r="F1800" i="19"/>
  <c r="G1800" i="19" s="1"/>
  <c r="F1799" i="19"/>
  <c r="G1799" i="19" s="1"/>
  <c r="F1798" i="19"/>
  <c r="G1798" i="19" s="1"/>
  <c r="F1797" i="19"/>
  <c r="G1797" i="19" s="1"/>
  <c r="F1796" i="19"/>
  <c r="G1796" i="19" s="1"/>
  <c r="F1795" i="19"/>
  <c r="G1795" i="19" s="1"/>
  <c r="F1794" i="19"/>
  <c r="G1794" i="19" s="1"/>
  <c r="F1793" i="19"/>
  <c r="G1793" i="19" s="1"/>
  <c r="F1792" i="19"/>
  <c r="G1792" i="19" s="1"/>
  <c r="F1791" i="19"/>
  <c r="G1791" i="19" s="1"/>
  <c r="F1790" i="19"/>
  <c r="G1790" i="19" s="1"/>
  <c r="F1789" i="19"/>
  <c r="G1789" i="19" s="1"/>
  <c r="F1788" i="19"/>
  <c r="G1788" i="19" s="1"/>
  <c r="F1787" i="19"/>
  <c r="G1787" i="19" s="1"/>
  <c r="F1786" i="19"/>
  <c r="G1786" i="19" s="1"/>
  <c r="F1785" i="19"/>
  <c r="G1785" i="19" s="1"/>
  <c r="F1784" i="19"/>
  <c r="G1784" i="19" s="1"/>
  <c r="F1783" i="19"/>
  <c r="G1783" i="19" s="1"/>
  <c r="F1782" i="19"/>
  <c r="G1782" i="19" s="1"/>
  <c r="F1781" i="19"/>
  <c r="G1781" i="19" s="1"/>
  <c r="F1780" i="19"/>
  <c r="G1780" i="19" s="1"/>
  <c r="F1779" i="19"/>
  <c r="G1779" i="19" s="1"/>
  <c r="F1778" i="19"/>
  <c r="G1778" i="19" s="1"/>
  <c r="F1777" i="19"/>
  <c r="G1777" i="19" s="1"/>
  <c r="F1776" i="19"/>
  <c r="G1776" i="19" s="1"/>
  <c r="F1775" i="19"/>
  <c r="G1775" i="19" s="1"/>
  <c r="F1774" i="19"/>
  <c r="G1774" i="19" s="1"/>
  <c r="F1773" i="19"/>
  <c r="G1773" i="19" s="1"/>
  <c r="F1772" i="19"/>
  <c r="G1772" i="19" s="1"/>
  <c r="F1771" i="19"/>
  <c r="G1771" i="19" s="1"/>
  <c r="F1770" i="19"/>
  <c r="G1770" i="19" s="1"/>
  <c r="F1769" i="19"/>
  <c r="G1769" i="19" s="1"/>
  <c r="F1768" i="19"/>
  <c r="G1768" i="19" s="1"/>
  <c r="F1767" i="19"/>
  <c r="G1767" i="19" s="1"/>
  <c r="F1766" i="19"/>
  <c r="G1766" i="19" s="1"/>
  <c r="F1765" i="19"/>
  <c r="G1765" i="19" s="1"/>
  <c r="F1764" i="19"/>
  <c r="G1764" i="19" s="1"/>
  <c r="F1763" i="19"/>
  <c r="G1763" i="19" s="1"/>
  <c r="F1762" i="19"/>
  <c r="G1762" i="19" s="1"/>
  <c r="F1761" i="19"/>
  <c r="G1761" i="19" s="1"/>
  <c r="F1760" i="19"/>
  <c r="G1760" i="19" s="1"/>
  <c r="F1759" i="19"/>
  <c r="G1759" i="19" s="1"/>
  <c r="F1758" i="19"/>
  <c r="G1758" i="19" s="1"/>
  <c r="F1757" i="19"/>
  <c r="G1757" i="19" s="1"/>
  <c r="F1756" i="19"/>
  <c r="G1756" i="19" s="1"/>
  <c r="F1755" i="19"/>
  <c r="G1755" i="19" s="1"/>
  <c r="F1754" i="19"/>
  <c r="G1754" i="19" s="1"/>
  <c r="F1753" i="19"/>
  <c r="G1753" i="19" s="1"/>
  <c r="F1752" i="19"/>
  <c r="G1752" i="19" s="1"/>
  <c r="F1751" i="19"/>
  <c r="G1751" i="19" s="1"/>
  <c r="F1750" i="19"/>
  <c r="G1750" i="19" s="1"/>
  <c r="F1749" i="19"/>
  <c r="G1749" i="19" s="1"/>
  <c r="F1748" i="19"/>
  <c r="G1748" i="19" s="1"/>
  <c r="F1747" i="19"/>
  <c r="G1747" i="19" s="1"/>
  <c r="F1746" i="19"/>
  <c r="G1746" i="19" s="1"/>
  <c r="F1745" i="19"/>
  <c r="G1745" i="19" s="1"/>
  <c r="F1744" i="19"/>
  <c r="G1744" i="19" s="1"/>
  <c r="F1743" i="19"/>
  <c r="G1743" i="19" s="1"/>
  <c r="F1742" i="19"/>
  <c r="G1742" i="19" s="1"/>
  <c r="F1741" i="19"/>
  <c r="G1741" i="19" s="1"/>
  <c r="F1740" i="19"/>
  <c r="G1740" i="19" s="1"/>
  <c r="F1739" i="19"/>
  <c r="G1739" i="19" s="1"/>
  <c r="F1738" i="19"/>
  <c r="G1738" i="19" s="1"/>
  <c r="F1737" i="19"/>
  <c r="G1737" i="19" s="1"/>
  <c r="F1736" i="19"/>
  <c r="G1736" i="19" s="1"/>
  <c r="F1735" i="19"/>
  <c r="G1735" i="19" s="1"/>
  <c r="F1734" i="19"/>
  <c r="G1734" i="19" s="1"/>
  <c r="F1733" i="19"/>
  <c r="G1733" i="19" s="1"/>
  <c r="F1732" i="19"/>
  <c r="G1732" i="19" s="1"/>
  <c r="F1731" i="19"/>
  <c r="G1731" i="19" s="1"/>
  <c r="F1730" i="19"/>
  <c r="G1730" i="19" s="1"/>
  <c r="F1729" i="19"/>
  <c r="G1729" i="19" s="1"/>
  <c r="F1728" i="19"/>
  <c r="G1728" i="19" s="1"/>
  <c r="F1727" i="19"/>
  <c r="G1727" i="19" s="1"/>
  <c r="F1726" i="19"/>
  <c r="G1726" i="19" s="1"/>
  <c r="F1725" i="19"/>
  <c r="G1725" i="19" s="1"/>
  <c r="F1724" i="19"/>
  <c r="G1724" i="19" s="1"/>
  <c r="F1723" i="19"/>
  <c r="G1723" i="19" s="1"/>
  <c r="F1722" i="19"/>
  <c r="G1722" i="19" s="1"/>
  <c r="F1721" i="19"/>
  <c r="G1721" i="19" s="1"/>
  <c r="F1720" i="19"/>
  <c r="G1720" i="19" s="1"/>
  <c r="F1719" i="19"/>
  <c r="G1719" i="19" s="1"/>
  <c r="F1718" i="19"/>
  <c r="G1718" i="19" s="1"/>
  <c r="F1717" i="19"/>
  <c r="G1717" i="19" s="1"/>
  <c r="F1716" i="19"/>
  <c r="G1716" i="19" s="1"/>
  <c r="F1715" i="19"/>
  <c r="G1715" i="19" s="1"/>
  <c r="F1714" i="19"/>
  <c r="G1714" i="19" s="1"/>
  <c r="F1713" i="19"/>
  <c r="G1713" i="19" s="1"/>
  <c r="F1712" i="19"/>
  <c r="G1712" i="19" s="1"/>
  <c r="F1711" i="19"/>
  <c r="G1711" i="19" s="1"/>
  <c r="F1710" i="19"/>
  <c r="G1710" i="19" s="1"/>
  <c r="F1709" i="19"/>
  <c r="G1709" i="19" s="1"/>
  <c r="F1708" i="19"/>
  <c r="G1708" i="19" s="1"/>
  <c r="F1707" i="19"/>
  <c r="G1707" i="19" s="1"/>
  <c r="F1706" i="19"/>
  <c r="G1706" i="19" s="1"/>
  <c r="F1705" i="19"/>
  <c r="G1705" i="19" s="1"/>
  <c r="F1704" i="19"/>
  <c r="G1704" i="19" s="1"/>
  <c r="F1703" i="19"/>
  <c r="G1703" i="19" s="1"/>
  <c r="F1702" i="19"/>
  <c r="G1702" i="19" s="1"/>
  <c r="F1701" i="19"/>
  <c r="G1701" i="19" s="1"/>
  <c r="F1700" i="19"/>
  <c r="G1700" i="19" s="1"/>
  <c r="F1699" i="19"/>
  <c r="G1699" i="19" s="1"/>
  <c r="F1698" i="19"/>
  <c r="G1698" i="19" s="1"/>
  <c r="F1697" i="19"/>
  <c r="G1697" i="19" s="1"/>
  <c r="F1696" i="19"/>
  <c r="G1696" i="19" s="1"/>
  <c r="F1695" i="19"/>
  <c r="G1695" i="19" s="1"/>
  <c r="F1694" i="19"/>
  <c r="G1694" i="19" s="1"/>
  <c r="F1693" i="19"/>
  <c r="G1693" i="19" s="1"/>
  <c r="F1692" i="19"/>
  <c r="G1692" i="19" s="1"/>
  <c r="F1691" i="19"/>
  <c r="G1691" i="19" s="1"/>
  <c r="F1690" i="19"/>
  <c r="G1690" i="19" s="1"/>
  <c r="F1689" i="19"/>
  <c r="G1689" i="19" s="1"/>
  <c r="F1688" i="19"/>
  <c r="G1688" i="19" s="1"/>
  <c r="F1687" i="19"/>
  <c r="G1687" i="19" s="1"/>
  <c r="F1686" i="19"/>
  <c r="G1686" i="19" s="1"/>
  <c r="F1685" i="19"/>
  <c r="G1685" i="19" s="1"/>
  <c r="F1684" i="19"/>
  <c r="G1684" i="19" s="1"/>
  <c r="F1683" i="19"/>
  <c r="G1683" i="19" s="1"/>
  <c r="F1682" i="19"/>
  <c r="G1682" i="19" s="1"/>
  <c r="F1681" i="19"/>
  <c r="G1681" i="19" s="1"/>
  <c r="F1680" i="19"/>
  <c r="G1680" i="19" s="1"/>
  <c r="F1679" i="19"/>
  <c r="G1679" i="19" s="1"/>
  <c r="F1678" i="19"/>
  <c r="G1678" i="19" s="1"/>
  <c r="F1677" i="19"/>
  <c r="G1677" i="19" s="1"/>
  <c r="F1676" i="19"/>
  <c r="G1676" i="19" s="1"/>
  <c r="F1675" i="19"/>
  <c r="G1675" i="19" s="1"/>
  <c r="F1674" i="19"/>
  <c r="G1674" i="19" s="1"/>
  <c r="F1673" i="19"/>
  <c r="G1673" i="19" s="1"/>
  <c r="F1672" i="19"/>
  <c r="G1672" i="19" s="1"/>
  <c r="F1671" i="19"/>
  <c r="G1671" i="19" s="1"/>
  <c r="F1670" i="19"/>
  <c r="G1670" i="19" s="1"/>
  <c r="F1669" i="19"/>
  <c r="G1669" i="19" s="1"/>
  <c r="F1668" i="19"/>
  <c r="G1668" i="19" s="1"/>
  <c r="F1667" i="19"/>
  <c r="G1667" i="19" s="1"/>
  <c r="F1666" i="19"/>
  <c r="G1666" i="19" s="1"/>
  <c r="F1665" i="19"/>
  <c r="G1665" i="19" s="1"/>
  <c r="F1664" i="19"/>
  <c r="G1664" i="19" s="1"/>
  <c r="F1663" i="19"/>
  <c r="G1663" i="19" s="1"/>
  <c r="F1662" i="19"/>
  <c r="G1662" i="19" s="1"/>
  <c r="F1661" i="19"/>
  <c r="G1661" i="19" s="1"/>
  <c r="F1660" i="19"/>
  <c r="G1660" i="19" s="1"/>
  <c r="F1659" i="19"/>
  <c r="G1659" i="19" s="1"/>
  <c r="F1658" i="19"/>
  <c r="G1658" i="19" s="1"/>
  <c r="F1657" i="19"/>
  <c r="G1657" i="19" s="1"/>
  <c r="F1656" i="19"/>
  <c r="G1656" i="19" s="1"/>
  <c r="F1655" i="19"/>
  <c r="G1655" i="19" s="1"/>
  <c r="F1654" i="19"/>
  <c r="G1654" i="19" s="1"/>
  <c r="F1653" i="19"/>
  <c r="G1653" i="19" s="1"/>
  <c r="F1652" i="19"/>
  <c r="G1652" i="19" s="1"/>
  <c r="F1651" i="19"/>
  <c r="G1651" i="19" s="1"/>
  <c r="F1650" i="19"/>
  <c r="G1650" i="19" s="1"/>
  <c r="F1649" i="19"/>
  <c r="G1649" i="19" s="1"/>
  <c r="F1648" i="19"/>
  <c r="G1648" i="19" s="1"/>
  <c r="F1647" i="19"/>
  <c r="G1647" i="19" s="1"/>
  <c r="F1646" i="19"/>
  <c r="G1646" i="19" s="1"/>
  <c r="F1645" i="19"/>
  <c r="G1645" i="19" s="1"/>
  <c r="F1644" i="19"/>
  <c r="G1644" i="19" s="1"/>
  <c r="F1643" i="19"/>
  <c r="G1643" i="19" s="1"/>
  <c r="F1642" i="19"/>
  <c r="G1642" i="19" s="1"/>
  <c r="F1641" i="19"/>
  <c r="G1641" i="19" s="1"/>
  <c r="F1640" i="19"/>
  <c r="G1640" i="19" s="1"/>
  <c r="F1639" i="19"/>
  <c r="G1639" i="19" s="1"/>
  <c r="F1638" i="19"/>
  <c r="G1638" i="19" s="1"/>
  <c r="F1637" i="19"/>
  <c r="G1637" i="19" s="1"/>
  <c r="F1636" i="19"/>
  <c r="G1636" i="19" s="1"/>
  <c r="F1635" i="19"/>
  <c r="G1635" i="19" s="1"/>
  <c r="F1634" i="19"/>
  <c r="G1634" i="19" s="1"/>
  <c r="F1633" i="19"/>
  <c r="G1633" i="19" s="1"/>
  <c r="F1632" i="19"/>
  <c r="G1632" i="19" s="1"/>
  <c r="F1631" i="19"/>
  <c r="G1631" i="19" s="1"/>
  <c r="F1630" i="19"/>
  <c r="G1630" i="19" s="1"/>
  <c r="F1629" i="19"/>
  <c r="G1629" i="19" s="1"/>
  <c r="F1628" i="19"/>
  <c r="G1628" i="19" s="1"/>
  <c r="F1627" i="19"/>
  <c r="G1627" i="19" s="1"/>
  <c r="F1626" i="19"/>
  <c r="G1626" i="19" s="1"/>
  <c r="F1625" i="19"/>
  <c r="G1625" i="19" s="1"/>
  <c r="F1624" i="19"/>
  <c r="G1624" i="19" s="1"/>
  <c r="F1623" i="19"/>
  <c r="G1623" i="19" s="1"/>
  <c r="F1622" i="19"/>
  <c r="G1622" i="19" s="1"/>
  <c r="F1621" i="19"/>
  <c r="G1621" i="19" s="1"/>
  <c r="F1620" i="19"/>
  <c r="G1620" i="19" s="1"/>
  <c r="F1619" i="19"/>
  <c r="G1619" i="19" s="1"/>
  <c r="F1618" i="19"/>
  <c r="G1618" i="19" s="1"/>
  <c r="F1617" i="19"/>
  <c r="G1617" i="19" s="1"/>
  <c r="F1616" i="19"/>
  <c r="G1616" i="19" s="1"/>
  <c r="F1615" i="19"/>
  <c r="G1615" i="19" s="1"/>
  <c r="F1614" i="19"/>
  <c r="G1614" i="19" s="1"/>
  <c r="F1613" i="19"/>
  <c r="G1613" i="19" s="1"/>
  <c r="F1612" i="19"/>
  <c r="G1612" i="19" s="1"/>
  <c r="F1611" i="19"/>
  <c r="G1611" i="19" s="1"/>
  <c r="F1610" i="19"/>
  <c r="G1610" i="19" s="1"/>
  <c r="F1609" i="19"/>
  <c r="G1609" i="19" s="1"/>
  <c r="F1608" i="19"/>
  <c r="G1608" i="19" s="1"/>
  <c r="F1607" i="19"/>
  <c r="G1607" i="19" s="1"/>
  <c r="F1606" i="19"/>
  <c r="G1606" i="19" s="1"/>
  <c r="F1605" i="19"/>
  <c r="G1605" i="19" s="1"/>
  <c r="F1604" i="19"/>
  <c r="G1604" i="19" s="1"/>
  <c r="F1603" i="19"/>
  <c r="G1603" i="19" s="1"/>
  <c r="F1602" i="19"/>
  <c r="G1602" i="19" s="1"/>
  <c r="F1601" i="19"/>
  <c r="G1601" i="19" s="1"/>
  <c r="F1600" i="19"/>
  <c r="G1600" i="19" s="1"/>
  <c r="F1599" i="19"/>
  <c r="G1599" i="19" s="1"/>
  <c r="F1598" i="19"/>
  <c r="G1598" i="19" s="1"/>
  <c r="F1597" i="19"/>
  <c r="G1597" i="19" s="1"/>
  <c r="F1596" i="19"/>
  <c r="G1596" i="19" s="1"/>
  <c r="F1595" i="19"/>
  <c r="G1595" i="19" s="1"/>
  <c r="F1594" i="19"/>
  <c r="G1594" i="19" s="1"/>
  <c r="F1593" i="19"/>
  <c r="G1593" i="19" s="1"/>
  <c r="F1592" i="19"/>
  <c r="G1592" i="19" s="1"/>
  <c r="F1591" i="19"/>
  <c r="G1591" i="19" s="1"/>
  <c r="F1590" i="19"/>
  <c r="G1590" i="19" s="1"/>
  <c r="F1589" i="19"/>
  <c r="G1589" i="19" s="1"/>
  <c r="F1588" i="19"/>
  <c r="G1588" i="19" s="1"/>
  <c r="F1587" i="19"/>
  <c r="G1587" i="19" s="1"/>
  <c r="F1586" i="19"/>
  <c r="G1586" i="19" s="1"/>
  <c r="F1585" i="19"/>
  <c r="G1585" i="19" s="1"/>
  <c r="F1584" i="19"/>
  <c r="G1584" i="19" s="1"/>
  <c r="F1583" i="19"/>
  <c r="G1583" i="19" s="1"/>
  <c r="F1582" i="19"/>
  <c r="G1582" i="19" s="1"/>
  <c r="F1581" i="19"/>
  <c r="G1581" i="19" s="1"/>
  <c r="F1580" i="19"/>
  <c r="G1580" i="19" s="1"/>
  <c r="F1579" i="19"/>
  <c r="G1579" i="19" s="1"/>
  <c r="F1578" i="19"/>
  <c r="G1578" i="19" s="1"/>
  <c r="F1577" i="19"/>
  <c r="G1577" i="19" s="1"/>
  <c r="F1576" i="19"/>
  <c r="G1576" i="19" s="1"/>
  <c r="F1575" i="19"/>
  <c r="G1575" i="19" s="1"/>
  <c r="F1574" i="19"/>
  <c r="G1574" i="19" s="1"/>
  <c r="F1573" i="19"/>
  <c r="G1573" i="19" s="1"/>
  <c r="F1572" i="19"/>
  <c r="G1572" i="19" s="1"/>
  <c r="F1571" i="19"/>
  <c r="G1571" i="19" s="1"/>
  <c r="F1570" i="19"/>
  <c r="G1570" i="19" s="1"/>
  <c r="F1569" i="19"/>
  <c r="G1569" i="19" s="1"/>
  <c r="F1568" i="19"/>
  <c r="G1568" i="19" s="1"/>
  <c r="F1567" i="19"/>
  <c r="G1567" i="19" s="1"/>
  <c r="F1566" i="19"/>
  <c r="G1566" i="19" s="1"/>
  <c r="F1565" i="19"/>
  <c r="G1565" i="19" s="1"/>
  <c r="F1564" i="19"/>
  <c r="G1564" i="19" s="1"/>
  <c r="F1563" i="19"/>
  <c r="G1563" i="19" s="1"/>
  <c r="F1562" i="19"/>
  <c r="G1562" i="19" s="1"/>
  <c r="F1561" i="19"/>
  <c r="G1561" i="19" s="1"/>
  <c r="F1560" i="19"/>
  <c r="G1560" i="19" s="1"/>
  <c r="F1559" i="19"/>
  <c r="G1559" i="19" s="1"/>
  <c r="F1558" i="19"/>
  <c r="G1558" i="19" s="1"/>
  <c r="F1557" i="19"/>
  <c r="G1557" i="19" s="1"/>
  <c r="F1556" i="19"/>
  <c r="G1556" i="19" s="1"/>
  <c r="F1555" i="19"/>
  <c r="G1555" i="19" s="1"/>
  <c r="F1554" i="19"/>
  <c r="G1554" i="19" s="1"/>
  <c r="F1553" i="19"/>
  <c r="G1553" i="19" s="1"/>
  <c r="F1552" i="19"/>
  <c r="G1552" i="19" s="1"/>
  <c r="F1551" i="19"/>
  <c r="G1551" i="19" s="1"/>
  <c r="F1550" i="19"/>
  <c r="G1550" i="19" s="1"/>
  <c r="F1549" i="19"/>
  <c r="G1549" i="19" s="1"/>
  <c r="F1548" i="19"/>
  <c r="G1548" i="19" s="1"/>
  <c r="F1547" i="19"/>
  <c r="G1547" i="19" s="1"/>
  <c r="F1546" i="19"/>
  <c r="G1546" i="19" s="1"/>
  <c r="F1545" i="19"/>
  <c r="G1545" i="19" s="1"/>
  <c r="F1544" i="19"/>
  <c r="G1544" i="19" s="1"/>
  <c r="F1543" i="19"/>
  <c r="G1543" i="19" s="1"/>
  <c r="F1542" i="19"/>
  <c r="G1542" i="19" s="1"/>
  <c r="F1541" i="19"/>
  <c r="G1541" i="19" s="1"/>
  <c r="F1540" i="19"/>
  <c r="G1540" i="19" s="1"/>
  <c r="F1539" i="19"/>
  <c r="G1539" i="19" s="1"/>
  <c r="F1538" i="19"/>
  <c r="G1538" i="19" s="1"/>
  <c r="F1537" i="19"/>
  <c r="G1537" i="19" s="1"/>
  <c r="F1536" i="19"/>
  <c r="G1536" i="19" s="1"/>
  <c r="F1535" i="19"/>
  <c r="G1535" i="19" s="1"/>
  <c r="F1534" i="19"/>
  <c r="G1534" i="19" s="1"/>
  <c r="F1533" i="19"/>
  <c r="G1533" i="19" s="1"/>
  <c r="F1532" i="19"/>
  <c r="G1532" i="19" s="1"/>
  <c r="F1531" i="19"/>
  <c r="G1531" i="19" s="1"/>
  <c r="F1530" i="19"/>
  <c r="G1530" i="19" s="1"/>
  <c r="F1529" i="19"/>
  <c r="G1529" i="19" s="1"/>
  <c r="F1528" i="19"/>
  <c r="G1528" i="19" s="1"/>
  <c r="F1527" i="19"/>
  <c r="G1527" i="19" s="1"/>
  <c r="F1526" i="19"/>
  <c r="G1526" i="19" s="1"/>
  <c r="F1525" i="19"/>
  <c r="G1525" i="19" s="1"/>
  <c r="F1524" i="19"/>
  <c r="G1524" i="19" s="1"/>
  <c r="F1523" i="19"/>
  <c r="G1523" i="19" s="1"/>
  <c r="F1522" i="19"/>
  <c r="G1522" i="19" s="1"/>
  <c r="F1521" i="19"/>
  <c r="G1521" i="19" s="1"/>
  <c r="F1520" i="19"/>
  <c r="G1520" i="19" s="1"/>
  <c r="F1519" i="19"/>
  <c r="G1519" i="19" s="1"/>
  <c r="F1518" i="19"/>
  <c r="G1518" i="19" s="1"/>
  <c r="F1517" i="19"/>
  <c r="G1517" i="19" s="1"/>
  <c r="F1516" i="19"/>
  <c r="G1516" i="19" s="1"/>
  <c r="F1515" i="19"/>
  <c r="G1515" i="19" s="1"/>
  <c r="F1514" i="19"/>
  <c r="G1514" i="19" s="1"/>
  <c r="F1513" i="19"/>
  <c r="G1513" i="19" s="1"/>
  <c r="F1512" i="19"/>
  <c r="G1512" i="19" s="1"/>
  <c r="F1511" i="19"/>
  <c r="G1511" i="19" s="1"/>
  <c r="F1510" i="19"/>
  <c r="G1510" i="19" s="1"/>
  <c r="F1509" i="19"/>
  <c r="G1509" i="19" s="1"/>
  <c r="F1508" i="19"/>
  <c r="G1508" i="19" s="1"/>
  <c r="F1507" i="19"/>
  <c r="G1507" i="19" s="1"/>
  <c r="F1506" i="19"/>
  <c r="G1506" i="19" s="1"/>
  <c r="F1505" i="19"/>
  <c r="G1505" i="19" s="1"/>
  <c r="F1504" i="19"/>
  <c r="G1504" i="19" s="1"/>
  <c r="F1503" i="19"/>
  <c r="G1503" i="19" s="1"/>
  <c r="F1502" i="19"/>
  <c r="G1502" i="19" s="1"/>
  <c r="F1501" i="19"/>
  <c r="G1501" i="19" s="1"/>
  <c r="F1500" i="19"/>
  <c r="G1500" i="19" s="1"/>
  <c r="F1499" i="19"/>
  <c r="G1499" i="19" s="1"/>
  <c r="F1498" i="19"/>
  <c r="G1498" i="19" s="1"/>
  <c r="F1497" i="19"/>
  <c r="G1497" i="19" s="1"/>
  <c r="F1496" i="19"/>
  <c r="G1496" i="19" s="1"/>
  <c r="F1495" i="19"/>
  <c r="G1495" i="19" s="1"/>
  <c r="F1494" i="19"/>
  <c r="G1494" i="19" s="1"/>
  <c r="F1493" i="19"/>
  <c r="G1493" i="19" s="1"/>
  <c r="F1492" i="19"/>
  <c r="G1492" i="19" s="1"/>
  <c r="F1491" i="19"/>
  <c r="G1491" i="19" s="1"/>
  <c r="F1490" i="19"/>
  <c r="G1490" i="19" s="1"/>
  <c r="F1489" i="19"/>
  <c r="G1489" i="19" s="1"/>
  <c r="F1488" i="19"/>
  <c r="G1488" i="19" s="1"/>
  <c r="F1487" i="19"/>
  <c r="G1487" i="19" s="1"/>
  <c r="F1486" i="19"/>
  <c r="G1486" i="19" s="1"/>
  <c r="F1485" i="19"/>
  <c r="G1485" i="19" s="1"/>
  <c r="F1484" i="19"/>
  <c r="G1484" i="19" s="1"/>
  <c r="F1483" i="19"/>
  <c r="G1483" i="19" s="1"/>
  <c r="F1482" i="19"/>
  <c r="G1482" i="19" s="1"/>
  <c r="F1481" i="19"/>
  <c r="G1481" i="19" s="1"/>
  <c r="F1480" i="19"/>
  <c r="G1480" i="19" s="1"/>
  <c r="F1479" i="19"/>
  <c r="G1479" i="19" s="1"/>
  <c r="F1478" i="19"/>
  <c r="G1478" i="19" s="1"/>
  <c r="F1477" i="19"/>
  <c r="G1477" i="19" s="1"/>
  <c r="F1476" i="19"/>
  <c r="G1476" i="19" s="1"/>
  <c r="F1475" i="19"/>
  <c r="G1475" i="19" s="1"/>
  <c r="F1474" i="19"/>
  <c r="G1474" i="19" s="1"/>
  <c r="F1473" i="19"/>
  <c r="G1473" i="19" s="1"/>
  <c r="F1472" i="19"/>
  <c r="G1472" i="19" s="1"/>
  <c r="F1471" i="19"/>
  <c r="G1471" i="19" s="1"/>
  <c r="F1470" i="19"/>
  <c r="G1470" i="19" s="1"/>
  <c r="F1469" i="19"/>
  <c r="G1469" i="19" s="1"/>
  <c r="F1468" i="19"/>
  <c r="G1468" i="19" s="1"/>
  <c r="F1467" i="19"/>
  <c r="G1467" i="19" s="1"/>
  <c r="F1466" i="19"/>
  <c r="G1466" i="19" s="1"/>
  <c r="F1465" i="19"/>
  <c r="G1465" i="19" s="1"/>
  <c r="F1464" i="19"/>
  <c r="G1464" i="19" s="1"/>
  <c r="F1463" i="19"/>
  <c r="G1463" i="19" s="1"/>
  <c r="F1462" i="19"/>
  <c r="G1462" i="19" s="1"/>
  <c r="F1461" i="19"/>
  <c r="G1461" i="19" s="1"/>
  <c r="F1460" i="19"/>
  <c r="G1460" i="19" s="1"/>
  <c r="F1459" i="19"/>
  <c r="G1459" i="19" s="1"/>
  <c r="F1458" i="19"/>
  <c r="G1458" i="19" s="1"/>
  <c r="F1457" i="19"/>
  <c r="G1457" i="19" s="1"/>
  <c r="F1456" i="19"/>
  <c r="G1456" i="19" s="1"/>
  <c r="F1455" i="19"/>
  <c r="G1455" i="19" s="1"/>
  <c r="F1454" i="19"/>
  <c r="G1454" i="19" s="1"/>
  <c r="F1453" i="19"/>
  <c r="G1453" i="19" s="1"/>
  <c r="F1452" i="19"/>
  <c r="G1452" i="19" s="1"/>
  <c r="F1451" i="19"/>
  <c r="G1451" i="19" s="1"/>
  <c r="F1450" i="19"/>
  <c r="G1450" i="19" s="1"/>
  <c r="F1449" i="19"/>
  <c r="G1449" i="19" s="1"/>
  <c r="F1448" i="19"/>
  <c r="G1448" i="19" s="1"/>
  <c r="F1447" i="19"/>
  <c r="G1447" i="19" s="1"/>
  <c r="F1446" i="19"/>
  <c r="G1446" i="19" s="1"/>
  <c r="F1445" i="19"/>
  <c r="G1445" i="19" s="1"/>
  <c r="F1444" i="19"/>
  <c r="G1444" i="19" s="1"/>
  <c r="F1443" i="19"/>
  <c r="G1443" i="19" s="1"/>
  <c r="F1442" i="19"/>
  <c r="G1442" i="19" s="1"/>
  <c r="F1441" i="19"/>
  <c r="G1441" i="19" s="1"/>
  <c r="F1440" i="19"/>
  <c r="G1440" i="19" s="1"/>
  <c r="F1439" i="19"/>
  <c r="G1439" i="19" s="1"/>
  <c r="F1438" i="19"/>
  <c r="G1438" i="19" s="1"/>
  <c r="F1437" i="19"/>
  <c r="G1437" i="19" s="1"/>
  <c r="F1436" i="19"/>
  <c r="G1436" i="19" s="1"/>
  <c r="F1435" i="19"/>
  <c r="G1435" i="19" s="1"/>
  <c r="F1434" i="19"/>
  <c r="G1434" i="19" s="1"/>
  <c r="F1433" i="19"/>
  <c r="G1433" i="19" s="1"/>
  <c r="F1432" i="19"/>
  <c r="G1432" i="19" s="1"/>
  <c r="F1431" i="19"/>
  <c r="G1431" i="19" s="1"/>
  <c r="F1430" i="19"/>
  <c r="G1430" i="19" s="1"/>
  <c r="F1429" i="19"/>
  <c r="G1429" i="19" s="1"/>
  <c r="F1428" i="19"/>
  <c r="G1428" i="19" s="1"/>
  <c r="F1427" i="19"/>
  <c r="G1427" i="19" s="1"/>
  <c r="F1426" i="19"/>
  <c r="G1426" i="19" s="1"/>
  <c r="F1425" i="19"/>
  <c r="G1425" i="19" s="1"/>
  <c r="F1424" i="19"/>
  <c r="G1424" i="19" s="1"/>
  <c r="F1423" i="19"/>
  <c r="G1423" i="19" s="1"/>
  <c r="F1422" i="19"/>
  <c r="G1422" i="19" s="1"/>
  <c r="F1421" i="19"/>
  <c r="G1421" i="19" s="1"/>
  <c r="F1420" i="19"/>
  <c r="G1420" i="19" s="1"/>
  <c r="F1419" i="19"/>
  <c r="G1419" i="19" s="1"/>
  <c r="F1418" i="19"/>
  <c r="G1418" i="19" s="1"/>
  <c r="F1417" i="19"/>
  <c r="G1417" i="19" s="1"/>
  <c r="F1416" i="19"/>
  <c r="G1416" i="19" s="1"/>
  <c r="F1415" i="19"/>
  <c r="G1415" i="19" s="1"/>
  <c r="F1414" i="19"/>
  <c r="G1414" i="19" s="1"/>
  <c r="F1413" i="19"/>
  <c r="G1413" i="19" s="1"/>
  <c r="F1412" i="19"/>
  <c r="G1412" i="19" s="1"/>
  <c r="F1411" i="19"/>
  <c r="G1411" i="19" s="1"/>
  <c r="F1410" i="19"/>
  <c r="G1410" i="19" s="1"/>
  <c r="F1409" i="19"/>
  <c r="G1409" i="19" s="1"/>
  <c r="F1408" i="19"/>
  <c r="G1408" i="19" s="1"/>
  <c r="F1407" i="19"/>
  <c r="G1407" i="19" s="1"/>
  <c r="F1406" i="19"/>
  <c r="G1406" i="19" s="1"/>
  <c r="F1405" i="19"/>
  <c r="G1405" i="19" s="1"/>
  <c r="F1404" i="19"/>
  <c r="G1404" i="19" s="1"/>
  <c r="F1403" i="19"/>
  <c r="G1403" i="19" s="1"/>
  <c r="F1402" i="19"/>
  <c r="G1402" i="19" s="1"/>
  <c r="F1401" i="19"/>
  <c r="G1401" i="19" s="1"/>
  <c r="F1400" i="19"/>
  <c r="G1400" i="19" s="1"/>
  <c r="F1399" i="19"/>
  <c r="G1399" i="19" s="1"/>
  <c r="F1398" i="19"/>
  <c r="G1398" i="19" s="1"/>
  <c r="F1397" i="19"/>
  <c r="G1397" i="19" s="1"/>
  <c r="F1396" i="19"/>
  <c r="G1396" i="19" s="1"/>
  <c r="F1395" i="19"/>
  <c r="G1395" i="19" s="1"/>
  <c r="F1394" i="19"/>
  <c r="G1394" i="19" s="1"/>
  <c r="F1393" i="19"/>
  <c r="G1393" i="19" s="1"/>
  <c r="F1392" i="19"/>
  <c r="G1392" i="19" s="1"/>
  <c r="F1391" i="19"/>
  <c r="G1391" i="19" s="1"/>
  <c r="F1390" i="19"/>
  <c r="G1390" i="19" s="1"/>
  <c r="F1389" i="19"/>
  <c r="G1389" i="19" s="1"/>
  <c r="F1388" i="19"/>
  <c r="G1388" i="19" s="1"/>
  <c r="F1387" i="19"/>
  <c r="G1387" i="19" s="1"/>
  <c r="F1386" i="19"/>
  <c r="G1386" i="19" s="1"/>
  <c r="F1385" i="19"/>
  <c r="G1385" i="19" s="1"/>
  <c r="F1384" i="19"/>
  <c r="G1384" i="19" s="1"/>
  <c r="F1383" i="19"/>
  <c r="G1383" i="19" s="1"/>
  <c r="F1382" i="19"/>
  <c r="G1382" i="19" s="1"/>
  <c r="F1381" i="19"/>
  <c r="G1381" i="19" s="1"/>
  <c r="F1380" i="19"/>
  <c r="G1380" i="19" s="1"/>
  <c r="F1379" i="19"/>
  <c r="G1379" i="19" s="1"/>
  <c r="F1378" i="19"/>
  <c r="G1378" i="19" s="1"/>
  <c r="F1377" i="19"/>
  <c r="G1377" i="19" s="1"/>
  <c r="F1376" i="19"/>
  <c r="G1376" i="19" s="1"/>
  <c r="F1375" i="19"/>
  <c r="G1375" i="19" s="1"/>
  <c r="F1374" i="19"/>
  <c r="G1374" i="19" s="1"/>
  <c r="F1373" i="19"/>
  <c r="G1373" i="19" s="1"/>
  <c r="F1372" i="19"/>
  <c r="G1372" i="19" s="1"/>
  <c r="F1371" i="19"/>
  <c r="G1371" i="19" s="1"/>
  <c r="F1370" i="19"/>
  <c r="G1370" i="19" s="1"/>
  <c r="F1369" i="19"/>
  <c r="G1369" i="19" s="1"/>
  <c r="F1368" i="19"/>
  <c r="G1368" i="19" s="1"/>
  <c r="F1367" i="19"/>
  <c r="G1367" i="19" s="1"/>
  <c r="F1366" i="19"/>
  <c r="G1366" i="19" s="1"/>
  <c r="F1365" i="19"/>
  <c r="G1365" i="19" s="1"/>
  <c r="F1364" i="19"/>
  <c r="G1364" i="19" s="1"/>
  <c r="F1363" i="19"/>
  <c r="G1363" i="19" s="1"/>
  <c r="F1362" i="19"/>
  <c r="G1362" i="19" s="1"/>
  <c r="F1361" i="19"/>
  <c r="G1361" i="19" s="1"/>
  <c r="F1360" i="19"/>
  <c r="G1360" i="19" s="1"/>
  <c r="F1359" i="19"/>
  <c r="G1359" i="19" s="1"/>
  <c r="F1358" i="19"/>
  <c r="G1358" i="19" s="1"/>
  <c r="F1357" i="19"/>
  <c r="G1357" i="19" s="1"/>
  <c r="F1356" i="19"/>
  <c r="G1356" i="19" s="1"/>
  <c r="F1355" i="19"/>
  <c r="G1355" i="19" s="1"/>
  <c r="F1354" i="19"/>
  <c r="G1354" i="19" s="1"/>
  <c r="F1353" i="19"/>
  <c r="G1353" i="19" s="1"/>
  <c r="F1352" i="19"/>
  <c r="G1352" i="19" s="1"/>
  <c r="F1351" i="19"/>
  <c r="G1351" i="19" s="1"/>
  <c r="F1350" i="19"/>
  <c r="G1350" i="19" s="1"/>
  <c r="F1349" i="19"/>
  <c r="G1349" i="19" s="1"/>
  <c r="F1348" i="19"/>
  <c r="G1348" i="19" s="1"/>
  <c r="F1347" i="19"/>
  <c r="G1347" i="19" s="1"/>
  <c r="F1346" i="19"/>
  <c r="G1346" i="19" s="1"/>
  <c r="F1345" i="19"/>
  <c r="G1345" i="19" s="1"/>
  <c r="F1344" i="19"/>
  <c r="G1344" i="19" s="1"/>
  <c r="F1343" i="19"/>
  <c r="G1343" i="19" s="1"/>
  <c r="F1342" i="19"/>
  <c r="G1342" i="19" s="1"/>
  <c r="F1341" i="19"/>
  <c r="G1341" i="19" s="1"/>
  <c r="F1340" i="19"/>
  <c r="G1340" i="19" s="1"/>
  <c r="F1339" i="19"/>
  <c r="G1339" i="19" s="1"/>
  <c r="F1338" i="19"/>
  <c r="G1338" i="19" s="1"/>
  <c r="F1337" i="19"/>
  <c r="G1337" i="19" s="1"/>
  <c r="F1336" i="19"/>
  <c r="G1336" i="19" s="1"/>
  <c r="F1335" i="19"/>
  <c r="G1335" i="19" s="1"/>
  <c r="F1334" i="19"/>
  <c r="G1334" i="19" s="1"/>
  <c r="F1333" i="19"/>
  <c r="G1333" i="19" s="1"/>
  <c r="F1332" i="19"/>
  <c r="G1332" i="19" s="1"/>
  <c r="F1331" i="19"/>
  <c r="G1331" i="19" s="1"/>
  <c r="F1330" i="19"/>
  <c r="G1330" i="19" s="1"/>
  <c r="F1329" i="19"/>
  <c r="G1329" i="19" s="1"/>
  <c r="F1328" i="19"/>
  <c r="G1328" i="19" s="1"/>
  <c r="F1327" i="19"/>
  <c r="G1327" i="19" s="1"/>
  <c r="F1326" i="19"/>
  <c r="G1326" i="19" s="1"/>
  <c r="F1325" i="19"/>
  <c r="G1325" i="19" s="1"/>
  <c r="F1324" i="19"/>
  <c r="G1324" i="19" s="1"/>
  <c r="F1323" i="19"/>
  <c r="G1323" i="19" s="1"/>
  <c r="F1322" i="19"/>
  <c r="G1322" i="19" s="1"/>
  <c r="F1321" i="19"/>
  <c r="G1321" i="19" s="1"/>
  <c r="F1320" i="19"/>
  <c r="G1320" i="19" s="1"/>
  <c r="F1319" i="19"/>
  <c r="G1319" i="19" s="1"/>
  <c r="F1318" i="19"/>
  <c r="G1318" i="19" s="1"/>
  <c r="F1317" i="19"/>
  <c r="G1317" i="19" s="1"/>
  <c r="F1316" i="19"/>
  <c r="G1316" i="19" s="1"/>
  <c r="F1315" i="19"/>
  <c r="G1315" i="19" s="1"/>
  <c r="F1314" i="19"/>
  <c r="G1314" i="19" s="1"/>
  <c r="F1313" i="19"/>
  <c r="G1313" i="19" s="1"/>
  <c r="F1312" i="19"/>
  <c r="G1312" i="19" s="1"/>
  <c r="F1311" i="19"/>
  <c r="G1311" i="19" s="1"/>
  <c r="F1310" i="19"/>
  <c r="G1310" i="19" s="1"/>
  <c r="F1309" i="19"/>
  <c r="G1309" i="19" s="1"/>
  <c r="F1308" i="19"/>
  <c r="G1308" i="19" s="1"/>
  <c r="F1307" i="19"/>
  <c r="G1307" i="19" s="1"/>
  <c r="F1306" i="19"/>
  <c r="G1306" i="19" s="1"/>
  <c r="F1305" i="19"/>
  <c r="G1305" i="19" s="1"/>
  <c r="F1304" i="19"/>
  <c r="G1304" i="19" s="1"/>
  <c r="F1303" i="19"/>
  <c r="G1303" i="19" s="1"/>
  <c r="F1302" i="19"/>
  <c r="G1302" i="19" s="1"/>
  <c r="F1301" i="19"/>
  <c r="G1301" i="19" s="1"/>
  <c r="F1300" i="19"/>
  <c r="G1300" i="19" s="1"/>
  <c r="F1299" i="19"/>
  <c r="G1299" i="19" s="1"/>
  <c r="F1298" i="19"/>
  <c r="G1298" i="19" s="1"/>
  <c r="F1297" i="19"/>
  <c r="G1297" i="19" s="1"/>
  <c r="F1296" i="19"/>
  <c r="G1296" i="19" s="1"/>
  <c r="F1295" i="19"/>
  <c r="G1295" i="19" s="1"/>
  <c r="F1294" i="19"/>
  <c r="G1294" i="19" s="1"/>
  <c r="F1293" i="19"/>
  <c r="G1293" i="19" s="1"/>
  <c r="F1292" i="19"/>
  <c r="G1292" i="19" s="1"/>
  <c r="F1291" i="19"/>
  <c r="G1291" i="19" s="1"/>
  <c r="F1290" i="19"/>
  <c r="G1290" i="19" s="1"/>
  <c r="F1289" i="19"/>
  <c r="G1289" i="19" s="1"/>
  <c r="F1288" i="19"/>
  <c r="G1288" i="19" s="1"/>
  <c r="F1287" i="19"/>
  <c r="G1287" i="19" s="1"/>
  <c r="F1286" i="19"/>
  <c r="G1286" i="19" s="1"/>
  <c r="F1285" i="19"/>
  <c r="G1285" i="19" s="1"/>
  <c r="F1284" i="19"/>
  <c r="G1284" i="19" s="1"/>
  <c r="F1283" i="19"/>
  <c r="G1283" i="19" s="1"/>
  <c r="F1282" i="19"/>
  <c r="G1282" i="19" s="1"/>
  <c r="F1281" i="19"/>
  <c r="G1281" i="19" s="1"/>
  <c r="F1280" i="19"/>
  <c r="G1280" i="19" s="1"/>
  <c r="F1279" i="19"/>
  <c r="G1279" i="19" s="1"/>
  <c r="F1278" i="19"/>
  <c r="G1278" i="19" s="1"/>
  <c r="F1277" i="19"/>
  <c r="G1277" i="19" s="1"/>
  <c r="F1276" i="19"/>
  <c r="G1276" i="19" s="1"/>
  <c r="F1275" i="19"/>
  <c r="G1275" i="19" s="1"/>
  <c r="F1274" i="19"/>
  <c r="G1274" i="19" s="1"/>
  <c r="F1273" i="19"/>
  <c r="G1273" i="19" s="1"/>
  <c r="F1272" i="19"/>
  <c r="G1272" i="19" s="1"/>
  <c r="F1271" i="19"/>
  <c r="G1271" i="19" s="1"/>
  <c r="F1270" i="19"/>
  <c r="G1270" i="19" s="1"/>
  <c r="F1269" i="19"/>
  <c r="G1269" i="19" s="1"/>
  <c r="F1268" i="19"/>
  <c r="G1268" i="19" s="1"/>
  <c r="F1267" i="19"/>
  <c r="G1267" i="19" s="1"/>
  <c r="F1266" i="19"/>
  <c r="G1266" i="19" s="1"/>
  <c r="F1265" i="19"/>
  <c r="G1265" i="19" s="1"/>
  <c r="F1264" i="19"/>
  <c r="G1264" i="19" s="1"/>
  <c r="F1263" i="19"/>
  <c r="G1263" i="19" s="1"/>
  <c r="F1262" i="19"/>
  <c r="G1262" i="19" s="1"/>
  <c r="F1261" i="19"/>
  <c r="G1261" i="19" s="1"/>
  <c r="F1260" i="19"/>
  <c r="G1260" i="19" s="1"/>
  <c r="F1259" i="19"/>
  <c r="G1259" i="19" s="1"/>
  <c r="F1258" i="19"/>
  <c r="G1258" i="19" s="1"/>
  <c r="F1257" i="19"/>
  <c r="G1257" i="19" s="1"/>
  <c r="F1256" i="19"/>
  <c r="G1256" i="19" s="1"/>
  <c r="F1255" i="19"/>
  <c r="G1255" i="19" s="1"/>
  <c r="F1254" i="19"/>
  <c r="G1254" i="19" s="1"/>
  <c r="F1253" i="19"/>
  <c r="G1253" i="19" s="1"/>
  <c r="F1252" i="19"/>
  <c r="G1252" i="19" s="1"/>
  <c r="F1251" i="19"/>
  <c r="G1251" i="19" s="1"/>
  <c r="F1250" i="19"/>
  <c r="G1250" i="19" s="1"/>
  <c r="F1249" i="19"/>
  <c r="G1249" i="19" s="1"/>
  <c r="F1248" i="19"/>
  <c r="G1248" i="19" s="1"/>
  <c r="F1247" i="19"/>
  <c r="G1247" i="19" s="1"/>
  <c r="F1246" i="19"/>
  <c r="G1246" i="19" s="1"/>
  <c r="F1245" i="19"/>
  <c r="G1245" i="19" s="1"/>
  <c r="F1244" i="19"/>
  <c r="G1244" i="19" s="1"/>
  <c r="F1243" i="19"/>
  <c r="G1243" i="19" s="1"/>
  <c r="F1242" i="19"/>
  <c r="G1242" i="19" s="1"/>
  <c r="F1241" i="19"/>
  <c r="G1241" i="19" s="1"/>
  <c r="F1240" i="19"/>
  <c r="G1240" i="19" s="1"/>
  <c r="F1239" i="19"/>
  <c r="G1239" i="19" s="1"/>
  <c r="F1238" i="19"/>
  <c r="G1238" i="19" s="1"/>
  <c r="F1237" i="19"/>
  <c r="G1237" i="19" s="1"/>
  <c r="F1236" i="19"/>
  <c r="G1236" i="19" s="1"/>
  <c r="F1235" i="19"/>
  <c r="G1235" i="19" s="1"/>
  <c r="F1234" i="19"/>
  <c r="G1234" i="19" s="1"/>
  <c r="F1233" i="19"/>
  <c r="G1233" i="19" s="1"/>
  <c r="F1232" i="19"/>
  <c r="G1232" i="19" s="1"/>
  <c r="F1231" i="19"/>
  <c r="G1231" i="19" s="1"/>
  <c r="F1230" i="19"/>
  <c r="G1230" i="19" s="1"/>
  <c r="F1229" i="19"/>
  <c r="G1229" i="19" s="1"/>
  <c r="F1228" i="19"/>
  <c r="G1228" i="19" s="1"/>
  <c r="F1227" i="19"/>
  <c r="G1227" i="19" s="1"/>
  <c r="F1226" i="19"/>
  <c r="G1226" i="19" s="1"/>
  <c r="F1225" i="19"/>
  <c r="G1225" i="19" s="1"/>
  <c r="F1224" i="19"/>
  <c r="G1224" i="19" s="1"/>
  <c r="F1223" i="19"/>
  <c r="G1223" i="19" s="1"/>
  <c r="F1222" i="19"/>
  <c r="G1222" i="19" s="1"/>
  <c r="F1221" i="19"/>
  <c r="G1221" i="19" s="1"/>
  <c r="F1220" i="19"/>
  <c r="G1220" i="19" s="1"/>
  <c r="F1219" i="19"/>
  <c r="G1219" i="19" s="1"/>
  <c r="F1218" i="19"/>
  <c r="G1218" i="19" s="1"/>
  <c r="F1217" i="19"/>
  <c r="G1217" i="19" s="1"/>
  <c r="F1216" i="19"/>
  <c r="G1216" i="19" s="1"/>
  <c r="F1215" i="19"/>
  <c r="G1215" i="19" s="1"/>
  <c r="F1214" i="19"/>
  <c r="G1214" i="19" s="1"/>
  <c r="F1213" i="19"/>
  <c r="G1213" i="19" s="1"/>
  <c r="F1212" i="19"/>
  <c r="G1212" i="19" s="1"/>
  <c r="F1211" i="19"/>
  <c r="G1211" i="19" s="1"/>
  <c r="F1210" i="19"/>
  <c r="G1210" i="19" s="1"/>
  <c r="F1209" i="19"/>
  <c r="G1209" i="19" s="1"/>
  <c r="F1208" i="19"/>
  <c r="G1208" i="19" s="1"/>
  <c r="F1207" i="19"/>
  <c r="G1207" i="19" s="1"/>
  <c r="F1206" i="19"/>
  <c r="G1206" i="19" s="1"/>
  <c r="F1205" i="19"/>
  <c r="G1205" i="19" s="1"/>
  <c r="F1204" i="19"/>
  <c r="G1204" i="19" s="1"/>
  <c r="F1203" i="19"/>
  <c r="G1203" i="19" s="1"/>
  <c r="F1202" i="19"/>
  <c r="G1202" i="19" s="1"/>
  <c r="F1201" i="19"/>
  <c r="G1201" i="19" s="1"/>
  <c r="F1200" i="19"/>
  <c r="G1200" i="19" s="1"/>
  <c r="F1199" i="19"/>
  <c r="G1199" i="19" s="1"/>
  <c r="F1198" i="19"/>
  <c r="G1198" i="19" s="1"/>
  <c r="F1197" i="19"/>
  <c r="G1197" i="19" s="1"/>
  <c r="F1196" i="19"/>
  <c r="G1196" i="19" s="1"/>
  <c r="F1195" i="19"/>
  <c r="G1195" i="19" s="1"/>
  <c r="F1194" i="19"/>
  <c r="G1194" i="19" s="1"/>
  <c r="F1193" i="19"/>
  <c r="G1193" i="19" s="1"/>
  <c r="F1192" i="19"/>
  <c r="G1192" i="19" s="1"/>
  <c r="F1191" i="19"/>
  <c r="G1191" i="19" s="1"/>
  <c r="F1190" i="19"/>
  <c r="G1190" i="19" s="1"/>
  <c r="F1189" i="19"/>
  <c r="G1189" i="19" s="1"/>
  <c r="F1188" i="19"/>
  <c r="G1188" i="19" s="1"/>
  <c r="F1187" i="19"/>
  <c r="G1187" i="19" s="1"/>
  <c r="F1186" i="19"/>
  <c r="G1186" i="19" s="1"/>
  <c r="F1185" i="19"/>
  <c r="G1185" i="19" s="1"/>
  <c r="F1184" i="19"/>
  <c r="G1184" i="19" s="1"/>
  <c r="F1183" i="19"/>
  <c r="G1183" i="19" s="1"/>
  <c r="F1182" i="19"/>
  <c r="G1182" i="19" s="1"/>
  <c r="F1181" i="19"/>
  <c r="G1181" i="19" s="1"/>
  <c r="F1180" i="19"/>
  <c r="G1180" i="19" s="1"/>
  <c r="F1179" i="19"/>
  <c r="G1179" i="19" s="1"/>
  <c r="F1178" i="19"/>
  <c r="G1178" i="19" s="1"/>
  <c r="F1177" i="19"/>
  <c r="G1177" i="19" s="1"/>
  <c r="F1176" i="19"/>
  <c r="G1176" i="19" s="1"/>
  <c r="F1175" i="19"/>
  <c r="G1175" i="19" s="1"/>
  <c r="F1174" i="19"/>
  <c r="G1174" i="19" s="1"/>
  <c r="F1173" i="19"/>
  <c r="G1173" i="19" s="1"/>
  <c r="F1172" i="19"/>
  <c r="G1172" i="19" s="1"/>
  <c r="F1171" i="19"/>
  <c r="G1171" i="19" s="1"/>
  <c r="F1170" i="19"/>
  <c r="G1170" i="19" s="1"/>
  <c r="F1169" i="19"/>
  <c r="G1169" i="19" s="1"/>
  <c r="F1168" i="19"/>
  <c r="G1168" i="19" s="1"/>
  <c r="F1167" i="19"/>
  <c r="G1167" i="19" s="1"/>
  <c r="F1166" i="19"/>
  <c r="G1166" i="19" s="1"/>
  <c r="F1165" i="19"/>
  <c r="G1165" i="19" s="1"/>
  <c r="F1164" i="19"/>
  <c r="G1164" i="19" s="1"/>
  <c r="F1163" i="19"/>
  <c r="G1163" i="19" s="1"/>
  <c r="F1162" i="19"/>
  <c r="G1162" i="19" s="1"/>
  <c r="F1161" i="19"/>
  <c r="G1161" i="19" s="1"/>
  <c r="F1160" i="19"/>
  <c r="G1160" i="19" s="1"/>
  <c r="F1159" i="19"/>
  <c r="G1159" i="19" s="1"/>
  <c r="F1158" i="19"/>
  <c r="G1158" i="19" s="1"/>
  <c r="F1157" i="19"/>
  <c r="G1157" i="19" s="1"/>
  <c r="F1156" i="19"/>
  <c r="G1156" i="19" s="1"/>
  <c r="F1155" i="19"/>
  <c r="G1155" i="19" s="1"/>
  <c r="F1154" i="19"/>
  <c r="G1154" i="19" s="1"/>
  <c r="F1153" i="19"/>
  <c r="G1153" i="19" s="1"/>
  <c r="F1152" i="19"/>
  <c r="G1152" i="19" s="1"/>
  <c r="F1151" i="19"/>
  <c r="G1151" i="19" s="1"/>
  <c r="F1150" i="19"/>
  <c r="G1150" i="19" s="1"/>
  <c r="F1149" i="19"/>
  <c r="G1149" i="19" s="1"/>
  <c r="F1148" i="19"/>
  <c r="G1148" i="19" s="1"/>
  <c r="F1147" i="19"/>
  <c r="G1147" i="19" s="1"/>
  <c r="F1146" i="19"/>
  <c r="G1146" i="19" s="1"/>
  <c r="F1145" i="19"/>
  <c r="G1145" i="19" s="1"/>
  <c r="F1144" i="19"/>
  <c r="G1144" i="19" s="1"/>
  <c r="F1143" i="19"/>
  <c r="G1143" i="19" s="1"/>
  <c r="F1142" i="19"/>
  <c r="G1142" i="19" s="1"/>
  <c r="F1141" i="19"/>
  <c r="G1141" i="19" s="1"/>
  <c r="F1140" i="19"/>
  <c r="G1140" i="19" s="1"/>
  <c r="F1139" i="19"/>
  <c r="G1139" i="19" s="1"/>
  <c r="F1138" i="19"/>
  <c r="G1138" i="19" s="1"/>
  <c r="F1137" i="19"/>
  <c r="G1137" i="19" s="1"/>
  <c r="F1136" i="19"/>
  <c r="G1136" i="19" s="1"/>
  <c r="F1135" i="19"/>
  <c r="G1135" i="19" s="1"/>
  <c r="F1134" i="19"/>
  <c r="G1134" i="19" s="1"/>
  <c r="F1133" i="19"/>
  <c r="G1133" i="19" s="1"/>
  <c r="F1132" i="19"/>
  <c r="G1132" i="19" s="1"/>
  <c r="F1131" i="19"/>
  <c r="G1131" i="19" s="1"/>
  <c r="F1130" i="19"/>
  <c r="G1130" i="19" s="1"/>
  <c r="F1129" i="19"/>
  <c r="G1129" i="19" s="1"/>
  <c r="F1128" i="19"/>
  <c r="G1128" i="19" s="1"/>
  <c r="F1127" i="19"/>
  <c r="G1127" i="19" s="1"/>
  <c r="F1126" i="19"/>
  <c r="G1126" i="19" s="1"/>
  <c r="F1125" i="19"/>
  <c r="G1125" i="19" s="1"/>
  <c r="F1124" i="19"/>
  <c r="G1124" i="19" s="1"/>
  <c r="F1123" i="19"/>
  <c r="G1123" i="19" s="1"/>
  <c r="F1122" i="19"/>
  <c r="G1122" i="19" s="1"/>
  <c r="F1121" i="19"/>
  <c r="G1121" i="19" s="1"/>
  <c r="F1120" i="19"/>
  <c r="G1120" i="19" s="1"/>
  <c r="F1119" i="19"/>
  <c r="G1119" i="19" s="1"/>
  <c r="F1118" i="19"/>
  <c r="G1118" i="19" s="1"/>
  <c r="F1117" i="19"/>
  <c r="G1117" i="19" s="1"/>
  <c r="F1116" i="19"/>
  <c r="G1116" i="19" s="1"/>
  <c r="F1115" i="19"/>
  <c r="G1115" i="19" s="1"/>
  <c r="F1114" i="19"/>
  <c r="G1114" i="19" s="1"/>
  <c r="F1113" i="19"/>
  <c r="G1113" i="19" s="1"/>
  <c r="F1112" i="19"/>
  <c r="G1112" i="19" s="1"/>
  <c r="F1111" i="19"/>
  <c r="G1111" i="19" s="1"/>
  <c r="F1110" i="19"/>
  <c r="G1110" i="19" s="1"/>
  <c r="F1109" i="19"/>
  <c r="G1109" i="19" s="1"/>
  <c r="F1108" i="19"/>
  <c r="G1108" i="19" s="1"/>
  <c r="F1107" i="19"/>
  <c r="G1107" i="19" s="1"/>
  <c r="F1106" i="19"/>
  <c r="G1106" i="19" s="1"/>
  <c r="F1105" i="19"/>
  <c r="G1105" i="19" s="1"/>
  <c r="F1104" i="19"/>
  <c r="G1104" i="19" s="1"/>
  <c r="F1103" i="19"/>
  <c r="G1103" i="19" s="1"/>
  <c r="F1102" i="19"/>
  <c r="G1102" i="19" s="1"/>
  <c r="F1101" i="19"/>
  <c r="G1101" i="19" s="1"/>
  <c r="F1100" i="19"/>
  <c r="G1100" i="19" s="1"/>
  <c r="F1099" i="19"/>
  <c r="G1099" i="19" s="1"/>
  <c r="F1098" i="19"/>
  <c r="G1098" i="19" s="1"/>
  <c r="F1097" i="19"/>
  <c r="G1097" i="19" s="1"/>
  <c r="F1096" i="19"/>
  <c r="G1096" i="19" s="1"/>
  <c r="F1095" i="19"/>
  <c r="G1095" i="19" s="1"/>
  <c r="F1094" i="19"/>
  <c r="G1094" i="19" s="1"/>
  <c r="F1093" i="19"/>
  <c r="G1093" i="19" s="1"/>
  <c r="F1092" i="19"/>
  <c r="G1092" i="19" s="1"/>
  <c r="F1091" i="19"/>
  <c r="G1091" i="19" s="1"/>
  <c r="F1090" i="19"/>
  <c r="G1090" i="19" s="1"/>
  <c r="F1089" i="19"/>
  <c r="G1089" i="19" s="1"/>
  <c r="F1088" i="19"/>
  <c r="G1088" i="19" s="1"/>
  <c r="F1087" i="19"/>
  <c r="G1087" i="19" s="1"/>
  <c r="F1086" i="19"/>
  <c r="G1086" i="19" s="1"/>
  <c r="F1085" i="19"/>
  <c r="G1085" i="19" s="1"/>
  <c r="F1084" i="19"/>
  <c r="G1084" i="19" s="1"/>
  <c r="F1083" i="19"/>
  <c r="G1083" i="19" s="1"/>
  <c r="F1082" i="19"/>
  <c r="G1082" i="19" s="1"/>
  <c r="F1081" i="19"/>
  <c r="G1081" i="19" s="1"/>
  <c r="F1080" i="19"/>
  <c r="G1080" i="19" s="1"/>
  <c r="F1079" i="19"/>
  <c r="G1079" i="19" s="1"/>
  <c r="F1078" i="19"/>
  <c r="G1078" i="19" s="1"/>
  <c r="F1077" i="19"/>
  <c r="G1077" i="19" s="1"/>
  <c r="F1076" i="19"/>
  <c r="G1076" i="19" s="1"/>
  <c r="F1075" i="19"/>
  <c r="G1075" i="19" s="1"/>
  <c r="F1074" i="19"/>
  <c r="G1074" i="19" s="1"/>
  <c r="F1073" i="19"/>
  <c r="G1073" i="19" s="1"/>
  <c r="F1072" i="19"/>
  <c r="G1072" i="19" s="1"/>
  <c r="F1071" i="19"/>
  <c r="G1071" i="19" s="1"/>
  <c r="F1070" i="19"/>
  <c r="G1070" i="19" s="1"/>
  <c r="F1069" i="19"/>
  <c r="G1069" i="19" s="1"/>
  <c r="F1068" i="19"/>
  <c r="G1068" i="19" s="1"/>
  <c r="F1067" i="19"/>
  <c r="G1067" i="19" s="1"/>
  <c r="F1066" i="19"/>
  <c r="G1066" i="19" s="1"/>
  <c r="F1065" i="19"/>
  <c r="G1065" i="19" s="1"/>
  <c r="F1064" i="19"/>
  <c r="G1064" i="19" s="1"/>
  <c r="F1063" i="19"/>
  <c r="G1063" i="19" s="1"/>
  <c r="F1062" i="19"/>
  <c r="G1062" i="19" s="1"/>
  <c r="F1061" i="19"/>
  <c r="G1061" i="19" s="1"/>
  <c r="F1060" i="19"/>
  <c r="G1060" i="19" s="1"/>
  <c r="F1059" i="19"/>
  <c r="G1059" i="19" s="1"/>
  <c r="F1058" i="19"/>
  <c r="G1058" i="19" s="1"/>
  <c r="F1057" i="19"/>
  <c r="G1057" i="19" s="1"/>
  <c r="F1056" i="19"/>
  <c r="G1056" i="19" s="1"/>
  <c r="F1055" i="19"/>
  <c r="G1055" i="19" s="1"/>
  <c r="F1054" i="19"/>
  <c r="G1054" i="19" s="1"/>
  <c r="F1053" i="19"/>
  <c r="G1053" i="19" s="1"/>
  <c r="F1052" i="19"/>
  <c r="G1052" i="19" s="1"/>
  <c r="F1051" i="19"/>
  <c r="G1051" i="19" s="1"/>
  <c r="F1050" i="19"/>
  <c r="G1050" i="19" s="1"/>
  <c r="F1049" i="19"/>
  <c r="G1049" i="19" s="1"/>
  <c r="F1048" i="19"/>
  <c r="G1048" i="19" s="1"/>
  <c r="F1047" i="19"/>
  <c r="G1047" i="19" s="1"/>
  <c r="F1046" i="19"/>
  <c r="G1046" i="19" s="1"/>
  <c r="F1045" i="19"/>
  <c r="G1045" i="19" s="1"/>
  <c r="F1044" i="19"/>
  <c r="G1044" i="19" s="1"/>
  <c r="F1043" i="19"/>
  <c r="G1043" i="19" s="1"/>
  <c r="F1042" i="19"/>
  <c r="G1042" i="19" s="1"/>
  <c r="F1041" i="19"/>
  <c r="G1041" i="19" s="1"/>
  <c r="F1040" i="19"/>
  <c r="G1040" i="19" s="1"/>
  <c r="F1039" i="19"/>
  <c r="G1039" i="19" s="1"/>
  <c r="F1038" i="19"/>
  <c r="G1038" i="19" s="1"/>
  <c r="F1037" i="19"/>
  <c r="G1037" i="19" s="1"/>
  <c r="F1036" i="19"/>
  <c r="G1036" i="19" s="1"/>
  <c r="F1035" i="19"/>
  <c r="G1035" i="19" s="1"/>
  <c r="F1034" i="19"/>
  <c r="G1034" i="19" s="1"/>
  <c r="F1033" i="19"/>
  <c r="G1033" i="19" s="1"/>
  <c r="F1032" i="19"/>
  <c r="G1032" i="19" s="1"/>
  <c r="F1031" i="19"/>
  <c r="G1031" i="19" s="1"/>
  <c r="F1030" i="19"/>
  <c r="G1030" i="19" s="1"/>
  <c r="F1029" i="19"/>
  <c r="G1029" i="19" s="1"/>
  <c r="F1028" i="19"/>
  <c r="G1028" i="19" s="1"/>
  <c r="F1027" i="19"/>
  <c r="G1027" i="19" s="1"/>
  <c r="F1026" i="19"/>
  <c r="G1026" i="19" s="1"/>
  <c r="F1025" i="19"/>
  <c r="G1025" i="19" s="1"/>
  <c r="F1024" i="19"/>
  <c r="G1024" i="19" s="1"/>
  <c r="F1023" i="19"/>
  <c r="G1023" i="19" s="1"/>
  <c r="F1022" i="19"/>
  <c r="G1022" i="19" s="1"/>
  <c r="F1021" i="19"/>
  <c r="G1021" i="19" s="1"/>
  <c r="F1020" i="19"/>
  <c r="G1020" i="19" s="1"/>
  <c r="F1019" i="19"/>
  <c r="G1019" i="19" s="1"/>
  <c r="F1018" i="19"/>
  <c r="G1018" i="19" s="1"/>
  <c r="F1017" i="19"/>
  <c r="G1017" i="19" s="1"/>
  <c r="F1016" i="19"/>
  <c r="G1016" i="19" s="1"/>
  <c r="F1015" i="19"/>
  <c r="G1015" i="19" s="1"/>
  <c r="F1014" i="19"/>
  <c r="G1014" i="19" s="1"/>
  <c r="F1013" i="19"/>
  <c r="G1013" i="19" s="1"/>
  <c r="F1012" i="19"/>
  <c r="G1012" i="19" s="1"/>
  <c r="F1011" i="19"/>
  <c r="G1011" i="19" s="1"/>
  <c r="F1010" i="19"/>
  <c r="G1010" i="19" s="1"/>
  <c r="F1009" i="19"/>
  <c r="G1009" i="19" s="1"/>
  <c r="F1008" i="19"/>
  <c r="G1008" i="19" s="1"/>
  <c r="F1007" i="19"/>
  <c r="G1007" i="19" s="1"/>
  <c r="F1006" i="19"/>
  <c r="G1006" i="19" s="1"/>
  <c r="F1005" i="19"/>
  <c r="G1005" i="19" s="1"/>
  <c r="F1004" i="19"/>
  <c r="G1004" i="19" s="1"/>
  <c r="F1003" i="19"/>
  <c r="G1003" i="19" s="1"/>
  <c r="F1002" i="19"/>
  <c r="G1002" i="19" s="1"/>
  <c r="F1001" i="19"/>
  <c r="G1001" i="19" s="1"/>
  <c r="F1000" i="19"/>
  <c r="G1000" i="19" s="1"/>
  <c r="F999" i="19"/>
  <c r="G999" i="19" s="1"/>
  <c r="F998" i="19"/>
  <c r="G998" i="19" s="1"/>
  <c r="F997" i="19"/>
  <c r="G997" i="19" s="1"/>
  <c r="F996" i="19"/>
  <c r="G996" i="19" s="1"/>
  <c r="F995" i="19"/>
  <c r="G995" i="19" s="1"/>
  <c r="F994" i="19"/>
  <c r="G994" i="19" s="1"/>
  <c r="F993" i="19"/>
  <c r="G993" i="19" s="1"/>
  <c r="F992" i="19"/>
  <c r="G992" i="19" s="1"/>
  <c r="F991" i="19"/>
  <c r="G991" i="19" s="1"/>
  <c r="F990" i="19"/>
  <c r="G990" i="19" s="1"/>
  <c r="F989" i="19"/>
  <c r="G989" i="19" s="1"/>
  <c r="F988" i="19"/>
  <c r="G988" i="19" s="1"/>
  <c r="F987" i="19"/>
  <c r="G987" i="19" s="1"/>
  <c r="F986" i="19"/>
  <c r="G986" i="19" s="1"/>
  <c r="F985" i="19"/>
  <c r="G985" i="19" s="1"/>
  <c r="F984" i="19"/>
  <c r="G984" i="19" s="1"/>
  <c r="F983" i="19"/>
  <c r="G983" i="19" s="1"/>
  <c r="F982" i="19"/>
  <c r="G982" i="19" s="1"/>
  <c r="F981" i="19"/>
  <c r="G981" i="19" s="1"/>
  <c r="F980" i="19"/>
  <c r="G980" i="19" s="1"/>
  <c r="F979" i="19"/>
  <c r="G979" i="19" s="1"/>
  <c r="F978" i="19"/>
  <c r="G978" i="19" s="1"/>
  <c r="F977" i="19"/>
  <c r="G977" i="19" s="1"/>
  <c r="F976" i="19"/>
  <c r="G976" i="19" s="1"/>
  <c r="F975" i="19"/>
  <c r="G975" i="19" s="1"/>
  <c r="F974" i="19"/>
  <c r="G974" i="19" s="1"/>
  <c r="F973" i="19"/>
  <c r="G973" i="19" s="1"/>
  <c r="F972" i="19"/>
  <c r="G972" i="19" s="1"/>
  <c r="F971" i="19"/>
  <c r="G971" i="19" s="1"/>
  <c r="F970" i="19"/>
  <c r="G970" i="19" s="1"/>
  <c r="F969" i="19"/>
  <c r="G969" i="19" s="1"/>
  <c r="F968" i="19"/>
  <c r="G968" i="19" s="1"/>
  <c r="F967" i="19"/>
  <c r="G967" i="19" s="1"/>
  <c r="F966" i="19"/>
  <c r="G966" i="19" s="1"/>
  <c r="F965" i="19"/>
  <c r="G965" i="19" s="1"/>
  <c r="F964" i="19"/>
  <c r="G964" i="19" s="1"/>
  <c r="F963" i="19"/>
  <c r="G963" i="19" s="1"/>
  <c r="F962" i="19"/>
  <c r="G962" i="19" s="1"/>
  <c r="F961" i="19"/>
  <c r="G961" i="19" s="1"/>
  <c r="F960" i="19"/>
  <c r="G960" i="19" s="1"/>
  <c r="F959" i="19"/>
  <c r="G959" i="19" s="1"/>
  <c r="F958" i="19"/>
  <c r="G958" i="19" s="1"/>
  <c r="F957" i="19"/>
  <c r="G957" i="19" s="1"/>
  <c r="F956" i="19"/>
  <c r="G956" i="19" s="1"/>
  <c r="F955" i="19"/>
  <c r="G955" i="19" s="1"/>
  <c r="F954" i="19"/>
  <c r="G954" i="19" s="1"/>
  <c r="F953" i="19"/>
  <c r="G953" i="19" s="1"/>
  <c r="F952" i="19"/>
  <c r="G952" i="19" s="1"/>
  <c r="F951" i="19"/>
  <c r="G951" i="19" s="1"/>
  <c r="F950" i="19"/>
  <c r="G950" i="19" s="1"/>
  <c r="F949" i="19"/>
  <c r="G949" i="19" s="1"/>
  <c r="F948" i="19"/>
  <c r="G948" i="19" s="1"/>
  <c r="F947" i="19"/>
  <c r="G947" i="19" s="1"/>
  <c r="F946" i="19"/>
  <c r="G946" i="19" s="1"/>
  <c r="F945" i="19"/>
  <c r="G945" i="19" s="1"/>
  <c r="F944" i="19"/>
  <c r="G944" i="19" s="1"/>
  <c r="F943" i="19"/>
  <c r="G943" i="19" s="1"/>
  <c r="F942" i="19"/>
  <c r="G942" i="19" s="1"/>
  <c r="F941" i="19"/>
  <c r="G941" i="19" s="1"/>
  <c r="F940" i="19"/>
  <c r="G940" i="19" s="1"/>
  <c r="F939" i="19"/>
  <c r="G939" i="19" s="1"/>
  <c r="F938" i="19"/>
  <c r="G938" i="19" s="1"/>
  <c r="F937" i="19"/>
  <c r="G937" i="19" s="1"/>
  <c r="F936" i="19"/>
  <c r="G936" i="19" s="1"/>
  <c r="F935" i="19"/>
  <c r="G935" i="19" s="1"/>
  <c r="F934" i="19"/>
  <c r="G934" i="19" s="1"/>
  <c r="F933" i="19"/>
  <c r="G933" i="19" s="1"/>
  <c r="F932" i="19"/>
  <c r="G932" i="19" s="1"/>
  <c r="F931" i="19"/>
  <c r="G931" i="19" s="1"/>
  <c r="F930" i="19"/>
  <c r="G930" i="19" s="1"/>
  <c r="F929" i="19"/>
  <c r="G929" i="19" s="1"/>
  <c r="F928" i="19"/>
  <c r="G928" i="19" s="1"/>
  <c r="F927" i="19"/>
  <c r="G927" i="19" s="1"/>
  <c r="F926" i="19"/>
  <c r="G926" i="19" s="1"/>
  <c r="F925" i="19"/>
  <c r="G925" i="19" s="1"/>
  <c r="F924" i="19"/>
  <c r="G924" i="19" s="1"/>
  <c r="F923" i="19"/>
  <c r="G923" i="19" s="1"/>
  <c r="F922" i="19"/>
  <c r="G922" i="19" s="1"/>
  <c r="F921" i="19"/>
  <c r="G921" i="19" s="1"/>
  <c r="F920" i="19"/>
  <c r="G920" i="19" s="1"/>
  <c r="F919" i="19"/>
  <c r="G919" i="19" s="1"/>
  <c r="F918" i="19"/>
  <c r="G918" i="19" s="1"/>
  <c r="F917" i="19"/>
  <c r="G917" i="19" s="1"/>
  <c r="F916" i="19"/>
  <c r="G916" i="19" s="1"/>
  <c r="F915" i="19"/>
  <c r="G915" i="19" s="1"/>
  <c r="F914" i="19"/>
  <c r="G914" i="19" s="1"/>
  <c r="F913" i="19"/>
  <c r="G913" i="19" s="1"/>
  <c r="F912" i="19"/>
  <c r="G912" i="19" s="1"/>
  <c r="F911" i="19"/>
  <c r="G911" i="19" s="1"/>
  <c r="F910" i="19"/>
  <c r="G910" i="19" s="1"/>
  <c r="F909" i="19"/>
  <c r="G909" i="19" s="1"/>
  <c r="F908" i="19"/>
  <c r="G908" i="19" s="1"/>
  <c r="F907" i="19"/>
  <c r="G907" i="19" s="1"/>
  <c r="F906" i="19"/>
  <c r="G906" i="19" s="1"/>
  <c r="F905" i="19"/>
  <c r="G905" i="19" s="1"/>
  <c r="F904" i="19"/>
  <c r="G904" i="19" s="1"/>
  <c r="F903" i="19"/>
  <c r="G903" i="19" s="1"/>
  <c r="F902" i="19"/>
  <c r="G902" i="19" s="1"/>
  <c r="F901" i="19"/>
  <c r="G901" i="19" s="1"/>
  <c r="F900" i="19"/>
  <c r="G900" i="19" s="1"/>
  <c r="F899" i="19"/>
  <c r="G899" i="19" s="1"/>
  <c r="F898" i="19"/>
  <c r="G898" i="19" s="1"/>
  <c r="F897" i="19"/>
  <c r="G897" i="19" s="1"/>
  <c r="F896" i="19"/>
  <c r="G896" i="19" s="1"/>
  <c r="F895" i="19"/>
  <c r="G895" i="19" s="1"/>
  <c r="F894" i="19"/>
  <c r="G894" i="19" s="1"/>
  <c r="F893" i="19"/>
  <c r="G893" i="19" s="1"/>
  <c r="F892" i="19"/>
  <c r="G892" i="19" s="1"/>
  <c r="F891" i="19"/>
  <c r="G891" i="19" s="1"/>
  <c r="F890" i="19"/>
  <c r="G890" i="19" s="1"/>
  <c r="F889" i="19"/>
  <c r="G889" i="19" s="1"/>
  <c r="F888" i="19"/>
  <c r="G888" i="19" s="1"/>
  <c r="F887" i="19"/>
  <c r="G887" i="19" s="1"/>
  <c r="F886" i="19"/>
  <c r="G886" i="19" s="1"/>
  <c r="F885" i="19"/>
  <c r="G885" i="19" s="1"/>
  <c r="F884" i="19"/>
  <c r="G884" i="19" s="1"/>
  <c r="F883" i="19"/>
  <c r="G883" i="19" s="1"/>
  <c r="F882" i="19"/>
  <c r="G882" i="19" s="1"/>
  <c r="F881" i="19"/>
  <c r="G881" i="19" s="1"/>
  <c r="F880" i="19"/>
  <c r="G880" i="19" s="1"/>
  <c r="F879" i="19"/>
  <c r="G879" i="19" s="1"/>
  <c r="F878" i="19"/>
  <c r="G878" i="19" s="1"/>
  <c r="F877" i="19"/>
  <c r="G877" i="19" s="1"/>
  <c r="F876" i="19"/>
  <c r="G876" i="19" s="1"/>
  <c r="F875" i="19"/>
  <c r="G875" i="19" s="1"/>
  <c r="F874" i="19"/>
  <c r="G874" i="19" s="1"/>
  <c r="F873" i="19"/>
  <c r="G873" i="19" s="1"/>
  <c r="F872" i="19"/>
  <c r="G872" i="19" s="1"/>
  <c r="F871" i="19"/>
  <c r="G871" i="19" s="1"/>
  <c r="F870" i="19"/>
  <c r="G870" i="19" s="1"/>
  <c r="F869" i="19"/>
  <c r="G869" i="19" s="1"/>
  <c r="F868" i="19"/>
  <c r="G868" i="19" s="1"/>
  <c r="F867" i="19"/>
  <c r="G867" i="19" s="1"/>
  <c r="F866" i="19"/>
  <c r="G866" i="19" s="1"/>
  <c r="F865" i="19"/>
  <c r="G865" i="19" s="1"/>
  <c r="F864" i="19"/>
  <c r="G864" i="19" s="1"/>
  <c r="F863" i="19"/>
  <c r="G863" i="19" s="1"/>
  <c r="F862" i="19"/>
  <c r="G862" i="19" s="1"/>
  <c r="F861" i="19"/>
  <c r="G861" i="19" s="1"/>
  <c r="F860" i="19"/>
  <c r="G860" i="19" s="1"/>
  <c r="F859" i="19"/>
  <c r="G859" i="19" s="1"/>
  <c r="F858" i="19"/>
  <c r="G858" i="19" s="1"/>
  <c r="F857" i="19"/>
  <c r="G857" i="19" s="1"/>
  <c r="F856" i="19"/>
  <c r="G856" i="19" s="1"/>
  <c r="F855" i="19"/>
  <c r="G855" i="19" s="1"/>
  <c r="F854" i="19"/>
  <c r="G854" i="19" s="1"/>
  <c r="F853" i="19"/>
  <c r="G853" i="19" s="1"/>
  <c r="F852" i="19"/>
  <c r="G852" i="19" s="1"/>
  <c r="F851" i="19"/>
  <c r="G851" i="19" s="1"/>
  <c r="F850" i="19"/>
  <c r="G850" i="19" s="1"/>
  <c r="F849" i="19"/>
  <c r="G849" i="19" s="1"/>
  <c r="F848" i="19"/>
  <c r="G848" i="19" s="1"/>
  <c r="F847" i="19"/>
  <c r="G847" i="19" s="1"/>
  <c r="F846" i="19"/>
  <c r="G846" i="19" s="1"/>
  <c r="F845" i="19"/>
  <c r="G845" i="19" s="1"/>
  <c r="F844" i="19"/>
  <c r="G844" i="19" s="1"/>
  <c r="F843" i="19"/>
  <c r="G843" i="19" s="1"/>
  <c r="F842" i="19"/>
  <c r="G842" i="19" s="1"/>
  <c r="F841" i="19"/>
  <c r="G841" i="19" s="1"/>
  <c r="F840" i="19"/>
  <c r="G840" i="19" s="1"/>
  <c r="F839" i="19"/>
  <c r="G839" i="19" s="1"/>
  <c r="F838" i="19"/>
  <c r="G838" i="19" s="1"/>
  <c r="F837" i="19"/>
  <c r="G837" i="19" s="1"/>
  <c r="F836" i="19"/>
  <c r="G836" i="19" s="1"/>
  <c r="F835" i="19"/>
  <c r="G835" i="19" s="1"/>
  <c r="F834" i="19"/>
  <c r="G834" i="19" s="1"/>
  <c r="F833" i="19"/>
  <c r="G833" i="19" s="1"/>
  <c r="F832" i="19"/>
  <c r="G832" i="19" s="1"/>
  <c r="F831" i="19"/>
  <c r="G831" i="19" s="1"/>
  <c r="F830" i="19"/>
  <c r="G830" i="19" s="1"/>
  <c r="F829" i="19"/>
  <c r="G829" i="19" s="1"/>
  <c r="F828" i="19"/>
  <c r="G828" i="19" s="1"/>
  <c r="F827" i="19"/>
  <c r="G827" i="19" s="1"/>
  <c r="F826" i="19"/>
  <c r="G826" i="19" s="1"/>
  <c r="F825" i="19"/>
  <c r="G825" i="19" s="1"/>
  <c r="F824" i="19"/>
  <c r="G824" i="19" s="1"/>
  <c r="F823" i="19"/>
  <c r="G823" i="19" s="1"/>
  <c r="F822" i="19"/>
  <c r="G822" i="19" s="1"/>
  <c r="F821" i="19"/>
  <c r="G821" i="19" s="1"/>
  <c r="F820" i="19"/>
  <c r="G820" i="19" s="1"/>
  <c r="F819" i="19"/>
  <c r="G819" i="19" s="1"/>
  <c r="F818" i="19"/>
  <c r="G818" i="19" s="1"/>
  <c r="F817" i="19"/>
  <c r="G817" i="19" s="1"/>
  <c r="F816" i="19"/>
  <c r="G816" i="19" s="1"/>
  <c r="F815" i="19"/>
  <c r="G815" i="19" s="1"/>
  <c r="F814" i="19"/>
  <c r="G814" i="19" s="1"/>
  <c r="F813" i="19"/>
  <c r="G813" i="19" s="1"/>
  <c r="F812" i="19"/>
  <c r="G812" i="19" s="1"/>
  <c r="F811" i="19"/>
  <c r="G811" i="19" s="1"/>
  <c r="F810" i="19"/>
  <c r="G810" i="19" s="1"/>
  <c r="F809" i="19"/>
  <c r="G809" i="19" s="1"/>
  <c r="F808" i="19"/>
  <c r="G808" i="19" s="1"/>
  <c r="F807" i="19"/>
  <c r="G807" i="19" s="1"/>
  <c r="F806" i="19"/>
  <c r="G806" i="19" s="1"/>
  <c r="F805" i="19"/>
  <c r="G805" i="19" s="1"/>
  <c r="F804" i="19"/>
  <c r="G804" i="19" s="1"/>
  <c r="F803" i="19"/>
  <c r="G803" i="19" s="1"/>
  <c r="F802" i="19"/>
  <c r="G802" i="19" s="1"/>
  <c r="F801" i="19"/>
  <c r="G801" i="19" s="1"/>
  <c r="F800" i="19"/>
  <c r="G800" i="19" s="1"/>
  <c r="F799" i="19"/>
  <c r="G799" i="19" s="1"/>
  <c r="F798" i="19"/>
  <c r="G798" i="19" s="1"/>
  <c r="F797" i="19"/>
  <c r="G797" i="19" s="1"/>
  <c r="F796" i="19"/>
  <c r="G796" i="19" s="1"/>
  <c r="F795" i="19"/>
  <c r="G795" i="19" s="1"/>
  <c r="F794" i="19"/>
  <c r="G794" i="19" s="1"/>
  <c r="F793" i="19"/>
  <c r="G793" i="19" s="1"/>
  <c r="F792" i="19"/>
  <c r="G792" i="19" s="1"/>
  <c r="F791" i="19"/>
  <c r="G791" i="19" s="1"/>
  <c r="F790" i="19"/>
  <c r="G790" i="19" s="1"/>
  <c r="F789" i="19"/>
  <c r="G789" i="19" s="1"/>
  <c r="F788" i="19"/>
  <c r="G788" i="19" s="1"/>
  <c r="F787" i="19"/>
  <c r="G787" i="19" s="1"/>
  <c r="F786" i="19"/>
  <c r="G786" i="19" s="1"/>
  <c r="F785" i="19"/>
  <c r="G785" i="19" s="1"/>
  <c r="F784" i="19"/>
  <c r="G784" i="19" s="1"/>
  <c r="F783" i="19"/>
  <c r="G783" i="19" s="1"/>
  <c r="F782" i="19"/>
  <c r="G782" i="19" s="1"/>
  <c r="F781" i="19"/>
  <c r="G781" i="19" s="1"/>
  <c r="F780" i="19"/>
  <c r="G780" i="19" s="1"/>
  <c r="F779" i="19"/>
  <c r="G779" i="19" s="1"/>
  <c r="F778" i="19"/>
  <c r="G778" i="19" s="1"/>
  <c r="F777" i="19"/>
  <c r="G777" i="19" s="1"/>
  <c r="F776" i="19"/>
  <c r="G776" i="19" s="1"/>
  <c r="F775" i="19"/>
  <c r="G775" i="19" s="1"/>
  <c r="F774" i="19"/>
  <c r="G774" i="19" s="1"/>
  <c r="F773" i="19"/>
  <c r="G773" i="19" s="1"/>
  <c r="F772" i="19"/>
  <c r="G772" i="19" s="1"/>
  <c r="F771" i="19"/>
  <c r="G771" i="19" s="1"/>
  <c r="F770" i="19"/>
  <c r="G770" i="19" s="1"/>
  <c r="F769" i="19"/>
  <c r="G769" i="19" s="1"/>
  <c r="F768" i="19"/>
  <c r="G768" i="19" s="1"/>
  <c r="F767" i="19"/>
  <c r="G767" i="19" s="1"/>
  <c r="F766" i="19"/>
  <c r="G766" i="19" s="1"/>
  <c r="F765" i="19"/>
  <c r="G765" i="19" s="1"/>
  <c r="F764" i="19"/>
  <c r="G764" i="19" s="1"/>
  <c r="F763" i="19"/>
  <c r="G763" i="19" s="1"/>
  <c r="F762" i="19"/>
  <c r="G762" i="19" s="1"/>
  <c r="F761" i="19"/>
  <c r="G761" i="19" s="1"/>
  <c r="F760" i="19"/>
  <c r="G760" i="19" s="1"/>
  <c r="F759" i="19"/>
  <c r="G759" i="19" s="1"/>
  <c r="F758" i="19"/>
  <c r="G758" i="19" s="1"/>
  <c r="F757" i="19"/>
  <c r="G757" i="19" s="1"/>
  <c r="F756" i="19"/>
  <c r="G756" i="19" s="1"/>
  <c r="F755" i="19"/>
  <c r="G755" i="19" s="1"/>
  <c r="F754" i="19"/>
  <c r="G754" i="19" s="1"/>
  <c r="F753" i="19"/>
  <c r="G753" i="19" s="1"/>
  <c r="F752" i="19"/>
  <c r="G752" i="19" s="1"/>
  <c r="F751" i="19"/>
  <c r="G751" i="19" s="1"/>
  <c r="F750" i="19"/>
  <c r="G750" i="19" s="1"/>
  <c r="F749" i="19"/>
  <c r="G749" i="19" s="1"/>
  <c r="F748" i="19"/>
  <c r="G748" i="19" s="1"/>
  <c r="F747" i="19"/>
  <c r="G747" i="19" s="1"/>
  <c r="F746" i="19"/>
  <c r="G746" i="19" s="1"/>
  <c r="F745" i="19"/>
  <c r="G745" i="19" s="1"/>
  <c r="F744" i="19"/>
  <c r="G744" i="19" s="1"/>
  <c r="F743" i="19"/>
  <c r="G743" i="19" s="1"/>
  <c r="F742" i="19"/>
  <c r="G742" i="19" s="1"/>
  <c r="F741" i="19"/>
  <c r="G741" i="19" s="1"/>
  <c r="F740" i="19"/>
  <c r="G740" i="19" s="1"/>
  <c r="F739" i="19"/>
  <c r="G739" i="19" s="1"/>
  <c r="F738" i="19"/>
  <c r="G738" i="19" s="1"/>
  <c r="F737" i="19"/>
  <c r="G737" i="19" s="1"/>
  <c r="F736" i="19"/>
  <c r="G736" i="19" s="1"/>
  <c r="F735" i="19"/>
  <c r="G735" i="19" s="1"/>
  <c r="F734" i="19"/>
  <c r="G734" i="19" s="1"/>
  <c r="F733" i="19"/>
  <c r="G733" i="19" s="1"/>
  <c r="F732" i="19"/>
  <c r="G732" i="19" s="1"/>
  <c r="F731" i="19"/>
  <c r="G731" i="19" s="1"/>
  <c r="F730" i="19"/>
  <c r="G730" i="19" s="1"/>
  <c r="F729" i="19"/>
  <c r="G729" i="19" s="1"/>
  <c r="F728" i="19"/>
  <c r="G728" i="19" s="1"/>
  <c r="F727" i="19"/>
  <c r="G727" i="19" s="1"/>
  <c r="F726" i="19"/>
  <c r="G726" i="19" s="1"/>
  <c r="F725" i="19"/>
  <c r="G725" i="19" s="1"/>
  <c r="F724" i="19"/>
  <c r="G724" i="19" s="1"/>
  <c r="F723" i="19"/>
  <c r="G723" i="19" s="1"/>
  <c r="F722" i="19"/>
  <c r="G722" i="19" s="1"/>
  <c r="F721" i="19"/>
  <c r="G721" i="19" s="1"/>
  <c r="F720" i="19"/>
  <c r="G720" i="19" s="1"/>
  <c r="F719" i="19"/>
  <c r="G719" i="19" s="1"/>
  <c r="F718" i="19"/>
  <c r="G718" i="19" s="1"/>
  <c r="F717" i="19"/>
  <c r="G717" i="19" s="1"/>
  <c r="F716" i="19"/>
  <c r="G716" i="19" s="1"/>
  <c r="F715" i="19"/>
  <c r="G715" i="19" s="1"/>
  <c r="F714" i="19"/>
  <c r="G714" i="19" s="1"/>
  <c r="F713" i="19"/>
  <c r="G713" i="19" s="1"/>
  <c r="F712" i="19"/>
  <c r="G712" i="19" s="1"/>
  <c r="F711" i="19"/>
  <c r="G711" i="19" s="1"/>
  <c r="F710" i="19"/>
  <c r="G710" i="19" s="1"/>
  <c r="F709" i="19"/>
  <c r="G709" i="19" s="1"/>
  <c r="F708" i="19"/>
  <c r="G708" i="19" s="1"/>
  <c r="F707" i="19"/>
  <c r="G707" i="19" s="1"/>
  <c r="F706" i="19"/>
  <c r="G706" i="19" s="1"/>
  <c r="F705" i="19"/>
  <c r="G705" i="19" s="1"/>
  <c r="F704" i="19"/>
  <c r="G704" i="19" s="1"/>
  <c r="F703" i="19"/>
  <c r="G703" i="19" s="1"/>
  <c r="F702" i="19"/>
  <c r="G702" i="19" s="1"/>
  <c r="F701" i="19"/>
  <c r="G701" i="19" s="1"/>
  <c r="F700" i="19"/>
  <c r="G700" i="19" s="1"/>
  <c r="F699" i="19"/>
  <c r="G699" i="19" s="1"/>
  <c r="F698" i="19"/>
  <c r="G698" i="19" s="1"/>
  <c r="F697" i="19"/>
  <c r="G697" i="19" s="1"/>
  <c r="F696" i="19"/>
  <c r="G696" i="19" s="1"/>
  <c r="F695" i="19"/>
  <c r="G695" i="19" s="1"/>
  <c r="F694" i="19"/>
  <c r="G694" i="19" s="1"/>
  <c r="F693" i="19"/>
  <c r="G693" i="19" s="1"/>
  <c r="F692" i="19"/>
  <c r="G692" i="19" s="1"/>
  <c r="F691" i="19"/>
  <c r="G691" i="19" s="1"/>
  <c r="F690" i="19"/>
  <c r="G690" i="19" s="1"/>
  <c r="F689" i="19"/>
  <c r="G689" i="19" s="1"/>
  <c r="F688" i="19"/>
  <c r="G688" i="19" s="1"/>
  <c r="F687" i="19"/>
  <c r="G687" i="19" s="1"/>
  <c r="F686" i="19"/>
  <c r="G686" i="19" s="1"/>
  <c r="F685" i="19"/>
  <c r="G685" i="19" s="1"/>
  <c r="F684" i="19"/>
  <c r="G684" i="19" s="1"/>
  <c r="F683" i="19"/>
  <c r="G683" i="19" s="1"/>
  <c r="F682" i="19"/>
  <c r="G682" i="19" s="1"/>
  <c r="F681" i="19"/>
  <c r="G681" i="19" s="1"/>
  <c r="F680" i="19"/>
  <c r="G680" i="19" s="1"/>
  <c r="F679" i="19"/>
  <c r="G679" i="19" s="1"/>
  <c r="F678" i="19"/>
  <c r="G678" i="19" s="1"/>
  <c r="F677" i="19"/>
  <c r="G677" i="19" s="1"/>
  <c r="F676" i="19"/>
  <c r="G676" i="19" s="1"/>
  <c r="F675" i="19"/>
  <c r="G675" i="19" s="1"/>
  <c r="F674" i="19"/>
  <c r="G674" i="19" s="1"/>
  <c r="F673" i="19"/>
  <c r="G673" i="19" s="1"/>
  <c r="F672" i="19"/>
  <c r="G672" i="19" s="1"/>
  <c r="F671" i="19"/>
  <c r="G671" i="19" s="1"/>
  <c r="F670" i="19"/>
  <c r="G670" i="19" s="1"/>
  <c r="F669" i="19"/>
  <c r="G669" i="19" s="1"/>
  <c r="F668" i="19"/>
  <c r="G668" i="19" s="1"/>
  <c r="F667" i="19"/>
  <c r="G667" i="19" s="1"/>
  <c r="F666" i="19"/>
  <c r="G666" i="19" s="1"/>
  <c r="F665" i="19"/>
  <c r="G665" i="19" s="1"/>
  <c r="F664" i="19"/>
  <c r="G664" i="19" s="1"/>
  <c r="F663" i="19"/>
  <c r="G663" i="19" s="1"/>
  <c r="F662" i="19"/>
  <c r="G662" i="19" s="1"/>
  <c r="F661" i="19"/>
  <c r="G661" i="19" s="1"/>
  <c r="F660" i="19"/>
  <c r="G660" i="19" s="1"/>
  <c r="F659" i="19"/>
  <c r="G659" i="19" s="1"/>
  <c r="F658" i="19"/>
  <c r="G658" i="19" s="1"/>
  <c r="F657" i="19"/>
  <c r="G657" i="19" s="1"/>
  <c r="F656" i="19"/>
  <c r="G656" i="19" s="1"/>
  <c r="F655" i="19"/>
  <c r="G655" i="19" s="1"/>
  <c r="F654" i="19"/>
  <c r="G654" i="19" s="1"/>
  <c r="F653" i="19"/>
  <c r="G653" i="19" s="1"/>
  <c r="F652" i="19"/>
  <c r="G652" i="19" s="1"/>
  <c r="F651" i="19"/>
  <c r="G651" i="19" s="1"/>
  <c r="F650" i="19"/>
  <c r="G650" i="19" s="1"/>
  <c r="F649" i="19"/>
  <c r="G649" i="19" s="1"/>
  <c r="F648" i="19"/>
  <c r="G648" i="19" s="1"/>
  <c r="F647" i="19"/>
  <c r="G647" i="19" s="1"/>
  <c r="F646" i="19"/>
  <c r="G646" i="19" s="1"/>
  <c r="F645" i="19"/>
  <c r="G645" i="19" s="1"/>
  <c r="F644" i="19"/>
  <c r="G644" i="19" s="1"/>
  <c r="F643" i="19"/>
  <c r="G643" i="19" s="1"/>
  <c r="F642" i="19"/>
  <c r="G642" i="19" s="1"/>
  <c r="F641" i="19"/>
  <c r="G641" i="19" s="1"/>
  <c r="F640" i="19"/>
  <c r="G640" i="19" s="1"/>
  <c r="F639" i="19"/>
  <c r="G639" i="19" s="1"/>
  <c r="F638" i="19"/>
  <c r="G638" i="19" s="1"/>
  <c r="F637" i="19"/>
  <c r="G637" i="19" s="1"/>
  <c r="F636" i="19"/>
  <c r="G636" i="19" s="1"/>
  <c r="F635" i="19"/>
  <c r="G635" i="19" s="1"/>
  <c r="F634" i="19"/>
  <c r="G634" i="19" s="1"/>
  <c r="F633" i="19"/>
  <c r="G633" i="19" s="1"/>
  <c r="F632" i="19"/>
  <c r="G632" i="19" s="1"/>
  <c r="F631" i="19"/>
  <c r="G631" i="19" s="1"/>
  <c r="F630" i="19"/>
  <c r="G630" i="19" s="1"/>
  <c r="F629" i="19"/>
  <c r="G629" i="19" s="1"/>
  <c r="F628" i="19"/>
  <c r="G628" i="19" s="1"/>
  <c r="F627" i="19"/>
  <c r="G627" i="19" s="1"/>
  <c r="F626" i="19"/>
  <c r="G626" i="19" s="1"/>
  <c r="F625" i="19"/>
  <c r="G625" i="19" s="1"/>
  <c r="F624" i="19"/>
  <c r="G624" i="19" s="1"/>
  <c r="F623" i="19"/>
  <c r="G623" i="19" s="1"/>
  <c r="F622" i="19"/>
  <c r="G622" i="19" s="1"/>
  <c r="F621" i="19"/>
  <c r="G621" i="19" s="1"/>
  <c r="F620" i="19"/>
  <c r="G620" i="19" s="1"/>
  <c r="F619" i="19"/>
  <c r="G619" i="19" s="1"/>
  <c r="F618" i="19"/>
  <c r="G618" i="19" s="1"/>
  <c r="F617" i="19"/>
  <c r="G617" i="19" s="1"/>
  <c r="F616" i="19"/>
  <c r="G616" i="19" s="1"/>
  <c r="F615" i="19"/>
  <c r="G615" i="19" s="1"/>
  <c r="F614" i="19"/>
  <c r="G614" i="19" s="1"/>
  <c r="F613" i="19"/>
  <c r="G613" i="19" s="1"/>
  <c r="F612" i="19"/>
  <c r="G612" i="19" s="1"/>
  <c r="F611" i="19"/>
  <c r="G611" i="19" s="1"/>
  <c r="F610" i="19"/>
  <c r="G610" i="19" s="1"/>
  <c r="F609" i="19"/>
  <c r="G609" i="19" s="1"/>
  <c r="F608" i="19"/>
  <c r="G608" i="19" s="1"/>
  <c r="F607" i="19"/>
  <c r="G607" i="19" s="1"/>
  <c r="F606" i="19"/>
  <c r="G606" i="19" s="1"/>
  <c r="F605" i="19"/>
  <c r="G605" i="19" s="1"/>
  <c r="F604" i="19"/>
  <c r="G604" i="19" s="1"/>
  <c r="F603" i="19"/>
  <c r="G603" i="19" s="1"/>
  <c r="F602" i="19"/>
  <c r="G602" i="19" s="1"/>
  <c r="F601" i="19"/>
  <c r="G601" i="19" s="1"/>
  <c r="F600" i="19"/>
  <c r="G600" i="19" s="1"/>
  <c r="F599" i="19"/>
  <c r="G599" i="19" s="1"/>
  <c r="F598" i="19"/>
  <c r="G598" i="19" s="1"/>
  <c r="F597" i="19"/>
  <c r="G597" i="19" s="1"/>
  <c r="F596" i="19"/>
  <c r="G596" i="19" s="1"/>
  <c r="F595" i="19"/>
  <c r="G595" i="19" s="1"/>
  <c r="F594" i="19"/>
  <c r="G594" i="19" s="1"/>
  <c r="F593" i="19"/>
  <c r="G593" i="19" s="1"/>
  <c r="F592" i="19"/>
  <c r="G592" i="19" s="1"/>
  <c r="F591" i="19"/>
  <c r="G591" i="19" s="1"/>
  <c r="F590" i="19"/>
  <c r="G590" i="19" s="1"/>
  <c r="F589" i="19"/>
  <c r="G589" i="19" s="1"/>
  <c r="F588" i="19"/>
  <c r="G588" i="19" s="1"/>
  <c r="F587" i="19"/>
  <c r="G587" i="19" s="1"/>
  <c r="F586" i="19"/>
  <c r="G586" i="19" s="1"/>
  <c r="F585" i="19"/>
  <c r="G585" i="19" s="1"/>
  <c r="F584" i="19"/>
  <c r="G584" i="19" s="1"/>
  <c r="F583" i="19"/>
  <c r="G583" i="19" s="1"/>
  <c r="F582" i="19"/>
  <c r="G582" i="19" s="1"/>
  <c r="F581" i="19"/>
  <c r="G581" i="19" s="1"/>
  <c r="F580" i="19"/>
  <c r="G580" i="19" s="1"/>
  <c r="F579" i="19"/>
  <c r="G579" i="19" s="1"/>
  <c r="F578" i="19"/>
  <c r="G578" i="19" s="1"/>
  <c r="F577" i="19"/>
  <c r="G577" i="19" s="1"/>
  <c r="F576" i="19"/>
  <c r="G576" i="19" s="1"/>
  <c r="F575" i="19"/>
  <c r="G575" i="19" s="1"/>
  <c r="F574" i="19"/>
  <c r="G574" i="19" s="1"/>
  <c r="F573" i="19"/>
  <c r="G573" i="19" s="1"/>
  <c r="F572" i="19"/>
  <c r="G572" i="19" s="1"/>
  <c r="F571" i="19"/>
  <c r="G571" i="19" s="1"/>
  <c r="F570" i="19"/>
  <c r="G570" i="19" s="1"/>
  <c r="F569" i="19"/>
  <c r="G569" i="19" s="1"/>
  <c r="F568" i="19"/>
  <c r="G568" i="19" s="1"/>
  <c r="F567" i="19"/>
  <c r="G567" i="19" s="1"/>
  <c r="F566" i="19"/>
  <c r="G566" i="19" s="1"/>
  <c r="F565" i="19"/>
  <c r="G565" i="19" s="1"/>
  <c r="F564" i="19"/>
  <c r="G564" i="19" s="1"/>
  <c r="F563" i="19"/>
  <c r="G563" i="19" s="1"/>
  <c r="F562" i="19"/>
  <c r="G562" i="19" s="1"/>
  <c r="F561" i="19"/>
  <c r="G561" i="19" s="1"/>
  <c r="F560" i="19"/>
  <c r="G560" i="19" s="1"/>
  <c r="F559" i="19"/>
  <c r="G559" i="19" s="1"/>
  <c r="F558" i="19"/>
  <c r="G558" i="19" s="1"/>
  <c r="F557" i="19"/>
  <c r="G557" i="19" s="1"/>
  <c r="F556" i="19"/>
  <c r="G556" i="19" s="1"/>
  <c r="F555" i="19"/>
  <c r="G555" i="19" s="1"/>
  <c r="F554" i="19"/>
  <c r="G554" i="19" s="1"/>
  <c r="F553" i="19"/>
  <c r="G553" i="19" s="1"/>
  <c r="F552" i="19"/>
  <c r="G552" i="19" s="1"/>
  <c r="F551" i="19"/>
  <c r="G551" i="19" s="1"/>
  <c r="F550" i="19"/>
  <c r="G550" i="19" s="1"/>
  <c r="F549" i="19"/>
  <c r="G549" i="19" s="1"/>
  <c r="F548" i="19"/>
  <c r="G548" i="19" s="1"/>
  <c r="F547" i="19"/>
  <c r="G547" i="19" s="1"/>
  <c r="F546" i="19"/>
  <c r="G546" i="19" s="1"/>
  <c r="F545" i="19"/>
  <c r="G545" i="19" s="1"/>
  <c r="F544" i="19"/>
  <c r="G544" i="19" s="1"/>
  <c r="F543" i="19"/>
  <c r="G543" i="19" s="1"/>
  <c r="F542" i="19"/>
  <c r="G542" i="19" s="1"/>
  <c r="F541" i="19"/>
  <c r="G541" i="19" s="1"/>
  <c r="F540" i="19"/>
  <c r="G540" i="19" s="1"/>
  <c r="F539" i="19"/>
  <c r="G539" i="19" s="1"/>
  <c r="F538" i="19"/>
  <c r="G538" i="19" s="1"/>
  <c r="F537" i="19"/>
  <c r="G537" i="19" s="1"/>
  <c r="F536" i="19"/>
  <c r="G536" i="19" s="1"/>
  <c r="F535" i="19"/>
  <c r="G535" i="19" s="1"/>
  <c r="F534" i="19"/>
  <c r="G534" i="19" s="1"/>
  <c r="F533" i="19"/>
  <c r="G533" i="19" s="1"/>
  <c r="F532" i="19"/>
  <c r="G532" i="19" s="1"/>
  <c r="F531" i="19"/>
  <c r="G531" i="19" s="1"/>
  <c r="F530" i="19"/>
  <c r="G530" i="19" s="1"/>
  <c r="F529" i="19"/>
  <c r="G529" i="19" s="1"/>
  <c r="F528" i="19"/>
  <c r="G528" i="19" s="1"/>
  <c r="F527" i="19"/>
  <c r="G527" i="19" s="1"/>
  <c r="F526" i="19"/>
  <c r="G526" i="19" s="1"/>
  <c r="F525" i="19"/>
  <c r="G525" i="19" s="1"/>
  <c r="F524" i="19"/>
  <c r="G524" i="19" s="1"/>
  <c r="F523" i="19"/>
  <c r="G523" i="19" s="1"/>
  <c r="F522" i="19"/>
  <c r="G522" i="19" s="1"/>
  <c r="F521" i="19"/>
  <c r="G521" i="19" s="1"/>
  <c r="F520" i="19"/>
  <c r="G520" i="19" s="1"/>
  <c r="F519" i="19"/>
  <c r="G519" i="19" s="1"/>
  <c r="F518" i="19"/>
  <c r="G518" i="19" s="1"/>
  <c r="F517" i="19"/>
  <c r="G517" i="19" s="1"/>
  <c r="F516" i="19"/>
  <c r="G516" i="19" s="1"/>
  <c r="F515" i="19"/>
  <c r="G515" i="19" s="1"/>
  <c r="F514" i="19"/>
  <c r="G514" i="19" s="1"/>
  <c r="F513" i="19"/>
  <c r="G513" i="19" s="1"/>
  <c r="F512" i="19"/>
  <c r="G512" i="19" s="1"/>
  <c r="F511" i="19"/>
  <c r="G511" i="19" s="1"/>
  <c r="F510" i="19"/>
  <c r="G510" i="19" s="1"/>
  <c r="F509" i="19"/>
  <c r="G509" i="19" s="1"/>
  <c r="F508" i="19"/>
  <c r="G508" i="19" s="1"/>
  <c r="F507" i="19"/>
  <c r="G507" i="19" s="1"/>
  <c r="F506" i="19"/>
  <c r="G506" i="19" s="1"/>
  <c r="F505" i="19"/>
  <c r="G505" i="19" s="1"/>
  <c r="F504" i="19"/>
  <c r="G504" i="19" s="1"/>
  <c r="F503" i="19"/>
  <c r="G503" i="19" s="1"/>
  <c r="F502" i="19"/>
  <c r="G502" i="19" s="1"/>
  <c r="F501" i="19"/>
  <c r="G501" i="19" s="1"/>
  <c r="F500" i="19"/>
  <c r="G500" i="19" s="1"/>
  <c r="F499" i="19"/>
  <c r="G499" i="19" s="1"/>
  <c r="F498" i="19"/>
  <c r="G498" i="19" s="1"/>
  <c r="F497" i="19"/>
  <c r="G497" i="19" s="1"/>
  <c r="F496" i="19"/>
  <c r="G496" i="19" s="1"/>
  <c r="F495" i="19"/>
  <c r="G495" i="19" s="1"/>
  <c r="F494" i="19"/>
  <c r="G494" i="19" s="1"/>
  <c r="F493" i="19"/>
  <c r="G493" i="19" s="1"/>
  <c r="F492" i="19"/>
  <c r="G492" i="19" s="1"/>
  <c r="F491" i="19"/>
  <c r="G491" i="19" s="1"/>
  <c r="F490" i="19"/>
  <c r="G490" i="19" s="1"/>
  <c r="F489" i="19"/>
  <c r="G489" i="19" s="1"/>
  <c r="F488" i="19"/>
  <c r="G488" i="19" s="1"/>
  <c r="F487" i="19"/>
  <c r="G487" i="19" s="1"/>
  <c r="F486" i="19"/>
  <c r="G486" i="19" s="1"/>
  <c r="F485" i="19"/>
  <c r="G485" i="19" s="1"/>
  <c r="F484" i="19"/>
  <c r="G484" i="19" s="1"/>
  <c r="F483" i="19"/>
  <c r="G483" i="19" s="1"/>
  <c r="F482" i="19"/>
  <c r="G482" i="19" s="1"/>
  <c r="F481" i="19"/>
  <c r="G481" i="19" s="1"/>
  <c r="F480" i="19"/>
  <c r="G480" i="19" s="1"/>
  <c r="F479" i="19"/>
  <c r="G479" i="19" s="1"/>
  <c r="F478" i="19"/>
  <c r="G478" i="19" s="1"/>
  <c r="F477" i="19"/>
  <c r="G477" i="19" s="1"/>
  <c r="F476" i="19"/>
  <c r="G476" i="19" s="1"/>
  <c r="F475" i="19"/>
  <c r="G475" i="19" s="1"/>
  <c r="F474" i="19"/>
  <c r="G474" i="19" s="1"/>
  <c r="F473" i="19"/>
  <c r="G473" i="19" s="1"/>
  <c r="F472" i="19"/>
  <c r="G472" i="19" s="1"/>
  <c r="F471" i="19"/>
  <c r="G471" i="19" s="1"/>
  <c r="F470" i="19"/>
  <c r="G470" i="19" s="1"/>
  <c r="F469" i="19"/>
  <c r="G469" i="19" s="1"/>
  <c r="F468" i="19"/>
  <c r="G468" i="19" s="1"/>
  <c r="F467" i="19"/>
  <c r="G467" i="19" s="1"/>
  <c r="F466" i="19"/>
  <c r="G466" i="19" s="1"/>
  <c r="F465" i="19"/>
  <c r="G465" i="19" s="1"/>
  <c r="F464" i="19"/>
  <c r="G464" i="19" s="1"/>
  <c r="F463" i="19"/>
  <c r="G463" i="19" s="1"/>
  <c r="F462" i="19"/>
  <c r="G462" i="19" s="1"/>
  <c r="F461" i="19"/>
  <c r="G461" i="19" s="1"/>
  <c r="F460" i="19"/>
  <c r="G460" i="19" s="1"/>
  <c r="F459" i="19"/>
  <c r="G459" i="19" s="1"/>
  <c r="F458" i="19"/>
  <c r="G458" i="19" s="1"/>
  <c r="F457" i="19"/>
  <c r="G457" i="19" s="1"/>
  <c r="F456" i="19"/>
  <c r="G456" i="19" s="1"/>
  <c r="F455" i="19"/>
  <c r="G455" i="19" s="1"/>
  <c r="F454" i="19"/>
  <c r="G454" i="19" s="1"/>
  <c r="F453" i="19"/>
  <c r="G453" i="19" s="1"/>
  <c r="F452" i="19"/>
  <c r="G452" i="19" s="1"/>
  <c r="F451" i="19"/>
  <c r="G451" i="19" s="1"/>
  <c r="F450" i="19"/>
  <c r="G450" i="19" s="1"/>
  <c r="F449" i="19"/>
  <c r="G449" i="19" s="1"/>
  <c r="F448" i="19"/>
  <c r="G448" i="19" s="1"/>
  <c r="F447" i="19"/>
  <c r="G447" i="19" s="1"/>
  <c r="F446" i="19"/>
  <c r="G446" i="19" s="1"/>
  <c r="F445" i="19"/>
  <c r="G445" i="19" s="1"/>
  <c r="F444" i="19"/>
  <c r="G444" i="19" s="1"/>
  <c r="F443" i="19"/>
  <c r="G443" i="19" s="1"/>
  <c r="F442" i="19"/>
  <c r="G442" i="19" s="1"/>
  <c r="F441" i="19"/>
  <c r="G441" i="19" s="1"/>
  <c r="F440" i="19"/>
  <c r="G440" i="19" s="1"/>
  <c r="F439" i="19"/>
  <c r="G439" i="19" s="1"/>
  <c r="F438" i="19"/>
  <c r="G438" i="19" s="1"/>
  <c r="F437" i="19"/>
  <c r="G437" i="19" s="1"/>
  <c r="F436" i="19"/>
  <c r="G436" i="19" s="1"/>
  <c r="F435" i="19"/>
  <c r="G435" i="19" s="1"/>
  <c r="F434" i="19"/>
  <c r="G434" i="19" s="1"/>
  <c r="F433" i="19"/>
  <c r="G433" i="19" s="1"/>
  <c r="F432" i="19"/>
  <c r="G432" i="19" s="1"/>
  <c r="F431" i="19"/>
  <c r="G431" i="19" s="1"/>
  <c r="F430" i="19"/>
  <c r="G430" i="19" s="1"/>
  <c r="F429" i="19"/>
  <c r="G429" i="19" s="1"/>
  <c r="F428" i="19"/>
  <c r="G428" i="19" s="1"/>
  <c r="F427" i="19"/>
  <c r="G427" i="19" s="1"/>
  <c r="F426" i="19"/>
  <c r="G426" i="19" s="1"/>
  <c r="F425" i="19"/>
  <c r="G425" i="19" s="1"/>
  <c r="F424" i="19"/>
  <c r="G424" i="19" s="1"/>
  <c r="F423" i="19"/>
  <c r="G423" i="19" s="1"/>
  <c r="F422" i="19"/>
  <c r="G422" i="19" s="1"/>
  <c r="F421" i="19"/>
  <c r="G421" i="19" s="1"/>
  <c r="F420" i="19"/>
  <c r="G420" i="19" s="1"/>
  <c r="F419" i="19"/>
  <c r="G419" i="19" s="1"/>
  <c r="F418" i="19"/>
  <c r="G418" i="19" s="1"/>
  <c r="F417" i="19"/>
  <c r="G417" i="19" s="1"/>
  <c r="F416" i="19"/>
  <c r="G416" i="19" s="1"/>
  <c r="F415" i="19"/>
  <c r="G415" i="19" s="1"/>
  <c r="F414" i="19"/>
  <c r="G414" i="19" s="1"/>
  <c r="F413" i="19"/>
  <c r="G413" i="19" s="1"/>
  <c r="F412" i="19"/>
  <c r="G412" i="19" s="1"/>
  <c r="F411" i="19"/>
  <c r="G411" i="19" s="1"/>
  <c r="F410" i="19"/>
  <c r="G410" i="19" s="1"/>
  <c r="F409" i="19"/>
  <c r="G409" i="19" s="1"/>
  <c r="F408" i="19"/>
  <c r="G408" i="19" s="1"/>
  <c r="F407" i="19"/>
  <c r="G407" i="19" s="1"/>
  <c r="F406" i="19"/>
  <c r="G406" i="19" s="1"/>
  <c r="F405" i="19"/>
  <c r="G405" i="19" s="1"/>
  <c r="F404" i="19"/>
  <c r="G404" i="19" s="1"/>
  <c r="F403" i="19"/>
  <c r="G403" i="19" s="1"/>
  <c r="F402" i="19"/>
  <c r="G402" i="19" s="1"/>
  <c r="F401" i="19"/>
  <c r="G401" i="19" s="1"/>
  <c r="F400" i="19"/>
  <c r="G400" i="19" s="1"/>
  <c r="F399" i="19"/>
  <c r="G399" i="19" s="1"/>
  <c r="F398" i="19"/>
  <c r="G398" i="19" s="1"/>
  <c r="F397" i="19"/>
  <c r="G397" i="19" s="1"/>
  <c r="F396" i="19"/>
  <c r="G396" i="19" s="1"/>
  <c r="F395" i="19"/>
  <c r="G395" i="19" s="1"/>
  <c r="F394" i="19"/>
  <c r="G394" i="19" s="1"/>
  <c r="F393" i="19"/>
  <c r="G393" i="19" s="1"/>
  <c r="F392" i="19"/>
  <c r="G392" i="19" s="1"/>
  <c r="F391" i="19"/>
  <c r="G391" i="19" s="1"/>
  <c r="F390" i="19"/>
  <c r="G390" i="19" s="1"/>
  <c r="F389" i="19"/>
  <c r="G389" i="19" s="1"/>
  <c r="F388" i="19"/>
  <c r="G388" i="19" s="1"/>
  <c r="F387" i="19"/>
  <c r="G387" i="19" s="1"/>
  <c r="F386" i="19"/>
  <c r="G386" i="19" s="1"/>
  <c r="F385" i="19"/>
  <c r="G385" i="19" s="1"/>
  <c r="F384" i="19"/>
  <c r="G384" i="19" s="1"/>
  <c r="F383" i="19"/>
  <c r="G383" i="19" s="1"/>
  <c r="F382" i="19"/>
  <c r="G382" i="19" s="1"/>
  <c r="F381" i="19"/>
  <c r="G381" i="19" s="1"/>
  <c r="F380" i="19"/>
  <c r="G380" i="19" s="1"/>
  <c r="F379" i="19"/>
  <c r="G379" i="19" s="1"/>
  <c r="F378" i="19"/>
  <c r="G378" i="19" s="1"/>
  <c r="F377" i="19"/>
  <c r="G377" i="19" s="1"/>
  <c r="F376" i="19"/>
  <c r="G376" i="19" s="1"/>
  <c r="F375" i="19"/>
  <c r="G375" i="19" s="1"/>
  <c r="F374" i="19"/>
  <c r="G374" i="19" s="1"/>
  <c r="F373" i="19"/>
  <c r="G373" i="19" s="1"/>
  <c r="F372" i="19"/>
  <c r="G372" i="19" s="1"/>
  <c r="F371" i="19"/>
  <c r="G371" i="19" s="1"/>
  <c r="F370" i="19"/>
  <c r="G370" i="19" s="1"/>
  <c r="F369" i="19"/>
  <c r="G369" i="19" s="1"/>
  <c r="F368" i="19"/>
  <c r="G368" i="19" s="1"/>
  <c r="F367" i="19"/>
  <c r="G367" i="19" s="1"/>
  <c r="F366" i="19"/>
  <c r="G366" i="19" s="1"/>
  <c r="F365" i="19"/>
  <c r="G365" i="19" s="1"/>
  <c r="F364" i="19"/>
  <c r="G364" i="19" s="1"/>
  <c r="F363" i="19"/>
  <c r="G363" i="19" s="1"/>
  <c r="F362" i="19"/>
  <c r="G362" i="19" s="1"/>
  <c r="F361" i="19"/>
  <c r="G361" i="19" s="1"/>
  <c r="F360" i="19"/>
  <c r="G360" i="19" s="1"/>
  <c r="F359" i="19"/>
  <c r="G359" i="19" s="1"/>
  <c r="F358" i="19"/>
  <c r="G358" i="19" s="1"/>
  <c r="F357" i="19"/>
  <c r="G357" i="19" s="1"/>
  <c r="F356" i="19"/>
  <c r="G356" i="19" s="1"/>
  <c r="F355" i="19"/>
  <c r="G355" i="19" s="1"/>
  <c r="F354" i="19"/>
  <c r="G354" i="19" s="1"/>
  <c r="F353" i="19"/>
  <c r="G353" i="19" s="1"/>
  <c r="F352" i="19"/>
  <c r="G352" i="19" s="1"/>
  <c r="F351" i="19"/>
  <c r="G351" i="19" s="1"/>
  <c r="F350" i="19"/>
  <c r="G350" i="19" s="1"/>
  <c r="F349" i="19"/>
  <c r="G349" i="19" s="1"/>
  <c r="F348" i="19"/>
  <c r="G348" i="19" s="1"/>
  <c r="F347" i="19"/>
  <c r="G347" i="19" s="1"/>
  <c r="F346" i="19"/>
  <c r="G346" i="19" s="1"/>
  <c r="F345" i="19"/>
  <c r="G345" i="19" s="1"/>
  <c r="F344" i="19"/>
  <c r="G344" i="19" s="1"/>
  <c r="F343" i="19"/>
  <c r="G343" i="19" s="1"/>
  <c r="F342" i="19"/>
  <c r="G342" i="19" s="1"/>
  <c r="F341" i="19"/>
  <c r="G341" i="19" s="1"/>
  <c r="F340" i="19"/>
  <c r="G340" i="19" s="1"/>
  <c r="F339" i="19"/>
  <c r="G339" i="19" s="1"/>
  <c r="F338" i="19"/>
  <c r="G338" i="19" s="1"/>
  <c r="F337" i="19"/>
  <c r="G337" i="19" s="1"/>
  <c r="F336" i="19"/>
  <c r="G336" i="19" s="1"/>
  <c r="F335" i="19"/>
  <c r="G335" i="19" s="1"/>
  <c r="F334" i="19"/>
  <c r="G334" i="19" s="1"/>
  <c r="F333" i="19"/>
  <c r="G333" i="19" s="1"/>
  <c r="F332" i="19"/>
  <c r="G332" i="19" s="1"/>
  <c r="F331" i="19"/>
  <c r="G331" i="19" s="1"/>
  <c r="F330" i="19"/>
  <c r="G330" i="19" s="1"/>
  <c r="F329" i="19"/>
  <c r="G329" i="19" s="1"/>
  <c r="F328" i="19"/>
  <c r="G328" i="19" s="1"/>
  <c r="F327" i="19"/>
  <c r="G327" i="19" s="1"/>
  <c r="F326" i="19"/>
  <c r="G326" i="19" s="1"/>
  <c r="F325" i="19"/>
  <c r="G325" i="19" s="1"/>
  <c r="F324" i="19"/>
  <c r="G324" i="19" s="1"/>
  <c r="F323" i="19"/>
  <c r="G323" i="19" s="1"/>
  <c r="F322" i="19"/>
  <c r="G322" i="19" s="1"/>
  <c r="F321" i="19"/>
  <c r="G321" i="19" s="1"/>
  <c r="F320" i="19"/>
  <c r="G320" i="19" s="1"/>
  <c r="F319" i="19"/>
  <c r="G319" i="19" s="1"/>
  <c r="F318" i="19"/>
  <c r="G318" i="19" s="1"/>
  <c r="F317" i="19"/>
  <c r="G317" i="19" s="1"/>
  <c r="F316" i="19"/>
  <c r="G316" i="19" s="1"/>
  <c r="F315" i="19"/>
  <c r="G315" i="19" s="1"/>
  <c r="F314" i="19"/>
  <c r="G314" i="19" s="1"/>
  <c r="F313" i="19"/>
  <c r="G313" i="19" s="1"/>
  <c r="F312" i="19"/>
  <c r="G312" i="19" s="1"/>
  <c r="F311" i="19"/>
  <c r="G311" i="19" s="1"/>
  <c r="F310" i="19"/>
  <c r="G310" i="19" s="1"/>
  <c r="F309" i="19"/>
  <c r="G309" i="19" s="1"/>
  <c r="F308" i="19"/>
  <c r="G308" i="19" s="1"/>
  <c r="F307" i="19"/>
  <c r="G307" i="19" s="1"/>
  <c r="F306" i="19"/>
  <c r="G306" i="19" s="1"/>
  <c r="F305" i="19"/>
  <c r="G305" i="19" s="1"/>
  <c r="F304" i="19"/>
  <c r="G304" i="19" s="1"/>
  <c r="F303" i="19"/>
  <c r="G303" i="19" s="1"/>
  <c r="F302" i="19"/>
  <c r="G302" i="19" s="1"/>
  <c r="F301" i="19"/>
  <c r="G301" i="19" s="1"/>
  <c r="F300" i="19"/>
  <c r="G300" i="19" s="1"/>
  <c r="F299" i="19"/>
  <c r="G299" i="19" s="1"/>
  <c r="F298" i="19"/>
  <c r="G298" i="19" s="1"/>
  <c r="F297" i="19"/>
  <c r="G297" i="19" s="1"/>
  <c r="F296" i="19"/>
  <c r="G296" i="19" s="1"/>
  <c r="F295" i="19"/>
  <c r="G295" i="19" s="1"/>
  <c r="F294" i="19"/>
  <c r="G294" i="19" s="1"/>
  <c r="F293" i="19"/>
  <c r="G293" i="19" s="1"/>
  <c r="F292" i="19"/>
  <c r="G292" i="19" s="1"/>
  <c r="F291" i="19"/>
  <c r="G291" i="19" s="1"/>
  <c r="F290" i="19"/>
  <c r="G290" i="19" s="1"/>
  <c r="F289" i="19"/>
  <c r="G289" i="19" s="1"/>
  <c r="F288" i="19"/>
  <c r="G288" i="19" s="1"/>
  <c r="F287" i="19"/>
  <c r="G287" i="19" s="1"/>
  <c r="F286" i="19"/>
  <c r="G286" i="19" s="1"/>
  <c r="F285" i="19"/>
  <c r="G285" i="19" s="1"/>
  <c r="F284" i="19"/>
  <c r="G284" i="19" s="1"/>
  <c r="F283" i="19"/>
  <c r="G283" i="19" s="1"/>
  <c r="F282" i="19"/>
  <c r="G282" i="19" s="1"/>
  <c r="F281" i="19"/>
  <c r="G281" i="19" s="1"/>
  <c r="F280" i="19"/>
  <c r="G280" i="19" s="1"/>
  <c r="F279" i="19"/>
  <c r="G279" i="19" s="1"/>
  <c r="F278" i="19"/>
  <c r="G278" i="19" s="1"/>
  <c r="F277" i="19"/>
  <c r="G277" i="19" s="1"/>
  <c r="F276" i="19"/>
  <c r="G276" i="19" s="1"/>
  <c r="F275" i="19"/>
  <c r="G275" i="19" s="1"/>
  <c r="F274" i="19"/>
  <c r="G274" i="19" s="1"/>
  <c r="F273" i="19"/>
  <c r="G273" i="19" s="1"/>
  <c r="F272" i="19"/>
  <c r="G272" i="19" s="1"/>
  <c r="F271" i="19"/>
  <c r="G271" i="19" s="1"/>
  <c r="F270" i="19"/>
  <c r="G270" i="19" s="1"/>
  <c r="F269" i="19"/>
  <c r="G269" i="19" s="1"/>
  <c r="F268" i="19"/>
  <c r="G268" i="19" s="1"/>
  <c r="F267" i="19"/>
  <c r="G267" i="19" s="1"/>
  <c r="F266" i="19"/>
  <c r="G266" i="19" s="1"/>
  <c r="F265" i="19"/>
  <c r="G265" i="19" s="1"/>
  <c r="F264" i="19"/>
  <c r="G264" i="19" s="1"/>
  <c r="F263" i="19"/>
  <c r="G263" i="19" s="1"/>
  <c r="F262" i="19"/>
  <c r="G262" i="19" s="1"/>
  <c r="F261" i="19"/>
  <c r="G261" i="19" s="1"/>
  <c r="F260" i="19"/>
  <c r="G260" i="19" s="1"/>
  <c r="F259" i="19"/>
  <c r="G259" i="19" s="1"/>
  <c r="F258" i="19"/>
  <c r="G258" i="19" s="1"/>
  <c r="F257" i="19"/>
  <c r="G257" i="19" s="1"/>
  <c r="F256" i="19"/>
  <c r="G256" i="19" s="1"/>
  <c r="F255" i="19"/>
  <c r="G255" i="19" s="1"/>
  <c r="F254" i="19"/>
  <c r="G254" i="19" s="1"/>
  <c r="F253" i="19"/>
  <c r="G253" i="19" s="1"/>
  <c r="F252" i="19"/>
  <c r="G252" i="19" s="1"/>
  <c r="F251" i="19"/>
  <c r="G251" i="19" s="1"/>
  <c r="F250" i="19"/>
  <c r="G250" i="19" s="1"/>
  <c r="F249" i="19"/>
  <c r="G249" i="19" s="1"/>
  <c r="F248" i="19"/>
  <c r="G248" i="19" s="1"/>
  <c r="F247" i="19"/>
  <c r="G247" i="19" s="1"/>
  <c r="F246" i="19"/>
  <c r="G246" i="19" s="1"/>
  <c r="F245" i="19"/>
  <c r="G245" i="19" s="1"/>
  <c r="F244" i="19"/>
  <c r="G244" i="19" s="1"/>
  <c r="F243" i="19"/>
  <c r="G243" i="19" s="1"/>
  <c r="F242" i="19"/>
  <c r="G242" i="19" s="1"/>
  <c r="F241" i="19"/>
  <c r="G241" i="19" s="1"/>
  <c r="F240" i="19"/>
  <c r="G240" i="19" s="1"/>
  <c r="F239" i="19"/>
  <c r="G239" i="19" s="1"/>
  <c r="F238" i="19"/>
  <c r="G238" i="19" s="1"/>
  <c r="F237" i="19"/>
  <c r="G237" i="19" s="1"/>
  <c r="F236" i="19"/>
  <c r="G236" i="19" s="1"/>
  <c r="F235" i="19"/>
  <c r="G235" i="19" s="1"/>
  <c r="F234" i="19"/>
  <c r="G234" i="19" s="1"/>
  <c r="F233" i="19"/>
  <c r="G233" i="19" s="1"/>
  <c r="F232" i="19"/>
  <c r="G232" i="19" s="1"/>
  <c r="F231" i="19"/>
  <c r="G231" i="19" s="1"/>
  <c r="F230" i="19"/>
  <c r="G230" i="19" s="1"/>
  <c r="F229" i="19"/>
  <c r="G229" i="19" s="1"/>
  <c r="F228" i="19"/>
  <c r="G228" i="19" s="1"/>
  <c r="F227" i="19"/>
  <c r="G227" i="19" s="1"/>
  <c r="F226" i="19"/>
  <c r="G226" i="19" s="1"/>
  <c r="F225" i="19"/>
  <c r="G225" i="19" s="1"/>
  <c r="F224" i="19"/>
  <c r="G224" i="19" s="1"/>
  <c r="F223" i="19"/>
  <c r="G223" i="19" s="1"/>
  <c r="F222" i="19"/>
  <c r="G222" i="19" s="1"/>
  <c r="F221" i="19"/>
  <c r="G221" i="19" s="1"/>
  <c r="F220" i="19"/>
  <c r="G220" i="19" s="1"/>
  <c r="F219" i="19"/>
  <c r="G219" i="19" s="1"/>
  <c r="F218" i="19"/>
  <c r="G218" i="19" s="1"/>
  <c r="F217" i="19"/>
  <c r="G217" i="19" s="1"/>
  <c r="F216" i="19"/>
  <c r="G216" i="19" s="1"/>
  <c r="F215" i="19"/>
  <c r="G215" i="19" s="1"/>
  <c r="F214" i="19"/>
  <c r="G214" i="19" s="1"/>
  <c r="F213" i="19"/>
  <c r="G213" i="19" s="1"/>
  <c r="F212" i="19"/>
  <c r="G212" i="19" s="1"/>
  <c r="F211" i="19"/>
  <c r="G211" i="19" s="1"/>
  <c r="F210" i="19"/>
  <c r="G210" i="19" s="1"/>
  <c r="F209" i="19"/>
  <c r="G209" i="19" s="1"/>
  <c r="F208" i="19"/>
  <c r="G208" i="19" s="1"/>
  <c r="F207" i="19"/>
  <c r="G207" i="19" s="1"/>
  <c r="F206" i="19"/>
  <c r="G206" i="19" s="1"/>
  <c r="F205" i="19"/>
  <c r="G205" i="19" s="1"/>
  <c r="F204" i="19"/>
  <c r="G204" i="19" s="1"/>
  <c r="F203" i="19"/>
  <c r="G203" i="19" s="1"/>
  <c r="F202" i="19"/>
  <c r="G202" i="19" s="1"/>
  <c r="F201" i="19"/>
  <c r="G201" i="19" s="1"/>
  <c r="F200" i="19"/>
  <c r="G200" i="19" s="1"/>
  <c r="F199" i="19"/>
  <c r="G199" i="19" s="1"/>
  <c r="F198" i="19"/>
  <c r="G198" i="19" s="1"/>
  <c r="F197" i="19"/>
  <c r="G197" i="19" s="1"/>
  <c r="F196" i="19"/>
  <c r="G196" i="19" s="1"/>
  <c r="F195" i="19"/>
  <c r="G195" i="19" s="1"/>
  <c r="F194" i="19"/>
  <c r="G194" i="19" s="1"/>
  <c r="F193" i="19"/>
  <c r="G193" i="19" s="1"/>
  <c r="F192" i="19"/>
  <c r="G192" i="19" s="1"/>
  <c r="F191" i="19"/>
  <c r="G191" i="19" s="1"/>
  <c r="F190" i="19"/>
  <c r="G190" i="19" s="1"/>
  <c r="F189" i="19"/>
  <c r="G189" i="19" s="1"/>
  <c r="F188" i="19"/>
  <c r="G188" i="19" s="1"/>
  <c r="F187" i="19"/>
  <c r="G187" i="19" s="1"/>
  <c r="F186" i="19"/>
  <c r="G186" i="19" s="1"/>
  <c r="F185" i="19"/>
  <c r="G185" i="19" s="1"/>
  <c r="F184" i="19"/>
  <c r="G184" i="19" s="1"/>
  <c r="F183" i="19"/>
  <c r="G183" i="19" s="1"/>
  <c r="F182" i="19"/>
  <c r="G182" i="19" s="1"/>
  <c r="F181" i="19"/>
  <c r="G181" i="19" s="1"/>
  <c r="F180" i="19"/>
  <c r="G180" i="19" s="1"/>
  <c r="F179" i="19"/>
  <c r="G179" i="19" s="1"/>
  <c r="F178" i="19"/>
  <c r="G178" i="19" s="1"/>
  <c r="F177" i="19"/>
  <c r="G177" i="19" s="1"/>
  <c r="F176" i="19"/>
  <c r="G176" i="19" s="1"/>
  <c r="F175" i="19"/>
  <c r="G175" i="19" s="1"/>
  <c r="F174" i="19"/>
  <c r="G174" i="19" s="1"/>
  <c r="F173" i="19"/>
  <c r="G173" i="19" s="1"/>
  <c r="F172" i="19"/>
  <c r="G172" i="19" s="1"/>
  <c r="F171" i="19"/>
  <c r="G171" i="19" s="1"/>
  <c r="F170" i="19"/>
  <c r="G170" i="19" s="1"/>
  <c r="F169" i="19"/>
  <c r="G169" i="19" s="1"/>
  <c r="F168" i="19"/>
  <c r="G168" i="19" s="1"/>
  <c r="F167" i="19"/>
  <c r="G167" i="19" s="1"/>
  <c r="F166" i="19"/>
  <c r="G166" i="19" s="1"/>
  <c r="F165" i="19"/>
  <c r="G165" i="19" s="1"/>
  <c r="F164" i="19"/>
  <c r="G164" i="19" s="1"/>
  <c r="F163" i="19"/>
  <c r="G163" i="19" s="1"/>
  <c r="F162" i="19"/>
  <c r="G162" i="19" s="1"/>
  <c r="F161" i="19"/>
  <c r="G161" i="19" s="1"/>
  <c r="F160" i="19"/>
  <c r="G160" i="19" s="1"/>
  <c r="F159" i="19"/>
  <c r="G159" i="19" s="1"/>
  <c r="F158" i="19"/>
  <c r="G158" i="19" s="1"/>
  <c r="F157" i="19"/>
  <c r="G157" i="19" s="1"/>
  <c r="F156" i="19"/>
  <c r="G156" i="19" s="1"/>
  <c r="F155" i="19"/>
  <c r="G155" i="19" s="1"/>
  <c r="F154" i="19"/>
  <c r="G154" i="19" s="1"/>
  <c r="F153" i="19"/>
  <c r="G153" i="19" s="1"/>
  <c r="F152" i="19"/>
  <c r="G152" i="19" s="1"/>
  <c r="F151" i="19"/>
  <c r="G151" i="19" s="1"/>
  <c r="F150" i="19"/>
  <c r="G150" i="19" s="1"/>
  <c r="F149" i="19"/>
  <c r="G149" i="19" s="1"/>
  <c r="F148" i="19"/>
  <c r="G148" i="19" s="1"/>
  <c r="F147" i="19"/>
  <c r="G147" i="19" s="1"/>
  <c r="F146" i="19"/>
  <c r="G146" i="19" s="1"/>
  <c r="F145" i="19"/>
  <c r="G145" i="19" s="1"/>
  <c r="F144" i="19"/>
  <c r="G144" i="19" s="1"/>
  <c r="F143" i="19"/>
  <c r="G143" i="19" s="1"/>
  <c r="F142" i="19"/>
  <c r="G142" i="19" s="1"/>
  <c r="F141" i="19"/>
  <c r="G141" i="19" s="1"/>
  <c r="F140" i="19"/>
  <c r="G140" i="19" s="1"/>
  <c r="F139" i="19"/>
  <c r="G139" i="19" s="1"/>
  <c r="F138" i="19"/>
  <c r="G138" i="19" s="1"/>
  <c r="F137" i="19"/>
  <c r="G137" i="19" s="1"/>
  <c r="F136" i="19"/>
  <c r="G136" i="19" s="1"/>
  <c r="F135" i="19"/>
  <c r="G135" i="19" s="1"/>
  <c r="F134" i="19"/>
  <c r="G134" i="19" s="1"/>
  <c r="F133" i="19"/>
  <c r="G133" i="19" s="1"/>
  <c r="F132" i="19"/>
  <c r="G132" i="19" s="1"/>
  <c r="F131" i="19"/>
  <c r="G131" i="19" s="1"/>
  <c r="F130" i="19"/>
  <c r="G130" i="19" s="1"/>
  <c r="F129" i="19"/>
  <c r="G129" i="19" s="1"/>
  <c r="F128" i="19"/>
  <c r="G128" i="19" s="1"/>
  <c r="F127" i="19"/>
  <c r="G127" i="19" s="1"/>
  <c r="F126" i="19"/>
  <c r="G126" i="19" s="1"/>
  <c r="F125" i="19"/>
  <c r="G125" i="19" s="1"/>
  <c r="F124" i="19"/>
  <c r="G124" i="19" s="1"/>
  <c r="F123" i="19"/>
  <c r="G123" i="19" s="1"/>
  <c r="F122" i="19"/>
  <c r="G122" i="19" s="1"/>
  <c r="F121" i="19"/>
  <c r="G121" i="19" s="1"/>
  <c r="F120" i="19"/>
  <c r="G120" i="19" s="1"/>
  <c r="F119" i="19"/>
  <c r="G119" i="19" s="1"/>
  <c r="F118" i="19"/>
  <c r="G118" i="19" s="1"/>
  <c r="F117" i="19"/>
  <c r="G117" i="19" s="1"/>
  <c r="F116" i="19"/>
  <c r="G116" i="19" s="1"/>
  <c r="F115" i="19"/>
  <c r="G115" i="19" s="1"/>
  <c r="F114" i="19"/>
  <c r="G114" i="19" s="1"/>
  <c r="F113" i="19"/>
  <c r="G113" i="19" s="1"/>
  <c r="F112" i="19"/>
  <c r="G112" i="19" s="1"/>
  <c r="F111" i="19"/>
  <c r="G111" i="19" s="1"/>
  <c r="F110" i="19"/>
  <c r="G110" i="19" s="1"/>
  <c r="F109" i="19"/>
  <c r="G109" i="19" s="1"/>
  <c r="F108" i="19"/>
  <c r="G108" i="19" s="1"/>
  <c r="F107" i="19"/>
  <c r="G107" i="19" s="1"/>
  <c r="F106" i="19"/>
  <c r="G106" i="19" s="1"/>
  <c r="F105" i="19"/>
  <c r="G105" i="19" s="1"/>
  <c r="F104" i="19"/>
  <c r="G104" i="19" s="1"/>
  <c r="F103" i="19"/>
  <c r="G103" i="19" s="1"/>
  <c r="F102" i="19"/>
  <c r="G102" i="19" s="1"/>
  <c r="F101" i="19"/>
  <c r="G101" i="19" s="1"/>
  <c r="F100" i="19"/>
  <c r="G100" i="19" s="1"/>
  <c r="F99" i="19"/>
  <c r="G99" i="19" s="1"/>
  <c r="F98" i="19"/>
  <c r="G98" i="19" s="1"/>
  <c r="F97" i="19"/>
  <c r="G97" i="19" s="1"/>
  <c r="F96" i="19"/>
  <c r="G96" i="19" s="1"/>
  <c r="F95" i="19"/>
  <c r="G95" i="19" s="1"/>
  <c r="F94" i="19"/>
  <c r="G94" i="19" s="1"/>
  <c r="F93" i="19"/>
  <c r="G93" i="19" s="1"/>
  <c r="F92" i="19"/>
  <c r="G92" i="19" s="1"/>
  <c r="F91" i="19"/>
  <c r="G91" i="19" s="1"/>
  <c r="F90" i="19"/>
  <c r="G90" i="19" s="1"/>
  <c r="F89" i="19"/>
  <c r="G89" i="19" s="1"/>
  <c r="F88" i="19"/>
  <c r="G88" i="19" s="1"/>
  <c r="F87" i="19"/>
  <c r="G87" i="19" s="1"/>
  <c r="F86" i="19"/>
  <c r="G86" i="19" s="1"/>
  <c r="F85" i="19"/>
  <c r="G85" i="19" s="1"/>
  <c r="F84" i="19"/>
  <c r="G84" i="19" s="1"/>
  <c r="F83" i="19"/>
  <c r="G83" i="19" s="1"/>
  <c r="F82" i="19"/>
  <c r="G82" i="19" s="1"/>
  <c r="F81" i="19"/>
  <c r="G81" i="19" s="1"/>
  <c r="F80" i="19"/>
  <c r="G80" i="19" s="1"/>
  <c r="F79" i="19"/>
  <c r="G79" i="19" s="1"/>
  <c r="F78" i="19"/>
  <c r="G78" i="19" s="1"/>
  <c r="F77" i="19"/>
  <c r="G77" i="19" s="1"/>
  <c r="F76" i="19"/>
  <c r="G76" i="19" s="1"/>
  <c r="F75" i="19"/>
  <c r="G75" i="19" s="1"/>
  <c r="F74" i="19"/>
  <c r="G74" i="19" s="1"/>
  <c r="F73" i="19"/>
  <c r="G73" i="19" s="1"/>
  <c r="F72" i="19"/>
  <c r="G72" i="19" s="1"/>
  <c r="F71" i="19"/>
  <c r="G71" i="19" s="1"/>
  <c r="F70" i="19"/>
  <c r="G70" i="19" s="1"/>
  <c r="F69" i="19"/>
  <c r="G69" i="19" s="1"/>
  <c r="F68" i="19"/>
  <c r="G68" i="19" s="1"/>
  <c r="F67" i="19"/>
  <c r="G67" i="19" s="1"/>
  <c r="F66" i="19"/>
  <c r="G66" i="19" s="1"/>
  <c r="F65" i="19"/>
  <c r="G65" i="19" s="1"/>
  <c r="F64" i="19"/>
  <c r="G64" i="19" s="1"/>
  <c r="F63" i="19"/>
  <c r="G63" i="19" s="1"/>
  <c r="F62" i="19"/>
  <c r="G62" i="19" s="1"/>
  <c r="F61" i="19"/>
  <c r="G61" i="19" s="1"/>
  <c r="F60" i="19"/>
  <c r="G60" i="19" s="1"/>
  <c r="F59" i="19"/>
  <c r="G59" i="19" s="1"/>
  <c r="F58" i="19"/>
  <c r="G58" i="19" s="1"/>
  <c r="F57" i="19"/>
  <c r="G57" i="19" s="1"/>
  <c r="F56" i="19"/>
  <c r="G56" i="19" s="1"/>
  <c r="F55" i="19"/>
  <c r="G55" i="19" s="1"/>
  <c r="F54" i="19"/>
  <c r="G54" i="19" s="1"/>
  <c r="F53" i="19"/>
  <c r="G53" i="19" s="1"/>
  <c r="F52" i="19"/>
  <c r="G52" i="19" s="1"/>
  <c r="F51" i="19"/>
  <c r="G51" i="19" s="1"/>
  <c r="F50" i="19"/>
  <c r="G50" i="19" s="1"/>
  <c r="F49" i="19"/>
  <c r="G49" i="19" s="1"/>
  <c r="F48" i="19"/>
  <c r="G48" i="19" s="1"/>
  <c r="F47" i="19"/>
  <c r="G47" i="19" s="1"/>
  <c r="F46" i="19"/>
  <c r="G46" i="19" s="1"/>
  <c r="F45" i="19"/>
  <c r="G45" i="19" s="1"/>
  <c r="F44" i="19"/>
  <c r="G44" i="19" s="1"/>
  <c r="F43" i="19"/>
  <c r="G43" i="19" s="1"/>
  <c r="F42" i="19"/>
  <c r="G42" i="19" s="1"/>
  <c r="F41" i="19"/>
  <c r="G41" i="19" s="1"/>
  <c r="F40" i="19"/>
  <c r="G40" i="19" s="1"/>
  <c r="F39" i="19"/>
  <c r="G39" i="19" s="1"/>
  <c r="F38" i="19"/>
  <c r="G38" i="19" s="1"/>
  <c r="F37" i="19"/>
  <c r="G37" i="19" s="1"/>
  <c r="F36" i="19"/>
  <c r="G36" i="19" s="1"/>
  <c r="F35" i="19"/>
  <c r="G35" i="19" s="1"/>
  <c r="F34" i="19"/>
  <c r="G34" i="19" s="1"/>
  <c r="F33" i="19"/>
  <c r="G33" i="19" s="1"/>
  <c r="F32" i="19"/>
  <c r="G32" i="19" s="1"/>
  <c r="F31" i="19"/>
  <c r="G31" i="19" s="1"/>
  <c r="F30" i="19"/>
  <c r="G30" i="19" s="1"/>
  <c r="F29" i="19"/>
  <c r="G29" i="19" s="1"/>
  <c r="F28" i="19"/>
  <c r="G28" i="19" s="1"/>
  <c r="F27" i="19"/>
  <c r="G27" i="19" s="1"/>
  <c r="F26" i="19"/>
  <c r="G26" i="19" s="1"/>
  <c r="F25" i="19"/>
  <c r="G25" i="19" s="1"/>
  <c r="F24" i="19"/>
  <c r="G24" i="19" s="1"/>
  <c r="F23" i="19"/>
  <c r="G23" i="19" s="1"/>
  <c r="F22" i="19"/>
  <c r="G22" i="19" s="1"/>
  <c r="F21" i="19"/>
  <c r="G21" i="19" s="1"/>
  <c r="F20" i="19"/>
  <c r="G20" i="19" s="1"/>
  <c r="F19" i="19"/>
  <c r="G19" i="19" s="1"/>
  <c r="F18" i="19"/>
  <c r="G18" i="19" s="1"/>
  <c r="F17" i="19"/>
  <c r="G17" i="19" s="1"/>
  <c r="F16" i="19"/>
  <c r="G16" i="19" s="1"/>
  <c r="F15" i="19"/>
  <c r="G15" i="19" s="1"/>
  <c r="F14" i="19"/>
  <c r="G14" i="19" s="1"/>
  <c r="F13" i="19"/>
  <c r="G13" i="19" s="1"/>
  <c r="F12" i="19"/>
  <c r="G12" i="19" s="1"/>
  <c r="F11" i="19"/>
  <c r="G11" i="19" s="1"/>
  <c r="F10" i="19"/>
  <c r="G10" i="19" s="1"/>
  <c r="F9" i="19"/>
  <c r="G9" i="19" s="1"/>
  <c r="F8" i="19"/>
  <c r="G8" i="19" s="1"/>
  <c r="F7" i="19"/>
  <c r="G7" i="19" s="1"/>
  <c r="F6" i="19"/>
  <c r="G6" i="19" s="1"/>
  <c r="F5" i="19"/>
  <c r="G5" i="19" s="1"/>
  <c r="F4" i="19"/>
  <c r="G4" i="19" s="1"/>
  <c r="F3" i="19"/>
  <c r="G3" i="19" s="1"/>
  <c r="E3" i="11"/>
  <c r="Q3" i="11"/>
  <c r="F4" i="16"/>
  <c r="G4" i="16" s="1"/>
  <c r="F5" i="16"/>
  <c r="G5" i="16" s="1"/>
  <c r="F6" i="16"/>
  <c r="G6" i="16" s="1"/>
  <c r="F7" i="16"/>
  <c r="G7" i="16" s="1"/>
  <c r="F8" i="16"/>
  <c r="G8" i="16" s="1"/>
  <c r="F9" i="16"/>
  <c r="G9" i="16" s="1"/>
  <c r="F10" i="16"/>
  <c r="G10" i="16" s="1"/>
  <c r="F11" i="16"/>
  <c r="G11" i="16" s="1"/>
  <c r="F12" i="16"/>
  <c r="G12" i="16" s="1"/>
  <c r="F13" i="16"/>
  <c r="G13" i="16" s="1"/>
  <c r="F14" i="16"/>
  <c r="G14" i="16" s="1"/>
  <c r="F15" i="16"/>
  <c r="G15" i="16" s="1"/>
  <c r="F16" i="16"/>
  <c r="G16" i="16" s="1"/>
  <c r="F17" i="16"/>
  <c r="G17" i="16" s="1"/>
  <c r="F18" i="16"/>
  <c r="G18" i="16" s="1"/>
  <c r="F19" i="16"/>
  <c r="G19" i="16" s="1"/>
  <c r="F20" i="16"/>
  <c r="G20" i="16" s="1"/>
  <c r="F21" i="16"/>
  <c r="G21" i="16" s="1"/>
  <c r="F22" i="16"/>
  <c r="F23" i="16"/>
  <c r="G23" i="16" s="1"/>
  <c r="F24" i="16"/>
  <c r="G24" i="16" s="1"/>
  <c r="F25" i="16"/>
  <c r="G25" i="16" s="1"/>
  <c r="F26" i="16"/>
  <c r="G26" i="16" s="1"/>
  <c r="F27" i="16"/>
  <c r="G27" i="16" s="1"/>
  <c r="F28" i="16"/>
  <c r="G28" i="16" s="1"/>
  <c r="F29" i="16"/>
  <c r="G29" i="16" s="1"/>
  <c r="F30" i="16"/>
  <c r="G30" i="16" s="1"/>
  <c r="F31" i="16"/>
  <c r="G31" i="16" s="1"/>
  <c r="F32" i="16"/>
  <c r="G32" i="16" s="1"/>
  <c r="F33" i="16"/>
  <c r="G33" i="16" s="1"/>
  <c r="F34" i="16"/>
  <c r="G34" i="16" s="1"/>
  <c r="F35" i="16"/>
  <c r="G35" i="16" s="1"/>
  <c r="F36" i="16"/>
  <c r="G36" i="16" s="1"/>
  <c r="F37" i="16"/>
  <c r="G37" i="16" s="1"/>
  <c r="F38" i="16"/>
  <c r="G38" i="16" s="1"/>
  <c r="F39" i="16"/>
  <c r="G39" i="16" s="1"/>
  <c r="F40" i="16"/>
  <c r="G40" i="16" s="1"/>
  <c r="F41" i="16"/>
  <c r="G41" i="16" s="1"/>
  <c r="F42" i="16"/>
  <c r="F43" i="16"/>
  <c r="G43" i="16" s="1"/>
  <c r="F44" i="16"/>
  <c r="G44" i="16" s="1"/>
  <c r="F45" i="16"/>
  <c r="G45" i="16" s="1"/>
  <c r="F46" i="16"/>
  <c r="G46" i="16" s="1"/>
  <c r="F47" i="16"/>
  <c r="G47" i="16" s="1"/>
  <c r="F48" i="16"/>
  <c r="G48" i="16" s="1"/>
  <c r="F49" i="16"/>
  <c r="G49" i="16" s="1"/>
  <c r="F50" i="16"/>
  <c r="G50" i="16" s="1"/>
  <c r="F51" i="16"/>
  <c r="G51" i="16" s="1"/>
  <c r="F52" i="16"/>
  <c r="G52" i="16" s="1"/>
  <c r="F53" i="16"/>
  <c r="G53" i="16" s="1"/>
  <c r="F54" i="16"/>
  <c r="G54" i="16" s="1"/>
  <c r="F55" i="16"/>
  <c r="G55" i="16" s="1"/>
  <c r="F56" i="16"/>
  <c r="G56" i="16" s="1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F66" i="16"/>
  <c r="G66" i="16" s="1"/>
  <c r="F67" i="16"/>
  <c r="G67" i="16" s="1"/>
  <c r="F68" i="16"/>
  <c r="G68" i="16" s="1"/>
  <c r="F69" i="16"/>
  <c r="G69" i="16" s="1"/>
  <c r="F70" i="16"/>
  <c r="G70" i="16" s="1"/>
  <c r="F71" i="16"/>
  <c r="G71" i="16" s="1"/>
  <c r="F72" i="16"/>
  <c r="G72" i="16" s="1"/>
  <c r="F73" i="16"/>
  <c r="G73" i="16" s="1"/>
  <c r="F74" i="16"/>
  <c r="G74" i="16" s="1"/>
  <c r="F75" i="16"/>
  <c r="G75" i="16" s="1"/>
  <c r="F76" i="16"/>
  <c r="G76" i="16" s="1"/>
  <c r="F77" i="16"/>
  <c r="G77" i="16" s="1"/>
  <c r="F78" i="16"/>
  <c r="G78" i="16" s="1"/>
  <c r="F79" i="16"/>
  <c r="G79" i="16" s="1"/>
  <c r="F80" i="16"/>
  <c r="G80" i="16" s="1"/>
  <c r="F81" i="16"/>
  <c r="G81" i="16" s="1"/>
  <c r="F82" i="16"/>
  <c r="G82" i="16" s="1"/>
  <c r="F83" i="16"/>
  <c r="G83" i="16" s="1"/>
  <c r="F84" i="16"/>
  <c r="G84" i="16" s="1"/>
  <c r="F85" i="16"/>
  <c r="F86" i="16"/>
  <c r="G86" i="16" s="1"/>
  <c r="F87" i="16"/>
  <c r="G87" i="16" s="1"/>
  <c r="F88" i="16"/>
  <c r="G88" i="16" s="1"/>
  <c r="F89" i="16"/>
  <c r="G89" i="16" s="1"/>
  <c r="F90" i="16"/>
  <c r="G90" i="16" s="1"/>
  <c r="F91" i="16"/>
  <c r="G91" i="16" s="1"/>
  <c r="F92" i="16"/>
  <c r="G92" i="16" s="1"/>
  <c r="F93" i="16"/>
  <c r="G93" i="16" s="1"/>
  <c r="F94" i="16"/>
  <c r="G94" i="16" s="1"/>
  <c r="F95" i="16"/>
  <c r="G95" i="16" s="1"/>
  <c r="F96" i="16"/>
  <c r="G96" i="16" s="1"/>
  <c r="F97" i="16"/>
  <c r="G97" i="16" s="1"/>
  <c r="F98" i="16"/>
  <c r="G98" i="16" s="1"/>
  <c r="F99" i="16"/>
  <c r="G99" i="16" s="1"/>
  <c r="F100" i="16"/>
  <c r="G100" i="16" s="1"/>
  <c r="F101" i="16"/>
  <c r="G101" i="16" s="1"/>
  <c r="F102" i="16"/>
  <c r="G102" i="16" s="1"/>
  <c r="F103" i="16"/>
  <c r="G103" i="16" s="1"/>
  <c r="F104" i="16"/>
  <c r="F105" i="16"/>
  <c r="G105" i="16" s="1"/>
  <c r="F106" i="16"/>
  <c r="G106" i="16" s="1"/>
  <c r="F107" i="16"/>
  <c r="G107" i="16" s="1"/>
  <c r="F108" i="16"/>
  <c r="G108" i="16" s="1"/>
  <c r="F109" i="16"/>
  <c r="G109" i="16" s="1"/>
  <c r="F110" i="16"/>
  <c r="G110" i="16" s="1"/>
  <c r="F111" i="16"/>
  <c r="G111" i="16" s="1"/>
  <c r="F112" i="16"/>
  <c r="G112" i="16" s="1"/>
  <c r="F113" i="16"/>
  <c r="G113" i="16" s="1"/>
  <c r="F114" i="16"/>
  <c r="G114" i="16" s="1"/>
  <c r="F115" i="16"/>
  <c r="G115" i="16" s="1"/>
  <c r="F116" i="16"/>
  <c r="G116" i="16" s="1"/>
  <c r="F117" i="16"/>
  <c r="G117" i="16" s="1"/>
  <c r="F118" i="16"/>
  <c r="G118" i="16" s="1"/>
  <c r="F119" i="16"/>
  <c r="G119" i="16" s="1"/>
  <c r="F120" i="16"/>
  <c r="G120" i="16" s="1"/>
  <c r="F121" i="16"/>
  <c r="G121" i="16" s="1"/>
  <c r="F122" i="16"/>
  <c r="G122" i="16" s="1"/>
  <c r="F123" i="16"/>
  <c r="G123" i="16" s="1"/>
  <c r="F124" i="16"/>
  <c r="G124" i="16" s="1"/>
  <c r="F125" i="16"/>
  <c r="G125" i="16" s="1"/>
  <c r="F126" i="16"/>
  <c r="F127" i="16"/>
  <c r="G127" i="16" s="1"/>
  <c r="F128" i="16"/>
  <c r="G128" i="16" s="1"/>
  <c r="F129" i="16"/>
  <c r="G129" i="16" s="1"/>
  <c r="F130" i="16"/>
  <c r="G130" i="16" s="1"/>
  <c r="F131" i="16"/>
  <c r="G131" i="16" s="1"/>
  <c r="F132" i="16"/>
  <c r="G132" i="16" s="1"/>
  <c r="F133" i="16"/>
  <c r="G133" i="16" s="1"/>
  <c r="F134" i="16"/>
  <c r="G134" i="16" s="1"/>
  <c r="F135" i="16"/>
  <c r="G135" i="16" s="1"/>
  <c r="F136" i="16"/>
  <c r="G136" i="16" s="1"/>
  <c r="F137" i="16"/>
  <c r="G137" i="16" s="1"/>
  <c r="F138" i="16"/>
  <c r="G138" i="16" s="1"/>
  <c r="F139" i="16"/>
  <c r="G139" i="16" s="1"/>
  <c r="F140" i="16"/>
  <c r="G140" i="16" s="1"/>
  <c r="F141" i="16"/>
  <c r="G141" i="16" s="1"/>
  <c r="F142" i="16"/>
  <c r="G142" i="16" s="1"/>
  <c r="F143" i="16"/>
  <c r="G143" i="16" s="1"/>
  <c r="F144" i="16"/>
  <c r="G144" i="16" s="1"/>
  <c r="F145" i="16"/>
  <c r="G145" i="16" s="1"/>
  <c r="F146" i="16"/>
  <c r="G146" i="16" s="1"/>
  <c r="F147" i="16"/>
  <c r="G147" i="16" s="1"/>
  <c r="F148" i="16"/>
  <c r="F149" i="16"/>
  <c r="G149" i="16" s="1"/>
  <c r="F150" i="16"/>
  <c r="G150" i="16" s="1"/>
  <c r="F151" i="16"/>
  <c r="G151" i="16" s="1"/>
  <c r="F152" i="16"/>
  <c r="G152" i="16" s="1"/>
  <c r="F153" i="16"/>
  <c r="G153" i="16" s="1"/>
  <c r="F154" i="16"/>
  <c r="G154" i="16" s="1"/>
  <c r="F155" i="16"/>
  <c r="G155" i="16" s="1"/>
  <c r="F156" i="16"/>
  <c r="G156" i="16" s="1"/>
  <c r="F157" i="16"/>
  <c r="G157" i="16" s="1"/>
  <c r="F158" i="16"/>
  <c r="G158" i="16" s="1"/>
  <c r="F159" i="16"/>
  <c r="G159" i="16" s="1"/>
  <c r="F160" i="16"/>
  <c r="G160" i="16" s="1"/>
  <c r="F161" i="16"/>
  <c r="G161" i="16" s="1"/>
  <c r="F162" i="16"/>
  <c r="G162" i="16" s="1"/>
  <c r="F163" i="16"/>
  <c r="G163" i="16" s="1"/>
  <c r="F164" i="16"/>
  <c r="G164" i="16" s="1"/>
  <c r="F165" i="16"/>
  <c r="G165" i="16" s="1"/>
  <c r="F166" i="16"/>
  <c r="G166" i="16" s="1"/>
  <c r="F167" i="16"/>
  <c r="G167" i="16" s="1"/>
  <c r="F168" i="16"/>
  <c r="G168" i="16" s="1"/>
  <c r="F169" i="16"/>
  <c r="F170" i="16"/>
  <c r="G170" i="16" s="1"/>
  <c r="F171" i="16"/>
  <c r="G171" i="16" s="1"/>
  <c r="F172" i="16"/>
  <c r="G172" i="16" s="1"/>
  <c r="F173" i="16"/>
  <c r="G173" i="16" s="1"/>
  <c r="F174" i="16"/>
  <c r="G174" i="16" s="1"/>
  <c r="F175" i="16"/>
  <c r="G175" i="16" s="1"/>
  <c r="F176" i="16"/>
  <c r="G176" i="16" s="1"/>
  <c r="F177" i="16"/>
  <c r="G177" i="16" s="1"/>
  <c r="F178" i="16"/>
  <c r="G178" i="16" s="1"/>
  <c r="F179" i="16"/>
  <c r="G179" i="16" s="1"/>
  <c r="F180" i="16"/>
  <c r="G180" i="16" s="1"/>
  <c r="F181" i="16"/>
  <c r="G181" i="16" s="1"/>
  <c r="F182" i="16"/>
  <c r="G182" i="16" s="1"/>
  <c r="F183" i="16"/>
  <c r="G183" i="16" s="1"/>
  <c r="F184" i="16"/>
  <c r="G184" i="16" s="1"/>
  <c r="F185" i="16"/>
  <c r="G185" i="16" s="1"/>
  <c r="F186" i="16"/>
  <c r="G186" i="16" s="1"/>
  <c r="F187" i="16"/>
  <c r="G187" i="16" s="1"/>
  <c r="F188" i="16"/>
  <c r="G188" i="16" s="1"/>
  <c r="F189" i="16"/>
  <c r="G189" i="16" s="1"/>
  <c r="F190" i="16"/>
  <c r="G190" i="16" s="1"/>
  <c r="F191" i="16"/>
  <c r="F192" i="16"/>
  <c r="G192" i="16" s="1"/>
  <c r="F193" i="16"/>
  <c r="G193" i="16" s="1"/>
  <c r="F194" i="16"/>
  <c r="G194" i="16" s="1"/>
  <c r="F195" i="16"/>
  <c r="G195" i="16" s="1"/>
  <c r="F196" i="16"/>
  <c r="G196" i="16" s="1"/>
  <c r="F197" i="16"/>
  <c r="G197" i="16" s="1"/>
  <c r="F198" i="16"/>
  <c r="G198" i="16" s="1"/>
  <c r="F199" i="16"/>
  <c r="G199" i="16" s="1"/>
  <c r="F200" i="16"/>
  <c r="G200" i="16" s="1"/>
  <c r="F201" i="16"/>
  <c r="G201" i="16" s="1"/>
  <c r="F202" i="16"/>
  <c r="G202" i="16" s="1"/>
  <c r="F203" i="16"/>
  <c r="G203" i="16" s="1"/>
  <c r="F204" i="16"/>
  <c r="G204" i="16" s="1"/>
  <c r="F205" i="16"/>
  <c r="G205" i="16" s="1"/>
  <c r="F206" i="16"/>
  <c r="G206" i="16" s="1"/>
  <c r="F207" i="16"/>
  <c r="G207" i="16" s="1"/>
  <c r="F208" i="16"/>
  <c r="G208" i="16" s="1"/>
  <c r="F209" i="16"/>
  <c r="G209" i="16" s="1"/>
  <c r="F210" i="16"/>
  <c r="G210" i="16" s="1"/>
  <c r="F211" i="16"/>
  <c r="G211" i="16" s="1"/>
  <c r="F212" i="16"/>
  <c r="F213" i="16"/>
  <c r="G213" i="16" s="1"/>
  <c r="F214" i="16"/>
  <c r="G214" i="16" s="1"/>
  <c r="F215" i="16"/>
  <c r="G215" i="16" s="1"/>
  <c r="F216" i="16"/>
  <c r="G216" i="16" s="1"/>
  <c r="F217" i="16"/>
  <c r="G217" i="16" s="1"/>
  <c r="F218" i="16"/>
  <c r="G218" i="16" s="1"/>
  <c r="F219" i="16"/>
  <c r="G219" i="16" s="1"/>
  <c r="F220" i="16"/>
  <c r="G220" i="16" s="1"/>
  <c r="F221" i="16"/>
  <c r="G221" i="16" s="1"/>
  <c r="F222" i="16"/>
  <c r="G222" i="16" s="1"/>
  <c r="F223" i="16"/>
  <c r="G223" i="16" s="1"/>
  <c r="F224" i="16"/>
  <c r="G224" i="16" s="1"/>
  <c r="F225" i="16"/>
  <c r="G225" i="16" s="1"/>
  <c r="F226" i="16"/>
  <c r="G226" i="16" s="1"/>
  <c r="F227" i="16"/>
  <c r="G227" i="16" s="1"/>
  <c r="F228" i="16"/>
  <c r="G228" i="16" s="1"/>
  <c r="F229" i="16"/>
  <c r="G229" i="16" s="1"/>
  <c r="F230" i="16"/>
  <c r="G230" i="16" s="1"/>
  <c r="F231" i="16"/>
  <c r="G231" i="16" s="1"/>
  <c r="F232" i="16"/>
  <c r="G232" i="16" s="1"/>
  <c r="F233" i="16"/>
  <c r="G233" i="16" s="1"/>
  <c r="F234" i="16"/>
  <c r="F235" i="16"/>
  <c r="G235" i="16" s="1"/>
  <c r="F236" i="16"/>
  <c r="G236" i="16" s="1"/>
  <c r="F237" i="16"/>
  <c r="G237" i="16" s="1"/>
  <c r="F238" i="16"/>
  <c r="G238" i="16" s="1"/>
  <c r="F239" i="16"/>
  <c r="G239" i="16" s="1"/>
  <c r="F240" i="16"/>
  <c r="G240" i="16" s="1"/>
  <c r="F241" i="16"/>
  <c r="G241" i="16" s="1"/>
  <c r="F242" i="16"/>
  <c r="G242" i="16" s="1"/>
  <c r="F243" i="16"/>
  <c r="G243" i="16" s="1"/>
  <c r="F244" i="16"/>
  <c r="G244" i="16" s="1"/>
  <c r="F245" i="16"/>
  <c r="G245" i="16" s="1"/>
  <c r="F246" i="16"/>
  <c r="G246" i="16" s="1"/>
  <c r="F247" i="16"/>
  <c r="G247" i="16" s="1"/>
  <c r="F248" i="16"/>
  <c r="G248" i="16" s="1"/>
  <c r="F249" i="16"/>
  <c r="G249" i="16" s="1"/>
  <c r="F250" i="16"/>
  <c r="G250" i="16" s="1"/>
  <c r="F251" i="16"/>
  <c r="G251" i="16" s="1"/>
  <c r="F252" i="16"/>
  <c r="G252" i="16" s="1"/>
  <c r="F253" i="16"/>
  <c r="F254" i="16"/>
  <c r="G254" i="16" s="1"/>
  <c r="F255" i="16"/>
  <c r="G255" i="16" s="1"/>
  <c r="F256" i="16"/>
  <c r="G256" i="16" s="1"/>
  <c r="F257" i="16"/>
  <c r="G257" i="16" s="1"/>
  <c r="F258" i="16"/>
  <c r="G258" i="16" s="1"/>
  <c r="F259" i="16"/>
  <c r="G259" i="16" s="1"/>
  <c r="F260" i="16"/>
  <c r="G260" i="16" s="1"/>
  <c r="F261" i="16"/>
  <c r="G261" i="16" s="1"/>
  <c r="F262" i="16"/>
  <c r="G262" i="16" s="1"/>
  <c r="F263" i="16"/>
  <c r="G263" i="16" s="1"/>
  <c r="F264" i="16"/>
  <c r="G264" i="16" s="1"/>
  <c r="F265" i="16"/>
  <c r="G265" i="16" s="1"/>
  <c r="F266" i="16"/>
  <c r="G266" i="16" s="1"/>
  <c r="F267" i="16"/>
  <c r="G267" i="16" s="1"/>
  <c r="F268" i="16"/>
  <c r="G268" i="16" s="1"/>
  <c r="F269" i="16"/>
  <c r="G269" i="16" s="1"/>
  <c r="F270" i="16"/>
  <c r="G270" i="16" s="1"/>
  <c r="F271" i="16"/>
  <c r="G271" i="16" s="1"/>
  <c r="F272" i="16"/>
  <c r="G272" i="16" s="1"/>
  <c r="F273" i="16"/>
  <c r="F274" i="16"/>
  <c r="G274" i="16" s="1"/>
  <c r="F275" i="16"/>
  <c r="G275" i="16" s="1"/>
  <c r="F276" i="16"/>
  <c r="G276" i="16" s="1"/>
  <c r="F277" i="16"/>
  <c r="G277" i="16" s="1"/>
  <c r="F278" i="16"/>
  <c r="G278" i="16" s="1"/>
  <c r="F279" i="16"/>
  <c r="G279" i="16" s="1"/>
  <c r="F280" i="16"/>
  <c r="G280" i="16" s="1"/>
  <c r="F281" i="16"/>
  <c r="G281" i="16" s="1"/>
  <c r="F282" i="16"/>
  <c r="G282" i="16" s="1"/>
  <c r="F283" i="16"/>
  <c r="G283" i="16" s="1"/>
  <c r="F284" i="16"/>
  <c r="G284" i="16" s="1"/>
  <c r="F285" i="16"/>
  <c r="G285" i="16" s="1"/>
  <c r="F286" i="16"/>
  <c r="G286" i="16" s="1"/>
  <c r="F287" i="16"/>
  <c r="G287" i="16" s="1"/>
  <c r="F288" i="16"/>
  <c r="G288" i="16" s="1"/>
  <c r="F289" i="16"/>
  <c r="G289" i="16" s="1"/>
  <c r="F290" i="16"/>
  <c r="G290" i="16" s="1"/>
  <c r="F291" i="16"/>
  <c r="G291" i="16" s="1"/>
  <c r="F292" i="16"/>
  <c r="G292" i="16" s="1"/>
  <c r="F293" i="16"/>
  <c r="F294" i="16"/>
  <c r="G294" i="16" s="1"/>
  <c r="F295" i="16"/>
  <c r="G295" i="16" s="1"/>
  <c r="F296" i="16"/>
  <c r="G296" i="16" s="1"/>
  <c r="F297" i="16"/>
  <c r="G297" i="16" s="1"/>
  <c r="F298" i="16"/>
  <c r="G298" i="16" s="1"/>
  <c r="F299" i="16"/>
  <c r="G299" i="16" s="1"/>
  <c r="F300" i="16"/>
  <c r="G300" i="16" s="1"/>
  <c r="F301" i="16"/>
  <c r="G301" i="16" s="1"/>
  <c r="F302" i="16"/>
  <c r="G302" i="16" s="1"/>
  <c r="F303" i="16"/>
  <c r="G303" i="16" s="1"/>
  <c r="F304" i="16"/>
  <c r="G304" i="16" s="1"/>
  <c r="F305" i="16"/>
  <c r="G305" i="16" s="1"/>
  <c r="F306" i="16"/>
  <c r="G306" i="16" s="1"/>
  <c r="F307" i="16"/>
  <c r="G307" i="16" s="1"/>
  <c r="F308" i="16"/>
  <c r="G308" i="16" s="1"/>
  <c r="F309" i="16"/>
  <c r="G309" i="16" s="1"/>
  <c r="F310" i="16"/>
  <c r="G310" i="16" s="1"/>
  <c r="F311" i="16"/>
  <c r="G311" i="16" s="1"/>
  <c r="F312" i="16"/>
  <c r="G312" i="16" s="1"/>
  <c r="F313" i="16"/>
  <c r="G313" i="16" s="1"/>
  <c r="F314" i="16"/>
  <c r="G314" i="16" s="1"/>
  <c r="F315" i="16"/>
  <c r="G315" i="16" s="1"/>
  <c r="F316" i="16"/>
  <c r="F317" i="16"/>
  <c r="G317" i="16" s="1"/>
  <c r="F318" i="16"/>
  <c r="G318" i="16" s="1"/>
  <c r="F319" i="16"/>
  <c r="G319" i="16" s="1"/>
  <c r="F320" i="16"/>
  <c r="G320" i="16" s="1"/>
  <c r="F321" i="16"/>
  <c r="G321" i="16" s="1"/>
  <c r="F322" i="16"/>
  <c r="G322" i="16" s="1"/>
  <c r="F323" i="16"/>
  <c r="G323" i="16" s="1"/>
  <c r="F324" i="16"/>
  <c r="G324" i="16" s="1"/>
  <c r="F325" i="16"/>
  <c r="G325" i="16" s="1"/>
  <c r="F326" i="16"/>
  <c r="G326" i="16" s="1"/>
  <c r="F327" i="16"/>
  <c r="G327" i="16" s="1"/>
  <c r="F328" i="16"/>
  <c r="G328" i="16" s="1"/>
  <c r="F329" i="16"/>
  <c r="G329" i="16" s="1"/>
  <c r="F330" i="16"/>
  <c r="G330" i="16" s="1"/>
  <c r="F331" i="16"/>
  <c r="G331" i="16" s="1"/>
  <c r="F332" i="16"/>
  <c r="G332" i="16" s="1"/>
  <c r="F333" i="16"/>
  <c r="G333" i="16" s="1"/>
  <c r="F334" i="16"/>
  <c r="F335" i="16"/>
  <c r="G335" i="16" s="1"/>
  <c r="F336" i="16"/>
  <c r="G336" i="16" s="1"/>
  <c r="F337" i="16"/>
  <c r="G337" i="16" s="1"/>
  <c r="F338" i="16"/>
  <c r="G338" i="16" s="1"/>
  <c r="F339" i="16"/>
  <c r="G339" i="16" s="1"/>
  <c r="F340" i="16"/>
  <c r="G340" i="16" s="1"/>
  <c r="F341" i="16"/>
  <c r="G341" i="16" s="1"/>
  <c r="F342" i="16"/>
  <c r="G342" i="16" s="1"/>
  <c r="F343" i="16"/>
  <c r="G343" i="16" s="1"/>
  <c r="F344" i="16"/>
  <c r="G344" i="16" s="1"/>
  <c r="F345" i="16"/>
  <c r="G345" i="16" s="1"/>
  <c r="F346" i="16"/>
  <c r="G346" i="16" s="1"/>
  <c r="F347" i="16"/>
  <c r="G347" i="16" s="1"/>
  <c r="F348" i="16"/>
  <c r="G348" i="16" s="1"/>
  <c r="F349" i="16"/>
  <c r="G349" i="16" s="1"/>
  <c r="F350" i="16"/>
  <c r="G350" i="16" s="1"/>
  <c r="F351" i="16"/>
  <c r="G351" i="16" s="1"/>
  <c r="F352" i="16"/>
  <c r="G352" i="16" s="1"/>
  <c r="F353" i="16"/>
  <c r="G353" i="16" s="1"/>
  <c r="F354" i="16"/>
  <c r="F355" i="16"/>
  <c r="G355" i="16" s="1"/>
  <c r="F356" i="16"/>
  <c r="G356" i="16" s="1"/>
  <c r="F357" i="16"/>
  <c r="G357" i="16" s="1"/>
  <c r="F358" i="16"/>
  <c r="G358" i="16" s="1"/>
  <c r="F359" i="16"/>
  <c r="G359" i="16" s="1"/>
  <c r="F360" i="16"/>
  <c r="G360" i="16" s="1"/>
  <c r="F361" i="16"/>
  <c r="G361" i="16" s="1"/>
  <c r="F362" i="16"/>
  <c r="G362" i="16" s="1"/>
  <c r="F363" i="16"/>
  <c r="G363" i="16" s="1"/>
  <c r="F364" i="16"/>
  <c r="G364" i="16" s="1"/>
  <c r="F365" i="16"/>
  <c r="G365" i="16" s="1"/>
  <c r="F366" i="16"/>
  <c r="G366" i="16" s="1"/>
  <c r="F367" i="16"/>
  <c r="G367" i="16" s="1"/>
  <c r="F368" i="16"/>
  <c r="G368" i="16" s="1"/>
  <c r="F369" i="16"/>
  <c r="G369" i="16" s="1"/>
  <c r="F370" i="16"/>
  <c r="G370" i="16" s="1"/>
  <c r="F371" i="16"/>
  <c r="G371" i="16" s="1"/>
  <c r="F372" i="16"/>
  <c r="G372" i="16" s="1"/>
  <c r="F373" i="16"/>
  <c r="G373" i="16" s="1"/>
  <c r="F374" i="16"/>
  <c r="G374" i="16" s="1"/>
  <c r="F375" i="16"/>
  <c r="G375" i="16" s="1"/>
  <c r="F376" i="16"/>
  <c r="F377" i="16"/>
  <c r="G377" i="16" s="1"/>
  <c r="F378" i="16"/>
  <c r="G378" i="16" s="1"/>
  <c r="F379" i="16"/>
  <c r="G379" i="16" s="1"/>
  <c r="F380" i="16"/>
  <c r="G380" i="16" s="1"/>
  <c r="F381" i="16"/>
  <c r="G381" i="16" s="1"/>
  <c r="F382" i="16"/>
  <c r="G382" i="16" s="1"/>
  <c r="F383" i="16"/>
  <c r="G383" i="16" s="1"/>
  <c r="F384" i="16"/>
  <c r="G384" i="16" s="1"/>
  <c r="F385" i="16"/>
  <c r="G385" i="16" s="1"/>
  <c r="F386" i="16"/>
  <c r="G386" i="16" s="1"/>
  <c r="F387" i="16"/>
  <c r="G387" i="16" s="1"/>
  <c r="F388" i="16"/>
  <c r="G388" i="16" s="1"/>
  <c r="F389" i="16"/>
  <c r="G389" i="16" s="1"/>
  <c r="F390" i="16"/>
  <c r="G390" i="16" s="1"/>
  <c r="F391" i="16"/>
  <c r="G391" i="16" s="1"/>
  <c r="F392" i="16"/>
  <c r="G392" i="16" s="1"/>
  <c r="F393" i="16"/>
  <c r="G393" i="16" s="1"/>
  <c r="F394" i="16"/>
  <c r="G394" i="16" s="1"/>
  <c r="F395" i="16"/>
  <c r="G395" i="16" s="1"/>
  <c r="F396" i="16"/>
  <c r="G396" i="16" s="1"/>
  <c r="F397" i="16"/>
  <c r="F398" i="16"/>
  <c r="G398" i="16" s="1"/>
  <c r="F399" i="16"/>
  <c r="G399" i="16" s="1"/>
  <c r="F400" i="16"/>
  <c r="G400" i="16" s="1"/>
  <c r="F401" i="16"/>
  <c r="G401" i="16" s="1"/>
  <c r="F402" i="16"/>
  <c r="G402" i="16" s="1"/>
  <c r="F403" i="16"/>
  <c r="G403" i="16" s="1"/>
  <c r="F404" i="16"/>
  <c r="G404" i="16" s="1"/>
  <c r="F405" i="16"/>
  <c r="G405" i="16" s="1"/>
  <c r="F406" i="16"/>
  <c r="G406" i="16" s="1"/>
  <c r="F407" i="16"/>
  <c r="G407" i="16" s="1"/>
  <c r="F408" i="16"/>
  <c r="G408" i="16" s="1"/>
  <c r="F409" i="16"/>
  <c r="G409" i="16" s="1"/>
  <c r="F410" i="16"/>
  <c r="G410" i="16" s="1"/>
  <c r="F411" i="16"/>
  <c r="G411" i="16" s="1"/>
  <c r="F412" i="16"/>
  <c r="G412" i="16" s="1"/>
  <c r="F413" i="16"/>
  <c r="G413" i="16" s="1"/>
  <c r="F414" i="16"/>
  <c r="G414" i="16" s="1"/>
  <c r="F415" i="16"/>
  <c r="G415" i="16" s="1"/>
  <c r="F416" i="16"/>
  <c r="G416" i="16" s="1"/>
  <c r="F417" i="16"/>
  <c r="G417" i="16" s="1"/>
  <c r="F418" i="16"/>
  <c r="F419" i="16"/>
  <c r="G419" i="16" s="1"/>
  <c r="F420" i="16"/>
  <c r="G420" i="16" s="1"/>
  <c r="F421" i="16"/>
  <c r="G421" i="16" s="1"/>
  <c r="F422" i="16"/>
  <c r="G422" i="16" s="1"/>
  <c r="F423" i="16"/>
  <c r="G423" i="16" s="1"/>
  <c r="F424" i="16"/>
  <c r="G424" i="16" s="1"/>
  <c r="F425" i="16"/>
  <c r="G425" i="16" s="1"/>
  <c r="F426" i="16"/>
  <c r="G426" i="16" s="1"/>
  <c r="F427" i="16"/>
  <c r="G427" i="16" s="1"/>
  <c r="F428" i="16"/>
  <c r="G428" i="16" s="1"/>
  <c r="F429" i="16"/>
  <c r="G429" i="16" s="1"/>
  <c r="F430" i="16"/>
  <c r="G430" i="16" s="1"/>
  <c r="F431" i="16"/>
  <c r="G431" i="16" s="1"/>
  <c r="F432" i="16"/>
  <c r="G432" i="16" s="1"/>
  <c r="F433" i="16"/>
  <c r="G433" i="16" s="1"/>
  <c r="F434" i="16"/>
  <c r="G434" i="16" s="1"/>
  <c r="F435" i="16"/>
  <c r="G435" i="16" s="1"/>
  <c r="F436" i="16"/>
  <c r="G436" i="16" s="1"/>
  <c r="F437" i="16"/>
  <c r="G437" i="16" s="1"/>
  <c r="F438" i="16"/>
  <c r="G438" i="16" s="1"/>
  <c r="F439" i="16"/>
  <c r="G439" i="16" s="1"/>
  <c r="F440" i="16"/>
  <c r="F441" i="16"/>
  <c r="G441" i="16" s="1"/>
  <c r="F442" i="16"/>
  <c r="G442" i="16" s="1"/>
  <c r="F443" i="16"/>
  <c r="G443" i="16" s="1"/>
  <c r="F444" i="16"/>
  <c r="G444" i="16" s="1"/>
  <c r="F445" i="16"/>
  <c r="G445" i="16" s="1"/>
  <c r="F446" i="16"/>
  <c r="G446" i="16" s="1"/>
  <c r="F447" i="16"/>
  <c r="G447" i="16" s="1"/>
  <c r="F448" i="16"/>
  <c r="G448" i="16" s="1"/>
  <c r="F449" i="16"/>
  <c r="G449" i="16" s="1"/>
  <c r="F450" i="16"/>
  <c r="G450" i="16" s="1"/>
  <c r="F451" i="16"/>
  <c r="G451" i="16" s="1"/>
  <c r="F452" i="16"/>
  <c r="G452" i="16" s="1"/>
  <c r="F453" i="16"/>
  <c r="G453" i="16" s="1"/>
  <c r="F454" i="16"/>
  <c r="G454" i="16" s="1"/>
  <c r="F455" i="16"/>
  <c r="G455" i="16" s="1"/>
  <c r="F456" i="16"/>
  <c r="G456" i="16" s="1"/>
  <c r="F457" i="16"/>
  <c r="G457" i="16" s="1"/>
  <c r="F458" i="16"/>
  <c r="G458" i="16" s="1"/>
  <c r="F459" i="16"/>
  <c r="G459" i="16" s="1"/>
  <c r="F460" i="16"/>
  <c r="G460" i="16" s="1"/>
  <c r="F461" i="16"/>
  <c r="F462" i="16"/>
  <c r="G462" i="16" s="1"/>
  <c r="F463" i="16"/>
  <c r="G463" i="16" s="1"/>
  <c r="F464" i="16"/>
  <c r="G464" i="16" s="1"/>
  <c r="F465" i="16"/>
  <c r="G465" i="16" s="1"/>
  <c r="F466" i="16"/>
  <c r="G466" i="16" s="1"/>
  <c r="F467" i="16"/>
  <c r="G467" i="16" s="1"/>
  <c r="F468" i="16"/>
  <c r="G468" i="16" s="1"/>
  <c r="F469" i="16"/>
  <c r="G469" i="16" s="1"/>
  <c r="F470" i="16"/>
  <c r="G470" i="16" s="1"/>
  <c r="F471" i="16"/>
  <c r="G471" i="16" s="1"/>
  <c r="F472" i="16"/>
  <c r="G472" i="16" s="1"/>
  <c r="F473" i="16"/>
  <c r="G473" i="16" s="1"/>
  <c r="F474" i="16"/>
  <c r="G474" i="16" s="1"/>
  <c r="F475" i="16"/>
  <c r="G475" i="16" s="1"/>
  <c r="F476" i="16"/>
  <c r="G476" i="16" s="1"/>
  <c r="F477" i="16"/>
  <c r="G477" i="16" s="1"/>
  <c r="F478" i="16"/>
  <c r="G478" i="16" s="1"/>
  <c r="F479" i="16"/>
  <c r="G479" i="16" s="1"/>
  <c r="F480" i="16"/>
  <c r="G480" i="16" s="1"/>
  <c r="F481" i="16"/>
  <c r="G481" i="16" s="1"/>
  <c r="F482" i="16"/>
  <c r="G482" i="16" s="1"/>
  <c r="F483" i="16"/>
  <c r="F484" i="16"/>
  <c r="G484" i="16" s="1"/>
  <c r="F485" i="16"/>
  <c r="G485" i="16" s="1"/>
  <c r="F486" i="16"/>
  <c r="G486" i="16" s="1"/>
  <c r="F487" i="16"/>
  <c r="G487" i="16" s="1"/>
  <c r="F488" i="16"/>
  <c r="G488" i="16" s="1"/>
  <c r="F489" i="16"/>
  <c r="G489" i="16" s="1"/>
  <c r="F490" i="16"/>
  <c r="G490" i="16" s="1"/>
  <c r="F491" i="16"/>
  <c r="G491" i="16" s="1"/>
  <c r="F492" i="16"/>
  <c r="G492" i="16" s="1"/>
  <c r="F493" i="16"/>
  <c r="G493" i="16" s="1"/>
  <c r="F494" i="16"/>
  <c r="G494" i="16" s="1"/>
  <c r="F495" i="16"/>
  <c r="G495" i="16" s="1"/>
  <c r="F496" i="16"/>
  <c r="G496" i="16" s="1"/>
  <c r="F497" i="16"/>
  <c r="G497" i="16" s="1"/>
  <c r="F498" i="16"/>
  <c r="G498" i="16" s="1"/>
  <c r="F499" i="16"/>
  <c r="G499" i="16" s="1"/>
  <c r="F500" i="16"/>
  <c r="G500" i="16" s="1"/>
  <c r="F501" i="16"/>
  <c r="G501" i="16" s="1"/>
  <c r="F502" i="16"/>
  <c r="G502" i="16" s="1"/>
  <c r="F503" i="16"/>
  <c r="F504" i="16"/>
  <c r="G504" i="16" s="1"/>
  <c r="F505" i="16"/>
  <c r="G505" i="16" s="1"/>
  <c r="F506" i="16"/>
  <c r="G506" i="16" s="1"/>
  <c r="F507" i="16"/>
  <c r="G507" i="16" s="1"/>
  <c r="F508" i="16"/>
  <c r="G508" i="16" s="1"/>
  <c r="F509" i="16"/>
  <c r="G509" i="16" s="1"/>
  <c r="F510" i="16"/>
  <c r="G510" i="16" s="1"/>
  <c r="F511" i="16"/>
  <c r="G511" i="16" s="1"/>
  <c r="F512" i="16"/>
  <c r="G512" i="16" s="1"/>
  <c r="F513" i="16"/>
  <c r="G513" i="16" s="1"/>
  <c r="F514" i="16"/>
  <c r="G514" i="16" s="1"/>
  <c r="F515" i="16"/>
  <c r="G515" i="16" s="1"/>
  <c r="F516" i="16"/>
  <c r="G516" i="16" s="1"/>
  <c r="F517" i="16"/>
  <c r="G517" i="16" s="1"/>
  <c r="F518" i="16"/>
  <c r="G518" i="16" s="1"/>
  <c r="F519" i="16"/>
  <c r="G519" i="16" s="1"/>
  <c r="F520" i="16"/>
  <c r="G520" i="16" s="1"/>
  <c r="F521" i="16"/>
  <c r="G521" i="16" s="1"/>
  <c r="F522" i="16"/>
  <c r="G522" i="16" s="1"/>
  <c r="F523" i="16"/>
  <c r="G523" i="16" s="1"/>
  <c r="F524" i="16"/>
  <c r="F525" i="16"/>
  <c r="G525" i="16" s="1"/>
  <c r="F526" i="16"/>
  <c r="G526" i="16" s="1"/>
  <c r="F527" i="16"/>
  <c r="G527" i="16" s="1"/>
  <c r="F528" i="16"/>
  <c r="G528" i="16" s="1"/>
  <c r="F529" i="16"/>
  <c r="G529" i="16" s="1"/>
  <c r="F530" i="16"/>
  <c r="G530" i="16" s="1"/>
  <c r="F531" i="16"/>
  <c r="G531" i="16" s="1"/>
  <c r="F532" i="16"/>
  <c r="G532" i="16" s="1"/>
  <c r="F533" i="16"/>
  <c r="G533" i="16" s="1"/>
  <c r="F534" i="16"/>
  <c r="G534" i="16" s="1"/>
  <c r="F535" i="16"/>
  <c r="G535" i="16" s="1"/>
  <c r="F536" i="16"/>
  <c r="G536" i="16" s="1"/>
  <c r="F537" i="16"/>
  <c r="G537" i="16" s="1"/>
  <c r="F538" i="16"/>
  <c r="G538" i="16" s="1"/>
  <c r="F539" i="16"/>
  <c r="G539" i="16" s="1"/>
  <c r="F540" i="16"/>
  <c r="G540" i="16" s="1"/>
  <c r="F541" i="16"/>
  <c r="G541" i="16" s="1"/>
  <c r="F542" i="16"/>
  <c r="G542" i="16" s="1"/>
  <c r="F543" i="16"/>
  <c r="G543" i="16" s="1"/>
  <c r="F544" i="16"/>
  <c r="G544" i="16" s="1"/>
  <c r="F545" i="16"/>
  <c r="F546" i="16"/>
  <c r="G546" i="16" s="1"/>
  <c r="F547" i="16"/>
  <c r="G547" i="16" s="1"/>
  <c r="F548" i="16"/>
  <c r="G548" i="16" s="1"/>
  <c r="F549" i="16"/>
  <c r="G549" i="16" s="1"/>
  <c r="F550" i="16"/>
  <c r="G550" i="16" s="1"/>
  <c r="F551" i="16"/>
  <c r="G551" i="16" s="1"/>
  <c r="F552" i="16"/>
  <c r="G552" i="16" s="1"/>
  <c r="F553" i="16"/>
  <c r="G553" i="16" s="1"/>
  <c r="F554" i="16"/>
  <c r="G554" i="16" s="1"/>
  <c r="F555" i="16"/>
  <c r="G555" i="16" s="1"/>
  <c r="F556" i="16"/>
  <c r="G556" i="16" s="1"/>
  <c r="F557" i="16"/>
  <c r="G557" i="16" s="1"/>
  <c r="F558" i="16"/>
  <c r="G558" i="16" s="1"/>
  <c r="F559" i="16"/>
  <c r="G559" i="16" s="1"/>
  <c r="F560" i="16"/>
  <c r="G560" i="16" s="1"/>
  <c r="F561" i="16"/>
  <c r="G561" i="16" s="1"/>
  <c r="F562" i="16"/>
  <c r="G562" i="16" s="1"/>
  <c r="F563" i="16"/>
  <c r="G563" i="16" s="1"/>
  <c r="F564" i="16"/>
  <c r="G564" i="16" s="1"/>
  <c r="F565" i="16"/>
  <c r="G565" i="16" s="1"/>
  <c r="F566" i="16"/>
  <c r="G566" i="16" s="1"/>
  <c r="F567" i="16"/>
  <c r="F568" i="16"/>
  <c r="G568" i="16" s="1"/>
  <c r="F569" i="16"/>
  <c r="G569" i="16" s="1"/>
  <c r="F570" i="16"/>
  <c r="G570" i="16" s="1"/>
  <c r="F571" i="16"/>
  <c r="G571" i="16" s="1"/>
  <c r="F572" i="16"/>
  <c r="G572" i="16" s="1"/>
  <c r="F573" i="16"/>
  <c r="G573" i="16" s="1"/>
  <c r="F574" i="16"/>
  <c r="G574" i="16" s="1"/>
  <c r="F575" i="16"/>
  <c r="G575" i="16" s="1"/>
  <c r="F576" i="16"/>
  <c r="G576" i="16" s="1"/>
  <c r="F577" i="16"/>
  <c r="G577" i="16" s="1"/>
  <c r="F578" i="16"/>
  <c r="G578" i="16" s="1"/>
  <c r="F579" i="16"/>
  <c r="G579" i="16" s="1"/>
  <c r="F580" i="16"/>
  <c r="G580" i="16" s="1"/>
  <c r="F581" i="16"/>
  <c r="G581" i="16" s="1"/>
  <c r="F582" i="16"/>
  <c r="G582" i="16" s="1"/>
  <c r="F583" i="16"/>
  <c r="G583" i="16" s="1"/>
  <c r="F584" i="16"/>
  <c r="G584" i="16" s="1"/>
  <c r="F585" i="16"/>
  <c r="G585" i="16" s="1"/>
  <c r="F586" i="16"/>
  <c r="F587" i="16"/>
  <c r="G587" i="16" s="1"/>
  <c r="F588" i="16"/>
  <c r="G588" i="16" s="1"/>
  <c r="F589" i="16"/>
  <c r="G589" i="16" s="1"/>
  <c r="F590" i="16"/>
  <c r="G590" i="16" s="1"/>
  <c r="F591" i="16"/>
  <c r="G591" i="16" s="1"/>
  <c r="F592" i="16"/>
  <c r="G592" i="16" s="1"/>
  <c r="F593" i="16"/>
  <c r="G593" i="16" s="1"/>
  <c r="F594" i="16"/>
  <c r="G594" i="16" s="1"/>
  <c r="F595" i="16"/>
  <c r="G595" i="16" s="1"/>
  <c r="F596" i="16"/>
  <c r="G596" i="16" s="1"/>
  <c r="F597" i="16"/>
  <c r="G597" i="16" s="1"/>
  <c r="F598" i="16"/>
  <c r="G598" i="16" s="1"/>
  <c r="F599" i="16"/>
  <c r="G599" i="16" s="1"/>
  <c r="F600" i="16"/>
  <c r="G600" i="16" s="1"/>
  <c r="F601" i="16"/>
  <c r="G601" i="16" s="1"/>
  <c r="F602" i="16"/>
  <c r="G602" i="16" s="1"/>
  <c r="F603" i="16"/>
  <c r="G603" i="16" s="1"/>
  <c r="F604" i="16"/>
  <c r="G604" i="16" s="1"/>
  <c r="F605" i="16"/>
  <c r="G605" i="16" s="1"/>
  <c r="F606" i="16"/>
  <c r="G606" i="16" s="1"/>
  <c r="F607" i="16"/>
  <c r="F608" i="16"/>
  <c r="G608" i="16" s="1"/>
  <c r="F609" i="16"/>
  <c r="G609" i="16" s="1"/>
  <c r="F610" i="16"/>
  <c r="G610" i="16" s="1"/>
  <c r="F611" i="16"/>
  <c r="G611" i="16" s="1"/>
  <c r="F612" i="16"/>
  <c r="G612" i="16" s="1"/>
  <c r="F613" i="16"/>
  <c r="G613" i="16" s="1"/>
  <c r="F614" i="16"/>
  <c r="G614" i="16" s="1"/>
  <c r="F615" i="16"/>
  <c r="G615" i="16" s="1"/>
  <c r="F616" i="16"/>
  <c r="G616" i="16" s="1"/>
  <c r="F617" i="16"/>
  <c r="G617" i="16" s="1"/>
  <c r="F618" i="16"/>
  <c r="G618" i="16" s="1"/>
  <c r="F619" i="16"/>
  <c r="G619" i="16" s="1"/>
  <c r="F620" i="16"/>
  <c r="G620" i="16" s="1"/>
  <c r="F621" i="16"/>
  <c r="G621" i="16" s="1"/>
  <c r="F622" i="16"/>
  <c r="G622" i="16" s="1"/>
  <c r="F623" i="16"/>
  <c r="G623" i="16" s="1"/>
  <c r="F624" i="16"/>
  <c r="G624" i="16" s="1"/>
  <c r="F625" i="16"/>
  <c r="G625" i="16" s="1"/>
  <c r="F626" i="16"/>
  <c r="F627" i="16"/>
  <c r="G627" i="16" s="1"/>
  <c r="F628" i="16"/>
  <c r="G628" i="16" s="1"/>
  <c r="F629" i="16"/>
  <c r="G629" i="16" s="1"/>
  <c r="F630" i="16"/>
  <c r="G630" i="16" s="1"/>
  <c r="F631" i="16"/>
  <c r="G631" i="16" s="1"/>
  <c r="F632" i="16"/>
  <c r="G632" i="16" s="1"/>
  <c r="F633" i="16"/>
  <c r="G633" i="16" s="1"/>
  <c r="F634" i="16"/>
  <c r="G634" i="16" s="1"/>
  <c r="F635" i="16"/>
  <c r="G635" i="16" s="1"/>
  <c r="F636" i="16"/>
  <c r="G636" i="16" s="1"/>
  <c r="F637" i="16"/>
  <c r="G637" i="16" s="1"/>
  <c r="F638" i="16"/>
  <c r="G638" i="16" s="1"/>
  <c r="F639" i="16"/>
  <c r="G639" i="16" s="1"/>
  <c r="F640" i="16"/>
  <c r="G640" i="16" s="1"/>
  <c r="F641" i="16"/>
  <c r="G641" i="16" s="1"/>
  <c r="F642" i="16"/>
  <c r="G642" i="16" s="1"/>
  <c r="F643" i="16"/>
  <c r="G643" i="16" s="1"/>
  <c r="F644" i="16"/>
  <c r="G644" i="16" s="1"/>
  <c r="F645" i="16"/>
  <c r="G645" i="16" s="1"/>
  <c r="F646" i="16"/>
  <c r="G646" i="16" s="1"/>
  <c r="F647" i="16"/>
  <c r="G647" i="16" s="1"/>
  <c r="F648" i="16"/>
  <c r="F649" i="16"/>
  <c r="G649" i="16" s="1"/>
  <c r="F650" i="16"/>
  <c r="G650" i="16" s="1"/>
  <c r="F651" i="16"/>
  <c r="G651" i="16" s="1"/>
  <c r="F652" i="16"/>
  <c r="G652" i="16" s="1"/>
  <c r="F653" i="16"/>
  <c r="G653" i="16" s="1"/>
  <c r="F654" i="16"/>
  <c r="G654" i="16" s="1"/>
  <c r="F655" i="16"/>
  <c r="G655" i="16" s="1"/>
  <c r="F656" i="16"/>
  <c r="G656" i="16" s="1"/>
  <c r="F657" i="16"/>
  <c r="G657" i="16" s="1"/>
  <c r="F658" i="16"/>
  <c r="G658" i="16" s="1"/>
  <c r="F659" i="16"/>
  <c r="G659" i="16" s="1"/>
  <c r="F660" i="16"/>
  <c r="G660" i="16" s="1"/>
  <c r="F661" i="16"/>
  <c r="G661" i="16" s="1"/>
  <c r="F662" i="16"/>
  <c r="G662" i="16" s="1"/>
  <c r="F663" i="16"/>
  <c r="G663" i="16" s="1"/>
  <c r="F664" i="16"/>
  <c r="G664" i="16" s="1"/>
  <c r="F665" i="16"/>
  <c r="G665" i="16" s="1"/>
  <c r="F666" i="16"/>
  <c r="G666" i="16" s="1"/>
  <c r="F667" i="16"/>
  <c r="G667" i="16" s="1"/>
  <c r="F668" i="16"/>
  <c r="G668" i="16" s="1"/>
  <c r="F669" i="16"/>
  <c r="F670" i="16"/>
  <c r="G670" i="16" s="1"/>
  <c r="F671" i="16"/>
  <c r="G671" i="16" s="1"/>
  <c r="F672" i="16"/>
  <c r="G672" i="16" s="1"/>
  <c r="F673" i="16"/>
  <c r="G673" i="16" s="1"/>
  <c r="F674" i="16"/>
  <c r="G674" i="16" s="1"/>
  <c r="F675" i="16"/>
  <c r="G675" i="16" s="1"/>
  <c r="F676" i="16"/>
  <c r="G676" i="16" s="1"/>
  <c r="F677" i="16"/>
  <c r="G677" i="16" s="1"/>
  <c r="F678" i="16"/>
  <c r="G678" i="16" s="1"/>
  <c r="F679" i="16"/>
  <c r="G679" i="16" s="1"/>
  <c r="F680" i="16"/>
  <c r="G680" i="16" s="1"/>
  <c r="F681" i="16"/>
  <c r="G681" i="16" s="1"/>
  <c r="F682" i="16"/>
  <c r="G682" i="16" s="1"/>
  <c r="F683" i="16"/>
  <c r="G683" i="16" s="1"/>
  <c r="F684" i="16"/>
  <c r="G684" i="16" s="1"/>
  <c r="F685" i="16"/>
  <c r="G685" i="16" s="1"/>
  <c r="F686" i="16"/>
  <c r="G686" i="16" s="1"/>
  <c r="F687" i="16"/>
  <c r="G687" i="16" s="1"/>
  <c r="F688" i="16"/>
  <c r="G688" i="16" s="1"/>
  <c r="F689" i="16"/>
  <c r="F690" i="16"/>
  <c r="G690" i="16" s="1"/>
  <c r="F691" i="16"/>
  <c r="G691" i="16" s="1"/>
  <c r="F692" i="16"/>
  <c r="G692" i="16" s="1"/>
  <c r="F693" i="16"/>
  <c r="G693" i="16" s="1"/>
  <c r="F694" i="16"/>
  <c r="G694" i="16" s="1"/>
  <c r="F695" i="16"/>
  <c r="G695" i="16" s="1"/>
  <c r="F696" i="16"/>
  <c r="G696" i="16" s="1"/>
  <c r="F697" i="16"/>
  <c r="G697" i="16" s="1"/>
  <c r="F698" i="16"/>
  <c r="G698" i="16" s="1"/>
  <c r="F699" i="16"/>
  <c r="G699" i="16" s="1"/>
  <c r="F700" i="16"/>
  <c r="G700" i="16" s="1"/>
  <c r="F701" i="16"/>
  <c r="G701" i="16" s="1"/>
  <c r="F702" i="16"/>
  <c r="G702" i="16" s="1"/>
  <c r="F703" i="16"/>
  <c r="G703" i="16" s="1"/>
  <c r="F704" i="16"/>
  <c r="G704" i="16" s="1"/>
  <c r="F705" i="16"/>
  <c r="G705" i="16" s="1"/>
  <c r="F706" i="16"/>
  <c r="G706" i="16" s="1"/>
  <c r="F707" i="16"/>
  <c r="G707" i="16" s="1"/>
  <c r="F708" i="16"/>
  <c r="G708" i="16" s="1"/>
  <c r="F709" i="16"/>
  <c r="G709" i="16" s="1"/>
  <c r="F710" i="16"/>
  <c r="G710" i="16" s="1"/>
  <c r="F711" i="16"/>
  <c r="G711" i="16" s="1"/>
  <c r="F712" i="16"/>
  <c r="F713" i="16"/>
  <c r="G713" i="16" s="1"/>
  <c r="F714" i="16"/>
  <c r="G714" i="16" s="1"/>
  <c r="F715" i="16"/>
  <c r="G715" i="16" s="1"/>
  <c r="F716" i="16"/>
  <c r="G716" i="16" s="1"/>
  <c r="F717" i="16"/>
  <c r="G717" i="16" s="1"/>
  <c r="F718" i="16"/>
  <c r="G718" i="16" s="1"/>
  <c r="F719" i="16"/>
  <c r="G719" i="16" s="1"/>
  <c r="F720" i="16"/>
  <c r="G720" i="16" s="1"/>
  <c r="F721" i="16"/>
  <c r="G721" i="16" s="1"/>
  <c r="F722" i="16"/>
  <c r="G722" i="16" s="1"/>
  <c r="F723" i="16"/>
  <c r="G723" i="16" s="1"/>
  <c r="F724" i="16"/>
  <c r="G724" i="16" s="1"/>
  <c r="F725" i="16"/>
  <c r="G725" i="16" s="1"/>
  <c r="F726" i="16"/>
  <c r="G726" i="16" s="1"/>
  <c r="F727" i="16"/>
  <c r="G727" i="16" s="1"/>
  <c r="F728" i="16"/>
  <c r="G728" i="16" s="1"/>
  <c r="F729" i="16"/>
  <c r="G729" i="16" s="1"/>
  <c r="F730" i="16"/>
  <c r="G730" i="16" s="1"/>
  <c r="F731" i="16"/>
  <c r="G731" i="16" s="1"/>
  <c r="F732" i="16"/>
  <c r="G732" i="16" s="1"/>
  <c r="F733" i="16"/>
  <c r="G733" i="16" s="1"/>
  <c r="F734" i="16"/>
  <c r="F735" i="16"/>
  <c r="G735" i="16" s="1"/>
  <c r="F736" i="16"/>
  <c r="G736" i="16" s="1"/>
  <c r="F737" i="16"/>
  <c r="G737" i="16" s="1"/>
  <c r="F738" i="16"/>
  <c r="G738" i="16" s="1"/>
  <c r="F739" i="16"/>
  <c r="G739" i="16" s="1"/>
  <c r="F740" i="16"/>
  <c r="G740" i="16" s="1"/>
  <c r="F741" i="16"/>
  <c r="G741" i="16" s="1"/>
  <c r="F742" i="16"/>
  <c r="G742" i="16" s="1"/>
  <c r="F743" i="16"/>
  <c r="G743" i="16" s="1"/>
  <c r="F744" i="16"/>
  <c r="G744" i="16" s="1"/>
  <c r="F745" i="16"/>
  <c r="G745" i="16" s="1"/>
  <c r="F746" i="16"/>
  <c r="G746" i="16" s="1"/>
  <c r="F747" i="16"/>
  <c r="G747" i="16" s="1"/>
  <c r="F748" i="16"/>
  <c r="G748" i="16" s="1"/>
  <c r="F749" i="16"/>
  <c r="G749" i="16" s="1"/>
  <c r="F750" i="16"/>
  <c r="G750" i="16" s="1"/>
  <c r="F751" i="16"/>
  <c r="F752" i="16"/>
  <c r="G752" i="16" s="1"/>
  <c r="F753" i="16"/>
  <c r="G753" i="16" s="1"/>
  <c r="F754" i="16"/>
  <c r="G754" i="16" s="1"/>
  <c r="F755" i="16"/>
  <c r="G755" i="16" s="1"/>
  <c r="F756" i="16"/>
  <c r="G756" i="16" s="1"/>
  <c r="F757" i="16"/>
  <c r="G757" i="16" s="1"/>
  <c r="F758" i="16"/>
  <c r="G758" i="16" s="1"/>
  <c r="F759" i="16"/>
  <c r="G759" i="16" s="1"/>
  <c r="F760" i="16"/>
  <c r="G760" i="16" s="1"/>
  <c r="F761" i="16"/>
  <c r="G761" i="16" s="1"/>
  <c r="F762" i="16"/>
  <c r="G762" i="16" s="1"/>
  <c r="F763" i="16"/>
  <c r="G763" i="16" s="1"/>
  <c r="F764" i="16"/>
  <c r="G764" i="16" s="1"/>
  <c r="F765" i="16"/>
  <c r="G765" i="16" s="1"/>
  <c r="F766" i="16"/>
  <c r="G766" i="16" s="1"/>
  <c r="F767" i="16"/>
  <c r="G767" i="16" s="1"/>
  <c r="F768" i="16"/>
  <c r="G768" i="16" s="1"/>
  <c r="F769" i="16"/>
  <c r="G769" i="16" s="1"/>
  <c r="F770" i="16"/>
  <c r="G770" i="16" s="1"/>
  <c r="F771" i="16"/>
  <c r="G771" i="16" s="1"/>
  <c r="F772" i="16"/>
  <c r="G772" i="16" s="1"/>
  <c r="F773" i="16"/>
  <c r="F774" i="16"/>
  <c r="G774" i="16" s="1"/>
  <c r="F775" i="16"/>
  <c r="G775" i="16" s="1"/>
  <c r="F776" i="16"/>
  <c r="G776" i="16" s="1"/>
  <c r="F777" i="16"/>
  <c r="G777" i="16" s="1"/>
  <c r="F778" i="16"/>
  <c r="G778" i="16" s="1"/>
  <c r="F779" i="16"/>
  <c r="G779" i="16" s="1"/>
  <c r="F780" i="16"/>
  <c r="G780" i="16" s="1"/>
  <c r="F781" i="16"/>
  <c r="G781" i="16" s="1"/>
  <c r="F782" i="16"/>
  <c r="G782" i="16" s="1"/>
  <c r="F783" i="16"/>
  <c r="G783" i="16" s="1"/>
  <c r="F784" i="16"/>
  <c r="G784" i="16" s="1"/>
  <c r="F785" i="16"/>
  <c r="G785" i="16" s="1"/>
  <c r="F786" i="16"/>
  <c r="G786" i="16" s="1"/>
  <c r="F787" i="16"/>
  <c r="G787" i="16" s="1"/>
  <c r="F788" i="16"/>
  <c r="G788" i="16" s="1"/>
  <c r="F789" i="16"/>
  <c r="G789" i="16" s="1"/>
  <c r="F790" i="16"/>
  <c r="G790" i="16" s="1"/>
  <c r="F791" i="16"/>
  <c r="G791" i="16" s="1"/>
  <c r="F792" i="16"/>
  <c r="G792" i="16" s="1"/>
  <c r="F793" i="16"/>
  <c r="F794" i="16"/>
  <c r="G794" i="16" s="1"/>
  <c r="F795" i="16"/>
  <c r="G795" i="16" s="1"/>
  <c r="F796" i="16"/>
  <c r="G796" i="16" s="1"/>
  <c r="F797" i="16"/>
  <c r="G797" i="16" s="1"/>
  <c r="F798" i="16"/>
  <c r="G798" i="16" s="1"/>
  <c r="F799" i="16"/>
  <c r="G799" i="16" s="1"/>
  <c r="F800" i="16"/>
  <c r="G800" i="16" s="1"/>
  <c r="F801" i="16"/>
  <c r="G801" i="16" s="1"/>
  <c r="F802" i="16"/>
  <c r="G802" i="16" s="1"/>
  <c r="F803" i="16"/>
  <c r="G803" i="16" s="1"/>
  <c r="F804" i="16"/>
  <c r="G804" i="16" s="1"/>
  <c r="F805" i="16"/>
  <c r="G805" i="16" s="1"/>
  <c r="F806" i="16"/>
  <c r="G806" i="16" s="1"/>
  <c r="F807" i="16"/>
  <c r="G807" i="16" s="1"/>
  <c r="F808" i="16"/>
  <c r="G808" i="16" s="1"/>
  <c r="F809" i="16"/>
  <c r="G809" i="16" s="1"/>
  <c r="F810" i="16"/>
  <c r="G810" i="16" s="1"/>
  <c r="F811" i="16"/>
  <c r="G811" i="16" s="1"/>
  <c r="F812" i="16"/>
  <c r="G812" i="16" s="1"/>
  <c r="F813" i="16"/>
  <c r="F814" i="16"/>
  <c r="G814" i="16" s="1"/>
  <c r="F815" i="16"/>
  <c r="G815" i="16" s="1"/>
  <c r="F816" i="16"/>
  <c r="G816" i="16" s="1"/>
  <c r="F817" i="16"/>
  <c r="G817" i="16" s="1"/>
  <c r="F818" i="16"/>
  <c r="G818" i="16" s="1"/>
  <c r="F819" i="16"/>
  <c r="G819" i="16" s="1"/>
  <c r="F820" i="16"/>
  <c r="G820" i="16" s="1"/>
  <c r="F821" i="16"/>
  <c r="G821" i="16" s="1"/>
  <c r="F822" i="16"/>
  <c r="G822" i="16" s="1"/>
  <c r="F823" i="16"/>
  <c r="G823" i="16" s="1"/>
  <c r="F824" i="16"/>
  <c r="G824" i="16" s="1"/>
  <c r="F825" i="16"/>
  <c r="G825" i="16" s="1"/>
  <c r="F826" i="16"/>
  <c r="G826" i="16" s="1"/>
  <c r="F827" i="16"/>
  <c r="G827" i="16" s="1"/>
  <c r="F828" i="16"/>
  <c r="G828" i="16" s="1"/>
  <c r="F829" i="16"/>
  <c r="G829" i="16" s="1"/>
  <c r="F830" i="16"/>
  <c r="G830" i="16" s="1"/>
  <c r="F831" i="16"/>
  <c r="G831" i="16" s="1"/>
  <c r="F832" i="16"/>
  <c r="G832" i="16" s="1"/>
  <c r="F833" i="16"/>
  <c r="G833" i="16" s="1"/>
  <c r="F834" i="16"/>
  <c r="F835" i="16"/>
  <c r="G835" i="16" s="1"/>
  <c r="F836" i="16"/>
  <c r="G836" i="16" s="1"/>
  <c r="F837" i="16"/>
  <c r="G837" i="16" s="1"/>
  <c r="F838" i="16"/>
  <c r="G838" i="16" s="1"/>
  <c r="F839" i="16"/>
  <c r="G839" i="16" s="1"/>
  <c r="F840" i="16"/>
  <c r="G840" i="16" s="1"/>
  <c r="F841" i="16"/>
  <c r="G841" i="16" s="1"/>
  <c r="F842" i="16"/>
  <c r="G842" i="16" s="1"/>
  <c r="F843" i="16"/>
  <c r="G843" i="16" s="1"/>
  <c r="F844" i="16"/>
  <c r="G844" i="16" s="1"/>
  <c r="F845" i="16"/>
  <c r="G845" i="16" s="1"/>
  <c r="F846" i="16"/>
  <c r="G846" i="16" s="1"/>
  <c r="F847" i="16"/>
  <c r="G847" i="16" s="1"/>
  <c r="F848" i="16"/>
  <c r="G848" i="16" s="1"/>
  <c r="F849" i="16"/>
  <c r="G849" i="16" s="1"/>
  <c r="F850" i="16"/>
  <c r="G850" i="16" s="1"/>
  <c r="F851" i="16"/>
  <c r="G851" i="16" s="1"/>
  <c r="F852" i="16"/>
  <c r="G852" i="16" s="1"/>
  <c r="F853" i="16"/>
  <c r="G853" i="16" s="1"/>
  <c r="F854" i="16"/>
  <c r="F855" i="16"/>
  <c r="G855" i="16" s="1"/>
  <c r="F856" i="16"/>
  <c r="G856" i="16" s="1"/>
  <c r="F857" i="16"/>
  <c r="G857" i="16" s="1"/>
  <c r="F858" i="16"/>
  <c r="G858" i="16" s="1"/>
  <c r="F859" i="16"/>
  <c r="G859" i="16" s="1"/>
  <c r="F860" i="16"/>
  <c r="G860" i="16" s="1"/>
  <c r="F861" i="16"/>
  <c r="G861" i="16" s="1"/>
  <c r="F862" i="16"/>
  <c r="G862" i="16" s="1"/>
  <c r="F863" i="16"/>
  <c r="G863" i="16" s="1"/>
  <c r="F864" i="16"/>
  <c r="G864" i="16" s="1"/>
  <c r="F865" i="16"/>
  <c r="G865" i="16" s="1"/>
  <c r="F866" i="16"/>
  <c r="G866" i="16" s="1"/>
  <c r="F867" i="16"/>
  <c r="G867" i="16" s="1"/>
  <c r="F868" i="16"/>
  <c r="G868" i="16" s="1"/>
  <c r="F869" i="16"/>
  <c r="G869" i="16" s="1"/>
  <c r="F870" i="16"/>
  <c r="G870" i="16" s="1"/>
  <c r="F871" i="16"/>
  <c r="G871" i="16" s="1"/>
  <c r="F872" i="16"/>
  <c r="G872" i="16" s="1"/>
  <c r="F873" i="16"/>
  <c r="G873" i="16" s="1"/>
  <c r="F874" i="16"/>
  <c r="F875" i="16"/>
  <c r="G875" i="16" s="1"/>
  <c r="F876" i="16"/>
  <c r="G876" i="16" s="1"/>
  <c r="F877" i="16"/>
  <c r="G877" i="16" s="1"/>
  <c r="F878" i="16"/>
  <c r="G878" i="16" s="1"/>
  <c r="F879" i="16"/>
  <c r="G879" i="16" s="1"/>
  <c r="F880" i="16"/>
  <c r="G880" i="16" s="1"/>
  <c r="F881" i="16"/>
  <c r="G881" i="16" s="1"/>
  <c r="F882" i="16"/>
  <c r="G882" i="16" s="1"/>
  <c r="F883" i="16"/>
  <c r="G883" i="16" s="1"/>
  <c r="F884" i="16"/>
  <c r="G884" i="16" s="1"/>
  <c r="F885" i="16"/>
  <c r="G885" i="16" s="1"/>
  <c r="F886" i="16"/>
  <c r="G886" i="16" s="1"/>
  <c r="F887" i="16"/>
  <c r="G887" i="16" s="1"/>
  <c r="F888" i="16"/>
  <c r="G888" i="16" s="1"/>
  <c r="F889" i="16"/>
  <c r="G889" i="16" s="1"/>
  <c r="F890" i="16"/>
  <c r="G890" i="16" s="1"/>
  <c r="F891" i="16"/>
  <c r="G891" i="16" s="1"/>
  <c r="F892" i="16"/>
  <c r="G892" i="16" s="1"/>
  <c r="F893" i="16"/>
  <c r="G893" i="16" s="1"/>
  <c r="F894" i="16"/>
  <c r="G894" i="16" s="1"/>
  <c r="F895" i="16"/>
  <c r="G895" i="16" s="1"/>
  <c r="F896" i="16"/>
  <c r="G896" i="16" s="1"/>
  <c r="F897" i="16"/>
  <c r="F898" i="16"/>
  <c r="G898" i="16" s="1"/>
  <c r="F899" i="16"/>
  <c r="G899" i="16" s="1"/>
  <c r="F900" i="16"/>
  <c r="G900" i="16" s="1"/>
  <c r="F901" i="16"/>
  <c r="G901" i="16" s="1"/>
  <c r="F902" i="16"/>
  <c r="G902" i="16" s="1"/>
  <c r="F903" i="16"/>
  <c r="G903" i="16" s="1"/>
  <c r="F904" i="16"/>
  <c r="G904" i="16" s="1"/>
  <c r="F905" i="16"/>
  <c r="G905" i="16" s="1"/>
  <c r="F906" i="16"/>
  <c r="G906" i="16" s="1"/>
  <c r="F907" i="16"/>
  <c r="G907" i="16" s="1"/>
  <c r="F908" i="16"/>
  <c r="G908" i="16" s="1"/>
  <c r="F909" i="16"/>
  <c r="G909" i="16" s="1"/>
  <c r="F910" i="16"/>
  <c r="G910" i="16" s="1"/>
  <c r="F911" i="16"/>
  <c r="G911" i="16" s="1"/>
  <c r="F912" i="16"/>
  <c r="G912" i="16" s="1"/>
  <c r="F913" i="16"/>
  <c r="G913" i="16" s="1"/>
  <c r="F914" i="16"/>
  <c r="G914" i="16" s="1"/>
  <c r="F915" i="16"/>
  <c r="G915" i="16" s="1"/>
  <c r="F916" i="16"/>
  <c r="G916" i="16" s="1"/>
  <c r="F917" i="16"/>
  <c r="F918" i="16"/>
  <c r="G918" i="16" s="1"/>
  <c r="F919" i="16"/>
  <c r="G919" i="16" s="1"/>
  <c r="F920" i="16"/>
  <c r="G920" i="16" s="1"/>
  <c r="F921" i="16"/>
  <c r="G921" i="16" s="1"/>
  <c r="F922" i="16"/>
  <c r="G922" i="16" s="1"/>
  <c r="F923" i="16"/>
  <c r="G923" i="16" s="1"/>
  <c r="F924" i="16"/>
  <c r="G924" i="16" s="1"/>
  <c r="F925" i="16"/>
  <c r="G925" i="16" s="1"/>
  <c r="F926" i="16"/>
  <c r="G926" i="16" s="1"/>
  <c r="F927" i="16"/>
  <c r="G927" i="16" s="1"/>
  <c r="F928" i="16"/>
  <c r="G928" i="16" s="1"/>
  <c r="F929" i="16"/>
  <c r="G929" i="16" s="1"/>
  <c r="F930" i="16"/>
  <c r="G930" i="16" s="1"/>
  <c r="F931" i="16"/>
  <c r="G931" i="16" s="1"/>
  <c r="F932" i="16"/>
  <c r="G932" i="16" s="1"/>
  <c r="F933" i="16"/>
  <c r="G933" i="16" s="1"/>
  <c r="F934" i="16"/>
  <c r="G934" i="16" s="1"/>
  <c r="F935" i="16"/>
  <c r="G935" i="16" s="1"/>
  <c r="F936" i="16"/>
  <c r="G936" i="16" s="1"/>
  <c r="F937" i="16"/>
  <c r="G937" i="16" s="1"/>
  <c r="F938" i="16"/>
  <c r="F939" i="16"/>
  <c r="G939" i="16" s="1"/>
  <c r="F940" i="16"/>
  <c r="G940" i="16" s="1"/>
  <c r="F941" i="16"/>
  <c r="G941" i="16" s="1"/>
  <c r="F942" i="16"/>
  <c r="G942" i="16" s="1"/>
  <c r="F943" i="16"/>
  <c r="G943" i="16" s="1"/>
  <c r="F944" i="16"/>
  <c r="G944" i="16" s="1"/>
  <c r="F945" i="16"/>
  <c r="G945" i="16" s="1"/>
  <c r="F946" i="16"/>
  <c r="G946" i="16" s="1"/>
  <c r="F947" i="16"/>
  <c r="G947" i="16" s="1"/>
  <c r="F948" i="16"/>
  <c r="G948" i="16" s="1"/>
  <c r="F949" i="16"/>
  <c r="G949" i="16" s="1"/>
  <c r="F950" i="16"/>
  <c r="G950" i="16" s="1"/>
  <c r="F951" i="16"/>
  <c r="G951" i="16" s="1"/>
  <c r="F952" i="16"/>
  <c r="G952" i="16" s="1"/>
  <c r="F953" i="16"/>
  <c r="G953" i="16" s="1"/>
  <c r="F954" i="16"/>
  <c r="G954" i="16" s="1"/>
  <c r="F955" i="16"/>
  <c r="G955" i="16" s="1"/>
  <c r="F956" i="16"/>
  <c r="G956" i="16" s="1"/>
  <c r="F957" i="16"/>
  <c r="G957" i="16" s="1"/>
  <c r="F958" i="16"/>
  <c r="G958" i="16" s="1"/>
  <c r="F959" i="16"/>
  <c r="G959" i="16" s="1"/>
  <c r="F960" i="16"/>
  <c r="G960" i="16" s="1"/>
  <c r="F961" i="16"/>
  <c r="F962" i="16"/>
  <c r="G962" i="16" s="1"/>
  <c r="F963" i="16"/>
  <c r="G963" i="16" s="1"/>
  <c r="F964" i="16"/>
  <c r="G964" i="16" s="1"/>
  <c r="F965" i="16"/>
  <c r="G965" i="16" s="1"/>
  <c r="F966" i="16"/>
  <c r="G966" i="16" s="1"/>
  <c r="F967" i="16"/>
  <c r="G967" i="16" s="1"/>
  <c r="F968" i="16"/>
  <c r="G968" i="16" s="1"/>
  <c r="F969" i="16"/>
  <c r="G969" i="16" s="1"/>
  <c r="F970" i="16"/>
  <c r="G970" i="16" s="1"/>
  <c r="F971" i="16"/>
  <c r="G971" i="16" s="1"/>
  <c r="F972" i="16"/>
  <c r="G972" i="16" s="1"/>
  <c r="F973" i="16"/>
  <c r="G973" i="16" s="1"/>
  <c r="F974" i="16"/>
  <c r="G974" i="16" s="1"/>
  <c r="F975" i="16"/>
  <c r="G975" i="16" s="1"/>
  <c r="F976" i="16"/>
  <c r="G976" i="16" s="1"/>
  <c r="F977" i="16"/>
  <c r="G977" i="16" s="1"/>
  <c r="F978" i="16"/>
  <c r="G978" i="16" s="1"/>
  <c r="F979" i="16"/>
  <c r="G979" i="16" s="1"/>
  <c r="F980" i="16"/>
  <c r="G980" i="16" s="1"/>
  <c r="F981" i="16"/>
  <c r="G981" i="16" s="1"/>
  <c r="F982" i="16"/>
  <c r="F983" i="16"/>
  <c r="G983" i="16" s="1"/>
  <c r="F984" i="16"/>
  <c r="G984" i="16" s="1"/>
  <c r="F985" i="16"/>
  <c r="G985" i="16" s="1"/>
  <c r="F986" i="16"/>
  <c r="G986" i="16" s="1"/>
  <c r="F987" i="16"/>
  <c r="G987" i="16" s="1"/>
  <c r="F988" i="16"/>
  <c r="G988" i="16" s="1"/>
  <c r="F989" i="16"/>
  <c r="G989" i="16" s="1"/>
  <c r="F990" i="16"/>
  <c r="G990" i="16" s="1"/>
  <c r="F991" i="16"/>
  <c r="G991" i="16" s="1"/>
  <c r="F992" i="16"/>
  <c r="G992" i="16" s="1"/>
  <c r="F993" i="16"/>
  <c r="G993" i="16" s="1"/>
  <c r="F994" i="16"/>
  <c r="G994" i="16" s="1"/>
  <c r="F995" i="16"/>
  <c r="G995" i="16" s="1"/>
  <c r="F996" i="16"/>
  <c r="G996" i="16" s="1"/>
  <c r="F997" i="16"/>
  <c r="G997" i="16" s="1"/>
  <c r="F998" i="16"/>
  <c r="G998" i="16" s="1"/>
  <c r="F999" i="16"/>
  <c r="G999" i="16" s="1"/>
  <c r="F1000" i="16"/>
  <c r="F1001" i="16"/>
  <c r="G1001" i="16" s="1"/>
  <c r="F1002" i="16"/>
  <c r="G1002" i="16" s="1"/>
  <c r="F1003" i="16"/>
  <c r="G1003" i="16" s="1"/>
  <c r="F1004" i="16"/>
  <c r="G1004" i="16" s="1"/>
  <c r="F1005" i="16"/>
  <c r="G1005" i="16" s="1"/>
  <c r="F1006" i="16"/>
  <c r="G1006" i="16" s="1"/>
  <c r="F1007" i="16"/>
  <c r="G1007" i="16" s="1"/>
  <c r="F1008" i="16"/>
  <c r="G1008" i="16" s="1"/>
  <c r="F1009" i="16"/>
  <c r="G1009" i="16" s="1"/>
  <c r="F1010" i="16"/>
  <c r="G1010" i="16" s="1"/>
  <c r="F1011" i="16"/>
  <c r="G1011" i="16" s="1"/>
  <c r="F1012" i="16"/>
  <c r="G1012" i="16" s="1"/>
  <c r="F1013" i="16"/>
  <c r="G1013" i="16" s="1"/>
  <c r="F1014" i="16"/>
  <c r="G1014" i="16" s="1"/>
  <c r="F1015" i="16"/>
  <c r="G1015" i="16" s="1"/>
  <c r="F1016" i="16"/>
  <c r="G1016" i="16" s="1"/>
  <c r="F1017" i="16"/>
  <c r="G1017" i="16" s="1"/>
  <c r="F1018" i="16"/>
  <c r="G1018" i="16" s="1"/>
  <c r="F1019" i="16"/>
  <c r="G1019" i="16" s="1"/>
  <c r="F1020" i="16"/>
  <c r="G1020" i="16" s="1"/>
  <c r="F1021" i="16"/>
  <c r="G1021" i="16" s="1"/>
  <c r="F1022" i="16"/>
  <c r="F1023" i="16"/>
  <c r="G1023" i="16" s="1"/>
  <c r="F1024" i="16"/>
  <c r="G1024" i="16" s="1"/>
  <c r="F1025" i="16"/>
  <c r="G1025" i="16" s="1"/>
  <c r="F1026" i="16"/>
  <c r="G1026" i="16" s="1"/>
  <c r="F1027" i="16"/>
  <c r="G1027" i="16" s="1"/>
  <c r="F1028" i="16"/>
  <c r="G1028" i="16" s="1"/>
  <c r="F1029" i="16"/>
  <c r="G1029" i="16" s="1"/>
  <c r="F1030" i="16"/>
  <c r="G1030" i="16" s="1"/>
  <c r="F1031" i="16"/>
  <c r="G1031" i="16" s="1"/>
  <c r="F1032" i="16"/>
  <c r="G1032" i="16" s="1"/>
  <c r="F1033" i="16"/>
  <c r="G1033" i="16" s="1"/>
  <c r="F1034" i="16"/>
  <c r="G1034" i="16" s="1"/>
  <c r="F1035" i="16"/>
  <c r="G1035" i="16" s="1"/>
  <c r="F1036" i="16"/>
  <c r="G1036" i="16" s="1"/>
  <c r="F1037" i="16"/>
  <c r="G1037" i="16" s="1"/>
  <c r="F1038" i="16"/>
  <c r="G1038" i="16" s="1"/>
  <c r="F1039" i="16"/>
  <c r="G1039" i="16" s="1"/>
  <c r="F1040" i="16"/>
  <c r="G1040" i="16" s="1"/>
  <c r="F1041" i="16"/>
  <c r="G1041" i="16" s="1"/>
  <c r="F1042" i="16"/>
  <c r="F1043" i="16"/>
  <c r="G1043" i="16" s="1"/>
  <c r="F1044" i="16"/>
  <c r="G1044" i="16" s="1"/>
  <c r="F1045" i="16"/>
  <c r="G1045" i="16" s="1"/>
  <c r="F1046" i="16"/>
  <c r="G1046" i="16" s="1"/>
  <c r="F1047" i="16"/>
  <c r="G1047" i="16" s="1"/>
  <c r="F1048" i="16"/>
  <c r="G1048" i="16" s="1"/>
  <c r="F1049" i="16"/>
  <c r="G1049" i="16" s="1"/>
  <c r="F1050" i="16"/>
  <c r="G1050" i="16" s="1"/>
  <c r="F1051" i="16"/>
  <c r="G1051" i="16" s="1"/>
  <c r="F1052" i="16"/>
  <c r="G1052" i="16" s="1"/>
  <c r="F1053" i="16"/>
  <c r="G1053" i="16" s="1"/>
  <c r="F1054" i="16"/>
  <c r="G1054" i="16" s="1"/>
  <c r="F1055" i="16"/>
  <c r="G1055" i="16" s="1"/>
  <c r="F1056" i="16"/>
  <c r="G1056" i="16" s="1"/>
  <c r="F1057" i="16"/>
  <c r="G1057" i="16" s="1"/>
  <c r="F1058" i="16"/>
  <c r="G1058" i="16" s="1"/>
  <c r="F1059" i="16"/>
  <c r="G1059" i="16" s="1"/>
  <c r="F1060" i="16"/>
  <c r="G1060" i="16" s="1"/>
  <c r="F1061" i="16"/>
  <c r="G1061" i="16" s="1"/>
  <c r="F1062" i="16"/>
  <c r="G1062" i="16" s="1"/>
  <c r="F1063" i="16"/>
  <c r="F1064" i="16"/>
  <c r="G1064" i="16" s="1"/>
  <c r="F1065" i="16"/>
  <c r="G1065" i="16" s="1"/>
  <c r="F1066" i="16"/>
  <c r="G1066" i="16" s="1"/>
  <c r="F1067" i="16"/>
  <c r="G1067" i="16" s="1"/>
  <c r="F1068" i="16"/>
  <c r="G1068" i="16" s="1"/>
  <c r="F1069" i="16"/>
  <c r="G1069" i="16" s="1"/>
  <c r="F1070" i="16"/>
  <c r="G1070" i="16" s="1"/>
  <c r="F1071" i="16"/>
  <c r="G1071" i="16" s="1"/>
  <c r="F1072" i="16"/>
  <c r="G1072" i="16" s="1"/>
  <c r="F1073" i="16"/>
  <c r="G1073" i="16" s="1"/>
  <c r="F1074" i="16"/>
  <c r="G1074" i="16" s="1"/>
  <c r="F1075" i="16"/>
  <c r="G1075" i="16" s="1"/>
  <c r="F1076" i="16"/>
  <c r="G1076" i="16" s="1"/>
  <c r="F1077" i="16"/>
  <c r="G1077" i="16" s="1"/>
  <c r="F1078" i="16"/>
  <c r="G1078" i="16" s="1"/>
  <c r="F1079" i="16"/>
  <c r="G1079" i="16" s="1"/>
  <c r="F1080" i="16"/>
  <c r="G1080" i="16" s="1"/>
  <c r="F1081" i="16"/>
  <c r="G1081" i="16" s="1"/>
  <c r="F1082" i="16"/>
  <c r="G1082" i="16" s="1"/>
  <c r="F1083" i="16"/>
  <c r="F1084" i="16"/>
  <c r="G1084" i="16" s="1"/>
  <c r="F1085" i="16"/>
  <c r="G1085" i="16" s="1"/>
  <c r="F1086" i="16"/>
  <c r="G1086" i="16" s="1"/>
  <c r="F1087" i="16"/>
  <c r="G1087" i="16" s="1"/>
  <c r="F1088" i="16"/>
  <c r="G1088" i="16" s="1"/>
  <c r="F1089" i="16"/>
  <c r="G1089" i="16" s="1"/>
  <c r="F1090" i="16"/>
  <c r="G1090" i="16" s="1"/>
  <c r="F1091" i="16"/>
  <c r="G1091" i="16" s="1"/>
  <c r="F1092" i="16"/>
  <c r="G1092" i="16" s="1"/>
  <c r="F1093" i="16"/>
  <c r="G1093" i="16" s="1"/>
  <c r="F1094" i="16"/>
  <c r="G1094" i="16" s="1"/>
  <c r="F1095" i="16"/>
  <c r="G1095" i="16" s="1"/>
  <c r="F1096" i="16"/>
  <c r="G1096" i="16" s="1"/>
  <c r="F1097" i="16"/>
  <c r="G1097" i="16" s="1"/>
  <c r="F1098" i="16"/>
  <c r="G1098" i="16" s="1"/>
  <c r="F1099" i="16"/>
  <c r="G1099" i="16" s="1"/>
  <c r="F1100" i="16"/>
  <c r="G1100" i="16" s="1"/>
  <c r="F1101" i="16"/>
  <c r="G1101" i="16" s="1"/>
  <c r="F1102" i="16"/>
  <c r="F1103" i="16"/>
  <c r="G1103" i="16" s="1"/>
  <c r="F1104" i="16"/>
  <c r="G1104" i="16" s="1"/>
  <c r="F1105" i="16"/>
  <c r="G1105" i="16" s="1"/>
  <c r="F1106" i="16"/>
  <c r="G1106" i="16" s="1"/>
  <c r="F1107" i="16"/>
  <c r="G1107" i="16" s="1"/>
  <c r="F1108" i="16"/>
  <c r="G1108" i="16" s="1"/>
  <c r="F1109" i="16"/>
  <c r="G1109" i="16" s="1"/>
  <c r="F1110" i="16"/>
  <c r="G1110" i="16" s="1"/>
  <c r="F1111" i="16"/>
  <c r="G1111" i="16" s="1"/>
  <c r="F1112" i="16"/>
  <c r="G1112" i="16" s="1"/>
  <c r="F1113" i="16"/>
  <c r="G1113" i="16" s="1"/>
  <c r="F1114" i="16"/>
  <c r="G1114" i="16" s="1"/>
  <c r="F1115" i="16"/>
  <c r="G1115" i="16" s="1"/>
  <c r="F1116" i="16"/>
  <c r="G1116" i="16" s="1"/>
  <c r="F1117" i="16"/>
  <c r="G1117" i="16" s="1"/>
  <c r="F1118" i="16"/>
  <c r="G1118" i="16" s="1"/>
  <c r="F1119" i="16"/>
  <c r="G1119" i="16" s="1"/>
  <c r="F1120" i="16"/>
  <c r="G1120" i="16" s="1"/>
  <c r="F1121" i="16"/>
  <c r="G1121" i="16" s="1"/>
  <c r="F1122" i="16"/>
  <c r="G1122" i="16" s="1"/>
  <c r="F1123" i="16"/>
  <c r="F1124" i="16"/>
  <c r="G1124" i="16" s="1"/>
  <c r="F1125" i="16"/>
  <c r="G1125" i="16" s="1"/>
  <c r="F1126" i="16"/>
  <c r="G1126" i="16" s="1"/>
  <c r="F1127" i="16"/>
  <c r="G1127" i="16" s="1"/>
  <c r="F1128" i="16"/>
  <c r="G1128" i="16" s="1"/>
  <c r="F1129" i="16"/>
  <c r="G1129" i="16" s="1"/>
  <c r="F1130" i="16"/>
  <c r="G1130" i="16" s="1"/>
  <c r="F1131" i="16"/>
  <c r="G1131" i="16" s="1"/>
  <c r="F1132" i="16"/>
  <c r="G1132" i="16" s="1"/>
  <c r="F1133" i="16"/>
  <c r="G1133" i="16" s="1"/>
  <c r="F1134" i="16"/>
  <c r="G1134" i="16" s="1"/>
  <c r="F1135" i="16"/>
  <c r="G1135" i="16" s="1"/>
  <c r="F1136" i="16"/>
  <c r="G1136" i="16" s="1"/>
  <c r="F1137" i="16"/>
  <c r="G1137" i="16" s="1"/>
  <c r="F1138" i="16"/>
  <c r="G1138" i="16" s="1"/>
  <c r="F1139" i="16"/>
  <c r="G1139" i="16" s="1"/>
  <c r="F1140" i="16"/>
  <c r="G1140" i="16" s="1"/>
  <c r="F1141" i="16"/>
  <c r="G1141" i="16" s="1"/>
  <c r="F1142" i="16"/>
  <c r="G1142" i="16" s="1"/>
  <c r="F1143" i="16"/>
  <c r="G1143" i="16" s="1"/>
  <c r="F1144" i="16"/>
  <c r="G1144" i="16" s="1"/>
  <c r="F1145" i="16"/>
  <c r="G1145" i="16" s="1"/>
  <c r="F1146" i="16"/>
  <c r="F1147" i="16"/>
  <c r="G1147" i="16" s="1"/>
  <c r="F1148" i="16"/>
  <c r="G1148" i="16" s="1"/>
  <c r="F1149" i="16"/>
  <c r="G1149" i="16" s="1"/>
  <c r="F1150" i="16"/>
  <c r="G1150" i="16" s="1"/>
  <c r="F1151" i="16"/>
  <c r="G1151" i="16" s="1"/>
  <c r="F1152" i="16"/>
  <c r="G1152" i="16" s="1"/>
  <c r="F1153" i="16"/>
  <c r="G1153" i="16" s="1"/>
  <c r="F1154" i="16"/>
  <c r="G1154" i="16" s="1"/>
  <c r="F1155" i="16"/>
  <c r="G1155" i="16" s="1"/>
  <c r="F1156" i="16"/>
  <c r="G1156" i="16" s="1"/>
  <c r="F1157" i="16"/>
  <c r="G1157" i="16" s="1"/>
  <c r="F1158" i="16"/>
  <c r="G1158" i="16" s="1"/>
  <c r="F1159" i="16"/>
  <c r="G1159" i="16" s="1"/>
  <c r="F1160" i="16"/>
  <c r="G1160" i="16" s="1"/>
  <c r="F1161" i="16"/>
  <c r="G1161" i="16" s="1"/>
  <c r="F1162" i="16"/>
  <c r="G1162" i="16" s="1"/>
  <c r="F1163" i="16"/>
  <c r="G1163" i="16" s="1"/>
  <c r="F1164" i="16"/>
  <c r="G1164" i="16" s="1"/>
  <c r="F1165" i="16"/>
  <c r="F1166" i="16"/>
  <c r="G1166" i="16" s="1"/>
  <c r="F1167" i="16"/>
  <c r="G1167" i="16" s="1"/>
  <c r="F1168" i="16"/>
  <c r="G1168" i="16" s="1"/>
  <c r="F1169" i="16"/>
  <c r="G1169" i="16" s="1"/>
  <c r="F1170" i="16"/>
  <c r="G1170" i="16" s="1"/>
  <c r="F1171" i="16"/>
  <c r="G1171" i="16" s="1"/>
  <c r="F1172" i="16"/>
  <c r="G1172" i="16" s="1"/>
  <c r="F1173" i="16"/>
  <c r="G1173" i="16" s="1"/>
  <c r="F1174" i="16"/>
  <c r="G1174" i="16" s="1"/>
  <c r="F1175" i="16"/>
  <c r="G1175" i="16" s="1"/>
  <c r="F1176" i="16"/>
  <c r="G1176" i="16" s="1"/>
  <c r="F1177" i="16"/>
  <c r="G1177" i="16" s="1"/>
  <c r="F1178" i="16"/>
  <c r="G1178" i="16" s="1"/>
  <c r="F1179" i="16"/>
  <c r="G1179" i="16" s="1"/>
  <c r="F1180" i="16"/>
  <c r="G1180" i="16" s="1"/>
  <c r="F1181" i="16"/>
  <c r="G1181" i="16" s="1"/>
  <c r="F1182" i="16"/>
  <c r="G1182" i="16" s="1"/>
  <c r="F1183" i="16"/>
  <c r="G1183" i="16" s="1"/>
  <c r="F1184" i="16"/>
  <c r="G1184" i="16" s="1"/>
  <c r="F1185" i="16"/>
  <c r="G1185" i="16" s="1"/>
  <c r="F1186" i="16"/>
  <c r="G1186" i="16" s="1"/>
  <c r="F1187" i="16"/>
  <c r="F1188" i="16"/>
  <c r="G1188" i="16" s="1"/>
  <c r="F1189" i="16"/>
  <c r="G1189" i="16" s="1"/>
  <c r="F1190" i="16"/>
  <c r="G1190" i="16" s="1"/>
  <c r="F1191" i="16"/>
  <c r="G1191" i="16" s="1"/>
  <c r="F1192" i="16"/>
  <c r="G1192" i="16" s="1"/>
  <c r="F1193" i="16"/>
  <c r="G1193" i="16" s="1"/>
  <c r="F1194" i="16"/>
  <c r="G1194" i="16" s="1"/>
  <c r="F1195" i="16"/>
  <c r="G1195" i="16" s="1"/>
  <c r="F1196" i="16"/>
  <c r="G1196" i="16" s="1"/>
  <c r="F1197" i="16"/>
  <c r="G1197" i="16" s="1"/>
  <c r="F1198" i="16"/>
  <c r="G1198" i="16" s="1"/>
  <c r="F1199" i="16"/>
  <c r="G1199" i="16" s="1"/>
  <c r="F1200" i="16"/>
  <c r="G1200" i="16" s="1"/>
  <c r="F1201" i="16"/>
  <c r="G1201" i="16" s="1"/>
  <c r="F1202" i="16"/>
  <c r="G1202" i="16" s="1"/>
  <c r="F1203" i="16"/>
  <c r="G1203" i="16" s="1"/>
  <c r="F1204" i="16"/>
  <c r="G1204" i="16" s="1"/>
  <c r="F1205" i="16"/>
  <c r="G1205" i="16" s="1"/>
  <c r="F1206" i="16"/>
  <c r="G1206" i="16" s="1"/>
  <c r="F1207" i="16"/>
  <c r="G1207" i="16" s="1"/>
  <c r="F1208" i="16"/>
  <c r="G1208" i="16" s="1"/>
  <c r="F1209" i="16"/>
  <c r="F1210" i="16"/>
  <c r="G1210" i="16" s="1"/>
  <c r="F1211" i="16"/>
  <c r="G1211" i="16" s="1"/>
  <c r="F1212" i="16"/>
  <c r="G1212" i="16" s="1"/>
  <c r="F1213" i="16"/>
  <c r="G1213" i="16" s="1"/>
  <c r="F1214" i="16"/>
  <c r="G1214" i="16" s="1"/>
  <c r="F1215" i="16"/>
  <c r="G1215" i="16" s="1"/>
  <c r="F1216" i="16"/>
  <c r="G1216" i="16" s="1"/>
  <c r="F1217" i="16"/>
  <c r="G1217" i="16" s="1"/>
  <c r="F1218" i="16"/>
  <c r="G1218" i="16" s="1"/>
  <c r="F1219" i="16"/>
  <c r="G1219" i="16" s="1"/>
  <c r="F1220" i="16"/>
  <c r="G1220" i="16" s="1"/>
  <c r="F1221" i="16"/>
  <c r="G1221" i="16" s="1"/>
  <c r="F1222" i="16"/>
  <c r="G1222" i="16" s="1"/>
  <c r="F1223" i="16"/>
  <c r="G1223" i="16" s="1"/>
  <c r="F1224" i="16"/>
  <c r="G1224" i="16" s="1"/>
  <c r="F1225" i="16"/>
  <c r="G1225" i="16" s="1"/>
  <c r="F1226" i="16"/>
  <c r="G1226" i="16" s="1"/>
  <c r="F1227" i="16"/>
  <c r="G1227" i="16" s="1"/>
  <c r="F1228" i="16"/>
  <c r="G1228" i="16" s="1"/>
  <c r="F1229" i="16"/>
  <c r="F1230" i="16"/>
  <c r="G1230" i="16" s="1"/>
  <c r="F1231" i="16"/>
  <c r="G1231" i="16" s="1"/>
  <c r="F1232" i="16"/>
  <c r="G1232" i="16" s="1"/>
  <c r="F1233" i="16"/>
  <c r="G1233" i="16" s="1"/>
  <c r="F1234" i="16"/>
  <c r="G1234" i="16" s="1"/>
  <c r="F1235" i="16"/>
  <c r="G1235" i="16" s="1"/>
  <c r="F1236" i="16"/>
  <c r="G1236" i="16" s="1"/>
  <c r="F1237" i="16"/>
  <c r="G1237" i="16" s="1"/>
  <c r="F1238" i="16"/>
  <c r="G1238" i="16" s="1"/>
  <c r="F1239" i="16"/>
  <c r="G1239" i="16" s="1"/>
  <c r="F1240" i="16"/>
  <c r="G1240" i="16" s="1"/>
  <c r="F1241" i="16"/>
  <c r="G1241" i="16" s="1"/>
  <c r="F1242" i="16"/>
  <c r="G1242" i="16" s="1"/>
  <c r="F1243" i="16"/>
  <c r="G1243" i="16" s="1"/>
  <c r="F1244" i="16"/>
  <c r="G1244" i="16" s="1"/>
  <c r="F1245" i="16"/>
  <c r="G1245" i="16" s="1"/>
  <c r="F1246" i="16"/>
  <c r="G1246" i="16" s="1"/>
  <c r="F1247" i="16"/>
  <c r="G1247" i="16" s="1"/>
  <c r="F1248" i="16"/>
  <c r="F1249" i="16"/>
  <c r="G1249" i="16" s="1"/>
  <c r="F1250" i="16"/>
  <c r="G1250" i="16" s="1"/>
  <c r="F1251" i="16"/>
  <c r="G1251" i="16" s="1"/>
  <c r="F1252" i="16"/>
  <c r="G1252" i="16" s="1"/>
  <c r="F1253" i="16"/>
  <c r="G1253" i="16" s="1"/>
  <c r="F1254" i="16"/>
  <c r="G1254" i="16" s="1"/>
  <c r="F1255" i="16"/>
  <c r="G1255" i="16" s="1"/>
  <c r="F1256" i="16"/>
  <c r="G1256" i="16" s="1"/>
  <c r="F1257" i="16"/>
  <c r="G1257" i="16" s="1"/>
  <c r="F1258" i="16"/>
  <c r="G1258" i="16" s="1"/>
  <c r="F1259" i="16"/>
  <c r="G1259" i="16" s="1"/>
  <c r="F1260" i="16"/>
  <c r="G1260" i="16" s="1"/>
  <c r="F1261" i="16"/>
  <c r="G1261" i="16" s="1"/>
  <c r="F1262" i="16"/>
  <c r="G1262" i="16" s="1"/>
  <c r="F1263" i="16"/>
  <c r="G1263" i="16" s="1"/>
  <c r="F1264" i="16"/>
  <c r="G1264" i="16" s="1"/>
  <c r="F1265" i="16"/>
  <c r="G1265" i="16" s="1"/>
  <c r="F1266" i="16"/>
  <c r="G1266" i="16" s="1"/>
  <c r="F1267" i="16"/>
  <c r="G1267" i="16" s="1"/>
  <c r="F1268" i="16"/>
  <c r="G1268" i="16" s="1"/>
  <c r="F1269" i="16"/>
  <c r="F1270" i="16"/>
  <c r="G1270" i="16" s="1"/>
  <c r="F1271" i="16"/>
  <c r="G1271" i="16" s="1"/>
  <c r="F1272" i="16"/>
  <c r="G1272" i="16" s="1"/>
  <c r="F1273" i="16"/>
  <c r="G1273" i="16" s="1"/>
  <c r="F1274" i="16"/>
  <c r="G1274" i="16" s="1"/>
  <c r="F1275" i="16"/>
  <c r="G1275" i="16" s="1"/>
  <c r="F1276" i="16"/>
  <c r="G1276" i="16" s="1"/>
  <c r="F1277" i="16"/>
  <c r="G1277" i="16" s="1"/>
  <c r="F1278" i="16"/>
  <c r="G1278" i="16" s="1"/>
  <c r="F1279" i="16"/>
  <c r="G1279" i="16" s="1"/>
  <c r="F1280" i="16"/>
  <c r="G1280" i="16" s="1"/>
  <c r="F1281" i="16"/>
  <c r="G1281" i="16" s="1"/>
  <c r="F1282" i="16"/>
  <c r="G1282" i="16" s="1"/>
  <c r="F1283" i="16"/>
  <c r="G1283" i="16" s="1"/>
  <c r="F1284" i="16"/>
  <c r="G1284" i="16" s="1"/>
  <c r="F1285" i="16"/>
  <c r="G1285" i="16" s="1"/>
  <c r="F1286" i="16"/>
  <c r="G1286" i="16" s="1"/>
  <c r="F1287" i="16"/>
  <c r="G1287" i="16" s="1"/>
  <c r="F1288" i="16"/>
  <c r="G1288" i="16" s="1"/>
  <c r="F1289" i="16"/>
  <c r="F1290" i="16"/>
  <c r="G1290" i="16" s="1"/>
  <c r="F1291" i="16"/>
  <c r="G1291" i="16" s="1"/>
  <c r="F1292" i="16"/>
  <c r="G1292" i="16" s="1"/>
  <c r="F1293" i="16"/>
  <c r="G1293" i="16" s="1"/>
  <c r="F1294" i="16"/>
  <c r="G1294" i="16" s="1"/>
  <c r="F1295" i="16"/>
  <c r="G1295" i="16" s="1"/>
  <c r="F1296" i="16"/>
  <c r="G1296" i="16" s="1"/>
  <c r="F1297" i="16"/>
  <c r="G1297" i="16" s="1"/>
  <c r="F1298" i="16"/>
  <c r="G1298" i="16" s="1"/>
  <c r="F1299" i="16"/>
  <c r="G1299" i="16" s="1"/>
  <c r="F1300" i="16"/>
  <c r="G1300" i="16" s="1"/>
  <c r="F1301" i="16"/>
  <c r="G1301" i="16" s="1"/>
  <c r="F1302" i="16"/>
  <c r="G1302" i="16" s="1"/>
  <c r="F1303" i="16"/>
  <c r="G1303" i="16" s="1"/>
  <c r="F1304" i="16"/>
  <c r="G1304" i="16" s="1"/>
  <c r="F1305" i="16"/>
  <c r="G1305" i="16" s="1"/>
  <c r="F1306" i="16"/>
  <c r="G1306" i="16" s="1"/>
  <c r="F1307" i="16"/>
  <c r="G1307" i="16" s="1"/>
  <c r="F1308" i="16"/>
  <c r="G1308" i="16" s="1"/>
  <c r="F1309" i="16"/>
  <c r="G1309" i="16" s="1"/>
  <c r="F1310" i="16"/>
  <c r="G1310" i="16" s="1"/>
  <c r="F1311" i="16"/>
  <c r="F1312" i="16"/>
  <c r="G1312" i="16" s="1"/>
  <c r="F1313" i="16"/>
  <c r="G1313" i="16" s="1"/>
  <c r="F1314" i="16"/>
  <c r="G1314" i="16" s="1"/>
  <c r="F1315" i="16"/>
  <c r="G1315" i="16" s="1"/>
  <c r="F1316" i="16"/>
  <c r="G1316" i="16" s="1"/>
  <c r="F1317" i="16"/>
  <c r="G1317" i="16" s="1"/>
  <c r="F1318" i="16"/>
  <c r="G1318" i="16" s="1"/>
  <c r="F1319" i="16"/>
  <c r="G1319" i="16" s="1"/>
  <c r="F1320" i="16"/>
  <c r="G1320" i="16" s="1"/>
  <c r="F1321" i="16"/>
  <c r="G1321" i="16" s="1"/>
  <c r="F1322" i="16"/>
  <c r="G1322" i="16" s="1"/>
  <c r="F1323" i="16"/>
  <c r="G1323" i="16" s="1"/>
  <c r="F1324" i="16"/>
  <c r="G1324" i="16" s="1"/>
  <c r="F1325" i="16"/>
  <c r="G1325" i="16" s="1"/>
  <c r="F1326" i="16"/>
  <c r="G1326" i="16" s="1"/>
  <c r="F1327" i="16"/>
  <c r="G1327" i="16" s="1"/>
  <c r="F1328" i="16"/>
  <c r="G1328" i="16" s="1"/>
  <c r="F1329" i="16"/>
  <c r="G1329" i="16" s="1"/>
  <c r="F1330" i="16"/>
  <c r="G1330" i="16" s="1"/>
  <c r="F1331" i="16"/>
  <c r="F1332" i="16"/>
  <c r="G1332" i="16" s="1"/>
  <c r="F1333" i="16"/>
  <c r="G1333" i="16" s="1"/>
  <c r="F1334" i="16"/>
  <c r="G1334" i="16" s="1"/>
  <c r="F1335" i="16"/>
  <c r="G1335" i="16" s="1"/>
  <c r="F1336" i="16"/>
  <c r="G1336" i="16" s="1"/>
  <c r="F1337" i="16"/>
  <c r="G1337" i="16" s="1"/>
  <c r="F1338" i="16"/>
  <c r="G1338" i="16" s="1"/>
  <c r="F1339" i="16"/>
  <c r="G1339" i="16" s="1"/>
  <c r="F1340" i="16"/>
  <c r="G1340" i="16" s="1"/>
  <c r="F1341" i="16"/>
  <c r="G1341" i="16" s="1"/>
  <c r="F1342" i="16"/>
  <c r="G1342" i="16" s="1"/>
  <c r="F1343" i="16"/>
  <c r="G1343" i="16" s="1"/>
  <c r="F1344" i="16"/>
  <c r="G1344" i="16" s="1"/>
  <c r="F1345" i="16"/>
  <c r="G1345" i="16" s="1"/>
  <c r="F1346" i="16"/>
  <c r="G1346" i="16" s="1"/>
  <c r="F1347" i="16"/>
  <c r="G1347" i="16" s="1"/>
  <c r="F1348" i="16"/>
  <c r="G1348" i="16" s="1"/>
  <c r="F1349" i="16"/>
  <c r="F1350" i="16"/>
  <c r="G1350" i="16" s="1"/>
  <c r="F1351" i="16"/>
  <c r="G1351" i="16" s="1"/>
  <c r="F1352" i="16"/>
  <c r="G1352" i="16" s="1"/>
  <c r="F1353" i="16"/>
  <c r="G1353" i="16" s="1"/>
  <c r="F1354" i="16"/>
  <c r="G1354" i="16" s="1"/>
  <c r="F1355" i="16"/>
  <c r="G1355" i="16" s="1"/>
  <c r="F1356" i="16"/>
  <c r="G1356" i="16" s="1"/>
  <c r="F1357" i="16"/>
  <c r="G1357" i="16" s="1"/>
  <c r="F1358" i="16"/>
  <c r="G1358" i="16" s="1"/>
  <c r="F1359" i="16"/>
  <c r="G1359" i="16" s="1"/>
  <c r="F1360" i="16"/>
  <c r="G1360" i="16" s="1"/>
  <c r="F1361" i="16"/>
  <c r="G1361" i="16" s="1"/>
  <c r="F1362" i="16"/>
  <c r="G1362" i="16" s="1"/>
  <c r="F1363" i="16"/>
  <c r="G1363" i="16" s="1"/>
  <c r="F1364" i="16"/>
  <c r="G1364" i="16" s="1"/>
  <c r="F1365" i="16"/>
  <c r="G1365" i="16" s="1"/>
  <c r="F1366" i="16"/>
  <c r="G1366" i="16" s="1"/>
  <c r="F1367" i="16"/>
  <c r="G1367" i="16" s="1"/>
  <c r="F1368" i="16"/>
  <c r="G1368" i="16" s="1"/>
  <c r="F1369" i="16"/>
  <c r="G1369" i="16" s="1"/>
  <c r="F1370" i="16"/>
  <c r="G1370" i="16" s="1"/>
  <c r="F1371" i="16"/>
  <c r="F1372" i="16"/>
  <c r="G1372" i="16" s="1"/>
  <c r="F1373" i="16"/>
  <c r="G1373" i="16" s="1"/>
  <c r="F1374" i="16"/>
  <c r="G1374" i="16" s="1"/>
  <c r="F1375" i="16"/>
  <c r="G1375" i="16" s="1"/>
  <c r="F1376" i="16"/>
  <c r="G1376" i="16" s="1"/>
  <c r="F1377" i="16"/>
  <c r="G1377" i="16" s="1"/>
  <c r="F1378" i="16"/>
  <c r="G1378" i="16" s="1"/>
  <c r="F1379" i="16"/>
  <c r="G1379" i="16" s="1"/>
  <c r="F1380" i="16"/>
  <c r="G1380" i="16" s="1"/>
  <c r="F1381" i="16"/>
  <c r="G1381" i="16" s="1"/>
  <c r="F1382" i="16"/>
  <c r="G1382" i="16" s="1"/>
  <c r="F1383" i="16"/>
  <c r="G1383" i="16" s="1"/>
  <c r="F1384" i="16"/>
  <c r="G1384" i="16" s="1"/>
  <c r="F1385" i="16"/>
  <c r="G1385" i="16" s="1"/>
  <c r="F1386" i="16"/>
  <c r="G1386" i="16" s="1"/>
  <c r="F1387" i="16"/>
  <c r="G1387" i="16" s="1"/>
  <c r="F1388" i="16"/>
  <c r="G1388" i="16" s="1"/>
  <c r="F1389" i="16"/>
  <c r="G1389" i="16" s="1"/>
  <c r="F1390" i="16"/>
  <c r="G1390" i="16" s="1"/>
  <c r="F1391" i="16"/>
  <c r="G1391" i="16" s="1"/>
  <c r="F1392" i="16"/>
  <c r="G1392" i="16" s="1"/>
  <c r="F1393" i="16"/>
  <c r="G1393" i="16" s="1"/>
  <c r="F1394" i="16"/>
  <c r="F1395" i="16"/>
  <c r="G1395" i="16" s="1"/>
  <c r="F1396" i="16"/>
  <c r="G1396" i="16" s="1"/>
  <c r="F1397" i="16"/>
  <c r="G1397" i="16" s="1"/>
  <c r="F1398" i="16"/>
  <c r="G1398" i="16" s="1"/>
  <c r="F1399" i="16"/>
  <c r="G1399" i="16" s="1"/>
  <c r="F1400" i="16"/>
  <c r="G1400" i="16" s="1"/>
  <c r="F1401" i="16"/>
  <c r="G1401" i="16" s="1"/>
  <c r="F1402" i="16"/>
  <c r="G1402" i="16" s="1"/>
  <c r="F1403" i="16"/>
  <c r="G1403" i="16" s="1"/>
  <c r="F1404" i="16"/>
  <c r="G1404" i="16" s="1"/>
  <c r="F1405" i="16"/>
  <c r="G1405" i="16" s="1"/>
  <c r="F1406" i="16"/>
  <c r="G1406" i="16" s="1"/>
  <c r="F1407" i="16"/>
  <c r="G1407" i="16" s="1"/>
  <c r="F1408" i="16"/>
  <c r="G1408" i="16" s="1"/>
  <c r="F1409" i="16"/>
  <c r="G1409" i="16" s="1"/>
  <c r="F1410" i="16"/>
  <c r="G1410" i="16" s="1"/>
  <c r="F1411" i="16"/>
  <c r="G1411" i="16" s="1"/>
  <c r="F1412" i="16"/>
  <c r="G1412" i="16" s="1"/>
  <c r="F1413" i="16"/>
  <c r="G1413" i="16" s="1"/>
  <c r="F1414" i="16"/>
  <c r="F1415" i="16"/>
  <c r="G1415" i="16" s="1"/>
  <c r="F1416" i="16"/>
  <c r="G1416" i="16" s="1"/>
  <c r="F1417" i="16"/>
  <c r="G1417" i="16" s="1"/>
  <c r="F1418" i="16"/>
  <c r="G1418" i="16" s="1"/>
  <c r="F1419" i="16"/>
  <c r="G1419" i="16" s="1"/>
  <c r="F1420" i="16"/>
  <c r="G1420" i="16" s="1"/>
  <c r="F1421" i="16"/>
  <c r="G1421" i="16" s="1"/>
  <c r="F1422" i="16"/>
  <c r="G1422" i="16" s="1"/>
  <c r="F1423" i="16"/>
  <c r="G1423" i="16" s="1"/>
  <c r="F1424" i="16"/>
  <c r="G1424" i="16" s="1"/>
  <c r="F1425" i="16"/>
  <c r="G1425" i="16" s="1"/>
  <c r="F1426" i="16"/>
  <c r="G1426" i="16" s="1"/>
  <c r="F1427" i="16"/>
  <c r="G1427" i="16" s="1"/>
  <c r="F1428" i="16"/>
  <c r="G1428" i="16" s="1"/>
  <c r="F1429" i="16"/>
  <c r="G1429" i="16" s="1"/>
  <c r="F1430" i="16"/>
  <c r="G1430" i="16" s="1"/>
  <c r="F1431" i="16"/>
  <c r="G1431" i="16" s="1"/>
  <c r="F1432" i="16"/>
  <c r="G1432" i="16" s="1"/>
  <c r="F1433" i="16"/>
  <c r="G1433" i="16" s="1"/>
  <c r="F1434" i="16"/>
  <c r="G1434" i="16" s="1"/>
  <c r="F1435" i="16"/>
  <c r="G1435" i="16" s="1"/>
  <c r="F1436" i="16"/>
  <c r="F1437" i="16"/>
  <c r="G1437" i="16" s="1"/>
  <c r="F1438" i="16"/>
  <c r="G1438" i="16" s="1"/>
  <c r="F1439" i="16"/>
  <c r="G1439" i="16" s="1"/>
  <c r="F1440" i="16"/>
  <c r="G1440" i="16" s="1"/>
  <c r="F1441" i="16"/>
  <c r="G1441" i="16" s="1"/>
  <c r="F1442" i="16"/>
  <c r="G1442" i="16" s="1"/>
  <c r="F1443" i="16"/>
  <c r="G1443" i="16" s="1"/>
  <c r="F1444" i="16"/>
  <c r="G1444" i="16" s="1"/>
  <c r="F1445" i="16"/>
  <c r="G1445" i="16" s="1"/>
  <c r="F1446" i="16"/>
  <c r="G1446" i="16" s="1"/>
  <c r="F1447" i="16"/>
  <c r="G1447" i="16" s="1"/>
  <c r="F1448" i="16"/>
  <c r="G1448" i="16" s="1"/>
  <c r="F1449" i="16"/>
  <c r="G1449" i="16" s="1"/>
  <c r="F1450" i="16"/>
  <c r="G1450" i="16" s="1"/>
  <c r="F1451" i="16"/>
  <c r="G1451" i="16" s="1"/>
  <c r="F1452" i="16"/>
  <c r="G1452" i="16" s="1"/>
  <c r="F1453" i="16"/>
  <c r="G1453" i="16" s="1"/>
  <c r="F1454" i="16"/>
  <c r="G1454" i="16" s="1"/>
  <c r="F1455" i="16"/>
  <c r="G1455" i="16" s="1"/>
  <c r="F1456" i="16"/>
  <c r="G1456" i="16" s="1"/>
  <c r="F1457" i="16"/>
  <c r="G1457" i="16" s="1"/>
  <c r="F1458" i="16"/>
  <c r="F1459" i="16"/>
  <c r="G1459" i="16" s="1"/>
  <c r="F1460" i="16"/>
  <c r="G1460" i="16" s="1"/>
  <c r="F1461" i="16"/>
  <c r="G1461" i="16" s="1"/>
  <c r="F1462" i="16"/>
  <c r="G1462" i="16" s="1"/>
  <c r="F1463" i="16"/>
  <c r="G1463" i="16" s="1"/>
  <c r="F1464" i="16"/>
  <c r="G1464" i="16" s="1"/>
  <c r="F1465" i="16"/>
  <c r="G1465" i="16" s="1"/>
  <c r="F1466" i="16"/>
  <c r="G1466" i="16" s="1"/>
  <c r="F1467" i="16"/>
  <c r="G1467" i="16" s="1"/>
  <c r="F1468" i="16"/>
  <c r="G1468" i="16" s="1"/>
  <c r="F1469" i="16"/>
  <c r="G1469" i="16" s="1"/>
  <c r="F1470" i="16"/>
  <c r="G1470" i="16" s="1"/>
  <c r="F1471" i="16"/>
  <c r="G1471" i="16" s="1"/>
  <c r="F1472" i="16"/>
  <c r="G1472" i="16" s="1"/>
  <c r="F1473" i="16"/>
  <c r="G1473" i="16" s="1"/>
  <c r="F1474" i="16"/>
  <c r="G1474" i="16" s="1"/>
  <c r="F1475" i="16"/>
  <c r="G1475" i="16" s="1"/>
  <c r="F1476" i="16"/>
  <c r="G1476" i="16" s="1"/>
  <c r="F1477" i="16"/>
  <c r="G1477" i="16" s="1"/>
  <c r="F1478" i="16"/>
  <c r="G1478" i="16" s="1"/>
  <c r="F1479" i="16"/>
  <c r="F1480" i="16"/>
  <c r="G1480" i="16" s="1"/>
  <c r="F1481" i="16"/>
  <c r="G1481" i="16" s="1"/>
  <c r="F1482" i="16"/>
  <c r="G1482" i="16" s="1"/>
  <c r="F1483" i="16"/>
  <c r="G1483" i="16" s="1"/>
  <c r="F1484" i="16"/>
  <c r="G1484" i="16" s="1"/>
  <c r="F1485" i="16"/>
  <c r="G1485" i="16" s="1"/>
  <c r="F1486" i="16"/>
  <c r="G1486" i="16" s="1"/>
  <c r="F1487" i="16"/>
  <c r="G1487" i="16" s="1"/>
  <c r="F1488" i="16"/>
  <c r="G1488" i="16" s="1"/>
  <c r="F1489" i="16"/>
  <c r="G1489" i="16" s="1"/>
  <c r="F1490" i="16"/>
  <c r="G1490" i="16" s="1"/>
  <c r="F1491" i="16"/>
  <c r="G1491" i="16" s="1"/>
  <c r="F1492" i="16"/>
  <c r="G1492" i="16" s="1"/>
  <c r="F1493" i="16"/>
  <c r="G1493" i="16" s="1"/>
  <c r="F1494" i="16"/>
  <c r="G1494" i="16" s="1"/>
  <c r="F1495" i="16"/>
  <c r="G1495" i="16" s="1"/>
  <c r="F1496" i="16"/>
  <c r="G1496" i="16" s="1"/>
  <c r="F1497" i="16"/>
  <c r="G1497" i="16" s="1"/>
  <c r="F1498" i="16"/>
  <c r="F1499" i="16"/>
  <c r="G1499" i="16" s="1"/>
  <c r="F1500" i="16"/>
  <c r="G1500" i="16" s="1"/>
  <c r="F1501" i="16"/>
  <c r="G1501" i="16" s="1"/>
  <c r="F1502" i="16"/>
  <c r="G1502" i="16" s="1"/>
  <c r="F1503" i="16"/>
  <c r="G1503" i="16" s="1"/>
  <c r="F1504" i="16"/>
  <c r="G1504" i="16" s="1"/>
  <c r="F1505" i="16"/>
  <c r="G1505" i="16" s="1"/>
  <c r="F1506" i="16"/>
  <c r="G1506" i="16" s="1"/>
  <c r="F1507" i="16"/>
  <c r="G1507" i="16" s="1"/>
  <c r="F1508" i="16"/>
  <c r="G1508" i="16" s="1"/>
  <c r="F1509" i="16"/>
  <c r="G1509" i="16" s="1"/>
  <c r="F1510" i="16"/>
  <c r="G1510" i="16" s="1"/>
  <c r="F1511" i="16"/>
  <c r="G1511" i="16" s="1"/>
  <c r="F1512" i="16"/>
  <c r="G1512" i="16" s="1"/>
  <c r="F1513" i="16"/>
  <c r="G1513" i="16" s="1"/>
  <c r="F1514" i="16"/>
  <c r="G1514" i="16" s="1"/>
  <c r="F1515" i="16"/>
  <c r="G1515" i="16" s="1"/>
  <c r="F1516" i="16"/>
  <c r="G1516" i="16" s="1"/>
  <c r="F1517" i="16"/>
  <c r="G1517" i="16" s="1"/>
  <c r="F1518" i="16"/>
  <c r="F1519" i="16"/>
  <c r="G1519" i="16" s="1"/>
  <c r="F1520" i="16"/>
  <c r="G1520" i="16" s="1"/>
  <c r="F1521" i="16"/>
  <c r="G1521" i="16" s="1"/>
  <c r="F1522" i="16"/>
  <c r="G1522" i="16" s="1"/>
  <c r="F1523" i="16"/>
  <c r="G1523" i="16" s="1"/>
  <c r="F1524" i="16"/>
  <c r="G1524" i="16" s="1"/>
  <c r="F1525" i="16"/>
  <c r="G1525" i="16" s="1"/>
  <c r="F1526" i="16"/>
  <c r="G1526" i="16" s="1"/>
  <c r="F1527" i="16"/>
  <c r="G1527" i="16" s="1"/>
  <c r="F1528" i="16"/>
  <c r="G1528" i="16" s="1"/>
  <c r="F1529" i="16"/>
  <c r="G1529" i="16" s="1"/>
  <c r="F1530" i="16"/>
  <c r="G1530" i="16" s="1"/>
  <c r="F1531" i="16"/>
  <c r="G1531" i="16" s="1"/>
  <c r="F1532" i="16"/>
  <c r="G1532" i="16" s="1"/>
  <c r="F1533" i="16"/>
  <c r="G1533" i="16" s="1"/>
  <c r="F1534" i="16"/>
  <c r="G1534" i="16" s="1"/>
  <c r="F1535" i="16"/>
  <c r="G1535" i="16" s="1"/>
  <c r="F1536" i="16"/>
  <c r="G1536" i="16" s="1"/>
  <c r="F1537" i="16"/>
  <c r="G1537" i="16" s="1"/>
  <c r="F1538" i="16"/>
  <c r="G1538" i="16" s="1"/>
  <c r="F1539" i="16"/>
  <c r="F1540" i="16"/>
  <c r="G1540" i="16" s="1"/>
  <c r="F1541" i="16"/>
  <c r="G1541" i="16" s="1"/>
  <c r="F1542" i="16"/>
  <c r="G1542" i="16" s="1"/>
  <c r="F1543" i="16"/>
  <c r="G1543" i="16" s="1"/>
  <c r="F1544" i="16"/>
  <c r="G1544" i="16" s="1"/>
  <c r="F1545" i="16"/>
  <c r="G1545" i="16" s="1"/>
  <c r="F1546" i="16"/>
  <c r="G1546" i="16" s="1"/>
  <c r="F1547" i="16"/>
  <c r="G1547" i="16" s="1"/>
  <c r="F1548" i="16"/>
  <c r="G1548" i="16" s="1"/>
  <c r="F1549" i="16"/>
  <c r="G1549" i="16" s="1"/>
  <c r="F1550" i="16"/>
  <c r="G1550" i="16" s="1"/>
  <c r="F1551" i="16"/>
  <c r="G1551" i="16" s="1"/>
  <c r="F1552" i="16"/>
  <c r="G1552" i="16" s="1"/>
  <c r="F1553" i="16"/>
  <c r="G1553" i="16" s="1"/>
  <c r="F1554" i="16"/>
  <c r="G1554" i="16" s="1"/>
  <c r="F1555" i="16"/>
  <c r="G1555" i="16" s="1"/>
  <c r="F1556" i="16"/>
  <c r="G1556" i="16" s="1"/>
  <c r="F1557" i="16"/>
  <c r="G1557" i="16" s="1"/>
  <c r="F1558" i="16"/>
  <c r="G1558" i="16" s="1"/>
  <c r="F1559" i="16"/>
  <c r="G1559" i="16" s="1"/>
  <c r="F1560" i="16"/>
  <c r="F1561" i="16"/>
  <c r="G1561" i="16" s="1"/>
  <c r="F1562" i="16"/>
  <c r="G1562" i="16" s="1"/>
  <c r="F1563" i="16"/>
  <c r="G1563" i="16" s="1"/>
  <c r="F1564" i="16"/>
  <c r="G1564" i="16" s="1"/>
  <c r="F1565" i="16"/>
  <c r="G1565" i="16" s="1"/>
  <c r="F1566" i="16"/>
  <c r="G1566" i="16" s="1"/>
  <c r="F1567" i="16"/>
  <c r="G1567" i="16" s="1"/>
  <c r="F1568" i="16"/>
  <c r="G1568" i="16" s="1"/>
  <c r="F1569" i="16"/>
  <c r="G1569" i="16" s="1"/>
  <c r="F1570" i="16"/>
  <c r="G1570" i="16" s="1"/>
  <c r="F1571" i="16"/>
  <c r="G1571" i="16" s="1"/>
  <c r="F1572" i="16"/>
  <c r="G1572" i="16" s="1"/>
  <c r="F1573" i="16"/>
  <c r="G1573" i="16" s="1"/>
  <c r="F1574" i="16"/>
  <c r="G1574" i="16" s="1"/>
  <c r="F1575" i="16"/>
  <c r="G1575" i="16" s="1"/>
  <c r="F1576" i="16"/>
  <c r="G1576" i="16" s="1"/>
  <c r="F1577" i="16"/>
  <c r="G1577" i="16" s="1"/>
  <c r="F1578" i="16"/>
  <c r="G1578" i="16" s="1"/>
  <c r="F1579" i="16"/>
  <c r="G1579" i="16" s="1"/>
  <c r="F1580" i="16"/>
  <c r="G1580" i="16" s="1"/>
  <c r="F1581" i="16"/>
  <c r="F1582" i="16"/>
  <c r="G1582" i="16" s="1"/>
  <c r="F1583" i="16"/>
  <c r="G1583" i="16" s="1"/>
  <c r="F1584" i="16"/>
  <c r="G1584" i="16" s="1"/>
  <c r="F1585" i="16"/>
  <c r="G1585" i="16" s="1"/>
  <c r="F1586" i="16"/>
  <c r="G1586" i="16" s="1"/>
  <c r="F1587" i="16"/>
  <c r="G1587" i="16" s="1"/>
  <c r="F1588" i="16"/>
  <c r="G1588" i="16" s="1"/>
  <c r="F1589" i="16"/>
  <c r="G1589" i="16" s="1"/>
  <c r="F1590" i="16"/>
  <c r="G1590" i="16" s="1"/>
  <c r="F1591" i="16"/>
  <c r="G1591" i="16" s="1"/>
  <c r="F1592" i="16"/>
  <c r="G1592" i="16" s="1"/>
  <c r="F1593" i="16"/>
  <c r="G1593" i="16" s="1"/>
  <c r="F1594" i="16"/>
  <c r="G1594" i="16" s="1"/>
  <c r="F1595" i="16"/>
  <c r="G1595" i="16" s="1"/>
  <c r="F1596" i="16"/>
  <c r="G1596" i="16" s="1"/>
  <c r="F1597" i="16"/>
  <c r="G1597" i="16" s="1"/>
  <c r="F1598" i="16"/>
  <c r="G1598" i="16" s="1"/>
  <c r="F1599" i="16"/>
  <c r="G1599" i="16" s="1"/>
  <c r="F1600" i="16"/>
  <c r="F1601" i="16"/>
  <c r="G1601" i="16" s="1"/>
  <c r="F1602" i="16"/>
  <c r="G1602" i="16" s="1"/>
  <c r="F1603" i="16"/>
  <c r="G1603" i="16" s="1"/>
  <c r="F1604" i="16"/>
  <c r="G1604" i="16" s="1"/>
  <c r="F1605" i="16"/>
  <c r="G1605" i="16" s="1"/>
  <c r="F1606" i="16"/>
  <c r="G1606" i="16" s="1"/>
  <c r="F1607" i="16"/>
  <c r="G1607" i="16" s="1"/>
  <c r="F1608" i="16"/>
  <c r="G1608" i="16" s="1"/>
  <c r="F1609" i="16"/>
  <c r="G1609" i="16" s="1"/>
  <c r="F1610" i="16"/>
  <c r="G1610" i="16" s="1"/>
  <c r="F1611" i="16"/>
  <c r="G1611" i="16" s="1"/>
  <c r="F1612" i="16"/>
  <c r="G1612" i="16" s="1"/>
  <c r="F1613" i="16"/>
  <c r="G1613" i="16" s="1"/>
  <c r="F1614" i="16"/>
  <c r="G1614" i="16" s="1"/>
  <c r="F1615" i="16"/>
  <c r="G1615" i="16" s="1"/>
  <c r="F1616" i="16"/>
  <c r="G1616" i="16" s="1"/>
  <c r="F1617" i="16"/>
  <c r="G1617" i="16" s="1"/>
  <c r="F1618" i="16"/>
  <c r="G1618" i="16" s="1"/>
  <c r="F1619" i="16"/>
  <c r="G1619" i="16" s="1"/>
  <c r="F1620" i="16"/>
  <c r="G1620" i="16" s="1"/>
  <c r="F1621" i="16"/>
  <c r="G1621" i="16" s="1"/>
  <c r="F1622" i="16"/>
  <c r="F1623" i="16"/>
  <c r="G1623" i="16" s="1"/>
  <c r="F1624" i="16"/>
  <c r="G1624" i="16" s="1"/>
  <c r="F1625" i="16"/>
  <c r="G1625" i="16" s="1"/>
  <c r="F1626" i="16"/>
  <c r="G1626" i="16" s="1"/>
  <c r="F1627" i="16"/>
  <c r="G1627" i="16" s="1"/>
  <c r="F1628" i="16"/>
  <c r="G1628" i="16" s="1"/>
  <c r="F1629" i="16"/>
  <c r="G1629" i="16" s="1"/>
  <c r="F1630" i="16"/>
  <c r="G1630" i="16" s="1"/>
  <c r="F1631" i="16"/>
  <c r="G1631" i="16" s="1"/>
  <c r="F1632" i="16"/>
  <c r="G1632" i="16" s="1"/>
  <c r="F1633" i="16"/>
  <c r="G1633" i="16" s="1"/>
  <c r="F1634" i="16"/>
  <c r="G1634" i="16" s="1"/>
  <c r="F1635" i="16"/>
  <c r="G1635" i="16" s="1"/>
  <c r="F1636" i="16"/>
  <c r="G1636" i="16" s="1"/>
  <c r="F1637" i="16"/>
  <c r="G1637" i="16" s="1"/>
  <c r="F1638" i="16"/>
  <c r="G1638" i="16" s="1"/>
  <c r="F1639" i="16"/>
  <c r="G1639" i="16" s="1"/>
  <c r="F1640" i="16"/>
  <c r="G1640" i="16" s="1"/>
  <c r="F1641" i="16"/>
  <c r="G1641" i="16" s="1"/>
  <c r="F1642" i="16"/>
  <c r="G1642" i="16" s="1"/>
  <c r="F1643" i="16"/>
  <c r="F1644" i="16"/>
  <c r="G1644" i="16" s="1"/>
  <c r="F1645" i="16"/>
  <c r="G1645" i="16" s="1"/>
  <c r="F1646" i="16"/>
  <c r="G1646" i="16" s="1"/>
  <c r="F1647" i="16"/>
  <c r="G1647" i="16" s="1"/>
  <c r="F1648" i="16"/>
  <c r="G1648" i="16" s="1"/>
  <c r="F1649" i="16"/>
  <c r="G1649" i="16" s="1"/>
  <c r="F1650" i="16"/>
  <c r="G1650" i="16" s="1"/>
  <c r="F1651" i="16"/>
  <c r="G1651" i="16" s="1"/>
  <c r="F1652" i="16"/>
  <c r="G1652" i="16" s="1"/>
  <c r="F1653" i="16"/>
  <c r="G1653" i="16" s="1"/>
  <c r="F1654" i="16"/>
  <c r="G1654" i="16" s="1"/>
  <c r="F1655" i="16"/>
  <c r="G1655" i="16" s="1"/>
  <c r="F1656" i="16"/>
  <c r="G1656" i="16" s="1"/>
  <c r="F1657" i="16"/>
  <c r="G1657" i="16" s="1"/>
  <c r="F1658" i="16"/>
  <c r="G1658" i="16" s="1"/>
  <c r="F1659" i="16"/>
  <c r="G1659" i="16" s="1"/>
  <c r="F1660" i="16"/>
  <c r="G1660" i="16" s="1"/>
  <c r="F1661" i="16"/>
  <c r="G1661" i="16" s="1"/>
  <c r="F1662" i="16"/>
  <c r="G1662" i="16" s="1"/>
  <c r="F1663" i="16"/>
  <c r="G1663" i="16" s="1"/>
  <c r="F1664" i="16"/>
  <c r="F1665" i="16"/>
  <c r="G1665" i="16" s="1"/>
  <c r="F1666" i="16"/>
  <c r="G1666" i="16" s="1"/>
  <c r="F1667" i="16"/>
  <c r="G1667" i="16" s="1"/>
  <c r="F1668" i="16"/>
  <c r="G1668" i="16" s="1"/>
  <c r="F1669" i="16"/>
  <c r="G1669" i="16" s="1"/>
  <c r="F1670" i="16"/>
  <c r="G1670" i="16" s="1"/>
  <c r="F1671" i="16"/>
  <c r="G1671" i="16" s="1"/>
  <c r="F1672" i="16"/>
  <c r="G1672" i="16" s="1"/>
  <c r="F1673" i="16"/>
  <c r="G1673" i="16" s="1"/>
  <c r="F1674" i="16"/>
  <c r="G1674" i="16" s="1"/>
  <c r="F1675" i="16"/>
  <c r="G1675" i="16" s="1"/>
  <c r="F1676" i="16"/>
  <c r="G1676" i="16" s="1"/>
  <c r="F1677" i="16"/>
  <c r="G1677" i="16" s="1"/>
  <c r="F1678" i="16"/>
  <c r="G1678" i="16" s="1"/>
  <c r="F1679" i="16"/>
  <c r="G1679" i="16" s="1"/>
  <c r="F1680" i="16"/>
  <c r="G1680" i="16" s="1"/>
  <c r="F1681" i="16"/>
  <c r="G1681" i="16" s="1"/>
  <c r="F1682" i="16"/>
  <c r="G1682" i="16" s="1"/>
  <c r="F1683" i="16"/>
  <c r="G1683" i="16" s="1"/>
  <c r="F1684" i="16"/>
  <c r="G1684" i="16" s="1"/>
  <c r="F1685" i="16"/>
  <c r="G1685" i="16" s="1"/>
  <c r="F1686" i="16"/>
  <c r="F1687" i="16"/>
  <c r="G1687" i="16" s="1"/>
  <c r="F1688" i="16"/>
  <c r="G1688" i="16" s="1"/>
  <c r="F1689" i="16"/>
  <c r="G1689" i="16" s="1"/>
  <c r="F1690" i="16"/>
  <c r="G1690" i="16" s="1"/>
  <c r="F1691" i="16"/>
  <c r="G1691" i="16" s="1"/>
  <c r="F1692" i="16"/>
  <c r="G1692" i="16" s="1"/>
  <c r="F1693" i="16"/>
  <c r="G1693" i="16" s="1"/>
  <c r="F1694" i="16"/>
  <c r="G1694" i="16" s="1"/>
  <c r="F1695" i="16"/>
  <c r="G1695" i="16" s="1"/>
  <c r="F1696" i="16"/>
  <c r="G1696" i="16" s="1"/>
  <c r="F1697" i="16"/>
  <c r="G1697" i="16" s="1"/>
  <c r="F1698" i="16"/>
  <c r="G1698" i="16" s="1"/>
  <c r="F1699" i="16"/>
  <c r="G1699" i="16" s="1"/>
  <c r="F1700" i="16"/>
  <c r="G1700" i="16" s="1"/>
  <c r="F1701" i="16"/>
  <c r="G1701" i="16" s="1"/>
  <c r="F1702" i="16"/>
  <c r="G1702" i="16" s="1"/>
  <c r="F1703" i="16"/>
  <c r="G1703" i="16" s="1"/>
  <c r="F1704" i="16"/>
  <c r="G1704" i="16" s="1"/>
  <c r="F1705" i="16"/>
  <c r="G1705" i="16" s="1"/>
  <c r="F1706" i="16"/>
  <c r="F1707" i="16"/>
  <c r="G1707" i="16" s="1"/>
  <c r="F1708" i="16"/>
  <c r="G1708" i="16" s="1"/>
  <c r="F1709" i="16"/>
  <c r="G1709" i="16" s="1"/>
  <c r="F1710" i="16"/>
  <c r="G1710" i="16" s="1"/>
  <c r="F1711" i="16"/>
  <c r="G1711" i="16" s="1"/>
  <c r="F1712" i="16"/>
  <c r="G1712" i="16" s="1"/>
  <c r="F1713" i="16"/>
  <c r="G1713" i="16" s="1"/>
  <c r="F1714" i="16"/>
  <c r="G1714" i="16" s="1"/>
  <c r="F1715" i="16"/>
  <c r="G1715" i="16" s="1"/>
  <c r="F1716" i="16"/>
  <c r="G1716" i="16" s="1"/>
  <c r="F1717" i="16"/>
  <c r="G1717" i="16" s="1"/>
  <c r="F1718" i="16"/>
  <c r="G1718" i="16" s="1"/>
  <c r="F1719" i="16"/>
  <c r="G1719" i="16" s="1"/>
  <c r="F1720" i="16"/>
  <c r="G1720" i="16" s="1"/>
  <c r="F1721" i="16"/>
  <c r="G1721" i="16" s="1"/>
  <c r="F1722" i="16"/>
  <c r="G1722" i="16" s="1"/>
  <c r="F1723" i="16"/>
  <c r="G1723" i="16" s="1"/>
  <c r="F1724" i="16"/>
  <c r="G1724" i="16" s="1"/>
  <c r="F1725" i="16"/>
  <c r="G1725" i="16" s="1"/>
  <c r="F1726" i="16"/>
  <c r="G1726" i="16" s="1"/>
  <c r="F1727" i="16"/>
  <c r="G1727" i="16" s="1"/>
  <c r="F1728" i="16"/>
  <c r="F1729" i="16"/>
  <c r="G1729" i="16" s="1"/>
  <c r="F1730" i="16"/>
  <c r="G1730" i="16" s="1"/>
  <c r="F1731" i="16"/>
  <c r="G1731" i="16" s="1"/>
  <c r="F1732" i="16"/>
  <c r="G1732" i="16" s="1"/>
  <c r="F1733" i="16"/>
  <c r="G1733" i="16" s="1"/>
  <c r="F1734" i="16"/>
  <c r="G1734" i="16" s="1"/>
  <c r="F1735" i="16"/>
  <c r="G1735" i="16" s="1"/>
  <c r="F1736" i="16"/>
  <c r="G1736" i="16" s="1"/>
  <c r="F1737" i="16"/>
  <c r="G1737" i="16" s="1"/>
  <c r="F1738" i="16"/>
  <c r="G1738" i="16" s="1"/>
  <c r="F1739" i="16"/>
  <c r="G1739" i="16" s="1"/>
  <c r="F1740" i="16"/>
  <c r="G1740" i="16" s="1"/>
  <c r="F1741" i="16"/>
  <c r="G1741" i="16" s="1"/>
  <c r="F1742" i="16"/>
  <c r="G1742" i="16" s="1"/>
  <c r="F1743" i="16"/>
  <c r="G1743" i="16" s="1"/>
  <c r="F1744" i="16"/>
  <c r="G1744" i="16" s="1"/>
  <c r="F1745" i="16"/>
  <c r="G1745" i="16" s="1"/>
  <c r="F1746" i="16"/>
  <c r="G1746" i="16" s="1"/>
  <c r="F1747" i="16"/>
  <c r="G1747" i="16" s="1"/>
  <c r="F1748" i="16"/>
  <c r="F1749" i="16"/>
  <c r="G1749" i="16" s="1"/>
  <c r="F1750" i="16"/>
  <c r="G1750" i="16" s="1"/>
  <c r="F1751" i="16"/>
  <c r="G1751" i="16" s="1"/>
  <c r="F1752" i="16"/>
  <c r="G1752" i="16" s="1"/>
  <c r="F1753" i="16"/>
  <c r="G1753" i="16" s="1"/>
  <c r="F1754" i="16"/>
  <c r="G1754" i="16" s="1"/>
  <c r="F1755" i="16"/>
  <c r="G1755" i="16" s="1"/>
  <c r="F1756" i="16"/>
  <c r="G1756" i="16" s="1"/>
  <c r="F1757" i="16"/>
  <c r="G1757" i="16" s="1"/>
  <c r="F1758" i="16"/>
  <c r="G1758" i="16" s="1"/>
  <c r="F1759" i="16"/>
  <c r="G1759" i="16" s="1"/>
  <c r="F1760" i="16"/>
  <c r="G1760" i="16" s="1"/>
  <c r="F1761" i="16"/>
  <c r="G1761" i="16" s="1"/>
  <c r="F1762" i="16"/>
  <c r="G1762" i="16" s="1"/>
  <c r="F1763" i="16"/>
  <c r="G1763" i="16" s="1"/>
  <c r="F1764" i="16"/>
  <c r="G1764" i="16" s="1"/>
  <c r="F1765" i="16"/>
  <c r="G1765" i="16" s="1"/>
  <c r="F1766" i="16"/>
  <c r="G1766" i="16" s="1"/>
  <c r="F1767" i="16"/>
  <c r="G1767" i="16" s="1"/>
  <c r="F1768" i="16"/>
  <c r="G1768" i="16" s="1"/>
  <c r="F1769" i="16"/>
  <c r="F1770" i="16"/>
  <c r="G1770" i="16" s="1"/>
  <c r="F1771" i="16"/>
  <c r="G1771" i="16" s="1"/>
  <c r="F1772" i="16"/>
  <c r="G1772" i="16" s="1"/>
  <c r="F1773" i="16"/>
  <c r="G1773" i="16" s="1"/>
  <c r="F1774" i="16"/>
  <c r="G1774" i="16" s="1"/>
  <c r="F1775" i="16"/>
  <c r="G1775" i="16" s="1"/>
  <c r="F1776" i="16"/>
  <c r="G1776" i="16" s="1"/>
  <c r="F1777" i="16"/>
  <c r="G1777" i="16" s="1"/>
  <c r="F1778" i="16"/>
  <c r="G1778" i="16" s="1"/>
  <c r="F1779" i="16"/>
  <c r="G1779" i="16" s="1"/>
  <c r="F1780" i="16"/>
  <c r="G1780" i="16" s="1"/>
  <c r="F1781" i="16"/>
  <c r="G1781" i="16" s="1"/>
  <c r="F1782" i="16"/>
  <c r="G1782" i="16" s="1"/>
  <c r="F1783" i="16"/>
  <c r="G1783" i="16" s="1"/>
  <c r="F1784" i="16"/>
  <c r="G1784" i="16" s="1"/>
  <c r="F1785" i="16"/>
  <c r="G1785" i="16" s="1"/>
  <c r="F1786" i="16"/>
  <c r="G1786" i="16" s="1"/>
  <c r="F1787" i="16"/>
  <c r="G1787" i="16" s="1"/>
  <c r="F1788" i="16"/>
  <c r="G1788" i="16" s="1"/>
  <c r="F1789" i="16"/>
  <c r="F1790" i="16"/>
  <c r="G1790" i="16" s="1"/>
  <c r="F1791" i="16"/>
  <c r="G1791" i="16" s="1"/>
  <c r="F1792" i="16"/>
  <c r="G1792" i="16" s="1"/>
  <c r="F1793" i="16"/>
  <c r="G1793" i="16" s="1"/>
  <c r="F1794" i="16"/>
  <c r="G1794" i="16" s="1"/>
  <c r="F1795" i="16"/>
  <c r="G1795" i="16" s="1"/>
  <c r="F1796" i="16"/>
  <c r="G1796" i="16" s="1"/>
  <c r="F1797" i="16"/>
  <c r="G1797" i="16" s="1"/>
  <c r="F1798" i="16"/>
  <c r="G1798" i="16" s="1"/>
  <c r="F1799" i="16"/>
  <c r="G1799" i="16" s="1"/>
  <c r="F1800" i="16"/>
  <c r="G1800" i="16" s="1"/>
  <c r="F1801" i="16"/>
  <c r="G1801" i="16" s="1"/>
  <c r="F1802" i="16"/>
  <c r="G1802" i="16" s="1"/>
  <c r="F1803" i="16"/>
  <c r="G1803" i="16" s="1"/>
  <c r="F1804" i="16"/>
  <c r="G1804" i="16" s="1"/>
  <c r="F1805" i="16"/>
  <c r="G1805" i="16" s="1"/>
  <c r="F1806" i="16"/>
  <c r="G1806" i="16" s="1"/>
  <c r="F1807" i="16"/>
  <c r="G1807" i="16" s="1"/>
  <c r="F1808" i="16"/>
  <c r="G1808" i="16" s="1"/>
  <c r="F1809" i="16"/>
  <c r="G1809" i="16" s="1"/>
  <c r="F1810" i="16"/>
  <c r="G1810" i="16" s="1"/>
  <c r="F1811" i="16"/>
  <c r="G1811" i="16" s="1"/>
  <c r="F1812" i="16"/>
  <c r="F1813" i="16"/>
  <c r="G1813" i="16" s="1"/>
  <c r="F1814" i="16"/>
  <c r="G1814" i="16" s="1"/>
  <c r="F1815" i="16"/>
  <c r="G1815" i="16" s="1"/>
  <c r="F1816" i="16"/>
  <c r="G1816" i="16" s="1"/>
  <c r="F1817" i="16"/>
  <c r="G1817" i="16" s="1"/>
  <c r="F1818" i="16"/>
  <c r="G1818" i="16" s="1"/>
  <c r="F1819" i="16"/>
  <c r="G1819" i="16" s="1"/>
  <c r="F1820" i="16"/>
  <c r="G1820" i="16" s="1"/>
  <c r="F1821" i="16"/>
  <c r="G1821" i="16" s="1"/>
  <c r="F1822" i="16"/>
  <c r="G1822" i="16" s="1"/>
  <c r="F1823" i="16"/>
  <c r="G1823" i="16" s="1"/>
  <c r="F1824" i="16"/>
  <c r="G1824" i="16" s="1"/>
  <c r="F1825" i="16"/>
  <c r="G1825" i="16" s="1"/>
  <c r="F1826" i="16"/>
  <c r="G1826" i="16" s="1"/>
  <c r="F1827" i="16"/>
  <c r="G1827" i="16" s="1"/>
  <c r="F1828" i="16"/>
  <c r="G1828" i="16" s="1"/>
  <c r="F1829" i="16"/>
  <c r="G1829" i="16" s="1"/>
  <c r="F1830" i="16"/>
  <c r="F1831" i="16"/>
  <c r="G1831" i="16" s="1"/>
  <c r="F1832" i="16"/>
  <c r="G1832" i="16" s="1"/>
  <c r="F1833" i="16"/>
  <c r="G1833" i="16" s="1"/>
  <c r="F1834" i="16"/>
  <c r="G1834" i="16" s="1"/>
  <c r="F1835" i="16"/>
  <c r="G1835" i="16" s="1"/>
  <c r="F1836" i="16"/>
  <c r="G1836" i="16" s="1"/>
  <c r="F1837" i="16"/>
  <c r="G1837" i="16" s="1"/>
  <c r="F1838" i="16"/>
  <c r="G1838" i="16" s="1"/>
  <c r="F1839" i="16"/>
  <c r="G1839" i="16" s="1"/>
  <c r="F1840" i="16"/>
  <c r="G1840" i="16" s="1"/>
  <c r="F1841" i="16"/>
  <c r="G1841" i="16" s="1"/>
  <c r="F1842" i="16"/>
  <c r="G1842" i="16" s="1"/>
  <c r="F1843" i="16"/>
  <c r="G1843" i="16" s="1"/>
  <c r="F1844" i="16"/>
  <c r="G1844" i="16" s="1"/>
  <c r="F1845" i="16"/>
  <c r="G1845" i="16" s="1"/>
  <c r="F1846" i="16"/>
  <c r="G1846" i="16" s="1"/>
  <c r="F1847" i="16"/>
  <c r="G1847" i="16" s="1"/>
  <c r="F1848" i="16"/>
  <c r="G1848" i="16" s="1"/>
  <c r="F1849" i="16"/>
  <c r="G1849" i="16" s="1"/>
  <c r="F1850" i="16"/>
  <c r="G1850" i="16" s="1"/>
  <c r="F1851" i="16"/>
  <c r="F1852" i="16"/>
  <c r="G1852" i="16" s="1"/>
  <c r="F1853" i="16"/>
  <c r="G1853" i="16" s="1"/>
  <c r="F1854" i="16"/>
  <c r="G1854" i="16" s="1"/>
  <c r="F1855" i="16"/>
  <c r="G1855" i="16" s="1"/>
  <c r="F1856" i="16"/>
  <c r="G1856" i="16" s="1"/>
  <c r="F1857" i="16"/>
  <c r="G1857" i="16" s="1"/>
  <c r="F1858" i="16"/>
  <c r="G1858" i="16" s="1"/>
  <c r="F1859" i="16"/>
  <c r="G1859" i="16" s="1"/>
  <c r="F1860" i="16"/>
  <c r="G1860" i="16" s="1"/>
  <c r="F1861" i="16"/>
  <c r="G1861" i="16" s="1"/>
  <c r="F1862" i="16"/>
  <c r="G1862" i="16" s="1"/>
  <c r="F1863" i="16"/>
  <c r="G1863" i="16" s="1"/>
  <c r="F1864" i="16"/>
  <c r="G1864" i="16" s="1"/>
  <c r="F1865" i="16"/>
  <c r="G1865" i="16" s="1"/>
  <c r="F1866" i="16"/>
  <c r="G1866" i="16" s="1"/>
  <c r="F1867" i="16"/>
  <c r="G1867" i="16" s="1"/>
  <c r="F1868" i="16"/>
  <c r="G1868" i="16" s="1"/>
  <c r="F1869" i="16"/>
  <c r="G1869" i="16" s="1"/>
  <c r="F1870" i="16"/>
  <c r="G1870" i="16" s="1"/>
  <c r="F1871" i="16"/>
  <c r="G1871" i="16" s="1"/>
  <c r="F1872" i="16"/>
  <c r="F1873" i="16"/>
  <c r="G1873" i="16" s="1"/>
  <c r="F1874" i="16"/>
  <c r="G1874" i="16" s="1"/>
  <c r="F1875" i="16"/>
  <c r="G1875" i="16" s="1"/>
  <c r="F1876" i="16"/>
  <c r="G1876" i="16" s="1"/>
  <c r="F1877" i="16"/>
  <c r="G1877" i="16" s="1"/>
  <c r="F1878" i="16"/>
  <c r="G1878" i="16" s="1"/>
  <c r="F1879" i="16"/>
  <c r="G1879" i="16" s="1"/>
  <c r="F1880" i="16"/>
  <c r="G1880" i="16" s="1"/>
  <c r="F1881" i="16"/>
  <c r="G1881" i="16" s="1"/>
  <c r="F1882" i="16"/>
  <c r="G1882" i="16" s="1"/>
  <c r="F1883" i="16"/>
  <c r="G1883" i="16" s="1"/>
  <c r="F1884" i="16"/>
  <c r="G1884" i="16" s="1"/>
  <c r="F1885" i="16"/>
  <c r="G1885" i="16" s="1"/>
  <c r="F1886" i="16"/>
  <c r="G1886" i="16" s="1"/>
  <c r="F1887" i="16"/>
  <c r="G1887" i="16" s="1"/>
  <c r="F1888" i="16"/>
  <c r="G1888" i="16" s="1"/>
  <c r="F1889" i="16"/>
  <c r="G1889" i="16" s="1"/>
  <c r="F1890" i="16"/>
  <c r="G1890" i="16" s="1"/>
  <c r="F1891" i="16"/>
  <c r="G1891" i="16" s="1"/>
  <c r="F1892" i="16"/>
  <c r="G1892" i="16" s="1"/>
  <c r="F1893" i="16"/>
  <c r="F1894" i="16"/>
  <c r="G1894" i="16" s="1"/>
  <c r="F1895" i="16"/>
  <c r="G1895" i="16" s="1"/>
  <c r="F1896" i="16"/>
  <c r="G1896" i="16" s="1"/>
  <c r="F1897" i="16"/>
  <c r="G1897" i="16" s="1"/>
  <c r="F1898" i="16"/>
  <c r="G1898" i="16" s="1"/>
  <c r="F1899" i="16"/>
  <c r="G1899" i="16" s="1"/>
  <c r="F1900" i="16"/>
  <c r="G1900" i="16" s="1"/>
  <c r="F1901" i="16"/>
  <c r="G1901" i="16" s="1"/>
  <c r="F1902" i="16"/>
  <c r="G1902" i="16" s="1"/>
  <c r="F1903" i="16"/>
  <c r="G1903" i="16" s="1"/>
  <c r="F1904" i="16"/>
  <c r="G1904" i="16" s="1"/>
  <c r="F1905" i="16"/>
  <c r="G1905" i="16" s="1"/>
  <c r="F1906" i="16"/>
  <c r="G1906" i="16" s="1"/>
  <c r="F1907" i="16"/>
  <c r="G1907" i="16" s="1"/>
  <c r="F1908" i="16"/>
  <c r="G1908" i="16" s="1"/>
  <c r="F1909" i="16"/>
  <c r="G1909" i="16" s="1"/>
  <c r="F1910" i="16"/>
  <c r="G1910" i="16" s="1"/>
  <c r="F1911" i="16"/>
  <c r="G1911" i="16" s="1"/>
  <c r="F1912" i="16"/>
  <c r="G1912" i="16" s="1"/>
  <c r="F1913" i="16"/>
  <c r="G1913" i="16" s="1"/>
  <c r="F1914" i="16"/>
  <c r="F1915" i="16"/>
  <c r="G1915" i="16" s="1"/>
  <c r="F1916" i="16"/>
  <c r="G1916" i="16" s="1"/>
  <c r="F1917" i="16"/>
  <c r="G1917" i="16" s="1"/>
  <c r="F1918" i="16"/>
  <c r="G1918" i="16" s="1"/>
  <c r="F1919" i="16"/>
  <c r="G1919" i="16" s="1"/>
  <c r="F1920" i="16"/>
  <c r="G1920" i="16" s="1"/>
  <c r="F1921" i="16"/>
  <c r="G1921" i="16" s="1"/>
  <c r="F1922" i="16"/>
  <c r="G1922" i="16" s="1"/>
  <c r="F1923" i="16"/>
  <c r="G1923" i="16" s="1"/>
  <c r="F1924" i="16"/>
  <c r="G1924" i="16" s="1"/>
  <c r="F1925" i="16"/>
  <c r="G1925" i="16" s="1"/>
  <c r="F1926" i="16"/>
  <c r="G1926" i="16" s="1"/>
  <c r="F1927" i="16"/>
  <c r="G1927" i="16" s="1"/>
  <c r="F1928" i="16"/>
  <c r="G1928" i="16" s="1"/>
  <c r="F1929" i="16"/>
  <c r="G1929" i="16" s="1"/>
  <c r="F1930" i="16"/>
  <c r="G1930" i="16" s="1"/>
  <c r="F1931" i="16"/>
  <c r="G1931" i="16" s="1"/>
  <c r="F1932" i="16"/>
  <c r="G1932" i="16" s="1"/>
  <c r="F1933" i="16"/>
  <c r="G1933" i="16" s="1"/>
  <c r="F1934" i="16"/>
  <c r="G1934" i="16" s="1"/>
  <c r="F1935" i="16"/>
  <c r="F1936" i="16"/>
  <c r="G1936" i="16" s="1"/>
  <c r="F1937" i="16"/>
  <c r="G1937" i="16" s="1"/>
  <c r="F1938" i="16"/>
  <c r="G1938" i="16" s="1"/>
  <c r="F1939" i="16"/>
  <c r="G1939" i="16" s="1"/>
  <c r="F1940" i="16"/>
  <c r="G1940" i="16" s="1"/>
  <c r="F1941" i="16"/>
  <c r="G1941" i="16" s="1"/>
  <c r="F1942" i="16"/>
  <c r="G1942" i="16" s="1"/>
  <c r="F1943" i="16"/>
  <c r="G1943" i="16" s="1"/>
  <c r="F1944" i="16"/>
  <c r="G1944" i="16" s="1"/>
  <c r="F1945" i="16"/>
  <c r="G1945" i="16" s="1"/>
  <c r="F1946" i="16"/>
  <c r="G1946" i="16" s="1"/>
  <c r="F1947" i="16"/>
  <c r="G1947" i="16" s="1"/>
  <c r="F1948" i="16"/>
  <c r="G1948" i="16" s="1"/>
  <c r="F1949" i="16"/>
  <c r="G1949" i="16" s="1"/>
  <c r="F1950" i="16"/>
  <c r="G1950" i="16" s="1"/>
  <c r="F1951" i="16"/>
  <c r="G1951" i="16" s="1"/>
  <c r="F1952" i="16"/>
  <c r="G1952" i="16" s="1"/>
  <c r="F1953" i="16"/>
  <c r="G1953" i="16" s="1"/>
  <c r="F1954" i="16"/>
  <c r="G1954" i="16" s="1"/>
  <c r="F1955" i="16"/>
  <c r="F1956" i="16"/>
  <c r="G1956" i="16" s="1"/>
  <c r="F1957" i="16"/>
  <c r="G1957" i="16" s="1"/>
  <c r="F1958" i="16"/>
  <c r="G1958" i="16" s="1"/>
  <c r="F1959" i="16"/>
  <c r="G1959" i="16" s="1"/>
  <c r="F1960" i="16"/>
  <c r="G1960" i="16" s="1"/>
  <c r="F1961" i="16"/>
  <c r="G1961" i="16" s="1"/>
  <c r="F1962" i="16"/>
  <c r="G1962" i="16" s="1"/>
  <c r="F1963" i="16"/>
  <c r="G1963" i="16" s="1"/>
  <c r="F1964" i="16"/>
  <c r="G1964" i="16" s="1"/>
  <c r="F1965" i="16"/>
  <c r="G1965" i="16" s="1"/>
  <c r="F1966" i="16"/>
  <c r="G1966" i="16" s="1"/>
  <c r="F1967" i="16"/>
  <c r="G1967" i="16" s="1"/>
  <c r="F1968" i="16"/>
  <c r="G1968" i="16" s="1"/>
  <c r="F1969" i="16"/>
  <c r="G1969" i="16" s="1"/>
  <c r="F1970" i="16"/>
  <c r="G1970" i="16" s="1"/>
  <c r="F1971" i="16"/>
  <c r="G1971" i="16" s="1"/>
  <c r="F1972" i="16"/>
  <c r="G1972" i="16" s="1"/>
  <c r="F1973" i="16"/>
  <c r="G1973" i="16" s="1"/>
  <c r="F1974" i="16"/>
  <c r="G1974" i="16" s="1"/>
  <c r="F1975" i="16"/>
  <c r="G1975" i="16" s="1"/>
  <c r="F1976" i="16"/>
  <c r="G1976" i="16" s="1"/>
  <c r="F1977" i="16"/>
  <c r="F1978" i="16"/>
  <c r="G1978" i="16" s="1"/>
  <c r="F1979" i="16"/>
  <c r="G1979" i="16" s="1"/>
  <c r="F1980" i="16"/>
  <c r="G1980" i="16" s="1"/>
  <c r="F1981" i="16"/>
  <c r="G1981" i="16" s="1"/>
  <c r="F1982" i="16"/>
  <c r="G1982" i="16" s="1"/>
  <c r="F1983" i="16"/>
  <c r="G1983" i="16" s="1"/>
  <c r="F1984" i="16"/>
  <c r="G1984" i="16" s="1"/>
  <c r="F1985" i="16"/>
  <c r="G1985" i="16" s="1"/>
  <c r="F1986" i="16"/>
  <c r="G1986" i="16" s="1"/>
  <c r="F1987" i="16"/>
  <c r="G1987" i="16" s="1"/>
  <c r="F1988" i="16"/>
  <c r="G1988" i="16" s="1"/>
  <c r="F1989" i="16"/>
  <c r="G1989" i="16" s="1"/>
  <c r="F1990" i="16"/>
  <c r="G1990" i="16" s="1"/>
  <c r="F1991" i="16"/>
  <c r="G1991" i="16" s="1"/>
  <c r="F1992" i="16"/>
  <c r="G1992" i="16" s="1"/>
  <c r="F1993" i="16"/>
  <c r="G1993" i="16" s="1"/>
  <c r="F1994" i="16"/>
  <c r="G1994" i="16" s="1"/>
  <c r="F1995" i="16"/>
  <c r="G1995" i="16" s="1"/>
  <c r="F1996" i="16"/>
  <c r="F1997" i="16"/>
  <c r="G1997" i="16" s="1"/>
  <c r="F1998" i="16"/>
  <c r="G1998" i="16" s="1"/>
  <c r="F1999" i="16"/>
  <c r="G1999" i="16" s="1"/>
  <c r="F2000" i="16"/>
  <c r="G2000" i="16" s="1"/>
  <c r="F2001" i="16"/>
  <c r="G2001" i="16" s="1"/>
  <c r="F2002" i="16"/>
  <c r="G2002" i="16" s="1"/>
  <c r="F2003" i="16"/>
  <c r="G2003" i="16" s="1"/>
  <c r="F2004" i="16"/>
  <c r="G2004" i="16" s="1"/>
  <c r="F2005" i="16"/>
  <c r="G2005" i="16" s="1"/>
  <c r="F2006" i="16"/>
  <c r="G2006" i="16" s="1"/>
  <c r="F2007" i="16"/>
  <c r="G2007" i="16" s="1"/>
  <c r="F2008" i="16"/>
  <c r="G2008" i="16" s="1"/>
  <c r="F2009" i="16"/>
  <c r="G2009" i="16" s="1"/>
  <c r="F2010" i="16"/>
  <c r="G2010" i="16" s="1"/>
  <c r="F2011" i="16"/>
  <c r="G2011" i="16" s="1"/>
  <c r="F2012" i="16"/>
  <c r="G2012" i="16" s="1"/>
  <c r="F2013" i="16"/>
  <c r="G2013" i="16" s="1"/>
  <c r="F2014" i="16"/>
  <c r="G2014" i="16" s="1"/>
  <c r="F2015" i="16"/>
  <c r="G2015" i="16" s="1"/>
  <c r="F2016" i="16"/>
  <c r="G2016" i="16" s="1"/>
  <c r="F2017" i="16"/>
  <c r="G2017" i="16" s="1"/>
  <c r="F2018" i="16"/>
  <c r="F2019" i="16"/>
  <c r="G2019" i="16" s="1"/>
  <c r="F2020" i="16"/>
  <c r="G2020" i="16" s="1"/>
  <c r="F2021" i="16"/>
  <c r="G2021" i="16" s="1"/>
  <c r="F2022" i="16"/>
  <c r="G2022" i="16" s="1"/>
  <c r="F2023" i="16"/>
  <c r="G2023" i="16" s="1"/>
  <c r="F2024" i="16"/>
  <c r="G2024" i="16" s="1"/>
  <c r="F2025" i="16"/>
  <c r="G2025" i="16" s="1"/>
  <c r="F2026" i="16"/>
  <c r="G2026" i="16" s="1"/>
  <c r="F2027" i="16"/>
  <c r="G2027" i="16" s="1"/>
  <c r="F2028" i="16"/>
  <c r="G2028" i="16" s="1"/>
  <c r="F2029" i="16"/>
  <c r="G2029" i="16" s="1"/>
  <c r="F2030" i="16"/>
  <c r="G2030" i="16" s="1"/>
  <c r="F2031" i="16"/>
  <c r="G2031" i="16" s="1"/>
  <c r="F2032" i="16"/>
  <c r="G2032" i="16" s="1"/>
  <c r="F2033" i="16"/>
  <c r="G2033" i="16" s="1"/>
  <c r="F2034" i="16"/>
  <c r="G2034" i="16" s="1"/>
  <c r="F2035" i="16"/>
  <c r="G2035" i="16" s="1"/>
  <c r="F2036" i="16"/>
  <c r="G2036" i="16" s="1"/>
  <c r="F2037" i="16"/>
  <c r="G2037" i="16" s="1"/>
  <c r="F2038" i="16"/>
  <c r="F2039" i="16"/>
  <c r="G2039" i="16" s="1"/>
  <c r="F2040" i="16"/>
  <c r="G2040" i="16" s="1"/>
  <c r="F2041" i="16"/>
  <c r="G2041" i="16" s="1"/>
  <c r="F2042" i="16"/>
  <c r="G2042" i="16" s="1"/>
  <c r="F2043" i="16"/>
  <c r="G2043" i="16" s="1"/>
  <c r="F2044" i="16"/>
  <c r="G2044" i="16" s="1"/>
  <c r="F2045" i="16"/>
  <c r="G2045" i="16" s="1"/>
  <c r="F2046" i="16"/>
  <c r="G2046" i="16" s="1"/>
  <c r="F2047" i="16"/>
  <c r="G2047" i="16" s="1"/>
  <c r="F2048" i="16"/>
  <c r="G2048" i="16" s="1"/>
  <c r="F2049" i="16"/>
  <c r="G2049" i="16" s="1"/>
  <c r="F2050" i="16"/>
  <c r="G2050" i="16" s="1"/>
  <c r="F2051" i="16"/>
  <c r="G2051" i="16" s="1"/>
  <c r="F2052" i="16"/>
  <c r="G2052" i="16" s="1"/>
  <c r="F2053" i="16"/>
  <c r="G2053" i="16" s="1"/>
  <c r="F2054" i="16"/>
  <c r="G2054" i="16" s="1"/>
  <c r="F2055" i="16"/>
  <c r="G2055" i="16" s="1"/>
  <c r="F2056" i="16"/>
  <c r="G2056" i="16" s="1"/>
  <c r="F2057" i="16"/>
  <c r="G2057" i="16" s="1"/>
  <c r="F2058" i="16"/>
  <c r="G2058" i="16" s="1"/>
  <c r="F2059" i="16"/>
  <c r="F2060" i="16"/>
  <c r="G2060" i="16" s="1"/>
  <c r="F2061" i="16"/>
  <c r="G2061" i="16" s="1"/>
  <c r="F2062" i="16"/>
  <c r="G2062" i="16" s="1"/>
  <c r="F2063" i="16"/>
  <c r="G2063" i="16" s="1"/>
  <c r="F2064" i="16"/>
  <c r="G2064" i="16" s="1"/>
  <c r="F2065" i="16"/>
  <c r="G2065" i="16" s="1"/>
  <c r="F2066" i="16"/>
  <c r="G2066" i="16" s="1"/>
  <c r="F2067" i="16"/>
  <c r="G2067" i="16" s="1"/>
  <c r="F2068" i="16"/>
  <c r="G2068" i="16" s="1"/>
  <c r="F2069" i="16"/>
  <c r="G2069" i="16" s="1"/>
  <c r="F2070" i="16"/>
  <c r="G2070" i="16" s="1"/>
  <c r="F2071" i="16"/>
  <c r="G2071" i="16" s="1"/>
  <c r="F2072" i="16"/>
  <c r="G2072" i="16" s="1"/>
  <c r="F2073" i="16"/>
  <c r="G2073" i="16" s="1"/>
  <c r="F2074" i="16"/>
  <c r="G2074" i="16" s="1"/>
  <c r="F2075" i="16"/>
  <c r="G2075" i="16" s="1"/>
  <c r="F2076" i="16"/>
  <c r="G2076" i="16" s="1"/>
  <c r="F2077" i="16"/>
  <c r="G2077" i="16" s="1"/>
  <c r="F2078" i="16"/>
  <c r="G2078" i="16" s="1"/>
  <c r="F2079" i="16"/>
  <c r="F2080" i="16"/>
  <c r="G2080" i="16" s="1"/>
  <c r="F2081" i="16"/>
  <c r="G2081" i="16" s="1"/>
  <c r="F2082" i="16"/>
  <c r="G2082" i="16" s="1"/>
  <c r="F2083" i="16"/>
  <c r="G2083" i="16" s="1"/>
  <c r="F2084" i="16"/>
  <c r="G2084" i="16" s="1"/>
  <c r="F2085" i="16"/>
  <c r="G2085" i="16" s="1"/>
  <c r="F2086" i="16"/>
  <c r="G2086" i="16" s="1"/>
  <c r="F2087" i="16"/>
  <c r="G2087" i="16" s="1"/>
  <c r="F2088" i="16"/>
  <c r="G2088" i="16" s="1"/>
  <c r="F2089" i="16"/>
  <c r="G2089" i="16" s="1"/>
  <c r="F2090" i="16"/>
  <c r="G2090" i="16" s="1"/>
  <c r="F2091" i="16"/>
  <c r="G2091" i="16" s="1"/>
  <c r="F2092" i="16"/>
  <c r="G2092" i="16" s="1"/>
  <c r="F2093" i="16"/>
  <c r="G2093" i="16" s="1"/>
  <c r="F2094" i="16"/>
  <c r="G2094" i="16" s="1"/>
  <c r="F2095" i="16"/>
  <c r="G2095" i="16" s="1"/>
  <c r="F2096" i="16"/>
  <c r="G2096" i="16" s="1"/>
  <c r="F2097" i="16"/>
  <c r="G2097" i="16" s="1"/>
  <c r="F2098" i="16"/>
  <c r="F2099" i="16"/>
  <c r="G2099" i="16" s="1"/>
  <c r="F2100" i="16"/>
  <c r="G2100" i="16" s="1"/>
  <c r="F2101" i="16"/>
  <c r="G2101" i="16" s="1"/>
  <c r="F2102" i="16"/>
  <c r="G2102" i="16" s="1"/>
  <c r="F2103" i="16"/>
  <c r="G2103" i="16" s="1"/>
  <c r="F2104" i="16"/>
  <c r="G2104" i="16" s="1"/>
  <c r="F2105" i="16"/>
  <c r="G2105" i="16" s="1"/>
  <c r="F2106" i="16"/>
  <c r="G2106" i="16" s="1"/>
  <c r="F2107" i="16"/>
  <c r="G2107" i="16" s="1"/>
  <c r="F2108" i="16"/>
  <c r="G2108" i="16" s="1"/>
  <c r="F2109" i="16"/>
  <c r="G2109" i="16" s="1"/>
  <c r="F2110" i="16"/>
  <c r="G2110" i="16" s="1"/>
  <c r="F2111" i="16"/>
  <c r="G2111" i="16" s="1"/>
  <c r="F2112" i="16"/>
  <c r="G2112" i="16" s="1"/>
  <c r="F2113" i="16"/>
  <c r="G2113" i="16" s="1"/>
  <c r="F2114" i="16"/>
  <c r="G2114" i="16" s="1"/>
  <c r="F2115" i="16"/>
  <c r="G2115" i="16" s="1"/>
  <c r="F2116" i="16"/>
  <c r="G2116" i="16" s="1"/>
  <c r="F2117" i="16"/>
  <c r="G2117" i="16" s="1"/>
  <c r="F2118" i="16"/>
  <c r="G2118" i="16" s="1"/>
  <c r="F2119" i="16"/>
  <c r="F2120" i="16"/>
  <c r="G2120" i="16" s="1"/>
  <c r="F2121" i="16"/>
  <c r="G2121" i="16" s="1"/>
  <c r="F2122" i="16"/>
  <c r="G2122" i="16" s="1"/>
  <c r="F2123" i="16"/>
  <c r="G2123" i="16" s="1"/>
  <c r="F2124" i="16"/>
  <c r="G2124" i="16" s="1"/>
  <c r="F2125" i="16"/>
  <c r="G2125" i="16" s="1"/>
  <c r="F2126" i="16"/>
  <c r="G2126" i="16" s="1"/>
  <c r="F2127" i="16"/>
  <c r="G2127" i="16" s="1"/>
  <c r="F2128" i="16"/>
  <c r="G2128" i="16" s="1"/>
  <c r="F2129" i="16"/>
  <c r="G2129" i="16" s="1"/>
  <c r="F2130" i="16"/>
  <c r="G2130" i="16" s="1"/>
  <c r="F2131" i="16"/>
  <c r="G2131" i="16" s="1"/>
  <c r="F2132" i="16"/>
  <c r="G2132" i="16" s="1"/>
  <c r="F2133" i="16"/>
  <c r="G2133" i="16" s="1"/>
  <c r="F2134" i="16"/>
  <c r="G2134" i="16" s="1"/>
  <c r="F2135" i="16"/>
  <c r="G2135" i="16" s="1"/>
  <c r="F2136" i="16"/>
  <c r="G2136" i="16" s="1"/>
  <c r="F2137" i="16"/>
  <c r="G2137" i="16" s="1"/>
  <c r="F2138" i="16"/>
  <c r="G2138" i="16" s="1"/>
  <c r="F2139" i="16"/>
  <c r="G2139" i="16" s="1"/>
  <c r="F2140" i="16"/>
  <c r="G2140" i="16" s="1"/>
  <c r="F2141" i="16"/>
  <c r="F2142" i="16"/>
  <c r="G2142" i="16" s="1"/>
  <c r="F2143" i="16"/>
  <c r="G2143" i="16" s="1"/>
  <c r="F2144" i="16"/>
  <c r="G2144" i="16" s="1"/>
  <c r="F2145" i="16"/>
  <c r="G2145" i="16" s="1"/>
  <c r="F2146" i="16"/>
  <c r="G2146" i="16" s="1"/>
  <c r="F2147" i="16"/>
  <c r="G2147" i="16" s="1"/>
  <c r="F2148" i="16"/>
  <c r="G2148" i="16" s="1"/>
  <c r="F2149" i="16"/>
  <c r="G2149" i="16" s="1"/>
  <c r="F2150" i="16"/>
  <c r="G2150" i="16" s="1"/>
  <c r="F2151" i="16"/>
  <c r="G2151" i="16" s="1"/>
  <c r="F2152" i="16"/>
  <c r="G2152" i="16" s="1"/>
  <c r="F2153" i="16"/>
  <c r="G2153" i="16" s="1"/>
  <c r="F2154" i="16"/>
  <c r="G2154" i="16" s="1"/>
  <c r="F2155" i="16"/>
  <c r="G2155" i="16" s="1"/>
  <c r="F2156" i="16"/>
  <c r="G2156" i="16" s="1"/>
  <c r="F2157" i="16"/>
  <c r="G2157" i="16" s="1"/>
  <c r="F2158" i="16"/>
  <c r="G2158" i="16" s="1"/>
  <c r="F2159" i="16"/>
  <c r="G2159" i="16" s="1"/>
  <c r="F2160" i="16"/>
  <c r="G2160" i="16" s="1"/>
  <c r="F2161" i="16"/>
  <c r="G2161" i="16" s="1"/>
  <c r="F2162" i="16"/>
  <c r="F2163" i="16"/>
  <c r="G2163" i="16" s="1"/>
  <c r="F2164" i="16"/>
  <c r="G2164" i="16" s="1"/>
  <c r="F2165" i="16"/>
  <c r="G2165" i="16" s="1"/>
  <c r="F2166" i="16"/>
  <c r="G2166" i="16" s="1"/>
  <c r="F2167" i="16"/>
  <c r="G2167" i="16" s="1"/>
  <c r="F2168" i="16"/>
  <c r="G2168" i="16" s="1"/>
  <c r="F2169" i="16"/>
  <c r="G2169" i="16" s="1"/>
  <c r="F2170" i="16"/>
  <c r="G2170" i="16" s="1"/>
  <c r="F2171" i="16"/>
  <c r="G2171" i="16" s="1"/>
  <c r="F2172" i="16"/>
  <c r="G2172" i="16" s="1"/>
  <c r="F2173" i="16"/>
  <c r="G2173" i="16" s="1"/>
  <c r="F2174" i="16"/>
  <c r="G2174" i="16" s="1"/>
  <c r="F2175" i="16"/>
  <c r="G2175" i="16" s="1"/>
  <c r="F2176" i="16"/>
  <c r="G2176" i="16" s="1"/>
  <c r="F2177" i="16"/>
  <c r="G2177" i="16" s="1"/>
  <c r="F2178" i="16"/>
  <c r="G2178" i="16" s="1"/>
  <c r="F2179" i="16"/>
  <c r="G2179" i="16" s="1"/>
  <c r="F2180" i="16"/>
  <c r="G2180" i="16" s="1"/>
  <c r="F2181" i="16"/>
  <c r="G2181" i="16" s="1"/>
  <c r="F2182" i="16"/>
  <c r="F2183" i="16"/>
  <c r="G2183" i="16" s="1"/>
  <c r="F2184" i="16"/>
  <c r="G2184" i="16" s="1"/>
  <c r="F2185" i="16"/>
  <c r="G2185" i="16" s="1"/>
  <c r="F2186" i="16"/>
  <c r="G2186" i="16" s="1"/>
  <c r="F2187" i="16"/>
  <c r="G2187" i="16" s="1"/>
  <c r="F2188" i="16"/>
  <c r="G2188" i="16" s="1"/>
  <c r="F2189" i="16"/>
  <c r="G2189" i="16" s="1"/>
  <c r="F2190" i="16"/>
  <c r="G2190" i="16" s="1"/>
  <c r="F2191" i="16"/>
  <c r="G2191" i="16" s="1"/>
  <c r="F2192" i="16"/>
  <c r="G2192" i="16" s="1"/>
  <c r="F2193" i="16"/>
  <c r="G2193" i="16" s="1"/>
  <c r="F2194" i="16"/>
  <c r="G2194" i="16" s="1"/>
  <c r="F2195" i="16"/>
  <c r="G2195" i="16" s="1"/>
  <c r="F2196" i="16"/>
  <c r="G2196" i="16" s="1"/>
  <c r="F2197" i="16"/>
  <c r="G2197" i="16" s="1"/>
  <c r="F2198" i="16"/>
  <c r="G2198" i="16" s="1"/>
  <c r="F2199" i="16"/>
  <c r="G2199" i="16" s="1"/>
  <c r="F2200" i="16"/>
  <c r="G2200" i="16" s="1"/>
  <c r="F2201" i="16"/>
  <c r="G2201" i="16" s="1"/>
  <c r="F2202" i="16"/>
  <c r="G2202" i="16" s="1"/>
  <c r="F2203" i="16"/>
  <c r="G2203" i="16" s="1"/>
  <c r="F2204" i="16"/>
  <c r="F2205" i="16"/>
  <c r="G2205" i="16" s="1"/>
  <c r="F2206" i="16"/>
  <c r="G2206" i="16" s="1"/>
  <c r="F2207" i="16"/>
  <c r="G2207" i="16" s="1"/>
  <c r="F2208" i="16"/>
  <c r="G2208" i="16" s="1"/>
  <c r="F2209" i="16"/>
  <c r="G2209" i="16" s="1"/>
  <c r="F2210" i="16"/>
  <c r="G2210" i="16" s="1"/>
  <c r="F2211" i="16"/>
  <c r="G2211" i="16" s="1"/>
  <c r="F2212" i="16"/>
  <c r="G2212" i="16" s="1"/>
  <c r="F2213" i="16"/>
  <c r="G2213" i="16" s="1"/>
  <c r="F2214" i="16"/>
  <c r="G2214" i="16" s="1"/>
  <c r="F2215" i="16"/>
  <c r="G2215" i="16" s="1"/>
  <c r="F2216" i="16"/>
  <c r="G2216" i="16" s="1"/>
  <c r="F2217" i="16"/>
  <c r="G2217" i="16" s="1"/>
  <c r="F2218" i="16"/>
  <c r="G2218" i="16" s="1"/>
  <c r="F2219" i="16"/>
  <c r="G2219" i="16" s="1"/>
  <c r="F2220" i="16"/>
  <c r="G2220" i="16" s="1"/>
  <c r="F2221" i="16"/>
  <c r="G2221" i="16" s="1"/>
  <c r="F2222" i="16"/>
  <c r="G2222" i="16" s="1"/>
  <c r="F2223" i="16"/>
  <c r="G2223" i="16" s="1"/>
  <c r="F2224" i="16"/>
  <c r="G2224" i="16" s="1"/>
  <c r="F2225" i="16"/>
  <c r="G2225" i="16" s="1"/>
  <c r="F2226" i="16"/>
  <c r="F2227" i="16"/>
  <c r="G2227" i="16" s="1"/>
  <c r="F2228" i="16"/>
  <c r="G2228" i="16" s="1"/>
  <c r="F2229" i="16"/>
  <c r="G2229" i="16" s="1"/>
  <c r="F2230" i="16"/>
  <c r="G2230" i="16" s="1"/>
  <c r="F2231" i="16"/>
  <c r="G2231" i="16" s="1"/>
  <c r="F2232" i="16"/>
  <c r="G2232" i="16" s="1"/>
  <c r="F2233" i="16"/>
  <c r="G2233" i="16" s="1"/>
  <c r="F2234" i="16"/>
  <c r="G2234" i="16" s="1"/>
  <c r="F2235" i="16"/>
  <c r="G2235" i="16" s="1"/>
  <c r="F2236" i="16"/>
  <c r="G2236" i="16" s="1"/>
  <c r="F2237" i="16"/>
  <c r="G2237" i="16" s="1"/>
  <c r="F2238" i="16"/>
  <c r="G2238" i="16" s="1"/>
  <c r="F2239" i="16"/>
  <c r="G2239" i="16" s="1"/>
  <c r="F2240" i="16"/>
  <c r="G2240" i="16" s="1"/>
  <c r="F2241" i="16"/>
  <c r="G2241" i="16" s="1"/>
  <c r="F2242" i="16"/>
  <c r="G2242" i="16" s="1"/>
  <c r="F2243" i="16"/>
  <c r="F2244" i="16"/>
  <c r="G2244" i="16" s="1"/>
  <c r="F2245" i="16"/>
  <c r="G2245" i="16" s="1"/>
  <c r="F2246" i="16"/>
  <c r="G2246" i="16" s="1"/>
  <c r="F2247" i="16"/>
  <c r="G2247" i="16" s="1"/>
  <c r="F2248" i="16"/>
  <c r="G2248" i="16" s="1"/>
  <c r="F2249" i="16"/>
  <c r="G2249" i="16" s="1"/>
  <c r="F2250" i="16"/>
  <c r="G2250" i="16" s="1"/>
  <c r="F2251" i="16"/>
  <c r="G2251" i="16" s="1"/>
  <c r="F2252" i="16"/>
  <c r="G2252" i="16" s="1"/>
  <c r="F2253" i="16"/>
  <c r="G2253" i="16" s="1"/>
  <c r="F2254" i="16"/>
  <c r="G2254" i="16" s="1"/>
  <c r="F2255" i="16"/>
  <c r="G2255" i="16" s="1"/>
  <c r="F2256" i="16"/>
  <c r="G2256" i="16" s="1"/>
  <c r="F2257" i="16"/>
  <c r="G2257" i="16" s="1"/>
  <c r="F2258" i="16"/>
  <c r="G2258" i="16" s="1"/>
  <c r="F2259" i="16"/>
  <c r="G2259" i="16" s="1"/>
  <c r="F2260" i="16"/>
  <c r="G2260" i="16" s="1"/>
  <c r="F2261" i="16"/>
  <c r="G2261" i="16" s="1"/>
  <c r="F2262" i="16"/>
  <c r="G2262" i="16" s="1"/>
  <c r="F2263" i="16"/>
  <c r="G2263" i="16" s="1"/>
  <c r="F2264" i="16"/>
  <c r="G2264" i="16" s="1"/>
  <c r="F2265" i="16"/>
  <c r="F2266" i="16"/>
  <c r="G2266" i="16" s="1"/>
  <c r="F2267" i="16"/>
  <c r="G2267" i="16" s="1"/>
  <c r="F2268" i="16"/>
  <c r="G2268" i="16" s="1"/>
  <c r="F2269" i="16"/>
  <c r="G2269" i="16" s="1"/>
  <c r="F2270" i="16"/>
  <c r="G2270" i="16" s="1"/>
  <c r="F2271" i="16"/>
  <c r="G2271" i="16" s="1"/>
  <c r="F2272" i="16"/>
  <c r="G2272" i="16" s="1"/>
  <c r="F2273" i="16"/>
  <c r="G2273" i="16" s="1"/>
  <c r="F2274" i="16"/>
  <c r="G2274" i="16" s="1"/>
  <c r="F2275" i="16"/>
  <c r="G2275" i="16" s="1"/>
  <c r="F2276" i="16"/>
  <c r="G2276" i="16" s="1"/>
  <c r="F2277" i="16"/>
  <c r="G2277" i="16" s="1"/>
  <c r="F2278" i="16"/>
  <c r="G2278" i="16" s="1"/>
  <c r="F2279" i="16"/>
  <c r="G2279" i="16" s="1"/>
  <c r="F2280" i="16"/>
  <c r="G2280" i="16" s="1"/>
  <c r="F2281" i="16"/>
  <c r="G2281" i="16" s="1"/>
  <c r="F2282" i="16"/>
  <c r="G2282" i="16" s="1"/>
  <c r="F2283" i="16"/>
  <c r="G2283" i="16" s="1"/>
  <c r="F2284" i="16"/>
  <c r="G2284" i="16" s="1"/>
  <c r="F2285" i="16"/>
  <c r="F2286" i="16"/>
  <c r="G2286" i="16" s="1"/>
  <c r="F2287" i="16"/>
  <c r="G2287" i="16" s="1"/>
  <c r="F2288" i="16"/>
  <c r="G2288" i="16" s="1"/>
  <c r="F2289" i="16"/>
  <c r="G2289" i="16" s="1"/>
  <c r="F2290" i="16"/>
  <c r="G2290" i="16" s="1"/>
  <c r="F2291" i="16"/>
  <c r="G2291" i="16" s="1"/>
  <c r="F2292" i="16"/>
  <c r="G2292" i="16" s="1"/>
  <c r="F2293" i="16"/>
  <c r="G2293" i="16" s="1"/>
  <c r="F2294" i="16"/>
  <c r="G2294" i="16" s="1"/>
  <c r="F2295" i="16"/>
  <c r="G2295" i="16" s="1"/>
  <c r="F2296" i="16"/>
  <c r="G2296" i="16" s="1"/>
  <c r="F2297" i="16"/>
  <c r="G2297" i="16" s="1"/>
  <c r="F2298" i="16"/>
  <c r="G2298" i="16" s="1"/>
  <c r="F2299" i="16"/>
  <c r="G2299" i="16" s="1"/>
  <c r="F2300" i="16"/>
  <c r="G2300" i="16" s="1"/>
  <c r="F2301" i="16"/>
  <c r="G2301" i="16" s="1"/>
  <c r="F2302" i="16"/>
  <c r="G2302" i="16" s="1"/>
  <c r="F2303" i="16"/>
  <c r="G2303" i="16" s="1"/>
  <c r="F2304" i="16"/>
  <c r="G2304" i="16" s="1"/>
  <c r="F2305" i="16"/>
  <c r="G2305" i="16" s="1"/>
  <c r="F2306" i="16"/>
  <c r="F2307" i="16"/>
  <c r="G2307" i="16" s="1"/>
  <c r="F2308" i="16"/>
  <c r="G2308" i="16" s="1"/>
  <c r="F2309" i="16"/>
  <c r="G2309" i="16" s="1"/>
  <c r="F2310" i="16"/>
  <c r="G2310" i="16" s="1"/>
  <c r="F2311" i="16"/>
  <c r="G2311" i="16" s="1"/>
  <c r="F2312" i="16"/>
  <c r="G2312" i="16" s="1"/>
  <c r="F2313" i="16"/>
  <c r="G2313" i="16" s="1"/>
  <c r="F2314" i="16"/>
  <c r="G2314" i="16" s="1"/>
  <c r="F2315" i="16"/>
  <c r="G2315" i="16" s="1"/>
  <c r="F2316" i="16"/>
  <c r="G2316" i="16" s="1"/>
  <c r="F2317" i="16"/>
  <c r="G2317" i="16" s="1"/>
  <c r="F2318" i="16"/>
  <c r="G2318" i="16" s="1"/>
  <c r="F2319" i="16"/>
  <c r="G2319" i="16" s="1"/>
  <c r="F2320" i="16"/>
  <c r="G2320" i="16" s="1"/>
  <c r="F2321" i="16"/>
  <c r="G2321" i="16" s="1"/>
  <c r="F2322" i="16"/>
  <c r="G2322" i="16" s="1"/>
  <c r="F2323" i="16"/>
  <c r="G2323" i="16" s="1"/>
  <c r="F2324" i="16"/>
  <c r="G2324" i="16" s="1"/>
  <c r="F2325" i="16"/>
  <c r="G2325" i="16" s="1"/>
  <c r="F2326" i="16"/>
  <c r="F2327" i="16"/>
  <c r="G2327" i="16" s="1"/>
  <c r="F2328" i="16"/>
  <c r="G2328" i="16" s="1"/>
  <c r="F2329" i="16"/>
  <c r="G2329" i="16" s="1"/>
  <c r="F2330" i="16"/>
  <c r="G2330" i="16" s="1"/>
  <c r="F2331" i="16"/>
  <c r="G2331" i="16" s="1"/>
  <c r="F2332" i="16"/>
  <c r="G2332" i="16" s="1"/>
  <c r="F2333" i="16"/>
  <c r="G2333" i="16" s="1"/>
  <c r="F2334" i="16"/>
  <c r="G2334" i="16" s="1"/>
  <c r="F2335" i="16"/>
  <c r="G2335" i="16" s="1"/>
  <c r="F2336" i="16"/>
  <c r="G2336" i="16" s="1"/>
  <c r="F2337" i="16"/>
  <c r="G2337" i="16" s="1"/>
  <c r="F2338" i="16"/>
  <c r="G2338" i="16" s="1"/>
  <c r="F2339" i="16"/>
  <c r="G2339" i="16" s="1"/>
  <c r="F2340" i="16"/>
  <c r="G2340" i="16" s="1"/>
  <c r="F2341" i="16"/>
  <c r="G2341" i="16" s="1"/>
  <c r="F2342" i="16"/>
  <c r="G2342" i="16" s="1"/>
  <c r="F2343" i="16"/>
  <c r="G2343" i="16" s="1"/>
  <c r="F2344" i="16"/>
  <c r="G2344" i="16" s="1"/>
  <c r="F2345" i="16"/>
  <c r="G2345" i="16" s="1"/>
  <c r="F2346" i="16"/>
  <c r="F2347" i="16"/>
  <c r="G2347" i="16" s="1"/>
  <c r="F2348" i="16"/>
  <c r="G2348" i="16" s="1"/>
  <c r="F2349" i="16"/>
  <c r="G2349" i="16" s="1"/>
  <c r="F2350" i="16"/>
  <c r="G2350" i="16" s="1"/>
  <c r="F2351" i="16"/>
  <c r="G2351" i="16" s="1"/>
  <c r="F2352" i="16"/>
  <c r="G2352" i="16" s="1"/>
  <c r="F2353" i="16"/>
  <c r="G2353" i="16" s="1"/>
  <c r="F2354" i="16"/>
  <c r="G2354" i="16" s="1"/>
  <c r="F2355" i="16"/>
  <c r="G2355" i="16" s="1"/>
  <c r="F2356" i="16"/>
  <c r="G2356" i="16" s="1"/>
  <c r="F2357" i="16"/>
  <c r="G2357" i="16" s="1"/>
  <c r="F2358" i="16"/>
  <c r="G2358" i="16" s="1"/>
  <c r="F2359" i="16"/>
  <c r="G2359" i="16" s="1"/>
  <c r="F2360" i="16"/>
  <c r="G2360" i="16" s="1"/>
  <c r="F2361" i="16"/>
  <c r="G2361" i="16" s="1"/>
  <c r="F2362" i="16"/>
  <c r="G2362" i="16" s="1"/>
  <c r="F2363" i="16"/>
  <c r="G2363" i="16" s="1"/>
  <c r="F2364" i="16"/>
  <c r="G2364" i="16" s="1"/>
  <c r="F2365" i="16"/>
  <c r="F2366" i="16"/>
  <c r="G2366" i="16" s="1"/>
  <c r="F2367" i="16"/>
  <c r="G2367" i="16" s="1"/>
  <c r="F2368" i="16"/>
  <c r="G2368" i="16" s="1"/>
  <c r="F2369" i="16"/>
  <c r="G2369" i="16" s="1"/>
  <c r="F2370" i="16"/>
  <c r="G2370" i="16" s="1"/>
  <c r="F2371" i="16"/>
  <c r="G2371" i="16" s="1"/>
  <c r="F2372" i="16"/>
  <c r="G2372" i="16" s="1"/>
  <c r="F2373" i="16"/>
  <c r="G2373" i="16" s="1"/>
  <c r="F2374" i="16"/>
  <c r="G2374" i="16" s="1"/>
  <c r="F2375" i="16"/>
  <c r="G2375" i="16" s="1"/>
  <c r="F2376" i="16"/>
  <c r="G2376" i="16" s="1"/>
  <c r="F2377" i="16"/>
  <c r="G2377" i="16" s="1"/>
  <c r="F2378" i="16"/>
  <c r="G2378" i="16" s="1"/>
  <c r="F2379" i="16"/>
  <c r="G2379" i="16" s="1"/>
  <c r="F2380" i="16"/>
  <c r="G2380" i="16" s="1"/>
  <c r="F2381" i="16"/>
  <c r="G2381" i="16" s="1"/>
  <c r="F2382" i="16"/>
  <c r="G2382" i="16" s="1"/>
  <c r="F2383" i="16"/>
  <c r="G2383" i="16" s="1"/>
  <c r="F2384" i="16"/>
  <c r="G2384" i="16" s="1"/>
  <c r="F2385" i="16"/>
  <c r="G2385" i="16" s="1"/>
  <c r="F2386" i="16"/>
  <c r="G2386" i="16" s="1"/>
  <c r="F2387" i="16"/>
  <c r="G2387" i="16" s="1"/>
  <c r="F2388" i="16"/>
  <c r="F2389" i="16"/>
  <c r="G2389" i="16" s="1"/>
  <c r="F2390" i="16"/>
  <c r="G2390" i="16" s="1"/>
  <c r="F2391" i="16"/>
  <c r="G2391" i="16" s="1"/>
  <c r="F2392" i="16"/>
  <c r="G2392" i="16" s="1"/>
  <c r="F2393" i="16"/>
  <c r="G2393" i="16" s="1"/>
  <c r="F2394" i="16"/>
  <c r="G2394" i="16" s="1"/>
  <c r="F2395" i="16"/>
  <c r="G2395" i="16" s="1"/>
  <c r="F2396" i="16"/>
  <c r="G2396" i="16" s="1"/>
  <c r="F2397" i="16"/>
  <c r="G2397" i="16" s="1"/>
  <c r="F2398" i="16"/>
  <c r="G2398" i="16" s="1"/>
  <c r="F2399" i="16"/>
  <c r="G2399" i="16" s="1"/>
  <c r="F2400" i="16"/>
  <c r="G2400" i="16" s="1"/>
  <c r="F2401" i="16"/>
  <c r="G2401" i="16" s="1"/>
  <c r="F2402" i="16"/>
  <c r="G2402" i="16" s="1"/>
  <c r="F2403" i="16"/>
  <c r="G2403" i="16" s="1"/>
  <c r="F2404" i="16"/>
  <c r="G2404" i="16" s="1"/>
  <c r="F2405" i="16"/>
  <c r="G2405" i="16" s="1"/>
  <c r="F2406" i="16"/>
  <c r="G2406" i="16" s="1"/>
  <c r="F2407" i="16"/>
  <c r="G2407" i="16" s="1"/>
  <c r="F2408" i="16"/>
  <c r="F2409" i="16"/>
  <c r="G2409" i="16" s="1"/>
  <c r="F2410" i="16"/>
  <c r="G2410" i="16" s="1"/>
  <c r="F2411" i="16"/>
  <c r="G2411" i="16" s="1"/>
  <c r="F2412" i="16"/>
  <c r="G2412" i="16" s="1"/>
  <c r="F2413" i="16"/>
  <c r="G2413" i="16" s="1"/>
  <c r="F2414" i="16"/>
  <c r="G2414" i="16" s="1"/>
  <c r="F2415" i="16"/>
  <c r="G2415" i="16" s="1"/>
  <c r="F2416" i="16"/>
  <c r="G2416" i="16" s="1"/>
  <c r="F2417" i="16"/>
  <c r="G2417" i="16" s="1"/>
  <c r="F2418" i="16"/>
  <c r="G2418" i="16" s="1"/>
  <c r="F2419" i="16"/>
  <c r="G2419" i="16" s="1"/>
  <c r="F2420" i="16"/>
  <c r="G2420" i="16" s="1"/>
  <c r="F2421" i="16"/>
  <c r="G2421" i="16" s="1"/>
  <c r="F2422" i="16"/>
  <c r="G2422" i="16" s="1"/>
  <c r="F2423" i="16"/>
  <c r="G2423" i="16" s="1"/>
  <c r="F2424" i="16"/>
  <c r="G2424" i="16" s="1"/>
  <c r="F2425" i="16"/>
  <c r="G2425" i="16" s="1"/>
  <c r="F2426" i="16"/>
  <c r="G2426" i="16" s="1"/>
  <c r="F2427" i="16"/>
  <c r="G2427" i="16" s="1"/>
  <c r="F2428" i="16"/>
  <c r="G2428" i="16" s="1"/>
  <c r="F2429" i="16"/>
  <c r="F2430" i="16"/>
  <c r="G2430" i="16" s="1"/>
  <c r="F2431" i="16"/>
  <c r="G2431" i="16" s="1"/>
  <c r="F2432" i="16"/>
  <c r="G2432" i="16" s="1"/>
  <c r="F2433" i="16"/>
  <c r="G2433" i="16" s="1"/>
  <c r="F2434" i="16"/>
  <c r="G2434" i="16" s="1"/>
  <c r="F2435" i="16"/>
  <c r="G2435" i="16" s="1"/>
  <c r="F2436" i="16"/>
  <c r="G2436" i="16" s="1"/>
  <c r="F2437" i="16"/>
  <c r="G2437" i="16" s="1"/>
  <c r="F2438" i="16"/>
  <c r="G2438" i="16" s="1"/>
  <c r="F2439" i="16"/>
  <c r="G2439" i="16" s="1"/>
  <c r="F2440" i="16"/>
  <c r="G2440" i="16" s="1"/>
  <c r="F2441" i="16"/>
  <c r="G2441" i="16" s="1"/>
  <c r="F2442" i="16"/>
  <c r="G2442" i="16" s="1"/>
  <c r="F2443" i="16"/>
  <c r="G2443" i="16" s="1"/>
  <c r="F2444" i="16"/>
  <c r="G2444" i="16" s="1"/>
  <c r="F2445" i="16"/>
  <c r="G2445" i="16" s="1"/>
  <c r="F2446" i="16"/>
  <c r="G2446" i="16" s="1"/>
  <c r="F2447" i="16"/>
  <c r="G2447" i="16" s="1"/>
  <c r="F2448" i="16"/>
  <c r="G2448" i="16" s="1"/>
  <c r="F2449" i="16"/>
  <c r="G2449" i="16" s="1"/>
  <c r="F2450" i="16"/>
  <c r="G2450" i="16" s="1"/>
  <c r="F2451" i="16"/>
  <c r="F2452" i="16"/>
  <c r="G2452" i="16" s="1"/>
  <c r="F2453" i="16"/>
  <c r="G2453" i="16" s="1"/>
  <c r="F2454" i="16"/>
  <c r="G2454" i="16" s="1"/>
  <c r="F2455" i="16"/>
  <c r="G2455" i="16" s="1"/>
  <c r="F2456" i="16"/>
  <c r="G2456" i="16" s="1"/>
  <c r="F2457" i="16"/>
  <c r="G2457" i="16" s="1"/>
  <c r="F2458" i="16"/>
  <c r="G2458" i="16" s="1"/>
  <c r="F2459" i="16"/>
  <c r="G2459" i="16" s="1"/>
  <c r="F2460" i="16"/>
  <c r="G2460" i="16" s="1"/>
  <c r="F2461" i="16"/>
  <c r="G2461" i="16" s="1"/>
  <c r="F2462" i="16"/>
  <c r="G2462" i="16" s="1"/>
  <c r="F2463" i="16"/>
  <c r="G2463" i="16" s="1"/>
  <c r="F2464" i="16"/>
  <c r="G2464" i="16" s="1"/>
  <c r="F2465" i="16"/>
  <c r="G2465" i="16" s="1"/>
  <c r="F2466" i="16"/>
  <c r="G2466" i="16" s="1"/>
  <c r="F2467" i="16"/>
  <c r="G2467" i="16" s="1"/>
  <c r="F2468" i="16"/>
  <c r="G2468" i="16" s="1"/>
  <c r="F2469" i="16"/>
  <c r="G2469" i="16" s="1"/>
  <c r="F2470" i="16"/>
  <c r="G2470" i="16" s="1"/>
  <c r="F2471" i="16"/>
  <c r="G2471" i="16" s="1"/>
  <c r="F2472" i="16"/>
  <c r="F2473" i="16"/>
  <c r="G2473" i="16" s="1"/>
  <c r="F2474" i="16"/>
  <c r="G2474" i="16" s="1"/>
  <c r="F2475" i="16"/>
  <c r="G2475" i="16" s="1"/>
  <c r="F2476" i="16"/>
  <c r="G2476" i="16" s="1"/>
  <c r="F2477" i="16"/>
  <c r="G2477" i="16" s="1"/>
  <c r="F2478" i="16"/>
  <c r="G2478" i="16" s="1"/>
  <c r="F2479" i="16"/>
  <c r="G2479" i="16" s="1"/>
  <c r="F2480" i="16"/>
  <c r="G2480" i="16" s="1"/>
  <c r="F2481" i="16"/>
  <c r="G2481" i="16" s="1"/>
  <c r="F2482" i="16"/>
  <c r="G2482" i="16" s="1"/>
  <c r="F2483" i="16"/>
  <c r="G2483" i="16" s="1"/>
  <c r="F2484" i="16"/>
  <c r="G2484" i="16" s="1"/>
  <c r="F2485" i="16"/>
  <c r="G2485" i="16" s="1"/>
  <c r="F2486" i="16"/>
  <c r="G2486" i="16" s="1"/>
  <c r="F2487" i="16"/>
  <c r="G2487" i="16" s="1"/>
  <c r="F2488" i="16"/>
  <c r="G2488" i="16" s="1"/>
  <c r="F2489" i="16"/>
  <c r="G2489" i="16" s="1"/>
  <c r="F2490" i="16"/>
  <c r="F2491" i="16"/>
  <c r="G2491" i="16" s="1"/>
  <c r="F2492" i="16"/>
  <c r="G2492" i="16" s="1"/>
  <c r="F2493" i="16"/>
  <c r="G2493" i="16" s="1"/>
  <c r="F2494" i="16"/>
  <c r="G2494" i="16" s="1"/>
  <c r="F2495" i="16"/>
  <c r="G2495" i="16" s="1"/>
  <c r="F2496" i="16"/>
  <c r="G2496" i="16" s="1"/>
  <c r="F2497" i="16"/>
  <c r="G2497" i="16" s="1"/>
  <c r="F2498" i="16"/>
  <c r="G2498" i="16" s="1"/>
  <c r="F2499" i="16"/>
  <c r="G2499" i="16" s="1"/>
  <c r="F2500" i="16"/>
  <c r="G2500" i="16" s="1"/>
  <c r="F2501" i="16"/>
  <c r="G2501" i="16" s="1"/>
  <c r="F2502" i="16"/>
  <c r="G2502" i="16" s="1"/>
  <c r="F2503" i="16"/>
  <c r="G2503" i="16" s="1"/>
  <c r="F2504" i="16"/>
  <c r="G2504" i="16" s="1"/>
  <c r="F2505" i="16"/>
  <c r="G2505" i="16" s="1"/>
  <c r="F2506" i="16"/>
  <c r="G2506" i="16" s="1"/>
  <c r="F2507" i="16"/>
  <c r="G2507" i="16" s="1"/>
  <c r="F2508" i="16"/>
  <c r="G2508" i="16" s="1"/>
  <c r="F2509" i="16"/>
  <c r="G2509" i="16" s="1"/>
  <c r="F2510" i="16"/>
  <c r="G2510" i="16" s="1"/>
  <c r="F2511" i="16"/>
  <c r="G2511" i="16" s="1"/>
  <c r="F2512" i="16"/>
  <c r="F2513" i="16"/>
  <c r="G2513" i="16" s="1"/>
  <c r="F2514" i="16"/>
  <c r="G2514" i="16" s="1"/>
  <c r="F2515" i="16"/>
  <c r="G2515" i="16" s="1"/>
  <c r="F2516" i="16"/>
  <c r="G2516" i="16" s="1"/>
  <c r="F2517" i="16"/>
  <c r="G2517" i="16" s="1"/>
  <c r="F2518" i="16"/>
  <c r="G2518" i="16" s="1"/>
  <c r="F2519" i="16"/>
  <c r="G2519" i="16" s="1"/>
  <c r="F2520" i="16"/>
  <c r="G2520" i="16" s="1"/>
  <c r="F2521" i="16"/>
  <c r="G2521" i="16" s="1"/>
  <c r="F2522" i="16"/>
  <c r="G2522" i="16" s="1"/>
  <c r="F2523" i="16"/>
  <c r="G2523" i="16" s="1"/>
  <c r="F2524" i="16"/>
  <c r="G2524" i="16" s="1"/>
  <c r="F2525" i="16"/>
  <c r="G2525" i="16" s="1"/>
  <c r="F2526" i="16"/>
  <c r="G2526" i="16" s="1"/>
  <c r="F2527" i="16"/>
  <c r="G2527" i="16" s="1"/>
  <c r="F2528" i="16"/>
  <c r="G2528" i="16" s="1"/>
  <c r="F2529" i="16"/>
  <c r="G2529" i="16" s="1"/>
  <c r="F2530" i="16"/>
  <c r="G2530" i="16" s="1"/>
  <c r="F2531" i="16"/>
  <c r="G2531" i="16" s="1"/>
  <c r="F2532" i="16"/>
  <c r="F2533" i="16"/>
  <c r="G2533" i="16" s="1"/>
  <c r="F2534" i="16"/>
  <c r="G2534" i="16" s="1"/>
  <c r="F2535" i="16"/>
  <c r="G2535" i="16" s="1"/>
  <c r="F2536" i="16"/>
  <c r="G2536" i="16" s="1"/>
  <c r="F2537" i="16"/>
  <c r="G2537" i="16" s="1"/>
  <c r="F2538" i="16"/>
  <c r="G2538" i="16" s="1"/>
  <c r="F2539" i="16"/>
  <c r="G2539" i="16" s="1"/>
  <c r="F2540" i="16"/>
  <c r="G2540" i="16" s="1"/>
  <c r="F2541" i="16"/>
  <c r="G2541" i="16" s="1"/>
  <c r="F2542" i="16"/>
  <c r="G2542" i="16" s="1"/>
  <c r="F2543" i="16"/>
  <c r="G2543" i="16" s="1"/>
  <c r="F2544" i="16"/>
  <c r="G2544" i="16" s="1"/>
  <c r="F2545" i="16"/>
  <c r="G2545" i="16" s="1"/>
  <c r="F2546" i="16"/>
  <c r="G2546" i="16" s="1"/>
  <c r="F2547" i="16"/>
  <c r="G2547" i="16" s="1"/>
  <c r="F2548" i="16"/>
  <c r="G2548" i="16" s="1"/>
  <c r="F2549" i="16"/>
  <c r="G2549" i="16" s="1"/>
  <c r="F2550" i="16"/>
  <c r="G2550" i="16" s="1"/>
  <c r="F2551" i="16"/>
  <c r="G2551" i="16" s="1"/>
  <c r="F2552" i="16"/>
  <c r="G2552" i="16" s="1"/>
  <c r="F2553" i="16"/>
  <c r="G2553" i="16" s="1"/>
  <c r="F2554" i="16"/>
  <c r="F2555" i="16"/>
  <c r="G2555" i="16" s="1"/>
  <c r="F2556" i="16"/>
  <c r="G2556" i="16" s="1"/>
  <c r="F2557" i="16"/>
  <c r="G2557" i="16" s="1"/>
  <c r="F2558" i="16"/>
  <c r="G2558" i="16" s="1"/>
  <c r="F2559" i="16"/>
  <c r="G2559" i="16" s="1"/>
  <c r="F2560" i="16"/>
  <c r="G2560" i="16" s="1"/>
  <c r="F2561" i="16"/>
  <c r="G2561" i="16" s="1"/>
  <c r="F2562" i="16"/>
  <c r="G2562" i="16" s="1"/>
  <c r="F2563" i="16"/>
  <c r="G2563" i="16" s="1"/>
  <c r="F2564" i="16"/>
  <c r="G2564" i="16" s="1"/>
  <c r="F2565" i="16"/>
  <c r="G2565" i="16" s="1"/>
  <c r="F2566" i="16"/>
  <c r="G2566" i="16" s="1"/>
  <c r="F2567" i="16"/>
  <c r="G2567" i="16" s="1"/>
  <c r="F2568" i="16"/>
  <c r="G2568" i="16" s="1"/>
  <c r="F2569" i="16"/>
  <c r="G2569" i="16" s="1"/>
  <c r="F2570" i="16"/>
  <c r="G2570" i="16" s="1"/>
  <c r="F2571" i="16"/>
  <c r="G2571" i="16" s="1"/>
  <c r="F2572" i="16"/>
  <c r="G2572" i="16" s="1"/>
  <c r="F2573" i="16"/>
  <c r="G2573" i="16" s="1"/>
  <c r="F2574" i="16"/>
  <c r="F2575" i="16"/>
  <c r="G2575" i="16" s="1"/>
  <c r="F2576" i="16"/>
  <c r="G2576" i="16" s="1"/>
  <c r="F2577" i="16"/>
  <c r="G2577" i="16" s="1"/>
  <c r="F2578" i="16"/>
  <c r="G2578" i="16" s="1"/>
  <c r="F2579" i="16"/>
  <c r="G2579" i="16" s="1"/>
  <c r="F2580" i="16"/>
  <c r="G2580" i="16" s="1"/>
  <c r="F2581" i="16"/>
  <c r="G2581" i="16" s="1"/>
  <c r="F2582" i="16"/>
  <c r="G2582" i="16" s="1"/>
  <c r="F2583" i="16"/>
  <c r="G2583" i="16" s="1"/>
  <c r="F2584" i="16"/>
  <c r="G2584" i="16" s="1"/>
  <c r="F2585" i="16"/>
  <c r="G2585" i="16" s="1"/>
  <c r="F2586" i="16"/>
  <c r="G2586" i="16" s="1"/>
  <c r="F2587" i="16"/>
  <c r="G2587" i="16" s="1"/>
  <c r="F2588" i="16"/>
  <c r="G2588" i="16" s="1"/>
  <c r="F2589" i="16"/>
  <c r="G2589" i="16" s="1"/>
  <c r="F2590" i="16"/>
  <c r="G2590" i="16" s="1"/>
  <c r="F2591" i="16"/>
  <c r="G2591" i="16" s="1"/>
  <c r="F2592" i="16"/>
  <c r="F2593" i="16"/>
  <c r="G2593" i="16" s="1"/>
  <c r="F2594" i="16"/>
  <c r="G2594" i="16" s="1"/>
  <c r="F2595" i="16"/>
  <c r="G2595" i="16" s="1"/>
  <c r="F2596" i="16"/>
  <c r="G2596" i="16" s="1"/>
  <c r="F2597" i="16"/>
  <c r="G2597" i="16" s="1"/>
  <c r="F2598" i="16"/>
  <c r="G2598" i="16" s="1"/>
  <c r="F2599" i="16"/>
  <c r="G2599" i="16" s="1"/>
  <c r="F2600" i="16"/>
  <c r="G2600" i="16" s="1"/>
  <c r="F2601" i="16"/>
  <c r="G2601" i="16" s="1"/>
  <c r="F2602" i="16"/>
  <c r="G2602" i="16" s="1"/>
  <c r="F2603" i="16"/>
  <c r="G2603" i="16" s="1"/>
  <c r="F2604" i="16"/>
  <c r="G2604" i="16" s="1"/>
  <c r="F2605" i="16"/>
  <c r="G2605" i="16" s="1"/>
  <c r="F2606" i="16"/>
  <c r="G2606" i="16" s="1"/>
  <c r="F2607" i="16"/>
  <c r="G2607" i="16" s="1"/>
  <c r="F2608" i="16"/>
  <c r="G2608" i="16" s="1"/>
  <c r="F2609" i="16"/>
  <c r="G2609" i="16" s="1"/>
  <c r="F2610" i="16"/>
  <c r="G2610" i="16" s="1"/>
  <c r="F2611" i="16"/>
  <c r="G2611" i="16" s="1"/>
  <c r="F2612" i="16"/>
  <c r="G2612" i="16" s="1"/>
  <c r="F2613" i="16"/>
  <c r="F2614" i="16"/>
  <c r="G2614" i="16" s="1"/>
  <c r="F2615" i="16"/>
  <c r="G2615" i="16" s="1"/>
  <c r="F2616" i="16"/>
  <c r="G2616" i="16" s="1"/>
  <c r="F2617" i="16"/>
  <c r="G2617" i="16" s="1"/>
  <c r="F2618" i="16"/>
  <c r="G2618" i="16" s="1"/>
  <c r="F2619" i="16"/>
  <c r="G2619" i="16" s="1"/>
  <c r="F2620" i="16"/>
  <c r="G2620" i="16" s="1"/>
  <c r="F2621" i="16"/>
  <c r="G2621" i="16" s="1"/>
  <c r="F2622" i="16"/>
  <c r="G2622" i="16" s="1"/>
  <c r="F2623" i="16"/>
  <c r="G2623" i="16" s="1"/>
  <c r="F2624" i="16"/>
  <c r="G2624" i="16" s="1"/>
  <c r="F2625" i="16"/>
  <c r="G2625" i="16" s="1"/>
  <c r="F2626" i="16"/>
  <c r="G2626" i="16" s="1"/>
  <c r="F2627" i="16"/>
  <c r="G2627" i="16" s="1"/>
  <c r="F2628" i="16"/>
  <c r="G2628" i="16" s="1"/>
  <c r="F2629" i="16"/>
  <c r="G2629" i="16" s="1"/>
  <c r="F2630" i="16"/>
  <c r="G2630" i="16" s="1"/>
  <c r="F2631" i="16"/>
  <c r="G2631" i="16" s="1"/>
  <c r="F2632" i="16"/>
  <c r="G2632" i="16" s="1"/>
  <c r="F2633" i="16"/>
  <c r="G2633" i="16" s="1"/>
  <c r="F2634" i="16"/>
  <c r="G2634" i="16" s="1"/>
  <c r="F2635" i="16"/>
  <c r="G2635" i="16" s="1"/>
  <c r="F2636" i="16"/>
  <c r="F2637" i="16"/>
  <c r="G2637" i="16" s="1"/>
  <c r="F2638" i="16"/>
  <c r="G2638" i="16" s="1"/>
  <c r="F2639" i="16"/>
  <c r="G2639" i="16" s="1"/>
  <c r="F2640" i="16"/>
  <c r="G2640" i="16" s="1"/>
  <c r="F2641" i="16"/>
  <c r="G2641" i="16" s="1"/>
  <c r="F2642" i="16"/>
  <c r="G2642" i="16" s="1"/>
  <c r="F2643" i="16"/>
  <c r="G2643" i="16" s="1"/>
  <c r="F2644" i="16"/>
  <c r="G2644" i="16" s="1"/>
  <c r="F2645" i="16"/>
  <c r="G2645" i="16" s="1"/>
  <c r="F2646" i="16"/>
  <c r="G2646" i="16" s="1"/>
  <c r="F2647" i="16"/>
  <c r="G2647" i="16" s="1"/>
  <c r="F2648" i="16"/>
  <c r="G2648" i="16" s="1"/>
  <c r="F2649" i="16"/>
  <c r="G2649" i="16" s="1"/>
  <c r="F2650" i="16"/>
  <c r="G2650" i="16" s="1"/>
  <c r="F2651" i="16"/>
  <c r="G2651" i="16" s="1"/>
  <c r="F2652" i="16"/>
  <c r="G2652" i="16" s="1"/>
  <c r="F2653" i="16"/>
  <c r="G2653" i="16" s="1"/>
  <c r="F2654" i="16"/>
  <c r="G2654" i="16" s="1"/>
  <c r="F2655" i="16"/>
  <c r="G2655" i="16" s="1"/>
  <c r="F2656" i="16"/>
  <c r="F2657" i="16"/>
  <c r="G2657" i="16" s="1"/>
  <c r="F2658" i="16"/>
  <c r="G2658" i="16" s="1"/>
  <c r="F2659" i="16"/>
  <c r="G2659" i="16" s="1"/>
  <c r="F2660" i="16"/>
  <c r="G2660" i="16" s="1"/>
  <c r="F2661" i="16"/>
  <c r="G2661" i="16" s="1"/>
  <c r="F2662" i="16"/>
  <c r="G2662" i="16" s="1"/>
  <c r="F2663" i="16"/>
  <c r="G2663" i="16" s="1"/>
  <c r="F2664" i="16"/>
  <c r="G2664" i="16" s="1"/>
  <c r="F2665" i="16"/>
  <c r="G2665" i="16" s="1"/>
  <c r="F2666" i="16"/>
  <c r="G2666" i="16" s="1"/>
  <c r="F2667" i="16"/>
  <c r="G2667" i="16" s="1"/>
  <c r="F2668" i="16"/>
  <c r="G2668" i="16" s="1"/>
  <c r="F2669" i="16"/>
  <c r="G2669" i="16" s="1"/>
  <c r="F2670" i="16"/>
  <c r="G2670" i="16" s="1"/>
  <c r="F2671" i="16"/>
  <c r="G2671" i="16" s="1"/>
  <c r="F2672" i="16"/>
  <c r="G2672" i="16" s="1"/>
  <c r="F2673" i="16"/>
  <c r="G2673" i="16" s="1"/>
  <c r="F2674" i="16"/>
  <c r="G2674" i="16" s="1"/>
  <c r="F2675" i="16"/>
  <c r="G2675" i="16" s="1"/>
  <c r="F2676" i="16"/>
  <c r="G2676" i="16" s="1"/>
  <c r="F2677" i="16"/>
  <c r="G2677" i="16" s="1"/>
  <c r="F2678" i="16"/>
  <c r="F2679" i="16"/>
  <c r="G2679" i="16" s="1"/>
  <c r="F2680" i="16"/>
  <c r="G2680" i="16" s="1"/>
  <c r="F2681" i="16"/>
  <c r="G2681" i="16" s="1"/>
  <c r="F2682" i="16"/>
  <c r="G2682" i="16" s="1"/>
  <c r="F2683" i="16"/>
  <c r="G2683" i="16" s="1"/>
  <c r="F2684" i="16"/>
  <c r="G2684" i="16" s="1"/>
  <c r="F2685" i="16"/>
  <c r="G2685" i="16" s="1"/>
  <c r="F2686" i="16"/>
  <c r="G2686" i="16" s="1"/>
  <c r="F2687" i="16"/>
  <c r="G2687" i="16" s="1"/>
  <c r="F2688" i="16"/>
  <c r="G2688" i="16" s="1"/>
  <c r="F2689" i="16"/>
  <c r="G2689" i="16" s="1"/>
  <c r="F2690" i="16"/>
  <c r="G2690" i="16" s="1"/>
  <c r="F2691" i="16"/>
  <c r="G2691" i="16" s="1"/>
  <c r="F2692" i="16"/>
  <c r="G2692" i="16" s="1"/>
  <c r="F2693" i="16"/>
  <c r="G2693" i="16" s="1"/>
  <c r="F2694" i="16"/>
  <c r="G2694" i="16" s="1"/>
  <c r="F2695" i="16"/>
  <c r="G2695" i="16" s="1"/>
  <c r="F2696" i="16"/>
  <c r="G2696" i="16" s="1"/>
  <c r="F2697" i="16"/>
  <c r="G2697" i="16" s="1"/>
  <c r="F2698" i="16"/>
  <c r="G2698" i="16" s="1"/>
  <c r="F2699" i="16"/>
  <c r="G2699" i="16" s="1"/>
  <c r="F2700" i="16"/>
  <c r="F2701" i="16"/>
  <c r="G2701" i="16" s="1"/>
  <c r="F2702" i="16"/>
  <c r="G2702" i="16" s="1"/>
  <c r="F2703" i="16"/>
  <c r="G2703" i="16" s="1"/>
  <c r="F2704" i="16"/>
  <c r="G2704" i="16" s="1"/>
  <c r="F2705" i="16"/>
  <c r="G2705" i="16" s="1"/>
  <c r="F2706" i="16"/>
  <c r="G2706" i="16" s="1"/>
  <c r="F2707" i="16"/>
  <c r="G2707" i="16" s="1"/>
  <c r="F2708" i="16"/>
  <c r="G2708" i="16" s="1"/>
  <c r="F2709" i="16"/>
  <c r="G2709" i="16" s="1"/>
  <c r="F2710" i="16"/>
  <c r="G2710" i="16" s="1"/>
  <c r="F2711" i="16"/>
  <c r="G2711" i="16" s="1"/>
  <c r="F2712" i="16"/>
  <c r="G2712" i="16" s="1"/>
  <c r="F2713" i="16"/>
  <c r="G2713" i="16" s="1"/>
  <c r="F2714" i="16"/>
  <c r="G2714" i="16" s="1"/>
  <c r="F2715" i="16"/>
  <c r="G2715" i="16" s="1"/>
  <c r="F2716" i="16"/>
  <c r="G2716" i="16" s="1"/>
  <c r="F2717" i="16"/>
  <c r="G2717" i="16" s="1"/>
  <c r="F2718" i="16"/>
  <c r="G2718" i="16" s="1"/>
  <c r="F2719" i="16"/>
  <c r="G2719" i="16" s="1"/>
  <c r="F2720" i="16"/>
  <c r="G2720" i="16" s="1"/>
  <c r="F2721" i="16"/>
  <c r="F2722" i="16"/>
  <c r="G2722" i="16" s="1"/>
  <c r="F2723" i="16"/>
  <c r="G2723" i="16" s="1"/>
  <c r="F2724" i="16"/>
  <c r="G2724" i="16" s="1"/>
  <c r="F2725" i="16"/>
  <c r="G2725" i="16" s="1"/>
  <c r="F2726" i="16"/>
  <c r="G2726" i="16" s="1"/>
  <c r="F2727" i="16"/>
  <c r="G2727" i="16" s="1"/>
  <c r="F2728" i="16"/>
  <c r="G2728" i="16" s="1"/>
  <c r="F2729" i="16"/>
  <c r="G2729" i="16" s="1"/>
  <c r="F2730" i="16"/>
  <c r="G2730" i="16" s="1"/>
  <c r="F2731" i="16"/>
  <c r="G2731" i="16" s="1"/>
  <c r="F2732" i="16"/>
  <c r="G2732" i="16" s="1"/>
  <c r="F2733" i="16"/>
  <c r="G2733" i="16" s="1"/>
  <c r="F2734" i="16"/>
  <c r="G2734" i="16" s="1"/>
  <c r="F2735" i="16"/>
  <c r="G2735" i="16" s="1"/>
  <c r="F2736" i="16"/>
  <c r="G2736" i="16" s="1"/>
  <c r="F2737" i="16"/>
  <c r="G2737" i="16" s="1"/>
  <c r="F2738" i="16"/>
  <c r="G2738" i="16" s="1"/>
  <c r="F2739" i="16"/>
  <c r="G2739" i="16" s="1"/>
  <c r="F2740" i="16"/>
  <c r="F2741" i="16"/>
  <c r="G2741" i="16" s="1"/>
  <c r="F2742" i="16"/>
  <c r="G2742" i="16" s="1"/>
  <c r="F2743" i="16"/>
  <c r="G2743" i="16" s="1"/>
  <c r="F2744" i="16"/>
  <c r="G2744" i="16" s="1"/>
  <c r="F2745" i="16"/>
  <c r="G2745" i="16" s="1"/>
  <c r="F2746" i="16"/>
  <c r="G2746" i="16" s="1"/>
  <c r="F2747" i="16"/>
  <c r="G2747" i="16" s="1"/>
  <c r="F2748" i="16"/>
  <c r="G2748" i="16" s="1"/>
  <c r="F2749" i="16"/>
  <c r="G2749" i="16" s="1"/>
  <c r="F2750" i="16"/>
  <c r="G2750" i="16" s="1"/>
  <c r="F2751" i="16"/>
  <c r="G2751" i="16" s="1"/>
  <c r="F2752" i="16"/>
  <c r="G2752" i="16" s="1"/>
  <c r="F2753" i="16"/>
  <c r="G2753" i="16" s="1"/>
  <c r="F2754" i="16"/>
  <c r="G2754" i="16" s="1"/>
  <c r="F2755" i="16"/>
  <c r="G2755" i="16" s="1"/>
  <c r="F2756" i="16"/>
  <c r="G2756" i="16" s="1"/>
  <c r="F2757" i="16"/>
  <c r="G2757" i="16" s="1"/>
  <c r="F2758" i="16"/>
  <c r="G2758" i="16" s="1"/>
  <c r="F2759" i="16"/>
  <c r="G2759" i="16" s="1"/>
  <c r="F2760" i="16"/>
  <c r="F2761" i="16"/>
  <c r="G2761" i="16" s="1"/>
  <c r="F2762" i="16"/>
  <c r="G2762" i="16" s="1"/>
  <c r="F2763" i="16"/>
  <c r="G2763" i="16" s="1"/>
  <c r="F2764" i="16"/>
  <c r="G2764" i="16" s="1"/>
  <c r="F2765" i="16"/>
  <c r="G2765" i="16" s="1"/>
  <c r="F2766" i="16"/>
  <c r="G2766" i="16" s="1"/>
  <c r="F2767" i="16"/>
  <c r="G2767" i="16" s="1"/>
  <c r="F2768" i="16"/>
  <c r="G2768" i="16" s="1"/>
  <c r="F2769" i="16"/>
  <c r="G2769" i="16" s="1"/>
  <c r="F2770" i="16"/>
  <c r="G2770" i="16" s="1"/>
  <c r="F2771" i="16"/>
  <c r="G2771" i="16" s="1"/>
  <c r="F2772" i="16"/>
  <c r="G2772" i="16" s="1"/>
  <c r="F2773" i="16"/>
  <c r="G2773" i="16" s="1"/>
  <c r="F2774" i="16"/>
  <c r="G2774" i="16" s="1"/>
  <c r="F2775" i="16"/>
  <c r="G2775" i="16" s="1"/>
  <c r="F2776" i="16"/>
  <c r="G2776" i="16" s="1"/>
  <c r="F2777" i="16"/>
  <c r="G2777" i="16" s="1"/>
  <c r="F2778" i="16"/>
  <c r="G2778" i="16" s="1"/>
  <c r="F2779" i="16"/>
  <c r="G2779" i="16" s="1"/>
  <c r="F2780" i="16"/>
  <c r="F2781" i="16"/>
  <c r="G2781" i="16" s="1"/>
  <c r="F2782" i="16"/>
  <c r="G2782" i="16" s="1"/>
  <c r="F2783" i="16"/>
  <c r="G2783" i="16" s="1"/>
  <c r="F2784" i="16"/>
  <c r="G2784" i="16" s="1"/>
  <c r="F2785" i="16"/>
  <c r="G2785" i="16" s="1"/>
  <c r="F2786" i="16"/>
  <c r="G2786" i="16" s="1"/>
  <c r="F2787" i="16"/>
  <c r="G2787" i="16" s="1"/>
  <c r="F2788" i="16"/>
  <c r="G2788" i="16" s="1"/>
  <c r="F2789" i="16"/>
  <c r="G2789" i="16" s="1"/>
  <c r="F2790" i="16"/>
  <c r="G2790" i="16" s="1"/>
  <c r="F2791" i="16"/>
  <c r="G2791" i="16" s="1"/>
  <c r="F2792" i="16"/>
  <c r="G2792" i="16" s="1"/>
  <c r="F2793" i="16"/>
  <c r="G2793" i="16" s="1"/>
  <c r="F2794" i="16"/>
  <c r="G2794" i="16" s="1"/>
  <c r="F2795" i="16"/>
  <c r="G2795" i="16" s="1"/>
  <c r="F2796" i="16"/>
  <c r="G2796" i="16" s="1"/>
  <c r="F2797" i="16"/>
  <c r="G2797" i="16" s="1"/>
  <c r="F2798" i="16"/>
  <c r="G2798" i="16" s="1"/>
  <c r="F2799" i="16"/>
  <c r="G2799" i="16" s="1"/>
  <c r="F2800" i="16"/>
  <c r="G2800" i="16" s="1"/>
  <c r="F2801" i="16"/>
  <c r="G2801" i="16" s="1"/>
  <c r="F2802" i="16"/>
  <c r="G2802" i="16" s="1"/>
  <c r="F2803" i="16"/>
  <c r="F2804" i="16"/>
  <c r="G2804" i="16" s="1"/>
  <c r="F2805" i="16"/>
  <c r="G2805" i="16" s="1"/>
  <c r="F2806" i="16"/>
  <c r="G2806" i="16" s="1"/>
  <c r="F2807" i="16"/>
  <c r="G2807" i="16" s="1"/>
  <c r="F2808" i="16"/>
  <c r="G2808" i="16" s="1"/>
  <c r="F2809" i="16"/>
  <c r="G2809" i="16" s="1"/>
  <c r="F2810" i="16"/>
  <c r="G2810" i="16" s="1"/>
  <c r="F2811" i="16"/>
  <c r="G2811" i="16" s="1"/>
  <c r="F2812" i="16"/>
  <c r="G2812" i="16" s="1"/>
  <c r="F2813" i="16"/>
  <c r="G2813" i="16" s="1"/>
  <c r="F2814" i="16"/>
  <c r="G2814" i="16" s="1"/>
  <c r="F2815" i="16"/>
  <c r="G2815" i="16" s="1"/>
  <c r="F2816" i="16"/>
  <c r="G2816" i="16" s="1"/>
  <c r="F2817" i="16"/>
  <c r="G2817" i="16" s="1"/>
  <c r="F2818" i="16"/>
  <c r="G2818" i="16" s="1"/>
  <c r="F2819" i="16"/>
  <c r="G2819" i="16" s="1"/>
  <c r="F2820" i="16"/>
  <c r="G2820" i="16" s="1"/>
  <c r="F2821" i="16"/>
  <c r="G2821" i="16" s="1"/>
  <c r="F2822" i="16"/>
  <c r="G2822" i="16" s="1"/>
  <c r="F2823" i="16"/>
  <c r="F2824" i="16"/>
  <c r="G2824" i="16" s="1"/>
  <c r="F2825" i="16"/>
  <c r="G2825" i="16" s="1"/>
  <c r="F2826" i="16"/>
  <c r="G2826" i="16" s="1"/>
  <c r="F2827" i="16"/>
  <c r="G2827" i="16" s="1"/>
  <c r="F2828" i="16"/>
  <c r="G2828" i="16" s="1"/>
  <c r="F2829" i="16"/>
  <c r="G2829" i="16" s="1"/>
  <c r="F2830" i="16"/>
  <c r="G2830" i="16" s="1"/>
  <c r="F2831" i="16"/>
  <c r="G2831" i="16" s="1"/>
  <c r="F2832" i="16"/>
  <c r="G2832" i="16" s="1"/>
  <c r="F2833" i="16"/>
  <c r="G2833" i="16" s="1"/>
  <c r="F2834" i="16"/>
  <c r="G2834" i="16" s="1"/>
  <c r="F2835" i="16"/>
  <c r="G2835" i="16" s="1"/>
  <c r="F2836" i="16"/>
  <c r="G2836" i="16" s="1"/>
  <c r="F2837" i="16"/>
  <c r="G2837" i="16" s="1"/>
  <c r="F2838" i="16"/>
  <c r="G2838" i="16" s="1"/>
  <c r="F2839" i="16"/>
  <c r="G2839" i="16" s="1"/>
  <c r="F2840" i="16"/>
  <c r="G2840" i="16" s="1"/>
  <c r="F2841" i="16"/>
  <c r="F2842" i="16"/>
  <c r="G2842" i="16" s="1"/>
  <c r="F2843" i="16"/>
  <c r="G2843" i="16" s="1"/>
  <c r="F2844" i="16"/>
  <c r="G2844" i="16" s="1"/>
  <c r="F2845" i="16"/>
  <c r="G2845" i="16" s="1"/>
  <c r="F2846" i="16"/>
  <c r="G2846" i="16" s="1"/>
  <c r="F2847" i="16"/>
  <c r="G2847" i="16" s="1"/>
  <c r="F2848" i="16"/>
  <c r="G2848" i="16" s="1"/>
  <c r="F2849" i="16"/>
  <c r="G2849" i="16" s="1"/>
  <c r="F2850" i="16"/>
  <c r="G2850" i="16" s="1"/>
  <c r="F2851" i="16"/>
  <c r="G2851" i="16" s="1"/>
  <c r="F2852" i="16"/>
  <c r="G2852" i="16" s="1"/>
  <c r="F2853" i="16"/>
  <c r="G2853" i="16" s="1"/>
  <c r="F2854" i="16"/>
  <c r="G2854" i="16" s="1"/>
  <c r="F2855" i="16"/>
  <c r="G2855" i="16" s="1"/>
  <c r="F2856" i="16"/>
  <c r="G2856" i="16" s="1"/>
  <c r="F2857" i="16"/>
  <c r="G2857" i="16" s="1"/>
  <c r="F2858" i="16"/>
  <c r="G2858" i="16" s="1"/>
  <c r="F2859" i="16"/>
  <c r="G2859" i="16" s="1"/>
  <c r="F2860" i="16"/>
  <c r="G2860" i="16" s="1"/>
  <c r="F2861" i="16"/>
  <c r="G2861" i="16" s="1"/>
  <c r="F2862" i="16"/>
  <c r="G2862" i="16" s="1"/>
  <c r="F2863" i="16"/>
  <c r="F2864" i="16"/>
  <c r="G2864" i="16" s="1"/>
  <c r="F2865" i="16"/>
  <c r="G2865" i="16" s="1"/>
  <c r="F2866" i="16"/>
  <c r="G2866" i="16" s="1"/>
  <c r="F2867" i="16"/>
  <c r="G2867" i="16" s="1"/>
  <c r="F2868" i="16"/>
  <c r="G2868" i="16" s="1"/>
  <c r="F2869" i="16"/>
  <c r="G2869" i="16" s="1"/>
  <c r="F2870" i="16"/>
  <c r="G2870" i="16" s="1"/>
  <c r="F2871" i="16"/>
  <c r="G2871" i="16" s="1"/>
  <c r="F2872" i="16"/>
  <c r="G2872" i="16" s="1"/>
  <c r="F2873" i="16"/>
  <c r="G2873" i="16" s="1"/>
  <c r="F2874" i="16"/>
  <c r="G2874" i="16" s="1"/>
  <c r="F2875" i="16"/>
  <c r="G2875" i="16" s="1"/>
  <c r="F2876" i="16"/>
  <c r="G2876" i="16" s="1"/>
  <c r="F2877" i="16"/>
  <c r="G2877" i="16" s="1"/>
  <c r="F2878" i="16"/>
  <c r="G2878" i="16" s="1"/>
  <c r="F2879" i="16"/>
  <c r="G2879" i="16" s="1"/>
  <c r="F2880" i="16"/>
  <c r="G2880" i="16" s="1"/>
  <c r="F2881" i="16"/>
  <c r="G2881" i="16" s="1"/>
  <c r="F2882" i="16"/>
  <c r="G2882" i="16" s="1"/>
  <c r="F2883" i="16"/>
  <c r="G2883" i="16" s="1"/>
  <c r="F2884" i="16"/>
  <c r="G2884" i="16" s="1"/>
  <c r="F2885" i="16"/>
  <c r="F2886" i="16"/>
  <c r="G2886" i="16" s="1"/>
  <c r="F2887" i="16"/>
  <c r="G2887" i="16" s="1"/>
  <c r="F2888" i="16"/>
  <c r="G2888" i="16" s="1"/>
  <c r="F2889" i="16"/>
  <c r="G2889" i="16" s="1"/>
  <c r="F2890" i="16"/>
  <c r="G2890" i="16" s="1"/>
  <c r="F2891" i="16"/>
  <c r="G2891" i="16" s="1"/>
  <c r="F2892" i="16"/>
  <c r="G2892" i="16" s="1"/>
  <c r="F2893" i="16"/>
  <c r="G2893" i="16" s="1"/>
  <c r="F2894" i="16"/>
  <c r="G2894" i="16" s="1"/>
  <c r="F2895" i="16"/>
  <c r="G2895" i="16" s="1"/>
  <c r="F2896" i="16"/>
  <c r="G2896" i="16" s="1"/>
  <c r="F2897" i="16"/>
  <c r="G2897" i="16" s="1"/>
  <c r="F2898" i="16"/>
  <c r="G2898" i="16" s="1"/>
  <c r="F2899" i="16"/>
  <c r="G2899" i="16" s="1"/>
  <c r="F2900" i="16"/>
  <c r="G2900" i="16" s="1"/>
  <c r="F2901" i="16"/>
  <c r="G2901" i="16" s="1"/>
  <c r="F2902" i="16"/>
  <c r="G2902" i="16" s="1"/>
  <c r="F2903" i="16"/>
  <c r="G2903" i="16" s="1"/>
  <c r="F2904" i="16"/>
  <c r="G2904" i="16" s="1"/>
  <c r="F2905" i="16"/>
  <c r="G2905" i="16" s="1"/>
  <c r="F2906" i="16"/>
  <c r="F2907" i="16"/>
  <c r="G2907" i="16" s="1"/>
  <c r="F2908" i="16"/>
  <c r="G2908" i="16" s="1"/>
  <c r="F2909" i="16"/>
  <c r="G2909" i="16" s="1"/>
  <c r="F2910" i="16"/>
  <c r="G2910" i="16" s="1"/>
  <c r="F2911" i="16"/>
  <c r="G2911" i="16" s="1"/>
  <c r="F2912" i="16"/>
  <c r="G2912" i="16" s="1"/>
  <c r="F2913" i="16"/>
  <c r="G2913" i="16" s="1"/>
  <c r="F2914" i="16"/>
  <c r="G2914" i="16" s="1"/>
  <c r="F2915" i="16"/>
  <c r="G2915" i="16" s="1"/>
  <c r="F2916" i="16"/>
  <c r="G2916" i="16" s="1"/>
  <c r="F2917" i="16"/>
  <c r="G2917" i="16" s="1"/>
  <c r="F2918" i="16"/>
  <c r="G2918" i="16" s="1"/>
  <c r="F2919" i="16"/>
  <c r="G2919" i="16" s="1"/>
  <c r="F2920" i="16"/>
  <c r="G2920" i="16" s="1"/>
  <c r="F2921" i="16"/>
  <c r="G2921" i="16" s="1"/>
  <c r="F2922" i="16"/>
  <c r="G2922" i="16" s="1"/>
  <c r="F2923" i="16"/>
  <c r="G2923" i="16" s="1"/>
  <c r="F2924" i="16"/>
  <c r="G2924" i="16" s="1"/>
  <c r="F2925" i="16"/>
  <c r="G2925" i="16" s="1"/>
  <c r="F2926" i="16"/>
  <c r="G2926" i="16" s="1"/>
  <c r="F2927" i="16"/>
  <c r="G2927" i="16" s="1"/>
  <c r="F2928" i="16"/>
  <c r="F2929" i="16"/>
  <c r="G2929" i="16" s="1"/>
  <c r="F2930" i="16"/>
  <c r="G2930" i="16" s="1"/>
  <c r="F2931" i="16"/>
  <c r="G2931" i="16" s="1"/>
  <c r="F2932" i="16"/>
  <c r="G2932" i="16" s="1"/>
  <c r="F2933" i="16"/>
  <c r="G2933" i="16" s="1"/>
  <c r="F2934" i="16"/>
  <c r="G2934" i="16" s="1"/>
  <c r="F2935" i="16"/>
  <c r="G2935" i="16" s="1"/>
  <c r="F2936" i="16"/>
  <c r="G2936" i="16" s="1"/>
  <c r="F2937" i="16"/>
  <c r="G2937" i="16" s="1"/>
  <c r="F2938" i="16"/>
  <c r="G2938" i="16" s="1"/>
  <c r="F2939" i="16"/>
  <c r="G2939" i="16" s="1"/>
  <c r="F2940" i="16"/>
  <c r="G2940" i="16" s="1"/>
  <c r="F2941" i="16"/>
  <c r="G2941" i="16" s="1"/>
  <c r="F2942" i="16"/>
  <c r="G2942" i="16" s="1"/>
  <c r="F2943" i="16"/>
  <c r="G2943" i="16" s="1"/>
  <c r="F2944" i="16"/>
  <c r="G2944" i="16" s="1"/>
  <c r="F2945" i="16"/>
  <c r="G2945" i="16" s="1"/>
  <c r="F2946" i="16"/>
  <c r="G2946" i="16" s="1"/>
  <c r="F2947" i="16"/>
  <c r="G2947" i="16" s="1"/>
  <c r="F2948" i="16"/>
  <c r="G2948" i="16" s="1"/>
  <c r="F2949" i="16"/>
  <c r="F2950" i="16"/>
  <c r="G2950" i="16" s="1"/>
  <c r="F2951" i="16"/>
  <c r="G2951" i="16" s="1"/>
  <c r="F2952" i="16"/>
  <c r="G2952" i="16" s="1"/>
  <c r="F2953" i="16"/>
  <c r="G2953" i="16" s="1"/>
  <c r="F2954" i="16"/>
  <c r="G2954" i="16" s="1"/>
  <c r="F2955" i="16"/>
  <c r="G2955" i="16" s="1"/>
  <c r="F2956" i="16"/>
  <c r="G2956" i="16" s="1"/>
  <c r="F2957" i="16"/>
  <c r="G2957" i="16" s="1"/>
  <c r="F2958" i="16"/>
  <c r="G2958" i="16" s="1"/>
  <c r="F2959" i="16"/>
  <c r="G2959" i="16" s="1"/>
  <c r="F2960" i="16"/>
  <c r="G2960" i="16" s="1"/>
  <c r="F2961" i="16"/>
  <c r="G2961" i="16" s="1"/>
  <c r="F2962" i="16"/>
  <c r="G2962" i="16" s="1"/>
  <c r="F2963" i="16"/>
  <c r="G2963" i="16" s="1"/>
  <c r="F2964" i="16"/>
  <c r="G2964" i="16" s="1"/>
  <c r="F2965" i="16"/>
  <c r="G2965" i="16" s="1"/>
  <c r="F2966" i="16"/>
  <c r="G2966" i="16" s="1"/>
  <c r="F2967" i="16"/>
  <c r="G2967" i="16" s="1"/>
  <c r="F2968" i="16"/>
  <c r="G2968" i="16" s="1"/>
  <c r="F2969" i="16"/>
  <c r="G2969" i="16" s="1"/>
  <c r="F2970" i="16"/>
  <c r="G2970" i="16" s="1"/>
  <c r="F2971" i="16"/>
  <c r="F2972" i="16"/>
  <c r="G2972" i="16" s="1"/>
  <c r="F2973" i="16"/>
  <c r="G2973" i="16" s="1"/>
  <c r="F2974" i="16"/>
  <c r="G2974" i="16" s="1"/>
  <c r="F2975" i="16"/>
  <c r="G2975" i="16" s="1"/>
  <c r="F2976" i="16"/>
  <c r="G2976" i="16" s="1"/>
  <c r="F2977" i="16"/>
  <c r="G2977" i="16" s="1"/>
  <c r="F2978" i="16"/>
  <c r="G2978" i="16" s="1"/>
  <c r="F2979" i="16"/>
  <c r="G2979" i="16" s="1"/>
  <c r="F2980" i="16"/>
  <c r="G2980" i="16" s="1"/>
  <c r="F2981" i="16"/>
  <c r="G2981" i="16" s="1"/>
  <c r="F2982" i="16"/>
  <c r="G2982" i="16" s="1"/>
  <c r="F2983" i="16"/>
  <c r="G2983" i="16" s="1"/>
  <c r="F2984" i="16"/>
  <c r="G2984" i="16" s="1"/>
  <c r="F2985" i="16"/>
  <c r="G2985" i="16" s="1"/>
  <c r="F2986" i="16"/>
  <c r="G2986" i="16" s="1"/>
  <c r="F2987" i="16"/>
  <c r="G2987" i="16" s="1"/>
  <c r="F2988" i="16"/>
  <c r="G2988" i="16" s="1"/>
  <c r="F2989" i="16"/>
  <c r="G2989" i="16" s="1"/>
  <c r="F2990" i="16"/>
  <c r="F2991" i="16"/>
  <c r="G2991" i="16" s="1"/>
  <c r="F2992" i="16"/>
  <c r="G2992" i="16" s="1"/>
  <c r="F2993" i="16"/>
  <c r="G2993" i="16" s="1"/>
  <c r="F2994" i="16"/>
  <c r="G2994" i="16" s="1"/>
  <c r="F2995" i="16"/>
  <c r="G2995" i="16" s="1"/>
  <c r="F2996" i="16"/>
  <c r="G2996" i="16" s="1"/>
  <c r="F2997" i="16"/>
  <c r="G2997" i="16" s="1"/>
  <c r="F2998" i="16"/>
  <c r="G2998" i="16" s="1"/>
  <c r="F2999" i="16"/>
  <c r="G2999" i="16" s="1"/>
  <c r="F3000" i="16"/>
  <c r="G3000" i="16" s="1"/>
  <c r="F3001" i="16"/>
  <c r="G3001" i="16" s="1"/>
  <c r="F3002" i="16"/>
  <c r="G3002" i="16" s="1"/>
  <c r="F3003" i="16"/>
  <c r="G3003" i="16" s="1"/>
  <c r="F3004" i="16"/>
  <c r="G3004" i="16" s="1"/>
  <c r="F3005" i="16"/>
  <c r="G3005" i="16" s="1"/>
  <c r="F3006" i="16"/>
  <c r="G3006" i="16" s="1"/>
  <c r="F3007" i="16"/>
  <c r="G3007" i="16" s="1"/>
  <c r="F3008" i="16"/>
  <c r="G3008" i="16" s="1"/>
  <c r="F3009" i="16"/>
  <c r="G3009" i="16" s="1"/>
  <c r="F3010" i="16"/>
  <c r="F3011" i="16"/>
  <c r="G3011" i="16" s="1"/>
  <c r="F3012" i="16"/>
  <c r="G3012" i="16" s="1"/>
  <c r="F3013" i="16"/>
  <c r="G3013" i="16" s="1"/>
  <c r="F3014" i="16"/>
  <c r="G3014" i="16" s="1"/>
  <c r="F3015" i="16"/>
  <c r="G3015" i="16" s="1"/>
  <c r="F3016" i="16"/>
  <c r="G3016" i="16" s="1"/>
  <c r="F3017" i="16"/>
  <c r="G3017" i="16" s="1"/>
  <c r="F3018" i="16"/>
  <c r="G3018" i="16" s="1"/>
  <c r="F3019" i="16"/>
  <c r="G3019" i="16" s="1"/>
  <c r="F3020" i="16"/>
  <c r="G3020" i="16" s="1"/>
  <c r="F3021" i="16"/>
  <c r="G3021" i="16" s="1"/>
  <c r="F3022" i="16"/>
  <c r="G3022" i="16" s="1"/>
  <c r="F3023" i="16"/>
  <c r="G3023" i="16" s="1"/>
  <c r="F3024" i="16"/>
  <c r="G3024" i="16" s="1"/>
  <c r="F3025" i="16"/>
  <c r="G3025" i="16" s="1"/>
  <c r="F3026" i="16"/>
  <c r="G3026" i="16" s="1"/>
  <c r="F3027" i="16"/>
  <c r="G3027" i="16" s="1"/>
  <c r="F3028" i="16"/>
  <c r="G3028" i="16" s="1"/>
  <c r="F3029" i="16"/>
  <c r="G3029" i="16" s="1"/>
  <c r="F3030" i="16"/>
  <c r="F3031" i="16"/>
  <c r="G3031" i="16" s="1"/>
  <c r="F3032" i="16"/>
  <c r="G3032" i="16" s="1"/>
  <c r="F3033" i="16"/>
  <c r="G3033" i="16" s="1"/>
  <c r="F3034" i="16"/>
  <c r="G3034" i="16" s="1"/>
  <c r="F3035" i="16"/>
  <c r="G3035" i="16" s="1"/>
  <c r="F3036" i="16"/>
  <c r="G3036" i="16" s="1"/>
  <c r="F3037" i="16"/>
  <c r="G3037" i="16" s="1"/>
  <c r="F3038" i="16"/>
  <c r="G3038" i="16" s="1"/>
  <c r="F3039" i="16"/>
  <c r="G3039" i="16" s="1"/>
  <c r="F3040" i="16"/>
  <c r="G3040" i="16" s="1"/>
  <c r="F3041" i="16"/>
  <c r="G3041" i="16" s="1"/>
  <c r="F3042" i="16"/>
  <c r="G3042" i="16" s="1"/>
  <c r="F3043" i="16"/>
  <c r="G3043" i="16" s="1"/>
  <c r="F3044" i="16"/>
  <c r="G3044" i="16" s="1"/>
  <c r="F3045" i="16"/>
  <c r="G3045" i="16" s="1"/>
  <c r="F3046" i="16"/>
  <c r="G3046" i="16" s="1"/>
  <c r="F3047" i="16"/>
  <c r="G3047" i="16" s="1"/>
  <c r="F3048" i="16"/>
  <c r="G3048" i="16" s="1"/>
  <c r="F3049" i="16"/>
  <c r="G3049" i="16" s="1"/>
  <c r="F3050" i="16"/>
  <c r="G3050" i="16" s="1"/>
  <c r="F3051" i="16"/>
  <c r="G3051" i="16" s="1"/>
  <c r="F3052" i="16"/>
  <c r="G3052" i="16" s="1"/>
  <c r="F3053" i="16"/>
  <c r="F3054" i="16"/>
  <c r="G3054" i="16" s="1"/>
  <c r="F3055" i="16"/>
  <c r="G3055" i="16" s="1"/>
  <c r="F3056" i="16"/>
  <c r="G3056" i="16" s="1"/>
  <c r="F3057" i="16"/>
  <c r="G3057" i="16" s="1"/>
  <c r="F3058" i="16"/>
  <c r="G3058" i="16" s="1"/>
  <c r="F3059" i="16"/>
  <c r="G3059" i="16" s="1"/>
  <c r="F3060" i="16"/>
  <c r="G3060" i="16" s="1"/>
  <c r="F3061" i="16"/>
  <c r="G3061" i="16" s="1"/>
  <c r="F3062" i="16"/>
  <c r="G3062" i="16" s="1"/>
  <c r="F3063" i="16"/>
  <c r="G3063" i="16" s="1"/>
  <c r="F3064" i="16"/>
  <c r="G3064" i="16" s="1"/>
  <c r="F3065" i="16"/>
  <c r="G3065" i="16" s="1"/>
  <c r="F3066" i="16"/>
  <c r="G3066" i="16" s="1"/>
  <c r="F3067" i="16"/>
  <c r="G3067" i="16" s="1"/>
  <c r="F3068" i="16"/>
  <c r="G3068" i="16" s="1"/>
  <c r="F3069" i="16"/>
  <c r="G3069" i="16" s="1"/>
  <c r="F3070" i="16"/>
  <c r="G3070" i="16" s="1"/>
  <c r="F3071" i="16"/>
  <c r="G3071" i="16" s="1"/>
  <c r="F3072" i="16"/>
  <c r="F3073" i="16"/>
  <c r="G3073" i="16" s="1"/>
  <c r="F3074" i="16"/>
  <c r="G3074" i="16" s="1"/>
  <c r="F3075" i="16"/>
  <c r="G3075" i="16" s="1"/>
  <c r="F3076" i="16"/>
  <c r="G3076" i="16" s="1"/>
  <c r="F3077" i="16"/>
  <c r="G3077" i="16" s="1"/>
  <c r="F3078" i="16"/>
  <c r="G3078" i="16" s="1"/>
  <c r="F3079" i="16"/>
  <c r="G3079" i="16" s="1"/>
  <c r="F3080" i="16"/>
  <c r="G3080" i="16" s="1"/>
  <c r="F3081" i="16"/>
  <c r="G3081" i="16" s="1"/>
  <c r="F3082" i="16"/>
  <c r="G3082" i="16" s="1"/>
  <c r="F3083" i="16"/>
  <c r="G3083" i="16" s="1"/>
  <c r="F3084" i="16"/>
  <c r="G3084" i="16" s="1"/>
  <c r="F3085" i="16"/>
  <c r="G3085" i="16" s="1"/>
  <c r="F3086" i="16"/>
  <c r="G3086" i="16" s="1"/>
  <c r="F3087" i="16"/>
  <c r="G3087" i="16" s="1"/>
  <c r="F3088" i="16"/>
  <c r="G3088" i="16" s="1"/>
  <c r="F3089" i="16"/>
  <c r="G3089" i="16" s="1"/>
  <c r="F3090" i="16"/>
  <c r="G3090" i="16" s="1"/>
  <c r="F3091" i="16"/>
  <c r="G3091" i="16" s="1"/>
  <c r="F3092" i="16"/>
  <c r="G3092" i="16" s="1"/>
  <c r="F3093" i="16"/>
  <c r="F3094" i="16"/>
  <c r="G3094" i="16" s="1"/>
  <c r="F3095" i="16"/>
  <c r="G3095" i="16" s="1"/>
  <c r="F3096" i="16"/>
  <c r="G3096" i="16" s="1"/>
  <c r="F3097" i="16"/>
  <c r="G3097" i="16" s="1"/>
  <c r="F3098" i="16"/>
  <c r="G3098" i="16" s="1"/>
  <c r="F3099" i="16"/>
  <c r="G3099" i="16" s="1"/>
  <c r="F3100" i="16"/>
  <c r="G3100" i="16" s="1"/>
  <c r="F3101" i="16"/>
  <c r="G3101" i="16" s="1"/>
  <c r="F3102" i="16"/>
  <c r="G3102" i="16" s="1"/>
  <c r="F3103" i="16"/>
  <c r="G3103" i="16" s="1"/>
  <c r="F3104" i="16"/>
  <c r="G3104" i="16" s="1"/>
  <c r="F3105" i="16"/>
  <c r="G3105" i="16" s="1"/>
  <c r="F3106" i="16"/>
  <c r="G3106" i="16" s="1"/>
  <c r="F3107" i="16"/>
  <c r="G3107" i="16" s="1"/>
  <c r="F3108" i="16"/>
  <c r="G3108" i="16" s="1"/>
  <c r="F3109" i="16"/>
  <c r="G3109" i="16" s="1"/>
  <c r="F3110" i="16"/>
  <c r="G3110" i="16" s="1"/>
  <c r="F3111" i="16"/>
  <c r="G3111" i="16" s="1"/>
  <c r="F3112" i="16"/>
  <c r="G3112" i="16" s="1"/>
  <c r="F3113" i="16"/>
  <c r="F3114" i="16"/>
  <c r="G3114" i="16" s="1"/>
  <c r="F3115" i="16"/>
  <c r="G3115" i="16" s="1"/>
  <c r="F3116" i="16"/>
  <c r="G3116" i="16" s="1"/>
  <c r="F3117" i="16"/>
  <c r="G3117" i="16" s="1"/>
  <c r="F3118" i="16"/>
  <c r="G3118" i="16" s="1"/>
  <c r="F3119" i="16"/>
  <c r="G3119" i="16" s="1"/>
  <c r="F3120" i="16"/>
  <c r="G3120" i="16" s="1"/>
  <c r="F3121" i="16"/>
  <c r="G3121" i="16" s="1"/>
  <c r="F3122" i="16"/>
  <c r="G3122" i="16" s="1"/>
  <c r="F3123" i="16"/>
  <c r="G3123" i="16" s="1"/>
  <c r="F3124" i="16"/>
  <c r="G3124" i="16" s="1"/>
  <c r="F3125" i="16"/>
  <c r="G3125" i="16" s="1"/>
  <c r="F3126" i="16"/>
  <c r="G3126" i="16" s="1"/>
  <c r="F3127" i="16"/>
  <c r="G3127" i="16" s="1"/>
  <c r="F3128" i="16"/>
  <c r="G3128" i="16" s="1"/>
  <c r="F3129" i="16"/>
  <c r="G3129" i="16" s="1"/>
  <c r="F3130" i="16"/>
  <c r="G3130" i="16" s="1"/>
  <c r="F3131" i="16"/>
  <c r="G3131" i="16" s="1"/>
  <c r="F3132" i="16"/>
  <c r="G3132" i="16" s="1"/>
  <c r="F3133" i="16"/>
  <c r="G3133" i="16" s="1"/>
  <c r="F3134" i="16"/>
  <c r="F3135" i="16"/>
  <c r="G3135" i="16" s="1"/>
  <c r="F3136" i="16"/>
  <c r="G3136" i="16" s="1"/>
  <c r="F3137" i="16"/>
  <c r="G3137" i="16" s="1"/>
  <c r="F3138" i="16"/>
  <c r="G3138" i="16" s="1"/>
  <c r="F3139" i="16"/>
  <c r="G3139" i="16" s="1"/>
  <c r="F3140" i="16"/>
  <c r="G3140" i="16" s="1"/>
  <c r="F3141" i="16"/>
  <c r="G3141" i="16" s="1"/>
  <c r="F3142" i="16"/>
  <c r="G3142" i="16" s="1"/>
  <c r="F3143" i="16"/>
  <c r="G3143" i="16" s="1"/>
  <c r="F3144" i="16"/>
  <c r="G3144" i="16" s="1"/>
  <c r="F3145" i="16"/>
  <c r="G3145" i="16" s="1"/>
  <c r="F3146" i="16"/>
  <c r="G3146" i="16" s="1"/>
  <c r="F3147" i="16"/>
  <c r="G3147" i="16" s="1"/>
  <c r="F3148" i="16"/>
  <c r="G3148" i="16" s="1"/>
  <c r="F3149" i="16"/>
  <c r="G3149" i="16" s="1"/>
  <c r="F3150" i="16"/>
  <c r="G3150" i="16" s="1"/>
  <c r="F3151" i="16"/>
  <c r="G3151" i="16" s="1"/>
  <c r="F3152" i="16"/>
  <c r="G3152" i="16" s="1"/>
  <c r="F3153" i="16"/>
  <c r="G3153" i="16" s="1"/>
  <c r="F3154" i="16"/>
  <c r="G3154" i="16" s="1"/>
  <c r="F3155" i="16"/>
  <c r="F3156" i="16"/>
  <c r="G3156" i="16" s="1"/>
  <c r="F3157" i="16"/>
  <c r="G3157" i="16" s="1"/>
  <c r="F3158" i="16"/>
  <c r="G3158" i="16" s="1"/>
  <c r="F3159" i="16"/>
  <c r="G3159" i="16" s="1"/>
  <c r="F3160" i="16"/>
  <c r="G3160" i="16" s="1"/>
  <c r="F3161" i="16"/>
  <c r="G3161" i="16" s="1"/>
  <c r="F3162" i="16"/>
  <c r="G3162" i="16" s="1"/>
  <c r="F3163" i="16"/>
  <c r="G3163" i="16" s="1"/>
  <c r="F3164" i="16"/>
  <c r="G3164" i="16" s="1"/>
  <c r="F3165" i="16"/>
  <c r="G3165" i="16" s="1"/>
  <c r="F3166" i="16"/>
  <c r="G3166" i="16" s="1"/>
  <c r="F3167" i="16"/>
  <c r="G3167" i="16" s="1"/>
  <c r="F3168" i="16"/>
  <c r="G3168" i="16" s="1"/>
  <c r="F3169" i="16"/>
  <c r="G3169" i="16" s="1"/>
  <c r="F3170" i="16"/>
  <c r="G3170" i="16" s="1"/>
  <c r="F3171" i="16"/>
  <c r="G3171" i="16" s="1"/>
  <c r="F3172" i="16"/>
  <c r="G3172" i="16" s="1"/>
  <c r="F3173" i="16"/>
  <c r="G3173" i="16" s="1"/>
  <c r="F3174" i="16"/>
  <c r="G3174" i="16" s="1"/>
  <c r="F3175" i="16"/>
  <c r="G3175" i="16" s="1"/>
  <c r="F3176" i="16"/>
  <c r="F3177" i="16"/>
  <c r="G3177" i="16" s="1"/>
  <c r="F3178" i="16"/>
  <c r="G3178" i="16" s="1"/>
  <c r="F3179" i="16"/>
  <c r="G3179" i="16" s="1"/>
  <c r="F3180" i="16"/>
  <c r="G3180" i="16" s="1"/>
  <c r="F3181" i="16"/>
  <c r="G3181" i="16" s="1"/>
  <c r="F3182" i="16"/>
  <c r="G3182" i="16" s="1"/>
  <c r="F3183" i="16"/>
  <c r="G3183" i="16" s="1"/>
  <c r="F3184" i="16"/>
  <c r="G3184" i="16" s="1"/>
  <c r="F3185" i="16"/>
  <c r="G3185" i="16" s="1"/>
  <c r="F3186" i="16"/>
  <c r="G3186" i="16" s="1"/>
  <c r="F3187" i="16"/>
  <c r="G3187" i="16" s="1"/>
  <c r="F3188" i="16"/>
  <c r="G3188" i="16" s="1"/>
  <c r="F3189" i="16"/>
  <c r="G3189" i="16" s="1"/>
  <c r="F3190" i="16"/>
  <c r="G3190" i="16" s="1"/>
  <c r="F3191" i="16"/>
  <c r="G3191" i="16" s="1"/>
  <c r="F3192" i="16"/>
  <c r="G3192" i="16" s="1"/>
  <c r="F3193" i="16"/>
  <c r="G3193" i="16" s="1"/>
  <c r="F3194" i="16"/>
  <c r="G3194" i="16" s="1"/>
  <c r="F3195" i="16"/>
  <c r="G3195" i="16" s="1"/>
  <c r="F3196" i="16"/>
  <c r="G3196" i="16" s="1"/>
  <c r="F3197" i="16"/>
  <c r="F3198" i="16"/>
  <c r="G3198" i="16" s="1"/>
  <c r="F3199" i="16"/>
  <c r="G3199" i="16" s="1"/>
  <c r="F3200" i="16"/>
  <c r="G3200" i="16" s="1"/>
  <c r="F3201" i="16"/>
  <c r="G3201" i="16" s="1"/>
  <c r="F3202" i="16"/>
  <c r="G3202" i="16" s="1"/>
  <c r="F3203" i="16"/>
  <c r="G3203" i="16" s="1"/>
  <c r="F3204" i="16"/>
  <c r="G3204" i="16" s="1"/>
  <c r="F3205" i="16"/>
  <c r="G3205" i="16" s="1"/>
  <c r="F3206" i="16"/>
  <c r="G3206" i="16" s="1"/>
  <c r="F3207" i="16"/>
  <c r="G3207" i="16" s="1"/>
  <c r="F3208" i="16"/>
  <c r="G3208" i="16" s="1"/>
  <c r="F3209" i="16"/>
  <c r="G3209" i="16" s="1"/>
  <c r="F3210" i="16"/>
  <c r="G3210" i="16" s="1"/>
  <c r="F3211" i="16"/>
  <c r="G3211" i="16" s="1"/>
  <c r="F3212" i="16"/>
  <c r="G3212" i="16" s="1"/>
  <c r="F3213" i="16"/>
  <c r="G3213" i="16" s="1"/>
  <c r="F3214" i="16"/>
  <c r="G3214" i="16" s="1"/>
  <c r="F3215" i="16"/>
  <c r="G3215" i="16" s="1"/>
  <c r="F3216" i="16"/>
  <c r="G3216" i="16" s="1"/>
  <c r="F3217" i="16"/>
  <c r="G3217" i="16" s="1"/>
  <c r="F3218" i="16"/>
  <c r="G3218" i="16" s="1"/>
  <c r="F3219" i="16"/>
  <c r="F3220" i="16"/>
  <c r="G3220" i="16" s="1"/>
  <c r="F3221" i="16"/>
  <c r="G3221" i="16" s="1"/>
  <c r="F3222" i="16"/>
  <c r="G3222" i="16" s="1"/>
  <c r="F3223" i="16"/>
  <c r="G3223" i="16" s="1"/>
  <c r="F3224" i="16"/>
  <c r="G3224" i="16" s="1"/>
  <c r="F3225" i="16"/>
  <c r="G3225" i="16" s="1"/>
  <c r="F3226" i="16"/>
  <c r="G3226" i="16" s="1"/>
  <c r="F3227" i="16"/>
  <c r="G3227" i="16" s="1"/>
  <c r="F3228" i="16"/>
  <c r="G3228" i="16" s="1"/>
  <c r="F3229" i="16"/>
  <c r="G3229" i="16" s="1"/>
  <c r="F3230" i="16"/>
  <c r="G3230" i="16" s="1"/>
  <c r="F3231" i="16"/>
  <c r="G3231" i="16" s="1"/>
  <c r="F3232" i="16"/>
  <c r="G3232" i="16" s="1"/>
  <c r="F3233" i="16"/>
  <c r="G3233" i="16" s="1"/>
  <c r="F3234" i="16"/>
  <c r="G3234" i="16" s="1"/>
  <c r="F3235" i="16"/>
  <c r="G3235" i="16" s="1"/>
  <c r="F3236" i="16"/>
  <c r="G3236" i="16" s="1"/>
  <c r="F3237" i="16"/>
  <c r="G3237" i="16" s="1"/>
  <c r="F3238" i="16"/>
  <c r="G3238" i="16" s="1"/>
  <c r="F3239" i="16"/>
  <c r="F3240" i="16"/>
  <c r="G3240" i="16" s="1"/>
  <c r="F3241" i="16"/>
  <c r="G3241" i="16" s="1"/>
  <c r="F3242" i="16"/>
  <c r="G3242" i="16" s="1"/>
  <c r="F3243" i="16"/>
  <c r="G3243" i="16" s="1"/>
  <c r="F3244" i="16"/>
  <c r="G3244" i="16" s="1"/>
  <c r="F3245" i="16"/>
  <c r="G3245" i="16" s="1"/>
  <c r="F3246" i="16"/>
  <c r="G3246" i="16" s="1"/>
  <c r="F3247" i="16"/>
  <c r="G3247" i="16" s="1"/>
  <c r="F3248" i="16"/>
  <c r="G3248" i="16" s="1"/>
  <c r="F3249" i="16"/>
  <c r="G3249" i="16" s="1"/>
  <c r="F3250" i="16"/>
  <c r="G3250" i="16" s="1"/>
  <c r="F3251" i="16"/>
  <c r="G3251" i="16" s="1"/>
  <c r="F3252" i="16"/>
  <c r="G3252" i="16" s="1"/>
  <c r="F3253" i="16"/>
  <c r="G3253" i="16" s="1"/>
  <c r="F3254" i="16"/>
  <c r="G3254" i="16" s="1"/>
  <c r="F3255" i="16"/>
  <c r="G3255" i="16" s="1"/>
  <c r="F3256" i="16"/>
  <c r="G3256" i="16" s="1"/>
  <c r="F3257" i="16"/>
  <c r="G3257" i="16" s="1"/>
  <c r="F3258" i="16"/>
  <c r="G3258" i="16" s="1"/>
  <c r="F3259" i="16"/>
  <c r="G3259" i="16" s="1"/>
  <c r="F3260" i="16"/>
  <c r="F3261" i="16"/>
  <c r="G3261" i="16" s="1"/>
  <c r="F3262" i="16"/>
  <c r="G3262" i="16" s="1"/>
  <c r="F3263" i="16"/>
  <c r="G3263" i="16" s="1"/>
  <c r="F3264" i="16"/>
  <c r="G3264" i="16" s="1"/>
  <c r="F3265" i="16"/>
  <c r="G3265" i="16" s="1"/>
  <c r="F3266" i="16"/>
  <c r="G3266" i="16" s="1"/>
  <c r="F3267" i="16"/>
  <c r="G3267" i="16" s="1"/>
  <c r="F3268" i="16"/>
  <c r="G3268" i="16" s="1"/>
  <c r="F3269" i="16"/>
  <c r="G3269" i="16" s="1"/>
  <c r="F3270" i="16"/>
  <c r="G3270" i="16" s="1"/>
  <c r="F3271" i="16"/>
  <c r="G3271" i="16" s="1"/>
  <c r="F3272" i="16"/>
  <c r="G3272" i="16" s="1"/>
  <c r="F3273" i="16"/>
  <c r="G3273" i="16" s="1"/>
  <c r="F3274" i="16"/>
  <c r="G3274" i="16" s="1"/>
  <c r="F3275" i="16"/>
  <c r="G3275" i="16" s="1"/>
  <c r="F3276" i="16"/>
  <c r="G3276" i="16" s="1"/>
  <c r="F3277" i="16"/>
  <c r="G3277" i="16" s="1"/>
  <c r="F3278" i="16"/>
  <c r="G3278" i="16" s="1"/>
  <c r="F3279" i="16"/>
  <c r="G3279" i="16" s="1"/>
  <c r="F3280" i="16"/>
  <c r="F3281" i="16"/>
  <c r="G3281" i="16" s="1"/>
  <c r="F3282" i="16"/>
  <c r="G3282" i="16" s="1"/>
  <c r="F3283" i="16"/>
  <c r="G3283" i="16" s="1"/>
  <c r="F3284" i="16"/>
  <c r="G3284" i="16" s="1"/>
  <c r="F3285" i="16"/>
  <c r="G3285" i="16" s="1"/>
  <c r="F3286" i="16"/>
  <c r="G3286" i="16" s="1"/>
  <c r="F3287" i="16"/>
  <c r="G3287" i="16" s="1"/>
  <c r="F3288" i="16"/>
  <c r="G3288" i="16" s="1"/>
  <c r="F3289" i="16"/>
  <c r="G3289" i="16" s="1"/>
  <c r="F3290" i="16"/>
  <c r="G3290" i="16" s="1"/>
  <c r="F3291" i="16"/>
  <c r="G3291" i="16" s="1"/>
  <c r="F3292" i="16"/>
  <c r="G3292" i="16" s="1"/>
  <c r="F3293" i="16"/>
  <c r="G3293" i="16" s="1"/>
  <c r="F3294" i="16"/>
  <c r="G3294" i="16" s="1"/>
  <c r="F3295" i="16"/>
  <c r="G3295" i="16" s="1"/>
  <c r="F3296" i="16"/>
  <c r="G3296" i="16" s="1"/>
  <c r="F3297" i="16"/>
  <c r="G3297" i="16" s="1"/>
  <c r="F3298" i="16"/>
  <c r="G3298" i="16" s="1"/>
  <c r="F3299" i="16"/>
  <c r="G3299" i="16" s="1"/>
  <c r="F3300" i="16"/>
  <c r="G3300" i="16" s="1"/>
  <c r="F3301" i="16"/>
  <c r="G3301" i="16" s="1"/>
  <c r="F3302" i="16"/>
  <c r="G3302" i="16" s="1"/>
  <c r="F3303" i="16"/>
  <c r="F3304" i="16"/>
  <c r="G3304" i="16" s="1"/>
  <c r="F3305" i="16"/>
  <c r="G3305" i="16" s="1"/>
  <c r="F3306" i="16"/>
  <c r="G3306" i="16" s="1"/>
  <c r="F3307" i="16"/>
  <c r="G3307" i="16" s="1"/>
  <c r="F3308" i="16"/>
  <c r="G3308" i="16" s="1"/>
  <c r="F3309" i="16"/>
  <c r="G3309" i="16" s="1"/>
  <c r="F3310" i="16"/>
  <c r="G3310" i="16" s="1"/>
  <c r="F3311" i="16"/>
  <c r="G3311" i="16" s="1"/>
  <c r="F3312" i="16"/>
  <c r="G3312" i="16" s="1"/>
  <c r="F3313" i="16"/>
  <c r="G3313" i="16" s="1"/>
  <c r="F3314" i="16"/>
  <c r="G3314" i="16" s="1"/>
  <c r="F3315" i="16"/>
  <c r="G3315" i="16" s="1"/>
  <c r="F3316" i="16"/>
  <c r="G3316" i="16" s="1"/>
  <c r="F3317" i="16"/>
  <c r="G3317" i="16" s="1"/>
  <c r="F3318" i="16"/>
  <c r="G3318" i="16" s="1"/>
  <c r="F3319" i="16"/>
  <c r="G3319" i="16" s="1"/>
  <c r="F3320" i="16"/>
  <c r="G3320" i="16" s="1"/>
  <c r="F3321" i="16"/>
  <c r="F3322" i="16"/>
  <c r="G3322" i="16" s="1"/>
  <c r="F3323" i="16"/>
  <c r="G3323" i="16" s="1"/>
  <c r="F3324" i="16"/>
  <c r="G3324" i="16" s="1"/>
  <c r="F3325" i="16"/>
  <c r="G3325" i="16" s="1"/>
  <c r="F3326" i="16"/>
  <c r="G3326" i="16" s="1"/>
  <c r="F3327" i="16"/>
  <c r="G3327" i="16" s="1"/>
  <c r="F3328" i="16"/>
  <c r="G3328" i="16" s="1"/>
  <c r="F3329" i="16"/>
  <c r="G3329" i="16" s="1"/>
  <c r="F3330" i="16"/>
  <c r="G3330" i="16" s="1"/>
  <c r="F3331" i="16"/>
  <c r="G3331" i="16" s="1"/>
  <c r="F3332" i="16"/>
  <c r="G3332" i="16" s="1"/>
  <c r="F3333" i="16"/>
  <c r="G3333" i="16" s="1"/>
  <c r="F3334" i="16"/>
  <c r="G3334" i="16" s="1"/>
  <c r="F3335" i="16"/>
  <c r="G3335" i="16" s="1"/>
  <c r="F3336" i="16"/>
  <c r="G3336" i="16" s="1"/>
  <c r="F3337" i="16"/>
  <c r="G3337" i="16" s="1"/>
  <c r="F3338" i="16"/>
  <c r="G3338" i="16" s="1"/>
  <c r="F3339" i="16"/>
  <c r="G3339" i="16" s="1"/>
  <c r="F3340" i="16"/>
  <c r="G3340" i="16" s="1"/>
  <c r="F3341" i="16"/>
  <c r="F3342" i="16"/>
  <c r="G3342" i="16" s="1"/>
  <c r="F3343" i="16"/>
  <c r="G3343" i="16" s="1"/>
  <c r="F3344" i="16"/>
  <c r="G3344" i="16" s="1"/>
  <c r="F3345" i="16"/>
  <c r="G3345" i="16" s="1"/>
  <c r="F3346" i="16"/>
  <c r="G3346" i="16" s="1"/>
  <c r="F3347" i="16"/>
  <c r="G3347" i="16" s="1"/>
  <c r="F3348" i="16"/>
  <c r="G3348" i="16" s="1"/>
  <c r="F3349" i="16"/>
  <c r="G3349" i="16" s="1"/>
  <c r="F3350" i="16"/>
  <c r="G3350" i="16" s="1"/>
  <c r="F3351" i="16"/>
  <c r="G3351" i="16" s="1"/>
  <c r="F3352" i="16"/>
  <c r="G3352" i="16" s="1"/>
  <c r="F3353" i="16"/>
  <c r="G3353" i="16" s="1"/>
  <c r="F3354" i="16"/>
  <c r="G3354" i="16" s="1"/>
  <c r="F3355" i="16"/>
  <c r="G3355" i="16" s="1"/>
  <c r="F3356" i="16"/>
  <c r="G3356" i="16" s="1"/>
  <c r="F3357" i="16"/>
  <c r="G3357" i="16" s="1"/>
  <c r="F3358" i="16"/>
  <c r="G3358" i="16" s="1"/>
  <c r="F3359" i="16"/>
  <c r="G3359" i="16" s="1"/>
  <c r="F3360" i="16"/>
  <c r="G3360" i="16" s="1"/>
  <c r="F3361" i="16"/>
  <c r="G3361" i="16" s="1"/>
  <c r="F3362" i="16"/>
  <c r="G3362" i="16" s="1"/>
  <c r="F3363" i="16"/>
  <c r="F3364" i="16"/>
  <c r="G3364" i="16" s="1"/>
  <c r="F3365" i="16"/>
  <c r="G3365" i="16" s="1"/>
  <c r="F3366" i="16"/>
  <c r="G3366" i="16" s="1"/>
  <c r="F3367" i="16"/>
  <c r="G3367" i="16" s="1"/>
  <c r="F3368" i="16"/>
  <c r="G3368" i="16" s="1"/>
  <c r="F3369" i="16"/>
  <c r="G3369" i="16" s="1"/>
  <c r="F3370" i="16"/>
  <c r="G3370" i="16" s="1"/>
  <c r="F3371" i="16"/>
  <c r="G3371" i="16" s="1"/>
  <c r="F3372" i="16"/>
  <c r="G3372" i="16" s="1"/>
  <c r="F3373" i="16"/>
  <c r="G3373" i="16" s="1"/>
  <c r="F3374" i="16"/>
  <c r="G3374" i="16" s="1"/>
  <c r="F3375" i="16"/>
  <c r="G3375" i="16" s="1"/>
  <c r="F3376" i="16"/>
  <c r="G3376" i="16" s="1"/>
  <c r="F3377" i="16"/>
  <c r="G3377" i="16" s="1"/>
  <c r="F3378" i="16"/>
  <c r="G3378" i="16" s="1"/>
  <c r="F3379" i="16"/>
  <c r="G3379" i="16" s="1"/>
  <c r="F3380" i="16"/>
  <c r="G3380" i="16" s="1"/>
  <c r="F3381" i="16"/>
  <c r="G3381" i="16" s="1"/>
  <c r="F3382" i="16"/>
  <c r="G3382" i="16" s="1"/>
  <c r="F3383" i="16"/>
  <c r="G3383" i="16" s="1"/>
  <c r="F3384" i="16"/>
  <c r="F3385" i="16"/>
  <c r="G3385" i="16" s="1"/>
  <c r="F3386" i="16"/>
  <c r="G3386" i="16" s="1"/>
  <c r="F3387" i="16"/>
  <c r="G3387" i="16" s="1"/>
  <c r="F3388" i="16"/>
  <c r="G3388" i="16" s="1"/>
  <c r="F3389" i="16"/>
  <c r="G3389" i="16" s="1"/>
  <c r="F3390" i="16"/>
  <c r="G3390" i="16" s="1"/>
  <c r="F3391" i="16"/>
  <c r="G3391" i="16" s="1"/>
  <c r="F3392" i="16"/>
  <c r="G3392" i="16" s="1"/>
  <c r="F3393" i="16"/>
  <c r="G3393" i="16" s="1"/>
  <c r="F3394" i="16"/>
  <c r="G3394" i="16" s="1"/>
  <c r="F3395" i="16"/>
  <c r="G3395" i="16" s="1"/>
  <c r="F3396" i="16"/>
  <c r="G3396" i="16" s="1"/>
  <c r="F3397" i="16"/>
  <c r="G3397" i="16" s="1"/>
  <c r="F3398" i="16"/>
  <c r="G3398" i="16" s="1"/>
  <c r="F3399" i="16"/>
  <c r="G3399" i="16" s="1"/>
  <c r="F3400" i="16"/>
  <c r="G3400" i="16" s="1"/>
  <c r="F3401" i="16"/>
  <c r="G3401" i="16" s="1"/>
  <c r="F3402" i="16"/>
  <c r="G3402" i="16" s="1"/>
  <c r="F3403" i="16"/>
  <c r="G3403" i="16" s="1"/>
  <c r="F3404" i="16"/>
  <c r="G3404" i="16" s="1"/>
  <c r="F3405" i="16"/>
  <c r="F3406" i="16"/>
  <c r="G3406" i="16" s="1"/>
  <c r="F3407" i="16"/>
  <c r="G3407" i="16" s="1"/>
  <c r="F3408" i="16"/>
  <c r="G3408" i="16" s="1"/>
  <c r="F3409" i="16"/>
  <c r="G3409" i="16" s="1"/>
  <c r="F3410" i="16"/>
  <c r="G3410" i="16" s="1"/>
  <c r="F3411" i="16"/>
  <c r="G3411" i="16" s="1"/>
  <c r="F3412" i="16"/>
  <c r="G3412" i="16" s="1"/>
  <c r="F3413" i="16"/>
  <c r="G3413" i="16" s="1"/>
  <c r="F3414" i="16"/>
  <c r="G3414" i="16" s="1"/>
  <c r="F3415" i="16"/>
  <c r="G3415" i="16" s="1"/>
  <c r="F3416" i="16"/>
  <c r="G3416" i="16" s="1"/>
  <c r="F3417" i="16"/>
  <c r="G3417" i="16" s="1"/>
  <c r="F3418" i="16"/>
  <c r="G3418" i="16" s="1"/>
  <c r="F3419" i="16"/>
  <c r="G3419" i="16" s="1"/>
  <c r="F3420" i="16"/>
  <c r="G3420" i="16" s="1"/>
  <c r="F3421" i="16"/>
  <c r="G3421" i="16" s="1"/>
  <c r="F3422" i="16"/>
  <c r="G3422" i="16" s="1"/>
  <c r="F3423" i="16"/>
  <c r="G3423" i="16" s="1"/>
  <c r="F3424" i="16"/>
  <c r="G3424" i="16" s="1"/>
  <c r="F3425" i="16"/>
  <c r="G3425" i="16" s="1"/>
  <c r="F3426" i="16"/>
  <c r="F3427" i="16"/>
  <c r="G3427" i="16" s="1"/>
  <c r="F3428" i="16"/>
  <c r="G3428" i="16" s="1"/>
  <c r="F3429" i="16"/>
  <c r="G3429" i="16" s="1"/>
  <c r="F3430" i="16"/>
  <c r="G3430" i="16" s="1"/>
  <c r="F3431" i="16"/>
  <c r="G3431" i="16" s="1"/>
  <c r="F3432" i="16"/>
  <c r="G3432" i="16" s="1"/>
  <c r="F3433" i="16"/>
  <c r="G3433" i="16" s="1"/>
  <c r="F3434" i="16"/>
  <c r="G3434" i="16" s="1"/>
  <c r="F3435" i="16"/>
  <c r="G3435" i="16" s="1"/>
  <c r="F3436" i="16"/>
  <c r="G3436" i="16" s="1"/>
  <c r="F3437" i="16"/>
  <c r="G3437" i="16" s="1"/>
  <c r="F3438" i="16"/>
  <c r="G3438" i="16" s="1"/>
  <c r="F3439" i="16"/>
  <c r="G3439" i="16" s="1"/>
  <c r="F3440" i="16"/>
  <c r="G3440" i="16" s="1"/>
  <c r="F3441" i="16"/>
  <c r="G3441" i="16" s="1"/>
  <c r="F3442" i="16"/>
  <c r="G3442" i="16" s="1"/>
  <c r="F3443" i="16"/>
  <c r="G3443" i="16" s="1"/>
  <c r="F3444" i="16"/>
  <c r="G3444" i="16" s="1"/>
  <c r="F3445" i="16"/>
  <c r="G3445" i="16" s="1"/>
  <c r="F3446" i="16"/>
  <c r="G3446" i="16" s="1"/>
  <c r="F3447" i="16"/>
  <c r="G3447" i="16" s="1"/>
  <c r="F3448" i="16"/>
  <c r="F3449" i="16"/>
  <c r="G3449" i="16" s="1"/>
  <c r="F3450" i="16"/>
  <c r="G3450" i="16" s="1"/>
  <c r="F3451" i="16"/>
  <c r="G3451" i="16" s="1"/>
  <c r="F3452" i="16"/>
  <c r="G3452" i="16" s="1"/>
  <c r="F3453" i="16"/>
  <c r="G3453" i="16" s="1"/>
  <c r="F3454" i="16"/>
  <c r="G3454" i="16" s="1"/>
  <c r="F3455" i="16"/>
  <c r="G3455" i="16" s="1"/>
  <c r="F3456" i="16"/>
  <c r="G3456" i="16" s="1"/>
  <c r="F3457" i="16"/>
  <c r="G3457" i="16" s="1"/>
  <c r="F3458" i="16"/>
  <c r="G3458" i="16" s="1"/>
  <c r="F3459" i="16"/>
  <c r="G3459" i="16" s="1"/>
  <c r="F3460" i="16"/>
  <c r="G3460" i="16" s="1"/>
  <c r="F3461" i="16"/>
  <c r="G3461" i="16" s="1"/>
  <c r="F3462" i="16"/>
  <c r="G3462" i="16" s="1"/>
  <c r="F3463" i="16"/>
  <c r="G3463" i="16" s="1"/>
  <c r="F3464" i="16"/>
  <c r="G3464" i="16" s="1"/>
  <c r="F3465" i="16"/>
  <c r="G3465" i="16" s="1"/>
  <c r="F3466" i="16"/>
  <c r="G3466" i="16" s="1"/>
  <c r="F3467" i="16"/>
  <c r="G3467" i="16" s="1"/>
  <c r="F3468" i="16"/>
  <c r="G3468" i="16" s="1"/>
  <c r="F3469" i="16"/>
  <c r="G3469" i="16" s="1"/>
  <c r="F3470" i="16"/>
  <c r="F3471" i="16"/>
  <c r="G3471" i="16" s="1"/>
  <c r="F3472" i="16"/>
  <c r="G3472" i="16" s="1"/>
  <c r="F3473" i="16"/>
  <c r="G3473" i="16" s="1"/>
  <c r="F3474" i="16"/>
  <c r="G3474" i="16" s="1"/>
  <c r="F3475" i="16"/>
  <c r="G3475" i="16" s="1"/>
  <c r="F3476" i="16"/>
  <c r="G3476" i="16" s="1"/>
  <c r="F3477" i="16"/>
  <c r="G3477" i="16" s="1"/>
  <c r="F3478" i="16"/>
  <c r="G3478" i="16" s="1"/>
  <c r="F3479" i="16"/>
  <c r="G3479" i="16" s="1"/>
  <c r="F3480" i="16"/>
  <c r="G3480" i="16" s="1"/>
  <c r="F3481" i="16"/>
  <c r="G3481" i="16" s="1"/>
  <c r="F3482" i="16"/>
  <c r="G3482" i="16" s="1"/>
  <c r="F3483" i="16"/>
  <c r="G3483" i="16" s="1"/>
  <c r="F3484" i="16"/>
  <c r="G3484" i="16" s="1"/>
  <c r="F3485" i="16"/>
  <c r="G3485" i="16" s="1"/>
  <c r="F3486" i="16"/>
  <c r="G3486" i="16" s="1"/>
  <c r="F3487" i="16"/>
  <c r="G3487" i="16" s="1"/>
  <c r="F3488" i="16"/>
  <c r="G3488" i="16" s="1"/>
  <c r="F3489" i="16"/>
  <c r="F3490" i="16"/>
  <c r="G3490" i="16" s="1"/>
  <c r="F3491" i="16"/>
  <c r="G3491" i="16" s="1"/>
  <c r="F3492" i="16"/>
  <c r="G3492" i="16" s="1"/>
  <c r="F3493" i="16"/>
  <c r="G3493" i="16" s="1"/>
  <c r="F3494" i="16"/>
  <c r="G3494" i="16" s="1"/>
  <c r="F3495" i="16"/>
  <c r="G3495" i="16" s="1"/>
  <c r="F3496" i="16"/>
  <c r="G3496" i="16" s="1"/>
  <c r="F3497" i="16"/>
  <c r="G3497" i="16" s="1"/>
  <c r="F3498" i="16"/>
  <c r="G3498" i="16" s="1"/>
  <c r="F3499" i="16"/>
  <c r="G3499" i="16" s="1"/>
  <c r="F3500" i="16"/>
  <c r="G3500" i="16" s="1"/>
  <c r="F3501" i="16"/>
  <c r="G3501" i="16" s="1"/>
  <c r="F3502" i="16"/>
  <c r="G3502" i="16" s="1"/>
  <c r="F3503" i="16"/>
  <c r="G3503" i="16" s="1"/>
  <c r="F3504" i="16"/>
  <c r="G3504" i="16" s="1"/>
  <c r="F3505" i="16"/>
  <c r="G3505" i="16" s="1"/>
  <c r="F3506" i="16"/>
  <c r="G3506" i="16" s="1"/>
  <c r="F3507" i="16"/>
  <c r="G3507" i="16" s="1"/>
  <c r="F3508" i="16"/>
  <c r="G3508" i="16" s="1"/>
  <c r="F3509" i="16"/>
  <c r="G3509" i="16" s="1"/>
  <c r="F3510" i="16"/>
  <c r="G3510" i="16" s="1"/>
  <c r="F3511" i="16"/>
  <c r="F3512" i="16"/>
  <c r="G3512" i="16" s="1"/>
  <c r="F3513" i="16"/>
  <c r="G3513" i="16" s="1"/>
  <c r="F3514" i="16"/>
  <c r="G3514" i="16" s="1"/>
  <c r="F3515" i="16"/>
  <c r="G3515" i="16" s="1"/>
  <c r="F3516" i="16"/>
  <c r="G3516" i="16" s="1"/>
  <c r="F3517" i="16"/>
  <c r="G3517" i="16" s="1"/>
  <c r="F3518" i="16"/>
  <c r="G3518" i="16" s="1"/>
  <c r="F3519" i="16"/>
  <c r="G3519" i="16" s="1"/>
  <c r="F3520" i="16"/>
  <c r="G3520" i="16" s="1"/>
  <c r="F3521" i="16"/>
  <c r="G3521" i="16" s="1"/>
  <c r="F3522" i="16"/>
  <c r="G3522" i="16" s="1"/>
  <c r="F3523" i="16"/>
  <c r="G3523" i="16" s="1"/>
  <c r="F3524" i="16"/>
  <c r="G3524" i="16" s="1"/>
  <c r="F3525" i="16"/>
  <c r="G3525" i="16" s="1"/>
  <c r="F3526" i="16"/>
  <c r="G3526" i="16" s="1"/>
  <c r="F3527" i="16"/>
  <c r="G3527" i="16" s="1"/>
  <c r="F3528" i="16"/>
  <c r="G3528" i="16" s="1"/>
  <c r="F3529" i="16"/>
  <c r="G3529" i="16" s="1"/>
  <c r="F3530" i="16"/>
  <c r="G3530" i="16" s="1"/>
  <c r="F3531" i="16"/>
  <c r="G3531" i="16" s="1"/>
  <c r="F3532" i="16"/>
  <c r="F3533" i="16"/>
  <c r="G3533" i="16" s="1"/>
  <c r="F3534" i="16"/>
  <c r="G3534" i="16" s="1"/>
  <c r="F3535" i="16"/>
  <c r="G3535" i="16" s="1"/>
  <c r="F3536" i="16"/>
  <c r="G3536" i="16" s="1"/>
  <c r="F3537" i="16"/>
  <c r="G3537" i="16" s="1"/>
  <c r="F3538" i="16"/>
  <c r="G3538" i="16" s="1"/>
  <c r="F3539" i="16"/>
  <c r="G3539" i="16" s="1"/>
  <c r="F3540" i="16"/>
  <c r="G3540" i="16" s="1"/>
  <c r="F3541" i="16"/>
  <c r="G3541" i="16" s="1"/>
  <c r="F3542" i="16"/>
  <c r="G3542" i="16" s="1"/>
  <c r="F3543" i="16"/>
  <c r="G3543" i="16" s="1"/>
  <c r="F3544" i="16"/>
  <c r="G3544" i="16" s="1"/>
  <c r="F3545" i="16"/>
  <c r="G3545" i="16" s="1"/>
  <c r="F3546" i="16"/>
  <c r="G3546" i="16" s="1"/>
  <c r="F3547" i="16"/>
  <c r="G3547" i="16" s="1"/>
  <c r="F3548" i="16"/>
  <c r="G3548" i="16" s="1"/>
  <c r="F3549" i="16"/>
  <c r="G3549" i="16" s="1"/>
  <c r="F3550" i="16"/>
  <c r="G3550" i="16" s="1"/>
  <c r="F3551" i="16"/>
  <c r="G3551" i="16" s="1"/>
  <c r="F3552" i="16"/>
  <c r="F3553" i="16"/>
  <c r="G3553" i="16" s="1"/>
  <c r="F3554" i="16"/>
  <c r="G3554" i="16" s="1"/>
  <c r="F3555" i="16"/>
  <c r="G3555" i="16" s="1"/>
  <c r="F3556" i="16"/>
  <c r="G3556" i="16" s="1"/>
  <c r="F3557" i="16"/>
  <c r="G3557" i="16" s="1"/>
  <c r="F3558" i="16"/>
  <c r="G3558" i="16" s="1"/>
  <c r="F3559" i="16"/>
  <c r="G3559" i="16" s="1"/>
  <c r="F3560" i="16"/>
  <c r="G3560" i="16" s="1"/>
  <c r="F3561" i="16"/>
  <c r="G3561" i="16" s="1"/>
  <c r="F3562" i="16"/>
  <c r="G3562" i="16" s="1"/>
  <c r="F3563" i="16"/>
  <c r="G3563" i="16" s="1"/>
  <c r="F3564" i="16"/>
  <c r="G3564" i="16" s="1"/>
  <c r="F3565" i="16"/>
  <c r="G3565" i="16" s="1"/>
  <c r="F3566" i="16"/>
  <c r="G3566" i="16" s="1"/>
  <c r="F3567" i="16"/>
  <c r="G3567" i="16" s="1"/>
  <c r="F3568" i="16"/>
  <c r="G3568" i="16" s="1"/>
  <c r="F3569" i="16"/>
  <c r="G3569" i="16" s="1"/>
  <c r="F3570" i="16"/>
  <c r="G3570" i="16" s="1"/>
  <c r="F3571" i="16"/>
  <c r="G3571" i="16" s="1"/>
  <c r="F3572" i="16"/>
  <c r="G3572" i="16" s="1"/>
  <c r="F3573" i="16"/>
  <c r="F3574" i="16"/>
  <c r="G3574" i="16" s="1"/>
  <c r="F3575" i="16"/>
  <c r="G3575" i="16" s="1"/>
  <c r="F3576" i="16"/>
  <c r="G3576" i="16" s="1"/>
  <c r="F3577" i="16"/>
  <c r="G3577" i="16" s="1"/>
  <c r="F3578" i="16"/>
  <c r="G3578" i="16" s="1"/>
  <c r="F3579" i="16"/>
  <c r="G3579" i="16" s="1"/>
  <c r="F3580" i="16"/>
  <c r="G3580" i="16" s="1"/>
  <c r="F3581" i="16"/>
  <c r="G3581" i="16" s="1"/>
  <c r="F3582" i="16"/>
  <c r="G3582" i="16" s="1"/>
  <c r="F3583" i="16"/>
  <c r="G3583" i="16" s="1"/>
  <c r="F3584" i="16"/>
  <c r="G3584" i="16" s="1"/>
  <c r="F3585" i="16"/>
  <c r="G3585" i="16" s="1"/>
  <c r="F3586" i="16"/>
  <c r="G3586" i="16" s="1"/>
  <c r="F3587" i="16"/>
  <c r="G3587" i="16" s="1"/>
  <c r="F3588" i="16"/>
  <c r="G3588" i="16" s="1"/>
  <c r="F3589" i="16"/>
  <c r="G3589" i="16" s="1"/>
  <c r="F3590" i="16"/>
  <c r="G3590" i="16" s="1"/>
  <c r="F3591" i="16"/>
  <c r="G3591" i="16" s="1"/>
  <c r="F3592" i="16"/>
  <c r="G3592" i="16" s="1"/>
  <c r="F3593" i="16"/>
  <c r="F3594" i="16"/>
  <c r="G3594" i="16" s="1"/>
  <c r="F3595" i="16"/>
  <c r="G3595" i="16" s="1"/>
  <c r="F3596" i="16"/>
  <c r="G3596" i="16" s="1"/>
  <c r="F3597" i="16"/>
  <c r="G3597" i="16" s="1"/>
  <c r="F3598" i="16"/>
  <c r="G3598" i="16" s="1"/>
  <c r="F3599" i="16"/>
  <c r="G3599" i="16" s="1"/>
  <c r="F3600" i="16"/>
  <c r="G3600" i="16" s="1"/>
  <c r="F3601" i="16"/>
  <c r="G3601" i="16" s="1"/>
  <c r="F3602" i="16"/>
  <c r="G3602" i="16" s="1"/>
  <c r="F3603" i="16"/>
  <c r="G3603" i="16" s="1"/>
  <c r="F3604" i="16"/>
  <c r="G3604" i="16" s="1"/>
  <c r="F3605" i="16"/>
  <c r="G3605" i="16" s="1"/>
  <c r="F3606" i="16"/>
  <c r="G3606" i="16" s="1"/>
  <c r="F3607" i="16"/>
  <c r="G3607" i="16" s="1"/>
  <c r="F3608" i="16"/>
  <c r="G3608" i="16" s="1"/>
  <c r="F3609" i="16"/>
  <c r="G3609" i="16" s="1"/>
  <c r="F3610" i="16"/>
  <c r="G3610" i="16" s="1"/>
  <c r="F3611" i="16"/>
  <c r="G3611" i="16" s="1"/>
  <c r="F3612" i="16"/>
  <c r="G3612" i="16" s="1"/>
  <c r="F3613" i="16"/>
  <c r="F3614" i="16"/>
  <c r="G3614" i="16" s="1"/>
  <c r="F3615" i="16"/>
  <c r="G3615" i="16" s="1"/>
  <c r="F3616" i="16"/>
  <c r="G3616" i="16" s="1"/>
  <c r="F3617" i="16"/>
  <c r="G3617" i="16" s="1"/>
  <c r="F3618" i="16"/>
  <c r="G3618" i="16" s="1"/>
  <c r="F3619" i="16"/>
  <c r="G3619" i="16" s="1"/>
  <c r="F3620" i="16"/>
  <c r="G3620" i="16" s="1"/>
  <c r="F3621" i="16"/>
  <c r="G3621" i="16" s="1"/>
  <c r="F3622" i="16"/>
  <c r="G3622" i="16" s="1"/>
  <c r="F3623" i="16"/>
  <c r="G3623" i="16" s="1"/>
  <c r="F3624" i="16"/>
  <c r="G3624" i="16" s="1"/>
  <c r="F3625" i="16"/>
  <c r="G3625" i="16" s="1"/>
  <c r="F3626" i="16"/>
  <c r="G3626" i="16" s="1"/>
  <c r="F3627" i="16"/>
  <c r="G3627" i="16" s="1"/>
  <c r="F3628" i="16"/>
  <c r="G3628" i="16" s="1"/>
  <c r="F3629" i="16"/>
  <c r="G3629" i="16" s="1"/>
  <c r="F3630" i="16"/>
  <c r="G3630" i="16" s="1"/>
  <c r="F3631" i="16"/>
  <c r="G3631" i="16" s="1"/>
  <c r="F3632" i="16"/>
  <c r="G3632" i="16" s="1"/>
  <c r="F3633" i="16"/>
  <c r="G3633" i="16" s="1"/>
  <c r="F3634" i="16"/>
  <c r="G3634" i="16" s="1"/>
  <c r="F3635" i="16"/>
  <c r="G3635" i="16" s="1"/>
  <c r="F3636" i="16"/>
  <c r="F3637" i="16"/>
  <c r="G3637" i="16" s="1"/>
  <c r="F3638" i="16"/>
  <c r="G3638" i="16" s="1"/>
  <c r="F3639" i="16"/>
  <c r="G3639" i="16" s="1"/>
  <c r="F3640" i="16"/>
  <c r="G3640" i="16" s="1"/>
  <c r="F3641" i="16"/>
  <c r="G3641" i="16" s="1"/>
  <c r="F3642" i="16"/>
  <c r="G3642" i="16" s="1"/>
  <c r="F3643" i="16"/>
  <c r="G3643" i="16" s="1"/>
  <c r="F3644" i="16"/>
  <c r="G3644" i="16" s="1"/>
  <c r="F3645" i="16"/>
  <c r="G3645" i="16" s="1"/>
  <c r="F3646" i="16"/>
  <c r="G3646" i="16" s="1"/>
  <c r="F3647" i="16"/>
  <c r="G3647" i="16" s="1"/>
  <c r="F3648" i="16"/>
  <c r="G3648" i="16" s="1"/>
  <c r="F3649" i="16"/>
  <c r="G3649" i="16" s="1"/>
  <c r="F3650" i="16"/>
  <c r="G3650" i="16" s="1"/>
  <c r="F3651" i="16"/>
  <c r="G3651" i="16" s="1"/>
  <c r="F3652" i="16"/>
  <c r="G3652" i="16" s="1"/>
  <c r="F3653" i="16"/>
  <c r="G3653" i="16" s="1"/>
  <c r="F3654" i="16"/>
  <c r="G3654" i="16" s="1"/>
  <c r="F3655" i="16"/>
  <c r="G3655" i="16" s="1"/>
  <c r="F3656" i="16"/>
  <c r="F3657" i="16"/>
  <c r="G3657" i="16" s="1"/>
  <c r="F3658" i="16"/>
  <c r="G3658" i="16" s="1"/>
  <c r="F3659" i="16"/>
  <c r="G3659" i="16" s="1"/>
  <c r="F3660" i="16"/>
  <c r="G3660" i="16" s="1"/>
  <c r="F3661" i="16"/>
  <c r="G3661" i="16" s="1"/>
  <c r="F3662" i="16"/>
  <c r="G3662" i="16" s="1"/>
  <c r="F3663" i="16"/>
  <c r="G3663" i="16" s="1"/>
  <c r="F3664" i="16"/>
  <c r="G3664" i="16" s="1"/>
  <c r="F3665" i="16"/>
  <c r="G3665" i="16" s="1"/>
  <c r="F3666" i="16"/>
  <c r="G3666" i="16" s="1"/>
  <c r="F3667" i="16"/>
  <c r="G3667" i="16" s="1"/>
  <c r="F3668" i="16"/>
  <c r="G3668" i="16" s="1"/>
  <c r="F3669" i="16"/>
  <c r="G3669" i="16" s="1"/>
  <c r="F3670" i="16"/>
  <c r="G3670" i="16" s="1"/>
  <c r="F3671" i="16"/>
  <c r="G3671" i="16" s="1"/>
  <c r="F3672" i="16"/>
  <c r="G3672" i="16" s="1"/>
  <c r="F3673" i="16"/>
  <c r="G3673" i="16" s="1"/>
  <c r="F3674" i="16"/>
  <c r="G3674" i="16" s="1"/>
  <c r="F3675" i="16"/>
  <c r="G3675" i="16" s="1"/>
  <c r="F3676" i="16"/>
  <c r="G3676" i="16" s="1"/>
  <c r="F3677" i="16"/>
  <c r="F3678" i="16"/>
  <c r="G3678" i="16" s="1"/>
  <c r="F3679" i="16"/>
  <c r="G3679" i="16" s="1"/>
  <c r="F3680" i="16"/>
  <c r="G3680" i="16" s="1"/>
  <c r="F3681" i="16"/>
  <c r="G3681" i="16" s="1"/>
  <c r="F3682" i="16"/>
  <c r="G3682" i="16" s="1"/>
  <c r="F3683" i="16"/>
  <c r="G3683" i="16" s="1"/>
  <c r="F3684" i="16"/>
  <c r="G3684" i="16" s="1"/>
  <c r="F3685" i="16"/>
  <c r="G3685" i="16" s="1"/>
  <c r="F3686" i="16"/>
  <c r="G3686" i="16" s="1"/>
  <c r="F3687" i="16"/>
  <c r="G3687" i="16" s="1"/>
  <c r="F3688" i="16"/>
  <c r="G3688" i="16" s="1"/>
  <c r="F3689" i="16"/>
  <c r="G3689" i="16" s="1"/>
  <c r="F3690" i="16"/>
  <c r="G3690" i="16" s="1"/>
  <c r="F3691" i="16"/>
  <c r="G3691" i="16" s="1"/>
  <c r="F3692" i="16"/>
  <c r="G3692" i="16" s="1"/>
  <c r="F3693" i="16"/>
  <c r="G3693" i="16" s="1"/>
  <c r="F3694" i="16"/>
  <c r="G3694" i="16" s="1"/>
  <c r="F3695" i="16"/>
  <c r="G3695" i="16" s="1"/>
  <c r="F3696" i="16"/>
  <c r="G3696" i="16" s="1"/>
  <c r="F3697" i="16"/>
  <c r="G3697" i="16" s="1"/>
  <c r="F3698" i="16"/>
  <c r="G3698" i="16" s="1"/>
  <c r="F3699" i="16"/>
  <c r="G3699" i="16" s="1"/>
  <c r="F3700" i="16"/>
  <c r="F3701" i="16"/>
  <c r="G3701" i="16" s="1"/>
  <c r="F3702" i="16"/>
  <c r="G3702" i="16" s="1"/>
  <c r="F3703" i="16"/>
  <c r="G3703" i="16" s="1"/>
  <c r="F3704" i="16"/>
  <c r="G3704" i="16" s="1"/>
  <c r="F3705" i="16"/>
  <c r="G3705" i="16" s="1"/>
  <c r="F3706" i="16"/>
  <c r="G3706" i="16" s="1"/>
  <c r="F3707" i="16"/>
  <c r="G3707" i="16" s="1"/>
  <c r="F3708" i="16"/>
  <c r="G3708" i="16" s="1"/>
  <c r="F3709" i="16"/>
  <c r="G3709" i="16" s="1"/>
  <c r="F3710" i="16"/>
  <c r="G3710" i="16" s="1"/>
  <c r="F3711" i="16"/>
  <c r="G3711" i="16" s="1"/>
  <c r="F3712" i="16"/>
  <c r="G3712" i="16" s="1"/>
  <c r="F3713" i="16"/>
  <c r="G3713" i="16" s="1"/>
  <c r="F3714" i="16"/>
  <c r="G3714" i="16" s="1"/>
  <c r="F3715" i="16"/>
  <c r="G3715" i="16" s="1"/>
  <c r="F3716" i="16"/>
  <c r="G3716" i="16" s="1"/>
  <c r="F3717" i="16"/>
  <c r="G3717" i="16" s="1"/>
  <c r="F3718" i="16"/>
  <c r="G3718" i="16" s="1"/>
  <c r="F3719" i="16"/>
  <c r="G3719" i="16" s="1"/>
  <c r="F3720" i="16"/>
  <c r="G3720" i="16" s="1"/>
  <c r="F3721" i="16"/>
  <c r="F3722" i="16"/>
  <c r="G3722" i="16" s="1"/>
  <c r="F3723" i="16"/>
  <c r="G3723" i="16" s="1"/>
  <c r="F3724" i="16"/>
  <c r="G3724" i="16" s="1"/>
  <c r="F3725" i="16"/>
  <c r="G3725" i="16" s="1"/>
  <c r="F3726" i="16"/>
  <c r="G3726" i="16" s="1"/>
  <c r="F3727" i="16"/>
  <c r="G3727" i="16" s="1"/>
  <c r="F3728" i="16"/>
  <c r="G3728" i="16" s="1"/>
  <c r="F3729" i="16"/>
  <c r="G3729" i="16" s="1"/>
  <c r="F3730" i="16"/>
  <c r="G3730" i="16" s="1"/>
  <c r="F3731" i="16"/>
  <c r="G3731" i="16" s="1"/>
  <c r="F3732" i="16"/>
  <c r="G3732" i="16" s="1"/>
  <c r="F3733" i="16"/>
  <c r="G3733" i="16" s="1"/>
  <c r="F3734" i="16"/>
  <c r="G3734" i="16" s="1"/>
  <c r="F3735" i="16"/>
  <c r="G3735" i="16" s="1"/>
  <c r="F3736" i="16"/>
  <c r="G3736" i="16" s="1"/>
  <c r="F3737" i="16"/>
  <c r="G3737" i="16" s="1"/>
  <c r="F3738" i="16"/>
  <c r="G3738" i="16" s="1"/>
  <c r="F3739" i="16"/>
  <c r="F3740" i="16"/>
  <c r="G3740" i="16" s="1"/>
  <c r="F3741" i="16"/>
  <c r="G3741" i="16" s="1"/>
  <c r="F3742" i="16"/>
  <c r="G3742" i="16" s="1"/>
  <c r="F3743" i="16"/>
  <c r="G3743" i="16" s="1"/>
  <c r="F3744" i="16"/>
  <c r="G3744" i="16" s="1"/>
  <c r="F3745" i="16"/>
  <c r="G3745" i="16" s="1"/>
  <c r="F3746" i="16"/>
  <c r="G3746" i="16" s="1"/>
  <c r="F3747" i="16"/>
  <c r="G3747" i="16" s="1"/>
  <c r="F3748" i="16"/>
  <c r="G3748" i="16" s="1"/>
  <c r="F3749" i="16"/>
  <c r="G3749" i="16" s="1"/>
  <c r="F3750" i="16"/>
  <c r="G3750" i="16" s="1"/>
  <c r="F3751" i="16"/>
  <c r="G3751" i="16" s="1"/>
  <c r="F3752" i="16"/>
  <c r="G3752" i="16" s="1"/>
  <c r="F3753" i="16"/>
  <c r="G3753" i="16" s="1"/>
  <c r="F3754" i="16"/>
  <c r="G3754" i="16" s="1"/>
  <c r="F3755" i="16"/>
  <c r="G3755" i="16" s="1"/>
  <c r="F3756" i="16"/>
  <c r="G3756" i="16" s="1"/>
  <c r="F3757" i="16"/>
  <c r="G3757" i="16" s="1"/>
  <c r="F3758" i="16"/>
  <c r="G3758" i="16" s="1"/>
  <c r="F3759" i="16"/>
  <c r="G3759" i="16" s="1"/>
  <c r="F3760" i="16"/>
  <c r="G3760" i="16" s="1"/>
  <c r="F3761" i="16"/>
  <c r="F3762" i="16"/>
  <c r="G3762" i="16" s="1"/>
  <c r="F3763" i="16"/>
  <c r="G3763" i="16" s="1"/>
  <c r="F3764" i="16"/>
  <c r="G3764" i="16" s="1"/>
  <c r="F3765" i="16"/>
  <c r="G3765" i="16" s="1"/>
  <c r="F3766" i="16"/>
  <c r="G3766" i="16" s="1"/>
  <c r="F3767" i="16"/>
  <c r="G3767" i="16" s="1"/>
  <c r="F3768" i="16"/>
  <c r="G3768" i="16" s="1"/>
  <c r="F3769" i="16"/>
  <c r="G3769" i="16" s="1"/>
  <c r="F3770" i="16"/>
  <c r="G3770" i="16" s="1"/>
  <c r="F3771" i="16"/>
  <c r="G3771" i="16" s="1"/>
  <c r="F3772" i="16"/>
  <c r="G3772" i="16" s="1"/>
  <c r="F3773" i="16"/>
  <c r="G3773" i="16" s="1"/>
  <c r="F3774" i="16"/>
  <c r="G3774" i="16" s="1"/>
  <c r="F3775" i="16"/>
  <c r="G3775" i="16" s="1"/>
  <c r="F3776" i="16"/>
  <c r="G3776" i="16" s="1"/>
  <c r="F3777" i="16"/>
  <c r="G3777" i="16" s="1"/>
  <c r="F3778" i="16"/>
  <c r="G3778" i="16" s="1"/>
  <c r="F3779" i="16"/>
  <c r="G3779" i="16" s="1"/>
  <c r="F3780" i="16"/>
  <c r="G3780" i="16" s="1"/>
  <c r="F3781" i="16"/>
  <c r="F3782" i="16"/>
  <c r="G3782" i="16" s="1"/>
  <c r="F3783" i="16"/>
  <c r="G3783" i="16" s="1"/>
  <c r="F3784" i="16"/>
  <c r="G3784" i="16" s="1"/>
  <c r="F3785" i="16"/>
  <c r="G3785" i="16" s="1"/>
  <c r="F3786" i="16"/>
  <c r="G3786" i="16" s="1"/>
  <c r="F3787" i="16"/>
  <c r="G3787" i="16" s="1"/>
  <c r="F3788" i="16"/>
  <c r="G3788" i="16" s="1"/>
  <c r="F3789" i="16"/>
  <c r="G3789" i="16" s="1"/>
  <c r="F3790" i="16"/>
  <c r="G3790" i="16" s="1"/>
  <c r="F3791" i="16"/>
  <c r="G3791" i="16" s="1"/>
  <c r="F3792" i="16"/>
  <c r="G3792" i="16" s="1"/>
  <c r="F3793" i="16"/>
  <c r="G3793" i="16" s="1"/>
  <c r="F3794" i="16"/>
  <c r="G3794" i="16" s="1"/>
  <c r="F3795" i="16"/>
  <c r="G3795" i="16" s="1"/>
  <c r="F3796" i="16"/>
  <c r="G3796" i="16" s="1"/>
  <c r="F3797" i="16"/>
  <c r="G3797" i="16" s="1"/>
  <c r="F3798" i="16"/>
  <c r="G3798" i="16" s="1"/>
  <c r="F3799" i="16"/>
  <c r="G3799" i="16" s="1"/>
  <c r="F3800" i="16"/>
  <c r="G3800" i="16" s="1"/>
  <c r="F3801" i="16"/>
  <c r="G3801" i="16" s="1"/>
  <c r="F3802" i="16"/>
  <c r="F3803" i="16"/>
  <c r="G3803" i="16" s="1"/>
  <c r="F3804" i="16"/>
  <c r="G3804" i="16" s="1"/>
  <c r="F3805" i="16"/>
  <c r="G3805" i="16" s="1"/>
  <c r="F3806" i="16"/>
  <c r="G3806" i="16" s="1"/>
  <c r="F3807" i="16"/>
  <c r="G3807" i="16" s="1"/>
  <c r="F3808" i="16"/>
  <c r="G3808" i="16" s="1"/>
  <c r="F3809" i="16"/>
  <c r="G3809" i="16" s="1"/>
  <c r="F3810" i="16"/>
  <c r="G3810" i="16" s="1"/>
  <c r="F3811" i="16"/>
  <c r="G3811" i="16" s="1"/>
  <c r="F3812" i="16"/>
  <c r="G3812" i="16" s="1"/>
  <c r="F3813" i="16"/>
  <c r="G3813" i="16" s="1"/>
  <c r="F3814" i="16"/>
  <c r="G3814" i="16" s="1"/>
  <c r="F3815" i="16"/>
  <c r="G3815" i="16" s="1"/>
  <c r="F3816" i="16"/>
  <c r="G3816" i="16" s="1"/>
  <c r="F3817" i="16"/>
  <c r="G3817" i="16" s="1"/>
  <c r="F3818" i="16"/>
  <c r="G3818" i="16" s="1"/>
  <c r="F3" i="16"/>
  <c r="F3" i="15"/>
  <c r="G3" i="15" s="1"/>
  <c r="F4" i="15"/>
  <c r="G4" i="15" s="1"/>
  <c r="F5" i="15"/>
  <c r="G5" i="15" s="1"/>
  <c r="F6" i="15"/>
  <c r="G6" i="15" s="1"/>
  <c r="F7" i="15"/>
  <c r="G7" i="15" s="1"/>
  <c r="F8" i="15"/>
  <c r="G8" i="15" s="1"/>
  <c r="F9" i="15"/>
  <c r="G9" i="15" s="1"/>
  <c r="F10" i="15"/>
  <c r="G10" i="15" s="1"/>
  <c r="F11" i="15"/>
  <c r="G11" i="15" s="1"/>
  <c r="F12" i="15"/>
  <c r="G12" i="15" s="1"/>
  <c r="F13" i="15"/>
  <c r="G13" i="15" s="1"/>
  <c r="F14" i="15"/>
  <c r="G14" i="15" s="1"/>
  <c r="F15" i="15"/>
  <c r="G15" i="15" s="1"/>
  <c r="F16" i="15"/>
  <c r="G16" i="15" s="1"/>
  <c r="F17" i="15"/>
  <c r="G17" i="15" s="1"/>
  <c r="F18" i="15"/>
  <c r="G18" i="15" s="1"/>
  <c r="F19" i="15"/>
  <c r="G19" i="15" s="1"/>
  <c r="F20" i="15"/>
  <c r="G20" i="15" s="1"/>
  <c r="F21" i="15"/>
  <c r="G21" i="15" s="1"/>
  <c r="F22" i="15"/>
  <c r="G22" i="15" s="1"/>
  <c r="F23" i="15"/>
  <c r="G23" i="15" s="1"/>
  <c r="F24" i="15"/>
  <c r="G24" i="15" s="1"/>
  <c r="F25" i="15"/>
  <c r="G25" i="15" s="1"/>
  <c r="F26" i="15"/>
  <c r="G26" i="15" s="1"/>
  <c r="F27" i="15"/>
  <c r="G27" i="15" s="1"/>
  <c r="F28" i="15"/>
  <c r="G28" i="15" s="1"/>
  <c r="F29" i="15"/>
  <c r="G29" i="15" s="1"/>
  <c r="F30" i="15"/>
  <c r="G30" i="15" s="1"/>
  <c r="F31" i="15"/>
  <c r="G31" i="15" s="1"/>
  <c r="F32" i="15"/>
  <c r="G32" i="15" s="1"/>
  <c r="F33" i="15"/>
  <c r="G33" i="15" s="1"/>
  <c r="F34" i="15"/>
  <c r="G34" i="15" s="1"/>
  <c r="F35" i="15"/>
  <c r="G35" i="15" s="1"/>
  <c r="F36" i="15"/>
  <c r="G36" i="15" s="1"/>
  <c r="F37" i="15"/>
  <c r="G37" i="15" s="1"/>
  <c r="F38" i="15"/>
  <c r="G38" i="15" s="1"/>
  <c r="F39" i="15"/>
  <c r="G39" i="15" s="1"/>
  <c r="F40" i="15"/>
  <c r="G40" i="15" s="1"/>
  <c r="F41" i="15"/>
  <c r="G41" i="15" s="1"/>
  <c r="F42" i="15"/>
  <c r="G42" i="15" s="1"/>
  <c r="F43" i="15"/>
  <c r="G43" i="15" s="1"/>
  <c r="F44" i="15"/>
  <c r="G44" i="15" s="1"/>
  <c r="F45" i="15"/>
  <c r="G45" i="15" s="1"/>
  <c r="F46" i="15"/>
  <c r="G46" i="15" s="1"/>
  <c r="F47" i="15"/>
  <c r="G47" i="15" s="1"/>
  <c r="F48" i="15"/>
  <c r="G48" i="15" s="1"/>
  <c r="F49" i="15"/>
  <c r="G49" i="15" s="1"/>
  <c r="F50" i="15"/>
  <c r="G50" i="15" s="1"/>
  <c r="F51" i="15"/>
  <c r="G51" i="15" s="1"/>
  <c r="F52" i="15"/>
  <c r="G52" i="15" s="1"/>
  <c r="F53" i="15"/>
  <c r="G53" i="15" s="1"/>
  <c r="F54" i="15"/>
  <c r="G54" i="15" s="1"/>
  <c r="F55" i="15"/>
  <c r="G55" i="15" s="1"/>
  <c r="F56" i="15"/>
  <c r="G56" i="15" s="1"/>
  <c r="F57" i="15"/>
  <c r="G57" i="15" s="1"/>
  <c r="F58" i="15"/>
  <c r="G58" i="15" s="1"/>
  <c r="F59" i="15"/>
  <c r="G59" i="15" s="1"/>
  <c r="F60" i="15"/>
  <c r="G60" i="15" s="1"/>
  <c r="F61" i="15"/>
  <c r="G61" i="15" s="1"/>
  <c r="F62" i="15"/>
  <c r="G62" i="15" s="1"/>
  <c r="F63" i="15"/>
  <c r="G63" i="15" s="1"/>
  <c r="F64" i="15"/>
  <c r="G64" i="15" s="1"/>
  <c r="F65" i="15"/>
  <c r="G65" i="15" s="1"/>
  <c r="F66" i="15"/>
  <c r="G66" i="15" s="1"/>
  <c r="F67" i="15"/>
  <c r="G67" i="15" s="1"/>
  <c r="F68" i="15"/>
  <c r="G68" i="15" s="1"/>
  <c r="F69" i="15"/>
  <c r="G69" i="15" s="1"/>
  <c r="F70" i="15"/>
  <c r="G70" i="15" s="1"/>
  <c r="F71" i="15"/>
  <c r="G71" i="15" s="1"/>
  <c r="F72" i="15"/>
  <c r="G72" i="15" s="1"/>
  <c r="F73" i="15"/>
  <c r="G73" i="15" s="1"/>
  <c r="F74" i="15"/>
  <c r="G74" i="15" s="1"/>
  <c r="F75" i="15"/>
  <c r="G75" i="15" s="1"/>
  <c r="F76" i="15"/>
  <c r="G76" i="15" s="1"/>
  <c r="F77" i="15"/>
  <c r="G77" i="15" s="1"/>
  <c r="F78" i="15"/>
  <c r="G78" i="15" s="1"/>
  <c r="F79" i="15"/>
  <c r="G79" i="15" s="1"/>
  <c r="F80" i="15"/>
  <c r="G80" i="15" s="1"/>
  <c r="F81" i="15"/>
  <c r="G81" i="15" s="1"/>
  <c r="F82" i="15"/>
  <c r="G82" i="15" s="1"/>
  <c r="F83" i="15"/>
  <c r="G83" i="15" s="1"/>
  <c r="F84" i="15"/>
  <c r="G84" i="15" s="1"/>
  <c r="F85" i="15"/>
  <c r="G85" i="15" s="1"/>
  <c r="F86" i="15"/>
  <c r="G86" i="15" s="1"/>
  <c r="F87" i="15"/>
  <c r="G87" i="15" s="1"/>
  <c r="F88" i="15"/>
  <c r="G88" i="15" s="1"/>
  <c r="F89" i="15"/>
  <c r="G89" i="15" s="1"/>
  <c r="F90" i="15"/>
  <c r="G90" i="15" s="1"/>
  <c r="F91" i="15"/>
  <c r="G91" i="15" s="1"/>
  <c r="F92" i="15"/>
  <c r="G92" i="15" s="1"/>
  <c r="F93" i="15"/>
  <c r="G93" i="15" s="1"/>
  <c r="F94" i="15"/>
  <c r="G94" i="15" s="1"/>
  <c r="F95" i="15"/>
  <c r="G95" i="15" s="1"/>
  <c r="F96" i="15"/>
  <c r="G96" i="15" s="1"/>
  <c r="F97" i="15"/>
  <c r="G97" i="15" s="1"/>
  <c r="F98" i="15"/>
  <c r="G98" i="15" s="1"/>
  <c r="F99" i="15"/>
  <c r="G99" i="15" s="1"/>
  <c r="F100" i="15"/>
  <c r="G100" i="15" s="1"/>
  <c r="F101" i="15"/>
  <c r="G101" i="15" s="1"/>
  <c r="F102" i="15"/>
  <c r="G102" i="15" s="1"/>
  <c r="F103" i="15"/>
  <c r="G103" i="15" s="1"/>
  <c r="F104" i="15"/>
  <c r="G104" i="15" s="1"/>
  <c r="F105" i="15"/>
  <c r="G105" i="15" s="1"/>
  <c r="F106" i="15"/>
  <c r="G106" i="15" s="1"/>
  <c r="F107" i="15"/>
  <c r="G107" i="15" s="1"/>
  <c r="F108" i="15"/>
  <c r="G108" i="15" s="1"/>
  <c r="F109" i="15"/>
  <c r="G109" i="15" s="1"/>
  <c r="F110" i="15"/>
  <c r="G110" i="15" s="1"/>
  <c r="F111" i="15"/>
  <c r="G111" i="15" s="1"/>
  <c r="F112" i="15"/>
  <c r="G112" i="15" s="1"/>
  <c r="F113" i="15"/>
  <c r="G113" i="15" s="1"/>
  <c r="F114" i="15"/>
  <c r="G114" i="15" s="1"/>
  <c r="F115" i="15"/>
  <c r="G115" i="15" s="1"/>
  <c r="F116" i="15"/>
  <c r="G116" i="15" s="1"/>
  <c r="F117" i="15"/>
  <c r="G117" i="15" s="1"/>
  <c r="F118" i="15"/>
  <c r="G118" i="15" s="1"/>
  <c r="F119" i="15"/>
  <c r="G119" i="15" s="1"/>
  <c r="F120" i="15"/>
  <c r="G120" i="15" s="1"/>
  <c r="F121" i="15"/>
  <c r="G121" i="15" s="1"/>
  <c r="F122" i="15"/>
  <c r="G122" i="15" s="1"/>
  <c r="F123" i="15"/>
  <c r="G123" i="15" s="1"/>
  <c r="F124" i="15"/>
  <c r="G124" i="15" s="1"/>
  <c r="F125" i="15"/>
  <c r="G125" i="15" s="1"/>
  <c r="F126" i="15"/>
  <c r="G126" i="15" s="1"/>
  <c r="F127" i="15"/>
  <c r="G127" i="15" s="1"/>
  <c r="F128" i="15"/>
  <c r="G128" i="15" s="1"/>
  <c r="F129" i="15"/>
  <c r="G129" i="15" s="1"/>
  <c r="F130" i="15"/>
  <c r="G130" i="15" s="1"/>
  <c r="F131" i="15"/>
  <c r="G131" i="15" s="1"/>
  <c r="F132" i="15"/>
  <c r="G132" i="15" s="1"/>
  <c r="F133" i="15"/>
  <c r="G133" i="15" s="1"/>
  <c r="F134" i="15"/>
  <c r="G134" i="15" s="1"/>
  <c r="F135" i="15"/>
  <c r="G135" i="15" s="1"/>
  <c r="F136" i="15"/>
  <c r="G136" i="15" s="1"/>
  <c r="F137" i="15"/>
  <c r="G137" i="15" s="1"/>
  <c r="F138" i="15"/>
  <c r="G138" i="15" s="1"/>
  <c r="F139" i="15"/>
  <c r="G139" i="15" s="1"/>
  <c r="F140" i="15"/>
  <c r="G140" i="15" s="1"/>
  <c r="F141" i="15"/>
  <c r="G141" i="15" s="1"/>
  <c r="F142" i="15"/>
  <c r="G142" i="15" s="1"/>
  <c r="F143" i="15"/>
  <c r="G143" i="15" s="1"/>
  <c r="F144" i="15"/>
  <c r="G144" i="15" s="1"/>
  <c r="F145" i="15"/>
  <c r="G145" i="15" s="1"/>
  <c r="F146" i="15"/>
  <c r="G146" i="15" s="1"/>
  <c r="F147" i="15"/>
  <c r="G147" i="15" s="1"/>
  <c r="F148" i="15"/>
  <c r="G148" i="15" s="1"/>
  <c r="F149" i="15"/>
  <c r="G149" i="15" s="1"/>
  <c r="F150" i="15"/>
  <c r="G150" i="15" s="1"/>
  <c r="F151" i="15"/>
  <c r="G151" i="15" s="1"/>
  <c r="F152" i="15"/>
  <c r="G152" i="15" s="1"/>
  <c r="F153" i="15"/>
  <c r="G153" i="15" s="1"/>
  <c r="F154" i="15"/>
  <c r="G154" i="15" s="1"/>
  <c r="F155" i="15"/>
  <c r="G155" i="15" s="1"/>
  <c r="F156" i="15"/>
  <c r="G156" i="15" s="1"/>
  <c r="F157" i="15"/>
  <c r="G157" i="15" s="1"/>
  <c r="F158" i="15"/>
  <c r="G158" i="15" s="1"/>
  <c r="F159" i="15"/>
  <c r="G159" i="15" s="1"/>
  <c r="F160" i="15"/>
  <c r="G160" i="15" s="1"/>
  <c r="F161" i="15"/>
  <c r="G161" i="15" s="1"/>
  <c r="F162" i="15"/>
  <c r="G162" i="15" s="1"/>
  <c r="F163" i="15"/>
  <c r="G163" i="15" s="1"/>
  <c r="F164" i="15"/>
  <c r="G164" i="15" s="1"/>
  <c r="F165" i="15"/>
  <c r="G165" i="15" s="1"/>
  <c r="F166" i="15"/>
  <c r="G166" i="15" s="1"/>
  <c r="F167" i="15"/>
  <c r="G167" i="15" s="1"/>
  <c r="F168" i="15"/>
  <c r="G168" i="15" s="1"/>
  <c r="F169" i="15"/>
  <c r="G169" i="15" s="1"/>
  <c r="F170" i="15"/>
  <c r="G170" i="15" s="1"/>
  <c r="F171" i="15"/>
  <c r="G171" i="15" s="1"/>
  <c r="F172" i="15"/>
  <c r="G172" i="15" s="1"/>
  <c r="F173" i="15"/>
  <c r="G173" i="15" s="1"/>
  <c r="F174" i="15"/>
  <c r="G174" i="15" s="1"/>
  <c r="F175" i="15"/>
  <c r="G175" i="15" s="1"/>
  <c r="F176" i="15"/>
  <c r="G176" i="15" s="1"/>
  <c r="F177" i="15"/>
  <c r="G177" i="15" s="1"/>
  <c r="F178" i="15"/>
  <c r="G178" i="15" s="1"/>
  <c r="F179" i="15"/>
  <c r="G179" i="15" s="1"/>
  <c r="F180" i="15"/>
  <c r="G180" i="15" s="1"/>
  <c r="F181" i="15"/>
  <c r="G181" i="15" s="1"/>
  <c r="F182" i="15"/>
  <c r="G182" i="15" s="1"/>
  <c r="F183" i="15"/>
  <c r="G183" i="15" s="1"/>
  <c r="F184" i="15"/>
  <c r="G184" i="15" s="1"/>
  <c r="F185" i="15"/>
  <c r="G185" i="15" s="1"/>
  <c r="F186" i="15"/>
  <c r="G186" i="15" s="1"/>
  <c r="F187" i="15"/>
  <c r="G187" i="15" s="1"/>
  <c r="F188" i="15"/>
  <c r="G188" i="15" s="1"/>
  <c r="F189" i="15"/>
  <c r="G189" i="15" s="1"/>
  <c r="F190" i="15"/>
  <c r="G190" i="15" s="1"/>
  <c r="F191" i="15"/>
  <c r="G191" i="15" s="1"/>
  <c r="F192" i="15"/>
  <c r="G192" i="15" s="1"/>
  <c r="F193" i="15"/>
  <c r="G193" i="15" s="1"/>
  <c r="F194" i="15"/>
  <c r="G194" i="15" s="1"/>
  <c r="F195" i="15"/>
  <c r="G195" i="15" s="1"/>
  <c r="F196" i="15"/>
  <c r="G196" i="15" s="1"/>
  <c r="F197" i="15"/>
  <c r="G197" i="15" s="1"/>
  <c r="F198" i="15"/>
  <c r="G198" i="15" s="1"/>
  <c r="F199" i="15"/>
  <c r="G199" i="15" s="1"/>
  <c r="F200" i="15"/>
  <c r="G200" i="15" s="1"/>
  <c r="F201" i="15"/>
  <c r="G201" i="15" s="1"/>
  <c r="F202" i="15"/>
  <c r="G202" i="15" s="1"/>
  <c r="F203" i="15"/>
  <c r="G203" i="15" s="1"/>
  <c r="F204" i="15"/>
  <c r="G204" i="15" s="1"/>
  <c r="F205" i="15"/>
  <c r="G205" i="15" s="1"/>
  <c r="F206" i="15"/>
  <c r="G206" i="15" s="1"/>
  <c r="F207" i="15"/>
  <c r="G207" i="15" s="1"/>
  <c r="F208" i="15"/>
  <c r="G208" i="15" s="1"/>
  <c r="F209" i="15"/>
  <c r="G209" i="15" s="1"/>
  <c r="F210" i="15"/>
  <c r="G210" i="15" s="1"/>
  <c r="F211" i="15"/>
  <c r="G211" i="15" s="1"/>
  <c r="F212" i="15"/>
  <c r="G212" i="15" s="1"/>
  <c r="F213" i="15"/>
  <c r="G213" i="15" s="1"/>
  <c r="F214" i="15"/>
  <c r="G214" i="15" s="1"/>
  <c r="F215" i="15"/>
  <c r="G215" i="15" s="1"/>
  <c r="F216" i="15"/>
  <c r="G216" i="15" s="1"/>
  <c r="F217" i="15"/>
  <c r="G217" i="15" s="1"/>
  <c r="F218" i="15"/>
  <c r="G218" i="15" s="1"/>
  <c r="F219" i="15"/>
  <c r="G219" i="15" s="1"/>
  <c r="F220" i="15"/>
  <c r="G220" i="15" s="1"/>
  <c r="F221" i="15"/>
  <c r="G221" i="15" s="1"/>
  <c r="F222" i="15"/>
  <c r="G222" i="15" s="1"/>
  <c r="F223" i="15"/>
  <c r="G223" i="15" s="1"/>
  <c r="F224" i="15"/>
  <c r="G224" i="15" s="1"/>
  <c r="F225" i="15"/>
  <c r="G225" i="15" s="1"/>
  <c r="F226" i="15"/>
  <c r="G226" i="15" s="1"/>
  <c r="F227" i="15"/>
  <c r="G227" i="15" s="1"/>
  <c r="F228" i="15"/>
  <c r="G228" i="15" s="1"/>
  <c r="F229" i="15"/>
  <c r="G229" i="15" s="1"/>
  <c r="F230" i="15"/>
  <c r="G230" i="15" s="1"/>
  <c r="F231" i="15"/>
  <c r="G231" i="15" s="1"/>
  <c r="F232" i="15"/>
  <c r="G232" i="15" s="1"/>
  <c r="F233" i="15"/>
  <c r="G233" i="15" s="1"/>
  <c r="F234" i="15"/>
  <c r="G234" i="15" s="1"/>
  <c r="F235" i="15"/>
  <c r="G235" i="15" s="1"/>
  <c r="F236" i="15"/>
  <c r="G236" i="15" s="1"/>
  <c r="F237" i="15"/>
  <c r="G237" i="15" s="1"/>
  <c r="F238" i="15"/>
  <c r="G238" i="15" s="1"/>
  <c r="F239" i="15"/>
  <c r="G239" i="15" s="1"/>
  <c r="F240" i="15"/>
  <c r="G240" i="15" s="1"/>
  <c r="F241" i="15"/>
  <c r="G241" i="15" s="1"/>
  <c r="F242" i="15"/>
  <c r="G242" i="15" s="1"/>
  <c r="F243" i="15"/>
  <c r="G243" i="15" s="1"/>
  <c r="F244" i="15"/>
  <c r="G244" i="15" s="1"/>
  <c r="F245" i="15"/>
  <c r="G245" i="15" s="1"/>
  <c r="F246" i="15"/>
  <c r="G246" i="15" s="1"/>
  <c r="F247" i="15"/>
  <c r="G247" i="15" s="1"/>
  <c r="F248" i="15"/>
  <c r="G248" i="15" s="1"/>
  <c r="F249" i="15"/>
  <c r="G249" i="15" s="1"/>
  <c r="F250" i="15"/>
  <c r="G250" i="15" s="1"/>
  <c r="F251" i="15"/>
  <c r="G251" i="15" s="1"/>
  <c r="F252" i="15"/>
  <c r="G252" i="15" s="1"/>
  <c r="F253" i="15"/>
  <c r="G253" i="15" s="1"/>
  <c r="F254" i="15"/>
  <c r="G254" i="15" s="1"/>
  <c r="F255" i="15"/>
  <c r="G255" i="15" s="1"/>
  <c r="F256" i="15"/>
  <c r="G256" i="15" s="1"/>
  <c r="F257" i="15"/>
  <c r="G257" i="15" s="1"/>
  <c r="F258" i="15"/>
  <c r="G258" i="15" s="1"/>
  <c r="F259" i="15"/>
  <c r="G259" i="15" s="1"/>
  <c r="F260" i="15"/>
  <c r="G260" i="15" s="1"/>
  <c r="F261" i="15"/>
  <c r="G261" i="15" s="1"/>
  <c r="F262" i="15"/>
  <c r="G262" i="15" s="1"/>
  <c r="F263" i="15"/>
  <c r="G263" i="15" s="1"/>
  <c r="F264" i="15"/>
  <c r="G264" i="15" s="1"/>
  <c r="F265" i="15"/>
  <c r="G265" i="15" s="1"/>
  <c r="F266" i="15"/>
  <c r="G266" i="15" s="1"/>
  <c r="F267" i="15"/>
  <c r="G267" i="15" s="1"/>
  <c r="F268" i="15"/>
  <c r="G268" i="15" s="1"/>
  <c r="F269" i="15"/>
  <c r="G269" i="15" s="1"/>
  <c r="F270" i="15"/>
  <c r="G270" i="15" s="1"/>
  <c r="F271" i="15"/>
  <c r="G271" i="15" s="1"/>
  <c r="F272" i="15"/>
  <c r="G272" i="15" s="1"/>
  <c r="F273" i="15"/>
  <c r="G273" i="15" s="1"/>
  <c r="F274" i="15"/>
  <c r="G274" i="15" s="1"/>
  <c r="F275" i="15"/>
  <c r="G275" i="15" s="1"/>
  <c r="F276" i="15"/>
  <c r="G276" i="15" s="1"/>
  <c r="F277" i="15"/>
  <c r="G277" i="15" s="1"/>
  <c r="F278" i="15"/>
  <c r="G278" i="15" s="1"/>
  <c r="F279" i="15"/>
  <c r="G279" i="15" s="1"/>
  <c r="F280" i="15"/>
  <c r="G280" i="15" s="1"/>
  <c r="F281" i="15"/>
  <c r="G281" i="15" s="1"/>
  <c r="F282" i="15"/>
  <c r="G282" i="15" s="1"/>
  <c r="F283" i="15"/>
  <c r="G283" i="15" s="1"/>
  <c r="F284" i="15"/>
  <c r="G284" i="15" s="1"/>
  <c r="F285" i="15"/>
  <c r="G285" i="15" s="1"/>
  <c r="F286" i="15"/>
  <c r="G286" i="15" s="1"/>
  <c r="F287" i="15"/>
  <c r="G287" i="15" s="1"/>
  <c r="F288" i="15"/>
  <c r="G288" i="15" s="1"/>
  <c r="F289" i="15"/>
  <c r="G289" i="15" s="1"/>
  <c r="F290" i="15"/>
  <c r="G290" i="15" s="1"/>
  <c r="F291" i="15"/>
  <c r="G291" i="15" s="1"/>
  <c r="F292" i="15"/>
  <c r="G292" i="15" s="1"/>
  <c r="F293" i="15"/>
  <c r="G293" i="15" s="1"/>
  <c r="F294" i="15"/>
  <c r="G294" i="15" s="1"/>
  <c r="F295" i="15"/>
  <c r="G295" i="15" s="1"/>
  <c r="F296" i="15"/>
  <c r="G296" i="15" s="1"/>
  <c r="F297" i="15"/>
  <c r="G297" i="15" s="1"/>
  <c r="F298" i="15"/>
  <c r="G298" i="15" s="1"/>
  <c r="F299" i="15"/>
  <c r="G299" i="15" s="1"/>
  <c r="F300" i="15"/>
  <c r="G300" i="15" s="1"/>
  <c r="F301" i="15"/>
  <c r="G301" i="15" s="1"/>
  <c r="F302" i="15"/>
  <c r="G302" i="15" s="1"/>
  <c r="F303" i="15"/>
  <c r="G303" i="15" s="1"/>
  <c r="F304" i="15"/>
  <c r="G304" i="15" s="1"/>
  <c r="F305" i="15"/>
  <c r="G305" i="15" s="1"/>
  <c r="F306" i="15"/>
  <c r="G306" i="15" s="1"/>
  <c r="F307" i="15"/>
  <c r="G307" i="15" s="1"/>
  <c r="F308" i="15"/>
  <c r="G308" i="15" s="1"/>
  <c r="F309" i="15"/>
  <c r="G309" i="15" s="1"/>
  <c r="F310" i="15"/>
  <c r="G310" i="15" s="1"/>
  <c r="F311" i="15"/>
  <c r="G311" i="15" s="1"/>
  <c r="F312" i="15"/>
  <c r="G312" i="15" s="1"/>
  <c r="F313" i="15"/>
  <c r="G313" i="15" s="1"/>
  <c r="F314" i="15"/>
  <c r="G314" i="15" s="1"/>
  <c r="F315" i="15"/>
  <c r="G315" i="15" s="1"/>
  <c r="F316" i="15"/>
  <c r="G316" i="15" s="1"/>
  <c r="F317" i="15"/>
  <c r="G317" i="15" s="1"/>
  <c r="F318" i="15"/>
  <c r="G318" i="15" s="1"/>
  <c r="F319" i="15"/>
  <c r="G319" i="15" s="1"/>
  <c r="F320" i="15"/>
  <c r="G320" i="15" s="1"/>
  <c r="F321" i="15"/>
  <c r="G321" i="15" s="1"/>
  <c r="F322" i="15"/>
  <c r="G322" i="15" s="1"/>
  <c r="F323" i="15"/>
  <c r="G323" i="15" s="1"/>
  <c r="F324" i="15"/>
  <c r="G324" i="15" s="1"/>
  <c r="F325" i="15"/>
  <c r="G325" i="15" s="1"/>
  <c r="F326" i="15"/>
  <c r="G326" i="15" s="1"/>
  <c r="F327" i="15"/>
  <c r="G327" i="15" s="1"/>
  <c r="F328" i="15"/>
  <c r="G328" i="15" s="1"/>
  <c r="F329" i="15"/>
  <c r="G329" i="15" s="1"/>
  <c r="F330" i="15"/>
  <c r="G330" i="15" s="1"/>
  <c r="F331" i="15"/>
  <c r="G331" i="15" s="1"/>
  <c r="F332" i="15"/>
  <c r="G332" i="15" s="1"/>
  <c r="F333" i="15"/>
  <c r="G333" i="15" s="1"/>
  <c r="F334" i="15"/>
  <c r="G334" i="15" s="1"/>
  <c r="F335" i="15"/>
  <c r="G335" i="15" s="1"/>
  <c r="F336" i="15"/>
  <c r="G336" i="15" s="1"/>
  <c r="F337" i="15"/>
  <c r="G337" i="15" s="1"/>
  <c r="F338" i="15"/>
  <c r="G338" i="15" s="1"/>
  <c r="F339" i="15"/>
  <c r="G339" i="15" s="1"/>
  <c r="F340" i="15"/>
  <c r="G340" i="15" s="1"/>
  <c r="F341" i="15"/>
  <c r="G341" i="15" s="1"/>
  <c r="F342" i="15"/>
  <c r="G342" i="15" s="1"/>
  <c r="F343" i="15"/>
  <c r="G343" i="15" s="1"/>
  <c r="F344" i="15"/>
  <c r="G344" i="15" s="1"/>
  <c r="F345" i="15"/>
  <c r="G345" i="15" s="1"/>
  <c r="F346" i="15"/>
  <c r="G346" i="15" s="1"/>
  <c r="F347" i="15"/>
  <c r="G347" i="15" s="1"/>
  <c r="F348" i="15"/>
  <c r="G348" i="15" s="1"/>
  <c r="F349" i="15"/>
  <c r="G349" i="15" s="1"/>
  <c r="F350" i="15"/>
  <c r="G350" i="15" s="1"/>
  <c r="F351" i="15"/>
  <c r="G351" i="15" s="1"/>
  <c r="F352" i="15"/>
  <c r="G352" i="15" s="1"/>
  <c r="F353" i="15"/>
  <c r="G353" i="15" s="1"/>
  <c r="F354" i="15"/>
  <c r="G354" i="15" s="1"/>
  <c r="F355" i="15"/>
  <c r="G355" i="15" s="1"/>
  <c r="F356" i="15"/>
  <c r="G356" i="15" s="1"/>
  <c r="F357" i="15"/>
  <c r="G357" i="15" s="1"/>
  <c r="F358" i="15"/>
  <c r="G358" i="15" s="1"/>
  <c r="F359" i="15"/>
  <c r="G359" i="15" s="1"/>
  <c r="F360" i="15"/>
  <c r="G360" i="15" s="1"/>
  <c r="F361" i="15"/>
  <c r="G361" i="15" s="1"/>
  <c r="F362" i="15"/>
  <c r="G362" i="15" s="1"/>
  <c r="F363" i="15"/>
  <c r="G363" i="15" s="1"/>
  <c r="F364" i="15"/>
  <c r="G364" i="15" s="1"/>
  <c r="F365" i="15"/>
  <c r="G365" i="15" s="1"/>
  <c r="F366" i="15"/>
  <c r="G366" i="15" s="1"/>
  <c r="F367" i="15"/>
  <c r="G367" i="15" s="1"/>
  <c r="F368" i="15"/>
  <c r="G368" i="15" s="1"/>
  <c r="F369" i="15"/>
  <c r="G369" i="15" s="1"/>
  <c r="F370" i="15"/>
  <c r="G370" i="15" s="1"/>
  <c r="F371" i="15"/>
  <c r="G371" i="15" s="1"/>
  <c r="F372" i="15"/>
  <c r="G372" i="15" s="1"/>
  <c r="F373" i="15"/>
  <c r="G373" i="15" s="1"/>
  <c r="F374" i="15"/>
  <c r="G374" i="15" s="1"/>
  <c r="F375" i="15"/>
  <c r="G375" i="15" s="1"/>
  <c r="F376" i="15"/>
  <c r="G376" i="15" s="1"/>
  <c r="F377" i="15"/>
  <c r="G377" i="15" s="1"/>
  <c r="F378" i="15"/>
  <c r="G378" i="15" s="1"/>
  <c r="F379" i="15"/>
  <c r="G379" i="15" s="1"/>
  <c r="F380" i="15"/>
  <c r="G380" i="15" s="1"/>
  <c r="F381" i="15"/>
  <c r="G381" i="15" s="1"/>
  <c r="F382" i="15"/>
  <c r="G382" i="15" s="1"/>
  <c r="F383" i="15"/>
  <c r="G383" i="15" s="1"/>
  <c r="F384" i="15"/>
  <c r="G384" i="15" s="1"/>
  <c r="F385" i="15"/>
  <c r="G385" i="15" s="1"/>
  <c r="F386" i="15"/>
  <c r="G386" i="15" s="1"/>
  <c r="F387" i="15"/>
  <c r="G387" i="15" s="1"/>
  <c r="F388" i="15"/>
  <c r="G388" i="15" s="1"/>
  <c r="F389" i="15"/>
  <c r="G389" i="15" s="1"/>
  <c r="F390" i="15"/>
  <c r="G390" i="15" s="1"/>
  <c r="F391" i="15"/>
  <c r="G391" i="15" s="1"/>
  <c r="F392" i="15"/>
  <c r="G392" i="15" s="1"/>
  <c r="F393" i="15"/>
  <c r="G393" i="15" s="1"/>
  <c r="F394" i="15"/>
  <c r="G394" i="15" s="1"/>
  <c r="F395" i="15"/>
  <c r="G395" i="15" s="1"/>
  <c r="F396" i="15"/>
  <c r="G396" i="15" s="1"/>
  <c r="F397" i="15"/>
  <c r="G397" i="15" s="1"/>
  <c r="F398" i="15"/>
  <c r="G398" i="15" s="1"/>
  <c r="F399" i="15"/>
  <c r="G399" i="15" s="1"/>
  <c r="F400" i="15"/>
  <c r="G400" i="15" s="1"/>
  <c r="F401" i="15"/>
  <c r="G401" i="15" s="1"/>
  <c r="F402" i="15"/>
  <c r="G402" i="15" s="1"/>
  <c r="F403" i="15"/>
  <c r="G403" i="15" s="1"/>
  <c r="F404" i="15"/>
  <c r="G404" i="15" s="1"/>
  <c r="F405" i="15"/>
  <c r="G405" i="15" s="1"/>
  <c r="F406" i="15"/>
  <c r="G406" i="15" s="1"/>
  <c r="F407" i="15"/>
  <c r="G407" i="15" s="1"/>
  <c r="F408" i="15"/>
  <c r="G408" i="15" s="1"/>
  <c r="F409" i="15"/>
  <c r="G409" i="15" s="1"/>
  <c r="F410" i="15"/>
  <c r="G410" i="15" s="1"/>
  <c r="F411" i="15"/>
  <c r="G411" i="15" s="1"/>
  <c r="F412" i="15"/>
  <c r="G412" i="15" s="1"/>
  <c r="F413" i="15"/>
  <c r="G413" i="15" s="1"/>
  <c r="F414" i="15"/>
  <c r="G414" i="15" s="1"/>
  <c r="F415" i="15"/>
  <c r="G415" i="15" s="1"/>
  <c r="F416" i="15"/>
  <c r="G416" i="15" s="1"/>
  <c r="F417" i="15"/>
  <c r="G417" i="15" s="1"/>
  <c r="F418" i="15"/>
  <c r="G418" i="15" s="1"/>
  <c r="F419" i="15"/>
  <c r="G419" i="15" s="1"/>
  <c r="F420" i="15"/>
  <c r="G420" i="15" s="1"/>
  <c r="F421" i="15"/>
  <c r="G421" i="15" s="1"/>
  <c r="F422" i="15"/>
  <c r="G422" i="15" s="1"/>
  <c r="F423" i="15"/>
  <c r="G423" i="15" s="1"/>
  <c r="F424" i="15"/>
  <c r="G424" i="15" s="1"/>
  <c r="F425" i="15"/>
  <c r="G425" i="15" s="1"/>
  <c r="F426" i="15"/>
  <c r="G426" i="15" s="1"/>
  <c r="F427" i="15"/>
  <c r="G427" i="15" s="1"/>
  <c r="F428" i="15"/>
  <c r="G428" i="15" s="1"/>
  <c r="F429" i="15"/>
  <c r="G429" i="15" s="1"/>
  <c r="F430" i="15"/>
  <c r="G430" i="15" s="1"/>
  <c r="F431" i="15"/>
  <c r="G431" i="15" s="1"/>
  <c r="F432" i="15"/>
  <c r="G432" i="15" s="1"/>
  <c r="F433" i="15"/>
  <c r="G433" i="15" s="1"/>
  <c r="F434" i="15"/>
  <c r="G434" i="15" s="1"/>
  <c r="F435" i="15"/>
  <c r="G435" i="15" s="1"/>
  <c r="F436" i="15"/>
  <c r="G436" i="15" s="1"/>
  <c r="F437" i="15"/>
  <c r="G437" i="15" s="1"/>
  <c r="F438" i="15"/>
  <c r="G438" i="15" s="1"/>
  <c r="F439" i="15"/>
  <c r="G439" i="15" s="1"/>
  <c r="F440" i="15"/>
  <c r="G440" i="15" s="1"/>
  <c r="F441" i="15"/>
  <c r="G441" i="15" s="1"/>
  <c r="F442" i="15"/>
  <c r="G442" i="15" s="1"/>
  <c r="F443" i="15"/>
  <c r="G443" i="15" s="1"/>
  <c r="F444" i="15"/>
  <c r="G444" i="15" s="1"/>
  <c r="F445" i="15"/>
  <c r="G445" i="15" s="1"/>
  <c r="F446" i="15"/>
  <c r="G446" i="15" s="1"/>
  <c r="F447" i="15"/>
  <c r="G447" i="15" s="1"/>
  <c r="F448" i="15"/>
  <c r="G448" i="15" s="1"/>
  <c r="F449" i="15"/>
  <c r="G449" i="15" s="1"/>
  <c r="F450" i="15"/>
  <c r="G450" i="15" s="1"/>
  <c r="F451" i="15"/>
  <c r="G451" i="15" s="1"/>
  <c r="F452" i="15"/>
  <c r="G452" i="15" s="1"/>
  <c r="F453" i="15"/>
  <c r="G453" i="15" s="1"/>
  <c r="F454" i="15"/>
  <c r="G454" i="15" s="1"/>
  <c r="F455" i="15"/>
  <c r="G455" i="15" s="1"/>
  <c r="F456" i="15"/>
  <c r="G456" i="15" s="1"/>
  <c r="F457" i="15"/>
  <c r="G457" i="15" s="1"/>
  <c r="F458" i="15"/>
  <c r="G458" i="15" s="1"/>
  <c r="F459" i="15"/>
  <c r="G459" i="15" s="1"/>
  <c r="F460" i="15"/>
  <c r="G460" i="15" s="1"/>
  <c r="F461" i="15"/>
  <c r="G461" i="15" s="1"/>
  <c r="F462" i="15"/>
  <c r="G462" i="15" s="1"/>
  <c r="F463" i="15"/>
  <c r="G463" i="15" s="1"/>
  <c r="F464" i="15"/>
  <c r="G464" i="15" s="1"/>
  <c r="F465" i="15"/>
  <c r="G465" i="15" s="1"/>
  <c r="F466" i="15"/>
  <c r="G466" i="15" s="1"/>
  <c r="F467" i="15"/>
  <c r="G467" i="15" s="1"/>
  <c r="F468" i="15"/>
  <c r="G468" i="15" s="1"/>
  <c r="F469" i="15"/>
  <c r="G469" i="15" s="1"/>
  <c r="F470" i="15"/>
  <c r="G470" i="15" s="1"/>
  <c r="F471" i="15"/>
  <c r="G471" i="15" s="1"/>
  <c r="F472" i="15"/>
  <c r="G472" i="15" s="1"/>
  <c r="F473" i="15"/>
  <c r="G473" i="15" s="1"/>
  <c r="F474" i="15"/>
  <c r="G474" i="15" s="1"/>
  <c r="F475" i="15"/>
  <c r="G475" i="15" s="1"/>
  <c r="F476" i="15"/>
  <c r="G476" i="15" s="1"/>
  <c r="F477" i="15"/>
  <c r="G477" i="15" s="1"/>
  <c r="F478" i="15"/>
  <c r="G478" i="15" s="1"/>
  <c r="F479" i="15"/>
  <c r="G479" i="15" s="1"/>
  <c r="F480" i="15"/>
  <c r="G480" i="15" s="1"/>
  <c r="F481" i="15"/>
  <c r="G481" i="15" s="1"/>
  <c r="F482" i="15"/>
  <c r="G482" i="15" s="1"/>
  <c r="F483" i="15"/>
  <c r="G483" i="15" s="1"/>
  <c r="F484" i="15"/>
  <c r="G484" i="15" s="1"/>
  <c r="F485" i="15"/>
  <c r="G485" i="15" s="1"/>
  <c r="F486" i="15"/>
  <c r="G486" i="15" s="1"/>
  <c r="F487" i="15"/>
  <c r="G487" i="15" s="1"/>
  <c r="F488" i="15"/>
  <c r="G488" i="15" s="1"/>
  <c r="F489" i="15"/>
  <c r="G489" i="15" s="1"/>
  <c r="F490" i="15"/>
  <c r="G490" i="15" s="1"/>
  <c r="F491" i="15"/>
  <c r="G491" i="15" s="1"/>
  <c r="F492" i="15"/>
  <c r="G492" i="15" s="1"/>
  <c r="F493" i="15"/>
  <c r="G493" i="15" s="1"/>
  <c r="F494" i="15"/>
  <c r="G494" i="15" s="1"/>
  <c r="F495" i="15"/>
  <c r="G495" i="15" s="1"/>
  <c r="F496" i="15"/>
  <c r="G496" i="15" s="1"/>
  <c r="F497" i="15"/>
  <c r="G497" i="15" s="1"/>
  <c r="F498" i="15"/>
  <c r="G498" i="15" s="1"/>
  <c r="F499" i="15"/>
  <c r="G499" i="15" s="1"/>
  <c r="F500" i="15"/>
  <c r="G500" i="15" s="1"/>
  <c r="F501" i="15"/>
  <c r="G501" i="15" s="1"/>
  <c r="F502" i="15"/>
  <c r="G502" i="15" s="1"/>
  <c r="F503" i="15"/>
  <c r="G503" i="15" s="1"/>
  <c r="F504" i="15"/>
  <c r="G504" i="15" s="1"/>
  <c r="F505" i="15"/>
  <c r="G505" i="15" s="1"/>
  <c r="F506" i="15"/>
  <c r="G506" i="15" s="1"/>
  <c r="F507" i="15"/>
  <c r="G507" i="15" s="1"/>
  <c r="F508" i="15"/>
  <c r="G508" i="15" s="1"/>
  <c r="F509" i="15"/>
  <c r="G509" i="15" s="1"/>
  <c r="F510" i="15"/>
  <c r="G510" i="15" s="1"/>
  <c r="F511" i="15"/>
  <c r="G511" i="15" s="1"/>
  <c r="F512" i="15"/>
  <c r="G512" i="15" s="1"/>
  <c r="F513" i="15"/>
  <c r="G513" i="15" s="1"/>
  <c r="F514" i="15"/>
  <c r="G514" i="15" s="1"/>
  <c r="F515" i="15"/>
  <c r="G515" i="15" s="1"/>
  <c r="F516" i="15"/>
  <c r="G516" i="15" s="1"/>
  <c r="F517" i="15"/>
  <c r="G517" i="15" s="1"/>
  <c r="F518" i="15"/>
  <c r="G518" i="15" s="1"/>
  <c r="F519" i="15"/>
  <c r="G519" i="15" s="1"/>
  <c r="F520" i="15"/>
  <c r="G520" i="15" s="1"/>
  <c r="F521" i="15"/>
  <c r="G521" i="15" s="1"/>
  <c r="F522" i="15"/>
  <c r="G522" i="15" s="1"/>
  <c r="F523" i="15"/>
  <c r="G523" i="15" s="1"/>
  <c r="F524" i="15"/>
  <c r="G524" i="15" s="1"/>
  <c r="F525" i="15"/>
  <c r="G525" i="15" s="1"/>
  <c r="F526" i="15"/>
  <c r="G526" i="15" s="1"/>
  <c r="F527" i="15"/>
  <c r="G527" i="15" s="1"/>
  <c r="F528" i="15"/>
  <c r="G528" i="15" s="1"/>
  <c r="F529" i="15"/>
  <c r="G529" i="15" s="1"/>
  <c r="F530" i="15"/>
  <c r="G530" i="15" s="1"/>
  <c r="F531" i="15"/>
  <c r="G531" i="15" s="1"/>
  <c r="F532" i="15"/>
  <c r="G532" i="15" s="1"/>
  <c r="F533" i="15"/>
  <c r="G533" i="15" s="1"/>
  <c r="F534" i="15"/>
  <c r="G534" i="15" s="1"/>
  <c r="F535" i="15"/>
  <c r="G535" i="15" s="1"/>
  <c r="F536" i="15"/>
  <c r="G536" i="15" s="1"/>
  <c r="F537" i="15"/>
  <c r="G537" i="15" s="1"/>
  <c r="F538" i="15"/>
  <c r="G538" i="15" s="1"/>
  <c r="F539" i="15"/>
  <c r="G539" i="15" s="1"/>
  <c r="F540" i="15"/>
  <c r="G540" i="15" s="1"/>
  <c r="F541" i="15"/>
  <c r="G541" i="15" s="1"/>
  <c r="F542" i="15"/>
  <c r="G542" i="15" s="1"/>
  <c r="F543" i="15"/>
  <c r="G543" i="15" s="1"/>
  <c r="F544" i="15"/>
  <c r="G544" i="15" s="1"/>
  <c r="F545" i="15"/>
  <c r="G545" i="15" s="1"/>
  <c r="F546" i="15"/>
  <c r="G546" i="15" s="1"/>
  <c r="F547" i="15"/>
  <c r="G547" i="15" s="1"/>
  <c r="F548" i="15"/>
  <c r="G548" i="15" s="1"/>
  <c r="F549" i="15"/>
  <c r="G549" i="15" s="1"/>
  <c r="F550" i="15"/>
  <c r="G550" i="15" s="1"/>
  <c r="F551" i="15"/>
  <c r="G551" i="15" s="1"/>
  <c r="F552" i="15"/>
  <c r="G552" i="15" s="1"/>
  <c r="F553" i="15"/>
  <c r="G553" i="15" s="1"/>
  <c r="F554" i="15"/>
  <c r="G554" i="15" s="1"/>
  <c r="F555" i="15"/>
  <c r="G555" i="15" s="1"/>
  <c r="F556" i="15"/>
  <c r="G556" i="15" s="1"/>
  <c r="F557" i="15"/>
  <c r="G557" i="15" s="1"/>
  <c r="F558" i="15"/>
  <c r="G558" i="15" s="1"/>
  <c r="F559" i="15"/>
  <c r="G559" i="15" s="1"/>
  <c r="F560" i="15"/>
  <c r="G560" i="15" s="1"/>
  <c r="F561" i="15"/>
  <c r="G561" i="15" s="1"/>
  <c r="F562" i="15"/>
  <c r="G562" i="15" s="1"/>
  <c r="F563" i="15"/>
  <c r="G563" i="15" s="1"/>
  <c r="F564" i="15"/>
  <c r="G564" i="15" s="1"/>
  <c r="F565" i="15"/>
  <c r="G565" i="15" s="1"/>
  <c r="F566" i="15"/>
  <c r="G566" i="15" s="1"/>
  <c r="F567" i="15"/>
  <c r="G567" i="15" s="1"/>
  <c r="F568" i="15"/>
  <c r="G568" i="15" s="1"/>
  <c r="F569" i="15"/>
  <c r="G569" i="15" s="1"/>
  <c r="F570" i="15"/>
  <c r="G570" i="15" s="1"/>
  <c r="F571" i="15"/>
  <c r="G571" i="15" s="1"/>
  <c r="F572" i="15"/>
  <c r="G572" i="15" s="1"/>
  <c r="F573" i="15"/>
  <c r="G573" i="15" s="1"/>
  <c r="F574" i="15"/>
  <c r="G574" i="15" s="1"/>
  <c r="F575" i="15"/>
  <c r="G575" i="15" s="1"/>
  <c r="F576" i="15"/>
  <c r="G576" i="15" s="1"/>
  <c r="F577" i="15"/>
  <c r="G577" i="15" s="1"/>
  <c r="F578" i="15"/>
  <c r="G578" i="15" s="1"/>
  <c r="F579" i="15"/>
  <c r="G579" i="15" s="1"/>
  <c r="F580" i="15"/>
  <c r="G580" i="15" s="1"/>
  <c r="F581" i="15"/>
  <c r="G581" i="15" s="1"/>
  <c r="F582" i="15"/>
  <c r="G582" i="15" s="1"/>
  <c r="F583" i="15"/>
  <c r="G583" i="15" s="1"/>
  <c r="F584" i="15"/>
  <c r="G584" i="15" s="1"/>
  <c r="F585" i="15"/>
  <c r="G585" i="15" s="1"/>
  <c r="F586" i="15"/>
  <c r="G586" i="15" s="1"/>
  <c r="F587" i="15"/>
  <c r="G587" i="15" s="1"/>
  <c r="F588" i="15"/>
  <c r="G588" i="15" s="1"/>
  <c r="F589" i="15"/>
  <c r="G589" i="15" s="1"/>
  <c r="F590" i="15"/>
  <c r="G590" i="15" s="1"/>
  <c r="F591" i="15"/>
  <c r="G591" i="15" s="1"/>
  <c r="F592" i="15"/>
  <c r="G592" i="15" s="1"/>
  <c r="F593" i="15"/>
  <c r="G593" i="15" s="1"/>
  <c r="F594" i="15"/>
  <c r="G594" i="15" s="1"/>
  <c r="F595" i="15"/>
  <c r="G595" i="15" s="1"/>
  <c r="F596" i="15"/>
  <c r="G596" i="15" s="1"/>
  <c r="F597" i="15"/>
  <c r="G597" i="15" s="1"/>
  <c r="F598" i="15"/>
  <c r="G598" i="15" s="1"/>
  <c r="F599" i="15"/>
  <c r="G599" i="15" s="1"/>
  <c r="F600" i="15"/>
  <c r="G600" i="15" s="1"/>
  <c r="F601" i="15"/>
  <c r="G601" i="15" s="1"/>
  <c r="F602" i="15"/>
  <c r="G602" i="15" s="1"/>
  <c r="F603" i="15"/>
  <c r="G603" i="15" s="1"/>
  <c r="F604" i="15"/>
  <c r="G604" i="15" s="1"/>
  <c r="F605" i="15"/>
  <c r="G605" i="15" s="1"/>
  <c r="F606" i="15"/>
  <c r="G606" i="15" s="1"/>
  <c r="F607" i="15"/>
  <c r="G607" i="15" s="1"/>
  <c r="F608" i="15"/>
  <c r="G608" i="15" s="1"/>
  <c r="F609" i="15"/>
  <c r="G609" i="15" s="1"/>
  <c r="F610" i="15"/>
  <c r="G610" i="15" s="1"/>
  <c r="F611" i="15"/>
  <c r="G611" i="15" s="1"/>
  <c r="F612" i="15"/>
  <c r="G612" i="15" s="1"/>
  <c r="F613" i="15"/>
  <c r="G613" i="15" s="1"/>
  <c r="F614" i="15"/>
  <c r="G614" i="15" s="1"/>
  <c r="F615" i="15"/>
  <c r="G615" i="15" s="1"/>
  <c r="F616" i="15"/>
  <c r="G616" i="15" s="1"/>
  <c r="F617" i="15"/>
  <c r="G617" i="15" s="1"/>
  <c r="F618" i="15"/>
  <c r="G618" i="15" s="1"/>
  <c r="F619" i="15"/>
  <c r="G619" i="15" s="1"/>
  <c r="F620" i="15"/>
  <c r="G620" i="15" s="1"/>
  <c r="F621" i="15"/>
  <c r="G621" i="15" s="1"/>
  <c r="F622" i="15"/>
  <c r="G622" i="15" s="1"/>
  <c r="F623" i="15"/>
  <c r="G623" i="15" s="1"/>
  <c r="F624" i="15"/>
  <c r="G624" i="15" s="1"/>
  <c r="F625" i="15"/>
  <c r="G625" i="15" s="1"/>
  <c r="F626" i="15"/>
  <c r="G626" i="15" s="1"/>
  <c r="F627" i="15"/>
  <c r="G627" i="15" s="1"/>
  <c r="F628" i="15"/>
  <c r="G628" i="15" s="1"/>
  <c r="F629" i="15"/>
  <c r="G629" i="15" s="1"/>
  <c r="F630" i="15"/>
  <c r="G630" i="15" s="1"/>
  <c r="F631" i="15"/>
  <c r="G631" i="15" s="1"/>
  <c r="F632" i="15"/>
  <c r="G632" i="15" s="1"/>
  <c r="F633" i="15"/>
  <c r="G633" i="15" s="1"/>
  <c r="F634" i="15"/>
  <c r="G634" i="15" s="1"/>
  <c r="F635" i="15"/>
  <c r="G635" i="15" s="1"/>
  <c r="F636" i="15"/>
  <c r="G636" i="15" s="1"/>
  <c r="F637" i="15"/>
  <c r="G637" i="15" s="1"/>
  <c r="F638" i="15"/>
  <c r="G638" i="15" s="1"/>
  <c r="F639" i="15"/>
  <c r="G639" i="15" s="1"/>
  <c r="F640" i="15"/>
  <c r="G640" i="15" s="1"/>
  <c r="F641" i="15"/>
  <c r="G641" i="15" s="1"/>
  <c r="F642" i="15"/>
  <c r="G642" i="15" s="1"/>
  <c r="F643" i="15"/>
  <c r="G643" i="15" s="1"/>
  <c r="F644" i="15"/>
  <c r="G644" i="15" s="1"/>
  <c r="F645" i="15"/>
  <c r="G645" i="15" s="1"/>
  <c r="F646" i="15"/>
  <c r="G646" i="15" s="1"/>
  <c r="F647" i="15"/>
  <c r="G647" i="15" s="1"/>
  <c r="F648" i="15"/>
  <c r="G648" i="15" s="1"/>
  <c r="F649" i="15"/>
  <c r="G649" i="15" s="1"/>
  <c r="F650" i="15"/>
  <c r="G650" i="15" s="1"/>
  <c r="F651" i="15"/>
  <c r="G651" i="15" s="1"/>
  <c r="F652" i="15"/>
  <c r="G652" i="15" s="1"/>
  <c r="F653" i="15"/>
  <c r="G653" i="15" s="1"/>
  <c r="F654" i="15"/>
  <c r="G654" i="15" s="1"/>
  <c r="F655" i="15"/>
  <c r="G655" i="15" s="1"/>
  <c r="F656" i="15"/>
  <c r="G656" i="15" s="1"/>
  <c r="F657" i="15"/>
  <c r="G657" i="15" s="1"/>
  <c r="F658" i="15"/>
  <c r="G658" i="15" s="1"/>
  <c r="F659" i="15"/>
  <c r="G659" i="15" s="1"/>
  <c r="F660" i="15"/>
  <c r="G660" i="15" s="1"/>
  <c r="F661" i="15"/>
  <c r="G661" i="15" s="1"/>
  <c r="F662" i="15"/>
  <c r="G662" i="15" s="1"/>
  <c r="F663" i="15"/>
  <c r="G663" i="15" s="1"/>
  <c r="F664" i="15"/>
  <c r="G664" i="15" s="1"/>
  <c r="F665" i="15"/>
  <c r="G665" i="15" s="1"/>
  <c r="F666" i="15"/>
  <c r="G666" i="15" s="1"/>
  <c r="F667" i="15"/>
  <c r="G667" i="15" s="1"/>
  <c r="F668" i="15"/>
  <c r="G668" i="15" s="1"/>
  <c r="F669" i="15"/>
  <c r="G669" i="15" s="1"/>
  <c r="F670" i="15"/>
  <c r="G670" i="15" s="1"/>
  <c r="F671" i="15"/>
  <c r="G671" i="15" s="1"/>
  <c r="F672" i="15"/>
  <c r="G672" i="15" s="1"/>
  <c r="F673" i="15"/>
  <c r="G673" i="15" s="1"/>
  <c r="F674" i="15"/>
  <c r="G674" i="15" s="1"/>
  <c r="F675" i="15"/>
  <c r="G675" i="15" s="1"/>
  <c r="F676" i="15"/>
  <c r="G676" i="15" s="1"/>
  <c r="F677" i="15"/>
  <c r="G677" i="15" s="1"/>
  <c r="F678" i="15"/>
  <c r="G678" i="15" s="1"/>
  <c r="F679" i="15"/>
  <c r="G679" i="15" s="1"/>
  <c r="F680" i="15"/>
  <c r="G680" i="15" s="1"/>
  <c r="F681" i="15"/>
  <c r="G681" i="15" s="1"/>
  <c r="F682" i="15"/>
  <c r="G682" i="15" s="1"/>
  <c r="F683" i="15"/>
  <c r="G683" i="15" s="1"/>
  <c r="F684" i="15"/>
  <c r="G684" i="15" s="1"/>
  <c r="F685" i="15"/>
  <c r="G685" i="15" s="1"/>
  <c r="F686" i="15"/>
  <c r="G686" i="15" s="1"/>
  <c r="F687" i="15"/>
  <c r="G687" i="15" s="1"/>
  <c r="F688" i="15"/>
  <c r="G688" i="15" s="1"/>
  <c r="F689" i="15"/>
  <c r="G689" i="15" s="1"/>
  <c r="F690" i="15"/>
  <c r="G690" i="15" s="1"/>
  <c r="F691" i="15"/>
  <c r="G691" i="15" s="1"/>
  <c r="F692" i="15"/>
  <c r="G692" i="15" s="1"/>
  <c r="F693" i="15"/>
  <c r="G693" i="15" s="1"/>
  <c r="F694" i="15"/>
  <c r="G694" i="15" s="1"/>
  <c r="F695" i="15"/>
  <c r="G695" i="15" s="1"/>
  <c r="F696" i="15"/>
  <c r="G696" i="15" s="1"/>
  <c r="F697" i="15"/>
  <c r="G697" i="15" s="1"/>
  <c r="F698" i="15"/>
  <c r="G698" i="15" s="1"/>
  <c r="F699" i="15"/>
  <c r="G699" i="15" s="1"/>
  <c r="F700" i="15"/>
  <c r="G700" i="15" s="1"/>
  <c r="F701" i="15"/>
  <c r="G701" i="15" s="1"/>
  <c r="F702" i="15"/>
  <c r="G702" i="15" s="1"/>
  <c r="F703" i="15"/>
  <c r="G703" i="15" s="1"/>
  <c r="F704" i="15"/>
  <c r="G704" i="15" s="1"/>
  <c r="F705" i="15"/>
  <c r="G705" i="15" s="1"/>
  <c r="F706" i="15"/>
  <c r="G706" i="15" s="1"/>
  <c r="F707" i="15"/>
  <c r="G707" i="15" s="1"/>
  <c r="F708" i="15"/>
  <c r="G708" i="15" s="1"/>
  <c r="F709" i="15"/>
  <c r="G709" i="15" s="1"/>
  <c r="F710" i="15"/>
  <c r="G710" i="15" s="1"/>
  <c r="F711" i="15"/>
  <c r="G711" i="15" s="1"/>
  <c r="F712" i="15"/>
  <c r="G712" i="15" s="1"/>
  <c r="F713" i="15"/>
  <c r="G713" i="15" s="1"/>
  <c r="F714" i="15"/>
  <c r="G714" i="15" s="1"/>
  <c r="F715" i="15"/>
  <c r="G715" i="15" s="1"/>
  <c r="F716" i="15"/>
  <c r="G716" i="15" s="1"/>
  <c r="F717" i="15"/>
  <c r="G717" i="15" s="1"/>
  <c r="F718" i="15"/>
  <c r="G718" i="15" s="1"/>
  <c r="F719" i="15"/>
  <c r="G719" i="15" s="1"/>
  <c r="F720" i="15"/>
  <c r="G720" i="15" s="1"/>
  <c r="F721" i="15"/>
  <c r="G721" i="15" s="1"/>
  <c r="F722" i="15"/>
  <c r="G722" i="15" s="1"/>
  <c r="F723" i="15"/>
  <c r="G723" i="15" s="1"/>
  <c r="F724" i="15"/>
  <c r="G724" i="15" s="1"/>
  <c r="F725" i="15"/>
  <c r="G725" i="15" s="1"/>
  <c r="F726" i="15"/>
  <c r="G726" i="15" s="1"/>
  <c r="F727" i="15"/>
  <c r="G727" i="15" s="1"/>
  <c r="F728" i="15"/>
  <c r="G728" i="15" s="1"/>
  <c r="F729" i="15"/>
  <c r="G729" i="15" s="1"/>
  <c r="F730" i="15"/>
  <c r="G730" i="15" s="1"/>
  <c r="F731" i="15"/>
  <c r="G731" i="15" s="1"/>
  <c r="F732" i="15"/>
  <c r="G732" i="15" s="1"/>
  <c r="F733" i="15"/>
  <c r="G733" i="15" s="1"/>
  <c r="F734" i="15"/>
  <c r="G734" i="15" s="1"/>
  <c r="F735" i="15"/>
  <c r="G735" i="15" s="1"/>
  <c r="F736" i="15"/>
  <c r="G736" i="15" s="1"/>
  <c r="F737" i="15"/>
  <c r="G737" i="15" s="1"/>
  <c r="F738" i="15"/>
  <c r="G738" i="15" s="1"/>
  <c r="F739" i="15"/>
  <c r="G739" i="15" s="1"/>
  <c r="F740" i="15"/>
  <c r="G740" i="15" s="1"/>
  <c r="F741" i="15"/>
  <c r="G741" i="15" s="1"/>
  <c r="F742" i="15"/>
  <c r="G742" i="15" s="1"/>
  <c r="F743" i="15"/>
  <c r="G743" i="15" s="1"/>
  <c r="F744" i="15"/>
  <c r="G744" i="15" s="1"/>
  <c r="F745" i="15"/>
  <c r="G745" i="15" s="1"/>
  <c r="F746" i="15"/>
  <c r="G746" i="15" s="1"/>
  <c r="F747" i="15"/>
  <c r="G747" i="15" s="1"/>
  <c r="F748" i="15"/>
  <c r="G748" i="15" s="1"/>
  <c r="F749" i="15"/>
  <c r="G749" i="15" s="1"/>
  <c r="F750" i="15"/>
  <c r="G750" i="15" s="1"/>
  <c r="F751" i="15"/>
  <c r="G751" i="15" s="1"/>
  <c r="F752" i="15"/>
  <c r="G752" i="15" s="1"/>
  <c r="F753" i="15"/>
  <c r="G753" i="15" s="1"/>
  <c r="F754" i="15"/>
  <c r="G754" i="15" s="1"/>
  <c r="F755" i="15"/>
  <c r="G755" i="15" s="1"/>
  <c r="F756" i="15"/>
  <c r="G756" i="15" s="1"/>
  <c r="F757" i="15"/>
  <c r="G757" i="15" s="1"/>
  <c r="F758" i="15"/>
  <c r="G758" i="15" s="1"/>
  <c r="F759" i="15"/>
  <c r="G759" i="15" s="1"/>
  <c r="F760" i="15"/>
  <c r="G760" i="15" s="1"/>
  <c r="F761" i="15"/>
  <c r="G761" i="15" s="1"/>
  <c r="F762" i="15"/>
  <c r="G762" i="15" s="1"/>
  <c r="F763" i="15"/>
  <c r="G763" i="15" s="1"/>
  <c r="F764" i="15"/>
  <c r="G764" i="15" s="1"/>
  <c r="F765" i="15"/>
  <c r="G765" i="15" s="1"/>
  <c r="F766" i="15"/>
  <c r="G766" i="15" s="1"/>
  <c r="F767" i="15"/>
  <c r="G767" i="15" s="1"/>
  <c r="F768" i="15"/>
  <c r="G768" i="15" s="1"/>
  <c r="F769" i="15"/>
  <c r="G769" i="15" s="1"/>
  <c r="F770" i="15"/>
  <c r="G770" i="15" s="1"/>
  <c r="F771" i="15"/>
  <c r="G771" i="15" s="1"/>
  <c r="F772" i="15"/>
  <c r="G772" i="15" s="1"/>
  <c r="F773" i="15"/>
  <c r="G773" i="15" s="1"/>
  <c r="F774" i="15"/>
  <c r="G774" i="15" s="1"/>
  <c r="F775" i="15"/>
  <c r="G775" i="15" s="1"/>
  <c r="F776" i="15"/>
  <c r="G776" i="15" s="1"/>
  <c r="F777" i="15"/>
  <c r="G777" i="15" s="1"/>
  <c r="F778" i="15"/>
  <c r="G778" i="15" s="1"/>
  <c r="F779" i="15"/>
  <c r="G779" i="15" s="1"/>
  <c r="F780" i="15"/>
  <c r="G780" i="15" s="1"/>
  <c r="F781" i="15"/>
  <c r="G781" i="15" s="1"/>
  <c r="F782" i="15"/>
  <c r="G782" i="15" s="1"/>
  <c r="F783" i="15"/>
  <c r="G783" i="15" s="1"/>
  <c r="F784" i="15"/>
  <c r="G784" i="15" s="1"/>
  <c r="F785" i="15"/>
  <c r="G785" i="15" s="1"/>
  <c r="F786" i="15"/>
  <c r="G786" i="15" s="1"/>
  <c r="F787" i="15"/>
  <c r="G787" i="15" s="1"/>
  <c r="F788" i="15"/>
  <c r="G788" i="15" s="1"/>
  <c r="F789" i="15"/>
  <c r="G789" i="15" s="1"/>
  <c r="F790" i="15"/>
  <c r="G790" i="15" s="1"/>
  <c r="F791" i="15"/>
  <c r="G791" i="15" s="1"/>
  <c r="F792" i="15"/>
  <c r="G792" i="15" s="1"/>
  <c r="F793" i="15"/>
  <c r="G793" i="15" s="1"/>
  <c r="F794" i="15"/>
  <c r="G794" i="15" s="1"/>
  <c r="F795" i="15"/>
  <c r="G795" i="15" s="1"/>
  <c r="F796" i="15"/>
  <c r="G796" i="15" s="1"/>
  <c r="F797" i="15"/>
  <c r="G797" i="15" s="1"/>
  <c r="F798" i="15"/>
  <c r="G798" i="15" s="1"/>
  <c r="F799" i="15"/>
  <c r="G799" i="15" s="1"/>
  <c r="F800" i="15"/>
  <c r="G800" i="15" s="1"/>
  <c r="F801" i="15"/>
  <c r="G801" i="15" s="1"/>
  <c r="F802" i="15"/>
  <c r="G802" i="15" s="1"/>
  <c r="F803" i="15"/>
  <c r="G803" i="15" s="1"/>
  <c r="F804" i="15"/>
  <c r="G804" i="15" s="1"/>
  <c r="F805" i="15"/>
  <c r="G805" i="15" s="1"/>
  <c r="F806" i="15"/>
  <c r="G806" i="15" s="1"/>
  <c r="F807" i="15"/>
  <c r="G807" i="15" s="1"/>
  <c r="F808" i="15"/>
  <c r="G808" i="15" s="1"/>
  <c r="F809" i="15"/>
  <c r="G809" i="15" s="1"/>
  <c r="F810" i="15"/>
  <c r="G810" i="15" s="1"/>
  <c r="F811" i="15"/>
  <c r="G811" i="15" s="1"/>
  <c r="F812" i="15"/>
  <c r="G812" i="15" s="1"/>
  <c r="F813" i="15"/>
  <c r="G813" i="15" s="1"/>
  <c r="F814" i="15"/>
  <c r="G814" i="15" s="1"/>
  <c r="F815" i="15"/>
  <c r="G815" i="15" s="1"/>
  <c r="F816" i="15"/>
  <c r="G816" i="15" s="1"/>
  <c r="F817" i="15"/>
  <c r="G817" i="15" s="1"/>
  <c r="F818" i="15"/>
  <c r="G818" i="15" s="1"/>
  <c r="F819" i="15"/>
  <c r="G819" i="15" s="1"/>
  <c r="F820" i="15"/>
  <c r="G820" i="15" s="1"/>
  <c r="F821" i="15"/>
  <c r="G821" i="15" s="1"/>
  <c r="F822" i="15"/>
  <c r="G822" i="15" s="1"/>
  <c r="F823" i="15"/>
  <c r="G823" i="15" s="1"/>
  <c r="F824" i="15"/>
  <c r="G824" i="15" s="1"/>
  <c r="F825" i="15"/>
  <c r="G825" i="15" s="1"/>
  <c r="F826" i="15"/>
  <c r="G826" i="15" s="1"/>
  <c r="F827" i="15"/>
  <c r="G827" i="15" s="1"/>
  <c r="F828" i="15"/>
  <c r="G828" i="15" s="1"/>
  <c r="F829" i="15"/>
  <c r="G829" i="15" s="1"/>
  <c r="F830" i="15"/>
  <c r="G830" i="15" s="1"/>
  <c r="F831" i="15"/>
  <c r="G831" i="15" s="1"/>
  <c r="F832" i="15"/>
  <c r="G832" i="15" s="1"/>
  <c r="F833" i="15"/>
  <c r="G833" i="15" s="1"/>
  <c r="F834" i="15"/>
  <c r="G834" i="15" s="1"/>
  <c r="F835" i="15"/>
  <c r="G835" i="15" s="1"/>
  <c r="F836" i="15"/>
  <c r="G836" i="15" s="1"/>
  <c r="F837" i="15"/>
  <c r="G837" i="15" s="1"/>
  <c r="F838" i="15"/>
  <c r="G838" i="15" s="1"/>
  <c r="F839" i="15"/>
  <c r="G839" i="15" s="1"/>
  <c r="F840" i="15"/>
  <c r="G840" i="15" s="1"/>
  <c r="F841" i="15"/>
  <c r="G841" i="15" s="1"/>
  <c r="F842" i="15"/>
  <c r="G842" i="15" s="1"/>
  <c r="F843" i="15"/>
  <c r="G843" i="15" s="1"/>
  <c r="F844" i="15"/>
  <c r="G844" i="15" s="1"/>
  <c r="F845" i="15"/>
  <c r="G845" i="15" s="1"/>
  <c r="F846" i="15"/>
  <c r="G846" i="15" s="1"/>
  <c r="F847" i="15"/>
  <c r="G847" i="15" s="1"/>
  <c r="F848" i="15"/>
  <c r="G848" i="15" s="1"/>
  <c r="F849" i="15"/>
  <c r="G849" i="15" s="1"/>
  <c r="F850" i="15"/>
  <c r="G850" i="15" s="1"/>
  <c r="F851" i="15"/>
  <c r="G851" i="15" s="1"/>
  <c r="F852" i="15"/>
  <c r="G852" i="15" s="1"/>
  <c r="F853" i="15"/>
  <c r="G853" i="15" s="1"/>
  <c r="F854" i="15"/>
  <c r="G854" i="15" s="1"/>
  <c r="F855" i="15"/>
  <c r="G855" i="15" s="1"/>
  <c r="F856" i="15"/>
  <c r="G856" i="15" s="1"/>
  <c r="F857" i="15"/>
  <c r="G857" i="15" s="1"/>
  <c r="F858" i="15"/>
  <c r="G858" i="15" s="1"/>
  <c r="F859" i="15"/>
  <c r="G859" i="15" s="1"/>
  <c r="F860" i="15"/>
  <c r="G860" i="15" s="1"/>
  <c r="F861" i="15"/>
  <c r="G861" i="15" s="1"/>
  <c r="F862" i="15"/>
  <c r="G862" i="15" s="1"/>
  <c r="F863" i="15"/>
  <c r="G863" i="15" s="1"/>
  <c r="F864" i="15"/>
  <c r="G864" i="15" s="1"/>
  <c r="F865" i="15"/>
  <c r="G865" i="15" s="1"/>
  <c r="F866" i="15"/>
  <c r="G866" i="15" s="1"/>
  <c r="F867" i="15"/>
  <c r="G867" i="15" s="1"/>
  <c r="F868" i="15"/>
  <c r="G868" i="15" s="1"/>
  <c r="F869" i="15"/>
  <c r="G869" i="15" s="1"/>
  <c r="F870" i="15"/>
  <c r="G870" i="15" s="1"/>
  <c r="F871" i="15"/>
  <c r="G871" i="15" s="1"/>
  <c r="F872" i="15"/>
  <c r="G872" i="15" s="1"/>
  <c r="F873" i="15"/>
  <c r="G873" i="15" s="1"/>
  <c r="F874" i="15"/>
  <c r="G874" i="15" s="1"/>
  <c r="F875" i="15"/>
  <c r="G875" i="15" s="1"/>
  <c r="F876" i="15"/>
  <c r="G876" i="15" s="1"/>
  <c r="F877" i="15"/>
  <c r="G877" i="15" s="1"/>
  <c r="F878" i="15"/>
  <c r="G878" i="15" s="1"/>
  <c r="F879" i="15"/>
  <c r="G879" i="15" s="1"/>
  <c r="F880" i="15"/>
  <c r="G880" i="15" s="1"/>
  <c r="F881" i="15"/>
  <c r="G881" i="15" s="1"/>
  <c r="F882" i="15"/>
  <c r="G882" i="15" s="1"/>
  <c r="F883" i="15"/>
  <c r="G883" i="15" s="1"/>
  <c r="F884" i="15"/>
  <c r="G884" i="15" s="1"/>
  <c r="F885" i="15"/>
  <c r="G885" i="15" s="1"/>
  <c r="F886" i="15"/>
  <c r="G886" i="15" s="1"/>
  <c r="F887" i="15"/>
  <c r="G887" i="15" s="1"/>
  <c r="F888" i="15"/>
  <c r="G888" i="15" s="1"/>
  <c r="F889" i="15"/>
  <c r="G889" i="15" s="1"/>
  <c r="F890" i="15"/>
  <c r="G890" i="15" s="1"/>
  <c r="F891" i="15"/>
  <c r="G891" i="15" s="1"/>
  <c r="F892" i="15"/>
  <c r="G892" i="15" s="1"/>
  <c r="F893" i="15"/>
  <c r="G893" i="15" s="1"/>
  <c r="F894" i="15"/>
  <c r="G894" i="15" s="1"/>
  <c r="F895" i="15"/>
  <c r="G895" i="15" s="1"/>
  <c r="F896" i="15"/>
  <c r="G896" i="15" s="1"/>
  <c r="F897" i="15"/>
  <c r="G897" i="15" s="1"/>
  <c r="F898" i="15"/>
  <c r="G898" i="15" s="1"/>
  <c r="F899" i="15"/>
  <c r="G899" i="15" s="1"/>
  <c r="F900" i="15"/>
  <c r="G900" i="15" s="1"/>
  <c r="F901" i="15"/>
  <c r="G901" i="15" s="1"/>
  <c r="F902" i="15"/>
  <c r="G902" i="15" s="1"/>
  <c r="F903" i="15"/>
  <c r="G903" i="15" s="1"/>
  <c r="F904" i="15"/>
  <c r="G904" i="15" s="1"/>
  <c r="F905" i="15"/>
  <c r="G905" i="15" s="1"/>
  <c r="F906" i="15"/>
  <c r="G906" i="15" s="1"/>
  <c r="F907" i="15"/>
  <c r="G907" i="15" s="1"/>
  <c r="F908" i="15"/>
  <c r="G908" i="15" s="1"/>
  <c r="F909" i="15"/>
  <c r="G909" i="15" s="1"/>
  <c r="F910" i="15"/>
  <c r="G910" i="15" s="1"/>
  <c r="F911" i="15"/>
  <c r="G911" i="15" s="1"/>
  <c r="F912" i="15"/>
  <c r="G912" i="15" s="1"/>
  <c r="F913" i="15"/>
  <c r="G913" i="15" s="1"/>
  <c r="F914" i="15"/>
  <c r="G914" i="15" s="1"/>
  <c r="F915" i="15"/>
  <c r="G915" i="15" s="1"/>
  <c r="F916" i="15"/>
  <c r="G916" i="15" s="1"/>
  <c r="F917" i="15"/>
  <c r="G917" i="15" s="1"/>
  <c r="F918" i="15"/>
  <c r="G918" i="15" s="1"/>
  <c r="F919" i="15"/>
  <c r="G919" i="15" s="1"/>
  <c r="F920" i="15"/>
  <c r="G920" i="15" s="1"/>
  <c r="F921" i="15"/>
  <c r="G921" i="15" s="1"/>
  <c r="F922" i="15"/>
  <c r="G922" i="15" s="1"/>
  <c r="F923" i="15"/>
  <c r="G923" i="15" s="1"/>
  <c r="F924" i="15"/>
  <c r="G924" i="15" s="1"/>
  <c r="F925" i="15"/>
  <c r="G925" i="15" s="1"/>
  <c r="F926" i="15"/>
  <c r="G926" i="15" s="1"/>
  <c r="F927" i="15"/>
  <c r="G927" i="15" s="1"/>
  <c r="F928" i="15"/>
  <c r="G928" i="15" s="1"/>
  <c r="F929" i="15"/>
  <c r="G929" i="15" s="1"/>
  <c r="F930" i="15"/>
  <c r="G930" i="15" s="1"/>
  <c r="F931" i="15"/>
  <c r="G931" i="15" s="1"/>
  <c r="F932" i="15"/>
  <c r="G932" i="15" s="1"/>
  <c r="F933" i="15"/>
  <c r="G933" i="15" s="1"/>
  <c r="F934" i="15"/>
  <c r="G934" i="15" s="1"/>
  <c r="F935" i="15"/>
  <c r="G935" i="15" s="1"/>
  <c r="F936" i="15"/>
  <c r="G936" i="15" s="1"/>
  <c r="F937" i="15"/>
  <c r="G937" i="15" s="1"/>
  <c r="F938" i="15"/>
  <c r="G938" i="15" s="1"/>
  <c r="F939" i="15"/>
  <c r="G939" i="15" s="1"/>
  <c r="F940" i="15"/>
  <c r="G940" i="15" s="1"/>
  <c r="F941" i="15"/>
  <c r="G941" i="15" s="1"/>
  <c r="F942" i="15"/>
  <c r="G942" i="15" s="1"/>
  <c r="F943" i="15"/>
  <c r="G943" i="15" s="1"/>
  <c r="F944" i="15"/>
  <c r="G944" i="15" s="1"/>
  <c r="F945" i="15"/>
  <c r="G945" i="15" s="1"/>
  <c r="F946" i="15"/>
  <c r="G946" i="15" s="1"/>
  <c r="F947" i="15"/>
  <c r="G947" i="15" s="1"/>
  <c r="F948" i="15"/>
  <c r="G948" i="15" s="1"/>
  <c r="F949" i="15"/>
  <c r="G949" i="15" s="1"/>
  <c r="F950" i="15"/>
  <c r="G950" i="15" s="1"/>
  <c r="F951" i="15"/>
  <c r="G951" i="15" s="1"/>
  <c r="F952" i="15"/>
  <c r="G952" i="15" s="1"/>
  <c r="F953" i="15"/>
  <c r="G953" i="15" s="1"/>
  <c r="F954" i="15"/>
  <c r="G954" i="15" s="1"/>
  <c r="F955" i="15"/>
  <c r="G955" i="15" s="1"/>
  <c r="F956" i="15"/>
  <c r="G956" i="15" s="1"/>
  <c r="F957" i="15"/>
  <c r="G957" i="15" s="1"/>
  <c r="F958" i="15"/>
  <c r="G958" i="15" s="1"/>
  <c r="F959" i="15"/>
  <c r="G959" i="15" s="1"/>
  <c r="F960" i="15"/>
  <c r="G960" i="15" s="1"/>
  <c r="F961" i="15"/>
  <c r="G961" i="15" s="1"/>
  <c r="F962" i="15"/>
  <c r="G962" i="15" s="1"/>
  <c r="F963" i="15"/>
  <c r="G963" i="15" s="1"/>
  <c r="F964" i="15"/>
  <c r="G964" i="15" s="1"/>
  <c r="F965" i="15"/>
  <c r="G965" i="15" s="1"/>
  <c r="F966" i="15"/>
  <c r="G966" i="15" s="1"/>
  <c r="F967" i="15"/>
  <c r="G967" i="15" s="1"/>
  <c r="F968" i="15"/>
  <c r="G968" i="15" s="1"/>
  <c r="F969" i="15"/>
  <c r="G969" i="15" s="1"/>
  <c r="F970" i="15"/>
  <c r="G970" i="15" s="1"/>
  <c r="F971" i="15"/>
  <c r="G971" i="15" s="1"/>
  <c r="F972" i="15"/>
  <c r="G972" i="15" s="1"/>
  <c r="F973" i="15"/>
  <c r="G973" i="15" s="1"/>
  <c r="F974" i="15"/>
  <c r="G974" i="15" s="1"/>
  <c r="F975" i="15"/>
  <c r="G975" i="15" s="1"/>
  <c r="F976" i="15"/>
  <c r="G976" i="15" s="1"/>
  <c r="F977" i="15"/>
  <c r="G977" i="15" s="1"/>
  <c r="F978" i="15"/>
  <c r="G978" i="15" s="1"/>
  <c r="F979" i="15"/>
  <c r="G979" i="15" s="1"/>
  <c r="F980" i="15"/>
  <c r="G980" i="15" s="1"/>
  <c r="F981" i="15"/>
  <c r="G981" i="15" s="1"/>
  <c r="F982" i="15"/>
  <c r="G982" i="15" s="1"/>
  <c r="F983" i="15"/>
  <c r="G983" i="15" s="1"/>
  <c r="F984" i="15"/>
  <c r="G984" i="15" s="1"/>
  <c r="F985" i="15"/>
  <c r="G985" i="15" s="1"/>
  <c r="F986" i="15"/>
  <c r="G986" i="15" s="1"/>
  <c r="F987" i="15"/>
  <c r="G987" i="15" s="1"/>
  <c r="F988" i="15"/>
  <c r="G988" i="15" s="1"/>
  <c r="F989" i="15"/>
  <c r="G989" i="15" s="1"/>
  <c r="F990" i="15"/>
  <c r="G990" i="15" s="1"/>
  <c r="F991" i="15"/>
  <c r="G991" i="15" s="1"/>
  <c r="F992" i="15"/>
  <c r="G992" i="15" s="1"/>
  <c r="F993" i="15"/>
  <c r="G993" i="15" s="1"/>
  <c r="F994" i="15"/>
  <c r="G994" i="15" s="1"/>
  <c r="F995" i="15"/>
  <c r="G995" i="15" s="1"/>
  <c r="F996" i="15"/>
  <c r="G996" i="15" s="1"/>
  <c r="F997" i="15"/>
  <c r="G997" i="15" s="1"/>
  <c r="F998" i="15"/>
  <c r="G998" i="15" s="1"/>
  <c r="F999" i="15"/>
  <c r="G999" i="15" s="1"/>
  <c r="F1000" i="15"/>
  <c r="G1000" i="15" s="1"/>
  <c r="F1001" i="15"/>
  <c r="G1001" i="15" s="1"/>
  <c r="F1002" i="15"/>
  <c r="G1002" i="15" s="1"/>
  <c r="F1003" i="15"/>
  <c r="G1003" i="15" s="1"/>
  <c r="F1004" i="15"/>
  <c r="G1004" i="15" s="1"/>
  <c r="F1005" i="15"/>
  <c r="G1005" i="15" s="1"/>
  <c r="F1006" i="15"/>
  <c r="G1006" i="15" s="1"/>
  <c r="F1007" i="15"/>
  <c r="G1007" i="15" s="1"/>
  <c r="F1008" i="15"/>
  <c r="G1008" i="15" s="1"/>
  <c r="F1009" i="15"/>
  <c r="G1009" i="15" s="1"/>
  <c r="F1010" i="15"/>
  <c r="G1010" i="15" s="1"/>
  <c r="F1011" i="15"/>
  <c r="G1011" i="15" s="1"/>
  <c r="F1012" i="15"/>
  <c r="G1012" i="15" s="1"/>
  <c r="F1013" i="15"/>
  <c r="G1013" i="15" s="1"/>
  <c r="F1014" i="15"/>
  <c r="G1014" i="15" s="1"/>
  <c r="F1015" i="15"/>
  <c r="G1015" i="15" s="1"/>
  <c r="F1016" i="15"/>
  <c r="G1016" i="15" s="1"/>
  <c r="F1017" i="15"/>
  <c r="G1017" i="15" s="1"/>
  <c r="F1018" i="15"/>
  <c r="G1018" i="15" s="1"/>
  <c r="F1019" i="15"/>
  <c r="G1019" i="15" s="1"/>
  <c r="F1020" i="15"/>
  <c r="G1020" i="15" s="1"/>
  <c r="F1021" i="15"/>
  <c r="G1021" i="15" s="1"/>
  <c r="F1022" i="15"/>
  <c r="G1022" i="15" s="1"/>
  <c r="F1023" i="15"/>
  <c r="G1023" i="15" s="1"/>
  <c r="F1024" i="15"/>
  <c r="G1024" i="15" s="1"/>
  <c r="F1025" i="15"/>
  <c r="G1025" i="15" s="1"/>
  <c r="F1026" i="15"/>
  <c r="G1026" i="15" s="1"/>
  <c r="F1027" i="15"/>
  <c r="G1027" i="15" s="1"/>
  <c r="F1028" i="15"/>
  <c r="G1028" i="15" s="1"/>
  <c r="F1029" i="15"/>
  <c r="G1029" i="15" s="1"/>
  <c r="F1030" i="15"/>
  <c r="G1030" i="15" s="1"/>
  <c r="F1031" i="15"/>
  <c r="G1031" i="15" s="1"/>
  <c r="F1032" i="15"/>
  <c r="G1032" i="15" s="1"/>
  <c r="F1033" i="15"/>
  <c r="G1033" i="15" s="1"/>
  <c r="F1034" i="15"/>
  <c r="G1034" i="15" s="1"/>
  <c r="F1035" i="15"/>
  <c r="G1035" i="15" s="1"/>
  <c r="F1036" i="15"/>
  <c r="G1036" i="15" s="1"/>
  <c r="F1037" i="15"/>
  <c r="G1037" i="15" s="1"/>
  <c r="F1038" i="15"/>
  <c r="G1038" i="15" s="1"/>
  <c r="F1039" i="15"/>
  <c r="G1039" i="15" s="1"/>
  <c r="F1040" i="15"/>
  <c r="G1040" i="15" s="1"/>
  <c r="F1041" i="15"/>
  <c r="G1041" i="15" s="1"/>
  <c r="F1042" i="15"/>
  <c r="G1042" i="15" s="1"/>
  <c r="F1043" i="15"/>
  <c r="G1043" i="15" s="1"/>
  <c r="F1044" i="15"/>
  <c r="G1044" i="15" s="1"/>
  <c r="F1045" i="15"/>
  <c r="G1045" i="15" s="1"/>
  <c r="F1046" i="15"/>
  <c r="G1046" i="15" s="1"/>
  <c r="F1047" i="15"/>
  <c r="G1047" i="15" s="1"/>
  <c r="F1048" i="15"/>
  <c r="G1048" i="15" s="1"/>
  <c r="F1049" i="15"/>
  <c r="G1049" i="15" s="1"/>
  <c r="F1050" i="15"/>
  <c r="G1050" i="15" s="1"/>
  <c r="F1051" i="15"/>
  <c r="G1051" i="15" s="1"/>
  <c r="F1052" i="15"/>
  <c r="G1052" i="15" s="1"/>
  <c r="F1053" i="15"/>
  <c r="G1053" i="15" s="1"/>
  <c r="F1054" i="15"/>
  <c r="G1054" i="15" s="1"/>
  <c r="F1055" i="15"/>
  <c r="G1055" i="15" s="1"/>
  <c r="F1056" i="15"/>
  <c r="G1056" i="15" s="1"/>
  <c r="F1057" i="15"/>
  <c r="G1057" i="15" s="1"/>
  <c r="F1058" i="15"/>
  <c r="G1058" i="15" s="1"/>
  <c r="F1059" i="15"/>
  <c r="G1059" i="15" s="1"/>
  <c r="F1060" i="15"/>
  <c r="G1060" i="15" s="1"/>
  <c r="F1061" i="15"/>
  <c r="G1061" i="15" s="1"/>
  <c r="F1062" i="15"/>
  <c r="G1062" i="15" s="1"/>
  <c r="F1063" i="15"/>
  <c r="G1063" i="15" s="1"/>
  <c r="F1064" i="15"/>
  <c r="G1064" i="15" s="1"/>
  <c r="F1065" i="15"/>
  <c r="G1065" i="15" s="1"/>
  <c r="F1066" i="15"/>
  <c r="G1066" i="15" s="1"/>
  <c r="F1067" i="15"/>
  <c r="G1067" i="15" s="1"/>
  <c r="F1068" i="15"/>
  <c r="G1068" i="15" s="1"/>
  <c r="F1069" i="15"/>
  <c r="G1069" i="15" s="1"/>
  <c r="F1070" i="15"/>
  <c r="G1070" i="15" s="1"/>
  <c r="F1071" i="15"/>
  <c r="G1071" i="15" s="1"/>
  <c r="F1072" i="15"/>
  <c r="G1072" i="15" s="1"/>
  <c r="F1073" i="15"/>
  <c r="G1073" i="15" s="1"/>
  <c r="F1074" i="15"/>
  <c r="G1074" i="15" s="1"/>
  <c r="F1075" i="15"/>
  <c r="G1075" i="15" s="1"/>
  <c r="F1076" i="15"/>
  <c r="G1076" i="15" s="1"/>
  <c r="F1077" i="15"/>
  <c r="G1077" i="15" s="1"/>
  <c r="F1078" i="15"/>
  <c r="G1078" i="15" s="1"/>
  <c r="F1079" i="15"/>
  <c r="G1079" i="15" s="1"/>
  <c r="F1080" i="15"/>
  <c r="G1080" i="15" s="1"/>
  <c r="F1081" i="15"/>
  <c r="G1081" i="15" s="1"/>
  <c r="F1082" i="15"/>
  <c r="G1082" i="15" s="1"/>
  <c r="F1083" i="15"/>
  <c r="G1083" i="15" s="1"/>
  <c r="F1084" i="15"/>
  <c r="G1084" i="15" s="1"/>
  <c r="F1085" i="15"/>
  <c r="G1085" i="15" s="1"/>
  <c r="F1086" i="15"/>
  <c r="G1086" i="15" s="1"/>
  <c r="F1087" i="15"/>
  <c r="G1087" i="15" s="1"/>
  <c r="F1088" i="15"/>
  <c r="G1088" i="15" s="1"/>
  <c r="F1089" i="15"/>
  <c r="G1089" i="15" s="1"/>
  <c r="F1090" i="15"/>
  <c r="G1090" i="15" s="1"/>
  <c r="F1091" i="15"/>
  <c r="G1091" i="15" s="1"/>
  <c r="F1092" i="15"/>
  <c r="G1092" i="15" s="1"/>
  <c r="F1093" i="15"/>
  <c r="G1093" i="15" s="1"/>
  <c r="F1094" i="15"/>
  <c r="G1094" i="15" s="1"/>
  <c r="F1095" i="15"/>
  <c r="G1095" i="15" s="1"/>
  <c r="F1096" i="15"/>
  <c r="G1096" i="15" s="1"/>
  <c r="F1097" i="15"/>
  <c r="G1097" i="15" s="1"/>
  <c r="F1098" i="15"/>
  <c r="G1098" i="15" s="1"/>
  <c r="F1099" i="15"/>
  <c r="G1099" i="15" s="1"/>
  <c r="F1100" i="15"/>
  <c r="G1100" i="15" s="1"/>
  <c r="F1101" i="15"/>
  <c r="G1101" i="15" s="1"/>
  <c r="F1102" i="15"/>
  <c r="G1102" i="15" s="1"/>
  <c r="F1103" i="15"/>
  <c r="G1103" i="15" s="1"/>
  <c r="F1104" i="15"/>
  <c r="G1104" i="15" s="1"/>
  <c r="F1105" i="15"/>
  <c r="G1105" i="15" s="1"/>
  <c r="F1106" i="15"/>
  <c r="G1106" i="15" s="1"/>
  <c r="F1107" i="15"/>
  <c r="G1107" i="15" s="1"/>
  <c r="F1108" i="15"/>
  <c r="G1108" i="15" s="1"/>
  <c r="F1109" i="15"/>
  <c r="G1109" i="15" s="1"/>
  <c r="F1110" i="15"/>
  <c r="G1110" i="15" s="1"/>
  <c r="F1111" i="15"/>
  <c r="G1111" i="15" s="1"/>
  <c r="F1112" i="15"/>
  <c r="G1112" i="15" s="1"/>
  <c r="F1113" i="15"/>
  <c r="G1113" i="15" s="1"/>
  <c r="F1114" i="15"/>
  <c r="G1114" i="15" s="1"/>
  <c r="F1115" i="15"/>
  <c r="G1115" i="15" s="1"/>
  <c r="F1116" i="15"/>
  <c r="G1116" i="15" s="1"/>
  <c r="F1117" i="15"/>
  <c r="G1117" i="15" s="1"/>
  <c r="F1118" i="15"/>
  <c r="G1118" i="15" s="1"/>
  <c r="F1119" i="15"/>
  <c r="G1119" i="15" s="1"/>
  <c r="F1120" i="15"/>
  <c r="G1120" i="15" s="1"/>
  <c r="F1121" i="15"/>
  <c r="G1121" i="15" s="1"/>
  <c r="F1122" i="15"/>
  <c r="G1122" i="15" s="1"/>
  <c r="F1123" i="15"/>
  <c r="G1123" i="15" s="1"/>
  <c r="F1124" i="15"/>
  <c r="G1124" i="15" s="1"/>
  <c r="F1125" i="15"/>
  <c r="G1125" i="15" s="1"/>
  <c r="F1126" i="15"/>
  <c r="G1126" i="15" s="1"/>
  <c r="F1127" i="15"/>
  <c r="G1127" i="15" s="1"/>
  <c r="F1128" i="15"/>
  <c r="G1128" i="15" s="1"/>
  <c r="F1129" i="15"/>
  <c r="G1129" i="15" s="1"/>
  <c r="F1130" i="15"/>
  <c r="G1130" i="15" s="1"/>
  <c r="F1131" i="15"/>
  <c r="G1131" i="15" s="1"/>
  <c r="F1132" i="15"/>
  <c r="G1132" i="15" s="1"/>
  <c r="F1133" i="15"/>
  <c r="G1133" i="15" s="1"/>
  <c r="F1134" i="15"/>
  <c r="G1134" i="15" s="1"/>
  <c r="F1135" i="15"/>
  <c r="G1135" i="15" s="1"/>
  <c r="F1136" i="15"/>
  <c r="G1136" i="15" s="1"/>
  <c r="F1137" i="15"/>
  <c r="G1137" i="15" s="1"/>
  <c r="F1138" i="15"/>
  <c r="G1138" i="15" s="1"/>
  <c r="F1139" i="15"/>
  <c r="G1139" i="15" s="1"/>
  <c r="F1140" i="15"/>
  <c r="G1140" i="15" s="1"/>
  <c r="F1141" i="15"/>
  <c r="G1141" i="15" s="1"/>
  <c r="F1142" i="15"/>
  <c r="G1142" i="15" s="1"/>
  <c r="F1143" i="15"/>
  <c r="G1143" i="15" s="1"/>
  <c r="F1144" i="15"/>
  <c r="G1144" i="15" s="1"/>
  <c r="F1145" i="15"/>
  <c r="G1145" i="15" s="1"/>
  <c r="F1146" i="15"/>
  <c r="G1146" i="15" s="1"/>
  <c r="F1147" i="15"/>
  <c r="G1147" i="15" s="1"/>
  <c r="F1148" i="15"/>
  <c r="G1148" i="15" s="1"/>
  <c r="F1149" i="15"/>
  <c r="G1149" i="15" s="1"/>
  <c r="F1150" i="15"/>
  <c r="G1150" i="15" s="1"/>
  <c r="F1151" i="15"/>
  <c r="G1151" i="15" s="1"/>
  <c r="F1152" i="15"/>
  <c r="G1152" i="15" s="1"/>
  <c r="F1153" i="15"/>
  <c r="G1153" i="15" s="1"/>
  <c r="F1154" i="15"/>
  <c r="G1154" i="15" s="1"/>
  <c r="F1155" i="15"/>
  <c r="G1155" i="15" s="1"/>
  <c r="F1156" i="15"/>
  <c r="G1156" i="15" s="1"/>
  <c r="F1157" i="15"/>
  <c r="G1157" i="15" s="1"/>
  <c r="F1158" i="15"/>
  <c r="G1158" i="15" s="1"/>
  <c r="F1159" i="15"/>
  <c r="G1159" i="15" s="1"/>
  <c r="F1160" i="15"/>
  <c r="G1160" i="15" s="1"/>
  <c r="F1161" i="15"/>
  <c r="G1161" i="15" s="1"/>
  <c r="F1162" i="15"/>
  <c r="G1162" i="15" s="1"/>
  <c r="F1163" i="15"/>
  <c r="G1163" i="15" s="1"/>
  <c r="F1164" i="15"/>
  <c r="G1164" i="15" s="1"/>
  <c r="F1165" i="15"/>
  <c r="G1165" i="15" s="1"/>
  <c r="F1166" i="15"/>
  <c r="G1166" i="15" s="1"/>
  <c r="F1167" i="15"/>
  <c r="G1167" i="15" s="1"/>
  <c r="F1168" i="15"/>
  <c r="G1168" i="15" s="1"/>
  <c r="F1169" i="15"/>
  <c r="G1169" i="15" s="1"/>
  <c r="F1170" i="15"/>
  <c r="G1170" i="15" s="1"/>
  <c r="F1171" i="15"/>
  <c r="G1171" i="15" s="1"/>
  <c r="F1172" i="15"/>
  <c r="G1172" i="15" s="1"/>
  <c r="F1173" i="15"/>
  <c r="G1173" i="15" s="1"/>
  <c r="F1174" i="15"/>
  <c r="G1174" i="15" s="1"/>
  <c r="F1175" i="15"/>
  <c r="G1175" i="15" s="1"/>
  <c r="F1176" i="15"/>
  <c r="G1176" i="15" s="1"/>
  <c r="F1177" i="15"/>
  <c r="G1177" i="15" s="1"/>
  <c r="F1178" i="15"/>
  <c r="G1178" i="15" s="1"/>
  <c r="F1179" i="15"/>
  <c r="G1179" i="15" s="1"/>
  <c r="F1180" i="15"/>
  <c r="G1180" i="15" s="1"/>
  <c r="F1181" i="15"/>
  <c r="G1181" i="15" s="1"/>
  <c r="F1182" i="15"/>
  <c r="G1182" i="15" s="1"/>
  <c r="F1183" i="15"/>
  <c r="G1183" i="15" s="1"/>
  <c r="F1184" i="15"/>
  <c r="G1184" i="15" s="1"/>
  <c r="F1185" i="15"/>
  <c r="G1185" i="15" s="1"/>
  <c r="F1186" i="15"/>
  <c r="G1186" i="15" s="1"/>
  <c r="F1187" i="15"/>
  <c r="G1187" i="15" s="1"/>
  <c r="F1188" i="15"/>
  <c r="G1188" i="15" s="1"/>
  <c r="F1189" i="15"/>
  <c r="G1189" i="15" s="1"/>
  <c r="F1190" i="15"/>
  <c r="G1190" i="15" s="1"/>
  <c r="F1191" i="15"/>
  <c r="G1191" i="15" s="1"/>
  <c r="F1192" i="15"/>
  <c r="G1192" i="15" s="1"/>
  <c r="F1193" i="15"/>
  <c r="G1193" i="15" s="1"/>
  <c r="F1194" i="15"/>
  <c r="G1194" i="15" s="1"/>
  <c r="F1195" i="15"/>
  <c r="G1195" i="15" s="1"/>
  <c r="F1196" i="15"/>
  <c r="G1196" i="15" s="1"/>
  <c r="F1197" i="15"/>
  <c r="G1197" i="15" s="1"/>
  <c r="F1198" i="15"/>
  <c r="G1198" i="15" s="1"/>
  <c r="F1199" i="15"/>
  <c r="G1199" i="15" s="1"/>
  <c r="F1200" i="15"/>
  <c r="G1200" i="15" s="1"/>
  <c r="F1201" i="15"/>
  <c r="G1201" i="15" s="1"/>
  <c r="F1202" i="15"/>
  <c r="G1202" i="15" s="1"/>
  <c r="F1203" i="15"/>
  <c r="G1203" i="15" s="1"/>
  <c r="F1204" i="15"/>
  <c r="G1204" i="15" s="1"/>
  <c r="F1205" i="15"/>
  <c r="G1205" i="15" s="1"/>
  <c r="F1206" i="15"/>
  <c r="G1206" i="15" s="1"/>
  <c r="F1207" i="15"/>
  <c r="G1207" i="15" s="1"/>
  <c r="F1208" i="15"/>
  <c r="G1208" i="15" s="1"/>
  <c r="F1209" i="15"/>
  <c r="G1209" i="15" s="1"/>
  <c r="F1210" i="15"/>
  <c r="G1210" i="15" s="1"/>
  <c r="F1211" i="15"/>
  <c r="G1211" i="15" s="1"/>
  <c r="F1212" i="15"/>
  <c r="G1212" i="15" s="1"/>
  <c r="F1213" i="15"/>
  <c r="G1213" i="15" s="1"/>
  <c r="F1214" i="15"/>
  <c r="G1214" i="15" s="1"/>
  <c r="F1215" i="15"/>
  <c r="G1215" i="15" s="1"/>
  <c r="F1216" i="15"/>
  <c r="G1216" i="15" s="1"/>
  <c r="F1217" i="15"/>
  <c r="G1217" i="15" s="1"/>
  <c r="F1218" i="15"/>
  <c r="G1218" i="15" s="1"/>
  <c r="F1219" i="15"/>
  <c r="G1219" i="15" s="1"/>
  <c r="F1220" i="15"/>
  <c r="G1220" i="15" s="1"/>
  <c r="F1221" i="15"/>
  <c r="G1221" i="15" s="1"/>
  <c r="F1222" i="15"/>
  <c r="G1222" i="15" s="1"/>
  <c r="F1223" i="15"/>
  <c r="G1223" i="15" s="1"/>
  <c r="F1224" i="15"/>
  <c r="G1224" i="15" s="1"/>
  <c r="F1225" i="15"/>
  <c r="G1225" i="15" s="1"/>
  <c r="F1226" i="15"/>
  <c r="G1226" i="15" s="1"/>
  <c r="F1227" i="15"/>
  <c r="G1227" i="15" s="1"/>
  <c r="F1228" i="15"/>
  <c r="G1228" i="15" s="1"/>
  <c r="F1229" i="15"/>
  <c r="G1229" i="15" s="1"/>
  <c r="F1230" i="15"/>
  <c r="G1230" i="15" s="1"/>
  <c r="F1231" i="15"/>
  <c r="G1231" i="15" s="1"/>
  <c r="F1232" i="15"/>
  <c r="G1232" i="15" s="1"/>
  <c r="F1233" i="15"/>
  <c r="G1233" i="15" s="1"/>
  <c r="F1234" i="15"/>
  <c r="G1234" i="15" s="1"/>
  <c r="F1235" i="15"/>
  <c r="G1235" i="15" s="1"/>
  <c r="F1236" i="15"/>
  <c r="G1236" i="15" s="1"/>
  <c r="F1237" i="15"/>
  <c r="G1237" i="15" s="1"/>
  <c r="F1238" i="15"/>
  <c r="G1238" i="15" s="1"/>
  <c r="F1239" i="15"/>
  <c r="G1239" i="15" s="1"/>
  <c r="F1240" i="15"/>
  <c r="G1240" i="15" s="1"/>
  <c r="F1241" i="15"/>
  <c r="G1241" i="15" s="1"/>
  <c r="F1242" i="15"/>
  <c r="G1242" i="15" s="1"/>
  <c r="F1243" i="15"/>
  <c r="G1243" i="15" s="1"/>
  <c r="F1244" i="15"/>
  <c r="G1244" i="15" s="1"/>
  <c r="F1245" i="15"/>
  <c r="G1245" i="15" s="1"/>
  <c r="F1246" i="15"/>
  <c r="G1246" i="15" s="1"/>
  <c r="F1247" i="15"/>
  <c r="G1247" i="15" s="1"/>
  <c r="F1248" i="15"/>
  <c r="G1248" i="15" s="1"/>
  <c r="F1249" i="15"/>
  <c r="G1249" i="15" s="1"/>
  <c r="F1250" i="15"/>
  <c r="G1250" i="15" s="1"/>
  <c r="F1251" i="15"/>
  <c r="G1251" i="15" s="1"/>
  <c r="F1252" i="15"/>
  <c r="G1252" i="15" s="1"/>
  <c r="F1253" i="15"/>
  <c r="G1253" i="15" s="1"/>
  <c r="F1254" i="15"/>
  <c r="G1254" i="15" s="1"/>
  <c r="F1255" i="15"/>
  <c r="G1255" i="15" s="1"/>
  <c r="F1256" i="15"/>
  <c r="G1256" i="15" s="1"/>
  <c r="F1257" i="15"/>
  <c r="G1257" i="15" s="1"/>
  <c r="F1258" i="15"/>
  <c r="G1258" i="15" s="1"/>
  <c r="F1259" i="15"/>
  <c r="G1259" i="15" s="1"/>
  <c r="F1260" i="15"/>
  <c r="G1260" i="15" s="1"/>
  <c r="F1261" i="15"/>
  <c r="G1261" i="15" s="1"/>
  <c r="F1262" i="15"/>
  <c r="G1262" i="15" s="1"/>
  <c r="F1263" i="15"/>
  <c r="G1263" i="15" s="1"/>
  <c r="F1264" i="15"/>
  <c r="G1264" i="15" s="1"/>
  <c r="F1265" i="15"/>
  <c r="G1265" i="15" s="1"/>
  <c r="F1266" i="15"/>
  <c r="G1266" i="15" s="1"/>
  <c r="F1267" i="15"/>
  <c r="G1267" i="15" s="1"/>
  <c r="F1268" i="15"/>
  <c r="G1268" i="15" s="1"/>
  <c r="F1269" i="15"/>
  <c r="G1269" i="15" s="1"/>
  <c r="F1270" i="15"/>
  <c r="G1270" i="15" s="1"/>
  <c r="F1271" i="15"/>
  <c r="G1271" i="15" s="1"/>
  <c r="F1272" i="15"/>
  <c r="G1272" i="15" s="1"/>
  <c r="F1273" i="15"/>
  <c r="G1273" i="15" s="1"/>
  <c r="F1274" i="15"/>
  <c r="G1274" i="15" s="1"/>
  <c r="F1275" i="15"/>
  <c r="G1275" i="15" s="1"/>
  <c r="F1276" i="15"/>
  <c r="G1276" i="15" s="1"/>
  <c r="F1277" i="15"/>
  <c r="G1277" i="15" s="1"/>
  <c r="F1278" i="15"/>
  <c r="G1278" i="15" s="1"/>
  <c r="F1279" i="15"/>
  <c r="G1279" i="15" s="1"/>
  <c r="F1280" i="15"/>
  <c r="G1280" i="15" s="1"/>
  <c r="F1281" i="15"/>
  <c r="G1281" i="15" s="1"/>
  <c r="F1282" i="15"/>
  <c r="G1282" i="15" s="1"/>
  <c r="F1283" i="15"/>
  <c r="G1283" i="15" s="1"/>
  <c r="F1284" i="15"/>
  <c r="G1284" i="15" s="1"/>
  <c r="F1285" i="15"/>
  <c r="G1285" i="15" s="1"/>
  <c r="F1286" i="15"/>
  <c r="G1286" i="15" s="1"/>
  <c r="F1287" i="15"/>
  <c r="G1287" i="15" s="1"/>
  <c r="F1288" i="15"/>
  <c r="G1288" i="15" s="1"/>
  <c r="F1289" i="15"/>
  <c r="G1289" i="15" s="1"/>
  <c r="F1290" i="15"/>
  <c r="G1290" i="15" s="1"/>
  <c r="F1291" i="15"/>
  <c r="G1291" i="15" s="1"/>
  <c r="F1292" i="15"/>
  <c r="G1292" i="15" s="1"/>
  <c r="F1293" i="15"/>
  <c r="G1293" i="15" s="1"/>
  <c r="F1294" i="15"/>
  <c r="G1294" i="15" s="1"/>
  <c r="F1295" i="15"/>
  <c r="G1295" i="15" s="1"/>
  <c r="F1296" i="15"/>
  <c r="G1296" i="15" s="1"/>
  <c r="F1297" i="15"/>
  <c r="G1297" i="15" s="1"/>
  <c r="F1298" i="15"/>
  <c r="G1298" i="15" s="1"/>
  <c r="F1299" i="15"/>
  <c r="G1299" i="15" s="1"/>
  <c r="F1300" i="15"/>
  <c r="G1300" i="15" s="1"/>
  <c r="F1301" i="15"/>
  <c r="G1301" i="15" s="1"/>
  <c r="F1302" i="15"/>
  <c r="G1302" i="15" s="1"/>
  <c r="F1303" i="15"/>
  <c r="G1303" i="15" s="1"/>
  <c r="F1304" i="15"/>
  <c r="G1304" i="15" s="1"/>
  <c r="F1305" i="15"/>
  <c r="G1305" i="15" s="1"/>
  <c r="F1306" i="15"/>
  <c r="G1306" i="15" s="1"/>
  <c r="F1307" i="15"/>
  <c r="G1307" i="15" s="1"/>
  <c r="F1308" i="15"/>
  <c r="G1308" i="15" s="1"/>
  <c r="F1309" i="15"/>
  <c r="G1309" i="15" s="1"/>
  <c r="F1310" i="15"/>
  <c r="G1310" i="15" s="1"/>
  <c r="F1311" i="15"/>
  <c r="G1311" i="15" s="1"/>
  <c r="F1312" i="15"/>
  <c r="G1312" i="15" s="1"/>
  <c r="F1313" i="15"/>
  <c r="G1313" i="15" s="1"/>
  <c r="F1314" i="15"/>
  <c r="G1314" i="15" s="1"/>
  <c r="F1315" i="15"/>
  <c r="G1315" i="15" s="1"/>
  <c r="F1316" i="15"/>
  <c r="G1316" i="15" s="1"/>
  <c r="F1317" i="15"/>
  <c r="G1317" i="15" s="1"/>
  <c r="F1318" i="15"/>
  <c r="G1318" i="15" s="1"/>
  <c r="F1319" i="15"/>
  <c r="G1319" i="15" s="1"/>
  <c r="F1320" i="15"/>
  <c r="G1320" i="15" s="1"/>
  <c r="F1321" i="15"/>
  <c r="G1321" i="15" s="1"/>
  <c r="F1322" i="15"/>
  <c r="G1322" i="15" s="1"/>
  <c r="F1323" i="15"/>
  <c r="G1323" i="15" s="1"/>
  <c r="F1324" i="15"/>
  <c r="G1324" i="15" s="1"/>
  <c r="F1325" i="15"/>
  <c r="G1325" i="15" s="1"/>
  <c r="F1326" i="15"/>
  <c r="G1326" i="15" s="1"/>
  <c r="F1327" i="15"/>
  <c r="G1327" i="15" s="1"/>
  <c r="F1328" i="15"/>
  <c r="G1328" i="15" s="1"/>
  <c r="F1329" i="15"/>
  <c r="G1329" i="15" s="1"/>
  <c r="F1330" i="15"/>
  <c r="G1330" i="15" s="1"/>
  <c r="F1331" i="15"/>
  <c r="G1331" i="15" s="1"/>
  <c r="F1332" i="15"/>
  <c r="G1332" i="15" s="1"/>
  <c r="F1333" i="15"/>
  <c r="G1333" i="15" s="1"/>
  <c r="F1334" i="15"/>
  <c r="G1334" i="15" s="1"/>
  <c r="F1335" i="15"/>
  <c r="G1335" i="15" s="1"/>
  <c r="F1336" i="15"/>
  <c r="G1336" i="15" s="1"/>
  <c r="F1337" i="15"/>
  <c r="G1337" i="15" s="1"/>
  <c r="F1338" i="15"/>
  <c r="G1338" i="15" s="1"/>
  <c r="F1339" i="15"/>
  <c r="G1339" i="15" s="1"/>
  <c r="F1340" i="15"/>
  <c r="G1340" i="15" s="1"/>
  <c r="F1341" i="15"/>
  <c r="G1341" i="15" s="1"/>
  <c r="F1342" i="15"/>
  <c r="G1342" i="15" s="1"/>
  <c r="F1343" i="15"/>
  <c r="G1343" i="15" s="1"/>
  <c r="F1344" i="15"/>
  <c r="G1344" i="15" s="1"/>
  <c r="F1345" i="15"/>
  <c r="G1345" i="15" s="1"/>
  <c r="F1346" i="15"/>
  <c r="G1346" i="15" s="1"/>
  <c r="F1347" i="15"/>
  <c r="G1347" i="15" s="1"/>
  <c r="F1348" i="15"/>
  <c r="G1348" i="15" s="1"/>
  <c r="F1349" i="15"/>
  <c r="G1349" i="15" s="1"/>
  <c r="F1350" i="15"/>
  <c r="G1350" i="15" s="1"/>
  <c r="F1351" i="15"/>
  <c r="G1351" i="15" s="1"/>
  <c r="F1352" i="15"/>
  <c r="G1352" i="15" s="1"/>
  <c r="F1353" i="15"/>
  <c r="G1353" i="15" s="1"/>
  <c r="F1354" i="15"/>
  <c r="G1354" i="15" s="1"/>
  <c r="F1355" i="15"/>
  <c r="G1355" i="15" s="1"/>
  <c r="F1356" i="15"/>
  <c r="G1356" i="15" s="1"/>
  <c r="F1357" i="15"/>
  <c r="G1357" i="15" s="1"/>
  <c r="F1358" i="15"/>
  <c r="G1358" i="15" s="1"/>
  <c r="F1359" i="15"/>
  <c r="G1359" i="15" s="1"/>
  <c r="F1360" i="15"/>
  <c r="G1360" i="15" s="1"/>
  <c r="F1361" i="15"/>
  <c r="G1361" i="15" s="1"/>
  <c r="F1362" i="15"/>
  <c r="G1362" i="15" s="1"/>
  <c r="F1363" i="15"/>
  <c r="G1363" i="15" s="1"/>
  <c r="F1364" i="15"/>
  <c r="G1364" i="15" s="1"/>
  <c r="F1365" i="15"/>
  <c r="G1365" i="15" s="1"/>
  <c r="F1366" i="15"/>
  <c r="G1366" i="15" s="1"/>
  <c r="F1367" i="15"/>
  <c r="G1367" i="15" s="1"/>
  <c r="F1368" i="15"/>
  <c r="G1368" i="15" s="1"/>
  <c r="F1369" i="15"/>
  <c r="G1369" i="15" s="1"/>
  <c r="F1370" i="15"/>
  <c r="G1370" i="15" s="1"/>
  <c r="F1371" i="15"/>
  <c r="G1371" i="15" s="1"/>
  <c r="F1372" i="15"/>
  <c r="G1372" i="15" s="1"/>
  <c r="F1373" i="15"/>
  <c r="G1373" i="15" s="1"/>
  <c r="F1374" i="15"/>
  <c r="G1374" i="15" s="1"/>
  <c r="F1375" i="15"/>
  <c r="G1375" i="15" s="1"/>
  <c r="F1376" i="15"/>
  <c r="G1376" i="15" s="1"/>
  <c r="F1377" i="15"/>
  <c r="G1377" i="15" s="1"/>
  <c r="F1378" i="15"/>
  <c r="G1378" i="15" s="1"/>
  <c r="F1379" i="15"/>
  <c r="G1379" i="15" s="1"/>
  <c r="F1380" i="15"/>
  <c r="G1380" i="15" s="1"/>
  <c r="F1381" i="15"/>
  <c r="G1381" i="15" s="1"/>
  <c r="F1382" i="15"/>
  <c r="G1382" i="15" s="1"/>
  <c r="F1383" i="15"/>
  <c r="G1383" i="15" s="1"/>
  <c r="F1384" i="15"/>
  <c r="G1384" i="15" s="1"/>
  <c r="F1385" i="15"/>
  <c r="G1385" i="15" s="1"/>
  <c r="F1386" i="15"/>
  <c r="G1386" i="15" s="1"/>
  <c r="F1387" i="15"/>
  <c r="G1387" i="15" s="1"/>
  <c r="F1388" i="15"/>
  <c r="G1388" i="15" s="1"/>
  <c r="F1389" i="15"/>
  <c r="G1389" i="15" s="1"/>
  <c r="F1390" i="15"/>
  <c r="G1390" i="15" s="1"/>
  <c r="F1391" i="15"/>
  <c r="G1391" i="15" s="1"/>
  <c r="F1392" i="15"/>
  <c r="G1392" i="15" s="1"/>
  <c r="F1393" i="15"/>
  <c r="G1393" i="15" s="1"/>
  <c r="F1394" i="15"/>
  <c r="G1394" i="15" s="1"/>
  <c r="F1395" i="15"/>
  <c r="G1395" i="15" s="1"/>
  <c r="F1396" i="15"/>
  <c r="G1396" i="15" s="1"/>
  <c r="F1397" i="15"/>
  <c r="G1397" i="15" s="1"/>
  <c r="F1398" i="15"/>
  <c r="G1398" i="15" s="1"/>
  <c r="F1399" i="15"/>
  <c r="G1399" i="15" s="1"/>
  <c r="F1400" i="15"/>
  <c r="G1400" i="15" s="1"/>
  <c r="F1401" i="15"/>
  <c r="G1401" i="15" s="1"/>
  <c r="F1402" i="15"/>
  <c r="G1402" i="15" s="1"/>
  <c r="F1403" i="15"/>
  <c r="G1403" i="15" s="1"/>
  <c r="F1404" i="15"/>
  <c r="G1404" i="15" s="1"/>
  <c r="F1405" i="15"/>
  <c r="G1405" i="15" s="1"/>
  <c r="F1406" i="15"/>
  <c r="G1406" i="15" s="1"/>
  <c r="F1407" i="15"/>
  <c r="G1407" i="15" s="1"/>
  <c r="F1408" i="15"/>
  <c r="G1408" i="15" s="1"/>
  <c r="F1409" i="15"/>
  <c r="G1409" i="15" s="1"/>
  <c r="F1410" i="15"/>
  <c r="G1410" i="15" s="1"/>
  <c r="F1411" i="15"/>
  <c r="G1411" i="15" s="1"/>
  <c r="F1412" i="15"/>
  <c r="G1412" i="15" s="1"/>
  <c r="F1413" i="15"/>
  <c r="G1413" i="15" s="1"/>
  <c r="F1414" i="15"/>
  <c r="G1414" i="15" s="1"/>
  <c r="F1415" i="15"/>
  <c r="G1415" i="15" s="1"/>
  <c r="F1416" i="15"/>
  <c r="G1416" i="15" s="1"/>
  <c r="F1417" i="15"/>
  <c r="G1417" i="15" s="1"/>
  <c r="F1418" i="15"/>
  <c r="G1418" i="15" s="1"/>
  <c r="F1419" i="15"/>
  <c r="G1419" i="15" s="1"/>
  <c r="F1420" i="15"/>
  <c r="G1420" i="15" s="1"/>
  <c r="F1421" i="15"/>
  <c r="G1421" i="15" s="1"/>
  <c r="F1422" i="15"/>
  <c r="G1422" i="15" s="1"/>
  <c r="F1423" i="15"/>
  <c r="G1423" i="15" s="1"/>
  <c r="F1424" i="15"/>
  <c r="G1424" i="15" s="1"/>
  <c r="F1425" i="15"/>
  <c r="G1425" i="15" s="1"/>
  <c r="F1426" i="15"/>
  <c r="G1426" i="15" s="1"/>
  <c r="F1427" i="15"/>
  <c r="G1427" i="15" s="1"/>
  <c r="F1428" i="15"/>
  <c r="G1428" i="15" s="1"/>
  <c r="F1429" i="15"/>
  <c r="G1429" i="15" s="1"/>
  <c r="F1430" i="15"/>
  <c r="G1430" i="15" s="1"/>
  <c r="F1431" i="15"/>
  <c r="G1431" i="15" s="1"/>
  <c r="F1432" i="15"/>
  <c r="G1432" i="15" s="1"/>
  <c r="F1433" i="15"/>
  <c r="G1433" i="15" s="1"/>
  <c r="F1434" i="15"/>
  <c r="G1434" i="15" s="1"/>
  <c r="F1435" i="15"/>
  <c r="G1435" i="15" s="1"/>
  <c r="F1436" i="15"/>
  <c r="G1436" i="15" s="1"/>
  <c r="F1437" i="15"/>
  <c r="G1437" i="15" s="1"/>
  <c r="F1438" i="15"/>
  <c r="G1438" i="15" s="1"/>
  <c r="F1439" i="15"/>
  <c r="G1439" i="15" s="1"/>
  <c r="F1440" i="15"/>
  <c r="G1440" i="15" s="1"/>
  <c r="F1441" i="15"/>
  <c r="G1441" i="15" s="1"/>
  <c r="F1442" i="15"/>
  <c r="G1442" i="15" s="1"/>
  <c r="F1443" i="15"/>
  <c r="G1443" i="15" s="1"/>
  <c r="F1444" i="15"/>
  <c r="G1444" i="15" s="1"/>
  <c r="F1445" i="15"/>
  <c r="G1445" i="15" s="1"/>
  <c r="F1446" i="15"/>
  <c r="G1446" i="15" s="1"/>
  <c r="F1447" i="15"/>
  <c r="G1447" i="15" s="1"/>
  <c r="F1448" i="15"/>
  <c r="G1448" i="15" s="1"/>
  <c r="F1449" i="15"/>
  <c r="G1449" i="15" s="1"/>
  <c r="F1450" i="15"/>
  <c r="G1450" i="15" s="1"/>
  <c r="F1451" i="15"/>
  <c r="G1451" i="15" s="1"/>
  <c r="F1452" i="15"/>
  <c r="G1452" i="15" s="1"/>
  <c r="F1453" i="15"/>
  <c r="G1453" i="15" s="1"/>
  <c r="F1454" i="15"/>
  <c r="G1454" i="15" s="1"/>
  <c r="F1455" i="15"/>
  <c r="G1455" i="15" s="1"/>
  <c r="F1456" i="15"/>
  <c r="G1456" i="15" s="1"/>
  <c r="F1457" i="15"/>
  <c r="G1457" i="15" s="1"/>
  <c r="F1458" i="15"/>
  <c r="G1458" i="15" s="1"/>
  <c r="F1459" i="15"/>
  <c r="G1459" i="15" s="1"/>
  <c r="F1460" i="15"/>
  <c r="G1460" i="15" s="1"/>
  <c r="F1461" i="15"/>
  <c r="G1461" i="15" s="1"/>
  <c r="F1462" i="15"/>
  <c r="G1462" i="15" s="1"/>
  <c r="F1463" i="15"/>
  <c r="G1463" i="15" s="1"/>
  <c r="F1464" i="15"/>
  <c r="G1464" i="15" s="1"/>
  <c r="F1465" i="15"/>
  <c r="G1465" i="15" s="1"/>
  <c r="F1466" i="15"/>
  <c r="G1466" i="15" s="1"/>
  <c r="F1467" i="15"/>
  <c r="G1467" i="15" s="1"/>
  <c r="F1468" i="15"/>
  <c r="G1468" i="15" s="1"/>
  <c r="F1469" i="15"/>
  <c r="G1469" i="15" s="1"/>
  <c r="F1470" i="15"/>
  <c r="G1470" i="15" s="1"/>
  <c r="F1471" i="15"/>
  <c r="G1471" i="15" s="1"/>
  <c r="F1472" i="15"/>
  <c r="G1472" i="15" s="1"/>
  <c r="F1473" i="15"/>
  <c r="G1473" i="15" s="1"/>
  <c r="F1474" i="15"/>
  <c r="G1474" i="15" s="1"/>
  <c r="F1475" i="15"/>
  <c r="G1475" i="15" s="1"/>
  <c r="F1476" i="15"/>
  <c r="G1476" i="15" s="1"/>
  <c r="F1477" i="15"/>
  <c r="G1477" i="15" s="1"/>
  <c r="F1478" i="15"/>
  <c r="G1478" i="15" s="1"/>
  <c r="F1479" i="15"/>
  <c r="G1479" i="15" s="1"/>
  <c r="F1480" i="15"/>
  <c r="G1480" i="15" s="1"/>
  <c r="F1481" i="15"/>
  <c r="G1481" i="15" s="1"/>
  <c r="F1482" i="15"/>
  <c r="G1482" i="15" s="1"/>
  <c r="F1483" i="15"/>
  <c r="G1483" i="15" s="1"/>
  <c r="F1484" i="15"/>
  <c r="G1484" i="15" s="1"/>
  <c r="F1485" i="15"/>
  <c r="G1485" i="15" s="1"/>
  <c r="F1486" i="15"/>
  <c r="G1486" i="15" s="1"/>
  <c r="F1487" i="15"/>
  <c r="G1487" i="15" s="1"/>
  <c r="F1488" i="15"/>
  <c r="G1488" i="15" s="1"/>
  <c r="F1489" i="15"/>
  <c r="G1489" i="15" s="1"/>
  <c r="F1490" i="15"/>
  <c r="G1490" i="15" s="1"/>
  <c r="F1491" i="15"/>
  <c r="G1491" i="15" s="1"/>
  <c r="F1492" i="15"/>
  <c r="G1492" i="15" s="1"/>
  <c r="F1493" i="15"/>
  <c r="G1493" i="15" s="1"/>
  <c r="F1494" i="15"/>
  <c r="G1494" i="15" s="1"/>
  <c r="F1495" i="15"/>
  <c r="G1495" i="15" s="1"/>
  <c r="F1496" i="15"/>
  <c r="G1496" i="15" s="1"/>
  <c r="F1497" i="15"/>
  <c r="G1497" i="15" s="1"/>
  <c r="F1498" i="15"/>
  <c r="G1498" i="15" s="1"/>
  <c r="F1499" i="15"/>
  <c r="G1499" i="15" s="1"/>
  <c r="F1500" i="15"/>
  <c r="G1500" i="15" s="1"/>
  <c r="F1501" i="15"/>
  <c r="G1501" i="15" s="1"/>
  <c r="F1502" i="15"/>
  <c r="G1502" i="15" s="1"/>
  <c r="F1503" i="15"/>
  <c r="G1503" i="15" s="1"/>
  <c r="F1504" i="15"/>
  <c r="G1504" i="15" s="1"/>
  <c r="F1505" i="15"/>
  <c r="G1505" i="15" s="1"/>
  <c r="F1506" i="15"/>
  <c r="G1506" i="15" s="1"/>
  <c r="F1507" i="15"/>
  <c r="G1507" i="15" s="1"/>
  <c r="F1508" i="15"/>
  <c r="G1508" i="15" s="1"/>
  <c r="F1509" i="15"/>
  <c r="G1509" i="15" s="1"/>
  <c r="F1510" i="15"/>
  <c r="G1510" i="15" s="1"/>
  <c r="F1511" i="15"/>
  <c r="G1511" i="15" s="1"/>
  <c r="F1512" i="15"/>
  <c r="G1512" i="15" s="1"/>
  <c r="F1513" i="15"/>
  <c r="G1513" i="15" s="1"/>
  <c r="F1514" i="15"/>
  <c r="G1514" i="15" s="1"/>
  <c r="F1515" i="15"/>
  <c r="G1515" i="15" s="1"/>
  <c r="F1516" i="15"/>
  <c r="G1516" i="15" s="1"/>
  <c r="F1517" i="15"/>
  <c r="G1517" i="15" s="1"/>
  <c r="F1518" i="15"/>
  <c r="G1518" i="15" s="1"/>
  <c r="F1519" i="15"/>
  <c r="G1519" i="15" s="1"/>
  <c r="F1520" i="15"/>
  <c r="G1520" i="15" s="1"/>
  <c r="F1521" i="15"/>
  <c r="G1521" i="15" s="1"/>
  <c r="F1522" i="15"/>
  <c r="G1522" i="15" s="1"/>
  <c r="F1523" i="15"/>
  <c r="G1523" i="15" s="1"/>
  <c r="F1524" i="15"/>
  <c r="G1524" i="15" s="1"/>
  <c r="F1525" i="15"/>
  <c r="G1525" i="15" s="1"/>
  <c r="F1526" i="15"/>
  <c r="G1526" i="15" s="1"/>
  <c r="F1527" i="15"/>
  <c r="G1527" i="15" s="1"/>
  <c r="F1528" i="15"/>
  <c r="G1528" i="15" s="1"/>
  <c r="F1529" i="15"/>
  <c r="G1529" i="15" s="1"/>
  <c r="F1530" i="15"/>
  <c r="G1530" i="15" s="1"/>
  <c r="F1531" i="15"/>
  <c r="G1531" i="15" s="1"/>
  <c r="F1532" i="15"/>
  <c r="G1532" i="15" s="1"/>
  <c r="F1533" i="15"/>
  <c r="G1533" i="15" s="1"/>
  <c r="F1534" i="15"/>
  <c r="G1534" i="15" s="1"/>
  <c r="F1535" i="15"/>
  <c r="G1535" i="15" s="1"/>
  <c r="F1536" i="15"/>
  <c r="G1536" i="15" s="1"/>
  <c r="F1537" i="15"/>
  <c r="G1537" i="15" s="1"/>
  <c r="F1538" i="15"/>
  <c r="G1538" i="15" s="1"/>
  <c r="F1539" i="15"/>
  <c r="G1539" i="15" s="1"/>
  <c r="F1540" i="15"/>
  <c r="G1540" i="15" s="1"/>
  <c r="F1541" i="15"/>
  <c r="G1541" i="15" s="1"/>
  <c r="F1542" i="15"/>
  <c r="G1542" i="15" s="1"/>
  <c r="F1543" i="15"/>
  <c r="G1543" i="15" s="1"/>
  <c r="F1544" i="15"/>
  <c r="G1544" i="15" s="1"/>
  <c r="F1545" i="15"/>
  <c r="G1545" i="15" s="1"/>
  <c r="F1546" i="15"/>
  <c r="G1546" i="15" s="1"/>
  <c r="F1547" i="15"/>
  <c r="G1547" i="15" s="1"/>
  <c r="F1548" i="15"/>
  <c r="G1548" i="15" s="1"/>
  <c r="F1549" i="15"/>
  <c r="G1549" i="15" s="1"/>
  <c r="F1550" i="15"/>
  <c r="G1550" i="15" s="1"/>
  <c r="F1551" i="15"/>
  <c r="G1551" i="15" s="1"/>
  <c r="F1552" i="15"/>
  <c r="G1552" i="15" s="1"/>
  <c r="F1553" i="15"/>
  <c r="G1553" i="15" s="1"/>
  <c r="F1554" i="15"/>
  <c r="G1554" i="15" s="1"/>
  <c r="F1555" i="15"/>
  <c r="G1555" i="15" s="1"/>
  <c r="F1556" i="15"/>
  <c r="G1556" i="15" s="1"/>
  <c r="F1557" i="15"/>
  <c r="G1557" i="15" s="1"/>
  <c r="F1558" i="15"/>
  <c r="G1558" i="15" s="1"/>
  <c r="F1559" i="15"/>
  <c r="G1559" i="15" s="1"/>
  <c r="F1560" i="15"/>
  <c r="G1560" i="15" s="1"/>
  <c r="F1561" i="15"/>
  <c r="G1561" i="15" s="1"/>
  <c r="F1562" i="15"/>
  <c r="G1562" i="15" s="1"/>
  <c r="F1563" i="15"/>
  <c r="G1563" i="15" s="1"/>
  <c r="F1564" i="15"/>
  <c r="G1564" i="15" s="1"/>
  <c r="F1565" i="15"/>
  <c r="G1565" i="15" s="1"/>
  <c r="F1566" i="15"/>
  <c r="G1566" i="15" s="1"/>
  <c r="F1567" i="15"/>
  <c r="G1567" i="15" s="1"/>
  <c r="F1568" i="15"/>
  <c r="G1568" i="15" s="1"/>
  <c r="F1569" i="15"/>
  <c r="G1569" i="15" s="1"/>
  <c r="F1570" i="15"/>
  <c r="G1570" i="15" s="1"/>
  <c r="F1571" i="15"/>
  <c r="G1571" i="15" s="1"/>
  <c r="F1572" i="15"/>
  <c r="G1572" i="15" s="1"/>
  <c r="F1573" i="15"/>
  <c r="G1573" i="15" s="1"/>
  <c r="F1574" i="15"/>
  <c r="G1574" i="15" s="1"/>
  <c r="F1575" i="15"/>
  <c r="G1575" i="15" s="1"/>
  <c r="F1576" i="15"/>
  <c r="G1576" i="15" s="1"/>
  <c r="F1577" i="15"/>
  <c r="G1577" i="15" s="1"/>
  <c r="F1578" i="15"/>
  <c r="G1578" i="15" s="1"/>
  <c r="F1579" i="15"/>
  <c r="G1579" i="15" s="1"/>
  <c r="F1580" i="15"/>
  <c r="G1580" i="15" s="1"/>
  <c r="F1581" i="15"/>
  <c r="G1581" i="15" s="1"/>
  <c r="F1582" i="15"/>
  <c r="G1582" i="15" s="1"/>
  <c r="F1583" i="15"/>
  <c r="G1583" i="15" s="1"/>
  <c r="F1584" i="15"/>
  <c r="G1584" i="15" s="1"/>
  <c r="F1585" i="15"/>
  <c r="G1585" i="15" s="1"/>
  <c r="F1586" i="15"/>
  <c r="G1586" i="15" s="1"/>
  <c r="F1587" i="15"/>
  <c r="G1587" i="15" s="1"/>
  <c r="F1588" i="15"/>
  <c r="G1588" i="15" s="1"/>
  <c r="F1589" i="15"/>
  <c r="G1589" i="15" s="1"/>
  <c r="F1590" i="15"/>
  <c r="G1590" i="15" s="1"/>
  <c r="F1591" i="15"/>
  <c r="G1591" i="15" s="1"/>
  <c r="F1592" i="15"/>
  <c r="G1592" i="15" s="1"/>
  <c r="F1593" i="15"/>
  <c r="G1593" i="15" s="1"/>
  <c r="F1594" i="15"/>
  <c r="G1594" i="15" s="1"/>
  <c r="F1595" i="15"/>
  <c r="G1595" i="15" s="1"/>
  <c r="F1596" i="15"/>
  <c r="G1596" i="15" s="1"/>
  <c r="F1597" i="15"/>
  <c r="G1597" i="15" s="1"/>
  <c r="F1598" i="15"/>
  <c r="G1598" i="15" s="1"/>
  <c r="F1599" i="15"/>
  <c r="G1599" i="15" s="1"/>
  <c r="F1600" i="15"/>
  <c r="G1600" i="15" s="1"/>
  <c r="F1601" i="15"/>
  <c r="G1601" i="15" s="1"/>
  <c r="F1602" i="15"/>
  <c r="G1602" i="15" s="1"/>
  <c r="F1603" i="15"/>
  <c r="G1603" i="15" s="1"/>
  <c r="F1604" i="15"/>
  <c r="G1604" i="15" s="1"/>
  <c r="F1605" i="15"/>
  <c r="G1605" i="15" s="1"/>
  <c r="F1606" i="15"/>
  <c r="G1606" i="15" s="1"/>
  <c r="F1607" i="15"/>
  <c r="G1607" i="15" s="1"/>
  <c r="F1608" i="15"/>
  <c r="G1608" i="15" s="1"/>
  <c r="F1609" i="15"/>
  <c r="G1609" i="15" s="1"/>
  <c r="F1610" i="15"/>
  <c r="G1610" i="15" s="1"/>
  <c r="F1611" i="15"/>
  <c r="G1611" i="15" s="1"/>
  <c r="F1612" i="15"/>
  <c r="G1612" i="15" s="1"/>
  <c r="F1613" i="15"/>
  <c r="G1613" i="15" s="1"/>
  <c r="F1614" i="15"/>
  <c r="G1614" i="15" s="1"/>
  <c r="F1615" i="15"/>
  <c r="G1615" i="15" s="1"/>
  <c r="F1616" i="15"/>
  <c r="G1616" i="15" s="1"/>
  <c r="F1617" i="15"/>
  <c r="G1617" i="15" s="1"/>
  <c r="F1618" i="15"/>
  <c r="G1618" i="15" s="1"/>
  <c r="F1619" i="15"/>
  <c r="G1619" i="15" s="1"/>
  <c r="F1620" i="15"/>
  <c r="G1620" i="15" s="1"/>
  <c r="F1621" i="15"/>
  <c r="G1621" i="15" s="1"/>
  <c r="F1622" i="15"/>
  <c r="G1622" i="15" s="1"/>
  <c r="F1623" i="15"/>
  <c r="G1623" i="15" s="1"/>
  <c r="F1624" i="15"/>
  <c r="G1624" i="15" s="1"/>
  <c r="F1625" i="15"/>
  <c r="G1625" i="15" s="1"/>
  <c r="F1626" i="15"/>
  <c r="G1626" i="15" s="1"/>
  <c r="F1627" i="15"/>
  <c r="G1627" i="15" s="1"/>
  <c r="F1628" i="15"/>
  <c r="G1628" i="15" s="1"/>
  <c r="F1629" i="15"/>
  <c r="G1629" i="15" s="1"/>
  <c r="F1630" i="15"/>
  <c r="G1630" i="15" s="1"/>
  <c r="F1631" i="15"/>
  <c r="G1631" i="15" s="1"/>
  <c r="F1632" i="15"/>
  <c r="G1632" i="15" s="1"/>
  <c r="F1633" i="15"/>
  <c r="G1633" i="15" s="1"/>
  <c r="F1634" i="15"/>
  <c r="G1634" i="15" s="1"/>
  <c r="F1635" i="15"/>
  <c r="G1635" i="15" s="1"/>
  <c r="F1636" i="15"/>
  <c r="G1636" i="15" s="1"/>
  <c r="F1637" i="15"/>
  <c r="G1637" i="15" s="1"/>
  <c r="F1638" i="15"/>
  <c r="G1638" i="15" s="1"/>
  <c r="F1639" i="15"/>
  <c r="G1639" i="15" s="1"/>
  <c r="F1640" i="15"/>
  <c r="G1640" i="15" s="1"/>
  <c r="F1641" i="15"/>
  <c r="G1641" i="15" s="1"/>
  <c r="F1642" i="15"/>
  <c r="G1642" i="15" s="1"/>
  <c r="F1643" i="15"/>
  <c r="G1643" i="15" s="1"/>
  <c r="F1644" i="15"/>
  <c r="G1644" i="15" s="1"/>
  <c r="F1645" i="15"/>
  <c r="G1645" i="15" s="1"/>
  <c r="F1646" i="15"/>
  <c r="G1646" i="15" s="1"/>
  <c r="F1647" i="15"/>
  <c r="G1647" i="15" s="1"/>
  <c r="F1648" i="15"/>
  <c r="G1648" i="15" s="1"/>
  <c r="F1649" i="15"/>
  <c r="G1649" i="15" s="1"/>
  <c r="F1650" i="15"/>
  <c r="G1650" i="15" s="1"/>
  <c r="F1651" i="15"/>
  <c r="G1651" i="15" s="1"/>
  <c r="F1652" i="15"/>
  <c r="G1652" i="15" s="1"/>
  <c r="F1653" i="15"/>
  <c r="G1653" i="15" s="1"/>
  <c r="F1654" i="15"/>
  <c r="G1654" i="15" s="1"/>
  <c r="F1655" i="15"/>
  <c r="G1655" i="15" s="1"/>
  <c r="F1656" i="15"/>
  <c r="G1656" i="15" s="1"/>
  <c r="F1657" i="15"/>
  <c r="G1657" i="15" s="1"/>
  <c r="F1658" i="15"/>
  <c r="G1658" i="15" s="1"/>
  <c r="F1659" i="15"/>
  <c r="G1659" i="15" s="1"/>
  <c r="F1660" i="15"/>
  <c r="G1660" i="15" s="1"/>
  <c r="F1661" i="15"/>
  <c r="G1661" i="15" s="1"/>
  <c r="F1662" i="15"/>
  <c r="G1662" i="15" s="1"/>
  <c r="F1663" i="15"/>
  <c r="G1663" i="15" s="1"/>
  <c r="F1664" i="15"/>
  <c r="G1664" i="15" s="1"/>
  <c r="F1665" i="15"/>
  <c r="G1665" i="15" s="1"/>
  <c r="F1666" i="15"/>
  <c r="G1666" i="15" s="1"/>
  <c r="F1667" i="15"/>
  <c r="G1667" i="15" s="1"/>
  <c r="F1668" i="15"/>
  <c r="G1668" i="15" s="1"/>
  <c r="F1669" i="15"/>
  <c r="G1669" i="15" s="1"/>
  <c r="F1670" i="15"/>
  <c r="G1670" i="15" s="1"/>
  <c r="F1671" i="15"/>
  <c r="G1671" i="15" s="1"/>
  <c r="F1672" i="15"/>
  <c r="G1672" i="15" s="1"/>
  <c r="F1673" i="15"/>
  <c r="G1673" i="15" s="1"/>
  <c r="F1674" i="15"/>
  <c r="G1674" i="15" s="1"/>
  <c r="F1675" i="15"/>
  <c r="G1675" i="15" s="1"/>
  <c r="F1676" i="15"/>
  <c r="G1676" i="15" s="1"/>
  <c r="F1677" i="15"/>
  <c r="G1677" i="15" s="1"/>
  <c r="F1678" i="15"/>
  <c r="G1678" i="15" s="1"/>
  <c r="F1679" i="15"/>
  <c r="G1679" i="15" s="1"/>
  <c r="F1680" i="15"/>
  <c r="G1680" i="15" s="1"/>
  <c r="F1681" i="15"/>
  <c r="G1681" i="15" s="1"/>
  <c r="F1682" i="15"/>
  <c r="G1682" i="15" s="1"/>
  <c r="F1683" i="15"/>
  <c r="G1683" i="15" s="1"/>
  <c r="F1684" i="15"/>
  <c r="G1684" i="15" s="1"/>
  <c r="F1685" i="15"/>
  <c r="G1685" i="15" s="1"/>
  <c r="F1686" i="15"/>
  <c r="G1686" i="15" s="1"/>
  <c r="F1687" i="15"/>
  <c r="G1687" i="15" s="1"/>
  <c r="F1688" i="15"/>
  <c r="G1688" i="15" s="1"/>
  <c r="F1689" i="15"/>
  <c r="G1689" i="15" s="1"/>
  <c r="F1690" i="15"/>
  <c r="G1690" i="15" s="1"/>
  <c r="F1691" i="15"/>
  <c r="G1691" i="15" s="1"/>
  <c r="F1692" i="15"/>
  <c r="G1692" i="15" s="1"/>
  <c r="F1693" i="15"/>
  <c r="G1693" i="15" s="1"/>
  <c r="F1694" i="15"/>
  <c r="G1694" i="15" s="1"/>
  <c r="F1695" i="15"/>
  <c r="G1695" i="15" s="1"/>
  <c r="F1696" i="15"/>
  <c r="G1696" i="15" s="1"/>
  <c r="F1697" i="15"/>
  <c r="G1697" i="15" s="1"/>
  <c r="F1698" i="15"/>
  <c r="G1698" i="15" s="1"/>
  <c r="F1699" i="15"/>
  <c r="G1699" i="15" s="1"/>
  <c r="F1700" i="15"/>
  <c r="G1700" i="15" s="1"/>
  <c r="F1701" i="15"/>
  <c r="G1701" i="15" s="1"/>
  <c r="F1702" i="15"/>
  <c r="G1702" i="15" s="1"/>
  <c r="F1703" i="15"/>
  <c r="G1703" i="15" s="1"/>
  <c r="F1704" i="15"/>
  <c r="G1704" i="15" s="1"/>
  <c r="F1705" i="15"/>
  <c r="G1705" i="15" s="1"/>
  <c r="F1706" i="15"/>
  <c r="G1706" i="15" s="1"/>
  <c r="F1707" i="15"/>
  <c r="G1707" i="15" s="1"/>
  <c r="F1708" i="15"/>
  <c r="G1708" i="15" s="1"/>
  <c r="F1709" i="15"/>
  <c r="G1709" i="15" s="1"/>
  <c r="F1710" i="15"/>
  <c r="G1710" i="15" s="1"/>
  <c r="F1711" i="15"/>
  <c r="G1711" i="15" s="1"/>
  <c r="F1712" i="15"/>
  <c r="G1712" i="15" s="1"/>
  <c r="F1713" i="15"/>
  <c r="G1713" i="15" s="1"/>
  <c r="F1714" i="15"/>
  <c r="G1714" i="15" s="1"/>
  <c r="F1715" i="15"/>
  <c r="G1715" i="15" s="1"/>
  <c r="F1716" i="15"/>
  <c r="G1716" i="15" s="1"/>
  <c r="F1717" i="15"/>
  <c r="G1717" i="15" s="1"/>
  <c r="F1718" i="15"/>
  <c r="G1718" i="15" s="1"/>
  <c r="F1719" i="15"/>
  <c r="G1719" i="15" s="1"/>
  <c r="F1720" i="15"/>
  <c r="G1720" i="15" s="1"/>
  <c r="F1721" i="15"/>
  <c r="G1721" i="15" s="1"/>
  <c r="F1722" i="15"/>
  <c r="G1722" i="15" s="1"/>
  <c r="F1723" i="15"/>
  <c r="G1723" i="15" s="1"/>
  <c r="F1724" i="15"/>
  <c r="G1724" i="15" s="1"/>
  <c r="F1725" i="15"/>
  <c r="G1725" i="15" s="1"/>
  <c r="F1726" i="15"/>
  <c r="G1726" i="15" s="1"/>
  <c r="F1727" i="15"/>
  <c r="G1727" i="15" s="1"/>
  <c r="F1728" i="15"/>
  <c r="G1728" i="15" s="1"/>
  <c r="F1729" i="15"/>
  <c r="G1729" i="15" s="1"/>
  <c r="F1730" i="15"/>
  <c r="G1730" i="15" s="1"/>
  <c r="F1731" i="15"/>
  <c r="G1731" i="15" s="1"/>
  <c r="F1732" i="15"/>
  <c r="G1732" i="15" s="1"/>
  <c r="F1733" i="15"/>
  <c r="G1733" i="15" s="1"/>
  <c r="F1734" i="15"/>
  <c r="G1734" i="15" s="1"/>
  <c r="F1735" i="15"/>
  <c r="G1735" i="15" s="1"/>
  <c r="F1736" i="15"/>
  <c r="G1736" i="15" s="1"/>
  <c r="F1737" i="15"/>
  <c r="G1737" i="15" s="1"/>
  <c r="F1738" i="15"/>
  <c r="G1738" i="15" s="1"/>
  <c r="F1739" i="15"/>
  <c r="G1739" i="15" s="1"/>
  <c r="F1740" i="15"/>
  <c r="G1740" i="15" s="1"/>
  <c r="F1741" i="15"/>
  <c r="G1741" i="15" s="1"/>
  <c r="F1742" i="15"/>
  <c r="G1742" i="15" s="1"/>
  <c r="F1743" i="15"/>
  <c r="G1743" i="15" s="1"/>
  <c r="F1744" i="15"/>
  <c r="G1744" i="15" s="1"/>
  <c r="F1745" i="15"/>
  <c r="G1745" i="15" s="1"/>
  <c r="F1746" i="15"/>
  <c r="G1746" i="15" s="1"/>
  <c r="F1747" i="15"/>
  <c r="G1747" i="15" s="1"/>
  <c r="F1748" i="15"/>
  <c r="G1748" i="15" s="1"/>
  <c r="F1749" i="15"/>
  <c r="G1749" i="15" s="1"/>
  <c r="F1750" i="15"/>
  <c r="G1750" i="15" s="1"/>
  <c r="F1751" i="15"/>
  <c r="G1751" i="15" s="1"/>
  <c r="F1752" i="15"/>
  <c r="G1752" i="15" s="1"/>
  <c r="F1753" i="15"/>
  <c r="G1753" i="15" s="1"/>
  <c r="F1754" i="15"/>
  <c r="G1754" i="15" s="1"/>
  <c r="F1755" i="15"/>
  <c r="G1755" i="15" s="1"/>
  <c r="F1756" i="15"/>
  <c r="G1756" i="15" s="1"/>
  <c r="F1757" i="15"/>
  <c r="G1757" i="15" s="1"/>
  <c r="F1758" i="15"/>
  <c r="G1758" i="15" s="1"/>
  <c r="F1759" i="15"/>
  <c r="G1759" i="15" s="1"/>
  <c r="F1760" i="15"/>
  <c r="G1760" i="15" s="1"/>
  <c r="F1761" i="15"/>
  <c r="G1761" i="15" s="1"/>
  <c r="F1762" i="15"/>
  <c r="G1762" i="15" s="1"/>
  <c r="F1763" i="15"/>
  <c r="G1763" i="15" s="1"/>
  <c r="F1764" i="15"/>
  <c r="G1764" i="15" s="1"/>
  <c r="F1765" i="15"/>
  <c r="G1765" i="15" s="1"/>
  <c r="F1766" i="15"/>
  <c r="G1766" i="15" s="1"/>
  <c r="F1767" i="15"/>
  <c r="G1767" i="15" s="1"/>
  <c r="F1768" i="15"/>
  <c r="G1768" i="15" s="1"/>
  <c r="F1769" i="15"/>
  <c r="G1769" i="15" s="1"/>
  <c r="F1770" i="15"/>
  <c r="G1770" i="15" s="1"/>
  <c r="F1771" i="15"/>
  <c r="G1771" i="15" s="1"/>
  <c r="F1772" i="15"/>
  <c r="G1772" i="15" s="1"/>
  <c r="F1773" i="15"/>
  <c r="G1773" i="15" s="1"/>
  <c r="F1774" i="15"/>
  <c r="G1774" i="15" s="1"/>
  <c r="F1775" i="15"/>
  <c r="G1775" i="15" s="1"/>
  <c r="F1776" i="15"/>
  <c r="G1776" i="15" s="1"/>
  <c r="F1777" i="15"/>
  <c r="G1777" i="15" s="1"/>
  <c r="F1778" i="15"/>
  <c r="G1778" i="15" s="1"/>
  <c r="F1779" i="15"/>
  <c r="G1779" i="15" s="1"/>
  <c r="F1780" i="15"/>
  <c r="G1780" i="15" s="1"/>
  <c r="F1781" i="15"/>
  <c r="G1781" i="15" s="1"/>
  <c r="F1782" i="15"/>
  <c r="G1782" i="15" s="1"/>
  <c r="F1783" i="15"/>
  <c r="G1783" i="15" s="1"/>
  <c r="F1784" i="15"/>
  <c r="G1784" i="15" s="1"/>
  <c r="F1785" i="15"/>
  <c r="G1785" i="15" s="1"/>
  <c r="F1786" i="15"/>
  <c r="G1786" i="15" s="1"/>
  <c r="F1787" i="15"/>
  <c r="G1787" i="15" s="1"/>
  <c r="F1788" i="15"/>
  <c r="G1788" i="15" s="1"/>
  <c r="F1789" i="15"/>
  <c r="G1789" i="15" s="1"/>
  <c r="F1790" i="15"/>
  <c r="G1790" i="15" s="1"/>
  <c r="F1791" i="15"/>
  <c r="G1791" i="15" s="1"/>
  <c r="F1792" i="15"/>
  <c r="G1792" i="15" s="1"/>
  <c r="F1793" i="15"/>
  <c r="G1793" i="15" s="1"/>
  <c r="F1794" i="15"/>
  <c r="G1794" i="15" s="1"/>
  <c r="F1795" i="15"/>
  <c r="G1795" i="15" s="1"/>
  <c r="F1796" i="15"/>
  <c r="G1796" i="15" s="1"/>
  <c r="F1797" i="15"/>
  <c r="G1797" i="15" s="1"/>
  <c r="F1798" i="15"/>
  <c r="G1798" i="15" s="1"/>
  <c r="F1799" i="15"/>
  <c r="G1799" i="15" s="1"/>
  <c r="F1800" i="15"/>
  <c r="G1800" i="15" s="1"/>
  <c r="F1801" i="15"/>
  <c r="G1801" i="15" s="1"/>
  <c r="F1802" i="15"/>
  <c r="G1802" i="15" s="1"/>
  <c r="F1803" i="15"/>
  <c r="G1803" i="15" s="1"/>
  <c r="F1804" i="15"/>
  <c r="G1804" i="15" s="1"/>
  <c r="F1805" i="15"/>
  <c r="G1805" i="15" s="1"/>
  <c r="F1806" i="15"/>
  <c r="G1806" i="15" s="1"/>
  <c r="F1807" i="15"/>
  <c r="G1807" i="15" s="1"/>
  <c r="F1808" i="15"/>
  <c r="G1808" i="15" s="1"/>
  <c r="F1809" i="15"/>
  <c r="G1809" i="15" s="1"/>
  <c r="F1810" i="15"/>
  <c r="G1810" i="15" s="1"/>
  <c r="F1811" i="15"/>
  <c r="G1811" i="15" s="1"/>
  <c r="F1812" i="15"/>
  <c r="G1812" i="15" s="1"/>
  <c r="F1813" i="15"/>
  <c r="G1813" i="15" s="1"/>
  <c r="F1814" i="15"/>
  <c r="G1814" i="15" s="1"/>
  <c r="F1815" i="15"/>
  <c r="G1815" i="15" s="1"/>
  <c r="F1816" i="15"/>
  <c r="G1816" i="15" s="1"/>
  <c r="F1817" i="15"/>
  <c r="G1817" i="15" s="1"/>
  <c r="F1818" i="15"/>
  <c r="G1818" i="15" s="1"/>
  <c r="F1819" i="15"/>
  <c r="G1819" i="15" s="1"/>
  <c r="F1820" i="15"/>
  <c r="G1820" i="15" s="1"/>
  <c r="F1821" i="15"/>
  <c r="G1821" i="15" s="1"/>
  <c r="F1822" i="15"/>
  <c r="G1822" i="15" s="1"/>
  <c r="F1823" i="15"/>
  <c r="G1823" i="15" s="1"/>
  <c r="F1824" i="15"/>
  <c r="G1824" i="15" s="1"/>
  <c r="F1825" i="15"/>
  <c r="G1825" i="15" s="1"/>
  <c r="F1826" i="15"/>
  <c r="G1826" i="15" s="1"/>
  <c r="F1827" i="15"/>
  <c r="G1827" i="15" s="1"/>
  <c r="F1828" i="15"/>
  <c r="G1828" i="15" s="1"/>
  <c r="F1829" i="15"/>
  <c r="G1829" i="15" s="1"/>
  <c r="F1830" i="15"/>
  <c r="G1830" i="15" s="1"/>
  <c r="F1831" i="15"/>
  <c r="G1831" i="15" s="1"/>
  <c r="F1832" i="15"/>
  <c r="G1832" i="15" s="1"/>
  <c r="F1833" i="15"/>
  <c r="G1833" i="15" s="1"/>
  <c r="F1834" i="15"/>
  <c r="G1834" i="15" s="1"/>
  <c r="F1835" i="15"/>
  <c r="G1835" i="15" s="1"/>
  <c r="F1836" i="15"/>
  <c r="G1836" i="15" s="1"/>
  <c r="F1837" i="15"/>
  <c r="G1837" i="15" s="1"/>
  <c r="F1838" i="15"/>
  <c r="G1838" i="15" s="1"/>
  <c r="F1839" i="15"/>
  <c r="G1839" i="15" s="1"/>
  <c r="F1840" i="15"/>
  <c r="G1840" i="15" s="1"/>
  <c r="F1841" i="15"/>
  <c r="G1841" i="15" s="1"/>
  <c r="F1842" i="15"/>
  <c r="G1842" i="15" s="1"/>
  <c r="F1843" i="15"/>
  <c r="G1843" i="15" s="1"/>
  <c r="F1844" i="15"/>
  <c r="G1844" i="15" s="1"/>
  <c r="F1845" i="15"/>
  <c r="G1845" i="15" s="1"/>
  <c r="F1846" i="15"/>
  <c r="G1846" i="15" s="1"/>
  <c r="F1847" i="15"/>
  <c r="G1847" i="15" s="1"/>
  <c r="F1848" i="15"/>
  <c r="G1848" i="15" s="1"/>
  <c r="F1849" i="15"/>
  <c r="G1849" i="15" s="1"/>
  <c r="F1850" i="15"/>
  <c r="G1850" i="15" s="1"/>
  <c r="F1851" i="15"/>
  <c r="G1851" i="15" s="1"/>
  <c r="F1852" i="15"/>
  <c r="G1852" i="15" s="1"/>
  <c r="F1853" i="15"/>
  <c r="G1853" i="15" s="1"/>
  <c r="F1854" i="15"/>
  <c r="G1854" i="15" s="1"/>
  <c r="F1855" i="15"/>
  <c r="G1855" i="15" s="1"/>
  <c r="F1856" i="15"/>
  <c r="G1856" i="15" s="1"/>
  <c r="F1857" i="15"/>
  <c r="G1857" i="15" s="1"/>
  <c r="F1858" i="15"/>
  <c r="G1858" i="15" s="1"/>
  <c r="F1859" i="15"/>
  <c r="G1859" i="15" s="1"/>
  <c r="F1860" i="15"/>
  <c r="G1860" i="15" s="1"/>
  <c r="F1861" i="15"/>
  <c r="G1861" i="15" s="1"/>
  <c r="F1862" i="15"/>
  <c r="G1862" i="15" s="1"/>
  <c r="F1863" i="15"/>
  <c r="G1863" i="15" s="1"/>
  <c r="F1864" i="15"/>
  <c r="G1864" i="15" s="1"/>
  <c r="F1865" i="15"/>
  <c r="G1865" i="15" s="1"/>
  <c r="F1866" i="15"/>
  <c r="G1866" i="15" s="1"/>
  <c r="F1867" i="15"/>
  <c r="G1867" i="15" s="1"/>
  <c r="F1868" i="15"/>
  <c r="G1868" i="15" s="1"/>
  <c r="F1869" i="15"/>
  <c r="G1869" i="15" s="1"/>
  <c r="F1870" i="15"/>
  <c r="G1870" i="15" s="1"/>
  <c r="F1871" i="15"/>
  <c r="G1871" i="15" s="1"/>
  <c r="F1872" i="15"/>
  <c r="G1872" i="15" s="1"/>
  <c r="F1873" i="15"/>
  <c r="G1873" i="15" s="1"/>
  <c r="F1874" i="15"/>
  <c r="G1874" i="15" s="1"/>
  <c r="F1875" i="15"/>
  <c r="G1875" i="15" s="1"/>
  <c r="F1876" i="15"/>
  <c r="G1876" i="15" s="1"/>
  <c r="F1877" i="15"/>
  <c r="G1877" i="15" s="1"/>
  <c r="F1878" i="15"/>
  <c r="G1878" i="15" s="1"/>
  <c r="F1879" i="15"/>
  <c r="G1879" i="15" s="1"/>
  <c r="F1880" i="15"/>
  <c r="G1880" i="15" s="1"/>
  <c r="F1881" i="15"/>
  <c r="G1881" i="15" s="1"/>
  <c r="F1882" i="15"/>
  <c r="G1882" i="15" s="1"/>
  <c r="F1883" i="15"/>
  <c r="G1883" i="15" s="1"/>
  <c r="F1884" i="15"/>
  <c r="G1884" i="15" s="1"/>
  <c r="F1885" i="15"/>
  <c r="G1885" i="15" s="1"/>
  <c r="F1886" i="15"/>
  <c r="G1886" i="15" s="1"/>
  <c r="F1887" i="15"/>
  <c r="G1887" i="15" s="1"/>
  <c r="F1888" i="15"/>
  <c r="G1888" i="15" s="1"/>
  <c r="F1889" i="15"/>
  <c r="G1889" i="15" s="1"/>
  <c r="F1890" i="15"/>
  <c r="G1890" i="15" s="1"/>
  <c r="F1891" i="15"/>
  <c r="G1891" i="15" s="1"/>
  <c r="F1892" i="15"/>
  <c r="G1892" i="15" s="1"/>
  <c r="F1893" i="15"/>
  <c r="G1893" i="15" s="1"/>
  <c r="F1894" i="15"/>
  <c r="G1894" i="15" s="1"/>
  <c r="F1895" i="15"/>
  <c r="G1895" i="15" s="1"/>
  <c r="F1896" i="15"/>
  <c r="G1896" i="15" s="1"/>
  <c r="F1897" i="15"/>
  <c r="G1897" i="15" s="1"/>
  <c r="F1898" i="15"/>
  <c r="G1898" i="15" s="1"/>
  <c r="F1899" i="15"/>
  <c r="G1899" i="15" s="1"/>
  <c r="F1900" i="15"/>
  <c r="G1900" i="15" s="1"/>
  <c r="F1901" i="15"/>
  <c r="G1901" i="15" s="1"/>
  <c r="F1902" i="15"/>
  <c r="G1902" i="15" s="1"/>
  <c r="F1903" i="15"/>
  <c r="G1903" i="15" s="1"/>
  <c r="F1904" i="15"/>
  <c r="G1904" i="15" s="1"/>
  <c r="F1905" i="15"/>
  <c r="G1905" i="15" s="1"/>
  <c r="F1906" i="15"/>
  <c r="G1906" i="15" s="1"/>
  <c r="F1907" i="15"/>
  <c r="G1907" i="15" s="1"/>
  <c r="F1908" i="15"/>
  <c r="G1908" i="15" s="1"/>
  <c r="F1909" i="15"/>
  <c r="G1909" i="15" s="1"/>
  <c r="F1910" i="15"/>
  <c r="G1910" i="15" s="1"/>
  <c r="F1911" i="15"/>
  <c r="G1911" i="15" s="1"/>
  <c r="F1912" i="15"/>
  <c r="G1912" i="15" s="1"/>
  <c r="F1913" i="15"/>
  <c r="G1913" i="15" s="1"/>
  <c r="F1914" i="15"/>
  <c r="G1914" i="15" s="1"/>
  <c r="F1915" i="15"/>
  <c r="G1915" i="15" s="1"/>
  <c r="F1916" i="15"/>
  <c r="G1916" i="15" s="1"/>
  <c r="F1917" i="15"/>
  <c r="G1917" i="15" s="1"/>
  <c r="F1918" i="15"/>
  <c r="G1918" i="15" s="1"/>
  <c r="F1919" i="15"/>
  <c r="G1919" i="15" s="1"/>
  <c r="F1920" i="15"/>
  <c r="G1920" i="15" s="1"/>
  <c r="F1921" i="15"/>
  <c r="G1921" i="15" s="1"/>
  <c r="F1922" i="15"/>
  <c r="G1922" i="15" s="1"/>
  <c r="F1923" i="15"/>
  <c r="G1923" i="15" s="1"/>
  <c r="F1924" i="15"/>
  <c r="G1924" i="15" s="1"/>
  <c r="F1925" i="15"/>
  <c r="G1925" i="15" s="1"/>
  <c r="F1926" i="15"/>
  <c r="G1926" i="15" s="1"/>
  <c r="F1927" i="15"/>
  <c r="G1927" i="15" s="1"/>
  <c r="F1928" i="15"/>
  <c r="G1928" i="15" s="1"/>
  <c r="F1929" i="15"/>
  <c r="G1929" i="15" s="1"/>
  <c r="F1930" i="15"/>
  <c r="G1930" i="15" s="1"/>
  <c r="F1931" i="15"/>
  <c r="G1931" i="15" s="1"/>
  <c r="F1932" i="15"/>
  <c r="G1932" i="15" s="1"/>
  <c r="F1933" i="15"/>
  <c r="G1933" i="15" s="1"/>
  <c r="F1934" i="15"/>
  <c r="G1934" i="15" s="1"/>
  <c r="F1935" i="15"/>
  <c r="G1935" i="15" s="1"/>
  <c r="F1936" i="15"/>
  <c r="G1936" i="15" s="1"/>
  <c r="F1937" i="15"/>
  <c r="G1937" i="15" s="1"/>
  <c r="F1938" i="15"/>
  <c r="G1938" i="15" s="1"/>
  <c r="F1939" i="15"/>
  <c r="G1939" i="15" s="1"/>
  <c r="F1940" i="15"/>
  <c r="G1940" i="15" s="1"/>
  <c r="F1941" i="15"/>
  <c r="G1941" i="15" s="1"/>
  <c r="F1942" i="15"/>
  <c r="G1942" i="15" s="1"/>
  <c r="F1943" i="15"/>
  <c r="G1943" i="15" s="1"/>
  <c r="F1944" i="15"/>
  <c r="G1944" i="15" s="1"/>
  <c r="F1945" i="15"/>
  <c r="G1945" i="15" s="1"/>
  <c r="F1946" i="15"/>
  <c r="G1946" i="15" s="1"/>
  <c r="F1947" i="15"/>
  <c r="G1947" i="15" s="1"/>
  <c r="F1948" i="15"/>
  <c r="G1948" i="15" s="1"/>
  <c r="F1949" i="15"/>
  <c r="G1949" i="15" s="1"/>
  <c r="F1950" i="15"/>
  <c r="G1950" i="15" s="1"/>
  <c r="F1951" i="15"/>
  <c r="G1951" i="15" s="1"/>
  <c r="F1952" i="15"/>
  <c r="G1952" i="15" s="1"/>
  <c r="F1953" i="15"/>
  <c r="G1953" i="15" s="1"/>
  <c r="F1954" i="15"/>
  <c r="G1954" i="15" s="1"/>
  <c r="F1955" i="15"/>
  <c r="G1955" i="15" s="1"/>
  <c r="F1956" i="15"/>
  <c r="G1956" i="15" s="1"/>
  <c r="F1957" i="15"/>
  <c r="G1957" i="15" s="1"/>
  <c r="F1958" i="15"/>
  <c r="G1958" i="15" s="1"/>
  <c r="F1959" i="15"/>
  <c r="G1959" i="15" s="1"/>
  <c r="F1960" i="15"/>
  <c r="G1960" i="15" s="1"/>
  <c r="F1961" i="15"/>
  <c r="G1961" i="15" s="1"/>
  <c r="F1962" i="15"/>
  <c r="G1962" i="15" s="1"/>
  <c r="F1963" i="15"/>
  <c r="G1963" i="15" s="1"/>
  <c r="F1964" i="15"/>
  <c r="G1964" i="15" s="1"/>
  <c r="F1965" i="15"/>
  <c r="G1965" i="15" s="1"/>
  <c r="F1966" i="15"/>
  <c r="G1966" i="15" s="1"/>
  <c r="F1967" i="15"/>
  <c r="G1967" i="15" s="1"/>
  <c r="F1968" i="15"/>
  <c r="G1968" i="15" s="1"/>
  <c r="F1969" i="15"/>
  <c r="G1969" i="15" s="1"/>
  <c r="F1970" i="15"/>
  <c r="G1970" i="15" s="1"/>
  <c r="F1971" i="15"/>
  <c r="G1971" i="15" s="1"/>
  <c r="F1972" i="15"/>
  <c r="G1972" i="15" s="1"/>
  <c r="F1973" i="15"/>
  <c r="G1973" i="15" s="1"/>
  <c r="F1974" i="15"/>
  <c r="G1974" i="15" s="1"/>
  <c r="F1975" i="15"/>
  <c r="G1975" i="15" s="1"/>
  <c r="F1976" i="15"/>
  <c r="G1976" i="15" s="1"/>
  <c r="F1977" i="15"/>
  <c r="G1977" i="15" s="1"/>
  <c r="F1978" i="15"/>
  <c r="G1978" i="15" s="1"/>
  <c r="F1979" i="15"/>
  <c r="G1979" i="15" s="1"/>
  <c r="F1980" i="15"/>
  <c r="G1980" i="15" s="1"/>
  <c r="F1981" i="15"/>
  <c r="G1981" i="15" s="1"/>
  <c r="F1982" i="15"/>
  <c r="G1982" i="15" s="1"/>
  <c r="F1983" i="15"/>
  <c r="G1983" i="15" s="1"/>
  <c r="F1984" i="15"/>
  <c r="G1984" i="15" s="1"/>
  <c r="F1985" i="15"/>
  <c r="G1985" i="15" s="1"/>
  <c r="F1986" i="15"/>
  <c r="G1986" i="15" s="1"/>
  <c r="F1987" i="15"/>
  <c r="G1987" i="15" s="1"/>
  <c r="F1988" i="15"/>
  <c r="G1988" i="15" s="1"/>
  <c r="F1989" i="15"/>
  <c r="G1989" i="15" s="1"/>
  <c r="F1990" i="15"/>
  <c r="G1990" i="15" s="1"/>
  <c r="F1991" i="15"/>
  <c r="G1991" i="15" s="1"/>
  <c r="F1992" i="15"/>
  <c r="G1992" i="15" s="1"/>
  <c r="F1993" i="15"/>
  <c r="G1993" i="15" s="1"/>
  <c r="F1994" i="15"/>
  <c r="G1994" i="15" s="1"/>
  <c r="F1995" i="15"/>
  <c r="G1995" i="15" s="1"/>
  <c r="F1996" i="15"/>
  <c r="G1996" i="15" s="1"/>
  <c r="F1997" i="15"/>
  <c r="G1997" i="15" s="1"/>
  <c r="F1998" i="15"/>
  <c r="G1998" i="15" s="1"/>
  <c r="F1999" i="15"/>
  <c r="G1999" i="15" s="1"/>
  <c r="F2000" i="15"/>
  <c r="G2000" i="15" s="1"/>
  <c r="F2001" i="15"/>
  <c r="G2001" i="15" s="1"/>
  <c r="F2002" i="15"/>
  <c r="G2002" i="15" s="1"/>
  <c r="F2003" i="15"/>
  <c r="G2003" i="15" s="1"/>
  <c r="F2004" i="15"/>
  <c r="G2004" i="15" s="1"/>
  <c r="F2005" i="15"/>
  <c r="G2005" i="15" s="1"/>
  <c r="F2006" i="15"/>
  <c r="G2006" i="15" s="1"/>
  <c r="F2007" i="15"/>
  <c r="G2007" i="15" s="1"/>
  <c r="F2008" i="15"/>
  <c r="G2008" i="15" s="1"/>
  <c r="F2009" i="15"/>
  <c r="G2009" i="15" s="1"/>
  <c r="F2010" i="15"/>
  <c r="G2010" i="15" s="1"/>
  <c r="F2011" i="15"/>
  <c r="G2011" i="15" s="1"/>
  <c r="F2012" i="15"/>
  <c r="G2012" i="15" s="1"/>
  <c r="F2013" i="15"/>
  <c r="G2013" i="15" s="1"/>
  <c r="F2014" i="15"/>
  <c r="G2014" i="15" s="1"/>
  <c r="F2015" i="15"/>
  <c r="G2015" i="15" s="1"/>
  <c r="F2016" i="15"/>
  <c r="G2016" i="15" s="1"/>
  <c r="F2017" i="15"/>
  <c r="G2017" i="15" s="1"/>
  <c r="F2018" i="15"/>
  <c r="G2018" i="15" s="1"/>
  <c r="F2019" i="15"/>
  <c r="G2019" i="15" s="1"/>
  <c r="F2020" i="15"/>
  <c r="G2020" i="15" s="1"/>
  <c r="F2021" i="15"/>
  <c r="G2021" i="15" s="1"/>
  <c r="F2022" i="15"/>
  <c r="G2022" i="15" s="1"/>
  <c r="F2023" i="15"/>
  <c r="G2023" i="15" s="1"/>
  <c r="F2024" i="15"/>
  <c r="G2024" i="15" s="1"/>
  <c r="F2025" i="15"/>
  <c r="G2025" i="15" s="1"/>
  <c r="F2026" i="15"/>
  <c r="G2026" i="15" s="1"/>
  <c r="F2027" i="15"/>
  <c r="G2027" i="15" s="1"/>
  <c r="F2028" i="15"/>
  <c r="G2028" i="15" s="1"/>
  <c r="F2029" i="15"/>
  <c r="G2029" i="15" s="1"/>
  <c r="F2030" i="15"/>
  <c r="G2030" i="15" s="1"/>
  <c r="F2031" i="15"/>
  <c r="G2031" i="15" s="1"/>
  <c r="F2032" i="15"/>
  <c r="G2032" i="15" s="1"/>
  <c r="F2033" i="15"/>
  <c r="G2033" i="15" s="1"/>
  <c r="F2034" i="15"/>
  <c r="G2034" i="15" s="1"/>
  <c r="F2035" i="15"/>
  <c r="G2035" i="15" s="1"/>
  <c r="F2036" i="15"/>
  <c r="G2036" i="15" s="1"/>
  <c r="F2037" i="15"/>
  <c r="G2037" i="15" s="1"/>
  <c r="F2038" i="15"/>
  <c r="G2038" i="15" s="1"/>
  <c r="F2039" i="15"/>
  <c r="G2039" i="15" s="1"/>
  <c r="F2040" i="15"/>
  <c r="G2040" i="15" s="1"/>
  <c r="F2041" i="15"/>
  <c r="G2041" i="15" s="1"/>
  <c r="F2042" i="15"/>
  <c r="G2042" i="15" s="1"/>
  <c r="F2043" i="15"/>
  <c r="G2043" i="15" s="1"/>
  <c r="F2044" i="15"/>
  <c r="G2044" i="15" s="1"/>
  <c r="F2045" i="15"/>
  <c r="G2045" i="15" s="1"/>
  <c r="F2046" i="15"/>
  <c r="G2046" i="15" s="1"/>
  <c r="F2047" i="15"/>
  <c r="G2047" i="15" s="1"/>
  <c r="F2048" i="15"/>
  <c r="G2048" i="15" s="1"/>
  <c r="F2049" i="15"/>
  <c r="G2049" i="15" s="1"/>
  <c r="F2050" i="15"/>
  <c r="G2050" i="15" s="1"/>
  <c r="F2051" i="15"/>
  <c r="G2051" i="15" s="1"/>
  <c r="F2052" i="15"/>
  <c r="G2052" i="15" s="1"/>
  <c r="F2053" i="15"/>
  <c r="G2053" i="15" s="1"/>
  <c r="F2054" i="15"/>
  <c r="G2054" i="15" s="1"/>
  <c r="F2055" i="15"/>
  <c r="G2055" i="15" s="1"/>
  <c r="F2056" i="15"/>
  <c r="G2056" i="15" s="1"/>
  <c r="F2057" i="15"/>
  <c r="G2057" i="15" s="1"/>
  <c r="F2058" i="15"/>
  <c r="G2058" i="15" s="1"/>
  <c r="F2059" i="15"/>
  <c r="G2059" i="15" s="1"/>
  <c r="F2060" i="15"/>
  <c r="G2060" i="15" s="1"/>
  <c r="F2061" i="15"/>
  <c r="G2061" i="15" s="1"/>
  <c r="F2062" i="15"/>
  <c r="G2062" i="15" s="1"/>
  <c r="F2063" i="15"/>
  <c r="G2063" i="15" s="1"/>
  <c r="F2064" i="15"/>
  <c r="G2064" i="15" s="1"/>
  <c r="F2065" i="15"/>
  <c r="G2065" i="15" s="1"/>
  <c r="F2066" i="15"/>
  <c r="G2066" i="15" s="1"/>
  <c r="F2067" i="15"/>
  <c r="G2067" i="15" s="1"/>
  <c r="F2068" i="15"/>
  <c r="G2068" i="15" s="1"/>
  <c r="F2069" i="15"/>
  <c r="G2069" i="15" s="1"/>
  <c r="F2070" i="15"/>
  <c r="G2070" i="15" s="1"/>
  <c r="F2071" i="15"/>
  <c r="G2071" i="15" s="1"/>
  <c r="F2072" i="15"/>
  <c r="G2072" i="15" s="1"/>
  <c r="F2073" i="15"/>
  <c r="G2073" i="15" s="1"/>
  <c r="F2074" i="15"/>
  <c r="G2074" i="15" s="1"/>
  <c r="F2075" i="15"/>
  <c r="G2075" i="15" s="1"/>
  <c r="F2076" i="15"/>
  <c r="G2076" i="15" s="1"/>
  <c r="F2077" i="15"/>
  <c r="G2077" i="15" s="1"/>
  <c r="F2078" i="15"/>
  <c r="G2078" i="15" s="1"/>
  <c r="F2079" i="15"/>
  <c r="G2079" i="15" s="1"/>
  <c r="F2080" i="15"/>
  <c r="G2080" i="15" s="1"/>
  <c r="F2081" i="15"/>
  <c r="G2081" i="15" s="1"/>
  <c r="F2082" i="15"/>
  <c r="G2082" i="15" s="1"/>
  <c r="F2083" i="15"/>
  <c r="G2083" i="15" s="1"/>
  <c r="F2084" i="15"/>
  <c r="G2084" i="15" s="1"/>
  <c r="F2085" i="15"/>
  <c r="G2085" i="15" s="1"/>
  <c r="F2086" i="15"/>
  <c r="G2086" i="15" s="1"/>
  <c r="F2087" i="15"/>
  <c r="G2087" i="15" s="1"/>
  <c r="F2088" i="15"/>
  <c r="G2088" i="15" s="1"/>
  <c r="F2089" i="15"/>
  <c r="G2089" i="15" s="1"/>
  <c r="F2090" i="15"/>
  <c r="G2090" i="15" s="1"/>
  <c r="F2091" i="15"/>
  <c r="G2091" i="15" s="1"/>
  <c r="F2092" i="15"/>
  <c r="G2092" i="15" s="1"/>
  <c r="F2093" i="15"/>
  <c r="G2093" i="15" s="1"/>
  <c r="F2094" i="15"/>
  <c r="G2094" i="15" s="1"/>
  <c r="F2095" i="15"/>
  <c r="G2095" i="15" s="1"/>
  <c r="F2096" i="15"/>
  <c r="G2096" i="15" s="1"/>
  <c r="F2097" i="15"/>
  <c r="G2097" i="15" s="1"/>
  <c r="F2098" i="15"/>
  <c r="G2098" i="15" s="1"/>
  <c r="F2099" i="15"/>
  <c r="G2099" i="15" s="1"/>
  <c r="F2100" i="15"/>
  <c r="G2100" i="15" s="1"/>
  <c r="F2101" i="15"/>
  <c r="G2101" i="15" s="1"/>
  <c r="F2102" i="15"/>
  <c r="G2102" i="15" s="1"/>
  <c r="F2103" i="15"/>
  <c r="G2103" i="15" s="1"/>
  <c r="F2104" i="15"/>
  <c r="G2104" i="15" s="1"/>
  <c r="F2105" i="15"/>
  <c r="G2105" i="15" s="1"/>
  <c r="F2106" i="15"/>
  <c r="G2106" i="15" s="1"/>
  <c r="F2107" i="15"/>
  <c r="G2107" i="15" s="1"/>
  <c r="F2108" i="15"/>
  <c r="G2108" i="15" s="1"/>
  <c r="F2109" i="15"/>
  <c r="G2109" i="15" s="1"/>
  <c r="F2110" i="15"/>
  <c r="G2110" i="15" s="1"/>
  <c r="F2111" i="15"/>
  <c r="G2111" i="15" s="1"/>
  <c r="F2112" i="15"/>
  <c r="G2112" i="15" s="1"/>
  <c r="F2113" i="15"/>
  <c r="G2113" i="15" s="1"/>
  <c r="F2114" i="15"/>
  <c r="G2114" i="15" s="1"/>
  <c r="F2115" i="15"/>
  <c r="G2115" i="15" s="1"/>
  <c r="F2116" i="15"/>
  <c r="G2116" i="15" s="1"/>
  <c r="F2117" i="15"/>
  <c r="G2117" i="15" s="1"/>
  <c r="F2118" i="15"/>
  <c r="G2118" i="15" s="1"/>
  <c r="F2119" i="15"/>
  <c r="G2119" i="15" s="1"/>
  <c r="F2120" i="15"/>
  <c r="G2120" i="15" s="1"/>
  <c r="F2121" i="15"/>
  <c r="G2121" i="15" s="1"/>
  <c r="F2122" i="15"/>
  <c r="G2122" i="15" s="1"/>
  <c r="F2123" i="15"/>
  <c r="G2123" i="15" s="1"/>
  <c r="F2124" i="15"/>
  <c r="G2124" i="15" s="1"/>
  <c r="F2125" i="15"/>
  <c r="G2125" i="15" s="1"/>
  <c r="F2126" i="15"/>
  <c r="G2126" i="15" s="1"/>
  <c r="F2127" i="15"/>
  <c r="G2127" i="15" s="1"/>
  <c r="F2128" i="15"/>
  <c r="G2128" i="15" s="1"/>
  <c r="F2129" i="15"/>
  <c r="G2129" i="15" s="1"/>
  <c r="F2130" i="15"/>
  <c r="G2130" i="15" s="1"/>
  <c r="F2131" i="15"/>
  <c r="G2131" i="15" s="1"/>
  <c r="F2132" i="15"/>
  <c r="G2132" i="15" s="1"/>
  <c r="F2133" i="15"/>
  <c r="G2133" i="15" s="1"/>
  <c r="F2134" i="15"/>
  <c r="G2134" i="15" s="1"/>
  <c r="F2135" i="15"/>
  <c r="G2135" i="15" s="1"/>
  <c r="F2136" i="15"/>
  <c r="G2136" i="15" s="1"/>
  <c r="F2137" i="15"/>
  <c r="G2137" i="15" s="1"/>
  <c r="F2138" i="15"/>
  <c r="G2138" i="15" s="1"/>
  <c r="F2139" i="15"/>
  <c r="G2139" i="15" s="1"/>
  <c r="F2140" i="15"/>
  <c r="G2140" i="15" s="1"/>
  <c r="F2141" i="15"/>
  <c r="G2141" i="15" s="1"/>
  <c r="F2142" i="15"/>
  <c r="G2142" i="15" s="1"/>
  <c r="F2143" i="15"/>
  <c r="G2143" i="15" s="1"/>
  <c r="F2144" i="15"/>
  <c r="G2144" i="15" s="1"/>
  <c r="F2145" i="15"/>
  <c r="G2145" i="15" s="1"/>
  <c r="F2146" i="15"/>
  <c r="G2146" i="15" s="1"/>
  <c r="F2147" i="15"/>
  <c r="G2147" i="15" s="1"/>
  <c r="F2148" i="15"/>
  <c r="G2148" i="15" s="1"/>
  <c r="F2149" i="15"/>
  <c r="G2149" i="15" s="1"/>
  <c r="F2150" i="15"/>
  <c r="G2150" i="15" s="1"/>
  <c r="F2151" i="15"/>
  <c r="G2151" i="15" s="1"/>
  <c r="F2152" i="15"/>
  <c r="G2152" i="15" s="1"/>
  <c r="F2153" i="15"/>
  <c r="G2153" i="15" s="1"/>
  <c r="F2154" i="15"/>
  <c r="G2154" i="15" s="1"/>
  <c r="F2155" i="15"/>
  <c r="G2155" i="15" s="1"/>
  <c r="F2156" i="15"/>
  <c r="G2156" i="15" s="1"/>
  <c r="F2157" i="15"/>
  <c r="G2157" i="15" s="1"/>
  <c r="F2158" i="15"/>
  <c r="G2158" i="15" s="1"/>
  <c r="F2159" i="15"/>
  <c r="G2159" i="15" s="1"/>
  <c r="F2160" i="15"/>
  <c r="G2160" i="15" s="1"/>
  <c r="F2161" i="15"/>
  <c r="G2161" i="15" s="1"/>
  <c r="F2162" i="15"/>
  <c r="G2162" i="15" s="1"/>
  <c r="F2163" i="15"/>
  <c r="G2163" i="15" s="1"/>
  <c r="F2164" i="15"/>
  <c r="G2164" i="15" s="1"/>
  <c r="F2165" i="15"/>
  <c r="G2165" i="15" s="1"/>
  <c r="F2166" i="15"/>
  <c r="G2166" i="15" s="1"/>
  <c r="F2167" i="15"/>
  <c r="G2167" i="15" s="1"/>
  <c r="F2168" i="15"/>
  <c r="G2168" i="15" s="1"/>
  <c r="F2169" i="15"/>
  <c r="G2169" i="15" s="1"/>
  <c r="F2170" i="15"/>
  <c r="G2170" i="15" s="1"/>
  <c r="F2171" i="15"/>
  <c r="G2171" i="15" s="1"/>
  <c r="F2172" i="15"/>
  <c r="G2172" i="15" s="1"/>
  <c r="F2173" i="15"/>
  <c r="G2173" i="15" s="1"/>
  <c r="F2174" i="15"/>
  <c r="G2174" i="15" s="1"/>
  <c r="F2175" i="15"/>
  <c r="G2175" i="15" s="1"/>
  <c r="F2176" i="15"/>
  <c r="G2176" i="15" s="1"/>
  <c r="F2177" i="15"/>
  <c r="G2177" i="15" s="1"/>
  <c r="F2178" i="15"/>
  <c r="G2178" i="15" s="1"/>
  <c r="F2179" i="15"/>
  <c r="G2179" i="15" s="1"/>
  <c r="F2180" i="15"/>
  <c r="G2180" i="15" s="1"/>
  <c r="F2181" i="15"/>
  <c r="G2181" i="15" s="1"/>
  <c r="F2182" i="15"/>
  <c r="G2182" i="15" s="1"/>
  <c r="F2183" i="15"/>
  <c r="G2183" i="15" s="1"/>
  <c r="F2184" i="15"/>
  <c r="G2184" i="15" s="1"/>
  <c r="F2185" i="15"/>
  <c r="G2185" i="15" s="1"/>
  <c r="F2186" i="15"/>
  <c r="G2186" i="15" s="1"/>
  <c r="F2187" i="15"/>
  <c r="G2187" i="15" s="1"/>
  <c r="F2188" i="15"/>
  <c r="G2188" i="15" s="1"/>
  <c r="F2189" i="15"/>
  <c r="G2189" i="15" s="1"/>
  <c r="F2190" i="15"/>
  <c r="G2190" i="15" s="1"/>
  <c r="F2191" i="15"/>
  <c r="G2191" i="15" s="1"/>
  <c r="F2192" i="15"/>
  <c r="G2192" i="15" s="1"/>
  <c r="F2193" i="15"/>
  <c r="G2193" i="15" s="1"/>
  <c r="F2194" i="15"/>
  <c r="G2194" i="15" s="1"/>
  <c r="F2195" i="15"/>
  <c r="G2195" i="15" s="1"/>
  <c r="F2196" i="15"/>
  <c r="G2196" i="15" s="1"/>
  <c r="F2197" i="15"/>
  <c r="G2197" i="15" s="1"/>
  <c r="F2198" i="15"/>
  <c r="G2198" i="15" s="1"/>
  <c r="F2199" i="15"/>
  <c r="G2199" i="15" s="1"/>
  <c r="F2200" i="15"/>
  <c r="G2200" i="15" s="1"/>
  <c r="F2201" i="15"/>
  <c r="G2201" i="15" s="1"/>
  <c r="F2202" i="15"/>
  <c r="G2202" i="15" s="1"/>
  <c r="F2203" i="15"/>
  <c r="G2203" i="15" s="1"/>
  <c r="F2204" i="15"/>
  <c r="G2204" i="15" s="1"/>
  <c r="F2205" i="15"/>
  <c r="G2205" i="15" s="1"/>
  <c r="F2206" i="15"/>
  <c r="G2206" i="15" s="1"/>
  <c r="F2207" i="15"/>
  <c r="G2207" i="15" s="1"/>
  <c r="F2208" i="15"/>
  <c r="G2208" i="15" s="1"/>
  <c r="F2209" i="15"/>
  <c r="G2209" i="15" s="1"/>
  <c r="F2210" i="15"/>
  <c r="G2210" i="15" s="1"/>
  <c r="F2211" i="15"/>
  <c r="G2211" i="15" s="1"/>
  <c r="F2212" i="15"/>
  <c r="G2212" i="15" s="1"/>
  <c r="F2213" i="15"/>
  <c r="G2213" i="15" s="1"/>
  <c r="F2214" i="15"/>
  <c r="G2214" i="15" s="1"/>
  <c r="F2215" i="15"/>
  <c r="G2215" i="15" s="1"/>
  <c r="F2216" i="15"/>
  <c r="G2216" i="15" s="1"/>
  <c r="F2217" i="15"/>
  <c r="G2217" i="15" s="1"/>
  <c r="F2218" i="15"/>
  <c r="G2218" i="15" s="1"/>
  <c r="F2219" i="15"/>
  <c r="G2219" i="15" s="1"/>
  <c r="F2220" i="15"/>
  <c r="G2220" i="15" s="1"/>
  <c r="F2221" i="15"/>
  <c r="G2221" i="15" s="1"/>
  <c r="F2222" i="15"/>
  <c r="G2222" i="15" s="1"/>
  <c r="F2223" i="15"/>
  <c r="G2223" i="15" s="1"/>
  <c r="F2224" i="15"/>
  <c r="G2224" i="15" s="1"/>
  <c r="F2225" i="15"/>
  <c r="G2225" i="15" s="1"/>
  <c r="F2226" i="15"/>
  <c r="G2226" i="15" s="1"/>
  <c r="F2227" i="15"/>
  <c r="G2227" i="15" s="1"/>
  <c r="F2228" i="15"/>
  <c r="G2228" i="15" s="1"/>
  <c r="F2229" i="15"/>
  <c r="G2229" i="15" s="1"/>
  <c r="F2230" i="15"/>
  <c r="G2230" i="15" s="1"/>
  <c r="F2231" i="15"/>
  <c r="G2231" i="15" s="1"/>
  <c r="F2232" i="15"/>
  <c r="G2232" i="15" s="1"/>
  <c r="F2233" i="15"/>
  <c r="G2233" i="15" s="1"/>
  <c r="F2234" i="15"/>
  <c r="G2234" i="15" s="1"/>
  <c r="F2235" i="15"/>
  <c r="G2235" i="15" s="1"/>
  <c r="F2236" i="15"/>
  <c r="G2236" i="15" s="1"/>
  <c r="F2237" i="15"/>
  <c r="G2237" i="15" s="1"/>
  <c r="F2238" i="15"/>
  <c r="G2238" i="15" s="1"/>
  <c r="F2239" i="15"/>
  <c r="G2239" i="15" s="1"/>
  <c r="F2240" i="15"/>
  <c r="G2240" i="15" s="1"/>
  <c r="F2241" i="15"/>
  <c r="G2241" i="15" s="1"/>
  <c r="F2242" i="15"/>
  <c r="G2242" i="15" s="1"/>
  <c r="F2243" i="15"/>
  <c r="G2243" i="15" s="1"/>
  <c r="F2244" i="15"/>
  <c r="G2244" i="15" s="1"/>
  <c r="F2245" i="15"/>
  <c r="G2245" i="15" s="1"/>
  <c r="F2246" i="15"/>
  <c r="G2246" i="15" s="1"/>
  <c r="F2247" i="15"/>
  <c r="G2247" i="15" s="1"/>
  <c r="F2248" i="15"/>
  <c r="G2248" i="15" s="1"/>
  <c r="F2249" i="15"/>
  <c r="G2249" i="15" s="1"/>
  <c r="F2250" i="15"/>
  <c r="G2250" i="15" s="1"/>
  <c r="F2251" i="15"/>
  <c r="G2251" i="15" s="1"/>
  <c r="F2252" i="15"/>
  <c r="G2252" i="15" s="1"/>
  <c r="F2253" i="15"/>
  <c r="G2253" i="15" s="1"/>
  <c r="F2254" i="15"/>
  <c r="G2254" i="15" s="1"/>
  <c r="F2255" i="15"/>
  <c r="G2255" i="15" s="1"/>
  <c r="F2256" i="15"/>
  <c r="G2256" i="15" s="1"/>
  <c r="F2257" i="15"/>
  <c r="G2257" i="15" s="1"/>
  <c r="F2258" i="15"/>
  <c r="G2258" i="15" s="1"/>
  <c r="F2259" i="15"/>
  <c r="G2259" i="15" s="1"/>
  <c r="F2260" i="15"/>
  <c r="G2260" i="15" s="1"/>
  <c r="F2261" i="15"/>
  <c r="G2261" i="15" s="1"/>
  <c r="F2262" i="15"/>
  <c r="G2262" i="15" s="1"/>
  <c r="F2263" i="15"/>
  <c r="G2263" i="15" s="1"/>
  <c r="F2264" i="15"/>
  <c r="G2264" i="15" s="1"/>
  <c r="F2265" i="15"/>
  <c r="G2265" i="15" s="1"/>
  <c r="F2266" i="15"/>
  <c r="G2266" i="15" s="1"/>
  <c r="F2267" i="15"/>
  <c r="G2267" i="15" s="1"/>
  <c r="F2268" i="15"/>
  <c r="G2268" i="15" s="1"/>
  <c r="F2269" i="15"/>
  <c r="G2269" i="15" s="1"/>
  <c r="F2270" i="15"/>
  <c r="G2270" i="15" s="1"/>
  <c r="F2271" i="15"/>
  <c r="G2271" i="15" s="1"/>
  <c r="F2272" i="15"/>
  <c r="G2272" i="15" s="1"/>
  <c r="F2273" i="15"/>
  <c r="G2273" i="15" s="1"/>
  <c r="F2274" i="15"/>
  <c r="G2274" i="15" s="1"/>
  <c r="F2275" i="15"/>
  <c r="G2275" i="15" s="1"/>
  <c r="F2276" i="15"/>
  <c r="G2276" i="15" s="1"/>
  <c r="F2277" i="15"/>
  <c r="G2277" i="15" s="1"/>
  <c r="F2278" i="15"/>
  <c r="G2278" i="15" s="1"/>
  <c r="F2279" i="15"/>
  <c r="G2279" i="15" s="1"/>
  <c r="F2280" i="15"/>
  <c r="G2280" i="15" s="1"/>
  <c r="F2281" i="15"/>
  <c r="G2281" i="15" s="1"/>
  <c r="F2282" i="15"/>
  <c r="G2282" i="15" s="1"/>
  <c r="F2283" i="15"/>
  <c r="G2283" i="15" s="1"/>
  <c r="F2284" i="15"/>
  <c r="G2284" i="15" s="1"/>
  <c r="F2285" i="15"/>
  <c r="G2285" i="15" s="1"/>
  <c r="F2286" i="15"/>
  <c r="G2286" i="15" s="1"/>
  <c r="F2287" i="15"/>
  <c r="G2287" i="15" s="1"/>
  <c r="F2288" i="15"/>
  <c r="G2288" i="15" s="1"/>
  <c r="F2289" i="15"/>
  <c r="G2289" i="15" s="1"/>
  <c r="F2290" i="15"/>
  <c r="G2290" i="15" s="1"/>
  <c r="F2291" i="15"/>
  <c r="G2291" i="15" s="1"/>
  <c r="F2292" i="15"/>
  <c r="G2292" i="15" s="1"/>
  <c r="F2293" i="15"/>
  <c r="G2293" i="15" s="1"/>
  <c r="F2294" i="15"/>
  <c r="G2294" i="15" s="1"/>
  <c r="F2295" i="15"/>
  <c r="G2295" i="15" s="1"/>
  <c r="F2296" i="15"/>
  <c r="G2296" i="15" s="1"/>
  <c r="F2297" i="15"/>
  <c r="G2297" i="15" s="1"/>
  <c r="F2298" i="15"/>
  <c r="G2298" i="15" s="1"/>
  <c r="F2299" i="15"/>
  <c r="G2299" i="15" s="1"/>
  <c r="F2300" i="15"/>
  <c r="G2300" i="15" s="1"/>
  <c r="F2301" i="15"/>
  <c r="G2301" i="15" s="1"/>
  <c r="F2302" i="15"/>
  <c r="G2302" i="15" s="1"/>
  <c r="F2303" i="15"/>
  <c r="G2303" i="15" s="1"/>
  <c r="F2304" i="15"/>
  <c r="G2304" i="15" s="1"/>
  <c r="F2305" i="15"/>
  <c r="G2305" i="15" s="1"/>
  <c r="F2306" i="15"/>
  <c r="G2306" i="15" s="1"/>
  <c r="F2307" i="15"/>
  <c r="G2307" i="15" s="1"/>
  <c r="F2308" i="15"/>
  <c r="G2308" i="15" s="1"/>
  <c r="F2309" i="15"/>
  <c r="G2309" i="15" s="1"/>
  <c r="F2310" i="15"/>
  <c r="G2310" i="15" s="1"/>
  <c r="F2311" i="15"/>
  <c r="G2311" i="15" s="1"/>
  <c r="F2312" i="15"/>
  <c r="G2312" i="15" s="1"/>
  <c r="F2313" i="15"/>
  <c r="G2313" i="15" s="1"/>
  <c r="F2314" i="15"/>
  <c r="G2314" i="15" s="1"/>
  <c r="F2315" i="15"/>
  <c r="G2315" i="15" s="1"/>
  <c r="F2316" i="15"/>
  <c r="G2316" i="15" s="1"/>
  <c r="F2317" i="15"/>
  <c r="G2317" i="15" s="1"/>
  <c r="F2318" i="15"/>
  <c r="G2318" i="15" s="1"/>
  <c r="F2319" i="15"/>
  <c r="G2319" i="15" s="1"/>
  <c r="F2320" i="15"/>
  <c r="G2320" i="15" s="1"/>
  <c r="F2321" i="15"/>
  <c r="G2321" i="15" s="1"/>
  <c r="F2322" i="15"/>
  <c r="G2322" i="15" s="1"/>
  <c r="F2323" i="15"/>
  <c r="G2323" i="15" s="1"/>
  <c r="F2324" i="15"/>
  <c r="G2324" i="15" s="1"/>
  <c r="F2325" i="15"/>
  <c r="G2325" i="15" s="1"/>
  <c r="F2326" i="15"/>
  <c r="G2326" i="15" s="1"/>
  <c r="F2327" i="15"/>
  <c r="G2327" i="15" s="1"/>
  <c r="F2328" i="15"/>
  <c r="G2328" i="15" s="1"/>
  <c r="F2329" i="15"/>
  <c r="G2329" i="15" s="1"/>
  <c r="F2330" i="15"/>
  <c r="G2330" i="15" s="1"/>
  <c r="F2331" i="15"/>
  <c r="G2331" i="15" s="1"/>
  <c r="F2332" i="15"/>
  <c r="G2332" i="15" s="1"/>
  <c r="F2333" i="15"/>
  <c r="G2333" i="15" s="1"/>
  <c r="F2334" i="15"/>
  <c r="G2334" i="15" s="1"/>
  <c r="F2335" i="15"/>
  <c r="G2335" i="15" s="1"/>
  <c r="F2336" i="15"/>
  <c r="G2336" i="15" s="1"/>
  <c r="F2337" i="15"/>
  <c r="G2337" i="15" s="1"/>
  <c r="F2338" i="15"/>
  <c r="G2338" i="15" s="1"/>
  <c r="F2339" i="15"/>
  <c r="G2339" i="15" s="1"/>
  <c r="F2340" i="15"/>
  <c r="G2340" i="15" s="1"/>
  <c r="F2341" i="15"/>
  <c r="G2341" i="15" s="1"/>
  <c r="F2342" i="15"/>
  <c r="G2342" i="15" s="1"/>
  <c r="F2343" i="15"/>
  <c r="G2343" i="15" s="1"/>
  <c r="F2344" i="15"/>
  <c r="G2344" i="15" s="1"/>
  <c r="F2345" i="15"/>
  <c r="G2345" i="15" s="1"/>
  <c r="F2346" i="15"/>
  <c r="G2346" i="15" s="1"/>
  <c r="F2347" i="15"/>
  <c r="G2347" i="15" s="1"/>
  <c r="F2348" i="15"/>
  <c r="G2348" i="15" s="1"/>
  <c r="F2349" i="15"/>
  <c r="G2349" i="15" s="1"/>
  <c r="F2350" i="15"/>
  <c r="G2350" i="15" s="1"/>
  <c r="F2351" i="15"/>
  <c r="G2351" i="15" s="1"/>
  <c r="F2352" i="15"/>
  <c r="G2352" i="15" s="1"/>
  <c r="F2353" i="15"/>
  <c r="G2353" i="15" s="1"/>
  <c r="F2354" i="15"/>
  <c r="G2354" i="15" s="1"/>
  <c r="F2355" i="15"/>
  <c r="G2355" i="15" s="1"/>
  <c r="F2356" i="15"/>
  <c r="G2356" i="15" s="1"/>
  <c r="F2357" i="15"/>
  <c r="G2357" i="15" s="1"/>
  <c r="F2358" i="15"/>
  <c r="G2358" i="15" s="1"/>
  <c r="F2359" i="15"/>
  <c r="G2359" i="15" s="1"/>
  <c r="F2360" i="15"/>
  <c r="G2360" i="15" s="1"/>
  <c r="F2361" i="15"/>
  <c r="G2361" i="15" s="1"/>
  <c r="F2362" i="15"/>
  <c r="G2362" i="15" s="1"/>
  <c r="F2363" i="15"/>
  <c r="G2363" i="15" s="1"/>
  <c r="F2364" i="15"/>
  <c r="G2364" i="15" s="1"/>
  <c r="F2365" i="15"/>
  <c r="G2365" i="15" s="1"/>
  <c r="F2366" i="15"/>
  <c r="G2366" i="15" s="1"/>
  <c r="F2367" i="15"/>
  <c r="G2367" i="15" s="1"/>
  <c r="F2368" i="15"/>
  <c r="G2368" i="15" s="1"/>
  <c r="F2369" i="15"/>
  <c r="G2369" i="15" s="1"/>
  <c r="F2370" i="15"/>
  <c r="G2370" i="15" s="1"/>
  <c r="F2371" i="15"/>
  <c r="G2371" i="15" s="1"/>
  <c r="F2372" i="15"/>
  <c r="G2372" i="15" s="1"/>
  <c r="F2373" i="15"/>
  <c r="G2373" i="15" s="1"/>
  <c r="F2374" i="15"/>
  <c r="G2374" i="15" s="1"/>
  <c r="F2375" i="15"/>
  <c r="G2375" i="15" s="1"/>
  <c r="F2376" i="15"/>
  <c r="G2376" i="15" s="1"/>
  <c r="F2377" i="15"/>
  <c r="G2377" i="15" s="1"/>
  <c r="F2378" i="15"/>
  <c r="G2378" i="15" s="1"/>
  <c r="F2379" i="15"/>
  <c r="G2379" i="15" s="1"/>
  <c r="F2380" i="15"/>
  <c r="G2380" i="15" s="1"/>
  <c r="F2381" i="15"/>
  <c r="G2381" i="15" s="1"/>
  <c r="F2382" i="15"/>
  <c r="G2382" i="15" s="1"/>
  <c r="F2383" i="15"/>
  <c r="G2383" i="15" s="1"/>
  <c r="F2384" i="15"/>
  <c r="G2384" i="15" s="1"/>
  <c r="F2385" i="15"/>
  <c r="G2385" i="15" s="1"/>
  <c r="F2386" i="15"/>
  <c r="G2386" i="15" s="1"/>
  <c r="F2387" i="15"/>
  <c r="G2387" i="15" s="1"/>
  <c r="F2388" i="15"/>
  <c r="G2388" i="15" s="1"/>
  <c r="F2389" i="15"/>
  <c r="G2389" i="15" s="1"/>
  <c r="F2390" i="15"/>
  <c r="G2390" i="15" s="1"/>
  <c r="F2391" i="15"/>
  <c r="G2391" i="15" s="1"/>
  <c r="F2392" i="15"/>
  <c r="G2392" i="15" s="1"/>
  <c r="F2393" i="15"/>
  <c r="G2393" i="15" s="1"/>
  <c r="F2394" i="15"/>
  <c r="G2394" i="15" s="1"/>
  <c r="F2395" i="15"/>
  <c r="G2395" i="15" s="1"/>
  <c r="F2396" i="15"/>
  <c r="G2396" i="15" s="1"/>
  <c r="F2397" i="15"/>
  <c r="G2397" i="15" s="1"/>
  <c r="F2398" i="15"/>
  <c r="G2398" i="15" s="1"/>
  <c r="F2399" i="15"/>
  <c r="G2399" i="15" s="1"/>
  <c r="F2400" i="15"/>
  <c r="G2400" i="15" s="1"/>
  <c r="F2401" i="15"/>
  <c r="G2401" i="15" s="1"/>
  <c r="F2402" i="15"/>
  <c r="G2402" i="15" s="1"/>
  <c r="F2403" i="15"/>
  <c r="G2403" i="15" s="1"/>
  <c r="F2404" i="15"/>
  <c r="G2404" i="15" s="1"/>
  <c r="F2405" i="15"/>
  <c r="G2405" i="15" s="1"/>
  <c r="F2406" i="15"/>
  <c r="G2406" i="15" s="1"/>
  <c r="F2407" i="15"/>
  <c r="G2407" i="15" s="1"/>
  <c r="F2408" i="15"/>
  <c r="G2408" i="15" s="1"/>
  <c r="F2409" i="15"/>
  <c r="G2409" i="15" s="1"/>
  <c r="F2410" i="15"/>
  <c r="G2410" i="15" s="1"/>
  <c r="F2411" i="15"/>
  <c r="G2411" i="15" s="1"/>
  <c r="F2412" i="15"/>
  <c r="G2412" i="15" s="1"/>
  <c r="F2413" i="15"/>
  <c r="G2413" i="15" s="1"/>
  <c r="F2414" i="15"/>
  <c r="G2414" i="15" s="1"/>
  <c r="F2415" i="15"/>
  <c r="G2415" i="15" s="1"/>
  <c r="F2416" i="15"/>
  <c r="G2416" i="15" s="1"/>
  <c r="F2417" i="15"/>
  <c r="G2417" i="15" s="1"/>
  <c r="F2418" i="15"/>
  <c r="G2418" i="15" s="1"/>
  <c r="F2419" i="15"/>
  <c r="G2419" i="15" s="1"/>
  <c r="F2420" i="15"/>
  <c r="G2420" i="15" s="1"/>
  <c r="F2421" i="15"/>
  <c r="G2421" i="15" s="1"/>
  <c r="F2422" i="15"/>
  <c r="G2422" i="15" s="1"/>
  <c r="F2423" i="15"/>
  <c r="G2423" i="15" s="1"/>
  <c r="F2424" i="15"/>
  <c r="G2424" i="15" s="1"/>
  <c r="F2425" i="15"/>
  <c r="G2425" i="15" s="1"/>
  <c r="F2426" i="15"/>
  <c r="G2426" i="15" s="1"/>
  <c r="F2427" i="15"/>
  <c r="G2427" i="15" s="1"/>
  <c r="F2428" i="15"/>
  <c r="G2428" i="15" s="1"/>
  <c r="F2429" i="15"/>
  <c r="G2429" i="15" s="1"/>
  <c r="F2430" i="15"/>
  <c r="G2430" i="15" s="1"/>
  <c r="F2431" i="15"/>
  <c r="G2431" i="15" s="1"/>
  <c r="F2432" i="15"/>
  <c r="G2432" i="15" s="1"/>
  <c r="F2433" i="15"/>
  <c r="G2433" i="15" s="1"/>
  <c r="F2434" i="15"/>
  <c r="G2434" i="15" s="1"/>
  <c r="F2435" i="15"/>
  <c r="G2435" i="15" s="1"/>
  <c r="F2436" i="15"/>
  <c r="G2436" i="15" s="1"/>
  <c r="F2437" i="15"/>
  <c r="G2437" i="15" s="1"/>
  <c r="F2438" i="15"/>
  <c r="G2438" i="15" s="1"/>
  <c r="F2439" i="15"/>
  <c r="G2439" i="15" s="1"/>
  <c r="F2440" i="15"/>
  <c r="G2440" i="15" s="1"/>
  <c r="F2441" i="15"/>
  <c r="G2441" i="15" s="1"/>
  <c r="F2442" i="15"/>
  <c r="G2442" i="15" s="1"/>
  <c r="F2443" i="15"/>
  <c r="G2443" i="15" s="1"/>
  <c r="F2444" i="15"/>
  <c r="G2444" i="15" s="1"/>
  <c r="F2445" i="15"/>
  <c r="G2445" i="15" s="1"/>
  <c r="F2446" i="15"/>
  <c r="G2446" i="15" s="1"/>
  <c r="F2447" i="15"/>
  <c r="G2447" i="15" s="1"/>
  <c r="F2448" i="15"/>
  <c r="G2448" i="15" s="1"/>
  <c r="F2449" i="15"/>
  <c r="G2449" i="15" s="1"/>
  <c r="F2450" i="15"/>
  <c r="G2450" i="15" s="1"/>
  <c r="F2451" i="15"/>
  <c r="G2451" i="15" s="1"/>
  <c r="F2452" i="15"/>
  <c r="G2452" i="15" s="1"/>
  <c r="F2453" i="15"/>
  <c r="G2453" i="15" s="1"/>
  <c r="F2454" i="15"/>
  <c r="G2454" i="15" s="1"/>
  <c r="F2455" i="15"/>
  <c r="G2455" i="15" s="1"/>
  <c r="F2456" i="15"/>
  <c r="G2456" i="15" s="1"/>
  <c r="F2457" i="15"/>
  <c r="G2457" i="15" s="1"/>
  <c r="F2458" i="15"/>
  <c r="G2458" i="15" s="1"/>
  <c r="F2459" i="15"/>
  <c r="G2459" i="15" s="1"/>
  <c r="F2460" i="15"/>
  <c r="G2460" i="15" s="1"/>
  <c r="F2461" i="15"/>
  <c r="G2461" i="15" s="1"/>
  <c r="F2462" i="15"/>
  <c r="G2462" i="15" s="1"/>
  <c r="F2463" i="15"/>
  <c r="G2463" i="15" s="1"/>
  <c r="F2464" i="15"/>
  <c r="G2464" i="15" s="1"/>
  <c r="F2465" i="15"/>
  <c r="G2465" i="15" s="1"/>
  <c r="F2466" i="15"/>
  <c r="G2466" i="15" s="1"/>
  <c r="F2467" i="15"/>
  <c r="G2467" i="15" s="1"/>
  <c r="F2468" i="15"/>
  <c r="G2468" i="15" s="1"/>
  <c r="F2469" i="15"/>
  <c r="G2469" i="15" s="1"/>
  <c r="F2470" i="15"/>
  <c r="G2470" i="15" s="1"/>
  <c r="F2471" i="15"/>
  <c r="G2471" i="15" s="1"/>
  <c r="F2472" i="15"/>
  <c r="G2472" i="15" s="1"/>
  <c r="F2473" i="15"/>
  <c r="G2473" i="15" s="1"/>
  <c r="F2474" i="15"/>
  <c r="G2474" i="15" s="1"/>
  <c r="F2475" i="15"/>
  <c r="G2475" i="15" s="1"/>
  <c r="F2476" i="15"/>
  <c r="G2476" i="15" s="1"/>
  <c r="F2477" i="15"/>
  <c r="G2477" i="15" s="1"/>
  <c r="F2478" i="15"/>
  <c r="G2478" i="15" s="1"/>
  <c r="F2479" i="15"/>
  <c r="G2479" i="15" s="1"/>
  <c r="F2480" i="15"/>
  <c r="G2480" i="15" s="1"/>
  <c r="F2481" i="15"/>
  <c r="G2481" i="15" s="1"/>
  <c r="F2482" i="15"/>
  <c r="G2482" i="15" s="1"/>
  <c r="F2483" i="15"/>
  <c r="G2483" i="15" s="1"/>
  <c r="F2484" i="15"/>
  <c r="G2484" i="15" s="1"/>
  <c r="F2485" i="15"/>
  <c r="G2485" i="15" s="1"/>
  <c r="F2486" i="15"/>
  <c r="G2486" i="15" s="1"/>
  <c r="F2487" i="15"/>
  <c r="G2487" i="15" s="1"/>
  <c r="F2488" i="15"/>
  <c r="G2488" i="15" s="1"/>
  <c r="F2489" i="15"/>
  <c r="G2489" i="15" s="1"/>
  <c r="F2490" i="15"/>
  <c r="G2490" i="15" s="1"/>
  <c r="F2491" i="15"/>
  <c r="G2491" i="15" s="1"/>
  <c r="F2492" i="15"/>
  <c r="G2492" i="15" s="1"/>
  <c r="F2493" i="15"/>
  <c r="G2493" i="15" s="1"/>
  <c r="F2494" i="15"/>
  <c r="G2494" i="15" s="1"/>
  <c r="F2495" i="15"/>
  <c r="G2495" i="15" s="1"/>
  <c r="F2496" i="15"/>
  <c r="G2496" i="15" s="1"/>
  <c r="F2497" i="15"/>
  <c r="G2497" i="15" s="1"/>
  <c r="F2498" i="15"/>
  <c r="G2498" i="15" s="1"/>
  <c r="F2499" i="15"/>
  <c r="G2499" i="15" s="1"/>
  <c r="F2500" i="15"/>
  <c r="G2500" i="15" s="1"/>
  <c r="F2501" i="15"/>
  <c r="G2501" i="15" s="1"/>
  <c r="F2502" i="15"/>
  <c r="G2502" i="15" s="1"/>
  <c r="F2503" i="15"/>
  <c r="G2503" i="15" s="1"/>
  <c r="F2504" i="15"/>
  <c r="G2504" i="15" s="1"/>
  <c r="F2505" i="15"/>
  <c r="G2505" i="15" s="1"/>
  <c r="F2506" i="15"/>
  <c r="G2506" i="15" s="1"/>
  <c r="F2507" i="15"/>
  <c r="G2507" i="15" s="1"/>
  <c r="F2508" i="15"/>
  <c r="G2508" i="15" s="1"/>
  <c r="F2509" i="15"/>
  <c r="G2509" i="15" s="1"/>
  <c r="F2510" i="15"/>
  <c r="G2510" i="15" s="1"/>
  <c r="F2511" i="15"/>
  <c r="G2511" i="15" s="1"/>
  <c r="F2512" i="15"/>
  <c r="G2512" i="15" s="1"/>
  <c r="F2513" i="15"/>
  <c r="G2513" i="15" s="1"/>
  <c r="F2514" i="15"/>
  <c r="G2514" i="15" s="1"/>
  <c r="F2515" i="15"/>
  <c r="G2515" i="15" s="1"/>
  <c r="F2516" i="15"/>
  <c r="G2516" i="15" s="1"/>
  <c r="F2517" i="15"/>
  <c r="G2517" i="15" s="1"/>
  <c r="F2518" i="15"/>
  <c r="G2518" i="15" s="1"/>
  <c r="F2519" i="15"/>
  <c r="G2519" i="15" s="1"/>
  <c r="F2520" i="15"/>
  <c r="G2520" i="15" s="1"/>
  <c r="F2521" i="15"/>
  <c r="G2521" i="15" s="1"/>
  <c r="F2522" i="15"/>
  <c r="G2522" i="15" s="1"/>
  <c r="F2523" i="15"/>
  <c r="G2523" i="15" s="1"/>
  <c r="F2524" i="15"/>
  <c r="G2524" i="15" s="1"/>
  <c r="F2525" i="15"/>
  <c r="G2525" i="15" s="1"/>
  <c r="F2526" i="15"/>
  <c r="G2526" i="15" s="1"/>
  <c r="F2527" i="15"/>
  <c r="G2527" i="15" s="1"/>
  <c r="F2528" i="15"/>
  <c r="G2528" i="15" s="1"/>
  <c r="F2529" i="15"/>
  <c r="G2529" i="15" s="1"/>
  <c r="F2530" i="15"/>
  <c r="G2530" i="15" s="1"/>
  <c r="F2531" i="15"/>
  <c r="G2531" i="15" s="1"/>
  <c r="F2532" i="15"/>
  <c r="G2532" i="15" s="1"/>
  <c r="F2533" i="15"/>
  <c r="G2533" i="15" s="1"/>
  <c r="F2534" i="15"/>
  <c r="G2534" i="15" s="1"/>
  <c r="F2535" i="15"/>
  <c r="G2535" i="15" s="1"/>
  <c r="F2536" i="15"/>
  <c r="G2536" i="15" s="1"/>
  <c r="F2537" i="15"/>
  <c r="G2537" i="15" s="1"/>
  <c r="F2538" i="15"/>
  <c r="G2538" i="15" s="1"/>
  <c r="F2539" i="15"/>
  <c r="G2539" i="15" s="1"/>
  <c r="F2540" i="15"/>
  <c r="G2540" i="15" s="1"/>
  <c r="F2541" i="15"/>
  <c r="G2541" i="15" s="1"/>
  <c r="F2542" i="15"/>
  <c r="G2542" i="15" s="1"/>
  <c r="F2543" i="15"/>
  <c r="G2543" i="15" s="1"/>
  <c r="F2544" i="15"/>
  <c r="G2544" i="15" s="1"/>
  <c r="F2545" i="15"/>
  <c r="G2545" i="15" s="1"/>
  <c r="F2546" i="15"/>
  <c r="G2546" i="15" s="1"/>
  <c r="F2547" i="15"/>
  <c r="G2547" i="15" s="1"/>
  <c r="F2548" i="15"/>
  <c r="G2548" i="15" s="1"/>
  <c r="F2549" i="15"/>
  <c r="G2549" i="15" s="1"/>
  <c r="F2550" i="15"/>
  <c r="G2550" i="15" s="1"/>
  <c r="F2551" i="15"/>
  <c r="G2551" i="15" s="1"/>
  <c r="F2552" i="15"/>
  <c r="G2552" i="15" s="1"/>
  <c r="F2553" i="15"/>
  <c r="G2553" i="15" s="1"/>
  <c r="F2554" i="15"/>
  <c r="G2554" i="15" s="1"/>
  <c r="F2555" i="15"/>
  <c r="G2555" i="15" s="1"/>
  <c r="F2556" i="15"/>
  <c r="G2556" i="15" s="1"/>
  <c r="F2557" i="15"/>
  <c r="G2557" i="15" s="1"/>
  <c r="F2558" i="15"/>
  <c r="G2558" i="15" s="1"/>
  <c r="F2559" i="15"/>
  <c r="G2559" i="15" s="1"/>
  <c r="F2560" i="15"/>
  <c r="G2560" i="15" s="1"/>
  <c r="F2561" i="15"/>
  <c r="G2561" i="15" s="1"/>
  <c r="F2562" i="15"/>
  <c r="G2562" i="15" s="1"/>
  <c r="F2563" i="15"/>
  <c r="G2563" i="15" s="1"/>
  <c r="F2564" i="15"/>
  <c r="G2564" i="15" s="1"/>
  <c r="F2565" i="15"/>
  <c r="G2565" i="15" s="1"/>
  <c r="F2566" i="15"/>
  <c r="G2566" i="15" s="1"/>
  <c r="F2567" i="15"/>
  <c r="G2567" i="15" s="1"/>
  <c r="F2568" i="15"/>
  <c r="G2568" i="15" s="1"/>
  <c r="F2569" i="15"/>
  <c r="G2569" i="15" s="1"/>
  <c r="F2570" i="15"/>
  <c r="G2570" i="15" s="1"/>
  <c r="F2571" i="15"/>
  <c r="G2571" i="15" s="1"/>
  <c r="F2572" i="15"/>
  <c r="G2572" i="15" s="1"/>
  <c r="F2573" i="15"/>
  <c r="G2573" i="15" s="1"/>
  <c r="F2574" i="15"/>
  <c r="G2574" i="15" s="1"/>
  <c r="F2575" i="15"/>
  <c r="G2575" i="15" s="1"/>
  <c r="F2576" i="15"/>
  <c r="G2576" i="15" s="1"/>
  <c r="F2577" i="15"/>
  <c r="G2577" i="15" s="1"/>
  <c r="F2578" i="15"/>
  <c r="G2578" i="15" s="1"/>
  <c r="F2579" i="15"/>
  <c r="G2579" i="15" s="1"/>
  <c r="F2580" i="15"/>
  <c r="G2580" i="15" s="1"/>
  <c r="F2581" i="15"/>
  <c r="G2581" i="15" s="1"/>
  <c r="F2582" i="15"/>
  <c r="G2582" i="15" s="1"/>
  <c r="F2583" i="15"/>
  <c r="G2583" i="15" s="1"/>
  <c r="F2584" i="15"/>
  <c r="G2584" i="15" s="1"/>
  <c r="F2585" i="15"/>
  <c r="G2585" i="15" s="1"/>
  <c r="F2586" i="15"/>
  <c r="G2586" i="15" s="1"/>
  <c r="F2587" i="15"/>
  <c r="G2587" i="15" s="1"/>
  <c r="F2588" i="15"/>
  <c r="G2588" i="15" s="1"/>
  <c r="F2589" i="15"/>
  <c r="G2589" i="15" s="1"/>
  <c r="F2590" i="15"/>
  <c r="G2590" i="15" s="1"/>
  <c r="F2591" i="15"/>
  <c r="G2591" i="15" s="1"/>
  <c r="F2592" i="15"/>
  <c r="G2592" i="15" s="1"/>
  <c r="F2593" i="15"/>
  <c r="G2593" i="15" s="1"/>
  <c r="F2594" i="15"/>
  <c r="G2594" i="15" s="1"/>
  <c r="F2595" i="15"/>
  <c r="G2595" i="15" s="1"/>
  <c r="F2596" i="15"/>
  <c r="G2596" i="15" s="1"/>
  <c r="F2597" i="15"/>
  <c r="G2597" i="15" s="1"/>
  <c r="F2598" i="15"/>
  <c r="G2598" i="15" s="1"/>
  <c r="F2599" i="15"/>
  <c r="G2599" i="15" s="1"/>
  <c r="F2600" i="15"/>
  <c r="G2600" i="15" s="1"/>
  <c r="F2601" i="15"/>
  <c r="G2601" i="15" s="1"/>
  <c r="F2602" i="15"/>
  <c r="G2602" i="15" s="1"/>
  <c r="F2603" i="15"/>
  <c r="G2603" i="15" s="1"/>
  <c r="F2604" i="15"/>
  <c r="G2604" i="15" s="1"/>
  <c r="F2605" i="15"/>
  <c r="G2605" i="15" s="1"/>
  <c r="F2606" i="15"/>
  <c r="G2606" i="15" s="1"/>
  <c r="F2607" i="15"/>
  <c r="G2607" i="15" s="1"/>
  <c r="F2608" i="15"/>
  <c r="G2608" i="15" s="1"/>
  <c r="F2609" i="15"/>
  <c r="G2609" i="15" s="1"/>
  <c r="F2610" i="15"/>
  <c r="G2610" i="15" s="1"/>
  <c r="F2611" i="15"/>
  <c r="G2611" i="15" s="1"/>
  <c r="F2612" i="15"/>
  <c r="G2612" i="15" s="1"/>
  <c r="F2613" i="15"/>
  <c r="G2613" i="15" s="1"/>
  <c r="F2614" i="15"/>
  <c r="G2614" i="15" s="1"/>
  <c r="F2615" i="15"/>
  <c r="G2615" i="15" s="1"/>
  <c r="F2616" i="15"/>
  <c r="G2616" i="15" s="1"/>
  <c r="F2617" i="15"/>
  <c r="G2617" i="15" s="1"/>
  <c r="F2618" i="15"/>
  <c r="G2618" i="15" s="1"/>
  <c r="F2619" i="15"/>
  <c r="G2619" i="15" s="1"/>
  <c r="F2620" i="15"/>
  <c r="G2620" i="15" s="1"/>
  <c r="F2621" i="15"/>
  <c r="G2621" i="15" s="1"/>
  <c r="F2622" i="15"/>
  <c r="G2622" i="15" s="1"/>
  <c r="F2623" i="15"/>
  <c r="G2623" i="15" s="1"/>
  <c r="F2624" i="15"/>
  <c r="G2624" i="15" s="1"/>
  <c r="F2625" i="15"/>
  <c r="G2625" i="15" s="1"/>
  <c r="F2626" i="15"/>
  <c r="G2626" i="15" s="1"/>
  <c r="F2627" i="15"/>
  <c r="G2627" i="15" s="1"/>
  <c r="F2628" i="15"/>
  <c r="G2628" i="15" s="1"/>
  <c r="F2629" i="15"/>
  <c r="G2629" i="15" s="1"/>
  <c r="F2630" i="15"/>
  <c r="G2630" i="15" s="1"/>
  <c r="F2631" i="15"/>
  <c r="G2631" i="15" s="1"/>
  <c r="F2632" i="15"/>
  <c r="G2632" i="15" s="1"/>
  <c r="F2633" i="15"/>
  <c r="G2633" i="15" s="1"/>
  <c r="F2634" i="15"/>
  <c r="G2634" i="15" s="1"/>
  <c r="F2635" i="15"/>
  <c r="G2635" i="15" s="1"/>
  <c r="F2636" i="15"/>
  <c r="G2636" i="15" s="1"/>
  <c r="F2637" i="15"/>
  <c r="G2637" i="15" s="1"/>
  <c r="F2638" i="15"/>
  <c r="G2638" i="15" s="1"/>
  <c r="F2639" i="15"/>
  <c r="G2639" i="15" s="1"/>
  <c r="F2640" i="15"/>
  <c r="G2640" i="15" s="1"/>
  <c r="F2641" i="15"/>
  <c r="G2641" i="15" s="1"/>
  <c r="F2642" i="15"/>
  <c r="G2642" i="15" s="1"/>
  <c r="F2643" i="15"/>
  <c r="G2643" i="15" s="1"/>
  <c r="F2644" i="15"/>
  <c r="G2644" i="15" s="1"/>
  <c r="F2645" i="15"/>
  <c r="G2645" i="15" s="1"/>
  <c r="F2646" i="15"/>
  <c r="G2646" i="15" s="1"/>
  <c r="F2647" i="15"/>
  <c r="G2647" i="15" s="1"/>
  <c r="F2648" i="15"/>
  <c r="G2648" i="15" s="1"/>
  <c r="F2649" i="15"/>
  <c r="G2649" i="15" s="1"/>
  <c r="F2650" i="15"/>
  <c r="G2650" i="15" s="1"/>
  <c r="F2651" i="15"/>
  <c r="G2651" i="15" s="1"/>
  <c r="F2652" i="15"/>
  <c r="G2652" i="15" s="1"/>
  <c r="F2653" i="15"/>
  <c r="G2653" i="15" s="1"/>
  <c r="F2654" i="15"/>
  <c r="G2654" i="15" s="1"/>
  <c r="F2655" i="15"/>
  <c r="G2655" i="15" s="1"/>
  <c r="F2656" i="15"/>
  <c r="G2656" i="15" s="1"/>
  <c r="F2657" i="15"/>
  <c r="G2657" i="15" s="1"/>
  <c r="F2658" i="15"/>
  <c r="G2658" i="15" s="1"/>
  <c r="F2659" i="15"/>
  <c r="G2659" i="15" s="1"/>
  <c r="F2660" i="15"/>
  <c r="G2660" i="15" s="1"/>
  <c r="F2661" i="15"/>
  <c r="G2661" i="15" s="1"/>
  <c r="F2662" i="15"/>
  <c r="G2662" i="15" s="1"/>
  <c r="F2663" i="15"/>
  <c r="G2663" i="15" s="1"/>
  <c r="F2664" i="15"/>
  <c r="G2664" i="15" s="1"/>
  <c r="F2665" i="15"/>
  <c r="G2665" i="15" s="1"/>
  <c r="F2666" i="15"/>
  <c r="G2666" i="15" s="1"/>
  <c r="F2667" i="15"/>
  <c r="G2667" i="15" s="1"/>
  <c r="F2668" i="15"/>
  <c r="G2668" i="15" s="1"/>
  <c r="F2669" i="15"/>
  <c r="G2669" i="15" s="1"/>
  <c r="F2670" i="15"/>
  <c r="G2670" i="15" s="1"/>
  <c r="F2671" i="15"/>
  <c r="G2671" i="15" s="1"/>
  <c r="F2672" i="15"/>
  <c r="G2672" i="15" s="1"/>
  <c r="F2673" i="15"/>
  <c r="G2673" i="15" s="1"/>
  <c r="F2674" i="15"/>
  <c r="G2674" i="15" s="1"/>
  <c r="F2675" i="15"/>
  <c r="G2675" i="15" s="1"/>
  <c r="F2676" i="15"/>
  <c r="G2676" i="15" s="1"/>
  <c r="F2677" i="15"/>
  <c r="G2677" i="15" s="1"/>
  <c r="F2678" i="15"/>
  <c r="G2678" i="15" s="1"/>
  <c r="F2679" i="15"/>
  <c r="G2679" i="15" s="1"/>
  <c r="F2680" i="15"/>
  <c r="G2680" i="15" s="1"/>
  <c r="F2681" i="15"/>
  <c r="G2681" i="15" s="1"/>
  <c r="F2682" i="15"/>
  <c r="G2682" i="15" s="1"/>
  <c r="F2683" i="15"/>
  <c r="G2683" i="15" s="1"/>
  <c r="F2684" i="15"/>
  <c r="G2684" i="15" s="1"/>
  <c r="F2685" i="15"/>
  <c r="G2685" i="15" s="1"/>
  <c r="F2686" i="15"/>
  <c r="G2686" i="15" s="1"/>
  <c r="F2687" i="15"/>
  <c r="G2687" i="15" s="1"/>
  <c r="F2688" i="15"/>
  <c r="G2688" i="15" s="1"/>
  <c r="F2689" i="15"/>
  <c r="G2689" i="15" s="1"/>
  <c r="F2690" i="15"/>
  <c r="G2690" i="15" s="1"/>
  <c r="F2691" i="15"/>
  <c r="G2691" i="15" s="1"/>
  <c r="F2692" i="15"/>
  <c r="G2692" i="15" s="1"/>
  <c r="F2693" i="15"/>
  <c r="G2693" i="15" s="1"/>
  <c r="F2694" i="15"/>
  <c r="G2694" i="15" s="1"/>
  <c r="F2695" i="15"/>
  <c r="G2695" i="15" s="1"/>
  <c r="F2696" i="15"/>
  <c r="G2696" i="15" s="1"/>
  <c r="F2697" i="15"/>
  <c r="G2697" i="15" s="1"/>
  <c r="F2698" i="15"/>
  <c r="G2698" i="15" s="1"/>
  <c r="F2699" i="15"/>
  <c r="G2699" i="15" s="1"/>
  <c r="F2700" i="15"/>
  <c r="G2700" i="15" s="1"/>
  <c r="F2701" i="15"/>
  <c r="G2701" i="15" s="1"/>
  <c r="F2702" i="15"/>
  <c r="G2702" i="15" s="1"/>
  <c r="F2703" i="15"/>
  <c r="G2703" i="15" s="1"/>
  <c r="F2704" i="15"/>
  <c r="G2704" i="15" s="1"/>
  <c r="F2705" i="15"/>
  <c r="G2705" i="15" s="1"/>
  <c r="F2706" i="15"/>
  <c r="G2706" i="15" s="1"/>
  <c r="F2707" i="15"/>
  <c r="G2707" i="15" s="1"/>
  <c r="F2708" i="15"/>
  <c r="G2708" i="15" s="1"/>
  <c r="F2709" i="15"/>
  <c r="G2709" i="15" s="1"/>
  <c r="F2710" i="15"/>
  <c r="G2710" i="15" s="1"/>
  <c r="F2711" i="15"/>
  <c r="G2711" i="15" s="1"/>
  <c r="F2712" i="15"/>
  <c r="G2712" i="15" s="1"/>
  <c r="F2713" i="15"/>
  <c r="G2713" i="15" s="1"/>
  <c r="F2714" i="15"/>
  <c r="G2714" i="15" s="1"/>
  <c r="F2715" i="15"/>
  <c r="G2715" i="15" s="1"/>
  <c r="F2716" i="15"/>
  <c r="G2716" i="15" s="1"/>
  <c r="F2717" i="15"/>
  <c r="G2717" i="15" s="1"/>
  <c r="F2718" i="15"/>
  <c r="G2718" i="15" s="1"/>
  <c r="F2719" i="15"/>
  <c r="G2719" i="15" s="1"/>
  <c r="F2720" i="15"/>
  <c r="G2720" i="15" s="1"/>
  <c r="F2721" i="15"/>
  <c r="G2721" i="15" s="1"/>
  <c r="F2722" i="15"/>
  <c r="G2722" i="15" s="1"/>
  <c r="F2723" i="15"/>
  <c r="G2723" i="15" s="1"/>
  <c r="F2724" i="15"/>
  <c r="G2724" i="15" s="1"/>
  <c r="F2725" i="15"/>
  <c r="G2725" i="15" s="1"/>
  <c r="F2726" i="15"/>
  <c r="G2726" i="15" s="1"/>
  <c r="F2727" i="15"/>
  <c r="G2727" i="15" s="1"/>
  <c r="F2728" i="15"/>
  <c r="G2728" i="15" s="1"/>
  <c r="F2729" i="15"/>
  <c r="G2729" i="15" s="1"/>
  <c r="F2730" i="15"/>
  <c r="G2730" i="15" s="1"/>
  <c r="F2731" i="15"/>
  <c r="G2731" i="15" s="1"/>
  <c r="F2732" i="15"/>
  <c r="G2732" i="15" s="1"/>
  <c r="F2733" i="15"/>
  <c r="G2733" i="15" s="1"/>
  <c r="F2734" i="15"/>
  <c r="G2734" i="15" s="1"/>
  <c r="F2735" i="15"/>
  <c r="G2735" i="15" s="1"/>
  <c r="F2736" i="15"/>
  <c r="G2736" i="15" s="1"/>
  <c r="F2737" i="15"/>
  <c r="G2737" i="15" s="1"/>
  <c r="F2738" i="15"/>
  <c r="G2738" i="15" s="1"/>
  <c r="F2739" i="15"/>
  <c r="G2739" i="15" s="1"/>
  <c r="F2740" i="15"/>
  <c r="G2740" i="15" s="1"/>
  <c r="F2741" i="15"/>
  <c r="G2741" i="15" s="1"/>
  <c r="F2742" i="15"/>
  <c r="G2742" i="15" s="1"/>
  <c r="F2743" i="15"/>
  <c r="G2743" i="15" s="1"/>
  <c r="F2744" i="15"/>
  <c r="G2744" i="15" s="1"/>
  <c r="F2745" i="15"/>
  <c r="G2745" i="15" s="1"/>
  <c r="F2746" i="15"/>
  <c r="G2746" i="15" s="1"/>
  <c r="F2747" i="15"/>
  <c r="G2747" i="15" s="1"/>
  <c r="F2748" i="15"/>
  <c r="G2748" i="15" s="1"/>
  <c r="F2749" i="15"/>
  <c r="G2749" i="15" s="1"/>
  <c r="F2750" i="15"/>
  <c r="G2750" i="15" s="1"/>
  <c r="F2751" i="15"/>
  <c r="G2751" i="15" s="1"/>
  <c r="F2752" i="15"/>
  <c r="G2752" i="15" s="1"/>
  <c r="F2753" i="15"/>
  <c r="G2753" i="15" s="1"/>
  <c r="F2754" i="15"/>
  <c r="G2754" i="15" s="1"/>
  <c r="F2755" i="15"/>
  <c r="G2755" i="15" s="1"/>
  <c r="F2756" i="15"/>
  <c r="G2756" i="15" s="1"/>
  <c r="F2757" i="15"/>
  <c r="G2757" i="15" s="1"/>
  <c r="F2758" i="15"/>
  <c r="G2758" i="15" s="1"/>
  <c r="F2759" i="15"/>
  <c r="G2759" i="15" s="1"/>
  <c r="F2760" i="15"/>
  <c r="G2760" i="15" s="1"/>
  <c r="F2761" i="15"/>
  <c r="G2761" i="15" s="1"/>
  <c r="F2762" i="15"/>
  <c r="G2762" i="15" s="1"/>
  <c r="F2763" i="15"/>
  <c r="G2763" i="15" s="1"/>
  <c r="F2764" i="15"/>
  <c r="G2764" i="15" s="1"/>
  <c r="F2765" i="15"/>
  <c r="G2765" i="15" s="1"/>
  <c r="F2766" i="15"/>
  <c r="G2766" i="15" s="1"/>
  <c r="F2767" i="15"/>
  <c r="G2767" i="15" s="1"/>
  <c r="F2768" i="15"/>
  <c r="G2768" i="15" s="1"/>
  <c r="F2769" i="15"/>
  <c r="G2769" i="15" s="1"/>
  <c r="F2770" i="15"/>
  <c r="G2770" i="15" s="1"/>
  <c r="F2771" i="15"/>
  <c r="G2771" i="15" s="1"/>
  <c r="F2772" i="15"/>
  <c r="G2772" i="15" s="1"/>
  <c r="F2773" i="15"/>
  <c r="G2773" i="15" s="1"/>
  <c r="F2774" i="15"/>
  <c r="G2774" i="15" s="1"/>
  <c r="F2775" i="15"/>
  <c r="G2775" i="15" s="1"/>
  <c r="F2776" i="15"/>
  <c r="G2776" i="15" s="1"/>
  <c r="F2777" i="15"/>
  <c r="G2777" i="15" s="1"/>
  <c r="F2778" i="15"/>
  <c r="G2778" i="15" s="1"/>
  <c r="F2779" i="15"/>
  <c r="G2779" i="15" s="1"/>
  <c r="F2780" i="15"/>
  <c r="G2780" i="15" s="1"/>
  <c r="F2781" i="15"/>
  <c r="G2781" i="15" s="1"/>
  <c r="F2782" i="15"/>
  <c r="G2782" i="15" s="1"/>
  <c r="F2783" i="15"/>
  <c r="G2783" i="15" s="1"/>
  <c r="F2784" i="15"/>
  <c r="G2784" i="15" s="1"/>
  <c r="F2785" i="15"/>
  <c r="G2785" i="15" s="1"/>
  <c r="F2786" i="15"/>
  <c r="G2786" i="15" s="1"/>
  <c r="F2787" i="15"/>
  <c r="G2787" i="15" s="1"/>
  <c r="F2788" i="15"/>
  <c r="G2788" i="15" s="1"/>
  <c r="F2789" i="15"/>
  <c r="G2789" i="15" s="1"/>
  <c r="F2790" i="15"/>
  <c r="G2790" i="15" s="1"/>
  <c r="F2791" i="15"/>
  <c r="G2791" i="15" s="1"/>
  <c r="F2792" i="15"/>
  <c r="G2792" i="15" s="1"/>
  <c r="F2793" i="15"/>
  <c r="G2793" i="15" s="1"/>
  <c r="F2794" i="15"/>
  <c r="G2794" i="15" s="1"/>
  <c r="F2795" i="15"/>
  <c r="G2795" i="15" s="1"/>
  <c r="F2796" i="15"/>
  <c r="G2796" i="15" s="1"/>
  <c r="F2797" i="15"/>
  <c r="G2797" i="15" s="1"/>
  <c r="F2798" i="15"/>
  <c r="G2798" i="15" s="1"/>
  <c r="F2799" i="15"/>
  <c r="G2799" i="15" s="1"/>
  <c r="F2800" i="15"/>
  <c r="G2800" i="15" s="1"/>
  <c r="F2801" i="15"/>
  <c r="G2801" i="15" s="1"/>
  <c r="F2802" i="15"/>
  <c r="G2802" i="15" s="1"/>
  <c r="F2803" i="15"/>
  <c r="G2803" i="15" s="1"/>
  <c r="F2804" i="15"/>
  <c r="G2804" i="15" s="1"/>
  <c r="F2805" i="15"/>
  <c r="G2805" i="15" s="1"/>
  <c r="F2806" i="15"/>
  <c r="G2806" i="15" s="1"/>
  <c r="F2807" i="15"/>
  <c r="G2807" i="15" s="1"/>
  <c r="F2808" i="15"/>
  <c r="G2808" i="15" s="1"/>
  <c r="F2809" i="15"/>
  <c r="G2809" i="15" s="1"/>
  <c r="F2810" i="15"/>
  <c r="G2810" i="15" s="1"/>
  <c r="F2811" i="15"/>
  <c r="G2811" i="15" s="1"/>
  <c r="F2812" i="15"/>
  <c r="G2812" i="15" s="1"/>
  <c r="F2813" i="15"/>
  <c r="G2813" i="15" s="1"/>
  <c r="F2814" i="15"/>
  <c r="G2814" i="15" s="1"/>
  <c r="F2815" i="15"/>
  <c r="G2815" i="15" s="1"/>
  <c r="F2816" i="15"/>
  <c r="G2816" i="15" s="1"/>
  <c r="F2817" i="15"/>
  <c r="G2817" i="15" s="1"/>
  <c r="F2818" i="15"/>
  <c r="G2818" i="15" s="1"/>
  <c r="F2819" i="15"/>
  <c r="G2819" i="15" s="1"/>
  <c r="F2820" i="15"/>
  <c r="G2820" i="15" s="1"/>
  <c r="F2821" i="15"/>
  <c r="G2821" i="15" s="1"/>
  <c r="F2822" i="15"/>
  <c r="G2822" i="15" s="1"/>
  <c r="F2823" i="15"/>
  <c r="G2823" i="15" s="1"/>
  <c r="F2824" i="15"/>
  <c r="G2824" i="15" s="1"/>
  <c r="F2825" i="15"/>
  <c r="G2825" i="15" s="1"/>
  <c r="F2826" i="15"/>
  <c r="G2826" i="15" s="1"/>
  <c r="F2827" i="15"/>
  <c r="G2827" i="15" s="1"/>
  <c r="F2828" i="15"/>
  <c r="G2828" i="15" s="1"/>
  <c r="F2829" i="15"/>
  <c r="G2829" i="15" s="1"/>
  <c r="F2830" i="15"/>
  <c r="G2830" i="15" s="1"/>
  <c r="F2831" i="15"/>
  <c r="G2831" i="15" s="1"/>
  <c r="F2832" i="15"/>
  <c r="G2832" i="15" s="1"/>
  <c r="F2833" i="15"/>
  <c r="G2833" i="15" s="1"/>
  <c r="F2834" i="15"/>
  <c r="G2834" i="15" s="1"/>
  <c r="F2835" i="15"/>
  <c r="G2835" i="15" s="1"/>
  <c r="F2836" i="15"/>
  <c r="G2836" i="15" s="1"/>
  <c r="F2837" i="15"/>
  <c r="G2837" i="15" s="1"/>
  <c r="F2838" i="15"/>
  <c r="G2838" i="15" s="1"/>
  <c r="F2839" i="15"/>
  <c r="G2839" i="15" s="1"/>
  <c r="F2840" i="15"/>
  <c r="G2840" i="15" s="1"/>
  <c r="F2841" i="15"/>
  <c r="G2841" i="15" s="1"/>
  <c r="F2842" i="15"/>
  <c r="G2842" i="15" s="1"/>
  <c r="F2843" i="15"/>
  <c r="G2843" i="15" s="1"/>
  <c r="F2844" i="15"/>
  <c r="G2844" i="15" s="1"/>
  <c r="F2845" i="15"/>
  <c r="G2845" i="15" s="1"/>
  <c r="F2846" i="15"/>
  <c r="G2846" i="15" s="1"/>
  <c r="F2847" i="15"/>
  <c r="G2847" i="15" s="1"/>
  <c r="F2848" i="15"/>
  <c r="G2848" i="15" s="1"/>
  <c r="F2849" i="15"/>
  <c r="G2849" i="15" s="1"/>
  <c r="F2850" i="15"/>
  <c r="G2850" i="15" s="1"/>
  <c r="F2851" i="15"/>
  <c r="G2851" i="15" s="1"/>
  <c r="F2852" i="15"/>
  <c r="G2852" i="15" s="1"/>
  <c r="F2853" i="15"/>
  <c r="G2853" i="15" s="1"/>
  <c r="F2854" i="15"/>
  <c r="G2854" i="15" s="1"/>
  <c r="F2855" i="15"/>
  <c r="G2855" i="15" s="1"/>
  <c r="F2856" i="15"/>
  <c r="G2856" i="15" s="1"/>
  <c r="F2857" i="15"/>
  <c r="G2857" i="15" s="1"/>
  <c r="F2858" i="15"/>
  <c r="G2858" i="15" s="1"/>
  <c r="F2859" i="15"/>
  <c r="G2859" i="15" s="1"/>
  <c r="F2860" i="15"/>
  <c r="G2860" i="15" s="1"/>
  <c r="F2861" i="15"/>
  <c r="G2861" i="15" s="1"/>
  <c r="F2862" i="15"/>
  <c r="G2862" i="15" s="1"/>
  <c r="F2863" i="15"/>
  <c r="G2863" i="15" s="1"/>
  <c r="F2864" i="15"/>
  <c r="G2864" i="15" s="1"/>
  <c r="F2865" i="15"/>
  <c r="G2865" i="15" s="1"/>
  <c r="F2866" i="15"/>
  <c r="G2866" i="15" s="1"/>
  <c r="F2867" i="15"/>
  <c r="G2867" i="15" s="1"/>
  <c r="F2868" i="15"/>
  <c r="G2868" i="15" s="1"/>
  <c r="F2869" i="15"/>
  <c r="G2869" i="15" s="1"/>
  <c r="F2870" i="15"/>
  <c r="G2870" i="15" s="1"/>
  <c r="F2871" i="15"/>
  <c r="G2871" i="15" s="1"/>
  <c r="F2872" i="15"/>
  <c r="G2872" i="15" s="1"/>
  <c r="F2873" i="15"/>
  <c r="G2873" i="15" s="1"/>
  <c r="F2874" i="15"/>
  <c r="G2874" i="15" s="1"/>
  <c r="F2875" i="15"/>
  <c r="G2875" i="15" s="1"/>
  <c r="F2876" i="15"/>
  <c r="G2876" i="15" s="1"/>
  <c r="F2877" i="15"/>
  <c r="G2877" i="15" s="1"/>
  <c r="F2878" i="15"/>
  <c r="G2878" i="15" s="1"/>
  <c r="F2879" i="15"/>
  <c r="G2879" i="15" s="1"/>
  <c r="F2880" i="15"/>
  <c r="G2880" i="15" s="1"/>
  <c r="F2881" i="15"/>
  <c r="G2881" i="15" s="1"/>
  <c r="F2882" i="15"/>
  <c r="G2882" i="15" s="1"/>
  <c r="F2883" i="15"/>
  <c r="G2883" i="15" s="1"/>
  <c r="F2884" i="15"/>
  <c r="G2884" i="15" s="1"/>
  <c r="F2885" i="15"/>
  <c r="G2885" i="15" s="1"/>
  <c r="F2886" i="15"/>
  <c r="G2886" i="15" s="1"/>
  <c r="F2887" i="15"/>
  <c r="G2887" i="15" s="1"/>
  <c r="F2888" i="15"/>
  <c r="G2888" i="15" s="1"/>
  <c r="F2889" i="15"/>
  <c r="G2889" i="15" s="1"/>
  <c r="F2890" i="15"/>
  <c r="G2890" i="15" s="1"/>
  <c r="F2891" i="15"/>
  <c r="G2891" i="15" s="1"/>
  <c r="F2892" i="15"/>
  <c r="G2892" i="15" s="1"/>
  <c r="F2893" i="15"/>
  <c r="G2893" i="15" s="1"/>
  <c r="F2894" i="15"/>
  <c r="G2894" i="15" s="1"/>
  <c r="F2895" i="15"/>
  <c r="G2895" i="15" s="1"/>
  <c r="F2896" i="15"/>
  <c r="G2896" i="15" s="1"/>
  <c r="F2897" i="15"/>
  <c r="G2897" i="15" s="1"/>
  <c r="F2898" i="15"/>
  <c r="G2898" i="15" s="1"/>
  <c r="F2899" i="15"/>
  <c r="G2899" i="15" s="1"/>
  <c r="F2900" i="15"/>
  <c r="G2900" i="15" s="1"/>
  <c r="F2901" i="15"/>
  <c r="G2901" i="15" s="1"/>
  <c r="F2902" i="15"/>
  <c r="G2902" i="15" s="1"/>
  <c r="F2903" i="15"/>
  <c r="G2903" i="15" s="1"/>
  <c r="F2904" i="15"/>
  <c r="G2904" i="15" s="1"/>
  <c r="F2905" i="15"/>
  <c r="G2905" i="15" s="1"/>
  <c r="F2906" i="15"/>
  <c r="G2906" i="15" s="1"/>
  <c r="F2907" i="15"/>
  <c r="G2907" i="15" s="1"/>
  <c r="F2908" i="15"/>
  <c r="G2908" i="15" s="1"/>
  <c r="F2909" i="15"/>
  <c r="G2909" i="15" s="1"/>
  <c r="F2910" i="15"/>
  <c r="G2910" i="15" s="1"/>
  <c r="F2911" i="15"/>
  <c r="G2911" i="15" s="1"/>
  <c r="F2912" i="15"/>
  <c r="G2912" i="15" s="1"/>
  <c r="F2913" i="15"/>
  <c r="G2913" i="15" s="1"/>
  <c r="F2914" i="15"/>
  <c r="G2914" i="15" s="1"/>
  <c r="F2915" i="15"/>
  <c r="G2915" i="15" s="1"/>
  <c r="F2916" i="15"/>
  <c r="G2916" i="15" s="1"/>
  <c r="F2917" i="15"/>
  <c r="G2917" i="15" s="1"/>
  <c r="F2918" i="15"/>
  <c r="G2918" i="15" s="1"/>
  <c r="F2919" i="15"/>
  <c r="G2919" i="15" s="1"/>
  <c r="F2920" i="15"/>
  <c r="G2920" i="15" s="1"/>
  <c r="F2921" i="15"/>
  <c r="G2921" i="15" s="1"/>
  <c r="F2922" i="15"/>
  <c r="G2922" i="15" s="1"/>
  <c r="F2923" i="15"/>
  <c r="G2923" i="15" s="1"/>
  <c r="F2924" i="15"/>
  <c r="G2924" i="15" s="1"/>
  <c r="F2925" i="15"/>
  <c r="G2925" i="15" s="1"/>
  <c r="F2926" i="15"/>
  <c r="G2926" i="15" s="1"/>
  <c r="F2927" i="15"/>
  <c r="G2927" i="15" s="1"/>
  <c r="F2928" i="15"/>
  <c r="G2928" i="15" s="1"/>
  <c r="F2929" i="15"/>
  <c r="G2929" i="15" s="1"/>
  <c r="F2930" i="15"/>
  <c r="G2930" i="15" s="1"/>
  <c r="F2931" i="15"/>
  <c r="G2931" i="15" s="1"/>
  <c r="F2932" i="15"/>
  <c r="G2932" i="15" s="1"/>
  <c r="F2933" i="15"/>
  <c r="G2933" i="15" s="1"/>
  <c r="F2934" i="15"/>
  <c r="G2934" i="15" s="1"/>
  <c r="F2935" i="15"/>
  <c r="G2935" i="15" s="1"/>
  <c r="F2936" i="15"/>
  <c r="G2936" i="15" s="1"/>
  <c r="F2937" i="15"/>
  <c r="G2937" i="15" s="1"/>
  <c r="F2938" i="15"/>
  <c r="G2938" i="15" s="1"/>
  <c r="F2939" i="15"/>
  <c r="G2939" i="15" s="1"/>
  <c r="F2940" i="15"/>
  <c r="G2940" i="15" s="1"/>
  <c r="F2941" i="15"/>
  <c r="G2941" i="15" s="1"/>
  <c r="F2942" i="15"/>
  <c r="G2942" i="15" s="1"/>
  <c r="F2943" i="15"/>
  <c r="G2943" i="15" s="1"/>
  <c r="F2944" i="15"/>
  <c r="G2944" i="15" s="1"/>
  <c r="F2945" i="15"/>
  <c r="G2945" i="15" s="1"/>
  <c r="F2946" i="15"/>
  <c r="G2946" i="15" s="1"/>
  <c r="F2947" i="15"/>
  <c r="G2947" i="15" s="1"/>
  <c r="F2948" i="15"/>
  <c r="G2948" i="15" s="1"/>
  <c r="F2949" i="15"/>
  <c r="G2949" i="15" s="1"/>
  <c r="F2950" i="15"/>
  <c r="G2950" i="15" s="1"/>
  <c r="F2951" i="15"/>
  <c r="G2951" i="15" s="1"/>
  <c r="F2952" i="15"/>
  <c r="G2952" i="15" s="1"/>
  <c r="F2953" i="15"/>
  <c r="G2953" i="15" s="1"/>
  <c r="F2954" i="15"/>
  <c r="G2954" i="15" s="1"/>
  <c r="F2955" i="15"/>
  <c r="G2955" i="15" s="1"/>
  <c r="F2956" i="15"/>
  <c r="G2956" i="15" s="1"/>
  <c r="F2957" i="15"/>
  <c r="G2957" i="15" s="1"/>
  <c r="F2958" i="15"/>
  <c r="G2958" i="15" s="1"/>
  <c r="F2959" i="15"/>
  <c r="G2959" i="15" s="1"/>
  <c r="F2960" i="15"/>
  <c r="G2960" i="15" s="1"/>
  <c r="F2961" i="15"/>
  <c r="G2961" i="15" s="1"/>
  <c r="F2962" i="15"/>
  <c r="G2962" i="15" s="1"/>
  <c r="F2963" i="15"/>
  <c r="G2963" i="15" s="1"/>
  <c r="F2964" i="15"/>
  <c r="G2964" i="15" s="1"/>
  <c r="F2965" i="15"/>
  <c r="G2965" i="15" s="1"/>
  <c r="F2966" i="15"/>
  <c r="G2966" i="15" s="1"/>
  <c r="F2967" i="15"/>
  <c r="G2967" i="15" s="1"/>
  <c r="F2968" i="15"/>
  <c r="G2968" i="15" s="1"/>
  <c r="F2969" i="15"/>
  <c r="G2969" i="15" s="1"/>
  <c r="F2970" i="15"/>
  <c r="G2970" i="15" s="1"/>
  <c r="F2971" i="15"/>
  <c r="G2971" i="15" s="1"/>
  <c r="F2972" i="15"/>
  <c r="G2972" i="15" s="1"/>
  <c r="F2973" i="15"/>
  <c r="G2973" i="15" s="1"/>
  <c r="F2974" i="15"/>
  <c r="G2974" i="15" s="1"/>
  <c r="F2975" i="15"/>
  <c r="G2975" i="15" s="1"/>
  <c r="F2976" i="15"/>
  <c r="G2976" i="15" s="1"/>
  <c r="F2977" i="15"/>
  <c r="G2977" i="15" s="1"/>
  <c r="F2978" i="15"/>
  <c r="G2978" i="15" s="1"/>
  <c r="F2979" i="15"/>
  <c r="G2979" i="15" s="1"/>
  <c r="F2980" i="15"/>
  <c r="G2980" i="15" s="1"/>
  <c r="F2981" i="15"/>
  <c r="G2981" i="15" s="1"/>
  <c r="F2982" i="15"/>
  <c r="G2982" i="15" s="1"/>
  <c r="F2983" i="15"/>
  <c r="G2983" i="15" s="1"/>
  <c r="F2984" i="15"/>
  <c r="G2984" i="15" s="1"/>
  <c r="F2985" i="15"/>
  <c r="G2985" i="15" s="1"/>
  <c r="F2986" i="15"/>
  <c r="G2986" i="15" s="1"/>
  <c r="F2987" i="15"/>
  <c r="G2987" i="15" s="1"/>
  <c r="F2988" i="15"/>
  <c r="G2988" i="15" s="1"/>
  <c r="F2989" i="15"/>
  <c r="G2989" i="15" s="1"/>
  <c r="F2990" i="15"/>
  <c r="G2990" i="15" s="1"/>
  <c r="F2991" i="15"/>
  <c r="G2991" i="15" s="1"/>
  <c r="F2992" i="15"/>
  <c r="G2992" i="15" s="1"/>
  <c r="F2993" i="15"/>
  <c r="G2993" i="15" s="1"/>
  <c r="F2994" i="15"/>
  <c r="G2994" i="15" s="1"/>
  <c r="F2995" i="15"/>
  <c r="G2995" i="15" s="1"/>
  <c r="F2996" i="15"/>
  <c r="G2996" i="15" s="1"/>
  <c r="F2997" i="15"/>
  <c r="G2997" i="15" s="1"/>
  <c r="F2998" i="15"/>
  <c r="G2998" i="15" s="1"/>
  <c r="F2999" i="15"/>
  <c r="G2999" i="15" s="1"/>
  <c r="F3000" i="15"/>
  <c r="G3000" i="15" s="1"/>
  <c r="F3001" i="15"/>
  <c r="G3001" i="15" s="1"/>
  <c r="F3002" i="15"/>
  <c r="G3002" i="15" s="1"/>
  <c r="F3003" i="15"/>
  <c r="G3003" i="15" s="1"/>
  <c r="F3004" i="15"/>
  <c r="G3004" i="15" s="1"/>
  <c r="F3005" i="15"/>
  <c r="G3005" i="15" s="1"/>
  <c r="F3006" i="15"/>
  <c r="G3006" i="15" s="1"/>
  <c r="F3007" i="15"/>
  <c r="G3007" i="15" s="1"/>
  <c r="F3008" i="15"/>
  <c r="G3008" i="15" s="1"/>
  <c r="F3009" i="15"/>
  <c r="G3009" i="15" s="1"/>
  <c r="F3010" i="15"/>
  <c r="G3010" i="15" s="1"/>
  <c r="F3011" i="15"/>
  <c r="G3011" i="15" s="1"/>
  <c r="F3012" i="15"/>
  <c r="G3012" i="15" s="1"/>
  <c r="F3013" i="15"/>
  <c r="G3013" i="15" s="1"/>
  <c r="F3014" i="15"/>
  <c r="G3014" i="15" s="1"/>
  <c r="F3015" i="15"/>
  <c r="G3015" i="15" s="1"/>
  <c r="F3016" i="15"/>
  <c r="G3016" i="15" s="1"/>
  <c r="F3017" i="15"/>
  <c r="G3017" i="15" s="1"/>
  <c r="F3018" i="15"/>
  <c r="G3018" i="15" s="1"/>
  <c r="F3019" i="15"/>
  <c r="G3019" i="15" s="1"/>
  <c r="F3020" i="15"/>
  <c r="G3020" i="15" s="1"/>
  <c r="F3021" i="15"/>
  <c r="G3021" i="15" s="1"/>
  <c r="F3022" i="15"/>
  <c r="G3022" i="15" s="1"/>
  <c r="F3023" i="15"/>
  <c r="G3023" i="15" s="1"/>
  <c r="F3024" i="15"/>
  <c r="G3024" i="15" s="1"/>
  <c r="F3025" i="15"/>
  <c r="G3025" i="15" s="1"/>
  <c r="F3026" i="15"/>
  <c r="G3026" i="15" s="1"/>
  <c r="F3027" i="15"/>
  <c r="G3027" i="15" s="1"/>
  <c r="F3028" i="15"/>
  <c r="G3028" i="15" s="1"/>
  <c r="F3029" i="15"/>
  <c r="G3029" i="15" s="1"/>
  <c r="F3030" i="15"/>
  <c r="G3030" i="15" s="1"/>
  <c r="F3031" i="15"/>
  <c r="G3031" i="15" s="1"/>
  <c r="F3032" i="15"/>
  <c r="G3032" i="15" s="1"/>
  <c r="F3033" i="15"/>
  <c r="G3033" i="15" s="1"/>
  <c r="F3034" i="15"/>
  <c r="G3034" i="15" s="1"/>
  <c r="F3035" i="15"/>
  <c r="G3035" i="15" s="1"/>
  <c r="F3036" i="15"/>
  <c r="G3036" i="15" s="1"/>
  <c r="F3037" i="15"/>
  <c r="G3037" i="15" s="1"/>
  <c r="F3038" i="15"/>
  <c r="G3038" i="15" s="1"/>
  <c r="F3039" i="15"/>
  <c r="G3039" i="15" s="1"/>
  <c r="F3040" i="15"/>
  <c r="G3040" i="15" s="1"/>
  <c r="F3041" i="15"/>
  <c r="G3041" i="15" s="1"/>
  <c r="F3042" i="15"/>
  <c r="G3042" i="15" s="1"/>
  <c r="F3043" i="15"/>
  <c r="G3043" i="15" s="1"/>
  <c r="F3044" i="15"/>
  <c r="G3044" i="15" s="1"/>
  <c r="F3045" i="15"/>
  <c r="G3045" i="15" s="1"/>
  <c r="F3046" i="15"/>
  <c r="G3046" i="15" s="1"/>
  <c r="F3047" i="15"/>
  <c r="G3047" i="15" s="1"/>
  <c r="F3048" i="15"/>
  <c r="G3048" i="15" s="1"/>
  <c r="F3049" i="15"/>
  <c r="G3049" i="15" s="1"/>
  <c r="F3050" i="15"/>
  <c r="G3050" i="15" s="1"/>
  <c r="F3051" i="15"/>
  <c r="G3051" i="15" s="1"/>
  <c r="F3052" i="15"/>
  <c r="G3052" i="15" s="1"/>
  <c r="F3053" i="15"/>
  <c r="G3053" i="15" s="1"/>
  <c r="F3054" i="15"/>
  <c r="G3054" i="15" s="1"/>
  <c r="F3055" i="15"/>
  <c r="G3055" i="15" s="1"/>
  <c r="F3056" i="15"/>
  <c r="G3056" i="15" s="1"/>
  <c r="F3057" i="15"/>
  <c r="G3057" i="15" s="1"/>
  <c r="F3058" i="15"/>
  <c r="G3058" i="15" s="1"/>
  <c r="F3059" i="15"/>
  <c r="G3059" i="15" s="1"/>
  <c r="F3060" i="15"/>
  <c r="G3060" i="15" s="1"/>
  <c r="F3061" i="15"/>
  <c r="G3061" i="15" s="1"/>
  <c r="F3062" i="15"/>
  <c r="G3062" i="15" s="1"/>
  <c r="F3063" i="15"/>
  <c r="G3063" i="15" s="1"/>
  <c r="F3064" i="15"/>
  <c r="G3064" i="15" s="1"/>
  <c r="F3065" i="15"/>
  <c r="G3065" i="15" s="1"/>
  <c r="F3066" i="15"/>
  <c r="G3066" i="15" s="1"/>
  <c r="F3067" i="15"/>
  <c r="G3067" i="15" s="1"/>
  <c r="F3068" i="15"/>
  <c r="G3068" i="15" s="1"/>
  <c r="F3069" i="15"/>
  <c r="G3069" i="15" s="1"/>
  <c r="F3070" i="15"/>
  <c r="G3070" i="15" s="1"/>
  <c r="F3071" i="15"/>
  <c r="G3071" i="15" s="1"/>
  <c r="F3072" i="15"/>
  <c r="G3072" i="15" s="1"/>
  <c r="F3073" i="15"/>
  <c r="G3073" i="15" s="1"/>
  <c r="F3074" i="15"/>
  <c r="G3074" i="15" s="1"/>
  <c r="F3075" i="15"/>
  <c r="G3075" i="15" s="1"/>
  <c r="F3076" i="15"/>
  <c r="G3076" i="15" s="1"/>
  <c r="F3077" i="15"/>
  <c r="G3077" i="15" s="1"/>
  <c r="F3078" i="15"/>
  <c r="G3078" i="15" s="1"/>
  <c r="F3079" i="15"/>
  <c r="G3079" i="15" s="1"/>
  <c r="F3080" i="15"/>
  <c r="G3080" i="15" s="1"/>
  <c r="F3081" i="15"/>
  <c r="G3081" i="15" s="1"/>
  <c r="F3082" i="15"/>
  <c r="G3082" i="15" s="1"/>
  <c r="F3083" i="15"/>
  <c r="G3083" i="15" s="1"/>
  <c r="F3084" i="15"/>
  <c r="G3084" i="15" s="1"/>
  <c r="F3085" i="15"/>
  <c r="G3085" i="15" s="1"/>
  <c r="F3086" i="15"/>
  <c r="G3086" i="15" s="1"/>
  <c r="F3087" i="15"/>
  <c r="G3087" i="15" s="1"/>
  <c r="F3088" i="15"/>
  <c r="G3088" i="15" s="1"/>
  <c r="F3089" i="15"/>
  <c r="G3089" i="15" s="1"/>
  <c r="F3090" i="15"/>
  <c r="G3090" i="15" s="1"/>
  <c r="F3091" i="15"/>
  <c r="G3091" i="15" s="1"/>
  <c r="F3092" i="15"/>
  <c r="G3092" i="15" s="1"/>
  <c r="F3093" i="15"/>
  <c r="G3093" i="15" s="1"/>
  <c r="F3094" i="15"/>
  <c r="G3094" i="15" s="1"/>
  <c r="F3095" i="15"/>
  <c r="G3095" i="15" s="1"/>
  <c r="F3096" i="15"/>
  <c r="G3096" i="15" s="1"/>
  <c r="F3097" i="15"/>
  <c r="G3097" i="15" s="1"/>
  <c r="F3098" i="15"/>
  <c r="G3098" i="15" s="1"/>
  <c r="F3099" i="15"/>
  <c r="G3099" i="15" s="1"/>
  <c r="F3100" i="15"/>
  <c r="G3100" i="15" s="1"/>
  <c r="F3101" i="15"/>
  <c r="G3101" i="15" s="1"/>
  <c r="F3102" i="15"/>
  <c r="G3102" i="15" s="1"/>
  <c r="F3103" i="15"/>
  <c r="G3103" i="15" s="1"/>
  <c r="F3104" i="15"/>
  <c r="G3104" i="15" s="1"/>
  <c r="F3105" i="15"/>
  <c r="G3105" i="15" s="1"/>
  <c r="F3106" i="15"/>
  <c r="G3106" i="15" s="1"/>
  <c r="F3107" i="15"/>
  <c r="G3107" i="15" s="1"/>
  <c r="F3108" i="15"/>
  <c r="G3108" i="15" s="1"/>
  <c r="F3109" i="15"/>
  <c r="G3109" i="15" s="1"/>
  <c r="F3110" i="15"/>
  <c r="G3110" i="15" s="1"/>
  <c r="F3111" i="15"/>
  <c r="G3111" i="15" s="1"/>
  <c r="F3112" i="15"/>
  <c r="G3112" i="15" s="1"/>
  <c r="F3113" i="15"/>
  <c r="G3113" i="15" s="1"/>
  <c r="F3114" i="15"/>
  <c r="G3114" i="15" s="1"/>
  <c r="F3115" i="15"/>
  <c r="G3115" i="15" s="1"/>
  <c r="F3116" i="15"/>
  <c r="G3116" i="15" s="1"/>
  <c r="F3117" i="15"/>
  <c r="G3117" i="15" s="1"/>
  <c r="F3118" i="15"/>
  <c r="G3118" i="15" s="1"/>
  <c r="F3119" i="15"/>
  <c r="G3119" i="15" s="1"/>
  <c r="F3120" i="15"/>
  <c r="G3120" i="15" s="1"/>
  <c r="F3121" i="15"/>
  <c r="G3121" i="15" s="1"/>
  <c r="F3122" i="15"/>
  <c r="G3122" i="15" s="1"/>
  <c r="F3123" i="15"/>
  <c r="G3123" i="15" s="1"/>
  <c r="F3124" i="15"/>
  <c r="G3124" i="15" s="1"/>
  <c r="F3125" i="15"/>
  <c r="G3125" i="15" s="1"/>
  <c r="F3126" i="15"/>
  <c r="G3126" i="15" s="1"/>
  <c r="F3127" i="15"/>
  <c r="G3127" i="15" s="1"/>
  <c r="F3128" i="15"/>
  <c r="G3128" i="15" s="1"/>
  <c r="F3129" i="15"/>
  <c r="G3129" i="15" s="1"/>
  <c r="F3130" i="15"/>
  <c r="G3130" i="15" s="1"/>
  <c r="F3131" i="15"/>
  <c r="G3131" i="15" s="1"/>
  <c r="F3132" i="15"/>
  <c r="G3132" i="15" s="1"/>
  <c r="F3133" i="15"/>
  <c r="G3133" i="15" s="1"/>
  <c r="F3134" i="15"/>
  <c r="G3134" i="15" s="1"/>
  <c r="F3135" i="15"/>
  <c r="G3135" i="15" s="1"/>
  <c r="F3136" i="15"/>
  <c r="G3136" i="15" s="1"/>
  <c r="F3137" i="15"/>
  <c r="G3137" i="15" s="1"/>
  <c r="F3138" i="15"/>
  <c r="G3138" i="15" s="1"/>
  <c r="F3139" i="15"/>
  <c r="G3139" i="15" s="1"/>
  <c r="F3140" i="15"/>
  <c r="G3140" i="15" s="1"/>
  <c r="F3141" i="15"/>
  <c r="G3141" i="15" s="1"/>
  <c r="F3142" i="15"/>
  <c r="G3142" i="15" s="1"/>
  <c r="F3143" i="15"/>
  <c r="G3143" i="15" s="1"/>
  <c r="F3144" i="15"/>
  <c r="G3144" i="15" s="1"/>
  <c r="F3145" i="15"/>
  <c r="G3145" i="15" s="1"/>
  <c r="F3146" i="15"/>
  <c r="G3146" i="15" s="1"/>
  <c r="F3147" i="15"/>
  <c r="G3147" i="15" s="1"/>
  <c r="F3148" i="15"/>
  <c r="G3148" i="15" s="1"/>
  <c r="F3149" i="15"/>
  <c r="G3149" i="15" s="1"/>
  <c r="F3150" i="15"/>
  <c r="G3150" i="15" s="1"/>
  <c r="F3151" i="15"/>
  <c r="G3151" i="15" s="1"/>
  <c r="F3152" i="15"/>
  <c r="G3152" i="15" s="1"/>
  <c r="F3153" i="15"/>
  <c r="G3153" i="15" s="1"/>
  <c r="F3154" i="15"/>
  <c r="G3154" i="15" s="1"/>
  <c r="F3155" i="15"/>
  <c r="G3155" i="15" s="1"/>
  <c r="F3156" i="15"/>
  <c r="G3156" i="15" s="1"/>
  <c r="F3157" i="15"/>
  <c r="G3157" i="15" s="1"/>
  <c r="F3158" i="15"/>
  <c r="G3158" i="15" s="1"/>
  <c r="F3159" i="15"/>
  <c r="G3159" i="15" s="1"/>
  <c r="F3160" i="15"/>
  <c r="G3160" i="15" s="1"/>
  <c r="F3161" i="15"/>
  <c r="G3161" i="15" s="1"/>
  <c r="F3162" i="15"/>
  <c r="G3162" i="15" s="1"/>
  <c r="F3163" i="15"/>
  <c r="G3163" i="15" s="1"/>
  <c r="F3164" i="15"/>
  <c r="G3164" i="15" s="1"/>
  <c r="F3165" i="15"/>
  <c r="G3165" i="15" s="1"/>
  <c r="F3166" i="15"/>
  <c r="G3166" i="15" s="1"/>
  <c r="F3167" i="15"/>
  <c r="G3167" i="15" s="1"/>
  <c r="F3168" i="15"/>
  <c r="G3168" i="15" s="1"/>
  <c r="F3169" i="15"/>
  <c r="G3169" i="15" s="1"/>
  <c r="F3170" i="15"/>
  <c r="G3170" i="15" s="1"/>
  <c r="F3171" i="15"/>
  <c r="G3171" i="15" s="1"/>
  <c r="F3172" i="15"/>
  <c r="G3172" i="15" s="1"/>
  <c r="F3173" i="15"/>
  <c r="G3173" i="15" s="1"/>
  <c r="F3174" i="15"/>
  <c r="G3174" i="15" s="1"/>
  <c r="F3175" i="15"/>
  <c r="G3175" i="15" s="1"/>
  <c r="F3176" i="15"/>
  <c r="G3176" i="15" s="1"/>
  <c r="F3177" i="15"/>
  <c r="G3177" i="15" s="1"/>
  <c r="F3178" i="15"/>
  <c r="G3178" i="15" s="1"/>
  <c r="F3179" i="15"/>
  <c r="G3179" i="15" s="1"/>
  <c r="F3180" i="15"/>
  <c r="G3180" i="15" s="1"/>
  <c r="F3181" i="15"/>
  <c r="G3181" i="15" s="1"/>
  <c r="F3182" i="15"/>
  <c r="G3182" i="15" s="1"/>
  <c r="F3183" i="15"/>
  <c r="G3183" i="15" s="1"/>
  <c r="F3184" i="15"/>
  <c r="G3184" i="15" s="1"/>
  <c r="F3185" i="15"/>
  <c r="G3185" i="15" s="1"/>
  <c r="F3186" i="15"/>
  <c r="G3186" i="15" s="1"/>
  <c r="F3187" i="15"/>
  <c r="G3187" i="15" s="1"/>
  <c r="F3188" i="15"/>
  <c r="G3188" i="15" s="1"/>
  <c r="F3189" i="15"/>
  <c r="G3189" i="15" s="1"/>
  <c r="F3190" i="15"/>
  <c r="G3190" i="15" s="1"/>
  <c r="F3191" i="15"/>
  <c r="G3191" i="15" s="1"/>
  <c r="F3192" i="15"/>
  <c r="G3192" i="15" s="1"/>
  <c r="F3193" i="15"/>
  <c r="G3193" i="15" s="1"/>
  <c r="F3194" i="15"/>
  <c r="G3194" i="15" s="1"/>
  <c r="F3195" i="15"/>
  <c r="G3195" i="15" s="1"/>
  <c r="F3196" i="15"/>
  <c r="G3196" i="15" s="1"/>
  <c r="F3197" i="15"/>
  <c r="G3197" i="15" s="1"/>
  <c r="F3198" i="15"/>
  <c r="G3198" i="15" s="1"/>
  <c r="F3199" i="15"/>
  <c r="G3199" i="15" s="1"/>
  <c r="F3200" i="15"/>
  <c r="G3200" i="15" s="1"/>
  <c r="F3201" i="15"/>
  <c r="G3201" i="15" s="1"/>
  <c r="F3202" i="15"/>
  <c r="G3202" i="15" s="1"/>
  <c r="F3203" i="15"/>
  <c r="G3203" i="15" s="1"/>
  <c r="F3204" i="15"/>
  <c r="G3204" i="15" s="1"/>
  <c r="F3205" i="15"/>
  <c r="G3205" i="15" s="1"/>
  <c r="F3206" i="15"/>
  <c r="G3206" i="15" s="1"/>
  <c r="F3207" i="15"/>
  <c r="G3207" i="15" s="1"/>
  <c r="F3208" i="15"/>
  <c r="G3208" i="15" s="1"/>
  <c r="F3209" i="15"/>
  <c r="G3209" i="15" s="1"/>
  <c r="F3210" i="15"/>
  <c r="G3210" i="15" s="1"/>
  <c r="F3211" i="15"/>
  <c r="G3211" i="15" s="1"/>
  <c r="F3212" i="15"/>
  <c r="G3212" i="15" s="1"/>
  <c r="F3213" i="15"/>
  <c r="G3213" i="15" s="1"/>
  <c r="F3214" i="15"/>
  <c r="G3214" i="15" s="1"/>
  <c r="F3215" i="15"/>
  <c r="G3215" i="15" s="1"/>
  <c r="F3216" i="15"/>
  <c r="G3216" i="15" s="1"/>
  <c r="F3217" i="15"/>
  <c r="G3217" i="15" s="1"/>
  <c r="F3218" i="15"/>
  <c r="G3218" i="15" s="1"/>
  <c r="F3219" i="15"/>
  <c r="G3219" i="15" s="1"/>
  <c r="F3220" i="15"/>
  <c r="G3220" i="15" s="1"/>
  <c r="F3221" i="15"/>
  <c r="G3221" i="15" s="1"/>
  <c r="F3222" i="15"/>
  <c r="G3222" i="15" s="1"/>
  <c r="F3223" i="15"/>
  <c r="G3223" i="15" s="1"/>
  <c r="F3224" i="15"/>
  <c r="G3224" i="15" s="1"/>
  <c r="F3225" i="15"/>
  <c r="G3225" i="15" s="1"/>
  <c r="F3226" i="15"/>
  <c r="G3226" i="15" s="1"/>
  <c r="F3227" i="15"/>
  <c r="G3227" i="15" s="1"/>
  <c r="F3228" i="15"/>
  <c r="G3228" i="15" s="1"/>
  <c r="F3229" i="15"/>
  <c r="G3229" i="15" s="1"/>
  <c r="F3230" i="15"/>
  <c r="G3230" i="15" s="1"/>
  <c r="F3231" i="15"/>
  <c r="G3231" i="15" s="1"/>
  <c r="F3232" i="15"/>
  <c r="G3232" i="15" s="1"/>
  <c r="F3233" i="15"/>
  <c r="G3233" i="15" s="1"/>
  <c r="F3234" i="15"/>
  <c r="G3234" i="15" s="1"/>
  <c r="F3235" i="15"/>
  <c r="G3235" i="15" s="1"/>
  <c r="F3236" i="15"/>
  <c r="G3236" i="15" s="1"/>
  <c r="F3237" i="15"/>
  <c r="G3237" i="15" s="1"/>
  <c r="F3238" i="15"/>
  <c r="G3238" i="15" s="1"/>
  <c r="F3239" i="15"/>
  <c r="G3239" i="15" s="1"/>
  <c r="F3240" i="15"/>
  <c r="G3240" i="15" s="1"/>
  <c r="F3241" i="15"/>
  <c r="G3241" i="15" s="1"/>
  <c r="F3242" i="15"/>
  <c r="G3242" i="15" s="1"/>
  <c r="F3243" i="15"/>
  <c r="G3243" i="15" s="1"/>
  <c r="F3244" i="15"/>
  <c r="G3244" i="15" s="1"/>
  <c r="F3245" i="15"/>
  <c r="G3245" i="15" s="1"/>
  <c r="F3246" i="15"/>
  <c r="G3246" i="15" s="1"/>
  <c r="F3247" i="15"/>
  <c r="G3247" i="15" s="1"/>
  <c r="F3248" i="15"/>
  <c r="G3248" i="15" s="1"/>
  <c r="F3249" i="15"/>
  <c r="G3249" i="15" s="1"/>
  <c r="F3250" i="15"/>
  <c r="G3250" i="15" s="1"/>
  <c r="F3251" i="15"/>
  <c r="G3251" i="15" s="1"/>
  <c r="F3252" i="15"/>
  <c r="G3252" i="15" s="1"/>
  <c r="F3253" i="15"/>
  <c r="G3253" i="15" s="1"/>
  <c r="F3254" i="15"/>
  <c r="G3254" i="15" s="1"/>
  <c r="F3255" i="15"/>
  <c r="G3255" i="15" s="1"/>
  <c r="F3256" i="15"/>
  <c r="G3256" i="15" s="1"/>
  <c r="F3257" i="15"/>
  <c r="G3257" i="15" s="1"/>
  <c r="F3258" i="15"/>
  <c r="G3258" i="15" s="1"/>
  <c r="F3259" i="15"/>
  <c r="G3259" i="15" s="1"/>
  <c r="F3260" i="15"/>
  <c r="G3260" i="15" s="1"/>
  <c r="F3261" i="15"/>
  <c r="G3261" i="15" s="1"/>
  <c r="F3262" i="15"/>
  <c r="G3262" i="15" s="1"/>
  <c r="F3263" i="15"/>
  <c r="G3263" i="15" s="1"/>
  <c r="F3264" i="15"/>
  <c r="G3264" i="15" s="1"/>
  <c r="F3265" i="15"/>
  <c r="G3265" i="15" s="1"/>
  <c r="F3266" i="15"/>
  <c r="G3266" i="15" s="1"/>
  <c r="F3267" i="15"/>
  <c r="G3267" i="15" s="1"/>
  <c r="F3268" i="15"/>
  <c r="G3268" i="15" s="1"/>
  <c r="F3269" i="15"/>
  <c r="G3269" i="15" s="1"/>
  <c r="F3270" i="15"/>
  <c r="G3270" i="15" s="1"/>
  <c r="F3271" i="15"/>
  <c r="G3271" i="15" s="1"/>
  <c r="F3272" i="15"/>
  <c r="G3272" i="15" s="1"/>
  <c r="F3273" i="15"/>
  <c r="G3273" i="15" s="1"/>
  <c r="F3274" i="15"/>
  <c r="G3274" i="15" s="1"/>
  <c r="F3275" i="15"/>
  <c r="G3275" i="15" s="1"/>
  <c r="F3276" i="15"/>
  <c r="G3276" i="15" s="1"/>
  <c r="F3277" i="15"/>
  <c r="G3277" i="15" s="1"/>
  <c r="F3278" i="15"/>
  <c r="G3278" i="15" s="1"/>
  <c r="F3279" i="15"/>
  <c r="G3279" i="15" s="1"/>
  <c r="F3280" i="15"/>
  <c r="G3280" i="15" s="1"/>
  <c r="F3281" i="15"/>
  <c r="G3281" i="15" s="1"/>
  <c r="F3282" i="15"/>
  <c r="G3282" i="15" s="1"/>
  <c r="F3283" i="15"/>
  <c r="G3283" i="15" s="1"/>
  <c r="F3284" i="15"/>
  <c r="G3284" i="15" s="1"/>
  <c r="F3285" i="15"/>
  <c r="G3285" i="15" s="1"/>
  <c r="F3286" i="15"/>
  <c r="G3286" i="15" s="1"/>
  <c r="F3287" i="15"/>
  <c r="G3287" i="15" s="1"/>
  <c r="F3288" i="15"/>
  <c r="G3288" i="15" s="1"/>
  <c r="F3289" i="15"/>
  <c r="G3289" i="15" s="1"/>
  <c r="F3290" i="15"/>
  <c r="G3290" i="15" s="1"/>
  <c r="F3291" i="15"/>
  <c r="G3291" i="15" s="1"/>
  <c r="F3292" i="15"/>
  <c r="G3292" i="15" s="1"/>
  <c r="F3293" i="15"/>
  <c r="G3293" i="15" s="1"/>
  <c r="F3294" i="15"/>
  <c r="G3294" i="15" s="1"/>
  <c r="F3295" i="15"/>
  <c r="G3295" i="15" s="1"/>
  <c r="F3296" i="15"/>
  <c r="G3296" i="15" s="1"/>
  <c r="F3297" i="15"/>
  <c r="G3297" i="15" s="1"/>
  <c r="F3298" i="15"/>
  <c r="G3298" i="15" s="1"/>
  <c r="F3299" i="15"/>
  <c r="G3299" i="15" s="1"/>
  <c r="F3300" i="15"/>
  <c r="G3300" i="15" s="1"/>
  <c r="F3301" i="15"/>
  <c r="G3301" i="15" s="1"/>
  <c r="F3302" i="15"/>
  <c r="G3302" i="15" s="1"/>
  <c r="F3303" i="15"/>
  <c r="G3303" i="15" s="1"/>
  <c r="F3304" i="15"/>
  <c r="G3304" i="15" s="1"/>
  <c r="F3305" i="15"/>
  <c r="G3305" i="15" s="1"/>
  <c r="F3306" i="15"/>
  <c r="G3306" i="15" s="1"/>
  <c r="F3307" i="15"/>
  <c r="G3307" i="15" s="1"/>
  <c r="F3308" i="15"/>
  <c r="G3308" i="15" s="1"/>
  <c r="F3309" i="15"/>
  <c r="G3309" i="15" s="1"/>
  <c r="F3310" i="15"/>
  <c r="G3310" i="15" s="1"/>
  <c r="F3311" i="15"/>
  <c r="G3311" i="15" s="1"/>
  <c r="F3312" i="15"/>
  <c r="G3312" i="15" s="1"/>
  <c r="F3313" i="15"/>
  <c r="G3313" i="15" s="1"/>
  <c r="F3314" i="15"/>
  <c r="G3314" i="15" s="1"/>
  <c r="F3315" i="15"/>
  <c r="G3315" i="15" s="1"/>
  <c r="F3316" i="15"/>
  <c r="G3316" i="15" s="1"/>
  <c r="F3317" i="15"/>
  <c r="G3317" i="15" s="1"/>
  <c r="F3318" i="15"/>
  <c r="G3318" i="15" s="1"/>
  <c r="F3319" i="15"/>
  <c r="G3319" i="15" s="1"/>
  <c r="F3320" i="15"/>
  <c r="G3320" i="15" s="1"/>
  <c r="F3321" i="15"/>
  <c r="G3321" i="15" s="1"/>
  <c r="F3322" i="15"/>
  <c r="G3322" i="15" s="1"/>
  <c r="F3323" i="15"/>
  <c r="G3323" i="15" s="1"/>
  <c r="F3324" i="15"/>
  <c r="G3324" i="15" s="1"/>
  <c r="F3325" i="15"/>
  <c r="G3325" i="15" s="1"/>
  <c r="F3326" i="15"/>
  <c r="G3326" i="15" s="1"/>
  <c r="F3327" i="15"/>
  <c r="G3327" i="15" s="1"/>
  <c r="F3328" i="15"/>
  <c r="G3328" i="15" s="1"/>
  <c r="F3329" i="15"/>
  <c r="G3329" i="15" s="1"/>
  <c r="F3330" i="15"/>
  <c r="G3330" i="15" s="1"/>
  <c r="F3331" i="15"/>
  <c r="G3331" i="15" s="1"/>
  <c r="F3332" i="15"/>
  <c r="G3332" i="15" s="1"/>
  <c r="F3333" i="15"/>
  <c r="G3333" i="15" s="1"/>
  <c r="F3334" i="15"/>
  <c r="G3334" i="15" s="1"/>
  <c r="F3335" i="15"/>
  <c r="G3335" i="15" s="1"/>
  <c r="F3336" i="15"/>
  <c r="G3336" i="15" s="1"/>
  <c r="F3337" i="15"/>
  <c r="G3337" i="15" s="1"/>
  <c r="F3338" i="15"/>
  <c r="G3338" i="15" s="1"/>
  <c r="F3339" i="15"/>
  <c r="G3339" i="15" s="1"/>
  <c r="F3340" i="15"/>
  <c r="G3340" i="15" s="1"/>
  <c r="F3341" i="15"/>
  <c r="G3341" i="15" s="1"/>
  <c r="F3342" i="15"/>
  <c r="G3342" i="15" s="1"/>
  <c r="F3343" i="15"/>
  <c r="G3343" i="15" s="1"/>
  <c r="F3344" i="15"/>
  <c r="G3344" i="15" s="1"/>
  <c r="F3345" i="15"/>
  <c r="G3345" i="15" s="1"/>
  <c r="F3346" i="15"/>
  <c r="G3346" i="15" s="1"/>
  <c r="F3347" i="15"/>
  <c r="G3347" i="15" s="1"/>
  <c r="F3348" i="15"/>
  <c r="G3348" i="15" s="1"/>
  <c r="F3349" i="15"/>
  <c r="G3349" i="15" s="1"/>
  <c r="F3350" i="15"/>
  <c r="G3350" i="15" s="1"/>
  <c r="F3351" i="15"/>
  <c r="G3351" i="15" s="1"/>
  <c r="F3352" i="15"/>
  <c r="G3352" i="15" s="1"/>
  <c r="F3353" i="15"/>
  <c r="G3353" i="15" s="1"/>
  <c r="F3354" i="15"/>
  <c r="G3354" i="15" s="1"/>
  <c r="F3355" i="15"/>
  <c r="G3355" i="15" s="1"/>
  <c r="F3356" i="15"/>
  <c r="G3356" i="15" s="1"/>
  <c r="F3357" i="15"/>
  <c r="G3357" i="15" s="1"/>
  <c r="F3358" i="15"/>
  <c r="G3358" i="15" s="1"/>
  <c r="F3359" i="15"/>
  <c r="G3359" i="15" s="1"/>
  <c r="F3360" i="15"/>
  <c r="G3360" i="15" s="1"/>
  <c r="F3361" i="15"/>
  <c r="G3361" i="15" s="1"/>
  <c r="F3362" i="15"/>
  <c r="G3362" i="15" s="1"/>
  <c r="F3363" i="15"/>
  <c r="G3363" i="15" s="1"/>
  <c r="F3364" i="15"/>
  <c r="G3364" i="15" s="1"/>
  <c r="F3365" i="15"/>
  <c r="G3365" i="15" s="1"/>
  <c r="F3366" i="15"/>
  <c r="G3366" i="15" s="1"/>
  <c r="F3367" i="15"/>
  <c r="G3367" i="15" s="1"/>
  <c r="F3368" i="15"/>
  <c r="G3368" i="15" s="1"/>
  <c r="F3369" i="15"/>
  <c r="G3369" i="15" s="1"/>
  <c r="F3370" i="15"/>
  <c r="G3370" i="15" s="1"/>
  <c r="F3371" i="15"/>
  <c r="G3371" i="15" s="1"/>
  <c r="F3372" i="15"/>
  <c r="G3372" i="15" s="1"/>
  <c r="F3373" i="15"/>
  <c r="G3373" i="15" s="1"/>
  <c r="F3374" i="15"/>
  <c r="G3374" i="15" s="1"/>
  <c r="F3375" i="15"/>
  <c r="G3375" i="15" s="1"/>
  <c r="F3376" i="15"/>
  <c r="G3376" i="15" s="1"/>
  <c r="F3377" i="15"/>
  <c r="G3377" i="15" s="1"/>
  <c r="F3378" i="15"/>
  <c r="G3378" i="15" s="1"/>
  <c r="F3379" i="15"/>
  <c r="G3379" i="15" s="1"/>
  <c r="F3380" i="15"/>
  <c r="G3380" i="15" s="1"/>
  <c r="F3381" i="15"/>
  <c r="G3381" i="15" s="1"/>
  <c r="F3382" i="15"/>
  <c r="G3382" i="15" s="1"/>
  <c r="F3383" i="15"/>
  <c r="G3383" i="15" s="1"/>
  <c r="F3384" i="15"/>
  <c r="G3384" i="15" s="1"/>
  <c r="F3385" i="15"/>
  <c r="G3385" i="15" s="1"/>
  <c r="F3386" i="15"/>
  <c r="G3386" i="15" s="1"/>
  <c r="F3387" i="15"/>
  <c r="G3387" i="15" s="1"/>
  <c r="F3388" i="15"/>
  <c r="G3388" i="15" s="1"/>
  <c r="F3389" i="15"/>
  <c r="G3389" i="15" s="1"/>
  <c r="F3390" i="15"/>
  <c r="G3390" i="15" s="1"/>
  <c r="F3391" i="15"/>
  <c r="G3391" i="15" s="1"/>
  <c r="F3392" i="15"/>
  <c r="G3392" i="15" s="1"/>
  <c r="F3393" i="15"/>
  <c r="G3393" i="15" s="1"/>
  <c r="F3394" i="15"/>
  <c r="G3394" i="15" s="1"/>
  <c r="F3395" i="15"/>
  <c r="G3395" i="15" s="1"/>
  <c r="F3396" i="15"/>
  <c r="G3396" i="15" s="1"/>
  <c r="F3397" i="15"/>
  <c r="G3397" i="15" s="1"/>
  <c r="F3398" i="15"/>
  <c r="G3398" i="15" s="1"/>
  <c r="F3399" i="15"/>
  <c r="G3399" i="15" s="1"/>
  <c r="F3400" i="15"/>
  <c r="G3400" i="15" s="1"/>
  <c r="F3401" i="15"/>
  <c r="G3401" i="15" s="1"/>
  <c r="F3402" i="15"/>
  <c r="G3402" i="15" s="1"/>
  <c r="F3403" i="15"/>
  <c r="G3403" i="15" s="1"/>
  <c r="F3404" i="15"/>
  <c r="G3404" i="15" s="1"/>
  <c r="F3405" i="15"/>
  <c r="G3405" i="15" s="1"/>
  <c r="F3406" i="15"/>
  <c r="G3406" i="15" s="1"/>
  <c r="F3407" i="15"/>
  <c r="G3407" i="15" s="1"/>
  <c r="F3408" i="15"/>
  <c r="G3408" i="15" s="1"/>
  <c r="F3409" i="15"/>
  <c r="G3409" i="15" s="1"/>
  <c r="F3410" i="15"/>
  <c r="G3410" i="15" s="1"/>
  <c r="F3411" i="15"/>
  <c r="G3411" i="15" s="1"/>
  <c r="F3412" i="15"/>
  <c r="G3412" i="15" s="1"/>
  <c r="F3413" i="15"/>
  <c r="G3413" i="15" s="1"/>
  <c r="F3414" i="15"/>
  <c r="G3414" i="15" s="1"/>
  <c r="F3415" i="15"/>
  <c r="G3415" i="15" s="1"/>
  <c r="F3416" i="15"/>
  <c r="G3416" i="15" s="1"/>
  <c r="F3417" i="15"/>
  <c r="G3417" i="15" s="1"/>
  <c r="F3418" i="15"/>
  <c r="G3418" i="15" s="1"/>
  <c r="F3419" i="15"/>
  <c r="G3419" i="15" s="1"/>
  <c r="F3420" i="15"/>
  <c r="G3420" i="15" s="1"/>
  <c r="F3421" i="15"/>
  <c r="G3421" i="15" s="1"/>
  <c r="F3422" i="15"/>
  <c r="G3422" i="15" s="1"/>
  <c r="F3423" i="15"/>
  <c r="G3423" i="15" s="1"/>
  <c r="F3424" i="15"/>
  <c r="G3424" i="15" s="1"/>
  <c r="F3425" i="15"/>
  <c r="G3425" i="15" s="1"/>
  <c r="F3426" i="15"/>
  <c r="G3426" i="15" s="1"/>
  <c r="F3427" i="15"/>
  <c r="G3427" i="15" s="1"/>
  <c r="F3428" i="15"/>
  <c r="G3428" i="15" s="1"/>
  <c r="F3429" i="15"/>
  <c r="G3429" i="15" s="1"/>
  <c r="F3430" i="15"/>
  <c r="G3430" i="15" s="1"/>
  <c r="F3431" i="15"/>
  <c r="G3431" i="15" s="1"/>
  <c r="F3432" i="15"/>
  <c r="G3432" i="15" s="1"/>
  <c r="F3433" i="15"/>
  <c r="G3433" i="15" s="1"/>
  <c r="F3434" i="15"/>
  <c r="G3434" i="15" s="1"/>
  <c r="F3435" i="15"/>
  <c r="G3435" i="15" s="1"/>
  <c r="F3436" i="15"/>
  <c r="G3436" i="15" s="1"/>
  <c r="F3437" i="15"/>
  <c r="G3437" i="15" s="1"/>
  <c r="F3438" i="15"/>
  <c r="G3438" i="15" s="1"/>
  <c r="F3439" i="15"/>
  <c r="G3439" i="15" s="1"/>
  <c r="F3440" i="15"/>
  <c r="G3440" i="15" s="1"/>
  <c r="F3441" i="15"/>
  <c r="G3441" i="15" s="1"/>
  <c r="F3442" i="15"/>
  <c r="G3442" i="15" s="1"/>
  <c r="F3443" i="15"/>
  <c r="G3443" i="15" s="1"/>
  <c r="F3444" i="15"/>
  <c r="G3444" i="15" s="1"/>
  <c r="F3445" i="15"/>
  <c r="G3445" i="15" s="1"/>
  <c r="F3446" i="15"/>
  <c r="G3446" i="15" s="1"/>
  <c r="F3447" i="15"/>
  <c r="G3447" i="15" s="1"/>
  <c r="F3448" i="15"/>
  <c r="G3448" i="15" s="1"/>
  <c r="F3449" i="15"/>
  <c r="G3449" i="15" s="1"/>
  <c r="F3450" i="15"/>
  <c r="G3450" i="15" s="1"/>
  <c r="F3451" i="15"/>
  <c r="G3451" i="15" s="1"/>
  <c r="F3452" i="15"/>
  <c r="G3452" i="15" s="1"/>
  <c r="F3453" i="15"/>
  <c r="G3453" i="15" s="1"/>
  <c r="F3454" i="15"/>
  <c r="G3454" i="15" s="1"/>
  <c r="F3455" i="15"/>
  <c r="G3455" i="15" s="1"/>
  <c r="F3456" i="15"/>
  <c r="G3456" i="15" s="1"/>
  <c r="F3457" i="15"/>
  <c r="G3457" i="15" s="1"/>
  <c r="F3458" i="15"/>
  <c r="G3458" i="15" s="1"/>
  <c r="F3459" i="15"/>
  <c r="G3459" i="15" s="1"/>
  <c r="F3460" i="15"/>
  <c r="G3460" i="15" s="1"/>
  <c r="F3461" i="15"/>
  <c r="G3461" i="15" s="1"/>
  <c r="F3462" i="15"/>
  <c r="G3462" i="15" s="1"/>
  <c r="F3463" i="15"/>
  <c r="G3463" i="15" s="1"/>
  <c r="F3464" i="15"/>
  <c r="G3464" i="15" s="1"/>
  <c r="F3465" i="15"/>
  <c r="G3465" i="15" s="1"/>
  <c r="F3466" i="15"/>
  <c r="G3466" i="15" s="1"/>
  <c r="F3467" i="15"/>
  <c r="G3467" i="15" s="1"/>
  <c r="F3468" i="15"/>
  <c r="G3468" i="15" s="1"/>
  <c r="F3469" i="15"/>
  <c r="G3469" i="15" s="1"/>
  <c r="F3470" i="15"/>
  <c r="G3470" i="15" s="1"/>
  <c r="F3471" i="15"/>
  <c r="G3471" i="15" s="1"/>
  <c r="F3472" i="15"/>
  <c r="G3472" i="15" s="1"/>
  <c r="F3473" i="15"/>
  <c r="G3473" i="15" s="1"/>
  <c r="F3474" i="15"/>
  <c r="G3474" i="15" s="1"/>
  <c r="F3475" i="15"/>
  <c r="G3475" i="15" s="1"/>
  <c r="F3476" i="15"/>
  <c r="G3476" i="15" s="1"/>
  <c r="F3477" i="15"/>
  <c r="G3477" i="15" s="1"/>
  <c r="F3478" i="15"/>
  <c r="G3478" i="15" s="1"/>
  <c r="F3479" i="15"/>
  <c r="G3479" i="15" s="1"/>
  <c r="F3480" i="15"/>
  <c r="G3480" i="15" s="1"/>
  <c r="F3481" i="15"/>
  <c r="G3481" i="15" s="1"/>
  <c r="F3482" i="15"/>
  <c r="G3482" i="15" s="1"/>
  <c r="F3483" i="15"/>
  <c r="G3483" i="15" s="1"/>
  <c r="F3484" i="15"/>
  <c r="G3484" i="15" s="1"/>
  <c r="F3485" i="15"/>
  <c r="G3485" i="15" s="1"/>
  <c r="F3486" i="15"/>
  <c r="G3486" i="15" s="1"/>
  <c r="F3487" i="15"/>
  <c r="G3487" i="15" s="1"/>
  <c r="F3488" i="15"/>
  <c r="G3488" i="15" s="1"/>
  <c r="F3489" i="15"/>
  <c r="G3489" i="15" s="1"/>
  <c r="F3490" i="15"/>
  <c r="G3490" i="15" s="1"/>
  <c r="F3491" i="15"/>
  <c r="G3491" i="15" s="1"/>
  <c r="F3492" i="15"/>
  <c r="G3492" i="15" s="1"/>
  <c r="F3493" i="15"/>
  <c r="G3493" i="15" s="1"/>
  <c r="F3494" i="15"/>
  <c r="G3494" i="15" s="1"/>
  <c r="F3495" i="15"/>
  <c r="G3495" i="15" s="1"/>
  <c r="F3496" i="15"/>
  <c r="G3496" i="15" s="1"/>
  <c r="F3497" i="15"/>
  <c r="G3497" i="15" s="1"/>
  <c r="F3498" i="15"/>
  <c r="G3498" i="15" s="1"/>
  <c r="F3499" i="15"/>
  <c r="G3499" i="15" s="1"/>
  <c r="F3500" i="15"/>
  <c r="G3500" i="15" s="1"/>
  <c r="F3501" i="15"/>
  <c r="G3501" i="15" s="1"/>
  <c r="F3502" i="15"/>
  <c r="G3502" i="15" s="1"/>
  <c r="F3503" i="15"/>
  <c r="G3503" i="15" s="1"/>
  <c r="F3504" i="15"/>
  <c r="G3504" i="15" s="1"/>
  <c r="F3505" i="15"/>
  <c r="G3505" i="15" s="1"/>
  <c r="F3506" i="15"/>
  <c r="G3506" i="15" s="1"/>
  <c r="F3507" i="15"/>
  <c r="G3507" i="15" s="1"/>
  <c r="F3508" i="15"/>
  <c r="G3508" i="15" s="1"/>
  <c r="F3509" i="15"/>
  <c r="G3509" i="15" s="1"/>
  <c r="F3510" i="15"/>
  <c r="G3510" i="15" s="1"/>
  <c r="F3511" i="15"/>
  <c r="G3511" i="15" s="1"/>
  <c r="F3512" i="15"/>
  <c r="G3512" i="15" s="1"/>
  <c r="F3513" i="15"/>
  <c r="G3513" i="15" s="1"/>
  <c r="F3514" i="15"/>
  <c r="G3514" i="15" s="1"/>
  <c r="F3515" i="15"/>
  <c r="G3515" i="15" s="1"/>
  <c r="F3516" i="15"/>
  <c r="G3516" i="15" s="1"/>
  <c r="F3517" i="15"/>
  <c r="G3517" i="15" s="1"/>
  <c r="F3518" i="15"/>
  <c r="G3518" i="15" s="1"/>
  <c r="F3519" i="15"/>
  <c r="G3519" i="15" s="1"/>
  <c r="F3520" i="15"/>
  <c r="G3520" i="15" s="1"/>
  <c r="F3521" i="15"/>
  <c r="G3521" i="15" s="1"/>
  <c r="F3522" i="15"/>
  <c r="G3522" i="15" s="1"/>
  <c r="F3523" i="15"/>
  <c r="G3523" i="15" s="1"/>
  <c r="F3524" i="15"/>
  <c r="G3524" i="15" s="1"/>
  <c r="F3525" i="15"/>
  <c r="G3525" i="15" s="1"/>
  <c r="F3526" i="15"/>
  <c r="G3526" i="15" s="1"/>
  <c r="F3527" i="15"/>
  <c r="G3527" i="15" s="1"/>
  <c r="F3528" i="15"/>
  <c r="G3528" i="15" s="1"/>
  <c r="F3529" i="15"/>
  <c r="G3529" i="15" s="1"/>
  <c r="F3530" i="15"/>
  <c r="G3530" i="15" s="1"/>
  <c r="F3531" i="15"/>
  <c r="G3531" i="15" s="1"/>
  <c r="F3532" i="15"/>
  <c r="G3532" i="15" s="1"/>
  <c r="F3533" i="15"/>
  <c r="G3533" i="15" s="1"/>
  <c r="F3534" i="15"/>
  <c r="G3534" i="15" s="1"/>
  <c r="F3535" i="15"/>
  <c r="G3535" i="15" s="1"/>
  <c r="F3536" i="15"/>
  <c r="G3536" i="15" s="1"/>
  <c r="F3537" i="15"/>
  <c r="G3537" i="15" s="1"/>
  <c r="F3538" i="15"/>
  <c r="G3538" i="15" s="1"/>
  <c r="F3539" i="15"/>
  <c r="G3539" i="15" s="1"/>
  <c r="F3540" i="15"/>
  <c r="G3540" i="15" s="1"/>
  <c r="F3541" i="15"/>
  <c r="G3541" i="15" s="1"/>
  <c r="F3542" i="15"/>
  <c r="G3542" i="15" s="1"/>
  <c r="F3543" i="15"/>
  <c r="G3543" i="15" s="1"/>
  <c r="F3544" i="15"/>
  <c r="G3544" i="15" s="1"/>
  <c r="F3545" i="15"/>
  <c r="G3545" i="15" s="1"/>
  <c r="F3546" i="15"/>
  <c r="G3546" i="15" s="1"/>
  <c r="F3547" i="15"/>
  <c r="G3547" i="15" s="1"/>
  <c r="F3548" i="15"/>
  <c r="G3548" i="15" s="1"/>
  <c r="F3549" i="15"/>
  <c r="G3549" i="15" s="1"/>
  <c r="F3550" i="15"/>
  <c r="G3550" i="15" s="1"/>
  <c r="F3551" i="15"/>
  <c r="G3551" i="15" s="1"/>
  <c r="F3552" i="15"/>
  <c r="G3552" i="15" s="1"/>
  <c r="F3553" i="15"/>
  <c r="G3553" i="15" s="1"/>
  <c r="F3554" i="15"/>
  <c r="G3554" i="15" s="1"/>
  <c r="F3555" i="15"/>
  <c r="G3555" i="15" s="1"/>
  <c r="F3556" i="15"/>
  <c r="G3556" i="15" s="1"/>
  <c r="F3557" i="15"/>
  <c r="G3557" i="15" s="1"/>
  <c r="F3558" i="15"/>
  <c r="G3558" i="15" s="1"/>
  <c r="F3559" i="15"/>
  <c r="G3559" i="15" s="1"/>
  <c r="F3560" i="15"/>
  <c r="G3560" i="15" s="1"/>
  <c r="F3561" i="15"/>
  <c r="G3561" i="15" s="1"/>
  <c r="F3562" i="15"/>
  <c r="G3562" i="15" s="1"/>
  <c r="F3563" i="15"/>
  <c r="G3563" i="15" s="1"/>
  <c r="F3564" i="15"/>
  <c r="G3564" i="15" s="1"/>
  <c r="F3565" i="15"/>
  <c r="G3565" i="15" s="1"/>
  <c r="F3566" i="15"/>
  <c r="G3566" i="15" s="1"/>
  <c r="F3567" i="15"/>
  <c r="G3567" i="15" s="1"/>
  <c r="F3568" i="15"/>
  <c r="G3568" i="15" s="1"/>
  <c r="F3569" i="15"/>
  <c r="G3569" i="15" s="1"/>
  <c r="F3570" i="15"/>
  <c r="G3570" i="15" s="1"/>
  <c r="F3571" i="15"/>
  <c r="G3571" i="15" s="1"/>
  <c r="F3572" i="15"/>
  <c r="G3572" i="15" s="1"/>
  <c r="F3573" i="15"/>
  <c r="G3573" i="15" s="1"/>
  <c r="F3574" i="15"/>
  <c r="G3574" i="15" s="1"/>
  <c r="F3575" i="15"/>
  <c r="G3575" i="15" s="1"/>
  <c r="F3576" i="15"/>
  <c r="G3576" i="15" s="1"/>
  <c r="F3577" i="15"/>
  <c r="G3577" i="15" s="1"/>
  <c r="F3578" i="15"/>
  <c r="G3578" i="15" s="1"/>
  <c r="F3579" i="15"/>
  <c r="G3579" i="15" s="1"/>
  <c r="F3580" i="15"/>
  <c r="G3580" i="15" s="1"/>
  <c r="F3581" i="15"/>
  <c r="G3581" i="15" s="1"/>
  <c r="F3582" i="15"/>
  <c r="G3582" i="15" s="1"/>
  <c r="F3583" i="15"/>
  <c r="G3583" i="15" s="1"/>
  <c r="F3584" i="15"/>
  <c r="G3584" i="15" s="1"/>
  <c r="F3585" i="15"/>
  <c r="G3585" i="15" s="1"/>
  <c r="F3586" i="15"/>
  <c r="G3586" i="15" s="1"/>
  <c r="F3587" i="15"/>
  <c r="G3587" i="15" s="1"/>
  <c r="F3588" i="15"/>
  <c r="G3588" i="15" s="1"/>
  <c r="F3589" i="15"/>
  <c r="G3589" i="15" s="1"/>
  <c r="F3590" i="15"/>
  <c r="G3590" i="15" s="1"/>
  <c r="F3591" i="15"/>
  <c r="G3591" i="15" s="1"/>
  <c r="F3592" i="15"/>
  <c r="G3592" i="15" s="1"/>
  <c r="F3593" i="15"/>
  <c r="G3593" i="15" s="1"/>
  <c r="F3594" i="15"/>
  <c r="G3594" i="15" s="1"/>
  <c r="F3595" i="15"/>
  <c r="G3595" i="15" s="1"/>
  <c r="F3596" i="15"/>
  <c r="G3596" i="15" s="1"/>
  <c r="F3597" i="15"/>
  <c r="G3597" i="15" s="1"/>
  <c r="F3598" i="15"/>
  <c r="G3598" i="15" s="1"/>
  <c r="F3599" i="15"/>
  <c r="G3599" i="15" s="1"/>
  <c r="F3600" i="15"/>
  <c r="G3600" i="15" s="1"/>
  <c r="F3601" i="15"/>
  <c r="G3601" i="15" s="1"/>
  <c r="F3602" i="15"/>
  <c r="G3602" i="15" s="1"/>
  <c r="F3603" i="15"/>
  <c r="G3603" i="15" s="1"/>
  <c r="F3604" i="15"/>
  <c r="G3604" i="15" s="1"/>
  <c r="F3605" i="15"/>
  <c r="G3605" i="15" s="1"/>
  <c r="F3606" i="15"/>
  <c r="G3606" i="15" s="1"/>
  <c r="F3607" i="15"/>
  <c r="G3607" i="15" s="1"/>
  <c r="F3608" i="15"/>
  <c r="G3608" i="15" s="1"/>
  <c r="F3609" i="15"/>
  <c r="G3609" i="15" s="1"/>
  <c r="F3610" i="15"/>
  <c r="G3610" i="15" s="1"/>
  <c r="F3611" i="15"/>
  <c r="G3611" i="15" s="1"/>
  <c r="F3612" i="15"/>
  <c r="G3612" i="15" s="1"/>
  <c r="F3613" i="15"/>
  <c r="G3613" i="15" s="1"/>
  <c r="F3614" i="15"/>
  <c r="G3614" i="15" s="1"/>
  <c r="F3615" i="15"/>
  <c r="G3615" i="15" s="1"/>
  <c r="F3616" i="15"/>
  <c r="G3616" i="15" s="1"/>
  <c r="F3617" i="15"/>
  <c r="G3617" i="15" s="1"/>
  <c r="F3618" i="15"/>
  <c r="G3618" i="15" s="1"/>
  <c r="F3619" i="15"/>
  <c r="G3619" i="15" s="1"/>
  <c r="F3620" i="15"/>
  <c r="G3620" i="15" s="1"/>
  <c r="F3621" i="15"/>
  <c r="G3621" i="15" s="1"/>
  <c r="F3622" i="15"/>
  <c r="G3622" i="15" s="1"/>
  <c r="F3623" i="15"/>
  <c r="G3623" i="15" s="1"/>
  <c r="F3624" i="15"/>
  <c r="G3624" i="15" s="1"/>
  <c r="F3625" i="15"/>
  <c r="G3625" i="15" s="1"/>
  <c r="F3626" i="15"/>
  <c r="G3626" i="15" s="1"/>
  <c r="F3627" i="15"/>
  <c r="G3627" i="15" s="1"/>
  <c r="F3628" i="15"/>
  <c r="G3628" i="15" s="1"/>
  <c r="F3629" i="15"/>
  <c r="G3629" i="15" s="1"/>
  <c r="F3630" i="15"/>
  <c r="G3630" i="15" s="1"/>
  <c r="F3631" i="15"/>
  <c r="G3631" i="15" s="1"/>
  <c r="F3632" i="15"/>
  <c r="G3632" i="15" s="1"/>
  <c r="F3633" i="15"/>
  <c r="G3633" i="15" s="1"/>
  <c r="F3634" i="15"/>
  <c r="G3634" i="15" s="1"/>
  <c r="F3635" i="15"/>
  <c r="G3635" i="15" s="1"/>
  <c r="F3636" i="15"/>
  <c r="G3636" i="15" s="1"/>
  <c r="F3637" i="15"/>
  <c r="G3637" i="15" s="1"/>
  <c r="F3638" i="15"/>
  <c r="G3638" i="15" s="1"/>
  <c r="F3639" i="15"/>
  <c r="G3639" i="15" s="1"/>
  <c r="F3640" i="15"/>
  <c r="G3640" i="15" s="1"/>
  <c r="F3641" i="15"/>
  <c r="G3641" i="15" s="1"/>
  <c r="F3642" i="15"/>
  <c r="G3642" i="15" s="1"/>
  <c r="F3643" i="15"/>
  <c r="G3643" i="15" s="1"/>
  <c r="F3644" i="15"/>
  <c r="G3644" i="15" s="1"/>
  <c r="F3645" i="15"/>
  <c r="G3645" i="15" s="1"/>
  <c r="F3646" i="15"/>
  <c r="G3646" i="15" s="1"/>
  <c r="F3647" i="15"/>
  <c r="G3647" i="15" s="1"/>
  <c r="F3648" i="15"/>
  <c r="G3648" i="15" s="1"/>
  <c r="F3649" i="15"/>
  <c r="G3649" i="15" s="1"/>
  <c r="F3650" i="15"/>
  <c r="G3650" i="15" s="1"/>
  <c r="F3651" i="15"/>
  <c r="G3651" i="15" s="1"/>
  <c r="F3652" i="15"/>
  <c r="G3652" i="15" s="1"/>
  <c r="F3653" i="15"/>
  <c r="G3653" i="15" s="1"/>
  <c r="F3654" i="15"/>
  <c r="G3654" i="15" s="1"/>
  <c r="F3655" i="15"/>
  <c r="G3655" i="15" s="1"/>
  <c r="F3656" i="15"/>
  <c r="G3656" i="15" s="1"/>
  <c r="F3657" i="15"/>
  <c r="G3657" i="15" s="1"/>
  <c r="F3658" i="15"/>
  <c r="G3658" i="15" s="1"/>
  <c r="F3659" i="15"/>
  <c r="G3659" i="15" s="1"/>
  <c r="F3660" i="15"/>
  <c r="G3660" i="15" s="1"/>
  <c r="F3661" i="15"/>
  <c r="G3661" i="15" s="1"/>
  <c r="F3662" i="15"/>
  <c r="G3662" i="15" s="1"/>
  <c r="F3663" i="15"/>
  <c r="G3663" i="15" s="1"/>
  <c r="F3664" i="15"/>
  <c r="G3664" i="15" s="1"/>
  <c r="F3665" i="15"/>
  <c r="G3665" i="15" s="1"/>
  <c r="F3666" i="15"/>
  <c r="G3666" i="15" s="1"/>
  <c r="F3667" i="15"/>
  <c r="G3667" i="15" s="1"/>
  <c r="F3668" i="15"/>
  <c r="G3668" i="15" s="1"/>
  <c r="F3669" i="15"/>
  <c r="G3669" i="15" s="1"/>
  <c r="F3670" i="15"/>
  <c r="G3670" i="15" s="1"/>
  <c r="F3671" i="15"/>
  <c r="G3671" i="15" s="1"/>
  <c r="F3672" i="15"/>
  <c r="G3672" i="15" s="1"/>
  <c r="F3673" i="15"/>
  <c r="G3673" i="15" s="1"/>
  <c r="F3674" i="15"/>
  <c r="G3674" i="15" s="1"/>
  <c r="F3675" i="15"/>
  <c r="G3675" i="15" s="1"/>
  <c r="F3676" i="15"/>
  <c r="G3676" i="15" s="1"/>
  <c r="F3677" i="15"/>
  <c r="G3677" i="15" s="1"/>
  <c r="F3678" i="15"/>
  <c r="G3678" i="15" s="1"/>
  <c r="F3679" i="15"/>
  <c r="G3679" i="15" s="1"/>
  <c r="F3680" i="15"/>
  <c r="G3680" i="15" s="1"/>
  <c r="F3681" i="15"/>
  <c r="G3681" i="15" s="1"/>
  <c r="F3682" i="15"/>
  <c r="G3682" i="15" s="1"/>
  <c r="F3683" i="15"/>
  <c r="G3683" i="15" s="1"/>
  <c r="F3684" i="15"/>
  <c r="G3684" i="15" s="1"/>
  <c r="F3685" i="15"/>
  <c r="G3685" i="15" s="1"/>
  <c r="F3686" i="15"/>
  <c r="G3686" i="15" s="1"/>
  <c r="F3687" i="15"/>
  <c r="G3687" i="15" s="1"/>
  <c r="F3688" i="15"/>
  <c r="G3688" i="15" s="1"/>
  <c r="F3689" i="15"/>
  <c r="G3689" i="15" s="1"/>
  <c r="F3690" i="15"/>
  <c r="G3690" i="15" s="1"/>
  <c r="F3691" i="15"/>
  <c r="G3691" i="15" s="1"/>
  <c r="F3692" i="15"/>
  <c r="G3692" i="15" s="1"/>
  <c r="F3693" i="15"/>
  <c r="G3693" i="15" s="1"/>
  <c r="F3694" i="15"/>
  <c r="G3694" i="15" s="1"/>
  <c r="F3695" i="15"/>
  <c r="G3695" i="15" s="1"/>
  <c r="F3696" i="15"/>
  <c r="G3696" i="15" s="1"/>
  <c r="F3697" i="15"/>
  <c r="G3697" i="15" s="1"/>
  <c r="F3698" i="15"/>
  <c r="G3698" i="15" s="1"/>
  <c r="F3699" i="15"/>
  <c r="G3699" i="15" s="1"/>
  <c r="F3700" i="15"/>
  <c r="G3700" i="15" s="1"/>
  <c r="F3701" i="15"/>
  <c r="G3701" i="15" s="1"/>
  <c r="F3702" i="15"/>
  <c r="G3702" i="15" s="1"/>
  <c r="F3703" i="15"/>
  <c r="G3703" i="15" s="1"/>
  <c r="F3704" i="15"/>
  <c r="G3704" i="15" s="1"/>
  <c r="F3705" i="15"/>
  <c r="G3705" i="15" s="1"/>
  <c r="F3706" i="15"/>
  <c r="G3706" i="15" s="1"/>
  <c r="F3707" i="15"/>
  <c r="G3707" i="15" s="1"/>
  <c r="F3708" i="15"/>
  <c r="G3708" i="15" s="1"/>
  <c r="F3709" i="15"/>
  <c r="G3709" i="15" s="1"/>
  <c r="F3710" i="15"/>
  <c r="G3710" i="15" s="1"/>
  <c r="F3711" i="15"/>
  <c r="G3711" i="15" s="1"/>
  <c r="F3712" i="15"/>
  <c r="G3712" i="15" s="1"/>
  <c r="F3713" i="15"/>
  <c r="G3713" i="15" s="1"/>
  <c r="F3714" i="15"/>
  <c r="G3714" i="15" s="1"/>
  <c r="F3715" i="15"/>
  <c r="G3715" i="15" s="1"/>
  <c r="F3716" i="15"/>
  <c r="G3716" i="15" s="1"/>
  <c r="F3717" i="15"/>
  <c r="G3717" i="15" s="1"/>
  <c r="F3718" i="15"/>
  <c r="G3718" i="15" s="1"/>
  <c r="F3719" i="15"/>
  <c r="G3719" i="15" s="1"/>
  <c r="F3720" i="15"/>
  <c r="G3720" i="15" s="1"/>
  <c r="F3721" i="15"/>
  <c r="G3721" i="15" s="1"/>
  <c r="F3722" i="15"/>
  <c r="G3722" i="15" s="1"/>
  <c r="F3723" i="15"/>
  <c r="G3723" i="15" s="1"/>
  <c r="F3724" i="15"/>
  <c r="G3724" i="15" s="1"/>
  <c r="F3725" i="15"/>
  <c r="G3725" i="15" s="1"/>
  <c r="F3726" i="15"/>
  <c r="G3726" i="15" s="1"/>
  <c r="F3727" i="15"/>
  <c r="G3727" i="15" s="1"/>
  <c r="F3728" i="15"/>
  <c r="G3728" i="15" s="1"/>
  <c r="F3729" i="15"/>
  <c r="G3729" i="15" s="1"/>
  <c r="F3730" i="15"/>
  <c r="G3730" i="15" s="1"/>
  <c r="F3731" i="15"/>
  <c r="G3731" i="15" s="1"/>
  <c r="F3732" i="15"/>
  <c r="G3732" i="15" s="1"/>
  <c r="F3733" i="15"/>
  <c r="G3733" i="15" s="1"/>
  <c r="F3734" i="15"/>
  <c r="G3734" i="15" s="1"/>
  <c r="F3735" i="15"/>
  <c r="G3735" i="15" s="1"/>
  <c r="F3736" i="15"/>
  <c r="G3736" i="15" s="1"/>
  <c r="F3737" i="15"/>
  <c r="G3737" i="15" s="1"/>
  <c r="F3738" i="15"/>
  <c r="G3738" i="15" s="1"/>
  <c r="F3739" i="15"/>
  <c r="G3739" i="15" s="1"/>
  <c r="F3740" i="15"/>
  <c r="G3740" i="15" s="1"/>
  <c r="F3741" i="15"/>
  <c r="G3741" i="15" s="1"/>
  <c r="F3742" i="15"/>
  <c r="G3742" i="15" s="1"/>
  <c r="F3743" i="15"/>
  <c r="G3743" i="15" s="1"/>
  <c r="F3744" i="15"/>
  <c r="G3744" i="15" s="1"/>
  <c r="F3745" i="15"/>
  <c r="G3745" i="15" s="1"/>
  <c r="F3746" i="15"/>
  <c r="G3746" i="15" s="1"/>
  <c r="F3747" i="15"/>
  <c r="G3747" i="15" s="1"/>
  <c r="F3748" i="15"/>
  <c r="G3748" i="15" s="1"/>
  <c r="F3749" i="15"/>
  <c r="G3749" i="15" s="1"/>
  <c r="F3750" i="15"/>
  <c r="G3750" i="15" s="1"/>
  <c r="F3751" i="15"/>
  <c r="G3751" i="15" s="1"/>
  <c r="F3752" i="15"/>
  <c r="G3752" i="15" s="1"/>
  <c r="F3753" i="15"/>
  <c r="G3753" i="15" s="1"/>
  <c r="F3754" i="15"/>
  <c r="G3754" i="15" s="1"/>
  <c r="F3755" i="15"/>
  <c r="G3755" i="15" s="1"/>
  <c r="F3756" i="15"/>
  <c r="G3756" i="15" s="1"/>
  <c r="F3757" i="15"/>
  <c r="G3757" i="15" s="1"/>
  <c r="F3758" i="15"/>
  <c r="G3758" i="15" s="1"/>
  <c r="F3759" i="15"/>
  <c r="G3759" i="15" s="1"/>
  <c r="F3760" i="15"/>
  <c r="G3760" i="15" s="1"/>
  <c r="F3761" i="15"/>
  <c r="G3761" i="15" s="1"/>
  <c r="F3762" i="15"/>
  <c r="G3762" i="15" s="1"/>
  <c r="F3763" i="15"/>
  <c r="G3763" i="15" s="1"/>
  <c r="F3764" i="15"/>
  <c r="G3764" i="15" s="1"/>
  <c r="F3765" i="15"/>
  <c r="G3765" i="15" s="1"/>
  <c r="F3766" i="15"/>
  <c r="G3766" i="15" s="1"/>
  <c r="F3767" i="15"/>
  <c r="G3767" i="15" s="1"/>
  <c r="F3768" i="15"/>
  <c r="G3768" i="15" s="1"/>
  <c r="F3769" i="15"/>
  <c r="G3769" i="15" s="1"/>
  <c r="F3770" i="15"/>
  <c r="G3770" i="15" s="1"/>
  <c r="F3771" i="15"/>
  <c r="G3771" i="15" s="1"/>
  <c r="F3772" i="15"/>
  <c r="G3772" i="15" s="1"/>
  <c r="F3773" i="15"/>
  <c r="G3773" i="15" s="1"/>
  <c r="F3774" i="15"/>
  <c r="G3774" i="15" s="1"/>
  <c r="F3775" i="15"/>
  <c r="G3775" i="15" s="1"/>
  <c r="F3776" i="15"/>
  <c r="G3776" i="15" s="1"/>
  <c r="F3777" i="15"/>
  <c r="G3777" i="15" s="1"/>
  <c r="F3778" i="15"/>
  <c r="G3778" i="15" s="1"/>
  <c r="F3779" i="15"/>
  <c r="G3779" i="15" s="1"/>
  <c r="F3780" i="15"/>
  <c r="G3780" i="15" s="1"/>
  <c r="F3781" i="15"/>
  <c r="G3781" i="15" s="1"/>
  <c r="F3782" i="15"/>
  <c r="G3782" i="15" s="1"/>
  <c r="F3783" i="15"/>
  <c r="G3783" i="15" s="1"/>
  <c r="F3784" i="15"/>
  <c r="G3784" i="15" s="1"/>
  <c r="F3785" i="15"/>
  <c r="G3785" i="15" s="1"/>
  <c r="F3786" i="15"/>
  <c r="G3786" i="15" s="1"/>
  <c r="F3787" i="15"/>
  <c r="G3787" i="15" s="1"/>
  <c r="F3788" i="15"/>
  <c r="G3788" i="15" s="1"/>
  <c r="F3789" i="15"/>
  <c r="G3789" i="15" s="1"/>
  <c r="F3790" i="15"/>
  <c r="G3790" i="15" s="1"/>
  <c r="F3791" i="15"/>
  <c r="G3791" i="15" s="1"/>
  <c r="F3792" i="15"/>
  <c r="G3792" i="15" s="1"/>
  <c r="F3793" i="15"/>
  <c r="G3793" i="15" s="1"/>
  <c r="F3794" i="15"/>
  <c r="G3794" i="15" s="1"/>
  <c r="F3795" i="15"/>
  <c r="G3795" i="15" s="1"/>
  <c r="F3796" i="15"/>
  <c r="G3796" i="15" s="1"/>
  <c r="F3797" i="15"/>
  <c r="G3797" i="15" s="1"/>
  <c r="F3798" i="15"/>
  <c r="G3798" i="15" s="1"/>
  <c r="F3799" i="15"/>
  <c r="G3799" i="15" s="1"/>
  <c r="F3800" i="15"/>
  <c r="G3800" i="15" s="1"/>
  <c r="F3801" i="15"/>
  <c r="G3801" i="15" s="1"/>
  <c r="F3802" i="15"/>
  <c r="G3802" i="15" s="1"/>
  <c r="F3803" i="15"/>
  <c r="G3803" i="15" s="1"/>
  <c r="F3804" i="15"/>
  <c r="G3804" i="15" s="1"/>
  <c r="F3805" i="15"/>
  <c r="G3805" i="15" s="1"/>
  <c r="F3806" i="15"/>
  <c r="G3806" i="15" s="1"/>
  <c r="F3807" i="15"/>
  <c r="G3807" i="15" s="1"/>
  <c r="F3808" i="15"/>
  <c r="G3808" i="15" s="1"/>
  <c r="F3809" i="15"/>
  <c r="G3809" i="15" s="1"/>
  <c r="F3810" i="15"/>
  <c r="G3810" i="15" s="1"/>
  <c r="F3811" i="15"/>
  <c r="G3811" i="15" s="1"/>
  <c r="F3812" i="15"/>
  <c r="G3812" i="15" s="1"/>
  <c r="F3813" i="15"/>
  <c r="G3813" i="15" s="1"/>
  <c r="F3814" i="15"/>
  <c r="G3814" i="15" s="1"/>
  <c r="F3815" i="15"/>
  <c r="G3815" i="15" s="1"/>
  <c r="F3816" i="15"/>
  <c r="G3816" i="15" s="1"/>
  <c r="F3817" i="15"/>
  <c r="G3817" i="15" s="1"/>
  <c r="F3818" i="15"/>
  <c r="G3818" i="15" s="1"/>
  <c r="F3" i="14"/>
  <c r="G3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F10" i="14"/>
  <c r="G10" i="14" s="1"/>
  <c r="G11" i="14"/>
  <c r="F12" i="14"/>
  <c r="G12" i="14" s="1"/>
  <c r="F13" i="14"/>
  <c r="G13" i="14" s="1"/>
  <c r="F14" i="14"/>
  <c r="G14" i="14" s="1"/>
  <c r="F15" i="14"/>
  <c r="G15" i="14" s="1"/>
  <c r="F16" i="14"/>
  <c r="G16" i="14" s="1"/>
  <c r="F17" i="14"/>
  <c r="G17" i="14" s="1"/>
  <c r="F18" i="14"/>
  <c r="G18" i="14" s="1"/>
  <c r="F19" i="14"/>
  <c r="G19" i="14" s="1"/>
  <c r="F20" i="14"/>
  <c r="G20" i="1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F118" i="14"/>
  <c r="G118" i="14" s="1"/>
  <c r="F119" i="14"/>
  <c r="G119" i="14" s="1"/>
  <c r="F120" i="14"/>
  <c r="G120" i="14" s="1"/>
  <c r="F121" i="14"/>
  <c r="G121" i="14" s="1"/>
  <c r="F122" i="14"/>
  <c r="G122" i="14" s="1"/>
  <c r="F123" i="14"/>
  <c r="G123" i="14" s="1"/>
  <c r="F124" i="14"/>
  <c r="G124" i="14" s="1"/>
  <c r="F125" i="14"/>
  <c r="G125" i="14" s="1"/>
  <c r="F126" i="14"/>
  <c r="G126" i="14" s="1"/>
  <c r="F127" i="14"/>
  <c r="G127" i="14" s="1"/>
  <c r="F128" i="14"/>
  <c r="G128" i="14" s="1"/>
  <c r="F129" i="14"/>
  <c r="G129" i="14" s="1"/>
  <c r="F130" i="14"/>
  <c r="G130" i="1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F179" i="14"/>
  <c r="G179" i="14" s="1"/>
  <c r="F180" i="14"/>
  <c r="G180" i="14" s="1"/>
  <c r="F181" i="14"/>
  <c r="G181" i="14" s="1"/>
  <c r="F182" i="14"/>
  <c r="G182" i="14" s="1"/>
  <c r="F183" i="14"/>
  <c r="G183" i="14" s="1"/>
  <c r="F184" i="14"/>
  <c r="G184" i="14" s="1"/>
  <c r="F185" i="14"/>
  <c r="G185" i="1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F194" i="14"/>
  <c r="G194" i="1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F227" i="14"/>
  <c r="G227" i="14" s="1"/>
  <c r="F228" i="14"/>
  <c r="G228" i="14" s="1"/>
  <c r="F229" i="14"/>
  <c r="G229" i="14" s="1"/>
  <c r="F230" i="14"/>
  <c r="G230" i="14" s="1"/>
  <c r="F231" i="14"/>
  <c r="G231" i="14" s="1"/>
  <c r="F232" i="14"/>
  <c r="G232" i="14" s="1"/>
  <c r="F233" i="14"/>
  <c r="G233" i="14" s="1"/>
  <c r="F234" i="14"/>
  <c r="G234" i="14" s="1"/>
  <c r="F235" i="14"/>
  <c r="G235" i="14" s="1"/>
  <c r="F236" i="14"/>
  <c r="G236" i="14" s="1"/>
  <c r="F237" i="14"/>
  <c r="G237" i="14" s="1"/>
  <c r="F238" i="14"/>
  <c r="G238" i="14" s="1"/>
  <c r="F239" i="14"/>
  <c r="G239" i="1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F254" i="14"/>
  <c r="G254" i="14" s="1"/>
  <c r="F255" i="14"/>
  <c r="G255" i="14" s="1"/>
  <c r="F256" i="14"/>
  <c r="G256" i="14" s="1"/>
  <c r="F257" i="14"/>
  <c r="G257" i="14" s="1"/>
  <c r="F258" i="14"/>
  <c r="G258" i="14" s="1"/>
  <c r="F259" i="14"/>
  <c r="G259" i="14" s="1"/>
  <c r="F260" i="14"/>
  <c r="G260" i="14" s="1"/>
  <c r="F261" i="14"/>
  <c r="G261" i="14" s="1"/>
  <c r="F262" i="14"/>
  <c r="G262" i="14" s="1"/>
  <c r="F263" i="14"/>
  <c r="G263" i="14" s="1"/>
  <c r="F264" i="14"/>
  <c r="G264" i="14" s="1"/>
  <c r="F265" i="14"/>
  <c r="G265" i="14" s="1"/>
  <c r="F266" i="14"/>
  <c r="G266" i="14" s="1"/>
  <c r="F267" i="14"/>
  <c r="G267" i="14" s="1"/>
  <c r="F268" i="14"/>
  <c r="G268" i="14" s="1"/>
  <c r="F269" i="14"/>
  <c r="G269" i="14" s="1"/>
  <c r="F270" i="14"/>
  <c r="G270" i="14" s="1"/>
  <c r="F271" i="14"/>
  <c r="G271" i="14" s="1"/>
  <c r="F272" i="14"/>
  <c r="G272" i="14" s="1"/>
  <c r="F273" i="14"/>
  <c r="G273" i="14" s="1"/>
  <c r="F274" i="14"/>
  <c r="G274" i="14" s="1"/>
  <c r="F275" i="14"/>
  <c r="G275" i="14" s="1"/>
  <c r="F276" i="14"/>
  <c r="G276" i="14" s="1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F284" i="14"/>
  <c r="G284" i="14" s="1"/>
  <c r="F285" i="14"/>
  <c r="G285" i="14" s="1"/>
  <c r="F286" i="14"/>
  <c r="G286" i="14" s="1"/>
  <c r="F287" i="14"/>
  <c r="G287" i="14" s="1"/>
  <c r="F288" i="14"/>
  <c r="G288" i="14" s="1"/>
  <c r="F289" i="14"/>
  <c r="G289" i="14" s="1"/>
  <c r="F290" i="14"/>
  <c r="G290" i="14" s="1"/>
  <c r="F291" i="14"/>
  <c r="G291" i="14" s="1"/>
  <c r="F292" i="14"/>
  <c r="G292" i="14" s="1"/>
  <c r="F293" i="14"/>
  <c r="G293" i="14" s="1"/>
  <c r="F294" i="14"/>
  <c r="G294" i="14" s="1"/>
  <c r="F295" i="14"/>
  <c r="G295" i="14" s="1"/>
  <c r="F296" i="14"/>
  <c r="G296" i="14" s="1"/>
  <c r="F297" i="14"/>
  <c r="G297" i="1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F314" i="14"/>
  <c r="G314" i="14" s="1"/>
  <c r="F315" i="14"/>
  <c r="G315" i="14" s="1"/>
  <c r="F316" i="14"/>
  <c r="G316" i="14" s="1"/>
  <c r="F317" i="14"/>
  <c r="G317" i="14" s="1"/>
  <c r="F318" i="14"/>
  <c r="G318" i="14" s="1"/>
  <c r="F319" i="14"/>
  <c r="G319" i="14" s="1"/>
  <c r="F320" i="14"/>
  <c r="G320" i="14" s="1"/>
  <c r="F321" i="14"/>
  <c r="G321" i="14" s="1"/>
  <c r="F322" i="14"/>
  <c r="G322" i="14" s="1"/>
  <c r="F323" i="14"/>
  <c r="G323" i="1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F330" i="14"/>
  <c r="G330" i="14" s="1"/>
  <c r="F331" i="14"/>
  <c r="G331" i="14" s="1"/>
  <c r="F332" i="14"/>
  <c r="G332" i="14" s="1"/>
  <c r="F333" i="14"/>
  <c r="G333" i="14" s="1"/>
  <c r="F334" i="14"/>
  <c r="G334" i="14" s="1"/>
  <c r="F335" i="14"/>
  <c r="G335" i="14" s="1"/>
  <c r="F336" i="14"/>
  <c r="G336" i="14" s="1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F343" i="14"/>
  <c r="G343" i="14" s="1"/>
  <c r="F344" i="14"/>
  <c r="G344" i="14" s="1"/>
  <c r="F345" i="14"/>
  <c r="G345" i="14" s="1"/>
  <c r="F346" i="14"/>
  <c r="G346" i="14" s="1"/>
  <c r="F347" i="14"/>
  <c r="G347" i="14" s="1"/>
  <c r="F348" i="14"/>
  <c r="G348" i="14" s="1"/>
  <c r="F349" i="14"/>
  <c r="G349" i="14" s="1"/>
  <c r="F350" i="14"/>
  <c r="G350" i="14" s="1"/>
  <c r="F351" i="14"/>
  <c r="G351" i="14" s="1"/>
  <c r="F352" i="14"/>
  <c r="G352" i="14" s="1"/>
  <c r="F353" i="14"/>
  <c r="G353" i="14" s="1"/>
  <c r="F354" i="14"/>
  <c r="G354" i="14" s="1"/>
  <c r="F355" i="14"/>
  <c r="G355" i="14" s="1"/>
  <c r="F356" i="14"/>
  <c r="G356" i="14" s="1"/>
  <c r="F357" i="14"/>
  <c r="G357" i="14" s="1"/>
  <c r="F358" i="14"/>
  <c r="G358" i="14" s="1"/>
  <c r="F359" i="14"/>
  <c r="G359" i="14" s="1"/>
  <c r="F360" i="14"/>
  <c r="G360" i="14" s="1"/>
  <c r="F361" i="14"/>
  <c r="G361" i="14" s="1"/>
  <c r="F362" i="14"/>
  <c r="G362" i="14" s="1"/>
  <c r="F363" i="14"/>
  <c r="G363" i="14" s="1"/>
  <c r="F364" i="14"/>
  <c r="G364" i="14" s="1"/>
  <c r="F365" i="14"/>
  <c r="G365" i="14" s="1"/>
  <c r="F366" i="14"/>
  <c r="G366" i="1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F373" i="14"/>
  <c r="G373" i="14" s="1"/>
  <c r="F374" i="14"/>
  <c r="G374" i="14" s="1"/>
  <c r="F375" i="14"/>
  <c r="G375" i="14" s="1"/>
  <c r="F376" i="14"/>
  <c r="G376" i="14" s="1"/>
  <c r="F377" i="14"/>
  <c r="G377" i="14" s="1"/>
  <c r="F378" i="14"/>
  <c r="G378" i="1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F405" i="14"/>
  <c r="G405" i="14" s="1"/>
  <c r="F406" i="14"/>
  <c r="G406" i="14" s="1"/>
  <c r="F407" i="14"/>
  <c r="G407" i="14" s="1"/>
  <c r="F408" i="14"/>
  <c r="G408" i="14" s="1"/>
  <c r="F409" i="14"/>
  <c r="G409" i="1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F422" i="14"/>
  <c r="G422" i="14" s="1"/>
  <c r="F423" i="14"/>
  <c r="G423" i="14" s="1"/>
  <c r="F424" i="14"/>
  <c r="G424" i="14" s="1"/>
  <c r="F425" i="14"/>
  <c r="G425" i="14" s="1"/>
  <c r="F426" i="14"/>
  <c r="G426" i="14" s="1"/>
  <c r="F427" i="14"/>
  <c r="G427" i="14" s="1"/>
  <c r="F428" i="14"/>
  <c r="G428" i="14" s="1"/>
  <c r="F429" i="14"/>
  <c r="G429" i="14" s="1"/>
  <c r="F430" i="14"/>
  <c r="G430" i="14" s="1"/>
  <c r="F431" i="14"/>
  <c r="G431" i="14" s="1"/>
  <c r="F432" i="14"/>
  <c r="G432" i="14" s="1"/>
  <c r="F433" i="14"/>
  <c r="G433" i="1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F449" i="14"/>
  <c r="G449" i="14" s="1"/>
  <c r="F450" i="14"/>
  <c r="G450" i="14" s="1"/>
  <c r="F451" i="14"/>
  <c r="G451" i="14" s="1"/>
  <c r="F452" i="14"/>
  <c r="G452" i="14" s="1"/>
  <c r="F453" i="14"/>
  <c r="G453" i="14" s="1"/>
  <c r="F454" i="14"/>
  <c r="G454" i="14" s="1"/>
  <c r="F455" i="14"/>
  <c r="G455" i="14" s="1"/>
  <c r="F456" i="14"/>
  <c r="G456" i="14" s="1"/>
  <c r="F457" i="14"/>
  <c r="G457" i="14" s="1"/>
  <c r="F458" i="14"/>
  <c r="G458" i="14" s="1"/>
  <c r="F459" i="14"/>
  <c r="G459" i="14" s="1"/>
  <c r="F460" i="14"/>
  <c r="G460" i="14" s="1"/>
  <c r="F461" i="14"/>
  <c r="G461" i="1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F502" i="14"/>
  <c r="G502" i="14" s="1"/>
  <c r="F503" i="14"/>
  <c r="G503" i="14" s="1"/>
  <c r="F504" i="14"/>
  <c r="G504" i="14" s="1"/>
  <c r="F505" i="14"/>
  <c r="G505" i="14" s="1"/>
  <c r="F506" i="14"/>
  <c r="G506" i="14" s="1"/>
  <c r="F507" i="14"/>
  <c r="G507" i="14" s="1"/>
  <c r="F508" i="14"/>
  <c r="G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F514" i="14"/>
  <c r="G514" i="14" s="1"/>
  <c r="F515" i="14"/>
  <c r="G515" i="14" s="1"/>
  <c r="F516" i="14"/>
  <c r="G516" i="1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F525" i="14"/>
  <c r="G525" i="14" s="1"/>
  <c r="F526" i="14"/>
  <c r="G526" i="14" s="1"/>
  <c r="F527" i="14"/>
  <c r="G527" i="1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F535" i="14"/>
  <c r="G535" i="14" s="1"/>
  <c r="F536" i="14"/>
  <c r="G536" i="14" s="1"/>
  <c r="F537" i="14"/>
  <c r="G537" i="14" s="1"/>
  <c r="F538" i="14"/>
  <c r="G538" i="14" s="1"/>
  <c r="F539" i="14"/>
  <c r="G539" i="14" s="1"/>
  <c r="F540" i="14"/>
  <c r="G540" i="14" s="1"/>
  <c r="F541" i="14"/>
  <c r="G541" i="14" s="1"/>
  <c r="F542" i="14"/>
  <c r="G542" i="14" s="1"/>
  <c r="F543" i="14"/>
  <c r="G543" i="14" s="1"/>
  <c r="F544" i="14"/>
  <c r="G544" i="14" s="1"/>
  <c r="F545" i="14"/>
  <c r="G545" i="14" s="1"/>
  <c r="F546" i="14"/>
  <c r="G546" i="14" s="1"/>
  <c r="F547" i="14"/>
  <c r="G547" i="14" s="1"/>
  <c r="F548" i="14"/>
  <c r="G548" i="14" s="1"/>
  <c r="F549" i="14"/>
  <c r="G549" i="14" s="1"/>
  <c r="F550" i="14"/>
  <c r="G550" i="14" s="1"/>
  <c r="F551" i="14"/>
  <c r="G551" i="14" s="1"/>
  <c r="F552" i="14"/>
  <c r="G552" i="14" s="1"/>
  <c r="F553" i="14"/>
  <c r="G553" i="14" s="1"/>
  <c r="F554" i="14"/>
  <c r="G554" i="14" s="1"/>
  <c r="F555" i="14"/>
  <c r="G555" i="14" s="1"/>
  <c r="F556" i="14"/>
  <c r="G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F562" i="14"/>
  <c r="G562" i="14" s="1"/>
  <c r="F563" i="14"/>
  <c r="G563" i="14" s="1"/>
  <c r="F564" i="14"/>
  <c r="G564" i="14" s="1"/>
  <c r="F565" i="14"/>
  <c r="G565" i="14" s="1"/>
  <c r="F566" i="14"/>
  <c r="G566" i="14" s="1"/>
  <c r="F567" i="14"/>
  <c r="G567" i="14" s="1"/>
  <c r="F568" i="14"/>
  <c r="G568" i="14" s="1"/>
  <c r="F569" i="14"/>
  <c r="G569" i="14" s="1"/>
  <c r="F570" i="14"/>
  <c r="G570" i="14" s="1"/>
  <c r="F571" i="14"/>
  <c r="G571" i="14" s="1"/>
  <c r="F572" i="14"/>
  <c r="G572" i="14" s="1"/>
  <c r="F573" i="14"/>
  <c r="G573" i="14" s="1"/>
  <c r="F574" i="14"/>
  <c r="G574" i="14" s="1"/>
  <c r="F575" i="14"/>
  <c r="G575" i="14" s="1"/>
  <c r="F576" i="14"/>
  <c r="G576" i="14" s="1"/>
  <c r="F577" i="14"/>
  <c r="G577" i="14" s="1"/>
  <c r="F578" i="14"/>
  <c r="G578" i="1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F585" i="14"/>
  <c r="G585" i="14" s="1"/>
  <c r="F586" i="14"/>
  <c r="G586" i="14" s="1"/>
  <c r="F587" i="14"/>
  <c r="G587" i="14" s="1"/>
  <c r="F588" i="14"/>
  <c r="G588" i="14" s="1"/>
  <c r="F589" i="14"/>
  <c r="G589" i="14" s="1"/>
  <c r="F590" i="14"/>
  <c r="G590" i="14" s="1"/>
  <c r="F591" i="14"/>
  <c r="G591" i="1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F598" i="14"/>
  <c r="G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F627" i="14"/>
  <c r="G627" i="14" s="1"/>
  <c r="F628" i="14"/>
  <c r="G628" i="14" s="1"/>
  <c r="F629" i="14"/>
  <c r="G629" i="14" s="1"/>
  <c r="F630" i="14"/>
  <c r="G630" i="14" s="1"/>
  <c r="F631" i="14"/>
  <c r="G631" i="14" s="1"/>
  <c r="F632" i="14"/>
  <c r="G632" i="14" s="1"/>
  <c r="F633" i="14"/>
  <c r="G633" i="14" s="1"/>
  <c r="F634" i="14"/>
  <c r="G634" i="14" s="1"/>
  <c r="F635" i="14"/>
  <c r="G635" i="14" s="1"/>
  <c r="F636" i="14"/>
  <c r="G636" i="14" s="1"/>
  <c r="F637" i="14"/>
  <c r="G637" i="14" s="1"/>
  <c r="F638" i="14"/>
  <c r="G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F659" i="14"/>
  <c r="G659" i="14" s="1"/>
  <c r="F660" i="14"/>
  <c r="G660" i="14" s="1"/>
  <c r="F661" i="14"/>
  <c r="G661" i="14" s="1"/>
  <c r="F662" i="14"/>
  <c r="G662" i="14" s="1"/>
  <c r="F663" i="14"/>
  <c r="G663" i="14" s="1"/>
  <c r="F664" i="14"/>
  <c r="G664" i="14" s="1"/>
  <c r="F665" i="14"/>
  <c r="G665" i="14" s="1"/>
  <c r="F666" i="14"/>
  <c r="G666" i="14" s="1"/>
  <c r="F667" i="14"/>
  <c r="G667" i="14" s="1"/>
  <c r="F668" i="14"/>
  <c r="G668" i="14" s="1"/>
  <c r="F669" i="14"/>
  <c r="G669" i="14" s="1"/>
  <c r="F670" i="14"/>
  <c r="G670" i="14" s="1"/>
  <c r="F671" i="14"/>
  <c r="G671" i="14" s="1"/>
  <c r="F672" i="14"/>
  <c r="G672" i="14" s="1"/>
  <c r="F673" i="14"/>
  <c r="G673" i="14" s="1"/>
  <c r="F674" i="14"/>
  <c r="G674" i="14" s="1"/>
  <c r="F675" i="14"/>
  <c r="G675" i="14" s="1"/>
  <c r="F676" i="14"/>
  <c r="G676" i="14" s="1"/>
  <c r="F677" i="14"/>
  <c r="G677" i="14" s="1"/>
  <c r="F678" i="14"/>
  <c r="G678" i="14" s="1"/>
  <c r="F679" i="14"/>
  <c r="G679" i="1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F686" i="14"/>
  <c r="G686" i="14" s="1"/>
  <c r="F687" i="14"/>
  <c r="G687" i="14" s="1"/>
  <c r="F688" i="14"/>
  <c r="G688" i="14" s="1"/>
  <c r="F689" i="14"/>
  <c r="G689" i="14" s="1"/>
  <c r="F690" i="14"/>
  <c r="G690" i="14" s="1"/>
  <c r="F691" i="14"/>
  <c r="G691" i="14" s="1"/>
  <c r="F692" i="14"/>
  <c r="G692" i="1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F700" i="14"/>
  <c r="G700" i="14" s="1"/>
  <c r="F701" i="14"/>
  <c r="G701" i="14" s="1"/>
  <c r="F702" i="14"/>
  <c r="G702" i="14" s="1"/>
  <c r="F703" i="14"/>
  <c r="G703" i="14" s="1"/>
  <c r="F704" i="14"/>
  <c r="G704" i="14" s="1"/>
  <c r="F705" i="14"/>
  <c r="G705" i="14" s="1"/>
  <c r="F706" i="14"/>
  <c r="G706" i="1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F715" i="14"/>
  <c r="G715" i="14" s="1"/>
  <c r="F716" i="14"/>
  <c r="G716" i="14" s="1"/>
  <c r="F717" i="14"/>
  <c r="G717" i="14" s="1"/>
  <c r="F718" i="14"/>
  <c r="G718" i="14" s="1"/>
  <c r="F719" i="14"/>
  <c r="G719" i="14" s="1"/>
  <c r="F720" i="14"/>
  <c r="G720" i="1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F735" i="14"/>
  <c r="G735" i="1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F746" i="14"/>
  <c r="G746" i="14" s="1"/>
  <c r="F747" i="14"/>
  <c r="G747" i="14" s="1"/>
  <c r="F748" i="14"/>
  <c r="G748" i="14" s="1"/>
  <c r="F749" i="14"/>
  <c r="G749" i="14" s="1"/>
  <c r="F750" i="14"/>
  <c r="G750" i="14" s="1"/>
  <c r="F751" i="14"/>
  <c r="G751" i="14" s="1"/>
  <c r="F752" i="14"/>
  <c r="G752" i="14" s="1"/>
  <c r="F753" i="14"/>
  <c r="G753" i="14" s="1"/>
  <c r="F754" i="14"/>
  <c r="G754" i="14" s="1"/>
  <c r="F755" i="14"/>
  <c r="G755" i="14" s="1"/>
  <c r="F756" i="14"/>
  <c r="G756" i="14" s="1"/>
  <c r="F757" i="14"/>
  <c r="G757" i="14" s="1"/>
  <c r="F758" i="14"/>
  <c r="G758" i="14" s="1"/>
  <c r="F759" i="14"/>
  <c r="G759" i="14" s="1"/>
  <c r="F760" i="14"/>
  <c r="G760" i="14" s="1"/>
  <c r="F761" i="14"/>
  <c r="G761" i="14" s="1"/>
  <c r="F762" i="14"/>
  <c r="G762" i="14" s="1"/>
  <c r="F763" i="14"/>
  <c r="G763" i="14" s="1"/>
  <c r="F764" i="14"/>
  <c r="G764" i="14" s="1"/>
  <c r="F765" i="14"/>
  <c r="G765" i="14" s="1"/>
  <c r="F766" i="14"/>
  <c r="G766" i="14" s="1"/>
  <c r="F767" i="14"/>
  <c r="G767" i="14" s="1"/>
  <c r="F768" i="14"/>
  <c r="G768" i="14" s="1"/>
  <c r="F769" i="14"/>
  <c r="G769" i="14" s="1"/>
  <c r="F770" i="14"/>
  <c r="G770" i="14" s="1"/>
  <c r="F771" i="14"/>
  <c r="G771" i="14" s="1"/>
  <c r="F772" i="14"/>
  <c r="G772" i="14" s="1"/>
  <c r="F773" i="14"/>
  <c r="G773" i="14" s="1"/>
  <c r="F774" i="14"/>
  <c r="G774" i="14" s="1"/>
  <c r="F775" i="14"/>
  <c r="G775" i="14" s="1"/>
  <c r="F776" i="14"/>
  <c r="G776" i="14" s="1"/>
  <c r="F777" i="14"/>
  <c r="G777" i="14" s="1"/>
  <c r="F778" i="14"/>
  <c r="G778" i="14" s="1"/>
  <c r="F779" i="14"/>
  <c r="G779" i="14" s="1"/>
  <c r="F780" i="14"/>
  <c r="G780" i="14" s="1"/>
  <c r="F781" i="14"/>
  <c r="G781" i="14" s="1"/>
  <c r="F782" i="14"/>
  <c r="G782" i="14" s="1"/>
  <c r="F783" i="14"/>
  <c r="G783" i="14" s="1"/>
  <c r="F784" i="14"/>
  <c r="G784" i="14" s="1"/>
  <c r="F785" i="14"/>
  <c r="G785" i="14" s="1"/>
  <c r="F786" i="14"/>
  <c r="G786" i="14" s="1"/>
  <c r="F787" i="14"/>
  <c r="G787" i="14" s="1"/>
  <c r="F788" i="14"/>
  <c r="G788" i="14" s="1"/>
  <c r="F789" i="14"/>
  <c r="G789" i="14" s="1"/>
  <c r="F790" i="14"/>
  <c r="G790" i="14" s="1"/>
  <c r="F791" i="14"/>
  <c r="G791" i="14" s="1"/>
  <c r="F792" i="14"/>
  <c r="G792" i="14" s="1"/>
  <c r="F793" i="14"/>
  <c r="G793" i="14" s="1"/>
  <c r="F794" i="14"/>
  <c r="G794" i="14" s="1"/>
  <c r="F795" i="14"/>
  <c r="G795" i="14" s="1"/>
  <c r="F796" i="14"/>
  <c r="G796" i="14" s="1"/>
  <c r="F797" i="14"/>
  <c r="G797" i="14" s="1"/>
  <c r="F798" i="14"/>
  <c r="G798" i="14" s="1"/>
  <c r="F799" i="14"/>
  <c r="G799" i="14" s="1"/>
  <c r="F800" i="14"/>
  <c r="G800" i="14" s="1"/>
  <c r="F801" i="14"/>
  <c r="G801" i="14" s="1"/>
  <c r="F802" i="14"/>
  <c r="G802" i="14" s="1"/>
  <c r="F803" i="14"/>
  <c r="G803" i="14" s="1"/>
  <c r="F804" i="14"/>
  <c r="G804" i="14" s="1"/>
  <c r="F805" i="14"/>
  <c r="G805" i="14" s="1"/>
  <c r="F806" i="14"/>
  <c r="G806" i="14" s="1"/>
  <c r="F807" i="14"/>
  <c r="G807" i="14" s="1"/>
  <c r="F808" i="14"/>
  <c r="G808" i="14" s="1"/>
  <c r="F809" i="14"/>
  <c r="G809" i="14" s="1"/>
  <c r="F810" i="14"/>
  <c r="G810" i="14" s="1"/>
  <c r="F811" i="14"/>
  <c r="G811" i="14" s="1"/>
  <c r="F812" i="14"/>
  <c r="G812" i="1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F822" i="14"/>
  <c r="G822" i="14" s="1"/>
  <c r="F823" i="14"/>
  <c r="G823" i="14" s="1"/>
  <c r="F824" i="14"/>
  <c r="G824" i="14" s="1"/>
  <c r="F825" i="14"/>
  <c r="G825" i="14" s="1"/>
  <c r="F826" i="14"/>
  <c r="G826" i="14" s="1"/>
  <c r="F827" i="14"/>
  <c r="G827" i="14" s="1"/>
  <c r="F828" i="14"/>
  <c r="G828" i="14" s="1"/>
  <c r="F829" i="14"/>
  <c r="G829" i="14" s="1"/>
  <c r="F830" i="14"/>
  <c r="G830" i="14" s="1"/>
  <c r="F831" i="14"/>
  <c r="G831" i="14" s="1"/>
  <c r="F832" i="14"/>
  <c r="G832" i="14" s="1"/>
  <c r="F833" i="14"/>
  <c r="G833" i="14" s="1"/>
  <c r="F834" i="14"/>
  <c r="G834" i="14" s="1"/>
  <c r="F835" i="14"/>
  <c r="G835" i="14" s="1"/>
  <c r="F836" i="14"/>
  <c r="G836" i="14" s="1"/>
  <c r="F837" i="14"/>
  <c r="G837" i="14" s="1"/>
  <c r="F838" i="14"/>
  <c r="G838" i="14" s="1"/>
  <c r="F839" i="14"/>
  <c r="G839" i="14" s="1"/>
  <c r="F840" i="14"/>
  <c r="G840" i="1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F848" i="14"/>
  <c r="G848" i="14" s="1"/>
  <c r="F849" i="14"/>
  <c r="G849" i="14" s="1"/>
  <c r="F850" i="14"/>
  <c r="G850" i="14" s="1"/>
  <c r="F851" i="14"/>
  <c r="G851" i="14" s="1"/>
  <c r="F852" i="14"/>
  <c r="G852" i="14" s="1"/>
  <c r="F853" i="14"/>
  <c r="G853" i="14" s="1"/>
  <c r="F854" i="14"/>
  <c r="G854" i="14" s="1"/>
  <c r="F855" i="14"/>
  <c r="G855" i="14" s="1"/>
  <c r="F856" i="14"/>
  <c r="G856" i="14" s="1"/>
  <c r="F857" i="14"/>
  <c r="G857" i="14" s="1"/>
  <c r="F858" i="14"/>
  <c r="G858" i="14" s="1"/>
  <c r="F859" i="14"/>
  <c r="G859" i="14" s="1"/>
  <c r="F860" i="14"/>
  <c r="G860" i="14" s="1"/>
  <c r="F861" i="14"/>
  <c r="G861" i="14" s="1"/>
  <c r="F862" i="14"/>
  <c r="G862" i="14" s="1"/>
  <c r="F863" i="14"/>
  <c r="G863" i="14" s="1"/>
  <c r="F864" i="14"/>
  <c r="G864" i="14" s="1"/>
  <c r="F865" i="14"/>
  <c r="G865" i="1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F873" i="14"/>
  <c r="G873" i="14" s="1"/>
  <c r="F874" i="14"/>
  <c r="G874" i="1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F881" i="14"/>
  <c r="G881" i="14" s="1"/>
  <c r="F882" i="14"/>
  <c r="G882" i="14" s="1"/>
  <c r="F883" i="14"/>
  <c r="G883" i="14" s="1"/>
  <c r="F884" i="14"/>
  <c r="G884" i="14" s="1"/>
  <c r="F885" i="14"/>
  <c r="G885" i="14" s="1"/>
  <c r="F886" i="14"/>
  <c r="G886" i="14" s="1"/>
  <c r="F887" i="14"/>
  <c r="G887" i="14" s="1"/>
  <c r="F888" i="14"/>
  <c r="G888" i="14" s="1"/>
  <c r="F889" i="14"/>
  <c r="G889" i="14" s="1"/>
  <c r="F890" i="14"/>
  <c r="G890" i="14" s="1"/>
  <c r="F891" i="14"/>
  <c r="G891" i="14" s="1"/>
  <c r="F892" i="14"/>
  <c r="G892" i="14" s="1"/>
  <c r="F893" i="14"/>
  <c r="G893" i="14" s="1"/>
  <c r="F894" i="14"/>
  <c r="G894" i="14" s="1"/>
  <c r="F895" i="14"/>
  <c r="G895" i="14" s="1"/>
  <c r="F896" i="14"/>
  <c r="G896" i="14" s="1"/>
  <c r="F897" i="14"/>
  <c r="G897" i="14" s="1"/>
  <c r="F898" i="14"/>
  <c r="G898" i="14" s="1"/>
  <c r="F899" i="14"/>
  <c r="G899" i="14" s="1"/>
  <c r="F900" i="14"/>
  <c r="G900" i="14" s="1"/>
  <c r="F901" i="14"/>
  <c r="G901" i="14" s="1"/>
  <c r="F902" i="14"/>
  <c r="G902" i="14" s="1"/>
  <c r="F903" i="14"/>
  <c r="G903" i="14" s="1"/>
  <c r="F904" i="14"/>
  <c r="G904" i="14" s="1"/>
  <c r="F905" i="14"/>
  <c r="G905" i="14" s="1"/>
  <c r="F906" i="14"/>
  <c r="G906" i="14" s="1"/>
  <c r="F907" i="14"/>
  <c r="G907" i="14" s="1"/>
  <c r="F908" i="14"/>
  <c r="G908" i="14" s="1"/>
  <c r="F909" i="14"/>
  <c r="G909" i="14" s="1"/>
  <c r="F910" i="14"/>
  <c r="G910" i="14" s="1"/>
  <c r="F911" i="14"/>
  <c r="G911" i="14" s="1"/>
  <c r="F912" i="14"/>
  <c r="G912" i="14" s="1"/>
  <c r="F913" i="14"/>
  <c r="G913" i="14" s="1"/>
  <c r="F914" i="14"/>
  <c r="G914" i="14" s="1"/>
  <c r="F915" i="14"/>
  <c r="G915" i="14" s="1"/>
  <c r="F916" i="14"/>
  <c r="G916" i="14" s="1"/>
  <c r="F917" i="14"/>
  <c r="G917" i="14" s="1"/>
  <c r="F918" i="14"/>
  <c r="G918" i="14" s="1"/>
  <c r="F919" i="14"/>
  <c r="G919" i="14" s="1"/>
  <c r="F920" i="14"/>
  <c r="G920" i="14" s="1"/>
  <c r="F921" i="14"/>
  <c r="G921" i="14" s="1"/>
  <c r="F922" i="14"/>
  <c r="G922" i="14" s="1"/>
  <c r="F923" i="14"/>
  <c r="G923" i="14" s="1"/>
  <c r="F924" i="14"/>
  <c r="G924" i="14" s="1"/>
  <c r="F925" i="14"/>
  <c r="G925" i="14" s="1"/>
  <c r="F926" i="14"/>
  <c r="G926" i="14" s="1"/>
  <c r="F927" i="14"/>
  <c r="G927" i="14" s="1"/>
  <c r="F928" i="14"/>
  <c r="G928" i="14" s="1"/>
  <c r="F929" i="14"/>
  <c r="G929" i="14" s="1"/>
  <c r="F930" i="14"/>
  <c r="G930" i="14" s="1"/>
  <c r="F931" i="14"/>
  <c r="G931" i="14" s="1"/>
  <c r="F932" i="14"/>
  <c r="G932" i="14" s="1"/>
  <c r="F933" i="14"/>
  <c r="G933" i="14" s="1"/>
  <c r="F934" i="14"/>
  <c r="G934" i="14" s="1"/>
  <c r="F935" i="14"/>
  <c r="G935" i="14" s="1"/>
  <c r="F936" i="14"/>
  <c r="G936" i="14" s="1"/>
  <c r="F937" i="14"/>
  <c r="G937" i="14" s="1"/>
  <c r="F938" i="14"/>
  <c r="G938" i="14" s="1"/>
  <c r="F939" i="14"/>
  <c r="G939" i="14" s="1"/>
  <c r="F940" i="14"/>
  <c r="G940" i="14" s="1"/>
  <c r="F941" i="14"/>
  <c r="G941" i="14" s="1"/>
  <c r="F942" i="14"/>
  <c r="G942" i="14" s="1"/>
  <c r="F943" i="14"/>
  <c r="G943" i="14" s="1"/>
  <c r="F944" i="14"/>
  <c r="G944" i="14" s="1"/>
  <c r="F945" i="14"/>
  <c r="G945" i="14" s="1"/>
  <c r="F946" i="14"/>
  <c r="G946" i="14" s="1"/>
  <c r="F947" i="14"/>
  <c r="G947" i="14" s="1"/>
  <c r="F948" i="14"/>
  <c r="G948" i="14" s="1"/>
  <c r="F949" i="14"/>
  <c r="G949" i="14" s="1"/>
  <c r="F950" i="14"/>
  <c r="G950" i="14" s="1"/>
  <c r="F951" i="14"/>
  <c r="G951" i="14" s="1"/>
  <c r="F952" i="14"/>
  <c r="G952" i="14" s="1"/>
  <c r="F953" i="14"/>
  <c r="G953" i="14" s="1"/>
  <c r="F954" i="14"/>
  <c r="G954" i="14" s="1"/>
  <c r="F955" i="14"/>
  <c r="G955" i="14" s="1"/>
  <c r="F956" i="14"/>
  <c r="G956" i="14" s="1"/>
  <c r="F957" i="14"/>
  <c r="G957" i="14" s="1"/>
  <c r="F958" i="14"/>
  <c r="G958" i="14" s="1"/>
  <c r="F959" i="14"/>
  <c r="G959" i="14" s="1"/>
  <c r="F960" i="14"/>
  <c r="G960" i="14" s="1"/>
  <c r="F961" i="14"/>
  <c r="G961" i="14" s="1"/>
  <c r="F962" i="14"/>
  <c r="G962" i="14" s="1"/>
  <c r="F963" i="14"/>
  <c r="G963" i="14" s="1"/>
  <c r="F964" i="14"/>
  <c r="G964" i="14" s="1"/>
  <c r="F965" i="14"/>
  <c r="G965" i="14" s="1"/>
  <c r="F966" i="14"/>
  <c r="G966" i="14" s="1"/>
  <c r="F967" i="14"/>
  <c r="G967" i="14" s="1"/>
  <c r="F968" i="14"/>
  <c r="G968" i="14" s="1"/>
  <c r="F969" i="14"/>
  <c r="G969" i="14" s="1"/>
  <c r="F970" i="14"/>
  <c r="G970" i="14" s="1"/>
  <c r="F971" i="14"/>
  <c r="G971" i="14" s="1"/>
  <c r="F972" i="14"/>
  <c r="G972" i="14" s="1"/>
  <c r="F973" i="14"/>
  <c r="G973" i="14" s="1"/>
  <c r="F974" i="14"/>
  <c r="G974" i="14" s="1"/>
  <c r="F975" i="14"/>
  <c r="G975" i="14" s="1"/>
  <c r="F976" i="14"/>
  <c r="G976" i="14" s="1"/>
  <c r="F977" i="14"/>
  <c r="G977" i="14" s="1"/>
  <c r="F978" i="14"/>
  <c r="G978" i="14" s="1"/>
  <c r="F979" i="14"/>
  <c r="G979" i="14" s="1"/>
  <c r="F980" i="14"/>
  <c r="G980" i="14" s="1"/>
  <c r="F981" i="14"/>
  <c r="G981" i="14" s="1"/>
  <c r="F982" i="14"/>
  <c r="G982" i="14" s="1"/>
  <c r="F983" i="14"/>
  <c r="G983" i="14" s="1"/>
  <c r="F984" i="14"/>
  <c r="G984" i="14" s="1"/>
  <c r="F985" i="14"/>
  <c r="G985" i="14" s="1"/>
  <c r="F986" i="14"/>
  <c r="G986" i="14" s="1"/>
  <c r="F987" i="14"/>
  <c r="G987" i="14" s="1"/>
  <c r="F988" i="14"/>
  <c r="G988" i="14" s="1"/>
  <c r="F989" i="14"/>
  <c r="G989" i="14" s="1"/>
  <c r="F990" i="14"/>
  <c r="G990" i="14" s="1"/>
  <c r="F991" i="14"/>
  <c r="G991" i="14" s="1"/>
  <c r="F992" i="14"/>
  <c r="G992" i="14" s="1"/>
  <c r="F993" i="14"/>
  <c r="G993" i="14" s="1"/>
  <c r="F994" i="14"/>
  <c r="G994" i="14" s="1"/>
  <c r="F995" i="14"/>
  <c r="G995" i="14" s="1"/>
  <c r="F996" i="14"/>
  <c r="G996" i="14" s="1"/>
  <c r="F997" i="14"/>
  <c r="G997" i="14" s="1"/>
  <c r="F998" i="14"/>
  <c r="G998" i="14" s="1"/>
  <c r="F999" i="14"/>
  <c r="G999" i="14" s="1"/>
  <c r="F1000" i="14"/>
  <c r="G1000" i="14" s="1"/>
  <c r="F1001" i="14"/>
  <c r="G1001" i="14" s="1"/>
  <c r="F1002" i="14"/>
  <c r="G1002" i="14" s="1"/>
  <c r="F1003" i="14"/>
  <c r="G1003" i="14" s="1"/>
  <c r="F1004" i="14"/>
  <c r="G1004" i="14" s="1"/>
  <c r="F1005" i="14"/>
  <c r="G1005" i="14" s="1"/>
  <c r="F1006" i="14"/>
  <c r="G1006" i="14" s="1"/>
  <c r="F1007" i="14"/>
  <c r="G1007" i="14" s="1"/>
  <c r="F1008" i="14"/>
  <c r="G1008" i="14" s="1"/>
  <c r="F1009" i="14"/>
  <c r="G1009" i="14" s="1"/>
  <c r="F1010" i="14"/>
  <c r="G1010" i="14" s="1"/>
  <c r="F1011" i="14"/>
  <c r="G1011" i="14" s="1"/>
  <c r="F1012" i="14"/>
  <c r="G1012" i="14" s="1"/>
  <c r="F1013" i="14"/>
  <c r="G1013" i="14" s="1"/>
  <c r="F1014" i="14"/>
  <c r="G1014" i="14" s="1"/>
  <c r="F1015" i="14"/>
  <c r="G1015" i="14" s="1"/>
  <c r="F1016" i="14"/>
  <c r="G1016" i="14" s="1"/>
  <c r="F1017" i="14"/>
  <c r="G1017" i="14" s="1"/>
  <c r="F1018" i="14"/>
  <c r="G1018" i="14" s="1"/>
  <c r="F1019" i="14"/>
  <c r="G1019" i="14" s="1"/>
  <c r="F1020" i="14"/>
  <c r="G1020" i="14" s="1"/>
  <c r="F1021" i="14"/>
  <c r="G1021" i="14" s="1"/>
  <c r="F1022" i="14"/>
  <c r="G1022" i="14" s="1"/>
  <c r="F1023" i="14"/>
  <c r="G1023" i="14" s="1"/>
  <c r="F1024" i="14"/>
  <c r="G1024" i="14" s="1"/>
  <c r="F1025" i="14"/>
  <c r="G1025" i="14" s="1"/>
  <c r="F1026" i="14"/>
  <c r="G1026" i="14" s="1"/>
  <c r="F1027" i="14"/>
  <c r="G1027" i="14" s="1"/>
  <c r="F1028" i="14"/>
  <c r="G1028" i="14" s="1"/>
  <c r="F1029" i="14"/>
  <c r="G1029" i="14" s="1"/>
  <c r="F1030" i="14"/>
  <c r="G1030" i="14" s="1"/>
  <c r="F1031" i="14"/>
  <c r="G1031" i="14" s="1"/>
  <c r="F1032" i="14"/>
  <c r="G1032" i="14" s="1"/>
  <c r="F1033" i="14"/>
  <c r="G1033" i="14" s="1"/>
  <c r="F1034" i="14"/>
  <c r="G1034" i="14" s="1"/>
  <c r="F1035" i="14"/>
  <c r="G1035" i="14" s="1"/>
  <c r="F1036" i="14"/>
  <c r="G1036" i="14" s="1"/>
  <c r="F1037" i="14"/>
  <c r="G1037" i="14" s="1"/>
  <c r="F1038" i="14"/>
  <c r="G1038" i="14" s="1"/>
  <c r="F1039" i="14"/>
  <c r="G1039" i="14" s="1"/>
  <c r="F1040" i="14"/>
  <c r="G1040" i="14" s="1"/>
  <c r="F1041" i="14"/>
  <c r="G1041" i="14" s="1"/>
  <c r="F1042" i="14"/>
  <c r="G1042" i="14" s="1"/>
  <c r="F1043" i="14"/>
  <c r="G1043" i="14" s="1"/>
  <c r="F1044" i="14"/>
  <c r="G1044" i="14" s="1"/>
  <c r="F1045" i="14"/>
  <c r="G1045" i="14" s="1"/>
  <c r="F1046" i="14"/>
  <c r="G1046" i="14" s="1"/>
  <c r="F1047" i="14"/>
  <c r="G1047" i="14" s="1"/>
  <c r="F1048" i="14"/>
  <c r="G1048" i="14" s="1"/>
  <c r="F1049" i="14"/>
  <c r="G1049" i="14" s="1"/>
  <c r="F1050" i="14"/>
  <c r="G1050" i="14" s="1"/>
  <c r="F1051" i="14"/>
  <c r="G1051" i="14" s="1"/>
  <c r="F1052" i="14"/>
  <c r="G1052" i="14" s="1"/>
  <c r="F1053" i="14"/>
  <c r="G1053" i="14" s="1"/>
  <c r="F1054" i="14"/>
  <c r="G1054" i="14" s="1"/>
  <c r="F1055" i="14"/>
  <c r="G1055" i="14" s="1"/>
  <c r="F1056" i="14"/>
  <c r="G1056" i="14" s="1"/>
  <c r="F1057" i="14"/>
  <c r="G1057" i="14" s="1"/>
  <c r="F1058" i="14"/>
  <c r="G1058" i="14" s="1"/>
  <c r="F1059" i="14"/>
  <c r="G1059" i="14" s="1"/>
  <c r="F1060" i="14"/>
  <c r="G1060" i="14" s="1"/>
  <c r="F1061" i="14"/>
  <c r="G1061" i="14" s="1"/>
  <c r="F1062" i="14"/>
  <c r="G1062" i="14" s="1"/>
  <c r="F1063" i="14"/>
  <c r="G1063" i="14" s="1"/>
  <c r="F1064" i="14"/>
  <c r="G1064" i="14" s="1"/>
  <c r="F1065" i="14"/>
  <c r="G1065" i="14" s="1"/>
  <c r="F1066" i="14"/>
  <c r="G1066" i="14" s="1"/>
  <c r="F1067" i="14"/>
  <c r="G1067" i="14" s="1"/>
  <c r="F1068" i="14"/>
  <c r="G1068" i="14" s="1"/>
  <c r="F1069" i="14"/>
  <c r="G1069" i="14" s="1"/>
  <c r="F1070" i="14"/>
  <c r="G1070" i="14" s="1"/>
  <c r="F1071" i="14"/>
  <c r="G1071" i="14" s="1"/>
  <c r="F1072" i="14"/>
  <c r="G1072" i="14" s="1"/>
  <c r="F1073" i="14"/>
  <c r="G1073" i="14" s="1"/>
  <c r="F1074" i="14"/>
  <c r="G1074" i="14" s="1"/>
  <c r="F1075" i="14"/>
  <c r="G1075" i="14" s="1"/>
  <c r="F1076" i="14"/>
  <c r="G1076" i="14" s="1"/>
  <c r="F1077" i="14"/>
  <c r="G1077" i="14" s="1"/>
  <c r="F1078" i="14"/>
  <c r="G1078" i="14" s="1"/>
  <c r="F1079" i="14"/>
  <c r="G1079" i="14" s="1"/>
  <c r="F1080" i="14"/>
  <c r="G1080" i="14" s="1"/>
  <c r="F1081" i="14"/>
  <c r="G1081" i="14" s="1"/>
  <c r="F1082" i="14"/>
  <c r="G1082" i="14" s="1"/>
  <c r="F1083" i="14"/>
  <c r="G1083" i="14" s="1"/>
  <c r="F1084" i="14"/>
  <c r="G1084" i="14" s="1"/>
  <c r="F1085" i="14"/>
  <c r="G1085" i="14" s="1"/>
  <c r="F1086" i="14"/>
  <c r="G1086" i="14" s="1"/>
  <c r="F1087" i="14"/>
  <c r="G1087" i="14" s="1"/>
  <c r="F1088" i="14"/>
  <c r="G1088" i="14" s="1"/>
  <c r="F1089" i="14"/>
  <c r="G1089" i="14" s="1"/>
  <c r="F1090" i="14"/>
  <c r="G1090" i="14" s="1"/>
  <c r="F1091" i="14"/>
  <c r="G1091" i="14" s="1"/>
  <c r="F1092" i="14"/>
  <c r="G1092" i="14" s="1"/>
  <c r="F1093" i="14"/>
  <c r="G1093" i="14" s="1"/>
  <c r="F1094" i="14"/>
  <c r="G1094" i="14" s="1"/>
  <c r="F1095" i="14"/>
  <c r="G1095" i="14" s="1"/>
  <c r="F1096" i="14"/>
  <c r="G1096" i="14" s="1"/>
  <c r="F1097" i="14"/>
  <c r="G1097" i="14" s="1"/>
  <c r="F1098" i="14"/>
  <c r="G1098" i="14" s="1"/>
  <c r="F1099" i="14"/>
  <c r="G1099" i="14" s="1"/>
  <c r="F1100" i="14"/>
  <c r="G1100" i="14" s="1"/>
  <c r="F1101" i="14"/>
  <c r="G1101" i="14" s="1"/>
  <c r="F1102" i="14"/>
  <c r="G1102" i="14" s="1"/>
  <c r="F1103" i="14"/>
  <c r="G1103" i="14" s="1"/>
  <c r="F1104" i="14"/>
  <c r="G1104" i="14" s="1"/>
  <c r="F1105" i="14"/>
  <c r="G1105" i="14" s="1"/>
  <c r="F1106" i="14"/>
  <c r="G1106" i="14" s="1"/>
  <c r="F1107" i="14"/>
  <c r="G1107" i="14" s="1"/>
  <c r="F1108" i="14"/>
  <c r="G1108" i="14" s="1"/>
  <c r="F1109" i="14"/>
  <c r="G1109" i="14" s="1"/>
  <c r="F1110" i="14"/>
  <c r="G1110" i="14" s="1"/>
  <c r="F1111" i="14"/>
  <c r="G1111" i="14" s="1"/>
  <c r="F1112" i="14"/>
  <c r="G1112" i="14" s="1"/>
  <c r="F1113" i="14"/>
  <c r="G1113" i="14" s="1"/>
  <c r="F1114" i="14"/>
  <c r="G1114" i="14" s="1"/>
  <c r="F1115" i="14"/>
  <c r="G1115" i="14" s="1"/>
  <c r="F1116" i="14"/>
  <c r="G1116" i="14" s="1"/>
  <c r="F1117" i="14"/>
  <c r="G1117" i="14" s="1"/>
  <c r="F1118" i="14"/>
  <c r="G1118" i="14" s="1"/>
  <c r="F1119" i="14"/>
  <c r="G1119" i="14" s="1"/>
  <c r="F1120" i="14"/>
  <c r="G1120" i="14" s="1"/>
  <c r="F1121" i="14"/>
  <c r="G1121" i="14" s="1"/>
  <c r="F1122" i="14"/>
  <c r="G1122" i="14" s="1"/>
  <c r="F1123" i="14"/>
  <c r="G1123" i="14" s="1"/>
  <c r="F1124" i="14"/>
  <c r="G1124" i="14" s="1"/>
  <c r="F1125" i="14"/>
  <c r="G1125" i="14" s="1"/>
  <c r="F1126" i="14"/>
  <c r="G1126" i="14" s="1"/>
  <c r="F1127" i="14"/>
  <c r="G1127" i="14" s="1"/>
  <c r="F1128" i="14"/>
  <c r="G1128" i="14" s="1"/>
  <c r="F1129" i="14"/>
  <c r="G1129" i="14" s="1"/>
  <c r="F1130" i="14"/>
  <c r="G1130" i="14" s="1"/>
  <c r="F1131" i="14"/>
  <c r="G1131" i="14" s="1"/>
  <c r="F1132" i="14"/>
  <c r="G1132" i="14" s="1"/>
  <c r="F1133" i="14"/>
  <c r="G1133" i="14" s="1"/>
  <c r="F1134" i="14"/>
  <c r="G1134" i="14" s="1"/>
  <c r="F1135" i="14"/>
  <c r="G1135" i="14" s="1"/>
  <c r="F1136" i="14"/>
  <c r="G1136" i="14" s="1"/>
  <c r="F1137" i="14"/>
  <c r="G1137" i="14" s="1"/>
  <c r="F1138" i="14"/>
  <c r="G1138" i="14" s="1"/>
  <c r="F1139" i="14"/>
  <c r="G1139" i="14" s="1"/>
  <c r="F1140" i="14"/>
  <c r="G1140" i="14" s="1"/>
  <c r="F1141" i="14"/>
  <c r="G1141" i="14" s="1"/>
  <c r="F1142" i="14"/>
  <c r="G1142" i="14" s="1"/>
  <c r="F1143" i="14"/>
  <c r="G1143" i="14" s="1"/>
  <c r="F1144" i="14"/>
  <c r="G1144" i="14" s="1"/>
  <c r="F1145" i="14"/>
  <c r="G1145" i="14" s="1"/>
  <c r="F1146" i="14"/>
  <c r="G1146" i="14" s="1"/>
  <c r="F1147" i="14"/>
  <c r="G1147" i="14" s="1"/>
  <c r="F1148" i="14"/>
  <c r="G1148" i="14" s="1"/>
  <c r="F1149" i="14"/>
  <c r="G1149" i="14" s="1"/>
  <c r="F1150" i="14"/>
  <c r="G1150" i="14" s="1"/>
  <c r="F1151" i="14"/>
  <c r="G1151" i="14" s="1"/>
  <c r="F1152" i="14"/>
  <c r="G1152" i="14" s="1"/>
  <c r="F1153" i="14"/>
  <c r="G1153" i="14" s="1"/>
  <c r="F1154" i="14"/>
  <c r="G1154" i="14" s="1"/>
  <c r="F1155" i="14"/>
  <c r="G1155" i="14" s="1"/>
  <c r="F1156" i="14"/>
  <c r="G1156" i="14" s="1"/>
  <c r="F1157" i="14"/>
  <c r="G1157" i="14" s="1"/>
  <c r="F1158" i="14"/>
  <c r="G1158" i="14" s="1"/>
  <c r="F1159" i="14"/>
  <c r="G1159" i="14" s="1"/>
  <c r="F1160" i="14"/>
  <c r="G1160" i="14" s="1"/>
  <c r="F1161" i="14"/>
  <c r="G1161" i="14" s="1"/>
  <c r="F1162" i="14"/>
  <c r="G1162" i="14" s="1"/>
  <c r="F1163" i="14"/>
  <c r="G1163" i="14" s="1"/>
  <c r="F1164" i="14"/>
  <c r="G1164" i="14" s="1"/>
  <c r="F1165" i="14"/>
  <c r="G1165" i="14" s="1"/>
  <c r="F1166" i="14"/>
  <c r="G1166" i="14" s="1"/>
  <c r="F1167" i="14"/>
  <c r="G1167" i="14" s="1"/>
  <c r="F1168" i="14"/>
  <c r="G1168" i="14" s="1"/>
  <c r="F1169" i="14"/>
  <c r="G1169" i="14" s="1"/>
  <c r="F1170" i="14"/>
  <c r="G1170" i="14" s="1"/>
  <c r="F1171" i="14"/>
  <c r="G1171" i="14" s="1"/>
  <c r="F1172" i="14"/>
  <c r="G1172" i="14" s="1"/>
  <c r="F1173" i="14"/>
  <c r="G1173" i="14" s="1"/>
  <c r="F1174" i="14"/>
  <c r="G1174" i="14" s="1"/>
  <c r="F1175" i="14"/>
  <c r="G1175" i="14" s="1"/>
  <c r="F1176" i="14"/>
  <c r="G1176" i="14" s="1"/>
  <c r="F1177" i="14"/>
  <c r="G1177" i="14" s="1"/>
  <c r="F1178" i="14"/>
  <c r="G1178" i="14" s="1"/>
  <c r="F1179" i="14"/>
  <c r="G1179" i="14" s="1"/>
  <c r="F1180" i="14"/>
  <c r="G1180" i="14" s="1"/>
  <c r="F1181" i="14"/>
  <c r="G1181" i="14" s="1"/>
  <c r="F1182" i="14"/>
  <c r="G1182" i="14" s="1"/>
  <c r="F1183" i="14"/>
  <c r="G1183" i="14" s="1"/>
  <c r="F1184" i="14"/>
  <c r="G1184" i="14" s="1"/>
  <c r="F1185" i="14"/>
  <c r="G1185" i="14" s="1"/>
  <c r="F1186" i="14"/>
  <c r="G1186" i="14" s="1"/>
  <c r="F1187" i="14"/>
  <c r="G1187" i="14" s="1"/>
  <c r="F1188" i="14"/>
  <c r="G1188" i="14" s="1"/>
  <c r="F1189" i="14"/>
  <c r="G1189" i="14" s="1"/>
  <c r="F1190" i="14"/>
  <c r="G1190" i="14" s="1"/>
  <c r="F1191" i="14"/>
  <c r="G1191" i="14" s="1"/>
  <c r="F1192" i="14"/>
  <c r="G1192" i="14" s="1"/>
  <c r="F1193" i="14"/>
  <c r="G1193" i="14" s="1"/>
  <c r="F1194" i="14"/>
  <c r="G1194" i="14" s="1"/>
  <c r="F1195" i="14"/>
  <c r="G1195" i="14" s="1"/>
  <c r="F1196" i="14"/>
  <c r="G1196" i="14" s="1"/>
  <c r="F1197" i="14"/>
  <c r="G1197" i="14" s="1"/>
  <c r="F1198" i="14"/>
  <c r="G1198" i="14" s="1"/>
  <c r="F1199" i="14"/>
  <c r="G1199" i="14" s="1"/>
  <c r="F1200" i="14"/>
  <c r="G1200" i="14" s="1"/>
  <c r="F1201" i="14"/>
  <c r="G1201" i="14" s="1"/>
  <c r="F1202" i="14"/>
  <c r="G1202" i="14" s="1"/>
  <c r="F1203" i="14"/>
  <c r="G1203" i="14" s="1"/>
  <c r="F1204" i="14"/>
  <c r="G1204" i="14" s="1"/>
  <c r="F1205" i="14"/>
  <c r="G1205" i="14" s="1"/>
  <c r="F1206" i="14"/>
  <c r="G1206" i="14" s="1"/>
  <c r="F1207" i="14"/>
  <c r="G1207" i="14" s="1"/>
  <c r="F1208" i="14"/>
  <c r="G1208" i="14" s="1"/>
  <c r="F1209" i="14"/>
  <c r="G1209" i="14" s="1"/>
  <c r="F1210" i="14"/>
  <c r="G1210" i="14" s="1"/>
  <c r="F1211" i="14"/>
  <c r="G1211" i="14" s="1"/>
  <c r="F1212" i="14"/>
  <c r="G1212" i="14" s="1"/>
  <c r="F1213" i="14"/>
  <c r="G1213" i="14" s="1"/>
  <c r="F1214" i="14"/>
  <c r="G1214" i="14" s="1"/>
  <c r="F1215" i="14"/>
  <c r="G1215" i="14" s="1"/>
  <c r="F1216" i="14"/>
  <c r="G1216" i="14" s="1"/>
  <c r="F1217" i="14"/>
  <c r="G1217" i="14" s="1"/>
  <c r="F1218" i="14"/>
  <c r="G1218" i="14" s="1"/>
  <c r="F1219" i="14"/>
  <c r="G1219" i="14" s="1"/>
  <c r="F1220" i="14"/>
  <c r="G1220" i="14" s="1"/>
  <c r="F1221" i="14"/>
  <c r="G1221" i="14" s="1"/>
  <c r="F1222" i="14"/>
  <c r="G1222" i="14" s="1"/>
  <c r="F1223" i="14"/>
  <c r="G1223" i="14" s="1"/>
  <c r="F1224" i="14"/>
  <c r="G1224" i="14" s="1"/>
  <c r="F1225" i="14"/>
  <c r="G1225" i="14" s="1"/>
  <c r="F1226" i="14"/>
  <c r="G1226" i="14" s="1"/>
  <c r="F1227" i="14"/>
  <c r="G1227" i="14" s="1"/>
  <c r="F1228" i="14"/>
  <c r="G1228" i="14" s="1"/>
  <c r="F1229" i="14"/>
  <c r="G1229" i="14" s="1"/>
  <c r="F1230" i="14"/>
  <c r="G1230" i="14" s="1"/>
  <c r="F1231" i="14"/>
  <c r="G1231" i="14" s="1"/>
  <c r="F1232" i="14"/>
  <c r="G1232" i="14" s="1"/>
  <c r="F1233" i="14"/>
  <c r="G1233" i="14" s="1"/>
  <c r="F1234" i="14"/>
  <c r="G1234" i="14" s="1"/>
  <c r="F1235" i="14"/>
  <c r="G1235" i="14" s="1"/>
  <c r="F1236" i="14"/>
  <c r="G1236" i="14" s="1"/>
  <c r="F1237" i="14"/>
  <c r="G1237" i="14" s="1"/>
  <c r="F1238" i="14"/>
  <c r="G1238" i="14" s="1"/>
  <c r="F1239" i="14"/>
  <c r="G1239" i="14" s="1"/>
  <c r="F1240" i="14"/>
  <c r="G1240" i="14" s="1"/>
  <c r="F1241" i="14"/>
  <c r="G1241" i="14" s="1"/>
  <c r="F1242" i="14"/>
  <c r="G1242" i="14" s="1"/>
  <c r="F1243" i="14"/>
  <c r="G1243" i="14" s="1"/>
  <c r="F1244" i="14"/>
  <c r="G1244" i="14" s="1"/>
  <c r="F1245" i="14"/>
  <c r="G1245" i="14" s="1"/>
  <c r="F1246" i="14"/>
  <c r="G1246" i="14" s="1"/>
  <c r="F1247" i="14"/>
  <c r="G1247" i="14" s="1"/>
  <c r="F1248" i="14"/>
  <c r="G1248" i="14" s="1"/>
  <c r="F1249" i="14"/>
  <c r="G1249" i="14" s="1"/>
  <c r="F1250" i="14"/>
  <c r="G1250" i="14" s="1"/>
  <c r="F1251" i="14"/>
  <c r="G1251" i="14" s="1"/>
  <c r="F1252" i="14"/>
  <c r="G1252" i="14" s="1"/>
  <c r="F1253" i="14"/>
  <c r="G1253" i="14" s="1"/>
  <c r="F1254" i="14"/>
  <c r="G1254" i="14" s="1"/>
  <c r="F1255" i="14"/>
  <c r="G1255" i="14" s="1"/>
  <c r="F1256" i="14"/>
  <c r="G1256" i="14" s="1"/>
  <c r="F1257" i="14"/>
  <c r="G1257" i="14" s="1"/>
  <c r="F1258" i="14"/>
  <c r="G1258" i="14" s="1"/>
  <c r="F1259" i="14"/>
  <c r="G1259" i="14" s="1"/>
  <c r="F1260" i="14"/>
  <c r="G1260" i="14" s="1"/>
  <c r="F1261" i="14"/>
  <c r="G1261" i="14" s="1"/>
  <c r="F1262" i="14"/>
  <c r="G1262" i="14" s="1"/>
  <c r="F1263" i="14"/>
  <c r="G1263" i="14" s="1"/>
  <c r="F1264" i="14"/>
  <c r="G1264" i="14" s="1"/>
  <c r="F1265" i="14"/>
  <c r="G1265" i="14" s="1"/>
  <c r="F1266" i="14"/>
  <c r="G1266" i="14" s="1"/>
  <c r="F1267" i="14"/>
  <c r="G1267" i="14" s="1"/>
  <c r="F1268" i="14"/>
  <c r="G1268" i="14" s="1"/>
  <c r="F1269" i="14"/>
  <c r="G1269" i="14" s="1"/>
  <c r="F1270" i="14"/>
  <c r="G1270" i="14" s="1"/>
  <c r="F1271" i="14"/>
  <c r="G1271" i="14" s="1"/>
  <c r="F1272" i="14"/>
  <c r="G1272" i="14" s="1"/>
  <c r="F1273" i="14"/>
  <c r="G1273" i="14" s="1"/>
  <c r="F1274" i="14"/>
  <c r="G1274" i="14" s="1"/>
  <c r="F1275" i="14"/>
  <c r="G1275" i="14" s="1"/>
  <c r="F1276" i="14"/>
  <c r="G1276" i="14" s="1"/>
  <c r="F1277" i="14"/>
  <c r="G1277" i="14" s="1"/>
  <c r="F1278" i="14"/>
  <c r="G1278" i="14" s="1"/>
  <c r="F1279" i="14"/>
  <c r="G1279" i="14" s="1"/>
  <c r="F1280" i="14"/>
  <c r="G1280" i="14" s="1"/>
  <c r="F1281" i="14"/>
  <c r="G1281" i="14" s="1"/>
  <c r="F1282" i="14"/>
  <c r="G1282" i="14" s="1"/>
  <c r="F1283" i="14"/>
  <c r="G1283" i="14" s="1"/>
  <c r="F1284" i="14"/>
  <c r="G1284" i="14" s="1"/>
  <c r="F1285" i="14"/>
  <c r="G1285" i="14" s="1"/>
  <c r="F1286" i="14"/>
  <c r="G1286" i="14" s="1"/>
  <c r="F1287" i="14"/>
  <c r="G1287" i="14" s="1"/>
  <c r="F1288" i="14"/>
  <c r="G1288" i="14" s="1"/>
  <c r="F1289" i="14"/>
  <c r="G1289" i="14" s="1"/>
  <c r="F1290" i="14"/>
  <c r="G1290" i="14" s="1"/>
  <c r="F1291" i="14"/>
  <c r="G1291" i="14" s="1"/>
  <c r="F1292" i="14"/>
  <c r="G1292" i="14" s="1"/>
  <c r="F1293" i="14"/>
  <c r="G1293" i="14" s="1"/>
  <c r="F1294" i="14"/>
  <c r="G1294" i="14" s="1"/>
  <c r="F1295" i="14"/>
  <c r="G1295" i="14" s="1"/>
  <c r="F1296" i="14"/>
  <c r="G1296" i="14" s="1"/>
  <c r="F1297" i="14"/>
  <c r="G1297" i="14" s="1"/>
  <c r="F1298" i="14"/>
  <c r="G1298" i="14" s="1"/>
  <c r="F1299" i="14"/>
  <c r="G1299" i="14" s="1"/>
  <c r="F1300" i="14"/>
  <c r="G1300" i="14" s="1"/>
  <c r="F1301" i="14"/>
  <c r="G1301" i="14" s="1"/>
  <c r="F1302" i="14"/>
  <c r="G1302" i="14" s="1"/>
  <c r="F1303" i="14"/>
  <c r="G1303" i="14" s="1"/>
  <c r="F1304" i="14"/>
  <c r="G1304" i="14" s="1"/>
  <c r="F1305" i="14"/>
  <c r="G1305" i="14" s="1"/>
  <c r="F1306" i="14"/>
  <c r="G1306" i="14" s="1"/>
  <c r="F1307" i="14"/>
  <c r="G1307" i="14" s="1"/>
  <c r="F1308" i="14"/>
  <c r="G1308" i="14" s="1"/>
  <c r="F1309" i="14"/>
  <c r="G1309" i="14" s="1"/>
  <c r="F1310" i="14"/>
  <c r="G1310" i="14" s="1"/>
  <c r="F1311" i="14"/>
  <c r="G1311" i="14" s="1"/>
  <c r="F1312" i="14"/>
  <c r="G1312" i="14" s="1"/>
  <c r="F1313" i="14"/>
  <c r="G1313" i="14" s="1"/>
  <c r="F1314" i="14"/>
  <c r="G1314" i="14" s="1"/>
  <c r="F1315" i="14"/>
  <c r="G1315" i="14" s="1"/>
  <c r="F1316" i="14"/>
  <c r="G1316" i="14" s="1"/>
  <c r="F1317" i="14"/>
  <c r="G1317" i="14" s="1"/>
  <c r="F1318" i="14"/>
  <c r="G1318" i="14" s="1"/>
  <c r="F1319" i="14"/>
  <c r="G1319" i="14" s="1"/>
  <c r="F1320" i="14"/>
  <c r="G1320" i="14" s="1"/>
  <c r="F1321" i="14"/>
  <c r="G1321" i="14" s="1"/>
  <c r="F1322" i="14"/>
  <c r="G1322" i="14" s="1"/>
  <c r="F1323" i="14"/>
  <c r="G1323" i="14" s="1"/>
  <c r="F1324" i="14"/>
  <c r="G1324" i="14" s="1"/>
  <c r="F1325" i="14"/>
  <c r="G1325" i="14" s="1"/>
  <c r="F1326" i="14"/>
  <c r="G1326" i="14" s="1"/>
  <c r="F1327" i="14"/>
  <c r="G1327" i="14" s="1"/>
  <c r="F1328" i="14"/>
  <c r="G1328" i="14" s="1"/>
  <c r="F1329" i="14"/>
  <c r="G1329" i="14" s="1"/>
  <c r="F1330" i="14"/>
  <c r="G1330" i="14" s="1"/>
  <c r="F1331" i="14"/>
  <c r="G1331" i="14" s="1"/>
  <c r="F1332" i="14"/>
  <c r="G1332" i="14" s="1"/>
  <c r="F1333" i="14"/>
  <c r="G1333" i="14" s="1"/>
  <c r="F1334" i="14"/>
  <c r="G1334" i="14" s="1"/>
  <c r="F1335" i="14"/>
  <c r="G1335" i="14" s="1"/>
  <c r="F1336" i="14"/>
  <c r="G1336" i="14" s="1"/>
  <c r="F1337" i="14"/>
  <c r="G1337" i="14" s="1"/>
  <c r="F1338" i="14"/>
  <c r="G1338" i="14" s="1"/>
  <c r="F1339" i="14"/>
  <c r="G1339" i="14" s="1"/>
  <c r="F1340" i="14"/>
  <c r="G1340" i="14" s="1"/>
  <c r="F1341" i="14"/>
  <c r="G1341" i="14" s="1"/>
  <c r="F1342" i="14"/>
  <c r="G1342" i="14" s="1"/>
  <c r="F1343" i="14"/>
  <c r="G1343" i="14" s="1"/>
  <c r="F1344" i="14"/>
  <c r="G1344" i="14" s="1"/>
  <c r="F1345" i="14"/>
  <c r="G1345" i="14" s="1"/>
  <c r="F1346" i="14"/>
  <c r="G1346" i="14" s="1"/>
  <c r="F1347" i="14"/>
  <c r="G1347" i="14" s="1"/>
  <c r="F1348" i="14"/>
  <c r="G1348" i="14" s="1"/>
  <c r="F1349" i="14"/>
  <c r="G1349" i="14" s="1"/>
  <c r="F1350" i="14"/>
  <c r="G1350" i="14" s="1"/>
  <c r="F1351" i="14"/>
  <c r="G1351" i="14" s="1"/>
  <c r="F1352" i="14"/>
  <c r="G1352" i="14" s="1"/>
  <c r="F1353" i="14"/>
  <c r="G1353" i="14" s="1"/>
  <c r="F1354" i="14"/>
  <c r="G1354" i="14" s="1"/>
  <c r="F1355" i="14"/>
  <c r="G1355" i="14" s="1"/>
  <c r="F1356" i="14"/>
  <c r="G1356" i="14" s="1"/>
  <c r="F1357" i="14"/>
  <c r="G1357" i="14" s="1"/>
  <c r="F1358" i="14"/>
  <c r="G1358" i="14" s="1"/>
  <c r="F1359" i="14"/>
  <c r="G1359" i="14" s="1"/>
  <c r="F1360" i="14"/>
  <c r="G1360" i="14" s="1"/>
  <c r="F1361" i="14"/>
  <c r="G1361" i="14" s="1"/>
  <c r="F1362" i="14"/>
  <c r="G1362" i="14" s="1"/>
  <c r="F1363" i="14"/>
  <c r="G1363" i="14" s="1"/>
  <c r="F1364" i="14"/>
  <c r="G1364" i="14" s="1"/>
  <c r="F1365" i="14"/>
  <c r="G1365" i="14" s="1"/>
  <c r="F1366" i="14"/>
  <c r="G1366" i="14" s="1"/>
  <c r="F1367" i="14"/>
  <c r="G1367" i="14" s="1"/>
  <c r="F1368" i="14"/>
  <c r="G1368" i="14" s="1"/>
  <c r="F1369" i="14"/>
  <c r="G1369" i="14" s="1"/>
  <c r="F1370" i="14"/>
  <c r="G1370" i="14" s="1"/>
  <c r="F1371" i="14"/>
  <c r="G1371" i="14" s="1"/>
  <c r="F1372" i="14"/>
  <c r="G1372" i="14" s="1"/>
  <c r="F1373" i="14"/>
  <c r="G1373" i="14" s="1"/>
  <c r="F1374" i="14"/>
  <c r="G1374" i="14" s="1"/>
  <c r="F1375" i="14"/>
  <c r="G1375" i="14" s="1"/>
  <c r="F1376" i="14"/>
  <c r="G1376" i="14" s="1"/>
  <c r="F1377" i="14"/>
  <c r="G1377" i="14" s="1"/>
  <c r="F1378" i="14"/>
  <c r="G1378" i="14" s="1"/>
  <c r="F1379" i="14"/>
  <c r="G1379" i="14" s="1"/>
  <c r="F1380" i="14"/>
  <c r="G1380" i="14" s="1"/>
  <c r="F1381" i="14"/>
  <c r="G1381" i="14" s="1"/>
  <c r="F1382" i="14"/>
  <c r="G1382" i="14" s="1"/>
  <c r="F1383" i="14"/>
  <c r="G1383" i="14" s="1"/>
  <c r="F1384" i="14"/>
  <c r="G1384" i="14" s="1"/>
  <c r="F1385" i="14"/>
  <c r="G1385" i="14" s="1"/>
  <c r="F1386" i="14"/>
  <c r="G1386" i="14" s="1"/>
  <c r="F1387" i="14"/>
  <c r="G1387" i="14" s="1"/>
  <c r="F1388" i="14"/>
  <c r="G1388" i="14" s="1"/>
  <c r="F1389" i="14"/>
  <c r="G1389" i="14" s="1"/>
  <c r="F1390" i="14"/>
  <c r="G1390" i="14" s="1"/>
  <c r="F1391" i="14"/>
  <c r="G1391" i="14" s="1"/>
  <c r="F1392" i="14"/>
  <c r="G1392" i="14" s="1"/>
  <c r="F1393" i="14"/>
  <c r="G1393" i="14" s="1"/>
  <c r="F1394" i="14"/>
  <c r="G1394" i="14" s="1"/>
  <c r="F1395" i="14"/>
  <c r="G1395" i="14" s="1"/>
  <c r="F1396" i="14"/>
  <c r="G1396" i="14" s="1"/>
  <c r="F1397" i="14"/>
  <c r="G1397" i="14" s="1"/>
  <c r="F1398" i="14"/>
  <c r="G1398" i="14" s="1"/>
  <c r="F1399" i="14"/>
  <c r="G1399" i="14" s="1"/>
  <c r="F1400" i="14"/>
  <c r="G1400" i="14" s="1"/>
  <c r="F1401" i="14"/>
  <c r="G1401" i="14" s="1"/>
  <c r="F1402" i="14"/>
  <c r="G1402" i="14" s="1"/>
  <c r="F1403" i="14"/>
  <c r="G1403" i="14" s="1"/>
  <c r="F1404" i="14"/>
  <c r="G1404" i="14" s="1"/>
  <c r="F1405" i="14"/>
  <c r="G1405" i="14" s="1"/>
  <c r="F1406" i="14"/>
  <c r="G1406" i="14" s="1"/>
  <c r="F1407" i="14"/>
  <c r="G1407" i="14" s="1"/>
  <c r="F1408" i="14"/>
  <c r="G1408" i="14" s="1"/>
  <c r="F1409" i="14"/>
  <c r="G1409" i="14" s="1"/>
  <c r="F1410" i="14"/>
  <c r="G1410" i="14" s="1"/>
  <c r="F1411" i="14"/>
  <c r="G1411" i="14" s="1"/>
  <c r="F1412" i="14"/>
  <c r="G1412" i="14" s="1"/>
  <c r="F1413" i="14"/>
  <c r="G1413" i="14" s="1"/>
  <c r="F1414" i="14"/>
  <c r="G1414" i="14" s="1"/>
  <c r="F1415" i="14"/>
  <c r="G1415" i="14" s="1"/>
  <c r="F1416" i="14"/>
  <c r="G1416" i="14" s="1"/>
  <c r="F1417" i="14"/>
  <c r="G1417" i="14" s="1"/>
  <c r="F1418" i="14"/>
  <c r="G1418" i="14" s="1"/>
  <c r="F1419" i="14"/>
  <c r="G1419" i="14" s="1"/>
  <c r="F1420" i="14"/>
  <c r="G1420" i="14" s="1"/>
  <c r="F1421" i="14"/>
  <c r="G1421" i="14" s="1"/>
  <c r="F1422" i="14"/>
  <c r="G1422" i="14" s="1"/>
  <c r="F1423" i="14"/>
  <c r="G1423" i="14" s="1"/>
  <c r="F1424" i="14"/>
  <c r="G1424" i="14" s="1"/>
  <c r="F1425" i="14"/>
  <c r="G1425" i="14" s="1"/>
  <c r="F1426" i="14"/>
  <c r="G1426" i="14" s="1"/>
  <c r="F1427" i="14"/>
  <c r="G1427" i="14" s="1"/>
  <c r="F1428" i="14"/>
  <c r="G1428" i="14" s="1"/>
  <c r="F1429" i="14"/>
  <c r="G1429" i="14" s="1"/>
  <c r="F1430" i="14"/>
  <c r="G1430" i="14" s="1"/>
  <c r="F1431" i="14"/>
  <c r="G1431" i="14" s="1"/>
  <c r="F1432" i="14"/>
  <c r="G1432" i="14" s="1"/>
  <c r="F1433" i="14"/>
  <c r="G1433" i="14" s="1"/>
  <c r="F1434" i="14"/>
  <c r="G1434" i="14" s="1"/>
  <c r="F1435" i="14"/>
  <c r="G1435" i="14" s="1"/>
  <c r="F1436" i="14"/>
  <c r="G1436" i="14" s="1"/>
  <c r="F1437" i="14"/>
  <c r="G1437" i="14" s="1"/>
  <c r="F1438" i="14"/>
  <c r="G1438" i="14" s="1"/>
  <c r="F1439" i="14"/>
  <c r="G1439" i="14" s="1"/>
  <c r="F1440" i="14"/>
  <c r="G1440" i="14" s="1"/>
  <c r="F1441" i="14"/>
  <c r="G1441" i="14" s="1"/>
  <c r="F1442" i="14"/>
  <c r="G1442" i="14" s="1"/>
  <c r="F1443" i="14"/>
  <c r="G1443" i="14" s="1"/>
  <c r="F1444" i="14"/>
  <c r="G1444" i="14" s="1"/>
  <c r="F1445" i="14"/>
  <c r="G1445" i="14" s="1"/>
  <c r="F1446" i="14"/>
  <c r="G1446" i="14" s="1"/>
  <c r="F1447" i="14"/>
  <c r="G1447" i="14" s="1"/>
  <c r="F1448" i="14"/>
  <c r="G1448" i="14" s="1"/>
  <c r="F1449" i="14"/>
  <c r="G1449" i="14" s="1"/>
  <c r="F1450" i="14"/>
  <c r="G1450" i="14" s="1"/>
  <c r="F1451" i="14"/>
  <c r="G1451" i="14" s="1"/>
  <c r="F1452" i="14"/>
  <c r="G1452" i="14" s="1"/>
  <c r="F1453" i="14"/>
  <c r="G1453" i="14" s="1"/>
  <c r="F1454" i="14"/>
  <c r="G1454" i="14" s="1"/>
  <c r="F1455" i="14"/>
  <c r="G1455" i="14" s="1"/>
  <c r="F1456" i="14"/>
  <c r="G1456" i="14" s="1"/>
  <c r="F1457" i="14"/>
  <c r="G1457" i="14" s="1"/>
  <c r="F1458" i="14"/>
  <c r="G1458" i="14" s="1"/>
  <c r="F1459" i="14"/>
  <c r="G1459" i="14" s="1"/>
  <c r="F1460" i="14"/>
  <c r="G1460" i="14" s="1"/>
  <c r="F1461" i="14"/>
  <c r="G1461" i="14" s="1"/>
  <c r="F1462" i="14"/>
  <c r="G1462" i="14" s="1"/>
  <c r="F1463" i="14"/>
  <c r="G1463" i="14" s="1"/>
  <c r="F1464" i="14"/>
  <c r="G1464" i="14" s="1"/>
  <c r="F1465" i="14"/>
  <c r="G1465" i="14" s="1"/>
  <c r="F1466" i="14"/>
  <c r="G1466" i="14" s="1"/>
  <c r="F1467" i="14"/>
  <c r="G1467" i="14" s="1"/>
  <c r="F1468" i="14"/>
  <c r="G1468" i="14" s="1"/>
  <c r="F1469" i="14"/>
  <c r="G1469" i="14" s="1"/>
  <c r="F1470" i="14"/>
  <c r="G1470" i="14" s="1"/>
  <c r="F1471" i="14"/>
  <c r="G1471" i="14" s="1"/>
  <c r="F1472" i="14"/>
  <c r="G1472" i="14" s="1"/>
  <c r="F1473" i="14"/>
  <c r="G1473" i="14" s="1"/>
  <c r="F1474" i="14"/>
  <c r="G1474" i="14" s="1"/>
  <c r="F1475" i="14"/>
  <c r="G1475" i="14" s="1"/>
  <c r="F1476" i="14"/>
  <c r="G1476" i="14" s="1"/>
  <c r="F1477" i="14"/>
  <c r="G1477" i="14" s="1"/>
  <c r="F1478" i="14"/>
  <c r="G1478" i="14" s="1"/>
  <c r="F1479" i="14"/>
  <c r="G1479" i="14" s="1"/>
  <c r="F1480" i="14"/>
  <c r="G1480" i="14" s="1"/>
  <c r="F1481" i="14"/>
  <c r="G1481" i="14" s="1"/>
  <c r="F1482" i="14"/>
  <c r="G1482" i="14" s="1"/>
  <c r="F1483" i="14"/>
  <c r="G1483" i="14" s="1"/>
  <c r="F1484" i="14"/>
  <c r="G1484" i="14" s="1"/>
  <c r="F1485" i="14"/>
  <c r="G1485" i="14" s="1"/>
  <c r="F1486" i="14"/>
  <c r="G1486" i="14" s="1"/>
  <c r="F1487" i="14"/>
  <c r="G1487" i="14" s="1"/>
  <c r="F1488" i="14"/>
  <c r="G1488" i="14" s="1"/>
  <c r="F1489" i="14"/>
  <c r="G1489" i="14" s="1"/>
  <c r="F1490" i="14"/>
  <c r="G1490" i="14" s="1"/>
  <c r="F1491" i="14"/>
  <c r="G1491" i="14" s="1"/>
  <c r="F1492" i="14"/>
  <c r="G1492" i="14" s="1"/>
  <c r="F1493" i="14"/>
  <c r="G1493" i="14" s="1"/>
  <c r="F1494" i="14"/>
  <c r="G1494" i="14" s="1"/>
  <c r="F1495" i="14"/>
  <c r="G1495" i="14" s="1"/>
  <c r="F1496" i="14"/>
  <c r="G1496" i="14" s="1"/>
  <c r="F1497" i="14"/>
  <c r="G1497" i="14" s="1"/>
  <c r="F1498" i="14"/>
  <c r="G1498" i="14" s="1"/>
  <c r="F1499" i="14"/>
  <c r="G1499" i="14" s="1"/>
  <c r="F1500" i="14"/>
  <c r="G1500" i="14" s="1"/>
  <c r="F1501" i="14"/>
  <c r="G1501" i="14" s="1"/>
  <c r="F1502" i="14"/>
  <c r="G1502" i="14" s="1"/>
  <c r="F1503" i="14"/>
  <c r="G1503" i="14" s="1"/>
  <c r="F1504" i="14"/>
  <c r="G1504" i="14" s="1"/>
  <c r="F1505" i="14"/>
  <c r="G1505" i="14" s="1"/>
  <c r="F1506" i="14"/>
  <c r="G1506" i="14" s="1"/>
  <c r="F1507" i="14"/>
  <c r="G1507" i="14" s="1"/>
  <c r="F1508" i="14"/>
  <c r="G1508" i="14" s="1"/>
  <c r="F1509" i="14"/>
  <c r="G1509" i="14" s="1"/>
  <c r="F1510" i="14"/>
  <c r="G1510" i="14" s="1"/>
  <c r="F1511" i="14"/>
  <c r="G1511" i="14" s="1"/>
  <c r="F1512" i="14"/>
  <c r="G1512" i="14" s="1"/>
  <c r="F1513" i="14"/>
  <c r="G1513" i="14" s="1"/>
  <c r="F1514" i="14"/>
  <c r="G1514" i="14" s="1"/>
  <c r="F1515" i="14"/>
  <c r="G1515" i="14" s="1"/>
  <c r="F1516" i="14"/>
  <c r="G1516" i="14" s="1"/>
  <c r="F1517" i="14"/>
  <c r="G1517" i="14" s="1"/>
  <c r="F1518" i="14"/>
  <c r="G1518" i="14" s="1"/>
  <c r="F1519" i="14"/>
  <c r="G1519" i="14" s="1"/>
  <c r="F1520" i="14"/>
  <c r="G1520" i="14" s="1"/>
  <c r="F1521" i="14"/>
  <c r="G1521" i="14" s="1"/>
  <c r="F1522" i="14"/>
  <c r="G1522" i="14" s="1"/>
  <c r="F1523" i="14"/>
  <c r="G1523" i="14" s="1"/>
  <c r="F1524" i="14"/>
  <c r="G1524" i="14" s="1"/>
  <c r="F1525" i="14"/>
  <c r="G1525" i="14" s="1"/>
  <c r="F1526" i="14"/>
  <c r="G1526" i="14" s="1"/>
  <c r="F1527" i="14"/>
  <c r="G1527" i="14" s="1"/>
  <c r="F1528" i="14"/>
  <c r="G1528" i="14" s="1"/>
  <c r="F1529" i="14"/>
  <c r="G1529" i="14" s="1"/>
  <c r="F1530" i="14"/>
  <c r="G1530" i="14" s="1"/>
  <c r="F1531" i="14"/>
  <c r="G1531" i="14" s="1"/>
  <c r="F1532" i="14"/>
  <c r="G1532" i="14" s="1"/>
  <c r="F1533" i="14"/>
  <c r="G1533" i="14" s="1"/>
  <c r="F1534" i="14"/>
  <c r="G1534" i="14" s="1"/>
  <c r="F1535" i="14"/>
  <c r="G1535" i="14" s="1"/>
  <c r="F1536" i="14"/>
  <c r="G1536" i="14" s="1"/>
  <c r="F1537" i="14"/>
  <c r="G1537" i="14" s="1"/>
  <c r="F1538" i="14"/>
  <c r="G1538" i="14" s="1"/>
  <c r="F1539" i="14"/>
  <c r="G1539" i="14" s="1"/>
  <c r="F1540" i="14"/>
  <c r="G1540" i="14" s="1"/>
  <c r="F1541" i="14"/>
  <c r="G1541" i="14" s="1"/>
  <c r="F1542" i="14"/>
  <c r="G1542" i="14" s="1"/>
  <c r="F1543" i="14"/>
  <c r="G1543" i="14" s="1"/>
  <c r="F1544" i="14"/>
  <c r="G1544" i="14" s="1"/>
  <c r="F1545" i="14"/>
  <c r="G1545" i="14" s="1"/>
  <c r="F1546" i="14"/>
  <c r="G1546" i="14" s="1"/>
  <c r="F1547" i="14"/>
  <c r="G1547" i="14" s="1"/>
  <c r="F1548" i="14"/>
  <c r="G1548" i="14" s="1"/>
  <c r="F1549" i="14"/>
  <c r="G1549" i="14" s="1"/>
  <c r="F1550" i="14"/>
  <c r="G1550" i="14" s="1"/>
  <c r="F1551" i="14"/>
  <c r="G1551" i="14" s="1"/>
  <c r="F1552" i="14"/>
  <c r="G1552" i="14" s="1"/>
  <c r="F1553" i="14"/>
  <c r="G1553" i="14" s="1"/>
  <c r="F1554" i="14"/>
  <c r="G1554" i="14" s="1"/>
  <c r="F1555" i="14"/>
  <c r="G1555" i="14" s="1"/>
  <c r="F1556" i="14"/>
  <c r="G1556" i="14" s="1"/>
  <c r="F1557" i="14"/>
  <c r="G1557" i="14" s="1"/>
  <c r="F1558" i="14"/>
  <c r="G1558" i="14" s="1"/>
  <c r="F1559" i="14"/>
  <c r="G1559" i="14" s="1"/>
  <c r="F1560" i="14"/>
  <c r="G1560" i="14" s="1"/>
  <c r="F1561" i="14"/>
  <c r="G1561" i="14" s="1"/>
  <c r="F1562" i="14"/>
  <c r="G1562" i="14" s="1"/>
  <c r="F1563" i="14"/>
  <c r="G1563" i="14" s="1"/>
  <c r="F1564" i="14"/>
  <c r="G1564" i="14" s="1"/>
  <c r="F1565" i="14"/>
  <c r="G1565" i="14" s="1"/>
  <c r="F1566" i="14"/>
  <c r="G1566" i="14" s="1"/>
  <c r="F1567" i="14"/>
  <c r="G1567" i="14" s="1"/>
  <c r="F1568" i="14"/>
  <c r="G1568" i="14" s="1"/>
  <c r="F1569" i="14"/>
  <c r="G1569" i="14" s="1"/>
  <c r="F1570" i="14"/>
  <c r="G1570" i="14" s="1"/>
  <c r="F1571" i="14"/>
  <c r="G1571" i="14" s="1"/>
  <c r="F1572" i="14"/>
  <c r="G1572" i="14" s="1"/>
  <c r="F1573" i="14"/>
  <c r="G1573" i="14" s="1"/>
  <c r="F1574" i="14"/>
  <c r="G1574" i="14" s="1"/>
  <c r="F1575" i="14"/>
  <c r="G1575" i="14" s="1"/>
  <c r="F1576" i="14"/>
  <c r="G1576" i="14" s="1"/>
  <c r="F1577" i="14"/>
  <c r="G1577" i="14" s="1"/>
  <c r="F1578" i="14"/>
  <c r="G1578" i="14" s="1"/>
  <c r="F1579" i="14"/>
  <c r="G1579" i="14" s="1"/>
  <c r="F1580" i="14"/>
  <c r="G1580" i="14" s="1"/>
  <c r="F1581" i="14"/>
  <c r="G1581" i="14" s="1"/>
  <c r="F1582" i="14"/>
  <c r="G1582" i="14" s="1"/>
  <c r="F1583" i="14"/>
  <c r="G1583" i="14" s="1"/>
  <c r="F1584" i="14"/>
  <c r="G1584" i="14" s="1"/>
  <c r="F1585" i="14"/>
  <c r="G1585" i="14" s="1"/>
  <c r="F1586" i="14"/>
  <c r="G1586" i="14" s="1"/>
  <c r="F1587" i="14"/>
  <c r="G1587" i="14" s="1"/>
  <c r="F1588" i="14"/>
  <c r="G1588" i="14" s="1"/>
  <c r="F1589" i="14"/>
  <c r="G1589" i="14" s="1"/>
  <c r="F1590" i="14"/>
  <c r="G1590" i="14" s="1"/>
  <c r="F1591" i="14"/>
  <c r="G1591" i="14" s="1"/>
  <c r="F1592" i="14"/>
  <c r="G1592" i="14" s="1"/>
  <c r="F1593" i="14"/>
  <c r="G1593" i="14" s="1"/>
  <c r="F1594" i="14"/>
  <c r="G1594" i="14" s="1"/>
  <c r="F1595" i="14"/>
  <c r="G1595" i="14" s="1"/>
  <c r="F1596" i="14"/>
  <c r="G1596" i="14" s="1"/>
  <c r="F1597" i="14"/>
  <c r="G1597" i="14" s="1"/>
  <c r="F1598" i="14"/>
  <c r="G1598" i="14" s="1"/>
  <c r="F1599" i="14"/>
  <c r="G1599" i="14" s="1"/>
  <c r="F1600" i="14"/>
  <c r="G1600" i="14" s="1"/>
  <c r="F1601" i="14"/>
  <c r="G1601" i="14" s="1"/>
  <c r="F1602" i="14"/>
  <c r="G1602" i="14" s="1"/>
  <c r="F1603" i="14"/>
  <c r="G1603" i="14" s="1"/>
  <c r="F1604" i="14"/>
  <c r="G1604" i="14" s="1"/>
  <c r="F1605" i="14"/>
  <c r="G1605" i="14" s="1"/>
  <c r="F1606" i="14"/>
  <c r="G1606" i="14" s="1"/>
  <c r="F1607" i="14"/>
  <c r="G1607" i="14" s="1"/>
  <c r="F1608" i="14"/>
  <c r="G1608" i="14" s="1"/>
  <c r="F1609" i="14"/>
  <c r="G1609" i="14" s="1"/>
  <c r="F1610" i="14"/>
  <c r="G1610" i="14" s="1"/>
  <c r="F1611" i="14"/>
  <c r="G1611" i="14" s="1"/>
  <c r="F1612" i="14"/>
  <c r="G1612" i="14" s="1"/>
  <c r="F1613" i="14"/>
  <c r="G1613" i="14" s="1"/>
  <c r="F1614" i="14"/>
  <c r="G1614" i="14" s="1"/>
  <c r="F1615" i="14"/>
  <c r="G1615" i="14" s="1"/>
  <c r="F1616" i="14"/>
  <c r="G1616" i="14" s="1"/>
  <c r="F1617" i="14"/>
  <c r="G1617" i="14" s="1"/>
  <c r="F1618" i="14"/>
  <c r="G1618" i="14" s="1"/>
  <c r="F1619" i="14"/>
  <c r="G1619" i="14" s="1"/>
  <c r="F1620" i="14"/>
  <c r="G1620" i="14" s="1"/>
  <c r="F1621" i="14"/>
  <c r="G1621" i="14" s="1"/>
  <c r="F1622" i="14"/>
  <c r="G1622" i="14" s="1"/>
  <c r="F1623" i="14"/>
  <c r="G1623" i="14" s="1"/>
  <c r="F1624" i="14"/>
  <c r="G1624" i="14" s="1"/>
  <c r="F1625" i="14"/>
  <c r="G1625" i="14" s="1"/>
  <c r="F1626" i="14"/>
  <c r="G1626" i="14" s="1"/>
  <c r="F1627" i="14"/>
  <c r="G1627" i="14" s="1"/>
  <c r="F1628" i="14"/>
  <c r="G1628" i="14" s="1"/>
  <c r="F1629" i="14"/>
  <c r="G1629" i="14" s="1"/>
  <c r="F1630" i="14"/>
  <c r="G1630" i="14" s="1"/>
  <c r="F1631" i="14"/>
  <c r="G1631" i="14" s="1"/>
  <c r="F1632" i="14"/>
  <c r="G1632" i="14" s="1"/>
  <c r="F1633" i="14"/>
  <c r="G1633" i="14" s="1"/>
  <c r="F1634" i="14"/>
  <c r="G1634" i="14" s="1"/>
  <c r="F1635" i="14"/>
  <c r="G1635" i="14" s="1"/>
  <c r="F1636" i="14"/>
  <c r="G1636" i="14" s="1"/>
  <c r="F1637" i="14"/>
  <c r="G1637" i="14" s="1"/>
  <c r="F1638" i="14"/>
  <c r="G1638" i="14" s="1"/>
  <c r="F1639" i="14"/>
  <c r="G1639" i="14" s="1"/>
  <c r="F1640" i="14"/>
  <c r="G1640" i="14" s="1"/>
  <c r="F1641" i="14"/>
  <c r="G1641" i="14" s="1"/>
  <c r="F1642" i="14"/>
  <c r="G1642" i="14" s="1"/>
  <c r="F1643" i="14"/>
  <c r="G1643" i="14" s="1"/>
  <c r="F1644" i="14"/>
  <c r="G1644" i="14" s="1"/>
  <c r="F1645" i="14"/>
  <c r="G1645" i="14" s="1"/>
  <c r="F1646" i="14"/>
  <c r="G1646" i="14" s="1"/>
  <c r="F1647" i="14"/>
  <c r="G1647" i="14" s="1"/>
  <c r="F1648" i="14"/>
  <c r="G1648" i="14" s="1"/>
  <c r="F1649" i="14"/>
  <c r="G1649" i="14" s="1"/>
  <c r="F1650" i="14"/>
  <c r="G1650" i="14" s="1"/>
  <c r="F1651" i="14"/>
  <c r="G1651" i="14" s="1"/>
  <c r="F1652" i="14"/>
  <c r="G1652" i="14" s="1"/>
  <c r="F1653" i="14"/>
  <c r="G1653" i="14" s="1"/>
  <c r="F1654" i="14"/>
  <c r="G1654" i="14" s="1"/>
  <c r="F1655" i="14"/>
  <c r="G1655" i="14" s="1"/>
  <c r="F1656" i="14"/>
  <c r="G1656" i="14" s="1"/>
  <c r="F1657" i="14"/>
  <c r="G1657" i="14" s="1"/>
  <c r="F1658" i="14"/>
  <c r="G1658" i="14" s="1"/>
  <c r="F1659" i="14"/>
  <c r="G1659" i="14" s="1"/>
  <c r="F1660" i="14"/>
  <c r="G1660" i="14" s="1"/>
  <c r="F1661" i="14"/>
  <c r="G1661" i="14" s="1"/>
  <c r="F1662" i="14"/>
  <c r="G1662" i="14" s="1"/>
  <c r="F1663" i="14"/>
  <c r="G1663" i="14" s="1"/>
  <c r="F1664" i="14"/>
  <c r="G1664" i="14" s="1"/>
  <c r="F1665" i="14"/>
  <c r="G1665" i="14" s="1"/>
  <c r="F1666" i="14"/>
  <c r="G1666" i="14" s="1"/>
  <c r="F1667" i="14"/>
  <c r="G1667" i="14" s="1"/>
  <c r="F1668" i="14"/>
  <c r="G1668" i="14" s="1"/>
  <c r="F1669" i="14"/>
  <c r="G1669" i="14" s="1"/>
  <c r="F1670" i="14"/>
  <c r="G1670" i="14" s="1"/>
  <c r="F1671" i="14"/>
  <c r="G1671" i="14" s="1"/>
  <c r="F1672" i="14"/>
  <c r="G1672" i="14" s="1"/>
  <c r="F1673" i="14"/>
  <c r="G1673" i="14" s="1"/>
  <c r="F1674" i="14"/>
  <c r="G1674" i="14" s="1"/>
  <c r="F1675" i="14"/>
  <c r="G1675" i="14" s="1"/>
  <c r="F1676" i="14"/>
  <c r="G1676" i="14" s="1"/>
  <c r="F1677" i="14"/>
  <c r="G1677" i="14" s="1"/>
  <c r="F1678" i="14"/>
  <c r="G1678" i="14" s="1"/>
  <c r="F1679" i="14"/>
  <c r="G1679" i="14" s="1"/>
  <c r="F1680" i="14"/>
  <c r="G1680" i="14" s="1"/>
  <c r="F1681" i="14"/>
  <c r="G1681" i="14" s="1"/>
  <c r="F1682" i="14"/>
  <c r="G1682" i="14" s="1"/>
  <c r="F1683" i="14"/>
  <c r="G1683" i="14" s="1"/>
  <c r="F1684" i="14"/>
  <c r="G1684" i="14" s="1"/>
  <c r="F1685" i="14"/>
  <c r="G1685" i="14" s="1"/>
  <c r="F1686" i="14"/>
  <c r="G1686" i="14" s="1"/>
  <c r="F1687" i="14"/>
  <c r="G1687" i="14" s="1"/>
  <c r="F1688" i="14"/>
  <c r="G1688" i="14" s="1"/>
  <c r="F1689" i="14"/>
  <c r="G1689" i="14" s="1"/>
  <c r="F1690" i="14"/>
  <c r="G1690" i="14" s="1"/>
  <c r="F1691" i="14"/>
  <c r="G1691" i="14" s="1"/>
  <c r="F1692" i="14"/>
  <c r="G1692" i="14" s="1"/>
  <c r="F1693" i="14"/>
  <c r="G1693" i="14" s="1"/>
  <c r="F1694" i="14"/>
  <c r="G1694" i="14" s="1"/>
  <c r="F1695" i="14"/>
  <c r="G1695" i="14" s="1"/>
  <c r="F1696" i="14"/>
  <c r="G1696" i="14" s="1"/>
  <c r="F1697" i="14"/>
  <c r="G1697" i="14" s="1"/>
  <c r="F1698" i="14"/>
  <c r="G1698" i="14" s="1"/>
  <c r="F1699" i="14"/>
  <c r="G1699" i="14" s="1"/>
  <c r="F1700" i="14"/>
  <c r="G1700" i="14" s="1"/>
  <c r="F1701" i="14"/>
  <c r="G1701" i="14" s="1"/>
  <c r="F1702" i="14"/>
  <c r="G1702" i="14" s="1"/>
  <c r="F1703" i="14"/>
  <c r="G1703" i="14" s="1"/>
  <c r="F1704" i="14"/>
  <c r="G1704" i="14" s="1"/>
  <c r="F1705" i="14"/>
  <c r="G1705" i="14" s="1"/>
  <c r="F1706" i="14"/>
  <c r="G1706" i="14" s="1"/>
  <c r="F1707" i="14"/>
  <c r="G1707" i="14" s="1"/>
  <c r="F1708" i="14"/>
  <c r="G1708" i="14" s="1"/>
  <c r="F1709" i="14"/>
  <c r="G1709" i="14" s="1"/>
  <c r="F1710" i="14"/>
  <c r="G1710" i="14" s="1"/>
  <c r="F1711" i="14"/>
  <c r="G1711" i="14" s="1"/>
  <c r="F1712" i="14"/>
  <c r="G1712" i="14" s="1"/>
  <c r="F1713" i="14"/>
  <c r="G1713" i="14" s="1"/>
  <c r="F1714" i="14"/>
  <c r="G1714" i="14" s="1"/>
  <c r="F1715" i="14"/>
  <c r="G1715" i="14" s="1"/>
  <c r="F1716" i="14"/>
  <c r="G1716" i="14" s="1"/>
  <c r="F1717" i="14"/>
  <c r="G1717" i="14" s="1"/>
  <c r="F1718" i="14"/>
  <c r="G1718" i="14" s="1"/>
  <c r="F1719" i="14"/>
  <c r="G1719" i="14" s="1"/>
  <c r="F1720" i="14"/>
  <c r="G1720" i="14" s="1"/>
  <c r="F1721" i="14"/>
  <c r="G1721" i="14" s="1"/>
  <c r="F1722" i="14"/>
  <c r="G1722" i="14" s="1"/>
  <c r="F1723" i="14"/>
  <c r="G1723" i="14" s="1"/>
  <c r="F1724" i="14"/>
  <c r="G1724" i="14" s="1"/>
  <c r="F1725" i="14"/>
  <c r="G1725" i="14" s="1"/>
  <c r="F1726" i="14"/>
  <c r="G1726" i="14" s="1"/>
  <c r="F1727" i="14"/>
  <c r="G1727" i="14" s="1"/>
  <c r="F1728" i="14"/>
  <c r="G1728" i="14" s="1"/>
  <c r="F1729" i="14"/>
  <c r="G1729" i="14" s="1"/>
  <c r="F1730" i="14"/>
  <c r="G1730" i="14" s="1"/>
  <c r="F1731" i="14"/>
  <c r="G1731" i="14" s="1"/>
  <c r="F1732" i="14"/>
  <c r="G1732" i="14" s="1"/>
  <c r="F1733" i="14"/>
  <c r="G1733" i="14" s="1"/>
  <c r="F1734" i="14"/>
  <c r="G1734" i="14" s="1"/>
  <c r="F1735" i="14"/>
  <c r="G1735" i="14" s="1"/>
  <c r="F1736" i="14"/>
  <c r="G1736" i="14" s="1"/>
  <c r="F1737" i="14"/>
  <c r="G1737" i="14" s="1"/>
  <c r="F1738" i="14"/>
  <c r="G1738" i="14" s="1"/>
  <c r="F1739" i="14"/>
  <c r="G1739" i="14" s="1"/>
  <c r="F1740" i="14"/>
  <c r="G1740" i="14" s="1"/>
  <c r="F1741" i="14"/>
  <c r="G1741" i="14" s="1"/>
  <c r="F1742" i="14"/>
  <c r="G1742" i="14" s="1"/>
  <c r="F1743" i="14"/>
  <c r="G1743" i="14" s="1"/>
  <c r="F1744" i="14"/>
  <c r="G1744" i="14" s="1"/>
  <c r="F1745" i="14"/>
  <c r="G1745" i="14" s="1"/>
  <c r="F1746" i="14"/>
  <c r="G1746" i="14" s="1"/>
  <c r="F1747" i="14"/>
  <c r="G1747" i="14" s="1"/>
  <c r="F1748" i="14"/>
  <c r="G1748" i="14" s="1"/>
  <c r="F1749" i="14"/>
  <c r="G1749" i="14" s="1"/>
  <c r="F1750" i="14"/>
  <c r="G1750" i="14" s="1"/>
  <c r="F1751" i="14"/>
  <c r="G1751" i="14" s="1"/>
  <c r="F1752" i="14"/>
  <c r="G1752" i="14" s="1"/>
  <c r="F1753" i="14"/>
  <c r="G1753" i="14" s="1"/>
  <c r="F1754" i="14"/>
  <c r="G1754" i="14" s="1"/>
  <c r="F1755" i="14"/>
  <c r="G1755" i="14" s="1"/>
  <c r="F1756" i="14"/>
  <c r="G1756" i="14" s="1"/>
  <c r="F1757" i="14"/>
  <c r="G1757" i="14" s="1"/>
  <c r="F1758" i="14"/>
  <c r="G1758" i="14" s="1"/>
  <c r="F1759" i="14"/>
  <c r="G1759" i="14" s="1"/>
  <c r="F1760" i="14"/>
  <c r="G1760" i="14" s="1"/>
  <c r="F1761" i="14"/>
  <c r="G1761" i="14" s="1"/>
  <c r="F1762" i="14"/>
  <c r="G1762" i="14" s="1"/>
  <c r="F1763" i="14"/>
  <c r="G1763" i="14" s="1"/>
  <c r="F1764" i="14"/>
  <c r="G1764" i="14" s="1"/>
  <c r="F1765" i="14"/>
  <c r="G1765" i="14" s="1"/>
  <c r="F1766" i="14"/>
  <c r="G1766" i="14" s="1"/>
  <c r="F1767" i="14"/>
  <c r="G1767" i="14" s="1"/>
  <c r="F1768" i="14"/>
  <c r="G1768" i="14" s="1"/>
  <c r="F1769" i="14"/>
  <c r="G1769" i="14" s="1"/>
  <c r="F1770" i="14"/>
  <c r="G1770" i="14" s="1"/>
  <c r="F1771" i="14"/>
  <c r="G1771" i="14" s="1"/>
  <c r="F1772" i="14"/>
  <c r="G1772" i="14" s="1"/>
  <c r="F1773" i="14"/>
  <c r="G1773" i="14" s="1"/>
  <c r="F1774" i="14"/>
  <c r="G1774" i="14" s="1"/>
  <c r="F1775" i="14"/>
  <c r="G1775" i="14" s="1"/>
  <c r="F1776" i="14"/>
  <c r="G1776" i="14" s="1"/>
  <c r="F1777" i="14"/>
  <c r="G1777" i="14" s="1"/>
  <c r="F1778" i="14"/>
  <c r="G1778" i="14" s="1"/>
  <c r="F1779" i="14"/>
  <c r="G1779" i="14" s="1"/>
  <c r="F1780" i="14"/>
  <c r="G1780" i="14" s="1"/>
  <c r="F1781" i="14"/>
  <c r="G1781" i="14" s="1"/>
  <c r="F1782" i="14"/>
  <c r="G1782" i="14" s="1"/>
  <c r="F1783" i="14"/>
  <c r="G1783" i="14" s="1"/>
  <c r="F1784" i="14"/>
  <c r="G1784" i="14" s="1"/>
  <c r="F1785" i="14"/>
  <c r="G1785" i="14" s="1"/>
  <c r="F1786" i="14"/>
  <c r="G1786" i="14" s="1"/>
  <c r="F1787" i="14"/>
  <c r="G1787" i="14" s="1"/>
  <c r="F1788" i="14"/>
  <c r="G1788" i="14" s="1"/>
  <c r="F1789" i="14"/>
  <c r="G1789" i="14" s="1"/>
  <c r="F1790" i="14"/>
  <c r="G1790" i="14" s="1"/>
  <c r="F1791" i="14"/>
  <c r="G1791" i="14" s="1"/>
  <c r="F1792" i="14"/>
  <c r="G1792" i="14" s="1"/>
  <c r="F1793" i="14"/>
  <c r="G1793" i="14" s="1"/>
  <c r="F1794" i="14"/>
  <c r="G1794" i="14" s="1"/>
  <c r="F1795" i="14"/>
  <c r="G1795" i="14" s="1"/>
  <c r="F1796" i="14"/>
  <c r="G1796" i="14" s="1"/>
  <c r="F1797" i="14"/>
  <c r="G1797" i="14" s="1"/>
  <c r="F1798" i="14"/>
  <c r="G1798" i="14" s="1"/>
  <c r="F1799" i="14"/>
  <c r="G1799" i="14" s="1"/>
  <c r="F1800" i="14"/>
  <c r="G1800" i="14" s="1"/>
  <c r="F1801" i="14"/>
  <c r="G1801" i="14" s="1"/>
  <c r="F1802" i="14"/>
  <c r="G1802" i="14" s="1"/>
  <c r="F1803" i="14"/>
  <c r="G1803" i="14" s="1"/>
  <c r="F1804" i="14"/>
  <c r="G1804" i="14" s="1"/>
  <c r="F1805" i="14"/>
  <c r="G1805" i="14" s="1"/>
  <c r="F1806" i="14"/>
  <c r="G1806" i="14" s="1"/>
  <c r="F1807" i="14"/>
  <c r="G1807" i="14" s="1"/>
  <c r="F1808" i="14"/>
  <c r="G1808" i="14" s="1"/>
  <c r="F1809" i="14"/>
  <c r="G1809" i="14" s="1"/>
  <c r="F1810" i="14"/>
  <c r="G1810" i="14" s="1"/>
  <c r="F1811" i="14"/>
  <c r="G1811" i="14" s="1"/>
  <c r="F1812" i="14"/>
  <c r="G1812" i="14" s="1"/>
  <c r="F1813" i="14"/>
  <c r="G1813" i="14" s="1"/>
  <c r="F1814" i="14"/>
  <c r="G1814" i="14" s="1"/>
  <c r="F1815" i="14"/>
  <c r="G1815" i="14" s="1"/>
  <c r="F1816" i="14"/>
  <c r="G1816" i="14" s="1"/>
  <c r="F1817" i="14"/>
  <c r="G1817" i="14" s="1"/>
  <c r="F1818" i="14"/>
  <c r="G1818" i="14" s="1"/>
  <c r="F1819" i="14"/>
  <c r="G1819" i="14" s="1"/>
  <c r="F1820" i="14"/>
  <c r="G1820" i="14" s="1"/>
  <c r="F1821" i="14"/>
  <c r="G1821" i="14" s="1"/>
  <c r="F1822" i="14"/>
  <c r="G1822" i="14" s="1"/>
  <c r="F1823" i="14"/>
  <c r="G1823" i="14" s="1"/>
  <c r="F1824" i="14"/>
  <c r="G1824" i="14" s="1"/>
  <c r="F1825" i="14"/>
  <c r="G1825" i="14" s="1"/>
  <c r="F1826" i="14"/>
  <c r="G1826" i="14" s="1"/>
  <c r="F1827" i="14"/>
  <c r="G1827" i="14" s="1"/>
  <c r="F1828" i="14"/>
  <c r="G1828" i="14" s="1"/>
  <c r="F1829" i="14"/>
  <c r="G1829" i="14" s="1"/>
  <c r="F1830" i="14"/>
  <c r="G1830" i="14" s="1"/>
  <c r="F1831" i="14"/>
  <c r="G1831" i="14" s="1"/>
  <c r="F1832" i="14"/>
  <c r="G1832" i="14" s="1"/>
  <c r="F1833" i="14"/>
  <c r="G1833" i="14" s="1"/>
  <c r="F1834" i="14"/>
  <c r="G1834" i="14" s="1"/>
  <c r="F1835" i="14"/>
  <c r="G1835" i="14" s="1"/>
  <c r="F1836" i="14"/>
  <c r="G1836" i="14" s="1"/>
  <c r="F1837" i="14"/>
  <c r="G1837" i="14" s="1"/>
  <c r="F1838" i="14"/>
  <c r="G1838" i="14" s="1"/>
  <c r="F1839" i="14"/>
  <c r="G1839" i="14" s="1"/>
  <c r="F1840" i="14"/>
  <c r="G1840" i="14" s="1"/>
  <c r="F1841" i="14"/>
  <c r="G1841" i="14" s="1"/>
  <c r="F1842" i="14"/>
  <c r="G1842" i="14" s="1"/>
  <c r="F1843" i="14"/>
  <c r="G1843" i="14" s="1"/>
  <c r="F1844" i="14"/>
  <c r="G1844" i="14" s="1"/>
  <c r="F1845" i="14"/>
  <c r="G1845" i="14" s="1"/>
  <c r="F1846" i="14"/>
  <c r="G1846" i="14" s="1"/>
  <c r="F1847" i="14"/>
  <c r="G1847" i="14" s="1"/>
  <c r="F1848" i="14"/>
  <c r="G1848" i="14" s="1"/>
  <c r="F1849" i="14"/>
  <c r="G1849" i="14" s="1"/>
  <c r="F1850" i="14"/>
  <c r="G1850" i="14" s="1"/>
  <c r="F1851" i="14"/>
  <c r="G1851" i="14" s="1"/>
  <c r="F1852" i="14"/>
  <c r="G1852" i="14" s="1"/>
  <c r="F1853" i="14"/>
  <c r="G1853" i="14" s="1"/>
  <c r="F1854" i="14"/>
  <c r="G1854" i="14" s="1"/>
  <c r="F1855" i="14"/>
  <c r="G1855" i="14" s="1"/>
  <c r="F1856" i="14"/>
  <c r="G1856" i="14" s="1"/>
  <c r="F1857" i="14"/>
  <c r="G1857" i="14" s="1"/>
  <c r="F1858" i="14"/>
  <c r="G1858" i="14" s="1"/>
  <c r="F1859" i="14"/>
  <c r="G1859" i="14" s="1"/>
  <c r="F1860" i="14"/>
  <c r="G1860" i="14" s="1"/>
  <c r="F1861" i="14"/>
  <c r="G1861" i="14" s="1"/>
  <c r="F1862" i="14"/>
  <c r="G1862" i="14" s="1"/>
  <c r="F1863" i="14"/>
  <c r="G1863" i="14" s="1"/>
  <c r="F1864" i="14"/>
  <c r="G1864" i="14" s="1"/>
  <c r="F1865" i="14"/>
  <c r="G1865" i="14" s="1"/>
  <c r="F1866" i="14"/>
  <c r="G1866" i="14" s="1"/>
  <c r="F1867" i="14"/>
  <c r="G1867" i="14" s="1"/>
  <c r="F1868" i="14"/>
  <c r="G1868" i="14" s="1"/>
  <c r="F1869" i="14"/>
  <c r="G1869" i="14" s="1"/>
  <c r="F1870" i="14"/>
  <c r="G1870" i="14" s="1"/>
  <c r="F1871" i="14"/>
  <c r="G1871" i="14" s="1"/>
  <c r="F1872" i="14"/>
  <c r="G1872" i="14" s="1"/>
  <c r="F1873" i="14"/>
  <c r="G1873" i="14" s="1"/>
  <c r="F1874" i="14"/>
  <c r="G1874" i="14" s="1"/>
  <c r="F1875" i="14"/>
  <c r="G1875" i="14" s="1"/>
  <c r="F1876" i="14"/>
  <c r="G1876" i="14" s="1"/>
  <c r="F1877" i="14"/>
  <c r="G1877" i="14" s="1"/>
  <c r="F1878" i="14"/>
  <c r="G1878" i="14" s="1"/>
  <c r="F1879" i="14"/>
  <c r="G1879" i="14" s="1"/>
  <c r="F1880" i="14"/>
  <c r="G1880" i="14" s="1"/>
  <c r="F1881" i="14"/>
  <c r="G1881" i="14" s="1"/>
  <c r="F1882" i="14"/>
  <c r="G1882" i="14" s="1"/>
  <c r="F1883" i="14"/>
  <c r="G1883" i="14" s="1"/>
  <c r="F1884" i="14"/>
  <c r="G1884" i="14" s="1"/>
  <c r="F1885" i="14"/>
  <c r="G1885" i="14" s="1"/>
  <c r="F1886" i="14"/>
  <c r="G1886" i="14" s="1"/>
  <c r="F1887" i="14"/>
  <c r="G1887" i="14" s="1"/>
  <c r="F1888" i="14"/>
  <c r="G1888" i="14" s="1"/>
  <c r="F1889" i="14"/>
  <c r="G1889" i="14" s="1"/>
  <c r="F1890" i="14"/>
  <c r="G1890" i="14" s="1"/>
  <c r="F1891" i="14"/>
  <c r="G1891" i="14" s="1"/>
  <c r="F1892" i="14"/>
  <c r="G1892" i="14" s="1"/>
  <c r="F1893" i="14"/>
  <c r="G1893" i="14" s="1"/>
  <c r="F1894" i="14"/>
  <c r="G1894" i="14" s="1"/>
  <c r="F1895" i="14"/>
  <c r="G1895" i="14" s="1"/>
  <c r="F1896" i="14"/>
  <c r="G1896" i="14" s="1"/>
  <c r="F1897" i="14"/>
  <c r="G1897" i="14" s="1"/>
  <c r="F1898" i="14"/>
  <c r="G1898" i="14" s="1"/>
  <c r="F1899" i="14"/>
  <c r="G1899" i="14" s="1"/>
  <c r="F1900" i="14"/>
  <c r="G1900" i="14" s="1"/>
  <c r="F1901" i="14"/>
  <c r="G1901" i="14" s="1"/>
  <c r="F1902" i="14"/>
  <c r="G1902" i="14" s="1"/>
  <c r="F1903" i="14"/>
  <c r="G1903" i="14" s="1"/>
  <c r="F1904" i="14"/>
  <c r="G1904" i="14" s="1"/>
  <c r="F1905" i="14"/>
  <c r="G1905" i="14" s="1"/>
  <c r="F1906" i="14"/>
  <c r="G1906" i="14" s="1"/>
  <c r="F1907" i="14"/>
  <c r="G1907" i="14" s="1"/>
  <c r="F1908" i="14"/>
  <c r="G1908" i="14" s="1"/>
  <c r="F1909" i="14"/>
  <c r="G1909" i="14" s="1"/>
  <c r="F1910" i="14"/>
  <c r="G1910" i="14" s="1"/>
  <c r="F1911" i="14"/>
  <c r="G1911" i="14" s="1"/>
  <c r="F1912" i="14"/>
  <c r="G1912" i="14" s="1"/>
  <c r="F1913" i="14"/>
  <c r="G1913" i="14" s="1"/>
  <c r="F1914" i="14"/>
  <c r="G1914" i="14" s="1"/>
  <c r="F1915" i="14"/>
  <c r="G1915" i="14" s="1"/>
  <c r="F1916" i="14"/>
  <c r="G1916" i="14" s="1"/>
  <c r="F1917" i="14"/>
  <c r="G1917" i="14" s="1"/>
  <c r="F1918" i="14"/>
  <c r="G1918" i="14" s="1"/>
  <c r="F1919" i="14"/>
  <c r="G1919" i="14" s="1"/>
  <c r="F1920" i="14"/>
  <c r="G1920" i="14" s="1"/>
  <c r="F1921" i="14"/>
  <c r="G1921" i="14" s="1"/>
  <c r="F1922" i="14"/>
  <c r="G1922" i="14" s="1"/>
  <c r="F1923" i="14"/>
  <c r="G1923" i="14" s="1"/>
  <c r="F1924" i="14"/>
  <c r="G1924" i="14" s="1"/>
  <c r="F1925" i="14"/>
  <c r="G1925" i="14" s="1"/>
  <c r="F1926" i="14"/>
  <c r="G1926" i="14" s="1"/>
  <c r="F1927" i="14"/>
  <c r="G1927" i="14" s="1"/>
  <c r="F1928" i="14"/>
  <c r="G1928" i="14" s="1"/>
  <c r="F1929" i="14"/>
  <c r="G1929" i="14" s="1"/>
  <c r="F1930" i="14"/>
  <c r="G1930" i="14" s="1"/>
  <c r="F1931" i="14"/>
  <c r="G1931" i="14" s="1"/>
  <c r="F1932" i="14"/>
  <c r="G1932" i="14" s="1"/>
  <c r="F1933" i="14"/>
  <c r="G1933" i="14" s="1"/>
  <c r="F1934" i="14"/>
  <c r="G1934" i="14" s="1"/>
  <c r="F1935" i="14"/>
  <c r="G1935" i="14" s="1"/>
  <c r="F1936" i="14"/>
  <c r="G1936" i="14" s="1"/>
  <c r="F1937" i="14"/>
  <c r="G1937" i="14" s="1"/>
  <c r="F1938" i="14"/>
  <c r="G1938" i="14" s="1"/>
  <c r="F1939" i="14"/>
  <c r="G1939" i="14" s="1"/>
  <c r="F1940" i="14"/>
  <c r="G1940" i="14" s="1"/>
  <c r="F1941" i="14"/>
  <c r="G1941" i="14" s="1"/>
  <c r="F1942" i="14"/>
  <c r="G1942" i="14" s="1"/>
  <c r="F1943" i="14"/>
  <c r="G1943" i="14" s="1"/>
  <c r="F1944" i="14"/>
  <c r="G1944" i="14" s="1"/>
  <c r="F1945" i="14"/>
  <c r="G1945" i="14" s="1"/>
  <c r="F1946" i="14"/>
  <c r="G1946" i="14" s="1"/>
  <c r="F1947" i="14"/>
  <c r="G1947" i="14" s="1"/>
  <c r="F1948" i="14"/>
  <c r="G1948" i="14" s="1"/>
  <c r="F1949" i="14"/>
  <c r="G1949" i="14" s="1"/>
  <c r="F1950" i="14"/>
  <c r="G1950" i="14" s="1"/>
  <c r="F1951" i="14"/>
  <c r="G1951" i="14" s="1"/>
  <c r="F1952" i="14"/>
  <c r="G1952" i="14" s="1"/>
  <c r="F1953" i="14"/>
  <c r="G1953" i="14" s="1"/>
  <c r="F1954" i="14"/>
  <c r="G1954" i="14" s="1"/>
  <c r="F1955" i="14"/>
  <c r="G1955" i="14" s="1"/>
  <c r="F1956" i="14"/>
  <c r="G1956" i="14" s="1"/>
  <c r="F1957" i="14"/>
  <c r="G1957" i="14" s="1"/>
  <c r="F1958" i="14"/>
  <c r="G1958" i="14" s="1"/>
  <c r="F1959" i="14"/>
  <c r="G1959" i="14" s="1"/>
  <c r="F1960" i="14"/>
  <c r="G1960" i="14" s="1"/>
  <c r="F1961" i="14"/>
  <c r="G1961" i="14" s="1"/>
  <c r="F1962" i="14"/>
  <c r="G1962" i="14" s="1"/>
  <c r="F1963" i="14"/>
  <c r="G1963" i="14" s="1"/>
  <c r="F1964" i="14"/>
  <c r="G1964" i="14" s="1"/>
  <c r="F1965" i="14"/>
  <c r="G1965" i="14" s="1"/>
  <c r="F1966" i="14"/>
  <c r="G1966" i="14" s="1"/>
  <c r="F1967" i="14"/>
  <c r="G1967" i="14" s="1"/>
  <c r="F1968" i="14"/>
  <c r="G1968" i="14" s="1"/>
  <c r="F1969" i="14"/>
  <c r="G1969" i="14" s="1"/>
  <c r="F1970" i="14"/>
  <c r="G1970" i="14" s="1"/>
  <c r="F1971" i="14"/>
  <c r="G1971" i="14" s="1"/>
  <c r="F1972" i="14"/>
  <c r="G1972" i="14" s="1"/>
  <c r="F1973" i="14"/>
  <c r="G1973" i="14" s="1"/>
  <c r="F1974" i="14"/>
  <c r="G1974" i="14" s="1"/>
  <c r="F1975" i="14"/>
  <c r="G1975" i="14" s="1"/>
  <c r="F1976" i="14"/>
  <c r="G1976" i="14" s="1"/>
  <c r="F1977" i="14"/>
  <c r="G1977" i="14" s="1"/>
  <c r="F1978" i="14"/>
  <c r="G1978" i="14" s="1"/>
  <c r="F1979" i="14"/>
  <c r="G1979" i="14" s="1"/>
  <c r="F1980" i="14"/>
  <c r="G1980" i="14" s="1"/>
  <c r="F1981" i="14"/>
  <c r="G1981" i="14" s="1"/>
  <c r="F1982" i="14"/>
  <c r="G1982" i="14" s="1"/>
  <c r="F1983" i="14"/>
  <c r="G1983" i="14" s="1"/>
  <c r="F1984" i="14"/>
  <c r="G1984" i="14" s="1"/>
  <c r="F1985" i="14"/>
  <c r="G1985" i="14" s="1"/>
  <c r="F1986" i="14"/>
  <c r="G1986" i="14" s="1"/>
  <c r="F1987" i="14"/>
  <c r="G1987" i="14" s="1"/>
  <c r="F1988" i="14"/>
  <c r="G1988" i="14" s="1"/>
  <c r="F1989" i="14"/>
  <c r="G1989" i="14" s="1"/>
  <c r="F1990" i="14"/>
  <c r="G1990" i="14" s="1"/>
  <c r="F1991" i="14"/>
  <c r="G1991" i="14" s="1"/>
  <c r="F1992" i="14"/>
  <c r="G1992" i="14" s="1"/>
  <c r="F1993" i="14"/>
  <c r="G1993" i="14" s="1"/>
  <c r="F1994" i="14"/>
  <c r="G1994" i="14" s="1"/>
  <c r="F1995" i="14"/>
  <c r="G1995" i="14" s="1"/>
  <c r="F1996" i="14"/>
  <c r="G1996" i="14" s="1"/>
  <c r="F1997" i="14"/>
  <c r="G1997" i="14" s="1"/>
  <c r="F1998" i="14"/>
  <c r="G1998" i="14" s="1"/>
  <c r="F1999" i="14"/>
  <c r="G1999" i="14" s="1"/>
  <c r="F2000" i="14"/>
  <c r="G2000" i="14" s="1"/>
  <c r="F2001" i="14"/>
  <c r="G2001" i="14" s="1"/>
  <c r="F2002" i="14"/>
  <c r="G2002" i="14" s="1"/>
  <c r="F2003" i="14"/>
  <c r="G2003" i="14" s="1"/>
  <c r="F2004" i="14"/>
  <c r="G2004" i="14" s="1"/>
  <c r="F2005" i="14"/>
  <c r="G2005" i="14" s="1"/>
  <c r="F2006" i="14"/>
  <c r="G2006" i="14" s="1"/>
  <c r="F2007" i="14"/>
  <c r="G2007" i="14" s="1"/>
  <c r="F2008" i="14"/>
  <c r="G2008" i="14" s="1"/>
  <c r="F2009" i="14"/>
  <c r="G2009" i="14" s="1"/>
  <c r="F2010" i="14"/>
  <c r="G2010" i="14" s="1"/>
  <c r="F2011" i="14"/>
  <c r="G2011" i="14" s="1"/>
  <c r="F2012" i="14"/>
  <c r="G2012" i="14" s="1"/>
  <c r="F2013" i="14"/>
  <c r="G2013" i="14" s="1"/>
  <c r="F2014" i="14"/>
  <c r="G2014" i="14" s="1"/>
  <c r="F2015" i="14"/>
  <c r="G2015" i="14" s="1"/>
  <c r="F2016" i="14"/>
  <c r="G2016" i="14" s="1"/>
  <c r="F2017" i="14"/>
  <c r="G2017" i="14" s="1"/>
  <c r="F2018" i="14"/>
  <c r="G2018" i="14" s="1"/>
  <c r="F2019" i="14"/>
  <c r="G2019" i="14" s="1"/>
  <c r="F2020" i="14"/>
  <c r="G2020" i="14" s="1"/>
  <c r="F2021" i="14"/>
  <c r="G2021" i="14" s="1"/>
  <c r="F2022" i="14"/>
  <c r="G2022" i="14" s="1"/>
  <c r="F2023" i="14"/>
  <c r="G2023" i="14" s="1"/>
  <c r="F2024" i="14"/>
  <c r="G2024" i="14" s="1"/>
  <c r="F2025" i="14"/>
  <c r="G2025" i="14" s="1"/>
  <c r="F2026" i="14"/>
  <c r="G2026" i="14" s="1"/>
  <c r="F2027" i="14"/>
  <c r="G2027" i="14" s="1"/>
  <c r="F2028" i="14"/>
  <c r="G2028" i="14" s="1"/>
  <c r="F2029" i="14"/>
  <c r="G2029" i="14" s="1"/>
  <c r="F2030" i="14"/>
  <c r="G2030" i="14" s="1"/>
  <c r="F2031" i="14"/>
  <c r="G2031" i="14" s="1"/>
  <c r="F2032" i="14"/>
  <c r="G2032" i="14" s="1"/>
  <c r="F2033" i="14"/>
  <c r="G2033" i="14" s="1"/>
  <c r="F2034" i="14"/>
  <c r="G2034" i="14" s="1"/>
  <c r="F2035" i="14"/>
  <c r="G2035" i="14" s="1"/>
  <c r="F2036" i="14"/>
  <c r="G2036" i="14" s="1"/>
  <c r="F2037" i="14"/>
  <c r="G2037" i="14" s="1"/>
  <c r="F2038" i="14"/>
  <c r="G2038" i="14" s="1"/>
  <c r="F2039" i="14"/>
  <c r="G2039" i="14" s="1"/>
  <c r="F2040" i="14"/>
  <c r="G2040" i="14" s="1"/>
  <c r="F2041" i="14"/>
  <c r="G2041" i="14" s="1"/>
  <c r="F2042" i="14"/>
  <c r="G2042" i="14" s="1"/>
  <c r="F2043" i="14"/>
  <c r="G2043" i="14" s="1"/>
  <c r="F2044" i="14"/>
  <c r="G2044" i="14" s="1"/>
  <c r="F2045" i="14"/>
  <c r="G2045" i="14" s="1"/>
  <c r="F2046" i="14"/>
  <c r="G2046" i="14" s="1"/>
  <c r="F2047" i="14"/>
  <c r="G2047" i="14" s="1"/>
  <c r="F2048" i="14"/>
  <c r="G2048" i="14" s="1"/>
  <c r="F2049" i="14"/>
  <c r="G2049" i="14" s="1"/>
  <c r="F2050" i="14"/>
  <c r="G2050" i="14" s="1"/>
  <c r="F2051" i="14"/>
  <c r="G2051" i="14" s="1"/>
  <c r="F2052" i="14"/>
  <c r="G2052" i="14" s="1"/>
  <c r="F2053" i="14"/>
  <c r="G2053" i="14" s="1"/>
  <c r="F2054" i="14"/>
  <c r="G2054" i="14" s="1"/>
  <c r="F2055" i="14"/>
  <c r="G2055" i="14" s="1"/>
  <c r="F2056" i="14"/>
  <c r="G2056" i="14" s="1"/>
  <c r="F2057" i="14"/>
  <c r="G2057" i="14" s="1"/>
  <c r="F2058" i="14"/>
  <c r="G2058" i="14" s="1"/>
  <c r="F2059" i="14"/>
  <c r="G2059" i="14" s="1"/>
  <c r="F2060" i="14"/>
  <c r="G2060" i="14" s="1"/>
  <c r="F2061" i="14"/>
  <c r="G2061" i="14" s="1"/>
  <c r="F2062" i="14"/>
  <c r="G2062" i="14" s="1"/>
  <c r="F2063" i="14"/>
  <c r="G2063" i="14" s="1"/>
  <c r="F2064" i="14"/>
  <c r="G2064" i="14" s="1"/>
  <c r="F2065" i="14"/>
  <c r="G2065" i="14" s="1"/>
  <c r="F2066" i="14"/>
  <c r="G2066" i="14" s="1"/>
  <c r="F2067" i="14"/>
  <c r="G2067" i="14" s="1"/>
  <c r="F2068" i="14"/>
  <c r="G2068" i="14" s="1"/>
  <c r="F2069" i="14"/>
  <c r="G2069" i="14" s="1"/>
  <c r="F2070" i="14"/>
  <c r="G2070" i="14" s="1"/>
  <c r="F2071" i="14"/>
  <c r="G2071" i="14" s="1"/>
  <c r="F2072" i="14"/>
  <c r="G2072" i="14" s="1"/>
  <c r="F2073" i="14"/>
  <c r="G2073" i="14" s="1"/>
  <c r="F2074" i="14"/>
  <c r="G2074" i="14" s="1"/>
  <c r="F2075" i="14"/>
  <c r="G2075" i="14" s="1"/>
  <c r="F2076" i="14"/>
  <c r="G2076" i="14" s="1"/>
  <c r="F2077" i="14"/>
  <c r="G2077" i="14" s="1"/>
  <c r="F2078" i="14"/>
  <c r="G2078" i="14" s="1"/>
  <c r="F2079" i="14"/>
  <c r="G2079" i="14" s="1"/>
  <c r="F2080" i="14"/>
  <c r="G2080" i="14" s="1"/>
  <c r="F2081" i="14"/>
  <c r="G2081" i="14" s="1"/>
  <c r="F2082" i="14"/>
  <c r="G2082" i="14" s="1"/>
  <c r="F2083" i="14"/>
  <c r="G2083" i="14" s="1"/>
  <c r="F2084" i="14"/>
  <c r="G2084" i="14" s="1"/>
  <c r="F2085" i="14"/>
  <c r="G2085" i="14" s="1"/>
  <c r="F2086" i="14"/>
  <c r="G2086" i="14" s="1"/>
  <c r="F2087" i="14"/>
  <c r="G2087" i="14" s="1"/>
  <c r="F2088" i="14"/>
  <c r="G2088" i="14" s="1"/>
  <c r="F2089" i="14"/>
  <c r="G2089" i="14" s="1"/>
  <c r="F2090" i="14"/>
  <c r="G2090" i="14" s="1"/>
  <c r="F2091" i="14"/>
  <c r="G2091" i="14" s="1"/>
  <c r="F2092" i="14"/>
  <c r="G2092" i="14" s="1"/>
  <c r="F2093" i="14"/>
  <c r="G2093" i="14" s="1"/>
  <c r="F2094" i="14"/>
  <c r="G2094" i="14" s="1"/>
  <c r="F2095" i="14"/>
  <c r="G2095" i="14" s="1"/>
  <c r="F2096" i="14"/>
  <c r="G2096" i="14" s="1"/>
  <c r="F2097" i="14"/>
  <c r="G2097" i="14" s="1"/>
  <c r="F2098" i="14"/>
  <c r="G2098" i="14" s="1"/>
  <c r="F2099" i="14"/>
  <c r="G2099" i="14" s="1"/>
  <c r="F2100" i="14"/>
  <c r="G2100" i="14" s="1"/>
  <c r="F2101" i="14"/>
  <c r="G2101" i="14" s="1"/>
  <c r="F2102" i="14"/>
  <c r="G2102" i="14" s="1"/>
  <c r="F2103" i="14"/>
  <c r="G2103" i="14" s="1"/>
  <c r="F2104" i="14"/>
  <c r="G2104" i="14" s="1"/>
  <c r="F2105" i="14"/>
  <c r="G2105" i="14" s="1"/>
  <c r="F2106" i="14"/>
  <c r="G2106" i="14" s="1"/>
  <c r="F2107" i="14"/>
  <c r="G2107" i="14" s="1"/>
  <c r="F2108" i="14"/>
  <c r="G2108" i="14" s="1"/>
  <c r="F2109" i="14"/>
  <c r="G2109" i="14" s="1"/>
  <c r="F2110" i="14"/>
  <c r="G2110" i="14" s="1"/>
  <c r="F2111" i="14"/>
  <c r="G2111" i="14" s="1"/>
  <c r="F2112" i="14"/>
  <c r="G2112" i="14" s="1"/>
  <c r="F2113" i="14"/>
  <c r="G2113" i="14" s="1"/>
  <c r="F2114" i="14"/>
  <c r="G2114" i="14" s="1"/>
  <c r="F2115" i="14"/>
  <c r="G2115" i="14" s="1"/>
  <c r="F2116" i="14"/>
  <c r="G2116" i="14" s="1"/>
  <c r="F2117" i="14"/>
  <c r="G2117" i="14" s="1"/>
  <c r="F2118" i="14"/>
  <c r="G2118" i="14" s="1"/>
  <c r="F2119" i="14"/>
  <c r="G2119" i="14" s="1"/>
  <c r="F2120" i="14"/>
  <c r="G2120" i="14" s="1"/>
  <c r="F2121" i="14"/>
  <c r="G2121" i="14" s="1"/>
  <c r="F2122" i="14"/>
  <c r="G2122" i="14" s="1"/>
  <c r="F2123" i="14"/>
  <c r="G2123" i="14" s="1"/>
  <c r="F2124" i="14"/>
  <c r="G2124" i="14" s="1"/>
  <c r="F2125" i="14"/>
  <c r="G2125" i="14" s="1"/>
  <c r="F2126" i="14"/>
  <c r="G2126" i="14" s="1"/>
  <c r="F2127" i="14"/>
  <c r="G2127" i="14" s="1"/>
  <c r="F2128" i="14"/>
  <c r="G2128" i="14" s="1"/>
  <c r="F2129" i="14"/>
  <c r="G2129" i="14" s="1"/>
  <c r="F2130" i="14"/>
  <c r="G2130" i="14" s="1"/>
  <c r="F2131" i="14"/>
  <c r="G2131" i="14" s="1"/>
  <c r="F2132" i="14"/>
  <c r="G2132" i="14" s="1"/>
  <c r="F2133" i="14"/>
  <c r="G2133" i="14" s="1"/>
  <c r="F2134" i="14"/>
  <c r="G2134" i="14" s="1"/>
  <c r="F2135" i="14"/>
  <c r="G2135" i="14" s="1"/>
  <c r="F2136" i="14"/>
  <c r="G2136" i="14" s="1"/>
  <c r="F2137" i="14"/>
  <c r="G2137" i="14" s="1"/>
  <c r="F2138" i="14"/>
  <c r="G2138" i="14" s="1"/>
  <c r="F2139" i="14"/>
  <c r="G2139" i="14" s="1"/>
  <c r="F2140" i="14"/>
  <c r="G2140" i="14" s="1"/>
  <c r="F2141" i="14"/>
  <c r="G2141" i="14" s="1"/>
  <c r="F2142" i="14"/>
  <c r="G2142" i="14" s="1"/>
  <c r="F2143" i="14"/>
  <c r="G2143" i="14" s="1"/>
  <c r="F2144" i="14"/>
  <c r="G2144" i="14" s="1"/>
  <c r="F2145" i="14"/>
  <c r="G2145" i="14" s="1"/>
  <c r="F2146" i="14"/>
  <c r="G2146" i="14" s="1"/>
  <c r="F2147" i="14"/>
  <c r="G2147" i="14" s="1"/>
  <c r="F2148" i="14"/>
  <c r="G2148" i="14" s="1"/>
  <c r="F2149" i="14"/>
  <c r="G2149" i="14" s="1"/>
  <c r="F2150" i="14"/>
  <c r="G2150" i="14" s="1"/>
  <c r="F2151" i="14"/>
  <c r="G2151" i="14" s="1"/>
  <c r="F2152" i="14"/>
  <c r="G2152" i="14" s="1"/>
  <c r="F2153" i="14"/>
  <c r="G2153" i="14" s="1"/>
  <c r="F2154" i="14"/>
  <c r="G2154" i="14" s="1"/>
  <c r="F2155" i="14"/>
  <c r="G2155" i="14" s="1"/>
  <c r="F2156" i="14"/>
  <c r="G2156" i="14" s="1"/>
  <c r="F2157" i="14"/>
  <c r="G2157" i="14" s="1"/>
  <c r="F2158" i="14"/>
  <c r="G2158" i="14" s="1"/>
  <c r="F2159" i="14"/>
  <c r="G2159" i="14" s="1"/>
  <c r="F2160" i="14"/>
  <c r="G2160" i="14" s="1"/>
  <c r="F2161" i="14"/>
  <c r="G2161" i="14" s="1"/>
  <c r="F2162" i="14"/>
  <c r="G2162" i="14" s="1"/>
  <c r="F2163" i="14"/>
  <c r="G2163" i="14" s="1"/>
  <c r="F2164" i="14"/>
  <c r="G2164" i="14" s="1"/>
  <c r="F2165" i="14"/>
  <c r="G2165" i="14" s="1"/>
  <c r="F2166" i="14"/>
  <c r="G2166" i="14" s="1"/>
  <c r="F2167" i="14"/>
  <c r="G2167" i="14" s="1"/>
  <c r="F2168" i="14"/>
  <c r="G2168" i="14" s="1"/>
  <c r="F2169" i="14"/>
  <c r="G2169" i="14" s="1"/>
  <c r="F2170" i="14"/>
  <c r="G2170" i="14" s="1"/>
  <c r="F2171" i="14"/>
  <c r="G2171" i="14" s="1"/>
  <c r="F2172" i="14"/>
  <c r="G2172" i="14" s="1"/>
  <c r="F2173" i="14"/>
  <c r="G2173" i="14" s="1"/>
  <c r="F2174" i="14"/>
  <c r="G2174" i="14" s="1"/>
  <c r="F2175" i="14"/>
  <c r="G2175" i="14" s="1"/>
  <c r="F2176" i="14"/>
  <c r="G2176" i="14" s="1"/>
  <c r="F2177" i="14"/>
  <c r="G2177" i="14" s="1"/>
  <c r="F2178" i="14"/>
  <c r="G2178" i="14" s="1"/>
  <c r="F2179" i="14"/>
  <c r="G2179" i="14" s="1"/>
  <c r="F2180" i="14"/>
  <c r="G2180" i="14" s="1"/>
  <c r="F2181" i="14"/>
  <c r="G2181" i="14" s="1"/>
  <c r="F2182" i="14"/>
  <c r="G2182" i="14" s="1"/>
  <c r="F2183" i="14"/>
  <c r="G2183" i="14" s="1"/>
  <c r="F2184" i="14"/>
  <c r="G2184" i="14" s="1"/>
  <c r="F2185" i="14"/>
  <c r="G2185" i="14" s="1"/>
  <c r="F2186" i="14"/>
  <c r="G2186" i="14" s="1"/>
  <c r="F2187" i="14"/>
  <c r="G2187" i="14" s="1"/>
  <c r="F2188" i="14"/>
  <c r="G2188" i="14" s="1"/>
  <c r="F2189" i="14"/>
  <c r="G2189" i="14" s="1"/>
  <c r="F2190" i="14"/>
  <c r="G2190" i="14" s="1"/>
  <c r="F2191" i="14"/>
  <c r="G2191" i="14" s="1"/>
  <c r="F2192" i="14"/>
  <c r="G2192" i="14" s="1"/>
  <c r="F2193" i="14"/>
  <c r="G2193" i="14" s="1"/>
  <c r="F2194" i="14"/>
  <c r="G2194" i="14" s="1"/>
  <c r="F2195" i="14"/>
  <c r="G2195" i="14" s="1"/>
  <c r="F2196" i="14"/>
  <c r="G2196" i="14" s="1"/>
  <c r="F2197" i="14"/>
  <c r="G2197" i="14" s="1"/>
  <c r="F2198" i="14"/>
  <c r="G2198" i="14" s="1"/>
  <c r="F2199" i="14"/>
  <c r="G2199" i="14" s="1"/>
  <c r="F2200" i="14"/>
  <c r="G2200" i="14" s="1"/>
  <c r="F2201" i="14"/>
  <c r="G2201" i="14" s="1"/>
  <c r="F2202" i="14"/>
  <c r="G2202" i="14" s="1"/>
  <c r="F2203" i="14"/>
  <c r="G2203" i="14" s="1"/>
  <c r="F2204" i="14"/>
  <c r="G2204" i="14" s="1"/>
  <c r="F2205" i="14"/>
  <c r="G2205" i="14" s="1"/>
  <c r="F2206" i="14"/>
  <c r="G2206" i="14" s="1"/>
  <c r="F2207" i="14"/>
  <c r="G2207" i="14" s="1"/>
  <c r="F2208" i="14"/>
  <c r="G2208" i="14" s="1"/>
  <c r="F2209" i="14"/>
  <c r="G2209" i="14" s="1"/>
  <c r="F2210" i="14"/>
  <c r="G2210" i="14" s="1"/>
  <c r="F2211" i="14"/>
  <c r="G2211" i="14" s="1"/>
  <c r="F2212" i="14"/>
  <c r="G2212" i="14" s="1"/>
  <c r="F2213" i="14"/>
  <c r="G2213" i="14" s="1"/>
  <c r="F2214" i="14"/>
  <c r="G2214" i="14" s="1"/>
  <c r="F2215" i="14"/>
  <c r="G2215" i="14" s="1"/>
  <c r="F2216" i="14"/>
  <c r="G2216" i="14" s="1"/>
  <c r="F2217" i="14"/>
  <c r="G2217" i="14" s="1"/>
  <c r="F2218" i="14"/>
  <c r="G2218" i="14" s="1"/>
  <c r="F2219" i="14"/>
  <c r="G2219" i="14" s="1"/>
  <c r="F2220" i="14"/>
  <c r="G2220" i="14" s="1"/>
  <c r="F2221" i="14"/>
  <c r="G2221" i="14" s="1"/>
  <c r="F2222" i="14"/>
  <c r="G2222" i="14" s="1"/>
  <c r="F2223" i="14"/>
  <c r="G2223" i="14" s="1"/>
  <c r="F2224" i="14"/>
  <c r="G2224" i="14" s="1"/>
  <c r="F2225" i="14"/>
  <c r="G2225" i="14" s="1"/>
  <c r="F2226" i="14"/>
  <c r="G2226" i="14" s="1"/>
  <c r="F2227" i="14"/>
  <c r="G2227" i="14" s="1"/>
  <c r="F2228" i="14"/>
  <c r="G2228" i="14" s="1"/>
  <c r="F2229" i="14"/>
  <c r="G2229" i="14" s="1"/>
  <c r="F2230" i="14"/>
  <c r="G2230" i="14" s="1"/>
  <c r="F2231" i="14"/>
  <c r="G2231" i="14" s="1"/>
  <c r="F2232" i="14"/>
  <c r="G2232" i="14" s="1"/>
  <c r="F2233" i="14"/>
  <c r="G2233" i="14" s="1"/>
  <c r="F2234" i="14"/>
  <c r="G2234" i="14" s="1"/>
  <c r="F2235" i="14"/>
  <c r="G2235" i="14" s="1"/>
  <c r="F2236" i="14"/>
  <c r="G2236" i="14" s="1"/>
  <c r="F2237" i="14"/>
  <c r="G2237" i="14" s="1"/>
  <c r="F2238" i="14"/>
  <c r="G2238" i="14" s="1"/>
  <c r="F2239" i="14"/>
  <c r="G2239" i="14" s="1"/>
  <c r="F2240" i="14"/>
  <c r="G2240" i="14" s="1"/>
  <c r="F2241" i="14"/>
  <c r="G2241" i="14" s="1"/>
  <c r="F2242" i="14"/>
  <c r="G2242" i="14" s="1"/>
  <c r="F2243" i="14"/>
  <c r="G2243" i="14" s="1"/>
  <c r="F2244" i="14"/>
  <c r="G2244" i="14" s="1"/>
  <c r="F2245" i="14"/>
  <c r="G2245" i="14" s="1"/>
  <c r="F2246" i="14"/>
  <c r="G2246" i="14" s="1"/>
  <c r="F2247" i="14"/>
  <c r="G2247" i="14" s="1"/>
  <c r="F2248" i="14"/>
  <c r="G2248" i="14" s="1"/>
  <c r="F2249" i="14"/>
  <c r="G2249" i="14" s="1"/>
  <c r="F2250" i="14"/>
  <c r="G2250" i="14" s="1"/>
  <c r="F2251" i="14"/>
  <c r="G2251" i="14" s="1"/>
  <c r="F2252" i="14"/>
  <c r="G2252" i="14" s="1"/>
  <c r="F2253" i="14"/>
  <c r="G2253" i="14" s="1"/>
  <c r="F2254" i="14"/>
  <c r="G2254" i="14" s="1"/>
  <c r="F2255" i="14"/>
  <c r="G2255" i="14" s="1"/>
  <c r="F2256" i="14"/>
  <c r="G2256" i="14" s="1"/>
  <c r="F2257" i="14"/>
  <c r="G2257" i="14" s="1"/>
  <c r="F2258" i="14"/>
  <c r="G2258" i="14" s="1"/>
  <c r="F2259" i="14"/>
  <c r="G2259" i="14" s="1"/>
  <c r="F2260" i="14"/>
  <c r="G2260" i="14" s="1"/>
  <c r="F2261" i="14"/>
  <c r="G2261" i="14" s="1"/>
  <c r="F2262" i="14"/>
  <c r="G2262" i="14" s="1"/>
  <c r="F2263" i="14"/>
  <c r="G2263" i="14" s="1"/>
  <c r="F2264" i="14"/>
  <c r="G2264" i="14" s="1"/>
  <c r="F2265" i="14"/>
  <c r="G2265" i="14" s="1"/>
  <c r="F2266" i="14"/>
  <c r="G2266" i="14" s="1"/>
  <c r="F2267" i="14"/>
  <c r="G2267" i="14" s="1"/>
  <c r="F2268" i="14"/>
  <c r="G2268" i="14" s="1"/>
  <c r="F2269" i="14"/>
  <c r="G2269" i="14" s="1"/>
  <c r="F2270" i="14"/>
  <c r="G2270" i="14" s="1"/>
  <c r="F2271" i="14"/>
  <c r="G2271" i="14" s="1"/>
  <c r="F2272" i="14"/>
  <c r="G2272" i="14" s="1"/>
  <c r="F2273" i="14"/>
  <c r="G2273" i="14" s="1"/>
  <c r="F2274" i="14"/>
  <c r="G2274" i="14" s="1"/>
  <c r="F2275" i="14"/>
  <c r="G2275" i="14" s="1"/>
  <c r="F2276" i="14"/>
  <c r="G2276" i="14" s="1"/>
  <c r="F2277" i="14"/>
  <c r="G2277" i="14" s="1"/>
  <c r="F2278" i="14"/>
  <c r="G2278" i="14" s="1"/>
  <c r="F2279" i="14"/>
  <c r="G2279" i="14" s="1"/>
  <c r="F2280" i="14"/>
  <c r="G2280" i="14" s="1"/>
  <c r="F2281" i="14"/>
  <c r="G2281" i="14" s="1"/>
  <c r="F2282" i="14"/>
  <c r="G2282" i="14" s="1"/>
  <c r="F2283" i="14"/>
  <c r="G2283" i="14" s="1"/>
  <c r="F2284" i="14"/>
  <c r="G2284" i="14" s="1"/>
  <c r="F2285" i="14"/>
  <c r="G2285" i="14" s="1"/>
  <c r="F2286" i="14"/>
  <c r="G2286" i="14" s="1"/>
  <c r="F2287" i="14"/>
  <c r="G2287" i="14" s="1"/>
  <c r="F2288" i="14"/>
  <c r="G2288" i="14" s="1"/>
  <c r="F2289" i="14"/>
  <c r="G2289" i="14" s="1"/>
  <c r="F2290" i="14"/>
  <c r="G2290" i="14" s="1"/>
  <c r="F2291" i="14"/>
  <c r="G2291" i="14" s="1"/>
  <c r="F2292" i="14"/>
  <c r="G2292" i="14" s="1"/>
  <c r="F2293" i="14"/>
  <c r="G2293" i="14" s="1"/>
  <c r="F2294" i="14"/>
  <c r="G2294" i="14" s="1"/>
  <c r="F2295" i="14"/>
  <c r="G2295" i="14" s="1"/>
  <c r="F2296" i="14"/>
  <c r="G2296" i="14" s="1"/>
  <c r="F2297" i="14"/>
  <c r="G2297" i="14" s="1"/>
  <c r="F2298" i="14"/>
  <c r="G2298" i="14" s="1"/>
  <c r="F2299" i="14"/>
  <c r="G2299" i="14" s="1"/>
  <c r="F2300" i="14"/>
  <c r="G2300" i="14" s="1"/>
  <c r="F2301" i="14"/>
  <c r="G2301" i="14" s="1"/>
  <c r="F2302" i="14"/>
  <c r="G2302" i="14" s="1"/>
  <c r="F2303" i="14"/>
  <c r="G2303" i="14" s="1"/>
  <c r="F2304" i="14"/>
  <c r="G2304" i="14" s="1"/>
  <c r="F2305" i="14"/>
  <c r="G2305" i="14" s="1"/>
  <c r="F2306" i="14"/>
  <c r="G2306" i="14" s="1"/>
  <c r="F2307" i="14"/>
  <c r="G2307" i="14" s="1"/>
  <c r="F2308" i="14"/>
  <c r="G2308" i="14" s="1"/>
  <c r="F2309" i="14"/>
  <c r="G2309" i="14" s="1"/>
  <c r="F2310" i="14"/>
  <c r="G2310" i="14" s="1"/>
  <c r="F2311" i="14"/>
  <c r="G2311" i="14" s="1"/>
  <c r="F2312" i="14"/>
  <c r="G2312" i="14" s="1"/>
  <c r="F2313" i="14"/>
  <c r="G2313" i="14" s="1"/>
  <c r="F2314" i="14"/>
  <c r="G2314" i="14" s="1"/>
  <c r="F2315" i="14"/>
  <c r="G2315" i="14" s="1"/>
  <c r="F2316" i="14"/>
  <c r="G2316" i="14" s="1"/>
  <c r="F2317" i="14"/>
  <c r="G2317" i="14" s="1"/>
  <c r="F2318" i="14"/>
  <c r="G2318" i="14" s="1"/>
  <c r="F2319" i="14"/>
  <c r="G2319" i="14" s="1"/>
  <c r="F2320" i="14"/>
  <c r="G2320" i="14" s="1"/>
  <c r="F2321" i="14"/>
  <c r="G2321" i="14" s="1"/>
  <c r="F2322" i="14"/>
  <c r="G2322" i="14" s="1"/>
  <c r="F2323" i="14"/>
  <c r="G2323" i="14" s="1"/>
  <c r="F2324" i="14"/>
  <c r="G2324" i="14" s="1"/>
  <c r="F2325" i="14"/>
  <c r="G2325" i="14" s="1"/>
  <c r="F2326" i="14"/>
  <c r="G2326" i="14" s="1"/>
  <c r="F2327" i="14"/>
  <c r="G2327" i="14" s="1"/>
  <c r="F2328" i="14"/>
  <c r="G2328" i="14" s="1"/>
  <c r="F2329" i="14"/>
  <c r="G2329" i="14" s="1"/>
  <c r="F2330" i="14"/>
  <c r="G2330" i="14" s="1"/>
  <c r="F2331" i="14"/>
  <c r="G2331" i="14" s="1"/>
  <c r="F2332" i="14"/>
  <c r="G2332" i="14" s="1"/>
  <c r="F2333" i="14"/>
  <c r="G2333" i="14" s="1"/>
  <c r="F2334" i="14"/>
  <c r="G2334" i="14" s="1"/>
  <c r="F2335" i="14"/>
  <c r="G2335" i="14" s="1"/>
  <c r="F2336" i="14"/>
  <c r="G2336" i="14" s="1"/>
  <c r="F2337" i="14"/>
  <c r="G2337" i="14" s="1"/>
  <c r="F2338" i="14"/>
  <c r="G2338" i="14" s="1"/>
  <c r="F2339" i="14"/>
  <c r="G2339" i="14" s="1"/>
  <c r="F2340" i="14"/>
  <c r="G2340" i="14" s="1"/>
  <c r="F2341" i="14"/>
  <c r="G2341" i="14" s="1"/>
  <c r="F2342" i="14"/>
  <c r="G2342" i="14" s="1"/>
  <c r="F2343" i="14"/>
  <c r="G2343" i="14" s="1"/>
  <c r="F2344" i="14"/>
  <c r="G2344" i="14" s="1"/>
  <c r="F2345" i="14"/>
  <c r="G2345" i="14" s="1"/>
  <c r="F2346" i="14"/>
  <c r="G2346" i="14" s="1"/>
  <c r="F2347" i="14"/>
  <c r="G2347" i="14" s="1"/>
  <c r="F2348" i="14"/>
  <c r="G2348" i="14" s="1"/>
  <c r="F2349" i="14"/>
  <c r="G2349" i="14" s="1"/>
  <c r="F2350" i="14"/>
  <c r="G2350" i="14" s="1"/>
  <c r="F2351" i="14"/>
  <c r="G2351" i="14" s="1"/>
  <c r="F2352" i="14"/>
  <c r="G2352" i="14" s="1"/>
  <c r="F2353" i="14"/>
  <c r="G2353" i="14" s="1"/>
  <c r="F2354" i="14"/>
  <c r="G2354" i="14" s="1"/>
  <c r="F2355" i="14"/>
  <c r="G2355" i="14" s="1"/>
  <c r="F2356" i="14"/>
  <c r="G2356" i="14" s="1"/>
  <c r="F2357" i="14"/>
  <c r="G2357" i="14" s="1"/>
  <c r="F2358" i="14"/>
  <c r="G2358" i="14" s="1"/>
  <c r="F2359" i="14"/>
  <c r="G2359" i="14" s="1"/>
  <c r="F2360" i="14"/>
  <c r="G2360" i="14" s="1"/>
  <c r="F2361" i="14"/>
  <c r="G2361" i="14" s="1"/>
  <c r="F2362" i="14"/>
  <c r="G2362" i="14" s="1"/>
  <c r="F2363" i="14"/>
  <c r="G2363" i="14" s="1"/>
  <c r="F2364" i="14"/>
  <c r="G2364" i="14" s="1"/>
  <c r="F2365" i="14"/>
  <c r="G2365" i="14" s="1"/>
  <c r="F2366" i="14"/>
  <c r="G2366" i="14" s="1"/>
  <c r="F2367" i="14"/>
  <c r="G2367" i="14" s="1"/>
  <c r="F2368" i="14"/>
  <c r="G2368" i="14" s="1"/>
  <c r="F2369" i="14"/>
  <c r="G2369" i="14" s="1"/>
  <c r="F2370" i="14"/>
  <c r="G2370" i="14" s="1"/>
  <c r="F2371" i="14"/>
  <c r="G2371" i="14" s="1"/>
  <c r="F2372" i="14"/>
  <c r="G2372" i="14" s="1"/>
  <c r="F2373" i="14"/>
  <c r="G2373" i="14" s="1"/>
  <c r="F2374" i="14"/>
  <c r="G2374" i="14" s="1"/>
  <c r="F2375" i="14"/>
  <c r="G2375" i="14" s="1"/>
  <c r="F2376" i="14"/>
  <c r="G2376" i="14" s="1"/>
  <c r="F2377" i="14"/>
  <c r="G2377" i="14" s="1"/>
  <c r="F2378" i="14"/>
  <c r="G2378" i="14" s="1"/>
  <c r="F2379" i="14"/>
  <c r="G2379" i="14" s="1"/>
  <c r="F2380" i="14"/>
  <c r="G2380" i="14" s="1"/>
  <c r="F2381" i="14"/>
  <c r="G2381" i="14" s="1"/>
  <c r="F2382" i="14"/>
  <c r="G2382" i="14" s="1"/>
  <c r="F2383" i="14"/>
  <c r="G2383" i="14" s="1"/>
  <c r="F2384" i="14"/>
  <c r="G2384" i="14" s="1"/>
  <c r="F2385" i="14"/>
  <c r="G2385" i="14" s="1"/>
  <c r="F2386" i="14"/>
  <c r="G2386" i="14" s="1"/>
  <c r="F2387" i="14"/>
  <c r="G2387" i="14" s="1"/>
  <c r="F2388" i="14"/>
  <c r="G2388" i="14" s="1"/>
  <c r="F2389" i="14"/>
  <c r="G2389" i="14" s="1"/>
  <c r="F2390" i="14"/>
  <c r="G2390" i="14" s="1"/>
  <c r="F2391" i="14"/>
  <c r="G2391" i="14" s="1"/>
  <c r="F2392" i="14"/>
  <c r="G2392" i="14" s="1"/>
  <c r="F2393" i="14"/>
  <c r="G2393" i="14" s="1"/>
  <c r="F2394" i="14"/>
  <c r="G2394" i="14" s="1"/>
  <c r="F2395" i="14"/>
  <c r="G2395" i="14" s="1"/>
  <c r="F2396" i="14"/>
  <c r="G2396" i="14" s="1"/>
  <c r="F2397" i="14"/>
  <c r="G2397" i="14" s="1"/>
  <c r="F2398" i="14"/>
  <c r="G2398" i="14" s="1"/>
  <c r="F2399" i="14"/>
  <c r="G2399" i="14" s="1"/>
  <c r="F2400" i="14"/>
  <c r="G2400" i="14" s="1"/>
  <c r="F2401" i="14"/>
  <c r="G2401" i="14" s="1"/>
  <c r="F2402" i="14"/>
  <c r="G2402" i="14" s="1"/>
  <c r="F2403" i="14"/>
  <c r="G2403" i="14" s="1"/>
  <c r="F2404" i="14"/>
  <c r="G2404" i="14" s="1"/>
  <c r="F2405" i="14"/>
  <c r="G2405" i="14" s="1"/>
  <c r="F2406" i="14"/>
  <c r="G2406" i="14" s="1"/>
  <c r="F2407" i="14"/>
  <c r="G2407" i="14" s="1"/>
  <c r="F2408" i="14"/>
  <c r="G2408" i="14" s="1"/>
  <c r="F2409" i="14"/>
  <c r="G2409" i="14" s="1"/>
  <c r="F2410" i="14"/>
  <c r="G2410" i="14" s="1"/>
  <c r="F2411" i="14"/>
  <c r="G2411" i="14" s="1"/>
  <c r="F2412" i="14"/>
  <c r="G2412" i="14" s="1"/>
  <c r="F2413" i="14"/>
  <c r="G2413" i="14" s="1"/>
  <c r="F2414" i="14"/>
  <c r="G2414" i="14" s="1"/>
  <c r="F2415" i="14"/>
  <c r="G2415" i="14" s="1"/>
  <c r="F2416" i="14"/>
  <c r="G2416" i="14" s="1"/>
  <c r="F2417" i="14"/>
  <c r="G2417" i="14" s="1"/>
  <c r="F2418" i="14"/>
  <c r="G2418" i="14" s="1"/>
  <c r="F2419" i="14"/>
  <c r="G2419" i="14" s="1"/>
  <c r="F2420" i="14"/>
  <c r="G2420" i="14" s="1"/>
  <c r="F2421" i="14"/>
  <c r="G2421" i="14" s="1"/>
  <c r="F2422" i="14"/>
  <c r="G2422" i="14" s="1"/>
  <c r="F2423" i="14"/>
  <c r="G2423" i="14" s="1"/>
  <c r="F2424" i="14"/>
  <c r="G2424" i="14" s="1"/>
  <c r="F2425" i="14"/>
  <c r="G2425" i="14" s="1"/>
  <c r="F2426" i="14"/>
  <c r="G2426" i="14" s="1"/>
  <c r="F2427" i="14"/>
  <c r="G2427" i="14" s="1"/>
  <c r="F2428" i="14"/>
  <c r="G2428" i="14" s="1"/>
  <c r="F2429" i="14"/>
  <c r="G2429" i="14" s="1"/>
  <c r="F2430" i="14"/>
  <c r="G2430" i="14" s="1"/>
  <c r="F2431" i="14"/>
  <c r="G2431" i="14" s="1"/>
  <c r="F2432" i="14"/>
  <c r="G2432" i="14" s="1"/>
  <c r="F2433" i="14"/>
  <c r="G2433" i="14" s="1"/>
  <c r="F2434" i="14"/>
  <c r="G2434" i="14" s="1"/>
  <c r="F2435" i="14"/>
  <c r="G2435" i="14" s="1"/>
  <c r="F2436" i="14"/>
  <c r="G2436" i="14" s="1"/>
  <c r="F2437" i="14"/>
  <c r="G2437" i="14" s="1"/>
  <c r="F2438" i="14"/>
  <c r="G2438" i="14" s="1"/>
  <c r="F2439" i="14"/>
  <c r="G2439" i="14" s="1"/>
  <c r="F2440" i="14"/>
  <c r="G2440" i="14" s="1"/>
  <c r="F2441" i="14"/>
  <c r="G2441" i="14" s="1"/>
  <c r="F2442" i="14"/>
  <c r="G2442" i="14" s="1"/>
  <c r="F2443" i="14"/>
  <c r="G2443" i="14" s="1"/>
  <c r="F2444" i="14"/>
  <c r="G2444" i="14" s="1"/>
  <c r="F2445" i="14"/>
  <c r="G2445" i="14" s="1"/>
  <c r="F2446" i="14"/>
  <c r="G2446" i="14" s="1"/>
  <c r="F2447" i="14"/>
  <c r="G2447" i="14" s="1"/>
  <c r="F2448" i="14"/>
  <c r="G2448" i="14" s="1"/>
  <c r="F2449" i="14"/>
  <c r="G2449" i="14" s="1"/>
  <c r="F2450" i="14"/>
  <c r="G2450" i="14" s="1"/>
  <c r="F2451" i="14"/>
  <c r="G2451" i="14" s="1"/>
  <c r="F2452" i="14"/>
  <c r="G2452" i="14" s="1"/>
  <c r="F2453" i="14"/>
  <c r="G2453" i="14" s="1"/>
  <c r="F2454" i="14"/>
  <c r="G2454" i="14" s="1"/>
  <c r="F2455" i="14"/>
  <c r="G2455" i="14" s="1"/>
  <c r="F2456" i="14"/>
  <c r="G2456" i="14" s="1"/>
  <c r="F2457" i="14"/>
  <c r="G2457" i="14" s="1"/>
  <c r="F2458" i="14"/>
  <c r="G2458" i="14" s="1"/>
  <c r="F2459" i="14"/>
  <c r="G2459" i="14" s="1"/>
  <c r="F2460" i="14"/>
  <c r="G2460" i="14" s="1"/>
  <c r="F2461" i="14"/>
  <c r="G2461" i="14" s="1"/>
  <c r="F2462" i="14"/>
  <c r="G2462" i="14" s="1"/>
  <c r="F2463" i="14"/>
  <c r="G2463" i="14" s="1"/>
  <c r="F2464" i="14"/>
  <c r="G2464" i="14" s="1"/>
  <c r="F2465" i="14"/>
  <c r="G2465" i="14" s="1"/>
  <c r="F2466" i="14"/>
  <c r="G2466" i="14" s="1"/>
  <c r="F2467" i="14"/>
  <c r="G2467" i="14" s="1"/>
  <c r="F2468" i="14"/>
  <c r="G2468" i="14" s="1"/>
  <c r="F2469" i="14"/>
  <c r="G2469" i="14" s="1"/>
  <c r="F2470" i="14"/>
  <c r="G2470" i="14" s="1"/>
  <c r="F2471" i="14"/>
  <c r="G2471" i="14" s="1"/>
  <c r="F2472" i="14"/>
  <c r="G2472" i="14" s="1"/>
  <c r="F2473" i="14"/>
  <c r="G2473" i="14" s="1"/>
  <c r="F2474" i="14"/>
  <c r="G2474" i="14" s="1"/>
  <c r="F2475" i="14"/>
  <c r="G2475" i="14" s="1"/>
  <c r="F2476" i="14"/>
  <c r="G2476" i="14" s="1"/>
  <c r="F2477" i="14"/>
  <c r="G2477" i="14" s="1"/>
  <c r="F2478" i="14"/>
  <c r="G2478" i="14" s="1"/>
  <c r="F2479" i="14"/>
  <c r="G2479" i="14" s="1"/>
  <c r="F2480" i="14"/>
  <c r="G2480" i="14" s="1"/>
  <c r="F2481" i="14"/>
  <c r="G2481" i="14" s="1"/>
  <c r="F2482" i="14"/>
  <c r="G2482" i="14" s="1"/>
  <c r="F2483" i="14"/>
  <c r="G2483" i="14" s="1"/>
  <c r="F2484" i="14"/>
  <c r="G2484" i="14" s="1"/>
  <c r="F2485" i="14"/>
  <c r="G2485" i="14" s="1"/>
  <c r="F2486" i="14"/>
  <c r="G2486" i="14" s="1"/>
  <c r="F2487" i="14"/>
  <c r="G2487" i="14" s="1"/>
  <c r="F2488" i="14"/>
  <c r="G2488" i="14" s="1"/>
  <c r="F2489" i="14"/>
  <c r="G2489" i="14" s="1"/>
  <c r="F2490" i="14"/>
  <c r="G2490" i="14" s="1"/>
  <c r="F2491" i="14"/>
  <c r="G2491" i="14" s="1"/>
  <c r="F2492" i="14"/>
  <c r="G2492" i="14" s="1"/>
  <c r="F2493" i="14"/>
  <c r="G2493" i="14" s="1"/>
  <c r="F2494" i="14"/>
  <c r="G2494" i="14" s="1"/>
  <c r="F2495" i="14"/>
  <c r="G2495" i="14" s="1"/>
  <c r="F2496" i="14"/>
  <c r="G2496" i="14" s="1"/>
  <c r="F2497" i="14"/>
  <c r="G2497" i="14" s="1"/>
  <c r="F2498" i="14"/>
  <c r="G2498" i="14" s="1"/>
  <c r="F2499" i="14"/>
  <c r="G2499" i="14" s="1"/>
  <c r="F2500" i="14"/>
  <c r="G2500" i="14" s="1"/>
  <c r="F2501" i="14"/>
  <c r="G2501" i="14" s="1"/>
  <c r="F2502" i="14"/>
  <c r="G2502" i="14" s="1"/>
  <c r="F2503" i="14"/>
  <c r="G2503" i="14" s="1"/>
  <c r="F2504" i="14"/>
  <c r="G2504" i="14" s="1"/>
  <c r="F2505" i="14"/>
  <c r="G2505" i="14" s="1"/>
  <c r="F2506" i="14"/>
  <c r="G2506" i="14" s="1"/>
  <c r="F2507" i="14"/>
  <c r="G2507" i="14" s="1"/>
  <c r="F2508" i="14"/>
  <c r="G2508" i="14" s="1"/>
  <c r="F2509" i="14"/>
  <c r="G2509" i="14" s="1"/>
  <c r="F2510" i="14"/>
  <c r="G2510" i="14" s="1"/>
  <c r="F2511" i="14"/>
  <c r="G2511" i="14" s="1"/>
  <c r="F2512" i="14"/>
  <c r="G2512" i="14" s="1"/>
  <c r="F2513" i="14"/>
  <c r="G2513" i="14" s="1"/>
  <c r="F2514" i="14"/>
  <c r="G2514" i="14" s="1"/>
  <c r="F2515" i="14"/>
  <c r="G2515" i="14" s="1"/>
  <c r="F2516" i="14"/>
  <c r="G2516" i="14" s="1"/>
  <c r="F2517" i="14"/>
  <c r="G2517" i="14" s="1"/>
  <c r="F2518" i="14"/>
  <c r="G2518" i="14" s="1"/>
  <c r="F2519" i="14"/>
  <c r="G2519" i="14" s="1"/>
  <c r="F2520" i="14"/>
  <c r="G2520" i="14" s="1"/>
  <c r="F2521" i="14"/>
  <c r="G2521" i="14" s="1"/>
  <c r="F2522" i="14"/>
  <c r="G2522" i="14" s="1"/>
  <c r="F2523" i="14"/>
  <c r="G2523" i="14" s="1"/>
  <c r="F2524" i="14"/>
  <c r="G2524" i="14" s="1"/>
  <c r="F2525" i="14"/>
  <c r="G2525" i="14" s="1"/>
  <c r="F2526" i="14"/>
  <c r="G2526" i="14" s="1"/>
  <c r="F2527" i="14"/>
  <c r="G2527" i="14" s="1"/>
  <c r="F2528" i="14"/>
  <c r="G2528" i="14" s="1"/>
  <c r="F2529" i="14"/>
  <c r="G2529" i="14" s="1"/>
  <c r="F2530" i="14"/>
  <c r="G2530" i="14" s="1"/>
  <c r="F2531" i="14"/>
  <c r="G2531" i="14" s="1"/>
  <c r="F2532" i="14"/>
  <c r="G2532" i="14" s="1"/>
  <c r="F2533" i="14"/>
  <c r="G2533" i="14" s="1"/>
  <c r="F2534" i="14"/>
  <c r="G2534" i="14" s="1"/>
  <c r="F2535" i="14"/>
  <c r="G2535" i="14" s="1"/>
  <c r="F2536" i="14"/>
  <c r="G2536" i="14" s="1"/>
  <c r="F2537" i="14"/>
  <c r="G2537" i="14" s="1"/>
  <c r="F2538" i="14"/>
  <c r="G2538" i="14" s="1"/>
  <c r="F2539" i="14"/>
  <c r="G2539" i="14" s="1"/>
  <c r="F2540" i="14"/>
  <c r="G2540" i="14" s="1"/>
  <c r="F2541" i="14"/>
  <c r="G2541" i="14" s="1"/>
  <c r="F2542" i="14"/>
  <c r="G2542" i="14" s="1"/>
  <c r="F2543" i="14"/>
  <c r="G2543" i="14" s="1"/>
  <c r="F2544" i="14"/>
  <c r="G2544" i="14" s="1"/>
  <c r="F2545" i="14"/>
  <c r="G2545" i="14" s="1"/>
  <c r="F2546" i="14"/>
  <c r="G2546" i="14" s="1"/>
  <c r="F2547" i="14"/>
  <c r="G2547" i="14" s="1"/>
  <c r="F2548" i="14"/>
  <c r="G2548" i="14" s="1"/>
  <c r="F2549" i="14"/>
  <c r="G2549" i="14" s="1"/>
  <c r="F2550" i="14"/>
  <c r="G2550" i="14" s="1"/>
  <c r="F2551" i="14"/>
  <c r="G2551" i="14" s="1"/>
  <c r="F2552" i="14"/>
  <c r="G2552" i="14" s="1"/>
  <c r="F2553" i="14"/>
  <c r="G2553" i="14" s="1"/>
  <c r="F2554" i="14"/>
  <c r="G2554" i="14" s="1"/>
  <c r="F2555" i="14"/>
  <c r="G2555" i="14" s="1"/>
  <c r="F2556" i="14"/>
  <c r="G2556" i="14" s="1"/>
  <c r="F2557" i="14"/>
  <c r="G2557" i="14" s="1"/>
  <c r="F2558" i="14"/>
  <c r="G2558" i="14" s="1"/>
  <c r="F2559" i="14"/>
  <c r="G2559" i="14" s="1"/>
  <c r="F2560" i="14"/>
  <c r="G2560" i="14" s="1"/>
  <c r="F2561" i="14"/>
  <c r="G2561" i="14" s="1"/>
  <c r="F2562" i="14"/>
  <c r="G2562" i="14" s="1"/>
  <c r="F2563" i="14"/>
  <c r="G2563" i="14" s="1"/>
  <c r="F2564" i="14"/>
  <c r="G2564" i="14" s="1"/>
  <c r="F2565" i="14"/>
  <c r="G2565" i="14" s="1"/>
  <c r="F2566" i="14"/>
  <c r="G2566" i="14" s="1"/>
  <c r="F2567" i="14"/>
  <c r="G2567" i="14" s="1"/>
  <c r="F2568" i="14"/>
  <c r="G2568" i="14" s="1"/>
  <c r="F2569" i="14"/>
  <c r="G2569" i="14" s="1"/>
  <c r="F2570" i="14"/>
  <c r="G2570" i="14" s="1"/>
  <c r="F2571" i="14"/>
  <c r="G2571" i="14" s="1"/>
  <c r="F2572" i="14"/>
  <c r="G2572" i="14" s="1"/>
  <c r="F2573" i="14"/>
  <c r="G2573" i="14" s="1"/>
  <c r="F2574" i="14"/>
  <c r="G2574" i="14" s="1"/>
  <c r="F2575" i="14"/>
  <c r="G2575" i="14" s="1"/>
  <c r="F2576" i="14"/>
  <c r="G2576" i="14" s="1"/>
  <c r="F2577" i="14"/>
  <c r="G2577" i="14" s="1"/>
  <c r="F2578" i="14"/>
  <c r="G2578" i="14" s="1"/>
  <c r="F2579" i="14"/>
  <c r="G2579" i="14" s="1"/>
  <c r="F2580" i="14"/>
  <c r="G2580" i="14" s="1"/>
  <c r="F2581" i="14"/>
  <c r="G2581" i="14" s="1"/>
  <c r="F2582" i="14"/>
  <c r="G2582" i="14" s="1"/>
  <c r="F2583" i="14"/>
  <c r="G2583" i="14" s="1"/>
  <c r="F2584" i="14"/>
  <c r="G2584" i="14" s="1"/>
  <c r="F2585" i="14"/>
  <c r="G2585" i="14" s="1"/>
  <c r="F2586" i="14"/>
  <c r="G2586" i="14" s="1"/>
  <c r="F2587" i="14"/>
  <c r="G2587" i="14" s="1"/>
  <c r="F2588" i="14"/>
  <c r="G2588" i="14" s="1"/>
  <c r="F2589" i="14"/>
  <c r="G2589" i="14" s="1"/>
  <c r="F2590" i="14"/>
  <c r="G2590" i="14" s="1"/>
  <c r="F2591" i="14"/>
  <c r="G2591" i="14" s="1"/>
  <c r="F2592" i="14"/>
  <c r="G2592" i="14" s="1"/>
  <c r="F2593" i="14"/>
  <c r="G2593" i="14" s="1"/>
  <c r="F2594" i="14"/>
  <c r="G2594" i="14" s="1"/>
  <c r="F2595" i="14"/>
  <c r="G2595" i="14" s="1"/>
  <c r="F2596" i="14"/>
  <c r="G2596" i="14" s="1"/>
  <c r="F2597" i="14"/>
  <c r="G2597" i="14" s="1"/>
  <c r="F2598" i="14"/>
  <c r="G2598" i="14" s="1"/>
  <c r="F2599" i="14"/>
  <c r="G2599" i="14" s="1"/>
  <c r="F2600" i="14"/>
  <c r="G2600" i="14" s="1"/>
  <c r="F2601" i="14"/>
  <c r="G2601" i="14" s="1"/>
  <c r="F2602" i="14"/>
  <c r="G2602" i="14" s="1"/>
  <c r="F2603" i="14"/>
  <c r="G2603" i="14" s="1"/>
  <c r="F2604" i="14"/>
  <c r="G2604" i="14" s="1"/>
  <c r="F2605" i="14"/>
  <c r="G2605" i="14" s="1"/>
  <c r="F2606" i="14"/>
  <c r="G2606" i="14" s="1"/>
  <c r="F2607" i="14"/>
  <c r="G2607" i="14" s="1"/>
  <c r="F2608" i="14"/>
  <c r="G2608" i="14" s="1"/>
  <c r="F2609" i="14"/>
  <c r="G2609" i="14" s="1"/>
  <c r="F2610" i="14"/>
  <c r="G2610" i="14" s="1"/>
  <c r="F2611" i="14"/>
  <c r="G2611" i="14" s="1"/>
  <c r="F2612" i="14"/>
  <c r="G2612" i="14" s="1"/>
  <c r="F2613" i="14"/>
  <c r="G2613" i="14" s="1"/>
  <c r="F2614" i="14"/>
  <c r="G2614" i="14" s="1"/>
  <c r="F2615" i="14"/>
  <c r="G2615" i="14" s="1"/>
  <c r="F2616" i="14"/>
  <c r="G2616" i="14" s="1"/>
  <c r="F2617" i="14"/>
  <c r="G2617" i="14" s="1"/>
  <c r="F2618" i="14"/>
  <c r="G2618" i="14" s="1"/>
  <c r="F2619" i="14"/>
  <c r="G2619" i="14" s="1"/>
  <c r="F2620" i="14"/>
  <c r="G2620" i="14" s="1"/>
  <c r="F2621" i="14"/>
  <c r="G2621" i="14" s="1"/>
  <c r="F2622" i="14"/>
  <c r="G2622" i="14" s="1"/>
  <c r="F2623" i="14"/>
  <c r="G2623" i="14" s="1"/>
  <c r="F2624" i="14"/>
  <c r="G2624" i="14" s="1"/>
  <c r="F2625" i="14"/>
  <c r="G2625" i="14" s="1"/>
  <c r="F2626" i="14"/>
  <c r="G2626" i="14" s="1"/>
  <c r="F2627" i="14"/>
  <c r="G2627" i="14" s="1"/>
  <c r="F2628" i="14"/>
  <c r="G2628" i="14" s="1"/>
  <c r="F2629" i="14"/>
  <c r="G2629" i="14" s="1"/>
  <c r="F2630" i="14"/>
  <c r="G2630" i="14" s="1"/>
  <c r="F2631" i="14"/>
  <c r="G2631" i="14" s="1"/>
  <c r="F2632" i="14"/>
  <c r="G2632" i="14" s="1"/>
  <c r="F2633" i="14"/>
  <c r="G2633" i="14" s="1"/>
  <c r="F2634" i="14"/>
  <c r="G2634" i="14" s="1"/>
  <c r="F2635" i="14"/>
  <c r="G2635" i="14" s="1"/>
  <c r="F2636" i="14"/>
  <c r="G2636" i="14" s="1"/>
  <c r="F2637" i="14"/>
  <c r="G2637" i="14" s="1"/>
  <c r="F2638" i="14"/>
  <c r="G2638" i="14" s="1"/>
  <c r="F2639" i="14"/>
  <c r="G2639" i="14" s="1"/>
  <c r="F2640" i="14"/>
  <c r="G2640" i="14" s="1"/>
  <c r="F2641" i="14"/>
  <c r="G2641" i="14" s="1"/>
  <c r="F2642" i="14"/>
  <c r="G2642" i="14" s="1"/>
  <c r="F2643" i="14"/>
  <c r="G2643" i="14" s="1"/>
  <c r="F2644" i="14"/>
  <c r="G2644" i="14" s="1"/>
  <c r="F2645" i="14"/>
  <c r="G2645" i="14" s="1"/>
  <c r="F2646" i="14"/>
  <c r="G2646" i="14" s="1"/>
  <c r="F2647" i="14"/>
  <c r="G2647" i="14" s="1"/>
  <c r="F2648" i="14"/>
  <c r="G2648" i="14" s="1"/>
  <c r="F2649" i="14"/>
  <c r="G2649" i="14" s="1"/>
  <c r="F2650" i="14"/>
  <c r="G2650" i="14" s="1"/>
  <c r="F2651" i="14"/>
  <c r="G2651" i="14" s="1"/>
  <c r="F2652" i="14"/>
  <c r="G2652" i="14" s="1"/>
  <c r="F2653" i="14"/>
  <c r="G2653" i="14" s="1"/>
  <c r="F2654" i="14"/>
  <c r="G2654" i="14" s="1"/>
  <c r="F2655" i="14"/>
  <c r="G2655" i="14" s="1"/>
  <c r="F2656" i="14"/>
  <c r="G2656" i="14" s="1"/>
  <c r="F2657" i="14"/>
  <c r="G2657" i="14" s="1"/>
  <c r="F2658" i="14"/>
  <c r="G2658" i="14" s="1"/>
  <c r="F2659" i="14"/>
  <c r="G2659" i="14" s="1"/>
  <c r="F2660" i="14"/>
  <c r="G2660" i="14" s="1"/>
  <c r="F2661" i="14"/>
  <c r="G2661" i="14" s="1"/>
  <c r="F2662" i="14"/>
  <c r="G2662" i="14" s="1"/>
  <c r="F2663" i="14"/>
  <c r="G2663" i="14" s="1"/>
  <c r="F2664" i="14"/>
  <c r="G2664" i="14" s="1"/>
  <c r="F2665" i="14"/>
  <c r="G2665" i="14" s="1"/>
  <c r="F2666" i="14"/>
  <c r="G2666" i="14" s="1"/>
  <c r="F2667" i="14"/>
  <c r="G2667" i="14" s="1"/>
  <c r="F2668" i="14"/>
  <c r="G2668" i="14" s="1"/>
  <c r="F2669" i="14"/>
  <c r="G2669" i="14" s="1"/>
  <c r="F2670" i="14"/>
  <c r="G2670" i="14" s="1"/>
  <c r="F2671" i="14"/>
  <c r="G2671" i="14" s="1"/>
  <c r="F2672" i="14"/>
  <c r="G2672" i="14" s="1"/>
  <c r="F2673" i="14"/>
  <c r="G2673" i="14" s="1"/>
  <c r="F2674" i="14"/>
  <c r="G2674" i="14" s="1"/>
  <c r="F2675" i="14"/>
  <c r="G2675" i="14" s="1"/>
  <c r="F2676" i="14"/>
  <c r="G2676" i="14" s="1"/>
  <c r="F2677" i="14"/>
  <c r="G2677" i="14" s="1"/>
  <c r="F2678" i="14"/>
  <c r="G2678" i="14" s="1"/>
  <c r="F2679" i="14"/>
  <c r="G2679" i="14" s="1"/>
  <c r="F2680" i="14"/>
  <c r="G2680" i="14" s="1"/>
  <c r="F2681" i="14"/>
  <c r="G2681" i="14" s="1"/>
  <c r="F2682" i="14"/>
  <c r="G2682" i="14" s="1"/>
  <c r="F2683" i="14"/>
  <c r="G2683" i="14" s="1"/>
  <c r="F2684" i="14"/>
  <c r="G2684" i="14" s="1"/>
  <c r="F2685" i="14"/>
  <c r="G2685" i="14" s="1"/>
  <c r="F2686" i="14"/>
  <c r="G2686" i="14" s="1"/>
  <c r="F2687" i="14"/>
  <c r="G2687" i="14" s="1"/>
  <c r="F2688" i="14"/>
  <c r="G2688" i="14" s="1"/>
  <c r="F2689" i="14"/>
  <c r="G2689" i="14" s="1"/>
  <c r="F2690" i="14"/>
  <c r="G2690" i="14" s="1"/>
  <c r="F2691" i="14"/>
  <c r="G2691" i="14" s="1"/>
  <c r="F2692" i="14"/>
  <c r="G2692" i="14" s="1"/>
  <c r="F2693" i="14"/>
  <c r="G2693" i="14" s="1"/>
  <c r="F2694" i="14"/>
  <c r="G2694" i="14" s="1"/>
  <c r="F2695" i="14"/>
  <c r="G2695" i="14" s="1"/>
  <c r="F2696" i="14"/>
  <c r="G2696" i="14" s="1"/>
  <c r="F2697" i="14"/>
  <c r="G2697" i="14" s="1"/>
  <c r="F2698" i="14"/>
  <c r="G2698" i="14" s="1"/>
  <c r="F2699" i="14"/>
  <c r="G2699" i="14" s="1"/>
  <c r="F2700" i="14"/>
  <c r="G2700" i="14" s="1"/>
  <c r="F2701" i="14"/>
  <c r="G2701" i="14" s="1"/>
  <c r="F2702" i="14"/>
  <c r="G2702" i="14" s="1"/>
  <c r="F2703" i="14"/>
  <c r="G2703" i="14" s="1"/>
  <c r="F2704" i="14"/>
  <c r="G2704" i="14" s="1"/>
  <c r="F2705" i="14"/>
  <c r="G2705" i="14" s="1"/>
  <c r="F2706" i="14"/>
  <c r="G2706" i="14" s="1"/>
  <c r="F2707" i="14"/>
  <c r="G2707" i="14" s="1"/>
  <c r="F2708" i="14"/>
  <c r="G2708" i="14" s="1"/>
  <c r="F2709" i="14"/>
  <c r="G2709" i="14" s="1"/>
  <c r="F2710" i="14"/>
  <c r="G2710" i="14" s="1"/>
  <c r="F2711" i="14"/>
  <c r="G2711" i="14" s="1"/>
  <c r="F2712" i="14"/>
  <c r="G2712" i="14" s="1"/>
  <c r="F2713" i="14"/>
  <c r="G2713" i="14" s="1"/>
  <c r="F2714" i="14"/>
  <c r="G2714" i="14" s="1"/>
  <c r="F2715" i="14"/>
  <c r="G2715" i="14" s="1"/>
  <c r="F2716" i="14"/>
  <c r="G2716" i="14" s="1"/>
  <c r="F2717" i="14"/>
  <c r="G2717" i="14" s="1"/>
  <c r="F2718" i="14"/>
  <c r="G2718" i="14" s="1"/>
  <c r="F2719" i="14"/>
  <c r="G2719" i="14" s="1"/>
  <c r="F2720" i="14"/>
  <c r="G2720" i="14" s="1"/>
  <c r="F2721" i="14"/>
  <c r="G2721" i="14" s="1"/>
  <c r="F2722" i="14"/>
  <c r="G2722" i="14" s="1"/>
  <c r="F2723" i="14"/>
  <c r="G2723" i="14" s="1"/>
  <c r="F2724" i="14"/>
  <c r="G2724" i="14" s="1"/>
  <c r="F2725" i="14"/>
  <c r="G2725" i="14" s="1"/>
  <c r="F2726" i="14"/>
  <c r="G2726" i="14" s="1"/>
  <c r="F2727" i="14"/>
  <c r="G2727" i="14" s="1"/>
  <c r="F2728" i="14"/>
  <c r="G2728" i="14" s="1"/>
  <c r="F2729" i="14"/>
  <c r="G2729" i="14" s="1"/>
  <c r="F2730" i="14"/>
  <c r="G2730" i="14" s="1"/>
  <c r="F2731" i="14"/>
  <c r="G2731" i="14" s="1"/>
  <c r="F2732" i="14"/>
  <c r="G2732" i="14" s="1"/>
  <c r="F2733" i="14"/>
  <c r="G2733" i="14" s="1"/>
  <c r="F2734" i="14"/>
  <c r="G2734" i="14" s="1"/>
  <c r="F2735" i="14"/>
  <c r="G2735" i="14" s="1"/>
  <c r="F2736" i="14"/>
  <c r="G2736" i="14" s="1"/>
  <c r="F2737" i="14"/>
  <c r="G2737" i="14" s="1"/>
  <c r="F2738" i="14"/>
  <c r="G2738" i="14" s="1"/>
  <c r="F2739" i="14"/>
  <c r="G2739" i="14" s="1"/>
  <c r="F2740" i="14"/>
  <c r="G2740" i="14" s="1"/>
  <c r="F2741" i="14"/>
  <c r="G2741" i="14" s="1"/>
  <c r="F2742" i="14"/>
  <c r="G2742" i="14" s="1"/>
  <c r="F2743" i="14"/>
  <c r="G2743" i="14" s="1"/>
  <c r="F2744" i="14"/>
  <c r="G2744" i="14" s="1"/>
  <c r="F2745" i="14"/>
  <c r="G2745" i="14" s="1"/>
  <c r="F2746" i="14"/>
  <c r="G2746" i="14" s="1"/>
  <c r="F2747" i="14"/>
  <c r="G2747" i="14" s="1"/>
  <c r="F2748" i="14"/>
  <c r="G2748" i="14" s="1"/>
  <c r="F2749" i="14"/>
  <c r="G2749" i="14" s="1"/>
  <c r="F2750" i="14"/>
  <c r="G2750" i="14" s="1"/>
  <c r="F2751" i="14"/>
  <c r="G2751" i="14" s="1"/>
  <c r="F2752" i="14"/>
  <c r="G2752" i="14" s="1"/>
  <c r="F2753" i="14"/>
  <c r="G2753" i="14" s="1"/>
  <c r="F2754" i="14"/>
  <c r="G2754" i="14" s="1"/>
  <c r="F2755" i="14"/>
  <c r="G2755" i="14" s="1"/>
  <c r="F2756" i="14"/>
  <c r="G2756" i="14" s="1"/>
  <c r="F2757" i="14"/>
  <c r="G2757" i="14" s="1"/>
  <c r="F2758" i="14"/>
  <c r="G2758" i="14" s="1"/>
  <c r="F2759" i="14"/>
  <c r="G2759" i="14" s="1"/>
  <c r="F2760" i="14"/>
  <c r="G2760" i="14" s="1"/>
  <c r="F2761" i="14"/>
  <c r="G2761" i="14" s="1"/>
  <c r="F2762" i="14"/>
  <c r="G2762" i="14" s="1"/>
  <c r="F2763" i="14"/>
  <c r="G2763" i="14" s="1"/>
  <c r="F2764" i="14"/>
  <c r="G2764" i="14" s="1"/>
  <c r="F2765" i="14"/>
  <c r="G2765" i="14" s="1"/>
  <c r="F2766" i="14"/>
  <c r="G2766" i="14" s="1"/>
  <c r="F2767" i="14"/>
  <c r="G2767" i="14" s="1"/>
  <c r="F2768" i="14"/>
  <c r="G2768" i="14" s="1"/>
  <c r="F2769" i="14"/>
  <c r="G2769" i="14" s="1"/>
  <c r="F2770" i="14"/>
  <c r="G2770" i="14" s="1"/>
  <c r="F2771" i="14"/>
  <c r="G2771" i="14" s="1"/>
  <c r="F2772" i="14"/>
  <c r="G2772" i="14" s="1"/>
  <c r="F2773" i="14"/>
  <c r="G2773" i="14" s="1"/>
  <c r="F2774" i="14"/>
  <c r="G2774" i="14" s="1"/>
  <c r="F2775" i="14"/>
  <c r="G2775" i="14" s="1"/>
  <c r="F2776" i="14"/>
  <c r="G2776" i="14" s="1"/>
  <c r="F2777" i="14"/>
  <c r="G2777" i="14" s="1"/>
  <c r="F2778" i="14"/>
  <c r="G2778" i="14" s="1"/>
  <c r="F2779" i="14"/>
  <c r="G2779" i="14" s="1"/>
  <c r="F2780" i="14"/>
  <c r="G2780" i="14" s="1"/>
  <c r="F2781" i="14"/>
  <c r="G2781" i="14" s="1"/>
  <c r="F2782" i="14"/>
  <c r="G2782" i="14" s="1"/>
  <c r="F2783" i="14"/>
  <c r="G2783" i="14" s="1"/>
  <c r="F2784" i="14"/>
  <c r="G2784" i="14" s="1"/>
  <c r="F2785" i="14"/>
  <c r="G2785" i="14" s="1"/>
  <c r="F2786" i="14"/>
  <c r="G2786" i="14" s="1"/>
  <c r="F2787" i="14"/>
  <c r="G2787" i="14" s="1"/>
  <c r="F2788" i="14"/>
  <c r="G2788" i="14" s="1"/>
  <c r="F2789" i="14"/>
  <c r="G2789" i="14" s="1"/>
  <c r="F2790" i="14"/>
  <c r="G2790" i="14" s="1"/>
  <c r="F2791" i="14"/>
  <c r="G2791" i="14" s="1"/>
  <c r="F2792" i="14"/>
  <c r="G2792" i="14" s="1"/>
  <c r="F2793" i="14"/>
  <c r="G2793" i="14" s="1"/>
  <c r="F2794" i="14"/>
  <c r="G2794" i="14" s="1"/>
  <c r="F2795" i="14"/>
  <c r="G2795" i="14" s="1"/>
  <c r="F2796" i="14"/>
  <c r="G2796" i="14" s="1"/>
  <c r="F2797" i="14"/>
  <c r="G2797" i="14" s="1"/>
  <c r="F2798" i="14"/>
  <c r="G2798" i="14" s="1"/>
  <c r="F2799" i="14"/>
  <c r="G2799" i="14" s="1"/>
  <c r="F2800" i="14"/>
  <c r="G2800" i="14" s="1"/>
  <c r="F2801" i="14"/>
  <c r="G2801" i="14" s="1"/>
  <c r="F2802" i="14"/>
  <c r="G2802" i="14" s="1"/>
  <c r="F2803" i="14"/>
  <c r="G2803" i="14" s="1"/>
  <c r="F2804" i="14"/>
  <c r="G2804" i="14" s="1"/>
  <c r="F2805" i="14"/>
  <c r="G2805" i="14" s="1"/>
  <c r="F2806" i="14"/>
  <c r="G2806" i="14" s="1"/>
  <c r="F2807" i="14"/>
  <c r="G2807" i="14" s="1"/>
  <c r="F2808" i="14"/>
  <c r="G2808" i="14" s="1"/>
  <c r="F2809" i="14"/>
  <c r="G2809" i="14" s="1"/>
  <c r="F2810" i="14"/>
  <c r="G2810" i="14" s="1"/>
  <c r="F2811" i="14"/>
  <c r="G2811" i="14" s="1"/>
  <c r="F2812" i="14"/>
  <c r="G2812" i="14" s="1"/>
  <c r="F2813" i="14"/>
  <c r="G2813" i="14" s="1"/>
  <c r="F2814" i="14"/>
  <c r="G2814" i="14" s="1"/>
  <c r="F2815" i="14"/>
  <c r="G2815" i="14" s="1"/>
  <c r="F2816" i="14"/>
  <c r="G2816" i="14" s="1"/>
  <c r="F2817" i="14"/>
  <c r="G2817" i="14" s="1"/>
  <c r="F2818" i="14"/>
  <c r="G2818" i="14" s="1"/>
  <c r="F2819" i="14"/>
  <c r="G2819" i="14" s="1"/>
  <c r="F2820" i="14"/>
  <c r="G2820" i="14" s="1"/>
  <c r="F2821" i="14"/>
  <c r="G2821" i="14" s="1"/>
  <c r="F2822" i="14"/>
  <c r="G2822" i="14" s="1"/>
  <c r="F2823" i="14"/>
  <c r="G2823" i="14" s="1"/>
  <c r="F2824" i="14"/>
  <c r="G2824" i="14" s="1"/>
  <c r="F2825" i="14"/>
  <c r="G2825" i="14" s="1"/>
  <c r="F2826" i="14"/>
  <c r="G2826" i="14" s="1"/>
  <c r="F2827" i="14"/>
  <c r="G2827" i="14" s="1"/>
  <c r="F2828" i="14"/>
  <c r="G2828" i="14" s="1"/>
  <c r="F2829" i="14"/>
  <c r="G2829" i="14" s="1"/>
  <c r="F2830" i="14"/>
  <c r="G2830" i="14" s="1"/>
  <c r="F2831" i="14"/>
  <c r="G2831" i="14" s="1"/>
  <c r="F2832" i="14"/>
  <c r="G2832" i="14" s="1"/>
  <c r="F2833" i="14"/>
  <c r="G2833" i="14" s="1"/>
  <c r="F2834" i="14"/>
  <c r="G2834" i="14" s="1"/>
  <c r="F2835" i="14"/>
  <c r="G2835" i="14" s="1"/>
  <c r="F2836" i="14"/>
  <c r="G2836" i="14" s="1"/>
  <c r="F2837" i="14"/>
  <c r="G2837" i="14" s="1"/>
  <c r="F2838" i="14"/>
  <c r="G2838" i="14" s="1"/>
  <c r="F2839" i="14"/>
  <c r="G2839" i="14" s="1"/>
  <c r="F2840" i="14"/>
  <c r="G2840" i="14" s="1"/>
  <c r="F2841" i="14"/>
  <c r="G2841" i="14" s="1"/>
  <c r="F2842" i="14"/>
  <c r="G2842" i="14" s="1"/>
  <c r="F2843" i="14"/>
  <c r="G2843" i="14" s="1"/>
  <c r="F2844" i="14"/>
  <c r="G2844" i="14" s="1"/>
  <c r="F2845" i="14"/>
  <c r="G2845" i="14" s="1"/>
  <c r="F2846" i="14"/>
  <c r="G2846" i="14" s="1"/>
  <c r="F2847" i="14"/>
  <c r="G2847" i="14" s="1"/>
  <c r="F2848" i="14"/>
  <c r="G2848" i="14" s="1"/>
  <c r="F2849" i="14"/>
  <c r="G2849" i="14" s="1"/>
  <c r="F2850" i="14"/>
  <c r="G2850" i="14" s="1"/>
  <c r="F2851" i="14"/>
  <c r="G2851" i="14" s="1"/>
  <c r="F2852" i="14"/>
  <c r="G2852" i="14" s="1"/>
  <c r="F2853" i="14"/>
  <c r="G2853" i="14" s="1"/>
  <c r="F2854" i="14"/>
  <c r="G2854" i="14" s="1"/>
  <c r="F2855" i="14"/>
  <c r="G2855" i="14" s="1"/>
  <c r="F2856" i="14"/>
  <c r="G2856" i="14" s="1"/>
  <c r="F2857" i="14"/>
  <c r="G2857" i="14" s="1"/>
  <c r="F2858" i="14"/>
  <c r="G2858" i="14" s="1"/>
  <c r="F2859" i="14"/>
  <c r="G2859" i="14" s="1"/>
  <c r="F2860" i="14"/>
  <c r="G2860" i="14" s="1"/>
  <c r="F2861" i="14"/>
  <c r="G2861" i="14" s="1"/>
  <c r="F2862" i="14"/>
  <c r="G2862" i="14" s="1"/>
  <c r="F2863" i="14"/>
  <c r="G2863" i="14" s="1"/>
  <c r="F2864" i="14"/>
  <c r="G2864" i="14" s="1"/>
  <c r="F2865" i="14"/>
  <c r="G2865" i="14" s="1"/>
  <c r="F2866" i="14"/>
  <c r="G2866" i="14" s="1"/>
  <c r="F2867" i="14"/>
  <c r="G2867" i="14" s="1"/>
  <c r="F2868" i="14"/>
  <c r="G2868" i="14" s="1"/>
  <c r="F2869" i="14"/>
  <c r="G2869" i="14" s="1"/>
  <c r="F2870" i="14"/>
  <c r="G2870" i="14" s="1"/>
  <c r="F2871" i="14"/>
  <c r="G2871" i="14" s="1"/>
  <c r="F2872" i="14"/>
  <c r="G2872" i="14" s="1"/>
  <c r="F2873" i="14"/>
  <c r="G2873" i="14" s="1"/>
  <c r="F2874" i="14"/>
  <c r="G2874" i="14" s="1"/>
  <c r="F2875" i="14"/>
  <c r="G2875" i="14" s="1"/>
  <c r="F2876" i="14"/>
  <c r="G2876" i="14" s="1"/>
  <c r="F2877" i="14"/>
  <c r="G2877" i="14" s="1"/>
  <c r="F2878" i="14"/>
  <c r="G2878" i="14" s="1"/>
  <c r="F2879" i="14"/>
  <c r="G2879" i="14" s="1"/>
  <c r="F2880" i="14"/>
  <c r="G2880" i="14" s="1"/>
  <c r="F2881" i="14"/>
  <c r="G2881" i="14" s="1"/>
  <c r="F2882" i="14"/>
  <c r="G2882" i="14" s="1"/>
  <c r="F2883" i="14"/>
  <c r="G2883" i="14" s="1"/>
  <c r="F2884" i="14"/>
  <c r="G2884" i="14" s="1"/>
  <c r="F2885" i="14"/>
  <c r="G2885" i="14" s="1"/>
  <c r="F2886" i="14"/>
  <c r="G2886" i="14" s="1"/>
  <c r="F2887" i="14"/>
  <c r="G2887" i="14" s="1"/>
  <c r="F2888" i="14"/>
  <c r="G2888" i="14" s="1"/>
  <c r="F2889" i="14"/>
  <c r="G2889" i="14" s="1"/>
  <c r="F2890" i="14"/>
  <c r="G2890" i="14" s="1"/>
  <c r="F2891" i="14"/>
  <c r="G2891" i="14" s="1"/>
  <c r="F2892" i="14"/>
  <c r="G2892" i="14" s="1"/>
  <c r="F2893" i="14"/>
  <c r="G2893" i="14" s="1"/>
  <c r="F2894" i="14"/>
  <c r="G2894" i="14" s="1"/>
  <c r="F2895" i="14"/>
  <c r="G2895" i="14" s="1"/>
  <c r="F2896" i="14"/>
  <c r="G2896" i="14" s="1"/>
  <c r="F2897" i="14"/>
  <c r="G2897" i="14" s="1"/>
  <c r="F2898" i="14"/>
  <c r="G2898" i="14" s="1"/>
  <c r="F2899" i="14"/>
  <c r="G2899" i="14" s="1"/>
  <c r="F2900" i="14"/>
  <c r="G2900" i="14" s="1"/>
  <c r="F2901" i="14"/>
  <c r="G2901" i="14" s="1"/>
  <c r="F2902" i="14"/>
  <c r="G2902" i="14" s="1"/>
  <c r="F2903" i="14"/>
  <c r="G2903" i="14" s="1"/>
  <c r="F2904" i="14"/>
  <c r="G2904" i="14" s="1"/>
  <c r="F2905" i="14"/>
  <c r="G2905" i="14" s="1"/>
  <c r="F2906" i="14"/>
  <c r="G2906" i="14" s="1"/>
  <c r="F2907" i="14"/>
  <c r="G2907" i="14" s="1"/>
  <c r="F2908" i="14"/>
  <c r="G2908" i="14" s="1"/>
  <c r="F2909" i="14"/>
  <c r="G2909" i="14" s="1"/>
  <c r="F2910" i="14"/>
  <c r="G2910" i="14" s="1"/>
  <c r="F2911" i="14"/>
  <c r="G2911" i="14" s="1"/>
  <c r="F2912" i="14"/>
  <c r="G2912" i="14" s="1"/>
  <c r="F2913" i="14"/>
  <c r="G2913" i="14" s="1"/>
  <c r="F2914" i="14"/>
  <c r="G2914" i="14" s="1"/>
  <c r="F2915" i="14"/>
  <c r="G2915" i="14" s="1"/>
  <c r="F2916" i="14"/>
  <c r="G2916" i="14" s="1"/>
  <c r="F2917" i="14"/>
  <c r="G2917" i="14" s="1"/>
  <c r="F2918" i="14"/>
  <c r="G2918" i="14" s="1"/>
  <c r="F2919" i="14"/>
  <c r="G2919" i="14" s="1"/>
  <c r="F2920" i="14"/>
  <c r="G2920" i="14" s="1"/>
  <c r="F2921" i="14"/>
  <c r="G2921" i="14" s="1"/>
  <c r="F2922" i="14"/>
  <c r="G2922" i="14" s="1"/>
  <c r="F2923" i="14"/>
  <c r="G2923" i="14" s="1"/>
  <c r="F2924" i="14"/>
  <c r="G2924" i="14" s="1"/>
  <c r="F2925" i="14"/>
  <c r="G2925" i="14" s="1"/>
  <c r="F2926" i="14"/>
  <c r="G2926" i="14" s="1"/>
  <c r="F2927" i="14"/>
  <c r="G2927" i="14" s="1"/>
  <c r="F2928" i="14"/>
  <c r="G2928" i="14" s="1"/>
  <c r="F2929" i="14"/>
  <c r="G2929" i="14" s="1"/>
  <c r="F2930" i="14"/>
  <c r="G2930" i="14" s="1"/>
  <c r="F2931" i="14"/>
  <c r="G2931" i="14" s="1"/>
  <c r="F2932" i="14"/>
  <c r="G2932" i="14" s="1"/>
  <c r="F2933" i="14"/>
  <c r="G2933" i="14" s="1"/>
  <c r="F2934" i="14"/>
  <c r="G2934" i="14" s="1"/>
  <c r="F2935" i="14"/>
  <c r="G2935" i="14" s="1"/>
  <c r="F2936" i="14"/>
  <c r="G2936" i="14" s="1"/>
  <c r="F2937" i="14"/>
  <c r="G2937" i="14" s="1"/>
  <c r="F2938" i="14"/>
  <c r="G2938" i="14" s="1"/>
  <c r="F2939" i="14"/>
  <c r="G2939" i="14" s="1"/>
  <c r="F2940" i="14"/>
  <c r="G2940" i="14" s="1"/>
  <c r="F2941" i="14"/>
  <c r="G2941" i="14" s="1"/>
  <c r="F2942" i="14"/>
  <c r="G2942" i="14" s="1"/>
  <c r="F2943" i="14"/>
  <c r="G2943" i="14" s="1"/>
  <c r="F2944" i="14"/>
  <c r="G2944" i="14" s="1"/>
  <c r="F2945" i="14"/>
  <c r="G2945" i="14" s="1"/>
  <c r="F2946" i="14"/>
  <c r="G2946" i="14" s="1"/>
  <c r="F2947" i="14"/>
  <c r="G2947" i="14" s="1"/>
  <c r="F2948" i="14"/>
  <c r="G2948" i="14" s="1"/>
  <c r="F2949" i="14"/>
  <c r="G2949" i="14" s="1"/>
  <c r="F2950" i="14"/>
  <c r="G2950" i="14" s="1"/>
  <c r="F2951" i="14"/>
  <c r="G2951" i="14" s="1"/>
  <c r="F2952" i="14"/>
  <c r="G2952" i="14" s="1"/>
  <c r="F2953" i="14"/>
  <c r="G2953" i="14" s="1"/>
  <c r="F2954" i="14"/>
  <c r="G2954" i="14" s="1"/>
  <c r="F2955" i="14"/>
  <c r="G2955" i="14" s="1"/>
  <c r="F2956" i="14"/>
  <c r="G2956" i="14" s="1"/>
  <c r="F2957" i="14"/>
  <c r="G2957" i="14" s="1"/>
  <c r="F2958" i="14"/>
  <c r="G2958" i="14" s="1"/>
  <c r="F2959" i="14"/>
  <c r="G2959" i="14" s="1"/>
  <c r="F2960" i="14"/>
  <c r="G2960" i="14" s="1"/>
  <c r="F2961" i="14"/>
  <c r="G2961" i="14" s="1"/>
  <c r="F2962" i="14"/>
  <c r="G2962" i="14" s="1"/>
  <c r="F2963" i="14"/>
  <c r="G2963" i="14" s="1"/>
  <c r="F2964" i="14"/>
  <c r="G2964" i="14" s="1"/>
  <c r="F2965" i="14"/>
  <c r="G2965" i="14" s="1"/>
  <c r="F2966" i="14"/>
  <c r="G2966" i="14" s="1"/>
  <c r="F2967" i="14"/>
  <c r="G2967" i="14" s="1"/>
  <c r="F2968" i="14"/>
  <c r="G2968" i="14" s="1"/>
  <c r="F2969" i="14"/>
  <c r="G2969" i="14" s="1"/>
  <c r="F2970" i="14"/>
  <c r="G2970" i="14" s="1"/>
  <c r="F2971" i="14"/>
  <c r="G2971" i="14" s="1"/>
  <c r="F2972" i="14"/>
  <c r="G2972" i="14" s="1"/>
  <c r="F2973" i="14"/>
  <c r="G2973" i="14" s="1"/>
  <c r="F2974" i="14"/>
  <c r="G2974" i="14" s="1"/>
  <c r="F2975" i="14"/>
  <c r="G2975" i="14" s="1"/>
  <c r="F2976" i="14"/>
  <c r="G2976" i="14" s="1"/>
  <c r="F2977" i="14"/>
  <c r="G2977" i="14" s="1"/>
  <c r="F2978" i="14"/>
  <c r="G2978" i="14" s="1"/>
  <c r="F2979" i="14"/>
  <c r="G2979" i="14" s="1"/>
  <c r="F2980" i="14"/>
  <c r="G2980" i="14" s="1"/>
  <c r="F2981" i="14"/>
  <c r="G2981" i="14" s="1"/>
  <c r="F2982" i="14"/>
  <c r="G2982" i="14" s="1"/>
  <c r="F2983" i="14"/>
  <c r="G2983" i="14" s="1"/>
  <c r="F2984" i="14"/>
  <c r="G2984" i="14" s="1"/>
  <c r="F2985" i="14"/>
  <c r="G2985" i="14" s="1"/>
  <c r="F2986" i="14"/>
  <c r="G2986" i="14" s="1"/>
  <c r="F2987" i="14"/>
  <c r="G2987" i="14" s="1"/>
  <c r="F2988" i="14"/>
  <c r="G2988" i="14" s="1"/>
  <c r="F2989" i="14"/>
  <c r="G2989" i="14" s="1"/>
  <c r="F2990" i="14"/>
  <c r="G2990" i="14" s="1"/>
  <c r="F2991" i="14"/>
  <c r="G2991" i="14" s="1"/>
  <c r="F2992" i="14"/>
  <c r="G2992" i="14" s="1"/>
  <c r="F2993" i="14"/>
  <c r="G2993" i="14" s="1"/>
  <c r="F2994" i="14"/>
  <c r="G2994" i="14" s="1"/>
  <c r="F2995" i="14"/>
  <c r="G2995" i="14" s="1"/>
  <c r="F2996" i="14"/>
  <c r="G2996" i="14" s="1"/>
  <c r="F2997" i="14"/>
  <c r="G2997" i="14" s="1"/>
  <c r="F2998" i="14"/>
  <c r="G2998" i="14" s="1"/>
  <c r="F2999" i="14"/>
  <c r="G2999" i="14" s="1"/>
  <c r="F3000" i="14"/>
  <c r="G3000" i="14" s="1"/>
  <c r="F3001" i="14"/>
  <c r="G3001" i="14" s="1"/>
  <c r="F3002" i="14"/>
  <c r="G3002" i="14" s="1"/>
  <c r="F3003" i="14"/>
  <c r="G3003" i="14" s="1"/>
  <c r="F3004" i="14"/>
  <c r="G3004" i="14" s="1"/>
  <c r="F3005" i="14"/>
  <c r="G3005" i="14" s="1"/>
  <c r="F3006" i="14"/>
  <c r="G3006" i="14" s="1"/>
  <c r="F3007" i="14"/>
  <c r="G3007" i="14" s="1"/>
  <c r="F3008" i="14"/>
  <c r="G3008" i="14" s="1"/>
  <c r="F3009" i="14"/>
  <c r="G3009" i="14" s="1"/>
  <c r="F3010" i="14"/>
  <c r="G3010" i="14" s="1"/>
  <c r="F3011" i="14"/>
  <c r="G3011" i="14" s="1"/>
  <c r="F3012" i="14"/>
  <c r="G3012" i="14" s="1"/>
  <c r="F3013" i="14"/>
  <c r="G3013" i="14" s="1"/>
  <c r="F3014" i="14"/>
  <c r="G3014" i="14" s="1"/>
  <c r="F3015" i="14"/>
  <c r="G3015" i="14" s="1"/>
  <c r="F3016" i="14"/>
  <c r="G3016" i="14" s="1"/>
  <c r="F3017" i="14"/>
  <c r="G3017" i="14" s="1"/>
  <c r="F3018" i="14"/>
  <c r="G3018" i="14" s="1"/>
  <c r="F3019" i="14"/>
  <c r="G3019" i="14" s="1"/>
  <c r="F3020" i="14"/>
  <c r="G3020" i="14" s="1"/>
  <c r="F3021" i="14"/>
  <c r="G3021" i="14" s="1"/>
  <c r="F3022" i="14"/>
  <c r="G3022" i="14" s="1"/>
  <c r="F3023" i="14"/>
  <c r="G3023" i="14" s="1"/>
  <c r="F3024" i="14"/>
  <c r="G3024" i="14" s="1"/>
  <c r="F3025" i="14"/>
  <c r="G3025" i="14" s="1"/>
  <c r="F3026" i="14"/>
  <c r="G3026" i="14" s="1"/>
  <c r="F3027" i="14"/>
  <c r="G3027" i="14" s="1"/>
  <c r="F3028" i="14"/>
  <c r="G3028" i="14" s="1"/>
  <c r="F3029" i="14"/>
  <c r="G3029" i="14" s="1"/>
  <c r="F3030" i="14"/>
  <c r="G3030" i="14" s="1"/>
  <c r="F3031" i="14"/>
  <c r="G3031" i="14" s="1"/>
  <c r="F3032" i="14"/>
  <c r="G3032" i="14" s="1"/>
  <c r="F3033" i="14"/>
  <c r="G3033" i="14" s="1"/>
  <c r="F3034" i="14"/>
  <c r="G3034" i="14" s="1"/>
  <c r="F3035" i="14"/>
  <c r="G3035" i="14" s="1"/>
  <c r="F3036" i="14"/>
  <c r="G3036" i="14" s="1"/>
  <c r="F3037" i="14"/>
  <c r="G3037" i="14" s="1"/>
  <c r="F3038" i="14"/>
  <c r="G3038" i="14" s="1"/>
  <c r="F3039" i="14"/>
  <c r="G3039" i="14" s="1"/>
  <c r="F3040" i="14"/>
  <c r="G3040" i="14" s="1"/>
  <c r="F3041" i="14"/>
  <c r="G3041" i="14" s="1"/>
  <c r="F3042" i="14"/>
  <c r="G3042" i="14" s="1"/>
  <c r="F3043" i="14"/>
  <c r="G3043" i="14" s="1"/>
  <c r="F3044" i="14"/>
  <c r="G3044" i="14" s="1"/>
  <c r="F3045" i="14"/>
  <c r="G3045" i="14" s="1"/>
  <c r="F3046" i="14"/>
  <c r="G3046" i="14" s="1"/>
  <c r="F3047" i="14"/>
  <c r="G3047" i="14" s="1"/>
  <c r="F3048" i="14"/>
  <c r="G3048" i="14" s="1"/>
  <c r="F3049" i="14"/>
  <c r="G3049" i="14" s="1"/>
  <c r="F3050" i="14"/>
  <c r="G3050" i="14" s="1"/>
  <c r="F3051" i="14"/>
  <c r="G3051" i="14" s="1"/>
  <c r="F3052" i="14"/>
  <c r="G3052" i="14" s="1"/>
  <c r="F3053" i="14"/>
  <c r="G3053" i="14" s="1"/>
  <c r="F3054" i="14"/>
  <c r="G3054" i="14" s="1"/>
  <c r="F3055" i="14"/>
  <c r="G3055" i="14" s="1"/>
  <c r="F3056" i="14"/>
  <c r="G3056" i="14" s="1"/>
  <c r="F3057" i="14"/>
  <c r="G3057" i="14" s="1"/>
  <c r="F3058" i="14"/>
  <c r="G3058" i="14" s="1"/>
  <c r="F3059" i="14"/>
  <c r="G3059" i="14" s="1"/>
  <c r="F3060" i="14"/>
  <c r="G3060" i="14" s="1"/>
  <c r="F3061" i="14"/>
  <c r="G3061" i="14" s="1"/>
  <c r="F3062" i="14"/>
  <c r="G3062" i="14" s="1"/>
  <c r="F3063" i="14"/>
  <c r="G3063" i="14" s="1"/>
  <c r="F3064" i="14"/>
  <c r="G3064" i="14" s="1"/>
  <c r="F3065" i="14"/>
  <c r="G3065" i="14" s="1"/>
  <c r="F3066" i="14"/>
  <c r="G3066" i="14" s="1"/>
  <c r="F3067" i="14"/>
  <c r="G3067" i="14" s="1"/>
  <c r="F3068" i="14"/>
  <c r="G3068" i="14" s="1"/>
  <c r="F3069" i="14"/>
  <c r="G3069" i="14" s="1"/>
  <c r="F3070" i="14"/>
  <c r="G3070" i="14" s="1"/>
  <c r="F3071" i="14"/>
  <c r="G3071" i="14" s="1"/>
  <c r="F3072" i="14"/>
  <c r="G3072" i="14" s="1"/>
  <c r="F3073" i="14"/>
  <c r="G3073" i="14" s="1"/>
  <c r="F3074" i="14"/>
  <c r="G3074" i="14" s="1"/>
  <c r="F3075" i="14"/>
  <c r="G3075" i="14" s="1"/>
  <c r="F3076" i="14"/>
  <c r="G3076" i="14" s="1"/>
  <c r="F3077" i="14"/>
  <c r="G3077" i="14" s="1"/>
  <c r="F3078" i="14"/>
  <c r="G3078" i="14" s="1"/>
  <c r="F3079" i="14"/>
  <c r="G3079" i="14" s="1"/>
  <c r="F3080" i="14"/>
  <c r="G3080" i="14" s="1"/>
  <c r="F3081" i="14"/>
  <c r="G3081" i="14" s="1"/>
  <c r="F3082" i="14"/>
  <c r="G3082" i="14" s="1"/>
  <c r="F3083" i="14"/>
  <c r="G3083" i="14" s="1"/>
  <c r="F3084" i="14"/>
  <c r="G3084" i="14" s="1"/>
  <c r="F3085" i="14"/>
  <c r="G3085" i="14" s="1"/>
  <c r="F3086" i="14"/>
  <c r="G3086" i="14" s="1"/>
  <c r="F3087" i="14"/>
  <c r="G3087" i="14" s="1"/>
  <c r="F3088" i="14"/>
  <c r="G3088" i="14" s="1"/>
  <c r="F3089" i="14"/>
  <c r="G3089" i="14" s="1"/>
  <c r="F3090" i="14"/>
  <c r="G3090" i="14" s="1"/>
  <c r="F3091" i="14"/>
  <c r="G3091" i="14" s="1"/>
  <c r="F3092" i="14"/>
  <c r="G3092" i="14" s="1"/>
  <c r="F3093" i="14"/>
  <c r="G3093" i="14" s="1"/>
  <c r="F3094" i="14"/>
  <c r="G3094" i="14" s="1"/>
  <c r="F3095" i="14"/>
  <c r="G3095" i="14" s="1"/>
  <c r="F3096" i="14"/>
  <c r="G3096" i="14" s="1"/>
  <c r="F3097" i="14"/>
  <c r="G3097" i="14" s="1"/>
  <c r="F3098" i="14"/>
  <c r="G3098" i="14" s="1"/>
  <c r="F3099" i="14"/>
  <c r="G3099" i="14" s="1"/>
  <c r="F3100" i="14"/>
  <c r="G3100" i="14" s="1"/>
  <c r="F3101" i="14"/>
  <c r="G3101" i="14" s="1"/>
  <c r="F3102" i="14"/>
  <c r="G3102" i="14" s="1"/>
  <c r="F3103" i="14"/>
  <c r="G3103" i="14" s="1"/>
  <c r="F3104" i="14"/>
  <c r="G3104" i="14" s="1"/>
  <c r="F3105" i="14"/>
  <c r="G3105" i="14" s="1"/>
  <c r="F3106" i="14"/>
  <c r="G3106" i="14" s="1"/>
  <c r="F3107" i="14"/>
  <c r="G3107" i="14" s="1"/>
  <c r="F3108" i="14"/>
  <c r="G3108" i="14" s="1"/>
  <c r="F3109" i="14"/>
  <c r="G3109" i="14" s="1"/>
  <c r="F3110" i="14"/>
  <c r="G3110" i="14" s="1"/>
  <c r="F3111" i="14"/>
  <c r="G3111" i="14" s="1"/>
  <c r="F3112" i="14"/>
  <c r="G3112" i="14" s="1"/>
  <c r="F3113" i="14"/>
  <c r="G3113" i="14" s="1"/>
  <c r="F3114" i="14"/>
  <c r="G3114" i="14" s="1"/>
  <c r="F3115" i="14"/>
  <c r="G3115" i="14" s="1"/>
  <c r="F3116" i="14"/>
  <c r="G3116" i="14" s="1"/>
  <c r="F3117" i="14"/>
  <c r="G3117" i="14" s="1"/>
  <c r="F3118" i="14"/>
  <c r="G3118" i="14" s="1"/>
  <c r="F3119" i="14"/>
  <c r="G3119" i="14" s="1"/>
  <c r="F3120" i="14"/>
  <c r="G3120" i="14" s="1"/>
  <c r="F3121" i="14"/>
  <c r="G3121" i="14" s="1"/>
  <c r="F3122" i="14"/>
  <c r="G3122" i="14" s="1"/>
  <c r="F3123" i="14"/>
  <c r="G3123" i="14" s="1"/>
  <c r="F3124" i="14"/>
  <c r="G3124" i="14" s="1"/>
  <c r="F3125" i="14"/>
  <c r="G3125" i="14" s="1"/>
  <c r="F3126" i="14"/>
  <c r="G3126" i="14" s="1"/>
  <c r="F3127" i="14"/>
  <c r="G3127" i="14" s="1"/>
  <c r="F3128" i="14"/>
  <c r="G3128" i="14" s="1"/>
  <c r="F3129" i="14"/>
  <c r="G3129" i="14" s="1"/>
  <c r="F3130" i="14"/>
  <c r="G3130" i="14" s="1"/>
  <c r="F3131" i="14"/>
  <c r="G3131" i="14" s="1"/>
  <c r="F3132" i="14"/>
  <c r="G3132" i="14" s="1"/>
  <c r="F3133" i="14"/>
  <c r="G3133" i="14" s="1"/>
  <c r="F3134" i="14"/>
  <c r="G3134" i="14" s="1"/>
  <c r="F3135" i="14"/>
  <c r="G3135" i="14" s="1"/>
  <c r="F3136" i="14"/>
  <c r="G3136" i="14" s="1"/>
  <c r="F3137" i="14"/>
  <c r="G3137" i="14" s="1"/>
  <c r="F3138" i="14"/>
  <c r="G3138" i="14" s="1"/>
  <c r="F3139" i="14"/>
  <c r="G3139" i="14" s="1"/>
  <c r="F3140" i="14"/>
  <c r="G3140" i="14" s="1"/>
  <c r="F3141" i="14"/>
  <c r="G3141" i="14" s="1"/>
  <c r="F3142" i="14"/>
  <c r="G3142" i="14" s="1"/>
  <c r="F3143" i="14"/>
  <c r="G3143" i="14" s="1"/>
  <c r="F3144" i="14"/>
  <c r="G3144" i="14" s="1"/>
  <c r="F3145" i="14"/>
  <c r="G3145" i="14" s="1"/>
  <c r="F3146" i="14"/>
  <c r="G3146" i="14" s="1"/>
  <c r="F3147" i="14"/>
  <c r="G3147" i="14" s="1"/>
  <c r="F3148" i="14"/>
  <c r="G3148" i="14" s="1"/>
  <c r="F3149" i="14"/>
  <c r="G3149" i="14" s="1"/>
  <c r="F3150" i="14"/>
  <c r="G3150" i="14" s="1"/>
  <c r="F3151" i="14"/>
  <c r="G3151" i="14" s="1"/>
  <c r="F3152" i="14"/>
  <c r="G3152" i="14" s="1"/>
  <c r="F3153" i="14"/>
  <c r="G3153" i="14" s="1"/>
  <c r="F3154" i="14"/>
  <c r="G3154" i="14" s="1"/>
  <c r="F3155" i="14"/>
  <c r="G3155" i="14" s="1"/>
  <c r="F3156" i="14"/>
  <c r="G3156" i="14" s="1"/>
  <c r="F3157" i="14"/>
  <c r="G3157" i="14" s="1"/>
  <c r="F3158" i="14"/>
  <c r="G3158" i="14" s="1"/>
  <c r="F3159" i="14"/>
  <c r="G3159" i="14" s="1"/>
  <c r="F3160" i="14"/>
  <c r="G3160" i="14" s="1"/>
  <c r="F3161" i="14"/>
  <c r="G3161" i="14" s="1"/>
  <c r="F3162" i="14"/>
  <c r="G3162" i="14" s="1"/>
  <c r="F3163" i="14"/>
  <c r="G3163" i="14" s="1"/>
  <c r="F3164" i="14"/>
  <c r="G3164" i="14" s="1"/>
  <c r="F3165" i="14"/>
  <c r="G3165" i="14" s="1"/>
  <c r="F3166" i="14"/>
  <c r="G3166" i="14" s="1"/>
  <c r="F3167" i="14"/>
  <c r="G3167" i="14" s="1"/>
  <c r="F3168" i="14"/>
  <c r="G3168" i="14" s="1"/>
  <c r="F3169" i="14"/>
  <c r="G3169" i="14" s="1"/>
  <c r="F3170" i="14"/>
  <c r="G3170" i="14" s="1"/>
  <c r="F3171" i="14"/>
  <c r="G3171" i="14" s="1"/>
  <c r="F3172" i="14"/>
  <c r="G3172" i="14" s="1"/>
  <c r="F3173" i="14"/>
  <c r="G3173" i="14" s="1"/>
  <c r="F3174" i="14"/>
  <c r="G3174" i="14" s="1"/>
  <c r="F3175" i="14"/>
  <c r="G3175" i="14" s="1"/>
  <c r="F3176" i="14"/>
  <c r="G3176" i="14" s="1"/>
  <c r="F3177" i="14"/>
  <c r="G3177" i="14" s="1"/>
  <c r="F3178" i="14"/>
  <c r="G3178" i="14" s="1"/>
  <c r="F3179" i="14"/>
  <c r="G3179" i="14" s="1"/>
  <c r="F3180" i="14"/>
  <c r="G3180" i="14" s="1"/>
  <c r="F3181" i="14"/>
  <c r="G3181" i="14" s="1"/>
  <c r="F3182" i="14"/>
  <c r="G3182" i="14" s="1"/>
  <c r="F3183" i="14"/>
  <c r="G3183" i="14" s="1"/>
  <c r="F3184" i="14"/>
  <c r="G3184" i="14" s="1"/>
  <c r="F3185" i="14"/>
  <c r="G3185" i="14" s="1"/>
  <c r="F3186" i="14"/>
  <c r="G3186" i="14" s="1"/>
  <c r="F3187" i="14"/>
  <c r="G3187" i="14" s="1"/>
  <c r="F3188" i="14"/>
  <c r="G3188" i="14" s="1"/>
  <c r="F3189" i="14"/>
  <c r="G3189" i="14" s="1"/>
  <c r="F3190" i="14"/>
  <c r="G3190" i="14" s="1"/>
  <c r="F3191" i="14"/>
  <c r="G3191" i="14" s="1"/>
  <c r="F3192" i="14"/>
  <c r="G3192" i="14" s="1"/>
  <c r="F3193" i="14"/>
  <c r="G3193" i="14" s="1"/>
  <c r="F3194" i="14"/>
  <c r="G3194" i="14" s="1"/>
  <c r="F3195" i="14"/>
  <c r="G3195" i="14" s="1"/>
  <c r="F3196" i="14"/>
  <c r="G3196" i="14" s="1"/>
  <c r="F3197" i="14"/>
  <c r="G3197" i="14" s="1"/>
  <c r="F3198" i="14"/>
  <c r="G3198" i="14" s="1"/>
  <c r="F3199" i="14"/>
  <c r="G3199" i="14" s="1"/>
  <c r="F3200" i="14"/>
  <c r="G3200" i="14" s="1"/>
  <c r="F3201" i="14"/>
  <c r="G3201" i="14" s="1"/>
  <c r="F3202" i="14"/>
  <c r="G3202" i="14" s="1"/>
  <c r="F3203" i="14"/>
  <c r="G3203" i="14" s="1"/>
  <c r="F3204" i="14"/>
  <c r="G3204" i="14" s="1"/>
  <c r="F3205" i="14"/>
  <c r="G3205" i="14" s="1"/>
  <c r="F3206" i="14"/>
  <c r="G3206" i="14" s="1"/>
  <c r="F3207" i="14"/>
  <c r="G3207" i="14" s="1"/>
  <c r="F3208" i="14"/>
  <c r="G3208" i="14" s="1"/>
  <c r="F3209" i="14"/>
  <c r="G3209" i="14" s="1"/>
  <c r="F3210" i="14"/>
  <c r="G3210" i="14" s="1"/>
  <c r="F3211" i="14"/>
  <c r="G3211" i="14" s="1"/>
  <c r="F3212" i="14"/>
  <c r="G3212" i="14" s="1"/>
  <c r="F3213" i="14"/>
  <c r="G3213" i="14" s="1"/>
  <c r="F3214" i="14"/>
  <c r="G3214" i="14" s="1"/>
  <c r="F3215" i="14"/>
  <c r="G3215" i="14" s="1"/>
  <c r="F3216" i="14"/>
  <c r="G3216" i="14" s="1"/>
  <c r="F3217" i="14"/>
  <c r="G3217" i="14" s="1"/>
  <c r="F3218" i="14"/>
  <c r="G3218" i="14" s="1"/>
  <c r="F3219" i="14"/>
  <c r="G3219" i="14" s="1"/>
  <c r="F3220" i="14"/>
  <c r="G3220" i="14" s="1"/>
  <c r="F3221" i="14"/>
  <c r="G3221" i="14" s="1"/>
  <c r="F3222" i="14"/>
  <c r="G3222" i="14" s="1"/>
  <c r="F3223" i="14"/>
  <c r="G3223" i="14" s="1"/>
  <c r="F3224" i="14"/>
  <c r="G3224" i="14" s="1"/>
  <c r="F3225" i="14"/>
  <c r="G3225" i="14" s="1"/>
  <c r="F3226" i="14"/>
  <c r="G3226" i="14" s="1"/>
  <c r="F3227" i="14"/>
  <c r="G3227" i="14" s="1"/>
  <c r="F3228" i="14"/>
  <c r="G3228" i="14" s="1"/>
  <c r="F3229" i="14"/>
  <c r="G3229" i="14" s="1"/>
  <c r="F3230" i="14"/>
  <c r="G3230" i="14" s="1"/>
  <c r="F3231" i="14"/>
  <c r="G3231" i="14" s="1"/>
  <c r="F3232" i="14"/>
  <c r="G3232" i="14" s="1"/>
  <c r="F3233" i="14"/>
  <c r="G3233" i="14" s="1"/>
  <c r="F3234" i="14"/>
  <c r="G3234" i="14" s="1"/>
  <c r="F3235" i="14"/>
  <c r="G3235" i="14" s="1"/>
  <c r="F3236" i="14"/>
  <c r="G3236" i="14" s="1"/>
  <c r="F3237" i="14"/>
  <c r="G3237" i="14" s="1"/>
  <c r="F3238" i="14"/>
  <c r="G3238" i="14" s="1"/>
  <c r="F3239" i="14"/>
  <c r="G3239" i="14" s="1"/>
  <c r="F3240" i="14"/>
  <c r="G3240" i="14" s="1"/>
  <c r="F3241" i="14"/>
  <c r="G3241" i="14" s="1"/>
  <c r="F3242" i="14"/>
  <c r="G3242" i="14" s="1"/>
  <c r="F3243" i="14"/>
  <c r="G3243" i="14" s="1"/>
  <c r="F3244" i="14"/>
  <c r="G3244" i="14" s="1"/>
  <c r="F3245" i="14"/>
  <c r="G3245" i="14" s="1"/>
  <c r="F3246" i="14"/>
  <c r="G3246" i="14" s="1"/>
  <c r="F3247" i="14"/>
  <c r="G3247" i="14" s="1"/>
  <c r="F3248" i="14"/>
  <c r="G3248" i="14" s="1"/>
  <c r="F3249" i="14"/>
  <c r="G3249" i="14" s="1"/>
  <c r="F3250" i="14"/>
  <c r="G3250" i="14" s="1"/>
  <c r="F3251" i="14"/>
  <c r="G3251" i="14" s="1"/>
  <c r="F3252" i="14"/>
  <c r="G3252" i="14" s="1"/>
  <c r="F3253" i="14"/>
  <c r="G3253" i="14" s="1"/>
  <c r="F3254" i="14"/>
  <c r="G3254" i="14" s="1"/>
  <c r="F3255" i="14"/>
  <c r="G3255" i="14" s="1"/>
  <c r="F3256" i="14"/>
  <c r="G3256" i="14" s="1"/>
  <c r="F3257" i="14"/>
  <c r="G3257" i="14" s="1"/>
  <c r="F3258" i="14"/>
  <c r="G3258" i="14" s="1"/>
  <c r="F3259" i="14"/>
  <c r="G3259" i="14" s="1"/>
  <c r="F3260" i="14"/>
  <c r="G3260" i="14" s="1"/>
  <c r="F3261" i="14"/>
  <c r="G3261" i="14" s="1"/>
  <c r="F3262" i="14"/>
  <c r="G3262" i="14" s="1"/>
  <c r="F3263" i="14"/>
  <c r="G3263" i="14" s="1"/>
  <c r="F3264" i="14"/>
  <c r="G3264" i="14" s="1"/>
  <c r="F3265" i="14"/>
  <c r="G3265" i="14" s="1"/>
  <c r="F3266" i="14"/>
  <c r="G3266" i="14" s="1"/>
  <c r="F3267" i="14"/>
  <c r="G3267" i="14" s="1"/>
  <c r="F3268" i="14"/>
  <c r="G3268" i="14" s="1"/>
  <c r="F3269" i="14"/>
  <c r="G3269" i="14" s="1"/>
  <c r="F3270" i="14"/>
  <c r="G3270" i="14" s="1"/>
  <c r="F3271" i="14"/>
  <c r="G3271" i="14" s="1"/>
  <c r="F3272" i="14"/>
  <c r="G3272" i="14" s="1"/>
  <c r="F3273" i="14"/>
  <c r="G3273" i="14" s="1"/>
  <c r="F3274" i="14"/>
  <c r="G3274" i="14" s="1"/>
  <c r="F3275" i="14"/>
  <c r="G3275" i="14" s="1"/>
  <c r="F3276" i="14"/>
  <c r="G3276" i="14" s="1"/>
  <c r="F3277" i="14"/>
  <c r="G3277" i="14" s="1"/>
  <c r="F3278" i="14"/>
  <c r="G3278" i="14" s="1"/>
  <c r="F3279" i="14"/>
  <c r="G3279" i="14" s="1"/>
  <c r="F3280" i="14"/>
  <c r="G3280" i="14" s="1"/>
  <c r="F3281" i="14"/>
  <c r="G3281" i="14" s="1"/>
  <c r="F3282" i="14"/>
  <c r="G3282" i="14" s="1"/>
  <c r="F3283" i="14"/>
  <c r="G3283" i="14" s="1"/>
  <c r="F3284" i="14"/>
  <c r="G3284" i="14" s="1"/>
  <c r="F3285" i="14"/>
  <c r="G3285" i="14" s="1"/>
  <c r="F3286" i="14"/>
  <c r="G3286" i="14" s="1"/>
  <c r="F3287" i="14"/>
  <c r="G3287" i="14" s="1"/>
  <c r="F3288" i="14"/>
  <c r="G3288" i="14" s="1"/>
  <c r="F3289" i="14"/>
  <c r="G3289" i="14" s="1"/>
  <c r="F3290" i="14"/>
  <c r="G3290" i="14" s="1"/>
  <c r="F3291" i="14"/>
  <c r="G3291" i="14" s="1"/>
  <c r="F3292" i="14"/>
  <c r="G3292" i="14" s="1"/>
  <c r="F3293" i="14"/>
  <c r="G3293" i="14" s="1"/>
  <c r="F3294" i="14"/>
  <c r="G3294" i="14" s="1"/>
  <c r="F3295" i="14"/>
  <c r="G3295" i="14" s="1"/>
  <c r="F3296" i="14"/>
  <c r="G3296" i="14" s="1"/>
  <c r="F3297" i="14"/>
  <c r="G3297" i="14" s="1"/>
  <c r="F3298" i="14"/>
  <c r="G3298" i="14" s="1"/>
  <c r="F3299" i="14"/>
  <c r="G3299" i="14" s="1"/>
  <c r="F3300" i="14"/>
  <c r="G3300" i="14" s="1"/>
  <c r="F3301" i="14"/>
  <c r="G3301" i="14" s="1"/>
  <c r="F3302" i="14"/>
  <c r="G3302" i="14" s="1"/>
  <c r="F3303" i="14"/>
  <c r="G3303" i="14" s="1"/>
  <c r="F3304" i="14"/>
  <c r="G3304" i="14" s="1"/>
  <c r="F3305" i="14"/>
  <c r="G3305" i="14" s="1"/>
  <c r="F3306" i="14"/>
  <c r="G3306" i="14" s="1"/>
  <c r="F3307" i="14"/>
  <c r="G3307" i="14" s="1"/>
  <c r="F3308" i="14"/>
  <c r="G3308" i="14" s="1"/>
  <c r="F3309" i="14"/>
  <c r="G3309" i="14" s="1"/>
  <c r="F3310" i="14"/>
  <c r="G3310" i="14" s="1"/>
  <c r="F3311" i="14"/>
  <c r="G3311" i="14" s="1"/>
  <c r="F3312" i="14"/>
  <c r="G3312" i="14" s="1"/>
  <c r="F3313" i="14"/>
  <c r="G3313" i="14" s="1"/>
  <c r="F3314" i="14"/>
  <c r="G3314" i="14" s="1"/>
  <c r="F3315" i="14"/>
  <c r="G3315" i="14" s="1"/>
  <c r="F3316" i="14"/>
  <c r="G3316" i="14" s="1"/>
  <c r="F3317" i="14"/>
  <c r="G3317" i="14" s="1"/>
  <c r="F3318" i="14"/>
  <c r="G3318" i="14" s="1"/>
  <c r="F3319" i="14"/>
  <c r="G3319" i="14" s="1"/>
  <c r="F3320" i="14"/>
  <c r="G3320" i="14" s="1"/>
  <c r="F3321" i="14"/>
  <c r="G3321" i="14" s="1"/>
  <c r="F3322" i="14"/>
  <c r="G3322" i="14" s="1"/>
  <c r="F3323" i="14"/>
  <c r="G3323" i="14" s="1"/>
  <c r="F3324" i="14"/>
  <c r="G3324" i="14" s="1"/>
  <c r="F3325" i="14"/>
  <c r="G3325" i="14" s="1"/>
  <c r="F3326" i="14"/>
  <c r="G3326" i="14" s="1"/>
  <c r="F3327" i="14"/>
  <c r="G3327" i="14" s="1"/>
  <c r="F3328" i="14"/>
  <c r="G3328" i="14" s="1"/>
  <c r="F3329" i="14"/>
  <c r="G3329" i="14" s="1"/>
  <c r="F3330" i="14"/>
  <c r="G3330" i="14" s="1"/>
  <c r="F3331" i="14"/>
  <c r="G3331" i="14" s="1"/>
  <c r="F3332" i="14"/>
  <c r="G3332" i="14" s="1"/>
  <c r="F3333" i="14"/>
  <c r="G3333" i="14" s="1"/>
  <c r="F3334" i="14"/>
  <c r="G3334" i="14" s="1"/>
  <c r="F3335" i="14"/>
  <c r="G3335" i="14" s="1"/>
  <c r="F3336" i="14"/>
  <c r="G3336" i="14" s="1"/>
  <c r="F3337" i="14"/>
  <c r="G3337" i="14" s="1"/>
  <c r="F3338" i="14"/>
  <c r="G3338" i="14" s="1"/>
  <c r="F3339" i="14"/>
  <c r="G3339" i="14" s="1"/>
  <c r="F3340" i="14"/>
  <c r="G3340" i="14" s="1"/>
  <c r="F3341" i="14"/>
  <c r="G3341" i="14" s="1"/>
  <c r="F3342" i="14"/>
  <c r="G3342" i="14" s="1"/>
  <c r="F3343" i="14"/>
  <c r="G3343" i="14" s="1"/>
  <c r="F3344" i="14"/>
  <c r="G3344" i="14" s="1"/>
  <c r="F3345" i="14"/>
  <c r="G3345" i="14" s="1"/>
  <c r="F3346" i="14"/>
  <c r="G3346" i="14" s="1"/>
  <c r="F3347" i="14"/>
  <c r="G3347" i="14" s="1"/>
  <c r="F3348" i="14"/>
  <c r="G3348" i="14" s="1"/>
  <c r="F3349" i="14"/>
  <c r="G3349" i="14" s="1"/>
  <c r="F3350" i="14"/>
  <c r="G3350" i="14" s="1"/>
  <c r="F3351" i="14"/>
  <c r="G3351" i="14" s="1"/>
  <c r="F3352" i="14"/>
  <c r="G3352" i="14" s="1"/>
  <c r="F3353" i="14"/>
  <c r="G3353" i="14" s="1"/>
  <c r="F3354" i="14"/>
  <c r="G3354" i="14" s="1"/>
  <c r="F3355" i="14"/>
  <c r="G3355" i="14" s="1"/>
  <c r="F3356" i="14"/>
  <c r="G3356" i="14" s="1"/>
  <c r="F3357" i="14"/>
  <c r="G3357" i="14" s="1"/>
  <c r="F3358" i="14"/>
  <c r="G3358" i="14" s="1"/>
  <c r="F3359" i="14"/>
  <c r="G3359" i="14" s="1"/>
  <c r="F3360" i="14"/>
  <c r="G3360" i="14" s="1"/>
  <c r="F3361" i="14"/>
  <c r="G3361" i="14" s="1"/>
  <c r="F3362" i="14"/>
  <c r="G3362" i="14" s="1"/>
  <c r="F3363" i="14"/>
  <c r="G3363" i="14" s="1"/>
  <c r="F3364" i="14"/>
  <c r="G3364" i="14" s="1"/>
  <c r="F3365" i="14"/>
  <c r="G3365" i="14" s="1"/>
  <c r="F3366" i="14"/>
  <c r="G3366" i="14" s="1"/>
  <c r="F3367" i="14"/>
  <c r="G3367" i="14" s="1"/>
  <c r="F3368" i="14"/>
  <c r="G3368" i="14" s="1"/>
  <c r="F3369" i="14"/>
  <c r="G3369" i="14" s="1"/>
  <c r="F3370" i="14"/>
  <c r="G3370" i="14" s="1"/>
  <c r="F3371" i="14"/>
  <c r="G3371" i="14" s="1"/>
  <c r="F3372" i="14"/>
  <c r="G3372" i="14" s="1"/>
  <c r="F3373" i="14"/>
  <c r="G3373" i="14" s="1"/>
  <c r="F3374" i="14"/>
  <c r="G3374" i="14" s="1"/>
  <c r="F3375" i="14"/>
  <c r="G3375" i="14" s="1"/>
  <c r="F3376" i="14"/>
  <c r="G3376" i="14" s="1"/>
  <c r="F3377" i="14"/>
  <c r="G3377" i="14" s="1"/>
  <c r="F3378" i="14"/>
  <c r="G3378" i="14" s="1"/>
  <c r="F3379" i="14"/>
  <c r="G3379" i="14" s="1"/>
  <c r="F3380" i="14"/>
  <c r="G3380" i="14" s="1"/>
  <c r="F3381" i="14"/>
  <c r="G3381" i="14" s="1"/>
  <c r="F3382" i="14"/>
  <c r="G3382" i="14" s="1"/>
  <c r="F3383" i="14"/>
  <c r="G3383" i="14" s="1"/>
  <c r="F3384" i="14"/>
  <c r="G3384" i="14" s="1"/>
  <c r="F3385" i="14"/>
  <c r="G3385" i="14" s="1"/>
  <c r="F3386" i="14"/>
  <c r="G3386" i="14" s="1"/>
  <c r="F3387" i="14"/>
  <c r="G3387" i="14" s="1"/>
  <c r="F3388" i="14"/>
  <c r="G3388" i="14" s="1"/>
  <c r="F3389" i="14"/>
  <c r="G3389" i="14" s="1"/>
  <c r="F3390" i="14"/>
  <c r="G3390" i="14" s="1"/>
  <c r="F3391" i="14"/>
  <c r="G3391" i="14" s="1"/>
  <c r="F3392" i="14"/>
  <c r="G3392" i="14" s="1"/>
  <c r="F3393" i="14"/>
  <c r="G3393" i="14" s="1"/>
  <c r="F3394" i="14"/>
  <c r="G3394" i="14" s="1"/>
  <c r="F3395" i="14"/>
  <c r="G3395" i="14" s="1"/>
  <c r="F3396" i="14"/>
  <c r="G3396" i="14" s="1"/>
  <c r="F3397" i="14"/>
  <c r="G3397" i="14" s="1"/>
  <c r="F3398" i="14"/>
  <c r="G3398" i="14" s="1"/>
  <c r="F3399" i="14"/>
  <c r="G3399" i="14" s="1"/>
  <c r="F3400" i="14"/>
  <c r="G3400" i="14" s="1"/>
  <c r="F3401" i="14"/>
  <c r="G3401" i="14" s="1"/>
  <c r="F3402" i="14"/>
  <c r="G3402" i="14" s="1"/>
  <c r="F3403" i="14"/>
  <c r="G3403" i="14" s="1"/>
  <c r="F3404" i="14"/>
  <c r="G3404" i="14" s="1"/>
  <c r="F3405" i="14"/>
  <c r="G3405" i="14" s="1"/>
  <c r="F3406" i="14"/>
  <c r="G3406" i="14" s="1"/>
  <c r="F3407" i="14"/>
  <c r="G3407" i="14" s="1"/>
  <c r="F3408" i="14"/>
  <c r="G3408" i="14" s="1"/>
  <c r="F3409" i="14"/>
  <c r="G3409" i="14" s="1"/>
  <c r="F3410" i="14"/>
  <c r="G3410" i="14" s="1"/>
  <c r="F3411" i="14"/>
  <c r="G3411" i="14" s="1"/>
  <c r="F3412" i="14"/>
  <c r="G3412" i="14" s="1"/>
  <c r="F3413" i="14"/>
  <c r="G3413" i="14" s="1"/>
  <c r="F3414" i="14"/>
  <c r="G3414" i="14" s="1"/>
  <c r="F3415" i="14"/>
  <c r="G3415" i="14" s="1"/>
  <c r="F3416" i="14"/>
  <c r="G3416" i="14" s="1"/>
  <c r="F3417" i="14"/>
  <c r="G3417" i="14" s="1"/>
  <c r="F3418" i="14"/>
  <c r="G3418" i="14" s="1"/>
  <c r="F3419" i="14"/>
  <c r="G3419" i="14" s="1"/>
  <c r="F3420" i="14"/>
  <c r="G3420" i="14" s="1"/>
  <c r="F3421" i="14"/>
  <c r="G3421" i="14" s="1"/>
  <c r="F3422" i="14"/>
  <c r="G3422" i="14" s="1"/>
  <c r="F3423" i="14"/>
  <c r="G3423" i="14" s="1"/>
  <c r="F3424" i="14"/>
  <c r="G3424" i="14" s="1"/>
  <c r="F3425" i="14"/>
  <c r="G3425" i="14" s="1"/>
  <c r="F3426" i="14"/>
  <c r="G3426" i="14" s="1"/>
  <c r="F3427" i="14"/>
  <c r="G3427" i="14" s="1"/>
  <c r="F3428" i="14"/>
  <c r="G3428" i="14" s="1"/>
  <c r="F3429" i="14"/>
  <c r="G3429" i="14" s="1"/>
  <c r="F3430" i="14"/>
  <c r="G3430" i="14" s="1"/>
  <c r="F3431" i="14"/>
  <c r="G3431" i="14" s="1"/>
  <c r="F3432" i="14"/>
  <c r="G3432" i="14" s="1"/>
  <c r="F3433" i="14"/>
  <c r="G3433" i="14" s="1"/>
  <c r="F3434" i="14"/>
  <c r="G3434" i="14" s="1"/>
  <c r="F3435" i="14"/>
  <c r="G3435" i="14" s="1"/>
  <c r="F3436" i="14"/>
  <c r="G3436" i="14" s="1"/>
  <c r="F3437" i="14"/>
  <c r="G3437" i="14" s="1"/>
  <c r="F3438" i="14"/>
  <c r="G3438" i="14" s="1"/>
  <c r="F3439" i="14"/>
  <c r="G3439" i="14" s="1"/>
  <c r="F3440" i="14"/>
  <c r="G3440" i="14" s="1"/>
  <c r="F3441" i="14"/>
  <c r="G3441" i="14" s="1"/>
  <c r="F3442" i="14"/>
  <c r="G3442" i="14" s="1"/>
  <c r="F3443" i="14"/>
  <c r="G3443" i="14" s="1"/>
  <c r="F3444" i="14"/>
  <c r="G3444" i="14" s="1"/>
  <c r="F3445" i="14"/>
  <c r="G3445" i="14" s="1"/>
  <c r="F3446" i="14"/>
  <c r="G3446" i="14" s="1"/>
  <c r="F3447" i="14"/>
  <c r="G3447" i="14" s="1"/>
  <c r="F3448" i="14"/>
  <c r="G3448" i="14" s="1"/>
  <c r="F3449" i="14"/>
  <c r="G3449" i="14" s="1"/>
  <c r="F3450" i="14"/>
  <c r="G3450" i="14" s="1"/>
  <c r="F3451" i="14"/>
  <c r="G3451" i="14" s="1"/>
  <c r="F3452" i="14"/>
  <c r="G3452" i="14" s="1"/>
  <c r="F3453" i="14"/>
  <c r="G3453" i="14" s="1"/>
  <c r="F3454" i="14"/>
  <c r="G3454" i="14" s="1"/>
  <c r="F3455" i="14"/>
  <c r="G3455" i="14" s="1"/>
  <c r="F3456" i="14"/>
  <c r="G3456" i="14" s="1"/>
  <c r="F3457" i="14"/>
  <c r="G3457" i="14" s="1"/>
  <c r="F3458" i="14"/>
  <c r="G3458" i="14" s="1"/>
  <c r="F3459" i="14"/>
  <c r="G3459" i="14" s="1"/>
  <c r="F3460" i="14"/>
  <c r="G3460" i="14" s="1"/>
  <c r="F3461" i="14"/>
  <c r="G3461" i="14" s="1"/>
  <c r="F3462" i="14"/>
  <c r="G3462" i="14" s="1"/>
  <c r="F3463" i="14"/>
  <c r="G3463" i="14" s="1"/>
  <c r="F3464" i="14"/>
  <c r="G3464" i="14" s="1"/>
  <c r="F3465" i="14"/>
  <c r="G3465" i="14" s="1"/>
  <c r="F3466" i="14"/>
  <c r="G3466" i="14" s="1"/>
  <c r="F3467" i="14"/>
  <c r="G3467" i="14" s="1"/>
  <c r="F3468" i="14"/>
  <c r="G3468" i="14" s="1"/>
  <c r="F3469" i="14"/>
  <c r="G3469" i="14" s="1"/>
  <c r="F3470" i="14"/>
  <c r="G3470" i="14" s="1"/>
  <c r="F3471" i="14"/>
  <c r="G3471" i="14" s="1"/>
  <c r="F3472" i="14"/>
  <c r="G3472" i="14" s="1"/>
  <c r="F3473" i="14"/>
  <c r="G3473" i="14" s="1"/>
  <c r="F3474" i="14"/>
  <c r="G3474" i="14" s="1"/>
  <c r="F3475" i="14"/>
  <c r="G3475" i="14" s="1"/>
  <c r="F3476" i="14"/>
  <c r="G3476" i="14" s="1"/>
  <c r="F3477" i="14"/>
  <c r="G3477" i="14" s="1"/>
  <c r="F3478" i="14"/>
  <c r="G3478" i="14" s="1"/>
  <c r="F3479" i="14"/>
  <c r="G3479" i="14" s="1"/>
  <c r="F3480" i="14"/>
  <c r="G3480" i="14" s="1"/>
  <c r="F3481" i="14"/>
  <c r="G3481" i="14" s="1"/>
  <c r="F3482" i="14"/>
  <c r="G3482" i="14" s="1"/>
  <c r="F3483" i="14"/>
  <c r="G3483" i="14" s="1"/>
  <c r="F3484" i="14"/>
  <c r="G3484" i="14" s="1"/>
  <c r="F3485" i="14"/>
  <c r="G3485" i="14" s="1"/>
  <c r="F3486" i="14"/>
  <c r="G3486" i="14" s="1"/>
  <c r="F3487" i="14"/>
  <c r="G3487" i="14" s="1"/>
  <c r="F3488" i="14"/>
  <c r="G3488" i="14" s="1"/>
  <c r="F3489" i="14"/>
  <c r="G3489" i="14" s="1"/>
  <c r="F3490" i="14"/>
  <c r="G3490" i="14" s="1"/>
  <c r="F3491" i="14"/>
  <c r="G3491" i="14" s="1"/>
  <c r="F3492" i="14"/>
  <c r="G3492" i="14" s="1"/>
  <c r="F3493" i="14"/>
  <c r="G3493" i="14" s="1"/>
  <c r="F3494" i="14"/>
  <c r="G3494" i="14" s="1"/>
  <c r="F3495" i="14"/>
  <c r="G3495" i="14" s="1"/>
  <c r="F3496" i="14"/>
  <c r="G3496" i="14" s="1"/>
  <c r="F3497" i="14"/>
  <c r="G3497" i="14" s="1"/>
  <c r="F3498" i="14"/>
  <c r="G3498" i="14" s="1"/>
  <c r="F3499" i="14"/>
  <c r="G3499" i="14" s="1"/>
  <c r="F3500" i="14"/>
  <c r="G3500" i="14" s="1"/>
  <c r="F3501" i="14"/>
  <c r="G3501" i="14" s="1"/>
  <c r="F3502" i="14"/>
  <c r="G3502" i="14" s="1"/>
  <c r="F3503" i="14"/>
  <c r="G3503" i="14" s="1"/>
  <c r="F3504" i="14"/>
  <c r="G3504" i="14" s="1"/>
  <c r="F3505" i="14"/>
  <c r="G3505" i="14" s="1"/>
  <c r="F3506" i="14"/>
  <c r="G3506" i="14" s="1"/>
  <c r="F3507" i="14"/>
  <c r="G3507" i="14" s="1"/>
  <c r="F3508" i="14"/>
  <c r="G3508" i="14" s="1"/>
  <c r="F3509" i="14"/>
  <c r="G3509" i="14" s="1"/>
  <c r="F3510" i="14"/>
  <c r="G3510" i="14" s="1"/>
  <c r="F3511" i="14"/>
  <c r="G3511" i="14" s="1"/>
  <c r="F3512" i="14"/>
  <c r="G3512" i="14" s="1"/>
  <c r="F3513" i="14"/>
  <c r="G3513" i="14" s="1"/>
  <c r="F3514" i="14"/>
  <c r="G3514" i="14" s="1"/>
  <c r="F3515" i="14"/>
  <c r="G3515" i="14" s="1"/>
  <c r="F3516" i="14"/>
  <c r="G3516" i="14" s="1"/>
  <c r="F3517" i="14"/>
  <c r="G3517" i="14" s="1"/>
  <c r="F3518" i="14"/>
  <c r="G3518" i="14" s="1"/>
  <c r="F3519" i="14"/>
  <c r="G3519" i="14" s="1"/>
  <c r="F3520" i="14"/>
  <c r="G3520" i="14" s="1"/>
  <c r="F3521" i="14"/>
  <c r="G3521" i="14" s="1"/>
  <c r="F3522" i="14"/>
  <c r="G3522" i="14" s="1"/>
  <c r="F3523" i="14"/>
  <c r="G3523" i="14" s="1"/>
  <c r="F3524" i="14"/>
  <c r="G3524" i="14" s="1"/>
  <c r="F3525" i="14"/>
  <c r="G3525" i="14" s="1"/>
  <c r="F3526" i="14"/>
  <c r="G3526" i="14" s="1"/>
  <c r="F3527" i="14"/>
  <c r="G3527" i="14" s="1"/>
  <c r="F3528" i="14"/>
  <c r="G3528" i="14" s="1"/>
  <c r="F3529" i="14"/>
  <c r="G3529" i="14" s="1"/>
  <c r="F3530" i="14"/>
  <c r="G3530" i="14" s="1"/>
  <c r="F3531" i="14"/>
  <c r="G3531" i="14" s="1"/>
  <c r="F3532" i="14"/>
  <c r="G3532" i="14" s="1"/>
  <c r="F3533" i="14"/>
  <c r="G3533" i="14" s="1"/>
  <c r="F3534" i="14"/>
  <c r="G3534" i="14" s="1"/>
  <c r="F3535" i="14"/>
  <c r="G3535" i="14" s="1"/>
  <c r="F3536" i="14"/>
  <c r="G3536" i="14" s="1"/>
  <c r="F3537" i="14"/>
  <c r="G3537" i="14" s="1"/>
  <c r="F3538" i="14"/>
  <c r="G3538" i="14" s="1"/>
  <c r="F3539" i="14"/>
  <c r="G3539" i="14" s="1"/>
  <c r="F3540" i="14"/>
  <c r="G3540" i="14" s="1"/>
  <c r="F3541" i="14"/>
  <c r="G3541" i="14" s="1"/>
  <c r="F3542" i="14"/>
  <c r="G3542" i="14" s="1"/>
  <c r="F3543" i="14"/>
  <c r="G3543" i="14" s="1"/>
  <c r="F3544" i="14"/>
  <c r="G3544" i="14" s="1"/>
  <c r="F3545" i="14"/>
  <c r="G3545" i="14" s="1"/>
  <c r="F3546" i="14"/>
  <c r="G3546" i="14" s="1"/>
  <c r="F3547" i="14"/>
  <c r="G3547" i="14" s="1"/>
  <c r="F3548" i="14"/>
  <c r="G3548" i="14" s="1"/>
  <c r="F3549" i="14"/>
  <c r="G3549" i="14" s="1"/>
  <c r="F3550" i="14"/>
  <c r="G3550" i="14" s="1"/>
  <c r="F3551" i="14"/>
  <c r="G3551" i="14" s="1"/>
  <c r="F3552" i="14"/>
  <c r="G3552" i="14" s="1"/>
  <c r="F3553" i="14"/>
  <c r="G3553" i="14" s="1"/>
  <c r="F3554" i="14"/>
  <c r="G3554" i="14" s="1"/>
  <c r="F3555" i="14"/>
  <c r="G3555" i="14" s="1"/>
  <c r="F3556" i="14"/>
  <c r="G3556" i="14" s="1"/>
  <c r="F3557" i="14"/>
  <c r="G3557" i="14" s="1"/>
  <c r="F3558" i="14"/>
  <c r="G3558" i="14" s="1"/>
  <c r="F3559" i="14"/>
  <c r="G3559" i="14" s="1"/>
  <c r="F3560" i="14"/>
  <c r="G3560" i="14" s="1"/>
  <c r="F3561" i="14"/>
  <c r="G3561" i="14" s="1"/>
  <c r="F3562" i="14"/>
  <c r="G3562" i="14" s="1"/>
  <c r="F3563" i="14"/>
  <c r="G3563" i="14" s="1"/>
  <c r="F3564" i="14"/>
  <c r="G3564" i="14" s="1"/>
  <c r="F3565" i="14"/>
  <c r="G3565" i="14" s="1"/>
  <c r="F3566" i="14"/>
  <c r="G3566" i="14" s="1"/>
  <c r="F3567" i="14"/>
  <c r="G3567" i="14" s="1"/>
  <c r="F3568" i="14"/>
  <c r="G3568" i="14" s="1"/>
  <c r="F3569" i="14"/>
  <c r="G3569" i="14" s="1"/>
  <c r="F3570" i="14"/>
  <c r="G3570" i="14" s="1"/>
  <c r="F3571" i="14"/>
  <c r="G3571" i="14" s="1"/>
  <c r="F3572" i="14"/>
  <c r="G3572" i="14" s="1"/>
  <c r="F3573" i="14"/>
  <c r="G3573" i="14" s="1"/>
  <c r="F3574" i="14"/>
  <c r="G3574" i="14" s="1"/>
  <c r="F3575" i="14"/>
  <c r="G3575" i="14" s="1"/>
  <c r="F3576" i="14"/>
  <c r="G3576" i="14" s="1"/>
  <c r="F3577" i="14"/>
  <c r="G3577" i="14" s="1"/>
  <c r="F3578" i="14"/>
  <c r="G3578" i="14" s="1"/>
  <c r="F3579" i="14"/>
  <c r="G3579" i="14" s="1"/>
  <c r="F3580" i="14"/>
  <c r="G3580" i="14" s="1"/>
  <c r="F3581" i="14"/>
  <c r="G3581" i="14" s="1"/>
  <c r="F3582" i="14"/>
  <c r="G3582" i="14" s="1"/>
  <c r="F3583" i="14"/>
  <c r="G3583" i="14" s="1"/>
  <c r="F3584" i="14"/>
  <c r="G3584" i="14" s="1"/>
  <c r="F3585" i="14"/>
  <c r="G3585" i="14" s="1"/>
  <c r="F3586" i="14"/>
  <c r="G3586" i="14" s="1"/>
  <c r="F3587" i="14"/>
  <c r="G3587" i="14" s="1"/>
  <c r="F3588" i="14"/>
  <c r="G3588" i="14" s="1"/>
  <c r="F3589" i="14"/>
  <c r="G3589" i="14" s="1"/>
  <c r="F3590" i="14"/>
  <c r="G3590" i="14" s="1"/>
  <c r="F3591" i="14"/>
  <c r="G3591" i="14" s="1"/>
  <c r="F3592" i="14"/>
  <c r="G3592" i="14" s="1"/>
  <c r="F3593" i="14"/>
  <c r="G3593" i="14" s="1"/>
  <c r="F3594" i="14"/>
  <c r="G3594" i="14" s="1"/>
  <c r="F3595" i="14"/>
  <c r="G3595" i="14" s="1"/>
  <c r="F3596" i="14"/>
  <c r="G3596" i="14" s="1"/>
  <c r="F3597" i="14"/>
  <c r="G3597" i="14" s="1"/>
  <c r="F3598" i="14"/>
  <c r="G3598" i="14" s="1"/>
  <c r="F3599" i="14"/>
  <c r="G3599" i="14" s="1"/>
  <c r="F3600" i="14"/>
  <c r="G3600" i="14" s="1"/>
  <c r="F3601" i="14"/>
  <c r="G3601" i="14" s="1"/>
  <c r="F3602" i="14"/>
  <c r="G3602" i="14" s="1"/>
  <c r="F3603" i="14"/>
  <c r="G3603" i="14" s="1"/>
  <c r="F3604" i="14"/>
  <c r="G3604" i="14" s="1"/>
  <c r="F3605" i="14"/>
  <c r="G3605" i="14" s="1"/>
  <c r="F3606" i="14"/>
  <c r="G3606" i="14" s="1"/>
  <c r="F3607" i="14"/>
  <c r="G3607" i="14" s="1"/>
  <c r="F3608" i="14"/>
  <c r="G3608" i="14" s="1"/>
  <c r="F3609" i="14"/>
  <c r="G3609" i="14" s="1"/>
  <c r="F3610" i="14"/>
  <c r="G3610" i="14" s="1"/>
  <c r="F3611" i="14"/>
  <c r="G3611" i="14" s="1"/>
  <c r="F3612" i="14"/>
  <c r="G3612" i="14" s="1"/>
  <c r="F3613" i="14"/>
  <c r="G3613" i="14" s="1"/>
  <c r="F3614" i="14"/>
  <c r="G3614" i="14" s="1"/>
  <c r="F3615" i="14"/>
  <c r="G3615" i="14" s="1"/>
  <c r="F3616" i="14"/>
  <c r="G3616" i="14" s="1"/>
  <c r="F3617" i="14"/>
  <c r="G3617" i="14" s="1"/>
  <c r="F3618" i="14"/>
  <c r="G3618" i="14" s="1"/>
  <c r="F3619" i="14"/>
  <c r="G3619" i="14" s="1"/>
  <c r="F3620" i="14"/>
  <c r="G3620" i="14" s="1"/>
  <c r="F3621" i="14"/>
  <c r="G3621" i="14" s="1"/>
  <c r="F3622" i="14"/>
  <c r="G3622" i="14" s="1"/>
  <c r="F3623" i="14"/>
  <c r="G3623" i="14" s="1"/>
  <c r="F3624" i="14"/>
  <c r="G3624" i="14" s="1"/>
  <c r="F3625" i="14"/>
  <c r="G3625" i="14" s="1"/>
  <c r="F3626" i="14"/>
  <c r="G3626" i="14" s="1"/>
  <c r="F3627" i="14"/>
  <c r="G3627" i="14" s="1"/>
  <c r="F3628" i="14"/>
  <c r="G3628" i="14" s="1"/>
  <c r="F3629" i="14"/>
  <c r="G3629" i="14" s="1"/>
  <c r="F3630" i="14"/>
  <c r="G3630" i="14" s="1"/>
  <c r="F3631" i="14"/>
  <c r="G3631" i="14" s="1"/>
  <c r="F3632" i="14"/>
  <c r="G3632" i="14" s="1"/>
  <c r="F3633" i="14"/>
  <c r="G3633" i="14" s="1"/>
  <c r="F3634" i="14"/>
  <c r="G3634" i="14" s="1"/>
  <c r="F3635" i="14"/>
  <c r="G3635" i="14" s="1"/>
  <c r="F3636" i="14"/>
  <c r="G3636" i="14" s="1"/>
  <c r="F3637" i="14"/>
  <c r="G3637" i="14" s="1"/>
  <c r="F3638" i="14"/>
  <c r="G3638" i="14" s="1"/>
  <c r="F3639" i="14"/>
  <c r="G3639" i="14" s="1"/>
  <c r="F3640" i="14"/>
  <c r="G3640" i="14" s="1"/>
  <c r="F3641" i="14"/>
  <c r="G3641" i="14" s="1"/>
  <c r="F3642" i="14"/>
  <c r="G3642" i="14" s="1"/>
  <c r="F3643" i="14"/>
  <c r="G3643" i="14" s="1"/>
  <c r="F3644" i="14"/>
  <c r="G3644" i="14" s="1"/>
  <c r="F3645" i="14"/>
  <c r="G3645" i="14" s="1"/>
  <c r="F3646" i="14"/>
  <c r="G3646" i="14" s="1"/>
  <c r="F3647" i="14"/>
  <c r="G3647" i="14" s="1"/>
  <c r="F3648" i="14"/>
  <c r="G3648" i="14" s="1"/>
  <c r="F3649" i="14"/>
  <c r="G3649" i="14" s="1"/>
  <c r="F3650" i="14"/>
  <c r="G3650" i="14" s="1"/>
  <c r="F3651" i="14"/>
  <c r="G3651" i="14" s="1"/>
  <c r="F3652" i="14"/>
  <c r="G3652" i="14" s="1"/>
  <c r="F3653" i="14"/>
  <c r="G3653" i="14" s="1"/>
  <c r="F3654" i="14"/>
  <c r="G3654" i="14" s="1"/>
  <c r="F3655" i="14"/>
  <c r="G3655" i="14" s="1"/>
  <c r="F3656" i="14"/>
  <c r="G3656" i="14" s="1"/>
  <c r="F3657" i="14"/>
  <c r="G3657" i="14" s="1"/>
  <c r="F3658" i="14"/>
  <c r="G3658" i="14" s="1"/>
  <c r="F3659" i="14"/>
  <c r="G3659" i="14" s="1"/>
  <c r="F3660" i="14"/>
  <c r="G3660" i="14" s="1"/>
  <c r="F3661" i="14"/>
  <c r="G3661" i="14" s="1"/>
  <c r="F3662" i="14"/>
  <c r="G3662" i="14" s="1"/>
  <c r="F3663" i="14"/>
  <c r="G3663" i="14" s="1"/>
  <c r="F3664" i="14"/>
  <c r="G3664" i="14" s="1"/>
  <c r="F3665" i="14"/>
  <c r="G3665" i="14" s="1"/>
  <c r="F3666" i="14"/>
  <c r="G3666" i="14" s="1"/>
  <c r="F3667" i="14"/>
  <c r="G3667" i="14" s="1"/>
  <c r="F3668" i="14"/>
  <c r="G3668" i="14" s="1"/>
  <c r="F3669" i="14"/>
  <c r="G3669" i="14" s="1"/>
  <c r="F3670" i="14"/>
  <c r="G3670" i="14" s="1"/>
  <c r="F3671" i="14"/>
  <c r="G3671" i="14" s="1"/>
  <c r="F3672" i="14"/>
  <c r="G3672" i="14" s="1"/>
  <c r="F3673" i="14"/>
  <c r="G3673" i="14" s="1"/>
  <c r="F3674" i="14"/>
  <c r="G3674" i="14" s="1"/>
  <c r="F3675" i="14"/>
  <c r="G3675" i="14" s="1"/>
  <c r="F3676" i="14"/>
  <c r="G3676" i="14" s="1"/>
  <c r="F3677" i="14"/>
  <c r="G3677" i="14" s="1"/>
  <c r="F3678" i="14"/>
  <c r="G3678" i="14" s="1"/>
  <c r="F3679" i="14"/>
  <c r="G3679" i="14" s="1"/>
  <c r="F3680" i="14"/>
  <c r="G3680" i="14" s="1"/>
  <c r="F3681" i="14"/>
  <c r="G3681" i="14" s="1"/>
  <c r="F3682" i="14"/>
  <c r="G3682" i="14" s="1"/>
  <c r="F3683" i="14"/>
  <c r="G3683" i="14" s="1"/>
  <c r="F3684" i="14"/>
  <c r="G3684" i="14" s="1"/>
  <c r="F3685" i="14"/>
  <c r="G3685" i="14" s="1"/>
  <c r="F3686" i="14"/>
  <c r="G3686" i="14" s="1"/>
  <c r="F3687" i="14"/>
  <c r="G3687" i="14" s="1"/>
  <c r="F3688" i="14"/>
  <c r="G3688" i="14" s="1"/>
  <c r="F3689" i="14"/>
  <c r="G3689" i="14" s="1"/>
  <c r="F3690" i="14"/>
  <c r="G3690" i="14" s="1"/>
  <c r="F3691" i="14"/>
  <c r="G3691" i="14" s="1"/>
  <c r="F3692" i="14"/>
  <c r="G3692" i="14" s="1"/>
  <c r="F3693" i="14"/>
  <c r="G3693" i="14" s="1"/>
  <c r="F3694" i="14"/>
  <c r="G3694" i="14" s="1"/>
  <c r="F3695" i="14"/>
  <c r="G3695" i="14" s="1"/>
  <c r="F3696" i="14"/>
  <c r="G3696" i="14" s="1"/>
  <c r="F3697" i="14"/>
  <c r="G3697" i="14" s="1"/>
  <c r="F3698" i="14"/>
  <c r="G3698" i="14" s="1"/>
  <c r="F3699" i="14"/>
  <c r="G3699" i="14" s="1"/>
  <c r="F3700" i="14"/>
  <c r="G3700" i="14" s="1"/>
  <c r="F3701" i="14"/>
  <c r="G3701" i="14" s="1"/>
  <c r="F3702" i="14"/>
  <c r="G3702" i="14" s="1"/>
  <c r="F3703" i="14"/>
  <c r="G3703" i="14" s="1"/>
  <c r="F3704" i="14"/>
  <c r="G3704" i="14" s="1"/>
  <c r="F3705" i="14"/>
  <c r="G3705" i="14" s="1"/>
  <c r="F3706" i="14"/>
  <c r="G3706" i="14" s="1"/>
  <c r="F3707" i="14"/>
  <c r="G3707" i="14" s="1"/>
  <c r="F3708" i="14"/>
  <c r="G3708" i="14" s="1"/>
  <c r="F3709" i="14"/>
  <c r="G3709" i="14" s="1"/>
  <c r="F3710" i="14"/>
  <c r="G3710" i="14" s="1"/>
  <c r="F3711" i="14"/>
  <c r="G3711" i="14" s="1"/>
  <c r="F3712" i="14"/>
  <c r="G3712" i="14" s="1"/>
  <c r="F3713" i="14"/>
  <c r="G3713" i="14" s="1"/>
  <c r="F3714" i="14"/>
  <c r="G3714" i="14" s="1"/>
  <c r="F3715" i="14"/>
  <c r="G3715" i="14" s="1"/>
  <c r="F3716" i="14"/>
  <c r="G3716" i="14" s="1"/>
  <c r="F3717" i="14"/>
  <c r="G3717" i="14" s="1"/>
  <c r="F3718" i="14"/>
  <c r="G3718" i="14" s="1"/>
  <c r="F3719" i="14"/>
  <c r="G3719" i="14" s="1"/>
  <c r="F3720" i="14"/>
  <c r="G3720" i="14" s="1"/>
  <c r="F3721" i="14"/>
  <c r="G3721" i="14" s="1"/>
  <c r="F3722" i="14"/>
  <c r="G3722" i="14" s="1"/>
  <c r="F3723" i="14"/>
  <c r="G3723" i="14" s="1"/>
  <c r="F3724" i="14"/>
  <c r="G3724" i="14" s="1"/>
  <c r="F3725" i="14"/>
  <c r="G3725" i="14" s="1"/>
  <c r="F3726" i="14"/>
  <c r="G3726" i="14" s="1"/>
  <c r="F3727" i="14"/>
  <c r="G3727" i="14" s="1"/>
  <c r="F3728" i="14"/>
  <c r="G3728" i="14" s="1"/>
  <c r="F3729" i="14"/>
  <c r="G3729" i="14" s="1"/>
  <c r="F3730" i="14"/>
  <c r="G3730" i="14" s="1"/>
  <c r="F3731" i="14"/>
  <c r="G3731" i="14" s="1"/>
  <c r="F3732" i="14"/>
  <c r="G3732" i="14" s="1"/>
  <c r="F3733" i="14"/>
  <c r="G3733" i="14" s="1"/>
  <c r="F3734" i="14"/>
  <c r="G3734" i="14" s="1"/>
  <c r="F3735" i="14"/>
  <c r="G3735" i="14" s="1"/>
  <c r="F3736" i="14"/>
  <c r="G3736" i="14" s="1"/>
  <c r="F3737" i="14"/>
  <c r="G3737" i="14" s="1"/>
  <c r="F3738" i="14"/>
  <c r="G3738" i="14" s="1"/>
  <c r="F3739" i="14"/>
  <c r="G3739" i="14" s="1"/>
  <c r="F3740" i="14"/>
  <c r="G3740" i="14" s="1"/>
  <c r="F3741" i="14"/>
  <c r="G3741" i="14" s="1"/>
  <c r="F3742" i="14"/>
  <c r="G3742" i="14" s="1"/>
  <c r="F3743" i="14"/>
  <c r="G3743" i="14" s="1"/>
  <c r="F3744" i="14"/>
  <c r="G3744" i="14" s="1"/>
  <c r="F3745" i="14"/>
  <c r="G3745" i="14" s="1"/>
  <c r="F3746" i="14"/>
  <c r="G3746" i="14" s="1"/>
  <c r="F3747" i="14"/>
  <c r="G3747" i="14" s="1"/>
  <c r="F3748" i="14"/>
  <c r="G3748" i="14" s="1"/>
  <c r="F3749" i="14"/>
  <c r="G3749" i="14" s="1"/>
  <c r="F3750" i="14"/>
  <c r="G3750" i="14" s="1"/>
  <c r="F3751" i="14"/>
  <c r="G3751" i="14" s="1"/>
  <c r="F3752" i="14"/>
  <c r="G3752" i="14" s="1"/>
  <c r="F3753" i="14"/>
  <c r="G3753" i="14" s="1"/>
  <c r="F3754" i="14"/>
  <c r="G3754" i="14" s="1"/>
  <c r="F3755" i="14"/>
  <c r="G3755" i="14" s="1"/>
  <c r="F3756" i="14"/>
  <c r="G3756" i="14" s="1"/>
  <c r="F3757" i="14"/>
  <c r="G3757" i="14" s="1"/>
  <c r="F3758" i="14"/>
  <c r="G3758" i="14" s="1"/>
  <c r="F3759" i="14"/>
  <c r="G3759" i="14" s="1"/>
  <c r="F3760" i="14"/>
  <c r="G3760" i="14" s="1"/>
  <c r="F3761" i="14"/>
  <c r="G3761" i="14" s="1"/>
  <c r="F3762" i="14"/>
  <c r="G3762" i="14" s="1"/>
  <c r="F3763" i="14"/>
  <c r="G3763" i="14" s="1"/>
  <c r="F3764" i="14"/>
  <c r="G3764" i="14" s="1"/>
  <c r="F3765" i="14"/>
  <c r="G3765" i="14" s="1"/>
  <c r="F3766" i="14"/>
  <c r="G3766" i="14" s="1"/>
  <c r="F3767" i="14"/>
  <c r="G3767" i="14" s="1"/>
  <c r="F3768" i="14"/>
  <c r="G3768" i="14" s="1"/>
  <c r="F3769" i="14"/>
  <c r="G3769" i="14" s="1"/>
  <c r="F3770" i="14"/>
  <c r="G3770" i="14" s="1"/>
  <c r="F3771" i="14"/>
  <c r="G3771" i="14" s="1"/>
  <c r="F3772" i="14"/>
  <c r="G3772" i="14" s="1"/>
  <c r="F3773" i="14"/>
  <c r="G3773" i="14" s="1"/>
  <c r="F3774" i="14"/>
  <c r="G3774" i="14" s="1"/>
  <c r="F3775" i="14"/>
  <c r="G3775" i="14" s="1"/>
  <c r="F3776" i="14"/>
  <c r="G3776" i="14" s="1"/>
  <c r="F3777" i="14"/>
  <c r="G3777" i="14" s="1"/>
  <c r="F3778" i="14"/>
  <c r="G3778" i="14" s="1"/>
  <c r="F3779" i="14"/>
  <c r="G3779" i="14" s="1"/>
  <c r="F3780" i="14"/>
  <c r="G3780" i="14" s="1"/>
  <c r="F3781" i="14"/>
  <c r="G3781" i="14" s="1"/>
  <c r="F3782" i="14"/>
  <c r="G3782" i="14" s="1"/>
  <c r="F3783" i="14"/>
  <c r="G3783" i="14" s="1"/>
  <c r="F3784" i="14"/>
  <c r="G3784" i="14" s="1"/>
  <c r="F3785" i="14"/>
  <c r="G3785" i="14" s="1"/>
  <c r="F3786" i="14"/>
  <c r="G3786" i="14" s="1"/>
  <c r="F3787" i="14"/>
  <c r="G3787" i="14" s="1"/>
  <c r="F3788" i="14"/>
  <c r="G3788" i="14" s="1"/>
  <c r="F3789" i="14"/>
  <c r="G3789" i="14" s="1"/>
  <c r="F3790" i="14"/>
  <c r="G3790" i="14" s="1"/>
  <c r="F3791" i="14"/>
  <c r="G3791" i="14" s="1"/>
  <c r="F3792" i="14"/>
  <c r="G3792" i="14" s="1"/>
  <c r="F3793" i="14"/>
  <c r="G3793" i="14" s="1"/>
  <c r="F3794" i="14"/>
  <c r="G3794" i="14" s="1"/>
  <c r="F3795" i="14"/>
  <c r="G3795" i="14" s="1"/>
  <c r="F3796" i="14"/>
  <c r="G3796" i="14" s="1"/>
  <c r="F3797" i="14"/>
  <c r="G3797" i="14" s="1"/>
  <c r="F3798" i="14"/>
  <c r="G3798" i="14" s="1"/>
  <c r="F3799" i="14"/>
  <c r="G3799" i="14" s="1"/>
  <c r="F3800" i="14"/>
  <c r="G3800" i="14" s="1"/>
  <c r="F3801" i="14"/>
  <c r="G3801" i="14" s="1"/>
  <c r="F3802" i="14"/>
  <c r="G3802" i="14" s="1"/>
  <c r="F3803" i="14"/>
  <c r="G3803" i="14" s="1"/>
  <c r="F3804" i="14"/>
  <c r="G3804" i="14" s="1"/>
  <c r="F3805" i="14"/>
  <c r="G3805" i="14" s="1"/>
  <c r="F3806" i="14"/>
  <c r="G3806" i="14" s="1"/>
  <c r="F3807" i="14"/>
  <c r="G3807" i="14" s="1"/>
  <c r="F3808" i="14"/>
  <c r="G3808" i="14" s="1"/>
  <c r="F3809" i="14"/>
  <c r="G3809" i="14" s="1"/>
  <c r="F3810" i="14"/>
  <c r="G3810" i="14" s="1"/>
  <c r="F3811" i="14"/>
  <c r="G3811" i="14" s="1"/>
  <c r="F3812" i="14"/>
  <c r="G3812" i="14" s="1"/>
  <c r="F3813" i="14"/>
  <c r="G3813" i="14" s="1"/>
  <c r="F3814" i="14"/>
  <c r="G3814" i="14" s="1"/>
  <c r="F3815" i="14"/>
  <c r="G3815" i="14" s="1"/>
  <c r="F3816" i="14"/>
  <c r="G3816" i="14" s="1"/>
  <c r="F3817" i="14"/>
  <c r="G3817" i="14" s="1"/>
  <c r="F3818" i="14"/>
  <c r="G3818" i="14" s="1"/>
  <c r="F2" i="12"/>
  <c r="G2" i="12" s="1"/>
  <c r="F4" i="13"/>
  <c r="G4" i="13" s="1"/>
  <c r="F5" i="13"/>
  <c r="G5" i="13" s="1"/>
  <c r="F6" i="13"/>
  <c r="G6" i="13" s="1"/>
  <c r="F7" i="13"/>
  <c r="G7" i="13" s="1"/>
  <c r="F8" i="13"/>
  <c r="G8" i="13" s="1"/>
  <c r="F9" i="13"/>
  <c r="G9" i="13" s="1"/>
  <c r="F10" i="13"/>
  <c r="G10" i="13" s="1"/>
  <c r="F11" i="13"/>
  <c r="G11" i="13" s="1"/>
  <c r="F12" i="13"/>
  <c r="G12" i="13" s="1"/>
  <c r="F13" i="13"/>
  <c r="G13" i="13" s="1"/>
  <c r="F14" i="13"/>
  <c r="G14" i="13" s="1"/>
  <c r="F15" i="13"/>
  <c r="G15" i="13" s="1"/>
  <c r="F16" i="13"/>
  <c r="G16" i="13" s="1"/>
  <c r="F17" i="13"/>
  <c r="G17" i="13" s="1"/>
  <c r="F18" i="13"/>
  <c r="G18" i="13" s="1"/>
  <c r="F19" i="13"/>
  <c r="G19" i="13" s="1"/>
  <c r="F20" i="13"/>
  <c r="G20" i="13" s="1"/>
  <c r="F21" i="13"/>
  <c r="G21" i="13" s="1"/>
  <c r="F22" i="13"/>
  <c r="G22" i="13" s="1"/>
  <c r="F23" i="13"/>
  <c r="G23" i="13" s="1"/>
  <c r="F24" i="13"/>
  <c r="G24" i="13" s="1"/>
  <c r="F25" i="13"/>
  <c r="G25" i="13" s="1"/>
  <c r="F26" i="13"/>
  <c r="G26" i="13" s="1"/>
  <c r="F27" i="13"/>
  <c r="G27" i="13" s="1"/>
  <c r="F28" i="13"/>
  <c r="G28" i="13" s="1"/>
  <c r="F29" i="13"/>
  <c r="G29" i="13" s="1"/>
  <c r="F30" i="13"/>
  <c r="G30" i="13" s="1"/>
  <c r="F31" i="13"/>
  <c r="G31" i="13" s="1"/>
  <c r="F32" i="13"/>
  <c r="G32" i="13" s="1"/>
  <c r="F33" i="13"/>
  <c r="G33" i="13" s="1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45" i="13"/>
  <c r="G45" i="13" s="1"/>
  <c r="F46" i="13"/>
  <c r="G46" i="13" s="1"/>
  <c r="F47" i="13"/>
  <c r="G47" i="13" s="1"/>
  <c r="F48" i="13"/>
  <c r="G48" i="13" s="1"/>
  <c r="F49" i="13"/>
  <c r="G49" i="13" s="1"/>
  <c r="F50" i="13"/>
  <c r="G50" i="13" s="1"/>
  <c r="F51" i="13"/>
  <c r="G51" i="13" s="1"/>
  <c r="F52" i="13"/>
  <c r="G52" i="13" s="1"/>
  <c r="F53" i="13"/>
  <c r="G53" i="13" s="1"/>
  <c r="F54" i="13"/>
  <c r="G54" i="13" s="1"/>
  <c r="F55" i="13"/>
  <c r="G55" i="13" s="1"/>
  <c r="F56" i="13"/>
  <c r="G56" i="13" s="1"/>
  <c r="F57" i="13"/>
  <c r="G57" i="13" s="1"/>
  <c r="F58" i="13"/>
  <c r="G58" i="13" s="1"/>
  <c r="F59" i="13"/>
  <c r="G59" i="13" s="1"/>
  <c r="F60" i="13"/>
  <c r="G60" i="13" s="1"/>
  <c r="F61" i="13"/>
  <c r="G61" i="13" s="1"/>
  <c r="F62" i="13"/>
  <c r="G62" i="13" s="1"/>
  <c r="F63" i="13"/>
  <c r="G63" i="13" s="1"/>
  <c r="F64" i="13"/>
  <c r="G64" i="13" s="1"/>
  <c r="F65" i="13"/>
  <c r="G65" i="13" s="1"/>
  <c r="F66" i="13"/>
  <c r="G66" i="13" s="1"/>
  <c r="F67" i="13"/>
  <c r="G67" i="13" s="1"/>
  <c r="F68" i="13"/>
  <c r="G68" i="13" s="1"/>
  <c r="F69" i="13"/>
  <c r="G69" i="13" s="1"/>
  <c r="F70" i="13"/>
  <c r="G70" i="13" s="1"/>
  <c r="F71" i="13"/>
  <c r="G71" i="13" s="1"/>
  <c r="F72" i="13"/>
  <c r="G72" i="13" s="1"/>
  <c r="F73" i="13"/>
  <c r="G73" i="13" s="1"/>
  <c r="F74" i="13"/>
  <c r="G74" i="13" s="1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F84" i="13"/>
  <c r="G84" i="13" s="1"/>
  <c r="F85" i="13"/>
  <c r="G85" i="13" s="1"/>
  <c r="F86" i="13"/>
  <c r="G86" i="13" s="1"/>
  <c r="F87" i="13"/>
  <c r="G87" i="13" s="1"/>
  <c r="F88" i="13"/>
  <c r="G88" i="13" s="1"/>
  <c r="F89" i="13"/>
  <c r="G89" i="13" s="1"/>
  <c r="F90" i="13"/>
  <c r="G90" i="13" s="1"/>
  <c r="F91" i="13"/>
  <c r="G91" i="13" s="1"/>
  <c r="F92" i="13"/>
  <c r="G92" i="13" s="1"/>
  <c r="F93" i="13"/>
  <c r="G93" i="13" s="1"/>
  <c r="F94" i="13"/>
  <c r="G94" i="13" s="1"/>
  <c r="F95" i="13"/>
  <c r="G95" i="13" s="1"/>
  <c r="F96" i="13"/>
  <c r="G96" i="13" s="1"/>
  <c r="F97" i="13"/>
  <c r="G97" i="13" s="1"/>
  <c r="F98" i="13"/>
  <c r="G98" i="13" s="1"/>
  <c r="F99" i="13"/>
  <c r="G99" i="13" s="1"/>
  <c r="F100" i="13"/>
  <c r="G100" i="13" s="1"/>
  <c r="F101" i="13"/>
  <c r="G101" i="13" s="1"/>
  <c r="F102" i="13"/>
  <c r="G102" i="13" s="1"/>
  <c r="F103" i="13"/>
  <c r="G103" i="13" s="1"/>
  <c r="F104" i="13"/>
  <c r="G104" i="13" s="1"/>
  <c r="F105" i="13"/>
  <c r="G105" i="13" s="1"/>
  <c r="F106" i="13"/>
  <c r="G106" i="13" s="1"/>
  <c r="F107" i="13"/>
  <c r="G107" i="13" s="1"/>
  <c r="F108" i="13"/>
  <c r="G108" i="13" s="1"/>
  <c r="F109" i="13"/>
  <c r="G109" i="13" s="1"/>
  <c r="F110" i="13"/>
  <c r="G110" i="13" s="1"/>
  <c r="F111" i="13"/>
  <c r="G111" i="13" s="1"/>
  <c r="F112" i="13"/>
  <c r="G112" i="13" s="1"/>
  <c r="F113" i="13"/>
  <c r="G113" i="13" s="1"/>
  <c r="F114" i="13"/>
  <c r="G114" i="13" s="1"/>
  <c r="F115" i="13"/>
  <c r="G115" i="13" s="1"/>
  <c r="F116" i="13"/>
  <c r="G116" i="13" s="1"/>
  <c r="F117" i="13"/>
  <c r="G117" i="13" s="1"/>
  <c r="F118" i="13"/>
  <c r="G118" i="13" s="1"/>
  <c r="F119" i="13"/>
  <c r="G119" i="13" s="1"/>
  <c r="F120" i="13"/>
  <c r="G120" i="13" s="1"/>
  <c r="F121" i="13"/>
  <c r="G121" i="13" s="1"/>
  <c r="F122" i="13"/>
  <c r="G122" i="13" s="1"/>
  <c r="F123" i="13"/>
  <c r="G123" i="13" s="1"/>
  <c r="F124" i="13"/>
  <c r="G124" i="13" s="1"/>
  <c r="F125" i="13"/>
  <c r="G125" i="13" s="1"/>
  <c r="F126" i="13"/>
  <c r="G126" i="13" s="1"/>
  <c r="F127" i="13"/>
  <c r="G127" i="13" s="1"/>
  <c r="F128" i="13"/>
  <c r="G128" i="13" s="1"/>
  <c r="F129" i="13"/>
  <c r="G129" i="13" s="1"/>
  <c r="F130" i="13"/>
  <c r="G130" i="13" s="1"/>
  <c r="F131" i="13"/>
  <c r="G131" i="13" s="1"/>
  <c r="F132" i="13"/>
  <c r="G132" i="13" s="1"/>
  <c r="F133" i="13"/>
  <c r="G133" i="13" s="1"/>
  <c r="F134" i="13"/>
  <c r="G134" i="13" s="1"/>
  <c r="F135" i="13"/>
  <c r="G135" i="13" s="1"/>
  <c r="F136" i="13"/>
  <c r="G136" i="13" s="1"/>
  <c r="F137" i="13"/>
  <c r="G137" i="13" s="1"/>
  <c r="F138" i="13"/>
  <c r="G138" i="13" s="1"/>
  <c r="F139" i="13"/>
  <c r="G139" i="13" s="1"/>
  <c r="F140" i="13"/>
  <c r="G140" i="13" s="1"/>
  <c r="F141" i="13"/>
  <c r="G141" i="13" s="1"/>
  <c r="F142" i="13"/>
  <c r="G142" i="13" s="1"/>
  <c r="F143" i="13"/>
  <c r="G143" i="13" s="1"/>
  <c r="F144" i="13"/>
  <c r="G144" i="13" s="1"/>
  <c r="F145" i="13"/>
  <c r="G145" i="13" s="1"/>
  <c r="F146" i="13"/>
  <c r="G146" i="13" s="1"/>
  <c r="F147" i="13"/>
  <c r="G147" i="13" s="1"/>
  <c r="F148" i="13"/>
  <c r="G148" i="13" s="1"/>
  <c r="F149" i="13"/>
  <c r="G149" i="13" s="1"/>
  <c r="F150" i="13"/>
  <c r="G150" i="13" s="1"/>
  <c r="F151" i="13"/>
  <c r="G151" i="13" s="1"/>
  <c r="F152" i="13"/>
  <c r="G152" i="13" s="1"/>
  <c r="F153" i="13"/>
  <c r="G153" i="13" s="1"/>
  <c r="F154" i="13"/>
  <c r="G154" i="13" s="1"/>
  <c r="F155" i="13"/>
  <c r="G155" i="13" s="1"/>
  <c r="F156" i="13"/>
  <c r="G156" i="13" s="1"/>
  <c r="F157" i="13"/>
  <c r="G157" i="13" s="1"/>
  <c r="F158" i="13"/>
  <c r="G158" i="13" s="1"/>
  <c r="F159" i="13"/>
  <c r="G159" i="13" s="1"/>
  <c r="F160" i="13"/>
  <c r="G160" i="13" s="1"/>
  <c r="F161" i="13"/>
  <c r="G161" i="13" s="1"/>
  <c r="F162" i="13"/>
  <c r="G162" i="13" s="1"/>
  <c r="F163" i="13"/>
  <c r="G163" i="13" s="1"/>
  <c r="F164" i="13"/>
  <c r="G164" i="13" s="1"/>
  <c r="F165" i="13"/>
  <c r="G165" i="13" s="1"/>
  <c r="F166" i="13"/>
  <c r="G166" i="13" s="1"/>
  <c r="F167" i="13"/>
  <c r="G167" i="13" s="1"/>
  <c r="F168" i="13"/>
  <c r="G168" i="13" s="1"/>
  <c r="F169" i="13"/>
  <c r="G169" i="13" s="1"/>
  <c r="F170" i="13"/>
  <c r="G170" i="13" s="1"/>
  <c r="F171" i="13"/>
  <c r="G171" i="13" s="1"/>
  <c r="F172" i="13"/>
  <c r="G172" i="13" s="1"/>
  <c r="F173" i="13"/>
  <c r="G173" i="13" s="1"/>
  <c r="F174" i="13"/>
  <c r="G174" i="13" s="1"/>
  <c r="F175" i="13"/>
  <c r="G175" i="13" s="1"/>
  <c r="F176" i="13"/>
  <c r="G176" i="13" s="1"/>
  <c r="F177" i="13"/>
  <c r="G177" i="13" s="1"/>
  <c r="F178" i="13"/>
  <c r="G178" i="13" s="1"/>
  <c r="F179" i="13"/>
  <c r="G179" i="13" s="1"/>
  <c r="F180" i="13"/>
  <c r="G180" i="13" s="1"/>
  <c r="F181" i="13"/>
  <c r="G181" i="13" s="1"/>
  <c r="F182" i="13"/>
  <c r="G182" i="13" s="1"/>
  <c r="F183" i="13"/>
  <c r="G183" i="13" s="1"/>
  <c r="F184" i="13"/>
  <c r="G184" i="13" s="1"/>
  <c r="F185" i="13"/>
  <c r="G185" i="13" s="1"/>
  <c r="F186" i="13"/>
  <c r="G186" i="13" s="1"/>
  <c r="F187" i="13"/>
  <c r="G187" i="13" s="1"/>
  <c r="F188" i="13"/>
  <c r="G188" i="13" s="1"/>
  <c r="F189" i="13"/>
  <c r="G189" i="13" s="1"/>
  <c r="F190" i="13"/>
  <c r="G190" i="13" s="1"/>
  <c r="F191" i="13"/>
  <c r="G191" i="13" s="1"/>
  <c r="F192" i="13"/>
  <c r="G192" i="13" s="1"/>
  <c r="F193" i="13"/>
  <c r="G193" i="13" s="1"/>
  <c r="F194" i="13"/>
  <c r="G194" i="13" s="1"/>
  <c r="F195" i="13"/>
  <c r="G195" i="13" s="1"/>
  <c r="F196" i="13"/>
  <c r="G196" i="13" s="1"/>
  <c r="F197" i="13"/>
  <c r="G197" i="13" s="1"/>
  <c r="F198" i="13"/>
  <c r="G198" i="13" s="1"/>
  <c r="F199" i="13"/>
  <c r="G199" i="13" s="1"/>
  <c r="F200" i="13"/>
  <c r="G200" i="13" s="1"/>
  <c r="F201" i="13"/>
  <c r="G201" i="13" s="1"/>
  <c r="F202" i="13"/>
  <c r="G202" i="13" s="1"/>
  <c r="F203" i="13"/>
  <c r="G203" i="13" s="1"/>
  <c r="F204" i="13"/>
  <c r="G204" i="13" s="1"/>
  <c r="F205" i="13"/>
  <c r="G205" i="13" s="1"/>
  <c r="F206" i="13"/>
  <c r="G206" i="13" s="1"/>
  <c r="F207" i="13"/>
  <c r="G207" i="13" s="1"/>
  <c r="F208" i="13"/>
  <c r="G208" i="13" s="1"/>
  <c r="F209" i="13"/>
  <c r="G209" i="13" s="1"/>
  <c r="F210" i="13"/>
  <c r="G210" i="13" s="1"/>
  <c r="F211" i="13"/>
  <c r="G211" i="13" s="1"/>
  <c r="F212" i="13"/>
  <c r="G212" i="13" s="1"/>
  <c r="F213" i="13"/>
  <c r="G213" i="13" s="1"/>
  <c r="F214" i="13"/>
  <c r="G214" i="13" s="1"/>
  <c r="F215" i="13"/>
  <c r="G215" i="13" s="1"/>
  <c r="F216" i="13"/>
  <c r="G216" i="13" s="1"/>
  <c r="F217" i="13"/>
  <c r="G217" i="13" s="1"/>
  <c r="F218" i="13"/>
  <c r="G218" i="13" s="1"/>
  <c r="F219" i="13"/>
  <c r="G219" i="13" s="1"/>
  <c r="F220" i="13"/>
  <c r="G220" i="13" s="1"/>
  <c r="F221" i="13"/>
  <c r="G221" i="13" s="1"/>
  <c r="F222" i="13"/>
  <c r="G222" i="13" s="1"/>
  <c r="F223" i="13"/>
  <c r="G223" i="13" s="1"/>
  <c r="F224" i="13"/>
  <c r="G224" i="13" s="1"/>
  <c r="F225" i="13"/>
  <c r="G225" i="13" s="1"/>
  <c r="F226" i="13"/>
  <c r="G226" i="13" s="1"/>
  <c r="F227" i="13"/>
  <c r="G227" i="13" s="1"/>
  <c r="F228" i="13"/>
  <c r="G228" i="13" s="1"/>
  <c r="F229" i="13"/>
  <c r="G229" i="13" s="1"/>
  <c r="F230" i="13"/>
  <c r="G230" i="13" s="1"/>
  <c r="F231" i="13"/>
  <c r="G231" i="13" s="1"/>
  <c r="F232" i="13"/>
  <c r="G232" i="13" s="1"/>
  <c r="F233" i="13"/>
  <c r="G233" i="13" s="1"/>
  <c r="F234" i="13"/>
  <c r="G234" i="13" s="1"/>
  <c r="F235" i="13"/>
  <c r="G235" i="13" s="1"/>
  <c r="F236" i="13"/>
  <c r="G236" i="13" s="1"/>
  <c r="F237" i="13"/>
  <c r="G237" i="13" s="1"/>
  <c r="F238" i="13"/>
  <c r="G238" i="13" s="1"/>
  <c r="F239" i="13"/>
  <c r="G239" i="13" s="1"/>
  <c r="F240" i="13"/>
  <c r="G240" i="13" s="1"/>
  <c r="F241" i="13"/>
  <c r="G241" i="13" s="1"/>
  <c r="F242" i="13"/>
  <c r="G242" i="13" s="1"/>
  <c r="F243" i="13"/>
  <c r="G243" i="13" s="1"/>
  <c r="F244" i="13"/>
  <c r="G244" i="13" s="1"/>
  <c r="F245" i="13"/>
  <c r="G245" i="13" s="1"/>
  <c r="F246" i="13"/>
  <c r="G246" i="13" s="1"/>
  <c r="F247" i="13"/>
  <c r="G247" i="13" s="1"/>
  <c r="F248" i="13"/>
  <c r="G248" i="13" s="1"/>
  <c r="F249" i="13"/>
  <c r="G249" i="13" s="1"/>
  <c r="F250" i="13"/>
  <c r="G250" i="13" s="1"/>
  <c r="F251" i="13"/>
  <c r="G251" i="13" s="1"/>
  <c r="F252" i="13"/>
  <c r="G252" i="13" s="1"/>
  <c r="F253" i="13"/>
  <c r="G253" i="13" s="1"/>
  <c r="F254" i="13"/>
  <c r="G254" i="13" s="1"/>
  <c r="F255" i="13"/>
  <c r="G255" i="13" s="1"/>
  <c r="F256" i="13"/>
  <c r="G256" i="13" s="1"/>
  <c r="F257" i="13"/>
  <c r="G257" i="13" s="1"/>
  <c r="F258" i="13"/>
  <c r="G258" i="13" s="1"/>
  <c r="F259" i="13"/>
  <c r="G259" i="13" s="1"/>
  <c r="F260" i="13"/>
  <c r="G260" i="13" s="1"/>
  <c r="F261" i="13"/>
  <c r="G261" i="13" s="1"/>
  <c r="F262" i="13"/>
  <c r="G262" i="13" s="1"/>
  <c r="F263" i="13"/>
  <c r="G263" i="13" s="1"/>
  <c r="F264" i="13"/>
  <c r="G264" i="13" s="1"/>
  <c r="F265" i="13"/>
  <c r="G265" i="13" s="1"/>
  <c r="F266" i="13"/>
  <c r="G266" i="13" s="1"/>
  <c r="F267" i="13"/>
  <c r="G267" i="13" s="1"/>
  <c r="F268" i="13"/>
  <c r="G268" i="13" s="1"/>
  <c r="F269" i="13"/>
  <c r="G269" i="13" s="1"/>
  <c r="F270" i="13"/>
  <c r="G270" i="13" s="1"/>
  <c r="F271" i="13"/>
  <c r="G271" i="13" s="1"/>
  <c r="F272" i="13"/>
  <c r="G272" i="13" s="1"/>
  <c r="F273" i="13"/>
  <c r="G273" i="13" s="1"/>
  <c r="F274" i="13"/>
  <c r="G274" i="13" s="1"/>
  <c r="F275" i="13"/>
  <c r="G275" i="13" s="1"/>
  <c r="F276" i="13"/>
  <c r="G276" i="13" s="1"/>
  <c r="F277" i="13"/>
  <c r="G277" i="13" s="1"/>
  <c r="F278" i="13"/>
  <c r="G278" i="13" s="1"/>
  <c r="F279" i="13"/>
  <c r="G279" i="13" s="1"/>
  <c r="F280" i="13"/>
  <c r="G280" i="13" s="1"/>
  <c r="F281" i="13"/>
  <c r="G281" i="13" s="1"/>
  <c r="F282" i="13"/>
  <c r="G282" i="13" s="1"/>
  <c r="F283" i="13"/>
  <c r="G283" i="13" s="1"/>
  <c r="F284" i="13"/>
  <c r="G284" i="13" s="1"/>
  <c r="F285" i="13"/>
  <c r="G285" i="13" s="1"/>
  <c r="F286" i="13"/>
  <c r="G286" i="13" s="1"/>
  <c r="F287" i="13"/>
  <c r="G287" i="13" s="1"/>
  <c r="F288" i="13"/>
  <c r="G288" i="13" s="1"/>
  <c r="F289" i="13"/>
  <c r="G289" i="13" s="1"/>
  <c r="F290" i="13"/>
  <c r="G290" i="13" s="1"/>
  <c r="F291" i="13"/>
  <c r="G291" i="13" s="1"/>
  <c r="F292" i="13"/>
  <c r="G292" i="13" s="1"/>
  <c r="F293" i="13"/>
  <c r="G293" i="13" s="1"/>
  <c r="F294" i="13"/>
  <c r="G294" i="13" s="1"/>
  <c r="F295" i="13"/>
  <c r="G295" i="13" s="1"/>
  <c r="F296" i="13"/>
  <c r="G296" i="13" s="1"/>
  <c r="F297" i="13"/>
  <c r="G297" i="13" s="1"/>
  <c r="F298" i="13"/>
  <c r="G298" i="13" s="1"/>
  <c r="F299" i="13"/>
  <c r="G299" i="13" s="1"/>
  <c r="F300" i="13"/>
  <c r="G300" i="13" s="1"/>
  <c r="F301" i="13"/>
  <c r="G301" i="13" s="1"/>
  <c r="F302" i="13"/>
  <c r="G302" i="13" s="1"/>
  <c r="F303" i="13"/>
  <c r="G303" i="13" s="1"/>
  <c r="F304" i="13"/>
  <c r="G304" i="13" s="1"/>
  <c r="F305" i="13"/>
  <c r="G305" i="13" s="1"/>
  <c r="F306" i="13"/>
  <c r="G306" i="13" s="1"/>
  <c r="F307" i="13"/>
  <c r="G307" i="13" s="1"/>
  <c r="F308" i="13"/>
  <c r="G308" i="13" s="1"/>
  <c r="F309" i="13"/>
  <c r="G309" i="13" s="1"/>
  <c r="F310" i="13"/>
  <c r="G310" i="13" s="1"/>
  <c r="F311" i="13"/>
  <c r="G311" i="13" s="1"/>
  <c r="F312" i="13"/>
  <c r="G312" i="13" s="1"/>
  <c r="F313" i="13"/>
  <c r="G313" i="13" s="1"/>
  <c r="F314" i="13"/>
  <c r="G314" i="13" s="1"/>
  <c r="F315" i="13"/>
  <c r="G315" i="13" s="1"/>
  <c r="F316" i="13"/>
  <c r="G316" i="13" s="1"/>
  <c r="F317" i="13"/>
  <c r="G317" i="13" s="1"/>
  <c r="F318" i="13"/>
  <c r="G318" i="13" s="1"/>
  <c r="F319" i="13"/>
  <c r="G319" i="13" s="1"/>
  <c r="F320" i="13"/>
  <c r="G320" i="13" s="1"/>
  <c r="F321" i="13"/>
  <c r="G321" i="13" s="1"/>
  <c r="F322" i="13"/>
  <c r="G322" i="13" s="1"/>
  <c r="F323" i="13"/>
  <c r="G323" i="13" s="1"/>
  <c r="F324" i="13"/>
  <c r="G324" i="13" s="1"/>
  <c r="F325" i="13"/>
  <c r="G325" i="13" s="1"/>
  <c r="F326" i="13"/>
  <c r="G326" i="13" s="1"/>
  <c r="F327" i="13"/>
  <c r="G327" i="13" s="1"/>
  <c r="F328" i="13"/>
  <c r="G328" i="13" s="1"/>
  <c r="F329" i="13"/>
  <c r="G329" i="13" s="1"/>
  <c r="F330" i="13"/>
  <c r="G330" i="13" s="1"/>
  <c r="F331" i="13"/>
  <c r="G331" i="13" s="1"/>
  <c r="F332" i="13"/>
  <c r="G332" i="13" s="1"/>
  <c r="F333" i="13"/>
  <c r="G333" i="13" s="1"/>
  <c r="F334" i="13"/>
  <c r="G334" i="13" s="1"/>
  <c r="F335" i="13"/>
  <c r="G335" i="13" s="1"/>
  <c r="F336" i="13"/>
  <c r="G336" i="13" s="1"/>
  <c r="F337" i="13"/>
  <c r="G337" i="13" s="1"/>
  <c r="F338" i="13"/>
  <c r="G338" i="13" s="1"/>
  <c r="F339" i="13"/>
  <c r="G339" i="13" s="1"/>
  <c r="F340" i="13"/>
  <c r="G340" i="13" s="1"/>
  <c r="F341" i="13"/>
  <c r="G341" i="13" s="1"/>
  <c r="F342" i="13"/>
  <c r="G342" i="13" s="1"/>
  <c r="F343" i="13"/>
  <c r="G343" i="13" s="1"/>
  <c r="F344" i="13"/>
  <c r="G344" i="13" s="1"/>
  <c r="F345" i="13"/>
  <c r="G345" i="13" s="1"/>
  <c r="F346" i="13"/>
  <c r="G346" i="13" s="1"/>
  <c r="F347" i="13"/>
  <c r="G347" i="13" s="1"/>
  <c r="F348" i="13"/>
  <c r="G348" i="13" s="1"/>
  <c r="F349" i="13"/>
  <c r="G349" i="13" s="1"/>
  <c r="F350" i="13"/>
  <c r="G350" i="13" s="1"/>
  <c r="F351" i="13"/>
  <c r="G351" i="13" s="1"/>
  <c r="F352" i="13"/>
  <c r="G352" i="13" s="1"/>
  <c r="F353" i="13"/>
  <c r="G353" i="13" s="1"/>
  <c r="F354" i="13"/>
  <c r="G354" i="13" s="1"/>
  <c r="F355" i="13"/>
  <c r="G355" i="13" s="1"/>
  <c r="F356" i="13"/>
  <c r="G356" i="13" s="1"/>
  <c r="F357" i="13"/>
  <c r="G357" i="13" s="1"/>
  <c r="F358" i="13"/>
  <c r="G358" i="13" s="1"/>
  <c r="F359" i="13"/>
  <c r="G359" i="13" s="1"/>
  <c r="F360" i="13"/>
  <c r="G360" i="13" s="1"/>
  <c r="F361" i="13"/>
  <c r="G361" i="13" s="1"/>
  <c r="F362" i="13"/>
  <c r="G362" i="13" s="1"/>
  <c r="F363" i="13"/>
  <c r="G363" i="13" s="1"/>
  <c r="F364" i="13"/>
  <c r="G364" i="13" s="1"/>
  <c r="F365" i="13"/>
  <c r="G365" i="13" s="1"/>
  <c r="F366" i="13"/>
  <c r="G366" i="13" s="1"/>
  <c r="F367" i="13"/>
  <c r="G367" i="13" s="1"/>
  <c r="F368" i="13"/>
  <c r="G368" i="13" s="1"/>
  <c r="F369" i="13"/>
  <c r="G369" i="13" s="1"/>
  <c r="F370" i="13"/>
  <c r="G370" i="13" s="1"/>
  <c r="F371" i="13"/>
  <c r="G371" i="13" s="1"/>
  <c r="F372" i="13"/>
  <c r="G372" i="13" s="1"/>
  <c r="F373" i="13"/>
  <c r="G373" i="13" s="1"/>
  <c r="F374" i="13"/>
  <c r="G374" i="13" s="1"/>
  <c r="F375" i="13"/>
  <c r="G375" i="13" s="1"/>
  <c r="F376" i="13"/>
  <c r="G376" i="13" s="1"/>
  <c r="F377" i="13"/>
  <c r="G377" i="13" s="1"/>
  <c r="F378" i="13"/>
  <c r="G378" i="13" s="1"/>
  <c r="F379" i="13"/>
  <c r="G379" i="13" s="1"/>
  <c r="F380" i="13"/>
  <c r="G380" i="13" s="1"/>
  <c r="F381" i="13"/>
  <c r="G381" i="13" s="1"/>
  <c r="F382" i="13"/>
  <c r="G382" i="13" s="1"/>
  <c r="F383" i="13"/>
  <c r="G383" i="13" s="1"/>
  <c r="F384" i="13"/>
  <c r="G384" i="13" s="1"/>
  <c r="F385" i="13"/>
  <c r="G385" i="13" s="1"/>
  <c r="F386" i="13"/>
  <c r="G386" i="13" s="1"/>
  <c r="F387" i="13"/>
  <c r="G387" i="13" s="1"/>
  <c r="F388" i="13"/>
  <c r="G388" i="13" s="1"/>
  <c r="F389" i="13"/>
  <c r="G389" i="13" s="1"/>
  <c r="F390" i="13"/>
  <c r="G390" i="13" s="1"/>
  <c r="F391" i="13"/>
  <c r="G391" i="13" s="1"/>
  <c r="F392" i="13"/>
  <c r="G392" i="13" s="1"/>
  <c r="F393" i="13"/>
  <c r="G393" i="13" s="1"/>
  <c r="F394" i="13"/>
  <c r="G394" i="13" s="1"/>
  <c r="F395" i="13"/>
  <c r="G395" i="13" s="1"/>
  <c r="F396" i="13"/>
  <c r="G396" i="13" s="1"/>
  <c r="F397" i="13"/>
  <c r="G397" i="13" s="1"/>
  <c r="F398" i="13"/>
  <c r="G398" i="13" s="1"/>
  <c r="F399" i="13"/>
  <c r="G399" i="13" s="1"/>
  <c r="F400" i="13"/>
  <c r="G400" i="13" s="1"/>
  <c r="F401" i="13"/>
  <c r="G401" i="13" s="1"/>
  <c r="F402" i="13"/>
  <c r="G402" i="13" s="1"/>
  <c r="F403" i="13"/>
  <c r="G403" i="13" s="1"/>
  <c r="F404" i="13"/>
  <c r="G404" i="13" s="1"/>
  <c r="F405" i="13"/>
  <c r="G405" i="13" s="1"/>
  <c r="F406" i="13"/>
  <c r="G406" i="13" s="1"/>
  <c r="F407" i="13"/>
  <c r="G407" i="13" s="1"/>
  <c r="F408" i="13"/>
  <c r="G408" i="13" s="1"/>
  <c r="F409" i="13"/>
  <c r="G409" i="13" s="1"/>
  <c r="F410" i="13"/>
  <c r="G410" i="13" s="1"/>
  <c r="F411" i="13"/>
  <c r="G411" i="13" s="1"/>
  <c r="F412" i="13"/>
  <c r="G412" i="13" s="1"/>
  <c r="F413" i="13"/>
  <c r="G413" i="13" s="1"/>
  <c r="F414" i="13"/>
  <c r="G414" i="13" s="1"/>
  <c r="F415" i="13"/>
  <c r="G415" i="13" s="1"/>
  <c r="F416" i="13"/>
  <c r="G416" i="13" s="1"/>
  <c r="F417" i="13"/>
  <c r="G417" i="13" s="1"/>
  <c r="F418" i="13"/>
  <c r="G418" i="13" s="1"/>
  <c r="F419" i="13"/>
  <c r="G419" i="13" s="1"/>
  <c r="F420" i="13"/>
  <c r="G420" i="13" s="1"/>
  <c r="F421" i="13"/>
  <c r="G421" i="13" s="1"/>
  <c r="F422" i="13"/>
  <c r="G422" i="13" s="1"/>
  <c r="F423" i="13"/>
  <c r="G423" i="13" s="1"/>
  <c r="F424" i="13"/>
  <c r="G424" i="13" s="1"/>
  <c r="F425" i="13"/>
  <c r="G425" i="13" s="1"/>
  <c r="F426" i="13"/>
  <c r="G426" i="13" s="1"/>
  <c r="F427" i="13"/>
  <c r="G427" i="13" s="1"/>
  <c r="F428" i="13"/>
  <c r="G428" i="13" s="1"/>
  <c r="F429" i="13"/>
  <c r="G429" i="13" s="1"/>
  <c r="F430" i="13"/>
  <c r="G430" i="13" s="1"/>
  <c r="F431" i="13"/>
  <c r="G431" i="13" s="1"/>
  <c r="F432" i="13"/>
  <c r="G432" i="13" s="1"/>
  <c r="F433" i="13"/>
  <c r="G433" i="13" s="1"/>
  <c r="F434" i="13"/>
  <c r="G434" i="13" s="1"/>
  <c r="F435" i="13"/>
  <c r="G435" i="13" s="1"/>
  <c r="F436" i="13"/>
  <c r="G436" i="13" s="1"/>
  <c r="F437" i="13"/>
  <c r="G437" i="13" s="1"/>
  <c r="F438" i="13"/>
  <c r="G438" i="13" s="1"/>
  <c r="F439" i="13"/>
  <c r="G439" i="13" s="1"/>
  <c r="F440" i="13"/>
  <c r="G440" i="13" s="1"/>
  <c r="F441" i="13"/>
  <c r="G441" i="13" s="1"/>
  <c r="F442" i="13"/>
  <c r="G442" i="13" s="1"/>
  <c r="F443" i="13"/>
  <c r="G443" i="13" s="1"/>
  <c r="F444" i="13"/>
  <c r="G444" i="13" s="1"/>
  <c r="F445" i="13"/>
  <c r="G445" i="13" s="1"/>
  <c r="F446" i="13"/>
  <c r="G446" i="13" s="1"/>
  <c r="F447" i="13"/>
  <c r="G447" i="13" s="1"/>
  <c r="F448" i="13"/>
  <c r="G448" i="13" s="1"/>
  <c r="F449" i="13"/>
  <c r="G449" i="13" s="1"/>
  <c r="F450" i="13"/>
  <c r="G450" i="13" s="1"/>
  <c r="F451" i="13"/>
  <c r="G451" i="13" s="1"/>
  <c r="F452" i="13"/>
  <c r="G452" i="13" s="1"/>
  <c r="F453" i="13"/>
  <c r="G453" i="13" s="1"/>
  <c r="F454" i="13"/>
  <c r="G454" i="13" s="1"/>
  <c r="F455" i="13"/>
  <c r="G455" i="13" s="1"/>
  <c r="F456" i="13"/>
  <c r="G456" i="13" s="1"/>
  <c r="F457" i="13"/>
  <c r="G457" i="13" s="1"/>
  <c r="F458" i="13"/>
  <c r="G458" i="13" s="1"/>
  <c r="F459" i="13"/>
  <c r="G459" i="13" s="1"/>
  <c r="F460" i="13"/>
  <c r="G460" i="13" s="1"/>
  <c r="F461" i="13"/>
  <c r="G461" i="13" s="1"/>
  <c r="F462" i="13"/>
  <c r="G462" i="13" s="1"/>
  <c r="F463" i="13"/>
  <c r="G463" i="13" s="1"/>
  <c r="F464" i="13"/>
  <c r="G464" i="13" s="1"/>
  <c r="F465" i="13"/>
  <c r="G465" i="13" s="1"/>
  <c r="F466" i="13"/>
  <c r="G466" i="13" s="1"/>
  <c r="F467" i="13"/>
  <c r="G467" i="13" s="1"/>
  <c r="F468" i="13"/>
  <c r="G468" i="13" s="1"/>
  <c r="F469" i="13"/>
  <c r="G469" i="13" s="1"/>
  <c r="F470" i="13"/>
  <c r="G470" i="13" s="1"/>
  <c r="F471" i="13"/>
  <c r="G471" i="13" s="1"/>
  <c r="F472" i="13"/>
  <c r="G472" i="13" s="1"/>
  <c r="F473" i="13"/>
  <c r="G473" i="13" s="1"/>
  <c r="F474" i="13"/>
  <c r="G474" i="13" s="1"/>
  <c r="F475" i="13"/>
  <c r="G475" i="13" s="1"/>
  <c r="F476" i="13"/>
  <c r="G476" i="13" s="1"/>
  <c r="F477" i="13"/>
  <c r="G477" i="13" s="1"/>
  <c r="F478" i="13"/>
  <c r="G478" i="13" s="1"/>
  <c r="F479" i="13"/>
  <c r="G479" i="13" s="1"/>
  <c r="F480" i="13"/>
  <c r="G480" i="13" s="1"/>
  <c r="F481" i="13"/>
  <c r="G481" i="13" s="1"/>
  <c r="F482" i="13"/>
  <c r="G482" i="13" s="1"/>
  <c r="F483" i="13"/>
  <c r="G483" i="13" s="1"/>
  <c r="F484" i="13"/>
  <c r="G484" i="13" s="1"/>
  <c r="F485" i="13"/>
  <c r="G485" i="13" s="1"/>
  <c r="F486" i="13"/>
  <c r="G486" i="13" s="1"/>
  <c r="F487" i="13"/>
  <c r="G487" i="13" s="1"/>
  <c r="F488" i="13"/>
  <c r="G488" i="13" s="1"/>
  <c r="F489" i="13"/>
  <c r="G489" i="13" s="1"/>
  <c r="F490" i="13"/>
  <c r="G490" i="13" s="1"/>
  <c r="F491" i="13"/>
  <c r="G491" i="13" s="1"/>
  <c r="F492" i="13"/>
  <c r="G492" i="13" s="1"/>
  <c r="F493" i="13"/>
  <c r="G493" i="13" s="1"/>
  <c r="F494" i="13"/>
  <c r="G494" i="13" s="1"/>
  <c r="F495" i="13"/>
  <c r="G495" i="13" s="1"/>
  <c r="F496" i="13"/>
  <c r="G496" i="13" s="1"/>
  <c r="F497" i="13"/>
  <c r="G497" i="13" s="1"/>
  <c r="F498" i="13"/>
  <c r="G498" i="13" s="1"/>
  <c r="F499" i="13"/>
  <c r="G499" i="13" s="1"/>
  <c r="F500" i="13"/>
  <c r="G500" i="13" s="1"/>
  <c r="F501" i="13"/>
  <c r="G501" i="13" s="1"/>
  <c r="F502" i="13"/>
  <c r="G502" i="13" s="1"/>
  <c r="F503" i="13"/>
  <c r="G503" i="13" s="1"/>
  <c r="F504" i="13"/>
  <c r="G504" i="13" s="1"/>
  <c r="F505" i="13"/>
  <c r="G505" i="13" s="1"/>
  <c r="F506" i="13"/>
  <c r="G506" i="13" s="1"/>
  <c r="F507" i="13"/>
  <c r="G507" i="13" s="1"/>
  <c r="F508" i="13"/>
  <c r="G508" i="13" s="1"/>
  <c r="F509" i="13"/>
  <c r="G509" i="13" s="1"/>
  <c r="F510" i="13"/>
  <c r="G510" i="13" s="1"/>
  <c r="F511" i="13"/>
  <c r="G511" i="13" s="1"/>
  <c r="F512" i="13"/>
  <c r="G512" i="13" s="1"/>
  <c r="F513" i="13"/>
  <c r="G513" i="13" s="1"/>
  <c r="F514" i="13"/>
  <c r="G514" i="13" s="1"/>
  <c r="F515" i="13"/>
  <c r="G515" i="13" s="1"/>
  <c r="F516" i="13"/>
  <c r="G516" i="13" s="1"/>
  <c r="F517" i="13"/>
  <c r="G517" i="13" s="1"/>
  <c r="F518" i="13"/>
  <c r="G518" i="13" s="1"/>
  <c r="F519" i="13"/>
  <c r="G519" i="13" s="1"/>
  <c r="F520" i="13"/>
  <c r="G520" i="13" s="1"/>
  <c r="F521" i="13"/>
  <c r="G521" i="13" s="1"/>
  <c r="F522" i="13"/>
  <c r="G522" i="13" s="1"/>
  <c r="F523" i="13"/>
  <c r="G523" i="13" s="1"/>
  <c r="F524" i="13"/>
  <c r="G524" i="13" s="1"/>
  <c r="F525" i="13"/>
  <c r="G525" i="13" s="1"/>
  <c r="F526" i="13"/>
  <c r="G526" i="13" s="1"/>
  <c r="F527" i="13"/>
  <c r="G527" i="13" s="1"/>
  <c r="F528" i="13"/>
  <c r="G528" i="13" s="1"/>
  <c r="F529" i="13"/>
  <c r="G529" i="13" s="1"/>
  <c r="F530" i="13"/>
  <c r="G530" i="13" s="1"/>
  <c r="F531" i="13"/>
  <c r="G531" i="13" s="1"/>
  <c r="F532" i="13"/>
  <c r="G532" i="13" s="1"/>
  <c r="F533" i="13"/>
  <c r="G533" i="13" s="1"/>
  <c r="F534" i="13"/>
  <c r="G534" i="13" s="1"/>
  <c r="F535" i="13"/>
  <c r="G535" i="13" s="1"/>
  <c r="F536" i="13"/>
  <c r="G536" i="13" s="1"/>
  <c r="F537" i="13"/>
  <c r="G537" i="13" s="1"/>
  <c r="F538" i="13"/>
  <c r="G538" i="13" s="1"/>
  <c r="F539" i="13"/>
  <c r="G539" i="13" s="1"/>
  <c r="F540" i="13"/>
  <c r="G540" i="13" s="1"/>
  <c r="F541" i="13"/>
  <c r="G541" i="13" s="1"/>
  <c r="F542" i="13"/>
  <c r="G542" i="13" s="1"/>
  <c r="F543" i="13"/>
  <c r="G543" i="13" s="1"/>
  <c r="F544" i="13"/>
  <c r="G544" i="13" s="1"/>
  <c r="F545" i="13"/>
  <c r="G545" i="13" s="1"/>
  <c r="F546" i="13"/>
  <c r="G546" i="13" s="1"/>
  <c r="F547" i="13"/>
  <c r="G547" i="13" s="1"/>
  <c r="F548" i="13"/>
  <c r="G548" i="13" s="1"/>
  <c r="F549" i="13"/>
  <c r="G549" i="13" s="1"/>
  <c r="F550" i="13"/>
  <c r="G550" i="13" s="1"/>
  <c r="F551" i="13"/>
  <c r="G551" i="13" s="1"/>
  <c r="F552" i="13"/>
  <c r="G552" i="13" s="1"/>
  <c r="F553" i="13"/>
  <c r="G553" i="13" s="1"/>
  <c r="F554" i="13"/>
  <c r="G554" i="13" s="1"/>
  <c r="F555" i="13"/>
  <c r="G555" i="13" s="1"/>
  <c r="F556" i="13"/>
  <c r="G556" i="13" s="1"/>
  <c r="F557" i="13"/>
  <c r="G557" i="13" s="1"/>
  <c r="F558" i="13"/>
  <c r="G558" i="13" s="1"/>
  <c r="F559" i="13"/>
  <c r="G559" i="13" s="1"/>
  <c r="F560" i="13"/>
  <c r="G560" i="13" s="1"/>
  <c r="F561" i="13"/>
  <c r="G561" i="13" s="1"/>
  <c r="F562" i="13"/>
  <c r="G562" i="13" s="1"/>
  <c r="F563" i="13"/>
  <c r="G563" i="13" s="1"/>
  <c r="F564" i="13"/>
  <c r="G564" i="13" s="1"/>
  <c r="F565" i="13"/>
  <c r="G565" i="13" s="1"/>
  <c r="F566" i="13"/>
  <c r="G566" i="13" s="1"/>
  <c r="F567" i="13"/>
  <c r="G567" i="13" s="1"/>
  <c r="F568" i="13"/>
  <c r="G568" i="13" s="1"/>
  <c r="F569" i="13"/>
  <c r="G569" i="13" s="1"/>
  <c r="F570" i="13"/>
  <c r="G570" i="13" s="1"/>
  <c r="F571" i="13"/>
  <c r="G571" i="13" s="1"/>
  <c r="F572" i="13"/>
  <c r="G572" i="13" s="1"/>
  <c r="F573" i="13"/>
  <c r="G573" i="13" s="1"/>
  <c r="F574" i="13"/>
  <c r="G574" i="13" s="1"/>
  <c r="F575" i="13"/>
  <c r="G575" i="13" s="1"/>
  <c r="F576" i="13"/>
  <c r="G576" i="13" s="1"/>
  <c r="F577" i="13"/>
  <c r="G577" i="13" s="1"/>
  <c r="F578" i="13"/>
  <c r="G578" i="13" s="1"/>
  <c r="F579" i="13"/>
  <c r="G579" i="13" s="1"/>
  <c r="F580" i="13"/>
  <c r="G580" i="13" s="1"/>
  <c r="F581" i="13"/>
  <c r="G581" i="13" s="1"/>
  <c r="F582" i="13"/>
  <c r="G582" i="13" s="1"/>
  <c r="F583" i="13"/>
  <c r="G583" i="13" s="1"/>
  <c r="F584" i="13"/>
  <c r="G584" i="13" s="1"/>
  <c r="F585" i="13"/>
  <c r="G585" i="13" s="1"/>
  <c r="F586" i="13"/>
  <c r="G586" i="13" s="1"/>
  <c r="F587" i="13"/>
  <c r="G587" i="13" s="1"/>
  <c r="F588" i="13"/>
  <c r="G588" i="13" s="1"/>
  <c r="F589" i="13"/>
  <c r="G589" i="13" s="1"/>
  <c r="F590" i="13"/>
  <c r="G590" i="13" s="1"/>
  <c r="F591" i="13"/>
  <c r="G591" i="13" s="1"/>
  <c r="F592" i="13"/>
  <c r="G592" i="13" s="1"/>
  <c r="F593" i="13"/>
  <c r="G593" i="13" s="1"/>
  <c r="F594" i="13"/>
  <c r="G594" i="13" s="1"/>
  <c r="F595" i="13"/>
  <c r="G595" i="13" s="1"/>
  <c r="F596" i="13"/>
  <c r="G596" i="13" s="1"/>
  <c r="F597" i="13"/>
  <c r="G597" i="13" s="1"/>
  <c r="F598" i="13"/>
  <c r="G598" i="13" s="1"/>
  <c r="F599" i="13"/>
  <c r="G599" i="13" s="1"/>
  <c r="F600" i="13"/>
  <c r="G600" i="13" s="1"/>
  <c r="F601" i="13"/>
  <c r="G601" i="13" s="1"/>
  <c r="F602" i="13"/>
  <c r="G602" i="13" s="1"/>
  <c r="F603" i="13"/>
  <c r="G603" i="13" s="1"/>
  <c r="F604" i="13"/>
  <c r="G604" i="13" s="1"/>
  <c r="F605" i="13"/>
  <c r="G605" i="13" s="1"/>
  <c r="F606" i="13"/>
  <c r="G606" i="13" s="1"/>
  <c r="F607" i="13"/>
  <c r="G607" i="13" s="1"/>
  <c r="F608" i="13"/>
  <c r="G608" i="13" s="1"/>
  <c r="F609" i="13"/>
  <c r="G609" i="13" s="1"/>
  <c r="F610" i="13"/>
  <c r="G610" i="13" s="1"/>
  <c r="F611" i="13"/>
  <c r="G611" i="13" s="1"/>
  <c r="F612" i="13"/>
  <c r="G612" i="13" s="1"/>
  <c r="F613" i="13"/>
  <c r="G613" i="13" s="1"/>
  <c r="F614" i="13"/>
  <c r="G614" i="13" s="1"/>
  <c r="F615" i="13"/>
  <c r="G615" i="13" s="1"/>
  <c r="F616" i="13"/>
  <c r="G616" i="13" s="1"/>
  <c r="F617" i="13"/>
  <c r="G617" i="13" s="1"/>
  <c r="F618" i="13"/>
  <c r="G618" i="13" s="1"/>
  <c r="F619" i="13"/>
  <c r="G619" i="13" s="1"/>
  <c r="F620" i="13"/>
  <c r="G620" i="13" s="1"/>
  <c r="F621" i="13"/>
  <c r="G621" i="13" s="1"/>
  <c r="F622" i="13"/>
  <c r="G622" i="13" s="1"/>
  <c r="F623" i="13"/>
  <c r="G623" i="13" s="1"/>
  <c r="F624" i="13"/>
  <c r="G624" i="13" s="1"/>
  <c r="F625" i="13"/>
  <c r="G625" i="13" s="1"/>
  <c r="F626" i="13"/>
  <c r="G626" i="13" s="1"/>
  <c r="F627" i="13"/>
  <c r="G627" i="13" s="1"/>
  <c r="F628" i="13"/>
  <c r="G628" i="13" s="1"/>
  <c r="F629" i="13"/>
  <c r="G629" i="13" s="1"/>
  <c r="F630" i="13"/>
  <c r="G630" i="13" s="1"/>
  <c r="F631" i="13"/>
  <c r="G631" i="13" s="1"/>
  <c r="F632" i="13"/>
  <c r="G632" i="13" s="1"/>
  <c r="F633" i="13"/>
  <c r="G633" i="13" s="1"/>
  <c r="F634" i="13"/>
  <c r="G634" i="13" s="1"/>
  <c r="F635" i="13"/>
  <c r="G635" i="13" s="1"/>
  <c r="F636" i="13"/>
  <c r="G636" i="13" s="1"/>
  <c r="F637" i="13"/>
  <c r="G637" i="13" s="1"/>
  <c r="F638" i="13"/>
  <c r="G638" i="13" s="1"/>
  <c r="F639" i="13"/>
  <c r="G639" i="13" s="1"/>
  <c r="F640" i="13"/>
  <c r="G640" i="13" s="1"/>
  <c r="F641" i="13"/>
  <c r="G641" i="13" s="1"/>
  <c r="F642" i="13"/>
  <c r="G642" i="13" s="1"/>
  <c r="F643" i="13"/>
  <c r="G643" i="13" s="1"/>
  <c r="F644" i="13"/>
  <c r="G644" i="13" s="1"/>
  <c r="F645" i="13"/>
  <c r="G645" i="13" s="1"/>
  <c r="F646" i="13"/>
  <c r="G646" i="13" s="1"/>
  <c r="F647" i="13"/>
  <c r="G647" i="13" s="1"/>
  <c r="F648" i="13"/>
  <c r="G648" i="13" s="1"/>
  <c r="F649" i="13"/>
  <c r="G649" i="13" s="1"/>
  <c r="F650" i="13"/>
  <c r="G650" i="13" s="1"/>
  <c r="F651" i="13"/>
  <c r="G651" i="13" s="1"/>
  <c r="F652" i="13"/>
  <c r="G652" i="13" s="1"/>
  <c r="F653" i="13"/>
  <c r="G653" i="13" s="1"/>
  <c r="F654" i="13"/>
  <c r="G654" i="13" s="1"/>
  <c r="F655" i="13"/>
  <c r="G655" i="13" s="1"/>
  <c r="F656" i="13"/>
  <c r="G656" i="13" s="1"/>
  <c r="F657" i="13"/>
  <c r="G657" i="13" s="1"/>
  <c r="F658" i="13"/>
  <c r="G658" i="13" s="1"/>
  <c r="F659" i="13"/>
  <c r="G659" i="13" s="1"/>
  <c r="F660" i="13"/>
  <c r="G660" i="13" s="1"/>
  <c r="F661" i="13"/>
  <c r="G661" i="13" s="1"/>
  <c r="F662" i="13"/>
  <c r="G662" i="13" s="1"/>
  <c r="F663" i="13"/>
  <c r="G663" i="13" s="1"/>
  <c r="F664" i="13"/>
  <c r="G664" i="13" s="1"/>
  <c r="F665" i="13"/>
  <c r="G665" i="13" s="1"/>
  <c r="F666" i="13"/>
  <c r="G666" i="13" s="1"/>
  <c r="F667" i="13"/>
  <c r="G667" i="13" s="1"/>
  <c r="F668" i="13"/>
  <c r="G668" i="13" s="1"/>
  <c r="F669" i="13"/>
  <c r="G669" i="13" s="1"/>
  <c r="F670" i="13"/>
  <c r="G670" i="13" s="1"/>
  <c r="F671" i="13"/>
  <c r="G671" i="13" s="1"/>
  <c r="F672" i="13"/>
  <c r="G672" i="13" s="1"/>
  <c r="F673" i="13"/>
  <c r="G673" i="13" s="1"/>
  <c r="F674" i="13"/>
  <c r="G674" i="13" s="1"/>
  <c r="F675" i="13"/>
  <c r="G675" i="13" s="1"/>
  <c r="F676" i="13"/>
  <c r="G676" i="13" s="1"/>
  <c r="F677" i="13"/>
  <c r="G677" i="13" s="1"/>
  <c r="F678" i="13"/>
  <c r="G678" i="13" s="1"/>
  <c r="F679" i="13"/>
  <c r="G679" i="13" s="1"/>
  <c r="F680" i="13"/>
  <c r="G680" i="13" s="1"/>
  <c r="F681" i="13"/>
  <c r="G681" i="13" s="1"/>
  <c r="F682" i="13"/>
  <c r="G682" i="13" s="1"/>
  <c r="F683" i="13"/>
  <c r="G683" i="13" s="1"/>
  <c r="F684" i="13"/>
  <c r="G684" i="13" s="1"/>
  <c r="F685" i="13"/>
  <c r="G685" i="13" s="1"/>
  <c r="F686" i="13"/>
  <c r="G686" i="13" s="1"/>
  <c r="F687" i="13"/>
  <c r="G687" i="13" s="1"/>
  <c r="F688" i="13"/>
  <c r="G688" i="13" s="1"/>
  <c r="F689" i="13"/>
  <c r="G689" i="13" s="1"/>
  <c r="F690" i="13"/>
  <c r="G690" i="13" s="1"/>
  <c r="F691" i="13"/>
  <c r="G691" i="13" s="1"/>
  <c r="F692" i="13"/>
  <c r="G692" i="13" s="1"/>
  <c r="F693" i="13"/>
  <c r="G693" i="13" s="1"/>
  <c r="F694" i="13"/>
  <c r="G694" i="13" s="1"/>
  <c r="F695" i="13"/>
  <c r="G695" i="13" s="1"/>
  <c r="F696" i="13"/>
  <c r="G696" i="13" s="1"/>
  <c r="F697" i="13"/>
  <c r="G697" i="13" s="1"/>
  <c r="F698" i="13"/>
  <c r="G698" i="13" s="1"/>
  <c r="F699" i="13"/>
  <c r="G699" i="13" s="1"/>
  <c r="F700" i="13"/>
  <c r="G700" i="13" s="1"/>
  <c r="F701" i="13"/>
  <c r="G701" i="13" s="1"/>
  <c r="F702" i="13"/>
  <c r="G702" i="13" s="1"/>
  <c r="F703" i="13"/>
  <c r="G703" i="13" s="1"/>
  <c r="F704" i="13"/>
  <c r="G704" i="13" s="1"/>
  <c r="F705" i="13"/>
  <c r="G705" i="13" s="1"/>
  <c r="F706" i="13"/>
  <c r="G706" i="13" s="1"/>
  <c r="F707" i="13"/>
  <c r="G707" i="13" s="1"/>
  <c r="F708" i="13"/>
  <c r="G708" i="13" s="1"/>
  <c r="F709" i="13"/>
  <c r="G709" i="13" s="1"/>
  <c r="F710" i="13"/>
  <c r="G710" i="13" s="1"/>
  <c r="F711" i="13"/>
  <c r="G711" i="13" s="1"/>
  <c r="F712" i="13"/>
  <c r="G712" i="13" s="1"/>
  <c r="F713" i="13"/>
  <c r="G713" i="13" s="1"/>
  <c r="F714" i="13"/>
  <c r="G714" i="13" s="1"/>
  <c r="F715" i="13"/>
  <c r="G715" i="13" s="1"/>
  <c r="F716" i="13"/>
  <c r="G716" i="13" s="1"/>
  <c r="F717" i="13"/>
  <c r="G717" i="13" s="1"/>
  <c r="F718" i="13"/>
  <c r="G718" i="13" s="1"/>
  <c r="F719" i="13"/>
  <c r="G719" i="13" s="1"/>
  <c r="F720" i="13"/>
  <c r="G720" i="13" s="1"/>
  <c r="F721" i="13"/>
  <c r="G721" i="13" s="1"/>
  <c r="F722" i="13"/>
  <c r="G722" i="13" s="1"/>
  <c r="F723" i="13"/>
  <c r="G723" i="13" s="1"/>
  <c r="F724" i="13"/>
  <c r="G724" i="13" s="1"/>
  <c r="F725" i="13"/>
  <c r="G725" i="13" s="1"/>
  <c r="F726" i="13"/>
  <c r="G726" i="13" s="1"/>
  <c r="F727" i="13"/>
  <c r="G727" i="13" s="1"/>
  <c r="F728" i="13"/>
  <c r="G728" i="13" s="1"/>
  <c r="F729" i="13"/>
  <c r="G729" i="13" s="1"/>
  <c r="F730" i="13"/>
  <c r="G730" i="13" s="1"/>
  <c r="F731" i="13"/>
  <c r="G731" i="13" s="1"/>
  <c r="F732" i="13"/>
  <c r="G732" i="13" s="1"/>
  <c r="F733" i="13"/>
  <c r="G733" i="13" s="1"/>
  <c r="F734" i="13"/>
  <c r="G734" i="13" s="1"/>
  <c r="F735" i="13"/>
  <c r="G735" i="13" s="1"/>
  <c r="F736" i="13"/>
  <c r="G736" i="13" s="1"/>
  <c r="F737" i="13"/>
  <c r="G737" i="13" s="1"/>
  <c r="F738" i="13"/>
  <c r="G738" i="13" s="1"/>
  <c r="F739" i="13"/>
  <c r="G739" i="13" s="1"/>
  <c r="F740" i="13"/>
  <c r="G740" i="13" s="1"/>
  <c r="F741" i="13"/>
  <c r="G741" i="13" s="1"/>
  <c r="F742" i="13"/>
  <c r="G742" i="13" s="1"/>
  <c r="F743" i="13"/>
  <c r="G743" i="13" s="1"/>
  <c r="F744" i="13"/>
  <c r="G744" i="13" s="1"/>
  <c r="F745" i="13"/>
  <c r="G745" i="13" s="1"/>
  <c r="F746" i="13"/>
  <c r="G746" i="13" s="1"/>
  <c r="F747" i="13"/>
  <c r="G747" i="13" s="1"/>
  <c r="F748" i="13"/>
  <c r="G748" i="13" s="1"/>
  <c r="F749" i="13"/>
  <c r="G749" i="13" s="1"/>
  <c r="F750" i="13"/>
  <c r="G750" i="13" s="1"/>
  <c r="F751" i="13"/>
  <c r="G751" i="13" s="1"/>
  <c r="F752" i="13"/>
  <c r="G752" i="13" s="1"/>
  <c r="F753" i="13"/>
  <c r="G753" i="13" s="1"/>
  <c r="F754" i="13"/>
  <c r="G754" i="13" s="1"/>
  <c r="F755" i="13"/>
  <c r="G755" i="13" s="1"/>
  <c r="F756" i="13"/>
  <c r="G756" i="13" s="1"/>
  <c r="F757" i="13"/>
  <c r="G757" i="13" s="1"/>
  <c r="F758" i="13"/>
  <c r="G758" i="13" s="1"/>
  <c r="F759" i="13"/>
  <c r="G759" i="13" s="1"/>
  <c r="F760" i="13"/>
  <c r="G760" i="13" s="1"/>
  <c r="F761" i="13"/>
  <c r="G761" i="13" s="1"/>
  <c r="F762" i="13"/>
  <c r="G762" i="13" s="1"/>
  <c r="F763" i="13"/>
  <c r="G763" i="13" s="1"/>
  <c r="F764" i="13"/>
  <c r="G764" i="13" s="1"/>
  <c r="F765" i="13"/>
  <c r="G765" i="13" s="1"/>
  <c r="F766" i="13"/>
  <c r="G766" i="13" s="1"/>
  <c r="F767" i="13"/>
  <c r="G767" i="13" s="1"/>
  <c r="F768" i="13"/>
  <c r="G768" i="13" s="1"/>
  <c r="F769" i="13"/>
  <c r="G769" i="13" s="1"/>
  <c r="F770" i="13"/>
  <c r="G770" i="13" s="1"/>
  <c r="F771" i="13"/>
  <c r="G771" i="13" s="1"/>
  <c r="F772" i="13"/>
  <c r="G772" i="13" s="1"/>
  <c r="F773" i="13"/>
  <c r="G773" i="13" s="1"/>
  <c r="F774" i="13"/>
  <c r="G774" i="13" s="1"/>
  <c r="F775" i="13"/>
  <c r="G775" i="13" s="1"/>
  <c r="F776" i="13"/>
  <c r="G776" i="13" s="1"/>
  <c r="F777" i="13"/>
  <c r="G777" i="13" s="1"/>
  <c r="F778" i="13"/>
  <c r="G778" i="13" s="1"/>
  <c r="F779" i="13"/>
  <c r="G779" i="13" s="1"/>
  <c r="F780" i="13"/>
  <c r="G780" i="13" s="1"/>
  <c r="F781" i="13"/>
  <c r="G781" i="13" s="1"/>
  <c r="F782" i="13"/>
  <c r="G782" i="13" s="1"/>
  <c r="F783" i="13"/>
  <c r="G783" i="13" s="1"/>
  <c r="F784" i="13"/>
  <c r="G784" i="13" s="1"/>
  <c r="F785" i="13"/>
  <c r="G785" i="13" s="1"/>
  <c r="F786" i="13"/>
  <c r="G786" i="13" s="1"/>
  <c r="F787" i="13"/>
  <c r="G787" i="13" s="1"/>
  <c r="F788" i="13"/>
  <c r="G788" i="13" s="1"/>
  <c r="F789" i="13"/>
  <c r="G789" i="13" s="1"/>
  <c r="F790" i="13"/>
  <c r="G790" i="13" s="1"/>
  <c r="F791" i="13"/>
  <c r="G791" i="13" s="1"/>
  <c r="F792" i="13"/>
  <c r="G792" i="13" s="1"/>
  <c r="F793" i="13"/>
  <c r="G793" i="13" s="1"/>
  <c r="F794" i="13"/>
  <c r="G794" i="13" s="1"/>
  <c r="F795" i="13"/>
  <c r="G795" i="13" s="1"/>
  <c r="F796" i="13"/>
  <c r="G796" i="13" s="1"/>
  <c r="F797" i="13"/>
  <c r="G797" i="13" s="1"/>
  <c r="F798" i="13"/>
  <c r="G798" i="13" s="1"/>
  <c r="F799" i="13"/>
  <c r="G799" i="13" s="1"/>
  <c r="F800" i="13"/>
  <c r="G800" i="13" s="1"/>
  <c r="F801" i="13"/>
  <c r="G801" i="13" s="1"/>
  <c r="F802" i="13"/>
  <c r="G802" i="13" s="1"/>
  <c r="F803" i="13"/>
  <c r="G803" i="13" s="1"/>
  <c r="F804" i="13"/>
  <c r="G804" i="13" s="1"/>
  <c r="F805" i="13"/>
  <c r="G805" i="13" s="1"/>
  <c r="F806" i="13"/>
  <c r="G806" i="13" s="1"/>
  <c r="F807" i="13"/>
  <c r="G807" i="13" s="1"/>
  <c r="F808" i="13"/>
  <c r="G808" i="13" s="1"/>
  <c r="F809" i="13"/>
  <c r="G809" i="13" s="1"/>
  <c r="F810" i="13"/>
  <c r="G810" i="13" s="1"/>
  <c r="F811" i="13"/>
  <c r="G811" i="13" s="1"/>
  <c r="F812" i="13"/>
  <c r="G812" i="13" s="1"/>
  <c r="F813" i="13"/>
  <c r="G813" i="13" s="1"/>
  <c r="F814" i="13"/>
  <c r="G814" i="13" s="1"/>
  <c r="F815" i="13"/>
  <c r="G815" i="13" s="1"/>
  <c r="F816" i="13"/>
  <c r="G816" i="13" s="1"/>
  <c r="F817" i="13"/>
  <c r="G817" i="13" s="1"/>
  <c r="F818" i="13"/>
  <c r="G818" i="13" s="1"/>
  <c r="F819" i="13"/>
  <c r="G819" i="13" s="1"/>
  <c r="F820" i="13"/>
  <c r="G820" i="13" s="1"/>
  <c r="F821" i="13"/>
  <c r="G821" i="13" s="1"/>
  <c r="F822" i="13"/>
  <c r="G822" i="13" s="1"/>
  <c r="F823" i="13"/>
  <c r="G823" i="13" s="1"/>
  <c r="F824" i="13"/>
  <c r="G824" i="13" s="1"/>
  <c r="F825" i="13"/>
  <c r="G825" i="13" s="1"/>
  <c r="F826" i="13"/>
  <c r="G826" i="13" s="1"/>
  <c r="F827" i="13"/>
  <c r="G827" i="13" s="1"/>
  <c r="F828" i="13"/>
  <c r="G828" i="13" s="1"/>
  <c r="F829" i="13"/>
  <c r="G829" i="13" s="1"/>
  <c r="F830" i="13"/>
  <c r="G830" i="13" s="1"/>
  <c r="F831" i="13"/>
  <c r="G831" i="13" s="1"/>
  <c r="F832" i="13"/>
  <c r="G832" i="13" s="1"/>
  <c r="F833" i="13"/>
  <c r="G833" i="13" s="1"/>
  <c r="F834" i="13"/>
  <c r="G834" i="13" s="1"/>
  <c r="F835" i="13"/>
  <c r="G835" i="13" s="1"/>
  <c r="F836" i="13"/>
  <c r="G836" i="13" s="1"/>
  <c r="F837" i="13"/>
  <c r="G837" i="13" s="1"/>
  <c r="F838" i="13"/>
  <c r="G838" i="13" s="1"/>
  <c r="F839" i="13"/>
  <c r="G839" i="13" s="1"/>
  <c r="F840" i="13"/>
  <c r="G840" i="13" s="1"/>
  <c r="F841" i="13"/>
  <c r="G841" i="13" s="1"/>
  <c r="F842" i="13"/>
  <c r="G842" i="13" s="1"/>
  <c r="F843" i="13"/>
  <c r="G843" i="13" s="1"/>
  <c r="F844" i="13"/>
  <c r="G844" i="13" s="1"/>
  <c r="F845" i="13"/>
  <c r="G845" i="13" s="1"/>
  <c r="F846" i="13"/>
  <c r="G846" i="13" s="1"/>
  <c r="F847" i="13"/>
  <c r="G847" i="13" s="1"/>
  <c r="F848" i="13"/>
  <c r="G848" i="13" s="1"/>
  <c r="F849" i="13"/>
  <c r="G849" i="13" s="1"/>
  <c r="F850" i="13"/>
  <c r="G850" i="13" s="1"/>
  <c r="F851" i="13"/>
  <c r="G851" i="13" s="1"/>
  <c r="F852" i="13"/>
  <c r="G852" i="13" s="1"/>
  <c r="F853" i="13"/>
  <c r="G853" i="13" s="1"/>
  <c r="F854" i="13"/>
  <c r="G854" i="13" s="1"/>
  <c r="F855" i="13"/>
  <c r="G855" i="13" s="1"/>
  <c r="F856" i="13"/>
  <c r="G856" i="13" s="1"/>
  <c r="F857" i="13"/>
  <c r="G857" i="13" s="1"/>
  <c r="F858" i="13"/>
  <c r="G858" i="13" s="1"/>
  <c r="F859" i="13"/>
  <c r="G859" i="13" s="1"/>
  <c r="F860" i="13"/>
  <c r="G860" i="13" s="1"/>
  <c r="F861" i="13"/>
  <c r="G861" i="13" s="1"/>
  <c r="F862" i="13"/>
  <c r="G862" i="13" s="1"/>
  <c r="F863" i="13"/>
  <c r="G863" i="13" s="1"/>
  <c r="F864" i="13"/>
  <c r="G864" i="13" s="1"/>
  <c r="F865" i="13"/>
  <c r="G865" i="13" s="1"/>
  <c r="F866" i="13"/>
  <c r="G866" i="13" s="1"/>
  <c r="F867" i="13"/>
  <c r="G867" i="13" s="1"/>
  <c r="F868" i="13"/>
  <c r="G868" i="13" s="1"/>
  <c r="F869" i="13"/>
  <c r="G869" i="13" s="1"/>
  <c r="F870" i="13"/>
  <c r="G870" i="13" s="1"/>
  <c r="F871" i="13"/>
  <c r="G871" i="13" s="1"/>
  <c r="F872" i="13"/>
  <c r="G872" i="13" s="1"/>
  <c r="F873" i="13"/>
  <c r="G873" i="13" s="1"/>
  <c r="F874" i="13"/>
  <c r="G874" i="13" s="1"/>
  <c r="F875" i="13"/>
  <c r="G875" i="13" s="1"/>
  <c r="F876" i="13"/>
  <c r="G876" i="13" s="1"/>
  <c r="F877" i="13"/>
  <c r="G877" i="13" s="1"/>
  <c r="F878" i="13"/>
  <c r="G878" i="13" s="1"/>
  <c r="F879" i="13"/>
  <c r="G879" i="13" s="1"/>
  <c r="F880" i="13"/>
  <c r="G880" i="13" s="1"/>
  <c r="F881" i="13"/>
  <c r="G881" i="13" s="1"/>
  <c r="F882" i="13"/>
  <c r="G882" i="13" s="1"/>
  <c r="F883" i="13"/>
  <c r="G883" i="13" s="1"/>
  <c r="F884" i="13"/>
  <c r="G884" i="13" s="1"/>
  <c r="F885" i="13"/>
  <c r="G885" i="13" s="1"/>
  <c r="F886" i="13"/>
  <c r="G886" i="13" s="1"/>
  <c r="F887" i="13"/>
  <c r="G887" i="13" s="1"/>
  <c r="F888" i="13"/>
  <c r="G888" i="13" s="1"/>
  <c r="F889" i="13"/>
  <c r="G889" i="13" s="1"/>
  <c r="F890" i="13"/>
  <c r="G890" i="13" s="1"/>
  <c r="F891" i="13"/>
  <c r="G891" i="13" s="1"/>
  <c r="F892" i="13"/>
  <c r="G892" i="13" s="1"/>
  <c r="F893" i="13"/>
  <c r="G893" i="13" s="1"/>
  <c r="F894" i="13"/>
  <c r="G894" i="13" s="1"/>
  <c r="F895" i="13"/>
  <c r="G895" i="13" s="1"/>
  <c r="F896" i="13"/>
  <c r="G896" i="13" s="1"/>
  <c r="F897" i="13"/>
  <c r="G897" i="13" s="1"/>
  <c r="F898" i="13"/>
  <c r="G898" i="13" s="1"/>
  <c r="F899" i="13"/>
  <c r="G899" i="13" s="1"/>
  <c r="F900" i="13"/>
  <c r="G900" i="13" s="1"/>
  <c r="F901" i="13"/>
  <c r="G901" i="13" s="1"/>
  <c r="F902" i="13"/>
  <c r="G902" i="13" s="1"/>
  <c r="F903" i="13"/>
  <c r="G903" i="13" s="1"/>
  <c r="F904" i="13"/>
  <c r="G904" i="13" s="1"/>
  <c r="F905" i="13"/>
  <c r="G905" i="13" s="1"/>
  <c r="F906" i="13"/>
  <c r="G906" i="13" s="1"/>
  <c r="F907" i="13"/>
  <c r="G907" i="13" s="1"/>
  <c r="F908" i="13"/>
  <c r="G908" i="13" s="1"/>
  <c r="F909" i="13"/>
  <c r="G909" i="13" s="1"/>
  <c r="F910" i="13"/>
  <c r="G910" i="13" s="1"/>
  <c r="F911" i="13"/>
  <c r="G911" i="13" s="1"/>
  <c r="F912" i="13"/>
  <c r="G912" i="13" s="1"/>
  <c r="F913" i="13"/>
  <c r="G913" i="13" s="1"/>
  <c r="F914" i="13"/>
  <c r="G914" i="13" s="1"/>
  <c r="F915" i="13"/>
  <c r="G915" i="13" s="1"/>
  <c r="F916" i="13"/>
  <c r="G916" i="13" s="1"/>
  <c r="F917" i="13"/>
  <c r="G917" i="13" s="1"/>
  <c r="F918" i="13"/>
  <c r="G918" i="13" s="1"/>
  <c r="F919" i="13"/>
  <c r="G919" i="13" s="1"/>
  <c r="F920" i="13"/>
  <c r="G920" i="13" s="1"/>
  <c r="F921" i="13"/>
  <c r="G921" i="13" s="1"/>
  <c r="F922" i="13"/>
  <c r="G922" i="13" s="1"/>
  <c r="F923" i="13"/>
  <c r="G923" i="13" s="1"/>
  <c r="F924" i="13"/>
  <c r="G924" i="13" s="1"/>
  <c r="F925" i="13"/>
  <c r="G925" i="13" s="1"/>
  <c r="F926" i="13"/>
  <c r="G926" i="13" s="1"/>
  <c r="F927" i="13"/>
  <c r="G927" i="13" s="1"/>
  <c r="F928" i="13"/>
  <c r="G928" i="13" s="1"/>
  <c r="F929" i="13"/>
  <c r="G929" i="13" s="1"/>
  <c r="F930" i="13"/>
  <c r="G930" i="13" s="1"/>
  <c r="F931" i="13"/>
  <c r="G931" i="13" s="1"/>
  <c r="F932" i="13"/>
  <c r="G932" i="13" s="1"/>
  <c r="F933" i="13"/>
  <c r="G933" i="13" s="1"/>
  <c r="F934" i="13"/>
  <c r="G934" i="13" s="1"/>
  <c r="F935" i="13"/>
  <c r="G935" i="13" s="1"/>
  <c r="F936" i="13"/>
  <c r="G936" i="13" s="1"/>
  <c r="F937" i="13"/>
  <c r="G937" i="13" s="1"/>
  <c r="F938" i="13"/>
  <c r="G938" i="13" s="1"/>
  <c r="F939" i="13"/>
  <c r="G939" i="13" s="1"/>
  <c r="F940" i="13"/>
  <c r="G940" i="13" s="1"/>
  <c r="F941" i="13"/>
  <c r="G941" i="13" s="1"/>
  <c r="F942" i="13"/>
  <c r="G942" i="13" s="1"/>
  <c r="F943" i="13"/>
  <c r="G943" i="13" s="1"/>
  <c r="F944" i="13"/>
  <c r="G944" i="13" s="1"/>
  <c r="F945" i="13"/>
  <c r="G945" i="13" s="1"/>
  <c r="F946" i="13"/>
  <c r="G946" i="13" s="1"/>
  <c r="F947" i="13"/>
  <c r="G947" i="13" s="1"/>
  <c r="F948" i="13"/>
  <c r="G948" i="13" s="1"/>
  <c r="F949" i="13"/>
  <c r="G949" i="13" s="1"/>
  <c r="F950" i="13"/>
  <c r="G950" i="13" s="1"/>
  <c r="F951" i="13"/>
  <c r="G951" i="13" s="1"/>
  <c r="F952" i="13"/>
  <c r="G952" i="13" s="1"/>
  <c r="F953" i="13"/>
  <c r="G953" i="13" s="1"/>
  <c r="F954" i="13"/>
  <c r="G954" i="13" s="1"/>
  <c r="F955" i="13"/>
  <c r="G955" i="13" s="1"/>
  <c r="F956" i="13"/>
  <c r="G956" i="13" s="1"/>
  <c r="F957" i="13"/>
  <c r="G957" i="13" s="1"/>
  <c r="F958" i="13"/>
  <c r="G958" i="13" s="1"/>
  <c r="F959" i="13"/>
  <c r="G959" i="13" s="1"/>
  <c r="F960" i="13"/>
  <c r="G960" i="13" s="1"/>
  <c r="F961" i="13"/>
  <c r="G961" i="13" s="1"/>
  <c r="F962" i="13"/>
  <c r="G962" i="13" s="1"/>
  <c r="F963" i="13"/>
  <c r="G963" i="13" s="1"/>
  <c r="F964" i="13"/>
  <c r="G964" i="13" s="1"/>
  <c r="F965" i="13"/>
  <c r="G965" i="13" s="1"/>
  <c r="F966" i="13"/>
  <c r="G966" i="13" s="1"/>
  <c r="F967" i="13"/>
  <c r="G967" i="13" s="1"/>
  <c r="F968" i="13"/>
  <c r="G968" i="13" s="1"/>
  <c r="F969" i="13"/>
  <c r="G969" i="13" s="1"/>
  <c r="F970" i="13"/>
  <c r="G970" i="13" s="1"/>
  <c r="F971" i="13"/>
  <c r="G971" i="13" s="1"/>
  <c r="F972" i="13"/>
  <c r="G972" i="13" s="1"/>
  <c r="F973" i="13"/>
  <c r="G973" i="13" s="1"/>
  <c r="F974" i="13"/>
  <c r="G974" i="13" s="1"/>
  <c r="F975" i="13"/>
  <c r="G975" i="13" s="1"/>
  <c r="F976" i="13"/>
  <c r="G976" i="13" s="1"/>
  <c r="F977" i="13"/>
  <c r="G977" i="13" s="1"/>
  <c r="F978" i="13"/>
  <c r="G978" i="13" s="1"/>
  <c r="F979" i="13"/>
  <c r="G979" i="13" s="1"/>
  <c r="F980" i="13"/>
  <c r="G980" i="13" s="1"/>
  <c r="F981" i="13"/>
  <c r="G981" i="13" s="1"/>
  <c r="F982" i="13"/>
  <c r="G982" i="13" s="1"/>
  <c r="F983" i="13"/>
  <c r="G983" i="13" s="1"/>
  <c r="F984" i="13"/>
  <c r="G984" i="13" s="1"/>
  <c r="F985" i="13"/>
  <c r="G985" i="13" s="1"/>
  <c r="F986" i="13"/>
  <c r="G986" i="13" s="1"/>
  <c r="F987" i="13"/>
  <c r="G987" i="13" s="1"/>
  <c r="F988" i="13"/>
  <c r="G988" i="13" s="1"/>
  <c r="F989" i="13"/>
  <c r="G989" i="13" s="1"/>
  <c r="F990" i="13"/>
  <c r="G990" i="13" s="1"/>
  <c r="F991" i="13"/>
  <c r="G991" i="13" s="1"/>
  <c r="F992" i="13"/>
  <c r="G992" i="13" s="1"/>
  <c r="F993" i="13"/>
  <c r="G993" i="13" s="1"/>
  <c r="F994" i="13"/>
  <c r="G994" i="13" s="1"/>
  <c r="F995" i="13"/>
  <c r="G995" i="13" s="1"/>
  <c r="F996" i="13"/>
  <c r="G996" i="13" s="1"/>
  <c r="F997" i="13"/>
  <c r="G997" i="13" s="1"/>
  <c r="F998" i="13"/>
  <c r="G998" i="13" s="1"/>
  <c r="F999" i="13"/>
  <c r="G999" i="13" s="1"/>
  <c r="F1000" i="13"/>
  <c r="G1000" i="13" s="1"/>
  <c r="F1001" i="13"/>
  <c r="G1001" i="13" s="1"/>
  <c r="F1002" i="13"/>
  <c r="G1002" i="13" s="1"/>
  <c r="F1003" i="13"/>
  <c r="G1003" i="13" s="1"/>
  <c r="F1004" i="13"/>
  <c r="G1004" i="13" s="1"/>
  <c r="F1005" i="13"/>
  <c r="G1005" i="13" s="1"/>
  <c r="F1006" i="13"/>
  <c r="G1006" i="13" s="1"/>
  <c r="F1007" i="13"/>
  <c r="G1007" i="13" s="1"/>
  <c r="F1008" i="13"/>
  <c r="G1008" i="13" s="1"/>
  <c r="F1009" i="13"/>
  <c r="G1009" i="13" s="1"/>
  <c r="F1010" i="13"/>
  <c r="G1010" i="13" s="1"/>
  <c r="F1011" i="13"/>
  <c r="G1011" i="13" s="1"/>
  <c r="F1012" i="13"/>
  <c r="G1012" i="13" s="1"/>
  <c r="F1013" i="13"/>
  <c r="G1013" i="13" s="1"/>
  <c r="F1014" i="13"/>
  <c r="G1014" i="13" s="1"/>
  <c r="F1015" i="13"/>
  <c r="G1015" i="13" s="1"/>
  <c r="F1016" i="13"/>
  <c r="G1016" i="13" s="1"/>
  <c r="F1017" i="13"/>
  <c r="G1017" i="13" s="1"/>
  <c r="F1018" i="13"/>
  <c r="G1018" i="13" s="1"/>
  <c r="F1019" i="13"/>
  <c r="G1019" i="13" s="1"/>
  <c r="F1020" i="13"/>
  <c r="G1020" i="13" s="1"/>
  <c r="F1021" i="13"/>
  <c r="G1021" i="13" s="1"/>
  <c r="F1022" i="13"/>
  <c r="G1022" i="13" s="1"/>
  <c r="F1023" i="13"/>
  <c r="G1023" i="13" s="1"/>
  <c r="F1024" i="13"/>
  <c r="G1024" i="13" s="1"/>
  <c r="F1025" i="13"/>
  <c r="G1025" i="13" s="1"/>
  <c r="F1026" i="13"/>
  <c r="G1026" i="13" s="1"/>
  <c r="F1027" i="13"/>
  <c r="G1027" i="13" s="1"/>
  <c r="F1028" i="13"/>
  <c r="G1028" i="13" s="1"/>
  <c r="F1029" i="13"/>
  <c r="G1029" i="13" s="1"/>
  <c r="F1030" i="13"/>
  <c r="G1030" i="13" s="1"/>
  <c r="F1031" i="13"/>
  <c r="G1031" i="13" s="1"/>
  <c r="F1032" i="13"/>
  <c r="G1032" i="13" s="1"/>
  <c r="F1033" i="13"/>
  <c r="G1033" i="13" s="1"/>
  <c r="F1034" i="13"/>
  <c r="G1034" i="13" s="1"/>
  <c r="F1035" i="13"/>
  <c r="G1035" i="13" s="1"/>
  <c r="F1036" i="13"/>
  <c r="G1036" i="13" s="1"/>
  <c r="F1037" i="13"/>
  <c r="G1037" i="13" s="1"/>
  <c r="F1038" i="13"/>
  <c r="G1038" i="13" s="1"/>
  <c r="F1039" i="13"/>
  <c r="G1039" i="13" s="1"/>
  <c r="F1040" i="13"/>
  <c r="G1040" i="13" s="1"/>
  <c r="F1041" i="13"/>
  <c r="G1041" i="13" s="1"/>
  <c r="F1042" i="13"/>
  <c r="G1042" i="13" s="1"/>
  <c r="F1043" i="13"/>
  <c r="G1043" i="13" s="1"/>
  <c r="F1044" i="13"/>
  <c r="G1044" i="13" s="1"/>
  <c r="F1045" i="13"/>
  <c r="G1045" i="13" s="1"/>
  <c r="F1046" i="13"/>
  <c r="G1046" i="13" s="1"/>
  <c r="F1047" i="13"/>
  <c r="G1047" i="13" s="1"/>
  <c r="F1048" i="13"/>
  <c r="G1048" i="13" s="1"/>
  <c r="F1049" i="13"/>
  <c r="G1049" i="13" s="1"/>
  <c r="F1050" i="13"/>
  <c r="G1050" i="13" s="1"/>
  <c r="F1051" i="13"/>
  <c r="G1051" i="13" s="1"/>
  <c r="F1052" i="13"/>
  <c r="G1052" i="13" s="1"/>
  <c r="F1053" i="13"/>
  <c r="G1053" i="13" s="1"/>
  <c r="F1054" i="13"/>
  <c r="G1054" i="13" s="1"/>
  <c r="F1055" i="13"/>
  <c r="G1055" i="13" s="1"/>
  <c r="F1056" i="13"/>
  <c r="G1056" i="13" s="1"/>
  <c r="F1057" i="13"/>
  <c r="G1057" i="13" s="1"/>
  <c r="F1058" i="13"/>
  <c r="G1058" i="13" s="1"/>
  <c r="F1059" i="13"/>
  <c r="G1059" i="13" s="1"/>
  <c r="F1060" i="13"/>
  <c r="G1060" i="13" s="1"/>
  <c r="F1061" i="13"/>
  <c r="G1061" i="13" s="1"/>
  <c r="F1062" i="13"/>
  <c r="G1062" i="13" s="1"/>
  <c r="F1063" i="13"/>
  <c r="G1063" i="13" s="1"/>
  <c r="F1064" i="13"/>
  <c r="G1064" i="13" s="1"/>
  <c r="F1065" i="13"/>
  <c r="G1065" i="13" s="1"/>
  <c r="F1066" i="13"/>
  <c r="G1066" i="13" s="1"/>
  <c r="F1067" i="13"/>
  <c r="G1067" i="13" s="1"/>
  <c r="F1068" i="13"/>
  <c r="G1068" i="13" s="1"/>
  <c r="F1069" i="13"/>
  <c r="G1069" i="13" s="1"/>
  <c r="F1070" i="13"/>
  <c r="G1070" i="13" s="1"/>
  <c r="F1071" i="13"/>
  <c r="G1071" i="13" s="1"/>
  <c r="F1072" i="13"/>
  <c r="G1072" i="13" s="1"/>
  <c r="F1073" i="13"/>
  <c r="G1073" i="13" s="1"/>
  <c r="F1074" i="13"/>
  <c r="G1074" i="13" s="1"/>
  <c r="F1075" i="13"/>
  <c r="G1075" i="13" s="1"/>
  <c r="F1076" i="13"/>
  <c r="G1076" i="13" s="1"/>
  <c r="F1077" i="13"/>
  <c r="G1077" i="13" s="1"/>
  <c r="F1078" i="13"/>
  <c r="G1078" i="13" s="1"/>
  <c r="F1079" i="13"/>
  <c r="G1079" i="13" s="1"/>
  <c r="F1080" i="13"/>
  <c r="G1080" i="13" s="1"/>
  <c r="F1081" i="13"/>
  <c r="G1081" i="13" s="1"/>
  <c r="F1082" i="13"/>
  <c r="G1082" i="13" s="1"/>
  <c r="F1083" i="13"/>
  <c r="G1083" i="13" s="1"/>
  <c r="F1084" i="13"/>
  <c r="G1084" i="13" s="1"/>
  <c r="F1085" i="13"/>
  <c r="G1085" i="13" s="1"/>
  <c r="F1086" i="13"/>
  <c r="G1086" i="13" s="1"/>
  <c r="F1087" i="13"/>
  <c r="G1087" i="13" s="1"/>
  <c r="F1088" i="13"/>
  <c r="G1088" i="13" s="1"/>
  <c r="F1089" i="13"/>
  <c r="G1089" i="13" s="1"/>
  <c r="F1090" i="13"/>
  <c r="G1090" i="13" s="1"/>
  <c r="F1091" i="13"/>
  <c r="G1091" i="13" s="1"/>
  <c r="F1092" i="13"/>
  <c r="G1092" i="13" s="1"/>
  <c r="F1093" i="13"/>
  <c r="G1093" i="13" s="1"/>
  <c r="F1094" i="13"/>
  <c r="G1094" i="13" s="1"/>
  <c r="F1095" i="13"/>
  <c r="G1095" i="13" s="1"/>
  <c r="F1096" i="13"/>
  <c r="G1096" i="13" s="1"/>
  <c r="F1097" i="13"/>
  <c r="G1097" i="13" s="1"/>
  <c r="F1098" i="13"/>
  <c r="G1098" i="13" s="1"/>
  <c r="F1099" i="13"/>
  <c r="G1099" i="13" s="1"/>
  <c r="F1100" i="13"/>
  <c r="G1100" i="13" s="1"/>
  <c r="F1101" i="13"/>
  <c r="G1101" i="13" s="1"/>
  <c r="F1102" i="13"/>
  <c r="G1102" i="13" s="1"/>
  <c r="F1103" i="13"/>
  <c r="G1103" i="13" s="1"/>
  <c r="F1104" i="13"/>
  <c r="G1104" i="13" s="1"/>
  <c r="F1105" i="13"/>
  <c r="G1105" i="13" s="1"/>
  <c r="F1106" i="13"/>
  <c r="G1106" i="13" s="1"/>
  <c r="F1107" i="13"/>
  <c r="G1107" i="13" s="1"/>
  <c r="F1108" i="13"/>
  <c r="G1108" i="13" s="1"/>
  <c r="F1109" i="13"/>
  <c r="G1109" i="13" s="1"/>
  <c r="F1110" i="13"/>
  <c r="G1110" i="13" s="1"/>
  <c r="F1111" i="13"/>
  <c r="G1111" i="13" s="1"/>
  <c r="F1112" i="13"/>
  <c r="G1112" i="13" s="1"/>
  <c r="F1113" i="13"/>
  <c r="G1113" i="13" s="1"/>
  <c r="F1114" i="13"/>
  <c r="G1114" i="13" s="1"/>
  <c r="F1115" i="13"/>
  <c r="G1115" i="13" s="1"/>
  <c r="F1116" i="13"/>
  <c r="G1116" i="13" s="1"/>
  <c r="F1117" i="13"/>
  <c r="G1117" i="13" s="1"/>
  <c r="F1118" i="13"/>
  <c r="G1118" i="13" s="1"/>
  <c r="F1119" i="13"/>
  <c r="G1119" i="13" s="1"/>
  <c r="F1120" i="13"/>
  <c r="G1120" i="13" s="1"/>
  <c r="F1121" i="13"/>
  <c r="G1121" i="13" s="1"/>
  <c r="F1122" i="13"/>
  <c r="G1122" i="13" s="1"/>
  <c r="F1123" i="13"/>
  <c r="G1123" i="13" s="1"/>
  <c r="F1124" i="13"/>
  <c r="G1124" i="13" s="1"/>
  <c r="F1125" i="13"/>
  <c r="G1125" i="13" s="1"/>
  <c r="F1126" i="13"/>
  <c r="G1126" i="13" s="1"/>
  <c r="F1127" i="13"/>
  <c r="G1127" i="13" s="1"/>
  <c r="F1128" i="13"/>
  <c r="G1128" i="13" s="1"/>
  <c r="F1129" i="13"/>
  <c r="G1129" i="13" s="1"/>
  <c r="F1130" i="13"/>
  <c r="G1130" i="13" s="1"/>
  <c r="F1131" i="13"/>
  <c r="G1131" i="13" s="1"/>
  <c r="F1132" i="13"/>
  <c r="G1132" i="13" s="1"/>
  <c r="F1133" i="13"/>
  <c r="G1133" i="13" s="1"/>
  <c r="F1134" i="13"/>
  <c r="G1134" i="13" s="1"/>
  <c r="F1135" i="13"/>
  <c r="G1135" i="13" s="1"/>
  <c r="F1136" i="13"/>
  <c r="G1136" i="13" s="1"/>
  <c r="F1137" i="13"/>
  <c r="G1137" i="13" s="1"/>
  <c r="F1138" i="13"/>
  <c r="G1138" i="13" s="1"/>
  <c r="F1139" i="13"/>
  <c r="G1139" i="13" s="1"/>
  <c r="F1140" i="13"/>
  <c r="G1140" i="13" s="1"/>
  <c r="F1141" i="13"/>
  <c r="G1141" i="13" s="1"/>
  <c r="F1142" i="13"/>
  <c r="G1142" i="13" s="1"/>
  <c r="F1143" i="13"/>
  <c r="G1143" i="13" s="1"/>
  <c r="F1144" i="13"/>
  <c r="G1144" i="13" s="1"/>
  <c r="F1145" i="13"/>
  <c r="G1145" i="13" s="1"/>
  <c r="F1146" i="13"/>
  <c r="G1146" i="13" s="1"/>
  <c r="F1147" i="13"/>
  <c r="G1147" i="13" s="1"/>
  <c r="F1148" i="13"/>
  <c r="G1148" i="13" s="1"/>
  <c r="F1149" i="13"/>
  <c r="G1149" i="13" s="1"/>
  <c r="F1150" i="13"/>
  <c r="G1150" i="13" s="1"/>
  <c r="F1151" i="13"/>
  <c r="G1151" i="13" s="1"/>
  <c r="F1152" i="13"/>
  <c r="G1152" i="13" s="1"/>
  <c r="F1153" i="13"/>
  <c r="G1153" i="13" s="1"/>
  <c r="F1154" i="13"/>
  <c r="G1154" i="13" s="1"/>
  <c r="F1155" i="13"/>
  <c r="G1155" i="13" s="1"/>
  <c r="F1156" i="13"/>
  <c r="G1156" i="13" s="1"/>
  <c r="F1157" i="13"/>
  <c r="G1157" i="13" s="1"/>
  <c r="F1158" i="13"/>
  <c r="G1158" i="13" s="1"/>
  <c r="F1159" i="13"/>
  <c r="G1159" i="13" s="1"/>
  <c r="F1160" i="13"/>
  <c r="G1160" i="13" s="1"/>
  <c r="F1161" i="13"/>
  <c r="G1161" i="13" s="1"/>
  <c r="F1162" i="13"/>
  <c r="G1162" i="13" s="1"/>
  <c r="F1163" i="13"/>
  <c r="G1163" i="13" s="1"/>
  <c r="F1164" i="13"/>
  <c r="G1164" i="13" s="1"/>
  <c r="F1165" i="13"/>
  <c r="G1165" i="13" s="1"/>
  <c r="F1166" i="13"/>
  <c r="G1166" i="13" s="1"/>
  <c r="F1167" i="13"/>
  <c r="G1167" i="13" s="1"/>
  <c r="F1168" i="13"/>
  <c r="G1168" i="13" s="1"/>
  <c r="F1169" i="13"/>
  <c r="G1169" i="13" s="1"/>
  <c r="F1170" i="13"/>
  <c r="G1170" i="13" s="1"/>
  <c r="F1171" i="13"/>
  <c r="G1171" i="13" s="1"/>
  <c r="F1172" i="13"/>
  <c r="G1172" i="13" s="1"/>
  <c r="F1173" i="13"/>
  <c r="G1173" i="13" s="1"/>
  <c r="F1174" i="13"/>
  <c r="G1174" i="13" s="1"/>
  <c r="F1175" i="13"/>
  <c r="G1175" i="13" s="1"/>
  <c r="F1176" i="13"/>
  <c r="G1176" i="13" s="1"/>
  <c r="F1177" i="13"/>
  <c r="G1177" i="13" s="1"/>
  <c r="F1178" i="13"/>
  <c r="G1178" i="13" s="1"/>
  <c r="F1179" i="13"/>
  <c r="G1179" i="13" s="1"/>
  <c r="F1180" i="13"/>
  <c r="G1180" i="13" s="1"/>
  <c r="F1181" i="13"/>
  <c r="G1181" i="13" s="1"/>
  <c r="F1182" i="13"/>
  <c r="G1182" i="13" s="1"/>
  <c r="F1183" i="13"/>
  <c r="G1183" i="13" s="1"/>
  <c r="F1184" i="13"/>
  <c r="G1184" i="13" s="1"/>
  <c r="F1185" i="13"/>
  <c r="G1185" i="13" s="1"/>
  <c r="F1186" i="13"/>
  <c r="G1186" i="13" s="1"/>
  <c r="F1187" i="13"/>
  <c r="G1187" i="13" s="1"/>
  <c r="F1188" i="13"/>
  <c r="G1188" i="13" s="1"/>
  <c r="F1189" i="13"/>
  <c r="G1189" i="13" s="1"/>
  <c r="F1190" i="13"/>
  <c r="G1190" i="13" s="1"/>
  <c r="F1191" i="13"/>
  <c r="G1191" i="13" s="1"/>
  <c r="F1192" i="13"/>
  <c r="G1192" i="13" s="1"/>
  <c r="F1193" i="13"/>
  <c r="G1193" i="13" s="1"/>
  <c r="F1194" i="13"/>
  <c r="G1194" i="13" s="1"/>
  <c r="F1195" i="13"/>
  <c r="G1195" i="13" s="1"/>
  <c r="F1196" i="13"/>
  <c r="G1196" i="13" s="1"/>
  <c r="F1197" i="13"/>
  <c r="G1197" i="13" s="1"/>
  <c r="F1198" i="13"/>
  <c r="G1198" i="13" s="1"/>
  <c r="F1199" i="13"/>
  <c r="G1199" i="13" s="1"/>
  <c r="F1200" i="13"/>
  <c r="G1200" i="13" s="1"/>
  <c r="F1201" i="13"/>
  <c r="G1201" i="13" s="1"/>
  <c r="F1202" i="13"/>
  <c r="G1202" i="13" s="1"/>
  <c r="F1203" i="13"/>
  <c r="G1203" i="13" s="1"/>
  <c r="F1204" i="13"/>
  <c r="G1204" i="13" s="1"/>
  <c r="F1205" i="13"/>
  <c r="G1205" i="13" s="1"/>
  <c r="F1206" i="13"/>
  <c r="G1206" i="13" s="1"/>
  <c r="F1207" i="13"/>
  <c r="G1207" i="13" s="1"/>
  <c r="F1208" i="13"/>
  <c r="G1208" i="13" s="1"/>
  <c r="F1209" i="13"/>
  <c r="G1209" i="13" s="1"/>
  <c r="F1210" i="13"/>
  <c r="G1210" i="13" s="1"/>
  <c r="F1211" i="13"/>
  <c r="G1211" i="13" s="1"/>
  <c r="F1212" i="13"/>
  <c r="G1212" i="13" s="1"/>
  <c r="F1213" i="13"/>
  <c r="G1213" i="13" s="1"/>
  <c r="F1214" i="13"/>
  <c r="G1214" i="13" s="1"/>
  <c r="F1215" i="13"/>
  <c r="G1215" i="13" s="1"/>
  <c r="F1216" i="13"/>
  <c r="G1216" i="13" s="1"/>
  <c r="F1217" i="13"/>
  <c r="G1217" i="13" s="1"/>
  <c r="F1218" i="13"/>
  <c r="G1218" i="13" s="1"/>
  <c r="F1219" i="13"/>
  <c r="G1219" i="13" s="1"/>
  <c r="F1220" i="13"/>
  <c r="G1220" i="13" s="1"/>
  <c r="F1221" i="13"/>
  <c r="G1221" i="13" s="1"/>
  <c r="F1222" i="13"/>
  <c r="G1222" i="13" s="1"/>
  <c r="F1223" i="13"/>
  <c r="G1223" i="13" s="1"/>
  <c r="F1224" i="13"/>
  <c r="G1224" i="13" s="1"/>
  <c r="F1225" i="13"/>
  <c r="G1225" i="13" s="1"/>
  <c r="F1226" i="13"/>
  <c r="G1226" i="13" s="1"/>
  <c r="F1227" i="13"/>
  <c r="G1227" i="13" s="1"/>
  <c r="F1228" i="13"/>
  <c r="G1228" i="13" s="1"/>
  <c r="F1229" i="13"/>
  <c r="G1229" i="13" s="1"/>
  <c r="F1230" i="13"/>
  <c r="G1230" i="13" s="1"/>
  <c r="F1231" i="13"/>
  <c r="G1231" i="13" s="1"/>
  <c r="F1232" i="13"/>
  <c r="G1232" i="13" s="1"/>
  <c r="F1233" i="13"/>
  <c r="G1233" i="13" s="1"/>
  <c r="F1234" i="13"/>
  <c r="G1234" i="13" s="1"/>
  <c r="F1235" i="13"/>
  <c r="G1235" i="13" s="1"/>
  <c r="F1236" i="13"/>
  <c r="G1236" i="13" s="1"/>
  <c r="F1237" i="13"/>
  <c r="G1237" i="13" s="1"/>
  <c r="F1238" i="13"/>
  <c r="G1238" i="13" s="1"/>
  <c r="F1239" i="13"/>
  <c r="G1239" i="13" s="1"/>
  <c r="F1240" i="13"/>
  <c r="G1240" i="13" s="1"/>
  <c r="F1241" i="13"/>
  <c r="G1241" i="13" s="1"/>
  <c r="F1242" i="13"/>
  <c r="G1242" i="13" s="1"/>
  <c r="F1243" i="13"/>
  <c r="G1243" i="13" s="1"/>
  <c r="F1244" i="13"/>
  <c r="G1244" i="13" s="1"/>
  <c r="F1245" i="13"/>
  <c r="G1245" i="13" s="1"/>
  <c r="F1246" i="13"/>
  <c r="G1246" i="13" s="1"/>
  <c r="F1247" i="13"/>
  <c r="G1247" i="13" s="1"/>
  <c r="F1248" i="13"/>
  <c r="G1248" i="13" s="1"/>
  <c r="F1249" i="13"/>
  <c r="G1249" i="13" s="1"/>
  <c r="F1250" i="13"/>
  <c r="G1250" i="13" s="1"/>
  <c r="F1251" i="13"/>
  <c r="G1251" i="13" s="1"/>
  <c r="F1252" i="13"/>
  <c r="G1252" i="13" s="1"/>
  <c r="F1253" i="13"/>
  <c r="G1253" i="13" s="1"/>
  <c r="F1254" i="13"/>
  <c r="G1254" i="13" s="1"/>
  <c r="F1255" i="13"/>
  <c r="G1255" i="13" s="1"/>
  <c r="F1256" i="13"/>
  <c r="G1256" i="13" s="1"/>
  <c r="F1257" i="13"/>
  <c r="G1257" i="13" s="1"/>
  <c r="F1258" i="13"/>
  <c r="G1258" i="13" s="1"/>
  <c r="F1259" i="13"/>
  <c r="G1259" i="13" s="1"/>
  <c r="F1260" i="13"/>
  <c r="G1260" i="13" s="1"/>
  <c r="F1261" i="13"/>
  <c r="G1261" i="13" s="1"/>
  <c r="F1262" i="13"/>
  <c r="G1262" i="13" s="1"/>
  <c r="F1263" i="13"/>
  <c r="G1263" i="13" s="1"/>
  <c r="F1264" i="13"/>
  <c r="G1264" i="13" s="1"/>
  <c r="F1265" i="13"/>
  <c r="G1265" i="13" s="1"/>
  <c r="F1266" i="13"/>
  <c r="G1266" i="13" s="1"/>
  <c r="F1267" i="13"/>
  <c r="G1267" i="13" s="1"/>
  <c r="F1268" i="13"/>
  <c r="G1268" i="13" s="1"/>
  <c r="F1269" i="13"/>
  <c r="G1269" i="13" s="1"/>
  <c r="F1270" i="13"/>
  <c r="G1270" i="13" s="1"/>
  <c r="F1271" i="13"/>
  <c r="G1271" i="13" s="1"/>
  <c r="F1272" i="13"/>
  <c r="G1272" i="13" s="1"/>
  <c r="F1273" i="13"/>
  <c r="G1273" i="13" s="1"/>
  <c r="F1274" i="13"/>
  <c r="G1274" i="13" s="1"/>
  <c r="F1275" i="13"/>
  <c r="G1275" i="13" s="1"/>
  <c r="F1276" i="13"/>
  <c r="G1276" i="13" s="1"/>
  <c r="F1277" i="13"/>
  <c r="G1277" i="13" s="1"/>
  <c r="F1278" i="13"/>
  <c r="G1278" i="13" s="1"/>
  <c r="F1279" i="13"/>
  <c r="G1279" i="13" s="1"/>
  <c r="F1280" i="13"/>
  <c r="G1280" i="13" s="1"/>
  <c r="F1281" i="13"/>
  <c r="G1281" i="13" s="1"/>
  <c r="F1282" i="13"/>
  <c r="G1282" i="13" s="1"/>
  <c r="F1283" i="13"/>
  <c r="G1283" i="13" s="1"/>
  <c r="F1284" i="13"/>
  <c r="G1284" i="13" s="1"/>
  <c r="F1285" i="13"/>
  <c r="G1285" i="13" s="1"/>
  <c r="F1286" i="13"/>
  <c r="G1286" i="13" s="1"/>
  <c r="F1287" i="13"/>
  <c r="G1287" i="13" s="1"/>
  <c r="F1288" i="13"/>
  <c r="G1288" i="13" s="1"/>
  <c r="F1289" i="13"/>
  <c r="G1289" i="13" s="1"/>
  <c r="F1290" i="13"/>
  <c r="G1290" i="13" s="1"/>
  <c r="F1291" i="13"/>
  <c r="G1291" i="13" s="1"/>
  <c r="F1292" i="13"/>
  <c r="G1292" i="13" s="1"/>
  <c r="F1293" i="13"/>
  <c r="G1293" i="13" s="1"/>
  <c r="F1294" i="13"/>
  <c r="G1294" i="13" s="1"/>
  <c r="F1295" i="13"/>
  <c r="G1295" i="13" s="1"/>
  <c r="F1296" i="13"/>
  <c r="G1296" i="13" s="1"/>
  <c r="F1297" i="13"/>
  <c r="G1297" i="13" s="1"/>
  <c r="F1298" i="13"/>
  <c r="G1298" i="13" s="1"/>
  <c r="F1299" i="13"/>
  <c r="G1299" i="13" s="1"/>
  <c r="F1300" i="13"/>
  <c r="G1300" i="13" s="1"/>
  <c r="F1301" i="13"/>
  <c r="G1301" i="13" s="1"/>
  <c r="F1302" i="13"/>
  <c r="G1302" i="13" s="1"/>
  <c r="F1303" i="13"/>
  <c r="G1303" i="13" s="1"/>
  <c r="F1304" i="13"/>
  <c r="G1304" i="13" s="1"/>
  <c r="F1305" i="13"/>
  <c r="G1305" i="13" s="1"/>
  <c r="F1306" i="13"/>
  <c r="G1306" i="13" s="1"/>
  <c r="F1307" i="13"/>
  <c r="G1307" i="13" s="1"/>
  <c r="F1308" i="13"/>
  <c r="G1308" i="13" s="1"/>
  <c r="F1309" i="13"/>
  <c r="G1309" i="13" s="1"/>
  <c r="F1310" i="13"/>
  <c r="G1310" i="13" s="1"/>
  <c r="F1311" i="13"/>
  <c r="G1311" i="13" s="1"/>
  <c r="F1312" i="13"/>
  <c r="G1312" i="13" s="1"/>
  <c r="F1313" i="13"/>
  <c r="G1313" i="13" s="1"/>
  <c r="F1314" i="13"/>
  <c r="G1314" i="13" s="1"/>
  <c r="F1315" i="13"/>
  <c r="G1315" i="13" s="1"/>
  <c r="F1316" i="13"/>
  <c r="G1316" i="13" s="1"/>
  <c r="F1317" i="13"/>
  <c r="G1317" i="13" s="1"/>
  <c r="F1318" i="13"/>
  <c r="G1318" i="13" s="1"/>
  <c r="F1319" i="13"/>
  <c r="G1319" i="13" s="1"/>
  <c r="F1320" i="13"/>
  <c r="G1320" i="13" s="1"/>
  <c r="F1321" i="13"/>
  <c r="G1321" i="13" s="1"/>
  <c r="F1322" i="13"/>
  <c r="G1322" i="13" s="1"/>
  <c r="F1323" i="13"/>
  <c r="G1323" i="13" s="1"/>
  <c r="F1324" i="13"/>
  <c r="G1324" i="13" s="1"/>
  <c r="F1325" i="13"/>
  <c r="G1325" i="13" s="1"/>
  <c r="F1326" i="13"/>
  <c r="G1326" i="13" s="1"/>
  <c r="F1327" i="13"/>
  <c r="G1327" i="13" s="1"/>
  <c r="F1328" i="13"/>
  <c r="G1328" i="13" s="1"/>
  <c r="F1329" i="13"/>
  <c r="G1329" i="13" s="1"/>
  <c r="F1330" i="13"/>
  <c r="G1330" i="13" s="1"/>
  <c r="F1331" i="13"/>
  <c r="G1331" i="13" s="1"/>
  <c r="F1332" i="13"/>
  <c r="G1332" i="13" s="1"/>
  <c r="F1333" i="13"/>
  <c r="G1333" i="13" s="1"/>
  <c r="F1334" i="13"/>
  <c r="G1334" i="13" s="1"/>
  <c r="F1335" i="13"/>
  <c r="G1335" i="13" s="1"/>
  <c r="F1336" i="13"/>
  <c r="G1336" i="13" s="1"/>
  <c r="F1337" i="13"/>
  <c r="G1337" i="13" s="1"/>
  <c r="F1338" i="13"/>
  <c r="G1338" i="13" s="1"/>
  <c r="F1339" i="13"/>
  <c r="G1339" i="13" s="1"/>
  <c r="F1340" i="13"/>
  <c r="G1340" i="13" s="1"/>
  <c r="F1341" i="13"/>
  <c r="G1341" i="13" s="1"/>
  <c r="F1342" i="13"/>
  <c r="G1342" i="13" s="1"/>
  <c r="F1343" i="13"/>
  <c r="G1343" i="13" s="1"/>
  <c r="F1344" i="13"/>
  <c r="G1344" i="13" s="1"/>
  <c r="F1345" i="13"/>
  <c r="G1345" i="13" s="1"/>
  <c r="F1346" i="13"/>
  <c r="G1346" i="13" s="1"/>
  <c r="F1347" i="13"/>
  <c r="G1347" i="13" s="1"/>
  <c r="F1348" i="13"/>
  <c r="G1348" i="13" s="1"/>
  <c r="F1349" i="13"/>
  <c r="G1349" i="13" s="1"/>
  <c r="F1350" i="13"/>
  <c r="G1350" i="13" s="1"/>
  <c r="F1351" i="13"/>
  <c r="G1351" i="13" s="1"/>
  <c r="F1352" i="13"/>
  <c r="G1352" i="13" s="1"/>
  <c r="F1353" i="13"/>
  <c r="G1353" i="13" s="1"/>
  <c r="F1354" i="13"/>
  <c r="G1354" i="13" s="1"/>
  <c r="F1355" i="13"/>
  <c r="G1355" i="13" s="1"/>
  <c r="F1356" i="13"/>
  <c r="G1356" i="13" s="1"/>
  <c r="F1357" i="13"/>
  <c r="G1357" i="13" s="1"/>
  <c r="F1358" i="13"/>
  <c r="G1358" i="13" s="1"/>
  <c r="F1359" i="13"/>
  <c r="G1359" i="13" s="1"/>
  <c r="F1360" i="13"/>
  <c r="G1360" i="13" s="1"/>
  <c r="F1361" i="13"/>
  <c r="G1361" i="13" s="1"/>
  <c r="F1362" i="13"/>
  <c r="G1362" i="13" s="1"/>
  <c r="F1363" i="13"/>
  <c r="G1363" i="13" s="1"/>
  <c r="F1364" i="13"/>
  <c r="G1364" i="13" s="1"/>
  <c r="F1365" i="13"/>
  <c r="G1365" i="13" s="1"/>
  <c r="F1366" i="13"/>
  <c r="G1366" i="13" s="1"/>
  <c r="F1367" i="13"/>
  <c r="G1367" i="13" s="1"/>
  <c r="F1368" i="13"/>
  <c r="G1368" i="13" s="1"/>
  <c r="F1369" i="13"/>
  <c r="G1369" i="13" s="1"/>
  <c r="F1370" i="13"/>
  <c r="G1370" i="13" s="1"/>
  <c r="F1371" i="13"/>
  <c r="G1371" i="13" s="1"/>
  <c r="F1372" i="13"/>
  <c r="G1372" i="13" s="1"/>
  <c r="F1373" i="13"/>
  <c r="G1373" i="13" s="1"/>
  <c r="F1374" i="13"/>
  <c r="G1374" i="13" s="1"/>
  <c r="F1375" i="13"/>
  <c r="G1375" i="13" s="1"/>
  <c r="F1376" i="13"/>
  <c r="G1376" i="13" s="1"/>
  <c r="F1377" i="13"/>
  <c r="G1377" i="13" s="1"/>
  <c r="F1378" i="13"/>
  <c r="G1378" i="13" s="1"/>
  <c r="F1379" i="13"/>
  <c r="G1379" i="13" s="1"/>
  <c r="F1380" i="13"/>
  <c r="G1380" i="13" s="1"/>
  <c r="F1381" i="13"/>
  <c r="G1381" i="13" s="1"/>
  <c r="F1382" i="13"/>
  <c r="G1382" i="13" s="1"/>
  <c r="F1383" i="13"/>
  <c r="G1383" i="13" s="1"/>
  <c r="F1384" i="13"/>
  <c r="G1384" i="13" s="1"/>
  <c r="F1385" i="13"/>
  <c r="G1385" i="13" s="1"/>
  <c r="F1386" i="13"/>
  <c r="G1386" i="13" s="1"/>
  <c r="F1387" i="13"/>
  <c r="G1387" i="13" s="1"/>
  <c r="F1388" i="13"/>
  <c r="G1388" i="13" s="1"/>
  <c r="F1389" i="13"/>
  <c r="G1389" i="13" s="1"/>
  <c r="F1390" i="13"/>
  <c r="G1390" i="13" s="1"/>
  <c r="F1391" i="13"/>
  <c r="G1391" i="13" s="1"/>
  <c r="F1392" i="13"/>
  <c r="G1392" i="13" s="1"/>
  <c r="F1393" i="13"/>
  <c r="G1393" i="13" s="1"/>
  <c r="F1394" i="13"/>
  <c r="G1394" i="13" s="1"/>
  <c r="F1395" i="13"/>
  <c r="G1395" i="13" s="1"/>
  <c r="F1396" i="13"/>
  <c r="G1396" i="13" s="1"/>
  <c r="F1397" i="13"/>
  <c r="G1397" i="13" s="1"/>
  <c r="F1398" i="13"/>
  <c r="G1398" i="13" s="1"/>
  <c r="F1399" i="13"/>
  <c r="G1399" i="13" s="1"/>
  <c r="F1400" i="13"/>
  <c r="G1400" i="13" s="1"/>
  <c r="F1401" i="13"/>
  <c r="G1401" i="13" s="1"/>
  <c r="F1402" i="13"/>
  <c r="G1402" i="13" s="1"/>
  <c r="F1403" i="13"/>
  <c r="G1403" i="13" s="1"/>
  <c r="F1404" i="13"/>
  <c r="G1404" i="13" s="1"/>
  <c r="F1405" i="13"/>
  <c r="G1405" i="13" s="1"/>
  <c r="F1406" i="13"/>
  <c r="G1406" i="13" s="1"/>
  <c r="F1407" i="13"/>
  <c r="G1407" i="13" s="1"/>
  <c r="F1408" i="13"/>
  <c r="G1408" i="13" s="1"/>
  <c r="F1409" i="13"/>
  <c r="G1409" i="13" s="1"/>
  <c r="F1410" i="13"/>
  <c r="G1410" i="13" s="1"/>
  <c r="F1411" i="13"/>
  <c r="G1411" i="13" s="1"/>
  <c r="F1412" i="13"/>
  <c r="G1412" i="13" s="1"/>
  <c r="F1413" i="13"/>
  <c r="G1413" i="13" s="1"/>
  <c r="F1414" i="13"/>
  <c r="G1414" i="13" s="1"/>
  <c r="F1415" i="13"/>
  <c r="G1415" i="13" s="1"/>
  <c r="F1416" i="13"/>
  <c r="G1416" i="13" s="1"/>
  <c r="F1417" i="13"/>
  <c r="G1417" i="13" s="1"/>
  <c r="F1418" i="13"/>
  <c r="G1418" i="13" s="1"/>
  <c r="F1419" i="13"/>
  <c r="G1419" i="13" s="1"/>
  <c r="F1420" i="13"/>
  <c r="G1420" i="13" s="1"/>
  <c r="F1421" i="13"/>
  <c r="G1421" i="13" s="1"/>
  <c r="F1422" i="13"/>
  <c r="G1422" i="13" s="1"/>
  <c r="F1423" i="13"/>
  <c r="G1423" i="13" s="1"/>
  <c r="F1424" i="13"/>
  <c r="G1424" i="13" s="1"/>
  <c r="F1425" i="13"/>
  <c r="G1425" i="13" s="1"/>
  <c r="F1426" i="13"/>
  <c r="G1426" i="13" s="1"/>
  <c r="F1427" i="13"/>
  <c r="G1427" i="13" s="1"/>
  <c r="F1428" i="13"/>
  <c r="G1428" i="13" s="1"/>
  <c r="F1429" i="13"/>
  <c r="G1429" i="13" s="1"/>
  <c r="F1430" i="13"/>
  <c r="G1430" i="13" s="1"/>
  <c r="F1431" i="13"/>
  <c r="G1431" i="13" s="1"/>
  <c r="F1432" i="13"/>
  <c r="G1432" i="13" s="1"/>
  <c r="F1433" i="13"/>
  <c r="G1433" i="13" s="1"/>
  <c r="F1434" i="13"/>
  <c r="G1434" i="13" s="1"/>
  <c r="F1435" i="13"/>
  <c r="G1435" i="13" s="1"/>
  <c r="F1436" i="13"/>
  <c r="G1436" i="13" s="1"/>
  <c r="F1437" i="13"/>
  <c r="G1437" i="13" s="1"/>
  <c r="F1438" i="13"/>
  <c r="G1438" i="13" s="1"/>
  <c r="F1439" i="13"/>
  <c r="G1439" i="13" s="1"/>
  <c r="F1440" i="13"/>
  <c r="G1440" i="13" s="1"/>
  <c r="F1441" i="13"/>
  <c r="G1441" i="13" s="1"/>
  <c r="F1442" i="13"/>
  <c r="G1442" i="13" s="1"/>
  <c r="F1443" i="13"/>
  <c r="G1443" i="13" s="1"/>
  <c r="F1444" i="13"/>
  <c r="G1444" i="13" s="1"/>
  <c r="F1445" i="13"/>
  <c r="G1445" i="13" s="1"/>
  <c r="F1446" i="13"/>
  <c r="G1446" i="13" s="1"/>
  <c r="F1447" i="13"/>
  <c r="G1447" i="13" s="1"/>
  <c r="F1448" i="13"/>
  <c r="G1448" i="13" s="1"/>
  <c r="F1449" i="13"/>
  <c r="G1449" i="13" s="1"/>
  <c r="F1450" i="13"/>
  <c r="G1450" i="13" s="1"/>
  <c r="F1451" i="13"/>
  <c r="G1451" i="13" s="1"/>
  <c r="F1452" i="13"/>
  <c r="G1452" i="13" s="1"/>
  <c r="F1453" i="13"/>
  <c r="G1453" i="13" s="1"/>
  <c r="F1454" i="13"/>
  <c r="G1454" i="13" s="1"/>
  <c r="F1455" i="13"/>
  <c r="G1455" i="13" s="1"/>
  <c r="F1456" i="13"/>
  <c r="G1456" i="13" s="1"/>
  <c r="F1457" i="13"/>
  <c r="G1457" i="13" s="1"/>
  <c r="F1458" i="13"/>
  <c r="G1458" i="13" s="1"/>
  <c r="F1459" i="13"/>
  <c r="G1459" i="13" s="1"/>
  <c r="F1460" i="13"/>
  <c r="G1460" i="13" s="1"/>
  <c r="F1461" i="13"/>
  <c r="G1461" i="13" s="1"/>
  <c r="F1462" i="13"/>
  <c r="G1462" i="13" s="1"/>
  <c r="F1463" i="13"/>
  <c r="G1463" i="13" s="1"/>
  <c r="F1464" i="13"/>
  <c r="G1464" i="13" s="1"/>
  <c r="F1465" i="13"/>
  <c r="G1465" i="13" s="1"/>
  <c r="F1466" i="13"/>
  <c r="G1466" i="13" s="1"/>
  <c r="F1467" i="13"/>
  <c r="G1467" i="13" s="1"/>
  <c r="F1468" i="13"/>
  <c r="G1468" i="13" s="1"/>
  <c r="F1469" i="13"/>
  <c r="G1469" i="13" s="1"/>
  <c r="F1470" i="13"/>
  <c r="G1470" i="13" s="1"/>
  <c r="F1471" i="13"/>
  <c r="G1471" i="13" s="1"/>
  <c r="F1472" i="13"/>
  <c r="G1472" i="13" s="1"/>
  <c r="F1473" i="13"/>
  <c r="G1473" i="13" s="1"/>
  <c r="F1474" i="13"/>
  <c r="G1474" i="13" s="1"/>
  <c r="F1475" i="13"/>
  <c r="G1475" i="13" s="1"/>
  <c r="F1476" i="13"/>
  <c r="G1476" i="13" s="1"/>
  <c r="F1477" i="13"/>
  <c r="G1477" i="13" s="1"/>
  <c r="F1478" i="13"/>
  <c r="G1478" i="13" s="1"/>
  <c r="F1479" i="13"/>
  <c r="G1479" i="13" s="1"/>
  <c r="F1480" i="13"/>
  <c r="G1480" i="13" s="1"/>
  <c r="F1481" i="13"/>
  <c r="G1481" i="13" s="1"/>
  <c r="F1482" i="13"/>
  <c r="G1482" i="13" s="1"/>
  <c r="F1483" i="13"/>
  <c r="G1483" i="13" s="1"/>
  <c r="F1484" i="13"/>
  <c r="G1484" i="13" s="1"/>
  <c r="F1485" i="13"/>
  <c r="G1485" i="13" s="1"/>
  <c r="F1486" i="13"/>
  <c r="G1486" i="13" s="1"/>
  <c r="F1487" i="13"/>
  <c r="G1487" i="13" s="1"/>
  <c r="F1488" i="13"/>
  <c r="G1488" i="13" s="1"/>
  <c r="F1489" i="13"/>
  <c r="G1489" i="13" s="1"/>
  <c r="F1490" i="13"/>
  <c r="G1490" i="13" s="1"/>
  <c r="F1491" i="13"/>
  <c r="G1491" i="13" s="1"/>
  <c r="F1492" i="13"/>
  <c r="G1492" i="13" s="1"/>
  <c r="F1493" i="13"/>
  <c r="G1493" i="13" s="1"/>
  <c r="F1494" i="13"/>
  <c r="G1494" i="13" s="1"/>
  <c r="F1495" i="13"/>
  <c r="G1495" i="13" s="1"/>
  <c r="F1496" i="13"/>
  <c r="G1496" i="13" s="1"/>
  <c r="F1497" i="13"/>
  <c r="G1497" i="13" s="1"/>
  <c r="F1498" i="13"/>
  <c r="G1498" i="13" s="1"/>
  <c r="F1499" i="13"/>
  <c r="G1499" i="13" s="1"/>
  <c r="F1500" i="13"/>
  <c r="G1500" i="13" s="1"/>
  <c r="F1501" i="13"/>
  <c r="G1501" i="13" s="1"/>
  <c r="F1502" i="13"/>
  <c r="G1502" i="13" s="1"/>
  <c r="F1503" i="13"/>
  <c r="G1503" i="13" s="1"/>
  <c r="F1504" i="13"/>
  <c r="G1504" i="13" s="1"/>
  <c r="F1505" i="13"/>
  <c r="G1505" i="13" s="1"/>
  <c r="F1506" i="13"/>
  <c r="G1506" i="13" s="1"/>
  <c r="F1507" i="13"/>
  <c r="G1507" i="13" s="1"/>
  <c r="F1508" i="13"/>
  <c r="G1508" i="13" s="1"/>
  <c r="F1509" i="13"/>
  <c r="G1509" i="13" s="1"/>
  <c r="F1510" i="13"/>
  <c r="G1510" i="13" s="1"/>
  <c r="F1511" i="13"/>
  <c r="G1511" i="13" s="1"/>
  <c r="F1512" i="13"/>
  <c r="G1512" i="13" s="1"/>
  <c r="F1513" i="13"/>
  <c r="G1513" i="13" s="1"/>
  <c r="F1514" i="13"/>
  <c r="G1514" i="13" s="1"/>
  <c r="F1515" i="13"/>
  <c r="G1515" i="13" s="1"/>
  <c r="F1516" i="13"/>
  <c r="G1516" i="13" s="1"/>
  <c r="F1517" i="13"/>
  <c r="G1517" i="13" s="1"/>
  <c r="F1518" i="13"/>
  <c r="G1518" i="13" s="1"/>
  <c r="F1519" i="13"/>
  <c r="G1519" i="13" s="1"/>
  <c r="F1520" i="13"/>
  <c r="G1520" i="13" s="1"/>
  <c r="F1521" i="13"/>
  <c r="G1521" i="13" s="1"/>
  <c r="F1522" i="13"/>
  <c r="G1522" i="13" s="1"/>
  <c r="F1523" i="13"/>
  <c r="G1523" i="13" s="1"/>
  <c r="F1524" i="13"/>
  <c r="G1524" i="13" s="1"/>
  <c r="F1525" i="13"/>
  <c r="G1525" i="13" s="1"/>
  <c r="F1526" i="13"/>
  <c r="G1526" i="13" s="1"/>
  <c r="F1527" i="13"/>
  <c r="G1527" i="13" s="1"/>
  <c r="F1528" i="13"/>
  <c r="G1528" i="13" s="1"/>
  <c r="F1529" i="13"/>
  <c r="G1529" i="13" s="1"/>
  <c r="F1530" i="13"/>
  <c r="G1530" i="13" s="1"/>
  <c r="F1531" i="13"/>
  <c r="G1531" i="13" s="1"/>
  <c r="F1532" i="13"/>
  <c r="G1532" i="13" s="1"/>
  <c r="F1533" i="13"/>
  <c r="G1533" i="13" s="1"/>
  <c r="F1534" i="13"/>
  <c r="G1534" i="13" s="1"/>
  <c r="F1535" i="13"/>
  <c r="G1535" i="13" s="1"/>
  <c r="F1536" i="13"/>
  <c r="G1536" i="13" s="1"/>
  <c r="F1537" i="13"/>
  <c r="G1537" i="13" s="1"/>
  <c r="F1538" i="13"/>
  <c r="G1538" i="13" s="1"/>
  <c r="F1539" i="13"/>
  <c r="G1539" i="13" s="1"/>
  <c r="F1540" i="13"/>
  <c r="G1540" i="13" s="1"/>
  <c r="F1541" i="13"/>
  <c r="G1541" i="13" s="1"/>
  <c r="F1542" i="13"/>
  <c r="G1542" i="13" s="1"/>
  <c r="F1543" i="13"/>
  <c r="G1543" i="13" s="1"/>
  <c r="F1544" i="13"/>
  <c r="G1544" i="13" s="1"/>
  <c r="F1545" i="13"/>
  <c r="G1545" i="13" s="1"/>
  <c r="F1546" i="13"/>
  <c r="G1546" i="13" s="1"/>
  <c r="F1547" i="13"/>
  <c r="G1547" i="13" s="1"/>
  <c r="F1548" i="13"/>
  <c r="G1548" i="13" s="1"/>
  <c r="F1549" i="13"/>
  <c r="G1549" i="13" s="1"/>
  <c r="F1550" i="13"/>
  <c r="G1550" i="13" s="1"/>
  <c r="F1551" i="13"/>
  <c r="G1551" i="13" s="1"/>
  <c r="F1552" i="13"/>
  <c r="G1552" i="13" s="1"/>
  <c r="F1553" i="13"/>
  <c r="G1553" i="13" s="1"/>
  <c r="F1554" i="13"/>
  <c r="G1554" i="13" s="1"/>
  <c r="F1555" i="13"/>
  <c r="G1555" i="13" s="1"/>
  <c r="F1556" i="13"/>
  <c r="G1556" i="13" s="1"/>
  <c r="F1557" i="13"/>
  <c r="G1557" i="13" s="1"/>
  <c r="F1558" i="13"/>
  <c r="G1558" i="13" s="1"/>
  <c r="F1559" i="13"/>
  <c r="G1559" i="13" s="1"/>
  <c r="F1560" i="13"/>
  <c r="G1560" i="13" s="1"/>
  <c r="F1561" i="13"/>
  <c r="G1561" i="13" s="1"/>
  <c r="F1562" i="13"/>
  <c r="G1562" i="13" s="1"/>
  <c r="F1563" i="13"/>
  <c r="G1563" i="13" s="1"/>
  <c r="F1564" i="13"/>
  <c r="G1564" i="13" s="1"/>
  <c r="F1565" i="13"/>
  <c r="G1565" i="13" s="1"/>
  <c r="F1566" i="13"/>
  <c r="G1566" i="13" s="1"/>
  <c r="F1567" i="13"/>
  <c r="G1567" i="13" s="1"/>
  <c r="F1568" i="13"/>
  <c r="G1568" i="13" s="1"/>
  <c r="F1569" i="13"/>
  <c r="G1569" i="13" s="1"/>
  <c r="F1570" i="13"/>
  <c r="G1570" i="13" s="1"/>
  <c r="F1571" i="13"/>
  <c r="G1571" i="13" s="1"/>
  <c r="F1572" i="13"/>
  <c r="G1572" i="13" s="1"/>
  <c r="F1573" i="13"/>
  <c r="G1573" i="13" s="1"/>
  <c r="F1574" i="13"/>
  <c r="G1574" i="13" s="1"/>
  <c r="F1575" i="13"/>
  <c r="G1575" i="13" s="1"/>
  <c r="F1576" i="13"/>
  <c r="G1576" i="13" s="1"/>
  <c r="F1577" i="13"/>
  <c r="G1577" i="13" s="1"/>
  <c r="F1578" i="13"/>
  <c r="G1578" i="13" s="1"/>
  <c r="F1579" i="13"/>
  <c r="G1579" i="13" s="1"/>
  <c r="F1580" i="13"/>
  <c r="G1580" i="13" s="1"/>
  <c r="F1581" i="13"/>
  <c r="G1581" i="13" s="1"/>
  <c r="F1582" i="13"/>
  <c r="G1582" i="13" s="1"/>
  <c r="F1583" i="13"/>
  <c r="G1583" i="13" s="1"/>
  <c r="F1584" i="13"/>
  <c r="G1584" i="13" s="1"/>
  <c r="F1585" i="13"/>
  <c r="G1585" i="13" s="1"/>
  <c r="F1586" i="13"/>
  <c r="G1586" i="13" s="1"/>
  <c r="F1587" i="13"/>
  <c r="G1587" i="13" s="1"/>
  <c r="F1588" i="13"/>
  <c r="G1588" i="13" s="1"/>
  <c r="F1589" i="13"/>
  <c r="G1589" i="13" s="1"/>
  <c r="F1590" i="13"/>
  <c r="G1590" i="13" s="1"/>
  <c r="F1591" i="13"/>
  <c r="G1591" i="13" s="1"/>
  <c r="F1592" i="13"/>
  <c r="G1592" i="13" s="1"/>
  <c r="F1593" i="13"/>
  <c r="G1593" i="13" s="1"/>
  <c r="F1594" i="13"/>
  <c r="G1594" i="13" s="1"/>
  <c r="F1595" i="13"/>
  <c r="G1595" i="13" s="1"/>
  <c r="F1596" i="13"/>
  <c r="G1596" i="13" s="1"/>
  <c r="F1597" i="13"/>
  <c r="G1597" i="13" s="1"/>
  <c r="F1598" i="13"/>
  <c r="G1598" i="13" s="1"/>
  <c r="F1599" i="13"/>
  <c r="G1599" i="13" s="1"/>
  <c r="F1600" i="13"/>
  <c r="G1600" i="13" s="1"/>
  <c r="F1601" i="13"/>
  <c r="G1601" i="13" s="1"/>
  <c r="F1602" i="13"/>
  <c r="G1602" i="13" s="1"/>
  <c r="F1603" i="13"/>
  <c r="G1603" i="13" s="1"/>
  <c r="F1604" i="13"/>
  <c r="G1604" i="13" s="1"/>
  <c r="F1605" i="13"/>
  <c r="G1605" i="13" s="1"/>
  <c r="F1606" i="13"/>
  <c r="G1606" i="13" s="1"/>
  <c r="F1607" i="13"/>
  <c r="G1607" i="13" s="1"/>
  <c r="F1608" i="13"/>
  <c r="G1608" i="13" s="1"/>
  <c r="F1609" i="13"/>
  <c r="G1609" i="13" s="1"/>
  <c r="F1610" i="13"/>
  <c r="G1610" i="13" s="1"/>
  <c r="F1611" i="13"/>
  <c r="G1611" i="13" s="1"/>
  <c r="F1612" i="13"/>
  <c r="G1612" i="13" s="1"/>
  <c r="F1613" i="13"/>
  <c r="G1613" i="13" s="1"/>
  <c r="F1614" i="13"/>
  <c r="G1614" i="13" s="1"/>
  <c r="F1615" i="13"/>
  <c r="G1615" i="13" s="1"/>
  <c r="F1616" i="13"/>
  <c r="G1616" i="13" s="1"/>
  <c r="F1617" i="13"/>
  <c r="G1617" i="13" s="1"/>
  <c r="F1618" i="13"/>
  <c r="G1618" i="13" s="1"/>
  <c r="F1619" i="13"/>
  <c r="G1619" i="13" s="1"/>
  <c r="F1620" i="13"/>
  <c r="G1620" i="13" s="1"/>
  <c r="F1621" i="13"/>
  <c r="G1621" i="13" s="1"/>
  <c r="F1622" i="13"/>
  <c r="G1622" i="13" s="1"/>
  <c r="F1623" i="13"/>
  <c r="G1623" i="13" s="1"/>
  <c r="F1624" i="13"/>
  <c r="G1624" i="13" s="1"/>
  <c r="F1625" i="13"/>
  <c r="G1625" i="13" s="1"/>
  <c r="F1626" i="13"/>
  <c r="G1626" i="13" s="1"/>
  <c r="F1627" i="13"/>
  <c r="G1627" i="13" s="1"/>
  <c r="F1628" i="13"/>
  <c r="G1628" i="13" s="1"/>
  <c r="F1629" i="13"/>
  <c r="G1629" i="13" s="1"/>
  <c r="F1630" i="13"/>
  <c r="G1630" i="13" s="1"/>
  <c r="F1631" i="13"/>
  <c r="G1631" i="13" s="1"/>
  <c r="F1632" i="13"/>
  <c r="G1632" i="13" s="1"/>
  <c r="F1633" i="13"/>
  <c r="G1633" i="13" s="1"/>
  <c r="F1634" i="13"/>
  <c r="G1634" i="13" s="1"/>
  <c r="F1635" i="13"/>
  <c r="G1635" i="13" s="1"/>
  <c r="F1636" i="13"/>
  <c r="G1636" i="13" s="1"/>
  <c r="F1637" i="13"/>
  <c r="G1637" i="13" s="1"/>
  <c r="F1638" i="13"/>
  <c r="G1638" i="13" s="1"/>
  <c r="F1639" i="13"/>
  <c r="G1639" i="13" s="1"/>
  <c r="F1640" i="13"/>
  <c r="G1640" i="13" s="1"/>
  <c r="F1641" i="13"/>
  <c r="G1641" i="13" s="1"/>
  <c r="F1642" i="13"/>
  <c r="G1642" i="13" s="1"/>
  <c r="F1643" i="13"/>
  <c r="G1643" i="13" s="1"/>
  <c r="F1644" i="13"/>
  <c r="G1644" i="13" s="1"/>
  <c r="F1645" i="13"/>
  <c r="G1645" i="13" s="1"/>
  <c r="F1646" i="13"/>
  <c r="G1646" i="13" s="1"/>
  <c r="F1647" i="13"/>
  <c r="G1647" i="13" s="1"/>
  <c r="F1648" i="13"/>
  <c r="G1648" i="13" s="1"/>
  <c r="F1649" i="13"/>
  <c r="G1649" i="13" s="1"/>
  <c r="F1650" i="13"/>
  <c r="G1650" i="13" s="1"/>
  <c r="F1651" i="13"/>
  <c r="G1651" i="13" s="1"/>
  <c r="F1652" i="13"/>
  <c r="G1652" i="13" s="1"/>
  <c r="F1653" i="13"/>
  <c r="G1653" i="13" s="1"/>
  <c r="F1654" i="13"/>
  <c r="G1654" i="13" s="1"/>
  <c r="F1655" i="13"/>
  <c r="G1655" i="13" s="1"/>
  <c r="F1656" i="13"/>
  <c r="G1656" i="13" s="1"/>
  <c r="F1657" i="13"/>
  <c r="G1657" i="13" s="1"/>
  <c r="F1658" i="13"/>
  <c r="G1658" i="13" s="1"/>
  <c r="F1659" i="13"/>
  <c r="G1659" i="13" s="1"/>
  <c r="F1660" i="13"/>
  <c r="G1660" i="13" s="1"/>
  <c r="F1661" i="13"/>
  <c r="G1661" i="13" s="1"/>
  <c r="F1662" i="13"/>
  <c r="G1662" i="13" s="1"/>
  <c r="F1663" i="13"/>
  <c r="G1663" i="13" s="1"/>
  <c r="F1664" i="13"/>
  <c r="G1664" i="13" s="1"/>
  <c r="F1665" i="13"/>
  <c r="G1665" i="13" s="1"/>
  <c r="F1666" i="13"/>
  <c r="G1666" i="13" s="1"/>
  <c r="F1667" i="13"/>
  <c r="G1667" i="13" s="1"/>
  <c r="F1668" i="13"/>
  <c r="G1668" i="13" s="1"/>
  <c r="F1669" i="13"/>
  <c r="G1669" i="13" s="1"/>
  <c r="F1670" i="13"/>
  <c r="G1670" i="13" s="1"/>
  <c r="F1671" i="13"/>
  <c r="G1671" i="13" s="1"/>
  <c r="F1672" i="13"/>
  <c r="G1672" i="13" s="1"/>
  <c r="F1673" i="13"/>
  <c r="G1673" i="13" s="1"/>
  <c r="F1674" i="13"/>
  <c r="G1674" i="13" s="1"/>
  <c r="F1675" i="13"/>
  <c r="G1675" i="13" s="1"/>
  <c r="F1676" i="13"/>
  <c r="G1676" i="13" s="1"/>
  <c r="F1677" i="13"/>
  <c r="G1677" i="13" s="1"/>
  <c r="F1678" i="13"/>
  <c r="G1678" i="13" s="1"/>
  <c r="F1679" i="13"/>
  <c r="G1679" i="13" s="1"/>
  <c r="F1680" i="13"/>
  <c r="G1680" i="13" s="1"/>
  <c r="F1681" i="13"/>
  <c r="G1681" i="13" s="1"/>
  <c r="F1682" i="13"/>
  <c r="G1682" i="13" s="1"/>
  <c r="F1683" i="13"/>
  <c r="G1683" i="13" s="1"/>
  <c r="F1684" i="13"/>
  <c r="G1684" i="13" s="1"/>
  <c r="F1685" i="13"/>
  <c r="G1685" i="13" s="1"/>
  <c r="F1686" i="13"/>
  <c r="G1686" i="13" s="1"/>
  <c r="F1687" i="13"/>
  <c r="G1687" i="13" s="1"/>
  <c r="F1688" i="13"/>
  <c r="G1688" i="13" s="1"/>
  <c r="F1689" i="13"/>
  <c r="G1689" i="13" s="1"/>
  <c r="F1690" i="13"/>
  <c r="G1690" i="13" s="1"/>
  <c r="F1691" i="13"/>
  <c r="G1691" i="13" s="1"/>
  <c r="F1692" i="13"/>
  <c r="G1692" i="13" s="1"/>
  <c r="F1693" i="13"/>
  <c r="G1693" i="13" s="1"/>
  <c r="F1694" i="13"/>
  <c r="G1694" i="13" s="1"/>
  <c r="F1695" i="13"/>
  <c r="G1695" i="13" s="1"/>
  <c r="F1696" i="13"/>
  <c r="G1696" i="13" s="1"/>
  <c r="F1697" i="13"/>
  <c r="G1697" i="13" s="1"/>
  <c r="F1698" i="13"/>
  <c r="G1698" i="13" s="1"/>
  <c r="F1699" i="13"/>
  <c r="G1699" i="13" s="1"/>
  <c r="F1700" i="13"/>
  <c r="G1700" i="13" s="1"/>
  <c r="F1701" i="13"/>
  <c r="G1701" i="13" s="1"/>
  <c r="F1702" i="13"/>
  <c r="G1702" i="13" s="1"/>
  <c r="F1703" i="13"/>
  <c r="G1703" i="13" s="1"/>
  <c r="F1704" i="13"/>
  <c r="G1704" i="13" s="1"/>
  <c r="F1705" i="13"/>
  <c r="G1705" i="13" s="1"/>
  <c r="F1706" i="13"/>
  <c r="G1706" i="13" s="1"/>
  <c r="F1707" i="13"/>
  <c r="G1707" i="13" s="1"/>
  <c r="F1708" i="13"/>
  <c r="G1708" i="13" s="1"/>
  <c r="F1709" i="13"/>
  <c r="G1709" i="13" s="1"/>
  <c r="F1710" i="13"/>
  <c r="G1710" i="13" s="1"/>
  <c r="F1711" i="13"/>
  <c r="G1711" i="13" s="1"/>
  <c r="F1712" i="13"/>
  <c r="G1712" i="13" s="1"/>
  <c r="F1713" i="13"/>
  <c r="G1713" i="13" s="1"/>
  <c r="F1714" i="13"/>
  <c r="G1714" i="13" s="1"/>
  <c r="F1715" i="13"/>
  <c r="G1715" i="13" s="1"/>
  <c r="F1716" i="13"/>
  <c r="G1716" i="13" s="1"/>
  <c r="F1717" i="13"/>
  <c r="G1717" i="13" s="1"/>
  <c r="F1718" i="13"/>
  <c r="G1718" i="13" s="1"/>
  <c r="F1719" i="13"/>
  <c r="G1719" i="13" s="1"/>
  <c r="F1720" i="13"/>
  <c r="G1720" i="13" s="1"/>
  <c r="F1721" i="13"/>
  <c r="G1721" i="13" s="1"/>
  <c r="F1722" i="13"/>
  <c r="G1722" i="13" s="1"/>
  <c r="F1723" i="13"/>
  <c r="G1723" i="13" s="1"/>
  <c r="F1724" i="13"/>
  <c r="G1724" i="13" s="1"/>
  <c r="F1725" i="13"/>
  <c r="G1725" i="13" s="1"/>
  <c r="F1726" i="13"/>
  <c r="G1726" i="13" s="1"/>
  <c r="F1727" i="13"/>
  <c r="G1727" i="13" s="1"/>
  <c r="F1728" i="13"/>
  <c r="G1728" i="13" s="1"/>
  <c r="F1729" i="13"/>
  <c r="G1729" i="13" s="1"/>
  <c r="F1730" i="13"/>
  <c r="G1730" i="13" s="1"/>
  <c r="F1731" i="13"/>
  <c r="G1731" i="13" s="1"/>
  <c r="F1732" i="13"/>
  <c r="G1732" i="13" s="1"/>
  <c r="F1733" i="13"/>
  <c r="G1733" i="13" s="1"/>
  <c r="F1734" i="13"/>
  <c r="G1734" i="13" s="1"/>
  <c r="F1735" i="13"/>
  <c r="G1735" i="13" s="1"/>
  <c r="F1736" i="13"/>
  <c r="G1736" i="13" s="1"/>
  <c r="F1737" i="13"/>
  <c r="G1737" i="13" s="1"/>
  <c r="F1738" i="13"/>
  <c r="G1738" i="13" s="1"/>
  <c r="F1739" i="13"/>
  <c r="G1739" i="13" s="1"/>
  <c r="F1740" i="13"/>
  <c r="G1740" i="13" s="1"/>
  <c r="F1741" i="13"/>
  <c r="G1741" i="13" s="1"/>
  <c r="F1742" i="13"/>
  <c r="G1742" i="13" s="1"/>
  <c r="F1743" i="13"/>
  <c r="G1743" i="13" s="1"/>
  <c r="F1744" i="13"/>
  <c r="G1744" i="13" s="1"/>
  <c r="F1745" i="13"/>
  <c r="G1745" i="13" s="1"/>
  <c r="F1746" i="13"/>
  <c r="G1746" i="13" s="1"/>
  <c r="F1747" i="13"/>
  <c r="G1747" i="13" s="1"/>
  <c r="F1748" i="13"/>
  <c r="G1748" i="13" s="1"/>
  <c r="F1749" i="13"/>
  <c r="G1749" i="13" s="1"/>
  <c r="F1750" i="13"/>
  <c r="G1750" i="13" s="1"/>
  <c r="F1751" i="13"/>
  <c r="G1751" i="13" s="1"/>
  <c r="F1752" i="13"/>
  <c r="G1752" i="13" s="1"/>
  <c r="F1753" i="13"/>
  <c r="G1753" i="13" s="1"/>
  <c r="F1754" i="13"/>
  <c r="G1754" i="13" s="1"/>
  <c r="F1755" i="13"/>
  <c r="G1755" i="13" s="1"/>
  <c r="F1756" i="13"/>
  <c r="G1756" i="13" s="1"/>
  <c r="F1757" i="13"/>
  <c r="G1757" i="13" s="1"/>
  <c r="F1758" i="13"/>
  <c r="G1758" i="13" s="1"/>
  <c r="F1759" i="13"/>
  <c r="G1759" i="13" s="1"/>
  <c r="F1760" i="13"/>
  <c r="G1760" i="13" s="1"/>
  <c r="F1761" i="13"/>
  <c r="G1761" i="13" s="1"/>
  <c r="F1762" i="13"/>
  <c r="G1762" i="13" s="1"/>
  <c r="F1763" i="13"/>
  <c r="G1763" i="13" s="1"/>
  <c r="F1764" i="13"/>
  <c r="G1764" i="13" s="1"/>
  <c r="F1765" i="13"/>
  <c r="G1765" i="13" s="1"/>
  <c r="F1766" i="13"/>
  <c r="G1766" i="13" s="1"/>
  <c r="F1767" i="13"/>
  <c r="G1767" i="13" s="1"/>
  <c r="F1768" i="13"/>
  <c r="G1768" i="13" s="1"/>
  <c r="F1769" i="13"/>
  <c r="G1769" i="13" s="1"/>
  <c r="F1770" i="13"/>
  <c r="G1770" i="13" s="1"/>
  <c r="F1771" i="13"/>
  <c r="G1771" i="13" s="1"/>
  <c r="F1772" i="13"/>
  <c r="G1772" i="13" s="1"/>
  <c r="F1773" i="13"/>
  <c r="G1773" i="13" s="1"/>
  <c r="F1774" i="13"/>
  <c r="G1774" i="13" s="1"/>
  <c r="F1775" i="13"/>
  <c r="G1775" i="13" s="1"/>
  <c r="F1776" i="13"/>
  <c r="G1776" i="13" s="1"/>
  <c r="F1777" i="13"/>
  <c r="G1777" i="13" s="1"/>
  <c r="F1778" i="13"/>
  <c r="G1778" i="13" s="1"/>
  <c r="F1779" i="13"/>
  <c r="G1779" i="13" s="1"/>
  <c r="F1780" i="13"/>
  <c r="G1780" i="13" s="1"/>
  <c r="F1781" i="13"/>
  <c r="G1781" i="13" s="1"/>
  <c r="F1782" i="13"/>
  <c r="G1782" i="13" s="1"/>
  <c r="F1783" i="13"/>
  <c r="G1783" i="13" s="1"/>
  <c r="F1784" i="13"/>
  <c r="G1784" i="13" s="1"/>
  <c r="F1785" i="13"/>
  <c r="G1785" i="13" s="1"/>
  <c r="F1786" i="13"/>
  <c r="G1786" i="13" s="1"/>
  <c r="F1787" i="13"/>
  <c r="G1787" i="13" s="1"/>
  <c r="F1788" i="13"/>
  <c r="G1788" i="13" s="1"/>
  <c r="F1789" i="13"/>
  <c r="G1789" i="13" s="1"/>
  <c r="F1790" i="13"/>
  <c r="G1790" i="13" s="1"/>
  <c r="F1791" i="13"/>
  <c r="G1791" i="13" s="1"/>
  <c r="F1792" i="13"/>
  <c r="G1792" i="13" s="1"/>
  <c r="F1793" i="13"/>
  <c r="G1793" i="13" s="1"/>
  <c r="F1794" i="13"/>
  <c r="G1794" i="13" s="1"/>
  <c r="F1795" i="13"/>
  <c r="G1795" i="13" s="1"/>
  <c r="F1796" i="13"/>
  <c r="G1796" i="13" s="1"/>
  <c r="F1797" i="13"/>
  <c r="G1797" i="13" s="1"/>
  <c r="F1798" i="13"/>
  <c r="G1798" i="13" s="1"/>
  <c r="F1799" i="13"/>
  <c r="G1799" i="13" s="1"/>
  <c r="F1800" i="13"/>
  <c r="G1800" i="13" s="1"/>
  <c r="F1801" i="13"/>
  <c r="G1801" i="13" s="1"/>
  <c r="F1802" i="13"/>
  <c r="G1802" i="13" s="1"/>
  <c r="F1803" i="13"/>
  <c r="G1803" i="13" s="1"/>
  <c r="F1804" i="13"/>
  <c r="G1804" i="13" s="1"/>
  <c r="F1805" i="13"/>
  <c r="G1805" i="13" s="1"/>
  <c r="F1806" i="13"/>
  <c r="G1806" i="13" s="1"/>
  <c r="F1807" i="13"/>
  <c r="G1807" i="13" s="1"/>
  <c r="F1808" i="13"/>
  <c r="G1808" i="13" s="1"/>
  <c r="F1809" i="13"/>
  <c r="G1809" i="13" s="1"/>
  <c r="F1810" i="13"/>
  <c r="G1810" i="13" s="1"/>
  <c r="F1811" i="13"/>
  <c r="G1811" i="13" s="1"/>
  <c r="F1812" i="13"/>
  <c r="G1812" i="13" s="1"/>
  <c r="F1813" i="13"/>
  <c r="G1813" i="13" s="1"/>
  <c r="F1814" i="13"/>
  <c r="G1814" i="13" s="1"/>
  <c r="F1815" i="13"/>
  <c r="G1815" i="13" s="1"/>
  <c r="F1816" i="13"/>
  <c r="G1816" i="13" s="1"/>
  <c r="F1817" i="13"/>
  <c r="G1817" i="13" s="1"/>
  <c r="F1818" i="13"/>
  <c r="G1818" i="13" s="1"/>
  <c r="F1819" i="13"/>
  <c r="G1819" i="13" s="1"/>
  <c r="F1820" i="13"/>
  <c r="G1820" i="13" s="1"/>
  <c r="F1821" i="13"/>
  <c r="G1821" i="13" s="1"/>
  <c r="F1822" i="13"/>
  <c r="G1822" i="13" s="1"/>
  <c r="F1823" i="13"/>
  <c r="G1823" i="13" s="1"/>
  <c r="F1824" i="13"/>
  <c r="G1824" i="13" s="1"/>
  <c r="F1825" i="13"/>
  <c r="G1825" i="13" s="1"/>
  <c r="F1826" i="13"/>
  <c r="G1826" i="13" s="1"/>
  <c r="F1827" i="13"/>
  <c r="G1827" i="13" s="1"/>
  <c r="F1828" i="13"/>
  <c r="G1828" i="13" s="1"/>
  <c r="F1829" i="13"/>
  <c r="G1829" i="13" s="1"/>
  <c r="F1830" i="13"/>
  <c r="G1830" i="13" s="1"/>
  <c r="F1831" i="13"/>
  <c r="G1831" i="13" s="1"/>
  <c r="F1832" i="13"/>
  <c r="G1832" i="13" s="1"/>
  <c r="F1833" i="13"/>
  <c r="G1833" i="13" s="1"/>
  <c r="F1834" i="13"/>
  <c r="G1834" i="13" s="1"/>
  <c r="F1835" i="13"/>
  <c r="G1835" i="13" s="1"/>
  <c r="F1836" i="13"/>
  <c r="G1836" i="13" s="1"/>
  <c r="F1837" i="13"/>
  <c r="G1837" i="13" s="1"/>
  <c r="F1838" i="13"/>
  <c r="G1838" i="13" s="1"/>
  <c r="F1839" i="13"/>
  <c r="G1839" i="13" s="1"/>
  <c r="F1840" i="13"/>
  <c r="G1840" i="13" s="1"/>
  <c r="F1841" i="13"/>
  <c r="G1841" i="13" s="1"/>
  <c r="F1842" i="13"/>
  <c r="G1842" i="13" s="1"/>
  <c r="F1843" i="13"/>
  <c r="G1843" i="13" s="1"/>
  <c r="F1844" i="13"/>
  <c r="G1844" i="13" s="1"/>
  <c r="F1845" i="13"/>
  <c r="G1845" i="13" s="1"/>
  <c r="F1846" i="13"/>
  <c r="G1846" i="13" s="1"/>
  <c r="F1847" i="13"/>
  <c r="G1847" i="13" s="1"/>
  <c r="F1848" i="13"/>
  <c r="G1848" i="13" s="1"/>
  <c r="F1849" i="13"/>
  <c r="G1849" i="13" s="1"/>
  <c r="F1850" i="13"/>
  <c r="G1850" i="13" s="1"/>
  <c r="F1851" i="13"/>
  <c r="G1851" i="13" s="1"/>
  <c r="F1852" i="13"/>
  <c r="G1852" i="13" s="1"/>
  <c r="F1853" i="13"/>
  <c r="G1853" i="13" s="1"/>
  <c r="F1854" i="13"/>
  <c r="G1854" i="13" s="1"/>
  <c r="F1855" i="13"/>
  <c r="G1855" i="13" s="1"/>
  <c r="F1856" i="13"/>
  <c r="G1856" i="13" s="1"/>
  <c r="F1857" i="13"/>
  <c r="G1857" i="13" s="1"/>
  <c r="F1858" i="13"/>
  <c r="G1858" i="13" s="1"/>
  <c r="F1859" i="13"/>
  <c r="G1859" i="13" s="1"/>
  <c r="F1860" i="13"/>
  <c r="G1860" i="13" s="1"/>
  <c r="F1861" i="13"/>
  <c r="G1861" i="13" s="1"/>
  <c r="F1862" i="13"/>
  <c r="G1862" i="13" s="1"/>
  <c r="F1863" i="13"/>
  <c r="G1863" i="13" s="1"/>
  <c r="F1864" i="13"/>
  <c r="G1864" i="13" s="1"/>
  <c r="F1865" i="13"/>
  <c r="G1865" i="13" s="1"/>
  <c r="F1866" i="13"/>
  <c r="G1866" i="13" s="1"/>
  <c r="F1867" i="13"/>
  <c r="G1867" i="13" s="1"/>
  <c r="F1868" i="13"/>
  <c r="G1868" i="13" s="1"/>
  <c r="F1869" i="13"/>
  <c r="G1869" i="13" s="1"/>
  <c r="F1870" i="13"/>
  <c r="G1870" i="13" s="1"/>
  <c r="F1871" i="13"/>
  <c r="G1871" i="13" s="1"/>
  <c r="F1872" i="13"/>
  <c r="G1872" i="13" s="1"/>
  <c r="F1873" i="13"/>
  <c r="G1873" i="13" s="1"/>
  <c r="F1874" i="13"/>
  <c r="G1874" i="13" s="1"/>
  <c r="F1875" i="13"/>
  <c r="G1875" i="13" s="1"/>
  <c r="F1876" i="13"/>
  <c r="G1876" i="13" s="1"/>
  <c r="F1877" i="13"/>
  <c r="G1877" i="13" s="1"/>
  <c r="F1878" i="13"/>
  <c r="G1878" i="13" s="1"/>
  <c r="F1879" i="13"/>
  <c r="G1879" i="13" s="1"/>
  <c r="F1880" i="13"/>
  <c r="G1880" i="13" s="1"/>
  <c r="F1881" i="13"/>
  <c r="G1881" i="13" s="1"/>
  <c r="F1882" i="13"/>
  <c r="G1882" i="13" s="1"/>
  <c r="F1883" i="13"/>
  <c r="G1883" i="13" s="1"/>
  <c r="F1884" i="13"/>
  <c r="G1884" i="13" s="1"/>
  <c r="F1885" i="13"/>
  <c r="G1885" i="13" s="1"/>
  <c r="F1886" i="13"/>
  <c r="G1886" i="13" s="1"/>
  <c r="F1887" i="13"/>
  <c r="G1887" i="13" s="1"/>
  <c r="F1888" i="13"/>
  <c r="G1888" i="13" s="1"/>
  <c r="F1889" i="13"/>
  <c r="G1889" i="13" s="1"/>
  <c r="F1890" i="13"/>
  <c r="G1890" i="13" s="1"/>
  <c r="F1891" i="13"/>
  <c r="G1891" i="13" s="1"/>
  <c r="F1892" i="13"/>
  <c r="G1892" i="13" s="1"/>
  <c r="F1893" i="13"/>
  <c r="G1893" i="13" s="1"/>
  <c r="F1894" i="13"/>
  <c r="G1894" i="13" s="1"/>
  <c r="F1895" i="13"/>
  <c r="G1895" i="13" s="1"/>
  <c r="F1896" i="13"/>
  <c r="G1896" i="13" s="1"/>
  <c r="F1897" i="13"/>
  <c r="G1897" i="13" s="1"/>
  <c r="F1898" i="13"/>
  <c r="G1898" i="13" s="1"/>
  <c r="F1899" i="13"/>
  <c r="G1899" i="13" s="1"/>
  <c r="F1900" i="13"/>
  <c r="G1900" i="13" s="1"/>
  <c r="F1901" i="13"/>
  <c r="G1901" i="13" s="1"/>
  <c r="F1902" i="13"/>
  <c r="G1902" i="13" s="1"/>
  <c r="F1903" i="13"/>
  <c r="G1903" i="13" s="1"/>
  <c r="F1904" i="13"/>
  <c r="G1904" i="13" s="1"/>
  <c r="F1905" i="13"/>
  <c r="G1905" i="13" s="1"/>
  <c r="F1906" i="13"/>
  <c r="G1906" i="13" s="1"/>
  <c r="F1907" i="13"/>
  <c r="G1907" i="13" s="1"/>
  <c r="F1908" i="13"/>
  <c r="G1908" i="13" s="1"/>
  <c r="F1909" i="13"/>
  <c r="G1909" i="13" s="1"/>
  <c r="F1910" i="13"/>
  <c r="G1910" i="13" s="1"/>
  <c r="F1911" i="13"/>
  <c r="G1911" i="13" s="1"/>
  <c r="F1912" i="13"/>
  <c r="G1912" i="13" s="1"/>
  <c r="F1913" i="13"/>
  <c r="G1913" i="13" s="1"/>
  <c r="F1914" i="13"/>
  <c r="G1914" i="13" s="1"/>
  <c r="F1915" i="13"/>
  <c r="G1915" i="13" s="1"/>
  <c r="F1916" i="13"/>
  <c r="G1916" i="13" s="1"/>
  <c r="F1917" i="13"/>
  <c r="G1917" i="13" s="1"/>
  <c r="F1918" i="13"/>
  <c r="G1918" i="13" s="1"/>
  <c r="F1919" i="13"/>
  <c r="G1919" i="13" s="1"/>
  <c r="F1920" i="13"/>
  <c r="G1920" i="13" s="1"/>
  <c r="F1921" i="13"/>
  <c r="G1921" i="13" s="1"/>
  <c r="F1922" i="13"/>
  <c r="G1922" i="13" s="1"/>
  <c r="F1923" i="13"/>
  <c r="G1923" i="13" s="1"/>
  <c r="F1924" i="13"/>
  <c r="G1924" i="13" s="1"/>
  <c r="F1925" i="13"/>
  <c r="G1925" i="13" s="1"/>
  <c r="F1926" i="13"/>
  <c r="G1926" i="13" s="1"/>
  <c r="F1927" i="13"/>
  <c r="G1927" i="13" s="1"/>
  <c r="F1928" i="13"/>
  <c r="G1928" i="13" s="1"/>
  <c r="F1929" i="13"/>
  <c r="G1929" i="13" s="1"/>
  <c r="F1930" i="13"/>
  <c r="G1930" i="13" s="1"/>
  <c r="F1931" i="13"/>
  <c r="G1931" i="13" s="1"/>
  <c r="F1932" i="13"/>
  <c r="G1932" i="13" s="1"/>
  <c r="F1933" i="13"/>
  <c r="G1933" i="13" s="1"/>
  <c r="F1934" i="13"/>
  <c r="G1934" i="13" s="1"/>
  <c r="F1935" i="13"/>
  <c r="G1935" i="13" s="1"/>
  <c r="F1936" i="13"/>
  <c r="G1936" i="13" s="1"/>
  <c r="F1937" i="13"/>
  <c r="G1937" i="13" s="1"/>
  <c r="F1938" i="13"/>
  <c r="G1938" i="13" s="1"/>
  <c r="F1939" i="13"/>
  <c r="G1939" i="13" s="1"/>
  <c r="F1940" i="13"/>
  <c r="G1940" i="13" s="1"/>
  <c r="F1941" i="13"/>
  <c r="G1941" i="13" s="1"/>
  <c r="F1942" i="13"/>
  <c r="G1942" i="13" s="1"/>
  <c r="F1943" i="13"/>
  <c r="G1943" i="13" s="1"/>
  <c r="F1944" i="13"/>
  <c r="G1944" i="13" s="1"/>
  <c r="F1945" i="13"/>
  <c r="G1945" i="13" s="1"/>
  <c r="F1946" i="13"/>
  <c r="G1946" i="13" s="1"/>
  <c r="F1947" i="13"/>
  <c r="G1947" i="13" s="1"/>
  <c r="F1948" i="13"/>
  <c r="G1948" i="13" s="1"/>
  <c r="F1949" i="13"/>
  <c r="G1949" i="13" s="1"/>
  <c r="F1950" i="13"/>
  <c r="G1950" i="13" s="1"/>
  <c r="F1951" i="13"/>
  <c r="G1951" i="13" s="1"/>
  <c r="F1952" i="13"/>
  <c r="G1952" i="13" s="1"/>
  <c r="F1953" i="13"/>
  <c r="G1953" i="13" s="1"/>
  <c r="F1954" i="13"/>
  <c r="G1954" i="13" s="1"/>
  <c r="F1955" i="13"/>
  <c r="G1955" i="13" s="1"/>
  <c r="F1956" i="13"/>
  <c r="G1956" i="13" s="1"/>
  <c r="F1957" i="13"/>
  <c r="G1957" i="13" s="1"/>
  <c r="F1958" i="13"/>
  <c r="G1958" i="13" s="1"/>
  <c r="F1959" i="13"/>
  <c r="G1959" i="13" s="1"/>
  <c r="F1960" i="13"/>
  <c r="G1960" i="13" s="1"/>
  <c r="F1961" i="13"/>
  <c r="G1961" i="13" s="1"/>
  <c r="F1962" i="13"/>
  <c r="G1962" i="13" s="1"/>
  <c r="F1963" i="13"/>
  <c r="G1963" i="13" s="1"/>
  <c r="F1964" i="13"/>
  <c r="G1964" i="13" s="1"/>
  <c r="F1965" i="13"/>
  <c r="G1965" i="13" s="1"/>
  <c r="F1966" i="13"/>
  <c r="G1966" i="13" s="1"/>
  <c r="F1967" i="13"/>
  <c r="G1967" i="13" s="1"/>
  <c r="F1968" i="13"/>
  <c r="G1968" i="13" s="1"/>
  <c r="F1969" i="13"/>
  <c r="G1969" i="13" s="1"/>
  <c r="F1970" i="13"/>
  <c r="G1970" i="13" s="1"/>
  <c r="F1971" i="13"/>
  <c r="G1971" i="13" s="1"/>
  <c r="F1972" i="13"/>
  <c r="G1972" i="13" s="1"/>
  <c r="F1973" i="13"/>
  <c r="G1973" i="13" s="1"/>
  <c r="F1974" i="13"/>
  <c r="G1974" i="13" s="1"/>
  <c r="F1975" i="13"/>
  <c r="G1975" i="13" s="1"/>
  <c r="F1976" i="13"/>
  <c r="G1976" i="13" s="1"/>
  <c r="F1977" i="13"/>
  <c r="G1977" i="13" s="1"/>
  <c r="F1978" i="13"/>
  <c r="G1978" i="13" s="1"/>
  <c r="F1979" i="13"/>
  <c r="G1979" i="13" s="1"/>
  <c r="F1980" i="13"/>
  <c r="G1980" i="13" s="1"/>
  <c r="F1981" i="13"/>
  <c r="G1981" i="13" s="1"/>
  <c r="F1982" i="13"/>
  <c r="G1982" i="13" s="1"/>
  <c r="F1983" i="13"/>
  <c r="G1983" i="13" s="1"/>
  <c r="F1984" i="13"/>
  <c r="G1984" i="13" s="1"/>
  <c r="F1985" i="13"/>
  <c r="G1985" i="13" s="1"/>
  <c r="F1986" i="13"/>
  <c r="G1986" i="13" s="1"/>
  <c r="F1987" i="13"/>
  <c r="G1987" i="13" s="1"/>
  <c r="F1988" i="13"/>
  <c r="G1988" i="13" s="1"/>
  <c r="F1989" i="13"/>
  <c r="G1989" i="13" s="1"/>
  <c r="F1990" i="13"/>
  <c r="G1990" i="13" s="1"/>
  <c r="F1991" i="13"/>
  <c r="G1991" i="13" s="1"/>
  <c r="F1992" i="13"/>
  <c r="G1992" i="13" s="1"/>
  <c r="F1993" i="13"/>
  <c r="G1993" i="13" s="1"/>
  <c r="F1994" i="13"/>
  <c r="G1994" i="13" s="1"/>
  <c r="F1995" i="13"/>
  <c r="G1995" i="13" s="1"/>
  <c r="F1996" i="13"/>
  <c r="G1996" i="13" s="1"/>
  <c r="F1997" i="13"/>
  <c r="G1997" i="13" s="1"/>
  <c r="F1998" i="13"/>
  <c r="G1998" i="13" s="1"/>
  <c r="F1999" i="13"/>
  <c r="G1999" i="13" s="1"/>
  <c r="F2000" i="13"/>
  <c r="G2000" i="13" s="1"/>
  <c r="F2001" i="13"/>
  <c r="G2001" i="13" s="1"/>
  <c r="F2002" i="13"/>
  <c r="G2002" i="13" s="1"/>
  <c r="F2003" i="13"/>
  <c r="G2003" i="13" s="1"/>
  <c r="F2004" i="13"/>
  <c r="G2004" i="13" s="1"/>
  <c r="F2005" i="13"/>
  <c r="G2005" i="13" s="1"/>
  <c r="F2006" i="13"/>
  <c r="G2006" i="13" s="1"/>
  <c r="F2007" i="13"/>
  <c r="G2007" i="13" s="1"/>
  <c r="F2008" i="13"/>
  <c r="G2008" i="13" s="1"/>
  <c r="F2009" i="13"/>
  <c r="G2009" i="13" s="1"/>
  <c r="F2010" i="13"/>
  <c r="G2010" i="13" s="1"/>
  <c r="F2011" i="13"/>
  <c r="G2011" i="13" s="1"/>
  <c r="F2012" i="13"/>
  <c r="G2012" i="13" s="1"/>
  <c r="F2013" i="13"/>
  <c r="G2013" i="13" s="1"/>
  <c r="F2014" i="13"/>
  <c r="G2014" i="13" s="1"/>
  <c r="F2015" i="13"/>
  <c r="G2015" i="13" s="1"/>
  <c r="F2016" i="13"/>
  <c r="G2016" i="13" s="1"/>
  <c r="F2017" i="13"/>
  <c r="G2017" i="13" s="1"/>
  <c r="F2018" i="13"/>
  <c r="G2018" i="13" s="1"/>
  <c r="F2019" i="13"/>
  <c r="G2019" i="13" s="1"/>
  <c r="F2020" i="13"/>
  <c r="G2020" i="13" s="1"/>
  <c r="F2021" i="13"/>
  <c r="G2021" i="13" s="1"/>
  <c r="F2022" i="13"/>
  <c r="G2022" i="13" s="1"/>
  <c r="F2023" i="13"/>
  <c r="G2023" i="13" s="1"/>
  <c r="F2024" i="13"/>
  <c r="G2024" i="13" s="1"/>
  <c r="F2025" i="13"/>
  <c r="G2025" i="13" s="1"/>
  <c r="F2026" i="13"/>
  <c r="G2026" i="13" s="1"/>
  <c r="F2027" i="13"/>
  <c r="G2027" i="13" s="1"/>
  <c r="F2028" i="13"/>
  <c r="G2028" i="13" s="1"/>
  <c r="F2029" i="13"/>
  <c r="G2029" i="13" s="1"/>
  <c r="F2030" i="13"/>
  <c r="G2030" i="13" s="1"/>
  <c r="F2031" i="13"/>
  <c r="G2031" i="13" s="1"/>
  <c r="F2032" i="13"/>
  <c r="G2032" i="13" s="1"/>
  <c r="F2033" i="13"/>
  <c r="G2033" i="13" s="1"/>
  <c r="F2034" i="13"/>
  <c r="G2034" i="13" s="1"/>
  <c r="F2035" i="13"/>
  <c r="G2035" i="13" s="1"/>
  <c r="F2036" i="13"/>
  <c r="G2036" i="13" s="1"/>
  <c r="F2037" i="13"/>
  <c r="G2037" i="13" s="1"/>
  <c r="F2038" i="13"/>
  <c r="G2038" i="13" s="1"/>
  <c r="F2039" i="13"/>
  <c r="G2039" i="13" s="1"/>
  <c r="F2040" i="13"/>
  <c r="G2040" i="13" s="1"/>
  <c r="F2041" i="13"/>
  <c r="G2041" i="13" s="1"/>
  <c r="F2042" i="13"/>
  <c r="G2042" i="13" s="1"/>
  <c r="F2043" i="13"/>
  <c r="G2043" i="13" s="1"/>
  <c r="F2044" i="13"/>
  <c r="G2044" i="13" s="1"/>
  <c r="F2045" i="13"/>
  <c r="G2045" i="13" s="1"/>
  <c r="F2046" i="13"/>
  <c r="G2046" i="13" s="1"/>
  <c r="F2047" i="13"/>
  <c r="G2047" i="13" s="1"/>
  <c r="F2048" i="13"/>
  <c r="G2048" i="13" s="1"/>
  <c r="F2049" i="13"/>
  <c r="G2049" i="13" s="1"/>
  <c r="F2050" i="13"/>
  <c r="G2050" i="13" s="1"/>
  <c r="F2051" i="13"/>
  <c r="G2051" i="13" s="1"/>
  <c r="F2052" i="13"/>
  <c r="G2052" i="13" s="1"/>
  <c r="F2053" i="13"/>
  <c r="G2053" i="13" s="1"/>
  <c r="F2054" i="13"/>
  <c r="G2054" i="13" s="1"/>
  <c r="F2055" i="13"/>
  <c r="G2055" i="13" s="1"/>
  <c r="F2056" i="13"/>
  <c r="G2056" i="13" s="1"/>
  <c r="F2057" i="13"/>
  <c r="G2057" i="13" s="1"/>
  <c r="F2058" i="13"/>
  <c r="G2058" i="13" s="1"/>
  <c r="F2059" i="13"/>
  <c r="G2059" i="13" s="1"/>
  <c r="F2060" i="13"/>
  <c r="G2060" i="13" s="1"/>
  <c r="F2061" i="13"/>
  <c r="G2061" i="13" s="1"/>
  <c r="F2062" i="13"/>
  <c r="G2062" i="13" s="1"/>
  <c r="F2063" i="13"/>
  <c r="G2063" i="13" s="1"/>
  <c r="F2064" i="13"/>
  <c r="G2064" i="13" s="1"/>
  <c r="F2065" i="13"/>
  <c r="G2065" i="13" s="1"/>
  <c r="F2066" i="13"/>
  <c r="G2066" i="13" s="1"/>
  <c r="F2067" i="13"/>
  <c r="G2067" i="13" s="1"/>
  <c r="F2068" i="13"/>
  <c r="G2068" i="13" s="1"/>
  <c r="F2069" i="13"/>
  <c r="G2069" i="13" s="1"/>
  <c r="F2070" i="13"/>
  <c r="G2070" i="13" s="1"/>
  <c r="F2071" i="13"/>
  <c r="G2071" i="13" s="1"/>
  <c r="F2072" i="13"/>
  <c r="G2072" i="13" s="1"/>
  <c r="F2073" i="13"/>
  <c r="G2073" i="13" s="1"/>
  <c r="F2074" i="13"/>
  <c r="G2074" i="13" s="1"/>
  <c r="F2075" i="13"/>
  <c r="G2075" i="13" s="1"/>
  <c r="F2076" i="13"/>
  <c r="G2076" i="13" s="1"/>
  <c r="F2077" i="13"/>
  <c r="G2077" i="13" s="1"/>
  <c r="F2078" i="13"/>
  <c r="G2078" i="13" s="1"/>
  <c r="F2079" i="13"/>
  <c r="G2079" i="13" s="1"/>
  <c r="F2080" i="13"/>
  <c r="G2080" i="13" s="1"/>
  <c r="F2081" i="13"/>
  <c r="G2081" i="13" s="1"/>
  <c r="F2082" i="13"/>
  <c r="G2082" i="13" s="1"/>
  <c r="F2083" i="13"/>
  <c r="G2083" i="13" s="1"/>
  <c r="F2084" i="13"/>
  <c r="G2084" i="13" s="1"/>
  <c r="F2085" i="13"/>
  <c r="G2085" i="13" s="1"/>
  <c r="F2086" i="13"/>
  <c r="G2086" i="13" s="1"/>
  <c r="F2087" i="13"/>
  <c r="G2087" i="13" s="1"/>
  <c r="F2088" i="13"/>
  <c r="G2088" i="13" s="1"/>
  <c r="F2089" i="13"/>
  <c r="G2089" i="13" s="1"/>
  <c r="F2090" i="13"/>
  <c r="G2090" i="13" s="1"/>
  <c r="F2091" i="13"/>
  <c r="G2091" i="13" s="1"/>
  <c r="F2092" i="13"/>
  <c r="G2092" i="13" s="1"/>
  <c r="F2093" i="13"/>
  <c r="G2093" i="13" s="1"/>
  <c r="F2094" i="13"/>
  <c r="G2094" i="13" s="1"/>
  <c r="F2095" i="13"/>
  <c r="G2095" i="13" s="1"/>
  <c r="F2096" i="13"/>
  <c r="G2096" i="13" s="1"/>
  <c r="F2097" i="13"/>
  <c r="G2097" i="13" s="1"/>
  <c r="F2098" i="13"/>
  <c r="G2098" i="13" s="1"/>
  <c r="F2099" i="13"/>
  <c r="G2099" i="13" s="1"/>
  <c r="F2100" i="13"/>
  <c r="G2100" i="13" s="1"/>
  <c r="F2101" i="13"/>
  <c r="G2101" i="13" s="1"/>
  <c r="F2102" i="13"/>
  <c r="G2102" i="13" s="1"/>
  <c r="F2103" i="13"/>
  <c r="G2103" i="13" s="1"/>
  <c r="F2104" i="13"/>
  <c r="G2104" i="13" s="1"/>
  <c r="F2105" i="13"/>
  <c r="G2105" i="13" s="1"/>
  <c r="F2106" i="13"/>
  <c r="G2106" i="13" s="1"/>
  <c r="F2107" i="13"/>
  <c r="G2107" i="13" s="1"/>
  <c r="F2108" i="13"/>
  <c r="G2108" i="13" s="1"/>
  <c r="F2109" i="13"/>
  <c r="G2109" i="13" s="1"/>
  <c r="F2110" i="13"/>
  <c r="G2110" i="13" s="1"/>
  <c r="F2111" i="13"/>
  <c r="G2111" i="13" s="1"/>
  <c r="F2112" i="13"/>
  <c r="G2112" i="13" s="1"/>
  <c r="F2113" i="13"/>
  <c r="G2113" i="13" s="1"/>
  <c r="F2114" i="13"/>
  <c r="G2114" i="13" s="1"/>
  <c r="F2115" i="13"/>
  <c r="G2115" i="13" s="1"/>
  <c r="F2116" i="13"/>
  <c r="G2116" i="13" s="1"/>
  <c r="F2117" i="13"/>
  <c r="G2117" i="13" s="1"/>
  <c r="F2118" i="13"/>
  <c r="G2118" i="13" s="1"/>
  <c r="F2119" i="13"/>
  <c r="G2119" i="13" s="1"/>
  <c r="F2120" i="13"/>
  <c r="G2120" i="13" s="1"/>
  <c r="F2121" i="13"/>
  <c r="G2121" i="13" s="1"/>
  <c r="F2122" i="13"/>
  <c r="G2122" i="13" s="1"/>
  <c r="F2123" i="13"/>
  <c r="G2123" i="13" s="1"/>
  <c r="F2124" i="13"/>
  <c r="G2124" i="13" s="1"/>
  <c r="F2125" i="13"/>
  <c r="G2125" i="13" s="1"/>
  <c r="F2126" i="13"/>
  <c r="G2126" i="13" s="1"/>
  <c r="F2127" i="13"/>
  <c r="G2127" i="13" s="1"/>
  <c r="F2128" i="13"/>
  <c r="G2128" i="13" s="1"/>
  <c r="F2129" i="13"/>
  <c r="G2129" i="13" s="1"/>
  <c r="F2130" i="13"/>
  <c r="G2130" i="13" s="1"/>
  <c r="F2131" i="13"/>
  <c r="G2131" i="13" s="1"/>
  <c r="F2132" i="13"/>
  <c r="G2132" i="13" s="1"/>
  <c r="F2133" i="13"/>
  <c r="G2133" i="13" s="1"/>
  <c r="F2134" i="13"/>
  <c r="G2134" i="13" s="1"/>
  <c r="F2135" i="13"/>
  <c r="G2135" i="13" s="1"/>
  <c r="F2136" i="13"/>
  <c r="G2136" i="13" s="1"/>
  <c r="F2137" i="13"/>
  <c r="G2137" i="13" s="1"/>
  <c r="F2138" i="13"/>
  <c r="G2138" i="13" s="1"/>
  <c r="F2139" i="13"/>
  <c r="G2139" i="13" s="1"/>
  <c r="F2140" i="13"/>
  <c r="G2140" i="13" s="1"/>
  <c r="F2141" i="13"/>
  <c r="G2141" i="13" s="1"/>
  <c r="F2142" i="13"/>
  <c r="G2142" i="13" s="1"/>
  <c r="F2143" i="13"/>
  <c r="G2143" i="13" s="1"/>
  <c r="F2144" i="13"/>
  <c r="G2144" i="13" s="1"/>
  <c r="F2145" i="13"/>
  <c r="G2145" i="13" s="1"/>
  <c r="F2146" i="13"/>
  <c r="G2146" i="13" s="1"/>
  <c r="F2147" i="13"/>
  <c r="G2147" i="13" s="1"/>
  <c r="F2148" i="13"/>
  <c r="G2148" i="13" s="1"/>
  <c r="F2149" i="13"/>
  <c r="G2149" i="13" s="1"/>
  <c r="F2150" i="13"/>
  <c r="G2150" i="13" s="1"/>
  <c r="F2151" i="13"/>
  <c r="G2151" i="13" s="1"/>
  <c r="F2152" i="13"/>
  <c r="G2152" i="13" s="1"/>
  <c r="F2153" i="13"/>
  <c r="G2153" i="13" s="1"/>
  <c r="F2154" i="13"/>
  <c r="G2154" i="13" s="1"/>
  <c r="F2155" i="13"/>
  <c r="G2155" i="13" s="1"/>
  <c r="F2156" i="13"/>
  <c r="G2156" i="13" s="1"/>
  <c r="F2157" i="13"/>
  <c r="G2157" i="13" s="1"/>
  <c r="F2158" i="13"/>
  <c r="G2158" i="13" s="1"/>
  <c r="F2159" i="13"/>
  <c r="G2159" i="13" s="1"/>
  <c r="F2160" i="13"/>
  <c r="G2160" i="13" s="1"/>
  <c r="F2161" i="13"/>
  <c r="G2161" i="13" s="1"/>
  <c r="F2162" i="13"/>
  <c r="G2162" i="13" s="1"/>
  <c r="F2163" i="13"/>
  <c r="G2163" i="13" s="1"/>
  <c r="F2164" i="13"/>
  <c r="G2164" i="13" s="1"/>
  <c r="F2165" i="13"/>
  <c r="G2165" i="13" s="1"/>
  <c r="F2166" i="13"/>
  <c r="G2166" i="13" s="1"/>
  <c r="F2167" i="13"/>
  <c r="G2167" i="13" s="1"/>
  <c r="F2168" i="13"/>
  <c r="G2168" i="13" s="1"/>
  <c r="F2169" i="13"/>
  <c r="G2169" i="13" s="1"/>
  <c r="F2170" i="13"/>
  <c r="G2170" i="13" s="1"/>
  <c r="F2171" i="13"/>
  <c r="G2171" i="13" s="1"/>
  <c r="F2172" i="13"/>
  <c r="G2172" i="13" s="1"/>
  <c r="F2173" i="13"/>
  <c r="G2173" i="13" s="1"/>
  <c r="F2174" i="13"/>
  <c r="G2174" i="13" s="1"/>
  <c r="F2175" i="13"/>
  <c r="G2175" i="13" s="1"/>
  <c r="F2176" i="13"/>
  <c r="G2176" i="13" s="1"/>
  <c r="F2177" i="13"/>
  <c r="G2177" i="13" s="1"/>
  <c r="F2178" i="13"/>
  <c r="G2178" i="13" s="1"/>
  <c r="F2179" i="13"/>
  <c r="G2179" i="13" s="1"/>
  <c r="F2180" i="13"/>
  <c r="G2180" i="13" s="1"/>
  <c r="F2181" i="13"/>
  <c r="G2181" i="13" s="1"/>
  <c r="F2182" i="13"/>
  <c r="G2182" i="13" s="1"/>
  <c r="F2183" i="13"/>
  <c r="G2183" i="13" s="1"/>
  <c r="F2184" i="13"/>
  <c r="G2184" i="13" s="1"/>
  <c r="F2185" i="13"/>
  <c r="G2185" i="13" s="1"/>
  <c r="F2186" i="13"/>
  <c r="G2186" i="13" s="1"/>
  <c r="F2187" i="13"/>
  <c r="G2187" i="13" s="1"/>
  <c r="F2188" i="13"/>
  <c r="G2188" i="13" s="1"/>
  <c r="F2189" i="13"/>
  <c r="G2189" i="13" s="1"/>
  <c r="F2190" i="13"/>
  <c r="G2190" i="13" s="1"/>
  <c r="F2191" i="13"/>
  <c r="G2191" i="13" s="1"/>
  <c r="F2192" i="13"/>
  <c r="G2192" i="13" s="1"/>
  <c r="F2193" i="13"/>
  <c r="G2193" i="13" s="1"/>
  <c r="F2194" i="13"/>
  <c r="G2194" i="13" s="1"/>
  <c r="F2195" i="13"/>
  <c r="G2195" i="13" s="1"/>
  <c r="F2196" i="13"/>
  <c r="G2196" i="13" s="1"/>
  <c r="F2197" i="13"/>
  <c r="G2197" i="13" s="1"/>
  <c r="F2198" i="13"/>
  <c r="G2198" i="13" s="1"/>
  <c r="F2199" i="13"/>
  <c r="G2199" i="13" s="1"/>
  <c r="F2200" i="13"/>
  <c r="G2200" i="13" s="1"/>
  <c r="F2201" i="13"/>
  <c r="G2201" i="13" s="1"/>
  <c r="F2202" i="13"/>
  <c r="G2202" i="13" s="1"/>
  <c r="F2203" i="13"/>
  <c r="G2203" i="13" s="1"/>
  <c r="F2204" i="13"/>
  <c r="G2204" i="13" s="1"/>
  <c r="F2205" i="13"/>
  <c r="G2205" i="13" s="1"/>
  <c r="F2206" i="13"/>
  <c r="G2206" i="13" s="1"/>
  <c r="F2207" i="13"/>
  <c r="G2207" i="13" s="1"/>
  <c r="F2208" i="13"/>
  <c r="G2208" i="13" s="1"/>
  <c r="F2209" i="13"/>
  <c r="G2209" i="13" s="1"/>
  <c r="F2210" i="13"/>
  <c r="G2210" i="13" s="1"/>
  <c r="F2211" i="13"/>
  <c r="G2211" i="13" s="1"/>
  <c r="F2212" i="13"/>
  <c r="G2212" i="13" s="1"/>
  <c r="F2213" i="13"/>
  <c r="G2213" i="13" s="1"/>
  <c r="F2214" i="13"/>
  <c r="G2214" i="13" s="1"/>
  <c r="F2215" i="13"/>
  <c r="G2215" i="13" s="1"/>
  <c r="F2216" i="13"/>
  <c r="G2216" i="13" s="1"/>
  <c r="F2217" i="13"/>
  <c r="G2217" i="13" s="1"/>
  <c r="F2218" i="13"/>
  <c r="G2218" i="13" s="1"/>
  <c r="F2219" i="13"/>
  <c r="G2219" i="13" s="1"/>
  <c r="F2220" i="13"/>
  <c r="G2220" i="13" s="1"/>
  <c r="F2221" i="13"/>
  <c r="G2221" i="13" s="1"/>
  <c r="F2222" i="13"/>
  <c r="G2222" i="13" s="1"/>
  <c r="F2223" i="13"/>
  <c r="G2223" i="13" s="1"/>
  <c r="F2224" i="13"/>
  <c r="G2224" i="13" s="1"/>
  <c r="F2225" i="13"/>
  <c r="G2225" i="13" s="1"/>
  <c r="F2226" i="13"/>
  <c r="G2226" i="13" s="1"/>
  <c r="F2227" i="13"/>
  <c r="G2227" i="13" s="1"/>
  <c r="F2228" i="13"/>
  <c r="G2228" i="13" s="1"/>
  <c r="F2229" i="13"/>
  <c r="G2229" i="13" s="1"/>
  <c r="F2230" i="13"/>
  <c r="G2230" i="13" s="1"/>
  <c r="F2231" i="13"/>
  <c r="G2231" i="13" s="1"/>
  <c r="F2232" i="13"/>
  <c r="G2232" i="13" s="1"/>
  <c r="F2233" i="13"/>
  <c r="G2233" i="13" s="1"/>
  <c r="F2234" i="13"/>
  <c r="G2234" i="13" s="1"/>
  <c r="F2235" i="13"/>
  <c r="G2235" i="13" s="1"/>
  <c r="F2236" i="13"/>
  <c r="G2236" i="13" s="1"/>
  <c r="F2237" i="13"/>
  <c r="G2237" i="13" s="1"/>
  <c r="F2238" i="13"/>
  <c r="G2238" i="13" s="1"/>
  <c r="F2239" i="13"/>
  <c r="G2239" i="13" s="1"/>
  <c r="F2240" i="13"/>
  <c r="G2240" i="13" s="1"/>
  <c r="F2241" i="13"/>
  <c r="G2241" i="13" s="1"/>
  <c r="F2242" i="13"/>
  <c r="G2242" i="13" s="1"/>
  <c r="F2243" i="13"/>
  <c r="G2243" i="13" s="1"/>
  <c r="F2244" i="13"/>
  <c r="G2244" i="13" s="1"/>
  <c r="F2245" i="13"/>
  <c r="G2245" i="13" s="1"/>
  <c r="F2246" i="13"/>
  <c r="G2246" i="13" s="1"/>
  <c r="F2247" i="13"/>
  <c r="G2247" i="13" s="1"/>
  <c r="F2248" i="13"/>
  <c r="G2248" i="13" s="1"/>
  <c r="F2249" i="13"/>
  <c r="G2249" i="13" s="1"/>
  <c r="F2250" i="13"/>
  <c r="G2250" i="13" s="1"/>
  <c r="F2251" i="13"/>
  <c r="G2251" i="13" s="1"/>
  <c r="F2252" i="13"/>
  <c r="G2252" i="13" s="1"/>
  <c r="F2253" i="13"/>
  <c r="G2253" i="13" s="1"/>
  <c r="F2254" i="13"/>
  <c r="G2254" i="13" s="1"/>
  <c r="F2255" i="13"/>
  <c r="G2255" i="13" s="1"/>
  <c r="F2256" i="13"/>
  <c r="G2256" i="13" s="1"/>
  <c r="F2257" i="13"/>
  <c r="G2257" i="13" s="1"/>
  <c r="F2258" i="13"/>
  <c r="G2258" i="13" s="1"/>
  <c r="F2259" i="13"/>
  <c r="G2259" i="13" s="1"/>
  <c r="F2260" i="13"/>
  <c r="G2260" i="13" s="1"/>
  <c r="F2261" i="13"/>
  <c r="G2261" i="13" s="1"/>
  <c r="F2262" i="13"/>
  <c r="G2262" i="13" s="1"/>
  <c r="F2263" i="13"/>
  <c r="G2263" i="13" s="1"/>
  <c r="F2264" i="13"/>
  <c r="G2264" i="13" s="1"/>
  <c r="F2265" i="13"/>
  <c r="G2265" i="13" s="1"/>
  <c r="F2266" i="13"/>
  <c r="G2266" i="13" s="1"/>
  <c r="F2267" i="13"/>
  <c r="G2267" i="13" s="1"/>
  <c r="F2268" i="13"/>
  <c r="G2268" i="13" s="1"/>
  <c r="F2269" i="13"/>
  <c r="G2269" i="13" s="1"/>
  <c r="F2270" i="13"/>
  <c r="G2270" i="13" s="1"/>
  <c r="F2271" i="13"/>
  <c r="G2271" i="13" s="1"/>
  <c r="F2272" i="13"/>
  <c r="G2272" i="13" s="1"/>
  <c r="F2273" i="13"/>
  <c r="G2273" i="13" s="1"/>
  <c r="F2274" i="13"/>
  <c r="G2274" i="13" s="1"/>
  <c r="F2275" i="13"/>
  <c r="G2275" i="13" s="1"/>
  <c r="F2276" i="13"/>
  <c r="G2276" i="13" s="1"/>
  <c r="F2277" i="13"/>
  <c r="G2277" i="13" s="1"/>
  <c r="F2278" i="13"/>
  <c r="G2278" i="13" s="1"/>
  <c r="F2279" i="13"/>
  <c r="G2279" i="13" s="1"/>
  <c r="F2280" i="13"/>
  <c r="G2280" i="13" s="1"/>
  <c r="F2281" i="13"/>
  <c r="G2281" i="13" s="1"/>
  <c r="F2282" i="13"/>
  <c r="G2282" i="13" s="1"/>
  <c r="F2283" i="13"/>
  <c r="G2283" i="13" s="1"/>
  <c r="F2284" i="13"/>
  <c r="G2284" i="13" s="1"/>
  <c r="F2285" i="13"/>
  <c r="G2285" i="13" s="1"/>
  <c r="F2286" i="13"/>
  <c r="G2286" i="13" s="1"/>
  <c r="F2287" i="13"/>
  <c r="G2287" i="13" s="1"/>
  <c r="F2288" i="13"/>
  <c r="G2288" i="13" s="1"/>
  <c r="F2289" i="13"/>
  <c r="G2289" i="13" s="1"/>
  <c r="F2290" i="13"/>
  <c r="G2290" i="13" s="1"/>
  <c r="F2291" i="13"/>
  <c r="G2291" i="13" s="1"/>
  <c r="F2292" i="13"/>
  <c r="G2292" i="13" s="1"/>
  <c r="F2293" i="13"/>
  <c r="G2293" i="13" s="1"/>
  <c r="F2294" i="13"/>
  <c r="G2294" i="13" s="1"/>
  <c r="F2295" i="13"/>
  <c r="G2295" i="13" s="1"/>
  <c r="F2296" i="13"/>
  <c r="G2296" i="13" s="1"/>
  <c r="F2297" i="13"/>
  <c r="G2297" i="13" s="1"/>
  <c r="F2298" i="13"/>
  <c r="G2298" i="13" s="1"/>
  <c r="F2299" i="13"/>
  <c r="G2299" i="13" s="1"/>
  <c r="F2300" i="13"/>
  <c r="G2300" i="13" s="1"/>
  <c r="F2301" i="13"/>
  <c r="G2301" i="13" s="1"/>
  <c r="F2302" i="13"/>
  <c r="G2302" i="13" s="1"/>
  <c r="F2303" i="13"/>
  <c r="G2303" i="13" s="1"/>
  <c r="F2304" i="13"/>
  <c r="G2304" i="13" s="1"/>
  <c r="F2305" i="13"/>
  <c r="G2305" i="13" s="1"/>
  <c r="F2306" i="13"/>
  <c r="G2306" i="13" s="1"/>
  <c r="F2307" i="13"/>
  <c r="G2307" i="13" s="1"/>
  <c r="F2308" i="13"/>
  <c r="G2308" i="13" s="1"/>
  <c r="F2309" i="13"/>
  <c r="G2309" i="13" s="1"/>
  <c r="F2310" i="13"/>
  <c r="G2310" i="13" s="1"/>
  <c r="F2311" i="13"/>
  <c r="G2311" i="13" s="1"/>
  <c r="F2312" i="13"/>
  <c r="G2312" i="13" s="1"/>
  <c r="F2313" i="13"/>
  <c r="G2313" i="13" s="1"/>
  <c r="F2314" i="13"/>
  <c r="G2314" i="13" s="1"/>
  <c r="F2315" i="13"/>
  <c r="G2315" i="13" s="1"/>
  <c r="F2316" i="13"/>
  <c r="G2316" i="13" s="1"/>
  <c r="F2317" i="13"/>
  <c r="G2317" i="13" s="1"/>
  <c r="F2318" i="13"/>
  <c r="G2318" i="13" s="1"/>
  <c r="F2319" i="13"/>
  <c r="G2319" i="13" s="1"/>
  <c r="F2320" i="13"/>
  <c r="G2320" i="13" s="1"/>
  <c r="F2321" i="13"/>
  <c r="G2321" i="13" s="1"/>
  <c r="F2322" i="13"/>
  <c r="G2322" i="13" s="1"/>
  <c r="F2323" i="13"/>
  <c r="G2323" i="13" s="1"/>
  <c r="F2324" i="13"/>
  <c r="G2324" i="13" s="1"/>
  <c r="F2325" i="13"/>
  <c r="G2325" i="13" s="1"/>
  <c r="F2326" i="13"/>
  <c r="G2326" i="13" s="1"/>
  <c r="F2327" i="13"/>
  <c r="G2327" i="13" s="1"/>
  <c r="F2328" i="13"/>
  <c r="G2328" i="13" s="1"/>
  <c r="F2329" i="13"/>
  <c r="G2329" i="13" s="1"/>
  <c r="F2330" i="13"/>
  <c r="G2330" i="13" s="1"/>
  <c r="F2331" i="13"/>
  <c r="G2331" i="13" s="1"/>
  <c r="F2332" i="13"/>
  <c r="G2332" i="13" s="1"/>
  <c r="F2333" i="13"/>
  <c r="G2333" i="13" s="1"/>
  <c r="F2334" i="13"/>
  <c r="G2334" i="13" s="1"/>
  <c r="F2335" i="13"/>
  <c r="G2335" i="13" s="1"/>
  <c r="F2336" i="13"/>
  <c r="G2336" i="13" s="1"/>
  <c r="F2337" i="13"/>
  <c r="G2337" i="13" s="1"/>
  <c r="F2338" i="13"/>
  <c r="G2338" i="13" s="1"/>
  <c r="F2339" i="13"/>
  <c r="G2339" i="13" s="1"/>
  <c r="F2340" i="13"/>
  <c r="G2340" i="13" s="1"/>
  <c r="F2341" i="13"/>
  <c r="G2341" i="13" s="1"/>
  <c r="F2342" i="13"/>
  <c r="G2342" i="13" s="1"/>
  <c r="F2343" i="13"/>
  <c r="G2343" i="13" s="1"/>
  <c r="F2344" i="13"/>
  <c r="G2344" i="13" s="1"/>
  <c r="F2345" i="13"/>
  <c r="G2345" i="13" s="1"/>
  <c r="F2346" i="13"/>
  <c r="G2346" i="13" s="1"/>
  <c r="F2347" i="13"/>
  <c r="G2347" i="13" s="1"/>
  <c r="F2348" i="13"/>
  <c r="G2348" i="13" s="1"/>
  <c r="F2349" i="13"/>
  <c r="G2349" i="13" s="1"/>
  <c r="F2350" i="13"/>
  <c r="G2350" i="13" s="1"/>
  <c r="F2351" i="13"/>
  <c r="G2351" i="13" s="1"/>
  <c r="F2352" i="13"/>
  <c r="G2352" i="13" s="1"/>
  <c r="F2353" i="13"/>
  <c r="G2353" i="13" s="1"/>
  <c r="F2354" i="13"/>
  <c r="G2354" i="13" s="1"/>
  <c r="F2355" i="13"/>
  <c r="G2355" i="13" s="1"/>
  <c r="F2356" i="13"/>
  <c r="G2356" i="13" s="1"/>
  <c r="F2357" i="13"/>
  <c r="G2357" i="13" s="1"/>
  <c r="F2358" i="13"/>
  <c r="G2358" i="13" s="1"/>
  <c r="F2359" i="13"/>
  <c r="G2359" i="13" s="1"/>
  <c r="F2360" i="13"/>
  <c r="G2360" i="13" s="1"/>
  <c r="F2361" i="13"/>
  <c r="G2361" i="13" s="1"/>
  <c r="F2362" i="13"/>
  <c r="G2362" i="13" s="1"/>
  <c r="F2363" i="13"/>
  <c r="G2363" i="13" s="1"/>
  <c r="F2364" i="13"/>
  <c r="G2364" i="13" s="1"/>
  <c r="F2365" i="13"/>
  <c r="G2365" i="13" s="1"/>
  <c r="F2366" i="13"/>
  <c r="G2366" i="13" s="1"/>
  <c r="F2367" i="13"/>
  <c r="G2367" i="13" s="1"/>
  <c r="F2368" i="13"/>
  <c r="G2368" i="13" s="1"/>
  <c r="F2369" i="13"/>
  <c r="G2369" i="13" s="1"/>
  <c r="F2370" i="13"/>
  <c r="G2370" i="13" s="1"/>
  <c r="F2371" i="13"/>
  <c r="G2371" i="13" s="1"/>
  <c r="F2372" i="13"/>
  <c r="G2372" i="13" s="1"/>
  <c r="F2373" i="13"/>
  <c r="G2373" i="13" s="1"/>
  <c r="F2374" i="13"/>
  <c r="G2374" i="13" s="1"/>
  <c r="F2375" i="13"/>
  <c r="G2375" i="13" s="1"/>
  <c r="F2376" i="13"/>
  <c r="G2376" i="13" s="1"/>
  <c r="F2377" i="13"/>
  <c r="G2377" i="13" s="1"/>
  <c r="F2378" i="13"/>
  <c r="G2378" i="13" s="1"/>
  <c r="F2379" i="13"/>
  <c r="G2379" i="13" s="1"/>
  <c r="F2380" i="13"/>
  <c r="G2380" i="13" s="1"/>
  <c r="F2381" i="13"/>
  <c r="G2381" i="13" s="1"/>
  <c r="F2382" i="13"/>
  <c r="G2382" i="13" s="1"/>
  <c r="F2383" i="13"/>
  <c r="G2383" i="13" s="1"/>
  <c r="F2384" i="13"/>
  <c r="G2384" i="13" s="1"/>
  <c r="F2385" i="13"/>
  <c r="G2385" i="13" s="1"/>
  <c r="F2386" i="13"/>
  <c r="G2386" i="13" s="1"/>
  <c r="F2387" i="13"/>
  <c r="G2387" i="13" s="1"/>
  <c r="F2388" i="13"/>
  <c r="G2388" i="13" s="1"/>
  <c r="F2389" i="13"/>
  <c r="G2389" i="13" s="1"/>
  <c r="F2390" i="13"/>
  <c r="G2390" i="13" s="1"/>
  <c r="F2391" i="13"/>
  <c r="G2391" i="13" s="1"/>
  <c r="F2392" i="13"/>
  <c r="G2392" i="13" s="1"/>
  <c r="F2393" i="13"/>
  <c r="G2393" i="13" s="1"/>
  <c r="F2394" i="13"/>
  <c r="G2394" i="13" s="1"/>
  <c r="F2395" i="13"/>
  <c r="G2395" i="13" s="1"/>
  <c r="F2396" i="13"/>
  <c r="G2396" i="13" s="1"/>
  <c r="F2397" i="13"/>
  <c r="G2397" i="13" s="1"/>
  <c r="F2398" i="13"/>
  <c r="G2398" i="13" s="1"/>
  <c r="F2399" i="13"/>
  <c r="G2399" i="13" s="1"/>
  <c r="F2400" i="13"/>
  <c r="G2400" i="13" s="1"/>
  <c r="F2401" i="13"/>
  <c r="G2401" i="13" s="1"/>
  <c r="F2402" i="13"/>
  <c r="G2402" i="13" s="1"/>
  <c r="F2403" i="13"/>
  <c r="G2403" i="13" s="1"/>
  <c r="F2404" i="13"/>
  <c r="G2404" i="13" s="1"/>
  <c r="F2405" i="13"/>
  <c r="G2405" i="13" s="1"/>
  <c r="F2406" i="13"/>
  <c r="G2406" i="13" s="1"/>
  <c r="F2407" i="13"/>
  <c r="G2407" i="13" s="1"/>
  <c r="F2408" i="13"/>
  <c r="G2408" i="13" s="1"/>
  <c r="F2409" i="13"/>
  <c r="G2409" i="13" s="1"/>
  <c r="F2410" i="13"/>
  <c r="G2410" i="13" s="1"/>
  <c r="F2411" i="13"/>
  <c r="G2411" i="13" s="1"/>
  <c r="F2412" i="13"/>
  <c r="G2412" i="13" s="1"/>
  <c r="F2413" i="13"/>
  <c r="G2413" i="13" s="1"/>
  <c r="F2414" i="13"/>
  <c r="G2414" i="13" s="1"/>
  <c r="F2415" i="13"/>
  <c r="G2415" i="13" s="1"/>
  <c r="F2416" i="13"/>
  <c r="G2416" i="13" s="1"/>
  <c r="F2417" i="13"/>
  <c r="G2417" i="13" s="1"/>
  <c r="F2418" i="13"/>
  <c r="G2418" i="13" s="1"/>
  <c r="F2419" i="13"/>
  <c r="G2419" i="13" s="1"/>
  <c r="F2420" i="13"/>
  <c r="G2420" i="13" s="1"/>
  <c r="F2421" i="13"/>
  <c r="G2421" i="13" s="1"/>
  <c r="F2422" i="13"/>
  <c r="G2422" i="13" s="1"/>
  <c r="F2423" i="13"/>
  <c r="G2423" i="13" s="1"/>
  <c r="F2424" i="13"/>
  <c r="G2424" i="13" s="1"/>
  <c r="F2425" i="13"/>
  <c r="G2425" i="13" s="1"/>
  <c r="F2426" i="13"/>
  <c r="G2426" i="13" s="1"/>
  <c r="F2427" i="13"/>
  <c r="G2427" i="13" s="1"/>
  <c r="F2428" i="13"/>
  <c r="G2428" i="13" s="1"/>
  <c r="F2429" i="13"/>
  <c r="G2429" i="13" s="1"/>
  <c r="F2430" i="13"/>
  <c r="G2430" i="13" s="1"/>
  <c r="F2431" i="13"/>
  <c r="G2431" i="13" s="1"/>
  <c r="F2432" i="13"/>
  <c r="G2432" i="13" s="1"/>
  <c r="F2433" i="13"/>
  <c r="G2433" i="13" s="1"/>
  <c r="F2434" i="13"/>
  <c r="G2434" i="13" s="1"/>
  <c r="F2435" i="13"/>
  <c r="G2435" i="13" s="1"/>
  <c r="F2436" i="13"/>
  <c r="G2436" i="13" s="1"/>
  <c r="F2437" i="13"/>
  <c r="G2437" i="13" s="1"/>
  <c r="F2438" i="13"/>
  <c r="G2438" i="13" s="1"/>
  <c r="F2439" i="13"/>
  <c r="G2439" i="13" s="1"/>
  <c r="F2440" i="13"/>
  <c r="G2440" i="13" s="1"/>
  <c r="F2441" i="13"/>
  <c r="G2441" i="13" s="1"/>
  <c r="F2442" i="13"/>
  <c r="G2442" i="13" s="1"/>
  <c r="F2443" i="13"/>
  <c r="G2443" i="13" s="1"/>
  <c r="F2444" i="13"/>
  <c r="G2444" i="13" s="1"/>
  <c r="F2445" i="13"/>
  <c r="G2445" i="13" s="1"/>
  <c r="F2446" i="13"/>
  <c r="G2446" i="13" s="1"/>
  <c r="F2447" i="13"/>
  <c r="G2447" i="13" s="1"/>
  <c r="F2448" i="13"/>
  <c r="G2448" i="13" s="1"/>
  <c r="F2449" i="13"/>
  <c r="G2449" i="13" s="1"/>
  <c r="F2450" i="13"/>
  <c r="G2450" i="13" s="1"/>
  <c r="F2451" i="13"/>
  <c r="G2451" i="13" s="1"/>
  <c r="F2452" i="13"/>
  <c r="G2452" i="13" s="1"/>
  <c r="F2453" i="13"/>
  <c r="G2453" i="13" s="1"/>
  <c r="F2454" i="13"/>
  <c r="G2454" i="13" s="1"/>
  <c r="F2455" i="13"/>
  <c r="G2455" i="13" s="1"/>
  <c r="F2456" i="13"/>
  <c r="G2456" i="13" s="1"/>
  <c r="F2457" i="13"/>
  <c r="G2457" i="13" s="1"/>
  <c r="F2458" i="13"/>
  <c r="G2458" i="13" s="1"/>
  <c r="F2459" i="13"/>
  <c r="G2459" i="13" s="1"/>
  <c r="F2460" i="13"/>
  <c r="G2460" i="13" s="1"/>
  <c r="F2461" i="13"/>
  <c r="G2461" i="13" s="1"/>
  <c r="F2462" i="13"/>
  <c r="G2462" i="13" s="1"/>
  <c r="F2463" i="13"/>
  <c r="G2463" i="13" s="1"/>
  <c r="F2464" i="13"/>
  <c r="G2464" i="13" s="1"/>
  <c r="F2465" i="13"/>
  <c r="G2465" i="13" s="1"/>
  <c r="F2466" i="13"/>
  <c r="G2466" i="13" s="1"/>
  <c r="F2467" i="13"/>
  <c r="G2467" i="13" s="1"/>
  <c r="F2468" i="13"/>
  <c r="G2468" i="13" s="1"/>
  <c r="F2469" i="13"/>
  <c r="G2469" i="13" s="1"/>
  <c r="F2470" i="13"/>
  <c r="G2470" i="13" s="1"/>
  <c r="F2471" i="13"/>
  <c r="G2471" i="13" s="1"/>
  <c r="F2472" i="13"/>
  <c r="G2472" i="13" s="1"/>
  <c r="F2473" i="13"/>
  <c r="G2473" i="13" s="1"/>
  <c r="F2474" i="13"/>
  <c r="G2474" i="13" s="1"/>
  <c r="F2475" i="13"/>
  <c r="G2475" i="13" s="1"/>
  <c r="F2476" i="13"/>
  <c r="G2476" i="13" s="1"/>
  <c r="F2477" i="13"/>
  <c r="G2477" i="13" s="1"/>
  <c r="F2478" i="13"/>
  <c r="G2478" i="13" s="1"/>
  <c r="F2479" i="13"/>
  <c r="G2479" i="13" s="1"/>
  <c r="F2480" i="13"/>
  <c r="G2480" i="13" s="1"/>
  <c r="F2481" i="13"/>
  <c r="G2481" i="13" s="1"/>
  <c r="F2482" i="13"/>
  <c r="G2482" i="13" s="1"/>
  <c r="F2483" i="13"/>
  <c r="G2483" i="13" s="1"/>
  <c r="F2484" i="13"/>
  <c r="G2484" i="13" s="1"/>
  <c r="F2485" i="13"/>
  <c r="G2485" i="13" s="1"/>
  <c r="F2486" i="13"/>
  <c r="G2486" i="13" s="1"/>
  <c r="F2487" i="13"/>
  <c r="G2487" i="13" s="1"/>
  <c r="F2488" i="13"/>
  <c r="G2488" i="13" s="1"/>
  <c r="F2489" i="13"/>
  <c r="G2489" i="13" s="1"/>
  <c r="F2490" i="13"/>
  <c r="G2490" i="13" s="1"/>
  <c r="F2491" i="13"/>
  <c r="G2491" i="13" s="1"/>
  <c r="F2492" i="13"/>
  <c r="G2492" i="13" s="1"/>
  <c r="F2493" i="13"/>
  <c r="G2493" i="13" s="1"/>
  <c r="F2494" i="13"/>
  <c r="G2494" i="13" s="1"/>
  <c r="F2495" i="13"/>
  <c r="G2495" i="13" s="1"/>
  <c r="F2496" i="13"/>
  <c r="G2496" i="13" s="1"/>
  <c r="F2497" i="13"/>
  <c r="G2497" i="13" s="1"/>
  <c r="F2498" i="13"/>
  <c r="G2498" i="13" s="1"/>
  <c r="F2499" i="13"/>
  <c r="G2499" i="13" s="1"/>
  <c r="F2500" i="13"/>
  <c r="G2500" i="13" s="1"/>
  <c r="F2501" i="13"/>
  <c r="G2501" i="13" s="1"/>
  <c r="F2502" i="13"/>
  <c r="G2502" i="13" s="1"/>
  <c r="F2503" i="13"/>
  <c r="G2503" i="13" s="1"/>
  <c r="F2504" i="13"/>
  <c r="G2504" i="13" s="1"/>
  <c r="F2505" i="13"/>
  <c r="G2505" i="13" s="1"/>
  <c r="F2506" i="13"/>
  <c r="G2506" i="13" s="1"/>
  <c r="F2507" i="13"/>
  <c r="G2507" i="13" s="1"/>
  <c r="F2508" i="13"/>
  <c r="G2508" i="13" s="1"/>
  <c r="F2509" i="13"/>
  <c r="G2509" i="13" s="1"/>
  <c r="F2510" i="13"/>
  <c r="G2510" i="13" s="1"/>
  <c r="F2511" i="13"/>
  <c r="G2511" i="13" s="1"/>
  <c r="F2512" i="13"/>
  <c r="G2512" i="13" s="1"/>
  <c r="F2513" i="13"/>
  <c r="G2513" i="13" s="1"/>
  <c r="F2514" i="13"/>
  <c r="G2514" i="13" s="1"/>
  <c r="F2515" i="13"/>
  <c r="G2515" i="13" s="1"/>
  <c r="F2516" i="13"/>
  <c r="G2516" i="13" s="1"/>
  <c r="F2517" i="13"/>
  <c r="G2517" i="13" s="1"/>
  <c r="F2518" i="13"/>
  <c r="G2518" i="13" s="1"/>
  <c r="F2519" i="13"/>
  <c r="G2519" i="13" s="1"/>
  <c r="F2520" i="13"/>
  <c r="G2520" i="13" s="1"/>
  <c r="F2521" i="13"/>
  <c r="G2521" i="13" s="1"/>
  <c r="F2522" i="13"/>
  <c r="G2522" i="13" s="1"/>
  <c r="F2523" i="13"/>
  <c r="G2523" i="13" s="1"/>
  <c r="F2524" i="13"/>
  <c r="G2524" i="13" s="1"/>
  <c r="F2525" i="13"/>
  <c r="G2525" i="13" s="1"/>
  <c r="F2526" i="13"/>
  <c r="G2526" i="13" s="1"/>
  <c r="F2527" i="13"/>
  <c r="G2527" i="13" s="1"/>
  <c r="F2528" i="13"/>
  <c r="G2528" i="13" s="1"/>
  <c r="F2529" i="13"/>
  <c r="G2529" i="13" s="1"/>
  <c r="F2530" i="13"/>
  <c r="G2530" i="13" s="1"/>
  <c r="F2531" i="13"/>
  <c r="G2531" i="13" s="1"/>
  <c r="F2532" i="13"/>
  <c r="G2532" i="13" s="1"/>
  <c r="F2533" i="13"/>
  <c r="G2533" i="13" s="1"/>
  <c r="F2534" i="13"/>
  <c r="G2534" i="13" s="1"/>
  <c r="F2535" i="13"/>
  <c r="G2535" i="13" s="1"/>
  <c r="F2536" i="13"/>
  <c r="G2536" i="13" s="1"/>
  <c r="F2537" i="13"/>
  <c r="G2537" i="13" s="1"/>
  <c r="F2538" i="13"/>
  <c r="G2538" i="13" s="1"/>
  <c r="F2539" i="13"/>
  <c r="G2539" i="13" s="1"/>
  <c r="F2540" i="13"/>
  <c r="G2540" i="13" s="1"/>
  <c r="F2541" i="13"/>
  <c r="G2541" i="13" s="1"/>
  <c r="F2542" i="13"/>
  <c r="G2542" i="13" s="1"/>
  <c r="F2543" i="13"/>
  <c r="G2543" i="13" s="1"/>
  <c r="F2544" i="13"/>
  <c r="G2544" i="13" s="1"/>
  <c r="F2545" i="13"/>
  <c r="G2545" i="13" s="1"/>
  <c r="F2546" i="13"/>
  <c r="G2546" i="13" s="1"/>
  <c r="F2547" i="13"/>
  <c r="G2547" i="13" s="1"/>
  <c r="F2548" i="13"/>
  <c r="G2548" i="13" s="1"/>
  <c r="F2549" i="13"/>
  <c r="G2549" i="13" s="1"/>
  <c r="F2550" i="13"/>
  <c r="G2550" i="13" s="1"/>
  <c r="F2551" i="13"/>
  <c r="G2551" i="13" s="1"/>
  <c r="F2552" i="13"/>
  <c r="G2552" i="13" s="1"/>
  <c r="F2553" i="13"/>
  <c r="G2553" i="13" s="1"/>
  <c r="F2554" i="13"/>
  <c r="G2554" i="13" s="1"/>
  <c r="F2555" i="13"/>
  <c r="G2555" i="13" s="1"/>
  <c r="F2556" i="13"/>
  <c r="G2556" i="13" s="1"/>
  <c r="F2557" i="13"/>
  <c r="G2557" i="13" s="1"/>
  <c r="F2558" i="13"/>
  <c r="G2558" i="13" s="1"/>
  <c r="F2559" i="13"/>
  <c r="G2559" i="13" s="1"/>
  <c r="F2560" i="13"/>
  <c r="G2560" i="13" s="1"/>
  <c r="F2561" i="13"/>
  <c r="G2561" i="13" s="1"/>
  <c r="F2562" i="13"/>
  <c r="G2562" i="13" s="1"/>
  <c r="F2563" i="13"/>
  <c r="G2563" i="13" s="1"/>
  <c r="F2564" i="13"/>
  <c r="G2564" i="13" s="1"/>
  <c r="F2565" i="13"/>
  <c r="G2565" i="13" s="1"/>
  <c r="F2566" i="13"/>
  <c r="G2566" i="13" s="1"/>
  <c r="F2567" i="13"/>
  <c r="G2567" i="13" s="1"/>
  <c r="F2568" i="13"/>
  <c r="G2568" i="13" s="1"/>
  <c r="F2569" i="13"/>
  <c r="G2569" i="13" s="1"/>
  <c r="F2570" i="13"/>
  <c r="G2570" i="13" s="1"/>
  <c r="F2571" i="13"/>
  <c r="G2571" i="13" s="1"/>
  <c r="F2572" i="13"/>
  <c r="G2572" i="13" s="1"/>
  <c r="F2573" i="13"/>
  <c r="G2573" i="13" s="1"/>
  <c r="F2574" i="13"/>
  <c r="G2574" i="13" s="1"/>
  <c r="F2575" i="13"/>
  <c r="G2575" i="13" s="1"/>
  <c r="F2576" i="13"/>
  <c r="G2576" i="13" s="1"/>
  <c r="F2577" i="13"/>
  <c r="G2577" i="13" s="1"/>
  <c r="F2578" i="13"/>
  <c r="G2578" i="13" s="1"/>
  <c r="F2579" i="13"/>
  <c r="G2579" i="13" s="1"/>
  <c r="F2580" i="13"/>
  <c r="G2580" i="13" s="1"/>
  <c r="F2581" i="13"/>
  <c r="G2581" i="13" s="1"/>
  <c r="F2582" i="13"/>
  <c r="G2582" i="13" s="1"/>
  <c r="F2583" i="13"/>
  <c r="G2583" i="13" s="1"/>
  <c r="F2584" i="13"/>
  <c r="G2584" i="13" s="1"/>
  <c r="F2585" i="13"/>
  <c r="G2585" i="13" s="1"/>
  <c r="F2586" i="13"/>
  <c r="G2586" i="13" s="1"/>
  <c r="F2587" i="13"/>
  <c r="G2587" i="13" s="1"/>
  <c r="F2588" i="13"/>
  <c r="G2588" i="13" s="1"/>
  <c r="F2589" i="13"/>
  <c r="G2589" i="13" s="1"/>
  <c r="F2590" i="13"/>
  <c r="G2590" i="13" s="1"/>
  <c r="F2591" i="13"/>
  <c r="G2591" i="13" s="1"/>
  <c r="F2592" i="13"/>
  <c r="G2592" i="13" s="1"/>
  <c r="F2593" i="13"/>
  <c r="G2593" i="13" s="1"/>
  <c r="F2594" i="13"/>
  <c r="G2594" i="13" s="1"/>
  <c r="F2595" i="13"/>
  <c r="G2595" i="13" s="1"/>
  <c r="F2596" i="13"/>
  <c r="G2596" i="13" s="1"/>
  <c r="F2597" i="13"/>
  <c r="G2597" i="13" s="1"/>
  <c r="F2598" i="13"/>
  <c r="G2598" i="13" s="1"/>
  <c r="F2599" i="13"/>
  <c r="G2599" i="13" s="1"/>
  <c r="F2600" i="13"/>
  <c r="G2600" i="13" s="1"/>
  <c r="F2601" i="13"/>
  <c r="G2601" i="13" s="1"/>
  <c r="F2602" i="13"/>
  <c r="G2602" i="13" s="1"/>
  <c r="F2603" i="13"/>
  <c r="G2603" i="13" s="1"/>
  <c r="F2604" i="13"/>
  <c r="G2604" i="13" s="1"/>
  <c r="F2605" i="13"/>
  <c r="G2605" i="13" s="1"/>
  <c r="F2606" i="13"/>
  <c r="G2606" i="13" s="1"/>
  <c r="F2607" i="13"/>
  <c r="G2607" i="13" s="1"/>
  <c r="F2608" i="13"/>
  <c r="G2608" i="13" s="1"/>
  <c r="F2609" i="13"/>
  <c r="G2609" i="13" s="1"/>
  <c r="F2610" i="13"/>
  <c r="G2610" i="13" s="1"/>
  <c r="F2611" i="13"/>
  <c r="G2611" i="13" s="1"/>
  <c r="F2612" i="13"/>
  <c r="G2612" i="13" s="1"/>
  <c r="F2613" i="13"/>
  <c r="G2613" i="13" s="1"/>
  <c r="F2614" i="13"/>
  <c r="G2614" i="13" s="1"/>
  <c r="F2615" i="13"/>
  <c r="G2615" i="13" s="1"/>
  <c r="F2616" i="13"/>
  <c r="G2616" i="13" s="1"/>
  <c r="F2617" i="13"/>
  <c r="G2617" i="13" s="1"/>
  <c r="F2618" i="13"/>
  <c r="G2618" i="13" s="1"/>
  <c r="F2619" i="13"/>
  <c r="G2619" i="13" s="1"/>
  <c r="F2620" i="13"/>
  <c r="G2620" i="13" s="1"/>
  <c r="F2621" i="13"/>
  <c r="G2621" i="13" s="1"/>
  <c r="F2622" i="13"/>
  <c r="G2622" i="13" s="1"/>
  <c r="F2623" i="13"/>
  <c r="G2623" i="13" s="1"/>
  <c r="F2624" i="13"/>
  <c r="G2624" i="13" s="1"/>
  <c r="F2625" i="13"/>
  <c r="G2625" i="13" s="1"/>
  <c r="F2626" i="13"/>
  <c r="G2626" i="13" s="1"/>
  <c r="F2627" i="13"/>
  <c r="G2627" i="13" s="1"/>
  <c r="F2628" i="13"/>
  <c r="G2628" i="13" s="1"/>
  <c r="F2629" i="13"/>
  <c r="G2629" i="13" s="1"/>
  <c r="F2630" i="13"/>
  <c r="G2630" i="13" s="1"/>
  <c r="F2631" i="13"/>
  <c r="G2631" i="13" s="1"/>
  <c r="F2632" i="13"/>
  <c r="G2632" i="13" s="1"/>
  <c r="F2633" i="13"/>
  <c r="G2633" i="13" s="1"/>
  <c r="F2634" i="13"/>
  <c r="G2634" i="13" s="1"/>
  <c r="F2635" i="13"/>
  <c r="G2635" i="13" s="1"/>
  <c r="F2636" i="13"/>
  <c r="G2636" i="13" s="1"/>
  <c r="F2637" i="13"/>
  <c r="G2637" i="13" s="1"/>
  <c r="F2638" i="13"/>
  <c r="G2638" i="13" s="1"/>
  <c r="F2639" i="13"/>
  <c r="G2639" i="13" s="1"/>
  <c r="F2640" i="13"/>
  <c r="G2640" i="13" s="1"/>
  <c r="F2641" i="13"/>
  <c r="G2641" i="13" s="1"/>
  <c r="F2642" i="13"/>
  <c r="G2642" i="13" s="1"/>
  <c r="F2643" i="13"/>
  <c r="G2643" i="13" s="1"/>
  <c r="F2644" i="13"/>
  <c r="G2644" i="13" s="1"/>
  <c r="F2645" i="13"/>
  <c r="G2645" i="13" s="1"/>
  <c r="F2646" i="13"/>
  <c r="G2646" i="13" s="1"/>
  <c r="F2647" i="13"/>
  <c r="G2647" i="13" s="1"/>
  <c r="F2648" i="13"/>
  <c r="G2648" i="13" s="1"/>
  <c r="F2649" i="13"/>
  <c r="G2649" i="13" s="1"/>
  <c r="F2650" i="13"/>
  <c r="G2650" i="13" s="1"/>
  <c r="F2651" i="13"/>
  <c r="G2651" i="13" s="1"/>
  <c r="F2652" i="13"/>
  <c r="G2652" i="13" s="1"/>
  <c r="F2653" i="13"/>
  <c r="G2653" i="13" s="1"/>
  <c r="F2654" i="13"/>
  <c r="G2654" i="13" s="1"/>
  <c r="F2655" i="13"/>
  <c r="G2655" i="13" s="1"/>
  <c r="F2656" i="13"/>
  <c r="G2656" i="13" s="1"/>
  <c r="F2657" i="13"/>
  <c r="G2657" i="13" s="1"/>
  <c r="F2658" i="13"/>
  <c r="G2658" i="13" s="1"/>
  <c r="F2659" i="13"/>
  <c r="G2659" i="13" s="1"/>
  <c r="F2660" i="13"/>
  <c r="G2660" i="13" s="1"/>
  <c r="F2661" i="13"/>
  <c r="G2661" i="13" s="1"/>
  <c r="F2662" i="13"/>
  <c r="G2662" i="13" s="1"/>
  <c r="F2663" i="13"/>
  <c r="G2663" i="13" s="1"/>
  <c r="F2664" i="13"/>
  <c r="G2664" i="13" s="1"/>
  <c r="F2665" i="13"/>
  <c r="G2665" i="13" s="1"/>
  <c r="F2666" i="13"/>
  <c r="G2666" i="13" s="1"/>
  <c r="F2667" i="13"/>
  <c r="G2667" i="13" s="1"/>
  <c r="F2668" i="13"/>
  <c r="G2668" i="13" s="1"/>
  <c r="F2669" i="13"/>
  <c r="G2669" i="13" s="1"/>
  <c r="F2670" i="13"/>
  <c r="G2670" i="13" s="1"/>
  <c r="F2671" i="13"/>
  <c r="G2671" i="13" s="1"/>
  <c r="F2672" i="13"/>
  <c r="G2672" i="13" s="1"/>
  <c r="F2673" i="13"/>
  <c r="G2673" i="13" s="1"/>
  <c r="F2674" i="13"/>
  <c r="G2674" i="13" s="1"/>
  <c r="F2675" i="13"/>
  <c r="G2675" i="13" s="1"/>
  <c r="F2676" i="13"/>
  <c r="G2676" i="13" s="1"/>
  <c r="F2677" i="13"/>
  <c r="G2677" i="13" s="1"/>
  <c r="F2678" i="13"/>
  <c r="G2678" i="13" s="1"/>
  <c r="F2679" i="13"/>
  <c r="G2679" i="13" s="1"/>
  <c r="F2680" i="13"/>
  <c r="G2680" i="13" s="1"/>
  <c r="F2681" i="13"/>
  <c r="G2681" i="13" s="1"/>
  <c r="F2682" i="13"/>
  <c r="G2682" i="13" s="1"/>
  <c r="F2683" i="13"/>
  <c r="G2683" i="13" s="1"/>
  <c r="F2684" i="13"/>
  <c r="G2684" i="13" s="1"/>
  <c r="F2685" i="13"/>
  <c r="G2685" i="13" s="1"/>
  <c r="F2686" i="13"/>
  <c r="G2686" i="13" s="1"/>
  <c r="F2687" i="13"/>
  <c r="G2687" i="13" s="1"/>
  <c r="F2688" i="13"/>
  <c r="G2688" i="13" s="1"/>
  <c r="F2689" i="13"/>
  <c r="G2689" i="13" s="1"/>
  <c r="F2690" i="13"/>
  <c r="G2690" i="13" s="1"/>
  <c r="F2691" i="13"/>
  <c r="G2691" i="13" s="1"/>
  <c r="F2692" i="13"/>
  <c r="G2692" i="13" s="1"/>
  <c r="F2693" i="13"/>
  <c r="G2693" i="13" s="1"/>
  <c r="F2694" i="13"/>
  <c r="G2694" i="13" s="1"/>
  <c r="F2695" i="13"/>
  <c r="G2695" i="13" s="1"/>
  <c r="F2696" i="13"/>
  <c r="G2696" i="13" s="1"/>
  <c r="F2697" i="13"/>
  <c r="G2697" i="13" s="1"/>
  <c r="F2698" i="13"/>
  <c r="G2698" i="13" s="1"/>
  <c r="F2699" i="13"/>
  <c r="G2699" i="13" s="1"/>
  <c r="F2700" i="13"/>
  <c r="G2700" i="13" s="1"/>
  <c r="F2701" i="13"/>
  <c r="G2701" i="13" s="1"/>
  <c r="F2702" i="13"/>
  <c r="G2702" i="13" s="1"/>
  <c r="F2703" i="13"/>
  <c r="G2703" i="13" s="1"/>
  <c r="F2704" i="13"/>
  <c r="G2704" i="13" s="1"/>
  <c r="F2705" i="13"/>
  <c r="G2705" i="13" s="1"/>
  <c r="F2706" i="13"/>
  <c r="G2706" i="13" s="1"/>
  <c r="F2707" i="13"/>
  <c r="G2707" i="13" s="1"/>
  <c r="F2708" i="13"/>
  <c r="G2708" i="13" s="1"/>
  <c r="F2709" i="13"/>
  <c r="G2709" i="13" s="1"/>
  <c r="F2710" i="13"/>
  <c r="G2710" i="13" s="1"/>
  <c r="F2711" i="13"/>
  <c r="G2711" i="13" s="1"/>
  <c r="F2712" i="13"/>
  <c r="G2712" i="13" s="1"/>
  <c r="F2713" i="13"/>
  <c r="G2713" i="13" s="1"/>
  <c r="F2714" i="13"/>
  <c r="G2714" i="13" s="1"/>
  <c r="F2715" i="13"/>
  <c r="G2715" i="13" s="1"/>
  <c r="F2716" i="13"/>
  <c r="G2716" i="13" s="1"/>
  <c r="F2717" i="13"/>
  <c r="G2717" i="13" s="1"/>
  <c r="F2718" i="13"/>
  <c r="G2718" i="13" s="1"/>
  <c r="F2719" i="13"/>
  <c r="G2719" i="13" s="1"/>
  <c r="F2720" i="13"/>
  <c r="G2720" i="13" s="1"/>
  <c r="F2721" i="13"/>
  <c r="G2721" i="13" s="1"/>
  <c r="F2722" i="13"/>
  <c r="G2722" i="13" s="1"/>
  <c r="F2723" i="13"/>
  <c r="G2723" i="13" s="1"/>
  <c r="F2724" i="13"/>
  <c r="G2724" i="13" s="1"/>
  <c r="F2725" i="13"/>
  <c r="G2725" i="13" s="1"/>
  <c r="F2726" i="13"/>
  <c r="G2726" i="13" s="1"/>
  <c r="F2727" i="13"/>
  <c r="G2727" i="13" s="1"/>
  <c r="F2728" i="13"/>
  <c r="G2728" i="13" s="1"/>
  <c r="F2729" i="13"/>
  <c r="G2729" i="13" s="1"/>
  <c r="F2730" i="13"/>
  <c r="G2730" i="13" s="1"/>
  <c r="F2731" i="13"/>
  <c r="G2731" i="13" s="1"/>
  <c r="F2732" i="13"/>
  <c r="G2732" i="13" s="1"/>
  <c r="F2733" i="13"/>
  <c r="G2733" i="13" s="1"/>
  <c r="F2734" i="13"/>
  <c r="G2734" i="13" s="1"/>
  <c r="F2735" i="13"/>
  <c r="G2735" i="13" s="1"/>
  <c r="F2736" i="13"/>
  <c r="G2736" i="13" s="1"/>
  <c r="F2737" i="13"/>
  <c r="G2737" i="13" s="1"/>
  <c r="F2738" i="13"/>
  <c r="G2738" i="13" s="1"/>
  <c r="F2739" i="13"/>
  <c r="G2739" i="13" s="1"/>
  <c r="F2740" i="13"/>
  <c r="G2740" i="13" s="1"/>
  <c r="F2741" i="13"/>
  <c r="G2741" i="13" s="1"/>
  <c r="F2742" i="13"/>
  <c r="G2742" i="13" s="1"/>
  <c r="F2743" i="13"/>
  <c r="G2743" i="13" s="1"/>
  <c r="F2744" i="13"/>
  <c r="G2744" i="13" s="1"/>
  <c r="F2745" i="13"/>
  <c r="G2745" i="13" s="1"/>
  <c r="F2746" i="13"/>
  <c r="G2746" i="13" s="1"/>
  <c r="F2747" i="13"/>
  <c r="G2747" i="13" s="1"/>
  <c r="F2748" i="13"/>
  <c r="G2748" i="13" s="1"/>
  <c r="F2749" i="13"/>
  <c r="G2749" i="13" s="1"/>
  <c r="F2750" i="13"/>
  <c r="G2750" i="13" s="1"/>
  <c r="F2751" i="13"/>
  <c r="G2751" i="13" s="1"/>
  <c r="F2752" i="13"/>
  <c r="G2752" i="13" s="1"/>
  <c r="F2753" i="13"/>
  <c r="G2753" i="13" s="1"/>
  <c r="F2754" i="13"/>
  <c r="G2754" i="13" s="1"/>
  <c r="F2755" i="13"/>
  <c r="G2755" i="13" s="1"/>
  <c r="F2756" i="13"/>
  <c r="G2756" i="13" s="1"/>
  <c r="F2757" i="13"/>
  <c r="G2757" i="13" s="1"/>
  <c r="F2758" i="13"/>
  <c r="G2758" i="13" s="1"/>
  <c r="F2759" i="13"/>
  <c r="G2759" i="13" s="1"/>
  <c r="F2760" i="13"/>
  <c r="G2760" i="13" s="1"/>
  <c r="F2761" i="13"/>
  <c r="G2761" i="13" s="1"/>
  <c r="F2762" i="13"/>
  <c r="G2762" i="13" s="1"/>
  <c r="F2763" i="13"/>
  <c r="G2763" i="13" s="1"/>
  <c r="F2764" i="13"/>
  <c r="G2764" i="13" s="1"/>
  <c r="F2765" i="13"/>
  <c r="G2765" i="13" s="1"/>
  <c r="F2766" i="13"/>
  <c r="G2766" i="13" s="1"/>
  <c r="F2767" i="13"/>
  <c r="G2767" i="13" s="1"/>
  <c r="F2768" i="13"/>
  <c r="G2768" i="13" s="1"/>
  <c r="F2769" i="13"/>
  <c r="G2769" i="13" s="1"/>
  <c r="F2770" i="13"/>
  <c r="G2770" i="13" s="1"/>
  <c r="F2771" i="13"/>
  <c r="G2771" i="13" s="1"/>
  <c r="F2772" i="13"/>
  <c r="G2772" i="13" s="1"/>
  <c r="F2773" i="13"/>
  <c r="G2773" i="13" s="1"/>
  <c r="F2774" i="13"/>
  <c r="G2774" i="13" s="1"/>
  <c r="F2775" i="13"/>
  <c r="G2775" i="13" s="1"/>
  <c r="F2776" i="13"/>
  <c r="G2776" i="13" s="1"/>
  <c r="F2777" i="13"/>
  <c r="G2777" i="13" s="1"/>
  <c r="F2778" i="13"/>
  <c r="G2778" i="13" s="1"/>
  <c r="F2779" i="13"/>
  <c r="G2779" i="13" s="1"/>
  <c r="F2780" i="13"/>
  <c r="G2780" i="13" s="1"/>
  <c r="F2781" i="13"/>
  <c r="G2781" i="13" s="1"/>
  <c r="F2782" i="13"/>
  <c r="G2782" i="13" s="1"/>
  <c r="F2783" i="13"/>
  <c r="G2783" i="13" s="1"/>
  <c r="F2784" i="13"/>
  <c r="G2784" i="13" s="1"/>
  <c r="F2785" i="13"/>
  <c r="G2785" i="13" s="1"/>
  <c r="F2786" i="13"/>
  <c r="G2786" i="13" s="1"/>
  <c r="F2787" i="13"/>
  <c r="G2787" i="13" s="1"/>
  <c r="F2788" i="13"/>
  <c r="G2788" i="13" s="1"/>
  <c r="F2789" i="13"/>
  <c r="G2789" i="13" s="1"/>
  <c r="F2790" i="13"/>
  <c r="G2790" i="13" s="1"/>
  <c r="F2791" i="13"/>
  <c r="G2791" i="13" s="1"/>
  <c r="F2792" i="13"/>
  <c r="G2792" i="13" s="1"/>
  <c r="F2793" i="13"/>
  <c r="G2793" i="13" s="1"/>
  <c r="F2794" i="13"/>
  <c r="G2794" i="13" s="1"/>
  <c r="F2795" i="13"/>
  <c r="G2795" i="13" s="1"/>
  <c r="F2796" i="13"/>
  <c r="G2796" i="13" s="1"/>
  <c r="F2797" i="13"/>
  <c r="G2797" i="13" s="1"/>
  <c r="F2798" i="13"/>
  <c r="G2798" i="13" s="1"/>
  <c r="F2799" i="13"/>
  <c r="G2799" i="13" s="1"/>
  <c r="F2800" i="13"/>
  <c r="G2800" i="13" s="1"/>
  <c r="F2801" i="13"/>
  <c r="G2801" i="13" s="1"/>
  <c r="F2802" i="13"/>
  <c r="G2802" i="13" s="1"/>
  <c r="F2803" i="13"/>
  <c r="G2803" i="13" s="1"/>
  <c r="F2804" i="13"/>
  <c r="G2804" i="13" s="1"/>
  <c r="F2805" i="13"/>
  <c r="G2805" i="13" s="1"/>
  <c r="F2806" i="13"/>
  <c r="G2806" i="13" s="1"/>
  <c r="F2807" i="13"/>
  <c r="G2807" i="13" s="1"/>
  <c r="F2808" i="13"/>
  <c r="G2808" i="13" s="1"/>
  <c r="F2809" i="13"/>
  <c r="G2809" i="13" s="1"/>
  <c r="F2810" i="13"/>
  <c r="G2810" i="13" s="1"/>
  <c r="F2811" i="13"/>
  <c r="G2811" i="13" s="1"/>
  <c r="F2812" i="13"/>
  <c r="G2812" i="13" s="1"/>
  <c r="F2813" i="13"/>
  <c r="G2813" i="13" s="1"/>
  <c r="F2814" i="13"/>
  <c r="G2814" i="13" s="1"/>
  <c r="F2815" i="13"/>
  <c r="G2815" i="13" s="1"/>
  <c r="F2816" i="13"/>
  <c r="G2816" i="13" s="1"/>
  <c r="F2817" i="13"/>
  <c r="G2817" i="13" s="1"/>
  <c r="F2818" i="13"/>
  <c r="G2818" i="13" s="1"/>
  <c r="F2819" i="13"/>
  <c r="G2819" i="13" s="1"/>
  <c r="F2820" i="13"/>
  <c r="G2820" i="13" s="1"/>
  <c r="F2821" i="13"/>
  <c r="G2821" i="13" s="1"/>
  <c r="F2822" i="13"/>
  <c r="G2822" i="13" s="1"/>
  <c r="F2823" i="13"/>
  <c r="G2823" i="13" s="1"/>
  <c r="F2824" i="13"/>
  <c r="G2824" i="13" s="1"/>
  <c r="F2825" i="13"/>
  <c r="G2825" i="13" s="1"/>
  <c r="F2826" i="13"/>
  <c r="G2826" i="13" s="1"/>
  <c r="F2827" i="13"/>
  <c r="G2827" i="13" s="1"/>
  <c r="F2828" i="13"/>
  <c r="G2828" i="13" s="1"/>
  <c r="F2829" i="13"/>
  <c r="G2829" i="13" s="1"/>
  <c r="F2830" i="13"/>
  <c r="G2830" i="13" s="1"/>
  <c r="F2831" i="13"/>
  <c r="G2831" i="13" s="1"/>
  <c r="F2832" i="13"/>
  <c r="G2832" i="13" s="1"/>
  <c r="F2833" i="13"/>
  <c r="G2833" i="13" s="1"/>
  <c r="F2834" i="13"/>
  <c r="G2834" i="13" s="1"/>
  <c r="F2835" i="13"/>
  <c r="G2835" i="13" s="1"/>
  <c r="F2836" i="13"/>
  <c r="G2836" i="13" s="1"/>
  <c r="F2837" i="13"/>
  <c r="G2837" i="13" s="1"/>
  <c r="F2838" i="13"/>
  <c r="G2838" i="13" s="1"/>
  <c r="F2839" i="13"/>
  <c r="G2839" i="13" s="1"/>
  <c r="F2840" i="13"/>
  <c r="G2840" i="13" s="1"/>
  <c r="F2841" i="13"/>
  <c r="G2841" i="13" s="1"/>
  <c r="F2842" i="13"/>
  <c r="G2842" i="13" s="1"/>
  <c r="F2843" i="13"/>
  <c r="G2843" i="13" s="1"/>
  <c r="F2844" i="13"/>
  <c r="G2844" i="13" s="1"/>
  <c r="F2845" i="13"/>
  <c r="G2845" i="13" s="1"/>
  <c r="F2846" i="13"/>
  <c r="G2846" i="13" s="1"/>
  <c r="F2847" i="13"/>
  <c r="G2847" i="13" s="1"/>
  <c r="F2848" i="13"/>
  <c r="G2848" i="13" s="1"/>
  <c r="F2849" i="13"/>
  <c r="G2849" i="13" s="1"/>
  <c r="F2850" i="13"/>
  <c r="G2850" i="13" s="1"/>
  <c r="F2851" i="13"/>
  <c r="G2851" i="13" s="1"/>
  <c r="F2852" i="13"/>
  <c r="G2852" i="13" s="1"/>
  <c r="F2853" i="13"/>
  <c r="G2853" i="13" s="1"/>
  <c r="F2854" i="13"/>
  <c r="G2854" i="13" s="1"/>
  <c r="F2855" i="13"/>
  <c r="G2855" i="13" s="1"/>
  <c r="F2856" i="13"/>
  <c r="G2856" i="13" s="1"/>
  <c r="F2857" i="13"/>
  <c r="G2857" i="13" s="1"/>
  <c r="F2858" i="13"/>
  <c r="G2858" i="13" s="1"/>
  <c r="F2859" i="13"/>
  <c r="G2859" i="13" s="1"/>
  <c r="F2860" i="13"/>
  <c r="G2860" i="13" s="1"/>
  <c r="F2861" i="13"/>
  <c r="G2861" i="13" s="1"/>
  <c r="F2862" i="13"/>
  <c r="G2862" i="13" s="1"/>
  <c r="F2863" i="13"/>
  <c r="G2863" i="13" s="1"/>
  <c r="F2864" i="13"/>
  <c r="G2864" i="13" s="1"/>
  <c r="F2865" i="13"/>
  <c r="G2865" i="13" s="1"/>
  <c r="F2866" i="13"/>
  <c r="G2866" i="13" s="1"/>
  <c r="F2867" i="13"/>
  <c r="G2867" i="13" s="1"/>
  <c r="F2868" i="13"/>
  <c r="G2868" i="13" s="1"/>
  <c r="F2869" i="13"/>
  <c r="G2869" i="13" s="1"/>
  <c r="F2870" i="13"/>
  <c r="G2870" i="13" s="1"/>
  <c r="F2871" i="13"/>
  <c r="G2871" i="13" s="1"/>
  <c r="F2872" i="13"/>
  <c r="G2872" i="13" s="1"/>
  <c r="F2873" i="13"/>
  <c r="G2873" i="13" s="1"/>
  <c r="F2874" i="13"/>
  <c r="G2874" i="13" s="1"/>
  <c r="F2875" i="13"/>
  <c r="G2875" i="13" s="1"/>
  <c r="F2876" i="13"/>
  <c r="G2876" i="13" s="1"/>
  <c r="F2877" i="13"/>
  <c r="G2877" i="13" s="1"/>
  <c r="F2878" i="13"/>
  <c r="G2878" i="13" s="1"/>
  <c r="F2879" i="13"/>
  <c r="G2879" i="13" s="1"/>
  <c r="F2880" i="13"/>
  <c r="G2880" i="13" s="1"/>
  <c r="F2881" i="13"/>
  <c r="G2881" i="13" s="1"/>
  <c r="F2882" i="13"/>
  <c r="G2882" i="13" s="1"/>
  <c r="F2883" i="13"/>
  <c r="G2883" i="13" s="1"/>
  <c r="F2884" i="13"/>
  <c r="G2884" i="13" s="1"/>
  <c r="F2885" i="13"/>
  <c r="G2885" i="13" s="1"/>
  <c r="F2886" i="13"/>
  <c r="G2886" i="13" s="1"/>
  <c r="F2887" i="13"/>
  <c r="G2887" i="13" s="1"/>
  <c r="F2888" i="13"/>
  <c r="G2888" i="13" s="1"/>
  <c r="F2889" i="13"/>
  <c r="G2889" i="13" s="1"/>
  <c r="F2890" i="13"/>
  <c r="G2890" i="13" s="1"/>
  <c r="F2891" i="13"/>
  <c r="G2891" i="13" s="1"/>
  <c r="F2892" i="13"/>
  <c r="G2892" i="13" s="1"/>
  <c r="F2893" i="13"/>
  <c r="G2893" i="13" s="1"/>
  <c r="F2894" i="13"/>
  <c r="G2894" i="13" s="1"/>
  <c r="F2895" i="13"/>
  <c r="G2895" i="13" s="1"/>
  <c r="F2896" i="13"/>
  <c r="G2896" i="13" s="1"/>
  <c r="F2897" i="13"/>
  <c r="G2897" i="13" s="1"/>
  <c r="F2898" i="13"/>
  <c r="G2898" i="13" s="1"/>
  <c r="F2899" i="13"/>
  <c r="G2899" i="13" s="1"/>
  <c r="F2900" i="13"/>
  <c r="G2900" i="13" s="1"/>
  <c r="F2901" i="13"/>
  <c r="G2901" i="13" s="1"/>
  <c r="F2902" i="13"/>
  <c r="G2902" i="13" s="1"/>
  <c r="F2903" i="13"/>
  <c r="G2903" i="13" s="1"/>
  <c r="F2904" i="13"/>
  <c r="G2904" i="13" s="1"/>
  <c r="F2905" i="13"/>
  <c r="G2905" i="13" s="1"/>
  <c r="F2906" i="13"/>
  <c r="G2906" i="13" s="1"/>
  <c r="F2907" i="13"/>
  <c r="G2907" i="13" s="1"/>
  <c r="F2908" i="13"/>
  <c r="G2908" i="13" s="1"/>
  <c r="F2909" i="13"/>
  <c r="G2909" i="13" s="1"/>
  <c r="F2910" i="13"/>
  <c r="G2910" i="13" s="1"/>
  <c r="F2911" i="13"/>
  <c r="G2911" i="13" s="1"/>
  <c r="F2912" i="13"/>
  <c r="G2912" i="13" s="1"/>
  <c r="F2913" i="13"/>
  <c r="G2913" i="13" s="1"/>
  <c r="F2914" i="13"/>
  <c r="G2914" i="13" s="1"/>
  <c r="F2915" i="13"/>
  <c r="G2915" i="13" s="1"/>
  <c r="F2916" i="13"/>
  <c r="G2916" i="13" s="1"/>
  <c r="F2917" i="13"/>
  <c r="G2917" i="13" s="1"/>
  <c r="F2918" i="13"/>
  <c r="G2918" i="13" s="1"/>
  <c r="F2919" i="13"/>
  <c r="G2919" i="13" s="1"/>
  <c r="F2920" i="13"/>
  <c r="G2920" i="13" s="1"/>
  <c r="F2921" i="13"/>
  <c r="G2921" i="13" s="1"/>
  <c r="F2922" i="13"/>
  <c r="G2922" i="13" s="1"/>
  <c r="F2923" i="13"/>
  <c r="G2923" i="13" s="1"/>
  <c r="F2924" i="13"/>
  <c r="G2924" i="13" s="1"/>
  <c r="F2925" i="13"/>
  <c r="G2925" i="13" s="1"/>
  <c r="F2926" i="13"/>
  <c r="G2926" i="13" s="1"/>
  <c r="F2927" i="13"/>
  <c r="G2927" i="13" s="1"/>
  <c r="F2928" i="13"/>
  <c r="G2928" i="13" s="1"/>
  <c r="F2929" i="13"/>
  <c r="G2929" i="13" s="1"/>
  <c r="F2930" i="13"/>
  <c r="G2930" i="13" s="1"/>
  <c r="F2931" i="13"/>
  <c r="G2931" i="13" s="1"/>
  <c r="F2932" i="13"/>
  <c r="G2932" i="13" s="1"/>
  <c r="F2933" i="13"/>
  <c r="G2933" i="13" s="1"/>
  <c r="F2934" i="13"/>
  <c r="G2934" i="13" s="1"/>
  <c r="F2935" i="13"/>
  <c r="G2935" i="13" s="1"/>
  <c r="F2936" i="13"/>
  <c r="G2936" i="13" s="1"/>
  <c r="F2937" i="13"/>
  <c r="G2937" i="13" s="1"/>
  <c r="F2938" i="13"/>
  <c r="G2938" i="13" s="1"/>
  <c r="F2939" i="13"/>
  <c r="G2939" i="13" s="1"/>
  <c r="F2940" i="13"/>
  <c r="G2940" i="13" s="1"/>
  <c r="F2941" i="13"/>
  <c r="G2941" i="13" s="1"/>
  <c r="F2942" i="13"/>
  <c r="G2942" i="13" s="1"/>
  <c r="F2943" i="13"/>
  <c r="G2943" i="13" s="1"/>
  <c r="F2944" i="13"/>
  <c r="G2944" i="13" s="1"/>
  <c r="F2945" i="13"/>
  <c r="G2945" i="13" s="1"/>
  <c r="F2946" i="13"/>
  <c r="G2946" i="13" s="1"/>
  <c r="F2947" i="13"/>
  <c r="G2947" i="13" s="1"/>
  <c r="F2948" i="13"/>
  <c r="G2948" i="13" s="1"/>
  <c r="F2949" i="13"/>
  <c r="G2949" i="13" s="1"/>
  <c r="F2950" i="13"/>
  <c r="G2950" i="13" s="1"/>
  <c r="F2951" i="13"/>
  <c r="G2951" i="13" s="1"/>
  <c r="F2952" i="13"/>
  <c r="G2952" i="13" s="1"/>
  <c r="F2953" i="13"/>
  <c r="G2953" i="13" s="1"/>
  <c r="F2954" i="13"/>
  <c r="G2954" i="13" s="1"/>
  <c r="F2955" i="13"/>
  <c r="G2955" i="13" s="1"/>
  <c r="F2956" i="13"/>
  <c r="G2956" i="13" s="1"/>
  <c r="F2957" i="13"/>
  <c r="G2957" i="13" s="1"/>
  <c r="F2958" i="13"/>
  <c r="G2958" i="13" s="1"/>
  <c r="F2959" i="13"/>
  <c r="G2959" i="13" s="1"/>
  <c r="F2960" i="13"/>
  <c r="G2960" i="13" s="1"/>
  <c r="F2961" i="13"/>
  <c r="G2961" i="13" s="1"/>
  <c r="F2962" i="13"/>
  <c r="G2962" i="13" s="1"/>
  <c r="F2963" i="13"/>
  <c r="G2963" i="13" s="1"/>
  <c r="F2964" i="13"/>
  <c r="G2964" i="13" s="1"/>
  <c r="F2965" i="13"/>
  <c r="G2965" i="13" s="1"/>
  <c r="F2966" i="13"/>
  <c r="G2966" i="13" s="1"/>
  <c r="F2967" i="13"/>
  <c r="G2967" i="13" s="1"/>
  <c r="F2968" i="13"/>
  <c r="G2968" i="13" s="1"/>
  <c r="F2969" i="13"/>
  <c r="G2969" i="13" s="1"/>
  <c r="F2970" i="13"/>
  <c r="G2970" i="13" s="1"/>
  <c r="F2971" i="13"/>
  <c r="G2971" i="13" s="1"/>
  <c r="F2972" i="13"/>
  <c r="G2972" i="13" s="1"/>
  <c r="F2973" i="13"/>
  <c r="G2973" i="13" s="1"/>
  <c r="F2974" i="13"/>
  <c r="G2974" i="13" s="1"/>
  <c r="F2975" i="13"/>
  <c r="G2975" i="13" s="1"/>
  <c r="F2976" i="13"/>
  <c r="G2976" i="13" s="1"/>
  <c r="F2977" i="13"/>
  <c r="G2977" i="13" s="1"/>
  <c r="F2978" i="13"/>
  <c r="G2978" i="13" s="1"/>
  <c r="F2979" i="13"/>
  <c r="G2979" i="13" s="1"/>
  <c r="F2980" i="13"/>
  <c r="G2980" i="13" s="1"/>
  <c r="F2981" i="13"/>
  <c r="G2981" i="13" s="1"/>
  <c r="F2982" i="13"/>
  <c r="G2982" i="13" s="1"/>
  <c r="F2983" i="13"/>
  <c r="G2983" i="13" s="1"/>
  <c r="F2984" i="13"/>
  <c r="G2984" i="13" s="1"/>
  <c r="F2985" i="13"/>
  <c r="G2985" i="13" s="1"/>
  <c r="F2986" i="13"/>
  <c r="G2986" i="13" s="1"/>
  <c r="F2987" i="13"/>
  <c r="G2987" i="13" s="1"/>
  <c r="F2988" i="13"/>
  <c r="G2988" i="13" s="1"/>
  <c r="F2989" i="13"/>
  <c r="G2989" i="13" s="1"/>
  <c r="F2990" i="13"/>
  <c r="G2990" i="13" s="1"/>
  <c r="F2991" i="13"/>
  <c r="G2991" i="13" s="1"/>
  <c r="F2992" i="13"/>
  <c r="G2992" i="13" s="1"/>
  <c r="F2993" i="13"/>
  <c r="G2993" i="13" s="1"/>
  <c r="F2994" i="13"/>
  <c r="G2994" i="13" s="1"/>
  <c r="F2995" i="13"/>
  <c r="G2995" i="13" s="1"/>
  <c r="F2996" i="13"/>
  <c r="G2996" i="13" s="1"/>
  <c r="F2997" i="13"/>
  <c r="G2997" i="13" s="1"/>
  <c r="F2998" i="13"/>
  <c r="G2998" i="13" s="1"/>
  <c r="F2999" i="13"/>
  <c r="G2999" i="13" s="1"/>
  <c r="F3000" i="13"/>
  <c r="G3000" i="13" s="1"/>
  <c r="F3001" i="13"/>
  <c r="G3001" i="13" s="1"/>
  <c r="F3002" i="13"/>
  <c r="G3002" i="13" s="1"/>
  <c r="F3003" i="13"/>
  <c r="G3003" i="13" s="1"/>
  <c r="F3004" i="13"/>
  <c r="G3004" i="13" s="1"/>
  <c r="F3005" i="13"/>
  <c r="G3005" i="13" s="1"/>
  <c r="F3006" i="13"/>
  <c r="G3006" i="13" s="1"/>
  <c r="F3007" i="13"/>
  <c r="G3007" i="13" s="1"/>
  <c r="F3008" i="13"/>
  <c r="G3008" i="13" s="1"/>
  <c r="F3009" i="13"/>
  <c r="G3009" i="13" s="1"/>
  <c r="F3010" i="13"/>
  <c r="G3010" i="13" s="1"/>
  <c r="F3011" i="13"/>
  <c r="G3011" i="13" s="1"/>
  <c r="F3012" i="13"/>
  <c r="G3012" i="13" s="1"/>
  <c r="F3013" i="13"/>
  <c r="G3013" i="13" s="1"/>
  <c r="F3014" i="13"/>
  <c r="G3014" i="13" s="1"/>
  <c r="F3015" i="13"/>
  <c r="G3015" i="13" s="1"/>
  <c r="F3016" i="13"/>
  <c r="G3016" i="13" s="1"/>
  <c r="F3017" i="13"/>
  <c r="G3017" i="13" s="1"/>
  <c r="F3018" i="13"/>
  <c r="G3018" i="13" s="1"/>
  <c r="F3019" i="13"/>
  <c r="G3019" i="13" s="1"/>
  <c r="F3020" i="13"/>
  <c r="G3020" i="13" s="1"/>
  <c r="F3021" i="13"/>
  <c r="G3021" i="13" s="1"/>
  <c r="F3022" i="13"/>
  <c r="G3022" i="13" s="1"/>
  <c r="F3023" i="13"/>
  <c r="G3023" i="13" s="1"/>
  <c r="F3024" i="13"/>
  <c r="G3024" i="13" s="1"/>
  <c r="F3025" i="13"/>
  <c r="G3025" i="13" s="1"/>
  <c r="F3026" i="13"/>
  <c r="G3026" i="13" s="1"/>
  <c r="F3027" i="13"/>
  <c r="G3027" i="13" s="1"/>
  <c r="F3028" i="13"/>
  <c r="G3028" i="13" s="1"/>
  <c r="F3029" i="13"/>
  <c r="G3029" i="13" s="1"/>
  <c r="F3030" i="13"/>
  <c r="G3030" i="13" s="1"/>
  <c r="F3031" i="13"/>
  <c r="G3031" i="13" s="1"/>
  <c r="F3032" i="13"/>
  <c r="G3032" i="13" s="1"/>
  <c r="F3033" i="13"/>
  <c r="G3033" i="13" s="1"/>
  <c r="F3034" i="13"/>
  <c r="G3034" i="13" s="1"/>
  <c r="F3035" i="13"/>
  <c r="G3035" i="13" s="1"/>
  <c r="F3036" i="13"/>
  <c r="G3036" i="13" s="1"/>
  <c r="F3037" i="13"/>
  <c r="G3037" i="13" s="1"/>
  <c r="F3038" i="13"/>
  <c r="G3038" i="13" s="1"/>
  <c r="F3039" i="13"/>
  <c r="G3039" i="13" s="1"/>
  <c r="F3040" i="13"/>
  <c r="G3040" i="13" s="1"/>
  <c r="F3041" i="13"/>
  <c r="G3041" i="13" s="1"/>
  <c r="F3042" i="13"/>
  <c r="G3042" i="13" s="1"/>
  <c r="F3043" i="13"/>
  <c r="G3043" i="13" s="1"/>
  <c r="F3044" i="13"/>
  <c r="G3044" i="13" s="1"/>
  <c r="F3045" i="13"/>
  <c r="G3045" i="13" s="1"/>
  <c r="F3046" i="13"/>
  <c r="G3046" i="13" s="1"/>
  <c r="F3047" i="13"/>
  <c r="G3047" i="13" s="1"/>
  <c r="F3048" i="13"/>
  <c r="G3048" i="13" s="1"/>
  <c r="F3049" i="13"/>
  <c r="G3049" i="13" s="1"/>
  <c r="F3050" i="13"/>
  <c r="G3050" i="13" s="1"/>
  <c r="F3051" i="13"/>
  <c r="G3051" i="13" s="1"/>
  <c r="F3052" i="13"/>
  <c r="G3052" i="13" s="1"/>
  <c r="F3053" i="13"/>
  <c r="G3053" i="13" s="1"/>
  <c r="F3054" i="13"/>
  <c r="G3054" i="13" s="1"/>
  <c r="F3055" i="13"/>
  <c r="G3055" i="13" s="1"/>
  <c r="F3056" i="13"/>
  <c r="G3056" i="13" s="1"/>
  <c r="F3057" i="13"/>
  <c r="G3057" i="13" s="1"/>
  <c r="F3058" i="13"/>
  <c r="G3058" i="13" s="1"/>
  <c r="F3059" i="13"/>
  <c r="G3059" i="13" s="1"/>
  <c r="F3060" i="13"/>
  <c r="G3060" i="13" s="1"/>
  <c r="F3061" i="13"/>
  <c r="G3061" i="13" s="1"/>
  <c r="F3062" i="13"/>
  <c r="G3062" i="13" s="1"/>
  <c r="F3063" i="13"/>
  <c r="G3063" i="13" s="1"/>
  <c r="F3064" i="13"/>
  <c r="G3064" i="13" s="1"/>
  <c r="F3065" i="13"/>
  <c r="G3065" i="13" s="1"/>
  <c r="F3066" i="13"/>
  <c r="G3066" i="13" s="1"/>
  <c r="F3067" i="13"/>
  <c r="G3067" i="13" s="1"/>
  <c r="F3068" i="13"/>
  <c r="G3068" i="13" s="1"/>
  <c r="F3069" i="13"/>
  <c r="G3069" i="13" s="1"/>
  <c r="F3070" i="13"/>
  <c r="G3070" i="13" s="1"/>
  <c r="F3071" i="13"/>
  <c r="G3071" i="13" s="1"/>
  <c r="F3072" i="13"/>
  <c r="G3072" i="13" s="1"/>
  <c r="F3073" i="13"/>
  <c r="G3073" i="13" s="1"/>
  <c r="F3074" i="13"/>
  <c r="G3074" i="13" s="1"/>
  <c r="F3075" i="13"/>
  <c r="G3075" i="13" s="1"/>
  <c r="F3076" i="13"/>
  <c r="G3076" i="13" s="1"/>
  <c r="F3077" i="13"/>
  <c r="G3077" i="13" s="1"/>
  <c r="F3078" i="13"/>
  <c r="G3078" i="13" s="1"/>
  <c r="F3079" i="13"/>
  <c r="G3079" i="13" s="1"/>
  <c r="F3080" i="13"/>
  <c r="G3080" i="13" s="1"/>
  <c r="F3081" i="13"/>
  <c r="G3081" i="13" s="1"/>
  <c r="F3082" i="13"/>
  <c r="G3082" i="13" s="1"/>
  <c r="F3083" i="13"/>
  <c r="G3083" i="13" s="1"/>
  <c r="F3084" i="13"/>
  <c r="G3084" i="13" s="1"/>
  <c r="F3085" i="13"/>
  <c r="G3085" i="13" s="1"/>
  <c r="F3086" i="13"/>
  <c r="G3086" i="13" s="1"/>
  <c r="F3087" i="13"/>
  <c r="G3087" i="13" s="1"/>
  <c r="F3088" i="13"/>
  <c r="G3088" i="13" s="1"/>
  <c r="F3089" i="13"/>
  <c r="G3089" i="13" s="1"/>
  <c r="F3090" i="13"/>
  <c r="G3090" i="13" s="1"/>
  <c r="F3091" i="13"/>
  <c r="G3091" i="13" s="1"/>
  <c r="F3092" i="13"/>
  <c r="G3092" i="13" s="1"/>
  <c r="F3093" i="13"/>
  <c r="G3093" i="13" s="1"/>
  <c r="F3094" i="13"/>
  <c r="G3094" i="13" s="1"/>
  <c r="F3095" i="13"/>
  <c r="G3095" i="13" s="1"/>
  <c r="F3096" i="13"/>
  <c r="G3096" i="13" s="1"/>
  <c r="F3097" i="13"/>
  <c r="G3097" i="13" s="1"/>
  <c r="F3098" i="13"/>
  <c r="G3098" i="13" s="1"/>
  <c r="F3099" i="13"/>
  <c r="G3099" i="13" s="1"/>
  <c r="F3100" i="13"/>
  <c r="G3100" i="13" s="1"/>
  <c r="F3101" i="13"/>
  <c r="G3101" i="13" s="1"/>
  <c r="F3102" i="13"/>
  <c r="G3102" i="13" s="1"/>
  <c r="F3103" i="13"/>
  <c r="G3103" i="13" s="1"/>
  <c r="F3104" i="13"/>
  <c r="G3104" i="13" s="1"/>
  <c r="F3105" i="13"/>
  <c r="G3105" i="13" s="1"/>
  <c r="F3106" i="13"/>
  <c r="G3106" i="13" s="1"/>
  <c r="F3107" i="13"/>
  <c r="G3107" i="13" s="1"/>
  <c r="F3108" i="13"/>
  <c r="G3108" i="13" s="1"/>
  <c r="F3109" i="13"/>
  <c r="G3109" i="13" s="1"/>
  <c r="F3110" i="13"/>
  <c r="G3110" i="13" s="1"/>
  <c r="F3111" i="13"/>
  <c r="G3111" i="13" s="1"/>
  <c r="F3112" i="13"/>
  <c r="G3112" i="13" s="1"/>
  <c r="F3113" i="13"/>
  <c r="G3113" i="13" s="1"/>
  <c r="F3114" i="13"/>
  <c r="G3114" i="13" s="1"/>
  <c r="F3115" i="13"/>
  <c r="G3115" i="13" s="1"/>
  <c r="F3116" i="13"/>
  <c r="G3116" i="13" s="1"/>
  <c r="F3117" i="13"/>
  <c r="G3117" i="13" s="1"/>
  <c r="F3118" i="13"/>
  <c r="G3118" i="13" s="1"/>
  <c r="F3119" i="13"/>
  <c r="G3119" i="13" s="1"/>
  <c r="F3120" i="13"/>
  <c r="G3120" i="13" s="1"/>
  <c r="F3121" i="13"/>
  <c r="G3121" i="13" s="1"/>
  <c r="F3122" i="13"/>
  <c r="G3122" i="13" s="1"/>
  <c r="F3123" i="13"/>
  <c r="G3123" i="13" s="1"/>
  <c r="F3124" i="13"/>
  <c r="G3124" i="13" s="1"/>
  <c r="F3125" i="13"/>
  <c r="G3125" i="13" s="1"/>
  <c r="F3126" i="13"/>
  <c r="G3126" i="13" s="1"/>
  <c r="F3127" i="13"/>
  <c r="G3127" i="13" s="1"/>
  <c r="F3128" i="13"/>
  <c r="G3128" i="13" s="1"/>
  <c r="F3129" i="13"/>
  <c r="G3129" i="13" s="1"/>
  <c r="F3130" i="13"/>
  <c r="G3130" i="13" s="1"/>
  <c r="F3131" i="13"/>
  <c r="G3131" i="13" s="1"/>
  <c r="F3132" i="13"/>
  <c r="G3132" i="13" s="1"/>
  <c r="F3133" i="13"/>
  <c r="G3133" i="13" s="1"/>
  <c r="F3134" i="13"/>
  <c r="G3134" i="13" s="1"/>
  <c r="F3135" i="13"/>
  <c r="G3135" i="13" s="1"/>
  <c r="F3136" i="13"/>
  <c r="G3136" i="13" s="1"/>
  <c r="F3137" i="13"/>
  <c r="G3137" i="13" s="1"/>
  <c r="F3138" i="13"/>
  <c r="G3138" i="13" s="1"/>
  <c r="F3139" i="13"/>
  <c r="G3139" i="13" s="1"/>
  <c r="F3140" i="13"/>
  <c r="G3140" i="13" s="1"/>
  <c r="F3141" i="13"/>
  <c r="G3141" i="13" s="1"/>
  <c r="F3142" i="13"/>
  <c r="G3142" i="13" s="1"/>
  <c r="F3143" i="13"/>
  <c r="G3143" i="13" s="1"/>
  <c r="F3144" i="13"/>
  <c r="G3144" i="13" s="1"/>
  <c r="F3145" i="13"/>
  <c r="G3145" i="13" s="1"/>
  <c r="F3146" i="13"/>
  <c r="G3146" i="13" s="1"/>
  <c r="F3147" i="13"/>
  <c r="G3147" i="13" s="1"/>
  <c r="F3148" i="13"/>
  <c r="G3148" i="13" s="1"/>
  <c r="F3149" i="13"/>
  <c r="G3149" i="13" s="1"/>
  <c r="F3150" i="13"/>
  <c r="G3150" i="13" s="1"/>
  <c r="F3151" i="13"/>
  <c r="G3151" i="13" s="1"/>
  <c r="F3152" i="13"/>
  <c r="G3152" i="13" s="1"/>
  <c r="F3153" i="13"/>
  <c r="G3153" i="13" s="1"/>
  <c r="F3154" i="13"/>
  <c r="G3154" i="13" s="1"/>
  <c r="F3155" i="13"/>
  <c r="G3155" i="13" s="1"/>
  <c r="F3156" i="13"/>
  <c r="G3156" i="13" s="1"/>
  <c r="F3157" i="13"/>
  <c r="G3157" i="13" s="1"/>
  <c r="F3158" i="13"/>
  <c r="G3158" i="13" s="1"/>
  <c r="F3159" i="13"/>
  <c r="G3159" i="13" s="1"/>
  <c r="F3160" i="13"/>
  <c r="G3160" i="13" s="1"/>
  <c r="F3161" i="13"/>
  <c r="G3161" i="13" s="1"/>
  <c r="F3162" i="13"/>
  <c r="G3162" i="13" s="1"/>
  <c r="F3163" i="13"/>
  <c r="G3163" i="13" s="1"/>
  <c r="F3164" i="13"/>
  <c r="G3164" i="13" s="1"/>
  <c r="F3165" i="13"/>
  <c r="G3165" i="13" s="1"/>
  <c r="F3166" i="13"/>
  <c r="G3166" i="13" s="1"/>
  <c r="F3167" i="13"/>
  <c r="G3167" i="13" s="1"/>
  <c r="F3168" i="13"/>
  <c r="G3168" i="13" s="1"/>
  <c r="F3169" i="13"/>
  <c r="G3169" i="13" s="1"/>
  <c r="F3170" i="13"/>
  <c r="G3170" i="13" s="1"/>
  <c r="F3171" i="13"/>
  <c r="G3171" i="13" s="1"/>
  <c r="F3172" i="13"/>
  <c r="G3172" i="13" s="1"/>
  <c r="F3173" i="13"/>
  <c r="G3173" i="13" s="1"/>
  <c r="F3174" i="13"/>
  <c r="G3174" i="13" s="1"/>
  <c r="F3175" i="13"/>
  <c r="G3175" i="13" s="1"/>
  <c r="F3176" i="13"/>
  <c r="G3176" i="13" s="1"/>
  <c r="F3177" i="13"/>
  <c r="G3177" i="13" s="1"/>
  <c r="F3178" i="13"/>
  <c r="G3178" i="13" s="1"/>
  <c r="F3179" i="13"/>
  <c r="G3179" i="13" s="1"/>
  <c r="F3180" i="13"/>
  <c r="G3180" i="13" s="1"/>
  <c r="F3181" i="13"/>
  <c r="G3181" i="13" s="1"/>
  <c r="F3182" i="13"/>
  <c r="G3182" i="13" s="1"/>
  <c r="F3183" i="13"/>
  <c r="G3183" i="13" s="1"/>
  <c r="F3184" i="13"/>
  <c r="G3184" i="13" s="1"/>
  <c r="F3185" i="13"/>
  <c r="G3185" i="13" s="1"/>
  <c r="F3186" i="13"/>
  <c r="G3186" i="13" s="1"/>
  <c r="F3187" i="13"/>
  <c r="G3187" i="13" s="1"/>
  <c r="F3188" i="13"/>
  <c r="G3188" i="13" s="1"/>
  <c r="F3189" i="13"/>
  <c r="G3189" i="13" s="1"/>
  <c r="F3190" i="13"/>
  <c r="G3190" i="13" s="1"/>
  <c r="F3191" i="13"/>
  <c r="G3191" i="13" s="1"/>
  <c r="F3192" i="13"/>
  <c r="G3192" i="13" s="1"/>
  <c r="F3193" i="13"/>
  <c r="G3193" i="13" s="1"/>
  <c r="F3194" i="13"/>
  <c r="G3194" i="13" s="1"/>
  <c r="F3195" i="13"/>
  <c r="G3195" i="13" s="1"/>
  <c r="F3196" i="13"/>
  <c r="G3196" i="13" s="1"/>
  <c r="F3197" i="13"/>
  <c r="G3197" i="13" s="1"/>
  <c r="F3198" i="13"/>
  <c r="G3198" i="13" s="1"/>
  <c r="F3199" i="13"/>
  <c r="G3199" i="13" s="1"/>
  <c r="F3200" i="13"/>
  <c r="G3200" i="13" s="1"/>
  <c r="F3201" i="13"/>
  <c r="G3201" i="13" s="1"/>
  <c r="F3202" i="13"/>
  <c r="G3202" i="13" s="1"/>
  <c r="F3203" i="13"/>
  <c r="G3203" i="13" s="1"/>
  <c r="F3204" i="13"/>
  <c r="G3204" i="13" s="1"/>
  <c r="F3205" i="13"/>
  <c r="G3205" i="13" s="1"/>
  <c r="F3206" i="13"/>
  <c r="G3206" i="13" s="1"/>
  <c r="F3207" i="13"/>
  <c r="G3207" i="13" s="1"/>
  <c r="F3208" i="13"/>
  <c r="G3208" i="13" s="1"/>
  <c r="F3209" i="13"/>
  <c r="G3209" i="13" s="1"/>
  <c r="F3210" i="13"/>
  <c r="G3210" i="13" s="1"/>
  <c r="F3211" i="13"/>
  <c r="G3211" i="13" s="1"/>
  <c r="F3212" i="13"/>
  <c r="G3212" i="13" s="1"/>
  <c r="F3213" i="13"/>
  <c r="G3213" i="13" s="1"/>
  <c r="F3214" i="13"/>
  <c r="G3214" i="13" s="1"/>
  <c r="F3215" i="13"/>
  <c r="G3215" i="13" s="1"/>
  <c r="F3216" i="13"/>
  <c r="G3216" i="13" s="1"/>
  <c r="F3217" i="13"/>
  <c r="G3217" i="13" s="1"/>
  <c r="F3218" i="13"/>
  <c r="G3218" i="13" s="1"/>
  <c r="F3219" i="13"/>
  <c r="G3219" i="13" s="1"/>
  <c r="F3220" i="13"/>
  <c r="G3220" i="13" s="1"/>
  <c r="F3221" i="13"/>
  <c r="G3221" i="13" s="1"/>
  <c r="F3222" i="13"/>
  <c r="G3222" i="13" s="1"/>
  <c r="F3223" i="13"/>
  <c r="G3223" i="13" s="1"/>
  <c r="F3224" i="13"/>
  <c r="G3224" i="13" s="1"/>
  <c r="F3225" i="13"/>
  <c r="G3225" i="13" s="1"/>
  <c r="F3226" i="13"/>
  <c r="G3226" i="13" s="1"/>
  <c r="F3227" i="13"/>
  <c r="G3227" i="13" s="1"/>
  <c r="F3228" i="13"/>
  <c r="G3228" i="13" s="1"/>
  <c r="F3229" i="13"/>
  <c r="G3229" i="13" s="1"/>
  <c r="F3230" i="13"/>
  <c r="G3230" i="13" s="1"/>
  <c r="F3231" i="13"/>
  <c r="G3231" i="13" s="1"/>
  <c r="F3232" i="13"/>
  <c r="G3232" i="13" s="1"/>
  <c r="F3233" i="13"/>
  <c r="G3233" i="13" s="1"/>
  <c r="F3234" i="13"/>
  <c r="G3234" i="13" s="1"/>
  <c r="F3235" i="13"/>
  <c r="G3235" i="13" s="1"/>
  <c r="F3236" i="13"/>
  <c r="G3236" i="13" s="1"/>
  <c r="F3237" i="13"/>
  <c r="G3237" i="13" s="1"/>
  <c r="F3238" i="13"/>
  <c r="G3238" i="13" s="1"/>
  <c r="F3239" i="13"/>
  <c r="G3239" i="13" s="1"/>
  <c r="F3240" i="13"/>
  <c r="G3240" i="13" s="1"/>
  <c r="F3241" i="13"/>
  <c r="G3241" i="13" s="1"/>
  <c r="F3242" i="13"/>
  <c r="G3242" i="13" s="1"/>
  <c r="F3243" i="13"/>
  <c r="G3243" i="13" s="1"/>
  <c r="F3244" i="13"/>
  <c r="G3244" i="13" s="1"/>
  <c r="F3245" i="13"/>
  <c r="G3245" i="13" s="1"/>
  <c r="F3246" i="13"/>
  <c r="G3246" i="13" s="1"/>
  <c r="F3247" i="13"/>
  <c r="G3247" i="13" s="1"/>
  <c r="F3248" i="13"/>
  <c r="G3248" i="13" s="1"/>
  <c r="F3249" i="13"/>
  <c r="G3249" i="13" s="1"/>
  <c r="F3250" i="13"/>
  <c r="G3250" i="13" s="1"/>
  <c r="F3251" i="13"/>
  <c r="G3251" i="13" s="1"/>
  <c r="F3252" i="13"/>
  <c r="G3252" i="13" s="1"/>
  <c r="F3253" i="13"/>
  <c r="G3253" i="13" s="1"/>
  <c r="F3254" i="13"/>
  <c r="G3254" i="13" s="1"/>
  <c r="F3255" i="13"/>
  <c r="G3255" i="13" s="1"/>
  <c r="F3256" i="13"/>
  <c r="G3256" i="13" s="1"/>
  <c r="F3257" i="13"/>
  <c r="G3257" i="13" s="1"/>
  <c r="F3258" i="13"/>
  <c r="G3258" i="13" s="1"/>
  <c r="F3259" i="13"/>
  <c r="G3259" i="13" s="1"/>
  <c r="F3260" i="13"/>
  <c r="G3260" i="13" s="1"/>
  <c r="F3261" i="13"/>
  <c r="G3261" i="13" s="1"/>
  <c r="F3262" i="13"/>
  <c r="G3262" i="13" s="1"/>
  <c r="F3263" i="13"/>
  <c r="G3263" i="13" s="1"/>
  <c r="F3264" i="13"/>
  <c r="G3264" i="13" s="1"/>
  <c r="F3265" i="13"/>
  <c r="G3265" i="13" s="1"/>
  <c r="F3266" i="13"/>
  <c r="G3266" i="13" s="1"/>
  <c r="F3267" i="13"/>
  <c r="G3267" i="13" s="1"/>
  <c r="F3268" i="13"/>
  <c r="G3268" i="13" s="1"/>
  <c r="F3269" i="13"/>
  <c r="G3269" i="13" s="1"/>
  <c r="F3270" i="13"/>
  <c r="G3270" i="13" s="1"/>
  <c r="F3271" i="13"/>
  <c r="G3271" i="13" s="1"/>
  <c r="F3272" i="13"/>
  <c r="G3272" i="13" s="1"/>
  <c r="F3273" i="13"/>
  <c r="G3273" i="13" s="1"/>
  <c r="F3274" i="13"/>
  <c r="G3274" i="13" s="1"/>
  <c r="F3275" i="13"/>
  <c r="G3275" i="13" s="1"/>
  <c r="F3276" i="13"/>
  <c r="G3276" i="13" s="1"/>
  <c r="F3277" i="13"/>
  <c r="G3277" i="13" s="1"/>
  <c r="F3278" i="13"/>
  <c r="G3278" i="13" s="1"/>
  <c r="F3279" i="13"/>
  <c r="G3279" i="13" s="1"/>
  <c r="F3280" i="13"/>
  <c r="G3280" i="13" s="1"/>
  <c r="F3281" i="13"/>
  <c r="G3281" i="13" s="1"/>
  <c r="F3282" i="13"/>
  <c r="G3282" i="13" s="1"/>
  <c r="F3283" i="13"/>
  <c r="G3283" i="13" s="1"/>
  <c r="F3284" i="13"/>
  <c r="G3284" i="13" s="1"/>
  <c r="F3285" i="13"/>
  <c r="G3285" i="13" s="1"/>
  <c r="F3286" i="13"/>
  <c r="G3286" i="13" s="1"/>
  <c r="F3287" i="13"/>
  <c r="G3287" i="13" s="1"/>
  <c r="F3288" i="13"/>
  <c r="G3288" i="13" s="1"/>
  <c r="F3289" i="13"/>
  <c r="G3289" i="13" s="1"/>
  <c r="F3290" i="13"/>
  <c r="G3290" i="13" s="1"/>
  <c r="F3291" i="13"/>
  <c r="G3291" i="13" s="1"/>
  <c r="F3292" i="13"/>
  <c r="G3292" i="13" s="1"/>
  <c r="F3293" i="13"/>
  <c r="G3293" i="13" s="1"/>
  <c r="F3294" i="13"/>
  <c r="G3294" i="13" s="1"/>
  <c r="F3295" i="13"/>
  <c r="G3295" i="13" s="1"/>
  <c r="F3296" i="13"/>
  <c r="G3296" i="13" s="1"/>
  <c r="F3297" i="13"/>
  <c r="G3297" i="13" s="1"/>
  <c r="F3298" i="13"/>
  <c r="G3298" i="13" s="1"/>
  <c r="F3299" i="13"/>
  <c r="G3299" i="13" s="1"/>
  <c r="F3300" i="13"/>
  <c r="G3300" i="13" s="1"/>
  <c r="F3301" i="13"/>
  <c r="G3301" i="13" s="1"/>
  <c r="F3302" i="13"/>
  <c r="G3302" i="13" s="1"/>
  <c r="F3303" i="13"/>
  <c r="G3303" i="13" s="1"/>
  <c r="F3304" i="13"/>
  <c r="G3304" i="13" s="1"/>
  <c r="F3305" i="13"/>
  <c r="G3305" i="13" s="1"/>
  <c r="F3306" i="13"/>
  <c r="G3306" i="13" s="1"/>
  <c r="F3307" i="13"/>
  <c r="G3307" i="13" s="1"/>
  <c r="F3308" i="13"/>
  <c r="G3308" i="13" s="1"/>
  <c r="F3309" i="13"/>
  <c r="G3309" i="13" s="1"/>
  <c r="F3310" i="13"/>
  <c r="G3310" i="13" s="1"/>
  <c r="F3311" i="13"/>
  <c r="G3311" i="13" s="1"/>
  <c r="F3312" i="13"/>
  <c r="G3312" i="13" s="1"/>
  <c r="F3313" i="13"/>
  <c r="G3313" i="13" s="1"/>
  <c r="F3314" i="13"/>
  <c r="G3314" i="13" s="1"/>
  <c r="F3315" i="13"/>
  <c r="G3315" i="13" s="1"/>
  <c r="F3316" i="13"/>
  <c r="G3316" i="13" s="1"/>
  <c r="F3317" i="13"/>
  <c r="G3317" i="13" s="1"/>
  <c r="F3318" i="13"/>
  <c r="G3318" i="13" s="1"/>
  <c r="F3319" i="13"/>
  <c r="G3319" i="13" s="1"/>
  <c r="F3320" i="13"/>
  <c r="G3320" i="13" s="1"/>
  <c r="F3321" i="13"/>
  <c r="G3321" i="13" s="1"/>
  <c r="F3322" i="13"/>
  <c r="G3322" i="13" s="1"/>
  <c r="F3323" i="13"/>
  <c r="G3323" i="13" s="1"/>
  <c r="F3324" i="13"/>
  <c r="G3324" i="13" s="1"/>
  <c r="F3325" i="13"/>
  <c r="G3325" i="13" s="1"/>
  <c r="F3326" i="13"/>
  <c r="G3326" i="13" s="1"/>
  <c r="F3327" i="13"/>
  <c r="G3327" i="13" s="1"/>
  <c r="F3328" i="13"/>
  <c r="G3328" i="13" s="1"/>
  <c r="F3329" i="13"/>
  <c r="G3329" i="13" s="1"/>
  <c r="F3330" i="13"/>
  <c r="G3330" i="13" s="1"/>
  <c r="F3331" i="13"/>
  <c r="G3331" i="13" s="1"/>
  <c r="F3332" i="13"/>
  <c r="G3332" i="13" s="1"/>
  <c r="F3333" i="13"/>
  <c r="G3333" i="13" s="1"/>
  <c r="F3334" i="13"/>
  <c r="G3334" i="13" s="1"/>
  <c r="F3335" i="13"/>
  <c r="G3335" i="13" s="1"/>
  <c r="F3336" i="13"/>
  <c r="G3336" i="13" s="1"/>
  <c r="F3337" i="13"/>
  <c r="G3337" i="13" s="1"/>
  <c r="F3338" i="13"/>
  <c r="G3338" i="13" s="1"/>
  <c r="F3339" i="13"/>
  <c r="G3339" i="13" s="1"/>
  <c r="F3340" i="13"/>
  <c r="G3340" i="13" s="1"/>
  <c r="F3341" i="13"/>
  <c r="G3341" i="13" s="1"/>
  <c r="F3342" i="13"/>
  <c r="G3342" i="13" s="1"/>
  <c r="F3343" i="13"/>
  <c r="G3343" i="13" s="1"/>
  <c r="F3344" i="13"/>
  <c r="G3344" i="13" s="1"/>
  <c r="F3345" i="13"/>
  <c r="G3345" i="13" s="1"/>
  <c r="F3346" i="13"/>
  <c r="G3346" i="13" s="1"/>
  <c r="F3347" i="13"/>
  <c r="G3347" i="13" s="1"/>
  <c r="F3348" i="13"/>
  <c r="G3348" i="13" s="1"/>
  <c r="F3349" i="13"/>
  <c r="G3349" i="13" s="1"/>
  <c r="F3350" i="13"/>
  <c r="G3350" i="13" s="1"/>
  <c r="F3351" i="13"/>
  <c r="G3351" i="13" s="1"/>
  <c r="F3352" i="13"/>
  <c r="G3352" i="13" s="1"/>
  <c r="F3353" i="13"/>
  <c r="G3353" i="13" s="1"/>
  <c r="F3354" i="13"/>
  <c r="G3354" i="13" s="1"/>
  <c r="F3355" i="13"/>
  <c r="G3355" i="13" s="1"/>
  <c r="F3356" i="13"/>
  <c r="G3356" i="13" s="1"/>
  <c r="F3357" i="13"/>
  <c r="G3357" i="13" s="1"/>
  <c r="F3358" i="13"/>
  <c r="G3358" i="13" s="1"/>
  <c r="F3359" i="13"/>
  <c r="G3359" i="13" s="1"/>
  <c r="F3360" i="13"/>
  <c r="G3360" i="13" s="1"/>
  <c r="F3361" i="13"/>
  <c r="G3361" i="13" s="1"/>
  <c r="F3362" i="13"/>
  <c r="G3362" i="13" s="1"/>
  <c r="F3363" i="13"/>
  <c r="G3363" i="13" s="1"/>
  <c r="F3364" i="13"/>
  <c r="G3364" i="13" s="1"/>
  <c r="F3365" i="13"/>
  <c r="G3365" i="13" s="1"/>
  <c r="F3366" i="13"/>
  <c r="G3366" i="13" s="1"/>
  <c r="F3367" i="13"/>
  <c r="G3367" i="13" s="1"/>
  <c r="F3368" i="13"/>
  <c r="G3368" i="13" s="1"/>
  <c r="F3369" i="13"/>
  <c r="G3369" i="13" s="1"/>
  <c r="F3370" i="13"/>
  <c r="G3370" i="13" s="1"/>
  <c r="F3371" i="13"/>
  <c r="G3371" i="13" s="1"/>
  <c r="F3372" i="13"/>
  <c r="G3372" i="13" s="1"/>
  <c r="F3373" i="13"/>
  <c r="G3373" i="13" s="1"/>
  <c r="F3374" i="13"/>
  <c r="G3374" i="13" s="1"/>
  <c r="F3375" i="13"/>
  <c r="G3375" i="13" s="1"/>
  <c r="F3376" i="13"/>
  <c r="G3376" i="13" s="1"/>
  <c r="F3377" i="13"/>
  <c r="G3377" i="13" s="1"/>
  <c r="F3378" i="13"/>
  <c r="G3378" i="13" s="1"/>
  <c r="F3379" i="13"/>
  <c r="G3379" i="13" s="1"/>
  <c r="F3380" i="13"/>
  <c r="G3380" i="13" s="1"/>
  <c r="F3381" i="13"/>
  <c r="G3381" i="13" s="1"/>
  <c r="F3382" i="13"/>
  <c r="G3382" i="13" s="1"/>
  <c r="F3383" i="13"/>
  <c r="G3383" i="13" s="1"/>
  <c r="F3384" i="13"/>
  <c r="G3384" i="13" s="1"/>
  <c r="F3385" i="13"/>
  <c r="G3385" i="13" s="1"/>
  <c r="F3386" i="13"/>
  <c r="G3386" i="13" s="1"/>
  <c r="F3387" i="13"/>
  <c r="G3387" i="13" s="1"/>
  <c r="F3388" i="13"/>
  <c r="G3388" i="13" s="1"/>
  <c r="F3389" i="13"/>
  <c r="G3389" i="13" s="1"/>
  <c r="F3390" i="13"/>
  <c r="G3390" i="13" s="1"/>
  <c r="F3391" i="13"/>
  <c r="G3391" i="13" s="1"/>
  <c r="F3392" i="13"/>
  <c r="G3392" i="13" s="1"/>
  <c r="F3393" i="13"/>
  <c r="G3393" i="13" s="1"/>
  <c r="F3394" i="13"/>
  <c r="G3394" i="13" s="1"/>
  <c r="F3395" i="13"/>
  <c r="G3395" i="13" s="1"/>
  <c r="F3396" i="13"/>
  <c r="G3396" i="13" s="1"/>
  <c r="F3397" i="13"/>
  <c r="G3397" i="13" s="1"/>
  <c r="F3398" i="13"/>
  <c r="G3398" i="13" s="1"/>
  <c r="F3399" i="13"/>
  <c r="G3399" i="13" s="1"/>
  <c r="F3400" i="13"/>
  <c r="G3400" i="13" s="1"/>
  <c r="F3401" i="13"/>
  <c r="G3401" i="13" s="1"/>
  <c r="F3402" i="13"/>
  <c r="G3402" i="13" s="1"/>
  <c r="F3403" i="13"/>
  <c r="G3403" i="13" s="1"/>
  <c r="F3404" i="13"/>
  <c r="G3404" i="13" s="1"/>
  <c r="F3405" i="13"/>
  <c r="G3405" i="13" s="1"/>
  <c r="F3406" i="13"/>
  <c r="G3406" i="13" s="1"/>
  <c r="F3407" i="13"/>
  <c r="G3407" i="13" s="1"/>
  <c r="F3408" i="13"/>
  <c r="G3408" i="13" s="1"/>
  <c r="F3409" i="13"/>
  <c r="G3409" i="13" s="1"/>
  <c r="F3410" i="13"/>
  <c r="G3410" i="13" s="1"/>
  <c r="F3411" i="13"/>
  <c r="G3411" i="13" s="1"/>
  <c r="F3412" i="13"/>
  <c r="G3412" i="13" s="1"/>
  <c r="F3413" i="13"/>
  <c r="G3413" i="13" s="1"/>
  <c r="F3414" i="13"/>
  <c r="G3414" i="13" s="1"/>
  <c r="F3415" i="13"/>
  <c r="G3415" i="13" s="1"/>
  <c r="F3416" i="13"/>
  <c r="G3416" i="13" s="1"/>
  <c r="F3417" i="13"/>
  <c r="G3417" i="13" s="1"/>
  <c r="F3418" i="13"/>
  <c r="G3418" i="13" s="1"/>
  <c r="F3419" i="13"/>
  <c r="G3419" i="13" s="1"/>
  <c r="F3420" i="13"/>
  <c r="G3420" i="13" s="1"/>
  <c r="F3421" i="13"/>
  <c r="G3421" i="13" s="1"/>
  <c r="F3422" i="13"/>
  <c r="G3422" i="13" s="1"/>
  <c r="F3423" i="13"/>
  <c r="G3423" i="13" s="1"/>
  <c r="F3424" i="13"/>
  <c r="G3424" i="13" s="1"/>
  <c r="F3425" i="13"/>
  <c r="G3425" i="13" s="1"/>
  <c r="F3426" i="13"/>
  <c r="G3426" i="13" s="1"/>
  <c r="F3427" i="13"/>
  <c r="G3427" i="13" s="1"/>
  <c r="F3428" i="13"/>
  <c r="G3428" i="13" s="1"/>
  <c r="F3429" i="13"/>
  <c r="G3429" i="13" s="1"/>
  <c r="F3430" i="13"/>
  <c r="G3430" i="13" s="1"/>
  <c r="F3431" i="13"/>
  <c r="G3431" i="13" s="1"/>
  <c r="F3432" i="13"/>
  <c r="G3432" i="13" s="1"/>
  <c r="F3433" i="13"/>
  <c r="G3433" i="13" s="1"/>
  <c r="F3434" i="13"/>
  <c r="G3434" i="13" s="1"/>
  <c r="F3435" i="13"/>
  <c r="G3435" i="13" s="1"/>
  <c r="F3436" i="13"/>
  <c r="G3436" i="13" s="1"/>
  <c r="F3437" i="13"/>
  <c r="G3437" i="13" s="1"/>
  <c r="F3438" i="13"/>
  <c r="G3438" i="13" s="1"/>
  <c r="F3439" i="13"/>
  <c r="G3439" i="13" s="1"/>
  <c r="F3440" i="13"/>
  <c r="G3440" i="13" s="1"/>
  <c r="F3441" i="13"/>
  <c r="G3441" i="13" s="1"/>
  <c r="F3442" i="13"/>
  <c r="G3442" i="13" s="1"/>
  <c r="F3443" i="13"/>
  <c r="G3443" i="13" s="1"/>
  <c r="F3444" i="13"/>
  <c r="G3444" i="13" s="1"/>
  <c r="F3445" i="13"/>
  <c r="G3445" i="13" s="1"/>
  <c r="F3446" i="13"/>
  <c r="G3446" i="13" s="1"/>
  <c r="F3447" i="13"/>
  <c r="G3447" i="13" s="1"/>
  <c r="F3448" i="13"/>
  <c r="G3448" i="13" s="1"/>
  <c r="F3449" i="13"/>
  <c r="G3449" i="13" s="1"/>
  <c r="F3450" i="13"/>
  <c r="G3450" i="13" s="1"/>
  <c r="F3451" i="13"/>
  <c r="G3451" i="13" s="1"/>
  <c r="F3452" i="13"/>
  <c r="G3452" i="13" s="1"/>
  <c r="F3453" i="13"/>
  <c r="G3453" i="13" s="1"/>
  <c r="F3454" i="13"/>
  <c r="G3454" i="13" s="1"/>
  <c r="F3455" i="13"/>
  <c r="G3455" i="13" s="1"/>
  <c r="F3456" i="13"/>
  <c r="G3456" i="13" s="1"/>
  <c r="F3457" i="13"/>
  <c r="G3457" i="13" s="1"/>
  <c r="F3458" i="13"/>
  <c r="G3458" i="13" s="1"/>
  <c r="F3459" i="13"/>
  <c r="G3459" i="13" s="1"/>
  <c r="F3460" i="13"/>
  <c r="G3460" i="13" s="1"/>
  <c r="F3461" i="13"/>
  <c r="G3461" i="13" s="1"/>
  <c r="F3462" i="13"/>
  <c r="G3462" i="13" s="1"/>
  <c r="F3463" i="13"/>
  <c r="G3463" i="13" s="1"/>
  <c r="F3464" i="13"/>
  <c r="G3464" i="13" s="1"/>
  <c r="F3465" i="13"/>
  <c r="G3465" i="13" s="1"/>
  <c r="F3466" i="13"/>
  <c r="G3466" i="13" s="1"/>
  <c r="F3467" i="13"/>
  <c r="G3467" i="13" s="1"/>
  <c r="F3468" i="13"/>
  <c r="G3468" i="13" s="1"/>
  <c r="F3469" i="13"/>
  <c r="G3469" i="13" s="1"/>
  <c r="F3470" i="13"/>
  <c r="G3470" i="13" s="1"/>
  <c r="F3471" i="13"/>
  <c r="G3471" i="13" s="1"/>
  <c r="F3472" i="13"/>
  <c r="G3472" i="13" s="1"/>
  <c r="F3473" i="13"/>
  <c r="G3473" i="13" s="1"/>
  <c r="F3474" i="13"/>
  <c r="G3474" i="13" s="1"/>
  <c r="F3475" i="13"/>
  <c r="G3475" i="13" s="1"/>
  <c r="F3476" i="13"/>
  <c r="G3476" i="13" s="1"/>
  <c r="F3477" i="13"/>
  <c r="G3477" i="13" s="1"/>
  <c r="F3478" i="13"/>
  <c r="G3478" i="13" s="1"/>
  <c r="F3479" i="13"/>
  <c r="G3479" i="13" s="1"/>
  <c r="F3480" i="13"/>
  <c r="G3480" i="13" s="1"/>
  <c r="F3481" i="13"/>
  <c r="G3481" i="13" s="1"/>
  <c r="F3482" i="13"/>
  <c r="G3482" i="13" s="1"/>
  <c r="F3483" i="13"/>
  <c r="G3483" i="13" s="1"/>
  <c r="F3484" i="13"/>
  <c r="G3484" i="13" s="1"/>
  <c r="F3485" i="13"/>
  <c r="G3485" i="13" s="1"/>
  <c r="F3486" i="13"/>
  <c r="G3486" i="13" s="1"/>
  <c r="F3487" i="13"/>
  <c r="G3487" i="13" s="1"/>
  <c r="F3488" i="13"/>
  <c r="G3488" i="13" s="1"/>
  <c r="F3489" i="13"/>
  <c r="G3489" i="13" s="1"/>
  <c r="F3490" i="13"/>
  <c r="G3490" i="13" s="1"/>
  <c r="F3491" i="13"/>
  <c r="G3491" i="13" s="1"/>
  <c r="F3492" i="13"/>
  <c r="G3492" i="13" s="1"/>
  <c r="F3493" i="13"/>
  <c r="G3493" i="13" s="1"/>
  <c r="F3494" i="13"/>
  <c r="G3494" i="13" s="1"/>
  <c r="F3495" i="13"/>
  <c r="G3495" i="13" s="1"/>
  <c r="F3496" i="13"/>
  <c r="G3496" i="13" s="1"/>
  <c r="F3497" i="13"/>
  <c r="G3497" i="13" s="1"/>
  <c r="F3498" i="13"/>
  <c r="G3498" i="13" s="1"/>
  <c r="F3499" i="13"/>
  <c r="G3499" i="13" s="1"/>
  <c r="F3500" i="13"/>
  <c r="G3500" i="13" s="1"/>
  <c r="F3501" i="13"/>
  <c r="G3501" i="13" s="1"/>
  <c r="F3502" i="13"/>
  <c r="G3502" i="13" s="1"/>
  <c r="F3503" i="13"/>
  <c r="G3503" i="13" s="1"/>
  <c r="F3504" i="13"/>
  <c r="G3504" i="13" s="1"/>
  <c r="F3505" i="13"/>
  <c r="G3505" i="13" s="1"/>
  <c r="F3506" i="13"/>
  <c r="G3506" i="13" s="1"/>
  <c r="F3507" i="13"/>
  <c r="G3507" i="13" s="1"/>
  <c r="F3508" i="13"/>
  <c r="G3508" i="13" s="1"/>
  <c r="F3509" i="13"/>
  <c r="G3509" i="13" s="1"/>
  <c r="F3510" i="13"/>
  <c r="G3510" i="13" s="1"/>
  <c r="F3511" i="13"/>
  <c r="G3511" i="13" s="1"/>
  <c r="F3512" i="13"/>
  <c r="G3512" i="13" s="1"/>
  <c r="F3513" i="13"/>
  <c r="G3513" i="13" s="1"/>
  <c r="F3514" i="13"/>
  <c r="G3514" i="13" s="1"/>
  <c r="F3515" i="13"/>
  <c r="G3515" i="13" s="1"/>
  <c r="F3516" i="13"/>
  <c r="G3516" i="13" s="1"/>
  <c r="F3517" i="13"/>
  <c r="G3517" i="13" s="1"/>
  <c r="F3518" i="13"/>
  <c r="G3518" i="13" s="1"/>
  <c r="F3519" i="13"/>
  <c r="G3519" i="13" s="1"/>
  <c r="F3520" i="13"/>
  <c r="G3520" i="13" s="1"/>
  <c r="F3521" i="13"/>
  <c r="G3521" i="13" s="1"/>
  <c r="F3522" i="13"/>
  <c r="G3522" i="13" s="1"/>
  <c r="F3523" i="13"/>
  <c r="G3523" i="13" s="1"/>
  <c r="F3524" i="13"/>
  <c r="G3524" i="13" s="1"/>
  <c r="F3525" i="13"/>
  <c r="G3525" i="13" s="1"/>
  <c r="F3526" i="13"/>
  <c r="G3526" i="13" s="1"/>
  <c r="F3527" i="13"/>
  <c r="G3527" i="13" s="1"/>
  <c r="F3528" i="13"/>
  <c r="G3528" i="13" s="1"/>
  <c r="F3529" i="13"/>
  <c r="G3529" i="13" s="1"/>
  <c r="F3530" i="13"/>
  <c r="G3530" i="13" s="1"/>
  <c r="F3531" i="13"/>
  <c r="G3531" i="13" s="1"/>
  <c r="F3532" i="13"/>
  <c r="G3532" i="13" s="1"/>
  <c r="F3533" i="13"/>
  <c r="G3533" i="13" s="1"/>
  <c r="F3534" i="13"/>
  <c r="G3534" i="13" s="1"/>
  <c r="F3535" i="13"/>
  <c r="G3535" i="13" s="1"/>
  <c r="F3536" i="13"/>
  <c r="G3536" i="13" s="1"/>
  <c r="F3537" i="13"/>
  <c r="G3537" i="13" s="1"/>
  <c r="F3538" i="13"/>
  <c r="G3538" i="13" s="1"/>
  <c r="F3539" i="13"/>
  <c r="G3539" i="13" s="1"/>
  <c r="F3540" i="13"/>
  <c r="G3540" i="13" s="1"/>
  <c r="F3541" i="13"/>
  <c r="G3541" i="13" s="1"/>
  <c r="F3542" i="13"/>
  <c r="G3542" i="13" s="1"/>
  <c r="F3543" i="13"/>
  <c r="G3543" i="13" s="1"/>
  <c r="F3544" i="13"/>
  <c r="G3544" i="13" s="1"/>
  <c r="F3545" i="13"/>
  <c r="G3545" i="13" s="1"/>
  <c r="F3546" i="13"/>
  <c r="G3546" i="13" s="1"/>
  <c r="F3547" i="13"/>
  <c r="G3547" i="13" s="1"/>
  <c r="F3548" i="13"/>
  <c r="G3548" i="13" s="1"/>
  <c r="F3549" i="13"/>
  <c r="G3549" i="13" s="1"/>
  <c r="F3550" i="13"/>
  <c r="G3550" i="13" s="1"/>
  <c r="F3551" i="13"/>
  <c r="G3551" i="13" s="1"/>
  <c r="F3552" i="13"/>
  <c r="G3552" i="13" s="1"/>
  <c r="F3553" i="13"/>
  <c r="G3553" i="13" s="1"/>
  <c r="F3554" i="13"/>
  <c r="G3554" i="13" s="1"/>
  <c r="F3555" i="13"/>
  <c r="G3555" i="13" s="1"/>
  <c r="F3556" i="13"/>
  <c r="G3556" i="13" s="1"/>
  <c r="F3557" i="13"/>
  <c r="G3557" i="13" s="1"/>
  <c r="F3558" i="13"/>
  <c r="G3558" i="13" s="1"/>
  <c r="F3559" i="13"/>
  <c r="G3559" i="13" s="1"/>
  <c r="F3560" i="13"/>
  <c r="G3560" i="13" s="1"/>
  <c r="F3561" i="13"/>
  <c r="G3561" i="13" s="1"/>
  <c r="F3562" i="13"/>
  <c r="G3562" i="13" s="1"/>
  <c r="F3563" i="13"/>
  <c r="G3563" i="13" s="1"/>
  <c r="F3564" i="13"/>
  <c r="G3564" i="13" s="1"/>
  <c r="F3565" i="13"/>
  <c r="G3565" i="13" s="1"/>
  <c r="F3566" i="13"/>
  <c r="G3566" i="13" s="1"/>
  <c r="F3567" i="13"/>
  <c r="G3567" i="13" s="1"/>
  <c r="F3568" i="13"/>
  <c r="G3568" i="13" s="1"/>
  <c r="F3569" i="13"/>
  <c r="G3569" i="13" s="1"/>
  <c r="F3570" i="13"/>
  <c r="G3570" i="13" s="1"/>
  <c r="F3571" i="13"/>
  <c r="G3571" i="13" s="1"/>
  <c r="F3572" i="13"/>
  <c r="G3572" i="13" s="1"/>
  <c r="F3573" i="13"/>
  <c r="G3573" i="13" s="1"/>
  <c r="F3574" i="13"/>
  <c r="G3574" i="13" s="1"/>
  <c r="F3575" i="13"/>
  <c r="G3575" i="13" s="1"/>
  <c r="F3576" i="13"/>
  <c r="G3576" i="13" s="1"/>
  <c r="F3577" i="13"/>
  <c r="G3577" i="13" s="1"/>
  <c r="F3578" i="13"/>
  <c r="G3578" i="13" s="1"/>
  <c r="F3579" i="13"/>
  <c r="G3579" i="13" s="1"/>
  <c r="F3580" i="13"/>
  <c r="G3580" i="13" s="1"/>
  <c r="F3581" i="13"/>
  <c r="G3581" i="13" s="1"/>
  <c r="F3582" i="13"/>
  <c r="G3582" i="13" s="1"/>
  <c r="F3583" i="13"/>
  <c r="G3583" i="13" s="1"/>
  <c r="F3584" i="13"/>
  <c r="G3584" i="13" s="1"/>
  <c r="F3585" i="13"/>
  <c r="G3585" i="13" s="1"/>
  <c r="F3586" i="13"/>
  <c r="G3586" i="13" s="1"/>
  <c r="F3587" i="13"/>
  <c r="G3587" i="13" s="1"/>
  <c r="F3588" i="13"/>
  <c r="G3588" i="13" s="1"/>
  <c r="F3589" i="13"/>
  <c r="G3589" i="13" s="1"/>
  <c r="F3590" i="13"/>
  <c r="G3590" i="13" s="1"/>
  <c r="F3591" i="13"/>
  <c r="G3591" i="13" s="1"/>
  <c r="F3592" i="13"/>
  <c r="G3592" i="13" s="1"/>
  <c r="F3593" i="13"/>
  <c r="G3593" i="13" s="1"/>
  <c r="F3594" i="13"/>
  <c r="G3594" i="13" s="1"/>
  <c r="F3595" i="13"/>
  <c r="G3595" i="13" s="1"/>
  <c r="F3596" i="13"/>
  <c r="G3596" i="13" s="1"/>
  <c r="F3597" i="13"/>
  <c r="G3597" i="13" s="1"/>
  <c r="F3598" i="13"/>
  <c r="G3598" i="13" s="1"/>
  <c r="F3599" i="13"/>
  <c r="G3599" i="13" s="1"/>
  <c r="F3600" i="13"/>
  <c r="G3600" i="13" s="1"/>
  <c r="F3601" i="13"/>
  <c r="G3601" i="13" s="1"/>
  <c r="F3602" i="13"/>
  <c r="G3602" i="13" s="1"/>
  <c r="F3603" i="13"/>
  <c r="G3603" i="13" s="1"/>
  <c r="F3604" i="13"/>
  <c r="G3604" i="13" s="1"/>
  <c r="F3605" i="13"/>
  <c r="G3605" i="13" s="1"/>
  <c r="F3606" i="13"/>
  <c r="G3606" i="13" s="1"/>
  <c r="F3607" i="13"/>
  <c r="G3607" i="13" s="1"/>
  <c r="F3608" i="13"/>
  <c r="G3608" i="13" s="1"/>
  <c r="F3609" i="13"/>
  <c r="G3609" i="13" s="1"/>
  <c r="F3610" i="13"/>
  <c r="G3610" i="13" s="1"/>
  <c r="F3611" i="13"/>
  <c r="G3611" i="13" s="1"/>
  <c r="F3612" i="13"/>
  <c r="G3612" i="13" s="1"/>
  <c r="F3613" i="13"/>
  <c r="G3613" i="13" s="1"/>
  <c r="F3614" i="13"/>
  <c r="G3614" i="13" s="1"/>
  <c r="F3615" i="13"/>
  <c r="G3615" i="13" s="1"/>
  <c r="F3616" i="13"/>
  <c r="G3616" i="13" s="1"/>
  <c r="F3617" i="13"/>
  <c r="G3617" i="13" s="1"/>
  <c r="F3618" i="13"/>
  <c r="G3618" i="13" s="1"/>
  <c r="F3619" i="13"/>
  <c r="G3619" i="13" s="1"/>
  <c r="F3620" i="13"/>
  <c r="G3620" i="13" s="1"/>
  <c r="F3621" i="13"/>
  <c r="G3621" i="13" s="1"/>
  <c r="F3622" i="13"/>
  <c r="G3622" i="13" s="1"/>
  <c r="F3623" i="13"/>
  <c r="G3623" i="13" s="1"/>
  <c r="F3624" i="13"/>
  <c r="G3624" i="13" s="1"/>
  <c r="F3625" i="13"/>
  <c r="G3625" i="13" s="1"/>
  <c r="F3626" i="13"/>
  <c r="G3626" i="13" s="1"/>
  <c r="F3627" i="13"/>
  <c r="G3627" i="13" s="1"/>
  <c r="F3628" i="13"/>
  <c r="G3628" i="13" s="1"/>
  <c r="F3629" i="13"/>
  <c r="G3629" i="13" s="1"/>
  <c r="F3630" i="13"/>
  <c r="G3630" i="13" s="1"/>
  <c r="F3631" i="13"/>
  <c r="G3631" i="13" s="1"/>
  <c r="F3632" i="13"/>
  <c r="G3632" i="13" s="1"/>
  <c r="F3633" i="13"/>
  <c r="G3633" i="13" s="1"/>
  <c r="F3634" i="13"/>
  <c r="G3634" i="13" s="1"/>
  <c r="F3635" i="13"/>
  <c r="G3635" i="13" s="1"/>
  <c r="F3636" i="13"/>
  <c r="G3636" i="13" s="1"/>
  <c r="F3637" i="13"/>
  <c r="G3637" i="13" s="1"/>
  <c r="F3638" i="13"/>
  <c r="G3638" i="13" s="1"/>
  <c r="F3639" i="13"/>
  <c r="G3639" i="13" s="1"/>
  <c r="F3640" i="13"/>
  <c r="G3640" i="13" s="1"/>
  <c r="F3641" i="13"/>
  <c r="G3641" i="13" s="1"/>
  <c r="F3642" i="13"/>
  <c r="G3642" i="13" s="1"/>
  <c r="F3643" i="13"/>
  <c r="G3643" i="13" s="1"/>
  <c r="F3644" i="13"/>
  <c r="G3644" i="13" s="1"/>
  <c r="F3645" i="13"/>
  <c r="G3645" i="13" s="1"/>
  <c r="F3646" i="13"/>
  <c r="G3646" i="13" s="1"/>
  <c r="F3647" i="13"/>
  <c r="G3647" i="13" s="1"/>
  <c r="F3648" i="13"/>
  <c r="G3648" i="13" s="1"/>
  <c r="F3649" i="13"/>
  <c r="G3649" i="13" s="1"/>
  <c r="F3650" i="13"/>
  <c r="G3650" i="13" s="1"/>
  <c r="F3651" i="13"/>
  <c r="G3651" i="13" s="1"/>
  <c r="F3652" i="13"/>
  <c r="G3652" i="13" s="1"/>
  <c r="F3653" i="13"/>
  <c r="G3653" i="13" s="1"/>
  <c r="F3654" i="13"/>
  <c r="G3654" i="13" s="1"/>
  <c r="F3655" i="13"/>
  <c r="G3655" i="13" s="1"/>
  <c r="F3656" i="13"/>
  <c r="G3656" i="13" s="1"/>
  <c r="F3657" i="13"/>
  <c r="G3657" i="13" s="1"/>
  <c r="F3658" i="13"/>
  <c r="G3658" i="13" s="1"/>
  <c r="F3659" i="13"/>
  <c r="G3659" i="13" s="1"/>
  <c r="F3660" i="13"/>
  <c r="G3660" i="13" s="1"/>
  <c r="F3661" i="13"/>
  <c r="G3661" i="13" s="1"/>
  <c r="F3662" i="13"/>
  <c r="G3662" i="13" s="1"/>
  <c r="F3663" i="13"/>
  <c r="G3663" i="13" s="1"/>
  <c r="F3664" i="13"/>
  <c r="G3664" i="13" s="1"/>
  <c r="F3665" i="13"/>
  <c r="G3665" i="13" s="1"/>
  <c r="F3666" i="13"/>
  <c r="G3666" i="13" s="1"/>
  <c r="F3667" i="13"/>
  <c r="G3667" i="13" s="1"/>
  <c r="F3668" i="13"/>
  <c r="G3668" i="13" s="1"/>
  <c r="F3669" i="13"/>
  <c r="G3669" i="13" s="1"/>
  <c r="F3670" i="13"/>
  <c r="G3670" i="13" s="1"/>
  <c r="F3671" i="13"/>
  <c r="G3671" i="13" s="1"/>
  <c r="F3672" i="13"/>
  <c r="G3672" i="13" s="1"/>
  <c r="F3673" i="13"/>
  <c r="G3673" i="13" s="1"/>
  <c r="F3674" i="13"/>
  <c r="G3674" i="13" s="1"/>
  <c r="F3675" i="13"/>
  <c r="G3675" i="13" s="1"/>
  <c r="F3676" i="13"/>
  <c r="G3676" i="13" s="1"/>
  <c r="F3677" i="13"/>
  <c r="G3677" i="13" s="1"/>
  <c r="F3678" i="13"/>
  <c r="G3678" i="13" s="1"/>
  <c r="F3679" i="13"/>
  <c r="G3679" i="13" s="1"/>
  <c r="F3680" i="13"/>
  <c r="G3680" i="13" s="1"/>
  <c r="F3681" i="13"/>
  <c r="G3681" i="13" s="1"/>
  <c r="F3682" i="13"/>
  <c r="G3682" i="13" s="1"/>
  <c r="F3683" i="13"/>
  <c r="G3683" i="13" s="1"/>
  <c r="F3684" i="13"/>
  <c r="G3684" i="13" s="1"/>
  <c r="F3685" i="13"/>
  <c r="G3685" i="13" s="1"/>
  <c r="F3686" i="13"/>
  <c r="G3686" i="13" s="1"/>
  <c r="F3687" i="13"/>
  <c r="G3687" i="13" s="1"/>
  <c r="F3688" i="13"/>
  <c r="G3688" i="13" s="1"/>
  <c r="F3689" i="13"/>
  <c r="G3689" i="13" s="1"/>
  <c r="F3690" i="13"/>
  <c r="G3690" i="13" s="1"/>
  <c r="F3691" i="13"/>
  <c r="G3691" i="13" s="1"/>
  <c r="F3692" i="13"/>
  <c r="G3692" i="13" s="1"/>
  <c r="F3693" i="13"/>
  <c r="G3693" i="13" s="1"/>
  <c r="F3694" i="13"/>
  <c r="G3694" i="13" s="1"/>
  <c r="F3695" i="13"/>
  <c r="G3695" i="13" s="1"/>
  <c r="F3696" i="13"/>
  <c r="G3696" i="13" s="1"/>
  <c r="F3697" i="13"/>
  <c r="G3697" i="13" s="1"/>
  <c r="F3698" i="13"/>
  <c r="G3698" i="13" s="1"/>
  <c r="F3699" i="13"/>
  <c r="G3699" i="13" s="1"/>
  <c r="F3700" i="13"/>
  <c r="G3700" i="13" s="1"/>
  <c r="F3701" i="13"/>
  <c r="G3701" i="13" s="1"/>
  <c r="F3702" i="13"/>
  <c r="G3702" i="13" s="1"/>
  <c r="F3703" i="13"/>
  <c r="G3703" i="13" s="1"/>
  <c r="F3704" i="13"/>
  <c r="G3704" i="13" s="1"/>
  <c r="F3705" i="13"/>
  <c r="G3705" i="13" s="1"/>
  <c r="F3706" i="13"/>
  <c r="G3706" i="13" s="1"/>
  <c r="F3707" i="13"/>
  <c r="G3707" i="13" s="1"/>
  <c r="F3708" i="13"/>
  <c r="G3708" i="13" s="1"/>
  <c r="F3709" i="13"/>
  <c r="G3709" i="13" s="1"/>
  <c r="F3710" i="13"/>
  <c r="G3710" i="13" s="1"/>
  <c r="F3711" i="13"/>
  <c r="G3711" i="13" s="1"/>
  <c r="F3712" i="13"/>
  <c r="G3712" i="13" s="1"/>
  <c r="F3713" i="13"/>
  <c r="G3713" i="13" s="1"/>
  <c r="F3714" i="13"/>
  <c r="G3714" i="13" s="1"/>
  <c r="F3715" i="13"/>
  <c r="G3715" i="13" s="1"/>
  <c r="F3716" i="13"/>
  <c r="G3716" i="13" s="1"/>
  <c r="F3717" i="13"/>
  <c r="G3717" i="13" s="1"/>
  <c r="F3718" i="13"/>
  <c r="G3718" i="13" s="1"/>
  <c r="F3719" i="13"/>
  <c r="G3719" i="13" s="1"/>
  <c r="F3720" i="13"/>
  <c r="G3720" i="13" s="1"/>
  <c r="F3721" i="13"/>
  <c r="G3721" i="13" s="1"/>
  <c r="F3722" i="13"/>
  <c r="G3722" i="13" s="1"/>
  <c r="F3723" i="13"/>
  <c r="G3723" i="13" s="1"/>
  <c r="F3724" i="13"/>
  <c r="G3724" i="13" s="1"/>
  <c r="F3725" i="13"/>
  <c r="G3725" i="13" s="1"/>
  <c r="F3726" i="13"/>
  <c r="G3726" i="13" s="1"/>
  <c r="F3727" i="13"/>
  <c r="G3727" i="13" s="1"/>
  <c r="F3728" i="13"/>
  <c r="G3728" i="13" s="1"/>
  <c r="F3729" i="13"/>
  <c r="G3729" i="13" s="1"/>
  <c r="F3730" i="13"/>
  <c r="G3730" i="13" s="1"/>
  <c r="F3731" i="13"/>
  <c r="G3731" i="13" s="1"/>
  <c r="F3732" i="13"/>
  <c r="G3732" i="13" s="1"/>
  <c r="F3733" i="13"/>
  <c r="G3733" i="13" s="1"/>
  <c r="F3734" i="13"/>
  <c r="G3734" i="13" s="1"/>
  <c r="F3735" i="13"/>
  <c r="G3735" i="13" s="1"/>
  <c r="F3736" i="13"/>
  <c r="G3736" i="13" s="1"/>
  <c r="F3737" i="13"/>
  <c r="G3737" i="13" s="1"/>
  <c r="F3738" i="13"/>
  <c r="G3738" i="13" s="1"/>
  <c r="F3739" i="13"/>
  <c r="G3739" i="13" s="1"/>
  <c r="F3740" i="13"/>
  <c r="G3740" i="13" s="1"/>
  <c r="F3741" i="13"/>
  <c r="G3741" i="13" s="1"/>
  <c r="F3742" i="13"/>
  <c r="G3742" i="13" s="1"/>
  <c r="F3743" i="13"/>
  <c r="G3743" i="13" s="1"/>
  <c r="F3744" i="13"/>
  <c r="G3744" i="13" s="1"/>
  <c r="F3745" i="13"/>
  <c r="G3745" i="13" s="1"/>
  <c r="F3746" i="13"/>
  <c r="G3746" i="13" s="1"/>
  <c r="F3747" i="13"/>
  <c r="G3747" i="13" s="1"/>
  <c r="F3748" i="13"/>
  <c r="G3748" i="13" s="1"/>
  <c r="F3749" i="13"/>
  <c r="G3749" i="13" s="1"/>
  <c r="F3750" i="13"/>
  <c r="G3750" i="13" s="1"/>
  <c r="F3751" i="13"/>
  <c r="G3751" i="13" s="1"/>
  <c r="F3752" i="13"/>
  <c r="G3752" i="13" s="1"/>
  <c r="F3753" i="13"/>
  <c r="G3753" i="13" s="1"/>
  <c r="F3754" i="13"/>
  <c r="G3754" i="13" s="1"/>
  <c r="F3755" i="13"/>
  <c r="G3755" i="13" s="1"/>
  <c r="F3756" i="13"/>
  <c r="G3756" i="13" s="1"/>
  <c r="F3757" i="13"/>
  <c r="G3757" i="13" s="1"/>
  <c r="F3758" i="13"/>
  <c r="G3758" i="13" s="1"/>
  <c r="F3759" i="13"/>
  <c r="G3759" i="13" s="1"/>
  <c r="F3760" i="13"/>
  <c r="G3760" i="13" s="1"/>
  <c r="F3761" i="13"/>
  <c r="G3761" i="13" s="1"/>
  <c r="F3762" i="13"/>
  <c r="G3762" i="13" s="1"/>
  <c r="F3763" i="13"/>
  <c r="G3763" i="13" s="1"/>
  <c r="F3764" i="13"/>
  <c r="G3764" i="13" s="1"/>
  <c r="F3765" i="13"/>
  <c r="G3765" i="13" s="1"/>
  <c r="F3766" i="13"/>
  <c r="G3766" i="13" s="1"/>
  <c r="F3767" i="13"/>
  <c r="G3767" i="13" s="1"/>
  <c r="F3768" i="13"/>
  <c r="G3768" i="13" s="1"/>
  <c r="F3769" i="13"/>
  <c r="G3769" i="13" s="1"/>
  <c r="F3770" i="13"/>
  <c r="G3770" i="13" s="1"/>
  <c r="F3771" i="13"/>
  <c r="G3771" i="13" s="1"/>
  <c r="F3772" i="13"/>
  <c r="G3772" i="13" s="1"/>
  <c r="F3773" i="13"/>
  <c r="G3773" i="13" s="1"/>
  <c r="F3774" i="13"/>
  <c r="G3774" i="13" s="1"/>
  <c r="F3775" i="13"/>
  <c r="G3775" i="13" s="1"/>
  <c r="F3776" i="13"/>
  <c r="G3776" i="13" s="1"/>
  <c r="F3777" i="13"/>
  <c r="G3777" i="13" s="1"/>
  <c r="F3778" i="13"/>
  <c r="G3778" i="13" s="1"/>
  <c r="F3779" i="13"/>
  <c r="G3779" i="13" s="1"/>
  <c r="F3780" i="13"/>
  <c r="G3780" i="13" s="1"/>
  <c r="F3781" i="13"/>
  <c r="G3781" i="13" s="1"/>
  <c r="F3782" i="13"/>
  <c r="G3782" i="13" s="1"/>
  <c r="F3783" i="13"/>
  <c r="G3783" i="13" s="1"/>
  <c r="F3784" i="13"/>
  <c r="G3784" i="13" s="1"/>
  <c r="F3785" i="13"/>
  <c r="G3785" i="13" s="1"/>
  <c r="F3786" i="13"/>
  <c r="G3786" i="13" s="1"/>
  <c r="F3787" i="13"/>
  <c r="G3787" i="13" s="1"/>
  <c r="F3788" i="13"/>
  <c r="G3788" i="13" s="1"/>
  <c r="F3789" i="13"/>
  <c r="G3789" i="13" s="1"/>
  <c r="F3790" i="13"/>
  <c r="G3790" i="13" s="1"/>
  <c r="F3791" i="13"/>
  <c r="G3791" i="13" s="1"/>
  <c r="F3792" i="13"/>
  <c r="G3792" i="13" s="1"/>
  <c r="F3793" i="13"/>
  <c r="G3793" i="13" s="1"/>
  <c r="F3794" i="13"/>
  <c r="G3794" i="13" s="1"/>
  <c r="F3795" i="13"/>
  <c r="G3795" i="13" s="1"/>
  <c r="F3796" i="13"/>
  <c r="G3796" i="13" s="1"/>
  <c r="F3797" i="13"/>
  <c r="G3797" i="13" s="1"/>
  <c r="F3798" i="13"/>
  <c r="G3798" i="13" s="1"/>
  <c r="F3799" i="13"/>
  <c r="G3799" i="13" s="1"/>
  <c r="F3800" i="13"/>
  <c r="G3800" i="13" s="1"/>
  <c r="F3801" i="13"/>
  <c r="G3801" i="13" s="1"/>
  <c r="F3802" i="13"/>
  <c r="G3802" i="13" s="1"/>
  <c r="F3803" i="13"/>
  <c r="G3803" i="13" s="1"/>
  <c r="F3804" i="13"/>
  <c r="G3804" i="13" s="1"/>
  <c r="F3805" i="13"/>
  <c r="G3805" i="13" s="1"/>
  <c r="F3806" i="13"/>
  <c r="G3806" i="13" s="1"/>
  <c r="F3807" i="13"/>
  <c r="G3807" i="13" s="1"/>
  <c r="F3808" i="13"/>
  <c r="G3808" i="13" s="1"/>
  <c r="F3809" i="13"/>
  <c r="G3809" i="13" s="1"/>
  <c r="F3810" i="13"/>
  <c r="G3810" i="13" s="1"/>
  <c r="F3811" i="13"/>
  <c r="G3811" i="13" s="1"/>
  <c r="F3812" i="13"/>
  <c r="G3812" i="13" s="1"/>
  <c r="F3813" i="13"/>
  <c r="G3813" i="13" s="1"/>
  <c r="F3814" i="13"/>
  <c r="G3814" i="13" s="1"/>
  <c r="F3815" i="13"/>
  <c r="G3815" i="13" s="1"/>
  <c r="F3816" i="13"/>
  <c r="G3816" i="13" s="1"/>
  <c r="F3817" i="13"/>
  <c r="G3817" i="13" s="1"/>
  <c r="F3818" i="13"/>
  <c r="G3818" i="13" s="1"/>
  <c r="F3" i="13"/>
  <c r="G3" i="13" s="1"/>
  <c r="F3801" i="12"/>
  <c r="G3801" i="12" s="1"/>
  <c r="F3" i="12"/>
  <c r="G3" i="12" s="1"/>
  <c r="F4" i="12"/>
  <c r="G4" i="12" s="1"/>
  <c r="F5" i="12"/>
  <c r="G5" i="12" s="1"/>
  <c r="F6" i="12"/>
  <c r="G6" i="12" s="1"/>
  <c r="F7" i="12"/>
  <c r="G7" i="12" s="1"/>
  <c r="F8" i="12"/>
  <c r="G8" i="12" s="1"/>
  <c r="F9" i="12"/>
  <c r="G9" i="12" s="1"/>
  <c r="F10" i="12"/>
  <c r="G10" i="12" s="1"/>
  <c r="F11" i="12"/>
  <c r="G11" i="12" s="1"/>
  <c r="F12" i="12"/>
  <c r="G12" i="12" s="1"/>
  <c r="F13" i="12"/>
  <c r="G13" i="12" s="1"/>
  <c r="F14" i="12"/>
  <c r="G14" i="12" s="1"/>
  <c r="F15" i="12"/>
  <c r="G15" i="12" s="1"/>
  <c r="F16" i="12"/>
  <c r="G16" i="12" s="1"/>
  <c r="F17" i="12"/>
  <c r="G17" i="12" s="1"/>
  <c r="F18" i="12"/>
  <c r="G18" i="12" s="1"/>
  <c r="F19" i="12"/>
  <c r="G19" i="12" s="1"/>
  <c r="F20" i="12"/>
  <c r="G20" i="12" s="1"/>
  <c r="F21" i="12"/>
  <c r="G21" i="12" s="1"/>
  <c r="F22" i="12"/>
  <c r="G22" i="12" s="1"/>
  <c r="F23" i="12"/>
  <c r="G23" i="12" s="1"/>
  <c r="F24" i="12"/>
  <c r="G24" i="12" s="1"/>
  <c r="F25" i="12"/>
  <c r="G25" i="12" s="1"/>
  <c r="F26" i="12"/>
  <c r="G26" i="12" s="1"/>
  <c r="F27" i="12"/>
  <c r="G27" i="12" s="1"/>
  <c r="F28" i="12"/>
  <c r="G28" i="12" s="1"/>
  <c r="F29" i="12"/>
  <c r="G29" i="12" s="1"/>
  <c r="F30" i="12"/>
  <c r="G30" i="12" s="1"/>
  <c r="F31" i="12"/>
  <c r="G31" i="12" s="1"/>
  <c r="F32" i="12"/>
  <c r="G32" i="12" s="1"/>
  <c r="F33" i="12"/>
  <c r="G33" i="12" s="1"/>
  <c r="F34" i="12"/>
  <c r="G34" i="12" s="1"/>
  <c r="F35" i="12"/>
  <c r="G35" i="12" s="1"/>
  <c r="F36" i="12"/>
  <c r="G36" i="12" s="1"/>
  <c r="F37" i="12"/>
  <c r="G37" i="12" s="1"/>
  <c r="F38" i="12"/>
  <c r="G38" i="12" s="1"/>
  <c r="F39" i="12"/>
  <c r="G39" i="12" s="1"/>
  <c r="F40" i="12"/>
  <c r="G40" i="12" s="1"/>
  <c r="F41" i="12"/>
  <c r="G41" i="12" s="1"/>
  <c r="F42" i="12"/>
  <c r="G42" i="12" s="1"/>
  <c r="F43" i="12"/>
  <c r="G43" i="12" s="1"/>
  <c r="F44" i="12"/>
  <c r="G44" i="12" s="1"/>
  <c r="F45" i="12"/>
  <c r="G45" i="12" s="1"/>
  <c r="F46" i="12"/>
  <c r="G46" i="12" s="1"/>
  <c r="F47" i="12"/>
  <c r="G47" i="12" s="1"/>
  <c r="F48" i="12"/>
  <c r="G48" i="12" s="1"/>
  <c r="F49" i="12"/>
  <c r="G49" i="12" s="1"/>
  <c r="F50" i="12"/>
  <c r="G50" i="12" s="1"/>
  <c r="F51" i="12"/>
  <c r="G51" i="12" s="1"/>
  <c r="F52" i="12"/>
  <c r="G52" i="12" s="1"/>
  <c r="F53" i="12"/>
  <c r="G53" i="12" s="1"/>
  <c r="F54" i="12"/>
  <c r="G54" i="12" s="1"/>
  <c r="F55" i="12"/>
  <c r="G55" i="12" s="1"/>
  <c r="F56" i="12"/>
  <c r="G56" i="12" s="1"/>
  <c r="F57" i="12"/>
  <c r="G57" i="12" s="1"/>
  <c r="F58" i="12"/>
  <c r="G58" i="12" s="1"/>
  <c r="F59" i="12"/>
  <c r="G59" i="12" s="1"/>
  <c r="F60" i="12"/>
  <c r="G60" i="12" s="1"/>
  <c r="F61" i="12"/>
  <c r="G61" i="12" s="1"/>
  <c r="F62" i="12"/>
  <c r="G62" i="12" s="1"/>
  <c r="F63" i="12"/>
  <c r="G63" i="12" s="1"/>
  <c r="F64" i="12"/>
  <c r="G64" i="12" s="1"/>
  <c r="F65" i="12"/>
  <c r="G65" i="12" s="1"/>
  <c r="F66" i="12"/>
  <c r="G66" i="12" s="1"/>
  <c r="F67" i="12"/>
  <c r="G67" i="12" s="1"/>
  <c r="F68" i="12"/>
  <c r="G68" i="12" s="1"/>
  <c r="F69" i="12"/>
  <c r="G69" i="12" s="1"/>
  <c r="F70" i="12"/>
  <c r="G70" i="12" s="1"/>
  <c r="F71" i="12"/>
  <c r="G71" i="12" s="1"/>
  <c r="F72" i="12"/>
  <c r="G72" i="12" s="1"/>
  <c r="F73" i="12"/>
  <c r="G73" i="12" s="1"/>
  <c r="F74" i="12"/>
  <c r="G74" i="12" s="1"/>
  <c r="F75" i="12"/>
  <c r="G75" i="12" s="1"/>
  <c r="F76" i="12"/>
  <c r="G76" i="12" s="1"/>
  <c r="F77" i="12"/>
  <c r="G77" i="12" s="1"/>
  <c r="F78" i="12"/>
  <c r="G78" i="12" s="1"/>
  <c r="F79" i="12"/>
  <c r="G79" i="12" s="1"/>
  <c r="F80" i="12"/>
  <c r="G80" i="12" s="1"/>
  <c r="F81" i="12"/>
  <c r="G81" i="12" s="1"/>
  <c r="F82" i="12"/>
  <c r="G82" i="12" s="1"/>
  <c r="F83" i="12"/>
  <c r="G83" i="12" s="1"/>
  <c r="F84" i="12"/>
  <c r="G84" i="12" s="1"/>
  <c r="F85" i="12"/>
  <c r="G85" i="12" s="1"/>
  <c r="F86" i="12"/>
  <c r="G86" i="12" s="1"/>
  <c r="F87" i="12"/>
  <c r="G87" i="12" s="1"/>
  <c r="F88" i="12"/>
  <c r="G88" i="12" s="1"/>
  <c r="F89" i="12"/>
  <c r="G89" i="12" s="1"/>
  <c r="F90" i="12"/>
  <c r="G90" i="12" s="1"/>
  <c r="F91" i="12"/>
  <c r="G91" i="12" s="1"/>
  <c r="F92" i="12"/>
  <c r="G92" i="12" s="1"/>
  <c r="F93" i="12"/>
  <c r="G93" i="12" s="1"/>
  <c r="F94" i="12"/>
  <c r="G94" i="12" s="1"/>
  <c r="F95" i="12"/>
  <c r="G95" i="12" s="1"/>
  <c r="F96" i="12"/>
  <c r="G96" i="12" s="1"/>
  <c r="F97" i="12"/>
  <c r="G97" i="12" s="1"/>
  <c r="F98" i="12"/>
  <c r="G98" i="12" s="1"/>
  <c r="F99" i="12"/>
  <c r="G99" i="12" s="1"/>
  <c r="F100" i="12"/>
  <c r="G100" i="12" s="1"/>
  <c r="F101" i="12"/>
  <c r="G101" i="12" s="1"/>
  <c r="F102" i="12"/>
  <c r="G102" i="12" s="1"/>
  <c r="F103" i="12"/>
  <c r="G103" i="12" s="1"/>
  <c r="F104" i="12"/>
  <c r="G104" i="12" s="1"/>
  <c r="F105" i="12"/>
  <c r="G105" i="12" s="1"/>
  <c r="F106" i="12"/>
  <c r="G106" i="12" s="1"/>
  <c r="F107" i="12"/>
  <c r="G107" i="12" s="1"/>
  <c r="F108" i="12"/>
  <c r="G108" i="12" s="1"/>
  <c r="F109" i="12"/>
  <c r="G109" i="12" s="1"/>
  <c r="F110" i="12"/>
  <c r="G110" i="12" s="1"/>
  <c r="F111" i="12"/>
  <c r="G111" i="12" s="1"/>
  <c r="F112" i="12"/>
  <c r="G112" i="12" s="1"/>
  <c r="F113" i="12"/>
  <c r="G113" i="12" s="1"/>
  <c r="F114" i="12"/>
  <c r="G114" i="12" s="1"/>
  <c r="F115" i="12"/>
  <c r="G115" i="12" s="1"/>
  <c r="F116" i="12"/>
  <c r="G116" i="12" s="1"/>
  <c r="F117" i="12"/>
  <c r="G117" i="12" s="1"/>
  <c r="F118" i="12"/>
  <c r="G118" i="12" s="1"/>
  <c r="F119" i="12"/>
  <c r="G119" i="12" s="1"/>
  <c r="F120" i="12"/>
  <c r="G120" i="12" s="1"/>
  <c r="F121" i="12"/>
  <c r="G121" i="12" s="1"/>
  <c r="F122" i="12"/>
  <c r="G122" i="12" s="1"/>
  <c r="F123" i="12"/>
  <c r="G123" i="12" s="1"/>
  <c r="F124" i="12"/>
  <c r="G124" i="12" s="1"/>
  <c r="F125" i="12"/>
  <c r="G125" i="12" s="1"/>
  <c r="F126" i="12"/>
  <c r="G126" i="12" s="1"/>
  <c r="F127" i="12"/>
  <c r="G127" i="12" s="1"/>
  <c r="F128" i="12"/>
  <c r="G128" i="12" s="1"/>
  <c r="F129" i="12"/>
  <c r="G129" i="12" s="1"/>
  <c r="F130" i="12"/>
  <c r="G130" i="12" s="1"/>
  <c r="F131" i="12"/>
  <c r="G131" i="12" s="1"/>
  <c r="F132" i="12"/>
  <c r="G132" i="12" s="1"/>
  <c r="F133" i="12"/>
  <c r="G133" i="12" s="1"/>
  <c r="F134" i="12"/>
  <c r="G134" i="12" s="1"/>
  <c r="F135" i="12"/>
  <c r="G135" i="12" s="1"/>
  <c r="F136" i="12"/>
  <c r="G136" i="12" s="1"/>
  <c r="F137" i="12"/>
  <c r="G137" i="12" s="1"/>
  <c r="F138" i="12"/>
  <c r="G138" i="12" s="1"/>
  <c r="F139" i="12"/>
  <c r="G139" i="12" s="1"/>
  <c r="F140" i="12"/>
  <c r="G140" i="12" s="1"/>
  <c r="F141" i="12"/>
  <c r="G141" i="12" s="1"/>
  <c r="F142" i="12"/>
  <c r="G142" i="12" s="1"/>
  <c r="F143" i="12"/>
  <c r="G143" i="12" s="1"/>
  <c r="F144" i="12"/>
  <c r="G144" i="12" s="1"/>
  <c r="F145" i="12"/>
  <c r="G145" i="12" s="1"/>
  <c r="F146" i="12"/>
  <c r="G146" i="12" s="1"/>
  <c r="F147" i="12"/>
  <c r="G147" i="12" s="1"/>
  <c r="F148" i="12"/>
  <c r="G148" i="12" s="1"/>
  <c r="F149" i="12"/>
  <c r="G149" i="12" s="1"/>
  <c r="F150" i="12"/>
  <c r="G150" i="12" s="1"/>
  <c r="F151" i="12"/>
  <c r="G151" i="12" s="1"/>
  <c r="F152" i="12"/>
  <c r="G152" i="12" s="1"/>
  <c r="F153" i="12"/>
  <c r="G153" i="12" s="1"/>
  <c r="F154" i="12"/>
  <c r="G154" i="12" s="1"/>
  <c r="F155" i="12"/>
  <c r="G155" i="12" s="1"/>
  <c r="F156" i="12"/>
  <c r="G156" i="12" s="1"/>
  <c r="F157" i="12"/>
  <c r="G157" i="12" s="1"/>
  <c r="F158" i="12"/>
  <c r="G158" i="12" s="1"/>
  <c r="F159" i="12"/>
  <c r="G159" i="12" s="1"/>
  <c r="F160" i="12"/>
  <c r="G160" i="12" s="1"/>
  <c r="F161" i="12"/>
  <c r="G161" i="12" s="1"/>
  <c r="F162" i="12"/>
  <c r="G162" i="12" s="1"/>
  <c r="F163" i="12"/>
  <c r="G163" i="12" s="1"/>
  <c r="F164" i="12"/>
  <c r="G164" i="12" s="1"/>
  <c r="F165" i="12"/>
  <c r="G165" i="12" s="1"/>
  <c r="F166" i="12"/>
  <c r="G166" i="12" s="1"/>
  <c r="F167" i="12"/>
  <c r="G167" i="12" s="1"/>
  <c r="F168" i="12"/>
  <c r="G168" i="12" s="1"/>
  <c r="F169" i="12"/>
  <c r="G169" i="12" s="1"/>
  <c r="F170" i="12"/>
  <c r="G170" i="12" s="1"/>
  <c r="F171" i="12"/>
  <c r="G171" i="12" s="1"/>
  <c r="F172" i="12"/>
  <c r="G172" i="12" s="1"/>
  <c r="F173" i="12"/>
  <c r="G173" i="12" s="1"/>
  <c r="F174" i="12"/>
  <c r="G174" i="12" s="1"/>
  <c r="F175" i="12"/>
  <c r="G175" i="12" s="1"/>
  <c r="F176" i="12"/>
  <c r="G176" i="12" s="1"/>
  <c r="F177" i="12"/>
  <c r="G177" i="12" s="1"/>
  <c r="F178" i="12"/>
  <c r="G178" i="12" s="1"/>
  <c r="F179" i="12"/>
  <c r="G179" i="12" s="1"/>
  <c r="F180" i="12"/>
  <c r="G180" i="12" s="1"/>
  <c r="F181" i="12"/>
  <c r="G181" i="12" s="1"/>
  <c r="F182" i="12"/>
  <c r="G182" i="12" s="1"/>
  <c r="F183" i="12"/>
  <c r="G183" i="12" s="1"/>
  <c r="F184" i="12"/>
  <c r="G184" i="12" s="1"/>
  <c r="F185" i="12"/>
  <c r="G185" i="12" s="1"/>
  <c r="F186" i="12"/>
  <c r="G186" i="12" s="1"/>
  <c r="F187" i="12"/>
  <c r="G187" i="12" s="1"/>
  <c r="F188" i="12"/>
  <c r="G188" i="12" s="1"/>
  <c r="F189" i="12"/>
  <c r="G189" i="12" s="1"/>
  <c r="F190" i="12"/>
  <c r="G190" i="12" s="1"/>
  <c r="F191" i="12"/>
  <c r="G191" i="12" s="1"/>
  <c r="F192" i="12"/>
  <c r="G192" i="12" s="1"/>
  <c r="F193" i="12"/>
  <c r="G193" i="12" s="1"/>
  <c r="F194" i="12"/>
  <c r="G194" i="12" s="1"/>
  <c r="F195" i="12"/>
  <c r="G195" i="12" s="1"/>
  <c r="F196" i="12"/>
  <c r="G196" i="12" s="1"/>
  <c r="F197" i="12"/>
  <c r="G197" i="12" s="1"/>
  <c r="F198" i="12"/>
  <c r="G198" i="12" s="1"/>
  <c r="F199" i="12"/>
  <c r="G199" i="12" s="1"/>
  <c r="F200" i="12"/>
  <c r="G200" i="12" s="1"/>
  <c r="F201" i="12"/>
  <c r="G201" i="12" s="1"/>
  <c r="F202" i="12"/>
  <c r="G202" i="12" s="1"/>
  <c r="F203" i="12"/>
  <c r="G203" i="12" s="1"/>
  <c r="F204" i="12"/>
  <c r="G204" i="12" s="1"/>
  <c r="F205" i="12"/>
  <c r="G205" i="12" s="1"/>
  <c r="F206" i="12"/>
  <c r="G206" i="12" s="1"/>
  <c r="F207" i="12"/>
  <c r="G207" i="12" s="1"/>
  <c r="F208" i="12"/>
  <c r="G208" i="12" s="1"/>
  <c r="F209" i="12"/>
  <c r="G209" i="12" s="1"/>
  <c r="F210" i="12"/>
  <c r="G210" i="12" s="1"/>
  <c r="F211" i="12"/>
  <c r="G211" i="12" s="1"/>
  <c r="F212" i="12"/>
  <c r="G212" i="12" s="1"/>
  <c r="F213" i="12"/>
  <c r="G213" i="12" s="1"/>
  <c r="F214" i="12"/>
  <c r="G214" i="12" s="1"/>
  <c r="F215" i="12"/>
  <c r="G215" i="12" s="1"/>
  <c r="F216" i="12"/>
  <c r="G216" i="12" s="1"/>
  <c r="F217" i="12"/>
  <c r="G217" i="12" s="1"/>
  <c r="F218" i="12"/>
  <c r="G218" i="12" s="1"/>
  <c r="F219" i="12"/>
  <c r="G219" i="12" s="1"/>
  <c r="F220" i="12"/>
  <c r="G220" i="12" s="1"/>
  <c r="F221" i="12"/>
  <c r="G221" i="12" s="1"/>
  <c r="F222" i="12"/>
  <c r="G222" i="12" s="1"/>
  <c r="F223" i="12"/>
  <c r="G223" i="12" s="1"/>
  <c r="F224" i="12"/>
  <c r="G224" i="12" s="1"/>
  <c r="F225" i="12"/>
  <c r="G225" i="12" s="1"/>
  <c r="F226" i="12"/>
  <c r="G226" i="12" s="1"/>
  <c r="F227" i="12"/>
  <c r="G227" i="12" s="1"/>
  <c r="F228" i="12"/>
  <c r="G228" i="12" s="1"/>
  <c r="F229" i="12"/>
  <c r="G229" i="12" s="1"/>
  <c r="F230" i="12"/>
  <c r="G230" i="12" s="1"/>
  <c r="F231" i="12"/>
  <c r="G231" i="12" s="1"/>
  <c r="F232" i="12"/>
  <c r="G232" i="12" s="1"/>
  <c r="F233" i="12"/>
  <c r="G233" i="12" s="1"/>
  <c r="F234" i="12"/>
  <c r="G234" i="12" s="1"/>
  <c r="F235" i="12"/>
  <c r="G235" i="12" s="1"/>
  <c r="F236" i="12"/>
  <c r="G236" i="12" s="1"/>
  <c r="F237" i="12"/>
  <c r="G237" i="12" s="1"/>
  <c r="F238" i="12"/>
  <c r="G238" i="12" s="1"/>
  <c r="F239" i="12"/>
  <c r="G239" i="12" s="1"/>
  <c r="F240" i="12"/>
  <c r="G240" i="12" s="1"/>
  <c r="F241" i="12"/>
  <c r="G241" i="12" s="1"/>
  <c r="F242" i="12"/>
  <c r="G242" i="12" s="1"/>
  <c r="F243" i="12"/>
  <c r="G243" i="12" s="1"/>
  <c r="F244" i="12"/>
  <c r="G244" i="12" s="1"/>
  <c r="F245" i="12"/>
  <c r="G245" i="12" s="1"/>
  <c r="F246" i="12"/>
  <c r="G246" i="12" s="1"/>
  <c r="F247" i="12"/>
  <c r="G247" i="12" s="1"/>
  <c r="F248" i="12"/>
  <c r="G248" i="12" s="1"/>
  <c r="F249" i="12"/>
  <c r="G249" i="12" s="1"/>
  <c r="F250" i="12"/>
  <c r="G250" i="12" s="1"/>
  <c r="F251" i="12"/>
  <c r="G251" i="12" s="1"/>
  <c r="F252" i="12"/>
  <c r="G252" i="12" s="1"/>
  <c r="F253" i="12"/>
  <c r="G253" i="12" s="1"/>
  <c r="F254" i="12"/>
  <c r="G254" i="12" s="1"/>
  <c r="F255" i="12"/>
  <c r="G255" i="12" s="1"/>
  <c r="F256" i="12"/>
  <c r="G256" i="12" s="1"/>
  <c r="F257" i="12"/>
  <c r="G257" i="12" s="1"/>
  <c r="F258" i="12"/>
  <c r="G258" i="12" s="1"/>
  <c r="F259" i="12"/>
  <c r="G259" i="12" s="1"/>
  <c r="F260" i="12"/>
  <c r="G260" i="12" s="1"/>
  <c r="F261" i="12"/>
  <c r="G261" i="12" s="1"/>
  <c r="F262" i="12"/>
  <c r="G262" i="12" s="1"/>
  <c r="F263" i="12"/>
  <c r="G263" i="12" s="1"/>
  <c r="F264" i="12"/>
  <c r="G264" i="12" s="1"/>
  <c r="F265" i="12"/>
  <c r="G265" i="12" s="1"/>
  <c r="F266" i="12"/>
  <c r="G266" i="12" s="1"/>
  <c r="F267" i="12"/>
  <c r="G267" i="12" s="1"/>
  <c r="F268" i="12"/>
  <c r="G268" i="12" s="1"/>
  <c r="F269" i="12"/>
  <c r="G269" i="12" s="1"/>
  <c r="F270" i="12"/>
  <c r="G270" i="12" s="1"/>
  <c r="F271" i="12"/>
  <c r="G271" i="12" s="1"/>
  <c r="F272" i="12"/>
  <c r="G272" i="12" s="1"/>
  <c r="F273" i="12"/>
  <c r="G273" i="12" s="1"/>
  <c r="F274" i="12"/>
  <c r="G274" i="12" s="1"/>
  <c r="F275" i="12"/>
  <c r="G275" i="12" s="1"/>
  <c r="F276" i="12"/>
  <c r="G276" i="12" s="1"/>
  <c r="F277" i="12"/>
  <c r="G277" i="12" s="1"/>
  <c r="F278" i="12"/>
  <c r="G278" i="12" s="1"/>
  <c r="F279" i="12"/>
  <c r="G279" i="12" s="1"/>
  <c r="F280" i="12"/>
  <c r="G280" i="12" s="1"/>
  <c r="F281" i="12"/>
  <c r="G281" i="12" s="1"/>
  <c r="F282" i="12"/>
  <c r="G282" i="12" s="1"/>
  <c r="F283" i="12"/>
  <c r="G283" i="12" s="1"/>
  <c r="F284" i="12"/>
  <c r="G284" i="12" s="1"/>
  <c r="F285" i="12"/>
  <c r="G285" i="12" s="1"/>
  <c r="F286" i="12"/>
  <c r="G286" i="12" s="1"/>
  <c r="F287" i="12"/>
  <c r="G287" i="12" s="1"/>
  <c r="F288" i="12"/>
  <c r="G288" i="12" s="1"/>
  <c r="F289" i="12"/>
  <c r="G289" i="12" s="1"/>
  <c r="F290" i="12"/>
  <c r="G290" i="12" s="1"/>
  <c r="F291" i="12"/>
  <c r="G291" i="12" s="1"/>
  <c r="F292" i="12"/>
  <c r="G292" i="12" s="1"/>
  <c r="F293" i="12"/>
  <c r="G293" i="12" s="1"/>
  <c r="F294" i="12"/>
  <c r="G294" i="12" s="1"/>
  <c r="F295" i="12"/>
  <c r="G295" i="12" s="1"/>
  <c r="F296" i="12"/>
  <c r="G296" i="12" s="1"/>
  <c r="F297" i="12"/>
  <c r="G297" i="12" s="1"/>
  <c r="F298" i="12"/>
  <c r="G298" i="12" s="1"/>
  <c r="F299" i="12"/>
  <c r="G299" i="12" s="1"/>
  <c r="F300" i="12"/>
  <c r="G300" i="12" s="1"/>
  <c r="F301" i="12"/>
  <c r="G301" i="12" s="1"/>
  <c r="F302" i="12"/>
  <c r="G302" i="12" s="1"/>
  <c r="F303" i="12"/>
  <c r="G303" i="12" s="1"/>
  <c r="F304" i="12"/>
  <c r="G304" i="12" s="1"/>
  <c r="F305" i="12"/>
  <c r="G305" i="12" s="1"/>
  <c r="F306" i="12"/>
  <c r="G306" i="12" s="1"/>
  <c r="F307" i="12"/>
  <c r="G307" i="12" s="1"/>
  <c r="F308" i="12"/>
  <c r="G308" i="12" s="1"/>
  <c r="F309" i="12"/>
  <c r="G309" i="12" s="1"/>
  <c r="F310" i="12"/>
  <c r="G310" i="12" s="1"/>
  <c r="F311" i="12"/>
  <c r="G311" i="12" s="1"/>
  <c r="F312" i="12"/>
  <c r="G312" i="12" s="1"/>
  <c r="F313" i="12"/>
  <c r="G313" i="12" s="1"/>
  <c r="F314" i="12"/>
  <c r="G314" i="12" s="1"/>
  <c r="F315" i="12"/>
  <c r="G315" i="12" s="1"/>
  <c r="F316" i="12"/>
  <c r="G316" i="12" s="1"/>
  <c r="F317" i="12"/>
  <c r="G317" i="12" s="1"/>
  <c r="F318" i="12"/>
  <c r="G318" i="12" s="1"/>
  <c r="F319" i="12"/>
  <c r="G319" i="12" s="1"/>
  <c r="F320" i="12"/>
  <c r="G320" i="12" s="1"/>
  <c r="F321" i="12"/>
  <c r="G321" i="12" s="1"/>
  <c r="F322" i="12"/>
  <c r="G322" i="12" s="1"/>
  <c r="F323" i="12"/>
  <c r="G323" i="12" s="1"/>
  <c r="F324" i="12"/>
  <c r="G324" i="12" s="1"/>
  <c r="F325" i="12"/>
  <c r="G325" i="12" s="1"/>
  <c r="F326" i="12"/>
  <c r="G326" i="12" s="1"/>
  <c r="F327" i="12"/>
  <c r="G327" i="12" s="1"/>
  <c r="F328" i="12"/>
  <c r="G328" i="12" s="1"/>
  <c r="F329" i="12"/>
  <c r="G329" i="12" s="1"/>
  <c r="F330" i="12"/>
  <c r="G330" i="12" s="1"/>
  <c r="F331" i="12"/>
  <c r="G331" i="12" s="1"/>
  <c r="F332" i="12"/>
  <c r="G332" i="12" s="1"/>
  <c r="F333" i="12"/>
  <c r="G333" i="12" s="1"/>
  <c r="F334" i="12"/>
  <c r="G334" i="12" s="1"/>
  <c r="F335" i="12"/>
  <c r="G335" i="12" s="1"/>
  <c r="F336" i="12"/>
  <c r="G336" i="12" s="1"/>
  <c r="F337" i="12"/>
  <c r="G337" i="12" s="1"/>
  <c r="F338" i="12"/>
  <c r="G338" i="12" s="1"/>
  <c r="F339" i="12"/>
  <c r="G339" i="12" s="1"/>
  <c r="F340" i="12"/>
  <c r="G340" i="12" s="1"/>
  <c r="F341" i="12"/>
  <c r="G341" i="12" s="1"/>
  <c r="F342" i="12"/>
  <c r="G342" i="12" s="1"/>
  <c r="F343" i="12"/>
  <c r="G343" i="12" s="1"/>
  <c r="F344" i="12"/>
  <c r="G344" i="12" s="1"/>
  <c r="F345" i="12"/>
  <c r="G345" i="12" s="1"/>
  <c r="F346" i="12"/>
  <c r="G346" i="12" s="1"/>
  <c r="F347" i="12"/>
  <c r="G347" i="12" s="1"/>
  <c r="F348" i="12"/>
  <c r="G348" i="12" s="1"/>
  <c r="F349" i="12"/>
  <c r="G349" i="12" s="1"/>
  <c r="F350" i="12"/>
  <c r="G350" i="12" s="1"/>
  <c r="F351" i="12"/>
  <c r="G351" i="12" s="1"/>
  <c r="F352" i="12"/>
  <c r="G352" i="12" s="1"/>
  <c r="F353" i="12"/>
  <c r="G353" i="12" s="1"/>
  <c r="F354" i="12"/>
  <c r="G354" i="12" s="1"/>
  <c r="F355" i="12"/>
  <c r="G355" i="12" s="1"/>
  <c r="F356" i="12"/>
  <c r="G356" i="12" s="1"/>
  <c r="F357" i="12"/>
  <c r="G357" i="12" s="1"/>
  <c r="F358" i="12"/>
  <c r="G358" i="12" s="1"/>
  <c r="F359" i="12"/>
  <c r="G359" i="12" s="1"/>
  <c r="F360" i="12"/>
  <c r="G360" i="12" s="1"/>
  <c r="F361" i="12"/>
  <c r="G361" i="12" s="1"/>
  <c r="F362" i="12"/>
  <c r="G362" i="12" s="1"/>
  <c r="F363" i="12"/>
  <c r="G363" i="12" s="1"/>
  <c r="F364" i="12"/>
  <c r="G364" i="12" s="1"/>
  <c r="F365" i="12"/>
  <c r="G365" i="12" s="1"/>
  <c r="F366" i="12"/>
  <c r="G366" i="12" s="1"/>
  <c r="F367" i="12"/>
  <c r="G367" i="12" s="1"/>
  <c r="F368" i="12"/>
  <c r="G368" i="12" s="1"/>
  <c r="F369" i="12"/>
  <c r="G369" i="12" s="1"/>
  <c r="F370" i="12"/>
  <c r="G370" i="12" s="1"/>
  <c r="F371" i="12"/>
  <c r="G371" i="12" s="1"/>
  <c r="F372" i="12"/>
  <c r="G372" i="12" s="1"/>
  <c r="F373" i="12"/>
  <c r="G373" i="12" s="1"/>
  <c r="F374" i="12"/>
  <c r="G374" i="12" s="1"/>
  <c r="F375" i="12"/>
  <c r="G375" i="12" s="1"/>
  <c r="F376" i="12"/>
  <c r="G376" i="12" s="1"/>
  <c r="F377" i="12"/>
  <c r="G377" i="12" s="1"/>
  <c r="F378" i="12"/>
  <c r="G378" i="12" s="1"/>
  <c r="F379" i="12"/>
  <c r="G379" i="12" s="1"/>
  <c r="F380" i="12"/>
  <c r="G380" i="12" s="1"/>
  <c r="F381" i="12"/>
  <c r="G381" i="12" s="1"/>
  <c r="F382" i="12"/>
  <c r="G382" i="12" s="1"/>
  <c r="F383" i="12"/>
  <c r="G383" i="12" s="1"/>
  <c r="F384" i="12"/>
  <c r="G384" i="12" s="1"/>
  <c r="F385" i="12"/>
  <c r="G385" i="12" s="1"/>
  <c r="F386" i="12"/>
  <c r="G386" i="12" s="1"/>
  <c r="F387" i="12"/>
  <c r="G387" i="12" s="1"/>
  <c r="F388" i="12"/>
  <c r="G388" i="12" s="1"/>
  <c r="F389" i="12"/>
  <c r="G389" i="12" s="1"/>
  <c r="F390" i="12"/>
  <c r="G390" i="12" s="1"/>
  <c r="F391" i="12"/>
  <c r="G391" i="12" s="1"/>
  <c r="F392" i="12"/>
  <c r="G392" i="12" s="1"/>
  <c r="F393" i="12"/>
  <c r="G393" i="12" s="1"/>
  <c r="F394" i="12"/>
  <c r="G394" i="12" s="1"/>
  <c r="F395" i="12"/>
  <c r="G395" i="12" s="1"/>
  <c r="F396" i="12"/>
  <c r="G396" i="12" s="1"/>
  <c r="F397" i="12"/>
  <c r="G397" i="12" s="1"/>
  <c r="F398" i="12"/>
  <c r="G398" i="12" s="1"/>
  <c r="F399" i="12"/>
  <c r="G399" i="12" s="1"/>
  <c r="F400" i="12"/>
  <c r="G400" i="12" s="1"/>
  <c r="F401" i="12"/>
  <c r="G401" i="12" s="1"/>
  <c r="F402" i="12"/>
  <c r="G402" i="12" s="1"/>
  <c r="F403" i="12"/>
  <c r="G403" i="12" s="1"/>
  <c r="F404" i="12"/>
  <c r="G404" i="12" s="1"/>
  <c r="F405" i="12"/>
  <c r="G405" i="12" s="1"/>
  <c r="F406" i="12"/>
  <c r="G406" i="12" s="1"/>
  <c r="F407" i="12"/>
  <c r="G407" i="12" s="1"/>
  <c r="F408" i="12"/>
  <c r="G408" i="12" s="1"/>
  <c r="F409" i="12"/>
  <c r="G409" i="12" s="1"/>
  <c r="F410" i="12"/>
  <c r="G410" i="12" s="1"/>
  <c r="F411" i="12"/>
  <c r="G411" i="12" s="1"/>
  <c r="F412" i="12"/>
  <c r="G412" i="12" s="1"/>
  <c r="F413" i="12"/>
  <c r="G413" i="12" s="1"/>
  <c r="F414" i="12"/>
  <c r="G414" i="12" s="1"/>
  <c r="F415" i="12"/>
  <c r="G415" i="12" s="1"/>
  <c r="F416" i="12"/>
  <c r="G416" i="12" s="1"/>
  <c r="F417" i="12"/>
  <c r="G417" i="12" s="1"/>
  <c r="F418" i="12"/>
  <c r="G418" i="12" s="1"/>
  <c r="F419" i="12"/>
  <c r="G419" i="12" s="1"/>
  <c r="F420" i="12"/>
  <c r="G420" i="12" s="1"/>
  <c r="F421" i="12"/>
  <c r="G421" i="12" s="1"/>
  <c r="F422" i="12"/>
  <c r="G422" i="12" s="1"/>
  <c r="F423" i="12"/>
  <c r="G423" i="12" s="1"/>
  <c r="F424" i="12"/>
  <c r="G424" i="12" s="1"/>
  <c r="F425" i="12"/>
  <c r="G425" i="12" s="1"/>
  <c r="F426" i="12"/>
  <c r="G426" i="12" s="1"/>
  <c r="F427" i="12"/>
  <c r="G427" i="12" s="1"/>
  <c r="F428" i="12"/>
  <c r="G428" i="12" s="1"/>
  <c r="F429" i="12"/>
  <c r="G429" i="12" s="1"/>
  <c r="F430" i="12"/>
  <c r="G430" i="12" s="1"/>
  <c r="F431" i="12"/>
  <c r="G431" i="12" s="1"/>
  <c r="F432" i="12"/>
  <c r="G432" i="12" s="1"/>
  <c r="F433" i="12"/>
  <c r="G433" i="12" s="1"/>
  <c r="F434" i="12"/>
  <c r="G434" i="12" s="1"/>
  <c r="F435" i="12"/>
  <c r="G435" i="12" s="1"/>
  <c r="F436" i="12"/>
  <c r="G436" i="12" s="1"/>
  <c r="F437" i="12"/>
  <c r="G437" i="12" s="1"/>
  <c r="F438" i="12"/>
  <c r="G438" i="12" s="1"/>
  <c r="F439" i="12"/>
  <c r="G439" i="12" s="1"/>
  <c r="F440" i="12"/>
  <c r="G440" i="12" s="1"/>
  <c r="F441" i="12"/>
  <c r="G441" i="12" s="1"/>
  <c r="F442" i="12"/>
  <c r="G442" i="12" s="1"/>
  <c r="F443" i="12"/>
  <c r="G443" i="12" s="1"/>
  <c r="F444" i="12"/>
  <c r="G444" i="12" s="1"/>
  <c r="F445" i="12"/>
  <c r="G445" i="12" s="1"/>
  <c r="F446" i="12"/>
  <c r="G446" i="12" s="1"/>
  <c r="F447" i="12"/>
  <c r="G447" i="12" s="1"/>
  <c r="F448" i="12"/>
  <c r="G448" i="12" s="1"/>
  <c r="F449" i="12"/>
  <c r="G449" i="12" s="1"/>
  <c r="F450" i="12"/>
  <c r="G450" i="12" s="1"/>
  <c r="F451" i="12"/>
  <c r="G451" i="12" s="1"/>
  <c r="F452" i="12"/>
  <c r="G452" i="12" s="1"/>
  <c r="F453" i="12"/>
  <c r="G453" i="12" s="1"/>
  <c r="F454" i="12"/>
  <c r="G454" i="12" s="1"/>
  <c r="F455" i="12"/>
  <c r="G455" i="12" s="1"/>
  <c r="F456" i="12"/>
  <c r="G456" i="12" s="1"/>
  <c r="F457" i="12"/>
  <c r="G457" i="12" s="1"/>
  <c r="F458" i="12"/>
  <c r="G458" i="12" s="1"/>
  <c r="F459" i="12"/>
  <c r="G459" i="12" s="1"/>
  <c r="F460" i="12"/>
  <c r="G460" i="12" s="1"/>
  <c r="F461" i="12"/>
  <c r="G461" i="12" s="1"/>
  <c r="F462" i="12"/>
  <c r="G462" i="12" s="1"/>
  <c r="F463" i="12"/>
  <c r="G463" i="12" s="1"/>
  <c r="F464" i="12"/>
  <c r="G464" i="12" s="1"/>
  <c r="F465" i="12"/>
  <c r="G465" i="12" s="1"/>
  <c r="F466" i="12"/>
  <c r="G466" i="12" s="1"/>
  <c r="F467" i="12"/>
  <c r="G467" i="12" s="1"/>
  <c r="F468" i="12"/>
  <c r="G468" i="12" s="1"/>
  <c r="F469" i="12"/>
  <c r="G469" i="12" s="1"/>
  <c r="F470" i="12"/>
  <c r="G470" i="12" s="1"/>
  <c r="F471" i="12"/>
  <c r="G471" i="12" s="1"/>
  <c r="F472" i="12"/>
  <c r="G472" i="12" s="1"/>
  <c r="F473" i="12"/>
  <c r="G473" i="12" s="1"/>
  <c r="F474" i="12"/>
  <c r="G474" i="12" s="1"/>
  <c r="F475" i="12"/>
  <c r="G475" i="12" s="1"/>
  <c r="F476" i="12"/>
  <c r="G476" i="12" s="1"/>
  <c r="F477" i="12"/>
  <c r="G477" i="12" s="1"/>
  <c r="F478" i="12"/>
  <c r="G478" i="12" s="1"/>
  <c r="F479" i="12"/>
  <c r="G479" i="12" s="1"/>
  <c r="F480" i="12"/>
  <c r="G480" i="12" s="1"/>
  <c r="F481" i="12"/>
  <c r="G481" i="12" s="1"/>
  <c r="F482" i="12"/>
  <c r="G482" i="12" s="1"/>
  <c r="F483" i="12"/>
  <c r="G483" i="12" s="1"/>
  <c r="F484" i="12"/>
  <c r="G484" i="12" s="1"/>
  <c r="F485" i="12"/>
  <c r="G485" i="12" s="1"/>
  <c r="F486" i="12"/>
  <c r="G486" i="12" s="1"/>
  <c r="F487" i="12"/>
  <c r="G487" i="12" s="1"/>
  <c r="F488" i="12"/>
  <c r="G488" i="12" s="1"/>
  <c r="F489" i="12"/>
  <c r="G489" i="12" s="1"/>
  <c r="F490" i="12"/>
  <c r="G490" i="12" s="1"/>
  <c r="F491" i="12"/>
  <c r="G491" i="12" s="1"/>
  <c r="F492" i="12"/>
  <c r="G492" i="12" s="1"/>
  <c r="F493" i="12"/>
  <c r="G493" i="12" s="1"/>
  <c r="F494" i="12"/>
  <c r="G494" i="12" s="1"/>
  <c r="F495" i="12"/>
  <c r="G495" i="12" s="1"/>
  <c r="F496" i="12"/>
  <c r="G496" i="12" s="1"/>
  <c r="F497" i="12"/>
  <c r="G497" i="12" s="1"/>
  <c r="F498" i="12"/>
  <c r="G498" i="12" s="1"/>
  <c r="F499" i="12"/>
  <c r="G499" i="12" s="1"/>
  <c r="F500" i="12"/>
  <c r="G500" i="12" s="1"/>
  <c r="F501" i="12"/>
  <c r="G501" i="12" s="1"/>
  <c r="F502" i="12"/>
  <c r="G502" i="12" s="1"/>
  <c r="F503" i="12"/>
  <c r="G503" i="12" s="1"/>
  <c r="F504" i="12"/>
  <c r="G504" i="12" s="1"/>
  <c r="F505" i="12"/>
  <c r="G505" i="12" s="1"/>
  <c r="F506" i="12"/>
  <c r="G506" i="12" s="1"/>
  <c r="F507" i="12"/>
  <c r="G507" i="12" s="1"/>
  <c r="F508" i="12"/>
  <c r="G508" i="12" s="1"/>
  <c r="F509" i="12"/>
  <c r="G509" i="12" s="1"/>
  <c r="F510" i="12"/>
  <c r="G510" i="12" s="1"/>
  <c r="F511" i="12"/>
  <c r="G511" i="12" s="1"/>
  <c r="F512" i="12"/>
  <c r="G512" i="12" s="1"/>
  <c r="F513" i="12"/>
  <c r="G513" i="12" s="1"/>
  <c r="F514" i="12"/>
  <c r="G514" i="12" s="1"/>
  <c r="F515" i="12"/>
  <c r="G515" i="12" s="1"/>
  <c r="F516" i="12"/>
  <c r="G516" i="12" s="1"/>
  <c r="F517" i="12"/>
  <c r="G517" i="12" s="1"/>
  <c r="F518" i="12"/>
  <c r="G518" i="12" s="1"/>
  <c r="F519" i="12"/>
  <c r="G519" i="12" s="1"/>
  <c r="F520" i="12"/>
  <c r="G520" i="12" s="1"/>
  <c r="F521" i="12"/>
  <c r="G521" i="12" s="1"/>
  <c r="F522" i="12"/>
  <c r="G522" i="12" s="1"/>
  <c r="F523" i="12"/>
  <c r="G523" i="12" s="1"/>
  <c r="F524" i="12"/>
  <c r="G524" i="12" s="1"/>
  <c r="F525" i="12"/>
  <c r="G525" i="12" s="1"/>
  <c r="F526" i="12"/>
  <c r="G526" i="12" s="1"/>
  <c r="F527" i="12"/>
  <c r="G527" i="12" s="1"/>
  <c r="F528" i="12"/>
  <c r="G528" i="12" s="1"/>
  <c r="F529" i="12"/>
  <c r="G529" i="12" s="1"/>
  <c r="F530" i="12"/>
  <c r="G530" i="12" s="1"/>
  <c r="F531" i="12"/>
  <c r="G531" i="12" s="1"/>
  <c r="F532" i="12"/>
  <c r="G532" i="12" s="1"/>
  <c r="F533" i="12"/>
  <c r="G533" i="12" s="1"/>
  <c r="F534" i="12"/>
  <c r="G534" i="12" s="1"/>
  <c r="F535" i="12"/>
  <c r="G535" i="12" s="1"/>
  <c r="F536" i="12"/>
  <c r="G536" i="12" s="1"/>
  <c r="F537" i="12"/>
  <c r="G537" i="12" s="1"/>
  <c r="F538" i="12"/>
  <c r="G538" i="12" s="1"/>
  <c r="F539" i="12"/>
  <c r="G539" i="12" s="1"/>
  <c r="F540" i="12"/>
  <c r="G540" i="12" s="1"/>
  <c r="F541" i="12"/>
  <c r="G541" i="12" s="1"/>
  <c r="F542" i="12"/>
  <c r="G542" i="12" s="1"/>
  <c r="F543" i="12"/>
  <c r="G543" i="12" s="1"/>
  <c r="F544" i="12"/>
  <c r="G544" i="12" s="1"/>
  <c r="F545" i="12"/>
  <c r="G545" i="12" s="1"/>
  <c r="F546" i="12"/>
  <c r="G546" i="12" s="1"/>
  <c r="F547" i="12"/>
  <c r="G547" i="12" s="1"/>
  <c r="F548" i="12"/>
  <c r="G548" i="12" s="1"/>
  <c r="F549" i="12"/>
  <c r="G549" i="12" s="1"/>
  <c r="F550" i="12"/>
  <c r="G550" i="12" s="1"/>
  <c r="F551" i="12"/>
  <c r="G551" i="12" s="1"/>
  <c r="F552" i="12"/>
  <c r="G552" i="12" s="1"/>
  <c r="F553" i="12"/>
  <c r="G553" i="12" s="1"/>
  <c r="F554" i="12"/>
  <c r="G554" i="12" s="1"/>
  <c r="F555" i="12"/>
  <c r="G555" i="12" s="1"/>
  <c r="F556" i="12"/>
  <c r="G556" i="12" s="1"/>
  <c r="F557" i="12"/>
  <c r="G557" i="12" s="1"/>
  <c r="F558" i="12"/>
  <c r="G558" i="12" s="1"/>
  <c r="F559" i="12"/>
  <c r="G559" i="12" s="1"/>
  <c r="F560" i="12"/>
  <c r="G560" i="12" s="1"/>
  <c r="F561" i="12"/>
  <c r="G561" i="12" s="1"/>
  <c r="F562" i="12"/>
  <c r="G562" i="12" s="1"/>
  <c r="F563" i="12"/>
  <c r="G563" i="12" s="1"/>
  <c r="F564" i="12"/>
  <c r="G564" i="12" s="1"/>
  <c r="F565" i="12"/>
  <c r="G565" i="12" s="1"/>
  <c r="F566" i="12"/>
  <c r="G566" i="12" s="1"/>
  <c r="F567" i="12"/>
  <c r="G567" i="12" s="1"/>
  <c r="F568" i="12"/>
  <c r="G568" i="12" s="1"/>
  <c r="F569" i="12"/>
  <c r="G569" i="12" s="1"/>
  <c r="F570" i="12"/>
  <c r="G570" i="12" s="1"/>
  <c r="F571" i="12"/>
  <c r="G571" i="12" s="1"/>
  <c r="F572" i="12"/>
  <c r="G572" i="12" s="1"/>
  <c r="F573" i="12"/>
  <c r="G573" i="12" s="1"/>
  <c r="F574" i="12"/>
  <c r="G574" i="12" s="1"/>
  <c r="F575" i="12"/>
  <c r="G575" i="12" s="1"/>
  <c r="F576" i="12"/>
  <c r="G576" i="12" s="1"/>
  <c r="F577" i="12"/>
  <c r="G577" i="12" s="1"/>
  <c r="F578" i="12"/>
  <c r="G578" i="12" s="1"/>
  <c r="F579" i="12"/>
  <c r="G579" i="12" s="1"/>
  <c r="F580" i="12"/>
  <c r="G580" i="12" s="1"/>
  <c r="F581" i="12"/>
  <c r="G581" i="12" s="1"/>
  <c r="F582" i="12"/>
  <c r="G582" i="12" s="1"/>
  <c r="F583" i="12"/>
  <c r="G583" i="12" s="1"/>
  <c r="F584" i="12"/>
  <c r="G584" i="12" s="1"/>
  <c r="F585" i="12"/>
  <c r="G585" i="12" s="1"/>
  <c r="F586" i="12"/>
  <c r="G586" i="12" s="1"/>
  <c r="F587" i="12"/>
  <c r="G587" i="12" s="1"/>
  <c r="F588" i="12"/>
  <c r="G588" i="12" s="1"/>
  <c r="F589" i="12"/>
  <c r="G589" i="12" s="1"/>
  <c r="F590" i="12"/>
  <c r="G590" i="12" s="1"/>
  <c r="F591" i="12"/>
  <c r="G591" i="12" s="1"/>
  <c r="F592" i="12"/>
  <c r="G592" i="12" s="1"/>
  <c r="F593" i="12"/>
  <c r="G593" i="12" s="1"/>
  <c r="F594" i="12"/>
  <c r="G594" i="12" s="1"/>
  <c r="F595" i="12"/>
  <c r="G595" i="12" s="1"/>
  <c r="F596" i="12"/>
  <c r="G596" i="12" s="1"/>
  <c r="F597" i="12"/>
  <c r="G597" i="12" s="1"/>
  <c r="F598" i="12"/>
  <c r="G598" i="12" s="1"/>
  <c r="F599" i="12"/>
  <c r="G599" i="12" s="1"/>
  <c r="F600" i="12"/>
  <c r="G600" i="12" s="1"/>
  <c r="F601" i="12"/>
  <c r="G601" i="12" s="1"/>
  <c r="F602" i="12"/>
  <c r="G602" i="12" s="1"/>
  <c r="F603" i="12"/>
  <c r="G603" i="12" s="1"/>
  <c r="F604" i="12"/>
  <c r="G604" i="12" s="1"/>
  <c r="F605" i="12"/>
  <c r="G605" i="12" s="1"/>
  <c r="F606" i="12"/>
  <c r="G606" i="12" s="1"/>
  <c r="F607" i="12"/>
  <c r="G607" i="12" s="1"/>
  <c r="F608" i="12"/>
  <c r="G608" i="12" s="1"/>
  <c r="F609" i="12"/>
  <c r="G609" i="12" s="1"/>
  <c r="F610" i="12"/>
  <c r="G610" i="12" s="1"/>
  <c r="F611" i="12"/>
  <c r="G611" i="12" s="1"/>
  <c r="F612" i="12"/>
  <c r="G612" i="12" s="1"/>
  <c r="F613" i="12"/>
  <c r="G613" i="12" s="1"/>
  <c r="F614" i="12"/>
  <c r="G614" i="12" s="1"/>
  <c r="F615" i="12"/>
  <c r="G615" i="12" s="1"/>
  <c r="F616" i="12"/>
  <c r="G616" i="12" s="1"/>
  <c r="F617" i="12"/>
  <c r="G617" i="12" s="1"/>
  <c r="F618" i="12"/>
  <c r="G618" i="12" s="1"/>
  <c r="F619" i="12"/>
  <c r="G619" i="12" s="1"/>
  <c r="F620" i="12"/>
  <c r="G620" i="12" s="1"/>
  <c r="F621" i="12"/>
  <c r="G621" i="12" s="1"/>
  <c r="F622" i="12"/>
  <c r="G622" i="12" s="1"/>
  <c r="F623" i="12"/>
  <c r="G623" i="12" s="1"/>
  <c r="F624" i="12"/>
  <c r="G624" i="12" s="1"/>
  <c r="F625" i="12"/>
  <c r="G625" i="12" s="1"/>
  <c r="F626" i="12"/>
  <c r="G626" i="12" s="1"/>
  <c r="F627" i="12"/>
  <c r="G627" i="12" s="1"/>
  <c r="F628" i="12"/>
  <c r="G628" i="12" s="1"/>
  <c r="F629" i="12"/>
  <c r="G629" i="12" s="1"/>
  <c r="F630" i="12"/>
  <c r="G630" i="12" s="1"/>
  <c r="F631" i="12"/>
  <c r="G631" i="12" s="1"/>
  <c r="F632" i="12"/>
  <c r="G632" i="12" s="1"/>
  <c r="F633" i="12"/>
  <c r="G633" i="12" s="1"/>
  <c r="F634" i="12"/>
  <c r="G634" i="12" s="1"/>
  <c r="F635" i="12"/>
  <c r="G635" i="12" s="1"/>
  <c r="F636" i="12"/>
  <c r="G636" i="12" s="1"/>
  <c r="F637" i="12"/>
  <c r="G637" i="12" s="1"/>
  <c r="F638" i="12"/>
  <c r="G638" i="12" s="1"/>
  <c r="F639" i="12"/>
  <c r="G639" i="12" s="1"/>
  <c r="F640" i="12"/>
  <c r="G640" i="12" s="1"/>
  <c r="F641" i="12"/>
  <c r="G641" i="12" s="1"/>
  <c r="F642" i="12"/>
  <c r="G642" i="12" s="1"/>
  <c r="F643" i="12"/>
  <c r="G643" i="12" s="1"/>
  <c r="F644" i="12"/>
  <c r="G644" i="12" s="1"/>
  <c r="F645" i="12"/>
  <c r="G645" i="12" s="1"/>
  <c r="F646" i="12"/>
  <c r="G646" i="12" s="1"/>
  <c r="F647" i="12"/>
  <c r="G647" i="12" s="1"/>
  <c r="F648" i="12"/>
  <c r="G648" i="12" s="1"/>
  <c r="F649" i="12"/>
  <c r="G649" i="12" s="1"/>
  <c r="F650" i="12"/>
  <c r="G650" i="12" s="1"/>
  <c r="F651" i="12"/>
  <c r="G651" i="12" s="1"/>
  <c r="F652" i="12"/>
  <c r="G652" i="12" s="1"/>
  <c r="F653" i="12"/>
  <c r="G653" i="12" s="1"/>
  <c r="F654" i="12"/>
  <c r="G654" i="12" s="1"/>
  <c r="F655" i="12"/>
  <c r="G655" i="12" s="1"/>
  <c r="F656" i="12"/>
  <c r="G656" i="12" s="1"/>
  <c r="F657" i="12"/>
  <c r="G657" i="12" s="1"/>
  <c r="F658" i="12"/>
  <c r="G658" i="12" s="1"/>
  <c r="F659" i="12"/>
  <c r="G659" i="12" s="1"/>
  <c r="F660" i="12"/>
  <c r="G660" i="12" s="1"/>
  <c r="F661" i="12"/>
  <c r="G661" i="12" s="1"/>
  <c r="F662" i="12"/>
  <c r="G662" i="12" s="1"/>
  <c r="F663" i="12"/>
  <c r="G663" i="12" s="1"/>
  <c r="F664" i="12"/>
  <c r="G664" i="12" s="1"/>
  <c r="F665" i="12"/>
  <c r="G665" i="12" s="1"/>
  <c r="F666" i="12"/>
  <c r="G666" i="12" s="1"/>
  <c r="F667" i="12"/>
  <c r="G667" i="12" s="1"/>
  <c r="F668" i="12"/>
  <c r="G668" i="12" s="1"/>
  <c r="F669" i="12"/>
  <c r="G669" i="12" s="1"/>
  <c r="F670" i="12"/>
  <c r="G670" i="12" s="1"/>
  <c r="F671" i="12"/>
  <c r="G671" i="12" s="1"/>
  <c r="F672" i="12"/>
  <c r="G672" i="12" s="1"/>
  <c r="F673" i="12"/>
  <c r="G673" i="12" s="1"/>
  <c r="F674" i="12"/>
  <c r="G674" i="12" s="1"/>
  <c r="F675" i="12"/>
  <c r="G675" i="12" s="1"/>
  <c r="F676" i="12"/>
  <c r="G676" i="12" s="1"/>
  <c r="F677" i="12"/>
  <c r="G677" i="12" s="1"/>
  <c r="F678" i="12"/>
  <c r="G678" i="12" s="1"/>
  <c r="F679" i="12"/>
  <c r="G679" i="12" s="1"/>
  <c r="F680" i="12"/>
  <c r="G680" i="12" s="1"/>
  <c r="F681" i="12"/>
  <c r="G681" i="12" s="1"/>
  <c r="F682" i="12"/>
  <c r="G682" i="12" s="1"/>
  <c r="F683" i="12"/>
  <c r="G683" i="12" s="1"/>
  <c r="F684" i="12"/>
  <c r="G684" i="12" s="1"/>
  <c r="F685" i="12"/>
  <c r="G685" i="12" s="1"/>
  <c r="F686" i="12"/>
  <c r="G686" i="12" s="1"/>
  <c r="F687" i="12"/>
  <c r="G687" i="12" s="1"/>
  <c r="F688" i="12"/>
  <c r="G688" i="12" s="1"/>
  <c r="F689" i="12"/>
  <c r="G689" i="12" s="1"/>
  <c r="F690" i="12"/>
  <c r="G690" i="12" s="1"/>
  <c r="F691" i="12"/>
  <c r="G691" i="12" s="1"/>
  <c r="F692" i="12"/>
  <c r="G692" i="12" s="1"/>
  <c r="F693" i="12"/>
  <c r="G693" i="12" s="1"/>
  <c r="F694" i="12"/>
  <c r="G694" i="12" s="1"/>
  <c r="F695" i="12"/>
  <c r="G695" i="12" s="1"/>
  <c r="F696" i="12"/>
  <c r="G696" i="12" s="1"/>
  <c r="F697" i="12"/>
  <c r="G697" i="12" s="1"/>
  <c r="F698" i="12"/>
  <c r="G698" i="12" s="1"/>
  <c r="F699" i="12"/>
  <c r="G699" i="12" s="1"/>
  <c r="F700" i="12"/>
  <c r="G700" i="12" s="1"/>
  <c r="F701" i="12"/>
  <c r="G701" i="12" s="1"/>
  <c r="F702" i="12"/>
  <c r="G702" i="12" s="1"/>
  <c r="F703" i="12"/>
  <c r="G703" i="12" s="1"/>
  <c r="F704" i="12"/>
  <c r="G704" i="12" s="1"/>
  <c r="F705" i="12"/>
  <c r="G705" i="12" s="1"/>
  <c r="F706" i="12"/>
  <c r="G706" i="12" s="1"/>
  <c r="F707" i="12"/>
  <c r="G707" i="12" s="1"/>
  <c r="F708" i="12"/>
  <c r="G708" i="12" s="1"/>
  <c r="F709" i="12"/>
  <c r="G709" i="12" s="1"/>
  <c r="F710" i="12"/>
  <c r="G710" i="12" s="1"/>
  <c r="F711" i="12"/>
  <c r="G711" i="12" s="1"/>
  <c r="F712" i="12"/>
  <c r="G712" i="12" s="1"/>
  <c r="F713" i="12"/>
  <c r="G713" i="12" s="1"/>
  <c r="F714" i="12"/>
  <c r="G714" i="12" s="1"/>
  <c r="F715" i="12"/>
  <c r="G715" i="12" s="1"/>
  <c r="F716" i="12"/>
  <c r="G716" i="12" s="1"/>
  <c r="F717" i="12"/>
  <c r="G717" i="12" s="1"/>
  <c r="F718" i="12"/>
  <c r="G718" i="12" s="1"/>
  <c r="F719" i="12"/>
  <c r="G719" i="12" s="1"/>
  <c r="F720" i="12"/>
  <c r="G720" i="12" s="1"/>
  <c r="F721" i="12"/>
  <c r="G721" i="12" s="1"/>
  <c r="F722" i="12"/>
  <c r="G722" i="12" s="1"/>
  <c r="F723" i="12"/>
  <c r="G723" i="12" s="1"/>
  <c r="F724" i="12"/>
  <c r="G724" i="12" s="1"/>
  <c r="F725" i="12"/>
  <c r="G725" i="12" s="1"/>
  <c r="F726" i="12"/>
  <c r="G726" i="12" s="1"/>
  <c r="F727" i="12"/>
  <c r="G727" i="12" s="1"/>
  <c r="F728" i="12"/>
  <c r="G728" i="12" s="1"/>
  <c r="F729" i="12"/>
  <c r="G729" i="12" s="1"/>
  <c r="F730" i="12"/>
  <c r="G730" i="12" s="1"/>
  <c r="F731" i="12"/>
  <c r="G731" i="12" s="1"/>
  <c r="F732" i="12"/>
  <c r="G732" i="12" s="1"/>
  <c r="F733" i="12"/>
  <c r="G733" i="12" s="1"/>
  <c r="F734" i="12"/>
  <c r="G734" i="12" s="1"/>
  <c r="F735" i="12"/>
  <c r="G735" i="12" s="1"/>
  <c r="F736" i="12"/>
  <c r="G736" i="12" s="1"/>
  <c r="F737" i="12"/>
  <c r="G737" i="12" s="1"/>
  <c r="F738" i="12"/>
  <c r="G738" i="12" s="1"/>
  <c r="F739" i="12"/>
  <c r="G739" i="12" s="1"/>
  <c r="F740" i="12"/>
  <c r="G740" i="12" s="1"/>
  <c r="F741" i="12"/>
  <c r="G741" i="12" s="1"/>
  <c r="F742" i="12"/>
  <c r="G742" i="12" s="1"/>
  <c r="F743" i="12"/>
  <c r="G743" i="12" s="1"/>
  <c r="F744" i="12"/>
  <c r="G744" i="12" s="1"/>
  <c r="F745" i="12"/>
  <c r="G745" i="12" s="1"/>
  <c r="F746" i="12"/>
  <c r="G746" i="12" s="1"/>
  <c r="F747" i="12"/>
  <c r="G747" i="12" s="1"/>
  <c r="F748" i="12"/>
  <c r="G748" i="12" s="1"/>
  <c r="F749" i="12"/>
  <c r="G749" i="12" s="1"/>
  <c r="F750" i="12"/>
  <c r="G750" i="12" s="1"/>
  <c r="F751" i="12"/>
  <c r="G751" i="12" s="1"/>
  <c r="F752" i="12"/>
  <c r="G752" i="12" s="1"/>
  <c r="F753" i="12"/>
  <c r="G753" i="12" s="1"/>
  <c r="F754" i="12"/>
  <c r="G754" i="12" s="1"/>
  <c r="F755" i="12"/>
  <c r="G755" i="12" s="1"/>
  <c r="F756" i="12"/>
  <c r="G756" i="12" s="1"/>
  <c r="F757" i="12"/>
  <c r="G757" i="12" s="1"/>
  <c r="F758" i="12"/>
  <c r="G758" i="12" s="1"/>
  <c r="F759" i="12"/>
  <c r="G759" i="12" s="1"/>
  <c r="F760" i="12"/>
  <c r="G760" i="12" s="1"/>
  <c r="F761" i="12"/>
  <c r="G761" i="12" s="1"/>
  <c r="F762" i="12"/>
  <c r="G762" i="12" s="1"/>
  <c r="F763" i="12"/>
  <c r="G763" i="12" s="1"/>
  <c r="F764" i="12"/>
  <c r="G764" i="12" s="1"/>
  <c r="F765" i="12"/>
  <c r="G765" i="12" s="1"/>
  <c r="F766" i="12"/>
  <c r="G766" i="12" s="1"/>
  <c r="F767" i="12"/>
  <c r="G767" i="12" s="1"/>
  <c r="F768" i="12"/>
  <c r="G768" i="12" s="1"/>
  <c r="F769" i="12"/>
  <c r="G769" i="12" s="1"/>
  <c r="F770" i="12"/>
  <c r="G770" i="12" s="1"/>
  <c r="F771" i="12"/>
  <c r="G771" i="12" s="1"/>
  <c r="F772" i="12"/>
  <c r="G772" i="12" s="1"/>
  <c r="F773" i="12"/>
  <c r="G773" i="12" s="1"/>
  <c r="F774" i="12"/>
  <c r="G774" i="12" s="1"/>
  <c r="F775" i="12"/>
  <c r="G775" i="12" s="1"/>
  <c r="F776" i="12"/>
  <c r="G776" i="12" s="1"/>
  <c r="F777" i="12"/>
  <c r="G777" i="12" s="1"/>
  <c r="F778" i="12"/>
  <c r="G778" i="12" s="1"/>
  <c r="F779" i="12"/>
  <c r="G779" i="12" s="1"/>
  <c r="F780" i="12"/>
  <c r="G780" i="12" s="1"/>
  <c r="F781" i="12"/>
  <c r="G781" i="12" s="1"/>
  <c r="F782" i="12"/>
  <c r="G782" i="12" s="1"/>
  <c r="F783" i="12"/>
  <c r="G783" i="12" s="1"/>
  <c r="F784" i="12"/>
  <c r="G784" i="12" s="1"/>
  <c r="F785" i="12"/>
  <c r="G785" i="12" s="1"/>
  <c r="F786" i="12"/>
  <c r="G786" i="12" s="1"/>
  <c r="F787" i="12"/>
  <c r="G787" i="12" s="1"/>
  <c r="F788" i="12"/>
  <c r="G788" i="12" s="1"/>
  <c r="F789" i="12"/>
  <c r="G789" i="12" s="1"/>
  <c r="F790" i="12"/>
  <c r="G790" i="12" s="1"/>
  <c r="F791" i="12"/>
  <c r="G791" i="12" s="1"/>
  <c r="F792" i="12"/>
  <c r="G792" i="12" s="1"/>
  <c r="F793" i="12"/>
  <c r="G793" i="12" s="1"/>
  <c r="F794" i="12"/>
  <c r="G794" i="12" s="1"/>
  <c r="F795" i="12"/>
  <c r="G795" i="12" s="1"/>
  <c r="F796" i="12"/>
  <c r="G796" i="12" s="1"/>
  <c r="F797" i="12"/>
  <c r="G797" i="12" s="1"/>
  <c r="F798" i="12"/>
  <c r="G798" i="12" s="1"/>
  <c r="F799" i="12"/>
  <c r="G799" i="12" s="1"/>
  <c r="F800" i="12"/>
  <c r="G800" i="12" s="1"/>
  <c r="F801" i="12"/>
  <c r="G801" i="12" s="1"/>
  <c r="F802" i="12"/>
  <c r="G802" i="12" s="1"/>
  <c r="F803" i="12"/>
  <c r="G803" i="12" s="1"/>
  <c r="F804" i="12"/>
  <c r="G804" i="12" s="1"/>
  <c r="F805" i="12"/>
  <c r="G805" i="12" s="1"/>
  <c r="F806" i="12"/>
  <c r="G806" i="12" s="1"/>
  <c r="F807" i="12"/>
  <c r="G807" i="12" s="1"/>
  <c r="F808" i="12"/>
  <c r="G808" i="12" s="1"/>
  <c r="F809" i="12"/>
  <c r="G809" i="12" s="1"/>
  <c r="F810" i="12"/>
  <c r="G810" i="12" s="1"/>
  <c r="F811" i="12"/>
  <c r="G811" i="12" s="1"/>
  <c r="F812" i="12"/>
  <c r="G812" i="12" s="1"/>
  <c r="F813" i="12"/>
  <c r="G813" i="12" s="1"/>
  <c r="F814" i="12"/>
  <c r="G814" i="12" s="1"/>
  <c r="F815" i="12"/>
  <c r="G815" i="12" s="1"/>
  <c r="F816" i="12"/>
  <c r="G816" i="12" s="1"/>
  <c r="F817" i="12"/>
  <c r="G817" i="12" s="1"/>
  <c r="F818" i="12"/>
  <c r="G818" i="12" s="1"/>
  <c r="F819" i="12"/>
  <c r="G819" i="12" s="1"/>
  <c r="F820" i="12"/>
  <c r="G820" i="12" s="1"/>
  <c r="F821" i="12"/>
  <c r="G821" i="12" s="1"/>
  <c r="F822" i="12"/>
  <c r="G822" i="12" s="1"/>
  <c r="F823" i="12"/>
  <c r="G823" i="12" s="1"/>
  <c r="F824" i="12"/>
  <c r="G824" i="12" s="1"/>
  <c r="F825" i="12"/>
  <c r="G825" i="12" s="1"/>
  <c r="F826" i="12"/>
  <c r="G826" i="12" s="1"/>
  <c r="F827" i="12"/>
  <c r="G827" i="12" s="1"/>
  <c r="F828" i="12"/>
  <c r="G828" i="12" s="1"/>
  <c r="F829" i="12"/>
  <c r="G829" i="12" s="1"/>
  <c r="F830" i="12"/>
  <c r="G830" i="12" s="1"/>
  <c r="F831" i="12"/>
  <c r="G831" i="12" s="1"/>
  <c r="F832" i="12"/>
  <c r="G832" i="12" s="1"/>
  <c r="F833" i="12"/>
  <c r="G833" i="12" s="1"/>
  <c r="F834" i="12"/>
  <c r="G834" i="12" s="1"/>
  <c r="F835" i="12"/>
  <c r="G835" i="12" s="1"/>
  <c r="F836" i="12"/>
  <c r="G836" i="12" s="1"/>
  <c r="F837" i="12"/>
  <c r="G837" i="12" s="1"/>
  <c r="F838" i="12"/>
  <c r="G838" i="12" s="1"/>
  <c r="F839" i="12"/>
  <c r="G839" i="12" s="1"/>
  <c r="F840" i="12"/>
  <c r="G840" i="12" s="1"/>
  <c r="F841" i="12"/>
  <c r="G841" i="12" s="1"/>
  <c r="F842" i="12"/>
  <c r="G842" i="12" s="1"/>
  <c r="F843" i="12"/>
  <c r="G843" i="12" s="1"/>
  <c r="F844" i="12"/>
  <c r="G844" i="12" s="1"/>
  <c r="F845" i="12"/>
  <c r="G845" i="12" s="1"/>
  <c r="F846" i="12"/>
  <c r="G846" i="12" s="1"/>
  <c r="F847" i="12"/>
  <c r="G847" i="12" s="1"/>
  <c r="F848" i="12"/>
  <c r="G848" i="12" s="1"/>
  <c r="F849" i="12"/>
  <c r="G849" i="12" s="1"/>
  <c r="F850" i="12"/>
  <c r="G850" i="12" s="1"/>
  <c r="F851" i="12"/>
  <c r="G851" i="12" s="1"/>
  <c r="F852" i="12"/>
  <c r="G852" i="12" s="1"/>
  <c r="F853" i="12"/>
  <c r="G853" i="12" s="1"/>
  <c r="F854" i="12"/>
  <c r="G854" i="12" s="1"/>
  <c r="F855" i="12"/>
  <c r="G855" i="12" s="1"/>
  <c r="F856" i="12"/>
  <c r="G856" i="12" s="1"/>
  <c r="F857" i="12"/>
  <c r="G857" i="12" s="1"/>
  <c r="F858" i="12"/>
  <c r="G858" i="12" s="1"/>
  <c r="F859" i="12"/>
  <c r="G859" i="12" s="1"/>
  <c r="F860" i="12"/>
  <c r="G860" i="12" s="1"/>
  <c r="F861" i="12"/>
  <c r="G861" i="12" s="1"/>
  <c r="F862" i="12"/>
  <c r="G862" i="12" s="1"/>
  <c r="F863" i="12"/>
  <c r="G863" i="12" s="1"/>
  <c r="F864" i="12"/>
  <c r="G864" i="12" s="1"/>
  <c r="F865" i="12"/>
  <c r="G865" i="12" s="1"/>
  <c r="F866" i="12"/>
  <c r="G866" i="12" s="1"/>
  <c r="F867" i="12"/>
  <c r="G867" i="12" s="1"/>
  <c r="F868" i="12"/>
  <c r="G868" i="12" s="1"/>
  <c r="F869" i="12"/>
  <c r="G869" i="12" s="1"/>
  <c r="F870" i="12"/>
  <c r="G870" i="12" s="1"/>
  <c r="F871" i="12"/>
  <c r="G871" i="12" s="1"/>
  <c r="F872" i="12"/>
  <c r="G872" i="12" s="1"/>
  <c r="F873" i="12"/>
  <c r="G873" i="12" s="1"/>
  <c r="F874" i="12"/>
  <c r="G874" i="12" s="1"/>
  <c r="F875" i="12"/>
  <c r="G875" i="12" s="1"/>
  <c r="F876" i="12"/>
  <c r="G876" i="12" s="1"/>
  <c r="F877" i="12"/>
  <c r="G877" i="12" s="1"/>
  <c r="F878" i="12"/>
  <c r="G878" i="12" s="1"/>
  <c r="F879" i="12"/>
  <c r="G879" i="12" s="1"/>
  <c r="F880" i="12"/>
  <c r="G880" i="12" s="1"/>
  <c r="F881" i="12"/>
  <c r="G881" i="12" s="1"/>
  <c r="F882" i="12"/>
  <c r="G882" i="12" s="1"/>
  <c r="F883" i="12"/>
  <c r="G883" i="12" s="1"/>
  <c r="F884" i="12"/>
  <c r="G884" i="12" s="1"/>
  <c r="F885" i="12"/>
  <c r="G885" i="12" s="1"/>
  <c r="F886" i="12"/>
  <c r="G886" i="12" s="1"/>
  <c r="F887" i="12"/>
  <c r="G887" i="12" s="1"/>
  <c r="F888" i="12"/>
  <c r="G888" i="12" s="1"/>
  <c r="F889" i="12"/>
  <c r="G889" i="12" s="1"/>
  <c r="F890" i="12"/>
  <c r="G890" i="12" s="1"/>
  <c r="F891" i="12"/>
  <c r="G891" i="12" s="1"/>
  <c r="F892" i="12"/>
  <c r="G892" i="12" s="1"/>
  <c r="F893" i="12"/>
  <c r="G893" i="12" s="1"/>
  <c r="F894" i="12"/>
  <c r="G894" i="12" s="1"/>
  <c r="F895" i="12"/>
  <c r="G895" i="12" s="1"/>
  <c r="F896" i="12"/>
  <c r="G896" i="12" s="1"/>
  <c r="F897" i="12"/>
  <c r="G897" i="12" s="1"/>
  <c r="F898" i="12"/>
  <c r="G898" i="12" s="1"/>
  <c r="F899" i="12"/>
  <c r="G899" i="12" s="1"/>
  <c r="F900" i="12"/>
  <c r="G900" i="12" s="1"/>
  <c r="F901" i="12"/>
  <c r="G901" i="12" s="1"/>
  <c r="F902" i="12"/>
  <c r="G902" i="12" s="1"/>
  <c r="F903" i="12"/>
  <c r="G903" i="12" s="1"/>
  <c r="F904" i="12"/>
  <c r="G904" i="12" s="1"/>
  <c r="F905" i="12"/>
  <c r="G905" i="12" s="1"/>
  <c r="F906" i="12"/>
  <c r="G906" i="12" s="1"/>
  <c r="F907" i="12"/>
  <c r="G907" i="12" s="1"/>
  <c r="F908" i="12"/>
  <c r="G908" i="12" s="1"/>
  <c r="F909" i="12"/>
  <c r="G909" i="12" s="1"/>
  <c r="F910" i="12"/>
  <c r="G910" i="12" s="1"/>
  <c r="F911" i="12"/>
  <c r="G911" i="12" s="1"/>
  <c r="F912" i="12"/>
  <c r="G912" i="12" s="1"/>
  <c r="F913" i="12"/>
  <c r="G913" i="12" s="1"/>
  <c r="F914" i="12"/>
  <c r="G914" i="12" s="1"/>
  <c r="F915" i="12"/>
  <c r="G915" i="12" s="1"/>
  <c r="F916" i="12"/>
  <c r="G916" i="12" s="1"/>
  <c r="F917" i="12"/>
  <c r="G917" i="12" s="1"/>
  <c r="F918" i="12"/>
  <c r="G918" i="12" s="1"/>
  <c r="F919" i="12"/>
  <c r="G919" i="12" s="1"/>
  <c r="F920" i="12"/>
  <c r="G920" i="12" s="1"/>
  <c r="F921" i="12"/>
  <c r="G921" i="12" s="1"/>
  <c r="F922" i="12"/>
  <c r="G922" i="12" s="1"/>
  <c r="F923" i="12"/>
  <c r="G923" i="12" s="1"/>
  <c r="F924" i="12"/>
  <c r="G924" i="12" s="1"/>
  <c r="F925" i="12"/>
  <c r="G925" i="12" s="1"/>
  <c r="F926" i="12"/>
  <c r="G926" i="12" s="1"/>
  <c r="F927" i="12"/>
  <c r="G927" i="12" s="1"/>
  <c r="F928" i="12"/>
  <c r="G928" i="12" s="1"/>
  <c r="F929" i="12"/>
  <c r="G929" i="12" s="1"/>
  <c r="F930" i="12"/>
  <c r="G930" i="12" s="1"/>
  <c r="F931" i="12"/>
  <c r="G931" i="12" s="1"/>
  <c r="F932" i="12"/>
  <c r="G932" i="12" s="1"/>
  <c r="F933" i="12"/>
  <c r="G933" i="12" s="1"/>
  <c r="F934" i="12"/>
  <c r="G934" i="12" s="1"/>
  <c r="F935" i="12"/>
  <c r="G935" i="12" s="1"/>
  <c r="F936" i="12"/>
  <c r="G936" i="12" s="1"/>
  <c r="F937" i="12"/>
  <c r="G937" i="12" s="1"/>
  <c r="F938" i="12"/>
  <c r="G938" i="12" s="1"/>
  <c r="F939" i="12"/>
  <c r="G939" i="12" s="1"/>
  <c r="F940" i="12"/>
  <c r="G940" i="12" s="1"/>
  <c r="F941" i="12"/>
  <c r="G941" i="12" s="1"/>
  <c r="F942" i="12"/>
  <c r="G942" i="12" s="1"/>
  <c r="F943" i="12"/>
  <c r="G943" i="12" s="1"/>
  <c r="F944" i="12"/>
  <c r="G944" i="12" s="1"/>
  <c r="F945" i="12"/>
  <c r="G945" i="12" s="1"/>
  <c r="F946" i="12"/>
  <c r="G946" i="12" s="1"/>
  <c r="F947" i="12"/>
  <c r="G947" i="12" s="1"/>
  <c r="F948" i="12"/>
  <c r="G948" i="12" s="1"/>
  <c r="F949" i="12"/>
  <c r="G949" i="12" s="1"/>
  <c r="F950" i="12"/>
  <c r="G950" i="12" s="1"/>
  <c r="F951" i="12"/>
  <c r="G951" i="12" s="1"/>
  <c r="F952" i="12"/>
  <c r="G952" i="12" s="1"/>
  <c r="F953" i="12"/>
  <c r="G953" i="12" s="1"/>
  <c r="F954" i="12"/>
  <c r="G954" i="12" s="1"/>
  <c r="F955" i="12"/>
  <c r="G955" i="12" s="1"/>
  <c r="F956" i="12"/>
  <c r="G956" i="12" s="1"/>
  <c r="F957" i="12"/>
  <c r="G957" i="12" s="1"/>
  <c r="F958" i="12"/>
  <c r="G958" i="12" s="1"/>
  <c r="F959" i="12"/>
  <c r="G959" i="12" s="1"/>
  <c r="F960" i="12"/>
  <c r="G960" i="12" s="1"/>
  <c r="F961" i="12"/>
  <c r="G961" i="12" s="1"/>
  <c r="F962" i="12"/>
  <c r="G962" i="12" s="1"/>
  <c r="F963" i="12"/>
  <c r="G963" i="12" s="1"/>
  <c r="F964" i="12"/>
  <c r="G964" i="12" s="1"/>
  <c r="F965" i="12"/>
  <c r="G965" i="12" s="1"/>
  <c r="F966" i="12"/>
  <c r="G966" i="12" s="1"/>
  <c r="F967" i="12"/>
  <c r="G967" i="12" s="1"/>
  <c r="F968" i="12"/>
  <c r="G968" i="12" s="1"/>
  <c r="F969" i="12"/>
  <c r="G969" i="12" s="1"/>
  <c r="F970" i="12"/>
  <c r="G970" i="12" s="1"/>
  <c r="F971" i="12"/>
  <c r="G971" i="12" s="1"/>
  <c r="F972" i="12"/>
  <c r="G972" i="12" s="1"/>
  <c r="F973" i="12"/>
  <c r="G973" i="12" s="1"/>
  <c r="F974" i="12"/>
  <c r="G974" i="12" s="1"/>
  <c r="F975" i="12"/>
  <c r="G975" i="12" s="1"/>
  <c r="F976" i="12"/>
  <c r="G976" i="12" s="1"/>
  <c r="F977" i="12"/>
  <c r="G977" i="12" s="1"/>
  <c r="F978" i="12"/>
  <c r="G978" i="12" s="1"/>
  <c r="F979" i="12"/>
  <c r="G979" i="12" s="1"/>
  <c r="F980" i="12"/>
  <c r="G980" i="12" s="1"/>
  <c r="F981" i="12"/>
  <c r="G981" i="12" s="1"/>
  <c r="F982" i="12"/>
  <c r="G982" i="12" s="1"/>
  <c r="F983" i="12"/>
  <c r="G983" i="12" s="1"/>
  <c r="F984" i="12"/>
  <c r="G984" i="12" s="1"/>
  <c r="F985" i="12"/>
  <c r="G985" i="12" s="1"/>
  <c r="F986" i="12"/>
  <c r="G986" i="12" s="1"/>
  <c r="F987" i="12"/>
  <c r="G987" i="12" s="1"/>
  <c r="F988" i="12"/>
  <c r="G988" i="12" s="1"/>
  <c r="F989" i="12"/>
  <c r="G989" i="12" s="1"/>
  <c r="F990" i="12"/>
  <c r="G990" i="12" s="1"/>
  <c r="F991" i="12"/>
  <c r="G991" i="12" s="1"/>
  <c r="F992" i="12"/>
  <c r="G992" i="12" s="1"/>
  <c r="F993" i="12"/>
  <c r="G993" i="12" s="1"/>
  <c r="F994" i="12"/>
  <c r="G994" i="12" s="1"/>
  <c r="F995" i="12"/>
  <c r="G995" i="12" s="1"/>
  <c r="F996" i="12"/>
  <c r="G996" i="12" s="1"/>
  <c r="F997" i="12"/>
  <c r="G997" i="12" s="1"/>
  <c r="F998" i="12"/>
  <c r="G998" i="12" s="1"/>
  <c r="F999" i="12"/>
  <c r="G999" i="12" s="1"/>
  <c r="F1000" i="12"/>
  <c r="G1000" i="12" s="1"/>
  <c r="F1001" i="12"/>
  <c r="G1001" i="12" s="1"/>
  <c r="F1002" i="12"/>
  <c r="G1002" i="12" s="1"/>
  <c r="F1003" i="12"/>
  <c r="G1003" i="12" s="1"/>
  <c r="F1004" i="12"/>
  <c r="G1004" i="12" s="1"/>
  <c r="F1005" i="12"/>
  <c r="G1005" i="12" s="1"/>
  <c r="F1006" i="12"/>
  <c r="G1006" i="12" s="1"/>
  <c r="F1007" i="12"/>
  <c r="G1007" i="12" s="1"/>
  <c r="F1008" i="12"/>
  <c r="G1008" i="12" s="1"/>
  <c r="F1009" i="12"/>
  <c r="G1009" i="12" s="1"/>
  <c r="F1010" i="12"/>
  <c r="G1010" i="12" s="1"/>
  <c r="F1011" i="12"/>
  <c r="G1011" i="12" s="1"/>
  <c r="F1012" i="12"/>
  <c r="G1012" i="12" s="1"/>
  <c r="F1013" i="12"/>
  <c r="G1013" i="12" s="1"/>
  <c r="F1014" i="12"/>
  <c r="G1014" i="12" s="1"/>
  <c r="F1015" i="12"/>
  <c r="G1015" i="12" s="1"/>
  <c r="F1016" i="12"/>
  <c r="G1016" i="12" s="1"/>
  <c r="F1017" i="12"/>
  <c r="G1017" i="12" s="1"/>
  <c r="F1018" i="12"/>
  <c r="G1018" i="12" s="1"/>
  <c r="F1019" i="12"/>
  <c r="G1019" i="12" s="1"/>
  <c r="F1020" i="12"/>
  <c r="G1020" i="12" s="1"/>
  <c r="F1021" i="12"/>
  <c r="G1021" i="12" s="1"/>
  <c r="F1022" i="12"/>
  <c r="G1022" i="12" s="1"/>
  <c r="F1023" i="12"/>
  <c r="G1023" i="12" s="1"/>
  <c r="F1024" i="12"/>
  <c r="G1024" i="12" s="1"/>
  <c r="F1025" i="12"/>
  <c r="G1025" i="12" s="1"/>
  <c r="F1026" i="12"/>
  <c r="G1026" i="12" s="1"/>
  <c r="F1027" i="12"/>
  <c r="G1027" i="12" s="1"/>
  <c r="F1028" i="12"/>
  <c r="G1028" i="12" s="1"/>
  <c r="F1029" i="12"/>
  <c r="G1029" i="12" s="1"/>
  <c r="F1030" i="12"/>
  <c r="G1030" i="12" s="1"/>
  <c r="F1031" i="12"/>
  <c r="G1031" i="12" s="1"/>
  <c r="F1032" i="12"/>
  <c r="G1032" i="12" s="1"/>
  <c r="F1033" i="12"/>
  <c r="G1033" i="12" s="1"/>
  <c r="F1034" i="12"/>
  <c r="G1034" i="12" s="1"/>
  <c r="F1035" i="12"/>
  <c r="G1035" i="12" s="1"/>
  <c r="F1036" i="12"/>
  <c r="G1036" i="12" s="1"/>
  <c r="F1037" i="12"/>
  <c r="G1037" i="12" s="1"/>
  <c r="F1038" i="12"/>
  <c r="G1038" i="12" s="1"/>
  <c r="F1039" i="12"/>
  <c r="G1039" i="12" s="1"/>
  <c r="F1040" i="12"/>
  <c r="G1040" i="12" s="1"/>
  <c r="F1041" i="12"/>
  <c r="G1041" i="12" s="1"/>
  <c r="F1042" i="12"/>
  <c r="G1042" i="12" s="1"/>
  <c r="F1043" i="12"/>
  <c r="G1043" i="12" s="1"/>
  <c r="F1044" i="12"/>
  <c r="G1044" i="12" s="1"/>
  <c r="F1045" i="12"/>
  <c r="G1045" i="12" s="1"/>
  <c r="F1046" i="12"/>
  <c r="G1046" i="12" s="1"/>
  <c r="F1047" i="12"/>
  <c r="G1047" i="12" s="1"/>
  <c r="F1048" i="12"/>
  <c r="G1048" i="12" s="1"/>
  <c r="F1049" i="12"/>
  <c r="G1049" i="12" s="1"/>
  <c r="F1050" i="12"/>
  <c r="G1050" i="12" s="1"/>
  <c r="F1051" i="12"/>
  <c r="G1051" i="12" s="1"/>
  <c r="F1052" i="12"/>
  <c r="G1052" i="12" s="1"/>
  <c r="F1053" i="12"/>
  <c r="G1053" i="12" s="1"/>
  <c r="F1054" i="12"/>
  <c r="G1054" i="12" s="1"/>
  <c r="F1055" i="12"/>
  <c r="G1055" i="12" s="1"/>
  <c r="F1056" i="12"/>
  <c r="G1056" i="12" s="1"/>
  <c r="F1057" i="12"/>
  <c r="G1057" i="12" s="1"/>
  <c r="F1058" i="12"/>
  <c r="G1058" i="12" s="1"/>
  <c r="F1059" i="12"/>
  <c r="G1059" i="12" s="1"/>
  <c r="F1060" i="12"/>
  <c r="G1060" i="12" s="1"/>
  <c r="F1061" i="12"/>
  <c r="G1061" i="12" s="1"/>
  <c r="F1062" i="12"/>
  <c r="G1062" i="12" s="1"/>
  <c r="F1063" i="12"/>
  <c r="G1063" i="12" s="1"/>
  <c r="F1064" i="12"/>
  <c r="G1064" i="12" s="1"/>
  <c r="F1065" i="12"/>
  <c r="G1065" i="12" s="1"/>
  <c r="F1066" i="12"/>
  <c r="G1066" i="12" s="1"/>
  <c r="F1067" i="12"/>
  <c r="G1067" i="12" s="1"/>
  <c r="F1068" i="12"/>
  <c r="G1068" i="12" s="1"/>
  <c r="F1069" i="12"/>
  <c r="G1069" i="12" s="1"/>
  <c r="F1070" i="12"/>
  <c r="G1070" i="12" s="1"/>
  <c r="F1071" i="12"/>
  <c r="G1071" i="12" s="1"/>
  <c r="F1072" i="12"/>
  <c r="G1072" i="12" s="1"/>
  <c r="F1073" i="12"/>
  <c r="G1073" i="12" s="1"/>
  <c r="F1074" i="12"/>
  <c r="G1074" i="12" s="1"/>
  <c r="F1075" i="12"/>
  <c r="G1075" i="12" s="1"/>
  <c r="F1076" i="12"/>
  <c r="G1076" i="12" s="1"/>
  <c r="F1077" i="12"/>
  <c r="G1077" i="12" s="1"/>
  <c r="F1078" i="12"/>
  <c r="G1078" i="12" s="1"/>
  <c r="F1079" i="12"/>
  <c r="G1079" i="12" s="1"/>
  <c r="F1080" i="12"/>
  <c r="G1080" i="12" s="1"/>
  <c r="F1081" i="12"/>
  <c r="G1081" i="12" s="1"/>
  <c r="F1082" i="12"/>
  <c r="G1082" i="12" s="1"/>
  <c r="F1083" i="12"/>
  <c r="G1083" i="12" s="1"/>
  <c r="F1084" i="12"/>
  <c r="G1084" i="12" s="1"/>
  <c r="F1085" i="12"/>
  <c r="G1085" i="12" s="1"/>
  <c r="F1086" i="12"/>
  <c r="G1086" i="12" s="1"/>
  <c r="F1087" i="12"/>
  <c r="G1087" i="12" s="1"/>
  <c r="F1088" i="12"/>
  <c r="G1088" i="12" s="1"/>
  <c r="F1089" i="12"/>
  <c r="G1089" i="12" s="1"/>
  <c r="F1090" i="12"/>
  <c r="G1090" i="12" s="1"/>
  <c r="F1091" i="12"/>
  <c r="G1091" i="12" s="1"/>
  <c r="F1092" i="12"/>
  <c r="G1092" i="12" s="1"/>
  <c r="F1093" i="12"/>
  <c r="G1093" i="12" s="1"/>
  <c r="F1094" i="12"/>
  <c r="G1094" i="12" s="1"/>
  <c r="F1095" i="12"/>
  <c r="G1095" i="12" s="1"/>
  <c r="F1096" i="12"/>
  <c r="G1096" i="12" s="1"/>
  <c r="F1097" i="12"/>
  <c r="G1097" i="12" s="1"/>
  <c r="F1098" i="12"/>
  <c r="G1098" i="12" s="1"/>
  <c r="F1099" i="12"/>
  <c r="G1099" i="12" s="1"/>
  <c r="F1100" i="12"/>
  <c r="G1100" i="12" s="1"/>
  <c r="F1101" i="12"/>
  <c r="G1101" i="12" s="1"/>
  <c r="F1102" i="12"/>
  <c r="G1102" i="12" s="1"/>
  <c r="F1103" i="12"/>
  <c r="G1103" i="12" s="1"/>
  <c r="F1104" i="12"/>
  <c r="G1104" i="12" s="1"/>
  <c r="F1105" i="12"/>
  <c r="G1105" i="12" s="1"/>
  <c r="F1106" i="12"/>
  <c r="G1106" i="12" s="1"/>
  <c r="F1107" i="12"/>
  <c r="G1107" i="12" s="1"/>
  <c r="F1108" i="12"/>
  <c r="G1108" i="12" s="1"/>
  <c r="F1109" i="12"/>
  <c r="G1109" i="12" s="1"/>
  <c r="F1110" i="12"/>
  <c r="G1110" i="12" s="1"/>
  <c r="F1111" i="12"/>
  <c r="G1111" i="12" s="1"/>
  <c r="F1112" i="12"/>
  <c r="G1112" i="12" s="1"/>
  <c r="F1113" i="12"/>
  <c r="G1113" i="12" s="1"/>
  <c r="F1114" i="12"/>
  <c r="G1114" i="12" s="1"/>
  <c r="F1115" i="12"/>
  <c r="G1115" i="12" s="1"/>
  <c r="F1116" i="12"/>
  <c r="G1116" i="12" s="1"/>
  <c r="F1117" i="12"/>
  <c r="G1117" i="12" s="1"/>
  <c r="F1118" i="12"/>
  <c r="G1118" i="12" s="1"/>
  <c r="F1119" i="12"/>
  <c r="G1119" i="12" s="1"/>
  <c r="F1120" i="12"/>
  <c r="G1120" i="12" s="1"/>
  <c r="F1121" i="12"/>
  <c r="G1121" i="12" s="1"/>
  <c r="F1122" i="12"/>
  <c r="G1122" i="12" s="1"/>
  <c r="F1123" i="12"/>
  <c r="G1123" i="12" s="1"/>
  <c r="F1124" i="12"/>
  <c r="G1124" i="12" s="1"/>
  <c r="F1125" i="12"/>
  <c r="G1125" i="12" s="1"/>
  <c r="F1126" i="12"/>
  <c r="G1126" i="12" s="1"/>
  <c r="F1127" i="12"/>
  <c r="G1127" i="12" s="1"/>
  <c r="F1128" i="12"/>
  <c r="G1128" i="12" s="1"/>
  <c r="F1129" i="12"/>
  <c r="G1129" i="12" s="1"/>
  <c r="F1130" i="12"/>
  <c r="G1130" i="12" s="1"/>
  <c r="F1131" i="12"/>
  <c r="G1131" i="12" s="1"/>
  <c r="F1132" i="12"/>
  <c r="G1132" i="12" s="1"/>
  <c r="F1133" i="12"/>
  <c r="G1133" i="12" s="1"/>
  <c r="F1134" i="12"/>
  <c r="G1134" i="12" s="1"/>
  <c r="F1135" i="12"/>
  <c r="G1135" i="12" s="1"/>
  <c r="F1136" i="12"/>
  <c r="G1136" i="12" s="1"/>
  <c r="F1137" i="12"/>
  <c r="G1137" i="12" s="1"/>
  <c r="F1138" i="12"/>
  <c r="G1138" i="12" s="1"/>
  <c r="F1139" i="12"/>
  <c r="G1139" i="12" s="1"/>
  <c r="F1140" i="12"/>
  <c r="G1140" i="12" s="1"/>
  <c r="F1141" i="12"/>
  <c r="G1141" i="12" s="1"/>
  <c r="F1142" i="12"/>
  <c r="G1142" i="12" s="1"/>
  <c r="F1143" i="12"/>
  <c r="G1143" i="12" s="1"/>
  <c r="F1144" i="12"/>
  <c r="G1144" i="12" s="1"/>
  <c r="F1145" i="12"/>
  <c r="G1145" i="12" s="1"/>
  <c r="F1146" i="12"/>
  <c r="G1146" i="12" s="1"/>
  <c r="F1147" i="12"/>
  <c r="G1147" i="12" s="1"/>
  <c r="F1148" i="12"/>
  <c r="G1148" i="12" s="1"/>
  <c r="F1149" i="12"/>
  <c r="G1149" i="12" s="1"/>
  <c r="F1150" i="12"/>
  <c r="G1150" i="12" s="1"/>
  <c r="F1151" i="12"/>
  <c r="G1151" i="12" s="1"/>
  <c r="F1152" i="12"/>
  <c r="G1152" i="12" s="1"/>
  <c r="F1153" i="12"/>
  <c r="G1153" i="12" s="1"/>
  <c r="F1154" i="12"/>
  <c r="G1154" i="12" s="1"/>
  <c r="F1155" i="12"/>
  <c r="G1155" i="12" s="1"/>
  <c r="F1156" i="12"/>
  <c r="G1156" i="12" s="1"/>
  <c r="F1157" i="12"/>
  <c r="G1157" i="12" s="1"/>
  <c r="F1158" i="12"/>
  <c r="G1158" i="12" s="1"/>
  <c r="F1159" i="12"/>
  <c r="G1159" i="12" s="1"/>
  <c r="F1160" i="12"/>
  <c r="G1160" i="12" s="1"/>
  <c r="F1161" i="12"/>
  <c r="G1161" i="12" s="1"/>
  <c r="F1162" i="12"/>
  <c r="G1162" i="12" s="1"/>
  <c r="F1163" i="12"/>
  <c r="G1163" i="12" s="1"/>
  <c r="F1164" i="12"/>
  <c r="G1164" i="12" s="1"/>
  <c r="F1165" i="12"/>
  <c r="G1165" i="12" s="1"/>
  <c r="F1166" i="12"/>
  <c r="G1166" i="12" s="1"/>
  <c r="F1167" i="12"/>
  <c r="G1167" i="12" s="1"/>
  <c r="F1168" i="12"/>
  <c r="G1168" i="12" s="1"/>
  <c r="F1169" i="12"/>
  <c r="G1169" i="12" s="1"/>
  <c r="F1170" i="12"/>
  <c r="G1170" i="12" s="1"/>
  <c r="F1171" i="12"/>
  <c r="G1171" i="12" s="1"/>
  <c r="F1172" i="12"/>
  <c r="G1172" i="12" s="1"/>
  <c r="F1173" i="12"/>
  <c r="G1173" i="12" s="1"/>
  <c r="F1174" i="12"/>
  <c r="G1174" i="12" s="1"/>
  <c r="F1175" i="12"/>
  <c r="G1175" i="12" s="1"/>
  <c r="F1176" i="12"/>
  <c r="G1176" i="12" s="1"/>
  <c r="F1177" i="12"/>
  <c r="G1177" i="12" s="1"/>
  <c r="F1178" i="12"/>
  <c r="G1178" i="12" s="1"/>
  <c r="F1179" i="12"/>
  <c r="G1179" i="12" s="1"/>
  <c r="F1180" i="12"/>
  <c r="G1180" i="12" s="1"/>
  <c r="F1181" i="12"/>
  <c r="G1181" i="12" s="1"/>
  <c r="F1182" i="12"/>
  <c r="G1182" i="12" s="1"/>
  <c r="F1183" i="12"/>
  <c r="G1183" i="12" s="1"/>
  <c r="F1184" i="12"/>
  <c r="G1184" i="12" s="1"/>
  <c r="F1185" i="12"/>
  <c r="G1185" i="12" s="1"/>
  <c r="F1186" i="12"/>
  <c r="G1186" i="12" s="1"/>
  <c r="F1187" i="12"/>
  <c r="G1187" i="12" s="1"/>
  <c r="F1188" i="12"/>
  <c r="G1188" i="12" s="1"/>
  <c r="F1189" i="12"/>
  <c r="G1189" i="12" s="1"/>
  <c r="F1190" i="12"/>
  <c r="G1190" i="12" s="1"/>
  <c r="F1191" i="12"/>
  <c r="G1191" i="12" s="1"/>
  <c r="F1192" i="12"/>
  <c r="G1192" i="12" s="1"/>
  <c r="F1193" i="12"/>
  <c r="G1193" i="12" s="1"/>
  <c r="F1194" i="12"/>
  <c r="G1194" i="12" s="1"/>
  <c r="F1195" i="12"/>
  <c r="G1195" i="12" s="1"/>
  <c r="F1196" i="12"/>
  <c r="G1196" i="12" s="1"/>
  <c r="F1197" i="12"/>
  <c r="G1197" i="12" s="1"/>
  <c r="F1198" i="12"/>
  <c r="G1198" i="12" s="1"/>
  <c r="F1199" i="12"/>
  <c r="G1199" i="12" s="1"/>
  <c r="F1200" i="12"/>
  <c r="G1200" i="12" s="1"/>
  <c r="F1201" i="12"/>
  <c r="G1201" i="12" s="1"/>
  <c r="F1202" i="12"/>
  <c r="G1202" i="12" s="1"/>
  <c r="F1203" i="12"/>
  <c r="G1203" i="12" s="1"/>
  <c r="F1204" i="12"/>
  <c r="G1204" i="12" s="1"/>
  <c r="F1205" i="12"/>
  <c r="G1205" i="12" s="1"/>
  <c r="F1206" i="12"/>
  <c r="G1206" i="12" s="1"/>
  <c r="F1207" i="12"/>
  <c r="G1207" i="12" s="1"/>
  <c r="F1208" i="12"/>
  <c r="G1208" i="12" s="1"/>
  <c r="F1209" i="12"/>
  <c r="G1209" i="12" s="1"/>
  <c r="F1210" i="12"/>
  <c r="G1210" i="12" s="1"/>
  <c r="F1211" i="12"/>
  <c r="G1211" i="12" s="1"/>
  <c r="F1212" i="12"/>
  <c r="G1212" i="12" s="1"/>
  <c r="F1213" i="12"/>
  <c r="G1213" i="12" s="1"/>
  <c r="F1214" i="12"/>
  <c r="G1214" i="12" s="1"/>
  <c r="F1215" i="12"/>
  <c r="G1215" i="12" s="1"/>
  <c r="F1216" i="12"/>
  <c r="G1216" i="12" s="1"/>
  <c r="F1217" i="12"/>
  <c r="G1217" i="12" s="1"/>
  <c r="F1218" i="12"/>
  <c r="G1218" i="12" s="1"/>
  <c r="F1219" i="12"/>
  <c r="G1219" i="12" s="1"/>
  <c r="F1220" i="12"/>
  <c r="G1220" i="12" s="1"/>
  <c r="F1221" i="12"/>
  <c r="G1221" i="12" s="1"/>
  <c r="F1222" i="12"/>
  <c r="G1222" i="12" s="1"/>
  <c r="F1223" i="12"/>
  <c r="G1223" i="12" s="1"/>
  <c r="F1224" i="12"/>
  <c r="G1224" i="12" s="1"/>
  <c r="F1225" i="12"/>
  <c r="G1225" i="12" s="1"/>
  <c r="F1226" i="12"/>
  <c r="G1226" i="12" s="1"/>
  <c r="F1227" i="12"/>
  <c r="G1227" i="12" s="1"/>
  <c r="F1228" i="12"/>
  <c r="G1228" i="12" s="1"/>
  <c r="F1229" i="12"/>
  <c r="G1229" i="12" s="1"/>
  <c r="F1230" i="12"/>
  <c r="G1230" i="12" s="1"/>
  <c r="F1231" i="12"/>
  <c r="G1231" i="12" s="1"/>
  <c r="F1232" i="12"/>
  <c r="G1232" i="12" s="1"/>
  <c r="F1233" i="12"/>
  <c r="G1233" i="12" s="1"/>
  <c r="F1234" i="12"/>
  <c r="G1234" i="12" s="1"/>
  <c r="F1235" i="12"/>
  <c r="G1235" i="12" s="1"/>
  <c r="F1236" i="12"/>
  <c r="G1236" i="12" s="1"/>
  <c r="F1237" i="12"/>
  <c r="G1237" i="12" s="1"/>
  <c r="F1238" i="12"/>
  <c r="G1238" i="12" s="1"/>
  <c r="F1239" i="12"/>
  <c r="G1239" i="12" s="1"/>
  <c r="F1240" i="12"/>
  <c r="G1240" i="12" s="1"/>
  <c r="F1241" i="12"/>
  <c r="G1241" i="12" s="1"/>
  <c r="F1242" i="12"/>
  <c r="G1242" i="12" s="1"/>
  <c r="F1243" i="12"/>
  <c r="G1243" i="12" s="1"/>
  <c r="F1244" i="12"/>
  <c r="G1244" i="12" s="1"/>
  <c r="F1245" i="12"/>
  <c r="G1245" i="12" s="1"/>
  <c r="F1246" i="12"/>
  <c r="G1246" i="12" s="1"/>
  <c r="F1247" i="12"/>
  <c r="G1247" i="12" s="1"/>
  <c r="F1248" i="12"/>
  <c r="G1248" i="12" s="1"/>
  <c r="F1249" i="12"/>
  <c r="G1249" i="12" s="1"/>
  <c r="F1250" i="12"/>
  <c r="G1250" i="12" s="1"/>
  <c r="F1251" i="12"/>
  <c r="G1251" i="12" s="1"/>
  <c r="F1252" i="12"/>
  <c r="G1252" i="12" s="1"/>
  <c r="F1253" i="12"/>
  <c r="G1253" i="12" s="1"/>
  <c r="F1254" i="12"/>
  <c r="G1254" i="12" s="1"/>
  <c r="F1255" i="12"/>
  <c r="G1255" i="12" s="1"/>
  <c r="F1256" i="12"/>
  <c r="G1256" i="12" s="1"/>
  <c r="F1257" i="12"/>
  <c r="G1257" i="12" s="1"/>
  <c r="F1258" i="12"/>
  <c r="G1258" i="12" s="1"/>
  <c r="F1259" i="12"/>
  <c r="G1259" i="12" s="1"/>
  <c r="F1260" i="12"/>
  <c r="G1260" i="12" s="1"/>
  <c r="F1261" i="12"/>
  <c r="G1261" i="12" s="1"/>
  <c r="F1262" i="12"/>
  <c r="G1262" i="12" s="1"/>
  <c r="F1263" i="12"/>
  <c r="G1263" i="12" s="1"/>
  <c r="F1264" i="12"/>
  <c r="G1264" i="12" s="1"/>
  <c r="F1265" i="12"/>
  <c r="G1265" i="12" s="1"/>
  <c r="F1266" i="12"/>
  <c r="G1266" i="12" s="1"/>
  <c r="F1267" i="12"/>
  <c r="G1267" i="12" s="1"/>
  <c r="F1268" i="12"/>
  <c r="G1268" i="12" s="1"/>
  <c r="F1269" i="12"/>
  <c r="G1269" i="12" s="1"/>
  <c r="F1270" i="12"/>
  <c r="G1270" i="12" s="1"/>
  <c r="F1271" i="12"/>
  <c r="G1271" i="12" s="1"/>
  <c r="F1272" i="12"/>
  <c r="G1272" i="12" s="1"/>
  <c r="F1273" i="12"/>
  <c r="G1273" i="12" s="1"/>
  <c r="F1274" i="12"/>
  <c r="G1274" i="12" s="1"/>
  <c r="F1275" i="12"/>
  <c r="G1275" i="12" s="1"/>
  <c r="F1276" i="12"/>
  <c r="G1276" i="12" s="1"/>
  <c r="F1277" i="12"/>
  <c r="G1277" i="12" s="1"/>
  <c r="F1278" i="12"/>
  <c r="G1278" i="12" s="1"/>
  <c r="F1279" i="12"/>
  <c r="G1279" i="12" s="1"/>
  <c r="F1280" i="12"/>
  <c r="G1280" i="12" s="1"/>
  <c r="F1281" i="12"/>
  <c r="G1281" i="12" s="1"/>
  <c r="F1282" i="12"/>
  <c r="G1282" i="12" s="1"/>
  <c r="F1283" i="12"/>
  <c r="G1283" i="12" s="1"/>
  <c r="F1284" i="12"/>
  <c r="G1284" i="12" s="1"/>
  <c r="F1285" i="12"/>
  <c r="G1285" i="12" s="1"/>
  <c r="F1286" i="12"/>
  <c r="G1286" i="12" s="1"/>
  <c r="F1287" i="12"/>
  <c r="G1287" i="12" s="1"/>
  <c r="F1288" i="12"/>
  <c r="G1288" i="12" s="1"/>
  <c r="F1289" i="12"/>
  <c r="G1289" i="12" s="1"/>
  <c r="F1290" i="12"/>
  <c r="G1290" i="12" s="1"/>
  <c r="F1291" i="12"/>
  <c r="G1291" i="12" s="1"/>
  <c r="F1292" i="12"/>
  <c r="G1292" i="12" s="1"/>
  <c r="F1293" i="12"/>
  <c r="G1293" i="12" s="1"/>
  <c r="F1294" i="12"/>
  <c r="G1294" i="12" s="1"/>
  <c r="F1295" i="12"/>
  <c r="G1295" i="12" s="1"/>
  <c r="F1296" i="12"/>
  <c r="G1296" i="12" s="1"/>
  <c r="F1297" i="12"/>
  <c r="G1297" i="12" s="1"/>
  <c r="F1298" i="12"/>
  <c r="G1298" i="12" s="1"/>
  <c r="F1299" i="12"/>
  <c r="G1299" i="12" s="1"/>
  <c r="F1300" i="12"/>
  <c r="G1300" i="12" s="1"/>
  <c r="F1301" i="12"/>
  <c r="G1301" i="12" s="1"/>
  <c r="F1302" i="12"/>
  <c r="G1302" i="12" s="1"/>
  <c r="F1303" i="12"/>
  <c r="G1303" i="12" s="1"/>
  <c r="F1304" i="12"/>
  <c r="G1304" i="12" s="1"/>
  <c r="F1305" i="12"/>
  <c r="G1305" i="12" s="1"/>
  <c r="F1306" i="12"/>
  <c r="G1306" i="12" s="1"/>
  <c r="F1307" i="12"/>
  <c r="G1307" i="12" s="1"/>
  <c r="F1308" i="12"/>
  <c r="G1308" i="12" s="1"/>
  <c r="F1309" i="12"/>
  <c r="G1309" i="12" s="1"/>
  <c r="F1310" i="12"/>
  <c r="G1310" i="12" s="1"/>
  <c r="F1311" i="12"/>
  <c r="G1311" i="12" s="1"/>
  <c r="F1312" i="12"/>
  <c r="G1312" i="12" s="1"/>
  <c r="F1313" i="12"/>
  <c r="G1313" i="12" s="1"/>
  <c r="F1314" i="12"/>
  <c r="G1314" i="12" s="1"/>
  <c r="F1315" i="12"/>
  <c r="G1315" i="12" s="1"/>
  <c r="F1316" i="12"/>
  <c r="G1316" i="12" s="1"/>
  <c r="F1317" i="12"/>
  <c r="G1317" i="12" s="1"/>
  <c r="F1318" i="12"/>
  <c r="G1318" i="12" s="1"/>
  <c r="F1319" i="12"/>
  <c r="G1319" i="12" s="1"/>
  <c r="F1320" i="12"/>
  <c r="G1320" i="12" s="1"/>
  <c r="F1321" i="12"/>
  <c r="G1321" i="12" s="1"/>
  <c r="F1322" i="12"/>
  <c r="G1322" i="12" s="1"/>
  <c r="F1323" i="12"/>
  <c r="G1323" i="12" s="1"/>
  <c r="F1324" i="12"/>
  <c r="G1324" i="12" s="1"/>
  <c r="F1325" i="12"/>
  <c r="G1325" i="12" s="1"/>
  <c r="F1326" i="12"/>
  <c r="G1326" i="12" s="1"/>
  <c r="F1327" i="12"/>
  <c r="G1327" i="12" s="1"/>
  <c r="F1328" i="12"/>
  <c r="G1328" i="12" s="1"/>
  <c r="F1329" i="12"/>
  <c r="G1329" i="12" s="1"/>
  <c r="F1330" i="12"/>
  <c r="G1330" i="12" s="1"/>
  <c r="F1331" i="12"/>
  <c r="G1331" i="12" s="1"/>
  <c r="F1332" i="12"/>
  <c r="G1332" i="12" s="1"/>
  <c r="F1333" i="12"/>
  <c r="G1333" i="12" s="1"/>
  <c r="F1334" i="12"/>
  <c r="G1334" i="12" s="1"/>
  <c r="F1335" i="12"/>
  <c r="G1335" i="12" s="1"/>
  <c r="F1336" i="12"/>
  <c r="G1336" i="12" s="1"/>
  <c r="F1337" i="12"/>
  <c r="G1337" i="12" s="1"/>
  <c r="F1338" i="12"/>
  <c r="G1338" i="12" s="1"/>
  <c r="F1339" i="12"/>
  <c r="G1339" i="12" s="1"/>
  <c r="F1340" i="12"/>
  <c r="G1340" i="12" s="1"/>
  <c r="F1341" i="12"/>
  <c r="G1341" i="12" s="1"/>
  <c r="F1342" i="12"/>
  <c r="G1342" i="12" s="1"/>
  <c r="F1343" i="12"/>
  <c r="G1343" i="12" s="1"/>
  <c r="F1344" i="12"/>
  <c r="G1344" i="12" s="1"/>
  <c r="F1345" i="12"/>
  <c r="G1345" i="12" s="1"/>
  <c r="F1346" i="12"/>
  <c r="G1346" i="12" s="1"/>
  <c r="F1347" i="12"/>
  <c r="G1347" i="12" s="1"/>
  <c r="F1348" i="12"/>
  <c r="G1348" i="12" s="1"/>
  <c r="F1349" i="12"/>
  <c r="G1349" i="12" s="1"/>
  <c r="F1350" i="12"/>
  <c r="G1350" i="12" s="1"/>
  <c r="F1351" i="12"/>
  <c r="G1351" i="12" s="1"/>
  <c r="F1352" i="12"/>
  <c r="G1352" i="12" s="1"/>
  <c r="F1353" i="12"/>
  <c r="G1353" i="12" s="1"/>
  <c r="F1354" i="12"/>
  <c r="G1354" i="12" s="1"/>
  <c r="F1355" i="12"/>
  <c r="G1355" i="12" s="1"/>
  <c r="F1356" i="12"/>
  <c r="G1356" i="12" s="1"/>
  <c r="F1357" i="12"/>
  <c r="G1357" i="12" s="1"/>
  <c r="F1358" i="12"/>
  <c r="G1358" i="12" s="1"/>
  <c r="F1359" i="12"/>
  <c r="G1359" i="12" s="1"/>
  <c r="F1360" i="12"/>
  <c r="G1360" i="12" s="1"/>
  <c r="F1361" i="12"/>
  <c r="G1361" i="12" s="1"/>
  <c r="F1362" i="12"/>
  <c r="G1362" i="12" s="1"/>
  <c r="F1363" i="12"/>
  <c r="G1363" i="12" s="1"/>
  <c r="F1364" i="12"/>
  <c r="G1364" i="12" s="1"/>
  <c r="F1365" i="12"/>
  <c r="G1365" i="12" s="1"/>
  <c r="F1366" i="12"/>
  <c r="G1366" i="12" s="1"/>
  <c r="F1367" i="12"/>
  <c r="G1367" i="12" s="1"/>
  <c r="F1368" i="12"/>
  <c r="G1368" i="12" s="1"/>
  <c r="F1369" i="12"/>
  <c r="G1369" i="12" s="1"/>
  <c r="F1370" i="12"/>
  <c r="G1370" i="12" s="1"/>
  <c r="F1371" i="12"/>
  <c r="G1371" i="12" s="1"/>
  <c r="F1372" i="12"/>
  <c r="G1372" i="12" s="1"/>
  <c r="F1373" i="12"/>
  <c r="G1373" i="12" s="1"/>
  <c r="F1374" i="12"/>
  <c r="G1374" i="12" s="1"/>
  <c r="F1375" i="12"/>
  <c r="G1375" i="12" s="1"/>
  <c r="F1376" i="12"/>
  <c r="G1376" i="12" s="1"/>
  <c r="F1377" i="12"/>
  <c r="G1377" i="12" s="1"/>
  <c r="F1378" i="12"/>
  <c r="G1378" i="12" s="1"/>
  <c r="F1379" i="12"/>
  <c r="G1379" i="12" s="1"/>
  <c r="F1380" i="12"/>
  <c r="G1380" i="12" s="1"/>
  <c r="F1381" i="12"/>
  <c r="G1381" i="12" s="1"/>
  <c r="F1382" i="12"/>
  <c r="G1382" i="12" s="1"/>
  <c r="F1383" i="12"/>
  <c r="G1383" i="12" s="1"/>
  <c r="F1384" i="12"/>
  <c r="G1384" i="12" s="1"/>
  <c r="F1385" i="12"/>
  <c r="G1385" i="12" s="1"/>
  <c r="F1386" i="12"/>
  <c r="G1386" i="12" s="1"/>
  <c r="F1387" i="12"/>
  <c r="G1387" i="12" s="1"/>
  <c r="F1388" i="12"/>
  <c r="G1388" i="12" s="1"/>
  <c r="F1389" i="12"/>
  <c r="G1389" i="12" s="1"/>
  <c r="F1390" i="12"/>
  <c r="G1390" i="12" s="1"/>
  <c r="F1391" i="12"/>
  <c r="G1391" i="12" s="1"/>
  <c r="F1392" i="12"/>
  <c r="G1392" i="12" s="1"/>
  <c r="F1393" i="12"/>
  <c r="G1393" i="12" s="1"/>
  <c r="F1394" i="12"/>
  <c r="G1394" i="12" s="1"/>
  <c r="F1395" i="12"/>
  <c r="G1395" i="12" s="1"/>
  <c r="F1396" i="12"/>
  <c r="G1396" i="12" s="1"/>
  <c r="F1397" i="12"/>
  <c r="G1397" i="12" s="1"/>
  <c r="F1398" i="12"/>
  <c r="G1398" i="12" s="1"/>
  <c r="F1399" i="12"/>
  <c r="G1399" i="12" s="1"/>
  <c r="F1400" i="12"/>
  <c r="G1400" i="12" s="1"/>
  <c r="F1401" i="12"/>
  <c r="G1401" i="12" s="1"/>
  <c r="F1402" i="12"/>
  <c r="G1402" i="12" s="1"/>
  <c r="F1403" i="12"/>
  <c r="G1403" i="12" s="1"/>
  <c r="F1404" i="12"/>
  <c r="G1404" i="12" s="1"/>
  <c r="F1405" i="12"/>
  <c r="G1405" i="12" s="1"/>
  <c r="F1406" i="12"/>
  <c r="G1406" i="12" s="1"/>
  <c r="F1407" i="12"/>
  <c r="G1407" i="12" s="1"/>
  <c r="F1408" i="12"/>
  <c r="G1408" i="12" s="1"/>
  <c r="F1409" i="12"/>
  <c r="G1409" i="12" s="1"/>
  <c r="F1410" i="12"/>
  <c r="G1410" i="12" s="1"/>
  <c r="F1411" i="12"/>
  <c r="G1411" i="12" s="1"/>
  <c r="F1412" i="12"/>
  <c r="G1412" i="12" s="1"/>
  <c r="F1413" i="12"/>
  <c r="G1413" i="12" s="1"/>
  <c r="F1414" i="12"/>
  <c r="G1414" i="12" s="1"/>
  <c r="F1415" i="12"/>
  <c r="G1415" i="12" s="1"/>
  <c r="F1416" i="12"/>
  <c r="G1416" i="12" s="1"/>
  <c r="F1417" i="12"/>
  <c r="G1417" i="12" s="1"/>
  <c r="F1418" i="12"/>
  <c r="G1418" i="12" s="1"/>
  <c r="F1419" i="12"/>
  <c r="G1419" i="12" s="1"/>
  <c r="F1420" i="12"/>
  <c r="G1420" i="12" s="1"/>
  <c r="F1421" i="12"/>
  <c r="G1421" i="12" s="1"/>
  <c r="F1422" i="12"/>
  <c r="G1422" i="12" s="1"/>
  <c r="F1423" i="12"/>
  <c r="G1423" i="12" s="1"/>
  <c r="F1424" i="12"/>
  <c r="G1424" i="12" s="1"/>
  <c r="F1425" i="12"/>
  <c r="G1425" i="12" s="1"/>
  <c r="F1426" i="12"/>
  <c r="G1426" i="12" s="1"/>
  <c r="F1427" i="12"/>
  <c r="G1427" i="12" s="1"/>
  <c r="F1428" i="12"/>
  <c r="G1428" i="12" s="1"/>
  <c r="F1429" i="12"/>
  <c r="G1429" i="12" s="1"/>
  <c r="F1430" i="12"/>
  <c r="G1430" i="12" s="1"/>
  <c r="F1431" i="12"/>
  <c r="G1431" i="12" s="1"/>
  <c r="F1432" i="12"/>
  <c r="G1432" i="12" s="1"/>
  <c r="F1433" i="12"/>
  <c r="G1433" i="12" s="1"/>
  <c r="F1434" i="12"/>
  <c r="G1434" i="12" s="1"/>
  <c r="F1435" i="12"/>
  <c r="G1435" i="12" s="1"/>
  <c r="F1436" i="12"/>
  <c r="G1436" i="12" s="1"/>
  <c r="F1437" i="12"/>
  <c r="G1437" i="12" s="1"/>
  <c r="F1438" i="12"/>
  <c r="G1438" i="12" s="1"/>
  <c r="F1439" i="12"/>
  <c r="G1439" i="12" s="1"/>
  <c r="F1440" i="12"/>
  <c r="G1440" i="12" s="1"/>
  <c r="F1441" i="12"/>
  <c r="G1441" i="12" s="1"/>
  <c r="F1442" i="12"/>
  <c r="G1442" i="12" s="1"/>
  <c r="F1443" i="12"/>
  <c r="G1443" i="12" s="1"/>
  <c r="F1444" i="12"/>
  <c r="G1444" i="12" s="1"/>
  <c r="F1445" i="12"/>
  <c r="G1445" i="12" s="1"/>
  <c r="F1446" i="12"/>
  <c r="G1446" i="12" s="1"/>
  <c r="F1447" i="12"/>
  <c r="G1447" i="12" s="1"/>
  <c r="F1448" i="12"/>
  <c r="G1448" i="12" s="1"/>
  <c r="F1449" i="12"/>
  <c r="G1449" i="12" s="1"/>
  <c r="F1450" i="12"/>
  <c r="G1450" i="12" s="1"/>
  <c r="F1451" i="12"/>
  <c r="G1451" i="12" s="1"/>
  <c r="F1452" i="12"/>
  <c r="G1452" i="12" s="1"/>
  <c r="F1453" i="12"/>
  <c r="G1453" i="12" s="1"/>
  <c r="F1454" i="12"/>
  <c r="G1454" i="12" s="1"/>
  <c r="F1455" i="12"/>
  <c r="G1455" i="12" s="1"/>
  <c r="F1456" i="12"/>
  <c r="G1456" i="12" s="1"/>
  <c r="F1457" i="12"/>
  <c r="G1457" i="12" s="1"/>
  <c r="F1458" i="12"/>
  <c r="G1458" i="12" s="1"/>
  <c r="F1459" i="12"/>
  <c r="G1459" i="12" s="1"/>
  <c r="F1460" i="12"/>
  <c r="G1460" i="12" s="1"/>
  <c r="F1461" i="12"/>
  <c r="G1461" i="12" s="1"/>
  <c r="F1462" i="12"/>
  <c r="G1462" i="12" s="1"/>
  <c r="F1463" i="12"/>
  <c r="G1463" i="12" s="1"/>
  <c r="F1464" i="12"/>
  <c r="G1464" i="12" s="1"/>
  <c r="F1465" i="12"/>
  <c r="G1465" i="12" s="1"/>
  <c r="F1466" i="12"/>
  <c r="G1466" i="12" s="1"/>
  <c r="F1467" i="12"/>
  <c r="G1467" i="12" s="1"/>
  <c r="F1468" i="12"/>
  <c r="G1468" i="12" s="1"/>
  <c r="F1469" i="12"/>
  <c r="G1469" i="12" s="1"/>
  <c r="F1470" i="12"/>
  <c r="G1470" i="12" s="1"/>
  <c r="F1471" i="12"/>
  <c r="G1471" i="12" s="1"/>
  <c r="F1472" i="12"/>
  <c r="G1472" i="12" s="1"/>
  <c r="F1473" i="12"/>
  <c r="G1473" i="12" s="1"/>
  <c r="F1474" i="12"/>
  <c r="G1474" i="12" s="1"/>
  <c r="F1475" i="12"/>
  <c r="G1475" i="12" s="1"/>
  <c r="F1476" i="12"/>
  <c r="G1476" i="12" s="1"/>
  <c r="F1477" i="12"/>
  <c r="G1477" i="12" s="1"/>
  <c r="F1478" i="12"/>
  <c r="G1478" i="12" s="1"/>
  <c r="F1479" i="12"/>
  <c r="G1479" i="12" s="1"/>
  <c r="F1480" i="12"/>
  <c r="G1480" i="12" s="1"/>
  <c r="F1481" i="12"/>
  <c r="G1481" i="12" s="1"/>
  <c r="F1482" i="12"/>
  <c r="G1482" i="12" s="1"/>
  <c r="F1483" i="12"/>
  <c r="G1483" i="12" s="1"/>
  <c r="F1484" i="12"/>
  <c r="G1484" i="12" s="1"/>
  <c r="F1485" i="12"/>
  <c r="G1485" i="12" s="1"/>
  <c r="F1486" i="12"/>
  <c r="G1486" i="12" s="1"/>
  <c r="F1487" i="12"/>
  <c r="G1487" i="12" s="1"/>
  <c r="F1488" i="12"/>
  <c r="G1488" i="12" s="1"/>
  <c r="F1489" i="12"/>
  <c r="G1489" i="12" s="1"/>
  <c r="F1490" i="12"/>
  <c r="G1490" i="12" s="1"/>
  <c r="F1491" i="12"/>
  <c r="G1491" i="12" s="1"/>
  <c r="F1492" i="12"/>
  <c r="G1492" i="12" s="1"/>
  <c r="F1493" i="12"/>
  <c r="G1493" i="12" s="1"/>
  <c r="F1494" i="12"/>
  <c r="G1494" i="12" s="1"/>
  <c r="F1495" i="12"/>
  <c r="G1495" i="12" s="1"/>
  <c r="F1496" i="12"/>
  <c r="G1496" i="12" s="1"/>
  <c r="F1497" i="12"/>
  <c r="G1497" i="12" s="1"/>
  <c r="F1498" i="12"/>
  <c r="G1498" i="12" s="1"/>
  <c r="F1499" i="12"/>
  <c r="G1499" i="12" s="1"/>
  <c r="F1500" i="12"/>
  <c r="G1500" i="12" s="1"/>
  <c r="F1501" i="12"/>
  <c r="G1501" i="12" s="1"/>
  <c r="F1502" i="12"/>
  <c r="G1502" i="12" s="1"/>
  <c r="F1503" i="12"/>
  <c r="G1503" i="12" s="1"/>
  <c r="F1504" i="12"/>
  <c r="G1504" i="12" s="1"/>
  <c r="F1505" i="12"/>
  <c r="G1505" i="12" s="1"/>
  <c r="F1506" i="12"/>
  <c r="G1506" i="12" s="1"/>
  <c r="F1507" i="12"/>
  <c r="G1507" i="12" s="1"/>
  <c r="F1508" i="12"/>
  <c r="G1508" i="12" s="1"/>
  <c r="F1509" i="12"/>
  <c r="G1509" i="12" s="1"/>
  <c r="F1510" i="12"/>
  <c r="G1510" i="12" s="1"/>
  <c r="F1511" i="12"/>
  <c r="G1511" i="12" s="1"/>
  <c r="F1512" i="12"/>
  <c r="G1512" i="12" s="1"/>
  <c r="F1513" i="12"/>
  <c r="G1513" i="12" s="1"/>
  <c r="F1514" i="12"/>
  <c r="G1514" i="12" s="1"/>
  <c r="F1515" i="12"/>
  <c r="G1515" i="12" s="1"/>
  <c r="F1516" i="12"/>
  <c r="G1516" i="12" s="1"/>
  <c r="F1517" i="12"/>
  <c r="G1517" i="12" s="1"/>
  <c r="F1518" i="12"/>
  <c r="G1518" i="12" s="1"/>
  <c r="F1519" i="12"/>
  <c r="G1519" i="12" s="1"/>
  <c r="F1520" i="12"/>
  <c r="G1520" i="12" s="1"/>
  <c r="F1521" i="12"/>
  <c r="G1521" i="12" s="1"/>
  <c r="F1522" i="12"/>
  <c r="G1522" i="12" s="1"/>
  <c r="F1523" i="12"/>
  <c r="G1523" i="12" s="1"/>
  <c r="F1524" i="12"/>
  <c r="G1524" i="12" s="1"/>
  <c r="F1525" i="12"/>
  <c r="G1525" i="12" s="1"/>
  <c r="F1526" i="12"/>
  <c r="G1526" i="12" s="1"/>
  <c r="F1527" i="12"/>
  <c r="G1527" i="12" s="1"/>
  <c r="F1528" i="12"/>
  <c r="G1528" i="12" s="1"/>
  <c r="F1529" i="12"/>
  <c r="G1529" i="12" s="1"/>
  <c r="F1530" i="12"/>
  <c r="G1530" i="12" s="1"/>
  <c r="F1531" i="12"/>
  <c r="G1531" i="12" s="1"/>
  <c r="F1532" i="12"/>
  <c r="G1532" i="12" s="1"/>
  <c r="F1533" i="12"/>
  <c r="G1533" i="12" s="1"/>
  <c r="F1534" i="12"/>
  <c r="G1534" i="12" s="1"/>
  <c r="F1535" i="12"/>
  <c r="G1535" i="12" s="1"/>
  <c r="F1536" i="12"/>
  <c r="G1536" i="12" s="1"/>
  <c r="F1537" i="12"/>
  <c r="G1537" i="12" s="1"/>
  <c r="F1538" i="12"/>
  <c r="G1538" i="12" s="1"/>
  <c r="F1539" i="12"/>
  <c r="G1539" i="12" s="1"/>
  <c r="F1540" i="12"/>
  <c r="G1540" i="12" s="1"/>
  <c r="F1541" i="12"/>
  <c r="G1541" i="12" s="1"/>
  <c r="F1542" i="12"/>
  <c r="G1542" i="12" s="1"/>
  <c r="F1543" i="12"/>
  <c r="G1543" i="12" s="1"/>
  <c r="F1544" i="12"/>
  <c r="G1544" i="12" s="1"/>
  <c r="F1545" i="12"/>
  <c r="G1545" i="12" s="1"/>
  <c r="F1546" i="12"/>
  <c r="G1546" i="12" s="1"/>
  <c r="F1547" i="12"/>
  <c r="G1547" i="12" s="1"/>
  <c r="F1548" i="12"/>
  <c r="G1548" i="12" s="1"/>
  <c r="F1549" i="12"/>
  <c r="G1549" i="12" s="1"/>
  <c r="F1550" i="12"/>
  <c r="G1550" i="12" s="1"/>
  <c r="F1551" i="12"/>
  <c r="G1551" i="12" s="1"/>
  <c r="F1552" i="12"/>
  <c r="G1552" i="12" s="1"/>
  <c r="F1553" i="12"/>
  <c r="G1553" i="12" s="1"/>
  <c r="F1554" i="12"/>
  <c r="G1554" i="12" s="1"/>
  <c r="F1555" i="12"/>
  <c r="G1555" i="12" s="1"/>
  <c r="F1556" i="12"/>
  <c r="G1556" i="12" s="1"/>
  <c r="F1557" i="12"/>
  <c r="G1557" i="12" s="1"/>
  <c r="F1558" i="12"/>
  <c r="G1558" i="12" s="1"/>
  <c r="F1559" i="12"/>
  <c r="G1559" i="12" s="1"/>
  <c r="F1560" i="12"/>
  <c r="G1560" i="12" s="1"/>
  <c r="F1561" i="12"/>
  <c r="G1561" i="12" s="1"/>
  <c r="F1562" i="12"/>
  <c r="G1562" i="12" s="1"/>
  <c r="F1563" i="12"/>
  <c r="G1563" i="12" s="1"/>
  <c r="F1564" i="12"/>
  <c r="G1564" i="12" s="1"/>
  <c r="F1565" i="12"/>
  <c r="G1565" i="12" s="1"/>
  <c r="F1566" i="12"/>
  <c r="G1566" i="12" s="1"/>
  <c r="F1567" i="12"/>
  <c r="G1567" i="12" s="1"/>
  <c r="F1568" i="12"/>
  <c r="G1568" i="12" s="1"/>
  <c r="F1569" i="12"/>
  <c r="G1569" i="12" s="1"/>
  <c r="F1570" i="12"/>
  <c r="G1570" i="12" s="1"/>
  <c r="F1571" i="12"/>
  <c r="G1571" i="12" s="1"/>
  <c r="F1572" i="12"/>
  <c r="G1572" i="12" s="1"/>
  <c r="F1573" i="12"/>
  <c r="G1573" i="12" s="1"/>
  <c r="F1574" i="12"/>
  <c r="G1574" i="12" s="1"/>
  <c r="F1575" i="12"/>
  <c r="G1575" i="12" s="1"/>
  <c r="F1576" i="12"/>
  <c r="G1576" i="12" s="1"/>
  <c r="F1577" i="12"/>
  <c r="G1577" i="12" s="1"/>
  <c r="F1578" i="12"/>
  <c r="G1578" i="12" s="1"/>
  <c r="F1579" i="12"/>
  <c r="G1579" i="12" s="1"/>
  <c r="F1580" i="12"/>
  <c r="G1580" i="12" s="1"/>
  <c r="F1581" i="12"/>
  <c r="G1581" i="12" s="1"/>
  <c r="F1582" i="12"/>
  <c r="G1582" i="12" s="1"/>
  <c r="F1583" i="12"/>
  <c r="G1583" i="12" s="1"/>
  <c r="F1584" i="12"/>
  <c r="G1584" i="12" s="1"/>
  <c r="F1585" i="12"/>
  <c r="G1585" i="12" s="1"/>
  <c r="F1586" i="12"/>
  <c r="G1586" i="12" s="1"/>
  <c r="F1587" i="12"/>
  <c r="G1587" i="12" s="1"/>
  <c r="F1588" i="12"/>
  <c r="G1588" i="12" s="1"/>
  <c r="F1589" i="12"/>
  <c r="G1589" i="12" s="1"/>
  <c r="F1590" i="12"/>
  <c r="G1590" i="12" s="1"/>
  <c r="F1591" i="12"/>
  <c r="G1591" i="12" s="1"/>
  <c r="F1592" i="12"/>
  <c r="G1592" i="12" s="1"/>
  <c r="F1593" i="12"/>
  <c r="G1593" i="12" s="1"/>
  <c r="F1594" i="12"/>
  <c r="G1594" i="12" s="1"/>
  <c r="F1595" i="12"/>
  <c r="G1595" i="12" s="1"/>
  <c r="F1596" i="12"/>
  <c r="G1596" i="12" s="1"/>
  <c r="F1597" i="12"/>
  <c r="G1597" i="12" s="1"/>
  <c r="F1598" i="12"/>
  <c r="G1598" i="12" s="1"/>
  <c r="F1599" i="12"/>
  <c r="G1599" i="12" s="1"/>
  <c r="F1600" i="12"/>
  <c r="G1600" i="12" s="1"/>
  <c r="F1601" i="12"/>
  <c r="G1601" i="12" s="1"/>
  <c r="F1602" i="12"/>
  <c r="G1602" i="12" s="1"/>
  <c r="F1603" i="12"/>
  <c r="G1603" i="12" s="1"/>
  <c r="F1604" i="12"/>
  <c r="G1604" i="12" s="1"/>
  <c r="F1605" i="12"/>
  <c r="G1605" i="12" s="1"/>
  <c r="F1606" i="12"/>
  <c r="G1606" i="12" s="1"/>
  <c r="F1607" i="12"/>
  <c r="G1607" i="12" s="1"/>
  <c r="F1608" i="12"/>
  <c r="G1608" i="12" s="1"/>
  <c r="F1609" i="12"/>
  <c r="G1609" i="12" s="1"/>
  <c r="F1610" i="12"/>
  <c r="G1610" i="12" s="1"/>
  <c r="F1611" i="12"/>
  <c r="G1611" i="12" s="1"/>
  <c r="F1612" i="12"/>
  <c r="G1612" i="12" s="1"/>
  <c r="F1613" i="12"/>
  <c r="G1613" i="12" s="1"/>
  <c r="F1614" i="12"/>
  <c r="G1614" i="12" s="1"/>
  <c r="F1615" i="12"/>
  <c r="G1615" i="12" s="1"/>
  <c r="F1616" i="12"/>
  <c r="G1616" i="12" s="1"/>
  <c r="F1617" i="12"/>
  <c r="G1617" i="12" s="1"/>
  <c r="F1618" i="12"/>
  <c r="G1618" i="12" s="1"/>
  <c r="F1619" i="12"/>
  <c r="G1619" i="12" s="1"/>
  <c r="F1620" i="12"/>
  <c r="G1620" i="12" s="1"/>
  <c r="F1621" i="12"/>
  <c r="G1621" i="12" s="1"/>
  <c r="F1622" i="12"/>
  <c r="G1622" i="12" s="1"/>
  <c r="F1623" i="12"/>
  <c r="G1623" i="12" s="1"/>
  <c r="F1624" i="12"/>
  <c r="G1624" i="12" s="1"/>
  <c r="F1625" i="12"/>
  <c r="G1625" i="12" s="1"/>
  <c r="F1626" i="12"/>
  <c r="G1626" i="12" s="1"/>
  <c r="F1627" i="12"/>
  <c r="G1627" i="12" s="1"/>
  <c r="F1628" i="12"/>
  <c r="G1628" i="12" s="1"/>
  <c r="F1629" i="12"/>
  <c r="G1629" i="12" s="1"/>
  <c r="F1630" i="12"/>
  <c r="G1630" i="12" s="1"/>
  <c r="F1631" i="12"/>
  <c r="G1631" i="12" s="1"/>
  <c r="F1632" i="12"/>
  <c r="G1632" i="12" s="1"/>
  <c r="F1633" i="12"/>
  <c r="G1633" i="12" s="1"/>
  <c r="F1634" i="12"/>
  <c r="G1634" i="12" s="1"/>
  <c r="F1635" i="12"/>
  <c r="G1635" i="12" s="1"/>
  <c r="F1636" i="12"/>
  <c r="G1636" i="12" s="1"/>
  <c r="F1637" i="12"/>
  <c r="G1637" i="12" s="1"/>
  <c r="F1638" i="12"/>
  <c r="G1638" i="12" s="1"/>
  <c r="F1639" i="12"/>
  <c r="G1639" i="12" s="1"/>
  <c r="F1640" i="12"/>
  <c r="G1640" i="12" s="1"/>
  <c r="F1641" i="12"/>
  <c r="G1641" i="12" s="1"/>
  <c r="F1642" i="12"/>
  <c r="G1642" i="12" s="1"/>
  <c r="F1643" i="12"/>
  <c r="G1643" i="12" s="1"/>
  <c r="F1644" i="12"/>
  <c r="G1644" i="12" s="1"/>
  <c r="F1645" i="12"/>
  <c r="G1645" i="12" s="1"/>
  <c r="F1646" i="12"/>
  <c r="G1646" i="12" s="1"/>
  <c r="F1647" i="12"/>
  <c r="G1647" i="12" s="1"/>
  <c r="F1648" i="12"/>
  <c r="G1648" i="12" s="1"/>
  <c r="F1649" i="12"/>
  <c r="G1649" i="12" s="1"/>
  <c r="F1650" i="12"/>
  <c r="G1650" i="12" s="1"/>
  <c r="F1651" i="12"/>
  <c r="G1651" i="12" s="1"/>
  <c r="F1652" i="12"/>
  <c r="G1652" i="12" s="1"/>
  <c r="F1653" i="12"/>
  <c r="G1653" i="12" s="1"/>
  <c r="F1654" i="12"/>
  <c r="G1654" i="12" s="1"/>
  <c r="F1655" i="12"/>
  <c r="G1655" i="12" s="1"/>
  <c r="F1656" i="12"/>
  <c r="G1656" i="12" s="1"/>
  <c r="F1657" i="12"/>
  <c r="G1657" i="12" s="1"/>
  <c r="F1658" i="12"/>
  <c r="G1658" i="12" s="1"/>
  <c r="F1659" i="12"/>
  <c r="G1659" i="12" s="1"/>
  <c r="F1660" i="12"/>
  <c r="G1660" i="12" s="1"/>
  <c r="F1661" i="12"/>
  <c r="G1661" i="12" s="1"/>
  <c r="F1662" i="12"/>
  <c r="G1662" i="12" s="1"/>
  <c r="F1663" i="12"/>
  <c r="G1663" i="12" s="1"/>
  <c r="F1664" i="12"/>
  <c r="G1664" i="12" s="1"/>
  <c r="F1665" i="12"/>
  <c r="G1665" i="12" s="1"/>
  <c r="F1666" i="12"/>
  <c r="G1666" i="12" s="1"/>
  <c r="F1667" i="12"/>
  <c r="G1667" i="12" s="1"/>
  <c r="F1668" i="12"/>
  <c r="G1668" i="12" s="1"/>
  <c r="F1669" i="12"/>
  <c r="G1669" i="12" s="1"/>
  <c r="F1670" i="12"/>
  <c r="G1670" i="12" s="1"/>
  <c r="F1671" i="12"/>
  <c r="G1671" i="12" s="1"/>
  <c r="F1672" i="12"/>
  <c r="G1672" i="12" s="1"/>
  <c r="F1673" i="12"/>
  <c r="G1673" i="12" s="1"/>
  <c r="F1674" i="12"/>
  <c r="G1674" i="12" s="1"/>
  <c r="F1675" i="12"/>
  <c r="G1675" i="12" s="1"/>
  <c r="F1676" i="12"/>
  <c r="G1676" i="12" s="1"/>
  <c r="F1677" i="12"/>
  <c r="G1677" i="12" s="1"/>
  <c r="F1678" i="12"/>
  <c r="G1678" i="12" s="1"/>
  <c r="F1679" i="12"/>
  <c r="G1679" i="12" s="1"/>
  <c r="F1680" i="12"/>
  <c r="G1680" i="12" s="1"/>
  <c r="F1681" i="12"/>
  <c r="G1681" i="12" s="1"/>
  <c r="F1682" i="12"/>
  <c r="G1682" i="12" s="1"/>
  <c r="F1683" i="12"/>
  <c r="G1683" i="12" s="1"/>
  <c r="F1684" i="12"/>
  <c r="G1684" i="12" s="1"/>
  <c r="F1685" i="12"/>
  <c r="G1685" i="12" s="1"/>
  <c r="F1686" i="12"/>
  <c r="G1686" i="12" s="1"/>
  <c r="F1687" i="12"/>
  <c r="G1687" i="12" s="1"/>
  <c r="F1688" i="12"/>
  <c r="G1688" i="12" s="1"/>
  <c r="F1689" i="12"/>
  <c r="G1689" i="12" s="1"/>
  <c r="F1690" i="12"/>
  <c r="G1690" i="12" s="1"/>
  <c r="F1691" i="12"/>
  <c r="G1691" i="12" s="1"/>
  <c r="F1692" i="12"/>
  <c r="G1692" i="12" s="1"/>
  <c r="F1693" i="12"/>
  <c r="G1693" i="12" s="1"/>
  <c r="F1694" i="12"/>
  <c r="G1694" i="12" s="1"/>
  <c r="F1695" i="12"/>
  <c r="G1695" i="12" s="1"/>
  <c r="F1696" i="12"/>
  <c r="G1696" i="12" s="1"/>
  <c r="F1697" i="12"/>
  <c r="G1697" i="12" s="1"/>
  <c r="F1698" i="12"/>
  <c r="G1698" i="12" s="1"/>
  <c r="F1699" i="12"/>
  <c r="G1699" i="12" s="1"/>
  <c r="F1700" i="12"/>
  <c r="G1700" i="12" s="1"/>
  <c r="F1701" i="12"/>
  <c r="G1701" i="12" s="1"/>
  <c r="F1702" i="12"/>
  <c r="G1702" i="12" s="1"/>
  <c r="F1703" i="12"/>
  <c r="G1703" i="12" s="1"/>
  <c r="F1704" i="12"/>
  <c r="G1704" i="12" s="1"/>
  <c r="F1705" i="12"/>
  <c r="G1705" i="12" s="1"/>
  <c r="F1706" i="12"/>
  <c r="G1706" i="12" s="1"/>
  <c r="F1707" i="12"/>
  <c r="G1707" i="12" s="1"/>
  <c r="F1708" i="12"/>
  <c r="G1708" i="12" s="1"/>
  <c r="F1709" i="12"/>
  <c r="G1709" i="12" s="1"/>
  <c r="F1710" i="12"/>
  <c r="G1710" i="12" s="1"/>
  <c r="F1711" i="12"/>
  <c r="G1711" i="12" s="1"/>
  <c r="F1712" i="12"/>
  <c r="G1712" i="12" s="1"/>
  <c r="F1713" i="12"/>
  <c r="G1713" i="12" s="1"/>
  <c r="F1714" i="12"/>
  <c r="G1714" i="12" s="1"/>
  <c r="F1715" i="12"/>
  <c r="G1715" i="12" s="1"/>
  <c r="F1716" i="12"/>
  <c r="G1716" i="12" s="1"/>
  <c r="F1717" i="12"/>
  <c r="G1717" i="12" s="1"/>
  <c r="F1718" i="12"/>
  <c r="G1718" i="12" s="1"/>
  <c r="F1719" i="12"/>
  <c r="G1719" i="12" s="1"/>
  <c r="F1720" i="12"/>
  <c r="G1720" i="12" s="1"/>
  <c r="F1721" i="12"/>
  <c r="G1721" i="12" s="1"/>
  <c r="F1722" i="12"/>
  <c r="G1722" i="12" s="1"/>
  <c r="F1723" i="12"/>
  <c r="G1723" i="12" s="1"/>
  <c r="F1724" i="12"/>
  <c r="G1724" i="12" s="1"/>
  <c r="F1725" i="12"/>
  <c r="G1725" i="12" s="1"/>
  <c r="F1726" i="12"/>
  <c r="G1726" i="12" s="1"/>
  <c r="F1727" i="12"/>
  <c r="G1727" i="12" s="1"/>
  <c r="F1728" i="12"/>
  <c r="G1728" i="12" s="1"/>
  <c r="F1729" i="12"/>
  <c r="G1729" i="12" s="1"/>
  <c r="F1730" i="12"/>
  <c r="G1730" i="12" s="1"/>
  <c r="F1731" i="12"/>
  <c r="G1731" i="12" s="1"/>
  <c r="F1732" i="12"/>
  <c r="G1732" i="12" s="1"/>
  <c r="F1733" i="12"/>
  <c r="G1733" i="12" s="1"/>
  <c r="F1734" i="12"/>
  <c r="G1734" i="12" s="1"/>
  <c r="F1735" i="12"/>
  <c r="G1735" i="12" s="1"/>
  <c r="F1736" i="12"/>
  <c r="G1736" i="12" s="1"/>
  <c r="F1737" i="12"/>
  <c r="G1737" i="12" s="1"/>
  <c r="F1738" i="12"/>
  <c r="G1738" i="12" s="1"/>
  <c r="F1739" i="12"/>
  <c r="G1739" i="12" s="1"/>
  <c r="F1740" i="12"/>
  <c r="G1740" i="12" s="1"/>
  <c r="F1741" i="12"/>
  <c r="G1741" i="12" s="1"/>
  <c r="F1742" i="12"/>
  <c r="G1742" i="12" s="1"/>
  <c r="F1743" i="12"/>
  <c r="G1743" i="12" s="1"/>
  <c r="F1744" i="12"/>
  <c r="G1744" i="12" s="1"/>
  <c r="F1745" i="12"/>
  <c r="G1745" i="12" s="1"/>
  <c r="F1746" i="12"/>
  <c r="G1746" i="12" s="1"/>
  <c r="F1747" i="12"/>
  <c r="G1747" i="12" s="1"/>
  <c r="F1748" i="12"/>
  <c r="G1748" i="12" s="1"/>
  <c r="F1749" i="12"/>
  <c r="G1749" i="12" s="1"/>
  <c r="F1750" i="12"/>
  <c r="G1750" i="12" s="1"/>
  <c r="F1751" i="12"/>
  <c r="G1751" i="12" s="1"/>
  <c r="F1752" i="12"/>
  <c r="G1752" i="12" s="1"/>
  <c r="F1753" i="12"/>
  <c r="G1753" i="12" s="1"/>
  <c r="F1754" i="12"/>
  <c r="G1754" i="12" s="1"/>
  <c r="F1755" i="12"/>
  <c r="G1755" i="12" s="1"/>
  <c r="F1756" i="12"/>
  <c r="G1756" i="12" s="1"/>
  <c r="F1757" i="12"/>
  <c r="G1757" i="12" s="1"/>
  <c r="F1758" i="12"/>
  <c r="G1758" i="12" s="1"/>
  <c r="F1759" i="12"/>
  <c r="G1759" i="12" s="1"/>
  <c r="F1760" i="12"/>
  <c r="G1760" i="12" s="1"/>
  <c r="F1761" i="12"/>
  <c r="G1761" i="12" s="1"/>
  <c r="F1762" i="12"/>
  <c r="G1762" i="12" s="1"/>
  <c r="F1763" i="12"/>
  <c r="G1763" i="12" s="1"/>
  <c r="F1764" i="12"/>
  <c r="G1764" i="12" s="1"/>
  <c r="F1765" i="12"/>
  <c r="G1765" i="12" s="1"/>
  <c r="F1766" i="12"/>
  <c r="G1766" i="12" s="1"/>
  <c r="F1767" i="12"/>
  <c r="G1767" i="12" s="1"/>
  <c r="F1768" i="12"/>
  <c r="G1768" i="12" s="1"/>
  <c r="F1769" i="12"/>
  <c r="G1769" i="12" s="1"/>
  <c r="F1770" i="12"/>
  <c r="G1770" i="12" s="1"/>
  <c r="F1771" i="12"/>
  <c r="G1771" i="12" s="1"/>
  <c r="F1772" i="12"/>
  <c r="G1772" i="12" s="1"/>
  <c r="F1773" i="12"/>
  <c r="G1773" i="12" s="1"/>
  <c r="F1774" i="12"/>
  <c r="G1774" i="12" s="1"/>
  <c r="F1775" i="12"/>
  <c r="G1775" i="12" s="1"/>
  <c r="F1776" i="12"/>
  <c r="G1776" i="12" s="1"/>
  <c r="F1777" i="12"/>
  <c r="G1777" i="12" s="1"/>
  <c r="F1778" i="12"/>
  <c r="G1778" i="12" s="1"/>
  <c r="F1779" i="12"/>
  <c r="G1779" i="12" s="1"/>
  <c r="F1780" i="12"/>
  <c r="G1780" i="12" s="1"/>
  <c r="F1781" i="12"/>
  <c r="G1781" i="12" s="1"/>
  <c r="F1782" i="12"/>
  <c r="G1782" i="12" s="1"/>
  <c r="F1783" i="12"/>
  <c r="G1783" i="12" s="1"/>
  <c r="F1784" i="12"/>
  <c r="G1784" i="12" s="1"/>
  <c r="F1785" i="12"/>
  <c r="G1785" i="12" s="1"/>
  <c r="F1786" i="12"/>
  <c r="G1786" i="12" s="1"/>
  <c r="F1787" i="12"/>
  <c r="G1787" i="12" s="1"/>
  <c r="F1788" i="12"/>
  <c r="G1788" i="12" s="1"/>
  <c r="F1789" i="12"/>
  <c r="G1789" i="12" s="1"/>
  <c r="F1790" i="12"/>
  <c r="G1790" i="12" s="1"/>
  <c r="F1791" i="12"/>
  <c r="G1791" i="12" s="1"/>
  <c r="F1792" i="12"/>
  <c r="G1792" i="12" s="1"/>
  <c r="F1793" i="12"/>
  <c r="G1793" i="12" s="1"/>
  <c r="F1794" i="12"/>
  <c r="G1794" i="12" s="1"/>
  <c r="F1795" i="12"/>
  <c r="G1795" i="12" s="1"/>
  <c r="F1796" i="12"/>
  <c r="G1796" i="12" s="1"/>
  <c r="F1797" i="12"/>
  <c r="G1797" i="12" s="1"/>
  <c r="F1798" i="12"/>
  <c r="G1798" i="12" s="1"/>
  <c r="F1799" i="12"/>
  <c r="G1799" i="12" s="1"/>
  <c r="F1800" i="12"/>
  <c r="G1800" i="12" s="1"/>
  <c r="F1801" i="12"/>
  <c r="G1801" i="12" s="1"/>
  <c r="F1802" i="12"/>
  <c r="G1802" i="12" s="1"/>
  <c r="F1803" i="12"/>
  <c r="G1803" i="12" s="1"/>
  <c r="F1804" i="12"/>
  <c r="G1804" i="12" s="1"/>
  <c r="F1805" i="12"/>
  <c r="G1805" i="12" s="1"/>
  <c r="F1806" i="12"/>
  <c r="G1806" i="12" s="1"/>
  <c r="F1807" i="12"/>
  <c r="G1807" i="12" s="1"/>
  <c r="F1808" i="12"/>
  <c r="G1808" i="12" s="1"/>
  <c r="F1809" i="12"/>
  <c r="G1809" i="12" s="1"/>
  <c r="F1810" i="12"/>
  <c r="G1810" i="12" s="1"/>
  <c r="F1811" i="12"/>
  <c r="G1811" i="12" s="1"/>
  <c r="F1812" i="12"/>
  <c r="G1812" i="12" s="1"/>
  <c r="F1813" i="12"/>
  <c r="G1813" i="12" s="1"/>
  <c r="F1814" i="12"/>
  <c r="G1814" i="12" s="1"/>
  <c r="F1815" i="12"/>
  <c r="G1815" i="12" s="1"/>
  <c r="F1816" i="12"/>
  <c r="G1816" i="12" s="1"/>
  <c r="F1817" i="12"/>
  <c r="G1817" i="12" s="1"/>
  <c r="F1818" i="12"/>
  <c r="G1818" i="12" s="1"/>
  <c r="F1819" i="12"/>
  <c r="G1819" i="12" s="1"/>
  <c r="F1820" i="12"/>
  <c r="G1820" i="12" s="1"/>
  <c r="F1821" i="12"/>
  <c r="G1821" i="12" s="1"/>
  <c r="F1822" i="12"/>
  <c r="G1822" i="12" s="1"/>
  <c r="F1823" i="12"/>
  <c r="G1823" i="12" s="1"/>
  <c r="F1824" i="12"/>
  <c r="G1824" i="12" s="1"/>
  <c r="F1825" i="12"/>
  <c r="G1825" i="12" s="1"/>
  <c r="F1826" i="12"/>
  <c r="G1826" i="12" s="1"/>
  <c r="F1827" i="12"/>
  <c r="G1827" i="12" s="1"/>
  <c r="F1828" i="12"/>
  <c r="G1828" i="12" s="1"/>
  <c r="F1829" i="12"/>
  <c r="G1829" i="12" s="1"/>
  <c r="F1830" i="12"/>
  <c r="G1830" i="12" s="1"/>
  <c r="F1831" i="12"/>
  <c r="G1831" i="12" s="1"/>
  <c r="F1832" i="12"/>
  <c r="G1832" i="12" s="1"/>
  <c r="F1833" i="12"/>
  <c r="G1833" i="12" s="1"/>
  <c r="F1834" i="12"/>
  <c r="G1834" i="12" s="1"/>
  <c r="F1835" i="12"/>
  <c r="G1835" i="12" s="1"/>
  <c r="F1836" i="12"/>
  <c r="G1836" i="12" s="1"/>
  <c r="F1837" i="12"/>
  <c r="G1837" i="12" s="1"/>
  <c r="F1838" i="12"/>
  <c r="G1838" i="12" s="1"/>
  <c r="F1839" i="12"/>
  <c r="G1839" i="12" s="1"/>
  <c r="F1840" i="12"/>
  <c r="G1840" i="12" s="1"/>
  <c r="F1841" i="12"/>
  <c r="G1841" i="12" s="1"/>
  <c r="F1842" i="12"/>
  <c r="G1842" i="12" s="1"/>
  <c r="F1843" i="12"/>
  <c r="G1843" i="12" s="1"/>
  <c r="F1844" i="12"/>
  <c r="G1844" i="12" s="1"/>
  <c r="F1845" i="12"/>
  <c r="G1845" i="12" s="1"/>
  <c r="F1846" i="12"/>
  <c r="G1846" i="12" s="1"/>
  <c r="F1847" i="12"/>
  <c r="G1847" i="12" s="1"/>
  <c r="F1848" i="12"/>
  <c r="G1848" i="12" s="1"/>
  <c r="F1849" i="12"/>
  <c r="G1849" i="12" s="1"/>
  <c r="F1850" i="12"/>
  <c r="G1850" i="12" s="1"/>
  <c r="F1851" i="12"/>
  <c r="G1851" i="12" s="1"/>
  <c r="F1852" i="12"/>
  <c r="G1852" i="12" s="1"/>
  <c r="F1853" i="12"/>
  <c r="G1853" i="12" s="1"/>
  <c r="F1854" i="12"/>
  <c r="G1854" i="12" s="1"/>
  <c r="F1855" i="12"/>
  <c r="G1855" i="12" s="1"/>
  <c r="F1856" i="12"/>
  <c r="G1856" i="12" s="1"/>
  <c r="F1857" i="12"/>
  <c r="G1857" i="12" s="1"/>
  <c r="F1858" i="12"/>
  <c r="G1858" i="12" s="1"/>
  <c r="F1859" i="12"/>
  <c r="G1859" i="12" s="1"/>
  <c r="F1860" i="12"/>
  <c r="G1860" i="12" s="1"/>
  <c r="F1861" i="12"/>
  <c r="G1861" i="12" s="1"/>
  <c r="F1862" i="12"/>
  <c r="G1862" i="12" s="1"/>
  <c r="F1863" i="12"/>
  <c r="G1863" i="12" s="1"/>
  <c r="F1864" i="12"/>
  <c r="G1864" i="12" s="1"/>
  <c r="F1865" i="12"/>
  <c r="G1865" i="12" s="1"/>
  <c r="F1866" i="12"/>
  <c r="G1866" i="12" s="1"/>
  <c r="F1867" i="12"/>
  <c r="G1867" i="12" s="1"/>
  <c r="F1868" i="12"/>
  <c r="G1868" i="12" s="1"/>
  <c r="F1869" i="12"/>
  <c r="G1869" i="12" s="1"/>
  <c r="F1870" i="12"/>
  <c r="G1870" i="12" s="1"/>
  <c r="F1871" i="12"/>
  <c r="G1871" i="12" s="1"/>
  <c r="F1872" i="12"/>
  <c r="G1872" i="12" s="1"/>
  <c r="F1873" i="12"/>
  <c r="G1873" i="12" s="1"/>
  <c r="F1874" i="12"/>
  <c r="G1874" i="12" s="1"/>
  <c r="F1875" i="12"/>
  <c r="G1875" i="12" s="1"/>
  <c r="F1876" i="12"/>
  <c r="G1876" i="12" s="1"/>
  <c r="F1877" i="12"/>
  <c r="G1877" i="12" s="1"/>
  <c r="F1878" i="12"/>
  <c r="G1878" i="12" s="1"/>
  <c r="F1879" i="12"/>
  <c r="G1879" i="12" s="1"/>
  <c r="F1880" i="12"/>
  <c r="G1880" i="12" s="1"/>
  <c r="F1881" i="12"/>
  <c r="G1881" i="12" s="1"/>
  <c r="F1882" i="12"/>
  <c r="G1882" i="12" s="1"/>
  <c r="F1883" i="12"/>
  <c r="G1883" i="12" s="1"/>
  <c r="F1884" i="12"/>
  <c r="G1884" i="12" s="1"/>
  <c r="F1885" i="12"/>
  <c r="G1885" i="12" s="1"/>
  <c r="F1886" i="12"/>
  <c r="G1886" i="12" s="1"/>
  <c r="F1887" i="12"/>
  <c r="G1887" i="12" s="1"/>
  <c r="F1888" i="12"/>
  <c r="G1888" i="12" s="1"/>
  <c r="F1889" i="12"/>
  <c r="G1889" i="12" s="1"/>
  <c r="F1890" i="12"/>
  <c r="G1890" i="12" s="1"/>
  <c r="F1891" i="12"/>
  <c r="G1891" i="12" s="1"/>
  <c r="F1892" i="12"/>
  <c r="G1892" i="12" s="1"/>
  <c r="F1893" i="12"/>
  <c r="G1893" i="12" s="1"/>
  <c r="F1894" i="12"/>
  <c r="G1894" i="12" s="1"/>
  <c r="F1895" i="12"/>
  <c r="G1895" i="12" s="1"/>
  <c r="F1896" i="12"/>
  <c r="G1896" i="12" s="1"/>
  <c r="F1897" i="12"/>
  <c r="G1897" i="12" s="1"/>
  <c r="F1898" i="12"/>
  <c r="G1898" i="12" s="1"/>
  <c r="F1899" i="12"/>
  <c r="G1899" i="12" s="1"/>
  <c r="F1900" i="12"/>
  <c r="G1900" i="12" s="1"/>
  <c r="F1901" i="12"/>
  <c r="G1901" i="12" s="1"/>
  <c r="F1902" i="12"/>
  <c r="G1902" i="12" s="1"/>
  <c r="F1903" i="12"/>
  <c r="G1903" i="12" s="1"/>
  <c r="F1904" i="12"/>
  <c r="G1904" i="12" s="1"/>
  <c r="F1905" i="12"/>
  <c r="G1905" i="12" s="1"/>
  <c r="F1906" i="12"/>
  <c r="G1906" i="12" s="1"/>
  <c r="F1907" i="12"/>
  <c r="G1907" i="12" s="1"/>
  <c r="F1908" i="12"/>
  <c r="G1908" i="12" s="1"/>
  <c r="F1909" i="12"/>
  <c r="G1909" i="12" s="1"/>
  <c r="F1910" i="12"/>
  <c r="G1910" i="12" s="1"/>
  <c r="F1911" i="12"/>
  <c r="G1911" i="12" s="1"/>
  <c r="F1912" i="12"/>
  <c r="G1912" i="12" s="1"/>
  <c r="F1913" i="12"/>
  <c r="G1913" i="12" s="1"/>
  <c r="F1914" i="12"/>
  <c r="G1914" i="12" s="1"/>
  <c r="F1915" i="12"/>
  <c r="G1915" i="12" s="1"/>
  <c r="F1916" i="12"/>
  <c r="G1916" i="12" s="1"/>
  <c r="F1917" i="12"/>
  <c r="G1917" i="12" s="1"/>
  <c r="F1918" i="12"/>
  <c r="G1918" i="12" s="1"/>
  <c r="F1919" i="12"/>
  <c r="G1919" i="12" s="1"/>
  <c r="F1920" i="12"/>
  <c r="G1920" i="12" s="1"/>
  <c r="F1921" i="12"/>
  <c r="G1921" i="12" s="1"/>
  <c r="F1922" i="12"/>
  <c r="G1922" i="12" s="1"/>
  <c r="F1923" i="12"/>
  <c r="G1923" i="12" s="1"/>
  <c r="F1924" i="12"/>
  <c r="G1924" i="12" s="1"/>
  <c r="F1925" i="12"/>
  <c r="G1925" i="12" s="1"/>
  <c r="F1926" i="12"/>
  <c r="G1926" i="12" s="1"/>
  <c r="F1927" i="12"/>
  <c r="G1927" i="12" s="1"/>
  <c r="F1928" i="12"/>
  <c r="G1928" i="12" s="1"/>
  <c r="F1929" i="12"/>
  <c r="G1929" i="12" s="1"/>
  <c r="F1930" i="12"/>
  <c r="G1930" i="12" s="1"/>
  <c r="F1931" i="12"/>
  <c r="G1931" i="12" s="1"/>
  <c r="F1932" i="12"/>
  <c r="G1932" i="12" s="1"/>
  <c r="F1933" i="12"/>
  <c r="G1933" i="12" s="1"/>
  <c r="F1934" i="12"/>
  <c r="G1934" i="12" s="1"/>
  <c r="F1935" i="12"/>
  <c r="G1935" i="12" s="1"/>
  <c r="F1936" i="12"/>
  <c r="G1936" i="12" s="1"/>
  <c r="F1937" i="12"/>
  <c r="G1937" i="12" s="1"/>
  <c r="F1938" i="12"/>
  <c r="G1938" i="12" s="1"/>
  <c r="F1939" i="12"/>
  <c r="G1939" i="12" s="1"/>
  <c r="F1940" i="12"/>
  <c r="G1940" i="12" s="1"/>
  <c r="F1941" i="12"/>
  <c r="G1941" i="12" s="1"/>
  <c r="F1942" i="12"/>
  <c r="G1942" i="12" s="1"/>
  <c r="F1943" i="12"/>
  <c r="G1943" i="12" s="1"/>
  <c r="F1944" i="12"/>
  <c r="G1944" i="12" s="1"/>
  <c r="F1945" i="12"/>
  <c r="G1945" i="12" s="1"/>
  <c r="F1946" i="12"/>
  <c r="G1946" i="12" s="1"/>
  <c r="F1947" i="12"/>
  <c r="G1947" i="12" s="1"/>
  <c r="F1948" i="12"/>
  <c r="G1948" i="12" s="1"/>
  <c r="F1949" i="12"/>
  <c r="G1949" i="12" s="1"/>
  <c r="F1950" i="12"/>
  <c r="G1950" i="12" s="1"/>
  <c r="F1951" i="12"/>
  <c r="G1951" i="12" s="1"/>
  <c r="F1952" i="12"/>
  <c r="G1952" i="12" s="1"/>
  <c r="F1953" i="12"/>
  <c r="G1953" i="12" s="1"/>
  <c r="F1954" i="12"/>
  <c r="G1954" i="12" s="1"/>
  <c r="F1955" i="12"/>
  <c r="G1955" i="12" s="1"/>
  <c r="F1956" i="12"/>
  <c r="G1956" i="12" s="1"/>
  <c r="F1957" i="12"/>
  <c r="G1957" i="12" s="1"/>
  <c r="F1958" i="12"/>
  <c r="G1958" i="12" s="1"/>
  <c r="F1959" i="12"/>
  <c r="G1959" i="12" s="1"/>
  <c r="F1960" i="12"/>
  <c r="G1960" i="12" s="1"/>
  <c r="F1961" i="12"/>
  <c r="G1961" i="12" s="1"/>
  <c r="F1962" i="12"/>
  <c r="G1962" i="12" s="1"/>
  <c r="F1963" i="12"/>
  <c r="G1963" i="12" s="1"/>
  <c r="F1964" i="12"/>
  <c r="G1964" i="12" s="1"/>
  <c r="F1965" i="12"/>
  <c r="G1965" i="12" s="1"/>
  <c r="F1966" i="12"/>
  <c r="G1966" i="12" s="1"/>
  <c r="F1967" i="12"/>
  <c r="G1967" i="12" s="1"/>
  <c r="F1968" i="12"/>
  <c r="G1968" i="12" s="1"/>
  <c r="F1969" i="12"/>
  <c r="G1969" i="12" s="1"/>
  <c r="F1970" i="12"/>
  <c r="G1970" i="12" s="1"/>
  <c r="F1971" i="12"/>
  <c r="G1971" i="12" s="1"/>
  <c r="F1972" i="12"/>
  <c r="G1972" i="12" s="1"/>
  <c r="F1973" i="12"/>
  <c r="G1973" i="12" s="1"/>
  <c r="F1974" i="12"/>
  <c r="G1974" i="12" s="1"/>
  <c r="F1975" i="12"/>
  <c r="G1975" i="12" s="1"/>
  <c r="F1976" i="12"/>
  <c r="G1976" i="12" s="1"/>
  <c r="F1977" i="12"/>
  <c r="G1977" i="12" s="1"/>
  <c r="F1978" i="12"/>
  <c r="G1978" i="12" s="1"/>
  <c r="F1979" i="12"/>
  <c r="G1979" i="12" s="1"/>
  <c r="F1980" i="12"/>
  <c r="G1980" i="12" s="1"/>
  <c r="F1981" i="12"/>
  <c r="G1981" i="12" s="1"/>
  <c r="F1982" i="12"/>
  <c r="G1982" i="12" s="1"/>
  <c r="F1983" i="12"/>
  <c r="G1983" i="12" s="1"/>
  <c r="F1984" i="12"/>
  <c r="G1984" i="12" s="1"/>
  <c r="F1985" i="12"/>
  <c r="G1985" i="12" s="1"/>
  <c r="F1986" i="12"/>
  <c r="G1986" i="12" s="1"/>
  <c r="F1987" i="12"/>
  <c r="G1987" i="12" s="1"/>
  <c r="F1988" i="12"/>
  <c r="G1988" i="12" s="1"/>
  <c r="F1989" i="12"/>
  <c r="G1989" i="12" s="1"/>
  <c r="F1990" i="12"/>
  <c r="G1990" i="12" s="1"/>
  <c r="F1991" i="12"/>
  <c r="G1991" i="12" s="1"/>
  <c r="F1992" i="12"/>
  <c r="G1992" i="12" s="1"/>
  <c r="F1993" i="12"/>
  <c r="G1993" i="12" s="1"/>
  <c r="F1994" i="12"/>
  <c r="G1994" i="12" s="1"/>
  <c r="F1995" i="12"/>
  <c r="G1995" i="12" s="1"/>
  <c r="F1996" i="12"/>
  <c r="G1996" i="12" s="1"/>
  <c r="F1997" i="12"/>
  <c r="G1997" i="12" s="1"/>
  <c r="F1998" i="12"/>
  <c r="G1998" i="12" s="1"/>
  <c r="F1999" i="12"/>
  <c r="G1999" i="12" s="1"/>
  <c r="F2000" i="12"/>
  <c r="G2000" i="12" s="1"/>
  <c r="F2001" i="12"/>
  <c r="G2001" i="12" s="1"/>
  <c r="F2002" i="12"/>
  <c r="G2002" i="12" s="1"/>
  <c r="F2003" i="12"/>
  <c r="G2003" i="12" s="1"/>
  <c r="F2004" i="12"/>
  <c r="G2004" i="12" s="1"/>
  <c r="F2005" i="12"/>
  <c r="G2005" i="12" s="1"/>
  <c r="F2006" i="12"/>
  <c r="G2006" i="12" s="1"/>
  <c r="F2007" i="12"/>
  <c r="G2007" i="12" s="1"/>
  <c r="F2008" i="12"/>
  <c r="G2008" i="12" s="1"/>
  <c r="F2009" i="12"/>
  <c r="G2009" i="12" s="1"/>
  <c r="F2010" i="12"/>
  <c r="G2010" i="12" s="1"/>
  <c r="F2011" i="12"/>
  <c r="G2011" i="12" s="1"/>
  <c r="F2012" i="12"/>
  <c r="G2012" i="12" s="1"/>
  <c r="F2013" i="12"/>
  <c r="G2013" i="12" s="1"/>
  <c r="F2014" i="12"/>
  <c r="G2014" i="12" s="1"/>
  <c r="F2015" i="12"/>
  <c r="G2015" i="12" s="1"/>
  <c r="F2016" i="12"/>
  <c r="G2016" i="12" s="1"/>
  <c r="F2017" i="12"/>
  <c r="G2017" i="12" s="1"/>
  <c r="F2018" i="12"/>
  <c r="G2018" i="12" s="1"/>
  <c r="F2019" i="12"/>
  <c r="G2019" i="12" s="1"/>
  <c r="F2020" i="12"/>
  <c r="G2020" i="12" s="1"/>
  <c r="F2021" i="12"/>
  <c r="G2021" i="12" s="1"/>
  <c r="F2022" i="12"/>
  <c r="G2022" i="12" s="1"/>
  <c r="F2023" i="12"/>
  <c r="G2023" i="12" s="1"/>
  <c r="F2024" i="12"/>
  <c r="G2024" i="12" s="1"/>
  <c r="F2025" i="12"/>
  <c r="G2025" i="12" s="1"/>
  <c r="F2026" i="12"/>
  <c r="G2026" i="12" s="1"/>
  <c r="F2027" i="12"/>
  <c r="G2027" i="12" s="1"/>
  <c r="F2028" i="12"/>
  <c r="G2028" i="12" s="1"/>
  <c r="F2029" i="12"/>
  <c r="G2029" i="12" s="1"/>
  <c r="F2030" i="12"/>
  <c r="G2030" i="12" s="1"/>
  <c r="F2031" i="12"/>
  <c r="G2031" i="12" s="1"/>
  <c r="F2032" i="12"/>
  <c r="G2032" i="12" s="1"/>
  <c r="F2033" i="12"/>
  <c r="G2033" i="12" s="1"/>
  <c r="F2034" i="12"/>
  <c r="G2034" i="12" s="1"/>
  <c r="F2035" i="12"/>
  <c r="G2035" i="12" s="1"/>
  <c r="F2036" i="12"/>
  <c r="G2036" i="12" s="1"/>
  <c r="F2037" i="12"/>
  <c r="G2037" i="12" s="1"/>
  <c r="F2038" i="12"/>
  <c r="G2038" i="12" s="1"/>
  <c r="F2039" i="12"/>
  <c r="G2039" i="12" s="1"/>
  <c r="F2040" i="12"/>
  <c r="G2040" i="12" s="1"/>
  <c r="F2041" i="12"/>
  <c r="G2041" i="12" s="1"/>
  <c r="F2042" i="12"/>
  <c r="G2042" i="12" s="1"/>
  <c r="F2043" i="12"/>
  <c r="G2043" i="12" s="1"/>
  <c r="F2044" i="12"/>
  <c r="G2044" i="12" s="1"/>
  <c r="F2045" i="12"/>
  <c r="G2045" i="12" s="1"/>
  <c r="F2046" i="12"/>
  <c r="G2046" i="12" s="1"/>
  <c r="F2047" i="12"/>
  <c r="G2047" i="12" s="1"/>
  <c r="F2048" i="12"/>
  <c r="G2048" i="12" s="1"/>
  <c r="F2049" i="12"/>
  <c r="G2049" i="12" s="1"/>
  <c r="F2050" i="12"/>
  <c r="G2050" i="12" s="1"/>
  <c r="F2051" i="12"/>
  <c r="G2051" i="12" s="1"/>
  <c r="F2052" i="12"/>
  <c r="G2052" i="12" s="1"/>
  <c r="F2053" i="12"/>
  <c r="G2053" i="12" s="1"/>
  <c r="F2054" i="12"/>
  <c r="G2054" i="12" s="1"/>
  <c r="F2055" i="12"/>
  <c r="G2055" i="12" s="1"/>
  <c r="F2056" i="12"/>
  <c r="G2056" i="12" s="1"/>
  <c r="F2057" i="12"/>
  <c r="G2057" i="12" s="1"/>
  <c r="F2058" i="12"/>
  <c r="G2058" i="12" s="1"/>
  <c r="F2059" i="12"/>
  <c r="G2059" i="12" s="1"/>
  <c r="F2060" i="12"/>
  <c r="G2060" i="12" s="1"/>
  <c r="F2061" i="12"/>
  <c r="G2061" i="12" s="1"/>
  <c r="F2062" i="12"/>
  <c r="G2062" i="12" s="1"/>
  <c r="F2063" i="12"/>
  <c r="G2063" i="12" s="1"/>
  <c r="F2064" i="12"/>
  <c r="G2064" i="12" s="1"/>
  <c r="F2065" i="12"/>
  <c r="G2065" i="12" s="1"/>
  <c r="F2066" i="12"/>
  <c r="G2066" i="12" s="1"/>
  <c r="F2067" i="12"/>
  <c r="G2067" i="12" s="1"/>
  <c r="F2068" i="12"/>
  <c r="G2068" i="12" s="1"/>
  <c r="F2069" i="12"/>
  <c r="G2069" i="12" s="1"/>
  <c r="F2070" i="12"/>
  <c r="G2070" i="12" s="1"/>
  <c r="F2071" i="12"/>
  <c r="G2071" i="12" s="1"/>
  <c r="F2072" i="12"/>
  <c r="G2072" i="12" s="1"/>
  <c r="F2073" i="12"/>
  <c r="G2073" i="12" s="1"/>
  <c r="F2074" i="12"/>
  <c r="G2074" i="12" s="1"/>
  <c r="F2075" i="12"/>
  <c r="G2075" i="12" s="1"/>
  <c r="F2076" i="12"/>
  <c r="G2076" i="12" s="1"/>
  <c r="F2077" i="12"/>
  <c r="G2077" i="12" s="1"/>
  <c r="F2078" i="12"/>
  <c r="G2078" i="12" s="1"/>
  <c r="F2079" i="12"/>
  <c r="G2079" i="12" s="1"/>
  <c r="F2080" i="12"/>
  <c r="G2080" i="12" s="1"/>
  <c r="F2081" i="12"/>
  <c r="G2081" i="12" s="1"/>
  <c r="F2082" i="12"/>
  <c r="G2082" i="12" s="1"/>
  <c r="F2083" i="12"/>
  <c r="G2083" i="12" s="1"/>
  <c r="F2084" i="12"/>
  <c r="G2084" i="12" s="1"/>
  <c r="F2085" i="12"/>
  <c r="G2085" i="12" s="1"/>
  <c r="F2086" i="12"/>
  <c r="G2086" i="12" s="1"/>
  <c r="F2087" i="12"/>
  <c r="G2087" i="12" s="1"/>
  <c r="F2088" i="12"/>
  <c r="G2088" i="12" s="1"/>
  <c r="F2089" i="12"/>
  <c r="G2089" i="12" s="1"/>
  <c r="F2090" i="12"/>
  <c r="G2090" i="12" s="1"/>
  <c r="F2091" i="12"/>
  <c r="G2091" i="12" s="1"/>
  <c r="F2092" i="12"/>
  <c r="G2092" i="12" s="1"/>
  <c r="F2093" i="12"/>
  <c r="G2093" i="12" s="1"/>
  <c r="F2094" i="12"/>
  <c r="G2094" i="12" s="1"/>
  <c r="F2095" i="12"/>
  <c r="G2095" i="12" s="1"/>
  <c r="F2096" i="12"/>
  <c r="G2096" i="12" s="1"/>
  <c r="F2097" i="12"/>
  <c r="G2097" i="12" s="1"/>
  <c r="F2098" i="12"/>
  <c r="G2098" i="12" s="1"/>
  <c r="F2099" i="12"/>
  <c r="G2099" i="12" s="1"/>
  <c r="F2100" i="12"/>
  <c r="G2100" i="12" s="1"/>
  <c r="F2101" i="12"/>
  <c r="G2101" i="12" s="1"/>
  <c r="F2102" i="12"/>
  <c r="G2102" i="12" s="1"/>
  <c r="F2103" i="12"/>
  <c r="G2103" i="12" s="1"/>
  <c r="F2104" i="12"/>
  <c r="G2104" i="12" s="1"/>
  <c r="F2105" i="12"/>
  <c r="G2105" i="12" s="1"/>
  <c r="F2106" i="12"/>
  <c r="G2106" i="12" s="1"/>
  <c r="F2107" i="12"/>
  <c r="G2107" i="12" s="1"/>
  <c r="F2108" i="12"/>
  <c r="G2108" i="12" s="1"/>
  <c r="F2109" i="12"/>
  <c r="G2109" i="12" s="1"/>
  <c r="F2110" i="12"/>
  <c r="G2110" i="12" s="1"/>
  <c r="F2111" i="12"/>
  <c r="G2111" i="12" s="1"/>
  <c r="F2112" i="12"/>
  <c r="G2112" i="12" s="1"/>
  <c r="F2113" i="12"/>
  <c r="G2113" i="12" s="1"/>
  <c r="F2114" i="12"/>
  <c r="G2114" i="12" s="1"/>
  <c r="F2115" i="12"/>
  <c r="G2115" i="12" s="1"/>
  <c r="F2116" i="12"/>
  <c r="G2116" i="12" s="1"/>
  <c r="F2117" i="12"/>
  <c r="G2117" i="12" s="1"/>
  <c r="F2118" i="12"/>
  <c r="G2118" i="12" s="1"/>
  <c r="F2119" i="12"/>
  <c r="G2119" i="12" s="1"/>
  <c r="F2120" i="12"/>
  <c r="G2120" i="12" s="1"/>
  <c r="F2121" i="12"/>
  <c r="G2121" i="12" s="1"/>
  <c r="F2122" i="12"/>
  <c r="G2122" i="12" s="1"/>
  <c r="F2123" i="12"/>
  <c r="G2123" i="12" s="1"/>
  <c r="F2124" i="12"/>
  <c r="G2124" i="12" s="1"/>
  <c r="F2125" i="12"/>
  <c r="G2125" i="12" s="1"/>
  <c r="F2126" i="12"/>
  <c r="G2126" i="12" s="1"/>
  <c r="F2127" i="12"/>
  <c r="G2127" i="12" s="1"/>
  <c r="F2128" i="12"/>
  <c r="G2128" i="12" s="1"/>
  <c r="F2129" i="12"/>
  <c r="G2129" i="12" s="1"/>
  <c r="F2130" i="12"/>
  <c r="G2130" i="12" s="1"/>
  <c r="F2131" i="12"/>
  <c r="G2131" i="12" s="1"/>
  <c r="F2132" i="12"/>
  <c r="G2132" i="12" s="1"/>
  <c r="F2133" i="12"/>
  <c r="G2133" i="12" s="1"/>
  <c r="F2134" i="12"/>
  <c r="G2134" i="12" s="1"/>
  <c r="F2135" i="12"/>
  <c r="G2135" i="12" s="1"/>
  <c r="F2136" i="12"/>
  <c r="G2136" i="12" s="1"/>
  <c r="F2137" i="12"/>
  <c r="G2137" i="12" s="1"/>
  <c r="F2138" i="12"/>
  <c r="G2138" i="12" s="1"/>
  <c r="F2139" i="12"/>
  <c r="G2139" i="12" s="1"/>
  <c r="F2140" i="12"/>
  <c r="G2140" i="12" s="1"/>
  <c r="F2141" i="12"/>
  <c r="G2141" i="12" s="1"/>
  <c r="F2142" i="12"/>
  <c r="G2142" i="12" s="1"/>
  <c r="F2143" i="12"/>
  <c r="G2143" i="12" s="1"/>
  <c r="F2144" i="12"/>
  <c r="G2144" i="12" s="1"/>
  <c r="F2145" i="12"/>
  <c r="G2145" i="12" s="1"/>
  <c r="F2146" i="12"/>
  <c r="G2146" i="12" s="1"/>
  <c r="F2147" i="12"/>
  <c r="G2147" i="12" s="1"/>
  <c r="F2148" i="12"/>
  <c r="G2148" i="12" s="1"/>
  <c r="F2149" i="12"/>
  <c r="G2149" i="12" s="1"/>
  <c r="F2150" i="12"/>
  <c r="G2150" i="12" s="1"/>
  <c r="F2151" i="12"/>
  <c r="G2151" i="12" s="1"/>
  <c r="F2152" i="12"/>
  <c r="G2152" i="12" s="1"/>
  <c r="F2153" i="12"/>
  <c r="G2153" i="12" s="1"/>
  <c r="F2154" i="12"/>
  <c r="G2154" i="12" s="1"/>
  <c r="F2155" i="12"/>
  <c r="G2155" i="12" s="1"/>
  <c r="F2156" i="12"/>
  <c r="G2156" i="12" s="1"/>
  <c r="F2157" i="12"/>
  <c r="G2157" i="12" s="1"/>
  <c r="F2158" i="12"/>
  <c r="G2158" i="12" s="1"/>
  <c r="F2159" i="12"/>
  <c r="G2159" i="12" s="1"/>
  <c r="F2160" i="12"/>
  <c r="G2160" i="12" s="1"/>
  <c r="F2161" i="12"/>
  <c r="G2161" i="12" s="1"/>
  <c r="F2162" i="12"/>
  <c r="G2162" i="12" s="1"/>
  <c r="F2163" i="12"/>
  <c r="G2163" i="12" s="1"/>
  <c r="F2164" i="12"/>
  <c r="G2164" i="12" s="1"/>
  <c r="F2165" i="12"/>
  <c r="G2165" i="12" s="1"/>
  <c r="F2166" i="12"/>
  <c r="G2166" i="12" s="1"/>
  <c r="F2167" i="12"/>
  <c r="G2167" i="12" s="1"/>
  <c r="F2168" i="12"/>
  <c r="G2168" i="12" s="1"/>
  <c r="F2169" i="12"/>
  <c r="G2169" i="12" s="1"/>
  <c r="F2170" i="12"/>
  <c r="G2170" i="12" s="1"/>
  <c r="F2171" i="12"/>
  <c r="G2171" i="12" s="1"/>
  <c r="F2172" i="12"/>
  <c r="G2172" i="12" s="1"/>
  <c r="F2173" i="12"/>
  <c r="G2173" i="12" s="1"/>
  <c r="F2174" i="12"/>
  <c r="G2174" i="12" s="1"/>
  <c r="F2175" i="12"/>
  <c r="G2175" i="12" s="1"/>
  <c r="F2176" i="12"/>
  <c r="G2176" i="12" s="1"/>
  <c r="F2177" i="12"/>
  <c r="G2177" i="12" s="1"/>
  <c r="F2178" i="12"/>
  <c r="G2178" i="12" s="1"/>
  <c r="F2179" i="12"/>
  <c r="G2179" i="12" s="1"/>
  <c r="F2180" i="12"/>
  <c r="G2180" i="12" s="1"/>
  <c r="F2181" i="12"/>
  <c r="G2181" i="12" s="1"/>
  <c r="F2182" i="12"/>
  <c r="G2182" i="12" s="1"/>
  <c r="F2183" i="12"/>
  <c r="G2183" i="12" s="1"/>
  <c r="F2184" i="12"/>
  <c r="G2184" i="12" s="1"/>
  <c r="F2185" i="12"/>
  <c r="G2185" i="12" s="1"/>
  <c r="F2186" i="12"/>
  <c r="G2186" i="12" s="1"/>
  <c r="F2187" i="12"/>
  <c r="G2187" i="12" s="1"/>
  <c r="F2188" i="12"/>
  <c r="G2188" i="12" s="1"/>
  <c r="F2189" i="12"/>
  <c r="G2189" i="12" s="1"/>
  <c r="F2190" i="12"/>
  <c r="G2190" i="12" s="1"/>
  <c r="F2191" i="12"/>
  <c r="G2191" i="12" s="1"/>
  <c r="F2192" i="12"/>
  <c r="G2192" i="12" s="1"/>
  <c r="F2193" i="12"/>
  <c r="G2193" i="12" s="1"/>
  <c r="F2194" i="12"/>
  <c r="G2194" i="12" s="1"/>
  <c r="F2195" i="12"/>
  <c r="G2195" i="12" s="1"/>
  <c r="F2196" i="12"/>
  <c r="G2196" i="12" s="1"/>
  <c r="F2197" i="12"/>
  <c r="G2197" i="12" s="1"/>
  <c r="F2198" i="12"/>
  <c r="G2198" i="12" s="1"/>
  <c r="F2199" i="12"/>
  <c r="G2199" i="12" s="1"/>
  <c r="F2200" i="12"/>
  <c r="G2200" i="12" s="1"/>
  <c r="F2201" i="12"/>
  <c r="G2201" i="12" s="1"/>
  <c r="F2202" i="12"/>
  <c r="G2202" i="12" s="1"/>
  <c r="F2203" i="12"/>
  <c r="G2203" i="12" s="1"/>
  <c r="F2204" i="12"/>
  <c r="G2204" i="12" s="1"/>
  <c r="F2205" i="12"/>
  <c r="G2205" i="12" s="1"/>
  <c r="F2206" i="12"/>
  <c r="G2206" i="12" s="1"/>
  <c r="F2207" i="12"/>
  <c r="G2207" i="12" s="1"/>
  <c r="F2208" i="12"/>
  <c r="G2208" i="12" s="1"/>
  <c r="F2209" i="12"/>
  <c r="G2209" i="12" s="1"/>
  <c r="F2210" i="12"/>
  <c r="G2210" i="12" s="1"/>
  <c r="F2211" i="12"/>
  <c r="G2211" i="12" s="1"/>
  <c r="F2212" i="12"/>
  <c r="G2212" i="12" s="1"/>
  <c r="F2213" i="12"/>
  <c r="G2213" i="12" s="1"/>
  <c r="F2214" i="12"/>
  <c r="G2214" i="12" s="1"/>
  <c r="F2215" i="12"/>
  <c r="G2215" i="12" s="1"/>
  <c r="F2216" i="12"/>
  <c r="G2216" i="12" s="1"/>
  <c r="F2217" i="12"/>
  <c r="G2217" i="12" s="1"/>
  <c r="F2218" i="12"/>
  <c r="G2218" i="12" s="1"/>
  <c r="F2219" i="12"/>
  <c r="G2219" i="12" s="1"/>
  <c r="F2220" i="12"/>
  <c r="G2220" i="12" s="1"/>
  <c r="F2221" i="12"/>
  <c r="G2221" i="12" s="1"/>
  <c r="F2222" i="12"/>
  <c r="G2222" i="12" s="1"/>
  <c r="F2223" i="12"/>
  <c r="G2223" i="12" s="1"/>
  <c r="F2224" i="12"/>
  <c r="G2224" i="12" s="1"/>
  <c r="F2225" i="12"/>
  <c r="G2225" i="12" s="1"/>
  <c r="F2226" i="12"/>
  <c r="G2226" i="12" s="1"/>
  <c r="F2227" i="12"/>
  <c r="G2227" i="12" s="1"/>
  <c r="F2228" i="12"/>
  <c r="G2228" i="12" s="1"/>
  <c r="F2229" i="12"/>
  <c r="G2229" i="12" s="1"/>
  <c r="F2230" i="12"/>
  <c r="G2230" i="12" s="1"/>
  <c r="F2231" i="12"/>
  <c r="G2231" i="12" s="1"/>
  <c r="F2232" i="12"/>
  <c r="G2232" i="12" s="1"/>
  <c r="F2233" i="12"/>
  <c r="G2233" i="12" s="1"/>
  <c r="F2234" i="12"/>
  <c r="G2234" i="12" s="1"/>
  <c r="F2235" i="12"/>
  <c r="G2235" i="12" s="1"/>
  <c r="F2236" i="12"/>
  <c r="G2236" i="12" s="1"/>
  <c r="F2237" i="12"/>
  <c r="G2237" i="12" s="1"/>
  <c r="F2238" i="12"/>
  <c r="G2238" i="12" s="1"/>
  <c r="F2239" i="12"/>
  <c r="G2239" i="12" s="1"/>
  <c r="F2240" i="12"/>
  <c r="G2240" i="12" s="1"/>
  <c r="F2241" i="12"/>
  <c r="G2241" i="12" s="1"/>
  <c r="F2242" i="12"/>
  <c r="G2242" i="12" s="1"/>
  <c r="F2243" i="12"/>
  <c r="G2243" i="12" s="1"/>
  <c r="F2244" i="12"/>
  <c r="G2244" i="12" s="1"/>
  <c r="F2245" i="12"/>
  <c r="G2245" i="12" s="1"/>
  <c r="F2246" i="12"/>
  <c r="G2246" i="12" s="1"/>
  <c r="F2247" i="12"/>
  <c r="G2247" i="12" s="1"/>
  <c r="F2248" i="12"/>
  <c r="G2248" i="12" s="1"/>
  <c r="F2249" i="12"/>
  <c r="G2249" i="12" s="1"/>
  <c r="F2250" i="12"/>
  <c r="G2250" i="12" s="1"/>
  <c r="F2251" i="12"/>
  <c r="G2251" i="12" s="1"/>
  <c r="F2252" i="12"/>
  <c r="G2252" i="12" s="1"/>
  <c r="F2253" i="12"/>
  <c r="G2253" i="12" s="1"/>
  <c r="F2254" i="12"/>
  <c r="G2254" i="12" s="1"/>
  <c r="F2255" i="12"/>
  <c r="G2255" i="12" s="1"/>
  <c r="F2256" i="12"/>
  <c r="G2256" i="12" s="1"/>
  <c r="F2257" i="12"/>
  <c r="G2257" i="12" s="1"/>
  <c r="F2258" i="12"/>
  <c r="G2258" i="12" s="1"/>
  <c r="F2259" i="12"/>
  <c r="G2259" i="12" s="1"/>
  <c r="F2260" i="12"/>
  <c r="G2260" i="12" s="1"/>
  <c r="F2261" i="12"/>
  <c r="G2261" i="12" s="1"/>
  <c r="F2262" i="12"/>
  <c r="G2262" i="12" s="1"/>
  <c r="F2263" i="12"/>
  <c r="G2263" i="12" s="1"/>
  <c r="F2264" i="12"/>
  <c r="G2264" i="12" s="1"/>
  <c r="F2265" i="12"/>
  <c r="G2265" i="12" s="1"/>
  <c r="F2266" i="12"/>
  <c r="G2266" i="12" s="1"/>
  <c r="F2267" i="12"/>
  <c r="G2267" i="12" s="1"/>
  <c r="F2268" i="12"/>
  <c r="G2268" i="12" s="1"/>
  <c r="F2269" i="12"/>
  <c r="G2269" i="12" s="1"/>
  <c r="F2270" i="12"/>
  <c r="G2270" i="12" s="1"/>
  <c r="F2271" i="12"/>
  <c r="G2271" i="12" s="1"/>
  <c r="F2272" i="12"/>
  <c r="G2272" i="12" s="1"/>
  <c r="F2273" i="12"/>
  <c r="G2273" i="12" s="1"/>
  <c r="F2274" i="12"/>
  <c r="G2274" i="12" s="1"/>
  <c r="F2275" i="12"/>
  <c r="G2275" i="12" s="1"/>
  <c r="F2276" i="12"/>
  <c r="G2276" i="12" s="1"/>
  <c r="F2277" i="12"/>
  <c r="G2277" i="12" s="1"/>
  <c r="F2278" i="12"/>
  <c r="G2278" i="12" s="1"/>
  <c r="F2279" i="12"/>
  <c r="G2279" i="12" s="1"/>
  <c r="F2280" i="12"/>
  <c r="G2280" i="12" s="1"/>
  <c r="F2281" i="12"/>
  <c r="G2281" i="12" s="1"/>
  <c r="F2282" i="12"/>
  <c r="G2282" i="12" s="1"/>
  <c r="F2283" i="12"/>
  <c r="G2283" i="12" s="1"/>
  <c r="F2284" i="12"/>
  <c r="G2284" i="12" s="1"/>
  <c r="F2285" i="12"/>
  <c r="G2285" i="12" s="1"/>
  <c r="F2286" i="12"/>
  <c r="G2286" i="12" s="1"/>
  <c r="F2287" i="12"/>
  <c r="G2287" i="12" s="1"/>
  <c r="F2288" i="12"/>
  <c r="G2288" i="12" s="1"/>
  <c r="F2289" i="12"/>
  <c r="G2289" i="12" s="1"/>
  <c r="F2290" i="12"/>
  <c r="G2290" i="12" s="1"/>
  <c r="F2291" i="12"/>
  <c r="G2291" i="12" s="1"/>
  <c r="F2292" i="12"/>
  <c r="G2292" i="12" s="1"/>
  <c r="F2293" i="12"/>
  <c r="G2293" i="12" s="1"/>
  <c r="F2294" i="12"/>
  <c r="G2294" i="12" s="1"/>
  <c r="F2295" i="12"/>
  <c r="G2295" i="12" s="1"/>
  <c r="F2296" i="12"/>
  <c r="G2296" i="12" s="1"/>
  <c r="F2297" i="12"/>
  <c r="G2297" i="12" s="1"/>
  <c r="F2298" i="12"/>
  <c r="G2298" i="12" s="1"/>
  <c r="F2299" i="12"/>
  <c r="G2299" i="12" s="1"/>
  <c r="F2300" i="12"/>
  <c r="G2300" i="12" s="1"/>
  <c r="F2301" i="12"/>
  <c r="G2301" i="12" s="1"/>
  <c r="F2302" i="12"/>
  <c r="G2302" i="12" s="1"/>
  <c r="F2303" i="12"/>
  <c r="G2303" i="12" s="1"/>
  <c r="F2304" i="12"/>
  <c r="G2304" i="12" s="1"/>
  <c r="F2305" i="12"/>
  <c r="G2305" i="12" s="1"/>
  <c r="F2306" i="12"/>
  <c r="G2306" i="12" s="1"/>
  <c r="F2307" i="12"/>
  <c r="G2307" i="12" s="1"/>
  <c r="F2308" i="12"/>
  <c r="G2308" i="12" s="1"/>
  <c r="F2309" i="12"/>
  <c r="G2309" i="12" s="1"/>
  <c r="F2310" i="12"/>
  <c r="G2310" i="12" s="1"/>
  <c r="F2311" i="12"/>
  <c r="G2311" i="12" s="1"/>
  <c r="F2312" i="12"/>
  <c r="G2312" i="12" s="1"/>
  <c r="F2313" i="12"/>
  <c r="G2313" i="12" s="1"/>
  <c r="F2314" i="12"/>
  <c r="G2314" i="12" s="1"/>
  <c r="F2315" i="12"/>
  <c r="G2315" i="12" s="1"/>
  <c r="F2316" i="12"/>
  <c r="G2316" i="12" s="1"/>
  <c r="F2317" i="12"/>
  <c r="G2317" i="12" s="1"/>
  <c r="F2318" i="12"/>
  <c r="G2318" i="12" s="1"/>
  <c r="F2319" i="12"/>
  <c r="G2319" i="12" s="1"/>
  <c r="F2320" i="12"/>
  <c r="G2320" i="12" s="1"/>
  <c r="F2321" i="12"/>
  <c r="G2321" i="12" s="1"/>
  <c r="F2322" i="12"/>
  <c r="G2322" i="12" s="1"/>
  <c r="F2323" i="12"/>
  <c r="G2323" i="12" s="1"/>
  <c r="F2324" i="12"/>
  <c r="G2324" i="12" s="1"/>
  <c r="F2325" i="12"/>
  <c r="G2325" i="12" s="1"/>
  <c r="F2326" i="12"/>
  <c r="G2326" i="12" s="1"/>
  <c r="F2327" i="12"/>
  <c r="G2327" i="12" s="1"/>
  <c r="F2328" i="12"/>
  <c r="G2328" i="12" s="1"/>
  <c r="F2329" i="12"/>
  <c r="G2329" i="12" s="1"/>
  <c r="F2330" i="12"/>
  <c r="G2330" i="12" s="1"/>
  <c r="F2331" i="12"/>
  <c r="G2331" i="12" s="1"/>
  <c r="F2332" i="12"/>
  <c r="G2332" i="12" s="1"/>
  <c r="F2333" i="12"/>
  <c r="G2333" i="12" s="1"/>
  <c r="F2334" i="12"/>
  <c r="G2334" i="12" s="1"/>
  <c r="F2335" i="12"/>
  <c r="G2335" i="12" s="1"/>
  <c r="F2336" i="12"/>
  <c r="G2336" i="12" s="1"/>
  <c r="F2337" i="12"/>
  <c r="G2337" i="12" s="1"/>
  <c r="F2338" i="12"/>
  <c r="G2338" i="12" s="1"/>
  <c r="F2339" i="12"/>
  <c r="G2339" i="12" s="1"/>
  <c r="F2340" i="12"/>
  <c r="G2340" i="12" s="1"/>
  <c r="F2341" i="12"/>
  <c r="G2341" i="12" s="1"/>
  <c r="F2342" i="12"/>
  <c r="G2342" i="12" s="1"/>
  <c r="F2343" i="12"/>
  <c r="G2343" i="12" s="1"/>
  <c r="F2344" i="12"/>
  <c r="G2344" i="12" s="1"/>
  <c r="F2345" i="12"/>
  <c r="G2345" i="12" s="1"/>
  <c r="F2346" i="12"/>
  <c r="G2346" i="12" s="1"/>
  <c r="F2347" i="12"/>
  <c r="G2347" i="12" s="1"/>
  <c r="F2348" i="12"/>
  <c r="G2348" i="12" s="1"/>
  <c r="F2349" i="12"/>
  <c r="G2349" i="12" s="1"/>
  <c r="F2350" i="12"/>
  <c r="G2350" i="12" s="1"/>
  <c r="F2351" i="12"/>
  <c r="G2351" i="12" s="1"/>
  <c r="F2352" i="12"/>
  <c r="G2352" i="12" s="1"/>
  <c r="F2353" i="12"/>
  <c r="G2353" i="12" s="1"/>
  <c r="F2354" i="12"/>
  <c r="G2354" i="12" s="1"/>
  <c r="F2355" i="12"/>
  <c r="G2355" i="12" s="1"/>
  <c r="F2356" i="12"/>
  <c r="G2356" i="12" s="1"/>
  <c r="F2357" i="12"/>
  <c r="G2357" i="12" s="1"/>
  <c r="F2358" i="12"/>
  <c r="G2358" i="12" s="1"/>
  <c r="F2359" i="12"/>
  <c r="G2359" i="12" s="1"/>
  <c r="F2360" i="12"/>
  <c r="G2360" i="12" s="1"/>
  <c r="F2361" i="12"/>
  <c r="G2361" i="12" s="1"/>
  <c r="F2362" i="12"/>
  <c r="G2362" i="12" s="1"/>
  <c r="F2363" i="12"/>
  <c r="G2363" i="12" s="1"/>
  <c r="F2364" i="12"/>
  <c r="G2364" i="12" s="1"/>
  <c r="F2365" i="12"/>
  <c r="G2365" i="12" s="1"/>
  <c r="F2366" i="12"/>
  <c r="G2366" i="12" s="1"/>
  <c r="F2367" i="12"/>
  <c r="G2367" i="12" s="1"/>
  <c r="F2368" i="12"/>
  <c r="G2368" i="12" s="1"/>
  <c r="F2369" i="12"/>
  <c r="G2369" i="12" s="1"/>
  <c r="F2370" i="12"/>
  <c r="G2370" i="12" s="1"/>
  <c r="F2371" i="12"/>
  <c r="G2371" i="12" s="1"/>
  <c r="F2372" i="12"/>
  <c r="G2372" i="12" s="1"/>
  <c r="F2373" i="12"/>
  <c r="G2373" i="12" s="1"/>
  <c r="F2374" i="12"/>
  <c r="G2374" i="12" s="1"/>
  <c r="F2375" i="12"/>
  <c r="G2375" i="12" s="1"/>
  <c r="F2376" i="12"/>
  <c r="G2376" i="12" s="1"/>
  <c r="F2377" i="12"/>
  <c r="G2377" i="12" s="1"/>
  <c r="F2378" i="12"/>
  <c r="G2378" i="12" s="1"/>
  <c r="F2379" i="12"/>
  <c r="G2379" i="12" s="1"/>
  <c r="F2380" i="12"/>
  <c r="G2380" i="12" s="1"/>
  <c r="F2381" i="12"/>
  <c r="G2381" i="12" s="1"/>
  <c r="F2382" i="12"/>
  <c r="G2382" i="12" s="1"/>
  <c r="F2383" i="12"/>
  <c r="G2383" i="12" s="1"/>
  <c r="F2384" i="12"/>
  <c r="G2384" i="12" s="1"/>
  <c r="F2385" i="12"/>
  <c r="G2385" i="12" s="1"/>
  <c r="F2386" i="12"/>
  <c r="G2386" i="12" s="1"/>
  <c r="F2387" i="12"/>
  <c r="G2387" i="12" s="1"/>
  <c r="F2388" i="12"/>
  <c r="G2388" i="12" s="1"/>
  <c r="F2389" i="12"/>
  <c r="G2389" i="12" s="1"/>
  <c r="F2390" i="12"/>
  <c r="G2390" i="12" s="1"/>
  <c r="F2391" i="12"/>
  <c r="G2391" i="12" s="1"/>
  <c r="F2392" i="12"/>
  <c r="G2392" i="12" s="1"/>
  <c r="F2393" i="12"/>
  <c r="G2393" i="12" s="1"/>
  <c r="F2394" i="12"/>
  <c r="G2394" i="12" s="1"/>
  <c r="F2395" i="12"/>
  <c r="G2395" i="12" s="1"/>
  <c r="F2396" i="12"/>
  <c r="G2396" i="12" s="1"/>
  <c r="F2397" i="12"/>
  <c r="G2397" i="12" s="1"/>
  <c r="F2398" i="12"/>
  <c r="G2398" i="12" s="1"/>
  <c r="F2399" i="12"/>
  <c r="G2399" i="12" s="1"/>
  <c r="F2400" i="12"/>
  <c r="G2400" i="12" s="1"/>
  <c r="F2401" i="12"/>
  <c r="G2401" i="12" s="1"/>
  <c r="F2402" i="12"/>
  <c r="G2402" i="12" s="1"/>
  <c r="F2403" i="12"/>
  <c r="G2403" i="12" s="1"/>
  <c r="F2404" i="12"/>
  <c r="G2404" i="12" s="1"/>
  <c r="F2405" i="12"/>
  <c r="G2405" i="12" s="1"/>
  <c r="F2406" i="12"/>
  <c r="G2406" i="12" s="1"/>
  <c r="F2407" i="12"/>
  <c r="G2407" i="12" s="1"/>
  <c r="F2408" i="12"/>
  <c r="G2408" i="12" s="1"/>
  <c r="F2409" i="12"/>
  <c r="G2409" i="12" s="1"/>
  <c r="F2410" i="12"/>
  <c r="G2410" i="12" s="1"/>
  <c r="F2411" i="12"/>
  <c r="G2411" i="12" s="1"/>
  <c r="F2412" i="12"/>
  <c r="G2412" i="12" s="1"/>
  <c r="F2413" i="12"/>
  <c r="G2413" i="12" s="1"/>
  <c r="F2414" i="12"/>
  <c r="G2414" i="12" s="1"/>
  <c r="F2415" i="12"/>
  <c r="G2415" i="12" s="1"/>
  <c r="F2416" i="12"/>
  <c r="G2416" i="12" s="1"/>
  <c r="F2417" i="12"/>
  <c r="G2417" i="12" s="1"/>
  <c r="F2418" i="12"/>
  <c r="G2418" i="12" s="1"/>
  <c r="F2419" i="12"/>
  <c r="G2419" i="12" s="1"/>
  <c r="F2420" i="12"/>
  <c r="G2420" i="12" s="1"/>
  <c r="F2421" i="12"/>
  <c r="G2421" i="12" s="1"/>
  <c r="F2422" i="12"/>
  <c r="G2422" i="12" s="1"/>
  <c r="F2423" i="12"/>
  <c r="G2423" i="12" s="1"/>
  <c r="F2424" i="12"/>
  <c r="G2424" i="12" s="1"/>
  <c r="F2425" i="12"/>
  <c r="G2425" i="12" s="1"/>
  <c r="F2426" i="12"/>
  <c r="G2426" i="12" s="1"/>
  <c r="F2427" i="12"/>
  <c r="G2427" i="12" s="1"/>
  <c r="F2428" i="12"/>
  <c r="G2428" i="12" s="1"/>
  <c r="F2429" i="12"/>
  <c r="G2429" i="12" s="1"/>
  <c r="F2430" i="12"/>
  <c r="G2430" i="12" s="1"/>
  <c r="F2431" i="12"/>
  <c r="G2431" i="12" s="1"/>
  <c r="F2432" i="12"/>
  <c r="G2432" i="12" s="1"/>
  <c r="F2433" i="12"/>
  <c r="G2433" i="12" s="1"/>
  <c r="F2434" i="12"/>
  <c r="G2434" i="12" s="1"/>
  <c r="F2435" i="12"/>
  <c r="G2435" i="12" s="1"/>
  <c r="F2436" i="12"/>
  <c r="G2436" i="12" s="1"/>
  <c r="F2437" i="12"/>
  <c r="G2437" i="12" s="1"/>
  <c r="F2438" i="12"/>
  <c r="G2438" i="12" s="1"/>
  <c r="F2439" i="12"/>
  <c r="G2439" i="12" s="1"/>
  <c r="F2440" i="12"/>
  <c r="G2440" i="12" s="1"/>
  <c r="F2441" i="12"/>
  <c r="G2441" i="12" s="1"/>
  <c r="F2442" i="12"/>
  <c r="G2442" i="12" s="1"/>
  <c r="F2443" i="12"/>
  <c r="G2443" i="12" s="1"/>
  <c r="F2444" i="12"/>
  <c r="G2444" i="12" s="1"/>
  <c r="F2445" i="12"/>
  <c r="G2445" i="12" s="1"/>
  <c r="F2446" i="12"/>
  <c r="G2446" i="12" s="1"/>
  <c r="F2447" i="12"/>
  <c r="G2447" i="12" s="1"/>
  <c r="F2448" i="12"/>
  <c r="G2448" i="12" s="1"/>
  <c r="F2449" i="12"/>
  <c r="G2449" i="12" s="1"/>
  <c r="F2450" i="12"/>
  <c r="G2450" i="12" s="1"/>
  <c r="F2451" i="12"/>
  <c r="G2451" i="12" s="1"/>
  <c r="F2452" i="12"/>
  <c r="G2452" i="12" s="1"/>
  <c r="F2453" i="12"/>
  <c r="G2453" i="12" s="1"/>
  <c r="F2454" i="12"/>
  <c r="G2454" i="12" s="1"/>
  <c r="F2455" i="12"/>
  <c r="G2455" i="12" s="1"/>
  <c r="F2456" i="12"/>
  <c r="G2456" i="12" s="1"/>
  <c r="F2457" i="12"/>
  <c r="G2457" i="12" s="1"/>
  <c r="F2458" i="12"/>
  <c r="G2458" i="12" s="1"/>
  <c r="F2459" i="12"/>
  <c r="G2459" i="12" s="1"/>
  <c r="F2460" i="12"/>
  <c r="G2460" i="12" s="1"/>
  <c r="F2461" i="12"/>
  <c r="G2461" i="12" s="1"/>
  <c r="F2462" i="12"/>
  <c r="G2462" i="12" s="1"/>
  <c r="F2463" i="12"/>
  <c r="G2463" i="12" s="1"/>
  <c r="F2464" i="12"/>
  <c r="G2464" i="12" s="1"/>
  <c r="F2465" i="12"/>
  <c r="G2465" i="12" s="1"/>
  <c r="F2466" i="12"/>
  <c r="G2466" i="12" s="1"/>
  <c r="F2467" i="12"/>
  <c r="G2467" i="12" s="1"/>
  <c r="F2468" i="12"/>
  <c r="G2468" i="12" s="1"/>
  <c r="F2469" i="12"/>
  <c r="G2469" i="12" s="1"/>
  <c r="F2470" i="12"/>
  <c r="G2470" i="12" s="1"/>
  <c r="F2471" i="12"/>
  <c r="G2471" i="12" s="1"/>
  <c r="F2472" i="12"/>
  <c r="G2472" i="12" s="1"/>
  <c r="F2473" i="12"/>
  <c r="G2473" i="12" s="1"/>
  <c r="F2474" i="12"/>
  <c r="G2474" i="12" s="1"/>
  <c r="F2475" i="12"/>
  <c r="G2475" i="12" s="1"/>
  <c r="F2476" i="12"/>
  <c r="G2476" i="12" s="1"/>
  <c r="F2477" i="12"/>
  <c r="G2477" i="12" s="1"/>
  <c r="F2478" i="12"/>
  <c r="G2478" i="12" s="1"/>
  <c r="F2479" i="12"/>
  <c r="G2479" i="12" s="1"/>
  <c r="F2480" i="12"/>
  <c r="G2480" i="12" s="1"/>
  <c r="F2481" i="12"/>
  <c r="G2481" i="12" s="1"/>
  <c r="F2482" i="12"/>
  <c r="G2482" i="12" s="1"/>
  <c r="F2483" i="12"/>
  <c r="G2483" i="12" s="1"/>
  <c r="F2484" i="12"/>
  <c r="G2484" i="12" s="1"/>
  <c r="F2485" i="12"/>
  <c r="G2485" i="12" s="1"/>
  <c r="F2486" i="12"/>
  <c r="G2486" i="12" s="1"/>
  <c r="F2487" i="12"/>
  <c r="G2487" i="12" s="1"/>
  <c r="F2488" i="12"/>
  <c r="G2488" i="12" s="1"/>
  <c r="F2489" i="12"/>
  <c r="G2489" i="12" s="1"/>
  <c r="F2490" i="12"/>
  <c r="G2490" i="12" s="1"/>
  <c r="F2491" i="12"/>
  <c r="G2491" i="12" s="1"/>
  <c r="F2492" i="12"/>
  <c r="G2492" i="12" s="1"/>
  <c r="F2493" i="12"/>
  <c r="G2493" i="12" s="1"/>
  <c r="F2494" i="12"/>
  <c r="G2494" i="12" s="1"/>
  <c r="F2495" i="12"/>
  <c r="G2495" i="12" s="1"/>
  <c r="F2496" i="12"/>
  <c r="G2496" i="12" s="1"/>
  <c r="F2497" i="12"/>
  <c r="G2497" i="12" s="1"/>
  <c r="F2498" i="12"/>
  <c r="G2498" i="12" s="1"/>
  <c r="F2499" i="12"/>
  <c r="G2499" i="12" s="1"/>
  <c r="F2500" i="12"/>
  <c r="G2500" i="12" s="1"/>
  <c r="F2501" i="12"/>
  <c r="G2501" i="12" s="1"/>
  <c r="F2502" i="12"/>
  <c r="G2502" i="12" s="1"/>
  <c r="F2503" i="12"/>
  <c r="G2503" i="12" s="1"/>
  <c r="F2504" i="12"/>
  <c r="G2504" i="12" s="1"/>
  <c r="F2505" i="12"/>
  <c r="G2505" i="12" s="1"/>
  <c r="F2506" i="12"/>
  <c r="G2506" i="12" s="1"/>
  <c r="F2507" i="12"/>
  <c r="G2507" i="12" s="1"/>
  <c r="F2508" i="12"/>
  <c r="G2508" i="12" s="1"/>
  <c r="F2509" i="12"/>
  <c r="G2509" i="12" s="1"/>
  <c r="F2510" i="12"/>
  <c r="G2510" i="12" s="1"/>
  <c r="F2511" i="12"/>
  <c r="G2511" i="12" s="1"/>
  <c r="F2512" i="12"/>
  <c r="G2512" i="12" s="1"/>
  <c r="F2513" i="12"/>
  <c r="G2513" i="12" s="1"/>
  <c r="F2514" i="12"/>
  <c r="G2514" i="12" s="1"/>
  <c r="F2515" i="12"/>
  <c r="G2515" i="12" s="1"/>
  <c r="F2516" i="12"/>
  <c r="G2516" i="12" s="1"/>
  <c r="F2517" i="12"/>
  <c r="G2517" i="12" s="1"/>
  <c r="F2518" i="12"/>
  <c r="G2518" i="12" s="1"/>
  <c r="F2519" i="12"/>
  <c r="G2519" i="12" s="1"/>
  <c r="F2520" i="12"/>
  <c r="G2520" i="12" s="1"/>
  <c r="F2521" i="12"/>
  <c r="G2521" i="12" s="1"/>
  <c r="F2522" i="12"/>
  <c r="G2522" i="12" s="1"/>
  <c r="F2523" i="12"/>
  <c r="G2523" i="12" s="1"/>
  <c r="F2524" i="12"/>
  <c r="G2524" i="12" s="1"/>
  <c r="F2525" i="12"/>
  <c r="G2525" i="12" s="1"/>
  <c r="F2526" i="12"/>
  <c r="G2526" i="12" s="1"/>
  <c r="F2527" i="12"/>
  <c r="G2527" i="12" s="1"/>
  <c r="F2528" i="12"/>
  <c r="G2528" i="12" s="1"/>
  <c r="F2529" i="12"/>
  <c r="G2529" i="12" s="1"/>
  <c r="F2530" i="12"/>
  <c r="G2530" i="12" s="1"/>
  <c r="F2531" i="12"/>
  <c r="G2531" i="12" s="1"/>
  <c r="F2532" i="12"/>
  <c r="G2532" i="12" s="1"/>
  <c r="F2533" i="12"/>
  <c r="G2533" i="12" s="1"/>
  <c r="F2534" i="12"/>
  <c r="G2534" i="12" s="1"/>
  <c r="F2535" i="12"/>
  <c r="G2535" i="12" s="1"/>
  <c r="F2536" i="12"/>
  <c r="G2536" i="12" s="1"/>
  <c r="F2537" i="12"/>
  <c r="G2537" i="12" s="1"/>
  <c r="F2538" i="12"/>
  <c r="G2538" i="12" s="1"/>
  <c r="F2539" i="12"/>
  <c r="G2539" i="12" s="1"/>
  <c r="F2540" i="12"/>
  <c r="G2540" i="12" s="1"/>
  <c r="F2541" i="12"/>
  <c r="G2541" i="12" s="1"/>
  <c r="F2542" i="12"/>
  <c r="G2542" i="12" s="1"/>
  <c r="F2543" i="12"/>
  <c r="G2543" i="12" s="1"/>
  <c r="F2544" i="12"/>
  <c r="G2544" i="12" s="1"/>
  <c r="F2545" i="12"/>
  <c r="G2545" i="12" s="1"/>
  <c r="F2546" i="12"/>
  <c r="G2546" i="12" s="1"/>
  <c r="F2547" i="12"/>
  <c r="G2547" i="12" s="1"/>
  <c r="F2548" i="12"/>
  <c r="G2548" i="12" s="1"/>
  <c r="F2549" i="12"/>
  <c r="G2549" i="12" s="1"/>
  <c r="F2550" i="12"/>
  <c r="G2550" i="12" s="1"/>
  <c r="F2551" i="12"/>
  <c r="G2551" i="12" s="1"/>
  <c r="F2552" i="12"/>
  <c r="G2552" i="12" s="1"/>
  <c r="F2553" i="12"/>
  <c r="G2553" i="12" s="1"/>
  <c r="F2554" i="12"/>
  <c r="G2554" i="12" s="1"/>
  <c r="F2555" i="12"/>
  <c r="G2555" i="12" s="1"/>
  <c r="F2556" i="12"/>
  <c r="G2556" i="12" s="1"/>
  <c r="F2557" i="12"/>
  <c r="G2557" i="12" s="1"/>
  <c r="F2558" i="12"/>
  <c r="G2558" i="12" s="1"/>
  <c r="F2559" i="12"/>
  <c r="G2559" i="12" s="1"/>
  <c r="F2560" i="12"/>
  <c r="G2560" i="12" s="1"/>
  <c r="F2561" i="12"/>
  <c r="G2561" i="12" s="1"/>
  <c r="F2562" i="12"/>
  <c r="G2562" i="12" s="1"/>
  <c r="F2563" i="12"/>
  <c r="G2563" i="12" s="1"/>
  <c r="F2564" i="12"/>
  <c r="G2564" i="12" s="1"/>
  <c r="F2565" i="12"/>
  <c r="G2565" i="12" s="1"/>
  <c r="F2566" i="12"/>
  <c r="G2566" i="12" s="1"/>
  <c r="F2567" i="12"/>
  <c r="G2567" i="12" s="1"/>
  <c r="F2568" i="12"/>
  <c r="G2568" i="12" s="1"/>
  <c r="F2569" i="12"/>
  <c r="G2569" i="12" s="1"/>
  <c r="F2570" i="12"/>
  <c r="G2570" i="12" s="1"/>
  <c r="F2571" i="12"/>
  <c r="G2571" i="12" s="1"/>
  <c r="F2572" i="12"/>
  <c r="G2572" i="12" s="1"/>
  <c r="F2573" i="12"/>
  <c r="G2573" i="12" s="1"/>
  <c r="F2574" i="12"/>
  <c r="G2574" i="12" s="1"/>
  <c r="F2575" i="12"/>
  <c r="G2575" i="12" s="1"/>
  <c r="F2576" i="12"/>
  <c r="G2576" i="12" s="1"/>
  <c r="F2577" i="12"/>
  <c r="G2577" i="12" s="1"/>
  <c r="F2578" i="12"/>
  <c r="G2578" i="12" s="1"/>
  <c r="F2579" i="12"/>
  <c r="G2579" i="12" s="1"/>
  <c r="F2580" i="12"/>
  <c r="G2580" i="12" s="1"/>
  <c r="F2581" i="12"/>
  <c r="G2581" i="12" s="1"/>
  <c r="F2582" i="12"/>
  <c r="G2582" i="12" s="1"/>
  <c r="F2583" i="12"/>
  <c r="G2583" i="12" s="1"/>
  <c r="F2584" i="12"/>
  <c r="G2584" i="12" s="1"/>
  <c r="F2585" i="12"/>
  <c r="G2585" i="12" s="1"/>
  <c r="F2586" i="12"/>
  <c r="G2586" i="12" s="1"/>
  <c r="F2587" i="12"/>
  <c r="G2587" i="12" s="1"/>
  <c r="F2588" i="12"/>
  <c r="G2588" i="12" s="1"/>
  <c r="F2589" i="12"/>
  <c r="G2589" i="12" s="1"/>
  <c r="F2590" i="12"/>
  <c r="G2590" i="12" s="1"/>
  <c r="F2591" i="12"/>
  <c r="G2591" i="12" s="1"/>
  <c r="F2592" i="12"/>
  <c r="G2592" i="12" s="1"/>
  <c r="F2593" i="12"/>
  <c r="G2593" i="12" s="1"/>
  <c r="F2594" i="12"/>
  <c r="G2594" i="12" s="1"/>
  <c r="F2595" i="12"/>
  <c r="G2595" i="12" s="1"/>
  <c r="F2596" i="12"/>
  <c r="G2596" i="12" s="1"/>
  <c r="F2597" i="12"/>
  <c r="G2597" i="12" s="1"/>
  <c r="F2598" i="12"/>
  <c r="G2598" i="12" s="1"/>
  <c r="F2599" i="12"/>
  <c r="G2599" i="12" s="1"/>
  <c r="F2600" i="12"/>
  <c r="G2600" i="12" s="1"/>
  <c r="F2601" i="12"/>
  <c r="G2601" i="12" s="1"/>
  <c r="F2602" i="12"/>
  <c r="G2602" i="12" s="1"/>
  <c r="F2603" i="12"/>
  <c r="G2603" i="12" s="1"/>
  <c r="F2604" i="12"/>
  <c r="G2604" i="12" s="1"/>
  <c r="F2605" i="12"/>
  <c r="G2605" i="12" s="1"/>
  <c r="F2606" i="12"/>
  <c r="G2606" i="12" s="1"/>
  <c r="F2607" i="12"/>
  <c r="G2607" i="12" s="1"/>
  <c r="F2608" i="12"/>
  <c r="G2608" i="12" s="1"/>
  <c r="F2609" i="12"/>
  <c r="G2609" i="12" s="1"/>
  <c r="F2610" i="12"/>
  <c r="G2610" i="12" s="1"/>
  <c r="F2611" i="12"/>
  <c r="G2611" i="12" s="1"/>
  <c r="F2612" i="12"/>
  <c r="G2612" i="12" s="1"/>
  <c r="F2613" i="12"/>
  <c r="G2613" i="12" s="1"/>
  <c r="F2614" i="12"/>
  <c r="G2614" i="12" s="1"/>
  <c r="F2615" i="12"/>
  <c r="G2615" i="12" s="1"/>
  <c r="F2616" i="12"/>
  <c r="G2616" i="12" s="1"/>
  <c r="F2617" i="12"/>
  <c r="G2617" i="12" s="1"/>
  <c r="F2618" i="12"/>
  <c r="G2618" i="12" s="1"/>
  <c r="F2619" i="12"/>
  <c r="G2619" i="12" s="1"/>
  <c r="F2620" i="12"/>
  <c r="G2620" i="12" s="1"/>
  <c r="F2621" i="12"/>
  <c r="G2621" i="12" s="1"/>
  <c r="F2622" i="12"/>
  <c r="G2622" i="12" s="1"/>
  <c r="F2623" i="12"/>
  <c r="G2623" i="12" s="1"/>
  <c r="F2624" i="12"/>
  <c r="G2624" i="12" s="1"/>
  <c r="F2625" i="12"/>
  <c r="G2625" i="12" s="1"/>
  <c r="F2626" i="12"/>
  <c r="G2626" i="12" s="1"/>
  <c r="F2627" i="12"/>
  <c r="G2627" i="12" s="1"/>
  <c r="F2628" i="12"/>
  <c r="G2628" i="12" s="1"/>
  <c r="F2629" i="12"/>
  <c r="G2629" i="12" s="1"/>
  <c r="F2630" i="12"/>
  <c r="G2630" i="12" s="1"/>
  <c r="F2631" i="12"/>
  <c r="G2631" i="12" s="1"/>
  <c r="F2632" i="12"/>
  <c r="G2632" i="12" s="1"/>
  <c r="F2633" i="12"/>
  <c r="G2633" i="12" s="1"/>
  <c r="F2634" i="12"/>
  <c r="G2634" i="12" s="1"/>
  <c r="F2635" i="12"/>
  <c r="G2635" i="12" s="1"/>
  <c r="F2636" i="12"/>
  <c r="G2636" i="12" s="1"/>
  <c r="F2637" i="12"/>
  <c r="G2637" i="12" s="1"/>
  <c r="F2638" i="12"/>
  <c r="G2638" i="12" s="1"/>
  <c r="F2639" i="12"/>
  <c r="G2639" i="12" s="1"/>
  <c r="F2640" i="12"/>
  <c r="G2640" i="12" s="1"/>
  <c r="F2641" i="12"/>
  <c r="G2641" i="12" s="1"/>
  <c r="F2642" i="12"/>
  <c r="G2642" i="12" s="1"/>
  <c r="F2643" i="12"/>
  <c r="G2643" i="12" s="1"/>
  <c r="F2644" i="12"/>
  <c r="G2644" i="12" s="1"/>
  <c r="F2645" i="12"/>
  <c r="G2645" i="12" s="1"/>
  <c r="F2646" i="12"/>
  <c r="G2646" i="12" s="1"/>
  <c r="F2647" i="12"/>
  <c r="G2647" i="12" s="1"/>
  <c r="F2648" i="12"/>
  <c r="G2648" i="12" s="1"/>
  <c r="F2649" i="12"/>
  <c r="G2649" i="12" s="1"/>
  <c r="F2650" i="12"/>
  <c r="G2650" i="12" s="1"/>
  <c r="F2651" i="12"/>
  <c r="G2651" i="12" s="1"/>
  <c r="F2652" i="12"/>
  <c r="G2652" i="12" s="1"/>
  <c r="F2653" i="12"/>
  <c r="G2653" i="12" s="1"/>
  <c r="F2654" i="12"/>
  <c r="G2654" i="12" s="1"/>
  <c r="F2655" i="12"/>
  <c r="G2655" i="12" s="1"/>
  <c r="F2656" i="12"/>
  <c r="G2656" i="12" s="1"/>
  <c r="F2657" i="12"/>
  <c r="G2657" i="12" s="1"/>
  <c r="F2658" i="12"/>
  <c r="G2658" i="12" s="1"/>
  <c r="F2659" i="12"/>
  <c r="G2659" i="12" s="1"/>
  <c r="F2660" i="12"/>
  <c r="G2660" i="12" s="1"/>
  <c r="F2661" i="12"/>
  <c r="G2661" i="12" s="1"/>
  <c r="F2662" i="12"/>
  <c r="G2662" i="12" s="1"/>
  <c r="F2663" i="12"/>
  <c r="G2663" i="12" s="1"/>
  <c r="F2664" i="12"/>
  <c r="G2664" i="12" s="1"/>
  <c r="F2665" i="12"/>
  <c r="G2665" i="12" s="1"/>
  <c r="F2666" i="12"/>
  <c r="G2666" i="12" s="1"/>
  <c r="F2667" i="12"/>
  <c r="G2667" i="12" s="1"/>
  <c r="F2668" i="12"/>
  <c r="G2668" i="12" s="1"/>
  <c r="F2669" i="12"/>
  <c r="G2669" i="12" s="1"/>
  <c r="F2670" i="12"/>
  <c r="G2670" i="12" s="1"/>
  <c r="F2671" i="12"/>
  <c r="G2671" i="12" s="1"/>
  <c r="F2672" i="12"/>
  <c r="G2672" i="12" s="1"/>
  <c r="F2673" i="12"/>
  <c r="G2673" i="12" s="1"/>
  <c r="F2674" i="12"/>
  <c r="G2674" i="12" s="1"/>
  <c r="F2675" i="12"/>
  <c r="G2675" i="12" s="1"/>
  <c r="F2676" i="12"/>
  <c r="G2676" i="12" s="1"/>
  <c r="F2677" i="12"/>
  <c r="G2677" i="12" s="1"/>
  <c r="F2678" i="12"/>
  <c r="G2678" i="12" s="1"/>
  <c r="F2679" i="12"/>
  <c r="G2679" i="12" s="1"/>
  <c r="F2680" i="12"/>
  <c r="G2680" i="12" s="1"/>
  <c r="F2681" i="12"/>
  <c r="G2681" i="12" s="1"/>
  <c r="F2682" i="12"/>
  <c r="G2682" i="12" s="1"/>
  <c r="F2683" i="12"/>
  <c r="G2683" i="12" s="1"/>
  <c r="F2684" i="12"/>
  <c r="G2684" i="12" s="1"/>
  <c r="F2685" i="12"/>
  <c r="G2685" i="12" s="1"/>
  <c r="F2686" i="12"/>
  <c r="G2686" i="12" s="1"/>
  <c r="F2687" i="12"/>
  <c r="G2687" i="12" s="1"/>
  <c r="F2688" i="12"/>
  <c r="G2688" i="12" s="1"/>
  <c r="F2689" i="12"/>
  <c r="G2689" i="12" s="1"/>
  <c r="F2690" i="12"/>
  <c r="G2690" i="12" s="1"/>
  <c r="F2691" i="12"/>
  <c r="G2691" i="12" s="1"/>
  <c r="F2692" i="12"/>
  <c r="G2692" i="12" s="1"/>
  <c r="F2693" i="12"/>
  <c r="G2693" i="12" s="1"/>
  <c r="F2694" i="12"/>
  <c r="G2694" i="12" s="1"/>
  <c r="F2695" i="12"/>
  <c r="G2695" i="12" s="1"/>
  <c r="F2696" i="12"/>
  <c r="G2696" i="12" s="1"/>
  <c r="F2697" i="12"/>
  <c r="G2697" i="12" s="1"/>
  <c r="F2698" i="12"/>
  <c r="G2698" i="12" s="1"/>
  <c r="F2699" i="12"/>
  <c r="G2699" i="12" s="1"/>
  <c r="F2700" i="12"/>
  <c r="G2700" i="12" s="1"/>
  <c r="F2701" i="12"/>
  <c r="G2701" i="12" s="1"/>
  <c r="F2702" i="12"/>
  <c r="G2702" i="12" s="1"/>
  <c r="F2703" i="12"/>
  <c r="G2703" i="12" s="1"/>
  <c r="F2704" i="12"/>
  <c r="G2704" i="12" s="1"/>
  <c r="F2705" i="12"/>
  <c r="G2705" i="12" s="1"/>
  <c r="F2706" i="12"/>
  <c r="G2706" i="12" s="1"/>
  <c r="F2707" i="12"/>
  <c r="G2707" i="12" s="1"/>
  <c r="F2708" i="12"/>
  <c r="G2708" i="12" s="1"/>
  <c r="F2709" i="12"/>
  <c r="G2709" i="12" s="1"/>
  <c r="F2710" i="12"/>
  <c r="G2710" i="12" s="1"/>
  <c r="F2711" i="12"/>
  <c r="G2711" i="12" s="1"/>
  <c r="F2712" i="12"/>
  <c r="G2712" i="12" s="1"/>
  <c r="F2713" i="12"/>
  <c r="G2713" i="12" s="1"/>
  <c r="F2714" i="12"/>
  <c r="G2714" i="12" s="1"/>
  <c r="F2715" i="12"/>
  <c r="G2715" i="12" s="1"/>
  <c r="F2716" i="12"/>
  <c r="G2716" i="12" s="1"/>
  <c r="F2717" i="12"/>
  <c r="G2717" i="12" s="1"/>
  <c r="F2718" i="12"/>
  <c r="G2718" i="12" s="1"/>
  <c r="F2719" i="12"/>
  <c r="G2719" i="12" s="1"/>
  <c r="F2720" i="12"/>
  <c r="G2720" i="12" s="1"/>
  <c r="F2721" i="12"/>
  <c r="G2721" i="12" s="1"/>
  <c r="F2722" i="12"/>
  <c r="G2722" i="12" s="1"/>
  <c r="F2723" i="12"/>
  <c r="G2723" i="12" s="1"/>
  <c r="F2724" i="12"/>
  <c r="G2724" i="12" s="1"/>
  <c r="F2725" i="12"/>
  <c r="G2725" i="12" s="1"/>
  <c r="F2726" i="12"/>
  <c r="G2726" i="12" s="1"/>
  <c r="F2727" i="12"/>
  <c r="G2727" i="12" s="1"/>
  <c r="F2728" i="12"/>
  <c r="G2728" i="12" s="1"/>
  <c r="F2729" i="12"/>
  <c r="G2729" i="12" s="1"/>
  <c r="F2730" i="12"/>
  <c r="G2730" i="12" s="1"/>
  <c r="F2731" i="12"/>
  <c r="G2731" i="12" s="1"/>
  <c r="F2732" i="12"/>
  <c r="G2732" i="12" s="1"/>
  <c r="F2733" i="12"/>
  <c r="G2733" i="12" s="1"/>
  <c r="F2734" i="12"/>
  <c r="G2734" i="12" s="1"/>
  <c r="F2735" i="12"/>
  <c r="G2735" i="12" s="1"/>
  <c r="F2736" i="12"/>
  <c r="G2736" i="12" s="1"/>
  <c r="F2737" i="12"/>
  <c r="G2737" i="12" s="1"/>
  <c r="F2738" i="12"/>
  <c r="G2738" i="12" s="1"/>
  <c r="F2739" i="12"/>
  <c r="G2739" i="12" s="1"/>
  <c r="F2740" i="12"/>
  <c r="G2740" i="12" s="1"/>
  <c r="F2741" i="12"/>
  <c r="G2741" i="12" s="1"/>
  <c r="F2742" i="12"/>
  <c r="G2742" i="12" s="1"/>
  <c r="F2743" i="12"/>
  <c r="G2743" i="12" s="1"/>
  <c r="F2744" i="12"/>
  <c r="G2744" i="12" s="1"/>
  <c r="F2745" i="12"/>
  <c r="G2745" i="12" s="1"/>
  <c r="F2746" i="12"/>
  <c r="G2746" i="12" s="1"/>
  <c r="F2747" i="12"/>
  <c r="G2747" i="12" s="1"/>
  <c r="F2748" i="12"/>
  <c r="G2748" i="12" s="1"/>
  <c r="F2749" i="12"/>
  <c r="G2749" i="12" s="1"/>
  <c r="F2750" i="12"/>
  <c r="G2750" i="12" s="1"/>
  <c r="F2751" i="12"/>
  <c r="G2751" i="12" s="1"/>
  <c r="F2752" i="12"/>
  <c r="G2752" i="12" s="1"/>
  <c r="F2753" i="12"/>
  <c r="G2753" i="12" s="1"/>
  <c r="F2754" i="12"/>
  <c r="G2754" i="12" s="1"/>
  <c r="F2755" i="12"/>
  <c r="G2755" i="12" s="1"/>
  <c r="F2756" i="12"/>
  <c r="G2756" i="12" s="1"/>
  <c r="F2757" i="12"/>
  <c r="G2757" i="12" s="1"/>
  <c r="F2758" i="12"/>
  <c r="G2758" i="12" s="1"/>
  <c r="F2759" i="12"/>
  <c r="G2759" i="12" s="1"/>
  <c r="F2760" i="12"/>
  <c r="G2760" i="12" s="1"/>
  <c r="F2761" i="12"/>
  <c r="G2761" i="12" s="1"/>
  <c r="F2762" i="12"/>
  <c r="G2762" i="12" s="1"/>
  <c r="F2763" i="12"/>
  <c r="G2763" i="12" s="1"/>
  <c r="F2764" i="12"/>
  <c r="G2764" i="12" s="1"/>
  <c r="F2765" i="12"/>
  <c r="G2765" i="12" s="1"/>
  <c r="F2766" i="12"/>
  <c r="G2766" i="12" s="1"/>
  <c r="F2767" i="12"/>
  <c r="G2767" i="12" s="1"/>
  <c r="F2768" i="12"/>
  <c r="G2768" i="12" s="1"/>
  <c r="F2769" i="12"/>
  <c r="G2769" i="12" s="1"/>
  <c r="F2770" i="12"/>
  <c r="G2770" i="12" s="1"/>
  <c r="F2771" i="12"/>
  <c r="G2771" i="12" s="1"/>
  <c r="F2772" i="12"/>
  <c r="G2772" i="12" s="1"/>
  <c r="F2773" i="12"/>
  <c r="G2773" i="12" s="1"/>
  <c r="F2774" i="12"/>
  <c r="G2774" i="12" s="1"/>
  <c r="F2775" i="12"/>
  <c r="G2775" i="12" s="1"/>
  <c r="F2776" i="12"/>
  <c r="G2776" i="12" s="1"/>
  <c r="F2777" i="12"/>
  <c r="G2777" i="12" s="1"/>
  <c r="F2778" i="12"/>
  <c r="G2778" i="12" s="1"/>
  <c r="F2779" i="12"/>
  <c r="G2779" i="12" s="1"/>
  <c r="F2780" i="12"/>
  <c r="G2780" i="12" s="1"/>
  <c r="F2781" i="12"/>
  <c r="G2781" i="12" s="1"/>
  <c r="F2782" i="12"/>
  <c r="G2782" i="12" s="1"/>
  <c r="F2783" i="12"/>
  <c r="G2783" i="12" s="1"/>
  <c r="F2784" i="12"/>
  <c r="G2784" i="12" s="1"/>
  <c r="F2785" i="12"/>
  <c r="G2785" i="12" s="1"/>
  <c r="F2786" i="12"/>
  <c r="G2786" i="12" s="1"/>
  <c r="F2787" i="12"/>
  <c r="G2787" i="12" s="1"/>
  <c r="F2788" i="12"/>
  <c r="G2788" i="12" s="1"/>
  <c r="F2789" i="12"/>
  <c r="G2789" i="12" s="1"/>
  <c r="F2790" i="12"/>
  <c r="G2790" i="12" s="1"/>
  <c r="F2791" i="12"/>
  <c r="G2791" i="12" s="1"/>
  <c r="F2792" i="12"/>
  <c r="G2792" i="12" s="1"/>
  <c r="F2793" i="12"/>
  <c r="G2793" i="12" s="1"/>
  <c r="F2794" i="12"/>
  <c r="G2794" i="12" s="1"/>
  <c r="F2795" i="12"/>
  <c r="G2795" i="12" s="1"/>
  <c r="F2796" i="12"/>
  <c r="G2796" i="12" s="1"/>
  <c r="F2797" i="12"/>
  <c r="G2797" i="12" s="1"/>
  <c r="F2798" i="12"/>
  <c r="G2798" i="12" s="1"/>
  <c r="F2799" i="12"/>
  <c r="G2799" i="12" s="1"/>
  <c r="F2800" i="12"/>
  <c r="G2800" i="12" s="1"/>
  <c r="F2801" i="12"/>
  <c r="G2801" i="12" s="1"/>
  <c r="F2802" i="12"/>
  <c r="G2802" i="12" s="1"/>
  <c r="F2803" i="12"/>
  <c r="G2803" i="12" s="1"/>
  <c r="F2804" i="12"/>
  <c r="G2804" i="12" s="1"/>
  <c r="F2805" i="12"/>
  <c r="G2805" i="12" s="1"/>
  <c r="F2806" i="12"/>
  <c r="G2806" i="12" s="1"/>
  <c r="F2807" i="12"/>
  <c r="G2807" i="12" s="1"/>
  <c r="F2808" i="12"/>
  <c r="G2808" i="12" s="1"/>
  <c r="F2809" i="12"/>
  <c r="G2809" i="12" s="1"/>
  <c r="F2810" i="12"/>
  <c r="G2810" i="12" s="1"/>
  <c r="F2811" i="12"/>
  <c r="G2811" i="12" s="1"/>
  <c r="F2812" i="12"/>
  <c r="G2812" i="12" s="1"/>
  <c r="F2813" i="12"/>
  <c r="G2813" i="12" s="1"/>
  <c r="F2814" i="12"/>
  <c r="G2814" i="12" s="1"/>
  <c r="F2815" i="12"/>
  <c r="G2815" i="12" s="1"/>
  <c r="F2816" i="12"/>
  <c r="G2816" i="12" s="1"/>
  <c r="F2817" i="12"/>
  <c r="G2817" i="12" s="1"/>
  <c r="F2818" i="12"/>
  <c r="G2818" i="12" s="1"/>
  <c r="F2819" i="12"/>
  <c r="G2819" i="12" s="1"/>
  <c r="F2820" i="12"/>
  <c r="G2820" i="12" s="1"/>
  <c r="F2821" i="12"/>
  <c r="G2821" i="12" s="1"/>
  <c r="F2822" i="12"/>
  <c r="G2822" i="12" s="1"/>
  <c r="F2823" i="12"/>
  <c r="G2823" i="12" s="1"/>
  <c r="F2824" i="12"/>
  <c r="G2824" i="12" s="1"/>
  <c r="F2825" i="12"/>
  <c r="G2825" i="12" s="1"/>
  <c r="F2826" i="12"/>
  <c r="G2826" i="12" s="1"/>
  <c r="F2827" i="12"/>
  <c r="G2827" i="12" s="1"/>
  <c r="F2828" i="12"/>
  <c r="G2828" i="12" s="1"/>
  <c r="F2829" i="12"/>
  <c r="G2829" i="12" s="1"/>
  <c r="F2830" i="12"/>
  <c r="G2830" i="12" s="1"/>
  <c r="F2831" i="12"/>
  <c r="G2831" i="12" s="1"/>
  <c r="F2832" i="12"/>
  <c r="G2832" i="12" s="1"/>
  <c r="F2833" i="12"/>
  <c r="G2833" i="12" s="1"/>
  <c r="F2834" i="12"/>
  <c r="G2834" i="12" s="1"/>
  <c r="F2835" i="12"/>
  <c r="G2835" i="12" s="1"/>
  <c r="F2836" i="12"/>
  <c r="G2836" i="12" s="1"/>
  <c r="F2837" i="12"/>
  <c r="G2837" i="12" s="1"/>
  <c r="F2838" i="12"/>
  <c r="G2838" i="12" s="1"/>
  <c r="F2839" i="12"/>
  <c r="G2839" i="12" s="1"/>
  <c r="F2840" i="12"/>
  <c r="G2840" i="12" s="1"/>
  <c r="F2841" i="12"/>
  <c r="G2841" i="12" s="1"/>
  <c r="F2842" i="12"/>
  <c r="G2842" i="12" s="1"/>
  <c r="F2843" i="12"/>
  <c r="G2843" i="12" s="1"/>
  <c r="F2844" i="12"/>
  <c r="G2844" i="12" s="1"/>
  <c r="F2845" i="12"/>
  <c r="G2845" i="12" s="1"/>
  <c r="F2846" i="12"/>
  <c r="G2846" i="12" s="1"/>
  <c r="F2847" i="12"/>
  <c r="G2847" i="12" s="1"/>
  <c r="F2848" i="12"/>
  <c r="G2848" i="12" s="1"/>
  <c r="F2849" i="12"/>
  <c r="G2849" i="12" s="1"/>
  <c r="F2850" i="12"/>
  <c r="G2850" i="12" s="1"/>
  <c r="F2851" i="12"/>
  <c r="G2851" i="12" s="1"/>
  <c r="F2852" i="12"/>
  <c r="G2852" i="12" s="1"/>
  <c r="F2853" i="12"/>
  <c r="G2853" i="12" s="1"/>
  <c r="F2854" i="12"/>
  <c r="G2854" i="12" s="1"/>
  <c r="F2855" i="12"/>
  <c r="G2855" i="12" s="1"/>
  <c r="F2856" i="12"/>
  <c r="G2856" i="12" s="1"/>
  <c r="F2857" i="12"/>
  <c r="G2857" i="12" s="1"/>
  <c r="F2858" i="12"/>
  <c r="G2858" i="12" s="1"/>
  <c r="F2859" i="12"/>
  <c r="G2859" i="12" s="1"/>
  <c r="F2860" i="12"/>
  <c r="G2860" i="12" s="1"/>
  <c r="F2861" i="12"/>
  <c r="G2861" i="12" s="1"/>
  <c r="F2862" i="12"/>
  <c r="G2862" i="12" s="1"/>
  <c r="F2863" i="12"/>
  <c r="G2863" i="12" s="1"/>
  <c r="F2864" i="12"/>
  <c r="G2864" i="12" s="1"/>
  <c r="F2865" i="12"/>
  <c r="G2865" i="12" s="1"/>
  <c r="F2866" i="12"/>
  <c r="G2866" i="12" s="1"/>
  <c r="F2867" i="12"/>
  <c r="G2867" i="12" s="1"/>
  <c r="F2868" i="12"/>
  <c r="G2868" i="12" s="1"/>
  <c r="F2869" i="12"/>
  <c r="G2869" i="12" s="1"/>
  <c r="F2870" i="12"/>
  <c r="G2870" i="12" s="1"/>
  <c r="F2871" i="12"/>
  <c r="G2871" i="12" s="1"/>
  <c r="F2872" i="12"/>
  <c r="G2872" i="12" s="1"/>
  <c r="F2873" i="12"/>
  <c r="G2873" i="12" s="1"/>
  <c r="F2874" i="12"/>
  <c r="G2874" i="12" s="1"/>
  <c r="F2875" i="12"/>
  <c r="G2875" i="12" s="1"/>
  <c r="F2876" i="12"/>
  <c r="G2876" i="12" s="1"/>
  <c r="F2877" i="12"/>
  <c r="G2877" i="12" s="1"/>
  <c r="F2878" i="12"/>
  <c r="G2878" i="12" s="1"/>
  <c r="F2879" i="12"/>
  <c r="G2879" i="12" s="1"/>
  <c r="F2880" i="12"/>
  <c r="G2880" i="12" s="1"/>
  <c r="F2881" i="12"/>
  <c r="G2881" i="12" s="1"/>
  <c r="F2882" i="12"/>
  <c r="G2882" i="12" s="1"/>
  <c r="F2883" i="12"/>
  <c r="G2883" i="12" s="1"/>
  <c r="F2884" i="12"/>
  <c r="G2884" i="12" s="1"/>
  <c r="F2885" i="12"/>
  <c r="G2885" i="12" s="1"/>
  <c r="F2886" i="12"/>
  <c r="G2886" i="12" s="1"/>
  <c r="F2887" i="12"/>
  <c r="G2887" i="12" s="1"/>
  <c r="F2888" i="12"/>
  <c r="G2888" i="12" s="1"/>
  <c r="F2889" i="12"/>
  <c r="G2889" i="12" s="1"/>
  <c r="F2890" i="12"/>
  <c r="G2890" i="12" s="1"/>
  <c r="F2891" i="12"/>
  <c r="G2891" i="12" s="1"/>
  <c r="F2892" i="12"/>
  <c r="G2892" i="12" s="1"/>
  <c r="F2893" i="12"/>
  <c r="G2893" i="12" s="1"/>
  <c r="F2894" i="12"/>
  <c r="G2894" i="12" s="1"/>
  <c r="F2895" i="12"/>
  <c r="G2895" i="12" s="1"/>
  <c r="F2896" i="12"/>
  <c r="G2896" i="12" s="1"/>
  <c r="F2897" i="12"/>
  <c r="G2897" i="12" s="1"/>
  <c r="F2898" i="12"/>
  <c r="G2898" i="12" s="1"/>
  <c r="F2899" i="12"/>
  <c r="G2899" i="12" s="1"/>
  <c r="F2900" i="12"/>
  <c r="G2900" i="12" s="1"/>
  <c r="F2901" i="12"/>
  <c r="G2901" i="12" s="1"/>
  <c r="F2902" i="12"/>
  <c r="G2902" i="12" s="1"/>
  <c r="F2903" i="12"/>
  <c r="G2903" i="12" s="1"/>
  <c r="F2904" i="12"/>
  <c r="G2904" i="12" s="1"/>
  <c r="F2905" i="12"/>
  <c r="G2905" i="12" s="1"/>
  <c r="F2906" i="12"/>
  <c r="G2906" i="12" s="1"/>
  <c r="F2907" i="12"/>
  <c r="G2907" i="12" s="1"/>
  <c r="F2908" i="12"/>
  <c r="G2908" i="12" s="1"/>
  <c r="F2909" i="12"/>
  <c r="G2909" i="12" s="1"/>
  <c r="F2910" i="12"/>
  <c r="G2910" i="12" s="1"/>
  <c r="F2911" i="12"/>
  <c r="G2911" i="12" s="1"/>
  <c r="F2912" i="12"/>
  <c r="G2912" i="12" s="1"/>
  <c r="F2913" i="12"/>
  <c r="G2913" i="12" s="1"/>
  <c r="F2914" i="12"/>
  <c r="G2914" i="12" s="1"/>
  <c r="F2915" i="12"/>
  <c r="G2915" i="12" s="1"/>
  <c r="F2916" i="12"/>
  <c r="G2916" i="12" s="1"/>
  <c r="F2917" i="12"/>
  <c r="G2917" i="12" s="1"/>
  <c r="F2918" i="12"/>
  <c r="G2918" i="12" s="1"/>
  <c r="F2919" i="12"/>
  <c r="G2919" i="12" s="1"/>
  <c r="F2920" i="12"/>
  <c r="G2920" i="12" s="1"/>
  <c r="F2921" i="12"/>
  <c r="G2921" i="12" s="1"/>
  <c r="F2922" i="12"/>
  <c r="G2922" i="12" s="1"/>
  <c r="F2923" i="12"/>
  <c r="G2923" i="12" s="1"/>
  <c r="F2924" i="12"/>
  <c r="G2924" i="12" s="1"/>
  <c r="F2925" i="12"/>
  <c r="G2925" i="12" s="1"/>
  <c r="F2926" i="12"/>
  <c r="G2926" i="12" s="1"/>
  <c r="F2927" i="12"/>
  <c r="G2927" i="12" s="1"/>
  <c r="F2928" i="12"/>
  <c r="G2928" i="12" s="1"/>
  <c r="F2929" i="12"/>
  <c r="G2929" i="12" s="1"/>
  <c r="F2930" i="12"/>
  <c r="G2930" i="12" s="1"/>
  <c r="F2931" i="12"/>
  <c r="G2931" i="12" s="1"/>
  <c r="F2932" i="12"/>
  <c r="G2932" i="12" s="1"/>
  <c r="F2933" i="12"/>
  <c r="G2933" i="12" s="1"/>
  <c r="F2934" i="12"/>
  <c r="G2934" i="12" s="1"/>
  <c r="F2935" i="12"/>
  <c r="G2935" i="12" s="1"/>
  <c r="F2936" i="12"/>
  <c r="G2936" i="12" s="1"/>
  <c r="F2937" i="12"/>
  <c r="G2937" i="12" s="1"/>
  <c r="F2938" i="12"/>
  <c r="G2938" i="12" s="1"/>
  <c r="F2939" i="12"/>
  <c r="G2939" i="12" s="1"/>
  <c r="F2940" i="12"/>
  <c r="G2940" i="12" s="1"/>
  <c r="F2941" i="12"/>
  <c r="G2941" i="12" s="1"/>
  <c r="F2942" i="12"/>
  <c r="G2942" i="12" s="1"/>
  <c r="F2943" i="12"/>
  <c r="G2943" i="12" s="1"/>
  <c r="F2944" i="12"/>
  <c r="G2944" i="12" s="1"/>
  <c r="F2945" i="12"/>
  <c r="G2945" i="12" s="1"/>
  <c r="F2946" i="12"/>
  <c r="G2946" i="12" s="1"/>
  <c r="F2947" i="12"/>
  <c r="G2947" i="12" s="1"/>
  <c r="F2948" i="12"/>
  <c r="G2948" i="12" s="1"/>
  <c r="F2949" i="12"/>
  <c r="G2949" i="12" s="1"/>
  <c r="F2950" i="12"/>
  <c r="G2950" i="12" s="1"/>
  <c r="F2951" i="12"/>
  <c r="G2951" i="12" s="1"/>
  <c r="F2952" i="12"/>
  <c r="G2952" i="12" s="1"/>
  <c r="F2953" i="12"/>
  <c r="G2953" i="12" s="1"/>
  <c r="F2954" i="12"/>
  <c r="G2954" i="12" s="1"/>
  <c r="F2955" i="12"/>
  <c r="G2955" i="12" s="1"/>
  <c r="F2956" i="12"/>
  <c r="G2956" i="12" s="1"/>
  <c r="F2957" i="12"/>
  <c r="G2957" i="12" s="1"/>
  <c r="F2958" i="12"/>
  <c r="G2958" i="12" s="1"/>
  <c r="F2959" i="12"/>
  <c r="G2959" i="12" s="1"/>
  <c r="F2960" i="12"/>
  <c r="G2960" i="12" s="1"/>
  <c r="F2961" i="12"/>
  <c r="G2961" i="12" s="1"/>
  <c r="F2962" i="12"/>
  <c r="G2962" i="12" s="1"/>
  <c r="F2963" i="12"/>
  <c r="G2963" i="12" s="1"/>
  <c r="F2964" i="12"/>
  <c r="G2964" i="12" s="1"/>
  <c r="F2965" i="12"/>
  <c r="G2965" i="12" s="1"/>
  <c r="F2966" i="12"/>
  <c r="G2966" i="12" s="1"/>
  <c r="F2967" i="12"/>
  <c r="G2967" i="12" s="1"/>
  <c r="F2968" i="12"/>
  <c r="G2968" i="12" s="1"/>
  <c r="F2969" i="12"/>
  <c r="G2969" i="12" s="1"/>
  <c r="F2970" i="12"/>
  <c r="G2970" i="12" s="1"/>
  <c r="F2971" i="12"/>
  <c r="G2971" i="12" s="1"/>
  <c r="F2972" i="12"/>
  <c r="G2972" i="12" s="1"/>
  <c r="F2973" i="12"/>
  <c r="G2973" i="12" s="1"/>
  <c r="F2974" i="12"/>
  <c r="G2974" i="12" s="1"/>
  <c r="F2975" i="12"/>
  <c r="G2975" i="12" s="1"/>
  <c r="F2976" i="12"/>
  <c r="G2976" i="12" s="1"/>
  <c r="F2977" i="12"/>
  <c r="G2977" i="12" s="1"/>
  <c r="F2978" i="12"/>
  <c r="G2978" i="12" s="1"/>
  <c r="F2979" i="12"/>
  <c r="G2979" i="12" s="1"/>
  <c r="F2980" i="12"/>
  <c r="G2980" i="12" s="1"/>
  <c r="F2981" i="12"/>
  <c r="G2981" i="12" s="1"/>
  <c r="F2982" i="12"/>
  <c r="G2982" i="12" s="1"/>
  <c r="F2983" i="12"/>
  <c r="G2983" i="12" s="1"/>
  <c r="F2984" i="12"/>
  <c r="G2984" i="12" s="1"/>
  <c r="F2985" i="12"/>
  <c r="G2985" i="12" s="1"/>
  <c r="F2986" i="12"/>
  <c r="G2986" i="12" s="1"/>
  <c r="F2987" i="12"/>
  <c r="G2987" i="12" s="1"/>
  <c r="F2988" i="12"/>
  <c r="G2988" i="12" s="1"/>
  <c r="F2989" i="12"/>
  <c r="G2989" i="12" s="1"/>
  <c r="F2990" i="12"/>
  <c r="G2990" i="12" s="1"/>
  <c r="F2991" i="12"/>
  <c r="G2991" i="12" s="1"/>
  <c r="F2992" i="12"/>
  <c r="G2992" i="12" s="1"/>
  <c r="F2993" i="12"/>
  <c r="G2993" i="12" s="1"/>
  <c r="F2994" i="12"/>
  <c r="G2994" i="12" s="1"/>
  <c r="F2995" i="12"/>
  <c r="G2995" i="12" s="1"/>
  <c r="F2996" i="12"/>
  <c r="G2996" i="12" s="1"/>
  <c r="F2997" i="12"/>
  <c r="G2997" i="12" s="1"/>
  <c r="F2998" i="12"/>
  <c r="G2998" i="12" s="1"/>
  <c r="F2999" i="12"/>
  <c r="G2999" i="12" s="1"/>
  <c r="F3000" i="12"/>
  <c r="G3000" i="12" s="1"/>
  <c r="F3001" i="12"/>
  <c r="G3001" i="12" s="1"/>
  <c r="F3002" i="12"/>
  <c r="G3002" i="12" s="1"/>
  <c r="F3003" i="12"/>
  <c r="G3003" i="12" s="1"/>
  <c r="F3004" i="12"/>
  <c r="G3004" i="12" s="1"/>
  <c r="F3005" i="12"/>
  <c r="G3005" i="12" s="1"/>
  <c r="F3006" i="12"/>
  <c r="G3006" i="12" s="1"/>
  <c r="F3007" i="12"/>
  <c r="G3007" i="12" s="1"/>
  <c r="F3008" i="12"/>
  <c r="G3008" i="12" s="1"/>
  <c r="F3009" i="12"/>
  <c r="G3009" i="12" s="1"/>
  <c r="F3010" i="12"/>
  <c r="G3010" i="12" s="1"/>
  <c r="F3011" i="12"/>
  <c r="G3011" i="12" s="1"/>
  <c r="F3012" i="12"/>
  <c r="G3012" i="12" s="1"/>
  <c r="F3013" i="12"/>
  <c r="G3013" i="12" s="1"/>
  <c r="F3014" i="12"/>
  <c r="G3014" i="12" s="1"/>
  <c r="F3015" i="12"/>
  <c r="G3015" i="12" s="1"/>
  <c r="F3016" i="12"/>
  <c r="G3016" i="12" s="1"/>
  <c r="F3017" i="12"/>
  <c r="G3017" i="12" s="1"/>
  <c r="F3018" i="12"/>
  <c r="G3018" i="12" s="1"/>
  <c r="F3019" i="12"/>
  <c r="G3019" i="12" s="1"/>
  <c r="F3020" i="12"/>
  <c r="G3020" i="12" s="1"/>
  <c r="F3021" i="12"/>
  <c r="G3021" i="12" s="1"/>
  <c r="F3022" i="12"/>
  <c r="G3022" i="12" s="1"/>
  <c r="F3023" i="12"/>
  <c r="G3023" i="12" s="1"/>
  <c r="F3024" i="12"/>
  <c r="G3024" i="12" s="1"/>
  <c r="F3025" i="12"/>
  <c r="G3025" i="12" s="1"/>
  <c r="F3026" i="12"/>
  <c r="G3026" i="12" s="1"/>
  <c r="F3027" i="12"/>
  <c r="G3027" i="12" s="1"/>
  <c r="F3028" i="12"/>
  <c r="G3028" i="12" s="1"/>
  <c r="F3029" i="12"/>
  <c r="G3029" i="12" s="1"/>
  <c r="F3030" i="12"/>
  <c r="G3030" i="12" s="1"/>
  <c r="F3031" i="12"/>
  <c r="G3031" i="12" s="1"/>
  <c r="F3032" i="12"/>
  <c r="G3032" i="12" s="1"/>
  <c r="F3033" i="12"/>
  <c r="G3033" i="12" s="1"/>
  <c r="F3034" i="12"/>
  <c r="G3034" i="12" s="1"/>
  <c r="F3035" i="12"/>
  <c r="G3035" i="12" s="1"/>
  <c r="F3036" i="12"/>
  <c r="G3036" i="12" s="1"/>
  <c r="F3037" i="12"/>
  <c r="G3037" i="12" s="1"/>
  <c r="F3038" i="12"/>
  <c r="G3038" i="12" s="1"/>
  <c r="F3039" i="12"/>
  <c r="G3039" i="12" s="1"/>
  <c r="F3040" i="12"/>
  <c r="G3040" i="12" s="1"/>
  <c r="F3041" i="12"/>
  <c r="G3041" i="12" s="1"/>
  <c r="F3042" i="12"/>
  <c r="G3042" i="12" s="1"/>
  <c r="F3043" i="12"/>
  <c r="G3043" i="12" s="1"/>
  <c r="F3044" i="12"/>
  <c r="G3044" i="12" s="1"/>
  <c r="F3045" i="12"/>
  <c r="G3045" i="12" s="1"/>
  <c r="F3046" i="12"/>
  <c r="G3046" i="12" s="1"/>
  <c r="F3047" i="12"/>
  <c r="G3047" i="12" s="1"/>
  <c r="F3048" i="12"/>
  <c r="G3048" i="12" s="1"/>
  <c r="F3049" i="12"/>
  <c r="G3049" i="12" s="1"/>
  <c r="F3050" i="12"/>
  <c r="G3050" i="12" s="1"/>
  <c r="F3051" i="12"/>
  <c r="G3051" i="12" s="1"/>
  <c r="F3052" i="12"/>
  <c r="G3052" i="12" s="1"/>
  <c r="F3053" i="12"/>
  <c r="G3053" i="12" s="1"/>
  <c r="F3054" i="12"/>
  <c r="G3054" i="12" s="1"/>
  <c r="F3055" i="12"/>
  <c r="G3055" i="12" s="1"/>
  <c r="F3056" i="12"/>
  <c r="G3056" i="12" s="1"/>
  <c r="F3057" i="12"/>
  <c r="G3057" i="12" s="1"/>
  <c r="F3058" i="12"/>
  <c r="G3058" i="12" s="1"/>
  <c r="F3059" i="12"/>
  <c r="G3059" i="12" s="1"/>
  <c r="F3060" i="12"/>
  <c r="G3060" i="12" s="1"/>
  <c r="F3061" i="12"/>
  <c r="G3061" i="12" s="1"/>
  <c r="F3062" i="12"/>
  <c r="G3062" i="12" s="1"/>
  <c r="F3063" i="12"/>
  <c r="G3063" i="12" s="1"/>
  <c r="F3064" i="12"/>
  <c r="G3064" i="12" s="1"/>
  <c r="F3065" i="12"/>
  <c r="G3065" i="12" s="1"/>
  <c r="F3066" i="12"/>
  <c r="G3066" i="12" s="1"/>
  <c r="F3067" i="12"/>
  <c r="G3067" i="12" s="1"/>
  <c r="F3068" i="12"/>
  <c r="G3068" i="12" s="1"/>
  <c r="F3069" i="12"/>
  <c r="G3069" i="12" s="1"/>
  <c r="F3070" i="12"/>
  <c r="G3070" i="12" s="1"/>
  <c r="F3071" i="12"/>
  <c r="G3071" i="12" s="1"/>
  <c r="F3072" i="12"/>
  <c r="G3072" i="12" s="1"/>
  <c r="F3073" i="12"/>
  <c r="G3073" i="12" s="1"/>
  <c r="F3074" i="12"/>
  <c r="G3074" i="12" s="1"/>
  <c r="F3075" i="12"/>
  <c r="G3075" i="12" s="1"/>
  <c r="F3076" i="12"/>
  <c r="G3076" i="12" s="1"/>
  <c r="F3077" i="12"/>
  <c r="G3077" i="12" s="1"/>
  <c r="F3078" i="12"/>
  <c r="G3078" i="12" s="1"/>
  <c r="F3079" i="12"/>
  <c r="G3079" i="12" s="1"/>
  <c r="F3080" i="12"/>
  <c r="G3080" i="12" s="1"/>
  <c r="F3081" i="12"/>
  <c r="G3081" i="12" s="1"/>
  <c r="F3082" i="12"/>
  <c r="G3082" i="12" s="1"/>
  <c r="F3083" i="12"/>
  <c r="G3083" i="12" s="1"/>
  <c r="F3084" i="12"/>
  <c r="G3084" i="12" s="1"/>
  <c r="F3085" i="12"/>
  <c r="G3085" i="12" s="1"/>
  <c r="F3086" i="12"/>
  <c r="G3086" i="12" s="1"/>
  <c r="F3087" i="12"/>
  <c r="G3087" i="12" s="1"/>
  <c r="F3088" i="12"/>
  <c r="G3088" i="12" s="1"/>
  <c r="F3089" i="12"/>
  <c r="G3089" i="12" s="1"/>
  <c r="F3090" i="12"/>
  <c r="G3090" i="12" s="1"/>
  <c r="F3091" i="12"/>
  <c r="G3091" i="12" s="1"/>
  <c r="F3092" i="12"/>
  <c r="G3092" i="12" s="1"/>
  <c r="F3093" i="12"/>
  <c r="G3093" i="12" s="1"/>
  <c r="F3094" i="12"/>
  <c r="G3094" i="12" s="1"/>
  <c r="F3095" i="12"/>
  <c r="G3095" i="12" s="1"/>
  <c r="F3096" i="12"/>
  <c r="G3096" i="12" s="1"/>
  <c r="F3097" i="12"/>
  <c r="G3097" i="12" s="1"/>
  <c r="F3098" i="12"/>
  <c r="G3098" i="12" s="1"/>
  <c r="F3099" i="12"/>
  <c r="G3099" i="12" s="1"/>
  <c r="F3100" i="12"/>
  <c r="G3100" i="12" s="1"/>
  <c r="F3101" i="12"/>
  <c r="G3101" i="12" s="1"/>
  <c r="F3102" i="12"/>
  <c r="G3102" i="12" s="1"/>
  <c r="F3103" i="12"/>
  <c r="G3103" i="12" s="1"/>
  <c r="F3104" i="12"/>
  <c r="G3104" i="12" s="1"/>
  <c r="F3105" i="12"/>
  <c r="G3105" i="12" s="1"/>
  <c r="F3106" i="12"/>
  <c r="G3106" i="12" s="1"/>
  <c r="F3107" i="12"/>
  <c r="G3107" i="12" s="1"/>
  <c r="F3108" i="12"/>
  <c r="G3108" i="12" s="1"/>
  <c r="F3109" i="12"/>
  <c r="G3109" i="12" s="1"/>
  <c r="F3110" i="12"/>
  <c r="G3110" i="12" s="1"/>
  <c r="F3111" i="12"/>
  <c r="G3111" i="12" s="1"/>
  <c r="F3112" i="12"/>
  <c r="G3112" i="12" s="1"/>
  <c r="F3113" i="12"/>
  <c r="G3113" i="12" s="1"/>
  <c r="F3114" i="12"/>
  <c r="G3114" i="12" s="1"/>
  <c r="F3115" i="12"/>
  <c r="G3115" i="12" s="1"/>
  <c r="F3116" i="12"/>
  <c r="G3116" i="12" s="1"/>
  <c r="F3117" i="12"/>
  <c r="G3117" i="12" s="1"/>
  <c r="F3118" i="12"/>
  <c r="G3118" i="12" s="1"/>
  <c r="F3119" i="12"/>
  <c r="G3119" i="12" s="1"/>
  <c r="F3120" i="12"/>
  <c r="G3120" i="12" s="1"/>
  <c r="F3121" i="12"/>
  <c r="G3121" i="12" s="1"/>
  <c r="F3122" i="12"/>
  <c r="G3122" i="12" s="1"/>
  <c r="F3123" i="12"/>
  <c r="G3123" i="12" s="1"/>
  <c r="F3124" i="12"/>
  <c r="G3124" i="12" s="1"/>
  <c r="F3125" i="12"/>
  <c r="G3125" i="12" s="1"/>
  <c r="F3126" i="12"/>
  <c r="G3126" i="12" s="1"/>
  <c r="F3127" i="12"/>
  <c r="G3127" i="12" s="1"/>
  <c r="F3128" i="12"/>
  <c r="G3128" i="12" s="1"/>
  <c r="F3129" i="12"/>
  <c r="G3129" i="12" s="1"/>
  <c r="F3130" i="12"/>
  <c r="G3130" i="12" s="1"/>
  <c r="F3131" i="12"/>
  <c r="G3131" i="12" s="1"/>
  <c r="F3132" i="12"/>
  <c r="G3132" i="12" s="1"/>
  <c r="F3133" i="12"/>
  <c r="G3133" i="12" s="1"/>
  <c r="F3134" i="12"/>
  <c r="G3134" i="12" s="1"/>
  <c r="F3135" i="12"/>
  <c r="G3135" i="12" s="1"/>
  <c r="F3136" i="12"/>
  <c r="G3136" i="12" s="1"/>
  <c r="F3137" i="12"/>
  <c r="G3137" i="12" s="1"/>
  <c r="F3138" i="12"/>
  <c r="G3138" i="12" s="1"/>
  <c r="F3139" i="12"/>
  <c r="G3139" i="12" s="1"/>
  <c r="F3140" i="12"/>
  <c r="G3140" i="12" s="1"/>
  <c r="F3141" i="12"/>
  <c r="G3141" i="12" s="1"/>
  <c r="F3142" i="12"/>
  <c r="G3142" i="12" s="1"/>
  <c r="F3143" i="12"/>
  <c r="G3143" i="12" s="1"/>
  <c r="F3144" i="12"/>
  <c r="G3144" i="12" s="1"/>
  <c r="F3145" i="12"/>
  <c r="G3145" i="12" s="1"/>
  <c r="F3146" i="12"/>
  <c r="G3146" i="12" s="1"/>
  <c r="F3147" i="12"/>
  <c r="G3147" i="12" s="1"/>
  <c r="F3148" i="12"/>
  <c r="G3148" i="12" s="1"/>
  <c r="F3149" i="12"/>
  <c r="G3149" i="12" s="1"/>
  <c r="F3150" i="12"/>
  <c r="G3150" i="12" s="1"/>
  <c r="F3151" i="12"/>
  <c r="G3151" i="12" s="1"/>
  <c r="F3152" i="12"/>
  <c r="G3152" i="12" s="1"/>
  <c r="F3153" i="12"/>
  <c r="G3153" i="12" s="1"/>
  <c r="F3154" i="12"/>
  <c r="G3154" i="12" s="1"/>
  <c r="F3155" i="12"/>
  <c r="G3155" i="12" s="1"/>
  <c r="F3156" i="12"/>
  <c r="G3156" i="12" s="1"/>
  <c r="F3157" i="12"/>
  <c r="G3157" i="12" s="1"/>
  <c r="F3158" i="12"/>
  <c r="G3158" i="12" s="1"/>
  <c r="F3159" i="12"/>
  <c r="G3159" i="12" s="1"/>
  <c r="F3160" i="12"/>
  <c r="G3160" i="12" s="1"/>
  <c r="F3161" i="12"/>
  <c r="G3161" i="12" s="1"/>
  <c r="F3162" i="12"/>
  <c r="G3162" i="12" s="1"/>
  <c r="F3163" i="12"/>
  <c r="G3163" i="12" s="1"/>
  <c r="F3164" i="12"/>
  <c r="G3164" i="12" s="1"/>
  <c r="F3165" i="12"/>
  <c r="G3165" i="12" s="1"/>
  <c r="F3166" i="12"/>
  <c r="G3166" i="12" s="1"/>
  <c r="F3167" i="12"/>
  <c r="G3167" i="12" s="1"/>
  <c r="F3168" i="12"/>
  <c r="G3168" i="12" s="1"/>
  <c r="F3169" i="12"/>
  <c r="G3169" i="12" s="1"/>
  <c r="F3170" i="12"/>
  <c r="G3170" i="12" s="1"/>
  <c r="F3171" i="12"/>
  <c r="G3171" i="12" s="1"/>
  <c r="F3172" i="12"/>
  <c r="G3172" i="12" s="1"/>
  <c r="F3173" i="12"/>
  <c r="G3173" i="12" s="1"/>
  <c r="F3174" i="12"/>
  <c r="G3174" i="12" s="1"/>
  <c r="F3175" i="12"/>
  <c r="G3175" i="12" s="1"/>
  <c r="F3176" i="12"/>
  <c r="G3176" i="12" s="1"/>
  <c r="F3177" i="12"/>
  <c r="G3177" i="12" s="1"/>
  <c r="F3178" i="12"/>
  <c r="G3178" i="12" s="1"/>
  <c r="F3179" i="12"/>
  <c r="G3179" i="12" s="1"/>
  <c r="F3180" i="12"/>
  <c r="G3180" i="12" s="1"/>
  <c r="F3181" i="12"/>
  <c r="G3181" i="12" s="1"/>
  <c r="F3182" i="12"/>
  <c r="G3182" i="12" s="1"/>
  <c r="F3183" i="12"/>
  <c r="G3183" i="12" s="1"/>
  <c r="F3184" i="12"/>
  <c r="G3184" i="12" s="1"/>
  <c r="F3185" i="12"/>
  <c r="G3185" i="12" s="1"/>
  <c r="F3186" i="12"/>
  <c r="G3186" i="12" s="1"/>
  <c r="F3187" i="12"/>
  <c r="G3187" i="12" s="1"/>
  <c r="F3188" i="12"/>
  <c r="G3188" i="12" s="1"/>
  <c r="F3189" i="12"/>
  <c r="G3189" i="12" s="1"/>
  <c r="F3190" i="12"/>
  <c r="G3190" i="12" s="1"/>
  <c r="F3191" i="12"/>
  <c r="G3191" i="12" s="1"/>
  <c r="F3192" i="12"/>
  <c r="G3192" i="12" s="1"/>
  <c r="F3193" i="12"/>
  <c r="G3193" i="12" s="1"/>
  <c r="F3194" i="12"/>
  <c r="G3194" i="12" s="1"/>
  <c r="F3195" i="12"/>
  <c r="G3195" i="12" s="1"/>
  <c r="F3196" i="12"/>
  <c r="G3196" i="12" s="1"/>
  <c r="F3197" i="12"/>
  <c r="G3197" i="12" s="1"/>
  <c r="F3198" i="12"/>
  <c r="G3198" i="12" s="1"/>
  <c r="F3199" i="12"/>
  <c r="G3199" i="12" s="1"/>
  <c r="F3200" i="12"/>
  <c r="G3200" i="12" s="1"/>
  <c r="F3201" i="12"/>
  <c r="G3201" i="12" s="1"/>
  <c r="F3202" i="12"/>
  <c r="G3202" i="12" s="1"/>
  <c r="F3203" i="12"/>
  <c r="G3203" i="12" s="1"/>
  <c r="F3204" i="12"/>
  <c r="G3204" i="12" s="1"/>
  <c r="F3205" i="12"/>
  <c r="G3205" i="12" s="1"/>
  <c r="F3206" i="12"/>
  <c r="G3206" i="12" s="1"/>
  <c r="F3207" i="12"/>
  <c r="G3207" i="12" s="1"/>
  <c r="F3208" i="12"/>
  <c r="G3208" i="12" s="1"/>
  <c r="F3209" i="12"/>
  <c r="G3209" i="12" s="1"/>
  <c r="F3210" i="12"/>
  <c r="G3210" i="12" s="1"/>
  <c r="F3211" i="12"/>
  <c r="G3211" i="12" s="1"/>
  <c r="F3212" i="12"/>
  <c r="G3212" i="12" s="1"/>
  <c r="F3213" i="12"/>
  <c r="G3213" i="12" s="1"/>
  <c r="F3214" i="12"/>
  <c r="G3214" i="12" s="1"/>
  <c r="F3215" i="12"/>
  <c r="G3215" i="12" s="1"/>
  <c r="F3216" i="12"/>
  <c r="G3216" i="12" s="1"/>
  <c r="F3217" i="12"/>
  <c r="G3217" i="12" s="1"/>
  <c r="F3218" i="12"/>
  <c r="G3218" i="12" s="1"/>
  <c r="F3219" i="12"/>
  <c r="G3219" i="12" s="1"/>
  <c r="F3220" i="12"/>
  <c r="G3220" i="12" s="1"/>
  <c r="F3221" i="12"/>
  <c r="G3221" i="12" s="1"/>
  <c r="F3222" i="12"/>
  <c r="G3222" i="12" s="1"/>
  <c r="F3223" i="12"/>
  <c r="G3223" i="12" s="1"/>
  <c r="F3224" i="12"/>
  <c r="G3224" i="12" s="1"/>
  <c r="F3225" i="12"/>
  <c r="G3225" i="12" s="1"/>
  <c r="F3226" i="12"/>
  <c r="G3226" i="12" s="1"/>
  <c r="F3227" i="12"/>
  <c r="G3227" i="12" s="1"/>
  <c r="F3228" i="12"/>
  <c r="G3228" i="12" s="1"/>
  <c r="F3229" i="12"/>
  <c r="G3229" i="12" s="1"/>
  <c r="F3230" i="12"/>
  <c r="G3230" i="12" s="1"/>
  <c r="F3231" i="12"/>
  <c r="G3231" i="12" s="1"/>
  <c r="F3232" i="12"/>
  <c r="G3232" i="12" s="1"/>
  <c r="F3233" i="12"/>
  <c r="G3233" i="12" s="1"/>
  <c r="F3234" i="12"/>
  <c r="G3234" i="12" s="1"/>
  <c r="F3235" i="12"/>
  <c r="G3235" i="12" s="1"/>
  <c r="F3236" i="12"/>
  <c r="G3236" i="12" s="1"/>
  <c r="F3237" i="12"/>
  <c r="G3237" i="12" s="1"/>
  <c r="F3238" i="12"/>
  <c r="G3238" i="12" s="1"/>
  <c r="F3239" i="12"/>
  <c r="G3239" i="12" s="1"/>
  <c r="F3240" i="12"/>
  <c r="G3240" i="12" s="1"/>
  <c r="F3241" i="12"/>
  <c r="G3241" i="12" s="1"/>
  <c r="F3242" i="12"/>
  <c r="G3242" i="12" s="1"/>
  <c r="F3243" i="12"/>
  <c r="G3243" i="12" s="1"/>
  <c r="F3244" i="12"/>
  <c r="G3244" i="12" s="1"/>
  <c r="F3245" i="12"/>
  <c r="G3245" i="12" s="1"/>
  <c r="F3246" i="12"/>
  <c r="G3246" i="12" s="1"/>
  <c r="F3247" i="12"/>
  <c r="G3247" i="12" s="1"/>
  <c r="F3248" i="12"/>
  <c r="G3248" i="12" s="1"/>
  <c r="F3249" i="12"/>
  <c r="G3249" i="12" s="1"/>
  <c r="F3250" i="12"/>
  <c r="G3250" i="12" s="1"/>
  <c r="F3251" i="12"/>
  <c r="G3251" i="12" s="1"/>
  <c r="F3252" i="12"/>
  <c r="G3252" i="12" s="1"/>
  <c r="F3253" i="12"/>
  <c r="G3253" i="12" s="1"/>
  <c r="F3254" i="12"/>
  <c r="G3254" i="12" s="1"/>
  <c r="F3255" i="12"/>
  <c r="G3255" i="12" s="1"/>
  <c r="F3256" i="12"/>
  <c r="G3256" i="12" s="1"/>
  <c r="F3257" i="12"/>
  <c r="G3257" i="12" s="1"/>
  <c r="F3258" i="12"/>
  <c r="G3258" i="12" s="1"/>
  <c r="F3259" i="12"/>
  <c r="G3259" i="12" s="1"/>
  <c r="F3260" i="12"/>
  <c r="G3260" i="12" s="1"/>
  <c r="F3261" i="12"/>
  <c r="G3261" i="12" s="1"/>
  <c r="F3262" i="12"/>
  <c r="G3262" i="12" s="1"/>
  <c r="F3263" i="12"/>
  <c r="G3263" i="12" s="1"/>
  <c r="F3264" i="12"/>
  <c r="G3264" i="12" s="1"/>
  <c r="F3265" i="12"/>
  <c r="G3265" i="12" s="1"/>
  <c r="F3266" i="12"/>
  <c r="G3266" i="12" s="1"/>
  <c r="F3267" i="12"/>
  <c r="G3267" i="12" s="1"/>
  <c r="F3268" i="12"/>
  <c r="G3268" i="12" s="1"/>
  <c r="F3269" i="12"/>
  <c r="G3269" i="12" s="1"/>
  <c r="F3270" i="12"/>
  <c r="G3270" i="12" s="1"/>
  <c r="F3271" i="12"/>
  <c r="G3271" i="12" s="1"/>
  <c r="F3272" i="12"/>
  <c r="G3272" i="12" s="1"/>
  <c r="F3273" i="12"/>
  <c r="G3273" i="12" s="1"/>
  <c r="F3274" i="12"/>
  <c r="G3274" i="12" s="1"/>
  <c r="F3275" i="12"/>
  <c r="G3275" i="12" s="1"/>
  <c r="F3276" i="12"/>
  <c r="G3276" i="12" s="1"/>
  <c r="F3277" i="12"/>
  <c r="G3277" i="12" s="1"/>
  <c r="F3278" i="12"/>
  <c r="G3278" i="12" s="1"/>
  <c r="F3279" i="12"/>
  <c r="G3279" i="12" s="1"/>
  <c r="F3280" i="12"/>
  <c r="G3280" i="12" s="1"/>
  <c r="F3281" i="12"/>
  <c r="G3281" i="12" s="1"/>
  <c r="F3282" i="12"/>
  <c r="G3282" i="12" s="1"/>
  <c r="F3283" i="12"/>
  <c r="G3283" i="12" s="1"/>
  <c r="F3284" i="12"/>
  <c r="G3284" i="12" s="1"/>
  <c r="F3285" i="12"/>
  <c r="G3285" i="12" s="1"/>
  <c r="F3286" i="12"/>
  <c r="G3286" i="12" s="1"/>
  <c r="F3287" i="12"/>
  <c r="G3287" i="12" s="1"/>
  <c r="F3288" i="12"/>
  <c r="G3288" i="12" s="1"/>
  <c r="F3289" i="12"/>
  <c r="G3289" i="12" s="1"/>
  <c r="F3290" i="12"/>
  <c r="G3290" i="12" s="1"/>
  <c r="F3291" i="12"/>
  <c r="G3291" i="12" s="1"/>
  <c r="F3292" i="12"/>
  <c r="G3292" i="12" s="1"/>
  <c r="F3293" i="12"/>
  <c r="G3293" i="12" s="1"/>
  <c r="F3294" i="12"/>
  <c r="G3294" i="12" s="1"/>
  <c r="F3295" i="12"/>
  <c r="G3295" i="12" s="1"/>
  <c r="F3296" i="12"/>
  <c r="G3296" i="12" s="1"/>
  <c r="F3297" i="12"/>
  <c r="G3297" i="12" s="1"/>
  <c r="F3298" i="12"/>
  <c r="G3298" i="12" s="1"/>
  <c r="F3299" i="12"/>
  <c r="G3299" i="12" s="1"/>
  <c r="F3300" i="12"/>
  <c r="G3300" i="12" s="1"/>
  <c r="F3301" i="12"/>
  <c r="G3301" i="12" s="1"/>
  <c r="F3302" i="12"/>
  <c r="G3302" i="12" s="1"/>
  <c r="F3303" i="12"/>
  <c r="G3303" i="12" s="1"/>
  <c r="F3304" i="12"/>
  <c r="G3304" i="12" s="1"/>
  <c r="F3305" i="12"/>
  <c r="G3305" i="12" s="1"/>
  <c r="F3306" i="12"/>
  <c r="G3306" i="12" s="1"/>
  <c r="F3307" i="12"/>
  <c r="G3307" i="12" s="1"/>
  <c r="F3308" i="12"/>
  <c r="G3308" i="12" s="1"/>
  <c r="F3309" i="12"/>
  <c r="G3309" i="12" s="1"/>
  <c r="F3310" i="12"/>
  <c r="G3310" i="12" s="1"/>
  <c r="F3311" i="12"/>
  <c r="G3311" i="12" s="1"/>
  <c r="F3312" i="12"/>
  <c r="G3312" i="12" s="1"/>
  <c r="F3313" i="12"/>
  <c r="G3313" i="12" s="1"/>
  <c r="F3314" i="12"/>
  <c r="G3314" i="12" s="1"/>
  <c r="F3315" i="12"/>
  <c r="G3315" i="12" s="1"/>
  <c r="F3316" i="12"/>
  <c r="G3316" i="12" s="1"/>
  <c r="F3317" i="12"/>
  <c r="G3317" i="12" s="1"/>
  <c r="F3318" i="12"/>
  <c r="G3318" i="12" s="1"/>
  <c r="F3319" i="12"/>
  <c r="G3319" i="12" s="1"/>
  <c r="F3320" i="12"/>
  <c r="G3320" i="12" s="1"/>
  <c r="F3321" i="12"/>
  <c r="G3321" i="12" s="1"/>
  <c r="F3322" i="12"/>
  <c r="G3322" i="12" s="1"/>
  <c r="F3323" i="12"/>
  <c r="G3323" i="12" s="1"/>
  <c r="F3324" i="12"/>
  <c r="G3324" i="12" s="1"/>
  <c r="F3325" i="12"/>
  <c r="G3325" i="12" s="1"/>
  <c r="F3326" i="12"/>
  <c r="G3326" i="12" s="1"/>
  <c r="F3327" i="12"/>
  <c r="G3327" i="12" s="1"/>
  <c r="F3328" i="12"/>
  <c r="G3328" i="12" s="1"/>
  <c r="F3329" i="12"/>
  <c r="G3329" i="12" s="1"/>
  <c r="F3330" i="12"/>
  <c r="G3330" i="12" s="1"/>
  <c r="F3331" i="12"/>
  <c r="G3331" i="12" s="1"/>
  <c r="F3332" i="12"/>
  <c r="G3332" i="12" s="1"/>
  <c r="F3333" i="12"/>
  <c r="G3333" i="12" s="1"/>
  <c r="F3334" i="12"/>
  <c r="G3334" i="12" s="1"/>
  <c r="F3335" i="12"/>
  <c r="G3335" i="12" s="1"/>
  <c r="F3336" i="12"/>
  <c r="G3336" i="12" s="1"/>
  <c r="F3337" i="12"/>
  <c r="G3337" i="12" s="1"/>
  <c r="F3338" i="12"/>
  <c r="G3338" i="12" s="1"/>
  <c r="F3339" i="12"/>
  <c r="G3339" i="12" s="1"/>
  <c r="F3340" i="12"/>
  <c r="G3340" i="12" s="1"/>
  <c r="F3341" i="12"/>
  <c r="G3341" i="12" s="1"/>
  <c r="F3342" i="12"/>
  <c r="G3342" i="12" s="1"/>
  <c r="F3343" i="12"/>
  <c r="G3343" i="12" s="1"/>
  <c r="F3344" i="12"/>
  <c r="G3344" i="12" s="1"/>
  <c r="F3345" i="12"/>
  <c r="G3345" i="12" s="1"/>
  <c r="F3346" i="12"/>
  <c r="G3346" i="12" s="1"/>
  <c r="F3347" i="12"/>
  <c r="G3347" i="12" s="1"/>
  <c r="F3348" i="12"/>
  <c r="G3348" i="12" s="1"/>
  <c r="F3349" i="12"/>
  <c r="G3349" i="12" s="1"/>
  <c r="F3350" i="12"/>
  <c r="G3350" i="12" s="1"/>
  <c r="F3351" i="12"/>
  <c r="G3351" i="12" s="1"/>
  <c r="F3352" i="12"/>
  <c r="G3352" i="12" s="1"/>
  <c r="F3353" i="12"/>
  <c r="G3353" i="12" s="1"/>
  <c r="F3354" i="12"/>
  <c r="G3354" i="12" s="1"/>
  <c r="F3355" i="12"/>
  <c r="G3355" i="12" s="1"/>
  <c r="F3356" i="12"/>
  <c r="G3356" i="12" s="1"/>
  <c r="F3357" i="12"/>
  <c r="G3357" i="12" s="1"/>
  <c r="F3358" i="12"/>
  <c r="G3358" i="12" s="1"/>
  <c r="F3359" i="12"/>
  <c r="G3359" i="12" s="1"/>
  <c r="F3360" i="12"/>
  <c r="G3360" i="12" s="1"/>
  <c r="F3361" i="12"/>
  <c r="G3361" i="12" s="1"/>
  <c r="F3362" i="12"/>
  <c r="G3362" i="12" s="1"/>
  <c r="F3363" i="12"/>
  <c r="G3363" i="12" s="1"/>
  <c r="F3364" i="12"/>
  <c r="G3364" i="12" s="1"/>
  <c r="F3365" i="12"/>
  <c r="G3365" i="12" s="1"/>
  <c r="F3366" i="12"/>
  <c r="G3366" i="12" s="1"/>
  <c r="F3367" i="12"/>
  <c r="G3367" i="12" s="1"/>
  <c r="F3368" i="12"/>
  <c r="G3368" i="12" s="1"/>
  <c r="F3369" i="12"/>
  <c r="G3369" i="12" s="1"/>
  <c r="F3370" i="12"/>
  <c r="G3370" i="12" s="1"/>
  <c r="F3371" i="12"/>
  <c r="G3371" i="12" s="1"/>
  <c r="F3372" i="12"/>
  <c r="G3372" i="12" s="1"/>
  <c r="F3373" i="12"/>
  <c r="G3373" i="12" s="1"/>
  <c r="F3374" i="12"/>
  <c r="G3374" i="12" s="1"/>
  <c r="F3375" i="12"/>
  <c r="G3375" i="12" s="1"/>
  <c r="F3376" i="12"/>
  <c r="G3376" i="12" s="1"/>
  <c r="F3377" i="12"/>
  <c r="G3377" i="12" s="1"/>
  <c r="F3378" i="12"/>
  <c r="G3378" i="12" s="1"/>
  <c r="F3379" i="12"/>
  <c r="G3379" i="12" s="1"/>
  <c r="F3380" i="12"/>
  <c r="G3380" i="12" s="1"/>
  <c r="F3381" i="12"/>
  <c r="G3381" i="12" s="1"/>
  <c r="F3382" i="12"/>
  <c r="G3382" i="12" s="1"/>
  <c r="F3383" i="12"/>
  <c r="G3383" i="12" s="1"/>
  <c r="F3384" i="12"/>
  <c r="G3384" i="12" s="1"/>
  <c r="F3385" i="12"/>
  <c r="G3385" i="12" s="1"/>
  <c r="F3386" i="12"/>
  <c r="G3386" i="12" s="1"/>
  <c r="F3387" i="12"/>
  <c r="G3387" i="12" s="1"/>
  <c r="F3388" i="12"/>
  <c r="G3388" i="12" s="1"/>
  <c r="F3389" i="12"/>
  <c r="G3389" i="12" s="1"/>
  <c r="F3390" i="12"/>
  <c r="G3390" i="12" s="1"/>
  <c r="F3391" i="12"/>
  <c r="G3391" i="12" s="1"/>
  <c r="F3392" i="12"/>
  <c r="G3392" i="12" s="1"/>
  <c r="F3393" i="12"/>
  <c r="G3393" i="12" s="1"/>
  <c r="F3394" i="12"/>
  <c r="G3394" i="12" s="1"/>
  <c r="F3395" i="12"/>
  <c r="G3395" i="12" s="1"/>
  <c r="F3396" i="12"/>
  <c r="G3396" i="12" s="1"/>
  <c r="F3397" i="12"/>
  <c r="G3397" i="12" s="1"/>
  <c r="F3398" i="12"/>
  <c r="G3398" i="12" s="1"/>
  <c r="F3399" i="12"/>
  <c r="G3399" i="12" s="1"/>
  <c r="F3400" i="12"/>
  <c r="G3400" i="12" s="1"/>
  <c r="F3401" i="12"/>
  <c r="G3401" i="12" s="1"/>
  <c r="F3402" i="12"/>
  <c r="G3402" i="12" s="1"/>
  <c r="F3403" i="12"/>
  <c r="G3403" i="12" s="1"/>
  <c r="F3404" i="12"/>
  <c r="G3404" i="12" s="1"/>
  <c r="F3405" i="12"/>
  <c r="G3405" i="12" s="1"/>
  <c r="F3406" i="12"/>
  <c r="G3406" i="12" s="1"/>
  <c r="F3407" i="12"/>
  <c r="G3407" i="12" s="1"/>
  <c r="F3408" i="12"/>
  <c r="G3408" i="12" s="1"/>
  <c r="F3409" i="12"/>
  <c r="G3409" i="12" s="1"/>
  <c r="F3410" i="12"/>
  <c r="G3410" i="12" s="1"/>
  <c r="F3411" i="12"/>
  <c r="G3411" i="12" s="1"/>
  <c r="F3412" i="12"/>
  <c r="G3412" i="12" s="1"/>
  <c r="F3413" i="12"/>
  <c r="G3413" i="12" s="1"/>
  <c r="F3414" i="12"/>
  <c r="G3414" i="12" s="1"/>
  <c r="F3415" i="12"/>
  <c r="G3415" i="12" s="1"/>
  <c r="F3416" i="12"/>
  <c r="G3416" i="12" s="1"/>
  <c r="F3417" i="12"/>
  <c r="G3417" i="12" s="1"/>
  <c r="F3418" i="12"/>
  <c r="G3418" i="12" s="1"/>
  <c r="F3419" i="12"/>
  <c r="G3419" i="12" s="1"/>
  <c r="F3420" i="12"/>
  <c r="G3420" i="12" s="1"/>
  <c r="F3421" i="12"/>
  <c r="G3421" i="12" s="1"/>
  <c r="F3422" i="12"/>
  <c r="G3422" i="12" s="1"/>
  <c r="F3423" i="12"/>
  <c r="G3423" i="12" s="1"/>
  <c r="F3424" i="12"/>
  <c r="G3424" i="12" s="1"/>
  <c r="F3425" i="12"/>
  <c r="G3425" i="12" s="1"/>
  <c r="F3426" i="12"/>
  <c r="G3426" i="12" s="1"/>
  <c r="F3427" i="12"/>
  <c r="G3427" i="12" s="1"/>
  <c r="F3428" i="12"/>
  <c r="G3428" i="12" s="1"/>
  <c r="F3429" i="12"/>
  <c r="G3429" i="12" s="1"/>
  <c r="F3430" i="12"/>
  <c r="G3430" i="12" s="1"/>
  <c r="F3431" i="12"/>
  <c r="G3431" i="12" s="1"/>
  <c r="F3432" i="12"/>
  <c r="G3432" i="12" s="1"/>
  <c r="F3433" i="12"/>
  <c r="G3433" i="12" s="1"/>
  <c r="F3434" i="12"/>
  <c r="G3434" i="12" s="1"/>
  <c r="F3435" i="12"/>
  <c r="G3435" i="12" s="1"/>
  <c r="F3436" i="12"/>
  <c r="G3436" i="12" s="1"/>
  <c r="F3437" i="12"/>
  <c r="G3437" i="12" s="1"/>
  <c r="F3438" i="12"/>
  <c r="G3438" i="12" s="1"/>
  <c r="F3439" i="12"/>
  <c r="G3439" i="12" s="1"/>
  <c r="F3440" i="12"/>
  <c r="G3440" i="12" s="1"/>
  <c r="F3441" i="12"/>
  <c r="G3441" i="12" s="1"/>
  <c r="F3442" i="12"/>
  <c r="G3442" i="12" s="1"/>
  <c r="F3443" i="12"/>
  <c r="G3443" i="12" s="1"/>
  <c r="F3444" i="12"/>
  <c r="G3444" i="12" s="1"/>
  <c r="F3445" i="12"/>
  <c r="G3445" i="12" s="1"/>
  <c r="F3446" i="12"/>
  <c r="G3446" i="12" s="1"/>
  <c r="F3447" i="12"/>
  <c r="G3447" i="12" s="1"/>
  <c r="F3448" i="12"/>
  <c r="G3448" i="12" s="1"/>
  <c r="F3449" i="12"/>
  <c r="G3449" i="12" s="1"/>
  <c r="F3450" i="12"/>
  <c r="G3450" i="12" s="1"/>
  <c r="F3451" i="12"/>
  <c r="G3451" i="12" s="1"/>
  <c r="F3452" i="12"/>
  <c r="G3452" i="12" s="1"/>
  <c r="F3453" i="12"/>
  <c r="G3453" i="12" s="1"/>
  <c r="F3454" i="12"/>
  <c r="G3454" i="12" s="1"/>
  <c r="F3455" i="12"/>
  <c r="G3455" i="12" s="1"/>
  <c r="F3456" i="12"/>
  <c r="G3456" i="12" s="1"/>
  <c r="F3457" i="12"/>
  <c r="G3457" i="12" s="1"/>
  <c r="F3458" i="12"/>
  <c r="G3458" i="12" s="1"/>
  <c r="F3459" i="12"/>
  <c r="G3459" i="12" s="1"/>
  <c r="F3460" i="12"/>
  <c r="G3460" i="12" s="1"/>
  <c r="F3461" i="12"/>
  <c r="G3461" i="12" s="1"/>
  <c r="F3462" i="12"/>
  <c r="G3462" i="12" s="1"/>
  <c r="F3463" i="12"/>
  <c r="G3463" i="12" s="1"/>
  <c r="F3464" i="12"/>
  <c r="G3464" i="12" s="1"/>
  <c r="F3465" i="12"/>
  <c r="G3465" i="12" s="1"/>
  <c r="F3466" i="12"/>
  <c r="G3466" i="12" s="1"/>
  <c r="F3467" i="12"/>
  <c r="G3467" i="12" s="1"/>
  <c r="F3468" i="12"/>
  <c r="G3468" i="12" s="1"/>
  <c r="F3469" i="12"/>
  <c r="G3469" i="12" s="1"/>
  <c r="F3470" i="12"/>
  <c r="G3470" i="12" s="1"/>
  <c r="F3471" i="12"/>
  <c r="G3471" i="12" s="1"/>
  <c r="F3472" i="12"/>
  <c r="G3472" i="12" s="1"/>
  <c r="F3473" i="12"/>
  <c r="G3473" i="12" s="1"/>
  <c r="F3474" i="12"/>
  <c r="G3474" i="12" s="1"/>
  <c r="F3475" i="12"/>
  <c r="G3475" i="12" s="1"/>
  <c r="F3476" i="12"/>
  <c r="G3476" i="12" s="1"/>
  <c r="F3477" i="12"/>
  <c r="G3477" i="12" s="1"/>
  <c r="F3478" i="12"/>
  <c r="G3478" i="12" s="1"/>
  <c r="F3479" i="12"/>
  <c r="G3479" i="12" s="1"/>
  <c r="F3480" i="12"/>
  <c r="G3480" i="12" s="1"/>
  <c r="F3481" i="12"/>
  <c r="G3481" i="12" s="1"/>
  <c r="F3482" i="12"/>
  <c r="G3482" i="12" s="1"/>
  <c r="F3483" i="12"/>
  <c r="G3483" i="12" s="1"/>
  <c r="F3484" i="12"/>
  <c r="G3484" i="12" s="1"/>
  <c r="F3485" i="12"/>
  <c r="G3485" i="12" s="1"/>
  <c r="F3486" i="12"/>
  <c r="G3486" i="12" s="1"/>
  <c r="F3487" i="12"/>
  <c r="G3487" i="12" s="1"/>
  <c r="F3488" i="12"/>
  <c r="G3488" i="12" s="1"/>
  <c r="F3489" i="12"/>
  <c r="G3489" i="12" s="1"/>
  <c r="F3490" i="12"/>
  <c r="G3490" i="12" s="1"/>
  <c r="F3491" i="12"/>
  <c r="G3491" i="12" s="1"/>
  <c r="F3492" i="12"/>
  <c r="G3492" i="12" s="1"/>
  <c r="F3493" i="12"/>
  <c r="G3493" i="12" s="1"/>
  <c r="F3494" i="12"/>
  <c r="G3494" i="12" s="1"/>
  <c r="F3495" i="12"/>
  <c r="G3495" i="12" s="1"/>
  <c r="F3496" i="12"/>
  <c r="G3496" i="12" s="1"/>
  <c r="F3497" i="12"/>
  <c r="G3497" i="12" s="1"/>
  <c r="F3498" i="12"/>
  <c r="G3498" i="12" s="1"/>
  <c r="F3499" i="12"/>
  <c r="G3499" i="12" s="1"/>
  <c r="F3500" i="12"/>
  <c r="G3500" i="12" s="1"/>
  <c r="F3501" i="12"/>
  <c r="G3501" i="12" s="1"/>
  <c r="F3502" i="12"/>
  <c r="G3502" i="12" s="1"/>
  <c r="F3503" i="12"/>
  <c r="G3503" i="12" s="1"/>
  <c r="F3504" i="12"/>
  <c r="G3504" i="12" s="1"/>
  <c r="F3505" i="12"/>
  <c r="G3505" i="12" s="1"/>
  <c r="F3506" i="12"/>
  <c r="G3506" i="12" s="1"/>
  <c r="F3507" i="12"/>
  <c r="G3507" i="12" s="1"/>
  <c r="F3508" i="12"/>
  <c r="G3508" i="12" s="1"/>
  <c r="F3509" i="12"/>
  <c r="G3509" i="12" s="1"/>
  <c r="F3510" i="12"/>
  <c r="G3510" i="12" s="1"/>
  <c r="F3511" i="12"/>
  <c r="G3511" i="12" s="1"/>
  <c r="F3512" i="12"/>
  <c r="G3512" i="12" s="1"/>
  <c r="F3513" i="12"/>
  <c r="G3513" i="12" s="1"/>
  <c r="F3514" i="12"/>
  <c r="G3514" i="12" s="1"/>
  <c r="F3515" i="12"/>
  <c r="G3515" i="12" s="1"/>
  <c r="F3516" i="12"/>
  <c r="G3516" i="12" s="1"/>
  <c r="F3517" i="12"/>
  <c r="G3517" i="12" s="1"/>
  <c r="F3518" i="12"/>
  <c r="G3518" i="12" s="1"/>
  <c r="F3519" i="12"/>
  <c r="G3519" i="12" s="1"/>
  <c r="F3520" i="12"/>
  <c r="G3520" i="12" s="1"/>
  <c r="F3521" i="12"/>
  <c r="G3521" i="12" s="1"/>
  <c r="F3522" i="12"/>
  <c r="G3522" i="12" s="1"/>
  <c r="F3523" i="12"/>
  <c r="G3523" i="12" s="1"/>
  <c r="F3524" i="12"/>
  <c r="G3524" i="12" s="1"/>
  <c r="F3525" i="12"/>
  <c r="G3525" i="12" s="1"/>
  <c r="F3526" i="12"/>
  <c r="G3526" i="12" s="1"/>
  <c r="F3527" i="12"/>
  <c r="G3527" i="12" s="1"/>
  <c r="F3528" i="12"/>
  <c r="G3528" i="12" s="1"/>
  <c r="F3529" i="12"/>
  <c r="G3529" i="12" s="1"/>
  <c r="F3530" i="12"/>
  <c r="G3530" i="12" s="1"/>
  <c r="F3531" i="12"/>
  <c r="G3531" i="12" s="1"/>
  <c r="F3532" i="12"/>
  <c r="G3532" i="12" s="1"/>
  <c r="F3533" i="12"/>
  <c r="G3533" i="12" s="1"/>
  <c r="F3534" i="12"/>
  <c r="G3534" i="12" s="1"/>
  <c r="F3535" i="12"/>
  <c r="G3535" i="12" s="1"/>
  <c r="F3536" i="12"/>
  <c r="G3536" i="12" s="1"/>
  <c r="F3537" i="12"/>
  <c r="G3537" i="12" s="1"/>
  <c r="F3538" i="12"/>
  <c r="G3538" i="12" s="1"/>
  <c r="F3539" i="12"/>
  <c r="G3539" i="12" s="1"/>
  <c r="F3540" i="12"/>
  <c r="G3540" i="12" s="1"/>
  <c r="F3541" i="12"/>
  <c r="G3541" i="12" s="1"/>
  <c r="F3542" i="12"/>
  <c r="G3542" i="12" s="1"/>
  <c r="F3543" i="12"/>
  <c r="G3543" i="12" s="1"/>
  <c r="F3544" i="12"/>
  <c r="G3544" i="12" s="1"/>
  <c r="F3545" i="12"/>
  <c r="G3545" i="12" s="1"/>
  <c r="F3546" i="12"/>
  <c r="G3546" i="12" s="1"/>
  <c r="F3547" i="12"/>
  <c r="G3547" i="12" s="1"/>
  <c r="F3548" i="12"/>
  <c r="G3548" i="12" s="1"/>
  <c r="F3549" i="12"/>
  <c r="G3549" i="12" s="1"/>
  <c r="F3550" i="12"/>
  <c r="G3550" i="12" s="1"/>
  <c r="F3551" i="12"/>
  <c r="G3551" i="12" s="1"/>
  <c r="F3552" i="12"/>
  <c r="G3552" i="12" s="1"/>
  <c r="F3553" i="12"/>
  <c r="G3553" i="12" s="1"/>
  <c r="F3554" i="12"/>
  <c r="G3554" i="12" s="1"/>
  <c r="F3555" i="12"/>
  <c r="G3555" i="12" s="1"/>
  <c r="F3556" i="12"/>
  <c r="G3556" i="12" s="1"/>
  <c r="F3557" i="12"/>
  <c r="G3557" i="12" s="1"/>
  <c r="F3558" i="12"/>
  <c r="G3558" i="12" s="1"/>
  <c r="F3559" i="12"/>
  <c r="G3559" i="12" s="1"/>
  <c r="F3560" i="12"/>
  <c r="G3560" i="12" s="1"/>
  <c r="F3561" i="12"/>
  <c r="G3561" i="12" s="1"/>
  <c r="F3562" i="12"/>
  <c r="G3562" i="12" s="1"/>
  <c r="F3563" i="12"/>
  <c r="G3563" i="12" s="1"/>
  <c r="F3564" i="12"/>
  <c r="G3564" i="12" s="1"/>
  <c r="F3565" i="12"/>
  <c r="G3565" i="12" s="1"/>
  <c r="F3566" i="12"/>
  <c r="G3566" i="12" s="1"/>
  <c r="F3567" i="12"/>
  <c r="G3567" i="12" s="1"/>
  <c r="F3568" i="12"/>
  <c r="G3568" i="12" s="1"/>
  <c r="F3569" i="12"/>
  <c r="G3569" i="12" s="1"/>
  <c r="F3570" i="12"/>
  <c r="G3570" i="12" s="1"/>
  <c r="F3571" i="12"/>
  <c r="G3571" i="12" s="1"/>
  <c r="F3572" i="12"/>
  <c r="G3572" i="12" s="1"/>
  <c r="F3573" i="12"/>
  <c r="G3573" i="12" s="1"/>
  <c r="F3574" i="12"/>
  <c r="G3574" i="12" s="1"/>
  <c r="F3575" i="12"/>
  <c r="G3575" i="12" s="1"/>
  <c r="F3576" i="12"/>
  <c r="G3576" i="12" s="1"/>
  <c r="F3577" i="12"/>
  <c r="G3577" i="12" s="1"/>
  <c r="F3578" i="12"/>
  <c r="G3578" i="12" s="1"/>
  <c r="F3579" i="12"/>
  <c r="G3579" i="12" s="1"/>
  <c r="F3580" i="12"/>
  <c r="G3580" i="12" s="1"/>
  <c r="F3581" i="12"/>
  <c r="G3581" i="12" s="1"/>
  <c r="F3582" i="12"/>
  <c r="G3582" i="12" s="1"/>
  <c r="F3583" i="12"/>
  <c r="G3583" i="12" s="1"/>
  <c r="F3584" i="12"/>
  <c r="G3584" i="12" s="1"/>
  <c r="F3585" i="12"/>
  <c r="G3585" i="12" s="1"/>
  <c r="F3586" i="12"/>
  <c r="G3586" i="12" s="1"/>
  <c r="F3587" i="12"/>
  <c r="G3587" i="12" s="1"/>
  <c r="F3588" i="12"/>
  <c r="G3588" i="12" s="1"/>
  <c r="F3589" i="12"/>
  <c r="G3589" i="12" s="1"/>
  <c r="F3590" i="12"/>
  <c r="G3590" i="12" s="1"/>
  <c r="F3591" i="12"/>
  <c r="G3591" i="12" s="1"/>
  <c r="F3592" i="12"/>
  <c r="G3592" i="12" s="1"/>
  <c r="F3593" i="12"/>
  <c r="G3593" i="12" s="1"/>
  <c r="F3594" i="12"/>
  <c r="G3594" i="12" s="1"/>
  <c r="F3595" i="12"/>
  <c r="G3595" i="12" s="1"/>
  <c r="F3596" i="12"/>
  <c r="G3596" i="12" s="1"/>
  <c r="F3597" i="12"/>
  <c r="G3597" i="12" s="1"/>
  <c r="F3598" i="12"/>
  <c r="G3598" i="12" s="1"/>
  <c r="F3599" i="12"/>
  <c r="G3599" i="12" s="1"/>
  <c r="F3600" i="12"/>
  <c r="G3600" i="12" s="1"/>
  <c r="F3601" i="12"/>
  <c r="G3601" i="12" s="1"/>
  <c r="F3602" i="12"/>
  <c r="G3602" i="12" s="1"/>
  <c r="F3603" i="12"/>
  <c r="G3603" i="12" s="1"/>
  <c r="F3604" i="12"/>
  <c r="G3604" i="12" s="1"/>
  <c r="F3605" i="12"/>
  <c r="G3605" i="12" s="1"/>
  <c r="F3606" i="12"/>
  <c r="G3606" i="12" s="1"/>
  <c r="F3607" i="12"/>
  <c r="G3607" i="12" s="1"/>
  <c r="F3608" i="12"/>
  <c r="G3608" i="12" s="1"/>
  <c r="F3609" i="12"/>
  <c r="G3609" i="12" s="1"/>
  <c r="F3610" i="12"/>
  <c r="G3610" i="12" s="1"/>
  <c r="F3611" i="12"/>
  <c r="G3611" i="12" s="1"/>
  <c r="F3612" i="12"/>
  <c r="G3612" i="12" s="1"/>
  <c r="F3613" i="12"/>
  <c r="G3613" i="12" s="1"/>
  <c r="F3614" i="12"/>
  <c r="G3614" i="12" s="1"/>
  <c r="F3615" i="12"/>
  <c r="G3615" i="12" s="1"/>
  <c r="F3616" i="12"/>
  <c r="G3616" i="12" s="1"/>
  <c r="F3617" i="12"/>
  <c r="G3617" i="12" s="1"/>
  <c r="F3618" i="12"/>
  <c r="G3618" i="12" s="1"/>
  <c r="F3619" i="12"/>
  <c r="G3619" i="12" s="1"/>
  <c r="F3620" i="12"/>
  <c r="G3620" i="12" s="1"/>
  <c r="F3621" i="12"/>
  <c r="G3621" i="12" s="1"/>
  <c r="F3622" i="12"/>
  <c r="G3622" i="12" s="1"/>
  <c r="F3623" i="12"/>
  <c r="G3623" i="12" s="1"/>
  <c r="F3624" i="12"/>
  <c r="G3624" i="12" s="1"/>
  <c r="F3625" i="12"/>
  <c r="G3625" i="12" s="1"/>
  <c r="F3626" i="12"/>
  <c r="G3626" i="12" s="1"/>
  <c r="F3627" i="12"/>
  <c r="G3627" i="12" s="1"/>
  <c r="F3628" i="12"/>
  <c r="G3628" i="12" s="1"/>
  <c r="F3629" i="12"/>
  <c r="G3629" i="12" s="1"/>
  <c r="F3630" i="12"/>
  <c r="G3630" i="12" s="1"/>
  <c r="F3631" i="12"/>
  <c r="G3631" i="12" s="1"/>
  <c r="F3632" i="12"/>
  <c r="G3632" i="12" s="1"/>
  <c r="F3633" i="12"/>
  <c r="G3633" i="12" s="1"/>
  <c r="F3634" i="12"/>
  <c r="G3634" i="12" s="1"/>
  <c r="F3635" i="12"/>
  <c r="G3635" i="12" s="1"/>
  <c r="F3636" i="12"/>
  <c r="G3636" i="12" s="1"/>
  <c r="F3637" i="12"/>
  <c r="G3637" i="12" s="1"/>
  <c r="F3638" i="12"/>
  <c r="G3638" i="12" s="1"/>
  <c r="F3639" i="12"/>
  <c r="G3639" i="12" s="1"/>
  <c r="F3640" i="12"/>
  <c r="G3640" i="12" s="1"/>
  <c r="F3641" i="12"/>
  <c r="G3641" i="12" s="1"/>
  <c r="F3642" i="12"/>
  <c r="G3642" i="12" s="1"/>
  <c r="F3643" i="12"/>
  <c r="G3643" i="12" s="1"/>
  <c r="F3644" i="12"/>
  <c r="G3644" i="12" s="1"/>
  <c r="F3645" i="12"/>
  <c r="G3645" i="12" s="1"/>
  <c r="F3646" i="12"/>
  <c r="G3646" i="12" s="1"/>
  <c r="F3647" i="12"/>
  <c r="G3647" i="12" s="1"/>
  <c r="F3648" i="12"/>
  <c r="G3648" i="12" s="1"/>
  <c r="F3649" i="12"/>
  <c r="G3649" i="12" s="1"/>
  <c r="F3650" i="12"/>
  <c r="G3650" i="12" s="1"/>
  <c r="F3651" i="12"/>
  <c r="G3651" i="12" s="1"/>
  <c r="F3652" i="12"/>
  <c r="G3652" i="12" s="1"/>
  <c r="F3653" i="12"/>
  <c r="G3653" i="12" s="1"/>
  <c r="F3654" i="12"/>
  <c r="G3654" i="12" s="1"/>
  <c r="F3655" i="12"/>
  <c r="G3655" i="12" s="1"/>
  <c r="F3656" i="12"/>
  <c r="G3656" i="12" s="1"/>
  <c r="F3657" i="12"/>
  <c r="G3657" i="12" s="1"/>
  <c r="F3658" i="12"/>
  <c r="G3658" i="12" s="1"/>
  <c r="F3659" i="12"/>
  <c r="G3659" i="12" s="1"/>
  <c r="F3660" i="12"/>
  <c r="G3660" i="12" s="1"/>
  <c r="F3661" i="12"/>
  <c r="G3661" i="12" s="1"/>
  <c r="F3662" i="12"/>
  <c r="G3662" i="12" s="1"/>
  <c r="F3663" i="12"/>
  <c r="G3663" i="12" s="1"/>
  <c r="F3664" i="12"/>
  <c r="G3664" i="12" s="1"/>
  <c r="F3665" i="12"/>
  <c r="G3665" i="12" s="1"/>
  <c r="F3666" i="12"/>
  <c r="G3666" i="12" s="1"/>
  <c r="F3667" i="12"/>
  <c r="G3667" i="12" s="1"/>
  <c r="F3668" i="12"/>
  <c r="G3668" i="12" s="1"/>
  <c r="F3669" i="12"/>
  <c r="G3669" i="12" s="1"/>
  <c r="F3670" i="12"/>
  <c r="G3670" i="12" s="1"/>
  <c r="F3671" i="12"/>
  <c r="G3671" i="12" s="1"/>
  <c r="F3672" i="12"/>
  <c r="G3672" i="12" s="1"/>
  <c r="F3673" i="12"/>
  <c r="G3673" i="12" s="1"/>
  <c r="F3674" i="12"/>
  <c r="G3674" i="12" s="1"/>
  <c r="F3675" i="12"/>
  <c r="G3675" i="12" s="1"/>
  <c r="F3676" i="12"/>
  <c r="G3676" i="12" s="1"/>
  <c r="F3677" i="12"/>
  <c r="G3677" i="12" s="1"/>
  <c r="F3678" i="12"/>
  <c r="G3678" i="12" s="1"/>
  <c r="F3679" i="12"/>
  <c r="G3679" i="12" s="1"/>
  <c r="F3680" i="12"/>
  <c r="G3680" i="12" s="1"/>
  <c r="F3681" i="12"/>
  <c r="G3681" i="12" s="1"/>
  <c r="F3682" i="12"/>
  <c r="G3682" i="12" s="1"/>
  <c r="F3683" i="12"/>
  <c r="G3683" i="12" s="1"/>
  <c r="F3684" i="12"/>
  <c r="G3684" i="12" s="1"/>
  <c r="F3685" i="12"/>
  <c r="G3685" i="12" s="1"/>
  <c r="F3686" i="12"/>
  <c r="G3686" i="12" s="1"/>
  <c r="F3687" i="12"/>
  <c r="G3687" i="12" s="1"/>
  <c r="F3688" i="12"/>
  <c r="G3688" i="12" s="1"/>
  <c r="F3689" i="12"/>
  <c r="G3689" i="12" s="1"/>
  <c r="F3690" i="12"/>
  <c r="G3690" i="12" s="1"/>
  <c r="F3691" i="12"/>
  <c r="G3691" i="12" s="1"/>
  <c r="F3692" i="12"/>
  <c r="G3692" i="12" s="1"/>
  <c r="F3693" i="12"/>
  <c r="G3693" i="12" s="1"/>
  <c r="F3694" i="12"/>
  <c r="G3694" i="12" s="1"/>
  <c r="F3695" i="12"/>
  <c r="G3695" i="12" s="1"/>
  <c r="F3696" i="12"/>
  <c r="G3696" i="12" s="1"/>
  <c r="F3697" i="12"/>
  <c r="G3697" i="12" s="1"/>
  <c r="F3698" i="12"/>
  <c r="G3698" i="12" s="1"/>
  <c r="F3699" i="12"/>
  <c r="G3699" i="12" s="1"/>
  <c r="F3700" i="12"/>
  <c r="G3700" i="12" s="1"/>
  <c r="F3701" i="12"/>
  <c r="G3701" i="12" s="1"/>
  <c r="F3702" i="12"/>
  <c r="G3702" i="12" s="1"/>
  <c r="F3703" i="12"/>
  <c r="G3703" i="12" s="1"/>
  <c r="F3704" i="12"/>
  <c r="G3704" i="12" s="1"/>
  <c r="F3705" i="12"/>
  <c r="G3705" i="12" s="1"/>
  <c r="F3706" i="12"/>
  <c r="G3706" i="12" s="1"/>
  <c r="F3707" i="12"/>
  <c r="G3707" i="12" s="1"/>
  <c r="F3708" i="12"/>
  <c r="G3708" i="12" s="1"/>
  <c r="F3709" i="12"/>
  <c r="G3709" i="12" s="1"/>
  <c r="F3710" i="12"/>
  <c r="G3710" i="12" s="1"/>
  <c r="F3711" i="12"/>
  <c r="G3711" i="12" s="1"/>
  <c r="F3712" i="12"/>
  <c r="G3712" i="12" s="1"/>
  <c r="F3713" i="12"/>
  <c r="G3713" i="12" s="1"/>
  <c r="F3714" i="12"/>
  <c r="G3714" i="12" s="1"/>
  <c r="F3715" i="12"/>
  <c r="G3715" i="12" s="1"/>
  <c r="F3716" i="12"/>
  <c r="G3716" i="12" s="1"/>
  <c r="F3717" i="12"/>
  <c r="G3717" i="12" s="1"/>
  <c r="F3718" i="12"/>
  <c r="G3718" i="12" s="1"/>
  <c r="F3719" i="12"/>
  <c r="G3719" i="12" s="1"/>
  <c r="F3720" i="12"/>
  <c r="G3720" i="12" s="1"/>
  <c r="F3721" i="12"/>
  <c r="G3721" i="12" s="1"/>
  <c r="F3722" i="12"/>
  <c r="G3722" i="12" s="1"/>
  <c r="F3723" i="12"/>
  <c r="G3723" i="12" s="1"/>
  <c r="F3724" i="12"/>
  <c r="G3724" i="12" s="1"/>
  <c r="F3725" i="12"/>
  <c r="G3725" i="12" s="1"/>
  <c r="F3726" i="12"/>
  <c r="G3726" i="12" s="1"/>
  <c r="F3727" i="12"/>
  <c r="G3727" i="12" s="1"/>
  <c r="F3728" i="12"/>
  <c r="G3728" i="12" s="1"/>
  <c r="F3729" i="12"/>
  <c r="G3729" i="12" s="1"/>
  <c r="F3730" i="12"/>
  <c r="G3730" i="12" s="1"/>
  <c r="F3731" i="12"/>
  <c r="G3731" i="12" s="1"/>
  <c r="F3732" i="12"/>
  <c r="G3732" i="12" s="1"/>
  <c r="F3733" i="12"/>
  <c r="G3733" i="12" s="1"/>
  <c r="F3734" i="12"/>
  <c r="G3734" i="12" s="1"/>
  <c r="F3735" i="12"/>
  <c r="G3735" i="12" s="1"/>
  <c r="F3736" i="12"/>
  <c r="G3736" i="12" s="1"/>
  <c r="F3737" i="12"/>
  <c r="G3737" i="12" s="1"/>
  <c r="F3738" i="12"/>
  <c r="G3738" i="12" s="1"/>
  <c r="F3739" i="12"/>
  <c r="G3739" i="12" s="1"/>
  <c r="F3740" i="12"/>
  <c r="G3740" i="12" s="1"/>
  <c r="F3741" i="12"/>
  <c r="G3741" i="12" s="1"/>
  <c r="F3742" i="12"/>
  <c r="G3742" i="12" s="1"/>
  <c r="F3743" i="12"/>
  <c r="G3743" i="12" s="1"/>
  <c r="F3744" i="12"/>
  <c r="G3744" i="12" s="1"/>
  <c r="F3745" i="12"/>
  <c r="G3745" i="12" s="1"/>
  <c r="F3746" i="12"/>
  <c r="G3746" i="12" s="1"/>
  <c r="F3747" i="12"/>
  <c r="G3747" i="12" s="1"/>
  <c r="F3748" i="12"/>
  <c r="G3748" i="12" s="1"/>
  <c r="F3749" i="12"/>
  <c r="G3749" i="12" s="1"/>
  <c r="F3750" i="12"/>
  <c r="G3750" i="12" s="1"/>
  <c r="F3751" i="12"/>
  <c r="G3751" i="12" s="1"/>
  <c r="F3752" i="12"/>
  <c r="G3752" i="12" s="1"/>
  <c r="F3753" i="12"/>
  <c r="G3753" i="12" s="1"/>
  <c r="F3754" i="12"/>
  <c r="G3754" i="12" s="1"/>
  <c r="F3755" i="12"/>
  <c r="G3755" i="12" s="1"/>
  <c r="F3756" i="12"/>
  <c r="G3756" i="12" s="1"/>
  <c r="F3757" i="12"/>
  <c r="G3757" i="12" s="1"/>
  <c r="F3758" i="12"/>
  <c r="G3758" i="12" s="1"/>
  <c r="F3759" i="12"/>
  <c r="G3759" i="12" s="1"/>
  <c r="F3760" i="12"/>
  <c r="G3760" i="12" s="1"/>
  <c r="F3761" i="12"/>
  <c r="G3761" i="12" s="1"/>
  <c r="F3762" i="12"/>
  <c r="G3762" i="12" s="1"/>
  <c r="F3763" i="12"/>
  <c r="G3763" i="12" s="1"/>
  <c r="F3764" i="12"/>
  <c r="G3764" i="12" s="1"/>
  <c r="F3765" i="12"/>
  <c r="G3765" i="12" s="1"/>
  <c r="F3766" i="12"/>
  <c r="G3766" i="12" s="1"/>
  <c r="F3767" i="12"/>
  <c r="G3767" i="12" s="1"/>
  <c r="F3768" i="12"/>
  <c r="G3768" i="12" s="1"/>
  <c r="F3769" i="12"/>
  <c r="G3769" i="12" s="1"/>
  <c r="F3770" i="12"/>
  <c r="G3770" i="12" s="1"/>
  <c r="F3771" i="12"/>
  <c r="G3771" i="12" s="1"/>
  <c r="F3772" i="12"/>
  <c r="G3772" i="12" s="1"/>
  <c r="F3773" i="12"/>
  <c r="G3773" i="12" s="1"/>
  <c r="F3774" i="12"/>
  <c r="G3774" i="12" s="1"/>
  <c r="F3775" i="12"/>
  <c r="G3775" i="12" s="1"/>
  <c r="F3776" i="12"/>
  <c r="G3776" i="12" s="1"/>
  <c r="F3777" i="12"/>
  <c r="G3777" i="12" s="1"/>
  <c r="F3778" i="12"/>
  <c r="G3778" i="12" s="1"/>
  <c r="F3779" i="12"/>
  <c r="G3779" i="12" s="1"/>
  <c r="F3780" i="12"/>
  <c r="G3780" i="12" s="1"/>
  <c r="F3781" i="12"/>
  <c r="G3781" i="12" s="1"/>
  <c r="F3782" i="12"/>
  <c r="G3782" i="12" s="1"/>
  <c r="F3783" i="12"/>
  <c r="G3783" i="12" s="1"/>
  <c r="F3784" i="12"/>
  <c r="G3784" i="12" s="1"/>
  <c r="F3785" i="12"/>
  <c r="G3785" i="12" s="1"/>
  <c r="F3786" i="12"/>
  <c r="G3786" i="12" s="1"/>
  <c r="F3787" i="12"/>
  <c r="G3787" i="12" s="1"/>
  <c r="F3788" i="12"/>
  <c r="G3788" i="12" s="1"/>
  <c r="F3789" i="12"/>
  <c r="G3789" i="12" s="1"/>
  <c r="F3790" i="12"/>
  <c r="G3790" i="12" s="1"/>
  <c r="F3791" i="12"/>
  <c r="G3791" i="12" s="1"/>
  <c r="F3792" i="12"/>
  <c r="G3792" i="12" s="1"/>
  <c r="F3793" i="12"/>
  <c r="G3793" i="12" s="1"/>
  <c r="F3794" i="12"/>
  <c r="G3794" i="12" s="1"/>
  <c r="F3795" i="12"/>
  <c r="G3795" i="12" s="1"/>
  <c r="F3796" i="12"/>
  <c r="G3796" i="12" s="1"/>
  <c r="F3797" i="12"/>
  <c r="G3797" i="12" s="1"/>
  <c r="F3798" i="12"/>
  <c r="G3798" i="12" s="1"/>
  <c r="F3799" i="12"/>
  <c r="G3799" i="12" s="1"/>
  <c r="F3800" i="12"/>
  <c r="G3800" i="12" s="1"/>
  <c r="F3802" i="12"/>
  <c r="G3802" i="12" s="1"/>
  <c r="F3803" i="12"/>
  <c r="G3803" i="12" s="1"/>
  <c r="F3804" i="12"/>
  <c r="G3804" i="12" s="1"/>
  <c r="F3805" i="12"/>
  <c r="G3805" i="12" s="1"/>
  <c r="F3806" i="12"/>
  <c r="G3806" i="12" s="1"/>
  <c r="F3807" i="12"/>
  <c r="G3807" i="12" s="1"/>
  <c r="F3808" i="12"/>
  <c r="G3808" i="12" s="1"/>
  <c r="F3809" i="12"/>
  <c r="G3809" i="12" s="1"/>
  <c r="F3810" i="12"/>
  <c r="G3810" i="12" s="1"/>
  <c r="F3811" i="12"/>
  <c r="G3811" i="12" s="1"/>
  <c r="F3812" i="12"/>
  <c r="G3812" i="12" s="1"/>
  <c r="F3813" i="12"/>
  <c r="G3813" i="12" s="1"/>
  <c r="F3814" i="12"/>
  <c r="G3814" i="12" s="1"/>
  <c r="F3815" i="12"/>
  <c r="G3815" i="12" s="1"/>
  <c r="F3816" i="12"/>
  <c r="G3816" i="12" s="1"/>
  <c r="F3817" i="12"/>
  <c r="G3817" i="12" s="1"/>
  <c r="F3818" i="12"/>
  <c r="G3818" i="12" s="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04" i="11"/>
  <c r="Z305" i="11"/>
  <c r="Z306" i="11"/>
  <c r="Z307" i="11"/>
  <c r="Z308" i="11"/>
  <c r="Z309" i="11"/>
  <c r="Z310" i="11"/>
  <c r="Z311" i="11"/>
  <c r="Z312" i="11"/>
  <c r="Z313" i="11"/>
  <c r="Z314" i="11"/>
  <c r="Z315" i="11"/>
  <c r="Z316" i="11"/>
  <c r="Z317" i="11"/>
  <c r="Z318" i="11"/>
  <c r="Z319" i="11"/>
  <c r="Z320" i="11"/>
  <c r="Z321" i="11"/>
  <c r="Z322" i="11"/>
  <c r="Z323" i="11"/>
  <c r="Z324" i="11"/>
  <c r="Z325" i="11"/>
  <c r="Z326" i="11"/>
  <c r="Z327" i="11"/>
  <c r="Z328" i="11"/>
  <c r="Z329" i="11"/>
  <c r="Z330" i="11"/>
  <c r="Z331" i="11"/>
  <c r="Z332" i="11"/>
  <c r="Z333" i="11"/>
  <c r="Z334" i="11"/>
  <c r="Z335" i="11"/>
  <c r="Z336" i="11"/>
  <c r="Z337" i="11"/>
  <c r="Z338" i="11"/>
  <c r="Z339" i="11"/>
  <c r="Z340" i="11"/>
  <c r="Z341" i="11"/>
  <c r="Z342" i="11"/>
  <c r="Z343" i="11"/>
  <c r="Z344" i="11"/>
  <c r="Z345" i="11"/>
  <c r="Z346" i="11"/>
  <c r="Z347" i="11"/>
  <c r="Z348" i="11"/>
  <c r="Z349" i="11"/>
  <c r="Z350" i="11"/>
  <c r="Z351" i="11"/>
  <c r="Z352" i="11"/>
  <c r="Z353" i="11"/>
  <c r="Z354" i="11"/>
  <c r="Z355" i="11"/>
  <c r="Z356" i="11"/>
  <c r="Z357" i="11"/>
  <c r="Z358" i="11"/>
  <c r="Z359" i="11"/>
  <c r="Z360" i="11"/>
  <c r="Z361" i="11"/>
  <c r="Z362" i="11"/>
  <c r="Z363" i="11"/>
  <c r="Z364" i="11"/>
  <c r="Z365" i="11"/>
  <c r="Z366" i="11"/>
  <c r="Z367" i="11"/>
  <c r="Z368" i="11"/>
  <c r="Z369" i="11"/>
  <c r="Z370" i="11"/>
  <c r="Z371" i="11"/>
  <c r="Z372" i="11"/>
  <c r="Z373" i="11"/>
  <c r="Z374" i="11"/>
  <c r="Z375" i="11"/>
  <c r="Z376" i="11"/>
  <c r="Z377" i="11"/>
  <c r="Z378" i="11"/>
  <c r="Z379" i="11"/>
  <c r="Z380" i="11"/>
  <c r="Z381" i="11"/>
  <c r="Z382" i="11"/>
  <c r="Z383" i="11"/>
  <c r="Z384" i="11"/>
  <c r="Z385" i="11"/>
  <c r="Z386" i="11"/>
  <c r="Z387" i="11"/>
  <c r="Z388" i="11"/>
  <c r="Z389" i="11"/>
  <c r="Z390" i="11"/>
  <c r="Z391" i="11"/>
  <c r="Z392" i="11"/>
  <c r="Z393" i="11"/>
  <c r="Z394" i="11"/>
  <c r="Z395" i="11"/>
  <c r="Z396" i="11"/>
  <c r="Z397" i="11"/>
  <c r="Z398" i="11"/>
  <c r="Z399" i="11"/>
  <c r="Z400" i="11"/>
  <c r="Z401" i="11"/>
  <c r="Z402" i="11"/>
  <c r="Z403" i="11"/>
  <c r="Z404" i="11"/>
  <c r="Z405" i="11"/>
  <c r="Z406" i="11"/>
  <c r="Z407" i="11"/>
  <c r="Z408" i="11"/>
  <c r="Z409" i="11"/>
  <c r="Z410" i="11"/>
  <c r="Z411" i="11"/>
  <c r="Z412" i="11"/>
  <c r="Z413" i="11"/>
  <c r="Z414" i="11"/>
  <c r="Z415" i="11"/>
  <c r="Z416" i="11"/>
  <c r="Z417" i="11"/>
  <c r="Z418" i="11"/>
  <c r="Z419" i="11"/>
  <c r="Z420" i="11"/>
  <c r="Z421" i="11"/>
  <c r="Z422" i="11"/>
  <c r="Z423" i="11"/>
  <c r="Z424" i="11"/>
  <c r="Z425" i="11"/>
  <c r="Z426" i="11"/>
  <c r="Z427" i="11"/>
  <c r="Z428" i="11"/>
  <c r="Z429" i="11"/>
  <c r="Z430" i="11"/>
  <c r="Z431" i="11"/>
  <c r="Z432" i="11"/>
  <c r="Z433" i="11"/>
  <c r="Z434" i="11"/>
  <c r="Z435" i="11"/>
  <c r="Z436" i="11"/>
  <c r="Z437" i="11"/>
  <c r="Z438" i="11"/>
  <c r="Z439" i="11"/>
  <c r="Z440" i="11"/>
  <c r="Z441" i="11"/>
  <c r="Z442" i="11"/>
  <c r="Z443" i="11"/>
  <c r="Z444" i="11"/>
  <c r="Z445" i="11"/>
  <c r="Z446" i="11"/>
  <c r="Z447" i="11"/>
  <c r="Z448" i="11"/>
  <c r="Z449" i="11"/>
  <c r="Z450" i="11"/>
  <c r="Z451" i="11"/>
  <c r="Z452" i="11"/>
  <c r="Z453" i="11"/>
  <c r="Z454" i="11"/>
  <c r="Z455" i="11"/>
  <c r="Z456" i="11"/>
  <c r="Z457" i="11"/>
  <c r="Z458" i="11"/>
  <c r="Z459" i="11"/>
  <c r="Z460" i="11"/>
  <c r="Z461" i="11"/>
  <c r="Z462" i="11"/>
  <c r="Z463" i="11"/>
  <c r="Z464" i="11"/>
  <c r="Z465" i="11"/>
  <c r="Z466" i="11"/>
  <c r="Z467" i="11"/>
  <c r="Z468" i="11"/>
  <c r="Z469" i="11"/>
  <c r="Z470" i="11"/>
  <c r="Z471" i="11"/>
  <c r="Z472" i="11"/>
  <c r="Z473" i="11"/>
  <c r="Z474" i="11"/>
  <c r="Z475" i="11"/>
  <c r="Z476" i="11"/>
  <c r="Z477" i="11"/>
  <c r="Z478" i="11"/>
  <c r="Z479" i="11"/>
  <c r="Z480" i="11"/>
  <c r="Z481" i="11"/>
  <c r="Z482" i="11"/>
  <c r="Z483" i="11"/>
  <c r="Z484" i="11"/>
  <c r="Z485" i="11"/>
  <c r="Z486" i="11"/>
  <c r="Z487" i="11"/>
  <c r="Z488" i="11"/>
  <c r="Z489" i="11"/>
  <c r="Z490" i="11"/>
  <c r="Z491" i="11"/>
  <c r="Z492" i="11"/>
  <c r="Z493" i="11"/>
  <c r="Z494" i="11"/>
  <c r="Z495" i="11"/>
  <c r="Z496" i="11"/>
  <c r="Z497" i="11"/>
  <c r="Z498" i="11"/>
  <c r="Z499" i="11"/>
  <c r="Z500" i="11"/>
  <c r="Z501" i="11"/>
  <c r="Z502" i="11"/>
  <c r="Z503" i="11"/>
  <c r="Z504" i="11"/>
  <c r="Z505" i="11"/>
  <c r="Z506" i="11"/>
  <c r="Z507" i="11"/>
  <c r="Z508" i="11"/>
  <c r="Z509" i="11"/>
  <c r="Z510" i="11"/>
  <c r="Z511" i="11"/>
  <c r="Z512" i="11"/>
  <c r="Z513" i="11"/>
  <c r="Z514" i="11"/>
  <c r="Z515" i="11"/>
  <c r="Z516" i="11"/>
  <c r="Z517" i="11"/>
  <c r="Z518" i="11"/>
  <c r="Z519" i="11"/>
  <c r="Z520" i="11"/>
  <c r="Z521" i="11"/>
  <c r="Z522" i="11"/>
  <c r="Z523" i="11"/>
  <c r="Z524" i="11"/>
  <c r="Z525" i="11"/>
  <c r="Z526" i="11"/>
  <c r="Z527" i="11"/>
  <c r="Z528" i="11"/>
  <c r="Z529" i="11"/>
  <c r="Z530" i="11"/>
  <c r="Z531" i="11"/>
  <c r="Z532" i="11"/>
  <c r="Z533" i="11"/>
  <c r="Z534" i="11"/>
  <c r="Z535" i="11"/>
  <c r="Z536" i="11"/>
  <c r="Z537" i="11"/>
  <c r="Z538" i="11"/>
  <c r="Z539" i="11"/>
  <c r="Z540" i="11"/>
  <c r="Z541" i="11"/>
  <c r="Z542" i="11"/>
  <c r="Z543" i="11"/>
  <c r="Z544" i="11"/>
  <c r="Z545" i="11"/>
  <c r="Z546" i="11"/>
  <c r="Z547" i="11"/>
  <c r="Z548" i="11"/>
  <c r="Z549" i="11"/>
  <c r="Z550" i="11"/>
  <c r="Z551" i="11"/>
  <c r="Z552" i="11"/>
  <c r="Z553" i="11"/>
  <c r="Z554" i="11"/>
  <c r="Z555" i="11"/>
  <c r="Z556" i="11"/>
  <c r="Z557" i="11"/>
  <c r="Z558" i="11"/>
  <c r="Z559" i="11"/>
  <c r="Z560" i="11"/>
  <c r="Z561" i="11"/>
  <c r="Z562" i="11"/>
  <c r="Z563" i="11"/>
  <c r="Z564" i="11"/>
  <c r="Z565" i="11"/>
  <c r="Z566" i="11"/>
  <c r="Z567" i="11"/>
  <c r="Z568" i="11"/>
  <c r="Z569" i="11"/>
  <c r="Z570" i="11"/>
  <c r="Z571" i="11"/>
  <c r="Z572" i="11"/>
  <c r="Z573" i="11"/>
  <c r="Z574" i="11"/>
  <c r="Z575" i="11"/>
  <c r="Z576" i="11"/>
  <c r="Z577" i="11"/>
  <c r="Z578" i="11"/>
  <c r="Z579" i="11"/>
  <c r="Z580" i="11"/>
  <c r="Z581" i="11"/>
  <c r="Z582" i="11"/>
  <c r="Z583" i="11"/>
  <c r="Z584" i="11"/>
  <c r="Z585" i="11"/>
  <c r="Z586" i="11"/>
  <c r="Z587" i="11"/>
  <c r="Z588" i="11"/>
  <c r="Z589" i="11"/>
  <c r="Z590" i="11"/>
  <c r="Z591" i="11"/>
  <c r="Z592" i="11"/>
  <c r="Z593" i="11"/>
  <c r="Z594" i="11"/>
  <c r="Z595" i="11"/>
  <c r="Z596" i="11"/>
  <c r="Z597" i="11"/>
  <c r="Z598" i="11"/>
  <c r="Z599" i="11"/>
  <c r="Z600" i="11"/>
  <c r="Z601" i="11"/>
  <c r="Z602" i="11"/>
  <c r="Z603" i="11"/>
  <c r="Z604" i="11"/>
  <c r="Z605" i="11"/>
  <c r="Z606" i="11"/>
  <c r="Z607" i="11"/>
  <c r="Z608" i="11"/>
  <c r="Z609" i="11"/>
  <c r="Z610" i="11"/>
  <c r="Z611" i="11"/>
  <c r="Z612" i="11"/>
  <c r="Z613" i="11"/>
  <c r="Z614" i="11"/>
  <c r="Z615" i="11"/>
  <c r="Z616" i="11"/>
  <c r="Z617" i="11"/>
  <c r="Z618" i="11"/>
  <c r="Z619" i="11"/>
  <c r="Z620" i="11"/>
  <c r="Z621" i="11"/>
  <c r="Z622" i="11"/>
  <c r="Z623" i="11"/>
  <c r="Z624" i="11"/>
  <c r="Z625" i="11"/>
  <c r="Z626" i="11"/>
  <c r="Z627" i="11"/>
  <c r="Z628" i="11"/>
  <c r="Z629" i="11"/>
  <c r="Z630" i="11"/>
  <c r="Z631" i="11"/>
  <c r="Z632" i="11"/>
  <c r="Z633" i="11"/>
  <c r="Z634" i="11"/>
  <c r="Z635" i="11"/>
  <c r="Z636" i="11"/>
  <c r="Z637" i="11"/>
  <c r="Z638" i="11"/>
  <c r="Z639" i="11"/>
  <c r="Z640" i="11"/>
  <c r="Z641" i="11"/>
  <c r="Z642" i="11"/>
  <c r="Z643" i="11"/>
  <c r="Z644" i="11"/>
  <c r="Z645" i="11"/>
  <c r="Z646" i="11"/>
  <c r="Z647" i="11"/>
  <c r="Z648" i="11"/>
  <c r="Z649" i="11"/>
  <c r="Z650" i="11"/>
  <c r="Z651" i="11"/>
  <c r="Z652" i="11"/>
  <c r="Z653" i="11"/>
  <c r="Z654" i="11"/>
  <c r="Z655" i="11"/>
  <c r="Z656" i="11"/>
  <c r="Z657" i="11"/>
  <c r="Z658" i="11"/>
  <c r="Z659" i="11"/>
  <c r="Z660" i="11"/>
  <c r="Z661" i="11"/>
  <c r="Z662" i="11"/>
  <c r="Z663" i="11"/>
  <c r="Z664" i="11"/>
  <c r="Z665" i="11"/>
  <c r="Z666" i="11"/>
  <c r="Z667" i="11"/>
  <c r="Z668" i="11"/>
  <c r="Z669" i="11"/>
  <c r="Z670" i="11"/>
  <c r="Z671" i="11"/>
  <c r="Z672" i="11"/>
  <c r="Z673" i="11"/>
  <c r="Z674" i="11"/>
  <c r="Z675" i="11"/>
  <c r="Z676" i="11"/>
  <c r="Z677" i="11"/>
  <c r="Z678" i="11"/>
  <c r="Z679" i="11"/>
  <c r="Z680" i="11"/>
  <c r="Z681" i="11"/>
  <c r="Z682" i="11"/>
  <c r="Z683" i="11"/>
  <c r="Z684" i="11"/>
  <c r="Z685" i="11"/>
  <c r="Z686" i="11"/>
  <c r="Z687" i="11"/>
  <c r="Z688" i="11"/>
  <c r="Z689" i="11"/>
  <c r="Z690" i="11"/>
  <c r="Z691" i="11"/>
  <c r="Z692" i="11"/>
  <c r="Z693" i="11"/>
  <c r="Z694" i="11"/>
  <c r="Z695" i="11"/>
  <c r="Z696" i="11"/>
  <c r="Z697" i="11"/>
  <c r="Z698" i="11"/>
  <c r="Z699" i="11"/>
  <c r="Z700" i="11"/>
  <c r="Z701" i="11"/>
  <c r="Z702" i="11"/>
  <c r="Z703" i="11"/>
  <c r="Z704" i="11"/>
  <c r="Z705" i="11"/>
  <c r="Z706" i="11"/>
  <c r="Z707" i="11"/>
  <c r="Z708" i="11"/>
  <c r="Z709" i="11"/>
  <c r="Z710" i="11"/>
  <c r="Z711" i="11"/>
  <c r="Z712" i="11"/>
  <c r="Z713" i="11"/>
  <c r="Z714" i="11"/>
  <c r="Z715" i="11"/>
  <c r="Z716" i="11"/>
  <c r="Z717" i="11"/>
  <c r="Z718" i="11"/>
  <c r="Z719" i="11"/>
  <c r="Z720" i="11"/>
  <c r="Z721" i="11"/>
  <c r="Z722" i="11"/>
  <c r="Z723" i="11"/>
  <c r="Z724" i="11"/>
  <c r="Z725" i="11"/>
  <c r="Z726" i="11"/>
  <c r="Z727" i="11"/>
  <c r="Z728" i="11"/>
  <c r="Z729" i="11"/>
  <c r="Z730" i="11"/>
  <c r="Z731" i="11"/>
  <c r="Z732" i="11"/>
  <c r="Z733" i="11"/>
  <c r="Z734" i="11"/>
  <c r="Z735" i="11"/>
  <c r="Z736" i="11"/>
  <c r="Z737" i="11"/>
  <c r="Z738" i="11"/>
  <c r="Z739" i="11"/>
  <c r="Z740" i="11"/>
  <c r="Z741" i="11"/>
  <c r="Z742" i="11"/>
  <c r="Z743" i="11"/>
  <c r="Z744" i="11"/>
  <c r="Z745" i="11"/>
  <c r="Z746" i="11"/>
  <c r="Z747" i="11"/>
  <c r="Z748" i="11"/>
  <c r="Z749" i="11"/>
  <c r="Z750" i="11"/>
  <c r="Z751" i="11"/>
  <c r="Z752" i="11"/>
  <c r="Z753" i="11"/>
  <c r="Z754" i="11"/>
  <c r="Z755" i="11"/>
  <c r="Z756" i="11"/>
  <c r="Z757" i="11"/>
  <c r="Z758" i="11"/>
  <c r="Z759" i="11"/>
  <c r="Z760" i="11"/>
  <c r="Z761" i="11"/>
  <c r="Z762" i="11"/>
  <c r="Z763" i="11"/>
  <c r="Z764" i="11"/>
  <c r="Z765" i="11"/>
  <c r="Z766" i="11"/>
  <c r="Z767" i="11"/>
  <c r="Z768" i="11"/>
  <c r="Z769" i="11"/>
  <c r="Z770" i="11"/>
  <c r="Z771" i="11"/>
  <c r="Z772" i="11"/>
  <c r="Z773" i="11"/>
  <c r="Z774" i="11"/>
  <c r="Z775" i="11"/>
  <c r="Z776" i="11"/>
  <c r="Z777" i="11"/>
  <c r="Z778" i="11"/>
  <c r="Z779" i="11"/>
  <c r="Z780" i="11"/>
  <c r="Z781" i="11"/>
  <c r="Z782" i="11"/>
  <c r="Z783" i="11"/>
  <c r="Z784" i="11"/>
  <c r="Z785" i="11"/>
  <c r="Z786" i="11"/>
  <c r="Z787" i="11"/>
  <c r="Z788" i="11"/>
  <c r="Z789" i="11"/>
  <c r="Z790" i="11"/>
  <c r="Z791" i="11"/>
  <c r="Z792" i="11"/>
  <c r="Z793" i="11"/>
  <c r="Z794" i="11"/>
  <c r="Z795" i="11"/>
  <c r="Z796" i="11"/>
  <c r="Z797" i="11"/>
  <c r="Z798" i="11"/>
  <c r="Z799" i="11"/>
  <c r="Z800" i="11"/>
  <c r="Z801" i="11"/>
  <c r="Z802" i="11"/>
  <c r="Z803" i="11"/>
  <c r="Z804" i="11"/>
  <c r="Z805" i="11"/>
  <c r="Z806" i="11"/>
  <c r="Z807" i="11"/>
  <c r="Z808" i="11"/>
  <c r="Z809" i="11"/>
  <c r="Z810" i="11"/>
  <c r="Z811" i="11"/>
  <c r="Z812" i="11"/>
  <c r="Z813" i="11"/>
  <c r="Z814" i="11"/>
  <c r="Z815" i="11"/>
  <c r="Z816" i="11"/>
  <c r="Z817" i="11"/>
  <c r="Z818" i="11"/>
  <c r="Z819" i="11"/>
  <c r="Z820" i="11"/>
  <c r="Z821" i="11"/>
  <c r="Z822" i="11"/>
  <c r="Z823" i="11"/>
  <c r="Z824" i="11"/>
  <c r="Z825" i="11"/>
  <c r="Z826" i="11"/>
  <c r="Z827" i="11"/>
  <c r="Z828" i="11"/>
  <c r="Z829" i="11"/>
  <c r="Z830" i="11"/>
  <c r="Z831" i="11"/>
  <c r="Z832" i="11"/>
  <c r="Z833" i="11"/>
  <c r="Z834" i="11"/>
  <c r="Z835" i="11"/>
  <c r="Z836" i="11"/>
  <c r="Z837" i="11"/>
  <c r="Z838" i="11"/>
  <c r="Z839" i="11"/>
  <c r="Z840" i="11"/>
  <c r="Z841" i="11"/>
  <c r="Z842" i="11"/>
  <c r="Z843" i="11"/>
  <c r="Z844" i="11"/>
  <c r="Z845" i="11"/>
  <c r="Z846" i="11"/>
  <c r="Z847" i="11"/>
  <c r="Z848" i="11"/>
  <c r="Z849" i="11"/>
  <c r="Z850" i="11"/>
  <c r="Z851" i="11"/>
  <c r="Z852" i="11"/>
  <c r="Z853" i="11"/>
  <c r="Z854" i="11"/>
  <c r="Z855" i="11"/>
  <c r="Z856" i="11"/>
  <c r="Z857" i="11"/>
  <c r="Z858" i="11"/>
  <c r="Z859" i="11"/>
  <c r="Z860" i="11"/>
  <c r="Z861" i="11"/>
  <c r="Z862" i="11"/>
  <c r="Z863" i="11"/>
  <c r="Z864" i="11"/>
  <c r="Z865" i="11"/>
  <c r="Z866" i="11"/>
  <c r="Z867" i="11"/>
  <c r="Z868" i="11"/>
  <c r="Z869" i="11"/>
  <c r="Z870" i="11"/>
  <c r="Z871" i="11"/>
  <c r="Z872" i="11"/>
  <c r="Z873" i="11"/>
  <c r="Z874" i="11"/>
  <c r="Z875" i="11"/>
  <c r="Z876" i="11"/>
  <c r="Z877" i="11"/>
  <c r="Z878" i="11"/>
  <c r="Z879" i="11"/>
  <c r="Z880" i="11"/>
  <c r="Z881" i="11"/>
  <c r="Z882" i="11"/>
  <c r="Z883" i="11"/>
  <c r="Z884" i="11"/>
  <c r="Z885" i="11"/>
  <c r="Z886" i="11"/>
  <c r="Z887" i="11"/>
  <c r="Z888" i="11"/>
  <c r="Z889" i="11"/>
  <c r="Z890" i="11"/>
  <c r="Z891" i="11"/>
  <c r="Z892" i="11"/>
  <c r="Z893" i="11"/>
  <c r="Z894" i="11"/>
  <c r="Z895" i="11"/>
  <c r="Z896" i="11"/>
  <c r="Z897" i="11"/>
  <c r="Z898" i="11"/>
  <c r="Z899" i="11"/>
  <c r="Z900" i="11"/>
  <c r="Z901" i="11"/>
  <c r="Z902" i="11"/>
  <c r="Z903" i="11"/>
  <c r="Z904" i="11"/>
  <c r="Z905" i="11"/>
  <c r="Z906" i="11"/>
  <c r="Z907" i="11"/>
  <c r="Z908" i="11"/>
  <c r="Z909" i="11"/>
  <c r="Z910" i="11"/>
  <c r="Z911" i="11"/>
  <c r="Z912" i="11"/>
  <c r="Z913" i="11"/>
  <c r="Z914" i="11"/>
  <c r="Z915" i="11"/>
  <c r="Z916" i="11"/>
  <c r="Z917" i="11"/>
  <c r="Z918" i="11"/>
  <c r="Z919" i="11"/>
  <c r="Z920" i="11"/>
  <c r="Z921" i="11"/>
  <c r="Z922" i="11"/>
  <c r="Z923" i="11"/>
  <c r="Z924" i="11"/>
  <c r="Z925" i="11"/>
  <c r="Z926" i="11"/>
  <c r="Z927" i="11"/>
  <c r="Z928" i="11"/>
  <c r="Z929" i="11"/>
  <c r="Z930" i="11"/>
  <c r="Z931" i="11"/>
  <c r="Z932" i="11"/>
  <c r="Z933" i="11"/>
  <c r="Z934" i="11"/>
  <c r="Z935" i="11"/>
  <c r="Z936" i="11"/>
  <c r="Z937" i="11"/>
  <c r="Z938" i="11"/>
  <c r="Z939" i="11"/>
  <c r="Z940" i="11"/>
  <c r="Z941" i="11"/>
  <c r="Z942" i="11"/>
  <c r="Z943" i="11"/>
  <c r="Z944" i="11"/>
  <c r="Z945" i="11"/>
  <c r="Z946" i="11"/>
  <c r="Z947" i="11"/>
  <c r="Z948" i="11"/>
  <c r="Z949" i="11"/>
  <c r="Z950" i="11"/>
  <c r="Z951" i="11"/>
  <c r="Z952" i="11"/>
  <c r="Z953" i="11"/>
  <c r="Z954" i="11"/>
  <c r="Z955" i="11"/>
  <c r="Z956" i="11"/>
  <c r="Z957" i="11"/>
  <c r="Z958" i="11"/>
  <c r="Z959" i="11"/>
  <c r="Z960" i="11"/>
  <c r="Z961" i="11"/>
  <c r="Z962" i="11"/>
  <c r="Z963" i="11"/>
  <c r="Z964" i="11"/>
  <c r="Z965" i="11"/>
  <c r="Z966" i="11"/>
  <c r="Z967" i="11"/>
  <c r="Z968" i="11"/>
  <c r="Z969" i="11"/>
  <c r="Z970" i="11"/>
  <c r="Z971" i="11"/>
  <c r="Z972" i="11"/>
  <c r="Z973" i="11"/>
  <c r="Z974" i="11"/>
  <c r="Z975" i="11"/>
  <c r="Z976" i="11"/>
  <c r="Z977" i="11"/>
  <c r="Z978" i="11"/>
  <c r="Z979" i="11"/>
  <c r="Z980" i="11"/>
  <c r="Z981" i="11"/>
  <c r="Z982" i="11"/>
  <c r="Z983" i="11"/>
  <c r="Z984" i="11"/>
  <c r="Z985" i="11"/>
  <c r="Z986" i="11"/>
  <c r="Z987" i="11"/>
  <c r="Z988" i="11"/>
  <c r="Z989" i="11"/>
  <c r="Z990" i="11"/>
  <c r="Z991" i="11"/>
  <c r="Z992" i="11"/>
  <c r="Z993" i="11"/>
  <c r="Z994" i="11"/>
  <c r="Z995" i="11"/>
  <c r="Z996" i="11"/>
  <c r="Z997" i="11"/>
  <c r="Z998" i="11"/>
  <c r="Z999" i="11"/>
  <c r="Z1000" i="11"/>
  <c r="Z1001" i="11"/>
  <c r="Z1002" i="11"/>
  <c r="Z1003" i="11"/>
  <c r="Z1004" i="11"/>
  <c r="Z1005" i="11"/>
  <c r="Z1006" i="11"/>
  <c r="Z1007" i="11"/>
  <c r="Z1008" i="11"/>
  <c r="Z1009" i="11"/>
  <c r="Z1010" i="11"/>
  <c r="Z1011" i="11"/>
  <c r="Z1012" i="11"/>
  <c r="Z1013" i="11"/>
  <c r="Z1014" i="11"/>
  <c r="Z1015" i="11"/>
  <c r="Z1016" i="11"/>
  <c r="Z1017" i="11"/>
  <c r="Z1018" i="11"/>
  <c r="Z1019" i="11"/>
  <c r="Z1020" i="11"/>
  <c r="Z1021" i="11"/>
  <c r="Z1022" i="11"/>
  <c r="Z1023" i="11"/>
  <c r="Z1024" i="11"/>
  <c r="Z1025" i="11"/>
  <c r="Z1026" i="11"/>
  <c r="Z1027" i="11"/>
  <c r="Z1028" i="11"/>
  <c r="Z1029" i="11"/>
  <c r="Z1030" i="11"/>
  <c r="Z1031" i="11"/>
  <c r="Z1032" i="11"/>
  <c r="Z1033" i="11"/>
  <c r="Z1034" i="11"/>
  <c r="Z1035" i="11"/>
  <c r="Z1036" i="11"/>
  <c r="Z1037" i="11"/>
  <c r="Z1038" i="11"/>
  <c r="Z1039" i="11"/>
  <c r="Z1040" i="11"/>
  <c r="Z1041" i="11"/>
  <c r="Z1042" i="11"/>
  <c r="Z1043" i="11"/>
  <c r="Z1044" i="11"/>
  <c r="Z1045" i="11"/>
  <c r="Z1046" i="11"/>
  <c r="Z1047" i="11"/>
  <c r="Z1048" i="11"/>
  <c r="Z1049" i="11"/>
  <c r="Z1050" i="11"/>
  <c r="Z1051" i="11"/>
  <c r="Z1052" i="11"/>
  <c r="Z1053" i="11"/>
  <c r="Z1054" i="11"/>
  <c r="Z1055" i="11"/>
  <c r="Z1056" i="11"/>
  <c r="Z1057" i="11"/>
  <c r="Z1058" i="11"/>
  <c r="Z1059" i="11"/>
  <c r="Z1060" i="11"/>
  <c r="Z1061" i="11"/>
  <c r="Z1062" i="11"/>
  <c r="Z1063" i="11"/>
  <c r="Z1064" i="11"/>
  <c r="Z1065" i="11"/>
  <c r="Z1066" i="11"/>
  <c r="Z1067" i="11"/>
  <c r="Z1068" i="11"/>
  <c r="Z1069" i="11"/>
  <c r="Z1070" i="11"/>
  <c r="Z1071" i="11"/>
  <c r="Z1072" i="11"/>
  <c r="Z1073" i="11"/>
  <c r="Z1074" i="11"/>
  <c r="Z1075" i="11"/>
  <c r="Z1076" i="11"/>
  <c r="Z1077" i="11"/>
  <c r="Z1078" i="11"/>
  <c r="Z1079" i="11"/>
  <c r="Z1080" i="11"/>
  <c r="Z1081" i="11"/>
  <c r="Z1082" i="11"/>
  <c r="Z1083" i="11"/>
  <c r="Z1084" i="11"/>
  <c r="Z1085" i="11"/>
  <c r="Z1086" i="11"/>
  <c r="Z1087" i="11"/>
  <c r="Z1088" i="11"/>
  <c r="Z1089" i="11"/>
  <c r="Z1090" i="11"/>
  <c r="Z1091" i="11"/>
  <c r="Z1092" i="11"/>
  <c r="Z1093" i="11"/>
  <c r="Z1094" i="11"/>
  <c r="Z1095" i="11"/>
  <c r="Z1096" i="11"/>
  <c r="Z1097" i="11"/>
  <c r="Z1098" i="11"/>
  <c r="Z1099" i="11"/>
  <c r="Z1100" i="11"/>
  <c r="Z1101" i="11"/>
  <c r="Z1102" i="11"/>
  <c r="Z1103" i="11"/>
  <c r="Z1104" i="11"/>
  <c r="Z1105" i="11"/>
  <c r="Z1106" i="11"/>
  <c r="Z1107" i="11"/>
  <c r="Z1108" i="11"/>
  <c r="Z1109" i="11"/>
  <c r="Z1110" i="11"/>
  <c r="Z1111" i="11"/>
  <c r="Z1112" i="11"/>
  <c r="Z1113" i="11"/>
  <c r="Z1114" i="11"/>
  <c r="Z1115" i="11"/>
  <c r="Z1116" i="11"/>
  <c r="Z1117" i="11"/>
  <c r="Z1118" i="11"/>
  <c r="Z1119" i="11"/>
  <c r="Z1120" i="11"/>
  <c r="Z1121" i="11"/>
  <c r="Z1122" i="11"/>
  <c r="Z1123" i="11"/>
  <c r="Z1124" i="11"/>
  <c r="Z1125" i="11"/>
  <c r="Z1126" i="11"/>
  <c r="Z1127" i="11"/>
  <c r="Z1128" i="11"/>
  <c r="Z1129" i="11"/>
  <c r="Z1130" i="11"/>
  <c r="Z1131" i="11"/>
  <c r="Z1132" i="11"/>
  <c r="Z1133" i="11"/>
  <c r="Z1134" i="11"/>
  <c r="Z1135" i="11"/>
  <c r="Z1136" i="11"/>
  <c r="Z1137" i="11"/>
  <c r="Z1138" i="11"/>
  <c r="Z1139" i="11"/>
  <c r="Z1140" i="11"/>
  <c r="Z1141" i="11"/>
  <c r="Z1142" i="11"/>
  <c r="Z1143" i="11"/>
  <c r="Z1144" i="11"/>
  <c r="Z1145" i="11"/>
  <c r="Z1146" i="11"/>
  <c r="Z1147" i="11"/>
  <c r="Z1148" i="11"/>
  <c r="Z1149" i="11"/>
  <c r="Z1150" i="11"/>
  <c r="Z1151" i="11"/>
  <c r="Z1152" i="11"/>
  <c r="Z1153" i="11"/>
  <c r="Z1154" i="11"/>
  <c r="Z1155" i="11"/>
  <c r="Z1156" i="11"/>
  <c r="Z1157" i="11"/>
  <c r="Z1158" i="11"/>
  <c r="Z1159" i="11"/>
  <c r="Z1160" i="11"/>
  <c r="Z1161" i="11"/>
  <c r="Z1162" i="11"/>
  <c r="Z1163" i="11"/>
  <c r="Z1164" i="11"/>
  <c r="Z1165" i="11"/>
  <c r="Z1166" i="11"/>
  <c r="Z1167" i="11"/>
  <c r="Z1168" i="11"/>
  <c r="Z1169" i="11"/>
  <c r="Z1170" i="11"/>
  <c r="Z1171" i="11"/>
  <c r="Z1172" i="11"/>
  <c r="Z1173" i="11"/>
  <c r="Z1174" i="11"/>
  <c r="Z1175" i="11"/>
  <c r="Z1176" i="11"/>
  <c r="Z1177" i="11"/>
  <c r="Z1178" i="11"/>
  <c r="Z1179" i="11"/>
  <c r="Z1180" i="11"/>
  <c r="Z1181" i="11"/>
  <c r="Z1182" i="11"/>
  <c r="Z1183" i="11"/>
  <c r="Z1184" i="11"/>
  <c r="Z1185" i="11"/>
  <c r="Z1186" i="11"/>
  <c r="Z1187" i="11"/>
  <c r="Z1188" i="11"/>
  <c r="Z1189" i="11"/>
  <c r="Z1190" i="11"/>
  <c r="Z1191" i="11"/>
  <c r="Z1192" i="11"/>
  <c r="Z1193" i="11"/>
  <c r="Z1194" i="11"/>
  <c r="Z1195" i="11"/>
  <c r="Z1196" i="11"/>
  <c r="Z1197" i="11"/>
  <c r="Z1198" i="11"/>
  <c r="Z1199" i="11"/>
  <c r="Z1200" i="11"/>
  <c r="Z1201" i="11"/>
  <c r="Z1202" i="11"/>
  <c r="Z1203" i="11"/>
  <c r="Z1204" i="11"/>
  <c r="Z1205" i="11"/>
  <c r="Z1206" i="11"/>
  <c r="Z1207" i="11"/>
  <c r="Z1208" i="11"/>
  <c r="Z1209" i="11"/>
  <c r="Z1210" i="11"/>
  <c r="Z1211" i="11"/>
  <c r="Z1212" i="11"/>
  <c r="Z1213" i="11"/>
  <c r="Z1214" i="11"/>
  <c r="Z1215" i="11"/>
  <c r="Z1216" i="11"/>
  <c r="Z1217" i="11"/>
  <c r="Z1218" i="11"/>
  <c r="Z1219" i="11"/>
  <c r="Z1220" i="11"/>
  <c r="Z1221" i="11"/>
  <c r="Z1222" i="11"/>
  <c r="Z1223" i="11"/>
  <c r="Z1224" i="11"/>
  <c r="Z1225" i="11"/>
  <c r="Z1226" i="11"/>
  <c r="Z1227" i="11"/>
  <c r="Z1228" i="11"/>
  <c r="Z1229" i="11"/>
  <c r="Z1230" i="11"/>
  <c r="Z1231" i="11"/>
  <c r="Z1232" i="11"/>
  <c r="Z1233" i="11"/>
  <c r="Z1234" i="11"/>
  <c r="Z1235" i="11"/>
  <c r="Z1236" i="11"/>
  <c r="Z1237" i="11"/>
  <c r="Z1238" i="11"/>
  <c r="Z1239" i="11"/>
  <c r="Z1240" i="11"/>
  <c r="Z1241" i="11"/>
  <c r="Z1242" i="11"/>
  <c r="Z1243" i="11"/>
  <c r="Z1244" i="11"/>
  <c r="Z1245" i="11"/>
  <c r="Z1246" i="11"/>
  <c r="Z1247" i="11"/>
  <c r="Z1248" i="11"/>
  <c r="Z1249" i="11"/>
  <c r="Z1250" i="11"/>
  <c r="Z1251" i="11"/>
  <c r="Z1252" i="11"/>
  <c r="Z1253" i="11"/>
  <c r="Z1254" i="11"/>
  <c r="Z1255" i="11"/>
  <c r="Z1256" i="11"/>
  <c r="Z1257" i="11"/>
  <c r="Z1258" i="11"/>
  <c r="Z1259" i="11"/>
  <c r="Z1260" i="11"/>
  <c r="Z1261" i="11"/>
  <c r="Z1262" i="11"/>
  <c r="Z1263" i="11"/>
  <c r="Z1264" i="11"/>
  <c r="Z1265" i="11"/>
  <c r="Z1266" i="11"/>
  <c r="Z1267" i="11"/>
  <c r="Z1268" i="11"/>
  <c r="Z1269" i="11"/>
  <c r="Z1270" i="11"/>
  <c r="Z1271" i="11"/>
  <c r="Z1272" i="11"/>
  <c r="Z1273" i="11"/>
  <c r="Z1274" i="11"/>
  <c r="Z1275" i="11"/>
  <c r="Z1276" i="11"/>
  <c r="Z1277" i="11"/>
  <c r="Z1278" i="11"/>
  <c r="Z1279" i="11"/>
  <c r="Z1280" i="11"/>
  <c r="Z1281" i="11"/>
  <c r="Z1282" i="11"/>
  <c r="Z1283" i="11"/>
  <c r="Z1284" i="11"/>
  <c r="Z1285" i="11"/>
  <c r="Z1286" i="11"/>
  <c r="Z1287" i="11"/>
  <c r="Z1288" i="11"/>
  <c r="Z1289" i="11"/>
  <c r="Z1290" i="11"/>
  <c r="Z1291" i="11"/>
  <c r="Z1292" i="11"/>
  <c r="Z1293" i="11"/>
  <c r="Z1294" i="11"/>
  <c r="Z1295" i="11"/>
  <c r="Z1296" i="11"/>
  <c r="Z1297" i="11"/>
  <c r="Z1298" i="11"/>
  <c r="Z1299" i="11"/>
  <c r="Z1300" i="11"/>
  <c r="Z1301" i="11"/>
  <c r="Z1302" i="11"/>
  <c r="Z1303" i="11"/>
  <c r="Z1304" i="11"/>
  <c r="Z1305" i="11"/>
  <c r="Z1306" i="11"/>
  <c r="Z1307" i="11"/>
  <c r="Z1308" i="11"/>
  <c r="Z1309" i="11"/>
  <c r="Z1310" i="11"/>
  <c r="Z1311" i="11"/>
  <c r="Z1312" i="11"/>
  <c r="Z1313" i="11"/>
  <c r="Z1314" i="11"/>
  <c r="Z1315" i="11"/>
  <c r="Z1316" i="11"/>
  <c r="Z1317" i="11"/>
  <c r="Z1318" i="11"/>
  <c r="Z1319" i="11"/>
  <c r="Z1320" i="11"/>
  <c r="Z1321" i="11"/>
  <c r="Z1322" i="11"/>
  <c r="Z1323" i="11"/>
  <c r="Z1324" i="11"/>
  <c r="Z1325" i="11"/>
  <c r="Z1326" i="11"/>
  <c r="Z1327" i="11"/>
  <c r="Z1328" i="11"/>
  <c r="Z1329" i="11"/>
  <c r="Z1330" i="11"/>
  <c r="Z1331" i="11"/>
  <c r="Z1332" i="11"/>
  <c r="Z1333" i="11"/>
  <c r="Z1334" i="11"/>
  <c r="Z1335" i="11"/>
  <c r="Z1336" i="11"/>
  <c r="Z1337" i="11"/>
  <c r="Z1338" i="11"/>
  <c r="Z1339" i="11"/>
  <c r="Z1340" i="11"/>
  <c r="Z1341" i="11"/>
  <c r="Z1342" i="11"/>
  <c r="Z1343" i="11"/>
  <c r="Z1344" i="11"/>
  <c r="Z1345" i="11"/>
  <c r="Z1346" i="11"/>
  <c r="Z1347" i="11"/>
  <c r="Z1348" i="11"/>
  <c r="Z1349" i="11"/>
  <c r="Z1350" i="11"/>
  <c r="Z1351" i="11"/>
  <c r="Z1352" i="11"/>
  <c r="Z1353" i="11"/>
  <c r="Z1354" i="11"/>
  <c r="Z1355" i="11"/>
  <c r="Z1356" i="11"/>
  <c r="Z1357" i="11"/>
  <c r="Z1358" i="11"/>
  <c r="Z1359" i="11"/>
  <c r="Z1360" i="11"/>
  <c r="Z1361" i="11"/>
  <c r="Z1362" i="11"/>
  <c r="Z1363" i="11"/>
  <c r="Z1364" i="11"/>
  <c r="Z1365" i="11"/>
  <c r="Z1366" i="11"/>
  <c r="Z1367" i="11"/>
  <c r="Z1368" i="11"/>
  <c r="Z1369" i="11"/>
  <c r="Z1370" i="11"/>
  <c r="Z1371" i="11"/>
  <c r="Z1372" i="11"/>
  <c r="Z1373" i="11"/>
  <c r="Z1374" i="11"/>
  <c r="Z1375" i="11"/>
  <c r="Z1376" i="11"/>
  <c r="Z1377" i="11"/>
  <c r="Z1378" i="11"/>
  <c r="Z1379" i="11"/>
  <c r="Z1380" i="11"/>
  <c r="Z1381" i="11"/>
  <c r="Z1382" i="11"/>
  <c r="Z1383" i="11"/>
  <c r="Z1384" i="11"/>
  <c r="Z1385" i="11"/>
  <c r="Z1386" i="11"/>
  <c r="Z1387" i="11"/>
  <c r="Z1388" i="11"/>
  <c r="Z1389" i="11"/>
  <c r="Z1390" i="11"/>
  <c r="Z1391" i="11"/>
  <c r="Z1392" i="11"/>
  <c r="Z1393" i="11"/>
  <c r="Z1394" i="11"/>
  <c r="Z1395" i="11"/>
  <c r="Z1396" i="11"/>
  <c r="Z1397" i="11"/>
  <c r="Z1398" i="11"/>
  <c r="Z1399" i="11"/>
  <c r="Z1400" i="11"/>
  <c r="Z1401" i="11"/>
  <c r="Z1402" i="11"/>
  <c r="Z1403" i="11"/>
  <c r="Z1404" i="11"/>
  <c r="Z1405" i="11"/>
  <c r="Z1406" i="11"/>
  <c r="Z1407" i="11"/>
  <c r="Z1408" i="11"/>
  <c r="Z1409" i="11"/>
  <c r="Z1410" i="11"/>
  <c r="Z1411" i="11"/>
  <c r="Z1412" i="11"/>
  <c r="Z1413" i="11"/>
  <c r="Z1414" i="11"/>
  <c r="Z1415" i="11"/>
  <c r="Z1416" i="11"/>
  <c r="Z1417" i="11"/>
  <c r="Z1418" i="11"/>
  <c r="Z1419" i="11"/>
  <c r="Z1420" i="11"/>
  <c r="Z1421" i="11"/>
  <c r="Z1422" i="11"/>
  <c r="Z1423" i="11"/>
  <c r="Z1424" i="11"/>
  <c r="Z1425" i="11"/>
  <c r="Z1426" i="11"/>
  <c r="Z1427" i="11"/>
  <c r="Z1428" i="11"/>
  <c r="Z1429" i="11"/>
  <c r="Z1430" i="11"/>
  <c r="Z1431" i="11"/>
  <c r="Z1432" i="11"/>
  <c r="Z1433" i="11"/>
  <c r="Z1434" i="11"/>
  <c r="Z1435" i="11"/>
  <c r="Z1436" i="11"/>
  <c r="Z1437" i="11"/>
  <c r="Z1438" i="11"/>
  <c r="Z1439" i="11"/>
  <c r="Z1440" i="11"/>
  <c r="Z1441" i="11"/>
  <c r="Z1442" i="11"/>
  <c r="Z1443" i="11"/>
  <c r="Z1444" i="11"/>
  <c r="Z1445" i="11"/>
  <c r="Z1446" i="11"/>
  <c r="Z1447" i="11"/>
  <c r="Z1448" i="11"/>
  <c r="Z1449" i="11"/>
  <c r="Z1450" i="11"/>
  <c r="Z1451" i="11"/>
  <c r="Z1452" i="11"/>
  <c r="Z1453" i="11"/>
  <c r="Z1454" i="11"/>
  <c r="Z1455" i="11"/>
  <c r="Z1456" i="11"/>
  <c r="Z1457" i="11"/>
  <c r="Z1458" i="11"/>
  <c r="Z1459" i="11"/>
  <c r="Z1460" i="11"/>
  <c r="Z1461" i="11"/>
  <c r="Z1462" i="11"/>
  <c r="Z1463" i="11"/>
  <c r="Z1464" i="11"/>
  <c r="Z1465" i="11"/>
  <c r="Z1466" i="11"/>
  <c r="Z1467" i="11"/>
  <c r="Z1468" i="11"/>
  <c r="Z1469" i="11"/>
  <c r="Z1470" i="11"/>
  <c r="Z1471" i="11"/>
  <c r="Z1472" i="11"/>
  <c r="Z1473" i="11"/>
  <c r="Z1474" i="11"/>
  <c r="Z1475" i="11"/>
  <c r="Z1476" i="11"/>
  <c r="Z1477" i="11"/>
  <c r="Z1478" i="11"/>
  <c r="Z1479" i="11"/>
  <c r="Z1480" i="11"/>
  <c r="Z1481" i="11"/>
  <c r="Z1482" i="11"/>
  <c r="Z1483" i="11"/>
  <c r="Z1484" i="11"/>
  <c r="Z1485" i="11"/>
  <c r="Z1486" i="11"/>
  <c r="Z1487" i="11"/>
  <c r="Z1488" i="11"/>
  <c r="Z1489" i="11"/>
  <c r="Z1490" i="11"/>
  <c r="Z1491" i="11"/>
  <c r="Z1492" i="11"/>
  <c r="Z1493" i="11"/>
  <c r="Z1494" i="11"/>
  <c r="Z1495" i="11"/>
  <c r="Z1496" i="11"/>
  <c r="Z1497" i="11"/>
  <c r="Z1498" i="11"/>
  <c r="Z1499" i="11"/>
  <c r="Z1500" i="11"/>
  <c r="Z1501" i="11"/>
  <c r="Z1502" i="11"/>
  <c r="Z1503" i="11"/>
  <c r="Z1504" i="11"/>
  <c r="Z1505" i="11"/>
  <c r="Z1506" i="11"/>
  <c r="Z1507" i="11"/>
  <c r="Z1508" i="11"/>
  <c r="Z1509" i="11"/>
  <c r="Z1510" i="11"/>
  <c r="Z1511" i="11"/>
  <c r="Z1512" i="11"/>
  <c r="Z1513" i="11"/>
  <c r="Z1514" i="11"/>
  <c r="Z1515" i="11"/>
  <c r="Z1516" i="11"/>
  <c r="Z1517" i="11"/>
  <c r="Z1518" i="11"/>
  <c r="Z1519" i="11"/>
  <c r="Z1520" i="11"/>
  <c r="Z1521" i="11"/>
  <c r="Z1522" i="11"/>
  <c r="Z1523" i="11"/>
  <c r="Z1524" i="11"/>
  <c r="Z1525" i="11"/>
  <c r="Z1526" i="11"/>
  <c r="Z1527" i="11"/>
  <c r="Z1528" i="11"/>
  <c r="Z1529" i="11"/>
  <c r="Z1530" i="11"/>
  <c r="Z1531" i="11"/>
  <c r="Z1532" i="11"/>
  <c r="Z1533" i="11"/>
  <c r="Z1534" i="11"/>
  <c r="Z1535" i="11"/>
  <c r="Z1536" i="11"/>
  <c r="Z1537" i="11"/>
  <c r="Z1538" i="11"/>
  <c r="Z1539" i="11"/>
  <c r="Z1540" i="11"/>
  <c r="Z1541" i="11"/>
  <c r="Z1542" i="11"/>
  <c r="Z1543" i="11"/>
  <c r="Z1544" i="11"/>
  <c r="Z1545" i="11"/>
  <c r="Z1546" i="11"/>
  <c r="Z1547" i="11"/>
  <c r="Z1548" i="11"/>
  <c r="Z1549" i="11"/>
  <c r="Z1550" i="11"/>
  <c r="Z1551" i="11"/>
  <c r="Z1552" i="11"/>
  <c r="Z1553" i="11"/>
  <c r="Z1554" i="11"/>
  <c r="Z1555" i="11"/>
  <c r="Z1556" i="11"/>
  <c r="Z1557" i="11"/>
  <c r="Z1558" i="11"/>
  <c r="Z1559" i="11"/>
  <c r="Z1560" i="11"/>
  <c r="Z1561" i="11"/>
  <c r="Z1562" i="11"/>
  <c r="Z1563" i="11"/>
  <c r="Z1564" i="11"/>
  <c r="Z1565" i="11"/>
  <c r="Z1566" i="11"/>
  <c r="Z1567" i="11"/>
  <c r="Z1568" i="11"/>
  <c r="Z1569" i="11"/>
  <c r="Z1570" i="11"/>
  <c r="Z1571" i="11"/>
  <c r="Z1572" i="11"/>
  <c r="Z1573" i="11"/>
  <c r="Z1574" i="11"/>
  <c r="Z1575" i="11"/>
  <c r="Z1576" i="11"/>
  <c r="Z1577" i="11"/>
  <c r="Z1578" i="11"/>
  <c r="Z1579" i="11"/>
  <c r="Z1580" i="11"/>
  <c r="Z1581" i="11"/>
  <c r="Z1582" i="11"/>
  <c r="Z1583" i="11"/>
  <c r="Z1584" i="11"/>
  <c r="Z1585" i="11"/>
  <c r="Z1586" i="11"/>
  <c r="Z1587" i="11"/>
  <c r="Z1588" i="11"/>
  <c r="Z1589" i="11"/>
  <c r="Z1590" i="11"/>
  <c r="Z1591" i="11"/>
  <c r="Z1592" i="11"/>
  <c r="Z1593" i="11"/>
  <c r="Z1594" i="11"/>
  <c r="Z1595" i="11"/>
  <c r="Z1596" i="11"/>
  <c r="Z1597" i="11"/>
  <c r="Z1598" i="11"/>
  <c r="Z1599" i="11"/>
  <c r="Z1600" i="11"/>
  <c r="Z1601" i="11"/>
  <c r="Z1602" i="11"/>
  <c r="Z1603" i="11"/>
  <c r="Z1604" i="11"/>
  <c r="Z1605" i="11"/>
  <c r="Z1606" i="11"/>
  <c r="Z1607" i="11"/>
  <c r="Z1608" i="11"/>
  <c r="Z1609" i="11"/>
  <c r="Z1610" i="11"/>
  <c r="Z1611" i="11"/>
  <c r="Z1612" i="11"/>
  <c r="Z1613" i="11"/>
  <c r="Z1614" i="11"/>
  <c r="Z1615" i="11"/>
  <c r="Z1616" i="11"/>
  <c r="Z1617" i="11"/>
  <c r="Z1618" i="11"/>
  <c r="Z1619" i="11"/>
  <c r="Z1620" i="11"/>
  <c r="Z1621" i="11"/>
  <c r="Z1622" i="11"/>
  <c r="Z1623" i="11"/>
  <c r="Z1624" i="11"/>
  <c r="Z1625" i="11"/>
  <c r="Z1626" i="11"/>
  <c r="Z1627" i="11"/>
  <c r="Z1628" i="11"/>
  <c r="Z1629" i="11"/>
  <c r="Z1630" i="11"/>
  <c r="Z1631" i="11"/>
  <c r="Z1632" i="11"/>
  <c r="Z1633" i="11"/>
  <c r="Z1634" i="11"/>
  <c r="Z1635" i="11"/>
  <c r="Z1636" i="11"/>
  <c r="Z1637" i="11"/>
  <c r="Z1638" i="11"/>
  <c r="Z1639" i="11"/>
  <c r="Z1640" i="11"/>
  <c r="Z1641" i="11"/>
  <c r="Z1642" i="11"/>
  <c r="Z1643" i="11"/>
  <c r="Z1644" i="11"/>
  <c r="Z1645" i="11"/>
  <c r="Z1646" i="11"/>
  <c r="Z1647" i="11"/>
  <c r="Z1648" i="11"/>
  <c r="Z1649" i="11"/>
  <c r="Z1650" i="11"/>
  <c r="Z1651" i="11"/>
  <c r="Z1652" i="11"/>
  <c r="Z1653" i="11"/>
  <c r="Z1654" i="11"/>
  <c r="Z1655" i="11"/>
  <c r="Z1656" i="11"/>
  <c r="Z1657" i="11"/>
  <c r="Z1658" i="11"/>
  <c r="Z1659" i="11"/>
  <c r="Z1660" i="11"/>
  <c r="Z1661" i="11"/>
  <c r="Z1662" i="11"/>
  <c r="Z1663" i="11"/>
  <c r="Z1664" i="11"/>
  <c r="Z1665" i="11"/>
  <c r="Z1666" i="11"/>
  <c r="Z1667" i="11"/>
  <c r="Z1668" i="11"/>
  <c r="Z1669" i="11"/>
  <c r="Z1670" i="11"/>
  <c r="Z1671" i="11"/>
  <c r="Z1672" i="11"/>
  <c r="Z1673" i="11"/>
  <c r="Z1674" i="11"/>
  <c r="Z1675" i="11"/>
  <c r="Z1676" i="11"/>
  <c r="Z1677" i="11"/>
  <c r="Z1678" i="11"/>
  <c r="Z1679" i="11"/>
  <c r="Z1680" i="11"/>
  <c r="Z1681" i="11"/>
  <c r="Z1682" i="11"/>
  <c r="Z1683" i="11"/>
  <c r="Z1684" i="11"/>
  <c r="Z1685" i="11"/>
  <c r="Z1686" i="11"/>
  <c r="Z1687" i="11"/>
  <c r="Z1688" i="11"/>
  <c r="Z1689" i="11"/>
  <c r="Z1690" i="11"/>
  <c r="Z1691" i="11"/>
  <c r="Z1692" i="11"/>
  <c r="Z1693" i="11"/>
  <c r="Z1694" i="11"/>
  <c r="Z1695" i="11"/>
  <c r="Z1696" i="11"/>
  <c r="Z1697" i="11"/>
  <c r="Z1698" i="11"/>
  <c r="Z1699" i="11"/>
  <c r="Z1700" i="11"/>
  <c r="Z1701" i="11"/>
  <c r="Z1702" i="11"/>
  <c r="Z1703" i="11"/>
  <c r="Z1704" i="11"/>
  <c r="Z1705" i="11"/>
  <c r="Z1706" i="11"/>
  <c r="Z1707" i="11"/>
  <c r="Z1708" i="11"/>
  <c r="Z1709" i="11"/>
  <c r="Z1710" i="11"/>
  <c r="Z1711" i="11"/>
  <c r="Z1712" i="11"/>
  <c r="Z1713" i="11"/>
  <c r="Z1714" i="11"/>
  <c r="Z1715" i="11"/>
  <c r="Z1716" i="11"/>
  <c r="Z1717" i="11"/>
  <c r="Z1718" i="11"/>
  <c r="Z1719" i="11"/>
  <c r="Z1720" i="11"/>
  <c r="Z1721" i="11"/>
  <c r="Z1722" i="11"/>
  <c r="Z1723" i="11"/>
  <c r="Z1724" i="11"/>
  <c r="Z1725" i="11"/>
  <c r="Z1726" i="11"/>
  <c r="Z1727" i="11"/>
  <c r="Z1728" i="11"/>
  <c r="Z1729" i="11"/>
  <c r="Z1730" i="11"/>
  <c r="Z1731" i="11"/>
  <c r="Z1732" i="11"/>
  <c r="Z1733" i="11"/>
  <c r="Z1734" i="11"/>
  <c r="Z1735" i="11"/>
  <c r="Z1736" i="11"/>
  <c r="Z1737" i="11"/>
  <c r="Z1738" i="11"/>
  <c r="Z1739" i="11"/>
  <c r="Z1740" i="11"/>
  <c r="Z1741" i="11"/>
  <c r="Z1742" i="11"/>
  <c r="Z1743" i="11"/>
  <c r="Z1744" i="11"/>
  <c r="Z1745" i="11"/>
  <c r="Z1746" i="11"/>
  <c r="Z1747" i="11"/>
  <c r="Z1748" i="11"/>
  <c r="Z1749" i="11"/>
  <c r="Z1750" i="11"/>
  <c r="Z1751" i="11"/>
  <c r="Z1752" i="11"/>
  <c r="Z1753" i="11"/>
  <c r="Z1754" i="11"/>
  <c r="Z1755" i="11"/>
  <c r="Z1756" i="11"/>
  <c r="Z1757" i="11"/>
  <c r="Z1758" i="11"/>
  <c r="Z1759" i="11"/>
  <c r="Z1760" i="11"/>
  <c r="Z1761" i="11"/>
  <c r="Z1762" i="11"/>
  <c r="Z1763" i="11"/>
  <c r="Z1764" i="11"/>
  <c r="Z1765" i="11"/>
  <c r="Z1766" i="11"/>
  <c r="Z1767" i="11"/>
  <c r="Z1768" i="11"/>
  <c r="Z1769" i="11"/>
  <c r="Z1770" i="11"/>
  <c r="Z1771" i="11"/>
  <c r="Z1772" i="11"/>
  <c r="Z1773" i="11"/>
  <c r="Z1774" i="11"/>
  <c r="Z1775" i="11"/>
  <c r="Z1776" i="11"/>
  <c r="Z1777" i="11"/>
  <c r="Z1778" i="11"/>
  <c r="Z1779" i="11"/>
  <c r="Z1780" i="11"/>
  <c r="Z1781" i="11"/>
  <c r="Z1782" i="11"/>
  <c r="Z1783" i="11"/>
  <c r="Z1784" i="11"/>
  <c r="Z1785" i="11"/>
  <c r="Z1786" i="11"/>
  <c r="Z1787" i="11"/>
  <c r="Z1788" i="11"/>
  <c r="Z1789" i="11"/>
  <c r="Z1790" i="11"/>
  <c r="Z1791" i="11"/>
  <c r="Z1792" i="11"/>
  <c r="Z1793" i="11"/>
  <c r="Z1794" i="11"/>
  <c r="Z1795" i="11"/>
  <c r="Z1796" i="11"/>
  <c r="Z1797" i="11"/>
  <c r="Z1798" i="11"/>
  <c r="Z1799" i="11"/>
  <c r="Z1800" i="11"/>
  <c r="Z1801" i="11"/>
  <c r="Z1802" i="11"/>
  <c r="Z1803" i="11"/>
  <c r="Z1804" i="11"/>
  <c r="Z1805" i="11"/>
  <c r="Z1806" i="11"/>
  <c r="Z1807" i="11"/>
  <c r="Z1808" i="11"/>
  <c r="Z1809" i="11"/>
  <c r="Z1810" i="11"/>
  <c r="Z1811" i="11"/>
  <c r="Z1812" i="11"/>
  <c r="Z1813" i="11"/>
  <c r="Z1814" i="11"/>
  <c r="Z1815" i="11"/>
  <c r="Z1816" i="11"/>
  <c r="Z1817" i="11"/>
  <c r="Z1818" i="11"/>
  <c r="Z1819" i="11"/>
  <c r="Z1820" i="11"/>
  <c r="Z1821" i="11"/>
  <c r="Z1822" i="11"/>
  <c r="Z1823" i="11"/>
  <c r="Z1824" i="11"/>
  <c r="Z1825" i="11"/>
  <c r="Z1826" i="11"/>
  <c r="Z1827" i="11"/>
  <c r="Z1828" i="11"/>
  <c r="Z1829" i="11"/>
  <c r="Z1830" i="11"/>
  <c r="Z1831" i="11"/>
  <c r="Z1832" i="11"/>
  <c r="Z1833" i="11"/>
  <c r="Z1834" i="11"/>
  <c r="Z1835" i="11"/>
  <c r="Z1836" i="11"/>
  <c r="Z1837" i="11"/>
  <c r="Z1838" i="11"/>
  <c r="Z1839" i="11"/>
  <c r="Z1840" i="11"/>
  <c r="Z1841" i="11"/>
  <c r="Z1842" i="11"/>
  <c r="Z1843" i="11"/>
  <c r="Z1844" i="11"/>
  <c r="Z1845" i="11"/>
  <c r="Z1846" i="11"/>
  <c r="Z1847" i="11"/>
  <c r="Z1848" i="11"/>
  <c r="Z1849" i="11"/>
  <c r="Z1850" i="11"/>
  <c r="Z1851" i="11"/>
  <c r="Z1852" i="11"/>
  <c r="Z1853" i="11"/>
  <c r="Z1854" i="11"/>
  <c r="Z1855" i="11"/>
  <c r="Z1856" i="11"/>
  <c r="Z1857" i="11"/>
  <c r="Z1858" i="11"/>
  <c r="Z1859" i="11"/>
  <c r="Z1860" i="11"/>
  <c r="Z1861" i="11"/>
  <c r="Z1862" i="11"/>
  <c r="Z1863" i="11"/>
  <c r="Z1864" i="11"/>
  <c r="Z1865" i="11"/>
  <c r="Z1866" i="11"/>
  <c r="Z1867" i="11"/>
  <c r="Z1868" i="11"/>
  <c r="Z1869" i="11"/>
  <c r="Z1870" i="11"/>
  <c r="Z1871" i="11"/>
  <c r="Z1872" i="11"/>
  <c r="Z1873" i="11"/>
  <c r="Z1874" i="11"/>
  <c r="Z1875" i="11"/>
  <c r="Z1876" i="11"/>
  <c r="Z1877" i="11"/>
  <c r="Z1878" i="11"/>
  <c r="Z1879" i="11"/>
  <c r="Z1880" i="11"/>
  <c r="Z1881" i="11"/>
  <c r="Z1882" i="11"/>
  <c r="Z1883" i="11"/>
  <c r="Z1884" i="11"/>
  <c r="Z1885" i="11"/>
  <c r="Z1886" i="11"/>
  <c r="Z1887" i="11"/>
  <c r="Z1888" i="11"/>
  <c r="Z1889" i="11"/>
  <c r="Z1890" i="11"/>
  <c r="Z1891" i="11"/>
  <c r="Z1892" i="11"/>
  <c r="Z1893" i="11"/>
  <c r="Z1894" i="11"/>
  <c r="Z1895" i="11"/>
  <c r="Z1896" i="11"/>
  <c r="Z1897" i="11"/>
  <c r="Z1898" i="11"/>
  <c r="Z1899" i="11"/>
  <c r="Z1900" i="11"/>
  <c r="Z1901" i="11"/>
  <c r="Z1902" i="11"/>
  <c r="Z1903" i="11"/>
  <c r="Z1904" i="11"/>
  <c r="Z1905" i="11"/>
  <c r="Z1906" i="11"/>
  <c r="Z1907" i="11"/>
  <c r="Z1908" i="11"/>
  <c r="Z1909" i="11"/>
  <c r="Z1910" i="11"/>
  <c r="Z1911" i="11"/>
  <c r="Z1912" i="11"/>
  <c r="Z1913" i="11"/>
  <c r="Z1914" i="11"/>
  <c r="Z1915" i="11"/>
  <c r="Z1916" i="11"/>
  <c r="Z1917" i="11"/>
  <c r="Z1918" i="11"/>
  <c r="Z1919" i="11"/>
  <c r="Z1920" i="11"/>
  <c r="Z1921" i="11"/>
  <c r="Z1922" i="11"/>
  <c r="Z1923" i="11"/>
  <c r="Z1924" i="11"/>
  <c r="Z1925" i="11"/>
  <c r="Z1926" i="11"/>
  <c r="Z1927" i="11"/>
  <c r="Z1928" i="11"/>
  <c r="Z1929" i="11"/>
  <c r="Z1930" i="11"/>
  <c r="Z1931" i="11"/>
  <c r="Z1932" i="11"/>
  <c r="Z1933" i="11"/>
  <c r="Z1934" i="11"/>
  <c r="Z1935" i="11"/>
  <c r="Z1936" i="11"/>
  <c r="Z1937" i="11"/>
  <c r="Z1938" i="11"/>
  <c r="Z1939" i="11"/>
  <c r="Z1940" i="11"/>
  <c r="Z1941" i="11"/>
  <c r="Z1942" i="11"/>
  <c r="Z1943" i="11"/>
  <c r="Z1944" i="11"/>
  <c r="Z1945" i="11"/>
  <c r="Z1946" i="11"/>
  <c r="Z1947" i="11"/>
  <c r="Z1948" i="11"/>
  <c r="Z1949" i="11"/>
  <c r="Z1950" i="11"/>
  <c r="Z1951" i="11"/>
  <c r="Z1952" i="11"/>
  <c r="Z1953" i="11"/>
  <c r="Z1954" i="11"/>
  <c r="Z1955" i="11"/>
  <c r="Z1956" i="11"/>
  <c r="Z1957" i="11"/>
  <c r="Z1958" i="11"/>
  <c r="Z1959" i="11"/>
  <c r="Z1960" i="11"/>
  <c r="Z1961" i="11"/>
  <c r="Z1962" i="11"/>
  <c r="Z1963" i="11"/>
  <c r="Z1964" i="11"/>
  <c r="Z1965" i="11"/>
  <c r="Z1966" i="11"/>
  <c r="Z1967" i="11"/>
  <c r="Z1968" i="11"/>
  <c r="Z1969" i="11"/>
  <c r="Z1970" i="11"/>
  <c r="Z1971" i="11"/>
  <c r="Z1972" i="11"/>
  <c r="Z1973" i="11"/>
  <c r="Z1974" i="11"/>
  <c r="Z1975" i="11"/>
  <c r="Z1976" i="11"/>
  <c r="Z1977" i="11"/>
  <c r="Z1978" i="11"/>
  <c r="Z1979" i="11"/>
  <c r="Z1980" i="11"/>
  <c r="Z1981" i="11"/>
  <c r="Z1982" i="11"/>
  <c r="Z1983" i="11"/>
  <c r="Z1984" i="11"/>
  <c r="Z1985" i="11"/>
  <c r="Z1986" i="11"/>
  <c r="Z1987" i="11"/>
  <c r="Z1988" i="11"/>
  <c r="Z1989" i="11"/>
  <c r="Z1990" i="11"/>
  <c r="Z1991" i="11"/>
  <c r="Z1992" i="11"/>
  <c r="Z1993" i="11"/>
  <c r="Z1994" i="11"/>
  <c r="Z1995" i="11"/>
  <c r="Z1996" i="11"/>
  <c r="Z1997" i="11"/>
  <c r="Z1998" i="11"/>
  <c r="Z1999" i="11"/>
  <c r="Z2000" i="11"/>
  <c r="Z2001" i="11"/>
  <c r="Z2002" i="11"/>
  <c r="Z2003" i="11"/>
  <c r="Z2004" i="11"/>
  <c r="Z2005" i="11"/>
  <c r="Z2006" i="11"/>
  <c r="Z2007" i="11"/>
  <c r="Z2008" i="11"/>
  <c r="Z2009" i="11"/>
  <c r="Z2010" i="11"/>
  <c r="Z2011" i="11"/>
  <c r="Z2012" i="11"/>
  <c r="Z2013" i="11"/>
  <c r="Z2014" i="11"/>
  <c r="Z2015" i="11"/>
  <c r="Z2016" i="11"/>
  <c r="Z2017" i="11"/>
  <c r="Z2018" i="11"/>
  <c r="Z2019" i="11"/>
  <c r="Z2020" i="11"/>
  <c r="Z2021" i="11"/>
  <c r="Z2022" i="11"/>
  <c r="Z2023" i="11"/>
  <c r="Z2024" i="11"/>
  <c r="Z2025" i="11"/>
  <c r="Z2026" i="11"/>
  <c r="Z2027" i="11"/>
  <c r="Z2028" i="11"/>
  <c r="Z2029" i="11"/>
  <c r="Z2030" i="11"/>
  <c r="Z2031" i="11"/>
  <c r="Z2032" i="11"/>
  <c r="Z2033" i="11"/>
  <c r="Z2034" i="11"/>
  <c r="Z2035" i="11"/>
  <c r="Z2036" i="11"/>
  <c r="Z2037" i="11"/>
  <c r="Z2038" i="11"/>
  <c r="Z2039" i="11"/>
  <c r="Z2040" i="11"/>
  <c r="Z2041" i="11"/>
  <c r="Z2042" i="11"/>
  <c r="Z2043" i="11"/>
  <c r="Z2044" i="11"/>
  <c r="Z2045" i="11"/>
  <c r="Z2046" i="11"/>
  <c r="Z2047" i="11"/>
  <c r="Z2048" i="11"/>
  <c r="Z2049" i="11"/>
  <c r="Z2050" i="11"/>
  <c r="Z2051" i="11"/>
  <c r="Z2052" i="11"/>
  <c r="Z2053" i="11"/>
  <c r="Z2054" i="11"/>
  <c r="Z2055" i="11"/>
  <c r="Z2056" i="11"/>
  <c r="Z2057" i="11"/>
  <c r="Z2058" i="11"/>
  <c r="Z2059" i="11"/>
  <c r="Z2060" i="11"/>
  <c r="Z2061" i="11"/>
  <c r="Z2062" i="11"/>
  <c r="Z2063" i="11"/>
  <c r="Z2064" i="11"/>
  <c r="Z2065" i="11"/>
  <c r="Z2066" i="11"/>
  <c r="Z2067" i="11"/>
  <c r="Z2068" i="11"/>
  <c r="Z2069" i="11"/>
  <c r="Z2070" i="11"/>
  <c r="Z2071" i="11"/>
  <c r="Z2072" i="11"/>
  <c r="Z2073" i="11"/>
  <c r="Z2074" i="11"/>
  <c r="Z2075" i="11"/>
  <c r="Z2076" i="11"/>
  <c r="Z2077" i="11"/>
  <c r="Z2078" i="11"/>
  <c r="Z2079" i="11"/>
  <c r="Z2080" i="11"/>
  <c r="Z2081" i="11"/>
  <c r="Z2082" i="11"/>
  <c r="Z2083" i="11"/>
  <c r="Z2084" i="11"/>
  <c r="Z2085" i="11"/>
  <c r="Z2086" i="11"/>
  <c r="Z2087" i="11"/>
  <c r="Z2088" i="11"/>
  <c r="Z2089" i="11"/>
  <c r="Z2090" i="11"/>
  <c r="Z2091" i="11"/>
  <c r="Z2092" i="11"/>
  <c r="Z2093" i="11"/>
  <c r="Z2094" i="11"/>
  <c r="Z2095" i="11"/>
  <c r="Z2096" i="11"/>
  <c r="Z2097" i="11"/>
  <c r="Z2098" i="11"/>
  <c r="Z2099" i="11"/>
  <c r="Z2100" i="11"/>
  <c r="Z2101" i="11"/>
  <c r="Z2102" i="11"/>
  <c r="Z2103" i="11"/>
  <c r="Z2104" i="11"/>
  <c r="Z2105" i="11"/>
  <c r="Z2106" i="11"/>
  <c r="Z2107" i="11"/>
  <c r="Z2108" i="11"/>
  <c r="Z2109" i="11"/>
  <c r="Z2110" i="11"/>
  <c r="Z2111" i="11"/>
  <c r="Z2112" i="11"/>
  <c r="Z2113" i="11"/>
  <c r="Z2114" i="11"/>
  <c r="Z2115" i="11"/>
  <c r="Z2116" i="11"/>
  <c r="Z2117" i="11"/>
  <c r="Z2118" i="11"/>
  <c r="Z2119" i="11"/>
  <c r="Z2120" i="11"/>
  <c r="Z2121" i="11"/>
  <c r="Z2122" i="11"/>
  <c r="Z2123" i="11"/>
  <c r="Z2124" i="11"/>
  <c r="Z2125" i="11"/>
  <c r="Z2126" i="11"/>
  <c r="Z2127" i="11"/>
  <c r="Z2128" i="11"/>
  <c r="Z2129" i="11"/>
  <c r="Z2130" i="11"/>
  <c r="Z2131" i="11"/>
  <c r="Z2132" i="11"/>
  <c r="Z2133" i="11"/>
  <c r="Z2134" i="11"/>
  <c r="Z2135" i="11"/>
  <c r="Z2136" i="11"/>
  <c r="Z2137" i="11"/>
  <c r="Z2138" i="11"/>
  <c r="Z2139" i="11"/>
  <c r="Z2140" i="11"/>
  <c r="Z2141" i="11"/>
  <c r="Z2142" i="11"/>
  <c r="Z2143" i="11"/>
  <c r="Z2144" i="11"/>
  <c r="Z2145" i="11"/>
  <c r="Z2146" i="11"/>
  <c r="Z2147" i="11"/>
  <c r="Z2148" i="11"/>
  <c r="Z2149" i="11"/>
  <c r="Z2150" i="11"/>
  <c r="Z2151" i="11"/>
  <c r="Z2152" i="11"/>
  <c r="Z2153" i="11"/>
  <c r="Z2154" i="11"/>
  <c r="Z2155" i="11"/>
  <c r="Z2156" i="11"/>
  <c r="Z2157" i="11"/>
  <c r="Z2158" i="11"/>
  <c r="Z2159" i="11"/>
  <c r="Z2160" i="11"/>
  <c r="Z2161" i="11"/>
  <c r="Z2162" i="11"/>
  <c r="Z2163" i="11"/>
  <c r="Z2164" i="11"/>
  <c r="Z2165" i="11"/>
  <c r="Z2166" i="11"/>
  <c r="Z2167" i="11"/>
  <c r="Z2168" i="11"/>
  <c r="Z2169" i="11"/>
  <c r="Z2170" i="11"/>
  <c r="Z2171" i="11"/>
  <c r="Z2172" i="11"/>
  <c r="Z2173" i="11"/>
  <c r="Z2174" i="11"/>
  <c r="Z2175" i="11"/>
  <c r="Z2176" i="11"/>
  <c r="Z2177" i="11"/>
  <c r="Z2178" i="11"/>
  <c r="Z2179" i="11"/>
  <c r="Z2180" i="11"/>
  <c r="Z2181" i="11"/>
  <c r="Z2182" i="11"/>
  <c r="Z2183" i="11"/>
  <c r="Z2184" i="11"/>
  <c r="Z2185" i="11"/>
  <c r="Z2186" i="11"/>
  <c r="Z2187" i="11"/>
  <c r="Z2188" i="11"/>
  <c r="Z2189" i="11"/>
  <c r="Z2190" i="11"/>
  <c r="Z2191" i="11"/>
  <c r="Z2192" i="11"/>
  <c r="Z2193" i="11"/>
  <c r="Z2194" i="11"/>
  <c r="Z2195" i="11"/>
  <c r="Z2196" i="11"/>
  <c r="Z2197" i="11"/>
  <c r="Z2198" i="11"/>
  <c r="Z2199" i="11"/>
  <c r="Z2200" i="11"/>
  <c r="Z2201" i="11"/>
  <c r="Z2202" i="11"/>
  <c r="Z2203" i="11"/>
  <c r="Z2204" i="11"/>
  <c r="Z2205" i="11"/>
  <c r="Z2206" i="11"/>
  <c r="Z2207" i="11"/>
  <c r="Z2208" i="11"/>
  <c r="Z2209" i="11"/>
  <c r="Z2210" i="11"/>
  <c r="Z2211" i="11"/>
  <c r="Z2212" i="11"/>
  <c r="Z2213" i="11"/>
  <c r="Z2214" i="11"/>
  <c r="Z2215" i="11"/>
  <c r="Z2216" i="11"/>
  <c r="Z2217" i="11"/>
  <c r="Z2218" i="11"/>
  <c r="Z2219" i="11"/>
  <c r="Z2220" i="11"/>
  <c r="Z2221" i="11"/>
  <c r="Z2222" i="11"/>
  <c r="Z2223" i="11"/>
  <c r="Z2224" i="11"/>
  <c r="Z2225" i="11"/>
  <c r="Z2226" i="11"/>
  <c r="Z2227" i="11"/>
  <c r="Z2228" i="11"/>
  <c r="Z2229" i="11"/>
  <c r="Z2230" i="11"/>
  <c r="Z2231" i="11"/>
  <c r="Z2232" i="11"/>
  <c r="Z2233" i="11"/>
  <c r="Z2234" i="11"/>
  <c r="Z2235" i="11"/>
  <c r="Z2236" i="11"/>
  <c r="Z2237" i="11"/>
  <c r="Z2238" i="11"/>
  <c r="Z2239" i="11"/>
  <c r="Z2240" i="11"/>
  <c r="Z2241" i="11"/>
  <c r="Z2242" i="11"/>
  <c r="Z2243" i="11"/>
  <c r="Z2244" i="11"/>
  <c r="Z2245" i="11"/>
  <c r="Z2246" i="11"/>
  <c r="Z2247" i="11"/>
  <c r="Z2248" i="11"/>
  <c r="Z2249" i="11"/>
  <c r="Z2250" i="11"/>
  <c r="Z2251" i="11"/>
  <c r="Z2252" i="11"/>
  <c r="Z2253" i="11"/>
  <c r="Z2254" i="11"/>
  <c r="Z2255" i="11"/>
  <c r="Z2256" i="11"/>
  <c r="Z2257" i="11"/>
  <c r="Z2258" i="11"/>
  <c r="Z2259" i="11"/>
  <c r="Z2260" i="11"/>
  <c r="Z2261" i="11"/>
  <c r="Z2262" i="11"/>
  <c r="Z2263" i="11"/>
  <c r="Z2264" i="11"/>
  <c r="Z2265" i="11"/>
  <c r="Z2266" i="11"/>
  <c r="Z2267" i="11"/>
  <c r="Z2268" i="11"/>
  <c r="Z2269" i="11"/>
  <c r="Z2270" i="11"/>
  <c r="Z2271" i="11"/>
  <c r="Z2272" i="11"/>
  <c r="Z2273" i="11"/>
  <c r="Z2274" i="11"/>
  <c r="Z2275" i="11"/>
  <c r="Z2276" i="11"/>
  <c r="Z2277" i="11"/>
  <c r="Z2278" i="11"/>
  <c r="Z2279" i="11"/>
  <c r="Z2280" i="11"/>
  <c r="Z2281" i="11"/>
  <c r="Z2282" i="11"/>
  <c r="Z2283" i="11"/>
  <c r="Z2284" i="11"/>
  <c r="Z2285" i="11"/>
  <c r="Z2286" i="11"/>
  <c r="Z2287" i="11"/>
  <c r="Z2288" i="11"/>
  <c r="Z2289" i="11"/>
  <c r="Z2290" i="11"/>
  <c r="Z2291" i="11"/>
  <c r="Z2292" i="11"/>
  <c r="Z2293" i="11"/>
  <c r="Z2294" i="11"/>
  <c r="Z2295" i="11"/>
  <c r="Z2296" i="11"/>
  <c r="Z2297" i="11"/>
  <c r="Z2298" i="11"/>
  <c r="Z2299" i="11"/>
  <c r="Z2300" i="11"/>
  <c r="Z2301" i="11"/>
  <c r="Z2302" i="11"/>
  <c r="Z2303" i="11"/>
  <c r="Z2304" i="11"/>
  <c r="Z2305" i="11"/>
  <c r="Z2306" i="11"/>
  <c r="Z2307" i="11"/>
  <c r="Z2308" i="11"/>
  <c r="Z2309" i="11"/>
  <c r="Z2310" i="11"/>
  <c r="Z2311" i="11"/>
  <c r="Z2312" i="11"/>
  <c r="Z2313" i="11"/>
  <c r="Z2314" i="11"/>
  <c r="Z2315" i="11"/>
  <c r="Z2316" i="11"/>
  <c r="Z2317" i="11"/>
  <c r="Z2318" i="11"/>
  <c r="Z2319" i="11"/>
  <c r="Z2320" i="11"/>
  <c r="Z2321" i="11"/>
  <c r="Z2322" i="11"/>
  <c r="Z2323" i="11"/>
  <c r="Z2324" i="11"/>
  <c r="Z2325" i="11"/>
  <c r="Z2326" i="11"/>
  <c r="Z2327" i="11"/>
  <c r="Z2328" i="11"/>
  <c r="Z2329" i="11"/>
  <c r="Z2330" i="11"/>
  <c r="Z2331" i="11"/>
  <c r="Z2332" i="11"/>
  <c r="Z2333" i="11"/>
  <c r="Z2334" i="11"/>
  <c r="Z2335" i="11"/>
  <c r="Z2336" i="11"/>
  <c r="Z2337" i="11"/>
  <c r="Z2338" i="11"/>
  <c r="Z2339" i="11"/>
  <c r="Z2340" i="11"/>
  <c r="Z2341" i="11"/>
  <c r="Z2342" i="11"/>
  <c r="Z2343" i="11"/>
  <c r="Z2344" i="11"/>
  <c r="Z2345" i="11"/>
  <c r="Z2346" i="11"/>
  <c r="Z2347" i="11"/>
  <c r="Z2348" i="11"/>
  <c r="Z2349" i="11"/>
  <c r="Z2350" i="11"/>
  <c r="Z2351" i="11"/>
  <c r="Z2352" i="11"/>
  <c r="Z2353" i="11"/>
  <c r="Z2354" i="11"/>
  <c r="Z2355" i="11"/>
  <c r="Z2356" i="11"/>
  <c r="Z2357" i="11"/>
  <c r="Z2358" i="11"/>
  <c r="Z2359" i="11"/>
  <c r="Z2360" i="11"/>
  <c r="Z2361" i="11"/>
  <c r="Z2362" i="11"/>
  <c r="Z2363" i="11"/>
  <c r="Z2364" i="11"/>
  <c r="Z2365" i="11"/>
  <c r="Z2366" i="11"/>
  <c r="Z2367" i="11"/>
  <c r="Z2368" i="11"/>
  <c r="Z2369" i="11"/>
  <c r="Z2370" i="11"/>
  <c r="Z2371" i="11"/>
  <c r="Z2372" i="11"/>
  <c r="Z2373" i="11"/>
  <c r="Z2374" i="11"/>
  <c r="Z2375" i="11"/>
  <c r="Z2376" i="11"/>
  <c r="Z2377" i="11"/>
  <c r="Z2378" i="11"/>
  <c r="Z2379" i="11"/>
  <c r="Z2380" i="11"/>
  <c r="Z2381" i="11"/>
  <c r="Z2382" i="11"/>
  <c r="Z2383" i="11"/>
  <c r="Z2384" i="11"/>
  <c r="Z2385" i="11"/>
  <c r="Z2386" i="11"/>
  <c r="Z2387" i="11"/>
  <c r="Z2388" i="11"/>
  <c r="Z2389" i="11"/>
  <c r="Z2390" i="11"/>
  <c r="Z2391" i="11"/>
  <c r="Z2392" i="11"/>
  <c r="Z2393" i="11"/>
  <c r="Z2394" i="11"/>
  <c r="Z2395" i="11"/>
  <c r="Z2396" i="11"/>
  <c r="Z2397" i="11"/>
  <c r="Z2398" i="11"/>
  <c r="Z2399" i="11"/>
  <c r="Z2400" i="11"/>
  <c r="Z2401" i="11"/>
  <c r="Z2402" i="11"/>
  <c r="Z2403" i="11"/>
  <c r="Z2404" i="11"/>
  <c r="Z2405" i="11"/>
  <c r="Z2406" i="11"/>
  <c r="Z2407" i="11"/>
  <c r="Z2408" i="11"/>
  <c r="Z2409" i="11"/>
  <c r="Z2410" i="11"/>
  <c r="Z2411" i="11"/>
  <c r="Z2412" i="11"/>
  <c r="Z2413" i="11"/>
  <c r="Z2414" i="11"/>
  <c r="Z2415" i="11"/>
  <c r="Z2416" i="11"/>
  <c r="Z2417" i="11"/>
  <c r="Z2418" i="11"/>
  <c r="Z2419" i="11"/>
  <c r="Z2420" i="11"/>
  <c r="Z2421" i="11"/>
  <c r="Z2422" i="11"/>
  <c r="Z2423" i="11"/>
  <c r="Z2424" i="11"/>
  <c r="Z2425" i="11"/>
  <c r="Z2426" i="11"/>
  <c r="Z2427" i="11"/>
  <c r="Z2428" i="11"/>
  <c r="Z2429" i="11"/>
  <c r="Z2430" i="11"/>
  <c r="Z2431" i="11"/>
  <c r="Z2432" i="11"/>
  <c r="Z2433" i="11"/>
  <c r="Z2434" i="11"/>
  <c r="Z2435" i="11"/>
  <c r="Z2436" i="11"/>
  <c r="Z2437" i="11"/>
  <c r="Z2438" i="11"/>
  <c r="Z2439" i="11"/>
  <c r="Z2440" i="11"/>
  <c r="Z2441" i="11"/>
  <c r="Z2442" i="11"/>
  <c r="Z2443" i="11"/>
  <c r="Z2444" i="11"/>
  <c r="Z2445" i="11"/>
  <c r="Z2446" i="11"/>
  <c r="Z2447" i="11"/>
  <c r="Z2448" i="11"/>
  <c r="Z2449" i="11"/>
  <c r="Z2450" i="11"/>
  <c r="Z2451" i="11"/>
  <c r="Z2452" i="11"/>
  <c r="Z2453" i="11"/>
  <c r="Z2454" i="11"/>
  <c r="Z2455" i="11"/>
  <c r="Z2456" i="11"/>
  <c r="Z2457" i="11"/>
  <c r="Z2458" i="11"/>
  <c r="Z2459" i="11"/>
  <c r="Z2460" i="11"/>
  <c r="Z2461" i="11"/>
  <c r="Z2462" i="11"/>
  <c r="Z2463" i="11"/>
  <c r="Z2464" i="11"/>
  <c r="Z2465" i="11"/>
  <c r="Z2466" i="11"/>
  <c r="Z2467" i="11"/>
  <c r="Z2468" i="11"/>
  <c r="Z2469" i="11"/>
  <c r="Z2470" i="11"/>
  <c r="Z2471" i="11"/>
  <c r="Z2472" i="11"/>
  <c r="Z2473" i="11"/>
  <c r="Z2474" i="11"/>
  <c r="Z2475" i="11"/>
  <c r="Z2476" i="11"/>
  <c r="Z2477" i="11"/>
  <c r="Z2478" i="11"/>
  <c r="Z2479" i="11"/>
  <c r="Z2480" i="11"/>
  <c r="Z2481" i="11"/>
  <c r="Z2482" i="11"/>
  <c r="Z2483" i="11"/>
  <c r="Z2484" i="11"/>
  <c r="Z2485" i="11"/>
  <c r="Z2486" i="11"/>
  <c r="Z2487" i="11"/>
  <c r="Z2488" i="11"/>
  <c r="Z2489" i="11"/>
  <c r="Z2490" i="11"/>
  <c r="Z2491" i="11"/>
  <c r="Z2492" i="11"/>
  <c r="Z2493" i="11"/>
  <c r="Z2494" i="11"/>
  <c r="Z2495" i="11"/>
  <c r="Z2496" i="11"/>
  <c r="Z2497" i="11"/>
  <c r="Z2498" i="11"/>
  <c r="Z2499" i="11"/>
  <c r="Z2500" i="11"/>
  <c r="Z2501" i="11"/>
  <c r="Z2502" i="11"/>
  <c r="Z2503" i="11"/>
  <c r="Z2504" i="11"/>
  <c r="Z2505" i="11"/>
  <c r="Z2506" i="11"/>
  <c r="Z2507" i="11"/>
  <c r="Z2508" i="11"/>
  <c r="Z2509" i="11"/>
  <c r="Z2510" i="11"/>
  <c r="Z2511" i="11"/>
  <c r="Z2512" i="11"/>
  <c r="Z2513" i="11"/>
  <c r="Z2514" i="11"/>
  <c r="Z2515" i="11"/>
  <c r="Z2516" i="11"/>
  <c r="Z2517" i="11"/>
  <c r="Z2518" i="11"/>
  <c r="Z2519" i="11"/>
  <c r="Z2520" i="11"/>
  <c r="Z2521" i="11"/>
  <c r="Z2522" i="11"/>
  <c r="Z2523" i="11"/>
  <c r="Z2524" i="11"/>
  <c r="Z2525" i="11"/>
  <c r="Z2526" i="11"/>
  <c r="Z2527" i="11"/>
  <c r="Z2528" i="11"/>
  <c r="Z2529" i="11"/>
  <c r="Z2530" i="11"/>
  <c r="Z2531" i="11"/>
  <c r="Z2532" i="11"/>
  <c r="Z2533" i="11"/>
  <c r="Z2534" i="11"/>
  <c r="Z2535" i="11"/>
  <c r="Z2536" i="11"/>
  <c r="Z2537" i="11"/>
  <c r="Z2538" i="11"/>
  <c r="Z2539" i="11"/>
  <c r="Z2540" i="11"/>
  <c r="Z2541" i="11"/>
  <c r="Z2542" i="11"/>
  <c r="Z2543" i="11"/>
  <c r="Z2544" i="11"/>
  <c r="Z2545" i="11"/>
  <c r="Z2546" i="11"/>
  <c r="Z2547" i="11"/>
  <c r="Z2548" i="11"/>
  <c r="Z2549" i="11"/>
  <c r="Z2550" i="11"/>
  <c r="Z2551" i="11"/>
  <c r="Z2552" i="11"/>
  <c r="Z2553" i="11"/>
  <c r="Z2554" i="11"/>
  <c r="Z2555" i="11"/>
  <c r="Z2556" i="11"/>
  <c r="Z2557" i="11"/>
  <c r="Z2558" i="11"/>
  <c r="Z2559" i="11"/>
  <c r="Z2560" i="11"/>
  <c r="Z2561" i="11"/>
  <c r="Z2562" i="11"/>
  <c r="Z2563" i="11"/>
  <c r="Z2564" i="11"/>
  <c r="Z2565" i="11"/>
  <c r="Z2566" i="11"/>
  <c r="Z2567" i="11"/>
  <c r="Z2568" i="11"/>
  <c r="Z2569" i="11"/>
  <c r="Z2570" i="11"/>
  <c r="Z2571" i="11"/>
  <c r="Z2572" i="11"/>
  <c r="Z2573" i="11"/>
  <c r="Z2574" i="11"/>
  <c r="Z2575" i="11"/>
  <c r="Z2576" i="11"/>
  <c r="Z2577" i="11"/>
  <c r="Z2578" i="11"/>
  <c r="Z2579" i="11"/>
  <c r="Z2580" i="11"/>
  <c r="Z2581" i="11"/>
  <c r="Z2582" i="11"/>
  <c r="Z2583" i="11"/>
  <c r="Z2584" i="11"/>
  <c r="Z2585" i="11"/>
  <c r="Z2586" i="11"/>
  <c r="Z2587" i="11"/>
  <c r="Z2588" i="11"/>
  <c r="Z2589" i="11"/>
  <c r="Z2590" i="11"/>
  <c r="Z2591" i="11"/>
  <c r="Z2592" i="11"/>
  <c r="Z2593" i="11"/>
  <c r="Z2594" i="11"/>
  <c r="Z2595" i="11"/>
  <c r="Z2596" i="11"/>
  <c r="Z2597" i="11"/>
  <c r="Z2598" i="11"/>
  <c r="Z2599" i="11"/>
  <c r="Z2600" i="11"/>
  <c r="Z2601" i="11"/>
  <c r="Z2602" i="11"/>
  <c r="Z2603" i="11"/>
  <c r="Z2604" i="11"/>
  <c r="Z2605" i="11"/>
  <c r="Z2606" i="11"/>
  <c r="Z2607" i="11"/>
  <c r="Z2608" i="11"/>
  <c r="Z2609" i="11"/>
  <c r="Z2610" i="11"/>
  <c r="Z2611" i="11"/>
  <c r="Z2612" i="11"/>
  <c r="Z2613" i="11"/>
  <c r="Z2614" i="11"/>
  <c r="Z2615" i="11"/>
  <c r="Z2616" i="11"/>
  <c r="Z2617" i="11"/>
  <c r="Z2618" i="11"/>
  <c r="Z2619" i="11"/>
  <c r="Z2620" i="11"/>
  <c r="Z2621" i="11"/>
  <c r="Z2622" i="11"/>
  <c r="Z2623" i="11"/>
  <c r="Z2624" i="11"/>
  <c r="Z2625" i="11"/>
  <c r="Z2626" i="11"/>
  <c r="Z2627" i="11"/>
  <c r="Z2628" i="11"/>
  <c r="Z2629" i="11"/>
  <c r="Z2630" i="11"/>
  <c r="Z2631" i="11"/>
  <c r="Z2632" i="11"/>
  <c r="Z2633" i="11"/>
  <c r="Z2634" i="11"/>
  <c r="Z2635" i="11"/>
  <c r="Z2636" i="11"/>
  <c r="Z2637" i="11"/>
  <c r="Z2638" i="11"/>
  <c r="Z2639" i="11"/>
  <c r="Z2640" i="11"/>
  <c r="Z2641" i="11"/>
  <c r="Z2642" i="11"/>
  <c r="Z2643" i="11"/>
  <c r="Z2644" i="11"/>
  <c r="Z2645" i="11"/>
  <c r="Z2646" i="11"/>
  <c r="Z2647" i="11"/>
  <c r="Z2648" i="11"/>
  <c r="Z2649" i="11"/>
  <c r="Z2650" i="11"/>
  <c r="Z2651" i="11"/>
  <c r="Z2652" i="11"/>
  <c r="Z2653" i="11"/>
  <c r="Z2654" i="11"/>
  <c r="Z2655" i="11"/>
  <c r="Z2656" i="11"/>
  <c r="Z2657" i="11"/>
  <c r="Z2658" i="11"/>
  <c r="Z2659" i="11"/>
  <c r="Z2660" i="11"/>
  <c r="Z2661" i="11"/>
  <c r="Z2662" i="11"/>
  <c r="Z2663" i="11"/>
  <c r="Z2664" i="11"/>
  <c r="Z2665" i="11"/>
  <c r="Z2666" i="11"/>
  <c r="Z2667" i="11"/>
  <c r="Z2668" i="11"/>
  <c r="Z2669" i="11"/>
  <c r="Z2670" i="11"/>
  <c r="Z2671" i="11"/>
  <c r="Z2672" i="11"/>
  <c r="Z2673" i="11"/>
  <c r="Z2674" i="11"/>
  <c r="Z2675" i="11"/>
  <c r="Z2676" i="11"/>
  <c r="Z2677" i="11"/>
  <c r="Z2678" i="11"/>
  <c r="Z2679" i="11"/>
  <c r="Z2680" i="11"/>
  <c r="Z2681" i="11"/>
  <c r="Z2682" i="11"/>
  <c r="Z2683" i="11"/>
  <c r="Z2684" i="11"/>
  <c r="Z2685" i="11"/>
  <c r="Z2686" i="11"/>
  <c r="Z2687" i="11"/>
  <c r="Z2688" i="11"/>
  <c r="Z2689" i="11"/>
  <c r="Z2690" i="11"/>
  <c r="Z2691" i="11"/>
  <c r="Z2692" i="11"/>
  <c r="Z2693" i="11"/>
  <c r="Z2694" i="11"/>
  <c r="Z2695" i="11"/>
  <c r="Z2696" i="11"/>
  <c r="Z2697" i="11"/>
  <c r="Z2698" i="11"/>
  <c r="Z2699" i="11"/>
  <c r="Z2700" i="11"/>
  <c r="Z2701" i="11"/>
  <c r="Z2702" i="11"/>
  <c r="Z2703" i="11"/>
  <c r="Z2704" i="11"/>
  <c r="Z2705" i="11"/>
  <c r="Z2706" i="11"/>
  <c r="Z2707" i="11"/>
  <c r="Z2708" i="11"/>
  <c r="Z2709" i="11"/>
  <c r="Z2710" i="11"/>
  <c r="Z2711" i="11"/>
  <c r="Z2712" i="11"/>
  <c r="Z2713" i="11"/>
  <c r="Z2714" i="11"/>
  <c r="Z2715" i="11"/>
  <c r="Z2716" i="11"/>
  <c r="Z2717" i="11"/>
  <c r="Z2718" i="11"/>
  <c r="Z2719" i="11"/>
  <c r="Z2720" i="11"/>
  <c r="Z2721" i="11"/>
  <c r="Z2722" i="11"/>
  <c r="Z2723" i="11"/>
  <c r="Z2724" i="11"/>
  <c r="Z2725" i="11"/>
  <c r="Z2726" i="11"/>
  <c r="Z2727" i="11"/>
  <c r="Z2728" i="11"/>
  <c r="Z2729" i="11"/>
  <c r="Z2730" i="11"/>
  <c r="Z2731" i="11"/>
  <c r="Z2732" i="11"/>
  <c r="Z2733" i="11"/>
  <c r="Z2734" i="11"/>
  <c r="Z2735" i="11"/>
  <c r="Z2736" i="11"/>
  <c r="Z2737" i="11"/>
  <c r="Z2738" i="11"/>
  <c r="Z2739" i="11"/>
  <c r="Z2740" i="11"/>
  <c r="Z2741" i="11"/>
  <c r="Z2742" i="11"/>
  <c r="Z2743" i="11"/>
  <c r="Z2744" i="11"/>
  <c r="Z2745" i="11"/>
  <c r="Z2746" i="11"/>
  <c r="Z2747" i="11"/>
  <c r="Z2748" i="11"/>
  <c r="Z2749" i="11"/>
  <c r="Z2750" i="11"/>
  <c r="Z2751" i="11"/>
  <c r="Z2752" i="11"/>
  <c r="Z2753" i="11"/>
  <c r="Z2754" i="11"/>
  <c r="Z2755" i="11"/>
  <c r="Z2756" i="11"/>
  <c r="Z2757" i="11"/>
  <c r="Z2758" i="11"/>
  <c r="Z2759" i="11"/>
  <c r="Z2760" i="11"/>
  <c r="Z2761" i="11"/>
  <c r="Z2762" i="11"/>
  <c r="Z2763" i="11"/>
  <c r="Z2764" i="11"/>
  <c r="Z2765" i="11"/>
  <c r="Z2766" i="11"/>
  <c r="Z2767" i="11"/>
  <c r="Z2768" i="11"/>
  <c r="Z2769" i="11"/>
  <c r="Z2770" i="11"/>
  <c r="Z2771" i="11"/>
  <c r="Z2772" i="11"/>
  <c r="Z2773" i="11"/>
  <c r="Z2774" i="11"/>
  <c r="Z2775" i="11"/>
  <c r="Z2776" i="11"/>
  <c r="Z2777" i="11"/>
  <c r="Z2778" i="11"/>
  <c r="Z2779" i="11"/>
  <c r="Z2780" i="11"/>
  <c r="Z2781" i="11"/>
  <c r="Z2782" i="11"/>
  <c r="Z2783" i="11"/>
  <c r="Z2784" i="11"/>
  <c r="Z2785" i="11"/>
  <c r="Z2786" i="11"/>
  <c r="Z2787" i="11"/>
  <c r="Z2788" i="11"/>
  <c r="Z2789" i="11"/>
  <c r="Z2790" i="11"/>
  <c r="Z2791" i="11"/>
  <c r="Z2792" i="11"/>
  <c r="Z2793" i="11"/>
  <c r="Z2794" i="11"/>
  <c r="Z2795" i="11"/>
  <c r="Z2796" i="11"/>
  <c r="Z2797" i="11"/>
  <c r="Z2798" i="11"/>
  <c r="Z2799" i="11"/>
  <c r="Z2800" i="11"/>
  <c r="Z2801" i="11"/>
  <c r="Z2802" i="11"/>
  <c r="Z2803" i="11"/>
  <c r="Z2804" i="11"/>
  <c r="Z2805" i="11"/>
  <c r="Z2806" i="11"/>
  <c r="Z2807" i="11"/>
  <c r="Z2808" i="11"/>
  <c r="Z2809" i="11"/>
  <c r="Z2810" i="11"/>
  <c r="Z2811" i="11"/>
  <c r="Z2812" i="11"/>
  <c r="Z2813" i="11"/>
  <c r="Z2814" i="11"/>
  <c r="Z2815" i="11"/>
  <c r="Z2816" i="11"/>
  <c r="Z2817" i="11"/>
  <c r="Z2818" i="11"/>
  <c r="Z2819" i="11"/>
  <c r="Z2820" i="11"/>
  <c r="Z2821" i="11"/>
  <c r="Z2822" i="11"/>
  <c r="Z2823" i="11"/>
  <c r="Z2824" i="11"/>
  <c r="Z2825" i="11"/>
  <c r="Z2826" i="11"/>
  <c r="Z2827" i="11"/>
  <c r="Z2828" i="11"/>
  <c r="Z2829" i="11"/>
  <c r="Z2830" i="11"/>
  <c r="Z2831" i="11"/>
  <c r="Z2832" i="11"/>
  <c r="Z2833" i="11"/>
  <c r="Z2834" i="11"/>
  <c r="Z2835" i="11"/>
  <c r="Z2836" i="11"/>
  <c r="Z2837" i="11"/>
  <c r="Z2838" i="11"/>
  <c r="Z2839" i="11"/>
  <c r="Z2840" i="11"/>
  <c r="Z2841" i="11"/>
  <c r="Z2842" i="11"/>
  <c r="Z2843" i="11"/>
  <c r="Z2844" i="11"/>
  <c r="Z2845" i="11"/>
  <c r="Z2846" i="11"/>
  <c r="Z2847" i="11"/>
  <c r="Z2848" i="11"/>
  <c r="Z2849" i="11"/>
  <c r="Z2850" i="11"/>
  <c r="Z2851" i="11"/>
  <c r="Z2852" i="11"/>
  <c r="Z2853" i="11"/>
  <c r="Z2854" i="11"/>
  <c r="Z2855" i="11"/>
  <c r="Z2856" i="11"/>
  <c r="Z2857" i="11"/>
  <c r="Z2858" i="11"/>
  <c r="Z2859" i="11"/>
  <c r="Z2860" i="11"/>
  <c r="Z2861" i="11"/>
  <c r="Z2862" i="11"/>
  <c r="Z2863" i="11"/>
  <c r="Z2864" i="11"/>
  <c r="Z2865" i="11"/>
  <c r="Z2866" i="11"/>
  <c r="Z2867" i="11"/>
  <c r="Z2868" i="11"/>
  <c r="Z2869" i="11"/>
  <c r="Z2870" i="11"/>
  <c r="Z2871" i="11"/>
  <c r="Z2872" i="11"/>
  <c r="Z2873" i="11"/>
  <c r="Z2874" i="11"/>
  <c r="Z2875" i="11"/>
  <c r="Z2876" i="11"/>
  <c r="Z2877" i="11"/>
  <c r="Z2878" i="11"/>
  <c r="Z2879" i="11"/>
  <c r="Z2880" i="11"/>
  <c r="Z2881" i="11"/>
  <c r="Z2882" i="11"/>
  <c r="Z2883" i="11"/>
  <c r="Z2884" i="11"/>
  <c r="Z2885" i="11"/>
  <c r="Z2886" i="11"/>
  <c r="Z2887" i="11"/>
  <c r="Z2888" i="11"/>
  <c r="Z2889" i="11"/>
  <c r="Z2890" i="11"/>
  <c r="Z2891" i="11"/>
  <c r="Z2892" i="11"/>
  <c r="Z2893" i="11"/>
  <c r="Z2894" i="11"/>
  <c r="Z2895" i="11"/>
  <c r="Z2896" i="11"/>
  <c r="Z2897" i="11"/>
  <c r="Z2898" i="11"/>
  <c r="Z2899" i="11"/>
  <c r="Z2900" i="11"/>
  <c r="Z2901" i="11"/>
  <c r="Z2902" i="11"/>
  <c r="Z2903" i="11"/>
  <c r="Z2904" i="11"/>
  <c r="Z2905" i="11"/>
  <c r="Z2906" i="11"/>
  <c r="Z2907" i="11"/>
  <c r="Z2908" i="11"/>
  <c r="Z2909" i="11"/>
  <c r="Z2910" i="11"/>
  <c r="Z2911" i="11"/>
  <c r="Z2912" i="11"/>
  <c r="Z2913" i="11"/>
  <c r="Z2914" i="11"/>
  <c r="Z2915" i="11"/>
  <c r="Z2916" i="11"/>
  <c r="Z2917" i="11"/>
  <c r="Z2918" i="11"/>
  <c r="Z2919" i="11"/>
  <c r="Z2920" i="11"/>
  <c r="Z2921" i="11"/>
  <c r="Z2922" i="11"/>
  <c r="Z2923" i="11"/>
  <c r="Z2924" i="11"/>
  <c r="Z2925" i="11"/>
  <c r="Z2926" i="11"/>
  <c r="Z2927" i="11"/>
  <c r="Z2928" i="11"/>
  <c r="Z2929" i="11"/>
  <c r="Z2930" i="11"/>
  <c r="Z2931" i="11"/>
  <c r="Z2932" i="11"/>
  <c r="Z2933" i="11"/>
  <c r="Z2934" i="11"/>
  <c r="Z2935" i="11"/>
  <c r="Z2936" i="11"/>
  <c r="Z2937" i="11"/>
  <c r="Z2938" i="11"/>
  <c r="Z2939" i="11"/>
  <c r="Z2940" i="11"/>
  <c r="Z2941" i="11"/>
  <c r="Z2942" i="11"/>
  <c r="Z2943" i="11"/>
  <c r="Z2944" i="11"/>
  <c r="Z2945" i="11"/>
  <c r="Z2946" i="11"/>
  <c r="Z2947" i="11"/>
  <c r="Z2948" i="11"/>
  <c r="Z2949" i="11"/>
  <c r="Z2950" i="11"/>
  <c r="Z2951" i="11"/>
  <c r="Z2952" i="11"/>
  <c r="Z2953" i="11"/>
  <c r="Z2954" i="11"/>
  <c r="Z2955" i="11"/>
  <c r="Z2956" i="11"/>
  <c r="Z2957" i="11"/>
  <c r="Z2958" i="11"/>
  <c r="Z2959" i="11"/>
  <c r="Z2960" i="11"/>
  <c r="Z2961" i="11"/>
  <c r="Z2962" i="11"/>
  <c r="Z2963" i="11"/>
  <c r="Z2964" i="11"/>
  <c r="Z2965" i="11"/>
  <c r="Z2966" i="11"/>
  <c r="Z2967" i="11"/>
  <c r="Z2968" i="11"/>
  <c r="Z2969" i="11"/>
  <c r="Z2970" i="11"/>
  <c r="Z2971" i="11"/>
  <c r="Z2972" i="11"/>
  <c r="Z2973" i="11"/>
  <c r="Z2974" i="11"/>
  <c r="Z2975" i="11"/>
  <c r="Z2976" i="11"/>
  <c r="Z2977" i="11"/>
  <c r="Z2978" i="11"/>
  <c r="Z2979" i="11"/>
  <c r="Z2980" i="11"/>
  <c r="Z2981" i="11"/>
  <c r="Z2982" i="11"/>
  <c r="Z2983" i="11"/>
  <c r="Z2984" i="11"/>
  <c r="Z2985" i="11"/>
  <c r="Z2986" i="11"/>
  <c r="Z2987" i="11"/>
  <c r="Z2988" i="11"/>
  <c r="Z2989" i="11"/>
  <c r="Z2990" i="11"/>
  <c r="Z2991" i="11"/>
  <c r="Z2992" i="11"/>
  <c r="Z2993" i="11"/>
  <c r="Z2994" i="11"/>
  <c r="Z2995" i="11"/>
  <c r="Z2996" i="11"/>
  <c r="Z2997" i="11"/>
  <c r="Z2998" i="11"/>
  <c r="Z2999" i="11"/>
  <c r="Z3000" i="11"/>
  <c r="Z3001" i="11"/>
  <c r="Z3002" i="11"/>
  <c r="Z3003" i="11"/>
  <c r="Z3004" i="11"/>
  <c r="Z3005" i="11"/>
  <c r="Z3006" i="11"/>
  <c r="Z3007" i="11"/>
  <c r="Z3008" i="11"/>
  <c r="Z3009" i="11"/>
  <c r="Z3010" i="11"/>
  <c r="Z3011" i="11"/>
  <c r="Z3012" i="11"/>
  <c r="Z3013" i="11"/>
  <c r="Z3014" i="11"/>
  <c r="Z3015" i="11"/>
  <c r="Z3016" i="11"/>
  <c r="Z3017" i="11"/>
  <c r="Z3018" i="11"/>
  <c r="Z3019" i="11"/>
  <c r="Z3020" i="11"/>
  <c r="Z3021" i="11"/>
  <c r="Z3022" i="11"/>
  <c r="Z3023" i="11"/>
  <c r="Z3024" i="11"/>
  <c r="Z3025" i="11"/>
  <c r="Z3026" i="11"/>
  <c r="Z3027" i="11"/>
  <c r="Z3028" i="11"/>
  <c r="Z3029" i="11"/>
  <c r="Z3030" i="11"/>
  <c r="Z3031" i="11"/>
  <c r="Z3032" i="11"/>
  <c r="Z3033" i="11"/>
  <c r="Z3034" i="11"/>
  <c r="Z3035" i="11"/>
  <c r="Z3036" i="11"/>
  <c r="Z3037" i="11"/>
  <c r="Z3038" i="11"/>
  <c r="Z3039" i="11"/>
  <c r="Z3040" i="11"/>
  <c r="Z3041" i="11"/>
  <c r="Z3042" i="11"/>
  <c r="Z3043" i="11"/>
  <c r="Z3044" i="11"/>
  <c r="Z3045" i="11"/>
  <c r="Z3046" i="11"/>
  <c r="Z3047" i="11"/>
  <c r="Z3048" i="11"/>
  <c r="Z3049" i="11"/>
  <c r="Z3050" i="11"/>
  <c r="Z3051" i="11"/>
  <c r="Z3052" i="11"/>
  <c r="Z3053" i="11"/>
  <c r="Z3054" i="11"/>
  <c r="Z3055" i="11"/>
  <c r="Z3056" i="11"/>
  <c r="Z3057" i="11"/>
  <c r="Z3058" i="11"/>
  <c r="Z3059" i="11"/>
  <c r="Z3060" i="11"/>
  <c r="Z3061" i="11"/>
  <c r="Z3062" i="11"/>
  <c r="Z3063" i="11"/>
  <c r="Z3064" i="11"/>
  <c r="Z3065" i="11"/>
  <c r="Z3066" i="11"/>
  <c r="Z3067" i="11"/>
  <c r="Z3068" i="11"/>
  <c r="Z3069" i="11"/>
  <c r="Z3070" i="11"/>
  <c r="Z3071" i="11"/>
  <c r="Z3072" i="11"/>
  <c r="Z3073" i="11"/>
  <c r="Z3074" i="11"/>
  <c r="Z3075" i="11"/>
  <c r="Z3076" i="11"/>
  <c r="Z3077" i="11"/>
  <c r="Z3078" i="11"/>
  <c r="Z3079" i="11"/>
  <c r="Z3080" i="11"/>
  <c r="Z3081" i="11"/>
  <c r="Z3082" i="11"/>
  <c r="Z3083" i="11"/>
  <c r="Z3084" i="11"/>
  <c r="Z3085" i="11"/>
  <c r="Z3086" i="11"/>
  <c r="Z3087" i="11"/>
  <c r="Z3088" i="11"/>
  <c r="Z3089" i="11"/>
  <c r="Z3090" i="11"/>
  <c r="Z3091" i="11"/>
  <c r="Z3092" i="11"/>
  <c r="Z3093" i="11"/>
  <c r="Z3094" i="11"/>
  <c r="Z3095" i="11"/>
  <c r="Z3096" i="11"/>
  <c r="Z3097" i="11"/>
  <c r="Z3098" i="11"/>
  <c r="Z3099" i="11"/>
  <c r="Z3100" i="11"/>
  <c r="Z3101" i="11"/>
  <c r="Z3102" i="11"/>
  <c r="Z3103" i="11"/>
  <c r="Z3104" i="11"/>
  <c r="Z3105" i="11"/>
  <c r="Z3106" i="11"/>
  <c r="Z3107" i="11"/>
  <c r="Z3108" i="11"/>
  <c r="Z3109" i="11"/>
  <c r="Z3110" i="11"/>
  <c r="Z3111" i="11"/>
  <c r="Z3112" i="11"/>
  <c r="Z3113" i="11"/>
  <c r="Z3114" i="11"/>
  <c r="Z3115" i="11"/>
  <c r="Z3116" i="11"/>
  <c r="Z3117" i="11"/>
  <c r="Z3118" i="11"/>
  <c r="Z3119" i="11"/>
  <c r="Z3120" i="11"/>
  <c r="Z3121" i="11"/>
  <c r="Z3122" i="11"/>
  <c r="Z3123" i="11"/>
  <c r="Z3124" i="11"/>
  <c r="Z3125" i="11"/>
  <c r="Z3126" i="11"/>
  <c r="Z3127" i="11"/>
  <c r="Z3128" i="11"/>
  <c r="Z3129" i="11"/>
  <c r="Z3130" i="11"/>
  <c r="Z3131" i="11"/>
  <c r="Z3132" i="11"/>
  <c r="Z3133" i="11"/>
  <c r="Z3134" i="11"/>
  <c r="Z3135" i="11"/>
  <c r="Z3136" i="11"/>
  <c r="Z3137" i="11"/>
  <c r="Z3138" i="11"/>
  <c r="Z3139" i="11"/>
  <c r="Z3140" i="11"/>
  <c r="Z3141" i="11"/>
  <c r="Z3142" i="11"/>
  <c r="Z3143" i="11"/>
  <c r="Z3144" i="11"/>
  <c r="Z3145" i="11"/>
  <c r="Z3146" i="11"/>
  <c r="Z3147" i="11"/>
  <c r="Z3148" i="11"/>
  <c r="Z3149" i="11"/>
  <c r="Z3150" i="11"/>
  <c r="Z3151" i="11"/>
  <c r="Z3152" i="11"/>
  <c r="Z3153" i="11"/>
  <c r="Z3154" i="11"/>
  <c r="Z3155" i="11"/>
  <c r="Z3156" i="11"/>
  <c r="Z3157" i="11"/>
  <c r="Z3158" i="11"/>
  <c r="Z3159" i="11"/>
  <c r="Z3160" i="11"/>
  <c r="Z3161" i="11"/>
  <c r="Z3162" i="11"/>
  <c r="Z3163" i="11"/>
  <c r="Z3164" i="11"/>
  <c r="Z3165" i="11"/>
  <c r="Z3166" i="11"/>
  <c r="Z3167" i="11"/>
  <c r="Z3168" i="11"/>
  <c r="Z3169" i="11"/>
  <c r="Z3170" i="11"/>
  <c r="Z3171" i="11"/>
  <c r="Z3172" i="11"/>
  <c r="Z3173" i="11"/>
  <c r="Z3174" i="11"/>
  <c r="Z3175" i="11"/>
  <c r="Z3176" i="11"/>
  <c r="Z3177" i="11"/>
  <c r="Z3178" i="11"/>
  <c r="Z3179" i="11"/>
  <c r="Z3180" i="11"/>
  <c r="Z3181" i="11"/>
  <c r="Z3182" i="11"/>
  <c r="Z3183" i="11"/>
  <c r="Z3184" i="11"/>
  <c r="Z3185" i="11"/>
  <c r="Z3186" i="11"/>
  <c r="Z3187" i="11"/>
  <c r="Z3188" i="11"/>
  <c r="Z3189" i="11"/>
  <c r="Z3190" i="11"/>
  <c r="Z3191" i="11"/>
  <c r="Z3192" i="11"/>
  <c r="Z3193" i="11"/>
  <c r="Z3194" i="11"/>
  <c r="Z3195" i="11"/>
  <c r="Z3196" i="11"/>
  <c r="Z3197" i="11"/>
  <c r="Z3198" i="11"/>
  <c r="Z3199" i="11"/>
  <c r="Z3200" i="11"/>
  <c r="Z3201" i="11"/>
  <c r="Z3202" i="11"/>
  <c r="Z3203" i="11"/>
  <c r="Z3204" i="11"/>
  <c r="Z3205" i="11"/>
  <c r="Z3206" i="11"/>
  <c r="Z3207" i="11"/>
  <c r="Z3208" i="11"/>
  <c r="Z3209" i="11"/>
  <c r="Z3210" i="11"/>
  <c r="Z3211" i="11"/>
  <c r="Z3212" i="11"/>
  <c r="Z3213" i="11"/>
  <c r="Z3214" i="11"/>
  <c r="Z3215" i="11"/>
  <c r="Z3216" i="11"/>
  <c r="Z3217" i="11"/>
  <c r="Z3218" i="11"/>
  <c r="Z3219" i="11"/>
  <c r="Z3220" i="11"/>
  <c r="Z3221" i="11"/>
  <c r="Z3222" i="11"/>
  <c r="Z3223" i="11"/>
  <c r="Z3224" i="11"/>
  <c r="Z3225" i="11"/>
  <c r="Z3226" i="11"/>
  <c r="Z3227" i="11"/>
  <c r="Z3228" i="11"/>
  <c r="Z3229" i="11"/>
  <c r="Z3230" i="11"/>
  <c r="Z3231" i="11"/>
  <c r="Z3232" i="11"/>
  <c r="Z3233" i="11"/>
  <c r="Z3234" i="11"/>
  <c r="Z3235" i="11"/>
  <c r="Z3236" i="11"/>
  <c r="Z3237" i="11"/>
  <c r="Z3238" i="11"/>
  <c r="Z3239" i="11"/>
  <c r="Z3240" i="11"/>
  <c r="Z3241" i="11"/>
  <c r="Z3242" i="11"/>
  <c r="Z3243" i="11"/>
  <c r="Z3244" i="11"/>
  <c r="Z3245" i="11"/>
  <c r="Z3246" i="11"/>
  <c r="Z3247" i="11"/>
  <c r="Z3248" i="11"/>
  <c r="Z3249" i="11"/>
  <c r="Z3250" i="11"/>
  <c r="Z3251" i="11"/>
  <c r="Z3252" i="11"/>
  <c r="Z3253" i="11"/>
  <c r="Z3254" i="11"/>
  <c r="Z3255" i="11"/>
  <c r="Z3256" i="11"/>
  <c r="Z3257" i="11"/>
  <c r="Z3258" i="11"/>
  <c r="Z3259" i="11"/>
  <c r="Z3260" i="11"/>
  <c r="Z3261" i="11"/>
  <c r="Z3262" i="11"/>
  <c r="Z3263" i="11"/>
  <c r="Z3264" i="11"/>
  <c r="Z3265" i="11"/>
  <c r="Z3266" i="11"/>
  <c r="Z3267" i="11"/>
  <c r="Z3268" i="11"/>
  <c r="Z3269" i="11"/>
  <c r="Z3270" i="11"/>
  <c r="Z3271" i="11"/>
  <c r="Z3272" i="11"/>
  <c r="Z3273" i="11"/>
  <c r="Z3274" i="11"/>
  <c r="Z3275" i="11"/>
  <c r="Z3276" i="11"/>
  <c r="Z3277" i="11"/>
  <c r="Z3278" i="11"/>
  <c r="Z3279" i="11"/>
  <c r="Z3280" i="11"/>
  <c r="Z3281" i="11"/>
  <c r="Z3282" i="11"/>
  <c r="Z3283" i="11"/>
  <c r="Z3284" i="11"/>
  <c r="Z3285" i="11"/>
  <c r="Z3286" i="11"/>
  <c r="Z3287" i="11"/>
  <c r="Z3288" i="11"/>
  <c r="Z3289" i="11"/>
  <c r="Z3290" i="11"/>
  <c r="Z3291" i="11"/>
  <c r="Z3292" i="11"/>
  <c r="Z3293" i="11"/>
  <c r="Z3294" i="11"/>
  <c r="Z3295" i="11"/>
  <c r="Z3296" i="11"/>
  <c r="Z3297" i="11"/>
  <c r="Z3298" i="11"/>
  <c r="Z3299" i="11"/>
  <c r="Z3300" i="11"/>
  <c r="Z3301" i="11"/>
  <c r="Z3302" i="11"/>
  <c r="Z3303" i="11"/>
  <c r="Z3304" i="11"/>
  <c r="Z3305" i="11"/>
  <c r="Z3306" i="11"/>
  <c r="Z3307" i="11"/>
  <c r="Z3308" i="11"/>
  <c r="Z3309" i="11"/>
  <c r="Z3310" i="11"/>
  <c r="Z3311" i="11"/>
  <c r="Z3312" i="11"/>
  <c r="Z3313" i="11"/>
  <c r="Z3314" i="11"/>
  <c r="Z3315" i="11"/>
  <c r="Z3316" i="11"/>
  <c r="Z3317" i="11"/>
  <c r="Z3318" i="11"/>
  <c r="Z3319" i="11"/>
  <c r="Z3320" i="11"/>
  <c r="Z3321" i="11"/>
  <c r="Z3322" i="11"/>
  <c r="Z3323" i="11"/>
  <c r="Z3324" i="11"/>
  <c r="Z3325" i="11"/>
  <c r="Z3326" i="11"/>
  <c r="Z3327" i="11"/>
  <c r="Z3328" i="11"/>
  <c r="Z3329" i="11"/>
  <c r="Z3330" i="11"/>
  <c r="Z3331" i="11"/>
  <c r="Z3332" i="11"/>
  <c r="Z3333" i="11"/>
  <c r="Z3334" i="11"/>
  <c r="Z3335" i="11"/>
  <c r="Z3336" i="11"/>
  <c r="Z3337" i="11"/>
  <c r="Z3338" i="11"/>
  <c r="Z3339" i="11"/>
  <c r="Z3340" i="11"/>
  <c r="Z3341" i="11"/>
  <c r="Z3342" i="11"/>
  <c r="Z3343" i="11"/>
  <c r="Z3344" i="11"/>
  <c r="Z3345" i="11"/>
  <c r="Z3346" i="11"/>
  <c r="Z3347" i="11"/>
  <c r="Z3348" i="11"/>
  <c r="Z3349" i="11"/>
  <c r="Z3350" i="11"/>
  <c r="Z3351" i="11"/>
  <c r="Z3352" i="11"/>
  <c r="Z3353" i="11"/>
  <c r="Z3354" i="11"/>
  <c r="Z3355" i="11"/>
  <c r="Z3356" i="11"/>
  <c r="Z3357" i="11"/>
  <c r="Z3358" i="11"/>
  <c r="Z3359" i="11"/>
  <c r="Z3360" i="11"/>
  <c r="Z3361" i="11"/>
  <c r="Z3362" i="11"/>
  <c r="Z3363" i="11"/>
  <c r="Z3364" i="11"/>
  <c r="Z3365" i="11"/>
  <c r="Z3366" i="11"/>
  <c r="Z3367" i="11"/>
  <c r="Z3368" i="11"/>
  <c r="Z3369" i="11"/>
  <c r="Z3370" i="11"/>
  <c r="Z3371" i="11"/>
  <c r="Z3372" i="11"/>
  <c r="Z3373" i="11"/>
  <c r="Z3374" i="11"/>
  <c r="Z3375" i="11"/>
  <c r="Z3376" i="11"/>
  <c r="Z3377" i="11"/>
  <c r="Z3378" i="11"/>
  <c r="Z3379" i="11"/>
  <c r="Z3380" i="11"/>
  <c r="Z3381" i="11"/>
  <c r="Z3382" i="11"/>
  <c r="Z3383" i="11"/>
  <c r="Z3384" i="11"/>
  <c r="Z3385" i="11"/>
  <c r="Z3386" i="11"/>
  <c r="Z3387" i="11"/>
  <c r="Z3388" i="11"/>
  <c r="Z3389" i="11"/>
  <c r="Z3390" i="11"/>
  <c r="Z3391" i="11"/>
  <c r="Z3392" i="11"/>
  <c r="Z3393" i="11"/>
  <c r="Z3394" i="11"/>
  <c r="Z3395" i="11"/>
  <c r="Z3396" i="11"/>
  <c r="Z3397" i="11"/>
  <c r="Z3398" i="11"/>
  <c r="Z3399" i="11"/>
  <c r="Z3400" i="11"/>
  <c r="Z3401" i="11"/>
  <c r="Z3402" i="11"/>
  <c r="Z3403" i="11"/>
  <c r="Z3404" i="11"/>
  <c r="Z3405" i="11"/>
  <c r="Z3406" i="11"/>
  <c r="Z3407" i="11"/>
  <c r="Z3408" i="11"/>
  <c r="Z3409" i="11"/>
  <c r="Z3410" i="11"/>
  <c r="Z3411" i="11"/>
  <c r="Z3412" i="11"/>
  <c r="Z3413" i="11"/>
  <c r="Z3414" i="11"/>
  <c r="Z3415" i="11"/>
  <c r="Z3416" i="11"/>
  <c r="Z3417" i="11"/>
  <c r="Z3418" i="11"/>
  <c r="Z3419" i="11"/>
  <c r="Z3420" i="11"/>
  <c r="Z3421" i="11"/>
  <c r="Z3422" i="11"/>
  <c r="Z3423" i="11"/>
  <c r="Z3424" i="11"/>
  <c r="Z3425" i="11"/>
  <c r="Z3426" i="11"/>
  <c r="Z3427" i="11"/>
  <c r="Z3428" i="11"/>
  <c r="Z3429" i="11"/>
  <c r="Z3430" i="11"/>
  <c r="Z3431" i="11"/>
  <c r="Z3432" i="11"/>
  <c r="Z3433" i="11"/>
  <c r="Z3434" i="11"/>
  <c r="Z3435" i="11"/>
  <c r="Z3436" i="11"/>
  <c r="Z3437" i="11"/>
  <c r="Z3438" i="11"/>
  <c r="Z3439" i="11"/>
  <c r="Z3440" i="11"/>
  <c r="Z3441" i="11"/>
  <c r="Z3442" i="11"/>
  <c r="Z3443" i="11"/>
  <c r="Z3444" i="11"/>
  <c r="Z3445" i="11"/>
  <c r="Z3446" i="11"/>
  <c r="Z3447" i="11"/>
  <c r="Z3448" i="11"/>
  <c r="Z3449" i="11"/>
  <c r="Z3450" i="11"/>
  <c r="Z3451" i="11"/>
  <c r="Z3452" i="11"/>
  <c r="Z3453" i="11"/>
  <c r="Z3454" i="11"/>
  <c r="Z3455" i="11"/>
  <c r="Z3456" i="11"/>
  <c r="Z3457" i="11"/>
  <c r="Z3458" i="11"/>
  <c r="Z3459" i="11"/>
  <c r="Z3460" i="11"/>
  <c r="Z3461" i="11"/>
  <c r="Z3462" i="11"/>
  <c r="Z3463" i="11"/>
  <c r="Z3464" i="11"/>
  <c r="Z3465" i="11"/>
  <c r="Z3466" i="11"/>
  <c r="Z3467" i="11"/>
  <c r="Z3468" i="11"/>
  <c r="Z3469" i="11"/>
  <c r="Z3470" i="11"/>
  <c r="Z3471" i="11"/>
  <c r="Z3472" i="11"/>
  <c r="Z3473" i="11"/>
  <c r="Z3474" i="11"/>
  <c r="Z3475" i="11"/>
  <c r="Z3476" i="11"/>
  <c r="Z3477" i="11"/>
  <c r="Z3478" i="11"/>
  <c r="Z3479" i="11"/>
  <c r="Z3480" i="11"/>
  <c r="Z3481" i="11"/>
  <c r="Z3482" i="11"/>
  <c r="Z3483" i="11"/>
  <c r="Z3484" i="11"/>
  <c r="Z3485" i="11"/>
  <c r="Z3486" i="11"/>
  <c r="Z3487" i="11"/>
  <c r="Z3488" i="11"/>
  <c r="Z3489" i="11"/>
  <c r="Z3490" i="11"/>
  <c r="Z3491" i="11"/>
  <c r="Z3492" i="11"/>
  <c r="Z3493" i="11"/>
  <c r="Z3494" i="11"/>
  <c r="Z3495" i="11"/>
  <c r="Z3496" i="11"/>
  <c r="Z3497" i="11"/>
  <c r="Z3498" i="11"/>
  <c r="Z3499" i="11"/>
  <c r="Z3500" i="11"/>
  <c r="Z3501" i="11"/>
  <c r="Z3502" i="11"/>
  <c r="Z3503" i="11"/>
  <c r="Z3504" i="11"/>
  <c r="Z3505" i="11"/>
  <c r="Z3506" i="11"/>
  <c r="Z3507" i="11"/>
  <c r="Z3508" i="11"/>
  <c r="Z3509" i="11"/>
  <c r="Z3510" i="11"/>
  <c r="Z3511" i="11"/>
  <c r="Z3512" i="11"/>
  <c r="Z3513" i="11"/>
  <c r="Z3514" i="11"/>
  <c r="Z3515" i="11"/>
  <c r="Z3516" i="11"/>
  <c r="Z3517" i="11"/>
  <c r="Z3518" i="11"/>
  <c r="Z3519" i="11"/>
  <c r="Z3520" i="11"/>
  <c r="Z3521" i="11"/>
  <c r="Z3522" i="11"/>
  <c r="Z3523" i="11"/>
  <c r="Z3524" i="11"/>
  <c r="Z3525" i="11"/>
  <c r="Z3526" i="11"/>
  <c r="Z3527" i="11"/>
  <c r="Z3528" i="11"/>
  <c r="Z3529" i="11"/>
  <c r="Z3530" i="11"/>
  <c r="Z3531" i="11"/>
  <c r="Z3532" i="11"/>
  <c r="Z3533" i="11"/>
  <c r="Z3534" i="11"/>
  <c r="Z3535" i="11"/>
  <c r="Z3536" i="11"/>
  <c r="Z3537" i="11"/>
  <c r="Z3538" i="11"/>
  <c r="Z3539" i="11"/>
  <c r="Z3540" i="11"/>
  <c r="Z3541" i="11"/>
  <c r="Z3542" i="11"/>
  <c r="Z3543" i="11"/>
  <c r="Z3544" i="11"/>
  <c r="Z3545" i="11"/>
  <c r="Z3546" i="11"/>
  <c r="Z3547" i="11"/>
  <c r="Z3548" i="11"/>
  <c r="Z3549" i="11"/>
  <c r="Z3550" i="11"/>
  <c r="Z3551" i="11"/>
  <c r="Z3552" i="11"/>
  <c r="Z3553" i="11"/>
  <c r="Z3554" i="11"/>
  <c r="Z3555" i="11"/>
  <c r="Z3556" i="11"/>
  <c r="Z3557" i="11"/>
  <c r="Z3558" i="11"/>
  <c r="Z3559" i="11"/>
  <c r="Z3560" i="11"/>
  <c r="Z3561" i="11"/>
  <c r="Z3562" i="11"/>
  <c r="Z3563" i="11"/>
  <c r="Z3564" i="11"/>
  <c r="Z3565" i="11"/>
  <c r="Z3566" i="11"/>
  <c r="Z3567" i="11"/>
  <c r="Z3568" i="11"/>
  <c r="Z3569" i="11"/>
  <c r="Z3570" i="11"/>
  <c r="Z3571" i="11"/>
  <c r="Z3572" i="11"/>
  <c r="Z3573" i="11"/>
  <c r="Z3574" i="11"/>
  <c r="Z3575" i="11"/>
  <c r="Z3576" i="11"/>
  <c r="Z3577" i="11"/>
  <c r="Z3578" i="11"/>
  <c r="Z3579" i="11"/>
  <c r="Z3580" i="11"/>
  <c r="Z3581" i="11"/>
  <c r="Z3582" i="11"/>
  <c r="Z3583" i="11"/>
  <c r="Z3584" i="11"/>
  <c r="Z3585" i="11"/>
  <c r="Z3586" i="11"/>
  <c r="Z3587" i="11"/>
  <c r="Z3588" i="11"/>
  <c r="Z3589" i="11"/>
  <c r="Z3590" i="11"/>
  <c r="Z3591" i="11"/>
  <c r="Z3592" i="11"/>
  <c r="Z3593" i="11"/>
  <c r="Z3594" i="11"/>
  <c r="Z3595" i="11"/>
  <c r="Z3596" i="11"/>
  <c r="Z3597" i="11"/>
  <c r="Z3598" i="11"/>
  <c r="Z3599" i="11"/>
  <c r="Z3600" i="11"/>
  <c r="Z3601" i="11"/>
  <c r="Z3602" i="11"/>
  <c r="Z3603" i="11"/>
  <c r="Z3604" i="11"/>
  <c r="Z3605" i="11"/>
  <c r="Z3606" i="11"/>
  <c r="Z3607" i="11"/>
  <c r="Z3608" i="11"/>
  <c r="Z3609" i="11"/>
  <c r="Z3610" i="11"/>
  <c r="Z3611" i="11"/>
  <c r="Z3612" i="11"/>
  <c r="Z3613" i="11"/>
  <c r="Z3614" i="11"/>
  <c r="Z3615" i="11"/>
  <c r="Z3616" i="11"/>
  <c r="Z3617" i="11"/>
  <c r="Z3618" i="11"/>
  <c r="Z3619" i="11"/>
  <c r="Z3620" i="11"/>
  <c r="Z3621" i="11"/>
  <c r="Z3622" i="11"/>
  <c r="Z3623" i="11"/>
  <c r="Z3624" i="11"/>
  <c r="Z3625" i="11"/>
  <c r="Z3626" i="11"/>
  <c r="Z3627" i="11"/>
  <c r="Z3628" i="11"/>
  <c r="Z3629" i="11"/>
  <c r="Z3630" i="11"/>
  <c r="Z3631" i="11"/>
  <c r="Z3632" i="11"/>
  <c r="Z3633" i="11"/>
  <c r="Z3634" i="11"/>
  <c r="Z3635" i="11"/>
  <c r="Z3636" i="11"/>
  <c r="Z3637" i="11"/>
  <c r="Z3638" i="11"/>
  <c r="Z3639" i="11"/>
  <c r="Z3640" i="11"/>
  <c r="Z3641" i="11"/>
  <c r="Z3642" i="11"/>
  <c r="Z3643" i="11"/>
  <c r="Z3644" i="11"/>
  <c r="Z3645" i="11"/>
  <c r="Z3646" i="11"/>
  <c r="Z3647" i="11"/>
  <c r="Z3648" i="11"/>
  <c r="Z3649" i="11"/>
  <c r="Z3650" i="11"/>
  <c r="Z3651" i="11"/>
  <c r="Z3652" i="11"/>
  <c r="Z3653" i="11"/>
  <c r="Z3654" i="11"/>
  <c r="Z3655" i="11"/>
  <c r="Z3656" i="11"/>
  <c r="Z3657" i="11"/>
  <c r="Z3658" i="11"/>
  <c r="Z3659" i="11"/>
  <c r="Z3660" i="11"/>
  <c r="Z3661" i="11"/>
  <c r="Z3662" i="11"/>
  <c r="Z3663" i="11"/>
  <c r="Z3664" i="11"/>
  <c r="Z3665" i="11"/>
  <c r="Z3666" i="11"/>
  <c r="Z3667" i="11"/>
  <c r="Z3668" i="11"/>
  <c r="Z3669" i="11"/>
  <c r="Z3670" i="11"/>
  <c r="Z3671" i="11"/>
  <c r="Z3672" i="11"/>
  <c r="Z3673" i="11"/>
  <c r="Z3674" i="11"/>
  <c r="Z3675" i="11"/>
  <c r="Z3676" i="11"/>
  <c r="Z3677" i="11"/>
  <c r="Z3678" i="11"/>
  <c r="Z3679" i="11"/>
  <c r="Z3680" i="11"/>
  <c r="Z3681" i="11"/>
  <c r="Z3682" i="11"/>
  <c r="Z3683" i="11"/>
  <c r="Z3684" i="11"/>
  <c r="Z3685" i="11"/>
  <c r="Z3686" i="11"/>
  <c r="Z3687" i="11"/>
  <c r="Z3688" i="11"/>
  <c r="Z3689" i="11"/>
  <c r="Z3690" i="11"/>
  <c r="Z3691" i="11"/>
  <c r="Z3692" i="11"/>
  <c r="Z3693" i="11"/>
  <c r="Z3694" i="11"/>
  <c r="Z3695" i="11"/>
  <c r="Z3696" i="11"/>
  <c r="Z3697" i="11"/>
  <c r="Z3698" i="11"/>
  <c r="Z3699" i="11"/>
  <c r="Z3700" i="11"/>
  <c r="Z3701" i="11"/>
  <c r="Z3702" i="11"/>
  <c r="Z3703" i="11"/>
  <c r="Z3704" i="11"/>
  <c r="Z3705" i="11"/>
  <c r="Z3706" i="11"/>
  <c r="Z3707" i="11"/>
  <c r="Z3708" i="11"/>
  <c r="Z3709" i="11"/>
  <c r="Z3710" i="11"/>
  <c r="Z3711" i="11"/>
  <c r="Z3712" i="11"/>
  <c r="Z3713" i="11"/>
  <c r="Z3714" i="11"/>
  <c r="Z3715" i="11"/>
  <c r="Z3716" i="11"/>
  <c r="Z3717" i="11"/>
  <c r="Z3718" i="11"/>
  <c r="Z3719" i="11"/>
  <c r="Z3720" i="11"/>
  <c r="Z3721" i="11"/>
  <c r="Z3722" i="11"/>
  <c r="Z3723" i="11"/>
  <c r="Z3724" i="11"/>
  <c r="Z3725" i="11"/>
  <c r="Z3726" i="11"/>
  <c r="Z3727" i="11"/>
  <c r="Z3728" i="11"/>
  <c r="Z3729" i="11"/>
  <c r="Z3730" i="11"/>
  <c r="Z3731" i="11"/>
  <c r="Z3732" i="11"/>
  <c r="Z3733" i="11"/>
  <c r="Z3734" i="11"/>
  <c r="Z3735" i="11"/>
  <c r="Z3736" i="11"/>
  <c r="Z3737" i="11"/>
  <c r="Z3738" i="11"/>
  <c r="Z3739" i="11"/>
  <c r="Z3740" i="11"/>
  <c r="Z3741" i="11"/>
  <c r="Z3742" i="11"/>
  <c r="Z3743" i="11"/>
  <c r="Z3744" i="11"/>
  <c r="Z3745" i="11"/>
  <c r="Z3746" i="11"/>
  <c r="Z3747" i="11"/>
  <c r="Z3748" i="11"/>
  <c r="Z3749" i="11"/>
  <c r="Z3750" i="11"/>
  <c r="Z3751" i="11"/>
  <c r="Z3752" i="11"/>
  <c r="Z3753" i="11"/>
  <c r="Z3754" i="11"/>
  <c r="Z3755" i="11"/>
  <c r="Z3756" i="11"/>
  <c r="Z3757" i="11"/>
  <c r="Z3758" i="11"/>
  <c r="Z3759" i="11"/>
  <c r="Z3760" i="11"/>
  <c r="Z3761" i="11"/>
  <c r="Z3762" i="11"/>
  <c r="Z3763" i="11"/>
  <c r="Z3764" i="11"/>
  <c r="Z3765" i="11"/>
  <c r="Z3766" i="11"/>
  <c r="Z3767" i="11"/>
  <c r="Z3768" i="11"/>
  <c r="Z3769" i="11"/>
  <c r="Z3770" i="11"/>
  <c r="Z3771" i="11"/>
  <c r="Z3772" i="11"/>
  <c r="Z3773" i="11"/>
  <c r="Z3774" i="11"/>
  <c r="Z3775" i="11"/>
  <c r="Z3776" i="11"/>
  <c r="Z3777" i="11"/>
  <c r="Z3778" i="11"/>
  <c r="Z3779" i="11"/>
  <c r="Z3780" i="11"/>
  <c r="Z3781" i="11"/>
  <c r="Z3782" i="11"/>
  <c r="Z3783" i="11"/>
  <c r="Z3784" i="11"/>
  <c r="Z3785" i="11"/>
  <c r="Z3786" i="11"/>
  <c r="Z3787" i="11"/>
  <c r="Z3788" i="11"/>
  <c r="Z3789" i="11"/>
  <c r="Z3790" i="11"/>
  <c r="Z3791" i="11"/>
  <c r="Z3792" i="11"/>
  <c r="Z3793" i="11"/>
  <c r="Z3794" i="11"/>
  <c r="Z3795" i="11"/>
  <c r="Z3796" i="11"/>
  <c r="Z3797" i="11"/>
  <c r="Z3798" i="11"/>
  <c r="Z3799" i="11"/>
  <c r="Z3800" i="11"/>
  <c r="Z3801" i="11"/>
  <c r="Z3802" i="11"/>
  <c r="Z3803" i="11"/>
  <c r="Z3804" i="11"/>
  <c r="Z3805" i="11"/>
  <c r="Z3806" i="11"/>
  <c r="Z3807" i="11"/>
  <c r="Z3808" i="11"/>
  <c r="Z3809" i="11"/>
  <c r="Z3810" i="11"/>
  <c r="Z3811" i="11"/>
  <c r="Z3812" i="11"/>
  <c r="Z3813" i="11"/>
  <c r="Z3814" i="11"/>
  <c r="Z3815" i="11"/>
  <c r="Z3816" i="11"/>
  <c r="Z3817" i="11"/>
  <c r="Z3818" i="11"/>
  <c r="Z3819" i="11"/>
  <c r="Z3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1395" i="11"/>
  <c r="U1396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0" i="11"/>
  <c r="U1411" i="11"/>
  <c r="U1412" i="11"/>
  <c r="U1413" i="11"/>
  <c r="U1414" i="11"/>
  <c r="U1415" i="11"/>
  <c r="U1416" i="1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38" i="11"/>
  <c r="U1439" i="11"/>
  <c r="U1440" i="11"/>
  <c r="U1441" i="11"/>
  <c r="U1442" i="11"/>
  <c r="U1443" i="11"/>
  <c r="U1444" i="11"/>
  <c r="U1445" i="11"/>
  <c r="U1446" i="11"/>
  <c r="U1447" i="11"/>
  <c r="U1448" i="11"/>
  <c r="U1449" i="11"/>
  <c r="U1450" i="11"/>
  <c r="U1451" i="11"/>
  <c r="U1452" i="11"/>
  <c r="U1453" i="11"/>
  <c r="U1454" i="11"/>
  <c r="U1455" i="11"/>
  <c r="U1456" i="11"/>
  <c r="U1457" i="11"/>
  <c r="U1458" i="11"/>
  <c r="U1459" i="11"/>
  <c r="U1460" i="11"/>
  <c r="U1461" i="11"/>
  <c r="U1462" i="11"/>
  <c r="U1463" i="11"/>
  <c r="U1464" i="11"/>
  <c r="U1465" i="11"/>
  <c r="U1466" i="11"/>
  <c r="U1467" i="11"/>
  <c r="U1468" i="11"/>
  <c r="U1469" i="11"/>
  <c r="U1470" i="11"/>
  <c r="U1471" i="11"/>
  <c r="U1472" i="11"/>
  <c r="U1473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489" i="11"/>
  <c r="U1490" i="11"/>
  <c r="U1491" i="11"/>
  <c r="U1492" i="11"/>
  <c r="U1493" i="11"/>
  <c r="U1494" i="11"/>
  <c r="U1495" i="11"/>
  <c r="U1496" i="11"/>
  <c r="U1497" i="11"/>
  <c r="U1498" i="11"/>
  <c r="U1499" i="11"/>
  <c r="U1500" i="11"/>
  <c r="U1501" i="11"/>
  <c r="U1502" i="11"/>
  <c r="U1503" i="11"/>
  <c r="U1504" i="11"/>
  <c r="U1505" i="11"/>
  <c r="U1506" i="11"/>
  <c r="U1507" i="11"/>
  <c r="U1508" i="11"/>
  <c r="U1509" i="11"/>
  <c r="U1510" i="11"/>
  <c r="U1511" i="11"/>
  <c r="U1512" i="11"/>
  <c r="U1513" i="11"/>
  <c r="U1514" i="11"/>
  <c r="U1515" i="11"/>
  <c r="U1516" i="11"/>
  <c r="U1517" i="11"/>
  <c r="U1518" i="11"/>
  <c r="U1519" i="11"/>
  <c r="U1520" i="11"/>
  <c r="U1521" i="11"/>
  <c r="U1522" i="11"/>
  <c r="U1523" i="11"/>
  <c r="U1524" i="11"/>
  <c r="U1525" i="11"/>
  <c r="U1526" i="11"/>
  <c r="U1527" i="11"/>
  <c r="U1528" i="11"/>
  <c r="U1529" i="11"/>
  <c r="U1530" i="11"/>
  <c r="U1531" i="11"/>
  <c r="U1532" i="11"/>
  <c r="U1533" i="11"/>
  <c r="U1534" i="11"/>
  <c r="U1535" i="11"/>
  <c r="U1536" i="11"/>
  <c r="U1537" i="11"/>
  <c r="U1538" i="11"/>
  <c r="U1539" i="11"/>
  <c r="U1540" i="11"/>
  <c r="U1541" i="11"/>
  <c r="U1542" i="11"/>
  <c r="U1543" i="11"/>
  <c r="U1544" i="11"/>
  <c r="U1545" i="11"/>
  <c r="U1546" i="11"/>
  <c r="U1547" i="11"/>
  <c r="U1548" i="11"/>
  <c r="U1549" i="11"/>
  <c r="U1550" i="11"/>
  <c r="U1551" i="11"/>
  <c r="U1552" i="11"/>
  <c r="U1553" i="11"/>
  <c r="U1554" i="11"/>
  <c r="U1555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79" i="11"/>
  <c r="U1580" i="11"/>
  <c r="U1581" i="11"/>
  <c r="U1582" i="11"/>
  <c r="U1583" i="11"/>
  <c r="U1584" i="11"/>
  <c r="U1585" i="11"/>
  <c r="U1586" i="11"/>
  <c r="U1587" i="11"/>
  <c r="U1588" i="11"/>
  <c r="U1589" i="11"/>
  <c r="U1590" i="11"/>
  <c r="U1591" i="11"/>
  <c r="U1592" i="11"/>
  <c r="U1593" i="11"/>
  <c r="U1594" i="11"/>
  <c r="U1595" i="11"/>
  <c r="U1596" i="11"/>
  <c r="U1597" i="11"/>
  <c r="U1598" i="11"/>
  <c r="U1599" i="11"/>
  <c r="U1600" i="11"/>
  <c r="U1601" i="11"/>
  <c r="U1602" i="11"/>
  <c r="U1603" i="11"/>
  <c r="U1604" i="11"/>
  <c r="U1605" i="11"/>
  <c r="U1606" i="11"/>
  <c r="U1607" i="11"/>
  <c r="U1608" i="11"/>
  <c r="U1609" i="11"/>
  <c r="U1610" i="11"/>
  <c r="U1611" i="11"/>
  <c r="U1612" i="11"/>
  <c r="U1613" i="11"/>
  <c r="U1614" i="11"/>
  <c r="U1615" i="11"/>
  <c r="U1616" i="11"/>
  <c r="U1617" i="11"/>
  <c r="U1618" i="11"/>
  <c r="U1619" i="11"/>
  <c r="U1620" i="11"/>
  <c r="U1621" i="11"/>
  <c r="U1622" i="11"/>
  <c r="U1623" i="11"/>
  <c r="U1624" i="11"/>
  <c r="U1625" i="11"/>
  <c r="U1626" i="11"/>
  <c r="U1627" i="11"/>
  <c r="U1628" i="11"/>
  <c r="U1629" i="11"/>
  <c r="U1630" i="11"/>
  <c r="U1631" i="11"/>
  <c r="U1632" i="11"/>
  <c r="U1633" i="11"/>
  <c r="U1634" i="11"/>
  <c r="U1635" i="11"/>
  <c r="U1636" i="11"/>
  <c r="U1637" i="11"/>
  <c r="U1638" i="11"/>
  <c r="U1639" i="11"/>
  <c r="U1640" i="11"/>
  <c r="U1641" i="11"/>
  <c r="U1642" i="11"/>
  <c r="U1643" i="11"/>
  <c r="U1644" i="11"/>
  <c r="U1645" i="11"/>
  <c r="U1646" i="11"/>
  <c r="U1647" i="11"/>
  <c r="U1648" i="11"/>
  <c r="U1649" i="11"/>
  <c r="U1650" i="11"/>
  <c r="U1651" i="11"/>
  <c r="U1652" i="11"/>
  <c r="U1653" i="11"/>
  <c r="U1654" i="11"/>
  <c r="U1655" i="11"/>
  <c r="U1656" i="11"/>
  <c r="U1657" i="11"/>
  <c r="U1658" i="11"/>
  <c r="U1659" i="11"/>
  <c r="U1660" i="11"/>
  <c r="U1661" i="11"/>
  <c r="U1662" i="11"/>
  <c r="U1663" i="11"/>
  <c r="U1664" i="11"/>
  <c r="U1665" i="11"/>
  <c r="U1666" i="11"/>
  <c r="U1667" i="11"/>
  <c r="U1668" i="11"/>
  <c r="U1669" i="11"/>
  <c r="U1670" i="11"/>
  <c r="U1671" i="11"/>
  <c r="U1672" i="11"/>
  <c r="U1673" i="11"/>
  <c r="U1674" i="11"/>
  <c r="U1675" i="11"/>
  <c r="U1676" i="11"/>
  <c r="U1677" i="11"/>
  <c r="U1678" i="11"/>
  <c r="U1679" i="11"/>
  <c r="U1680" i="11"/>
  <c r="U1681" i="11"/>
  <c r="U1682" i="11"/>
  <c r="U1683" i="11"/>
  <c r="U1684" i="11"/>
  <c r="U1685" i="11"/>
  <c r="U1686" i="11"/>
  <c r="U1687" i="11"/>
  <c r="U1688" i="11"/>
  <c r="U1689" i="11"/>
  <c r="U1690" i="11"/>
  <c r="U1691" i="11"/>
  <c r="U1692" i="11"/>
  <c r="U1693" i="11"/>
  <c r="U1694" i="11"/>
  <c r="U1695" i="11"/>
  <c r="U1696" i="11"/>
  <c r="U1697" i="11"/>
  <c r="U1698" i="11"/>
  <c r="U1699" i="11"/>
  <c r="U1700" i="11"/>
  <c r="U1701" i="11"/>
  <c r="U1702" i="11"/>
  <c r="U1703" i="11"/>
  <c r="U1704" i="11"/>
  <c r="U1705" i="11"/>
  <c r="U1706" i="11"/>
  <c r="U1707" i="11"/>
  <c r="U1708" i="11"/>
  <c r="U1709" i="11"/>
  <c r="U1710" i="11"/>
  <c r="U1711" i="11"/>
  <c r="U1712" i="11"/>
  <c r="U1713" i="11"/>
  <c r="U1714" i="11"/>
  <c r="U1715" i="11"/>
  <c r="U1716" i="11"/>
  <c r="U1717" i="11"/>
  <c r="U1718" i="11"/>
  <c r="U1719" i="11"/>
  <c r="U1720" i="11"/>
  <c r="U1721" i="11"/>
  <c r="U1722" i="11"/>
  <c r="U1723" i="11"/>
  <c r="U1724" i="11"/>
  <c r="U1725" i="11"/>
  <c r="U1726" i="11"/>
  <c r="U1727" i="11"/>
  <c r="U1728" i="11"/>
  <c r="U1729" i="11"/>
  <c r="U1730" i="11"/>
  <c r="U1731" i="11"/>
  <c r="U1732" i="11"/>
  <c r="U1733" i="11"/>
  <c r="U1734" i="11"/>
  <c r="U1735" i="11"/>
  <c r="U1736" i="11"/>
  <c r="U1737" i="11"/>
  <c r="U1738" i="11"/>
  <c r="U1739" i="11"/>
  <c r="U1740" i="11"/>
  <c r="U1741" i="11"/>
  <c r="U1742" i="11"/>
  <c r="U1743" i="11"/>
  <c r="U1744" i="11"/>
  <c r="U1745" i="11"/>
  <c r="U1746" i="11"/>
  <c r="U1747" i="11"/>
  <c r="U1748" i="11"/>
  <c r="U1749" i="11"/>
  <c r="U1750" i="11"/>
  <c r="U1751" i="11"/>
  <c r="U1752" i="11"/>
  <c r="U1753" i="11"/>
  <c r="U1754" i="11"/>
  <c r="U1755" i="11"/>
  <c r="U1756" i="11"/>
  <c r="U1757" i="11"/>
  <c r="U1758" i="11"/>
  <c r="U1759" i="11"/>
  <c r="U1760" i="11"/>
  <c r="U1761" i="11"/>
  <c r="U1762" i="11"/>
  <c r="U1763" i="11"/>
  <c r="U1764" i="11"/>
  <c r="U1765" i="11"/>
  <c r="U1766" i="11"/>
  <c r="U1767" i="11"/>
  <c r="U1768" i="11"/>
  <c r="U1769" i="11"/>
  <c r="U1770" i="11"/>
  <c r="U1771" i="11"/>
  <c r="U1772" i="11"/>
  <c r="U1773" i="11"/>
  <c r="U1774" i="11"/>
  <c r="U1775" i="11"/>
  <c r="U1776" i="11"/>
  <c r="U1777" i="11"/>
  <c r="U1778" i="11"/>
  <c r="U1779" i="11"/>
  <c r="U1780" i="11"/>
  <c r="U1781" i="11"/>
  <c r="U1782" i="11"/>
  <c r="U1783" i="11"/>
  <c r="U1784" i="11"/>
  <c r="U1785" i="11"/>
  <c r="U1786" i="11"/>
  <c r="U1787" i="11"/>
  <c r="U1788" i="11"/>
  <c r="U1789" i="11"/>
  <c r="U1790" i="11"/>
  <c r="U1791" i="11"/>
  <c r="U1792" i="11"/>
  <c r="U1793" i="11"/>
  <c r="U1794" i="11"/>
  <c r="U1795" i="11"/>
  <c r="U1796" i="11"/>
  <c r="U1797" i="11"/>
  <c r="U1798" i="11"/>
  <c r="U1799" i="11"/>
  <c r="U1800" i="11"/>
  <c r="U1801" i="11"/>
  <c r="U1802" i="11"/>
  <c r="U1803" i="11"/>
  <c r="U1804" i="11"/>
  <c r="U1805" i="11"/>
  <c r="U1806" i="11"/>
  <c r="U1807" i="11"/>
  <c r="U1808" i="11"/>
  <c r="U1809" i="11"/>
  <c r="U1810" i="11"/>
  <c r="U1811" i="11"/>
  <c r="U1812" i="11"/>
  <c r="U1813" i="11"/>
  <c r="U1814" i="11"/>
  <c r="U1815" i="11"/>
  <c r="U1816" i="11"/>
  <c r="U1817" i="11"/>
  <c r="U1818" i="11"/>
  <c r="U1819" i="11"/>
  <c r="U1820" i="11"/>
  <c r="U1821" i="11"/>
  <c r="U1822" i="11"/>
  <c r="U1823" i="11"/>
  <c r="U1824" i="11"/>
  <c r="U1825" i="11"/>
  <c r="U1826" i="11"/>
  <c r="U1827" i="11"/>
  <c r="U1828" i="11"/>
  <c r="U1829" i="11"/>
  <c r="U1830" i="11"/>
  <c r="U1831" i="11"/>
  <c r="U1832" i="11"/>
  <c r="U1833" i="11"/>
  <c r="U1834" i="11"/>
  <c r="U1835" i="11"/>
  <c r="U1836" i="11"/>
  <c r="U1837" i="11"/>
  <c r="U1838" i="11"/>
  <c r="U1839" i="11"/>
  <c r="U1840" i="11"/>
  <c r="U1841" i="11"/>
  <c r="U1842" i="11"/>
  <c r="U1843" i="11"/>
  <c r="U1844" i="11"/>
  <c r="U1845" i="11"/>
  <c r="U1846" i="11"/>
  <c r="U1847" i="11"/>
  <c r="U1848" i="11"/>
  <c r="U1849" i="11"/>
  <c r="U1850" i="11"/>
  <c r="U1851" i="11"/>
  <c r="U1852" i="11"/>
  <c r="U1853" i="11"/>
  <c r="U1854" i="11"/>
  <c r="U1855" i="11"/>
  <c r="U1856" i="11"/>
  <c r="U1857" i="11"/>
  <c r="U1858" i="11"/>
  <c r="U1859" i="11"/>
  <c r="U1860" i="11"/>
  <c r="U1861" i="11"/>
  <c r="U1862" i="11"/>
  <c r="U1863" i="11"/>
  <c r="U1864" i="11"/>
  <c r="U1865" i="11"/>
  <c r="U1866" i="11"/>
  <c r="U1867" i="11"/>
  <c r="U1868" i="11"/>
  <c r="U1869" i="11"/>
  <c r="U1870" i="11"/>
  <c r="U1871" i="11"/>
  <c r="U1872" i="11"/>
  <c r="U1873" i="11"/>
  <c r="U1874" i="11"/>
  <c r="U1875" i="11"/>
  <c r="U1876" i="11"/>
  <c r="U1877" i="11"/>
  <c r="U1878" i="11"/>
  <c r="U1879" i="11"/>
  <c r="U1880" i="11"/>
  <c r="U1881" i="11"/>
  <c r="U1882" i="11"/>
  <c r="U1883" i="11"/>
  <c r="U1884" i="11"/>
  <c r="U1885" i="11"/>
  <c r="U1886" i="11"/>
  <c r="U1887" i="11"/>
  <c r="U1888" i="11"/>
  <c r="U1889" i="11"/>
  <c r="U1890" i="11"/>
  <c r="U1891" i="11"/>
  <c r="U1892" i="11"/>
  <c r="U1893" i="11"/>
  <c r="U1894" i="11"/>
  <c r="U1895" i="11"/>
  <c r="U1896" i="11"/>
  <c r="U1897" i="11"/>
  <c r="U1898" i="11"/>
  <c r="U1899" i="11"/>
  <c r="U1900" i="11"/>
  <c r="U1901" i="11"/>
  <c r="U1902" i="11"/>
  <c r="U1903" i="11"/>
  <c r="U1904" i="11"/>
  <c r="U1905" i="11"/>
  <c r="U1906" i="11"/>
  <c r="U1907" i="11"/>
  <c r="U1908" i="11"/>
  <c r="U1909" i="11"/>
  <c r="U1910" i="11"/>
  <c r="U1911" i="11"/>
  <c r="U1912" i="11"/>
  <c r="U1913" i="11"/>
  <c r="U1914" i="11"/>
  <c r="U1915" i="11"/>
  <c r="U1916" i="11"/>
  <c r="U1917" i="11"/>
  <c r="U1918" i="11"/>
  <c r="U1919" i="11"/>
  <c r="U1920" i="11"/>
  <c r="U1921" i="11"/>
  <c r="U1922" i="11"/>
  <c r="U1923" i="11"/>
  <c r="U1924" i="11"/>
  <c r="U1925" i="11"/>
  <c r="U1926" i="11"/>
  <c r="U1927" i="11"/>
  <c r="U1928" i="11"/>
  <c r="U1929" i="11"/>
  <c r="U1930" i="11"/>
  <c r="U1931" i="11"/>
  <c r="U1932" i="11"/>
  <c r="U1933" i="11"/>
  <c r="U1934" i="11"/>
  <c r="U1935" i="11"/>
  <c r="U1936" i="11"/>
  <c r="U1937" i="11"/>
  <c r="U1938" i="11"/>
  <c r="U1939" i="11"/>
  <c r="U1940" i="11"/>
  <c r="U1941" i="11"/>
  <c r="U1942" i="11"/>
  <c r="U1943" i="11"/>
  <c r="U1944" i="11"/>
  <c r="U1945" i="11"/>
  <c r="U1946" i="11"/>
  <c r="U1947" i="11"/>
  <c r="U1948" i="11"/>
  <c r="U1949" i="11"/>
  <c r="U1950" i="11"/>
  <c r="U1951" i="11"/>
  <c r="U1952" i="11"/>
  <c r="U1953" i="11"/>
  <c r="U1954" i="11"/>
  <c r="U1955" i="11"/>
  <c r="U1956" i="11"/>
  <c r="U1957" i="11"/>
  <c r="U1958" i="11"/>
  <c r="U1959" i="11"/>
  <c r="U1960" i="11"/>
  <c r="U1961" i="11"/>
  <c r="U1962" i="11"/>
  <c r="U1963" i="11"/>
  <c r="U1964" i="11"/>
  <c r="U1965" i="11"/>
  <c r="U1966" i="11"/>
  <c r="U1967" i="11"/>
  <c r="U1968" i="11"/>
  <c r="U1969" i="11"/>
  <c r="U1970" i="11"/>
  <c r="U1971" i="11"/>
  <c r="U1972" i="11"/>
  <c r="U1973" i="11"/>
  <c r="U1974" i="11"/>
  <c r="U1975" i="11"/>
  <c r="U1976" i="11"/>
  <c r="U1977" i="11"/>
  <c r="U1978" i="11"/>
  <c r="U1979" i="11"/>
  <c r="U1980" i="11"/>
  <c r="U1981" i="11"/>
  <c r="U1982" i="11"/>
  <c r="U1983" i="11"/>
  <c r="U1984" i="11"/>
  <c r="U1985" i="11"/>
  <c r="U1986" i="11"/>
  <c r="U1987" i="11"/>
  <c r="U1988" i="11"/>
  <c r="U1989" i="11"/>
  <c r="U1990" i="11"/>
  <c r="U1991" i="11"/>
  <c r="U1992" i="11"/>
  <c r="U1993" i="11"/>
  <c r="U1994" i="11"/>
  <c r="U1995" i="11"/>
  <c r="U1996" i="11"/>
  <c r="U1997" i="11"/>
  <c r="U1998" i="11"/>
  <c r="U1999" i="11"/>
  <c r="U2000" i="11"/>
  <c r="U2001" i="11"/>
  <c r="U2002" i="11"/>
  <c r="U2003" i="11"/>
  <c r="U2004" i="11"/>
  <c r="U2005" i="11"/>
  <c r="U2006" i="11"/>
  <c r="U2007" i="11"/>
  <c r="U2008" i="11"/>
  <c r="U2009" i="11"/>
  <c r="U2010" i="11"/>
  <c r="U2011" i="11"/>
  <c r="U2012" i="11"/>
  <c r="U2013" i="11"/>
  <c r="U2014" i="11"/>
  <c r="U2015" i="11"/>
  <c r="U2016" i="11"/>
  <c r="U2017" i="11"/>
  <c r="U2018" i="11"/>
  <c r="U2019" i="11"/>
  <c r="U2020" i="11"/>
  <c r="U2021" i="11"/>
  <c r="U2022" i="11"/>
  <c r="U2023" i="11"/>
  <c r="U2024" i="11"/>
  <c r="U2025" i="11"/>
  <c r="U2026" i="11"/>
  <c r="U2027" i="11"/>
  <c r="U2028" i="11"/>
  <c r="U2029" i="11"/>
  <c r="U2030" i="11"/>
  <c r="U2031" i="11"/>
  <c r="U2032" i="11"/>
  <c r="U2033" i="11"/>
  <c r="U2034" i="11"/>
  <c r="U2035" i="11"/>
  <c r="U2036" i="11"/>
  <c r="U2037" i="11"/>
  <c r="U2038" i="11"/>
  <c r="U2039" i="11"/>
  <c r="U2040" i="11"/>
  <c r="U2041" i="11"/>
  <c r="U2042" i="11"/>
  <c r="U2043" i="11"/>
  <c r="U2044" i="11"/>
  <c r="U2045" i="11"/>
  <c r="U2046" i="11"/>
  <c r="U2047" i="11"/>
  <c r="U2048" i="11"/>
  <c r="U2049" i="11"/>
  <c r="U2050" i="11"/>
  <c r="U2051" i="11"/>
  <c r="U2052" i="11"/>
  <c r="U2053" i="11"/>
  <c r="U2054" i="11"/>
  <c r="U2055" i="11"/>
  <c r="U2056" i="11"/>
  <c r="U2057" i="11"/>
  <c r="U2058" i="11"/>
  <c r="U2059" i="11"/>
  <c r="U2060" i="11"/>
  <c r="U2061" i="11"/>
  <c r="U2062" i="11"/>
  <c r="U2063" i="11"/>
  <c r="U2064" i="11"/>
  <c r="U2065" i="11"/>
  <c r="U2066" i="11"/>
  <c r="U2067" i="11"/>
  <c r="U2068" i="11"/>
  <c r="U2069" i="11"/>
  <c r="U2070" i="11"/>
  <c r="U2071" i="11"/>
  <c r="U2072" i="11"/>
  <c r="U2073" i="11"/>
  <c r="U2074" i="11"/>
  <c r="U2075" i="11"/>
  <c r="U2076" i="11"/>
  <c r="U2077" i="11"/>
  <c r="U2078" i="11"/>
  <c r="U2079" i="11"/>
  <c r="U2080" i="11"/>
  <c r="U2081" i="11"/>
  <c r="U2082" i="11"/>
  <c r="U2083" i="11"/>
  <c r="U2084" i="11"/>
  <c r="U2085" i="11"/>
  <c r="U2086" i="11"/>
  <c r="U2087" i="11"/>
  <c r="U2088" i="11"/>
  <c r="U2089" i="11"/>
  <c r="U2090" i="11"/>
  <c r="U2091" i="11"/>
  <c r="U2092" i="11"/>
  <c r="U2093" i="11"/>
  <c r="U2094" i="11"/>
  <c r="U2095" i="11"/>
  <c r="U2096" i="11"/>
  <c r="U2097" i="11"/>
  <c r="U2098" i="11"/>
  <c r="U2099" i="11"/>
  <c r="U2100" i="11"/>
  <c r="U2101" i="11"/>
  <c r="U2102" i="11"/>
  <c r="U2103" i="11"/>
  <c r="U2104" i="11"/>
  <c r="U2105" i="11"/>
  <c r="U2106" i="11"/>
  <c r="U2107" i="11"/>
  <c r="U2108" i="11"/>
  <c r="U2109" i="11"/>
  <c r="U2110" i="11"/>
  <c r="U2111" i="11"/>
  <c r="U2112" i="11"/>
  <c r="U2113" i="11"/>
  <c r="U2114" i="11"/>
  <c r="U2115" i="11"/>
  <c r="U2116" i="11"/>
  <c r="U2117" i="11"/>
  <c r="U2118" i="11"/>
  <c r="U2119" i="11"/>
  <c r="U2120" i="11"/>
  <c r="U2121" i="11"/>
  <c r="U2122" i="11"/>
  <c r="U2123" i="11"/>
  <c r="U2124" i="11"/>
  <c r="U2125" i="11"/>
  <c r="U2126" i="11"/>
  <c r="U2127" i="11"/>
  <c r="U2128" i="11"/>
  <c r="U2129" i="11"/>
  <c r="U2130" i="11"/>
  <c r="U2131" i="11"/>
  <c r="U2132" i="11"/>
  <c r="U2133" i="11"/>
  <c r="U2134" i="11"/>
  <c r="U2135" i="11"/>
  <c r="U2136" i="11"/>
  <c r="U2137" i="11"/>
  <c r="U2138" i="11"/>
  <c r="U2139" i="11"/>
  <c r="U2140" i="11"/>
  <c r="U2141" i="11"/>
  <c r="U2142" i="11"/>
  <c r="U2143" i="11"/>
  <c r="U2144" i="11"/>
  <c r="U2145" i="11"/>
  <c r="U2146" i="11"/>
  <c r="U2147" i="11"/>
  <c r="U2148" i="11"/>
  <c r="U2149" i="11"/>
  <c r="U2150" i="11"/>
  <c r="U2151" i="11"/>
  <c r="U2152" i="11"/>
  <c r="U2153" i="11"/>
  <c r="U2154" i="11"/>
  <c r="U2155" i="11"/>
  <c r="U2156" i="11"/>
  <c r="U2157" i="11"/>
  <c r="U2158" i="11"/>
  <c r="U2159" i="11"/>
  <c r="U2160" i="11"/>
  <c r="U2161" i="11"/>
  <c r="U2162" i="11"/>
  <c r="U2163" i="11"/>
  <c r="U2164" i="11"/>
  <c r="U2165" i="11"/>
  <c r="U2166" i="11"/>
  <c r="U2167" i="11"/>
  <c r="U2168" i="11"/>
  <c r="U2169" i="11"/>
  <c r="U2170" i="11"/>
  <c r="U2171" i="11"/>
  <c r="U2172" i="11"/>
  <c r="U2173" i="11"/>
  <c r="U2174" i="11"/>
  <c r="U2175" i="11"/>
  <c r="U2176" i="11"/>
  <c r="U2177" i="11"/>
  <c r="U2178" i="11"/>
  <c r="U2179" i="11"/>
  <c r="U2180" i="11"/>
  <c r="U2181" i="11"/>
  <c r="U2182" i="11"/>
  <c r="U2183" i="11"/>
  <c r="U2184" i="11"/>
  <c r="U2185" i="11"/>
  <c r="U2186" i="11"/>
  <c r="U2187" i="11"/>
  <c r="U2188" i="11"/>
  <c r="U2189" i="11"/>
  <c r="U2190" i="11"/>
  <c r="U2191" i="11"/>
  <c r="U2192" i="11"/>
  <c r="U2193" i="11"/>
  <c r="U2194" i="11"/>
  <c r="U2195" i="11"/>
  <c r="U2196" i="11"/>
  <c r="U2197" i="11"/>
  <c r="U2198" i="11"/>
  <c r="U2199" i="11"/>
  <c r="U2200" i="11"/>
  <c r="U2201" i="11"/>
  <c r="U2202" i="11"/>
  <c r="U2203" i="11"/>
  <c r="U2204" i="11"/>
  <c r="U2205" i="11"/>
  <c r="U2206" i="11"/>
  <c r="U2207" i="11"/>
  <c r="U2208" i="11"/>
  <c r="U2209" i="11"/>
  <c r="U2210" i="11"/>
  <c r="U2211" i="11"/>
  <c r="U2212" i="11"/>
  <c r="U2213" i="11"/>
  <c r="U2214" i="11"/>
  <c r="U2215" i="11"/>
  <c r="U2216" i="11"/>
  <c r="U2217" i="11"/>
  <c r="U2218" i="11"/>
  <c r="U2219" i="11"/>
  <c r="U2220" i="11"/>
  <c r="U2221" i="11"/>
  <c r="U2222" i="11"/>
  <c r="U2223" i="11"/>
  <c r="U2224" i="11"/>
  <c r="U2225" i="11"/>
  <c r="U2226" i="11"/>
  <c r="U2227" i="11"/>
  <c r="U2228" i="11"/>
  <c r="U2229" i="11"/>
  <c r="U2230" i="11"/>
  <c r="U2231" i="11"/>
  <c r="U2232" i="11"/>
  <c r="U2233" i="11"/>
  <c r="U2234" i="11"/>
  <c r="U2235" i="11"/>
  <c r="U2236" i="11"/>
  <c r="U2237" i="11"/>
  <c r="U2238" i="11"/>
  <c r="U2239" i="11"/>
  <c r="U2240" i="11"/>
  <c r="U2241" i="11"/>
  <c r="U2242" i="11"/>
  <c r="U2243" i="11"/>
  <c r="U2244" i="11"/>
  <c r="U2245" i="11"/>
  <c r="U2246" i="11"/>
  <c r="U2247" i="11"/>
  <c r="U2248" i="11"/>
  <c r="U2249" i="11"/>
  <c r="U2250" i="11"/>
  <c r="U2251" i="11"/>
  <c r="U2252" i="11"/>
  <c r="U2253" i="11"/>
  <c r="U2254" i="11"/>
  <c r="U2255" i="11"/>
  <c r="U2256" i="11"/>
  <c r="U2257" i="11"/>
  <c r="U2258" i="11"/>
  <c r="U2259" i="11"/>
  <c r="U2260" i="11"/>
  <c r="U2261" i="11"/>
  <c r="U2262" i="11"/>
  <c r="U2263" i="11"/>
  <c r="U2264" i="11"/>
  <c r="U2265" i="11"/>
  <c r="U2266" i="11"/>
  <c r="U2267" i="11"/>
  <c r="U2268" i="11"/>
  <c r="U2269" i="11"/>
  <c r="U2270" i="11"/>
  <c r="U2271" i="11"/>
  <c r="U2272" i="11"/>
  <c r="U2273" i="11"/>
  <c r="U2274" i="11"/>
  <c r="U2275" i="11"/>
  <c r="U2276" i="11"/>
  <c r="U2277" i="11"/>
  <c r="U2278" i="11"/>
  <c r="U2279" i="11"/>
  <c r="U2280" i="11"/>
  <c r="U2281" i="11"/>
  <c r="U2282" i="11"/>
  <c r="U2283" i="11"/>
  <c r="U2284" i="11"/>
  <c r="U2285" i="11"/>
  <c r="U2286" i="11"/>
  <c r="U2287" i="11"/>
  <c r="U2288" i="11"/>
  <c r="U2289" i="11"/>
  <c r="U2290" i="11"/>
  <c r="U2291" i="11"/>
  <c r="U2292" i="11"/>
  <c r="U2293" i="11"/>
  <c r="U2294" i="11"/>
  <c r="U2295" i="11"/>
  <c r="U2296" i="11"/>
  <c r="U2297" i="11"/>
  <c r="U2298" i="11"/>
  <c r="U2299" i="11"/>
  <c r="U2300" i="11"/>
  <c r="U2301" i="11"/>
  <c r="U2302" i="11"/>
  <c r="U2303" i="11"/>
  <c r="U2304" i="11"/>
  <c r="U2305" i="11"/>
  <c r="U2306" i="11"/>
  <c r="U2307" i="11"/>
  <c r="U2308" i="11"/>
  <c r="U2309" i="11"/>
  <c r="U2310" i="11"/>
  <c r="U2311" i="11"/>
  <c r="U2312" i="11"/>
  <c r="U2313" i="11"/>
  <c r="U2314" i="11"/>
  <c r="U2315" i="11"/>
  <c r="U2316" i="11"/>
  <c r="U2317" i="11"/>
  <c r="U2318" i="11"/>
  <c r="U2319" i="11"/>
  <c r="U2320" i="11"/>
  <c r="U2321" i="11"/>
  <c r="U2322" i="11"/>
  <c r="U2323" i="11"/>
  <c r="U2324" i="11"/>
  <c r="U2325" i="11"/>
  <c r="U2326" i="11"/>
  <c r="U2327" i="11"/>
  <c r="U2328" i="11"/>
  <c r="U2329" i="11"/>
  <c r="U2330" i="11"/>
  <c r="U2331" i="11"/>
  <c r="U2332" i="11"/>
  <c r="U2333" i="11"/>
  <c r="U2334" i="11"/>
  <c r="U2335" i="11"/>
  <c r="U2336" i="11"/>
  <c r="U2337" i="11"/>
  <c r="U2338" i="11"/>
  <c r="U2339" i="11"/>
  <c r="U2340" i="11"/>
  <c r="U2341" i="11"/>
  <c r="U2342" i="11"/>
  <c r="U2343" i="11"/>
  <c r="U2344" i="11"/>
  <c r="U2345" i="11"/>
  <c r="U2346" i="11"/>
  <c r="U2347" i="11"/>
  <c r="U2348" i="11"/>
  <c r="U2349" i="11"/>
  <c r="U2350" i="11"/>
  <c r="U2351" i="11"/>
  <c r="U2352" i="11"/>
  <c r="U2353" i="11"/>
  <c r="U2354" i="11"/>
  <c r="U2355" i="11"/>
  <c r="U2356" i="11"/>
  <c r="U2357" i="11"/>
  <c r="U2358" i="11"/>
  <c r="U2359" i="11"/>
  <c r="U2360" i="11"/>
  <c r="U2361" i="11"/>
  <c r="U2362" i="11"/>
  <c r="U2363" i="11"/>
  <c r="U2364" i="11"/>
  <c r="U2365" i="11"/>
  <c r="U2366" i="11"/>
  <c r="U2367" i="11"/>
  <c r="U2368" i="11"/>
  <c r="U2369" i="11"/>
  <c r="U2370" i="11"/>
  <c r="U2371" i="11"/>
  <c r="U2372" i="11"/>
  <c r="U2373" i="11"/>
  <c r="U2374" i="11"/>
  <c r="U2375" i="11"/>
  <c r="U2376" i="11"/>
  <c r="U2377" i="11"/>
  <c r="U2378" i="11"/>
  <c r="U2379" i="11"/>
  <c r="U2380" i="11"/>
  <c r="U2381" i="11"/>
  <c r="U2382" i="11"/>
  <c r="U2383" i="11"/>
  <c r="U2384" i="11"/>
  <c r="U2385" i="11"/>
  <c r="U2386" i="11"/>
  <c r="U2387" i="11"/>
  <c r="U2388" i="11"/>
  <c r="U2389" i="11"/>
  <c r="U2390" i="11"/>
  <c r="U2391" i="11"/>
  <c r="U2392" i="11"/>
  <c r="U2393" i="11"/>
  <c r="U2394" i="11"/>
  <c r="U2395" i="11"/>
  <c r="U2396" i="11"/>
  <c r="U2397" i="11"/>
  <c r="U2398" i="11"/>
  <c r="U2399" i="11"/>
  <c r="U2400" i="11"/>
  <c r="U2401" i="11"/>
  <c r="U2402" i="11"/>
  <c r="U2403" i="11"/>
  <c r="U2404" i="11"/>
  <c r="U2405" i="11"/>
  <c r="U2406" i="11"/>
  <c r="U2407" i="11"/>
  <c r="U2408" i="11"/>
  <c r="U2409" i="11"/>
  <c r="U2410" i="11"/>
  <c r="U2411" i="11"/>
  <c r="U2412" i="11"/>
  <c r="U2413" i="11"/>
  <c r="U2414" i="11"/>
  <c r="U2415" i="11"/>
  <c r="U2416" i="11"/>
  <c r="U2417" i="11"/>
  <c r="U2418" i="11"/>
  <c r="U2419" i="11"/>
  <c r="U2420" i="11"/>
  <c r="U2421" i="11"/>
  <c r="U2422" i="11"/>
  <c r="U2423" i="11"/>
  <c r="U2424" i="11"/>
  <c r="U2425" i="11"/>
  <c r="U2426" i="11"/>
  <c r="U2427" i="11"/>
  <c r="U2428" i="11"/>
  <c r="U2429" i="11"/>
  <c r="U2430" i="11"/>
  <c r="U2431" i="11"/>
  <c r="U2432" i="11"/>
  <c r="U2433" i="11"/>
  <c r="U2434" i="11"/>
  <c r="U2435" i="11"/>
  <c r="U2436" i="11"/>
  <c r="U2437" i="11"/>
  <c r="U2438" i="11"/>
  <c r="U2439" i="11"/>
  <c r="U2440" i="11"/>
  <c r="U2441" i="11"/>
  <c r="U2442" i="11"/>
  <c r="U2443" i="11"/>
  <c r="U2444" i="11"/>
  <c r="U2445" i="11"/>
  <c r="U2446" i="11"/>
  <c r="U2447" i="11"/>
  <c r="U2448" i="11"/>
  <c r="U2449" i="11"/>
  <c r="U2450" i="11"/>
  <c r="U2451" i="11"/>
  <c r="U2452" i="11"/>
  <c r="U2453" i="11"/>
  <c r="U2454" i="11"/>
  <c r="U2455" i="11"/>
  <c r="U2456" i="11"/>
  <c r="U2457" i="11"/>
  <c r="U2458" i="11"/>
  <c r="U2459" i="11"/>
  <c r="U2460" i="11"/>
  <c r="U2461" i="11"/>
  <c r="U2462" i="11"/>
  <c r="U2463" i="11"/>
  <c r="U2464" i="11"/>
  <c r="U2465" i="11"/>
  <c r="U2466" i="11"/>
  <c r="U2467" i="11"/>
  <c r="U2468" i="11"/>
  <c r="U2469" i="11"/>
  <c r="U2470" i="11"/>
  <c r="U2471" i="11"/>
  <c r="U2472" i="11"/>
  <c r="U2473" i="11"/>
  <c r="U2474" i="11"/>
  <c r="U2475" i="11"/>
  <c r="U2476" i="11"/>
  <c r="U2477" i="11"/>
  <c r="U2478" i="11"/>
  <c r="U2479" i="11"/>
  <c r="U2480" i="11"/>
  <c r="U2481" i="11"/>
  <c r="U2482" i="11"/>
  <c r="U2483" i="11"/>
  <c r="U2484" i="11"/>
  <c r="U2485" i="11"/>
  <c r="U2486" i="11"/>
  <c r="U2487" i="11"/>
  <c r="U2488" i="11"/>
  <c r="U2489" i="11"/>
  <c r="U2490" i="11"/>
  <c r="U2491" i="11"/>
  <c r="U2492" i="11"/>
  <c r="U2493" i="11"/>
  <c r="U2494" i="11"/>
  <c r="U2495" i="11"/>
  <c r="U2496" i="11"/>
  <c r="U2497" i="11"/>
  <c r="U2498" i="11"/>
  <c r="U2499" i="11"/>
  <c r="U2500" i="11"/>
  <c r="U2501" i="11"/>
  <c r="U2502" i="11"/>
  <c r="U2503" i="11"/>
  <c r="U2504" i="11"/>
  <c r="U2505" i="11"/>
  <c r="U2506" i="11"/>
  <c r="U2507" i="11"/>
  <c r="U2508" i="11"/>
  <c r="U2509" i="11"/>
  <c r="U2510" i="11"/>
  <c r="U2511" i="11"/>
  <c r="U2512" i="11"/>
  <c r="U2513" i="11"/>
  <c r="U2514" i="11"/>
  <c r="U2515" i="11"/>
  <c r="U2516" i="11"/>
  <c r="U2517" i="11"/>
  <c r="U2518" i="11"/>
  <c r="U2519" i="11"/>
  <c r="U2520" i="11"/>
  <c r="U2521" i="11"/>
  <c r="U2522" i="11"/>
  <c r="U2523" i="11"/>
  <c r="U2524" i="11"/>
  <c r="U2525" i="11"/>
  <c r="U2526" i="11"/>
  <c r="U2527" i="11"/>
  <c r="U2528" i="11"/>
  <c r="U2529" i="11"/>
  <c r="U2530" i="11"/>
  <c r="U2531" i="11"/>
  <c r="U2532" i="11"/>
  <c r="U2533" i="11"/>
  <c r="U2534" i="11"/>
  <c r="U2535" i="11"/>
  <c r="U2536" i="11"/>
  <c r="U2537" i="11"/>
  <c r="U2538" i="11"/>
  <c r="U2539" i="11"/>
  <c r="U2540" i="11"/>
  <c r="U2541" i="11"/>
  <c r="U2542" i="11"/>
  <c r="U2543" i="11"/>
  <c r="U2544" i="11"/>
  <c r="U2545" i="11"/>
  <c r="U2546" i="11"/>
  <c r="U2547" i="11"/>
  <c r="U2548" i="11"/>
  <c r="U2549" i="11"/>
  <c r="U2550" i="11"/>
  <c r="U2551" i="11"/>
  <c r="U2552" i="11"/>
  <c r="U2553" i="11"/>
  <c r="U2554" i="11"/>
  <c r="U2555" i="11"/>
  <c r="U2556" i="11"/>
  <c r="U2557" i="11"/>
  <c r="U2558" i="11"/>
  <c r="U2559" i="11"/>
  <c r="U2560" i="11"/>
  <c r="U2561" i="11"/>
  <c r="U2562" i="11"/>
  <c r="U2563" i="11"/>
  <c r="U2564" i="11"/>
  <c r="U2565" i="11"/>
  <c r="U2566" i="11"/>
  <c r="U2567" i="11"/>
  <c r="U2568" i="11"/>
  <c r="U2569" i="11"/>
  <c r="U2570" i="11"/>
  <c r="U2571" i="11"/>
  <c r="U2572" i="11"/>
  <c r="U2573" i="11"/>
  <c r="U2574" i="11"/>
  <c r="U2575" i="11"/>
  <c r="U2576" i="11"/>
  <c r="U2577" i="11"/>
  <c r="U2578" i="11"/>
  <c r="U2579" i="11"/>
  <c r="U2580" i="11"/>
  <c r="U2581" i="11"/>
  <c r="U2582" i="11"/>
  <c r="U2583" i="11"/>
  <c r="U2584" i="11"/>
  <c r="U2585" i="11"/>
  <c r="U2586" i="11"/>
  <c r="U2587" i="11"/>
  <c r="U2588" i="11"/>
  <c r="U2589" i="11"/>
  <c r="U2590" i="11"/>
  <c r="U2591" i="11"/>
  <c r="U2592" i="11"/>
  <c r="U2593" i="11"/>
  <c r="U2594" i="11"/>
  <c r="U2595" i="11"/>
  <c r="U2596" i="11"/>
  <c r="U2597" i="11"/>
  <c r="U2598" i="11"/>
  <c r="U2599" i="11"/>
  <c r="U2600" i="11"/>
  <c r="U2601" i="11"/>
  <c r="U2602" i="11"/>
  <c r="U2603" i="11"/>
  <c r="U2604" i="11"/>
  <c r="U2605" i="11"/>
  <c r="U2606" i="11"/>
  <c r="U2607" i="11"/>
  <c r="U2608" i="11"/>
  <c r="U2609" i="11"/>
  <c r="U2610" i="11"/>
  <c r="U2611" i="11"/>
  <c r="U2612" i="11"/>
  <c r="U2613" i="11"/>
  <c r="U2614" i="11"/>
  <c r="U2615" i="11"/>
  <c r="U2616" i="11"/>
  <c r="U2617" i="11"/>
  <c r="U2618" i="11"/>
  <c r="U2619" i="11"/>
  <c r="U2620" i="11"/>
  <c r="U2621" i="11"/>
  <c r="U2622" i="11"/>
  <c r="U2623" i="11"/>
  <c r="U2624" i="11"/>
  <c r="U2625" i="11"/>
  <c r="U2626" i="11"/>
  <c r="U2627" i="11"/>
  <c r="U2628" i="11"/>
  <c r="U2629" i="11"/>
  <c r="U2630" i="11"/>
  <c r="U2631" i="11"/>
  <c r="U2632" i="11"/>
  <c r="U2633" i="11"/>
  <c r="U2634" i="11"/>
  <c r="U2635" i="11"/>
  <c r="U2636" i="11"/>
  <c r="U2637" i="11"/>
  <c r="U2638" i="11"/>
  <c r="U2639" i="11"/>
  <c r="U2640" i="11"/>
  <c r="U2641" i="11"/>
  <c r="U2642" i="11"/>
  <c r="U2643" i="11"/>
  <c r="U2644" i="11"/>
  <c r="U2645" i="11"/>
  <c r="U2646" i="11"/>
  <c r="U2647" i="11"/>
  <c r="U2648" i="11"/>
  <c r="U2649" i="11"/>
  <c r="U2650" i="11"/>
  <c r="U2651" i="11"/>
  <c r="U2652" i="11"/>
  <c r="U2653" i="11"/>
  <c r="U2654" i="11"/>
  <c r="U2655" i="11"/>
  <c r="U2656" i="11"/>
  <c r="U2657" i="11"/>
  <c r="U2658" i="11"/>
  <c r="U2659" i="11"/>
  <c r="U2660" i="11"/>
  <c r="U2661" i="11"/>
  <c r="U2662" i="11"/>
  <c r="U2663" i="11"/>
  <c r="U2664" i="11"/>
  <c r="U2665" i="11"/>
  <c r="U2666" i="11"/>
  <c r="U2667" i="11"/>
  <c r="U2668" i="11"/>
  <c r="U2669" i="11"/>
  <c r="U2670" i="11"/>
  <c r="U2671" i="11"/>
  <c r="U2672" i="11"/>
  <c r="U2673" i="11"/>
  <c r="U2674" i="11"/>
  <c r="U2675" i="11"/>
  <c r="U2676" i="11"/>
  <c r="U2677" i="11"/>
  <c r="U2678" i="11"/>
  <c r="U2679" i="11"/>
  <c r="U2680" i="11"/>
  <c r="U2681" i="11"/>
  <c r="U2682" i="11"/>
  <c r="U2683" i="11"/>
  <c r="U2684" i="11"/>
  <c r="U2685" i="11"/>
  <c r="U2686" i="11"/>
  <c r="U2687" i="11"/>
  <c r="U2688" i="11"/>
  <c r="U2689" i="11"/>
  <c r="U2690" i="11"/>
  <c r="U2691" i="11"/>
  <c r="U2692" i="11"/>
  <c r="U2693" i="11"/>
  <c r="U2694" i="11"/>
  <c r="U2695" i="11"/>
  <c r="U2696" i="11"/>
  <c r="U2697" i="11"/>
  <c r="U2698" i="11"/>
  <c r="U2699" i="11"/>
  <c r="U2700" i="11"/>
  <c r="U2701" i="11"/>
  <c r="U2702" i="11"/>
  <c r="U2703" i="11"/>
  <c r="U2704" i="11"/>
  <c r="U2705" i="11"/>
  <c r="U2706" i="11"/>
  <c r="U2707" i="11"/>
  <c r="U2708" i="11"/>
  <c r="U2709" i="11"/>
  <c r="U2710" i="11"/>
  <c r="U2711" i="11"/>
  <c r="U2712" i="11"/>
  <c r="U2713" i="11"/>
  <c r="U2714" i="11"/>
  <c r="U2715" i="11"/>
  <c r="U2716" i="11"/>
  <c r="U2717" i="11"/>
  <c r="U2718" i="11"/>
  <c r="U2719" i="11"/>
  <c r="U2720" i="11"/>
  <c r="U2721" i="11"/>
  <c r="U2722" i="11"/>
  <c r="U2723" i="11"/>
  <c r="U2724" i="11"/>
  <c r="U2725" i="11"/>
  <c r="U2726" i="11"/>
  <c r="U2727" i="11"/>
  <c r="U2728" i="11"/>
  <c r="U2729" i="11"/>
  <c r="U2730" i="11"/>
  <c r="U2731" i="11"/>
  <c r="U2732" i="11"/>
  <c r="U2733" i="11"/>
  <c r="U2734" i="11"/>
  <c r="U2735" i="11"/>
  <c r="U2736" i="11"/>
  <c r="U2737" i="11"/>
  <c r="U2738" i="11"/>
  <c r="U2739" i="11"/>
  <c r="U2740" i="11"/>
  <c r="U2741" i="11"/>
  <c r="U2742" i="11"/>
  <c r="U2743" i="11"/>
  <c r="U2744" i="11"/>
  <c r="U2745" i="11"/>
  <c r="U2746" i="11"/>
  <c r="U2747" i="11"/>
  <c r="U2748" i="11"/>
  <c r="U2749" i="11"/>
  <c r="U2750" i="11"/>
  <c r="U2751" i="11"/>
  <c r="U2752" i="11"/>
  <c r="U2753" i="11"/>
  <c r="U2754" i="11"/>
  <c r="U2755" i="11"/>
  <c r="U2756" i="11"/>
  <c r="U2757" i="11"/>
  <c r="U2758" i="11"/>
  <c r="U2759" i="11"/>
  <c r="U2760" i="11"/>
  <c r="U2761" i="11"/>
  <c r="U2762" i="11"/>
  <c r="U2763" i="11"/>
  <c r="U2764" i="11"/>
  <c r="U2765" i="11"/>
  <c r="U2766" i="11"/>
  <c r="U2767" i="11"/>
  <c r="U2768" i="11"/>
  <c r="U2769" i="11"/>
  <c r="U2770" i="11"/>
  <c r="U2771" i="11"/>
  <c r="U2772" i="11"/>
  <c r="U2773" i="11"/>
  <c r="U2774" i="11"/>
  <c r="U2775" i="11"/>
  <c r="U2776" i="11"/>
  <c r="U2777" i="11"/>
  <c r="U2778" i="11"/>
  <c r="U2779" i="11"/>
  <c r="U2780" i="11"/>
  <c r="U2781" i="11"/>
  <c r="U2782" i="11"/>
  <c r="U2783" i="11"/>
  <c r="U2784" i="11"/>
  <c r="U2785" i="11"/>
  <c r="U2786" i="11"/>
  <c r="U2787" i="11"/>
  <c r="U2788" i="11"/>
  <c r="U2789" i="11"/>
  <c r="U2790" i="11"/>
  <c r="U2791" i="11"/>
  <c r="U2792" i="11"/>
  <c r="U2793" i="11"/>
  <c r="U2794" i="11"/>
  <c r="U2795" i="11"/>
  <c r="U2796" i="11"/>
  <c r="U2797" i="11"/>
  <c r="U2798" i="11"/>
  <c r="U2799" i="11"/>
  <c r="U2800" i="11"/>
  <c r="U2801" i="11"/>
  <c r="U2802" i="11"/>
  <c r="U2803" i="11"/>
  <c r="U2804" i="11"/>
  <c r="U2805" i="11"/>
  <c r="U2806" i="11"/>
  <c r="U2807" i="11"/>
  <c r="U2808" i="11"/>
  <c r="U2809" i="11"/>
  <c r="U2810" i="11"/>
  <c r="U2811" i="11"/>
  <c r="U2812" i="11"/>
  <c r="U2813" i="11"/>
  <c r="U2814" i="11"/>
  <c r="U2815" i="11"/>
  <c r="U2816" i="11"/>
  <c r="U2817" i="11"/>
  <c r="U2818" i="11"/>
  <c r="U2819" i="11"/>
  <c r="U2820" i="11"/>
  <c r="U2821" i="11"/>
  <c r="U2822" i="11"/>
  <c r="U2823" i="11"/>
  <c r="U2824" i="11"/>
  <c r="U2825" i="11"/>
  <c r="U2826" i="11"/>
  <c r="U2827" i="11"/>
  <c r="U2828" i="11"/>
  <c r="U2829" i="11"/>
  <c r="U2830" i="11"/>
  <c r="U2831" i="11"/>
  <c r="U2832" i="11"/>
  <c r="U2833" i="11"/>
  <c r="U2834" i="11"/>
  <c r="U2835" i="11"/>
  <c r="U2836" i="11"/>
  <c r="U2837" i="11"/>
  <c r="U2838" i="11"/>
  <c r="U2839" i="11"/>
  <c r="U2840" i="11"/>
  <c r="U2841" i="11"/>
  <c r="U2842" i="11"/>
  <c r="U2843" i="11"/>
  <c r="U2844" i="11"/>
  <c r="U2845" i="11"/>
  <c r="U2846" i="11"/>
  <c r="U2847" i="11"/>
  <c r="U2848" i="11"/>
  <c r="U2849" i="11"/>
  <c r="U2850" i="11"/>
  <c r="U2851" i="11"/>
  <c r="U2852" i="11"/>
  <c r="U2853" i="11"/>
  <c r="U2854" i="11"/>
  <c r="U2855" i="11"/>
  <c r="U2856" i="11"/>
  <c r="U2857" i="11"/>
  <c r="U2858" i="11"/>
  <c r="U2859" i="11"/>
  <c r="U2860" i="11"/>
  <c r="U2861" i="11"/>
  <c r="U2862" i="11"/>
  <c r="U2863" i="11"/>
  <c r="U2864" i="11"/>
  <c r="U2865" i="11"/>
  <c r="U2866" i="11"/>
  <c r="U2867" i="11"/>
  <c r="U2868" i="11"/>
  <c r="U2869" i="11"/>
  <c r="U2870" i="11"/>
  <c r="U2871" i="11"/>
  <c r="U2872" i="11"/>
  <c r="U2873" i="11"/>
  <c r="U2874" i="11"/>
  <c r="U2875" i="11"/>
  <c r="U2876" i="11"/>
  <c r="U2877" i="11"/>
  <c r="U2878" i="11"/>
  <c r="U2879" i="11"/>
  <c r="U2880" i="11"/>
  <c r="U2881" i="11"/>
  <c r="U2882" i="11"/>
  <c r="U2883" i="11"/>
  <c r="U2884" i="11"/>
  <c r="U2885" i="11"/>
  <c r="U2886" i="11"/>
  <c r="U2887" i="11"/>
  <c r="U2888" i="11"/>
  <c r="U2889" i="11"/>
  <c r="U2890" i="11"/>
  <c r="U2891" i="11"/>
  <c r="U2892" i="11"/>
  <c r="U2893" i="11"/>
  <c r="U2894" i="11"/>
  <c r="U2895" i="11"/>
  <c r="U2896" i="11"/>
  <c r="U2897" i="11"/>
  <c r="U2898" i="11"/>
  <c r="U2899" i="11"/>
  <c r="U2900" i="11"/>
  <c r="U2901" i="11"/>
  <c r="U2902" i="11"/>
  <c r="U2903" i="11"/>
  <c r="U2904" i="11"/>
  <c r="U2905" i="11"/>
  <c r="U2906" i="11"/>
  <c r="U2907" i="11"/>
  <c r="U2908" i="11"/>
  <c r="U2909" i="11"/>
  <c r="U2910" i="11"/>
  <c r="U2911" i="11"/>
  <c r="U2912" i="11"/>
  <c r="U2913" i="11"/>
  <c r="U2914" i="11"/>
  <c r="U2915" i="11"/>
  <c r="U2916" i="11"/>
  <c r="U2917" i="11"/>
  <c r="U2918" i="11"/>
  <c r="U2919" i="11"/>
  <c r="U2920" i="11"/>
  <c r="U2921" i="11"/>
  <c r="U2922" i="11"/>
  <c r="U2923" i="11"/>
  <c r="U2924" i="11"/>
  <c r="U2925" i="11"/>
  <c r="U2926" i="11"/>
  <c r="U2927" i="11"/>
  <c r="U2928" i="11"/>
  <c r="U2929" i="11"/>
  <c r="U2930" i="11"/>
  <c r="U2931" i="11"/>
  <c r="U2932" i="11"/>
  <c r="U2933" i="11"/>
  <c r="U2934" i="11"/>
  <c r="U2935" i="11"/>
  <c r="U2936" i="11"/>
  <c r="U2937" i="11"/>
  <c r="U2938" i="11"/>
  <c r="U2939" i="11"/>
  <c r="U2940" i="11"/>
  <c r="U2941" i="11"/>
  <c r="U2942" i="11"/>
  <c r="U2943" i="11"/>
  <c r="U2944" i="11"/>
  <c r="U2945" i="11"/>
  <c r="U2946" i="11"/>
  <c r="U2947" i="11"/>
  <c r="U2948" i="11"/>
  <c r="U2949" i="11"/>
  <c r="U2950" i="11"/>
  <c r="U2951" i="11"/>
  <c r="U2952" i="11"/>
  <c r="U2953" i="11"/>
  <c r="U2954" i="11"/>
  <c r="U2955" i="11"/>
  <c r="U2956" i="11"/>
  <c r="U2957" i="11"/>
  <c r="U2958" i="11"/>
  <c r="U2959" i="11"/>
  <c r="U2960" i="11"/>
  <c r="U2961" i="11"/>
  <c r="U2962" i="11"/>
  <c r="U2963" i="11"/>
  <c r="U2964" i="11"/>
  <c r="U2965" i="11"/>
  <c r="U2966" i="11"/>
  <c r="U2967" i="11"/>
  <c r="U2968" i="11"/>
  <c r="U2969" i="11"/>
  <c r="U2970" i="11"/>
  <c r="U2971" i="11"/>
  <c r="U2972" i="11"/>
  <c r="U2973" i="11"/>
  <c r="U2974" i="11"/>
  <c r="U2975" i="11"/>
  <c r="U2976" i="11"/>
  <c r="U2977" i="11"/>
  <c r="U2978" i="11"/>
  <c r="U2979" i="11"/>
  <c r="U2980" i="11"/>
  <c r="U2981" i="11"/>
  <c r="U2982" i="11"/>
  <c r="U2983" i="11"/>
  <c r="U2984" i="11"/>
  <c r="U2985" i="11"/>
  <c r="U2986" i="11"/>
  <c r="U2987" i="11"/>
  <c r="U2988" i="11"/>
  <c r="U2989" i="11"/>
  <c r="U2990" i="11"/>
  <c r="U2991" i="11"/>
  <c r="U2992" i="11"/>
  <c r="U2993" i="11"/>
  <c r="U2994" i="11"/>
  <c r="U2995" i="11"/>
  <c r="U2996" i="11"/>
  <c r="U2997" i="11"/>
  <c r="U2998" i="11"/>
  <c r="U2999" i="11"/>
  <c r="U3000" i="11"/>
  <c r="U3001" i="11"/>
  <c r="U3002" i="11"/>
  <c r="U3003" i="11"/>
  <c r="U3004" i="11"/>
  <c r="U3005" i="11"/>
  <c r="U3006" i="11"/>
  <c r="U3007" i="11"/>
  <c r="U3008" i="11"/>
  <c r="U3009" i="11"/>
  <c r="U3010" i="11"/>
  <c r="U3011" i="11"/>
  <c r="U3012" i="11"/>
  <c r="U3013" i="11"/>
  <c r="U3014" i="11"/>
  <c r="U3015" i="11"/>
  <c r="U3016" i="11"/>
  <c r="U3017" i="11"/>
  <c r="U3018" i="11"/>
  <c r="U3019" i="11"/>
  <c r="U3020" i="11"/>
  <c r="U3021" i="11"/>
  <c r="U3022" i="11"/>
  <c r="U3023" i="11"/>
  <c r="U3024" i="11"/>
  <c r="U3025" i="11"/>
  <c r="U3026" i="11"/>
  <c r="U3027" i="11"/>
  <c r="U3028" i="11"/>
  <c r="U3029" i="11"/>
  <c r="U3030" i="11"/>
  <c r="U3031" i="11"/>
  <c r="U3032" i="11"/>
  <c r="U3033" i="11"/>
  <c r="U3034" i="11"/>
  <c r="U3035" i="11"/>
  <c r="U3036" i="11"/>
  <c r="U3037" i="11"/>
  <c r="U3038" i="11"/>
  <c r="U3039" i="11"/>
  <c r="U3040" i="11"/>
  <c r="U3041" i="11"/>
  <c r="U3042" i="11"/>
  <c r="U3043" i="11"/>
  <c r="U3044" i="11"/>
  <c r="U3045" i="11"/>
  <c r="U3046" i="11"/>
  <c r="U3047" i="11"/>
  <c r="U3048" i="11"/>
  <c r="U3049" i="11"/>
  <c r="U3050" i="11"/>
  <c r="U3051" i="11"/>
  <c r="U3052" i="11"/>
  <c r="U3053" i="11"/>
  <c r="U3054" i="11"/>
  <c r="U3055" i="11"/>
  <c r="U3056" i="11"/>
  <c r="U3057" i="11"/>
  <c r="U3058" i="11"/>
  <c r="U3059" i="11"/>
  <c r="U3060" i="11"/>
  <c r="U3061" i="11"/>
  <c r="U3062" i="11"/>
  <c r="U3063" i="11"/>
  <c r="U3064" i="11"/>
  <c r="U3065" i="11"/>
  <c r="U3066" i="11"/>
  <c r="U3067" i="11"/>
  <c r="U3068" i="11"/>
  <c r="U3069" i="11"/>
  <c r="U3070" i="11"/>
  <c r="U3071" i="11"/>
  <c r="U3072" i="11"/>
  <c r="U3073" i="11"/>
  <c r="U3074" i="11"/>
  <c r="U3075" i="11"/>
  <c r="U3076" i="11"/>
  <c r="U3077" i="11"/>
  <c r="U3078" i="11"/>
  <c r="U3079" i="11"/>
  <c r="U3080" i="11"/>
  <c r="U3081" i="11"/>
  <c r="U3082" i="11"/>
  <c r="U3083" i="11"/>
  <c r="U3084" i="11"/>
  <c r="U3085" i="11"/>
  <c r="U3086" i="11"/>
  <c r="U3087" i="11"/>
  <c r="U3088" i="11"/>
  <c r="U3089" i="11"/>
  <c r="U3090" i="11"/>
  <c r="U3091" i="11"/>
  <c r="U3092" i="11"/>
  <c r="U3093" i="11"/>
  <c r="U3094" i="11"/>
  <c r="U3095" i="11"/>
  <c r="U3096" i="11"/>
  <c r="U3097" i="11"/>
  <c r="U3098" i="11"/>
  <c r="U3099" i="11"/>
  <c r="U3100" i="11"/>
  <c r="U3101" i="11"/>
  <c r="U3102" i="11"/>
  <c r="U3103" i="11"/>
  <c r="U3104" i="11"/>
  <c r="U3105" i="11"/>
  <c r="U3106" i="11"/>
  <c r="U3107" i="11"/>
  <c r="U3108" i="11"/>
  <c r="U3109" i="11"/>
  <c r="U3110" i="11"/>
  <c r="U3111" i="11"/>
  <c r="U3112" i="11"/>
  <c r="U3113" i="11"/>
  <c r="U3114" i="11"/>
  <c r="U3115" i="11"/>
  <c r="U3116" i="11"/>
  <c r="U3117" i="11"/>
  <c r="U3118" i="11"/>
  <c r="U3119" i="11"/>
  <c r="U3120" i="11"/>
  <c r="U3121" i="11"/>
  <c r="U3122" i="11"/>
  <c r="U3123" i="11"/>
  <c r="U3124" i="11"/>
  <c r="U3125" i="11"/>
  <c r="U3126" i="11"/>
  <c r="U3127" i="11"/>
  <c r="U3128" i="11"/>
  <c r="U3129" i="11"/>
  <c r="U3130" i="11"/>
  <c r="U3131" i="11"/>
  <c r="U3132" i="11"/>
  <c r="U3133" i="11"/>
  <c r="U3134" i="11"/>
  <c r="U3135" i="11"/>
  <c r="U3136" i="11"/>
  <c r="U3137" i="11"/>
  <c r="U3138" i="11"/>
  <c r="U3139" i="11"/>
  <c r="U3140" i="11"/>
  <c r="U3141" i="11"/>
  <c r="U3142" i="11"/>
  <c r="U3143" i="11"/>
  <c r="U3144" i="11"/>
  <c r="U3145" i="11"/>
  <c r="U3146" i="11"/>
  <c r="U3147" i="11"/>
  <c r="U3148" i="11"/>
  <c r="U3149" i="11"/>
  <c r="U3150" i="11"/>
  <c r="U3151" i="11"/>
  <c r="U3152" i="11"/>
  <c r="U3153" i="11"/>
  <c r="U3154" i="11"/>
  <c r="U3155" i="11"/>
  <c r="U3156" i="11"/>
  <c r="U3157" i="11"/>
  <c r="U3158" i="11"/>
  <c r="U3159" i="11"/>
  <c r="U3160" i="11"/>
  <c r="U3161" i="11"/>
  <c r="U3162" i="11"/>
  <c r="U3163" i="11"/>
  <c r="U3164" i="11"/>
  <c r="U3165" i="11"/>
  <c r="U3166" i="11"/>
  <c r="U3167" i="11"/>
  <c r="U3168" i="11"/>
  <c r="U3169" i="11"/>
  <c r="U3170" i="11"/>
  <c r="U3171" i="11"/>
  <c r="U3172" i="11"/>
  <c r="U3173" i="11"/>
  <c r="U3174" i="11"/>
  <c r="U3175" i="11"/>
  <c r="U3176" i="11"/>
  <c r="U3177" i="11"/>
  <c r="U3178" i="11"/>
  <c r="U3179" i="11"/>
  <c r="U3180" i="11"/>
  <c r="U3181" i="11"/>
  <c r="U3182" i="11"/>
  <c r="U3183" i="11"/>
  <c r="U3184" i="11"/>
  <c r="U3185" i="11"/>
  <c r="U3186" i="11"/>
  <c r="U3187" i="11"/>
  <c r="U3188" i="11"/>
  <c r="U3189" i="11"/>
  <c r="U3190" i="11"/>
  <c r="U3191" i="11"/>
  <c r="U3192" i="11"/>
  <c r="U3193" i="11"/>
  <c r="U3194" i="11"/>
  <c r="U3195" i="11"/>
  <c r="U3196" i="11"/>
  <c r="U3197" i="11"/>
  <c r="U3198" i="11"/>
  <c r="U3199" i="11"/>
  <c r="U3200" i="11"/>
  <c r="U3201" i="11"/>
  <c r="U3202" i="11"/>
  <c r="U3203" i="11"/>
  <c r="U3204" i="11"/>
  <c r="U3205" i="11"/>
  <c r="U3206" i="11"/>
  <c r="U3207" i="11"/>
  <c r="U3208" i="11"/>
  <c r="U3209" i="11"/>
  <c r="U3210" i="11"/>
  <c r="U3211" i="11"/>
  <c r="U3212" i="11"/>
  <c r="U3213" i="11"/>
  <c r="U3214" i="11"/>
  <c r="U3215" i="11"/>
  <c r="U3216" i="11"/>
  <c r="U3217" i="11"/>
  <c r="U3218" i="11"/>
  <c r="U3219" i="11"/>
  <c r="U3220" i="11"/>
  <c r="U3221" i="11"/>
  <c r="U3222" i="11"/>
  <c r="U3223" i="11"/>
  <c r="U3224" i="11"/>
  <c r="U3225" i="11"/>
  <c r="U3226" i="11"/>
  <c r="U3227" i="11"/>
  <c r="U3228" i="11"/>
  <c r="U3229" i="11"/>
  <c r="U3230" i="11"/>
  <c r="U3231" i="11"/>
  <c r="U3232" i="11"/>
  <c r="U3233" i="11"/>
  <c r="U3234" i="11"/>
  <c r="U3235" i="11"/>
  <c r="U3236" i="11"/>
  <c r="U3237" i="11"/>
  <c r="U3238" i="11"/>
  <c r="U3239" i="11"/>
  <c r="U3240" i="11"/>
  <c r="U3241" i="11"/>
  <c r="U3242" i="11"/>
  <c r="U3243" i="11"/>
  <c r="U3244" i="11"/>
  <c r="U3245" i="11"/>
  <c r="U3246" i="11"/>
  <c r="U3247" i="11"/>
  <c r="U3248" i="11"/>
  <c r="U3249" i="11"/>
  <c r="U3250" i="11"/>
  <c r="U3251" i="11"/>
  <c r="U3252" i="11"/>
  <c r="U3253" i="11"/>
  <c r="U3254" i="11"/>
  <c r="U3255" i="11"/>
  <c r="U3256" i="11"/>
  <c r="U3257" i="11"/>
  <c r="U3258" i="11"/>
  <c r="U3259" i="11"/>
  <c r="U3260" i="11"/>
  <c r="U3261" i="11"/>
  <c r="U3262" i="11"/>
  <c r="U3263" i="11"/>
  <c r="U3264" i="11"/>
  <c r="U3265" i="11"/>
  <c r="U3266" i="11"/>
  <c r="U3267" i="11"/>
  <c r="U3268" i="11"/>
  <c r="U3269" i="11"/>
  <c r="U3270" i="11"/>
  <c r="U3271" i="11"/>
  <c r="U3272" i="11"/>
  <c r="U3273" i="11"/>
  <c r="U3274" i="11"/>
  <c r="U3275" i="11"/>
  <c r="U3276" i="11"/>
  <c r="U3277" i="11"/>
  <c r="U3278" i="11"/>
  <c r="U3279" i="11"/>
  <c r="U3280" i="11"/>
  <c r="U3281" i="11"/>
  <c r="U3282" i="11"/>
  <c r="U3283" i="11"/>
  <c r="U3284" i="11"/>
  <c r="U3285" i="11"/>
  <c r="U3286" i="11"/>
  <c r="U3287" i="11"/>
  <c r="U3288" i="11"/>
  <c r="U3289" i="11"/>
  <c r="U3290" i="11"/>
  <c r="U3291" i="11"/>
  <c r="U3292" i="11"/>
  <c r="U3293" i="11"/>
  <c r="U3294" i="11"/>
  <c r="U3295" i="11"/>
  <c r="U3296" i="11"/>
  <c r="U3297" i="11"/>
  <c r="U3298" i="11"/>
  <c r="U3299" i="11"/>
  <c r="U3300" i="11"/>
  <c r="U3301" i="11"/>
  <c r="U3302" i="11"/>
  <c r="U3303" i="11"/>
  <c r="U3304" i="11"/>
  <c r="U3305" i="11"/>
  <c r="U3306" i="11"/>
  <c r="U3307" i="11"/>
  <c r="U3308" i="11"/>
  <c r="U3309" i="11"/>
  <c r="U3310" i="11"/>
  <c r="U3311" i="11"/>
  <c r="U3312" i="11"/>
  <c r="U3313" i="11"/>
  <c r="U3314" i="11"/>
  <c r="U3315" i="11"/>
  <c r="U3316" i="11"/>
  <c r="U3317" i="11"/>
  <c r="U3318" i="11"/>
  <c r="U3319" i="11"/>
  <c r="U3320" i="11"/>
  <c r="U3321" i="11"/>
  <c r="U3322" i="11"/>
  <c r="U3323" i="11"/>
  <c r="U3324" i="11"/>
  <c r="U3325" i="11"/>
  <c r="U3326" i="11"/>
  <c r="U3327" i="11"/>
  <c r="U3328" i="11"/>
  <c r="U3329" i="11"/>
  <c r="U3330" i="11"/>
  <c r="U3331" i="11"/>
  <c r="U3332" i="11"/>
  <c r="U3333" i="11"/>
  <c r="U3334" i="11"/>
  <c r="U3335" i="11"/>
  <c r="U3336" i="11"/>
  <c r="U3337" i="11"/>
  <c r="U3338" i="11"/>
  <c r="U3339" i="11"/>
  <c r="U3340" i="11"/>
  <c r="U3341" i="11"/>
  <c r="U3342" i="11"/>
  <c r="U3343" i="11"/>
  <c r="U3344" i="11"/>
  <c r="U3345" i="11"/>
  <c r="U3346" i="11"/>
  <c r="U3347" i="11"/>
  <c r="U3348" i="11"/>
  <c r="U3349" i="11"/>
  <c r="U3350" i="11"/>
  <c r="U3351" i="11"/>
  <c r="U3352" i="11"/>
  <c r="U3353" i="11"/>
  <c r="U3354" i="11"/>
  <c r="U3355" i="11"/>
  <c r="U3356" i="11"/>
  <c r="U3357" i="11"/>
  <c r="U3358" i="11"/>
  <c r="U3359" i="11"/>
  <c r="U3360" i="11"/>
  <c r="U3361" i="11"/>
  <c r="U3362" i="11"/>
  <c r="U3363" i="11"/>
  <c r="U3364" i="11"/>
  <c r="U3365" i="11"/>
  <c r="U3366" i="11"/>
  <c r="U3367" i="11"/>
  <c r="U3368" i="11"/>
  <c r="U3369" i="11"/>
  <c r="U3370" i="11"/>
  <c r="U3371" i="11"/>
  <c r="U3372" i="11"/>
  <c r="U3373" i="11"/>
  <c r="U3374" i="11"/>
  <c r="U3375" i="11"/>
  <c r="U3376" i="11"/>
  <c r="U3377" i="11"/>
  <c r="U3378" i="11"/>
  <c r="U3379" i="11"/>
  <c r="U3380" i="11"/>
  <c r="U3381" i="11"/>
  <c r="U3382" i="11"/>
  <c r="U3383" i="11"/>
  <c r="U3384" i="11"/>
  <c r="U3385" i="11"/>
  <c r="U3386" i="11"/>
  <c r="U3387" i="11"/>
  <c r="U3388" i="11"/>
  <c r="U3389" i="11"/>
  <c r="U3390" i="11"/>
  <c r="U3391" i="11"/>
  <c r="U3392" i="11"/>
  <c r="U3393" i="11"/>
  <c r="U3394" i="11"/>
  <c r="U3395" i="11"/>
  <c r="U3396" i="11"/>
  <c r="U3397" i="11"/>
  <c r="U3398" i="11"/>
  <c r="U3399" i="11"/>
  <c r="U3400" i="11"/>
  <c r="U3401" i="11"/>
  <c r="U3402" i="11"/>
  <c r="U3403" i="11"/>
  <c r="U3404" i="11"/>
  <c r="U3405" i="11"/>
  <c r="U3406" i="11"/>
  <c r="U3407" i="11"/>
  <c r="U3408" i="11"/>
  <c r="U3409" i="11"/>
  <c r="U3410" i="11"/>
  <c r="U3411" i="11"/>
  <c r="U3412" i="11"/>
  <c r="U3413" i="11"/>
  <c r="U3414" i="11"/>
  <c r="U3415" i="11"/>
  <c r="U3416" i="11"/>
  <c r="U3417" i="11"/>
  <c r="U3418" i="11"/>
  <c r="U3419" i="11"/>
  <c r="U3420" i="11"/>
  <c r="U3421" i="11"/>
  <c r="U3422" i="11"/>
  <c r="U3423" i="11"/>
  <c r="U3424" i="11"/>
  <c r="U3425" i="11"/>
  <c r="U3426" i="11"/>
  <c r="U3427" i="11"/>
  <c r="U3428" i="11"/>
  <c r="U3429" i="11"/>
  <c r="U3430" i="11"/>
  <c r="U3431" i="11"/>
  <c r="U3432" i="11"/>
  <c r="U3433" i="11"/>
  <c r="U3434" i="11"/>
  <c r="U3435" i="11"/>
  <c r="U3436" i="11"/>
  <c r="U3437" i="11"/>
  <c r="U3438" i="11"/>
  <c r="U3439" i="11"/>
  <c r="U3440" i="11"/>
  <c r="U3441" i="11"/>
  <c r="U3442" i="11"/>
  <c r="U3443" i="11"/>
  <c r="U3444" i="11"/>
  <c r="U3445" i="11"/>
  <c r="U3446" i="11"/>
  <c r="U3447" i="11"/>
  <c r="U3448" i="11"/>
  <c r="U3449" i="11"/>
  <c r="U3450" i="11"/>
  <c r="U3451" i="11"/>
  <c r="U3452" i="11"/>
  <c r="U3453" i="11"/>
  <c r="U3454" i="11"/>
  <c r="U3455" i="11"/>
  <c r="U3456" i="11"/>
  <c r="U3457" i="11"/>
  <c r="U3458" i="11"/>
  <c r="U3459" i="11"/>
  <c r="U3460" i="11"/>
  <c r="U3461" i="11"/>
  <c r="U3462" i="11"/>
  <c r="U3463" i="11"/>
  <c r="U3464" i="11"/>
  <c r="U3465" i="11"/>
  <c r="U3466" i="11"/>
  <c r="U3467" i="11"/>
  <c r="U3468" i="11"/>
  <c r="U3469" i="11"/>
  <c r="U3470" i="11"/>
  <c r="U3471" i="11"/>
  <c r="U3472" i="11"/>
  <c r="U3473" i="11"/>
  <c r="U3474" i="11"/>
  <c r="U3475" i="11"/>
  <c r="U3476" i="11"/>
  <c r="U3477" i="11"/>
  <c r="U3478" i="11"/>
  <c r="U3479" i="11"/>
  <c r="U3480" i="11"/>
  <c r="U3481" i="11"/>
  <c r="U3482" i="11"/>
  <c r="U3483" i="11"/>
  <c r="U3484" i="11"/>
  <c r="U3485" i="11"/>
  <c r="U3486" i="11"/>
  <c r="U3487" i="11"/>
  <c r="U3488" i="11"/>
  <c r="U3489" i="11"/>
  <c r="U3490" i="11"/>
  <c r="U3491" i="11"/>
  <c r="U3492" i="11"/>
  <c r="U3493" i="11"/>
  <c r="U3494" i="11"/>
  <c r="U3495" i="11"/>
  <c r="U3496" i="11"/>
  <c r="U3497" i="11"/>
  <c r="U3498" i="11"/>
  <c r="U3499" i="11"/>
  <c r="U3500" i="11"/>
  <c r="U3501" i="11"/>
  <c r="U3502" i="11"/>
  <c r="U3503" i="11"/>
  <c r="U3504" i="11"/>
  <c r="U3505" i="11"/>
  <c r="U3506" i="11"/>
  <c r="U3507" i="11"/>
  <c r="U3508" i="11"/>
  <c r="U3509" i="11"/>
  <c r="U3510" i="11"/>
  <c r="U3511" i="11"/>
  <c r="U3512" i="11"/>
  <c r="U3513" i="11"/>
  <c r="U3514" i="11"/>
  <c r="U3515" i="11"/>
  <c r="U3516" i="11"/>
  <c r="U3517" i="11"/>
  <c r="U3518" i="11"/>
  <c r="U3519" i="11"/>
  <c r="U3520" i="11"/>
  <c r="U3521" i="11"/>
  <c r="U3522" i="11"/>
  <c r="U3523" i="11"/>
  <c r="U3524" i="11"/>
  <c r="U3525" i="11"/>
  <c r="U3526" i="11"/>
  <c r="U3527" i="11"/>
  <c r="U3528" i="11"/>
  <c r="U3529" i="11"/>
  <c r="U3530" i="11"/>
  <c r="U3531" i="11"/>
  <c r="U3532" i="11"/>
  <c r="U3533" i="11"/>
  <c r="U3534" i="11"/>
  <c r="U3535" i="11"/>
  <c r="U3536" i="11"/>
  <c r="U3537" i="11"/>
  <c r="U3538" i="11"/>
  <c r="U3539" i="11"/>
  <c r="U3540" i="11"/>
  <c r="U3541" i="11"/>
  <c r="U3542" i="11"/>
  <c r="U3543" i="11"/>
  <c r="U3544" i="11"/>
  <c r="U3545" i="11"/>
  <c r="U3546" i="11"/>
  <c r="U3547" i="11"/>
  <c r="U3548" i="11"/>
  <c r="U3549" i="11"/>
  <c r="U3550" i="11"/>
  <c r="U3551" i="11"/>
  <c r="U3552" i="11"/>
  <c r="U3553" i="11"/>
  <c r="U3554" i="11"/>
  <c r="U3555" i="11"/>
  <c r="U3556" i="11"/>
  <c r="U3557" i="11"/>
  <c r="U3558" i="11"/>
  <c r="U3559" i="11"/>
  <c r="U3560" i="11"/>
  <c r="U3561" i="11"/>
  <c r="U3562" i="11"/>
  <c r="U3563" i="11"/>
  <c r="U3564" i="11"/>
  <c r="U3565" i="11"/>
  <c r="U3566" i="11"/>
  <c r="U3567" i="11"/>
  <c r="U3568" i="11"/>
  <c r="U3569" i="11"/>
  <c r="U3570" i="11"/>
  <c r="U3571" i="11"/>
  <c r="U3572" i="11"/>
  <c r="U3573" i="11"/>
  <c r="U3574" i="11"/>
  <c r="U3575" i="11"/>
  <c r="U3576" i="11"/>
  <c r="U3577" i="11"/>
  <c r="U3578" i="11"/>
  <c r="U3579" i="11"/>
  <c r="U3580" i="11"/>
  <c r="U3581" i="11"/>
  <c r="U3582" i="11"/>
  <c r="U3583" i="11"/>
  <c r="U3584" i="11"/>
  <c r="U3585" i="11"/>
  <c r="U3586" i="11"/>
  <c r="U3587" i="11"/>
  <c r="U3588" i="11"/>
  <c r="U3589" i="11"/>
  <c r="U3590" i="11"/>
  <c r="U3591" i="11"/>
  <c r="U3592" i="11"/>
  <c r="U3593" i="11"/>
  <c r="U3594" i="11"/>
  <c r="U3595" i="11"/>
  <c r="U3596" i="11"/>
  <c r="U3597" i="11"/>
  <c r="U3598" i="11"/>
  <c r="U3599" i="11"/>
  <c r="U3600" i="11"/>
  <c r="U3601" i="11"/>
  <c r="U3602" i="11"/>
  <c r="U3603" i="11"/>
  <c r="U3604" i="11"/>
  <c r="U3605" i="11"/>
  <c r="U3606" i="11"/>
  <c r="U3607" i="11"/>
  <c r="U3608" i="11"/>
  <c r="U3609" i="11"/>
  <c r="U3610" i="11"/>
  <c r="U3611" i="11"/>
  <c r="U3612" i="11"/>
  <c r="U3613" i="11"/>
  <c r="U3614" i="11"/>
  <c r="U3615" i="11"/>
  <c r="U3616" i="11"/>
  <c r="U3617" i="11"/>
  <c r="U3618" i="11"/>
  <c r="U3619" i="11"/>
  <c r="U3620" i="11"/>
  <c r="U3621" i="11"/>
  <c r="U3622" i="11"/>
  <c r="U3623" i="11"/>
  <c r="U3624" i="11"/>
  <c r="U3625" i="11"/>
  <c r="U3626" i="11"/>
  <c r="U3627" i="11"/>
  <c r="U3628" i="11"/>
  <c r="U3629" i="11"/>
  <c r="U3630" i="11"/>
  <c r="U3631" i="11"/>
  <c r="U3632" i="11"/>
  <c r="U3633" i="11"/>
  <c r="U3634" i="11"/>
  <c r="U3635" i="11"/>
  <c r="U3636" i="11"/>
  <c r="U3637" i="11"/>
  <c r="U3638" i="11"/>
  <c r="U3639" i="11"/>
  <c r="U3640" i="11"/>
  <c r="U3641" i="11"/>
  <c r="U3642" i="11"/>
  <c r="U3643" i="11"/>
  <c r="U3644" i="11"/>
  <c r="U3645" i="11"/>
  <c r="U3646" i="11"/>
  <c r="U3647" i="11"/>
  <c r="U3648" i="11"/>
  <c r="U3649" i="11"/>
  <c r="U3650" i="11"/>
  <c r="U3651" i="11"/>
  <c r="U3652" i="11"/>
  <c r="U3653" i="11"/>
  <c r="U3654" i="11"/>
  <c r="U3655" i="11"/>
  <c r="U3656" i="11"/>
  <c r="U3657" i="11"/>
  <c r="U3658" i="11"/>
  <c r="U3659" i="11"/>
  <c r="U3660" i="11"/>
  <c r="U3661" i="11"/>
  <c r="U3662" i="11"/>
  <c r="U3663" i="11"/>
  <c r="U3664" i="11"/>
  <c r="U3665" i="11"/>
  <c r="U3666" i="11"/>
  <c r="U3667" i="11"/>
  <c r="U3668" i="11"/>
  <c r="U3669" i="11"/>
  <c r="U3670" i="11"/>
  <c r="U3671" i="11"/>
  <c r="U3672" i="11"/>
  <c r="U3673" i="11"/>
  <c r="U3674" i="11"/>
  <c r="U3675" i="11"/>
  <c r="U3676" i="11"/>
  <c r="U3677" i="11"/>
  <c r="U3678" i="11"/>
  <c r="U3679" i="11"/>
  <c r="U3680" i="11"/>
  <c r="U3681" i="11"/>
  <c r="U3682" i="11"/>
  <c r="U3683" i="11"/>
  <c r="U3684" i="11"/>
  <c r="U3685" i="11"/>
  <c r="U3686" i="11"/>
  <c r="U3687" i="11"/>
  <c r="U3688" i="11"/>
  <c r="U3689" i="11"/>
  <c r="U3690" i="11"/>
  <c r="U3691" i="11"/>
  <c r="U3692" i="11"/>
  <c r="U3693" i="11"/>
  <c r="U3694" i="11"/>
  <c r="U3695" i="11"/>
  <c r="U3696" i="11"/>
  <c r="U3697" i="11"/>
  <c r="U3698" i="11"/>
  <c r="U3699" i="11"/>
  <c r="U3700" i="11"/>
  <c r="U3701" i="11"/>
  <c r="U3702" i="11"/>
  <c r="U3703" i="11"/>
  <c r="U3704" i="11"/>
  <c r="U3705" i="11"/>
  <c r="U3706" i="11"/>
  <c r="U3707" i="11"/>
  <c r="U3708" i="11"/>
  <c r="U3709" i="11"/>
  <c r="U3710" i="11"/>
  <c r="U3711" i="11"/>
  <c r="U3712" i="11"/>
  <c r="U3713" i="11"/>
  <c r="U3714" i="11"/>
  <c r="U3715" i="11"/>
  <c r="U3716" i="11"/>
  <c r="U3717" i="11"/>
  <c r="U3718" i="11"/>
  <c r="U3719" i="11"/>
  <c r="U3720" i="11"/>
  <c r="U3721" i="11"/>
  <c r="U3722" i="11"/>
  <c r="U3723" i="11"/>
  <c r="U3724" i="11"/>
  <c r="U3725" i="11"/>
  <c r="U3726" i="11"/>
  <c r="U3727" i="11"/>
  <c r="U3728" i="11"/>
  <c r="U3729" i="11"/>
  <c r="U3730" i="11"/>
  <c r="U3731" i="11"/>
  <c r="U3732" i="11"/>
  <c r="U3733" i="11"/>
  <c r="U3734" i="11"/>
  <c r="U3735" i="11"/>
  <c r="U3736" i="11"/>
  <c r="U3737" i="11"/>
  <c r="U3738" i="11"/>
  <c r="U3739" i="11"/>
  <c r="U3740" i="11"/>
  <c r="U3741" i="11"/>
  <c r="U3742" i="11"/>
  <c r="U3743" i="11"/>
  <c r="U3744" i="11"/>
  <c r="U3745" i="11"/>
  <c r="U3746" i="11"/>
  <c r="U3747" i="11"/>
  <c r="U3748" i="11"/>
  <c r="U3749" i="11"/>
  <c r="U3750" i="11"/>
  <c r="U3751" i="11"/>
  <c r="U3752" i="11"/>
  <c r="U3753" i="11"/>
  <c r="U3754" i="11"/>
  <c r="U3755" i="11"/>
  <c r="U3756" i="11"/>
  <c r="U3757" i="11"/>
  <c r="U3758" i="11"/>
  <c r="U3759" i="11"/>
  <c r="U3760" i="11"/>
  <c r="U3761" i="11"/>
  <c r="U3762" i="11"/>
  <c r="U3763" i="11"/>
  <c r="U3764" i="11"/>
  <c r="U3765" i="11"/>
  <c r="U3766" i="11"/>
  <c r="U3767" i="11"/>
  <c r="U3768" i="11"/>
  <c r="U3769" i="11"/>
  <c r="U3770" i="11"/>
  <c r="U3771" i="11"/>
  <c r="U3772" i="11"/>
  <c r="U3773" i="11"/>
  <c r="U3774" i="11"/>
  <c r="U3775" i="11"/>
  <c r="U3776" i="11"/>
  <c r="U3777" i="11"/>
  <c r="U3778" i="11"/>
  <c r="U3779" i="11"/>
  <c r="U3780" i="11"/>
  <c r="U3781" i="11"/>
  <c r="U3782" i="11"/>
  <c r="U3783" i="11"/>
  <c r="U3784" i="11"/>
  <c r="U3785" i="11"/>
  <c r="U3786" i="11"/>
  <c r="U3787" i="11"/>
  <c r="U3788" i="11"/>
  <c r="U3789" i="11"/>
  <c r="U3790" i="11"/>
  <c r="U3791" i="11"/>
  <c r="U3792" i="11"/>
  <c r="U3793" i="11"/>
  <c r="U3794" i="11"/>
  <c r="U3795" i="11"/>
  <c r="U3796" i="11"/>
  <c r="U3797" i="11"/>
  <c r="U3798" i="11"/>
  <c r="U3799" i="11"/>
  <c r="U3800" i="11"/>
  <c r="U3801" i="11"/>
  <c r="U3802" i="11"/>
  <c r="U3803" i="11"/>
  <c r="U3804" i="11"/>
  <c r="U3805" i="11"/>
  <c r="U3806" i="11"/>
  <c r="U3807" i="11"/>
  <c r="U3808" i="11"/>
  <c r="U3809" i="11"/>
  <c r="U3810" i="11"/>
  <c r="U3811" i="11"/>
  <c r="U3812" i="11"/>
  <c r="U3813" i="11"/>
  <c r="U3814" i="11"/>
  <c r="U3815" i="11"/>
  <c r="U3816" i="11"/>
  <c r="U3817" i="11"/>
  <c r="U3818" i="11"/>
  <c r="U3819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3371" i="11"/>
  <c r="M3372" i="11"/>
  <c r="M3373" i="11"/>
  <c r="M3374" i="11"/>
  <c r="M3375" i="11"/>
  <c r="M3376" i="11"/>
  <c r="M3377" i="11"/>
  <c r="M3378" i="11"/>
  <c r="M3379" i="11"/>
  <c r="M3380" i="11"/>
  <c r="M3381" i="11"/>
  <c r="M3382" i="11"/>
  <c r="M3383" i="11"/>
  <c r="M3384" i="11"/>
  <c r="M3385" i="11"/>
  <c r="M3386" i="11"/>
  <c r="M3387" i="11"/>
  <c r="M3388" i="11"/>
  <c r="M3389" i="11"/>
  <c r="M3390" i="11"/>
  <c r="M3391" i="11"/>
  <c r="M3392" i="11"/>
  <c r="M3393" i="11"/>
  <c r="M3394" i="11"/>
  <c r="M3395" i="11"/>
  <c r="M3396" i="11"/>
  <c r="M3397" i="11"/>
  <c r="M3398" i="11"/>
  <c r="M3399" i="11"/>
  <c r="M3400" i="11"/>
  <c r="M3401" i="11"/>
  <c r="M3402" i="11"/>
  <c r="M3403" i="11"/>
  <c r="M3404" i="11"/>
  <c r="M3405" i="11"/>
  <c r="M3406" i="11"/>
  <c r="M3407" i="11"/>
  <c r="M3408" i="11"/>
  <c r="M3409" i="11"/>
  <c r="M3410" i="11"/>
  <c r="M3411" i="11"/>
  <c r="M3412" i="11"/>
  <c r="M3413" i="11"/>
  <c r="M3414" i="11"/>
  <c r="M3415" i="11"/>
  <c r="M3416" i="11"/>
  <c r="M3417" i="11"/>
  <c r="M3418" i="11"/>
  <c r="M3419" i="11"/>
  <c r="M3420" i="11"/>
  <c r="M3421" i="11"/>
  <c r="M3422" i="11"/>
  <c r="M3423" i="11"/>
  <c r="M3424" i="11"/>
  <c r="M3425" i="11"/>
  <c r="M3426" i="11"/>
  <c r="M3427" i="11"/>
  <c r="M3428" i="11"/>
  <c r="M3429" i="11"/>
  <c r="M3430" i="11"/>
  <c r="M3431" i="11"/>
  <c r="M3432" i="11"/>
  <c r="M3433" i="11"/>
  <c r="M3434" i="11"/>
  <c r="M3435" i="11"/>
  <c r="M3436" i="11"/>
  <c r="M3437" i="11"/>
  <c r="M3438" i="11"/>
  <c r="M3439" i="11"/>
  <c r="M3440" i="11"/>
  <c r="M3441" i="11"/>
  <c r="M3442" i="11"/>
  <c r="M3443" i="11"/>
  <c r="M3444" i="11"/>
  <c r="M3445" i="11"/>
  <c r="M3446" i="11"/>
  <c r="M3447" i="11"/>
  <c r="M3448" i="11"/>
  <c r="M3449" i="11"/>
  <c r="M3450" i="11"/>
  <c r="M3451" i="11"/>
  <c r="M3452" i="11"/>
  <c r="M3453" i="11"/>
  <c r="M3454" i="11"/>
  <c r="M3455" i="11"/>
  <c r="M3456" i="11"/>
  <c r="M3457" i="11"/>
  <c r="M3458" i="11"/>
  <c r="M3459" i="11"/>
  <c r="M3460" i="11"/>
  <c r="M3461" i="11"/>
  <c r="M3462" i="11"/>
  <c r="M3463" i="11"/>
  <c r="M3464" i="11"/>
  <c r="M3465" i="11"/>
  <c r="M3466" i="11"/>
  <c r="M3467" i="11"/>
  <c r="M3468" i="11"/>
  <c r="M3469" i="11"/>
  <c r="M3470" i="11"/>
  <c r="M3471" i="11"/>
  <c r="M3472" i="11"/>
  <c r="M3473" i="11"/>
  <c r="M3474" i="11"/>
  <c r="M3475" i="11"/>
  <c r="M3476" i="11"/>
  <c r="M3477" i="11"/>
  <c r="M3478" i="11"/>
  <c r="M3479" i="11"/>
  <c r="M3480" i="11"/>
  <c r="M3481" i="11"/>
  <c r="M3482" i="11"/>
  <c r="M3483" i="11"/>
  <c r="M3484" i="11"/>
  <c r="M3485" i="11"/>
  <c r="M3486" i="11"/>
  <c r="M3487" i="11"/>
  <c r="M3488" i="11"/>
  <c r="M3489" i="11"/>
  <c r="M3490" i="11"/>
  <c r="M3491" i="11"/>
  <c r="M3492" i="11"/>
  <c r="M3493" i="11"/>
  <c r="M3494" i="11"/>
  <c r="M3495" i="11"/>
  <c r="M3496" i="11"/>
  <c r="M3497" i="11"/>
  <c r="M3498" i="11"/>
  <c r="M3499" i="11"/>
  <c r="M3500" i="11"/>
  <c r="M3501" i="11"/>
  <c r="M3502" i="11"/>
  <c r="M3503" i="11"/>
  <c r="M3504" i="11"/>
  <c r="M3505" i="11"/>
  <c r="M3506" i="11"/>
  <c r="M3507" i="11"/>
  <c r="M3508" i="11"/>
  <c r="M3509" i="11"/>
  <c r="M3510" i="11"/>
  <c r="M3511" i="11"/>
  <c r="M3512" i="11"/>
  <c r="M3513" i="11"/>
  <c r="M3514" i="11"/>
  <c r="M3515" i="11"/>
  <c r="M3516" i="11"/>
  <c r="M3517" i="11"/>
  <c r="M3518" i="11"/>
  <c r="M3519" i="11"/>
  <c r="M3520" i="11"/>
  <c r="M3521" i="11"/>
  <c r="M3522" i="11"/>
  <c r="M3523" i="11"/>
  <c r="M3524" i="11"/>
  <c r="M3525" i="11"/>
  <c r="M3526" i="11"/>
  <c r="M3527" i="11"/>
  <c r="M3528" i="11"/>
  <c r="M3529" i="11"/>
  <c r="M3530" i="11"/>
  <c r="M3531" i="11"/>
  <c r="M3532" i="11"/>
  <c r="M3533" i="11"/>
  <c r="M3534" i="11"/>
  <c r="M3535" i="11"/>
  <c r="M3536" i="11"/>
  <c r="M3537" i="11"/>
  <c r="M3538" i="11"/>
  <c r="M3539" i="11"/>
  <c r="M3540" i="11"/>
  <c r="M3541" i="11"/>
  <c r="M3542" i="11"/>
  <c r="M3543" i="11"/>
  <c r="M3544" i="11"/>
  <c r="M3545" i="11"/>
  <c r="M3546" i="11"/>
  <c r="M3547" i="11"/>
  <c r="M3548" i="11"/>
  <c r="M3549" i="11"/>
  <c r="M3550" i="11"/>
  <c r="M3551" i="11"/>
  <c r="M3552" i="11"/>
  <c r="M3553" i="11"/>
  <c r="M3554" i="11"/>
  <c r="M3555" i="11"/>
  <c r="M3556" i="11"/>
  <c r="M3557" i="11"/>
  <c r="M3558" i="11"/>
  <c r="M3559" i="11"/>
  <c r="M3560" i="11"/>
  <c r="M3561" i="11"/>
  <c r="M3562" i="11"/>
  <c r="M3563" i="11"/>
  <c r="M3564" i="11"/>
  <c r="M3565" i="11"/>
  <c r="M3566" i="11"/>
  <c r="M3567" i="11"/>
  <c r="M3568" i="11"/>
  <c r="M3569" i="11"/>
  <c r="M3570" i="11"/>
  <c r="M3571" i="11"/>
  <c r="M3572" i="11"/>
  <c r="M3573" i="11"/>
  <c r="M3574" i="11"/>
  <c r="M3575" i="11"/>
  <c r="M3576" i="11"/>
  <c r="M3577" i="11"/>
  <c r="M3578" i="11"/>
  <c r="M3579" i="11"/>
  <c r="M3580" i="11"/>
  <c r="M3581" i="11"/>
  <c r="M3582" i="11"/>
  <c r="M3583" i="11"/>
  <c r="M3584" i="11"/>
  <c r="M3585" i="11"/>
  <c r="M3586" i="11"/>
  <c r="M3587" i="11"/>
  <c r="M3588" i="11"/>
  <c r="M3589" i="11"/>
  <c r="M3590" i="11"/>
  <c r="M3591" i="11"/>
  <c r="M3592" i="11"/>
  <c r="M3593" i="11"/>
  <c r="M3594" i="11"/>
  <c r="M3595" i="11"/>
  <c r="M3596" i="11"/>
  <c r="M3597" i="11"/>
  <c r="M3598" i="11"/>
  <c r="M3599" i="11"/>
  <c r="M3600" i="11"/>
  <c r="M3601" i="11"/>
  <c r="M3602" i="11"/>
  <c r="M3603" i="11"/>
  <c r="M3604" i="11"/>
  <c r="M3605" i="11"/>
  <c r="M3606" i="11"/>
  <c r="M3607" i="11"/>
  <c r="M3608" i="11"/>
  <c r="M3609" i="11"/>
  <c r="M3610" i="11"/>
  <c r="M3611" i="11"/>
  <c r="M3612" i="11"/>
  <c r="M3613" i="11"/>
  <c r="M3614" i="11"/>
  <c r="M3615" i="11"/>
  <c r="M3616" i="11"/>
  <c r="M3617" i="11"/>
  <c r="M3618" i="11"/>
  <c r="M3619" i="11"/>
  <c r="M3620" i="11"/>
  <c r="M3621" i="11"/>
  <c r="M3622" i="11"/>
  <c r="M3623" i="11"/>
  <c r="M3624" i="11"/>
  <c r="M3625" i="11"/>
  <c r="M3626" i="11"/>
  <c r="M3627" i="11"/>
  <c r="M3628" i="11"/>
  <c r="M3629" i="11"/>
  <c r="M3630" i="11"/>
  <c r="M3631" i="11"/>
  <c r="M3632" i="11"/>
  <c r="M3633" i="11"/>
  <c r="M3634" i="11"/>
  <c r="M3635" i="11"/>
  <c r="M3636" i="11"/>
  <c r="M3637" i="11"/>
  <c r="M3638" i="11"/>
  <c r="M3639" i="11"/>
  <c r="M3640" i="11"/>
  <c r="M3641" i="11"/>
  <c r="M3642" i="11"/>
  <c r="M3643" i="11"/>
  <c r="M3644" i="11"/>
  <c r="M3645" i="11"/>
  <c r="M3646" i="11"/>
  <c r="M3647" i="11"/>
  <c r="M3648" i="11"/>
  <c r="M3649" i="11"/>
  <c r="M3650" i="11"/>
  <c r="M3651" i="11"/>
  <c r="M3652" i="11"/>
  <c r="M3653" i="11"/>
  <c r="M3654" i="11"/>
  <c r="M3655" i="11"/>
  <c r="M3656" i="11"/>
  <c r="M3657" i="11"/>
  <c r="M3658" i="11"/>
  <c r="M3659" i="11"/>
  <c r="M3660" i="11"/>
  <c r="M3661" i="11"/>
  <c r="M3662" i="11"/>
  <c r="M3663" i="11"/>
  <c r="M3664" i="11"/>
  <c r="M3665" i="11"/>
  <c r="M3666" i="11"/>
  <c r="M3667" i="11"/>
  <c r="M3668" i="11"/>
  <c r="M3669" i="11"/>
  <c r="M3670" i="11"/>
  <c r="M3671" i="11"/>
  <c r="M3672" i="11"/>
  <c r="M3673" i="11"/>
  <c r="M3674" i="11"/>
  <c r="M3675" i="11"/>
  <c r="M3676" i="11"/>
  <c r="M3677" i="11"/>
  <c r="M3678" i="11"/>
  <c r="M3679" i="11"/>
  <c r="M3680" i="11"/>
  <c r="M3681" i="11"/>
  <c r="M3682" i="11"/>
  <c r="M3683" i="11"/>
  <c r="M3684" i="11"/>
  <c r="M3685" i="11"/>
  <c r="M3686" i="11"/>
  <c r="M3687" i="11"/>
  <c r="M3688" i="11"/>
  <c r="M3689" i="11"/>
  <c r="M3690" i="11"/>
  <c r="M3691" i="11"/>
  <c r="M3692" i="11"/>
  <c r="M3693" i="11"/>
  <c r="M3694" i="11"/>
  <c r="M3695" i="11"/>
  <c r="M3696" i="11"/>
  <c r="M3697" i="11"/>
  <c r="M3698" i="11"/>
  <c r="M3699" i="11"/>
  <c r="M3700" i="11"/>
  <c r="M3701" i="11"/>
  <c r="M3702" i="11"/>
  <c r="M3703" i="11"/>
  <c r="M3704" i="11"/>
  <c r="M3705" i="11"/>
  <c r="M3706" i="11"/>
  <c r="M3707" i="11"/>
  <c r="M3708" i="11"/>
  <c r="M3709" i="11"/>
  <c r="M3710" i="11"/>
  <c r="M3711" i="11"/>
  <c r="M3712" i="11"/>
  <c r="M3713" i="11"/>
  <c r="M3714" i="11"/>
  <c r="M3715" i="11"/>
  <c r="M3716" i="11"/>
  <c r="M3717" i="11"/>
  <c r="M3718" i="11"/>
  <c r="M3719" i="11"/>
  <c r="M3720" i="11"/>
  <c r="M3721" i="11"/>
  <c r="M3722" i="11"/>
  <c r="M3723" i="11"/>
  <c r="M3724" i="11"/>
  <c r="M3725" i="11"/>
  <c r="M3726" i="11"/>
  <c r="M3727" i="11"/>
  <c r="M3728" i="11"/>
  <c r="M3729" i="11"/>
  <c r="M3730" i="11"/>
  <c r="M3731" i="11"/>
  <c r="M3732" i="11"/>
  <c r="M3733" i="11"/>
  <c r="M3734" i="11"/>
  <c r="M3735" i="11"/>
  <c r="M3736" i="11"/>
  <c r="M3737" i="11"/>
  <c r="M3738" i="11"/>
  <c r="M3739" i="11"/>
  <c r="M3740" i="11"/>
  <c r="M3741" i="11"/>
  <c r="M3742" i="11"/>
  <c r="M3743" i="11"/>
  <c r="M3744" i="11"/>
  <c r="M3745" i="11"/>
  <c r="M3746" i="11"/>
  <c r="M3747" i="11"/>
  <c r="M3748" i="11"/>
  <c r="M3749" i="11"/>
  <c r="M3750" i="11"/>
  <c r="M3751" i="11"/>
  <c r="M3752" i="11"/>
  <c r="M3753" i="11"/>
  <c r="M3754" i="11"/>
  <c r="M3755" i="11"/>
  <c r="M3756" i="11"/>
  <c r="M3757" i="11"/>
  <c r="M3758" i="11"/>
  <c r="M3759" i="11"/>
  <c r="M3760" i="11"/>
  <c r="M3761" i="11"/>
  <c r="M3762" i="11"/>
  <c r="M3763" i="11"/>
  <c r="M3764" i="11"/>
  <c r="M3765" i="11"/>
  <c r="M3766" i="11"/>
  <c r="M3767" i="11"/>
  <c r="M3768" i="11"/>
  <c r="M3769" i="11"/>
  <c r="M3770" i="11"/>
  <c r="M3771" i="11"/>
  <c r="M3772" i="11"/>
  <c r="M3773" i="11"/>
  <c r="M3774" i="11"/>
  <c r="M3775" i="11"/>
  <c r="M3776" i="11"/>
  <c r="M3777" i="11"/>
  <c r="M3778" i="11"/>
  <c r="M3779" i="11"/>
  <c r="M3780" i="11"/>
  <c r="M3781" i="11"/>
  <c r="M3782" i="11"/>
  <c r="M3783" i="11"/>
  <c r="M3784" i="11"/>
  <c r="M3785" i="11"/>
  <c r="M3786" i="11"/>
  <c r="M3787" i="11"/>
  <c r="M3788" i="11"/>
  <c r="M3789" i="11"/>
  <c r="M3790" i="11"/>
  <c r="M3791" i="11"/>
  <c r="M3792" i="11"/>
  <c r="M3793" i="11"/>
  <c r="M3794" i="11"/>
  <c r="M3795" i="11"/>
  <c r="M3796" i="11"/>
  <c r="M3797" i="11"/>
  <c r="M3798" i="11"/>
  <c r="M3799" i="11"/>
  <c r="M3800" i="11"/>
  <c r="M3801" i="11"/>
  <c r="M3802" i="11"/>
  <c r="M3803" i="11"/>
  <c r="M3804" i="11"/>
  <c r="M3805" i="11"/>
  <c r="M3806" i="11"/>
  <c r="M3807" i="11"/>
  <c r="M3808" i="11"/>
  <c r="M3809" i="11"/>
  <c r="M3810" i="11"/>
  <c r="M3811" i="11"/>
  <c r="M3812" i="11"/>
  <c r="M3813" i="11"/>
  <c r="M3814" i="11"/>
  <c r="M3815" i="11"/>
  <c r="M3816" i="11"/>
  <c r="M3817" i="11"/>
  <c r="M3818" i="11"/>
  <c r="M3819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63" i="11"/>
  <c r="X64" i="11"/>
  <c r="X65" i="11"/>
  <c r="X66" i="11"/>
  <c r="X67" i="11"/>
  <c r="X68" i="11"/>
  <c r="X69" i="11"/>
  <c r="X70" i="11"/>
  <c r="X71" i="11"/>
  <c r="X72" i="11"/>
  <c r="X73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X95" i="11"/>
  <c r="X96" i="11"/>
  <c r="X97" i="11"/>
  <c r="X98" i="11"/>
  <c r="X99" i="11"/>
  <c r="X100" i="11"/>
  <c r="X101" i="11"/>
  <c r="X102" i="11"/>
  <c r="X103" i="11"/>
  <c r="X104" i="11"/>
  <c r="X105" i="11"/>
  <c r="X106" i="11"/>
  <c r="X107" i="11"/>
  <c r="X108" i="11"/>
  <c r="X109" i="11"/>
  <c r="X110" i="11"/>
  <c r="X111" i="11"/>
  <c r="X112" i="11"/>
  <c r="X113" i="11"/>
  <c r="X114" i="11"/>
  <c r="X115" i="11"/>
  <c r="X116" i="11"/>
  <c r="X117" i="11"/>
  <c r="X118" i="11"/>
  <c r="X119" i="11"/>
  <c r="X120" i="11"/>
  <c r="X121" i="11"/>
  <c r="X122" i="11"/>
  <c r="X123" i="11"/>
  <c r="X124" i="11"/>
  <c r="X125" i="11"/>
  <c r="X126" i="11"/>
  <c r="X127" i="11"/>
  <c r="X128" i="11"/>
  <c r="X129" i="11"/>
  <c r="X130" i="11"/>
  <c r="X131" i="11"/>
  <c r="X132" i="11"/>
  <c r="X133" i="11"/>
  <c r="X134" i="11"/>
  <c r="X135" i="11"/>
  <c r="X136" i="11"/>
  <c r="X137" i="11"/>
  <c r="X138" i="11"/>
  <c r="X139" i="11"/>
  <c r="X140" i="11"/>
  <c r="X141" i="11"/>
  <c r="X142" i="11"/>
  <c r="X143" i="11"/>
  <c r="X144" i="11"/>
  <c r="X145" i="11"/>
  <c r="X146" i="11"/>
  <c r="X147" i="11"/>
  <c r="X148" i="11"/>
  <c r="X149" i="11"/>
  <c r="X150" i="11"/>
  <c r="X151" i="11"/>
  <c r="X152" i="11"/>
  <c r="X153" i="11"/>
  <c r="X154" i="11"/>
  <c r="X155" i="11"/>
  <c r="X156" i="11"/>
  <c r="X157" i="11"/>
  <c r="X158" i="11"/>
  <c r="X159" i="11"/>
  <c r="X160" i="11"/>
  <c r="X161" i="11"/>
  <c r="X162" i="11"/>
  <c r="X163" i="11"/>
  <c r="X164" i="11"/>
  <c r="X165" i="11"/>
  <c r="X166" i="11"/>
  <c r="X167" i="11"/>
  <c r="X168" i="11"/>
  <c r="X169" i="11"/>
  <c r="X170" i="11"/>
  <c r="X171" i="11"/>
  <c r="X172" i="11"/>
  <c r="X173" i="11"/>
  <c r="X174" i="11"/>
  <c r="X175" i="11"/>
  <c r="X176" i="11"/>
  <c r="X177" i="11"/>
  <c r="X178" i="11"/>
  <c r="X179" i="11"/>
  <c r="X180" i="11"/>
  <c r="X181" i="11"/>
  <c r="X182" i="11"/>
  <c r="X183" i="11"/>
  <c r="X184" i="11"/>
  <c r="X185" i="11"/>
  <c r="X186" i="11"/>
  <c r="X187" i="11"/>
  <c r="X188" i="11"/>
  <c r="X189" i="11"/>
  <c r="X190" i="11"/>
  <c r="X191" i="11"/>
  <c r="X192" i="11"/>
  <c r="X193" i="11"/>
  <c r="X194" i="11"/>
  <c r="X195" i="11"/>
  <c r="X196" i="11"/>
  <c r="X197" i="11"/>
  <c r="X198" i="11"/>
  <c r="X199" i="11"/>
  <c r="X200" i="11"/>
  <c r="X201" i="11"/>
  <c r="X202" i="11"/>
  <c r="X203" i="11"/>
  <c r="X204" i="11"/>
  <c r="X205" i="11"/>
  <c r="X206" i="11"/>
  <c r="X207" i="11"/>
  <c r="X208" i="11"/>
  <c r="X209" i="11"/>
  <c r="X210" i="11"/>
  <c r="X211" i="11"/>
  <c r="X212" i="11"/>
  <c r="X213" i="11"/>
  <c r="X214" i="11"/>
  <c r="X215" i="11"/>
  <c r="X216" i="11"/>
  <c r="X217" i="11"/>
  <c r="X218" i="11"/>
  <c r="X219" i="11"/>
  <c r="X220" i="11"/>
  <c r="X221" i="11"/>
  <c r="X222" i="11"/>
  <c r="X223" i="11"/>
  <c r="X224" i="11"/>
  <c r="X225" i="11"/>
  <c r="X226" i="11"/>
  <c r="X227" i="11"/>
  <c r="X228" i="11"/>
  <c r="X229" i="11"/>
  <c r="X230" i="11"/>
  <c r="X231" i="11"/>
  <c r="X232" i="11"/>
  <c r="X233" i="11"/>
  <c r="X234" i="11"/>
  <c r="X235" i="11"/>
  <c r="X236" i="11"/>
  <c r="X237" i="11"/>
  <c r="X238" i="11"/>
  <c r="X239" i="11"/>
  <c r="X240" i="11"/>
  <c r="X241" i="11"/>
  <c r="X242" i="11"/>
  <c r="X243" i="11"/>
  <c r="X244" i="11"/>
  <c r="X245" i="11"/>
  <c r="X246" i="11"/>
  <c r="X247" i="11"/>
  <c r="X248" i="11"/>
  <c r="X249" i="11"/>
  <c r="X250" i="11"/>
  <c r="X251" i="11"/>
  <c r="X252" i="11"/>
  <c r="X253" i="11"/>
  <c r="X254" i="11"/>
  <c r="X255" i="11"/>
  <c r="X256" i="11"/>
  <c r="X257" i="11"/>
  <c r="X258" i="11"/>
  <c r="X259" i="11"/>
  <c r="X260" i="11"/>
  <c r="X261" i="11"/>
  <c r="X262" i="11"/>
  <c r="X263" i="11"/>
  <c r="X264" i="11"/>
  <c r="X265" i="11"/>
  <c r="X266" i="11"/>
  <c r="X267" i="11"/>
  <c r="X268" i="11"/>
  <c r="X269" i="11"/>
  <c r="X270" i="11"/>
  <c r="X271" i="11"/>
  <c r="X272" i="11"/>
  <c r="X273" i="11"/>
  <c r="X274" i="11"/>
  <c r="X275" i="11"/>
  <c r="X276" i="11"/>
  <c r="X277" i="11"/>
  <c r="X278" i="11"/>
  <c r="X279" i="11"/>
  <c r="X280" i="11"/>
  <c r="X281" i="11"/>
  <c r="X282" i="11"/>
  <c r="X283" i="11"/>
  <c r="X284" i="11"/>
  <c r="X285" i="11"/>
  <c r="X286" i="11"/>
  <c r="X287" i="11"/>
  <c r="X288" i="11"/>
  <c r="X289" i="11"/>
  <c r="X290" i="11"/>
  <c r="X291" i="11"/>
  <c r="X292" i="11"/>
  <c r="X293" i="11"/>
  <c r="X294" i="11"/>
  <c r="X295" i="11"/>
  <c r="X296" i="11"/>
  <c r="X297" i="11"/>
  <c r="X298" i="11"/>
  <c r="X299" i="11"/>
  <c r="X300" i="11"/>
  <c r="X301" i="11"/>
  <c r="X302" i="11"/>
  <c r="X303" i="11"/>
  <c r="X304" i="11"/>
  <c r="X305" i="11"/>
  <c r="X306" i="11"/>
  <c r="X307" i="11"/>
  <c r="X308" i="11"/>
  <c r="X309" i="11"/>
  <c r="X310" i="11"/>
  <c r="X311" i="11"/>
  <c r="X312" i="11"/>
  <c r="X313" i="11"/>
  <c r="X314" i="11"/>
  <c r="X315" i="11"/>
  <c r="X316" i="11"/>
  <c r="X317" i="11"/>
  <c r="X318" i="11"/>
  <c r="X319" i="11"/>
  <c r="X320" i="11"/>
  <c r="X321" i="11"/>
  <c r="X322" i="11"/>
  <c r="X323" i="11"/>
  <c r="X324" i="11"/>
  <c r="X325" i="11"/>
  <c r="X326" i="11"/>
  <c r="X327" i="11"/>
  <c r="X328" i="11"/>
  <c r="X329" i="11"/>
  <c r="X330" i="11"/>
  <c r="X331" i="11"/>
  <c r="X332" i="11"/>
  <c r="X333" i="11"/>
  <c r="X334" i="11"/>
  <c r="X335" i="11"/>
  <c r="X336" i="11"/>
  <c r="X337" i="11"/>
  <c r="X338" i="11"/>
  <c r="X339" i="11"/>
  <c r="X340" i="11"/>
  <c r="X341" i="11"/>
  <c r="X342" i="11"/>
  <c r="X343" i="11"/>
  <c r="X344" i="11"/>
  <c r="X345" i="11"/>
  <c r="X346" i="11"/>
  <c r="X347" i="11"/>
  <c r="X348" i="11"/>
  <c r="X349" i="11"/>
  <c r="X350" i="11"/>
  <c r="X351" i="11"/>
  <c r="X352" i="11"/>
  <c r="X353" i="11"/>
  <c r="X354" i="11"/>
  <c r="X355" i="11"/>
  <c r="X356" i="11"/>
  <c r="X357" i="11"/>
  <c r="X358" i="11"/>
  <c r="X359" i="11"/>
  <c r="X360" i="11"/>
  <c r="X361" i="11"/>
  <c r="X362" i="11"/>
  <c r="X363" i="11"/>
  <c r="X364" i="11"/>
  <c r="X365" i="11"/>
  <c r="X366" i="11"/>
  <c r="X367" i="11"/>
  <c r="X368" i="11"/>
  <c r="X369" i="11"/>
  <c r="X370" i="11"/>
  <c r="X371" i="11"/>
  <c r="X372" i="11"/>
  <c r="X373" i="11"/>
  <c r="X374" i="11"/>
  <c r="X375" i="11"/>
  <c r="X376" i="11"/>
  <c r="X377" i="11"/>
  <c r="X378" i="11"/>
  <c r="X379" i="11"/>
  <c r="X380" i="11"/>
  <c r="X381" i="11"/>
  <c r="X382" i="11"/>
  <c r="X383" i="11"/>
  <c r="X384" i="11"/>
  <c r="X385" i="11"/>
  <c r="X386" i="11"/>
  <c r="X387" i="11"/>
  <c r="X388" i="11"/>
  <c r="X389" i="11"/>
  <c r="X390" i="11"/>
  <c r="X391" i="11"/>
  <c r="X392" i="11"/>
  <c r="X393" i="11"/>
  <c r="X394" i="11"/>
  <c r="X395" i="11"/>
  <c r="X396" i="11"/>
  <c r="X397" i="11"/>
  <c r="X398" i="11"/>
  <c r="X399" i="11"/>
  <c r="X400" i="11"/>
  <c r="X401" i="11"/>
  <c r="X402" i="11"/>
  <c r="X403" i="11"/>
  <c r="X404" i="11"/>
  <c r="X405" i="11"/>
  <c r="X406" i="11"/>
  <c r="X407" i="11"/>
  <c r="X408" i="11"/>
  <c r="X409" i="11"/>
  <c r="X410" i="11"/>
  <c r="X411" i="11"/>
  <c r="X412" i="11"/>
  <c r="X413" i="11"/>
  <c r="X414" i="11"/>
  <c r="X415" i="11"/>
  <c r="X416" i="11"/>
  <c r="X417" i="11"/>
  <c r="X418" i="11"/>
  <c r="X419" i="11"/>
  <c r="X420" i="11"/>
  <c r="X421" i="11"/>
  <c r="X422" i="11"/>
  <c r="X423" i="11"/>
  <c r="X424" i="11"/>
  <c r="X425" i="11"/>
  <c r="X426" i="11"/>
  <c r="X427" i="11"/>
  <c r="X428" i="11"/>
  <c r="X429" i="11"/>
  <c r="X430" i="11"/>
  <c r="X431" i="11"/>
  <c r="X432" i="11"/>
  <c r="X433" i="11"/>
  <c r="X434" i="11"/>
  <c r="X435" i="11"/>
  <c r="X436" i="11"/>
  <c r="X437" i="11"/>
  <c r="X438" i="11"/>
  <c r="X439" i="11"/>
  <c r="X440" i="11"/>
  <c r="X441" i="11"/>
  <c r="X442" i="11"/>
  <c r="X443" i="11"/>
  <c r="X444" i="11"/>
  <c r="X445" i="11"/>
  <c r="X446" i="11"/>
  <c r="X447" i="11"/>
  <c r="X448" i="11"/>
  <c r="X449" i="11"/>
  <c r="X450" i="11"/>
  <c r="X451" i="11"/>
  <c r="X452" i="11"/>
  <c r="X453" i="11"/>
  <c r="X454" i="11"/>
  <c r="X455" i="11"/>
  <c r="X456" i="11"/>
  <c r="X457" i="11"/>
  <c r="X458" i="11"/>
  <c r="X459" i="11"/>
  <c r="X460" i="11"/>
  <c r="X461" i="11"/>
  <c r="X462" i="11"/>
  <c r="X463" i="11"/>
  <c r="X464" i="11"/>
  <c r="X465" i="11"/>
  <c r="X466" i="11"/>
  <c r="X467" i="11"/>
  <c r="X468" i="11"/>
  <c r="X469" i="11"/>
  <c r="X470" i="11"/>
  <c r="X471" i="11"/>
  <c r="X472" i="11"/>
  <c r="X473" i="11"/>
  <c r="X474" i="11"/>
  <c r="X475" i="11"/>
  <c r="X476" i="11"/>
  <c r="X477" i="11"/>
  <c r="X478" i="11"/>
  <c r="X479" i="11"/>
  <c r="X480" i="11"/>
  <c r="X481" i="11"/>
  <c r="X482" i="11"/>
  <c r="X483" i="11"/>
  <c r="X484" i="11"/>
  <c r="X485" i="11"/>
  <c r="X486" i="11"/>
  <c r="X487" i="11"/>
  <c r="X488" i="11"/>
  <c r="X489" i="11"/>
  <c r="X490" i="11"/>
  <c r="X491" i="11"/>
  <c r="X492" i="11"/>
  <c r="X493" i="11"/>
  <c r="X494" i="11"/>
  <c r="X495" i="11"/>
  <c r="X496" i="11"/>
  <c r="X497" i="11"/>
  <c r="X498" i="11"/>
  <c r="X499" i="11"/>
  <c r="X500" i="11"/>
  <c r="X501" i="11"/>
  <c r="X502" i="11"/>
  <c r="X503" i="11"/>
  <c r="X504" i="11"/>
  <c r="X505" i="11"/>
  <c r="X506" i="11"/>
  <c r="X507" i="11"/>
  <c r="X508" i="11"/>
  <c r="X509" i="11"/>
  <c r="X510" i="11"/>
  <c r="X511" i="11"/>
  <c r="X512" i="11"/>
  <c r="X513" i="11"/>
  <c r="X514" i="11"/>
  <c r="X515" i="11"/>
  <c r="X516" i="11"/>
  <c r="X517" i="11"/>
  <c r="X518" i="11"/>
  <c r="X519" i="11"/>
  <c r="X520" i="11"/>
  <c r="X521" i="11"/>
  <c r="X522" i="11"/>
  <c r="X523" i="11"/>
  <c r="X524" i="11"/>
  <c r="X525" i="11"/>
  <c r="X526" i="11"/>
  <c r="X527" i="11"/>
  <c r="X528" i="11"/>
  <c r="X529" i="11"/>
  <c r="X530" i="11"/>
  <c r="X531" i="11"/>
  <c r="X532" i="11"/>
  <c r="X533" i="11"/>
  <c r="X534" i="11"/>
  <c r="X535" i="11"/>
  <c r="X536" i="11"/>
  <c r="X537" i="11"/>
  <c r="X538" i="11"/>
  <c r="X539" i="11"/>
  <c r="X540" i="11"/>
  <c r="X541" i="11"/>
  <c r="X542" i="11"/>
  <c r="X543" i="11"/>
  <c r="X544" i="11"/>
  <c r="X545" i="11"/>
  <c r="X546" i="11"/>
  <c r="X547" i="11"/>
  <c r="X548" i="11"/>
  <c r="X549" i="11"/>
  <c r="X550" i="11"/>
  <c r="X551" i="11"/>
  <c r="X552" i="11"/>
  <c r="X553" i="11"/>
  <c r="X554" i="11"/>
  <c r="X555" i="11"/>
  <c r="X556" i="11"/>
  <c r="X557" i="11"/>
  <c r="X558" i="11"/>
  <c r="X559" i="11"/>
  <c r="X560" i="11"/>
  <c r="X561" i="11"/>
  <c r="X562" i="11"/>
  <c r="X563" i="11"/>
  <c r="X564" i="11"/>
  <c r="X565" i="11"/>
  <c r="X566" i="11"/>
  <c r="X567" i="11"/>
  <c r="X568" i="11"/>
  <c r="X569" i="11"/>
  <c r="X570" i="11"/>
  <c r="X571" i="11"/>
  <c r="X572" i="11"/>
  <c r="X573" i="11"/>
  <c r="X574" i="11"/>
  <c r="X575" i="11"/>
  <c r="X576" i="11"/>
  <c r="X577" i="11"/>
  <c r="X578" i="11"/>
  <c r="X579" i="11"/>
  <c r="X580" i="11"/>
  <c r="X581" i="11"/>
  <c r="X582" i="11"/>
  <c r="X583" i="11"/>
  <c r="X584" i="11"/>
  <c r="X585" i="11"/>
  <c r="X586" i="11"/>
  <c r="X587" i="11"/>
  <c r="X588" i="11"/>
  <c r="X589" i="11"/>
  <c r="X590" i="11"/>
  <c r="X591" i="11"/>
  <c r="X592" i="11"/>
  <c r="X593" i="11"/>
  <c r="X594" i="11"/>
  <c r="X595" i="11"/>
  <c r="X596" i="11"/>
  <c r="X597" i="11"/>
  <c r="X598" i="11"/>
  <c r="X599" i="11"/>
  <c r="X600" i="11"/>
  <c r="X601" i="11"/>
  <c r="X602" i="11"/>
  <c r="X603" i="11"/>
  <c r="X604" i="11"/>
  <c r="X605" i="11"/>
  <c r="X606" i="11"/>
  <c r="X607" i="11"/>
  <c r="X608" i="11"/>
  <c r="X609" i="11"/>
  <c r="X610" i="11"/>
  <c r="X611" i="11"/>
  <c r="X612" i="11"/>
  <c r="X613" i="11"/>
  <c r="X614" i="11"/>
  <c r="X615" i="11"/>
  <c r="X616" i="11"/>
  <c r="X617" i="11"/>
  <c r="X618" i="11"/>
  <c r="X619" i="11"/>
  <c r="X620" i="11"/>
  <c r="X621" i="11"/>
  <c r="X622" i="11"/>
  <c r="X623" i="11"/>
  <c r="X624" i="11"/>
  <c r="X625" i="11"/>
  <c r="X626" i="11"/>
  <c r="X627" i="11"/>
  <c r="X628" i="11"/>
  <c r="X629" i="11"/>
  <c r="X630" i="11"/>
  <c r="X631" i="11"/>
  <c r="X632" i="11"/>
  <c r="X633" i="11"/>
  <c r="X634" i="11"/>
  <c r="X635" i="11"/>
  <c r="X636" i="11"/>
  <c r="X637" i="11"/>
  <c r="X638" i="11"/>
  <c r="X639" i="11"/>
  <c r="X640" i="11"/>
  <c r="X641" i="11"/>
  <c r="X642" i="11"/>
  <c r="X643" i="11"/>
  <c r="X644" i="11"/>
  <c r="X645" i="11"/>
  <c r="X646" i="11"/>
  <c r="X647" i="11"/>
  <c r="X648" i="11"/>
  <c r="X649" i="11"/>
  <c r="X650" i="11"/>
  <c r="X651" i="11"/>
  <c r="X652" i="11"/>
  <c r="X653" i="11"/>
  <c r="X654" i="11"/>
  <c r="X655" i="11"/>
  <c r="X656" i="11"/>
  <c r="X657" i="11"/>
  <c r="X658" i="11"/>
  <c r="X659" i="11"/>
  <c r="X660" i="11"/>
  <c r="X661" i="11"/>
  <c r="X662" i="11"/>
  <c r="X663" i="11"/>
  <c r="X664" i="11"/>
  <c r="X665" i="11"/>
  <c r="X666" i="11"/>
  <c r="X667" i="11"/>
  <c r="X668" i="11"/>
  <c r="X669" i="11"/>
  <c r="X670" i="11"/>
  <c r="X671" i="11"/>
  <c r="X672" i="11"/>
  <c r="X673" i="11"/>
  <c r="X674" i="11"/>
  <c r="X675" i="11"/>
  <c r="X676" i="11"/>
  <c r="X677" i="11"/>
  <c r="X678" i="11"/>
  <c r="X679" i="11"/>
  <c r="X680" i="11"/>
  <c r="X681" i="11"/>
  <c r="X682" i="11"/>
  <c r="X683" i="11"/>
  <c r="X684" i="11"/>
  <c r="X685" i="11"/>
  <c r="X686" i="11"/>
  <c r="X687" i="11"/>
  <c r="X688" i="11"/>
  <c r="X689" i="11"/>
  <c r="X690" i="11"/>
  <c r="X691" i="11"/>
  <c r="X692" i="11"/>
  <c r="X693" i="11"/>
  <c r="X694" i="11"/>
  <c r="X695" i="11"/>
  <c r="X696" i="11"/>
  <c r="X697" i="11"/>
  <c r="X698" i="11"/>
  <c r="X699" i="11"/>
  <c r="X700" i="11"/>
  <c r="X701" i="11"/>
  <c r="X702" i="11"/>
  <c r="X703" i="11"/>
  <c r="X704" i="11"/>
  <c r="X705" i="11"/>
  <c r="X706" i="11"/>
  <c r="X707" i="11"/>
  <c r="X708" i="11"/>
  <c r="X709" i="11"/>
  <c r="X710" i="11"/>
  <c r="X711" i="11"/>
  <c r="X712" i="11"/>
  <c r="X713" i="11"/>
  <c r="X714" i="11"/>
  <c r="X715" i="11"/>
  <c r="X716" i="11"/>
  <c r="X717" i="11"/>
  <c r="X718" i="11"/>
  <c r="X719" i="11"/>
  <c r="X720" i="11"/>
  <c r="X721" i="11"/>
  <c r="X722" i="11"/>
  <c r="X723" i="11"/>
  <c r="X724" i="11"/>
  <c r="X725" i="11"/>
  <c r="X726" i="11"/>
  <c r="X727" i="11"/>
  <c r="X728" i="11"/>
  <c r="X729" i="11"/>
  <c r="X730" i="11"/>
  <c r="X731" i="11"/>
  <c r="X732" i="11"/>
  <c r="X733" i="11"/>
  <c r="X734" i="11"/>
  <c r="X735" i="11"/>
  <c r="X736" i="11"/>
  <c r="X737" i="11"/>
  <c r="X738" i="11"/>
  <c r="X739" i="11"/>
  <c r="X740" i="11"/>
  <c r="X741" i="11"/>
  <c r="X742" i="11"/>
  <c r="X743" i="11"/>
  <c r="X744" i="11"/>
  <c r="X745" i="11"/>
  <c r="X746" i="11"/>
  <c r="X747" i="11"/>
  <c r="X748" i="11"/>
  <c r="X749" i="11"/>
  <c r="X750" i="11"/>
  <c r="X751" i="11"/>
  <c r="X752" i="11"/>
  <c r="X753" i="11"/>
  <c r="X754" i="11"/>
  <c r="X755" i="11"/>
  <c r="X756" i="11"/>
  <c r="X757" i="11"/>
  <c r="X758" i="11"/>
  <c r="X759" i="11"/>
  <c r="X760" i="11"/>
  <c r="X761" i="11"/>
  <c r="X762" i="11"/>
  <c r="X763" i="11"/>
  <c r="X764" i="11"/>
  <c r="X765" i="11"/>
  <c r="X766" i="11"/>
  <c r="X767" i="11"/>
  <c r="X768" i="11"/>
  <c r="X769" i="11"/>
  <c r="X770" i="11"/>
  <c r="X771" i="11"/>
  <c r="X772" i="11"/>
  <c r="X773" i="11"/>
  <c r="X774" i="11"/>
  <c r="X775" i="11"/>
  <c r="X776" i="11"/>
  <c r="X777" i="11"/>
  <c r="X778" i="11"/>
  <c r="X779" i="11"/>
  <c r="X780" i="11"/>
  <c r="X781" i="11"/>
  <c r="X782" i="11"/>
  <c r="X783" i="11"/>
  <c r="X784" i="11"/>
  <c r="X785" i="11"/>
  <c r="X786" i="11"/>
  <c r="X787" i="11"/>
  <c r="X788" i="11"/>
  <c r="X789" i="11"/>
  <c r="X790" i="11"/>
  <c r="X791" i="11"/>
  <c r="X792" i="11"/>
  <c r="X793" i="11"/>
  <c r="X794" i="11"/>
  <c r="X795" i="11"/>
  <c r="X796" i="11"/>
  <c r="X797" i="11"/>
  <c r="X798" i="11"/>
  <c r="X799" i="11"/>
  <c r="X800" i="11"/>
  <c r="X801" i="11"/>
  <c r="X802" i="11"/>
  <c r="X803" i="11"/>
  <c r="X804" i="11"/>
  <c r="X805" i="11"/>
  <c r="X806" i="11"/>
  <c r="X807" i="11"/>
  <c r="X808" i="11"/>
  <c r="X809" i="11"/>
  <c r="X810" i="11"/>
  <c r="X811" i="11"/>
  <c r="X812" i="11"/>
  <c r="X813" i="11"/>
  <c r="X814" i="11"/>
  <c r="X815" i="11"/>
  <c r="X816" i="11"/>
  <c r="X817" i="11"/>
  <c r="X818" i="11"/>
  <c r="X819" i="11"/>
  <c r="X820" i="11"/>
  <c r="X821" i="11"/>
  <c r="X822" i="11"/>
  <c r="X823" i="11"/>
  <c r="X824" i="11"/>
  <c r="X825" i="11"/>
  <c r="X826" i="11"/>
  <c r="X827" i="11"/>
  <c r="X828" i="11"/>
  <c r="X829" i="11"/>
  <c r="X830" i="11"/>
  <c r="X831" i="11"/>
  <c r="X832" i="11"/>
  <c r="X833" i="11"/>
  <c r="X834" i="11"/>
  <c r="X835" i="11"/>
  <c r="X836" i="11"/>
  <c r="X837" i="11"/>
  <c r="X838" i="11"/>
  <c r="X839" i="11"/>
  <c r="X840" i="11"/>
  <c r="X841" i="11"/>
  <c r="X842" i="11"/>
  <c r="X843" i="11"/>
  <c r="X844" i="11"/>
  <c r="X845" i="11"/>
  <c r="X846" i="11"/>
  <c r="X847" i="11"/>
  <c r="X848" i="11"/>
  <c r="X849" i="11"/>
  <c r="X850" i="11"/>
  <c r="X851" i="11"/>
  <c r="X852" i="11"/>
  <c r="X853" i="11"/>
  <c r="X854" i="11"/>
  <c r="X855" i="11"/>
  <c r="X856" i="11"/>
  <c r="X857" i="11"/>
  <c r="X858" i="11"/>
  <c r="X859" i="11"/>
  <c r="X860" i="11"/>
  <c r="X861" i="11"/>
  <c r="X862" i="11"/>
  <c r="X863" i="11"/>
  <c r="X864" i="11"/>
  <c r="X865" i="11"/>
  <c r="X866" i="11"/>
  <c r="X867" i="11"/>
  <c r="X868" i="11"/>
  <c r="X869" i="11"/>
  <c r="X870" i="11"/>
  <c r="X871" i="11"/>
  <c r="X872" i="11"/>
  <c r="X873" i="11"/>
  <c r="X874" i="11"/>
  <c r="X875" i="11"/>
  <c r="X876" i="11"/>
  <c r="X877" i="11"/>
  <c r="X878" i="11"/>
  <c r="X879" i="11"/>
  <c r="X880" i="11"/>
  <c r="X881" i="11"/>
  <c r="X882" i="11"/>
  <c r="X883" i="11"/>
  <c r="X884" i="11"/>
  <c r="X885" i="11"/>
  <c r="X886" i="11"/>
  <c r="X887" i="11"/>
  <c r="X888" i="11"/>
  <c r="X889" i="11"/>
  <c r="X890" i="11"/>
  <c r="X891" i="11"/>
  <c r="X892" i="11"/>
  <c r="X893" i="11"/>
  <c r="X894" i="11"/>
  <c r="X895" i="11"/>
  <c r="X896" i="11"/>
  <c r="X897" i="11"/>
  <c r="X898" i="11"/>
  <c r="X899" i="11"/>
  <c r="X900" i="11"/>
  <c r="X901" i="11"/>
  <c r="X902" i="11"/>
  <c r="X903" i="11"/>
  <c r="X904" i="11"/>
  <c r="X905" i="11"/>
  <c r="X906" i="11"/>
  <c r="X907" i="11"/>
  <c r="X908" i="11"/>
  <c r="X909" i="11"/>
  <c r="X910" i="11"/>
  <c r="X911" i="11"/>
  <c r="X912" i="11"/>
  <c r="X913" i="11"/>
  <c r="X914" i="11"/>
  <c r="X915" i="11"/>
  <c r="X916" i="11"/>
  <c r="X917" i="11"/>
  <c r="X918" i="11"/>
  <c r="X919" i="11"/>
  <c r="X920" i="11"/>
  <c r="X921" i="11"/>
  <c r="X922" i="11"/>
  <c r="X923" i="11"/>
  <c r="X924" i="11"/>
  <c r="X925" i="11"/>
  <c r="X926" i="11"/>
  <c r="X927" i="11"/>
  <c r="X928" i="11"/>
  <c r="X929" i="11"/>
  <c r="X930" i="11"/>
  <c r="X931" i="11"/>
  <c r="X932" i="11"/>
  <c r="X933" i="11"/>
  <c r="X934" i="11"/>
  <c r="X935" i="11"/>
  <c r="X936" i="11"/>
  <c r="X937" i="11"/>
  <c r="X938" i="11"/>
  <c r="X939" i="11"/>
  <c r="X940" i="11"/>
  <c r="X941" i="11"/>
  <c r="X942" i="11"/>
  <c r="X943" i="11"/>
  <c r="X944" i="11"/>
  <c r="X945" i="11"/>
  <c r="X946" i="11"/>
  <c r="X947" i="11"/>
  <c r="X948" i="11"/>
  <c r="X949" i="11"/>
  <c r="X950" i="11"/>
  <c r="X951" i="11"/>
  <c r="X952" i="11"/>
  <c r="X953" i="11"/>
  <c r="X954" i="11"/>
  <c r="X955" i="11"/>
  <c r="X956" i="11"/>
  <c r="X957" i="11"/>
  <c r="X958" i="11"/>
  <c r="X959" i="11"/>
  <c r="X960" i="11"/>
  <c r="X961" i="11"/>
  <c r="X962" i="11"/>
  <c r="X963" i="11"/>
  <c r="X964" i="11"/>
  <c r="X965" i="11"/>
  <c r="X966" i="11"/>
  <c r="X967" i="11"/>
  <c r="X968" i="11"/>
  <c r="X969" i="11"/>
  <c r="X970" i="11"/>
  <c r="X971" i="11"/>
  <c r="X972" i="11"/>
  <c r="X973" i="11"/>
  <c r="X974" i="11"/>
  <c r="X975" i="11"/>
  <c r="X976" i="11"/>
  <c r="X977" i="11"/>
  <c r="X978" i="11"/>
  <c r="X979" i="11"/>
  <c r="X980" i="11"/>
  <c r="X981" i="11"/>
  <c r="X982" i="11"/>
  <c r="X983" i="11"/>
  <c r="X984" i="11"/>
  <c r="X985" i="11"/>
  <c r="X986" i="11"/>
  <c r="X987" i="11"/>
  <c r="X988" i="11"/>
  <c r="X989" i="11"/>
  <c r="X990" i="11"/>
  <c r="X991" i="11"/>
  <c r="X992" i="11"/>
  <c r="X993" i="11"/>
  <c r="X994" i="11"/>
  <c r="X995" i="11"/>
  <c r="X996" i="11"/>
  <c r="X997" i="11"/>
  <c r="X998" i="11"/>
  <c r="X999" i="11"/>
  <c r="X1000" i="11"/>
  <c r="X1001" i="11"/>
  <c r="X1002" i="11"/>
  <c r="X1003" i="11"/>
  <c r="X1004" i="11"/>
  <c r="X1005" i="11"/>
  <c r="X1006" i="11"/>
  <c r="X1007" i="11"/>
  <c r="X1008" i="11"/>
  <c r="X1009" i="11"/>
  <c r="X1010" i="11"/>
  <c r="X1011" i="11"/>
  <c r="X1012" i="11"/>
  <c r="X1013" i="11"/>
  <c r="X1014" i="11"/>
  <c r="X1015" i="11"/>
  <c r="X1016" i="11"/>
  <c r="X1017" i="11"/>
  <c r="X1018" i="11"/>
  <c r="X1019" i="11"/>
  <c r="X1020" i="11"/>
  <c r="X1021" i="11"/>
  <c r="X1022" i="11"/>
  <c r="X1023" i="11"/>
  <c r="X1024" i="11"/>
  <c r="X1025" i="11"/>
  <c r="X1026" i="11"/>
  <c r="X1027" i="11"/>
  <c r="X1028" i="11"/>
  <c r="X1029" i="11"/>
  <c r="X1030" i="11"/>
  <c r="X1031" i="11"/>
  <c r="X1032" i="11"/>
  <c r="X1033" i="11"/>
  <c r="X1034" i="11"/>
  <c r="X1035" i="11"/>
  <c r="X1036" i="11"/>
  <c r="X1037" i="11"/>
  <c r="X1038" i="11"/>
  <c r="X1039" i="11"/>
  <c r="X1040" i="11"/>
  <c r="X1041" i="11"/>
  <c r="X1042" i="11"/>
  <c r="X1043" i="11"/>
  <c r="X1044" i="11"/>
  <c r="X1045" i="11"/>
  <c r="X1046" i="11"/>
  <c r="X1047" i="11"/>
  <c r="X1048" i="11"/>
  <c r="X1049" i="11"/>
  <c r="X1050" i="11"/>
  <c r="X1051" i="11"/>
  <c r="X1052" i="11"/>
  <c r="X1053" i="11"/>
  <c r="X1054" i="11"/>
  <c r="X1055" i="11"/>
  <c r="X1056" i="11"/>
  <c r="X1057" i="11"/>
  <c r="X1058" i="11"/>
  <c r="X1059" i="11"/>
  <c r="X1060" i="11"/>
  <c r="X1061" i="11"/>
  <c r="X1062" i="11"/>
  <c r="X1063" i="11"/>
  <c r="X1064" i="11"/>
  <c r="X1065" i="11"/>
  <c r="X1066" i="11"/>
  <c r="X1067" i="11"/>
  <c r="X1068" i="11"/>
  <c r="X1069" i="11"/>
  <c r="X1070" i="11"/>
  <c r="X1071" i="11"/>
  <c r="X1072" i="11"/>
  <c r="X1073" i="11"/>
  <c r="X1074" i="11"/>
  <c r="X1075" i="11"/>
  <c r="X1076" i="11"/>
  <c r="X1077" i="11"/>
  <c r="X1078" i="11"/>
  <c r="X1079" i="11"/>
  <c r="X1080" i="11"/>
  <c r="X1081" i="11"/>
  <c r="X1082" i="11"/>
  <c r="X1083" i="11"/>
  <c r="X1084" i="11"/>
  <c r="X1085" i="11"/>
  <c r="X1086" i="11"/>
  <c r="X1087" i="11"/>
  <c r="X1088" i="11"/>
  <c r="X1089" i="11"/>
  <c r="X1090" i="11"/>
  <c r="X1091" i="11"/>
  <c r="X1092" i="11"/>
  <c r="X1093" i="11"/>
  <c r="X1094" i="11"/>
  <c r="X1095" i="11"/>
  <c r="X1096" i="11"/>
  <c r="X1097" i="11"/>
  <c r="X1098" i="11"/>
  <c r="X1099" i="11"/>
  <c r="X1100" i="11"/>
  <c r="X1101" i="11"/>
  <c r="X1102" i="11"/>
  <c r="X1103" i="11"/>
  <c r="X1104" i="11"/>
  <c r="X1105" i="11"/>
  <c r="X1106" i="11"/>
  <c r="X1107" i="11"/>
  <c r="X1108" i="11"/>
  <c r="X1109" i="11"/>
  <c r="X1110" i="11"/>
  <c r="X1111" i="11"/>
  <c r="X1112" i="11"/>
  <c r="X1113" i="11"/>
  <c r="X1114" i="11"/>
  <c r="X1115" i="11"/>
  <c r="X1116" i="11"/>
  <c r="X1117" i="11"/>
  <c r="X1118" i="11"/>
  <c r="X1119" i="11"/>
  <c r="X1120" i="11"/>
  <c r="X1121" i="11"/>
  <c r="X1122" i="11"/>
  <c r="X1123" i="11"/>
  <c r="X1124" i="11"/>
  <c r="X1125" i="11"/>
  <c r="X1126" i="11"/>
  <c r="X1127" i="11"/>
  <c r="X1128" i="11"/>
  <c r="X1129" i="11"/>
  <c r="X1130" i="11"/>
  <c r="X1131" i="11"/>
  <c r="X1132" i="11"/>
  <c r="X1133" i="11"/>
  <c r="X1134" i="11"/>
  <c r="X1135" i="11"/>
  <c r="X1136" i="11"/>
  <c r="X1137" i="11"/>
  <c r="X1138" i="11"/>
  <c r="X1139" i="11"/>
  <c r="X1140" i="11"/>
  <c r="X1141" i="11"/>
  <c r="X1142" i="11"/>
  <c r="X1143" i="11"/>
  <c r="X1144" i="11"/>
  <c r="X1145" i="11"/>
  <c r="X1146" i="11"/>
  <c r="X1147" i="11"/>
  <c r="X1148" i="11"/>
  <c r="X1149" i="11"/>
  <c r="X1150" i="11"/>
  <c r="X1151" i="11"/>
  <c r="X1152" i="11"/>
  <c r="X1153" i="11"/>
  <c r="X1154" i="11"/>
  <c r="X1155" i="11"/>
  <c r="X1156" i="11"/>
  <c r="X1157" i="11"/>
  <c r="X1158" i="11"/>
  <c r="X1159" i="11"/>
  <c r="X1160" i="11"/>
  <c r="X1161" i="11"/>
  <c r="X1162" i="11"/>
  <c r="X1163" i="11"/>
  <c r="X1164" i="11"/>
  <c r="X1165" i="11"/>
  <c r="X1166" i="11"/>
  <c r="X1167" i="11"/>
  <c r="X1168" i="11"/>
  <c r="X1169" i="11"/>
  <c r="X1170" i="11"/>
  <c r="X1171" i="11"/>
  <c r="X1172" i="11"/>
  <c r="X1173" i="11"/>
  <c r="X1174" i="11"/>
  <c r="X1175" i="11"/>
  <c r="X1176" i="11"/>
  <c r="X1177" i="11"/>
  <c r="X1178" i="11"/>
  <c r="X1179" i="11"/>
  <c r="X1180" i="11"/>
  <c r="X1181" i="11"/>
  <c r="X1182" i="11"/>
  <c r="X1183" i="11"/>
  <c r="X1184" i="11"/>
  <c r="X1185" i="11"/>
  <c r="X1186" i="11"/>
  <c r="X1187" i="11"/>
  <c r="X1188" i="11"/>
  <c r="X1189" i="11"/>
  <c r="X1190" i="11"/>
  <c r="X1191" i="11"/>
  <c r="X1192" i="11"/>
  <c r="X1193" i="11"/>
  <c r="X1194" i="11"/>
  <c r="X1195" i="11"/>
  <c r="X1196" i="11"/>
  <c r="X1197" i="11"/>
  <c r="X1198" i="11"/>
  <c r="X1199" i="11"/>
  <c r="X1200" i="11"/>
  <c r="X1201" i="11"/>
  <c r="X1202" i="11"/>
  <c r="X1203" i="11"/>
  <c r="X1204" i="11"/>
  <c r="X1205" i="11"/>
  <c r="X1206" i="11"/>
  <c r="X1207" i="11"/>
  <c r="X1208" i="11"/>
  <c r="X1209" i="11"/>
  <c r="X1210" i="11"/>
  <c r="X1211" i="11"/>
  <c r="X1212" i="11"/>
  <c r="X1213" i="11"/>
  <c r="X1214" i="11"/>
  <c r="X1215" i="11"/>
  <c r="X1216" i="11"/>
  <c r="X1217" i="11"/>
  <c r="X1218" i="11"/>
  <c r="X1219" i="11"/>
  <c r="X1220" i="11"/>
  <c r="X1221" i="11"/>
  <c r="X1222" i="11"/>
  <c r="X1223" i="11"/>
  <c r="X1224" i="11"/>
  <c r="X1225" i="11"/>
  <c r="X1226" i="11"/>
  <c r="X1227" i="11"/>
  <c r="X1228" i="11"/>
  <c r="X1229" i="11"/>
  <c r="X1230" i="11"/>
  <c r="X1231" i="11"/>
  <c r="X1232" i="11"/>
  <c r="X1233" i="11"/>
  <c r="X1234" i="11"/>
  <c r="X1235" i="11"/>
  <c r="X1236" i="11"/>
  <c r="X1237" i="11"/>
  <c r="X1238" i="11"/>
  <c r="X1239" i="11"/>
  <c r="X1240" i="11"/>
  <c r="X1241" i="11"/>
  <c r="X1242" i="11"/>
  <c r="X1243" i="11"/>
  <c r="X1244" i="11"/>
  <c r="X1245" i="11"/>
  <c r="X1246" i="11"/>
  <c r="X1247" i="11"/>
  <c r="X1248" i="11"/>
  <c r="X1249" i="11"/>
  <c r="X1250" i="11"/>
  <c r="X1251" i="11"/>
  <c r="X1252" i="11"/>
  <c r="X1253" i="11"/>
  <c r="X1254" i="11"/>
  <c r="X1255" i="11"/>
  <c r="X1256" i="11"/>
  <c r="X1257" i="11"/>
  <c r="X1258" i="11"/>
  <c r="X1259" i="11"/>
  <c r="X1260" i="11"/>
  <c r="X1261" i="11"/>
  <c r="X1262" i="11"/>
  <c r="X1263" i="11"/>
  <c r="X1264" i="11"/>
  <c r="X1265" i="11"/>
  <c r="X1266" i="11"/>
  <c r="X1267" i="11"/>
  <c r="X1268" i="11"/>
  <c r="X1269" i="11"/>
  <c r="X1270" i="11"/>
  <c r="X1271" i="11"/>
  <c r="X1272" i="11"/>
  <c r="X1273" i="11"/>
  <c r="X1274" i="11"/>
  <c r="X1275" i="11"/>
  <c r="X1276" i="11"/>
  <c r="X1277" i="11"/>
  <c r="X1278" i="11"/>
  <c r="X1279" i="11"/>
  <c r="X1280" i="11"/>
  <c r="X1281" i="11"/>
  <c r="X1282" i="11"/>
  <c r="X1283" i="11"/>
  <c r="X1284" i="11"/>
  <c r="X1285" i="11"/>
  <c r="X1286" i="11"/>
  <c r="X1287" i="11"/>
  <c r="X1288" i="11"/>
  <c r="X1289" i="11"/>
  <c r="X1290" i="11"/>
  <c r="X1291" i="11"/>
  <c r="X1292" i="11"/>
  <c r="X1293" i="11"/>
  <c r="X1294" i="11"/>
  <c r="X1295" i="11"/>
  <c r="X1296" i="11"/>
  <c r="X1297" i="11"/>
  <c r="X1298" i="11"/>
  <c r="X1299" i="11"/>
  <c r="X1300" i="11"/>
  <c r="X1301" i="11"/>
  <c r="X1302" i="11"/>
  <c r="X1303" i="11"/>
  <c r="X1304" i="11"/>
  <c r="X1305" i="11"/>
  <c r="X1306" i="11"/>
  <c r="X1307" i="11"/>
  <c r="X1308" i="11"/>
  <c r="X1309" i="11"/>
  <c r="X1310" i="11"/>
  <c r="X1311" i="11"/>
  <c r="X1312" i="11"/>
  <c r="X1313" i="11"/>
  <c r="X1314" i="11"/>
  <c r="X1315" i="11"/>
  <c r="X1316" i="11"/>
  <c r="X1317" i="11"/>
  <c r="X1318" i="11"/>
  <c r="X1319" i="11"/>
  <c r="X1320" i="11"/>
  <c r="X1321" i="11"/>
  <c r="X1322" i="11"/>
  <c r="X1323" i="11"/>
  <c r="X1324" i="11"/>
  <c r="X1325" i="11"/>
  <c r="X1326" i="11"/>
  <c r="X1327" i="11"/>
  <c r="X1328" i="11"/>
  <c r="X1329" i="11"/>
  <c r="X1330" i="11"/>
  <c r="X1331" i="11"/>
  <c r="X1332" i="11"/>
  <c r="X1333" i="11"/>
  <c r="X1334" i="11"/>
  <c r="X1335" i="11"/>
  <c r="X1336" i="11"/>
  <c r="X1337" i="11"/>
  <c r="X1338" i="11"/>
  <c r="X1339" i="11"/>
  <c r="X1340" i="11"/>
  <c r="X1341" i="11"/>
  <c r="X1342" i="11"/>
  <c r="X1343" i="11"/>
  <c r="X1344" i="11"/>
  <c r="X1345" i="11"/>
  <c r="X1346" i="11"/>
  <c r="X1347" i="11"/>
  <c r="X1348" i="11"/>
  <c r="X1349" i="11"/>
  <c r="X1350" i="11"/>
  <c r="X1351" i="11"/>
  <c r="X1352" i="11"/>
  <c r="X1353" i="11"/>
  <c r="X1354" i="11"/>
  <c r="X1355" i="11"/>
  <c r="X1356" i="11"/>
  <c r="X1357" i="11"/>
  <c r="X1358" i="11"/>
  <c r="X1359" i="11"/>
  <c r="X1360" i="11"/>
  <c r="X1361" i="11"/>
  <c r="X1362" i="11"/>
  <c r="X1363" i="11"/>
  <c r="X1364" i="11"/>
  <c r="X1365" i="11"/>
  <c r="X1366" i="11"/>
  <c r="X1367" i="11"/>
  <c r="X1368" i="11"/>
  <c r="X1369" i="11"/>
  <c r="X1370" i="11"/>
  <c r="X1371" i="11"/>
  <c r="X1372" i="11"/>
  <c r="X1373" i="11"/>
  <c r="X1374" i="11"/>
  <c r="X1375" i="11"/>
  <c r="X1376" i="11"/>
  <c r="X1377" i="11"/>
  <c r="X1378" i="11"/>
  <c r="X1379" i="11"/>
  <c r="X1380" i="11"/>
  <c r="X1381" i="11"/>
  <c r="X1382" i="11"/>
  <c r="X1383" i="11"/>
  <c r="X1384" i="11"/>
  <c r="X1385" i="11"/>
  <c r="X1386" i="11"/>
  <c r="X1387" i="11"/>
  <c r="X1388" i="11"/>
  <c r="X1389" i="11"/>
  <c r="X1390" i="11"/>
  <c r="X1391" i="11"/>
  <c r="X1392" i="11"/>
  <c r="X1393" i="11"/>
  <c r="X1394" i="11"/>
  <c r="X1395" i="11"/>
  <c r="X1396" i="11"/>
  <c r="X1397" i="11"/>
  <c r="X1398" i="11"/>
  <c r="X1399" i="11"/>
  <c r="X1400" i="11"/>
  <c r="X1401" i="11"/>
  <c r="X1402" i="11"/>
  <c r="X1403" i="11"/>
  <c r="X1404" i="11"/>
  <c r="X1405" i="11"/>
  <c r="X1406" i="11"/>
  <c r="X1407" i="11"/>
  <c r="X1408" i="11"/>
  <c r="X1409" i="11"/>
  <c r="X1410" i="11"/>
  <c r="X1411" i="11"/>
  <c r="X1412" i="11"/>
  <c r="X1413" i="11"/>
  <c r="X1414" i="11"/>
  <c r="X1415" i="11"/>
  <c r="X1416" i="11"/>
  <c r="X1417" i="11"/>
  <c r="X1418" i="11"/>
  <c r="X1419" i="11"/>
  <c r="X1420" i="11"/>
  <c r="X1421" i="11"/>
  <c r="X1422" i="11"/>
  <c r="X1423" i="11"/>
  <c r="X1424" i="11"/>
  <c r="X1425" i="11"/>
  <c r="X1426" i="11"/>
  <c r="X1427" i="11"/>
  <c r="X1428" i="11"/>
  <c r="X1429" i="11"/>
  <c r="X1430" i="11"/>
  <c r="X1431" i="11"/>
  <c r="X1432" i="11"/>
  <c r="X1433" i="11"/>
  <c r="X1434" i="11"/>
  <c r="X1435" i="11"/>
  <c r="X1436" i="11"/>
  <c r="X1437" i="11"/>
  <c r="X1438" i="11"/>
  <c r="X1439" i="11"/>
  <c r="X1440" i="11"/>
  <c r="X1441" i="11"/>
  <c r="X1442" i="11"/>
  <c r="X1443" i="11"/>
  <c r="X1444" i="11"/>
  <c r="X1445" i="11"/>
  <c r="X1446" i="11"/>
  <c r="X1447" i="11"/>
  <c r="X1448" i="11"/>
  <c r="X1449" i="11"/>
  <c r="X1450" i="11"/>
  <c r="X1451" i="11"/>
  <c r="X1452" i="11"/>
  <c r="X1453" i="11"/>
  <c r="X1454" i="11"/>
  <c r="X1455" i="11"/>
  <c r="X1456" i="11"/>
  <c r="X1457" i="11"/>
  <c r="X1458" i="11"/>
  <c r="X1459" i="11"/>
  <c r="X1460" i="11"/>
  <c r="X1461" i="11"/>
  <c r="X1462" i="11"/>
  <c r="X1463" i="11"/>
  <c r="X1464" i="11"/>
  <c r="X1465" i="11"/>
  <c r="X1466" i="11"/>
  <c r="X1467" i="11"/>
  <c r="X1468" i="11"/>
  <c r="X1469" i="11"/>
  <c r="X1470" i="11"/>
  <c r="X1471" i="11"/>
  <c r="X1472" i="11"/>
  <c r="X1473" i="11"/>
  <c r="X1474" i="11"/>
  <c r="X1475" i="11"/>
  <c r="X1476" i="11"/>
  <c r="X1477" i="11"/>
  <c r="X1478" i="11"/>
  <c r="X1479" i="11"/>
  <c r="X1480" i="11"/>
  <c r="X1481" i="11"/>
  <c r="X1482" i="11"/>
  <c r="X1483" i="11"/>
  <c r="X1484" i="11"/>
  <c r="X1485" i="11"/>
  <c r="X1486" i="11"/>
  <c r="X1487" i="11"/>
  <c r="X1488" i="11"/>
  <c r="X1489" i="11"/>
  <c r="X1490" i="11"/>
  <c r="X1491" i="11"/>
  <c r="X1492" i="11"/>
  <c r="X1493" i="11"/>
  <c r="X1494" i="11"/>
  <c r="X1495" i="11"/>
  <c r="X1496" i="11"/>
  <c r="X1497" i="11"/>
  <c r="X1498" i="11"/>
  <c r="X1499" i="11"/>
  <c r="X1500" i="11"/>
  <c r="X1501" i="11"/>
  <c r="X1502" i="11"/>
  <c r="X1503" i="11"/>
  <c r="X1504" i="11"/>
  <c r="X1505" i="11"/>
  <c r="X1506" i="11"/>
  <c r="X1507" i="11"/>
  <c r="X1508" i="11"/>
  <c r="X1509" i="11"/>
  <c r="X1510" i="11"/>
  <c r="X1511" i="11"/>
  <c r="X1512" i="11"/>
  <c r="X1513" i="11"/>
  <c r="X1514" i="11"/>
  <c r="X1515" i="11"/>
  <c r="X1516" i="11"/>
  <c r="X1517" i="11"/>
  <c r="X1518" i="11"/>
  <c r="X1519" i="11"/>
  <c r="X1520" i="11"/>
  <c r="X1521" i="11"/>
  <c r="X1522" i="11"/>
  <c r="X1523" i="11"/>
  <c r="X1524" i="11"/>
  <c r="X1525" i="11"/>
  <c r="X1526" i="11"/>
  <c r="X1527" i="11"/>
  <c r="X1528" i="11"/>
  <c r="X1529" i="11"/>
  <c r="X1530" i="11"/>
  <c r="X1531" i="11"/>
  <c r="X1532" i="11"/>
  <c r="X1533" i="11"/>
  <c r="X1534" i="11"/>
  <c r="X1535" i="11"/>
  <c r="X1536" i="11"/>
  <c r="X1537" i="11"/>
  <c r="X1538" i="11"/>
  <c r="X1539" i="11"/>
  <c r="X1540" i="11"/>
  <c r="X1541" i="11"/>
  <c r="X1542" i="11"/>
  <c r="X1543" i="11"/>
  <c r="X1544" i="11"/>
  <c r="X1545" i="11"/>
  <c r="X1546" i="11"/>
  <c r="X1547" i="11"/>
  <c r="X1548" i="11"/>
  <c r="X1549" i="11"/>
  <c r="X1550" i="11"/>
  <c r="X1551" i="11"/>
  <c r="X1552" i="11"/>
  <c r="X1553" i="11"/>
  <c r="X1554" i="11"/>
  <c r="X1555" i="11"/>
  <c r="X1556" i="11"/>
  <c r="X1557" i="11"/>
  <c r="X1558" i="11"/>
  <c r="X1559" i="11"/>
  <c r="X1560" i="11"/>
  <c r="X1561" i="11"/>
  <c r="X1562" i="11"/>
  <c r="X1563" i="11"/>
  <c r="X1564" i="11"/>
  <c r="X1565" i="11"/>
  <c r="X1566" i="11"/>
  <c r="X1567" i="11"/>
  <c r="X1568" i="11"/>
  <c r="X1569" i="11"/>
  <c r="X1570" i="11"/>
  <c r="X1571" i="11"/>
  <c r="X1572" i="11"/>
  <c r="X1573" i="11"/>
  <c r="X1574" i="11"/>
  <c r="X1575" i="11"/>
  <c r="X1576" i="11"/>
  <c r="X1577" i="11"/>
  <c r="X1578" i="11"/>
  <c r="X1579" i="11"/>
  <c r="X1580" i="11"/>
  <c r="X1581" i="11"/>
  <c r="X1582" i="11"/>
  <c r="X1583" i="11"/>
  <c r="X1584" i="11"/>
  <c r="X1585" i="11"/>
  <c r="X1586" i="11"/>
  <c r="X1587" i="11"/>
  <c r="X1588" i="11"/>
  <c r="X1589" i="11"/>
  <c r="X1590" i="11"/>
  <c r="X1591" i="11"/>
  <c r="X1592" i="11"/>
  <c r="X1593" i="11"/>
  <c r="X1594" i="11"/>
  <c r="X1595" i="11"/>
  <c r="X1596" i="11"/>
  <c r="X1597" i="11"/>
  <c r="X1598" i="11"/>
  <c r="X1599" i="11"/>
  <c r="X1600" i="11"/>
  <c r="X1601" i="11"/>
  <c r="X1602" i="11"/>
  <c r="X1603" i="11"/>
  <c r="X1604" i="11"/>
  <c r="X1605" i="11"/>
  <c r="X1606" i="11"/>
  <c r="X1607" i="11"/>
  <c r="X1608" i="11"/>
  <c r="X1609" i="11"/>
  <c r="X1610" i="11"/>
  <c r="X1611" i="11"/>
  <c r="X1612" i="11"/>
  <c r="X1613" i="11"/>
  <c r="X1614" i="11"/>
  <c r="X1615" i="11"/>
  <c r="X1616" i="11"/>
  <c r="X1617" i="11"/>
  <c r="X1618" i="11"/>
  <c r="X1619" i="11"/>
  <c r="X1620" i="11"/>
  <c r="X1621" i="11"/>
  <c r="X1622" i="11"/>
  <c r="X1623" i="11"/>
  <c r="X1624" i="11"/>
  <c r="X1625" i="11"/>
  <c r="X1626" i="11"/>
  <c r="X1627" i="11"/>
  <c r="X1628" i="11"/>
  <c r="X1629" i="11"/>
  <c r="X1630" i="11"/>
  <c r="X1631" i="11"/>
  <c r="X1632" i="11"/>
  <c r="X1633" i="11"/>
  <c r="X1634" i="11"/>
  <c r="X1635" i="11"/>
  <c r="X1636" i="11"/>
  <c r="X1637" i="11"/>
  <c r="X1638" i="11"/>
  <c r="X1639" i="11"/>
  <c r="X1640" i="11"/>
  <c r="X1641" i="11"/>
  <c r="X1642" i="11"/>
  <c r="X1643" i="11"/>
  <c r="X1644" i="11"/>
  <c r="X1645" i="11"/>
  <c r="X1646" i="11"/>
  <c r="X1647" i="11"/>
  <c r="X1648" i="11"/>
  <c r="X1649" i="11"/>
  <c r="X1650" i="11"/>
  <c r="X1651" i="11"/>
  <c r="X1652" i="11"/>
  <c r="X1653" i="11"/>
  <c r="X1654" i="11"/>
  <c r="X1655" i="11"/>
  <c r="X1656" i="11"/>
  <c r="X1657" i="11"/>
  <c r="X1658" i="11"/>
  <c r="X1659" i="11"/>
  <c r="X1660" i="11"/>
  <c r="X1661" i="11"/>
  <c r="X1662" i="11"/>
  <c r="X1663" i="11"/>
  <c r="X1664" i="11"/>
  <c r="X1665" i="11"/>
  <c r="X1666" i="11"/>
  <c r="X1667" i="11"/>
  <c r="X1668" i="11"/>
  <c r="X1669" i="11"/>
  <c r="X1670" i="11"/>
  <c r="X1671" i="11"/>
  <c r="X1672" i="11"/>
  <c r="X1673" i="11"/>
  <c r="X1674" i="11"/>
  <c r="X1675" i="11"/>
  <c r="X1676" i="11"/>
  <c r="X1677" i="11"/>
  <c r="X1678" i="11"/>
  <c r="X1679" i="11"/>
  <c r="X1680" i="11"/>
  <c r="X1681" i="11"/>
  <c r="X1682" i="11"/>
  <c r="X1683" i="11"/>
  <c r="X1684" i="11"/>
  <c r="X1685" i="11"/>
  <c r="X1686" i="11"/>
  <c r="X1687" i="11"/>
  <c r="X1688" i="11"/>
  <c r="X1689" i="11"/>
  <c r="X1690" i="11"/>
  <c r="X1691" i="11"/>
  <c r="X1692" i="11"/>
  <c r="X1693" i="11"/>
  <c r="X1694" i="11"/>
  <c r="X1695" i="11"/>
  <c r="X1696" i="11"/>
  <c r="X1697" i="11"/>
  <c r="X1698" i="11"/>
  <c r="X1699" i="11"/>
  <c r="X1700" i="11"/>
  <c r="X1701" i="11"/>
  <c r="X1702" i="11"/>
  <c r="X1703" i="11"/>
  <c r="X1704" i="11"/>
  <c r="X1705" i="11"/>
  <c r="X1706" i="11"/>
  <c r="X1707" i="11"/>
  <c r="X1708" i="11"/>
  <c r="X1709" i="11"/>
  <c r="X1710" i="11"/>
  <c r="X1711" i="11"/>
  <c r="X1712" i="11"/>
  <c r="X1713" i="11"/>
  <c r="X1714" i="11"/>
  <c r="X1715" i="11"/>
  <c r="X1716" i="11"/>
  <c r="X1717" i="11"/>
  <c r="X1718" i="11"/>
  <c r="X1719" i="11"/>
  <c r="X1720" i="11"/>
  <c r="X1721" i="11"/>
  <c r="X1722" i="11"/>
  <c r="X1723" i="11"/>
  <c r="X1724" i="11"/>
  <c r="X1725" i="11"/>
  <c r="X1726" i="11"/>
  <c r="X1727" i="11"/>
  <c r="X1728" i="11"/>
  <c r="X1729" i="11"/>
  <c r="X1730" i="11"/>
  <c r="X1731" i="11"/>
  <c r="X1732" i="11"/>
  <c r="X1733" i="11"/>
  <c r="X1734" i="11"/>
  <c r="X1735" i="11"/>
  <c r="X1736" i="11"/>
  <c r="X1737" i="11"/>
  <c r="X1738" i="11"/>
  <c r="X1739" i="11"/>
  <c r="X1740" i="11"/>
  <c r="X1741" i="11"/>
  <c r="X1742" i="11"/>
  <c r="X1743" i="11"/>
  <c r="X1744" i="11"/>
  <c r="X1745" i="11"/>
  <c r="X1746" i="11"/>
  <c r="X1747" i="11"/>
  <c r="X1748" i="11"/>
  <c r="X1749" i="11"/>
  <c r="X1750" i="11"/>
  <c r="X1751" i="11"/>
  <c r="X1752" i="11"/>
  <c r="X1753" i="11"/>
  <c r="X1754" i="11"/>
  <c r="X1755" i="11"/>
  <c r="X1756" i="11"/>
  <c r="X1757" i="11"/>
  <c r="X1758" i="11"/>
  <c r="X1759" i="11"/>
  <c r="X1760" i="11"/>
  <c r="X1761" i="11"/>
  <c r="X1762" i="11"/>
  <c r="X1763" i="11"/>
  <c r="X1764" i="11"/>
  <c r="X1765" i="11"/>
  <c r="X1766" i="11"/>
  <c r="X1767" i="11"/>
  <c r="X1768" i="11"/>
  <c r="X1769" i="11"/>
  <c r="X1770" i="11"/>
  <c r="X1771" i="11"/>
  <c r="X1772" i="11"/>
  <c r="X1773" i="11"/>
  <c r="X1774" i="11"/>
  <c r="X1775" i="11"/>
  <c r="X1776" i="11"/>
  <c r="X1777" i="11"/>
  <c r="X1778" i="11"/>
  <c r="X1779" i="11"/>
  <c r="X1780" i="11"/>
  <c r="X1781" i="11"/>
  <c r="X1782" i="11"/>
  <c r="X1783" i="11"/>
  <c r="X1784" i="11"/>
  <c r="X1785" i="11"/>
  <c r="X1786" i="11"/>
  <c r="X1787" i="11"/>
  <c r="X1788" i="11"/>
  <c r="X1789" i="11"/>
  <c r="X1790" i="11"/>
  <c r="X1791" i="11"/>
  <c r="X1792" i="11"/>
  <c r="X1793" i="11"/>
  <c r="X1794" i="11"/>
  <c r="X1795" i="11"/>
  <c r="X1796" i="11"/>
  <c r="X1797" i="11"/>
  <c r="X1798" i="11"/>
  <c r="X1799" i="11"/>
  <c r="X1800" i="11"/>
  <c r="X1801" i="11"/>
  <c r="X1802" i="11"/>
  <c r="X1803" i="11"/>
  <c r="X1804" i="11"/>
  <c r="X1805" i="11"/>
  <c r="X1806" i="11"/>
  <c r="X1807" i="11"/>
  <c r="X1808" i="11"/>
  <c r="X1809" i="11"/>
  <c r="X1810" i="11"/>
  <c r="X1811" i="11"/>
  <c r="X1812" i="11"/>
  <c r="X1813" i="11"/>
  <c r="X1814" i="11"/>
  <c r="X1815" i="11"/>
  <c r="X1816" i="11"/>
  <c r="X1817" i="11"/>
  <c r="X1818" i="11"/>
  <c r="X1819" i="11"/>
  <c r="X1820" i="11"/>
  <c r="X1821" i="11"/>
  <c r="X1822" i="11"/>
  <c r="X1823" i="11"/>
  <c r="X1824" i="11"/>
  <c r="X1825" i="11"/>
  <c r="X1826" i="11"/>
  <c r="X1827" i="11"/>
  <c r="X1828" i="11"/>
  <c r="X1829" i="11"/>
  <c r="X1830" i="11"/>
  <c r="X1831" i="11"/>
  <c r="X1832" i="11"/>
  <c r="X1833" i="11"/>
  <c r="X1834" i="11"/>
  <c r="X1835" i="11"/>
  <c r="X1836" i="11"/>
  <c r="X1837" i="11"/>
  <c r="X1838" i="11"/>
  <c r="X1839" i="11"/>
  <c r="X1840" i="11"/>
  <c r="X1841" i="11"/>
  <c r="X1842" i="11"/>
  <c r="X1843" i="11"/>
  <c r="X1844" i="11"/>
  <c r="X1845" i="11"/>
  <c r="X1846" i="11"/>
  <c r="X1847" i="11"/>
  <c r="X1848" i="11"/>
  <c r="X1849" i="11"/>
  <c r="X1850" i="11"/>
  <c r="X1851" i="11"/>
  <c r="X1852" i="11"/>
  <c r="X1853" i="11"/>
  <c r="X1854" i="11"/>
  <c r="X1855" i="11"/>
  <c r="X1856" i="11"/>
  <c r="X1857" i="11"/>
  <c r="X1858" i="11"/>
  <c r="X1859" i="11"/>
  <c r="X1860" i="11"/>
  <c r="X1861" i="11"/>
  <c r="X1862" i="11"/>
  <c r="X1863" i="11"/>
  <c r="X1864" i="11"/>
  <c r="X1865" i="11"/>
  <c r="X1866" i="11"/>
  <c r="X1867" i="11"/>
  <c r="X1868" i="11"/>
  <c r="X1869" i="11"/>
  <c r="X1870" i="11"/>
  <c r="X1871" i="11"/>
  <c r="X1872" i="11"/>
  <c r="X1873" i="11"/>
  <c r="X1874" i="11"/>
  <c r="X1875" i="11"/>
  <c r="X1876" i="11"/>
  <c r="X1877" i="11"/>
  <c r="X1878" i="11"/>
  <c r="X1879" i="11"/>
  <c r="X1880" i="11"/>
  <c r="X1881" i="11"/>
  <c r="X1882" i="11"/>
  <c r="X1883" i="11"/>
  <c r="X1884" i="11"/>
  <c r="X1885" i="11"/>
  <c r="X1886" i="11"/>
  <c r="X1887" i="11"/>
  <c r="X1888" i="11"/>
  <c r="X1889" i="11"/>
  <c r="X1890" i="11"/>
  <c r="X1891" i="11"/>
  <c r="X1892" i="11"/>
  <c r="X1893" i="11"/>
  <c r="X1894" i="11"/>
  <c r="X1895" i="11"/>
  <c r="X1896" i="11"/>
  <c r="X1897" i="11"/>
  <c r="X1898" i="11"/>
  <c r="X1899" i="11"/>
  <c r="X1900" i="11"/>
  <c r="X1901" i="11"/>
  <c r="X1902" i="11"/>
  <c r="X1903" i="11"/>
  <c r="X1904" i="11"/>
  <c r="X1905" i="11"/>
  <c r="X1906" i="11"/>
  <c r="X1907" i="11"/>
  <c r="X1908" i="11"/>
  <c r="X1909" i="11"/>
  <c r="X1910" i="11"/>
  <c r="X1911" i="11"/>
  <c r="X1912" i="11"/>
  <c r="X1913" i="11"/>
  <c r="X1914" i="11"/>
  <c r="X1915" i="11"/>
  <c r="X1916" i="11"/>
  <c r="X1917" i="11"/>
  <c r="X1918" i="11"/>
  <c r="X1919" i="11"/>
  <c r="X1920" i="11"/>
  <c r="X1921" i="11"/>
  <c r="X1922" i="11"/>
  <c r="X1923" i="11"/>
  <c r="X1924" i="11"/>
  <c r="X1925" i="11"/>
  <c r="X1926" i="11"/>
  <c r="X1927" i="11"/>
  <c r="X1928" i="11"/>
  <c r="X1929" i="11"/>
  <c r="X1930" i="11"/>
  <c r="X1931" i="11"/>
  <c r="X1932" i="11"/>
  <c r="X1933" i="11"/>
  <c r="X1934" i="11"/>
  <c r="X1935" i="11"/>
  <c r="X1936" i="11"/>
  <c r="X1937" i="11"/>
  <c r="X1938" i="11"/>
  <c r="X1939" i="11"/>
  <c r="X1940" i="11"/>
  <c r="X1941" i="11"/>
  <c r="X1942" i="11"/>
  <c r="X1943" i="11"/>
  <c r="X1944" i="11"/>
  <c r="X1945" i="11"/>
  <c r="X1946" i="11"/>
  <c r="X1947" i="11"/>
  <c r="X1948" i="11"/>
  <c r="X1949" i="11"/>
  <c r="X1950" i="11"/>
  <c r="X1951" i="11"/>
  <c r="X1952" i="11"/>
  <c r="X1953" i="11"/>
  <c r="X1954" i="11"/>
  <c r="X1955" i="11"/>
  <c r="X1956" i="11"/>
  <c r="X1957" i="11"/>
  <c r="X1958" i="11"/>
  <c r="X1959" i="11"/>
  <c r="X1960" i="11"/>
  <c r="X1961" i="11"/>
  <c r="X1962" i="11"/>
  <c r="X1963" i="11"/>
  <c r="X1964" i="11"/>
  <c r="X1965" i="11"/>
  <c r="X1966" i="11"/>
  <c r="X1967" i="11"/>
  <c r="X1968" i="11"/>
  <c r="X1969" i="11"/>
  <c r="X1970" i="11"/>
  <c r="X1971" i="11"/>
  <c r="X1972" i="11"/>
  <c r="X1973" i="11"/>
  <c r="X1974" i="11"/>
  <c r="X1975" i="11"/>
  <c r="X1976" i="11"/>
  <c r="X1977" i="11"/>
  <c r="X1978" i="11"/>
  <c r="X1979" i="11"/>
  <c r="X1980" i="11"/>
  <c r="X1981" i="11"/>
  <c r="X1982" i="11"/>
  <c r="X1983" i="11"/>
  <c r="X1984" i="11"/>
  <c r="X1985" i="11"/>
  <c r="X1986" i="11"/>
  <c r="X1987" i="11"/>
  <c r="X1988" i="11"/>
  <c r="X1989" i="11"/>
  <c r="X1990" i="11"/>
  <c r="X1991" i="11"/>
  <c r="X1992" i="11"/>
  <c r="X1993" i="11"/>
  <c r="X1994" i="11"/>
  <c r="X1995" i="11"/>
  <c r="X1996" i="11"/>
  <c r="X1997" i="11"/>
  <c r="X1998" i="11"/>
  <c r="X1999" i="11"/>
  <c r="X2000" i="11"/>
  <c r="X2001" i="11"/>
  <c r="X2002" i="11"/>
  <c r="X2003" i="11"/>
  <c r="X2004" i="11"/>
  <c r="X2005" i="11"/>
  <c r="X2006" i="11"/>
  <c r="X2007" i="11"/>
  <c r="X2008" i="11"/>
  <c r="X2009" i="11"/>
  <c r="X2010" i="11"/>
  <c r="X2011" i="11"/>
  <c r="X2012" i="11"/>
  <c r="X2013" i="11"/>
  <c r="X2014" i="11"/>
  <c r="X2015" i="11"/>
  <c r="X2016" i="11"/>
  <c r="X2017" i="11"/>
  <c r="X2018" i="11"/>
  <c r="X2019" i="11"/>
  <c r="X2020" i="11"/>
  <c r="X2021" i="11"/>
  <c r="X2022" i="11"/>
  <c r="X2023" i="11"/>
  <c r="X2024" i="11"/>
  <c r="X2025" i="11"/>
  <c r="X2026" i="11"/>
  <c r="X2027" i="11"/>
  <c r="X2028" i="11"/>
  <c r="X2029" i="11"/>
  <c r="X2030" i="11"/>
  <c r="X2031" i="11"/>
  <c r="X2032" i="11"/>
  <c r="X2033" i="11"/>
  <c r="X2034" i="11"/>
  <c r="X2035" i="11"/>
  <c r="X2036" i="11"/>
  <c r="X2037" i="11"/>
  <c r="X2038" i="11"/>
  <c r="X2039" i="11"/>
  <c r="X2040" i="11"/>
  <c r="X2041" i="11"/>
  <c r="X2042" i="11"/>
  <c r="X2043" i="11"/>
  <c r="X2044" i="11"/>
  <c r="X2045" i="11"/>
  <c r="X2046" i="11"/>
  <c r="X2047" i="11"/>
  <c r="X2048" i="11"/>
  <c r="X2049" i="11"/>
  <c r="X2050" i="11"/>
  <c r="X2051" i="11"/>
  <c r="X2052" i="11"/>
  <c r="X2053" i="11"/>
  <c r="X2054" i="11"/>
  <c r="X2055" i="11"/>
  <c r="X2056" i="11"/>
  <c r="X2057" i="11"/>
  <c r="X2058" i="11"/>
  <c r="X2059" i="11"/>
  <c r="X2060" i="11"/>
  <c r="X2061" i="11"/>
  <c r="X2062" i="11"/>
  <c r="X2063" i="11"/>
  <c r="X2064" i="11"/>
  <c r="X2065" i="11"/>
  <c r="X2066" i="11"/>
  <c r="X2067" i="11"/>
  <c r="X2068" i="11"/>
  <c r="X2069" i="11"/>
  <c r="X2070" i="11"/>
  <c r="X2071" i="11"/>
  <c r="X2072" i="11"/>
  <c r="X2073" i="11"/>
  <c r="X2074" i="11"/>
  <c r="X2075" i="11"/>
  <c r="X2076" i="11"/>
  <c r="X2077" i="11"/>
  <c r="X2078" i="11"/>
  <c r="X2079" i="11"/>
  <c r="X2080" i="11"/>
  <c r="X2081" i="11"/>
  <c r="X2082" i="11"/>
  <c r="X2083" i="11"/>
  <c r="X2084" i="11"/>
  <c r="X2085" i="11"/>
  <c r="X2086" i="11"/>
  <c r="X2087" i="11"/>
  <c r="X2088" i="11"/>
  <c r="X2089" i="11"/>
  <c r="X2090" i="11"/>
  <c r="X2091" i="11"/>
  <c r="X2092" i="11"/>
  <c r="X2093" i="11"/>
  <c r="X2094" i="11"/>
  <c r="X2095" i="11"/>
  <c r="X2096" i="11"/>
  <c r="X2097" i="11"/>
  <c r="X2098" i="11"/>
  <c r="X2099" i="11"/>
  <c r="X2100" i="11"/>
  <c r="X2101" i="11"/>
  <c r="X2102" i="11"/>
  <c r="X2103" i="11"/>
  <c r="X2104" i="11"/>
  <c r="X2105" i="11"/>
  <c r="X2106" i="11"/>
  <c r="X2107" i="11"/>
  <c r="X2108" i="11"/>
  <c r="X2109" i="11"/>
  <c r="X2110" i="11"/>
  <c r="X2111" i="11"/>
  <c r="X2112" i="11"/>
  <c r="X2113" i="11"/>
  <c r="X2114" i="11"/>
  <c r="X2115" i="11"/>
  <c r="X2116" i="11"/>
  <c r="X2117" i="11"/>
  <c r="X2118" i="11"/>
  <c r="X2119" i="11"/>
  <c r="X2120" i="11"/>
  <c r="X2121" i="11"/>
  <c r="X2122" i="11"/>
  <c r="X2123" i="11"/>
  <c r="X2124" i="11"/>
  <c r="X2125" i="11"/>
  <c r="X2126" i="11"/>
  <c r="X2127" i="11"/>
  <c r="X2128" i="11"/>
  <c r="X2129" i="11"/>
  <c r="X2130" i="11"/>
  <c r="X2131" i="11"/>
  <c r="X2132" i="11"/>
  <c r="X2133" i="11"/>
  <c r="X2134" i="11"/>
  <c r="X2135" i="11"/>
  <c r="X2136" i="11"/>
  <c r="X2137" i="11"/>
  <c r="X2138" i="11"/>
  <c r="X2139" i="11"/>
  <c r="X2140" i="11"/>
  <c r="X2141" i="11"/>
  <c r="X2142" i="11"/>
  <c r="X2143" i="11"/>
  <c r="X2144" i="11"/>
  <c r="X2145" i="11"/>
  <c r="X2146" i="11"/>
  <c r="X2147" i="11"/>
  <c r="X2148" i="11"/>
  <c r="X2149" i="11"/>
  <c r="X2150" i="11"/>
  <c r="X2151" i="11"/>
  <c r="X2152" i="11"/>
  <c r="X2153" i="11"/>
  <c r="X2154" i="11"/>
  <c r="X2155" i="11"/>
  <c r="X2156" i="11"/>
  <c r="X2157" i="11"/>
  <c r="X2158" i="11"/>
  <c r="X2159" i="11"/>
  <c r="X2160" i="11"/>
  <c r="X2161" i="11"/>
  <c r="X2162" i="11"/>
  <c r="X2163" i="11"/>
  <c r="X2164" i="11"/>
  <c r="X2165" i="11"/>
  <c r="X2166" i="11"/>
  <c r="X2167" i="11"/>
  <c r="X2168" i="11"/>
  <c r="X2169" i="11"/>
  <c r="X2170" i="11"/>
  <c r="X2171" i="11"/>
  <c r="X2172" i="11"/>
  <c r="X2173" i="11"/>
  <c r="X2174" i="11"/>
  <c r="X2175" i="11"/>
  <c r="X2176" i="11"/>
  <c r="X2177" i="11"/>
  <c r="X2178" i="11"/>
  <c r="X2179" i="11"/>
  <c r="X2180" i="11"/>
  <c r="X2181" i="11"/>
  <c r="X2182" i="11"/>
  <c r="X2183" i="11"/>
  <c r="X2184" i="11"/>
  <c r="X2185" i="11"/>
  <c r="X2186" i="11"/>
  <c r="X2187" i="11"/>
  <c r="X2188" i="11"/>
  <c r="X2189" i="11"/>
  <c r="X2190" i="11"/>
  <c r="X2191" i="11"/>
  <c r="X2192" i="11"/>
  <c r="X2193" i="11"/>
  <c r="X2194" i="11"/>
  <c r="X2195" i="11"/>
  <c r="X2196" i="11"/>
  <c r="X2197" i="11"/>
  <c r="X2198" i="11"/>
  <c r="X2199" i="11"/>
  <c r="X2200" i="11"/>
  <c r="X2201" i="11"/>
  <c r="X2202" i="11"/>
  <c r="X2203" i="11"/>
  <c r="X2204" i="11"/>
  <c r="X2205" i="11"/>
  <c r="X2206" i="11"/>
  <c r="X2207" i="11"/>
  <c r="X2208" i="11"/>
  <c r="X2209" i="11"/>
  <c r="X2210" i="11"/>
  <c r="X2211" i="11"/>
  <c r="X2212" i="11"/>
  <c r="X2213" i="11"/>
  <c r="X2214" i="11"/>
  <c r="X2215" i="11"/>
  <c r="X2216" i="11"/>
  <c r="X2217" i="11"/>
  <c r="X2218" i="11"/>
  <c r="X2219" i="11"/>
  <c r="X2220" i="11"/>
  <c r="X2221" i="11"/>
  <c r="X2222" i="11"/>
  <c r="X2223" i="11"/>
  <c r="X2224" i="11"/>
  <c r="X2225" i="11"/>
  <c r="X2226" i="11"/>
  <c r="X2227" i="11"/>
  <c r="X2228" i="11"/>
  <c r="X2229" i="11"/>
  <c r="X2230" i="11"/>
  <c r="X2231" i="11"/>
  <c r="X2232" i="11"/>
  <c r="X2233" i="11"/>
  <c r="X2234" i="11"/>
  <c r="X2235" i="11"/>
  <c r="X2236" i="11"/>
  <c r="X2237" i="11"/>
  <c r="X2238" i="11"/>
  <c r="X2239" i="11"/>
  <c r="X2240" i="11"/>
  <c r="X2241" i="11"/>
  <c r="X2242" i="11"/>
  <c r="X2243" i="11"/>
  <c r="X2244" i="11"/>
  <c r="X2245" i="11"/>
  <c r="X2246" i="11"/>
  <c r="X2247" i="11"/>
  <c r="X2248" i="11"/>
  <c r="X2249" i="11"/>
  <c r="X2250" i="11"/>
  <c r="X2251" i="11"/>
  <c r="X2252" i="11"/>
  <c r="X2253" i="11"/>
  <c r="X2254" i="11"/>
  <c r="X2255" i="11"/>
  <c r="X2256" i="11"/>
  <c r="X2257" i="11"/>
  <c r="X2258" i="11"/>
  <c r="X2259" i="11"/>
  <c r="X2260" i="11"/>
  <c r="X2261" i="11"/>
  <c r="X2262" i="11"/>
  <c r="X2263" i="11"/>
  <c r="X2264" i="11"/>
  <c r="X2265" i="11"/>
  <c r="X2266" i="11"/>
  <c r="X2267" i="11"/>
  <c r="X2268" i="11"/>
  <c r="X2269" i="11"/>
  <c r="X2270" i="11"/>
  <c r="X2271" i="11"/>
  <c r="X2272" i="11"/>
  <c r="X2273" i="11"/>
  <c r="X2274" i="11"/>
  <c r="X2275" i="11"/>
  <c r="X2276" i="11"/>
  <c r="X2277" i="11"/>
  <c r="X2278" i="11"/>
  <c r="X2279" i="11"/>
  <c r="X2280" i="11"/>
  <c r="X2281" i="11"/>
  <c r="X2282" i="11"/>
  <c r="X2283" i="11"/>
  <c r="X2284" i="11"/>
  <c r="X2285" i="11"/>
  <c r="X2286" i="11"/>
  <c r="X2287" i="11"/>
  <c r="X2288" i="11"/>
  <c r="X2289" i="11"/>
  <c r="X2290" i="11"/>
  <c r="X2291" i="11"/>
  <c r="X2292" i="11"/>
  <c r="X2293" i="11"/>
  <c r="X2294" i="11"/>
  <c r="X2295" i="11"/>
  <c r="X2296" i="11"/>
  <c r="X2297" i="11"/>
  <c r="X2298" i="11"/>
  <c r="X2299" i="11"/>
  <c r="X2300" i="11"/>
  <c r="X2301" i="11"/>
  <c r="X2302" i="11"/>
  <c r="X2303" i="11"/>
  <c r="X2304" i="11"/>
  <c r="X2305" i="11"/>
  <c r="X2306" i="11"/>
  <c r="X2307" i="11"/>
  <c r="X2308" i="11"/>
  <c r="X2309" i="11"/>
  <c r="X2310" i="11"/>
  <c r="X2311" i="11"/>
  <c r="X2312" i="11"/>
  <c r="X2313" i="11"/>
  <c r="X2314" i="11"/>
  <c r="X2315" i="11"/>
  <c r="X2316" i="11"/>
  <c r="X2317" i="11"/>
  <c r="X2318" i="11"/>
  <c r="X2319" i="11"/>
  <c r="X2320" i="11"/>
  <c r="X2321" i="11"/>
  <c r="X2322" i="11"/>
  <c r="X2323" i="11"/>
  <c r="X2324" i="11"/>
  <c r="X2325" i="11"/>
  <c r="X2326" i="11"/>
  <c r="X2327" i="11"/>
  <c r="X2328" i="11"/>
  <c r="X2329" i="11"/>
  <c r="X2330" i="11"/>
  <c r="X2331" i="11"/>
  <c r="X2332" i="11"/>
  <c r="X2333" i="11"/>
  <c r="X2334" i="11"/>
  <c r="X2335" i="11"/>
  <c r="X2336" i="11"/>
  <c r="X2337" i="11"/>
  <c r="X2338" i="11"/>
  <c r="X2339" i="11"/>
  <c r="X2340" i="11"/>
  <c r="X2341" i="11"/>
  <c r="X2342" i="11"/>
  <c r="X2343" i="11"/>
  <c r="X2344" i="11"/>
  <c r="X2345" i="11"/>
  <c r="X2346" i="11"/>
  <c r="X2347" i="11"/>
  <c r="X2348" i="11"/>
  <c r="X2349" i="11"/>
  <c r="X2350" i="11"/>
  <c r="X2351" i="11"/>
  <c r="X2352" i="11"/>
  <c r="X2353" i="11"/>
  <c r="X2354" i="11"/>
  <c r="X2355" i="11"/>
  <c r="X2356" i="11"/>
  <c r="X2357" i="11"/>
  <c r="X2358" i="11"/>
  <c r="X2359" i="11"/>
  <c r="X2360" i="11"/>
  <c r="X2361" i="11"/>
  <c r="X2362" i="11"/>
  <c r="X2363" i="11"/>
  <c r="X2364" i="11"/>
  <c r="X2365" i="11"/>
  <c r="X2366" i="11"/>
  <c r="X2367" i="11"/>
  <c r="X2368" i="11"/>
  <c r="X2369" i="11"/>
  <c r="X2370" i="11"/>
  <c r="X2371" i="11"/>
  <c r="X2372" i="11"/>
  <c r="X2373" i="11"/>
  <c r="X2374" i="11"/>
  <c r="X2375" i="11"/>
  <c r="X2376" i="11"/>
  <c r="X2377" i="11"/>
  <c r="X2378" i="11"/>
  <c r="X2379" i="11"/>
  <c r="X2380" i="11"/>
  <c r="X2381" i="11"/>
  <c r="X2382" i="11"/>
  <c r="X2383" i="11"/>
  <c r="X2384" i="11"/>
  <c r="X2385" i="11"/>
  <c r="X2386" i="11"/>
  <c r="X2387" i="11"/>
  <c r="X2388" i="11"/>
  <c r="X2389" i="11"/>
  <c r="X2390" i="11"/>
  <c r="X2391" i="11"/>
  <c r="X2392" i="11"/>
  <c r="X2393" i="11"/>
  <c r="X2394" i="11"/>
  <c r="X2395" i="11"/>
  <c r="X2396" i="11"/>
  <c r="X2397" i="11"/>
  <c r="X2398" i="11"/>
  <c r="X2399" i="11"/>
  <c r="X2400" i="11"/>
  <c r="X2401" i="11"/>
  <c r="X2402" i="11"/>
  <c r="X2403" i="11"/>
  <c r="X2404" i="11"/>
  <c r="X2405" i="11"/>
  <c r="X2406" i="11"/>
  <c r="X2407" i="11"/>
  <c r="X2408" i="11"/>
  <c r="X2409" i="11"/>
  <c r="X2410" i="11"/>
  <c r="X2411" i="11"/>
  <c r="X2412" i="11"/>
  <c r="X2413" i="11"/>
  <c r="X2414" i="11"/>
  <c r="X2415" i="11"/>
  <c r="X2416" i="11"/>
  <c r="X2417" i="11"/>
  <c r="X2418" i="11"/>
  <c r="X2419" i="11"/>
  <c r="X2420" i="11"/>
  <c r="X2421" i="11"/>
  <c r="X2422" i="11"/>
  <c r="X2423" i="11"/>
  <c r="X2424" i="11"/>
  <c r="X2425" i="11"/>
  <c r="X2426" i="11"/>
  <c r="X2427" i="11"/>
  <c r="X2428" i="11"/>
  <c r="X2429" i="11"/>
  <c r="X2430" i="11"/>
  <c r="X2431" i="11"/>
  <c r="X2432" i="11"/>
  <c r="X2433" i="11"/>
  <c r="X2434" i="11"/>
  <c r="X2435" i="11"/>
  <c r="X2436" i="11"/>
  <c r="X2437" i="11"/>
  <c r="X2438" i="11"/>
  <c r="X2439" i="11"/>
  <c r="X2440" i="11"/>
  <c r="X2441" i="11"/>
  <c r="X2442" i="11"/>
  <c r="X2443" i="11"/>
  <c r="X2444" i="11"/>
  <c r="X2445" i="11"/>
  <c r="X2446" i="11"/>
  <c r="X2447" i="11"/>
  <c r="X2448" i="11"/>
  <c r="X2449" i="11"/>
  <c r="X2450" i="11"/>
  <c r="X2451" i="11"/>
  <c r="X2452" i="11"/>
  <c r="X2453" i="11"/>
  <c r="X2454" i="11"/>
  <c r="X2455" i="11"/>
  <c r="X2456" i="11"/>
  <c r="X2457" i="11"/>
  <c r="X2458" i="11"/>
  <c r="X2459" i="11"/>
  <c r="X2460" i="11"/>
  <c r="X2461" i="11"/>
  <c r="X2462" i="11"/>
  <c r="X2463" i="11"/>
  <c r="X2464" i="11"/>
  <c r="X2465" i="11"/>
  <c r="X2466" i="11"/>
  <c r="X2467" i="11"/>
  <c r="X2468" i="11"/>
  <c r="X2469" i="11"/>
  <c r="X2470" i="11"/>
  <c r="X2471" i="11"/>
  <c r="X2472" i="11"/>
  <c r="X2473" i="11"/>
  <c r="X2474" i="11"/>
  <c r="X2475" i="11"/>
  <c r="X2476" i="11"/>
  <c r="X2477" i="11"/>
  <c r="X2478" i="11"/>
  <c r="X2479" i="11"/>
  <c r="X2480" i="11"/>
  <c r="X2481" i="11"/>
  <c r="X2482" i="11"/>
  <c r="X2483" i="11"/>
  <c r="X2484" i="11"/>
  <c r="X2485" i="11"/>
  <c r="X2486" i="11"/>
  <c r="X2487" i="11"/>
  <c r="X2488" i="11"/>
  <c r="X2489" i="11"/>
  <c r="X2490" i="11"/>
  <c r="X2491" i="11"/>
  <c r="X2492" i="11"/>
  <c r="X2493" i="11"/>
  <c r="X2494" i="11"/>
  <c r="X2495" i="11"/>
  <c r="X2496" i="11"/>
  <c r="X2497" i="11"/>
  <c r="X2498" i="11"/>
  <c r="X2499" i="11"/>
  <c r="X2500" i="11"/>
  <c r="X2501" i="11"/>
  <c r="X2502" i="11"/>
  <c r="X2503" i="11"/>
  <c r="X2504" i="11"/>
  <c r="X2505" i="11"/>
  <c r="X2506" i="11"/>
  <c r="X2507" i="11"/>
  <c r="X2508" i="11"/>
  <c r="X2509" i="11"/>
  <c r="X2510" i="11"/>
  <c r="X2511" i="11"/>
  <c r="X2512" i="11"/>
  <c r="X2513" i="11"/>
  <c r="X2514" i="11"/>
  <c r="X2515" i="11"/>
  <c r="X2516" i="11"/>
  <c r="X2517" i="11"/>
  <c r="X2518" i="11"/>
  <c r="X2519" i="11"/>
  <c r="X2520" i="11"/>
  <c r="X2521" i="11"/>
  <c r="X2522" i="11"/>
  <c r="X2523" i="11"/>
  <c r="X2524" i="11"/>
  <c r="X2525" i="11"/>
  <c r="X2526" i="11"/>
  <c r="X2527" i="11"/>
  <c r="X2528" i="11"/>
  <c r="X2529" i="11"/>
  <c r="X2530" i="11"/>
  <c r="X2531" i="11"/>
  <c r="X2532" i="11"/>
  <c r="X2533" i="11"/>
  <c r="X2534" i="11"/>
  <c r="X2535" i="11"/>
  <c r="X2536" i="11"/>
  <c r="X2537" i="11"/>
  <c r="X2538" i="11"/>
  <c r="X2539" i="11"/>
  <c r="X2540" i="11"/>
  <c r="X2541" i="11"/>
  <c r="X2542" i="11"/>
  <c r="X2543" i="11"/>
  <c r="X2544" i="11"/>
  <c r="X2545" i="11"/>
  <c r="X2546" i="11"/>
  <c r="X2547" i="11"/>
  <c r="X2548" i="11"/>
  <c r="X2549" i="11"/>
  <c r="X2550" i="11"/>
  <c r="X2551" i="11"/>
  <c r="X2552" i="11"/>
  <c r="X2553" i="11"/>
  <c r="X2554" i="11"/>
  <c r="X2555" i="11"/>
  <c r="X2556" i="11"/>
  <c r="X2557" i="11"/>
  <c r="X2558" i="11"/>
  <c r="X2559" i="11"/>
  <c r="X2560" i="11"/>
  <c r="X2561" i="11"/>
  <c r="X2562" i="11"/>
  <c r="X2563" i="11"/>
  <c r="X2564" i="11"/>
  <c r="X2565" i="11"/>
  <c r="X2566" i="11"/>
  <c r="X2567" i="11"/>
  <c r="X2568" i="11"/>
  <c r="X2569" i="11"/>
  <c r="X2570" i="11"/>
  <c r="X2571" i="11"/>
  <c r="X2572" i="11"/>
  <c r="X2573" i="11"/>
  <c r="X2574" i="11"/>
  <c r="X2575" i="11"/>
  <c r="X2576" i="11"/>
  <c r="X2577" i="11"/>
  <c r="X2578" i="11"/>
  <c r="X2579" i="11"/>
  <c r="X2580" i="11"/>
  <c r="X2581" i="11"/>
  <c r="X2582" i="11"/>
  <c r="X2583" i="11"/>
  <c r="X2584" i="11"/>
  <c r="X2585" i="11"/>
  <c r="X2586" i="11"/>
  <c r="X2587" i="11"/>
  <c r="X2588" i="11"/>
  <c r="X2589" i="11"/>
  <c r="X2590" i="11"/>
  <c r="X2591" i="11"/>
  <c r="X2592" i="11"/>
  <c r="X2593" i="11"/>
  <c r="X2594" i="11"/>
  <c r="X2595" i="11"/>
  <c r="X2596" i="11"/>
  <c r="X2597" i="11"/>
  <c r="X2598" i="11"/>
  <c r="X2599" i="11"/>
  <c r="X2600" i="11"/>
  <c r="X2601" i="11"/>
  <c r="X2602" i="11"/>
  <c r="X2603" i="11"/>
  <c r="X2604" i="11"/>
  <c r="X2605" i="11"/>
  <c r="X2606" i="11"/>
  <c r="X2607" i="11"/>
  <c r="X2608" i="11"/>
  <c r="X2609" i="11"/>
  <c r="X2610" i="11"/>
  <c r="X2611" i="11"/>
  <c r="X2612" i="11"/>
  <c r="X2613" i="11"/>
  <c r="X2614" i="11"/>
  <c r="X2615" i="11"/>
  <c r="X2616" i="11"/>
  <c r="X2617" i="11"/>
  <c r="X2618" i="11"/>
  <c r="X2619" i="11"/>
  <c r="X2620" i="11"/>
  <c r="X2621" i="11"/>
  <c r="X2622" i="11"/>
  <c r="X2623" i="11"/>
  <c r="X2624" i="11"/>
  <c r="X2625" i="11"/>
  <c r="X2626" i="11"/>
  <c r="X2627" i="11"/>
  <c r="X2628" i="11"/>
  <c r="X2629" i="11"/>
  <c r="X2630" i="11"/>
  <c r="X2631" i="11"/>
  <c r="X2632" i="11"/>
  <c r="X2633" i="11"/>
  <c r="X2634" i="11"/>
  <c r="X2635" i="11"/>
  <c r="X2636" i="11"/>
  <c r="X2637" i="11"/>
  <c r="X2638" i="11"/>
  <c r="X2639" i="11"/>
  <c r="X2640" i="11"/>
  <c r="X2641" i="11"/>
  <c r="X2642" i="11"/>
  <c r="X2643" i="11"/>
  <c r="X2644" i="11"/>
  <c r="X2645" i="11"/>
  <c r="X2646" i="11"/>
  <c r="X2647" i="11"/>
  <c r="X2648" i="11"/>
  <c r="X2649" i="11"/>
  <c r="X2650" i="11"/>
  <c r="X2651" i="11"/>
  <c r="X2652" i="11"/>
  <c r="X2653" i="11"/>
  <c r="X2654" i="11"/>
  <c r="X2655" i="11"/>
  <c r="X2656" i="11"/>
  <c r="X2657" i="11"/>
  <c r="X2658" i="11"/>
  <c r="X2659" i="11"/>
  <c r="X2660" i="11"/>
  <c r="X2661" i="11"/>
  <c r="X2662" i="11"/>
  <c r="X2663" i="11"/>
  <c r="X2664" i="11"/>
  <c r="X2665" i="11"/>
  <c r="X2666" i="11"/>
  <c r="X2667" i="11"/>
  <c r="X2668" i="11"/>
  <c r="X2669" i="11"/>
  <c r="X2670" i="11"/>
  <c r="X2671" i="11"/>
  <c r="X2672" i="11"/>
  <c r="X2673" i="11"/>
  <c r="X2674" i="11"/>
  <c r="X2675" i="11"/>
  <c r="X2676" i="11"/>
  <c r="X2677" i="11"/>
  <c r="X2678" i="11"/>
  <c r="X2679" i="11"/>
  <c r="X2680" i="11"/>
  <c r="X2681" i="11"/>
  <c r="X2682" i="11"/>
  <c r="X2683" i="11"/>
  <c r="X2684" i="11"/>
  <c r="X2685" i="11"/>
  <c r="X2686" i="11"/>
  <c r="X2687" i="11"/>
  <c r="X2688" i="11"/>
  <c r="X2689" i="11"/>
  <c r="X2690" i="11"/>
  <c r="X2691" i="11"/>
  <c r="X2692" i="11"/>
  <c r="X2693" i="11"/>
  <c r="X2694" i="11"/>
  <c r="X2695" i="11"/>
  <c r="X2696" i="11"/>
  <c r="X2697" i="11"/>
  <c r="X2698" i="11"/>
  <c r="X2699" i="11"/>
  <c r="X2700" i="11"/>
  <c r="X2701" i="11"/>
  <c r="X2702" i="11"/>
  <c r="X2703" i="11"/>
  <c r="X2704" i="11"/>
  <c r="X2705" i="11"/>
  <c r="X2706" i="11"/>
  <c r="X2707" i="11"/>
  <c r="X2708" i="11"/>
  <c r="X2709" i="11"/>
  <c r="X2710" i="11"/>
  <c r="X2711" i="11"/>
  <c r="X2712" i="11"/>
  <c r="X2713" i="11"/>
  <c r="X2714" i="11"/>
  <c r="X2715" i="11"/>
  <c r="X2716" i="11"/>
  <c r="X2717" i="11"/>
  <c r="X2718" i="11"/>
  <c r="X2719" i="11"/>
  <c r="X2720" i="11"/>
  <c r="X2721" i="11"/>
  <c r="X2722" i="11"/>
  <c r="X2723" i="11"/>
  <c r="X2724" i="11"/>
  <c r="X2725" i="11"/>
  <c r="X2726" i="11"/>
  <c r="X2727" i="11"/>
  <c r="X2728" i="11"/>
  <c r="X2729" i="11"/>
  <c r="X2730" i="11"/>
  <c r="X2731" i="11"/>
  <c r="X2732" i="11"/>
  <c r="X2733" i="11"/>
  <c r="X2734" i="11"/>
  <c r="X2735" i="11"/>
  <c r="X2736" i="11"/>
  <c r="X2737" i="11"/>
  <c r="X2738" i="11"/>
  <c r="X2739" i="11"/>
  <c r="X2740" i="11"/>
  <c r="X2741" i="11"/>
  <c r="X2742" i="11"/>
  <c r="X2743" i="11"/>
  <c r="X2744" i="11"/>
  <c r="X2745" i="11"/>
  <c r="X2746" i="11"/>
  <c r="X2747" i="11"/>
  <c r="X2748" i="11"/>
  <c r="X2749" i="11"/>
  <c r="X2750" i="11"/>
  <c r="X2751" i="11"/>
  <c r="X2752" i="11"/>
  <c r="X2753" i="11"/>
  <c r="X2754" i="11"/>
  <c r="X2755" i="11"/>
  <c r="X2756" i="11"/>
  <c r="X2757" i="11"/>
  <c r="X2758" i="11"/>
  <c r="X2759" i="11"/>
  <c r="X2760" i="11"/>
  <c r="X2761" i="11"/>
  <c r="X2762" i="11"/>
  <c r="X2763" i="11"/>
  <c r="X2764" i="11"/>
  <c r="X2765" i="11"/>
  <c r="X2766" i="11"/>
  <c r="X2767" i="11"/>
  <c r="X2768" i="11"/>
  <c r="X2769" i="11"/>
  <c r="X2770" i="11"/>
  <c r="X2771" i="11"/>
  <c r="X2772" i="11"/>
  <c r="X2773" i="11"/>
  <c r="X2774" i="11"/>
  <c r="X2775" i="11"/>
  <c r="X2776" i="11"/>
  <c r="X2777" i="11"/>
  <c r="X2778" i="11"/>
  <c r="X2779" i="11"/>
  <c r="X2780" i="11"/>
  <c r="X2781" i="11"/>
  <c r="X2782" i="11"/>
  <c r="X2783" i="11"/>
  <c r="X2784" i="11"/>
  <c r="X2785" i="11"/>
  <c r="X2786" i="11"/>
  <c r="X2787" i="11"/>
  <c r="X2788" i="11"/>
  <c r="X2789" i="11"/>
  <c r="X2790" i="11"/>
  <c r="X2791" i="11"/>
  <c r="X2792" i="11"/>
  <c r="X2793" i="11"/>
  <c r="X2794" i="11"/>
  <c r="X2795" i="11"/>
  <c r="X2796" i="11"/>
  <c r="X2797" i="11"/>
  <c r="X2798" i="11"/>
  <c r="X2799" i="11"/>
  <c r="X2800" i="11"/>
  <c r="X2801" i="11"/>
  <c r="X2802" i="11"/>
  <c r="X2803" i="11"/>
  <c r="X2804" i="11"/>
  <c r="X2805" i="11"/>
  <c r="X2806" i="11"/>
  <c r="X2807" i="11"/>
  <c r="X2808" i="11"/>
  <c r="X2809" i="11"/>
  <c r="X2810" i="11"/>
  <c r="X2811" i="11"/>
  <c r="X2812" i="11"/>
  <c r="X2813" i="11"/>
  <c r="X2814" i="11"/>
  <c r="X2815" i="11"/>
  <c r="X2816" i="11"/>
  <c r="X2817" i="11"/>
  <c r="X2818" i="11"/>
  <c r="X2819" i="11"/>
  <c r="X2820" i="11"/>
  <c r="X2821" i="11"/>
  <c r="X2822" i="11"/>
  <c r="X2823" i="11"/>
  <c r="X2824" i="11"/>
  <c r="X2825" i="11"/>
  <c r="X2826" i="11"/>
  <c r="X2827" i="11"/>
  <c r="X2828" i="11"/>
  <c r="X2829" i="11"/>
  <c r="X2830" i="11"/>
  <c r="X2831" i="11"/>
  <c r="X2832" i="11"/>
  <c r="X2833" i="11"/>
  <c r="X2834" i="11"/>
  <c r="X2835" i="11"/>
  <c r="X2836" i="11"/>
  <c r="X2837" i="11"/>
  <c r="X2838" i="11"/>
  <c r="X2839" i="11"/>
  <c r="X2840" i="11"/>
  <c r="X2841" i="11"/>
  <c r="X2842" i="11"/>
  <c r="X2843" i="11"/>
  <c r="X2844" i="11"/>
  <c r="X2845" i="11"/>
  <c r="X2846" i="11"/>
  <c r="X2847" i="11"/>
  <c r="X2848" i="11"/>
  <c r="X2849" i="11"/>
  <c r="X2850" i="11"/>
  <c r="X2851" i="11"/>
  <c r="X2852" i="11"/>
  <c r="X2853" i="11"/>
  <c r="X2854" i="11"/>
  <c r="X2855" i="11"/>
  <c r="X2856" i="11"/>
  <c r="X2857" i="11"/>
  <c r="X2858" i="11"/>
  <c r="X2859" i="11"/>
  <c r="X2860" i="11"/>
  <c r="X2861" i="11"/>
  <c r="X2862" i="11"/>
  <c r="X2863" i="11"/>
  <c r="X2864" i="11"/>
  <c r="X2865" i="11"/>
  <c r="X2866" i="11"/>
  <c r="X2867" i="11"/>
  <c r="X2868" i="11"/>
  <c r="X2869" i="11"/>
  <c r="X2870" i="11"/>
  <c r="X2871" i="11"/>
  <c r="X2872" i="11"/>
  <c r="X2873" i="11"/>
  <c r="X2874" i="11"/>
  <c r="X2875" i="11"/>
  <c r="X2876" i="11"/>
  <c r="X2877" i="11"/>
  <c r="X2878" i="11"/>
  <c r="X2879" i="11"/>
  <c r="X2880" i="11"/>
  <c r="X2881" i="11"/>
  <c r="X2882" i="11"/>
  <c r="X2883" i="11"/>
  <c r="X2884" i="11"/>
  <c r="X2885" i="11"/>
  <c r="X2886" i="11"/>
  <c r="X2887" i="11"/>
  <c r="X2888" i="11"/>
  <c r="X2889" i="11"/>
  <c r="X2890" i="11"/>
  <c r="X2891" i="11"/>
  <c r="X2892" i="11"/>
  <c r="X2893" i="11"/>
  <c r="X2894" i="11"/>
  <c r="X2895" i="11"/>
  <c r="X2896" i="11"/>
  <c r="X2897" i="11"/>
  <c r="X2898" i="11"/>
  <c r="X2899" i="11"/>
  <c r="X2900" i="11"/>
  <c r="X2901" i="11"/>
  <c r="X2902" i="11"/>
  <c r="X2903" i="11"/>
  <c r="X2904" i="11"/>
  <c r="X2905" i="11"/>
  <c r="X2906" i="11"/>
  <c r="X2907" i="11"/>
  <c r="X2908" i="11"/>
  <c r="X2909" i="11"/>
  <c r="X2910" i="11"/>
  <c r="X2911" i="11"/>
  <c r="X2912" i="11"/>
  <c r="X2913" i="11"/>
  <c r="X2914" i="11"/>
  <c r="X2915" i="11"/>
  <c r="X2916" i="11"/>
  <c r="X2917" i="11"/>
  <c r="X2918" i="11"/>
  <c r="X2919" i="11"/>
  <c r="X2920" i="11"/>
  <c r="X2921" i="11"/>
  <c r="X2922" i="11"/>
  <c r="X2923" i="11"/>
  <c r="X2924" i="11"/>
  <c r="X2925" i="11"/>
  <c r="X2926" i="11"/>
  <c r="X2927" i="11"/>
  <c r="X2928" i="11"/>
  <c r="X2929" i="11"/>
  <c r="X2930" i="11"/>
  <c r="X2931" i="11"/>
  <c r="X2932" i="11"/>
  <c r="X2933" i="11"/>
  <c r="X2934" i="11"/>
  <c r="X2935" i="11"/>
  <c r="X2936" i="11"/>
  <c r="X2937" i="11"/>
  <c r="X2938" i="11"/>
  <c r="X2939" i="11"/>
  <c r="X2940" i="11"/>
  <c r="X2941" i="11"/>
  <c r="X2942" i="11"/>
  <c r="X2943" i="11"/>
  <c r="X2944" i="11"/>
  <c r="X2945" i="11"/>
  <c r="X2946" i="11"/>
  <c r="X2947" i="11"/>
  <c r="X2948" i="11"/>
  <c r="X2949" i="11"/>
  <c r="X2950" i="11"/>
  <c r="X2951" i="11"/>
  <c r="X2952" i="11"/>
  <c r="X2953" i="11"/>
  <c r="X2954" i="11"/>
  <c r="X2955" i="11"/>
  <c r="X2956" i="11"/>
  <c r="X2957" i="11"/>
  <c r="X2958" i="11"/>
  <c r="X2959" i="11"/>
  <c r="X2960" i="11"/>
  <c r="X2961" i="11"/>
  <c r="X2962" i="11"/>
  <c r="X2963" i="11"/>
  <c r="X2964" i="11"/>
  <c r="X2965" i="11"/>
  <c r="X2966" i="11"/>
  <c r="X2967" i="11"/>
  <c r="X2968" i="11"/>
  <c r="X2969" i="11"/>
  <c r="X2970" i="11"/>
  <c r="X2971" i="11"/>
  <c r="X2972" i="11"/>
  <c r="X2973" i="11"/>
  <c r="X2974" i="11"/>
  <c r="X2975" i="11"/>
  <c r="X2976" i="11"/>
  <c r="X2977" i="11"/>
  <c r="X2978" i="11"/>
  <c r="X2979" i="11"/>
  <c r="X2980" i="11"/>
  <c r="X2981" i="11"/>
  <c r="X2982" i="11"/>
  <c r="X2983" i="11"/>
  <c r="X2984" i="11"/>
  <c r="X2985" i="11"/>
  <c r="X2986" i="11"/>
  <c r="X2987" i="11"/>
  <c r="X2988" i="11"/>
  <c r="X2989" i="11"/>
  <c r="X2990" i="11"/>
  <c r="X2991" i="11"/>
  <c r="X2992" i="11"/>
  <c r="X2993" i="11"/>
  <c r="X2994" i="11"/>
  <c r="X2995" i="11"/>
  <c r="X2996" i="11"/>
  <c r="X2997" i="11"/>
  <c r="X2998" i="11"/>
  <c r="X2999" i="11"/>
  <c r="X3000" i="11"/>
  <c r="X3001" i="11"/>
  <c r="X3002" i="11"/>
  <c r="X3003" i="11"/>
  <c r="X3004" i="11"/>
  <c r="X3005" i="11"/>
  <c r="X3006" i="11"/>
  <c r="X3007" i="11"/>
  <c r="X3008" i="11"/>
  <c r="X3009" i="11"/>
  <c r="X3010" i="11"/>
  <c r="X3011" i="11"/>
  <c r="X3012" i="11"/>
  <c r="X3013" i="11"/>
  <c r="X3014" i="11"/>
  <c r="X3015" i="11"/>
  <c r="X3016" i="11"/>
  <c r="X3017" i="11"/>
  <c r="X3018" i="11"/>
  <c r="X3019" i="11"/>
  <c r="X3020" i="11"/>
  <c r="X3021" i="11"/>
  <c r="X3022" i="11"/>
  <c r="X3023" i="11"/>
  <c r="X3024" i="11"/>
  <c r="X3025" i="11"/>
  <c r="X3026" i="11"/>
  <c r="X3027" i="11"/>
  <c r="X3028" i="11"/>
  <c r="X3029" i="11"/>
  <c r="X3030" i="11"/>
  <c r="X3031" i="11"/>
  <c r="X3032" i="11"/>
  <c r="X3033" i="11"/>
  <c r="X3034" i="11"/>
  <c r="X3035" i="11"/>
  <c r="X3036" i="11"/>
  <c r="X3037" i="11"/>
  <c r="X3038" i="11"/>
  <c r="X3039" i="11"/>
  <c r="X3040" i="11"/>
  <c r="X3041" i="11"/>
  <c r="X3042" i="11"/>
  <c r="X3043" i="11"/>
  <c r="X3044" i="11"/>
  <c r="X3045" i="11"/>
  <c r="X3046" i="11"/>
  <c r="X3047" i="11"/>
  <c r="X3048" i="11"/>
  <c r="X3049" i="11"/>
  <c r="X3050" i="11"/>
  <c r="X3051" i="11"/>
  <c r="X3052" i="11"/>
  <c r="X3053" i="11"/>
  <c r="X3054" i="11"/>
  <c r="X3055" i="11"/>
  <c r="X3056" i="11"/>
  <c r="X3057" i="11"/>
  <c r="X3058" i="11"/>
  <c r="X3059" i="11"/>
  <c r="X3060" i="11"/>
  <c r="X3061" i="11"/>
  <c r="X3062" i="11"/>
  <c r="X3063" i="11"/>
  <c r="X3064" i="11"/>
  <c r="X3065" i="11"/>
  <c r="X3066" i="11"/>
  <c r="X3067" i="11"/>
  <c r="X3068" i="11"/>
  <c r="X3069" i="11"/>
  <c r="X3070" i="11"/>
  <c r="X3071" i="11"/>
  <c r="X3072" i="11"/>
  <c r="X3073" i="11"/>
  <c r="X3074" i="11"/>
  <c r="X3075" i="11"/>
  <c r="X3076" i="11"/>
  <c r="X3077" i="11"/>
  <c r="X3078" i="11"/>
  <c r="X3079" i="11"/>
  <c r="X3080" i="11"/>
  <c r="X3081" i="11"/>
  <c r="X3082" i="11"/>
  <c r="X3083" i="11"/>
  <c r="X3084" i="11"/>
  <c r="X3085" i="11"/>
  <c r="X3086" i="11"/>
  <c r="X3087" i="11"/>
  <c r="X3088" i="11"/>
  <c r="X3089" i="11"/>
  <c r="X3090" i="11"/>
  <c r="X3091" i="11"/>
  <c r="X3092" i="11"/>
  <c r="X3093" i="11"/>
  <c r="X3094" i="11"/>
  <c r="X3095" i="11"/>
  <c r="X3096" i="11"/>
  <c r="X3097" i="11"/>
  <c r="X3098" i="11"/>
  <c r="X3099" i="11"/>
  <c r="X3100" i="11"/>
  <c r="X3101" i="11"/>
  <c r="X3102" i="11"/>
  <c r="X3103" i="11"/>
  <c r="X3104" i="11"/>
  <c r="X3105" i="11"/>
  <c r="X3106" i="11"/>
  <c r="X3107" i="11"/>
  <c r="X3108" i="11"/>
  <c r="X3109" i="11"/>
  <c r="X3110" i="11"/>
  <c r="X3111" i="11"/>
  <c r="X3112" i="11"/>
  <c r="X3113" i="11"/>
  <c r="X3114" i="11"/>
  <c r="X3115" i="11"/>
  <c r="X3116" i="11"/>
  <c r="X3117" i="11"/>
  <c r="X3118" i="11"/>
  <c r="X3119" i="11"/>
  <c r="X3120" i="11"/>
  <c r="X3121" i="11"/>
  <c r="X3122" i="11"/>
  <c r="X3123" i="11"/>
  <c r="X3124" i="11"/>
  <c r="X3125" i="11"/>
  <c r="X3126" i="11"/>
  <c r="X3127" i="11"/>
  <c r="X3128" i="11"/>
  <c r="X3129" i="11"/>
  <c r="X3130" i="11"/>
  <c r="X3131" i="11"/>
  <c r="X3132" i="11"/>
  <c r="X3133" i="11"/>
  <c r="X3134" i="11"/>
  <c r="X3135" i="11"/>
  <c r="X3136" i="11"/>
  <c r="X3137" i="11"/>
  <c r="X3138" i="11"/>
  <c r="X3139" i="11"/>
  <c r="X3140" i="11"/>
  <c r="X3141" i="11"/>
  <c r="X3142" i="11"/>
  <c r="X3143" i="11"/>
  <c r="X3144" i="11"/>
  <c r="X3145" i="11"/>
  <c r="X3146" i="11"/>
  <c r="X3147" i="11"/>
  <c r="X3148" i="11"/>
  <c r="X3149" i="11"/>
  <c r="X3150" i="11"/>
  <c r="X3151" i="11"/>
  <c r="X3152" i="11"/>
  <c r="X3153" i="11"/>
  <c r="X3154" i="11"/>
  <c r="X3155" i="11"/>
  <c r="X3156" i="11"/>
  <c r="X3157" i="11"/>
  <c r="X3158" i="11"/>
  <c r="X3159" i="11"/>
  <c r="X3160" i="11"/>
  <c r="X3161" i="11"/>
  <c r="X3162" i="11"/>
  <c r="X3163" i="11"/>
  <c r="X3164" i="11"/>
  <c r="X3165" i="11"/>
  <c r="X3166" i="11"/>
  <c r="X3167" i="11"/>
  <c r="X3168" i="11"/>
  <c r="X3169" i="11"/>
  <c r="X3170" i="11"/>
  <c r="X3171" i="11"/>
  <c r="X3172" i="11"/>
  <c r="X3173" i="11"/>
  <c r="X3174" i="11"/>
  <c r="X3175" i="11"/>
  <c r="X3176" i="11"/>
  <c r="X3177" i="11"/>
  <c r="X3178" i="11"/>
  <c r="X3179" i="11"/>
  <c r="X3180" i="11"/>
  <c r="X3181" i="11"/>
  <c r="X3182" i="11"/>
  <c r="X3183" i="11"/>
  <c r="X3184" i="11"/>
  <c r="X3185" i="11"/>
  <c r="X3186" i="11"/>
  <c r="X3187" i="11"/>
  <c r="X3188" i="11"/>
  <c r="X3189" i="11"/>
  <c r="X3190" i="11"/>
  <c r="X3191" i="11"/>
  <c r="X3192" i="11"/>
  <c r="X3193" i="11"/>
  <c r="X3194" i="11"/>
  <c r="X3195" i="11"/>
  <c r="X3196" i="11"/>
  <c r="X3197" i="11"/>
  <c r="X3198" i="11"/>
  <c r="X3199" i="11"/>
  <c r="X3200" i="11"/>
  <c r="X3201" i="11"/>
  <c r="X3202" i="11"/>
  <c r="X3203" i="11"/>
  <c r="X3204" i="11"/>
  <c r="X3205" i="11"/>
  <c r="X3206" i="11"/>
  <c r="X3207" i="11"/>
  <c r="X3208" i="11"/>
  <c r="X3209" i="11"/>
  <c r="X3210" i="11"/>
  <c r="X3211" i="11"/>
  <c r="X3212" i="11"/>
  <c r="X3213" i="11"/>
  <c r="X3214" i="11"/>
  <c r="X3215" i="11"/>
  <c r="X3216" i="11"/>
  <c r="X3217" i="11"/>
  <c r="X3218" i="11"/>
  <c r="X3219" i="11"/>
  <c r="X3220" i="11"/>
  <c r="X3221" i="11"/>
  <c r="X3222" i="11"/>
  <c r="X3223" i="11"/>
  <c r="X3224" i="11"/>
  <c r="X3225" i="11"/>
  <c r="X3226" i="11"/>
  <c r="X3227" i="11"/>
  <c r="X3228" i="11"/>
  <c r="X3229" i="11"/>
  <c r="X3230" i="11"/>
  <c r="X3231" i="11"/>
  <c r="X3232" i="11"/>
  <c r="X3233" i="11"/>
  <c r="X3234" i="11"/>
  <c r="X3235" i="11"/>
  <c r="X3236" i="11"/>
  <c r="X3237" i="11"/>
  <c r="X3238" i="11"/>
  <c r="X3239" i="11"/>
  <c r="X3240" i="11"/>
  <c r="X3241" i="11"/>
  <c r="X3242" i="11"/>
  <c r="X3243" i="11"/>
  <c r="X3244" i="11"/>
  <c r="X3245" i="11"/>
  <c r="X3246" i="11"/>
  <c r="X3247" i="11"/>
  <c r="X3248" i="11"/>
  <c r="X3249" i="11"/>
  <c r="X3250" i="11"/>
  <c r="X3251" i="11"/>
  <c r="X3252" i="11"/>
  <c r="X3253" i="11"/>
  <c r="X3254" i="11"/>
  <c r="X3255" i="11"/>
  <c r="X3256" i="11"/>
  <c r="X3257" i="11"/>
  <c r="X3258" i="11"/>
  <c r="X3259" i="11"/>
  <c r="X3260" i="11"/>
  <c r="X3261" i="11"/>
  <c r="X3262" i="11"/>
  <c r="X3263" i="11"/>
  <c r="X3264" i="11"/>
  <c r="X3265" i="11"/>
  <c r="X3266" i="11"/>
  <c r="X3267" i="11"/>
  <c r="X3268" i="11"/>
  <c r="X3269" i="11"/>
  <c r="X3270" i="11"/>
  <c r="X3271" i="11"/>
  <c r="X3272" i="11"/>
  <c r="X3273" i="11"/>
  <c r="X3274" i="11"/>
  <c r="X3275" i="11"/>
  <c r="X3276" i="11"/>
  <c r="X3277" i="11"/>
  <c r="X3278" i="11"/>
  <c r="X3279" i="11"/>
  <c r="X3280" i="11"/>
  <c r="X3281" i="11"/>
  <c r="X3282" i="11"/>
  <c r="X3283" i="11"/>
  <c r="X3284" i="11"/>
  <c r="X3285" i="11"/>
  <c r="X3286" i="11"/>
  <c r="X3287" i="11"/>
  <c r="X3288" i="11"/>
  <c r="X3289" i="11"/>
  <c r="X3290" i="11"/>
  <c r="X3291" i="11"/>
  <c r="X3292" i="11"/>
  <c r="X3293" i="11"/>
  <c r="X3294" i="11"/>
  <c r="X3295" i="11"/>
  <c r="X3296" i="11"/>
  <c r="X3297" i="11"/>
  <c r="X3298" i="11"/>
  <c r="X3299" i="11"/>
  <c r="X3300" i="11"/>
  <c r="X3301" i="11"/>
  <c r="X3302" i="11"/>
  <c r="X3303" i="11"/>
  <c r="X3304" i="11"/>
  <c r="X3305" i="11"/>
  <c r="X3306" i="11"/>
  <c r="X3307" i="11"/>
  <c r="X3308" i="11"/>
  <c r="X3309" i="11"/>
  <c r="X3310" i="11"/>
  <c r="X3311" i="11"/>
  <c r="X3312" i="11"/>
  <c r="X3313" i="11"/>
  <c r="X3314" i="11"/>
  <c r="X3315" i="11"/>
  <c r="X3316" i="11"/>
  <c r="X3317" i="11"/>
  <c r="X3318" i="11"/>
  <c r="X3319" i="11"/>
  <c r="X3320" i="11"/>
  <c r="X3321" i="11"/>
  <c r="X3322" i="11"/>
  <c r="X3323" i="11"/>
  <c r="X3324" i="11"/>
  <c r="X3325" i="11"/>
  <c r="X3326" i="11"/>
  <c r="X3327" i="11"/>
  <c r="X3328" i="11"/>
  <c r="X3329" i="11"/>
  <c r="X3330" i="11"/>
  <c r="X3331" i="11"/>
  <c r="X3332" i="11"/>
  <c r="X3333" i="11"/>
  <c r="X3334" i="11"/>
  <c r="X3335" i="11"/>
  <c r="X3336" i="11"/>
  <c r="X3337" i="11"/>
  <c r="X3338" i="11"/>
  <c r="X3339" i="11"/>
  <c r="X3340" i="11"/>
  <c r="X3341" i="11"/>
  <c r="X3342" i="11"/>
  <c r="X3343" i="11"/>
  <c r="X3344" i="11"/>
  <c r="X3345" i="11"/>
  <c r="X3346" i="11"/>
  <c r="X3347" i="11"/>
  <c r="X3348" i="11"/>
  <c r="X3349" i="11"/>
  <c r="X3350" i="11"/>
  <c r="X3351" i="11"/>
  <c r="X3352" i="11"/>
  <c r="X3353" i="11"/>
  <c r="X3354" i="11"/>
  <c r="X3355" i="11"/>
  <c r="X3356" i="11"/>
  <c r="X3357" i="11"/>
  <c r="X3358" i="11"/>
  <c r="X3359" i="11"/>
  <c r="X3360" i="11"/>
  <c r="X3361" i="11"/>
  <c r="X3362" i="11"/>
  <c r="X3363" i="11"/>
  <c r="X3364" i="11"/>
  <c r="X3365" i="11"/>
  <c r="X3366" i="11"/>
  <c r="X3367" i="11"/>
  <c r="X3368" i="11"/>
  <c r="X3369" i="11"/>
  <c r="X3370" i="11"/>
  <c r="X3371" i="11"/>
  <c r="X3372" i="11"/>
  <c r="X3373" i="11"/>
  <c r="X3374" i="11"/>
  <c r="X3375" i="11"/>
  <c r="X3376" i="11"/>
  <c r="X3377" i="11"/>
  <c r="X3378" i="11"/>
  <c r="X3379" i="11"/>
  <c r="X3380" i="11"/>
  <c r="X3381" i="11"/>
  <c r="X3382" i="11"/>
  <c r="X3383" i="11"/>
  <c r="X3384" i="11"/>
  <c r="X3385" i="11"/>
  <c r="X3386" i="11"/>
  <c r="X3387" i="11"/>
  <c r="X3388" i="11"/>
  <c r="X3389" i="11"/>
  <c r="X3390" i="11"/>
  <c r="X3391" i="11"/>
  <c r="X3392" i="11"/>
  <c r="X3393" i="11"/>
  <c r="X3394" i="11"/>
  <c r="X3395" i="11"/>
  <c r="X3396" i="11"/>
  <c r="X3397" i="11"/>
  <c r="X3398" i="11"/>
  <c r="X3399" i="11"/>
  <c r="X3400" i="11"/>
  <c r="X3401" i="11"/>
  <c r="X3402" i="11"/>
  <c r="X3403" i="11"/>
  <c r="X3404" i="11"/>
  <c r="X3405" i="11"/>
  <c r="X3406" i="11"/>
  <c r="X3407" i="11"/>
  <c r="X3408" i="11"/>
  <c r="X3409" i="11"/>
  <c r="X3410" i="11"/>
  <c r="X3411" i="11"/>
  <c r="X3412" i="11"/>
  <c r="X3413" i="11"/>
  <c r="X3414" i="11"/>
  <c r="X3415" i="11"/>
  <c r="X3416" i="11"/>
  <c r="X3417" i="11"/>
  <c r="X3418" i="11"/>
  <c r="X3419" i="11"/>
  <c r="X3420" i="11"/>
  <c r="X3421" i="11"/>
  <c r="X3422" i="11"/>
  <c r="X3423" i="11"/>
  <c r="X3424" i="11"/>
  <c r="X3425" i="11"/>
  <c r="X3426" i="11"/>
  <c r="X3427" i="11"/>
  <c r="X3428" i="11"/>
  <c r="X3429" i="11"/>
  <c r="X3430" i="11"/>
  <c r="X3431" i="11"/>
  <c r="X3432" i="11"/>
  <c r="X3433" i="11"/>
  <c r="X3434" i="11"/>
  <c r="X3435" i="11"/>
  <c r="X3436" i="11"/>
  <c r="X3437" i="11"/>
  <c r="X3438" i="11"/>
  <c r="X3439" i="11"/>
  <c r="X3440" i="11"/>
  <c r="X3441" i="11"/>
  <c r="X3442" i="11"/>
  <c r="X3443" i="11"/>
  <c r="X3444" i="11"/>
  <c r="X3445" i="11"/>
  <c r="X3446" i="11"/>
  <c r="X3447" i="11"/>
  <c r="X3448" i="11"/>
  <c r="X3449" i="11"/>
  <c r="X3450" i="11"/>
  <c r="X3451" i="11"/>
  <c r="X3452" i="11"/>
  <c r="X3453" i="11"/>
  <c r="X3454" i="11"/>
  <c r="X3455" i="11"/>
  <c r="X3456" i="11"/>
  <c r="X3457" i="11"/>
  <c r="X3458" i="11"/>
  <c r="X3459" i="11"/>
  <c r="X3460" i="11"/>
  <c r="X3461" i="11"/>
  <c r="X3462" i="11"/>
  <c r="X3463" i="11"/>
  <c r="X3464" i="11"/>
  <c r="X3465" i="11"/>
  <c r="X3466" i="11"/>
  <c r="X3467" i="11"/>
  <c r="X3468" i="11"/>
  <c r="X3469" i="11"/>
  <c r="X3470" i="11"/>
  <c r="X3471" i="11"/>
  <c r="X3472" i="11"/>
  <c r="X3473" i="11"/>
  <c r="X3474" i="11"/>
  <c r="X3475" i="11"/>
  <c r="X3476" i="11"/>
  <c r="X3477" i="11"/>
  <c r="X3478" i="11"/>
  <c r="X3479" i="11"/>
  <c r="X3480" i="11"/>
  <c r="X3481" i="11"/>
  <c r="X3482" i="11"/>
  <c r="X3483" i="11"/>
  <c r="X3484" i="11"/>
  <c r="X3485" i="11"/>
  <c r="X3486" i="11"/>
  <c r="X3487" i="11"/>
  <c r="X3488" i="11"/>
  <c r="X3489" i="11"/>
  <c r="X3490" i="11"/>
  <c r="X3491" i="11"/>
  <c r="X3492" i="11"/>
  <c r="X3493" i="11"/>
  <c r="X3494" i="11"/>
  <c r="X3495" i="11"/>
  <c r="X3496" i="11"/>
  <c r="X3497" i="11"/>
  <c r="X3498" i="11"/>
  <c r="X3499" i="11"/>
  <c r="X3500" i="11"/>
  <c r="X3501" i="11"/>
  <c r="X3502" i="11"/>
  <c r="X3503" i="11"/>
  <c r="X3504" i="11"/>
  <c r="X3505" i="11"/>
  <c r="X3506" i="11"/>
  <c r="X3507" i="11"/>
  <c r="X3508" i="11"/>
  <c r="X3509" i="11"/>
  <c r="X3510" i="11"/>
  <c r="X3511" i="11"/>
  <c r="X3512" i="11"/>
  <c r="X3513" i="11"/>
  <c r="X3514" i="11"/>
  <c r="X3515" i="11"/>
  <c r="X3516" i="11"/>
  <c r="X3517" i="11"/>
  <c r="X3518" i="11"/>
  <c r="X3519" i="11"/>
  <c r="X3520" i="11"/>
  <c r="X3521" i="11"/>
  <c r="X3522" i="11"/>
  <c r="X3523" i="11"/>
  <c r="X3524" i="11"/>
  <c r="X3525" i="11"/>
  <c r="X3526" i="11"/>
  <c r="X3527" i="11"/>
  <c r="X3528" i="11"/>
  <c r="X3529" i="11"/>
  <c r="X3530" i="11"/>
  <c r="X3531" i="11"/>
  <c r="X3532" i="11"/>
  <c r="X3533" i="11"/>
  <c r="X3534" i="11"/>
  <c r="X3535" i="11"/>
  <c r="X3536" i="11"/>
  <c r="X3537" i="11"/>
  <c r="X3538" i="11"/>
  <c r="X3539" i="11"/>
  <c r="X3540" i="11"/>
  <c r="X3541" i="11"/>
  <c r="X3542" i="11"/>
  <c r="X3543" i="11"/>
  <c r="X3544" i="11"/>
  <c r="X3545" i="11"/>
  <c r="X3546" i="11"/>
  <c r="X3547" i="11"/>
  <c r="X3548" i="11"/>
  <c r="X3549" i="11"/>
  <c r="X3550" i="11"/>
  <c r="X3551" i="11"/>
  <c r="X3552" i="11"/>
  <c r="X3553" i="11"/>
  <c r="X3554" i="11"/>
  <c r="X3555" i="11"/>
  <c r="X3556" i="11"/>
  <c r="X3557" i="11"/>
  <c r="X3558" i="11"/>
  <c r="X3559" i="11"/>
  <c r="X3560" i="11"/>
  <c r="X3561" i="11"/>
  <c r="X3562" i="11"/>
  <c r="X3563" i="11"/>
  <c r="X3564" i="11"/>
  <c r="X3565" i="11"/>
  <c r="X3566" i="11"/>
  <c r="X3567" i="11"/>
  <c r="X3568" i="11"/>
  <c r="X3569" i="11"/>
  <c r="X3570" i="11"/>
  <c r="X3571" i="11"/>
  <c r="X3572" i="11"/>
  <c r="X3573" i="11"/>
  <c r="X3574" i="11"/>
  <c r="X3575" i="11"/>
  <c r="X3576" i="11"/>
  <c r="X3577" i="11"/>
  <c r="X3578" i="11"/>
  <c r="X3579" i="11"/>
  <c r="X3580" i="11"/>
  <c r="X3581" i="11"/>
  <c r="X3582" i="11"/>
  <c r="X3583" i="11"/>
  <c r="X3584" i="11"/>
  <c r="X3585" i="11"/>
  <c r="X3586" i="11"/>
  <c r="X3587" i="11"/>
  <c r="X3588" i="11"/>
  <c r="X3589" i="11"/>
  <c r="X3590" i="11"/>
  <c r="X3591" i="11"/>
  <c r="X3592" i="11"/>
  <c r="X3593" i="11"/>
  <c r="X3594" i="11"/>
  <c r="X3595" i="11"/>
  <c r="X3596" i="11"/>
  <c r="X3597" i="11"/>
  <c r="X3598" i="11"/>
  <c r="X3599" i="11"/>
  <c r="X3600" i="11"/>
  <c r="X3601" i="11"/>
  <c r="X3602" i="11"/>
  <c r="X3603" i="11"/>
  <c r="X3604" i="11"/>
  <c r="X3605" i="11"/>
  <c r="X3606" i="11"/>
  <c r="X3607" i="11"/>
  <c r="X3608" i="11"/>
  <c r="X3609" i="11"/>
  <c r="X3610" i="11"/>
  <c r="X3611" i="11"/>
  <c r="X3612" i="11"/>
  <c r="X3613" i="11"/>
  <c r="X3614" i="11"/>
  <c r="X3615" i="11"/>
  <c r="X3616" i="11"/>
  <c r="X3617" i="11"/>
  <c r="X3618" i="11"/>
  <c r="X3619" i="11"/>
  <c r="X3620" i="11"/>
  <c r="X3621" i="11"/>
  <c r="X3622" i="11"/>
  <c r="X3623" i="11"/>
  <c r="X3624" i="11"/>
  <c r="X3625" i="11"/>
  <c r="X3626" i="11"/>
  <c r="X3627" i="11"/>
  <c r="X3628" i="11"/>
  <c r="X3629" i="11"/>
  <c r="X3630" i="11"/>
  <c r="X3631" i="11"/>
  <c r="X3632" i="11"/>
  <c r="X3633" i="11"/>
  <c r="X3634" i="11"/>
  <c r="X3635" i="11"/>
  <c r="X3636" i="11"/>
  <c r="X3637" i="11"/>
  <c r="X3638" i="11"/>
  <c r="X3639" i="11"/>
  <c r="X3640" i="11"/>
  <c r="X3641" i="11"/>
  <c r="X3642" i="11"/>
  <c r="X3643" i="11"/>
  <c r="X3644" i="11"/>
  <c r="X3645" i="11"/>
  <c r="X3646" i="11"/>
  <c r="X3647" i="11"/>
  <c r="X3648" i="11"/>
  <c r="X3649" i="11"/>
  <c r="X3650" i="11"/>
  <c r="X3651" i="11"/>
  <c r="X3652" i="11"/>
  <c r="X3653" i="11"/>
  <c r="X3654" i="11"/>
  <c r="X3655" i="11"/>
  <c r="X3656" i="11"/>
  <c r="X3657" i="11"/>
  <c r="X3658" i="11"/>
  <c r="X3659" i="11"/>
  <c r="X3660" i="11"/>
  <c r="X3661" i="11"/>
  <c r="X3662" i="11"/>
  <c r="X3663" i="11"/>
  <c r="X3664" i="11"/>
  <c r="X3665" i="11"/>
  <c r="X3666" i="11"/>
  <c r="X3667" i="11"/>
  <c r="X3668" i="11"/>
  <c r="X3669" i="11"/>
  <c r="X3670" i="11"/>
  <c r="X3671" i="11"/>
  <c r="X3672" i="11"/>
  <c r="X3673" i="11"/>
  <c r="X3674" i="11"/>
  <c r="X3675" i="11"/>
  <c r="X3676" i="11"/>
  <c r="X3677" i="11"/>
  <c r="X3678" i="11"/>
  <c r="X3679" i="11"/>
  <c r="X3680" i="11"/>
  <c r="X3681" i="11"/>
  <c r="X3682" i="11"/>
  <c r="X3683" i="11"/>
  <c r="X3684" i="11"/>
  <c r="X3685" i="11"/>
  <c r="X3686" i="11"/>
  <c r="X3687" i="11"/>
  <c r="X3688" i="11"/>
  <c r="X3689" i="11"/>
  <c r="X3690" i="11"/>
  <c r="X3691" i="11"/>
  <c r="X3692" i="11"/>
  <c r="X3693" i="11"/>
  <c r="X3694" i="11"/>
  <c r="X3695" i="11"/>
  <c r="X3696" i="11"/>
  <c r="X3697" i="11"/>
  <c r="X3698" i="11"/>
  <c r="X3699" i="11"/>
  <c r="X3700" i="11"/>
  <c r="X3701" i="11"/>
  <c r="X3702" i="11"/>
  <c r="X3703" i="11"/>
  <c r="X3704" i="11"/>
  <c r="X3705" i="11"/>
  <c r="X3706" i="11"/>
  <c r="X3707" i="11"/>
  <c r="X3708" i="11"/>
  <c r="X3709" i="11"/>
  <c r="X3710" i="11"/>
  <c r="X3711" i="11"/>
  <c r="X3712" i="11"/>
  <c r="X3713" i="11"/>
  <c r="X3714" i="11"/>
  <c r="X3715" i="11"/>
  <c r="X3716" i="11"/>
  <c r="X3717" i="11"/>
  <c r="X3718" i="11"/>
  <c r="X3719" i="11"/>
  <c r="X3720" i="11"/>
  <c r="X3721" i="11"/>
  <c r="X3722" i="11"/>
  <c r="X3723" i="11"/>
  <c r="X3724" i="11"/>
  <c r="X3725" i="11"/>
  <c r="X3726" i="11"/>
  <c r="X3727" i="11"/>
  <c r="X3728" i="11"/>
  <c r="X3729" i="11"/>
  <c r="X3730" i="11"/>
  <c r="X3731" i="11"/>
  <c r="X3732" i="11"/>
  <c r="X3733" i="11"/>
  <c r="X3734" i="11"/>
  <c r="X3735" i="11"/>
  <c r="X3736" i="11"/>
  <c r="X3737" i="11"/>
  <c r="X3738" i="11"/>
  <c r="X3739" i="11"/>
  <c r="X3740" i="11"/>
  <c r="X3741" i="11"/>
  <c r="X3742" i="11"/>
  <c r="X3743" i="11"/>
  <c r="X3744" i="11"/>
  <c r="X3745" i="11"/>
  <c r="X3746" i="11"/>
  <c r="X3747" i="11"/>
  <c r="X3748" i="11"/>
  <c r="X3749" i="11"/>
  <c r="X3750" i="11"/>
  <c r="X3751" i="11"/>
  <c r="X3752" i="11"/>
  <c r="X3753" i="11"/>
  <c r="X3754" i="11"/>
  <c r="X3755" i="11"/>
  <c r="X3756" i="11"/>
  <c r="X3757" i="11"/>
  <c r="X3758" i="11"/>
  <c r="X3759" i="11"/>
  <c r="X3760" i="11"/>
  <c r="X3761" i="11"/>
  <c r="X3762" i="11"/>
  <c r="X3763" i="11"/>
  <c r="X3764" i="11"/>
  <c r="X3765" i="11"/>
  <c r="X3766" i="11"/>
  <c r="X3767" i="11"/>
  <c r="X3768" i="11"/>
  <c r="X3769" i="11"/>
  <c r="X3770" i="11"/>
  <c r="X3771" i="11"/>
  <c r="X3772" i="11"/>
  <c r="X3773" i="11"/>
  <c r="X3774" i="11"/>
  <c r="X3775" i="11"/>
  <c r="X3776" i="11"/>
  <c r="X3777" i="11"/>
  <c r="X3778" i="11"/>
  <c r="X3779" i="11"/>
  <c r="X3780" i="11"/>
  <c r="X3781" i="11"/>
  <c r="X3782" i="11"/>
  <c r="X3783" i="11"/>
  <c r="X3784" i="11"/>
  <c r="X3785" i="11"/>
  <c r="X3786" i="11"/>
  <c r="X3787" i="11"/>
  <c r="X3788" i="11"/>
  <c r="X3789" i="11"/>
  <c r="X3790" i="11"/>
  <c r="X3791" i="11"/>
  <c r="X3792" i="11"/>
  <c r="X3793" i="11"/>
  <c r="X3794" i="11"/>
  <c r="X3795" i="11"/>
  <c r="X3796" i="11"/>
  <c r="X3797" i="11"/>
  <c r="X3798" i="11"/>
  <c r="X3799" i="11"/>
  <c r="X3800" i="11"/>
  <c r="X3801" i="11"/>
  <c r="X3802" i="11"/>
  <c r="X3803" i="11"/>
  <c r="X3804" i="11"/>
  <c r="X3805" i="11"/>
  <c r="X3806" i="11"/>
  <c r="X3807" i="11"/>
  <c r="X3808" i="11"/>
  <c r="X3809" i="11"/>
  <c r="X3810" i="11"/>
  <c r="X3811" i="11"/>
  <c r="X3812" i="11"/>
  <c r="X3813" i="11"/>
  <c r="X3814" i="11"/>
  <c r="X3815" i="11"/>
  <c r="X3816" i="11"/>
  <c r="X3817" i="11"/>
  <c r="X3818" i="11"/>
  <c r="X3819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1542" i="11"/>
  <c r="L1543" i="11"/>
  <c r="L1544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1" i="11"/>
  <c r="L1562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79" i="11"/>
  <c r="L1580" i="11"/>
  <c r="L1581" i="11"/>
  <c r="L1582" i="11"/>
  <c r="L1583" i="11"/>
  <c r="L1584" i="11"/>
  <c r="L1585" i="11"/>
  <c r="L1586" i="11"/>
  <c r="L1587" i="11"/>
  <c r="L1588" i="11"/>
  <c r="L1589" i="11"/>
  <c r="L1590" i="11"/>
  <c r="L1591" i="11"/>
  <c r="L1592" i="11"/>
  <c r="L1593" i="11"/>
  <c r="L1594" i="11"/>
  <c r="L1595" i="11"/>
  <c r="L1596" i="11"/>
  <c r="L1597" i="11"/>
  <c r="L1598" i="11"/>
  <c r="L1599" i="11"/>
  <c r="L1600" i="11"/>
  <c r="L1601" i="11"/>
  <c r="L1602" i="11"/>
  <c r="L1603" i="11"/>
  <c r="L1604" i="11"/>
  <c r="L1605" i="11"/>
  <c r="L1606" i="11"/>
  <c r="L1607" i="11"/>
  <c r="L1608" i="11"/>
  <c r="L1609" i="11"/>
  <c r="L1610" i="11"/>
  <c r="L1611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5" i="11"/>
  <c r="L1626" i="11"/>
  <c r="L1627" i="11"/>
  <c r="L1628" i="1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2" i="11"/>
  <c r="L1663" i="11"/>
  <c r="L1664" i="11"/>
  <c r="L1665" i="11"/>
  <c r="L1666" i="11"/>
  <c r="L1667" i="11"/>
  <c r="L1668" i="11"/>
  <c r="L1669" i="11"/>
  <c r="L1670" i="11"/>
  <c r="L1671" i="11"/>
  <c r="L1672" i="11"/>
  <c r="L1673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6" i="11"/>
  <c r="L1687" i="11"/>
  <c r="L1688" i="11"/>
  <c r="L1689" i="11"/>
  <c r="L1690" i="11"/>
  <c r="L1691" i="11"/>
  <c r="L1692" i="11"/>
  <c r="L1693" i="11"/>
  <c r="L1694" i="11"/>
  <c r="L1695" i="11"/>
  <c r="L1696" i="11"/>
  <c r="L1697" i="11"/>
  <c r="L1698" i="11"/>
  <c r="L1699" i="11"/>
  <c r="L1700" i="11"/>
  <c r="L1701" i="11"/>
  <c r="L1702" i="11"/>
  <c r="L1703" i="11"/>
  <c r="L1704" i="11"/>
  <c r="L1705" i="11"/>
  <c r="L1706" i="11"/>
  <c r="L1707" i="11"/>
  <c r="L1708" i="11"/>
  <c r="L1709" i="11"/>
  <c r="L1710" i="11"/>
  <c r="L1711" i="11"/>
  <c r="L1712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28" i="11"/>
  <c r="L1729" i="11"/>
  <c r="L1730" i="11"/>
  <c r="L1731" i="11"/>
  <c r="L1732" i="11"/>
  <c r="L1733" i="11"/>
  <c r="L1734" i="11"/>
  <c r="L1735" i="11"/>
  <c r="L1736" i="11"/>
  <c r="L1737" i="11"/>
  <c r="L1738" i="11"/>
  <c r="L1739" i="11"/>
  <c r="L1740" i="11"/>
  <c r="L1741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58" i="11"/>
  <c r="L1759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5" i="11"/>
  <c r="L1776" i="11"/>
  <c r="L1777" i="11"/>
  <c r="L1778" i="11"/>
  <c r="L1779" i="11"/>
  <c r="L1780" i="11"/>
  <c r="L1781" i="11"/>
  <c r="L1782" i="11"/>
  <c r="L1783" i="11"/>
  <c r="L1784" i="11"/>
  <c r="L1785" i="11"/>
  <c r="L1786" i="11"/>
  <c r="L1787" i="11"/>
  <c r="L1788" i="11"/>
  <c r="L1789" i="11"/>
  <c r="L1790" i="11"/>
  <c r="L1791" i="11"/>
  <c r="L1792" i="11"/>
  <c r="L1793" i="11"/>
  <c r="L1794" i="11"/>
  <c r="L1795" i="11"/>
  <c r="L1796" i="11"/>
  <c r="L1797" i="11"/>
  <c r="L1798" i="11"/>
  <c r="L1799" i="11"/>
  <c r="L1800" i="11"/>
  <c r="L1801" i="11"/>
  <c r="L1802" i="11"/>
  <c r="L1803" i="11"/>
  <c r="L1804" i="11"/>
  <c r="L1805" i="11"/>
  <c r="L1806" i="11"/>
  <c r="L1807" i="11"/>
  <c r="L1808" i="11"/>
  <c r="L1809" i="11"/>
  <c r="L1810" i="11"/>
  <c r="L1811" i="11"/>
  <c r="L1812" i="11"/>
  <c r="L1813" i="11"/>
  <c r="L1814" i="11"/>
  <c r="L1815" i="11"/>
  <c r="L1816" i="11"/>
  <c r="L1817" i="11"/>
  <c r="L1818" i="11"/>
  <c r="L1819" i="11"/>
  <c r="L1820" i="11"/>
  <c r="L1821" i="11"/>
  <c r="L1822" i="11"/>
  <c r="L1823" i="11"/>
  <c r="L1824" i="11"/>
  <c r="L1825" i="11"/>
  <c r="L1826" i="11"/>
  <c r="L1827" i="11"/>
  <c r="L1828" i="11"/>
  <c r="L1829" i="11"/>
  <c r="L1830" i="11"/>
  <c r="L1831" i="11"/>
  <c r="L1832" i="11"/>
  <c r="L1833" i="11"/>
  <c r="L1834" i="11"/>
  <c r="L1835" i="11"/>
  <c r="L1836" i="11"/>
  <c r="L1837" i="11"/>
  <c r="L1838" i="11"/>
  <c r="L1839" i="11"/>
  <c r="L1840" i="11"/>
  <c r="L1841" i="11"/>
  <c r="L1842" i="11"/>
  <c r="L1843" i="11"/>
  <c r="L1844" i="11"/>
  <c r="L1845" i="11"/>
  <c r="L1846" i="11"/>
  <c r="L1847" i="11"/>
  <c r="L1848" i="11"/>
  <c r="L1849" i="11"/>
  <c r="L1850" i="11"/>
  <c r="L1851" i="11"/>
  <c r="L1852" i="11"/>
  <c r="L1853" i="11"/>
  <c r="L1854" i="11"/>
  <c r="L1855" i="11"/>
  <c r="L1856" i="11"/>
  <c r="L1857" i="11"/>
  <c r="L1858" i="11"/>
  <c r="L1859" i="11"/>
  <c r="L1860" i="11"/>
  <c r="L1861" i="11"/>
  <c r="L1862" i="11"/>
  <c r="L1863" i="11"/>
  <c r="L1864" i="11"/>
  <c r="L1865" i="11"/>
  <c r="L1866" i="11"/>
  <c r="L1867" i="11"/>
  <c r="L1868" i="11"/>
  <c r="L1869" i="11"/>
  <c r="L1870" i="11"/>
  <c r="L1871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83" i="11"/>
  <c r="L1884" i="11"/>
  <c r="L1885" i="11"/>
  <c r="L1886" i="11"/>
  <c r="L1887" i="11"/>
  <c r="L1888" i="11"/>
  <c r="L1889" i="11"/>
  <c r="L1890" i="11"/>
  <c r="L1891" i="11"/>
  <c r="L1892" i="11"/>
  <c r="L1893" i="11"/>
  <c r="L1894" i="11"/>
  <c r="L1895" i="11"/>
  <c r="L1896" i="11"/>
  <c r="L1897" i="11"/>
  <c r="L1898" i="11"/>
  <c r="L1899" i="11"/>
  <c r="L1900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7" i="11"/>
  <c r="L1918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0" i="11"/>
  <c r="L1931" i="11"/>
  <c r="L1932" i="11"/>
  <c r="L1933" i="11"/>
  <c r="L1934" i="11"/>
  <c r="L1935" i="11"/>
  <c r="L1936" i="11"/>
  <c r="L1937" i="11"/>
  <c r="L1938" i="11"/>
  <c r="L1939" i="11"/>
  <c r="L1940" i="11"/>
  <c r="L1941" i="11"/>
  <c r="L1942" i="11"/>
  <c r="L1943" i="11"/>
  <c r="L1944" i="11"/>
  <c r="L1945" i="11"/>
  <c r="L1946" i="11"/>
  <c r="L1947" i="11"/>
  <c r="L1948" i="11"/>
  <c r="L1949" i="11"/>
  <c r="L1950" i="11"/>
  <c r="L1951" i="11"/>
  <c r="L1952" i="11"/>
  <c r="L1953" i="11"/>
  <c r="L1954" i="11"/>
  <c r="L1955" i="11"/>
  <c r="L1956" i="11"/>
  <c r="L1957" i="11"/>
  <c r="L1958" i="11"/>
  <c r="L1959" i="11"/>
  <c r="L1960" i="11"/>
  <c r="L1961" i="11"/>
  <c r="L1962" i="11"/>
  <c r="L1963" i="11"/>
  <c r="L1964" i="11"/>
  <c r="L1965" i="11"/>
  <c r="L1966" i="11"/>
  <c r="L1967" i="11"/>
  <c r="L1968" i="11"/>
  <c r="L1969" i="11"/>
  <c r="L1970" i="11"/>
  <c r="L1971" i="11"/>
  <c r="L1972" i="11"/>
  <c r="L1973" i="11"/>
  <c r="L1974" i="11"/>
  <c r="L1975" i="11"/>
  <c r="L1976" i="11"/>
  <c r="L1977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01" i="11"/>
  <c r="L2002" i="11"/>
  <c r="L2003" i="11"/>
  <c r="L2004" i="11"/>
  <c r="L2005" i="11"/>
  <c r="L2006" i="11"/>
  <c r="L2007" i="11"/>
  <c r="L2008" i="11"/>
  <c r="L2009" i="11"/>
  <c r="L2010" i="11"/>
  <c r="L2011" i="11"/>
  <c r="L2012" i="11"/>
  <c r="L2013" i="11"/>
  <c r="L2014" i="11"/>
  <c r="L2015" i="11"/>
  <c r="L2016" i="11"/>
  <c r="L2017" i="11"/>
  <c r="L2018" i="11"/>
  <c r="L2019" i="11"/>
  <c r="L2020" i="11"/>
  <c r="L2021" i="11"/>
  <c r="L2022" i="11"/>
  <c r="L2023" i="11"/>
  <c r="L2024" i="11"/>
  <c r="L2025" i="11"/>
  <c r="L2026" i="11"/>
  <c r="L2027" i="11"/>
  <c r="L2028" i="11"/>
  <c r="L2029" i="11"/>
  <c r="L2030" i="11"/>
  <c r="L2031" i="11"/>
  <c r="L2032" i="11"/>
  <c r="L2033" i="11"/>
  <c r="L2034" i="11"/>
  <c r="L2035" i="11"/>
  <c r="L2036" i="11"/>
  <c r="L2037" i="11"/>
  <c r="L2038" i="11"/>
  <c r="L2039" i="11"/>
  <c r="L2040" i="11"/>
  <c r="L2041" i="11"/>
  <c r="L2042" i="11"/>
  <c r="L2043" i="11"/>
  <c r="L2044" i="11"/>
  <c r="L2045" i="11"/>
  <c r="L2046" i="11"/>
  <c r="L2047" i="11"/>
  <c r="L2048" i="11"/>
  <c r="L2049" i="11"/>
  <c r="L2050" i="11"/>
  <c r="L2051" i="11"/>
  <c r="L2052" i="11"/>
  <c r="L2053" i="11"/>
  <c r="L2054" i="11"/>
  <c r="L2055" i="11"/>
  <c r="L2056" i="11"/>
  <c r="L2057" i="11"/>
  <c r="L2058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0" i="11"/>
  <c r="L2071" i="11"/>
  <c r="L2072" i="11"/>
  <c r="L2073" i="11"/>
  <c r="L2074" i="11"/>
  <c r="L2075" i="11"/>
  <c r="L2076" i="11"/>
  <c r="L2077" i="11"/>
  <c r="L2078" i="11"/>
  <c r="L2079" i="11"/>
  <c r="L2080" i="11"/>
  <c r="L2081" i="11"/>
  <c r="L2082" i="11"/>
  <c r="L2083" i="11"/>
  <c r="L2084" i="11"/>
  <c r="L2085" i="11"/>
  <c r="L2086" i="11"/>
  <c r="L2087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4" i="11"/>
  <c r="L2105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8" i="11"/>
  <c r="L2129" i="11"/>
  <c r="L2130" i="11"/>
  <c r="L2131" i="11"/>
  <c r="L2132" i="11"/>
  <c r="L2133" i="11"/>
  <c r="L2134" i="11"/>
  <c r="L2135" i="11"/>
  <c r="L2136" i="11"/>
  <c r="L2137" i="11"/>
  <c r="L2138" i="11"/>
  <c r="L2139" i="11"/>
  <c r="L2140" i="11"/>
  <c r="L2141" i="11"/>
  <c r="L2142" i="11"/>
  <c r="L2143" i="11"/>
  <c r="L2144" i="11"/>
  <c r="L2145" i="11"/>
  <c r="L2146" i="11"/>
  <c r="L2147" i="11"/>
  <c r="L2148" i="11"/>
  <c r="L2149" i="11"/>
  <c r="L2150" i="11"/>
  <c r="L2151" i="11"/>
  <c r="L2152" i="11"/>
  <c r="L2153" i="11"/>
  <c r="L2154" i="11"/>
  <c r="L2155" i="11"/>
  <c r="L2156" i="11"/>
  <c r="L2157" i="11"/>
  <c r="L2158" i="11"/>
  <c r="L2159" i="11"/>
  <c r="L2160" i="11"/>
  <c r="L2161" i="11"/>
  <c r="L2162" i="11"/>
  <c r="L2163" i="11"/>
  <c r="L2164" i="11"/>
  <c r="L2165" i="11"/>
  <c r="L2166" i="11"/>
  <c r="L2167" i="11"/>
  <c r="L2168" i="11"/>
  <c r="L2169" i="11"/>
  <c r="L2170" i="11"/>
  <c r="L2171" i="11"/>
  <c r="L2172" i="11"/>
  <c r="L2173" i="11"/>
  <c r="L2174" i="11"/>
  <c r="L2175" i="11"/>
  <c r="L2176" i="11"/>
  <c r="L2177" i="11"/>
  <c r="L2178" i="11"/>
  <c r="L2179" i="11"/>
  <c r="L2180" i="11"/>
  <c r="L2181" i="11"/>
  <c r="L2182" i="11"/>
  <c r="L2183" i="11"/>
  <c r="L2184" i="11"/>
  <c r="L2185" i="11"/>
  <c r="L2186" i="11"/>
  <c r="L2187" i="11"/>
  <c r="L2188" i="11"/>
  <c r="L2189" i="11"/>
  <c r="L2190" i="11"/>
  <c r="L2191" i="11"/>
  <c r="L2192" i="11"/>
  <c r="L2193" i="11"/>
  <c r="L2194" i="11"/>
  <c r="L2195" i="11"/>
  <c r="L2196" i="11"/>
  <c r="L2197" i="11"/>
  <c r="L2198" i="11"/>
  <c r="L2199" i="11"/>
  <c r="L2200" i="11"/>
  <c r="L2201" i="11"/>
  <c r="L2202" i="11"/>
  <c r="L2203" i="11"/>
  <c r="L2204" i="11"/>
  <c r="L2205" i="11"/>
  <c r="L2206" i="11"/>
  <c r="L2207" i="11"/>
  <c r="L2208" i="11"/>
  <c r="L2209" i="11"/>
  <c r="L2210" i="11"/>
  <c r="L2211" i="11"/>
  <c r="L2212" i="11"/>
  <c r="L2213" i="11"/>
  <c r="L2214" i="11"/>
  <c r="L2215" i="11"/>
  <c r="L2216" i="11"/>
  <c r="L2217" i="11"/>
  <c r="L2218" i="11"/>
  <c r="L2219" i="11"/>
  <c r="L2220" i="11"/>
  <c r="L2221" i="11"/>
  <c r="L2222" i="11"/>
  <c r="L2223" i="11"/>
  <c r="L2224" i="11"/>
  <c r="L2225" i="11"/>
  <c r="L2226" i="11"/>
  <c r="L2227" i="11"/>
  <c r="L2228" i="11"/>
  <c r="L2229" i="11"/>
  <c r="L2230" i="11"/>
  <c r="L2231" i="11"/>
  <c r="L2232" i="11"/>
  <c r="L2233" i="11"/>
  <c r="L2234" i="11"/>
  <c r="L2235" i="11"/>
  <c r="L2236" i="11"/>
  <c r="L2237" i="11"/>
  <c r="L2238" i="11"/>
  <c r="L2239" i="11"/>
  <c r="L2240" i="11"/>
  <c r="L2241" i="11"/>
  <c r="L2242" i="11"/>
  <c r="L2243" i="11"/>
  <c r="L2244" i="11"/>
  <c r="L2245" i="11"/>
  <c r="L2246" i="11"/>
  <c r="L2247" i="11"/>
  <c r="L2248" i="11"/>
  <c r="L2249" i="11"/>
  <c r="L2250" i="11"/>
  <c r="L2251" i="11"/>
  <c r="L2252" i="11"/>
  <c r="L2253" i="11"/>
  <c r="L2254" i="11"/>
  <c r="L2255" i="11"/>
  <c r="L2256" i="11"/>
  <c r="L2257" i="11"/>
  <c r="L2258" i="11"/>
  <c r="L2259" i="11"/>
  <c r="L2260" i="11"/>
  <c r="L2261" i="11"/>
  <c r="L2262" i="11"/>
  <c r="L2263" i="11"/>
  <c r="L2264" i="11"/>
  <c r="L2265" i="11"/>
  <c r="L2266" i="11"/>
  <c r="L2267" i="11"/>
  <c r="L2268" i="11"/>
  <c r="L2269" i="11"/>
  <c r="L2270" i="11"/>
  <c r="L2271" i="11"/>
  <c r="L2272" i="11"/>
  <c r="L2273" i="11"/>
  <c r="L2274" i="11"/>
  <c r="L2275" i="11"/>
  <c r="L2276" i="11"/>
  <c r="L2277" i="11"/>
  <c r="L2278" i="11"/>
  <c r="L2279" i="11"/>
  <c r="L2280" i="11"/>
  <c r="L2281" i="11"/>
  <c r="L2282" i="11"/>
  <c r="L2283" i="11"/>
  <c r="L2284" i="11"/>
  <c r="L2285" i="11"/>
  <c r="L2286" i="11"/>
  <c r="L2287" i="11"/>
  <c r="L2288" i="11"/>
  <c r="L2289" i="11"/>
  <c r="L2290" i="11"/>
  <c r="L2291" i="11"/>
  <c r="L2292" i="11"/>
  <c r="L2293" i="11"/>
  <c r="L2294" i="11"/>
  <c r="L2295" i="11"/>
  <c r="L2296" i="11"/>
  <c r="L2297" i="11"/>
  <c r="L2298" i="11"/>
  <c r="L2299" i="11"/>
  <c r="L2300" i="11"/>
  <c r="L2301" i="11"/>
  <c r="L2302" i="11"/>
  <c r="L2303" i="11"/>
  <c r="L2304" i="11"/>
  <c r="L2305" i="11"/>
  <c r="L2306" i="11"/>
  <c r="L2307" i="11"/>
  <c r="L2308" i="11"/>
  <c r="L2309" i="11"/>
  <c r="L2310" i="11"/>
  <c r="L2311" i="11"/>
  <c r="L2312" i="11"/>
  <c r="L2313" i="11"/>
  <c r="L2314" i="11"/>
  <c r="L2315" i="11"/>
  <c r="L2316" i="11"/>
  <c r="L2317" i="11"/>
  <c r="L2318" i="11"/>
  <c r="L2319" i="11"/>
  <c r="L2320" i="11"/>
  <c r="L2321" i="11"/>
  <c r="L2322" i="11"/>
  <c r="L2323" i="11"/>
  <c r="L2324" i="11"/>
  <c r="L2325" i="11"/>
  <c r="L2326" i="11"/>
  <c r="L2327" i="11"/>
  <c r="L2328" i="11"/>
  <c r="L2329" i="11"/>
  <c r="L2330" i="11"/>
  <c r="L2331" i="11"/>
  <c r="L2332" i="11"/>
  <c r="L2333" i="11"/>
  <c r="L2334" i="11"/>
  <c r="L2335" i="11"/>
  <c r="L2336" i="11"/>
  <c r="L2337" i="11"/>
  <c r="L2338" i="11"/>
  <c r="L2339" i="11"/>
  <c r="L2340" i="11"/>
  <c r="L2341" i="11"/>
  <c r="L2342" i="11"/>
  <c r="L2343" i="11"/>
  <c r="L2344" i="11"/>
  <c r="L2345" i="11"/>
  <c r="L2346" i="11"/>
  <c r="L2347" i="11"/>
  <c r="L2348" i="11"/>
  <c r="L2349" i="11"/>
  <c r="L2350" i="11"/>
  <c r="L2351" i="11"/>
  <c r="L2352" i="11"/>
  <c r="L2353" i="11"/>
  <c r="L2354" i="11"/>
  <c r="L2355" i="11"/>
  <c r="L2356" i="11"/>
  <c r="L2357" i="11"/>
  <c r="L2358" i="11"/>
  <c r="L2359" i="11"/>
  <c r="L2360" i="11"/>
  <c r="L2361" i="11"/>
  <c r="L2362" i="11"/>
  <c r="L2363" i="11"/>
  <c r="L2364" i="11"/>
  <c r="L2365" i="11"/>
  <c r="L2366" i="11"/>
  <c r="L2367" i="11"/>
  <c r="L2368" i="11"/>
  <c r="L2369" i="11"/>
  <c r="L2370" i="11"/>
  <c r="L2371" i="11"/>
  <c r="L2372" i="11"/>
  <c r="L2373" i="11"/>
  <c r="L2374" i="11"/>
  <c r="L2375" i="11"/>
  <c r="L2376" i="11"/>
  <c r="L2377" i="11"/>
  <c r="L2378" i="11"/>
  <c r="L2379" i="11"/>
  <c r="L2380" i="11"/>
  <c r="L2381" i="11"/>
  <c r="L2382" i="11"/>
  <c r="L2383" i="11"/>
  <c r="L2384" i="11"/>
  <c r="L2385" i="11"/>
  <c r="L2386" i="11"/>
  <c r="L2387" i="11"/>
  <c r="L2388" i="11"/>
  <c r="L2389" i="11"/>
  <c r="L2390" i="11"/>
  <c r="L2391" i="11"/>
  <c r="L2392" i="11"/>
  <c r="L2393" i="11"/>
  <c r="L2394" i="11"/>
  <c r="L2395" i="11"/>
  <c r="L2396" i="11"/>
  <c r="L2397" i="11"/>
  <c r="L2398" i="11"/>
  <c r="L2399" i="11"/>
  <c r="L2400" i="11"/>
  <c r="L2401" i="11"/>
  <c r="L2402" i="11"/>
  <c r="L2403" i="11"/>
  <c r="L2404" i="11"/>
  <c r="L2405" i="11"/>
  <c r="L2406" i="11"/>
  <c r="L2407" i="11"/>
  <c r="L2408" i="11"/>
  <c r="L2409" i="11"/>
  <c r="L2410" i="11"/>
  <c r="L2411" i="11"/>
  <c r="L2412" i="11"/>
  <c r="L2413" i="11"/>
  <c r="L2414" i="11"/>
  <c r="L2415" i="11"/>
  <c r="L2416" i="11"/>
  <c r="L2417" i="11"/>
  <c r="L2418" i="11"/>
  <c r="L2419" i="11"/>
  <c r="L2420" i="11"/>
  <c r="L2421" i="11"/>
  <c r="L2422" i="11"/>
  <c r="L2423" i="11"/>
  <c r="L2424" i="11"/>
  <c r="L2425" i="11"/>
  <c r="L2426" i="11"/>
  <c r="L2427" i="11"/>
  <c r="L2428" i="11"/>
  <c r="L2429" i="11"/>
  <c r="L2430" i="11"/>
  <c r="L2431" i="11"/>
  <c r="L2432" i="11"/>
  <c r="L2433" i="11"/>
  <c r="L2434" i="11"/>
  <c r="L2435" i="11"/>
  <c r="L2436" i="11"/>
  <c r="L2437" i="11"/>
  <c r="L2438" i="11"/>
  <c r="L2439" i="11"/>
  <c r="L2440" i="11"/>
  <c r="L2441" i="11"/>
  <c r="L2442" i="11"/>
  <c r="L2443" i="11"/>
  <c r="L2444" i="11"/>
  <c r="L2445" i="11"/>
  <c r="L2446" i="11"/>
  <c r="L2447" i="11"/>
  <c r="L2448" i="11"/>
  <c r="L2449" i="11"/>
  <c r="L2450" i="11"/>
  <c r="L2451" i="11"/>
  <c r="L2452" i="11"/>
  <c r="L2453" i="11"/>
  <c r="L2454" i="11"/>
  <c r="L2455" i="11"/>
  <c r="L2456" i="11"/>
  <c r="L2457" i="11"/>
  <c r="L2458" i="11"/>
  <c r="L2459" i="11"/>
  <c r="L2460" i="11"/>
  <c r="L2461" i="11"/>
  <c r="L2462" i="11"/>
  <c r="L2463" i="11"/>
  <c r="L2464" i="11"/>
  <c r="L2465" i="11"/>
  <c r="L2466" i="11"/>
  <c r="L2467" i="11"/>
  <c r="L2468" i="11"/>
  <c r="L2469" i="11"/>
  <c r="L2470" i="11"/>
  <c r="L2471" i="11"/>
  <c r="L2472" i="11"/>
  <c r="L2473" i="11"/>
  <c r="L2474" i="11"/>
  <c r="L2475" i="11"/>
  <c r="L2476" i="11"/>
  <c r="L2477" i="11"/>
  <c r="L2478" i="11"/>
  <c r="L2479" i="11"/>
  <c r="L2480" i="11"/>
  <c r="L2481" i="11"/>
  <c r="L2482" i="11"/>
  <c r="L2483" i="11"/>
  <c r="L2484" i="11"/>
  <c r="L2485" i="11"/>
  <c r="L2486" i="11"/>
  <c r="L2487" i="11"/>
  <c r="L2488" i="11"/>
  <c r="L2489" i="11"/>
  <c r="L2490" i="11"/>
  <c r="L2491" i="11"/>
  <c r="L2492" i="11"/>
  <c r="L2493" i="11"/>
  <c r="L2494" i="11"/>
  <c r="L2495" i="11"/>
  <c r="L2496" i="11"/>
  <c r="L2497" i="11"/>
  <c r="L2498" i="11"/>
  <c r="L2499" i="11"/>
  <c r="L2500" i="11"/>
  <c r="L2501" i="11"/>
  <c r="L2502" i="11"/>
  <c r="L2503" i="11"/>
  <c r="L2504" i="11"/>
  <c r="L2505" i="11"/>
  <c r="L2506" i="11"/>
  <c r="L2507" i="11"/>
  <c r="L2508" i="11"/>
  <c r="L2509" i="11"/>
  <c r="L2510" i="11"/>
  <c r="L2511" i="11"/>
  <c r="L2512" i="11"/>
  <c r="L2513" i="11"/>
  <c r="L2514" i="11"/>
  <c r="L2515" i="11"/>
  <c r="L2516" i="11"/>
  <c r="L2517" i="11"/>
  <c r="L2518" i="11"/>
  <c r="L2519" i="11"/>
  <c r="L2520" i="11"/>
  <c r="L2521" i="11"/>
  <c r="L2522" i="11"/>
  <c r="L2523" i="11"/>
  <c r="L2524" i="11"/>
  <c r="L2525" i="11"/>
  <c r="L2526" i="11"/>
  <c r="L2527" i="11"/>
  <c r="L2528" i="11"/>
  <c r="L2529" i="11"/>
  <c r="L2530" i="11"/>
  <c r="L2531" i="11"/>
  <c r="L2532" i="11"/>
  <c r="L2533" i="11"/>
  <c r="L2534" i="11"/>
  <c r="L2535" i="11"/>
  <c r="L2536" i="11"/>
  <c r="L2537" i="11"/>
  <c r="L2538" i="11"/>
  <c r="L2539" i="11"/>
  <c r="L2540" i="11"/>
  <c r="L2541" i="11"/>
  <c r="L2542" i="11"/>
  <c r="L2543" i="11"/>
  <c r="L2544" i="11"/>
  <c r="L2545" i="11"/>
  <c r="L2546" i="11"/>
  <c r="L2547" i="11"/>
  <c r="L2548" i="11"/>
  <c r="L2549" i="11"/>
  <c r="L2550" i="11"/>
  <c r="L2551" i="11"/>
  <c r="L2552" i="11"/>
  <c r="L2553" i="11"/>
  <c r="L2554" i="11"/>
  <c r="L2555" i="11"/>
  <c r="L2556" i="11"/>
  <c r="L2557" i="11"/>
  <c r="L2558" i="11"/>
  <c r="L2559" i="11"/>
  <c r="L2560" i="11"/>
  <c r="L2561" i="11"/>
  <c r="L2562" i="11"/>
  <c r="L2563" i="11"/>
  <c r="L2564" i="11"/>
  <c r="L2565" i="11"/>
  <c r="L2566" i="11"/>
  <c r="L2567" i="11"/>
  <c r="L2568" i="11"/>
  <c r="L2569" i="11"/>
  <c r="L2570" i="11"/>
  <c r="L2571" i="11"/>
  <c r="L2572" i="11"/>
  <c r="L2573" i="11"/>
  <c r="L2574" i="11"/>
  <c r="L2575" i="11"/>
  <c r="L2576" i="11"/>
  <c r="L2577" i="11"/>
  <c r="L2578" i="11"/>
  <c r="L2579" i="11"/>
  <c r="L2580" i="11"/>
  <c r="L2581" i="11"/>
  <c r="L2582" i="11"/>
  <c r="L2583" i="11"/>
  <c r="L2584" i="11"/>
  <c r="L2585" i="11"/>
  <c r="L2586" i="11"/>
  <c r="L2587" i="11"/>
  <c r="L2588" i="11"/>
  <c r="L2589" i="11"/>
  <c r="L2590" i="11"/>
  <c r="L2591" i="11"/>
  <c r="L2592" i="11"/>
  <c r="L2593" i="11"/>
  <c r="L2594" i="11"/>
  <c r="L2595" i="11"/>
  <c r="L2596" i="11"/>
  <c r="L2597" i="11"/>
  <c r="L2598" i="11"/>
  <c r="L2599" i="11"/>
  <c r="L2600" i="11"/>
  <c r="L2601" i="11"/>
  <c r="L2602" i="11"/>
  <c r="L2603" i="11"/>
  <c r="L2604" i="11"/>
  <c r="L2605" i="11"/>
  <c r="L2606" i="11"/>
  <c r="L2607" i="11"/>
  <c r="L2608" i="11"/>
  <c r="L2609" i="11"/>
  <c r="L2610" i="11"/>
  <c r="L2611" i="11"/>
  <c r="L2612" i="11"/>
  <c r="L2613" i="11"/>
  <c r="L2614" i="11"/>
  <c r="L2615" i="11"/>
  <c r="L2616" i="11"/>
  <c r="L2617" i="11"/>
  <c r="L2618" i="11"/>
  <c r="L2619" i="11"/>
  <c r="L2620" i="11"/>
  <c r="L2621" i="11"/>
  <c r="L2622" i="11"/>
  <c r="L2623" i="11"/>
  <c r="L2624" i="11"/>
  <c r="L2625" i="11"/>
  <c r="L2626" i="11"/>
  <c r="L2627" i="11"/>
  <c r="L2628" i="11"/>
  <c r="L2629" i="11"/>
  <c r="L2630" i="11"/>
  <c r="L2631" i="11"/>
  <c r="L2632" i="11"/>
  <c r="L2633" i="11"/>
  <c r="L2634" i="11"/>
  <c r="L2635" i="11"/>
  <c r="L2636" i="11"/>
  <c r="L2637" i="11"/>
  <c r="L2638" i="11"/>
  <c r="L2639" i="11"/>
  <c r="L2640" i="11"/>
  <c r="L2641" i="11"/>
  <c r="L2642" i="11"/>
  <c r="L2643" i="11"/>
  <c r="L2644" i="11"/>
  <c r="L2645" i="11"/>
  <c r="L2646" i="11"/>
  <c r="L2647" i="11"/>
  <c r="L2648" i="11"/>
  <c r="L2649" i="11"/>
  <c r="L2650" i="11"/>
  <c r="L2651" i="11"/>
  <c r="L2652" i="11"/>
  <c r="L2653" i="11"/>
  <c r="L2654" i="11"/>
  <c r="L2655" i="11"/>
  <c r="L2656" i="11"/>
  <c r="L2657" i="11"/>
  <c r="L2658" i="11"/>
  <c r="L2659" i="11"/>
  <c r="L2660" i="11"/>
  <c r="L2661" i="11"/>
  <c r="L2662" i="11"/>
  <c r="L2663" i="11"/>
  <c r="L2664" i="11"/>
  <c r="L2665" i="11"/>
  <c r="L2666" i="11"/>
  <c r="L2667" i="11"/>
  <c r="L2668" i="11"/>
  <c r="L2669" i="11"/>
  <c r="L2670" i="11"/>
  <c r="L2671" i="11"/>
  <c r="L2672" i="11"/>
  <c r="L2673" i="11"/>
  <c r="L2674" i="11"/>
  <c r="L2675" i="11"/>
  <c r="L2676" i="11"/>
  <c r="L2677" i="11"/>
  <c r="L2678" i="11"/>
  <c r="L2679" i="11"/>
  <c r="L2680" i="11"/>
  <c r="L2681" i="11"/>
  <c r="L2682" i="11"/>
  <c r="L2683" i="11"/>
  <c r="L2684" i="11"/>
  <c r="L2685" i="11"/>
  <c r="L2686" i="11"/>
  <c r="L2687" i="11"/>
  <c r="L2688" i="11"/>
  <c r="L2689" i="11"/>
  <c r="L2690" i="11"/>
  <c r="L2691" i="11"/>
  <c r="L2692" i="11"/>
  <c r="L2693" i="11"/>
  <c r="L2694" i="11"/>
  <c r="L2695" i="11"/>
  <c r="L2696" i="11"/>
  <c r="L2697" i="11"/>
  <c r="L2698" i="11"/>
  <c r="L2699" i="11"/>
  <c r="L2700" i="11"/>
  <c r="L2701" i="11"/>
  <c r="L2702" i="11"/>
  <c r="L2703" i="11"/>
  <c r="L2704" i="11"/>
  <c r="L2705" i="11"/>
  <c r="L2706" i="11"/>
  <c r="L2707" i="11"/>
  <c r="L2708" i="11"/>
  <c r="L2709" i="11"/>
  <c r="L2710" i="11"/>
  <c r="L2711" i="11"/>
  <c r="L2712" i="11"/>
  <c r="L2713" i="11"/>
  <c r="L2714" i="11"/>
  <c r="L2715" i="11"/>
  <c r="L2716" i="11"/>
  <c r="L2717" i="11"/>
  <c r="L2718" i="11"/>
  <c r="L2719" i="11"/>
  <c r="L2720" i="11"/>
  <c r="L2721" i="11"/>
  <c r="L2722" i="11"/>
  <c r="L2723" i="11"/>
  <c r="L2724" i="11"/>
  <c r="L2725" i="11"/>
  <c r="L2726" i="11"/>
  <c r="L2727" i="11"/>
  <c r="L2728" i="11"/>
  <c r="L2729" i="11"/>
  <c r="L2730" i="11"/>
  <c r="L2731" i="11"/>
  <c r="L2732" i="11"/>
  <c r="L2733" i="11"/>
  <c r="L2734" i="11"/>
  <c r="L2735" i="11"/>
  <c r="L2736" i="11"/>
  <c r="L2737" i="11"/>
  <c r="L2738" i="11"/>
  <c r="L2739" i="11"/>
  <c r="L2740" i="11"/>
  <c r="L2741" i="11"/>
  <c r="L2742" i="11"/>
  <c r="L2743" i="11"/>
  <c r="L2744" i="11"/>
  <c r="L2745" i="11"/>
  <c r="L2746" i="11"/>
  <c r="L2747" i="11"/>
  <c r="L2748" i="11"/>
  <c r="L2749" i="11"/>
  <c r="L2750" i="11"/>
  <c r="L2751" i="11"/>
  <c r="L2752" i="11"/>
  <c r="L2753" i="11"/>
  <c r="L2754" i="11"/>
  <c r="L2755" i="11"/>
  <c r="L2756" i="11"/>
  <c r="L2757" i="11"/>
  <c r="L2758" i="11"/>
  <c r="L2759" i="11"/>
  <c r="L2760" i="11"/>
  <c r="L2761" i="11"/>
  <c r="L2762" i="11"/>
  <c r="L2763" i="11"/>
  <c r="L2764" i="11"/>
  <c r="L2765" i="11"/>
  <c r="L2766" i="11"/>
  <c r="L2767" i="11"/>
  <c r="L2768" i="11"/>
  <c r="L2769" i="11"/>
  <c r="L2770" i="11"/>
  <c r="L2771" i="11"/>
  <c r="L2772" i="11"/>
  <c r="L2773" i="11"/>
  <c r="L2774" i="11"/>
  <c r="L2775" i="11"/>
  <c r="L2776" i="11"/>
  <c r="L2777" i="11"/>
  <c r="L2778" i="11"/>
  <c r="L2779" i="11"/>
  <c r="L2780" i="11"/>
  <c r="L2781" i="11"/>
  <c r="L2782" i="11"/>
  <c r="L2783" i="11"/>
  <c r="L2784" i="11"/>
  <c r="L2785" i="11"/>
  <c r="L2786" i="11"/>
  <c r="L2787" i="11"/>
  <c r="L2788" i="11"/>
  <c r="L2789" i="11"/>
  <c r="L2790" i="11"/>
  <c r="L2791" i="11"/>
  <c r="L2792" i="11"/>
  <c r="L2793" i="11"/>
  <c r="L2794" i="11"/>
  <c r="L2795" i="11"/>
  <c r="L2796" i="11"/>
  <c r="L2797" i="11"/>
  <c r="L2798" i="11"/>
  <c r="L2799" i="11"/>
  <c r="L2800" i="11"/>
  <c r="L2801" i="11"/>
  <c r="L2802" i="11"/>
  <c r="L2803" i="11"/>
  <c r="L2804" i="11"/>
  <c r="L2805" i="11"/>
  <c r="L2806" i="11"/>
  <c r="L2807" i="11"/>
  <c r="L2808" i="11"/>
  <c r="L2809" i="11"/>
  <c r="L2810" i="11"/>
  <c r="L2811" i="11"/>
  <c r="L2812" i="11"/>
  <c r="L2813" i="11"/>
  <c r="L2814" i="11"/>
  <c r="L2815" i="11"/>
  <c r="L2816" i="11"/>
  <c r="L2817" i="11"/>
  <c r="L2818" i="11"/>
  <c r="L2819" i="11"/>
  <c r="L2820" i="11"/>
  <c r="L2821" i="11"/>
  <c r="L2822" i="11"/>
  <c r="L2823" i="11"/>
  <c r="L2824" i="11"/>
  <c r="L2825" i="11"/>
  <c r="L2826" i="11"/>
  <c r="L2827" i="11"/>
  <c r="L2828" i="11"/>
  <c r="L2829" i="11"/>
  <c r="L2830" i="11"/>
  <c r="L2831" i="11"/>
  <c r="L2832" i="11"/>
  <c r="L2833" i="11"/>
  <c r="L2834" i="11"/>
  <c r="L2835" i="11"/>
  <c r="L2836" i="11"/>
  <c r="L2837" i="11"/>
  <c r="L2838" i="11"/>
  <c r="L2839" i="11"/>
  <c r="L2840" i="11"/>
  <c r="L2841" i="11"/>
  <c r="L2842" i="11"/>
  <c r="L2843" i="11"/>
  <c r="L2844" i="11"/>
  <c r="L2845" i="11"/>
  <c r="L2846" i="11"/>
  <c r="L2847" i="11"/>
  <c r="L2848" i="11"/>
  <c r="L2849" i="11"/>
  <c r="L2850" i="11"/>
  <c r="L2851" i="11"/>
  <c r="L2852" i="11"/>
  <c r="L2853" i="11"/>
  <c r="L2854" i="11"/>
  <c r="L2855" i="11"/>
  <c r="L2856" i="11"/>
  <c r="L2857" i="11"/>
  <c r="L2858" i="11"/>
  <c r="L2859" i="11"/>
  <c r="L2860" i="11"/>
  <c r="L2861" i="11"/>
  <c r="L2862" i="11"/>
  <c r="L2863" i="11"/>
  <c r="L2864" i="11"/>
  <c r="L2865" i="11"/>
  <c r="L2866" i="11"/>
  <c r="L2867" i="11"/>
  <c r="L2868" i="11"/>
  <c r="L2869" i="11"/>
  <c r="L2870" i="11"/>
  <c r="L2871" i="11"/>
  <c r="L2872" i="11"/>
  <c r="L2873" i="11"/>
  <c r="L2874" i="11"/>
  <c r="L2875" i="11"/>
  <c r="L2876" i="11"/>
  <c r="L2877" i="11"/>
  <c r="L2878" i="11"/>
  <c r="L2879" i="11"/>
  <c r="L2880" i="11"/>
  <c r="L2881" i="11"/>
  <c r="L2882" i="11"/>
  <c r="L2883" i="11"/>
  <c r="L2884" i="11"/>
  <c r="L2885" i="11"/>
  <c r="L2886" i="11"/>
  <c r="L2887" i="11"/>
  <c r="L2888" i="11"/>
  <c r="L2889" i="11"/>
  <c r="L2890" i="11"/>
  <c r="L2891" i="11"/>
  <c r="L2892" i="11"/>
  <c r="L2893" i="11"/>
  <c r="L2894" i="11"/>
  <c r="L2895" i="11"/>
  <c r="L2896" i="11"/>
  <c r="L2897" i="11"/>
  <c r="L2898" i="11"/>
  <c r="L2899" i="11"/>
  <c r="L2900" i="11"/>
  <c r="L2901" i="11"/>
  <c r="L2902" i="11"/>
  <c r="L2903" i="11"/>
  <c r="L2904" i="11"/>
  <c r="L2905" i="11"/>
  <c r="L2906" i="11"/>
  <c r="L2907" i="11"/>
  <c r="L2908" i="11"/>
  <c r="L2909" i="11"/>
  <c r="L2910" i="11"/>
  <c r="L2911" i="11"/>
  <c r="L2912" i="11"/>
  <c r="L2913" i="11"/>
  <c r="L2914" i="11"/>
  <c r="L2915" i="11"/>
  <c r="L2916" i="11"/>
  <c r="L2917" i="11"/>
  <c r="L2918" i="11"/>
  <c r="L2919" i="11"/>
  <c r="L2920" i="11"/>
  <c r="L2921" i="11"/>
  <c r="L2922" i="11"/>
  <c r="L2923" i="11"/>
  <c r="L2924" i="11"/>
  <c r="L2925" i="11"/>
  <c r="L2926" i="11"/>
  <c r="L2927" i="11"/>
  <c r="L2928" i="11"/>
  <c r="L2929" i="11"/>
  <c r="L2930" i="11"/>
  <c r="L2931" i="11"/>
  <c r="L2932" i="11"/>
  <c r="L2933" i="11"/>
  <c r="L2934" i="11"/>
  <c r="L2935" i="11"/>
  <c r="L2936" i="11"/>
  <c r="L2937" i="11"/>
  <c r="L2938" i="11"/>
  <c r="L2939" i="11"/>
  <c r="L2940" i="11"/>
  <c r="L2941" i="11"/>
  <c r="L2942" i="11"/>
  <c r="L2943" i="11"/>
  <c r="L2944" i="11"/>
  <c r="L2945" i="11"/>
  <c r="L2946" i="11"/>
  <c r="L2947" i="11"/>
  <c r="L2948" i="11"/>
  <c r="L2949" i="11"/>
  <c r="L2950" i="11"/>
  <c r="L2951" i="11"/>
  <c r="L2952" i="11"/>
  <c r="L2953" i="11"/>
  <c r="L2954" i="11"/>
  <c r="L2955" i="11"/>
  <c r="L2956" i="11"/>
  <c r="L2957" i="11"/>
  <c r="L2958" i="11"/>
  <c r="L2959" i="11"/>
  <c r="L2960" i="11"/>
  <c r="L2961" i="11"/>
  <c r="L2962" i="11"/>
  <c r="L2963" i="11"/>
  <c r="L2964" i="11"/>
  <c r="L2965" i="11"/>
  <c r="L2966" i="11"/>
  <c r="L2967" i="11"/>
  <c r="L2968" i="11"/>
  <c r="L2969" i="11"/>
  <c r="L2970" i="11"/>
  <c r="L2971" i="11"/>
  <c r="L2972" i="11"/>
  <c r="L2973" i="11"/>
  <c r="L2974" i="11"/>
  <c r="L2975" i="11"/>
  <c r="L2976" i="11"/>
  <c r="L2977" i="11"/>
  <c r="L2978" i="11"/>
  <c r="L2979" i="11"/>
  <c r="L2980" i="11"/>
  <c r="L2981" i="11"/>
  <c r="L2982" i="11"/>
  <c r="L2983" i="11"/>
  <c r="L2984" i="11"/>
  <c r="L2985" i="11"/>
  <c r="L2986" i="11"/>
  <c r="L2987" i="11"/>
  <c r="L2988" i="11"/>
  <c r="L2989" i="11"/>
  <c r="L2990" i="11"/>
  <c r="L2991" i="11"/>
  <c r="L2992" i="11"/>
  <c r="L2993" i="11"/>
  <c r="L2994" i="11"/>
  <c r="L2995" i="11"/>
  <c r="L2996" i="11"/>
  <c r="L2997" i="11"/>
  <c r="L2998" i="11"/>
  <c r="L2999" i="11"/>
  <c r="L3000" i="11"/>
  <c r="L3001" i="11"/>
  <c r="L3002" i="11"/>
  <c r="L3003" i="11"/>
  <c r="L3004" i="11"/>
  <c r="L3005" i="11"/>
  <c r="L3006" i="11"/>
  <c r="L3007" i="11"/>
  <c r="L3008" i="11"/>
  <c r="L3009" i="11"/>
  <c r="L3010" i="11"/>
  <c r="L3011" i="11"/>
  <c r="L3012" i="11"/>
  <c r="L3013" i="11"/>
  <c r="L3014" i="11"/>
  <c r="L3015" i="11"/>
  <c r="L3016" i="11"/>
  <c r="L3017" i="11"/>
  <c r="L3018" i="11"/>
  <c r="L3019" i="11"/>
  <c r="L3020" i="11"/>
  <c r="L3021" i="11"/>
  <c r="L3022" i="11"/>
  <c r="L3023" i="11"/>
  <c r="L3024" i="11"/>
  <c r="L3025" i="11"/>
  <c r="L3026" i="11"/>
  <c r="L3027" i="11"/>
  <c r="L3028" i="11"/>
  <c r="L3029" i="11"/>
  <c r="L3030" i="11"/>
  <c r="L3031" i="11"/>
  <c r="L3032" i="11"/>
  <c r="L3033" i="11"/>
  <c r="L3034" i="11"/>
  <c r="L3035" i="11"/>
  <c r="L3036" i="11"/>
  <c r="L3037" i="11"/>
  <c r="L3038" i="11"/>
  <c r="L3039" i="11"/>
  <c r="L3040" i="11"/>
  <c r="L3041" i="11"/>
  <c r="L3042" i="11"/>
  <c r="L3043" i="11"/>
  <c r="L3044" i="11"/>
  <c r="L3045" i="11"/>
  <c r="L3046" i="11"/>
  <c r="L3047" i="11"/>
  <c r="L3048" i="11"/>
  <c r="L3049" i="11"/>
  <c r="L3050" i="11"/>
  <c r="L3051" i="11"/>
  <c r="L3052" i="11"/>
  <c r="L3053" i="11"/>
  <c r="L3054" i="11"/>
  <c r="L3055" i="11"/>
  <c r="L3056" i="11"/>
  <c r="L3057" i="11"/>
  <c r="L3058" i="11"/>
  <c r="L3059" i="11"/>
  <c r="L3060" i="11"/>
  <c r="L3061" i="11"/>
  <c r="L3062" i="11"/>
  <c r="L3063" i="11"/>
  <c r="L3064" i="11"/>
  <c r="L3065" i="11"/>
  <c r="L3066" i="11"/>
  <c r="L3067" i="11"/>
  <c r="L3068" i="11"/>
  <c r="L3069" i="11"/>
  <c r="L3070" i="11"/>
  <c r="L3071" i="11"/>
  <c r="L3072" i="11"/>
  <c r="L3073" i="11"/>
  <c r="L3074" i="11"/>
  <c r="L3075" i="11"/>
  <c r="L3076" i="11"/>
  <c r="L3077" i="11"/>
  <c r="L3078" i="11"/>
  <c r="L3079" i="11"/>
  <c r="L3080" i="11"/>
  <c r="L3081" i="11"/>
  <c r="L3082" i="11"/>
  <c r="L3083" i="11"/>
  <c r="L3084" i="11"/>
  <c r="L3085" i="11"/>
  <c r="L3086" i="11"/>
  <c r="L3087" i="11"/>
  <c r="L3088" i="11"/>
  <c r="L3089" i="11"/>
  <c r="L3090" i="11"/>
  <c r="L3091" i="11"/>
  <c r="L3092" i="11"/>
  <c r="L3093" i="11"/>
  <c r="L3094" i="11"/>
  <c r="L3095" i="11"/>
  <c r="L3096" i="11"/>
  <c r="L3097" i="11"/>
  <c r="L3098" i="11"/>
  <c r="L3099" i="11"/>
  <c r="L3100" i="11"/>
  <c r="L3101" i="11"/>
  <c r="L3102" i="11"/>
  <c r="L3103" i="11"/>
  <c r="L3104" i="11"/>
  <c r="L3105" i="11"/>
  <c r="L3106" i="11"/>
  <c r="L3107" i="11"/>
  <c r="L3108" i="11"/>
  <c r="L3109" i="11"/>
  <c r="L3110" i="11"/>
  <c r="L3111" i="11"/>
  <c r="L3112" i="11"/>
  <c r="L3113" i="11"/>
  <c r="L3114" i="11"/>
  <c r="L3115" i="11"/>
  <c r="L3116" i="11"/>
  <c r="L3117" i="11"/>
  <c r="L3118" i="11"/>
  <c r="L3119" i="11"/>
  <c r="L3120" i="11"/>
  <c r="L3121" i="11"/>
  <c r="L3122" i="11"/>
  <c r="L3123" i="11"/>
  <c r="L3124" i="11"/>
  <c r="L3125" i="11"/>
  <c r="L3126" i="11"/>
  <c r="L3127" i="11"/>
  <c r="L3128" i="11"/>
  <c r="L3129" i="11"/>
  <c r="L3130" i="11"/>
  <c r="L3131" i="11"/>
  <c r="L3132" i="11"/>
  <c r="L3133" i="11"/>
  <c r="L3134" i="11"/>
  <c r="L3135" i="11"/>
  <c r="L3136" i="11"/>
  <c r="L3137" i="11"/>
  <c r="L3138" i="11"/>
  <c r="L3139" i="11"/>
  <c r="L3140" i="11"/>
  <c r="L3141" i="11"/>
  <c r="L3142" i="11"/>
  <c r="L3143" i="11"/>
  <c r="L3144" i="11"/>
  <c r="L3145" i="11"/>
  <c r="L3146" i="11"/>
  <c r="L3147" i="11"/>
  <c r="L3148" i="11"/>
  <c r="L3149" i="11"/>
  <c r="L3150" i="11"/>
  <c r="L3151" i="11"/>
  <c r="L3152" i="11"/>
  <c r="L3153" i="11"/>
  <c r="L3154" i="11"/>
  <c r="L3155" i="11"/>
  <c r="L3156" i="11"/>
  <c r="L3157" i="11"/>
  <c r="L3158" i="11"/>
  <c r="L3159" i="11"/>
  <c r="L3160" i="11"/>
  <c r="L3161" i="11"/>
  <c r="L3162" i="11"/>
  <c r="L3163" i="11"/>
  <c r="L3164" i="11"/>
  <c r="L3165" i="11"/>
  <c r="L3166" i="11"/>
  <c r="L3167" i="11"/>
  <c r="L3168" i="11"/>
  <c r="L3169" i="11"/>
  <c r="L3170" i="11"/>
  <c r="L3171" i="11"/>
  <c r="L3172" i="11"/>
  <c r="L3173" i="11"/>
  <c r="L3174" i="11"/>
  <c r="L3175" i="11"/>
  <c r="L3176" i="11"/>
  <c r="L3177" i="11"/>
  <c r="L3178" i="11"/>
  <c r="L3179" i="11"/>
  <c r="L3180" i="11"/>
  <c r="L3181" i="11"/>
  <c r="L3182" i="11"/>
  <c r="L3183" i="11"/>
  <c r="L3184" i="11"/>
  <c r="L3185" i="11"/>
  <c r="L3186" i="11"/>
  <c r="L3187" i="11"/>
  <c r="L3188" i="11"/>
  <c r="L3189" i="11"/>
  <c r="L3190" i="11"/>
  <c r="L3191" i="11"/>
  <c r="L3192" i="11"/>
  <c r="L3193" i="11"/>
  <c r="L3194" i="11"/>
  <c r="L3195" i="11"/>
  <c r="L3196" i="11"/>
  <c r="L3197" i="11"/>
  <c r="L3198" i="11"/>
  <c r="L3199" i="11"/>
  <c r="L3200" i="11"/>
  <c r="L3201" i="11"/>
  <c r="L3202" i="11"/>
  <c r="L3203" i="11"/>
  <c r="L3204" i="11"/>
  <c r="L3205" i="11"/>
  <c r="L3206" i="11"/>
  <c r="L3207" i="11"/>
  <c r="L3208" i="11"/>
  <c r="L3209" i="11"/>
  <c r="L3210" i="11"/>
  <c r="L3211" i="11"/>
  <c r="L3212" i="11"/>
  <c r="L3213" i="11"/>
  <c r="L3214" i="11"/>
  <c r="L3215" i="11"/>
  <c r="L3216" i="11"/>
  <c r="L3217" i="11"/>
  <c r="L3218" i="11"/>
  <c r="L3219" i="11"/>
  <c r="L3220" i="11"/>
  <c r="L3221" i="11"/>
  <c r="L3222" i="11"/>
  <c r="L3223" i="11"/>
  <c r="L3224" i="11"/>
  <c r="L3225" i="11"/>
  <c r="L3226" i="11"/>
  <c r="L3227" i="11"/>
  <c r="L3228" i="11"/>
  <c r="L3229" i="11"/>
  <c r="L3230" i="11"/>
  <c r="L3231" i="11"/>
  <c r="L3232" i="11"/>
  <c r="L3233" i="11"/>
  <c r="L3234" i="11"/>
  <c r="L3235" i="11"/>
  <c r="L3236" i="11"/>
  <c r="L3237" i="11"/>
  <c r="L3238" i="11"/>
  <c r="L3239" i="11"/>
  <c r="L3240" i="11"/>
  <c r="L3241" i="11"/>
  <c r="L3242" i="11"/>
  <c r="L3243" i="11"/>
  <c r="L3244" i="11"/>
  <c r="L3245" i="11"/>
  <c r="L3246" i="11"/>
  <c r="L3247" i="11"/>
  <c r="L3248" i="11"/>
  <c r="L3249" i="11"/>
  <c r="L3250" i="11"/>
  <c r="L3251" i="11"/>
  <c r="L3252" i="11"/>
  <c r="L3253" i="11"/>
  <c r="L3254" i="11"/>
  <c r="L3255" i="11"/>
  <c r="L3256" i="11"/>
  <c r="L3257" i="11"/>
  <c r="L3258" i="11"/>
  <c r="L3259" i="11"/>
  <c r="L3260" i="11"/>
  <c r="L3261" i="11"/>
  <c r="L3262" i="11"/>
  <c r="L3263" i="11"/>
  <c r="L3264" i="11"/>
  <c r="L3265" i="11"/>
  <c r="L3266" i="11"/>
  <c r="L3267" i="11"/>
  <c r="L3268" i="11"/>
  <c r="L3269" i="11"/>
  <c r="L3270" i="11"/>
  <c r="L3271" i="11"/>
  <c r="L3272" i="11"/>
  <c r="L3273" i="11"/>
  <c r="L3274" i="11"/>
  <c r="L3275" i="11"/>
  <c r="L3276" i="11"/>
  <c r="L3277" i="11"/>
  <c r="L3278" i="11"/>
  <c r="L3279" i="11"/>
  <c r="L3280" i="11"/>
  <c r="L3281" i="11"/>
  <c r="L3282" i="11"/>
  <c r="L3283" i="11"/>
  <c r="L3284" i="11"/>
  <c r="L3285" i="11"/>
  <c r="L3286" i="11"/>
  <c r="L3287" i="11"/>
  <c r="L3288" i="11"/>
  <c r="L3289" i="11"/>
  <c r="L3290" i="11"/>
  <c r="L3291" i="11"/>
  <c r="L3292" i="11"/>
  <c r="L3293" i="11"/>
  <c r="L3294" i="11"/>
  <c r="L3295" i="11"/>
  <c r="L3296" i="11"/>
  <c r="L3297" i="11"/>
  <c r="L3298" i="11"/>
  <c r="L3299" i="11"/>
  <c r="L3300" i="11"/>
  <c r="L3301" i="11"/>
  <c r="L3302" i="11"/>
  <c r="L3303" i="11"/>
  <c r="L3304" i="11"/>
  <c r="L3305" i="11"/>
  <c r="L3306" i="11"/>
  <c r="L3307" i="11"/>
  <c r="L3308" i="11"/>
  <c r="L3309" i="11"/>
  <c r="L3310" i="11"/>
  <c r="L3311" i="11"/>
  <c r="L3312" i="11"/>
  <c r="L3313" i="11"/>
  <c r="L3314" i="11"/>
  <c r="L3315" i="11"/>
  <c r="L3316" i="11"/>
  <c r="L3317" i="11"/>
  <c r="L3318" i="11"/>
  <c r="L3319" i="11"/>
  <c r="L3320" i="11"/>
  <c r="L3321" i="11"/>
  <c r="L3322" i="11"/>
  <c r="L3323" i="11"/>
  <c r="L3324" i="11"/>
  <c r="L3325" i="11"/>
  <c r="L3326" i="11"/>
  <c r="L3327" i="11"/>
  <c r="L3328" i="11"/>
  <c r="L3329" i="11"/>
  <c r="L3330" i="11"/>
  <c r="L3331" i="11"/>
  <c r="L3332" i="11"/>
  <c r="L3333" i="11"/>
  <c r="L3334" i="11"/>
  <c r="L3335" i="11"/>
  <c r="L3336" i="11"/>
  <c r="L3337" i="11"/>
  <c r="L3338" i="11"/>
  <c r="L3339" i="11"/>
  <c r="L3340" i="11"/>
  <c r="L3341" i="11"/>
  <c r="L3342" i="11"/>
  <c r="L3343" i="11"/>
  <c r="L3344" i="11"/>
  <c r="L3345" i="11"/>
  <c r="L3346" i="11"/>
  <c r="L3347" i="11"/>
  <c r="L3348" i="11"/>
  <c r="L3349" i="11"/>
  <c r="L3350" i="11"/>
  <c r="L3351" i="11"/>
  <c r="L3352" i="11"/>
  <c r="L3353" i="11"/>
  <c r="L3354" i="11"/>
  <c r="L3355" i="11"/>
  <c r="L3356" i="11"/>
  <c r="L3357" i="11"/>
  <c r="L3358" i="11"/>
  <c r="L3359" i="11"/>
  <c r="L3360" i="11"/>
  <c r="L3361" i="11"/>
  <c r="L3362" i="11"/>
  <c r="L3363" i="11"/>
  <c r="L3364" i="11"/>
  <c r="L3365" i="11"/>
  <c r="L3366" i="11"/>
  <c r="L3367" i="11"/>
  <c r="L3368" i="11"/>
  <c r="L3369" i="11"/>
  <c r="L3370" i="11"/>
  <c r="L3371" i="11"/>
  <c r="L3372" i="11"/>
  <c r="L3373" i="11"/>
  <c r="L3374" i="11"/>
  <c r="L3375" i="11"/>
  <c r="L3376" i="11"/>
  <c r="L3377" i="11"/>
  <c r="L3378" i="11"/>
  <c r="L3379" i="11"/>
  <c r="L3380" i="11"/>
  <c r="L3381" i="11"/>
  <c r="L3382" i="11"/>
  <c r="L3383" i="11"/>
  <c r="L3384" i="11"/>
  <c r="L3385" i="11"/>
  <c r="L3386" i="11"/>
  <c r="L3387" i="11"/>
  <c r="L3388" i="11"/>
  <c r="L3389" i="11"/>
  <c r="L3390" i="11"/>
  <c r="L3391" i="11"/>
  <c r="L3392" i="11"/>
  <c r="L3393" i="11"/>
  <c r="L3394" i="11"/>
  <c r="L3395" i="11"/>
  <c r="L3396" i="11"/>
  <c r="L3397" i="11"/>
  <c r="L3398" i="11"/>
  <c r="L3399" i="11"/>
  <c r="L3400" i="11"/>
  <c r="L3401" i="11"/>
  <c r="L3402" i="11"/>
  <c r="L3403" i="11"/>
  <c r="L3404" i="11"/>
  <c r="L3405" i="11"/>
  <c r="L3406" i="11"/>
  <c r="L3407" i="11"/>
  <c r="L3408" i="11"/>
  <c r="L3409" i="11"/>
  <c r="L3410" i="11"/>
  <c r="L3411" i="11"/>
  <c r="L3412" i="11"/>
  <c r="L3413" i="11"/>
  <c r="L3414" i="11"/>
  <c r="L3415" i="11"/>
  <c r="L3416" i="11"/>
  <c r="L3417" i="11"/>
  <c r="L3418" i="11"/>
  <c r="L3419" i="11"/>
  <c r="L3420" i="11"/>
  <c r="L3421" i="11"/>
  <c r="L3422" i="11"/>
  <c r="L3423" i="11"/>
  <c r="L3424" i="11"/>
  <c r="L3425" i="11"/>
  <c r="L3426" i="11"/>
  <c r="L3427" i="11"/>
  <c r="L3428" i="11"/>
  <c r="L3429" i="11"/>
  <c r="L3430" i="11"/>
  <c r="L3431" i="11"/>
  <c r="L3432" i="11"/>
  <c r="L3433" i="11"/>
  <c r="L3434" i="11"/>
  <c r="L3435" i="11"/>
  <c r="L3436" i="11"/>
  <c r="L3437" i="11"/>
  <c r="L3438" i="11"/>
  <c r="L3439" i="11"/>
  <c r="L3440" i="11"/>
  <c r="L3441" i="11"/>
  <c r="L3442" i="11"/>
  <c r="L3443" i="11"/>
  <c r="L3444" i="11"/>
  <c r="L3445" i="11"/>
  <c r="L3446" i="11"/>
  <c r="L3447" i="11"/>
  <c r="L3448" i="11"/>
  <c r="L3449" i="11"/>
  <c r="L3450" i="11"/>
  <c r="L3451" i="11"/>
  <c r="L3452" i="11"/>
  <c r="L3453" i="11"/>
  <c r="L3454" i="11"/>
  <c r="L3455" i="11"/>
  <c r="L3456" i="11"/>
  <c r="L3457" i="11"/>
  <c r="L3458" i="11"/>
  <c r="L3459" i="11"/>
  <c r="L3460" i="11"/>
  <c r="L3461" i="11"/>
  <c r="L3462" i="11"/>
  <c r="L3463" i="11"/>
  <c r="L3464" i="11"/>
  <c r="L3465" i="11"/>
  <c r="L3466" i="11"/>
  <c r="L3467" i="11"/>
  <c r="L3468" i="11"/>
  <c r="L3469" i="11"/>
  <c r="L3470" i="11"/>
  <c r="L3471" i="11"/>
  <c r="L3472" i="11"/>
  <c r="L3473" i="11"/>
  <c r="L3474" i="11"/>
  <c r="L3475" i="11"/>
  <c r="L3476" i="11"/>
  <c r="L3477" i="11"/>
  <c r="L3478" i="11"/>
  <c r="L3479" i="11"/>
  <c r="L3480" i="11"/>
  <c r="L3481" i="11"/>
  <c r="L3482" i="11"/>
  <c r="L3483" i="11"/>
  <c r="L3484" i="11"/>
  <c r="L3485" i="11"/>
  <c r="L3486" i="11"/>
  <c r="L3487" i="11"/>
  <c r="L3488" i="11"/>
  <c r="L3489" i="11"/>
  <c r="L3490" i="11"/>
  <c r="L3491" i="11"/>
  <c r="L3492" i="11"/>
  <c r="L3493" i="11"/>
  <c r="L3494" i="11"/>
  <c r="L3495" i="11"/>
  <c r="L3496" i="11"/>
  <c r="L3497" i="11"/>
  <c r="L3498" i="11"/>
  <c r="L3499" i="11"/>
  <c r="L3500" i="11"/>
  <c r="L3501" i="11"/>
  <c r="L3502" i="11"/>
  <c r="L3503" i="11"/>
  <c r="L3504" i="11"/>
  <c r="L3505" i="11"/>
  <c r="L3506" i="11"/>
  <c r="L3507" i="11"/>
  <c r="L3508" i="11"/>
  <c r="L3509" i="11"/>
  <c r="L3510" i="11"/>
  <c r="L3511" i="11"/>
  <c r="L3512" i="11"/>
  <c r="L3513" i="11"/>
  <c r="L3514" i="11"/>
  <c r="L3515" i="11"/>
  <c r="L3516" i="11"/>
  <c r="L3517" i="11"/>
  <c r="L3518" i="11"/>
  <c r="L3519" i="11"/>
  <c r="L3520" i="11"/>
  <c r="L3521" i="11"/>
  <c r="L3522" i="11"/>
  <c r="L3523" i="11"/>
  <c r="L3524" i="11"/>
  <c r="L3525" i="11"/>
  <c r="L3526" i="11"/>
  <c r="L3527" i="11"/>
  <c r="L3528" i="11"/>
  <c r="L3529" i="11"/>
  <c r="L3530" i="11"/>
  <c r="L3531" i="11"/>
  <c r="L3532" i="11"/>
  <c r="L3533" i="11"/>
  <c r="L3534" i="11"/>
  <c r="L3535" i="11"/>
  <c r="L3536" i="11"/>
  <c r="L3537" i="11"/>
  <c r="L3538" i="11"/>
  <c r="L3539" i="11"/>
  <c r="L3540" i="11"/>
  <c r="L3541" i="11"/>
  <c r="L3542" i="11"/>
  <c r="L3543" i="11"/>
  <c r="L3544" i="11"/>
  <c r="L3545" i="11"/>
  <c r="L3546" i="11"/>
  <c r="L3547" i="11"/>
  <c r="L3548" i="11"/>
  <c r="L3549" i="11"/>
  <c r="L3550" i="11"/>
  <c r="L3551" i="11"/>
  <c r="L3552" i="11"/>
  <c r="L3553" i="11"/>
  <c r="L3554" i="11"/>
  <c r="L3555" i="11"/>
  <c r="L3556" i="11"/>
  <c r="L3557" i="11"/>
  <c r="L3558" i="11"/>
  <c r="L3559" i="11"/>
  <c r="L3560" i="11"/>
  <c r="L3561" i="11"/>
  <c r="L3562" i="11"/>
  <c r="L3563" i="11"/>
  <c r="L3564" i="11"/>
  <c r="L3565" i="11"/>
  <c r="L3566" i="11"/>
  <c r="L3567" i="11"/>
  <c r="L3568" i="11"/>
  <c r="L3569" i="11"/>
  <c r="L3570" i="11"/>
  <c r="L3571" i="11"/>
  <c r="L3572" i="11"/>
  <c r="L3573" i="11"/>
  <c r="L3574" i="11"/>
  <c r="L3575" i="11"/>
  <c r="L3576" i="11"/>
  <c r="L3577" i="11"/>
  <c r="L3578" i="11"/>
  <c r="L3579" i="11"/>
  <c r="L3580" i="11"/>
  <c r="L3581" i="11"/>
  <c r="L3582" i="11"/>
  <c r="L3583" i="11"/>
  <c r="L3584" i="11"/>
  <c r="L3585" i="11"/>
  <c r="L3586" i="11"/>
  <c r="L3587" i="11"/>
  <c r="L3588" i="11"/>
  <c r="L3589" i="11"/>
  <c r="L3590" i="11"/>
  <c r="L3591" i="11"/>
  <c r="L3592" i="11"/>
  <c r="L3593" i="11"/>
  <c r="L3594" i="11"/>
  <c r="L3595" i="11"/>
  <c r="L3596" i="11"/>
  <c r="L3597" i="11"/>
  <c r="L3598" i="11"/>
  <c r="L3599" i="11"/>
  <c r="L3600" i="11"/>
  <c r="L3601" i="11"/>
  <c r="L3602" i="11"/>
  <c r="L3603" i="11"/>
  <c r="L3604" i="11"/>
  <c r="L3605" i="11"/>
  <c r="L3606" i="11"/>
  <c r="L3607" i="11"/>
  <c r="L3608" i="11"/>
  <c r="L3609" i="11"/>
  <c r="L3610" i="11"/>
  <c r="L3611" i="11"/>
  <c r="L3612" i="11"/>
  <c r="L3613" i="11"/>
  <c r="L3614" i="11"/>
  <c r="L3615" i="11"/>
  <c r="L3616" i="11"/>
  <c r="L3617" i="11"/>
  <c r="L3618" i="11"/>
  <c r="L3619" i="11"/>
  <c r="L3620" i="11"/>
  <c r="L3621" i="11"/>
  <c r="L3622" i="11"/>
  <c r="L3623" i="11"/>
  <c r="L3624" i="11"/>
  <c r="L3625" i="11"/>
  <c r="L3626" i="11"/>
  <c r="L3627" i="11"/>
  <c r="L3628" i="11"/>
  <c r="L3629" i="11"/>
  <c r="L3630" i="11"/>
  <c r="L3631" i="11"/>
  <c r="L3632" i="11"/>
  <c r="L3633" i="11"/>
  <c r="L3634" i="11"/>
  <c r="L3635" i="11"/>
  <c r="L3636" i="11"/>
  <c r="L3637" i="11"/>
  <c r="L3638" i="11"/>
  <c r="L3639" i="11"/>
  <c r="L3640" i="11"/>
  <c r="L3641" i="11"/>
  <c r="L3642" i="11"/>
  <c r="L3643" i="11"/>
  <c r="L3644" i="11"/>
  <c r="L3645" i="11"/>
  <c r="L3646" i="11"/>
  <c r="L3647" i="11"/>
  <c r="L3648" i="11"/>
  <c r="L3649" i="11"/>
  <c r="L3650" i="11"/>
  <c r="L3651" i="11"/>
  <c r="L3652" i="11"/>
  <c r="L3653" i="11"/>
  <c r="L3654" i="11"/>
  <c r="L3655" i="11"/>
  <c r="L3656" i="11"/>
  <c r="L3657" i="11"/>
  <c r="L3658" i="11"/>
  <c r="L3659" i="11"/>
  <c r="L3660" i="11"/>
  <c r="L3661" i="11"/>
  <c r="L3662" i="11"/>
  <c r="L3663" i="11"/>
  <c r="L3664" i="11"/>
  <c r="L3665" i="11"/>
  <c r="L3666" i="11"/>
  <c r="L3667" i="11"/>
  <c r="L3668" i="11"/>
  <c r="L3669" i="11"/>
  <c r="L3670" i="11"/>
  <c r="L3671" i="11"/>
  <c r="L3672" i="11"/>
  <c r="L3673" i="11"/>
  <c r="L3674" i="11"/>
  <c r="L3675" i="11"/>
  <c r="L3676" i="11"/>
  <c r="L3677" i="11"/>
  <c r="L3678" i="11"/>
  <c r="L3679" i="11"/>
  <c r="L3680" i="11"/>
  <c r="L3681" i="11"/>
  <c r="L3682" i="11"/>
  <c r="L3683" i="11"/>
  <c r="L3684" i="11"/>
  <c r="L3685" i="11"/>
  <c r="L3686" i="11"/>
  <c r="L3687" i="11"/>
  <c r="L3688" i="11"/>
  <c r="L3689" i="11"/>
  <c r="L3690" i="11"/>
  <c r="L3691" i="11"/>
  <c r="L3692" i="11"/>
  <c r="L3693" i="11"/>
  <c r="L3694" i="11"/>
  <c r="L3695" i="11"/>
  <c r="L3696" i="11"/>
  <c r="L3697" i="11"/>
  <c r="L3698" i="11"/>
  <c r="L3699" i="11"/>
  <c r="L3700" i="11"/>
  <c r="L3701" i="11"/>
  <c r="L3702" i="11"/>
  <c r="L3703" i="11"/>
  <c r="L3704" i="11"/>
  <c r="L3705" i="11"/>
  <c r="L3706" i="11"/>
  <c r="L3707" i="11"/>
  <c r="L3708" i="11"/>
  <c r="L3709" i="11"/>
  <c r="L3710" i="11"/>
  <c r="L3711" i="11"/>
  <c r="L3712" i="11"/>
  <c r="L3713" i="11"/>
  <c r="L3714" i="11"/>
  <c r="L3715" i="11"/>
  <c r="L3716" i="11"/>
  <c r="L3717" i="11"/>
  <c r="L3718" i="11"/>
  <c r="L3719" i="11"/>
  <c r="L3720" i="11"/>
  <c r="L3721" i="11"/>
  <c r="L3722" i="11"/>
  <c r="L3723" i="11"/>
  <c r="L3724" i="11"/>
  <c r="L3725" i="11"/>
  <c r="L3726" i="11"/>
  <c r="L3727" i="11"/>
  <c r="L3728" i="11"/>
  <c r="L3729" i="11"/>
  <c r="L3730" i="11"/>
  <c r="L3731" i="11"/>
  <c r="L3732" i="11"/>
  <c r="L3733" i="11"/>
  <c r="L3734" i="11"/>
  <c r="L3735" i="11"/>
  <c r="L3736" i="11"/>
  <c r="L3737" i="11"/>
  <c r="L3738" i="11"/>
  <c r="L3739" i="11"/>
  <c r="L3740" i="11"/>
  <c r="L3741" i="11"/>
  <c r="L3742" i="11"/>
  <c r="L3743" i="11"/>
  <c r="L3744" i="11"/>
  <c r="L3745" i="11"/>
  <c r="L3746" i="11"/>
  <c r="L3747" i="11"/>
  <c r="L3748" i="11"/>
  <c r="L3749" i="11"/>
  <c r="L3750" i="11"/>
  <c r="L3751" i="11"/>
  <c r="L3752" i="11"/>
  <c r="L3753" i="11"/>
  <c r="L3754" i="11"/>
  <c r="L3755" i="11"/>
  <c r="L3756" i="11"/>
  <c r="L3757" i="11"/>
  <c r="L3758" i="11"/>
  <c r="L3759" i="11"/>
  <c r="L3760" i="11"/>
  <c r="L3761" i="11"/>
  <c r="L3762" i="11"/>
  <c r="L3763" i="11"/>
  <c r="L3764" i="11"/>
  <c r="L3765" i="11"/>
  <c r="L3766" i="11"/>
  <c r="L3767" i="11"/>
  <c r="L3768" i="11"/>
  <c r="L3769" i="11"/>
  <c r="L3770" i="11"/>
  <c r="L3771" i="11"/>
  <c r="L3772" i="11"/>
  <c r="L3773" i="11"/>
  <c r="L3774" i="11"/>
  <c r="L3775" i="11"/>
  <c r="L3776" i="11"/>
  <c r="L3777" i="11"/>
  <c r="L3778" i="11"/>
  <c r="L3779" i="11"/>
  <c r="L3780" i="11"/>
  <c r="L3781" i="11"/>
  <c r="L3782" i="11"/>
  <c r="L3783" i="11"/>
  <c r="L3784" i="11"/>
  <c r="L3785" i="11"/>
  <c r="L3786" i="11"/>
  <c r="L3787" i="11"/>
  <c r="L3788" i="11"/>
  <c r="L3789" i="11"/>
  <c r="L3790" i="11"/>
  <c r="L3791" i="11"/>
  <c r="L3792" i="11"/>
  <c r="L3793" i="11"/>
  <c r="L3794" i="11"/>
  <c r="L3795" i="11"/>
  <c r="L3796" i="11"/>
  <c r="L3797" i="11"/>
  <c r="L3798" i="11"/>
  <c r="L3799" i="11"/>
  <c r="L3800" i="11"/>
  <c r="L3801" i="11"/>
  <c r="L3802" i="11"/>
  <c r="L3803" i="11"/>
  <c r="L3804" i="11"/>
  <c r="L3805" i="11"/>
  <c r="L3806" i="11"/>
  <c r="L3807" i="11"/>
  <c r="L3808" i="11"/>
  <c r="L3809" i="11"/>
  <c r="L3810" i="11"/>
  <c r="L3811" i="11"/>
  <c r="L3812" i="11"/>
  <c r="L3813" i="11"/>
  <c r="L3814" i="11"/>
  <c r="L3815" i="11"/>
  <c r="L3816" i="11"/>
  <c r="L3817" i="11"/>
  <c r="L3818" i="11"/>
  <c r="L3819" i="11"/>
  <c r="L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4" i="11"/>
  <c r="D58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4" i="11"/>
  <c r="N125" i="14" l="1"/>
  <c r="O125" i="14" s="1"/>
  <c r="G2780" i="16"/>
  <c r="G2740" i="16"/>
  <c r="G2700" i="16"/>
  <c r="G2636" i="16"/>
  <c r="G2532" i="16"/>
  <c r="G2388" i="16"/>
  <c r="G2204" i="16"/>
  <c r="G1996" i="16"/>
  <c r="G1812" i="16"/>
  <c r="G1748" i="16"/>
  <c r="G1436" i="16"/>
  <c r="G524" i="16"/>
  <c r="G316" i="16"/>
  <c r="G212" i="16"/>
  <c r="G148" i="16"/>
  <c r="G3176" i="16"/>
  <c r="G2928" i="16"/>
  <c r="G3303" i="16"/>
  <c r="G3239" i="16"/>
  <c r="G2863" i="16"/>
  <c r="G3134" i="16"/>
  <c r="G3030" i="16"/>
  <c r="G2574" i="16"/>
  <c r="G2182" i="16"/>
  <c r="G3781" i="16"/>
  <c r="G3636" i="16"/>
  <c r="G3532" i="16"/>
  <c r="G3" i="16"/>
  <c r="G3739" i="16"/>
  <c r="G3363" i="16"/>
  <c r="G3219" i="16"/>
  <c r="G3155" i="16"/>
  <c r="G2971" i="16"/>
  <c r="G2803" i="16"/>
  <c r="G2451" i="16"/>
  <c r="G2243" i="16"/>
  <c r="G2059" i="16"/>
  <c r="G1955" i="16"/>
  <c r="G1851" i="16"/>
  <c r="G1643" i="16"/>
  <c r="G1539" i="16"/>
  <c r="G1371" i="16"/>
  <c r="G1331" i="16"/>
  <c r="G1187" i="16"/>
  <c r="G1123" i="16"/>
  <c r="G1083" i="16"/>
  <c r="G483" i="16"/>
  <c r="G3384" i="16"/>
  <c r="G2326" i="16"/>
  <c r="G3677" i="16"/>
  <c r="G3613" i="16"/>
  <c r="G3573" i="16"/>
  <c r="G3093" i="16"/>
  <c r="G2949" i="16"/>
  <c r="G2885" i="16"/>
  <c r="G3700" i="16"/>
  <c r="G3260" i="16"/>
  <c r="G3426" i="16"/>
  <c r="G3010" i="16"/>
  <c r="G2906" i="16"/>
  <c r="G2554" i="16"/>
  <c r="G2490" i="16"/>
  <c r="G2346" i="16"/>
  <c r="G2306" i="16"/>
  <c r="G2226" i="16"/>
  <c r="G2162" i="16"/>
  <c r="G2098" i="16"/>
  <c r="G2018" i="16"/>
  <c r="G1914" i="16"/>
  <c r="G1706" i="16"/>
  <c r="G1498" i="16"/>
  <c r="G1458" i="16"/>
  <c r="G1394" i="16"/>
  <c r="G1146" i="16"/>
  <c r="G1042" i="16"/>
  <c r="G938" i="16"/>
  <c r="G874" i="16"/>
  <c r="G834" i="16"/>
  <c r="G626" i="16"/>
  <c r="G586" i="16"/>
  <c r="G418" i="16"/>
  <c r="G354" i="16"/>
  <c r="G234" i="16"/>
  <c r="G42" i="16"/>
  <c r="G2678" i="16"/>
  <c r="G3405" i="16"/>
  <c r="G3341" i="16"/>
  <c r="G3197" i="16"/>
  <c r="G3053" i="16"/>
  <c r="G2613" i="16"/>
  <c r="G3802" i="16"/>
  <c r="G3761" i="16"/>
  <c r="G3721" i="16"/>
  <c r="G3593" i="16"/>
  <c r="G3489" i="16"/>
  <c r="G3321" i="16"/>
  <c r="G3113" i="16"/>
  <c r="G2841" i="16"/>
  <c r="G2721" i="16"/>
  <c r="G2265" i="16"/>
  <c r="G1977" i="16"/>
  <c r="G1769" i="16"/>
  <c r="G1289" i="16"/>
  <c r="G1209" i="16"/>
  <c r="G961" i="16"/>
  <c r="G897" i="16"/>
  <c r="G793" i="16"/>
  <c r="G689" i="16"/>
  <c r="G545" i="16"/>
  <c r="G273" i="16"/>
  <c r="G169" i="16"/>
  <c r="G65" i="16"/>
  <c r="G2760" i="16"/>
  <c r="G2656" i="16"/>
  <c r="G2592" i="16"/>
  <c r="G2512" i="16"/>
  <c r="G2472" i="16"/>
  <c r="G2408" i="16"/>
  <c r="G1872" i="16"/>
  <c r="G1728" i="16"/>
  <c r="G1664" i="16"/>
  <c r="G1600" i="16"/>
  <c r="G1560" i="16"/>
  <c r="G1248" i="16"/>
  <c r="G1000" i="16"/>
  <c r="G712" i="16"/>
  <c r="G648" i="16"/>
  <c r="G440" i="16"/>
  <c r="G376" i="16"/>
  <c r="G104" i="16"/>
  <c r="G2119" i="16"/>
  <c r="G2079" i="16"/>
  <c r="G1935" i="16"/>
  <c r="G1479" i="16"/>
  <c r="G1311" i="16"/>
  <c r="G1063" i="16"/>
  <c r="G751" i="16"/>
  <c r="G607" i="16"/>
  <c r="G567" i="16"/>
  <c r="G503" i="16"/>
  <c r="G191" i="16"/>
  <c r="G3656" i="16"/>
  <c r="G3552" i="16"/>
  <c r="G3448" i="16"/>
  <c r="G3280" i="16"/>
  <c r="G3072" i="16"/>
  <c r="G2823" i="16"/>
  <c r="G3470" i="16"/>
  <c r="G2990" i="16"/>
  <c r="G2038" i="16"/>
  <c r="G1830" i="16"/>
  <c r="G1686" i="16"/>
  <c r="G1622" i="16"/>
  <c r="G1518" i="16"/>
  <c r="G1414" i="16"/>
  <c r="G1102" i="16"/>
  <c r="G1022" i="16"/>
  <c r="G982" i="16"/>
  <c r="G854" i="16"/>
  <c r="G734" i="16"/>
  <c r="G334" i="16"/>
  <c r="G126" i="16"/>
  <c r="G22" i="16"/>
  <c r="G3511" i="16"/>
  <c r="G2429" i="16"/>
  <c r="G2365" i="16"/>
  <c r="G2285" i="16"/>
  <c r="G2141" i="16"/>
  <c r="G1893" i="16"/>
  <c r="G1789" i="16"/>
  <c r="G1581" i="16"/>
  <c r="G1349" i="16"/>
  <c r="G1269" i="16"/>
  <c r="G1229" i="16"/>
  <c r="G1165" i="16"/>
  <c r="G917" i="16"/>
  <c r="G813" i="16"/>
  <c r="G773" i="16"/>
  <c r="G669" i="16"/>
  <c r="G461" i="16"/>
  <c r="G397" i="16"/>
  <c r="G293" i="16"/>
  <c r="G253" i="16"/>
  <c r="G85" i="16"/>
  <c r="O3" i="13"/>
  <c r="N113" i="13"/>
  <c r="O113" i="13" s="1"/>
  <c r="V3" i="14"/>
  <c r="U3" i="14"/>
  <c r="W3" i="14"/>
  <c r="O3" i="15"/>
  <c r="N125" i="15"/>
  <c r="O125" i="15" s="1"/>
  <c r="O3" i="16"/>
  <c r="N125" i="16"/>
  <c r="O125" i="16" s="1"/>
  <c r="N113" i="12"/>
  <c r="O113" i="12" s="1"/>
  <c r="W3" i="12" s="1"/>
  <c r="N113" i="19"/>
  <c r="O113" i="19" s="1"/>
  <c r="V3" i="19" s="1"/>
  <c r="Q3" i="12"/>
  <c r="V3" i="13" l="1"/>
  <c r="W3" i="15"/>
  <c r="U3" i="13"/>
  <c r="W3" i="16"/>
  <c r="V3" i="12"/>
  <c r="W3" i="13"/>
  <c r="U3" i="15"/>
  <c r="V3" i="15"/>
  <c r="U3" i="16"/>
  <c r="V3" i="16"/>
  <c r="W3" i="19"/>
  <c r="U3" i="19"/>
  <c r="X3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<sst xmlns="http://schemas.openxmlformats.org/spreadsheetml/2006/main" count="26929" uniqueCount="437">
  <si>
    <t>Security</t>
  </si>
  <si>
    <t>SX5E Index</t>
  </si>
  <si>
    <t>Start Date</t>
  </si>
  <si>
    <t>End Date</t>
  </si>
  <si>
    <t>Period</t>
  </si>
  <si>
    <t>D</t>
  </si>
  <si>
    <t>Currency</t>
  </si>
  <si>
    <t>EUR</t>
  </si>
  <si>
    <t>Date</t>
  </si>
  <si>
    <t>PX_LAST</t>
  </si>
  <si>
    <t>CAC Index</t>
  </si>
  <si>
    <t>DAX Index</t>
  </si>
  <si>
    <t>UKX Index</t>
  </si>
  <si>
    <t>IBEX Index</t>
  </si>
  <si>
    <t>FTSEMIB Index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</si>
  <si>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</si>
  <si>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</si>
  <si>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</si>
  <si>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</si>
  <si>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</si>
  <si>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</si>
  <si>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</si>
  <si>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</si>
  <si>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</si>
  <si>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</si>
  <si>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</si>
  <si>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</si>
  <si>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</si>
  <si>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</si>
  <si>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</si>
  <si>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</si>
  <si>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</si>
  <si>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</si>
  <si>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</si>
  <si>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</si>
  <si>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</si>
  <si>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</si>
  <si>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</si>
  <si>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</si>
  <si>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</si>
  <si>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</si>
  <si>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</si>
  <si>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</si>
  <si>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</si>
  <si>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</si>
  <si>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</si>
  <si>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</si>
  <si>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</si>
  <si>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</si>
  <si>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</si>
  <si>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</si>
  <si>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</si>
  <si>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</si>
  <si>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</si>
  <si>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</si>
  <si>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</si>
  <si>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</si>
  <si>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</si>
  <si>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</si>
  <si>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</si>
  <si>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</si>
  <si>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</si>
  <si>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</si>
  <si>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</si>
  <si>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</si>
  <si>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</si>
  <si>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</si>
  <si>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</si>
  <si>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</si>
  <si>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</si>
  <si>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</si>
  <si>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</si>
  <si>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</si>
  <si>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</si>
  <si>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</si>
  <si>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</si>
  <si>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</si>
  <si>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</si>
  <si>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</si>
  <si>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</si>
  <si>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</si>
  <si>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</si>
  <si>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</si>
  <si>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</si>
  <si>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</si>
  <si>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</si>
  <si>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</si>
  <si>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</si>
  <si>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</si>
  <si>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</si>
  <si>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</si>
  <si>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</si>
  <si>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</si>
  <si>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</si>
  <si>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</si>
  <si>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</si>
  <si>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</si>
  <si>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</si>
  <si>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</si>
  <si>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</si>
  <si>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</si>
  <si>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</si>
  <si>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</si>
  <si>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</si>
  <si>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</si>
  <si>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</si>
  <si>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</si>
  <si>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</si>
  <si>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</si>
  <si>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</si>
  <si>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</si>
  <si>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</si>
  <si>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</si>
  <si>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</si>
  <si>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</si>
  <si>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</si>
  <si>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</si>
  <si>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</si>
  <si>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</si>
  <si>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</si>
  <si>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</si>
  <si>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</si>
  <si>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</si>
  <si>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</si>
  <si>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</si>
  <si>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</si>
  <si>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</si>
  <si>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</si>
  <si>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</si>
  <si>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</si>
  <si>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</si>
  <si>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</si>
  <si>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</si>
  <si>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</si>
  <si>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</si>
  <si>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</si>
  <si>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</si>
  <si>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</si>
  <si>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</si>
  <si>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</si>
  <si>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</si>
  <si>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</si>
  <si>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</si>
  <si>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</si>
  <si>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</si>
  <si>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</si>
  <si>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</si>
  <si>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</si>
  <si>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</si>
  <si>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</si>
  <si>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</si>
  <si>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</si>
  <si>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</si>
  <si>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</si>
  <si>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</si>
  <si>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</si>
  <si>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</si>
  <si>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</si>
  <si>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</si>
  <si>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</si>
  <si>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</si>
  <si>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</si>
  <si>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</si>
  <si>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</si>
  <si>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</si>
  <si>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</si>
  <si>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</si>
  <si>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</si>
  <si>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</si>
  <si>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</si>
  <si>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</si>
  <si>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</si>
  <si>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</si>
  <si>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</si>
  <si>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</si>
  <si>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</si>
  <si>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</si>
  <si>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</si>
  <si>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</si>
  <si>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</si>
  <si>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</si>
  <si>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</si>
  <si>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</si>
  <si>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</si>
  <si>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</si>
  <si>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</si>
  <si>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</si>
  <si>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</si>
  <si>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</si>
  <si>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</si>
  <si>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</si>
  <si>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</si>
  <si>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</si>
  <si>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</si>
  <si>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</si>
  <si>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</si>
  <si>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</si>
  <si>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</si>
  <si>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</si>
  <si>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 xml:space="preserve">VAR </t>
  </si>
  <si>
    <t>ES</t>
  </si>
  <si>
    <t>VAR</t>
  </si>
  <si>
    <t>EPU</t>
  </si>
  <si>
    <t>VIX</t>
  </si>
  <si>
    <t>Dates</t>
  </si>
  <si>
    <t>VaR FTSEMIB</t>
  </si>
  <si>
    <t>VaR IBEX</t>
  </si>
  <si>
    <t>VaR UKX</t>
  </si>
  <si>
    <t>VaR DAX</t>
  </si>
  <si>
    <t>VaR CAC</t>
  </si>
  <si>
    <t>VaR SXSE</t>
  </si>
  <si>
    <t>EPU européen</t>
  </si>
  <si>
    <t>EPU France</t>
  </si>
  <si>
    <t>EPU Allemagne</t>
  </si>
  <si>
    <t>EPU Espagne</t>
  </si>
  <si>
    <t>EPU Italie</t>
  </si>
  <si>
    <t>M</t>
  </si>
  <si>
    <t>USD</t>
  </si>
  <si>
    <t>VIX Index US</t>
  </si>
  <si>
    <t>V2X Index Europe</t>
  </si>
  <si>
    <t>V2X</t>
  </si>
  <si>
    <t>VAR FTSEMIB</t>
  </si>
  <si>
    <t>Corr(EPU, VaR)</t>
  </si>
  <si>
    <t>Corr(EPU, ES)</t>
  </si>
  <si>
    <t>Corr(VaR, ES)</t>
  </si>
  <si>
    <t>RAPPORT DÉTAILLÉ</t>
  </si>
  <si>
    <t>Statistiques de la régression</t>
  </si>
  <si>
    <t>Coefficient de détermination multiple</t>
  </si>
  <si>
    <t>Coefficient de détermination R^2</t>
  </si>
  <si>
    <t>Erreur-type</t>
  </si>
  <si>
    <t>Observations</t>
  </si>
  <si>
    <t>ANALYSE DE VARIANCE</t>
  </si>
  <si>
    <t>Régression</t>
  </si>
  <si>
    <t>Résidus</t>
  </si>
  <si>
    <t>Total</t>
  </si>
  <si>
    <t>Constante</t>
  </si>
  <si>
    <t>Degré de liberté</t>
  </si>
  <si>
    <t>Somme des carrés</t>
  </si>
  <si>
    <t>Moyenne des carrés</t>
  </si>
  <si>
    <t>F</t>
  </si>
  <si>
    <t>Valeur critique de F</t>
  </si>
  <si>
    <t>Coefficients</t>
  </si>
  <si>
    <t>Statistique t</t>
  </si>
  <si>
    <t>Probabilité</t>
  </si>
  <si>
    <t>Limite inférieure pour seuil de confiance = 95%</t>
  </si>
  <si>
    <t>Limite supérieure pour seuil de confiance = 95%</t>
  </si>
  <si>
    <t>Limite inférieure pour seuil de confiance =  95,0%</t>
  </si>
  <si>
    <t>Limite supérieure pour seuil de confiance =  95,0%</t>
  </si>
  <si>
    <t>Variable X 1</t>
  </si>
  <si>
    <t>σ</t>
  </si>
  <si>
    <t>σ(t-1)</t>
  </si>
  <si>
    <t>Variable X 2</t>
  </si>
  <si>
    <t>Variable X 3</t>
  </si>
  <si>
    <t>CAC 40</t>
  </si>
  <si>
    <t>CAC 40 Mean</t>
  </si>
  <si>
    <t>CAC 40 Min</t>
  </si>
  <si>
    <t xml:space="preserve">CAC 40 Max </t>
  </si>
  <si>
    <t>DAX Mean</t>
  </si>
  <si>
    <t>DAX Min</t>
  </si>
  <si>
    <t xml:space="preserve">DAX Max </t>
  </si>
  <si>
    <t>FTSEMIB Mean</t>
  </si>
  <si>
    <t>FTSEMIB Min</t>
  </si>
  <si>
    <t xml:space="preserve">FTSEMIB Max </t>
  </si>
  <si>
    <t>IBEX Mean</t>
  </si>
  <si>
    <t>IBEX Min</t>
  </si>
  <si>
    <t xml:space="preserve">IBEX Max </t>
  </si>
  <si>
    <t>EuroStoxx Mean</t>
  </si>
  <si>
    <t>EuroStoxx Min</t>
  </si>
  <si>
    <t xml:space="preserve">EuroStoxx Max </t>
  </si>
  <si>
    <t>FTSE Mean</t>
  </si>
  <si>
    <t>FTSE Min</t>
  </si>
  <si>
    <t xml:space="preserve">FTSE Max </t>
  </si>
  <si>
    <t>VaR (5%)</t>
  </si>
  <si>
    <t>Month</t>
  </si>
  <si>
    <t>Corr(EPU, VIX)</t>
  </si>
  <si>
    <t>Corr(EPU, V2X)</t>
  </si>
  <si>
    <t>Corrélation</t>
  </si>
  <si>
    <t>DAX</t>
  </si>
  <si>
    <t>FTSE MIB</t>
  </si>
  <si>
    <t>IBEX 35</t>
  </si>
  <si>
    <t>FTSE100</t>
  </si>
  <si>
    <t>Euro Stoxx</t>
  </si>
  <si>
    <t>EPU-VaR</t>
  </si>
  <si>
    <t>EPU-ES</t>
  </si>
  <si>
    <t>VaR-ES</t>
  </si>
  <si>
    <t>EPU-VIX</t>
  </si>
  <si>
    <t>EPU-V2X</t>
  </si>
  <si>
    <t>EPU -&gt; VaR</t>
  </si>
  <si>
    <t>EPU -&gt; ES</t>
  </si>
  <si>
    <t>Coeff. β</t>
  </si>
  <si>
    <t>t-Stat</t>
  </si>
  <si>
    <t xml:space="preserve">	p-Value</t>
  </si>
  <si>
    <t xml:space="preserve">	R²</t>
  </si>
  <si>
    <t>EPU(t-1) -&gt; VaR(t-1)</t>
  </si>
  <si>
    <t>EPU(t-1) -&gt; ES(t-1)</t>
  </si>
  <si>
    <t>EPU (t-1)</t>
  </si>
  <si>
    <r>
      <rPr>
        <sz val="11"/>
        <color theme="1"/>
        <rFont val="Aptos Narrow"/>
        <family val="2"/>
      </rPr>
      <t>σ</t>
    </r>
    <r>
      <rPr>
        <sz val="11"/>
        <color theme="1"/>
        <rFont val="Calibri"/>
        <family val="2"/>
      </rPr>
      <t xml:space="preserve"> (t-1)</t>
    </r>
  </si>
  <si>
    <t xml:space="preserve">Constante </t>
  </si>
  <si>
    <t xml:space="preserve">VIX </t>
  </si>
  <si>
    <t>Significatif à 5%</t>
  </si>
  <si>
    <t>Variable VaR CAC 40</t>
  </si>
  <si>
    <t>Variable VaR DAX</t>
  </si>
  <si>
    <t>Variable VaR IBEX</t>
  </si>
  <si>
    <t>Yields</t>
  </si>
  <si>
    <r>
      <rPr>
        <sz val="11"/>
        <color theme="1"/>
        <rFont val="Aptos Narrow"/>
        <family val="2"/>
      </rPr>
      <t>σ</t>
    </r>
    <r>
      <rPr>
        <sz val="11"/>
        <color theme="1"/>
        <rFont val="Calibri"/>
        <family val="2"/>
      </rPr>
      <t xml:space="preserve"> (realized volatility) </t>
    </r>
  </si>
  <si>
    <t xml:space="preserve">Variables </t>
  </si>
  <si>
    <t>Description</t>
  </si>
  <si>
    <t xml:space="preserve">Frequency </t>
  </si>
  <si>
    <t xml:space="preserve">Source </t>
  </si>
  <si>
    <t>Bloomberg</t>
  </si>
  <si>
    <t xml:space="preserve">ES </t>
  </si>
  <si>
    <t>PolicyUncertainty.com</t>
  </si>
  <si>
    <t>VIX/V2X</t>
  </si>
  <si>
    <t xml:space="preserve">Daily </t>
  </si>
  <si>
    <t>Monthly</t>
  </si>
  <si>
    <t>Calculated</t>
  </si>
  <si>
    <t>Yields 
(log returns)</t>
  </si>
  <si>
    <t>Stock 
index prices</t>
  </si>
  <si>
    <t>Average losses below VaR</t>
  </si>
  <si>
    <t>Economic policy uncertainty index</t>
  </si>
  <si>
    <t>Implied volatility (US/EU)</t>
  </si>
  <si>
    <t>Standard deviation of yields</t>
  </si>
  <si>
    <t>Closing price</t>
  </si>
  <si>
    <t>5% threshold
calculated monthly based on daily yields</t>
  </si>
  <si>
    <t>σ (Realized volatility)</t>
  </si>
  <si>
    <t>Mean</t>
  </si>
  <si>
    <t xml:space="preserve">σ (realized volatility) </t>
  </si>
  <si>
    <t>Variables</t>
  </si>
  <si>
    <t>VAR FTSE</t>
  </si>
  <si>
    <t>ES FTSE</t>
  </si>
  <si>
    <t>VAR EuroStoxx</t>
  </si>
  <si>
    <t>ES EuroStoxx</t>
  </si>
  <si>
    <t>ES FTSEMIB</t>
  </si>
  <si>
    <t>VAR IBEX</t>
  </si>
  <si>
    <t>ES IBEX</t>
  </si>
  <si>
    <t>VAR DAX</t>
  </si>
  <si>
    <t>ES DAX</t>
  </si>
  <si>
    <t>VAR CAC</t>
  </si>
  <si>
    <t>ES CAC</t>
  </si>
  <si>
    <t>EPU Europe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</si>
  <si>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</si>
  <si>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</si>
  <si>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</si>
  <si>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</si>
  <si>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</si>
  <si>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</si>
  <si>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</si>
  <si>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</si>
  <si>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</si>
  <si>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</si>
  <si>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</si>
  <si>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</si>
  <si>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Years</t>
  </si>
  <si>
    <t>Simple regression CAC 40</t>
  </si>
  <si>
    <t>Simple regression DAX</t>
  </si>
  <si>
    <t>Simple regression IBEX</t>
  </si>
  <si>
    <t>Simple regression FTSEMIB</t>
  </si>
  <si>
    <t>Simple regression Euro Stoxx</t>
  </si>
  <si>
    <t>Simple regression FTSE</t>
  </si>
  <si>
    <t>Delayed regression CAC 40</t>
  </si>
  <si>
    <t>Delayed regression DAX</t>
  </si>
  <si>
    <t>Delayed regression IBEX</t>
  </si>
  <si>
    <t>Delayed regression FTSEMIB</t>
  </si>
  <si>
    <t>Delayed regression Euro Stoxx</t>
  </si>
  <si>
    <t>Delayed regression FTSE</t>
  </si>
  <si>
    <t>Variable VaR FTSEMIB</t>
  </si>
  <si>
    <t>Variable VaR EuroStoxx</t>
  </si>
  <si>
    <t>Variable VaR FTSE</t>
  </si>
  <si>
    <t>Very significant</t>
  </si>
  <si>
    <t>not significant</t>
  </si>
  <si>
    <t>Significant</t>
  </si>
  <si>
    <t>Variable ES CAC 40</t>
  </si>
  <si>
    <t>Variable ES DAX</t>
  </si>
  <si>
    <t>Variable ES IBEX</t>
  </si>
  <si>
    <t>Variable ES FTSEMIB</t>
  </si>
  <si>
    <t>Variable ES EuroStoxx</t>
  </si>
  <si>
    <t>Variable ES FTSE</t>
  </si>
  <si>
    <t xml:space="preserve">Significant </t>
  </si>
  <si>
    <t>Regression ES and EPU</t>
  </si>
  <si>
    <t xml:space="preserve">month UKX Index </t>
  </si>
  <si>
    <t>UKX Index yield</t>
  </si>
  <si>
    <t>Yield</t>
  </si>
  <si>
    <t>σ(t-1)2</t>
  </si>
  <si>
    <t>Regression VaR and EPU</t>
  </si>
  <si>
    <t>Regression VaR and EPU t-1</t>
  </si>
  <si>
    <r>
      <t>Regression EPU+VIX+</t>
    </r>
    <r>
      <rPr>
        <sz val="11"/>
        <color theme="1"/>
        <rFont val="Aptos Narrow"/>
        <family val="2"/>
      </rPr>
      <t>σ</t>
    </r>
    <r>
      <rPr>
        <sz val="6.15"/>
        <color theme="1"/>
        <rFont val="Calibri"/>
        <family val="2"/>
      </rPr>
      <t xml:space="preserve">  and Var</t>
    </r>
  </si>
  <si>
    <r>
      <t>Regression EPU+V2X+</t>
    </r>
    <r>
      <rPr>
        <sz val="11"/>
        <color theme="1"/>
        <rFont val="Aptos Narrow"/>
        <family val="2"/>
      </rPr>
      <t>σ</t>
    </r>
    <r>
      <rPr>
        <sz val="6.15"/>
        <color theme="1"/>
        <rFont val="Calibri"/>
        <family val="2"/>
      </rPr>
      <t xml:space="preserve"> and Var</t>
    </r>
  </si>
  <si>
    <t>Regression ES and EPU t-1</t>
  </si>
  <si>
    <r>
      <t>Regression EPU (t-1)+VIX+</t>
    </r>
    <r>
      <rPr>
        <sz val="11"/>
        <color theme="1"/>
        <rFont val="Aptos Narrow"/>
        <family val="2"/>
      </rPr>
      <t>σ</t>
    </r>
    <r>
      <rPr>
        <sz val="6.15"/>
        <color theme="1"/>
        <rFont val="Calibri"/>
        <family val="2"/>
      </rPr>
      <t xml:space="preserve"> (t-1) and ES</t>
    </r>
  </si>
  <si>
    <r>
      <t>Regression EPU (t-1)+V2X+</t>
    </r>
    <r>
      <rPr>
        <sz val="11"/>
        <color theme="1"/>
        <rFont val="Aptos Narrow"/>
        <family val="2"/>
      </rPr>
      <t>σ</t>
    </r>
    <r>
      <rPr>
        <sz val="6.15"/>
        <color theme="1"/>
        <rFont val="Calibri"/>
        <family val="2"/>
      </rPr>
      <t xml:space="preserve"> (t-1) and ES</t>
    </r>
  </si>
  <si>
    <t>Security2</t>
  </si>
  <si>
    <t>Security3</t>
  </si>
  <si>
    <t>Security4</t>
  </si>
  <si>
    <t>Security5</t>
  </si>
  <si>
    <t>Colonne1</t>
  </si>
  <si>
    <t>Colonne2</t>
  </si>
  <si>
    <t>Colonne3</t>
  </si>
  <si>
    <t>Colonne4</t>
  </si>
  <si>
    <t>Colonne5</t>
  </si>
  <si>
    <t>SX5E Index yield</t>
  </si>
  <si>
    <t>SX5E Index month</t>
  </si>
  <si>
    <t>CAC Index yield</t>
  </si>
  <si>
    <t>CAC Index month</t>
  </si>
  <si>
    <t>DAX Index yield</t>
  </si>
  <si>
    <t>DAX Index month</t>
  </si>
  <si>
    <t>UKX Index month</t>
  </si>
  <si>
    <t>IBEX Index yield</t>
  </si>
  <si>
    <t>IBEX Index month</t>
  </si>
  <si>
    <t>FTSEMIB Index yield</t>
  </si>
  <si>
    <t>Other formula for yield</t>
  </si>
  <si>
    <t>FTSEMIB Index month</t>
  </si>
  <si>
    <t>Colonne6</t>
  </si>
  <si>
    <t>Colonne7</t>
  </si>
  <si>
    <t>Colonne8</t>
  </si>
  <si>
    <t>Colonne9</t>
  </si>
  <si>
    <t>Colonne10</t>
  </si>
  <si>
    <t>Colonne11</t>
  </si>
  <si>
    <t>Colonne12</t>
  </si>
  <si>
    <t>Colonne13</t>
  </si>
  <si>
    <t>Colonne14</t>
  </si>
  <si>
    <t>Colonne15</t>
  </si>
  <si>
    <t>Colonne16</t>
  </si>
  <si>
    <t>Colonne17</t>
  </si>
  <si>
    <t>Colonne18</t>
  </si>
  <si>
    <t>Colonne19</t>
  </si>
  <si>
    <t>Colonne20</t>
  </si>
  <si>
    <t>Colonne21</t>
  </si>
  <si>
    <t>Colonne22</t>
  </si>
  <si>
    <t>Colonne23</t>
  </si>
  <si>
    <t>Colonne24</t>
  </si>
  <si>
    <t>Colonne25</t>
  </si>
  <si>
    <t>Colonne26</t>
  </si>
  <si>
    <t>yield</t>
  </si>
  <si>
    <t>Yield FTSEMIB</t>
  </si>
  <si>
    <t>EPU european computing</t>
  </si>
  <si>
    <t>EPU  (t-1)</t>
  </si>
  <si>
    <t>EPU european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</si>
</sst>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</font>
    <font>
      <sz val="6.15"/>
      <color theme="1"/>
      <name val="Calibri"/>
      <family val="2"/>
    </font>
    <font>
      <sz val="12"/>
      <color rgb="FF000000"/>
      <name val="Calibri"/>
      <family val="2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33" borderId="0" xfId="0" applyFill="1"/>
    <xf numFmtId="0" fontId="0" fillId="33" borderId="0" xfId="0" applyFill="1" applyAlignment="1">
      <alignment horizontal="left"/>
    </xf>
    <xf numFmtId="0" fontId="0" fillId="34" borderId="0" xfId="0" applyFill="1"/>
    <xf numFmtId="0" fontId="0" fillId="0" borderId="10" xfId="0" applyBorder="1"/>
    <xf numFmtId="0" fontId="19" fillId="0" borderId="11" xfId="0" applyFont="1" applyBorder="1" applyAlignment="1">
      <alignment horizontal="center"/>
    </xf>
    <xf numFmtId="0" fontId="19" fillId="0" borderId="11" xfId="0" applyFont="1" applyBorder="1" applyAlignment="1">
      <alignment horizontal="centerContinuous"/>
    </xf>
    <xf numFmtId="0" fontId="19" fillId="0" borderId="0" xfId="0" applyFont="1" applyAlignment="1">
      <alignment horizontal="center"/>
    </xf>
    <xf numFmtId="0" fontId="0" fillId="0" borderId="0" xfId="0" applyAlignment="1">
      <alignment vertical="center"/>
    </xf>
    <xf numFmtId="0" fontId="2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9" fillId="0" borderId="0" xfId="0" applyFont="1" applyAlignment="1">
      <alignment horizontal="centerContinuous"/>
    </xf>
    <xf numFmtId="0" fontId="14" fillId="35" borderId="12" xfId="0" applyFont="1" applyFill="1" applyBorder="1" applyAlignment="1">
      <alignment vertical="center" wrapText="1"/>
    </xf>
    <xf numFmtId="0" fontId="14" fillId="35" borderId="0" xfId="0" applyFont="1" applyFill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36" borderId="0" xfId="0" applyFill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23" fillId="0" borderId="0" xfId="0" applyFont="1" applyAlignment="1">
      <alignment horizontal="justify" vertical="center" wrapText="1"/>
    </xf>
    <xf numFmtId="0" fontId="17" fillId="0" borderId="0" xfId="0" applyFont="1" applyAlignment="1">
      <alignment vertical="center"/>
    </xf>
    <xf numFmtId="10" fontId="0" fillId="0" borderId="0" xfId="43" applyNumberFormat="1" applyFont="1" applyAlignment="1">
      <alignment vertical="center"/>
    </xf>
  </cellXfs>
  <cellStyles count="44">
    <cellStyle name="20 % - Accent1" xfId="1" builtinId="30" customBuiltin="1"/>
    <cellStyle name="20 % - Accent2" xfId="2" builtinId="34" customBuiltin="1"/>
    <cellStyle name="20 % - Accent3" xfId="3" builtinId="38" customBuiltin="1"/>
    <cellStyle name="20 % - Accent4" xfId="4" builtinId="42" customBuiltin="1"/>
    <cellStyle name="20 % - Accent5" xfId="5" builtinId="46" customBuiltin="1"/>
    <cellStyle name="20 % - Accent6" xfId="6" builtinId="50" customBuiltin="1"/>
    <cellStyle name="40 % - Accent1" xfId="7" builtinId="31" customBuiltin="1"/>
    <cellStyle name="40 % - Accent2" xfId="8" builtinId="35" customBuiltin="1"/>
    <cellStyle name="40 % - Accent3" xfId="9" builtinId="39" customBuiltin="1"/>
    <cellStyle name="40 % - Accent4" xfId="10" builtinId="43" customBuiltin="1"/>
    <cellStyle name="40 % - Accent5" xfId="11" builtinId="47" customBuiltin="1"/>
    <cellStyle name="40 % - Accent6" xfId="12" builtinId="51" customBuiltin="1"/>
    <cellStyle name="60 % - Accent1" xfId="13" builtinId="32" customBuiltin="1"/>
    <cellStyle name="60 % - Accent2" xfId="14" builtinId="36" customBuiltin="1"/>
    <cellStyle name="60 % - Accent3" xfId="15" builtinId="40" customBuiltin="1"/>
    <cellStyle name="60 % - Accent4" xfId="16" builtinId="44" customBuiltin="1"/>
    <cellStyle name="60 % - Accent5" xfId="17" builtinId="48" customBuiltin="1"/>
    <cellStyle name="60 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vertissement" xfId="41" builtinId="11" customBuiltin="1"/>
    <cellStyle name="blp_datetime" xfId="42" xr:uid="{00000000-0005-0000-0000-000019000000}"/>
    <cellStyle name="Calcul" xfId="26" builtinId="22" customBuiltin="1"/>
    <cellStyle name="Cellule liée" xfId="35" builtinId="24" customBuiltin="1"/>
    <cellStyle name="Entrée" xfId="34" builtinId="20" customBuiltin="1"/>
    <cellStyle name="Insatisfaisant" xfId="25" builtinId="27" customBuiltin="1"/>
    <cellStyle name="Neutre" xfId="36" builtinId="28" customBuiltin="1"/>
    <cellStyle name="Normal" xfId="0" builtinId="0"/>
    <cellStyle name="Note" xfId="37" builtinId="10" customBuiltin="1"/>
    <cellStyle name="Pourcentage" xfId="43" builtinId="5"/>
    <cellStyle name="Satisfaisant" xfId="29" builtinId="26" customBuiltin="1"/>
    <cellStyle name="Sortie" xfId="38" builtinId="21" customBuiltin="1"/>
    <cellStyle name="Texte explicatif" xfId="28" builtinId="53" customBuiltin="1"/>
    <cellStyle name="Titre" xfId="39" builtinId="15" customBuiltin="1"/>
    <cellStyle name="Titre 1" xfId="30" builtinId="16" customBuiltin="1"/>
    <cellStyle name="Titre 2" xfId="31" builtinId="17" customBuiltin="1"/>
    <cellStyle name="Titre 3" xfId="32" builtinId="18" customBuiltin="1"/>
    <cellStyle name="Titre 4" xfId="33" builtinId="19" customBuiltin="1"/>
    <cellStyle name="Total" xfId="40" builtinId="25" customBuiltin="1"/>
    <cellStyle name="Vérification" xfId="27" builtinId="23" customBuiltin="1"/>
  </cellStyles>
  <dxfs count="185">
    <dxf>
      <font>
        <sz val="12"/>
        <color rgb="FF000000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font>
        <sz val="12"/>
        <color rgb="FF000000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border outline="0">
        <bottom style="medium">
          <color indexed="64"/>
        </bottom>
      </border>
    </dxf>
    <dxf>
      <alignment horizontal="center" vertical="center" textRotation="0" wrapText="1" indent="0" justifyLastLine="0" shrinkToFit="0" readingOrder="0"/>
    </dxf>
    <dxf>
      <border>
        <bottom style="medium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numFmt numFmtId="14" formatCode="0.00%"/>
      <alignment horizontal="general"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ill>
        <patternFill patternType="none">
          <fgColor indexed="64"/>
          <bgColor auto="1"/>
        </patternFill>
      </fill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22/10/relationships/richValueRel" Target="richData/richValueRel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u="none" strike="noStrike" baseline="0">
                <a:effectLst/>
              </a:rPr>
              <a:t>Monthly changes in the EPU, VIX and VaR (CAC 40), 2010–2025</a:t>
            </a:r>
            <a:endParaRPr lang="fr-FR"/>
          </a:p>
        </c:rich>
      </c:tx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'CAC France'!$P$2</c:f>
              <c:strCache>
                <c:ptCount val="1"/>
                <c:pt idx="0">
                  <c:v>EPU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'CAC France'!$J$3:$J$186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'CAC France'!$P$3:$P$186</c:f>
              <c:numCache>
                <c:formatCode>General</c:formatCode>
                <c:ptCount val="184"/>
                <c:pt idx="0">
                  <c:v>147.0803791304256</c:v>
                </c:pt>
                <c:pt idx="1">
                  <c:v>171.11748379552878</c:v>
                </c:pt>
                <c:pt idx="2">
                  <c:v>169.56921673538247</c:v>
                </c:pt>
                <c:pt idx="3">
                  <c:v>152.00736059535694</c:v>
                </c:pt>
                <c:pt idx="4">
                  <c:v>368.2284460521463</c:v>
                </c:pt>
                <c:pt idx="5">
                  <c:v>135.45886657506682</c:v>
                </c:pt>
                <c:pt idx="6">
                  <c:v>187.11679620988335</c:v>
                </c:pt>
                <c:pt idx="7">
                  <c:v>170.77811211563909</c:v>
                </c:pt>
                <c:pt idx="8">
                  <c:v>214.52643368357181</c:v>
                </c:pt>
                <c:pt idx="9">
                  <c:v>309.01094125472378</c:v>
                </c:pt>
                <c:pt idx="10">
                  <c:v>152.43801128102848</c:v>
                </c:pt>
                <c:pt idx="11">
                  <c:v>311.90800715942743</c:v>
                </c:pt>
                <c:pt idx="12">
                  <c:v>162.46417461815372</c:v>
                </c:pt>
                <c:pt idx="13">
                  <c:v>210.0111903468607</c:v>
                </c:pt>
                <c:pt idx="14">
                  <c:v>271.07414381300066</c:v>
                </c:pt>
                <c:pt idx="15">
                  <c:v>241.78795016043958</c:v>
                </c:pt>
                <c:pt idx="16">
                  <c:v>164.03363825314077</c:v>
                </c:pt>
                <c:pt idx="17">
                  <c:v>228.37820428264607</c:v>
                </c:pt>
                <c:pt idx="18">
                  <c:v>211.36402454797417</c:v>
                </c:pt>
                <c:pt idx="19">
                  <c:v>256.70832615054053</c:v>
                </c:pt>
                <c:pt idx="20">
                  <c:v>312.2534632145842</c:v>
                </c:pt>
                <c:pt idx="21">
                  <c:v>298.85209459124127</c:v>
                </c:pt>
                <c:pt idx="22">
                  <c:v>361.36985406003123</c:v>
                </c:pt>
                <c:pt idx="23">
                  <c:v>283.25138728551804</c:v>
                </c:pt>
                <c:pt idx="24">
                  <c:v>289.3977719458548</c:v>
                </c:pt>
                <c:pt idx="25">
                  <c:v>299.14963243652801</c:v>
                </c:pt>
                <c:pt idx="26">
                  <c:v>219.13884320323302</c:v>
                </c:pt>
                <c:pt idx="27">
                  <c:v>330.94551775743366</c:v>
                </c:pt>
                <c:pt idx="28">
                  <c:v>313.97367466007552</c:v>
                </c:pt>
                <c:pt idx="29">
                  <c:v>380.179149625006</c:v>
                </c:pt>
                <c:pt idx="30">
                  <c:v>241.55753384834023</c:v>
                </c:pt>
                <c:pt idx="31">
                  <c:v>144.79932603116598</c:v>
                </c:pt>
                <c:pt idx="32">
                  <c:v>243.70951788540611</c:v>
                </c:pt>
                <c:pt idx="33">
                  <c:v>284.00884266923134</c:v>
                </c:pt>
                <c:pt idx="34">
                  <c:v>332.82085591141697</c:v>
                </c:pt>
                <c:pt idx="35">
                  <c:v>270.13153587961523</c:v>
                </c:pt>
                <c:pt idx="36">
                  <c:v>318.23907242314988</c:v>
                </c:pt>
                <c:pt idx="37">
                  <c:v>242.87602873705944</c:v>
                </c:pt>
                <c:pt idx="38">
                  <c:v>259.25508865141768</c:v>
                </c:pt>
                <c:pt idx="39">
                  <c:v>300.53115516508069</c:v>
                </c:pt>
                <c:pt idx="40">
                  <c:v>256.80840638676483</c:v>
                </c:pt>
                <c:pt idx="41">
                  <c:v>293.78504489705801</c:v>
                </c:pt>
                <c:pt idx="42">
                  <c:v>215.33032213845243</c:v>
                </c:pt>
                <c:pt idx="43">
                  <c:v>143.93038420054069</c:v>
                </c:pt>
                <c:pt idx="44">
                  <c:v>244.41394531322689</c:v>
                </c:pt>
                <c:pt idx="45">
                  <c:v>287.16964626793174</c:v>
                </c:pt>
                <c:pt idx="46">
                  <c:v>185.95941067801243</c:v>
                </c:pt>
                <c:pt idx="47">
                  <c:v>223.97088347115911</c:v>
                </c:pt>
                <c:pt idx="48">
                  <c:v>221.41379781909825</c:v>
                </c:pt>
                <c:pt idx="49">
                  <c:v>139.96909575683688</c:v>
                </c:pt>
                <c:pt idx="50">
                  <c:v>221.99613301032355</c:v>
                </c:pt>
                <c:pt idx="51">
                  <c:v>175.99145203390418</c:v>
                </c:pt>
                <c:pt idx="52">
                  <c:v>188.4292174258124</c:v>
                </c:pt>
                <c:pt idx="53">
                  <c:v>159.18368478189558</c:v>
                </c:pt>
                <c:pt idx="54">
                  <c:v>148.74221221423838</c:v>
                </c:pt>
                <c:pt idx="55">
                  <c:v>132.2171910892462</c:v>
                </c:pt>
                <c:pt idx="56">
                  <c:v>242.48573933225873</c:v>
                </c:pt>
                <c:pt idx="57">
                  <c:v>208.56677898899778</c:v>
                </c:pt>
                <c:pt idx="58">
                  <c:v>195.18889530636216</c:v>
                </c:pt>
                <c:pt idx="59">
                  <c:v>261.02572967315598</c:v>
                </c:pt>
                <c:pt idx="60">
                  <c:v>178.69872223041321</c:v>
                </c:pt>
                <c:pt idx="61">
                  <c:v>238.49512555528176</c:v>
                </c:pt>
                <c:pt idx="62">
                  <c:v>174.1975846514905</c:v>
                </c:pt>
                <c:pt idx="63">
                  <c:v>211.13492266079632</c:v>
                </c:pt>
                <c:pt idx="64">
                  <c:v>197.79857959569753</c:v>
                </c:pt>
                <c:pt idx="65">
                  <c:v>303.52773213219677</c:v>
                </c:pt>
                <c:pt idx="66">
                  <c:v>314.76036810583815</c:v>
                </c:pt>
                <c:pt idx="67">
                  <c:v>171.73944490131768</c:v>
                </c:pt>
                <c:pt idx="68">
                  <c:v>263.03016007190877</c:v>
                </c:pt>
                <c:pt idx="69">
                  <c:v>231.93368590502911</c:v>
                </c:pt>
                <c:pt idx="70">
                  <c:v>200.97588143856777</c:v>
                </c:pt>
                <c:pt idx="71">
                  <c:v>206.39484953514801</c:v>
                </c:pt>
                <c:pt idx="72">
                  <c:v>241.4245361712679</c:v>
                </c:pt>
                <c:pt idx="73">
                  <c:v>324.04653568126793</c:v>
                </c:pt>
                <c:pt idx="74">
                  <c:v>253.68586333993335</c:v>
                </c:pt>
                <c:pt idx="75">
                  <c:v>216.33028088042593</c:v>
                </c:pt>
                <c:pt idx="76">
                  <c:v>241.11566495964757</c:v>
                </c:pt>
                <c:pt idx="77">
                  <c:v>444.34198268649033</c:v>
                </c:pt>
                <c:pt idx="78">
                  <c:v>410.00738279337259</c:v>
                </c:pt>
                <c:pt idx="79">
                  <c:v>178.72028205561639</c:v>
                </c:pt>
                <c:pt idx="80">
                  <c:v>291.67300951647849</c:v>
                </c:pt>
                <c:pt idx="81">
                  <c:v>256.62360697508524</c:v>
                </c:pt>
                <c:pt idx="82">
                  <c:v>448.59508317810725</c:v>
                </c:pt>
                <c:pt idx="83">
                  <c:v>408.26754699437186</c:v>
                </c:pt>
                <c:pt idx="84">
                  <c:v>462.96556552285955</c:v>
                </c:pt>
                <c:pt idx="85">
                  <c:v>379.42595357595764</c:v>
                </c:pt>
                <c:pt idx="86">
                  <c:v>521.56415059869596</c:v>
                </c:pt>
                <c:pt idx="87">
                  <c:v>574.6331443928085</c:v>
                </c:pt>
                <c:pt idx="88">
                  <c:v>288.26044389781725</c:v>
                </c:pt>
                <c:pt idx="89">
                  <c:v>308.56528601007835</c:v>
                </c:pt>
                <c:pt idx="90">
                  <c:v>176.46953211285751</c:v>
                </c:pt>
                <c:pt idx="91">
                  <c:v>164.0532893047378</c:v>
                </c:pt>
                <c:pt idx="92">
                  <c:v>256.47821175850652</c:v>
                </c:pt>
                <c:pt idx="93">
                  <c:v>227.00538712978212</c:v>
                </c:pt>
                <c:pt idx="94">
                  <c:v>251.36940607972903</c:v>
                </c:pt>
                <c:pt idx="95">
                  <c:v>194.63212824866446</c:v>
                </c:pt>
                <c:pt idx="96">
                  <c:v>221.13756884827956</c:v>
                </c:pt>
                <c:pt idx="97">
                  <c:v>192.03058706445086</c:v>
                </c:pt>
                <c:pt idx="98">
                  <c:v>195.57213916032086</c:v>
                </c:pt>
                <c:pt idx="99">
                  <c:v>187.3611054188672</c:v>
                </c:pt>
                <c:pt idx="100">
                  <c:v>303.05390794963159</c:v>
                </c:pt>
                <c:pt idx="101">
                  <c:v>331.26207526335889</c:v>
                </c:pt>
                <c:pt idx="102">
                  <c:v>239.72984200414407</c:v>
                </c:pt>
                <c:pt idx="103">
                  <c:v>184.52116526124601</c:v>
                </c:pt>
                <c:pt idx="104">
                  <c:v>230.68047445655253</c:v>
                </c:pt>
                <c:pt idx="105">
                  <c:v>302.29285278472776</c:v>
                </c:pt>
                <c:pt idx="106">
                  <c:v>274.4578971469461</c:v>
                </c:pt>
                <c:pt idx="107">
                  <c:v>339.57651506767587</c:v>
                </c:pt>
                <c:pt idx="108">
                  <c:v>363.04773960850827</c:v>
                </c:pt>
                <c:pt idx="109">
                  <c:v>267.58360147209589</c:v>
                </c:pt>
                <c:pt idx="110">
                  <c:v>238.68934661793918</c:v>
                </c:pt>
                <c:pt idx="111">
                  <c:v>206.50388062079429</c:v>
                </c:pt>
                <c:pt idx="112">
                  <c:v>159.84600990325475</c:v>
                </c:pt>
                <c:pt idx="113">
                  <c:v>244.02554738596822</c:v>
                </c:pt>
                <c:pt idx="114">
                  <c:v>269.49666850731074</c:v>
                </c:pt>
                <c:pt idx="115">
                  <c:v>287.83403539137691</c:v>
                </c:pt>
                <c:pt idx="116">
                  <c:v>275.04957630281075</c:v>
                </c:pt>
                <c:pt idx="117">
                  <c:v>267.70970959194938</c:v>
                </c:pt>
                <c:pt idx="118">
                  <c:v>246.59494175379996</c:v>
                </c:pt>
                <c:pt idx="119">
                  <c:v>244.38810811946939</c:v>
                </c:pt>
                <c:pt idx="120">
                  <c:v>254.2695921323031</c:v>
                </c:pt>
                <c:pt idx="121">
                  <c:v>238.52343111851852</c:v>
                </c:pt>
                <c:pt idx="122">
                  <c:v>367.15702042734057</c:v>
                </c:pt>
                <c:pt idx="123">
                  <c:v>320.16271113798314</c:v>
                </c:pt>
                <c:pt idx="124">
                  <c:v>305.83698185179964</c:v>
                </c:pt>
                <c:pt idx="125">
                  <c:v>321.69084543949418</c:v>
                </c:pt>
                <c:pt idx="126">
                  <c:v>242.34147139316002</c:v>
                </c:pt>
                <c:pt idx="127">
                  <c:v>202.95086660733247</c:v>
                </c:pt>
                <c:pt idx="128">
                  <c:v>432.69126146881229</c:v>
                </c:pt>
                <c:pt idx="129">
                  <c:v>358.26840748688517</c:v>
                </c:pt>
                <c:pt idx="130">
                  <c:v>403.88629274722911</c:v>
                </c:pt>
                <c:pt idx="131">
                  <c:v>257.26733611001026</c:v>
                </c:pt>
                <c:pt idx="132">
                  <c:v>276.37227437364749</c:v>
                </c:pt>
                <c:pt idx="133">
                  <c:v>226.43034071822746</c:v>
                </c:pt>
                <c:pt idx="134">
                  <c:v>258.44635817598612</c:v>
                </c:pt>
                <c:pt idx="135">
                  <c:v>186.40504730622686</c:v>
                </c:pt>
                <c:pt idx="136">
                  <c:v>210.55606779907308</c:v>
                </c:pt>
                <c:pt idx="137">
                  <c:v>219.50012853823208</c:v>
                </c:pt>
                <c:pt idx="138">
                  <c:v>251.80142479657709</c:v>
                </c:pt>
                <c:pt idx="139">
                  <c:v>231.69912169473648</c:v>
                </c:pt>
                <c:pt idx="140">
                  <c:v>236.94298770083844</c:v>
                </c:pt>
                <c:pt idx="141">
                  <c:v>270.22984285598051</c:v>
                </c:pt>
                <c:pt idx="142">
                  <c:v>310.0813528559587</c:v>
                </c:pt>
                <c:pt idx="143">
                  <c:v>331.31548153447523</c:v>
                </c:pt>
                <c:pt idx="144">
                  <c:v>313.78810575904663</c:v>
                </c:pt>
                <c:pt idx="145">
                  <c:v>298.90660377280608</c:v>
                </c:pt>
                <c:pt idx="146">
                  <c:v>429.93556753498171</c:v>
                </c:pt>
                <c:pt idx="147">
                  <c:v>322.84143605889113</c:v>
                </c:pt>
                <c:pt idx="148">
                  <c:v>380.59057264289402</c:v>
                </c:pt>
                <c:pt idx="149">
                  <c:v>420.58772539895682</c:v>
                </c:pt>
                <c:pt idx="150">
                  <c:v>495.31645192190723</c:v>
                </c:pt>
                <c:pt idx="151">
                  <c:v>231.0219656497317</c:v>
                </c:pt>
                <c:pt idx="152">
                  <c:v>255.82427560784171</c:v>
                </c:pt>
                <c:pt idx="153">
                  <c:v>372.27650760470925</c:v>
                </c:pt>
                <c:pt idx="154">
                  <c:v>302.97606816447041</c:v>
                </c:pt>
                <c:pt idx="155">
                  <c:v>261.96710254782568</c:v>
                </c:pt>
                <c:pt idx="156">
                  <c:v>296.32166507942077</c:v>
                </c:pt>
                <c:pt idx="157">
                  <c:v>327.79795855688673</c:v>
                </c:pt>
                <c:pt idx="158">
                  <c:v>382.92593225825669</c:v>
                </c:pt>
                <c:pt idx="159">
                  <c:v>269.84014918480949</c:v>
                </c:pt>
                <c:pt idx="160">
                  <c:v>295.31020944796518</c:v>
                </c:pt>
                <c:pt idx="161">
                  <c:v>214.01936472039787</c:v>
                </c:pt>
                <c:pt idx="162">
                  <c:v>236.53628761213605</c:v>
                </c:pt>
                <c:pt idx="163">
                  <c:v>152.65545620310249</c:v>
                </c:pt>
                <c:pt idx="164">
                  <c:v>243.34775610542962</c:v>
                </c:pt>
                <c:pt idx="165">
                  <c:v>261.82448721556221</c:v>
                </c:pt>
                <c:pt idx="166">
                  <c:v>282.45585540805524</c:v>
                </c:pt>
                <c:pt idx="167">
                  <c:v>321.28587054361736</c:v>
                </c:pt>
                <c:pt idx="168">
                  <c:v>274.02961157927189</c:v>
                </c:pt>
                <c:pt idx="169">
                  <c:v>243.01897814370966</c:v>
                </c:pt>
                <c:pt idx="170">
                  <c:v>187.76199681044591</c:v>
                </c:pt>
                <c:pt idx="171">
                  <c:v>169.77211747515921</c:v>
                </c:pt>
                <c:pt idx="172">
                  <c:v>304.44627414088876</c:v>
                </c:pt>
                <c:pt idx="173">
                  <c:v>409.27206139861443</c:v>
                </c:pt>
                <c:pt idx="174">
                  <c:v>543.93255638476398</c:v>
                </c:pt>
                <c:pt idx="175">
                  <c:v>370.78547045325695</c:v>
                </c:pt>
                <c:pt idx="176">
                  <c:v>436.40558079951768</c:v>
                </c:pt>
                <c:pt idx="177">
                  <c:v>322.28924141525732</c:v>
                </c:pt>
                <c:pt idx="178">
                  <c:v>486.84426373762193</c:v>
                </c:pt>
                <c:pt idx="179">
                  <c:v>567.70885241349777</c:v>
                </c:pt>
                <c:pt idx="180">
                  <c:v>563.13894380467332</c:v>
                </c:pt>
                <c:pt idx="181">
                  <c:v>382.71304270809446</c:v>
                </c:pt>
                <c:pt idx="182">
                  <c:v>536.66051366771819</c:v>
                </c:pt>
                <c:pt idx="183">
                  <c:v>619.74813667375247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6-4A34-84A8-0D7E030265AC}"/>
            </c:ext>
          </c:extLst>
        </c:ser>
        <c:ser>
          <c:idx val="2"/>
          <c:order val="2"/>
          <c:tx>
            <c:strRef>
              <c:f>'CAC France'!$T$2</c:f>
              <c:strCache>
                <c:ptCount val="1"/>
                <c:pt idx="0">
                  <c:v>VIX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'CAC France'!$J$3:$J$186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'CAC France'!$T$3:$T$186</c:f>
              <c:numCache>
                <c:formatCode>General</c:formatCode>
                <c:ptCount val="184"/>
                <c:pt idx="0">
                  <c:v>24.62</c:v>
                </c:pt>
                <c:pt idx="1">
                  <c:v>19.5</c:v>
                </c:pt>
                <c:pt idx="2">
                  <c:v>17.59</c:v>
                </c:pt>
                <c:pt idx="3">
                  <c:v>22.05</c:v>
                </c:pt>
                <c:pt idx="4">
                  <c:v>32.07</c:v>
                </c:pt>
                <c:pt idx="5">
                  <c:v>34.54</c:v>
                </c:pt>
                <c:pt idx="6">
                  <c:v>23.5</c:v>
                </c:pt>
                <c:pt idx="7">
                  <c:v>26.05</c:v>
                </c:pt>
                <c:pt idx="8">
                  <c:v>23.7</c:v>
                </c:pt>
                <c:pt idx="9">
                  <c:v>21.2</c:v>
                </c:pt>
                <c:pt idx="10">
                  <c:v>23.54</c:v>
                </c:pt>
                <c:pt idx="11">
                  <c:v>17.75</c:v>
                </c:pt>
                <c:pt idx="12">
                  <c:v>19.53</c:v>
                </c:pt>
                <c:pt idx="13">
                  <c:v>18.350000000000001</c:v>
                </c:pt>
                <c:pt idx="14">
                  <c:v>17.739999999999998</c:v>
                </c:pt>
                <c:pt idx="15">
                  <c:v>14.75</c:v>
                </c:pt>
                <c:pt idx="16">
                  <c:v>15.45</c:v>
                </c:pt>
                <c:pt idx="17">
                  <c:v>16.52</c:v>
                </c:pt>
                <c:pt idx="18">
                  <c:v>25.25</c:v>
                </c:pt>
                <c:pt idx="19">
                  <c:v>31.62</c:v>
                </c:pt>
                <c:pt idx="20">
                  <c:v>42.96</c:v>
                </c:pt>
                <c:pt idx="21">
                  <c:v>29.96</c:v>
                </c:pt>
                <c:pt idx="22">
                  <c:v>27.8</c:v>
                </c:pt>
                <c:pt idx="23">
                  <c:v>23.4</c:v>
                </c:pt>
                <c:pt idx="24">
                  <c:v>19.440000000000001</c:v>
                </c:pt>
                <c:pt idx="25">
                  <c:v>18.43</c:v>
                </c:pt>
                <c:pt idx="26">
                  <c:v>15.5</c:v>
                </c:pt>
                <c:pt idx="27">
                  <c:v>17.149999999999999</c:v>
                </c:pt>
                <c:pt idx="28">
                  <c:v>24.06</c:v>
                </c:pt>
                <c:pt idx="29">
                  <c:v>17.079999999999998</c:v>
                </c:pt>
                <c:pt idx="30">
                  <c:v>18.93</c:v>
                </c:pt>
                <c:pt idx="31">
                  <c:v>17.47</c:v>
                </c:pt>
                <c:pt idx="32">
                  <c:v>15.73</c:v>
                </c:pt>
                <c:pt idx="33">
                  <c:v>18.600000000000001</c:v>
                </c:pt>
                <c:pt idx="34">
                  <c:v>15.87</c:v>
                </c:pt>
                <c:pt idx="35">
                  <c:v>18.02</c:v>
                </c:pt>
                <c:pt idx="36">
                  <c:v>14.28</c:v>
                </c:pt>
                <c:pt idx="37">
                  <c:v>15.51</c:v>
                </c:pt>
                <c:pt idx="38">
                  <c:v>12.7</c:v>
                </c:pt>
                <c:pt idx="39">
                  <c:v>13.52</c:v>
                </c:pt>
                <c:pt idx="40">
                  <c:v>16.3</c:v>
                </c:pt>
                <c:pt idx="41">
                  <c:v>16.86</c:v>
                </c:pt>
                <c:pt idx="42">
                  <c:v>13.45</c:v>
                </c:pt>
                <c:pt idx="43">
                  <c:v>17.010000000000002</c:v>
                </c:pt>
                <c:pt idx="44">
                  <c:v>16.600000000000001</c:v>
                </c:pt>
                <c:pt idx="45">
                  <c:v>13.75</c:v>
                </c:pt>
                <c:pt idx="46">
                  <c:v>13.7</c:v>
                </c:pt>
                <c:pt idx="47">
                  <c:v>13.72</c:v>
                </c:pt>
                <c:pt idx="48">
                  <c:v>18.41</c:v>
                </c:pt>
                <c:pt idx="49">
                  <c:v>14</c:v>
                </c:pt>
                <c:pt idx="50">
                  <c:v>13.88</c:v>
                </c:pt>
                <c:pt idx="51">
                  <c:v>13.41</c:v>
                </c:pt>
                <c:pt idx="52">
                  <c:v>11.4</c:v>
                </c:pt>
                <c:pt idx="53">
                  <c:v>11.57</c:v>
                </c:pt>
                <c:pt idx="54">
                  <c:v>16.95</c:v>
                </c:pt>
                <c:pt idx="55">
                  <c:v>11.98</c:v>
                </c:pt>
                <c:pt idx="56">
                  <c:v>16.309999999999999</c:v>
                </c:pt>
                <c:pt idx="57">
                  <c:v>14.03</c:v>
                </c:pt>
                <c:pt idx="58">
                  <c:v>13.33</c:v>
                </c:pt>
                <c:pt idx="59">
                  <c:v>19.2</c:v>
                </c:pt>
                <c:pt idx="60">
                  <c:v>20.97</c:v>
                </c:pt>
                <c:pt idx="61">
                  <c:v>13.34</c:v>
                </c:pt>
                <c:pt idx="62">
                  <c:v>15.29</c:v>
                </c:pt>
                <c:pt idx="63">
                  <c:v>14.55</c:v>
                </c:pt>
                <c:pt idx="64">
                  <c:v>13.84</c:v>
                </c:pt>
                <c:pt idx="65">
                  <c:v>18.23</c:v>
                </c:pt>
                <c:pt idx="66">
                  <c:v>12.12</c:v>
                </c:pt>
                <c:pt idx="67">
                  <c:v>28.43</c:v>
                </c:pt>
                <c:pt idx="68">
                  <c:v>24.5</c:v>
                </c:pt>
                <c:pt idx="69">
                  <c:v>15.07</c:v>
                </c:pt>
                <c:pt idx="70">
                  <c:v>16.13</c:v>
                </c:pt>
                <c:pt idx="71">
                  <c:v>18.21</c:v>
                </c:pt>
                <c:pt idx="72">
                  <c:v>20.2</c:v>
                </c:pt>
                <c:pt idx="73">
                  <c:v>20.55</c:v>
                </c:pt>
                <c:pt idx="74">
                  <c:v>13.95</c:v>
                </c:pt>
                <c:pt idx="75">
                  <c:v>15.7</c:v>
                </c:pt>
                <c:pt idx="76">
                  <c:v>14.19</c:v>
                </c:pt>
                <c:pt idx="77">
                  <c:v>15.63</c:v>
                </c:pt>
                <c:pt idx="78">
                  <c:v>11.87</c:v>
                </c:pt>
                <c:pt idx="79">
                  <c:v>13.42</c:v>
                </c:pt>
                <c:pt idx="80">
                  <c:v>13.29</c:v>
                </c:pt>
                <c:pt idx="81">
                  <c:v>17.059999999999999</c:v>
                </c:pt>
                <c:pt idx="82">
                  <c:v>13.33</c:v>
                </c:pt>
                <c:pt idx="83">
                  <c:v>14.04</c:v>
                </c:pt>
                <c:pt idx="84">
                  <c:v>11.99</c:v>
                </c:pt>
                <c:pt idx="85">
                  <c:v>12.92</c:v>
                </c:pt>
                <c:pt idx="86">
                  <c:v>12.37</c:v>
                </c:pt>
                <c:pt idx="87">
                  <c:v>10.82</c:v>
                </c:pt>
                <c:pt idx="88">
                  <c:v>10.41</c:v>
                </c:pt>
                <c:pt idx="89">
                  <c:v>11.18</c:v>
                </c:pt>
                <c:pt idx="90">
                  <c:v>10.26</c:v>
                </c:pt>
                <c:pt idx="91">
                  <c:v>10.59</c:v>
                </c:pt>
                <c:pt idx="92">
                  <c:v>9.51</c:v>
                </c:pt>
                <c:pt idx="93">
                  <c:v>10.18</c:v>
                </c:pt>
                <c:pt idx="94">
                  <c:v>11.28</c:v>
                </c:pt>
                <c:pt idx="95">
                  <c:v>11.04</c:v>
                </c:pt>
                <c:pt idx="96">
                  <c:v>13.54</c:v>
                </c:pt>
                <c:pt idx="97">
                  <c:v>19.850000000000001</c:v>
                </c:pt>
                <c:pt idx="98">
                  <c:v>19.97</c:v>
                </c:pt>
                <c:pt idx="99">
                  <c:v>15.93</c:v>
                </c:pt>
                <c:pt idx="100">
                  <c:v>15.43</c:v>
                </c:pt>
                <c:pt idx="101">
                  <c:v>16.09</c:v>
                </c:pt>
                <c:pt idx="102">
                  <c:v>12.83</c:v>
                </c:pt>
                <c:pt idx="103">
                  <c:v>12.86</c:v>
                </c:pt>
                <c:pt idx="104">
                  <c:v>12.12</c:v>
                </c:pt>
                <c:pt idx="105">
                  <c:v>21.23</c:v>
                </c:pt>
                <c:pt idx="106">
                  <c:v>18.07</c:v>
                </c:pt>
                <c:pt idx="107">
                  <c:v>25.42</c:v>
                </c:pt>
                <c:pt idx="108">
                  <c:v>16.57</c:v>
                </c:pt>
                <c:pt idx="109">
                  <c:v>14.78</c:v>
                </c:pt>
                <c:pt idx="110">
                  <c:v>13.71</c:v>
                </c:pt>
                <c:pt idx="111">
                  <c:v>13.12</c:v>
                </c:pt>
                <c:pt idx="112">
                  <c:v>18.71</c:v>
                </c:pt>
                <c:pt idx="113">
                  <c:v>15.08</c:v>
                </c:pt>
                <c:pt idx="114">
                  <c:v>16.12</c:v>
                </c:pt>
                <c:pt idx="115">
                  <c:v>18.98</c:v>
                </c:pt>
                <c:pt idx="116">
                  <c:v>16.239999999999998</c:v>
                </c:pt>
                <c:pt idx="117">
                  <c:v>13.22</c:v>
                </c:pt>
                <c:pt idx="118">
                  <c:v>12.62</c:v>
                </c:pt>
                <c:pt idx="119">
                  <c:v>13.78</c:v>
                </c:pt>
                <c:pt idx="120">
                  <c:v>18.84</c:v>
                </c:pt>
                <c:pt idx="121">
                  <c:v>40.11</c:v>
                </c:pt>
                <c:pt idx="122">
                  <c:v>53.54</c:v>
                </c:pt>
                <c:pt idx="123">
                  <c:v>34.15</c:v>
                </c:pt>
                <c:pt idx="124">
                  <c:v>27.51</c:v>
                </c:pt>
                <c:pt idx="125">
                  <c:v>30.43</c:v>
                </c:pt>
                <c:pt idx="126">
                  <c:v>24.46</c:v>
                </c:pt>
                <c:pt idx="127">
                  <c:v>26.41</c:v>
                </c:pt>
                <c:pt idx="128">
                  <c:v>26.37</c:v>
                </c:pt>
                <c:pt idx="129">
                  <c:v>38.020000000000003</c:v>
                </c:pt>
                <c:pt idx="130">
                  <c:v>20.57</c:v>
                </c:pt>
                <c:pt idx="131">
                  <c:v>22.75</c:v>
                </c:pt>
                <c:pt idx="132">
                  <c:v>33.090000000000003</c:v>
                </c:pt>
                <c:pt idx="133">
                  <c:v>27.95</c:v>
                </c:pt>
                <c:pt idx="134">
                  <c:v>19.399999999999999</c:v>
                </c:pt>
                <c:pt idx="135">
                  <c:v>18.61</c:v>
                </c:pt>
                <c:pt idx="136">
                  <c:v>16.760000000000002</c:v>
                </c:pt>
                <c:pt idx="137">
                  <c:v>15.83</c:v>
                </c:pt>
                <c:pt idx="138">
                  <c:v>18.239999999999998</c:v>
                </c:pt>
                <c:pt idx="139">
                  <c:v>16.48</c:v>
                </c:pt>
                <c:pt idx="140">
                  <c:v>23.14</c:v>
                </c:pt>
                <c:pt idx="141">
                  <c:v>16.260000000000002</c:v>
                </c:pt>
                <c:pt idx="142">
                  <c:v>27.19</c:v>
                </c:pt>
                <c:pt idx="143">
                  <c:v>17.22</c:v>
                </c:pt>
                <c:pt idx="144">
                  <c:v>24.83</c:v>
                </c:pt>
                <c:pt idx="145">
                  <c:v>30.15</c:v>
                </c:pt>
                <c:pt idx="146">
                  <c:v>20.56</c:v>
                </c:pt>
                <c:pt idx="147">
                  <c:v>33.4</c:v>
                </c:pt>
                <c:pt idx="148">
                  <c:v>26.19</c:v>
                </c:pt>
                <c:pt idx="149">
                  <c:v>28.71</c:v>
                </c:pt>
                <c:pt idx="150">
                  <c:v>21.33</c:v>
                </c:pt>
                <c:pt idx="151">
                  <c:v>25.87</c:v>
                </c:pt>
                <c:pt idx="152">
                  <c:v>31.62</c:v>
                </c:pt>
                <c:pt idx="153">
                  <c:v>25.88</c:v>
                </c:pt>
                <c:pt idx="154">
                  <c:v>20.58</c:v>
                </c:pt>
                <c:pt idx="155">
                  <c:v>21.67</c:v>
                </c:pt>
                <c:pt idx="156">
                  <c:v>19.399999999999999</c:v>
                </c:pt>
                <c:pt idx="157">
                  <c:v>20.7</c:v>
                </c:pt>
                <c:pt idx="158">
                  <c:v>18.7</c:v>
                </c:pt>
                <c:pt idx="159">
                  <c:v>15.78</c:v>
                </c:pt>
                <c:pt idx="160">
                  <c:v>17.940000000000001</c:v>
                </c:pt>
                <c:pt idx="161">
                  <c:v>13.59</c:v>
                </c:pt>
                <c:pt idx="162">
                  <c:v>13.63</c:v>
                </c:pt>
                <c:pt idx="163">
                  <c:v>13.57</c:v>
                </c:pt>
                <c:pt idx="164">
                  <c:v>17.52</c:v>
                </c:pt>
                <c:pt idx="165">
                  <c:v>18.14</c:v>
                </c:pt>
                <c:pt idx="166">
                  <c:v>12.92</c:v>
                </c:pt>
                <c:pt idx="167">
                  <c:v>12.45</c:v>
                </c:pt>
                <c:pt idx="168">
                  <c:v>14.35</c:v>
                </c:pt>
                <c:pt idx="169">
                  <c:v>13.4</c:v>
                </c:pt>
                <c:pt idx="170">
                  <c:v>13.01</c:v>
                </c:pt>
                <c:pt idx="171">
                  <c:v>15.65</c:v>
                </c:pt>
                <c:pt idx="172">
                  <c:v>12.92</c:v>
                </c:pt>
                <c:pt idx="173">
                  <c:v>12.44</c:v>
                </c:pt>
                <c:pt idx="174">
                  <c:v>16.36</c:v>
                </c:pt>
                <c:pt idx="175">
                  <c:v>15</c:v>
                </c:pt>
                <c:pt idx="176">
                  <c:v>16.73</c:v>
                </c:pt>
                <c:pt idx="177">
                  <c:v>23.16</c:v>
                </c:pt>
                <c:pt idx="178">
                  <c:v>13.51</c:v>
                </c:pt>
                <c:pt idx="179">
                  <c:v>17.350000000000001</c:v>
                </c:pt>
                <c:pt idx="180">
                  <c:v>16.43</c:v>
                </c:pt>
                <c:pt idx="181">
                  <c:v>19.63</c:v>
                </c:pt>
                <c:pt idx="182">
                  <c:v>22.28</c:v>
                </c:pt>
                <c:pt idx="183">
                  <c:v>22.28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6-4A34-84A8-0D7E03026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124111"/>
        <c:axId val="1250120271"/>
      </c:lineChart>
      <c:lineChart>
        <c:grouping val="standard"/>
        <c:varyColors val="0"/>
        <c:ser>
          <c:idx val="0"/>
          <c:order val="0"/>
          <c:tx>
            <c:strRef>
              <c:f>'CAC France'!$N$2</c:f>
              <c:strCache>
                <c:ptCount val="1"/>
                <c:pt idx="0">
                  <c:v>VAR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'CAC France'!$J$3:$J$186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'CAC France'!$N$3:$N$186</c:f>
              <c:numCache>
                <c:formatCode>General</c:formatCode>
                <c:ptCount val="184"/>
                <c:pt idx="0">
                  <c:v>-2.0336729056880932E-2</c:v>
                </c:pt>
                <c:pt idx="1">
                  <c:v>-3.4269566290219183E-2</c:v>
                </c:pt>
                <c:pt idx="2">
                  <c:v>-8.4661261850900536E-3</c:v>
                </c:pt>
                <c:pt idx="3">
                  <c:v>-3.8004846188281927E-2</c:v>
                </c:pt>
                <c:pt idx="4">
                  <c:v>-4.707360932319523E-2</c:v>
                </c:pt>
                <c:pt idx="5">
                  <c:v>-3.9150335322432027E-2</c:v>
                </c:pt>
                <c:pt idx="6">
                  <c:v>-2.9274168669556733E-2</c:v>
                </c:pt>
                <c:pt idx="7">
                  <c:v>-2.7114253636236076E-2</c:v>
                </c:pt>
                <c:pt idx="8">
                  <c:v>-1.2832338512792035E-2</c:v>
                </c:pt>
                <c:pt idx="9">
                  <c:v>-1.132795769592598E-2</c:v>
                </c:pt>
                <c:pt idx="10">
                  <c:v>-2.6443264581158508E-2</c:v>
                </c:pt>
                <c:pt idx="11">
                  <c:v>-1.0305707371435753E-2</c:v>
                </c:pt>
                <c:pt idx="12">
                  <c:v>-1.6457913987091954E-2</c:v>
                </c:pt>
                <c:pt idx="13">
                  <c:v>-1.4327233562842762E-2</c:v>
                </c:pt>
                <c:pt idx="14">
                  <c:v>-2.4814054352751337E-2</c:v>
                </c:pt>
                <c:pt idx="15">
                  <c:v>-1.6732208654312124E-2</c:v>
                </c:pt>
                <c:pt idx="16">
                  <c:v>-2.0837406582410203E-2</c:v>
                </c:pt>
                <c:pt idx="17">
                  <c:v>-2.14239835266338E-2</c:v>
                </c:pt>
                <c:pt idx="18">
                  <c:v>-2.6779706177487126E-2</c:v>
                </c:pt>
                <c:pt idx="19">
                  <c:v>-5.6319181825641898E-2</c:v>
                </c:pt>
                <c:pt idx="20">
                  <c:v>-5.3113488410767698E-2</c:v>
                </c:pt>
                <c:pt idx="21">
                  <c:v>-3.1532432900251157E-2</c:v>
                </c:pt>
                <c:pt idx="22">
                  <c:v>-5.2216252947196111E-2</c:v>
                </c:pt>
                <c:pt idx="23">
                  <c:v>-3.3504564942862101E-2</c:v>
                </c:pt>
                <c:pt idx="24">
                  <c:v>-1.6129326141021562E-2</c:v>
                </c:pt>
                <c:pt idx="25">
                  <c:v>-1.4396004318346818E-2</c:v>
                </c:pt>
                <c:pt idx="26">
                  <c:v>-3.3373314924004499E-2</c:v>
                </c:pt>
                <c:pt idx="27">
                  <c:v>-3.1271812338847065E-2</c:v>
                </c:pt>
                <c:pt idx="28">
                  <c:v>-2.6219616998057749E-2</c:v>
                </c:pt>
                <c:pt idx="29">
                  <c:v>-2.2662580288914502E-2</c:v>
                </c:pt>
                <c:pt idx="30">
                  <c:v>-2.8182989868335707E-2</c:v>
                </c:pt>
                <c:pt idx="31">
                  <c:v>-2.5952457346496434E-2</c:v>
                </c:pt>
                <c:pt idx="32">
                  <c:v>-2.8385548096617124E-2</c:v>
                </c:pt>
                <c:pt idx="33">
                  <c:v>-2.0768026566525859E-2</c:v>
                </c:pt>
                <c:pt idx="34">
                  <c:v>-1.8946896556114985E-2</c:v>
                </c:pt>
                <c:pt idx="35">
                  <c:v>-4.1254685425178191E-3</c:v>
                </c:pt>
                <c:pt idx="36">
                  <c:v>-8.4879116646800774E-3</c:v>
                </c:pt>
                <c:pt idx="37">
                  <c:v>-3.0397571610741508E-2</c:v>
                </c:pt>
                <c:pt idx="38">
                  <c:v>-1.432391876474772E-2</c:v>
                </c:pt>
                <c:pt idx="39">
                  <c:v>-2.3084926181806416E-2</c:v>
                </c:pt>
                <c:pt idx="40">
                  <c:v>-2.0848406792171783E-2</c:v>
                </c:pt>
                <c:pt idx="41">
                  <c:v>-3.6337597783142793E-2</c:v>
                </c:pt>
                <c:pt idx="42">
                  <c:v>-1.3912197474813376E-2</c:v>
                </c:pt>
                <c:pt idx="43">
                  <c:v>-2.4491852845788486E-2</c:v>
                </c:pt>
                <c:pt idx="44">
                  <c:v>-1.0163371117737199E-2</c:v>
                </c:pt>
                <c:pt idx="45">
                  <c:v>-8.9871217197841444E-3</c:v>
                </c:pt>
                <c:pt idx="46">
                  <c:v>-1.0961877718603623E-2</c:v>
                </c:pt>
                <c:pt idx="47">
                  <c:v>-1.46592439942264E-2</c:v>
                </c:pt>
                <c:pt idx="48">
                  <c:v>-2.5771281865536601E-2</c:v>
                </c:pt>
                <c:pt idx="49">
                  <c:v>-1.3513205758608782E-2</c:v>
                </c:pt>
                <c:pt idx="50">
                  <c:v>-2.5623609343980495E-2</c:v>
                </c:pt>
                <c:pt idx="51">
                  <c:v>-1.0866228218783172E-2</c:v>
                </c:pt>
                <c:pt idx="52">
                  <c:v>-1.2544360374955973E-2</c:v>
                </c:pt>
                <c:pt idx="53">
                  <c:v>-1.2447152868096664E-2</c:v>
                </c:pt>
                <c:pt idx="54">
                  <c:v>-1.7754226828496301E-2</c:v>
                </c:pt>
                <c:pt idx="55">
                  <c:v>-1.3715712376760555E-2</c:v>
                </c:pt>
                <c:pt idx="56">
                  <c:v>-1.8069081766253305E-2</c:v>
                </c:pt>
                <c:pt idx="57">
                  <c:v>-3.5729336462158201E-2</c:v>
                </c:pt>
                <c:pt idx="58">
                  <c:v>-1.5334103291984208E-2</c:v>
                </c:pt>
                <c:pt idx="59">
                  <c:v>-2.8060136410409907E-2</c:v>
                </c:pt>
                <c:pt idx="60">
                  <c:v>-3.2255911250920817E-2</c:v>
                </c:pt>
                <c:pt idx="61">
                  <c:v>-8.2986339475316067E-3</c:v>
                </c:pt>
                <c:pt idx="62">
                  <c:v>-1.3003866772554676E-2</c:v>
                </c:pt>
                <c:pt idx="63">
                  <c:v>-2.5844006638714705E-2</c:v>
                </c:pt>
                <c:pt idx="64">
                  <c:v>-1.6128775006962581E-2</c:v>
                </c:pt>
                <c:pt idx="65">
                  <c:v>-3.5073726973218151E-2</c:v>
                </c:pt>
                <c:pt idx="66">
                  <c:v>-2.5384108675679643E-2</c:v>
                </c:pt>
                <c:pt idx="67">
                  <c:v>-5.3917623451203163E-2</c:v>
                </c:pt>
                <c:pt idx="68">
                  <c:v>-3.3971744225686822E-2</c:v>
                </c:pt>
                <c:pt idx="69">
                  <c:v>-1.0190603850198803E-2</c:v>
                </c:pt>
                <c:pt idx="70">
                  <c:v>-1.9066124523442141E-2</c:v>
                </c:pt>
                <c:pt idx="71">
                  <c:v>-3.6440425968209698E-2</c:v>
                </c:pt>
                <c:pt idx="72">
                  <c:v>-3.5016256072653913E-2</c:v>
                </c:pt>
                <c:pt idx="73">
                  <c:v>-4.0462108374438061E-2</c:v>
                </c:pt>
                <c:pt idx="74">
                  <c:v>-2.1107582289084003E-2</c:v>
                </c:pt>
                <c:pt idx="75">
                  <c:v>-2.7929996211006593E-2</c:v>
                </c:pt>
                <c:pt idx="76">
                  <c:v>-1.2948797777806009E-2</c:v>
                </c:pt>
                <c:pt idx="77">
                  <c:v>-7.5791126580524795E-2</c:v>
                </c:pt>
                <c:pt idx="78">
                  <c:v>-1.8748859970345748E-2</c:v>
                </c:pt>
                <c:pt idx="79">
                  <c:v>-1.7688183357138988E-2</c:v>
                </c:pt>
                <c:pt idx="80">
                  <c:v>-1.723618067114336E-2</c:v>
                </c:pt>
                <c:pt idx="81">
                  <c:v>-1.0531166511490823E-2</c:v>
                </c:pt>
                <c:pt idx="82">
                  <c:v>-1.2026495175146442E-2</c:v>
                </c:pt>
                <c:pt idx="83">
                  <c:v>-7.2228843330862146E-3</c:v>
                </c:pt>
                <c:pt idx="84">
                  <c:v>-1.1172087232804823E-2</c:v>
                </c:pt>
                <c:pt idx="85">
                  <c:v>-9.8390008237079704E-3</c:v>
                </c:pt>
                <c:pt idx="86">
                  <c:v>-4.9856448985589495E-3</c:v>
                </c:pt>
                <c:pt idx="87">
                  <c:v>-8.5057569615325929E-3</c:v>
                </c:pt>
                <c:pt idx="88">
                  <c:v>-1.5720651179697176E-2</c:v>
                </c:pt>
                <c:pt idx="89">
                  <c:v>-1.8443526227991652E-2</c:v>
                </c:pt>
                <c:pt idx="90">
                  <c:v>-1.5324059763377898E-2</c:v>
                </c:pt>
                <c:pt idx="91">
                  <c:v>-1.4271152408980239E-2</c:v>
                </c:pt>
                <c:pt idx="92">
                  <c:v>-3.7367483267682954E-3</c:v>
                </c:pt>
                <c:pt idx="93">
                  <c:v>-3.6923573264383293E-3</c:v>
                </c:pt>
                <c:pt idx="94">
                  <c:v>-1.1044565267704184E-2</c:v>
                </c:pt>
                <c:pt idx="95">
                  <c:v>-1.0458780722333909E-2</c:v>
                </c:pt>
                <c:pt idx="96">
                  <c:v>-8.4826012059609681E-3</c:v>
                </c:pt>
                <c:pt idx="97">
                  <c:v>-2.3556662960803824E-2</c:v>
                </c:pt>
                <c:pt idx="98">
                  <c:v>-2.3210105376039264E-2</c:v>
                </c:pt>
                <c:pt idx="99">
                  <c:v>-5.680174256341858E-3</c:v>
                </c:pt>
                <c:pt idx="100">
                  <c:v>-1.903230404986065E-2</c:v>
                </c:pt>
                <c:pt idx="101">
                  <c:v>-1.8566202851668306E-2</c:v>
                </c:pt>
                <c:pt idx="102">
                  <c:v>-1.39979061444802E-2</c:v>
                </c:pt>
                <c:pt idx="103">
                  <c:v>-1.5747419851308436E-2</c:v>
                </c:pt>
                <c:pt idx="104">
                  <c:v>-1.5441382891928885E-2</c:v>
                </c:pt>
                <c:pt idx="105">
                  <c:v>-2.1049441118132589E-2</c:v>
                </c:pt>
                <c:pt idx="106">
                  <c:v>-1.1794956505468317E-2</c:v>
                </c:pt>
                <c:pt idx="107">
                  <c:v>-2.323212758707055E-2</c:v>
                </c:pt>
                <c:pt idx="108">
                  <c:v>-1.5377103427565509E-2</c:v>
                </c:pt>
                <c:pt idx="109">
                  <c:v>-1.7890047150503064E-2</c:v>
                </c:pt>
                <c:pt idx="110">
                  <c:v>-1.9213583905713327E-2</c:v>
                </c:pt>
                <c:pt idx="111">
                  <c:v>-6.3242318003971345E-3</c:v>
                </c:pt>
                <c:pt idx="112">
                  <c:v>-2.7551640999170911E-2</c:v>
                </c:pt>
                <c:pt idx="113">
                  <c:v>-6.2188551560369565E-3</c:v>
                </c:pt>
                <c:pt idx="114">
                  <c:v>-1.448919925741741E-2</c:v>
                </c:pt>
                <c:pt idx="115">
                  <c:v>-3.5645049506053073E-2</c:v>
                </c:pt>
                <c:pt idx="116">
                  <c:v>-1.048827921005931E-2</c:v>
                </c:pt>
                <c:pt idx="117">
                  <c:v>-2.910887483056887E-2</c:v>
                </c:pt>
                <c:pt idx="118">
                  <c:v>-3.4078626866513705E-3</c:v>
                </c:pt>
                <c:pt idx="119">
                  <c:v>-1.1826890944555853E-2</c:v>
                </c:pt>
                <c:pt idx="120">
                  <c:v>-2.5168839272424449E-2</c:v>
                </c:pt>
                <c:pt idx="121">
                  <c:v>-3.9951835301447948E-2</c:v>
                </c:pt>
                <c:pt idx="122">
                  <c:v>-1.9213583905713327E-2</c:v>
                </c:pt>
                <c:pt idx="123">
                  <c:v>-4.3642572522058228E-2</c:v>
                </c:pt>
                <c:pt idx="124">
                  <c:v>-3.1095129761731108E-2</c:v>
                </c:pt>
                <c:pt idx="125">
                  <c:v>-4.6343586004043549E-2</c:v>
                </c:pt>
                <c:pt idx="126">
                  <c:v>-2.0349874727559957E-2</c:v>
                </c:pt>
                <c:pt idx="127">
                  <c:v>-1.5755158456661873E-2</c:v>
                </c:pt>
                <c:pt idx="128">
                  <c:v>-3.4791446240900109E-2</c:v>
                </c:pt>
                <c:pt idx="129">
                  <c:v>-3.2358472717817222E-2</c:v>
                </c:pt>
                <c:pt idx="130">
                  <c:v>-1.5196326846536313E-2</c:v>
                </c:pt>
                <c:pt idx="131">
                  <c:v>-2.4632283431022903E-2</c:v>
                </c:pt>
                <c:pt idx="132">
                  <c:v>-2.0176568681320516E-2</c:v>
                </c:pt>
                <c:pt idx="133">
                  <c:v>-1.366960263420983E-2</c:v>
                </c:pt>
                <c:pt idx="134">
                  <c:v>-1.0253829265843492E-2</c:v>
                </c:pt>
                <c:pt idx="135">
                  <c:v>-2.0325416922513821E-2</c:v>
                </c:pt>
                <c:pt idx="136">
                  <c:v>-1.5090355303305793E-2</c:v>
                </c:pt>
                <c:pt idx="137">
                  <c:v>-1.3948073088709064E-2</c:v>
                </c:pt>
                <c:pt idx="138">
                  <c:v>-2.4912782472225073E-2</c:v>
                </c:pt>
                <c:pt idx="139">
                  <c:v>-2.2934037970873011E-2</c:v>
                </c:pt>
                <c:pt idx="140">
                  <c:v>-2.1293546279128051E-2</c:v>
                </c:pt>
                <c:pt idx="141">
                  <c:v>-1.226567870458053E-2</c:v>
                </c:pt>
                <c:pt idx="142">
                  <c:v>-4.2650141976235789E-2</c:v>
                </c:pt>
                <c:pt idx="143">
                  <c:v>-1.2593000551130882E-2</c:v>
                </c:pt>
                <c:pt idx="144">
                  <c:v>-3.9389263051264514E-2</c:v>
                </c:pt>
                <c:pt idx="145">
                  <c:v>-3.823829323963087E-2</c:v>
                </c:pt>
                <c:pt idx="146">
                  <c:v>-4.8781989291811809E-2</c:v>
                </c:pt>
                <c:pt idx="147">
                  <c:v>-2.2319277956140197E-2</c:v>
                </c:pt>
                <c:pt idx="148">
                  <c:v>-2.6874458100596247E-2</c:v>
                </c:pt>
                <c:pt idx="149">
                  <c:v>-2.7284529305505279E-2</c:v>
                </c:pt>
                <c:pt idx="150">
                  <c:v>-2.5889333217377072E-2</c:v>
                </c:pt>
                <c:pt idx="151">
                  <c:v>-1.806656536875657E-2</c:v>
                </c:pt>
                <c:pt idx="152">
                  <c:v>-2.2669059047100662E-2</c:v>
                </c:pt>
                <c:pt idx="153">
                  <c:v>-1.1497698516980541E-2</c:v>
                </c:pt>
                <c:pt idx="154">
                  <c:v>-7.988368608429261E-3</c:v>
                </c:pt>
                <c:pt idx="155">
                  <c:v>-3.0587958201092117E-2</c:v>
                </c:pt>
                <c:pt idx="156">
                  <c:v>-1.7422586016895333E-2</c:v>
                </c:pt>
                <c:pt idx="157">
                  <c:v>-1.7724244824588495E-2</c:v>
                </c:pt>
                <c:pt idx="158">
                  <c:v>-3.5066730072093016E-2</c:v>
                </c:pt>
                <c:pt idx="159">
                  <c:v>-6.0540704021819622E-3</c:v>
                </c:pt>
                <c:pt idx="160">
                  <c:v>-1.7040349071112567E-2</c:v>
                </c:pt>
                <c:pt idx="161">
                  <c:v>-1.0072269213682651E-2</c:v>
                </c:pt>
                <c:pt idx="162">
                  <c:v>-2.9944001474593689E-2</c:v>
                </c:pt>
                <c:pt idx="163">
                  <c:v>-1.2667442176381346E-2</c:v>
                </c:pt>
                <c:pt idx="164">
                  <c:v>-1.5867532554346812E-2</c:v>
                </c:pt>
                <c:pt idx="165">
                  <c:v>-1.5160106940520723E-2</c:v>
                </c:pt>
                <c:pt idx="166">
                  <c:v>-9.0989548439909078E-3</c:v>
                </c:pt>
                <c:pt idx="167">
                  <c:v>-4.853395180486832E-3</c:v>
                </c:pt>
                <c:pt idx="168">
                  <c:v>-1.5155402868096008E-2</c:v>
                </c:pt>
                <c:pt idx="169">
                  <c:v>-8.8708316425560735E-3</c:v>
                </c:pt>
                <c:pt idx="170">
                  <c:v>-4.7732062458561032E-3</c:v>
                </c:pt>
                <c:pt idx="171">
                  <c:v>-1.3787309741056181E-2</c:v>
                </c:pt>
                <c:pt idx="172">
                  <c:v>-1.5027787264717825E-2</c:v>
                </c:pt>
                <c:pt idx="173">
                  <c:v>-2.6582451089620103E-2</c:v>
                </c:pt>
                <c:pt idx="174">
                  <c:v>-1.4943415782298139E-2</c:v>
                </c:pt>
                <c:pt idx="175">
                  <c:v>-2.134488042356579E-2</c:v>
                </c:pt>
                <c:pt idx="176">
                  <c:v>-1.9730118565861349E-2</c:v>
                </c:pt>
                <c:pt idx="177">
                  <c:v>-1.282303056523698E-2</c:v>
                </c:pt>
                <c:pt idx="178">
                  <c:v>-2.5733731976738936E-2</c:v>
                </c:pt>
                <c:pt idx="179">
                  <c:v>-1.160008431681674E-2</c:v>
                </c:pt>
                <c:pt idx="180">
                  <c:v>-1.4111598089777232E-2</c:v>
                </c:pt>
                <c:pt idx="181">
                  <c:v>-1.2039032977539173E-2</c:v>
                </c:pt>
                <c:pt idx="182">
                  <c:v>-1.8413016915298366E-2</c:v>
                </c:pt>
                <c:pt idx="183">
                  <c:v>-4.4660229616703899E-2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6-4A34-84A8-0D7E03026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137071"/>
        <c:axId val="1250128431"/>
      </c:lineChart>
      <c:catAx>
        <c:axId val="125012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50120271"/>
        <c:crosses val="autoZero"/>
        <c:auto val="1"/>
        <c:lblAlgn val="ctr"/>
        <c:lblOffset val="100"/>
        <c:noMultiLvlLbl val="0"/>
      </c:catAx>
      <c:valAx>
        <c:axId val="125012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50124111"/>
        <c:crosses val="autoZero"/>
        <c:crossBetween val="between"/>
      </c:valAx>
      <c:valAx>
        <c:axId val="12501284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50137071"/>
        <c:crosses val="max"/>
        <c:crossBetween val="between"/>
      </c:valAx>
      <c:catAx>
        <c:axId val="1250137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501284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u="none" strike="noStrike" baseline="0">
                <a:effectLst/>
              </a:rPr>
              <a:t>Monthly evolution of VaR and Expected Shortfall (2010–2025)</a:t>
            </a:r>
            <a:endParaRPr lang="fr-FR"/>
          </a:p>
        </c:rich>
      </c:tx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Feuil3!$B$1</c:f>
              <c:strCache>
                <c:ptCount val="1"/>
                <c:pt idx="0">
                  <c:v>VAR FTSE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Feuil3!$A$2:$A$185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Feuil3!$B$2:$B$185</c:f>
              <c:numCache>
                <c:formatCode>General</c:formatCode>
                <c:ptCount val="184"/>
                <c:pt idx="0">
                  <c:v>-1.8926147238837492E-2</c:v>
                </c:pt>
                <c:pt idx="1">
                  <c:v>-2.1950385642803303E-2</c:v>
                </c:pt>
                <c:pt idx="2">
                  <c:v>-7.4927886038323862E-3</c:v>
                </c:pt>
                <c:pt idx="3">
                  <c:v>-2.8966625324511896E-2</c:v>
                </c:pt>
                <c:pt idx="4">
                  <c:v>-3.5754816554237685E-2</c:v>
                </c:pt>
                <c:pt idx="5">
                  <c:v>-2.3735589468149815E-2</c:v>
                </c:pt>
                <c:pt idx="6">
                  <c:v>-2.6703335147708646E-2</c:v>
                </c:pt>
                <c:pt idx="7">
                  <c:v>-1.8740736391713728E-2</c:v>
                </c:pt>
                <c:pt idx="8">
                  <c:v>-1.5241201100306967E-2</c:v>
                </c:pt>
                <c:pt idx="9">
                  <c:v>-9.1749083811467711E-3</c:v>
                </c:pt>
                <c:pt idx="10">
                  <c:v>-2.5012047397738688E-2</c:v>
                </c:pt>
                <c:pt idx="11">
                  <c:v>-1.5725571185728988E-2</c:v>
                </c:pt>
                <c:pt idx="12">
                  <c:v>-2.300463871188323E-2</c:v>
                </c:pt>
                <c:pt idx="13">
                  <c:v>-1.4200782286099056E-2</c:v>
                </c:pt>
                <c:pt idx="14">
                  <c:v>-1.816718651844898E-2</c:v>
                </c:pt>
                <c:pt idx="15">
                  <c:v>-1.3095019512933483E-2</c:v>
                </c:pt>
                <c:pt idx="16">
                  <c:v>-1.6832895124464519E-2</c:v>
                </c:pt>
                <c:pt idx="17">
                  <c:v>-1.9032900908756058E-2</c:v>
                </c:pt>
                <c:pt idx="18">
                  <c:v>-1.6146308785026132E-2</c:v>
                </c:pt>
                <c:pt idx="19">
                  <c:v>-4.2158248308558868E-2</c:v>
                </c:pt>
                <c:pt idx="20">
                  <c:v>-4.5115788076765494E-2</c:v>
                </c:pt>
                <c:pt idx="21">
                  <c:v>-3.0160571969556425E-2</c:v>
                </c:pt>
                <c:pt idx="22">
                  <c:v>-3.2230808745870684E-2</c:v>
                </c:pt>
                <c:pt idx="23">
                  <c:v>-1.9075117354842731E-2</c:v>
                </c:pt>
                <c:pt idx="24">
                  <c:v>-1.2358045555112033E-2</c:v>
                </c:pt>
                <c:pt idx="25">
                  <c:v>-1.0046565417440418E-2</c:v>
                </c:pt>
                <c:pt idx="26">
                  <c:v>-1.9057433230038747E-2</c:v>
                </c:pt>
                <c:pt idx="27">
                  <c:v>-2.2998742849094488E-2</c:v>
                </c:pt>
                <c:pt idx="28">
                  <c:v>-1.8148795870434591E-2</c:v>
                </c:pt>
                <c:pt idx="29">
                  <c:v>-1.691862352273963E-2</c:v>
                </c:pt>
                <c:pt idx="30">
                  <c:v>-2.340341173387029E-2</c:v>
                </c:pt>
                <c:pt idx="31">
                  <c:v>-1.2412115025802313E-2</c:v>
                </c:pt>
                <c:pt idx="32">
                  <c:v>-1.2671148497758458E-2</c:v>
                </c:pt>
                <c:pt idx="33">
                  <c:v>-1.1752781342540201E-2</c:v>
                </c:pt>
                <c:pt idx="34">
                  <c:v>-1.498506366743918E-2</c:v>
                </c:pt>
                <c:pt idx="35">
                  <c:v>-5.505138472957187E-3</c:v>
                </c:pt>
                <c:pt idx="36">
                  <c:v>-6.7763064383981686E-3</c:v>
                </c:pt>
                <c:pt idx="37">
                  <c:v>-9.3426862242219685E-3</c:v>
                </c:pt>
                <c:pt idx="38">
                  <c:v>-7.9897079357728173E-3</c:v>
                </c:pt>
                <c:pt idx="39">
                  <c:v>-1.6374318132155816E-2</c:v>
                </c:pt>
                <c:pt idx="40">
                  <c:v>-2.2301400862437527E-2</c:v>
                </c:pt>
                <c:pt idx="41">
                  <c:v>-2.8425048774597519E-2</c:v>
                </c:pt>
                <c:pt idx="42">
                  <c:v>-1.1025270008154968E-2</c:v>
                </c:pt>
                <c:pt idx="43">
                  <c:v>-1.1046216526803676E-2</c:v>
                </c:pt>
                <c:pt idx="44">
                  <c:v>-9.1959156172364172E-3</c:v>
                </c:pt>
                <c:pt idx="45">
                  <c:v>-1.1375394434164163E-2</c:v>
                </c:pt>
                <c:pt idx="46">
                  <c:v>-9.2566321571718232E-3</c:v>
                </c:pt>
                <c:pt idx="47">
                  <c:v>-1.015811913424355E-2</c:v>
                </c:pt>
                <c:pt idx="48">
                  <c:v>-2.2176890782762065E-2</c:v>
                </c:pt>
                <c:pt idx="49">
                  <c:v>-1.620366871062142E-2</c:v>
                </c:pt>
                <c:pt idx="50">
                  <c:v>-1.4496082536714841E-2</c:v>
                </c:pt>
                <c:pt idx="51">
                  <c:v>-1.5027526858003983E-2</c:v>
                </c:pt>
                <c:pt idx="52">
                  <c:v>-4.8124820304221482E-3</c:v>
                </c:pt>
                <c:pt idx="53">
                  <c:v>-1.0700047167261756E-2</c:v>
                </c:pt>
                <c:pt idx="54">
                  <c:v>-1.1948201271053706E-2</c:v>
                </c:pt>
                <c:pt idx="55">
                  <c:v>-1.405205661122096E-2</c:v>
                </c:pt>
                <c:pt idx="56">
                  <c:v>-1.452915127562418E-2</c:v>
                </c:pt>
                <c:pt idx="57">
                  <c:v>-3.6054991116663278E-2</c:v>
                </c:pt>
                <c:pt idx="58">
                  <c:v>-9.4968654985866617E-3</c:v>
                </c:pt>
                <c:pt idx="59">
                  <c:v>-3.0224847172743749E-2</c:v>
                </c:pt>
                <c:pt idx="60">
                  <c:v>-2.1430745337947053E-2</c:v>
                </c:pt>
                <c:pt idx="61">
                  <c:v>-4.4360977358111064E-3</c:v>
                </c:pt>
                <c:pt idx="62">
                  <c:v>-1.3214894889218879E-2</c:v>
                </c:pt>
                <c:pt idx="63">
                  <c:v>-1.8419846691784408E-2</c:v>
                </c:pt>
                <c:pt idx="64">
                  <c:v>-1.316293218794248E-2</c:v>
                </c:pt>
                <c:pt idx="65">
                  <c:v>-2.3450027582446385E-2</c:v>
                </c:pt>
                <c:pt idx="66">
                  <c:v>-1.9053482893359421E-2</c:v>
                </c:pt>
                <c:pt idx="67">
                  <c:v>-5.9535849920983604E-2</c:v>
                </c:pt>
                <c:pt idx="68">
                  <c:v>-4.1193792063901738E-2</c:v>
                </c:pt>
                <c:pt idx="69">
                  <c:v>-1.2500736647221128E-2</c:v>
                </c:pt>
                <c:pt idx="70">
                  <c:v>-2.2382555658214603E-2</c:v>
                </c:pt>
                <c:pt idx="71">
                  <c:v>-4.1243430425004272E-2</c:v>
                </c:pt>
                <c:pt idx="72">
                  <c:v>-3.7155349141192402E-2</c:v>
                </c:pt>
                <c:pt idx="73">
                  <c:v>-3.4718654202265858E-2</c:v>
                </c:pt>
                <c:pt idx="74">
                  <c:v>-2.7595254847849401E-2</c:v>
                </c:pt>
                <c:pt idx="75">
                  <c:v>-1.9855504728225483E-2</c:v>
                </c:pt>
                <c:pt idx="76">
                  <c:v>-2.088478767412151E-2</c:v>
                </c:pt>
                <c:pt idx="77">
                  <c:v>-8.3880611513777181E-2</c:v>
                </c:pt>
                <c:pt idx="78">
                  <c:v>-1.9904333458393979E-2</c:v>
                </c:pt>
                <c:pt idx="79">
                  <c:v>-7.5184322979035502E-3</c:v>
                </c:pt>
                <c:pt idx="80">
                  <c:v>-1.4539753709337333E-2</c:v>
                </c:pt>
                <c:pt idx="81">
                  <c:v>-1.4962461402687926E-2</c:v>
                </c:pt>
                <c:pt idx="82">
                  <c:v>-1.272201529393808E-2</c:v>
                </c:pt>
                <c:pt idx="83">
                  <c:v>-9.3585947912405848E-3</c:v>
                </c:pt>
                <c:pt idx="84">
                  <c:v>-1.4350049265915314E-2</c:v>
                </c:pt>
                <c:pt idx="85">
                  <c:v>-1.0207728808279859E-2</c:v>
                </c:pt>
                <c:pt idx="86">
                  <c:v>-7.270691238452056E-3</c:v>
                </c:pt>
                <c:pt idx="87">
                  <c:v>-8.2774112560129488E-3</c:v>
                </c:pt>
                <c:pt idx="88">
                  <c:v>-6.078933037404039E-3</c:v>
                </c:pt>
                <c:pt idx="89">
                  <c:v>-1.2745057539206692E-2</c:v>
                </c:pt>
                <c:pt idx="90">
                  <c:v>-1.2440128468316424E-2</c:v>
                </c:pt>
                <c:pt idx="91">
                  <c:v>-1.6714841397339343E-2</c:v>
                </c:pt>
                <c:pt idx="92">
                  <c:v>-8.5105611377479691E-3</c:v>
                </c:pt>
                <c:pt idx="93">
                  <c:v>-8.7738384268229025E-3</c:v>
                </c:pt>
                <c:pt idx="94">
                  <c:v>-9.1503392372518314E-3</c:v>
                </c:pt>
                <c:pt idx="95">
                  <c:v>-4.7662877467239718E-3</c:v>
                </c:pt>
                <c:pt idx="96">
                  <c:v>-8.3468973346353583E-3</c:v>
                </c:pt>
                <c:pt idx="97">
                  <c:v>-2.8604013417490859E-2</c:v>
                </c:pt>
                <c:pt idx="98">
                  <c:v>-1.9685982351814488E-2</c:v>
                </c:pt>
                <c:pt idx="99">
                  <c:v>-7.1033695732011159E-3</c:v>
                </c:pt>
                <c:pt idx="100">
                  <c:v>-1.0634172079706211E-2</c:v>
                </c:pt>
                <c:pt idx="101">
                  <c:v>-2.4525353421914035E-2</c:v>
                </c:pt>
                <c:pt idx="102">
                  <c:v>-1.2229779462629094E-2</c:v>
                </c:pt>
                <c:pt idx="103">
                  <c:v>-1.1314683464002773E-2</c:v>
                </c:pt>
                <c:pt idx="104">
                  <c:v>-9.6219073815937781E-3</c:v>
                </c:pt>
                <c:pt idx="105">
                  <c:v>-2.1868012070064769E-2</c:v>
                </c:pt>
                <c:pt idx="106">
                  <c:v>-1.6054901409773017E-2</c:v>
                </c:pt>
                <c:pt idx="107">
                  <c:v>-2.6306456858190351E-2</c:v>
                </c:pt>
                <c:pt idx="108">
                  <c:v>-1.1507661063356456E-2</c:v>
                </c:pt>
                <c:pt idx="109">
                  <c:v>-9.0417475340424207E-3</c:v>
                </c:pt>
                <c:pt idx="110">
                  <c:v>-1.7252983452050896E-2</c:v>
                </c:pt>
                <c:pt idx="111">
                  <c:v>-6.6315138628037819E-3</c:v>
                </c:pt>
                <c:pt idx="112">
                  <c:v>-2.1072716725324219E-2</c:v>
                </c:pt>
                <c:pt idx="113">
                  <c:v>-6.4568095426003978E-3</c:v>
                </c:pt>
                <c:pt idx="114">
                  <c:v>-9.8072150734217732E-3</c:v>
                </c:pt>
                <c:pt idx="115">
                  <c:v>-3.2734319346817392E-2</c:v>
                </c:pt>
                <c:pt idx="116">
                  <c:v>-4.9471720251315892E-3</c:v>
                </c:pt>
                <c:pt idx="117">
                  <c:v>-3.2057017709861829E-2</c:v>
                </c:pt>
                <c:pt idx="118">
                  <c:v>-8.0085525441426775E-3</c:v>
                </c:pt>
                <c:pt idx="119">
                  <c:v>-1.3656305262626275E-2</c:v>
                </c:pt>
                <c:pt idx="120">
                  <c:v>-2.1701880473797005E-2</c:v>
                </c:pt>
                <c:pt idx="121">
                  <c:v>-4.6523098143577177E-2</c:v>
                </c:pt>
                <c:pt idx="122">
                  <c:v>-1.7252983452050896E-2</c:v>
                </c:pt>
                <c:pt idx="123">
                  <c:v>-4.2960944734626763E-2</c:v>
                </c:pt>
                <c:pt idx="124">
                  <c:v>-2.7738663314251781E-2</c:v>
                </c:pt>
                <c:pt idx="125">
                  <c:v>-5.0149485973844728E-2</c:v>
                </c:pt>
                <c:pt idx="126">
                  <c:v>-1.8583594006428922E-2</c:v>
                </c:pt>
                <c:pt idx="127">
                  <c:v>-1.6244468827775204E-2</c:v>
                </c:pt>
                <c:pt idx="128">
                  <c:v>-3.386406200534884E-2</c:v>
                </c:pt>
                <c:pt idx="129">
                  <c:v>-2.4539560123556382E-2</c:v>
                </c:pt>
                <c:pt idx="130">
                  <c:v>-1.5360717420003309E-2</c:v>
                </c:pt>
                <c:pt idx="131">
                  <c:v>-2.8522370980979629E-2</c:v>
                </c:pt>
                <c:pt idx="132">
                  <c:v>-1.9933954989483884E-2</c:v>
                </c:pt>
                <c:pt idx="133">
                  <c:v>-2.2588486204297608E-2</c:v>
                </c:pt>
                <c:pt idx="134">
                  <c:v>-1.2838584873927895E-2</c:v>
                </c:pt>
                <c:pt idx="135">
                  <c:v>-2.1952674617674611E-2</c:v>
                </c:pt>
                <c:pt idx="136">
                  <c:v>-1.5461193873938657E-2</c:v>
                </c:pt>
                <c:pt idx="137">
                  <c:v>-2.0933365593610618E-2</c:v>
                </c:pt>
                <c:pt idx="138">
                  <c:v>-2.9293746143196537E-2</c:v>
                </c:pt>
                <c:pt idx="139">
                  <c:v>-2.0208320632315483E-2</c:v>
                </c:pt>
                <c:pt idx="140">
                  <c:v>-1.6159329526779544E-2</c:v>
                </c:pt>
                <c:pt idx="141">
                  <c:v>-1.2225874456420689E-2</c:v>
                </c:pt>
                <c:pt idx="142">
                  <c:v>-4.0128735396864283E-2</c:v>
                </c:pt>
                <c:pt idx="143">
                  <c:v>-1.5134434347517463E-2</c:v>
                </c:pt>
                <c:pt idx="144">
                  <c:v>-3.1844060686713402E-2</c:v>
                </c:pt>
                <c:pt idx="145">
                  <c:v>-3.9070294738434382E-2</c:v>
                </c:pt>
                <c:pt idx="146">
                  <c:v>-3.0234006991553406E-2</c:v>
                </c:pt>
                <c:pt idx="147">
                  <c:v>-2.332390153876443E-2</c:v>
                </c:pt>
                <c:pt idx="148">
                  <c:v>-2.4147824019289447E-2</c:v>
                </c:pt>
                <c:pt idx="149">
                  <c:v>-2.5030517517725396E-2</c:v>
                </c:pt>
                <c:pt idx="150">
                  <c:v>-2.659298992302709E-2</c:v>
                </c:pt>
                <c:pt idx="151">
                  <c:v>-2.1455087561913659E-2</c:v>
                </c:pt>
                <c:pt idx="152">
                  <c:v>-3.7347243794077042E-2</c:v>
                </c:pt>
                <c:pt idx="153">
                  <c:v>-1.4313420665029402E-2</c:v>
                </c:pt>
                <c:pt idx="154">
                  <c:v>-1.3798392642752658E-2</c:v>
                </c:pt>
                <c:pt idx="155">
                  <c:v>-2.4823169101131276E-2</c:v>
                </c:pt>
                <c:pt idx="156">
                  <c:v>-1.0230377044248435E-2</c:v>
                </c:pt>
                <c:pt idx="157">
                  <c:v>-7.2850038903450372E-3</c:v>
                </c:pt>
                <c:pt idx="158">
                  <c:v>-3.0109689694915728E-2</c:v>
                </c:pt>
                <c:pt idx="159">
                  <c:v>-2.9945377560118311E-3</c:v>
                </c:pt>
                <c:pt idx="160">
                  <c:v>-2.0039520589273503E-2</c:v>
                </c:pt>
                <c:pt idx="161">
                  <c:v>-9.3630022857556505E-3</c:v>
                </c:pt>
                <c:pt idx="162">
                  <c:v>-2.0218951795296845E-2</c:v>
                </c:pt>
                <c:pt idx="163">
                  <c:v>-1.4479680424503235E-2</c:v>
                </c:pt>
                <c:pt idx="164">
                  <c:v>-9.81532973578721E-3</c:v>
                </c:pt>
                <c:pt idx="165">
                  <c:v>-1.5435591563160836E-2</c:v>
                </c:pt>
                <c:pt idx="166">
                  <c:v>-1.3906801343166721E-2</c:v>
                </c:pt>
                <c:pt idx="167">
                  <c:v>-6.989583579772073E-3</c:v>
                </c:pt>
                <c:pt idx="168">
                  <c:v>-1.0795440641298067E-2</c:v>
                </c:pt>
                <c:pt idx="169">
                  <c:v>-8.5001406519853336E-3</c:v>
                </c:pt>
                <c:pt idx="170">
                  <c:v>-4.156929736787494E-3</c:v>
                </c:pt>
                <c:pt idx="171">
                  <c:v>-1.8133340381092652E-2</c:v>
                </c:pt>
                <c:pt idx="172">
                  <c:v>-7.8663165191115939E-3</c:v>
                </c:pt>
                <c:pt idx="173">
                  <c:v>-8.1528139837310238E-3</c:v>
                </c:pt>
                <c:pt idx="174">
                  <c:v>-9.0287497010503939E-3</c:v>
                </c:pt>
                <c:pt idx="175">
                  <c:v>-2.6530317572078584E-2</c:v>
                </c:pt>
                <c:pt idx="176">
                  <c:v>-1.005945307641669E-2</c:v>
                </c:pt>
                <c:pt idx="177">
                  <c:v>-1.4779041445549552E-2</c:v>
                </c:pt>
                <c:pt idx="178">
                  <c:v>-1.7405009217700992E-2</c:v>
                </c:pt>
                <c:pt idx="179">
                  <c:v>-8.6884602460397427E-3</c:v>
                </c:pt>
                <c:pt idx="180">
                  <c:v>-9.7687297349150111E-3</c:v>
                </c:pt>
                <c:pt idx="181">
                  <c:v>-6.8207445376446286E-3</c:v>
                </c:pt>
                <c:pt idx="182">
                  <c:v>-1.609682345717069E-2</c:v>
                </c:pt>
                <c:pt idx="183">
                  <c:v>-5.5448664705390817E-2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D-426F-867E-66D64DD47657}"/>
            </c:ext>
          </c:extLst>
        </c:ser>
        <c:ser>
          <c:idx val="1"/>
          <c:order val="1"/>
          <c:tx>
            <c:strRef>
              <c:f>Feuil3!$C$1</c:f>
              <c:strCache>
                <c:ptCount val="1"/>
                <c:pt idx="0">
                  <c:v>ES FTSE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Feuil3!$A$2:$A$185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Feuil3!$C$2:$C$185</c:f>
              <c:numCache>
                <c:formatCode>General</c:formatCode>
                <c:ptCount val="184"/>
                <c:pt idx="0">
                  <c:v>-1.8926147238837492E-2</c:v>
                </c:pt>
                <c:pt idx="1">
                  <c:v>-2.2106737374190558E-2</c:v>
                </c:pt>
                <c:pt idx="2">
                  <c:v>-7.5605710509466595E-3</c:v>
                </c:pt>
                <c:pt idx="3">
                  <c:v>-2.9619923373066803E-2</c:v>
                </c:pt>
                <c:pt idx="4">
                  <c:v>-3.5754816554237685E-2</c:v>
                </c:pt>
                <c:pt idx="5">
                  <c:v>-2.4459002380842237E-2</c:v>
                </c:pt>
                <c:pt idx="6">
                  <c:v>-2.8418048394442542E-2</c:v>
                </c:pt>
                <c:pt idx="7">
                  <c:v>-1.9101341276684166E-2</c:v>
                </c:pt>
                <c:pt idx="8">
                  <c:v>-1.6174316450981208E-2</c:v>
                </c:pt>
                <c:pt idx="9">
                  <c:v>-9.4001811300047974E-3</c:v>
                </c:pt>
                <c:pt idx="10">
                  <c:v>-2.6976249648764831E-2</c:v>
                </c:pt>
                <c:pt idx="11">
                  <c:v>-1.5725571185728988E-2</c:v>
                </c:pt>
                <c:pt idx="12">
                  <c:v>-2.3136273384352889E-2</c:v>
                </c:pt>
                <c:pt idx="13">
                  <c:v>-1.4272771371528832E-2</c:v>
                </c:pt>
                <c:pt idx="14">
                  <c:v>-1.8278320474716395E-2</c:v>
                </c:pt>
                <c:pt idx="15">
                  <c:v>-2.3921820030615916E-2</c:v>
                </c:pt>
                <c:pt idx="16">
                  <c:v>-1.6847865397786179E-2</c:v>
                </c:pt>
                <c:pt idx="17">
                  <c:v>-1.9564874300124768E-2</c:v>
                </c:pt>
                <c:pt idx="18">
                  <c:v>-1.6924324506873693E-2</c:v>
                </c:pt>
                <c:pt idx="19">
                  <c:v>-4.3171139776749634E-2</c:v>
                </c:pt>
                <c:pt idx="20">
                  <c:v>-4.6605278398232031E-2</c:v>
                </c:pt>
                <c:pt idx="21">
                  <c:v>-3.2131358152793756E-2</c:v>
                </c:pt>
                <c:pt idx="22">
                  <c:v>-3.5030845823136557E-2</c:v>
                </c:pt>
                <c:pt idx="23">
                  <c:v>-1.9575802059690731E-2</c:v>
                </c:pt>
                <c:pt idx="24">
                  <c:v>-1.2433464351715492E-2</c:v>
                </c:pt>
                <c:pt idx="25">
                  <c:v>-1.0283276908669302E-2</c:v>
                </c:pt>
                <c:pt idx="26">
                  <c:v>-1.9905412786773956E-2</c:v>
                </c:pt>
                <c:pt idx="27">
                  <c:v>-2.2998742849094488E-2</c:v>
                </c:pt>
                <c:pt idx="28">
                  <c:v>-1.8196953806206013E-2</c:v>
                </c:pt>
                <c:pt idx="29">
                  <c:v>-1.691862352273963E-2</c:v>
                </c:pt>
                <c:pt idx="30">
                  <c:v>-2.4824626703465885E-2</c:v>
                </c:pt>
                <c:pt idx="31">
                  <c:v>-1.3127999593207361E-2</c:v>
                </c:pt>
                <c:pt idx="32">
                  <c:v>-1.2677299163388922E-2</c:v>
                </c:pt>
                <c:pt idx="33">
                  <c:v>-1.2622009512084717E-2</c:v>
                </c:pt>
                <c:pt idx="34">
                  <c:v>-1.5442186156664291E-2</c:v>
                </c:pt>
                <c:pt idx="35">
                  <c:v>-6.4717634322341696E-3</c:v>
                </c:pt>
                <c:pt idx="36">
                  <c:v>-6.8266441830861623E-3</c:v>
                </c:pt>
                <c:pt idx="37">
                  <c:v>-9.4405826970184493E-3</c:v>
                </c:pt>
                <c:pt idx="38">
                  <c:v>-8.0902242758127164E-3</c:v>
                </c:pt>
                <c:pt idx="39">
                  <c:v>-1.69354683390729E-2</c:v>
                </c:pt>
                <c:pt idx="40">
                  <c:v>-2.2338248333308507E-2</c:v>
                </c:pt>
                <c:pt idx="41">
                  <c:v>-2.9082516428527206E-2</c:v>
                </c:pt>
                <c:pt idx="42">
                  <c:v>-1.1370976838816037E-2</c:v>
                </c:pt>
                <c:pt idx="43">
                  <c:v>-1.110261099420885E-2</c:v>
                </c:pt>
                <c:pt idx="44">
                  <c:v>-9.5005827596453367E-3</c:v>
                </c:pt>
                <c:pt idx="45">
                  <c:v>-1.220671544618564E-2</c:v>
                </c:pt>
                <c:pt idx="46">
                  <c:v>-9.3409645301689211E-3</c:v>
                </c:pt>
                <c:pt idx="47">
                  <c:v>-1.0605399210328742E-2</c:v>
                </c:pt>
                <c:pt idx="48">
                  <c:v>-2.3531545062719081E-2</c:v>
                </c:pt>
                <c:pt idx="49">
                  <c:v>-1.682282608466934E-2</c:v>
                </c:pt>
                <c:pt idx="50">
                  <c:v>-1.4535588636151783E-2</c:v>
                </c:pt>
                <c:pt idx="51">
                  <c:v>-1.5205352427301255E-2</c:v>
                </c:pt>
                <c:pt idx="52">
                  <c:v>-4.8124820304221482E-3</c:v>
                </c:pt>
                <c:pt idx="53">
                  <c:v>-1.1240668907284698E-2</c:v>
                </c:pt>
                <c:pt idx="54">
                  <c:v>-1.267594719509345E-2</c:v>
                </c:pt>
                <c:pt idx="55">
                  <c:v>-1.405205661122096E-2</c:v>
                </c:pt>
                <c:pt idx="56">
                  <c:v>-1.4940602909053627E-2</c:v>
                </c:pt>
                <c:pt idx="57">
                  <c:v>-3.8018622051690772E-2</c:v>
                </c:pt>
                <c:pt idx="58">
                  <c:v>-9.6732460475391635E-3</c:v>
                </c:pt>
                <c:pt idx="59">
                  <c:v>-3.0224847172743749E-2</c:v>
                </c:pt>
                <c:pt idx="60">
                  <c:v>-2.1580263858845906E-2</c:v>
                </c:pt>
                <c:pt idx="61">
                  <c:v>-4.5082373831092639E-3</c:v>
                </c:pt>
                <c:pt idx="62">
                  <c:v>-1.4027996886740149E-2</c:v>
                </c:pt>
                <c:pt idx="63">
                  <c:v>-1.8720012790396347E-2</c:v>
                </c:pt>
                <c:pt idx="64">
                  <c:v>-1.4009799170089312E-2</c:v>
                </c:pt>
                <c:pt idx="65">
                  <c:v>-2.485397734730093E-2</c:v>
                </c:pt>
                <c:pt idx="66">
                  <c:v>-1.9775840765522936E-2</c:v>
                </c:pt>
                <c:pt idx="67">
                  <c:v>-6.047803941791962E-2</c:v>
                </c:pt>
                <c:pt idx="68">
                  <c:v>-4.3025636977835645E-2</c:v>
                </c:pt>
                <c:pt idx="69">
                  <c:v>-1.2831456088047571E-2</c:v>
                </c:pt>
                <c:pt idx="70">
                  <c:v>-2.2794808392419593E-2</c:v>
                </c:pt>
                <c:pt idx="71">
                  <c:v>-4.1243430425004272E-2</c:v>
                </c:pt>
                <c:pt idx="72">
                  <c:v>-3.7275344145875772E-2</c:v>
                </c:pt>
                <c:pt idx="73">
                  <c:v>-3.4829509579840344E-2</c:v>
                </c:pt>
                <c:pt idx="74">
                  <c:v>-2.8566720605015011E-2</c:v>
                </c:pt>
                <c:pt idx="75">
                  <c:v>-1.9875396257721639E-2</c:v>
                </c:pt>
                <c:pt idx="76">
                  <c:v>-2.088478767412151E-2</c:v>
                </c:pt>
                <c:pt idx="77">
                  <c:v>-8.9041250796063481E-2</c:v>
                </c:pt>
                <c:pt idx="78">
                  <c:v>-2.08684951575854E-2</c:v>
                </c:pt>
                <c:pt idx="79">
                  <c:v>-7.537309929705277E-3</c:v>
                </c:pt>
                <c:pt idx="80">
                  <c:v>-1.4566350881975903E-2</c:v>
                </c:pt>
                <c:pt idx="81">
                  <c:v>-1.5180489037342202E-2</c:v>
                </c:pt>
                <c:pt idx="82">
                  <c:v>-1.3139558251104581E-2</c:v>
                </c:pt>
                <c:pt idx="83">
                  <c:v>-9.5076169892214721E-3</c:v>
                </c:pt>
                <c:pt idx="84">
                  <c:v>-1.4882745746693866E-2</c:v>
                </c:pt>
                <c:pt idx="85">
                  <c:v>-1.0319086625118436E-2</c:v>
                </c:pt>
                <c:pt idx="86">
                  <c:v>-7.31849589536601E-3</c:v>
                </c:pt>
                <c:pt idx="87">
                  <c:v>-1.3170273935475018E-2</c:v>
                </c:pt>
                <c:pt idx="88">
                  <c:v>-6.1961107874348286E-3</c:v>
                </c:pt>
                <c:pt idx="89">
                  <c:v>-1.3145019828295062E-2</c:v>
                </c:pt>
                <c:pt idx="90">
                  <c:v>-1.2534918940921546E-2</c:v>
                </c:pt>
                <c:pt idx="91">
                  <c:v>-1.6786176333714903E-2</c:v>
                </c:pt>
                <c:pt idx="92">
                  <c:v>-9.1883597945121315E-3</c:v>
                </c:pt>
                <c:pt idx="93">
                  <c:v>-8.8973371432869309E-3</c:v>
                </c:pt>
                <c:pt idx="94">
                  <c:v>-9.181133441666935E-3</c:v>
                </c:pt>
                <c:pt idx="95">
                  <c:v>-4.7662877467239718E-3</c:v>
                </c:pt>
                <c:pt idx="96">
                  <c:v>-8.5200988833339392E-3</c:v>
                </c:pt>
                <c:pt idx="97">
                  <c:v>-2.9043061819303939E-2</c:v>
                </c:pt>
                <c:pt idx="98">
                  <c:v>-2.0310716363221036E-2</c:v>
                </c:pt>
                <c:pt idx="99">
                  <c:v>-7.2438640503520923E-3</c:v>
                </c:pt>
                <c:pt idx="100">
                  <c:v>-1.0634172079706211E-2</c:v>
                </c:pt>
                <c:pt idx="101">
                  <c:v>-2.5490842628063615E-2</c:v>
                </c:pt>
                <c:pt idx="102">
                  <c:v>-1.2546239755507832E-2</c:v>
                </c:pt>
                <c:pt idx="103">
                  <c:v>-1.1464464082255502E-2</c:v>
                </c:pt>
                <c:pt idx="104">
                  <c:v>-9.7800648683091084E-3</c:v>
                </c:pt>
                <c:pt idx="105">
                  <c:v>-2.3640459057782514E-2</c:v>
                </c:pt>
                <c:pt idx="106">
                  <c:v>-1.7223489505466264E-2</c:v>
                </c:pt>
                <c:pt idx="107">
                  <c:v>-3.1622786644691814E-2</c:v>
                </c:pt>
                <c:pt idx="108">
                  <c:v>-1.2235497755818493E-2</c:v>
                </c:pt>
                <c:pt idx="109">
                  <c:v>-9.0738441940600555E-3</c:v>
                </c:pt>
                <c:pt idx="110">
                  <c:v>-1.7906743029252558E-2</c:v>
                </c:pt>
                <c:pt idx="111">
                  <c:v>-6.6834896092722246E-3</c:v>
                </c:pt>
                <c:pt idx="112">
                  <c:v>-2.1330981536626072E-2</c:v>
                </c:pt>
                <c:pt idx="113">
                  <c:v>-6.4568095426003978E-3</c:v>
                </c:pt>
                <c:pt idx="114">
                  <c:v>-1.0538235652549265E-2</c:v>
                </c:pt>
                <c:pt idx="115">
                  <c:v>-3.2994701863870241E-2</c:v>
                </c:pt>
                <c:pt idx="116">
                  <c:v>-5.0037859095457193E-3</c:v>
                </c:pt>
                <c:pt idx="117">
                  <c:v>-3.5396730722781829E-2</c:v>
                </c:pt>
                <c:pt idx="118">
                  <c:v>-8.0286780014442588E-3</c:v>
                </c:pt>
                <c:pt idx="119">
                  <c:v>-1.4720304335286347E-2</c:v>
                </c:pt>
                <c:pt idx="120">
                  <c:v>-2.3712839623829349E-2</c:v>
                </c:pt>
                <c:pt idx="121">
                  <c:v>-4.6668053707366056E-2</c:v>
                </c:pt>
                <c:pt idx="122">
                  <c:v>-6.0179914489783624E-2</c:v>
                </c:pt>
                <c:pt idx="123">
                  <c:v>-4.3373559466673692E-2</c:v>
                </c:pt>
                <c:pt idx="124">
                  <c:v>-3.3824630386771908E-2</c:v>
                </c:pt>
                <c:pt idx="125">
                  <c:v>-5.1913178348977324E-2</c:v>
                </c:pt>
                <c:pt idx="126">
                  <c:v>-1.9281129927416235E-2</c:v>
                </c:pt>
                <c:pt idx="127">
                  <c:v>-1.6335041166834329E-2</c:v>
                </c:pt>
                <c:pt idx="128">
                  <c:v>-3.6255690402661397E-2</c:v>
                </c:pt>
                <c:pt idx="129">
                  <c:v>-2.5328284133880153E-2</c:v>
                </c:pt>
                <c:pt idx="130">
                  <c:v>-1.5611865751471426E-2</c:v>
                </c:pt>
                <c:pt idx="131">
                  <c:v>-2.8522370980979629E-2</c:v>
                </c:pt>
                <c:pt idx="132">
                  <c:v>-2.038955079307616E-2</c:v>
                </c:pt>
                <c:pt idx="133">
                  <c:v>-2.3280512534737289E-2</c:v>
                </c:pt>
                <c:pt idx="134">
                  <c:v>-1.380373672430211E-2</c:v>
                </c:pt>
                <c:pt idx="135">
                  <c:v>-2.2862727643318891E-2</c:v>
                </c:pt>
                <c:pt idx="136">
                  <c:v>-2.3758129677812767E-2</c:v>
                </c:pt>
                <c:pt idx="137">
                  <c:v>-2.3051287299374931E-2</c:v>
                </c:pt>
                <c:pt idx="138">
                  <c:v>-3.0488804660108719E-2</c:v>
                </c:pt>
                <c:pt idx="139">
                  <c:v>-2.1520126881511482E-2</c:v>
                </c:pt>
                <c:pt idx="140">
                  <c:v>-1.6223802592851465E-2</c:v>
                </c:pt>
                <c:pt idx="141">
                  <c:v>-1.2658959073008536E-2</c:v>
                </c:pt>
                <c:pt idx="142">
                  <c:v>-4.478865187503514E-2</c:v>
                </c:pt>
                <c:pt idx="143">
                  <c:v>-1.5134434347517463E-2</c:v>
                </c:pt>
                <c:pt idx="144">
                  <c:v>-3.2526380369602398E-2</c:v>
                </c:pt>
                <c:pt idx="145">
                  <c:v>-4.0250269625699123E-2</c:v>
                </c:pt>
                <c:pt idx="146">
                  <c:v>-3.1996755220233326E-2</c:v>
                </c:pt>
                <c:pt idx="147">
                  <c:v>-2.332390153876443E-2</c:v>
                </c:pt>
                <c:pt idx="148">
                  <c:v>-2.4669352158633528E-2</c:v>
                </c:pt>
                <c:pt idx="149">
                  <c:v>-2.5134586277167664E-2</c:v>
                </c:pt>
                <c:pt idx="150">
                  <c:v>-2.7399213823441491E-2</c:v>
                </c:pt>
                <c:pt idx="151">
                  <c:v>-2.2083093990638812E-2</c:v>
                </c:pt>
                <c:pt idx="152">
                  <c:v>-3.948678589732485E-2</c:v>
                </c:pt>
                <c:pt idx="153">
                  <c:v>-1.4881897101573751E-2</c:v>
                </c:pt>
                <c:pt idx="154">
                  <c:v>-1.4005175440526374E-2</c:v>
                </c:pt>
                <c:pt idx="155">
                  <c:v>-2.5519869754467864E-2</c:v>
                </c:pt>
                <c:pt idx="156">
                  <c:v>-1.0375070575858621E-2</c:v>
                </c:pt>
                <c:pt idx="157">
                  <c:v>-7.2861925996385683E-3</c:v>
                </c:pt>
                <c:pt idx="158">
                  <c:v>-3.1869646878043049E-2</c:v>
                </c:pt>
                <c:pt idx="159">
                  <c:v>-6.05434850895154E-3</c:v>
                </c:pt>
                <c:pt idx="160">
                  <c:v>-2.018266890559612E-2</c:v>
                </c:pt>
                <c:pt idx="161">
                  <c:v>-9.615123952983742E-3</c:v>
                </c:pt>
                <c:pt idx="162">
                  <c:v>-2.1563781858282904E-2</c:v>
                </c:pt>
                <c:pt idx="163">
                  <c:v>-1.4574113663541156E-2</c:v>
                </c:pt>
                <c:pt idx="164">
                  <c:v>-9.8828881329947361E-3</c:v>
                </c:pt>
                <c:pt idx="165">
                  <c:v>-1.567929258018461E-2</c:v>
                </c:pt>
                <c:pt idx="166">
                  <c:v>-1.449273908472897E-2</c:v>
                </c:pt>
                <c:pt idx="167">
                  <c:v>-6.989583579772073E-3</c:v>
                </c:pt>
                <c:pt idx="168">
                  <c:v>-1.1035716110274338E-2</c:v>
                </c:pt>
                <c:pt idx="169">
                  <c:v>-8.5072850969229227E-3</c:v>
                </c:pt>
                <c:pt idx="170">
                  <c:v>-4.1923056520227313E-3</c:v>
                </c:pt>
                <c:pt idx="171">
                  <c:v>-1.9206043472814887E-2</c:v>
                </c:pt>
                <c:pt idx="172">
                  <c:v>-7.9192939161099873E-3</c:v>
                </c:pt>
                <c:pt idx="173">
                  <c:v>-8.2700697089579615E-3</c:v>
                </c:pt>
                <c:pt idx="174">
                  <c:v>-9.3739165814076316E-3</c:v>
                </c:pt>
                <c:pt idx="175">
                  <c:v>-2.6764699185710571E-2</c:v>
                </c:pt>
                <c:pt idx="176">
                  <c:v>-1.0154592828842063E-2</c:v>
                </c:pt>
                <c:pt idx="177">
                  <c:v>-1.4854335393235715E-2</c:v>
                </c:pt>
                <c:pt idx="178">
                  <c:v>-1.8595331209465559E-2</c:v>
                </c:pt>
                <c:pt idx="179">
                  <c:v>-1.6126070754262346E-2</c:v>
                </c:pt>
                <c:pt idx="180">
                  <c:v>-9.97498576976894E-3</c:v>
                </c:pt>
                <c:pt idx="181">
                  <c:v>-6.9221224483339344E-3</c:v>
                </c:pt>
                <c:pt idx="182">
                  <c:v>-1.6175277860324348E-2</c:v>
                </c:pt>
                <c:pt idx="183">
                  <c:v>-6.0774609119216297E-2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D-426F-867E-66D64DD47657}"/>
            </c:ext>
          </c:extLst>
        </c:ser>
        <c:ser>
          <c:idx val="2"/>
          <c:order val="2"/>
          <c:tx>
            <c:strRef>
              <c:f>Feuil3!$L$1</c:f>
              <c:strCache>
                <c:ptCount val="1"/>
                <c:pt idx="0">
                  <c:v>VAR CAC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Feuil3!$A$2:$A$185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Feuil3!$L$2:$L$185</c:f>
              <c:numCache>
                <c:formatCode>General</c:formatCode>
                <c:ptCount val="184"/>
                <c:pt idx="0">
                  <c:v>-2.0336729056880932E-2</c:v>
                </c:pt>
                <c:pt idx="1">
                  <c:v>-3.4269566290219183E-2</c:v>
                </c:pt>
                <c:pt idx="2">
                  <c:v>-8.4661261850900536E-3</c:v>
                </c:pt>
                <c:pt idx="3">
                  <c:v>-3.8004846188281927E-2</c:v>
                </c:pt>
                <c:pt idx="4">
                  <c:v>-4.707360932319523E-2</c:v>
                </c:pt>
                <c:pt idx="5">
                  <c:v>-3.9150335322432027E-2</c:v>
                </c:pt>
                <c:pt idx="6">
                  <c:v>-2.9274168669556733E-2</c:v>
                </c:pt>
                <c:pt idx="7">
                  <c:v>-2.7114253636236076E-2</c:v>
                </c:pt>
                <c:pt idx="8">
                  <c:v>-1.2832338512792035E-2</c:v>
                </c:pt>
                <c:pt idx="9">
                  <c:v>-1.132795769592598E-2</c:v>
                </c:pt>
                <c:pt idx="10">
                  <c:v>-2.6443264581158508E-2</c:v>
                </c:pt>
                <c:pt idx="11">
                  <c:v>-1.0305707371435753E-2</c:v>
                </c:pt>
                <c:pt idx="12">
                  <c:v>-1.6457913987091954E-2</c:v>
                </c:pt>
                <c:pt idx="13">
                  <c:v>-1.4327233562842762E-2</c:v>
                </c:pt>
                <c:pt idx="14">
                  <c:v>-2.4814054352751337E-2</c:v>
                </c:pt>
                <c:pt idx="15">
                  <c:v>-1.6732208654312124E-2</c:v>
                </c:pt>
                <c:pt idx="16">
                  <c:v>-2.0837406582410203E-2</c:v>
                </c:pt>
                <c:pt idx="17">
                  <c:v>-2.14239835266338E-2</c:v>
                </c:pt>
                <c:pt idx="18">
                  <c:v>-2.6779706177487126E-2</c:v>
                </c:pt>
                <c:pt idx="19">
                  <c:v>-5.6319181825641898E-2</c:v>
                </c:pt>
                <c:pt idx="20">
                  <c:v>-5.3113488410767698E-2</c:v>
                </c:pt>
                <c:pt idx="21">
                  <c:v>-3.1532432900251157E-2</c:v>
                </c:pt>
                <c:pt idx="22">
                  <c:v>-5.2216252947196111E-2</c:v>
                </c:pt>
                <c:pt idx="23">
                  <c:v>-3.3504564942862101E-2</c:v>
                </c:pt>
                <c:pt idx="24">
                  <c:v>-1.6129326141021562E-2</c:v>
                </c:pt>
                <c:pt idx="25">
                  <c:v>-1.4396004318346818E-2</c:v>
                </c:pt>
                <c:pt idx="26">
                  <c:v>-3.3373314924004499E-2</c:v>
                </c:pt>
                <c:pt idx="27">
                  <c:v>-3.1271812338847065E-2</c:v>
                </c:pt>
                <c:pt idx="28">
                  <c:v>-2.6219616998057749E-2</c:v>
                </c:pt>
                <c:pt idx="29">
                  <c:v>-2.2662580288914502E-2</c:v>
                </c:pt>
                <c:pt idx="30">
                  <c:v>-2.8182989868335707E-2</c:v>
                </c:pt>
                <c:pt idx="31">
                  <c:v>-2.5952457346496434E-2</c:v>
                </c:pt>
                <c:pt idx="32">
                  <c:v>-2.8385548096617124E-2</c:v>
                </c:pt>
                <c:pt idx="33">
                  <c:v>-2.0768026566525859E-2</c:v>
                </c:pt>
                <c:pt idx="34">
                  <c:v>-1.8946896556114985E-2</c:v>
                </c:pt>
                <c:pt idx="35">
                  <c:v>-4.1254685425178191E-3</c:v>
                </c:pt>
                <c:pt idx="36">
                  <c:v>-8.4879116646800774E-3</c:v>
                </c:pt>
                <c:pt idx="37">
                  <c:v>-3.0397571610741508E-2</c:v>
                </c:pt>
                <c:pt idx="38">
                  <c:v>-1.432391876474772E-2</c:v>
                </c:pt>
                <c:pt idx="39">
                  <c:v>-2.3084926181806416E-2</c:v>
                </c:pt>
                <c:pt idx="40">
                  <c:v>-2.0848406792171783E-2</c:v>
                </c:pt>
                <c:pt idx="41">
                  <c:v>-3.6337597783142793E-2</c:v>
                </c:pt>
                <c:pt idx="42">
                  <c:v>-1.3912197474813376E-2</c:v>
                </c:pt>
                <c:pt idx="43">
                  <c:v>-2.4491852845788486E-2</c:v>
                </c:pt>
                <c:pt idx="44">
                  <c:v>-1.0163371117737199E-2</c:v>
                </c:pt>
                <c:pt idx="45">
                  <c:v>-8.9871217197841444E-3</c:v>
                </c:pt>
                <c:pt idx="46">
                  <c:v>-1.0961877718603623E-2</c:v>
                </c:pt>
                <c:pt idx="47">
                  <c:v>-1.46592439942264E-2</c:v>
                </c:pt>
                <c:pt idx="48">
                  <c:v>-2.5771281865536601E-2</c:v>
                </c:pt>
                <c:pt idx="49">
                  <c:v>-1.3513205758608782E-2</c:v>
                </c:pt>
                <c:pt idx="50">
                  <c:v>-2.5623609343980495E-2</c:v>
                </c:pt>
                <c:pt idx="51">
                  <c:v>-1.0866228218783172E-2</c:v>
                </c:pt>
                <c:pt idx="52">
                  <c:v>-1.2544360374955973E-2</c:v>
                </c:pt>
                <c:pt idx="53">
                  <c:v>-1.2447152868096664E-2</c:v>
                </c:pt>
                <c:pt idx="54">
                  <c:v>-1.7754226828496301E-2</c:v>
                </c:pt>
                <c:pt idx="55">
                  <c:v>-1.3715712376760555E-2</c:v>
                </c:pt>
                <c:pt idx="56">
                  <c:v>-1.8069081766253305E-2</c:v>
                </c:pt>
                <c:pt idx="57">
                  <c:v>-3.5729336462158201E-2</c:v>
                </c:pt>
                <c:pt idx="58">
                  <c:v>-1.5334103291984208E-2</c:v>
                </c:pt>
                <c:pt idx="59">
                  <c:v>-2.8060136410409907E-2</c:v>
                </c:pt>
                <c:pt idx="60">
                  <c:v>-3.2255911250920817E-2</c:v>
                </c:pt>
                <c:pt idx="61">
                  <c:v>-8.2986339475316067E-3</c:v>
                </c:pt>
                <c:pt idx="62">
                  <c:v>-1.3003866772554676E-2</c:v>
                </c:pt>
                <c:pt idx="63">
                  <c:v>-2.5844006638714705E-2</c:v>
                </c:pt>
                <c:pt idx="64">
                  <c:v>-1.6128775006962581E-2</c:v>
                </c:pt>
                <c:pt idx="65">
                  <c:v>-3.5073726973218151E-2</c:v>
                </c:pt>
                <c:pt idx="66">
                  <c:v>-2.5384108675679643E-2</c:v>
                </c:pt>
                <c:pt idx="67">
                  <c:v>-5.3917623451203163E-2</c:v>
                </c:pt>
                <c:pt idx="68">
                  <c:v>-3.3971744225686822E-2</c:v>
                </c:pt>
                <c:pt idx="69">
                  <c:v>-1.0190603850198803E-2</c:v>
                </c:pt>
                <c:pt idx="70">
                  <c:v>-1.9066124523442141E-2</c:v>
                </c:pt>
                <c:pt idx="71">
                  <c:v>-3.6440425968209698E-2</c:v>
                </c:pt>
                <c:pt idx="72">
                  <c:v>-3.5016256072653913E-2</c:v>
                </c:pt>
                <c:pt idx="73">
                  <c:v>-4.0462108374438061E-2</c:v>
                </c:pt>
                <c:pt idx="74">
                  <c:v>-2.1107582289084003E-2</c:v>
                </c:pt>
                <c:pt idx="75">
                  <c:v>-2.7929996211006593E-2</c:v>
                </c:pt>
                <c:pt idx="76">
                  <c:v>-1.2948797777806009E-2</c:v>
                </c:pt>
                <c:pt idx="77">
                  <c:v>-7.5791126580524795E-2</c:v>
                </c:pt>
                <c:pt idx="78">
                  <c:v>-1.8748859970345748E-2</c:v>
                </c:pt>
                <c:pt idx="79">
                  <c:v>-1.7688183357138988E-2</c:v>
                </c:pt>
                <c:pt idx="80">
                  <c:v>-1.723618067114336E-2</c:v>
                </c:pt>
                <c:pt idx="81">
                  <c:v>-1.0531166511490823E-2</c:v>
                </c:pt>
                <c:pt idx="82">
                  <c:v>-1.2026495175146442E-2</c:v>
                </c:pt>
                <c:pt idx="83">
                  <c:v>-7.2228843330862146E-3</c:v>
                </c:pt>
                <c:pt idx="84">
                  <c:v>-1.1172087232804823E-2</c:v>
                </c:pt>
                <c:pt idx="85">
                  <c:v>-9.8390008237079704E-3</c:v>
                </c:pt>
                <c:pt idx="86">
                  <c:v>-4.9856448985589495E-3</c:v>
                </c:pt>
                <c:pt idx="87">
                  <c:v>-8.5057569615325929E-3</c:v>
                </c:pt>
                <c:pt idx="88">
                  <c:v>-1.5720651179697176E-2</c:v>
                </c:pt>
                <c:pt idx="89">
                  <c:v>-1.8443526227991652E-2</c:v>
                </c:pt>
                <c:pt idx="90">
                  <c:v>-1.5324059763377898E-2</c:v>
                </c:pt>
                <c:pt idx="91">
                  <c:v>-1.4271152408980239E-2</c:v>
                </c:pt>
                <c:pt idx="92">
                  <c:v>-3.7367483267682954E-3</c:v>
                </c:pt>
                <c:pt idx="93">
                  <c:v>-3.6923573264383293E-3</c:v>
                </c:pt>
                <c:pt idx="94">
                  <c:v>-1.1044565267704184E-2</c:v>
                </c:pt>
                <c:pt idx="95">
                  <c:v>-1.0458780722333909E-2</c:v>
                </c:pt>
                <c:pt idx="96">
                  <c:v>-8.4826012059609681E-3</c:v>
                </c:pt>
                <c:pt idx="97">
                  <c:v>-2.3556662960803824E-2</c:v>
                </c:pt>
                <c:pt idx="98">
                  <c:v>-2.3210105376039264E-2</c:v>
                </c:pt>
                <c:pt idx="99">
                  <c:v>-5.680174256341858E-3</c:v>
                </c:pt>
                <c:pt idx="100">
                  <c:v>-1.903230404986065E-2</c:v>
                </c:pt>
                <c:pt idx="101">
                  <c:v>-1.8566202851668306E-2</c:v>
                </c:pt>
                <c:pt idx="102">
                  <c:v>-1.39979061444802E-2</c:v>
                </c:pt>
                <c:pt idx="103">
                  <c:v>-1.5747419851308436E-2</c:v>
                </c:pt>
                <c:pt idx="104">
                  <c:v>-1.5441382891928885E-2</c:v>
                </c:pt>
                <c:pt idx="105">
                  <c:v>-2.1049441118132589E-2</c:v>
                </c:pt>
                <c:pt idx="106">
                  <c:v>-1.1794956505468317E-2</c:v>
                </c:pt>
                <c:pt idx="107">
                  <c:v>-2.323212758707055E-2</c:v>
                </c:pt>
                <c:pt idx="108">
                  <c:v>-1.5377103427565509E-2</c:v>
                </c:pt>
                <c:pt idx="109">
                  <c:v>-1.7890047150503064E-2</c:v>
                </c:pt>
                <c:pt idx="110">
                  <c:v>-1.9213583905713327E-2</c:v>
                </c:pt>
                <c:pt idx="111">
                  <c:v>-6.3242318003971345E-3</c:v>
                </c:pt>
                <c:pt idx="112">
                  <c:v>-2.7551640999170911E-2</c:v>
                </c:pt>
                <c:pt idx="113">
                  <c:v>-6.2188551560369565E-3</c:v>
                </c:pt>
                <c:pt idx="114">
                  <c:v>-1.448919925741741E-2</c:v>
                </c:pt>
                <c:pt idx="115">
                  <c:v>-3.5645049506053073E-2</c:v>
                </c:pt>
                <c:pt idx="116">
                  <c:v>-1.048827921005931E-2</c:v>
                </c:pt>
                <c:pt idx="117">
                  <c:v>-2.910887483056887E-2</c:v>
                </c:pt>
                <c:pt idx="118">
                  <c:v>-3.4078626866513705E-3</c:v>
                </c:pt>
                <c:pt idx="119">
                  <c:v>-1.1826890944555853E-2</c:v>
                </c:pt>
                <c:pt idx="120">
                  <c:v>-2.5168839272424449E-2</c:v>
                </c:pt>
                <c:pt idx="121">
                  <c:v>-3.9951835301447948E-2</c:v>
                </c:pt>
                <c:pt idx="122">
                  <c:v>-1.9213583905713327E-2</c:v>
                </c:pt>
                <c:pt idx="123">
                  <c:v>-4.3642572522058228E-2</c:v>
                </c:pt>
                <c:pt idx="124">
                  <c:v>-3.1095129761731108E-2</c:v>
                </c:pt>
                <c:pt idx="125">
                  <c:v>-4.6343586004043549E-2</c:v>
                </c:pt>
                <c:pt idx="126">
                  <c:v>-2.0349874727559957E-2</c:v>
                </c:pt>
                <c:pt idx="127">
                  <c:v>-1.5755158456661873E-2</c:v>
                </c:pt>
                <c:pt idx="128">
                  <c:v>-3.4791446240900109E-2</c:v>
                </c:pt>
                <c:pt idx="129">
                  <c:v>-3.2358472717817222E-2</c:v>
                </c:pt>
                <c:pt idx="130">
                  <c:v>-1.5196326846536313E-2</c:v>
                </c:pt>
                <c:pt idx="131">
                  <c:v>-2.4632283431022903E-2</c:v>
                </c:pt>
                <c:pt idx="132">
                  <c:v>-2.0176568681320516E-2</c:v>
                </c:pt>
                <c:pt idx="133">
                  <c:v>-1.366960263420983E-2</c:v>
                </c:pt>
                <c:pt idx="134">
                  <c:v>-1.0253829265843492E-2</c:v>
                </c:pt>
                <c:pt idx="135">
                  <c:v>-2.0325416922513821E-2</c:v>
                </c:pt>
                <c:pt idx="136">
                  <c:v>-1.5090355303305793E-2</c:v>
                </c:pt>
                <c:pt idx="137">
                  <c:v>-1.3948073088709064E-2</c:v>
                </c:pt>
                <c:pt idx="138">
                  <c:v>-2.4912782472225073E-2</c:v>
                </c:pt>
                <c:pt idx="139">
                  <c:v>-2.2934037970873011E-2</c:v>
                </c:pt>
                <c:pt idx="140">
                  <c:v>-2.1293546279128051E-2</c:v>
                </c:pt>
                <c:pt idx="141">
                  <c:v>-1.226567870458053E-2</c:v>
                </c:pt>
                <c:pt idx="142">
                  <c:v>-4.2650141976235789E-2</c:v>
                </c:pt>
                <c:pt idx="143">
                  <c:v>-1.2593000551130882E-2</c:v>
                </c:pt>
                <c:pt idx="144">
                  <c:v>-3.9389263051264514E-2</c:v>
                </c:pt>
                <c:pt idx="145">
                  <c:v>-3.823829323963087E-2</c:v>
                </c:pt>
                <c:pt idx="146">
                  <c:v>-4.8781989291811809E-2</c:v>
                </c:pt>
                <c:pt idx="147">
                  <c:v>-2.2319277956140197E-2</c:v>
                </c:pt>
                <c:pt idx="148">
                  <c:v>-2.6874458100596247E-2</c:v>
                </c:pt>
                <c:pt idx="149">
                  <c:v>-2.7284529305505279E-2</c:v>
                </c:pt>
                <c:pt idx="150">
                  <c:v>-2.5889333217377072E-2</c:v>
                </c:pt>
                <c:pt idx="151">
                  <c:v>-1.806656536875657E-2</c:v>
                </c:pt>
                <c:pt idx="152">
                  <c:v>-2.2669059047100662E-2</c:v>
                </c:pt>
                <c:pt idx="153">
                  <c:v>-1.1497698516980541E-2</c:v>
                </c:pt>
                <c:pt idx="154">
                  <c:v>-7.988368608429261E-3</c:v>
                </c:pt>
                <c:pt idx="155">
                  <c:v>-3.0587958201092117E-2</c:v>
                </c:pt>
                <c:pt idx="156">
                  <c:v>-1.7422586016895333E-2</c:v>
                </c:pt>
                <c:pt idx="157">
                  <c:v>-1.7724244824588495E-2</c:v>
                </c:pt>
                <c:pt idx="158">
                  <c:v>-3.5066730072093016E-2</c:v>
                </c:pt>
                <c:pt idx="159">
                  <c:v>-6.0540704021819622E-3</c:v>
                </c:pt>
                <c:pt idx="160">
                  <c:v>-1.7040349071112567E-2</c:v>
                </c:pt>
                <c:pt idx="161">
                  <c:v>-1.0072269213682651E-2</c:v>
                </c:pt>
                <c:pt idx="162">
                  <c:v>-2.9944001474593689E-2</c:v>
                </c:pt>
                <c:pt idx="163">
                  <c:v>-1.2667442176381346E-2</c:v>
                </c:pt>
                <c:pt idx="164">
                  <c:v>-1.5867532554346812E-2</c:v>
                </c:pt>
                <c:pt idx="165">
                  <c:v>-1.5160106940520723E-2</c:v>
                </c:pt>
                <c:pt idx="166">
                  <c:v>-9.0989548439909078E-3</c:v>
                </c:pt>
                <c:pt idx="167">
                  <c:v>-4.853395180486832E-3</c:v>
                </c:pt>
                <c:pt idx="168">
                  <c:v>-1.5155402868096008E-2</c:v>
                </c:pt>
                <c:pt idx="169">
                  <c:v>-8.8708316425560735E-3</c:v>
                </c:pt>
                <c:pt idx="170">
                  <c:v>-4.7732062458561032E-3</c:v>
                </c:pt>
                <c:pt idx="171">
                  <c:v>-1.3787309741056181E-2</c:v>
                </c:pt>
                <c:pt idx="172">
                  <c:v>-1.5027787264717825E-2</c:v>
                </c:pt>
                <c:pt idx="173">
                  <c:v>-2.6582451089620103E-2</c:v>
                </c:pt>
                <c:pt idx="174">
                  <c:v>-1.4943415782298139E-2</c:v>
                </c:pt>
                <c:pt idx="175">
                  <c:v>-2.134488042356579E-2</c:v>
                </c:pt>
                <c:pt idx="176">
                  <c:v>-1.9730118565861349E-2</c:v>
                </c:pt>
                <c:pt idx="177">
                  <c:v>-1.282303056523698E-2</c:v>
                </c:pt>
                <c:pt idx="178">
                  <c:v>-2.5733731976738936E-2</c:v>
                </c:pt>
                <c:pt idx="179">
                  <c:v>-1.160008431681674E-2</c:v>
                </c:pt>
                <c:pt idx="180">
                  <c:v>-1.4111598089777232E-2</c:v>
                </c:pt>
                <c:pt idx="181">
                  <c:v>-1.2039032977539173E-2</c:v>
                </c:pt>
                <c:pt idx="182">
                  <c:v>-1.8413016915298366E-2</c:v>
                </c:pt>
                <c:pt idx="183">
                  <c:v>-4.4660229616703899E-2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D-426F-867E-66D64DD47657}"/>
            </c:ext>
          </c:extLst>
        </c:ser>
        <c:ser>
          <c:idx val="3"/>
          <c:order val="3"/>
          <c:tx>
            <c:strRef>
              <c:f>Feuil3!$M$1</c:f>
              <c:strCache>
                <c:ptCount val="1"/>
                <c:pt idx="0">
                  <c:v>ES CAC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Feuil3!$A$2:$A$185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Feuil3!$M$2:$M$185</c:f>
              <c:numCache>
                <c:formatCode>General</c:formatCode>
                <c:ptCount val="184"/>
                <c:pt idx="0">
                  <c:v>-2.0336729056880932E-2</c:v>
                </c:pt>
                <c:pt idx="1">
                  <c:v>-3.4607018087643139E-2</c:v>
                </c:pt>
                <c:pt idx="2">
                  <c:v>-9.3345658997797693E-3</c:v>
                </c:pt>
                <c:pt idx="3">
                  <c:v>-3.8972081812495389E-2</c:v>
                </c:pt>
                <c:pt idx="4">
                  <c:v>-4.707360932319523E-2</c:v>
                </c:pt>
                <c:pt idx="5">
                  <c:v>-4.0939086753241698E-2</c:v>
                </c:pt>
                <c:pt idx="6">
                  <c:v>-3.0370368543586879E-2</c:v>
                </c:pt>
                <c:pt idx="7">
                  <c:v>-2.7802254639829393E-2</c:v>
                </c:pt>
                <c:pt idx="8">
                  <c:v>-1.312614847211817E-2</c:v>
                </c:pt>
                <c:pt idx="9">
                  <c:v>-1.1517581929928283E-2</c:v>
                </c:pt>
                <c:pt idx="10">
                  <c:v>-2.6689369601376391E-2</c:v>
                </c:pt>
                <c:pt idx="11">
                  <c:v>-1.0305707371435753E-2</c:v>
                </c:pt>
                <c:pt idx="12">
                  <c:v>-1.6576600844849878E-2</c:v>
                </c:pt>
                <c:pt idx="13">
                  <c:v>-1.4472271054620674E-2</c:v>
                </c:pt>
                <c:pt idx="14">
                  <c:v>-2.5381019285010398E-2</c:v>
                </c:pt>
                <c:pt idx="15">
                  <c:v>-2.3739231732062827E-2</c:v>
                </c:pt>
                <c:pt idx="16">
                  <c:v>-2.123954375232482E-2</c:v>
                </c:pt>
                <c:pt idx="17">
                  <c:v>-2.1825714003503794E-2</c:v>
                </c:pt>
                <c:pt idx="18">
                  <c:v>-2.7469458289347246E-2</c:v>
                </c:pt>
                <c:pt idx="19">
                  <c:v>-5.6346434663959041E-2</c:v>
                </c:pt>
                <c:pt idx="20">
                  <c:v>-5.3931739247359847E-2</c:v>
                </c:pt>
                <c:pt idx="21">
                  <c:v>-3.2101817893642824E-2</c:v>
                </c:pt>
                <c:pt idx="22">
                  <c:v>-5.5316049424222635E-2</c:v>
                </c:pt>
                <c:pt idx="23">
                  <c:v>-3.3876687195497107E-2</c:v>
                </c:pt>
                <c:pt idx="24">
                  <c:v>-1.6135457290221183E-2</c:v>
                </c:pt>
                <c:pt idx="25">
                  <c:v>-1.517273530066989E-2</c:v>
                </c:pt>
                <c:pt idx="26">
                  <c:v>-3.6494027980830963E-2</c:v>
                </c:pt>
                <c:pt idx="27">
                  <c:v>-3.1271812338847065E-2</c:v>
                </c:pt>
                <c:pt idx="28">
                  <c:v>-2.6554943105215157E-2</c:v>
                </c:pt>
                <c:pt idx="29">
                  <c:v>-2.2662580288914502E-2</c:v>
                </c:pt>
                <c:pt idx="30">
                  <c:v>-2.9344071502311404E-2</c:v>
                </c:pt>
                <c:pt idx="31">
                  <c:v>-2.7191094823623824E-2</c:v>
                </c:pt>
                <c:pt idx="32">
                  <c:v>-2.8570279064389557E-2</c:v>
                </c:pt>
                <c:pt idx="33">
                  <c:v>-2.2280394779978261E-2</c:v>
                </c:pt>
                <c:pt idx="34">
                  <c:v>-2.0055112698893814E-2</c:v>
                </c:pt>
                <c:pt idx="35">
                  <c:v>-1.4808667618251226E-2</c:v>
                </c:pt>
                <c:pt idx="36">
                  <c:v>-8.7809241579029033E-3</c:v>
                </c:pt>
                <c:pt idx="37">
                  <c:v>-3.057234594306522E-2</c:v>
                </c:pt>
                <c:pt idx="38">
                  <c:v>-1.4389267274336348E-2</c:v>
                </c:pt>
                <c:pt idx="39">
                  <c:v>-2.3764951601235505E-2</c:v>
                </c:pt>
                <c:pt idx="40">
                  <c:v>-2.0942964875168751E-2</c:v>
                </c:pt>
                <c:pt idx="41">
                  <c:v>-3.7256888189702533E-2</c:v>
                </c:pt>
                <c:pt idx="42">
                  <c:v>-1.4666090388188075E-2</c:v>
                </c:pt>
                <c:pt idx="43">
                  <c:v>-2.5066625568686635E-2</c:v>
                </c:pt>
                <c:pt idx="44">
                  <c:v>-1.0403192905549847E-2</c:v>
                </c:pt>
                <c:pt idx="45">
                  <c:v>-9.2020049044941373E-3</c:v>
                </c:pt>
                <c:pt idx="46">
                  <c:v>-1.126281402716286E-2</c:v>
                </c:pt>
                <c:pt idx="47">
                  <c:v>-2.6808569108513182E-2</c:v>
                </c:pt>
                <c:pt idx="48">
                  <c:v>-2.8308906268907679E-2</c:v>
                </c:pt>
                <c:pt idx="49">
                  <c:v>-1.4013696476512461E-2</c:v>
                </c:pt>
                <c:pt idx="50">
                  <c:v>-2.6949710924102376E-2</c:v>
                </c:pt>
                <c:pt idx="51">
                  <c:v>-1.0867052438152645E-2</c:v>
                </c:pt>
                <c:pt idx="52">
                  <c:v>-1.2544360374955973E-2</c:v>
                </c:pt>
                <c:pt idx="53">
                  <c:v>-1.286138362001632E-2</c:v>
                </c:pt>
                <c:pt idx="54">
                  <c:v>-1.8327516154666559E-2</c:v>
                </c:pt>
                <c:pt idx="55">
                  <c:v>-1.3715712376760555E-2</c:v>
                </c:pt>
                <c:pt idx="56">
                  <c:v>-1.8905572229137576E-2</c:v>
                </c:pt>
                <c:pt idx="57">
                  <c:v>-3.7007350835675308E-2</c:v>
                </c:pt>
                <c:pt idx="58">
                  <c:v>-1.5338674772601585E-2</c:v>
                </c:pt>
                <c:pt idx="59">
                  <c:v>-2.8060136410409907E-2</c:v>
                </c:pt>
                <c:pt idx="60">
                  <c:v>-3.3703787336422944E-2</c:v>
                </c:pt>
                <c:pt idx="61">
                  <c:v>-8.5527238547178936E-3</c:v>
                </c:pt>
                <c:pt idx="62">
                  <c:v>-1.3312730554734711E-2</c:v>
                </c:pt>
                <c:pt idx="63">
                  <c:v>-2.6241203652521462E-2</c:v>
                </c:pt>
                <c:pt idx="64">
                  <c:v>-2.5616142635770979E-2</c:v>
                </c:pt>
                <c:pt idx="65">
                  <c:v>-3.8145462798365226E-2</c:v>
                </c:pt>
                <c:pt idx="66">
                  <c:v>-2.5992553910037464E-2</c:v>
                </c:pt>
                <c:pt idx="67">
                  <c:v>-5.493230125890735E-2</c:v>
                </c:pt>
                <c:pt idx="68">
                  <c:v>-3.483596665097357E-2</c:v>
                </c:pt>
                <c:pt idx="69">
                  <c:v>-1.0274920551452177E-2</c:v>
                </c:pt>
                <c:pt idx="70">
                  <c:v>-1.9545618946637387E-2</c:v>
                </c:pt>
                <c:pt idx="71">
                  <c:v>-3.6440425968209698E-2</c:v>
                </c:pt>
                <c:pt idx="72">
                  <c:v>-3.5089062728072842E-2</c:v>
                </c:pt>
                <c:pt idx="73">
                  <c:v>-4.1345889074985695E-2</c:v>
                </c:pt>
                <c:pt idx="74">
                  <c:v>-2.1546107133027084E-2</c:v>
                </c:pt>
                <c:pt idx="75">
                  <c:v>-2.8578714986915593E-2</c:v>
                </c:pt>
                <c:pt idx="76">
                  <c:v>-1.2948797777806009E-2</c:v>
                </c:pt>
                <c:pt idx="77">
                  <c:v>-8.3843670369306206E-2</c:v>
                </c:pt>
                <c:pt idx="78">
                  <c:v>-1.8941686878126449E-2</c:v>
                </c:pt>
                <c:pt idx="79">
                  <c:v>-1.8583232123043567E-2</c:v>
                </c:pt>
                <c:pt idx="80">
                  <c:v>-1.8173857485110752E-2</c:v>
                </c:pt>
                <c:pt idx="81">
                  <c:v>-1.0628489164106126E-2</c:v>
                </c:pt>
                <c:pt idx="82">
                  <c:v>-1.2517960409215146E-2</c:v>
                </c:pt>
                <c:pt idx="83">
                  <c:v>-7.2348800033537027E-3</c:v>
                </c:pt>
                <c:pt idx="84">
                  <c:v>-1.1499801523700594E-2</c:v>
                </c:pt>
                <c:pt idx="85">
                  <c:v>-9.8589854640035272E-3</c:v>
                </c:pt>
                <c:pt idx="86">
                  <c:v>-5.0812934054105868E-3</c:v>
                </c:pt>
                <c:pt idx="87">
                  <c:v>-1.6071747885926926E-2</c:v>
                </c:pt>
                <c:pt idx="88">
                  <c:v>-1.645133750933795E-2</c:v>
                </c:pt>
                <c:pt idx="89">
                  <c:v>-1.8939286704568226E-2</c:v>
                </c:pt>
                <c:pt idx="90">
                  <c:v>-1.5811311005454035E-2</c:v>
                </c:pt>
                <c:pt idx="91">
                  <c:v>-1.4287578104278508E-2</c:v>
                </c:pt>
                <c:pt idx="92">
                  <c:v>-3.7722868997681611E-3</c:v>
                </c:pt>
                <c:pt idx="93">
                  <c:v>-3.6974179725313976E-3</c:v>
                </c:pt>
                <c:pt idx="94">
                  <c:v>-1.1706898366384836E-2</c:v>
                </c:pt>
                <c:pt idx="95">
                  <c:v>-1.0458780722333909E-2</c:v>
                </c:pt>
                <c:pt idx="96">
                  <c:v>-8.6964424688977509E-3</c:v>
                </c:pt>
                <c:pt idx="97">
                  <c:v>-2.3742362061144429E-2</c:v>
                </c:pt>
                <c:pt idx="98">
                  <c:v>-2.423011200803861E-2</c:v>
                </c:pt>
                <c:pt idx="99">
                  <c:v>-5.6845861006398291E-3</c:v>
                </c:pt>
                <c:pt idx="100">
                  <c:v>-1.903230404986065E-2</c:v>
                </c:pt>
                <c:pt idx="101">
                  <c:v>-1.940229017030648E-2</c:v>
                </c:pt>
                <c:pt idx="102">
                  <c:v>-1.4910887673939239E-2</c:v>
                </c:pt>
                <c:pt idx="103">
                  <c:v>-1.604331589206151E-2</c:v>
                </c:pt>
                <c:pt idx="104">
                  <c:v>-1.555829219790196E-2</c:v>
                </c:pt>
                <c:pt idx="105">
                  <c:v>-2.1346645200840279E-2</c:v>
                </c:pt>
                <c:pt idx="106">
                  <c:v>-1.2221730802833165E-2</c:v>
                </c:pt>
                <c:pt idx="107">
                  <c:v>-3.3712779360090532E-2</c:v>
                </c:pt>
                <c:pt idx="108">
                  <c:v>-1.6751494833780797E-2</c:v>
                </c:pt>
                <c:pt idx="109">
                  <c:v>-1.8578502112716711E-2</c:v>
                </c:pt>
                <c:pt idx="110">
                  <c:v>-2.0459414505677471E-2</c:v>
                </c:pt>
                <c:pt idx="111">
                  <c:v>-6.483218836211042E-3</c:v>
                </c:pt>
                <c:pt idx="112">
                  <c:v>-2.7977290246964465E-2</c:v>
                </c:pt>
                <c:pt idx="113">
                  <c:v>-6.2188551560369565E-3</c:v>
                </c:pt>
                <c:pt idx="114">
                  <c:v>-1.6204210333546815E-2</c:v>
                </c:pt>
                <c:pt idx="115">
                  <c:v>-3.6354781880387925E-2</c:v>
                </c:pt>
                <c:pt idx="116">
                  <c:v>-1.0602897184209698E-2</c:v>
                </c:pt>
                <c:pt idx="117">
                  <c:v>-3.1736538864542252E-2</c:v>
                </c:pt>
                <c:pt idx="118">
                  <c:v>-3.5037252327376222E-3</c:v>
                </c:pt>
                <c:pt idx="119">
                  <c:v>-2.0259145101798166E-2</c:v>
                </c:pt>
                <c:pt idx="120">
                  <c:v>-2.7129821057584373E-2</c:v>
                </c:pt>
                <c:pt idx="121">
                  <c:v>-4.0245365086637092E-2</c:v>
                </c:pt>
                <c:pt idx="122">
                  <c:v>-6.5474604270831793E-2</c:v>
                </c:pt>
                <c:pt idx="123">
                  <c:v>-4.3915482953290015E-2</c:v>
                </c:pt>
                <c:pt idx="124">
                  <c:v>-4.3345582111293982E-2</c:v>
                </c:pt>
                <c:pt idx="125">
                  <c:v>-4.8204593716093543E-2</c:v>
                </c:pt>
                <c:pt idx="126">
                  <c:v>-2.1566969346964667E-2</c:v>
                </c:pt>
                <c:pt idx="127">
                  <c:v>-1.5881900710193589E-2</c:v>
                </c:pt>
                <c:pt idx="128">
                  <c:v>-3.8108154367996784E-2</c:v>
                </c:pt>
                <c:pt idx="129">
                  <c:v>-3.4306476187290449E-2</c:v>
                </c:pt>
                <c:pt idx="130">
                  <c:v>-1.5292985352338882E-2</c:v>
                </c:pt>
                <c:pt idx="131">
                  <c:v>-2.4632283431022903E-2</c:v>
                </c:pt>
                <c:pt idx="132">
                  <c:v>-2.0406346006003374E-2</c:v>
                </c:pt>
                <c:pt idx="133">
                  <c:v>-1.4045539076652168E-2</c:v>
                </c:pt>
                <c:pt idx="134">
                  <c:v>-1.0750678756138029E-2</c:v>
                </c:pt>
                <c:pt idx="135">
                  <c:v>-2.1118119385507506E-2</c:v>
                </c:pt>
                <c:pt idx="136">
                  <c:v>-1.8746528327207582E-2</c:v>
                </c:pt>
                <c:pt idx="137">
                  <c:v>-1.4673012584069278E-2</c:v>
                </c:pt>
                <c:pt idx="138">
                  <c:v>-2.5731955445123904E-2</c:v>
                </c:pt>
                <c:pt idx="139">
                  <c:v>-2.4555659644756037E-2</c:v>
                </c:pt>
                <c:pt idx="140">
                  <c:v>-2.1952010176324102E-2</c:v>
                </c:pt>
                <c:pt idx="141">
                  <c:v>-1.272608112571901E-2</c:v>
                </c:pt>
                <c:pt idx="142">
                  <c:v>-4.8670539392574569E-2</c:v>
                </c:pt>
                <c:pt idx="143">
                  <c:v>-1.2593000551130882E-2</c:v>
                </c:pt>
                <c:pt idx="144">
                  <c:v>-4.0535615843825694E-2</c:v>
                </c:pt>
                <c:pt idx="145">
                  <c:v>-3.9040511211597038E-2</c:v>
                </c:pt>
                <c:pt idx="146">
                  <c:v>-5.0928888858496689E-2</c:v>
                </c:pt>
                <c:pt idx="147">
                  <c:v>-2.2319277956140197E-2</c:v>
                </c:pt>
                <c:pt idx="148">
                  <c:v>-2.7923832258290402E-2</c:v>
                </c:pt>
                <c:pt idx="149">
                  <c:v>-2.7298719087945515E-2</c:v>
                </c:pt>
                <c:pt idx="150">
                  <c:v>-2.7183852674881624E-2</c:v>
                </c:pt>
                <c:pt idx="151">
                  <c:v>-1.8189846876654894E-2</c:v>
                </c:pt>
                <c:pt idx="152">
                  <c:v>-2.3089564290769284E-2</c:v>
                </c:pt>
                <c:pt idx="153">
                  <c:v>-1.1773054879298962E-2</c:v>
                </c:pt>
                <c:pt idx="154">
                  <c:v>-8.1506948983195663E-3</c:v>
                </c:pt>
                <c:pt idx="155">
                  <c:v>-3.1393389269003341E-2</c:v>
                </c:pt>
                <c:pt idx="156">
                  <c:v>-1.8741918536841817E-2</c:v>
                </c:pt>
                <c:pt idx="157">
                  <c:v>-1.7947767818046762E-2</c:v>
                </c:pt>
                <c:pt idx="158">
                  <c:v>-3.6484390540453292E-2</c:v>
                </c:pt>
                <c:pt idx="159">
                  <c:v>-8.661053043037624E-3</c:v>
                </c:pt>
                <c:pt idx="160">
                  <c:v>-1.7120230183235791E-2</c:v>
                </c:pt>
                <c:pt idx="161">
                  <c:v>-1.0147883067506873E-2</c:v>
                </c:pt>
                <c:pt idx="162">
                  <c:v>-3.1756773000750325E-2</c:v>
                </c:pt>
                <c:pt idx="163">
                  <c:v>-1.2669577281891319E-2</c:v>
                </c:pt>
                <c:pt idx="164">
                  <c:v>-1.6073565902909717E-2</c:v>
                </c:pt>
                <c:pt idx="165">
                  <c:v>-1.5308660911926087E-2</c:v>
                </c:pt>
                <c:pt idx="166">
                  <c:v>-9.693056179889423E-3</c:v>
                </c:pt>
                <c:pt idx="167">
                  <c:v>-4.853395180486832E-3</c:v>
                </c:pt>
                <c:pt idx="168">
                  <c:v>-1.5927825162246976E-2</c:v>
                </c:pt>
                <c:pt idx="169">
                  <c:v>-8.920724272590639E-3</c:v>
                </c:pt>
                <c:pt idx="170">
                  <c:v>-4.8452466866712009E-3</c:v>
                </c:pt>
                <c:pt idx="171">
                  <c:v>-1.4082342057841793E-2</c:v>
                </c:pt>
                <c:pt idx="172">
                  <c:v>-1.5353431716966865E-2</c:v>
                </c:pt>
                <c:pt idx="173">
                  <c:v>-2.6922419733668875E-2</c:v>
                </c:pt>
                <c:pt idx="174">
                  <c:v>-1.5696561265320957E-2</c:v>
                </c:pt>
                <c:pt idx="175">
                  <c:v>-2.1614134721195572E-2</c:v>
                </c:pt>
                <c:pt idx="176">
                  <c:v>-2.022944958509322E-2</c:v>
                </c:pt>
                <c:pt idx="177">
                  <c:v>-1.3259250656276532E-2</c:v>
                </c:pt>
                <c:pt idx="178">
                  <c:v>-2.7284606395605732E-2</c:v>
                </c:pt>
                <c:pt idx="179">
                  <c:v>-1.2296641281544432E-2</c:v>
                </c:pt>
                <c:pt idx="180">
                  <c:v>-1.5200640460058805E-2</c:v>
                </c:pt>
                <c:pt idx="181">
                  <c:v>-1.2053225025490076E-2</c:v>
                </c:pt>
                <c:pt idx="182">
                  <c:v>-1.8685114841037381E-2</c:v>
                </c:pt>
                <c:pt idx="183">
                  <c:v>-4.8992797774612858E-2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7D-426F-867E-66D64DD47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430783"/>
        <c:axId val="1623439903"/>
      </c:lineChart>
      <c:catAx>
        <c:axId val="162343078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439903"/>
        <c:crosses val="autoZero"/>
        <c:auto val="1"/>
        <c:lblAlgn val="ctr"/>
        <c:lblOffset val="100"/>
        <c:noMultiLvlLbl val="0"/>
      </c:catAx>
      <c:valAx>
        <c:axId val="162343990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43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Feuil4!$B$1</c:f>
              <c:strCache>
                <c:ptCount val="1"/>
                <c:pt idx="0">
                  <c:v>EPU France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Feuil4!$A$2:$A$185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Feuil4!$B$2:$B$185</c:f>
              <c:numCache>
                <c:formatCode>General</c:formatCode>
                <c:ptCount val="184"/>
                <c:pt idx="0">
                  <c:v>147.0803791304256</c:v>
                </c:pt>
                <c:pt idx="1">
                  <c:v>171.11748379552878</c:v>
                </c:pt>
                <c:pt idx="2">
                  <c:v>169.56921673538247</c:v>
                </c:pt>
                <c:pt idx="3">
                  <c:v>152.00736059535694</c:v>
                </c:pt>
                <c:pt idx="4">
                  <c:v>368.2284460521463</c:v>
                </c:pt>
                <c:pt idx="5">
                  <c:v>135.45886657506682</c:v>
                </c:pt>
                <c:pt idx="6">
                  <c:v>187.11679620988335</c:v>
                </c:pt>
                <c:pt idx="7">
                  <c:v>170.77811211563909</c:v>
                </c:pt>
                <c:pt idx="8">
                  <c:v>214.52643368357181</c:v>
                </c:pt>
                <c:pt idx="9">
                  <c:v>309.01094125472378</c:v>
                </c:pt>
                <c:pt idx="10">
                  <c:v>152.43801128102848</c:v>
                </c:pt>
                <c:pt idx="11">
                  <c:v>311.90800715942743</c:v>
                </c:pt>
                <c:pt idx="12">
                  <c:v>162.46417461815372</c:v>
                </c:pt>
                <c:pt idx="13">
                  <c:v>210.0111903468607</c:v>
                </c:pt>
                <c:pt idx="14">
                  <c:v>271.07414381300066</c:v>
                </c:pt>
                <c:pt idx="15">
                  <c:v>241.78795016043958</c:v>
                </c:pt>
                <c:pt idx="16">
                  <c:v>164.03363825314077</c:v>
                </c:pt>
                <c:pt idx="17">
                  <c:v>228.37820428264607</c:v>
                </c:pt>
                <c:pt idx="18">
                  <c:v>211.36402454797417</c:v>
                </c:pt>
                <c:pt idx="19">
                  <c:v>256.70832615054053</c:v>
                </c:pt>
                <c:pt idx="20">
                  <c:v>312.2534632145842</c:v>
                </c:pt>
                <c:pt idx="21">
                  <c:v>298.85209459124127</c:v>
                </c:pt>
                <c:pt idx="22">
                  <c:v>361.36985406003123</c:v>
                </c:pt>
                <c:pt idx="23">
                  <c:v>283.25138728551804</c:v>
                </c:pt>
                <c:pt idx="24">
                  <c:v>289.3977719458548</c:v>
                </c:pt>
                <c:pt idx="25">
                  <c:v>299.14963243652801</c:v>
                </c:pt>
                <c:pt idx="26">
                  <c:v>219.13884320323302</c:v>
                </c:pt>
                <c:pt idx="27">
                  <c:v>330.94551775743366</c:v>
                </c:pt>
                <c:pt idx="28">
                  <c:v>313.97367466007552</c:v>
                </c:pt>
                <c:pt idx="29">
                  <c:v>380.179149625006</c:v>
                </c:pt>
                <c:pt idx="30">
                  <c:v>241.55753384834023</c:v>
                </c:pt>
                <c:pt idx="31">
                  <c:v>144.79932603116598</c:v>
                </c:pt>
                <c:pt idx="32">
                  <c:v>243.70951788540611</c:v>
                </c:pt>
                <c:pt idx="33">
                  <c:v>284.00884266923134</c:v>
                </c:pt>
                <c:pt idx="34">
                  <c:v>332.82085591141697</c:v>
                </c:pt>
                <c:pt idx="35">
                  <c:v>270.13153587961523</c:v>
                </c:pt>
                <c:pt idx="36">
                  <c:v>318.23907242314988</c:v>
                </c:pt>
                <c:pt idx="37">
                  <c:v>242.87602873705944</c:v>
                </c:pt>
                <c:pt idx="38">
                  <c:v>259.25508865141768</c:v>
                </c:pt>
                <c:pt idx="39">
                  <c:v>300.53115516508069</c:v>
                </c:pt>
                <c:pt idx="40">
                  <c:v>256.80840638676483</c:v>
                </c:pt>
                <c:pt idx="41">
                  <c:v>293.78504489705801</c:v>
                </c:pt>
                <c:pt idx="42">
                  <c:v>215.33032213845243</c:v>
                </c:pt>
                <c:pt idx="43">
                  <c:v>143.93038420054069</c:v>
                </c:pt>
                <c:pt idx="44">
                  <c:v>244.41394531322689</c:v>
                </c:pt>
                <c:pt idx="45">
                  <c:v>287.16964626793174</c:v>
                </c:pt>
                <c:pt idx="46">
                  <c:v>185.95941067801243</c:v>
                </c:pt>
                <c:pt idx="47">
                  <c:v>223.97088347115911</c:v>
                </c:pt>
                <c:pt idx="48">
                  <c:v>221.41379781909825</c:v>
                </c:pt>
                <c:pt idx="49">
                  <c:v>139.96909575683688</c:v>
                </c:pt>
                <c:pt idx="50">
                  <c:v>221.99613301032355</c:v>
                </c:pt>
                <c:pt idx="51">
                  <c:v>175.99145203390418</c:v>
                </c:pt>
                <c:pt idx="52">
                  <c:v>188.4292174258124</c:v>
                </c:pt>
                <c:pt idx="53">
                  <c:v>159.18368478189558</c:v>
                </c:pt>
                <c:pt idx="54">
                  <c:v>148.74221221423838</c:v>
                </c:pt>
                <c:pt idx="55">
                  <c:v>132.2171910892462</c:v>
                </c:pt>
                <c:pt idx="56">
                  <c:v>242.48573933225873</c:v>
                </c:pt>
                <c:pt idx="57">
                  <c:v>208.56677898899778</c:v>
                </c:pt>
                <c:pt idx="58">
                  <c:v>195.18889530636216</c:v>
                </c:pt>
                <c:pt idx="59">
                  <c:v>261.02572967315598</c:v>
                </c:pt>
                <c:pt idx="60">
                  <c:v>178.69872223041321</c:v>
                </c:pt>
                <c:pt idx="61">
                  <c:v>238.49512555528176</c:v>
                </c:pt>
                <c:pt idx="62">
                  <c:v>174.1975846514905</c:v>
                </c:pt>
                <c:pt idx="63">
                  <c:v>211.13492266079632</c:v>
                </c:pt>
                <c:pt idx="64">
                  <c:v>197.79857959569753</c:v>
                </c:pt>
                <c:pt idx="65">
                  <c:v>303.52773213219677</c:v>
                </c:pt>
                <c:pt idx="66">
                  <c:v>314.76036810583815</c:v>
                </c:pt>
                <c:pt idx="67">
                  <c:v>171.73944490131768</c:v>
                </c:pt>
                <c:pt idx="68">
                  <c:v>263.03016007190877</c:v>
                </c:pt>
                <c:pt idx="69">
                  <c:v>231.93368590502911</c:v>
                </c:pt>
                <c:pt idx="70">
                  <c:v>200.97588143856777</c:v>
                </c:pt>
                <c:pt idx="71">
                  <c:v>206.39484953514801</c:v>
                </c:pt>
                <c:pt idx="72">
                  <c:v>241.4245361712679</c:v>
                </c:pt>
                <c:pt idx="73">
                  <c:v>324.04653568126793</c:v>
                </c:pt>
                <c:pt idx="74">
                  <c:v>253.68586333993335</c:v>
                </c:pt>
                <c:pt idx="75">
                  <c:v>216.33028088042593</c:v>
                </c:pt>
                <c:pt idx="76">
                  <c:v>241.11566495964757</c:v>
                </c:pt>
                <c:pt idx="77">
                  <c:v>444.34198268649033</c:v>
                </c:pt>
                <c:pt idx="78">
                  <c:v>410.00738279337259</c:v>
                </c:pt>
                <c:pt idx="79">
                  <c:v>178.72028205561639</c:v>
                </c:pt>
                <c:pt idx="80">
                  <c:v>291.67300951647849</c:v>
                </c:pt>
                <c:pt idx="81">
                  <c:v>256.62360697508524</c:v>
                </c:pt>
                <c:pt idx="82">
                  <c:v>448.59508317810725</c:v>
                </c:pt>
                <c:pt idx="83">
                  <c:v>408.26754699437186</c:v>
                </c:pt>
                <c:pt idx="84">
                  <c:v>462.96556552285955</c:v>
                </c:pt>
                <c:pt idx="85">
                  <c:v>379.42595357595764</c:v>
                </c:pt>
                <c:pt idx="86">
                  <c:v>521.56415059869596</c:v>
                </c:pt>
                <c:pt idx="87">
                  <c:v>574.6331443928085</c:v>
                </c:pt>
                <c:pt idx="88">
                  <c:v>288.26044389781725</c:v>
                </c:pt>
                <c:pt idx="89">
                  <c:v>308.56528601007835</c:v>
                </c:pt>
                <c:pt idx="90">
                  <c:v>176.46953211285751</c:v>
                </c:pt>
                <c:pt idx="91">
                  <c:v>164.0532893047378</c:v>
                </c:pt>
                <c:pt idx="92">
                  <c:v>256.47821175850652</c:v>
                </c:pt>
                <c:pt idx="93">
                  <c:v>227.00538712978212</c:v>
                </c:pt>
                <c:pt idx="94">
                  <c:v>251.36940607972903</c:v>
                </c:pt>
                <c:pt idx="95">
                  <c:v>194.63212824866446</c:v>
                </c:pt>
                <c:pt idx="96">
                  <c:v>221.13756884827956</c:v>
                </c:pt>
                <c:pt idx="97">
                  <c:v>192.03058706445086</c:v>
                </c:pt>
                <c:pt idx="98">
                  <c:v>195.57213916032086</c:v>
                </c:pt>
                <c:pt idx="99">
                  <c:v>187.3611054188672</c:v>
                </c:pt>
                <c:pt idx="100">
                  <c:v>303.05390794963159</c:v>
                </c:pt>
                <c:pt idx="101">
                  <c:v>331.26207526335889</c:v>
                </c:pt>
                <c:pt idx="102">
                  <c:v>239.72984200414407</c:v>
                </c:pt>
                <c:pt idx="103">
                  <c:v>184.52116526124601</c:v>
                </c:pt>
                <c:pt idx="104">
                  <c:v>230.68047445655253</c:v>
                </c:pt>
                <c:pt idx="105">
                  <c:v>302.29285278472776</c:v>
                </c:pt>
                <c:pt idx="106">
                  <c:v>274.4578971469461</c:v>
                </c:pt>
                <c:pt idx="107">
                  <c:v>339.57651506767587</c:v>
                </c:pt>
                <c:pt idx="108">
                  <c:v>363.04773960850827</c:v>
                </c:pt>
                <c:pt idx="109">
                  <c:v>267.58360147209589</c:v>
                </c:pt>
                <c:pt idx="110">
                  <c:v>238.68934661793918</c:v>
                </c:pt>
                <c:pt idx="111">
                  <c:v>206.50388062079429</c:v>
                </c:pt>
                <c:pt idx="112">
                  <c:v>159.84600990325475</c:v>
                </c:pt>
                <c:pt idx="113">
                  <c:v>244.02554738596822</c:v>
                </c:pt>
                <c:pt idx="114">
                  <c:v>269.49666850731074</c:v>
                </c:pt>
                <c:pt idx="115">
                  <c:v>287.83403539137691</c:v>
                </c:pt>
                <c:pt idx="116">
                  <c:v>275.04957630281075</c:v>
                </c:pt>
                <c:pt idx="117">
                  <c:v>267.70970959194938</c:v>
                </c:pt>
                <c:pt idx="118">
                  <c:v>246.59494175379996</c:v>
                </c:pt>
                <c:pt idx="119">
                  <c:v>244.38810811946939</c:v>
                </c:pt>
                <c:pt idx="120">
                  <c:v>254.2695921323031</c:v>
                </c:pt>
                <c:pt idx="121">
                  <c:v>238.52343111851852</c:v>
                </c:pt>
                <c:pt idx="122">
                  <c:v>367.15702042734057</c:v>
                </c:pt>
                <c:pt idx="123">
                  <c:v>320.16271113798314</c:v>
                </c:pt>
                <c:pt idx="124">
                  <c:v>305.83698185179964</c:v>
                </c:pt>
                <c:pt idx="125">
                  <c:v>321.69084543949418</c:v>
                </c:pt>
                <c:pt idx="126">
                  <c:v>242.34147139316002</c:v>
                </c:pt>
                <c:pt idx="127">
                  <c:v>202.95086660733247</c:v>
                </c:pt>
                <c:pt idx="128">
                  <c:v>432.69126146881229</c:v>
                </c:pt>
                <c:pt idx="129">
                  <c:v>358.26840748688517</c:v>
                </c:pt>
                <c:pt idx="130">
                  <c:v>403.88629274722911</c:v>
                </c:pt>
                <c:pt idx="131">
                  <c:v>257.26733611001026</c:v>
                </c:pt>
                <c:pt idx="132">
                  <c:v>276.37227437364749</c:v>
                </c:pt>
                <c:pt idx="133">
                  <c:v>226.43034071822746</c:v>
                </c:pt>
                <c:pt idx="134">
                  <c:v>258.44635817598612</c:v>
                </c:pt>
                <c:pt idx="135">
                  <c:v>186.40504730622686</c:v>
                </c:pt>
                <c:pt idx="136">
                  <c:v>210.55606779907308</c:v>
                </c:pt>
                <c:pt idx="137">
                  <c:v>219.50012853823208</c:v>
                </c:pt>
                <c:pt idx="138">
                  <c:v>251.80142479657709</c:v>
                </c:pt>
                <c:pt idx="139">
                  <c:v>231.69912169473648</c:v>
                </c:pt>
                <c:pt idx="140">
                  <c:v>236.94298770083844</c:v>
                </c:pt>
                <c:pt idx="141">
                  <c:v>270.22984285598051</c:v>
                </c:pt>
                <c:pt idx="142">
                  <c:v>310.0813528559587</c:v>
                </c:pt>
                <c:pt idx="143">
                  <c:v>331.31548153447523</c:v>
                </c:pt>
                <c:pt idx="144">
                  <c:v>313.78810575904663</c:v>
                </c:pt>
                <c:pt idx="145">
                  <c:v>298.90660377280608</c:v>
                </c:pt>
                <c:pt idx="146">
                  <c:v>429.93556753498171</c:v>
                </c:pt>
                <c:pt idx="147">
                  <c:v>322.84143605889113</c:v>
                </c:pt>
                <c:pt idx="148">
                  <c:v>380.59057264289402</c:v>
                </c:pt>
                <c:pt idx="149">
                  <c:v>420.58772539895682</c:v>
                </c:pt>
                <c:pt idx="150">
                  <c:v>495.31645192190723</c:v>
                </c:pt>
                <c:pt idx="151">
                  <c:v>231.0219656497317</c:v>
                </c:pt>
                <c:pt idx="152">
                  <c:v>255.82427560784171</c:v>
                </c:pt>
                <c:pt idx="153">
                  <c:v>372.27650760470925</c:v>
                </c:pt>
                <c:pt idx="154">
                  <c:v>302.97606816447041</c:v>
                </c:pt>
                <c:pt idx="155">
                  <c:v>261.96710254782568</c:v>
                </c:pt>
                <c:pt idx="156">
                  <c:v>296.32166507942077</c:v>
                </c:pt>
                <c:pt idx="157">
                  <c:v>327.79795855688673</c:v>
                </c:pt>
                <c:pt idx="158">
                  <c:v>382.92593225825669</c:v>
                </c:pt>
                <c:pt idx="159">
                  <c:v>269.84014918480949</c:v>
                </c:pt>
                <c:pt idx="160">
                  <c:v>295.31020944796518</c:v>
                </c:pt>
                <c:pt idx="161">
                  <c:v>214.01936472039787</c:v>
                </c:pt>
                <c:pt idx="162">
                  <c:v>236.53628761213605</c:v>
                </c:pt>
                <c:pt idx="163">
                  <c:v>152.65545620310249</c:v>
                </c:pt>
                <c:pt idx="164">
                  <c:v>243.34775610542962</c:v>
                </c:pt>
                <c:pt idx="165">
                  <c:v>261.82448721556221</c:v>
                </c:pt>
                <c:pt idx="166">
                  <c:v>282.45585540805524</c:v>
                </c:pt>
                <c:pt idx="167">
                  <c:v>321.28587054361736</c:v>
                </c:pt>
                <c:pt idx="168">
                  <c:v>274.02961157927189</c:v>
                </c:pt>
                <c:pt idx="169">
                  <c:v>243.01897814370966</c:v>
                </c:pt>
                <c:pt idx="170">
                  <c:v>187.76199681044591</c:v>
                </c:pt>
                <c:pt idx="171">
                  <c:v>169.77211747515921</c:v>
                </c:pt>
                <c:pt idx="172">
                  <c:v>304.44627414088876</c:v>
                </c:pt>
                <c:pt idx="173">
                  <c:v>409.27206139861443</c:v>
                </c:pt>
                <c:pt idx="174">
                  <c:v>543.93255638476398</c:v>
                </c:pt>
                <c:pt idx="175">
                  <c:v>370.78547045325695</c:v>
                </c:pt>
                <c:pt idx="176">
                  <c:v>436.40558079951768</c:v>
                </c:pt>
                <c:pt idx="177">
                  <c:v>322.28924141525732</c:v>
                </c:pt>
                <c:pt idx="178">
                  <c:v>486.84426373762193</c:v>
                </c:pt>
                <c:pt idx="179">
                  <c:v>567.70885241349777</c:v>
                </c:pt>
                <c:pt idx="180">
                  <c:v>563.13894380467332</c:v>
                </c:pt>
                <c:pt idx="181">
                  <c:v>382.71304270809446</c:v>
                </c:pt>
                <c:pt idx="182">
                  <c:v>536.66051366771819</c:v>
                </c:pt>
                <c:pt idx="183">
                  <c:v>619.74813667375247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5-49A5-8AF2-475155CC1DF2}"/>
            </c:ext>
          </c:extLst>
        </c:ser>
        <c:ser>
          <c:idx val="2"/>
          <c:order val="2"/>
          <c:tx>
            <c:strRef>
              <c:f>Feuil4!$D$1</c:f>
              <c:strCache>
                <c:ptCount val="1"/>
                <c:pt idx="0">
                  <c:v>EPU Europe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Feuil4!$A$2:$A$185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Feuil4!$D$2:$D$185</c:f>
              <c:numCache>
                <c:formatCode>General</c:formatCode>
                <c:ptCount val="184"/>
                <c:pt idx="0">
                  <c:v>142.0035492802493</c:v>
                </c:pt>
                <c:pt idx="1">
                  <c:v>136.73906173204071</c:v>
                </c:pt>
                <c:pt idx="2">
                  <c:v>137.83829759075431</c:v>
                </c:pt>
                <c:pt idx="3">
                  <c:v>152.7844741201373</c:v>
                </c:pt>
                <c:pt idx="4">
                  <c:v>203.305241297669</c:v>
                </c:pt>
                <c:pt idx="5">
                  <c:v>171.40265474116359</c:v>
                </c:pt>
                <c:pt idx="6">
                  <c:v>186.5552341452198</c:v>
                </c:pt>
                <c:pt idx="7">
                  <c:v>172.81605534694799</c:v>
                </c:pt>
                <c:pt idx="8">
                  <c:v>161.69014823445701</c:v>
                </c:pt>
                <c:pt idx="9">
                  <c:v>186.14112465740769</c:v>
                </c:pt>
                <c:pt idx="10">
                  <c:v>172.68817491475599</c:v>
                </c:pt>
                <c:pt idx="11">
                  <c:v>183.07599232967101</c:v>
                </c:pt>
                <c:pt idx="12">
                  <c:v>143.031739552131</c:v>
                </c:pt>
                <c:pt idx="13">
                  <c:v>122.4457903905477</c:v>
                </c:pt>
                <c:pt idx="14">
                  <c:v>154.40152075271001</c:v>
                </c:pt>
                <c:pt idx="15">
                  <c:v>145.50860544685099</c:v>
                </c:pt>
                <c:pt idx="16">
                  <c:v>134.21507639235449</c:v>
                </c:pt>
                <c:pt idx="17">
                  <c:v>168.2958940040441</c:v>
                </c:pt>
                <c:pt idx="18">
                  <c:v>183.40234123443241</c:v>
                </c:pt>
                <c:pt idx="19">
                  <c:v>230.29893866600091</c:v>
                </c:pt>
                <c:pt idx="20">
                  <c:v>280.05812897200673</c:v>
                </c:pt>
                <c:pt idx="21">
                  <c:v>241.75185227888929</c:v>
                </c:pt>
                <c:pt idx="22">
                  <c:v>304.60021869478697</c:v>
                </c:pt>
                <c:pt idx="23">
                  <c:v>228.8715918129833</c:v>
                </c:pt>
                <c:pt idx="24">
                  <c:v>216.73444719591211</c:v>
                </c:pt>
                <c:pt idx="25">
                  <c:v>193.44435697001859</c:v>
                </c:pt>
                <c:pt idx="26">
                  <c:v>177.49268584752809</c:v>
                </c:pt>
                <c:pt idx="27">
                  <c:v>216.9958607004088</c:v>
                </c:pt>
                <c:pt idx="28">
                  <c:v>234.75578479958429</c:v>
                </c:pt>
                <c:pt idx="29">
                  <c:v>244.5021132895522</c:v>
                </c:pt>
                <c:pt idx="30">
                  <c:v>206.98157479408221</c:v>
                </c:pt>
                <c:pt idx="31">
                  <c:v>150.67718058006821</c:v>
                </c:pt>
                <c:pt idx="32">
                  <c:v>209.91194545201409</c:v>
                </c:pt>
                <c:pt idx="33">
                  <c:v>219.0826642935229</c:v>
                </c:pt>
                <c:pt idx="34">
                  <c:v>233.56139975801409</c:v>
                </c:pt>
                <c:pt idx="35">
                  <c:v>215.66848774760479</c:v>
                </c:pt>
                <c:pt idx="36">
                  <c:v>239.8154277226607</c:v>
                </c:pt>
                <c:pt idx="37">
                  <c:v>194.16609890778329</c:v>
                </c:pt>
                <c:pt idx="38">
                  <c:v>245.34692642281851</c:v>
                </c:pt>
                <c:pt idx="39">
                  <c:v>205.6240806474562</c:v>
                </c:pt>
                <c:pt idx="40">
                  <c:v>139.13820787523281</c:v>
                </c:pt>
                <c:pt idx="41">
                  <c:v>177.5346382997794</c:v>
                </c:pt>
                <c:pt idx="42">
                  <c:v>166.71268487217301</c:v>
                </c:pt>
                <c:pt idx="43">
                  <c:v>146.03975283431501</c:v>
                </c:pt>
                <c:pt idx="44">
                  <c:v>179.70526924503361</c:v>
                </c:pt>
                <c:pt idx="45">
                  <c:v>210.52538327276761</c:v>
                </c:pt>
                <c:pt idx="46">
                  <c:v>156.7050729389839</c:v>
                </c:pt>
                <c:pt idx="47">
                  <c:v>157.9986187013059</c:v>
                </c:pt>
                <c:pt idx="48">
                  <c:v>154.50244119736209</c:v>
                </c:pt>
                <c:pt idx="49">
                  <c:v>148.43661517279051</c:v>
                </c:pt>
                <c:pt idx="50">
                  <c:v>156.84341058816099</c:v>
                </c:pt>
                <c:pt idx="51">
                  <c:v>116.4854881185059</c:v>
                </c:pt>
                <c:pt idx="52">
                  <c:v>146.29191394003399</c:v>
                </c:pt>
                <c:pt idx="53">
                  <c:v>111.7961041819876</c:v>
                </c:pt>
                <c:pt idx="54">
                  <c:v>119.93393142531581</c:v>
                </c:pt>
                <c:pt idx="55">
                  <c:v>133.31536542855019</c:v>
                </c:pt>
                <c:pt idx="56">
                  <c:v>190.2155758158398</c:v>
                </c:pt>
                <c:pt idx="57">
                  <c:v>150.03065004641181</c:v>
                </c:pt>
                <c:pt idx="58">
                  <c:v>152.42488503605949</c:v>
                </c:pt>
                <c:pt idx="59">
                  <c:v>176.02394952841291</c:v>
                </c:pt>
                <c:pt idx="60">
                  <c:v>168.98523150851301</c:v>
                </c:pt>
                <c:pt idx="61">
                  <c:v>155.0936499384687</c:v>
                </c:pt>
                <c:pt idx="62">
                  <c:v>131.74544154371591</c:v>
                </c:pt>
                <c:pt idx="63">
                  <c:v>147.3209557246465</c:v>
                </c:pt>
                <c:pt idx="64">
                  <c:v>165.58476790569989</c:v>
                </c:pt>
                <c:pt idx="65">
                  <c:v>193.94799415623851</c:v>
                </c:pt>
                <c:pt idx="66">
                  <c:v>184.48752828003671</c:v>
                </c:pt>
                <c:pt idx="67">
                  <c:v>143.71115737196769</c:v>
                </c:pt>
                <c:pt idx="68">
                  <c:v>194.4608296129615</c:v>
                </c:pt>
                <c:pt idx="69">
                  <c:v>164.83113568653121</c:v>
                </c:pt>
                <c:pt idx="70">
                  <c:v>164.40215380835161</c:v>
                </c:pt>
                <c:pt idx="71">
                  <c:v>147.41887678646981</c:v>
                </c:pt>
                <c:pt idx="72">
                  <c:v>209.74028951753121</c:v>
                </c:pt>
                <c:pt idx="73">
                  <c:v>227.79281321280649</c:v>
                </c:pt>
                <c:pt idx="74">
                  <c:v>227.75331195412139</c:v>
                </c:pt>
                <c:pt idx="75">
                  <c:v>207.01124635917679</c:v>
                </c:pt>
                <c:pt idx="76">
                  <c:v>198.46472106973911</c:v>
                </c:pt>
                <c:pt idx="77">
                  <c:v>433.27750238569359</c:v>
                </c:pt>
                <c:pt idx="78">
                  <c:v>424.37717636390562</c:v>
                </c:pt>
                <c:pt idx="79">
                  <c:v>213.3665896751825</c:v>
                </c:pt>
                <c:pt idx="80">
                  <c:v>232.69800073798029</c:v>
                </c:pt>
                <c:pt idx="81">
                  <c:v>241.63064001934231</c:v>
                </c:pt>
                <c:pt idx="82">
                  <c:v>392.83105687937842</c:v>
                </c:pt>
                <c:pt idx="83">
                  <c:v>288.428468257909</c:v>
                </c:pt>
                <c:pt idx="84">
                  <c:v>320.0237906961496</c:v>
                </c:pt>
                <c:pt idx="85">
                  <c:v>237.06755874679001</c:v>
                </c:pt>
                <c:pt idx="86">
                  <c:v>267.06935055935969</c:v>
                </c:pt>
                <c:pt idx="87">
                  <c:v>249.21890413907721</c:v>
                </c:pt>
                <c:pt idx="88">
                  <c:v>197.58968123250321</c:v>
                </c:pt>
                <c:pt idx="89">
                  <c:v>274.39018072218693</c:v>
                </c:pt>
                <c:pt idx="90">
                  <c:v>181.4152257718481</c:v>
                </c:pt>
                <c:pt idx="91">
                  <c:v>149.7086481866219</c:v>
                </c:pt>
                <c:pt idx="92">
                  <c:v>205.76640680752621</c:v>
                </c:pt>
                <c:pt idx="93">
                  <c:v>227.2336150414811</c:v>
                </c:pt>
                <c:pt idx="94">
                  <c:v>229.71335895759839</c:v>
                </c:pt>
                <c:pt idx="95">
                  <c:v>173.39306620735519</c:v>
                </c:pt>
                <c:pt idx="96">
                  <c:v>196.43604370769481</c:v>
                </c:pt>
                <c:pt idx="97">
                  <c:v>135.16370732840801</c:v>
                </c:pt>
                <c:pt idx="98">
                  <c:v>175.5761707346424</c:v>
                </c:pt>
                <c:pt idx="99">
                  <c:v>150.18455097286261</c:v>
                </c:pt>
                <c:pt idx="100">
                  <c:v>224.51605913140091</c:v>
                </c:pt>
                <c:pt idx="101">
                  <c:v>233.2118870724486</c:v>
                </c:pt>
                <c:pt idx="102">
                  <c:v>208.27210377024551</c:v>
                </c:pt>
                <c:pt idx="103">
                  <c:v>166.83115869788239</c:v>
                </c:pt>
                <c:pt idx="104">
                  <c:v>204.80448588168059</c:v>
                </c:pt>
                <c:pt idx="105">
                  <c:v>246.06096914626829</c:v>
                </c:pt>
                <c:pt idx="106">
                  <c:v>231.17001285809201</c:v>
                </c:pt>
                <c:pt idx="107">
                  <c:v>275.70744930836941</c:v>
                </c:pt>
                <c:pt idx="108">
                  <c:v>247.6771075795003</c:v>
                </c:pt>
                <c:pt idx="109">
                  <c:v>230.15161133934939</c:v>
                </c:pt>
                <c:pt idx="110">
                  <c:v>229.38423691143069</c:v>
                </c:pt>
                <c:pt idx="111">
                  <c:v>214.20435254183221</c:v>
                </c:pt>
                <c:pt idx="112">
                  <c:v>196.30671412545729</c:v>
                </c:pt>
                <c:pt idx="113">
                  <c:v>205.54045832206211</c:v>
                </c:pt>
                <c:pt idx="114">
                  <c:v>229.73694189139209</c:v>
                </c:pt>
                <c:pt idx="115">
                  <c:v>277.04245299049319</c:v>
                </c:pt>
                <c:pt idx="116">
                  <c:v>245.14055719128439</c:v>
                </c:pt>
                <c:pt idx="117">
                  <c:v>250.56588909400429</c:v>
                </c:pt>
                <c:pt idx="118">
                  <c:v>222.5956768580173</c:v>
                </c:pt>
                <c:pt idx="119">
                  <c:v>235.98632458243841</c:v>
                </c:pt>
                <c:pt idx="120">
                  <c:v>199.22175605420739</c:v>
                </c:pt>
                <c:pt idx="121">
                  <c:v>204.8352861057827</c:v>
                </c:pt>
                <c:pt idx="122">
                  <c:v>361.36888340919091</c:v>
                </c:pt>
                <c:pt idx="123">
                  <c:v>297.8985112529889</c:v>
                </c:pt>
                <c:pt idx="124">
                  <c:v>282.24843542371627</c:v>
                </c:pt>
                <c:pt idx="125">
                  <c:v>247.64983749308041</c:v>
                </c:pt>
                <c:pt idx="126">
                  <c:v>248.82285634494741</c:v>
                </c:pt>
                <c:pt idx="127">
                  <c:v>213.09035734302009</c:v>
                </c:pt>
                <c:pt idx="128">
                  <c:v>278.59220990379168</c:v>
                </c:pt>
                <c:pt idx="129">
                  <c:v>311.58250125114739</c:v>
                </c:pt>
                <c:pt idx="130">
                  <c:v>328.15251761613177</c:v>
                </c:pt>
                <c:pt idx="131">
                  <c:v>208.95865353686119</c:v>
                </c:pt>
                <c:pt idx="132">
                  <c:v>231.37864017033399</c:v>
                </c:pt>
                <c:pt idx="133">
                  <c:v>185.27866737722249</c:v>
                </c:pt>
                <c:pt idx="134">
                  <c:v>217.46619140350981</c:v>
                </c:pt>
                <c:pt idx="135">
                  <c:v>179.65824161896421</c:v>
                </c:pt>
                <c:pt idx="136">
                  <c:v>141.38605551092519</c:v>
                </c:pt>
                <c:pt idx="137">
                  <c:v>152.61494307954041</c:v>
                </c:pt>
                <c:pt idx="138">
                  <c:v>197.37941503594669</c:v>
                </c:pt>
                <c:pt idx="139">
                  <c:v>187.20578192390559</c:v>
                </c:pt>
                <c:pt idx="140">
                  <c:v>206.7285426497219</c:v>
                </c:pt>
                <c:pt idx="141">
                  <c:v>198.51041934374271</c:v>
                </c:pt>
                <c:pt idx="142">
                  <c:v>246.6082671136009</c:v>
                </c:pt>
                <c:pt idx="143">
                  <c:v>298.15950991405771</c:v>
                </c:pt>
                <c:pt idx="144">
                  <c:v>264.63418837091302</c:v>
                </c:pt>
                <c:pt idx="145">
                  <c:v>220.46790953760549</c:v>
                </c:pt>
                <c:pt idx="146">
                  <c:v>392.01202062601737</c:v>
                </c:pt>
                <c:pt idx="147">
                  <c:v>334.66899897430778</c:v>
                </c:pt>
                <c:pt idx="148">
                  <c:v>328.47521370860733</c:v>
                </c:pt>
                <c:pt idx="149">
                  <c:v>332.62825287477051</c:v>
                </c:pt>
                <c:pt idx="150">
                  <c:v>403.90579160227668</c:v>
                </c:pt>
                <c:pt idx="151">
                  <c:v>327.9154084879612</c:v>
                </c:pt>
                <c:pt idx="152">
                  <c:v>396.80379258297671</c:v>
                </c:pt>
                <c:pt idx="153">
                  <c:v>418.6188409032506</c:v>
                </c:pt>
                <c:pt idx="154">
                  <c:v>357.08667995320258</c:v>
                </c:pt>
                <c:pt idx="155">
                  <c:v>279.64709656385492</c:v>
                </c:pt>
                <c:pt idx="156">
                  <c:v>281.77821148914558</c:v>
                </c:pt>
                <c:pt idx="157">
                  <c:v>272.40224655944382</c:v>
                </c:pt>
                <c:pt idx="158">
                  <c:v>324.77326277549543</c:v>
                </c:pt>
                <c:pt idx="159">
                  <c:v>244.2315767835783</c:v>
                </c:pt>
                <c:pt idx="160">
                  <c:v>265.50803347151941</c:v>
                </c:pt>
                <c:pt idx="161">
                  <c:v>247.21465129276041</c:v>
                </c:pt>
                <c:pt idx="162">
                  <c:v>263.57202642090579</c:v>
                </c:pt>
                <c:pt idx="163">
                  <c:v>287.96255833338051</c:v>
                </c:pt>
                <c:pt idx="164">
                  <c:v>319.51198978815512</c:v>
                </c:pt>
                <c:pt idx="165">
                  <c:v>314.21689548603541</c:v>
                </c:pt>
                <c:pt idx="166">
                  <c:v>315.77124051096638</c:v>
                </c:pt>
                <c:pt idx="167">
                  <c:v>281.71081860893759</c:v>
                </c:pt>
                <c:pt idx="168">
                  <c:v>323.41010587681882</c:v>
                </c:pt>
                <c:pt idx="169">
                  <c:v>276.9823379691897</c:v>
                </c:pt>
                <c:pt idx="170">
                  <c:v>231.31777719185541</c:v>
                </c:pt>
                <c:pt idx="171">
                  <c:v>268.17149670882719</c:v>
                </c:pt>
                <c:pt idx="172">
                  <c:v>290.83528480079718</c:v>
                </c:pt>
                <c:pt idx="173">
                  <c:v>327.50626111508882</c:v>
                </c:pt>
                <c:pt idx="174">
                  <c:v>361.85378688628492</c:v>
                </c:pt>
                <c:pt idx="175">
                  <c:v>263.42824659395421</c:v>
                </c:pt>
                <c:pt idx="176">
                  <c:v>345.05095744927468</c:v>
                </c:pt>
                <c:pt idx="177">
                  <c:v>392.07715221506533</c:v>
                </c:pt>
                <c:pt idx="178">
                  <c:v>479.98872647593782</c:v>
                </c:pt>
                <c:pt idx="179">
                  <c:v>484.41530853193439</c:v>
                </c:pt>
                <c:pt idx="180">
                  <c:v>479.9040246452613</c:v>
                </c:pt>
                <c:pt idx="181">
                  <c:v>396.80714648574678</c:v>
                </c:pt>
                <c:pt idx="182">
                  <c:v>576.93663061457903</c:v>
                </c:pt>
                <c:pt idx="183">
                  <c:v>776.64013667105291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5-49A5-8AF2-475155CC1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473983"/>
        <c:axId val="1623457663"/>
      </c:lineChart>
      <c:lineChart>
        <c:grouping val="standard"/>
        <c:varyColors val="0"/>
        <c:ser>
          <c:idx val="1"/>
          <c:order val="1"/>
          <c:tx>
            <c:strRef>
              <c:f>Feuil4!$C$1</c:f>
              <c:strCache>
                <c:ptCount val="1"/>
                <c:pt idx="0">
                  <c:v>V2X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Feuil4!$A$2:$A$185</c:f>
              <c:strCache>
                <c:ptCount val="184"/>
                <c:pt idx="0">
                  <c:v>2010-01</c:v>
                </c:pt>
                <c:pt idx="1">
                  <c:v>2010-02</c:v>
                </c:pt>
                <c:pt idx="2">
                  <c:v>2010-03</c:v>
                </c:pt>
                <c:pt idx="3">
                  <c:v>2010-04</c:v>
                </c:pt>
                <c:pt idx="4">
                  <c:v>2010-05</c:v>
                </c:pt>
                <c:pt idx="5">
                  <c:v>2010-06</c:v>
                </c:pt>
                <c:pt idx="6">
                  <c:v>2010-07</c:v>
                </c:pt>
                <c:pt idx="7">
                  <c:v>2010-08</c:v>
                </c:pt>
                <c:pt idx="8">
                  <c:v>2010-09</c:v>
                </c:pt>
                <c:pt idx="9">
                  <c:v>2010-10</c:v>
                </c:pt>
                <c:pt idx="10">
                  <c:v>2010-11</c:v>
                </c:pt>
                <c:pt idx="11">
                  <c:v>2010-12</c:v>
                </c:pt>
                <c:pt idx="12">
                  <c:v>2011-01</c:v>
                </c:pt>
                <c:pt idx="13">
                  <c:v>2011-02</c:v>
                </c:pt>
                <c:pt idx="14">
                  <c:v>2011-03</c:v>
                </c:pt>
                <c:pt idx="15">
                  <c:v>2011-04</c:v>
                </c:pt>
                <c:pt idx="16">
                  <c:v>2011-05</c:v>
                </c:pt>
                <c:pt idx="17">
                  <c:v>2011-06</c:v>
                </c:pt>
                <c:pt idx="18">
                  <c:v>2011-07</c:v>
                </c:pt>
                <c:pt idx="19">
                  <c:v>2011-08</c:v>
                </c:pt>
                <c:pt idx="20">
                  <c:v>2011-09</c:v>
                </c:pt>
                <c:pt idx="21">
                  <c:v>2011-10</c:v>
                </c:pt>
                <c:pt idx="22">
                  <c:v>2011-11</c:v>
                </c:pt>
                <c:pt idx="23">
                  <c:v>2011-12</c:v>
                </c:pt>
                <c:pt idx="24">
                  <c:v>2012-01</c:v>
                </c:pt>
                <c:pt idx="25">
                  <c:v>2012-02</c:v>
                </c:pt>
                <c:pt idx="26">
                  <c:v>2012-03</c:v>
                </c:pt>
                <c:pt idx="27">
                  <c:v>2012-04</c:v>
                </c:pt>
                <c:pt idx="28">
                  <c:v>2012-05</c:v>
                </c:pt>
                <c:pt idx="29">
                  <c:v>2012-06</c:v>
                </c:pt>
                <c:pt idx="30">
                  <c:v>2012-07</c:v>
                </c:pt>
                <c:pt idx="31">
                  <c:v>2012-08</c:v>
                </c:pt>
                <c:pt idx="32">
                  <c:v>2012-09</c:v>
                </c:pt>
                <c:pt idx="33">
                  <c:v>2012-10</c:v>
                </c:pt>
                <c:pt idx="34">
                  <c:v>2012-11</c:v>
                </c:pt>
                <c:pt idx="35">
                  <c:v>2012-12</c:v>
                </c:pt>
                <c:pt idx="36">
                  <c:v>2013-01</c:v>
                </c:pt>
                <c:pt idx="37">
                  <c:v>2013-02</c:v>
                </c:pt>
                <c:pt idx="38">
                  <c:v>2013-03</c:v>
                </c:pt>
                <c:pt idx="39">
                  <c:v>2013-04</c:v>
                </c:pt>
                <c:pt idx="40">
                  <c:v>2013-05</c:v>
                </c:pt>
                <c:pt idx="41">
                  <c:v>2013-06</c:v>
                </c:pt>
                <c:pt idx="42">
                  <c:v>2013-07</c:v>
                </c:pt>
                <c:pt idx="43">
                  <c:v>2013-08</c:v>
                </c:pt>
                <c:pt idx="44">
                  <c:v>2013-09</c:v>
                </c:pt>
                <c:pt idx="45">
                  <c:v>2013-10</c:v>
                </c:pt>
                <c:pt idx="46">
                  <c:v>2013-11</c:v>
                </c:pt>
                <c:pt idx="47">
                  <c:v>2013-12</c:v>
                </c:pt>
                <c:pt idx="48">
                  <c:v>2014-01</c:v>
                </c:pt>
                <c:pt idx="49">
                  <c:v>2014-02</c:v>
                </c:pt>
                <c:pt idx="50">
                  <c:v>2014-03</c:v>
                </c:pt>
                <c:pt idx="51">
                  <c:v>2014-04</c:v>
                </c:pt>
                <c:pt idx="52">
                  <c:v>2014-05</c:v>
                </c:pt>
                <c:pt idx="53">
                  <c:v>2014-06</c:v>
                </c:pt>
                <c:pt idx="54">
                  <c:v>2014-07</c:v>
                </c:pt>
                <c:pt idx="55">
                  <c:v>2014-08</c:v>
                </c:pt>
                <c:pt idx="56">
                  <c:v>2014-09</c:v>
                </c:pt>
                <c:pt idx="57">
                  <c:v>2014-10</c:v>
                </c:pt>
                <c:pt idx="58">
                  <c:v>2014-11</c:v>
                </c:pt>
                <c:pt idx="59">
                  <c:v>2014-12</c:v>
                </c:pt>
                <c:pt idx="60">
                  <c:v>2015-01</c:v>
                </c:pt>
                <c:pt idx="61">
                  <c:v>2015-02</c:v>
                </c:pt>
                <c:pt idx="62">
                  <c:v>2015-03</c:v>
                </c:pt>
                <c:pt idx="63">
                  <c:v>2015-04</c:v>
                </c:pt>
                <c:pt idx="64">
                  <c:v>2015-05</c:v>
                </c:pt>
                <c:pt idx="65">
                  <c:v>2015-06</c:v>
                </c:pt>
                <c:pt idx="66">
                  <c:v>2015-07</c:v>
                </c:pt>
                <c:pt idx="67">
                  <c:v>2015-08</c:v>
                </c:pt>
                <c:pt idx="68">
                  <c:v>2015-09</c:v>
                </c:pt>
                <c:pt idx="69">
                  <c:v>2015-10</c:v>
                </c:pt>
                <c:pt idx="70">
                  <c:v>2015-11</c:v>
                </c:pt>
                <c:pt idx="71">
                  <c:v>2015-12</c:v>
                </c:pt>
                <c:pt idx="72">
                  <c:v>2016-01</c:v>
                </c:pt>
                <c:pt idx="73">
                  <c:v>2016-02</c:v>
                </c:pt>
                <c:pt idx="74">
                  <c:v>2016-03</c:v>
                </c:pt>
                <c:pt idx="75">
                  <c:v>2016-04</c:v>
                </c:pt>
                <c:pt idx="76">
                  <c:v>2016-05</c:v>
                </c:pt>
                <c:pt idx="77">
                  <c:v>2016-06</c:v>
                </c:pt>
                <c:pt idx="78">
                  <c:v>2016-07</c:v>
                </c:pt>
                <c:pt idx="79">
                  <c:v>2016-08</c:v>
                </c:pt>
                <c:pt idx="80">
                  <c:v>2016-09</c:v>
                </c:pt>
                <c:pt idx="81">
                  <c:v>2016-10</c:v>
                </c:pt>
                <c:pt idx="82">
                  <c:v>2016-11</c:v>
                </c:pt>
                <c:pt idx="83">
                  <c:v>2016-12</c:v>
                </c:pt>
                <c:pt idx="84">
                  <c:v>2017-01</c:v>
                </c:pt>
                <c:pt idx="85">
                  <c:v>2017-02</c:v>
                </c:pt>
                <c:pt idx="86">
                  <c:v>2017-03</c:v>
                </c:pt>
                <c:pt idx="87">
                  <c:v>2017-04</c:v>
                </c:pt>
                <c:pt idx="88">
                  <c:v>2017-05</c:v>
                </c:pt>
                <c:pt idx="89">
                  <c:v>2017-06</c:v>
                </c:pt>
                <c:pt idx="90">
                  <c:v>2017-07</c:v>
                </c:pt>
                <c:pt idx="91">
                  <c:v>2017-08</c:v>
                </c:pt>
                <c:pt idx="92">
                  <c:v>2017-09</c:v>
                </c:pt>
                <c:pt idx="93">
                  <c:v>2017-10</c:v>
                </c:pt>
                <c:pt idx="94">
                  <c:v>2017-11</c:v>
                </c:pt>
                <c:pt idx="95">
                  <c:v>2017-12</c:v>
                </c:pt>
                <c:pt idx="96">
                  <c:v>2018-01</c:v>
                </c:pt>
                <c:pt idx="97">
                  <c:v>2018-02</c:v>
                </c:pt>
                <c:pt idx="98">
                  <c:v>2018-03</c:v>
                </c:pt>
                <c:pt idx="99">
                  <c:v>2018-04</c:v>
                </c:pt>
                <c:pt idx="100">
                  <c:v>2018-05</c:v>
                </c:pt>
                <c:pt idx="101">
                  <c:v>2018-06</c:v>
                </c:pt>
                <c:pt idx="102">
                  <c:v>2018-07</c:v>
                </c:pt>
                <c:pt idx="103">
                  <c:v>2018-08</c:v>
                </c:pt>
                <c:pt idx="104">
                  <c:v>2018-09</c:v>
                </c:pt>
                <c:pt idx="105">
                  <c:v>2018-10</c:v>
                </c:pt>
                <c:pt idx="106">
                  <c:v>2018-11</c:v>
                </c:pt>
                <c:pt idx="107">
                  <c:v>2018-12</c:v>
                </c:pt>
                <c:pt idx="108">
                  <c:v>2019-01</c:v>
                </c:pt>
                <c:pt idx="109">
                  <c:v>2019-02</c:v>
                </c:pt>
                <c:pt idx="110">
                  <c:v>2019-03</c:v>
                </c:pt>
                <c:pt idx="111">
                  <c:v>2019-04</c:v>
                </c:pt>
                <c:pt idx="112">
                  <c:v>2019-05</c:v>
                </c:pt>
                <c:pt idx="113">
                  <c:v>2019-06</c:v>
                </c:pt>
                <c:pt idx="114">
                  <c:v>2019-07</c:v>
                </c:pt>
                <c:pt idx="115">
                  <c:v>2019-08</c:v>
                </c:pt>
                <c:pt idx="116">
                  <c:v>2019-09</c:v>
                </c:pt>
                <c:pt idx="117">
                  <c:v>2019-10</c:v>
                </c:pt>
                <c:pt idx="118">
                  <c:v>2019-11</c:v>
                </c:pt>
                <c:pt idx="119">
                  <c:v>2019-12</c:v>
                </c:pt>
                <c:pt idx="120">
                  <c:v>2020-01</c:v>
                </c:pt>
                <c:pt idx="121">
                  <c:v>2020-02</c:v>
                </c:pt>
                <c:pt idx="122">
                  <c:v>2020-03</c:v>
                </c:pt>
                <c:pt idx="123">
                  <c:v>2020-04</c:v>
                </c:pt>
                <c:pt idx="124">
                  <c:v>2020-05</c:v>
                </c:pt>
                <c:pt idx="125">
                  <c:v>2020-06</c:v>
                </c:pt>
                <c:pt idx="126">
                  <c:v>2020-07</c:v>
                </c:pt>
                <c:pt idx="127">
                  <c:v>2020-08</c:v>
                </c:pt>
                <c:pt idx="128">
                  <c:v>2020-09</c:v>
                </c:pt>
                <c:pt idx="129">
                  <c:v>2020-10</c:v>
                </c:pt>
                <c:pt idx="130">
                  <c:v>2020-11</c:v>
                </c:pt>
                <c:pt idx="131">
                  <c:v>2020-12</c:v>
                </c:pt>
                <c:pt idx="132">
                  <c:v>2021-01</c:v>
                </c:pt>
                <c:pt idx="133">
                  <c:v>2021-02</c:v>
                </c:pt>
                <c:pt idx="134">
                  <c:v>2021-03</c:v>
                </c:pt>
                <c:pt idx="135">
                  <c:v>2021-04</c:v>
                </c:pt>
                <c:pt idx="136">
                  <c:v>2021-05</c:v>
                </c:pt>
                <c:pt idx="137">
                  <c:v>2021-06</c:v>
                </c:pt>
                <c:pt idx="138">
                  <c:v>2021-07</c:v>
                </c:pt>
                <c:pt idx="139">
                  <c:v>2021-08</c:v>
                </c:pt>
                <c:pt idx="140">
                  <c:v>2021-09</c:v>
                </c:pt>
                <c:pt idx="141">
                  <c:v>2021-10</c:v>
                </c:pt>
                <c:pt idx="142">
                  <c:v>2021-11</c:v>
                </c:pt>
                <c:pt idx="143">
                  <c:v>2021-12</c:v>
                </c:pt>
                <c:pt idx="144">
                  <c:v>2022-01</c:v>
                </c:pt>
                <c:pt idx="145">
                  <c:v>2022-02</c:v>
                </c:pt>
                <c:pt idx="146">
                  <c:v>2022-03</c:v>
                </c:pt>
                <c:pt idx="147">
                  <c:v>2022-04</c:v>
                </c:pt>
                <c:pt idx="148">
                  <c:v>2022-05</c:v>
                </c:pt>
                <c:pt idx="149">
                  <c:v>2022-06</c:v>
                </c:pt>
                <c:pt idx="150">
                  <c:v>2022-07</c:v>
                </c:pt>
                <c:pt idx="151">
                  <c:v>2022-08</c:v>
                </c:pt>
                <c:pt idx="152">
                  <c:v>2022-09</c:v>
                </c:pt>
                <c:pt idx="153">
                  <c:v>2022-10</c:v>
                </c:pt>
                <c:pt idx="154">
                  <c:v>2022-11</c:v>
                </c:pt>
                <c:pt idx="155">
                  <c:v>2022-12</c:v>
                </c:pt>
                <c:pt idx="156">
                  <c:v>2023-01</c:v>
                </c:pt>
                <c:pt idx="157">
                  <c:v>2023-02</c:v>
                </c:pt>
                <c:pt idx="158">
                  <c:v>2023-03</c:v>
                </c:pt>
                <c:pt idx="159">
                  <c:v>2023-04</c:v>
                </c:pt>
                <c:pt idx="160">
                  <c:v>2023-05</c:v>
                </c:pt>
                <c:pt idx="161">
                  <c:v>2023-06</c:v>
                </c:pt>
                <c:pt idx="162">
                  <c:v>2023-07</c:v>
                </c:pt>
                <c:pt idx="163">
                  <c:v>2023-08</c:v>
                </c:pt>
                <c:pt idx="164">
                  <c:v>2023-09</c:v>
                </c:pt>
                <c:pt idx="165">
                  <c:v>2023-10</c:v>
                </c:pt>
                <c:pt idx="166">
                  <c:v>2023-11</c:v>
                </c:pt>
                <c:pt idx="167">
                  <c:v>2023-12</c:v>
                </c:pt>
                <c:pt idx="168">
                  <c:v>2024-01</c:v>
                </c:pt>
                <c:pt idx="169">
                  <c:v>2024-02</c:v>
                </c:pt>
                <c:pt idx="170">
                  <c:v>2024-03</c:v>
                </c:pt>
                <c:pt idx="171">
                  <c:v>2024-04</c:v>
                </c:pt>
                <c:pt idx="172">
                  <c:v>2024-05</c:v>
                </c:pt>
                <c:pt idx="173">
                  <c:v>2024-06</c:v>
                </c:pt>
                <c:pt idx="174">
                  <c:v>2024-07</c:v>
                </c:pt>
                <c:pt idx="175">
                  <c:v>2024-08</c:v>
                </c:pt>
                <c:pt idx="176">
                  <c:v>2024-09</c:v>
                </c:pt>
                <c:pt idx="177">
                  <c:v>2024-10</c:v>
                </c:pt>
                <c:pt idx="178">
                  <c:v>2024-11</c:v>
                </c:pt>
                <c:pt idx="179">
                  <c:v>2024-12</c:v>
                </c:pt>
                <c:pt idx="180">
                  <c:v>2025-01</c:v>
                </c:pt>
                <c:pt idx="181">
                  <c:v>2025-02</c:v>
                </c:pt>
                <c:pt idx="182">
                  <c:v>2025-03</c:v>
                </c:pt>
                <c:pt idx="183">
                  <c:v>2025-04</c:v>
                </c:pt>
              </c:strCache>
            </c:strRef>
          </c:cat>
          <c:val>
            <c:numRef>
              <c:f>Feuil4!$C$2:$C$185</c:f>
              <c:numCache>
                <c:formatCode>General</c:formatCode>
                <c:ptCount val="184"/>
                <c:pt idx="0">
                  <c:v>37.116689999999998</c:v>
                </c:pt>
                <c:pt idx="1">
                  <c:v>33.141820000000003</c:v>
                </c:pt>
                <c:pt idx="2">
                  <c:v>27.876359999999998</c:v>
                </c:pt>
                <c:pt idx="3">
                  <c:v>38.34281</c:v>
                </c:pt>
                <c:pt idx="4">
                  <c:v>42.291849999999997</c:v>
                </c:pt>
                <c:pt idx="5">
                  <c:v>42.061239999999998</c:v>
                </c:pt>
                <c:pt idx="6">
                  <c:v>35.439799999999998</c:v>
                </c:pt>
                <c:pt idx="7">
                  <c:v>37.272030000000001</c:v>
                </c:pt>
                <c:pt idx="8">
                  <c:v>35.565089999999998</c:v>
                </c:pt>
                <c:pt idx="9">
                  <c:v>32.5473</c:v>
                </c:pt>
                <c:pt idx="10">
                  <c:v>40.515819999999998</c:v>
                </c:pt>
                <c:pt idx="11">
                  <c:v>31.72045</c:v>
                </c:pt>
                <c:pt idx="12">
                  <c:v>31.13862</c:v>
                </c:pt>
                <c:pt idx="13">
                  <c:v>31.327290000000001</c:v>
                </c:pt>
                <c:pt idx="14">
                  <c:v>31.331520000000001</c:v>
                </c:pt>
                <c:pt idx="15">
                  <c:v>27.39622</c:v>
                </c:pt>
                <c:pt idx="16">
                  <c:v>29.241160000000001</c:v>
                </c:pt>
                <c:pt idx="17">
                  <c:v>31.286750000000001</c:v>
                </c:pt>
                <c:pt idx="18">
                  <c:v>39.728549999999998</c:v>
                </c:pt>
                <c:pt idx="19">
                  <c:v>51.370930000000001</c:v>
                </c:pt>
                <c:pt idx="20">
                  <c:v>62.779389999999999</c:v>
                </c:pt>
                <c:pt idx="21">
                  <c:v>48.978070000000002</c:v>
                </c:pt>
                <c:pt idx="22">
                  <c:v>49.869079999999997</c:v>
                </c:pt>
                <c:pt idx="23">
                  <c:v>41.6721</c:v>
                </c:pt>
                <c:pt idx="24">
                  <c:v>34.387320000000003</c:v>
                </c:pt>
                <c:pt idx="25">
                  <c:v>31.961829999999999</c:v>
                </c:pt>
                <c:pt idx="26">
                  <c:v>30.058730000000001</c:v>
                </c:pt>
                <c:pt idx="27">
                  <c:v>35.65361</c:v>
                </c:pt>
                <c:pt idx="28">
                  <c:v>43.20946</c:v>
                </c:pt>
                <c:pt idx="29">
                  <c:v>31.559560000000001</c:v>
                </c:pt>
                <c:pt idx="30">
                  <c:v>34.46763</c:v>
                </c:pt>
                <c:pt idx="31">
                  <c:v>32.31174</c:v>
                </c:pt>
                <c:pt idx="32">
                  <c:v>30.108720000000002</c:v>
                </c:pt>
                <c:pt idx="33">
                  <c:v>28.809349999999998</c:v>
                </c:pt>
                <c:pt idx="34">
                  <c:v>21.524550000000001</c:v>
                </c:pt>
                <c:pt idx="35">
                  <c:v>28.233470000000001</c:v>
                </c:pt>
                <c:pt idx="36">
                  <c:v>22.603100000000001</c:v>
                </c:pt>
                <c:pt idx="37">
                  <c:v>27.480319999999999</c:v>
                </c:pt>
                <c:pt idx="38">
                  <c:v>26.790800000000001</c:v>
                </c:pt>
                <c:pt idx="39">
                  <c:v>26.659420000000001</c:v>
                </c:pt>
                <c:pt idx="40">
                  <c:v>25.429390000000001</c:v>
                </c:pt>
                <c:pt idx="41">
                  <c:v>28.373660000000001</c:v>
                </c:pt>
                <c:pt idx="42">
                  <c:v>25.309899999999999</c:v>
                </c:pt>
                <c:pt idx="43">
                  <c:v>31.001010000000001</c:v>
                </c:pt>
                <c:pt idx="44">
                  <c:v>26.318200000000001</c:v>
                </c:pt>
                <c:pt idx="45">
                  <c:v>21.606089999999998</c:v>
                </c:pt>
                <c:pt idx="46">
                  <c:v>19.903759999999998</c:v>
                </c:pt>
                <c:pt idx="47">
                  <c:v>23.81176</c:v>
                </c:pt>
                <c:pt idx="48">
                  <c:v>29.466290000000001</c:v>
                </c:pt>
                <c:pt idx="49">
                  <c:v>23.15146</c:v>
                </c:pt>
                <c:pt idx="50">
                  <c:v>24.326720000000002</c:v>
                </c:pt>
                <c:pt idx="51">
                  <c:v>23.671060000000001</c:v>
                </c:pt>
                <c:pt idx="52">
                  <c:v>21.531639999999999</c:v>
                </c:pt>
                <c:pt idx="53">
                  <c:v>20.90326</c:v>
                </c:pt>
                <c:pt idx="54">
                  <c:v>25.594930000000002</c:v>
                </c:pt>
                <c:pt idx="55">
                  <c:v>22.59468</c:v>
                </c:pt>
                <c:pt idx="56">
                  <c:v>22.544530000000002</c:v>
                </c:pt>
                <c:pt idx="57">
                  <c:v>25.459479999999999</c:v>
                </c:pt>
                <c:pt idx="58">
                  <c:v>22.414459999999998</c:v>
                </c:pt>
                <c:pt idx="59">
                  <c:v>31.836269999999999</c:v>
                </c:pt>
                <c:pt idx="60">
                  <c:v>27.916350000000001</c:v>
                </c:pt>
                <c:pt idx="61">
                  <c:v>19.87426</c:v>
                </c:pt>
                <c:pt idx="62">
                  <c:v>22.636510000000001</c:v>
                </c:pt>
                <c:pt idx="63">
                  <c:v>27.152229999999999</c:v>
                </c:pt>
                <c:pt idx="64">
                  <c:v>25.82891</c:v>
                </c:pt>
                <c:pt idx="65">
                  <c:v>36.032110000000003</c:v>
                </c:pt>
                <c:pt idx="66">
                  <c:v>21.222370000000002</c:v>
                </c:pt>
                <c:pt idx="67">
                  <c:v>34.812840000000001</c:v>
                </c:pt>
                <c:pt idx="68">
                  <c:v>35.833730000000003</c:v>
                </c:pt>
                <c:pt idx="69">
                  <c:v>22.42923</c:v>
                </c:pt>
                <c:pt idx="70">
                  <c:v>24.974720000000001</c:v>
                </c:pt>
                <c:pt idx="71">
                  <c:v>24.7791</c:v>
                </c:pt>
                <c:pt idx="72">
                  <c:v>29.697890000000001</c:v>
                </c:pt>
                <c:pt idx="73">
                  <c:v>32.331159999999997</c:v>
                </c:pt>
                <c:pt idx="74">
                  <c:v>26.686969999999999</c:v>
                </c:pt>
                <c:pt idx="75">
                  <c:v>27.493749999999999</c:v>
                </c:pt>
                <c:pt idx="76">
                  <c:v>24.633790000000001</c:v>
                </c:pt>
                <c:pt idx="77">
                  <c:v>28.874510000000001</c:v>
                </c:pt>
                <c:pt idx="78">
                  <c:v>22.58746</c:v>
                </c:pt>
                <c:pt idx="79">
                  <c:v>21.665040000000001</c:v>
                </c:pt>
                <c:pt idx="80">
                  <c:v>22.19697</c:v>
                </c:pt>
                <c:pt idx="81">
                  <c:v>23.51004</c:v>
                </c:pt>
                <c:pt idx="82">
                  <c:v>22.72129</c:v>
                </c:pt>
                <c:pt idx="83">
                  <c:v>19.114329999999999</c:v>
                </c:pt>
                <c:pt idx="84">
                  <c:v>18.729869999999998</c:v>
                </c:pt>
                <c:pt idx="85">
                  <c:v>17.275020000000001</c:v>
                </c:pt>
                <c:pt idx="86">
                  <c:v>17.673690000000001</c:v>
                </c:pt>
                <c:pt idx="87">
                  <c:v>18.585660000000001</c:v>
                </c:pt>
                <c:pt idx="88">
                  <c:v>16.354109999999999</c:v>
                </c:pt>
                <c:pt idx="89">
                  <c:v>19.691189999999999</c:v>
                </c:pt>
                <c:pt idx="90">
                  <c:v>16.421189999999999</c:v>
                </c:pt>
                <c:pt idx="91">
                  <c:v>18.572019999999998</c:v>
                </c:pt>
                <c:pt idx="92">
                  <c:v>14.306179999999999</c:v>
                </c:pt>
                <c:pt idx="93">
                  <c:v>13.96176</c:v>
                </c:pt>
                <c:pt idx="94">
                  <c:v>16.018129999999999</c:v>
                </c:pt>
                <c:pt idx="95">
                  <c:v>16.243410000000001</c:v>
                </c:pt>
                <c:pt idx="96">
                  <c:v>18.826599999999999</c:v>
                </c:pt>
                <c:pt idx="97">
                  <c:v>21.97644</c:v>
                </c:pt>
                <c:pt idx="98">
                  <c:v>21.431080000000001</c:v>
                </c:pt>
                <c:pt idx="99">
                  <c:v>16.597010000000001</c:v>
                </c:pt>
                <c:pt idx="100">
                  <c:v>20.604800000000001</c:v>
                </c:pt>
                <c:pt idx="101">
                  <c:v>19.422699999999999</c:v>
                </c:pt>
                <c:pt idx="102">
                  <c:v>14.70101</c:v>
                </c:pt>
                <c:pt idx="103">
                  <c:v>18.127970000000001</c:v>
                </c:pt>
                <c:pt idx="104">
                  <c:v>17.146560000000001</c:v>
                </c:pt>
                <c:pt idx="105">
                  <c:v>22.955480000000001</c:v>
                </c:pt>
                <c:pt idx="106">
                  <c:v>20.9254</c:v>
                </c:pt>
                <c:pt idx="107">
                  <c:v>27.303149999999999</c:v>
                </c:pt>
                <c:pt idx="108">
                  <c:v>17.303930000000001</c:v>
                </c:pt>
                <c:pt idx="109">
                  <c:v>15.46541</c:v>
                </c:pt>
                <c:pt idx="110">
                  <c:v>17.139849999999999</c:v>
                </c:pt>
                <c:pt idx="111">
                  <c:v>14.876429999999999</c:v>
                </c:pt>
                <c:pt idx="112">
                  <c:v>19.446210000000001</c:v>
                </c:pt>
                <c:pt idx="113">
                  <c:v>15.600680000000001</c:v>
                </c:pt>
                <c:pt idx="114">
                  <c:v>16.014189999999999</c:v>
                </c:pt>
                <c:pt idx="115">
                  <c:v>19.413709999999998</c:v>
                </c:pt>
                <c:pt idx="116">
                  <c:v>17.257490000000001</c:v>
                </c:pt>
                <c:pt idx="117">
                  <c:v>15.372450000000001</c:v>
                </c:pt>
                <c:pt idx="118">
                  <c:v>14.51248</c:v>
                </c:pt>
                <c:pt idx="119">
                  <c:v>15.644729999999999</c:v>
                </c:pt>
                <c:pt idx="120">
                  <c:v>19.012</c:v>
                </c:pt>
                <c:pt idx="121">
                  <c:v>46.46481</c:v>
                </c:pt>
                <c:pt idx="122">
                  <c:v>53.310940000000002</c:v>
                </c:pt>
                <c:pt idx="123">
                  <c:v>37.087910000000001</c:v>
                </c:pt>
                <c:pt idx="124">
                  <c:v>34.543970000000002</c:v>
                </c:pt>
                <c:pt idx="125">
                  <c:v>35.660429999999998</c:v>
                </c:pt>
                <c:pt idx="126">
                  <c:v>31.437750000000001</c:v>
                </c:pt>
                <c:pt idx="127">
                  <c:v>31.91592</c:v>
                </c:pt>
                <c:pt idx="128">
                  <c:v>30.5473</c:v>
                </c:pt>
                <c:pt idx="129">
                  <c:v>41.165349999999997</c:v>
                </c:pt>
                <c:pt idx="130">
                  <c:v>27.392469999999999</c:v>
                </c:pt>
                <c:pt idx="131">
                  <c:v>28.718160000000001</c:v>
                </c:pt>
                <c:pt idx="132">
                  <c:v>35.192749999999997</c:v>
                </c:pt>
                <c:pt idx="133">
                  <c:v>32.450749999999999</c:v>
                </c:pt>
                <c:pt idx="134">
                  <c:v>21.119689999999999</c:v>
                </c:pt>
                <c:pt idx="135">
                  <c:v>24.81278</c:v>
                </c:pt>
                <c:pt idx="136">
                  <c:v>23.353159999999999</c:v>
                </c:pt>
                <c:pt idx="137">
                  <c:v>21.54729</c:v>
                </c:pt>
                <c:pt idx="138">
                  <c:v>24.831800000000001</c:v>
                </c:pt>
                <c:pt idx="139">
                  <c:v>22.156310000000001</c:v>
                </c:pt>
                <c:pt idx="140">
                  <c:v>26.89424</c:v>
                </c:pt>
                <c:pt idx="141">
                  <c:v>20.327559999999998</c:v>
                </c:pt>
                <c:pt idx="142">
                  <c:v>34.009799999999998</c:v>
                </c:pt>
                <c:pt idx="143">
                  <c:v>21.801400000000001</c:v>
                </c:pt>
                <c:pt idx="144">
                  <c:v>30.300719999999998</c:v>
                </c:pt>
                <c:pt idx="145">
                  <c:v>39.545810000000003</c:v>
                </c:pt>
                <c:pt idx="146">
                  <c:v>32.1265</c:v>
                </c:pt>
                <c:pt idx="147">
                  <c:v>32.462649999999996</c:v>
                </c:pt>
                <c:pt idx="148">
                  <c:v>27.09723</c:v>
                </c:pt>
                <c:pt idx="149">
                  <c:v>31.218789999999998</c:v>
                </c:pt>
                <c:pt idx="150">
                  <c:v>22.744309999999999</c:v>
                </c:pt>
                <c:pt idx="151">
                  <c:v>28.096</c:v>
                </c:pt>
                <c:pt idx="152">
                  <c:v>30.064309999999999</c:v>
                </c:pt>
                <c:pt idx="153">
                  <c:v>24.54992</c:v>
                </c:pt>
                <c:pt idx="154">
                  <c:v>21.878530000000001</c:v>
                </c:pt>
                <c:pt idx="155">
                  <c:v>22.371210000000001</c:v>
                </c:pt>
                <c:pt idx="156">
                  <c:v>20.17446</c:v>
                </c:pt>
                <c:pt idx="157">
                  <c:v>20.68244</c:v>
                </c:pt>
                <c:pt idx="158">
                  <c:v>21.1126</c:v>
                </c:pt>
                <c:pt idx="159">
                  <c:v>19.22747</c:v>
                </c:pt>
                <c:pt idx="160">
                  <c:v>21.256530000000001</c:v>
                </c:pt>
                <c:pt idx="161">
                  <c:v>14.863659999999999</c:v>
                </c:pt>
                <c:pt idx="162">
                  <c:v>17.860399999999998</c:v>
                </c:pt>
                <c:pt idx="163">
                  <c:v>17.411549999999998</c:v>
                </c:pt>
                <c:pt idx="164">
                  <c:v>18.48019</c:v>
                </c:pt>
                <c:pt idx="165">
                  <c:v>20.840789999999998</c:v>
                </c:pt>
                <c:pt idx="166">
                  <c:v>15.04454</c:v>
                </c:pt>
                <c:pt idx="167">
                  <c:v>15.01905</c:v>
                </c:pt>
                <c:pt idx="168">
                  <c:v>16.078399999999998</c:v>
                </c:pt>
                <c:pt idx="169">
                  <c:v>14.885859999999999</c:v>
                </c:pt>
                <c:pt idx="170">
                  <c:v>14.443</c:v>
                </c:pt>
                <c:pt idx="171">
                  <c:v>16.62208</c:v>
                </c:pt>
                <c:pt idx="172">
                  <c:v>15.33592</c:v>
                </c:pt>
                <c:pt idx="173">
                  <c:v>19.606960000000001</c:v>
                </c:pt>
                <c:pt idx="174">
                  <c:v>17.017040000000001</c:v>
                </c:pt>
                <c:pt idx="175">
                  <c:v>16.872800000000002</c:v>
                </c:pt>
                <c:pt idx="176">
                  <c:v>20.138529999999999</c:v>
                </c:pt>
                <c:pt idx="177">
                  <c:v>23.603339999999999</c:v>
                </c:pt>
                <c:pt idx="178">
                  <c:v>17.92407</c:v>
                </c:pt>
                <c:pt idx="179">
                  <c:v>17.672920000000001</c:v>
                </c:pt>
                <c:pt idx="180">
                  <c:v>16.003240000000002</c:v>
                </c:pt>
                <c:pt idx="181">
                  <c:v>19.36608</c:v>
                </c:pt>
                <c:pt idx="182">
                  <c:v>23.943390000000001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5-49A5-8AF2-475155CC1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505663"/>
        <c:axId val="1623506623"/>
      </c:lineChart>
      <c:catAx>
        <c:axId val="162347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457663"/>
        <c:crosses val="autoZero"/>
        <c:auto val="1"/>
        <c:lblAlgn val="ctr"/>
        <c:lblOffset val="100"/>
        <c:noMultiLvlLbl val="0"/>
      </c:catAx>
      <c:valAx>
        <c:axId val="162345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473983"/>
        <c:crosses val="autoZero"/>
        <c:crossBetween val="between"/>
      </c:valAx>
      <c:valAx>
        <c:axId val="16235066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505663"/>
        <c:crosses val="max"/>
        <c:crossBetween val="between"/>
      </c:valAx>
      <c:catAx>
        <c:axId val="16235056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35066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1942138</xdr:colOff>
      <xdr:row>15</xdr:row>
      <xdr:rowOff>17317</xdr:rowOff>
    </xdr:from>
    <xdr:to>
      <xdr:col>26</xdr:col>
      <xdr:colOff>2286000</xdr:colOff>
      <xdr:row>38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945EB14-2D27-94CB-28B0-224CC9576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635001</xdr:colOff>
      <xdr:row>25</xdr:row>
      <xdr:rowOff>1587</xdr:rowOff>
    </xdr:from>
    <xdr:to>
      <xdr:col>46</xdr:col>
      <xdr:colOff>317501</xdr:colOff>
      <xdr:row>59</xdr:row>
      <xdr:rowOff>158750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1FE67F33-F89F-6D4D-9FB9-05619AB5A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327025</xdr:colOff>
      <xdr:row>3</xdr:row>
      <xdr:rowOff>12700</xdr:rowOff>
    </xdr:from>
    <xdr:to>
      <xdr:col>11</xdr:col>
      <xdr:colOff>327025</xdr:colOff>
      <xdr:row>17</xdr:row>
      <xdr:rowOff>177800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0135E9A-A6EF-4DF9-E62A-5E6E0B3C5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12DF9B3-A70E-4BEF-BD20-D19A8E5BD091}" name="Tableau30" displayName="Tableau30" ref="A1:L3939" totalsRowShown="0">
  <autoFilter ref="A1:L3939" xr:uid="{312DF9B3-A70E-4BEF-BD20-D19A8E5BD091}"/>
  <tableColumns count="12">
    <tableColumn id="1" xr3:uid="{CDA8EFF3-0F00-4478-9823-EDFDFFF4FD0E}" name="Currency" dataDxfId="184"/>
    <tableColumn id="2" xr3:uid="{E5848277-856A-49EF-AEA4-57F6B970DEEB}" name="SX5E Index"/>
    <tableColumn id="3" xr3:uid="{C7E259EB-9100-4D5B-8226-A308692AF0C9}" name="Security"/>
    <tableColumn id="4" xr3:uid="{15B580B5-1706-4921-8E3B-3D3CD5B51F41}" name="CAC Index"/>
    <tableColumn id="5" xr3:uid="{5B131320-08AC-47DB-9AE0-B3315F5E3D08}" name="Security2"/>
    <tableColumn id="6" xr3:uid="{0CBE3CBF-DBE8-4595-9487-992C16CC2A33}" name="DAX Index"/>
    <tableColumn id="7" xr3:uid="{376DA285-8706-430B-A8FF-8EF6DD92C436}" name="Security3"/>
    <tableColumn id="8" xr3:uid="{DF9992DE-9EB6-4B8E-B6C6-B972B5C49C39}" name="UKX Index"/>
    <tableColumn id="9" xr3:uid="{A86E88ED-FC89-4F4F-96BB-7C8CC88EB208}" name="Security4"/>
    <tableColumn id="10" xr3:uid="{53F7105C-9801-4B41-93F9-F5AFBB1828CE}" name="IBEX Index"/>
    <tableColumn id="11" xr3:uid="{286BDE6C-A2E7-4F45-BA90-6154BBB38333}" name="Security5"/>
    <tableColumn id="12" xr3:uid="{DD6656C4-95D5-4F21-9389-813E4E021BE1}" name="FTSEMIB Index"/>
  </tableColumns>
  <tableStyleInfo name="TableStyleMedium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74C631A-D0DB-4D09-B1F6-449971B71F83}" name="Tableau31" displayName="Tableau31" ref="A1:E192" totalsRowShown="0" headerRowDxfId="183">
  <autoFilter ref="A1:E192" xr:uid="{274C631A-D0DB-4D09-B1F6-449971B71F83}"/>
  <tableColumns count="5">
    <tableColumn id="1" xr3:uid="{8829DCF8-1796-4E7A-B6DF-30695303CB86}" name="Colonne1" dataDxfId="182"/>
    <tableColumn id="2" xr3:uid="{72A02FB8-BA6F-40DA-A08F-68C04156363E}" name="Colonne2"/>
    <tableColumn id="3" xr3:uid="{5C390ADA-78AA-46EF-A5DB-025067C438DC}" name="Colonne3"/>
    <tableColumn id="4" xr3:uid="{C35817B6-E471-4765-A652-9C6E19B94CFE}" name="Colonne4" dataDxfId="181"/>
    <tableColumn id="5" xr3:uid="{87052266-1F85-4ABF-908A-5911E86FC5E8}" name="Colonne5"/>
  </tableColumns>
  <tableStyleInfo name="TableStyleMedium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7E4DBCE-5F9B-4FEA-AEAB-C268D2CD7A06}" name="Tableau32" displayName="Tableau32" ref="A1:G3818" totalsRowShown="0">
  <autoFilter ref="A1:G3818" xr:uid="{67E4DBCE-5F9B-4FEA-AEAB-C268D2CD7A06}"/>
  <tableColumns count="7">
    <tableColumn id="1" xr3:uid="{D0187D62-A75B-4E5B-A6FC-C75B35C0D79D}" name="Date" dataDxfId="180"/>
    <tableColumn id="2" xr3:uid="{8867429A-A3A7-42F4-9CF7-753A743F4921}" name="SX5E Index"/>
    <tableColumn id="3" xr3:uid="{7A4DDF3B-F53A-404D-A248-8F9404098D42}" name="CAC Index"/>
    <tableColumn id="4" xr3:uid="{368A426C-F0AA-4698-A12E-7BCFB989623E}" name="DAX Index"/>
    <tableColumn id="5" xr3:uid="{AB125A27-A4D9-4360-901F-5CF5EE63409C}" name="UKX Index"/>
    <tableColumn id="6" xr3:uid="{09639149-3817-4D98-9B66-7B318DC3B80F}" name="IBEX Index"/>
    <tableColumn id="7" xr3:uid="{9BD26C0B-1933-4F0A-BC01-3F569C796779}" name="FTSEMIB Index"/>
  </tableColumns>
  <tableStyleInfo name="TableStyleMedium1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F9DBD939-2EB9-4F3D-9F4E-D96F6F6531BF}" name="Tableau36" displayName="Tableau36" ref="A1:Z3819" totalsRowShown="0">
  <autoFilter ref="A1:Z3819" xr:uid="{F9DBD939-2EB9-4F3D-9F4E-D96F6F6531BF}"/>
  <tableColumns count="26">
    <tableColumn id="1" xr3:uid="{D707407D-191A-41A2-8AE0-F403E61A2E60}" name="Colonne1" dataDxfId="179"/>
    <tableColumn id="2" xr3:uid="{4D965095-EB49-4E8B-BF94-B28CBA5E71EB}" name="Colonne2" dataDxfId="178"/>
    <tableColumn id="3" xr3:uid="{26CF3EC1-9780-4A42-A8A7-F1D75F6D0AD8}" name="Colonne3"/>
    <tableColumn id="4" xr3:uid="{0458C086-6A9B-4FA3-975A-E95FFB337E1A}" name="Colonne4">
      <calculatedColumnFormula>LN(C2/C1)</calculatedColumnFormula>
    </tableColumn>
    <tableColumn id="5" xr3:uid="{F5B5DC30-0DAF-4DEA-B253-747ABD7F4EC1}" name="Colonne5">
      <calculatedColumnFormula>_xlfn.CONCAT(YEAR(A2),"-",TEXT(MONTH(A2),"00"))</calculatedColumnFormula>
    </tableColumn>
    <tableColumn id="6" xr3:uid="{BB746538-F269-4060-A642-BC5F82B3F007}" name="Colonne6"/>
    <tableColumn id="7" xr3:uid="{A7134815-4E46-4FEF-8BB4-F660DA3D8AC5}" name="Colonne7"/>
    <tableColumn id="8" xr3:uid="{8277EBF4-791C-4881-82C9-DEC80817B518}" name="Colonne8">
      <calculatedColumnFormula>LN(G2/G1)</calculatedColumnFormula>
    </tableColumn>
    <tableColumn id="9" xr3:uid="{761B6601-B20F-470C-A5A8-9DC92EB75B36}" name="Colonne9">
      <calculatedColumnFormula>_xlfn.CONCAT(YEAR(A2),"-",TEXT(MONTH(A2),"00"))</calculatedColumnFormula>
    </tableColumn>
    <tableColumn id="10" xr3:uid="{A6AF54B7-DA23-4CDD-8CC0-E6681AA75007}" name="Colonne10"/>
    <tableColumn id="11" xr3:uid="{51E3E10C-4667-4BC3-8C94-2060BF1131D9}" name="Colonne11"/>
    <tableColumn id="12" xr3:uid="{1C3BC9A3-F10A-4A64-B98D-CA5629CB9938}" name="Colonne12">
      <calculatedColumnFormula>LN(K2/K1)</calculatedColumnFormula>
    </tableColumn>
    <tableColumn id="13" xr3:uid="{C4B922EE-FAA6-42D3-AB94-A701994F0674}" name="Colonne13">
      <calculatedColumnFormula>_xlfn.CONCAT(YEAR(A2),"-",TEXT(MONTH(A2),"00"))</calculatedColumnFormula>
    </tableColumn>
    <tableColumn id="14" xr3:uid="{18E0A412-C7FB-46FF-9CF4-78BE4B26E9A4}" name="Colonne14"/>
    <tableColumn id="15" xr3:uid="{2B27DDEF-32AA-4AB3-90DD-A6E98DD8122B}" name="Colonne15"/>
    <tableColumn id="16" xr3:uid="{393459D8-2456-43D7-A65D-2D50DA90B0E7}" name="Colonne16">
      <calculatedColumnFormula>LN(O2/O1)</calculatedColumnFormula>
    </tableColumn>
    <tableColumn id="17" xr3:uid="{EB6AFC0A-E380-4C0D-9979-4D41FF8FC124}" name="Colonne17">
      <calculatedColumnFormula>_xlfn.CONCAT(YEAR(A2),"-",TEXT(MONTH(A2),"00"))</calculatedColumnFormula>
    </tableColumn>
    <tableColumn id="18" xr3:uid="{05E65ED6-2A30-406B-ADD7-2D7C921D36C3}" name="Colonne18"/>
    <tableColumn id="19" xr3:uid="{89E82D37-754C-4C50-802C-B38BF245EF36}" name="Colonne19"/>
    <tableColumn id="20" xr3:uid="{C766158E-EE30-4C4B-A45E-80B8B9571250}" name="Colonne20">
      <calculatedColumnFormula>LN(S2/S1)</calculatedColumnFormula>
    </tableColumn>
    <tableColumn id="21" xr3:uid="{15BEE804-EB98-4FB2-B60B-CFE0E971DE01}" name="Colonne21">
      <calculatedColumnFormula>_xlfn.CONCAT(YEAR(A2),"-",TEXT(MONTH(A2),"00"))</calculatedColumnFormula>
    </tableColumn>
    <tableColumn id="22" xr3:uid="{7FCAA367-DD70-4F61-AD7F-D90348685B11}" name="Colonne22"/>
    <tableColumn id="23" xr3:uid="{50E70A9C-B785-4839-8218-D32C04B63621}" name="Colonne23"/>
    <tableColumn id="24" xr3:uid="{14A0C2F9-2D09-4A29-ABD3-B44E5F619704}" name="Colonne24">
      <calculatedColumnFormula>LN(W2/W1)</calculatedColumnFormula>
    </tableColumn>
    <tableColumn id="25" xr3:uid="{CD6FF3B6-BB58-495E-A881-C355F52635E8}" name="Colonne25">
      <calculatedColumnFormula>(W2-W1)/W1</calculatedColumnFormula>
    </tableColumn>
    <tableColumn id="26" xr3:uid="{7755019B-F5A6-4BE1-BA0C-B11E3B037753}" name="Colonne26">
      <calculatedColumnFormula>_xlfn.CONCAT(YEAR(A2),"-",TEXT(MONTH(A2),"00"))</calculatedColumnFormula>
    </tableColumn>
  </tableColumns>
  <tableStyleInfo name="TableStyleMedium1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DAFF74CE-6F91-49BD-938A-56715880A635}" name="Tableau37" displayName="Tableau37" ref="A1:G3818" totalsRowShown="0">
  <autoFilter ref="A1:G3818" xr:uid="{DAFF74CE-6F91-49BD-938A-56715880A635}"/>
  <tableColumns count="7">
    <tableColumn id="1" xr3:uid="{D62D85BF-2CFB-437D-A8D8-5E7159D0CDE4}" name="CAC Index month"/>
    <tableColumn id="2" xr3:uid="{E731E4D5-06B2-4950-B94B-BF3BA533E42A}" name="σ"/>
    <tableColumn id="3" xr3:uid="{43F2AE06-37FA-4FFB-983E-E4C5781DDA6A}" name="Yield"/>
    <tableColumn id="4" xr3:uid="{2DA15B4F-FCF4-49F9-A3F8-259261D3E70B}" name="VaR CAC"/>
    <tableColumn id="5" xr3:uid="{4F66D0DE-6BBE-40E6-A6BC-3A461CFAC74A}" name="CAC Index yield"/>
    <tableColumn id="6" xr3:uid="{7937AD2A-0314-4305-9E7F-0531A776BB5D}" name="VAR ">
      <calculatedColumnFormula>_xlfn.PERCENTILE.EXC(E2:E3817,0.05)</calculatedColumnFormula>
    </tableColumn>
    <tableColumn id="7" xr3:uid="{8AF76E3B-4C4A-4B30-B0D2-CB95FE35FF11}" name="ES">
      <calculatedColumnFormula>AVERAGEIFS(E2:E3818,E2:E3818,"&lt;=" &amp; F2)</calculatedColumnFormula>
    </tableColumn>
  </tableColumns>
  <tableStyleInfo name="TableStyleMedium1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74D635E-4ECA-4976-8DD1-D6C051B1B605}" name="Tableau38" displayName="Tableau38" ref="J2:T186" totalsRowShown="0" headerRowDxfId="177">
  <autoFilter ref="J2:T186" xr:uid="{D74D635E-4ECA-4976-8DD1-D6C051B1B605}"/>
  <tableColumns count="11">
    <tableColumn id="1" xr3:uid="{656FE071-5DEC-48F3-8473-AFD8CFFA0DCC}" name="Dates" dataDxfId="176"/>
    <tableColumn id="2" xr3:uid="{36C89D3D-092A-492E-8336-7E578D47C35B}" name="σ"/>
    <tableColumn id="3" xr3:uid="{46DF4C37-4777-49A0-8E36-7CE17DB74B22}" name="yield"/>
    <tableColumn id="4" xr3:uid="{095335A4-682F-4B8B-95F3-93056E11DEAF}" name="σ(t-1)">
      <calculatedColumnFormula>K2</calculatedColumnFormula>
    </tableColumn>
    <tableColumn id="5" xr3:uid="{5BC6624D-0FE3-4036-BBDC-6A3DD23BCE18}" name="VAR"/>
    <tableColumn id="6" xr3:uid="{BD0BBA74-1BBA-446E-B85C-E32498023018}" name="ES"/>
    <tableColumn id="7" xr3:uid="{13324D78-E640-4161-9D5F-2FC7D8F44E08}" name="EPU"/>
    <tableColumn id="8" xr3:uid="{E8EF70D0-E0AC-4FE5-B937-4D6854E3C9D7}" name="V2X"/>
    <tableColumn id="9" xr3:uid="{7B447EC1-C073-489E-9B95-74BF2F034052}" name="EPU (t-1)">
      <calculatedColumnFormula>P2</calculatedColumnFormula>
    </tableColumn>
    <tableColumn id="10" xr3:uid="{8AEF8052-732A-4F6A-B57A-CBDCE3CD9F3C}" name="σ(t-1)2"/>
    <tableColumn id="11" xr3:uid="{63A51DBC-19B1-42F0-957E-6AB6D840A572}" name="VIX"/>
  </tableColumns>
  <tableStyleInfo name="TableStyleMedium1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BD4854F7-64BF-4C19-88A9-F4989F218DF5}" name="Tableau39" displayName="Tableau39" ref="U2:Y3" totalsRowShown="0" headerRowDxfId="175">
  <autoFilter ref="U2:Y3" xr:uid="{BD4854F7-64BF-4C19-88A9-F4989F218DF5}"/>
  <tableColumns count="5">
    <tableColumn id="1" xr3:uid="{375D34A5-F7C9-47E1-9A81-CC692695CBF1}" name="Corr(EPU, VaR)">
      <calculatedColumnFormula>CORREL(P3:P186,N3:N186)</calculatedColumnFormula>
    </tableColumn>
    <tableColumn id="2" xr3:uid="{11920A4D-FC1E-4DE4-AB6E-F6FBCD4DBDED}" name="Corr(EPU, ES)">
      <calculatedColumnFormula>CORREL(P3:P186,O3:O186)</calculatedColumnFormula>
    </tableColumn>
    <tableColumn id="3" xr3:uid="{DC619E14-EE8B-4DCE-A2CA-F8F3DB13758B}" name="Corr(VaR, ES)">
      <calculatedColumnFormula>CORREL(N3:N186,O3:O186)</calculatedColumnFormula>
    </tableColumn>
    <tableColumn id="4" xr3:uid="{DA1B8834-942D-4781-94B8-206343287486}" name="Corr(EPU, VIX)">
      <calculatedColumnFormula>CORREL(P3:P186,T3:T186)</calculatedColumnFormula>
    </tableColumn>
    <tableColumn id="5" xr3:uid="{AA3A57B5-381C-47F1-940C-22C35F1BFF5E}" name="Corr(EPU, V2X)">
      <calculatedColumnFormula>CORREL(P3:P186,Q3:Q186)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BE289D1-65F2-4717-9518-2D0975CD6B4D}" name="Tableau40" displayName="Tableau40" ref="A1:G3818" totalsRowShown="0">
  <autoFilter ref="A1:G3818" xr:uid="{6BE289D1-65F2-4717-9518-2D0975CD6B4D}"/>
  <tableColumns count="7">
    <tableColumn id="1" xr3:uid="{AD8C2D18-EB0B-4CA2-9837-C999B6987C50}" name="DAX Index month"/>
    <tableColumn id="2" xr3:uid="{4BAECDD5-8C81-42A2-89BC-ACB7AEC12DFC}" name="σ"/>
    <tableColumn id="3" xr3:uid="{3BE5D872-F36F-4921-B579-0F27F1A4730F}" name="Yield"/>
    <tableColumn id="4" xr3:uid="{72553773-CB7F-491A-BBEF-5D3A25CC5B70}" name="VaR DAX"/>
    <tableColumn id="5" xr3:uid="{66CB03CA-47E3-4423-AF78-E931283578D7}" name="DAX Index yield"/>
    <tableColumn id="6" xr3:uid="{B90B5D0A-B08C-4216-BDA7-2EF052F5F56E}" name="VAR ">
      <calculatedColumnFormula>_xlfn.PERCENTILE.EXC(E2:E3817,0.05)</calculatedColumnFormula>
    </tableColumn>
    <tableColumn id="7" xr3:uid="{80A5A7B8-BC37-40B5-A9DF-0A6EF9DF121A}" name="ES">
      <calculatedColumnFormula>AVERAGEIFS(E2:E3818,E2:E3818,"&lt;=" &amp; F2)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931D0E39-5B98-4918-967D-7B0E95A09AC3}" name="Tableau41" displayName="Tableau41" ref="U2:Y3" totalsRowShown="0" headerRowDxfId="174">
  <autoFilter ref="U2:Y3" xr:uid="{931D0E39-5B98-4918-967D-7B0E95A09AC3}"/>
  <tableColumns count="5">
    <tableColumn id="1" xr3:uid="{54E85CB5-E488-4A43-BEEC-D10C90F7CB26}" name="Corr(EPU, VaR)">
      <calculatedColumnFormula>CORREL(P3:P186,N3:N186)</calculatedColumnFormula>
    </tableColumn>
    <tableColumn id="2" xr3:uid="{7CE8C1A6-D63C-4AB3-9E12-82CE3C490279}" name="Corr(EPU, ES)">
      <calculatedColumnFormula>CORREL(P3:P186,O3:O186)</calculatedColumnFormula>
    </tableColumn>
    <tableColumn id="3" xr3:uid="{85D73FE5-8918-4C85-BCF9-E02FDE212394}" name="Corr(VaR, ES)">
      <calculatedColumnFormula>CORREL(N3:N186,O3:O186)</calculatedColumnFormula>
    </tableColumn>
    <tableColumn id="4" xr3:uid="{730B2831-D0C2-4D92-8BE2-BAF3D3F61EA4}" name="Corr(EPU, VIX)">
      <calculatedColumnFormula>CORREL(P3:P186,T3:T186)</calculatedColumnFormula>
    </tableColumn>
    <tableColumn id="5" xr3:uid="{89D8E1B0-1A9D-4066-8A63-8CE039A8C6F9}" name="Corr(EPU, V2X)">
      <calculatedColumnFormula>CORREL(P3:P186,Q3:Q186)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8F60281D-B665-49D1-BA2A-FD5E81F728AC}" name="Tableau42" displayName="Tableau42" ref="J2:T186" totalsRowShown="0" headerRowDxfId="173">
  <autoFilter ref="J2:T186" xr:uid="{8F60281D-B665-49D1-BA2A-FD5E81F728AC}"/>
  <tableColumns count="11">
    <tableColumn id="1" xr3:uid="{BD49A87A-A344-4E07-B82D-31F850E334B8}" name="Dates" dataDxfId="172"/>
    <tableColumn id="2" xr3:uid="{03616222-CA32-4DA6-A41C-53790C426971}" name="σ"/>
    <tableColumn id="3" xr3:uid="{6CA3E4E4-9A1B-45C6-853D-4015B0DF2497}" name="Yield"/>
    <tableColumn id="4" xr3:uid="{1132547C-328E-4935-A5FD-C70A156D4C9D}" name="σ(t-1)">
      <calculatedColumnFormula>K2</calculatedColumnFormula>
    </tableColumn>
    <tableColumn id="5" xr3:uid="{AB124D54-6952-4EE1-BCC7-C312A406B1C3}" name="VAR"/>
    <tableColumn id="6" xr3:uid="{96A889C9-DA51-4F35-98A7-24FE0E527349}" name="ES"/>
    <tableColumn id="7" xr3:uid="{10D92143-E407-43B9-9504-D6A3C11F74DA}" name="EPU"/>
    <tableColumn id="8" xr3:uid="{1960E15C-4609-419B-AD19-D26570F09848}" name="V2X"/>
    <tableColumn id="9" xr3:uid="{38EE24A1-3B52-46F1-ADA6-6E45DB757A70}" name="EPU (t-1)">
      <calculatedColumnFormula>P2</calculatedColumnFormula>
    </tableColumn>
    <tableColumn id="10" xr3:uid="{399FF067-C476-43AF-B17E-BF0C9203B04C}" name="σ(t-1)2"/>
    <tableColumn id="11" xr3:uid="{32203571-B549-4ED8-AAD0-38862C3B5212}" name="VIX"/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CB919DF-D0E7-4267-AB66-B61B52936C90}" name="Tableau43" displayName="Tableau43" ref="U2:Y3" totalsRowShown="0" headerRowDxfId="171">
  <autoFilter ref="U2:Y3" xr:uid="{8CB919DF-D0E7-4267-AB66-B61B52936C90}"/>
  <tableColumns count="5">
    <tableColumn id="1" xr3:uid="{0A2B5CE2-C737-494A-9F44-C910FA7FB35C}" name="Corr(EPU, VaR)">
      <calculatedColumnFormula>CORREL(P3:P186,N3:N186)</calculatedColumnFormula>
    </tableColumn>
    <tableColumn id="2" xr3:uid="{E6D2D4CC-8338-4BC8-8A4C-C59D2EB46B11}" name="Corr(EPU, ES)">
      <calculatedColumnFormula>CORREL(P3:P186,O3:O186)</calculatedColumnFormula>
    </tableColumn>
    <tableColumn id="3" xr3:uid="{2AB24560-29E2-495B-8B55-A58883279DBA}" name="Corr(VaR, ES)">
      <calculatedColumnFormula>CORREL(N3:N186,O3:O186)</calculatedColumnFormula>
    </tableColumn>
    <tableColumn id="4" xr3:uid="{96925FAA-42AD-4CE9-BBF6-DEF91BB0FC46}" name="Corr(EPU, VIX)">
      <calculatedColumnFormula>CORREL(P3:P186,T3:T186)</calculatedColumnFormula>
    </tableColumn>
    <tableColumn id="5" xr3:uid="{0147ACC3-E48F-4209-A638-F2CF6D35F76B}" name="Corr(EPU, V2X)">
      <calculatedColumnFormula>CORREL(P3:P186,Q3:Q186)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1CD08EE-5D51-4708-845C-48CA9D2DBB65}" name="Tableau44" displayName="Tableau44" ref="J2:T186" totalsRowShown="0" headerRowDxfId="170">
  <autoFilter ref="J2:T186" xr:uid="{11CD08EE-5D51-4708-845C-48CA9D2DBB65}"/>
  <tableColumns count="11">
    <tableColumn id="1" xr3:uid="{0268C83E-A277-431C-B393-F4987F78CDFA}" name="Dates" dataDxfId="169"/>
    <tableColumn id="2" xr3:uid="{6D9243F3-75C4-49F5-A1D8-FF76DA400357}" name="σ"/>
    <tableColumn id="3" xr3:uid="{2CA28744-93B2-400D-A373-9514FB2D1720}" name="Yield"/>
    <tableColumn id="4" xr3:uid="{3B7E12DB-9411-4440-9459-F31379B1A866}" name="σ(t-1)">
      <calculatedColumnFormula>K2</calculatedColumnFormula>
    </tableColumn>
    <tableColumn id="5" xr3:uid="{7EED5E55-937F-475E-ACD9-12E3EE36B71F}" name="VAR"/>
    <tableColumn id="6" xr3:uid="{73F44AF1-D39B-4FB9-985B-63D8F6613804}" name="ES"/>
    <tableColumn id="7" xr3:uid="{EB5EBD70-8C62-488A-825D-D7D2898B0D3C}" name="EPU"/>
    <tableColumn id="8" xr3:uid="{81BB28B0-FE1A-4CAC-AF53-9CAD70DD7EF4}" name="V2X"/>
    <tableColumn id="9" xr3:uid="{D25E7034-B2EB-441F-9B7A-EB6F3B45FF4F}" name="EPU (t-1)">
      <calculatedColumnFormula>P2</calculatedColumnFormula>
    </tableColumn>
    <tableColumn id="10" xr3:uid="{5E2D15D1-E1FB-400B-8F8A-350F09CDFFED}" name="σ(t-1)2"/>
    <tableColumn id="11" xr3:uid="{69C757F2-234C-4D11-9340-79DBD05AA417}" name="VIX"/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11B6D87C-539F-436E-97DD-C9EB58D8EFF8}" name="Tableau45" displayName="Tableau45" ref="A1:G3818" totalsRowShown="0">
  <autoFilter ref="A1:G3818" xr:uid="{11B6D87C-539F-436E-97DD-C9EB58D8EFF8}"/>
  <tableColumns count="7">
    <tableColumn id="1" xr3:uid="{9A6B0934-44BF-4D20-AAD4-7D78DD9308BE}" name="IBEX Index month"/>
    <tableColumn id="2" xr3:uid="{FEBBF863-2D61-445E-AAEC-9A8477F31919}" name="σ"/>
    <tableColumn id="3" xr3:uid="{F4F9FB8B-9677-4F57-98A0-A334236C9DA1}" name="Yield"/>
    <tableColumn id="4" xr3:uid="{1740C043-6654-46B8-9B6F-2D7ECC42ACC7}" name="VaR IBEX"/>
    <tableColumn id="5" xr3:uid="{9F808B3A-E740-408A-B392-7BD6FB99E5C4}" name="IBEX Index yield"/>
    <tableColumn id="6" xr3:uid="{70082780-2513-4463-A25B-48E00160F46B}" name="VAR ">
      <calculatedColumnFormula>_xlfn.PERCENTILE.EXC(E2:E3817,0.05)</calculatedColumnFormula>
    </tableColumn>
    <tableColumn id="7" xr3:uid="{AF3AAF36-0850-4246-ADD9-C674037DF3BE}" name="ES">
      <calculatedColumnFormula>AVERAGEIFS(E2:E3818,E2:E3818,"&lt;=" &amp; F2)</calculatedColumnFormula>
    </tableColumn>
  </tableColumns>
  <tableStyleInfo name="TableStyleMedium1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7A0CA6A0-FA6E-40CA-A8C8-C530F7E5CD5C}" name="Tableau46" displayName="Tableau46" ref="U2:Y3" totalsRowShown="0" headerRowDxfId="168">
  <autoFilter ref="U2:Y3" xr:uid="{7A0CA6A0-FA6E-40CA-A8C8-C530F7E5CD5C}"/>
  <tableColumns count="5">
    <tableColumn id="1" xr3:uid="{F36A017D-668E-4302-91EC-17529B65ADBB}" name="Corr(EPU, VaR)">
      <calculatedColumnFormula>CORREL(P3:P186,N3:N186)</calculatedColumnFormula>
    </tableColumn>
    <tableColumn id="2" xr3:uid="{EA8A0067-7944-4391-9ED4-6D575ACEE056}" name="Corr(EPU, ES)">
      <calculatedColumnFormula>CORREL(P3:P186,O3:O186)</calculatedColumnFormula>
    </tableColumn>
    <tableColumn id="3" xr3:uid="{7B53DFDC-B5D0-4396-A88E-155664D61271}" name="Corr(VaR, ES)">
      <calculatedColumnFormula>CORREL(N3:N186,O3:O186)</calculatedColumnFormula>
    </tableColumn>
    <tableColumn id="4" xr3:uid="{D1F42F96-47FC-4924-AF5D-9D41438081A0}" name="Corr(EPU, VIX)">
      <calculatedColumnFormula>CORREL(P3:P186,T3:T186)</calculatedColumnFormula>
    </tableColumn>
    <tableColumn id="5" xr3:uid="{2472FD08-A8A9-42C2-B18A-A32894FA7FA8}" name="Corr(EPU, V2X)">
      <calculatedColumnFormula>CORREL(P3:P186,Q3:Q186)</calculatedColumnFormula>
    </tableColumn>
  </tableColumns>
  <tableStyleInfo name="TableStyleMedium1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754C01E-FF65-47C2-80C2-4789539FC080}" name="Tableau47" displayName="Tableau47" ref="J2:T186" totalsRowShown="0" headerRowDxfId="167">
  <autoFilter ref="J2:T186" xr:uid="{D754C01E-FF65-47C2-80C2-4789539FC080}"/>
  <tableColumns count="11">
    <tableColumn id="1" xr3:uid="{A78465EF-18A1-475E-BC0E-2CAD383A8DAF}" name="Dates" dataDxfId="166"/>
    <tableColumn id="2" xr3:uid="{A3468D74-9A47-4DB6-A096-02608C9EF0AE}" name="σ"/>
    <tableColumn id="3" xr3:uid="{6E489DC8-C5C1-4510-B0C2-F51F5B21D631}" name="Yield"/>
    <tableColumn id="4" xr3:uid="{47C259AB-521E-4829-B025-E48CBF2616CC}" name="σ(t-1)">
      <calculatedColumnFormula>K2</calculatedColumnFormula>
    </tableColumn>
    <tableColumn id="5" xr3:uid="{1425FD66-CADF-49DB-A19D-CD50B0216A51}" name="VAR FTSEMIB"/>
    <tableColumn id="6" xr3:uid="{09B4E3E4-556A-40A4-BBF3-161E5F869CE5}" name="ES"/>
    <tableColumn id="7" xr3:uid="{6AD964DB-F327-40C4-BE2C-C7750F179B08}" name="EPU Italie"/>
    <tableColumn id="8" xr3:uid="{2339D005-02A6-4383-A0C5-B4CFC89B341E}" name="V2X"/>
    <tableColumn id="9" xr3:uid="{0D423AED-763E-4883-98CE-848E202CADEE}" name="EPU (t-1)">
      <calculatedColumnFormula>P2</calculatedColumnFormula>
    </tableColumn>
    <tableColumn id="10" xr3:uid="{B678689D-B19D-4113-9E97-8A8636269C2A}" name="σ(t-1)2"/>
    <tableColumn id="11" xr3:uid="{6B975698-B62D-4C1B-9846-618CEE17A796}" name="VIX"/>
  </tableColumns>
  <tableStyleInfo name="TableStyleMedium1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AF79FAA2-0821-43F2-A70C-67F3FA73FE5E}" name="Tableau48" displayName="Tableau48" ref="A1:G3818" totalsRowShown="0">
  <autoFilter ref="A1:G3818" xr:uid="{AF79FAA2-0821-43F2-A70C-67F3FA73FE5E}"/>
  <tableColumns count="7">
    <tableColumn id="1" xr3:uid="{698F49A5-B187-41E3-9673-80A9E038C0F7}" name="FTSEMIB Index month"/>
    <tableColumn id="2" xr3:uid="{092F3FF8-CEBC-4379-90E8-DC1B635EE8B1}" name="σ"/>
    <tableColumn id="3" xr3:uid="{4CA72358-D65C-4A62-B8F6-A83C8B17D791}" name="yield"/>
    <tableColumn id="4" xr3:uid="{03E3D213-8B3B-4A6B-A9E1-BC9FFE81FB0C}" name="VaR FTSEMIB"/>
    <tableColumn id="5" xr3:uid="{3B136C9B-0DC7-40AD-BBAC-69A3A91F536E}" name="Yield FTSEMIB"/>
    <tableColumn id="6" xr3:uid="{97B8897B-72ED-4946-815B-045B19FE2D62}" name="VAR ">
      <calculatedColumnFormula>_xlfn.PERCENTILE.EXC(E2:E3817,0.05)</calculatedColumnFormula>
    </tableColumn>
    <tableColumn id="7" xr3:uid="{CA255BB1-4819-4A15-8D63-B9F9D633B7FA}" name="ES">
      <calculatedColumnFormula>AVERAGEIFS(E2:E3818,E2:E3818,"&lt;=" &amp; F2)</calculatedColumnFormula>
    </tableColumn>
  </tableColumns>
  <tableStyleInfo name="TableStyleMedium1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5AA9CD4-7DE9-48ED-B70D-AA46C9316BB2}" name="Tableau49" displayName="Tableau49" ref="V2:Z3" totalsRowShown="0" headerRowDxfId="165">
  <autoFilter ref="V2:Z3" xr:uid="{15AA9CD4-7DE9-48ED-B70D-AA46C9316BB2}"/>
  <tableColumns count="5">
    <tableColumn id="1" xr3:uid="{34D4D875-F88B-417B-9C1C-47CB382783E5}" name="Corr(EPU, VaR)">
      <calculatedColumnFormula>CORREL(Q3:Q186,N3:N186)</calculatedColumnFormula>
    </tableColumn>
    <tableColumn id="2" xr3:uid="{4F2710BA-D487-4B73-9DE1-09D905FEF6B4}" name="Corr(EPU, ES)">
      <calculatedColumnFormula>CORREL(P3:P186,O3:O186)</calculatedColumnFormula>
    </tableColumn>
    <tableColumn id="3" xr3:uid="{4F93293C-7284-4FEC-BEAD-ABDA817B10EE}" name="Corr(VaR, ES)">
      <calculatedColumnFormula>CORREL(N3:N186,O3:O186)</calculatedColumnFormula>
    </tableColumn>
    <tableColumn id="4" xr3:uid="{9A6593DA-1325-4CD2-95AC-7CFA6F6DE2A4}" name="Corr(EPU, VIX)">
      <calculatedColumnFormula>CORREL(Q3:Q186,U3:U186)</calculatedColumnFormula>
    </tableColumn>
    <tableColumn id="5" xr3:uid="{5D37B843-97F7-4DE7-95A5-1C9D5F6BA920}" name="Corr(EPU, V2X)">
      <calculatedColumnFormula>CORREL(Q3:Q186,R3:R186)</calculatedColumnFormula>
    </tableColumn>
  </tableColumns>
  <tableStyleInfo name="TableStyleMedium1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319AF8B-A571-42EB-9661-72EE99C458B6}" name="Tableau50" displayName="Tableau50" ref="J2:U186" totalsRowShown="0" headerRowDxfId="164">
  <autoFilter ref="J2:U186" xr:uid="{B319AF8B-A571-42EB-9661-72EE99C458B6}"/>
  <tableColumns count="12">
    <tableColumn id="1" xr3:uid="{078F80F2-DD54-4739-AAC0-642E08BF4B3C}" name="Dates" dataDxfId="163"/>
    <tableColumn id="2" xr3:uid="{69A25FE6-5F16-4FF7-86BE-48638E706405}" name="σ"/>
    <tableColumn id="3" xr3:uid="{6443FFF3-7587-49F2-A0C7-C50EE1AF29E0}" name="Yield"/>
    <tableColumn id="4" xr3:uid="{1CAE4B55-861C-43B5-9120-DD988093835F}" name="σ(t-1)">
      <calculatedColumnFormula>K2</calculatedColumnFormula>
    </tableColumn>
    <tableColumn id="5" xr3:uid="{F91CF827-51AF-4C7E-90FC-46F971966230}" name="VAR"/>
    <tableColumn id="6" xr3:uid="{B9BE3253-AFA1-4D0E-9DEF-F9A8C7CCB32D}" name="ES"/>
    <tableColumn id="7" xr3:uid="{337790B9-089E-44C8-A98F-9546BB1DCC2A}" name="EPU european"/>
    <tableColumn id="8" xr3:uid="{4FD3A4C1-1651-48C1-91B3-E5734CBA67F0}" name="EPU european computing">
      <calculatedColumnFormula>AI3*0.44699+AJ3*0.3494+AK3*0.10843+AL3*0.09639</calculatedColumnFormula>
    </tableColumn>
    <tableColumn id="9" xr3:uid="{97FA74CA-4089-4D33-86B9-18EB0F573D67}" name="V2X"/>
    <tableColumn id="10" xr3:uid="{6D8ABC65-FA10-435F-80B3-32323FDA914C}" name="EPU  (t-1)">
      <calculatedColumnFormula>P2</calculatedColumnFormula>
    </tableColumn>
    <tableColumn id="11" xr3:uid="{8683465B-7537-456A-BDA1-966E003AE3D8}" name="σ(t-1)2"/>
    <tableColumn id="12" xr3:uid="{11BBD265-579C-48E4-8AC3-5C71AD13B020}" name="VIX"/>
  </tableColumns>
  <tableStyleInfo name="TableStyleMedium1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B418A977-900E-485D-A754-F6B9BFDAF7BC}" name="Tableau51" displayName="Tableau51" ref="A1:G3818" totalsRowShown="0">
  <autoFilter ref="A1:G3818" xr:uid="{B418A977-900E-485D-A754-F6B9BFDAF7BC}"/>
  <tableColumns count="7">
    <tableColumn id="1" xr3:uid="{DED55627-ABAC-44C3-8C9C-380CFC249F99}" name="SX5E Index month"/>
    <tableColumn id="2" xr3:uid="{2CA9E240-B8FC-4F68-A4A1-C0899AFFCAE0}" name="σ"/>
    <tableColumn id="3" xr3:uid="{DEF6F88E-07D1-487E-84DA-137068B2C27C}" name="Yield"/>
    <tableColumn id="4" xr3:uid="{F120DB1E-3EEF-4B57-8EBD-CD37D65E6B47}" name="VaR SXSE"/>
    <tableColumn id="5" xr3:uid="{46F2247A-82D0-4235-8596-E567B4CA8B74}" name="SX5E Index yield"/>
    <tableColumn id="6" xr3:uid="{EBE7D33F-5068-412F-A5BD-6DD70A53C73A}" name="VAR ">
      <calculatedColumnFormula>_xlfn.PERCENTILE.EXC(E2:E3817,0.05)</calculatedColumnFormula>
    </tableColumn>
    <tableColumn id="7" xr3:uid="{8700E44D-EDD2-44BE-A852-AE4042B14E90}" name="ES">
      <calculatedColumnFormula>AVERAGEIFS(E2:E3818,E2:E3818,"&lt;=" &amp; F2)</calculatedColumnFormula>
    </tableColumn>
  </tableColumns>
  <tableStyleInfo name="TableStyleMedium1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B1A6F8-1712-4D4D-89F5-5151A50D151C}" name="Tableau2" displayName="Tableau2" ref="A1:G3818" totalsRowShown="0">
  <autoFilter ref="A1:G3818" xr:uid="{72B1A6F8-1712-4D4D-89F5-5151A50D151C}"/>
  <tableColumns count="7">
    <tableColumn id="1" xr3:uid="{6DFFC2A3-F1C2-4D08-8A9A-6531A368E790}" name="month UKX Index "/>
    <tableColumn id="2" xr3:uid="{04F6AF98-F486-4283-8D4F-67BBE6C3466A}" name="σ"/>
    <tableColumn id="3" xr3:uid="{A99F8625-C88C-4929-B24C-155BAD81F44D}" name="Yield"/>
    <tableColumn id="4" xr3:uid="{782ECF1F-EFE3-4009-89B2-86E175B48320}" name="VaR UKX"/>
    <tableColumn id="5" xr3:uid="{42A2B388-265E-4308-8BFA-6B99C129C74A}" name="UKX Index yield"/>
    <tableColumn id="6" xr3:uid="{4B2065F3-C28A-47B0-A99F-E7B9A799BF33}" name="VAR ">
      <calculatedColumnFormula>_xlfn.PERCENTILE.EXC(E2:E3817,0.05)</calculatedColumnFormula>
    </tableColumn>
    <tableColumn id="7" xr3:uid="{953CC70C-F576-4915-B3B5-7C227DF18296}" name="ES">
      <calculatedColumnFormula>AVERAGEIFS(E2:E3818,E2:E3818,"&lt;=" &amp; F2)</calculatedColumnFormula>
    </tableColumn>
  </tableColumns>
  <tableStyleInfo name="TableStyleMedium1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39EAC60-1DAF-4902-8BAF-36FDAF7B1E5C}" name="Tableau16" displayName="Tableau16" ref="J2:T186" totalsRowShown="0" headerRowDxfId="162">
  <autoFilter ref="J2:T186" xr:uid="{339EAC60-1DAF-4902-8BAF-36FDAF7B1E5C}"/>
  <tableColumns count="11">
    <tableColumn id="1" xr3:uid="{A751F3B4-4943-4860-B071-15C8A56DAD03}" name="Dates" dataDxfId="161"/>
    <tableColumn id="2" xr3:uid="{4A5AB748-7F97-4EC4-8BC0-4C9236A8F743}" name="σ"/>
    <tableColumn id="3" xr3:uid="{BB546497-8964-4696-9390-BF524D964384}" name="Yield"/>
    <tableColumn id="4" xr3:uid="{70499AA0-BB82-4A67-B60C-1EFA5FBDCEAA}" name="σ(t-1)">
      <calculatedColumnFormula>K2</calculatedColumnFormula>
    </tableColumn>
    <tableColumn id="5" xr3:uid="{C7068E85-5819-4837-B1A3-C61FC80EE910}" name="VAR"/>
    <tableColumn id="6" xr3:uid="{3CC5E103-1DBB-47D5-BD24-F35B807E282E}" name="ES"/>
    <tableColumn id="7" xr3:uid="{51780F29-5F22-40D6-9946-8EE3EB7C5CBB}" name="EPU"/>
    <tableColumn id="8" xr3:uid="{3D56AB55-31C7-4AF9-9DB5-186F3632AE6D}" name="V2X"/>
    <tableColumn id="9" xr3:uid="{ADB17694-72ED-4CAB-825A-2140BB23B5D5}" name="EPU (t-1)">
      <calculatedColumnFormula>P2</calculatedColumnFormula>
    </tableColumn>
    <tableColumn id="10" xr3:uid="{3B844227-B820-4B1B-A1D9-4BDE2AE32F02}" name="σ(t-1)2"/>
    <tableColumn id="11" xr3:uid="{D4A23DFC-DE57-48F1-B318-6CCA4D8BA17B}" name="VIX"/>
  </tableColumns>
  <tableStyleInfo name="TableStyleMedium1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547D7E7-C2C3-4120-AC1C-99AA35965D8A}" name="Tableau20" displayName="Tableau20" ref="U2:Y3" totalsRowShown="0" headerRowDxfId="160">
  <autoFilter ref="U2:Y3" xr:uid="{B547D7E7-C2C3-4120-AC1C-99AA35965D8A}"/>
  <tableColumns count="5">
    <tableColumn id="1" xr3:uid="{859A4C96-4805-472F-AD28-EEAE7235A0B1}" name="Corr(EPU, VaR)">
      <calculatedColumnFormula>CORREL(P3:P186,N3:N186)</calculatedColumnFormula>
    </tableColumn>
    <tableColumn id="2" xr3:uid="{18DC21C9-1975-4AD9-BF9D-4F030D2E22C0}" name="Corr(EPU, ES)">
      <calculatedColumnFormula>CORREL(P3:P186,O3:O186)</calculatedColumnFormula>
    </tableColumn>
    <tableColumn id="3" xr3:uid="{4AF916A6-B3E8-4902-A16E-AA3323D638B3}" name="Corr(VaR, ES)">
      <calculatedColumnFormula>CORREL(N3:N186,O3:O186)</calculatedColumnFormula>
    </tableColumn>
    <tableColumn id="4" xr3:uid="{F2C6250B-850E-4C0C-A492-C43CE437B7BE}" name="Corr(EPU, VIX)">
      <calculatedColumnFormula>CORREL(P3:P186,T3:T186)</calculatedColumnFormula>
    </tableColumn>
    <tableColumn id="5" xr3:uid="{1EAB363B-4178-40EE-A06B-6684634883DA}" name="Corr(EPU, V2X)">
      <calculatedColumnFormula>CORREL(P3:P186,Q3:Q186)</calculatedColumnFormula>
    </tableColumn>
  </tableColumns>
  <tableStyleInfo name="TableStyleMedium1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054299-A6B0-43C3-AE88-07A9BE10D1A6}" name="Tableau3" displayName="Tableau3" ref="A1:G6" totalsRowShown="0" headerRowDxfId="159" dataDxfId="158">
  <autoFilter ref="A1:G6" xr:uid="{48054299-A6B0-43C3-AE88-07A9BE10D1A6}"/>
  <tableColumns count="7">
    <tableColumn id="1" xr3:uid="{3BD46C02-A236-4A5C-8398-4BFA71E39B6A}" name="Corrélation" dataDxfId="157"/>
    <tableColumn id="2" xr3:uid="{BD9587E9-C0CF-485E-8143-C0FF7B0FE599}" name="CAC 40" dataDxfId="156"/>
    <tableColumn id="3" xr3:uid="{C95A1C41-F953-46E4-A4B6-A719062502AF}" name="DAX" dataDxfId="155"/>
    <tableColumn id="4" xr3:uid="{F0356204-ABF3-48C7-AA03-00A2960840E3}" name="FTSE MIB" dataDxfId="154"/>
    <tableColumn id="5" xr3:uid="{5F1A0C42-311B-40AD-BA01-6F6F68927907}" name="IBEX 35" dataDxfId="153"/>
    <tableColumn id="6" xr3:uid="{27ACD933-D7E4-4089-AF4B-F9BB98232FB2}" name="FTSE100" dataDxfId="152"/>
    <tableColumn id="7" xr3:uid="{02418F7C-D178-487D-BB0D-8DACF76C5346}" name="Euro Stoxx" dataDxfId="151"/>
  </tableColumns>
  <tableStyleInfo name="TableStyleMedium1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B555F7-DC23-4A8D-B85C-C35AE223875A}" name="Tableau4" displayName="Tableau4" ref="A9:E11" totalsRowShown="0" headerRowDxfId="150">
  <autoFilter ref="A9:E11" xr:uid="{84B555F7-DC23-4A8D-B85C-C35AE223875A}"/>
  <tableColumns count="5">
    <tableColumn id="1" xr3:uid="{424F7FE8-AF69-4D91-8843-407345F5F43D}" name="Simple regression CAC 40"/>
    <tableColumn id="2" xr3:uid="{A716E9D9-FB02-4095-860F-74E4E6916094}" name="Coeff. β">
      <calculatedColumnFormula>'CAC France'!W69</calculatedColumnFormula>
    </tableColumn>
    <tableColumn id="3" xr3:uid="{A872C488-48E4-4C8B-809A-C79A6B0ABDE5}" name="t-Stat">
      <calculatedColumnFormula>'CAC France'!Y69</calculatedColumnFormula>
    </tableColumn>
    <tableColumn id="4" xr3:uid="{5C6D8A34-989C-48A7-B9C9-10203CA7A6C1}" name="_x0009_p-Value">
      <calculatedColumnFormula>'CAC France'!Z69</calculatedColumnFormula>
    </tableColumn>
    <tableColumn id="5" xr3:uid="{99976888-526C-4E92-AEFA-E3FB105D42C2}" name="_x0009_R²">
      <calculatedColumnFormula>'CAC France'!W56</calculatedColumnFormula>
    </tableColumn>
  </tableColumns>
  <tableStyleInfo name="TableStyleMedium1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F74112-3C08-4574-AFBE-A732CCB2112B}" name="Tableau5" displayName="Tableau5" ref="A13:E15" totalsRowShown="0" headerRowDxfId="149">
  <autoFilter ref="A13:E15" xr:uid="{46F74112-3C08-4574-AFBE-A732CCB2112B}"/>
  <tableColumns count="5">
    <tableColumn id="1" xr3:uid="{71D657A2-7460-480D-A9E2-679F643A0216}" name="Simple regression DAX"/>
    <tableColumn id="2" xr3:uid="{94D6B3E0-2C79-44BD-8387-8E6A6094135B}" name="Coeff. β">
      <calculatedColumnFormula>'DAX Germany'!W66</calculatedColumnFormula>
    </tableColumn>
    <tableColumn id="3" xr3:uid="{725F4007-C7D8-4B74-8AB7-F63A5F8CBF27}" name="t-Stat">
      <calculatedColumnFormula>'DAX Germany'!Y66</calculatedColumnFormula>
    </tableColumn>
    <tableColumn id="4" xr3:uid="{FE516D2F-6E65-476E-AA89-1F43A855C5C6}" name="_x0009_p-Value">
      <calculatedColumnFormula>'DAX Germany'!Z66</calculatedColumnFormula>
    </tableColumn>
    <tableColumn id="5" xr3:uid="{D2EE26D8-FCD2-4EE7-9D67-53F39A9DC3E9}" name="_x0009_R²">
      <calculatedColumnFormula>'DAX Germany'!W53</calculatedColumnFormula>
    </tableColumn>
  </tableColumns>
  <tableStyleInfo name="TableStyleMedium1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C13344E-5A12-4BF6-A5DD-E40459827A6B}" name="Tableau6" displayName="Tableau6" ref="A17:E19" totalsRowShown="0" headerRowDxfId="148">
  <autoFilter ref="A17:E19" xr:uid="{DC13344E-5A12-4BF6-A5DD-E40459827A6B}"/>
  <tableColumns count="5">
    <tableColumn id="1" xr3:uid="{B9A8356C-471A-4D16-86CC-6D334C3EEBCD}" name="Simple regression IBEX"/>
    <tableColumn id="2" xr3:uid="{A65269CB-EE7F-42E9-B3C5-6F58F3AEA484}" name="Coeff. β">
      <calculatedColumnFormula>'IBEX Spain'!W66</calculatedColumnFormula>
    </tableColumn>
    <tableColumn id="3" xr3:uid="{80CE41FB-C0A1-402E-B1E1-AD03676BE8F0}" name="t-Stat">
      <calculatedColumnFormula>'IBEX Spain'!Y66</calculatedColumnFormula>
    </tableColumn>
    <tableColumn id="4" xr3:uid="{86E1C9CF-FDF5-4F7C-8169-5EC747703C07}" name="_x0009_p-Value">
      <calculatedColumnFormula>'IBEX Spain'!Z66</calculatedColumnFormula>
    </tableColumn>
    <tableColumn id="5" xr3:uid="{192F6EEB-D105-4C3E-B9F6-BDA7EA93FF2A}" name="_x0009_R²">
      <calculatedColumnFormula>'IBEX Spain'!W53</calculatedColumnFormula>
    </tableColumn>
  </tableColumns>
  <tableStyleInfo name="TableStyleMedium1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C52F8E-9BBC-41F5-8282-A7C57E73F1A3}" name="Tableau7" displayName="Tableau7" ref="A21:E23" totalsRowShown="0" headerRowDxfId="147">
  <autoFilter ref="A21:E23" xr:uid="{22C52F8E-9BBC-41F5-8282-A7C57E73F1A3}"/>
  <tableColumns count="5">
    <tableColumn id="1" xr3:uid="{9B059B96-C61D-4978-AEEA-7BB29227C663}" name="Simple regression FTSEMIB"/>
    <tableColumn id="2" xr3:uid="{7F434435-9B5B-4A09-818F-5F85720A5CC6}" name="Coeff. β">
      <calculatedColumnFormula>'FTSEMIB Italy '!W66</calculatedColumnFormula>
    </tableColumn>
    <tableColumn id="3" xr3:uid="{F0FA3FE3-91AD-41AE-9A1C-29D2EF959CF9}" name="t-Stat">
      <calculatedColumnFormula>'FTSEMIB Italy '!Y66</calculatedColumnFormula>
    </tableColumn>
    <tableColumn id="4" xr3:uid="{ADB104F7-3654-48F9-B7F1-DE7D12C94FE9}" name="_x0009_p-Value">
      <calculatedColumnFormula>'FTSEMIB Italy '!Z66</calculatedColumnFormula>
    </tableColumn>
    <tableColumn id="5" xr3:uid="{2AB756D1-7DF8-4949-9D37-AB2179F80591}" name="_x0009_R²">
      <calculatedColumnFormula>'FTSEMIB Italy '!W53</calculatedColumnFormula>
    </tableColumn>
  </tableColumns>
  <tableStyleInfo name="TableStyleMedium1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F99A15F-4B4A-4F0E-AB04-6D734E5F17F3}" name="Tableau8" displayName="Tableau8" ref="A25:E27" totalsRowShown="0" headerRowDxfId="146">
  <autoFilter ref="A25:E27" xr:uid="{CF99A15F-4B4A-4F0E-AB04-6D734E5F17F3}"/>
  <tableColumns count="5">
    <tableColumn id="1" xr3:uid="{6B7ED463-E16F-4AAB-BBDE-D6F77BA0EDAE}" name="Simple regression Euro Stoxx"/>
    <tableColumn id="2" xr3:uid="{B88CAAB4-D2DE-4D95-822C-A19333A9B803}" name="Coeff. β">
      <calculatedColumnFormula>'SXSE eurostoxx'!X65</calculatedColumnFormula>
    </tableColumn>
    <tableColumn id="3" xr3:uid="{256396E6-B36A-45AD-BADF-E78E49170718}" name="t-Stat">
      <calculatedColumnFormula>'SXSE eurostoxx'!Z65</calculatedColumnFormula>
    </tableColumn>
    <tableColumn id="4" xr3:uid="{A01E1EDA-7DCA-4699-ADFC-B3903C2D1666}" name="_x0009_p-Value">
      <calculatedColumnFormula>'SXSE eurostoxx'!AA65</calculatedColumnFormula>
    </tableColumn>
    <tableColumn id="5" xr3:uid="{0D0415F2-8DC1-49ED-9044-C89ECFFF8F4F}" name="_x0009_R²">
      <calculatedColumnFormula>'SXSE eurostoxx'!X52</calculatedColumnFormula>
    </tableColumn>
  </tableColumns>
  <tableStyleInfo name="TableStyleMedium1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3A3560C-A0A2-4113-B5E6-E8076AC3F869}" name="Tableau9" displayName="Tableau9" ref="A29:E31" totalsRowShown="0" headerRowDxfId="145">
  <autoFilter ref="A29:E31" xr:uid="{E3A3560C-A0A2-4113-B5E6-E8076AC3F869}"/>
  <tableColumns count="5">
    <tableColumn id="1" xr3:uid="{E7CEEFB4-5989-4E8E-A24A-6806807A147E}" name="Simple regression FTSE"/>
    <tableColumn id="2" xr3:uid="{8C0F7489-A7FE-4605-814F-42F6B9AA9ABD}" name="Coeff. β">
      <calculatedColumnFormula>'UKX UK'!W66</calculatedColumnFormula>
    </tableColumn>
    <tableColumn id="3" xr3:uid="{30873974-B103-4B95-A7D3-19249DBC3B4E}" name="t-Stat">
      <calculatedColumnFormula>'UKX UK'!Y66</calculatedColumnFormula>
    </tableColumn>
    <tableColumn id="4" xr3:uid="{86EF6A47-A9A5-40FA-AA41-C2721A4904FF}" name="_x0009_p-Value">
      <calculatedColumnFormula>'UKX UK'!Z66</calculatedColumnFormula>
    </tableColumn>
    <tableColumn id="5" xr3:uid="{B34243B8-5F47-439C-9951-46158B3D82C4}" name="_x0009_R²">
      <calculatedColumnFormula>'UKX UK'!W53</calculatedColumnFormula>
    </tableColumn>
  </tableColumns>
  <tableStyleInfo name="TableStyleMedium1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705C70B-AA41-44B9-812C-02C93C2127E2}" name="Tableau411" displayName="Tableau411" ref="A34:E36" totalsRowShown="0" headerRowDxfId="144">
  <autoFilter ref="A34:E36" xr:uid="{7705C70B-AA41-44B9-812C-02C93C2127E2}"/>
  <tableColumns count="5">
    <tableColumn id="1" xr3:uid="{D84D28A9-C542-4B4C-BFC6-5E26798B78B8}" name="Delayed regression CAC 40"/>
    <tableColumn id="2" xr3:uid="{6880A74A-F55D-4B40-A915-3EE69CA7A6CA}" name="Coeff. β" dataDxfId="143"/>
    <tableColumn id="3" xr3:uid="{97F9FFE0-6100-4EB8-9F54-A7DDE8A8AEBC}" name="t-Stat"/>
    <tableColumn id="4" xr3:uid="{3BD839D6-780B-482F-A843-44EBA3C838D9}" name="_x0009_p-Value"/>
    <tableColumn id="5" xr3:uid="{40EEE1E4-F9DA-4CAB-9322-38C621339E62}" name="_x0009_R²"/>
  </tableColumns>
  <tableStyleInfo name="TableStyleMedium1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49BE75-B7EB-465F-BA00-3B057C4B54BC}" name="Tableau512" displayName="Tableau512" ref="A38:E40" totalsRowShown="0" headerRowDxfId="142">
  <autoFilter ref="A38:E40" xr:uid="{3E49BE75-B7EB-465F-BA00-3B057C4B54BC}"/>
  <tableColumns count="5">
    <tableColumn id="1" xr3:uid="{E1D489BB-96FD-496B-AEA5-D42A61AC7918}" name="Delayed regression DAX"/>
    <tableColumn id="2" xr3:uid="{82D18E9F-5487-4A5A-8DFA-67D0751035F1}" name="Coeff. β"/>
    <tableColumn id="3" xr3:uid="{C0A9F485-379B-44B5-90D6-CEC37339F0FF}" name="t-Stat"/>
    <tableColumn id="4" xr3:uid="{70755F35-3430-4318-A34B-52D9C8196712}" name="_x0009_p-Value"/>
    <tableColumn id="5" xr3:uid="{4DF217CA-3A9B-4E06-9F94-C2D0DA9AD7A0}" name="_x0009_R²"/>
  </tableColumns>
  <tableStyleInfo name="TableStyleMedium1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BDA7960-37BC-4FD0-B54A-B544A7E0AB3A}" name="Tableau613" displayName="Tableau613" ref="A42:E44" totalsRowShown="0" headerRowDxfId="141">
  <autoFilter ref="A42:E44" xr:uid="{6BDA7960-37BC-4FD0-B54A-B544A7E0AB3A}"/>
  <tableColumns count="5">
    <tableColumn id="1" xr3:uid="{F19EB9B5-94F1-4F18-A0A4-DF870B29A159}" name="Delayed regression IBEX"/>
    <tableColumn id="2" xr3:uid="{314C6C54-1AFD-473A-8253-D4A46DF73C29}" name="Coeff. β"/>
    <tableColumn id="3" xr3:uid="{94F4A888-3046-47A5-83B7-B838039C6FEC}" name="t-Stat"/>
    <tableColumn id="4" xr3:uid="{96C39AAC-12A2-47D5-8CDC-8A313D6E3457}" name="_x0009_p-Value"/>
    <tableColumn id="5" xr3:uid="{7B1396C7-B0E2-4775-9DD2-48B78B5C3147}" name="_x0009_R²"/>
  </tableColumns>
  <tableStyleInfo name="TableStyleMedium1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383456-C3F1-47E2-B9D9-84BE8C4591A0}" name="Tableau714" displayName="Tableau714" ref="A46:E48" totalsRowShown="0" headerRowDxfId="140">
  <autoFilter ref="A46:E48" xr:uid="{EE383456-C3F1-47E2-B9D9-84BE8C4591A0}"/>
  <tableColumns count="5">
    <tableColumn id="1" xr3:uid="{07627CB4-B10C-4556-A5A9-4DE5F6418921}" name="Delayed regression FTSEMIB"/>
    <tableColumn id="2" xr3:uid="{8AB2C9DF-71E8-4B11-80D8-CDB31AE725A4}" name="Coeff. β"/>
    <tableColumn id="3" xr3:uid="{A6A34C49-4D5D-42F9-973C-576EE63DB978}" name="t-Stat"/>
    <tableColumn id="4" xr3:uid="{A52698EC-E854-4F1B-9ADC-55FBE30471B1}" name="_x0009_p-Value"/>
    <tableColumn id="5" xr3:uid="{B247227F-285F-4EB1-B385-957501CB15CF}" name="_x0009_R²"/>
  </tableColumns>
  <tableStyleInfo name="TableStyleMedium1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82E6A55-A4F1-4A50-8EFB-E72AAE3AF749}" name="Tableau815" displayName="Tableau815" ref="A50:E52" totalsRowShown="0" headerRowDxfId="139">
  <autoFilter ref="A50:E52" xr:uid="{A82E6A55-A4F1-4A50-8EFB-E72AAE3AF749}"/>
  <tableColumns count="5">
    <tableColumn id="1" xr3:uid="{D39EAB70-7954-4C86-A359-A7A6A687D6BA}" name="Delayed regression Euro Stoxx"/>
    <tableColumn id="2" xr3:uid="{7267B703-1A7F-4D98-AD95-CA02E28F440D}" name="Coeff. β"/>
    <tableColumn id="3" xr3:uid="{3E55226E-D18F-477C-ABE4-6C9EDE2A580F}" name="t-Stat"/>
    <tableColumn id="4" xr3:uid="{623E1254-1EE5-457A-B900-9C89153D12BC}" name="_x0009_p-Value"/>
    <tableColumn id="5" xr3:uid="{0708E343-FEC1-42BE-9370-1470CE438BA4}" name="_x0009_R²"/>
  </tableColumns>
  <tableStyleInfo name="TableStyleMedium1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39A2DE5-3CAE-4C3F-A755-510BBCF55526}" name="Tableau916" displayName="Tableau916" ref="A54:E56" totalsRowShown="0" headerRowDxfId="138">
  <autoFilter ref="A54:E56" xr:uid="{C39A2DE5-3CAE-4C3F-A755-510BBCF55526}"/>
  <tableColumns count="5">
    <tableColumn id="1" xr3:uid="{D0A99F71-B4E8-43EF-9DEA-78EBF1E3EF6D}" name="Delayed regression FTSE"/>
    <tableColumn id="2" xr3:uid="{845D9ABD-EADA-4425-8C88-EA8818D2F097}" name="Coeff. β" dataDxfId="137">
      <calculatedColumnFormula>'UKX UK'!W177</calculatedColumnFormula>
    </tableColumn>
    <tableColumn id="3" xr3:uid="{CC910E7F-4EBA-42BD-9D9D-C9AE59F193E7}" name="t-Stat" dataDxfId="136"/>
    <tableColumn id="4" xr3:uid="{563A6109-5892-40E4-AD18-3768CDA794A3}" name="_x0009_p-Value" dataDxfId="135"/>
    <tableColumn id="5" xr3:uid="{A825E20F-11F6-4D88-916F-5E91D81D5235}" name="_x0009_R²" dataDxfId="134"/>
  </tableColumns>
  <tableStyleInfo name="TableStyleMedium1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F58D7E47-97A5-46EA-A911-EA5432FA85C8}" name="Tableau33" displayName="Tableau33" ref="A58:E62" totalsRowShown="0" headerRowDxfId="133" dataDxfId="132">
  <autoFilter ref="A58:E62" xr:uid="{F58D7E47-97A5-46EA-A911-EA5432FA85C8}"/>
  <tableColumns count="5">
    <tableColumn id="1" xr3:uid="{9EF45CD4-DE5E-4B1F-8ABD-0F6B91A33DE6}" name="Variable VaR CAC 40" dataDxfId="131"/>
    <tableColumn id="2" xr3:uid="{A280C8C8-C85D-4168-A4F8-68ED00ECCE4B}" name="Coeff. β" dataDxfId="130"/>
    <tableColumn id="3" xr3:uid="{47F6C707-1001-4DD1-830D-1F121F047EA9}" name="t-Stat" dataDxfId="129"/>
    <tableColumn id="4" xr3:uid="{04BB8579-B89C-44A1-A348-37105B180C9F}" name="_x0009_p-Value" dataDxfId="128"/>
    <tableColumn id="5" xr3:uid="{9793AE84-35E8-41D6-8E36-61522715BCCA}" name="Significatif à 5%" dataDxfId="127"/>
  </tableColumns>
  <tableStyleInfo name="TableStyleMedium1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CE98F4D8-6933-4910-B1A5-62225BAD987B}" name="Tableau3335" displayName="Tableau3335" ref="A64:E68" totalsRowShown="0" headerRowDxfId="126" dataDxfId="125">
  <autoFilter ref="A64:E68" xr:uid="{CE98F4D8-6933-4910-B1A5-62225BAD987B}"/>
  <tableColumns count="5">
    <tableColumn id="1" xr3:uid="{DEFEC539-C6C5-4D76-975D-0FE4A3A215C5}" name="Variable VaR DAX" dataDxfId="124"/>
    <tableColumn id="2" xr3:uid="{6614CCFC-643C-4915-BCEF-79CDB67F97B1}" name="Coeff. β" dataDxfId="123"/>
    <tableColumn id="3" xr3:uid="{46E820A4-8548-49B6-A5B4-7FC623A10E2B}" name="t-Stat" dataDxfId="122"/>
    <tableColumn id="4" xr3:uid="{8889682F-A222-43F3-B101-32240A3622F2}" name="_x0009_p-Value" dataDxfId="121"/>
    <tableColumn id="5" xr3:uid="{B7847597-32AA-4087-838E-A1470805B170}" name="Significatif à 5%" dataDxfId="120"/>
  </tableColumns>
  <tableStyleInfo name="TableStyleMedium1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9ADFB26A-09B8-435B-8D22-D0435856F96D}" name="Tableau333536" displayName="Tableau333536" ref="A70:E74" totalsRowShown="0" headerRowDxfId="119" dataDxfId="118">
  <autoFilter ref="A70:E74" xr:uid="{9ADFB26A-09B8-435B-8D22-D0435856F96D}"/>
  <tableColumns count="5">
    <tableColumn id="1" xr3:uid="{B9D3113B-BAA3-43C2-982C-139D474263BC}" name="Variable VaR IBEX" dataDxfId="117"/>
    <tableColumn id="2" xr3:uid="{27E9BC4A-5EA0-4CB2-8C3F-AEE817FC2AFA}" name="Coeff. β" dataDxfId="116"/>
    <tableColumn id="3" xr3:uid="{762D9593-9B2B-41E3-8297-5C5CE8E642D9}" name="t-Stat" dataDxfId="115"/>
    <tableColumn id="4" xr3:uid="{C6644E07-8B0D-4766-9C63-B79774A6EDBA}" name="_x0009_p-Value" dataDxfId="114"/>
    <tableColumn id="5" xr3:uid="{7F7B5AFB-701D-49F5-A610-6DFEEAE14383}" name="Significatif à 5%" dataDxfId="113"/>
  </tableColumns>
  <tableStyleInfo name="TableStyleMedium1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5857573-7F1C-4521-A470-2CF441882A9F}" name="Tableau33353622" displayName="Tableau33353622" ref="A76:E80" totalsRowShown="0" headerRowDxfId="112" dataDxfId="111">
  <autoFilter ref="A76:E80" xr:uid="{B5857573-7F1C-4521-A470-2CF441882A9F}"/>
  <tableColumns count="5">
    <tableColumn id="1" xr3:uid="{52E2F6A1-6BF6-42AC-A0CA-059067A1D9B0}" name="Variable VaR FTSEMIB" dataDxfId="110"/>
    <tableColumn id="2" xr3:uid="{F6E0EA57-D6BF-4E9C-8EC6-8B9DEFE751B9}" name="Coeff. β" dataDxfId="109"/>
    <tableColumn id="3" xr3:uid="{78B7756F-25A7-45AF-9623-0BF2DB5E816B}" name="t-Stat" dataDxfId="108"/>
    <tableColumn id="4" xr3:uid="{AFE29330-3FB7-474A-BB60-EC5EC75BDC6C}" name="_x0009_p-Value" dataDxfId="107"/>
    <tableColumn id="5" xr3:uid="{FE32334A-EAEC-483C-8308-3008BE2EEABD}" name="Significatif à 5%" dataDxfId="106"/>
  </tableColumns>
  <tableStyleInfo name="TableStyleMedium1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4E6E19D-1640-460C-875C-A0DD6F1D64FC}" name="Tableau3335362223" displayName="Tableau3335362223" ref="A82:E86" totalsRowShown="0" headerRowDxfId="105" dataDxfId="104">
  <autoFilter ref="A82:E86" xr:uid="{24E6E19D-1640-460C-875C-A0DD6F1D64FC}"/>
  <tableColumns count="5">
    <tableColumn id="1" xr3:uid="{0DB1FA34-15C7-42FB-B061-A01358FCE2A4}" name="Variable VaR EuroStoxx" dataDxfId="103"/>
    <tableColumn id="2" xr3:uid="{614955EE-326B-4D1E-BB20-E1B8CC9A4577}" name="Coeff. β" dataDxfId="102"/>
    <tableColumn id="3" xr3:uid="{79FE9E19-CE05-4B05-9095-4099C36ECEFA}" name="t-Stat" dataDxfId="101"/>
    <tableColumn id="4" xr3:uid="{DF7E2356-48B7-4DDC-9EB3-BDD4837658A0}" name="_x0009_p-Value" dataDxfId="100"/>
    <tableColumn id="5" xr3:uid="{C37E8EB1-6AD0-4B8C-8B8B-7ED4FB2D4553}" name="Significatif à 5%" dataDxfId="99"/>
  </tableColumns>
  <tableStyleInfo name="TableStyleMedium1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E92E5F0-F04F-48F4-8AD6-336B442716CE}" name="Tableau333536222324" displayName="Tableau333536222324" ref="A88:E92" totalsRowShown="0" headerRowDxfId="98" dataDxfId="97">
  <autoFilter ref="A88:E92" xr:uid="{CE92E5F0-F04F-48F4-8AD6-336B442716CE}"/>
  <tableColumns count="5">
    <tableColumn id="1" xr3:uid="{DE517EF2-F7F6-4311-8A15-69AC25561A8F}" name="Variable VaR FTSE" dataDxfId="96"/>
    <tableColumn id="2" xr3:uid="{7CEBF995-6023-4901-89C8-09FA64FEE981}" name="Coeff. β" dataDxfId="95"/>
    <tableColumn id="3" xr3:uid="{4F06FAE1-3DB3-46F0-AD55-6E5F5A1FFDC5}" name="t-Stat" dataDxfId="94"/>
    <tableColumn id="4" xr3:uid="{3DDA04FF-6C1C-4E7C-A3A2-2002ED88DFEC}" name="_x0009_p-Value" dataDxfId="93"/>
    <tableColumn id="5" xr3:uid="{3E66C3F9-A8F9-4889-8698-7A327A47ADE7}" name="Significatif à 5%" dataDxfId="92"/>
  </tableColumns>
  <tableStyleInfo name="TableStyleMedium1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E7DCC41-6EAF-4701-8736-A3A6FB50369B}" name="Tableau3325" displayName="Tableau3325" ref="A96:E100" totalsRowShown="0" headerRowDxfId="91" dataDxfId="90">
  <autoFilter ref="A96:E100" xr:uid="{DE7DCC41-6EAF-4701-8736-A3A6FB50369B}"/>
  <tableColumns count="5">
    <tableColumn id="1" xr3:uid="{2AD3E345-2CC9-4885-A534-0C2B675CCA2D}" name="Variable ES CAC 40" dataDxfId="89"/>
    <tableColumn id="2" xr3:uid="{F1B52FBB-F6C9-4441-AB50-5F19C843CB72}" name="Coeff. β" dataDxfId="88"/>
    <tableColumn id="3" xr3:uid="{D57289F6-BEDE-4896-A244-95F18A8CFD8C}" name="t-Stat" dataDxfId="87"/>
    <tableColumn id="4" xr3:uid="{EC678546-188E-454C-B09B-D71C14668600}" name="_x0009_p-Value" dataDxfId="86"/>
    <tableColumn id="5" xr3:uid="{59C22786-07B0-4D97-8010-B3CEDA8E13AC}" name="Significatif à 5%" dataDxfId="85"/>
  </tableColumns>
  <tableStyleInfo name="TableStyleMedium1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1A09AD6-1F36-4C39-9479-E5A59D711A7D}" name="Tableau333526" displayName="Tableau333526" ref="A102:E106" totalsRowShown="0" headerRowDxfId="84" dataDxfId="83">
  <autoFilter ref="A102:E106" xr:uid="{21A09AD6-1F36-4C39-9479-E5A59D711A7D}"/>
  <tableColumns count="5">
    <tableColumn id="1" xr3:uid="{2E9A87BD-9F1F-4D43-9F20-91229B455B36}" name="Variable ES DAX" dataDxfId="82"/>
    <tableColumn id="2" xr3:uid="{5CBC20A0-8EFF-43FB-8F7E-076D2176CA9E}" name="Coeff. β" dataDxfId="81"/>
    <tableColumn id="3" xr3:uid="{8A3AC89A-37A4-464B-B80F-06771A5CFC8A}" name="t-Stat" dataDxfId="80"/>
    <tableColumn id="4" xr3:uid="{ECEC626A-D661-43EE-BB08-F5D80FECA568}" name="_x0009_p-Value" dataDxfId="79"/>
    <tableColumn id="5" xr3:uid="{18254A29-A55C-4807-A9E9-6680CDCC7D74}" name="Significatif à 5%" dataDxfId="78"/>
  </tableColumns>
  <tableStyleInfo name="TableStyleMedium1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9F4D88D-E006-4C55-8466-89411B8490C4}" name="Tableau33353627" displayName="Tableau33353627" ref="A108:E112" totalsRowShown="0" headerRowDxfId="77" dataDxfId="76">
  <autoFilter ref="A108:E112" xr:uid="{09F4D88D-E006-4C55-8466-89411B8490C4}"/>
  <tableColumns count="5">
    <tableColumn id="1" xr3:uid="{5729B135-D735-443E-AF86-968733023415}" name="Variable ES IBEX" dataDxfId="75"/>
    <tableColumn id="2" xr3:uid="{4355FE54-6F23-455C-A7AE-EF5C873A46F7}" name="Coeff. β" dataDxfId="74"/>
    <tableColumn id="3" xr3:uid="{77C5982A-B20F-44F5-AC7B-428B59E7828B}" name="t-Stat" dataDxfId="73"/>
    <tableColumn id="4" xr3:uid="{D3585A18-C513-4BF2-B6D6-39F27FB1558B}" name="_x0009_p-Value" dataDxfId="72"/>
    <tableColumn id="5" xr3:uid="{4E9DF37A-B000-4687-8AFB-11DA6FAD2FD9}" name="Significatif à 5%" dataDxfId="71"/>
  </tableColumns>
  <tableStyleInfo name="TableStyleMedium1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136E989-146C-46C1-93F0-770993CF12F4}" name="Tableau3335362228" displayName="Tableau3335362228" ref="A114:E118" totalsRowShown="0" headerRowDxfId="70" dataDxfId="69">
  <autoFilter ref="A114:E118" xr:uid="{8136E989-146C-46C1-93F0-770993CF12F4}"/>
  <tableColumns count="5">
    <tableColumn id="1" xr3:uid="{D2489453-14ED-4ACE-BCF3-656C30F15CE6}" name="Variable ES FTSEMIB" dataDxfId="68"/>
    <tableColumn id="2" xr3:uid="{E7992635-29C0-43AC-900E-CC5FBA36A7E5}" name="Coeff. β" dataDxfId="67"/>
    <tableColumn id="3" xr3:uid="{2FA4D41C-A8A3-4BC8-9EB8-D5CA6E3359EF}" name="t-Stat" dataDxfId="66"/>
    <tableColumn id="4" xr3:uid="{F42F2DD5-17EC-4BF8-B155-B7B78B75BDFE}" name="_x0009_p-Value" dataDxfId="65"/>
    <tableColumn id="5" xr3:uid="{A8FA6DDC-DC2A-4303-B204-35D0B66C8DC4}" name="Significatif à 5%" dataDxfId="64"/>
  </tableColumns>
  <tableStyleInfo name="TableStyleMedium1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E9FF4C2-A5A3-4560-81C5-5865CDE65A58}" name="Tableau333536222329" displayName="Tableau333536222329" ref="A120:E124" totalsRowShown="0" headerRowDxfId="63" dataDxfId="62">
  <autoFilter ref="A120:E124" xr:uid="{EE9FF4C2-A5A3-4560-81C5-5865CDE65A58}"/>
  <tableColumns count="5">
    <tableColumn id="1" xr3:uid="{4FE0568F-318D-4814-A481-A24054D80072}" name="Variable ES EuroStoxx" dataDxfId="61"/>
    <tableColumn id="2" xr3:uid="{C6EE1492-BFF4-4D7A-B16A-6D9DB3FEAFB2}" name="Coeff. β" dataDxfId="60"/>
    <tableColumn id="3" xr3:uid="{1C1A3972-EEEA-49B2-845D-401DFD56CF9F}" name="t-Stat" dataDxfId="59"/>
    <tableColumn id="4" xr3:uid="{3EBF63C3-A85C-4A3F-8435-9C13BEA50B20}" name="_x0009_p-Value" dataDxfId="58"/>
    <tableColumn id="5" xr3:uid="{4F7A55D5-94B2-45D3-A1BA-142FD52EA869}" name="Significatif à 5%" dataDxfId="57"/>
  </tableColumns>
  <tableStyleInfo name="TableStyleMedium1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93C8093-0029-4B62-A92B-C3B0A8A1BA79}" name="Tableau33353622232430" displayName="Tableau33353622232430" ref="A126:E130" totalsRowShown="0" headerRowDxfId="56" dataDxfId="55">
  <autoFilter ref="A126:E130" xr:uid="{493C8093-0029-4B62-A92B-C3B0A8A1BA79}"/>
  <tableColumns count="5">
    <tableColumn id="1" xr3:uid="{A2A54936-FEB1-45EA-9926-E0BE8DBFE7AD}" name="Variable ES FTSE" dataDxfId="54"/>
    <tableColumn id="2" xr3:uid="{D11C593A-75E0-426C-AFD3-70F0C9930194}" name="Coeff. β" dataDxfId="53"/>
    <tableColumn id="3" xr3:uid="{2B05E89A-0BA7-4CCA-B0D2-CF186656E556}" name="t-Stat" dataDxfId="52"/>
    <tableColumn id="4" xr3:uid="{482BADA9-2A9E-49DA-AACB-2793CF8DE28E}" name="_x0009_p-Value" dataDxfId="51"/>
    <tableColumn id="5" xr3:uid="{896F5B5C-C21F-410E-B96F-33C078B34044}" name="Significatif à 5%" dataDxfId="50"/>
  </tableColumns>
  <tableStyleInfo name="TableStyleMedium1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A65775-F74A-41D7-84AC-3D88CFB13783}" name="Tableau1" displayName="Tableau1" ref="A1:S8" totalsRowShown="0" headerRowDxfId="49" dataDxfId="48">
  <autoFilter ref="A1:S8" xr:uid="{4CA65775-F74A-41D7-84AC-3D88CFB13783}"/>
  <tableColumns count="19">
    <tableColumn id="1" xr3:uid="{9FFF0558-F55B-4717-8C67-3CB53C8833F3}" name="Variables " dataDxfId="47"/>
    <tableColumn id="2" xr3:uid="{BB87E9BB-9630-42A7-9022-CDBC594BAC55}" name="CAC 40 Mean" dataDxfId="46"/>
    <tableColumn id="3" xr3:uid="{898E2F53-70B0-4348-98F4-0866A6D7DA6B}" name="CAC 40 Min" dataDxfId="45"/>
    <tableColumn id="4" xr3:uid="{F98EFCC3-6642-4626-BC28-9F63C3A122C2}" name="CAC 40 Max " dataDxfId="44"/>
    <tableColumn id="5" xr3:uid="{91208B99-EB10-427F-B7AE-336D237C6FDB}" name="DAX Mean" dataDxfId="43"/>
    <tableColumn id="6" xr3:uid="{3E3F5B9F-76E7-4F5A-8993-1C04E5882C9A}" name="DAX Min" dataDxfId="42"/>
    <tableColumn id="7" xr3:uid="{A28E3149-F527-4F42-B808-47D907DFB4C2}" name="DAX Max " dataDxfId="41"/>
    <tableColumn id="8" xr3:uid="{1FAC5E4E-B6DC-4ED6-8ABE-C9F7F1C0D531}" name="FTSEMIB Mean" dataDxfId="40"/>
    <tableColumn id="9" xr3:uid="{3E8C1E0F-0007-46F0-A759-0305BAF74FDC}" name="FTSEMIB Min" dataDxfId="39"/>
    <tableColumn id="10" xr3:uid="{858B757A-6B85-42EA-AD89-F71B9AC90205}" name="FTSEMIB Max " dataDxfId="38"/>
    <tableColumn id="11" xr3:uid="{47218991-1241-4693-A8FB-BCC31819E84E}" name="IBEX Mean" dataDxfId="37"/>
    <tableColumn id="12" xr3:uid="{A6646577-8E16-41AB-AE46-B09D82B302A9}" name="IBEX Min" dataDxfId="36"/>
    <tableColumn id="13" xr3:uid="{5422FFEA-FB61-45BE-A9B7-268CCBB6D929}" name="IBEX Max " dataDxfId="35"/>
    <tableColumn id="14" xr3:uid="{873963E0-C94E-4D00-80B8-12F9D442BA44}" name="EuroStoxx Mean" dataDxfId="34"/>
    <tableColumn id="15" xr3:uid="{E7F1A194-9C75-4C35-A8E8-87AD59F6BF13}" name="EuroStoxx Min" dataDxfId="33"/>
    <tableColumn id="16" xr3:uid="{3E2E9051-3EF6-4D56-A6A3-6AE302BA7D15}" name="EuroStoxx Max " dataDxfId="32"/>
    <tableColumn id="17" xr3:uid="{0EE08DBF-5197-449D-9F6D-9134CEABF867}" name="FTSE Mean" dataDxfId="31"/>
    <tableColumn id="18" xr3:uid="{56E249D6-5A39-4881-9C62-498E26260C1E}" name="FTSE Min" dataDxfId="30"/>
    <tableColumn id="19" xr3:uid="{50D33428-2363-47DA-B79B-915812B37150}" name="FTSE Max " dataDxfId="29"/>
  </tableColumns>
  <tableStyleInfo name="TableStyleMedium1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10577ED-D8EB-4735-B25E-CCE757146318}" name="Tableau120" displayName="Tableau120" ref="A13:S17" totalsRowShown="0" headerRowDxfId="28" dataDxfId="27">
  <autoFilter ref="A13:S17" xr:uid="{710577ED-D8EB-4735-B25E-CCE757146318}"/>
  <tableColumns count="19">
    <tableColumn id="1" xr3:uid="{49FB0B3D-0810-4AE5-8D23-995E9B5D4DB3}" name="Variables" dataDxfId="26"/>
    <tableColumn id="2" xr3:uid="{024DD80D-2C8E-4BAD-800C-456713A6AE44}" name="CAC 40 Mean" dataDxfId="25" dataCellStyle="Pourcentage"/>
    <tableColumn id="3" xr3:uid="{EE0501A0-6881-4F5A-9696-EA8F4C30ACC1}" name="CAC 40 Min" dataDxfId="24" dataCellStyle="Pourcentage"/>
    <tableColumn id="4" xr3:uid="{3251E5E0-731B-4EDC-AC7B-83F349D533E6}" name="CAC 40 Max " dataDxfId="23" dataCellStyle="Pourcentage"/>
    <tableColumn id="5" xr3:uid="{27921422-016C-471F-B666-86101D7165E3}" name="DAX Mean" dataDxfId="22" dataCellStyle="Pourcentage"/>
    <tableColumn id="6" xr3:uid="{C88139DC-3D57-4164-940C-6D3164ED182F}" name="DAX Min" dataDxfId="21" dataCellStyle="Pourcentage"/>
    <tableColumn id="7" xr3:uid="{3374D3C6-D5E0-4516-9D00-8907C528B4E8}" name="DAX Max " dataDxfId="20" dataCellStyle="Pourcentage"/>
    <tableColumn id="8" xr3:uid="{F6F72FCC-C58B-4207-BB77-120CA30D5334}" name="FTSEMIB Mean" dataDxfId="19" dataCellStyle="Pourcentage"/>
    <tableColumn id="9" xr3:uid="{73C21D3A-902E-4A70-BF92-71EB452B84CD}" name="FTSEMIB Min" dataDxfId="18" dataCellStyle="Pourcentage"/>
    <tableColumn id="10" xr3:uid="{0059FFCC-0DDA-4F76-8315-B16334A5D4A5}" name="FTSEMIB Max " dataDxfId="17" dataCellStyle="Pourcentage"/>
    <tableColumn id="11" xr3:uid="{2810BC56-E0B0-4C09-BE93-B7F7FC5B0798}" name="IBEX Mean" dataDxfId="16" dataCellStyle="Pourcentage"/>
    <tableColumn id="12" xr3:uid="{EADCE23B-8140-4FA4-A7CB-D4DDE4AA88A2}" name="IBEX Min" dataDxfId="15" dataCellStyle="Pourcentage"/>
    <tableColumn id="13" xr3:uid="{4EA34E8C-9BBE-4A9E-80BE-A4A2F674676F}" name="IBEX Max " dataDxfId="14" dataCellStyle="Pourcentage"/>
    <tableColumn id="14" xr3:uid="{F183FDF4-5B3F-4EA5-90BB-46432DB269F4}" name="EuroStoxx Mean" dataDxfId="13" dataCellStyle="Pourcentage"/>
    <tableColumn id="15" xr3:uid="{777902A6-6CBD-4A0A-B888-AC782C4E549E}" name="EuroStoxx Min" dataDxfId="12" dataCellStyle="Pourcentage"/>
    <tableColumn id="16" xr3:uid="{F0431F8C-1917-4C19-BC14-D4CC53B9EAA7}" name="EuroStoxx Max " dataDxfId="11" dataCellStyle="Pourcentage"/>
    <tableColumn id="17" xr3:uid="{FD1EFA90-C572-4D4B-B92E-C9488E48957A}" name="FTSE Mean" dataDxfId="10" dataCellStyle="Pourcentage"/>
    <tableColumn id="18" xr3:uid="{1570D583-4A83-4A21-B529-638780BFB2B2}" name="FTSE Min" dataDxfId="9" dataCellStyle="Pourcentage"/>
    <tableColumn id="19" xr3:uid="{508B6296-4532-4FB1-B6EA-5DFCAD0C1664}" name="FTSE Max " dataDxfId="8" dataCellStyle="Pourcentage"/>
  </tableColumns>
  <tableStyleInfo name="TableStyleMedium1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236A71F-E904-40B7-9EC5-C0979BB15550}" name="Tableau3619" displayName="Tableau3619" ref="A1:D8" totalsRowShown="0" headerRowDxfId="7" dataDxfId="5" headerRowBorderDxfId="6" tableBorderDxfId="4">
  <autoFilter ref="A1:D8" xr:uid="{D236A71F-E904-40B7-9EC5-C0979BB15550}"/>
  <tableColumns count="4">
    <tableColumn id="1" xr3:uid="{794F2696-4EBA-48FF-A488-85117678C834}" name="Variables " dataDxfId="3"/>
    <tableColumn id="2" xr3:uid="{48F33D87-613A-41EB-9F0E-88FAF2201658}" name="Description" dataDxfId="2"/>
    <tableColumn id="3" xr3:uid="{6DD6BDFD-F9C7-4C2B-989D-C5F72645A8A5}" name="Frequency " dataDxfId="1"/>
    <tableColumn id="4" xr3:uid="{0C328D11-E205-42F1-BC4D-BD4AA51BCD93}" name="Source " dataDxfId="0"/>
  </tableColumns>
  <tableStyleInfo name="TableStyleMedium1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D2F19F5-5E32-40B1-BB5F-4D1C0897C59F}" name="Tableau17" displayName="Tableau17" ref="A1:H186" totalsRowShown="0">
  <autoFilter ref="A1:H186" xr:uid="{DD2F19F5-5E32-40B1-BB5F-4D1C0897C59F}"/>
  <tableColumns count="8">
    <tableColumn id="1" xr3:uid="{745FBDF6-2C10-441F-87AC-ECB3627F8ED8}" name="Month"/>
    <tableColumn id="2" xr3:uid="{569B3A47-940D-4CBF-9DCA-06E45116CD7C}" name="Yields"/>
    <tableColumn id="3" xr3:uid="{4282E703-CE49-45DC-B2E0-34B0CBDDC9C1}" name="VaR (5%)"/>
    <tableColumn id="4" xr3:uid="{DABD5F72-0158-4A9B-BA5C-9DBD9889B63C}" name="ES"/>
    <tableColumn id="5" xr3:uid="{75012C16-92B9-4ECA-B46F-36A8D1467CEE}" name="EPU"/>
    <tableColumn id="6" xr3:uid="{C35B29F3-DFFE-48C4-A3AA-D24F8DD0FA92}" name="VIX"/>
    <tableColumn id="7" xr3:uid="{3191EF09-6008-4DAD-99AF-549BFE261614}" name="V2X"/>
    <tableColumn id="8" xr3:uid="{EACD6287-0717-46B6-AFED-8B3595872917}" name="σ (realized volatility) "/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1.xml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0.xml"/><Relationship Id="rId13" Type="http://schemas.openxmlformats.org/officeDocument/2006/relationships/table" Target="../tables/table35.xml"/><Relationship Id="rId18" Type="http://schemas.openxmlformats.org/officeDocument/2006/relationships/table" Target="../tables/table40.xml"/><Relationship Id="rId3" Type="http://schemas.openxmlformats.org/officeDocument/2006/relationships/table" Target="../tables/table25.xml"/><Relationship Id="rId21" Type="http://schemas.openxmlformats.org/officeDocument/2006/relationships/table" Target="../tables/table43.xml"/><Relationship Id="rId7" Type="http://schemas.openxmlformats.org/officeDocument/2006/relationships/table" Target="../tables/table29.xml"/><Relationship Id="rId12" Type="http://schemas.openxmlformats.org/officeDocument/2006/relationships/table" Target="../tables/table34.xml"/><Relationship Id="rId17" Type="http://schemas.openxmlformats.org/officeDocument/2006/relationships/table" Target="../tables/table39.xml"/><Relationship Id="rId25" Type="http://schemas.openxmlformats.org/officeDocument/2006/relationships/table" Target="../tables/table47.xml"/><Relationship Id="rId2" Type="http://schemas.openxmlformats.org/officeDocument/2006/relationships/table" Target="../tables/table24.xml"/><Relationship Id="rId16" Type="http://schemas.openxmlformats.org/officeDocument/2006/relationships/table" Target="../tables/table38.xml"/><Relationship Id="rId20" Type="http://schemas.openxmlformats.org/officeDocument/2006/relationships/table" Target="../tables/table42.xml"/><Relationship Id="rId1" Type="http://schemas.openxmlformats.org/officeDocument/2006/relationships/table" Target="../tables/table23.xml"/><Relationship Id="rId6" Type="http://schemas.openxmlformats.org/officeDocument/2006/relationships/table" Target="../tables/table28.xml"/><Relationship Id="rId11" Type="http://schemas.openxmlformats.org/officeDocument/2006/relationships/table" Target="../tables/table33.xml"/><Relationship Id="rId24" Type="http://schemas.openxmlformats.org/officeDocument/2006/relationships/table" Target="../tables/table46.xml"/><Relationship Id="rId5" Type="http://schemas.openxmlformats.org/officeDocument/2006/relationships/table" Target="../tables/table27.xml"/><Relationship Id="rId15" Type="http://schemas.openxmlformats.org/officeDocument/2006/relationships/table" Target="../tables/table37.xml"/><Relationship Id="rId23" Type="http://schemas.openxmlformats.org/officeDocument/2006/relationships/table" Target="../tables/table45.xml"/><Relationship Id="rId10" Type="http://schemas.openxmlformats.org/officeDocument/2006/relationships/table" Target="../tables/table32.xml"/><Relationship Id="rId19" Type="http://schemas.openxmlformats.org/officeDocument/2006/relationships/table" Target="../tables/table41.xml"/><Relationship Id="rId4" Type="http://schemas.openxmlformats.org/officeDocument/2006/relationships/table" Target="../tables/table26.xml"/><Relationship Id="rId9" Type="http://schemas.openxmlformats.org/officeDocument/2006/relationships/table" Target="../tables/table31.xml"/><Relationship Id="rId14" Type="http://schemas.openxmlformats.org/officeDocument/2006/relationships/table" Target="../tables/table36.xml"/><Relationship Id="rId22" Type="http://schemas.openxmlformats.org/officeDocument/2006/relationships/table" Target="../tables/table4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table" Target="../tables/table4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939"/>
  <sheetViews>
    <sheetView workbookViewId="0">
      <selection activeCell="B1" sqref="B1"/>
    </sheetView>
  </sheetViews>
  <sheetFormatPr baseColWidth="10" defaultRowHeight="14.5" x14ac:dyDescent="0.35"/>
  <cols>
    <col min="1" max="1" width="10.453125" bestFit="1" customWidth="1"/>
    <col min="2" max="2" width="11.81640625" customWidth="1"/>
    <col min="3" max="3" width="10.453125" bestFit="1" customWidth="1"/>
    <col min="4" max="4" width="11.26953125" customWidth="1"/>
    <col min="5" max="5" width="10.453125" bestFit="1" customWidth="1"/>
    <col min="6" max="6" width="11.36328125" customWidth="1"/>
    <col min="7" max="7" width="10.453125" bestFit="1" customWidth="1"/>
    <col min="8" max="8" width="11.81640625" bestFit="1" customWidth="1"/>
    <col min="9" max="9" width="10.453125" bestFit="1" customWidth="1"/>
    <col min="10" max="10" width="11.54296875" customWidth="1"/>
    <col min="11" max="11" width="10.453125" bestFit="1" customWidth="1"/>
    <col min="12" max="12" width="15.08984375" customWidth="1"/>
  </cols>
  <sheetData>
    <row r="1" spans="1:12" x14ac:dyDescent="0.35">
      <c r="A1" t="s">
        <v>6</v>
      </c>
      <c r="B1" t="s">
        <v>1</v>
      </c>
      <c r="C1" t="s">
        <v>0</v>
      </c>
      <c r="D1" t="s">
        <v>10</v>
      </c>
      <c r="E1" t="s">
        <v>390</v>
      </c>
      <c r="F1" t="s">
        <v>11</v>
      </c>
      <c r="G1" t="s">
        <v>391</v>
      </c>
      <c r="H1" t="s">
        <v>12</v>
      </c>
      <c r="I1" t="s">
        <v>392</v>
      </c>
      <c r="J1" t="s">
        <v>13</v>
      </c>
      <c r="K1" t="s">
        <v>393</v>
      </c>
      <c r="L1" t="s">
        <v>14</v>
      </c>
    </row>
    <row r="2" spans="1:12" x14ac:dyDescent="0.35">
      <c r="A2" t="s">
        <v>2</v>
      </c>
      <c r="B2">
        <v>40182</v>
      </c>
      <c r="C2" t="s">
        <v>2</v>
      </c>
      <c r="D2">
        <v>40182</v>
      </c>
      <c r="E2" t="s">
        <v>2</v>
      </c>
      <c r="F2">
        <v>40182</v>
      </c>
      <c r="G2" t="s">
        <v>2</v>
      </c>
      <c r="H2">
        <v>40182</v>
      </c>
      <c r="I2" t="s">
        <v>2</v>
      </c>
      <c r="J2">
        <v>40182</v>
      </c>
      <c r="K2" t="s">
        <v>2</v>
      </c>
      <c r="L2">
        <v>40182</v>
      </c>
    </row>
    <row r="3" spans="1:12" x14ac:dyDescent="0.35">
      <c r="A3" t="s">
        <v>3</v>
      </c>
      <c r="B3">
        <v>45772</v>
      </c>
      <c r="C3" t="s">
        <v>3</v>
      </c>
      <c r="D3">
        <v>45772</v>
      </c>
      <c r="E3" t="s">
        <v>3</v>
      </c>
      <c r="F3">
        <v>45772</v>
      </c>
      <c r="G3" t="s">
        <v>3</v>
      </c>
      <c r="H3">
        <v>45772</v>
      </c>
      <c r="I3" t="s">
        <v>3</v>
      </c>
      <c r="J3">
        <v>45772</v>
      </c>
      <c r="K3" t="s">
        <v>3</v>
      </c>
      <c r="L3">
        <v>45772</v>
      </c>
    </row>
    <row r="4" spans="1:12" x14ac:dyDescent="0.35">
      <c r="A4" t="s">
        <v>4</v>
      </c>
      <c r="B4" t="s">
        <v>5</v>
      </c>
      <c r="C4" t="s">
        <v>4</v>
      </c>
      <c r="D4" t="s">
        <v>5</v>
      </c>
      <c r="E4" t="s">
        <v>4</v>
      </c>
      <c r="F4" t="s">
        <v>5</v>
      </c>
      <c r="G4" t="s">
        <v>4</v>
      </c>
      <c r="H4" t="s">
        <v>5</v>
      </c>
      <c r="I4" t="s">
        <v>4</v>
      </c>
      <c r="J4" t="s">
        <v>5</v>
      </c>
      <c r="K4" t="s">
        <v>4</v>
      </c>
      <c r="L4" t="s">
        <v>5</v>
      </c>
    </row>
    <row r="5" spans="1:12" x14ac:dyDescent="0.35">
      <c r="A5" t="s">
        <v>6</v>
      </c>
      <c r="B5" t="s">
        <v>7</v>
      </c>
      <c r="C5" t="s">
        <v>6</v>
      </c>
      <c r="D5" t="s">
        <v>7</v>
      </c>
      <c r="E5" t="s">
        <v>6</v>
      </c>
      <c r="F5" t="s">
        <v>7</v>
      </c>
      <c r="G5" t="s">
        <v>6</v>
      </c>
      <c r="H5" t="s">
        <v>7</v>
      </c>
      <c r="I5" t="s">
        <v>6</v>
      </c>
      <c r="J5" t="s">
        <v>7</v>
      </c>
      <c r="K5" t="s">
        <v>6</v>
      </c>
      <c r="L5" t="s">
        <v>7</v>
      </c>
    </row>
    <row r="7" spans="1:12" x14ac:dyDescent="0.35">
      <c r="A7" t="s">
        <v>8</v>
      </c>
      <c r="B7" t="s">
        <v>9</v>
      </c>
      <c r="C7" t="s">
        <v>8</v>
      </c>
      <c r="D7" t="s">
        <v>9</v>
      </c>
      <c r="E7" t="s">
        <v>8</v>
      </c>
      <c r="F7" t="s">
        <v>9</v>
      </c>
      <c r="G7" t="s">
        <v>8</v>
      </c>
      <c r="H7" t="s">
        <v>9</v>
      </c>
      <c r="I7" t="s">
        <v>8</v>
      </c>
      <c r="J7" t="s">
        <v>9</v>
      </c>
      <c r="K7" t="s">
        <v>8</v>
      </c>
      <c r="L7" t="s">
        <v>9</v>
      </c>
    </row>
    <row r="8" spans="1:12" x14ac:dyDescent="0.35">
      <c r="A8" s="1">
        <v>45772</v>
      </c>
      <c r="B8">
        <v>5154.12</v>
      </c>
      <c r="C8" s="1">
        <v>45772</v>
      </c>
      <c r="D8">
        <v>7536.26</v>
      </c>
      <c r="E8" s="1">
        <v>45772</v>
      </c>
      <c r="F8">
        <v>22242.45</v>
      </c>
      <c r="G8" s="1">
        <v>45772</v>
      </c>
      <c r="H8">
        <v>9858.6259200000004</v>
      </c>
      <c r="I8" s="1">
        <v>45772</v>
      </c>
      <c r="J8">
        <v>13355.3</v>
      </c>
      <c r="K8" s="1">
        <v>45772</v>
      </c>
      <c r="L8">
        <v>37348.379999999997</v>
      </c>
    </row>
    <row r="9" spans="1:12" x14ac:dyDescent="0.35">
      <c r="A9" s="1">
        <v>45771</v>
      </c>
      <c r="B9">
        <v>5114.9799999999996</v>
      </c>
      <c r="C9" s="1">
        <v>45771</v>
      </c>
      <c r="D9">
        <v>7502.78</v>
      </c>
      <c r="E9" s="1">
        <v>45771</v>
      </c>
      <c r="F9">
        <v>22064.51</v>
      </c>
      <c r="G9" s="1">
        <v>45771</v>
      </c>
      <c r="H9">
        <v>9847.34339</v>
      </c>
      <c r="I9" s="1">
        <v>45771</v>
      </c>
      <c r="J9">
        <v>13179.7</v>
      </c>
      <c r="K9" s="1">
        <v>45771</v>
      </c>
      <c r="L9">
        <v>36808.69</v>
      </c>
    </row>
    <row r="10" spans="1:12" x14ac:dyDescent="0.35">
      <c r="A10" s="1">
        <v>45770</v>
      </c>
      <c r="B10">
        <v>5098.74</v>
      </c>
      <c r="C10" s="1">
        <v>45770</v>
      </c>
      <c r="D10">
        <v>7482.36</v>
      </c>
      <c r="E10" s="1">
        <v>45770</v>
      </c>
      <c r="F10">
        <v>21961.97</v>
      </c>
      <c r="G10" s="1">
        <v>45770</v>
      </c>
      <c r="H10">
        <v>9826.6816600000002</v>
      </c>
      <c r="I10" s="1">
        <v>45770</v>
      </c>
      <c r="J10">
        <v>13208.3</v>
      </c>
      <c r="K10" s="1">
        <v>45770</v>
      </c>
      <c r="L10">
        <v>36457.68</v>
      </c>
    </row>
    <row r="11" spans="1:12" x14ac:dyDescent="0.35">
      <c r="A11" s="1">
        <v>45769</v>
      </c>
      <c r="B11">
        <v>4961.45</v>
      </c>
      <c r="C11" s="1">
        <v>45769</v>
      </c>
      <c r="D11">
        <v>7326.47</v>
      </c>
      <c r="E11" s="1">
        <v>45769</v>
      </c>
      <c r="F11">
        <v>21293.53</v>
      </c>
      <c r="G11" s="1">
        <v>45769</v>
      </c>
      <c r="H11">
        <v>9721.3132399999995</v>
      </c>
      <c r="I11" s="1">
        <v>45769</v>
      </c>
      <c r="J11">
        <v>13010.6</v>
      </c>
      <c r="K11" s="1">
        <v>45769</v>
      </c>
      <c r="L11">
        <v>35947.89</v>
      </c>
    </row>
    <row r="12" spans="1:12" x14ac:dyDescent="0.35">
      <c r="A12" s="1">
        <v>45764</v>
      </c>
      <c r="B12">
        <v>4935.34</v>
      </c>
      <c r="C12" s="1">
        <v>45764</v>
      </c>
      <c r="D12">
        <v>7285.86</v>
      </c>
      <c r="E12" s="1">
        <v>45764</v>
      </c>
      <c r="F12">
        <v>21205.86</v>
      </c>
      <c r="G12" s="1">
        <v>45764</v>
      </c>
      <c r="H12">
        <v>9665.9942100000007</v>
      </c>
      <c r="I12" s="1">
        <v>45764</v>
      </c>
      <c r="J12">
        <v>12918</v>
      </c>
      <c r="K12" s="1">
        <v>45764</v>
      </c>
      <c r="L12">
        <v>35980.43</v>
      </c>
    </row>
    <row r="13" spans="1:12" x14ac:dyDescent="0.35">
      <c r="A13" s="1">
        <v>45763</v>
      </c>
      <c r="B13">
        <v>4966.5</v>
      </c>
      <c r="C13" s="1">
        <v>45763</v>
      </c>
      <c r="D13">
        <v>7329.97</v>
      </c>
      <c r="E13" s="1">
        <v>45763</v>
      </c>
      <c r="F13">
        <v>21311.02</v>
      </c>
      <c r="G13" s="1">
        <v>45763</v>
      </c>
      <c r="H13">
        <v>9628.0694899999999</v>
      </c>
      <c r="I13" s="1">
        <v>45763</v>
      </c>
      <c r="J13">
        <v>12942.1</v>
      </c>
      <c r="K13" s="1">
        <v>45763</v>
      </c>
      <c r="L13">
        <v>36067.57</v>
      </c>
    </row>
    <row r="14" spans="1:12" x14ac:dyDescent="0.35">
      <c r="A14" s="1">
        <v>45762</v>
      </c>
      <c r="B14">
        <v>4970.43</v>
      </c>
      <c r="C14" s="1">
        <v>45762</v>
      </c>
      <c r="D14">
        <v>7335.4</v>
      </c>
      <c r="E14" s="1">
        <v>45762</v>
      </c>
      <c r="F14">
        <v>21253.7</v>
      </c>
      <c r="G14" s="1">
        <v>45762</v>
      </c>
      <c r="H14">
        <v>9667.14329</v>
      </c>
      <c r="I14" s="1">
        <v>45762</v>
      </c>
      <c r="J14">
        <v>12879.3</v>
      </c>
      <c r="K14" s="1">
        <v>45762</v>
      </c>
      <c r="L14">
        <v>35843.82</v>
      </c>
    </row>
    <row r="15" spans="1:12" x14ac:dyDescent="0.35">
      <c r="A15" s="1">
        <v>45761</v>
      </c>
      <c r="B15">
        <v>4911.3900000000003</v>
      </c>
      <c r="C15" s="1">
        <v>45761</v>
      </c>
      <c r="D15">
        <v>7273.12</v>
      </c>
      <c r="E15" s="1">
        <v>45761</v>
      </c>
      <c r="F15">
        <v>20954.830000000002</v>
      </c>
      <c r="G15" s="1">
        <v>45761</v>
      </c>
      <c r="H15">
        <v>9452.3744399999996</v>
      </c>
      <c r="I15" s="1">
        <v>45761</v>
      </c>
      <c r="J15">
        <v>12609.8</v>
      </c>
      <c r="K15" s="1">
        <v>45761</v>
      </c>
      <c r="L15">
        <v>35007.14</v>
      </c>
    </row>
    <row r="16" spans="1:12" x14ac:dyDescent="0.35">
      <c r="A16" s="1">
        <v>45758</v>
      </c>
      <c r="B16">
        <v>4787.2299999999996</v>
      </c>
      <c r="C16" s="1">
        <v>45758</v>
      </c>
      <c r="D16">
        <v>7104.8</v>
      </c>
      <c r="E16" s="1">
        <v>45758</v>
      </c>
      <c r="F16">
        <v>20374.099999999999</v>
      </c>
      <c r="G16" s="1">
        <v>45758</v>
      </c>
      <c r="H16">
        <v>9193.3940500000008</v>
      </c>
      <c r="I16" s="1">
        <v>45758</v>
      </c>
      <c r="J16">
        <v>12286</v>
      </c>
      <c r="K16" s="1">
        <v>45758</v>
      </c>
      <c r="L16">
        <v>34027.83</v>
      </c>
    </row>
    <row r="17" spans="1:12" x14ac:dyDescent="0.35">
      <c r="A17" s="1">
        <v>45757</v>
      </c>
      <c r="B17">
        <v>4818.92</v>
      </c>
      <c r="C17" s="1">
        <v>45757</v>
      </c>
      <c r="D17">
        <v>7126.02</v>
      </c>
      <c r="E17" s="1">
        <v>45757</v>
      </c>
      <c r="F17">
        <v>20562.73</v>
      </c>
      <c r="G17" s="1">
        <v>45757</v>
      </c>
      <c r="H17">
        <v>9154.9737000000005</v>
      </c>
      <c r="I17" s="1">
        <v>45757</v>
      </c>
      <c r="J17">
        <v>12307.6</v>
      </c>
      <c r="K17" s="1">
        <v>45757</v>
      </c>
      <c r="L17">
        <v>34277.089999999997</v>
      </c>
    </row>
    <row r="18" spans="1:12" x14ac:dyDescent="0.35">
      <c r="A18" s="1">
        <v>45756</v>
      </c>
      <c r="B18">
        <v>4622.1400000000003</v>
      </c>
      <c r="C18" s="1">
        <v>45756</v>
      </c>
      <c r="D18">
        <v>6863.02</v>
      </c>
      <c r="E18" s="1">
        <v>45756</v>
      </c>
      <c r="F18">
        <v>19670.88</v>
      </c>
      <c r="G18" s="1">
        <v>45756</v>
      </c>
      <c r="H18">
        <v>8895.5138100000004</v>
      </c>
      <c r="I18" s="1">
        <v>45756</v>
      </c>
      <c r="J18">
        <v>11797.6</v>
      </c>
      <c r="K18" s="1">
        <v>45756</v>
      </c>
      <c r="L18">
        <v>32730.57</v>
      </c>
    </row>
    <row r="19" spans="1:12" x14ac:dyDescent="0.35">
      <c r="A19" s="1">
        <v>45755</v>
      </c>
      <c r="B19">
        <v>4773.6499999999996</v>
      </c>
      <c r="C19" s="1">
        <v>45755</v>
      </c>
      <c r="D19">
        <v>7100.42</v>
      </c>
      <c r="E19" s="1">
        <v>45755</v>
      </c>
      <c r="F19">
        <v>20280.259999999998</v>
      </c>
      <c r="G19" s="1">
        <v>45755</v>
      </c>
      <c r="H19">
        <v>9244.3915500000003</v>
      </c>
      <c r="I19" s="1">
        <v>45755</v>
      </c>
      <c r="J19">
        <v>12065.6</v>
      </c>
      <c r="K19" s="1">
        <v>45755</v>
      </c>
      <c r="L19">
        <v>33657.050000000003</v>
      </c>
    </row>
    <row r="20" spans="1:12" x14ac:dyDescent="0.35">
      <c r="A20" s="1">
        <v>45754</v>
      </c>
      <c r="B20">
        <v>4656.41</v>
      </c>
      <c r="C20" s="1">
        <v>45754</v>
      </c>
      <c r="D20">
        <v>6927.12</v>
      </c>
      <c r="E20" s="1">
        <v>45754</v>
      </c>
      <c r="F20">
        <v>19789.62</v>
      </c>
      <c r="G20" s="1">
        <v>45754</v>
      </c>
      <c r="H20">
        <v>8968.8509300000005</v>
      </c>
      <c r="I20" s="1">
        <v>45754</v>
      </c>
      <c r="J20">
        <v>11785.8</v>
      </c>
      <c r="K20" s="1">
        <v>45754</v>
      </c>
      <c r="L20">
        <v>32853.980000000003</v>
      </c>
    </row>
    <row r="21" spans="1:12" x14ac:dyDescent="0.35">
      <c r="A21" s="1">
        <v>45751</v>
      </c>
      <c r="B21">
        <v>4878.3100000000004</v>
      </c>
      <c r="C21" s="1">
        <v>45751</v>
      </c>
      <c r="D21">
        <v>7274.95</v>
      </c>
      <c r="E21" s="1">
        <v>45751</v>
      </c>
      <c r="F21">
        <v>20641.72</v>
      </c>
      <c r="G21" s="1">
        <v>45751</v>
      </c>
      <c r="H21">
        <v>9467.59339</v>
      </c>
      <c r="I21" s="1">
        <v>45751</v>
      </c>
      <c r="J21">
        <v>12422</v>
      </c>
      <c r="K21" s="1">
        <v>45751</v>
      </c>
      <c r="L21">
        <v>34649.22</v>
      </c>
    </row>
    <row r="22" spans="1:12" x14ac:dyDescent="0.35">
      <c r="A22" s="1">
        <v>45750</v>
      </c>
      <c r="B22">
        <v>5113.28</v>
      </c>
      <c r="C22" s="1">
        <v>45750</v>
      </c>
      <c r="D22">
        <v>7598.98</v>
      </c>
      <c r="E22" s="1">
        <v>45750</v>
      </c>
      <c r="F22">
        <v>21717.39</v>
      </c>
      <c r="G22" s="1">
        <v>45750</v>
      </c>
      <c r="H22">
        <v>10060.826859999999</v>
      </c>
      <c r="I22" s="1">
        <v>45750</v>
      </c>
      <c r="J22">
        <v>13191.2</v>
      </c>
      <c r="K22" s="1">
        <v>45750</v>
      </c>
      <c r="L22">
        <v>37070.83</v>
      </c>
    </row>
    <row r="23" spans="1:12" x14ac:dyDescent="0.35">
      <c r="A23" s="1">
        <v>45749</v>
      </c>
      <c r="B23">
        <v>5303.95</v>
      </c>
      <c r="C23" s="1">
        <v>45749</v>
      </c>
      <c r="D23">
        <v>7858.83</v>
      </c>
      <c r="E23" s="1">
        <v>45749</v>
      </c>
      <c r="F23">
        <v>22390.84</v>
      </c>
      <c r="G23" s="1">
        <v>45749</v>
      </c>
      <c r="H23">
        <v>10289.402330000001</v>
      </c>
      <c r="I23" s="1">
        <v>45749</v>
      </c>
      <c r="J23">
        <v>13350.2</v>
      </c>
      <c r="K23" s="1">
        <v>45749</v>
      </c>
      <c r="L23">
        <v>38454.199999999997</v>
      </c>
    </row>
    <row r="24" spans="1:12" x14ac:dyDescent="0.35">
      <c r="A24" s="1">
        <v>45748</v>
      </c>
      <c r="B24">
        <v>5320.3</v>
      </c>
      <c r="C24" s="1">
        <v>45748</v>
      </c>
      <c r="D24">
        <v>7876.36</v>
      </c>
      <c r="E24" s="1">
        <v>45748</v>
      </c>
      <c r="F24">
        <v>22539.98</v>
      </c>
      <c r="G24" s="1">
        <v>45748</v>
      </c>
      <c r="H24">
        <v>10335.375889999999</v>
      </c>
      <c r="I24" s="1">
        <v>45748</v>
      </c>
      <c r="J24">
        <v>13297</v>
      </c>
      <c r="K24" s="1">
        <v>45748</v>
      </c>
      <c r="L24">
        <v>38557.379999999997</v>
      </c>
    </row>
    <row r="25" spans="1:12" x14ac:dyDescent="0.35">
      <c r="A25" s="1">
        <v>45747</v>
      </c>
      <c r="B25">
        <v>5248.39</v>
      </c>
      <c r="C25" s="1">
        <v>45747</v>
      </c>
      <c r="D25">
        <v>7790.71</v>
      </c>
      <c r="E25" s="1">
        <v>45747</v>
      </c>
      <c r="F25">
        <v>22163.49</v>
      </c>
      <c r="G25" s="1">
        <v>45747</v>
      </c>
      <c r="H25">
        <v>10245.86836</v>
      </c>
      <c r="I25" s="1">
        <v>45747</v>
      </c>
      <c r="J25">
        <v>13135.4</v>
      </c>
      <c r="K25" s="1">
        <v>45747</v>
      </c>
      <c r="L25">
        <v>38051.99</v>
      </c>
    </row>
    <row r="26" spans="1:12" x14ac:dyDescent="0.35">
      <c r="A26" s="1">
        <v>45744</v>
      </c>
      <c r="B26">
        <v>5331.4</v>
      </c>
      <c r="C26" s="1">
        <v>45744</v>
      </c>
      <c r="D26">
        <v>7916.08</v>
      </c>
      <c r="E26" s="1">
        <v>45744</v>
      </c>
      <c r="F26">
        <v>22461.52</v>
      </c>
      <c r="G26" s="1">
        <v>45744</v>
      </c>
      <c r="H26">
        <v>10355.40841</v>
      </c>
      <c r="I26" s="1">
        <v>45744</v>
      </c>
      <c r="J26">
        <v>13309.3</v>
      </c>
      <c r="K26" s="1">
        <v>45744</v>
      </c>
      <c r="L26">
        <v>38739.300000000003</v>
      </c>
    </row>
    <row r="27" spans="1:12" x14ac:dyDescent="0.35">
      <c r="A27" s="1">
        <v>45743</v>
      </c>
      <c r="B27">
        <v>5381.08</v>
      </c>
      <c r="C27" s="1">
        <v>45743</v>
      </c>
      <c r="D27">
        <v>7990.11</v>
      </c>
      <c r="E27" s="1">
        <v>45743</v>
      </c>
      <c r="F27">
        <v>22678.74</v>
      </c>
      <c r="G27" s="1">
        <v>45743</v>
      </c>
      <c r="H27">
        <v>10400.95032</v>
      </c>
      <c r="I27" s="1">
        <v>45743</v>
      </c>
      <c r="J27">
        <v>13422.6</v>
      </c>
      <c r="K27" s="1">
        <v>45743</v>
      </c>
      <c r="L27">
        <v>39098.86</v>
      </c>
    </row>
    <row r="28" spans="1:12" x14ac:dyDescent="0.35">
      <c r="A28" s="1">
        <v>45742</v>
      </c>
      <c r="B28">
        <v>5411.69</v>
      </c>
      <c r="C28" s="1">
        <v>45742</v>
      </c>
      <c r="D28">
        <v>8030.68</v>
      </c>
      <c r="E28" s="1">
        <v>45742</v>
      </c>
      <c r="F28">
        <v>22839.03</v>
      </c>
      <c r="G28" s="1">
        <v>45742</v>
      </c>
      <c r="H28">
        <v>10407.797490000001</v>
      </c>
      <c r="I28" s="1">
        <v>45742</v>
      </c>
      <c r="J28">
        <v>13432.2</v>
      </c>
      <c r="K28" s="1">
        <v>45742</v>
      </c>
      <c r="L28">
        <v>39058.1</v>
      </c>
    </row>
    <row r="29" spans="1:12" x14ac:dyDescent="0.35">
      <c r="A29" s="1">
        <v>45741</v>
      </c>
      <c r="B29">
        <v>5475.08</v>
      </c>
      <c r="C29" s="1">
        <v>45741</v>
      </c>
      <c r="D29">
        <v>8108.59</v>
      </c>
      <c r="E29" s="1">
        <v>45741</v>
      </c>
      <c r="F29">
        <v>23109.79</v>
      </c>
      <c r="G29" s="1">
        <v>45741</v>
      </c>
      <c r="H29">
        <v>10386.141</v>
      </c>
      <c r="I29" s="1">
        <v>45741</v>
      </c>
      <c r="J29">
        <v>13484.3</v>
      </c>
      <c r="K29" s="1">
        <v>45741</v>
      </c>
      <c r="L29">
        <v>39384.949999999997</v>
      </c>
    </row>
    <row r="30" spans="1:12" x14ac:dyDescent="0.35">
      <c r="A30" s="1">
        <v>45740</v>
      </c>
      <c r="B30">
        <v>5415.79</v>
      </c>
      <c r="C30" s="1">
        <v>45740</v>
      </c>
      <c r="D30">
        <v>8022.33</v>
      </c>
      <c r="E30" s="1">
        <v>45740</v>
      </c>
      <c r="F30">
        <v>22852.66</v>
      </c>
      <c r="G30" s="1">
        <v>45740</v>
      </c>
      <c r="H30">
        <v>10337.907590000001</v>
      </c>
      <c r="I30" s="1">
        <v>45740</v>
      </c>
      <c r="J30">
        <v>13323.3</v>
      </c>
      <c r="K30" s="1">
        <v>45740</v>
      </c>
      <c r="L30">
        <v>38972.81</v>
      </c>
    </row>
    <row r="31" spans="1:12" x14ac:dyDescent="0.35">
      <c r="A31" s="1">
        <v>45737</v>
      </c>
      <c r="B31">
        <v>5423.83</v>
      </c>
      <c r="C31" s="1">
        <v>45737</v>
      </c>
      <c r="D31">
        <v>8042.95</v>
      </c>
      <c r="E31" s="1">
        <v>45737</v>
      </c>
      <c r="F31">
        <v>22891.68</v>
      </c>
      <c r="G31" s="1">
        <v>45737</v>
      </c>
      <c r="H31">
        <v>10324.5373</v>
      </c>
      <c r="I31" s="1">
        <v>45737</v>
      </c>
      <c r="J31">
        <v>13350.2</v>
      </c>
      <c r="K31" s="1">
        <v>45737</v>
      </c>
      <c r="L31">
        <v>39035.71</v>
      </c>
    </row>
    <row r="32" spans="1:12" x14ac:dyDescent="0.35">
      <c r="A32" s="1">
        <v>45736</v>
      </c>
      <c r="B32">
        <v>5450.93</v>
      </c>
      <c r="C32" s="1">
        <v>45736</v>
      </c>
      <c r="D32">
        <v>8094.2</v>
      </c>
      <c r="E32" s="1">
        <v>45736</v>
      </c>
      <c r="F32">
        <v>22999.15</v>
      </c>
      <c r="G32" s="1">
        <v>45736</v>
      </c>
      <c r="H32">
        <v>10400.66338</v>
      </c>
      <c r="I32" s="1">
        <v>45736</v>
      </c>
      <c r="J32">
        <v>13306.3</v>
      </c>
      <c r="K32" s="1">
        <v>45736</v>
      </c>
      <c r="L32">
        <v>39188.17</v>
      </c>
    </row>
    <row r="33" spans="1:12" x14ac:dyDescent="0.35">
      <c r="A33" s="1">
        <v>45735</v>
      </c>
      <c r="B33">
        <v>5507.36</v>
      </c>
      <c r="C33" s="1">
        <v>45735</v>
      </c>
      <c r="D33">
        <v>8171.47</v>
      </c>
      <c r="E33" s="1">
        <v>45735</v>
      </c>
      <c r="F33">
        <v>23288.06</v>
      </c>
      <c r="G33" s="1">
        <v>45735</v>
      </c>
      <c r="H33">
        <v>10384.714529999999</v>
      </c>
      <c r="I33" s="1">
        <v>45735</v>
      </c>
      <c r="J33">
        <v>13408.1</v>
      </c>
      <c r="K33" s="1">
        <v>45735</v>
      </c>
      <c r="L33">
        <v>39712.660000000003</v>
      </c>
    </row>
    <row r="34" spans="1:12" x14ac:dyDescent="0.35">
      <c r="A34" s="1">
        <v>45734</v>
      </c>
      <c r="B34">
        <v>5485.01</v>
      </c>
      <c r="C34" s="1">
        <v>45734</v>
      </c>
      <c r="D34">
        <v>8114.57</v>
      </c>
      <c r="E34" s="1">
        <v>45734</v>
      </c>
      <c r="F34">
        <v>23380.7</v>
      </c>
      <c r="G34" s="1">
        <v>45734</v>
      </c>
      <c r="H34">
        <v>10338.95125</v>
      </c>
      <c r="I34" s="1">
        <v>45734</v>
      </c>
      <c r="J34">
        <v>13354.7</v>
      </c>
      <c r="K34" s="1">
        <v>45734</v>
      </c>
      <c r="L34">
        <v>39533.71</v>
      </c>
    </row>
    <row r="35" spans="1:12" x14ac:dyDescent="0.35">
      <c r="A35" s="1">
        <v>45733</v>
      </c>
      <c r="B35">
        <v>5445.55</v>
      </c>
      <c r="C35" s="1">
        <v>45733</v>
      </c>
      <c r="D35">
        <v>8073.98</v>
      </c>
      <c r="E35" s="1">
        <v>45733</v>
      </c>
      <c r="F35">
        <v>23154.57</v>
      </c>
      <c r="G35" s="1">
        <v>45733</v>
      </c>
      <c r="H35">
        <v>10332.201520000001</v>
      </c>
      <c r="I35" s="1">
        <v>45733</v>
      </c>
      <c r="J35">
        <v>13147.2</v>
      </c>
      <c r="K35" s="1">
        <v>45733</v>
      </c>
      <c r="L35">
        <v>39022.400000000001</v>
      </c>
    </row>
    <row r="36" spans="1:12" x14ac:dyDescent="0.35">
      <c r="A36" s="1">
        <v>45730</v>
      </c>
      <c r="B36">
        <v>5404.18</v>
      </c>
      <c r="C36" s="1">
        <v>45730</v>
      </c>
      <c r="D36">
        <v>8028.28</v>
      </c>
      <c r="E36" s="1">
        <v>45730</v>
      </c>
      <c r="F36">
        <v>22986.82</v>
      </c>
      <c r="G36" s="1">
        <v>45730</v>
      </c>
      <c r="H36">
        <v>10255.353999999999</v>
      </c>
      <c r="I36" s="1">
        <v>45730</v>
      </c>
      <c r="J36">
        <v>13005.2</v>
      </c>
      <c r="K36" s="1">
        <v>45730</v>
      </c>
      <c r="L36">
        <v>38655.300000000003</v>
      </c>
    </row>
    <row r="37" spans="1:12" x14ac:dyDescent="0.35">
      <c r="A37" s="1">
        <v>45729</v>
      </c>
      <c r="B37">
        <v>5328.39</v>
      </c>
      <c r="C37" s="1">
        <v>45729</v>
      </c>
      <c r="D37">
        <v>7938.21</v>
      </c>
      <c r="E37" s="1">
        <v>45729</v>
      </c>
      <c r="F37">
        <v>22567.14</v>
      </c>
      <c r="G37" s="1">
        <v>45729</v>
      </c>
      <c r="H37">
        <v>10183.39257</v>
      </c>
      <c r="I37" s="1">
        <v>45729</v>
      </c>
      <c r="J37">
        <v>12821.3</v>
      </c>
      <c r="K37" s="1">
        <v>45729</v>
      </c>
      <c r="L37">
        <v>37999.730000000003</v>
      </c>
    </row>
    <row r="38" spans="1:12" x14ac:dyDescent="0.35">
      <c r="A38" s="1">
        <v>45728</v>
      </c>
      <c r="B38">
        <v>5359.42</v>
      </c>
      <c r="C38" s="1">
        <v>45728</v>
      </c>
      <c r="D38">
        <v>7988.96</v>
      </c>
      <c r="E38" s="1">
        <v>45728</v>
      </c>
      <c r="F38">
        <v>22676.41</v>
      </c>
      <c r="G38" s="1">
        <v>45728</v>
      </c>
      <c r="H38">
        <v>10154.09902</v>
      </c>
      <c r="I38" s="1">
        <v>45728</v>
      </c>
      <c r="J38">
        <v>12804</v>
      </c>
      <c r="K38" s="1">
        <v>45728</v>
      </c>
      <c r="L38">
        <v>38307.11</v>
      </c>
    </row>
    <row r="39" spans="1:12" x14ac:dyDescent="0.35">
      <c r="A39" s="1">
        <v>45727</v>
      </c>
      <c r="B39">
        <v>5309.9</v>
      </c>
      <c r="C39" s="1">
        <v>45727</v>
      </c>
      <c r="D39">
        <v>7941.91</v>
      </c>
      <c r="E39" s="1">
        <v>45727</v>
      </c>
      <c r="F39">
        <v>22328.77</v>
      </c>
      <c r="G39" s="1">
        <v>45727</v>
      </c>
      <c r="H39">
        <v>10062.47215</v>
      </c>
      <c r="I39" s="1">
        <v>45727</v>
      </c>
      <c r="J39">
        <v>12877.3</v>
      </c>
      <c r="K39" s="1">
        <v>45727</v>
      </c>
      <c r="L39">
        <v>37698.31</v>
      </c>
    </row>
    <row r="40" spans="1:12" x14ac:dyDescent="0.35">
      <c r="A40" s="1">
        <v>45726</v>
      </c>
      <c r="B40">
        <v>5386.98</v>
      </c>
      <c r="C40" s="1">
        <v>45726</v>
      </c>
      <c r="D40">
        <v>8047.6</v>
      </c>
      <c r="E40" s="1">
        <v>45726</v>
      </c>
      <c r="F40">
        <v>22620.95</v>
      </c>
      <c r="G40" s="1">
        <v>45726</v>
      </c>
      <c r="H40">
        <v>10226.558929999999</v>
      </c>
      <c r="I40" s="1">
        <v>45726</v>
      </c>
      <c r="J40">
        <v>13082.7</v>
      </c>
      <c r="K40" s="1">
        <v>45726</v>
      </c>
      <c r="L40">
        <v>38225.82</v>
      </c>
    </row>
    <row r="41" spans="1:12" x14ac:dyDescent="0.35">
      <c r="A41" s="1">
        <v>45723</v>
      </c>
      <c r="B41">
        <v>5468.41</v>
      </c>
      <c r="C41" s="1">
        <v>45723</v>
      </c>
      <c r="D41">
        <v>8120.8</v>
      </c>
      <c r="E41" s="1">
        <v>45723</v>
      </c>
      <c r="F41">
        <v>23008.94</v>
      </c>
      <c r="G41" s="1">
        <v>45723</v>
      </c>
      <c r="H41">
        <v>10332.923640000001</v>
      </c>
      <c r="I41" s="1">
        <v>45723</v>
      </c>
      <c r="J41">
        <v>13257.1</v>
      </c>
      <c r="K41" s="1">
        <v>45723</v>
      </c>
      <c r="L41">
        <v>38592.81</v>
      </c>
    </row>
    <row r="42" spans="1:12" x14ac:dyDescent="0.35">
      <c r="A42" s="1">
        <v>45722</v>
      </c>
      <c r="B42">
        <v>5520.47</v>
      </c>
      <c r="C42" s="1">
        <v>45722</v>
      </c>
      <c r="D42">
        <v>8197.67</v>
      </c>
      <c r="E42" s="1">
        <v>45722</v>
      </c>
      <c r="F42">
        <v>23419.48</v>
      </c>
      <c r="G42" s="1">
        <v>45722</v>
      </c>
      <c r="H42">
        <v>10364.401400000001</v>
      </c>
      <c r="I42" s="1">
        <v>45722</v>
      </c>
      <c r="J42">
        <v>13234.2</v>
      </c>
      <c r="K42" s="1">
        <v>45722</v>
      </c>
      <c r="L42">
        <v>38779.67</v>
      </c>
    </row>
    <row r="43" spans="1:12" x14ac:dyDescent="0.35">
      <c r="A43" s="1">
        <v>45721</v>
      </c>
      <c r="B43">
        <v>5489.12</v>
      </c>
      <c r="C43" s="1">
        <v>45721</v>
      </c>
      <c r="D43">
        <v>8173.75</v>
      </c>
      <c r="E43" s="1">
        <v>45721</v>
      </c>
      <c r="F43">
        <v>23081.03</v>
      </c>
      <c r="G43" s="1">
        <v>45721</v>
      </c>
      <c r="H43">
        <v>10456.67308</v>
      </c>
      <c r="I43" s="1">
        <v>45721</v>
      </c>
      <c r="J43">
        <v>13214</v>
      </c>
      <c r="K43" s="1">
        <v>45721</v>
      </c>
      <c r="L43">
        <v>38519.4</v>
      </c>
    </row>
    <row r="44" spans="1:12" x14ac:dyDescent="0.35">
      <c r="A44" s="1">
        <v>45720</v>
      </c>
      <c r="B44">
        <v>5387.31</v>
      </c>
      <c r="C44" s="1">
        <v>45720</v>
      </c>
      <c r="D44">
        <v>8047.92</v>
      </c>
      <c r="E44" s="1">
        <v>45720</v>
      </c>
      <c r="F44">
        <v>22326.81</v>
      </c>
      <c r="G44" s="1">
        <v>45720</v>
      </c>
      <c r="H44">
        <v>10588.569149999999</v>
      </c>
      <c r="I44" s="1">
        <v>45720</v>
      </c>
      <c r="J44">
        <v>13031.7</v>
      </c>
      <c r="K44" s="1">
        <v>45720</v>
      </c>
      <c r="L44">
        <v>37736.160000000003</v>
      </c>
    </row>
    <row r="45" spans="1:12" x14ac:dyDescent="0.35">
      <c r="A45" s="1">
        <v>45719</v>
      </c>
      <c r="B45">
        <v>5540.69</v>
      </c>
      <c r="C45" s="1">
        <v>45719</v>
      </c>
      <c r="D45">
        <v>8199.7099999999991</v>
      </c>
      <c r="E45" s="1">
        <v>45719</v>
      </c>
      <c r="F45">
        <v>23147.02</v>
      </c>
      <c r="G45" s="1">
        <v>45719</v>
      </c>
      <c r="H45">
        <v>10752.795539999999</v>
      </c>
      <c r="I45" s="1">
        <v>45719</v>
      </c>
      <c r="J45">
        <v>13373.1</v>
      </c>
      <c r="K45" s="1">
        <v>45719</v>
      </c>
      <c r="L45">
        <v>39069.4</v>
      </c>
    </row>
    <row r="46" spans="1:12" x14ac:dyDescent="0.35">
      <c r="A46" s="1">
        <v>45716</v>
      </c>
      <c r="B46">
        <v>5463.54</v>
      </c>
      <c r="C46" s="1">
        <v>45716</v>
      </c>
      <c r="D46">
        <v>8111.63</v>
      </c>
      <c r="E46" s="1">
        <v>45716</v>
      </c>
      <c r="F46">
        <v>22551.43</v>
      </c>
      <c r="G46" s="1">
        <v>45716</v>
      </c>
      <c r="H46">
        <v>10667.945229999999</v>
      </c>
      <c r="I46" s="1">
        <v>45716</v>
      </c>
      <c r="J46">
        <v>13347.3</v>
      </c>
      <c r="K46" s="1">
        <v>45716</v>
      </c>
      <c r="L46">
        <v>38655.089999999997</v>
      </c>
    </row>
    <row r="47" spans="1:12" x14ac:dyDescent="0.35">
      <c r="A47" s="1">
        <v>45715</v>
      </c>
      <c r="B47">
        <v>5472.56</v>
      </c>
      <c r="C47" s="1">
        <v>45715</v>
      </c>
      <c r="D47">
        <v>8102.52</v>
      </c>
      <c r="E47" s="1">
        <v>45715</v>
      </c>
      <c r="F47">
        <v>22550.89</v>
      </c>
      <c r="G47" s="1">
        <v>45715</v>
      </c>
      <c r="H47">
        <v>10612.28757</v>
      </c>
      <c r="I47" s="1">
        <v>45715</v>
      </c>
      <c r="J47">
        <v>13270.6</v>
      </c>
      <c r="K47" s="1">
        <v>45715</v>
      </c>
      <c r="L47">
        <v>38622.839999999997</v>
      </c>
    </row>
    <row r="48" spans="1:12" x14ac:dyDescent="0.35">
      <c r="A48" s="1">
        <v>45714</v>
      </c>
      <c r="B48">
        <v>5527.99</v>
      </c>
      <c r="C48" s="1">
        <v>45714</v>
      </c>
      <c r="D48">
        <v>8143.92</v>
      </c>
      <c r="E48" s="1">
        <v>45714</v>
      </c>
      <c r="F48">
        <v>22794.11</v>
      </c>
      <c r="G48" s="1">
        <v>45714</v>
      </c>
      <c r="H48">
        <v>10555.472229999999</v>
      </c>
      <c r="I48" s="1">
        <v>45714</v>
      </c>
      <c r="J48">
        <v>13332</v>
      </c>
      <c r="K48" s="1">
        <v>45714</v>
      </c>
      <c r="L48">
        <v>39224.71</v>
      </c>
    </row>
    <row r="49" spans="1:12" x14ac:dyDescent="0.35">
      <c r="A49" s="1">
        <v>45713</v>
      </c>
      <c r="B49">
        <v>5447.9</v>
      </c>
      <c r="C49" s="1">
        <v>45713</v>
      </c>
      <c r="D49">
        <v>8051.07</v>
      </c>
      <c r="E49" s="1">
        <v>45713</v>
      </c>
      <c r="F49">
        <v>22410.27</v>
      </c>
      <c r="G49" s="1">
        <v>45713</v>
      </c>
      <c r="H49">
        <v>10452.425080000001</v>
      </c>
      <c r="I49" s="1">
        <v>45713</v>
      </c>
      <c r="J49">
        <v>13116.8</v>
      </c>
      <c r="K49" s="1">
        <v>45713</v>
      </c>
      <c r="L49">
        <v>38714.519999999997</v>
      </c>
    </row>
    <row r="50" spans="1:12" x14ac:dyDescent="0.35">
      <c r="A50" s="1">
        <v>45712</v>
      </c>
      <c r="B50">
        <v>5453.76</v>
      </c>
      <c r="C50" s="1">
        <v>45712</v>
      </c>
      <c r="D50">
        <v>8090.99</v>
      </c>
      <c r="E50" s="1">
        <v>45712</v>
      </c>
      <c r="F50">
        <v>22425.93</v>
      </c>
      <c r="G50" s="1">
        <v>45712</v>
      </c>
      <c r="H50">
        <v>10450.63565</v>
      </c>
      <c r="I50" s="1">
        <v>45712</v>
      </c>
      <c r="J50">
        <v>13012.9</v>
      </c>
      <c r="K50" s="1">
        <v>45712</v>
      </c>
      <c r="L50">
        <v>38472.559999999998</v>
      </c>
    </row>
    <row r="51" spans="1:12" x14ac:dyDescent="0.35">
      <c r="A51" s="1">
        <v>45709</v>
      </c>
      <c r="B51">
        <v>5474.85</v>
      </c>
      <c r="C51" s="1">
        <v>45709</v>
      </c>
      <c r="D51">
        <v>8154.51</v>
      </c>
      <c r="E51" s="1">
        <v>45709</v>
      </c>
      <c r="F51">
        <v>22287.56</v>
      </c>
      <c r="G51" s="1">
        <v>45709</v>
      </c>
      <c r="H51">
        <v>10465.23307</v>
      </c>
      <c r="I51" s="1">
        <v>45709</v>
      </c>
      <c r="J51">
        <v>12952</v>
      </c>
      <c r="K51" s="1">
        <v>45709</v>
      </c>
      <c r="L51">
        <v>38421.050000000003</v>
      </c>
    </row>
    <row r="52" spans="1:12" x14ac:dyDescent="0.35">
      <c r="A52" s="1">
        <v>45708</v>
      </c>
      <c r="B52">
        <v>5461.03</v>
      </c>
      <c r="C52" s="1">
        <v>45708</v>
      </c>
      <c r="D52">
        <v>8122.58</v>
      </c>
      <c r="E52" s="1">
        <v>45708</v>
      </c>
      <c r="F52">
        <v>22314.65</v>
      </c>
      <c r="G52" s="1">
        <v>45708</v>
      </c>
      <c r="H52">
        <v>10450.239240000001</v>
      </c>
      <c r="I52" s="1">
        <v>45708</v>
      </c>
      <c r="J52">
        <v>12967.1</v>
      </c>
      <c r="K52" s="1">
        <v>45708</v>
      </c>
      <c r="L52">
        <v>38249.03</v>
      </c>
    </row>
    <row r="53" spans="1:12" x14ac:dyDescent="0.35">
      <c r="A53" s="1">
        <v>45707</v>
      </c>
      <c r="B53">
        <v>5461.17</v>
      </c>
      <c r="C53" s="1">
        <v>45707</v>
      </c>
      <c r="D53">
        <v>8110.54</v>
      </c>
      <c r="E53" s="1">
        <v>45707</v>
      </c>
      <c r="F53">
        <v>22433.63</v>
      </c>
      <c r="G53" s="1">
        <v>45707</v>
      </c>
      <c r="H53">
        <v>10522.828020000001</v>
      </c>
      <c r="I53" s="1">
        <v>45707</v>
      </c>
      <c r="J53">
        <v>12929.4</v>
      </c>
      <c r="K53" s="1">
        <v>45707</v>
      </c>
      <c r="L53">
        <v>38348.160000000003</v>
      </c>
    </row>
    <row r="54" spans="1:12" x14ac:dyDescent="0.35">
      <c r="A54" s="1">
        <v>45706</v>
      </c>
      <c r="B54">
        <v>5533.84</v>
      </c>
      <c r="C54" s="1">
        <v>45706</v>
      </c>
      <c r="D54">
        <v>8206.56</v>
      </c>
      <c r="E54" s="1">
        <v>45706</v>
      </c>
      <c r="F54">
        <v>22844.5</v>
      </c>
      <c r="G54" s="1">
        <v>45706</v>
      </c>
      <c r="H54">
        <v>10574.458930000001</v>
      </c>
      <c r="I54" s="1">
        <v>45706</v>
      </c>
      <c r="J54">
        <v>13143.9</v>
      </c>
      <c r="K54" s="1">
        <v>45706</v>
      </c>
      <c r="L54">
        <v>38554.15</v>
      </c>
    </row>
    <row r="55" spans="1:12" x14ac:dyDescent="0.35">
      <c r="A55" s="1">
        <v>45705</v>
      </c>
      <c r="B55">
        <v>5519.83</v>
      </c>
      <c r="C55" s="1">
        <v>45705</v>
      </c>
      <c r="D55">
        <v>8189.13</v>
      </c>
      <c r="E55" s="1">
        <v>45705</v>
      </c>
      <c r="F55">
        <v>22798.09</v>
      </c>
      <c r="G55" s="1">
        <v>45705</v>
      </c>
      <c r="H55">
        <v>10557.91188</v>
      </c>
      <c r="I55" s="1">
        <v>45705</v>
      </c>
      <c r="J55">
        <v>13016.9</v>
      </c>
      <c r="K55" s="1">
        <v>45705</v>
      </c>
      <c r="L55">
        <v>38327.72</v>
      </c>
    </row>
    <row r="56" spans="1:12" x14ac:dyDescent="0.35">
      <c r="A56" s="1">
        <v>45702</v>
      </c>
      <c r="B56">
        <v>5493.4</v>
      </c>
      <c r="C56" s="1">
        <v>45702</v>
      </c>
      <c r="D56">
        <v>8178.54</v>
      </c>
      <c r="E56" s="1">
        <v>45702</v>
      </c>
      <c r="F56">
        <v>22513.42</v>
      </c>
      <c r="G56" s="1">
        <v>45702</v>
      </c>
      <c r="H56">
        <v>10479.45067</v>
      </c>
      <c r="I56" s="1">
        <v>45702</v>
      </c>
      <c r="J56">
        <v>12956</v>
      </c>
      <c r="K56" s="1">
        <v>45702</v>
      </c>
      <c r="L56">
        <v>37977.589999999997</v>
      </c>
    </row>
    <row r="57" spans="1:12" x14ac:dyDescent="0.35">
      <c r="A57" s="1">
        <v>45701</v>
      </c>
      <c r="B57">
        <v>5500.5</v>
      </c>
      <c r="C57" s="1">
        <v>45701</v>
      </c>
      <c r="D57">
        <v>8164.11</v>
      </c>
      <c r="E57" s="1">
        <v>45701</v>
      </c>
      <c r="F57">
        <v>22612.02</v>
      </c>
      <c r="G57" s="1">
        <v>45701</v>
      </c>
      <c r="H57">
        <v>10526.743130000001</v>
      </c>
      <c r="I57" s="1">
        <v>45701</v>
      </c>
      <c r="J57">
        <v>12936.3</v>
      </c>
      <c r="K57" s="1">
        <v>45701</v>
      </c>
      <c r="L57">
        <v>37908.050000000003</v>
      </c>
    </row>
    <row r="58" spans="1:12" x14ac:dyDescent="0.35">
      <c r="A58" s="1">
        <v>45700</v>
      </c>
      <c r="B58">
        <v>5405.65</v>
      </c>
      <c r="C58" s="1">
        <v>45700</v>
      </c>
      <c r="D58">
        <v>8042.19</v>
      </c>
      <c r="E58" s="1">
        <v>45700</v>
      </c>
      <c r="F58">
        <v>22148.03</v>
      </c>
      <c r="G58" s="1">
        <v>45700</v>
      </c>
      <c r="H58">
        <v>10540.88206</v>
      </c>
      <c r="I58" s="1">
        <v>45700</v>
      </c>
      <c r="J58">
        <v>12911.5</v>
      </c>
      <c r="K58" s="1">
        <v>45700</v>
      </c>
      <c r="L58">
        <v>37531.19</v>
      </c>
    </row>
    <row r="59" spans="1:12" x14ac:dyDescent="0.35">
      <c r="A59" s="1">
        <v>45699</v>
      </c>
      <c r="B59">
        <v>5390.91</v>
      </c>
      <c r="C59" s="1">
        <v>45699</v>
      </c>
      <c r="D59">
        <v>8028.9</v>
      </c>
      <c r="E59" s="1">
        <v>45699</v>
      </c>
      <c r="F59">
        <v>22037.83</v>
      </c>
      <c r="G59" s="1">
        <v>45699</v>
      </c>
      <c r="H59">
        <v>10540.333790000001</v>
      </c>
      <c r="I59" s="1">
        <v>45699</v>
      </c>
      <c r="J59">
        <v>12774.8</v>
      </c>
      <c r="K59" s="1">
        <v>45699</v>
      </c>
      <c r="L59">
        <v>37582.050000000003</v>
      </c>
    </row>
    <row r="60" spans="1:12" x14ac:dyDescent="0.35">
      <c r="A60" s="1">
        <v>45698</v>
      </c>
      <c r="B60">
        <v>5358.3</v>
      </c>
      <c r="C60" s="1">
        <v>45698</v>
      </c>
      <c r="D60">
        <v>8006.22</v>
      </c>
      <c r="E60" s="1">
        <v>45698</v>
      </c>
      <c r="F60">
        <v>21911.74</v>
      </c>
      <c r="G60" s="1">
        <v>45698</v>
      </c>
      <c r="H60">
        <v>10526.12141</v>
      </c>
      <c r="I60" s="1">
        <v>45698</v>
      </c>
      <c r="J60">
        <v>12708.8</v>
      </c>
      <c r="K60" s="1">
        <v>45698</v>
      </c>
      <c r="L60">
        <v>37242.17</v>
      </c>
    </row>
    <row r="61" spans="1:12" x14ac:dyDescent="0.35">
      <c r="A61" s="1">
        <v>45695</v>
      </c>
      <c r="B61">
        <v>5325.4</v>
      </c>
      <c r="C61" s="1">
        <v>45695</v>
      </c>
      <c r="D61">
        <v>7973.03</v>
      </c>
      <c r="E61" s="1">
        <v>45695</v>
      </c>
      <c r="F61">
        <v>21787</v>
      </c>
      <c r="G61" s="1">
        <v>45695</v>
      </c>
      <c r="H61">
        <v>10454.62833</v>
      </c>
      <c r="I61" s="1">
        <v>45695</v>
      </c>
      <c r="J61">
        <v>12688.9</v>
      </c>
      <c r="K61" s="1">
        <v>45695</v>
      </c>
      <c r="L61">
        <v>37055.699999999997</v>
      </c>
    </row>
    <row r="62" spans="1:12" x14ac:dyDescent="0.35">
      <c r="A62" s="1">
        <v>45694</v>
      </c>
      <c r="B62">
        <v>5356.63</v>
      </c>
      <c r="C62" s="1">
        <v>45694</v>
      </c>
      <c r="D62">
        <v>8007.62</v>
      </c>
      <c r="E62" s="1">
        <v>45694</v>
      </c>
      <c r="F62">
        <v>21902.42</v>
      </c>
      <c r="G62" s="1">
        <v>45694</v>
      </c>
      <c r="H62">
        <v>10461.973</v>
      </c>
      <c r="I62" s="1">
        <v>45694</v>
      </c>
      <c r="J62">
        <v>12731</v>
      </c>
      <c r="K62" s="1">
        <v>45694</v>
      </c>
      <c r="L62">
        <v>37121.769999999997</v>
      </c>
    </row>
    <row r="63" spans="1:12" x14ac:dyDescent="0.35">
      <c r="A63" s="1">
        <v>45693</v>
      </c>
      <c r="B63">
        <v>5271.12</v>
      </c>
      <c r="C63" s="1">
        <v>45693</v>
      </c>
      <c r="D63">
        <v>7891.68</v>
      </c>
      <c r="E63" s="1">
        <v>45693</v>
      </c>
      <c r="F63">
        <v>21585.93</v>
      </c>
      <c r="G63" s="1">
        <v>45693</v>
      </c>
      <c r="H63">
        <v>10352.085859999999</v>
      </c>
      <c r="I63" s="1">
        <v>45693</v>
      </c>
      <c r="J63">
        <v>12536.7</v>
      </c>
      <c r="K63" s="1">
        <v>45693</v>
      </c>
      <c r="L63">
        <v>36581.480000000003</v>
      </c>
    </row>
    <row r="64" spans="1:12" x14ac:dyDescent="0.35">
      <c r="A64" s="1">
        <v>45692</v>
      </c>
      <c r="B64">
        <v>5264.59</v>
      </c>
      <c r="C64" s="1">
        <v>45692</v>
      </c>
      <c r="D64">
        <v>7906.4</v>
      </c>
      <c r="E64" s="1">
        <v>45692</v>
      </c>
      <c r="F64">
        <v>21505.7</v>
      </c>
      <c r="G64" s="1">
        <v>45692</v>
      </c>
      <c r="H64">
        <v>10310.19774</v>
      </c>
      <c r="I64" s="1">
        <v>45692</v>
      </c>
      <c r="J64">
        <v>12372.8</v>
      </c>
      <c r="K64" s="1">
        <v>45692</v>
      </c>
      <c r="L64">
        <v>36719.35</v>
      </c>
    </row>
    <row r="65" spans="1:12" x14ac:dyDescent="0.35">
      <c r="A65" s="1">
        <v>45691</v>
      </c>
      <c r="B65">
        <v>5217.91</v>
      </c>
      <c r="C65" s="1">
        <v>45691</v>
      </c>
      <c r="D65">
        <v>7854.92</v>
      </c>
      <c r="E65" s="1">
        <v>45691</v>
      </c>
      <c r="F65">
        <v>21428.240000000002</v>
      </c>
      <c r="G65" s="1">
        <v>45691</v>
      </c>
      <c r="H65">
        <v>10348.700650000001</v>
      </c>
      <c r="I65" s="1">
        <v>45691</v>
      </c>
      <c r="J65">
        <v>12205.8</v>
      </c>
      <c r="K65" s="1">
        <v>45691</v>
      </c>
      <c r="L65">
        <v>36218.980000000003</v>
      </c>
    </row>
    <row r="66" spans="1:12" x14ac:dyDescent="0.35">
      <c r="A66" s="1">
        <v>45688</v>
      </c>
      <c r="B66">
        <v>5286.87</v>
      </c>
      <c r="C66" s="1">
        <v>45688</v>
      </c>
      <c r="D66">
        <v>7950.17</v>
      </c>
      <c r="E66" s="1">
        <v>45688</v>
      </c>
      <c r="F66">
        <v>21732.05</v>
      </c>
      <c r="G66" s="1">
        <v>45688</v>
      </c>
      <c r="H66">
        <v>10367.13031</v>
      </c>
      <c r="I66" s="1">
        <v>45688</v>
      </c>
      <c r="J66">
        <v>12368.9</v>
      </c>
      <c r="K66" s="1">
        <v>45688</v>
      </c>
      <c r="L66">
        <v>36471.75</v>
      </c>
    </row>
    <row r="67" spans="1:12" x14ac:dyDescent="0.35">
      <c r="A67" s="1">
        <v>45687</v>
      </c>
      <c r="B67">
        <v>5282.21</v>
      </c>
      <c r="C67" s="1">
        <v>45687</v>
      </c>
      <c r="D67">
        <v>7941.64</v>
      </c>
      <c r="E67" s="1">
        <v>45687</v>
      </c>
      <c r="F67">
        <v>21727.200000000001</v>
      </c>
      <c r="G67" s="1">
        <v>45687</v>
      </c>
      <c r="H67">
        <v>10330.269899999999</v>
      </c>
      <c r="I67" s="1">
        <v>45687</v>
      </c>
      <c r="J67">
        <v>12419.6</v>
      </c>
      <c r="K67" s="1">
        <v>45687</v>
      </c>
      <c r="L67">
        <v>36429.72</v>
      </c>
    </row>
    <row r="68" spans="1:12" x14ac:dyDescent="0.35">
      <c r="A68" s="1">
        <v>45686</v>
      </c>
      <c r="B68">
        <v>5230.66</v>
      </c>
      <c r="C68" s="1">
        <v>45686</v>
      </c>
      <c r="D68">
        <v>7872.48</v>
      </c>
      <c r="E68" s="1">
        <v>45686</v>
      </c>
      <c r="F68">
        <v>21637.53</v>
      </c>
      <c r="G68" s="1">
        <v>45686</v>
      </c>
      <c r="H68">
        <v>10217.471649999999</v>
      </c>
      <c r="I68" s="1">
        <v>45686</v>
      </c>
      <c r="J68">
        <v>12286.5</v>
      </c>
      <c r="K68" s="1">
        <v>45686</v>
      </c>
      <c r="L68">
        <v>36371.67</v>
      </c>
    </row>
    <row r="69" spans="1:12" x14ac:dyDescent="0.35">
      <c r="A69" s="1">
        <v>45685</v>
      </c>
      <c r="B69">
        <v>5195.71</v>
      </c>
      <c r="C69" s="1">
        <v>45685</v>
      </c>
      <c r="D69">
        <v>7897.37</v>
      </c>
      <c r="E69" s="1">
        <v>45685</v>
      </c>
      <c r="F69">
        <v>21430.58</v>
      </c>
      <c r="G69" s="1">
        <v>45685</v>
      </c>
      <c r="H69">
        <v>10171.41065</v>
      </c>
      <c r="I69" s="1">
        <v>45685</v>
      </c>
      <c r="J69">
        <v>12154.2</v>
      </c>
      <c r="K69" s="1">
        <v>45685</v>
      </c>
      <c r="L69">
        <v>36147.06</v>
      </c>
    </row>
    <row r="70" spans="1:12" x14ac:dyDescent="0.35">
      <c r="A70" s="1">
        <v>45684</v>
      </c>
      <c r="B70">
        <v>5188.45</v>
      </c>
      <c r="C70" s="1">
        <v>45684</v>
      </c>
      <c r="D70">
        <v>7906.58</v>
      </c>
      <c r="E70" s="1">
        <v>45684</v>
      </c>
      <c r="F70">
        <v>21282.18</v>
      </c>
      <c r="G70" s="1">
        <v>45684</v>
      </c>
      <c r="H70">
        <v>10113.81278</v>
      </c>
      <c r="I70" s="1">
        <v>45684</v>
      </c>
      <c r="J70">
        <v>11997.1</v>
      </c>
      <c r="K70" s="1">
        <v>45684</v>
      </c>
      <c r="L70">
        <v>36191.17</v>
      </c>
    </row>
    <row r="71" spans="1:12" x14ac:dyDescent="0.35">
      <c r="A71" s="1">
        <v>45681</v>
      </c>
      <c r="B71">
        <v>5219.37</v>
      </c>
      <c r="C71" s="1">
        <v>45681</v>
      </c>
      <c r="D71">
        <v>7927.62</v>
      </c>
      <c r="E71" s="1">
        <v>45681</v>
      </c>
      <c r="F71">
        <v>21394.93</v>
      </c>
      <c r="G71" s="1">
        <v>45681</v>
      </c>
      <c r="H71">
        <v>10101.545690000001</v>
      </c>
      <c r="I71" s="1">
        <v>45681</v>
      </c>
      <c r="J71">
        <v>11982.6</v>
      </c>
      <c r="K71" s="1">
        <v>45681</v>
      </c>
      <c r="L71">
        <v>36200.720000000001</v>
      </c>
    </row>
    <row r="72" spans="1:12" x14ac:dyDescent="0.35">
      <c r="A72" s="1">
        <v>45680</v>
      </c>
      <c r="B72">
        <v>5217.5</v>
      </c>
      <c r="C72" s="1">
        <v>45680</v>
      </c>
      <c r="D72">
        <v>7892.61</v>
      </c>
      <c r="E72" s="1">
        <v>45680</v>
      </c>
      <c r="F72">
        <v>21411.53</v>
      </c>
      <c r="G72" s="1">
        <v>45680</v>
      </c>
      <c r="H72">
        <v>10154.14473</v>
      </c>
      <c r="I72" s="1">
        <v>45680</v>
      </c>
      <c r="J72">
        <v>11991.5</v>
      </c>
      <c r="K72" s="1">
        <v>45680</v>
      </c>
      <c r="L72">
        <v>36112.839999999997</v>
      </c>
    </row>
    <row r="73" spans="1:12" x14ac:dyDescent="0.35">
      <c r="A73" s="1">
        <v>45679</v>
      </c>
      <c r="B73">
        <v>5205.83</v>
      </c>
      <c r="C73" s="1">
        <v>45679</v>
      </c>
      <c r="D73">
        <v>7837.4</v>
      </c>
      <c r="E73" s="1">
        <v>45679</v>
      </c>
      <c r="F73">
        <v>21254.27</v>
      </c>
      <c r="G73" s="1">
        <v>45679</v>
      </c>
      <c r="H73">
        <v>10107.81337</v>
      </c>
      <c r="I73" s="1">
        <v>45679</v>
      </c>
      <c r="J73">
        <v>11882.7</v>
      </c>
      <c r="K73" s="1">
        <v>45679</v>
      </c>
      <c r="L73">
        <v>35854.07</v>
      </c>
    </row>
    <row r="74" spans="1:12" x14ac:dyDescent="0.35">
      <c r="A74" s="1">
        <v>45678</v>
      </c>
      <c r="B74">
        <v>5165.96</v>
      </c>
      <c r="C74" s="1">
        <v>45678</v>
      </c>
      <c r="D74">
        <v>7770.95</v>
      </c>
      <c r="E74" s="1">
        <v>45678</v>
      </c>
      <c r="F74">
        <v>21042</v>
      </c>
      <c r="G74" s="1">
        <v>45678</v>
      </c>
      <c r="H74">
        <v>10110.951209999999</v>
      </c>
      <c r="I74" s="1">
        <v>45678</v>
      </c>
      <c r="J74">
        <v>11927.4</v>
      </c>
      <c r="K74" s="1">
        <v>45678</v>
      </c>
      <c r="L74">
        <v>36059.17</v>
      </c>
    </row>
    <row r="75" spans="1:12" x14ac:dyDescent="0.35">
      <c r="A75" s="1">
        <v>45677</v>
      </c>
      <c r="B75">
        <v>5164.4399999999996</v>
      </c>
      <c r="C75" s="1">
        <v>45677</v>
      </c>
      <c r="D75">
        <v>7733.5</v>
      </c>
      <c r="E75" s="1">
        <v>45677</v>
      </c>
      <c r="F75">
        <v>20990.31</v>
      </c>
      <c r="G75" s="1">
        <v>45677</v>
      </c>
      <c r="H75">
        <v>10075.99386</v>
      </c>
      <c r="I75" s="1">
        <v>45677</v>
      </c>
      <c r="J75">
        <v>11943.6</v>
      </c>
      <c r="K75" s="1">
        <v>45677</v>
      </c>
      <c r="L75">
        <v>36143.83</v>
      </c>
    </row>
    <row r="76" spans="1:12" x14ac:dyDescent="0.35">
      <c r="A76" s="1">
        <v>45674</v>
      </c>
      <c r="B76">
        <v>5148.3</v>
      </c>
      <c r="C76" s="1">
        <v>45674</v>
      </c>
      <c r="D76">
        <v>7709.75</v>
      </c>
      <c r="E76" s="1">
        <v>45674</v>
      </c>
      <c r="F76">
        <v>20903.39</v>
      </c>
      <c r="G76" s="1">
        <v>45674</v>
      </c>
      <c r="H76">
        <v>10070.42535</v>
      </c>
      <c r="I76" s="1">
        <v>45674</v>
      </c>
      <c r="J76">
        <v>11916.3</v>
      </c>
      <c r="K76" s="1">
        <v>45674</v>
      </c>
      <c r="L76">
        <v>36267.629999999997</v>
      </c>
    </row>
    <row r="77" spans="1:12" x14ac:dyDescent="0.35">
      <c r="A77" s="1">
        <v>45673</v>
      </c>
      <c r="B77">
        <v>5106.93</v>
      </c>
      <c r="C77" s="1">
        <v>45673</v>
      </c>
      <c r="D77">
        <v>7634.74</v>
      </c>
      <c r="E77" s="1">
        <v>45673</v>
      </c>
      <c r="F77">
        <v>20655.39</v>
      </c>
      <c r="G77" s="1">
        <v>45673</v>
      </c>
      <c r="H77">
        <v>9972.9707999999991</v>
      </c>
      <c r="I77" s="1">
        <v>45673</v>
      </c>
      <c r="J77">
        <v>11840.6</v>
      </c>
      <c r="K77" s="1">
        <v>45673</v>
      </c>
      <c r="L77">
        <v>35819.79</v>
      </c>
    </row>
    <row r="78" spans="1:12" x14ac:dyDescent="0.35">
      <c r="A78" s="1">
        <v>45672</v>
      </c>
      <c r="B78">
        <v>5032.3100000000004</v>
      </c>
      <c r="C78" s="1">
        <v>45672</v>
      </c>
      <c r="D78">
        <v>7474.59</v>
      </c>
      <c r="E78" s="1">
        <v>45672</v>
      </c>
      <c r="F78">
        <v>20574.68</v>
      </c>
      <c r="G78" s="1">
        <v>45672</v>
      </c>
      <c r="H78">
        <v>9857.8945100000001</v>
      </c>
      <c r="I78" s="1">
        <v>45672</v>
      </c>
      <c r="J78">
        <v>11898.5</v>
      </c>
      <c r="K78" s="1">
        <v>45672</v>
      </c>
      <c r="L78">
        <v>35646.959999999999</v>
      </c>
    </row>
    <row r="79" spans="1:12" x14ac:dyDescent="0.35">
      <c r="A79" s="1">
        <v>45671</v>
      </c>
      <c r="B79">
        <v>4980.47</v>
      </c>
      <c r="C79" s="1">
        <v>45671</v>
      </c>
      <c r="D79">
        <v>7423.67</v>
      </c>
      <c r="E79" s="1">
        <v>45671</v>
      </c>
      <c r="F79">
        <v>20271.330000000002</v>
      </c>
      <c r="G79" s="1">
        <v>45671</v>
      </c>
      <c r="H79">
        <v>9714.61571</v>
      </c>
      <c r="I79" s="1">
        <v>45671</v>
      </c>
      <c r="J79">
        <v>11752.1</v>
      </c>
      <c r="K79" s="1">
        <v>45671</v>
      </c>
      <c r="L79">
        <v>35124.589999999997</v>
      </c>
    </row>
    <row r="80" spans="1:12" x14ac:dyDescent="0.35">
      <c r="A80" s="1">
        <v>45670</v>
      </c>
      <c r="B80">
        <v>4954.21</v>
      </c>
      <c r="C80" s="1">
        <v>45670</v>
      </c>
      <c r="D80">
        <v>7408.64</v>
      </c>
      <c r="E80" s="1">
        <v>45670</v>
      </c>
      <c r="F80">
        <v>20132.849999999999</v>
      </c>
      <c r="G80" s="1">
        <v>45670</v>
      </c>
      <c r="H80">
        <v>9798.5211500000005</v>
      </c>
      <c r="I80" s="1">
        <v>45670</v>
      </c>
      <c r="J80">
        <v>11688.2</v>
      </c>
      <c r="K80" s="1">
        <v>45670</v>
      </c>
      <c r="L80">
        <v>34799.269999999997</v>
      </c>
    </row>
    <row r="81" spans="1:12" x14ac:dyDescent="0.35">
      <c r="A81" s="1">
        <v>45667</v>
      </c>
      <c r="B81">
        <v>4977.26</v>
      </c>
      <c r="C81" s="1">
        <v>45667</v>
      </c>
      <c r="D81">
        <v>7431.04</v>
      </c>
      <c r="E81" s="1">
        <v>45667</v>
      </c>
      <c r="F81">
        <v>20214.79</v>
      </c>
      <c r="G81" s="1">
        <v>45667</v>
      </c>
      <c r="H81">
        <v>9840.21911</v>
      </c>
      <c r="I81" s="1">
        <v>45667</v>
      </c>
      <c r="J81">
        <v>11720.9</v>
      </c>
      <c r="K81" s="1">
        <v>45667</v>
      </c>
      <c r="L81">
        <v>35090.230000000003</v>
      </c>
    </row>
    <row r="82" spans="1:12" x14ac:dyDescent="0.35">
      <c r="A82" s="1">
        <v>45666</v>
      </c>
      <c r="B82">
        <v>5017.91</v>
      </c>
      <c r="C82" s="1">
        <v>45666</v>
      </c>
      <c r="D82">
        <v>7490.28</v>
      </c>
      <c r="E82" s="1">
        <v>45666</v>
      </c>
      <c r="F82">
        <v>20317.099999999999</v>
      </c>
      <c r="G82" s="1">
        <v>45666</v>
      </c>
      <c r="H82">
        <v>9938.8663400000005</v>
      </c>
      <c r="I82" s="1">
        <v>45666</v>
      </c>
      <c r="J82">
        <v>11899.3</v>
      </c>
      <c r="K82" s="1">
        <v>45666</v>
      </c>
      <c r="L82">
        <v>35315.51</v>
      </c>
    </row>
    <row r="83" spans="1:12" x14ac:dyDescent="0.35">
      <c r="A83" s="1">
        <v>45665</v>
      </c>
      <c r="B83">
        <v>4996.3900000000003</v>
      </c>
      <c r="C83" s="1">
        <v>45665</v>
      </c>
      <c r="D83">
        <v>7452.42</v>
      </c>
      <c r="E83" s="1">
        <v>45665</v>
      </c>
      <c r="F83">
        <v>20329.939999999999</v>
      </c>
      <c r="G83" s="1">
        <v>45665</v>
      </c>
      <c r="H83">
        <v>9884.2631799999999</v>
      </c>
      <c r="I83" s="1">
        <v>45665</v>
      </c>
      <c r="J83">
        <v>11798.1</v>
      </c>
      <c r="K83" s="1">
        <v>45665</v>
      </c>
      <c r="L83">
        <v>35108.74</v>
      </c>
    </row>
    <row r="84" spans="1:12" x14ac:dyDescent="0.35">
      <c r="A84" s="1">
        <v>45664</v>
      </c>
      <c r="B84">
        <v>5011.82</v>
      </c>
      <c r="C84" s="1">
        <v>45664</v>
      </c>
      <c r="D84">
        <v>7489.35</v>
      </c>
      <c r="E84" s="1">
        <v>45664</v>
      </c>
      <c r="F84">
        <v>20340.57</v>
      </c>
      <c r="G84" s="1">
        <v>45664</v>
      </c>
      <c r="H84">
        <v>9941.7382099999995</v>
      </c>
      <c r="I84" s="1">
        <v>45664</v>
      </c>
      <c r="J84">
        <v>11811.9</v>
      </c>
      <c r="K84" s="1">
        <v>45664</v>
      </c>
      <c r="L84">
        <v>34938.9</v>
      </c>
    </row>
    <row r="85" spans="1:12" x14ac:dyDescent="0.35">
      <c r="A85" s="1">
        <v>45663</v>
      </c>
      <c r="B85">
        <v>4986.6400000000003</v>
      </c>
      <c r="C85" s="1">
        <v>45663</v>
      </c>
      <c r="D85">
        <v>7445.69</v>
      </c>
      <c r="E85" s="1">
        <v>45663</v>
      </c>
      <c r="F85">
        <v>20216.189999999999</v>
      </c>
      <c r="G85" s="1">
        <v>45663</v>
      </c>
      <c r="H85">
        <v>9941.2056100000009</v>
      </c>
      <c r="I85" s="1">
        <v>45663</v>
      </c>
      <c r="J85">
        <v>11808.2</v>
      </c>
      <c r="K85" s="1">
        <v>45663</v>
      </c>
      <c r="L85">
        <v>34780.81</v>
      </c>
    </row>
    <row r="86" spans="1:12" x14ac:dyDescent="0.35">
      <c r="A86" s="1">
        <v>45660</v>
      </c>
      <c r="B86">
        <v>4871.45</v>
      </c>
      <c r="C86" s="1">
        <v>45660</v>
      </c>
      <c r="D86">
        <v>7282.22</v>
      </c>
      <c r="E86" s="1">
        <v>45660</v>
      </c>
      <c r="F86">
        <v>19906.080000000002</v>
      </c>
      <c r="G86" s="1">
        <v>45660</v>
      </c>
      <c r="H86">
        <v>9917.0114200000007</v>
      </c>
      <c r="I86" s="1">
        <v>45660</v>
      </c>
      <c r="J86">
        <v>11651.6</v>
      </c>
      <c r="K86" s="1">
        <v>45660</v>
      </c>
      <c r="L86">
        <v>34127.620000000003</v>
      </c>
    </row>
    <row r="87" spans="1:12" x14ac:dyDescent="0.35">
      <c r="A87" s="1">
        <v>45659</v>
      </c>
      <c r="B87">
        <v>4917.88</v>
      </c>
      <c r="C87" s="1">
        <v>45659</v>
      </c>
      <c r="D87">
        <v>7393.76</v>
      </c>
      <c r="E87" s="1">
        <v>45659</v>
      </c>
      <c r="F87">
        <v>20024.66</v>
      </c>
      <c r="G87" s="1">
        <v>45659</v>
      </c>
      <c r="H87">
        <v>9955.5609800000002</v>
      </c>
      <c r="I87" s="1">
        <v>45659</v>
      </c>
      <c r="J87">
        <v>11676.9</v>
      </c>
      <c r="K87" s="1">
        <v>45659</v>
      </c>
      <c r="L87">
        <v>34374.769999999997</v>
      </c>
    </row>
    <row r="88" spans="1:12" x14ac:dyDescent="0.35">
      <c r="A88" s="1">
        <v>45657</v>
      </c>
      <c r="B88">
        <v>4895.9799999999996</v>
      </c>
      <c r="C88" s="1">
        <v>45657</v>
      </c>
      <c r="D88">
        <v>7380.74</v>
      </c>
      <c r="E88" s="1">
        <v>45656</v>
      </c>
      <c r="F88">
        <v>19909.14</v>
      </c>
      <c r="G88" s="1">
        <v>45657</v>
      </c>
      <c r="H88">
        <v>9886.7559600000004</v>
      </c>
      <c r="I88" s="1">
        <v>45657</v>
      </c>
      <c r="J88">
        <v>11595</v>
      </c>
      <c r="K88" s="1">
        <v>45656</v>
      </c>
      <c r="L88">
        <v>34186.18</v>
      </c>
    </row>
    <row r="89" spans="1:12" x14ac:dyDescent="0.35">
      <c r="A89" s="1">
        <v>45656</v>
      </c>
      <c r="B89">
        <v>4869.28</v>
      </c>
      <c r="C89" s="1">
        <v>45656</v>
      </c>
      <c r="D89">
        <v>7313.56</v>
      </c>
      <c r="E89" s="1">
        <v>45653</v>
      </c>
      <c r="F89">
        <v>19984.32</v>
      </c>
      <c r="G89" s="1">
        <v>45656</v>
      </c>
      <c r="H89">
        <v>9801.6231000000007</v>
      </c>
      <c r="I89" s="1">
        <v>45656</v>
      </c>
      <c r="J89">
        <v>11536.8</v>
      </c>
      <c r="K89" s="1">
        <v>45653</v>
      </c>
      <c r="L89">
        <v>34160.97</v>
      </c>
    </row>
    <row r="90" spans="1:12" x14ac:dyDescent="0.35">
      <c r="A90" s="1">
        <v>45653</v>
      </c>
      <c r="B90">
        <v>4898.88</v>
      </c>
      <c r="C90" s="1">
        <v>45653</v>
      </c>
      <c r="D90">
        <v>7355.37</v>
      </c>
      <c r="E90" s="1">
        <v>45649</v>
      </c>
      <c r="F90">
        <v>19848.77</v>
      </c>
      <c r="G90" s="1">
        <v>45653</v>
      </c>
      <c r="H90">
        <v>9822.5925299999999</v>
      </c>
      <c r="I90" s="1">
        <v>45653</v>
      </c>
      <c r="J90">
        <v>11531.6</v>
      </c>
      <c r="K90" s="1">
        <v>45649</v>
      </c>
      <c r="L90">
        <v>33739.9</v>
      </c>
    </row>
    <row r="91" spans="1:12" x14ac:dyDescent="0.35">
      <c r="A91" s="1">
        <v>45650</v>
      </c>
      <c r="B91">
        <v>4857.8599999999997</v>
      </c>
      <c r="C91" s="1">
        <v>45650</v>
      </c>
      <c r="D91">
        <v>7282.69</v>
      </c>
      <c r="E91" s="1">
        <v>45646</v>
      </c>
      <c r="F91">
        <v>19884.75</v>
      </c>
      <c r="G91" s="1">
        <v>45650</v>
      </c>
      <c r="H91">
        <v>9806.0559099999991</v>
      </c>
      <c r="I91" s="1">
        <v>45650</v>
      </c>
      <c r="J91">
        <v>11473.9</v>
      </c>
      <c r="K91" s="1">
        <v>45646</v>
      </c>
      <c r="L91">
        <v>33766.29</v>
      </c>
    </row>
    <row r="92" spans="1:12" x14ac:dyDescent="0.35">
      <c r="A92" s="1">
        <v>45649</v>
      </c>
      <c r="B92">
        <v>4852.93</v>
      </c>
      <c r="C92" s="1">
        <v>45649</v>
      </c>
      <c r="D92">
        <v>7272.32</v>
      </c>
      <c r="E92" s="1">
        <v>45645</v>
      </c>
      <c r="F92">
        <v>19969.86</v>
      </c>
      <c r="G92" s="1">
        <v>45649</v>
      </c>
      <c r="H92">
        <v>9757.0837800000008</v>
      </c>
      <c r="I92" s="1">
        <v>45649</v>
      </c>
      <c r="J92">
        <v>11435.7</v>
      </c>
      <c r="K92" s="1">
        <v>45645</v>
      </c>
      <c r="L92">
        <v>33787</v>
      </c>
    </row>
    <row r="93" spans="1:12" x14ac:dyDescent="0.35">
      <c r="A93" s="1">
        <v>45646</v>
      </c>
      <c r="B93">
        <v>4862.28</v>
      </c>
      <c r="C93" s="1">
        <v>45646</v>
      </c>
      <c r="D93">
        <v>7274.48</v>
      </c>
      <c r="E93" s="1">
        <v>45644</v>
      </c>
      <c r="F93">
        <v>20242.57</v>
      </c>
      <c r="G93" s="1">
        <v>45646</v>
      </c>
      <c r="H93">
        <v>9770.6802599999992</v>
      </c>
      <c r="I93" s="1">
        <v>45646</v>
      </c>
      <c r="J93">
        <v>11467.3</v>
      </c>
      <c r="K93" s="1">
        <v>45644</v>
      </c>
      <c r="L93">
        <v>34400.99</v>
      </c>
    </row>
    <row r="94" spans="1:12" x14ac:dyDescent="0.35">
      <c r="A94" s="1">
        <v>45645</v>
      </c>
      <c r="B94">
        <v>4879</v>
      </c>
      <c r="C94" s="1">
        <v>45645</v>
      </c>
      <c r="D94">
        <v>7294.37</v>
      </c>
      <c r="E94" s="1">
        <v>45643</v>
      </c>
      <c r="F94">
        <v>20246.37</v>
      </c>
      <c r="G94" s="1">
        <v>45645</v>
      </c>
      <c r="H94">
        <v>9785.5195100000001</v>
      </c>
      <c r="I94" s="1">
        <v>45645</v>
      </c>
      <c r="J94">
        <v>11439.9</v>
      </c>
      <c r="K94" s="1">
        <v>45643</v>
      </c>
      <c r="L94">
        <v>34315.24</v>
      </c>
    </row>
    <row r="95" spans="1:12" x14ac:dyDescent="0.35">
      <c r="A95" s="1">
        <v>45644</v>
      </c>
      <c r="B95">
        <v>4957.28</v>
      </c>
      <c r="C95" s="1">
        <v>45644</v>
      </c>
      <c r="D95">
        <v>7384.62</v>
      </c>
      <c r="E95" s="1">
        <v>45642</v>
      </c>
      <c r="F95">
        <v>20313.810000000001</v>
      </c>
      <c r="G95" s="1">
        <v>45644</v>
      </c>
      <c r="H95">
        <v>9944.6007200000004</v>
      </c>
      <c r="I95" s="1">
        <v>45644</v>
      </c>
      <c r="J95">
        <v>11617.9</v>
      </c>
      <c r="K95" s="1">
        <v>45642</v>
      </c>
      <c r="L95">
        <v>34740.25</v>
      </c>
    </row>
    <row r="96" spans="1:12" x14ac:dyDescent="0.35">
      <c r="A96" s="1">
        <v>45643</v>
      </c>
      <c r="B96">
        <v>4942.58</v>
      </c>
      <c r="C96" s="1">
        <v>45643</v>
      </c>
      <c r="D96">
        <v>7365.7</v>
      </c>
      <c r="E96" s="1">
        <v>45639</v>
      </c>
      <c r="F96">
        <v>20405.919999999998</v>
      </c>
      <c r="G96" s="1">
        <v>45643</v>
      </c>
      <c r="H96">
        <v>9927.8994299999995</v>
      </c>
      <c r="I96" s="1">
        <v>45643</v>
      </c>
      <c r="J96">
        <v>11588.1</v>
      </c>
      <c r="K96" s="1">
        <v>45639</v>
      </c>
      <c r="L96">
        <v>34888.79</v>
      </c>
    </row>
    <row r="97" spans="1:12" x14ac:dyDescent="0.35">
      <c r="A97" s="1">
        <v>45642</v>
      </c>
      <c r="B97">
        <v>4947.03</v>
      </c>
      <c r="C97" s="1">
        <v>45642</v>
      </c>
      <c r="D97">
        <v>7357.08</v>
      </c>
      <c r="E97" s="1">
        <v>45638</v>
      </c>
      <c r="F97">
        <v>20426.27</v>
      </c>
      <c r="G97" s="1">
        <v>45642</v>
      </c>
      <c r="H97">
        <v>9969.3254799999995</v>
      </c>
      <c r="I97" s="1">
        <v>45642</v>
      </c>
      <c r="J97">
        <v>11778.6</v>
      </c>
      <c r="K97" s="1">
        <v>45638</v>
      </c>
      <c r="L97">
        <v>34857.370000000003</v>
      </c>
    </row>
    <row r="98" spans="1:12" x14ac:dyDescent="0.35">
      <c r="A98" s="1">
        <v>45639</v>
      </c>
      <c r="B98">
        <v>4967.95</v>
      </c>
      <c r="C98" s="1">
        <v>45639</v>
      </c>
      <c r="D98">
        <v>7409.57</v>
      </c>
      <c r="E98" s="1">
        <v>45637</v>
      </c>
      <c r="F98">
        <v>20399.16</v>
      </c>
      <c r="G98" s="1">
        <v>45639</v>
      </c>
      <c r="H98">
        <v>9980.7988700000005</v>
      </c>
      <c r="I98" s="1">
        <v>45639</v>
      </c>
      <c r="J98">
        <v>11752.1</v>
      </c>
      <c r="K98" s="1">
        <v>45637</v>
      </c>
      <c r="L98">
        <v>34731.31</v>
      </c>
    </row>
    <row r="99" spans="1:12" x14ac:dyDescent="0.35">
      <c r="A99" s="1">
        <v>45638</v>
      </c>
      <c r="B99">
        <v>4965.53</v>
      </c>
      <c r="C99" s="1">
        <v>45638</v>
      </c>
      <c r="D99">
        <v>7420.94</v>
      </c>
      <c r="E99" s="1">
        <v>45636</v>
      </c>
      <c r="F99">
        <v>20329.16</v>
      </c>
      <c r="G99" s="1">
        <v>45638</v>
      </c>
      <c r="H99">
        <v>10054.688819999999</v>
      </c>
      <c r="I99" s="1">
        <v>45638</v>
      </c>
      <c r="J99">
        <v>11764.8</v>
      </c>
      <c r="K99" s="1">
        <v>45636</v>
      </c>
      <c r="L99">
        <v>34524.699999999997</v>
      </c>
    </row>
    <row r="100" spans="1:12" x14ac:dyDescent="0.35">
      <c r="A100" s="1">
        <v>45637</v>
      </c>
      <c r="B100">
        <v>4959.3500000000004</v>
      </c>
      <c r="C100" s="1">
        <v>45637</v>
      </c>
      <c r="D100">
        <v>7423.4</v>
      </c>
      <c r="E100" s="1">
        <v>45635</v>
      </c>
      <c r="F100">
        <v>20345.96</v>
      </c>
      <c r="G100" s="1">
        <v>45637</v>
      </c>
      <c r="H100">
        <v>10086.53162</v>
      </c>
      <c r="I100" s="1">
        <v>45637</v>
      </c>
      <c r="J100">
        <v>11789.3</v>
      </c>
      <c r="K100" s="1">
        <v>45635</v>
      </c>
      <c r="L100">
        <v>34559.83</v>
      </c>
    </row>
    <row r="101" spans="1:12" x14ac:dyDescent="0.35">
      <c r="A101" s="1">
        <v>45636</v>
      </c>
      <c r="B101">
        <v>4951.74</v>
      </c>
      <c r="C101" s="1">
        <v>45636</v>
      </c>
      <c r="D101">
        <v>7394.78</v>
      </c>
      <c r="E101" s="1">
        <v>45632</v>
      </c>
      <c r="F101">
        <v>20384.61</v>
      </c>
      <c r="G101" s="1">
        <v>45636</v>
      </c>
      <c r="H101">
        <v>10042.00462</v>
      </c>
      <c r="I101" s="1">
        <v>45636</v>
      </c>
      <c r="J101">
        <v>11965.5</v>
      </c>
      <c r="K101" s="1">
        <v>45632</v>
      </c>
      <c r="L101">
        <v>34749.5</v>
      </c>
    </row>
    <row r="102" spans="1:12" x14ac:dyDescent="0.35">
      <c r="A102" s="1">
        <v>45635</v>
      </c>
      <c r="B102">
        <v>4985.46</v>
      </c>
      <c r="C102" s="1">
        <v>45635</v>
      </c>
      <c r="D102">
        <v>7480.14</v>
      </c>
      <c r="E102" s="1">
        <v>45631</v>
      </c>
      <c r="F102">
        <v>20358.8</v>
      </c>
      <c r="G102" s="1">
        <v>45635</v>
      </c>
      <c r="H102">
        <v>10094.105579999999</v>
      </c>
      <c r="I102" s="1">
        <v>45635</v>
      </c>
      <c r="J102">
        <v>12011.5</v>
      </c>
      <c r="K102" s="1">
        <v>45631</v>
      </c>
      <c r="L102">
        <v>34626.28</v>
      </c>
    </row>
    <row r="103" spans="1:12" x14ac:dyDescent="0.35">
      <c r="A103" s="1">
        <v>45632</v>
      </c>
      <c r="B103">
        <v>4977.78</v>
      </c>
      <c r="C103" s="1">
        <v>45632</v>
      </c>
      <c r="D103">
        <v>7426.88</v>
      </c>
      <c r="E103" s="1">
        <v>45630</v>
      </c>
      <c r="F103">
        <v>20232.14</v>
      </c>
      <c r="G103" s="1">
        <v>45632</v>
      </c>
      <c r="H103">
        <v>10022.935079999999</v>
      </c>
      <c r="I103" s="1">
        <v>45632</v>
      </c>
      <c r="J103">
        <v>12072</v>
      </c>
      <c r="K103" s="1">
        <v>45630</v>
      </c>
      <c r="L103">
        <v>34083.910000000003</v>
      </c>
    </row>
    <row r="104" spans="1:12" x14ac:dyDescent="0.35">
      <c r="A104" s="1">
        <v>45631</v>
      </c>
      <c r="B104">
        <v>4951.58</v>
      </c>
      <c r="C104" s="1">
        <v>45631</v>
      </c>
      <c r="D104">
        <v>7330.54</v>
      </c>
      <c r="E104" s="1">
        <v>45629</v>
      </c>
      <c r="F104">
        <v>20016.75</v>
      </c>
      <c r="G104" s="1">
        <v>45631</v>
      </c>
      <c r="H104">
        <v>10070.926079999999</v>
      </c>
      <c r="I104" s="1">
        <v>45631</v>
      </c>
      <c r="J104">
        <v>12118.7</v>
      </c>
      <c r="K104" s="1">
        <v>45629</v>
      </c>
      <c r="L104">
        <v>33829.339999999997</v>
      </c>
    </row>
    <row r="105" spans="1:12" x14ac:dyDescent="0.35">
      <c r="A105" s="1">
        <v>45630</v>
      </c>
      <c r="B105">
        <v>4919.0200000000004</v>
      </c>
      <c r="C105" s="1">
        <v>45630</v>
      </c>
      <c r="D105">
        <v>7303.28</v>
      </c>
      <c r="E105" s="1">
        <v>45628</v>
      </c>
      <c r="F105">
        <v>19933.62</v>
      </c>
      <c r="G105" s="1">
        <v>45630</v>
      </c>
      <c r="H105">
        <v>10060.405790000001</v>
      </c>
      <c r="I105" s="1">
        <v>45630</v>
      </c>
      <c r="J105">
        <v>11931.6</v>
      </c>
      <c r="K105" s="1">
        <v>45628</v>
      </c>
      <c r="L105">
        <v>33483.17</v>
      </c>
    </row>
    <row r="106" spans="1:12" x14ac:dyDescent="0.35">
      <c r="A106" s="1">
        <v>45629</v>
      </c>
      <c r="B106">
        <v>4878.51</v>
      </c>
      <c r="C106" s="1">
        <v>45629</v>
      </c>
      <c r="D106">
        <v>7255.42</v>
      </c>
      <c r="E106" s="1">
        <v>45625</v>
      </c>
      <c r="F106">
        <v>19626.45</v>
      </c>
      <c r="G106" s="1">
        <v>45629</v>
      </c>
      <c r="H106">
        <v>10076.705449999999</v>
      </c>
      <c r="I106" s="1">
        <v>45629</v>
      </c>
      <c r="J106">
        <v>11873.6</v>
      </c>
      <c r="K106" s="1">
        <v>45625</v>
      </c>
      <c r="L106">
        <v>33414.559999999998</v>
      </c>
    </row>
    <row r="107" spans="1:12" x14ac:dyDescent="0.35">
      <c r="A107" s="1">
        <v>45628</v>
      </c>
      <c r="B107">
        <v>4846.7299999999996</v>
      </c>
      <c r="C107" s="1">
        <v>45628</v>
      </c>
      <c r="D107">
        <v>7236.89</v>
      </c>
      <c r="E107" s="1">
        <v>45624</v>
      </c>
      <c r="F107">
        <v>19425.73</v>
      </c>
      <c r="G107" s="1">
        <v>45628</v>
      </c>
      <c r="H107">
        <v>10021.7564</v>
      </c>
      <c r="I107" s="1">
        <v>45628</v>
      </c>
      <c r="J107">
        <v>11735.3</v>
      </c>
      <c r="K107" s="1">
        <v>45624</v>
      </c>
      <c r="L107">
        <v>33260.129999999997</v>
      </c>
    </row>
    <row r="108" spans="1:12" x14ac:dyDescent="0.35">
      <c r="A108" s="1">
        <v>45625</v>
      </c>
      <c r="B108">
        <v>4804.3999999999996</v>
      </c>
      <c r="C108" s="1">
        <v>45625</v>
      </c>
      <c r="D108">
        <v>7235.11</v>
      </c>
      <c r="E108" s="1">
        <v>45623</v>
      </c>
      <c r="F108">
        <v>19261.75</v>
      </c>
      <c r="G108" s="1">
        <v>45625</v>
      </c>
      <c r="H108">
        <v>9978.0095799999999</v>
      </c>
      <c r="I108" s="1">
        <v>45625</v>
      </c>
      <c r="J108">
        <v>11641.3</v>
      </c>
      <c r="K108" s="1">
        <v>45623</v>
      </c>
      <c r="L108">
        <v>33089.72</v>
      </c>
    </row>
    <row r="109" spans="1:12" x14ac:dyDescent="0.35">
      <c r="A109" s="1">
        <v>45624</v>
      </c>
      <c r="B109">
        <v>4758.6499999999996</v>
      </c>
      <c r="C109" s="1">
        <v>45624</v>
      </c>
      <c r="D109">
        <v>7179.25</v>
      </c>
      <c r="E109" s="1">
        <v>45622</v>
      </c>
      <c r="F109">
        <v>19295.98</v>
      </c>
      <c r="G109" s="1">
        <v>45624</v>
      </c>
      <c r="H109">
        <v>9956.6113299999997</v>
      </c>
      <c r="I109" s="1">
        <v>45624</v>
      </c>
      <c r="J109">
        <v>11610.8</v>
      </c>
      <c r="K109" s="1">
        <v>45622</v>
      </c>
      <c r="L109">
        <v>33167.64</v>
      </c>
    </row>
    <row r="110" spans="1:12" x14ac:dyDescent="0.35">
      <c r="A110" s="1">
        <v>45623</v>
      </c>
      <c r="B110">
        <v>4733.1499999999996</v>
      </c>
      <c r="C110" s="1">
        <v>45623</v>
      </c>
      <c r="D110">
        <v>7143.03</v>
      </c>
      <c r="E110" s="1">
        <v>45621</v>
      </c>
      <c r="F110">
        <v>19405.2</v>
      </c>
      <c r="G110" s="1">
        <v>45623</v>
      </c>
      <c r="H110">
        <v>9917.0249899999999</v>
      </c>
      <c r="I110" s="1">
        <v>45623</v>
      </c>
      <c r="J110">
        <v>11579.5</v>
      </c>
      <c r="K110" s="1">
        <v>45621</v>
      </c>
      <c r="L110">
        <v>33427.72</v>
      </c>
    </row>
    <row r="111" spans="1:12" x14ac:dyDescent="0.35">
      <c r="A111" s="1">
        <v>45622</v>
      </c>
      <c r="B111">
        <v>4761.99</v>
      </c>
      <c r="C111" s="1">
        <v>45622</v>
      </c>
      <c r="D111">
        <v>7194.51</v>
      </c>
      <c r="E111" s="1">
        <v>45618</v>
      </c>
      <c r="F111">
        <v>19322.59</v>
      </c>
      <c r="G111" s="1">
        <v>45622</v>
      </c>
      <c r="H111">
        <v>9889.0347199999997</v>
      </c>
      <c r="I111" s="1">
        <v>45622</v>
      </c>
      <c r="J111">
        <v>11617.9</v>
      </c>
      <c r="K111" s="1">
        <v>45618</v>
      </c>
      <c r="L111">
        <v>33494.83</v>
      </c>
    </row>
    <row r="112" spans="1:12" x14ac:dyDescent="0.35">
      <c r="A112" s="1">
        <v>45621</v>
      </c>
      <c r="B112">
        <v>4799.87</v>
      </c>
      <c r="C112" s="1">
        <v>45621</v>
      </c>
      <c r="D112">
        <v>7257.47</v>
      </c>
      <c r="E112" s="1">
        <v>45617</v>
      </c>
      <c r="F112">
        <v>19146.169999999998</v>
      </c>
      <c r="G112" s="1">
        <v>45621</v>
      </c>
      <c r="H112">
        <v>9926.9264500000008</v>
      </c>
      <c r="I112" s="1">
        <v>45621</v>
      </c>
      <c r="J112">
        <v>11711.8</v>
      </c>
      <c r="K112" s="1">
        <v>45617</v>
      </c>
      <c r="L112">
        <v>33294.959999999999</v>
      </c>
    </row>
    <row r="113" spans="1:12" x14ac:dyDescent="0.35">
      <c r="A113" s="1">
        <v>45618</v>
      </c>
      <c r="B113">
        <v>4789.08</v>
      </c>
      <c r="C113" s="1">
        <v>45618</v>
      </c>
      <c r="D113">
        <v>7255.01</v>
      </c>
      <c r="E113" s="1">
        <v>45616</v>
      </c>
      <c r="F113">
        <v>19004.78</v>
      </c>
      <c r="G113" s="1">
        <v>45618</v>
      </c>
      <c r="H113">
        <v>9936.0651099999995</v>
      </c>
      <c r="I113" s="1">
        <v>45618</v>
      </c>
      <c r="J113">
        <v>11656.6</v>
      </c>
      <c r="K113" s="1">
        <v>45616</v>
      </c>
      <c r="L113">
        <v>33227.699999999997</v>
      </c>
    </row>
    <row r="114" spans="1:12" x14ac:dyDescent="0.35">
      <c r="A114" s="1">
        <v>45617</v>
      </c>
      <c r="B114">
        <v>4755.83</v>
      </c>
      <c r="C114" s="1">
        <v>45617</v>
      </c>
      <c r="D114">
        <v>7213.32</v>
      </c>
      <c r="E114" s="1">
        <v>45615</v>
      </c>
      <c r="F114">
        <v>19060.310000000001</v>
      </c>
      <c r="G114" s="1">
        <v>45617</v>
      </c>
      <c r="H114">
        <v>9790.3129300000001</v>
      </c>
      <c r="I114" s="1">
        <v>45617</v>
      </c>
      <c r="J114">
        <v>11611.7</v>
      </c>
      <c r="K114" s="1">
        <v>45615</v>
      </c>
      <c r="L114">
        <v>33324.730000000003</v>
      </c>
    </row>
    <row r="115" spans="1:12" x14ac:dyDescent="0.35">
      <c r="A115" s="1">
        <v>45616</v>
      </c>
      <c r="B115">
        <v>4729.71</v>
      </c>
      <c r="C115" s="1">
        <v>45616</v>
      </c>
      <c r="D115">
        <v>7198.45</v>
      </c>
      <c r="E115" s="1">
        <v>45614</v>
      </c>
      <c r="F115">
        <v>19189.189999999999</v>
      </c>
      <c r="G115" s="1">
        <v>45616</v>
      </c>
      <c r="H115">
        <v>9714.0596100000002</v>
      </c>
      <c r="I115" s="1">
        <v>45616</v>
      </c>
      <c r="J115">
        <v>11589.5</v>
      </c>
      <c r="K115" s="1">
        <v>45614</v>
      </c>
      <c r="L115">
        <v>33758.43</v>
      </c>
    </row>
    <row r="116" spans="1:12" x14ac:dyDescent="0.35">
      <c r="A116" s="1">
        <v>45615</v>
      </c>
      <c r="B116">
        <v>4751.2299999999996</v>
      </c>
      <c r="C116" s="1">
        <v>45615</v>
      </c>
      <c r="D116">
        <v>7229.64</v>
      </c>
      <c r="E116" s="1">
        <v>45611</v>
      </c>
      <c r="F116">
        <v>19210.810000000001</v>
      </c>
      <c r="G116" s="1">
        <v>45615</v>
      </c>
      <c r="H116">
        <v>9699.6864299999997</v>
      </c>
      <c r="I116" s="1">
        <v>45615</v>
      </c>
      <c r="J116">
        <v>11588.4</v>
      </c>
      <c r="K116" s="1">
        <v>45611</v>
      </c>
      <c r="L116">
        <v>34191.79</v>
      </c>
    </row>
    <row r="117" spans="1:12" x14ac:dyDescent="0.35">
      <c r="A117" s="1">
        <v>45614</v>
      </c>
      <c r="B117">
        <v>4790.33</v>
      </c>
      <c r="C117" s="1">
        <v>45614</v>
      </c>
      <c r="D117">
        <v>7278.23</v>
      </c>
      <c r="E117" s="1">
        <v>45610</v>
      </c>
      <c r="F117">
        <v>19263.7</v>
      </c>
      <c r="G117" s="1">
        <v>45614</v>
      </c>
      <c r="H117">
        <v>9698.1066100000007</v>
      </c>
      <c r="I117" s="1">
        <v>45614</v>
      </c>
      <c r="J117">
        <v>11674.8</v>
      </c>
      <c r="K117" s="1">
        <v>45610</v>
      </c>
      <c r="L117">
        <v>34358.160000000003</v>
      </c>
    </row>
    <row r="118" spans="1:12" x14ac:dyDescent="0.35">
      <c r="A118" s="1">
        <v>45611</v>
      </c>
      <c r="B118">
        <v>4794.8500000000004</v>
      </c>
      <c r="C118" s="1">
        <v>45611</v>
      </c>
      <c r="D118">
        <v>7269.63</v>
      </c>
      <c r="E118" s="1">
        <v>45609</v>
      </c>
      <c r="F118">
        <v>19003.11</v>
      </c>
      <c r="G118" s="1">
        <v>45611</v>
      </c>
      <c r="H118">
        <v>9652.0242199999993</v>
      </c>
      <c r="I118" s="1">
        <v>45611</v>
      </c>
      <c r="J118">
        <v>11635.9</v>
      </c>
      <c r="K118" s="1">
        <v>45609</v>
      </c>
      <c r="L118">
        <v>33707.519999999997</v>
      </c>
    </row>
    <row r="119" spans="1:12" x14ac:dyDescent="0.35">
      <c r="A119" s="1">
        <v>45610</v>
      </c>
      <c r="B119">
        <v>4833.53</v>
      </c>
      <c r="C119" s="1">
        <v>45610</v>
      </c>
      <c r="D119">
        <v>7311.8</v>
      </c>
      <c r="E119" s="1">
        <v>45608</v>
      </c>
      <c r="F119">
        <v>19033.64</v>
      </c>
      <c r="G119" s="1">
        <v>45610</v>
      </c>
      <c r="H119">
        <v>9710.0413499999995</v>
      </c>
      <c r="I119" s="1">
        <v>45610</v>
      </c>
      <c r="J119">
        <v>11524.3</v>
      </c>
      <c r="K119" s="1">
        <v>45608</v>
      </c>
      <c r="L119">
        <v>33607.14</v>
      </c>
    </row>
    <row r="120" spans="1:12" x14ac:dyDescent="0.35">
      <c r="A120" s="1">
        <v>45609</v>
      </c>
      <c r="B120">
        <v>4740.34</v>
      </c>
      <c r="C120" s="1">
        <v>45609</v>
      </c>
      <c r="D120">
        <v>7216.83</v>
      </c>
      <c r="E120" s="1">
        <v>45607</v>
      </c>
      <c r="F120">
        <v>19448.599999999999</v>
      </c>
      <c r="G120" s="1">
        <v>45609</v>
      </c>
      <c r="H120">
        <v>9657.0625700000001</v>
      </c>
      <c r="I120" s="1">
        <v>45609</v>
      </c>
      <c r="J120">
        <v>11377.1</v>
      </c>
      <c r="K120" s="1">
        <v>45607</v>
      </c>
      <c r="L120">
        <v>34343.83</v>
      </c>
    </row>
    <row r="121" spans="1:12" x14ac:dyDescent="0.35">
      <c r="A121" s="1">
        <v>45608</v>
      </c>
      <c r="B121">
        <v>4744.6899999999996</v>
      </c>
      <c r="C121" s="1">
        <v>45608</v>
      </c>
      <c r="D121">
        <v>7226.98</v>
      </c>
      <c r="E121" s="1">
        <v>45604</v>
      </c>
      <c r="F121">
        <v>19215.48</v>
      </c>
      <c r="G121" s="1">
        <v>45608</v>
      </c>
      <c r="H121">
        <v>9634.4045800000004</v>
      </c>
      <c r="I121" s="1">
        <v>45608</v>
      </c>
      <c r="J121">
        <v>11382.6</v>
      </c>
      <c r="K121" s="1">
        <v>45604</v>
      </c>
      <c r="L121">
        <v>33816.58</v>
      </c>
    </row>
    <row r="122" spans="1:12" x14ac:dyDescent="0.35">
      <c r="A122" s="1">
        <v>45607</v>
      </c>
      <c r="B122">
        <v>4854.03</v>
      </c>
      <c r="C122" s="1">
        <v>45607</v>
      </c>
      <c r="D122">
        <v>7426.88</v>
      </c>
      <c r="E122" s="1">
        <v>45603</v>
      </c>
      <c r="F122">
        <v>19362.52</v>
      </c>
      <c r="G122" s="1">
        <v>45607</v>
      </c>
      <c r="H122">
        <v>9815.2356199999995</v>
      </c>
      <c r="I122" s="1">
        <v>45607</v>
      </c>
      <c r="J122">
        <v>11597.3</v>
      </c>
      <c r="K122" s="1">
        <v>45603</v>
      </c>
      <c r="L122">
        <v>33981.230000000003</v>
      </c>
    </row>
    <row r="123" spans="1:12" x14ac:dyDescent="0.35">
      <c r="A123" s="1">
        <v>45604</v>
      </c>
      <c r="B123">
        <v>4802.76</v>
      </c>
      <c r="C123" s="1">
        <v>45604</v>
      </c>
      <c r="D123">
        <v>7338.67</v>
      </c>
      <c r="E123" s="1">
        <v>45602</v>
      </c>
      <c r="F123">
        <v>19039.310000000001</v>
      </c>
      <c r="G123" s="1">
        <v>45604</v>
      </c>
      <c r="H123">
        <v>9721.6933300000001</v>
      </c>
      <c r="I123" s="1">
        <v>45604</v>
      </c>
      <c r="J123">
        <v>11551.6</v>
      </c>
      <c r="K123" s="1">
        <v>45602</v>
      </c>
      <c r="L123">
        <v>33940.720000000001</v>
      </c>
    </row>
    <row r="124" spans="1:12" x14ac:dyDescent="0.35">
      <c r="A124" s="1">
        <v>45603</v>
      </c>
      <c r="B124">
        <v>4851.96</v>
      </c>
      <c r="C124" s="1">
        <v>45603</v>
      </c>
      <c r="D124">
        <v>7425.6</v>
      </c>
      <c r="E124" s="1">
        <v>45601</v>
      </c>
      <c r="F124">
        <v>19256.27</v>
      </c>
      <c r="G124" s="1">
        <v>45603</v>
      </c>
      <c r="H124">
        <v>9786.9701600000008</v>
      </c>
      <c r="I124" s="1">
        <v>45603</v>
      </c>
      <c r="J124">
        <v>11570.1</v>
      </c>
      <c r="K124" s="1">
        <v>45601</v>
      </c>
      <c r="L124">
        <v>34472.06</v>
      </c>
    </row>
    <row r="125" spans="1:12" x14ac:dyDescent="0.35">
      <c r="A125" s="1">
        <v>45602</v>
      </c>
      <c r="B125">
        <v>4800.63</v>
      </c>
      <c r="C125" s="1">
        <v>45602</v>
      </c>
      <c r="D125">
        <v>7369.61</v>
      </c>
      <c r="E125" s="1">
        <v>45600</v>
      </c>
      <c r="F125">
        <v>19147.849999999999</v>
      </c>
      <c r="G125" s="1">
        <v>45602</v>
      </c>
      <c r="H125">
        <v>9813.4152300000005</v>
      </c>
      <c r="I125" s="1">
        <v>45602</v>
      </c>
      <c r="J125">
        <v>11495.3</v>
      </c>
      <c r="K125" s="1">
        <v>45600</v>
      </c>
      <c r="L125">
        <v>34540.730000000003</v>
      </c>
    </row>
    <row r="126" spans="1:12" x14ac:dyDescent="0.35">
      <c r="A126" s="1">
        <v>45601</v>
      </c>
      <c r="B126">
        <v>4870.33</v>
      </c>
      <c r="C126" s="1">
        <v>45601</v>
      </c>
      <c r="D126">
        <v>7407.15</v>
      </c>
      <c r="E126" s="1">
        <v>45597</v>
      </c>
      <c r="F126">
        <v>19254.97</v>
      </c>
      <c r="G126" s="1">
        <v>45601</v>
      </c>
      <c r="H126">
        <v>9745.55638</v>
      </c>
      <c r="I126" s="1">
        <v>45601</v>
      </c>
      <c r="J126">
        <v>11839.2</v>
      </c>
      <c r="K126" s="1">
        <v>45597</v>
      </c>
      <c r="L126">
        <v>34676.17</v>
      </c>
    </row>
    <row r="127" spans="1:12" x14ac:dyDescent="0.35">
      <c r="A127" s="1">
        <v>45600</v>
      </c>
      <c r="B127">
        <v>4852.1000000000004</v>
      </c>
      <c r="C127" s="1">
        <v>45600</v>
      </c>
      <c r="D127">
        <v>7371.71</v>
      </c>
      <c r="E127" s="1">
        <v>45596</v>
      </c>
      <c r="F127">
        <v>19077.54</v>
      </c>
      <c r="G127" s="1">
        <v>45600</v>
      </c>
      <c r="H127">
        <v>9737.8100300000006</v>
      </c>
      <c r="I127" s="1">
        <v>45600</v>
      </c>
      <c r="J127">
        <v>11805.1</v>
      </c>
      <c r="K127" s="1">
        <v>45596</v>
      </c>
      <c r="L127">
        <v>34281.24</v>
      </c>
    </row>
    <row r="128" spans="1:12" x14ac:dyDescent="0.35">
      <c r="A128" s="1">
        <v>45597</v>
      </c>
      <c r="B128">
        <v>4877.75</v>
      </c>
      <c r="C128" s="1">
        <v>45597</v>
      </c>
      <c r="D128">
        <v>7409.11</v>
      </c>
      <c r="E128" s="1">
        <v>45595</v>
      </c>
      <c r="F128">
        <v>19257.34</v>
      </c>
      <c r="G128" s="1">
        <v>45597</v>
      </c>
      <c r="H128">
        <v>9755.8319699999993</v>
      </c>
      <c r="I128" s="1">
        <v>45597</v>
      </c>
      <c r="J128">
        <v>11843</v>
      </c>
      <c r="K128" s="1">
        <v>45595</v>
      </c>
      <c r="L128">
        <v>34502.699999999997</v>
      </c>
    </row>
    <row r="129" spans="1:12" x14ac:dyDescent="0.35">
      <c r="A129" s="1">
        <v>45596</v>
      </c>
      <c r="B129">
        <v>4827.63</v>
      </c>
      <c r="C129" s="1">
        <v>45596</v>
      </c>
      <c r="D129">
        <v>7350.37</v>
      </c>
      <c r="E129" s="1">
        <v>45594</v>
      </c>
      <c r="F129">
        <v>19478.07</v>
      </c>
      <c r="G129" s="1">
        <v>45596</v>
      </c>
      <c r="H129">
        <v>9601.9044400000002</v>
      </c>
      <c r="I129" s="1">
        <v>45596</v>
      </c>
      <c r="J129">
        <v>11672.6</v>
      </c>
      <c r="K129" s="1">
        <v>45594</v>
      </c>
      <c r="L129">
        <v>34925.589999999997</v>
      </c>
    </row>
    <row r="130" spans="1:12" x14ac:dyDescent="0.35">
      <c r="A130" s="1">
        <v>45595</v>
      </c>
      <c r="B130">
        <v>4885.75</v>
      </c>
      <c r="C130" s="1">
        <v>45595</v>
      </c>
      <c r="D130">
        <v>7428.36</v>
      </c>
      <c r="E130" s="1">
        <v>45593</v>
      </c>
      <c r="F130">
        <v>19531.62</v>
      </c>
      <c r="G130" s="1">
        <v>45595</v>
      </c>
      <c r="H130">
        <v>9745.5989499999996</v>
      </c>
      <c r="I130" s="1">
        <v>45595</v>
      </c>
      <c r="J130">
        <v>11715</v>
      </c>
      <c r="K130" s="1">
        <v>45593</v>
      </c>
      <c r="L130">
        <v>35016.44</v>
      </c>
    </row>
    <row r="131" spans="1:12" x14ac:dyDescent="0.35">
      <c r="A131" s="1">
        <v>45594</v>
      </c>
      <c r="B131">
        <v>4950.0200000000004</v>
      </c>
      <c r="C131" s="1">
        <v>45594</v>
      </c>
      <c r="D131">
        <v>7511.11</v>
      </c>
      <c r="E131" s="1">
        <v>45590</v>
      </c>
      <c r="F131">
        <v>19463.59</v>
      </c>
      <c r="G131" s="1">
        <v>45594</v>
      </c>
      <c r="H131">
        <v>9887.7207500000004</v>
      </c>
      <c r="I131" s="1">
        <v>45594</v>
      </c>
      <c r="J131">
        <v>11795.3</v>
      </c>
      <c r="K131" s="1">
        <v>45590</v>
      </c>
      <c r="L131">
        <v>34776.1</v>
      </c>
    </row>
    <row r="132" spans="1:12" x14ac:dyDescent="0.35">
      <c r="A132" s="1">
        <v>45593</v>
      </c>
      <c r="B132">
        <v>4969.83</v>
      </c>
      <c r="C132" s="1">
        <v>45593</v>
      </c>
      <c r="D132">
        <v>7556.94</v>
      </c>
      <c r="E132" s="1">
        <v>45589</v>
      </c>
      <c r="F132">
        <v>19443</v>
      </c>
      <c r="G132" s="1">
        <v>45593</v>
      </c>
      <c r="H132">
        <v>9941.3648499999999</v>
      </c>
      <c r="I132" s="1">
        <v>45593</v>
      </c>
      <c r="J132">
        <v>11904</v>
      </c>
      <c r="K132" s="1">
        <v>45589</v>
      </c>
      <c r="L132">
        <v>34698.81</v>
      </c>
    </row>
    <row r="133" spans="1:12" x14ac:dyDescent="0.35">
      <c r="A133" s="1">
        <v>45590</v>
      </c>
      <c r="B133">
        <v>4943.09</v>
      </c>
      <c r="C133" s="1">
        <v>45590</v>
      </c>
      <c r="D133">
        <v>7497.54</v>
      </c>
      <c r="E133" s="1">
        <v>45588</v>
      </c>
      <c r="F133">
        <v>19377.62</v>
      </c>
      <c r="G133" s="1">
        <v>45590</v>
      </c>
      <c r="H133">
        <v>9907.0057099999995</v>
      </c>
      <c r="I133" s="1">
        <v>45590</v>
      </c>
      <c r="J133">
        <v>11812.5</v>
      </c>
      <c r="K133" s="1">
        <v>45588</v>
      </c>
      <c r="L133">
        <v>34697.230000000003</v>
      </c>
    </row>
    <row r="134" spans="1:12" x14ac:dyDescent="0.35">
      <c r="A134" s="1">
        <v>45589</v>
      </c>
      <c r="B134">
        <v>4935.45</v>
      </c>
      <c r="C134" s="1">
        <v>45589</v>
      </c>
      <c r="D134">
        <v>7503.28</v>
      </c>
      <c r="E134" s="1">
        <v>45587</v>
      </c>
      <c r="F134">
        <v>19421.91</v>
      </c>
      <c r="G134" s="1">
        <v>45589</v>
      </c>
      <c r="H134">
        <v>9913.1592600000004</v>
      </c>
      <c r="I134" s="1">
        <v>45589</v>
      </c>
      <c r="J134">
        <v>11839.8</v>
      </c>
      <c r="K134" s="1">
        <v>45587</v>
      </c>
      <c r="L134">
        <v>34733.519999999997</v>
      </c>
    </row>
    <row r="135" spans="1:12" x14ac:dyDescent="0.35">
      <c r="A135" s="1">
        <v>45588</v>
      </c>
      <c r="B135">
        <v>4922.55</v>
      </c>
      <c r="C135" s="1">
        <v>45588</v>
      </c>
      <c r="D135">
        <v>7497.48</v>
      </c>
      <c r="E135" s="1">
        <v>45586</v>
      </c>
      <c r="F135">
        <v>19461.189999999999</v>
      </c>
      <c r="G135" s="1">
        <v>45588</v>
      </c>
      <c r="H135">
        <v>9911.4412499999999</v>
      </c>
      <c r="I135" s="1">
        <v>45588</v>
      </c>
      <c r="J135">
        <v>11865.2</v>
      </c>
      <c r="K135" s="1">
        <v>45586</v>
      </c>
      <c r="L135">
        <v>34955.949999999997</v>
      </c>
    </row>
    <row r="136" spans="1:12" x14ac:dyDescent="0.35">
      <c r="A136" s="1">
        <v>45587</v>
      </c>
      <c r="B136">
        <v>4939.3100000000004</v>
      </c>
      <c r="C136" s="1">
        <v>45587</v>
      </c>
      <c r="D136">
        <v>7535.1</v>
      </c>
      <c r="E136" s="1">
        <v>45583</v>
      </c>
      <c r="F136">
        <v>19657.37</v>
      </c>
      <c r="G136" s="1">
        <v>45587</v>
      </c>
      <c r="H136">
        <v>9971.9982</v>
      </c>
      <c r="I136" s="1">
        <v>45587</v>
      </c>
      <c r="J136">
        <v>11832.7</v>
      </c>
      <c r="K136" s="1">
        <v>45583</v>
      </c>
      <c r="L136">
        <v>35204.26</v>
      </c>
    </row>
    <row r="137" spans="1:12" x14ac:dyDescent="0.35">
      <c r="A137" s="1">
        <v>45586</v>
      </c>
      <c r="B137">
        <v>4941.22</v>
      </c>
      <c r="C137" s="1">
        <v>45586</v>
      </c>
      <c r="D137">
        <v>7536.23</v>
      </c>
      <c r="E137" s="1">
        <v>45582</v>
      </c>
      <c r="F137">
        <v>19583.39</v>
      </c>
      <c r="G137" s="1">
        <v>45586</v>
      </c>
      <c r="H137">
        <v>9985.1171900000008</v>
      </c>
      <c r="I137" s="1">
        <v>45586</v>
      </c>
      <c r="J137">
        <v>11841.1</v>
      </c>
      <c r="K137" s="1">
        <v>45582</v>
      </c>
      <c r="L137">
        <v>35038.730000000003</v>
      </c>
    </row>
    <row r="138" spans="1:12" x14ac:dyDescent="0.35">
      <c r="A138" s="1">
        <v>45583</v>
      </c>
      <c r="B138">
        <v>4986.2700000000004</v>
      </c>
      <c r="C138" s="1">
        <v>45583</v>
      </c>
      <c r="D138">
        <v>7613.05</v>
      </c>
      <c r="E138" s="1">
        <v>45581</v>
      </c>
      <c r="F138">
        <v>19432.810000000001</v>
      </c>
      <c r="G138" s="1">
        <v>45583</v>
      </c>
      <c r="H138">
        <v>10032.66891</v>
      </c>
      <c r="I138" s="1">
        <v>45583</v>
      </c>
      <c r="J138">
        <v>11925.2</v>
      </c>
      <c r="K138" s="1">
        <v>45581</v>
      </c>
      <c r="L138">
        <v>34660</v>
      </c>
    </row>
    <row r="139" spans="1:12" x14ac:dyDescent="0.35">
      <c r="A139" s="1">
        <v>45582</v>
      </c>
      <c r="B139">
        <v>4947.3</v>
      </c>
      <c r="C139" s="1">
        <v>45582</v>
      </c>
      <c r="D139">
        <v>7583.73</v>
      </c>
      <c r="E139" s="1">
        <v>45580</v>
      </c>
      <c r="F139">
        <v>19486.189999999999</v>
      </c>
      <c r="G139" s="1">
        <v>45582</v>
      </c>
      <c r="H139">
        <v>10077.648160000001</v>
      </c>
      <c r="I139" s="1">
        <v>45582</v>
      </c>
      <c r="J139">
        <v>11904.5</v>
      </c>
      <c r="K139" s="1">
        <v>45580</v>
      </c>
      <c r="L139">
        <v>34578.449999999997</v>
      </c>
    </row>
    <row r="140" spans="1:12" x14ac:dyDescent="0.35">
      <c r="A140" s="1">
        <v>45581</v>
      </c>
      <c r="B140">
        <v>4908.71</v>
      </c>
      <c r="C140" s="1">
        <v>45581</v>
      </c>
      <c r="D140">
        <v>7492</v>
      </c>
      <c r="E140" s="1">
        <v>45579</v>
      </c>
      <c r="F140">
        <v>19508.29</v>
      </c>
      <c r="G140" s="1">
        <v>45581</v>
      </c>
      <c r="H140">
        <v>9966.0679299999993</v>
      </c>
      <c r="I140" s="1">
        <v>45581</v>
      </c>
      <c r="J140">
        <v>11996.7</v>
      </c>
      <c r="K140" s="1">
        <v>45579</v>
      </c>
      <c r="L140">
        <v>34680.550000000003</v>
      </c>
    </row>
    <row r="141" spans="1:12" x14ac:dyDescent="0.35">
      <c r="A141" s="1">
        <v>45580</v>
      </c>
      <c r="B141">
        <v>4946.7299999999996</v>
      </c>
      <c r="C141" s="1">
        <v>45580</v>
      </c>
      <c r="D141">
        <v>7521.97</v>
      </c>
      <c r="E141" s="1">
        <v>45576</v>
      </c>
      <c r="F141">
        <v>19373.830000000002</v>
      </c>
      <c r="G141" s="1">
        <v>45580</v>
      </c>
      <c r="H141">
        <v>9900.6510199999993</v>
      </c>
      <c r="I141" s="1">
        <v>45580</v>
      </c>
      <c r="J141">
        <v>11930.2</v>
      </c>
      <c r="K141" s="1">
        <v>45576</v>
      </c>
      <c r="L141">
        <v>34308.01</v>
      </c>
    </row>
    <row r="142" spans="1:12" x14ac:dyDescent="0.35">
      <c r="A142" s="1">
        <v>45579</v>
      </c>
      <c r="B142">
        <v>5041.01</v>
      </c>
      <c r="C142" s="1">
        <v>45579</v>
      </c>
      <c r="D142">
        <v>7602.06</v>
      </c>
      <c r="E142" s="1">
        <v>45575</v>
      </c>
      <c r="F142">
        <v>19210.900000000001</v>
      </c>
      <c r="G142" s="1">
        <v>45579</v>
      </c>
      <c r="H142">
        <v>9928.0680900000007</v>
      </c>
      <c r="I142" s="1">
        <v>45579</v>
      </c>
      <c r="J142">
        <v>11850.9</v>
      </c>
      <c r="K142" s="1">
        <v>45575</v>
      </c>
      <c r="L142">
        <v>34077.42</v>
      </c>
    </row>
    <row r="143" spans="1:12" x14ac:dyDescent="0.35">
      <c r="A143" s="1">
        <v>45576</v>
      </c>
      <c r="B143">
        <v>5003.92</v>
      </c>
      <c r="C143" s="1">
        <v>45576</v>
      </c>
      <c r="D143">
        <v>7577.89</v>
      </c>
      <c r="E143" s="1">
        <v>45574</v>
      </c>
      <c r="F143">
        <v>19254.93</v>
      </c>
      <c r="G143" s="1">
        <v>45576</v>
      </c>
      <c r="H143">
        <v>9858.3797599999998</v>
      </c>
      <c r="I143" s="1">
        <v>45576</v>
      </c>
      <c r="J143">
        <v>11720</v>
      </c>
      <c r="K143" s="1">
        <v>45574</v>
      </c>
      <c r="L143">
        <v>33933.03</v>
      </c>
    </row>
    <row r="144" spans="1:12" x14ac:dyDescent="0.35">
      <c r="A144" s="1">
        <v>45575</v>
      </c>
      <c r="B144">
        <v>4970.34</v>
      </c>
      <c r="C144" s="1">
        <v>45575</v>
      </c>
      <c r="D144">
        <v>7541.59</v>
      </c>
      <c r="E144" s="1">
        <v>45573</v>
      </c>
      <c r="F144">
        <v>19066.47</v>
      </c>
      <c r="G144" s="1">
        <v>45575</v>
      </c>
      <c r="H144">
        <v>9845.8472899999997</v>
      </c>
      <c r="I144" s="1">
        <v>45575</v>
      </c>
      <c r="J144">
        <v>11656.7</v>
      </c>
      <c r="K144" s="1">
        <v>45573</v>
      </c>
      <c r="L144">
        <v>33733.9</v>
      </c>
    </row>
    <row r="145" spans="1:12" x14ac:dyDescent="0.35">
      <c r="A145" s="1">
        <v>45574</v>
      </c>
      <c r="B145">
        <v>4982.57</v>
      </c>
      <c r="C145" s="1">
        <v>45574</v>
      </c>
      <c r="D145">
        <v>7560.09</v>
      </c>
      <c r="E145" s="1">
        <v>45572</v>
      </c>
      <c r="F145">
        <v>19104.099999999999</v>
      </c>
      <c r="G145" s="1">
        <v>45574</v>
      </c>
      <c r="H145">
        <v>9845.4756300000008</v>
      </c>
      <c r="I145" s="1">
        <v>45574</v>
      </c>
      <c r="J145">
        <v>11741.5</v>
      </c>
      <c r="K145" s="1">
        <v>45572</v>
      </c>
      <c r="L145">
        <v>33814.519999999997</v>
      </c>
    </row>
    <row r="146" spans="1:12" x14ac:dyDescent="0.35">
      <c r="A146" s="1">
        <v>45573</v>
      </c>
      <c r="B146">
        <v>4949</v>
      </c>
      <c r="C146" s="1">
        <v>45573</v>
      </c>
      <c r="D146">
        <v>7521.32</v>
      </c>
      <c r="E146" s="1">
        <v>45569</v>
      </c>
      <c r="F146">
        <v>19120.93</v>
      </c>
      <c r="G146" s="1">
        <v>45573</v>
      </c>
      <c r="H146">
        <v>9766.6457399999999</v>
      </c>
      <c r="I146" s="1">
        <v>45573</v>
      </c>
      <c r="J146">
        <v>11734.7</v>
      </c>
      <c r="K146" s="1">
        <v>45569</v>
      </c>
      <c r="L146">
        <v>33594.120000000003</v>
      </c>
    </row>
    <row r="147" spans="1:12" x14ac:dyDescent="0.35">
      <c r="A147" s="1">
        <v>45572</v>
      </c>
      <c r="B147">
        <v>4969.71</v>
      </c>
      <c r="C147" s="1">
        <v>45572</v>
      </c>
      <c r="D147">
        <v>7576.02</v>
      </c>
      <c r="E147" s="1">
        <v>45568</v>
      </c>
      <c r="F147">
        <v>19015.41</v>
      </c>
      <c r="G147" s="1">
        <v>45572</v>
      </c>
      <c r="H147">
        <v>9895.7015499999998</v>
      </c>
      <c r="I147" s="1">
        <v>45572</v>
      </c>
      <c r="J147">
        <v>11717.5</v>
      </c>
      <c r="K147" s="1">
        <v>45568</v>
      </c>
      <c r="L147">
        <v>33170.03</v>
      </c>
    </row>
    <row r="148" spans="1:12" x14ac:dyDescent="0.35">
      <c r="A148" s="1">
        <v>45569</v>
      </c>
      <c r="B148">
        <v>4954.9399999999996</v>
      </c>
      <c r="C148" s="1">
        <v>45569</v>
      </c>
      <c r="D148">
        <v>7541.36</v>
      </c>
      <c r="E148" s="1">
        <v>45567</v>
      </c>
      <c r="F148">
        <v>19164.75</v>
      </c>
      <c r="G148" s="1">
        <v>45569</v>
      </c>
      <c r="H148">
        <v>9908.8013200000005</v>
      </c>
      <c r="I148" s="1">
        <v>45569</v>
      </c>
      <c r="J148">
        <v>11659.2</v>
      </c>
      <c r="K148" s="1">
        <v>45567</v>
      </c>
      <c r="L148">
        <v>33675.26</v>
      </c>
    </row>
    <row r="149" spans="1:12" x14ac:dyDescent="0.35">
      <c r="A149" s="1">
        <v>45568</v>
      </c>
      <c r="B149">
        <v>4921.33</v>
      </c>
      <c r="C149" s="1">
        <v>45568</v>
      </c>
      <c r="D149">
        <v>7477.78</v>
      </c>
      <c r="E149" s="1">
        <v>45566</v>
      </c>
      <c r="F149">
        <v>19213.14</v>
      </c>
      <c r="G149" s="1">
        <v>45568</v>
      </c>
      <c r="H149">
        <v>9855.6731600000003</v>
      </c>
      <c r="I149" s="1">
        <v>45568</v>
      </c>
      <c r="J149">
        <v>11618</v>
      </c>
      <c r="K149" s="1">
        <v>45566</v>
      </c>
      <c r="L149">
        <v>33771.08</v>
      </c>
    </row>
    <row r="150" spans="1:12" x14ac:dyDescent="0.35">
      <c r="A150" s="1">
        <v>45567</v>
      </c>
      <c r="B150">
        <v>4963.29</v>
      </c>
      <c r="C150" s="1">
        <v>45567</v>
      </c>
      <c r="D150">
        <v>7577.59</v>
      </c>
      <c r="E150" s="1">
        <v>45565</v>
      </c>
      <c r="F150">
        <v>19324.93</v>
      </c>
      <c r="G150" s="1">
        <v>45567</v>
      </c>
      <c r="H150">
        <v>9959.9894100000001</v>
      </c>
      <c r="I150" s="1">
        <v>45567</v>
      </c>
      <c r="J150">
        <v>11609.8</v>
      </c>
      <c r="K150" s="1">
        <v>45565</v>
      </c>
      <c r="L150">
        <v>34125.26</v>
      </c>
    </row>
    <row r="151" spans="1:12" x14ac:dyDescent="0.35">
      <c r="A151" s="1">
        <v>45566</v>
      </c>
      <c r="B151">
        <v>4954.1499999999996</v>
      </c>
      <c r="C151" s="1">
        <v>45566</v>
      </c>
      <c r="D151">
        <v>7574.07</v>
      </c>
      <c r="E151" s="1">
        <v>45562</v>
      </c>
      <c r="F151">
        <v>19473.63</v>
      </c>
      <c r="G151" s="1">
        <v>45566</v>
      </c>
      <c r="H151">
        <v>9924.64228</v>
      </c>
      <c r="I151" s="1">
        <v>45566</v>
      </c>
      <c r="J151">
        <v>11673.5</v>
      </c>
      <c r="K151" s="1">
        <v>45562</v>
      </c>
      <c r="L151">
        <v>34727.4</v>
      </c>
    </row>
    <row r="152" spans="1:12" x14ac:dyDescent="0.35">
      <c r="A152" s="1">
        <v>45565</v>
      </c>
      <c r="B152">
        <v>5000.45</v>
      </c>
      <c r="C152" s="1">
        <v>45565</v>
      </c>
      <c r="D152">
        <v>7635.75</v>
      </c>
      <c r="E152" s="1">
        <v>45561</v>
      </c>
      <c r="F152">
        <v>19238.36</v>
      </c>
      <c r="G152" s="1">
        <v>45565</v>
      </c>
      <c r="H152">
        <v>9902.3684900000007</v>
      </c>
      <c r="I152" s="1">
        <v>45565</v>
      </c>
      <c r="J152">
        <v>11877.3</v>
      </c>
      <c r="K152" s="1">
        <v>45561</v>
      </c>
      <c r="L152">
        <v>34409.339999999997</v>
      </c>
    </row>
    <row r="153" spans="1:12" x14ac:dyDescent="0.35">
      <c r="A153" s="1">
        <v>45562</v>
      </c>
      <c r="B153">
        <v>5067.45</v>
      </c>
      <c r="C153" s="1">
        <v>45562</v>
      </c>
      <c r="D153">
        <v>7791.79</v>
      </c>
      <c r="E153" s="1">
        <v>45560</v>
      </c>
      <c r="F153">
        <v>18918.5</v>
      </c>
      <c r="G153" s="1">
        <v>45562</v>
      </c>
      <c r="H153">
        <v>9985.3596699999998</v>
      </c>
      <c r="I153" s="1">
        <v>45562</v>
      </c>
      <c r="J153">
        <v>11967.9</v>
      </c>
      <c r="K153" s="1">
        <v>45560</v>
      </c>
      <c r="L153">
        <v>33840.54</v>
      </c>
    </row>
    <row r="154" spans="1:12" x14ac:dyDescent="0.35">
      <c r="A154" s="1">
        <v>45561</v>
      </c>
      <c r="B154">
        <v>5032.59</v>
      </c>
      <c r="C154" s="1">
        <v>45561</v>
      </c>
      <c r="D154">
        <v>7742.09</v>
      </c>
      <c r="E154" s="1">
        <v>45559</v>
      </c>
      <c r="F154">
        <v>18996.63</v>
      </c>
      <c r="G154" s="1">
        <v>45561</v>
      </c>
      <c r="H154">
        <v>9947.2327999999998</v>
      </c>
      <c r="I154" s="1">
        <v>45561</v>
      </c>
      <c r="J154">
        <v>11953.2</v>
      </c>
      <c r="K154" s="1">
        <v>45559</v>
      </c>
      <c r="L154">
        <v>33881.26</v>
      </c>
    </row>
    <row r="155" spans="1:12" x14ac:dyDescent="0.35">
      <c r="A155" s="1">
        <v>45560</v>
      </c>
      <c r="B155">
        <v>4916.8900000000003</v>
      </c>
      <c r="C155" s="1">
        <v>45560</v>
      </c>
      <c r="D155">
        <v>7565.62</v>
      </c>
      <c r="E155" s="1">
        <v>45558</v>
      </c>
      <c r="F155">
        <v>18846.79</v>
      </c>
      <c r="G155" s="1">
        <v>45560</v>
      </c>
      <c r="H155">
        <v>9900.9049900000009</v>
      </c>
      <c r="I155" s="1">
        <v>45560</v>
      </c>
      <c r="J155">
        <v>11792.6</v>
      </c>
      <c r="K155" s="1">
        <v>45558</v>
      </c>
      <c r="L155">
        <v>33679.800000000003</v>
      </c>
    </row>
    <row r="156" spans="1:12" x14ac:dyDescent="0.35">
      <c r="A156" s="1">
        <v>45559</v>
      </c>
      <c r="B156">
        <v>4940.72</v>
      </c>
      <c r="C156" s="1">
        <v>45559</v>
      </c>
      <c r="D156">
        <v>7604.01</v>
      </c>
      <c r="E156" s="1">
        <v>45555</v>
      </c>
      <c r="F156">
        <v>18720.009999999998</v>
      </c>
      <c r="G156" s="1">
        <v>45559</v>
      </c>
      <c r="H156">
        <v>9939.4604500000005</v>
      </c>
      <c r="I156" s="1">
        <v>45559</v>
      </c>
      <c r="J156">
        <v>11837</v>
      </c>
      <c r="K156" s="1">
        <v>45555</v>
      </c>
      <c r="L156">
        <v>33762.25</v>
      </c>
    </row>
    <row r="157" spans="1:12" x14ac:dyDescent="0.35">
      <c r="A157" s="1">
        <v>45558</v>
      </c>
      <c r="B157">
        <v>4885.57</v>
      </c>
      <c r="C157" s="1">
        <v>45558</v>
      </c>
      <c r="D157">
        <v>7508.08</v>
      </c>
      <c r="E157" s="1">
        <v>45554</v>
      </c>
      <c r="F157">
        <v>19002.38</v>
      </c>
      <c r="G157" s="1">
        <v>45558</v>
      </c>
      <c r="H157">
        <v>9906.4548799999993</v>
      </c>
      <c r="I157" s="1">
        <v>45558</v>
      </c>
      <c r="J157">
        <v>11797.9</v>
      </c>
      <c r="K157" s="1">
        <v>45554</v>
      </c>
      <c r="L157">
        <v>34044.86</v>
      </c>
    </row>
    <row r="158" spans="1:12" x14ac:dyDescent="0.35">
      <c r="A158" s="1">
        <v>45555</v>
      </c>
      <c r="B158">
        <v>4871.54</v>
      </c>
      <c r="C158" s="1">
        <v>45555</v>
      </c>
      <c r="D158">
        <v>7500.26</v>
      </c>
      <c r="E158" s="1">
        <v>45553</v>
      </c>
      <c r="F158">
        <v>18711.490000000002</v>
      </c>
      <c r="G158" s="1">
        <v>45555</v>
      </c>
      <c r="H158">
        <v>9815.0032900000006</v>
      </c>
      <c r="I158" s="1">
        <v>45555</v>
      </c>
      <c r="J158">
        <v>11753.3</v>
      </c>
      <c r="K158" s="1">
        <v>45553</v>
      </c>
      <c r="L158">
        <v>33655.49</v>
      </c>
    </row>
    <row r="159" spans="1:12" x14ac:dyDescent="0.35">
      <c r="A159" s="1">
        <v>45554</v>
      </c>
      <c r="B159">
        <v>4943.38</v>
      </c>
      <c r="C159" s="1">
        <v>45554</v>
      </c>
      <c r="D159">
        <v>7615.41</v>
      </c>
      <c r="E159" s="1">
        <v>45552</v>
      </c>
      <c r="F159">
        <v>18726.080000000002</v>
      </c>
      <c r="G159" s="1">
        <v>45554</v>
      </c>
      <c r="H159">
        <v>9915.1784100000004</v>
      </c>
      <c r="I159" s="1">
        <v>45554</v>
      </c>
      <c r="J159">
        <v>11778.1</v>
      </c>
      <c r="K159" s="1">
        <v>45552</v>
      </c>
      <c r="L159">
        <v>33780.28</v>
      </c>
    </row>
    <row r="160" spans="1:12" x14ac:dyDescent="0.35">
      <c r="A160" s="1">
        <v>45553</v>
      </c>
      <c r="B160">
        <v>4835.3</v>
      </c>
      <c r="C160" s="1">
        <v>45553</v>
      </c>
      <c r="D160">
        <v>7444.9</v>
      </c>
      <c r="E160" s="1">
        <v>45551</v>
      </c>
      <c r="F160">
        <v>18633.11</v>
      </c>
      <c r="G160" s="1">
        <v>45553</v>
      </c>
      <c r="H160">
        <v>9802.1724599999998</v>
      </c>
      <c r="I160" s="1">
        <v>45553</v>
      </c>
      <c r="J160">
        <v>11684.7</v>
      </c>
      <c r="K160" s="1">
        <v>45551</v>
      </c>
      <c r="L160">
        <v>33569.980000000003</v>
      </c>
    </row>
    <row r="161" spans="1:12" x14ac:dyDescent="0.35">
      <c r="A161" s="1">
        <v>45552</v>
      </c>
      <c r="B161">
        <v>4860.78</v>
      </c>
      <c r="C161" s="1">
        <v>45552</v>
      </c>
      <c r="D161">
        <v>7487.42</v>
      </c>
      <c r="E161" s="1">
        <v>45548</v>
      </c>
      <c r="F161">
        <v>18699.400000000001</v>
      </c>
      <c r="G161" s="1">
        <v>45552</v>
      </c>
      <c r="H161">
        <v>9833.7204700000002</v>
      </c>
      <c r="I161" s="1">
        <v>45552</v>
      </c>
      <c r="J161">
        <v>11703.4</v>
      </c>
      <c r="K161" s="1">
        <v>45548</v>
      </c>
      <c r="L161">
        <v>33568.47</v>
      </c>
    </row>
    <row r="162" spans="1:12" x14ac:dyDescent="0.35">
      <c r="A162" s="1">
        <v>45551</v>
      </c>
      <c r="B162">
        <v>4827.63</v>
      </c>
      <c r="C162" s="1">
        <v>45551</v>
      </c>
      <c r="D162">
        <v>7449.44</v>
      </c>
      <c r="E162" s="1">
        <v>45547</v>
      </c>
      <c r="F162">
        <v>18518.39</v>
      </c>
      <c r="G162" s="1">
        <v>45551</v>
      </c>
      <c r="H162">
        <v>9824.1851999999999</v>
      </c>
      <c r="I162" s="1">
        <v>45551</v>
      </c>
      <c r="J162">
        <v>11581</v>
      </c>
      <c r="K162" s="1">
        <v>45547</v>
      </c>
      <c r="L162">
        <v>33453.78</v>
      </c>
    </row>
    <row r="163" spans="1:12" x14ac:dyDescent="0.35">
      <c r="A163" s="1">
        <v>45548</v>
      </c>
      <c r="B163">
        <v>4843.99</v>
      </c>
      <c r="C163" s="1">
        <v>45548</v>
      </c>
      <c r="D163">
        <v>7465.25</v>
      </c>
      <c r="E163" s="1">
        <v>45546</v>
      </c>
      <c r="F163">
        <v>18330.27</v>
      </c>
      <c r="G163" s="1">
        <v>45548</v>
      </c>
      <c r="H163">
        <v>9800.9694</v>
      </c>
      <c r="I163" s="1">
        <v>45548</v>
      </c>
      <c r="J163">
        <v>11540.2</v>
      </c>
      <c r="K163" s="1">
        <v>45546</v>
      </c>
      <c r="L163">
        <v>33174.42</v>
      </c>
    </row>
    <row r="164" spans="1:12" x14ac:dyDescent="0.35">
      <c r="A164" s="1">
        <v>45547</v>
      </c>
      <c r="B164">
        <v>4814.08</v>
      </c>
      <c r="C164" s="1">
        <v>45547</v>
      </c>
      <c r="D164">
        <v>7435.07</v>
      </c>
      <c r="E164" s="1">
        <v>45545</v>
      </c>
      <c r="F164">
        <v>18265.919999999998</v>
      </c>
      <c r="G164" s="1">
        <v>45547</v>
      </c>
      <c r="H164">
        <v>9767.4071399999993</v>
      </c>
      <c r="I164" s="1">
        <v>45547</v>
      </c>
      <c r="J164">
        <v>11400.2</v>
      </c>
      <c r="K164" s="1">
        <v>45545</v>
      </c>
      <c r="L164">
        <v>33213.29</v>
      </c>
    </row>
    <row r="165" spans="1:12" x14ac:dyDescent="0.35">
      <c r="A165" s="1">
        <v>45546</v>
      </c>
      <c r="B165">
        <v>4763.58</v>
      </c>
      <c r="C165" s="1">
        <v>45546</v>
      </c>
      <c r="D165">
        <v>7396.83</v>
      </c>
      <c r="E165" s="1">
        <v>45544</v>
      </c>
      <c r="F165">
        <v>18443.560000000001</v>
      </c>
      <c r="G165" s="1">
        <v>45546</v>
      </c>
      <c r="H165">
        <v>9697.2036800000005</v>
      </c>
      <c r="I165" s="1">
        <v>45546</v>
      </c>
      <c r="J165">
        <v>11278.9</v>
      </c>
      <c r="K165" s="1">
        <v>45544</v>
      </c>
      <c r="L165">
        <v>33590.339999999997</v>
      </c>
    </row>
    <row r="166" spans="1:12" x14ac:dyDescent="0.35">
      <c r="A166" s="1">
        <v>45545</v>
      </c>
      <c r="B166">
        <v>4747.2</v>
      </c>
      <c r="C166" s="1">
        <v>45545</v>
      </c>
      <c r="D166">
        <v>7407.55</v>
      </c>
      <c r="E166" s="1">
        <v>45541</v>
      </c>
      <c r="F166">
        <v>18301.900000000001</v>
      </c>
      <c r="G166" s="1">
        <v>45545</v>
      </c>
      <c r="H166">
        <v>9724.8341899999996</v>
      </c>
      <c r="I166" s="1">
        <v>45545</v>
      </c>
      <c r="J166">
        <v>11203.5</v>
      </c>
      <c r="K166" s="1">
        <v>45541</v>
      </c>
      <c r="L166">
        <v>33291.39</v>
      </c>
    </row>
    <row r="167" spans="1:12" x14ac:dyDescent="0.35">
      <c r="A167" s="1">
        <v>45544</v>
      </c>
      <c r="B167">
        <v>4778.66</v>
      </c>
      <c r="C167" s="1">
        <v>45544</v>
      </c>
      <c r="D167">
        <v>7425.26</v>
      </c>
      <c r="E167" s="1">
        <v>45540</v>
      </c>
      <c r="F167">
        <v>18576.5</v>
      </c>
      <c r="G167" s="1">
        <v>45544</v>
      </c>
      <c r="H167">
        <v>9803.8909800000001</v>
      </c>
      <c r="I167" s="1">
        <v>45544</v>
      </c>
      <c r="J167">
        <v>11272.8</v>
      </c>
      <c r="K167" s="1">
        <v>45540</v>
      </c>
      <c r="L167">
        <v>33684.800000000003</v>
      </c>
    </row>
    <row r="168" spans="1:12" x14ac:dyDescent="0.35">
      <c r="A168" s="1">
        <v>45541</v>
      </c>
      <c r="B168">
        <v>4738.0600000000004</v>
      </c>
      <c r="C168" s="1">
        <v>45541</v>
      </c>
      <c r="D168">
        <v>7352.3</v>
      </c>
      <c r="E168" s="1">
        <v>45539</v>
      </c>
      <c r="F168">
        <v>18591.849999999999</v>
      </c>
      <c r="G168" s="1">
        <v>45541</v>
      </c>
      <c r="H168">
        <v>9690.4293899999993</v>
      </c>
      <c r="I168" s="1">
        <v>45541</v>
      </c>
      <c r="J168">
        <v>11173</v>
      </c>
      <c r="K168" s="1">
        <v>45539</v>
      </c>
      <c r="L168">
        <v>33682.26</v>
      </c>
    </row>
    <row r="169" spans="1:12" x14ac:dyDescent="0.35">
      <c r="A169" s="1">
        <v>45540</v>
      </c>
      <c r="B169">
        <v>4815.1499999999996</v>
      </c>
      <c r="C169" s="1">
        <v>45540</v>
      </c>
      <c r="D169">
        <v>7431.96</v>
      </c>
      <c r="E169" s="1">
        <v>45538</v>
      </c>
      <c r="F169">
        <v>18747.11</v>
      </c>
      <c r="G169" s="1">
        <v>45540</v>
      </c>
      <c r="H169">
        <v>9780.0239500000007</v>
      </c>
      <c r="I169" s="1">
        <v>45540</v>
      </c>
      <c r="J169">
        <v>11273.5</v>
      </c>
      <c r="K169" s="1">
        <v>45538</v>
      </c>
      <c r="L169">
        <v>33863.43</v>
      </c>
    </row>
    <row r="170" spans="1:12" x14ac:dyDescent="0.35">
      <c r="A170" s="1">
        <v>45539</v>
      </c>
      <c r="B170">
        <v>4848.18</v>
      </c>
      <c r="C170" s="1">
        <v>45539</v>
      </c>
      <c r="D170">
        <v>7500.97</v>
      </c>
      <c r="E170" s="1">
        <v>45537</v>
      </c>
      <c r="F170">
        <v>18930.849999999999</v>
      </c>
      <c r="G170" s="1">
        <v>45539</v>
      </c>
      <c r="H170">
        <v>9810.8714099999997</v>
      </c>
      <c r="I170" s="1">
        <v>45539</v>
      </c>
      <c r="J170">
        <v>11213.9</v>
      </c>
      <c r="K170" s="1">
        <v>45537</v>
      </c>
      <c r="L170">
        <v>34320.6</v>
      </c>
    </row>
    <row r="171" spans="1:12" x14ac:dyDescent="0.35">
      <c r="A171" s="1">
        <v>45538</v>
      </c>
      <c r="B171">
        <v>4912.5200000000004</v>
      </c>
      <c r="C171" s="1">
        <v>45538</v>
      </c>
      <c r="D171">
        <v>7575.1</v>
      </c>
      <c r="E171" s="1">
        <v>45534</v>
      </c>
      <c r="F171">
        <v>18906.919999999998</v>
      </c>
      <c r="G171" s="1">
        <v>45538</v>
      </c>
      <c r="H171">
        <v>9850.0517600000003</v>
      </c>
      <c r="I171" s="1">
        <v>45538</v>
      </c>
      <c r="J171">
        <v>11279.2</v>
      </c>
      <c r="K171" s="1">
        <v>45534</v>
      </c>
      <c r="L171">
        <v>34372.67</v>
      </c>
    </row>
    <row r="172" spans="1:12" x14ac:dyDescent="0.35">
      <c r="A172" s="1">
        <v>45537</v>
      </c>
      <c r="B172">
        <v>4973.07</v>
      </c>
      <c r="C172" s="1">
        <v>45537</v>
      </c>
      <c r="D172">
        <v>7646.42</v>
      </c>
      <c r="E172" s="1">
        <v>45533</v>
      </c>
      <c r="F172">
        <v>18912.57</v>
      </c>
      <c r="G172" s="1">
        <v>45537</v>
      </c>
      <c r="H172">
        <v>9932.9102899999998</v>
      </c>
      <c r="I172" s="1">
        <v>45537</v>
      </c>
      <c r="J172">
        <v>11395.3</v>
      </c>
      <c r="K172" s="1">
        <v>45533</v>
      </c>
      <c r="L172">
        <v>34192.06</v>
      </c>
    </row>
    <row r="173" spans="1:12" x14ac:dyDescent="0.35">
      <c r="A173" s="1">
        <v>45534</v>
      </c>
      <c r="B173">
        <v>4957.9799999999996</v>
      </c>
      <c r="C173" s="1">
        <v>45534</v>
      </c>
      <c r="D173">
        <v>7630.95</v>
      </c>
      <c r="E173" s="1">
        <v>45532</v>
      </c>
      <c r="F173">
        <v>18782.29</v>
      </c>
      <c r="G173" s="1">
        <v>45534</v>
      </c>
      <c r="H173">
        <v>9945.0686900000001</v>
      </c>
      <c r="I173" s="1">
        <v>45534</v>
      </c>
      <c r="J173">
        <v>11401.9</v>
      </c>
      <c r="K173" s="1">
        <v>45532</v>
      </c>
      <c r="L173">
        <v>33880.050000000003</v>
      </c>
    </row>
    <row r="174" spans="1:12" x14ac:dyDescent="0.35">
      <c r="A174" s="1">
        <v>45533</v>
      </c>
      <c r="B174">
        <v>4966.2700000000004</v>
      </c>
      <c r="C174" s="1">
        <v>45533</v>
      </c>
      <c r="D174">
        <v>7640.95</v>
      </c>
      <c r="E174" s="1">
        <v>45531</v>
      </c>
      <c r="F174">
        <v>18681.810000000001</v>
      </c>
      <c r="G174" s="1">
        <v>45533</v>
      </c>
      <c r="H174">
        <v>9968.3084400000007</v>
      </c>
      <c r="I174" s="1">
        <v>45533</v>
      </c>
      <c r="J174">
        <v>11358.6</v>
      </c>
      <c r="K174" s="1">
        <v>45531</v>
      </c>
      <c r="L174">
        <v>33778.800000000003</v>
      </c>
    </row>
    <row r="175" spans="1:12" x14ac:dyDescent="0.35">
      <c r="A175" s="1">
        <v>45532</v>
      </c>
      <c r="B175">
        <v>4913.03</v>
      </c>
      <c r="C175" s="1">
        <v>45532</v>
      </c>
      <c r="D175">
        <v>7577.67</v>
      </c>
      <c r="E175" s="1">
        <v>45530</v>
      </c>
      <c r="F175">
        <v>18617.02</v>
      </c>
      <c r="G175" s="1">
        <v>45532</v>
      </c>
      <c r="H175">
        <v>9898.5160699999997</v>
      </c>
      <c r="I175" s="1">
        <v>45532</v>
      </c>
      <c r="J175">
        <v>11332</v>
      </c>
      <c r="K175" s="1">
        <v>45530</v>
      </c>
      <c r="L175">
        <v>33604.800000000003</v>
      </c>
    </row>
    <row r="176" spans="1:12" x14ac:dyDescent="0.35">
      <c r="A176" s="1">
        <v>45531</v>
      </c>
      <c r="B176">
        <v>4898.78</v>
      </c>
      <c r="C176" s="1">
        <v>45531</v>
      </c>
      <c r="D176">
        <v>7565.78</v>
      </c>
      <c r="E176" s="1">
        <v>45527</v>
      </c>
      <c r="F176">
        <v>18633.099999999999</v>
      </c>
      <c r="G176" s="1">
        <v>45531</v>
      </c>
      <c r="H176">
        <v>9890.3342499999999</v>
      </c>
      <c r="I176" s="1">
        <v>45531</v>
      </c>
      <c r="J176">
        <v>11326.9</v>
      </c>
      <c r="K176" s="1">
        <v>45527</v>
      </c>
      <c r="L176">
        <v>33650.17</v>
      </c>
    </row>
    <row r="177" spans="1:12" x14ac:dyDescent="0.35">
      <c r="A177" s="1">
        <v>45530</v>
      </c>
      <c r="B177">
        <v>4896.6899999999996</v>
      </c>
      <c r="C177" s="1">
        <v>45530</v>
      </c>
      <c r="D177">
        <v>7590.37</v>
      </c>
      <c r="E177" s="1">
        <v>45526</v>
      </c>
      <c r="F177">
        <v>18493.39</v>
      </c>
      <c r="G177" s="1">
        <v>45527</v>
      </c>
      <c r="H177">
        <v>9831.0136000000002</v>
      </c>
      <c r="I177" s="1">
        <v>45530</v>
      </c>
      <c r="J177">
        <v>11265.5</v>
      </c>
      <c r="K177" s="1">
        <v>45526</v>
      </c>
      <c r="L177">
        <v>33310.93</v>
      </c>
    </row>
    <row r="178" spans="1:12" x14ac:dyDescent="0.35">
      <c r="A178" s="1">
        <v>45527</v>
      </c>
      <c r="B178">
        <v>4909.2</v>
      </c>
      <c r="C178" s="1">
        <v>45527</v>
      </c>
      <c r="D178">
        <v>7577.04</v>
      </c>
      <c r="E178" s="1">
        <v>45525</v>
      </c>
      <c r="F178">
        <v>18448.95</v>
      </c>
      <c r="G178" s="1">
        <v>45526</v>
      </c>
      <c r="H178">
        <v>9762.0853299999999</v>
      </c>
      <c r="I178" s="1">
        <v>45527</v>
      </c>
      <c r="J178">
        <v>11278.1</v>
      </c>
      <c r="K178" s="1">
        <v>45525</v>
      </c>
      <c r="L178">
        <v>33312.410000000003</v>
      </c>
    </row>
    <row r="179" spans="1:12" x14ac:dyDescent="0.35">
      <c r="A179" s="1">
        <v>45526</v>
      </c>
      <c r="B179">
        <v>4885</v>
      </c>
      <c r="C179" s="1">
        <v>45526</v>
      </c>
      <c r="D179">
        <v>7524.11</v>
      </c>
      <c r="E179" s="1">
        <v>45524</v>
      </c>
      <c r="F179">
        <v>18357.52</v>
      </c>
      <c r="G179" s="1">
        <v>45525</v>
      </c>
      <c r="H179">
        <v>9727.4192800000001</v>
      </c>
      <c r="I179" s="1">
        <v>45526</v>
      </c>
      <c r="J179">
        <v>11156.3</v>
      </c>
      <c r="K179" s="1">
        <v>45524</v>
      </c>
      <c r="L179">
        <v>33075.620000000003</v>
      </c>
    </row>
    <row r="180" spans="1:12" x14ac:dyDescent="0.35">
      <c r="A180" s="1">
        <v>45525</v>
      </c>
      <c r="B180">
        <v>4885.28</v>
      </c>
      <c r="C180" s="1">
        <v>45525</v>
      </c>
      <c r="D180">
        <v>7524.72</v>
      </c>
      <c r="E180" s="1">
        <v>45523</v>
      </c>
      <c r="F180">
        <v>18421.689999999999</v>
      </c>
      <c r="G180" s="1">
        <v>45524</v>
      </c>
      <c r="H180">
        <v>9695.00612</v>
      </c>
      <c r="I180" s="1">
        <v>45525</v>
      </c>
      <c r="J180">
        <v>11114.9</v>
      </c>
      <c r="K180" s="1">
        <v>45523</v>
      </c>
      <c r="L180">
        <v>33266.32</v>
      </c>
    </row>
    <row r="181" spans="1:12" x14ac:dyDescent="0.35">
      <c r="A181" s="1">
        <v>45524</v>
      </c>
      <c r="B181">
        <v>4857.58</v>
      </c>
      <c r="C181" s="1">
        <v>45524</v>
      </c>
      <c r="D181">
        <v>7485.73</v>
      </c>
      <c r="E181" s="1">
        <v>45520</v>
      </c>
      <c r="F181">
        <v>18322.400000000001</v>
      </c>
      <c r="G181" s="1">
        <v>45523</v>
      </c>
      <c r="H181">
        <v>9796.8028799999993</v>
      </c>
      <c r="I181" s="1">
        <v>45524</v>
      </c>
      <c r="J181">
        <v>11087.8</v>
      </c>
      <c r="K181" s="1">
        <v>45520</v>
      </c>
      <c r="L181">
        <v>33040.81</v>
      </c>
    </row>
    <row r="182" spans="1:12" x14ac:dyDescent="0.35">
      <c r="A182" s="1">
        <v>45523</v>
      </c>
      <c r="B182">
        <v>4871.41</v>
      </c>
      <c r="C182" s="1">
        <v>45523</v>
      </c>
      <c r="D182">
        <v>7502.01</v>
      </c>
      <c r="E182" s="1">
        <v>45519</v>
      </c>
      <c r="F182">
        <v>18183.240000000002</v>
      </c>
      <c r="G182" s="1">
        <v>45520</v>
      </c>
      <c r="H182">
        <v>9759.3355699999993</v>
      </c>
      <c r="I182" s="1">
        <v>45523</v>
      </c>
      <c r="J182">
        <v>11102.5</v>
      </c>
      <c r="K182" s="1">
        <v>45518</v>
      </c>
      <c r="L182">
        <v>32328.03</v>
      </c>
    </row>
    <row r="183" spans="1:12" x14ac:dyDescent="0.35">
      <c r="A183" s="1">
        <v>45520</v>
      </c>
      <c r="B183">
        <v>4840.5200000000004</v>
      </c>
      <c r="C183" s="1">
        <v>45520</v>
      </c>
      <c r="D183">
        <v>7449.7</v>
      </c>
      <c r="E183" s="1">
        <v>45518</v>
      </c>
      <c r="F183">
        <v>17885.599999999999</v>
      </c>
      <c r="G183" s="1">
        <v>45519</v>
      </c>
      <c r="H183">
        <v>9772.2847700000002</v>
      </c>
      <c r="I183" s="1">
        <v>45520</v>
      </c>
      <c r="J183">
        <v>10949.7</v>
      </c>
      <c r="K183" s="1">
        <v>45517</v>
      </c>
      <c r="L183">
        <v>32006.45</v>
      </c>
    </row>
    <row r="184" spans="1:12" x14ac:dyDescent="0.35">
      <c r="A184" s="1">
        <v>45519</v>
      </c>
      <c r="B184">
        <v>4807.7700000000004</v>
      </c>
      <c r="C184" s="1">
        <v>45519</v>
      </c>
      <c r="D184">
        <v>7423.37</v>
      </c>
      <c r="E184" s="1">
        <v>45517</v>
      </c>
      <c r="F184">
        <v>17812.05</v>
      </c>
      <c r="G184" s="1">
        <v>45518</v>
      </c>
      <c r="H184">
        <v>9648.9489799999992</v>
      </c>
      <c r="I184" s="1">
        <v>45519</v>
      </c>
      <c r="J184">
        <v>10885.6</v>
      </c>
      <c r="K184" s="1">
        <v>45516</v>
      </c>
      <c r="L184">
        <v>31928.32</v>
      </c>
    </row>
    <row r="185" spans="1:12" x14ac:dyDescent="0.35">
      <c r="A185" s="1">
        <v>45518</v>
      </c>
      <c r="B185">
        <v>4727.6000000000004</v>
      </c>
      <c r="C185" s="1">
        <v>45518</v>
      </c>
      <c r="D185">
        <v>7333.36</v>
      </c>
      <c r="E185" s="1">
        <v>45516</v>
      </c>
      <c r="F185">
        <v>17726.47</v>
      </c>
      <c r="G185" s="1">
        <v>45517</v>
      </c>
      <c r="H185">
        <v>9641.0435099999995</v>
      </c>
      <c r="I185" s="1">
        <v>45518</v>
      </c>
      <c r="J185">
        <v>10753</v>
      </c>
      <c r="K185" s="1">
        <v>45513</v>
      </c>
      <c r="L185">
        <v>31782.23</v>
      </c>
    </row>
    <row r="186" spans="1:12" x14ac:dyDescent="0.35">
      <c r="A186" s="1">
        <v>45517</v>
      </c>
      <c r="B186">
        <v>4694.92</v>
      </c>
      <c r="C186" s="1">
        <v>45517</v>
      </c>
      <c r="D186">
        <v>7275.87</v>
      </c>
      <c r="E186" s="1">
        <v>45513</v>
      </c>
      <c r="F186">
        <v>17722.88</v>
      </c>
      <c r="G186" s="1">
        <v>45516</v>
      </c>
      <c r="H186">
        <v>9589.5238900000004</v>
      </c>
      <c r="I186" s="1">
        <v>45517</v>
      </c>
      <c r="J186">
        <v>10723.8</v>
      </c>
      <c r="K186" s="1">
        <v>45512</v>
      </c>
      <c r="L186">
        <v>31741.91</v>
      </c>
    </row>
    <row r="187" spans="1:12" x14ac:dyDescent="0.35">
      <c r="A187" s="1">
        <v>45516</v>
      </c>
      <c r="B187">
        <v>4671.88</v>
      </c>
      <c r="C187" s="1">
        <v>45516</v>
      </c>
      <c r="D187">
        <v>7250.67</v>
      </c>
      <c r="E187" s="1">
        <v>45512</v>
      </c>
      <c r="F187">
        <v>17680.400000000001</v>
      </c>
      <c r="G187" s="1">
        <v>45513</v>
      </c>
      <c r="H187">
        <v>9543.7878700000001</v>
      </c>
      <c r="I187" s="1">
        <v>45516</v>
      </c>
      <c r="J187">
        <v>10646.2</v>
      </c>
      <c r="K187" s="1">
        <v>45511</v>
      </c>
      <c r="L187">
        <v>31831.64</v>
      </c>
    </row>
    <row r="188" spans="1:12" x14ac:dyDescent="0.35">
      <c r="A188" s="1">
        <v>45513</v>
      </c>
      <c r="B188">
        <v>4675.28</v>
      </c>
      <c r="C188" s="1">
        <v>45513</v>
      </c>
      <c r="D188">
        <v>7269.71</v>
      </c>
      <c r="E188" s="1">
        <v>45511</v>
      </c>
      <c r="F188">
        <v>17615.150000000001</v>
      </c>
      <c r="G188" s="1">
        <v>45512</v>
      </c>
      <c r="H188">
        <v>9513.5399899999993</v>
      </c>
      <c r="I188" s="1">
        <v>45513</v>
      </c>
      <c r="J188">
        <v>10638.5</v>
      </c>
      <c r="K188" s="1">
        <v>45510</v>
      </c>
      <c r="L188">
        <v>31107.13</v>
      </c>
    </row>
    <row r="189" spans="1:12" x14ac:dyDescent="0.35">
      <c r="A189" s="1">
        <v>45512</v>
      </c>
      <c r="B189">
        <v>4668.74</v>
      </c>
      <c r="C189" s="1">
        <v>45512</v>
      </c>
      <c r="D189">
        <v>7247.45</v>
      </c>
      <c r="E189" s="1">
        <v>45510</v>
      </c>
      <c r="F189">
        <v>17354.32</v>
      </c>
      <c r="G189" s="1">
        <v>45511</v>
      </c>
      <c r="H189">
        <v>9502.3540599999997</v>
      </c>
      <c r="I189" s="1">
        <v>45512</v>
      </c>
      <c r="J189">
        <v>10558</v>
      </c>
      <c r="K189" s="1">
        <v>45509</v>
      </c>
      <c r="L189">
        <v>31293.52</v>
      </c>
    </row>
    <row r="190" spans="1:12" x14ac:dyDescent="0.35">
      <c r="A190" s="1">
        <v>45511</v>
      </c>
      <c r="B190">
        <v>4668.0600000000004</v>
      </c>
      <c r="C190" s="1">
        <v>45511</v>
      </c>
      <c r="D190">
        <v>7266.01</v>
      </c>
      <c r="E190" s="1">
        <v>45509</v>
      </c>
      <c r="F190">
        <v>17339</v>
      </c>
      <c r="G190" s="1">
        <v>45510</v>
      </c>
      <c r="H190">
        <v>9331.9085300000006</v>
      </c>
      <c r="I190" s="1">
        <v>45511</v>
      </c>
      <c r="J190">
        <v>10599</v>
      </c>
      <c r="K190" s="1">
        <v>45506</v>
      </c>
      <c r="L190">
        <v>32018.82</v>
      </c>
    </row>
    <row r="191" spans="1:12" x14ac:dyDescent="0.35">
      <c r="A191" s="1">
        <v>45510</v>
      </c>
      <c r="B191">
        <v>4575.22</v>
      </c>
      <c r="C191" s="1">
        <v>45510</v>
      </c>
      <c r="D191">
        <v>7130.04</v>
      </c>
      <c r="E191" s="1">
        <v>45506</v>
      </c>
      <c r="F191">
        <v>17661.22</v>
      </c>
      <c r="G191" s="1">
        <v>45509</v>
      </c>
      <c r="H191">
        <v>9327.8343199999999</v>
      </c>
      <c r="I191" s="1">
        <v>45510</v>
      </c>
      <c r="J191">
        <v>10390.5</v>
      </c>
      <c r="K191" s="1">
        <v>45505</v>
      </c>
      <c r="L191">
        <v>32857.43</v>
      </c>
    </row>
    <row r="192" spans="1:12" x14ac:dyDescent="0.35">
      <c r="A192" s="1">
        <v>45509</v>
      </c>
      <c r="B192">
        <v>4571.6000000000004</v>
      </c>
      <c r="C192" s="1">
        <v>45509</v>
      </c>
      <c r="D192">
        <v>7148.99</v>
      </c>
      <c r="E192" s="1">
        <v>45505</v>
      </c>
      <c r="F192">
        <v>18083.05</v>
      </c>
      <c r="G192" s="1">
        <v>45506</v>
      </c>
      <c r="H192">
        <v>9580.8619999999992</v>
      </c>
      <c r="I192" s="1">
        <v>45509</v>
      </c>
      <c r="J192">
        <v>10423.4</v>
      </c>
      <c r="K192" s="1">
        <v>45504</v>
      </c>
      <c r="L192">
        <v>33763.86</v>
      </c>
    </row>
    <row r="193" spans="1:12" x14ac:dyDescent="0.35">
      <c r="A193" s="1">
        <v>45506</v>
      </c>
      <c r="B193">
        <v>4638.7</v>
      </c>
      <c r="C193" s="1">
        <v>45506</v>
      </c>
      <c r="D193">
        <v>7251.8</v>
      </c>
      <c r="E193" s="1">
        <v>45504</v>
      </c>
      <c r="F193">
        <v>18508.650000000001</v>
      </c>
      <c r="G193" s="1">
        <v>45505</v>
      </c>
      <c r="H193">
        <v>9794.7314499999993</v>
      </c>
      <c r="I193" s="1">
        <v>45506</v>
      </c>
      <c r="J193">
        <v>10672.9</v>
      </c>
      <c r="K193" s="1">
        <v>45503</v>
      </c>
      <c r="L193">
        <v>33908.019999999997</v>
      </c>
    </row>
    <row r="194" spans="1:12" x14ac:dyDescent="0.35">
      <c r="A194" s="1">
        <v>45505</v>
      </c>
      <c r="B194">
        <v>4765.72</v>
      </c>
      <c r="C194" s="1">
        <v>45505</v>
      </c>
      <c r="D194">
        <v>7370.45</v>
      </c>
      <c r="E194" s="1">
        <v>45503</v>
      </c>
      <c r="F194">
        <v>18411.18</v>
      </c>
      <c r="G194" s="1">
        <v>45504</v>
      </c>
      <c r="H194">
        <v>9937.9923500000004</v>
      </c>
      <c r="I194" s="1">
        <v>45505</v>
      </c>
      <c r="J194">
        <v>10854.3</v>
      </c>
      <c r="K194" s="1">
        <v>45502</v>
      </c>
      <c r="L194">
        <v>33640.83</v>
      </c>
    </row>
    <row r="195" spans="1:12" x14ac:dyDescent="0.35">
      <c r="A195" s="1">
        <v>45504</v>
      </c>
      <c r="B195">
        <v>4872.9399999999996</v>
      </c>
      <c r="C195" s="1">
        <v>45504</v>
      </c>
      <c r="D195">
        <v>7531.49</v>
      </c>
      <c r="E195" s="1">
        <v>45502</v>
      </c>
      <c r="F195">
        <v>18320.669999999998</v>
      </c>
      <c r="G195" s="1">
        <v>45503</v>
      </c>
      <c r="H195">
        <v>9820.0275500000007</v>
      </c>
      <c r="I195" s="1">
        <v>45504</v>
      </c>
      <c r="J195">
        <v>11065</v>
      </c>
      <c r="K195" s="1">
        <v>45499</v>
      </c>
      <c r="L195">
        <v>33812.44</v>
      </c>
    </row>
    <row r="196" spans="1:12" x14ac:dyDescent="0.35">
      <c r="A196" s="1">
        <v>45503</v>
      </c>
      <c r="B196">
        <v>4841</v>
      </c>
      <c r="C196" s="1">
        <v>45503</v>
      </c>
      <c r="D196">
        <v>7474.94</v>
      </c>
      <c r="E196" s="1">
        <v>45499</v>
      </c>
      <c r="F196">
        <v>18417.55</v>
      </c>
      <c r="G196" s="1">
        <v>45502</v>
      </c>
      <c r="H196">
        <v>9849.36859</v>
      </c>
      <c r="I196" s="1">
        <v>45503</v>
      </c>
      <c r="J196">
        <v>11202.6</v>
      </c>
      <c r="K196" s="1">
        <v>45498</v>
      </c>
      <c r="L196">
        <v>33771.07</v>
      </c>
    </row>
    <row r="197" spans="1:12" x14ac:dyDescent="0.35">
      <c r="A197" s="1">
        <v>45502</v>
      </c>
      <c r="B197">
        <v>4815.3900000000003</v>
      </c>
      <c r="C197" s="1">
        <v>45502</v>
      </c>
      <c r="D197">
        <v>7443.84</v>
      </c>
      <c r="E197" s="1">
        <v>45498</v>
      </c>
      <c r="F197">
        <v>18298.72</v>
      </c>
      <c r="G197" s="1">
        <v>45499</v>
      </c>
      <c r="H197">
        <v>9817.7846800000007</v>
      </c>
      <c r="I197" s="1">
        <v>45502</v>
      </c>
      <c r="J197">
        <v>11117.8</v>
      </c>
      <c r="K197" s="1">
        <v>45497</v>
      </c>
      <c r="L197">
        <v>34471.65</v>
      </c>
    </row>
    <row r="198" spans="1:12" x14ac:dyDescent="0.35">
      <c r="A198" s="1">
        <v>45499</v>
      </c>
      <c r="B198">
        <v>4862.5</v>
      </c>
      <c r="C198" s="1">
        <v>45499</v>
      </c>
      <c r="D198">
        <v>7517.68</v>
      </c>
      <c r="E198" s="1">
        <v>45497</v>
      </c>
      <c r="F198">
        <v>18387.46</v>
      </c>
      <c r="G198" s="1">
        <v>45498</v>
      </c>
      <c r="H198">
        <v>9709.5145499999999</v>
      </c>
      <c r="I198" s="1">
        <v>45499</v>
      </c>
      <c r="J198">
        <v>11165.9</v>
      </c>
      <c r="K198" s="1">
        <v>45496</v>
      </c>
      <c r="L198">
        <v>34637.75</v>
      </c>
    </row>
    <row r="199" spans="1:12" x14ac:dyDescent="0.35">
      <c r="A199" s="1">
        <v>45498</v>
      </c>
      <c r="B199">
        <v>4811.28</v>
      </c>
      <c r="C199" s="1">
        <v>45498</v>
      </c>
      <c r="D199">
        <v>7427.02</v>
      </c>
      <c r="E199" s="1">
        <v>45496</v>
      </c>
      <c r="F199">
        <v>18557.7</v>
      </c>
      <c r="G199" s="1">
        <v>45497</v>
      </c>
      <c r="H199">
        <v>9712.8925400000007</v>
      </c>
      <c r="I199" s="1">
        <v>45498</v>
      </c>
      <c r="J199">
        <v>11145.6</v>
      </c>
      <c r="K199" s="1">
        <v>45495</v>
      </c>
      <c r="L199">
        <v>34615.050000000003</v>
      </c>
    </row>
    <row r="200" spans="1:12" x14ac:dyDescent="0.35">
      <c r="A200" s="1">
        <v>45497</v>
      </c>
      <c r="B200">
        <v>4861.87</v>
      </c>
      <c r="C200" s="1">
        <v>45497</v>
      </c>
      <c r="D200">
        <v>7513.73</v>
      </c>
      <c r="E200" s="1">
        <v>45495</v>
      </c>
      <c r="F200">
        <v>18407.07</v>
      </c>
      <c r="G200" s="1">
        <v>45496</v>
      </c>
      <c r="H200">
        <v>9715.3549000000003</v>
      </c>
      <c r="I200" s="1">
        <v>45497</v>
      </c>
      <c r="J200">
        <v>11210.1</v>
      </c>
      <c r="K200" s="1">
        <v>45492</v>
      </c>
      <c r="L200">
        <v>34215.839999999997</v>
      </c>
    </row>
    <row r="201" spans="1:12" x14ac:dyDescent="0.35">
      <c r="A201" s="1">
        <v>45496</v>
      </c>
      <c r="B201">
        <v>4916.8</v>
      </c>
      <c r="C201" s="1">
        <v>45496</v>
      </c>
      <c r="D201">
        <v>7598.63</v>
      </c>
      <c r="E201" s="1">
        <v>45492</v>
      </c>
      <c r="F201">
        <v>18171.93</v>
      </c>
      <c r="G201" s="1">
        <v>45495</v>
      </c>
      <c r="H201">
        <v>9729.1787700000004</v>
      </c>
      <c r="I201" s="1">
        <v>45496</v>
      </c>
      <c r="J201">
        <v>11212.7</v>
      </c>
      <c r="K201" s="1">
        <v>45491</v>
      </c>
      <c r="L201">
        <v>34529.129999999997</v>
      </c>
    </row>
    <row r="202" spans="1:12" x14ac:dyDescent="0.35">
      <c r="A202" s="1">
        <v>45495</v>
      </c>
      <c r="B202">
        <v>4897.4399999999996</v>
      </c>
      <c r="C202" s="1">
        <v>45495</v>
      </c>
      <c r="D202">
        <v>7622.02</v>
      </c>
      <c r="E202" s="1">
        <v>45491</v>
      </c>
      <c r="F202">
        <v>18354.759999999998</v>
      </c>
      <c r="G202" s="1">
        <v>45492</v>
      </c>
      <c r="H202">
        <v>9675.9731800000009</v>
      </c>
      <c r="I202" s="1">
        <v>45495</v>
      </c>
      <c r="J202">
        <v>11143.8</v>
      </c>
      <c r="K202" s="1">
        <v>45490</v>
      </c>
      <c r="L202">
        <v>34379.64</v>
      </c>
    </row>
    <row r="203" spans="1:12" x14ac:dyDescent="0.35">
      <c r="A203" s="1">
        <v>45492</v>
      </c>
      <c r="B203">
        <v>4827.24</v>
      </c>
      <c r="C203" s="1">
        <v>45492</v>
      </c>
      <c r="D203">
        <v>7534.52</v>
      </c>
      <c r="E203" s="1">
        <v>45490</v>
      </c>
      <c r="F203">
        <v>18437.3</v>
      </c>
      <c r="G203" s="1">
        <v>45491</v>
      </c>
      <c r="H203">
        <v>9750.2595299999994</v>
      </c>
      <c r="I203" s="1">
        <v>45492</v>
      </c>
      <c r="J203">
        <v>11087.5</v>
      </c>
      <c r="K203" s="1">
        <v>45489</v>
      </c>
      <c r="L203">
        <v>34369.19</v>
      </c>
    </row>
    <row r="204" spans="1:12" x14ac:dyDescent="0.35">
      <c r="A204" s="1">
        <v>45491</v>
      </c>
      <c r="B204">
        <v>4870.12</v>
      </c>
      <c r="C204" s="1">
        <v>45491</v>
      </c>
      <c r="D204">
        <v>7586.55</v>
      </c>
      <c r="E204" s="1">
        <v>45489</v>
      </c>
      <c r="F204">
        <v>18518.03</v>
      </c>
      <c r="G204" s="1">
        <v>45490</v>
      </c>
      <c r="H204">
        <v>9741.0548799999997</v>
      </c>
      <c r="I204" s="1">
        <v>45491</v>
      </c>
      <c r="J204">
        <v>11147.5</v>
      </c>
      <c r="K204" s="1">
        <v>45488</v>
      </c>
      <c r="L204">
        <v>34375.919999999998</v>
      </c>
    </row>
    <row r="205" spans="1:12" x14ac:dyDescent="0.35">
      <c r="A205" s="1">
        <v>45490</v>
      </c>
      <c r="B205">
        <v>4891.46</v>
      </c>
      <c r="C205" s="1">
        <v>45490</v>
      </c>
      <c r="D205">
        <v>7570.81</v>
      </c>
      <c r="E205" s="1">
        <v>45488</v>
      </c>
      <c r="F205">
        <v>18590.89</v>
      </c>
      <c r="G205" s="1">
        <v>45489</v>
      </c>
      <c r="H205">
        <v>9714.0489899999993</v>
      </c>
      <c r="I205" s="1">
        <v>45490</v>
      </c>
      <c r="J205">
        <v>11105.2</v>
      </c>
      <c r="K205" s="1">
        <v>45485</v>
      </c>
      <c r="L205">
        <v>34580.519999999997</v>
      </c>
    </row>
    <row r="206" spans="1:12" x14ac:dyDescent="0.35">
      <c r="A206" s="1">
        <v>45489</v>
      </c>
      <c r="B206">
        <v>4947.83</v>
      </c>
      <c r="C206" s="1">
        <v>45489</v>
      </c>
      <c r="D206">
        <v>7580.03</v>
      </c>
      <c r="E206" s="1">
        <v>45485</v>
      </c>
      <c r="F206">
        <v>18748.18</v>
      </c>
      <c r="G206" s="1">
        <v>45488</v>
      </c>
      <c r="H206">
        <v>9736.8670399999992</v>
      </c>
      <c r="I206" s="1">
        <v>45489</v>
      </c>
      <c r="J206">
        <v>11090.5</v>
      </c>
      <c r="K206" s="1">
        <v>45484</v>
      </c>
      <c r="L206">
        <v>34318.11</v>
      </c>
    </row>
    <row r="207" spans="1:12" x14ac:dyDescent="0.35">
      <c r="A207" s="1">
        <v>45488</v>
      </c>
      <c r="B207">
        <v>4983.1099999999997</v>
      </c>
      <c r="C207" s="1">
        <v>45488</v>
      </c>
      <c r="D207">
        <v>7632.71</v>
      </c>
      <c r="E207" s="1">
        <v>45484</v>
      </c>
      <c r="F207">
        <v>18534.560000000001</v>
      </c>
      <c r="G207" s="1">
        <v>45485</v>
      </c>
      <c r="H207">
        <v>9828.5687500000004</v>
      </c>
      <c r="I207" s="1">
        <v>45488</v>
      </c>
      <c r="J207">
        <v>11143</v>
      </c>
      <c r="K207" s="1">
        <v>45483</v>
      </c>
      <c r="L207">
        <v>34306.400000000001</v>
      </c>
    </row>
    <row r="208" spans="1:12" x14ac:dyDescent="0.35">
      <c r="A208" s="1">
        <v>45485</v>
      </c>
      <c r="B208">
        <v>5043.0200000000004</v>
      </c>
      <c r="C208" s="1">
        <v>45485</v>
      </c>
      <c r="D208">
        <v>7724.32</v>
      </c>
      <c r="E208" s="1">
        <v>45483</v>
      </c>
      <c r="F208">
        <v>18407.22</v>
      </c>
      <c r="G208" s="1">
        <v>45484</v>
      </c>
      <c r="H208">
        <v>9770.0876700000008</v>
      </c>
      <c r="I208" s="1">
        <v>45485</v>
      </c>
      <c r="J208">
        <v>11250.6</v>
      </c>
      <c r="K208" s="1">
        <v>45482</v>
      </c>
      <c r="L208">
        <v>33864.47</v>
      </c>
    </row>
    <row r="209" spans="1:12" x14ac:dyDescent="0.35">
      <c r="A209" s="1">
        <v>45484</v>
      </c>
      <c r="B209">
        <v>4976.13</v>
      </c>
      <c r="C209" s="1">
        <v>45484</v>
      </c>
      <c r="D209">
        <v>7627.13</v>
      </c>
      <c r="E209" s="1">
        <v>45482</v>
      </c>
      <c r="F209">
        <v>18236.189999999999</v>
      </c>
      <c r="G209" s="1">
        <v>45483</v>
      </c>
      <c r="H209">
        <v>9721.4213999999993</v>
      </c>
      <c r="I209" s="1">
        <v>45484</v>
      </c>
      <c r="J209">
        <v>11170</v>
      </c>
      <c r="K209" s="1">
        <v>45481</v>
      </c>
      <c r="L209">
        <v>34046.54</v>
      </c>
    </row>
    <row r="210" spans="1:12" x14ac:dyDescent="0.35">
      <c r="A210" s="1">
        <v>45483</v>
      </c>
      <c r="B210">
        <v>4958.8599999999997</v>
      </c>
      <c r="C210" s="1">
        <v>45483</v>
      </c>
      <c r="D210">
        <v>7573.55</v>
      </c>
      <c r="E210" s="1">
        <v>45481</v>
      </c>
      <c r="F210">
        <v>18472.05</v>
      </c>
      <c r="G210" s="1">
        <v>45482</v>
      </c>
      <c r="H210">
        <v>9625.4570999999996</v>
      </c>
      <c r="I210" s="1">
        <v>45483</v>
      </c>
      <c r="J210">
        <v>11071.6</v>
      </c>
      <c r="K210" s="1">
        <v>45478</v>
      </c>
      <c r="L210">
        <v>33987.67</v>
      </c>
    </row>
    <row r="211" spans="1:12" x14ac:dyDescent="0.35">
      <c r="A211" s="1">
        <v>45482</v>
      </c>
      <c r="B211">
        <v>4903.62</v>
      </c>
      <c r="C211" s="1">
        <v>45482</v>
      </c>
      <c r="D211">
        <v>7508.66</v>
      </c>
      <c r="E211" s="1">
        <v>45478</v>
      </c>
      <c r="F211">
        <v>18475.45</v>
      </c>
      <c r="G211" s="1">
        <v>45481</v>
      </c>
      <c r="H211">
        <v>9697.9999299999999</v>
      </c>
      <c r="I211" s="1">
        <v>45482</v>
      </c>
      <c r="J211">
        <v>10898.8</v>
      </c>
      <c r="K211" s="1">
        <v>45477</v>
      </c>
      <c r="L211">
        <v>34106.01</v>
      </c>
    </row>
    <row r="212" spans="1:12" x14ac:dyDescent="0.35">
      <c r="A212" s="1">
        <v>45481</v>
      </c>
      <c r="B212">
        <v>4969.83</v>
      </c>
      <c r="C212" s="1">
        <v>45481</v>
      </c>
      <c r="D212">
        <v>7627.45</v>
      </c>
      <c r="E212" s="1">
        <v>45477</v>
      </c>
      <c r="F212">
        <v>18450.48</v>
      </c>
      <c r="G212" s="1">
        <v>45478</v>
      </c>
      <c r="H212">
        <v>9698.3092699999997</v>
      </c>
      <c r="I212" s="1">
        <v>45481</v>
      </c>
      <c r="J212">
        <v>11022.1</v>
      </c>
      <c r="K212" s="1">
        <v>45476</v>
      </c>
      <c r="L212">
        <v>33844.949999999997</v>
      </c>
    </row>
    <row r="213" spans="1:12" x14ac:dyDescent="0.35">
      <c r="A213" s="1">
        <v>45478</v>
      </c>
      <c r="B213">
        <v>4979.3900000000003</v>
      </c>
      <c r="C213" s="1">
        <v>45478</v>
      </c>
      <c r="D213">
        <v>7675.62</v>
      </c>
      <c r="E213" s="1">
        <v>45476</v>
      </c>
      <c r="F213">
        <v>18374.53</v>
      </c>
      <c r="G213" s="1">
        <v>45477</v>
      </c>
      <c r="H213">
        <v>9726.8515399999997</v>
      </c>
      <c r="I213" s="1">
        <v>45478</v>
      </c>
      <c r="J213">
        <v>11023.5</v>
      </c>
      <c r="K213" s="1">
        <v>45475</v>
      </c>
      <c r="L213">
        <v>33481.4</v>
      </c>
    </row>
    <row r="214" spans="1:12" x14ac:dyDescent="0.35">
      <c r="A214" s="1">
        <v>45477</v>
      </c>
      <c r="B214">
        <v>4987.4799999999996</v>
      </c>
      <c r="C214" s="1">
        <v>45477</v>
      </c>
      <c r="D214">
        <v>7695.78</v>
      </c>
      <c r="E214" s="1">
        <v>45475</v>
      </c>
      <c r="F214">
        <v>18164.060000000001</v>
      </c>
      <c r="G214" s="1">
        <v>45476</v>
      </c>
      <c r="H214">
        <v>9653.0626599999996</v>
      </c>
      <c r="I214" s="1">
        <v>45477</v>
      </c>
      <c r="J214">
        <v>11066.3</v>
      </c>
      <c r="K214" s="1">
        <v>45474</v>
      </c>
      <c r="L214">
        <v>33716.54</v>
      </c>
    </row>
    <row r="215" spans="1:12" x14ac:dyDescent="0.35">
      <c r="A215" s="1">
        <v>45476</v>
      </c>
      <c r="B215">
        <v>4965.8</v>
      </c>
      <c r="C215" s="1">
        <v>45476</v>
      </c>
      <c r="D215">
        <v>7632.08</v>
      </c>
      <c r="E215" s="1">
        <v>45474</v>
      </c>
      <c r="F215">
        <v>18290.66</v>
      </c>
      <c r="G215" s="1">
        <v>45475</v>
      </c>
      <c r="H215">
        <v>9586.2245199999998</v>
      </c>
      <c r="I215" s="1">
        <v>45476</v>
      </c>
      <c r="J215">
        <v>11056.8</v>
      </c>
      <c r="K215" s="1">
        <v>45471</v>
      </c>
      <c r="L215">
        <v>33154.050000000003</v>
      </c>
    </row>
    <row r="216" spans="1:12" x14ac:dyDescent="0.35">
      <c r="A216" s="1">
        <v>45475</v>
      </c>
      <c r="B216">
        <v>4906.33</v>
      </c>
      <c r="C216" s="1">
        <v>45475</v>
      </c>
      <c r="D216">
        <v>7538.29</v>
      </c>
      <c r="E216" s="1">
        <v>45471</v>
      </c>
      <c r="F216">
        <v>18235.45</v>
      </c>
      <c r="G216" s="1">
        <v>45474</v>
      </c>
      <c r="H216">
        <v>9625.6807800000006</v>
      </c>
      <c r="I216" s="1">
        <v>45475</v>
      </c>
      <c r="J216">
        <v>10912.8</v>
      </c>
      <c r="K216" s="1">
        <v>45470</v>
      </c>
      <c r="L216">
        <v>33186.89</v>
      </c>
    </row>
    <row r="217" spans="1:12" x14ac:dyDescent="0.35">
      <c r="A217" s="1">
        <v>45474</v>
      </c>
      <c r="B217">
        <v>4929.99</v>
      </c>
      <c r="C217" s="1">
        <v>45474</v>
      </c>
      <c r="D217">
        <v>7561.13</v>
      </c>
      <c r="E217" s="1">
        <v>45470</v>
      </c>
      <c r="F217">
        <v>18210.55</v>
      </c>
      <c r="G217" s="1">
        <v>45471</v>
      </c>
      <c r="H217">
        <v>9631.4674400000004</v>
      </c>
      <c r="I217" s="1">
        <v>45474</v>
      </c>
      <c r="J217">
        <v>11057</v>
      </c>
      <c r="K217" s="1">
        <v>45469</v>
      </c>
      <c r="L217">
        <v>33541.980000000003</v>
      </c>
    </row>
    <row r="218" spans="1:12" x14ac:dyDescent="0.35">
      <c r="A218" s="1">
        <v>45471</v>
      </c>
      <c r="B218">
        <v>4894.0200000000004</v>
      </c>
      <c r="C218" s="1">
        <v>45471</v>
      </c>
      <c r="D218">
        <v>7479.4</v>
      </c>
      <c r="E218" s="1">
        <v>45469</v>
      </c>
      <c r="F218">
        <v>18155.240000000002</v>
      </c>
      <c r="G218" s="1">
        <v>45470</v>
      </c>
      <c r="H218">
        <v>9664.8110300000008</v>
      </c>
      <c r="I218" s="1">
        <v>45471</v>
      </c>
      <c r="J218">
        <v>10943.7</v>
      </c>
      <c r="K218" s="1">
        <v>45468</v>
      </c>
      <c r="L218">
        <v>33707.21</v>
      </c>
    </row>
    <row r="219" spans="1:12" x14ac:dyDescent="0.35">
      <c r="A219" s="1">
        <v>45470</v>
      </c>
      <c r="B219">
        <v>4902.6000000000004</v>
      </c>
      <c r="C219" s="1">
        <v>45470</v>
      </c>
      <c r="D219">
        <v>7530.72</v>
      </c>
      <c r="E219" s="1">
        <v>45468</v>
      </c>
      <c r="F219">
        <v>18177.62</v>
      </c>
      <c r="G219" s="1">
        <v>45469</v>
      </c>
      <c r="H219">
        <v>9722.2445800000005</v>
      </c>
      <c r="I219" s="1">
        <v>45470</v>
      </c>
      <c r="J219">
        <v>10951.5</v>
      </c>
      <c r="K219" s="1">
        <v>45467</v>
      </c>
      <c r="L219">
        <v>33834.910000000003</v>
      </c>
    </row>
    <row r="220" spans="1:12" x14ac:dyDescent="0.35">
      <c r="A220" s="1">
        <v>45469</v>
      </c>
      <c r="B220">
        <v>4915.9399999999996</v>
      </c>
      <c r="C220" s="1">
        <v>45469</v>
      </c>
      <c r="D220">
        <v>7609.15</v>
      </c>
      <c r="E220" s="1">
        <v>45467</v>
      </c>
      <c r="F220">
        <v>18325.580000000002</v>
      </c>
      <c r="G220" s="1">
        <v>45468</v>
      </c>
      <c r="H220">
        <v>9768.6809400000002</v>
      </c>
      <c r="I220" s="1">
        <v>45469</v>
      </c>
      <c r="J220">
        <v>11030.5</v>
      </c>
      <c r="K220" s="1">
        <v>45464</v>
      </c>
      <c r="L220">
        <v>33308.769999999997</v>
      </c>
    </row>
    <row r="221" spans="1:12" x14ac:dyDescent="0.35">
      <c r="A221" s="1">
        <v>45468</v>
      </c>
      <c r="B221">
        <v>4935.97</v>
      </c>
      <c r="C221" s="1">
        <v>45468</v>
      </c>
      <c r="D221">
        <v>7662.3</v>
      </c>
      <c r="E221" s="1">
        <v>45464</v>
      </c>
      <c r="F221">
        <v>18163.52</v>
      </c>
      <c r="G221" s="1">
        <v>45467</v>
      </c>
      <c r="H221">
        <v>9788.4092099999998</v>
      </c>
      <c r="I221" s="1">
        <v>45468</v>
      </c>
      <c r="J221">
        <v>11118.9</v>
      </c>
      <c r="K221" s="1">
        <v>45463</v>
      </c>
      <c r="L221">
        <v>33675.15</v>
      </c>
    </row>
    <row r="222" spans="1:12" x14ac:dyDescent="0.35">
      <c r="A222" s="1">
        <v>45467</v>
      </c>
      <c r="B222">
        <v>4950.9799999999996</v>
      </c>
      <c r="C222" s="1">
        <v>45467</v>
      </c>
      <c r="D222">
        <v>7706.89</v>
      </c>
      <c r="E222" s="1">
        <v>45463</v>
      </c>
      <c r="F222">
        <v>18254.18</v>
      </c>
      <c r="G222" s="1">
        <v>45464</v>
      </c>
      <c r="H222">
        <v>9737.7986400000009</v>
      </c>
      <c r="I222" s="1">
        <v>45467</v>
      </c>
      <c r="J222">
        <v>11172.1</v>
      </c>
      <c r="K222" s="1">
        <v>45462</v>
      </c>
      <c r="L222">
        <v>33220.31</v>
      </c>
    </row>
    <row r="223" spans="1:12" x14ac:dyDescent="0.35">
      <c r="A223" s="1">
        <v>45464</v>
      </c>
      <c r="B223">
        <v>4907.3</v>
      </c>
      <c r="C223" s="1">
        <v>45464</v>
      </c>
      <c r="D223">
        <v>7628.57</v>
      </c>
      <c r="E223" s="1">
        <v>45462</v>
      </c>
      <c r="F223">
        <v>18067.91</v>
      </c>
      <c r="G223" s="1">
        <v>45463</v>
      </c>
      <c r="H223">
        <v>9783.70795</v>
      </c>
      <c r="I223" s="1">
        <v>45464</v>
      </c>
      <c r="J223">
        <v>11032.3</v>
      </c>
      <c r="K223" s="1">
        <v>45461</v>
      </c>
      <c r="L223">
        <v>33315.68</v>
      </c>
    </row>
    <row r="224" spans="1:12" x14ac:dyDescent="0.35">
      <c r="A224" s="1">
        <v>45463</v>
      </c>
      <c r="B224">
        <v>4947.7299999999996</v>
      </c>
      <c r="C224" s="1">
        <v>45463</v>
      </c>
      <c r="D224">
        <v>7671.34</v>
      </c>
      <c r="E224" s="1">
        <v>45461</v>
      </c>
      <c r="F224">
        <v>18131.97</v>
      </c>
      <c r="G224" s="1">
        <v>45462</v>
      </c>
      <c r="H224">
        <v>9712.2177599999995</v>
      </c>
      <c r="I224" s="1">
        <v>45463</v>
      </c>
      <c r="J224">
        <v>11160.5</v>
      </c>
      <c r="K224" s="1">
        <v>45460</v>
      </c>
      <c r="L224">
        <v>32908.050000000003</v>
      </c>
    </row>
    <row r="225" spans="1:12" x14ac:dyDescent="0.35">
      <c r="A225" s="1">
        <v>45462</v>
      </c>
      <c r="B225">
        <v>4885.45</v>
      </c>
      <c r="C225" s="1">
        <v>45462</v>
      </c>
      <c r="D225">
        <v>7570.2</v>
      </c>
      <c r="E225" s="1">
        <v>45460</v>
      </c>
      <c r="F225">
        <v>18068.21</v>
      </c>
      <c r="G225" s="1">
        <v>45461</v>
      </c>
      <c r="H225">
        <v>9688.5897700000005</v>
      </c>
      <c r="I225" s="1">
        <v>45462</v>
      </c>
      <c r="J225">
        <v>11056.4</v>
      </c>
      <c r="K225" s="1">
        <v>45457</v>
      </c>
      <c r="L225">
        <v>32665.21</v>
      </c>
    </row>
    <row r="226" spans="1:12" x14ac:dyDescent="0.35">
      <c r="A226" s="1">
        <v>45461</v>
      </c>
      <c r="B226">
        <v>4915.47</v>
      </c>
      <c r="C226" s="1">
        <v>45461</v>
      </c>
      <c r="D226">
        <v>7628.8</v>
      </c>
      <c r="E226" s="1">
        <v>45457</v>
      </c>
      <c r="F226">
        <v>18002.02</v>
      </c>
      <c r="G226" s="1">
        <v>45460</v>
      </c>
      <c r="H226">
        <v>9638.4835800000001</v>
      </c>
      <c r="I226" s="1">
        <v>45461</v>
      </c>
      <c r="J226">
        <v>11067.7</v>
      </c>
      <c r="K226" s="1">
        <v>45456</v>
      </c>
      <c r="L226">
        <v>33609.85</v>
      </c>
    </row>
    <row r="227" spans="1:12" x14ac:dyDescent="0.35">
      <c r="A227" s="1">
        <v>45460</v>
      </c>
      <c r="B227">
        <v>4880.42</v>
      </c>
      <c r="C227" s="1">
        <v>45460</v>
      </c>
      <c r="D227">
        <v>7571.57</v>
      </c>
      <c r="E227" s="1">
        <v>45456</v>
      </c>
      <c r="F227">
        <v>18265.68</v>
      </c>
      <c r="G227" s="1">
        <v>45457</v>
      </c>
      <c r="H227">
        <v>9658.8368200000004</v>
      </c>
      <c r="I227" s="1">
        <v>45460</v>
      </c>
      <c r="J227">
        <v>10959.5</v>
      </c>
      <c r="K227" s="1">
        <v>45455</v>
      </c>
      <c r="L227">
        <v>34358.83</v>
      </c>
    </row>
    <row r="228" spans="1:12" x14ac:dyDescent="0.35">
      <c r="A228" s="1">
        <v>45457</v>
      </c>
      <c r="B228">
        <v>4839.1400000000003</v>
      </c>
      <c r="C228" s="1">
        <v>45457</v>
      </c>
      <c r="D228">
        <v>7503.27</v>
      </c>
      <c r="E228" s="1">
        <v>45455</v>
      </c>
      <c r="F228">
        <v>18630.86</v>
      </c>
      <c r="G228" s="1">
        <v>45456</v>
      </c>
      <c r="H228">
        <v>9692.9797699999999</v>
      </c>
      <c r="I228" s="1">
        <v>45457</v>
      </c>
      <c r="J228">
        <v>10992.3</v>
      </c>
      <c r="K228" s="1">
        <v>45454</v>
      </c>
      <c r="L228">
        <v>33874.480000000003</v>
      </c>
    </row>
    <row r="229" spans="1:12" x14ac:dyDescent="0.35">
      <c r="A229" s="1">
        <v>45456</v>
      </c>
      <c r="B229">
        <v>4935.5</v>
      </c>
      <c r="C229" s="1">
        <v>45456</v>
      </c>
      <c r="D229">
        <v>7708.02</v>
      </c>
      <c r="E229" s="1">
        <v>45454</v>
      </c>
      <c r="F229">
        <v>18369.939999999999</v>
      </c>
      <c r="G229" s="1">
        <v>45455</v>
      </c>
      <c r="H229">
        <v>9732.2073099999998</v>
      </c>
      <c r="I229" s="1">
        <v>45456</v>
      </c>
      <c r="J229">
        <v>11066.1</v>
      </c>
      <c r="K229" s="1">
        <v>45453</v>
      </c>
      <c r="L229">
        <v>34542.01</v>
      </c>
    </row>
    <row r="230" spans="1:12" x14ac:dyDescent="0.35">
      <c r="A230" s="1">
        <v>45455</v>
      </c>
      <c r="B230">
        <v>5034.43</v>
      </c>
      <c r="C230" s="1">
        <v>45455</v>
      </c>
      <c r="D230">
        <v>7864.7</v>
      </c>
      <c r="E230" s="1">
        <v>45453</v>
      </c>
      <c r="F230">
        <v>18494.89</v>
      </c>
      <c r="G230" s="1">
        <v>45454</v>
      </c>
      <c r="H230">
        <v>9659.4461699999993</v>
      </c>
      <c r="I230" s="1">
        <v>45455</v>
      </c>
      <c r="J230">
        <v>11245.4</v>
      </c>
      <c r="K230" s="1">
        <v>45450</v>
      </c>
      <c r="L230">
        <v>34660.379999999997</v>
      </c>
    </row>
    <row r="231" spans="1:12" x14ac:dyDescent="0.35">
      <c r="A231" s="1">
        <v>45454</v>
      </c>
      <c r="B231">
        <v>4965.09</v>
      </c>
      <c r="C231" s="1">
        <v>45454</v>
      </c>
      <c r="D231">
        <v>7789.21</v>
      </c>
      <c r="E231" s="1">
        <v>45450</v>
      </c>
      <c r="F231">
        <v>18557.27</v>
      </c>
      <c r="G231" s="1">
        <v>45453</v>
      </c>
      <c r="H231">
        <v>9739.6617000000006</v>
      </c>
      <c r="I231" s="1">
        <v>45454</v>
      </c>
      <c r="J231">
        <v>11175.5</v>
      </c>
      <c r="K231" s="1">
        <v>45449</v>
      </c>
      <c r="L231">
        <v>34834.300000000003</v>
      </c>
    </row>
    <row r="232" spans="1:12" x14ac:dyDescent="0.35">
      <c r="A232" s="1">
        <v>45453</v>
      </c>
      <c r="B232">
        <v>5016.4799999999996</v>
      </c>
      <c r="C232" s="1">
        <v>45453</v>
      </c>
      <c r="D232">
        <v>7893.98</v>
      </c>
      <c r="E232" s="1">
        <v>45449</v>
      </c>
      <c r="F232">
        <v>18652.669999999998</v>
      </c>
      <c r="G232" s="1">
        <v>45450</v>
      </c>
      <c r="H232">
        <v>9709.7721299999994</v>
      </c>
      <c r="I232" s="1">
        <v>45453</v>
      </c>
      <c r="J232">
        <v>11357.2</v>
      </c>
      <c r="K232" s="1">
        <v>45448</v>
      </c>
      <c r="L232">
        <v>34507.839999999997</v>
      </c>
    </row>
    <row r="233" spans="1:12" x14ac:dyDescent="0.35">
      <c r="A233" s="1">
        <v>45450</v>
      </c>
      <c r="B233">
        <v>5051.3100000000004</v>
      </c>
      <c r="C233" s="1">
        <v>45450</v>
      </c>
      <c r="D233">
        <v>8001.8</v>
      </c>
      <c r="E233" s="1">
        <v>45448</v>
      </c>
      <c r="F233">
        <v>18575.939999999999</v>
      </c>
      <c r="G233" s="1">
        <v>45449</v>
      </c>
      <c r="H233">
        <v>9729.6783599999999</v>
      </c>
      <c r="I233" s="1">
        <v>45450</v>
      </c>
      <c r="J233">
        <v>11404.9</v>
      </c>
      <c r="K233" s="1">
        <v>45447</v>
      </c>
      <c r="L233">
        <v>34276.019999999997</v>
      </c>
    </row>
    <row r="234" spans="1:12" x14ac:dyDescent="0.35">
      <c r="A234" s="1">
        <v>45449</v>
      </c>
      <c r="B234">
        <v>5069.09</v>
      </c>
      <c r="C234" s="1">
        <v>45449</v>
      </c>
      <c r="D234">
        <v>8040.12</v>
      </c>
      <c r="E234" s="1">
        <v>45447</v>
      </c>
      <c r="F234">
        <v>18405.64</v>
      </c>
      <c r="G234" s="1">
        <v>45448</v>
      </c>
      <c r="H234">
        <v>9699.8828300000005</v>
      </c>
      <c r="I234" s="1">
        <v>45449</v>
      </c>
      <c r="J234">
        <v>11444</v>
      </c>
      <c r="K234" s="1">
        <v>45446</v>
      </c>
      <c r="L234">
        <v>34670.06</v>
      </c>
    </row>
    <row r="235" spans="1:12" x14ac:dyDescent="0.35">
      <c r="A235" s="1">
        <v>45448</v>
      </c>
      <c r="B235">
        <v>5035.66</v>
      </c>
      <c r="C235" s="1">
        <v>45448</v>
      </c>
      <c r="D235">
        <v>8006.57</v>
      </c>
      <c r="E235" s="1">
        <v>45446</v>
      </c>
      <c r="F235">
        <v>18608.16</v>
      </c>
      <c r="G235" s="1">
        <v>45447</v>
      </c>
      <c r="H235">
        <v>9674.9168599999994</v>
      </c>
      <c r="I235" s="1">
        <v>45448</v>
      </c>
      <c r="J235">
        <v>11353.1</v>
      </c>
      <c r="K235" s="1">
        <v>45443</v>
      </c>
      <c r="L235">
        <v>34492.410000000003</v>
      </c>
    </row>
    <row r="236" spans="1:12" x14ac:dyDescent="0.35">
      <c r="A236" s="1">
        <v>45447</v>
      </c>
      <c r="B236">
        <v>4953.37</v>
      </c>
      <c r="C236" s="1">
        <v>45447</v>
      </c>
      <c r="D236">
        <v>7937.9</v>
      </c>
      <c r="E236" s="1">
        <v>45443</v>
      </c>
      <c r="F236">
        <v>18497.939999999999</v>
      </c>
      <c r="G236" s="1">
        <v>45446</v>
      </c>
      <c r="H236">
        <v>9700.4760900000001</v>
      </c>
      <c r="I236" s="1">
        <v>45447</v>
      </c>
      <c r="J236">
        <v>11286.4</v>
      </c>
      <c r="K236" s="1">
        <v>45442</v>
      </c>
      <c r="L236">
        <v>34447.57</v>
      </c>
    </row>
    <row r="237" spans="1:12" x14ac:dyDescent="0.35">
      <c r="A237" s="1">
        <v>45446</v>
      </c>
      <c r="B237">
        <v>5003.54</v>
      </c>
      <c r="C237" s="1">
        <v>45446</v>
      </c>
      <c r="D237">
        <v>7998.02</v>
      </c>
      <c r="E237" s="1">
        <v>45442</v>
      </c>
      <c r="F237">
        <v>18496.79</v>
      </c>
      <c r="G237" s="1">
        <v>45443</v>
      </c>
      <c r="H237">
        <v>9711.9560600000004</v>
      </c>
      <c r="I237" s="1">
        <v>45446</v>
      </c>
      <c r="J237">
        <v>11397.2</v>
      </c>
      <c r="K237" s="1">
        <v>45441</v>
      </c>
      <c r="L237">
        <v>34150.54</v>
      </c>
    </row>
    <row r="238" spans="1:12" x14ac:dyDescent="0.35">
      <c r="A238" s="1">
        <v>45443</v>
      </c>
      <c r="B238">
        <v>4983.67</v>
      </c>
      <c r="C238" s="1">
        <v>45443</v>
      </c>
      <c r="D238">
        <v>7992.87</v>
      </c>
      <c r="E238" s="1">
        <v>45441</v>
      </c>
      <c r="F238">
        <v>18473.29</v>
      </c>
      <c r="G238" s="1">
        <v>45442</v>
      </c>
      <c r="H238">
        <v>9674.5210399999996</v>
      </c>
      <c r="I238" s="1">
        <v>45443</v>
      </c>
      <c r="J238">
        <v>11322</v>
      </c>
      <c r="K238" s="1">
        <v>45440</v>
      </c>
      <c r="L238">
        <v>34659.550000000003</v>
      </c>
    </row>
    <row r="239" spans="1:12" x14ac:dyDescent="0.35">
      <c r="A239" s="1">
        <v>45442</v>
      </c>
      <c r="B239">
        <v>4982.18</v>
      </c>
      <c r="C239" s="1">
        <v>45442</v>
      </c>
      <c r="D239">
        <v>7978.51</v>
      </c>
      <c r="E239" s="1">
        <v>45440</v>
      </c>
      <c r="F239">
        <v>18677.87</v>
      </c>
      <c r="G239" s="1">
        <v>45441</v>
      </c>
      <c r="H239">
        <v>9621.31113</v>
      </c>
      <c r="I239" s="1">
        <v>45442</v>
      </c>
      <c r="J239">
        <v>11338.2</v>
      </c>
      <c r="K239" s="1">
        <v>45439</v>
      </c>
      <c r="L239">
        <v>34761.97</v>
      </c>
    </row>
    <row r="240" spans="1:12" x14ac:dyDescent="0.35">
      <c r="A240" s="1">
        <v>45441</v>
      </c>
      <c r="B240">
        <v>4963.2</v>
      </c>
      <c r="C240" s="1">
        <v>45441</v>
      </c>
      <c r="D240">
        <v>7935.03</v>
      </c>
      <c r="E240" s="1">
        <v>45439</v>
      </c>
      <c r="F240">
        <v>18774.71</v>
      </c>
      <c r="G240" s="1">
        <v>45440</v>
      </c>
      <c r="H240">
        <v>9697.8076199999996</v>
      </c>
      <c r="I240" s="1">
        <v>45441</v>
      </c>
      <c r="J240">
        <v>11145.1</v>
      </c>
      <c r="K240" s="1">
        <v>45436</v>
      </c>
      <c r="L240">
        <v>34490.71</v>
      </c>
    </row>
    <row r="241" spans="1:12" x14ac:dyDescent="0.35">
      <c r="A241" s="1">
        <v>45440</v>
      </c>
      <c r="B241">
        <v>5030.3500000000004</v>
      </c>
      <c r="C241" s="1">
        <v>45440</v>
      </c>
      <c r="D241">
        <v>8057.8</v>
      </c>
      <c r="E241" s="1">
        <v>45436</v>
      </c>
      <c r="F241">
        <v>18693.37</v>
      </c>
      <c r="G241" s="1">
        <v>45436</v>
      </c>
      <c r="H241">
        <v>9764.5608100000009</v>
      </c>
      <c r="I241" s="1">
        <v>45440</v>
      </c>
      <c r="J241">
        <v>11276</v>
      </c>
      <c r="K241" s="1">
        <v>45435</v>
      </c>
      <c r="L241">
        <v>34467.67</v>
      </c>
    </row>
    <row r="242" spans="1:12" x14ac:dyDescent="0.35">
      <c r="A242" s="1">
        <v>45439</v>
      </c>
      <c r="B242">
        <v>5059.2</v>
      </c>
      <c r="C242" s="1">
        <v>45439</v>
      </c>
      <c r="D242">
        <v>8132.49</v>
      </c>
      <c r="E242" s="1">
        <v>45435</v>
      </c>
      <c r="F242">
        <v>18691.32</v>
      </c>
      <c r="G242" s="1">
        <v>45435</v>
      </c>
      <c r="H242">
        <v>9799.2504900000004</v>
      </c>
      <c r="I242" s="1">
        <v>45439</v>
      </c>
      <c r="J242">
        <v>11325.5</v>
      </c>
      <c r="K242" s="1">
        <v>45434</v>
      </c>
      <c r="L242">
        <v>34460.519999999997</v>
      </c>
    </row>
    <row r="243" spans="1:12" x14ac:dyDescent="0.35">
      <c r="A243" s="1">
        <v>45436</v>
      </c>
      <c r="B243">
        <v>5035.41</v>
      </c>
      <c r="C243" s="1">
        <v>45436</v>
      </c>
      <c r="D243">
        <v>8094.97</v>
      </c>
      <c r="E243" s="1">
        <v>45434</v>
      </c>
      <c r="F243">
        <v>18680.2</v>
      </c>
      <c r="G243" s="1">
        <v>45434</v>
      </c>
      <c r="H243">
        <v>9837.8202999999994</v>
      </c>
      <c r="I243" s="1">
        <v>45436</v>
      </c>
      <c r="J243">
        <v>11246</v>
      </c>
      <c r="K243" s="1">
        <v>45433</v>
      </c>
      <c r="L243">
        <v>34603.61</v>
      </c>
    </row>
    <row r="244" spans="1:12" x14ac:dyDescent="0.35">
      <c r="A244" s="1">
        <v>45435</v>
      </c>
      <c r="B244">
        <v>5037.6000000000004</v>
      </c>
      <c r="C244" s="1">
        <v>45435</v>
      </c>
      <c r="D244">
        <v>8102.33</v>
      </c>
      <c r="E244" s="1">
        <v>45433</v>
      </c>
      <c r="F244">
        <v>18726.759999999998</v>
      </c>
      <c r="G244" s="1">
        <v>45433</v>
      </c>
      <c r="H244">
        <v>9854.0857400000004</v>
      </c>
      <c r="I244" s="1">
        <v>45435</v>
      </c>
      <c r="J244">
        <v>11311.1</v>
      </c>
      <c r="K244" s="1">
        <v>45432</v>
      </c>
      <c r="L244">
        <v>34825.01</v>
      </c>
    </row>
    <row r="245" spans="1:12" x14ac:dyDescent="0.35">
      <c r="A245" s="1">
        <v>45434</v>
      </c>
      <c r="B245">
        <v>5025.17</v>
      </c>
      <c r="C245" s="1">
        <v>45434</v>
      </c>
      <c r="D245">
        <v>8092.11</v>
      </c>
      <c r="E245" s="1">
        <v>45432</v>
      </c>
      <c r="F245">
        <v>18768.96</v>
      </c>
      <c r="G245" s="1">
        <v>45432</v>
      </c>
      <c r="H245">
        <v>9860.0198400000008</v>
      </c>
      <c r="I245" s="1">
        <v>45434</v>
      </c>
      <c r="J245">
        <v>11329</v>
      </c>
      <c r="K245" s="1">
        <v>45429</v>
      </c>
      <c r="L245">
        <v>35398.82</v>
      </c>
    </row>
    <row r="246" spans="1:12" x14ac:dyDescent="0.35">
      <c r="A246" s="1">
        <v>45433</v>
      </c>
      <c r="B246">
        <v>5046.99</v>
      </c>
      <c r="C246" s="1">
        <v>45433</v>
      </c>
      <c r="D246">
        <v>8141.46</v>
      </c>
      <c r="E246" s="1">
        <v>45429</v>
      </c>
      <c r="F246">
        <v>18704.419999999998</v>
      </c>
      <c r="G246" s="1">
        <v>45429</v>
      </c>
      <c r="H246">
        <v>9839.5180999999993</v>
      </c>
      <c r="I246" s="1">
        <v>45433</v>
      </c>
      <c r="J246">
        <v>11334.9</v>
      </c>
      <c r="K246" s="1">
        <v>45428</v>
      </c>
      <c r="L246">
        <v>35410.129999999997</v>
      </c>
    </row>
    <row r="247" spans="1:12" x14ac:dyDescent="0.35">
      <c r="A247" s="1">
        <v>45432</v>
      </c>
      <c r="B247">
        <v>5074.34</v>
      </c>
      <c r="C247" s="1">
        <v>45432</v>
      </c>
      <c r="D247">
        <v>8195.9699999999993</v>
      </c>
      <c r="E247" s="1">
        <v>45428</v>
      </c>
      <c r="F247">
        <v>18738.810000000001</v>
      </c>
      <c r="G247" s="1">
        <v>45428</v>
      </c>
      <c r="H247">
        <v>9835.6489899999997</v>
      </c>
      <c r="I247" s="1">
        <v>45432</v>
      </c>
      <c r="J247">
        <v>11339.5</v>
      </c>
      <c r="K247" s="1">
        <v>45427</v>
      </c>
      <c r="L247">
        <v>35366.199999999997</v>
      </c>
    </row>
    <row r="248" spans="1:12" x14ac:dyDescent="0.35">
      <c r="A248" s="1">
        <v>45429</v>
      </c>
      <c r="B248">
        <v>5064.1400000000003</v>
      </c>
      <c r="C248" s="1">
        <v>45429</v>
      </c>
      <c r="D248">
        <v>8167.5</v>
      </c>
      <c r="E248" s="1">
        <v>45427</v>
      </c>
      <c r="F248">
        <v>18869.36</v>
      </c>
      <c r="G248" s="1">
        <v>45427</v>
      </c>
      <c r="H248">
        <v>9845.6649400000006</v>
      </c>
      <c r="I248" s="1">
        <v>45429</v>
      </c>
      <c r="J248">
        <v>11327.7</v>
      </c>
      <c r="K248" s="1">
        <v>45426</v>
      </c>
      <c r="L248">
        <v>35151.42</v>
      </c>
    </row>
    <row r="249" spans="1:12" x14ac:dyDescent="0.35">
      <c r="A249" s="1">
        <v>45428</v>
      </c>
      <c r="B249">
        <v>5072.45</v>
      </c>
      <c r="C249" s="1">
        <v>45428</v>
      </c>
      <c r="D249">
        <v>8188.49</v>
      </c>
      <c r="E249" s="1">
        <v>45426</v>
      </c>
      <c r="F249">
        <v>18716.419999999998</v>
      </c>
      <c r="G249" s="1">
        <v>45426</v>
      </c>
      <c r="H249">
        <v>9805.6777299999994</v>
      </c>
      <c r="I249" s="1">
        <v>45428</v>
      </c>
      <c r="J249">
        <v>11299.3</v>
      </c>
      <c r="K249" s="1">
        <v>45425</v>
      </c>
      <c r="L249">
        <v>34815.910000000003</v>
      </c>
    </row>
    <row r="250" spans="1:12" x14ac:dyDescent="0.35">
      <c r="A250" s="1">
        <v>45427</v>
      </c>
      <c r="B250">
        <v>5100.8999999999996</v>
      </c>
      <c r="C250" s="1">
        <v>45427</v>
      </c>
      <c r="D250">
        <v>8239.99</v>
      </c>
      <c r="E250" s="1">
        <v>45425</v>
      </c>
      <c r="F250">
        <v>18742.22</v>
      </c>
      <c r="G250" s="1">
        <v>45425</v>
      </c>
      <c r="H250">
        <v>9792.5411700000004</v>
      </c>
      <c r="I250" s="1">
        <v>45427</v>
      </c>
      <c r="J250">
        <v>11362.8</v>
      </c>
      <c r="K250" s="1">
        <v>45422</v>
      </c>
      <c r="L250">
        <v>34657.35</v>
      </c>
    </row>
    <row r="251" spans="1:12" x14ac:dyDescent="0.35">
      <c r="A251" s="1">
        <v>45426</v>
      </c>
      <c r="B251">
        <v>5080.29</v>
      </c>
      <c r="C251" s="1">
        <v>45426</v>
      </c>
      <c r="D251">
        <v>8225.7999999999993</v>
      </c>
      <c r="E251" s="1">
        <v>45422</v>
      </c>
      <c r="F251">
        <v>18772.849999999999</v>
      </c>
      <c r="G251" s="1">
        <v>45422</v>
      </c>
      <c r="H251">
        <v>9810.4288799999995</v>
      </c>
      <c r="I251" s="1">
        <v>45426</v>
      </c>
      <c r="J251">
        <v>11239.3</v>
      </c>
      <c r="K251" s="1">
        <v>45421</v>
      </c>
      <c r="L251">
        <v>34339.32</v>
      </c>
    </row>
    <row r="252" spans="1:12" x14ac:dyDescent="0.35">
      <c r="A252" s="1">
        <v>45425</v>
      </c>
      <c r="B252">
        <v>5078.96</v>
      </c>
      <c r="C252" s="1">
        <v>45425</v>
      </c>
      <c r="D252">
        <v>8209.2800000000007</v>
      </c>
      <c r="E252" s="1">
        <v>45421</v>
      </c>
      <c r="F252">
        <v>18686.599999999999</v>
      </c>
      <c r="G252" s="1">
        <v>45421</v>
      </c>
      <c r="H252">
        <v>9733.1304700000001</v>
      </c>
      <c r="I252" s="1">
        <v>45425</v>
      </c>
      <c r="J252">
        <v>11152</v>
      </c>
      <c r="K252" s="1">
        <v>45420</v>
      </c>
      <c r="L252">
        <v>34151.410000000003</v>
      </c>
    </row>
    <row r="253" spans="1:12" x14ac:dyDescent="0.35">
      <c r="A253" s="1">
        <v>45422</v>
      </c>
      <c r="B253">
        <v>5085.08</v>
      </c>
      <c r="C253" s="1">
        <v>45422</v>
      </c>
      <c r="D253">
        <v>8219.14</v>
      </c>
      <c r="E253" s="1">
        <v>45420</v>
      </c>
      <c r="F253">
        <v>18498.38</v>
      </c>
      <c r="G253" s="1">
        <v>45420</v>
      </c>
      <c r="H253">
        <v>9716.0726699999996</v>
      </c>
      <c r="I253" s="1">
        <v>45422</v>
      </c>
      <c r="J253">
        <v>11105.5</v>
      </c>
      <c r="K253" s="1">
        <v>45419</v>
      </c>
      <c r="L253">
        <v>34242.49</v>
      </c>
    </row>
    <row r="254" spans="1:12" x14ac:dyDescent="0.35">
      <c r="A254" s="1">
        <v>45421</v>
      </c>
      <c r="B254">
        <v>5054.41</v>
      </c>
      <c r="C254" s="1">
        <v>45421</v>
      </c>
      <c r="D254">
        <v>8187.65</v>
      </c>
      <c r="E254" s="1">
        <v>45419</v>
      </c>
      <c r="F254">
        <v>18430.05</v>
      </c>
      <c r="G254" s="1">
        <v>45419</v>
      </c>
      <c r="H254">
        <v>9669.9483799999998</v>
      </c>
      <c r="I254" s="1">
        <v>45421</v>
      </c>
      <c r="J254">
        <v>11050.1</v>
      </c>
      <c r="K254" s="1">
        <v>45418</v>
      </c>
      <c r="L254">
        <v>33986.9</v>
      </c>
    </row>
    <row r="255" spans="1:12" x14ac:dyDescent="0.35">
      <c r="A255" s="1">
        <v>45420</v>
      </c>
      <c r="B255">
        <v>5038.17</v>
      </c>
      <c r="C255" s="1">
        <v>45420</v>
      </c>
      <c r="D255">
        <v>8131.41</v>
      </c>
      <c r="E255" s="1">
        <v>45418</v>
      </c>
      <c r="F255">
        <v>18175.21</v>
      </c>
      <c r="G255" s="1">
        <v>45415</v>
      </c>
      <c r="H255">
        <v>9570.9592200000006</v>
      </c>
      <c r="I255" s="1">
        <v>45420</v>
      </c>
      <c r="J255">
        <v>11153</v>
      </c>
      <c r="K255" s="1">
        <v>45415</v>
      </c>
      <c r="L255">
        <v>33629.21</v>
      </c>
    </row>
    <row r="256" spans="1:12" x14ac:dyDescent="0.35">
      <c r="A256" s="1">
        <v>45419</v>
      </c>
      <c r="B256">
        <v>5016.1000000000004</v>
      </c>
      <c r="C256" s="1">
        <v>45419</v>
      </c>
      <c r="D256">
        <v>8075.68</v>
      </c>
      <c r="E256" s="1">
        <v>45415</v>
      </c>
      <c r="F256">
        <v>18001.599999999999</v>
      </c>
      <c r="G256" s="1">
        <v>45414</v>
      </c>
      <c r="H256">
        <v>9543.9609400000008</v>
      </c>
      <c r="I256" s="1">
        <v>45419</v>
      </c>
      <c r="J256">
        <v>11080.9</v>
      </c>
      <c r="K256" s="1">
        <v>45414</v>
      </c>
      <c r="L256">
        <v>33736.400000000001</v>
      </c>
    </row>
    <row r="257" spans="1:12" x14ac:dyDescent="0.35">
      <c r="A257" s="1">
        <v>45418</v>
      </c>
      <c r="B257">
        <v>4956.96</v>
      </c>
      <c r="C257" s="1">
        <v>45418</v>
      </c>
      <c r="D257">
        <v>7996.64</v>
      </c>
      <c r="E257" s="1">
        <v>45414</v>
      </c>
      <c r="F257">
        <v>17896.5</v>
      </c>
      <c r="G257" s="1">
        <v>45413</v>
      </c>
      <c r="H257">
        <v>9497.8632300000008</v>
      </c>
      <c r="I257" s="1">
        <v>45418</v>
      </c>
      <c r="J257">
        <v>10917.5</v>
      </c>
      <c r="K257" s="1">
        <v>45412</v>
      </c>
      <c r="L257">
        <v>33746.660000000003</v>
      </c>
    </row>
    <row r="258" spans="1:12" x14ac:dyDescent="0.35">
      <c r="A258" s="1">
        <v>45415</v>
      </c>
      <c r="B258">
        <v>4921.4799999999996</v>
      </c>
      <c r="C258" s="1">
        <v>45415</v>
      </c>
      <c r="D258">
        <v>7957.57</v>
      </c>
      <c r="E258" s="1">
        <v>45412</v>
      </c>
      <c r="F258">
        <v>17932.169999999998</v>
      </c>
      <c r="G258" s="1">
        <v>45412</v>
      </c>
      <c r="H258">
        <v>9538.2183600000008</v>
      </c>
      <c r="I258" s="1">
        <v>45415</v>
      </c>
      <c r="J258">
        <v>10854.7</v>
      </c>
      <c r="K258" s="1">
        <v>45411</v>
      </c>
      <c r="L258">
        <v>34296.31</v>
      </c>
    </row>
    <row r="259" spans="1:12" x14ac:dyDescent="0.35">
      <c r="A259" s="1">
        <v>45414</v>
      </c>
      <c r="B259">
        <v>4890.6099999999997</v>
      </c>
      <c r="C259" s="1">
        <v>45414</v>
      </c>
      <c r="D259">
        <v>7914.65</v>
      </c>
      <c r="E259" s="1">
        <v>45411</v>
      </c>
      <c r="F259">
        <v>18118.32</v>
      </c>
      <c r="G259" s="1">
        <v>45411</v>
      </c>
      <c r="H259">
        <v>9542.3399100000006</v>
      </c>
      <c r="I259" s="1">
        <v>45414</v>
      </c>
      <c r="J259">
        <v>10872</v>
      </c>
      <c r="K259" s="1">
        <v>45408</v>
      </c>
      <c r="L259">
        <v>34249.769999999997</v>
      </c>
    </row>
    <row r="260" spans="1:12" x14ac:dyDescent="0.35">
      <c r="A260" s="1">
        <v>45413</v>
      </c>
      <c r="B260">
        <v>4921.22</v>
      </c>
      <c r="C260" s="1">
        <v>45412</v>
      </c>
      <c r="D260">
        <v>7984.93</v>
      </c>
      <c r="E260" s="1">
        <v>45408</v>
      </c>
      <c r="F260">
        <v>18161.009999999998</v>
      </c>
      <c r="G260" s="1">
        <v>45408</v>
      </c>
      <c r="H260">
        <v>9504.45975</v>
      </c>
      <c r="I260" s="1">
        <v>45412</v>
      </c>
      <c r="J260">
        <v>10854.4</v>
      </c>
      <c r="K260" s="1">
        <v>45407</v>
      </c>
      <c r="L260">
        <v>33939.75</v>
      </c>
    </row>
    <row r="261" spans="1:12" x14ac:dyDescent="0.35">
      <c r="A261" s="1">
        <v>45412</v>
      </c>
      <c r="B261">
        <v>4921.22</v>
      </c>
      <c r="C261" s="1">
        <v>45411</v>
      </c>
      <c r="D261">
        <v>8065.15</v>
      </c>
      <c r="E261" s="1">
        <v>45407</v>
      </c>
      <c r="F261">
        <v>17917.28</v>
      </c>
      <c r="G261" s="1">
        <v>45407</v>
      </c>
      <c r="H261">
        <v>9421.9488299999994</v>
      </c>
      <c r="I261" s="1">
        <v>45411</v>
      </c>
      <c r="J261">
        <v>11100.8</v>
      </c>
      <c r="K261" s="1">
        <v>45406</v>
      </c>
      <c r="L261">
        <v>34271.120000000003</v>
      </c>
    </row>
    <row r="262" spans="1:12" x14ac:dyDescent="0.35">
      <c r="A262" s="1">
        <v>45411</v>
      </c>
      <c r="B262">
        <v>4981.09</v>
      </c>
      <c r="C262" s="1">
        <v>45408</v>
      </c>
      <c r="D262">
        <v>8088.24</v>
      </c>
      <c r="E262" s="1">
        <v>45406</v>
      </c>
      <c r="F262">
        <v>18088.7</v>
      </c>
      <c r="G262" s="1">
        <v>45406</v>
      </c>
      <c r="H262">
        <v>9360.2627900000007</v>
      </c>
      <c r="I262" s="1">
        <v>45408</v>
      </c>
      <c r="J262">
        <v>11154.6</v>
      </c>
      <c r="K262" s="1">
        <v>45405</v>
      </c>
      <c r="L262">
        <v>34363.75</v>
      </c>
    </row>
    <row r="263" spans="1:12" x14ac:dyDescent="0.35">
      <c r="A263" s="1">
        <v>45408</v>
      </c>
      <c r="B263">
        <v>5006.8500000000004</v>
      </c>
      <c r="C263" s="1">
        <v>45407</v>
      </c>
      <c r="D263">
        <v>8016.65</v>
      </c>
      <c r="E263" s="1">
        <v>45405</v>
      </c>
      <c r="F263">
        <v>18137.650000000001</v>
      </c>
      <c r="G263" s="1">
        <v>45405</v>
      </c>
      <c r="H263">
        <v>9356.7906999999996</v>
      </c>
      <c r="I263" s="1">
        <v>45407</v>
      </c>
      <c r="J263">
        <v>10983.7</v>
      </c>
      <c r="K263" s="1">
        <v>45404</v>
      </c>
      <c r="L263">
        <v>33724.82</v>
      </c>
    </row>
    <row r="264" spans="1:12" x14ac:dyDescent="0.35">
      <c r="A264" s="1">
        <v>45407</v>
      </c>
      <c r="B264">
        <v>4939.01</v>
      </c>
      <c r="C264" s="1">
        <v>45406</v>
      </c>
      <c r="D264">
        <v>8091.86</v>
      </c>
      <c r="E264" s="1">
        <v>45404</v>
      </c>
      <c r="F264">
        <v>17860.8</v>
      </c>
      <c r="G264" s="1">
        <v>45404</v>
      </c>
      <c r="H264">
        <v>9303.2888399999993</v>
      </c>
      <c r="I264" s="1">
        <v>45406</v>
      </c>
      <c r="J264">
        <v>11027.8</v>
      </c>
      <c r="K264" s="1">
        <v>45401</v>
      </c>
      <c r="L264">
        <v>33922.160000000003</v>
      </c>
    </row>
    <row r="265" spans="1:12" x14ac:dyDescent="0.35">
      <c r="A265" s="1">
        <v>45406</v>
      </c>
      <c r="B265">
        <v>4989.88</v>
      </c>
      <c r="C265" s="1">
        <v>45405</v>
      </c>
      <c r="D265">
        <v>8105.78</v>
      </c>
      <c r="E265" s="1">
        <v>45401</v>
      </c>
      <c r="F265">
        <v>17737.36</v>
      </c>
      <c r="G265" s="1">
        <v>45401</v>
      </c>
      <c r="H265">
        <v>9182.4274000000005</v>
      </c>
      <c r="I265" s="1">
        <v>45405</v>
      </c>
      <c r="J265">
        <v>11075.4</v>
      </c>
      <c r="K265" s="1">
        <v>45400</v>
      </c>
      <c r="L265">
        <v>33881.5</v>
      </c>
    </row>
    <row r="266" spans="1:12" x14ac:dyDescent="0.35">
      <c r="A266" s="1">
        <v>45405</v>
      </c>
      <c r="B266">
        <v>5008.17</v>
      </c>
      <c r="C266" s="1">
        <v>45404</v>
      </c>
      <c r="D266">
        <v>8040.36</v>
      </c>
      <c r="E266" s="1">
        <v>45400</v>
      </c>
      <c r="F266">
        <v>17837.400000000001</v>
      </c>
      <c r="G266" s="1">
        <v>45400</v>
      </c>
      <c r="H266">
        <v>9205.0497899999991</v>
      </c>
      <c r="I266" s="1">
        <v>45404</v>
      </c>
      <c r="J266">
        <v>10890.2</v>
      </c>
      <c r="K266" s="1">
        <v>45399</v>
      </c>
      <c r="L266">
        <v>33632.71</v>
      </c>
    </row>
    <row r="267" spans="1:12" x14ac:dyDescent="0.35">
      <c r="A267" s="1">
        <v>45404</v>
      </c>
      <c r="B267">
        <v>4936.8500000000004</v>
      </c>
      <c r="C267" s="1">
        <v>45401</v>
      </c>
      <c r="D267">
        <v>8022.41</v>
      </c>
      <c r="E267" s="1">
        <v>45399</v>
      </c>
      <c r="F267">
        <v>17770.02</v>
      </c>
      <c r="G267" s="1">
        <v>45399</v>
      </c>
      <c r="H267">
        <v>9158.9359399999994</v>
      </c>
      <c r="I267" s="1">
        <v>45401</v>
      </c>
      <c r="J267">
        <v>10729.5</v>
      </c>
      <c r="K267" s="1">
        <v>45398</v>
      </c>
      <c r="L267">
        <v>33393.85</v>
      </c>
    </row>
    <row r="268" spans="1:12" x14ac:dyDescent="0.35">
      <c r="A268" s="1">
        <v>45401</v>
      </c>
      <c r="B268">
        <v>4918.09</v>
      </c>
      <c r="C268" s="1">
        <v>45400</v>
      </c>
      <c r="D268">
        <v>8023.26</v>
      </c>
      <c r="E268" s="1">
        <v>45398</v>
      </c>
      <c r="F268">
        <v>17766.23</v>
      </c>
      <c r="G268" s="1">
        <v>45398</v>
      </c>
      <c r="H268">
        <v>9152.5813300000009</v>
      </c>
      <c r="I268" s="1">
        <v>45400</v>
      </c>
      <c r="J268">
        <v>10765</v>
      </c>
      <c r="K268" s="1">
        <v>45397</v>
      </c>
      <c r="L268">
        <v>33954.28</v>
      </c>
    </row>
    <row r="269" spans="1:12" x14ac:dyDescent="0.35">
      <c r="A269" s="1">
        <v>45400</v>
      </c>
      <c r="B269">
        <v>4936.57</v>
      </c>
      <c r="C269" s="1">
        <v>45399</v>
      </c>
      <c r="D269">
        <v>7981.51</v>
      </c>
      <c r="E269" s="1">
        <v>45397</v>
      </c>
      <c r="F269">
        <v>18026.580000000002</v>
      </c>
      <c r="G269" s="1">
        <v>45397</v>
      </c>
      <c r="H269">
        <v>9330.0651300000009</v>
      </c>
      <c r="I269" s="1">
        <v>45399</v>
      </c>
      <c r="J269">
        <v>10633.9</v>
      </c>
      <c r="K269" s="1">
        <v>45394</v>
      </c>
      <c r="L269">
        <v>33764.15</v>
      </c>
    </row>
    <row r="270" spans="1:12" x14ac:dyDescent="0.35">
      <c r="A270" s="1">
        <v>45399</v>
      </c>
      <c r="B270">
        <v>4914.13</v>
      </c>
      <c r="C270" s="1">
        <v>45398</v>
      </c>
      <c r="D270">
        <v>7932.61</v>
      </c>
      <c r="E270" s="1">
        <v>45394</v>
      </c>
      <c r="F270">
        <v>17930.32</v>
      </c>
      <c r="G270" s="1">
        <v>45394</v>
      </c>
      <c r="H270">
        <v>9353.2207699999999</v>
      </c>
      <c r="I270" s="1">
        <v>45398</v>
      </c>
      <c r="J270">
        <v>10526.9</v>
      </c>
      <c r="K270" s="1">
        <v>45393</v>
      </c>
      <c r="L270">
        <v>33713.94</v>
      </c>
    </row>
    <row r="271" spans="1:12" x14ac:dyDescent="0.35">
      <c r="A271" s="1">
        <v>45398</v>
      </c>
      <c r="B271">
        <v>4916.99</v>
      </c>
      <c r="C271" s="1">
        <v>45397</v>
      </c>
      <c r="D271">
        <v>8045.11</v>
      </c>
      <c r="E271" s="1">
        <v>45393</v>
      </c>
      <c r="F271">
        <v>17954.48</v>
      </c>
      <c r="G271" s="1">
        <v>45393</v>
      </c>
      <c r="H271">
        <v>9268.5837499999998</v>
      </c>
      <c r="I271" s="1">
        <v>45397</v>
      </c>
      <c r="J271">
        <v>10687.2</v>
      </c>
      <c r="K271" s="1">
        <v>45392</v>
      </c>
      <c r="L271">
        <v>34039.629999999997</v>
      </c>
    </row>
    <row r="272" spans="1:12" x14ac:dyDescent="0.35">
      <c r="A272" s="1">
        <v>45397</v>
      </c>
      <c r="B272">
        <v>4984.4799999999996</v>
      </c>
      <c r="C272" s="1">
        <v>45394</v>
      </c>
      <c r="D272">
        <v>8010.83</v>
      </c>
      <c r="E272" s="1">
        <v>45392</v>
      </c>
      <c r="F272">
        <v>18097.3</v>
      </c>
      <c r="G272" s="1">
        <v>45392</v>
      </c>
      <c r="H272">
        <v>9294.50504</v>
      </c>
      <c r="I272" s="1">
        <v>45394</v>
      </c>
      <c r="J272">
        <v>10686</v>
      </c>
      <c r="K272" s="1">
        <v>45391</v>
      </c>
      <c r="L272">
        <v>33946.29</v>
      </c>
    </row>
    <row r="273" spans="1:12" x14ac:dyDescent="0.35">
      <c r="A273" s="1">
        <v>45394</v>
      </c>
      <c r="B273">
        <v>4955.01</v>
      </c>
      <c r="C273" s="1">
        <v>45393</v>
      </c>
      <c r="D273">
        <v>8023.74</v>
      </c>
      <c r="E273" s="1">
        <v>45391</v>
      </c>
      <c r="F273">
        <v>18076.689999999999</v>
      </c>
      <c r="G273" s="1">
        <v>45391</v>
      </c>
      <c r="H273">
        <v>9261.5190500000008</v>
      </c>
      <c r="I273" s="1">
        <v>45393</v>
      </c>
      <c r="J273">
        <v>10649.8</v>
      </c>
      <c r="K273" s="1">
        <v>45390</v>
      </c>
      <c r="L273">
        <v>34315.96</v>
      </c>
    </row>
    <row r="274" spans="1:12" x14ac:dyDescent="0.35">
      <c r="A274" s="1">
        <v>45393</v>
      </c>
      <c r="B274">
        <v>4966.68</v>
      </c>
      <c r="C274" s="1">
        <v>45392</v>
      </c>
      <c r="D274">
        <v>8045.38</v>
      </c>
      <c r="E274" s="1">
        <v>45390</v>
      </c>
      <c r="F274">
        <v>18318.97</v>
      </c>
      <c r="G274" s="1">
        <v>45390</v>
      </c>
      <c r="H274">
        <v>9259.81646</v>
      </c>
      <c r="I274" s="1">
        <v>45392</v>
      </c>
      <c r="J274">
        <v>10775</v>
      </c>
      <c r="K274" s="1">
        <v>45387</v>
      </c>
      <c r="L274">
        <v>34010.879999999997</v>
      </c>
    </row>
    <row r="275" spans="1:12" x14ac:dyDescent="0.35">
      <c r="A275" s="1">
        <v>45392</v>
      </c>
      <c r="B275">
        <v>5000.83</v>
      </c>
      <c r="C275" s="1">
        <v>45391</v>
      </c>
      <c r="D275">
        <v>8049.17</v>
      </c>
      <c r="E275" s="1">
        <v>45387</v>
      </c>
      <c r="F275">
        <v>18175.04</v>
      </c>
      <c r="G275" s="1">
        <v>45387</v>
      </c>
      <c r="H275">
        <v>9224.5761000000002</v>
      </c>
      <c r="I275" s="1">
        <v>45391</v>
      </c>
      <c r="J275">
        <v>10816</v>
      </c>
      <c r="K275" s="1">
        <v>45386</v>
      </c>
      <c r="L275">
        <v>34454.58</v>
      </c>
    </row>
    <row r="276" spans="1:12" x14ac:dyDescent="0.35">
      <c r="A276" s="1">
        <v>45391</v>
      </c>
      <c r="B276">
        <v>4990.8999999999996</v>
      </c>
      <c r="C276" s="1">
        <v>45390</v>
      </c>
      <c r="D276">
        <v>8119.3</v>
      </c>
      <c r="E276" s="1">
        <v>45386</v>
      </c>
      <c r="F276">
        <v>18403.13</v>
      </c>
      <c r="G276" s="1">
        <v>45386</v>
      </c>
      <c r="H276">
        <v>9303.1239299999997</v>
      </c>
      <c r="I276" s="1">
        <v>45390</v>
      </c>
      <c r="J276">
        <v>10911.8</v>
      </c>
      <c r="K276" s="1">
        <v>45385</v>
      </c>
      <c r="L276">
        <v>34480.870000000003</v>
      </c>
    </row>
    <row r="277" spans="1:12" x14ac:dyDescent="0.35">
      <c r="A277" s="1">
        <v>45390</v>
      </c>
      <c r="B277">
        <v>5046.05</v>
      </c>
      <c r="C277" s="1">
        <v>45387</v>
      </c>
      <c r="D277">
        <v>8061.31</v>
      </c>
      <c r="E277" s="1">
        <v>45385</v>
      </c>
      <c r="F277">
        <v>18367.72</v>
      </c>
      <c r="G277" s="1">
        <v>45385</v>
      </c>
      <c r="H277">
        <v>9267.5529700000006</v>
      </c>
      <c r="I277" s="1">
        <v>45387</v>
      </c>
      <c r="J277">
        <v>10916</v>
      </c>
      <c r="K277" s="1">
        <v>45384</v>
      </c>
      <c r="L277">
        <v>34325.230000000003</v>
      </c>
    </row>
    <row r="278" spans="1:12" x14ac:dyDescent="0.35">
      <c r="A278" s="1">
        <v>45387</v>
      </c>
      <c r="B278">
        <v>5014.75</v>
      </c>
      <c r="C278" s="1">
        <v>45386</v>
      </c>
      <c r="D278">
        <v>8151.55</v>
      </c>
      <c r="E278" s="1">
        <v>45384</v>
      </c>
      <c r="F278">
        <v>18283.13</v>
      </c>
      <c r="G278" s="1">
        <v>45384</v>
      </c>
      <c r="H278">
        <v>9264.4828600000001</v>
      </c>
      <c r="I278" s="1">
        <v>45386</v>
      </c>
      <c r="J278">
        <v>11090.9</v>
      </c>
      <c r="K278" s="1">
        <v>45379</v>
      </c>
      <c r="L278">
        <v>34750.35</v>
      </c>
    </row>
    <row r="279" spans="1:12" x14ac:dyDescent="0.35">
      <c r="A279" s="1">
        <v>45386</v>
      </c>
      <c r="B279">
        <v>5070.76</v>
      </c>
      <c r="C279" s="1">
        <v>45385</v>
      </c>
      <c r="D279">
        <v>8153.23</v>
      </c>
      <c r="E279" s="1">
        <v>45379</v>
      </c>
      <c r="F279">
        <v>18492.490000000002</v>
      </c>
      <c r="G279" s="1">
        <v>45379</v>
      </c>
      <c r="H279">
        <v>9299.9099200000001</v>
      </c>
      <c r="I279" s="1">
        <v>45385</v>
      </c>
      <c r="J279">
        <v>11032.3</v>
      </c>
      <c r="K279" s="1">
        <v>45378</v>
      </c>
      <c r="L279">
        <v>34759.69</v>
      </c>
    </row>
    <row r="280" spans="1:12" x14ac:dyDescent="0.35">
      <c r="A280" s="1">
        <v>45385</v>
      </c>
      <c r="B280">
        <v>5069.25</v>
      </c>
      <c r="C280" s="1">
        <v>45384</v>
      </c>
      <c r="D280">
        <v>8130.05</v>
      </c>
      <c r="E280" s="1">
        <v>45378</v>
      </c>
      <c r="F280">
        <v>18477.09</v>
      </c>
      <c r="G280" s="1">
        <v>45378</v>
      </c>
      <c r="H280">
        <v>9258.2533899999999</v>
      </c>
      <c r="I280" s="1">
        <v>45384</v>
      </c>
      <c r="J280">
        <v>10975.6</v>
      </c>
      <c r="K280" s="1">
        <v>45377</v>
      </c>
      <c r="L280">
        <v>34688.17</v>
      </c>
    </row>
    <row r="281" spans="1:12" x14ac:dyDescent="0.35">
      <c r="A281" s="1">
        <v>45384</v>
      </c>
      <c r="B281">
        <v>5042</v>
      </c>
      <c r="C281" s="1">
        <v>45379</v>
      </c>
      <c r="D281">
        <v>8205.81</v>
      </c>
      <c r="E281" s="1">
        <v>45377</v>
      </c>
      <c r="F281">
        <v>18384.349999999999</v>
      </c>
      <c r="G281" s="1">
        <v>45377</v>
      </c>
      <c r="H281">
        <v>9246.0744099999993</v>
      </c>
      <c r="I281" s="1">
        <v>45379</v>
      </c>
      <c r="J281">
        <v>11074.6</v>
      </c>
      <c r="K281" s="1">
        <v>45376</v>
      </c>
      <c r="L281">
        <v>34639.410000000003</v>
      </c>
    </row>
    <row r="282" spans="1:12" x14ac:dyDescent="0.35">
      <c r="A282" s="1">
        <v>45379</v>
      </c>
      <c r="B282">
        <v>5083.42</v>
      </c>
      <c r="C282" s="1">
        <v>45378</v>
      </c>
      <c r="D282">
        <v>8204.81</v>
      </c>
      <c r="E282" s="1">
        <v>45376</v>
      </c>
      <c r="F282">
        <v>18261.310000000001</v>
      </c>
      <c r="G282" s="1">
        <v>45376</v>
      </c>
      <c r="H282">
        <v>9234.8514200000009</v>
      </c>
      <c r="I282" s="1">
        <v>45378</v>
      </c>
      <c r="J282">
        <v>11111.3</v>
      </c>
      <c r="K282" s="1">
        <v>45373</v>
      </c>
      <c r="L282">
        <v>34343.61</v>
      </c>
    </row>
    <row r="283" spans="1:12" x14ac:dyDescent="0.35">
      <c r="A283" s="1">
        <v>45378</v>
      </c>
      <c r="B283">
        <v>5081.74</v>
      </c>
      <c r="C283" s="1">
        <v>45377</v>
      </c>
      <c r="D283">
        <v>8184.75</v>
      </c>
      <c r="E283" s="1">
        <v>45373</v>
      </c>
      <c r="F283">
        <v>18205.939999999999</v>
      </c>
      <c r="G283" s="1">
        <v>45373</v>
      </c>
      <c r="H283">
        <v>9241.7309499999992</v>
      </c>
      <c r="I283" s="1">
        <v>45377</v>
      </c>
      <c r="J283">
        <v>10991.5</v>
      </c>
      <c r="K283" s="1">
        <v>45372</v>
      </c>
      <c r="L283">
        <v>34327.949999999997</v>
      </c>
    </row>
    <row r="284" spans="1:12" x14ac:dyDescent="0.35">
      <c r="A284" s="1">
        <v>45377</v>
      </c>
      <c r="B284">
        <v>5064.18</v>
      </c>
      <c r="C284" s="1">
        <v>45376</v>
      </c>
      <c r="D284">
        <v>8151.6</v>
      </c>
      <c r="E284" s="1">
        <v>45372</v>
      </c>
      <c r="F284">
        <v>18179.25</v>
      </c>
      <c r="G284" s="1">
        <v>45372</v>
      </c>
      <c r="H284">
        <v>9187.8387199999997</v>
      </c>
      <c r="I284" s="1">
        <v>45376</v>
      </c>
      <c r="J284">
        <v>10952.2</v>
      </c>
      <c r="K284" s="1">
        <v>45371</v>
      </c>
      <c r="L284">
        <v>34293.29</v>
      </c>
    </row>
    <row r="285" spans="1:12" x14ac:dyDescent="0.35">
      <c r="A285" s="1">
        <v>45376</v>
      </c>
      <c r="B285">
        <v>5044.1899999999996</v>
      </c>
      <c r="C285" s="1">
        <v>45373</v>
      </c>
      <c r="D285">
        <v>8151.92</v>
      </c>
      <c r="E285" s="1">
        <v>45371</v>
      </c>
      <c r="F285">
        <v>18015.13</v>
      </c>
      <c r="G285" s="1">
        <v>45371</v>
      </c>
      <c r="H285">
        <v>9059.2299000000003</v>
      </c>
      <c r="I285" s="1">
        <v>45373</v>
      </c>
      <c r="J285">
        <v>10943.2</v>
      </c>
      <c r="K285" s="1">
        <v>45370</v>
      </c>
      <c r="L285">
        <v>34262.36</v>
      </c>
    </row>
    <row r="286" spans="1:12" x14ac:dyDescent="0.35">
      <c r="A286" s="1">
        <v>45373</v>
      </c>
      <c r="B286">
        <v>5031.1499999999996</v>
      </c>
      <c r="C286" s="1">
        <v>45372</v>
      </c>
      <c r="D286">
        <v>8179.72</v>
      </c>
      <c r="E286" s="1">
        <v>45370</v>
      </c>
      <c r="F286">
        <v>17987.490000000002</v>
      </c>
      <c r="G286" s="1">
        <v>45370</v>
      </c>
      <c r="H286">
        <v>9067.4299499999997</v>
      </c>
      <c r="I286" s="1">
        <v>45372</v>
      </c>
      <c r="J286">
        <v>10867.5</v>
      </c>
      <c r="K286" s="1">
        <v>45369</v>
      </c>
      <c r="L286">
        <v>33940.959999999999</v>
      </c>
    </row>
    <row r="287" spans="1:12" x14ac:dyDescent="0.35">
      <c r="A287" s="1">
        <v>45372</v>
      </c>
      <c r="B287">
        <v>5052.3100000000004</v>
      </c>
      <c r="C287" s="1">
        <v>45371</v>
      </c>
      <c r="D287">
        <v>8161.41</v>
      </c>
      <c r="E287" s="1">
        <v>45369</v>
      </c>
      <c r="F287">
        <v>17932.68</v>
      </c>
      <c r="G287" s="1">
        <v>45369</v>
      </c>
      <c r="H287">
        <v>9041.2594300000001</v>
      </c>
      <c r="I287" s="1">
        <v>45371</v>
      </c>
      <c r="J287">
        <v>10752.5</v>
      </c>
      <c r="K287" s="1">
        <v>45366</v>
      </c>
      <c r="L287">
        <v>33940.03</v>
      </c>
    </row>
    <row r="288" spans="1:12" x14ac:dyDescent="0.35">
      <c r="A288" s="1">
        <v>45371</v>
      </c>
      <c r="B288">
        <v>5000.3100000000004</v>
      </c>
      <c r="C288" s="1">
        <v>45370</v>
      </c>
      <c r="D288">
        <v>8201.0499999999993</v>
      </c>
      <c r="E288" s="1">
        <v>45366</v>
      </c>
      <c r="F288">
        <v>17936.650000000001</v>
      </c>
      <c r="G288" s="1">
        <v>45366</v>
      </c>
      <c r="H288">
        <v>9037.3327100000006</v>
      </c>
      <c r="I288" s="1">
        <v>45370</v>
      </c>
      <c r="J288">
        <v>10701.4</v>
      </c>
      <c r="K288" s="1">
        <v>45365</v>
      </c>
      <c r="L288">
        <v>33786.18</v>
      </c>
    </row>
    <row r="289" spans="1:12" x14ac:dyDescent="0.35">
      <c r="A289" s="1">
        <v>45370</v>
      </c>
      <c r="B289">
        <v>5007.92</v>
      </c>
      <c r="C289" s="1">
        <v>45369</v>
      </c>
      <c r="D289">
        <v>8148.14</v>
      </c>
      <c r="E289" s="1">
        <v>45365</v>
      </c>
      <c r="F289">
        <v>17942.04</v>
      </c>
      <c r="G289" s="1">
        <v>45365</v>
      </c>
      <c r="H289">
        <v>9068.8808300000001</v>
      </c>
      <c r="I289" s="1">
        <v>45369</v>
      </c>
      <c r="J289">
        <v>10596.7</v>
      </c>
      <c r="K289" s="1">
        <v>45364</v>
      </c>
      <c r="L289">
        <v>33885.43</v>
      </c>
    </row>
    <row r="290" spans="1:12" x14ac:dyDescent="0.35">
      <c r="A290" s="1">
        <v>45369</v>
      </c>
      <c r="B290">
        <v>4982.76</v>
      </c>
      <c r="C290" s="1">
        <v>45366</v>
      </c>
      <c r="D290">
        <v>8164.35</v>
      </c>
      <c r="E290" s="1">
        <v>45364</v>
      </c>
      <c r="F290">
        <v>17961.38</v>
      </c>
      <c r="G290" s="1">
        <v>45364</v>
      </c>
      <c r="H290">
        <v>9084.4374499999994</v>
      </c>
      <c r="I290" s="1">
        <v>45366</v>
      </c>
      <c r="J290">
        <v>10597.9</v>
      </c>
      <c r="K290" s="1">
        <v>45363</v>
      </c>
      <c r="L290">
        <v>33753.120000000003</v>
      </c>
    </row>
    <row r="291" spans="1:12" x14ac:dyDescent="0.35">
      <c r="A291" s="1">
        <v>45366</v>
      </c>
      <c r="B291">
        <v>4986.0200000000004</v>
      </c>
      <c r="C291" s="1">
        <v>45365</v>
      </c>
      <c r="D291">
        <v>8161.42</v>
      </c>
      <c r="E291" s="1">
        <v>45363</v>
      </c>
      <c r="F291">
        <v>17965.11</v>
      </c>
      <c r="G291" s="1">
        <v>45363</v>
      </c>
      <c r="H291">
        <v>9071.1606400000001</v>
      </c>
      <c r="I291" s="1">
        <v>45365</v>
      </c>
      <c r="J291">
        <v>10490.5</v>
      </c>
      <c r="K291" s="1">
        <v>45362</v>
      </c>
      <c r="L291">
        <v>33315.07</v>
      </c>
    </row>
    <row r="292" spans="1:12" x14ac:dyDescent="0.35">
      <c r="A292" s="1">
        <v>45365</v>
      </c>
      <c r="B292">
        <v>4993.12</v>
      </c>
      <c r="C292" s="1">
        <v>45364</v>
      </c>
      <c r="D292">
        <v>8137.58</v>
      </c>
      <c r="E292" s="1">
        <v>45362</v>
      </c>
      <c r="F292">
        <v>17746.27</v>
      </c>
      <c r="G292" s="1">
        <v>45362</v>
      </c>
      <c r="H292">
        <v>8991.7773099999995</v>
      </c>
      <c r="I292" s="1">
        <v>45364</v>
      </c>
      <c r="J292">
        <v>10560.5</v>
      </c>
      <c r="K292" s="1">
        <v>45359</v>
      </c>
      <c r="L292">
        <v>33403.800000000003</v>
      </c>
    </row>
    <row r="293" spans="1:12" x14ac:dyDescent="0.35">
      <c r="A293" s="1">
        <v>45364</v>
      </c>
      <c r="B293">
        <v>5000.55</v>
      </c>
      <c r="C293" s="1">
        <v>45363</v>
      </c>
      <c r="D293">
        <v>8087.48</v>
      </c>
      <c r="E293" s="1">
        <v>45359</v>
      </c>
      <c r="F293">
        <v>17814.509999999998</v>
      </c>
      <c r="G293" s="1">
        <v>45359</v>
      </c>
      <c r="H293">
        <v>8997.1660400000001</v>
      </c>
      <c r="I293" s="1">
        <v>45363</v>
      </c>
      <c r="J293">
        <v>10388.9</v>
      </c>
      <c r="K293" s="1">
        <v>45358</v>
      </c>
      <c r="L293">
        <v>33418.68</v>
      </c>
    </row>
    <row r="294" spans="1:12" x14ac:dyDescent="0.35">
      <c r="A294" s="1">
        <v>45363</v>
      </c>
      <c r="B294">
        <v>4983.2</v>
      </c>
      <c r="C294" s="1">
        <v>45362</v>
      </c>
      <c r="D294">
        <v>8019.73</v>
      </c>
      <c r="E294" s="1">
        <v>45358</v>
      </c>
      <c r="F294">
        <v>17842.849999999999</v>
      </c>
      <c r="G294" s="1">
        <v>45358</v>
      </c>
      <c r="H294">
        <v>8997.16086</v>
      </c>
      <c r="I294" s="1">
        <v>45362</v>
      </c>
      <c r="J294">
        <v>10325.700000000001</v>
      </c>
      <c r="K294" s="1">
        <v>45357</v>
      </c>
      <c r="L294">
        <v>33363.839999999997</v>
      </c>
    </row>
    <row r="295" spans="1:12" x14ac:dyDescent="0.35">
      <c r="A295" s="1">
        <v>45362</v>
      </c>
      <c r="B295">
        <v>4930.42</v>
      </c>
      <c r="C295" s="1">
        <v>45359</v>
      </c>
      <c r="D295">
        <v>8028.01</v>
      </c>
      <c r="E295" s="1">
        <v>45357</v>
      </c>
      <c r="F295">
        <v>17716.71</v>
      </c>
      <c r="G295" s="1">
        <v>45357</v>
      </c>
      <c r="H295">
        <v>8976.8048699999999</v>
      </c>
      <c r="I295" s="1">
        <v>45359</v>
      </c>
      <c r="J295">
        <v>10305.700000000001</v>
      </c>
      <c r="K295" s="1">
        <v>45356</v>
      </c>
      <c r="L295">
        <v>33146.160000000003</v>
      </c>
    </row>
    <row r="296" spans="1:12" x14ac:dyDescent="0.35">
      <c r="A296" s="1">
        <v>45359</v>
      </c>
      <c r="B296">
        <v>4961.1099999999997</v>
      </c>
      <c r="C296" s="1">
        <v>45358</v>
      </c>
      <c r="D296">
        <v>8016.22</v>
      </c>
      <c r="E296" s="1">
        <v>45356</v>
      </c>
      <c r="F296">
        <v>17698.400000000001</v>
      </c>
      <c r="G296" s="1">
        <v>45356</v>
      </c>
      <c r="H296">
        <v>8949.3867200000004</v>
      </c>
      <c r="I296" s="1">
        <v>45358</v>
      </c>
      <c r="J296">
        <v>10319.6</v>
      </c>
      <c r="K296" s="1">
        <v>45355</v>
      </c>
      <c r="L296">
        <v>32912.339999999997</v>
      </c>
    </row>
    <row r="297" spans="1:12" x14ac:dyDescent="0.35">
      <c r="A297" s="1">
        <v>45358</v>
      </c>
      <c r="B297">
        <v>4974.22</v>
      </c>
      <c r="C297" s="1">
        <v>45357</v>
      </c>
      <c r="D297">
        <v>7954.74</v>
      </c>
      <c r="E297" s="1">
        <v>45355</v>
      </c>
      <c r="F297">
        <v>17716.169999999998</v>
      </c>
      <c r="G297" s="1">
        <v>45355</v>
      </c>
      <c r="H297">
        <v>8933.6553399999993</v>
      </c>
      <c r="I297" s="1">
        <v>45357</v>
      </c>
      <c r="J297">
        <v>10197.200000000001</v>
      </c>
      <c r="K297" s="1">
        <v>45352</v>
      </c>
      <c r="L297">
        <v>32934.29</v>
      </c>
    </row>
    <row r="298" spans="1:12" x14ac:dyDescent="0.35">
      <c r="A298" s="1">
        <v>45357</v>
      </c>
      <c r="B298">
        <v>4915.49</v>
      </c>
      <c r="C298" s="1">
        <v>45356</v>
      </c>
      <c r="D298">
        <v>7932.82</v>
      </c>
      <c r="E298" s="1">
        <v>45352</v>
      </c>
      <c r="F298">
        <v>17735.07</v>
      </c>
      <c r="G298" s="1">
        <v>45352</v>
      </c>
      <c r="H298">
        <v>8971.1865699999998</v>
      </c>
      <c r="I298" s="1">
        <v>45356</v>
      </c>
      <c r="J298">
        <v>10117.1</v>
      </c>
      <c r="K298" s="1">
        <v>45351</v>
      </c>
      <c r="L298">
        <v>32580.94</v>
      </c>
    </row>
    <row r="299" spans="1:12" x14ac:dyDescent="0.35">
      <c r="A299" s="1">
        <v>45356</v>
      </c>
      <c r="B299">
        <v>4893.07</v>
      </c>
      <c r="C299" s="1">
        <v>45355</v>
      </c>
      <c r="D299">
        <v>7956.41</v>
      </c>
      <c r="E299" s="1">
        <v>45351</v>
      </c>
      <c r="F299">
        <v>17678.189999999999</v>
      </c>
      <c r="G299" s="1">
        <v>45351</v>
      </c>
      <c r="H299">
        <v>8914.4066999999995</v>
      </c>
      <c r="I299" s="1">
        <v>45355</v>
      </c>
      <c r="J299">
        <v>10069.799999999999</v>
      </c>
      <c r="K299" s="1">
        <v>45350</v>
      </c>
      <c r="L299">
        <v>32617.96</v>
      </c>
    </row>
    <row r="300" spans="1:12" x14ac:dyDescent="0.35">
      <c r="A300" s="1">
        <v>45355</v>
      </c>
      <c r="B300">
        <v>4912.92</v>
      </c>
      <c r="C300" s="1">
        <v>45352</v>
      </c>
      <c r="D300">
        <v>7934.17</v>
      </c>
      <c r="E300" s="1">
        <v>45350</v>
      </c>
      <c r="F300">
        <v>17601.22</v>
      </c>
      <c r="G300" s="1">
        <v>45350</v>
      </c>
      <c r="H300">
        <v>8906.8321500000002</v>
      </c>
      <c r="I300" s="1">
        <v>45352</v>
      </c>
      <c r="J300">
        <v>10064.700000000001</v>
      </c>
      <c r="K300" s="1">
        <v>45349</v>
      </c>
      <c r="L300">
        <v>32706.44</v>
      </c>
    </row>
    <row r="301" spans="1:12" x14ac:dyDescent="0.35">
      <c r="A301" s="1">
        <v>45352</v>
      </c>
      <c r="B301">
        <v>4894.8599999999997</v>
      </c>
      <c r="C301" s="1">
        <v>45351</v>
      </c>
      <c r="D301">
        <v>7927.43</v>
      </c>
      <c r="E301" s="1">
        <v>45349</v>
      </c>
      <c r="F301">
        <v>17556.490000000002</v>
      </c>
      <c r="G301" s="1">
        <v>45349</v>
      </c>
      <c r="H301">
        <v>8982.28658</v>
      </c>
      <c r="I301" s="1">
        <v>45351</v>
      </c>
      <c r="J301">
        <v>10001.299999999999</v>
      </c>
      <c r="K301" s="1">
        <v>45348</v>
      </c>
      <c r="L301">
        <v>32557.81</v>
      </c>
    </row>
    <row r="302" spans="1:12" x14ac:dyDescent="0.35">
      <c r="A302" s="1">
        <v>45351</v>
      </c>
      <c r="B302">
        <v>4877.7700000000004</v>
      </c>
      <c r="C302" s="1">
        <v>45350</v>
      </c>
      <c r="D302">
        <v>7954.39</v>
      </c>
      <c r="E302" s="1">
        <v>45348</v>
      </c>
      <c r="F302">
        <v>17423.23</v>
      </c>
      <c r="G302" s="1">
        <v>45348</v>
      </c>
      <c r="H302">
        <v>8981.6677500000005</v>
      </c>
      <c r="I302" s="1">
        <v>45350</v>
      </c>
      <c r="J302">
        <v>10068.6</v>
      </c>
      <c r="K302" s="1">
        <v>45345</v>
      </c>
      <c r="L302">
        <v>32700.92</v>
      </c>
    </row>
    <row r="303" spans="1:12" x14ac:dyDescent="0.35">
      <c r="A303" s="1">
        <v>45350</v>
      </c>
      <c r="B303">
        <v>4883.7700000000004</v>
      </c>
      <c r="C303" s="1">
        <v>45349</v>
      </c>
      <c r="D303">
        <v>7948.4</v>
      </c>
      <c r="E303" s="1">
        <v>45345</v>
      </c>
      <c r="F303">
        <v>17419.330000000002</v>
      </c>
      <c r="G303" s="1">
        <v>45345</v>
      </c>
      <c r="H303">
        <v>9025.4242799999993</v>
      </c>
      <c r="I303" s="1">
        <v>45349</v>
      </c>
      <c r="J303">
        <v>10113.799999999999</v>
      </c>
      <c r="K303" s="1">
        <v>45344</v>
      </c>
      <c r="L303">
        <v>32356.26</v>
      </c>
    </row>
    <row r="304" spans="1:12" x14ac:dyDescent="0.35">
      <c r="A304" s="1">
        <v>45349</v>
      </c>
      <c r="B304">
        <v>4885.74</v>
      </c>
      <c r="C304" s="1">
        <v>45348</v>
      </c>
      <c r="D304">
        <v>7929.82</v>
      </c>
      <c r="E304" s="1">
        <v>45344</v>
      </c>
      <c r="F304">
        <v>17370.45</v>
      </c>
      <c r="G304" s="1">
        <v>45344</v>
      </c>
      <c r="H304">
        <v>8989.1487899999993</v>
      </c>
      <c r="I304" s="1">
        <v>45348</v>
      </c>
      <c r="J304">
        <v>10138.4</v>
      </c>
      <c r="K304" s="1">
        <v>45343</v>
      </c>
      <c r="L304">
        <v>32018.400000000001</v>
      </c>
    </row>
    <row r="305" spans="1:12" x14ac:dyDescent="0.35">
      <c r="A305" s="1">
        <v>45348</v>
      </c>
      <c r="B305">
        <v>4864.29</v>
      </c>
      <c r="C305" s="1">
        <v>45345</v>
      </c>
      <c r="D305">
        <v>7966.68</v>
      </c>
      <c r="E305" s="1">
        <v>45343</v>
      </c>
      <c r="F305">
        <v>17118.12</v>
      </c>
      <c r="G305" s="1">
        <v>45343</v>
      </c>
      <c r="H305">
        <v>8944.3214399999997</v>
      </c>
      <c r="I305" s="1">
        <v>45345</v>
      </c>
      <c r="J305">
        <v>10130.6</v>
      </c>
      <c r="K305" s="1">
        <v>45342</v>
      </c>
      <c r="L305">
        <v>31701.48</v>
      </c>
    </row>
    <row r="306" spans="1:12" x14ac:dyDescent="0.35">
      <c r="A306" s="1">
        <v>45345</v>
      </c>
      <c r="B306">
        <v>4872.57</v>
      </c>
      <c r="C306" s="1">
        <v>45344</v>
      </c>
      <c r="D306">
        <v>7911.6</v>
      </c>
      <c r="E306" s="1">
        <v>45342</v>
      </c>
      <c r="F306">
        <v>17068.43</v>
      </c>
      <c r="G306" s="1">
        <v>45342</v>
      </c>
      <c r="H306">
        <v>9020.7379199999996</v>
      </c>
      <c r="I306" s="1">
        <v>45344</v>
      </c>
      <c r="J306">
        <v>10138.9</v>
      </c>
      <c r="K306" s="1">
        <v>45341</v>
      </c>
      <c r="L306">
        <v>31676.05</v>
      </c>
    </row>
    <row r="307" spans="1:12" x14ac:dyDescent="0.35">
      <c r="A307" s="1">
        <v>45344</v>
      </c>
      <c r="B307">
        <v>4855.3599999999997</v>
      </c>
      <c r="C307" s="1">
        <v>45343</v>
      </c>
      <c r="D307">
        <v>7812.09</v>
      </c>
      <c r="E307" s="1">
        <v>45341</v>
      </c>
      <c r="F307">
        <v>17092.259999999998</v>
      </c>
      <c r="G307" s="1">
        <v>45341</v>
      </c>
      <c r="H307">
        <v>9030.2100499999997</v>
      </c>
      <c r="I307" s="1">
        <v>45343</v>
      </c>
      <c r="J307">
        <v>10107.200000000001</v>
      </c>
      <c r="K307" s="1">
        <v>45338</v>
      </c>
      <c r="L307">
        <v>31732.39</v>
      </c>
    </row>
    <row r="308" spans="1:12" x14ac:dyDescent="0.35">
      <c r="A308" s="1">
        <v>45343</v>
      </c>
      <c r="B308">
        <v>4775.3100000000004</v>
      </c>
      <c r="C308" s="1">
        <v>45342</v>
      </c>
      <c r="D308">
        <v>7795.22</v>
      </c>
      <c r="E308" s="1">
        <v>45338</v>
      </c>
      <c r="F308">
        <v>17117.439999999999</v>
      </c>
      <c r="G308" s="1">
        <v>45338</v>
      </c>
      <c r="H308">
        <v>9021.0836600000002</v>
      </c>
      <c r="I308" s="1">
        <v>45342</v>
      </c>
      <c r="J308">
        <v>10038.200000000001</v>
      </c>
      <c r="K308" s="1">
        <v>45337</v>
      </c>
      <c r="L308">
        <v>31694.44</v>
      </c>
    </row>
    <row r="309" spans="1:12" x14ac:dyDescent="0.35">
      <c r="A309" s="1">
        <v>45342</v>
      </c>
      <c r="B309">
        <v>4760.28</v>
      </c>
      <c r="C309" s="1">
        <v>45341</v>
      </c>
      <c r="D309">
        <v>7768.55</v>
      </c>
      <c r="E309" s="1">
        <v>45337</v>
      </c>
      <c r="F309">
        <v>17046.689999999999</v>
      </c>
      <c r="G309" s="1">
        <v>45337</v>
      </c>
      <c r="H309">
        <v>8885.9050499999994</v>
      </c>
      <c r="I309" s="1">
        <v>45341</v>
      </c>
      <c r="J309">
        <v>9944.7999999999993</v>
      </c>
      <c r="K309" s="1">
        <v>45336</v>
      </c>
      <c r="L309">
        <v>31329.38</v>
      </c>
    </row>
    <row r="310" spans="1:12" x14ac:dyDescent="0.35">
      <c r="A310" s="1">
        <v>45341</v>
      </c>
      <c r="B310">
        <v>4763.07</v>
      </c>
      <c r="C310" s="1">
        <v>45338</v>
      </c>
      <c r="D310">
        <v>7768.18</v>
      </c>
      <c r="E310" s="1">
        <v>45336</v>
      </c>
      <c r="F310">
        <v>16945.48</v>
      </c>
      <c r="G310" s="1">
        <v>45336</v>
      </c>
      <c r="H310">
        <v>8861.1851299999998</v>
      </c>
      <c r="I310" s="1">
        <v>45338</v>
      </c>
      <c r="J310">
        <v>9886.4</v>
      </c>
      <c r="K310" s="1">
        <v>45335</v>
      </c>
      <c r="L310">
        <v>31134.17</v>
      </c>
    </row>
    <row r="311" spans="1:12" x14ac:dyDescent="0.35">
      <c r="A311" s="1">
        <v>45338</v>
      </c>
      <c r="B311">
        <v>4765.6499999999996</v>
      </c>
      <c r="C311" s="1">
        <v>45337</v>
      </c>
      <c r="D311">
        <v>7743.42</v>
      </c>
      <c r="E311" s="1">
        <v>45335</v>
      </c>
      <c r="F311">
        <v>16880.830000000002</v>
      </c>
      <c r="G311" s="1">
        <v>45335</v>
      </c>
      <c r="H311">
        <v>8833.8523600000008</v>
      </c>
      <c r="I311" s="1">
        <v>45337</v>
      </c>
      <c r="J311">
        <v>9927.2999999999993</v>
      </c>
      <c r="K311" s="1">
        <v>45334</v>
      </c>
      <c r="L311">
        <v>31456.73</v>
      </c>
    </row>
    <row r="312" spans="1:12" x14ac:dyDescent="0.35">
      <c r="A312" s="1">
        <v>45337</v>
      </c>
      <c r="B312">
        <v>4743.17</v>
      </c>
      <c r="C312" s="1">
        <v>45336</v>
      </c>
      <c r="D312">
        <v>7677.35</v>
      </c>
      <c r="E312" s="1">
        <v>45334</v>
      </c>
      <c r="F312">
        <v>17037.349999999999</v>
      </c>
      <c r="G312" s="1">
        <v>45334</v>
      </c>
      <c r="H312">
        <v>8878.8204000000005</v>
      </c>
      <c r="I312" s="1">
        <v>45336</v>
      </c>
      <c r="J312">
        <v>9916.6</v>
      </c>
      <c r="K312" s="1">
        <v>45331</v>
      </c>
      <c r="L312">
        <v>31156.06</v>
      </c>
    </row>
    <row r="313" spans="1:12" x14ac:dyDescent="0.35">
      <c r="A313" s="1">
        <v>45336</v>
      </c>
      <c r="B313">
        <v>4709.22</v>
      </c>
      <c r="C313" s="1">
        <v>45335</v>
      </c>
      <c r="D313">
        <v>7625.31</v>
      </c>
      <c r="E313" s="1">
        <v>45331</v>
      </c>
      <c r="F313">
        <v>16926.5</v>
      </c>
      <c r="G313" s="1">
        <v>45331</v>
      </c>
      <c r="H313">
        <v>8867.2061400000002</v>
      </c>
      <c r="I313" s="1">
        <v>45335</v>
      </c>
      <c r="J313">
        <v>9925.4</v>
      </c>
      <c r="K313" s="1">
        <v>45330</v>
      </c>
      <c r="L313">
        <v>31064.15</v>
      </c>
    </row>
    <row r="314" spans="1:12" x14ac:dyDescent="0.35">
      <c r="A314" s="1">
        <v>45335</v>
      </c>
      <c r="B314">
        <v>4689.28</v>
      </c>
      <c r="C314" s="1">
        <v>45334</v>
      </c>
      <c r="D314">
        <v>7689.8</v>
      </c>
      <c r="E314" s="1">
        <v>45330</v>
      </c>
      <c r="F314">
        <v>16963.830000000002</v>
      </c>
      <c r="G314" s="1">
        <v>45330</v>
      </c>
      <c r="H314">
        <v>8895.5881499999996</v>
      </c>
      <c r="I314" s="1">
        <v>45334</v>
      </c>
      <c r="J314">
        <v>9984.7000000000007</v>
      </c>
      <c r="K314" s="1">
        <v>45329</v>
      </c>
      <c r="L314">
        <v>30976.02</v>
      </c>
    </row>
    <row r="315" spans="1:12" x14ac:dyDescent="0.35">
      <c r="A315" s="1">
        <v>45334</v>
      </c>
      <c r="B315">
        <v>4746.3500000000004</v>
      </c>
      <c r="C315" s="1">
        <v>45331</v>
      </c>
      <c r="D315">
        <v>7647.52</v>
      </c>
      <c r="E315" s="1">
        <v>45329</v>
      </c>
      <c r="F315">
        <v>16921.96</v>
      </c>
      <c r="G315" s="1">
        <v>45329</v>
      </c>
      <c r="H315">
        <v>8945.4446100000005</v>
      </c>
      <c r="I315" s="1">
        <v>45331</v>
      </c>
      <c r="J315">
        <v>9896.6</v>
      </c>
      <c r="K315" s="1">
        <v>45328</v>
      </c>
      <c r="L315">
        <v>31116.75</v>
      </c>
    </row>
    <row r="316" spans="1:12" x14ac:dyDescent="0.35">
      <c r="A316" s="1">
        <v>45331</v>
      </c>
      <c r="B316">
        <v>4715.87</v>
      </c>
      <c r="C316" s="1">
        <v>45330</v>
      </c>
      <c r="D316">
        <v>7665.63</v>
      </c>
      <c r="E316" s="1">
        <v>45328</v>
      </c>
      <c r="F316">
        <v>17033.240000000002</v>
      </c>
      <c r="G316" s="1">
        <v>45328</v>
      </c>
      <c r="H316">
        <v>8998.4485999999997</v>
      </c>
      <c r="I316" s="1">
        <v>45330</v>
      </c>
      <c r="J316">
        <v>9905.4</v>
      </c>
      <c r="K316" s="1">
        <v>45327</v>
      </c>
      <c r="L316">
        <v>30952.79</v>
      </c>
    </row>
    <row r="317" spans="1:12" x14ac:dyDescent="0.35">
      <c r="A317" s="1">
        <v>45330</v>
      </c>
      <c r="B317">
        <v>4710.78</v>
      </c>
      <c r="C317" s="1">
        <v>45329</v>
      </c>
      <c r="D317">
        <v>7611.26</v>
      </c>
      <c r="E317" s="1">
        <v>45327</v>
      </c>
      <c r="F317">
        <v>16904.060000000001</v>
      </c>
      <c r="G317" s="1">
        <v>45327</v>
      </c>
      <c r="H317">
        <v>8886.7504399999998</v>
      </c>
      <c r="I317" s="1">
        <v>45329</v>
      </c>
      <c r="J317">
        <v>9888.2000000000007</v>
      </c>
      <c r="K317" s="1">
        <v>45324</v>
      </c>
      <c r="L317">
        <v>30717.95</v>
      </c>
    </row>
    <row r="318" spans="1:12" x14ac:dyDescent="0.35">
      <c r="A318" s="1">
        <v>45329</v>
      </c>
      <c r="B318">
        <v>4678.8500000000004</v>
      </c>
      <c r="C318" s="1">
        <v>45328</v>
      </c>
      <c r="D318">
        <v>7638.97</v>
      </c>
      <c r="E318" s="1">
        <v>45324</v>
      </c>
      <c r="F318">
        <v>16918.21</v>
      </c>
      <c r="G318" s="1">
        <v>45324</v>
      </c>
      <c r="H318">
        <v>8911.3964400000004</v>
      </c>
      <c r="I318" s="1">
        <v>45328</v>
      </c>
      <c r="J318">
        <v>10003</v>
      </c>
      <c r="K318" s="1">
        <v>45323</v>
      </c>
      <c r="L318">
        <v>30689.11</v>
      </c>
    </row>
    <row r="319" spans="1:12" x14ac:dyDescent="0.35">
      <c r="A319" s="1">
        <v>45328</v>
      </c>
      <c r="B319">
        <v>4690.87</v>
      </c>
      <c r="C319" s="1">
        <v>45327</v>
      </c>
      <c r="D319">
        <v>7589.96</v>
      </c>
      <c r="E319" s="1">
        <v>45323</v>
      </c>
      <c r="F319">
        <v>16859.04</v>
      </c>
      <c r="G319" s="1">
        <v>45323</v>
      </c>
      <c r="H319">
        <v>8928.8560600000001</v>
      </c>
      <c r="I319" s="1">
        <v>45327</v>
      </c>
      <c r="J319">
        <v>9941.2999999999993</v>
      </c>
      <c r="K319" s="1">
        <v>45322</v>
      </c>
      <c r="L319">
        <v>30744.240000000002</v>
      </c>
    </row>
    <row r="320" spans="1:12" x14ac:dyDescent="0.35">
      <c r="A320" s="1">
        <v>45327</v>
      </c>
      <c r="B320">
        <v>4655.2700000000004</v>
      </c>
      <c r="C320" s="1">
        <v>45324</v>
      </c>
      <c r="D320">
        <v>7592.26</v>
      </c>
      <c r="E320" s="1">
        <v>45322</v>
      </c>
      <c r="F320">
        <v>16903.759999999998</v>
      </c>
      <c r="G320" s="1">
        <v>45322</v>
      </c>
      <c r="H320">
        <v>8944.2939399999996</v>
      </c>
      <c r="I320" s="1">
        <v>45324</v>
      </c>
      <c r="J320">
        <v>10062.5</v>
      </c>
      <c r="K320" s="1">
        <v>45321</v>
      </c>
      <c r="L320">
        <v>30623.27</v>
      </c>
    </row>
    <row r="321" spans="1:12" x14ac:dyDescent="0.35">
      <c r="A321" s="1">
        <v>45324</v>
      </c>
      <c r="B321">
        <v>4654.55</v>
      </c>
      <c r="C321" s="1">
        <v>45323</v>
      </c>
      <c r="D321">
        <v>7588.75</v>
      </c>
      <c r="E321" s="1">
        <v>45321</v>
      </c>
      <c r="F321">
        <v>16972.34</v>
      </c>
      <c r="G321" s="1">
        <v>45321</v>
      </c>
      <c r="H321">
        <v>8969.1371099999997</v>
      </c>
      <c r="I321" s="1">
        <v>45323</v>
      </c>
      <c r="J321">
        <v>10014</v>
      </c>
      <c r="K321" s="1">
        <v>45320</v>
      </c>
      <c r="L321">
        <v>30233.61</v>
      </c>
    </row>
    <row r="322" spans="1:12" x14ac:dyDescent="0.35">
      <c r="A322" s="1">
        <v>45323</v>
      </c>
      <c r="B322">
        <v>4638.6000000000004</v>
      </c>
      <c r="C322" s="1">
        <v>45322</v>
      </c>
      <c r="D322">
        <v>7656.75</v>
      </c>
      <c r="E322" s="1">
        <v>45320</v>
      </c>
      <c r="F322">
        <v>16941.71</v>
      </c>
      <c r="G322" s="1">
        <v>45320</v>
      </c>
      <c r="H322">
        <v>8953.5739400000002</v>
      </c>
      <c r="I322" s="1">
        <v>45322</v>
      </c>
      <c r="J322">
        <v>10077.700000000001</v>
      </c>
      <c r="K322" s="1">
        <v>45317</v>
      </c>
      <c r="L322">
        <v>30379.33</v>
      </c>
    </row>
    <row r="323" spans="1:12" x14ac:dyDescent="0.35">
      <c r="A323" s="1">
        <v>45322</v>
      </c>
      <c r="B323">
        <v>4648.3999999999996</v>
      </c>
      <c r="C323" s="1">
        <v>45321</v>
      </c>
      <c r="D323">
        <v>7677.47</v>
      </c>
      <c r="E323" s="1">
        <v>45317</v>
      </c>
      <c r="F323">
        <v>16961.39</v>
      </c>
      <c r="G323" s="1">
        <v>45317</v>
      </c>
      <c r="H323">
        <v>8934.5452100000002</v>
      </c>
      <c r="I323" s="1">
        <v>45321</v>
      </c>
      <c r="J323">
        <v>10039.299999999999</v>
      </c>
      <c r="K323" s="1">
        <v>45316</v>
      </c>
      <c r="L323">
        <v>30157.8</v>
      </c>
    </row>
    <row r="324" spans="1:12" x14ac:dyDescent="0.35">
      <c r="A324" s="1">
        <v>45321</v>
      </c>
      <c r="B324">
        <v>4662.7</v>
      </c>
      <c r="C324" s="1">
        <v>45320</v>
      </c>
      <c r="D324">
        <v>7640.81</v>
      </c>
      <c r="E324" s="1">
        <v>45316</v>
      </c>
      <c r="F324">
        <v>16906.919999999998</v>
      </c>
      <c r="G324" s="1">
        <v>45316</v>
      </c>
      <c r="H324">
        <v>8816.4120399999993</v>
      </c>
      <c r="I324" s="1">
        <v>45320</v>
      </c>
      <c r="J324">
        <v>9890.2999999999993</v>
      </c>
      <c r="K324" s="1">
        <v>45315</v>
      </c>
      <c r="L324">
        <v>30338.35</v>
      </c>
    </row>
    <row r="325" spans="1:12" x14ac:dyDescent="0.35">
      <c r="A325" s="1">
        <v>45320</v>
      </c>
      <c r="B325">
        <v>4639.3599999999997</v>
      </c>
      <c r="C325" s="1">
        <v>45317</v>
      </c>
      <c r="D325">
        <v>7634.14</v>
      </c>
      <c r="E325" s="1">
        <v>45315</v>
      </c>
      <c r="F325">
        <v>16889.919999999998</v>
      </c>
      <c r="G325" s="1">
        <v>45315</v>
      </c>
      <c r="H325">
        <v>8799.8842000000004</v>
      </c>
      <c r="I325" s="1">
        <v>45317</v>
      </c>
      <c r="J325">
        <v>9936.6</v>
      </c>
      <c r="K325" s="1">
        <v>45314</v>
      </c>
      <c r="L325">
        <v>30077.46</v>
      </c>
    </row>
    <row r="326" spans="1:12" x14ac:dyDescent="0.35">
      <c r="A326" s="1">
        <v>45317</v>
      </c>
      <c r="B326">
        <v>4635.47</v>
      </c>
      <c r="C326" s="1">
        <v>45316</v>
      </c>
      <c r="D326">
        <v>7464.2</v>
      </c>
      <c r="E326" s="1">
        <v>45314</v>
      </c>
      <c r="F326">
        <v>16627.09</v>
      </c>
      <c r="G326" s="1">
        <v>45314</v>
      </c>
      <c r="H326">
        <v>8747.6338899999992</v>
      </c>
      <c r="I326" s="1">
        <v>45316</v>
      </c>
      <c r="J326">
        <v>9916.6</v>
      </c>
      <c r="K326" s="1">
        <v>45313</v>
      </c>
      <c r="L326">
        <v>30182.32</v>
      </c>
    </row>
    <row r="327" spans="1:12" x14ac:dyDescent="0.35">
      <c r="A327" s="1">
        <v>45316</v>
      </c>
      <c r="B327">
        <v>4582.26</v>
      </c>
      <c r="C327" s="1">
        <v>45315</v>
      </c>
      <c r="D327">
        <v>7455.64</v>
      </c>
      <c r="E327" s="1">
        <v>45313</v>
      </c>
      <c r="F327">
        <v>16683.36</v>
      </c>
      <c r="G327" s="1">
        <v>45313</v>
      </c>
      <c r="H327">
        <v>8741.8464499999991</v>
      </c>
      <c r="I327" s="1">
        <v>45315</v>
      </c>
      <c r="J327">
        <v>9974</v>
      </c>
      <c r="K327" s="1">
        <v>45310</v>
      </c>
      <c r="L327">
        <v>30283.61</v>
      </c>
    </row>
    <row r="328" spans="1:12" x14ac:dyDescent="0.35">
      <c r="A328" s="1">
        <v>45315</v>
      </c>
      <c r="B328">
        <v>4564.1099999999997</v>
      </c>
      <c r="C328" s="1">
        <v>45314</v>
      </c>
      <c r="D328">
        <v>7388.04</v>
      </c>
      <c r="E328" s="1">
        <v>45310</v>
      </c>
      <c r="F328">
        <v>16555.13</v>
      </c>
      <c r="G328" s="1">
        <v>45310</v>
      </c>
      <c r="H328">
        <v>8693.9364399999995</v>
      </c>
      <c r="I328" s="1">
        <v>45314</v>
      </c>
      <c r="J328">
        <v>9859.2000000000007</v>
      </c>
      <c r="K328" s="1">
        <v>45309</v>
      </c>
      <c r="L328">
        <v>30350.53</v>
      </c>
    </row>
    <row r="329" spans="1:12" x14ac:dyDescent="0.35">
      <c r="A329" s="1">
        <v>45314</v>
      </c>
      <c r="B329">
        <v>4465.91</v>
      </c>
      <c r="C329" s="1">
        <v>45313</v>
      </c>
      <c r="D329">
        <v>7413.25</v>
      </c>
      <c r="E329" s="1">
        <v>45309</v>
      </c>
      <c r="F329">
        <v>16567.349999999999</v>
      </c>
      <c r="G329" s="1">
        <v>45309</v>
      </c>
      <c r="H329">
        <v>8709.8269099999998</v>
      </c>
      <c r="I329" s="1">
        <v>45313</v>
      </c>
      <c r="J329">
        <v>9968.1</v>
      </c>
      <c r="K329" s="1">
        <v>45308</v>
      </c>
      <c r="L329">
        <v>30098.86</v>
      </c>
    </row>
    <row r="330" spans="1:12" x14ac:dyDescent="0.35">
      <c r="A330" s="1">
        <v>45313</v>
      </c>
      <c r="B330">
        <v>4480.32</v>
      </c>
      <c r="C330" s="1">
        <v>45310</v>
      </c>
      <c r="D330">
        <v>7371.64</v>
      </c>
      <c r="E330" s="1">
        <v>45308</v>
      </c>
      <c r="F330">
        <v>16431.689999999999</v>
      </c>
      <c r="G330" s="1">
        <v>45308</v>
      </c>
      <c r="H330">
        <v>8687.9093499999999</v>
      </c>
      <c r="I330" s="1">
        <v>45310</v>
      </c>
      <c r="J330">
        <v>9858.2999999999993</v>
      </c>
      <c r="K330" s="1">
        <v>45307</v>
      </c>
      <c r="L330">
        <v>30337.62</v>
      </c>
    </row>
    <row r="331" spans="1:12" x14ac:dyDescent="0.35">
      <c r="A331" s="1">
        <v>45310</v>
      </c>
      <c r="B331">
        <v>4448.83</v>
      </c>
      <c r="C331" s="1">
        <v>45309</v>
      </c>
      <c r="D331">
        <v>7401.35</v>
      </c>
      <c r="E331" s="1">
        <v>45307</v>
      </c>
      <c r="F331">
        <v>16571.68</v>
      </c>
      <c r="G331" s="1">
        <v>45307</v>
      </c>
      <c r="H331">
        <v>8784.3176399999993</v>
      </c>
      <c r="I331" s="1">
        <v>45309</v>
      </c>
      <c r="J331">
        <v>9880.2999999999993</v>
      </c>
      <c r="K331" s="1">
        <v>45306</v>
      </c>
      <c r="L331">
        <v>30327.72</v>
      </c>
    </row>
    <row r="332" spans="1:12" x14ac:dyDescent="0.35">
      <c r="A332" s="1">
        <v>45309</v>
      </c>
      <c r="B332">
        <v>4453.05</v>
      </c>
      <c r="C332" s="1">
        <v>45308</v>
      </c>
      <c r="D332">
        <v>7318.69</v>
      </c>
      <c r="E332" s="1">
        <v>45306</v>
      </c>
      <c r="F332">
        <v>16622.22</v>
      </c>
      <c r="G332" s="1">
        <v>45306</v>
      </c>
      <c r="H332">
        <v>8830.4356399999997</v>
      </c>
      <c r="I332" s="1">
        <v>45308</v>
      </c>
      <c r="J332">
        <v>9867.7999999999993</v>
      </c>
      <c r="K332" s="1">
        <v>45303</v>
      </c>
      <c r="L332">
        <v>30470.55</v>
      </c>
    </row>
    <row r="333" spans="1:12" x14ac:dyDescent="0.35">
      <c r="A333" s="1">
        <v>45308</v>
      </c>
      <c r="B333">
        <v>4403.08</v>
      </c>
      <c r="C333" s="1">
        <v>45307</v>
      </c>
      <c r="D333">
        <v>7398</v>
      </c>
      <c r="E333" s="1">
        <v>45303</v>
      </c>
      <c r="F333">
        <v>16704.560000000001</v>
      </c>
      <c r="G333" s="1">
        <v>45303</v>
      </c>
      <c r="H333">
        <v>8871.3797400000003</v>
      </c>
      <c r="I333" s="1">
        <v>45307</v>
      </c>
      <c r="J333">
        <v>9994.1</v>
      </c>
      <c r="K333" s="1">
        <v>45302</v>
      </c>
      <c r="L333">
        <v>30249.16</v>
      </c>
    </row>
    <row r="334" spans="1:12" x14ac:dyDescent="0.35">
      <c r="A334" s="1">
        <v>45307</v>
      </c>
      <c r="B334">
        <v>4446.51</v>
      </c>
      <c r="C334" s="1">
        <v>45306</v>
      </c>
      <c r="D334">
        <v>7411.68</v>
      </c>
      <c r="E334" s="1">
        <v>45302</v>
      </c>
      <c r="F334">
        <v>16547.03</v>
      </c>
      <c r="G334" s="1">
        <v>45302</v>
      </c>
      <c r="H334">
        <v>8801.1872299999995</v>
      </c>
      <c r="I334" s="1">
        <v>45306</v>
      </c>
      <c r="J334">
        <v>10076.9</v>
      </c>
      <c r="K334" s="1">
        <v>45301</v>
      </c>
      <c r="L334">
        <v>30450.78</v>
      </c>
    </row>
    <row r="335" spans="1:12" x14ac:dyDescent="0.35">
      <c r="A335" s="1">
        <v>45306</v>
      </c>
      <c r="B335">
        <v>4454.68</v>
      </c>
      <c r="C335" s="1">
        <v>45303</v>
      </c>
      <c r="D335">
        <v>7465.14</v>
      </c>
      <c r="E335" s="1">
        <v>45301</v>
      </c>
      <c r="F335">
        <v>16689.810000000001</v>
      </c>
      <c r="G335" s="1">
        <v>45301</v>
      </c>
      <c r="H335">
        <v>8884.6094499999999</v>
      </c>
      <c r="I335" s="1">
        <v>45303</v>
      </c>
      <c r="J335">
        <v>10094.799999999999</v>
      </c>
      <c r="K335" s="1">
        <v>45300</v>
      </c>
      <c r="L335">
        <v>30408.78</v>
      </c>
    </row>
    <row r="336" spans="1:12" x14ac:dyDescent="0.35">
      <c r="A336" s="1">
        <v>45303</v>
      </c>
      <c r="B336">
        <v>4480.0200000000004</v>
      </c>
      <c r="C336" s="1">
        <v>45302</v>
      </c>
      <c r="D336">
        <v>7387.62</v>
      </c>
      <c r="E336" s="1">
        <v>45300</v>
      </c>
      <c r="F336">
        <v>16688.36</v>
      </c>
      <c r="G336" s="1">
        <v>45300</v>
      </c>
      <c r="H336">
        <v>8932.7616199999993</v>
      </c>
      <c r="I336" s="1">
        <v>45302</v>
      </c>
      <c r="J336">
        <v>10004.9</v>
      </c>
      <c r="K336" s="1">
        <v>45299</v>
      </c>
      <c r="L336">
        <v>30569.919999999998</v>
      </c>
    </row>
    <row r="337" spans="1:12" x14ac:dyDescent="0.35">
      <c r="A337" s="1">
        <v>45302</v>
      </c>
      <c r="B337">
        <v>4442.28</v>
      </c>
      <c r="C337" s="1">
        <v>45301</v>
      </c>
      <c r="D337">
        <v>7426.08</v>
      </c>
      <c r="E337" s="1">
        <v>45299</v>
      </c>
      <c r="F337">
        <v>16716.47</v>
      </c>
      <c r="G337" s="1">
        <v>45299</v>
      </c>
      <c r="H337">
        <v>8950.2410799999998</v>
      </c>
      <c r="I337" s="1">
        <v>45301</v>
      </c>
      <c r="J337">
        <v>10067.1</v>
      </c>
      <c r="K337" s="1">
        <v>45296</v>
      </c>
      <c r="L337">
        <v>30440.95</v>
      </c>
    </row>
    <row r="338" spans="1:12" x14ac:dyDescent="0.35">
      <c r="A338" s="1">
        <v>45301</v>
      </c>
      <c r="B338">
        <v>4468.9799999999996</v>
      </c>
      <c r="C338" s="1">
        <v>45300</v>
      </c>
      <c r="D338">
        <v>7426.62</v>
      </c>
      <c r="E338" s="1">
        <v>45296</v>
      </c>
      <c r="F338">
        <v>16594.21</v>
      </c>
      <c r="G338" s="1">
        <v>45296</v>
      </c>
      <c r="H338">
        <v>8938.6623099999997</v>
      </c>
      <c r="I338" s="1">
        <v>45300</v>
      </c>
      <c r="J338">
        <v>10060.299999999999</v>
      </c>
      <c r="K338" s="1">
        <v>45295</v>
      </c>
      <c r="L338">
        <v>30403.96</v>
      </c>
    </row>
    <row r="339" spans="1:12" x14ac:dyDescent="0.35">
      <c r="A339" s="1">
        <v>45300</v>
      </c>
      <c r="B339">
        <v>4467.17</v>
      </c>
      <c r="C339" s="1">
        <v>45299</v>
      </c>
      <c r="D339">
        <v>7450.24</v>
      </c>
      <c r="E339" s="1">
        <v>45295</v>
      </c>
      <c r="F339">
        <v>16617.29</v>
      </c>
      <c r="G339" s="1">
        <v>45295</v>
      </c>
      <c r="H339">
        <v>8945.3604400000004</v>
      </c>
      <c r="I339" s="1">
        <v>45299</v>
      </c>
      <c r="J339">
        <v>10209</v>
      </c>
      <c r="K339" s="1">
        <v>45294</v>
      </c>
      <c r="L339">
        <v>30100.84</v>
      </c>
    </row>
    <row r="340" spans="1:12" x14ac:dyDescent="0.35">
      <c r="A340" s="1">
        <v>45299</v>
      </c>
      <c r="B340">
        <v>4485.4799999999996</v>
      </c>
      <c r="C340" s="1">
        <v>45296</v>
      </c>
      <c r="D340">
        <v>7420.69</v>
      </c>
      <c r="E340" s="1">
        <v>45294</v>
      </c>
      <c r="F340">
        <v>16538.39</v>
      </c>
      <c r="G340" s="1">
        <v>45294</v>
      </c>
      <c r="H340">
        <v>8906.4878399999998</v>
      </c>
      <c r="I340" s="1">
        <v>45296</v>
      </c>
      <c r="J340">
        <v>10164.5</v>
      </c>
      <c r="K340" s="1">
        <v>45293</v>
      </c>
      <c r="L340">
        <v>30524.63</v>
      </c>
    </row>
    <row r="341" spans="1:12" x14ac:dyDescent="0.35">
      <c r="A341" s="1">
        <v>45296</v>
      </c>
      <c r="B341">
        <v>4463.51</v>
      </c>
      <c r="C341" s="1">
        <v>45295</v>
      </c>
      <c r="D341">
        <v>7450.63</v>
      </c>
      <c r="E341" s="1">
        <v>45293</v>
      </c>
      <c r="F341">
        <v>16769.36</v>
      </c>
      <c r="G341" s="1">
        <v>45293</v>
      </c>
      <c r="H341">
        <v>8907.4935800000003</v>
      </c>
      <c r="I341" s="1">
        <v>45295</v>
      </c>
      <c r="J341">
        <v>10182.4</v>
      </c>
      <c r="K341" s="1">
        <v>45289</v>
      </c>
      <c r="L341">
        <v>30351.62</v>
      </c>
    </row>
    <row r="342" spans="1:12" x14ac:dyDescent="0.35">
      <c r="A342" s="1">
        <v>45295</v>
      </c>
      <c r="B342">
        <v>4474.01</v>
      </c>
      <c r="C342" s="1">
        <v>45294</v>
      </c>
      <c r="D342">
        <v>7411.86</v>
      </c>
      <c r="E342" s="1">
        <v>45289</v>
      </c>
      <c r="F342">
        <v>16751.64</v>
      </c>
      <c r="G342" s="1">
        <v>45289</v>
      </c>
      <c r="H342">
        <v>8920.7648300000001</v>
      </c>
      <c r="I342" s="1">
        <v>45294</v>
      </c>
      <c r="J342">
        <v>10053.4</v>
      </c>
      <c r="K342" s="1">
        <v>45288</v>
      </c>
      <c r="L342">
        <v>30331.17</v>
      </c>
    </row>
    <row r="343" spans="1:12" x14ac:dyDescent="0.35">
      <c r="A343" s="1">
        <v>45294</v>
      </c>
      <c r="B343">
        <v>4448.13</v>
      </c>
      <c r="C343" s="1">
        <v>45293</v>
      </c>
      <c r="D343">
        <v>7530.86</v>
      </c>
      <c r="E343" s="1">
        <v>45288</v>
      </c>
      <c r="F343">
        <v>16701.55</v>
      </c>
      <c r="G343" s="1">
        <v>45288</v>
      </c>
      <c r="H343">
        <v>8883.8707699999995</v>
      </c>
      <c r="I343" s="1">
        <v>45293</v>
      </c>
      <c r="J343">
        <v>10182.1</v>
      </c>
      <c r="K343" s="1">
        <v>45287</v>
      </c>
      <c r="L343">
        <v>30421.51</v>
      </c>
    </row>
    <row r="344" spans="1:12" x14ac:dyDescent="0.35">
      <c r="A344" s="1">
        <v>45293</v>
      </c>
      <c r="B344">
        <v>4512.8100000000004</v>
      </c>
      <c r="C344" s="1">
        <v>45289</v>
      </c>
      <c r="D344">
        <v>7543.18</v>
      </c>
      <c r="E344" s="1">
        <v>45287</v>
      </c>
      <c r="F344">
        <v>16742.07</v>
      </c>
      <c r="G344" s="1">
        <v>45287</v>
      </c>
      <c r="H344">
        <v>8897.0833399999992</v>
      </c>
      <c r="I344" s="1">
        <v>45289</v>
      </c>
      <c r="J344">
        <v>10102.1</v>
      </c>
      <c r="K344" s="1">
        <v>45282</v>
      </c>
      <c r="L344">
        <v>30353.29</v>
      </c>
    </row>
    <row r="345" spans="1:12" x14ac:dyDescent="0.35">
      <c r="A345" s="1">
        <v>45289</v>
      </c>
      <c r="B345">
        <v>4521.4399999999996</v>
      </c>
      <c r="C345" s="1">
        <v>45288</v>
      </c>
      <c r="D345">
        <v>7535.16</v>
      </c>
      <c r="E345" s="1">
        <v>45282</v>
      </c>
      <c r="F345">
        <v>16706.18</v>
      </c>
      <c r="G345" s="1">
        <v>45282</v>
      </c>
      <c r="H345">
        <v>8880.5060400000002</v>
      </c>
      <c r="I345" s="1">
        <v>45288</v>
      </c>
      <c r="J345">
        <v>10086.200000000001</v>
      </c>
      <c r="K345" s="1">
        <v>45281</v>
      </c>
      <c r="L345">
        <v>30274.26</v>
      </c>
    </row>
    <row r="346" spans="1:12" x14ac:dyDescent="0.35">
      <c r="A346" s="1">
        <v>45288</v>
      </c>
      <c r="B346">
        <v>4514.38</v>
      </c>
      <c r="C346" s="1">
        <v>45287</v>
      </c>
      <c r="D346">
        <v>7571.82</v>
      </c>
      <c r="E346" s="1">
        <v>45281</v>
      </c>
      <c r="F346">
        <v>16687.419999999998</v>
      </c>
      <c r="G346" s="1">
        <v>45281</v>
      </c>
      <c r="H346">
        <v>8870.0219099999995</v>
      </c>
      <c r="I346" s="1">
        <v>45287</v>
      </c>
      <c r="J346">
        <v>10121.799999999999</v>
      </c>
      <c r="K346" s="1">
        <v>45280</v>
      </c>
      <c r="L346">
        <v>30361.21</v>
      </c>
    </row>
    <row r="347" spans="1:12" x14ac:dyDescent="0.35">
      <c r="A347" s="1">
        <v>45287</v>
      </c>
      <c r="B347">
        <v>4528.38</v>
      </c>
      <c r="C347" s="1">
        <v>45282</v>
      </c>
      <c r="D347">
        <v>7568.82</v>
      </c>
      <c r="E347" s="1">
        <v>45280</v>
      </c>
      <c r="F347">
        <v>16733.05</v>
      </c>
      <c r="G347" s="1">
        <v>45280</v>
      </c>
      <c r="H347">
        <v>8921.1229800000001</v>
      </c>
      <c r="I347" s="1">
        <v>45282</v>
      </c>
      <c r="J347">
        <v>10111.9</v>
      </c>
      <c r="K347" s="1">
        <v>45279</v>
      </c>
      <c r="L347">
        <v>30363.53</v>
      </c>
    </row>
    <row r="348" spans="1:12" x14ac:dyDescent="0.35">
      <c r="A348" s="1">
        <v>45282</v>
      </c>
      <c r="B348">
        <v>4521.47</v>
      </c>
      <c r="C348" s="1">
        <v>45281</v>
      </c>
      <c r="D348">
        <v>7571.4</v>
      </c>
      <c r="E348" s="1">
        <v>45279</v>
      </c>
      <c r="F348">
        <v>16744.41</v>
      </c>
      <c r="G348" s="1">
        <v>45279</v>
      </c>
      <c r="H348">
        <v>8863.5945400000001</v>
      </c>
      <c r="I348" s="1">
        <v>45281</v>
      </c>
      <c r="J348">
        <v>10104.299999999999</v>
      </c>
      <c r="K348" s="1">
        <v>45278</v>
      </c>
      <c r="L348">
        <v>30241.02</v>
      </c>
    </row>
    <row r="349" spans="1:12" x14ac:dyDescent="0.35">
      <c r="A349" s="1">
        <v>45281</v>
      </c>
      <c r="B349">
        <v>4524.8599999999997</v>
      </c>
      <c r="C349" s="1">
        <v>45280</v>
      </c>
      <c r="D349">
        <v>7583.43</v>
      </c>
      <c r="E349" s="1">
        <v>45278</v>
      </c>
      <c r="F349">
        <v>16650.55</v>
      </c>
      <c r="G349" s="1">
        <v>45278</v>
      </c>
      <c r="H349">
        <v>8816.4362600000004</v>
      </c>
      <c r="I349" s="1">
        <v>45280</v>
      </c>
      <c r="J349">
        <v>10101</v>
      </c>
      <c r="K349" s="1">
        <v>45275</v>
      </c>
      <c r="L349">
        <v>30373.89</v>
      </c>
    </row>
    <row r="350" spans="1:12" x14ac:dyDescent="0.35">
      <c r="A350" s="1">
        <v>45280</v>
      </c>
      <c r="B350">
        <v>4533.82</v>
      </c>
      <c r="C350" s="1">
        <v>45279</v>
      </c>
      <c r="D350">
        <v>7574.67</v>
      </c>
      <c r="E350" s="1">
        <v>45275</v>
      </c>
      <c r="F350">
        <v>16751.439999999999</v>
      </c>
      <c r="G350" s="1">
        <v>45275</v>
      </c>
      <c r="H350">
        <v>8823.5774700000002</v>
      </c>
      <c r="I350" s="1">
        <v>45279</v>
      </c>
      <c r="J350">
        <v>10106.700000000001</v>
      </c>
      <c r="K350" s="1">
        <v>45274</v>
      </c>
      <c r="L350">
        <v>30359.06</v>
      </c>
    </row>
    <row r="351" spans="1:12" x14ac:dyDescent="0.35">
      <c r="A351" s="1">
        <v>45279</v>
      </c>
      <c r="B351">
        <v>4535.3999999999996</v>
      </c>
      <c r="C351" s="1">
        <v>45278</v>
      </c>
      <c r="D351">
        <v>7568.86</v>
      </c>
      <c r="E351" s="1">
        <v>45274</v>
      </c>
      <c r="F351">
        <v>16752.23</v>
      </c>
      <c r="G351" s="1">
        <v>45274</v>
      </c>
      <c r="H351">
        <v>8885.4666400000006</v>
      </c>
      <c r="I351" s="1">
        <v>45278</v>
      </c>
      <c r="J351">
        <v>10054.9</v>
      </c>
      <c r="K351" s="1">
        <v>45273</v>
      </c>
      <c r="L351">
        <v>30295.69</v>
      </c>
    </row>
    <row r="352" spans="1:12" x14ac:dyDescent="0.35">
      <c r="A352" s="1">
        <v>45278</v>
      </c>
      <c r="B352">
        <v>4521.13</v>
      </c>
      <c r="C352" s="1">
        <v>45275</v>
      </c>
      <c r="D352">
        <v>7596.91</v>
      </c>
      <c r="E352" s="1">
        <v>45273</v>
      </c>
      <c r="F352">
        <v>16766.05</v>
      </c>
      <c r="G352" s="1">
        <v>45273</v>
      </c>
      <c r="H352">
        <v>8755.1824500000002</v>
      </c>
      <c r="I352" s="1">
        <v>45275</v>
      </c>
      <c r="J352">
        <v>10095.6</v>
      </c>
      <c r="K352" s="1">
        <v>45272</v>
      </c>
      <c r="L352">
        <v>30342.15</v>
      </c>
    </row>
    <row r="353" spans="1:12" x14ac:dyDescent="0.35">
      <c r="A353" s="1">
        <v>45275</v>
      </c>
      <c r="B353">
        <v>4549.4399999999996</v>
      </c>
      <c r="C353" s="1">
        <v>45274</v>
      </c>
      <c r="D353">
        <v>7575.85</v>
      </c>
      <c r="E353" s="1">
        <v>45272</v>
      </c>
      <c r="F353">
        <v>16791.740000000002</v>
      </c>
      <c r="G353" s="1">
        <v>45272</v>
      </c>
      <c r="H353">
        <v>8771.2318899999991</v>
      </c>
      <c r="I353" s="1">
        <v>45274</v>
      </c>
      <c r="J353">
        <v>10171.700000000001</v>
      </c>
      <c r="K353" s="1">
        <v>45271</v>
      </c>
      <c r="L353">
        <v>30426.58</v>
      </c>
    </row>
    <row r="354" spans="1:12" x14ac:dyDescent="0.35">
      <c r="A354" s="1">
        <v>45274</v>
      </c>
      <c r="B354">
        <v>4539.16</v>
      </c>
      <c r="C354" s="1">
        <v>45273</v>
      </c>
      <c r="D354">
        <v>7531.22</v>
      </c>
      <c r="E354" s="1">
        <v>45271</v>
      </c>
      <c r="F354">
        <v>16794.43</v>
      </c>
      <c r="G354" s="1">
        <v>45271</v>
      </c>
      <c r="H354">
        <v>8806.8191999999999</v>
      </c>
      <c r="I354" s="1">
        <v>45273</v>
      </c>
      <c r="J354">
        <v>10096.1</v>
      </c>
      <c r="K354" s="1">
        <v>45268</v>
      </c>
      <c r="L354">
        <v>30403.9</v>
      </c>
    </row>
    <row r="355" spans="1:12" x14ac:dyDescent="0.35">
      <c r="A355" s="1">
        <v>45273</v>
      </c>
      <c r="B355">
        <v>4530.1899999999996</v>
      </c>
      <c r="C355" s="1">
        <v>45272</v>
      </c>
      <c r="D355">
        <v>7543.55</v>
      </c>
      <c r="E355" s="1">
        <v>45268</v>
      </c>
      <c r="F355">
        <v>16759.22</v>
      </c>
      <c r="G355" s="1">
        <v>45268</v>
      </c>
      <c r="H355">
        <v>8811.6754000000001</v>
      </c>
      <c r="I355" s="1">
        <v>45272</v>
      </c>
      <c r="J355">
        <v>10118.700000000001</v>
      </c>
      <c r="K355" s="1">
        <v>45267</v>
      </c>
      <c r="L355">
        <v>30121.77</v>
      </c>
    </row>
    <row r="356" spans="1:12" x14ac:dyDescent="0.35">
      <c r="A356" s="1">
        <v>45272</v>
      </c>
      <c r="B356">
        <v>4536.6099999999997</v>
      </c>
      <c r="C356" s="1">
        <v>45271</v>
      </c>
      <c r="D356">
        <v>7551.53</v>
      </c>
      <c r="E356" s="1">
        <v>45267</v>
      </c>
      <c r="F356">
        <v>16628.990000000002</v>
      </c>
      <c r="G356" s="1">
        <v>45267</v>
      </c>
      <c r="H356">
        <v>8756.7424800000008</v>
      </c>
      <c r="I356" s="1">
        <v>45271</v>
      </c>
      <c r="J356">
        <v>10198</v>
      </c>
      <c r="K356" s="1">
        <v>45266</v>
      </c>
      <c r="L356">
        <v>30326.29</v>
      </c>
    </row>
    <row r="357" spans="1:12" x14ac:dyDescent="0.35">
      <c r="A357" s="1">
        <v>45271</v>
      </c>
      <c r="B357">
        <v>4540.1899999999996</v>
      </c>
      <c r="C357" s="1">
        <v>45268</v>
      </c>
      <c r="D357">
        <v>7526.55</v>
      </c>
      <c r="E357" s="1">
        <v>45266</v>
      </c>
      <c r="F357">
        <v>16656.439999999999</v>
      </c>
      <c r="G357" s="1">
        <v>45266</v>
      </c>
      <c r="H357">
        <v>8769.3373900000006</v>
      </c>
      <c r="I357" s="1">
        <v>45268</v>
      </c>
      <c r="J357">
        <v>10223.4</v>
      </c>
      <c r="K357" s="1">
        <v>45265</v>
      </c>
      <c r="L357">
        <v>30082.880000000001</v>
      </c>
    </row>
    <row r="358" spans="1:12" x14ac:dyDescent="0.35">
      <c r="A358" s="1">
        <v>45268</v>
      </c>
      <c r="B358">
        <v>4523.3100000000004</v>
      </c>
      <c r="C358" s="1">
        <v>45267</v>
      </c>
      <c r="D358">
        <v>7428.52</v>
      </c>
      <c r="E358" s="1">
        <v>45265</v>
      </c>
      <c r="F358">
        <v>16533.11</v>
      </c>
      <c r="G358" s="1">
        <v>45265</v>
      </c>
      <c r="H358">
        <v>8741.1540800000002</v>
      </c>
      <c r="I358" s="1">
        <v>45267</v>
      </c>
      <c r="J358">
        <v>10146</v>
      </c>
      <c r="K358" s="1">
        <v>45264</v>
      </c>
      <c r="L358">
        <v>29914.09</v>
      </c>
    </row>
    <row r="359" spans="1:12" x14ac:dyDescent="0.35">
      <c r="A359" s="1">
        <v>45267</v>
      </c>
      <c r="B359">
        <v>4473.7700000000004</v>
      </c>
      <c r="C359" s="1">
        <v>45266</v>
      </c>
      <c r="D359">
        <v>7435.99</v>
      </c>
      <c r="E359" s="1">
        <v>45264</v>
      </c>
      <c r="F359">
        <v>16404.759999999998</v>
      </c>
      <c r="G359" s="1">
        <v>45264</v>
      </c>
      <c r="H359">
        <v>8759.3368900000005</v>
      </c>
      <c r="I359" s="1">
        <v>45266</v>
      </c>
      <c r="J359">
        <v>10258.1</v>
      </c>
      <c r="K359" s="1">
        <v>45261</v>
      </c>
      <c r="L359">
        <v>29928.45</v>
      </c>
    </row>
    <row r="360" spans="1:12" x14ac:dyDescent="0.35">
      <c r="A360" s="1">
        <v>45266</v>
      </c>
      <c r="B360">
        <v>4483.26</v>
      </c>
      <c r="C360" s="1">
        <v>45265</v>
      </c>
      <c r="D360">
        <v>7386.99</v>
      </c>
      <c r="E360" s="1">
        <v>45261</v>
      </c>
      <c r="F360">
        <v>16397.52</v>
      </c>
      <c r="G360" s="1">
        <v>45261</v>
      </c>
      <c r="H360">
        <v>8783.7803899999999</v>
      </c>
      <c r="I360" s="1">
        <v>45265</v>
      </c>
      <c r="J360">
        <v>10238.4</v>
      </c>
      <c r="K360" s="1">
        <v>45260</v>
      </c>
      <c r="L360">
        <v>29737.38</v>
      </c>
    </row>
    <row r="361" spans="1:12" x14ac:dyDescent="0.35">
      <c r="A361" s="1">
        <v>45265</v>
      </c>
      <c r="B361">
        <v>4452.7700000000004</v>
      </c>
      <c r="C361" s="1">
        <v>45264</v>
      </c>
      <c r="D361">
        <v>7332.59</v>
      </c>
      <c r="E361" s="1">
        <v>45260</v>
      </c>
      <c r="F361">
        <v>16215.43</v>
      </c>
      <c r="G361" s="1">
        <v>45260</v>
      </c>
      <c r="H361">
        <v>8637.8627199999992</v>
      </c>
      <c r="I361" s="1">
        <v>45264</v>
      </c>
      <c r="J361">
        <v>10178.299999999999</v>
      </c>
      <c r="K361" s="1">
        <v>45259</v>
      </c>
      <c r="L361">
        <v>29688.45</v>
      </c>
    </row>
    <row r="362" spans="1:12" x14ac:dyDescent="0.35">
      <c r="A362" s="1">
        <v>45264</v>
      </c>
      <c r="B362">
        <v>4414.95</v>
      </c>
      <c r="C362" s="1">
        <v>45261</v>
      </c>
      <c r="D362">
        <v>7346.15</v>
      </c>
      <c r="E362" s="1">
        <v>45259</v>
      </c>
      <c r="F362">
        <v>16166.45</v>
      </c>
      <c r="G362" s="1">
        <v>45259</v>
      </c>
      <c r="H362">
        <v>8588.1099699999995</v>
      </c>
      <c r="I362" s="1">
        <v>45261</v>
      </c>
      <c r="J362">
        <v>10140.799999999999</v>
      </c>
      <c r="K362" s="1">
        <v>45258</v>
      </c>
      <c r="L362">
        <v>29376.74</v>
      </c>
    </row>
    <row r="363" spans="1:12" x14ac:dyDescent="0.35">
      <c r="A363" s="1">
        <v>45261</v>
      </c>
      <c r="B363">
        <v>4418.51</v>
      </c>
      <c r="C363" s="1">
        <v>45260</v>
      </c>
      <c r="D363">
        <v>7310.77</v>
      </c>
      <c r="E363" s="1">
        <v>45258</v>
      </c>
      <c r="F363">
        <v>15992.67</v>
      </c>
      <c r="G363" s="1">
        <v>45258</v>
      </c>
      <c r="H363">
        <v>8612.1694800000005</v>
      </c>
      <c r="I363" s="1">
        <v>45260</v>
      </c>
      <c r="J363">
        <v>10058.200000000001</v>
      </c>
      <c r="K363" s="1">
        <v>45257</v>
      </c>
      <c r="L363">
        <v>29342.29</v>
      </c>
    </row>
    <row r="364" spans="1:12" x14ac:dyDescent="0.35">
      <c r="A364" s="1">
        <v>45260</v>
      </c>
      <c r="B364">
        <v>4382.47</v>
      </c>
      <c r="C364" s="1">
        <v>45259</v>
      </c>
      <c r="D364">
        <v>7267.64</v>
      </c>
      <c r="E364" s="1">
        <v>45257</v>
      </c>
      <c r="F364">
        <v>15966.37</v>
      </c>
      <c r="G364" s="1">
        <v>45257</v>
      </c>
      <c r="H364">
        <v>8600.2069499999998</v>
      </c>
      <c r="I364" s="1">
        <v>45259</v>
      </c>
      <c r="J364">
        <v>10062.6</v>
      </c>
      <c r="K364" s="1">
        <v>45254</v>
      </c>
      <c r="L364">
        <v>29432.3</v>
      </c>
    </row>
    <row r="365" spans="1:12" x14ac:dyDescent="0.35">
      <c r="A365" s="1">
        <v>45259</v>
      </c>
      <c r="B365">
        <v>4370.53</v>
      </c>
      <c r="C365" s="1">
        <v>45258</v>
      </c>
      <c r="D365">
        <v>7250.13</v>
      </c>
      <c r="E365" s="1">
        <v>45254</v>
      </c>
      <c r="F365">
        <v>16029.49</v>
      </c>
      <c r="G365" s="1">
        <v>45254</v>
      </c>
      <c r="H365">
        <v>8629.1221600000008</v>
      </c>
      <c r="I365" s="1">
        <v>45258</v>
      </c>
      <c r="J365">
        <v>10003.4</v>
      </c>
      <c r="K365" s="1">
        <v>45253</v>
      </c>
      <c r="L365">
        <v>29235.71</v>
      </c>
    </row>
    <row r="366" spans="1:12" x14ac:dyDescent="0.35">
      <c r="A366" s="1">
        <v>45258</v>
      </c>
      <c r="B366">
        <v>4348.0200000000004</v>
      </c>
      <c r="C366" s="1">
        <v>45257</v>
      </c>
      <c r="D366">
        <v>7265.49</v>
      </c>
      <c r="E366" s="1">
        <v>45253</v>
      </c>
      <c r="F366">
        <v>15994.73</v>
      </c>
      <c r="G366" s="1">
        <v>45253</v>
      </c>
      <c r="H366">
        <v>8599.3237300000001</v>
      </c>
      <c r="I366" s="1">
        <v>45257</v>
      </c>
      <c r="J366">
        <v>9936.1</v>
      </c>
      <c r="K366" s="1">
        <v>45252</v>
      </c>
      <c r="L366">
        <v>29154.91</v>
      </c>
    </row>
    <row r="367" spans="1:12" x14ac:dyDescent="0.35">
      <c r="A367" s="1">
        <v>45257</v>
      </c>
      <c r="B367">
        <v>4354.41</v>
      </c>
      <c r="C367" s="1">
        <v>45254</v>
      </c>
      <c r="D367">
        <v>7292.8</v>
      </c>
      <c r="E367" s="1">
        <v>45252</v>
      </c>
      <c r="F367">
        <v>15957.82</v>
      </c>
      <c r="G367" s="1">
        <v>45252</v>
      </c>
      <c r="H367">
        <v>8568.0683200000003</v>
      </c>
      <c r="I367" s="1">
        <v>45254</v>
      </c>
      <c r="J367">
        <v>9939</v>
      </c>
      <c r="K367" s="1">
        <v>45251</v>
      </c>
      <c r="L367">
        <v>29153.42</v>
      </c>
    </row>
    <row r="368" spans="1:12" x14ac:dyDescent="0.35">
      <c r="A368" s="1">
        <v>45254</v>
      </c>
      <c r="B368">
        <v>4372.1000000000004</v>
      </c>
      <c r="C368" s="1">
        <v>45253</v>
      </c>
      <c r="D368">
        <v>7277.93</v>
      </c>
      <c r="E368" s="1">
        <v>45251</v>
      </c>
      <c r="F368">
        <v>15900.53</v>
      </c>
      <c r="G368" s="1">
        <v>45251</v>
      </c>
      <c r="H368">
        <v>8595.9645199999995</v>
      </c>
      <c r="I368" s="1">
        <v>45253</v>
      </c>
      <c r="J368">
        <v>9905.5</v>
      </c>
      <c r="K368" s="1">
        <v>45250</v>
      </c>
      <c r="L368">
        <v>29541.9</v>
      </c>
    </row>
    <row r="369" spans="1:12" x14ac:dyDescent="0.35">
      <c r="A369" s="1">
        <v>45253</v>
      </c>
      <c r="B369">
        <v>4361.32</v>
      </c>
      <c r="C369" s="1">
        <v>45252</v>
      </c>
      <c r="D369">
        <v>7260.73</v>
      </c>
      <c r="E369" s="1">
        <v>45250</v>
      </c>
      <c r="F369">
        <v>15901.33</v>
      </c>
      <c r="G369" s="1">
        <v>45250</v>
      </c>
      <c r="H369">
        <v>8567.5622899999998</v>
      </c>
      <c r="I369" s="1">
        <v>45252</v>
      </c>
      <c r="J369">
        <v>9887.4</v>
      </c>
      <c r="K369" s="1">
        <v>45247</v>
      </c>
      <c r="L369">
        <v>29498.43</v>
      </c>
    </row>
    <row r="370" spans="1:12" x14ac:dyDescent="0.35">
      <c r="A370" s="1">
        <v>45252</v>
      </c>
      <c r="B370">
        <v>4352.0200000000004</v>
      </c>
      <c r="C370" s="1">
        <v>45251</v>
      </c>
      <c r="D370">
        <v>7229.45</v>
      </c>
      <c r="E370" s="1">
        <v>45247</v>
      </c>
      <c r="F370">
        <v>15919.16</v>
      </c>
      <c r="G370" s="1">
        <v>45247</v>
      </c>
      <c r="H370">
        <v>8569.5916400000006</v>
      </c>
      <c r="I370" s="1">
        <v>45251</v>
      </c>
      <c r="J370">
        <v>9827.5</v>
      </c>
      <c r="K370" s="1">
        <v>45246</v>
      </c>
      <c r="L370">
        <v>29258.1</v>
      </c>
    </row>
    <row r="371" spans="1:12" x14ac:dyDescent="0.35">
      <c r="A371" s="1">
        <v>45251</v>
      </c>
      <c r="B371">
        <v>4331.8999999999996</v>
      </c>
      <c r="C371" s="1">
        <v>45250</v>
      </c>
      <c r="D371">
        <v>7246.93</v>
      </c>
      <c r="E371" s="1">
        <v>45246</v>
      </c>
      <c r="F371">
        <v>15786.61</v>
      </c>
      <c r="G371" s="1">
        <v>45246</v>
      </c>
      <c r="H371">
        <v>8478.9412799999991</v>
      </c>
      <c r="I371" s="1">
        <v>45250</v>
      </c>
      <c r="J371">
        <v>9839</v>
      </c>
      <c r="K371" s="1">
        <v>45245</v>
      </c>
      <c r="L371">
        <v>29466.93</v>
      </c>
    </row>
    <row r="372" spans="1:12" x14ac:dyDescent="0.35">
      <c r="A372" s="1">
        <v>45250</v>
      </c>
      <c r="B372">
        <v>4342.41</v>
      </c>
      <c r="C372" s="1">
        <v>45247</v>
      </c>
      <c r="D372">
        <v>7233.91</v>
      </c>
      <c r="E372" s="1">
        <v>45245</v>
      </c>
      <c r="F372">
        <v>15748.17</v>
      </c>
      <c r="G372" s="1">
        <v>45245</v>
      </c>
      <c r="H372">
        <v>8569.1803</v>
      </c>
      <c r="I372" s="1">
        <v>45247</v>
      </c>
      <c r="J372">
        <v>9761.4</v>
      </c>
      <c r="K372" s="1">
        <v>45244</v>
      </c>
      <c r="L372">
        <v>29344.43</v>
      </c>
    </row>
    <row r="373" spans="1:12" x14ac:dyDescent="0.35">
      <c r="A373" s="1">
        <v>45247</v>
      </c>
      <c r="B373">
        <v>4340.7700000000004</v>
      </c>
      <c r="C373" s="1">
        <v>45246</v>
      </c>
      <c r="D373">
        <v>7168.4</v>
      </c>
      <c r="E373" s="1">
        <v>45244</v>
      </c>
      <c r="F373">
        <v>15614.43</v>
      </c>
      <c r="G373" s="1">
        <v>45244</v>
      </c>
      <c r="H373">
        <v>8549.0473399999992</v>
      </c>
      <c r="I373" s="1">
        <v>45246</v>
      </c>
      <c r="J373">
        <v>9667.4</v>
      </c>
      <c r="K373" s="1">
        <v>45243</v>
      </c>
      <c r="L373">
        <v>28925.26</v>
      </c>
    </row>
    <row r="374" spans="1:12" x14ac:dyDescent="0.35">
      <c r="A374" s="1">
        <v>45246</v>
      </c>
      <c r="B374">
        <v>4302.45</v>
      </c>
      <c r="C374" s="1">
        <v>45245</v>
      </c>
      <c r="D374">
        <v>7209.61</v>
      </c>
      <c r="E374" s="1">
        <v>45243</v>
      </c>
      <c r="F374">
        <v>15345</v>
      </c>
      <c r="G374" s="1">
        <v>45243</v>
      </c>
      <c r="H374">
        <v>8517.2103999999999</v>
      </c>
      <c r="I374" s="1">
        <v>45245</v>
      </c>
      <c r="J374">
        <v>9640.7000000000007</v>
      </c>
      <c r="K374" s="1">
        <v>45240</v>
      </c>
      <c r="L374">
        <v>28504.43</v>
      </c>
    </row>
    <row r="375" spans="1:12" x14ac:dyDescent="0.35">
      <c r="A375" s="1">
        <v>45245</v>
      </c>
      <c r="B375">
        <v>4315.53</v>
      </c>
      <c r="C375" s="1">
        <v>45244</v>
      </c>
      <c r="D375">
        <v>7185.68</v>
      </c>
      <c r="E375" s="1">
        <v>45240</v>
      </c>
      <c r="F375">
        <v>15234.39</v>
      </c>
      <c r="G375" s="1">
        <v>45240</v>
      </c>
      <c r="H375">
        <v>8420.6235899999992</v>
      </c>
      <c r="I375" s="1">
        <v>45244</v>
      </c>
      <c r="J375">
        <v>9623.2999999999993</v>
      </c>
      <c r="K375" s="1">
        <v>45239</v>
      </c>
      <c r="L375">
        <v>28644.09</v>
      </c>
    </row>
    <row r="376" spans="1:12" x14ac:dyDescent="0.35">
      <c r="A376" s="1">
        <v>45244</v>
      </c>
      <c r="B376">
        <v>4291.72</v>
      </c>
      <c r="C376" s="1">
        <v>45243</v>
      </c>
      <c r="D376">
        <v>7087.06</v>
      </c>
      <c r="E376" s="1">
        <v>45239</v>
      </c>
      <c r="F376">
        <v>15352.54</v>
      </c>
      <c r="G376" s="1">
        <v>45239</v>
      </c>
      <c r="H376">
        <v>8543.5501100000001</v>
      </c>
      <c r="I376" s="1">
        <v>45243</v>
      </c>
      <c r="J376">
        <v>9461.7000000000007</v>
      </c>
      <c r="K376" s="1">
        <v>45238</v>
      </c>
      <c r="L376">
        <v>28433.33</v>
      </c>
    </row>
    <row r="377" spans="1:12" x14ac:dyDescent="0.35">
      <c r="A377" s="1">
        <v>45243</v>
      </c>
      <c r="B377">
        <v>4232.1899999999996</v>
      </c>
      <c r="C377" s="1">
        <v>45240</v>
      </c>
      <c r="D377">
        <v>7045.04</v>
      </c>
      <c r="E377" s="1">
        <v>45238</v>
      </c>
      <c r="F377">
        <v>15229.6</v>
      </c>
      <c r="G377" s="1">
        <v>45238</v>
      </c>
      <c r="H377">
        <v>8496.6326300000001</v>
      </c>
      <c r="I377" s="1">
        <v>45240</v>
      </c>
      <c r="J377">
        <v>9371.7000000000007</v>
      </c>
      <c r="K377" s="1">
        <v>45237</v>
      </c>
      <c r="L377">
        <v>28395.9</v>
      </c>
    </row>
    <row r="378" spans="1:12" x14ac:dyDescent="0.35">
      <c r="A378" s="1">
        <v>45240</v>
      </c>
      <c r="B378">
        <v>4197.3599999999997</v>
      </c>
      <c r="C378" s="1">
        <v>45239</v>
      </c>
      <c r="D378">
        <v>7113.66</v>
      </c>
      <c r="E378" s="1">
        <v>45237</v>
      </c>
      <c r="F378">
        <v>15152.64</v>
      </c>
      <c r="G378" s="1">
        <v>45237</v>
      </c>
      <c r="H378">
        <v>8517.0001799999991</v>
      </c>
      <c r="I378" s="1">
        <v>45239</v>
      </c>
      <c r="J378">
        <v>9405.2000000000007</v>
      </c>
      <c r="K378" s="1">
        <v>45236</v>
      </c>
      <c r="L378">
        <v>28592.6</v>
      </c>
    </row>
    <row r="379" spans="1:12" x14ac:dyDescent="0.35">
      <c r="A379" s="1">
        <v>45239</v>
      </c>
      <c r="B379">
        <v>4229.2</v>
      </c>
      <c r="C379" s="1">
        <v>45238</v>
      </c>
      <c r="D379">
        <v>7034.16</v>
      </c>
      <c r="E379" s="1">
        <v>45236</v>
      </c>
      <c r="F379">
        <v>15135.97</v>
      </c>
      <c r="G379" s="1">
        <v>45236</v>
      </c>
      <c r="H379">
        <v>8547.4207299999998</v>
      </c>
      <c r="I379" s="1">
        <v>45238</v>
      </c>
      <c r="J379">
        <v>9283.7999999999993</v>
      </c>
      <c r="K379" s="1">
        <v>45233</v>
      </c>
      <c r="L379">
        <v>28674.83</v>
      </c>
    </row>
    <row r="380" spans="1:12" x14ac:dyDescent="0.35">
      <c r="A380" s="1">
        <v>45238</v>
      </c>
      <c r="B380">
        <v>4178.49</v>
      </c>
      <c r="C380" s="1">
        <v>45237</v>
      </c>
      <c r="D380">
        <v>6986.23</v>
      </c>
      <c r="E380" s="1">
        <v>45233</v>
      </c>
      <c r="F380">
        <v>15189.25</v>
      </c>
      <c r="G380" s="1">
        <v>45233</v>
      </c>
      <c r="H380">
        <v>8555.5712299999996</v>
      </c>
      <c r="I380" s="1">
        <v>45237</v>
      </c>
      <c r="J380">
        <v>9235.9</v>
      </c>
      <c r="K380" s="1">
        <v>45232</v>
      </c>
      <c r="L380">
        <v>28479.39</v>
      </c>
    </row>
    <row r="381" spans="1:12" x14ac:dyDescent="0.35">
      <c r="A381" s="1">
        <v>45237</v>
      </c>
      <c r="B381">
        <v>4153.37</v>
      </c>
      <c r="C381" s="1">
        <v>45236</v>
      </c>
      <c r="D381">
        <v>7013.73</v>
      </c>
      <c r="E381" s="1">
        <v>45232</v>
      </c>
      <c r="F381">
        <v>15143.6</v>
      </c>
      <c r="G381" s="1">
        <v>45232</v>
      </c>
      <c r="H381">
        <v>8548.6556799999998</v>
      </c>
      <c r="I381" s="1">
        <v>45236</v>
      </c>
      <c r="J381">
        <v>9241.5</v>
      </c>
      <c r="K381" s="1">
        <v>45231</v>
      </c>
      <c r="L381">
        <v>27985.439999999999</v>
      </c>
    </row>
    <row r="382" spans="1:12" x14ac:dyDescent="0.35">
      <c r="A382" s="1">
        <v>45236</v>
      </c>
      <c r="B382">
        <v>4158.6400000000003</v>
      </c>
      <c r="C382" s="1">
        <v>45233</v>
      </c>
      <c r="D382">
        <v>7047.5</v>
      </c>
      <c r="E382" s="1">
        <v>45231</v>
      </c>
      <c r="F382">
        <v>14923.27</v>
      </c>
      <c r="G382" s="1">
        <v>45231</v>
      </c>
      <c r="H382">
        <v>8443.6202599999997</v>
      </c>
      <c r="I382" s="1">
        <v>45233</v>
      </c>
      <c r="J382">
        <v>9293.9</v>
      </c>
      <c r="K382" s="1">
        <v>45230</v>
      </c>
      <c r="L382">
        <v>27741.91</v>
      </c>
    </row>
    <row r="383" spans="1:12" x14ac:dyDescent="0.35">
      <c r="A383" s="1">
        <v>45233</v>
      </c>
      <c r="B383">
        <v>4174.67</v>
      </c>
      <c r="C383" s="1">
        <v>45232</v>
      </c>
      <c r="D383">
        <v>7060.69</v>
      </c>
      <c r="E383" s="1">
        <v>45230</v>
      </c>
      <c r="F383">
        <v>14810.34</v>
      </c>
      <c r="G383" s="1">
        <v>45230</v>
      </c>
      <c r="H383">
        <v>8410.8042100000002</v>
      </c>
      <c r="I383" s="1">
        <v>45232</v>
      </c>
      <c r="J383">
        <v>9260.4</v>
      </c>
      <c r="K383" s="1">
        <v>45229</v>
      </c>
      <c r="L383">
        <v>27339.91</v>
      </c>
    </row>
    <row r="384" spans="1:12" x14ac:dyDescent="0.35">
      <c r="A384" s="1">
        <v>45232</v>
      </c>
      <c r="B384">
        <v>4169.62</v>
      </c>
      <c r="C384" s="1">
        <v>45231</v>
      </c>
      <c r="D384">
        <v>6932.63</v>
      </c>
      <c r="E384" s="1">
        <v>45229</v>
      </c>
      <c r="F384">
        <v>14716.54</v>
      </c>
      <c r="G384" s="1">
        <v>45229</v>
      </c>
      <c r="H384">
        <v>8393.5939500000004</v>
      </c>
      <c r="I384" s="1">
        <v>45231</v>
      </c>
      <c r="J384">
        <v>9075</v>
      </c>
      <c r="K384" s="1">
        <v>45226</v>
      </c>
      <c r="L384">
        <v>27287.45</v>
      </c>
    </row>
    <row r="385" spans="1:12" x14ac:dyDescent="0.35">
      <c r="A385" s="1">
        <v>45231</v>
      </c>
      <c r="B385">
        <v>4091.71</v>
      </c>
      <c r="C385" s="1">
        <v>45230</v>
      </c>
      <c r="D385">
        <v>6885.65</v>
      </c>
      <c r="E385" s="1">
        <v>45226</v>
      </c>
      <c r="F385">
        <v>14687.41</v>
      </c>
      <c r="G385" s="1">
        <v>45226</v>
      </c>
      <c r="H385">
        <v>8358.4814299999998</v>
      </c>
      <c r="I385" s="1">
        <v>45230</v>
      </c>
      <c r="J385">
        <v>9017.2999999999993</v>
      </c>
      <c r="K385" s="1">
        <v>45225</v>
      </c>
      <c r="L385">
        <v>27507.9</v>
      </c>
    </row>
    <row r="386" spans="1:12" x14ac:dyDescent="0.35">
      <c r="A386" s="1">
        <v>45230</v>
      </c>
      <c r="B386">
        <v>4061.12</v>
      </c>
      <c r="C386" s="1">
        <v>45229</v>
      </c>
      <c r="D386">
        <v>6825.07</v>
      </c>
      <c r="E386" s="1">
        <v>45225</v>
      </c>
      <c r="F386">
        <v>14731.05</v>
      </c>
      <c r="G386" s="1">
        <v>45225</v>
      </c>
      <c r="H386">
        <v>8455.4154999999992</v>
      </c>
      <c r="I386" s="1">
        <v>45229</v>
      </c>
      <c r="J386">
        <v>9013.9</v>
      </c>
      <c r="K386" s="1">
        <v>45224</v>
      </c>
      <c r="L386">
        <v>27428.6</v>
      </c>
    </row>
    <row r="387" spans="1:12" x14ac:dyDescent="0.35">
      <c r="A387" s="1">
        <v>45229</v>
      </c>
      <c r="B387">
        <v>4028.32</v>
      </c>
      <c r="C387" s="1">
        <v>45226</v>
      </c>
      <c r="D387">
        <v>6795.38</v>
      </c>
      <c r="E387" s="1">
        <v>45224</v>
      </c>
      <c r="F387">
        <v>14892.18</v>
      </c>
      <c r="G387" s="1">
        <v>45224</v>
      </c>
      <c r="H387">
        <v>8502.4776500000007</v>
      </c>
      <c r="I387" s="1">
        <v>45226</v>
      </c>
      <c r="J387">
        <v>8918.2999999999993</v>
      </c>
      <c r="K387" s="1">
        <v>45223</v>
      </c>
      <c r="L387">
        <v>27572.74</v>
      </c>
    </row>
    <row r="388" spans="1:12" x14ac:dyDescent="0.35">
      <c r="A388" s="1">
        <v>45226</v>
      </c>
      <c r="B388">
        <v>4014.36</v>
      </c>
      <c r="C388" s="1">
        <v>45225</v>
      </c>
      <c r="D388">
        <v>6888.96</v>
      </c>
      <c r="E388" s="1">
        <v>45223</v>
      </c>
      <c r="F388">
        <v>14879.94</v>
      </c>
      <c r="G388" s="1">
        <v>45223</v>
      </c>
      <c r="H388">
        <v>8486.9521399999994</v>
      </c>
      <c r="I388" s="1">
        <v>45225</v>
      </c>
      <c r="J388">
        <v>8962.7999999999993</v>
      </c>
      <c r="K388" s="1">
        <v>45222</v>
      </c>
      <c r="L388">
        <v>27558.78</v>
      </c>
    </row>
    <row r="389" spans="1:12" x14ac:dyDescent="0.35">
      <c r="A389" s="1">
        <v>45225</v>
      </c>
      <c r="B389">
        <v>4049.4</v>
      </c>
      <c r="C389" s="1">
        <v>45224</v>
      </c>
      <c r="D389">
        <v>6915.07</v>
      </c>
      <c r="E389" s="1">
        <v>45222</v>
      </c>
      <c r="F389">
        <v>14800.72</v>
      </c>
      <c r="G389" s="1">
        <v>45222</v>
      </c>
      <c r="H389">
        <v>8459.7909299999992</v>
      </c>
      <c r="I389" s="1">
        <v>45224</v>
      </c>
      <c r="J389">
        <v>8984.7999999999993</v>
      </c>
      <c r="K389" s="1">
        <v>45219</v>
      </c>
      <c r="L389">
        <v>27357</v>
      </c>
    </row>
    <row r="390" spans="1:12" x14ac:dyDescent="0.35">
      <c r="A390" s="1">
        <v>45224</v>
      </c>
      <c r="B390">
        <v>4073.35</v>
      </c>
      <c r="C390" s="1">
        <v>45223</v>
      </c>
      <c r="D390">
        <v>6893.65</v>
      </c>
      <c r="E390" s="1">
        <v>45219</v>
      </c>
      <c r="F390">
        <v>14798.47</v>
      </c>
      <c r="G390" s="1">
        <v>45219</v>
      </c>
      <c r="H390">
        <v>8495.3361199999999</v>
      </c>
      <c r="I390" s="1">
        <v>45223</v>
      </c>
      <c r="J390">
        <v>8975.7999999999993</v>
      </c>
      <c r="K390" s="1">
        <v>45218</v>
      </c>
      <c r="L390">
        <v>27746.82</v>
      </c>
    </row>
    <row r="391" spans="1:12" x14ac:dyDescent="0.35">
      <c r="A391" s="1">
        <v>45223</v>
      </c>
      <c r="B391">
        <v>4065.37</v>
      </c>
      <c r="C391" s="1">
        <v>45222</v>
      </c>
      <c r="D391">
        <v>6850.47</v>
      </c>
      <c r="E391" s="1">
        <v>45218</v>
      </c>
      <c r="F391">
        <v>15045.23</v>
      </c>
      <c r="G391" s="1">
        <v>45218</v>
      </c>
      <c r="H391">
        <v>8615.5778300000002</v>
      </c>
      <c r="I391" s="1">
        <v>45222</v>
      </c>
      <c r="J391">
        <v>8995.5</v>
      </c>
      <c r="K391" s="1">
        <v>45217</v>
      </c>
      <c r="L391">
        <v>28135.79</v>
      </c>
    </row>
    <row r="392" spans="1:12" x14ac:dyDescent="0.35">
      <c r="A392" s="1">
        <v>45222</v>
      </c>
      <c r="B392">
        <v>4041.75</v>
      </c>
      <c r="C392" s="1">
        <v>45219</v>
      </c>
      <c r="D392">
        <v>6816.22</v>
      </c>
      <c r="E392" s="1">
        <v>45217</v>
      </c>
      <c r="F392">
        <v>15094.91</v>
      </c>
      <c r="G392" s="1">
        <v>45217</v>
      </c>
      <c r="H392">
        <v>8751.7285800000009</v>
      </c>
      <c r="I392" s="1">
        <v>45219</v>
      </c>
      <c r="J392">
        <v>9029.1</v>
      </c>
      <c r="K392" s="1">
        <v>45216</v>
      </c>
      <c r="L392">
        <v>28367.360000000001</v>
      </c>
    </row>
    <row r="393" spans="1:12" x14ac:dyDescent="0.35">
      <c r="A393" s="1">
        <v>45219</v>
      </c>
      <c r="B393">
        <v>4024.68</v>
      </c>
      <c r="C393" s="1">
        <v>45218</v>
      </c>
      <c r="D393">
        <v>6921.37</v>
      </c>
      <c r="E393" s="1">
        <v>45216</v>
      </c>
      <c r="F393">
        <v>15251.69</v>
      </c>
      <c r="G393" s="1">
        <v>45216</v>
      </c>
      <c r="H393">
        <v>8844.6276300000009</v>
      </c>
      <c r="I393" s="1">
        <v>45218</v>
      </c>
      <c r="J393">
        <v>9146.7999999999993</v>
      </c>
      <c r="K393" s="1">
        <v>45215</v>
      </c>
      <c r="L393">
        <v>28391.599999999999</v>
      </c>
    </row>
    <row r="394" spans="1:12" x14ac:dyDescent="0.35">
      <c r="A394" s="1">
        <v>45218</v>
      </c>
      <c r="B394">
        <v>4090.33</v>
      </c>
      <c r="C394" s="1">
        <v>45217</v>
      </c>
      <c r="D394">
        <v>6965.99</v>
      </c>
      <c r="E394" s="1">
        <v>45215</v>
      </c>
      <c r="F394">
        <v>15237.99</v>
      </c>
      <c r="G394" s="1">
        <v>45215</v>
      </c>
      <c r="H394">
        <v>8826.5559900000007</v>
      </c>
      <c r="I394" s="1">
        <v>45217</v>
      </c>
      <c r="J394">
        <v>9212.7000000000007</v>
      </c>
      <c r="K394" s="1">
        <v>45212</v>
      </c>
      <c r="L394">
        <v>28237.02</v>
      </c>
    </row>
    <row r="395" spans="1:12" x14ac:dyDescent="0.35">
      <c r="A395" s="1">
        <v>45217</v>
      </c>
      <c r="B395">
        <v>4105.8599999999997</v>
      </c>
      <c r="C395" s="1">
        <v>45216</v>
      </c>
      <c r="D395">
        <v>7029.7</v>
      </c>
      <c r="E395" s="1">
        <v>45212</v>
      </c>
      <c r="F395">
        <v>15186.66</v>
      </c>
      <c r="G395" s="1">
        <v>45212</v>
      </c>
      <c r="H395">
        <v>8776.8907799999997</v>
      </c>
      <c r="I395" s="1">
        <v>45216</v>
      </c>
      <c r="J395">
        <v>9298.5</v>
      </c>
      <c r="K395" s="1">
        <v>45211</v>
      </c>
      <c r="L395">
        <v>28493.35</v>
      </c>
    </row>
    <row r="396" spans="1:12" x14ac:dyDescent="0.35">
      <c r="A396" s="1">
        <v>45216</v>
      </c>
      <c r="B396">
        <v>4152.32</v>
      </c>
      <c r="C396" s="1">
        <v>45215</v>
      </c>
      <c r="D396">
        <v>7022.19</v>
      </c>
      <c r="E396" s="1">
        <v>45211</v>
      </c>
      <c r="F396">
        <v>15425.03</v>
      </c>
      <c r="G396" s="1">
        <v>45211</v>
      </c>
      <c r="H396">
        <v>8841.9718200000007</v>
      </c>
      <c r="I396" s="1">
        <v>45215</v>
      </c>
      <c r="J396">
        <v>9287.1</v>
      </c>
      <c r="K396" s="1">
        <v>45210</v>
      </c>
      <c r="L396">
        <v>28419.06</v>
      </c>
    </row>
    <row r="397" spans="1:12" x14ac:dyDescent="0.35">
      <c r="A397" s="1">
        <v>45215</v>
      </c>
      <c r="B397">
        <v>4149.8599999999997</v>
      </c>
      <c r="C397" s="1">
        <v>45212</v>
      </c>
      <c r="D397">
        <v>7003.53</v>
      </c>
      <c r="E397" s="1">
        <v>45210</v>
      </c>
      <c r="F397">
        <v>15460.01</v>
      </c>
      <c r="G397" s="1">
        <v>45210</v>
      </c>
      <c r="H397">
        <v>8834.1198199999999</v>
      </c>
      <c r="I397" s="1">
        <v>45212</v>
      </c>
      <c r="J397">
        <v>9232.9</v>
      </c>
      <c r="K397" s="1">
        <v>45209</v>
      </c>
      <c r="L397">
        <v>28318.22</v>
      </c>
    </row>
    <row r="398" spans="1:12" x14ac:dyDescent="0.35">
      <c r="A398" s="1">
        <v>45212</v>
      </c>
      <c r="B398">
        <v>4136.12</v>
      </c>
      <c r="C398" s="1">
        <v>45211</v>
      </c>
      <c r="D398">
        <v>7104.53</v>
      </c>
      <c r="E398" s="1">
        <v>45209</v>
      </c>
      <c r="F398">
        <v>15423.52</v>
      </c>
      <c r="G398" s="1">
        <v>45209</v>
      </c>
      <c r="H398">
        <v>8830.9625199999991</v>
      </c>
      <c r="I398" s="1">
        <v>45211</v>
      </c>
      <c r="J398">
        <v>9336</v>
      </c>
      <c r="K398" s="1">
        <v>45208</v>
      </c>
      <c r="L398">
        <v>27682.06</v>
      </c>
    </row>
    <row r="399" spans="1:12" x14ac:dyDescent="0.35">
      <c r="A399" s="1">
        <v>45211</v>
      </c>
      <c r="B399">
        <v>4198.2299999999996</v>
      </c>
      <c r="C399" s="1">
        <v>45210</v>
      </c>
      <c r="D399">
        <v>7131.21</v>
      </c>
      <c r="E399" s="1">
        <v>45208</v>
      </c>
      <c r="F399">
        <v>15128.11</v>
      </c>
      <c r="G399" s="1">
        <v>45208</v>
      </c>
      <c r="H399">
        <v>8674.0677300000007</v>
      </c>
      <c r="I399" s="1">
        <v>45210</v>
      </c>
      <c r="J399">
        <v>9360.4</v>
      </c>
      <c r="K399" s="1">
        <v>45205</v>
      </c>
      <c r="L399">
        <v>27810.61</v>
      </c>
    </row>
    <row r="400" spans="1:12" x14ac:dyDescent="0.35">
      <c r="A400" s="1">
        <v>45210</v>
      </c>
      <c r="B400">
        <v>4200.8</v>
      </c>
      <c r="C400" s="1">
        <v>45209</v>
      </c>
      <c r="D400">
        <v>7162.43</v>
      </c>
      <c r="E400" s="1">
        <v>45205</v>
      </c>
      <c r="F400">
        <v>15229.77</v>
      </c>
      <c r="G400" s="1">
        <v>45205</v>
      </c>
      <c r="H400">
        <v>8667.0471400000006</v>
      </c>
      <c r="I400" s="1">
        <v>45209</v>
      </c>
      <c r="J400">
        <v>9352.1</v>
      </c>
      <c r="K400" s="1">
        <v>45204</v>
      </c>
      <c r="L400">
        <v>27490.81</v>
      </c>
    </row>
    <row r="401" spans="1:12" x14ac:dyDescent="0.35">
      <c r="A401" s="1">
        <v>45209</v>
      </c>
      <c r="B401">
        <v>4205.2299999999996</v>
      </c>
      <c r="C401" s="1">
        <v>45208</v>
      </c>
      <c r="D401">
        <v>7021.4</v>
      </c>
      <c r="E401" s="1">
        <v>45204</v>
      </c>
      <c r="F401">
        <v>15070.22</v>
      </c>
      <c r="G401" s="1">
        <v>45204</v>
      </c>
      <c r="H401">
        <v>8614.2518199999995</v>
      </c>
      <c r="I401" s="1">
        <v>45208</v>
      </c>
      <c r="J401">
        <v>9151.2999999999993</v>
      </c>
      <c r="K401" s="1">
        <v>45203</v>
      </c>
      <c r="L401">
        <v>27435.59</v>
      </c>
    </row>
    <row r="402" spans="1:12" x14ac:dyDescent="0.35">
      <c r="A402" s="1">
        <v>45208</v>
      </c>
      <c r="B402">
        <v>4112.57</v>
      </c>
      <c r="C402" s="1">
        <v>45205</v>
      </c>
      <c r="D402">
        <v>7060.15</v>
      </c>
      <c r="E402" s="1">
        <v>45203</v>
      </c>
      <c r="F402">
        <v>15099.92</v>
      </c>
      <c r="G402" s="1">
        <v>45203</v>
      </c>
      <c r="H402">
        <v>8568.8824600000007</v>
      </c>
      <c r="I402" s="1">
        <v>45205</v>
      </c>
      <c r="J402">
        <v>9235.7999999999993</v>
      </c>
      <c r="K402" s="1">
        <v>45202</v>
      </c>
      <c r="L402">
        <v>27482.21</v>
      </c>
    </row>
    <row r="403" spans="1:12" x14ac:dyDescent="0.35">
      <c r="A403" s="1">
        <v>45205</v>
      </c>
      <c r="B403">
        <v>4144.43</v>
      </c>
      <c r="C403" s="1">
        <v>45204</v>
      </c>
      <c r="D403">
        <v>6998.25</v>
      </c>
      <c r="E403" s="1">
        <v>45202</v>
      </c>
      <c r="F403">
        <v>15085.21</v>
      </c>
      <c r="G403" s="1">
        <v>45202</v>
      </c>
      <c r="H403">
        <v>8621.8870200000001</v>
      </c>
      <c r="I403" s="1">
        <v>45204</v>
      </c>
      <c r="J403">
        <v>9157.7000000000007</v>
      </c>
      <c r="K403" s="1">
        <v>45201</v>
      </c>
      <c r="L403">
        <v>27849.65</v>
      </c>
    </row>
    <row r="404" spans="1:12" x14ac:dyDescent="0.35">
      <c r="A404" s="1">
        <v>45204</v>
      </c>
      <c r="B404">
        <v>4099.8100000000004</v>
      </c>
      <c r="C404" s="1">
        <v>45203</v>
      </c>
      <c r="D404">
        <v>6996.73</v>
      </c>
      <c r="E404" s="1">
        <v>45201</v>
      </c>
      <c r="F404">
        <v>15247.21</v>
      </c>
      <c r="G404" s="1">
        <v>45201</v>
      </c>
      <c r="H404">
        <v>8670.0159899999999</v>
      </c>
      <c r="I404" s="1">
        <v>45203</v>
      </c>
      <c r="J404">
        <v>9102.9</v>
      </c>
      <c r="K404" s="1">
        <v>45198</v>
      </c>
      <c r="L404">
        <v>28243.26</v>
      </c>
    </row>
    <row r="405" spans="1:12" x14ac:dyDescent="0.35">
      <c r="A405" s="1">
        <v>45203</v>
      </c>
      <c r="B405">
        <v>4099.8500000000004</v>
      </c>
      <c r="C405" s="1">
        <v>45202</v>
      </c>
      <c r="D405">
        <v>6997.05</v>
      </c>
      <c r="E405" s="1">
        <v>45198</v>
      </c>
      <c r="F405">
        <v>15386.58</v>
      </c>
      <c r="G405" s="1">
        <v>45198</v>
      </c>
      <c r="H405">
        <v>8778.9964500000006</v>
      </c>
      <c r="I405" s="1">
        <v>45202</v>
      </c>
      <c r="J405">
        <v>9165.5</v>
      </c>
      <c r="K405" s="1">
        <v>45197</v>
      </c>
      <c r="L405">
        <v>28163.03</v>
      </c>
    </row>
    <row r="406" spans="1:12" x14ac:dyDescent="0.35">
      <c r="A406" s="1">
        <v>45202</v>
      </c>
      <c r="B406">
        <v>4095.59</v>
      </c>
      <c r="C406" s="1">
        <v>45201</v>
      </c>
      <c r="D406">
        <v>7068.16</v>
      </c>
      <c r="E406" s="1">
        <v>45197</v>
      </c>
      <c r="F406">
        <v>15323.5</v>
      </c>
      <c r="G406" s="1">
        <v>45197</v>
      </c>
      <c r="H406">
        <v>8784.1039999999994</v>
      </c>
      <c r="I406" s="1">
        <v>45201</v>
      </c>
      <c r="J406">
        <v>9319</v>
      </c>
      <c r="K406" s="1">
        <v>45196</v>
      </c>
      <c r="L406">
        <v>28012.3</v>
      </c>
    </row>
    <row r="407" spans="1:12" x14ac:dyDescent="0.35">
      <c r="A407" s="1">
        <v>45201</v>
      </c>
      <c r="B407">
        <v>4137.63</v>
      </c>
      <c r="C407" s="1">
        <v>45198</v>
      </c>
      <c r="D407">
        <v>7135.06</v>
      </c>
      <c r="E407" s="1">
        <v>45196</v>
      </c>
      <c r="F407">
        <v>15217.45</v>
      </c>
      <c r="G407" s="1">
        <v>45196</v>
      </c>
      <c r="H407">
        <v>8765.8566599999995</v>
      </c>
      <c r="I407" s="1">
        <v>45198</v>
      </c>
      <c r="J407">
        <v>9428</v>
      </c>
      <c r="K407" s="1">
        <v>45195</v>
      </c>
      <c r="L407">
        <v>28098.880000000001</v>
      </c>
    </row>
    <row r="408" spans="1:12" x14ac:dyDescent="0.35">
      <c r="A408" s="1">
        <v>45198</v>
      </c>
      <c r="B408">
        <v>4174.66</v>
      </c>
      <c r="C408" s="1">
        <v>45197</v>
      </c>
      <c r="D408">
        <v>7116.24</v>
      </c>
      <c r="E408" s="1">
        <v>45195</v>
      </c>
      <c r="F408">
        <v>15255.87</v>
      </c>
      <c r="G408" s="1">
        <v>45195</v>
      </c>
      <c r="H408">
        <v>8781.5912700000008</v>
      </c>
      <c r="I408" s="1">
        <v>45197</v>
      </c>
      <c r="J408">
        <v>9426.7999999999993</v>
      </c>
      <c r="K408" s="1">
        <v>45194</v>
      </c>
      <c r="L408">
        <v>28382.19</v>
      </c>
    </row>
    <row r="409" spans="1:12" x14ac:dyDescent="0.35">
      <c r="A409" s="1">
        <v>45197</v>
      </c>
      <c r="B409">
        <v>4161.5600000000004</v>
      </c>
      <c r="C409" s="1">
        <v>45196</v>
      </c>
      <c r="D409">
        <v>7071.79</v>
      </c>
      <c r="E409" s="1">
        <v>45194</v>
      </c>
      <c r="F409">
        <v>15405.49</v>
      </c>
      <c r="G409" s="1">
        <v>45194</v>
      </c>
      <c r="H409">
        <v>8792.5362100000002</v>
      </c>
      <c r="I409" s="1">
        <v>45196</v>
      </c>
      <c r="J409">
        <v>9331.9</v>
      </c>
      <c r="K409" s="1">
        <v>45191</v>
      </c>
      <c r="L409">
        <v>28575.9</v>
      </c>
    </row>
    <row r="410" spans="1:12" x14ac:dyDescent="0.35">
      <c r="A410" s="1">
        <v>45196</v>
      </c>
      <c r="B410">
        <v>4131.68</v>
      </c>
      <c r="C410" s="1">
        <v>45195</v>
      </c>
      <c r="D410">
        <v>7074.02</v>
      </c>
      <c r="E410" s="1">
        <v>45191</v>
      </c>
      <c r="F410">
        <v>15557.29</v>
      </c>
      <c r="G410" s="1">
        <v>45191</v>
      </c>
      <c r="H410">
        <v>8834.7658900000006</v>
      </c>
      <c r="I410" s="1">
        <v>45195</v>
      </c>
      <c r="J410">
        <v>9366.9</v>
      </c>
      <c r="K410" s="1">
        <v>45190</v>
      </c>
      <c r="L410">
        <v>28708.55</v>
      </c>
    </row>
    <row r="411" spans="1:12" x14ac:dyDescent="0.35">
      <c r="A411" s="1">
        <v>45195</v>
      </c>
      <c r="B411">
        <v>4129.18</v>
      </c>
      <c r="C411" s="1">
        <v>45194</v>
      </c>
      <c r="D411">
        <v>7123.88</v>
      </c>
      <c r="E411" s="1">
        <v>45190</v>
      </c>
      <c r="F411">
        <v>15571.86</v>
      </c>
      <c r="G411" s="1">
        <v>45190</v>
      </c>
      <c r="H411">
        <v>8861.1101899999994</v>
      </c>
      <c r="I411" s="1">
        <v>45194</v>
      </c>
      <c r="J411">
        <v>9386</v>
      </c>
      <c r="K411" s="1">
        <v>45189</v>
      </c>
      <c r="L411">
        <v>29229.3</v>
      </c>
    </row>
    <row r="412" spans="1:12" x14ac:dyDescent="0.35">
      <c r="A412" s="1">
        <v>45194</v>
      </c>
      <c r="B412">
        <v>4167.37</v>
      </c>
      <c r="C412" s="1">
        <v>45191</v>
      </c>
      <c r="D412">
        <v>7184.82</v>
      </c>
      <c r="E412" s="1">
        <v>45189</v>
      </c>
      <c r="F412">
        <v>15781.59</v>
      </c>
      <c r="G412" s="1">
        <v>45189</v>
      </c>
      <c r="H412">
        <v>8943.0738799999999</v>
      </c>
      <c r="I412" s="1">
        <v>45191</v>
      </c>
      <c r="J412">
        <v>9502</v>
      </c>
      <c r="K412" s="1">
        <v>45188</v>
      </c>
      <c r="L412">
        <v>28757.63</v>
      </c>
    </row>
    <row r="413" spans="1:12" x14ac:dyDescent="0.35">
      <c r="A413" s="1">
        <v>45191</v>
      </c>
      <c r="B413">
        <v>4207.16</v>
      </c>
      <c r="C413" s="1">
        <v>45190</v>
      </c>
      <c r="D413">
        <v>7213.9</v>
      </c>
      <c r="E413" s="1">
        <v>45188</v>
      </c>
      <c r="F413">
        <v>15664.48</v>
      </c>
      <c r="G413" s="1">
        <v>45188</v>
      </c>
      <c r="H413">
        <v>8880.3834700000007</v>
      </c>
      <c r="I413" s="1">
        <v>45190</v>
      </c>
      <c r="J413">
        <v>9548.9</v>
      </c>
      <c r="K413" s="1">
        <v>45187</v>
      </c>
      <c r="L413">
        <v>28585.86</v>
      </c>
    </row>
    <row r="414" spans="1:12" x14ac:dyDescent="0.35">
      <c r="A414" s="1">
        <v>45190</v>
      </c>
      <c r="B414">
        <v>4212.59</v>
      </c>
      <c r="C414" s="1">
        <v>45189</v>
      </c>
      <c r="D414">
        <v>7330.79</v>
      </c>
      <c r="E414" s="1">
        <v>45187</v>
      </c>
      <c r="F414">
        <v>15727.12</v>
      </c>
      <c r="G414" s="1">
        <v>45187</v>
      </c>
      <c r="H414">
        <v>8871.8847100000003</v>
      </c>
      <c r="I414" s="1">
        <v>45189</v>
      </c>
      <c r="J414">
        <v>9645.7999999999993</v>
      </c>
      <c r="K414" s="1">
        <v>45184</v>
      </c>
      <c r="L414">
        <v>28895.39</v>
      </c>
    </row>
    <row r="415" spans="1:12" x14ac:dyDescent="0.35">
      <c r="A415" s="1">
        <v>45189</v>
      </c>
      <c r="B415">
        <v>4275.9799999999996</v>
      </c>
      <c r="C415" s="1">
        <v>45188</v>
      </c>
      <c r="D415">
        <v>7282.12</v>
      </c>
      <c r="E415" s="1">
        <v>45184</v>
      </c>
      <c r="F415">
        <v>15893.53</v>
      </c>
      <c r="G415" s="1">
        <v>45184</v>
      </c>
      <c r="H415">
        <v>8959.9992500000008</v>
      </c>
      <c r="I415" s="1">
        <v>45188</v>
      </c>
      <c r="J415">
        <v>9527.2000000000007</v>
      </c>
      <c r="K415" s="1">
        <v>45183</v>
      </c>
      <c r="L415">
        <v>28872.73</v>
      </c>
    </row>
    <row r="416" spans="1:12" x14ac:dyDescent="0.35">
      <c r="A416" s="1">
        <v>45188</v>
      </c>
      <c r="B416">
        <v>4242.7</v>
      </c>
      <c r="C416" s="1">
        <v>45187</v>
      </c>
      <c r="D416">
        <v>7276.14</v>
      </c>
      <c r="E416" s="1">
        <v>45183</v>
      </c>
      <c r="F416">
        <v>15805.29</v>
      </c>
      <c r="G416" s="1">
        <v>45183</v>
      </c>
      <c r="H416">
        <v>8944.8413099999998</v>
      </c>
      <c r="I416" s="1">
        <v>45187</v>
      </c>
      <c r="J416">
        <v>9482.1</v>
      </c>
      <c r="K416" s="1">
        <v>45182</v>
      </c>
      <c r="L416">
        <v>28481.77</v>
      </c>
    </row>
    <row r="417" spans="1:12" x14ac:dyDescent="0.35">
      <c r="A417" s="1">
        <v>45187</v>
      </c>
      <c r="B417">
        <v>4245.88</v>
      </c>
      <c r="C417" s="1">
        <v>45184</v>
      </c>
      <c r="D417">
        <v>7378.82</v>
      </c>
      <c r="E417" s="1">
        <v>45182</v>
      </c>
      <c r="F417">
        <v>15654.03</v>
      </c>
      <c r="G417" s="1">
        <v>45182</v>
      </c>
      <c r="H417">
        <v>8754.9804499999991</v>
      </c>
      <c r="I417" s="1">
        <v>45184</v>
      </c>
      <c r="J417">
        <v>9549.7000000000007</v>
      </c>
      <c r="K417" s="1">
        <v>45181</v>
      </c>
      <c r="L417">
        <v>28584.58</v>
      </c>
    </row>
    <row r="418" spans="1:12" x14ac:dyDescent="0.35">
      <c r="A418" s="1">
        <v>45184</v>
      </c>
      <c r="B418">
        <v>4295.05</v>
      </c>
      <c r="C418" s="1">
        <v>45183</v>
      </c>
      <c r="D418">
        <v>7308.67</v>
      </c>
      <c r="E418" s="1">
        <v>45181</v>
      </c>
      <c r="F418">
        <v>15715.53</v>
      </c>
      <c r="G418" s="1">
        <v>45181</v>
      </c>
      <c r="H418">
        <v>8759.5373799999998</v>
      </c>
      <c r="I418" s="1">
        <v>45183</v>
      </c>
      <c r="J418">
        <v>9549</v>
      </c>
      <c r="K418" s="1">
        <v>45180</v>
      </c>
      <c r="L418">
        <v>28525.1</v>
      </c>
    </row>
    <row r="419" spans="1:12" x14ac:dyDescent="0.35">
      <c r="A419" s="1">
        <v>45183</v>
      </c>
      <c r="B419">
        <v>4279.75</v>
      </c>
      <c r="C419" s="1">
        <v>45182</v>
      </c>
      <c r="D419">
        <v>7222.57</v>
      </c>
      <c r="E419" s="1">
        <v>45180</v>
      </c>
      <c r="F419">
        <v>15800.99</v>
      </c>
      <c r="G419" s="1">
        <v>45180</v>
      </c>
      <c r="H419">
        <v>8731.8208699999996</v>
      </c>
      <c r="I419" s="1">
        <v>45182</v>
      </c>
      <c r="J419">
        <v>9424.1</v>
      </c>
      <c r="K419" s="1">
        <v>45177</v>
      </c>
      <c r="L419">
        <v>28233.200000000001</v>
      </c>
    </row>
    <row r="420" spans="1:12" x14ac:dyDescent="0.35">
      <c r="A420" s="1">
        <v>45182</v>
      </c>
      <c r="B420">
        <v>4223.4799999999996</v>
      </c>
      <c r="C420" s="1">
        <v>45181</v>
      </c>
      <c r="D420">
        <v>7252.88</v>
      </c>
      <c r="E420" s="1">
        <v>45177</v>
      </c>
      <c r="F420">
        <v>15744.75</v>
      </c>
      <c r="G420" s="1">
        <v>45177</v>
      </c>
      <c r="H420">
        <v>8705.57719</v>
      </c>
      <c r="I420" s="1">
        <v>45181</v>
      </c>
      <c r="J420">
        <v>9455.4</v>
      </c>
      <c r="K420" s="1">
        <v>45176</v>
      </c>
      <c r="L420">
        <v>28155.58</v>
      </c>
    </row>
    <row r="421" spans="1:12" x14ac:dyDescent="0.35">
      <c r="A421" s="1">
        <v>45181</v>
      </c>
      <c r="B421">
        <v>4242.2700000000004</v>
      </c>
      <c r="C421" s="1">
        <v>45180</v>
      </c>
      <c r="D421">
        <v>7278.27</v>
      </c>
      <c r="E421" s="1">
        <v>45176</v>
      </c>
      <c r="F421">
        <v>15718.66</v>
      </c>
      <c r="G421" s="1">
        <v>45176</v>
      </c>
      <c r="H421">
        <v>8672.9686999999994</v>
      </c>
      <c r="I421" s="1">
        <v>45180</v>
      </c>
      <c r="J421">
        <v>9435.2000000000007</v>
      </c>
      <c r="K421" s="1">
        <v>45175</v>
      </c>
      <c r="L421">
        <v>28211.46</v>
      </c>
    </row>
    <row r="422" spans="1:12" x14ac:dyDescent="0.35">
      <c r="A422" s="1">
        <v>45180</v>
      </c>
      <c r="B422">
        <v>4254.33</v>
      </c>
      <c r="C422" s="1">
        <v>45177</v>
      </c>
      <c r="D422">
        <v>7240.77</v>
      </c>
      <c r="E422" s="1">
        <v>45175</v>
      </c>
      <c r="F422">
        <v>15741.37</v>
      </c>
      <c r="G422" s="1">
        <v>45175</v>
      </c>
      <c r="H422">
        <v>8659.7894099999994</v>
      </c>
      <c r="I422" s="1">
        <v>45177</v>
      </c>
      <c r="J422">
        <v>9364.6</v>
      </c>
      <c r="K422" s="1">
        <v>45174</v>
      </c>
      <c r="L422">
        <v>28652.18</v>
      </c>
    </row>
    <row r="423" spans="1:12" x14ac:dyDescent="0.35">
      <c r="A423" s="1">
        <v>45177</v>
      </c>
      <c r="B423">
        <v>4237.1899999999996</v>
      </c>
      <c r="C423" s="1">
        <v>45176</v>
      </c>
      <c r="D423">
        <v>7196.1</v>
      </c>
      <c r="E423" s="1">
        <v>45174</v>
      </c>
      <c r="F423">
        <v>15771.71</v>
      </c>
      <c r="G423" s="1">
        <v>45174</v>
      </c>
      <c r="H423">
        <v>8718.2521500000003</v>
      </c>
      <c r="I423" s="1">
        <v>45176</v>
      </c>
      <c r="J423">
        <v>9310</v>
      </c>
      <c r="K423" s="1">
        <v>45173</v>
      </c>
      <c r="L423">
        <v>28647.33</v>
      </c>
    </row>
    <row r="424" spans="1:12" x14ac:dyDescent="0.35">
      <c r="A424" s="1">
        <v>45176</v>
      </c>
      <c r="B424">
        <v>4221.0200000000004</v>
      </c>
      <c r="C424" s="1">
        <v>45175</v>
      </c>
      <c r="D424">
        <v>7194.09</v>
      </c>
      <c r="E424" s="1">
        <v>45173</v>
      </c>
      <c r="F424">
        <v>15824.85</v>
      </c>
      <c r="G424" s="1">
        <v>45173</v>
      </c>
      <c r="H424">
        <v>8719.7430100000001</v>
      </c>
      <c r="I424" s="1">
        <v>45175</v>
      </c>
      <c r="J424">
        <v>9314.4</v>
      </c>
      <c r="K424" s="1">
        <v>45170</v>
      </c>
      <c r="L424">
        <v>28650.49</v>
      </c>
    </row>
    <row r="425" spans="1:12" x14ac:dyDescent="0.35">
      <c r="A425" s="1">
        <v>45175</v>
      </c>
      <c r="B425">
        <v>4238.26</v>
      </c>
      <c r="C425" s="1">
        <v>45174</v>
      </c>
      <c r="D425">
        <v>7254.72</v>
      </c>
      <c r="E425" s="1">
        <v>45170</v>
      </c>
      <c r="F425">
        <v>15840.34</v>
      </c>
      <c r="G425" s="1">
        <v>45170</v>
      </c>
      <c r="H425">
        <v>8713.9367600000005</v>
      </c>
      <c r="I425" s="1">
        <v>45174</v>
      </c>
      <c r="J425">
        <v>9392</v>
      </c>
      <c r="K425" s="1">
        <v>45169</v>
      </c>
      <c r="L425">
        <v>28831.52</v>
      </c>
    </row>
    <row r="426" spans="1:12" x14ac:dyDescent="0.35">
      <c r="A426" s="1">
        <v>45174</v>
      </c>
      <c r="B426">
        <v>4269.16</v>
      </c>
      <c r="C426" s="1">
        <v>45173</v>
      </c>
      <c r="D426">
        <v>7279.51</v>
      </c>
      <c r="E426" s="1">
        <v>45169</v>
      </c>
      <c r="F426">
        <v>15947.08</v>
      </c>
      <c r="G426" s="1">
        <v>45169</v>
      </c>
      <c r="H426">
        <v>8690.9957699999995</v>
      </c>
      <c r="I426" s="1">
        <v>45173</v>
      </c>
      <c r="J426">
        <v>9416.2999999999993</v>
      </c>
      <c r="K426" s="1">
        <v>45168</v>
      </c>
      <c r="L426">
        <v>28916.7</v>
      </c>
    </row>
    <row r="427" spans="1:12" x14ac:dyDescent="0.35">
      <c r="A427" s="1">
        <v>45173</v>
      </c>
      <c r="B427">
        <v>4279.87</v>
      </c>
      <c r="C427" s="1">
        <v>45170</v>
      </c>
      <c r="D427">
        <v>7296.77</v>
      </c>
      <c r="E427" s="1">
        <v>45168</v>
      </c>
      <c r="F427">
        <v>15891.93</v>
      </c>
      <c r="G427" s="1">
        <v>45168</v>
      </c>
      <c r="H427">
        <v>8698.0768599999992</v>
      </c>
      <c r="I427" s="1">
        <v>45170</v>
      </c>
      <c r="J427">
        <v>9449.6</v>
      </c>
      <c r="K427" s="1">
        <v>45167</v>
      </c>
      <c r="L427">
        <v>28889.759999999998</v>
      </c>
    </row>
    <row r="428" spans="1:12" x14ac:dyDescent="0.35">
      <c r="A428" s="1">
        <v>45170</v>
      </c>
      <c r="B428">
        <v>4282.6400000000003</v>
      </c>
      <c r="C428" s="1">
        <v>45169</v>
      </c>
      <c r="D428">
        <v>7316.7</v>
      </c>
      <c r="E428" s="1">
        <v>45167</v>
      </c>
      <c r="F428">
        <v>15930.88</v>
      </c>
      <c r="G428" s="1">
        <v>45167</v>
      </c>
      <c r="H428">
        <v>8672.3901100000003</v>
      </c>
      <c r="I428" s="1">
        <v>45169</v>
      </c>
      <c r="J428">
        <v>9505.9</v>
      </c>
      <c r="K428" s="1">
        <v>45166</v>
      </c>
      <c r="L428">
        <v>28544.560000000001</v>
      </c>
    </row>
    <row r="429" spans="1:12" x14ac:dyDescent="0.35">
      <c r="A429" s="1">
        <v>45169</v>
      </c>
      <c r="B429">
        <v>4297.1099999999997</v>
      </c>
      <c r="C429" s="1">
        <v>45168</v>
      </c>
      <c r="D429">
        <v>7364.4</v>
      </c>
      <c r="E429" s="1">
        <v>45166</v>
      </c>
      <c r="F429">
        <v>15792.61</v>
      </c>
      <c r="G429" s="1">
        <v>45163</v>
      </c>
      <c r="H429">
        <v>8552.6133300000001</v>
      </c>
      <c r="I429" s="1">
        <v>45168</v>
      </c>
      <c r="J429">
        <v>9551.1</v>
      </c>
      <c r="K429" s="1">
        <v>45163</v>
      </c>
      <c r="L429">
        <v>28208.45</v>
      </c>
    </row>
    <row r="430" spans="1:12" x14ac:dyDescent="0.35">
      <c r="A430" s="1">
        <v>45168</v>
      </c>
      <c r="B430">
        <v>4315.3100000000004</v>
      </c>
      <c r="C430" s="1">
        <v>45167</v>
      </c>
      <c r="D430">
        <v>7373.43</v>
      </c>
      <c r="E430" s="1">
        <v>45163</v>
      </c>
      <c r="F430">
        <v>15631.82</v>
      </c>
      <c r="G430" s="1">
        <v>45162</v>
      </c>
      <c r="H430">
        <v>8555.5628099999994</v>
      </c>
      <c r="I430" s="1">
        <v>45167</v>
      </c>
      <c r="J430">
        <v>9581.2000000000007</v>
      </c>
      <c r="K430" s="1">
        <v>45162</v>
      </c>
      <c r="L430">
        <v>28072.12</v>
      </c>
    </row>
    <row r="431" spans="1:12" x14ac:dyDescent="0.35">
      <c r="A431" s="1">
        <v>45167</v>
      </c>
      <c r="B431">
        <v>4326.47</v>
      </c>
      <c r="C431" s="1">
        <v>45166</v>
      </c>
      <c r="D431">
        <v>7324.71</v>
      </c>
      <c r="E431" s="1">
        <v>45162</v>
      </c>
      <c r="F431">
        <v>15621.49</v>
      </c>
      <c r="G431" s="1">
        <v>45161</v>
      </c>
      <c r="H431">
        <v>8572.6283800000001</v>
      </c>
      <c r="I431" s="1">
        <v>45166</v>
      </c>
      <c r="J431">
        <v>9490.1</v>
      </c>
      <c r="K431" s="1">
        <v>45161</v>
      </c>
      <c r="L431">
        <v>28233.8</v>
      </c>
    </row>
    <row r="432" spans="1:12" x14ac:dyDescent="0.35">
      <c r="A432" s="1">
        <v>45166</v>
      </c>
      <c r="B432">
        <v>4293.6899999999996</v>
      </c>
      <c r="C432" s="1">
        <v>45163</v>
      </c>
      <c r="D432">
        <v>7229.6</v>
      </c>
      <c r="E432" s="1">
        <v>45161</v>
      </c>
      <c r="F432">
        <v>15728.41</v>
      </c>
      <c r="G432" s="1">
        <v>45160</v>
      </c>
      <c r="H432">
        <v>8533.9289000000008</v>
      </c>
      <c r="I432" s="1">
        <v>45163</v>
      </c>
      <c r="J432">
        <v>9338.9</v>
      </c>
      <c r="K432" s="1">
        <v>45160</v>
      </c>
      <c r="L432">
        <v>28164.99</v>
      </c>
    </row>
    <row r="433" spans="1:12" x14ac:dyDescent="0.35">
      <c r="A433" s="1">
        <v>45163</v>
      </c>
      <c r="B433">
        <v>4236.25</v>
      </c>
      <c r="C433" s="1">
        <v>45162</v>
      </c>
      <c r="D433">
        <v>7214.46</v>
      </c>
      <c r="E433" s="1">
        <v>45160</v>
      </c>
      <c r="F433">
        <v>15705.62</v>
      </c>
      <c r="G433" s="1">
        <v>45159</v>
      </c>
      <c r="H433">
        <v>8492.7545200000004</v>
      </c>
      <c r="I433" s="1">
        <v>45162</v>
      </c>
      <c r="J433">
        <v>9324.7000000000007</v>
      </c>
      <c r="K433" s="1">
        <v>45159</v>
      </c>
      <c r="L433">
        <v>27986.92</v>
      </c>
    </row>
    <row r="434" spans="1:12" x14ac:dyDescent="0.35">
      <c r="A434" s="1">
        <v>45162</v>
      </c>
      <c r="B434">
        <v>4232.22</v>
      </c>
      <c r="C434" s="1">
        <v>45161</v>
      </c>
      <c r="D434">
        <v>7246.62</v>
      </c>
      <c r="E434" s="1">
        <v>45159</v>
      </c>
      <c r="F434">
        <v>15603.28</v>
      </c>
      <c r="G434" s="1">
        <v>45156</v>
      </c>
      <c r="H434">
        <v>8512.7996299999995</v>
      </c>
      <c r="I434" s="1">
        <v>45161</v>
      </c>
      <c r="J434">
        <v>9315.6</v>
      </c>
      <c r="K434" s="1">
        <v>45156</v>
      </c>
      <c r="L434">
        <v>27761.98</v>
      </c>
    </row>
    <row r="435" spans="1:12" x14ac:dyDescent="0.35">
      <c r="A435" s="1">
        <v>45161</v>
      </c>
      <c r="B435">
        <v>4266.67</v>
      </c>
      <c r="C435" s="1">
        <v>45160</v>
      </c>
      <c r="D435">
        <v>7240.88</v>
      </c>
      <c r="E435" s="1">
        <v>45156</v>
      </c>
      <c r="F435">
        <v>15574.26</v>
      </c>
      <c r="G435" s="1">
        <v>45155</v>
      </c>
      <c r="H435">
        <v>8574.9475600000005</v>
      </c>
      <c r="I435" s="1">
        <v>45160</v>
      </c>
      <c r="J435">
        <v>9314</v>
      </c>
      <c r="K435" s="1">
        <v>45155</v>
      </c>
      <c r="L435">
        <v>27879.35</v>
      </c>
    </row>
    <row r="436" spans="1:12" x14ac:dyDescent="0.35">
      <c r="A436" s="1">
        <v>45160</v>
      </c>
      <c r="B436">
        <v>4260.37</v>
      </c>
      <c r="C436" s="1">
        <v>45159</v>
      </c>
      <c r="D436">
        <v>7198.06</v>
      </c>
      <c r="E436" s="1">
        <v>45155</v>
      </c>
      <c r="F436">
        <v>15676.9</v>
      </c>
      <c r="G436" s="1">
        <v>45154</v>
      </c>
      <c r="H436">
        <v>8604.3127600000007</v>
      </c>
      <c r="I436" s="1">
        <v>45159</v>
      </c>
      <c r="J436">
        <v>9262.7999999999993</v>
      </c>
      <c r="K436" s="1">
        <v>45154</v>
      </c>
      <c r="L436">
        <v>28169.96</v>
      </c>
    </row>
    <row r="437" spans="1:12" x14ac:dyDescent="0.35">
      <c r="A437" s="1">
        <v>45159</v>
      </c>
      <c r="B437">
        <v>4224.87</v>
      </c>
      <c r="C437" s="1">
        <v>45156</v>
      </c>
      <c r="D437">
        <v>7164.11</v>
      </c>
      <c r="E437" s="1">
        <v>45154</v>
      </c>
      <c r="F437">
        <v>15789.45</v>
      </c>
      <c r="G437" s="1">
        <v>45153</v>
      </c>
      <c r="H437">
        <v>8611.9966399999994</v>
      </c>
      <c r="I437" s="1">
        <v>45156</v>
      </c>
      <c r="J437">
        <v>9267.7000000000007</v>
      </c>
      <c r="K437" s="1">
        <v>45152</v>
      </c>
      <c r="L437">
        <v>28435.49</v>
      </c>
    </row>
    <row r="438" spans="1:12" x14ac:dyDescent="0.35">
      <c r="A438" s="1">
        <v>45156</v>
      </c>
      <c r="B438">
        <v>4212.95</v>
      </c>
      <c r="C438" s="1">
        <v>45155</v>
      </c>
      <c r="D438">
        <v>7191.74</v>
      </c>
      <c r="E438" s="1">
        <v>45153</v>
      </c>
      <c r="F438">
        <v>15767.28</v>
      </c>
      <c r="G438" s="1">
        <v>45152</v>
      </c>
      <c r="H438">
        <v>8722.3905200000008</v>
      </c>
      <c r="I438" s="1">
        <v>45155</v>
      </c>
      <c r="J438">
        <v>9278</v>
      </c>
      <c r="K438" s="1">
        <v>45149</v>
      </c>
      <c r="L438">
        <v>28274.74</v>
      </c>
    </row>
    <row r="439" spans="1:12" x14ac:dyDescent="0.35">
      <c r="A439" s="1">
        <v>45155</v>
      </c>
      <c r="B439">
        <v>4227.83</v>
      </c>
      <c r="C439" s="1">
        <v>45154</v>
      </c>
      <c r="D439">
        <v>7260.25</v>
      </c>
      <c r="E439" s="1">
        <v>45152</v>
      </c>
      <c r="F439">
        <v>15904.25</v>
      </c>
      <c r="G439" s="1">
        <v>45149</v>
      </c>
      <c r="H439">
        <v>8722.8569100000004</v>
      </c>
      <c r="I439" s="1">
        <v>45154</v>
      </c>
      <c r="J439">
        <v>9350.5</v>
      </c>
      <c r="K439" s="1">
        <v>45148</v>
      </c>
      <c r="L439">
        <v>28575.05</v>
      </c>
    </row>
    <row r="440" spans="1:12" x14ac:dyDescent="0.35">
      <c r="A440" s="1">
        <v>45154</v>
      </c>
      <c r="B440">
        <v>4284.2700000000004</v>
      </c>
      <c r="C440" s="1">
        <v>45153</v>
      </c>
      <c r="D440">
        <v>7267.7</v>
      </c>
      <c r="E440" s="1">
        <v>45149</v>
      </c>
      <c r="F440">
        <v>15832.17</v>
      </c>
      <c r="G440" s="1">
        <v>45148</v>
      </c>
      <c r="H440">
        <v>8796.7054900000003</v>
      </c>
      <c r="I440" s="1">
        <v>45153</v>
      </c>
      <c r="J440">
        <v>9347.5</v>
      </c>
      <c r="K440" s="1">
        <v>45147</v>
      </c>
      <c r="L440">
        <v>28308.09</v>
      </c>
    </row>
    <row r="441" spans="1:12" x14ac:dyDescent="0.35">
      <c r="A441" s="1">
        <v>45153</v>
      </c>
      <c r="B441">
        <v>4288.57</v>
      </c>
      <c r="C441" s="1">
        <v>45152</v>
      </c>
      <c r="D441">
        <v>7348.84</v>
      </c>
      <c r="E441" s="1">
        <v>45148</v>
      </c>
      <c r="F441">
        <v>15996.52</v>
      </c>
      <c r="G441" s="1">
        <v>45147</v>
      </c>
      <c r="H441">
        <v>8793.3337499999998</v>
      </c>
      <c r="I441" s="1">
        <v>45152</v>
      </c>
      <c r="J441">
        <v>9429.6</v>
      </c>
      <c r="K441" s="1">
        <v>45146</v>
      </c>
      <c r="L441">
        <v>27942.25</v>
      </c>
    </row>
    <row r="442" spans="1:12" x14ac:dyDescent="0.35">
      <c r="A442" s="1">
        <v>45152</v>
      </c>
      <c r="B442">
        <v>4330.2299999999996</v>
      </c>
      <c r="C442" s="1">
        <v>45149</v>
      </c>
      <c r="D442">
        <v>7340.19</v>
      </c>
      <c r="E442" s="1">
        <v>45147</v>
      </c>
      <c r="F442">
        <v>15852.58</v>
      </c>
      <c r="G442" s="1">
        <v>45146</v>
      </c>
      <c r="H442">
        <v>8754.7167399999998</v>
      </c>
      <c r="I442" s="1">
        <v>45149</v>
      </c>
      <c r="J442">
        <v>9434.2999999999993</v>
      </c>
      <c r="K442" s="1">
        <v>45145</v>
      </c>
      <c r="L442">
        <v>28547.61</v>
      </c>
    </row>
    <row r="443" spans="1:12" x14ac:dyDescent="0.35">
      <c r="A443" s="1">
        <v>45149</v>
      </c>
      <c r="B443">
        <v>4321.33</v>
      </c>
      <c r="C443" s="1">
        <v>45148</v>
      </c>
      <c r="D443">
        <v>7433.62</v>
      </c>
      <c r="E443" s="1">
        <v>45146</v>
      </c>
      <c r="F443">
        <v>15774.93</v>
      </c>
      <c r="G443" s="1">
        <v>45145</v>
      </c>
      <c r="H443">
        <v>8772.7124600000006</v>
      </c>
      <c r="I443" s="1">
        <v>45148</v>
      </c>
      <c r="J443">
        <v>9502.2000000000007</v>
      </c>
      <c r="K443" s="1">
        <v>45142</v>
      </c>
      <c r="L443">
        <v>28586.37</v>
      </c>
    </row>
    <row r="444" spans="1:12" x14ac:dyDescent="0.35">
      <c r="A444" s="1">
        <v>45148</v>
      </c>
      <c r="B444">
        <v>4384.04</v>
      </c>
      <c r="C444" s="1">
        <v>45147</v>
      </c>
      <c r="D444">
        <v>7322.04</v>
      </c>
      <c r="E444" s="1">
        <v>45145</v>
      </c>
      <c r="F444">
        <v>15950.76</v>
      </c>
      <c r="G444" s="1">
        <v>45142</v>
      </c>
      <c r="H444">
        <v>8762.7131900000004</v>
      </c>
      <c r="I444" s="1">
        <v>45147</v>
      </c>
      <c r="J444">
        <v>9354.4</v>
      </c>
      <c r="K444" s="1">
        <v>45141</v>
      </c>
      <c r="L444">
        <v>28702.74</v>
      </c>
    </row>
    <row r="445" spans="1:12" x14ac:dyDescent="0.35">
      <c r="A445" s="1">
        <v>45147</v>
      </c>
      <c r="B445">
        <v>4317.33</v>
      </c>
      <c r="C445" s="1">
        <v>45146</v>
      </c>
      <c r="D445">
        <v>7269.47</v>
      </c>
      <c r="E445" s="1">
        <v>45142</v>
      </c>
      <c r="F445">
        <v>15951.86</v>
      </c>
      <c r="G445" s="1">
        <v>45141</v>
      </c>
      <c r="H445">
        <v>8741.5231399999993</v>
      </c>
      <c r="I445" s="1">
        <v>45146</v>
      </c>
      <c r="J445">
        <v>9301.7999999999993</v>
      </c>
      <c r="K445" s="1">
        <v>45140</v>
      </c>
      <c r="L445">
        <v>28974.54</v>
      </c>
    </row>
    <row r="446" spans="1:12" x14ac:dyDescent="0.35">
      <c r="A446" s="1">
        <v>45146</v>
      </c>
      <c r="B446">
        <v>4288.8500000000004</v>
      </c>
      <c r="C446" s="1">
        <v>45145</v>
      </c>
      <c r="D446">
        <v>7319.76</v>
      </c>
      <c r="E446" s="1">
        <v>45141</v>
      </c>
      <c r="F446">
        <v>15893.38</v>
      </c>
      <c r="G446" s="1">
        <v>45140</v>
      </c>
      <c r="H446">
        <v>8787.2617499999997</v>
      </c>
      <c r="I446" s="1">
        <v>45145</v>
      </c>
      <c r="J446">
        <v>9358.6</v>
      </c>
      <c r="K446" s="1">
        <v>45139</v>
      </c>
      <c r="L446">
        <v>29356.16</v>
      </c>
    </row>
    <row r="447" spans="1:12" x14ac:dyDescent="0.35">
      <c r="A447" s="1">
        <v>45145</v>
      </c>
      <c r="B447">
        <v>4337.5</v>
      </c>
      <c r="C447" s="1">
        <v>45142</v>
      </c>
      <c r="D447">
        <v>7315.07</v>
      </c>
      <c r="E447" s="1">
        <v>45140</v>
      </c>
      <c r="F447">
        <v>16020.02</v>
      </c>
      <c r="G447" s="1">
        <v>45139</v>
      </c>
      <c r="H447">
        <v>8916.2660799999994</v>
      </c>
      <c r="I447" s="1">
        <v>45142</v>
      </c>
      <c r="J447">
        <v>9368.4</v>
      </c>
      <c r="K447" s="1">
        <v>45138</v>
      </c>
      <c r="L447">
        <v>29644.71</v>
      </c>
    </row>
    <row r="448" spans="1:12" x14ac:dyDescent="0.35">
      <c r="A448" s="1">
        <v>45142</v>
      </c>
      <c r="B448">
        <v>4332.91</v>
      </c>
      <c r="C448" s="1">
        <v>45141</v>
      </c>
      <c r="D448">
        <v>7260.53</v>
      </c>
      <c r="E448" s="1">
        <v>45139</v>
      </c>
      <c r="F448">
        <v>16240.4</v>
      </c>
      <c r="G448" s="1">
        <v>45138</v>
      </c>
      <c r="H448">
        <v>8994.1867700000003</v>
      </c>
      <c r="I448" s="1">
        <v>45141</v>
      </c>
      <c r="J448">
        <v>9307.1</v>
      </c>
      <c r="K448" s="1">
        <v>45135</v>
      </c>
      <c r="L448">
        <v>29500.2</v>
      </c>
    </row>
    <row r="449" spans="1:12" x14ac:dyDescent="0.35">
      <c r="A449" s="1">
        <v>45141</v>
      </c>
      <c r="B449">
        <v>4304.63</v>
      </c>
      <c r="C449" s="1">
        <v>45140</v>
      </c>
      <c r="D449">
        <v>7312.84</v>
      </c>
      <c r="E449" s="1">
        <v>45138</v>
      </c>
      <c r="F449">
        <v>16446.830000000002</v>
      </c>
      <c r="G449" s="1">
        <v>45135</v>
      </c>
      <c r="H449">
        <v>8983.1614100000006</v>
      </c>
      <c r="I449" s="1">
        <v>45140</v>
      </c>
      <c r="J449">
        <v>9328.7000000000007</v>
      </c>
      <c r="K449" s="1">
        <v>45134</v>
      </c>
      <c r="L449">
        <v>29597.81</v>
      </c>
    </row>
    <row r="450" spans="1:12" x14ac:dyDescent="0.35">
      <c r="A450" s="1">
        <v>45140</v>
      </c>
      <c r="B450">
        <v>4336.5</v>
      </c>
      <c r="C450" s="1">
        <v>45139</v>
      </c>
      <c r="D450">
        <v>7406.08</v>
      </c>
      <c r="E450" s="1">
        <v>45135</v>
      </c>
      <c r="F450">
        <v>16469.75</v>
      </c>
      <c r="G450" s="1">
        <v>45134</v>
      </c>
      <c r="H450">
        <v>8988.4195799999998</v>
      </c>
      <c r="I450" s="1">
        <v>45139</v>
      </c>
      <c r="J450">
        <v>9502.9</v>
      </c>
      <c r="K450" s="1">
        <v>45133</v>
      </c>
      <c r="L450">
        <v>28980.45</v>
      </c>
    </row>
    <row r="451" spans="1:12" x14ac:dyDescent="0.35">
      <c r="A451" s="1">
        <v>45139</v>
      </c>
      <c r="B451">
        <v>4407.54</v>
      </c>
      <c r="C451" s="1">
        <v>45138</v>
      </c>
      <c r="D451">
        <v>7497.78</v>
      </c>
      <c r="E451" s="1">
        <v>45134</v>
      </c>
      <c r="F451">
        <v>16406.03</v>
      </c>
      <c r="G451" s="1">
        <v>45133</v>
      </c>
      <c r="H451">
        <v>8954.7538199999999</v>
      </c>
      <c r="I451" s="1">
        <v>45138</v>
      </c>
      <c r="J451">
        <v>9641.5</v>
      </c>
      <c r="K451" s="1">
        <v>45132</v>
      </c>
      <c r="L451">
        <v>28966.41</v>
      </c>
    </row>
    <row r="452" spans="1:12" x14ac:dyDescent="0.35">
      <c r="A452" s="1">
        <v>45138</v>
      </c>
      <c r="B452">
        <v>4471.3100000000004</v>
      </c>
      <c r="C452" s="1">
        <v>45135</v>
      </c>
      <c r="D452">
        <v>7476.47</v>
      </c>
      <c r="E452" s="1">
        <v>45133</v>
      </c>
      <c r="F452">
        <v>16131.46</v>
      </c>
      <c r="G452" s="1">
        <v>45132</v>
      </c>
      <c r="H452">
        <v>8970.7480899999991</v>
      </c>
      <c r="I452" s="1">
        <v>45135</v>
      </c>
      <c r="J452">
        <v>9685.1</v>
      </c>
      <c r="K452" s="1">
        <v>45131</v>
      </c>
      <c r="L452">
        <v>28908.42</v>
      </c>
    </row>
    <row r="453" spans="1:12" x14ac:dyDescent="0.35">
      <c r="A453" s="1">
        <v>45135</v>
      </c>
      <c r="B453">
        <v>4466.5</v>
      </c>
      <c r="C453" s="1">
        <v>45134</v>
      </c>
      <c r="D453">
        <v>7465.24</v>
      </c>
      <c r="E453" s="1">
        <v>45132</v>
      </c>
      <c r="F453">
        <v>16211.59</v>
      </c>
      <c r="G453" s="1">
        <v>45131</v>
      </c>
      <c r="H453">
        <v>8891.1448199999995</v>
      </c>
      <c r="I453" s="1">
        <v>45134</v>
      </c>
      <c r="J453">
        <v>9694.7000000000007</v>
      </c>
      <c r="K453" s="1">
        <v>45128</v>
      </c>
      <c r="L453">
        <v>28855.09</v>
      </c>
    </row>
    <row r="454" spans="1:12" x14ac:dyDescent="0.35">
      <c r="A454" s="1">
        <v>45134</v>
      </c>
      <c r="B454">
        <v>4447.4399999999996</v>
      </c>
      <c r="C454" s="1">
        <v>45133</v>
      </c>
      <c r="D454">
        <v>7315.07</v>
      </c>
      <c r="E454" s="1">
        <v>45131</v>
      </c>
      <c r="F454">
        <v>16190.95</v>
      </c>
      <c r="G454" s="1">
        <v>45128</v>
      </c>
      <c r="H454">
        <v>8859.0348900000008</v>
      </c>
      <c r="I454" s="1">
        <v>45133</v>
      </c>
      <c r="J454">
        <v>9600.5</v>
      </c>
      <c r="K454" s="1">
        <v>45127</v>
      </c>
      <c r="L454">
        <v>28815.75</v>
      </c>
    </row>
    <row r="455" spans="1:12" x14ac:dyDescent="0.35">
      <c r="A455" s="1">
        <v>45133</v>
      </c>
      <c r="B455">
        <v>4346.1499999999996</v>
      </c>
      <c r="C455" s="1">
        <v>45132</v>
      </c>
      <c r="D455">
        <v>7415.45</v>
      </c>
      <c r="E455" s="1">
        <v>45128</v>
      </c>
      <c r="F455">
        <v>16177.22</v>
      </c>
      <c r="G455" s="1">
        <v>45127</v>
      </c>
      <c r="H455">
        <v>8834.4732700000004</v>
      </c>
      <c r="I455" s="1">
        <v>45132</v>
      </c>
      <c r="J455">
        <v>9519.2000000000007</v>
      </c>
      <c r="K455" s="1">
        <v>45126</v>
      </c>
      <c r="L455">
        <v>28712.31</v>
      </c>
    </row>
    <row r="456" spans="1:12" x14ac:dyDescent="0.35">
      <c r="A456" s="1">
        <v>45132</v>
      </c>
      <c r="B456">
        <v>4391.3</v>
      </c>
      <c r="C456" s="1">
        <v>45131</v>
      </c>
      <c r="D456">
        <v>7427.31</v>
      </c>
      <c r="E456" s="1">
        <v>45127</v>
      </c>
      <c r="F456">
        <v>16204.22</v>
      </c>
      <c r="G456" s="1">
        <v>45126</v>
      </c>
      <c r="H456">
        <v>8752.3296800000007</v>
      </c>
      <c r="I456" s="1">
        <v>45131</v>
      </c>
      <c r="J456">
        <v>9543.5</v>
      </c>
      <c r="K456" s="1">
        <v>45125</v>
      </c>
      <c r="L456">
        <v>28706.76</v>
      </c>
    </row>
    <row r="457" spans="1:12" x14ac:dyDescent="0.35">
      <c r="A457" s="1">
        <v>45131</v>
      </c>
      <c r="B457">
        <v>4383.03</v>
      </c>
      <c r="C457" s="1">
        <v>45128</v>
      </c>
      <c r="D457">
        <v>7432.77</v>
      </c>
      <c r="E457" s="1">
        <v>45126</v>
      </c>
      <c r="F457">
        <v>16108.93</v>
      </c>
      <c r="G457" s="1">
        <v>45125</v>
      </c>
      <c r="H457">
        <v>8663.2946200000006</v>
      </c>
      <c r="I457" s="1">
        <v>45128</v>
      </c>
      <c r="J457">
        <v>9571.5</v>
      </c>
      <c r="K457" s="1">
        <v>45124</v>
      </c>
      <c r="L457">
        <v>28608.54</v>
      </c>
    </row>
    <row r="458" spans="1:12" x14ac:dyDescent="0.35">
      <c r="A458" s="1">
        <v>45128</v>
      </c>
      <c r="B458">
        <v>4391.41</v>
      </c>
      <c r="C458" s="1">
        <v>45127</v>
      </c>
      <c r="D458">
        <v>7384.91</v>
      </c>
      <c r="E458" s="1">
        <v>45125</v>
      </c>
      <c r="F458">
        <v>16125.49</v>
      </c>
      <c r="G458" s="1">
        <v>45124</v>
      </c>
      <c r="H458">
        <v>8620.9331000000002</v>
      </c>
      <c r="I458" s="1">
        <v>45127</v>
      </c>
      <c r="J458">
        <v>9519.6</v>
      </c>
      <c r="K458" s="1">
        <v>45121</v>
      </c>
      <c r="L458">
        <v>28663.3</v>
      </c>
    </row>
    <row r="459" spans="1:12" x14ac:dyDescent="0.35">
      <c r="A459" s="1">
        <v>45127</v>
      </c>
      <c r="B459">
        <v>4373.7299999999996</v>
      </c>
      <c r="C459" s="1">
        <v>45126</v>
      </c>
      <c r="D459">
        <v>7326.94</v>
      </c>
      <c r="E459" s="1">
        <v>45124</v>
      </c>
      <c r="F459">
        <v>16068.65</v>
      </c>
      <c r="G459" s="1">
        <v>45121</v>
      </c>
      <c r="H459">
        <v>8674.2162499999995</v>
      </c>
      <c r="I459" s="1">
        <v>45126</v>
      </c>
      <c r="J459">
        <v>9451.7999999999993</v>
      </c>
      <c r="K459" s="1">
        <v>45120</v>
      </c>
      <c r="L459">
        <v>28774.77</v>
      </c>
    </row>
    <row r="460" spans="1:12" x14ac:dyDescent="0.35">
      <c r="A460" s="1">
        <v>45126</v>
      </c>
      <c r="B460">
        <v>4362.28</v>
      </c>
      <c r="C460" s="1">
        <v>45125</v>
      </c>
      <c r="D460">
        <v>7319.18</v>
      </c>
      <c r="E460" s="1">
        <v>45121</v>
      </c>
      <c r="F460">
        <v>16105.07</v>
      </c>
      <c r="G460" s="1">
        <v>45120</v>
      </c>
      <c r="H460">
        <v>8707.0242699999999</v>
      </c>
      <c r="I460" s="1">
        <v>45125</v>
      </c>
      <c r="J460">
        <v>9455.7000000000007</v>
      </c>
      <c r="K460" s="1">
        <v>45119</v>
      </c>
      <c r="L460">
        <v>28552.18</v>
      </c>
    </row>
    <row r="461" spans="1:12" x14ac:dyDescent="0.35">
      <c r="A461" s="1">
        <v>45125</v>
      </c>
      <c r="B461">
        <v>4369.7299999999996</v>
      </c>
      <c r="C461" s="1">
        <v>45124</v>
      </c>
      <c r="D461">
        <v>7291.66</v>
      </c>
      <c r="E461" s="1">
        <v>45120</v>
      </c>
      <c r="F461">
        <v>16141.03</v>
      </c>
      <c r="G461" s="1">
        <v>45119</v>
      </c>
      <c r="H461">
        <v>8657.9020400000009</v>
      </c>
      <c r="I461" s="1">
        <v>45124</v>
      </c>
      <c r="J461">
        <v>9438</v>
      </c>
      <c r="K461" s="1">
        <v>45118</v>
      </c>
      <c r="L461">
        <v>28061.59</v>
      </c>
    </row>
    <row r="462" spans="1:12" x14ac:dyDescent="0.35">
      <c r="A462" s="1">
        <v>45124</v>
      </c>
      <c r="B462">
        <v>4356.79</v>
      </c>
      <c r="C462" s="1">
        <v>45121</v>
      </c>
      <c r="D462">
        <v>7374.54</v>
      </c>
      <c r="E462" s="1">
        <v>45119</v>
      </c>
      <c r="F462">
        <v>16023</v>
      </c>
      <c r="G462" s="1">
        <v>45118</v>
      </c>
      <c r="H462">
        <v>8553.3041900000007</v>
      </c>
      <c r="I462" s="1">
        <v>45121</v>
      </c>
      <c r="J462">
        <v>9438.2999999999993</v>
      </c>
      <c r="K462" s="1">
        <v>45117</v>
      </c>
      <c r="L462">
        <v>27872</v>
      </c>
    </row>
    <row r="463" spans="1:12" x14ac:dyDescent="0.35">
      <c r="A463" s="1">
        <v>45121</v>
      </c>
      <c r="B463">
        <v>4400.1099999999997</v>
      </c>
      <c r="C463" s="1">
        <v>45120</v>
      </c>
      <c r="D463">
        <v>7369.8</v>
      </c>
      <c r="E463" s="1">
        <v>45118</v>
      </c>
      <c r="F463">
        <v>15790.34</v>
      </c>
      <c r="G463" s="1">
        <v>45117</v>
      </c>
      <c r="H463">
        <v>8502.9671799999996</v>
      </c>
      <c r="I463" s="1">
        <v>45120</v>
      </c>
      <c r="J463">
        <v>9478.7000000000007</v>
      </c>
      <c r="K463" s="1">
        <v>45114</v>
      </c>
      <c r="L463">
        <v>27778.32</v>
      </c>
    </row>
    <row r="464" spans="1:12" x14ac:dyDescent="0.35">
      <c r="A464" s="1">
        <v>45120</v>
      </c>
      <c r="B464">
        <v>4391.76</v>
      </c>
      <c r="C464" s="1">
        <v>45119</v>
      </c>
      <c r="D464">
        <v>7333.01</v>
      </c>
      <c r="E464" s="1">
        <v>45117</v>
      </c>
      <c r="F464">
        <v>15673.16</v>
      </c>
      <c r="G464" s="1">
        <v>45114</v>
      </c>
      <c r="H464">
        <v>8498.3979299999992</v>
      </c>
      <c r="I464" s="1">
        <v>45119</v>
      </c>
      <c r="J464">
        <v>9453.7000000000007</v>
      </c>
      <c r="K464" s="1">
        <v>45113</v>
      </c>
      <c r="L464">
        <v>27506.91</v>
      </c>
    </row>
    <row r="465" spans="1:12" x14ac:dyDescent="0.35">
      <c r="A465" s="1">
        <v>45119</v>
      </c>
      <c r="B465">
        <v>4360.46</v>
      </c>
      <c r="C465" s="1">
        <v>45118</v>
      </c>
      <c r="D465">
        <v>7220.01</v>
      </c>
      <c r="E465" s="1">
        <v>45114</v>
      </c>
      <c r="F465">
        <v>15603.4</v>
      </c>
      <c r="G465" s="1">
        <v>45113</v>
      </c>
      <c r="H465">
        <v>8521.9280299999991</v>
      </c>
      <c r="I465" s="1">
        <v>45118</v>
      </c>
      <c r="J465">
        <v>9331.1</v>
      </c>
      <c r="K465" s="1">
        <v>45112</v>
      </c>
      <c r="L465">
        <v>28220.18</v>
      </c>
    </row>
    <row r="466" spans="1:12" x14ac:dyDescent="0.35">
      <c r="A466" s="1">
        <v>45118</v>
      </c>
      <c r="B466">
        <v>4286.5600000000004</v>
      </c>
      <c r="C466" s="1">
        <v>45117</v>
      </c>
      <c r="D466">
        <v>7143.69</v>
      </c>
      <c r="E466" s="1">
        <v>45113</v>
      </c>
      <c r="F466">
        <v>15528.54</v>
      </c>
      <c r="G466" s="1">
        <v>45112</v>
      </c>
      <c r="H466">
        <v>8707.6886799999993</v>
      </c>
      <c r="I466" s="1">
        <v>45117</v>
      </c>
      <c r="J466">
        <v>9252.9</v>
      </c>
      <c r="K466" s="1">
        <v>45111</v>
      </c>
      <c r="L466">
        <v>28386.880000000001</v>
      </c>
    </row>
    <row r="467" spans="1:12" x14ac:dyDescent="0.35">
      <c r="A467" s="1">
        <v>45117</v>
      </c>
      <c r="B467">
        <v>4256.51</v>
      </c>
      <c r="C467" s="1">
        <v>45114</v>
      </c>
      <c r="D467">
        <v>7111.88</v>
      </c>
      <c r="E467" s="1">
        <v>45112</v>
      </c>
      <c r="F467">
        <v>15937.58</v>
      </c>
      <c r="G467" s="1">
        <v>45111</v>
      </c>
      <c r="H467">
        <v>8778.64329</v>
      </c>
      <c r="I467" s="1">
        <v>45114</v>
      </c>
      <c r="J467">
        <v>9248.7999999999993</v>
      </c>
      <c r="K467" s="1">
        <v>45110</v>
      </c>
      <c r="L467">
        <v>28446.9</v>
      </c>
    </row>
    <row r="468" spans="1:12" x14ac:dyDescent="0.35">
      <c r="A468" s="1">
        <v>45114</v>
      </c>
      <c r="B468">
        <v>4236.6000000000004</v>
      </c>
      <c r="C468" s="1">
        <v>45113</v>
      </c>
      <c r="D468">
        <v>7082.29</v>
      </c>
      <c r="E468" s="1">
        <v>45111</v>
      </c>
      <c r="F468">
        <v>16039.17</v>
      </c>
      <c r="G468" s="1">
        <v>45110</v>
      </c>
      <c r="H468">
        <v>8755.3701199999996</v>
      </c>
      <c r="I468" s="1">
        <v>45113</v>
      </c>
      <c r="J468">
        <v>9285</v>
      </c>
      <c r="K468" s="1">
        <v>45107</v>
      </c>
      <c r="L468">
        <v>28230.83</v>
      </c>
    </row>
    <row r="469" spans="1:12" x14ac:dyDescent="0.35">
      <c r="A469" s="1">
        <v>45113</v>
      </c>
      <c r="B469">
        <v>4223.09</v>
      </c>
      <c r="C469" s="1">
        <v>45112</v>
      </c>
      <c r="D469">
        <v>7310.81</v>
      </c>
      <c r="E469" s="1">
        <v>45110</v>
      </c>
      <c r="F469">
        <v>16081.04</v>
      </c>
      <c r="G469" s="1">
        <v>45107</v>
      </c>
      <c r="H469">
        <v>8771.8387500000008</v>
      </c>
      <c r="I469" s="1">
        <v>45112</v>
      </c>
      <c r="J469">
        <v>9486.2999999999993</v>
      </c>
      <c r="K469" s="1">
        <v>45106</v>
      </c>
      <c r="L469">
        <v>27928.44</v>
      </c>
    </row>
    <row r="470" spans="1:12" x14ac:dyDescent="0.35">
      <c r="A470" s="1">
        <v>45112</v>
      </c>
      <c r="B470">
        <v>4350.71</v>
      </c>
      <c r="C470" s="1">
        <v>45111</v>
      </c>
      <c r="D470">
        <v>7369.93</v>
      </c>
      <c r="E470" s="1">
        <v>45107</v>
      </c>
      <c r="F470">
        <v>16147.9</v>
      </c>
      <c r="G470" s="1">
        <v>45106</v>
      </c>
      <c r="H470">
        <v>8676.5352399999992</v>
      </c>
      <c r="I470" s="1">
        <v>45111</v>
      </c>
      <c r="J470">
        <v>9588.4</v>
      </c>
      <c r="K470" s="1">
        <v>45105</v>
      </c>
      <c r="L470">
        <v>27637.46</v>
      </c>
    </row>
    <row r="471" spans="1:12" x14ac:dyDescent="0.35">
      <c r="A471" s="1">
        <v>45111</v>
      </c>
      <c r="B471">
        <v>4390.99</v>
      </c>
      <c r="C471" s="1">
        <v>45110</v>
      </c>
      <c r="D471">
        <v>7386.7</v>
      </c>
      <c r="E471" s="1">
        <v>45106</v>
      </c>
      <c r="F471">
        <v>15946.72</v>
      </c>
      <c r="G471" s="1">
        <v>45105</v>
      </c>
      <c r="H471">
        <v>8694.5465600000007</v>
      </c>
      <c r="I471" s="1">
        <v>45110</v>
      </c>
      <c r="J471">
        <v>9644.7999999999993</v>
      </c>
      <c r="K471" s="1">
        <v>45104</v>
      </c>
      <c r="L471">
        <v>27401.09</v>
      </c>
    </row>
    <row r="472" spans="1:12" x14ac:dyDescent="0.35">
      <c r="A472" s="1">
        <v>45110</v>
      </c>
      <c r="B472">
        <v>4398.1499999999996</v>
      </c>
      <c r="C472" s="1">
        <v>45107</v>
      </c>
      <c r="D472">
        <v>7400.06</v>
      </c>
      <c r="E472" s="1">
        <v>45105</v>
      </c>
      <c r="F472">
        <v>15949</v>
      </c>
      <c r="G472" s="1">
        <v>45104</v>
      </c>
      <c r="H472">
        <v>8680.8664100000005</v>
      </c>
      <c r="I472" s="1">
        <v>45107</v>
      </c>
      <c r="J472">
        <v>9593</v>
      </c>
      <c r="K472" s="1">
        <v>45103</v>
      </c>
      <c r="L472">
        <v>27242.91</v>
      </c>
    </row>
    <row r="473" spans="1:12" x14ac:dyDescent="0.35">
      <c r="A473" s="1">
        <v>45107</v>
      </c>
      <c r="B473">
        <v>4399.09</v>
      </c>
      <c r="C473" s="1">
        <v>45106</v>
      </c>
      <c r="D473">
        <v>7312.73</v>
      </c>
      <c r="E473" s="1">
        <v>45104</v>
      </c>
      <c r="F473">
        <v>15846.86</v>
      </c>
      <c r="G473" s="1">
        <v>45103</v>
      </c>
      <c r="H473">
        <v>8692.3132100000003</v>
      </c>
      <c r="I473" s="1">
        <v>45106</v>
      </c>
      <c r="J473">
        <v>9510.6</v>
      </c>
      <c r="K473" s="1">
        <v>45100</v>
      </c>
      <c r="L473">
        <v>27209.66</v>
      </c>
    </row>
    <row r="474" spans="1:12" x14ac:dyDescent="0.35">
      <c r="A474" s="1">
        <v>45106</v>
      </c>
      <c r="B474">
        <v>4354.6899999999996</v>
      </c>
      <c r="C474" s="1">
        <v>45105</v>
      </c>
      <c r="D474">
        <v>7286.32</v>
      </c>
      <c r="E474" s="1">
        <v>45103</v>
      </c>
      <c r="F474">
        <v>15813.06</v>
      </c>
      <c r="G474" s="1">
        <v>45100</v>
      </c>
      <c r="H474">
        <v>8704.6010600000009</v>
      </c>
      <c r="I474" s="1">
        <v>45105</v>
      </c>
      <c r="J474">
        <v>9481.2999999999993</v>
      </c>
      <c r="K474" s="1">
        <v>45099</v>
      </c>
      <c r="L474">
        <v>27410.080000000002</v>
      </c>
    </row>
    <row r="475" spans="1:12" x14ac:dyDescent="0.35">
      <c r="A475" s="1">
        <v>45105</v>
      </c>
      <c r="B475">
        <v>4344.75</v>
      </c>
      <c r="C475" s="1">
        <v>45104</v>
      </c>
      <c r="D475">
        <v>7215.58</v>
      </c>
      <c r="E475" s="1">
        <v>45100</v>
      </c>
      <c r="F475">
        <v>15829.94</v>
      </c>
      <c r="G475" s="1">
        <v>45099</v>
      </c>
      <c r="H475">
        <v>8719.6118700000006</v>
      </c>
      <c r="I475" s="1">
        <v>45104</v>
      </c>
      <c r="J475">
        <v>9393</v>
      </c>
      <c r="K475" s="1">
        <v>45098</v>
      </c>
      <c r="L475">
        <v>27609.37</v>
      </c>
    </row>
    <row r="476" spans="1:12" x14ac:dyDescent="0.35">
      <c r="A476" s="1">
        <v>45104</v>
      </c>
      <c r="B476">
        <v>4305.26</v>
      </c>
      <c r="C476" s="1">
        <v>45103</v>
      </c>
      <c r="D476">
        <v>7184.35</v>
      </c>
      <c r="E476" s="1">
        <v>45099</v>
      </c>
      <c r="F476">
        <v>15988.16</v>
      </c>
      <c r="G476" s="1">
        <v>45098</v>
      </c>
      <c r="H476">
        <v>8789.0711900000006</v>
      </c>
      <c r="I476" s="1">
        <v>45103</v>
      </c>
      <c r="J476">
        <v>9274</v>
      </c>
      <c r="K476" s="1">
        <v>45097</v>
      </c>
      <c r="L476">
        <v>27576.11</v>
      </c>
    </row>
    <row r="477" spans="1:12" x14ac:dyDescent="0.35">
      <c r="A477" s="1">
        <v>45103</v>
      </c>
      <c r="B477">
        <v>4280.57</v>
      </c>
      <c r="C477" s="1">
        <v>45100</v>
      </c>
      <c r="D477">
        <v>7163.42</v>
      </c>
      <c r="E477" s="1">
        <v>45098</v>
      </c>
      <c r="F477">
        <v>16023.13</v>
      </c>
      <c r="G477" s="1">
        <v>45097</v>
      </c>
      <c r="H477">
        <v>8845.3091199999999</v>
      </c>
      <c r="I477" s="1">
        <v>45100</v>
      </c>
      <c r="J477">
        <v>9265.7999999999993</v>
      </c>
      <c r="K477" s="1">
        <v>45096</v>
      </c>
      <c r="L477">
        <v>27754.18</v>
      </c>
    </row>
    <row r="478" spans="1:12" x14ac:dyDescent="0.35">
      <c r="A478" s="1">
        <v>45100</v>
      </c>
      <c r="B478">
        <v>4271.6099999999997</v>
      </c>
      <c r="C478" s="1">
        <v>45099</v>
      </c>
      <c r="D478">
        <v>7203.28</v>
      </c>
      <c r="E478" s="1">
        <v>45097</v>
      </c>
      <c r="F478">
        <v>16111.32</v>
      </c>
      <c r="G478" s="1">
        <v>45096</v>
      </c>
      <c r="H478">
        <v>8880.1065899999994</v>
      </c>
      <c r="I478" s="1">
        <v>45099</v>
      </c>
      <c r="J478">
        <v>9364.7000000000007</v>
      </c>
      <c r="K478" s="1">
        <v>45093</v>
      </c>
      <c r="L478">
        <v>27861.8</v>
      </c>
    </row>
    <row r="479" spans="1:12" x14ac:dyDescent="0.35">
      <c r="A479" s="1">
        <v>45099</v>
      </c>
      <c r="B479">
        <v>4304.47</v>
      </c>
      <c r="C479" s="1">
        <v>45098</v>
      </c>
      <c r="D479">
        <v>7260.97</v>
      </c>
      <c r="E479" s="1">
        <v>45096</v>
      </c>
      <c r="F479">
        <v>16201.2</v>
      </c>
      <c r="G479" s="1">
        <v>45093</v>
      </c>
      <c r="H479">
        <v>8965.9017199999998</v>
      </c>
      <c r="I479" s="1">
        <v>45098</v>
      </c>
      <c r="J479">
        <v>9436.4</v>
      </c>
      <c r="K479" s="1">
        <v>45092</v>
      </c>
      <c r="L479">
        <v>27731.78</v>
      </c>
    </row>
    <row r="480" spans="1:12" x14ac:dyDescent="0.35">
      <c r="A480" s="1">
        <v>45098</v>
      </c>
      <c r="B480">
        <v>4322.75</v>
      </c>
      <c r="C480" s="1">
        <v>45097</v>
      </c>
      <c r="D480">
        <v>7294.17</v>
      </c>
      <c r="E480" s="1">
        <v>45093</v>
      </c>
      <c r="F480">
        <v>16357.63</v>
      </c>
      <c r="G480" s="1">
        <v>45092</v>
      </c>
      <c r="H480">
        <v>8903.8188300000002</v>
      </c>
      <c r="I480" s="1">
        <v>45097</v>
      </c>
      <c r="J480">
        <v>9439.7999999999993</v>
      </c>
      <c r="K480" s="1">
        <v>45091</v>
      </c>
      <c r="L480">
        <v>27809.09</v>
      </c>
    </row>
    <row r="481" spans="1:12" x14ac:dyDescent="0.35">
      <c r="A481" s="1">
        <v>45097</v>
      </c>
      <c r="B481">
        <v>4343.1400000000003</v>
      </c>
      <c r="C481" s="1">
        <v>45096</v>
      </c>
      <c r="D481">
        <v>7314.05</v>
      </c>
      <c r="E481" s="1">
        <v>45092</v>
      </c>
      <c r="F481">
        <v>16290.12</v>
      </c>
      <c r="G481" s="1">
        <v>45091</v>
      </c>
      <c r="H481">
        <v>8885.7286199999999</v>
      </c>
      <c r="I481" s="1">
        <v>45096</v>
      </c>
      <c r="J481">
        <v>9431.9</v>
      </c>
      <c r="K481" s="1">
        <v>45090</v>
      </c>
      <c r="L481">
        <v>27566.03</v>
      </c>
    </row>
    <row r="482" spans="1:12" x14ac:dyDescent="0.35">
      <c r="A482" s="1">
        <v>45096</v>
      </c>
      <c r="B482">
        <v>4362.38</v>
      </c>
      <c r="C482" s="1">
        <v>45093</v>
      </c>
      <c r="D482">
        <v>7388.65</v>
      </c>
      <c r="E482" s="1">
        <v>45091</v>
      </c>
      <c r="F482">
        <v>16310.79</v>
      </c>
      <c r="G482" s="1">
        <v>45090</v>
      </c>
      <c r="H482">
        <v>8875.1072000000004</v>
      </c>
      <c r="I482" s="1">
        <v>45093</v>
      </c>
      <c r="J482">
        <v>9495</v>
      </c>
      <c r="K482" s="1">
        <v>45089</v>
      </c>
      <c r="L482">
        <v>27410.47</v>
      </c>
    </row>
    <row r="483" spans="1:12" x14ac:dyDescent="0.35">
      <c r="A483" s="1">
        <v>45093</v>
      </c>
      <c r="B483">
        <v>4394.82</v>
      </c>
      <c r="C483" s="1">
        <v>45092</v>
      </c>
      <c r="D483">
        <v>7290.91</v>
      </c>
      <c r="E483" s="1">
        <v>45090</v>
      </c>
      <c r="F483">
        <v>16230.68</v>
      </c>
      <c r="G483" s="1">
        <v>45089</v>
      </c>
      <c r="H483">
        <v>8800.4253000000008</v>
      </c>
      <c r="I483" s="1">
        <v>45092</v>
      </c>
      <c r="J483">
        <v>9430.7999999999993</v>
      </c>
      <c r="K483" s="1">
        <v>45086</v>
      </c>
      <c r="L483">
        <v>27162.02</v>
      </c>
    </row>
    <row r="484" spans="1:12" x14ac:dyDescent="0.35">
      <c r="A484" s="1">
        <v>45092</v>
      </c>
      <c r="B484">
        <v>4365.12</v>
      </c>
      <c r="C484" s="1">
        <v>45091</v>
      </c>
      <c r="D484">
        <v>7328.53</v>
      </c>
      <c r="E484" s="1">
        <v>45089</v>
      </c>
      <c r="F484">
        <v>16097.87</v>
      </c>
      <c r="G484" s="1">
        <v>45086</v>
      </c>
      <c r="H484">
        <v>8852.7738700000009</v>
      </c>
      <c r="I484" s="1">
        <v>45091</v>
      </c>
      <c r="J484">
        <v>9432.7999999999993</v>
      </c>
      <c r="K484" s="1">
        <v>45085</v>
      </c>
      <c r="L484">
        <v>27275.040000000001</v>
      </c>
    </row>
    <row r="485" spans="1:12" x14ac:dyDescent="0.35">
      <c r="A485" s="1">
        <v>45091</v>
      </c>
      <c r="B485">
        <v>4375.9799999999996</v>
      </c>
      <c r="C485" s="1">
        <v>45090</v>
      </c>
      <c r="D485">
        <v>7290.8</v>
      </c>
      <c r="E485" s="1">
        <v>45086</v>
      </c>
      <c r="F485">
        <v>15949.84</v>
      </c>
      <c r="G485" s="1">
        <v>45085</v>
      </c>
      <c r="H485">
        <v>8846.2805700000008</v>
      </c>
      <c r="I485" s="1">
        <v>45090</v>
      </c>
      <c r="J485">
        <v>9333.7000000000007</v>
      </c>
      <c r="K485" s="1">
        <v>45084</v>
      </c>
      <c r="L485">
        <v>27055.5</v>
      </c>
    </row>
    <row r="486" spans="1:12" x14ac:dyDescent="0.35">
      <c r="A486" s="1">
        <v>45090</v>
      </c>
      <c r="B486">
        <v>4347.55</v>
      </c>
      <c r="C486" s="1">
        <v>45089</v>
      </c>
      <c r="D486">
        <v>7250.35</v>
      </c>
      <c r="E486" s="1">
        <v>45085</v>
      </c>
      <c r="F486">
        <v>15989.96</v>
      </c>
      <c r="G486" s="1">
        <v>45084</v>
      </c>
      <c r="H486">
        <v>8865.7106100000001</v>
      </c>
      <c r="I486" s="1">
        <v>45089</v>
      </c>
      <c r="J486">
        <v>9344.4</v>
      </c>
      <c r="K486" s="1">
        <v>45083</v>
      </c>
      <c r="L486">
        <v>27036.67</v>
      </c>
    </row>
    <row r="487" spans="1:12" x14ac:dyDescent="0.35">
      <c r="A487" s="1">
        <v>45089</v>
      </c>
      <c r="B487">
        <v>4316.49</v>
      </c>
      <c r="C487" s="1">
        <v>45086</v>
      </c>
      <c r="D487">
        <v>7213.14</v>
      </c>
      <c r="E487" s="1">
        <v>45084</v>
      </c>
      <c r="F487">
        <v>15960.56</v>
      </c>
      <c r="G487" s="1">
        <v>45083</v>
      </c>
      <c r="H487">
        <v>8869.2364099999995</v>
      </c>
      <c r="I487" s="1">
        <v>45086</v>
      </c>
      <c r="J487">
        <v>9309.7000000000007</v>
      </c>
      <c r="K487" s="1">
        <v>45082</v>
      </c>
      <c r="L487">
        <v>26856.85</v>
      </c>
    </row>
    <row r="488" spans="1:12" x14ac:dyDescent="0.35">
      <c r="A488" s="1">
        <v>45086</v>
      </c>
      <c r="B488">
        <v>4289.79</v>
      </c>
      <c r="C488" s="1">
        <v>45085</v>
      </c>
      <c r="D488">
        <v>7222.15</v>
      </c>
      <c r="E488" s="1">
        <v>45083</v>
      </c>
      <c r="F488">
        <v>15992.44</v>
      </c>
      <c r="G488" s="1">
        <v>45082</v>
      </c>
      <c r="H488">
        <v>8823.14</v>
      </c>
      <c r="I488" s="1">
        <v>45085</v>
      </c>
      <c r="J488">
        <v>9338.2999999999993</v>
      </c>
      <c r="K488" s="1">
        <v>45079</v>
      </c>
      <c r="L488">
        <v>27068.33</v>
      </c>
    </row>
    <row r="489" spans="1:12" x14ac:dyDescent="0.35">
      <c r="A489" s="1">
        <v>45085</v>
      </c>
      <c r="B489">
        <v>4297.68</v>
      </c>
      <c r="C489" s="1">
        <v>45084</v>
      </c>
      <c r="D489">
        <v>7202.79</v>
      </c>
      <c r="E489" s="1">
        <v>45082</v>
      </c>
      <c r="F489">
        <v>15963.89</v>
      </c>
      <c r="G489" s="1">
        <v>45079</v>
      </c>
      <c r="H489">
        <v>8843.1966400000001</v>
      </c>
      <c r="I489" s="1">
        <v>45084</v>
      </c>
      <c r="J489">
        <v>9359.7999999999993</v>
      </c>
      <c r="K489" s="1">
        <v>45078</v>
      </c>
      <c r="L489">
        <v>26575.69</v>
      </c>
    </row>
    <row r="490" spans="1:12" x14ac:dyDescent="0.35">
      <c r="A490" s="1">
        <v>45084</v>
      </c>
      <c r="B490">
        <v>4291.91</v>
      </c>
      <c r="C490" s="1">
        <v>45083</v>
      </c>
      <c r="D490">
        <v>7209</v>
      </c>
      <c r="E490" s="1">
        <v>45079</v>
      </c>
      <c r="F490">
        <v>16051.23</v>
      </c>
      <c r="G490" s="1">
        <v>45078</v>
      </c>
      <c r="H490">
        <v>8724.4938600000005</v>
      </c>
      <c r="I490" s="1">
        <v>45083</v>
      </c>
      <c r="J490">
        <v>9310.7999999999993</v>
      </c>
      <c r="K490" s="1">
        <v>45077</v>
      </c>
      <c r="L490">
        <v>26051.33</v>
      </c>
    </row>
    <row r="491" spans="1:12" x14ac:dyDescent="0.35">
      <c r="A491" s="1">
        <v>45083</v>
      </c>
      <c r="B491">
        <v>4295.22</v>
      </c>
      <c r="C491" s="1">
        <v>45082</v>
      </c>
      <c r="D491">
        <v>7200.91</v>
      </c>
      <c r="E491" s="1">
        <v>45078</v>
      </c>
      <c r="F491">
        <v>15853.66</v>
      </c>
      <c r="G491" s="1">
        <v>45077</v>
      </c>
      <c r="H491">
        <v>8670.3643699999993</v>
      </c>
      <c r="I491" s="1">
        <v>45082</v>
      </c>
      <c r="J491">
        <v>9289.1</v>
      </c>
      <c r="K491" s="1">
        <v>45076</v>
      </c>
      <c r="L491">
        <v>26575.759999999998</v>
      </c>
    </row>
    <row r="492" spans="1:12" x14ac:dyDescent="0.35">
      <c r="A492" s="1">
        <v>45082</v>
      </c>
      <c r="B492">
        <v>4293.24</v>
      </c>
      <c r="C492" s="1">
        <v>45079</v>
      </c>
      <c r="D492">
        <v>7270.69</v>
      </c>
      <c r="E492" s="1">
        <v>45077</v>
      </c>
      <c r="F492">
        <v>15664.02</v>
      </c>
      <c r="G492" s="1">
        <v>45076</v>
      </c>
      <c r="H492">
        <v>8698.6870500000005</v>
      </c>
      <c r="I492" s="1">
        <v>45079</v>
      </c>
      <c r="J492">
        <v>9317.2999999999993</v>
      </c>
      <c r="K492" s="1">
        <v>45075</v>
      </c>
      <c r="L492">
        <v>26617.35</v>
      </c>
    </row>
    <row r="493" spans="1:12" x14ac:dyDescent="0.35">
      <c r="A493" s="1">
        <v>45079</v>
      </c>
      <c r="B493">
        <v>4323.5200000000004</v>
      </c>
      <c r="C493" s="1">
        <v>45078</v>
      </c>
      <c r="D493">
        <v>7137.43</v>
      </c>
      <c r="E493" s="1">
        <v>45076</v>
      </c>
      <c r="F493">
        <v>15908.91</v>
      </c>
      <c r="G493" s="1">
        <v>45072</v>
      </c>
      <c r="H493">
        <v>8782.6638800000001</v>
      </c>
      <c r="I493" s="1">
        <v>45078</v>
      </c>
      <c r="J493">
        <v>9167.5</v>
      </c>
      <c r="K493" s="1">
        <v>45072</v>
      </c>
      <c r="L493">
        <v>26713.4</v>
      </c>
    </row>
    <row r="494" spans="1:12" x14ac:dyDescent="0.35">
      <c r="A494" s="1">
        <v>45078</v>
      </c>
      <c r="B494">
        <v>4257.6099999999997</v>
      </c>
      <c r="C494" s="1">
        <v>45077</v>
      </c>
      <c r="D494">
        <v>7098.7</v>
      </c>
      <c r="E494" s="1">
        <v>45075</v>
      </c>
      <c r="F494">
        <v>15952.73</v>
      </c>
      <c r="G494" s="1">
        <v>45071</v>
      </c>
      <c r="H494">
        <v>8698.7621400000007</v>
      </c>
      <c r="I494" s="1">
        <v>45077</v>
      </c>
      <c r="J494">
        <v>9050.2000000000007</v>
      </c>
      <c r="K494" s="1">
        <v>45071</v>
      </c>
      <c r="L494">
        <v>26408</v>
      </c>
    </row>
    <row r="495" spans="1:12" x14ac:dyDescent="0.35">
      <c r="A495" s="1">
        <v>45077</v>
      </c>
      <c r="B495">
        <v>4218.04</v>
      </c>
      <c r="C495" s="1">
        <v>45076</v>
      </c>
      <c r="D495">
        <v>7209.75</v>
      </c>
      <c r="E495" s="1">
        <v>45072</v>
      </c>
      <c r="F495">
        <v>15983.97</v>
      </c>
      <c r="G495" s="1">
        <v>45070</v>
      </c>
      <c r="H495">
        <v>8773.0086599999995</v>
      </c>
      <c r="I495" s="1">
        <v>45076</v>
      </c>
      <c r="J495">
        <v>9167.5</v>
      </c>
      <c r="K495" s="1">
        <v>45070</v>
      </c>
      <c r="L495">
        <v>26524.54</v>
      </c>
    </row>
    <row r="496" spans="1:12" x14ac:dyDescent="0.35">
      <c r="A496" s="1">
        <v>45076</v>
      </c>
      <c r="B496">
        <v>4291.58</v>
      </c>
      <c r="C496" s="1">
        <v>45075</v>
      </c>
      <c r="D496">
        <v>7303.81</v>
      </c>
      <c r="E496" s="1">
        <v>45071</v>
      </c>
      <c r="F496">
        <v>15793.8</v>
      </c>
      <c r="G496" s="1">
        <v>45069</v>
      </c>
      <c r="H496">
        <v>8951.8702699999994</v>
      </c>
      <c r="I496" s="1">
        <v>45075</v>
      </c>
      <c r="J496">
        <v>9180.1</v>
      </c>
      <c r="K496" s="1">
        <v>45069</v>
      </c>
      <c r="L496">
        <v>27174.97</v>
      </c>
    </row>
    <row r="497" spans="1:12" x14ac:dyDescent="0.35">
      <c r="A497" s="1">
        <v>45075</v>
      </c>
      <c r="B497">
        <v>4320.01</v>
      </c>
      <c r="C497" s="1">
        <v>45072</v>
      </c>
      <c r="D497">
        <v>7319.18</v>
      </c>
      <c r="E497" s="1">
        <v>45070</v>
      </c>
      <c r="F497">
        <v>15842.13</v>
      </c>
      <c r="G497" s="1">
        <v>45068</v>
      </c>
      <c r="H497">
        <v>8929.0903600000001</v>
      </c>
      <c r="I497" s="1">
        <v>45072</v>
      </c>
      <c r="J497">
        <v>9191.1</v>
      </c>
      <c r="K497" s="1">
        <v>45068</v>
      </c>
      <c r="L497">
        <v>27310.7</v>
      </c>
    </row>
    <row r="498" spans="1:12" x14ac:dyDescent="0.35">
      <c r="A498" s="1">
        <v>45072</v>
      </c>
      <c r="B498">
        <v>4337.5</v>
      </c>
      <c r="C498" s="1">
        <v>45071</v>
      </c>
      <c r="D498">
        <v>7229.27</v>
      </c>
      <c r="E498" s="1">
        <v>45069</v>
      </c>
      <c r="F498">
        <v>16152.86</v>
      </c>
      <c r="G498" s="1">
        <v>45065</v>
      </c>
      <c r="H498">
        <v>8936.7801799999997</v>
      </c>
      <c r="I498" s="1">
        <v>45071</v>
      </c>
      <c r="J498">
        <v>9116.1</v>
      </c>
      <c r="K498" s="1">
        <v>45065</v>
      </c>
      <c r="L498">
        <v>27520.33</v>
      </c>
    </row>
    <row r="499" spans="1:12" x14ac:dyDescent="0.35">
      <c r="A499" s="1">
        <v>45071</v>
      </c>
      <c r="B499">
        <v>4269.6400000000003</v>
      </c>
      <c r="C499" s="1">
        <v>45070</v>
      </c>
      <c r="D499">
        <v>7253.46</v>
      </c>
      <c r="E499" s="1">
        <v>45068</v>
      </c>
      <c r="F499">
        <v>16223.99</v>
      </c>
      <c r="G499" s="1">
        <v>45064</v>
      </c>
      <c r="H499">
        <v>8916.9888300000002</v>
      </c>
      <c r="I499" s="1">
        <v>45070</v>
      </c>
      <c r="J499">
        <v>9163.5</v>
      </c>
      <c r="K499" s="1">
        <v>45064</v>
      </c>
      <c r="L499">
        <v>27235.65</v>
      </c>
    </row>
    <row r="500" spans="1:12" x14ac:dyDescent="0.35">
      <c r="A500" s="1">
        <v>45070</v>
      </c>
      <c r="B500">
        <v>4263.74</v>
      </c>
      <c r="C500" s="1">
        <v>45069</v>
      </c>
      <c r="D500">
        <v>7378.71</v>
      </c>
      <c r="E500" s="1">
        <v>45065</v>
      </c>
      <c r="F500">
        <v>16275.38</v>
      </c>
      <c r="G500" s="1">
        <v>45063</v>
      </c>
      <c r="H500">
        <v>8907.1451699999998</v>
      </c>
      <c r="I500" s="1">
        <v>45069</v>
      </c>
      <c r="J500">
        <v>9267</v>
      </c>
      <c r="K500" s="1">
        <v>45063</v>
      </c>
      <c r="L500">
        <v>27196.46</v>
      </c>
    </row>
    <row r="501" spans="1:12" x14ac:dyDescent="0.35">
      <c r="A501" s="1">
        <v>45069</v>
      </c>
      <c r="B501">
        <v>4342.38</v>
      </c>
      <c r="C501" s="1">
        <v>45068</v>
      </c>
      <c r="D501">
        <v>7478.16</v>
      </c>
      <c r="E501" s="1">
        <v>45064</v>
      </c>
      <c r="F501">
        <v>16163.36</v>
      </c>
      <c r="G501" s="1">
        <v>45062</v>
      </c>
      <c r="H501">
        <v>8905.1471199999996</v>
      </c>
      <c r="I501" s="1">
        <v>45068</v>
      </c>
      <c r="J501">
        <v>9305</v>
      </c>
      <c r="K501" s="1">
        <v>45062</v>
      </c>
      <c r="L501">
        <v>27198.87</v>
      </c>
    </row>
    <row r="502" spans="1:12" x14ac:dyDescent="0.35">
      <c r="A502" s="1">
        <v>45068</v>
      </c>
      <c r="B502">
        <v>4385.63</v>
      </c>
      <c r="C502" s="1">
        <v>45065</v>
      </c>
      <c r="D502">
        <v>7491.96</v>
      </c>
      <c r="E502" s="1">
        <v>45063</v>
      </c>
      <c r="F502">
        <v>15951.3</v>
      </c>
      <c r="G502" s="1">
        <v>45061</v>
      </c>
      <c r="H502">
        <v>8960.1906500000005</v>
      </c>
      <c r="I502" s="1">
        <v>45065</v>
      </c>
      <c r="J502">
        <v>9251.5</v>
      </c>
      <c r="K502" s="1">
        <v>45061</v>
      </c>
      <c r="L502">
        <v>27245.46</v>
      </c>
    </row>
    <row r="503" spans="1:12" x14ac:dyDescent="0.35">
      <c r="A503" s="1">
        <v>45065</v>
      </c>
      <c r="B503">
        <v>4395.3</v>
      </c>
      <c r="C503" s="1">
        <v>45064</v>
      </c>
      <c r="D503">
        <v>7446.89</v>
      </c>
      <c r="E503" s="1">
        <v>45062</v>
      </c>
      <c r="F503">
        <v>15897.93</v>
      </c>
      <c r="G503" s="1">
        <v>45058</v>
      </c>
      <c r="H503">
        <v>8897.9476799999993</v>
      </c>
      <c r="I503" s="1">
        <v>45064</v>
      </c>
      <c r="J503">
        <v>9213.1</v>
      </c>
      <c r="K503" s="1">
        <v>45058</v>
      </c>
      <c r="L503">
        <v>27347.32</v>
      </c>
    </row>
    <row r="504" spans="1:12" x14ac:dyDescent="0.35">
      <c r="A504" s="1">
        <v>45064</v>
      </c>
      <c r="B504">
        <v>4367.45</v>
      </c>
      <c r="C504" s="1">
        <v>45063</v>
      </c>
      <c r="D504">
        <v>7399.44</v>
      </c>
      <c r="E504" s="1">
        <v>45061</v>
      </c>
      <c r="F504">
        <v>15917.24</v>
      </c>
      <c r="G504" s="1">
        <v>45057</v>
      </c>
      <c r="H504">
        <v>8854.2560699999995</v>
      </c>
      <c r="I504" s="1">
        <v>45063</v>
      </c>
      <c r="J504">
        <v>9211.6</v>
      </c>
      <c r="K504" s="1">
        <v>45057</v>
      </c>
      <c r="L504">
        <v>27098.89</v>
      </c>
    </row>
    <row r="505" spans="1:12" x14ac:dyDescent="0.35">
      <c r="A505" s="1">
        <v>45063</v>
      </c>
      <c r="B505">
        <v>4323.2299999999996</v>
      </c>
      <c r="C505" s="1">
        <v>45062</v>
      </c>
      <c r="D505">
        <v>7406.01</v>
      </c>
      <c r="E505" s="1">
        <v>45058</v>
      </c>
      <c r="F505">
        <v>15913.82</v>
      </c>
      <c r="G505" s="1">
        <v>45056</v>
      </c>
      <c r="H505">
        <v>8905.70507</v>
      </c>
      <c r="I505" s="1">
        <v>45062</v>
      </c>
      <c r="J505">
        <v>9191.4</v>
      </c>
      <c r="K505" s="1">
        <v>45056</v>
      </c>
      <c r="L505">
        <v>27264.77</v>
      </c>
    </row>
    <row r="506" spans="1:12" x14ac:dyDescent="0.35">
      <c r="A506" s="1">
        <v>45062</v>
      </c>
      <c r="B506">
        <v>4315.51</v>
      </c>
      <c r="C506" s="1">
        <v>45061</v>
      </c>
      <c r="D506">
        <v>7418.21</v>
      </c>
      <c r="E506" s="1">
        <v>45057</v>
      </c>
      <c r="F506">
        <v>15834.91</v>
      </c>
      <c r="G506" s="1">
        <v>45055</v>
      </c>
      <c r="H506">
        <v>8938.4484799999991</v>
      </c>
      <c r="I506" s="1">
        <v>45061</v>
      </c>
      <c r="J506">
        <v>9201.5</v>
      </c>
      <c r="K506" s="1">
        <v>45055</v>
      </c>
      <c r="L506">
        <v>27383.53</v>
      </c>
    </row>
    <row r="507" spans="1:12" x14ac:dyDescent="0.35">
      <c r="A507" s="1">
        <v>45061</v>
      </c>
      <c r="B507">
        <v>4316.41</v>
      </c>
      <c r="C507" s="1">
        <v>45058</v>
      </c>
      <c r="D507">
        <v>7414.85</v>
      </c>
      <c r="E507" s="1">
        <v>45056</v>
      </c>
      <c r="F507">
        <v>15896.23</v>
      </c>
      <c r="G507" s="1">
        <v>45051</v>
      </c>
      <c r="H507">
        <v>8917.0750399999997</v>
      </c>
      <c r="I507" s="1">
        <v>45058</v>
      </c>
      <c r="J507">
        <v>9234.1</v>
      </c>
      <c r="K507" s="1">
        <v>45054</v>
      </c>
      <c r="L507">
        <v>27426.23</v>
      </c>
    </row>
    <row r="508" spans="1:12" x14ac:dyDescent="0.35">
      <c r="A508" s="1">
        <v>45058</v>
      </c>
      <c r="B508">
        <v>4317.88</v>
      </c>
      <c r="C508" s="1">
        <v>45057</v>
      </c>
      <c r="D508">
        <v>7381.78</v>
      </c>
      <c r="E508" s="1">
        <v>45055</v>
      </c>
      <c r="F508">
        <v>15955.48</v>
      </c>
      <c r="G508" s="1">
        <v>45050</v>
      </c>
      <c r="H508">
        <v>8800.2225299999991</v>
      </c>
      <c r="I508" s="1">
        <v>45057</v>
      </c>
      <c r="J508">
        <v>9182.7999999999993</v>
      </c>
      <c r="K508" s="1">
        <v>45051</v>
      </c>
      <c r="L508">
        <v>27348.57</v>
      </c>
    </row>
    <row r="509" spans="1:12" x14ac:dyDescent="0.35">
      <c r="A509" s="1">
        <v>45057</v>
      </c>
      <c r="B509">
        <v>4309.75</v>
      </c>
      <c r="C509" s="1">
        <v>45056</v>
      </c>
      <c r="D509">
        <v>7361.2</v>
      </c>
      <c r="E509" s="1">
        <v>45054</v>
      </c>
      <c r="F509">
        <v>15952.83</v>
      </c>
      <c r="G509" s="1">
        <v>45049</v>
      </c>
      <c r="H509">
        <v>8848.72199</v>
      </c>
      <c r="I509" s="1">
        <v>45056</v>
      </c>
      <c r="J509">
        <v>9167.7000000000007</v>
      </c>
      <c r="K509" s="1">
        <v>45050</v>
      </c>
      <c r="L509">
        <v>26670.29</v>
      </c>
    </row>
    <row r="510" spans="1:12" x14ac:dyDescent="0.35">
      <c r="A510" s="1">
        <v>45056</v>
      </c>
      <c r="B510">
        <v>4306.76</v>
      </c>
      <c r="C510" s="1">
        <v>45055</v>
      </c>
      <c r="D510">
        <v>7397.17</v>
      </c>
      <c r="E510" s="1">
        <v>45051</v>
      </c>
      <c r="F510">
        <v>15961.02</v>
      </c>
      <c r="G510" s="1">
        <v>45048</v>
      </c>
      <c r="H510">
        <v>8818.1492199999993</v>
      </c>
      <c r="I510" s="1">
        <v>45055</v>
      </c>
      <c r="J510">
        <v>9183.2000000000007</v>
      </c>
      <c r="K510" s="1">
        <v>45049</v>
      </c>
      <c r="L510">
        <v>26835.31</v>
      </c>
    </row>
    <row r="511" spans="1:12" x14ac:dyDescent="0.35">
      <c r="A511" s="1">
        <v>45055</v>
      </c>
      <c r="B511">
        <v>4323.09</v>
      </c>
      <c r="C511" s="1">
        <v>45054</v>
      </c>
      <c r="D511">
        <v>7440.91</v>
      </c>
      <c r="E511" s="1">
        <v>45050</v>
      </c>
      <c r="F511">
        <v>15734.24</v>
      </c>
      <c r="G511" s="1">
        <v>45044</v>
      </c>
      <c r="H511">
        <v>8972.2072100000005</v>
      </c>
      <c r="I511" s="1">
        <v>45054</v>
      </c>
      <c r="J511">
        <v>9211.2999999999993</v>
      </c>
      <c r="K511" s="1">
        <v>45048</v>
      </c>
      <c r="L511">
        <v>26630.09</v>
      </c>
    </row>
    <row r="512" spans="1:12" x14ac:dyDescent="0.35">
      <c r="A512" s="1">
        <v>45054</v>
      </c>
      <c r="B512">
        <v>4348.6499999999996</v>
      </c>
      <c r="C512" s="1">
        <v>45051</v>
      </c>
      <c r="D512">
        <v>7432.93</v>
      </c>
      <c r="E512" s="1">
        <v>45049</v>
      </c>
      <c r="F512">
        <v>15815.06</v>
      </c>
      <c r="G512" s="1">
        <v>45043</v>
      </c>
      <c r="H512">
        <v>8868.06034</v>
      </c>
      <c r="I512" s="1">
        <v>45051</v>
      </c>
      <c r="J512">
        <v>9147.2999999999993</v>
      </c>
      <c r="K512" s="1">
        <v>45044</v>
      </c>
      <c r="L512">
        <v>27077.439999999999</v>
      </c>
    </row>
    <row r="513" spans="1:12" x14ac:dyDescent="0.35">
      <c r="A513" s="1">
        <v>45051</v>
      </c>
      <c r="B513">
        <v>4340.43</v>
      </c>
      <c r="C513" s="1">
        <v>45050</v>
      </c>
      <c r="D513">
        <v>7340.77</v>
      </c>
      <c r="E513" s="1">
        <v>45048</v>
      </c>
      <c r="F513">
        <v>15726.94</v>
      </c>
      <c r="G513" s="1">
        <v>45042</v>
      </c>
      <c r="H513">
        <v>8867.5586899999998</v>
      </c>
      <c r="I513" s="1">
        <v>45050</v>
      </c>
      <c r="J513">
        <v>9043.6</v>
      </c>
      <c r="K513" s="1">
        <v>45043</v>
      </c>
      <c r="L513">
        <v>27158</v>
      </c>
    </row>
    <row r="514" spans="1:12" x14ac:dyDescent="0.35">
      <c r="A514" s="1">
        <v>45050</v>
      </c>
      <c r="B514">
        <v>4287.03</v>
      </c>
      <c r="C514" s="1">
        <v>45049</v>
      </c>
      <c r="D514">
        <v>7403.83</v>
      </c>
      <c r="E514" s="1">
        <v>45044</v>
      </c>
      <c r="F514">
        <v>15922.38</v>
      </c>
      <c r="G514" s="1">
        <v>45041</v>
      </c>
      <c r="H514">
        <v>8921.4088300000003</v>
      </c>
      <c r="I514" s="1">
        <v>45049</v>
      </c>
      <c r="J514">
        <v>9076.7000000000007</v>
      </c>
      <c r="K514" s="1">
        <v>45042</v>
      </c>
      <c r="L514">
        <v>27107.51</v>
      </c>
    </row>
    <row r="515" spans="1:12" x14ac:dyDescent="0.35">
      <c r="A515" s="1">
        <v>45049</v>
      </c>
      <c r="B515">
        <v>4310.18</v>
      </c>
      <c r="C515" s="1">
        <v>45048</v>
      </c>
      <c r="D515">
        <v>7383.2</v>
      </c>
      <c r="E515" s="1">
        <v>45043</v>
      </c>
      <c r="F515">
        <v>15800.45</v>
      </c>
      <c r="G515" s="1">
        <v>45040</v>
      </c>
      <c r="H515">
        <v>8940.4848299999994</v>
      </c>
      <c r="I515" s="1">
        <v>45048</v>
      </c>
      <c r="J515">
        <v>9082</v>
      </c>
      <c r="K515" s="1">
        <v>45041</v>
      </c>
      <c r="L515">
        <v>27253.48</v>
      </c>
    </row>
    <row r="516" spans="1:12" x14ac:dyDescent="0.35">
      <c r="A516" s="1">
        <v>45048</v>
      </c>
      <c r="B516">
        <v>4294.8500000000004</v>
      </c>
      <c r="C516" s="1">
        <v>45044</v>
      </c>
      <c r="D516">
        <v>7491.5</v>
      </c>
      <c r="E516" s="1">
        <v>45042</v>
      </c>
      <c r="F516">
        <v>15795.73</v>
      </c>
      <c r="G516" s="1">
        <v>45037</v>
      </c>
      <c r="H516">
        <v>8960.0724900000005</v>
      </c>
      <c r="I516" s="1">
        <v>45044</v>
      </c>
      <c r="J516">
        <v>9241</v>
      </c>
      <c r="K516" s="1">
        <v>45040</v>
      </c>
      <c r="L516">
        <v>27537.07</v>
      </c>
    </row>
    <row r="517" spans="1:12" x14ac:dyDescent="0.35">
      <c r="A517" s="1">
        <v>45047</v>
      </c>
      <c r="B517">
        <v>4359.3100000000004</v>
      </c>
      <c r="C517" s="1">
        <v>45043</v>
      </c>
      <c r="D517">
        <v>7483.84</v>
      </c>
      <c r="E517" s="1">
        <v>45041</v>
      </c>
      <c r="F517">
        <v>15872.13</v>
      </c>
      <c r="G517" s="1">
        <v>45036</v>
      </c>
      <c r="H517">
        <v>8970.5108</v>
      </c>
      <c r="I517" s="1">
        <v>45043</v>
      </c>
      <c r="J517">
        <v>9314.6</v>
      </c>
      <c r="K517" s="1">
        <v>45037</v>
      </c>
      <c r="L517">
        <v>27745.81</v>
      </c>
    </row>
    <row r="518" spans="1:12" x14ac:dyDescent="0.35">
      <c r="A518" s="1">
        <v>45044</v>
      </c>
      <c r="B518">
        <v>4359.3100000000004</v>
      </c>
      <c r="C518" s="1">
        <v>45042</v>
      </c>
      <c r="D518">
        <v>7466.66</v>
      </c>
      <c r="E518" s="1">
        <v>45040</v>
      </c>
      <c r="F518">
        <v>15863.95</v>
      </c>
      <c r="G518" s="1">
        <v>45035</v>
      </c>
      <c r="H518">
        <v>8969.1304099999998</v>
      </c>
      <c r="I518" s="1">
        <v>45042</v>
      </c>
      <c r="J518">
        <v>9293.7000000000007</v>
      </c>
      <c r="K518" s="1">
        <v>45036</v>
      </c>
      <c r="L518">
        <v>27627.119999999999</v>
      </c>
    </row>
    <row r="519" spans="1:12" x14ac:dyDescent="0.35">
      <c r="A519" s="1">
        <v>45043</v>
      </c>
      <c r="B519">
        <v>4358.05</v>
      </c>
      <c r="C519" s="1">
        <v>45041</v>
      </c>
      <c r="D519">
        <v>7531.61</v>
      </c>
      <c r="E519" s="1">
        <v>45037</v>
      </c>
      <c r="F519">
        <v>15881.66</v>
      </c>
      <c r="G519" s="1">
        <v>45034</v>
      </c>
      <c r="H519">
        <v>8961.3883100000003</v>
      </c>
      <c r="I519" s="1">
        <v>45041</v>
      </c>
      <c r="J519">
        <v>9290.2999999999993</v>
      </c>
      <c r="K519" s="1">
        <v>45035</v>
      </c>
      <c r="L519">
        <v>27933.61</v>
      </c>
    </row>
    <row r="520" spans="1:12" x14ac:dyDescent="0.35">
      <c r="A520" s="1">
        <v>45042</v>
      </c>
      <c r="B520">
        <v>4347.71</v>
      </c>
      <c r="C520" s="1">
        <v>45040</v>
      </c>
      <c r="D520">
        <v>7573.86</v>
      </c>
      <c r="E520" s="1">
        <v>45036</v>
      </c>
      <c r="F520">
        <v>15795.97</v>
      </c>
      <c r="G520" s="1">
        <v>45033</v>
      </c>
      <c r="H520">
        <v>8922.2164200000007</v>
      </c>
      <c r="I520" s="1">
        <v>45040</v>
      </c>
      <c r="J520">
        <v>9406.4</v>
      </c>
      <c r="K520" s="1">
        <v>45034</v>
      </c>
      <c r="L520">
        <v>27891.43</v>
      </c>
    </row>
    <row r="521" spans="1:12" x14ac:dyDescent="0.35">
      <c r="A521" s="1">
        <v>45041</v>
      </c>
      <c r="B521">
        <v>4377.8500000000004</v>
      </c>
      <c r="C521" s="1">
        <v>45037</v>
      </c>
      <c r="D521">
        <v>7577</v>
      </c>
      <c r="E521" s="1">
        <v>45035</v>
      </c>
      <c r="F521">
        <v>15895.2</v>
      </c>
      <c r="G521" s="1">
        <v>45030</v>
      </c>
      <c r="H521">
        <v>8895.1579099999999</v>
      </c>
      <c r="I521" s="1">
        <v>45037</v>
      </c>
      <c r="J521">
        <v>9415.6</v>
      </c>
      <c r="K521" s="1">
        <v>45033</v>
      </c>
      <c r="L521">
        <v>27700.21</v>
      </c>
    </row>
    <row r="522" spans="1:12" x14ac:dyDescent="0.35">
      <c r="A522" s="1">
        <v>45040</v>
      </c>
      <c r="B522">
        <v>4401.8</v>
      </c>
      <c r="C522" s="1">
        <v>45036</v>
      </c>
      <c r="D522">
        <v>7538.71</v>
      </c>
      <c r="E522" s="1">
        <v>45034</v>
      </c>
      <c r="F522">
        <v>15882.67</v>
      </c>
      <c r="G522" s="1">
        <v>45029</v>
      </c>
      <c r="H522">
        <v>8888.3599900000008</v>
      </c>
      <c r="I522" s="1">
        <v>45036</v>
      </c>
      <c r="J522">
        <v>9450.9</v>
      </c>
      <c r="K522" s="1">
        <v>45030</v>
      </c>
      <c r="L522">
        <v>27872.240000000002</v>
      </c>
    </row>
    <row r="523" spans="1:12" x14ac:dyDescent="0.35">
      <c r="A523" s="1">
        <v>45037</v>
      </c>
      <c r="B523">
        <v>4408.59</v>
      </c>
      <c r="C523" s="1">
        <v>45035</v>
      </c>
      <c r="D523">
        <v>7549.44</v>
      </c>
      <c r="E523" s="1">
        <v>45033</v>
      </c>
      <c r="F523">
        <v>15789.53</v>
      </c>
      <c r="G523" s="1">
        <v>45028</v>
      </c>
      <c r="H523">
        <v>8883.7124899999999</v>
      </c>
      <c r="I523" s="1">
        <v>45035</v>
      </c>
      <c r="J523">
        <v>9494.7999999999993</v>
      </c>
      <c r="K523" s="1">
        <v>45029</v>
      </c>
      <c r="L523">
        <v>27626.61</v>
      </c>
    </row>
    <row r="524" spans="1:12" x14ac:dyDescent="0.35">
      <c r="A524" s="1">
        <v>45036</v>
      </c>
      <c r="B524">
        <v>4384.8599999999997</v>
      </c>
      <c r="C524" s="1">
        <v>45034</v>
      </c>
      <c r="D524">
        <v>7533.63</v>
      </c>
      <c r="E524" s="1">
        <v>45030</v>
      </c>
      <c r="F524">
        <v>15807.5</v>
      </c>
      <c r="G524" s="1">
        <v>45027</v>
      </c>
      <c r="H524">
        <v>8864.3911800000005</v>
      </c>
      <c r="I524" s="1">
        <v>45034</v>
      </c>
      <c r="J524">
        <v>9421.9</v>
      </c>
      <c r="K524" s="1">
        <v>45028</v>
      </c>
      <c r="L524">
        <v>27629.34</v>
      </c>
    </row>
    <row r="525" spans="1:12" x14ac:dyDescent="0.35">
      <c r="A525" s="1">
        <v>45035</v>
      </c>
      <c r="B525">
        <v>4393.57</v>
      </c>
      <c r="C525" s="1">
        <v>45033</v>
      </c>
      <c r="D525">
        <v>7498.18</v>
      </c>
      <c r="E525" s="1">
        <v>45029</v>
      </c>
      <c r="F525">
        <v>15729.46</v>
      </c>
      <c r="G525" s="1">
        <v>45022</v>
      </c>
      <c r="H525">
        <v>8824.1322700000001</v>
      </c>
      <c r="I525" s="1">
        <v>45033</v>
      </c>
      <c r="J525">
        <v>9378.5</v>
      </c>
      <c r="K525" s="1">
        <v>45027</v>
      </c>
      <c r="L525">
        <v>27525.51</v>
      </c>
    </row>
    <row r="526" spans="1:12" x14ac:dyDescent="0.35">
      <c r="A526" s="1">
        <v>45034</v>
      </c>
      <c r="B526">
        <v>4393.95</v>
      </c>
      <c r="C526" s="1">
        <v>45030</v>
      </c>
      <c r="D526">
        <v>7519.61</v>
      </c>
      <c r="E526" s="1">
        <v>45028</v>
      </c>
      <c r="F526">
        <v>15703.6</v>
      </c>
      <c r="G526" s="1">
        <v>45021</v>
      </c>
      <c r="H526">
        <v>8756.4401999999991</v>
      </c>
      <c r="I526" s="1">
        <v>45030</v>
      </c>
      <c r="J526">
        <v>9362.9</v>
      </c>
      <c r="K526" s="1">
        <v>45022</v>
      </c>
      <c r="L526">
        <v>27213.86</v>
      </c>
    </row>
    <row r="527" spans="1:12" x14ac:dyDescent="0.35">
      <c r="A527" s="1">
        <v>45033</v>
      </c>
      <c r="B527">
        <v>4367.6099999999997</v>
      </c>
      <c r="C527" s="1">
        <v>45029</v>
      </c>
      <c r="D527">
        <v>7480.83</v>
      </c>
      <c r="E527" s="1">
        <v>45027</v>
      </c>
      <c r="F527">
        <v>15655.17</v>
      </c>
      <c r="G527" s="1">
        <v>45020</v>
      </c>
      <c r="H527">
        <v>8714.2054499999995</v>
      </c>
      <c r="I527" s="1">
        <v>45029</v>
      </c>
      <c r="J527">
        <v>9310</v>
      </c>
      <c r="K527" s="1">
        <v>45021</v>
      </c>
      <c r="L527">
        <v>26867.39</v>
      </c>
    </row>
    <row r="528" spans="1:12" x14ac:dyDescent="0.35">
      <c r="A528" s="1">
        <v>45030</v>
      </c>
      <c r="B528">
        <v>4390.75</v>
      </c>
      <c r="C528" s="1">
        <v>45028</v>
      </c>
      <c r="D528">
        <v>7396.94</v>
      </c>
      <c r="E528" s="1">
        <v>45022</v>
      </c>
      <c r="F528">
        <v>15597.89</v>
      </c>
      <c r="G528" s="1">
        <v>45019</v>
      </c>
      <c r="H528">
        <v>8735.6213599999992</v>
      </c>
      <c r="I528" s="1">
        <v>45028</v>
      </c>
      <c r="J528">
        <v>9278.7000000000007</v>
      </c>
      <c r="K528" s="1">
        <v>45020</v>
      </c>
      <c r="L528">
        <v>27026.560000000001</v>
      </c>
    </row>
    <row r="529" spans="1:12" x14ac:dyDescent="0.35">
      <c r="A529" s="1">
        <v>45029</v>
      </c>
      <c r="B529">
        <v>4363.24</v>
      </c>
      <c r="C529" s="1">
        <v>45027</v>
      </c>
      <c r="D529">
        <v>7390.28</v>
      </c>
      <c r="E529" s="1">
        <v>45021</v>
      </c>
      <c r="F529">
        <v>15520.17</v>
      </c>
      <c r="G529" s="1">
        <v>45016</v>
      </c>
      <c r="H529">
        <v>8670.2296000000006</v>
      </c>
      <c r="I529" s="1">
        <v>45027</v>
      </c>
      <c r="J529">
        <v>9237.7000000000007</v>
      </c>
      <c r="K529" s="1">
        <v>45019</v>
      </c>
      <c r="L529">
        <v>27179.37</v>
      </c>
    </row>
    <row r="530" spans="1:12" x14ac:dyDescent="0.35">
      <c r="A530" s="1">
        <v>45028</v>
      </c>
      <c r="B530">
        <v>4334.03</v>
      </c>
      <c r="C530" s="1">
        <v>45022</v>
      </c>
      <c r="D530">
        <v>7324.75</v>
      </c>
      <c r="E530" s="1">
        <v>45020</v>
      </c>
      <c r="F530">
        <v>15603.47</v>
      </c>
      <c r="G530" s="1">
        <v>45015</v>
      </c>
      <c r="H530">
        <v>8655.3549700000003</v>
      </c>
      <c r="I530" s="1">
        <v>45022</v>
      </c>
      <c r="J530">
        <v>9312.2999999999993</v>
      </c>
      <c r="K530" s="1">
        <v>45016</v>
      </c>
      <c r="L530">
        <v>27113.95</v>
      </c>
    </row>
    <row r="531" spans="1:12" x14ac:dyDescent="0.35">
      <c r="A531" s="1">
        <v>45027</v>
      </c>
      <c r="B531">
        <v>4333.29</v>
      </c>
      <c r="C531" s="1">
        <v>45021</v>
      </c>
      <c r="D531">
        <v>7316.3</v>
      </c>
      <c r="E531" s="1">
        <v>45019</v>
      </c>
      <c r="F531">
        <v>15580.92</v>
      </c>
      <c r="G531" s="1">
        <v>45014</v>
      </c>
      <c r="H531">
        <v>8598.8732400000008</v>
      </c>
      <c r="I531" s="1">
        <v>45021</v>
      </c>
      <c r="J531">
        <v>9254.6</v>
      </c>
      <c r="K531" s="1">
        <v>45015</v>
      </c>
      <c r="L531">
        <v>27021.040000000001</v>
      </c>
    </row>
    <row r="532" spans="1:12" x14ac:dyDescent="0.35">
      <c r="A532" s="1">
        <v>45022</v>
      </c>
      <c r="B532">
        <v>4309.45</v>
      </c>
      <c r="C532" s="1">
        <v>45020</v>
      </c>
      <c r="D532">
        <v>7344.96</v>
      </c>
      <c r="E532" s="1">
        <v>45016</v>
      </c>
      <c r="F532">
        <v>15628.84</v>
      </c>
      <c r="G532" s="1">
        <v>45013</v>
      </c>
      <c r="H532">
        <v>8521.0830100000003</v>
      </c>
      <c r="I532" s="1">
        <v>45020</v>
      </c>
      <c r="J532">
        <v>9183.2000000000007</v>
      </c>
      <c r="K532" s="1">
        <v>45014</v>
      </c>
      <c r="L532">
        <v>26739.01</v>
      </c>
    </row>
    <row r="533" spans="1:12" x14ac:dyDescent="0.35">
      <c r="A533" s="1">
        <v>45021</v>
      </c>
      <c r="B533">
        <v>4298.3599999999997</v>
      </c>
      <c r="C533" s="1">
        <v>45019</v>
      </c>
      <c r="D533">
        <v>7345.96</v>
      </c>
      <c r="E533" s="1">
        <v>45015</v>
      </c>
      <c r="F533">
        <v>15522.4</v>
      </c>
      <c r="G533" s="1">
        <v>45012</v>
      </c>
      <c r="H533">
        <v>8504.8420800000004</v>
      </c>
      <c r="I533" s="1">
        <v>45019</v>
      </c>
      <c r="J533">
        <v>9157.4</v>
      </c>
      <c r="K533" s="1">
        <v>45013</v>
      </c>
      <c r="L533">
        <v>26329.46</v>
      </c>
    </row>
    <row r="534" spans="1:12" x14ac:dyDescent="0.35">
      <c r="A534" s="1">
        <v>45020</v>
      </c>
      <c r="B534">
        <v>4315.32</v>
      </c>
      <c r="C534" s="1">
        <v>45016</v>
      </c>
      <c r="D534">
        <v>7322.39</v>
      </c>
      <c r="E534" s="1">
        <v>45014</v>
      </c>
      <c r="F534">
        <v>15328.78</v>
      </c>
      <c r="G534" s="1">
        <v>45009</v>
      </c>
      <c r="H534">
        <v>8414.9087600000003</v>
      </c>
      <c r="I534" s="1">
        <v>45016</v>
      </c>
      <c r="J534">
        <v>9232.5</v>
      </c>
      <c r="K534" s="1">
        <v>45012</v>
      </c>
      <c r="L534">
        <v>26206.67</v>
      </c>
    </row>
    <row r="535" spans="1:12" x14ac:dyDescent="0.35">
      <c r="A535" s="1">
        <v>45019</v>
      </c>
      <c r="B535">
        <v>4311.05</v>
      </c>
      <c r="C535" s="1">
        <v>45015</v>
      </c>
      <c r="D535">
        <v>7263.37</v>
      </c>
      <c r="E535" s="1">
        <v>45013</v>
      </c>
      <c r="F535">
        <v>15142.02</v>
      </c>
      <c r="G535" s="1">
        <v>45008</v>
      </c>
      <c r="H535">
        <v>8486.9886800000004</v>
      </c>
      <c r="I535" s="1">
        <v>45015</v>
      </c>
      <c r="J535">
        <v>9207.1</v>
      </c>
      <c r="K535" s="1">
        <v>45009</v>
      </c>
      <c r="L535">
        <v>25892.18</v>
      </c>
    </row>
    <row r="536" spans="1:12" x14ac:dyDescent="0.35">
      <c r="A536" s="1">
        <v>45016</v>
      </c>
      <c r="B536">
        <v>4315.05</v>
      </c>
      <c r="C536" s="1">
        <v>45014</v>
      </c>
      <c r="D536">
        <v>7186.99</v>
      </c>
      <c r="E536" s="1">
        <v>45012</v>
      </c>
      <c r="F536">
        <v>15127.68</v>
      </c>
      <c r="G536" s="1">
        <v>45007</v>
      </c>
      <c r="H536">
        <v>8584.6308000000008</v>
      </c>
      <c r="I536" s="1">
        <v>45014</v>
      </c>
      <c r="J536">
        <v>9070.7000000000007</v>
      </c>
      <c r="K536" s="1">
        <v>45008</v>
      </c>
      <c r="L536">
        <v>26482.21</v>
      </c>
    </row>
    <row r="537" spans="1:12" x14ac:dyDescent="0.35">
      <c r="A537" s="1">
        <v>45015</v>
      </c>
      <c r="B537">
        <v>4285.42</v>
      </c>
      <c r="C537" s="1">
        <v>45013</v>
      </c>
      <c r="D537">
        <v>7088.34</v>
      </c>
      <c r="E537" s="1">
        <v>45009</v>
      </c>
      <c r="F537">
        <v>14957.23</v>
      </c>
      <c r="G537" s="1">
        <v>45006</v>
      </c>
      <c r="H537">
        <v>8543.7098299999998</v>
      </c>
      <c r="I537" s="1">
        <v>45013</v>
      </c>
      <c r="J537">
        <v>8944.2999999999993</v>
      </c>
      <c r="K537" s="1">
        <v>45007</v>
      </c>
      <c r="L537">
        <v>26523.33</v>
      </c>
    </row>
    <row r="538" spans="1:12" x14ac:dyDescent="0.35">
      <c r="A538" s="1">
        <v>45014</v>
      </c>
      <c r="B538">
        <v>4231.2700000000004</v>
      </c>
      <c r="C538" s="1">
        <v>45012</v>
      </c>
      <c r="D538">
        <v>7078.27</v>
      </c>
      <c r="E538" s="1">
        <v>45008</v>
      </c>
      <c r="F538">
        <v>15210.39</v>
      </c>
      <c r="G538" s="1">
        <v>45005</v>
      </c>
      <c r="H538">
        <v>8476.1507799999999</v>
      </c>
      <c r="I538" s="1">
        <v>45012</v>
      </c>
      <c r="J538">
        <v>8906.1</v>
      </c>
      <c r="K538" s="1">
        <v>45006</v>
      </c>
      <c r="L538">
        <v>26554.33</v>
      </c>
    </row>
    <row r="539" spans="1:12" x14ac:dyDescent="0.35">
      <c r="A539" s="1">
        <v>45013</v>
      </c>
      <c r="B539">
        <v>4168.21</v>
      </c>
      <c r="C539" s="1">
        <v>45009</v>
      </c>
      <c r="D539">
        <v>7015.1</v>
      </c>
      <c r="E539" s="1">
        <v>45007</v>
      </c>
      <c r="F539">
        <v>15216.19</v>
      </c>
      <c r="G539" s="1">
        <v>45002</v>
      </c>
      <c r="H539">
        <v>8374.5759400000006</v>
      </c>
      <c r="I539" s="1">
        <v>45009</v>
      </c>
      <c r="J539">
        <v>8792.5</v>
      </c>
      <c r="K539" s="1">
        <v>45005</v>
      </c>
      <c r="L539">
        <v>25899.57</v>
      </c>
    </row>
    <row r="540" spans="1:12" x14ac:dyDescent="0.35">
      <c r="A540" s="1">
        <v>45012</v>
      </c>
      <c r="B540">
        <v>4164.62</v>
      </c>
      <c r="C540" s="1">
        <v>45008</v>
      </c>
      <c r="D540">
        <v>7139.25</v>
      </c>
      <c r="E540" s="1">
        <v>45006</v>
      </c>
      <c r="F540">
        <v>15195.34</v>
      </c>
      <c r="G540" s="1">
        <v>45001</v>
      </c>
      <c r="H540">
        <v>8469.2053599999999</v>
      </c>
      <c r="I540" s="1">
        <v>45008</v>
      </c>
      <c r="J540">
        <v>8970</v>
      </c>
      <c r="K540" s="1">
        <v>45002</v>
      </c>
      <c r="L540">
        <v>25494.54</v>
      </c>
    </row>
    <row r="541" spans="1:12" x14ac:dyDescent="0.35">
      <c r="A541" s="1">
        <v>45009</v>
      </c>
      <c r="B541">
        <v>4130.62</v>
      </c>
      <c r="C541" s="1">
        <v>45007</v>
      </c>
      <c r="D541">
        <v>7131.12</v>
      </c>
      <c r="E541" s="1">
        <v>45005</v>
      </c>
      <c r="F541">
        <v>14933.38</v>
      </c>
      <c r="G541" s="1">
        <v>45000</v>
      </c>
      <c r="H541">
        <v>8387.2965000000004</v>
      </c>
      <c r="I541" s="1">
        <v>45007</v>
      </c>
      <c r="J541">
        <v>9009.2999999999993</v>
      </c>
      <c r="K541" s="1">
        <v>45001</v>
      </c>
      <c r="L541">
        <v>25918.76</v>
      </c>
    </row>
    <row r="542" spans="1:12" x14ac:dyDescent="0.35">
      <c r="A542" s="1">
        <v>45008</v>
      </c>
      <c r="B542">
        <v>4207.1400000000003</v>
      </c>
      <c r="C542" s="1">
        <v>45006</v>
      </c>
      <c r="D542">
        <v>7112.91</v>
      </c>
      <c r="E542" s="1">
        <v>45002</v>
      </c>
      <c r="F542">
        <v>14768.2</v>
      </c>
      <c r="G542" s="1">
        <v>44999</v>
      </c>
      <c r="H542">
        <v>8658.9016699999993</v>
      </c>
      <c r="I542" s="1">
        <v>45006</v>
      </c>
      <c r="J542">
        <v>9049.4</v>
      </c>
      <c r="K542" s="1">
        <v>45000</v>
      </c>
      <c r="L542">
        <v>25565.84</v>
      </c>
    </row>
    <row r="543" spans="1:12" x14ac:dyDescent="0.35">
      <c r="A543" s="1">
        <v>45007</v>
      </c>
      <c r="B543">
        <v>4195.7</v>
      </c>
      <c r="C543" s="1">
        <v>45005</v>
      </c>
      <c r="D543">
        <v>7013.14</v>
      </c>
      <c r="E543" s="1">
        <v>45001</v>
      </c>
      <c r="F543">
        <v>14967.1</v>
      </c>
      <c r="G543" s="1">
        <v>44998</v>
      </c>
      <c r="H543">
        <v>8558.8163800000002</v>
      </c>
      <c r="I543" s="1">
        <v>45005</v>
      </c>
      <c r="J543">
        <v>8833.1</v>
      </c>
      <c r="K543" s="1">
        <v>44999</v>
      </c>
      <c r="L543">
        <v>26800.98</v>
      </c>
    </row>
    <row r="544" spans="1:12" x14ac:dyDescent="0.35">
      <c r="A544" s="1">
        <v>45006</v>
      </c>
      <c r="B544">
        <v>4181.6000000000004</v>
      </c>
      <c r="C544" s="1">
        <v>45002</v>
      </c>
      <c r="D544">
        <v>6925.4</v>
      </c>
      <c r="E544" s="1">
        <v>45000</v>
      </c>
      <c r="F544">
        <v>14735.26</v>
      </c>
      <c r="G544" s="1">
        <v>44995</v>
      </c>
      <c r="H544">
        <v>8758.5622800000001</v>
      </c>
      <c r="I544" s="1">
        <v>45002</v>
      </c>
      <c r="J544">
        <v>8719.2999999999993</v>
      </c>
      <c r="K544" s="1">
        <v>44998</v>
      </c>
      <c r="L544">
        <v>26183.54</v>
      </c>
    </row>
    <row r="545" spans="1:12" x14ac:dyDescent="0.35">
      <c r="A545" s="1">
        <v>45005</v>
      </c>
      <c r="B545">
        <v>4119.42</v>
      </c>
      <c r="C545" s="1">
        <v>45001</v>
      </c>
      <c r="D545">
        <v>7025.72</v>
      </c>
      <c r="E545" s="1">
        <v>44999</v>
      </c>
      <c r="F545">
        <v>15232.83</v>
      </c>
      <c r="G545" s="1">
        <v>44994</v>
      </c>
      <c r="H545">
        <v>8884.2546600000005</v>
      </c>
      <c r="I545" s="1">
        <v>45001</v>
      </c>
      <c r="J545">
        <v>8890.2000000000007</v>
      </c>
      <c r="K545" s="1">
        <v>44995</v>
      </c>
      <c r="L545">
        <v>27281.96</v>
      </c>
    </row>
    <row r="546" spans="1:12" x14ac:dyDescent="0.35">
      <c r="A546" s="1">
        <v>45002</v>
      </c>
      <c r="B546">
        <v>4064.99</v>
      </c>
      <c r="C546" s="1">
        <v>45000</v>
      </c>
      <c r="D546">
        <v>6885.71</v>
      </c>
      <c r="E546" s="1">
        <v>44998</v>
      </c>
      <c r="F546">
        <v>14959.47</v>
      </c>
      <c r="G546" s="1">
        <v>44993</v>
      </c>
      <c r="H546">
        <v>8897.0017599999992</v>
      </c>
      <c r="I546" s="1">
        <v>45000</v>
      </c>
      <c r="J546">
        <v>8759.1</v>
      </c>
      <c r="K546" s="1">
        <v>44994</v>
      </c>
      <c r="L546">
        <v>27710.53</v>
      </c>
    </row>
    <row r="547" spans="1:12" x14ac:dyDescent="0.35">
      <c r="A547" s="1">
        <v>45001</v>
      </c>
      <c r="B547">
        <v>4116.9799999999996</v>
      </c>
      <c r="C547" s="1">
        <v>44999</v>
      </c>
      <c r="D547">
        <v>7141.57</v>
      </c>
      <c r="E547" s="1">
        <v>44995</v>
      </c>
      <c r="F547">
        <v>15427.97</v>
      </c>
      <c r="G547" s="1">
        <v>44992</v>
      </c>
      <c r="H547">
        <v>8881.0294300000005</v>
      </c>
      <c r="I547" s="1">
        <v>44999</v>
      </c>
      <c r="J547">
        <v>9159</v>
      </c>
      <c r="K547" s="1">
        <v>44993</v>
      </c>
      <c r="L547">
        <v>27911.52</v>
      </c>
    </row>
    <row r="548" spans="1:12" x14ac:dyDescent="0.35">
      <c r="A548" s="1">
        <v>45000</v>
      </c>
      <c r="B548">
        <v>4034.92</v>
      </c>
      <c r="C548" s="1">
        <v>44998</v>
      </c>
      <c r="D548">
        <v>7011.5</v>
      </c>
      <c r="E548" s="1">
        <v>44994</v>
      </c>
      <c r="F548">
        <v>15633.21</v>
      </c>
      <c r="G548" s="1">
        <v>44991</v>
      </c>
      <c r="H548">
        <v>8936.1348999999991</v>
      </c>
      <c r="I548" s="1">
        <v>44998</v>
      </c>
      <c r="J548">
        <v>8958.9</v>
      </c>
      <c r="K548" s="1">
        <v>44992</v>
      </c>
      <c r="L548">
        <v>27761.57</v>
      </c>
    </row>
    <row r="549" spans="1:12" x14ac:dyDescent="0.35">
      <c r="A549" s="1">
        <v>44999</v>
      </c>
      <c r="B549">
        <v>4179.47</v>
      </c>
      <c r="C549" s="1">
        <v>44995</v>
      </c>
      <c r="D549">
        <v>7220.67</v>
      </c>
      <c r="E549" s="1">
        <v>44993</v>
      </c>
      <c r="F549">
        <v>15631.87</v>
      </c>
      <c r="G549" s="1">
        <v>44988</v>
      </c>
      <c r="H549">
        <v>8983.0391600000003</v>
      </c>
      <c r="I549" s="1">
        <v>44995</v>
      </c>
      <c r="J549">
        <v>9285</v>
      </c>
      <c r="K549" s="1">
        <v>44991</v>
      </c>
      <c r="L549">
        <v>27949.29</v>
      </c>
    </row>
    <row r="550" spans="1:12" x14ac:dyDescent="0.35">
      <c r="A550" s="1">
        <v>44998</v>
      </c>
      <c r="B550">
        <v>4096.54</v>
      </c>
      <c r="C550" s="1">
        <v>44994</v>
      </c>
      <c r="D550">
        <v>7315.88</v>
      </c>
      <c r="E550" s="1">
        <v>44992</v>
      </c>
      <c r="F550">
        <v>15559.53</v>
      </c>
      <c r="G550" s="1">
        <v>44987</v>
      </c>
      <c r="H550">
        <v>8960.6969100000006</v>
      </c>
      <c r="I550" s="1">
        <v>44994</v>
      </c>
      <c r="J550">
        <v>9423.2000000000007</v>
      </c>
      <c r="K550" s="1">
        <v>44988</v>
      </c>
      <c r="L550">
        <v>27825.08</v>
      </c>
    </row>
    <row r="551" spans="1:12" x14ac:dyDescent="0.35">
      <c r="A551" s="1">
        <v>44995</v>
      </c>
      <c r="B551">
        <v>4229.53</v>
      </c>
      <c r="C551" s="1">
        <v>44993</v>
      </c>
      <c r="D551">
        <v>7324.76</v>
      </c>
      <c r="E551" s="1">
        <v>44991</v>
      </c>
      <c r="F551">
        <v>15653.58</v>
      </c>
      <c r="G551" s="1">
        <v>44986</v>
      </c>
      <c r="H551">
        <v>8922.7569999999996</v>
      </c>
      <c r="I551" s="1">
        <v>44993</v>
      </c>
      <c r="J551">
        <v>9466.1</v>
      </c>
      <c r="K551" s="1">
        <v>44987</v>
      </c>
      <c r="L551">
        <v>27397.599999999999</v>
      </c>
    </row>
    <row r="552" spans="1:12" x14ac:dyDescent="0.35">
      <c r="A552" s="1">
        <v>44994</v>
      </c>
      <c r="B552">
        <v>4286.12</v>
      </c>
      <c r="C552" s="1">
        <v>44992</v>
      </c>
      <c r="D552">
        <v>7339.27</v>
      </c>
      <c r="E552" s="1">
        <v>44988</v>
      </c>
      <c r="F552">
        <v>15578.39</v>
      </c>
      <c r="G552" s="1">
        <v>44985</v>
      </c>
      <c r="H552">
        <v>8985.7616400000006</v>
      </c>
      <c r="I552" s="1">
        <v>44992</v>
      </c>
      <c r="J552">
        <v>9411.1</v>
      </c>
      <c r="K552" s="1">
        <v>44986</v>
      </c>
      <c r="L552">
        <v>27315.08</v>
      </c>
    </row>
    <row r="553" spans="1:12" x14ac:dyDescent="0.35">
      <c r="A553" s="1">
        <v>44993</v>
      </c>
      <c r="B553">
        <v>4288.45</v>
      </c>
      <c r="C553" s="1">
        <v>44991</v>
      </c>
      <c r="D553">
        <v>7373.21</v>
      </c>
      <c r="E553" s="1">
        <v>44987</v>
      </c>
      <c r="F553">
        <v>15327.64</v>
      </c>
      <c r="G553" s="1">
        <v>44984</v>
      </c>
      <c r="H553">
        <v>9026.4589699999997</v>
      </c>
      <c r="I553" s="1">
        <v>44991</v>
      </c>
      <c r="J553">
        <v>9511</v>
      </c>
      <c r="K553" s="1">
        <v>44985</v>
      </c>
      <c r="L553">
        <v>27478.37</v>
      </c>
    </row>
    <row r="554" spans="1:12" x14ac:dyDescent="0.35">
      <c r="A554" s="1">
        <v>44992</v>
      </c>
      <c r="B554">
        <v>4278.96</v>
      </c>
      <c r="C554" s="1">
        <v>44988</v>
      </c>
      <c r="D554">
        <v>7348.12</v>
      </c>
      <c r="E554" s="1">
        <v>44986</v>
      </c>
      <c r="F554">
        <v>15305.02</v>
      </c>
      <c r="G554" s="1">
        <v>44981</v>
      </c>
      <c r="H554">
        <v>8923.71976</v>
      </c>
      <c r="I554" s="1">
        <v>44988</v>
      </c>
      <c r="J554">
        <v>9464.2000000000007</v>
      </c>
      <c r="K554" s="1">
        <v>44984</v>
      </c>
      <c r="L554">
        <v>27444.31</v>
      </c>
    </row>
    <row r="555" spans="1:12" x14ac:dyDescent="0.35">
      <c r="A555" s="1">
        <v>44991</v>
      </c>
      <c r="B555">
        <v>4313.78</v>
      </c>
      <c r="C555" s="1">
        <v>44987</v>
      </c>
      <c r="D555">
        <v>7284.22</v>
      </c>
      <c r="E555" s="1">
        <v>44985</v>
      </c>
      <c r="F555">
        <v>15365.14</v>
      </c>
      <c r="G555" s="1">
        <v>44980</v>
      </c>
      <c r="H555">
        <v>8964.0748500000009</v>
      </c>
      <c r="I555" s="1">
        <v>44987</v>
      </c>
      <c r="J555">
        <v>9327.2999999999993</v>
      </c>
      <c r="K555" s="1">
        <v>44981</v>
      </c>
      <c r="L555">
        <v>26986.35</v>
      </c>
    </row>
    <row r="556" spans="1:12" x14ac:dyDescent="0.35">
      <c r="A556" s="1">
        <v>44988</v>
      </c>
      <c r="B556">
        <v>4294.8</v>
      </c>
      <c r="C556" s="1">
        <v>44986</v>
      </c>
      <c r="D556">
        <v>7234.25</v>
      </c>
      <c r="E556" s="1">
        <v>44984</v>
      </c>
      <c r="F556">
        <v>15381.43</v>
      </c>
      <c r="G556" s="1">
        <v>44979</v>
      </c>
      <c r="H556">
        <v>9009.6374300000007</v>
      </c>
      <c r="I556" s="1">
        <v>44986</v>
      </c>
      <c r="J556">
        <v>9322.9</v>
      </c>
      <c r="K556" s="1">
        <v>44980</v>
      </c>
      <c r="L556">
        <v>27277.62</v>
      </c>
    </row>
    <row r="557" spans="1:12" x14ac:dyDescent="0.35">
      <c r="A557" s="1">
        <v>44987</v>
      </c>
      <c r="B557">
        <v>4240.59</v>
      </c>
      <c r="C557" s="1">
        <v>44985</v>
      </c>
      <c r="D557">
        <v>7267.93</v>
      </c>
      <c r="E557" s="1">
        <v>44981</v>
      </c>
      <c r="F557">
        <v>15209.74</v>
      </c>
      <c r="G557" s="1">
        <v>44978</v>
      </c>
      <c r="H557">
        <v>9075.5231199999998</v>
      </c>
      <c r="I557" s="1">
        <v>44985</v>
      </c>
      <c r="J557">
        <v>9394.6</v>
      </c>
      <c r="K557" s="1">
        <v>44979</v>
      </c>
      <c r="L557">
        <v>27101.53</v>
      </c>
    </row>
    <row r="558" spans="1:12" x14ac:dyDescent="0.35">
      <c r="A558" s="1">
        <v>44986</v>
      </c>
      <c r="B558">
        <v>4215.75</v>
      </c>
      <c r="C558" s="1">
        <v>44984</v>
      </c>
      <c r="D558">
        <v>7295.55</v>
      </c>
      <c r="E558" s="1">
        <v>44980</v>
      </c>
      <c r="F558">
        <v>15475.69</v>
      </c>
      <c r="G558" s="1">
        <v>44977</v>
      </c>
      <c r="H558">
        <v>9026.7860000000001</v>
      </c>
      <c r="I558" s="1">
        <v>44984</v>
      </c>
      <c r="J558">
        <v>9314.2999999999993</v>
      </c>
      <c r="K558" s="1">
        <v>44978</v>
      </c>
      <c r="L558">
        <v>27409.34</v>
      </c>
    </row>
    <row r="559" spans="1:12" x14ac:dyDescent="0.35">
      <c r="A559" s="1">
        <v>44985</v>
      </c>
      <c r="B559">
        <v>4238.38</v>
      </c>
      <c r="C559" s="1">
        <v>44981</v>
      </c>
      <c r="D559">
        <v>7187.27</v>
      </c>
      <c r="E559" s="1">
        <v>44979</v>
      </c>
      <c r="F559">
        <v>15399.89</v>
      </c>
      <c r="G559" s="1">
        <v>44974</v>
      </c>
      <c r="H559">
        <v>9009.4959500000004</v>
      </c>
      <c r="I559" s="1">
        <v>44981</v>
      </c>
      <c r="J559">
        <v>9201.5</v>
      </c>
      <c r="K559" s="1">
        <v>44977</v>
      </c>
      <c r="L559">
        <v>27597.01</v>
      </c>
    </row>
    <row r="560" spans="1:12" x14ac:dyDescent="0.35">
      <c r="A560" s="1">
        <v>44984</v>
      </c>
      <c r="B560">
        <v>4248.01</v>
      </c>
      <c r="C560" s="1">
        <v>44980</v>
      </c>
      <c r="D560">
        <v>7317.43</v>
      </c>
      <c r="E560" s="1">
        <v>44978</v>
      </c>
      <c r="F560">
        <v>15397.62</v>
      </c>
      <c r="G560" s="1">
        <v>44973</v>
      </c>
      <c r="H560">
        <v>9004.6360199999999</v>
      </c>
      <c r="I560" s="1">
        <v>44980</v>
      </c>
      <c r="J560">
        <v>9231.6</v>
      </c>
      <c r="K560" s="1">
        <v>44974</v>
      </c>
      <c r="L560">
        <v>27751.14</v>
      </c>
    </row>
    <row r="561" spans="1:12" x14ac:dyDescent="0.35">
      <c r="A561" s="1">
        <v>44981</v>
      </c>
      <c r="B561">
        <v>4178.82</v>
      </c>
      <c r="C561" s="1">
        <v>44979</v>
      </c>
      <c r="D561">
        <v>7299.26</v>
      </c>
      <c r="E561" s="1">
        <v>44977</v>
      </c>
      <c r="F561">
        <v>15477.55</v>
      </c>
      <c r="G561" s="1">
        <v>44972</v>
      </c>
      <c r="H561">
        <v>9001.0264499999994</v>
      </c>
      <c r="I561" s="1">
        <v>44979</v>
      </c>
      <c r="J561">
        <v>9172.7000000000007</v>
      </c>
      <c r="K561" s="1">
        <v>44973</v>
      </c>
      <c r="L561">
        <v>27853.74</v>
      </c>
    </row>
    <row r="562" spans="1:12" x14ac:dyDescent="0.35">
      <c r="A562" s="1">
        <v>44980</v>
      </c>
      <c r="B562">
        <v>4258.16</v>
      </c>
      <c r="C562" s="1">
        <v>44978</v>
      </c>
      <c r="D562">
        <v>7308.65</v>
      </c>
      <c r="E562" s="1">
        <v>44974</v>
      </c>
      <c r="F562">
        <v>15482</v>
      </c>
      <c r="G562" s="1">
        <v>44971</v>
      </c>
      <c r="H562">
        <v>9023.7050999999992</v>
      </c>
      <c r="I562" s="1">
        <v>44978</v>
      </c>
      <c r="J562">
        <v>9252.1</v>
      </c>
      <c r="K562" s="1">
        <v>44972</v>
      </c>
      <c r="L562">
        <v>27533.69</v>
      </c>
    </row>
    <row r="563" spans="1:12" x14ac:dyDescent="0.35">
      <c r="A563" s="1">
        <v>44979</v>
      </c>
      <c r="B563">
        <v>4242.88</v>
      </c>
      <c r="C563" s="1">
        <v>44977</v>
      </c>
      <c r="D563">
        <v>7335.61</v>
      </c>
      <c r="E563" s="1">
        <v>44973</v>
      </c>
      <c r="F563">
        <v>15533.64</v>
      </c>
      <c r="G563" s="1">
        <v>44970</v>
      </c>
      <c r="H563">
        <v>8998.3323400000008</v>
      </c>
      <c r="I563" s="1">
        <v>44977</v>
      </c>
      <c r="J563">
        <v>9281.2999999999993</v>
      </c>
      <c r="K563" s="1">
        <v>44971</v>
      </c>
      <c r="L563">
        <v>27498.26</v>
      </c>
    </row>
    <row r="564" spans="1:12" x14ac:dyDescent="0.35">
      <c r="A564" s="1">
        <v>44978</v>
      </c>
      <c r="B564">
        <v>4250.3999999999996</v>
      </c>
      <c r="C564" s="1">
        <v>44974</v>
      </c>
      <c r="D564">
        <v>7347.72</v>
      </c>
      <c r="E564" s="1">
        <v>44972</v>
      </c>
      <c r="F564">
        <v>15506.34</v>
      </c>
      <c r="G564" s="1">
        <v>44967</v>
      </c>
      <c r="H564">
        <v>8902.8534</v>
      </c>
      <c r="I564" s="1">
        <v>44974</v>
      </c>
      <c r="J564">
        <v>9333</v>
      </c>
      <c r="K564" s="1">
        <v>44970</v>
      </c>
      <c r="L564">
        <v>27438.61</v>
      </c>
    </row>
    <row r="565" spans="1:12" x14ac:dyDescent="0.35">
      <c r="A565" s="1">
        <v>44977</v>
      </c>
      <c r="B565">
        <v>4271.18</v>
      </c>
      <c r="C565" s="1">
        <v>44973</v>
      </c>
      <c r="D565">
        <v>7366.16</v>
      </c>
      <c r="E565" s="1">
        <v>44971</v>
      </c>
      <c r="F565">
        <v>15380.56</v>
      </c>
      <c r="G565" s="1">
        <v>44966</v>
      </c>
      <c r="H565">
        <v>8936.3832299999995</v>
      </c>
      <c r="I565" s="1">
        <v>44973</v>
      </c>
      <c r="J565">
        <v>9327.2999999999993</v>
      </c>
      <c r="K565" s="1">
        <v>44967</v>
      </c>
      <c r="L565">
        <v>27268.17</v>
      </c>
    </row>
    <row r="566" spans="1:12" x14ac:dyDescent="0.35">
      <c r="A566" s="1">
        <v>44974</v>
      </c>
      <c r="B566">
        <v>4274.92</v>
      </c>
      <c r="C566" s="1">
        <v>44972</v>
      </c>
      <c r="D566">
        <v>7300.86</v>
      </c>
      <c r="E566" s="1">
        <v>44970</v>
      </c>
      <c r="F566">
        <v>15397.34</v>
      </c>
      <c r="G566" s="1">
        <v>44965</v>
      </c>
      <c r="H566">
        <v>8881.8413799999998</v>
      </c>
      <c r="I566" s="1">
        <v>44972</v>
      </c>
      <c r="J566">
        <v>9294.7999999999993</v>
      </c>
      <c r="K566" s="1">
        <v>44966</v>
      </c>
      <c r="L566">
        <v>27503.75</v>
      </c>
    </row>
    <row r="567" spans="1:12" x14ac:dyDescent="0.35">
      <c r="A567" s="1">
        <v>44973</v>
      </c>
      <c r="B567">
        <v>4297.24</v>
      </c>
      <c r="C567" s="1">
        <v>44971</v>
      </c>
      <c r="D567">
        <v>7213.81</v>
      </c>
      <c r="E567" s="1">
        <v>44967</v>
      </c>
      <c r="F567">
        <v>15307.98</v>
      </c>
      <c r="G567" s="1">
        <v>44964</v>
      </c>
      <c r="H567">
        <v>8832.3594799999992</v>
      </c>
      <c r="I567" s="1">
        <v>44971</v>
      </c>
      <c r="J567">
        <v>9263.2000000000007</v>
      </c>
      <c r="K567" s="1">
        <v>44965</v>
      </c>
      <c r="L567">
        <v>27160.73</v>
      </c>
    </row>
    <row r="568" spans="1:12" x14ac:dyDescent="0.35">
      <c r="A568" s="1">
        <v>44972</v>
      </c>
      <c r="B568">
        <v>4280.04</v>
      </c>
      <c r="C568" s="1">
        <v>44970</v>
      </c>
      <c r="D568">
        <v>7208.59</v>
      </c>
      <c r="E568" s="1">
        <v>44966</v>
      </c>
      <c r="F568">
        <v>15523.42</v>
      </c>
      <c r="G568" s="1">
        <v>44963</v>
      </c>
      <c r="H568">
        <v>8786.9467499999992</v>
      </c>
      <c r="I568" s="1">
        <v>44970</v>
      </c>
      <c r="J568">
        <v>9210.2999999999993</v>
      </c>
      <c r="K568" s="1">
        <v>44964</v>
      </c>
      <c r="L568">
        <v>27118.74</v>
      </c>
    </row>
    <row r="569" spans="1:12" x14ac:dyDescent="0.35">
      <c r="A569" s="1">
        <v>44971</v>
      </c>
      <c r="B569">
        <v>4238.76</v>
      </c>
      <c r="C569" s="1">
        <v>44967</v>
      </c>
      <c r="D569">
        <v>7129.73</v>
      </c>
      <c r="E569" s="1">
        <v>44965</v>
      </c>
      <c r="F569">
        <v>15412.05</v>
      </c>
      <c r="G569" s="1">
        <v>44960</v>
      </c>
      <c r="H569">
        <v>8814.2480400000004</v>
      </c>
      <c r="I569" s="1">
        <v>44967</v>
      </c>
      <c r="J569">
        <v>9117.4</v>
      </c>
      <c r="K569" s="1">
        <v>44963</v>
      </c>
      <c r="L569">
        <v>27022.33</v>
      </c>
    </row>
    <row r="570" spans="1:12" x14ac:dyDescent="0.35">
      <c r="A570" s="1">
        <v>44970</v>
      </c>
      <c r="B570">
        <v>4241.3599999999997</v>
      </c>
      <c r="C570" s="1">
        <v>44966</v>
      </c>
      <c r="D570">
        <v>7188.36</v>
      </c>
      <c r="E570" s="1">
        <v>44964</v>
      </c>
      <c r="F570">
        <v>15320.88</v>
      </c>
      <c r="G570" s="1">
        <v>44959</v>
      </c>
      <c r="H570">
        <v>8777.1600600000002</v>
      </c>
      <c r="I570" s="1">
        <v>44966</v>
      </c>
      <c r="J570">
        <v>9243.5</v>
      </c>
      <c r="K570" s="1">
        <v>44960</v>
      </c>
      <c r="L570">
        <v>26950.74</v>
      </c>
    </row>
    <row r="571" spans="1:12" x14ac:dyDescent="0.35">
      <c r="A571" s="1">
        <v>44967</v>
      </c>
      <c r="B571">
        <v>4197.9399999999996</v>
      </c>
      <c r="C571" s="1">
        <v>44965</v>
      </c>
      <c r="D571">
        <v>7119.83</v>
      </c>
      <c r="E571" s="1">
        <v>44963</v>
      </c>
      <c r="F571">
        <v>15345.91</v>
      </c>
      <c r="G571" s="1">
        <v>44958</v>
      </c>
      <c r="H571">
        <v>8752.9496899999995</v>
      </c>
      <c r="I571" s="1">
        <v>44965</v>
      </c>
      <c r="J571">
        <v>9227.2999999999993</v>
      </c>
      <c r="K571" s="1">
        <v>44959</v>
      </c>
      <c r="L571">
        <v>27100.62</v>
      </c>
    </row>
    <row r="572" spans="1:12" x14ac:dyDescent="0.35">
      <c r="A572" s="1">
        <v>44966</v>
      </c>
      <c r="B572">
        <v>4250.1400000000003</v>
      </c>
      <c r="C572" s="1">
        <v>44964</v>
      </c>
      <c r="D572">
        <v>7132.35</v>
      </c>
      <c r="E572" s="1">
        <v>44960</v>
      </c>
      <c r="F572">
        <v>15476.43</v>
      </c>
      <c r="G572" s="1">
        <v>44957</v>
      </c>
      <c r="H572">
        <v>8816.7486599999993</v>
      </c>
      <c r="I572" s="1">
        <v>44964</v>
      </c>
      <c r="J572">
        <v>9172.4</v>
      </c>
      <c r="K572" s="1">
        <v>44958</v>
      </c>
      <c r="L572">
        <v>26703.87</v>
      </c>
    </row>
    <row r="573" spans="1:12" x14ac:dyDescent="0.35">
      <c r="A573" s="1">
        <v>44965</v>
      </c>
      <c r="B573">
        <v>4209.1499999999996</v>
      </c>
      <c r="C573" s="1">
        <v>44963</v>
      </c>
      <c r="D573">
        <v>7137.1</v>
      </c>
      <c r="E573" s="1">
        <v>44959</v>
      </c>
      <c r="F573">
        <v>15509.19</v>
      </c>
      <c r="G573" s="1">
        <v>44956</v>
      </c>
      <c r="H573">
        <v>8863.9112000000005</v>
      </c>
      <c r="I573" s="1">
        <v>44963</v>
      </c>
      <c r="J573">
        <v>9159.2000000000007</v>
      </c>
      <c r="K573" s="1">
        <v>44957</v>
      </c>
      <c r="L573">
        <v>26599.74</v>
      </c>
    </row>
    <row r="574" spans="1:12" x14ac:dyDescent="0.35">
      <c r="A574" s="1">
        <v>44964</v>
      </c>
      <c r="B574">
        <v>4209.3100000000004</v>
      </c>
      <c r="C574" s="1">
        <v>44960</v>
      </c>
      <c r="D574">
        <v>7233.94</v>
      </c>
      <c r="E574" s="1">
        <v>44958</v>
      </c>
      <c r="F574">
        <v>15180.74</v>
      </c>
      <c r="G574" s="1">
        <v>44953</v>
      </c>
      <c r="H574">
        <v>8854.85772</v>
      </c>
      <c r="I574" s="1">
        <v>44960</v>
      </c>
      <c r="J574">
        <v>9225.6</v>
      </c>
      <c r="K574" s="1">
        <v>44956</v>
      </c>
      <c r="L574">
        <v>26335.98</v>
      </c>
    </row>
    <row r="575" spans="1:12" x14ac:dyDescent="0.35">
      <c r="A575" s="1">
        <v>44963</v>
      </c>
      <c r="B575">
        <v>4205.45</v>
      </c>
      <c r="C575" s="1">
        <v>44959</v>
      </c>
      <c r="D575">
        <v>7166.27</v>
      </c>
      <c r="E575" s="1">
        <v>44957</v>
      </c>
      <c r="F575">
        <v>15128.27</v>
      </c>
      <c r="G575" s="1">
        <v>44952</v>
      </c>
      <c r="H575">
        <v>8839.7364199999993</v>
      </c>
      <c r="I575" s="1">
        <v>44959</v>
      </c>
      <c r="J575">
        <v>9229.7000000000007</v>
      </c>
      <c r="K575" s="1">
        <v>44953</v>
      </c>
      <c r="L575">
        <v>26435.75</v>
      </c>
    </row>
    <row r="576" spans="1:12" x14ac:dyDescent="0.35">
      <c r="A576" s="1">
        <v>44960</v>
      </c>
      <c r="B576">
        <v>4257.9799999999996</v>
      </c>
      <c r="C576" s="1">
        <v>44958</v>
      </c>
      <c r="D576">
        <v>7077.11</v>
      </c>
      <c r="E576" s="1">
        <v>44956</v>
      </c>
      <c r="F576">
        <v>15126.08</v>
      </c>
      <c r="G576" s="1">
        <v>44951</v>
      </c>
      <c r="H576">
        <v>8798.6953200000007</v>
      </c>
      <c r="I576" s="1">
        <v>44958</v>
      </c>
      <c r="J576">
        <v>9098.1</v>
      </c>
      <c r="K576" s="1">
        <v>44952</v>
      </c>
      <c r="L576">
        <v>26217.56</v>
      </c>
    </row>
    <row r="577" spans="1:12" x14ac:dyDescent="0.35">
      <c r="A577" s="1">
        <v>44959</v>
      </c>
      <c r="B577">
        <v>4241.12</v>
      </c>
      <c r="C577" s="1">
        <v>44957</v>
      </c>
      <c r="D577">
        <v>7082.42</v>
      </c>
      <c r="E577" s="1">
        <v>44953</v>
      </c>
      <c r="F577">
        <v>15150.03</v>
      </c>
      <c r="G577" s="1">
        <v>44950</v>
      </c>
      <c r="H577">
        <v>8785.1175500000008</v>
      </c>
      <c r="I577" s="1">
        <v>44957</v>
      </c>
      <c r="J577">
        <v>9034</v>
      </c>
      <c r="K577" s="1">
        <v>44951</v>
      </c>
      <c r="L577">
        <v>25875.3</v>
      </c>
    </row>
    <row r="578" spans="1:12" x14ac:dyDescent="0.35">
      <c r="A578" s="1">
        <v>44958</v>
      </c>
      <c r="B578">
        <v>4171.4399999999996</v>
      </c>
      <c r="C578" s="1">
        <v>44956</v>
      </c>
      <c r="D578">
        <v>7082.01</v>
      </c>
      <c r="E578" s="1">
        <v>44952</v>
      </c>
      <c r="F578">
        <v>15132.85</v>
      </c>
      <c r="G578" s="1">
        <v>44949</v>
      </c>
      <c r="H578">
        <v>8863.9034499999998</v>
      </c>
      <c r="I578" s="1">
        <v>44956</v>
      </c>
      <c r="J578">
        <v>9049.2999999999993</v>
      </c>
      <c r="K578" s="1">
        <v>44950</v>
      </c>
      <c r="L578">
        <v>25884.31</v>
      </c>
    </row>
    <row r="579" spans="1:12" x14ac:dyDescent="0.35">
      <c r="A579" s="1">
        <v>44957</v>
      </c>
      <c r="B579">
        <v>4163.45</v>
      </c>
      <c r="C579" s="1">
        <v>44953</v>
      </c>
      <c r="D579">
        <v>7097.21</v>
      </c>
      <c r="E579" s="1">
        <v>44951</v>
      </c>
      <c r="F579">
        <v>15081.64</v>
      </c>
      <c r="G579" s="1">
        <v>44946</v>
      </c>
      <c r="H579">
        <v>8876.2724400000006</v>
      </c>
      <c r="I579" s="1">
        <v>44953</v>
      </c>
      <c r="J579">
        <v>9060.2000000000007</v>
      </c>
      <c r="K579" s="1">
        <v>44949</v>
      </c>
      <c r="L579">
        <v>25821.45</v>
      </c>
    </row>
    <row r="580" spans="1:12" x14ac:dyDescent="0.35">
      <c r="A580" s="1">
        <v>44956</v>
      </c>
      <c r="B580">
        <v>4158.63</v>
      </c>
      <c r="C580" s="1">
        <v>44952</v>
      </c>
      <c r="D580">
        <v>7095.99</v>
      </c>
      <c r="E580" s="1">
        <v>44950</v>
      </c>
      <c r="F580">
        <v>15093.11</v>
      </c>
      <c r="G580" s="1">
        <v>44945</v>
      </c>
      <c r="H580">
        <v>8862.5387499999997</v>
      </c>
      <c r="I580" s="1">
        <v>44952</v>
      </c>
      <c r="J580">
        <v>9035.6</v>
      </c>
      <c r="K580" s="1">
        <v>44946</v>
      </c>
      <c r="L580">
        <v>25775.52</v>
      </c>
    </row>
    <row r="581" spans="1:12" x14ac:dyDescent="0.35">
      <c r="A581" s="1">
        <v>44953</v>
      </c>
      <c r="B581">
        <v>4178.01</v>
      </c>
      <c r="C581" s="1">
        <v>44951</v>
      </c>
      <c r="D581">
        <v>7043.88</v>
      </c>
      <c r="E581" s="1">
        <v>44949</v>
      </c>
      <c r="F581">
        <v>15102.95</v>
      </c>
      <c r="G581" s="1">
        <v>44944</v>
      </c>
      <c r="H581">
        <v>8954.9668600000005</v>
      </c>
      <c r="I581" s="1">
        <v>44951</v>
      </c>
      <c r="J581">
        <v>8957.5</v>
      </c>
      <c r="K581" s="1">
        <v>44945</v>
      </c>
      <c r="L581">
        <v>25596.28</v>
      </c>
    </row>
    <row r="582" spans="1:12" x14ac:dyDescent="0.35">
      <c r="A582" s="1">
        <v>44952</v>
      </c>
      <c r="B582">
        <v>4173.9799999999996</v>
      </c>
      <c r="C582" s="1">
        <v>44950</v>
      </c>
      <c r="D582">
        <v>7050.48</v>
      </c>
      <c r="E582" s="1">
        <v>44946</v>
      </c>
      <c r="F582">
        <v>15033.56</v>
      </c>
      <c r="G582" s="1">
        <v>44943</v>
      </c>
      <c r="H582">
        <v>8928.70802</v>
      </c>
      <c r="I582" s="1">
        <v>44950</v>
      </c>
      <c r="J582">
        <v>8967.1</v>
      </c>
      <c r="K582" s="1">
        <v>44944</v>
      </c>
      <c r="L582">
        <v>26052.39</v>
      </c>
    </row>
    <row r="583" spans="1:12" x14ac:dyDescent="0.35">
      <c r="A583" s="1">
        <v>44951</v>
      </c>
      <c r="B583">
        <v>4148.1099999999997</v>
      </c>
      <c r="C583" s="1">
        <v>44949</v>
      </c>
      <c r="D583">
        <v>7032.02</v>
      </c>
      <c r="E583" s="1">
        <v>44945</v>
      </c>
      <c r="F583">
        <v>14920.36</v>
      </c>
      <c r="G583" s="1">
        <v>44942</v>
      </c>
      <c r="H583">
        <v>8860.9315100000003</v>
      </c>
      <c r="I583" s="1">
        <v>44949</v>
      </c>
      <c r="J583">
        <v>8944.1</v>
      </c>
      <c r="K583" s="1">
        <v>44943</v>
      </c>
      <c r="L583">
        <v>25981.19</v>
      </c>
    </row>
    <row r="584" spans="1:12" x14ac:dyDescent="0.35">
      <c r="A584" s="1">
        <v>44950</v>
      </c>
      <c r="B584">
        <v>4153.0200000000004</v>
      </c>
      <c r="C584" s="1">
        <v>44946</v>
      </c>
      <c r="D584">
        <v>6995.99</v>
      </c>
      <c r="E584" s="1">
        <v>44944</v>
      </c>
      <c r="F584">
        <v>15181.8</v>
      </c>
      <c r="G584" s="1">
        <v>44939</v>
      </c>
      <c r="H584">
        <v>8844.5004300000001</v>
      </c>
      <c r="I584" s="1">
        <v>44946</v>
      </c>
      <c r="J584">
        <v>8918.2000000000007</v>
      </c>
      <c r="K584" s="1">
        <v>44942</v>
      </c>
      <c r="L584">
        <v>25901.33</v>
      </c>
    </row>
    <row r="585" spans="1:12" x14ac:dyDescent="0.35">
      <c r="A585" s="1">
        <v>44949</v>
      </c>
      <c r="B585">
        <v>4150.82</v>
      </c>
      <c r="C585" s="1">
        <v>44945</v>
      </c>
      <c r="D585">
        <v>6951.87</v>
      </c>
      <c r="E585" s="1">
        <v>44943</v>
      </c>
      <c r="F585">
        <v>15187.07</v>
      </c>
      <c r="G585" s="1">
        <v>44938</v>
      </c>
      <c r="H585">
        <v>8785.4470600000004</v>
      </c>
      <c r="I585" s="1">
        <v>44945</v>
      </c>
      <c r="J585">
        <v>8793.1</v>
      </c>
      <c r="K585" s="1">
        <v>44939</v>
      </c>
      <c r="L585">
        <v>25783.48</v>
      </c>
    </row>
    <row r="586" spans="1:12" x14ac:dyDescent="0.35">
      <c r="A586" s="1">
        <v>44946</v>
      </c>
      <c r="B586">
        <v>4119.8999999999996</v>
      </c>
      <c r="C586" s="1">
        <v>44944</v>
      </c>
      <c r="D586">
        <v>7083.39</v>
      </c>
      <c r="E586" s="1">
        <v>44942</v>
      </c>
      <c r="F586">
        <v>15134.04</v>
      </c>
      <c r="G586" s="1">
        <v>44937</v>
      </c>
      <c r="H586">
        <v>8712.6158500000001</v>
      </c>
      <c r="I586" s="1">
        <v>44944</v>
      </c>
      <c r="J586">
        <v>8933.2999999999993</v>
      </c>
      <c r="K586" s="1">
        <v>44938</v>
      </c>
      <c r="L586">
        <v>25733.96</v>
      </c>
    </row>
    <row r="587" spans="1:12" x14ac:dyDescent="0.35">
      <c r="A587" s="1">
        <v>44945</v>
      </c>
      <c r="B587">
        <v>4094.28</v>
      </c>
      <c r="C587" s="1">
        <v>44943</v>
      </c>
      <c r="D587">
        <v>7077.16</v>
      </c>
      <c r="E587" s="1">
        <v>44939</v>
      </c>
      <c r="F587">
        <v>15086.52</v>
      </c>
      <c r="G587" s="1">
        <v>44936</v>
      </c>
      <c r="H587">
        <v>8708.8093000000008</v>
      </c>
      <c r="I587" s="1">
        <v>44943</v>
      </c>
      <c r="J587">
        <v>8890.4</v>
      </c>
      <c r="K587" s="1">
        <v>44937</v>
      </c>
      <c r="L587">
        <v>25546.86</v>
      </c>
    </row>
    <row r="588" spans="1:12" x14ac:dyDescent="0.35">
      <c r="A588" s="1">
        <v>44944</v>
      </c>
      <c r="B588">
        <v>4174.34</v>
      </c>
      <c r="C588" s="1">
        <v>44942</v>
      </c>
      <c r="D588">
        <v>7043.31</v>
      </c>
      <c r="E588" s="1">
        <v>44938</v>
      </c>
      <c r="F588">
        <v>15058.3</v>
      </c>
      <c r="G588" s="1">
        <v>44935</v>
      </c>
      <c r="H588">
        <v>8763.3156600000002</v>
      </c>
      <c r="I588" s="1">
        <v>44942</v>
      </c>
      <c r="J588">
        <v>8871.1</v>
      </c>
      <c r="K588" s="1">
        <v>44936</v>
      </c>
      <c r="L588">
        <v>25364.61</v>
      </c>
    </row>
    <row r="589" spans="1:12" x14ac:dyDescent="0.35">
      <c r="A589" s="1">
        <v>44943</v>
      </c>
      <c r="B589">
        <v>4174.33</v>
      </c>
      <c r="C589" s="1">
        <v>44939</v>
      </c>
      <c r="D589">
        <v>7023.5</v>
      </c>
      <c r="E589" s="1">
        <v>44937</v>
      </c>
      <c r="F589">
        <v>14947.91</v>
      </c>
      <c r="G589" s="1">
        <v>44932</v>
      </c>
      <c r="H589">
        <v>8746.7885600000009</v>
      </c>
      <c r="I589" s="1">
        <v>44939</v>
      </c>
      <c r="J589">
        <v>8881.7000000000007</v>
      </c>
      <c r="K589" s="1">
        <v>44935</v>
      </c>
      <c r="L589">
        <v>25385.09</v>
      </c>
    </row>
    <row r="590" spans="1:12" x14ac:dyDescent="0.35">
      <c r="A590" s="1">
        <v>44942</v>
      </c>
      <c r="B590">
        <v>4157</v>
      </c>
      <c r="C590" s="1">
        <v>44938</v>
      </c>
      <c r="D590">
        <v>6975.68</v>
      </c>
      <c r="E590" s="1">
        <v>44936</v>
      </c>
      <c r="F590">
        <v>14774.6</v>
      </c>
      <c r="G590" s="1">
        <v>44931</v>
      </c>
      <c r="H590">
        <v>8631.6703799999996</v>
      </c>
      <c r="I590" s="1">
        <v>44938</v>
      </c>
      <c r="J590">
        <v>8828.1</v>
      </c>
      <c r="K590" s="1">
        <v>44932</v>
      </c>
      <c r="L590">
        <v>25180.35</v>
      </c>
    </row>
    <row r="591" spans="1:12" x14ac:dyDescent="0.35">
      <c r="A591" s="1">
        <v>44939</v>
      </c>
      <c r="B591">
        <v>4150.8</v>
      </c>
      <c r="C591" s="1">
        <v>44937</v>
      </c>
      <c r="D591">
        <v>6924.19</v>
      </c>
      <c r="E591" s="1">
        <v>44935</v>
      </c>
      <c r="F591">
        <v>14792.83</v>
      </c>
      <c r="G591" s="1">
        <v>44930</v>
      </c>
      <c r="H591">
        <v>8628.5380000000005</v>
      </c>
      <c r="I591" s="1">
        <v>44937</v>
      </c>
      <c r="J591">
        <v>8726.2999999999993</v>
      </c>
      <c r="K591" s="1">
        <v>44931</v>
      </c>
      <c r="L591">
        <v>24832.7</v>
      </c>
    </row>
    <row r="592" spans="1:12" x14ac:dyDescent="0.35">
      <c r="A592" s="1">
        <v>44938</v>
      </c>
      <c r="B592">
        <v>4126.68</v>
      </c>
      <c r="C592" s="1">
        <v>44936</v>
      </c>
      <c r="D592">
        <v>6869.14</v>
      </c>
      <c r="E592" s="1">
        <v>44932</v>
      </c>
      <c r="F592">
        <v>14610.02</v>
      </c>
      <c r="G592" s="1">
        <v>44929</v>
      </c>
      <c r="H592">
        <v>8570.5183799999995</v>
      </c>
      <c r="I592" s="1">
        <v>44936</v>
      </c>
      <c r="J592">
        <v>8712.7000000000007</v>
      </c>
      <c r="K592" s="1">
        <v>44930</v>
      </c>
      <c r="L592">
        <v>24860.560000000001</v>
      </c>
    </row>
    <row r="593" spans="1:12" x14ac:dyDescent="0.35">
      <c r="A593" s="1">
        <v>44937</v>
      </c>
      <c r="B593">
        <v>4099.76</v>
      </c>
      <c r="C593" s="1">
        <v>44935</v>
      </c>
      <c r="D593">
        <v>6907.36</v>
      </c>
      <c r="E593" s="1">
        <v>44931</v>
      </c>
      <c r="F593">
        <v>14436.31</v>
      </c>
      <c r="G593" s="1">
        <v>44925</v>
      </c>
      <c r="H593">
        <v>8416.6885000000002</v>
      </c>
      <c r="I593" s="1">
        <v>44935</v>
      </c>
      <c r="J593">
        <v>8694.9</v>
      </c>
      <c r="K593" s="1">
        <v>44929</v>
      </c>
      <c r="L593">
        <v>24436.47</v>
      </c>
    </row>
    <row r="594" spans="1:12" x14ac:dyDescent="0.35">
      <c r="A594" s="1">
        <v>44936</v>
      </c>
      <c r="B594">
        <v>4057.46</v>
      </c>
      <c r="C594" s="1">
        <v>44932</v>
      </c>
      <c r="D594">
        <v>6860.95</v>
      </c>
      <c r="E594" s="1">
        <v>44930</v>
      </c>
      <c r="F594">
        <v>14490.78</v>
      </c>
      <c r="G594" s="1">
        <v>44924</v>
      </c>
      <c r="H594">
        <v>8488.2061099999992</v>
      </c>
      <c r="I594" s="1">
        <v>44932</v>
      </c>
      <c r="J594">
        <v>8701.1</v>
      </c>
      <c r="K594" s="1">
        <v>44928</v>
      </c>
      <c r="L594">
        <v>24158.28</v>
      </c>
    </row>
    <row r="595" spans="1:12" x14ac:dyDescent="0.35">
      <c r="A595" s="1">
        <v>44935</v>
      </c>
      <c r="B595">
        <v>4068.62</v>
      </c>
      <c r="C595" s="1">
        <v>44931</v>
      </c>
      <c r="D595">
        <v>6761.5</v>
      </c>
      <c r="E595" s="1">
        <v>44929</v>
      </c>
      <c r="F595">
        <v>14181.67</v>
      </c>
      <c r="G595" s="1">
        <v>44923</v>
      </c>
      <c r="H595">
        <v>8495.2635599999994</v>
      </c>
      <c r="I595" s="1">
        <v>44931</v>
      </c>
      <c r="J595">
        <v>8607.6</v>
      </c>
      <c r="K595" s="1">
        <v>44925</v>
      </c>
      <c r="L595">
        <v>23706.959999999999</v>
      </c>
    </row>
    <row r="596" spans="1:12" x14ac:dyDescent="0.35">
      <c r="A596" s="1">
        <v>44932</v>
      </c>
      <c r="B596">
        <v>4017.83</v>
      </c>
      <c r="C596" s="1">
        <v>44930</v>
      </c>
      <c r="D596">
        <v>6776.43</v>
      </c>
      <c r="E596" s="1">
        <v>44928</v>
      </c>
      <c r="F596">
        <v>14069.26</v>
      </c>
      <c r="G596" s="1">
        <v>44918</v>
      </c>
      <c r="H596">
        <v>8480.5752300000004</v>
      </c>
      <c r="I596" s="1">
        <v>44930</v>
      </c>
      <c r="J596">
        <v>8559.7999999999993</v>
      </c>
      <c r="K596" s="1">
        <v>44924</v>
      </c>
      <c r="L596">
        <v>24056.55</v>
      </c>
    </row>
    <row r="597" spans="1:12" x14ac:dyDescent="0.35">
      <c r="A597" s="1">
        <v>44931</v>
      </c>
      <c r="B597">
        <v>3959.48</v>
      </c>
      <c r="C597" s="1">
        <v>44929</v>
      </c>
      <c r="D597">
        <v>6623.89</v>
      </c>
      <c r="E597" s="1">
        <v>44925</v>
      </c>
      <c r="F597">
        <v>13923.59</v>
      </c>
      <c r="G597" s="1">
        <v>44917</v>
      </c>
      <c r="H597">
        <v>8482.5899700000009</v>
      </c>
      <c r="I597" s="1">
        <v>44929</v>
      </c>
      <c r="J597">
        <v>8397.4</v>
      </c>
      <c r="K597" s="1">
        <v>44923</v>
      </c>
      <c r="L597">
        <v>23770.44</v>
      </c>
    </row>
    <row r="598" spans="1:12" x14ac:dyDescent="0.35">
      <c r="A598" s="1">
        <v>44930</v>
      </c>
      <c r="B598">
        <v>3973.97</v>
      </c>
      <c r="C598" s="1">
        <v>44928</v>
      </c>
      <c r="D598">
        <v>6594.57</v>
      </c>
      <c r="E598" s="1">
        <v>44924</v>
      </c>
      <c r="F598">
        <v>14071.72</v>
      </c>
      <c r="G598" s="1">
        <v>44916</v>
      </c>
      <c r="H598">
        <v>8535.5301500000005</v>
      </c>
      <c r="I598" s="1">
        <v>44928</v>
      </c>
      <c r="J598">
        <v>8369.7000000000007</v>
      </c>
      <c r="K598" s="1">
        <v>44922</v>
      </c>
      <c r="L598">
        <v>23855.86</v>
      </c>
    </row>
    <row r="599" spans="1:12" x14ac:dyDescent="0.35">
      <c r="A599" s="1">
        <v>44929</v>
      </c>
      <c r="B599">
        <v>3882.29</v>
      </c>
      <c r="C599" s="1">
        <v>44925</v>
      </c>
      <c r="D599">
        <v>6473.76</v>
      </c>
      <c r="E599" s="1">
        <v>44923</v>
      </c>
      <c r="F599">
        <v>13925.6</v>
      </c>
      <c r="G599" s="1">
        <v>44915</v>
      </c>
      <c r="H599">
        <v>8431.6004400000002</v>
      </c>
      <c r="I599" s="1">
        <v>44925</v>
      </c>
      <c r="J599">
        <v>8229.1</v>
      </c>
      <c r="K599" s="1">
        <v>44918</v>
      </c>
      <c r="L599">
        <v>23877.55</v>
      </c>
    </row>
    <row r="600" spans="1:12" x14ac:dyDescent="0.35">
      <c r="A600" s="1">
        <v>44928</v>
      </c>
      <c r="B600">
        <v>3856.09</v>
      </c>
      <c r="C600" s="1">
        <v>44924</v>
      </c>
      <c r="D600">
        <v>6573.47</v>
      </c>
      <c r="E600" s="1">
        <v>44922</v>
      </c>
      <c r="F600">
        <v>13995.1</v>
      </c>
      <c r="G600" s="1">
        <v>44914</v>
      </c>
      <c r="H600">
        <v>8439.3521999999994</v>
      </c>
      <c r="I600" s="1">
        <v>44924</v>
      </c>
      <c r="J600">
        <v>8318.2999999999993</v>
      </c>
      <c r="K600" s="1">
        <v>44917</v>
      </c>
      <c r="L600">
        <v>23813.3</v>
      </c>
    </row>
    <row r="601" spans="1:12" x14ac:dyDescent="0.35">
      <c r="A601" s="1">
        <v>44925</v>
      </c>
      <c r="B601">
        <v>3793.62</v>
      </c>
      <c r="C601" s="1">
        <v>44923</v>
      </c>
      <c r="D601">
        <v>6510.49</v>
      </c>
      <c r="E601" s="1">
        <v>44918</v>
      </c>
      <c r="F601">
        <v>13940.93</v>
      </c>
      <c r="G601" s="1">
        <v>44911</v>
      </c>
      <c r="H601">
        <v>8421.0487099999991</v>
      </c>
      <c r="I601" s="1">
        <v>44923</v>
      </c>
      <c r="J601">
        <v>8258.5</v>
      </c>
      <c r="K601" s="1">
        <v>44916</v>
      </c>
      <c r="L601">
        <v>24111.97</v>
      </c>
    </row>
    <row r="602" spans="1:12" x14ac:dyDescent="0.35">
      <c r="A602" s="1">
        <v>44924</v>
      </c>
      <c r="B602">
        <v>3850.07</v>
      </c>
      <c r="C602" s="1">
        <v>44922</v>
      </c>
      <c r="D602">
        <v>6550.66</v>
      </c>
      <c r="E602" s="1">
        <v>44917</v>
      </c>
      <c r="F602">
        <v>13914.07</v>
      </c>
      <c r="G602" s="1">
        <v>44910</v>
      </c>
      <c r="H602">
        <v>8519.1811500000003</v>
      </c>
      <c r="I602" s="1">
        <v>44922</v>
      </c>
      <c r="J602">
        <v>8270.1</v>
      </c>
      <c r="K602" s="1">
        <v>44915</v>
      </c>
      <c r="L602">
        <v>23718.25</v>
      </c>
    </row>
    <row r="603" spans="1:12" x14ac:dyDescent="0.35">
      <c r="A603" s="1">
        <v>44923</v>
      </c>
      <c r="B603">
        <v>3808.82</v>
      </c>
      <c r="C603" s="1">
        <v>44918</v>
      </c>
      <c r="D603">
        <v>6504.9</v>
      </c>
      <c r="E603" s="1">
        <v>44916</v>
      </c>
      <c r="F603">
        <v>14097.82</v>
      </c>
      <c r="G603" s="1">
        <v>44909</v>
      </c>
      <c r="H603">
        <v>8739.3874099999994</v>
      </c>
      <c r="I603" s="1">
        <v>44918</v>
      </c>
      <c r="J603">
        <v>8269.1</v>
      </c>
      <c r="K603" s="1">
        <v>44914</v>
      </c>
      <c r="L603">
        <v>23683.54</v>
      </c>
    </row>
    <row r="604" spans="1:12" x14ac:dyDescent="0.35">
      <c r="A604" s="1">
        <v>44922</v>
      </c>
      <c r="B604">
        <v>3832.89</v>
      </c>
      <c r="C604" s="1">
        <v>44917</v>
      </c>
      <c r="D604">
        <v>6517.97</v>
      </c>
      <c r="E604" s="1">
        <v>44915</v>
      </c>
      <c r="F604">
        <v>13884.66</v>
      </c>
      <c r="G604" s="1">
        <v>44908</v>
      </c>
      <c r="H604">
        <v>8741.2379299999993</v>
      </c>
      <c r="I604" s="1">
        <v>44917</v>
      </c>
      <c r="J604">
        <v>8272.1</v>
      </c>
      <c r="K604" s="1">
        <v>44911</v>
      </c>
      <c r="L604">
        <v>23688.16</v>
      </c>
    </row>
    <row r="605" spans="1:12" x14ac:dyDescent="0.35">
      <c r="A605" s="1">
        <v>44918</v>
      </c>
      <c r="B605">
        <v>3817.01</v>
      </c>
      <c r="C605" s="1">
        <v>44916</v>
      </c>
      <c r="D605">
        <v>6580.24</v>
      </c>
      <c r="E605" s="1">
        <v>44914</v>
      </c>
      <c r="F605">
        <v>13942.87</v>
      </c>
      <c r="G605" s="1">
        <v>44907</v>
      </c>
      <c r="H605">
        <v>8681.5458099999996</v>
      </c>
      <c r="I605" s="1">
        <v>44916</v>
      </c>
      <c r="J605">
        <v>8302.2999999999993</v>
      </c>
      <c r="K605" s="1">
        <v>44910</v>
      </c>
      <c r="L605">
        <v>23726.05</v>
      </c>
    </row>
    <row r="606" spans="1:12" x14ac:dyDescent="0.35">
      <c r="A606" s="1">
        <v>44917</v>
      </c>
      <c r="B606">
        <v>3823.29</v>
      </c>
      <c r="C606" s="1">
        <v>44915</v>
      </c>
      <c r="D606">
        <v>6450.43</v>
      </c>
      <c r="E606" s="1">
        <v>44911</v>
      </c>
      <c r="F606">
        <v>13893.07</v>
      </c>
      <c r="G606" s="1">
        <v>44904</v>
      </c>
      <c r="H606">
        <v>8710.9190999999992</v>
      </c>
      <c r="I606" s="1">
        <v>44915</v>
      </c>
      <c r="J606">
        <v>8185.2</v>
      </c>
      <c r="K606" s="1">
        <v>44909</v>
      </c>
      <c r="L606">
        <v>24573.93</v>
      </c>
    </row>
    <row r="607" spans="1:12" x14ac:dyDescent="0.35">
      <c r="A607" s="1">
        <v>44916</v>
      </c>
      <c r="B607">
        <v>3872.15</v>
      </c>
      <c r="C607" s="1">
        <v>44914</v>
      </c>
      <c r="D607">
        <v>6473.29</v>
      </c>
      <c r="E607" s="1">
        <v>44910</v>
      </c>
      <c r="F607">
        <v>13986.23</v>
      </c>
      <c r="G607" s="1">
        <v>44903</v>
      </c>
      <c r="H607">
        <v>8669.8148500000007</v>
      </c>
      <c r="I607" s="1">
        <v>44914</v>
      </c>
      <c r="J607">
        <v>8136.8</v>
      </c>
      <c r="K607" s="1">
        <v>44908</v>
      </c>
      <c r="L607">
        <v>24636.94</v>
      </c>
    </row>
    <row r="608" spans="1:12" x14ac:dyDescent="0.35">
      <c r="A608" s="1">
        <v>44915</v>
      </c>
      <c r="B608">
        <v>3802.49</v>
      </c>
      <c r="C608" s="1">
        <v>44911</v>
      </c>
      <c r="D608">
        <v>6452.63</v>
      </c>
      <c r="E608" s="1">
        <v>44909</v>
      </c>
      <c r="F608">
        <v>14460.2</v>
      </c>
      <c r="G608" s="1">
        <v>44902</v>
      </c>
      <c r="H608">
        <v>8703.9226600000002</v>
      </c>
      <c r="I608" s="1">
        <v>44911</v>
      </c>
      <c r="J608">
        <v>8112.5</v>
      </c>
      <c r="K608" s="1">
        <v>44907</v>
      </c>
      <c r="L608">
        <v>24303.68</v>
      </c>
    </row>
    <row r="609" spans="1:12" x14ac:dyDescent="0.35">
      <c r="A609" s="1">
        <v>44914</v>
      </c>
      <c r="B609">
        <v>3811.24</v>
      </c>
      <c r="C609" s="1">
        <v>44910</v>
      </c>
      <c r="D609">
        <v>6522.77</v>
      </c>
      <c r="E609" s="1">
        <v>44908</v>
      </c>
      <c r="F609">
        <v>14497.89</v>
      </c>
      <c r="G609" s="1">
        <v>44901</v>
      </c>
      <c r="H609">
        <v>8736.9246899999998</v>
      </c>
      <c r="I609" s="1">
        <v>44910</v>
      </c>
      <c r="J609">
        <v>8218.7999999999993</v>
      </c>
      <c r="K609" s="1">
        <v>44904</v>
      </c>
      <c r="L609">
        <v>24277.49</v>
      </c>
    </row>
    <row r="610" spans="1:12" x14ac:dyDescent="0.35">
      <c r="A610" s="1">
        <v>44911</v>
      </c>
      <c r="B610">
        <v>3804.02</v>
      </c>
      <c r="C610" s="1">
        <v>44909</v>
      </c>
      <c r="D610">
        <v>6730.79</v>
      </c>
      <c r="E610" s="1">
        <v>44907</v>
      </c>
      <c r="F610">
        <v>14306.63</v>
      </c>
      <c r="G610" s="1">
        <v>44900</v>
      </c>
      <c r="H610">
        <v>8783.9706800000004</v>
      </c>
      <c r="I610" s="1">
        <v>44909</v>
      </c>
      <c r="J610">
        <v>8360.6</v>
      </c>
      <c r="K610" s="1">
        <v>44903</v>
      </c>
      <c r="L610">
        <v>24207.42</v>
      </c>
    </row>
    <row r="611" spans="1:12" x14ac:dyDescent="0.35">
      <c r="A611" s="1">
        <v>44910</v>
      </c>
      <c r="B611">
        <v>3835.7</v>
      </c>
      <c r="C611" s="1">
        <v>44908</v>
      </c>
      <c r="D611">
        <v>6744.98</v>
      </c>
      <c r="E611" s="1">
        <v>44904</v>
      </c>
      <c r="F611">
        <v>14370.72</v>
      </c>
      <c r="G611" s="1">
        <v>44897</v>
      </c>
      <c r="H611">
        <v>8813.2087900000006</v>
      </c>
      <c r="I611" s="1">
        <v>44908</v>
      </c>
      <c r="J611">
        <v>8327.7000000000007</v>
      </c>
      <c r="K611" s="1">
        <v>44902</v>
      </c>
      <c r="L611">
        <v>24241.35</v>
      </c>
    </row>
    <row r="612" spans="1:12" x14ac:dyDescent="0.35">
      <c r="A612" s="1">
        <v>44909</v>
      </c>
      <c r="B612">
        <v>3975.26</v>
      </c>
      <c r="C612" s="1">
        <v>44907</v>
      </c>
      <c r="D612">
        <v>6650.55</v>
      </c>
      <c r="E612" s="1">
        <v>44903</v>
      </c>
      <c r="F612">
        <v>14264.56</v>
      </c>
      <c r="G612" s="1">
        <v>44896</v>
      </c>
      <c r="H612">
        <v>8818.7178700000004</v>
      </c>
      <c r="I612" s="1">
        <v>44907</v>
      </c>
      <c r="J612">
        <v>8258.9</v>
      </c>
      <c r="K612" s="1">
        <v>44901</v>
      </c>
      <c r="L612">
        <v>24265.45</v>
      </c>
    </row>
    <row r="613" spans="1:12" x14ac:dyDescent="0.35">
      <c r="A613" s="1">
        <v>44908</v>
      </c>
      <c r="B613">
        <v>3986.83</v>
      </c>
      <c r="C613" s="1">
        <v>44904</v>
      </c>
      <c r="D613">
        <v>6677.64</v>
      </c>
      <c r="E613" s="1">
        <v>44902</v>
      </c>
      <c r="F613">
        <v>14261.19</v>
      </c>
      <c r="G613" s="1">
        <v>44895</v>
      </c>
      <c r="H613">
        <v>8768.2924000000003</v>
      </c>
      <c r="I613" s="1">
        <v>44904</v>
      </c>
      <c r="J613">
        <v>8289.2000000000007</v>
      </c>
      <c r="K613" s="1">
        <v>44900</v>
      </c>
      <c r="L613">
        <v>24547.84</v>
      </c>
    </row>
    <row r="614" spans="1:12" x14ac:dyDescent="0.35">
      <c r="A614" s="1">
        <v>44907</v>
      </c>
      <c r="B614">
        <v>3921.82</v>
      </c>
      <c r="C614" s="1">
        <v>44903</v>
      </c>
      <c r="D614">
        <v>6647.31</v>
      </c>
      <c r="E614" s="1">
        <v>44901</v>
      </c>
      <c r="F614">
        <v>14343.19</v>
      </c>
      <c r="G614" s="1">
        <v>44894</v>
      </c>
      <c r="H614">
        <v>8696.9199200000003</v>
      </c>
      <c r="I614" s="1">
        <v>44903</v>
      </c>
      <c r="J614">
        <v>8225.2000000000007</v>
      </c>
      <c r="K614" s="1">
        <v>44897</v>
      </c>
      <c r="L614">
        <v>24621.72</v>
      </c>
    </row>
    <row r="615" spans="1:12" x14ac:dyDescent="0.35">
      <c r="A615" s="1">
        <v>44904</v>
      </c>
      <c r="B615">
        <v>3942.62</v>
      </c>
      <c r="C615" s="1">
        <v>44902</v>
      </c>
      <c r="D615">
        <v>6660.59</v>
      </c>
      <c r="E615" s="1">
        <v>44900</v>
      </c>
      <c r="F615">
        <v>14447.61</v>
      </c>
      <c r="G615" s="1">
        <v>44893</v>
      </c>
      <c r="H615">
        <v>8649.5384799999993</v>
      </c>
      <c r="I615" s="1">
        <v>44902</v>
      </c>
      <c r="J615">
        <v>8290.5</v>
      </c>
      <c r="K615" s="1">
        <v>44896</v>
      </c>
      <c r="L615">
        <v>24685.67</v>
      </c>
    </row>
    <row r="616" spans="1:12" x14ac:dyDescent="0.35">
      <c r="A616" s="1">
        <v>44903</v>
      </c>
      <c r="B616">
        <v>3921.27</v>
      </c>
      <c r="C616" s="1">
        <v>44901</v>
      </c>
      <c r="D616">
        <v>6687.79</v>
      </c>
      <c r="E616" s="1">
        <v>44897</v>
      </c>
      <c r="F616">
        <v>14529.39</v>
      </c>
      <c r="G616" s="1">
        <v>44890</v>
      </c>
      <c r="H616">
        <v>8701.83295</v>
      </c>
      <c r="I616" s="1">
        <v>44901</v>
      </c>
      <c r="J616">
        <v>8331.9</v>
      </c>
      <c r="K616" s="1">
        <v>44895</v>
      </c>
      <c r="L616">
        <v>24610.29</v>
      </c>
    </row>
    <row r="617" spans="1:12" x14ac:dyDescent="0.35">
      <c r="A617" s="1">
        <v>44902</v>
      </c>
      <c r="B617">
        <v>3920.9</v>
      </c>
      <c r="C617" s="1">
        <v>44900</v>
      </c>
      <c r="D617">
        <v>6696.96</v>
      </c>
      <c r="E617" s="1">
        <v>44896</v>
      </c>
      <c r="F617">
        <v>14490.3</v>
      </c>
      <c r="G617" s="1">
        <v>44889</v>
      </c>
      <c r="H617">
        <v>8696.8064599999998</v>
      </c>
      <c r="I617" s="1">
        <v>44900</v>
      </c>
      <c r="J617">
        <v>8370.1</v>
      </c>
      <c r="K617" s="1">
        <v>44894</v>
      </c>
      <c r="L617">
        <v>24465.95</v>
      </c>
    </row>
    <row r="618" spans="1:12" x14ac:dyDescent="0.35">
      <c r="A618" s="1">
        <v>44901</v>
      </c>
      <c r="B618">
        <v>3939.19</v>
      </c>
      <c r="C618" s="1">
        <v>44897</v>
      </c>
      <c r="D618">
        <v>6742.25</v>
      </c>
      <c r="E618" s="1">
        <v>44895</v>
      </c>
      <c r="F618">
        <v>14397.04</v>
      </c>
      <c r="G618" s="1">
        <v>44888</v>
      </c>
      <c r="H618">
        <v>8665.2679700000008</v>
      </c>
      <c r="I618" s="1">
        <v>44897</v>
      </c>
      <c r="J618">
        <v>8382.6</v>
      </c>
      <c r="K618" s="1">
        <v>44893</v>
      </c>
      <c r="L618">
        <v>24440.880000000001</v>
      </c>
    </row>
    <row r="619" spans="1:12" x14ac:dyDescent="0.35">
      <c r="A619" s="1">
        <v>44900</v>
      </c>
      <c r="B619">
        <v>3956.53</v>
      </c>
      <c r="C619" s="1">
        <v>44896</v>
      </c>
      <c r="D619">
        <v>6753.97</v>
      </c>
      <c r="E619" s="1">
        <v>44894</v>
      </c>
      <c r="F619">
        <v>14355.45</v>
      </c>
      <c r="G619" s="1">
        <v>44887</v>
      </c>
      <c r="H619">
        <v>8600.8784799999994</v>
      </c>
      <c r="I619" s="1">
        <v>44896</v>
      </c>
      <c r="J619">
        <v>8407.9</v>
      </c>
      <c r="K619" s="1">
        <v>44890</v>
      </c>
      <c r="L619">
        <v>24718.81</v>
      </c>
    </row>
    <row r="620" spans="1:12" x14ac:dyDescent="0.35">
      <c r="A620" s="1">
        <v>44897</v>
      </c>
      <c r="B620">
        <v>3977.9</v>
      </c>
      <c r="C620" s="1">
        <v>44895</v>
      </c>
      <c r="D620">
        <v>6738.55</v>
      </c>
      <c r="E620" s="1">
        <v>44893</v>
      </c>
      <c r="F620">
        <v>14383.36</v>
      </c>
      <c r="G620" s="1">
        <v>44886</v>
      </c>
      <c r="H620">
        <v>8501.4357500000006</v>
      </c>
      <c r="I620" s="1">
        <v>44895</v>
      </c>
      <c r="J620">
        <v>8363.2000000000007</v>
      </c>
      <c r="K620" s="1">
        <v>44889</v>
      </c>
      <c r="L620">
        <v>24730.89</v>
      </c>
    </row>
    <row r="621" spans="1:12" x14ac:dyDescent="0.35">
      <c r="A621" s="1">
        <v>44896</v>
      </c>
      <c r="B621">
        <v>3984.5</v>
      </c>
      <c r="C621" s="1">
        <v>44894</v>
      </c>
      <c r="D621">
        <v>6668.97</v>
      </c>
      <c r="E621" s="1">
        <v>44890</v>
      </c>
      <c r="F621">
        <v>14541.38</v>
      </c>
      <c r="G621" s="1">
        <v>44883</v>
      </c>
      <c r="H621">
        <v>8490.5247299999992</v>
      </c>
      <c r="I621" s="1">
        <v>44894</v>
      </c>
      <c r="J621">
        <v>8322.1</v>
      </c>
      <c r="K621" s="1">
        <v>44888</v>
      </c>
      <c r="L621">
        <v>24581.14</v>
      </c>
    </row>
    <row r="622" spans="1:12" x14ac:dyDescent="0.35">
      <c r="A622" s="1">
        <v>44895</v>
      </c>
      <c r="B622">
        <v>3964.72</v>
      </c>
      <c r="C622" s="1">
        <v>44893</v>
      </c>
      <c r="D622">
        <v>6665.2</v>
      </c>
      <c r="E622" s="1">
        <v>44889</v>
      </c>
      <c r="F622">
        <v>14539.56</v>
      </c>
      <c r="G622" s="1">
        <v>44882</v>
      </c>
      <c r="H622">
        <v>8402.0283999999992</v>
      </c>
      <c r="I622" s="1">
        <v>44893</v>
      </c>
      <c r="J622">
        <v>8323.2000000000007</v>
      </c>
      <c r="K622" s="1">
        <v>44887</v>
      </c>
      <c r="L622">
        <v>24590.5</v>
      </c>
    </row>
    <row r="623" spans="1:12" x14ac:dyDescent="0.35">
      <c r="A623" s="1">
        <v>44894</v>
      </c>
      <c r="B623">
        <v>3934.44</v>
      </c>
      <c r="C623" s="1">
        <v>44890</v>
      </c>
      <c r="D623">
        <v>6712.48</v>
      </c>
      <c r="E623" s="1">
        <v>44888</v>
      </c>
      <c r="F623">
        <v>14427.59</v>
      </c>
      <c r="G623" s="1">
        <v>44881</v>
      </c>
      <c r="H623">
        <v>8420.8787599999996</v>
      </c>
      <c r="I623" s="1">
        <v>44890</v>
      </c>
      <c r="J623">
        <v>8416.6</v>
      </c>
      <c r="K623" s="1">
        <v>44886</v>
      </c>
      <c r="L623">
        <v>24356.05</v>
      </c>
    </row>
    <row r="624" spans="1:12" x14ac:dyDescent="0.35">
      <c r="A624" s="1">
        <v>44893</v>
      </c>
      <c r="B624">
        <v>3935.51</v>
      </c>
      <c r="C624" s="1">
        <v>44889</v>
      </c>
      <c r="D624">
        <v>6707.32</v>
      </c>
      <c r="E624" s="1">
        <v>44887</v>
      </c>
      <c r="F624">
        <v>14422.35</v>
      </c>
      <c r="G624" s="1">
        <v>44880</v>
      </c>
      <c r="H624">
        <v>8438.8426099999997</v>
      </c>
      <c r="I624" s="1">
        <v>44889</v>
      </c>
      <c r="J624">
        <v>8388.1</v>
      </c>
      <c r="K624" s="1">
        <v>44883</v>
      </c>
      <c r="L624">
        <v>24675.18</v>
      </c>
    </row>
    <row r="625" spans="1:12" x14ac:dyDescent="0.35">
      <c r="A625" s="1">
        <v>44890</v>
      </c>
      <c r="B625">
        <v>3962.41</v>
      </c>
      <c r="C625" s="1">
        <v>44888</v>
      </c>
      <c r="D625">
        <v>6679.09</v>
      </c>
      <c r="E625" s="1">
        <v>44886</v>
      </c>
      <c r="F625">
        <v>14379.93</v>
      </c>
      <c r="G625" s="1">
        <v>44879</v>
      </c>
      <c r="H625">
        <v>8401.2024799999999</v>
      </c>
      <c r="I625" s="1">
        <v>44888</v>
      </c>
      <c r="J625">
        <v>8331.2000000000007</v>
      </c>
      <c r="K625" s="1">
        <v>44882</v>
      </c>
      <c r="L625">
        <v>24339.67</v>
      </c>
    </row>
    <row r="626" spans="1:12" x14ac:dyDescent="0.35">
      <c r="A626" s="1">
        <v>44889</v>
      </c>
      <c r="B626">
        <v>3961.99</v>
      </c>
      <c r="C626" s="1">
        <v>44887</v>
      </c>
      <c r="D626">
        <v>6657.53</v>
      </c>
      <c r="E626" s="1">
        <v>44883</v>
      </c>
      <c r="F626">
        <v>14431.86</v>
      </c>
      <c r="G626" s="1">
        <v>44876</v>
      </c>
      <c r="H626">
        <v>8349.0189499999997</v>
      </c>
      <c r="I626" s="1">
        <v>44887</v>
      </c>
      <c r="J626">
        <v>8325</v>
      </c>
      <c r="K626" s="1">
        <v>44881</v>
      </c>
      <c r="L626">
        <v>24531.27</v>
      </c>
    </row>
    <row r="627" spans="1:12" x14ac:dyDescent="0.35">
      <c r="A627" s="1">
        <v>44888</v>
      </c>
      <c r="B627">
        <v>3946.44</v>
      </c>
      <c r="C627" s="1">
        <v>44886</v>
      </c>
      <c r="D627">
        <v>6634.45</v>
      </c>
      <c r="E627" s="1">
        <v>44882</v>
      </c>
      <c r="F627">
        <v>14266.38</v>
      </c>
      <c r="G627" s="1">
        <v>44875</v>
      </c>
      <c r="H627">
        <v>8466.7710700000007</v>
      </c>
      <c r="I627" s="1">
        <v>44886</v>
      </c>
      <c r="J627">
        <v>8188.4</v>
      </c>
      <c r="K627" s="1">
        <v>44880</v>
      </c>
      <c r="L627">
        <v>24699.75</v>
      </c>
    </row>
    <row r="628" spans="1:12" x14ac:dyDescent="0.35">
      <c r="A628" s="1">
        <v>44887</v>
      </c>
      <c r="B628">
        <v>3929.9</v>
      </c>
      <c r="C628" s="1">
        <v>44883</v>
      </c>
      <c r="D628">
        <v>6644.46</v>
      </c>
      <c r="E628" s="1">
        <v>44881</v>
      </c>
      <c r="F628">
        <v>14234.03</v>
      </c>
      <c r="G628" s="1">
        <v>44874</v>
      </c>
      <c r="H628">
        <v>8280.0467499999995</v>
      </c>
      <c r="I628" s="1">
        <v>44883</v>
      </c>
      <c r="J628">
        <v>8127.8</v>
      </c>
      <c r="K628" s="1">
        <v>44879</v>
      </c>
      <c r="L628">
        <v>24596.69</v>
      </c>
    </row>
    <row r="629" spans="1:12" x14ac:dyDescent="0.35">
      <c r="A629" s="1">
        <v>44886</v>
      </c>
      <c r="B629">
        <v>3909.28</v>
      </c>
      <c r="C629" s="1">
        <v>44882</v>
      </c>
      <c r="D629">
        <v>6576.12</v>
      </c>
      <c r="E629" s="1">
        <v>44880</v>
      </c>
      <c r="F629">
        <v>14378.51</v>
      </c>
      <c r="G629" s="1">
        <v>44873</v>
      </c>
      <c r="H629">
        <v>8385.2586200000005</v>
      </c>
      <c r="I629" s="1">
        <v>44882</v>
      </c>
      <c r="J629">
        <v>8040.7</v>
      </c>
      <c r="K629" s="1">
        <v>44876</v>
      </c>
      <c r="L629">
        <v>24455.57</v>
      </c>
    </row>
    <row r="630" spans="1:12" x14ac:dyDescent="0.35">
      <c r="A630" s="1">
        <v>44883</v>
      </c>
      <c r="B630">
        <v>3924.84</v>
      </c>
      <c r="C630" s="1">
        <v>44881</v>
      </c>
      <c r="D630">
        <v>6607.22</v>
      </c>
      <c r="E630" s="1">
        <v>44879</v>
      </c>
      <c r="F630">
        <v>14313.3</v>
      </c>
      <c r="G630" s="1">
        <v>44872</v>
      </c>
      <c r="H630">
        <v>8389.6712100000004</v>
      </c>
      <c r="I630" s="1">
        <v>44881</v>
      </c>
      <c r="J630">
        <v>8101.4</v>
      </c>
      <c r="K630" s="1">
        <v>44875</v>
      </c>
      <c r="L630">
        <v>24394.28</v>
      </c>
    </row>
    <row r="631" spans="1:12" x14ac:dyDescent="0.35">
      <c r="A631" s="1">
        <v>44882</v>
      </c>
      <c r="B631">
        <v>3878.42</v>
      </c>
      <c r="C631" s="1">
        <v>44880</v>
      </c>
      <c r="D631">
        <v>6641.66</v>
      </c>
      <c r="E631" s="1">
        <v>44876</v>
      </c>
      <c r="F631">
        <v>14224.86</v>
      </c>
      <c r="G631" s="1">
        <v>44869</v>
      </c>
      <c r="H631">
        <v>8377.0776700000006</v>
      </c>
      <c r="I631" s="1">
        <v>44880</v>
      </c>
      <c r="J631">
        <v>8188.4</v>
      </c>
      <c r="K631" s="1">
        <v>44874</v>
      </c>
      <c r="L631">
        <v>23780.07</v>
      </c>
    </row>
    <row r="632" spans="1:12" x14ac:dyDescent="0.35">
      <c r="A632" s="1">
        <v>44881</v>
      </c>
      <c r="B632">
        <v>3882.78</v>
      </c>
      <c r="C632" s="1">
        <v>44879</v>
      </c>
      <c r="D632">
        <v>6609.17</v>
      </c>
      <c r="E632" s="1">
        <v>44875</v>
      </c>
      <c r="F632">
        <v>14146.09</v>
      </c>
      <c r="G632" s="1">
        <v>44868</v>
      </c>
      <c r="H632">
        <v>8243.2869100000007</v>
      </c>
      <c r="I632" s="1">
        <v>44879</v>
      </c>
      <c r="J632">
        <v>8166.5</v>
      </c>
      <c r="K632" s="1">
        <v>44873</v>
      </c>
      <c r="L632">
        <v>23694.17</v>
      </c>
    </row>
    <row r="633" spans="1:12" x14ac:dyDescent="0.35">
      <c r="A633" s="1">
        <v>44880</v>
      </c>
      <c r="B633">
        <v>3915.09</v>
      </c>
      <c r="C633" s="1">
        <v>44876</v>
      </c>
      <c r="D633">
        <v>6594.62</v>
      </c>
      <c r="E633" s="1">
        <v>44874</v>
      </c>
      <c r="F633">
        <v>13666.32</v>
      </c>
      <c r="G633" s="1">
        <v>44867</v>
      </c>
      <c r="H633">
        <v>8296.0241100000003</v>
      </c>
      <c r="I633" s="1">
        <v>44876</v>
      </c>
      <c r="J633">
        <v>8098.1</v>
      </c>
      <c r="K633" s="1">
        <v>44872</v>
      </c>
      <c r="L633">
        <v>23493</v>
      </c>
    </row>
    <row r="634" spans="1:12" x14ac:dyDescent="0.35">
      <c r="A634" s="1">
        <v>44879</v>
      </c>
      <c r="B634">
        <v>3887.51</v>
      </c>
      <c r="C634" s="1">
        <v>44875</v>
      </c>
      <c r="D634">
        <v>6556.83</v>
      </c>
      <c r="E634" s="1">
        <v>44873</v>
      </c>
      <c r="F634">
        <v>13688.75</v>
      </c>
      <c r="G634" s="1">
        <v>44866</v>
      </c>
      <c r="H634">
        <v>8352.5838700000004</v>
      </c>
      <c r="I634" s="1">
        <v>44875</v>
      </c>
      <c r="J634">
        <v>8133.2</v>
      </c>
      <c r="K634" s="1">
        <v>44869</v>
      </c>
      <c r="L634">
        <v>23282.46</v>
      </c>
    </row>
    <row r="635" spans="1:12" x14ac:dyDescent="0.35">
      <c r="A635" s="1">
        <v>44876</v>
      </c>
      <c r="B635">
        <v>3868.5</v>
      </c>
      <c r="C635" s="1">
        <v>44874</v>
      </c>
      <c r="D635">
        <v>6430.57</v>
      </c>
      <c r="E635" s="1">
        <v>44872</v>
      </c>
      <c r="F635">
        <v>13533.52</v>
      </c>
      <c r="G635" s="1">
        <v>44865</v>
      </c>
      <c r="H635">
        <v>8228.9946400000008</v>
      </c>
      <c r="I635" s="1">
        <v>44874</v>
      </c>
      <c r="J635">
        <v>8040.4</v>
      </c>
      <c r="K635" s="1">
        <v>44868</v>
      </c>
      <c r="L635">
        <v>22706.02</v>
      </c>
    </row>
    <row r="636" spans="1:12" x14ac:dyDescent="0.35">
      <c r="A636" s="1">
        <v>44875</v>
      </c>
      <c r="B636">
        <v>3846.56</v>
      </c>
      <c r="C636" s="1">
        <v>44873</v>
      </c>
      <c r="D636">
        <v>6441.5</v>
      </c>
      <c r="E636" s="1">
        <v>44869</v>
      </c>
      <c r="F636">
        <v>13459.85</v>
      </c>
      <c r="G636" s="1">
        <v>44862</v>
      </c>
      <c r="H636">
        <v>8217.6725700000006</v>
      </c>
      <c r="I636" s="1">
        <v>44873</v>
      </c>
      <c r="J636">
        <v>7998.9</v>
      </c>
      <c r="K636" s="1">
        <v>44867</v>
      </c>
      <c r="L636">
        <v>22802.97</v>
      </c>
    </row>
    <row r="637" spans="1:12" x14ac:dyDescent="0.35">
      <c r="A637" s="1">
        <v>44874</v>
      </c>
      <c r="B637">
        <v>3728.03</v>
      </c>
      <c r="C637" s="1">
        <v>44872</v>
      </c>
      <c r="D637">
        <v>6416.61</v>
      </c>
      <c r="E637" s="1">
        <v>44868</v>
      </c>
      <c r="F637">
        <v>13130.19</v>
      </c>
      <c r="G637" s="1">
        <v>44861</v>
      </c>
      <c r="H637">
        <v>8204.4311899999993</v>
      </c>
      <c r="I637" s="1">
        <v>44872</v>
      </c>
      <c r="J637">
        <v>7962.3</v>
      </c>
      <c r="K637" s="1">
        <v>44866</v>
      </c>
      <c r="L637">
        <v>22795.64</v>
      </c>
    </row>
    <row r="638" spans="1:12" x14ac:dyDescent="0.35">
      <c r="A638" s="1">
        <v>44873</v>
      </c>
      <c r="B638">
        <v>3739.28</v>
      </c>
      <c r="C638" s="1">
        <v>44869</v>
      </c>
      <c r="D638">
        <v>6416.44</v>
      </c>
      <c r="E638" s="1">
        <v>44867</v>
      </c>
      <c r="F638">
        <v>13256.74</v>
      </c>
      <c r="G638" s="1">
        <v>44860</v>
      </c>
      <c r="H638">
        <v>8131.0072200000004</v>
      </c>
      <c r="I638" s="1">
        <v>44869</v>
      </c>
      <c r="J638">
        <v>7942.7</v>
      </c>
      <c r="K638" s="1">
        <v>44865</v>
      </c>
      <c r="L638">
        <v>22652.11</v>
      </c>
    </row>
    <row r="639" spans="1:12" x14ac:dyDescent="0.35">
      <c r="A639" s="1">
        <v>44872</v>
      </c>
      <c r="B639">
        <v>3708.8</v>
      </c>
      <c r="C639" s="1">
        <v>44868</v>
      </c>
      <c r="D639">
        <v>6243.28</v>
      </c>
      <c r="E639" s="1">
        <v>44866</v>
      </c>
      <c r="F639">
        <v>13338.74</v>
      </c>
      <c r="G639" s="1">
        <v>44859</v>
      </c>
      <c r="H639">
        <v>8081.6370900000002</v>
      </c>
      <c r="I639" s="1">
        <v>44868</v>
      </c>
      <c r="J639">
        <v>7868.9</v>
      </c>
      <c r="K639" s="1">
        <v>44862</v>
      </c>
      <c r="L639">
        <v>22529.200000000001</v>
      </c>
    </row>
    <row r="640" spans="1:12" x14ac:dyDescent="0.35">
      <c r="A640" s="1">
        <v>44869</v>
      </c>
      <c r="B640">
        <v>3688.33</v>
      </c>
      <c r="C640" s="1">
        <v>44867</v>
      </c>
      <c r="D640">
        <v>6276.88</v>
      </c>
      <c r="E640" s="1">
        <v>44865</v>
      </c>
      <c r="F640">
        <v>13253.74</v>
      </c>
      <c r="G640" s="1">
        <v>44858</v>
      </c>
      <c r="H640">
        <v>8011.6236699999999</v>
      </c>
      <c r="I640" s="1">
        <v>44867</v>
      </c>
      <c r="J640">
        <v>7968.6</v>
      </c>
      <c r="K640" s="1">
        <v>44861</v>
      </c>
      <c r="L640">
        <v>22590.41</v>
      </c>
    </row>
    <row r="641" spans="1:12" x14ac:dyDescent="0.35">
      <c r="A641" s="1">
        <v>44868</v>
      </c>
      <c r="B641">
        <v>3593.18</v>
      </c>
      <c r="C641" s="1">
        <v>44866</v>
      </c>
      <c r="D641">
        <v>6328.25</v>
      </c>
      <c r="E641" s="1">
        <v>44862</v>
      </c>
      <c r="F641">
        <v>13243.33</v>
      </c>
      <c r="G641" s="1">
        <v>44855</v>
      </c>
      <c r="H641">
        <v>7976.3349699999999</v>
      </c>
      <c r="I641" s="1">
        <v>44866</v>
      </c>
      <c r="J641">
        <v>7999</v>
      </c>
      <c r="K641" s="1">
        <v>44860</v>
      </c>
      <c r="L641">
        <v>22389.78</v>
      </c>
    </row>
    <row r="642" spans="1:12" x14ac:dyDescent="0.35">
      <c r="A642" s="1">
        <v>44867</v>
      </c>
      <c r="B642">
        <v>3622.01</v>
      </c>
      <c r="C642" s="1">
        <v>44865</v>
      </c>
      <c r="D642">
        <v>6266.77</v>
      </c>
      <c r="E642" s="1">
        <v>44861</v>
      </c>
      <c r="F642">
        <v>13211.23</v>
      </c>
      <c r="G642" s="1">
        <v>44854</v>
      </c>
      <c r="H642">
        <v>7972.4275299999999</v>
      </c>
      <c r="I642" s="1">
        <v>44865</v>
      </c>
      <c r="J642">
        <v>7956.5</v>
      </c>
      <c r="K642" s="1">
        <v>44859</v>
      </c>
      <c r="L642">
        <v>22289.85</v>
      </c>
    </row>
    <row r="643" spans="1:12" x14ac:dyDescent="0.35">
      <c r="A643" s="1">
        <v>44866</v>
      </c>
      <c r="B643">
        <v>3651.02</v>
      </c>
      <c r="C643" s="1">
        <v>44862</v>
      </c>
      <c r="D643">
        <v>6273.05</v>
      </c>
      <c r="E643" s="1">
        <v>44860</v>
      </c>
      <c r="F643">
        <v>13195.81</v>
      </c>
      <c r="G643" s="1">
        <v>44853</v>
      </c>
      <c r="H643">
        <v>7937.5730100000001</v>
      </c>
      <c r="I643" s="1">
        <v>44862</v>
      </c>
      <c r="J643">
        <v>7916.5</v>
      </c>
      <c r="K643" s="1">
        <v>44858</v>
      </c>
      <c r="L643">
        <v>21982.95</v>
      </c>
    </row>
    <row r="644" spans="1:12" x14ac:dyDescent="0.35">
      <c r="A644" s="1">
        <v>44865</v>
      </c>
      <c r="B644">
        <v>3617.54</v>
      </c>
      <c r="C644" s="1">
        <v>44861</v>
      </c>
      <c r="D644">
        <v>6244.03</v>
      </c>
      <c r="E644" s="1">
        <v>44859</v>
      </c>
      <c r="F644">
        <v>13052.96</v>
      </c>
      <c r="G644" s="1">
        <v>44852</v>
      </c>
      <c r="H644">
        <v>7962.1894899999998</v>
      </c>
      <c r="I644" s="1">
        <v>44861</v>
      </c>
      <c r="J644">
        <v>7921.1</v>
      </c>
      <c r="K644" s="1">
        <v>44855</v>
      </c>
      <c r="L644">
        <v>21567.55</v>
      </c>
    </row>
    <row r="645" spans="1:12" x14ac:dyDescent="0.35">
      <c r="A645" s="1">
        <v>44862</v>
      </c>
      <c r="B645">
        <v>3613.02</v>
      </c>
      <c r="C645" s="1">
        <v>44860</v>
      </c>
      <c r="D645">
        <v>6276.31</v>
      </c>
      <c r="E645" s="1">
        <v>44858</v>
      </c>
      <c r="F645">
        <v>12931.45</v>
      </c>
      <c r="G645" s="1">
        <v>44851</v>
      </c>
      <c r="H645">
        <v>8011.1325900000002</v>
      </c>
      <c r="I645" s="1">
        <v>44860</v>
      </c>
      <c r="J645">
        <v>7870.6</v>
      </c>
      <c r="K645" s="1">
        <v>44854</v>
      </c>
      <c r="L645">
        <v>21701.5</v>
      </c>
    </row>
    <row r="646" spans="1:12" x14ac:dyDescent="0.35">
      <c r="A646" s="1">
        <v>44861</v>
      </c>
      <c r="B646">
        <v>3604.51</v>
      </c>
      <c r="C646" s="1">
        <v>44859</v>
      </c>
      <c r="D646">
        <v>6250.55</v>
      </c>
      <c r="E646" s="1">
        <v>44855</v>
      </c>
      <c r="F646">
        <v>12730.9</v>
      </c>
      <c r="G646" s="1">
        <v>44848</v>
      </c>
      <c r="H646">
        <v>7877.2335000000003</v>
      </c>
      <c r="I646" s="1">
        <v>44859</v>
      </c>
      <c r="J646">
        <v>7794.9</v>
      </c>
      <c r="K646" s="1">
        <v>44853</v>
      </c>
      <c r="L646">
        <v>21472.11</v>
      </c>
    </row>
    <row r="647" spans="1:12" x14ac:dyDescent="0.35">
      <c r="A647" s="1">
        <v>44860</v>
      </c>
      <c r="B647">
        <v>3605.31</v>
      </c>
      <c r="C647" s="1">
        <v>44858</v>
      </c>
      <c r="D647">
        <v>6131.36</v>
      </c>
      <c r="E647" s="1">
        <v>44854</v>
      </c>
      <c r="F647">
        <v>12767.41</v>
      </c>
      <c r="G647" s="1">
        <v>44847</v>
      </c>
      <c r="H647">
        <v>7939.3052500000003</v>
      </c>
      <c r="I647" s="1">
        <v>44858</v>
      </c>
      <c r="J647">
        <v>7680.5</v>
      </c>
      <c r="K647" s="1">
        <v>44852</v>
      </c>
      <c r="L647">
        <v>21518.78</v>
      </c>
    </row>
    <row r="648" spans="1:12" x14ac:dyDescent="0.35">
      <c r="A648" s="1">
        <v>44859</v>
      </c>
      <c r="B648">
        <v>3585.58</v>
      </c>
      <c r="C648" s="1">
        <v>44855</v>
      </c>
      <c r="D648">
        <v>6035.39</v>
      </c>
      <c r="E648" s="1">
        <v>44853</v>
      </c>
      <c r="F648">
        <v>12741.41</v>
      </c>
      <c r="G648" s="1">
        <v>44846</v>
      </c>
      <c r="H648">
        <v>7798.1926299999996</v>
      </c>
      <c r="I648" s="1">
        <v>44855</v>
      </c>
      <c r="J648">
        <v>7545.6</v>
      </c>
      <c r="K648" s="1">
        <v>44851</v>
      </c>
      <c r="L648">
        <v>21319.73</v>
      </c>
    </row>
    <row r="649" spans="1:12" x14ac:dyDescent="0.35">
      <c r="A649" s="1">
        <v>44858</v>
      </c>
      <c r="B649">
        <v>3527.79</v>
      </c>
      <c r="C649" s="1">
        <v>44854</v>
      </c>
      <c r="D649">
        <v>6086.9</v>
      </c>
      <c r="E649" s="1">
        <v>44852</v>
      </c>
      <c r="F649">
        <v>12765.61</v>
      </c>
      <c r="G649" s="1">
        <v>44845</v>
      </c>
      <c r="H649">
        <v>7870.2444699999996</v>
      </c>
      <c r="I649" s="1">
        <v>44854</v>
      </c>
      <c r="J649">
        <v>7644.4</v>
      </c>
      <c r="K649" s="1">
        <v>44848</v>
      </c>
      <c r="L649">
        <v>20930.810000000001</v>
      </c>
    </row>
    <row r="650" spans="1:12" x14ac:dyDescent="0.35">
      <c r="A650" s="1">
        <v>44855</v>
      </c>
      <c r="B650">
        <v>3476.63</v>
      </c>
      <c r="C650" s="1">
        <v>44853</v>
      </c>
      <c r="D650">
        <v>6040.72</v>
      </c>
      <c r="E650" s="1">
        <v>44851</v>
      </c>
      <c r="F650">
        <v>12649.03</v>
      </c>
      <c r="G650" s="1">
        <v>44844</v>
      </c>
      <c r="H650">
        <v>7917.90254</v>
      </c>
      <c r="I650" s="1">
        <v>44853</v>
      </c>
      <c r="J650">
        <v>7583.6</v>
      </c>
      <c r="K650" s="1">
        <v>44847</v>
      </c>
      <c r="L650">
        <v>20785.82</v>
      </c>
    </row>
    <row r="651" spans="1:12" x14ac:dyDescent="0.35">
      <c r="A651" s="1">
        <v>44854</v>
      </c>
      <c r="B651">
        <v>3492.85</v>
      </c>
      <c r="C651" s="1">
        <v>44852</v>
      </c>
      <c r="D651">
        <v>6067</v>
      </c>
      <c r="E651" s="1">
        <v>44848</v>
      </c>
      <c r="F651">
        <v>12437.81</v>
      </c>
      <c r="G651" s="1">
        <v>44841</v>
      </c>
      <c r="H651">
        <v>7948.6852600000002</v>
      </c>
      <c r="I651" s="1">
        <v>44852</v>
      </c>
      <c r="J651">
        <v>7611.3</v>
      </c>
      <c r="K651" s="1">
        <v>44846</v>
      </c>
      <c r="L651">
        <v>20466.77</v>
      </c>
    </row>
    <row r="652" spans="1:12" x14ac:dyDescent="0.35">
      <c r="A652" s="1">
        <v>44853</v>
      </c>
      <c r="B652">
        <v>3471.24</v>
      </c>
      <c r="C652" s="1">
        <v>44851</v>
      </c>
      <c r="D652">
        <v>6040.66</v>
      </c>
      <c r="E652" s="1">
        <v>44847</v>
      </c>
      <c r="F652">
        <v>12355.58</v>
      </c>
      <c r="G652" s="1">
        <v>44840</v>
      </c>
      <c r="H652">
        <v>7954.4605600000004</v>
      </c>
      <c r="I652" s="1">
        <v>44851</v>
      </c>
      <c r="J652">
        <v>7557.1</v>
      </c>
      <c r="K652" s="1">
        <v>44845</v>
      </c>
      <c r="L652">
        <v>20730.5</v>
      </c>
    </row>
    <row r="653" spans="1:12" x14ac:dyDescent="0.35">
      <c r="A653" s="1">
        <v>44852</v>
      </c>
      <c r="B653">
        <v>3463.83</v>
      </c>
      <c r="C653" s="1">
        <v>44848</v>
      </c>
      <c r="D653">
        <v>5931.92</v>
      </c>
      <c r="E653" s="1">
        <v>44846</v>
      </c>
      <c r="F653">
        <v>12172.26</v>
      </c>
      <c r="G653" s="1">
        <v>44839</v>
      </c>
      <c r="H653">
        <v>8073.72325</v>
      </c>
      <c r="I653" s="1">
        <v>44848</v>
      </c>
      <c r="J653">
        <v>7382.5</v>
      </c>
      <c r="K653" s="1">
        <v>44844</v>
      </c>
      <c r="L653">
        <v>20912.96</v>
      </c>
    </row>
    <row r="654" spans="1:12" x14ac:dyDescent="0.35">
      <c r="A654" s="1">
        <v>44851</v>
      </c>
      <c r="B654">
        <v>3441.64</v>
      </c>
      <c r="C654" s="1">
        <v>44847</v>
      </c>
      <c r="D654">
        <v>5879.19</v>
      </c>
      <c r="E654" s="1">
        <v>44845</v>
      </c>
      <c r="F654">
        <v>12220.25</v>
      </c>
      <c r="G654" s="1">
        <v>44838</v>
      </c>
      <c r="H654">
        <v>8141.9658300000001</v>
      </c>
      <c r="I654" s="1">
        <v>44847</v>
      </c>
      <c r="J654">
        <v>7348.8</v>
      </c>
      <c r="K654" s="1">
        <v>44841</v>
      </c>
      <c r="L654">
        <v>20901.560000000001</v>
      </c>
    </row>
    <row r="655" spans="1:12" x14ac:dyDescent="0.35">
      <c r="A655" s="1">
        <v>44848</v>
      </c>
      <c r="B655">
        <v>3381.73</v>
      </c>
      <c r="C655" s="1">
        <v>44846</v>
      </c>
      <c r="D655">
        <v>5818.47</v>
      </c>
      <c r="E655" s="1">
        <v>44844</v>
      </c>
      <c r="F655">
        <v>12272.94</v>
      </c>
      <c r="G655" s="1">
        <v>44837</v>
      </c>
      <c r="H655">
        <v>7942.8199199999999</v>
      </c>
      <c r="I655" s="1">
        <v>44846</v>
      </c>
      <c r="J655">
        <v>7261.1</v>
      </c>
      <c r="K655" s="1">
        <v>44840</v>
      </c>
      <c r="L655">
        <v>21140.55</v>
      </c>
    </row>
    <row r="656" spans="1:12" x14ac:dyDescent="0.35">
      <c r="A656" s="1">
        <v>44847</v>
      </c>
      <c r="B656">
        <v>3362.4</v>
      </c>
      <c r="C656" s="1">
        <v>44845</v>
      </c>
      <c r="D656">
        <v>5833.2</v>
      </c>
      <c r="E656" s="1">
        <v>44841</v>
      </c>
      <c r="F656">
        <v>12273</v>
      </c>
      <c r="G656" s="1">
        <v>44834</v>
      </c>
      <c r="H656">
        <v>7837.3958400000001</v>
      </c>
      <c r="I656" s="1">
        <v>44845</v>
      </c>
      <c r="J656">
        <v>7355.9</v>
      </c>
      <c r="K656" s="1">
        <v>44839</v>
      </c>
      <c r="L656">
        <v>21360.720000000001</v>
      </c>
    </row>
    <row r="657" spans="1:12" x14ac:dyDescent="0.35">
      <c r="A657" s="1">
        <v>44846</v>
      </c>
      <c r="B657">
        <v>3331.53</v>
      </c>
      <c r="C657" s="1">
        <v>44844</v>
      </c>
      <c r="D657">
        <v>5840.55</v>
      </c>
      <c r="E657" s="1">
        <v>44840</v>
      </c>
      <c r="F657">
        <v>12470.78</v>
      </c>
      <c r="G657" s="1">
        <v>44833</v>
      </c>
      <c r="H657">
        <v>7785.4322199999997</v>
      </c>
      <c r="I657" s="1">
        <v>44844</v>
      </c>
      <c r="J657">
        <v>7413.5</v>
      </c>
      <c r="K657" s="1">
        <v>44838</v>
      </c>
      <c r="L657">
        <v>21690.65</v>
      </c>
    </row>
    <row r="658" spans="1:12" x14ac:dyDescent="0.35">
      <c r="A658" s="1">
        <v>44845</v>
      </c>
      <c r="B658">
        <v>3340.35</v>
      </c>
      <c r="C658" s="1">
        <v>44841</v>
      </c>
      <c r="D658">
        <v>5866.94</v>
      </c>
      <c r="E658" s="1">
        <v>44839</v>
      </c>
      <c r="F658">
        <v>12517.18</v>
      </c>
      <c r="G658" s="1">
        <v>44832</v>
      </c>
      <c r="H658">
        <v>7842.2532300000003</v>
      </c>
      <c r="I658" s="1">
        <v>44841</v>
      </c>
      <c r="J658">
        <v>7436.9</v>
      </c>
      <c r="K658" s="1">
        <v>44837</v>
      </c>
      <c r="L658">
        <v>20972.57</v>
      </c>
    </row>
    <row r="659" spans="1:12" x14ac:dyDescent="0.35">
      <c r="A659" s="1">
        <v>44844</v>
      </c>
      <c r="B659">
        <v>3356.88</v>
      </c>
      <c r="C659" s="1">
        <v>44840</v>
      </c>
      <c r="D659">
        <v>5936.42</v>
      </c>
      <c r="E659" s="1">
        <v>44838</v>
      </c>
      <c r="F659">
        <v>12670.48</v>
      </c>
      <c r="G659" s="1">
        <v>44831</v>
      </c>
      <c r="H659">
        <v>7782.0374499999998</v>
      </c>
      <c r="I659" s="1">
        <v>44840</v>
      </c>
      <c r="J659">
        <v>7511.1</v>
      </c>
      <c r="K659" s="1">
        <v>44834</v>
      </c>
      <c r="L659">
        <v>20648.849999999999</v>
      </c>
    </row>
    <row r="660" spans="1:12" x14ac:dyDescent="0.35">
      <c r="A660" s="1">
        <v>44841</v>
      </c>
      <c r="B660">
        <v>3375.46</v>
      </c>
      <c r="C660" s="1">
        <v>44839</v>
      </c>
      <c r="D660">
        <v>5985.46</v>
      </c>
      <c r="E660" s="1">
        <v>44837</v>
      </c>
      <c r="F660">
        <v>12209.48</v>
      </c>
      <c r="G660" s="1">
        <v>44830</v>
      </c>
      <c r="H660">
        <v>7793.6777099999999</v>
      </c>
      <c r="I660" s="1">
        <v>44839</v>
      </c>
      <c r="J660">
        <v>7579.9</v>
      </c>
      <c r="K660" s="1">
        <v>44833</v>
      </c>
      <c r="L660">
        <v>20352.98</v>
      </c>
    </row>
    <row r="661" spans="1:12" x14ac:dyDescent="0.35">
      <c r="A661" s="1">
        <v>44840</v>
      </c>
      <c r="B661">
        <v>3433.45</v>
      </c>
      <c r="C661" s="1">
        <v>44838</v>
      </c>
      <c r="D661">
        <v>6039.69</v>
      </c>
      <c r="E661" s="1">
        <v>44834</v>
      </c>
      <c r="F661">
        <v>12114.36</v>
      </c>
      <c r="G661" s="1">
        <v>44827</v>
      </c>
      <c r="H661">
        <v>7878.3007699999998</v>
      </c>
      <c r="I661" s="1">
        <v>44838</v>
      </c>
      <c r="J661">
        <v>7696.6</v>
      </c>
      <c r="K661" s="1">
        <v>44832</v>
      </c>
      <c r="L661">
        <v>20852.669999999998</v>
      </c>
    </row>
    <row r="662" spans="1:12" x14ac:dyDescent="0.35">
      <c r="A662" s="1">
        <v>44839</v>
      </c>
      <c r="B662">
        <v>3447.72</v>
      </c>
      <c r="C662" s="1">
        <v>44837</v>
      </c>
      <c r="D662">
        <v>5794.15</v>
      </c>
      <c r="E662" s="1">
        <v>44833</v>
      </c>
      <c r="F662">
        <v>11975.55</v>
      </c>
      <c r="G662" s="1">
        <v>44826</v>
      </c>
      <c r="H662">
        <v>8195.6131399999995</v>
      </c>
      <c r="I662" s="1">
        <v>44837</v>
      </c>
      <c r="J662">
        <v>7462</v>
      </c>
      <c r="K662" s="1">
        <v>44831</v>
      </c>
      <c r="L662">
        <v>20961.38</v>
      </c>
    </row>
    <row r="663" spans="1:12" x14ac:dyDescent="0.35">
      <c r="A663" s="1">
        <v>44838</v>
      </c>
      <c r="B663">
        <v>3484.48</v>
      </c>
      <c r="C663" s="1">
        <v>44834</v>
      </c>
      <c r="D663">
        <v>5762.34</v>
      </c>
      <c r="E663" s="1">
        <v>44832</v>
      </c>
      <c r="F663">
        <v>12183.28</v>
      </c>
      <c r="G663" s="1">
        <v>44825</v>
      </c>
      <c r="H663">
        <v>8296.5206600000001</v>
      </c>
      <c r="I663" s="1">
        <v>44834</v>
      </c>
      <c r="J663">
        <v>7366.8</v>
      </c>
      <c r="K663" s="1">
        <v>44830</v>
      </c>
      <c r="L663">
        <v>21207.25</v>
      </c>
    </row>
    <row r="664" spans="1:12" x14ac:dyDescent="0.35">
      <c r="A664" s="1">
        <v>44837</v>
      </c>
      <c r="B664">
        <v>3342.17</v>
      </c>
      <c r="C664" s="1">
        <v>44833</v>
      </c>
      <c r="D664">
        <v>5676.87</v>
      </c>
      <c r="E664" s="1">
        <v>44831</v>
      </c>
      <c r="F664">
        <v>12139.68</v>
      </c>
      <c r="G664" s="1">
        <v>44824</v>
      </c>
      <c r="H664">
        <v>8204.5332099999996</v>
      </c>
      <c r="I664" s="1">
        <v>44833</v>
      </c>
      <c r="J664">
        <v>7300.1</v>
      </c>
      <c r="K664" s="1">
        <v>44827</v>
      </c>
      <c r="L664">
        <v>21066.55</v>
      </c>
    </row>
    <row r="665" spans="1:12" x14ac:dyDescent="0.35">
      <c r="A665" s="1">
        <v>44834</v>
      </c>
      <c r="B665">
        <v>3318.2</v>
      </c>
      <c r="C665" s="1">
        <v>44832</v>
      </c>
      <c r="D665">
        <v>5765.01</v>
      </c>
      <c r="E665" s="1">
        <v>44830</v>
      </c>
      <c r="F665">
        <v>12227.92</v>
      </c>
      <c r="G665" s="1">
        <v>44820</v>
      </c>
      <c r="H665">
        <v>8241.8748799999994</v>
      </c>
      <c r="I665" s="1">
        <v>44832</v>
      </c>
      <c r="J665">
        <v>7442.2</v>
      </c>
      <c r="K665" s="1">
        <v>44826</v>
      </c>
      <c r="L665">
        <v>21799.11</v>
      </c>
    </row>
    <row r="666" spans="1:12" x14ac:dyDescent="0.35">
      <c r="A666" s="1">
        <v>44833</v>
      </c>
      <c r="B666">
        <v>3279.04</v>
      </c>
      <c r="C666" s="1">
        <v>44831</v>
      </c>
      <c r="D666">
        <v>5753.82</v>
      </c>
      <c r="E666" s="1">
        <v>44827</v>
      </c>
      <c r="F666">
        <v>12284.19</v>
      </c>
      <c r="G666" s="1">
        <v>44819</v>
      </c>
      <c r="H666">
        <v>8355.53125</v>
      </c>
      <c r="I666" s="1">
        <v>44831</v>
      </c>
      <c r="J666">
        <v>7445.7</v>
      </c>
      <c r="K666" s="1">
        <v>44825</v>
      </c>
      <c r="L666">
        <v>22035.81</v>
      </c>
    </row>
    <row r="667" spans="1:12" x14ac:dyDescent="0.35">
      <c r="A667" s="1">
        <v>44832</v>
      </c>
      <c r="B667">
        <v>3335.3</v>
      </c>
      <c r="C667" s="1">
        <v>44830</v>
      </c>
      <c r="D667">
        <v>5769.39</v>
      </c>
      <c r="E667" s="1">
        <v>44826</v>
      </c>
      <c r="F667">
        <v>12531.63</v>
      </c>
      <c r="G667" s="1">
        <v>44818</v>
      </c>
      <c r="H667">
        <v>8418.72307</v>
      </c>
      <c r="I667" s="1">
        <v>44830</v>
      </c>
      <c r="J667">
        <v>7508.5</v>
      </c>
      <c r="K667" s="1">
        <v>44824</v>
      </c>
      <c r="L667">
        <v>21773.75</v>
      </c>
    </row>
    <row r="668" spans="1:12" x14ac:dyDescent="0.35">
      <c r="A668" s="1">
        <v>44831</v>
      </c>
      <c r="B668">
        <v>3328.65</v>
      </c>
      <c r="C668" s="1">
        <v>44827</v>
      </c>
      <c r="D668">
        <v>5783.41</v>
      </c>
      <c r="E668" s="1">
        <v>44825</v>
      </c>
      <c r="F668">
        <v>12767.15</v>
      </c>
      <c r="G668" s="1">
        <v>44817</v>
      </c>
      <c r="H668">
        <v>8513.1677</v>
      </c>
      <c r="I668" s="1">
        <v>44827</v>
      </c>
      <c r="J668">
        <v>7583.5</v>
      </c>
      <c r="K668" s="1">
        <v>44823</v>
      </c>
      <c r="L668">
        <v>22140.73</v>
      </c>
    </row>
    <row r="669" spans="1:12" x14ac:dyDescent="0.35">
      <c r="A669" s="1">
        <v>44830</v>
      </c>
      <c r="B669">
        <v>3342.56</v>
      </c>
      <c r="C669" s="1">
        <v>44826</v>
      </c>
      <c r="D669">
        <v>5918.5</v>
      </c>
      <c r="E669" s="1">
        <v>44824</v>
      </c>
      <c r="F669">
        <v>12670.83</v>
      </c>
      <c r="G669" s="1">
        <v>44816</v>
      </c>
      <c r="H669">
        <v>8625.9570500000009</v>
      </c>
      <c r="I669" s="1">
        <v>44826</v>
      </c>
      <c r="J669">
        <v>7774.7</v>
      </c>
      <c r="K669" s="1">
        <v>44820</v>
      </c>
      <c r="L669">
        <v>22110.89</v>
      </c>
    </row>
    <row r="670" spans="1:12" x14ac:dyDescent="0.35">
      <c r="A670" s="1">
        <v>44827</v>
      </c>
      <c r="B670">
        <v>3348.6</v>
      </c>
      <c r="C670" s="1">
        <v>44825</v>
      </c>
      <c r="D670">
        <v>6031.33</v>
      </c>
      <c r="E670" s="1">
        <v>44823</v>
      </c>
      <c r="F670">
        <v>12803.24</v>
      </c>
      <c r="G670" s="1">
        <v>44813</v>
      </c>
      <c r="H670">
        <v>8482.1725800000004</v>
      </c>
      <c r="I670" s="1">
        <v>44825</v>
      </c>
      <c r="J670">
        <v>7872.2</v>
      </c>
      <c r="K670" s="1">
        <v>44819</v>
      </c>
      <c r="L670">
        <v>22365.82</v>
      </c>
    </row>
    <row r="671" spans="1:12" x14ac:dyDescent="0.35">
      <c r="A671" s="1">
        <v>44826</v>
      </c>
      <c r="B671">
        <v>3427.14</v>
      </c>
      <c r="C671" s="1">
        <v>44824</v>
      </c>
      <c r="D671">
        <v>5979.47</v>
      </c>
      <c r="E671" s="1">
        <v>44820</v>
      </c>
      <c r="F671">
        <v>12741.26</v>
      </c>
      <c r="G671" s="1">
        <v>44812</v>
      </c>
      <c r="H671">
        <v>8364.2263899999998</v>
      </c>
      <c r="I671" s="1">
        <v>44824</v>
      </c>
      <c r="J671">
        <v>7873.1</v>
      </c>
      <c r="K671" s="1">
        <v>44818</v>
      </c>
      <c r="L671">
        <v>22413.46</v>
      </c>
    </row>
    <row r="672" spans="1:12" x14ac:dyDescent="0.35">
      <c r="A672" s="1">
        <v>44825</v>
      </c>
      <c r="B672">
        <v>3491.87</v>
      </c>
      <c r="C672" s="1">
        <v>44823</v>
      </c>
      <c r="D672">
        <v>6061.59</v>
      </c>
      <c r="E672" s="1">
        <v>44819</v>
      </c>
      <c r="F672">
        <v>12956.66</v>
      </c>
      <c r="G672" s="1">
        <v>44811</v>
      </c>
      <c r="H672">
        <v>8342.4100899999994</v>
      </c>
      <c r="I672" s="1">
        <v>44823</v>
      </c>
      <c r="J672">
        <v>7993.2</v>
      </c>
      <c r="K672" s="1">
        <v>44817</v>
      </c>
      <c r="L672">
        <v>22303.86</v>
      </c>
    </row>
    <row r="673" spans="1:12" x14ac:dyDescent="0.35">
      <c r="A673" s="1">
        <v>44824</v>
      </c>
      <c r="B673">
        <v>3467.09</v>
      </c>
      <c r="C673" s="1">
        <v>44820</v>
      </c>
      <c r="D673">
        <v>6077.3</v>
      </c>
      <c r="E673" s="1">
        <v>44818</v>
      </c>
      <c r="F673">
        <v>13028</v>
      </c>
      <c r="G673" s="1">
        <v>44810</v>
      </c>
      <c r="H673">
        <v>8494.7091700000001</v>
      </c>
      <c r="I673" s="1">
        <v>44820</v>
      </c>
      <c r="J673">
        <v>7984.7</v>
      </c>
      <c r="K673" s="1">
        <v>44816</v>
      </c>
      <c r="L673">
        <v>22610.400000000001</v>
      </c>
    </row>
    <row r="674" spans="1:12" x14ac:dyDescent="0.35">
      <c r="A674" s="1">
        <v>44823</v>
      </c>
      <c r="B674">
        <v>3499.49</v>
      </c>
      <c r="C674" s="1">
        <v>44819</v>
      </c>
      <c r="D674">
        <v>6157.84</v>
      </c>
      <c r="E674" s="1">
        <v>44817</v>
      </c>
      <c r="F674">
        <v>13188.95</v>
      </c>
      <c r="G674" s="1">
        <v>44809</v>
      </c>
      <c r="H674">
        <v>8452.2151200000008</v>
      </c>
      <c r="I674" s="1">
        <v>44819</v>
      </c>
      <c r="J674">
        <v>8085.5</v>
      </c>
      <c r="K674" s="1">
        <v>44813</v>
      </c>
      <c r="L674">
        <v>22094.560000000001</v>
      </c>
    </row>
    <row r="675" spans="1:12" x14ac:dyDescent="0.35">
      <c r="A675" s="1">
        <v>44820</v>
      </c>
      <c r="B675">
        <v>3500.41</v>
      </c>
      <c r="C675" s="1">
        <v>44818</v>
      </c>
      <c r="D675">
        <v>6222.41</v>
      </c>
      <c r="E675" s="1">
        <v>44816</v>
      </c>
      <c r="F675">
        <v>13402.27</v>
      </c>
      <c r="G675" s="1">
        <v>44806</v>
      </c>
      <c r="H675">
        <v>8416.0916300000008</v>
      </c>
      <c r="I675" s="1">
        <v>44818</v>
      </c>
      <c r="J675">
        <v>8055.6</v>
      </c>
      <c r="K675" s="1">
        <v>44812</v>
      </c>
      <c r="L675">
        <v>21678.080000000002</v>
      </c>
    </row>
    <row r="676" spans="1:12" x14ac:dyDescent="0.35">
      <c r="A676" s="1">
        <v>44819</v>
      </c>
      <c r="B676">
        <v>3541.79</v>
      </c>
      <c r="C676" s="1">
        <v>44817</v>
      </c>
      <c r="D676">
        <v>6245.69</v>
      </c>
      <c r="E676" s="1">
        <v>44813</v>
      </c>
      <c r="F676">
        <v>13088.21</v>
      </c>
      <c r="G676" s="1">
        <v>44805</v>
      </c>
      <c r="H676">
        <v>8297.3532300000006</v>
      </c>
      <c r="I676" s="1">
        <v>44817</v>
      </c>
      <c r="J676">
        <v>8064</v>
      </c>
      <c r="K676" s="1">
        <v>44811</v>
      </c>
      <c r="L676">
        <v>21489.360000000001</v>
      </c>
    </row>
    <row r="677" spans="1:12" x14ac:dyDescent="0.35">
      <c r="A677" s="1">
        <v>44818</v>
      </c>
      <c r="B677">
        <v>3567.56</v>
      </c>
      <c r="C677" s="1">
        <v>44816</v>
      </c>
      <c r="D677">
        <v>6333.59</v>
      </c>
      <c r="E677" s="1">
        <v>44812</v>
      </c>
      <c r="F677">
        <v>12904.32</v>
      </c>
      <c r="G677" s="1">
        <v>44804</v>
      </c>
      <c r="H677">
        <v>8422.3437200000008</v>
      </c>
      <c r="I677" s="1">
        <v>44816</v>
      </c>
      <c r="J677">
        <v>8194.2999999999993</v>
      </c>
      <c r="K677" s="1">
        <v>44810</v>
      </c>
      <c r="L677">
        <v>21480.61</v>
      </c>
    </row>
    <row r="678" spans="1:12" x14ac:dyDescent="0.35">
      <c r="A678" s="1">
        <v>44817</v>
      </c>
      <c r="B678">
        <v>3586.18</v>
      </c>
      <c r="C678" s="1">
        <v>44813</v>
      </c>
      <c r="D678">
        <v>6212.33</v>
      </c>
      <c r="E678" s="1">
        <v>44811</v>
      </c>
      <c r="F678">
        <v>12915.97</v>
      </c>
      <c r="G678" s="1">
        <v>44803</v>
      </c>
      <c r="H678">
        <v>8556.4995099999996</v>
      </c>
      <c r="I678" s="1">
        <v>44813</v>
      </c>
      <c r="J678">
        <v>8033.1</v>
      </c>
      <c r="K678" s="1">
        <v>44809</v>
      </c>
      <c r="L678">
        <v>21480.19</v>
      </c>
    </row>
    <row r="679" spans="1:12" x14ac:dyDescent="0.35">
      <c r="A679" s="1">
        <v>44816</v>
      </c>
      <c r="B679">
        <v>3646.51</v>
      </c>
      <c r="C679" s="1">
        <v>44812</v>
      </c>
      <c r="D679">
        <v>6125.9</v>
      </c>
      <c r="E679" s="1">
        <v>44810</v>
      </c>
      <c r="F679">
        <v>12871.44</v>
      </c>
      <c r="G679" s="1">
        <v>44799</v>
      </c>
      <c r="H679">
        <v>8747.5552800000005</v>
      </c>
      <c r="I679" s="1">
        <v>44812</v>
      </c>
      <c r="J679">
        <v>7916.8</v>
      </c>
      <c r="K679" s="1">
        <v>44806</v>
      </c>
      <c r="L679">
        <v>21921.26</v>
      </c>
    </row>
    <row r="680" spans="1:12" x14ac:dyDescent="0.35">
      <c r="A680" s="1">
        <v>44813</v>
      </c>
      <c r="B680">
        <v>3570.04</v>
      </c>
      <c r="C680" s="1">
        <v>44811</v>
      </c>
      <c r="D680">
        <v>6105.92</v>
      </c>
      <c r="E680" s="1">
        <v>44809</v>
      </c>
      <c r="F680">
        <v>12760.78</v>
      </c>
      <c r="G680" s="1">
        <v>44798</v>
      </c>
      <c r="H680">
        <v>8876.4186900000004</v>
      </c>
      <c r="I680" s="1">
        <v>44811</v>
      </c>
      <c r="J680">
        <v>7855.9</v>
      </c>
      <c r="K680" s="1">
        <v>44805</v>
      </c>
      <c r="L680">
        <v>21302.16</v>
      </c>
    </row>
    <row r="681" spans="1:12" x14ac:dyDescent="0.35">
      <c r="A681" s="1">
        <v>44812</v>
      </c>
      <c r="B681">
        <v>3512.38</v>
      </c>
      <c r="C681" s="1">
        <v>44810</v>
      </c>
      <c r="D681">
        <v>6104.61</v>
      </c>
      <c r="E681" s="1">
        <v>44806</v>
      </c>
      <c r="F681">
        <v>13050.27</v>
      </c>
      <c r="G681" s="1">
        <v>44797</v>
      </c>
      <c r="H681">
        <v>8846.7542799999992</v>
      </c>
      <c r="I681" s="1">
        <v>44810</v>
      </c>
      <c r="J681">
        <v>7842.2</v>
      </c>
      <c r="K681" s="1">
        <v>44804</v>
      </c>
      <c r="L681">
        <v>21559.32</v>
      </c>
    </row>
    <row r="682" spans="1:12" x14ac:dyDescent="0.35">
      <c r="A682" s="1">
        <v>44811</v>
      </c>
      <c r="B682">
        <v>3502.09</v>
      </c>
      <c r="C682" s="1">
        <v>44809</v>
      </c>
      <c r="D682">
        <v>6093.22</v>
      </c>
      <c r="E682" s="1">
        <v>44805</v>
      </c>
      <c r="F682">
        <v>12630.23</v>
      </c>
      <c r="G682" s="1">
        <v>44796</v>
      </c>
      <c r="H682">
        <v>8891.3333399999992</v>
      </c>
      <c r="I682" s="1">
        <v>44809</v>
      </c>
      <c r="J682">
        <v>7862.7</v>
      </c>
      <c r="K682" s="1">
        <v>44803</v>
      </c>
      <c r="L682">
        <v>21825.22</v>
      </c>
    </row>
    <row r="683" spans="1:12" x14ac:dyDescent="0.35">
      <c r="A683" s="1">
        <v>44810</v>
      </c>
      <c r="B683">
        <v>3500.14</v>
      </c>
      <c r="C683" s="1">
        <v>44806</v>
      </c>
      <c r="D683">
        <v>6167.51</v>
      </c>
      <c r="E683" s="1">
        <v>44804</v>
      </c>
      <c r="F683">
        <v>12834.96</v>
      </c>
      <c r="G683" s="1">
        <v>44795</v>
      </c>
      <c r="H683">
        <v>8931.7737899999993</v>
      </c>
      <c r="I683" s="1">
        <v>44806</v>
      </c>
      <c r="J683">
        <v>7932.2</v>
      </c>
      <c r="K683" s="1">
        <v>44802</v>
      </c>
      <c r="L683">
        <v>21841.88</v>
      </c>
    </row>
    <row r="684" spans="1:12" x14ac:dyDescent="0.35">
      <c r="A684" s="1">
        <v>44809</v>
      </c>
      <c r="B684">
        <v>3490.01</v>
      </c>
      <c r="C684" s="1">
        <v>44805</v>
      </c>
      <c r="D684">
        <v>6034.31</v>
      </c>
      <c r="E684" s="1">
        <v>44803</v>
      </c>
      <c r="F684">
        <v>12961.14</v>
      </c>
      <c r="G684" s="1">
        <v>44792</v>
      </c>
      <c r="H684">
        <v>8896.2859000000008</v>
      </c>
      <c r="I684" s="1">
        <v>44805</v>
      </c>
      <c r="J684">
        <v>7806</v>
      </c>
      <c r="K684" s="1">
        <v>44799</v>
      </c>
      <c r="L684">
        <v>21895.25</v>
      </c>
    </row>
    <row r="685" spans="1:12" x14ac:dyDescent="0.35">
      <c r="A685" s="1">
        <v>44806</v>
      </c>
      <c r="B685">
        <v>3544.38</v>
      </c>
      <c r="C685" s="1">
        <v>44804</v>
      </c>
      <c r="D685">
        <v>6125.1</v>
      </c>
      <c r="E685" s="1">
        <v>44802</v>
      </c>
      <c r="F685">
        <v>12892.99</v>
      </c>
      <c r="G685" s="1">
        <v>44791</v>
      </c>
      <c r="H685">
        <v>8922.4046999999991</v>
      </c>
      <c r="I685" s="1">
        <v>44804</v>
      </c>
      <c r="J685">
        <v>7886.1</v>
      </c>
      <c r="K685" s="1">
        <v>44798</v>
      </c>
      <c r="L685">
        <v>22454.43</v>
      </c>
    </row>
    <row r="686" spans="1:12" x14ac:dyDescent="0.35">
      <c r="A686" s="1">
        <v>44805</v>
      </c>
      <c r="B686">
        <v>3456.7</v>
      </c>
      <c r="C686" s="1">
        <v>44803</v>
      </c>
      <c r="D686">
        <v>6210.22</v>
      </c>
      <c r="E686" s="1">
        <v>44799</v>
      </c>
      <c r="F686">
        <v>12971.47</v>
      </c>
      <c r="G686" s="1">
        <v>44790</v>
      </c>
      <c r="H686">
        <v>8902.0787</v>
      </c>
      <c r="I686" s="1">
        <v>44803</v>
      </c>
      <c r="J686">
        <v>7979.8</v>
      </c>
      <c r="K686" s="1">
        <v>44797</v>
      </c>
      <c r="L686">
        <v>22431.47</v>
      </c>
    </row>
    <row r="687" spans="1:12" x14ac:dyDescent="0.35">
      <c r="A687" s="1">
        <v>44804</v>
      </c>
      <c r="B687">
        <v>3517.25</v>
      </c>
      <c r="C687" s="1">
        <v>44802</v>
      </c>
      <c r="D687">
        <v>6222.28</v>
      </c>
      <c r="E687" s="1">
        <v>44798</v>
      </c>
      <c r="F687">
        <v>13271.96</v>
      </c>
      <c r="G687" s="1">
        <v>44789</v>
      </c>
      <c r="H687">
        <v>8956.3915899999993</v>
      </c>
      <c r="I687" s="1">
        <v>44802</v>
      </c>
      <c r="J687">
        <v>7989.6</v>
      </c>
      <c r="K687" s="1">
        <v>44796</v>
      </c>
      <c r="L687">
        <v>22380.06</v>
      </c>
    </row>
    <row r="688" spans="1:12" x14ac:dyDescent="0.35">
      <c r="A688" s="1">
        <v>44803</v>
      </c>
      <c r="B688">
        <v>3561.92</v>
      </c>
      <c r="C688" s="1">
        <v>44799</v>
      </c>
      <c r="D688">
        <v>6274.26</v>
      </c>
      <c r="E688" s="1">
        <v>44797</v>
      </c>
      <c r="F688">
        <v>13220.06</v>
      </c>
      <c r="G688" s="1">
        <v>44788</v>
      </c>
      <c r="H688">
        <v>8917.8535499999998</v>
      </c>
      <c r="I688" s="1">
        <v>44799</v>
      </c>
      <c r="J688">
        <v>8063.9</v>
      </c>
      <c r="K688" s="1">
        <v>44795</v>
      </c>
      <c r="L688">
        <v>22165.66</v>
      </c>
    </row>
    <row r="689" spans="1:12" x14ac:dyDescent="0.35">
      <c r="A689" s="1">
        <v>44802</v>
      </c>
      <c r="B689">
        <v>3570.51</v>
      </c>
      <c r="C689" s="1">
        <v>44798</v>
      </c>
      <c r="D689">
        <v>6381.56</v>
      </c>
      <c r="E689" s="1">
        <v>44796</v>
      </c>
      <c r="F689">
        <v>13194.23</v>
      </c>
      <c r="G689" s="1">
        <v>44785</v>
      </c>
      <c r="H689">
        <v>8869.8737299999993</v>
      </c>
      <c r="I689" s="1">
        <v>44798</v>
      </c>
      <c r="J689">
        <v>8187.5</v>
      </c>
      <c r="K689" s="1">
        <v>44792</v>
      </c>
      <c r="L689">
        <v>22534.57</v>
      </c>
    </row>
    <row r="690" spans="1:12" x14ac:dyDescent="0.35">
      <c r="A690" s="1">
        <v>44799</v>
      </c>
      <c r="B690">
        <v>3603.68</v>
      </c>
      <c r="C690" s="1">
        <v>44797</v>
      </c>
      <c r="D690">
        <v>6386.76</v>
      </c>
      <c r="E690" s="1">
        <v>44795</v>
      </c>
      <c r="F690">
        <v>13230.57</v>
      </c>
      <c r="G690" s="1">
        <v>44784</v>
      </c>
      <c r="H690">
        <v>8834.7806199999995</v>
      </c>
      <c r="I690" s="1">
        <v>44797</v>
      </c>
      <c r="J690">
        <v>8199.4</v>
      </c>
      <c r="K690" s="1">
        <v>44791</v>
      </c>
      <c r="L690">
        <v>22985.7</v>
      </c>
    </row>
    <row r="691" spans="1:12" x14ac:dyDescent="0.35">
      <c r="A691" s="1">
        <v>44798</v>
      </c>
      <c r="B691">
        <v>3674.54</v>
      </c>
      <c r="C691" s="1">
        <v>44796</v>
      </c>
      <c r="D691">
        <v>6362.02</v>
      </c>
      <c r="E691" s="1">
        <v>44792</v>
      </c>
      <c r="F691">
        <v>13544.52</v>
      </c>
      <c r="G691" s="1">
        <v>44783</v>
      </c>
      <c r="H691">
        <v>8905.2865199999997</v>
      </c>
      <c r="I691" s="1">
        <v>44796</v>
      </c>
      <c r="J691">
        <v>8226.2999999999993</v>
      </c>
      <c r="K691" s="1">
        <v>44790</v>
      </c>
      <c r="L691">
        <v>22757.81</v>
      </c>
    </row>
    <row r="692" spans="1:12" x14ac:dyDescent="0.35">
      <c r="A692" s="1">
        <v>44797</v>
      </c>
      <c r="B692">
        <v>3667.46</v>
      </c>
      <c r="C692" s="1">
        <v>44795</v>
      </c>
      <c r="D692">
        <v>6378.74</v>
      </c>
      <c r="E692" s="1">
        <v>44791</v>
      </c>
      <c r="F692">
        <v>13697.41</v>
      </c>
      <c r="G692" s="1">
        <v>44782</v>
      </c>
      <c r="H692">
        <v>8854.8949400000001</v>
      </c>
      <c r="I692" s="1">
        <v>44795</v>
      </c>
      <c r="J692">
        <v>8284.7999999999993</v>
      </c>
      <c r="K692" s="1">
        <v>44789</v>
      </c>
      <c r="L692">
        <v>22997.83</v>
      </c>
    </row>
    <row r="693" spans="1:12" x14ac:dyDescent="0.35">
      <c r="A693" s="1">
        <v>44796</v>
      </c>
      <c r="B693">
        <v>3652.52</v>
      </c>
      <c r="C693" s="1">
        <v>44792</v>
      </c>
      <c r="D693">
        <v>6495.83</v>
      </c>
      <c r="E693" s="1">
        <v>44790</v>
      </c>
      <c r="F693">
        <v>13626.71</v>
      </c>
      <c r="G693" s="1">
        <v>44781</v>
      </c>
      <c r="H693">
        <v>8862.7483800000009</v>
      </c>
      <c r="I693" s="1">
        <v>44792</v>
      </c>
      <c r="J693">
        <v>8338.1</v>
      </c>
      <c r="K693" s="1">
        <v>44785</v>
      </c>
      <c r="L693">
        <v>22970.73</v>
      </c>
    </row>
    <row r="694" spans="1:12" x14ac:dyDescent="0.35">
      <c r="A694" s="1">
        <v>44795</v>
      </c>
      <c r="B694">
        <v>3658.22</v>
      </c>
      <c r="C694" s="1">
        <v>44791</v>
      </c>
      <c r="D694">
        <v>6557.4</v>
      </c>
      <c r="E694" s="1">
        <v>44789</v>
      </c>
      <c r="F694">
        <v>13910.12</v>
      </c>
      <c r="G694" s="1">
        <v>44778</v>
      </c>
      <c r="H694">
        <v>8824.2344799999992</v>
      </c>
      <c r="I694" s="1">
        <v>44791</v>
      </c>
      <c r="J694">
        <v>8430.2999999999993</v>
      </c>
      <c r="K694" s="1">
        <v>44784</v>
      </c>
      <c r="L694">
        <v>22858.18</v>
      </c>
    </row>
    <row r="695" spans="1:12" x14ac:dyDescent="0.35">
      <c r="A695" s="1">
        <v>44792</v>
      </c>
      <c r="B695">
        <v>3730.32</v>
      </c>
      <c r="C695" s="1">
        <v>44790</v>
      </c>
      <c r="D695">
        <v>6528.32</v>
      </c>
      <c r="E695" s="1">
        <v>44788</v>
      </c>
      <c r="F695">
        <v>13816.61</v>
      </c>
      <c r="G695" s="1">
        <v>44777</v>
      </c>
      <c r="H695">
        <v>8836.9773100000002</v>
      </c>
      <c r="I695" s="1">
        <v>44790</v>
      </c>
      <c r="J695">
        <v>8434.7999999999993</v>
      </c>
      <c r="K695" s="1">
        <v>44783</v>
      </c>
      <c r="L695">
        <v>22702.44</v>
      </c>
    </row>
    <row r="696" spans="1:12" x14ac:dyDescent="0.35">
      <c r="A696" s="1">
        <v>44791</v>
      </c>
      <c r="B696">
        <v>3777.38</v>
      </c>
      <c r="C696" s="1">
        <v>44789</v>
      </c>
      <c r="D696">
        <v>6592.58</v>
      </c>
      <c r="E696" s="1">
        <v>44785</v>
      </c>
      <c r="F696">
        <v>13795.85</v>
      </c>
      <c r="G696" s="1">
        <v>44776</v>
      </c>
      <c r="H696">
        <v>8907.6741099999999</v>
      </c>
      <c r="I696" s="1">
        <v>44789</v>
      </c>
      <c r="J696">
        <v>8511.9</v>
      </c>
      <c r="K696" s="1">
        <v>44782</v>
      </c>
      <c r="L696">
        <v>22488.49</v>
      </c>
    </row>
    <row r="697" spans="1:12" x14ac:dyDescent="0.35">
      <c r="A697" s="1">
        <v>44790</v>
      </c>
      <c r="B697">
        <v>3756.06</v>
      </c>
      <c r="C697" s="1">
        <v>44788</v>
      </c>
      <c r="D697">
        <v>6569.95</v>
      </c>
      <c r="E697" s="1">
        <v>44784</v>
      </c>
      <c r="F697">
        <v>13694.51</v>
      </c>
      <c r="G697" s="1">
        <v>44775</v>
      </c>
      <c r="H697">
        <v>8876.3972099999992</v>
      </c>
      <c r="I697" s="1">
        <v>44788</v>
      </c>
      <c r="J697">
        <v>8427</v>
      </c>
      <c r="K697" s="1">
        <v>44781</v>
      </c>
      <c r="L697">
        <v>22727.94</v>
      </c>
    </row>
    <row r="698" spans="1:12" x14ac:dyDescent="0.35">
      <c r="A698" s="1">
        <v>44789</v>
      </c>
      <c r="B698">
        <v>3805.22</v>
      </c>
      <c r="C698" s="1">
        <v>44785</v>
      </c>
      <c r="D698">
        <v>6553.86</v>
      </c>
      <c r="E698" s="1">
        <v>44783</v>
      </c>
      <c r="F698">
        <v>13700.93</v>
      </c>
      <c r="G698" s="1">
        <v>44774</v>
      </c>
      <c r="H698">
        <v>8858.7266199999995</v>
      </c>
      <c r="I698" s="1">
        <v>44785</v>
      </c>
      <c r="J698">
        <v>8400.4</v>
      </c>
      <c r="K698" s="1">
        <v>44778</v>
      </c>
      <c r="L698">
        <v>22586.880000000001</v>
      </c>
    </row>
    <row r="699" spans="1:12" x14ac:dyDescent="0.35">
      <c r="A699" s="1">
        <v>44788</v>
      </c>
      <c r="B699">
        <v>3789.62</v>
      </c>
      <c r="C699" s="1">
        <v>44784</v>
      </c>
      <c r="D699">
        <v>6544.67</v>
      </c>
      <c r="E699" s="1">
        <v>44782</v>
      </c>
      <c r="F699">
        <v>13534.97</v>
      </c>
      <c r="G699" s="1">
        <v>44771</v>
      </c>
      <c r="H699">
        <v>8859.0487099999991</v>
      </c>
      <c r="I699" s="1">
        <v>44784</v>
      </c>
      <c r="J699">
        <v>8380</v>
      </c>
      <c r="K699" s="1">
        <v>44777</v>
      </c>
      <c r="L699">
        <v>22645.84</v>
      </c>
    </row>
    <row r="700" spans="1:12" x14ac:dyDescent="0.35">
      <c r="A700" s="1">
        <v>44785</v>
      </c>
      <c r="B700">
        <v>3776.81</v>
      </c>
      <c r="C700" s="1">
        <v>44783</v>
      </c>
      <c r="D700">
        <v>6523.44</v>
      </c>
      <c r="E700" s="1">
        <v>44781</v>
      </c>
      <c r="F700">
        <v>13687.69</v>
      </c>
      <c r="G700" s="1">
        <v>44770</v>
      </c>
      <c r="H700">
        <v>8771.2032400000007</v>
      </c>
      <c r="I700" s="1">
        <v>44783</v>
      </c>
      <c r="J700">
        <v>8352.7999999999993</v>
      </c>
      <c r="K700" s="1">
        <v>44776</v>
      </c>
      <c r="L700">
        <v>22574.9</v>
      </c>
    </row>
    <row r="701" spans="1:12" x14ac:dyDescent="0.35">
      <c r="A701" s="1">
        <v>44784</v>
      </c>
      <c r="B701">
        <v>3757.05</v>
      </c>
      <c r="C701" s="1">
        <v>44782</v>
      </c>
      <c r="D701">
        <v>6490</v>
      </c>
      <c r="E701" s="1">
        <v>44778</v>
      </c>
      <c r="F701">
        <v>13573.93</v>
      </c>
      <c r="G701" s="1">
        <v>44769</v>
      </c>
      <c r="H701">
        <v>8749.4155800000008</v>
      </c>
      <c r="I701" s="1">
        <v>44782</v>
      </c>
      <c r="J701">
        <v>8311.9</v>
      </c>
      <c r="K701" s="1">
        <v>44775</v>
      </c>
      <c r="L701">
        <v>22351.02</v>
      </c>
    </row>
    <row r="702" spans="1:12" x14ac:dyDescent="0.35">
      <c r="A702" s="1">
        <v>44783</v>
      </c>
      <c r="B702">
        <v>3749.35</v>
      </c>
      <c r="C702" s="1">
        <v>44781</v>
      </c>
      <c r="D702">
        <v>6524.44</v>
      </c>
      <c r="E702" s="1">
        <v>44777</v>
      </c>
      <c r="F702">
        <v>13662.68</v>
      </c>
      <c r="G702" s="1">
        <v>44768</v>
      </c>
      <c r="H702">
        <v>8675.6213100000004</v>
      </c>
      <c r="I702" s="1">
        <v>44781</v>
      </c>
      <c r="J702">
        <v>8272.5</v>
      </c>
      <c r="K702" s="1">
        <v>44774</v>
      </c>
      <c r="L702">
        <v>22429.47</v>
      </c>
    </row>
    <row r="703" spans="1:12" x14ac:dyDescent="0.35">
      <c r="A703" s="1">
        <v>44782</v>
      </c>
      <c r="B703">
        <v>3715.37</v>
      </c>
      <c r="C703" s="1">
        <v>44778</v>
      </c>
      <c r="D703">
        <v>6472.35</v>
      </c>
      <c r="E703" s="1">
        <v>44776</v>
      </c>
      <c r="F703">
        <v>13587.56</v>
      </c>
      <c r="G703" s="1">
        <v>44767</v>
      </c>
      <c r="H703">
        <v>8614.4429400000008</v>
      </c>
      <c r="I703" s="1">
        <v>44778</v>
      </c>
      <c r="J703">
        <v>8168</v>
      </c>
      <c r="K703" s="1">
        <v>44771</v>
      </c>
      <c r="L703">
        <v>22405.48</v>
      </c>
    </row>
    <row r="704" spans="1:12" x14ac:dyDescent="0.35">
      <c r="A704" s="1">
        <v>44781</v>
      </c>
      <c r="B704">
        <v>3757.22</v>
      </c>
      <c r="C704" s="1">
        <v>44777</v>
      </c>
      <c r="D704">
        <v>6513.39</v>
      </c>
      <c r="E704" s="1">
        <v>44775</v>
      </c>
      <c r="F704">
        <v>13449.2</v>
      </c>
      <c r="G704" s="1">
        <v>44764</v>
      </c>
      <c r="H704">
        <v>8549.3080699999991</v>
      </c>
      <c r="I704" s="1">
        <v>44777</v>
      </c>
      <c r="J704">
        <v>8161.1</v>
      </c>
      <c r="K704" s="1">
        <v>44770</v>
      </c>
      <c r="L704">
        <v>21932.06</v>
      </c>
    </row>
    <row r="705" spans="1:12" x14ac:dyDescent="0.35">
      <c r="A705" s="1">
        <v>44778</v>
      </c>
      <c r="B705">
        <v>3725.39</v>
      </c>
      <c r="C705" s="1">
        <v>44776</v>
      </c>
      <c r="D705">
        <v>6472.06</v>
      </c>
      <c r="E705" s="1">
        <v>44774</v>
      </c>
      <c r="F705">
        <v>13479.63</v>
      </c>
      <c r="G705" s="1">
        <v>44763</v>
      </c>
      <c r="H705">
        <v>8534.3876999999993</v>
      </c>
      <c r="I705" s="1">
        <v>44776</v>
      </c>
      <c r="J705">
        <v>8142.1</v>
      </c>
      <c r="K705" s="1">
        <v>44769</v>
      </c>
      <c r="L705">
        <v>21480.7</v>
      </c>
    </row>
    <row r="706" spans="1:12" x14ac:dyDescent="0.35">
      <c r="A706" s="1">
        <v>44777</v>
      </c>
      <c r="B706">
        <v>3754.6</v>
      </c>
      <c r="C706" s="1">
        <v>44775</v>
      </c>
      <c r="D706">
        <v>6409.8</v>
      </c>
      <c r="E706" s="1">
        <v>44771</v>
      </c>
      <c r="F706">
        <v>13484.05</v>
      </c>
      <c r="G706" s="1">
        <v>44762</v>
      </c>
      <c r="H706">
        <v>8533.8356700000004</v>
      </c>
      <c r="I706" s="1">
        <v>44775</v>
      </c>
      <c r="J706">
        <v>8096.9</v>
      </c>
      <c r="K706" s="1">
        <v>44768</v>
      </c>
      <c r="L706">
        <v>21159.98</v>
      </c>
    </row>
    <row r="707" spans="1:12" x14ac:dyDescent="0.35">
      <c r="A707" s="1">
        <v>44776</v>
      </c>
      <c r="B707">
        <v>3732.54</v>
      </c>
      <c r="C707" s="1">
        <v>44774</v>
      </c>
      <c r="D707">
        <v>6436.86</v>
      </c>
      <c r="E707" s="1">
        <v>44770</v>
      </c>
      <c r="F707">
        <v>13282.11</v>
      </c>
      <c r="G707" s="1">
        <v>44761</v>
      </c>
      <c r="H707">
        <v>8555.1928800000005</v>
      </c>
      <c r="I707" s="1">
        <v>44774</v>
      </c>
      <c r="J707">
        <v>8085.1</v>
      </c>
      <c r="K707" s="1">
        <v>44767</v>
      </c>
      <c r="L707">
        <v>21382.71</v>
      </c>
    </row>
    <row r="708" spans="1:12" x14ac:dyDescent="0.35">
      <c r="A708" s="1">
        <v>44775</v>
      </c>
      <c r="B708">
        <v>3684.63</v>
      </c>
      <c r="C708" s="1">
        <v>44771</v>
      </c>
      <c r="D708">
        <v>6448.5</v>
      </c>
      <c r="E708" s="1">
        <v>44769</v>
      </c>
      <c r="F708">
        <v>13166.38</v>
      </c>
      <c r="G708" s="1">
        <v>44760</v>
      </c>
      <c r="H708">
        <v>8509.1713899999995</v>
      </c>
      <c r="I708" s="1">
        <v>44771</v>
      </c>
      <c r="J708">
        <v>8156.2</v>
      </c>
      <c r="K708" s="1">
        <v>44764</v>
      </c>
      <c r="L708">
        <v>21211.98</v>
      </c>
    </row>
    <row r="709" spans="1:12" x14ac:dyDescent="0.35">
      <c r="A709" s="1">
        <v>44774</v>
      </c>
      <c r="B709">
        <v>3706.62</v>
      </c>
      <c r="C709" s="1">
        <v>44770</v>
      </c>
      <c r="D709">
        <v>6339.21</v>
      </c>
      <c r="E709" s="1">
        <v>44768</v>
      </c>
      <c r="F709">
        <v>13096.93</v>
      </c>
      <c r="G709" s="1">
        <v>44757</v>
      </c>
      <c r="H709">
        <v>8418.8139599999995</v>
      </c>
      <c r="I709" s="1">
        <v>44770</v>
      </c>
      <c r="J709">
        <v>8084.9</v>
      </c>
      <c r="K709" s="1">
        <v>44763</v>
      </c>
      <c r="L709">
        <v>21196.59</v>
      </c>
    </row>
    <row r="710" spans="1:12" x14ac:dyDescent="0.35">
      <c r="A710" s="1">
        <v>44771</v>
      </c>
      <c r="B710">
        <v>3708.1</v>
      </c>
      <c r="C710" s="1">
        <v>44769</v>
      </c>
      <c r="D710">
        <v>6257.94</v>
      </c>
      <c r="E710" s="1">
        <v>44767</v>
      </c>
      <c r="F710">
        <v>13210.32</v>
      </c>
      <c r="G710" s="1">
        <v>44756</v>
      </c>
      <c r="H710">
        <v>8300.3665099999998</v>
      </c>
      <c r="I710" s="1">
        <v>44769</v>
      </c>
      <c r="J710">
        <v>8124.4</v>
      </c>
      <c r="K710" s="1">
        <v>44762</v>
      </c>
      <c r="L710">
        <v>21348.42</v>
      </c>
    </row>
    <row r="711" spans="1:12" x14ac:dyDescent="0.35">
      <c r="A711" s="1">
        <v>44770</v>
      </c>
      <c r="B711">
        <v>3652.2</v>
      </c>
      <c r="C711" s="1">
        <v>44768</v>
      </c>
      <c r="D711">
        <v>6211.45</v>
      </c>
      <c r="E711" s="1">
        <v>44764</v>
      </c>
      <c r="F711">
        <v>13253.68</v>
      </c>
      <c r="G711" s="1">
        <v>44755</v>
      </c>
      <c r="H711">
        <v>8462.4323700000004</v>
      </c>
      <c r="I711" s="1">
        <v>44768</v>
      </c>
      <c r="J711">
        <v>8069.6</v>
      </c>
      <c r="K711" s="1">
        <v>44761</v>
      </c>
      <c r="L711">
        <v>21696.2</v>
      </c>
    </row>
    <row r="712" spans="1:12" x14ac:dyDescent="0.35">
      <c r="A712" s="1">
        <v>44769</v>
      </c>
      <c r="B712">
        <v>3607.78</v>
      </c>
      <c r="C712" s="1">
        <v>44767</v>
      </c>
      <c r="D712">
        <v>6237.55</v>
      </c>
      <c r="E712" s="1">
        <v>44763</v>
      </c>
      <c r="F712">
        <v>13246.64</v>
      </c>
      <c r="G712" s="1">
        <v>44754</v>
      </c>
      <c r="H712">
        <v>8534.7487999999994</v>
      </c>
      <c r="I712" s="1">
        <v>44767</v>
      </c>
      <c r="J712">
        <v>8085.6</v>
      </c>
      <c r="K712" s="1">
        <v>44760</v>
      </c>
      <c r="L712">
        <v>21169.119999999999</v>
      </c>
    </row>
    <row r="713" spans="1:12" x14ac:dyDescent="0.35">
      <c r="A713" s="1">
        <v>44768</v>
      </c>
      <c r="B713">
        <v>3575.36</v>
      </c>
      <c r="C713" s="1">
        <v>44764</v>
      </c>
      <c r="D713">
        <v>6216.82</v>
      </c>
      <c r="E713" s="1">
        <v>44762</v>
      </c>
      <c r="F713">
        <v>13281.98</v>
      </c>
      <c r="G713" s="1">
        <v>44753</v>
      </c>
      <c r="H713">
        <v>8498.0401000000002</v>
      </c>
      <c r="I713" s="1">
        <v>44764</v>
      </c>
      <c r="J713">
        <v>8051.6</v>
      </c>
      <c r="K713" s="1">
        <v>44757</v>
      </c>
      <c r="L713">
        <v>20933.259999999998</v>
      </c>
    </row>
    <row r="714" spans="1:12" x14ac:dyDescent="0.35">
      <c r="A714" s="1">
        <v>44767</v>
      </c>
      <c r="B714">
        <v>3604.16</v>
      </c>
      <c r="C714" s="1">
        <v>44763</v>
      </c>
      <c r="D714">
        <v>6201.11</v>
      </c>
      <c r="E714" s="1">
        <v>44761</v>
      </c>
      <c r="F714">
        <v>13308.41</v>
      </c>
      <c r="G714" s="1">
        <v>44750</v>
      </c>
      <c r="H714">
        <v>8507.0924099999993</v>
      </c>
      <c r="I714" s="1">
        <v>44763</v>
      </c>
      <c r="J714">
        <v>8012.7</v>
      </c>
      <c r="K714" s="1">
        <v>44756</v>
      </c>
      <c r="L714">
        <v>20554.330000000002</v>
      </c>
    </row>
    <row r="715" spans="1:12" x14ac:dyDescent="0.35">
      <c r="A715" s="1">
        <v>44764</v>
      </c>
      <c r="B715">
        <v>3596.49</v>
      </c>
      <c r="C715" s="1">
        <v>44762</v>
      </c>
      <c r="D715">
        <v>6184.66</v>
      </c>
      <c r="E715" s="1">
        <v>44760</v>
      </c>
      <c r="F715">
        <v>12959.81</v>
      </c>
      <c r="G715" s="1">
        <v>44749</v>
      </c>
      <c r="H715">
        <v>8500.88357</v>
      </c>
      <c r="I715" s="1">
        <v>44762</v>
      </c>
      <c r="J715">
        <v>8028.9</v>
      </c>
      <c r="K715" s="1">
        <v>44755</v>
      </c>
      <c r="L715">
        <v>21286.33</v>
      </c>
    </row>
    <row r="716" spans="1:12" x14ac:dyDescent="0.35">
      <c r="A716" s="1">
        <v>44763</v>
      </c>
      <c r="B716">
        <v>3596.51</v>
      </c>
      <c r="C716" s="1">
        <v>44761</v>
      </c>
      <c r="D716">
        <v>6201.22</v>
      </c>
      <c r="E716" s="1">
        <v>44757</v>
      </c>
      <c r="F716">
        <v>12864.72</v>
      </c>
      <c r="G716" s="1">
        <v>44748</v>
      </c>
      <c r="H716">
        <v>8320.6952600000004</v>
      </c>
      <c r="I716" s="1">
        <v>44761</v>
      </c>
      <c r="J716">
        <v>8125.1</v>
      </c>
      <c r="K716" s="1">
        <v>44754</v>
      </c>
      <c r="L716">
        <v>21485.7</v>
      </c>
    </row>
    <row r="717" spans="1:12" x14ac:dyDescent="0.35">
      <c r="A717" s="1">
        <v>44762</v>
      </c>
      <c r="B717">
        <v>3585.24</v>
      </c>
      <c r="C717" s="1">
        <v>44760</v>
      </c>
      <c r="D717">
        <v>6091.91</v>
      </c>
      <c r="E717" s="1">
        <v>44756</v>
      </c>
      <c r="F717">
        <v>12519.66</v>
      </c>
      <c r="G717" s="1">
        <v>44747</v>
      </c>
      <c r="H717">
        <v>8176.8379000000004</v>
      </c>
      <c r="I717" s="1">
        <v>44760</v>
      </c>
      <c r="J717">
        <v>7963.1</v>
      </c>
      <c r="K717" s="1">
        <v>44753</v>
      </c>
      <c r="L717">
        <v>21567.7</v>
      </c>
    </row>
    <row r="718" spans="1:12" x14ac:dyDescent="0.35">
      <c r="A718" s="1">
        <v>44761</v>
      </c>
      <c r="B718">
        <v>3587.44</v>
      </c>
      <c r="C718" s="1">
        <v>44757</v>
      </c>
      <c r="D718">
        <v>6036</v>
      </c>
      <c r="E718" s="1">
        <v>44755</v>
      </c>
      <c r="F718">
        <v>12756.32</v>
      </c>
      <c r="G718" s="1">
        <v>44746</v>
      </c>
      <c r="H718">
        <v>8403.9742999999999</v>
      </c>
      <c r="I718" s="1">
        <v>44757</v>
      </c>
      <c r="J718">
        <v>7945.9</v>
      </c>
      <c r="K718" s="1">
        <v>44750</v>
      </c>
      <c r="L718">
        <v>21774.18</v>
      </c>
    </row>
    <row r="719" spans="1:12" x14ac:dyDescent="0.35">
      <c r="A719" s="1">
        <v>44760</v>
      </c>
      <c r="B719">
        <v>3511.86</v>
      </c>
      <c r="C719" s="1">
        <v>44756</v>
      </c>
      <c r="D719">
        <v>5915.41</v>
      </c>
      <c r="E719" s="1">
        <v>44754</v>
      </c>
      <c r="F719">
        <v>12905.48</v>
      </c>
      <c r="G719" s="1">
        <v>44743</v>
      </c>
      <c r="H719">
        <v>8301.6302500000002</v>
      </c>
      <c r="I719" s="1">
        <v>44756</v>
      </c>
      <c r="J719">
        <v>7804.3</v>
      </c>
      <c r="K719" s="1">
        <v>44749</v>
      </c>
      <c r="L719">
        <v>21558.07</v>
      </c>
    </row>
    <row r="720" spans="1:12" x14ac:dyDescent="0.35">
      <c r="A720" s="1">
        <v>44757</v>
      </c>
      <c r="B720">
        <v>3477.2</v>
      </c>
      <c r="C720" s="1">
        <v>44755</v>
      </c>
      <c r="D720">
        <v>6000.24</v>
      </c>
      <c r="E720" s="1">
        <v>44753</v>
      </c>
      <c r="F720">
        <v>12832.44</v>
      </c>
      <c r="G720" s="1">
        <v>44742</v>
      </c>
      <c r="H720">
        <v>8327.79954</v>
      </c>
      <c r="I720" s="1">
        <v>44755</v>
      </c>
      <c r="J720">
        <v>7944.9</v>
      </c>
      <c r="K720" s="1">
        <v>44748</v>
      </c>
      <c r="L720">
        <v>20920.990000000002</v>
      </c>
    </row>
    <row r="721" spans="1:12" x14ac:dyDescent="0.35">
      <c r="A721" s="1">
        <v>44756</v>
      </c>
      <c r="B721">
        <v>3396.61</v>
      </c>
      <c r="C721" s="1">
        <v>44754</v>
      </c>
      <c r="D721">
        <v>6044.2</v>
      </c>
      <c r="E721" s="1">
        <v>44750</v>
      </c>
      <c r="F721">
        <v>13015.23</v>
      </c>
      <c r="G721" s="1">
        <v>44741</v>
      </c>
      <c r="H721">
        <v>8485.5392499999998</v>
      </c>
      <c r="I721" s="1">
        <v>44754</v>
      </c>
      <c r="J721">
        <v>8014.8</v>
      </c>
      <c r="K721" s="1">
        <v>44747</v>
      </c>
      <c r="L721">
        <v>20705.060000000001</v>
      </c>
    </row>
    <row r="722" spans="1:12" x14ac:dyDescent="0.35">
      <c r="A722" s="1">
        <v>44755</v>
      </c>
      <c r="B722">
        <v>3453.97</v>
      </c>
      <c r="C722" s="1">
        <v>44753</v>
      </c>
      <c r="D722">
        <v>5996.3</v>
      </c>
      <c r="E722" s="1">
        <v>44749</v>
      </c>
      <c r="F722">
        <v>12843.22</v>
      </c>
      <c r="G722" s="1">
        <v>44740</v>
      </c>
      <c r="H722">
        <v>8486.3310399999991</v>
      </c>
      <c r="I722" s="1">
        <v>44753</v>
      </c>
      <c r="J722">
        <v>8065.2</v>
      </c>
      <c r="K722" s="1">
        <v>44746</v>
      </c>
      <c r="L722">
        <v>21343.93</v>
      </c>
    </row>
    <row r="723" spans="1:12" x14ac:dyDescent="0.35">
      <c r="A723" s="1">
        <v>44754</v>
      </c>
      <c r="B723">
        <v>3487.05</v>
      </c>
      <c r="C723" s="1">
        <v>44750</v>
      </c>
      <c r="D723">
        <v>6033.13</v>
      </c>
      <c r="E723" s="1">
        <v>44748</v>
      </c>
      <c r="F723">
        <v>12594.52</v>
      </c>
      <c r="G723" s="1">
        <v>44739</v>
      </c>
      <c r="H723">
        <v>8417.8157300000003</v>
      </c>
      <c r="I723" s="1">
        <v>44750</v>
      </c>
      <c r="J723">
        <v>8100.3</v>
      </c>
      <c r="K723" s="1">
        <v>44743</v>
      </c>
      <c r="L723">
        <v>21354.65</v>
      </c>
    </row>
    <row r="724" spans="1:12" x14ac:dyDescent="0.35">
      <c r="A724" s="1">
        <v>44753</v>
      </c>
      <c r="B724">
        <v>3471.69</v>
      </c>
      <c r="C724" s="1">
        <v>44749</v>
      </c>
      <c r="D724">
        <v>6006.7</v>
      </c>
      <c r="E724" s="1">
        <v>44747</v>
      </c>
      <c r="F724">
        <v>12401.2</v>
      </c>
      <c r="G724" s="1">
        <v>44736</v>
      </c>
      <c r="H724">
        <v>8385.7864699999991</v>
      </c>
      <c r="I724" s="1">
        <v>44749</v>
      </c>
      <c r="J724">
        <v>8122.5</v>
      </c>
      <c r="K724" s="1">
        <v>44742</v>
      </c>
      <c r="L724">
        <v>21293.86</v>
      </c>
    </row>
    <row r="725" spans="1:12" x14ac:dyDescent="0.35">
      <c r="A725" s="1">
        <v>44750</v>
      </c>
      <c r="B725">
        <v>3506.55</v>
      </c>
      <c r="C725" s="1">
        <v>44748</v>
      </c>
      <c r="D725">
        <v>5912.38</v>
      </c>
      <c r="E725" s="1">
        <v>44746</v>
      </c>
      <c r="F725">
        <v>12773.38</v>
      </c>
      <c r="G725" s="1">
        <v>44735</v>
      </c>
      <c r="H725">
        <v>8168.8136500000001</v>
      </c>
      <c r="I725" s="1">
        <v>44748</v>
      </c>
      <c r="J725">
        <v>7948.6</v>
      </c>
      <c r="K725" s="1">
        <v>44741</v>
      </c>
      <c r="L725">
        <v>21833.5</v>
      </c>
    </row>
    <row r="726" spans="1:12" x14ac:dyDescent="0.35">
      <c r="A726" s="1">
        <v>44749</v>
      </c>
      <c r="B726">
        <v>3488.5</v>
      </c>
      <c r="C726" s="1">
        <v>44747</v>
      </c>
      <c r="D726">
        <v>5794.96</v>
      </c>
      <c r="E726" s="1">
        <v>44743</v>
      </c>
      <c r="F726">
        <v>12813.03</v>
      </c>
      <c r="G726" s="1">
        <v>44734</v>
      </c>
      <c r="H726">
        <v>8222.15445</v>
      </c>
      <c r="I726" s="1">
        <v>44747</v>
      </c>
      <c r="J726">
        <v>7959.4</v>
      </c>
      <c r="K726" s="1">
        <v>44740</v>
      </c>
      <c r="L726">
        <v>22101.23</v>
      </c>
    </row>
    <row r="727" spans="1:12" x14ac:dyDescent="0.35">
      <c r="A727" s="1">
        <v>44748</v>
      </c>
      <c r="B727">
        <v>3421.84</v>
      </c>
      <c r="C727" s="1">
        <v>44746</v>
      </c>
      <c r="D727">
        <v>5954.65</v>
      </c>
      <c r="E727" s="1">
        <v>44742</v>
      </c>
      <c r="F727">
        <v>12783.77</v>
      </c>
      <c r="G727" s="1">
        <v>44733</v>
      </c>
      <c r="H727">
        <v>8332.0635700000003</v>
      </c>
      <c r="I727" s="1">
        <v>44746</v>
      </c>
      <c r="J727">
        <v>8161.8</v>
      </c>
      <c r="K727" s="1">
        <v>44739</v>
      </c>
      <c r="L727">
        <v>21928.81</v>
      </c>
    </row>
    <row r="728" spans="1:12" x14ac:dyDescent="0.35">
      <c r="A728" s="1">
        <v>44747</v>
      </c>
      <c r="B728">
        <v>3359.83</v>
      </c>
      <c r="C728" s="1">
        <v>44743</v>
      </c>
      <c r="D728">
        <v>5931.06</v>
      </c>
      <c r="E728" s="1">
        <v>44741</v>
      </c>
      <c r="F728">
        <v>13003.35</v>
      </c>
      <c r="G728" s="1">
        <v>44732</v>
      </c>
      <c r="H728">
        <v>8293.3250700000008</v>
      </c>
      <c r="I728" s="1">
        <v>44743</v>
      </c>
      <c r="J728">
        <v>8176.1</v>
      </c>
      <c r="K728" s="1">
        <v>44736</v>
      </c>
      <c r="L728">
        <v>22119.200000000001</v>
      </c>
    </row>
    <row r="729" spans="1:12" x14ac:dyDescent="0.35">
      <c r="A729" s="1">
        <v>44746</v>
      </c>
      <c r="B729">
        <v>3452.42</v>
      </c>
      <c r="C729" s="1">
        <v>44742</v>
      </c>
      <c r="D729">
        <v>5922.86</v>
      </c>
      <c r="E729" s="1">
        <v>44740</v>
      </c>
      <c r="F729">
        <v>13231.82</v>
      </c>
      <c r="G729" s="1">
        <v>44729</v>
      </c>
      <c r="H729">
        <v>8169.7622499999998</v>
      </c>
      <c r="I729" s="1">
        <v>44742</v>
      </c>
      <c r="J729">
        <v>8098.7</v>
      </c>
      <c r="K729" s="1">
        <v>44735</v>
      </c>
      <c r="L729">
        <v>21615</v>
      </c>
    </row>
    <row r="730" spans="1:12" x14ac:dyDescent="0.35">
      <c r="A730" s="1">
        <v>44743</v>
      </c>
      <c r="B730">
        <v>3448.31</v>
      </c>
      <c r="C730" s="1">
        <v>44741</v>
      </c>
      <c r="D730">
        <v>6031.48</v>
      </c>
      <c r="E730" s="1">
        <v>44739</v>
      </c>
      <c r="F730">
        <v>13186.07</v>
      </c>
      <c r="G730" s="1">
        <v>44728</v>
      </c>
      <c r="H730">
        <v>8259.1716300000007</v>
      </c>
      <c r="I730" s="1">
        <v>44741</v>
      </c>
      <c r="J730">
        <v>8188</v>
      </c>
      <c r="K730" s="1">
        <v>44734</v>
      </c>
      <c r="L730">
        <v>21788.57</v>
      </c>
    </row>
    <row r="731" spans="1:12" x14ac:dyDescent="0.35">
      <c r="A731" s="1">
        <v>44742</v>
      </c>
      <c r="B731">
        <v>3454.86</v>
      </c>
      <c r="C731" s="1">
        <v>44740</v>
      </c>
      <c r="D731">
        <v>6086.02</v>
      </c>
      <c r="E731" s="1">
        <v>44736</v>
      </c>
      <c r="F731">
        <v>13118.13</v>
      </c>
      <c r="G731" s="1">
        <v>44727</v>
      </c>
      <c r="H731">
        <v>8451.7836900000002</v>
      </c>
      <c r="I731" s="1">
        <v>44740</v>
      </c>
      <c r="J731">
        <v>8317.5</v>
      </c>
      <c r="K731" s="1">
        <v>44733</v>
      </c>
      <c r="L731">
        <v>22089.41</v>
      </c>
    </row>
    <row r="732" spans="1:12" x14ac:dyDescent="0.35">
      <c r="A732" s="1">
        <v>44741</v>
      </c>
      <c r="B732">
        <v>3514.32</v>
      </c>
      <c r="C732" s="1">
        <v>44739</v>
      </c>
      <c r="D732">
        <v>6047.31</v>
      </c>
      <c r="E732" s="1">
        <v>44735</v>
      </c>
      <c r="F732">
        <v>12912.59</v>
      </c>
      <c r="G732" s="1">
        <v>44726</v>
      </c>
      <c r="H732">
        <v>8273.8563099999992</v>
      </c>
      <c r="I732" s="1">
        <v>44739</v>
      </c>
      <c r="J732">
        <v>8242.6</v>
      </c>
      <c r="K732" s="1">
        <v>44732</v>
      </c>
      <c r="L732">
        <v>22004.05</v>
      </c>
    </row>
    <row r="733" spans="1:12" x14ac:dyDescent="0.35">
      <c r="A733" s="1">
        <v>44740</v>
      </c>
      <c r="B733">
        <v>3549.29</v>
      </c>
      <c r="C733" s="1">
        <v>44736</v>
      </c>
      <c r="D733">
        <v>6073.35</v>
      </c>
      <c r="E733" s="1">
        <v>44734</v>
      </c>
      <c r="F733">
        <v>13144.28</v>
      </c>
      <c r="G733" s="1">
        <v>44725</v>
      </c>
      <c r="H733">
        <v>8405.0523099999991</v>
      </c>
      <c r="I733" s="1">
        <v>44736</v>
      </c>
      <c r="J733">
        <v>8244.1</v>
      </c>
      <c r="K733" s="1">
        <v>44729</v>
      </c>
      <c r="L733">
        <v>21788.87</v>
      </c>
    </row>
    <row r="734" spans="1:12" x14ac:dyDescent="0.35">
      <c r="A734" s="1">
        <v>44739</v>
      </c>
      <c r="B734">
        <v>3538.88</v>
      </c>
      <c r="C734" s="1">
        <v>44735</v>
      </c>
      <c r="D734">
        <v>5883.33</v>
      </c>
      <c r="E734" s="1">
        <v>44733</v>
      </c>
      <c r="F734">
        <v>13292.4</v>
      </c>
      <c r="G734" s="1">
        <v>44722</v>
      </c>
      <c r="H734">
        <v>8565.7496200000005</v>
      </c>
      <c r="I734" s="1">
        <v>44735</v>
      </c>
      <c r="J734">
        <v>8106.4</v>
      </c>
      <c r="K734" s="1">
        <v>44728</v>
      </c>
      <c r="L734">
        <v>21726.639999999999</v>
      </c>
    </row>
    <row r="735" spans="1:12" x14ac:dyDescent="0.35">
      <c r="A735" s="1">
        <v>44736</v>
      </c>
      <c r="B735">
        <v>3533.17</v>
      </c>
      <c r="C735" s="1">
        <v>44734</v>
      </c>
      <c r="D735">
        <v>5916.63</v>
      </c>
      <c r="E735" s="1">
        <v>44732</v>
      </c>
      <c r="F735">
        <v>13265.6</v>
      </c>
      <c r="G735" s="1">
        <v>44721</v>
      </c>
      <c r="H735">
        <v>8783.7746999999999</v>
      </c>
      <c r="I735" s="1">
        <v>44734</v>
      </c>
      <c r="J735">
        <v>8145.4</v>
      </c>
      <c r="K735" s="1">
        <v>44727</v>
      </c>
      <c r="L735">
        <v>22473.56</v>
      </c>
    </row>
    <row r="736" spans="1:12" x14ac:dyDescent="0.35">
      <c r="A736" s="1">
        <v>44735</v>
      </c>
      <c r="B736">
        <v>3436.29</v>
      </c>
      <c r="C736" s="1">
        <v>44733</v>
      </c>
      <c r="D736">
        <v>5964.66</v>
      </c>
      <c r="E736" s="1">
        <v>44729</v>
      </c>
      <c r="F736">
        <v>13126.26</v>
      </c>
      <c r="G736" s="1">
        <v>44720</v>
      </c>
      <c r="H736">
        <v>8880.3209999999999</v>
      </c>
      <c r="I736" s="1">
        <v>44733</v>
      </c>
      <c r="J736">
        <v>8235.6</v>
      </c>
      <c r="K736" s="1">
        <v>44726</v>
      </c>
      <c r="L736">
        <v>21846.89</v>
      </c>
    </row>
    <row r="737" spans="1:12" x14ac:dyDescent="0.35">
      <c r="A737" s="1">
        <v>44734</v>
      </c>
      <c r="B737">
        <v>3464.64</v>
      </c>
      <c r="C737" s="1">
        <v>44732</v>
      </c>
      <c r="D737">
        <v>5920.09</v>
      </c>
      <c r="E737" s="1">
        <v>44728</v>
      </c>
      <c r="F737">
        <v>13038.49</v>
      </c>
      <c r="G737" s="1">
        <v>44719</v>
      </c>
      <c r="H737">
        <v>8942.4657000000007</v>
      </c>
      <c r="I737" s="1">
        <v>44732</v>
      </c>
      <c r="J737">
        <v>8286</v>
      </c>
      <c r="K737" s="1">
        <v>44725</v>
      </c>
      <c r="L737">
        <v>21918.04</v>
      </c>
    </row>
    <row r="738" spans="1:12" x14ac:dyDescent="0.35">
      <c r="A738" s="1">
        <v>44733</v>
      </c>
      <c r="B738">
        <v>3494</v>
      </c>
      <c r="C738" s="1">
        <v>44729</v>
      </c>
      <c r="D738">
        <v>5882.65</v>
      </c>
      <c r="E738" s="1">
        <v>44727</v>
      </c>
      <c r="F738">
        <v>13485.29</v>
      </c>
      <c r="G738" s="1">
        <v>44718</v>
      </c>
      <c r="H738">
        <v>8915.7161799999994</v>
      </c>
      <c r="I738" s="1">
        <v>44729</v>
      </c>
      <c r="J738">
        <v>8145.9</v>
      </c>
      <c r="K738" s="1">
        <v>44722</v>
      </c>
      <c r="L738">
        <v>22547.48</v>
      </c>
    </row>
    <row r="739" spans="1:12" x14ac:dyDescent="0.35">
      <c r="A739" s="1">
        <v>44732</v>
      </c>
      <c r="B739">
        <v>3469.83</v>
      </c>
      <c r="C739" s="1">
        <v>44728</v>
      </c>
      <c r="D739">
        <v>5886.24</v>
      </c>
      <c r="E739" s="1">
        <v>44726</v>
      </c>
      <c r="F739">
        <v>13304.39</v>
      </c>
      <c r="G739" s="1">
        <v>44713</v>
      </c>
      <c r="H739">
        <v>8829.3905900000009</v>
      </c>
      <c r="I739" s="1">
        <v>44728</v>
      </c>
      <c r="J739">
        <v>8078.1</v>
      </c>
      <c r="K739" s="1">
        <v>44721</v>
      </c>
      <c r="L739">
        <v>23776.97</v>
      </c>
    </row>
    <row r="740" spans="1:12" x14ac:dyDescent="0.35">
      <c r="A740" s="1">
        <v>44729</v>
      </c>
      <c r="B740">
        <v>3438.46</v>
      </c>
      <c r="C740" s="1">
        <v>44727</v>
      </c>
      <c r="D740">
        <v>6030.13</v>
      </c>
      <c r="E740" s="1">
        <v>44725</v>
      </c>
      <c r="F740">
        <v>13427.03</v>
      </c>
      <c r="G740" s="1">
        <v>44712</v>
      </c>
      <c r="H740">
        <v>8946.0183699999998</v>
      </c>
      <c r="I740" s="1">
        <v>44727</v>
      </c>
      <c r="J740">
        <v>8174.7</v>
      </c>
      <c r="K740" s="1">
        <v>44720</v>
      </c>
      <c r="L740">
        <v>24236.67</v>
      </c>
    </row>
    <row r="741" spans="1:12" x14ac:dyDescent="0.35">
      <c r="A741" s="1">
        <v>44728</v>
      </c>
      <c r="B741">
        <v>3427.91</v>
      </c>
      <c r="C741" s="1">
        <v>44726</v>
      </c>
      <c r="D741">
        <v>5949.84</v>
      </c>
      <c r="E741" s="1">
        <v>44722</v>
      </c>
      <c r="F741">
        <v>13761.83</v>
      </c>
      <c r="G741" s="1">
        <v>44711</v>
      </c>
      <c r="H741">
        <v>8916.9997500000009</v>
      </c>
      <c r="I741" s="1">
        <v>44726</v>
      </c>
      <c r="J741">
        <v>8066.4</v>
      </c>
      <c r="K741" s="1">
        <v>44719</v>
      </c>
      <c r="L741">
        <v>24366.19</v>
      </c>
    </row>
    <row r="742" spans="1:12" x14ac:dyDescent="0.35">
      <c r="A742" s="1">
        <v>44727</v>
      </c>
      <c r="B742">
        <v>3532.32</v>
      </c>
      <c r="C742" s="1">
        <v>44725</v>
      </c>
      <c r="D742">
        <v>6022.32</v>
      </c>
      <c r="E742" s="1">
        <v>44721</v>
      </c>
      <c r="F742">
        <v>14198.8</v>
      </c>
      <c r="G742" s="1">
        <v>44708</v>
      </c>
      <c r="H742">
        <v>8929.0284100000008</v>
      </c>
      <c r="I742" s="1">
        <v>44725</v>
      </c>
      <c r="J742">
        <v>8183.3</v>
      </c>
      <c r="K742" s="1">
        <v>44718</v>
      </c>
      <c r="L742">
        <v>24565.67</v>
      </c>
    </row>
    <row r="743" spans="1:12" x14ac:dyDescent="0.35">
      <c r="A743" s="1">
        <v>44726</v>
      </c>
      <c r="B743">
        <v>3475.18</v>
      </c>
      <c r="C743" s="1">
        <v>44722</v>
      </c>
      <c r="D743">
        <v>6187.23</v>
      </c>
      <c r="E743" s="1">
        <v>44720</v>
      </c>
      <c r="F743">
        <v>14445.99</v>
      </c>
      <c r="G743" s="1">
        <v>44707</v>
      </c>
      <c r="H743">
        <v>8885.5659400000004</v>
      </c>
      <c r="I743" s="1">
        <v>44722</v>
      </c>
      <c r="J743">
        <v>8390.6</v>
      </c>
      <c r="K743" s="1">
        <v>44715</v>
      </c>
      <c r="L743">
        <v>24166.66</v>
      </c>
    </row>
    <row r="744" spans="1:12" x14ac:dyDescent="0.35">
      <c r="A744" s="1">
        <v>44725</v>
      </c>
      <c r="B744">
        <v>3502.5</v>
      </c>
      <c r="C744" s="1">
        <v>44721</v>
      </c>
      <c r="D744">
        <v>6358.46</v>
      </c>
      <c r="E744" s="1">
        <v>44719</v>
      </c>
      <c r="F744">
        <v>14556.62</v>
      </c>
      <c r="G744" s="1">
        <v>44706</v>
      </c>
      <c r="H744">
        <v>8847.9683700000005</v>
      </c>
      <c r="I744" s="1">
        <v>44721</v>
      </c>
      <c r="J744">
        <v>8711.2000000000007</v>
      </c>
      <c r="K744" s="1">
        <v>44714</v>
      </c>
      <c r="L744">
        <v>24426.5</v>
      </c>
    </row>
    <row r="745" spans="1:12" x14ac:dyDescent="0.35">
      <c r="A745" s="1">
        <v>44722</v>
      </c>
      <c r="B745">
        <v>3599.2</v>
      </c>
      <c r="C745" s="1">
        <v>44720</v>
      </c>
      <c r="D745">
        <v>6448.63</v>
      </c>
      <c r="E745" s="1">
        <v>44718</v>
      </c>
      <c r="F745">
        <v>14653.81</v>
      </c>
      <c r="G745" s="1">
        <v>44705</v>
      </c>
      <c r="H745">
        <v>8742.5521599999993</v>
      </c>
      <c r="I745" s="1">
        <v>44720</v>
      </c>
      <c r="J745">
        <v>8842.7000000000007</v>
      </c>
      <c r="K745" s="1">
        <v>44713</v>
      </c>
      <c r="L745">
        <v>24283.56</v>
      </c>
    </row>
    <row r="746" spans="1:12" x14ac:dyDescent="0.35">
      <c r="A746" s="1">
        <v>44721</v>
      </c>
      <c r="B746">
        <v>3724.45</v>
      </c>
      <c r="C746" s="1">
        <v>44719</v>
      </c>
      <c r="D746">
        <v>6500.35</v>
      </c>
      <c r="E746" s="1">
        <v>44715</v>
      </c>
      <c r="F746">
        <v>14460.09</v>
      </c>
      <c r="G746" s="1">
        <v>44704</v>
      </c>
      <c r="H746">
        <v>8844.1429200000002</v>
      </c>
      <c r="I746" s="1">
        <v>44719</v>
      </c>
      <c r="J746">
        <v>8841.6</v>
      </c>
      <c r="K746" s="1">
        <v>44712</v>
      </c>
      <c r="L746">
        <v>24505.08</v>
      </c>
    </row>
    <row r="747" spans="1:12" x14ac:dyDescent="0.35">
      <c r="A747" s="1">
        <v>44720</v>
      </c>
      <c r="B747">
        <v>3788.93</v>
      </c>
      <c r="C747" s="1">
        <v>44718</v>
      </c>
      <c r="D747">
        <v>6548.78</v>
      </c>
      <c r="E747" s="1">
        <v>44714</v>
      </c>
      <c r="F747">
        <v>14485.17</v>
      </c>
      <c r="G747" s="1">
        <v>44701</v>
      </c>
      <c r="H747">
        <v>8737.1154200000001</v>
      </c>
      <c r="I747" s="1">
        <v>44718</v>
      </c>
      <c r="J747">
        <v>8836.2999999999993</v>
      </c>
      <c r="K747" s="1">
        <v>44711</v>
      </c>
      <c r="L747">
        <v>24808.65</v>
      </c>
    </row>
    <row r="748" spans="1:12" x14ac:dyDescent="0.35">
      <c r="A748" s="1">
        <v>44719</v>
      </c>
      <c r="B748">
        <v>3806.74</v>
      </c>
      <c r="C748" s="1">
        <v>44715</v>
      </c>
      <c r="D748">
        <v>6485.3</v>
      </c>
      <c r="E748" s="1">
        <v>44713</v>
      </c>
      <c r="F748">
        <v>14340.47</v>
      </c>
      <c r="G748" s="1">
        <v>44700</v>
      </c>
      <c r="H748">
        <v>8616.7230500000005</v>
      </c>
      <c r="I748" s="1">
        <v>44715</v>
      </c>
      <c r="J748">
        <v>8724.7999999999993</v>
      </c>
      <c r="K748" s="1">
        <v>44708</v>
      </c>
      <c r="L748">
        <v>24636.26</v>
      </c>
    </row>
    <row r="749" spans="1:12" x14ac:dyDescent="0.35">
      <c r="A749" s="1">
        <v>44718</v>
      </c>
      <c r="B749">
        <v>3838.42</v>
      </c>
      <c r="C749" s="1">
        <v>44714</v>
      </c>
      <c r="D749">
        <v>6500.44</v>
      </c>
      <c r="E749" s="1">
        <v>44712</v>
      </c>
      <c r="F749">
        <v>14388.35</v>
      </c>
      <c r="G749" s="1">
        <v>44699</v>
      </c>
      <c r="H749">
        <v>8782.8614899999993</v>
      </c>
      <c r="I749" s="1">
        <v>44714</v>
      </c>
      <c r="J749">
        <v>8744.1</v>
      </c>
      <c r="K749" s="1">
        <v>44707</v>
      </c>
      <c r="L749">
        <v>24546.5</v>
      </c>
    </row>
    <row r="750" spans="1:12" x14ac:dyDescent="0.35">
      <c r="A750" s="1">
        <v>44715</v>
      </c>
      <c r="B750">
        <v>3783.66</v>
      </c>
      <c r="C750" s="1">
        <v>44713</v>
      </c>
      <c r="D750">
        <v>6418.89</v>
      </c>
      <c r="E750" s="1">
        <v>44711</v>
      </c>
      <c r="F750">
        <v>14575.98</v>
      </c>
      <c r="G750" s="1">
        <v>44698</v>
      </c>
      <c r="H750">
        <v>8900.3629299999993</v>
      </c>
      <c r="I750" s="1">
        <v>44713</v>
      </c>
      <c r="J750">
        <v>8747.2000000000007</v>
      </c>
      <c r="K750" s="1">
        <v>44706</v>
      </c>
      <c r="L750">
        <v>24250.45</v>
      </c>
    </row>
    <row r="751" spans="1:12" x14ac:dyDescent="0.35">
      <c r="A751" s="1">
        <v>44714</v>
      </c>
      <c r="B751">
        <v>3795.13</v>
      </c>
      <c r="C751" s="1">
        <v>44712</v>
      </c>
      <c r="D751">
        <v>6468.8</v>
      </c>
      <c r="E751" s="1">
        <v>44708</v>
      </c>
      <c r="F751">
        <v>14462.19</v>
      </c>
      <c r="G751" s="1">
        <v>44697</v>
      </c>
      <c r="H751">
        <v>8790.20478</v>
      </c>
      <c r="I751" s="1">
        <v>44712</v>
      </c>
      <c r="J751">
        <v>8851.5</v>
      </c>
      <c r="K751" s="1">
        <v>44705</v>
      </c>
      <c r="L751">
        <v>23876.080000000002</v>
      </c>
    </row>
    <row r="752" spans="1:12" x14ac:dyDescent="0.35">
      <c r="A752" s="1">
        <v>44713</v>
      </c>
      <c r="B752">
        <v>3759.54</v>
      </c>
      <c r="C752" s="1">
        <v>44711</v>
      </c>
      <c r="D752">
        <v>6562.39</v>
      </c>
      <c r="E752" s="1">
        <v>44707</v>
      </c>
      <c r="F752">
        <v>14231.29</v>
      </c>
      <c r="G752" s="1">
        <v>44694</v>
      </c>
      <c r="H752">
        <v>8720.19247</v>
      </c>
      <c r="I752" s="1">
        <v>44711</v>
      </c>
      <c r="J752">
        <v>8930.7999999999993</v>
      </c>
      <c r="K752" s="1">
        <v>44704</v>
      </c>
      <c r="L752">
        <v>24136.560000000001</v>
      </c>
    </row>
    <row r="753" spans="1:12" x14ac:dyDescent="0.35">
      <c r="A753" s="1">
        <v>44712</v>
      </c>
      <c r="B753">
        <v>3789.21</v>
      </c>
      <c r="C753" s="1">
        <v>44708</v>
      </c>
      <c r="D753">
        <v>6515.75</v>
      </c>
      <c r="E753" s="1">
        <v>44706</v>
      </c>
      <c r="F753">
        <v>14007.93</v>
      </c>
      <c r="G753" s="1">
        <v>44693</v>
      </c>
      <c r="H753">
        <v>8514.0839199999991</v>
      </c>
      <c r="I753" s="1">
        <v>44708</v>
      </c>
      <c r="J753">
        <v>8933.6</v>
      </c>
      <c r="K753" s="1">
        <v>44701</v>
      </c>
      <c r="L753">
        <v>24095</v>
      </c>
    </row>
    <row r="754" spans="1:12" x14ac:dyDescent="0.35">
      <c r="A754" s="1">
        <v>44711</v>
      </c>
      <c r="B754">
        <v>3841.62</v>
      </c>
      <c r="C754" s="1">
        <v>44707</v>
      </c>
      <c r="D754">
        <v>6410.58</v>
      </c>
      <c r="E754" s="1">
        <v>44705</v>
      </c>
      <c r="F754">
        <v>13919.75</v>
      </c>
      <c r="G754" s="1">
        <v>44692</v>
      </c>
      <c r="H754">
        <v>8574.9445799999994</v>
      </c>
      <c r="I754" s="1">
        <v>44707</v>
      </c>
      <c r="J754">
        <v>8888.7999999999993</v>
      </c>
      <c r="K754" s="1">
        <v>44700</v>
      </c>
      <c r="L754">
        <v>24065.05</v>
      </c>
    </row>
    <row r="755" spans="1:12" x14ac:dyDescent="0.35">
      <c r="A755" s="1">
        <v>44708</v>
      </c>
      <c r="B755">
        <v>3808.86</v>
      </c>
      <c r="C755" s="1">
        <v>44706</v>
      </c>
      <c r="D755">
        <v>6298.64</v>
      </c>
      <c r="E755" s="1">
        <v>44704</v>
      </c>
      <c r="F755">
        <v>14175.4</v>
      </c>
      <c r="G755" s="1">
        <v>44691</v>
      </c>
      <c r="H755">
        <v>8464.4046099999996</v>
      </c>
      <c r="I755" s="1">
        <v>44706</v>
      </c>
      <c r="J755">
        <v>8760.2000000000007</v>
      </c>
      <c r="K755" s="1">
        <v>44699</v>
      </c>
      <c r="L755">
        <v>24085.82</v>
      </c>
    </row>
    <row r="756" spans="1:12" x14ac:dyDescent="0.35">
      <c r="A756" s="1">
        <v>44707</v>
      </c>
      <c r="B756">
        <v>3740.31</v>
      </c>
      <c r="C756" s="1">
        <v>44705</v>
      </c>
      <c r="D756">
        <v>6253.14</v>
      </c>
      <c r="E756" s="1">
        <v>44701</v>
      </c>
      <c r="F756">
        <v>13981.91</v>
      </c>
      <c r="G756" s="1">
        <v>44690</v>
      </c>
      <c r="H756">
        <v>8427.3056400000005</v>
      </c>
      <c r="I756" s="1">
        <v>44705</v>
      </c>
      <c r="J756">
        <v>8631.2000000000007</v>
      </c>
      <c r="K756" s="1">
        <v>44698</v>
      </c>
      <c r="L756">
        <v>24301.65</v>
      </c>
    </row>
    <row r="757" spans="1:12" x14ac:dyDescent="0.35">
      <c r="A757" s="1">
        <v>44706</v>
      </c>
      <c r="B757">
        <v>3677.1</v>
      </c>
      <c r="C757" s="1">
        <v>44704</v>
      </c>
      <c r="D757">
        <v>6358.74</v>
      </c>
      <c r="E757" s="1">
        <v>44700</v>
      </c>
      <c r="F757">
        <v>13882.3</v>
      </c>
      <c r="G757" s="1">
        <v>44687</v>
      </c>
      <c r="H757">
        <v>8637.7873600000003</v>
      </c>
      <c r="I757" s="1">
        <v>44704</v>
      </c>
      <c r="J757">
        <v>8625.7999999999993</v>
      </c>
      <c r="K757" s="1">
        <v>44697</v>
      </c>
      <c r="L757">
        <v>24033.05</v>
      </c>
    </row>
    <row r="758" spans="1:12" x14ac:dyDescent="0.35">
      <c r="A758" s="1">
        <v>44705</v>
      </c>
      <c r="B758">
        <v>3647.56</v>
      </c>
      <c r="C758" s="1">
        <v>44701</v>
      </c>
      <c r="D758">
        <v>6285.24</v>
      </c>
      <c r="E758" s="1">
        <v>44699</v>
      </c>
      <c r="F758">
        <v>14007.76</v>
      </c>
      <c r="G758" s="1">
        <v>44686</v>
      </c>
      <c r="H758">
        <v>8807.4726699999992</v>
      </c>
      <c r="I758" s="1">
        <v>44701</v>
      </c>
      <c r="J758">
        <v>8484.5</v>
      </c>
      <c r="K758" s="1">
        <v>44694</v>
      </c>
      <c r="L758">
        <v>24048.29</v>
      </c>
    </row>
    <row r="759" spans="1:12" x14ac:dyDescent="0.35">
      <c r="A759" s="1">
        <v>44704</v>
      </c>
      <c r="B759">
        <v>3708.39</v>
      </c>
      <c r="C759" s="1">
        <v>44700</v>
      </c>
      <c r="D759">
        <v>6272.71</v>
      </c>
      <c r="E759" s="1">
        <v>44698</v>
      </c>
      <c r="F759">
        <v>14185.94</v>
      </c>
      <c r="G759" s="1">
        <v>44685</v>
      </c>
      <c r="H759">
        <v>8875.0748199999998</v>
      </c>
      <c r="I759" s="1">
        <v>44700</v>
      </c>
      <c r="J759">
        <v>8406</v>
      </c>
      <c r="K759" s="1">
        <v>44693</v>
      </c>
      <c r="L759">
        <v>23566.23</v>
      </c>
    </row>
    <row r="760" spans="1:12" x14ac:dyDescent="0.35">
      <c r="A760" s="1">
        <v>44701</v>
      </c>
      <c r="B760">
        <v>3657.03</v>
      </c>
      <c r="C760" s="1">
        <v>44699</v>
      </c>
      <c r="D760">
        <v>6352.94</v>
      </c>
      <c r="E760" s="1">
        <v>44697</v>
      </c>
      <c r="F760">
        <v>13964.38</v>
      </c>
      <c r="G760" s="1">
        <v>44684</v>
      </c>
      <c r="H760">
        <v>8979.2591300000004</v>
      </c>
      <c r="I760" s="1">
        <v>44699</v>
      </c>
      <c r="J760">
        <v>8476.4</v>
      </c>
      <c r="K760" s="1">
        <v>44692</v>
      </c>
      <c r="L760">
        <v>23724.2</v>
      </c>
    </row>
    <row r="761" spans="1:12" x14ac:dyDescent="0.35">
      <c r="A761" s="1">
        <v>44700</v>
      </c>
      <c r="B761">
        <v>3640.55</v>
      </c>
      <c r="C761" s="1">
        <v>44698</v>
      </c>
      <c r="D761">
        <v>6430.19</v>
      </c>
      <c r="E761" s="1">
        <v>44694</v>
      </c>
      <c r="F761">
        <v>14027.93</v>
      </c>
      <c r="G761" s="1">
        <v>44680</v>
      </c>
      <c r="H761">
        <v>8995.6725700000006</v>
      </c>
      <c r="I761" s="1">
        <v>44698</v>
      </c>
      <c r="J761">
        <v>8475.7000000000007</v>
      </c>
      <c r="K761" s="1">
        <v>44691</v>
      </c>
      <c r="L761">
        <v>23069.78</v>
      </c>
    </row>
    <row r="762" spans="1:12" x14ac:dyDescent="0.35">
      <c r="A762" s="1">
        <v>44699</v>
      </c>
      <c r="B762">
        <v>3690.74</v>
      </c>
      <c r="C762" s="1">
        <v>44697</v>
      </c>
      <c r="D762">
        <v>6347.77</v>
      </c>
      <c r="E762" s="1">
        <v>44693</v>
      </c>
      <c r="F762">
        <v>13739.64</v>
      </c>
      <c r="G762" s="1">
        <v>44679</v>
      </c>
      <c r="H762">
        <v>8902.7436699999998</v>
      </c>
      <c r="I762" s="1">
        <v>44697</v>
      </c>
      <c r="J762">
        <v>8353.7000000000007</v>
      </c>
      <c r="K762" s="1">
        <v>44690</v>
      </c>
      <c r="L762">
        <v>22832.560000000001</v>
      </c>
    </row>
    <row r="763" spans="1:12" x14ac:dyDescent="0.35">
      <c r="A763" s="1">
        <v>44698</v>
      </c>
      <c r="B763">
        <v>3741.51</v>
      </c>
      <c r="C763" s="1">
        <v>44694</v>
      </c>
      <c r="D763">
        <v>6362.68</v>
      </c>
      <c r="E763" s="1">
        <v>44692</v>
      </c>
      <c r="F763">
        <v>13828.64</v>
      </c>
      <c r="G763" s="1">
        <v>44678</v>
      </c>
      <c r="H763">
        <v>8834.3880399999998</v>
      </c>
      <c r="I763" s="1">
        <v>44694</v>
      </c>
      <c r="J763">
        <v>8338.1</v>
      </c>
      <c r="K763" s="1">
        <v>44687</v>
      </c>
      <c r="L763">
        <v>23475.72</v>
      </c>
    </row>
    <row r="764" spans="1:12" x14ac:dyDescent="0.35">
      <c r="A764" s="1">
        <v>44697</v>
      </c>
      <c r="B764">
        <v>3685.34</v>
      </c>
      <c r="C764" s="1">
        <v>44693</v>
      </c>
      <c r="D764">
        <v>6206.26</v>
      </c>
      <c r="E764" s="1">
        <v>44691</v>
      </c>
      <c r="F764">
        <v>13534.74</v>
      </c>
      <c r="G764" s="1">
        <v>44677</v>
      </c>
      <c r="H764">
        <v>8739.5279399999999</v>
      </c>
      <c r="I764" s="1">
        <v>44693</v>
      </c>
      <c r="J764">
        <v>8200.4</v>
      </c>
      <c r="K764" s="1">
        <v>44686</v>
      </c>
      <c r="L764">
        <v>23759.71</v>
      </c>
    </row>
    <row r="765" spans="1:12" x14ac:dyDescent="0.35">
      <c r="A765" s="1">
        <v>44694</v>
      </c>
      <c r="B765">
        <v>3703.42</v>
      </c>
      <c r="C765" s="1">
        <v>44692</v>
      </c>
      <c r="D765">
        <v>6269.73</v>
      </c>
      <c r="E765" s="1">
        <v>44690</v>
      </c>
      <c r="F765">
        <v>13380.67</v>
      </c>
      <c r="G765" s="1">
        <v>44676</v>
      </c>
      <c r="H765">
        <v>8768.4810300000008</v>
      </c>
      <c r="I765" s="1">
        <v>44692</v>
      </c>
      <c r="J765">
        <v>8312.6</v>
      </c>
      <c r="K765" s="1">
        <v>44685</v>
      </c>
      <c r="L765">
        <v>23902.06</v>
      </c>
    </row>
    <row r="766" spans="1:12" x14ac:dyDescent="0.35">
      <c r="A766" s="1">
        <v>44693</v>
      </c>
      <c r="B766">
        <v>3613.43</v>
      </c>
      <c r="C766" s="1">
        <v>44691</v>
      </c>
      <c r="D766">
        <v>6116.91</v>
      </c>
      <c r="E766" s="1">
        <v>44687</v>
      </c>
      <c r="F766">
        <v>13674.29</v>
      </c>
      <c r="G766" s="1">
        <v>44673</v>
      </c>
      <c r="H766">
        <v>8957.7703099999999</v>
      </c>
      <c r="I766" s="1">
        <v>44691</v>
      </c>
      <c r="J766">
        <v>8139.2</v>
      </c>
      <c r="K766" s="1">
        <v>44684</v>
      </c>
      <c r="L766">
        <v>24242.25</v>
      </c>
    </row>
    <row r="767" spans="1:12" x14ac:dyDescent="0.35">
      <c r="A767" s="1">
        <v>44692</v>
      </c>
      <c r="B767">
        <v>3647.87</v>
      </c>
      <c r="C767" s="1">
        <v>44690</v>
      </c>
      <c r="D767">
        <v>6086.02</v>
      </c>
      <c r="E767" s="1">
        <v>44686</v>
      </c>
      <c r="F767">
        <v>13902.52</v>
      </c>
      <c r="G767" s="1">
        <v>44672</v>
      </c>
      <c r="H767">
        <v>9169.1560499999996</v>
      </c>
      <c r="I767" s="1">
        <v>44690</v>
      </c>
      <c r="J767">
        <v>8139.2</v>
      </c>
      <c r="K767" s="1">
        <v>44683</v>
      </c>
      <c r="L767">
        <v>23857.23</v>
      </c>
    </row>
    <row r="768" spans="1:12" x14ac:dyDescent="0.35">
      <c r="A768" s="1">
        <v>44691</v>
      </c>
      <c r="B768">
        <v>3554.8</v>
      </c>
      <c r="C768" s="1">
        <v>44687</v>
      </c>
      <c r="D768">
        <v>6258.36</v>
      </c>
      <c r="E768" s="1">
        <v>44685</v>
      </c>
      <c r="F768">
        <v>13970.82</v>
      </c>
      <c r="G768" s="1">
        <v>44671</v>
      </c>
      <c r="H768">
        <v>9182.7861499999999</v>
      </c>
      <c r="I768" s="1">
        <v>44687</v>
      </c>
      <c r="J768">
        <v>8322</v>
      </c>
      <c r="K768" s="1">
        <v>44680</v>
      </c>
      <c r="L768">
        <v>24252.16</v>
      </c>
    </row>
    <row r="769" spans="1:12" x14ac:dyDescent="0.35">
      <c r="A769" s="1">
        <v>44690</v>
      </c>
      <c r="B769">
        <v>3526.86</v>
      </c>
      <c r="C769" s="1">
        <v>44686</v>
      </c>
      <c r="D769">
        <v>6368.4</v>
      </c>
      <c r="E769" s="1">
        <v>44684</v>
      </c>
      <c r="F769">
        <v>14039.47</v>
      </c>
      <c r="G769" s="1">
        <v>44670</v>
      </c>
      <c r="H769">
        <v>9158.0074999999997</v>
      </c>
      <c r="I769" s="1">
        <v>44686</v>
      </c>
      <c r="J769">
        <v>8434.7000000000007</v>
      </c>
      <c r="K769" s="1">
        <v>44679</v>
      </c>
      <c r="L769">
        <v>24055.56</v>
      </c>
    </row>
    <row r="770" spans="1:12" x14ac:dyDescent="0.35">
      <c r="A770" s="1">
        <v>44687</v>
      </c>
      <c r="B770">
        <v>3629.17</v>
      </c>
      <c r="C770" s="1">
        <v>44685</v>
      </c>
      <c r="D770">
        <v>6395.68</v>
      </c>
      <c r="E770" s="1">
        <v>44683</v>
      </c>
      <c r="F770">
        <v>13939.07</v>
      </c>
      <c r="G770" s="1">
        <v>44665</v>
      </c>
      <c r="H770">
        <v>9194.4409799999994</v>
      </c>
      <c r="I770" s="1">
        <v>44685</v>
      </c>
      <c r="J770">
        <v>8500.5</v>
      </c>
      <c r="K770" s="1">
        <v>44678</v>
      </c>
      <c r="L770">
        <v>23830.11</v>
      </c>
    </row>
    <row r="771" spans="1:12" x14ac:dyDescent="0.35">
      <c r="A771" s="1">
        <v>44686</v>
      </c>
      <c r="B771">
        <v>3696.63</v>
      </c>
      <c r="C771" s="1">
        <v>44684</v>
      </c>
      <c r="D771">
        <v>6476.18</v>
      </c>
      <c r="E771" s="1">
        <v>44680</v>
      </c>
      <c r="F771">
        <v>14097.88</v>
      </c>
      <c r="G771" s="1">
        <v>44664</v>
      </c>
      <c r="H771">
        <v>9121.7602599999991</v>
      </c>
      <c r="I771" s="1">
        <v>44684</v>
      </c>
      <c r="J771">
        <v>8590.2000000000007</v>
      </c>
      <c r="K771" s="1">
        <v>44677</v>
      </c>
      <c r="L771">
        <v>23681.759999999998</v>
      </c>
    </row>
    <row r="772" spans="1:12" x14ac:dyDescent="0.35">
      <c r="A772" s="1">
        <v>44685</v>
      </c>
      <c r="B772">
        <v>3724.99</v>
      </c>
      <c r="C772" s="1">
        <v>44683</v>
      </c>
      <c r="D772">
        <v>6425.61</v>
      </c>
      <c r="E772" s="1">
        <v>44679</v>
      </c>
      <c r="F772">
        <v>13979.84</v>
      </c>
      <c r="G772" s="1">
        <v>44663</v>
      </c>
      <c r="H772">
        <v>9100.0983699999997</v>
      </c>
      <c r="I772" s="1">
        <v>44683</v>
      </c>
      <c r="J772">
        <v>8436</v>
      </c>
      <c r="K772" s="1">
        <v>44676</v>
      </c>
      <c r="L772">
        <v>23908.55</v>
      </c>
    </row>
    <row r="773" spans="1:12" x14ac:dyDescent="0.35">
      <c r="A773" s="1">
        <v>44684</v>
      </c>
      <c r="B773">
        <v>3761.19</v>
      </c>
      <c r="C773" s="1">
        <v>44680</v>
      </c>
      <c r="D773">
        <v>6533.77</v>
      </c>
      <c r="E773" s="1">
        <v>44678</v>
      </c>
      <c r="F773">
        <v>13793.94</v>
      </c>
      <c r="G773" s="1">
        <v>44662</v>
      </c>
      <c r="H773">
        <v>9121.9422500000001</v>
      </c>
      <c r="I773" s="1">
        <v>44680</v>
      </c>
      <c r="J773">
        <v>8584.2000000000007</v>
      </c>
      <c r="K773" s="1">
        <v>44673</v>
      </c>
      <c r="L773">
        <v>24279.63</v>
      </c>
    </row>
    <row r="774" spans="1:12" x14ac:dyDescent="0.35">
      <c r="A774" s="1">
        <v>44683</v>
      </c>
      <c r="B774">
        <v>3732.44</v>
      </c>
      <c r="C774" s="1">
        <v>44679</v>
      </c>
      <c r="D774">
        <v>6508.14</v>
      </c>
      <c r="E774" s="1">
        <v>44677</v>
      </c>
      <c r="F774">
        <v>13756.4</v>
      </c>
      <c r="G774" s="1">
        <v>44659</v>
      </c>
      <c r="H774">
        <v>9193.3136400000003</v>
      </c>
      <c r="I774" s="1">
        <v>44679</v>
      </c>
      <c r="J774">
        <v>8512.2000000000007</v>
      </c>
      <c r="K774" s="1">
        <v>44672</v>
      </c>
      <c r="L774">
        <v>24805.62</v>
      </c>
    </row>
    <row r="775" spans="1:12" x14ac:dyDescent="0.35">
      <c r="A775" s="1">
        <v>44680</v>
      </c>
      <c r="B775">
        <v>3802.86</v>
      </c>
      <c r="C775" s="1">
        <v>44678</v>
      </c>
      <c r="D775">
        <v>6445.26</v>
      </c>
      <c r="E775" s="1">
        <v>44676</v>
      </c>
      <c r="F775">
        <v>13924.17</v>
      </c>
      <c r="G775" s="1">
        <v>44658</v>
      </c>
      <c r="H775">
        <v>9063.2828699999991</v>
      </c>
      <c r="I775" s="1">
        <v>44678</v>
      </c>
      <c r="J775">
        <v>8477.7000000000007</v>
      </c>
      <c r="K775" s="1">
        <v>44671</v>
      </c>
      <c r="L775">
        <v>24878.23</v>
      </c>
    </row>
    <row r="776" spans="1:12" x14ac:dyDescent="0.35">
      <c r="A776" s="1">
        <v>44679</v>
      </c>
      <c r="B776">
        <v>3777.02</v>
      </c>
      <c r="C776" s="1">
        <v>44677</v>
      </c>
      <c r="D776">
        <v>6414.57</v>
      </c>
      <c r="E776" s="1">
        <v>44673</v>
      </c>
      <c r="F776">
        <v>14142.09</v>
      </c>
      <c r="G776" s="1">
        <v>44657</v>
      </c>
      <c r="H776">
        <v>9095.7797200000005</v>
      </c>
      <c r="I776" s="1">
        <v>44677</v>
      </c>
      <c r="J776">
        <v>8439.2999999999993</v>
      </c>
      <c r="K776" s="1">
        <v>44670</v>
      </c>
      <c r="L776">
        <v>24624.41</v>
      </c>
    </row>
    <row r="777" spans="1:12" x14ac:dyDescent="0.35">
      <c r="A777" s="1">
        <v>44678</v>
      </c>
      <c r="B777">
        <v>3734.64</v>
      </c>
      <c r="C777" s="1">
        <v>44676</v>
      </c>
      <c r="D777">
        <v>6449.38</v>
      </c>
      <c r="E777" s="1">
        <v>44672</v>
      </c>
      <c r="F777">
        <v>14502.41</v>
      </c>
      <c r="G777" s="1">
        <v>44656</v>
      </c>
      <c r="H777">
        <v>9128.2322000000004</v>
      </c>
      <c r="I777" s="1">
        <v>44676</v>
      </c>
      <c r="J777">
        <v>8574.6</v>
      </c>
      <c r="K777" s="1">
        <v>44665</v>
      </c>
      <c r="L777">
        <v>24862.35</v>
      </c>
    </row>
    <row r="778" spans="1:12" x14ac:dyDescent="0.35">
      <c r="A778" s="1">
        <v>44677</v>
      </c>
      <c r="B778">
        <v>3721.36</v>
      </c>
      <c r="C778" s="1">
        <v>44673</v>
      </c>
      <c r="D778">
        <v>6581.42</v>
      </c>
      <c r="E778" s="1">
        <v>44671</v>
      </c>
      <c r="F778">
        <v>14362.03</v>
      </c>
      <c r="G778" s="1">
        <v>44655</v>
      </c>
      <c r="H778">
        <v>9025.2471700000006</v>
      </c>
      <c r="I778" s="1">
        <v>44673</v>
      </c>
      <c r="J778">
        <v>8652.2999999999993</v>
      </c>
      <c r="K778" s="1">
        <v>44664</v>
      </c>
      <c r="L778">
        <v>24722.16</v>
      </c>
    </row>
    <row r="779" spans="1:12" x14ac:dyDescent="0.35">
      <c r="A779" s="1">
        <v>44676</v>
      </c>
      <c r="B779">
        <v>3757.59</v>
      </c>
      <c r="C779" s="1">
        <v>44672</v>
      </c>
      <c r="D779">
        <v>6715.1</v>
      </c>
      <c r="E779" s="1">
        <v>44670</v>
      </c>
      <c r="F779">
        <v>14153.46</v>
      </c>
      <c r="G779" s="1">
        <v>44652</v>
      </c>
      <c r="H779">
        <v>8947.8423500000008</v>
      </c>
      <c r="I779" s="1">
        <v>44672</v>
      </c>
      <c r="J779">
        <v>8814.6</v>
      </c>
      <c r="K779" s="1">
        <v>44663</v>
      </c>
      <c r="L779">
        <v>24667.27</v>
      </c>
    </row>
    <row r="780" spans="1:12" x14ac:dyDescent="0.35">
      <c r="A780" s="1">
        <v>44673</v>
      </c>
      <c r="B780">
        <v>3840.01</v>
      </c>
      <c r="C780" s="1">
        <v>44671</v>
      </c>
      <c r="D780">
        <v>6624.91</v>
      </c>
      <c r="E780" s="1">
        <v>44665</v>
      </c>
      <c r="F780">
        <v>14163.85</v>
      </c>
      <c r="G780" s="1">
        <v>44651</v>
      </c>
      <c r="H780">
        <v>8910.7128200000006</v>
      </c>
      <c r="I780" s="1">
        <v>44671</v>
      </c>
      <c r="J780">
        <v>8769.5</v>
      </c>
      <c r="K780" s="1">
        <v>44662</v>
      </c>
      <c r="L780">
        <v>24749.49</v>
      </c>
    </row>
    <row r="781" spans="1:12" x14ac:dyDescent="0.35">
      <c r="A781" s="1">
        <v>44672</v>
      </c>
      <c r="B781">
        <v>3928.03</v>
      </c>
      <c r="C781" s="1">
        <v>44670</v>
      </c>
      <c r="D781">
        <v>6534.79</v>
      </c>
      <c r="E781" s="1">
        <v>44664</v>
      </c>
      <c r="F781">
        <v>14076.44</v>
      </c>
      <c r="G781" s="1">
        <v>44650</v>
      </c>
      <c r="H781">
        <v>8928.4834599999995</v>
      </c>
      <c r="I781" s="1">
        <v>44670</v>
      </c>
      <c r="J781">
        <v>8694</v>
      </c>
      <c r="K781" s="1">
        <v>44659</v>
      </c>
      <c r="L781">
        <v>24819.15</v>
      </c>
    </row>
    <row r="782" spans="1:12" x14ac:dyDescent="0.35">
      <c r="A782" s="1">
        <v>44671</v>
      </c>
      <c r="B782">
        <v>3896.81</v>
      </c>
      <c r="C782" s="1">
        <v>44665</v>
      </c>
      <c r="D782">
        <v>6589.35</v>
      </c>
      <c r="E782" s="1">
        <v>44663</v>
      </c>
      <c r="F782">
        <v>14124.95</v>
      </c>
      <c r="G782" s="1">
        <v>44649</v>
      </c>
      <c r="H782">
        <v>8901.8459800000001</v>
      </c>
      <c r="I782" s="1">
        <v>44665</v>
      </c>
      <c r="J782">
        <v>8699</v>
      </c>
      <c r="K782" s="1">
        <v>44658</v>
      </c>
      <c r="L782">
        <v>24302.71</v>
      </c>
    </row>
    <row r="783" spans="1:12" x14ac:dyDescent="0.35">
      <c r="A783" s="1">
        <v>44670</v>
      </c>
      <c r="B783">
        <v>3830.76</v>
      </c>
      <c r="C783" s="1">
        <v>44664</v>
      </c>
      <c r="D783">
        <v>6542.14</v>
      </c>
      <c r="E783" s="1">
        <v>44662</v>
      </c>
      <c r="F783">
        <v>14192.78</v>
      </c>
      <c r="G783" s="1">
        <v>44648</v>
      </c>
      <c r="H783">
        <v>8897.8899899999997</v>
      </c>
      <c r="I783" s="1">
        <v>44664</v>
      </c>
      <c r="J783">
        <v>8617.7999999999993</v>
      </c>
      <c r="K783" s="1">
        <v>44657</v>
      </c>
      <c r="L783">
        <v>24447.360000000001</v>
      </c>
    </row>
    <row r="784" spans="1:12" x14ac:dyDescent="0.35">
      <c r="A784" s="1">
        <v>44665</v>
      </c>
      <c r="B784">
        <v>3848.68</v>
      </c>
      <c r="C784" s="1">
        <v>44663</v>
      </c>
      <c r="D784">
        <v>6537.41</v>
      </c>
      <c r="E784" s="1">
        <v>44659</v>
      </c>
      <c r="F784">
        <v>14283.67</v>
      </c>
      <c r="G784" s="1">
        <v>44645</v>
      </c>
      <c r="H784">
        <v>8983.9689999999991</v>
      </c>
      <c r="I784" s="1">
        <v>44663</v>
      </c>
      <c r="J784">
        <v>8578</v>
      </c>
      <c r="K784" s="1">
        <v>44656</v>
      </c>
      <c r="L784">
        <v>24960.38</v>
      </c>
    </row>
    <row r="785" spans="1:12" x14ac:dyDescent="0.35">
      <c r="A785" s="1">
        <v>44664</v>
      </c>
      <c r="B785">
        <v>3827.96</v>
      </c>
      <c r="C785" s="1">
        <v>44662</v>
      </c>
      <c r="D785">
        <v>6555.81</v>
      </c>
      <c r="E785" s="1">
        <v>44658</v>
      </c>
      <c r="F785">
        <v>14078.15</v>
      </c>
      <c r="G785" s="1">
        <v>44644</v>
      </c>
      <c r="H785">
        <v>8946.0489300000008</v>
      </c>
      <c r="I785" s="1">
        <v>44662</v>
      </c>
      <c r="J785">
        <v>8585</v>
      </c>
      <c r="K785" s="1">
        <v>44655</v>
      </c>
      <c r="L785">
        <v>25175.86</v>
      </c>
    </row>
    <row r="786" spans="1:12" x14ac:dyDescent="0.35">
      <c r="A786" s="1">
        <v>44663</v>
      </c>
      <c r="B786">
        <v>3831.47</v>
      </c>
      <c r="C786" s="1">
        <v>44659</v>
      </c>
      <c r="D786">
        <v>6548.22</v>
      </c>
      <c r="E786" s="1">
        <v>44657</v>
      </c>
      <c r="F786">
        <v>14151.69</v>
      </c>
      <c r="G786" s="1">
        <v>44643</v>
      </c>
      <c r="H786">
        <v>8953.2983000000004</v>
      </c>
      <c r="I786" s="1">
        <v>44659</v>
      </c>
      <c r="J786">
        <v>8606.4</v>
      </c>
      <c r="K786" s="1">
        <v>44652</v>
      </c>
      <c r="L786">
        <v>25163.3</v>
      </c>
    </row>
    <row r="787" spans="1:12" x14ac:dyDescent="0.35">
      <c r="A787" s="1">
        <v>44662</v>
      </c>
      <c r="B787">
        <v>3839.62</v>
      </c>
      <c r="C787" s="1">
        <v>44658</v>
      </c>
      <c r="D787">
        <v>6461.68</v>
      </c>
      <c r="E787" s="1">
        <v>44656</v>
      </c>
      <c r="F787">
        <v>14424.36</v>
      </c>
      <c r="G787" s="1">
        <v>44642</v>
      </c>
      <c r="H787">
        <v>8988.6141200000002</v>
      </c>
      <c r="I787" s="1">
        <v>44658</v>
      </c>
      <c r="J787">
        <v>8467.4</v>
      </c>
      <c r="K787" s="1">
        <v>44651</v>
      </c>
      <c r="L787">
        <v>25021.26</v>
      </c>
    </row>
    <row r="788" spans="1:12" x14ac:dyDescent="0.35">
      <c r="A788" s="1">
        <v>44659</v>
      </c>
      <c r="B788">
        <v>3858.37</v>
      </c>
      <c r="C788" s="1">
        <v>44657</v>
      </c>
      <c r="D788">
        <v>6498.83</v>
      </c>
      <c r="E788" s="1">
        <v>44655</v>
      </c>
      <c r="F788">
        <v>14518.16</v>
      </c>
      <c r="G788" s="1">
        <v>44641</v>
      </c>
      <c r="H788">
        <v>8890.2522900000004</v>
      </c>
      <c r="I788" s="1">
        <v>44657</v>
      </c>
      <c r="J788">
        <v>8482.1</v>
      </c>
      <c r="K788" s="1">
        <v>44650</v>
      </c>
      <c r="L788">
        <v>25300.25</v>
      </c>
    </row>
    <row r="789" spans="1:12" x14ac:dyDescent="0.35">
      <c r="A789" s="1">
        <v>44658</v>
      </c>
      <c r="B789">
        <v>3802.01</v>
      </c>
      <c r="C789" s="1">
        <v>44656</v>
      </c>
      <c r="D789">
        <v>6645.51</v>
      </c>
      <c r="E789" s="1">
        <v>44652</v>
      </c>
      <c r="F789">
        <v>14446.48</v>
      </c>
      <c r="G789" s="1">
        <v>44638</v>
      </c>
      <c r="H789">
        <v>8830.9055000000008</v>
      </c>
      <c r="I789" s="1">
        <v>44656</v>
      </c>
      <c r="J789">
        <v>8623.2999999999993</v>
      </c>
      <c r="K789" s="1">
        <v>44649</v>
      </c>
      <c r="L789">
        <v>25307.98</v>
      </c>
    </row>
    <row r="790" spans="1:12" x14ac:dyDescent="0.35">
      <c r="A790" s="1">
        <v>44657</v>
      </c>
      <c r="B790">
        <v>3824.69</v>
      </c>
      <c r="C790" s="1">
        <v>44655</v>
      </c>
      <c r="D790">
        <v>6731.37</v>
      </c>
      <c r="E790" s="1">
        <v>44651</v>
      </c>
      <c r="F790">
        <v>14414.75</v>
      </c>
      <c r="G790" s="1">
        <v>44637</v>
      </c>
      <c r="H790">
        <v>8740.67965</v>
      </c>
      <c r="I790" s="1">
        <v>44655</v>
      </c>
      <c r="J790">
        <v>8520.7999999999993</v>
      </c>
      <c r="K790" s="1">
        <v>44648</v>
      </c>
      <c r="L790">
        <v>24712.6</v>
      </c>
    </row>
    <row r="791" spans="1:12" x14ac:dyDescent="0.35">
      <c r="A791" s="1">
        <v>44656</v>
      </c>
      <c r="B791">
        <v>3917.85</v>
      </c>
      <c r="C791" s="1">
        <v>44652</v>
      </c>
      <c r="D791">
        <v>6684.31</v>
      </c>
      <c r="E791" s="1">
        <v>44650</v>
      </c>
      <c r="F791">
        <v>14606.05</v>
      </c>
      <c r="G791" s="1">
        <v>44636</v>
      </c>
      <c r="H791">
        <v>8689.0749699999997</v>
      </c>
      <c r="I791" s="1">
        <v>44652</v>
      </c>
      <c r="J791">
        <v>8503.7000000000007</v>
      </c>
      <c r="K791" s="1">
        <v>44645</v>
      </c>
      <c r="L791">
        <v>24558.74</v>
      </c>
    </row>
    <row r="792" spans="1:12" x14ac:dyDescent="0.35">
      <c r="A792" s="1">
        <v>44655</v>
      </c>
      <c r="B792">
        <v>3951.12</v>
      </c>
      <c r="C792" s="1">
        <v>44651</v>
      </c>
      <c r="D792">
        <v>6659.87</v>
      </c>
      <c r="E792" s="1">
        <v>44649</v>
      </c>
      <c r="F792">
        <v>14820.33</v>
      </c>
      <c r="G792" s="1">
        <v>44635</v>
      </c>
      <c r="H792">
        <v>8555.9955599999994</v>
      </c>
      <c r="I792" s="1">
        <v>44651</v>
      </c>
      <c r="J792">
        <v>8445.1</v>
      </c>
      <c r="K792" s="1">
        <v>44644</v>
      </c>
      <c r="L792">
        <v>24401.48</v>
      </c>
    </row>
    <row r="793" spans="1:12" x14ac:dyDescent="0.35">
      <c r="A793" s="1">
        <v>44652</v>
      </c>
      <c r="B793">
        <v>3918.68</v>
      </c>
      <c r="C793" s="1">
        <v>44650</v>
      </c>
      <c r="D793">
        <v>6741.59</v>
      </c>
      <c r="E793" s="1">
        <v>44648</v>
      </c>
      <c r="F793">
        <v>14417.37</v>
      </c>
      <c r="G793" s="1">
        <v>44634</v>
      </c>
      <c r="H793">
        <v>8538.4358699999993</v>
      </c>
      <c r="I793" s="1">
        <v>44650</v>
      </c>
      <c r="J793">
        <v>8550.6</v>
      </c>
      <c r="K793" s="1">
        <v>44643</v>
      </c>
      <c r="L793">
        <v>24298.66</v>
      </c>
    </row>
    <row r="794" spans="1:12" x14ac:dyDescent="0.35">
      <c r="A794" s="1">
        <v>44651</v>
      </c>
      <c r="B794">
        <v>3902.52</v>
      </c>
      <c r="C794" s="1">
        <v>44649</v>
      </c>
      <c r="D794">
        <v>6792.16</v>
      </c>
      <c r="E794" s="1">
        <v>44645</v>
      </c>
      <c r="F794">
        <v>14305.76</v>
      </c>
      <c r="G794" s="1">
        <v>44631</v>
      </c>
      <c r="H794">
        <v>8549.9278599999998</v>
      </c>
      <c r="I794" s="1">
        <v>44649</v>
      </c>
      <c r="J794">
        <v>8614.6</v>
      </c>
      <c r="K794" s="1">
        <v>44642</v>
      </c>
      <c r="L794">
        <v>24533.84</v>
      </c>
    </row>
    <row r="795" spans="1:12" x14ac:dyDescent="0.35">
      <c r="A795" s="1">
        <v>44650</v>
      </c>
      <c r="B795">
        <v>3959.14</v>
      </c>
      <c r="C795" s="1">
        <v>44648</v>
      </c>
      <c r="D795">
        <v>6589.11</v>
      </c>
      <c r="E795" s="1">
        <v>44644</v>
      </c>
      <c r="F795">
        <v>14273.79</v>
      </c>
      <c r="G795" s="1">
        <v>44630</v>
      </c>
      <c r="H795">
        <v>8460.7716899999996</v>
      </c>
      <c r="I795" s="1">
        <v>44648</v>
      </c>
      <c r="J795">
        <v>8365.6</v>
      </c>
      <c r="K795" s="1">
        <v>44641</v>
      </c>
      <c r="L795">
        <v>24294.71</v>
      </c>
    </row>
    <row r="796" spans="1:12" x14ac:dyDescent="0.35">
      <c r="A796" s="1">
        <v>44649</v>
      </c>
      <c r="B796">
        <v>4002.18</v>
      </c>
      <c r="C796" s="1">
        <v>44645</v>
      </c>
      <c r="D796">
        <v>6553.68</v>
      </c>
      <c r="E796" s="1">
        <v>44643</v>
      </c>
      <c r="F796">
        <v>14283.65</v>
      </c>
      <c r="G796" s="1">
        <v>44629</v>
      </c>
      <c r="H796">
        <v>8545.6248699999996</v>
      </c>
      <c r="I796" s="1">
        <v>44645</v>
      </c>
      <c r="J796">
        <v>8330.6</v>
      </c>
      <c r="K796" s="1">
        <v>44638</v>
      </c>
      <c r="L796">
        <v>24222.16</v>
      </c>
    </row>
    <row r="797" spans="1:12" x14ac:dyDescent="0.35">
      <c r="A797" s="1">
        <v>44648</v>
      </c>
      <c r="B797">
        <v>3887.1</v>
      </c>
      <c r="C797" s="1">
        <v>44644</v>
      </c>
      <c r="D797">
        <v>6555.77</v>
      </c>
      <c r="E797" s="1">
        <v>44642</v>
      </c>
      <c r="F797">
        <v>14473.2</v>
      </c>
      <c r="G797" s="1">
        <v>44628</v>
      </c>
      <c r="H797">
        <v>8358.4593600000007</v>
      </c>
      <c r="I797" s="1">
        <v>44644</v>
      </c>
      <c r="J797">
        <v>8305.1</v>
      </c>
      <c r="K797" s="1">
        <v>44637</v>
      </c>
      <c r="L797">
        <v>24123.58</v>
      </c>
    </row>
    <row r="798" spans="1:12" x14ac:dyDescent="0.35">
      <c r="A798" s="1">
        <v>44645</v>
      </c>
      <c r="B798">
        <v>3867.73</v>
      </c>
      <c r="C798" s="1">
        <v>44643</v>
      </c>
      <c r="D798">
        <v>6581.43</v>
      </c>
      <c r="E798" s="1">
        <v>44641</v>
      </c>
      <c r="F798">
        <v>14326.97</v>
      </c>
      <c r="G798" s="1">
        <v>44627</v>
      </c>
      <c r="H798">
        <v>8391.0530400000007</v>
      </c>
      <c r="I798" s="1">
        <v>44643</v>
      </c>
      <c r="J798">
        <v>8328.4</v>
      </c>
      <c r="K798" s="1">
        <v>44636</v>
      </c>
      <c r="L798">
        <v>24284.85</v>
      </c>
    </row>
    <row r="799" spans="1:12" x14ac:dyDescent="0.35">
      <c r="A799" s="1">
        <v>44644</v>
      </c>
      <c r="B799">
        <v>3863.39</v>
      </c>
      <c r="C799" s="1">
        <v>44642</v>
      </c>
      <c r="D799">
        <v>6659.41</v>
      </c>
      <c r="E799" s="1">
        <v>44638</v>
      </c>
      <c r="F799">
        <v>14413.09</v>
      </c>
      <c r="G799" s="1">
        <v>44624</v>
      </c>
      <c r="H799">
        <v>8459.2612000000008</v>
      </c>
      <c r="I799" s="1">
        <v>44642</v>
      </c>
      <c r="J799">
        <v>8487.2000000000007</v>
      </c>
      <c r="K799" s="1">
        <v>44635</v>
      </c>
      <c r="L799">
        <v>23499.86</v>
      </c>
    </row>
    <row r="800" spans="1:12" x14ac:dyDescent="0.35">
      <c r="A800" s="1">
        <v>44643</v>
      </c>
      <c r="B800">
        <v>3869.22</v>
      </c>
      <c r="C800" s="1">
        <v>44641</v>
      </c>
      <c r="D800">
        <v>6582.33</v>
      </c>
      <c r="E800" s="1">
        <v>44637</v>
      </c>
      <c r="F800">
        <v>14388.06</v>
      </c>
      <c r="G800" s="1">
        <v>44623</v>
      </c>
      <c r="H800">
        <v>8734.3069300000006</v>
      </c>
      <c r="I800" s="1">
        <v>44641</v>
      </c>
      <c r="J800">
        <v>8389.2000000000007</v>
      </c>
      <c r="K800" s="1">
        <v>44634</v>
      </c>
      <c r="L800">
        <v>23426.7</v>
      </c>
    </row>
    <row r="801" spans="1:12" x14ac:dyDescent="0.35">
      <c r="A801" s="1">
        <v>44642</v>
      </c>
      <c r="B801">
        <v>3926.12</v>
      </c>
      <c r="C801" s="1">
        <v>44638</v>
      </c>
      <c r="D801">
        <v>6620.24</v>
      </c>
      <c r="E801" s="1">
        <v>44636</v>
      </c>
      <c r="F801">
        <v>14440.74</v>
      </c>
      <c r="G801" s="1">
        <v>44622</v>
      </c>
      <c r="H801">
        <v>8939.1598699999995</v>
      </c>
      <c r="I801" s="1">
        <v>44638</v>
      </c>
      <c r="J801">
        <v>8417.6</v>
      </c>
      <c r="K801" s="1">
        <v>44631</v>
      </c>
      <c r="L801">
        <v>23041.200000000001</v>
      </c>
    </row>
    <row r="802" spans="1:12" x14ac:dyDescent="0.35">
      <c r="A802" s="1">
        <v>44641</v>
      </c>
      <c r="B802">
        <v>3881.8</v>
      </c>
      <c r="C802" s="1">
        <v>44637</v>
      </c>
      <c r="D802">
        <v>6612.52</v>
      </c>
      <c r="E802" s="1">
        <v>44635</v>
      </c>
      <c r="F802">
        <v>13917.27</v>
      </c>
      <c r="G802" s="1">
        <v>44621</v>
      </c>
      <c r="H802">
        <v>8784.4947900000006</v>
      </c>
      <c r="I802" s="1">
        <v>44637</v>
      </c>
      <c r="J802">
        <v>8412</v>
      </c>
      <c r="K802" s="1">
        <v>44630</v>
      </c>
      <c r="L802">
        <v>22886.69</v>
      </c>
    </row>
    <row r="803" spans="1:12" x14ac:dyDescent="0.35">
      <c r="A803" s="1">
        <v>44638</v>
      </c>
      <c r="B803">
        <v>3902.44</v>
      </c>
      <c r="C803" s="1">
        <v>44636</v>
      </c>
      <c r="D803">
        <v>6588.64</v>
      </c>
      <c r="E803" s="1">
        <v>44634</v>
      </c>
      <c r="F803">
        <v>13929.11</v>
      </c>
      <c r="G803" s="1">
        <v>44620</v>
      </c>
      <c r="H803">
        <v>8913.2910100000008</v>
      </c>
      <c r="I803" s="1">
        <v>44636</v>
      </c>
      <c r="J803">
        <v>8380.4</v>
      </c>
      <c r="K803" s="1">
        <v>44629</v>
      </c>
      <c r="L803">
        <v>23889.49</v>
      </c>
    </row>
    <row r="804" spans="1:12" x14ac:dyDescent="0.35">
      <c r="A804" s="1">
        <v>44637</v>
      </c>
      <c r="B804">
        <v>3885.32</v>
      </c>
      <c r="C804" s="1">
        <v>44635</v>
      </c>
      <c r="D804">
        <v>6355</v>
      </c>
      <c r="E804" s="1">
        <v>44631</v>
      </c>
      <c r="F804">
        <v>13628.11</v>
      </c>
      <c r="G804" s="1">
        <v>44617</v>
      </c>
      <c r="H804">
        <v>8917.2611500000003</v>
      </c>
      <c r="I804" s="1">
        <v>44635</v>
      </c>
      <c r="J804">
        <v>8236.1</v>
      </c>
      <c r="K804" s="1">
        <v>44628</v>
      </c>
      <c r="L804">
        <v>22338.13</v>
      </c>
    </row>
    <row r="805" spans="1:12" x14ac:dyDescent="0.35">
      <c r="A805" s="1">
        <v>44636</v>
      </c>
      <c r="B805">
        <v>3889.69</v>
      </c>
      <c r="C805" s="1">
        <v>44634</v>
      </c>
      <c r="D805">
        <v>6369.94</v>
      </c>
      <c r="E805" s="1">
        <v>44630</v>
      </c>
      <c r="F805">
        <v>13442.1</v>
      </c>
      <c r="G805" s="1">
        <v>44616</v>
      </c>
      <c r="H805">
        <v>8627.9444600000006</v>
      </c>
      <c r="I805" s="1">
        <v>44634</v>
      </c>
      <c r="J805">
        <v>8234.4</v>
      </c>
      <c r="K805" s="1">
        <v>44627</v>
      </c>
      <c r="L805">
        <v>22160.28</v>
      </c>
    </row>
    <row r="806" spans="1:12" x14ac:dyDescent="0.35">
      <c r="A806" s="1">
        <v>44635</v>
      </c>
      <c r="B806">
        <v>3738.11</v>
      </c>
      <c r="C806" s="1">
        <v>44631</v>
      </c>
      <c r="D806">
        <v>6260.25</v>
      </c>
      <c r="E806" s="1">
        <v>44629</v>
      </c>
      <c r="F806">
        <v>13847.93</v>
      </c>
      <c r="G806" s="1">
        <v>44615</v>
      </c>
      <c r="H806">
        <v>8982.3052700000007</v>
      </c>
      <c r="I806" s="1">
        <v>44631</v>
      </c>
      <c r="J806">
        <v>8142.1</v>
      </c>
      <c r="K806" s="1">
        <v>44624</v>
      </c>
      <c r="L806">
        <v>22464.86</v>
      </c>
    </row>
    <row r="807" spans="1:12" x14ac:dyDescent="0.35">
      <c r="A807" s="1">
        <v>44634</v>
      </c>
      <c r="B807">
        <v>3741.1</v>
      </c>
      <c r="C807" s="1">
        <v>44630</v>
      </c>
      <c r="D807">
        <v>6207.2</v>
      </c>
      <c r="E807" s="1">
        <v>44628</v>
      </c>
      <c r="F807">
        <v>12831.51</v>
      </c>
      <c r="G807" s="1">
        <v>44614</v>
      </c>
      <c r="H807">
        <v>8988.5557399999998</v>
      </c>
      <c r="I807" s="1">
        <v>44630</v>
      </c>
      <c r="J807">
        <v>8069.3</v>
      </c>
      <c r="K807" s="1">
        <v>44623</v>
      </c>
      <c r="L807">
        <v>23958.83</v>
      </c>
    </row>
    <row r="808" spans="1:12" x14ac:dyDescent="0.35">
      <c r="A808" s="1">
        <v>44631</v>
      </c>
      <c r="B808">
        <v>3686.78</v>
      </c>
      <c r="C808" s="1">
        <v>44629</v>
      </c>
      <c r="D808">
        <v>6387.83</v>
      </c>
      <c r="E808" s="1">
        <v>44627</v>
      </c>
      <c r="F808">
        <v>12834.65</v>
      </c>
      <c r="G808" s="1">
        <v>44613</v>
      </c>
      <c r="H808">
        <v>8989.6468999999997</v>
      </c>
      <c r="I808" s="1">
        <v>44629</v>
      </c>
      <c r="J808">
        <v>8163.1</v>
      </c>
      <c r="K808" s="1">
        <v>44622</v>
      </c>
      <c r="L808">
        <v>24534.33</v>
      </c>
    </row>
    <row r="809" spans="1:12" x14ac:dyDescent="0.35">
      <c r="A809" s="1">
        <v>44630</v>
      </c>
      <c r="B809">
        <v>3651.39</v>
      </c>
      <c r="C809" s="1">
        <v>44628</v>
      </c>
      <c r="D809">
        <v>5962.96</v>
      </c>
      <c r="E809" s="1">
        <v>44624</v>
      </c>
      <c r="F809">
        <v>13094.54</v>
      </c>
      <c r="G809" s="1">
        <v>44610</v>
      </c>
      <c r="H809">
        <v>9014.0876599999992</v>
      </c>
      <c r="I809" s="1">
        <v>44628</v>
      </c>
      <c r="J809">
        <v>7783.4</v>
      </c>
      <c r="K809" s="1">
        <v>44621</v>
      </c>
      <c r="L809">
        <v>24363.56</v>
      </c>
    </row>
    <row r="810" spans="1:12" x14ac:dyDescent="0.35">
      <c r="A810" s="1">
        <v>44629</v>
      </c>
      <c r="B810">
        <v>3766.02</v>
      </c>
      <c r="C810" s="1">
        <v>44627</v>
      </c>
      <c r="D810">
        <v>5982.27</v>
      </c>
      <c r="E810" s="1">
        <v>44623</v>
      </c>
      <c r="F810">
        <v>13698.4</v>
      </c>
      <c r="G810" s="1">
        <v>44609</v>
      </c>
      <c r="H810">
        <v>9040.3317999999999</v>
      </c>
      <c r="I810" s="1">
        <v>44627</v>
      </c>
      <c r="J810">
        <v>7644.6</v>
      </c>
      <c r="K810" s="1">
        <v>44620</v>
      </c>
      <c r="L810">
        <v>25415.89</v>
      </c>
    </row>
    <row r="811" spans="1:12" x14ac:dyDescent="0.35">
      <c r="A811" s="1">
        <v>44628</v>
      </c>
      <c r="B811">
        <v>3505.29</v>
      </c>
      <c r="C811" s="1">
        <v>44624</v>
      </c>
      <c r="D811">
        <v>6061.66</v>
      </c>
      <c r="E811" s="1">
        <v>44622</v>
      </c>
      <c r="F811">
        <v>14000.11</v>
      </c>
      <c r="G811" s="1">
        <v>44608</v>
      </c>
      <c r="H811">
        <v>9078.4119699999992</v>
      </c>
      <c r="I811" s="1">
        <v>44624</v>
      </c>
      <c r="J811">
        <v>7720.9</v>
      </c>
      <c r="K811" s="1">
        <v>44617</v>
      </c>
      <c r="L811">
        <v>25773.03</v>
      </c>
    </row>
    <row r="812" spans="1:12" x14ac:dyDescent="0.35">
      <c r="A812" s="1">
        <v>44627</v>
      </c>
      <c r="B812">
        <v>3512.22</v>
      </c>
      <c r="C812" s="1">
        <v>44623</v>
      </c>
      <c r="D812">
        <v>6378.37</v>
      </c>
      <c r="E812" s="1">
        <v>44621</v>
      </c>
      <c r="F812">
        <v>13904.85</v>
      </c>
      <c r="G812" s="1">
        <v>44607</v>
      </c>
      <c r="H812">
        <v>9064.5220000000008</v>
      </c>
      <c r="I812" s="1">
        <v>44623</v>
      </c>
      <c r="J812">
        <v>8011.4</v>
      </c>
      <c r="K812" s="1">
        <v>44616</v>
      </c>
      <c r="L812">
        <v>24879.88</v>
      </c>
    </row>
    <row r="813" spans="1:12" x14ac:dyDescent="0.35">
      <c r="A813" s="1">
        <v>44624</v>
      </c>
      <c r="B813">
        <v>3556.01</v>
      </c>
      <c r="C813" s="1">
        <v>44622</v>
      </c>
      <c r="D813">
        <v>6498.02</v>
      </c>
      <c r="E813" s="1">
        <v>44620</v>
      </c>
      <c r="F813">
        <v>14461.02</v>
      </c>
      <c r="G813" s="1">
        <v>44606</v>
      </c>
      <c r="H813">
        <v>9010.6051499999994</v>
      </c>
      <c r="I813" s="1">
        <v>44622</v>
      </c>
      <c r="J813">
        <v>8321</v>
      </c>
      <c r="K813" s="1">
        <v>44615</v>
      </c>
      <c r="L813">
        <v>25955.08</v>
      </c>
    </row>
    <row r="814" spans="1:12" x14ac:dyDescent="0.35">
      <c r="A814" s="1">
        <v>44623</v>
      </c>
      <c r="B814">
        <v>3741.78</v>
      </c>
      <c r="C814" s="1">
        <v>44621</v>
      </c>
      <c r="D814">
        <v>6396.49</v>
      </c>
      <c r="E814" s="1">
        <v>44617</v>
      </c>
      <c r="F814">
        <v>14567.23</v>
      </c>
      <c r="G814" s="1">
        <v>44603</v>
      </c>
      <c r="H814">
        <v>9142.5404099999996</v>
      </c>
      <c r="I814" s="1">
        <v>44621</v>
      </c>
      <c r="J814">
        <v>8188.2</v>
      </c>
      <c r="K814" s="1">
        <v>44614</v>
      </c>
      <c r="L814">
        <v>26043.96</v>
      </c>
    </row>
    <row r="815" spans="1:12" x14ac:dyDescent="0.35">
      <c r="A815" s="1">
        <v>44622</v>
      </c>
      <c r="B815">
        <v>3820.59</v>
      </c>
      <c r="C815" s="1">
        <v>44620</v>
      </c>
      <c r="D815">
        <v>6658.83</v>
      </c>
      <c r="E815" s="1">
        <v>44616</v>
      </c>
      <c r="F815">
        <v>14052.1</v>
      </c>
      <c r="G815" s="1">
        <v>44602</v>
      </c>
      <c r="H815">
        <v>9109.1765200000009</v>
      </c>
      <c r="I815" s="1">
        <v>44620</v>
      </c>
      <c r="J815">
        <v>8479.2000000000007</v>
      </c>
      <c r="K815" s="1">
        <v>44613</v>
      </c>
      <c r="L815">
        <v>26050.03</v>
      </c>
    </row>
    <row r="816" spans="1:12" x14ac:dyDescent="0.35">
      <c r="A816" s="1">
        <v>44621</v>
      </c>
      <c r="B816">
        <v>3765.85</v>
      </c>
      <c r="C816" s="1">
        <v>44617</v>
      </c>
      <c r="D816">
        <v>6752.43</v>
      </c>
      <c r="E816" s="1">
        <v>44615</v>
      </c>
      <c r="F816">
        <v>14631.36</v>
      </c>
      <c r="G816" s="1">
        <v>44601</v>
      </c>
      <c r="H816">
        <v>9047.4089299999996</v>
      </c>
      <c r="I816" s="1">
        <v>44617</v>
      </c>
      <c r="J816">
        <v>8486.6</v>
      </c>
      <c r="K816" s="1">
        <v>44610</v>
      </c>
      <c r="L816">
        <v>26506.79</v>
      </c>
    </row>
    <row r="817" spans="1:12" x14ac:dyDescent="0.35">
      <c r="A817" s="1">
        <v>44620</v>
      </c>
      <c r="B817">
        <v>3924.23</v>
      </c>
      <c r="C817" s="1">
        <v>44616</v>
      </c>
      <c r="D817">
        <v>6521.05</v>
      </c>
      <c r="E817" s="1">
        <v>44614</v>
      </c>
      <c r="F817">
        <v>14693</v>
      </c>
      <c r="G817" s="1">
        <v>44600</v>
      </c>
      <c r="H817">
        <v>8973.6797200000001</v>
      </c>
      <c r="I817" s="1">
        <v>44616</v>
      </c>
      <c r="J817">
        <v>8198.5</v>
      </c>
      <c r="K817" s="1">
        <v>44609</v>
      </c>
      <c r="L817">
        <v>26669.27</v>
      </c>
    </row>
    <row r="818" spans="1:12" x14ac:dyDescent="0.35">
      <c r="A818" s="1">
        <v>44617</v>
      </c>
      <c r="B818">
        <v>3970.69</v>
      </c>
      <c r="C818" s="1">
        <v>44615</v>
      </c>
      <c r="D818">
        <v>6780.67</v>
      </c>
      <c r="E818" s="1">
        <v>44613</v>
      </c>
      <c r="F818">
        <v>14731.12</v>
      </c>
      <c r="G818" s="1">
        <v>44599</v>
      </c>
      <c r="H818">
        <v>8964.9351100000003</v>
      </c>
      <c r="I818" s="1">
        <v>44615</v>
      </c>
      <c r="J818">
        <v>8440.1</v>
      </c>
      <c r="K818" s="1">
        <v>44608</v>
      </c>
      <c r="L818">
        <v>26969.32</v>
      </c>
    </row>
    <row r="819" spans="1:12" x14ac:dyDescent="0.35">
      <c r="A819" s="1">
        <v>44616</v>
      </c>
      <c r="B819">
        <v>3829.29</v>
      </c>
      <c r="C819" s="1">
        <v>44614</v>
      </c>
      <c r="D819">
        <v>6787.6</v>
      </c>
      <c r="E819" s="1">
        <v>44610</v>
      </c>
      <c r="F819">
        <v>15042.51</v>
      </c>
      <c r="G819" s="1">
        <v>44596</v>
      </c>
      <c r="H819">
        <v>8882.0040200000003</v>
      </c>
      <c r="I819" s="1">
        <v>44614</v>
      </c>
      <c r="J819">
        <v>8493.2000000000007</v>
      </c>
      <c r="K819" s="1">
        <v>44607</v>
      </c>
      <c r="L819">
        <v>26967.98</v>
      </c>
    </row>
    <row r="820" spans="1:12" x14ac:dyDescent="0.35">
      <c r="A820" s="1">
        <v>44615</v>
      </c>
      <c r="B820">
        <v>3973.41</v>
      </c>
      <c r="C820" s="1">
        <v>44613</v>
      </c>
      <c r="D820">
        <v>6788.34</v>
      </c>
      <c r="E820" s="1">
        <v>44609</v>
      </c>
      <c r="F820">
        <v>15267.63</v>
      </c>
      <c r="G820" s="1">
        <v>44595</v>
      </c>
      <c r="H820">
        <v>8952.5039099999995</v>
      </c>
      <c r="I820" s="1">
        <v>44613</v>
      </c>
      <c r="J820">
        <v>8488.9</v>
      </c>
      <c r="K820" s="1">
        <v>44606</v>
      </c>
      <c r="L820">
        <v>26415.41</v>
      </c>
    </row>
    <row r="821" spans="1:12" x14ac:dyDescent="0.35">
      <c r="A821" s="1">
        <v>44614</v>
      </c>
      <c r="B821">
        <v>3985.47</v>
      </c>
      <c r="C821" s="1">
        <v>44610</v>
      </c>
      <c r="D821">
        <v>6929.63</v>
      </c>
      <c r="E821" s="1">
        <v>44608</v>
      </c>
      <c r="F821">
        <v>15370.3</v>
      </c>
      <c r="G821" s="1">
        <v>44594</v>
      </c>
      <c r="H821">
        <v>9102.8179600000003</v>
      </c>
      <c r="I821" s="1">
        <v>44610</v>
      </c>
      <c r="J821">
        <v>8590</v>
      </c>
      <c r="K821" s="1">
        <v>44603</v>
      </c>
      <c r="L821">
        <v>26966.1</v>
      </c>
    </row>
    <row r="822" spans="1:12" x14ac:dyDescent="0.35">
      <c r="A822" s="1">
        <v>44613</v>
      </c>
      <c r="B822">
        <v>3985.71</v>
      </c>
      <c r="C822" s="1">
        <v>44609</v>
      </c>
      <c r="D822">
        <v>6946.82</v>
      </c>
      <c r="E822" s="1">
        <v>44607</v>
      </c>
      <c r="F822">
        <v>15412.71</v>
      </c>
      <c r="G822" s="1">
        <v>44593</v>
      </c>
      <c r="H822">
        <v>9050.9777400000003</v>
      </c>
      <c r="I822" s="1">
        <v>44609</v>
      </c>
      <c r="J822">
        <v>8671.1</v>
      </c>
      <c r="K822" s="1">
        <v>44602</v>
      </c>
      <c r="L822">
        <v>27190.2</v>
      </c>
    </row>
    <row r="823" spans="1:12" x14ac:dyDescent="0.35">
      <c r="A823" s="1">
        <v>44610</v>
      </c>
      <c r="B823">
        <v>4074.28</v>
      </c>
      <c r="C823" s="1">
        <v>44608</v>
      </c>
      <c r="D823">
        <v>6964.98</v>
      </c>
      <c r="E823" s="1">
        <v>44606</v>
      </c>
      <c r="F823">
        <v>15113.97</v>
      </c>
      <c r="G823" s="1">
        <v>44592</v>
      </c>
      <c r="H823">
        <v>8940.0784100000001</v>
      </c>
      <c r="I823" s="1">
        <v>44608</v>
      </c>
      <c r="J823">
        <v>8737.2000000000007</v>
      </c>
      <c r="K823" s="1">
        <v>44601</v>
      </c>
      <c r="L823">
        <v>27128.99</v>
      </c>
    </row>
    <row r="824" spans="1:12" x14ac:dyDescent="0.35">
      <c r="A824" s="1">
        <v>44609</v>
      </c>
      <c r="B824">
        <v>4113.1899999999996</v>
      </c>
      <c r="C824" s="1">
        <v>44607</v>
      </c>
      <c r="D824">
        <v>6979.97</v>
      </c>
      <c r="E824" s="1">
        <v>44603</v>
      </c>
      <c r="F824">
        <v>15425.12</v>
      </c>
      <c r="G824" s="1">
        <v>44589</v>
      </c>
      <c r="H824">
        <v>8964.5064299999995</v>
      </c>
      <c r="I824" s="1">
        <v>44607</v>
      </c>
      <c r="J824">
        <v>8718</v>
      </c>
      <c r="K824" s="1">
        <v>44600</v>
      </c>
      <c r="L824">
        <v>26411.73</v>
      </c>
    </row>
    <row r="825" spans="1:12" x14ac:dyDescent="0.35">
      <c r="A825" s="1">
        <v>44608</v>
      </c>
      <c r="B825">
        <v>4137.22</v>
      </c>
      <c r="C825" s="1">
        <v>44606</v>
      </c>
      <c r="D825">
        <v>6852.2</v>
      </c>
      <c r="E825" s="1">
        <v>44602</v>
      </c>
      <c r="F825">
        <v>15490.44</v>
      </c>
      <c r="G825" s="1">
        <v>44588</v>
      </c>
      <c r="H825">
        <v>9069.3767499999994</v>
      </c>
      <c r="I825" s="1">
        <v>44606</v>
      </c>
      <c r="J825">
        <v>8573.7999999999993</v>
      </c>
      <c r="K825" s="1">
        <v>44599</v>
      </c>
      <c r="L825">
        <v>26328.93</v>
      </c>
    </row>
    <row r="826" spans="1:12" x14ac:dyDescent="0.35">
      <c r="A826" s="1">
        <v>44607</v>
      </c>
      <c r="B826">
        <v>4143.71</v>
      </c>
      <c r="C826" s="1">
        <v>44603</v>
      </c>
      <c r="D826">
        <v>7011.6</v>
      </c>
      <c r="E826" s="1">
        <v>44601</v>
      </c>
      <c r="F826">
        <v>15482.01</v>
      </c>
      <c r="G826" s="1">
        <v>44587</v>
      </c>
      <c r="H826">
        <v>8948.1188099999999</v>
      </c>
      <c r="I826" s="1">
        <v>44603</v>
      </c>
      <c r="J826">
        <v>8798.1</v>
      </c>
      <c r="K826" s="1">
        <v>44596</v>
      </c>
      <c r="L826">
        <v>26603.59</v>
      </c>
    </row>
    <row r="827" spans="1:12" x14ac:dyDescent="0.35">
      <c r="A827" s="1">
        <v>44606</v>
      </c>
      <c r="B827">
        <v>4064.45</v>
      </c>
      <c r="C827" s="1">
        <v>44602</v>
      </c>
      <c r="D827">
        <v>7101.55</v>
      </c>
      <c r="E827" s="1">
        <v>44600</v>
      </c>
      <c r="F827">
        <v>15242.38</v>
      </c>
      <c r="G827" s="1">
        <v>44586</v>
      </c>
      <c r="H827">
        <v>8814.6675300000006</v>
      </c>
      <c r="I827" s="1">
        <v>44602</v>
      </c>
      <c r="J827">
        <v>8886.2000000000007</v>
      </c>
      <c r="K827" s="1">
        <v>44595</v>
      </c>
      <c r="L827">
        <v>27088.959999999999</v>
      </c>
    </row>
    <row r="828" spans="1:12" x14ac:dyDescent="0.35">
      <c r="A828" s="1">
        <v>44603</v>
      </c>
      <c r="B828">
        <v>4155.2299999999996</v>
      </c>
      <c r="C828" s="1">
        <v>44601</v>
      </c>
      <c r="D828">
        <v>7130.88</v>
      </c>
      <c r="E828" s="1">
        <v>44599</v>
      </c>
      <c r="F828">
        <v>15206.64</v>
      </c>
      <c r="G828" s="1">
        <v>44585</v>
      </c>
      <c r="H828">
        <v>8667.9423000000006</v>
      </c>
      <c r="I828" s="1">
        <v>44601</v>
      </c>
      <c r="J828">
        <v>8846.4</v>
      </c>
      <c r="K828" s="1">
        <v>44594</v>
      </c>
      <c r="L828">
        <v>27388.73</v>
      </c>
    </row>
    <row r="829" spans="1:12" x14ac:dyDescent="0.35">
      <c r="A829" s="1">
        <v>44602</v>
      </c>
      <c r="B829">
        <v>4197.07</v>
      </c>
      <c r="C829" s="1">
        <v>44600</v>
      </c>
      <c r="D829">
        <v>7028.41</v>
      </c>
      <c r="E829" s="1">
        <v>44596</v>
      </c>
      <c r="F829">
        <v>15099.56</v>
      </c>
      <c r="G829" s="1">
        <v>44582</v>
      </c>
      <c r="H829">
        <v>8954.5144</v>
      </c>
      <c r="I829" s="1">
        <v>44600</v>
      </c>
      <c r="J829">
        <v>8674.6</v>
      </c>
      <c r="K829" s="1">
        <v>44593</v>
      </c>
      <c r="L829">
        <v>27224.89</v>
      </c>
    </row>
    <row r="830" spans="1:12" x14ac:dyDescent="0.35">
      <c r="A830" s="1">
        <v>44601</v>
      </c>
      <c r="B830">
        <v>4204.09</v>
      </c>
      <c r="C830" s="1">
        <v>44599</v>
      </c>
      <c r="D830">
        <v>7009.25</v>
      </c>
      <c r="E830" s="1">
        <v>44595</v>
      </c>
      <c r="F830">
        <v>15368.47</v>
      </c>
      <c r="G830" s="1">
        <v>44581</v>
      </c>
      <c r="H830">
        <v>9125.1815399999996</v>
      </c>
      <c r="I830" s="1">
        <v>44599</v>
      </c>
      <c r="J830">
        <v>8558.4</v>
      </c>
      <c r="K830" s="1">
        <v>44592</v>
      </c>
      <c r="L830">
        <v>26814.05</v>
      </c>
    </row>
    <row r="831" spans="1:12" x14ac:dyDescent="0.35">
      <c r="A831" s="1">
        <v>44600</v>
      </c>
      <c r="B831">
        <v>4129.25</v>
      </c>
      <c r="C831" s="1">
        <v>44596</v>
      </c>
      <c r="D831">
        <v>6951.38</v>
      </c>
      <c r="E831" s="1">
        <v>44594</v>
      </c>
      <c r="F831">
        <v>15613.77</v>
      </c>
      <c r="G831" s="1">
        <v>44580</v>
      </c>
      <c r="H831">
        <v>9116.4234099999994</v>
      </c>
      <c r="I831" s="1">
        <v>44596</v>
      </c>
      <c r="J831">
        <v>8589.2999999999993</v>
      </c>
      <c r="K831" s="1">
        <v>44589</v>
      </c>
      <c r="L831">
        <v>26565.41</v>
      </c>
    </row>
    <row r="832" spans="1:12" x14ac:dyDescent="0.35">
      <c r="A832" s="1">
        <v>44599</v>
      </c>
      <c r="B832">
        <v>4120.5600000000004</v>
      </c>
      <c r="C832" s="1">
        <v>44595</v>
      </c>
      <c r="D832">
        <v>7005.63</v>
      </c>
      <c r="E832" s="1">
        <v>44593</v>
      </c>
      <c r="F832">
        <v>15619.39</v>
      </c>
      <c r="G832" s="1">
        <v>44579</v>
      </c>
      <c r="H832">
        <v>9069.1794000000009</v>
      </c>
      <c r="I832" s="1">
        <v>44595</v>
      </c>
      <c r="J832">
        <v>8689.4</v>
      </c>
      <c r="K832" s="1">
        <v>44588</v>
      </c>
      <c r="L832">
        <v>26882.47</v>
      </c>
    </row>
    <row r="833" spans="1:12" x14ac:dyDescent="0.35">
      <c r="A833" s="1">
        <v>44596</v>
      </c>
      <c r="B833">
        <v>4086.58</v>
      </c>
      <c r="C833" s="1">
        <v>44594</v>
      </c>
      <c r="D833">
        <v>7115.27</v>
      </c>
      <c r="E833" s="1">
        <v>44592</v>
      </c>
      <c r="F833">
        <v>15471.2</v>
      </c>
      <c r="G833" s="1">
        <v>44578</v>
      </c>
      <c r="H833">
        <v>9104.5303800000002</v>
      </c>
      <c r="I833" s="1">
        <v>44594</v>
      </c>
      <c r="J833">
        <v>8713.2000000000007</v>
      </c>
      <c r="K833" s="1">
        <v>44587</v>
      </c>
      <c r="L833">
        <v>26619.25</v>
      </c>
    </row>
    <row r="834" spans="1:12" x14ac:dyDescent="0.35">
      <c r="A834" s="1">
        <v>44595</v>
      </c>
      <c r="B834">
        <v>4141.0200000000004</v>
      </c>
      <c r="C834" s="1">
        <v>44593</v>
      </c>
      <c r="D834">
        <v>7099.49</v>
      </c>
      <c r="E834" s="1">
        <v>44589</v>
      </c>
      <c r="F834">
        <v>15318.95</v>
      </c>
      <c r="G834" s="1">
        <v>44575</v>
      </c>
      <c r="H834">
        <v>9034.0751799999998</v>
      </c>
      <c r="I834" s="1">
        <v>44593</v>
      </c>
      <c r="J834">
        <v>8726.7000000000007</v>
      </c>
      <c r="K834" s="1">
        <v>44586</v>
      </c>
      <c r="L834">
        <v>26028.89</v>
      </c>
    </row>
    <row r="835" spans="1:12" x14ac:dyDescent="0.35">
      <c r="A835" s="1">
        <v>44594</v>
      </c>
      <c r="B835">
        <v>4222.05</v>
      </c>
      <c r="C835" s="1">
        <v>44592</v>
      </c>
      <c r="D835">
        <v>6999.2</v>
      </c>
      <c r="E835" s="1">
        <v>44588</v>
      </c>
      <c r="F835">
        <v>15524.27</v>
      </c>
      <c r="G835" s="1">
        <v>44574</v>
      </c>
      <c r="H835">
        <v>9050.0894399999997</v>
      </c>
      <c r="I835" s="1">
        <v>44592</v>
      </c>
      <c r="J835">
        <v>8612.7999999999993</v>
      </c>
      <c r="K835" s="1">
        <v>44585</v>
      </c>
      <c r="L835">
        <v>25972.9</v>
      </c>
    </row>
    <row r="836" spans="1:12" x14ac:dyDescent="0.35">
      <c r="A836" s="1">
        <v>44593</v>
      </c>
      <c r="B836">
        <v>4224.45</v>
      </c>
      <c r="C836" s="1">
        <v>44589</v>
      </c>
      <c r="D836">
        <v>6965.88</v>
      </c>
      <c r="E836" s="1">
        <v>44587</v>
      </c>
      <c r="F836">
        <v>15459.39</v>
      </c>
      <c r="G836" s="1">
        <v>44573</v>
      </c>
      <c r="H836">
        <v>9045.0389799999994</v>
      </c>
      <c r="I836" s="1">
        <v>44589</v>
      </c>
      <c r="J836">
        <v>8609.7999999999993</v>
      </c>
      <c r="K836" s="1">
        <v>44582</v>
      </c>
      <c r="L836">
        <v>27061.4</v>
      </c>
    </row>
    <row r="837" spans="1:12" x14ac:dyDescent="0.35">
      <c r="A837" s="1">
        <v>44592</v>
      </c>
      <c r="B837">
        <v>4174.6000000000004</v>
      </c>
      <c r="C837" s="1">
        <v>44588</v>
      </c>
      <c r="D837">
        <v>7023.8</v>
      </c>
      <c r="E837" s="1">
        <v>44586</v>
      </c>
      <c r="F837">
        <v>15123.87</v>
      </c>
      <c r="G837" s="1">
        <v>44572</v>
      </c>
      <c r="H837">
        <v>8984.4975599999998</v>
      </c>
      <c r="I837" s="1">
        <v>44588</v>
      </c>
      <c r="J837">
        <v>8706</v>
      </c>
      <c r="K837" s="1">
        <v>44581</v>
      </c>
      <c r="L837">
        <v>27570</v>
      </c>
    </row>
    <row r="838" spans="1:12" x14ac:dyDescent="0.35">
      <c r="A838" s="1">
        <v>44589</v>
      </c>
      <c r="B838">
        <v>4136.91</v>
      </c>
      <c r="C838" s="1">
        <v>44587</v>
      </c>
      <c r="D838">
        <v>6981.96</v>
      </c>
      <c r="E838" s="1">
        <v>44585</v>
      </c>
      <c r="F838">
        <v>15011.13</v>
      </c>
      <c r="G838" s="1">
        <v>44571</v>
      </c>
      <c r="H838">
        <v>8913.4015099999997</v>
      </c>
      <c r="I838" s="1">
        <v>44587</v>
      </c>
      <c r="J838">
        <v>8620.2000000000007</v>
      </c>
      <c r="K838" s="1">
        <v>44580</v>
      </c>
      <c r="L838">
        <v>27370.85</v>
      </c>
    </row>
    <row r="839" spans="1:12" x14ac:dyDescent="0.35">
      <c r="A839" s="1">
        <v>44588</v>
      </c>
      <c r="B839">
        <v>4184.97</v>
      </c>
      <c r="C839" s="1">
        <v>44586</v>
      </c>
      <c r="D839">
        <v>6837.96</v>
      </c>
      <c r="E839" s="1">
        <v>44582</v>
      </c>
      <c r="F839">
        <v>15603.88</v>
      </c>
      <c r="G839" s="1">
        <v>44568</v>
      </c>
      <c r="H839">
        <v>8950.4360699999997</v>
      </c>
      <c r="I839" s="1">
        <v>44586</v>
      </c>
      <c r="J839">
        <v>8479.5</v>
      </c>
      <c r="K839" s="1">
        <v>44579</v>
      </c>
      <c r="L839">
        <v>27483.279999999999</v>
      </c>
    </row>
    <row r="840" spans="1:12" x14ac:dyDescent="0.35">
      <c r="A840" s="1">
        <v>44587</v>
      </c>
      <c r="B840">
        <v>4164.6000000000004</v>
      </c>
      <c r="C840" s="1">
        <v>44585</v>
      </c>
      <c r="D840">
        <v>6787.79</v>
      </c>
      <c r="E840" s="1">
        <v>44581</v>
      </c>
      <c r="F840">
        <v>15912.33</v>
      </c>
      <c r="G840" s="1">
        <v>44567</v>
      </c>
      <c r="H840">
        <v>8924.4826900000007</v>
      </c>
      <c r="I840" s="1">
        <v>44585</v>
      </c>
      <c r="J840">
        <v>8417.7999999999993</v>
      </c>
      <c r="K840" s="1">
        <v>44578</v>
      </c>
      <c r="L840">
        <v>27688.560000000001</v>
      </c>
    </row>
    <row r="841" spans="1:12" x14ac:dyDescent="0.35">
      <c r="A841" s="1">
        <v>44586</v>
      </c>
      <c r="B841">
        <v>4078.26</v>
      </c>
      <c r="C841" s="1">
        <v>44582</v>
      </c>
      <c r="D841">
        <v>7068.59</v>
      </c>
      <c r="E841" s="1">
        <v>44580</v>
      </c>
      <c r="F841">
        <v>15809.72</v>
      </c>
      <c r="G841" s="1">
        <v>44566</v>
      </c>
      <c r="H841">
        <v>9006.8553400000001</v>
      </c>
      <c r="I841" s="1">
        <v>44582</v>
      </c>
      <c r="J841">
        <v>8694.7000000000007</v>
      </c>
      <c r="K841" s="1">
        <v>44575</v>
      </c>
      <c r="L841">
        <v>27543.96</v>
      </c>
    </row>
    <row r="842" spans="1:12" x14ac:dyDescent="0.35">
      <c r="A842" s="1">
        <v>44585</v>
      </c>
      <c r="B842">
        <v>4054.36</v>
      </c>
      <c r="C842" s="1">
        <v>44581</v>
      </c>
      <c r="D842">
        <v>7194.16</v>
      </c>
      <c r="E842" s="1">
        <v>44579</v>
      </c>
      <c r="F842">
        <v>15772.56</v>
      </c>
      <c r="G842" s="1">
        <v>44565</v>
      </c>
      <c r="H842">
        <v>8995.0159700000004</v>
      </c>
      <c r="I842" s="1">
        <v>44581</v>
      </c>
      <c r="J842">
        <v>8814.6</v>
      </c>
      <c r="K842" s="1">
        <v>44574</v>
      </c>
      <c r="L842">
        <v>27844.45</v>
      </c>
    </row>
    <row r="843" spans="1:12" x14ac:dyDescent="0.35">
      <c r="A843" s="1">
        <v>44582</v>
      </c>
      <c r="B843">
        <v>4229.5600000000004</v>
      </c>
      <c r="C843" s="1">
        <v>44580</v>
      </c>
      <c r="D843">
        <v>7172.98</v>
      </c>
      <c r="E843" s="1">
        <v>44578</v>
      </c>
      <c r="F843">
        <v>15933.72</v>
      </c>
      <c r="G843" s="1">
        <v>44561</v>
      </c>
      <c r="H843">
        <v>8778.3022000000001</v>
      </c>
      <c r="I843" s="1">
        <v>44580</v>
      </c>
      <c r="J843">
        <v>8774.9</v>
      </c>
      <c r="K843" s="1">
        <v>44573</v>
      </c>
      <c r="L843">
        <v>27714.26</v>
      </c>
    </row>
    <row r="844" spans="1:12" x14ac:dyDescent="0.35">
      <c r="A844" s="1">
        <v>44581</v>
      </c>
      <c r="B844">
        <v>4299.6099999999997</v>
      </c>
      <c r="C844" s="1">
        <v>44579</v>
      </c>
      <c r="D844">
        <v>7133.83</v>
      </c>
      <c r="E844" s="1">
        <v>44575</v>
      </c>
      <c r="F844">
        <v>15883.24</v>
      </c>
      <c r="G844" s="1">
        <v>44560</v>
      </c>
      <c r="H844">
        <v>8823.4196100000008</v>
      </c>
      <c r="I844" s="1">
        <v>44579</v>
      </c>
      <c r="J844">
        <v>8781.6</v>
      </c>
      <c r="K844" s="1">
        <v>44572</v>
      </c>
      <c r="L844">
        <v>27535.48</v>
      </c>
    </row>
    <row r="845" spans="1:12" x14ac:dyDescent="0.35">
      <c r="A845" s="1">
        <v>44580</v>
      </c>
      <c r="B845">
        <v>4268.28</v>
      </c>
      <c r="C845" s="1">
        <v>44578</v>
      </c>
      <c r="D845">
        <v>7201.64</v>
      </c>
      <c r="E845" s="1">
        <v>44574</v>
      </c>
      <c r="F845">
        <v>16031.59</v>
      </c>
      <c r="G845" s="1">
        <v>44559</v>
      </c>
      <c r="H845">
        <v>8823.9321400000008</v>
      </c>
      <c r="I845" s="1">
        <v>44578</v>
      </c>
      <c r="J845">
        <v>8838.7000000000007</v>
      </c>
      <c r="K845" s="1">
        <v>44571</v>
      </c>
      <c r="L845">
        <v>27353.71</v>
      </c>
    </row>
    <row r="846" spans="1:12" x14ac:dyDescent="0.35">
      <c r="A846" s="1">
        <v>44579</v>
      </c>
      <c r="B846">
        <v>4257.82</v>
      </c>
      <c r="C846" s="1">
        <v>44575</v>
      </c>
      <c r="D846">
        <v>7143</v>
      </c>
      <c r="E846" s="1">
        <v>44573</v>
      </c>
      <c r="F846">
        <v>16010.32</v>
      </c>
      <c r="G846" s="1">
        <v>44554</v>
      </c>
      <c r="H846">
        <v>8727.8211100000008</v>
      </c>
      <c r="I846" s="1">
        <v>44575</v>
      </c>
      <c r="J846">
        <v>8806.6</v>
      </c>
      <c r="K846" s="1">
        <v>44568</v>
      </c>
      <c r="L846">
        <v>27618.47</v>
      </c>
    </row>
    <row r="847" spans="1:12" x14ac:dyDescent="0.35">
      <c r="A847" s="1">
        <v>44578</v>
      </c>
      <c r="B847">
        <v>4302.1400000000003</v>
      </c>
      <c r="C847" s="1">
        <v>44574</v>
      </c>
      <c r="D847">
        <v>7201.14</v>
      </c>
      <c r="E847" s="1">
        <v>44572</v>
      </c>
      <c r="F847">
        <v>15941.81</v>
      </c>
      <c r="G847" s="1">
        <v>44553</v>
      </c>
      <c r="H847">
        <v>8726.7774599999993</v>
      </c>
      <c r="I847" s="1">
        <v>44574</v>
      </c>
      <c r="J847">
        <v>8816.9</v>
      </c>
      <c r="K847" s="1">
        <v>44567</v>
      </c>
      <c r="L847">
        <v>27655.69</v>
      </c>
    </row>
    <row r="848" spans="1:12" x14ac:dyDescent="0.35">
      <c r="A848" s="1">
        <v>44575</v>
      </c>
      <c r="B848">
        <v>4272.1899999999996</v>
      </c>
      <c r="C848" s="1">
        <v>44573</v>
      </c>
      <c r="D848">
        <v>7237.19</v>
      </c>
      <c r="E848" s="1">
        <v>44571</v>
      </c>
      <c r="F848">
        <v>15768.27</v>
      </c>
      <c r="G848" s="1">
        <v>44552</v>
      </c>
      <c r="H848">
        <v>8655.8877799999991</v>
      </c>
      <c r="I848" s="1">
        <v>44573</v>
      </c>
      <c r="J848">
        <v>8770.2999999999993</v>
      </c>
      <c r="K848" s="1">
        <v>44566</v>
      </c>
      <c r="L848">
        <v>28162.67</v>
      </c>
    </row>
    <row r="849" spans="1:12" x14ac:dyDescent="0.35">
      <c r="A849" s="1">
        <v>44574</v>
      </c>
      <c r="B849">
        <v>4315.8999999999996</v>
      </c>
      <c r="C849" s="1">
        <v>44572</v>
      </c>
      <c r="D849">
        <v>7183.38</v>
      </c>
      <c r="E849" s="1">
        <v>44568</v>
      </c>
      <c r="F849">
        <v>15947.74</v>
      </c>
      <c r="G849" s="1">
        <v>44551</v>
      </c>
      <c r="H849">
        <v>8581.1116600000005</v>
      </c>
      <c r="I849" s="1">
        <v>44572</v>
      </c>
      <c r="J849">
        <v>8755.9</v>
      </c>
      <c r="K849" s="1">
        <v>44565</v>
      </c>
      <c r="L849">
        <v>27954.84</v>
      </c>
    </row>
    <row r="850" spans="1:12" x14ac:dyDescent="0.35">
      <c r="A850" s="1">
        <v>44573</v>
      </c>
      <c r="B850">
        <v>4316.3900000000003</v>
      </c>
      <c r="C850" s="1">
        <v>44571</v>
      </c>
      <c r="D850">
        <v>7115.77</v>
      </c>
      <c r="E850" s="1">
        <v>44567</v>
      </c>
      <c r="F850">
        <v>16052.03</v>
      </c>
      <c r="G850" s="1">
        <v>44550</v>
      </c>
      <c r="H850">
        <v>8427.25756</v>
      </c>
      <c r="I850" s="1">
        <v>44571</v>
      </c>
      <c r="J850">
        <v>8706.9</v>
      </c>
      <c r="K850" s="1">
        <v>44564</v>
      </c>
      <c r="L850">
        <v>27730.32</v>
      </c>
    </row>
    <row r="851" spans="1:12" x14ac:dyDescent="0.35">
      <c r="A851" s="1">
        <v>44572</v>
      </c>
      <c r="B851">
        <v>4281.54</v>
      </c>
      <c r="C851" s="1">
        <v>44568</v>
      </c>
      <c r="D851">
        <v>7219.48</v>
      </c>
      <c r="E851" s="1">
        <v>44566</v>
      </c>
      <c r="F851">
        <v>16271.75</v>
      </c>
      <c r="G851" s="1">
        <v>44547</v>
      </c>
      <c r="H851">
        <v>8555.7693600000002</v>
      </c>
      <c r="I851" s="1">
        <v>44568</v>
      </c>
      <c r="J851">
        <v>8751.7999999999993</v>
      </c>
      <c r="K851" s="1">
        <v>44560</v>
      </c>
      <c r="L851">
        <v>27346.83</v>
      </c>
    </row>
    <row r="852" spans="1:12" x14ac:dyDescent="0.35">
      <c r="A852" s="1">
        <v>44571</v>
      </c>
      <c r="B852">
        <v>4239.5200000000004</v>
      </c>
      <c r="C852" s="1">
        <v>44567</v>
      </c>
      <c r="D852">
        <v>7249.66</v>
      </c>
      <c r="E852" s="1">
        <v>44565</v>
      </c>
      <c r="F852">
        <v>16152.61</v>
      </c>
      <c r="G852" s="1">
        <v>44546</v>
      </c>
      <c r="H852">
        <v>8544.2714799999994</v>
      </c>
      <c r="I852" s="1">
        <v>44567</v>
      </c>
      <c r="J852">
        <v>8789.9</v>
      </c>
      <c r="K852" s="1">
        <v>44559</v>
      </c>
      <c r="L852">
        <v>27344.25</v>
      </c>
    </row>
    <row r="853" spans="1:12" x14ac:dyDescent="0.35">
      <c r="A853" s="1">
        <v>44568</v>
      </c>
      <c r="B853">
        <v>4305.83</v>
      </c>
      <c r="C853" s="1">
        <v>44566</v>
      </c>
      <c r="D853">
        <v>7376.37</v>
      </c>
      <c r="E853" s="1">
        <v>44564</v>
      </c>
      <c r="F853">
        <v>16020.73</v>
      </c>
      <c r="G853" s="1">
        <v>44545</v>
      </c>
      <c r="H853">
        <v>8413.8498199999995</v>
      </c>
      <c r="I853" s="1">
        <v>44566</v>
      </c>
      <c r="J853">
        <v>8790.7999999999993</v>
      </c>
      <c r="K853" s="1">
        <v>44558</v>
      </c>
      <c r="L853">
        <v>27444.93</v>
      </c>
    </row>
    <row r="854" spans="1:12" x14ac:dyDescent="0.35">
      <c r="A854" s="1">
        <v>44567</v>
      </c>
      <c r="B854">
        <v>4324.8100000000004</v>
      </c>
      <c r="C854" s="1">
        <v>44565</v>
      </c>
      <c r="D854">
        <v>7317.41</v>
      </c>
      <c r="E854" s="1">
        <v>44560</v>
      </c>
      <c r="F854">
        <v>15884.86</v>
      </c>
      <c r="G854" s="1">
        <v>44544</v>
      </c>
      <c r="H854">
        <v>8471.2712800000008</v>
      </c>
      <c r="I854" s="1">
        <v>44565</v>
      </c>
      <c r="J854">
        <v>8795.7999999999993</v>
      </c>
      <c r="K854" s="1">
        <v>44557</v>
      </c>
      <c r="L854">
        <v>27231.200000000001</v>
      </c>
    </row>
    <row r="855" spans="1:12" x14ac:dyDescent="0.35">
      <c r="A855" s="1">
        <v>44566</v>
      </c>
      <c r="B855">
        <v>4392.1499999999996</v>
      </c>
      <c r="C855" s="1">
        <v>44564</v>
      </c>
      <c r="D855">
        <v>7217.22</v>
      </c>
      <c r="E855" s="1">
        <v>44559</v>
      </c>
      <c r="F855">
        <v>15852.25</v>
      </c>
      <c r="G855" s="1">
        <v>44543</v>
      </c>
      <c r="H855">
        <v>8460.9064699999999</v>
      </c>
      <c r="I855" s="1">
        <v>44564</v>
      </c>
      <c r="J855">
        <v>8761.2000000000007</v>
      </c>
      <c r="K855" s="1">
        <v>44553</v>
      </c>
      <c r="L855">
        <v>27016.22</v>
      </c>
    </row>
    <row r="856" spans="1:12" x14ac:dyDescent="0.35">
      <c r="A856" s="1">
        <v>44565</v>
      </c>
      <c r="B856">
        <v>4367.62</v>
      </c>
      <c r="C856" s="1">
        <v>44561</v>
      </c>
      <c r="D856">
        <v>7153.03</v>
      </c>
      <c r="E856" s="1">
        <v>44558</v>
      </c>
      <c r="F856">
        <v>15963.7</v>
      </c>
      <c r="G856" s="1">
        <v>44540</v>
      </c>
      <c r="H856">
        <v>8547.3396100000009</v>
      </c>
      <c r="I856" s="1">
        <v>44560</v>
      </c>
      <c r="J856">
        <v>8713.7999999999993</v>
      </c>
      <c r="K856" s="1">
        <v>44552</v>
      </c>
      <c r="L856">
        <v>26827.93</v>
      </c>
    </row>
    <row r="857" spans="1:12" x14ac:dyDescent="0.35">
      <c r="A857" s="1">
        <v>44564</v>
      </c>
      <c r="B857">
        <v>4331.82</v>
      </c>
      <c r="C857" s="1">
        <v>44560</v>
      </c>
      <c r="D857">
        <v>7173.23</v>
      </c>
      <c r="E857" s="1">
        <v>44557</v>
      </c>
      <c r="F857">
        <v>15835.25</v>
      </c>
      <c r="G857" s="1">
        <v>44539</v>
      </c>
      <c r="H857">
        <v>8567.6250799999998</v>
      </c>
      <c r="I857" s="1">
        <v>44559</v>
      </c>
      <c r="J857">
        <v>8673.7000000000007</v>
      </c>
      <c r="K857" s="1">
        <v>44551</v>
      </c>
      <c r="L857">
        <v>26653.3</v>
      </c>
    </row>
    <row r="858" spans="1:12" x14ac:dyDescent="0.35">
      <c r="A858" s="1">
        <v>44561</v>
      </c>
      <c r="B858">
        <v>4298.41</v>
      </c>
      <c r="C858" s="1">
        <v>44559</v>
      </c>
      <c r="D858">
        <v>7161.52</v>
      </c>
      <c r="E858" s="1">
        <v>44553</v>
      </c>
      <c r="F858">
        <v>15756.31</v>
      </c>
      <c r="G858" s="1">
        <v>44538</v>
      </c>
      <c r="H858">
        <v>8557.6289400000005</v>
      </c>
      <c r="I858" s="1">
        <v>44558</v>
      </c>
      <c r="J858">
        <v>8688.9</v>
      </c>
      <c r="K858" s="1">
        <v>44550</v>
      </c>
      <c r="L858">
        <v>26177.759999999998</v>
      </c>
    </row>
    <row r="859" spans="1:12" x14ac:dyDescent="0.35">
      <c r="A859" s="1">
        <v>44560</v>
      </c>
      <c r="B859">
        <v>4306.07</v>
      </c>
      <c r="C859" s="1">
        <v>44558</v>
      </c>
      <c r="D859">
        <v>7181.11</v>
      </c>
      <c r="E859" s="1">
        <v>44552</v>
      </c>
      <c r="F859">
        <v>15593.47</v>
      </c>
      <c r="G859" s="1">
        <v>44537</v>
      </c>
      <c r="H859">
        <v>8634.3700900000003</v>
      </c>
      <c r="I859" s="1">
        <v>44557</v>
      </c>
      <c r="J859">
        <v>8622.1</v>
      </c>
      <c r="K859" s="1">
        <v>44547</v>
      </c>
      <c r="L859">
        <v>26611.41</v>
      </c>
    </row>
    <row r="860" spans="1:12" x14ac:dyDescent="0.35">
      <c r="A860" s="1">
        <v>44559</v>
      </c>
      <c r="B860">
        <v>4284.83</v>
      </c>
      <c r="C860" s="1">
        <v>44557</v>
      </c>
      <c r="D860">
        <v>7140.39</v>
      </c>
      <c r="E860" s="1">
        <v>44551</v>
      </c>
      <c r="F860">
        <v>15447.44</v>
      </c>
      <c r="G860" s="1">
        <v>44536</v>
      </c>
      <c r="H860">
        <v>8498.6824300000007</v>
      </c>
      <c r="I860" s="1">
        <v>44553</v>
      </c>
      <c r="J860">
        <v>8563.7000000000007</v>
      </c>
      <c r="K860" s="1">
        <v>44546</v>
      </c>
      <c r="L860">
        <v>26782.44</v>
      </c>
    </row>
    <row r="861" spans="1:12" x14ac:dyDescent="0.35">
      <c r="A861" s="1">
        <v>44558</v>
      </c>
      <c r="B861">
        <v>4311.93</v>
      </c>
      <c r="C861" s="1">
        <v>44554</v>
      </c>
      <c r="D861">
        <v>7086.58</v>
      </c>
      <c r="E861" s="1">
        <v>44550</v>
      </c>
      <c r="F861">
        <v>15239.67</v>
      </c>
      <c r="G861" s="1">
        <v>44533</v>
      </c>
      <c r="H861">
        <v>8335.0853000000006</v>
      </c>
      <c r="I861" s="1">
        <v>44552</v>
      </c>
      <c r="J861">
        <v>8459.1</v>
      </c>
      <c r="K861" s="1">
        <v>44545</v>
      </c>
      <c r="L861">
        <v>26666.080000000002</v>
      </c>
    </row>
    <row r="862" spans="1:12" x14ac:dyDescent="0.35">
      <c r="A862" s="1">
        <v>44557</v>
      </c>
      <c r="B862">
        <v>4287.9799999999996</v>
      </c>
      <c r="C862" s="1">
        <v>44553</v>
      </c>
      <c r="D862">
        <v>7106.15</v>
      </c>
      <c r="E862" s="1">
        <v>44547</v>
      </c>
      <c r="F862">
        <v>15531.69</v>
      </c>
      <c r="G862" s="1">
        <v>44532</v>
      </c>
      <c r="H862">
        <v>8390.0514399999993</v>
      </c>
      <c r="I862" s="1">
        <v>44551</v>
      </c>
      <c r="J862">
        <v>8387.5</v>
      </c>
      <c r="K862" s="1">
        <v>44544</v>
      </c>
      <c r="L862">
        <v>26556.67</v>
      </c>
    </row>
    <row r="863" spans="1:12" x14ac:dyDescent="0.35">
      <c r="A863" s="1">
        <v>44554</v>
      </c>
      <c r="B863">
        <v>4255.01</v>
      </c>
      <c r="C863" s="1">
        <v>44552</v>
      </c>
      <c r="D863">
        <v>7051.67</v>
      </c>
      <c r="E863" s="1">
        <v>44546</v>
      </c>
      <c r="F863">
        <v>15636.4</v>
      </c>
      <c r="G863" s="1">
        <v>44531</v>
      </c>
      <c r="H863">
        <v>8421.4897600000004</v>
      </c>
      <c r="I863" s="1">
        <v>44550</v>
      </c>
      <c r="J863">
        <v>8242.4</v>
      </c>
      <c r="K863" s="1">
        <v>44543</v>
      </c>
      <c r="L863">
        <v>26551.02</v>
      </c>
    </row>
    <row r="864" spans="1:12" x14ac:dyDescent="0.35">
      <c r="A864" s="1">
        <v>44553</v>
      </c>
      <c r="B864">
        <v>4265.8599999999997</v>
      </c>
      <c r="C864" s="1">
        <v>44551</v>
      </c>
      <c r="D864">
        <v>6964.99</v>
      </c>
      <c r="E864" s="1">
        <v>44545</v>
      </c>
      <c r="F864">
        <v>15476.35</v>
      </c>
      <c r="G864" s="1">
        <v>44530</v>
      </c>
      <c r="H864">
        <v>8278.3613100000002</v>
      </c>
      <c r="I864" s="1">
        <v>44547</v>
      </c>
      <c r="J864">
        <v>8311.6</v>
      </c>
      <c r="K864" s="1">
        <v>44540</v>
      </c>
      <c r="L864">
        <v>26721.98</v>
      </c>
    </row>
    <row r="865" spans="1:12" x14ac:dyDescent="0.35">
      <c r="A865" s="1">
        <v>44552</v>
      </c>
      <c r="B865">
        <v>4217.0600000000004</v>
      </c>
      <c r="C865" s="1">
        <v>44550</v>
      </c>
      <c r="D865">
        <v>6870.1</v>
      </c>
      <c r="E865" s="1">
        <v>44544</v>
      </c>
      <c r="F865">
        <v>15453.56</v>
      </c>
      <c r="G865" s="1">
        <v>44529</v>
      </c>
      <c r="H865">
        <v>8392.7444899999991</v>
      </c>
      <c r="I865" s="1">
        <v>44546</v>
      </c>
      <c r="J865">
        <v>8380</v>
      </c>
      <c r="K865" s="1">
        <v>44539</v>
      </c>
      <c r="L865">
        <v>26817.38</v>
      </c>
    </row>
    <row r="866" spans="1:12" x14ac:dyDescent="0.35">
      <c r="A866" s="1">
        <v>44551</v>
      </c>
      <c r="B866">
        <v>4174.99</v>
      </c>
      <c r="C866" s="1">
        <v>44547</v>
      </c>
      <c r="D866">
        <v>6926.63</v>
      </c>
      <c r="E866" s="1">
        <v>44543</v>
      </c>
      <c r="F866">
        <v>15621.72</v>
      </c>
      <c r="G866" s="1">
        <v>44526</v>
      </c>
      <c r="H866">
        <v>8309.0141600000006</v>
      </c>
      <c r="I866" s="1">
        <v>44545</v>
      </c>
      <c r="J866">
        <v>8275</v>
      </c>
      <c r="K866" s="1">
        <v>44538</v>
      </c>
      <c r="L866">
        <v>26751.93</v>
      </c>
    </row>
    <row r="867" spans="1:12" x14ac:dyDescent="0.35">
      <c r="A867" s="1">
        <v>44550</v>
      </c>
      <c r="B867">
        <v>4107.13</v>
      </c>
      <c r="C867" s="1">
        <v>44546</v>
      </c>
      <c r="D867">
        <v>7005.07</v>
      </c>
      <c r="E867" s="1">
        <v>44540</v>
      </c>
      <c r="F867">
        <v>15623.31</v>
      </c>
      <c r="G867" s="1">
        <v>44525</v>
      </c>
      <c r="H867">
        <v>8689.6235699999997</v>
      </c>
      <c r="I867" s="1">
        <v>44544</v>
      </c>
      <c r="J867">
        <v>8378.5</v>
      </c>
      <c r="K867" s="1">
        <v>44537</v>
      </c>
      <c r="L867">
        <v>27137.98</v>
      </c>
    </row>
    <row r="868" spans="1:12" x14ac:dyDescent="0.35">
      <c r="A868" s="1">
        <v>44547</v>
      </c>
      <c r="B868">
        <v>4161.3500000000004</v>
      </c>
      <c r="C868" s="1">
        <v>44545</v>
      </c>
      <c r="D868">
        <v>6927.63</v>
      </c>
      <c r="E868" s="1">
        <v>44539</v>
      </c>
      <c r="F868">
        <v>15639.26</v>
      </c>
      <c r="G868" s="1">
        <v>44524</v>
      </c>
      <c r="H868">
        <v>8670.5646099999994</v>
      </c>
      <c r="I868" s="1">
        <v>44543</v>
      </c>
      <c r="J868">
        <v>8322.7000000000007</v>
      </c>
      <c r="K868" s="1">
        <v>44536</v>
      </c>
      <c r="L868">
        <v>26498.07</v>
      </c>
    </row>
    <row r="869" spans="1:12" x14ac:dyDescent="0.35">
      <c r="A869" s="1">
        <v>44546</v>
      </c>
      <c r="B869">
        <v>4201.87</v>
      </c>
      <c r="C869" s="1">
        <v>44544</v>
      </c>
      <c r="D869">
        <v>6895.31</v>
      </c>
      <c r="E869" s="1">
        <v>44538</v>
      </c>
      <c r="F869">
        <v>15687.09</v>
      </c>
      <c r="G869" s="1">
        <v>44523</v>
      </c>
      <c r="H869">
        <v>8635.5706499999997</v>
      </c>
      <c r="I869" s="1">
        <v>44540</v>
      </c>
      <c r="J869">
        <v>8360.2000000000007</v>
      </c>
      <c r="K869" s="1">
        <v>44533</v>
      </c>
      <c r="L869">
        <v>25938.52</v>
      </c>
    </row>
    <row r="870" spans="1:12" x14ac:dyDescent="0.35">
      <c r="A870" s="1">
        <v>44545</v>
      </c>
      <c r="B870">
        <v>4159.68</v>
      </c>
      <c r="C870" s="1">
        <v>44543</v>
      </c>
      <c r="D870">
        <v>6942.91</v>
      </c>
      <c r="E870" s="1">
        <v>44537</v>
      </c>
      <c r="F870">
        <v>15813.94</v>
      </c>
      <c r="G870" s="1">
        <v>44522</v>
      </c>
      <c r="H870">
        <v>8639.7253899999996</v>
      </c>
      <c r="I870" s="1">
        <v>44539</v>
      </c>
      <c r="J870">
        <v>8399.6</v>
      </c>
      <c r="K870" s="1">
        <v>44532</v>
      </c>
      <c r="L870">
        <v>26005.4</v>
      </c>
    </row>
    <row r="871" spans="1:12" x14ac:dyDescent="0.35">
      <c r="A871" s="1">
        <v>44544</v>
      </c>
      <c r="B871">
        <v>4144.51</v>
      </c>
      <c r="C871" s="1">
        <v>44540</v>
      </c>
      <c r="D871">
        <v>6991.68</v>
      </c>
      <c r="E871" s="1">
        <v>44536</v>
      </c>
      <c r="F871">
        <v>15380.79</v>
      </c>
      <c r="G871" s="1">
        <v>44519</v>
      </c>
      <c r="H871">
        <v>8603.3243000000002</v>
      </c>
      <c r="I871" s="1">
        <v>44538</v>
      </c>
      <c r="J871">
        <v>8478.4</v>
      </c>
      <c r="K871" s="1">
        <v>44531</v>
      </c>
      <c r="L871">
        <v>26371.919999999998</v>
      </c>
    </row>
    <row r="872" spans="1:12" x14ac:dyDescent="0.35">
      <c r="A872" s="1">
        <v>44543</v>
      </c>
      <c r="B872">
        <v>4183.04</v>
      </c>
      <c r="C872" s="1">
        <v>44539</v>
      </c>
      <c r="D872">
        <v>7008.23</v>
      </c>
      <c r="E872" s="1">
        <v>44533</v>
      </c>
      <c r="F872">
        <v>15169.98</v>
      </c>
      <c r="G872" s="1">
        <v>44518</v>
      </c>
      <c r="H872">
        <v>8613.9796000000006</v>
      </c>
      <c r="I872" s="1">
        <v>44537</v>
      </c>
      <c r="J872">
        <v>8559.5</v>
      </c>
      <c r="K872" s="1">
        <v>44530</v>
      </c>
      <c r="L872">
        <v>25814.34</v>
      </c>
    </row>
    <row r="873" spans="1:12" x14ac:dyDescent="0.35">
      <c r="A873" s="1">
        <v>44540</v>
      </c>
      <c r="B873">
        <v>4199.16</v>
      </c>
      <c r="C873" s="1">
        <v>44538</v>
      </c>
      <c r="D873">
        <v>7014.57</v>
      </c>
      <c r="E873" s="1">
        <v>44532</v>
      </c>
      <c r="F873">
        <v>15263.11</v>
      </c>
      <c r="G873" s="1">
        <v>44517</v>
      </c>
      <c r="H873">
        <v>8690.3064900000008</v>
      </c>
      <c r="I873" s="1">
        <v>44536</v>
      </c>
      <c r="J873">
        <v>8439.7000000000007</v>
      </c>
      <c r="K873" s="1">
        <v>44529</v>
      </c>
      <c r="L873">
        <v>26041.55</v>
      </c>
    </row>
    <row r="874" spans="1:12" x14ac:dyDescent="0.35">
      <c r="A874" s="1">
        <v>44539</v>
      </c>
      <c r="B874">
        <v>4208.3</v>
      </c>
      <c r="C874" s="1">
        <v>44537</v>
      </c>
      <c r="D874">
        <v>7065.39</v>
      </c>
      <c r="E874" s="1">
        <v>44531</v>
      </c>
      <c r="F874">
        <v>15472.67</v>
      </c>
      <c r="G874" s="1">
        <v>44516</v>
      </c>
      <c r="H874">
        <v>8685.9004399999994</v>
      </c>
      <c r="I874" s="1">
        <v>44533</v>
      </c>
      <c r="J874">
        <v>8241.7000000000007</v>
      </c>
      <c r="K874" s="1">
        <v>44526</v>
      </c>
      <c r="L874">
        <v>25852.99</v>
      </c>
    </row>
    <row r="875" spans="1:12" x14ac:dyDescent="0.35">
      <c r="A875" s="1">
        <v>44538</v>
      </c>
      <c r="B875">
        <v>4233.09</v>
      </c>
      <c r="C875" s="1">
        <v>44536</v>
      </c>
      <c r="D875">
        <v>6865.78</v>
      </c>
      <c r="E875" s="1">
        <v>44530</v>
      </c>
      <c r="F875">
        <v>15100.13</v>
      </c>
      <c r="G875" s="1">
        <v>44515</v>
      </c>
      <c r="H875">
        <v>8667.1365499999993</v>
      </c>
      <c r="I875" s="1">
        <v>44532</v>
      </c>
      <c r="J875">
        <v>8300.7999999999993</v>
      </c>
      <c r="K875" s="1">
        <v>44525</v>
      </c>
      <c r="L875">
        <v>27098.83</v>
      </c>
    </row>
    <row r="876" spans="1:12" x14ac:dyDescent="0.35">
      <c r="A876" s="1">
        <v>44537</v>
      </c>
      <c r="B876">
        <v>4276.2</v>
      </c>
      <c r="C876" s="1">
        <v>44533</v>
      </c>
      <c r="D876">
        <v>6765.52</v>
      </c>
      <c r="E876" s="1">
        <v>44529</v>
      </c>
      <c r="F876">
        <v>15280.86</v>
      </c>
      <c r="G876" s="1">
        <v>44512</v>
      </c>
      <c r="H876">
        <v>8614.17137</v>
      </c>
      <c r="I876" s="1">
        <v>44531</v>
      </c>
      <c r="J876">
        <v>8452.6</v>
      </c>
      <c r="K876" s="1">
        <v>44524</v>
      </c>
      <c r="L876">
        <v>27109.3</v>
      </c>
    </row>
    <row r="877" spans="1:12" x14ac:dyDescent="0.35">
      <c r="A877" s="1">
        <v>44536</v>
      </c>
      <c r="B877">
        <v>4137.1099999999997</v>
      </c>
      <c r="C877" s="1">
        <v>44532</v>
      </c>
      <c r="D877">
        <v>6795.75</v>
      </c>
      <c r="E877" s="1">
        <v>44526</v>
      </c>
      <c r="F877">
        <v>15257.04</v>
      </c>
      <c r="G877" s="1">
        <v>44511</v>
      </c>
      <c r="H877">
        <v>8621.6475900000005</v>
      </c>
      <c r="I877" s="1">
        <v>44530</v>
      </c>
      <c r="J877">
        <v>8305.1</v>
      </c>
      <c r="K877" s="1">
        <v>44523</v>
      </c>
      <c r="L877">
        <v>26939.4</v>
      </c>
    </row>
    <row r="878" spans="1:12" x14ac:dyDescent="0.35">
      <c r="A878" s="1">
        <v>44533</v>
      </c>
      <c r="B878">
        <v>4080.15</v>
      </c>
      <c r="C878" s="1">
        <v>44531</v>
      </c>
      <c r="D878">
        <v>6881.87</v>
      </c>
      <c r="E878" s="1">
        <v>44525</v>
      </c>
      <c r="F878">
        <v>15917.98</v>
      </c>
      <c r="G878" s="1">
        <v>44510</v>
      </c>
      <c r="H878">
        <v>8581.5739099999992</v>
      </c>
      <c r="I878" s="1">
        <v>44529</v>
      </c>
      <c r="J878">
        <v>8455.2000000000007</v>
      </c>
      <c r="K878" s="1">
        <v>44522</v>
      </c>
      <c r="L878">
        <v>27382.87</v>
      </c>
    </row>
    <row r="879" spans="1:12" x14ac:dyDescent="0.35">
      <c r="A879" s="1">
        <v>44532</v>
      </c>
      <c r="B879">
        <v>4108.0200000000004</v>
      </c>
      <c r="C879" s="1">
        <v>44530</v>
      </c>
      <c r="D879">
        <v>6721.16</v>
      </c>
      <c r="E879" s="1">
        <v>44524</v>
      </c>
      <c r="F879">
        <v>15878.39</v>
      </c>
      <c r="G879" s="1">
        <v>44509</v>
      </c>
      <c r="H879">
        <v>8512.1077100000002</v>
      </c>
      <c r="I879" s="1">
        <v>44526</v>
      </c>
      <c r="J879">
        <v>8402.7000000000007</v>
      </c>
      <c r="K879" s="1">
        <v>44519</v>
      </c>
      <c r="L879">
        <v>27337.46</v>
      </c>
    </row>
    <row r="880" spans="1:12" x14ac:dyDescent="0.35">
      <c r="A880" s="1">
        <v>44531</v>
      </c>
      <c r="B880">
        <v>4179.1499999999996</v>
      </c>
      <c r="C880" s="1">
        <v>44529</v>
      </c>
      <c r="D880">
        <v>6776.25</v>
      </c>
      <c r="E880" s="1">
        <v>44523</v>
      </c>
      <c r="F880">
        <v>15937</v>
      </c>
      <c r="G880" s="1">
        <v>44508</v>
      </c>
      <c r="H880">
        <v>8542.9676500000005</v>
      </c>
      <c r="I880" s="1">
        <v>44525</v>
      </c>
      <c r="J880">
        <v>8840.9</v>
      </c>
      <c r="K880" s="1">
        <v>44518</v>
      </c>
      <c r="L880">
        <v>27661.82</v>
      </c>
    </row>
    <row r="881" spans="1:12" x14ac:dyDescent="0.35">
      <c r="A881" s="1">
        <v>44530</v>
      </c>
      <c r="B881">
        <v>4063.06</v>
      </c>
      <c r="C881" s="1">
        <v>44526</v>
      </c>
      <c r="D881">
        <v>6739.73</v>
      </c>
      <c r="E881" s="1">
        <v>44522</v>
      </c>
      <c r="F881">
        <v>16115.69</v>
      </c>
      <c r="G881" s="1">
        <v>44505</v>
      </c>
      <c r="H881">
        <v>8526.8692800000008</v>
      </c>
      <c r="I881" s="1">
        <v>44524</v>
      </c>
      <c r="J881">
        <v>8792</v>
      </c>
      <c r="K881" s="1">
        <v>44517</v>
      </c>
      <c r="L881">
        <v>27824.94</v>
      </c>
    </row>
    <row r="882" spans="1:12" x14ac:dyDescent="0.35">
      <c r="A882" s="1">
        <v>44529</v>
      </c>
      <c r="B882">
        <v>4109.51</v>
      </c>
      <c r="C882" s="1">
        <v>44525</v>
      </c>
      <c r="D882">
        <v>7075.87</v>
      </c>
      <c r="E882" s="1">
        <v>44519</v>
      </c>
      <c r="F882">
        <v>16159.97</v>
      </c>
      <c r="G882" s="1">
        <v>44504</v>
      </c>
      <c r="H882">
        <v>8506.1527399999995</v>
      </c>
      <c r="I882" s="1">
        <v>44523</v>
      </c>
      <c r="J882">
        <v>8815.1</v>
      </c>
      <c r="K882" s="1">
        <v>44516</v>
      </c>
      <c r="L882">
        <v>27804.93</v>
      </c>
    </row>
    <row r="883" spans="1:12" x14ac:dyDescent="0.35">
      <c r="A883" s="1">
        <v>44526</v>
      </c>
      <c r="B883">
        <v>4089.58</v>
      </c>
      <c r="C883" s="1">
        <v>44524</v>
      </c>
      <c r="D883">
        <v>7042.23</v>
      </c>
      <c r="E883" s="1">
        <v>44518</v>
      </c>
      <c r="F883">
        <v>16221.73</v>
      </c>
      <c r="G883" s="1">
        <v>44503</v>
      </c>
      <c r="H883">
        <v>8547.35743</v>
      </c>
      <c r="I883" s="1">
        <v>44522</v>
      </c>
      <c r="J883">
        <v>8821.2999999999993</v>
      </c>
      <c r="K883" s="1">
        <v>44515</v>
      </c>
      <c r="L883">
        <v>27868.13</v>
      </c>
    </row>
    <row r="884" spans="1:12" x14ac:dyDescent="0.35">
      <c r="A884" s="1">
        <v>44525</v>
      </c>
      <c r="B884">
        <v>4293.24</v>
      </c>
      <c r="C884" s="1">
        <v>44523</v>
      </c>
      <c r="D884">
        <v>7044.62</v>
      </c>
      <c r="E884" s="1">
        <v>44517</v>
      </c>
      <c r="F884">
        <v>16251.13</v>
      </c>
      <c r="G884" s="1">
        <v>44502</v>
      </c>
      <c r="H884">
        <v>8553.5385800000004</v>
      </c>
      <c r="I884" s="1">
        <v>44519</v>
      </c>
      <c r="J884">
        <v>8753.2000000000007</v>
      </c>
      <c r="K884" s="1">
        <v>44512</v>
      </c>
      <c r="L884">
        <v>27732.39</v>
      </c>
    </row>
    <row r="885" spans="1:12" x14ac:dyDescent="0.35">
      <c r="A885" s="1">
        <v>44524</v>
      </c>
      <c r="B885">
        <v>4276.25</v>
      </c>
      <c r="C885" s="1">
        <v>44522</v>
      </c>
      <c r="D885">
        <v>7105</v>
      </c>
      <c r="E885" s="1">
        <v>44516</v>
      </c>
      <c r="F885">
        <v>16247.86</v>
      </c>
      <c r="G885" s="1">
        <v>44501</v>
      </c>
      <c r="H885">
        <v>8587.4201499999999</v>
      </c>
      <c r="I885" s="1">
        <v>44518</v>
      </c>
      <c r="J885">
        <v>8903.2000000000007</v>
      </c>
      <c r="K885" s="1">
        <v>44511</v>
      </c>
      <c r="L885">
        <v>27633.200000000001</v>
      </c>
    </row>
    <row r="886" spans="1:12" x14ac:dyDescent="0.35">
      <c r="A886" s="1">
        <v>44523</v>
      </c>
      <c r="B886">
        <v>4283.82</v>
      </c>
      <c r="C886" s="1">
        <v>44519</v>
      </c>
      <c r="D886">
        <v>7112.29</v>
      </c>
      <c r="E886" s="1">
        <v>44515</v>
      </c>
      <c r="F886">
        <v>16148.64</v>
      </c>
      <c r="G886" s="1">
        <v>44498</v>
      </c>
      <c r="H886">
        <v>8576.0719800000006</v>
      </c>
      <c r="I886" s="1">
        <v>44517</v>
      </c>
      <c r="J886">
        <v>8993.4</v>
      </c>
      <c r="K886" s="1">
        <v>44510</v>
      </c>
      <c r="L886">
        <v>27561</v>
      </c>
    </row>
    <row r="887" spans="1:12" x14ac:dyDescent="0.35">
      <c r="A887" s="1">
        <v>44522</v>
      </c>
      <c r="B887">
        <v>4338.6899999999996</v>
      </c>
      <c r="C887" s="1">
        <v>44518</v>
      </c>
      <c r="D887">
        <v>7141.98</v>
      </c>
      <c r="E887" s="1">
        <v>44512</v>
      </c>
      <c r="F887">
        <v>16094.07</v>
      </c>
      <c r="G887" s="1">
        <v>44497</v>
      </c>
      <c r="H887">
        <v>8561.7991299999994</v>
      </c>
      <c r="I887" s="1">
        <v>44516</v>
      </c>
      <c r="J887">
        <v>9040.2000000000007</v>
      </c>
      <c r="K887" s="1">
        <v>44509</v>
      </c>
      <c r="L887">
        <v>27441.27</v>
      </c>
    </row>
    <row r="888" spans="1:12" x14ac:dyDescent="0.35">
      <c r="A888" s="1">
        <v>44519</v>
      </c>
      <c r="B888">
        <v>4356.47</v>
      </c>
      <c r="C888" s="1">
        <v>44517</v>
      </c>
      <c r="D888">
        <v>7156.85</v>
      </c>
      <c r="E888" s="1">
        <v>44511</v>
      </c>
      <c r="F888">
        <v>16083.11</v>
      </c>
      <c r="G888" s="1">
        <v>44496</v>
      </c>
      <c r="H888">
        <v>8589.7110799999991</v>
      </c>
      <c r="I888" s="1">
        <v>44515</v>
      </c>
      <c r="J888">
        <v>9095.7000000000007</v>
      </c>
      <c r="K888" s="1">
        <v>44508</v>
      </c>
      <c r="L888">
        <v>27711.09</v>
      </c>
    </row>
    <row r="889" spans="1:12" x14ac:dyDescent="0.35">
      <c r="A889" s="1">
        <v>44518</v>
      </c>
      <c r="B889">
        <v>4383.7</v>
      </c>
      <c r="C889" s="1">
        <v>44516</v>
      </c>
      <c r="D889">
        <v>7152.6</v>
      </c>
      <c r="E889" s="1">
        <v>44510</v>
      </c>
      <c r="F889">
        <v>16067.83</v>
      </c>
      <c r="G889" s="1">
        <v>44495</v>
      </c>
      <c r="H889">
        <v>8642.4485399999994</v>
      </c>
      <c r="I889" s="1">
        <v>44512</v>
      </c>
      <c r="J889">
        <v>9080.7999999999993</v>
      </c>
      <c r="K889" s="1">
        <v>44505</v>
      </c>
      <c r="L889">
        <v>27795.93</v>
      </c>
    </row>
    <row r="890" spans="1:12" x14ac:dyDescent="0.35">
      <c r="A890" s="1">
        <v>44517</v>
      </c>
      <c r="B890">
        <v>4400.8100000000004</v>
      </c>
      <c r="C890" s="1">
        <v>44515</v>
      </c>
      <c r="D890">
        <v>7128.63</v>
      </c>
      <c r="E890" s="1">
        <v>44509</v>
      </c>
      <c r="F890">
        <v>16040.47</v>
      </c>
      <c r="G890" s="1">
        <v>44494</v>
      </c>
      <c r="H890">
        <v>8562.7072499999995</v>
      </c>
      <c r="I890" s="1">
        <v>44511</v>
      </c>
      <c r="J890">
        <v>9092.2000000000007</v>
      </c>
      <c r="K890" s="1">
        <v>44504</v>
      </c>
      <c r="L890">
        <v>27522.05</v>
      </c>
    </row>
    <row r="891" spans="1:12" x14ac:dyDescent="0.35">
      <c r="A891" s="1">
        <v>44516</v>
      </c>
      <c r="B891">
        <v>4401.49</v>
      </c>
      <c r="C891" s="1">
        <v>44512</v>
      </c>
      <c r="D891">
        <v>7091.4</v>
      </c>
      <c r="E891" s="1">
        <v>44508</v>
      </c>
      <c r="F891">
        <v>16046.52</v>
      </c>
      <c r="G891" s="1">
        <v>44491</v>
      </c>
      <c r="H891">
        <v>8519.4794700000002</v>
      </c>
      <c r="I891" s="1">
        <v>44510</v>
      </c>
      <c r="J891">
        <v>9141.7999999999993</v>
      </c>
      <c r="K891" s="1">
        <v>44503</v>
      </c>
      <c r="L891">
        <v>27377.87</v>
      </c>
    </row>
    <row r="892" spans="1:12" x14ac:dyDescent="0.35">
      <c r="A892" s="1">
        <v>44515</v>
      </c>
      <c r="B892">
        <v>4386.1899999999996</v>
      </c>
      <c r="C892" s="1">
        <v>44511</v>
      </c>
      <c r="D892">
        <v>7059.55</v>
      </c>
      <c r="E892" s="1">
        <v>44505</v>
      </c>
      <c r="F892">
        <v>16054.36</v>
      </c>
      <c r="G892" s="1">
        <v>44490</v>
      </c>
      <c r="H892">
        <v>8526.8949599999996</v>
      </c>
      <c r="I892" s="1">
        <v>44509</v>
      </c>
      <c r="J892">
        <v>9074.9</v>
      </c>
      <c r="K892" s="1">
        <v>44502</v>
      </c>
      <c r="L892">
        <v>27189.63</v>
      </c>
    </row>
    <row r="893" spans="1:12" x14ac:dyDescent="0.35">
      <c r="A893" s="1">
        <v>44512</v>
      </c>
      <c r="B893">
        <v>4370.33</v>
      </c>
      <c r="C893" s="1">
        <v>44510</v>
      </c>
      <c r="D893">
        <v>7045.16</v>
      </c>
      <c r="E893" s="1">
        <v>44504</v>
      </c>
      <c r="F893">
        <v>16029.65</v>
      </c>
      <c r="G893" s="1">
        <v>44489</v>
      </c>
      <c r="H893">
        <v>8570.3048199999994</v>
      </c>
      <c r="I893" s="1">
        <v>44508</v>
      </c>
      <c r="J893">
        <v>9070.7999999999993</v>
      </c>
      <c r="K893" s="1">
        <v>44501</v>
      </c>
      <c r="L893">
        <v>27206</v>
      </c>
    </row>
    <row r="894" spans="1:12" x14ac:dyDescent="0.35">
      <c r="A894" s="1">
        <v>44511</v>
      </c>
      <c r="B894">
        <v>4358</v>
      </c>
      <c r="C894" s="1">
        <v>44509</v>
      </c>
      <c r="D894">
        <v>7043.27</v>
      </c>
      <c r="E894" s="1">
        <v>44503</v>
      </c>
      <c r="F894">
        <v>15959.98</v>
      </c>
      <c r="G894" s="1">
        <v>44488</v>
      </c>
      <c r="H894">
        <v>8557.9461499999998</v>
      </c>
      <c r="I894" s="1">
        <v>44505</v>
      </c>
      <c r="J894">
        <v>9130.6</v>
      </c>
      <c r="K894" s="1">
        <v>44498</v>
      </c>
      <c r="L894">
        <v>26875.96</v>
      </c>
    </row>
    <row r="895" spans="1:12" x14ac:dyDescent="0.35">
      <c r="A895" s="1">
        <v>44510</v>
      </c>
      <c r="B895">
        <v>4348.82</v>
      </c>
      <c r="C895" s="1">
        <v>44508</v>
      </c>
      <c r="D895">
        <v>7047.48</v>
      </c>
      <c r="E895" s="1">
        <v>44502</v>
      </c>
      <c r="F895">
        <v>15954.45</v>
      </c>
      <c r="G895" s="1">
        <v>44487</v>
      </c>
      <c r="H895">
        <v>8512.3212299999996</v>
      </c>
      <c r="I895" s="1">
        <v>44504</v>
      </c>
      <c r="J895">
        <v>9039.4</v>
      </c>
      <c r="K895" s="1">
        <v>44497</v>
      </c>
      <c r="L895">
        <v>26890.35</v>
      </c>
    </row>
    <row r="896" spans="1:12" x14ac:dyDescent="0.35">
      <c r="A896" s="1">
        <v>44509</v>
      </c>
      <c r="B896">
        <v>4344.63</v>
      </c>
      <c r="C896" s="1">
        <v>44505</v>
      </c>
      <c r="D896">
        <v>7040.79</v>
      </c>
      <c r="E896" s="1">
        <v>44501</v>
      </c>
      <c r="F896">
        <v>15806.29</v>
      </c>
      <c r="G896" s="1">
        <v>44484</v>
      </c>
      <c r="H896">
        <v>8583.5088199999991</v>
      </c>
      <c r="I896" s="1">
        <v>44503</v>
      </c>
      <c r="J896">
        <v>9030.7999999999993</v>
      </c>
      <c r="K896" s="1">
        <v>44496</v>
      </c>
      <c r="L896">
        <v>26806.19</v>
      </c>
    </row>
    <row r="897" spans="1:12" x14ac:dyDescent="0.35">
      <c r="A897" s="1">
        <v>44508</v>
      </c>
      <c r="B897">
        <v>4352.53</v>
      </c>
      <c r="C897" s="1">
        <v>44504</v>
      </c>
      <c r="D897">
        <v>6987.79</v>
      </c>
      <c r="E897" s="1">
        <v>44498</v>
      </c>
      <c r="F897">
        <v>15688.77</v>
      </c>
      <c r="G897" s="1">
        <v>44483</v>
      </c>
      <c r="H897">
        <v>8512.0392900000006</v>
      </c>
      <c r="I897" s="1">
        <v>44502</v>
      </c>
      <c r="J897">
        <v>9105.7000000000007</v>
      </c>
      <c r="K897" s="1">
        <v>44495</v>
      </c>
      <c r="L897">
        <v>26970.95</v>
      </c>
    </row>
    <row r="898" spans="1:12" x14ac:dyDescent="0.35">
      <c r="A898" s="1">
        <v>44505</v>
      </c>
      <c r="B898">
        <v>4363.04</v>
      </c>
      <c r="C898" s="1">
        <v>44503</v>
      </c>
      <c r="D898">
        <v>6950.65</v>
      </c>
      <c r="E898" s="1">
        <v>44497</v>
      </c>
      <c r="F898">
        <v>15696.33</v>
      </c>
      <c r="G898" s="1">
        <v>44482</v>
      </c>
      <c r="H898">
        <v>8414.9860499999995</v>
      </c>
      <c r="I898" s="1">
        <v>44501</v>
      </c>
      <c r="J898">
        <v>9182.6</v>
      </c>
      <c r="K898" s="1">
        <v>44494</v>
      </c>
      <c r="L898">
        <v>26815.79</v>
      </c>
    </row>
    <row r="899" spans="1:12" x14ac:dyDescent="0.35">
      <c r="A899" s="1">
        <v>44504</v>
      </c>
      <c r="B899">
        <v>4333.34</v>
      </c>
      <c r="C899" s="1">
        <v>44502</v>
      </c>
      <c r="D899">
        <v>6927.03</v>
      </c>
      <c r="E899" s="1">
        <v>44496</v>
      </c>
      <c r="F899">
        <v>15705.81</v>
      </c>
      <c r="G899" s="1">
        <v>44481</v>
      </c>
      <c r="H899">
        <v>8403.7504300000001</v>
      </c>
      <c r="I899" s="1">
        <v>44498</v>
      </c>
      <c r="J899">
        <v>9057.7000000000007</v>
      </c>
      <c r="K899" s="1">
        <v>44491</v>
      </c>
      <c r="L899">
        <v>26571.73</v>
      </c>
    </row>
    <row r="900" spans="1:12" x14ac:dyDescent="0.35">
      <c r="A900" s="1">
        <v>44503</v>
      </c>
      <c r="B900">
        <v>4309.6099999999997</v>
      </c>
      <c r="C900" s="1">
        <v>44501</v>
      </c>
      <c r="D900">
        <v>6893.29</v>
      </c>
      <c r="E900" s="1">
        <v>44495</v>
      </c>
      <c r="F900">
        <v>15757.06</v>
      </c>
      <c r="G900" s="1">
        <v>44480</v>
      </c>
      <c r="H900">
        <v>8412.0581600000005</v>
      </c>
      <c r="I900" s="1">
        <v>44497</v>
      </c>
      <c r="J900">
        <v>9025.7999999999993</v>
      </c>
      <c r="K900" s="1">
        <v>44490</v>
      </c>
      <c r="L900">
        <v>26525.15</v>
      </c>
    </row>
    <row r="901" spans="1:12" x14ac:dyDescent="0.35">
      <c r="A901" s="1">
        <v>44502</v>
      </c>
      <c r="B901">
        <v>4296.22</v>
      </c>
      <c r="C901" s="1">
        <v>44498</v>
      </c>
      <c r="D901">
        <v>6830.34</v>
      </c>
      <c r="E901" s="1">
        <v>44494</v>
      </c>
      <c r="F901">
        <v>15599.23</v>
      </c>
      <c r="G901" s="1">
        <v>44477</v>
      </c>
      <c r="H901">
        <v>8355.2494200000001</v>
      </c>
      <c r="I901" s="1">
        <v>44496</v>
      </c>
      <c r="J901">
        <v>8972.2999999999993</v>
      </c>
      <c r="K901" s="1">
        <v>44489</v>
      </c>
      <c r="L901">
        <v>26581.77</v>
      </c>
    </row>
    <row r="902" spans="1:12" x14ac:dyDescent="0.35">
      <c r="A902" s="1">
        <v>44501</v>
      </c>
      <c r="B902">
        <v>4280.47</v>
      </c>
      <c r="C902" s="1">
        <v>44497</v>
      </c>
      <c r="D902">
        <v>6804.22</v>
      </c>
      <c r="E902" s="1">
        <v>44491</v>
      </c>
      <c r="F902">
        <v>15542.98</v>
      </c>
      <c r="G902" s="1">
        <v>44476</v>
      </c>
      <c r="H902">
        <v>8343.4632099999999</v>
      </c>
      <c r="I902" s="1">
        <v>44495</v>
      </c>
      <c r="J902">
        <v>9001.6</v>
      </c>
      <c r="K902" s="1">
        <v>44488</v>
      </c>
      <c r="L902">
        <v>26332.99</v>
      </c>
    </row>
    <row r="903" spans="1:12" x14ac:dyDescent="0.35">
      <c r="A903" s="1">
        <v>44498</v>
      </c>
      <c r="B903">
        <v>4250.5600000000004</v>
      </c>
      <c r="C903" s="1">
        <v>44496</v>
      </c>
      <c r="D903">
        <v>6753.52</v>
      </c>
      <c r="E903" s="1">
        <v>44490</v>
      </c>
      <c r="F903">
        <v>15472.56</v>
      </c>
      <c r="G903" s="1">
        <v>44475</v>
      </c>
      <c r="H903">
        <v>8214.6774700000005</v>
      </c>
      <c r="I903" s="1">
        <v>44494</v>
      </c>
      <c r="J903">
        <v>8920.9</v>
      </c>
      <c r="K903" s="1">
        <v>44487</v>
      </c>
      <c r="L903">
        <v>26268.62</v>
      </c>
    </row>
    <row r="904" spans="1:12" x14ac:dyDescent="0.35">
      <c r="A904" s="1">
        <v>44497</v>
      </c>
      <c r="B904">
        <v>4233.87</v>
      </c>
      <c r="C904" s="1">
        <v>44495</v>
      </c>
      <c r="D904">
        <v>6766.51</v>
      </c>
      <c r="E904" s="1">
        <v>44489</v>
      </c>
      <c r="F904">
        <v>15522.92</v>
      </c>
      <c r="G904" s="1">
        <v>44474</v>
      </c>
      <c r="H904">
        <v>8319.3277199999993</v>
      </c>
      <c r="I904" s="1">
        <v>44491</v>
      </c>
      <c r="J904">
        <v>8906.4</v>
      </c>
      <c r="K904" s="1">
        <v>44484</v>
      </c>
      <c r="L904">
        <v>26489.18</v>
      </c>
    </row>
    <row r="905" spans="1:12" x14ac:dyDescent="0.35">
      <c r="A905" s="1">
        <v>44496</v>
      </c>
      <c r="B905">
        <v>4220.88</v>
      </c>
      <c r="C905" s="1">
        <v>44494</v>
      </c>
      <c r="D905">
        <v>6712.87</v>
      </c>
      <c r="E905" s="1">
        <v>44488</v>
      </c>
      <c r="F905">
        <v>15515.83</v>
      </c>
      <c r="G905" s="1">
        <v>44473</v>
      </c>
      <c r="H905">
        <v>8211.1906400000007</v>
      </c>
      <c r="I905" s="1">
        <v>44490</v>
      </c>
      <c r="J905">
        <v>8944.2999999999993</v>
      </c>
      <c r="K905" s="1">
        <v>44483</v>
      </c>
      <c r="L905">
        <v>26277.57</v>
      </c>
    </row>
    <row r="906" spans="1:12" x14ac:dyDescent="0.35">
      <c r="A906" s="1">
        <v>44495</v>
      </c>
      <c r="B906">
        <v>4223.97</v>
      </c>
      <c r="C906" s="1">
        <v>44491</v>
      </c>
      <c r="D906">
        <v>6733.69</v>
      </c>
      <c r="E906" s="1">
        <v>44487</v>
      </c>
      <c r="F906">
        <v>15474.47</v>
      </c>
      <c r="G906" s="1">
        <v>44470</v>
      </c>
      <c r="H906">
        <v>8217.1334200000001</v>
      </c>
      <c r="I906" s="1">
        <v>44489</v>
      </c>
      <c r="J906">
        <v>9017.9</v>
      </c>
      <c r="K906" s="1">
        <v>44482</v>
      </c>
      <c r="L906">
        <v>25958.69</v>
      </c>
    </row>
    <row r="907" spans="1:12" x14ac:dyDescent="0.35">
      <c r="A907" s="1">
        <v>44494</v>
      </c>
      <c r="B907">
        <v>4188.3100000000004</v>
      </c>
      <c r="C907" s="1">
        <v>44490</v>
      </c>
      <c r="D907">
        <v>6686.17</v>
      </c>
      <c r="E907" s="1">
        <v>44484</v>
      </c>
      <c r="F907">
        <v>15587.36</v>
      </c>
      <c r="G907" s="1">
        <v>44469</v>
      </c>
      <c r="H907">
        <v>8243.9114699999991</v>
      </c>
      <c r="I907" s="1">
        <v>44488</v>
      </c>
      <c r="J907">
        <v>8996.2999999999993</v>
      </c>
      <c r="K907" s="1">
        <v>44481</v>
      </c>
      <c r="L907">
        <v>25990.02</v>
      </c>
    </row>
    <row r="908" spans="1:12" x14ac:dyDescent="0.35">
      <c r="A908" s="1">
        <v>44491</v>
      </c>
      <c r="B908">
        <v>4188.8100000000004</v>
      </c>
      <c r="C908" s="1">
        <v>44489</v>
      </c>
      <c r="D908">
        <v>6705.61</v>
      </c>
      <c r="E908" s="1">
        <v>44483</v>
      </c>
      <c r="F908">
        <v>15462.72</v>
      </c>
      <c r="G908" s="1">
        <v>44468</v>
      </c>
      <c r="H908">
        <v>8225.7605399999993</v>
      </c>
      <c r="I908" s="1">
        <v>44487</v>
      </c>
      <c r="J908">
        <v>8936</v>
      </c>
      <c r="K908" s="1">
        <v>44480</v>
      </c>
      <c r="L908">
        <v>25930.46</v>
      </c>
    </row>
    <row r="909" spans="1:12" x14ac:dyDescent="0.35">
      <c r="A909" s="1">
        <v>44490</v>
      </c>
      <c r="B909">
        <v>4155.7299999999996</v>
      </c>
      <c r="C909" s="1">
        <v>44488</v>
      </c>
      <c r="D909">
        <v>6669.85</v>
      </c>
      <c r="E909" s="1">
        <v>44482</v>
      </c>
      <c r="F909">
        <v>15249.38</v>
      </c>
      <c r="G909" s="1">
        <v>44467</v>
      </c>
      <c r="H909">
        <v>8139.8898300000001</v>
      </c>
      <c r="I909" s="1">
        <v>44484</v>
      </c>
      <c r="J909">
        <v>8997</v>
      </c>
      <c r="K909" s="1">
        <v>44477</v>
      </c>
      <c r="L909">
        <v>26051.01</v>
      </c>
    </row>
    <row r="910" spans="1:12" x14ac:dyDescent="0.35">
      <c r="A910" s="1">
        <v>44489</v>
      </c>
      <c r="B910">
        <v>4172.17</v>
      </c>
      <c r="C910" s="1">
        <v>44487</v>
      </c>
      <c r="D910">
        <v>6673.1</v>
      </c>
      <c r="E910" s="1">
        <v>44481</v>
      </c>
      <c r="F910">
        <v>15146.87</v>
      </c>
      <c r="G910" s="1">
        <v>44466</v>
      </c>
      <c r="H910">
        <v>8273.0268699999997</v>
      </c>
      <c r="I910" s="1">
        <v>44483</v>
      </c>
      <c r="J910">
        <v>8925</v>
      </c>
      <c r="K910" s="1">
        <v>44476</v>
      </c>
      <c r="L910">
        <v>25992.29</v>
      </c>
    </row>
    <row r="911" spans="1:12" x14ac:dyDescent="0.35">
      <c r="A911" s="1">
        <v>44488</v>
      </c>
      <c r="B911">
        <v>4166.83</v>
      </c>
      <c r="C911" s="1">
        <v>44484</v>
      </c>
      <c r="D911">
        <v>6727.52</v>
      </c>
      <c r="E911" s="1">
        <v>44480</v>
      </c>
      <c r="F911">
        <v>15199.14</v>
      </c>
      <c r="G911" s="1">
        <v>44463</v>
      </c>
      <c r="H911">
        <v>8233.5478299999995</v>
      </c>
      <c r="I911" s="1">
        <v>44482</v>
      </c>
      <c r="J911">
        <v>8881.4</v>
      </c>
      <c r="K911" s="1">
        <v>44475</v>
      </c>
      <c r="L911">
        <v>25605.73</v>
      </c>
    </row>
    <row r="912" spans="1:12" x14ac:dyDescent="0.35">
      <c r="A912" s="1">
        <v>44487</v>
      </c>
      <c r="B912">
        <v>4151.3999999999996</v>
      </c>
      <c r="C912" s="1">
        <v>44483</v>
      </c>
      <c r="D912">
        <v>6685.21</v>
      </c>
      <c r="E912" s="1">
        <v>44477</v>
      </c>
      <c r="F912">
        <v>15206.13</v>
      </c>
      <c r="G912" s="1">
        <v>44462</v>
      </c>
      <c r="H912">
        <v>8284.3937999999998</v>
      </c>
      <c r="I912" s="1">
        <v>44481</v>
      </c>
      <c r="J912">
        <v>8935.9</v>
      </c>
      <c r="K912" s="1">
        <v>44474</v>
      </c>
      <c r="L912">
        <v>25956.02</v>
      </c>
    </row>
    <row r="913" spans="1:12" x14ac:dyDescent="0.35">
      <c r="A913" s="1">
        <v>44484</v>
      </c>
      <c r="B913">
        <v>4182.91</v>
      </c>
      <c r="C913" s="1">
        <v>44482</v>
      </c>
      <c r="D913">
        <v>6597.38</v>
      </c>
      <c r="E913" s="1">
        <v>44476</v>
      </c>
      <c r="F913">
        <v>15250.86</v>
      </c>
      <c r="G913" s="1">
        <v>44461</v>
      </c>
      <c r="H913">
        <v>8241.0950699999994</v>
      </c>
      <c r="I913" s="1">
        <v>44480</v>
      </c>
      <c r="J913">
        <v>8899</v>
      </c>
      <c r="K913" s="1">
        <v>44473</v>
      </c>
      <c r="L913">
        <v>25460.799999999999</v>
      </c>
    </row>
    <row r="914" spans="1:12" x14ac:dyDescent="0.35">
      <c r="A914" s="1">
        <v>44483</v>
      </c>
      <c r="B914">
        <v>4149.0600000000004</v>
      </c>
      <c r="C914" s="1">
        <v>44481</v>
      </c>
      <c r="D914">
        <v>6548.11</v>
      </c>
      <c r="E914" s="1">
        <v>44475</v>
      </c>
      <c r="F914">
        <v>14973.33</v>
      </c>
      <c r="G914" s="1">
        <v>44460</v>
      </c>
      <c r="H914">
        <v>8132.1750300000003</v>
      </c>
      <c r="I914" s="1">
        <v>44477</v>
      </c>
      <c r="J914">
        <v>8955</v>
      </c>
      <c r="K914" s="1">
        <v>44470</v>
      </c>
      <c r="L914">
        <v>25615.31</v>
      </c>
    </row>
    <row r="915" spans="1:12" x14ac:dyDescent="0.35">
      <c r="A915" s="1">
        <v>44482</v>
      </c>
      <c r="B915">
        <v>4083.28</v>
      </c>
      <c r="C915" s="1">
        <v>44480</v>
      </c>
      <c r="D915">
        <v>6570.54</v>
      </c>
      <c r="E915" s="1">
        <v>44474</v>
      </c>
      <c r="F915">
        <v>15194.49</v>
      </c>
      <c r="G915" s="1">
        <v>44459</v>
      </c>
      <c r="H915">
        <v>8035.9109399999998</v>
      </c>
      <c r="I915" s="1">
        <v>44476</v>
      </c>
      <c r="J915">
        <v>8962.7999999999993</v>
      </c>
      <c r="K915" s="1">
        <v>44469</v>
      </c>
      <c r="L915">
        <v>25683.81</v>
      </c>
    </row>
    <row r="916" spans="1:12" x14ac:dyDescent="0.35">
      <c r="A916" s="1">
        <v>44481</v>
      </c>
      <c r="B916">
        <v>4055.09</v>
      </c>
      <c r="C916" s="1">
        <v>44477</v>
      </c>
      <c r="D916">
        <v>6559.99</v>
      </c>
      <c r="E916" s="1">
        <v>44473</v>
      </c>
      <c r="F916">
        <v>15036.55</v>
      </c>
      <c r="G916" s="1">
        <v>44456</v>
      </c>
      <c r="H916">
        <v>8163.8375500000002</v>
      </c>
      <c r="I916" s="1">
        <v>44475</v>
      </c>
      <c r="J916">
        <v>8775</v>
      </c>
      <c r="K916" s="1">
        <v>44468</v>
      </c>
      <c r="L916">
        <v>25736.85</v>
      </c>
    </row>
    <row r="917" spans="1:12" x14ac:dyDescent="0.35">
      <c r="A917" s="1">
        <v>44480</v>
      </c>
      <c r="B917">
        <v>4072.52</v>
      </c>
      <c r="C917" s="1">
        <v>44476</v>
      </c>
      <c r="D917">
        <v>6600.19</v>
      </c>
      <c r="E917" s="1">
        <v>44470</v>
      </c>
      <c r="F917">
        <v>15156.44</v>
      </c>
      <c r="G917" s="1">
        <v>44455</v>
      </c>
      <c r="H917">
        <v>8236.3738799999992</v>
      </c>
      <c r="I917" s="1">
        <v>44474</v>
      </c>
      <c r="J917">
        <v>8927.4</v>
      </c>
      <c r="K917" s="1">
        <v>44467</v>
      </c>
      <c r="L917">
        <v>25573.25</v>
      </c>
    </row>
    <row r="918" spans="1:12" x14ac:dyDescent="0.35">
      <c r="A918" s="1">
        <v>44477</v>
      </c>
      <c r="B918">
        <v>4073.29</v>
      </c>
      <c r="C918" s="1">
        <v>44475</v>
      </c>
      <c r="D918">
        <v>6493.12</v>
      </c>
      <c r="E918" s="1">
        <v>44469</v>
      </c>
      <c r="F918">
        <v>15260.69</v>
      </c>
      <c r="G918" s="1">
        <v>44454</v>
      </c>
      <c r="H918">
        <v>8218.9941699999999</v>
      </c>
      <c r="I918" s="1">
        <v>44473</v>
      </c>
      <c r="J918">
        <v>8791.7000000000007</v>
      </c>
      <c r="K918" s="1">
        <v>44466</v>
      </c>
      <c r="L918">
        <v>26132.240000000002</v>
      </c>
    </row>
    <row r="919" spans="1:12" x14ac:dyDescent="0.35">
      <c r="A919" s="1">
        <v>44476</v>
      </c>
      <c r="B919">
        <v>4098.34</v>
      </c>
      <c r="C919" s="1">
        <v>44474</v>
      </c>
      <c r="D919">
        <v>6576.28</v>
      </c>
      <c r="E919" s="1">
        <v>44468</v>
      </c>
      <c r="F919">
        <v>15365.27</v>
      </c>
      <c r="G919" s="1">
        <v>44453</v>
      </c>
      <c r="H919">
        <v>8240.1198600000007</v>
      </c>
      <c r="I919" s="1">
        <v>44470</v>
      </c>
      <c r="J919">
        <v>8799.5</v>
      </c>
      <c r="K919" s="1">
        <v>44463</v>
      </c>
      <c r="L919">
        <v>25968.84</v>
      </c>
    </row>
    <row r="920" spans="1:12" x14ac:dyDescent="0.35">
      <c r="A920" s="1">
        <v>44475</v>
      </c>
      <c r="B920">
        <v>4012.65</v>
      </c>
      <c r="C920" s="1">
        <v>44473</v>
      </c>
      <c r="D920">
        <v>6477.66</v>
      </c>
      <c r="E920" s="1">
        <v>44467</v>
      </c>
      <c r="F920">
        <v>15248.56</v>
      </c>
      <c r="G920" s="1">
        <v>44452</v>
      </c>
      <c r="H920">
        <v>8283.1199699999997</v>
      </c>
      <c r="I920" s="1">
        <v>44469</v>
      </c>
      <c r="J920">
        <v>8796.2999999999993</v>
      </c>
      <c r="K920" s="1">
        <v>44462</v>
      </c>
      <c r="L920">
        <v>26081.13</v>
      </c>
    </row>
    <row r="921" spans="1:12" x14ac:dyDescent="0.35">
      <c r="A921" s="1">
        <v>44474</v>
      </c>
      <c r="B921">
        <v>4065.43</v>
      </c>
      <c r="C921" s="1">
        <v>44470</v>
      </c>
      <c r="D921">
        <v>6517.69</v>
      </c>
      <c r="E921" s="1">
        <v>44466</v>
      </c>
      <c r="F921">
        <v>15573.88</v>
      </c>
      <c r="G921" s="1">
        <v>44449</v>
      </c>
      <c r="H921">
        <v>8239.4903799999993</v>
      </c>
      <c r="I921" s="1">
        <v>44468</v>
      </c>
      <c r="J921">
        <v>8879.4</v>
      </c>
      <c r="K921" s="1">
        <v>44461</v>
      </c>
      <c r="L921">
        <v>25717.46</v>
      </c>
    </row>
    <row r="922" spans="1:12" x14ac:dyDescent="0.35">
      <c r="A922" s="1">
        <v>44473</v>
      </c>
      <c r="B922">
        <v>3996.41</v>
      </c>
      <c r="C922" s="1">
        <v>44469</v>
      </c>
      <c r="D922">
        <v>6520.01</v>
      </c>
      <c r="E922" s="1">
        <v>44463</v>
      </c>
      <c r="F922">
        <v>15531.75</v>
      </c>
      <c r="G922" s="1">
        <v>44448</v>
      </c>
      <c r="H922">
        <v>8226.3757600000008</v>
      </c>
      <c r="I922" s="1">
        <v>44467</v>
      </c>
      <c r="J922">
        <v>8769.4</v>
      </c>
      <c r="K922" s="1">
        <v>44460</v>
      </c>
      <c r="L922">
        <v>25353.360000000001</v>
      </c>
    </row>
    <row r="923" spans="1:12" x14ac:dyDescent="0.35">
      <c r="A923" s="1">
        <v>44470</v>
      </c>
      <c r="B923">
        <v>4035.3</v>
      </c>
      <c r="C923" s="1">
        <v>44468</v>
      </c>
      <c r="D923">
        <v>6560.8</v>
      </c>
      <c r="E923" s="1">
        <v>44462</v>
      </c>
      <c r="F923">
        <v>15643.97</v>
      </c>
      <c r="G923" s="1">
        <v>44447</v>
      </c>
      <c r="H923">
        <v>8267.4120999999996</v>
      </c>
      <c r="I923" s="1">
        <v>44466</v>
      </c>
      <c r="J923">
        <v>9002.9</v>
      </c>
      <c r="K923" s="1">
        <v>44459</v>
      </c>
      <c r="L923">
        <v>25048.26</v>
      </c>
    </row>
    <row r="924" spans="1:12" x14ac:dyDescent="0.35">
      <c r="A924" s="1">
        <v>44469</v>
      </c>
      <c r="B924">
        <v>4048.08</v>
      </c>
      <c r="C924" s="1">
        <v>44467</v>
      </c>
      <c r="D924">
        <v>6506.5</v>
      </c>
      <c r="E924" s="1">
        <v>44461</v>
      </c>
      <c r="F924">
        <v>15506.74</v>
      </c>
      <c r="G924" s="1">
        <v>44446</v>
      </c>
      <c r="H924">
        <v>8323.3273399999998</v>
      </c>
      <c r="I924" s="1">
        <v>44463</v>
      </c>
      <c r="J924">
        <v>8873.1</v>
      </c>
      <c r="K924" s="1">
        <v>44456</v>
      </c>
      <c r="L924">
        <v>25709.56</v>
      </c>
    </row>
    <row r="925" spans="1:12" x14ac:dyDescent="0.35">
      <c r="A925" s="1">
        <v>44468</v>
      </c>
      <c r="B925">
        <v>4080.22</v>
      </c>
      <c r="C925" s="1">
        <v>44466</v>
      </c>
      <c r="D925">
        <v>6650.91</v>
      </c>
      <c r="E925" s="1">
        <v>44460</v>
      </c>
      <c r="F925">
        <v>15348.53</v>
      </c>
      <c r="G925" s="1">
        <v>44445</v>
      </c>
      <c r="H925">
        <v>8374.4481300000007</v>
      </c>
      <c r="I925" s="1">
        <v>44462</v>
      </c>
      <c r="J925">
        <v>8876.9</v>
      </c>
      <c r="K925" s="1">
        <v>44455</v>
      </c>
      <c r="L925">
        <v>25963.93</v>
      </c>
    </row>
    <row r="926" spans="1:12" x14ac:dyDescent="0.35">
      <c r="A926" s="1">
        <v>44467</v>
      </c>
      <c r="B926">
        <v>4058.82</v>
      </c>
      <c r="C926" s="1">
        <v>44463</v>
      </c>
      <c r="D926">
        <v>6638.46</v>
      </c>
      <c r="E926" s="1">
        <v>44459</v>
      </c>
      <c r="F926">
        <v>15132.06</v>
      </c>
      <c r="G926" s="1">
        <v>44442</v>
      </c>
      <c r="H926">
        <v>8329.4758500000007</v>
      </c>
      <c r="I926" s="1">
        <v>44461</v>
      </c>
      <c r="J926">
        <v>8808.4</v>
      </c>
      <c r="K926" s="1">
        <v>44454</v>
      </c>
      <c r="L926">
        <v>25762.1</v>
      </c>
    </row>
    <row r="927" spans="1:12" x14ac:dyDescent="0.35">
      <c r="A927" s="1">
        <v>44466</v>
      </c>
      <c r="B927">
        <v>4165.4799999999996</v>
      </c>
      <c r="C927" s="1">
        <v>44462</v>
      </c>
      <c r="D927">
        <v>6701.98</v>
      </c>
      <c r="E927" s="1">
        <v>44456</v>
      </c>
      <c r="F927">
        <v>15490.17</v>
      </c>
      <c r="G927" s="1">
        <v>44441</v>
      </c>
      <c r="H927">
        <v>8351.5436000000009</v>
      </c>
      <c r="I927" s="1">
        <v>44460</v>
      </c>
      <c r="J927">
        <v>8756</v>
      </c>
      <c r="K927" s="1">
        <v>44453</v>
      </c>
      <c r="L927">
        <v>26027.07</v>
      </c>
    </row>
    <row r="928" spans="1:12" x14ac:dyDescent="0.35">
      <c r="A928" s="1">
        <v>44463</v>
      </c>
      <c r="B928">
        <v>4158.51</v>
      </c>
      <c r="C928" s="1">
        <v>44461</v>
      </c>
      <c r="D928">
        <v>6637</v>
      </c>
      <c r="E928" s="1">
        <v>44455</v>
      </c>
      <c r="F928">
        <v>15651.75</v>
      </c>
      <c r="G928" s="1">
        <v>44440</v>
      </c>
      <c r="H928">
        <v>8318.1460599999991</v>
      </c>
      <c r="I928" s="1">
        <v>44459</v>
      </c>
      <c r="J928">
        <v>8655.4</v>
      </c>
      <c r="K928" s="1">
        <v>44452</v>
      </c>
      <c r="L928">
        <v>25925.73</v>
      </c>
    </row>
    <row r="929" spans="1:12" x14ac:dyDescent="0.35">
      <c r="A929" s="1">
        <v>44462</v>
      </c>
      <c r="B929">
        <v>4194.92</v>
      </c>
      <c r="C929" s="1">
        <v>44460</v>
      </c>
      <c r="D929">
        <v>6552.73</v>
      </c>
      <c r="E929" s="1">
        <v>44454</v>
      </c>
      <c r="F929">
        <v>15616</v>
      </c>
      <c r="G929" s="1">
        <v>44439</v>
      </c>
      <c r="H929">
        <v>8292.5480100000004</v>
      </c>
      <c r="I929" s="1">
        <v>44456</v>
      </c>
      <c r="J929">
        <v>8760.9</v>
      </c>
      <c r="K929" s="1">
        <v>44449</v>
      </c>
      <c r="L929">
        <v>25686.47</v>
      </c>
    </row>
    <row r="930" spans="1:12" x14ac:dyDescent="0.35">
      <c r="A930" s="1">
        <v>44461</v>
      </c>
      <c r="B930">
        <v>4150.1899999999996</v>
      </c>
      <c r="C930" s="1">
        <v>44459</v>
      </c>
      <c r="D930">
        <v>6455.81</v>
      </c>
      <c r="E930" s="1">
        <v>44453</v>
      </c>
      <c r="F930">
        <v>15722.99</v>
      </c>
      <c r="G930" s="1">
        <v>44435</v>
      </c>
      <c r="H930">
        <v>8345.5030700000007</v>
      </c>
      <c r="I930" s="1">
        <v>44455</v>
      </c>
      <c r="J930">
        <v>8733.7000000000007</v>
      </c>
      <c r="K930" s="1">
        <v>44448</v>
      </c>
      <c r="L930">
        <v>25909.83</v>
      </c>
    </row>
    <row r="931" spans="1:12" x14ac:dyDescent="0.35">
      <c r="A931" s="1">
        <v>44460</v>
      </c>
      <c r="B931">
        <v>4097.51</v>
      </c>
      <c r="C931" s="1">
        <v>44456</v>
      </c>
      <c r="D931">
        <v>6570.19</v>
      </c>
      <c r="E931" s="1">
        <v>44452</v>
      </c>
      <c r="F931">
        <v>15701.42</v>
      </c>
      <c r="G931" s="1">
        <v>44434</v>
      </c>
      <c r="H931">
        <v>8307.1216700000004</v>
      </c>
      <c r="I931" s="1">
        <v>44454</v>
      </c>
      <c r="J931">
        <v>8635.4</v>
      </c>
      <c r="K931" s="1">
        <v>44447</v>
      </c>
      <c r="L931">
        <v>25876.89</v>
      </c>
    </row>
    <row r="932" spans="1:12" x14ac:dyDescent="0.35">
      <c r="A932" s="1">
        <v>44459</v>
      </c>
      <c r="B932">
        <v>4043.63</v>
      </c>
      <c r="C932" s="1">
        <v>44455</v>
      </c>
      <c r="D932">
        <v>6622.59</v>
      </c>
      <c r="E932" s="1">
        <v>44449</v>
      </c>
      <c r="F932">
        <v>15609.81</v>
      </c>
      <c r="G932" s="1">
        <v>44433</v>
      </c>
      <c r="H932">
        <v>8352.7507299999997</v>
      </c>
      <c r="I932" s="1">
        <v>44453</v>
      </c>
      <c r="J932">
        <v>8780</v>
      </c>
      <c r="K932" s="1">
        <v>44446</v>
      </c>
      <c r="L932">
        <v>26073.73</v>
      </c>
    </row>
    <row r="933" spans="1:12" x14ac:dyDescent="0.35">
      <c r="A933" s="1">
        <v>44456</v>
      </c>
      <c r="B933">
        <v>4130.84</v>
      </c>
      <c r="C933" s="1">
        <v>44454</v>
      </c>
      <c r="D933">
        <v>6583.62</v>
      </c>
      <c r="E933" s="1">
        <v>44448</v>
      </c>
      <c r="F933">
        <v>15623.15</v>
      </c>
      <c r="G933" s="1">
        <v>44432</v>
      </c>
      <c r="H933">
        <v>8323.1148400000002</v>
      </c>
      <c r="I933" s="1">
        <v>44452</v>
      </c>
      <c r="J933">
        <v>8816.1</v>
      </c>
      <c r="K933" s="1">
        <v>44445</v>
      </c>
      <c r="L933">
        <v>26263.43</v>
      </c>
    </row>
    <row r="934" spans="1:12" x14ac:dyDescent="0.35">
      <c r="A934" s="1">
        <v>44455</v>
      </c>
      <c r="B934">
        <v>4169.87</v>
      </c>
      <c r="C934" s="1">
        <v>44453</v>
      </c>
      <c r="D934">
        <v>6652.97</v>
      </c>
      <c r="E934" s="1">
        <v>44447</v>
      </c>
      <c r="F934">
        <v>15610.28</v>
      </c>
      <c r="G934" s="1">
        <v>44431</v>
      </c>
      <c r="H934">
        <v>8309.9048000000003</v>
      </c>
      <c r="I934" s="1">
        <v>44449</v>
      </c>
      <c r="J934">
        <v>8695.2999999999993</v>
      </c>
      <c r="K934" s="1">
        <v>44442</v>
      </c>
      <c r="L934">
        <v>26064.78</v>
      </c>
    </row>
    <row r="935" spans="1:12" x14ac:dyDescent="0.35">
      <c r="A935" s="1">
        <v>44454</v>
      </c>
      <c r="B935">
        <v>4145.9399999999996</v>
      </c>
      <c r="C935" s="1">
        <v>44452</v>
      </c>
      <c r="D935">
        <v>6676.93</v>
      </c>
      <c r="E935" s="1">
        <v>44446</v>
      </c>
      <c r="F935">
        <v>15843.09</v>
      </c>
      <c r="G935" s="1">
        <v>44428</v>
      </c>
      <c r="H935">
        <v>8253.7726399999992</v>
      </c>
      <c r="I935" s="1">
        <v>44448</v>
      </c>
      <c r="J935">
        <v>8800.6</v>
      </c>
      <c r="K935" s="1">
        <v>44441</v>
      </c>
      <c r="L935">
        <v>26233.38</v>
      </c>
    </row>
    <row r="936" spans="1:12" x14ac:dyDescent="0.35">
      <c r="A936" s="1">
        <v>44453</v>
      </c>
      <c r="B936">
        <v>4191.67</v>
      </c>
      <c r="C936" s="1">
        <v>44449</v>
      </c>
      <c r="D936">
        <v>6663.77</v>
      </c>
      <c r="E936" s="1">
        <v>44445</v>
      </c>
      <c r="F936">
        <v>15932.12</v>
      </c>
      <c r="G936" s="1">
        <v>44427</v>
      </c>
      <c r="H936">
        <v>8246.2075999999997</v>
      </c>
      <c r="I936" s="1">
        <v>44447</v>
      </c>
      <c r="J936">
        <v>8838.7000000000007</v>
      </c>
      <c r="K936" s="1">
        <v>44440</v>
      </c>
      <c r="L936">
        <v>26181.66</v>
      </c>
    </row>
    <row r="937" spans="1:12" x14ac:dyDescent="0.35">
      <c r="A937" s="1">
        <v>44452</v>
      </c>
      <c r="B937">
        <v>4189.53</v>
      </c>
      <c r="C937" s="1">
        <v>44448</v>
      </c>
      <c r="D937">
        <v>6684.72</v>
      </c>
      <c r="E937" s="1">
        <v>44442</v>
      </c>
      <c r="F937">
        <v>15781.2</v>
      </c>
      <c r="G937" s="1">
        <v>44426</v>
      </c>
      <c r="H937">
        <v>8425.5902800000003</v>
      </c>
      <c r="I937" s="1">
        <v>44446</v>
      </c>
      <c r="J937">
        <v>8894.5</v>
      </c>
      <c r="K937" s="1">
        <v>44439</v>
      </c>
      <c r="L937">
        <v>26009.29</v>
      </c>
    </row>
    <row r="938" spans="1:12" x14ac:dyDescent="0.35">
      <c r="A938" s="1">
        <v>44449</v>
      </c>
      <c r="B938">
        <v>4170.3500000000004</v>
      </c>
      <c r="C938" s="1">
        <v>44447</v>
      </c>
      <c r="D938">
        <v>6668.89</v>
      </c>
      <c r="E938" s="1">
        <v>44441</v>
      </c>
      <c r="F938">
        <v>15840.59</v>
      </c>
      <c r="G938" s="1">
        <v>44425</v>
      </c>
      <c r="H938">
        <v>8418.7459999999992</v>
      </c>
      <c r="I938" s="1">
        <v>44445</v>
      </c>
      <c r="J938">
        <v>8882.2999999999993</v>
      </c>
      <c r="K938" s="1">
        <v>44438</v>
      </c>
      <c r="L938">
        <v>26024.27</v>
      </c>
    </row>
    <row r="939" spans="1:12" x14ac:dyDescent="0.35">
      <c r="A939" s="1">
        <v>44448</v>
      </c>
      <c r="B939">
        <v>4177.1099999999997</v>
      </c>
      <c r="C939" s="1">
        <v>44446</v>
      </c>
      <c r="D939">
        <v>6726.07</v>
      </c>
      <c r="E939" s="1">
        <v>44440</v>
      </c>
      <c r="F939">
        <v>15824.29</v>
      </c>
      <c r="G939" s="1">
        <v>44424</v>
      </c>
      <c r="H939">
        <v>8412.2299000000003</v>
      </c>
      <c r="I939" s="1">
        <v>44442</v>
      </c>
      <c r="J939">
        <v>8864</v>
      </c>
      <c r="K939" s="1">
        <v>44435</v>
      </c>
      <c r="L939">
        <v>26006.63</v>
      </c>
    </row>
    <row r="940" spans="1:12" x14ac:dyDescent="0.35">
      <c r="A940" s="1">
        <v>44447</v>
      </c>
      <c r="B940">
        <v>4177.1499999999996</v>
      </c>
      <c r="C940" s="1">
        <v>44445</v>
      </c>
      <c r="D940">
        <v>6743.5</v>
      </c>
      <c r="E940" s="1">
        <v>44439</v>
      </c>
      <c r="F940">
        <v>15835.09</v>
      </c>
      <c r="G940" s="1">
        <v>44421</v>
      </c>
      <c r="H940">
        <v>8483.2077599999993</v>
      </c>
      <c r="I940" s="1">
        <v>44441</v>
      </c>
      <c r="J940">
        <v>8981.4</v>
      </c>
      <c r="K940" s="1">
        <v>44434</v>
      </c>
      <c r="L940">
        <v>25861.52</v>
      </c>
    </row>
    <row r="941" spans="1:12" x14ac:dyDescent="0.35">
      <c r="A941" s="1">
        <v>44446</v>
      </c>
      <c r="B941">
        <v>4225.01</v>
      </c>
      <c r="C941" s="1">
        <v>44442</v>
      </c>
      <c r="D941">
        <v>6689.99</v>
      </c>
      <c r="E941" s="1">
        <v>44438</v>
      </c>
      <c r="F941">
        <v>15887.31</v>
      </c>
      <c r="G941" s="1">
        <v>44420</v>
      </c>
      <c r="H941">
        <v>8467.2737199999992</v>
      </c>
      <c r="I941" s="1">
        <v>44440</v>
      </c>
      <c r="J941">
        <v>8991.5</v>
      </c>
      <c r="K941" s="1">
        <v>44433</v>
      </c>
      <c r="L941">
        <v>26060.27</v>
      </c>
    </row>
    <row r="942" spans="1:12" x14ac:dyDescent="0.35">
      <c r="A942" s="1">
        <v>44445</v>
      </c>
      <c r="B942">
        <v>4246.13</v>
      </c>
      <c r="C942" s="1">
        <v>44441</v>
      </c>
      <c r="D942">
        <v>6763.08</v>
      </c>
      <c r="E942" s="1">
        <v>44435</v>
      </c>
      <c r="F942">
        <v>15851.75</v>
      </c>
      <c r="G942" s="1">
        <v>44419</v>
      </c>
      <c r="H942">
        <v>8529.8197999999993</v>
      </c>
      <c r="I942" s="1">
        <v>44439</v>
      </c>
      <c r="J942">
        <v>8846.6</v>
      </c>
      <c r="K942" s="1">
        <v>44432</v>
      </c>
      <c r="L942">
        <v>26027.91</v>
      </c>
    </row>
    <row r="943" spans="1:12" x14ac:dyDescent="0.35">
      <c r="A943" s="1">
        <v>44442</v>
      </c>
      <c r="B943">
        <v>4201.9799999999996</v>
      </c>
      <c r="C943" s="1">
        <v>44440</v>
      </c>
      <c r="D943">
        <v>6758.69</v>
      </c>
      <c r="E943" s="1">
        <v>44434</v>
      </c>
      <c r="F943">
        <v>15793.62</v>
      </c>
      <c r="G943" s="1">
        <v>44418</v>
      </c>
      <c r="H943">
        <v>8454.9902999999995</v>
      </c>
      <c r="I943" s="1">
        <v>44438</v>
      </c>
      <c r="J943">
        <v>8867.9</v>
      </c>
      <c r="K943" s="1">
        <v>44431</v>
      </c>
      <c r="L943">
        <v>26046.03</v>
      </c>
    </row>
    <row r="944" spans="1:12" x14ac:dyDescent="0.35">
      <c r="A944" s="1">
        <v>44441</v>
      </c>
      <c r="B944">
        <v>4232.1000000000004</v>
      </c>
      <c r="C944" s="1">
        <v>44439</v>
      </c>
      <c r="D944">
        <v>6680.18</v>
      </c>
      <c r="E944" s="1">
        <v>44433</v>
      </c>
      <c r="F944">
        <v>15860.66</v>
      </c>
      <c r="G944" s="1">
        <v>44417</v>
      </c>
      <c r="H944">
        <v>8411.5219199999992</v>
      </c>
      <c r="I944" s="1">
        <v>44435</v>
      </c>
      <c r="J944">
        <v>8922.2000000000007</v>
      </c>
      <c r="K944" s="1">
        <v>44428</v>
      </c>
      <c r="L944">
        <v>25918.27</v>
      </c>
    </row>
    <row r="945" spans="1:12" x14ac:dyDescent="0.35">
      <c r="A945" s="1">
        <v>44440</v>
      </c>
      <c r="B945">
        <v>4227.2700000000004</v>
      </c>
      <c r="C945" s="1">
        <v>44438</v>
      </c>
      <c r="D945">
        <v>6687.3</v>
      </c>
      <c r="E945" s="1">
        <v>44432</v>
      </c>
      <c r="F945">
        <v>15905.85</v>
      </c>
      <c r="G945" s="1">
        <v>44414</v>
      </c>
      <c r="H945">
        <v>8401.3971299999994</v>
      </c>
      <c r="I945" s="1">
        <v>44434</v>
      </c>
      <c r="J945">
        <v>8892.7000000000007</v>
      </c>
      <c r="K945" s="1">
        <v>44427</v>
      </c>
      <c r="L945">
        <v>25928.78</v>
      </c>
    </row>
    <row r="946" spans="1:12" x14ac:dyDescent="0.35">
      <c r="A946" s="1">
        <v>44439</v>
      </c>
      <c r="B946">
        <v>4196.41</v>
      </c>
      <c r="C946" s="1">
        <v>44435</v>
      </c>
      <c r="D946">
        <v>6681.92</v>
      </c>
      <c r="E946" s="1">
        <v>44431</v>
      </c>
      <c r="F946">
        <v>15852.79</v>
      </c>
      <c r="G946" s="1">
        <v>44413</v>
      </c>
      <c r="H946">
        <v>8378.6392699999997</v>
      </c>
      <c r="I946" s="1">
        <v>44433</v>
      </c>
      <c r="J946">
        <v>8977.4</v>
      </c>
      <c r="K946" s="1">
        <v>44426</v>
      </c>
      <c r="L946">
        <v>26357.21</v>
      </c>
    </row>
    <row r="947" spans="1:12" x14ac:dyDescent="0.35">
      <c r="A947" s="1">
        <v>44438</v>
      </c>
      <c r="B947">
        <v>4198.8</v>
      </c>
      <c r="C947" s="1">
        <v>44434</v>
      </c>
      <c r="D947">
        <v>6666.03</v>
      </c>
      <c r="E947" s="1">
        <v>44428</v>
      </c>
      <c r="F947">
        <v>15808.04</v>
      </c>
      <c r="G947" s="1">
        <v>44412</v>
      </c>
      <c r="H947">
        <v>8363.52477</v>
      </c>
      <c r="I947" s="1">
        <v>44432</v>
      </c>
      <c r="J947">
        <v>8948.6</v>
      </c>
      <c r="K947" s="1">
        <v>44425</v>
      </c>
      <c r="L947">
        <v>26224.79</v>
      </c>
    </row>
    <row r="948" spans="1:12" x14ac:dyDescent="0.35">
      <c r="A948" s="1">
        <v>44435</v>
      </c>
      <c r="B948">
        <v>4190.9799999999996</v>
      </c>
      <c r="C948" s="1">
        <v>44433</v>
      </c>
      <c r="D948">
        <v>6676.48</v>
      </c>
      <c r="E948" s="1">
        <v>44427</v>
      </c>
      <c r="F948">
        <v>15765.81</v>
      </c>
      <c r="G948" s="1">
        <v>44411</v>
      </c>
      <c r="H948">
        <v>8332.5164499999992</v>
      </c>
      <c r="I948" s="1">
        <v>44431</v>
      </c>
      <c r="J948">
        <v>8968.1</v>
      </c>
      <c r="K948" s="1">
        <v>44424</v>
      </c>
      <c r="L948">
        <v>26448.76</v>
      </c>
    </row>
    <row r="949" spans="1:12" x14ac:dyDescent="0.35">
      <c r="A949" s="1">
        <v>44434</v>
      </c>
      <c r="B949">
        <v>4169.87</v>
      </c>
      <c r="C949" s="1">
        <v>44432</v>
      </c>
      <c r="D949">
        <v>6664.31</v>
      </c>
      <c r="E949" s="1">
        <v>44426</v>
      </c>
      <c r="F949">
        <v>15965.97</v>
      </c>
      <c r="G949" s="1">
        <v>44410</v>
      </c>
      <c r="H949">
        <v>8289.8483099999994</v>
      </c>
      <c r="I949" s="1">
        <v>44428</v>
      </c>
      <c r="J949">
        <v>8915.2999999999993</v>
      </c>
      <c r="K949" s="1">
        <v>44421</v>
      </c>
      <c r="L949">
        <v>26652.560000000001</v>
      </c>
    </row>
    <row r="950" spans="1:12" x14ac:dyDescent="0.35">
      <c r="A950" s="1">
        <v>44433</v>
      </c>
      <c r="B950">
        <v>4181.12</v>
      </c>
      <c r="C950" s="1">
        <v>44431</v>
      </c>
      <c r="D950">
        <v>6683.1</v>
      </c>
      <c r="E950" s="1">
        <v>44425</v>
      </c>
      <c r="F950">
        <v>15921.95</v>
      </c>
      <c r="G950" s="1">
        <v>44407</v>
      </c>
      <c r="H950">
        <v>8242.0050300000003</v>
      </c>
      <c r="I950" s="1">
        <v>44427</v>
      </c>
      <c r="J950">
        <v>8902.2000000000007</v>
      </c>
      <c r="K950" s="1">
        <v>44420</v>
      </c>
      <c r="L950">
        <v>26557.84</v>
      </c>
    </row>
    <row r="951" spans="1:12" x14ac:dyDescent="0.35">
      <c r="A951" s="1">
        <v>44432</v>
      </c>
      <c r="B951">
        <v>4178.08</v>
      </c>
      <c r="C951" s="1">
        <v>44428</v>
      </c>
      <c r="D951">
        <v>6626.11</v>
      </c>
      <c r="E951" s="1">
        <v>44424</v>
      </c>
      <c r="F951">
        <v>15925.73</v>
      </c>
      <c r="G951" s="1">
        <v>44406</v>
      </c>
      <c r="H951">
        <v>8317.2179500000002</v>
      </c>
      <c r="I951" s="1">
        <v>44426</v>
      </c>
      <c r="J951">
        <v>8970.2000000000007</v>
      </c>
      <c r="K951" s="1">
        <v>44419</v>
      </c>
      <c r="L951">
        <v>26457.06</v>
      </c>
    </row>
    <row r="952" spans="1:12" x14ac:dyDescent="0.35">
      <c r="A952" s="1">
        <v>44431</v>
      </c>
      <c r="B952">
        <v>4176.42</v>
      </c>
      <c r="C952" s="1">
        <v>44427</v>
      </c>
      <c r="D952">
        <v>6605.89</v>
      </c>
      <c r="E952" s="1">
        <v>44421</v>
      </c>
      <c r="F952">
        <v>15977.44</v>
      </c>
      <c r="G952" s="1">
        <v>44405</v>
      </c>
      <c r="H952">
        <v>8246.6486800000002</v>
      </c>
      <c r="I952" s="1">
        <v>44425</v>
      </c>
      <c r="J952">
        <v>8865.7000000000007</v>
      </c>
      <c r="K952" s="1">
        <v>44418</v>
      </c>
      <c r="L952">
        <v>26201.21</v>
      </c>
    </row>
    <row r="953" spans="1:12" x14ac:dyDescent="0.35">
      <c r="A953" s="1">
        <v>44428</v>
      </c>
      <c r="B953">
        <v>4147.5</v>
      </c>
      <c r="C953" s="1">
        <v>44426</v>
      </c>
      <c r="D953">
        <v>6770.11</v>
      </c>
      <c r="E953" s="1">
        <v>44420</v>
      </c>
      <c r="F953">
        <v>15937.51</v>
      </c>
      <c r="G953" s="1">
        <v>44404</v>
      </c>
      <c r="H953">
        <v>8207.2128100000009</v>
      </c>
      <c r="I953" s="1">
        <v>44424</v>
      </c>
      <c r="J953">
        <v>8926.6</v>
      </c>
      <c r="K953" s="1">
        <v>44417</v>
      </c>
      <c r="L953">
        <v>26139.43</v>
      </c>
    </row>
    <row r="954" spans="1:12" x14ac:dyDescent="0.35">
      <c r="A954" s="1">
        <v>44427</v>
      </c>
      <c r="B954">
        <v>4124.71</v>
      </c>
      <c r="C954" s="1">
        <v>44425</v>
      </c>
      <c r="D954">
        <v>6819.84</v>
      </c>
      <c r="E954" s="1">
        <v>44419</v>
      </c>
      <c r="F954">
        <v>15826.09</v>
      </c>
      <c r="G954" s="1">
        <v>44403</v>
      </c>
      <c r="H954">
        <v>8224.48747</v>
      </c>
      <c r="I954" s="1">
        <v>44421</v>
      </c>
      <c r="J954">
        <v>8999.7999999999993</v>
      </c>
      <c r="K954" s="1">
        <v>44414</v>
      </c>
      <c r="L954">
        <v>26000.28</v>
      </c>
    </row>
    <row r="955" spans="1:12" x14ac:dyDescent="0.35">
      <c r="A955" s="1">
        <v>44426</v>
      </c>
      <c r="B955">
        <v>4189.42</v>
      </c>
      <c r="C955" s="1">
        <v>44424</v>
      </c>
      <c r="D955">
        <v>6838.77</v>
      </c>
      <c r="E955" s="1">
        <v>44418</v>
      </c>
      <c r="F955">
        <v>15770.71</v>
      </c>
      <c r="G955" s="1">
        <v>44400</v>
      </c>
      <c r="H955">
        <v>8216.5595900000008</v>
      </c>
      <c r="I955" s="1">
        <v>44420</v>
      </c>
      <c r="J955">
        <v>8979.4</v>
      </c>
      <c r="K955" s="1">
        <v>44413</v>
      </c>
      <c r="L955">
        <v>25665.55</v>
      </c>
    </row>
    <row r="956" spans="1:12" x14ac:dyDescent="0.35">
      <c r="A956" s="1">
        <v>44425</v>
      </c>
      <c r="B956">
        <v>4196.3999999999996</v>
      </c>
      <c r="C956" s="1">
        <v>44421</v>
      </c>
      <c r="D956">
        <v>6896.04</v>
      </c>
      <c r="E956" s="1">
        <v>44417</v>
      </c>
      <c r="F956">
        <v>15745.41</v>
      </c>
      <c r="G956" s="1">
        <v>44399</v>
      </c>
      <c r="H956">
        <v>8154.8599700000004</v>
      </c>
      <c r="I956" s="1">
        <v>44419</v>
      </c>
      <c r="J956">
        <v>8975.7999999999993</v>
      </c>
      <c r="K956" s="1">
        <v>44412</v>
      </c>
      <c r="L956">
        <v>25490.22</v>
      </c>
    </row>
    <row r="957" spans="1:12" x14ac:dyDescent="0.35">
      <c r="A957" s="1">
        <v>44424</v>
      </c>
      <c r="B957">
        <v>4202.4399999999996</v>
      </c>
      <c r="C957" s="1">
        <v>44420</v>
      </c>
      <c r="D957">
        <v>6882.47</v>
      </c>
      <c r="E957" s="1">
        <v>44414</v>
      </c>
      <c r="F957">
        <v>15761.45</v>
      </c>
      <c r="G957" s="1">
        <v>44398</v>
      </c>
      <c r="H957">
        <v>8128.7576900000004</v>
      </c>
      <c r="I957" s="1">
        <v>44418</v>
      </c>
      <c r="J957">
        <v>8899</v>
      </c>
      <c r="K957" s="1">
        <v>44411</v>
      </c>
      <c r="L957">
        <v>25356.15</v>
      </c>
    </row>
    <row r="958" spans="1:12" x14ac:dyDescent="0.35">
      <c r="A958" s="1">
        <v>44421</v>
      </c>
      <c r="B958">
        <v>4229.7</v>
      </c>
      <c r="C958" s="1">
        <v>44419</v>
      </c>
      <c r="D958">
        <v>6857.99</v>
      </c>
      <c r="E958" s="1">
        <v>44413</v>
      </c>
      <c r="F958">
        <v>15744.67</v>
      </c>
      <c r="G958" s="1">
        <v>44397</v>
      </c>
      <c r="H958">
        <v>7963.1348200000002</v>
      </c>
      <c r="I958" s="1">
        <v>44417</v>
      </c>
      <c r="J958">
        <v>8865.9</v>
      </c>
      <c r="K958" s="1">
        <v>44410</v>
      </c>
      <c r="L958">
        <v>25351.599999999999</v>
      </c>
    </row>
    <row r="959" spans="1:12" x14ac:dyDescent="0.35">
      <c r="A959" s="1">
        <v>44420</v>
      </c>
      <c r="B959">
        <v>4226.33</v>
      </c>
      <c r="C959" s="1">
        <v>44418</v>
      </c>
      <c r="D959">
        <v>6820.21</v>
      </c>
      <c r="E959" s="1">
        <v>44412</v>
      </c>
      <c r="F959">
        <v>15692.13</v>
      </c>
      <c r="G959" s="1">
        <v>44396</v>
      </c>
      <c r="H959">
        <v>7929.7238200000002</v>
      </c>
      <c r="I959" s="1">
        <v>44414</v>
      </c>
      <c r="J959">
        <v>8879</v>
      </c>
      <c r="K959" s="1">
        <v>44407</v>
      </c>
      <c r="L959">
        <v>25363.02</v>
      </c>
    </row>
    <row r="960" spans="1:12" x14ac:dyDescent="0.35">
      <c r="A960" s="1">
        <v>44419</v>
      </c>
      <c r="B960">
        <v>4206.33</v>
      </c>
      <c r="C960" s="1">
        <v>44417</v>
      </c>
      <c r="D960">
        <v>6813.18</v>
      </c>
      <c r="E960" s="1">
        <v>44411</v>
      </c>
      <c r="F960">
        <v>15555.08</v>
      </c>
      <c r="G960" s="1">
        <v>44393</v>
      </c>
      <c r="H960">
        <v>8175.21497</v>
      </c>
      <c r="I960" s="1">
        <v>44413</v>
      </c>
      <c r="J960">
        <v>8836.5</v>
      </c>
      <c r="K960" s="1">
        <v>44406</v>
      </c>
      <c r="L960">
        <v>25516.46</v>
      </c>
    </row>
    <row r="961" spans="1:12" x14ac:dyDescent="0.35">
      <c r="A961" s="1">
        <v>44418</v>
      </c>
      <c r="B961">
        <v>4187.82</v>
      </c>
      <c r="C961" s="1">
        <v>44414</v>
      </c>
      <c r="D961">
        <v>6816.96</v>
      </c>
      <c r="E961" s="1">
        <v>44410</v>
      </c>
      <c r="F961">
        <v>15568.73</v>
      </c>
      <c r="G961" s="1">
        <v>44392</v>
      </c>
      <c r="H961">
        <v>8213.8599099999992</v>
      </c>
      <c r="I961" s="1">
        <v>44412</v>
      </c>
      <c r="J961">
        <v>8792.9</v>
      </c>
      <c r="K961" s="1">
        <v>44405</v>
      </c>
      <c r="L961">
        <v>25261.67</v>
      </c>
    </row>
    <row r="962" spans="1:12" x14ac:dyDescent="0.35">
      <c r="A962" s="1">
        <v>44417</v>
      </c>
      <c r="B962">
        <v>4177.1499999999996</v>
      </c>
      <c r="C962" s="1">
        <v>44413</v>
      </c>
      <c r="D962">
        <v>6781.19</v>
      </c>
      <c r="E962" s="1">
        <v>44407</v>
      </c>
      <c r="F962">
        <v>15544.39</v>
      </c>
      <c r="G962" s="1">
        <v>44391</v>
      </c>
      <c r="H962">
        <v>8302.3194700000004</v>
      </c>
      <c r="I962" s="1">
        <v>44411</v>
      </c>
      <c r="J962">
        <v>8772.7999999999993</v>
      </c>
      <c r="K962" s="1">
        <v>44404</v>
      </c>
      <c r="L962">
        <v>25086.55</v>
      </c>
    </row>
    <row r="963" spans="1:12" x14ac:dyDescent="0.35">
      <c r="A963" s="1">
        <v>44414</v>
      </c>
      <c r="B963">
        <v>4174.54</v>
      </c>
      <c r="C963" s="1">
        <v>44412</v>
      </c>
      <c r="D963">
        <v>6746.23</v>
      </c>
      <c r="E963" s="1">
        <v>44406</v>
      </c>
      <c r="F963">
        <v>15640.47</v>
      </c>
      <c r="G963" s="1">
        <v>44390</v>
      </c>
      <c r="H963">
        <v>8354.8266899999999</v>
      </c>
      <c r="I963" s="1">
        <v>44410</v>
      </c>
      <c r="J963">
        <v>8758.7000000000007</v>
      </c>
      <c r="K963" s="1">
        <v>44403</v>
      </c>
      <c r="L963">
        <v>25296.400000000001</v>
      </c>
    </row>
    <row r="964" spans="1:12" x14ac:dyDescent="0.35">
      <c r="A964" s="1">
        <v>44413</v>
      </c>
      <c r="B964">
        <v>4161.08</v>
      </c>
      <c r="C964" s="1">
        <v>44411</v>
      </c>
      <c r="D964">
        <v>6723.81</v>
      </c>
      <c r="E964" s="1">
        <v>44405</v>
      </c>
      <c r="F964">
        <v>15570.36</v>
      </c>
      <c r="G964" s="1">
        <v>44389</v>
      </c>
      <c r="H964">
        <v>8341.6326900000004</v>
      </c>
      <c r="I964" s="1">
        <v>44407</v>
      </c>
      <c r="J964">
        <v>8675.7000000000007</v>
      </c>
      <c r="K964" s="1">
        <v>44400</v>
      </c>
      <c r="L964">
        <v>25124.91</v>
      </c>
    </row>
    <row r="965" spans="1:12" x14ac:dyDescent="0.35">
      <c r="A965" s="1">
        <v>44412</v>
      </c>
      <c r="B965">
        <v>4144.8999999999996</v>
      </c>
      <c r="C965" s="1">
        <v>44410</v>
      </c>
      <c r="D965">
        <v>6675.9</v>
      </c>
      <c r="E965" s="1">
        <v>44404</v>
      </c>
      <c r="F965">
        <v>15519.13</v>
      </c>
      <c r="G965" s="1">
        <v>44386</v>
      </c>
      <c r="H965">
        <v>8316.0610899999992</v>
      </c>
      <c r="I965" s="1">
        <v>44406</v>
      </c>
      <c r="J965">
        <v>8786.2999999999993</v>
      </c>
      <c r="K965" s="1">
        <v>44399</v>
      </c>
      <c r="L965">
        <v>24805.21</v>
      </c>
    </row>
    <row r="966" spans="1:12" x14ac:dyDescent="0.35">
      <c r="A966" s="1">
        <v>44411</v>
      </c>
      <c r="B966">
        <v>4117.95</v>
      </c>
      <c r="C966" s="1">
        <v>44407</v>
      </c>
      <c r="D966">
        <v>6612.76</v>
      </c>
      <c r="E966" s="1">
        <v>44403</v>
      </c>
      <c r="F966">
        <v>15618.98</v>
      </c>
      <c r="G966" s="1">
        <v>44385</v>
      </c>
      <c r="H966">
        <v>8175.0342099999998</v>
      </c>
      <c r="I966" s="1">
        <v>44405</v>
      </c>
      <c r="J966">
        <v>8733.7000000000007</v>
      </c>
      <c r="K966" s="1">
        <v>44398</v>
      </c>
      <c r="L966">
        <v>24675.61</v>
      </c>
    </row>
    <row r="967" spans="1:12" x14ac:dyDescent="0.35">
      <c r="A967" s="1">
        <v>44410</v>
      </c>
      <c r="B967">
        <v>4116.62</v>
      </c>
      <c r="C967" s="1">
        <v>44406</v>
      </c>
      <c r="D967">
        <v>6633.77</v>
      </c>
      <c r="E967" s="1">
        <v>44400</v>
      </c>
      <c r="F967">
        <v>15669.29</v>
      </c>
      <c r="G967" s="1">
        <v>44384</v>
      </c>
      <c r="H967">
        <v>8361.2392299999992</v>
      </c>
      <c r="I967" s="1">
        <v>44404</v>
      </c>
      <c r="J967">
        <v>8699.2000000000007</v>
      </c>
      <c r="K967" s="1">
        <v>44397</v>
      </c>
      <c r="L967">
        <v>24107.33</v>
      </c>
    </row>
    <row r="968" spans="1:12" x14ac:dyDescent="0.35">
      <c r="A968" s="1">
        <v>44407</v>
      </c>
      <c r="B968">
        <v>4089.3</v>
      </c>
      <c r="C968" s="1">
        <v>44405</v>
      </c>
      <c r="D968">
        <v>6609.31</v>
      </c>
      <c r="E968" s="1">
        <v>44399</v>
      </c>
      <c r="F968">
        <v>15514.54</v>
      </c>
      <c r="G968" s="1">
        <v>44383</v>
      </c>
      <c r="H968">
        <v>8281.2548000000006</v>
      </c>
      <c r="I968" s="1">
        <v>44403</v>
      </c>
      <c r="J968">
        <v>8775.2000000000007</v>
      </c>
      <c r="K968" s="1">
        <v>44396</v>
      </c>
      <c r="L968">
        <v>23965.919999999998</v>
      </c>
    </row>
    <row r="969" spans="1:12" x14ac:dyDescent="0.35">
      <c r="A969" s="1">
        <v>44406</v>
      </c>
      <c r="B969">
        <v>4116.7700000000004</v>
      </c>
      <c r="C969" s="1">
        <v>44404</v>
      </c>
      <c r="D969">
        <v>6531.92</v>
      </c>
      <c r="E969" s="1">
        <v>44398</v>
      </c>
      <c r="F969">
        <v>15422.5</v>
      </c>
      <c r="G969" s="1">
        <v>44382</v>
      </c>
      <c r="H969">
        <v>8365.70255</v>
      </c>
      <c r="I969" s="1">
        <v>44400</v>
      </c>
      <c r="J969">
        <v>8717.2000000000007</v>
      </c>
      <c r="K969" s="1">
        <v>44393</v>
      </c>
      <c r="L969">
        <v>24792.78</v>
      </c>
    </row>
    <row r="970" spans="1:12" x14ac:dyDescent="0.35">
      <c r="A970" s="1">
        <v>44405</v>
      </c>
      <c r="B970">
        <v>4103.03</v>
      </c>
      <c r="C970" s="1">
        <v>44403</v>
      </c>
      <c r="D970">
        <v>6578.6</v>
      </c>
      <c r="E970" s="1">
        <v>44397</v>
      </c>
      <c r="F970">
        <v>15216.27</v>
      </c>
      <c r="G970" s="1">
        <v>44379</v>
      </c>
      <c r="H970">
        <v>8302.0617299999994</v>
      </c>
      <c r="I970" s="1">
        <v>44399</v>
      </c>
      <c r="J970">
        <v>8621.7999999999993</v>
      </c>
      <c r="K970" s="1">
        <v>44392</v>
      </c>
      <c r="L970">
        <v>24875.5</v>
      </c>
    </row>
    <row r="971" spans="1:12" x14ac:dyDescent="0.35">
      <c r="A971" s="1">
        <v>44404</v>
      </c>
      <c r="B971">
        <v>4064.83</v>
      </c>
      <c r="C971" s="1">
        <v>44400</v>
      </c>
      <c r="D971">
        <v>6568.82</v>
      </c>
      <c r="E971" s="1">
        <v>44396</v>
      </c>
      <c r="F971">
        <v>15133.2</v>
      </c>
      <c r="G971" s="1">
        <v>44378</v>
      </c>
      <c r="H971">
        <v>8277.9097399999991</v>
      </c>
      <c r="I971" s="1">
        <v>44398</v>
      </c>
      <c r="J971">
        <v>8567</v>
      </c>
      <c r="K971" s="1">
        <v>44391</v>
      </c>
      <c r="L971">
        <v>25194.33</v>
      </c>
    </row>
    <row r="972" spans="1:12" x14ac:dyDescent="0.35">
      <c r="A972" s="1">
        <v>44403</v>
      </c>
      <c r="B972">
        <v>4102.59</v>
      </c>
      <c r="C972" s="1">
        <v>44399</v>
      </c>
      <c r="D972">
        <v>6481.59</v>
      </c>
      <c r="E972" s="1">
        <v>44393</v>
      </c>
      <c r="F972">
        <v>15540.31</v>
      </c>
      <c r="G972" s="1">
        <v>44377</v>
      </c>
      <c r="H972">
        <v>8196.2263500000008</v>
      </c>
      <c r="I972" s="1">
        <v>44397</v>
      </c>
      <c r="J972">
        <v>8358</v>
      </c>
      <c r="K972" s="1">
        <v>44390</v>
      </c>
      <c r="L972">
        <v>25156.65</v>
      </c>
    </row>
    <row r="973" spans="1:12" x14ac:dyDescent="0.35">
      <c r="A973" s="1">
        <v>44400</v>
      </c>
      <c r="B973">
        <v>4109.1000000000004</v>
      </c>
      <c r="C973" s="1">
        <v>44398</v>
      </c>
      <c r="D973">
        <v>6464.48</v>
      </c>
      <c r="E973" s="1">
        <v>44392</v>
      </c>
      <c r="F973">
        <v>15629.66</v>
      </c>
      <c r="G973" s="1">
        <v>44376</v>
      </c>
      <c r="H973">
        <v>8246.3668099999995</v>
      </c>
      <c r="I973" s="1">
        <v>44396</v>
      </c>
      <c r="J973">
        <v>8301.7000000000007</v>
      </c>
      <c r="K973" s="1">
        <v>44389</v>
      </c>
      <c r="L973">
        <v>25283.200000000001</v>
      </c>
    </row>
    <row r="974" spans="1:12" x14ac:dyDescent="0.35">
      <c r="A974" s="1">
        <v>44399</v>
      </c>
      <c r="B974">
        <v>4059.05</v>
      </c>
      <c r="C974" s="1">
        <v>44397</v>
      </c>
      <c r="D974">
        <v>6346.85</v>
      </c>
      <c r="E974" s="1">
        <v>44391</v>
      </c>
      <c r="F974">
        <v>15788.98</v>
      </c>
      <c r="G974" s="1">
        <v>44375</v>
      </c>
      <c r="H974">
        <v>8236.86895</v>
      </c>
      <c r="I974" s="1">
        <v>44393</v>
      </c>
      <c r="J974">
        <v>8506.2000000000007</v>
      </c>
      <c r="K974" s="1">
        <v>44386</v>
      </c>
      <c r="L974">
        <v>25051.82</v>
      </c>
    </row>
    <row r="975" spans="1:12" x14ac:dyDescent="0.35">
      <c r="A975" s="1">
        <v>44398</v>
      </c>
      <c r="B975">
        <v>4026.68</v>
      </c>
      <c r="C975" s="1">
        <v>44396</v>
      </c>
      <c r="D975">
        <v>6295.97</v>
      </c>
      <c r="E975" s="1">
        <v>44390</v>
      </c>
      <c r="F975">
        <v>15789.64</v>
      </c>
      <c r="G975" s="1">
        <v>44372</v>
      </c>
      <c r="H975">
        <v>8310.7686300000005</v>
      </c>
      <c r="I975" s="1">
        <v>44392</v>
      </c>
      <c r="J975">
        <v>8527</v>
      </c>
      <c r="K975" s="1">
        <v>44385</v>
      </c>
      <c r="L975">
        <v>24641.47</v>
      </c>
    </row>
    <row r="976" spans="1:12" x14ac:dyDescent="0.35">
      <c r="A976" s="1">
        <v>44397</v>
      </c>
      <c r="B976">
        <v>3956.34</v>
      </c>
      <c r="C976" s="1">
        <v>44393</v>
      </c>
      <c r="D976">
        <v>6460.08</v>
      </c>
      <c r="E976" s="1">
        <v>44389</v>
      </c>
      <c r="F976">
        <v>15790.51</v>
      </c>
      <c r="G976" s="1">
        <v>44371</v>
      </c>
      <c r="H976">
        <v>8295.6604800000005</v>
      </c>
      <c r="I976" s="1">
        <v>44391</v>
      </c>
      <c r="J976">
        <v>8658.2999999999993</v>
      </c>
      <c r="K976" s="1">
        <v>44384</v>
      </c>
      <c r="L976">
        <v>25284.99</v>
      </c>
    </row>
    <row r="977" spans="1:12" x14ac:dyDescent="0.35">
      <c r="A977" s="1">
        <v>44396</v>
      </c>
      <c r="B977">
        <v>3928.53</v>
      </c>
      <c r="C977" s="1">
        <v>44392</v>
      </c>
      <c r="D977">
        <v>6493.36</v>
      </c>
      <c r="E977" s="1">
        <v>44386</v>
      </c>
      <c r="F977">
        <v>15687.93</v>
      </c>
      <c r="G977" s="1">
        <v>44370</v>
      </c>
      <c r="H977">
        <v>8275.3937499999993</v>
      </c>
      <c r="I977" s="1">
        <v>44390</v>
      </c>
      <c r="J977">
        <v>8694.7999999999993</v>
      </c>
      <c r="K977" s="1">
        <v>44383</v>
      </c>
      <c r="L977">
        <v>25227.919999999998</v>
      </c>
    </row>
    <row r="978" spans="1:12" x14ac:dyDescent="0.35">
      <c r="A978" s="1">
        <v>44393</v>
      </c>
      <c r="B978">
        <v>4035.77</v>
      </c>
      <c r="C978" s="1">
        <v>44391</v>
      </c>
      <c r="D978">
        <v>6558.38</v>
      </c>
      <c r="E978" s="1">
        <v>44385</v>
      </c>
      <c r="F978">
        <v>15420.64</v>
      </c>
      <c r="G978" s="1">
        <v>44369</v>
      </c>
      <c r="H978">
        <v>8280.4901000000009</v>
      </c>
      <c r="I978" s="1">
        <v>44389</v>
      </c>
      <c r="J978">
        <v>8816.7000000000007</v>
      </c>
      <c r="K978" s="1">
        <v>44382</v>
      </c>
      <c r="L978">
        <v>25441.34</v>
      </c>
    </row>
    <row r="979" spans="1:12" x14ac:dyDescent="0.35">
      <c r="A979" s="1">
        <v>44392</v>
      </c>
      <c r="B979">
        <v>4056.39</v>
      </c>
      <c r="C979" s="1">
        <v>44390</v>
      </c>
      <c r="D979">
        <v>6558.47</v>
      </c>
      <c r="E979" s="1">
        <v>44384</v>
      </c>
      <c r="F979">
        <v>15692.71</v>
      </c>
      <c r="G979" s="1">
        <v>44368</v>
      </c>
      <c r="H979">
        <v>8252.6701200000007</v>
      </c>
      <c r="I979" s="1">
        <v>44386</v>
      </c>
      <c r="J979">
        <v>8776.6</v>
      </c>
      <c r="K979" s="1">
        <v>44379</v>
      </c>
      <c r="L979">
        <v>25282.41</v>
      </c>
    </row>
    <row r="980" spans="1:12" x14ac:dyDescent="0.35">
      <c r="A980" s="1">
        <v>44391</v>
      </c>
      <c r="B980">
        <v>4099.5</v>
      </c>
      <c r="C980" s="1">
        <v>44389</v>
      </c>
      <c r="D980">
        <v>6559.25</v>
      </c>
      <c r="E980" s="1">
        <v>44383</v>
      </c>
      <c r="F980">
        <v>15511.38</v>
      </c>
      <c r="G980" s="1">
        <v>44365</v>
      </c>
      <c r="H980">
        <v>8165.6758300000001</v>
      </c>
      <c r="I980" s="1">
        <v>44385</v>
      </c>
      <c r="J980">
        <v>8650.1</v>
      </c>
      <c r="K980" s="1">
        <v>44378</v>
      </c>
      <c r="L980">
        <v>25286.06</v>
      </c>
    </row>
    <row r="981" spans="1:12" x14ac:dyDescent="0.35">
      <c r="A981" s="1">
        <v>44390</v>
      </c>
      <c r="B981">
        <v>4094.56</v>
      </c>
      <c r="C981" s="1">
        <v>44386</v>
      </c>
      <c r="D981">
        <v>6529.42</v>
      </c>
      <c r="E981" s="1">
        <v>44382</v>
      </c>
      <c r="F981">
        <v>15661.97</v>
      </c>
      <c r="G981" s="1">
        <v>44364</v>
      </c>
      <c r="H981">
        <v>8356.0913999999993</v>
      </c>
      <c r="I981" s="1">
        <v>44384</v>
      </c>
      <c r="J981">
        <v>8854.5</v>
      </c>
      <c r="K981" s="1">
        <v>44377</v>
      </c>
      <c r="L981">
        <v>25102.04</v>
      </c>
    </row>
    <row r="982" spans="1:12" x14ac:dyDescent="0.35">
      <c r="A982" s="1">
        <v>44389</v>
      </c>
      <c r="B982">
        <v>4093.38</v>
      </c>
      <c r="C982" s="1">
        <v>44385</v>
      </c>
      <c r="D982">
        <v>6396.73</v>
      </c>
      <c r="E982" s="1">
        <v>44379</v>
      </c>
      <c r="F982">
        <v>15650.09</v>
      </c>
      <c r="G982" s="1">
        <v>44363</v>
      </c>
      <c r="H982">
        <v>8361.8872599999995</v>
      </c>
      <c r="I982" s="1">
        <v>44383</v>
      </c>
      <c r="J982">
        <v>8860.7999999999993</v>
      </c>
      <c r="K982" s="1">
        <v>44376</v>
      </c>
      <c r="L982">
        <v>25357.360000000001</v>
      </c>
    </row>
    <row r="983" spans="1:12" x14ac:dyDescent="0.35">
      <c r="A983" s="1">
        <v>44386</v>
      </c>
      <c r="B983">
        <v>4068.09</v>
      </c>
      <c r="C983" s="1">
        <v>44384</v>
      </c>
      <c r="D983">
        <v>6527.72</v>
      </c>
      <c r="E983" s="1">
        <v>44378</v>
      </c>
      <c r="F983">
        <v>15603.81</v>
      </c>
      <c r="G983" s="1">
        <v>44362</v>
      </c>
      <c r="H983">
        <v>8328.4537600000003</v>
      </c>
      <c r="I983" s="1">
        <v>44382</v>
      </c>
      <c r="J983">
        <v>8946.4</v>
      </c>
      <c r="K983" s="1">
        <v>44375</v>
      </c>
      <c r="L983">
        <v>25227.1</v>
      </c>
    </row>
    <row r="984" spans="1:12" x14ac:dyDescent="0.35">
      <c r="A984" s="1">
        <v>44385</v>
      </c>
      <c r="B984">
        <v>3991.66</v>
      </c>
      <c r="C984" s="1">
        <v>44383</v>
      </c>
      <c r="D984">
        <v>6507.48</v>
      </c>
      <c r="E984" s="1">
        <v>44377</v>
      </c>
      <c r="F984">
        <v>15531.04</v>
      </c>
      <c r="G984" s="1">
        <v>44361</v>
      </c>
      <c r="H984">
        <v>8320.4994900000002</v>
      </c>
      <c r="I984" s="1">
        <v>44379</v>
      </c>
      <c r="J984">
        <v>8907.6</v>
      </c>
      <c r="K984" s="1">
        <v>44372</v>
      </c>
      <c r="L984">
        <v>25510.5</v>
      </c>
    </row>
    <row r="985" spans="1:12" x14ac:dyDescent="0.35">
      <c r="A985" s="1">
        <v>44384</v>
      </c>
      <c r="B985">
        <v>4078.53</v>
      </c>
      <c r="C985" s="1">
        <v>44382</v>
      </c>
      <c r="D985">
        <v>6567.54</v>
      </c>
      <c r="E985" s="1">
        <v>44376</v>
      </c>
      <c r="F985">
        <v>15690.59</v>
      </c>
      <c r="G985" s="1">
        <v>44358</v>
      </c>
      <c r="H985">
        <v>8318.2538100000002</v>
      </c>
      <c r="I985" s="1">
        <v>44378</v>
      </c>
      <c r="J985">
        <v>8932.2999999999993</v>
      </c>
      <c r="K985" s="1">
        <v>44371</v>
      </c>
      <c r="L985">
        <v>25422.22</v>
      </c>
    </row>
    <row r="986" spans="1:12" x14ac:dyDescent="0.35">
      <c r="A986" s="1">
        <v>44383</v>
      </c>
      <c r="B986">
        <v>4052.67</v>
      </c>
      <c r="C986" s="1">
        <v>44379</v>
      </c>
      <c r="D986">
        <v>6552.86</v>
      </c>
      <c r="E986" s="1">
        <v>44375</v>
      </c>
      <c r="F986">
        <v>15554.18</v>
      </c>
      <c r="G986" s="1">
        <v>44357</v>
      </c>
      <c r="H986">
        <v>8245.9684600000001</v>
      </c>
      <c r="I986" s="1">
        <v>44377</v>
      </c>
      <c r="J986">
        <v>8821.2000000000007</v>
      </c>
      <c r="K986" s="1">
        <v>44370</v>
      </c>
      <c r="L986">
        <v>25077.14</v>
      </c>
    </row>
    <row r="987" spans="1:12" x14ac:dyDescent="0.35">
      <c r="A987" s="1">
        <v>44382</v>
      </c>
      <c r="B987">
        <v>4087.37</v>
      </c>
      <c r="C987" s="1">
        <v>44378</v>
      </c>
      <c r="D987">
        <v>6553.82</v>
      </c>
      <c r="E987" s="1">
        <v>44372</v>
      </c>
      <c r="F987">
        <v>15607.97</v>
      </c>
      <c r="G987" s="1">
        <v>44356</v>
      </c>
      <c r="H987">
        <v>8208.0630000000001</v>
      </c>
      <c r="I987" s="1">
        <v>44376</v>
      </c>
      <c r="J987">
        <v>8915.1</v>
      </c>
      <c r="K987" s="1">
        <v>44369</v>
      </c>
      <c r="L987">
        <v>25315.57</v>
      </c>
    </row>
    <row r="988" spans="1:12" x14ac:dyDescent="0.35">
      <c r="A988" s="1">
        <v>44379</v>
      </c>
      <c r="B988">
        <v>4084.31</v>
      </c>
      <c r="C988" s="1">
        <v>44377</v>
      </c>
      <c r="D988">
        <v>6507.83</v>
      </c>
      <c r="E988" s="1">
        <v>44371</v>
      </c>
      <c r="F988">
        <v>15589.23</v>
      </c>
      <c r="G988" s="1">
        <v>44355</v>
      </c>
      <c r="H988">
        <v>8242.8422800000008</v>
      </c>
      <c r="I988" s="1">
        <v>44375</v>
      </c>
      <c r="J988">
        <v>8913.7000000000007</v>
      </c>
      <c r="K988" s="1">
        <v>44368</v>
      </c>
      <c r="L988">
        <v>25397.72</v>
      </c>
    </row>
    <row r="989" spans="1:12" x14ac:dyDescent="0.35">
      <c r="A989" s="1">
        <v>44378</v>
      </c>
      <c r="B989">
        <v>4078.89</v>
      </c>
      <c r="C989" s="1">
        <v>44376</v>
      </c>
      <c r="D989">
        <v>6567.43</v>
      </c>
      <c r="E989" s="1">
        <v>44370</v>
      </c>
      <c r="F989">
        <v>15456.39</v>
      </c>
      <c r="G989" s="1">
        <v>44354</v>
      </c>
      <c r="H989">
        <v>8229.1906199999994</v>
      </c>
      <c r="I989" s="1">
        <v>44372</v>
      </c>
      <c r="J989">
        <v>9095</v>
      </c>
      <c r="K989" s="1">
        <v>44365</v>
      </c>
      <c r="L989">
        <v>25218.16</v>
      </c>
    </row>
    <row r="990" spans="1:12" x14ac:dyDescent="0.35">
      <c r="A990" s="1">
        <v>44377</v>
      </c>
      <c r="B990">
        <v>4064.3</v>
      </c>
      <c r="C990" s="1">
        <v>44375</v>
      </c>
      <c r="D990">
        <v>6558.02</v>
      </c>
      <c r="E990" s="1">
        <v>44369</v>
      </c>
      <c r="F990">
        <v>15636.33</v>
      </c>
      <c r="G990" s="1">
        <v>44351</v>
      </c>
      <c r="H990">
        <v>8233.3593099999998</v>
      </c>
      <c r="I990" s="1">
        <v>44371</v>
      </c>
      <c r="J990">
        <v>9074.1</v>
      </c>
      <c r="K990" s="1">
        <v>44364</v>
      </c>
      <c r="L990">
        <v>25713.599999999999</v>
      </c>
    </row>
    <row r="991" spans="1:12" x14ac:dyDescent="0.35">
      <c r="A991" s="1">
        <v>44376</v>
      </c>
      <c r="B991">
        <v>4107.51</v>
      </c>
      <c r="C991" s="1">
        <v>44372</v>
      </c>
      <c r="D991">
        <v>6622.87</v>
      </c>
      <c r="E991" s="1">
        <v>44368</v>
      </c>
      <c r="F991">
        <v>15603.24</v>
      </c>
      <c r="G991" s="1">
        <v>44350</v>
      </c>
      <c r="H991">
        <v>8217.84411</v>
      </c>
      <c r="I991" s="1">
        <v>44370</v>
      </c>
      <c r="J991">
        <v>8954.1</v>
      </c>
      <c r="K991" s="1">
        <v>44363</v>
      </c>
      <c r="L991">
        <v>25767.54</v>
      </c>
    </row>
    <row r="992" spans="1:12" x14ac:dyDescent="0.35">
      <c r="A992" s="1">
        <v>44375</v>
      </c>
      <c r="B992">
        <v>4089.91</v>
      </c>
      <c r="C992" s="1">
        <v>44371</v>
      </c>
      <c r="D992">
        <v>6631.15</v>
      </c>
      <c r="E992" s="1">
        <v>44365</v>
      </c>
      <c r="F992">
        <v>15448.04</v>
      </c>
      <c r="G992" s="1">
        <v>44349</v>
      </c>
      <c r="H992">
        <v>8250.56502</v>
      </c>
      <c r="I992" s="1">
        <v>44369</v>
      </c>
      <c r="J992">
        <v>9053.2999999999993</v>
      </c>
      <c r="K992" s="1">
        <v>44362</v>
      </c>
      <c r="L992">
        <v>25736.75</v>
      </c>
    </row>
    <row r="993" spans="1:12" x14ac:dyDescent="0.35">
      <c r="A993" s="1">
        <v>44372</v>
      </c>
      <c r="B993">
        <v>4120.66</v>
      </c>
      <c r="C993" s="1">
        <v>44370</v>
      </c>
      <c r="D993">
        <v>6551.07</v>
      </c>
      <c r="E993" s="1">
        <v>44364</v>
      </c>
      <c r="F993">
        <v>15727.67</v>
      </c>
      <c r="G993" s="1">
        <v>44348</v>
      </c>
      <c r="H993">
        <v>8196.3863399999991</v>
      </c>
      <c r="I993" s="1">
        <v>44368</v>
      </c>
      <c r="J993">
        <v>9051.7000000000007</v>
      </c>
      <c r="K993" s="1">
        <v>44361</v>
      </c>
      <c r="L993">
        <v>25757.83</v>
      </c>
    </row>
    <row r="994" spans="1:12" x14ac:dyDescent="0.35">
      <c r="A994" s="1">
        <v>44371</v>
      </c>
      <c r="B994">
        <v>4122.43</v>
      </c>
      <c r="C994" s="1">
        <v>44369</v>
      </c>
      <c r="D994">
        <v>6611.5</v>
      </c>
      <c r="E994" s="1">
        <v>44363</v>
      </c>
      <c r="F994">
        <v>15710.57</v>
      </c>
      <c r="G994" s="1">
        <v>44344</v>
      </c>
      <c r="H994">
        <v>8171.4608799999996</v>
      </c>
      <c r="I994" s="1">
        <v>44365</v>
      </c>
      <c r="J994">
        <v>9030.6</v>
      </c>
      <c r="K994" s="1">
        <v>44358</v>
      </c>
      <c r="L994">
        <v>25717.42</v>
      </c>
    </row>
    <row r="995" spans="1:12" x14ac:dyDescent="0.35">
      <c r="A995" s="1">
        <v>44370</v>
      </c>
      <c r="B995">
        <v>4075.94</v>
      </c>
      <c r="C995" s="1">
        <v>44368</v>
      </c>
      <c r="D995">
        <v>6602.54</v>
      </c>
      <c r="E995" s="1">
        <v>44362</v>
      </c>
      <c r="F995">
        <v>15729.52</v>
      </c>
      <c r="G995" s="1">
        <v>44343</v>
      </c>
      <c r="H995">
        <v>8165.8091000000004</v>
      </c>
      <c r="I995" s="1">
        <v>44364</v>
      </c>
      <c r="J995">
        <v>9195.9</v>
      </c>
      <c r="K995" s="1">
        <v>44357</v>
      </c>
      <c r="L995">
        <v>25638.19</v>
      </c>
    </row>
    <row r="996" spans="1:12" x14ac:dyDescent="0.35">
      <c r="A996" s="1">
        <v>44369</v>
      </c>
      <c r="B996">
        <v>4123.13</v>
      </c>
      <c r="C996" s="1">
        <v>44365</v>
      </c>
      <c r="D996">
        <v>6569.16</v>
      </c>
      <c r="E996" s="1">
        <v>44361</v>
      </c>
      <c r="F996">
        <v>15673.64</v>
      </c>
      <c r="G996" s="1">
        <v>44342</v>
      </c>
      <c r="H996">
        <v>8133.95946</v>
      </c>
      <c r="I996" s="1">
        <v>44363</v>
      </c>
      <c r="J996">
        <v>9202.2000000000007</v>
      </c>
      <c r="K996" s="1">
        <v>44356</v>
      </c>
      <c r="L996">
        <v>25741.75</v>
      </c>
    </row>
    <row r="997" spans="1:12" x14ac:dyDescent="0.35">
      <c r="A997" s="1">
        <v>44368</v>
      </c>
      <c r="B997">
        <v>4112.33</v>
      </c>
      <c r="C997" s="1">
        <v>44364</v>
      </c>
      <c r="D997">
        <v>6666.26</v>
      </c>
      <c r="E997" s="1">
        <v>44358</v>
      </c>
      <c r="F997">
        <v>15693.27</v>
      </c>
      <c r="G997" s="1">
        <v>44341</v>
      </c>
      <c r="H997">
        <v>8121.5898999999999</v>
      </c>
      <c r="I997" s="1">
        <v>44362</v>
      </c>
      <c r="J997">
        <v>9230.7000000000007</v>
      </c>
      <c r="K997" s="1">
        <v>44355</v>
      </c>
      <c r="L997">
        <v>25809.16</v>
      </c>
    </row>
    <row r="998" spans="1:12" x14ac:dyDescent="0.35">
      <c r="A998" s="1">
        <v>44365</v>
      </c>
      <c r="B998">
        <v>4083.37</v>
      </c>
      <c r="C998" s="1">
        <v>44363</v>
      </c>
      <c r="D998">
        <v>6652.65</v>
      </c>
      <c r="E998" s="1">
        <v>44357</v>
      </c>
      <c r="F998">
        <v>15571.22</v>
      </c>
      <c r="G998" s="1">
        <v>44340</v>
      </c>
      <c r="H998">
        <v>8172.6860100000004</v>
      </c>
      <c r="I998" s="1">
        <v>44361</v>
      </c>
      <c r="J998">
        <v>9281.1</v>
      </c>
      <c r="K998" s="1">
        <v>44354</v>
      </c>
      <c r="L998">
        <v>25824.71</v>
      </c>
    </row>
    <row r="999" spans="1:12" x14ac:dyDescent="0.35">
      <c r="A999" s="1">
        <v>44364</v>
      </c>
      <c r="B999">
        <v>4158.1400000000003</v>
      </c>
      <c r="C999" s="1">
        <v>44362</v>
      </c>
      <c r="D999">
        <v>6639.52</v>
      </c>
      <c r="E999" s="1">
        <v>44356</v>
      </c>
      <c r="F999">
        <v>15581.14</v>
      </c>
      <c r="G999" s="1">
        <v>44337</v>
      </c>
      <c r="H999">
        <v>8161.5698199999997</v>
      </c>
      <c r="I999" s="1">
        <v>44358</v>
      </c>
      <c r="J999">
        <v>9205</v>
      </c>
      <c r="K999" s="1">
        <v>44351</v>
      </c>
      <c r="L999">
        <v>25570.46</v>
      </c>
    </row>
    <row r="1000" spans="1:12" x14ac:dyDescent="0.35">
      <c r="A1000" s="1">
        <v>44363</v>
      </c>
      <c r="B1000">
        <v>4151.76</v>
      </c>
      <c r="C1000" s="1">
        <v>44361</v>
      </c>
      <c r="D1000">
        <v>6616.35</v>
      </c>
      <c r="E1000" s="1">
        <v>44355</v>
      </c>
      <c r="F1000">
        <v>15640.6</v>
      </c>
      <c r="G1000" s="1">
        <v>44336</v>
      </c>
      <c r="H1000">
        <v>8147.0471600000001</v>
      </c>
      <c r="I1000" s="1">
        <v>44357</v>
      </c>
      <c r="J1000">
        <v>9133.7999999999993</v>
      </c>
      <c r="K1000" s="1">
        <v>44350</v>
      </c>
      <c r="L1000">
        <v>25452.33</v>
      </c>
    </row>
    <row r="1001" spans="1:12" x14ac:dyDescent="0.35">
      <c r="A1001" s="1">
        <v>44362</v>
      </c>
      <c r="B1001">
        <v>4143.5200000000004</v>
      </c>
      <c r="C1001" s="1">
        <v>44358</v>
      </c>
      <c r="D1001">
        <v>6600.66</v>
      </c>
      <c r="E1001" s="1">
        <v>44354</v>
      </c>
      <c r="F1001">
        <v>15677.15</v>
      </c>
      <c r="G1001" s="1">
        <v>44335</v>
      </c>
      <c r="H1001">
        <v>8058.3843699999998</v>
      </c>
      <c r="I1001" s="1">
        <v>44356</v>
      </c>
      <c r="J1001">
        <v>9156.1</v>
      </c>
      <c r="K1001" s="1">
        <v>44349</v>
      </c>
      <c r="L1001">
        <v>25379.69</v>
      </c>
    </row>
    <row r="1002" spans="1:12" x14ac:dyDescent="0.35">
      <c r="A1002" s="1">
        <v>44361</v>
      </c>
      <c r="B1002">
        <v>4132.67</v>
      </c>
      <c r="C1002" s="1">
        <v>44357</v>
      </c>
      <c r="D1002">
        <v>6546.49</v>
      </c>
      <c r="E1002" s="1">
        <v>44351</v>
      </c>
      <c r="F1002">
        <v>15692.9</v>
      </c>
      <c r="G1002" s="1">
        <v>44334</v>
      </c>
      <c r="H1002">
        <v>8171.9708899999996</v>
      </c>
      <c r="I1002" s="1">
        <v>44355</v>
      </c>
      <c r="J1002">
        <v>9153.6</v>
      </c>
      <c r="K1002" s="1">
        <v>44348</v>
      </c>
      <c r="L1002">
        <v>25321.82</v>
      </c>
    </row>
    <row r="1003" spans="1:12" x14ac:dyDescent="0.35">
      <c r="A1003" s="1">
        <v>44358</v>
      </c>
      <c r="B1003">
        <v>4126.7</v>
      </c>
      <c r="C1003" s="1">
        <v>44356</v>
      </c>
      <c r="D1003">
        <v>6563.45</v>
      </c>
      <c r="E1003" s="1">
        <v>44350</v>
      </c>
      <c r="F1003">
        <v>15632.67</v>
      </c>
      <c r="G1003" s="1">
        <v>44333</v>
      </c>
      <c r="H1003">
        <v>8180.1140299999997</v>
      </c>
      <c r="I1003" s="1">
        <v>44354</v>
      </c>
      <c r="J1003">
        <v>9163.6</v>
      </c>
      <c r="K1003" s="1">
        <v>44347</v>
      </c>
      <c r="L1003">
        <v>25170.55</v>
      </c>
    </row>
    <row r="1004" spans="1:12" x14ac:dyDescent="0.35">
      <c r="A1004" s="1">
        <v>44357</v>
      </c>
      <c r="B1004">
        <v>4096.07</v>
      </c>
      <c r="C1004" s="1">
        <v>44355</v>
      </c>
      <c r="D1004">
        <v>6551.01</v>
      </c>
      <c r="E1004" s="1">
        <v>44349</v>
      </c>
      <c r="F1004">
        <v>15602.71</v>
      </c>
      <c r="G1004" s="1">
        <v>44330</v>
      </c>
      <c r="H1004">
        <v>8181.0801799999999</v>
      </c>
      <c r="I1004" s="1">
        <v>44351</v>
      </c>
      <c r="J1004">
        <v>9088.2999999999993</v>
      </c>
      <c r="K1004" s="1">
        <v>44344</v>
      </c>
      <c r="L1004">
        <v>25169.39</v>
      </c>
    </row>
    <row r="1005" spans="1:12" x14ac:dyDescent="0.35">
      <c r="A1005" s="1">
        <v>44356</v>
      </c>
      <c r="B1005">
        <v>4096.8500000000004</v>
      </c>
      <c r="C1005" s="1">
        <v>44354</v>
      </c>
      <c r="D1005">
        <v>6543.56</v>
      </c>
      <c r="E1005" s="1">
        <v>44348</v>
      </c>
      <c r="F1005">
        <v>15567.36</v>
      </c>
      <c r="G1005" s="1">
        <v>44329</v>
      </c>
      <c r="H1005">
        <v>8091.4125199999999</v>
      </c>
      <c r="I1005" s="1">
        <v>44350</v>
      </c>
      <c r="J1005">
        <v>9142.4</v>
      </c>
      <c r="K1005" s="1">
        <v>44343</v>
      </c>
      <c r="L1005">
        <v>25056.19</v>
      </c>
    </row>
    <row r="1006" spans="1:12" x14ac:dyDescent="0.35">
      <c r="A1006" s="1">
        <v>44355</v>
      </c>
      <c r="B1006">
        <v>4096.01</v>
      </c>
      <c r="C1006" s="1">
        <v>44351</v>
      </c>
      <c r="D1006">
        <v>6515.66</v>
      </c>
      <c r="E1006" s="1">
        <v>44347</v>
      </c>
      <c r="F1006">
        <v>15421.13</v>
      </c>
      <c r="G1006" s="1">
        <v>44328</v>
      </c>
      <c r="H1006">
        <v>8161.0383300000003</v>
      </c>
      <c r="I1006" s="1">
        <v>44349</v>
      </c>
      <c r="J1006">
        <v>9180.7000000000007</v>
      </c>
      <c r="K1006" s="1">
        <v>44342</v>
      </c>
      <c r="L1006">
        <v>24778.04</v>
      </c>
    </row>
    <row r="1007" spans="1:12" x14ac:dyDescent="0.35">
      <c r="A1007" s="1">
        <v>44354</v>
      </c>
      <c r="B1007">
        <v>4097.6499999999996</v>
      </c>
      <c r="C1007" s="1">
        <v>44350</v>
      </c>
      <c r="D1007">
        <v>6507.92</v>
      </c>
      <c r="E1007" s="1">
        <v>44344</v>
      </c>
      <c r="F1007">
        <v>15519.98</v>
      </c>
      <c r="G1007" s="1">
        <v>44327</v>
      </c>
      <c r="H1007">
        <v>8090.9469200000003</v>
      </c>
      <c r="I1007" s="1">
        <v>44348</v>
      </c>
      <c r="J1007">
        <v>9189.7000000000007</v>
      </c>
      <c r="K1007" s="1">
        <v>44341</v>
      </c>
      <c r="L1007">
        <v>24892.9</v>
      </c>
    </row>
    <row r="1008" spans="1:12" x14ac:dyDescent="0.35">
      <c r="A1008" s="1">
        <v>44351</v>
      </c>
      <c r="B1008">
        <v>4089.38</v>
      </c>
      <c r="C1008" s="1">
        <v>44349</v>
      </c>
      <c r="D1008">
        <v>6521.52</v>
      </c>
      <c r="E1008" s="1">
        <v>44343</v>
      </c>
      <c r="F1008">
        <v>15406.73</v>
      </c>
      <c r="G1008" s="1">
        <v>44326</v>
      </c>
      <c r="H1008">
        <v>8285.4743400000007</v>
      </c>
      <c r="I1008" s="1">
        <v>44347</v>
      </c>
      <c r="J1008">
        <v>9148.9</v>
      </c>
      <c r="K1008" s="1">
        <v>44340</v>
      </c>
      <c r="L1008">
        <v>24891.24</v>
      </c>
    </row>
    <row r="1009" spans="1:12" x14ac:dyDescent="0.35">
      <c r="A1009" s="1">
        <v>44350</v>
      </c>
      <c r="B1009">
        <v>4079.24</v>
      </c>
      <c r="C1009" s="1">
        <v>44348</v>
      </c>
      <c r="D1009">
        <v>6489.4</v>
      </c>
      <c r="E1009" s="1">
        <v>44342</v>
      </c>
      <c r="F1009">
        <v>15450.72</v>
      </c>
      <c r="G1009" s="1">
        <v>44323</v>
      </c>
      <c r="H1009">
        <v>8204.0659400000004</v>
      </c>
      <c r="I1009" s="1">
        <v>44344</v>
      </c>
      <c r="J1009">
        <v>9224.6</v>
      </c>
      <c r="K1009" s="1">
        <v>44337</v>
      </c>
      <c r="L1009">
        <v>24975</v>
      </c>
    </row>
    <row r="1010" spans="1:12" x14ac:dyDescent="0.35">
      <c r="A1010" s="1">
        <v>44349</v>
      </c>
      <c r="B1010">
        <v>4088.5</v>
      </c>
      <c r="C1010" s="1">
        <v>44347</v>
      </c>
      <c r="D1010">
        <v>6447.17</v>
      </c>
      <c r="E1010" s="1">
        <v>44341</v>
      </c>
      <c r="F1010">
        <v>15465.09</v>
      </c>
      <c r="G1010" s="1">
        <v>44322</v>
      </c>
      <c r="H1010">
        <v>8154.9188999999997</v>
      </c>
      <c r="I1010" s="1">
        <v>44343</v>
      </c>
      <c r="J1010">
        <v>9186.1</v>
      </c>
      <c r="K1010" s="1">
        <v>44336</v>
      </c>
      <c r="L1010">
        <v>24702.11</v>
      </c>
    </row>
    <row r="1011" spans="1:12" x14ac:dyDescent="0.35">
      <c r="A1011" s="1">
        <v>44348</v>
      </c>
      <c r="B1011">
        <v>4071.75</v>
      </c>
      <c r="C1011" s="1">
        <v>44344</v>
      </c>
      <c r="D1011">
        <v>6484.11</v>
      </c>
      <c r="E1011" s="1">
        <v>44337</v>
      </c>
      <c r="F1011">
        <v>15437.51</v>
      </c>
      <c r="G1011" s="1">
        <v>44321</v>
      </c>
      <c r="H1011">
        <v>8159.1085999999996</v>
      </c>
      <c r="I1011" s="1">
        <v>44342</v>
      </c>
      <c r="J1011">
        <v>9196.9</v>
      </c>
      <c r="K1011" s="1">
        <v>44335</v>
      </c>
      <c r="L1011">
        <v>24486.69</v>
      </c>
    </row>
    <row r="1012" spans="1:12" x14ac:dyDescent="0.35">
      <c r="A1012" s="1">
        <v>44347</v>
      </c>
      <c r="B1012">
        <v>4039.46</v>
      </c>
      <c r="C1012" s="1">
        <v>44343</v>
      </c>
      <c r="D1012">
        <v>6435.71</v>
      </c>
      <c r="E1012" s="1">
        <v>44336</v>
      </c>
      <c r="F1012">
        <v>15370.26</v>
      </c>
      <c r="G1012" s="1">
        <v>44320</v>
      </c>
      <c r="H1012">
        <v>8000.4147899999998</v>
      </c>
      <c r="I1012" s="1">
        <v>44341</v>
      </c>
      <c r="J1012">
        <v>9208.7000000000007</v>
      </c>
      <c r="K1012" s="1">
        <v>44334</v>
      </c>
      <c r="L1012">
        <v>24880.45</v>
      </c>
    </row>
    <row r="1013" spans="1:12" x14ac:dyDescent="0.35">
      <c r="A1013" s="1">
        <v>44344</v>
      </c>
      <c r="B1013">
        <v>4070.56</v>
      </c>
      <c r="C1013" s="1">
        <v>44342</v>
      </c>
      <c r="D1013">
        <v>6391.6</v>
      </c>
      <c r="E1013" s="1">
        <v>44335</v>
      </c>
      <c r="F1013">
        <v>15113.56</v>
      </c>
      <c r="G1013" s="1">
        <v>44316</v>
      </c>
      <c r="H1013">
        <v>8014.6730100000004</v>
      </c>
      <c r="I1013" s="1">
        <v>44340</v>
      </c>
      <c r="J1013">
        <v>9205.5</v>
      </c>
      <c r="K1013" s="1">
        <v>44333</v>
      </c>
      <c r="L1013">
        <v>24862.68</v>
      </c>
    </row>
    <row r="1014" spans="1:12" x14ac:dyDescent="0.35">
      <c r="A1014" s="1">
        <v>44343</v>
      </c>
      <c r="B1014">
        <v>4039.21</v>
      </c>
      <c r="C1014" s="1">
        <v>44341</v>
      </c>
      <c r="D1014">
        <v>6390.27</v>
      </c>
      <c r="E1014" s="1">
        <v>44334</v>
      </c>
      <c r="F1014">
        <v>15386.58</v>
      </c>
      <c r="G1014" s="1">
        <v>44315</v>
      </c>
      <c r="H1014">
        <v>8009.3211899999997</v>
      </c>
      <c r="I1014" s="1">
        <v>44337</v>
      </c>
      <c r="J1014">
        <v>9204</v>
      </c>
      <c r="K1014" s="1">
        <v>44330</v>
      </c>
      <c r="L1014">
        <v>24766.09</v>
      </c>
    </row>
    <row r="1015" spans="1:12" x14ac:dyDescent="0.35">
      <c r="A1015" s="1">
        <v>44342</v>
      </c>
      <c r="B1015">
        <v>4031.67</v>
      </c>
      <c r="C1015" s="1">
        <v>44340</v>
      </c>
      <c r="D1015">
        <v>6408.49</v>
      </c>
      <c r="E1015" s="1">
        <v>44333</v>
      </c>
      <c r="F1015">
        <v>15396.62</v>
      </c>
      <c r="G1015" s="1">
        <v>44314</v>
      </c>
      <c r="H1015">
        <v>8014.8443399999996</v>
      </c>
      <c r="I1015" s="1">
        <v>44336</v>
      </c>
      <c r="J1015">
        <v>9124.2999999999993</v>
      </c>
      <c r="K1015" s="1">
        <v>44329</v>
      </c>
      <c r="L1015">
        <v>24486.01</v>
      </c>
    </row>
    <row r="1016" spans="1:12" x14ac:dyDescent="0.35">
      <c r="A1016" s="1">
        <v>44341</v>
      </c>
      <c r="B1016">
        <v>4036.04</v>
      </c>
      <c r="C1016" s="1">
        <v>44337</v>
      </c>
      <c r="D1016">
        <v>6386.41</v>
      </c>
      <c r="E1016" s="1">
        <v>44330</v>
      </c>
      <c r="F1016">
        <v>15416.64</v>
      </c>
      <c r="G1016" s="1">
        <v>44313</v>
      </c>
      <c r="H1016">
        <v>8000.7251100000003</v>
      </c>
      <c r="I1016" s="1">
        <v>44335</v>
      </c>
      <c r="J1016">
        <v>9070.7000000000007</v>
      </c>
      <c r="K1016" s="1">
        <v>44328</v>
      </c>
      <c r="L1016">
        <v>24452.93</v>
      </c>
    </row>
    <row r="1017" spans="1:12" x14ac:dyDescent="0.35">
      <c r="A1017" s="1">
        <v>44340</v>
      </c>
      <c r="B1017">
        <v>4035.58</v>
      </c>
      <c r="C1017" s="1">
        <v>44336</v>
      </c>
      <c r="D1017">
        <v>6343.58</v>
      </c>
      <c r="E1017" s="1">
        <v>44329</v>
      </c>
      <c r="F1017">
        <v>15199.68</v>
      </c>
      <c r="G1017" s="1">
        <v>44312</v>
      </c>
      <c r="H1017">
        <v>7998.74658</v>
      </c>
      <c r="I1017" s="1">
        <v>44334</v>
      </c>
      <c r="J1017">
        <v>9183.9</v>
      </c>
      <c r="K1017" s="1">
        <v>44327</v>
      </c>
      <c r="L1017">
        <v>24396.01</v>
      </c>
    </row>
    <row r="1018" spans="1:12" x14ac:dyDescent="0.35">
      <c r="A1018" s="1">
        <v>44337</v>
      </c>
      <c r="B1018">
        <v>4025.78</v>
      </c>
      <c r="C1018" s="1">
        <v>44335</v>
      </c>
      <c r="D1018">
        <v>6262.55</v>
      </c>
      <c r="E1018" s="1">
        <v>44328</v>
      </c>
      <c r="F1018">
        <v>15150.22</v>
      </c>
      <c r="G1018" s="1">
        <v>44309</v>
      </c>
      <c r="H1018">
        <v>7960.6431499999999</v>
      </c>
      <c r="I1018" s="1">
        <v>44333</v>
      </c>
      <c r="J1018">
        <v>9155.6</v>
      </c>
      <c r="K1018" s="1">
        <v>44326</v>
      </c>
      <c r="L1018">
        <v>24802.9</v>
      </c>
    </row>
    <row r="1019" spans="1:12" x14ac:dyDescent="0.35">
      <c r="A1019" s="1">
        <v>44336</v>
      </c>
      <c r="B1019">
        <v>3999.91</v>
      </c>
      <c r="C1019" s="1">
        <v>44334</v>
      </c>
      <c r="D1019">
        <v>6353.67</v>
      </c>
      <c r="E1019" s="1">
        <v>44327</v>
      </c>
      <c r="F1019">
        <v>15119.75</v>
      </c>
      <c r="G1019" s="1">
        <v>44308</v>
      </c>
      <c r="H1019">
        <v>7997.8396499999999</v>
      </c>
      <c r="I1019" s="1">
        <v>44330</v>
      </c>
      <c r="J1019">
        <v>9145.6</v>
      </c>
      <c r="K1019" s="1">
        <v>44323</v>
      </c>
      <c r="L1019">
        <v>24612.04</v>
      </c>
    </row>
    <row r="1020" spans="1:12" x14ac:dyDescent="0.35">
      <c r="A1020" s="1">
        <v>44335</v>
      </c>
      <c r="B1020">
        <v>3936.74</v>
      </c>
      <c r="C1020" s="1">
        <v>44333</v>
      </c>
      <c r="D1020">
        <v>6367.35</v>
      </c>
      <c r="E1020" s="1">
        <v>44326</v>
      </c>
      <c r="F1020">
        <v>15400.41</v>
      </c>
      <c r="G1020" s="1">
        <v>44307</v>
      </c>
      <c r="H1020">
        <v>7985.6492900000003</v>
      </c>
      <c r="I1020" s="1">
        <v>44329</v>
      </c>
      <c r="J1020">
        <v>8966.2000000000007</v>
      </c>
      <c r="K1020" s="1">
        <v>44322</v>
      </c>
      <c r="L1020">
        <v>24495.07</v>
      </c>
    </row>
    <row r="1021" spans="1:12" x14ac:dyDescent="0.35">
      <c r="A1021" s="1">
        <v>44334</v>
      </c>
      <c r="B1021">
        <v>4005.34</v>
      </c>
      <c r="C1021" s="1">
        <v>44330</v>
      </c>
      <c r="D1021">
        <v>6385.14</v>
      </c>
      <c r="E1021" s="1">
        <v>44323</v>
      </c>
      <c r="F1021">
        <v>15399.65</v>
      </c>
      <c r="G1021" s="1">
        <v>44306</v>
      </c>
      <c r="H1021">
        <v>7949.0097900000001</v>
      </c>
      <c r="I1021" s="1">
        <v>44328</v>
      </c>
      <c r="J1021">
        <v>9007.7000000000007</v>
      </c>
      <c r="K1021" s="1">
        <v>44321</v>
      </c>
      <c r="L1021">
        <v>24463.89</v>
      </c>
    </row>
    <row r="1022" spans="1:12" x14ac:dyDescent="0.35">
      <c r="A1022" s="1">
        <v>44333</v>
      </c>
      <c r="B1022">
        <v>4006.84</v>
      </c>
      <c r="C1022" s="1">
        <v>44329</v>
      </c>
      <c r="D1022">
        <v>6288.33</v>
      </c>
      <c r="E1022" s="1">
        <v>44322</v>
      </c>
      <c r="F1022">
        <v>15196.74</v>
      </c>
      <c r="G1022" s="1">
        <v>44305</v>
      </c>
      <c r="H1022">
        <v>8132.83925</v>
      </c>
      <c r="I1022" s="1">
        <v>44327</v>
      </c>
      <c r="J1022">
        <v>8987.2000000000007</v>
      </c>
      <c r="K1022" s="1">
        <v>44320</v>
      </c>
      <c r="L1022">
        <v>23977.53</v>
      </c>
    </row>
    <row r="1023" spans="1:12" x14ac:dyDescent="0.35">
      <c r="A1023" s="1">
        <v>44330</v>
      </c>
      <c r="B1023">
        <v>4017.44</v>
      </c>
      <c r="C1023" s="1">
        <v>44328</v>
      </c>
      <c r="D1023">
        <v>6279.35</v>
      </c>
      <c r="E1023" s="1">
        <v>44321</v>
      </c>
      <c r="F1023">
        <v>15170.78</v>
      </c>
      <c r="G1023" s="1">
        <v>44302</v>
      </c>
      <c r="H1023">
        <v>8100.4942600000004</v>
      </c>
      <c r="I1023" s="1">
        <v>44326</v>
      </c>
      <c r="J1023">
        <v>9144.2999999999993</v>
      </c>
      <c r="K1023" s="1">
        <v>44319</v>
      </c>
      <c r="L1023">
        <v>24419.97</v>
      </c>
    </row>
    <row r="1024" spans="1:12" x14ac:dyDescent="0.35">
      <c r="A1024" s="1">
        <v>44329</v>
      </c>
      <c r="B1024">
        <v>3952.45</v>
      </c>
      <c r="C1024" s="1">
        <v>44327</v>
      </c>
      <c r="D1024">
        <v>6267.39</v>
      </c>
      <c r="E1024" s="1">
        <v>44320</v>
      </c>
      <c r="F1024">
        <v>14856.48</v>
      </c>
      <c r="G1024" s="1">
        <v>44301</v>
      </c>
      <c r="H1024">
        <v>8042.8965399999997</v>
      </c>
      <c r="I1024" s="1">
        <v>44323</v>
      </c>
      <c r="J1024">
        <v>9059.2000000000007</v>
      </c>
      <c r="K1024" s="1">
        <v>44316</v>
      </c>
      <c r="L1024">
        <v>24141.16</v>
      </c>
    </row>
    <row r="1025" spans="1:12" x14ac:dyDescent="0.35">
      <c r="A1025" s="1">
        <v>44328</v>
      </c>
      <c r="B1025">
        <v>3947.43</v>
      </c>
      <c r="C1025" s="1">
        <v>44326</v>
      </c>
      <c r="D1025">
        <v>6385.99</v>
      </c>
      <c r="E1025" s="1">
        <v>44319</v>
      </c>
      <c r="F1025">
        <v>15236.47</v>
      </c>
      <c r="G1025" s="1">
        <v>44300</v>
      </c>
      <c r="H1025">
        <v>7988.1890400000002</v>
      </c>
      <c r="I1025" s="1">
        <v>44322</v>
      </c>
      <c r="J1025">
        <v>8982.2000000000007</v>
      </c>
      <c r="K1025" s="1">
        <v>44315</v>
      </c>
      <c r="L1025">
        <v>24278.2</v>
      </c>
    </row>
    <row r="1026" spans="1:12" x14ac:dyDescent="0.35">
      <c r="A1026" s="1">
        <v>44327</v>
      </c>
      <c r="B1026">
        <v>3946.06</v>
      </c>
      <c r="C1026" s="1">
        <v>44323</v>
      </c>
      <c r="D1026">
        <v>6385.51</v>
      </c>
      <c r="E1026" s="1">
        <v>44316</v>
      </c>
      <c r="F1026">
        <v>15135.91</v>
      </c>
      <c r="G1026" s="1">
        <v>44299</v>
      </c>
      <c r="H1026">
        <v>7928.8541699999996</v>
      </c>
      <c r="I1026" s="1">
        <v>44321</v>
      </c>
      <c r="J1026">
        <v>8967.7999999999993</v>
      </c>
      <c r="K1026" s="1">
        <v>44314</v>
      </c>
      <c r="L1026">
        <v>24459.57</v>
      </c>
    </row>
    <row r="1027" spans="1:12" x14ac:dyDescent="0.35">
      <c r="A1027" s="1">
        <v>44326</v>
      </c>
      <c r="B1027">
        <v>4023.35</v>
      </c>
      <c r="C1027" s="1">
        <v>44322</v>
      </c>
      <c r="D1027">
        <v>6357.09</v>
      </c>
      <c r="E1027" s="1">
        <v>44315</v>
      </c>
      <c r="F1027">
        <v>15154.2</v>
      </c>
      <c r="G1027" s="1">
        <v>44298</v>
      </c>
      <c r="H1027">
        <v>7945.3823599999996</v>
      </c>
      <c r="I1027" s="1">
        <v>44320</v>
      </c>
      <c r="J1027">
        <v>8830.4</v>
      </c>
      <c r="K1027" s="1">
        <v>44313</v>
      </c>
      <c r="L1027">
        <v>24473.06</v>
      </c>
    </row>
    <row r="1028" spans="1:12" x14ac:dyDescent="0.35">
      <c r="A1028" s="1">
        <v>44323</v>
      </c>
      <c r="B1028">
        <v>4034.25</v>
      </c>
      <c r="C1028" s="1">
        <v>44321</v>
      </c>
      <c r="D1028">
        <v>6339.47</v>
      </c>
      <c r="E1028" s="1">
        <v>44314</v>
      </c>
      <c r="F1028">
        <v>15292.18</v>
      </c>
      <c r="G1028" s="1">
        <v>44295</v>
      </c>
      <c r="H1028">
        <v>7977.5210299999999</v>
      </c>
      <c r="I1028" s="1">
        <v>44319</v>
      </c>
      <c r="J1028">
        <v>8893.7000000000007</v>
      </c>
      <c r="K1028" s="1">
        <v>44312</v>
      </c>
      <c r="L1028">
        <v>24513.84</v>
      </c>
    </row>
    <row r="1029" spans="1:12" x14ac:dyDescent="0.35">
      <c r="A1029" s="1">
        <v>44322</v>
      </c>
      <c r="B1029">
        <v>3999.44</v>
      </c>
      <c r="C1029" s="1">
        <v>44320</v>
      </c>
      <c r="D1029">
        <v>6251.75</v>
      </c>
      <c r="E1029" s="1">
        <v>44313</v>
      </c>
      <c r="F1029">
        <v>15249.27</v>
      </c>
      <c r="G1029" s="1">
        <v>44294</v>
      </c>
      <c r="H1029">
        <v>8000.8474100000003</v>
      </c>
      <c r="I1029" s="1">
        <v>44316</v>
      </c>
      <c r="J1029">
        <v>8815</v>
      </c>
      <c r="K1029" s="1">
        <v>44309</v>
      </c>
      <c r="L1029">
        <v>24386.09</v>
      </c>
    </row>
    <row r="1030" spans="1:12" x14ac:dyDescent="0.35">
      <c r="A1030" s="1">
        <v>44321</v>
      </c>
      <c r="B1030">
        <v>4002.79</v>
      </c>
      <c r="C1030" s="1">
        <v>44319</v>
      </c>
      <c r="D1030">
        <v>6307.9</v>
      </c>
      <c r="E1030" s="1">
        <v>44312</v>
      </c>
      <c r="F1030">
        <v>15296.34</v>
      </c>
      <c r="G1030" s="1">
        <v>44293</v>
      </c>
      <c r="H1030">
        <v>7963.1431899999998</v>
      </c>
      <c r="I1030" s="1">
        <v>44315</v>
      </c>
      <c r="J1030">
        <v>8823.2000000000007</v>
      </c>
      <c r="K1030" s="1">
        <v>44308</v>
      </c>
      <c r="L1030">
        <v>24398.41</v>
      </c>
    </row>
    <row r="1031" spans="1:12" x14ac:dyDescent="0.35">
      <c r="A1031" s="1">
        <v>44320</v>
      </c>
      <c r="B1031">
        <v>3924.8</v>
      </c>
      <c r="C1031" s="1">
        <v>44316</v>
      </c>
      <c r="D1031">
        <v>6269.48</v>
      </c>
      <c r="E1031" s="1">
        <v>44309</v>
      </c>
      <c r="F1031">
        <v>15279.62</v>
      </c>
      <c r="G1031" s="1">
        <v>44292</v>
      </c>
      <c r="H1031">
        <v>7955.0529800000004</v>
      </c>
      <c r="I1031" s="1">
        <v>44314</v>
      </c>
      <c r="J1031">
        <v>8799.6</v>
      </c>
      <c r="K1031" s="1">
        <v>44307</v>
      </c>
      <c r="L1031">
        <v>24161.38</v>
      </c>
    </row>
    <row r="1032" spans="1:12" x14ac:dyDescent="0.35">
      <c r="A1032" s="1">
        <v>44319</v>
      </c>
      <c r="B1032">
        <v>4000.25</v>
      </c>
      <c r="C1032" s="1">
        <v>44315</v>
      </c>
      <c r="D1032">
        <v>6302.57</v>
      </c>
      <c r="E1032" s="1">
        <v>44308</v>
      </c>
      <c r="F1032">
        <v>15320.52</v>
      </c>
      <c r="G1032" s="1">
        <v>44287</v>
      </c>
      <c r="H1032">
        <v>7908.1583899999996</v>
      </c>
      <c r="I1032" s="1">
        <v>44313</v>
      </c>
      <c r="J1032">
        <v>8756.7000000000007</v>
      </c>
      <c r="K1032" s="1">
        <v>44306</v>
      </c>
      <c r="L1032">
        <v>24088.65</v>
      </c>
    </row>
    <row r="1033" spans="1:12" x14ac:dyDescent="0.35">
      <c r="A1033" s="1">
        <v>44316</v>
      </c>
      <c r="B1033">
        <v>3974.74</v>
      </c>
      <c r="C1033" s="1">
        <v>44314</v>
      </c>
      <c r="D1033">
        <v>6306.98</v>
      </c>
      <c r="E1033" s="1">
        <v>44307</v>
      </c>
      <c r="F1033">
        <v>15195.97</v>
      </c>
      <c r="G1033" s="1">
        <v>44286</v>
      </c>
      <c r="H1033">
        <v>7884.9441699999998</v>
      </c>
      <c r="I1033" s="1">
        <v>44312</v>
      </c>
      <c r="J1033">
        <v>8701.9</v>
      </c>
      <c r="K1033" s="1">
        <v>44305</v>
      </c>
      <c r="L1033">
        <v>24691.46</v>
      </c>
    </row>
    <row r="1034" spans="1:12" x14ac:dyDescent="0.35">
      <c r="A1034" s="1">
        <v>44315</v>
      </c>
      <c r="B1034">
        <v>3996.9</v>
      </c>
      <c r="C1034" s="1">
        <v>44313</v>
      </c>
      <c r="D1034">
        <v>6273.76</v>
      </c>
      <c r="E1034" s="1">
        <v>44306</v>
      </c>
      <c r="F1034">
        <v>15129.51</v>
      </c>
      <c r="G1034" s="1">
        <v>44285</v>
      </c>
      <c r="H1034">
        <v>7928.5470500000001</v>
      </c>
      <c r="I1034" s="1">
        <v>44309</v>
      </c>
      <c r="J1034">
        <v>8618.6</v>
      </c>
      <c r="K1034" s="1">
        <v>44302</v>
      </c>
      <c r="L1034">
        <v>24744.38</v>
      </c>
    </row>
    <row r="1035" spans="1:12" x14ac:dyDescent="0.35">
      <c r="A1035" s="1">
        <v>44314</v>
      </c>
      <c r="B1035">
        <v>4015.03</v>
      </c>
      <c r="C1035" s="1">
        <v>44312</v>
      </c>
      <c r="D1035">
        <v>6275.52</v>
      </c>
      <c r="E1035" s="1">
        <v>44305</v>
      </c>
      <c r="F1035">
        <v>15368.39</v>
      </c>
      <c r="G1035" s="1">
        <v>44284</v>
      </c>
      <c r="H1035">
        <v>7882.7034400000002</v>
      </c>
      <c r="I1035" s="1">
        <v>44308</v>
      </c>
      <c r="J1035">
        <v>8656.7999999999993</v>
      </c>
      <c r="K1035" s="1">
        <v>44301</v>
      </c>
      <c r="L1035">
        <v>24528.69</v>
      </c>
    </row>
    <row r="1036" spans="1:12" x14ac:dyDescent="0.35">
      <c r="A1036" s="1">
        <v>44313</v>
      </c>
      <c r="B1036">
        <v>4011.91</v>
      </c>
      <c r="C1036" s="1">
        <v>44309</v>
      </c>
      <c r="D1036">
        <v>6257.94</v>
      </c>
      <c r="E1036" s="1">
        <v>44302</v>
      </c>
      <c r="F1036">
        <v>15459.75</v>
      </c>
      <c r="G1036" s="1">
        <v>44281</v>
      </c>
      <c r="H1036">
        <v>7885.7470599999997</v>
      </c>
      <c r="I1036" s="1">
        <v>44307</v>
      </c>
      <c r="J1036">
        <v>8519.7999999999993</v>
      </c>
      <c r="K1036" s="1">
        <v>44300</v>
      </c>
      <c r="L1036">
        <v>24574.74</v>
      </c>
    </row>
    <row r="1037" spans="1:12" x14ac:dyDescent="0.35">
      <c r="A1037" s="1">
        <v>44312</v>
      </c>
      <c r="B1037">
        <v>4020.83</v>
      </c>
      <c r="C1037" s="1">
        <v>44308</v>
      </c>
      <c r="D1037">
        <v>6267.28</v>
      </c>
      <c r="E1037" s="1">
        <v>44301</v>
      </c>
      <c r="F1037">
        <v>15255.33</v>
      </c>
      <c r="G1037" s="1">
        <v>44280</v>
      </c>
      <c r="H1037">
        <v>7787.5851000000002</v>
      </c>
      <c r="I1037" s="1">
        <v>44306</v>
      </c>
      <c r="J1037">
        <v>8459.4</v>
      </c>
      <c r="K1037" s="1">
        <v>44299</v>
      </c>
      <c r="L1037">
        <v>24600.35</v>
      </c>
    </row>
    <row r="1038" spans="1:12" x14ac:dyDescent="0.35">
      <c r="A1038" s="1">
        <v>44309</v>
      </c>
      <c r="B1038">
        <v>4013.34</v>
      </c>
      <c r="C1038" s="1">
        <v>44307</v>
      </c>
      <c r="D1038">
        <v>6210.55</v>
      </c>
      <c r="E1038" s="1">
        <v>44300</v>
      </c>
      <c r="F1038">
        <v>15209.15</v>
      </c>
      <c r="G1038" s="1">
        <v>44279</v>
      </c>
      <c r="H1038">
        <v>7783.3652300000003</v>
      </c>
      <c r="I1038" s="1">
        <v>44305</v>
      </c>
      <c r="J1038">
        <v>8711.4</v>
      </c>
      <c r="K1038" s="1">
        <v>44298</v>
      </c>
      <c r="L1038">
        <v>24457.18</v>
      </c>
    </row>
    <row r="1039" spans="1:12" x14ac:dyDescent="0.35">
      <c r="A1039" s="1">
        <v>44308</v>
      </c>
      <c r="B1039">
        <v>4014.8</v>
      </c>
      <c r="C1039" s="1">
        <v>44306</v>
      </c>
      <c r="D1039">
        <v>6165.11</v>
      </c>
      <c r="E1039" s="1">
        <v>44299</v>
      </c>
      <c r="F1039">
        <v>15234.36</v>
      </c>
      <c r="G1039" s="1">
        <v>44278</v>
      </c>
      <c r="H1039">
        <v>7774.3825900000002</v>
      </c>
      <c r="I1039" s="1">
        <v>44302</v>
      </c>
      <c r="J1039">
        <v>8613.5</v>
      </c>
      <c r="K1039" s="1">
        <v>44295</v>
      </c>
      <c r="L1039">
        <v>24429.41</v>
      </c>
    </row>
    <row r="1040" spans="1:12" x14ac:dyDescent="0.35">
      <c r="A1040" s="1">
        <v>44307</v>
      </c>
      <c r="B1040">
        <v>3976.41</v>
      </c>
      <c r="C1040" s="1">
        <v>44305</v>
      </c>
      <c r="D1040">
        <v>6296.69</v>
      </c>
      <c r="E1040" s="1">
        <v>44298</v>
      </c>
      <c r="F1040">
        <v>15215</v>
      </c>
      <c r="G1040" s="1">
        <v>44277</v>
      </c>
      <c r="H1040">
        <v>7809.19247</v>
      </c>
      <c r="I1040" s="1">
        <v>44301</v>
      </c>
      <c r="J1040">
        <v>8571.6</v>
      </c>
      <c r="K1040" s="1">
        <v>44294</v>
      </c>
      <c r="L1040">
        <v>24576.51</v>
      </c>
    </row>
    <row r="1041" spans="1:12" x14ac:dyDescent="0.35">
      <c r="A1041" s="1">
        <v>44306</v>
      </c>
      <c r="B1041">
        <v>3940.46</v>
      </c>
      <c r="C1041" s="1">
        <v>44302</v>
      </c>
      <c r="D1041">
        <v>6287.07</v>
      </c>
      <c r="E1041" s="1">
        <v>44295</v>
      </c>
      <c r="F1041">
        <v>15234.16</v>
      </c>
      <c r="G1041" s="1">
        <v>44274</v>
      </c>
      <c r="H1041">
        <v>7819.5989200000004</v>
      </c>
      <c r="I1041" s="1">
        <v>44300</v>
      </c>
      <c r="J1041">
        <v>8588.4</v>
      </c>
      <c r="K1041" s="1">
        <v>44293</v>
      </c>
      <c r="L1041">
        <v>24740.73</v>
      </c>
    </row>
    <row r="1042" spans="1:12" x14ac:dyDescent="0.35">
      <c r="A1042" s="1">
        <v>44305</v>
      </c>
      <c r="B1042">
        <v>4019.91</v>
      </c>
      <c r="C1042" s="1">
        <v>44301</v>
      </c>
      <c r="D1042">
        <v>6234.14</v>
      </c>
      <c r="E1042" s="1">
        <v>44294</v>
      </c>
      <c r="F1042">
        <v>15202.68</v>
      </c>
      <c r="G1042" s="1">
        <v>44273</v>
      </c>
      <c r="H1042">
        <v>7928.2870300000004</v>
      </c>
      <c r="I1042" s="1">
        <v>44299</v>
      </c>
      <c r="J1042">
        <v>8525.1</v>
      </c>
      <c r="K1042" s="1">
        <v>44292</v>
      </c>
      <c r="L1042">
        <v>24761.119999999999</v>
      </c>
    </row>
    <row r="1043" spans="1:12" x14ac:dyDescent="0.35">
      <c r="A1043" s="1">
        <v>44302</v>
      </c>
      <c r="B1043">
        <v>4032.99</v>
      </c>
      <c r="C1043" s="1">
        <v>44300</v>
      </c>
      <c r="D1043">
        <v>6208.58</v>
      </c>
      <c r="E1043" s="1">
        <v>44293</v>
      </c>
      <c r="F1043">
        <v>15176.36</v>
      </c>
      <c r="G1043" s="1">
        <v>44272</v>
      </c>
      <c r="H1043">
        <v>7870.0941300000004</v>
      </c>
      <c r="I1043" s="1">
        <v>44298</v>
      </c>
      <c r="J1043">
        <v>8532.6</v>
      </c>
      <c r="K1043" s="1">
        <v>44287</v>
      </c>
      <c r="L1043">
        <v>24710</v>
      </c>
    </row>
    <row r="1044" spans="1:12" x14ac:dyDescent="0.35">
      <c r="A1044" s="1">
        <v>44301</v>
      </c>
      <c r="B1044">
        <v>3993.43</v>
      </c>
      <c r="C1044" s="1">
        <v>44299</v>
      </c>
      <c r="D1044">
        <v>6184.1</v>
      </c>
      <c r="E1044" s="1">
        <v>44292</v>
      </c>
      <c r="F1044">
        <v>15212.68</v>
      </c>
      <c r="G1044" s="1">
        <v>44271</v>
      </c>
      <c r="H1044">
        <v>7941.0697899999996</v>
      </c>
      <c r="I1044" s="1">
        <v>44295</v>
      </c>
      <c r="J1044">
        <v>8565.7999999999993</v>
      </c>
      <c r="K1044" s="1">
        <v>44286</v>
      </c>
      <c r="L1044">
        <v>24648.560000000001</v>
      </c>
    </row>
    <row r="1045" spans="1:12" x14ac:dyDescent="0.35">
      <c r="A1045" s="1">
        <v>44300</v>
      </c>
      <c r="B1045">
        <v>3976.28</v>
      </c>
      <c r="C1045" s="1">
        <v>44298</v>
      </c>
      <c r="D1045">
        <v>6161.68</v>
      </c>
      <c r="E1045" s="1">
        <v>44287</v>
      </c>
      <c r="F1045">
        <v>15107.17</v>
      </c>
      <c r="G1045" s="1">
        <v>44270</v>
      </c>
      <c r="H1045">
        <v>7861.6349799999998</v>
      </c>
      <c r="I1045" s="1">
        <v>44294</v>
      </c>
      <c r="J1045">
        <v>8637.7999999999993</v>
      </c>
      <c r="K1045" s="1">
        <v>44285</v>
      </c>
      <c r="L1045">
        <v>24636.39</v>
      </c>
    </row>
    <row r="1046" spans="1:12" x14ac:dyDescent="0.35">
      <c r="A1046" s="1">
        <v>44299</v>
      </c>
      <c r="B1046">
        <v>3966.99</v>
      </c>
      <c r="C1046" s="1">
        <v>44295</v>
      </c>
      <c r="D1046">
        <v>6169.41</v>
      </c>
      <c r="E1046" s="1">
        <v>44286</v>
      </c>
      <c r="F1046">
        <v>15008.34</v>
      </c>
      <c r="G1046" s="1">
        <v>44267</v>
      </c>
      <c r="H1046">
        <v>7878.5725899999998</v>
      </c>
      <c r="I1046" s="1">
        <v>44293</v>
      </c>
      <c r="J1046">
        <v>8597.4</v>
      </c>
      <c r="K1046" s="1">
        <v>44284</v>
      </c>
      <c r="L1046">
        <v>24421.4</v>
      </c>
    </row>
    <row r="1047" spans="1:12" x14ac:dyDescent="0.35">
      <c r="A1047" s="1">
        <v>44298</v>
      </c>
      <c r="B1047">
        <v>3961.9</v>
      </c>
      <c r="C1047" s="1">
        <v>44294</v>
      </c>
      <c r="D1047">
        <v>6165.72</v>
      </c>
      <c r="E1047" s="1">
        <v>44285</v>
      </c>
      <c r="F1047">
        <v>15008.61</v>
      </c>
      <c r="G1047" s="1">
        <v>44266</v>
      </c>
      <c r="H1047">
        <v>7861.2872699999998</v>
      </c>
      <c r="I1047" s="1">
        <v>44292</v>
      </c>
      <c r="J1047">
        <v>8634.6</v>
      </c>
      <c r="K1047" s="1">
        <v>44281</v>
      </c>
      <c r="L1047">
        <v>24393.26</v>
      </c>
    </row>
    <row r="1048" spans="1:12" x14ac:dyDescent="0.35">
      <c r="A1048" s="1">
        <v>44295</v>
      </c>
      <c r="B1048">
        <v>3978.84</v>
      </c>
      <c r="C1048" s="1">
        <v>44293</v>
      </c>
      <c r="D1048">
        <v>6130.66</v>
      </c>
      <c r="E1048" s="1">
        <v>44284</v>
      </c>
      <c r="F1048">
        <v>14817.72</v>
      </c>
      <c r="G1048" s="1">
        <v>44265</v>
      </c>
      <c r="H1048">
        <v>7853.4991600000003</v>
      </c>
      <c r="I1048" s="1">
        <v>44287</v>
      </c>
      <c r="J1048">
        <v>8577.6</v>
      </c>
      <c r="K1048" s="1">
        <v>44280</v>
      </c>
      <c r="L1048">
        <v>24218.55</v>
      </c>
    </row>
    <row r="1049" spans="1:12" x14ac:dyDescent="0.35">
      <c r="A1049" s="1">
        <v>44294</v>
      </c>
      <c r="B1049">
        <v>3977.83</v>
      </c>
      <c r="C1049" s="1">
        <v>44292</v>
      </c>
      <c r="D1049">
        <v>6131.34</v>
      </c>
      <c r="E1049" s="1">
        <v>44281</v>
      </c>
      <c r="F1049">
        <v>14748.94</v>
      </c>
      <c r="G1049" s="1">
        <v>44264</v>
      </c>
      <c r="H1049">
        <v>7865.0868799999998</v>
      </c>
      <c r="I1049" s="1">
        <v>44286</v>
      </c>
      <c r="J1049">
        <v>8580</v>
      </c>
      <c r="K1049" s="1">
        <v>44279</v>
      </c>
      <c r="L1049">
        <v>24208.66</v>
      </c>
    </row>
    <row r="1050" spans="1:12" x14ac:dyDescent="0.35">
      <c r="A1050" s="1">
        <v>44293</v>
      </c>
      <c r="B1050">
        <v>3956.77</v>
      </c>
      <c r="C1050" s="1">
        <v>44287</v>
      </c>
      <c r="D1050">
        <v>6102.96</v>
      </c>
      <c r="E1050" s="1">
        <v>44280</v>
      </c>
      <c r="F1050">
        <v>14621.36</v>
      </c>
      <c r="G1050" s="1">
        <v>44263</v>
      </c>
      <c r="H1050">
        <v>7842.2906400000002</v>
      </c>
      <c r="I1050" s="1">
        <v>44285</v>
      </c>
      <c r="J1050">
        <v>8595.2000000000007</v>
      </c>
      <c r="K1050" s="1">
        <v>44278</v>
      </c>
      <c r="L1050">
        <v>24113.86</v>
      </c>
    </row>
    <row r="1051" spans="1:12" x14ac:dyDescent="0.35">
      <c r="A1051" s="1">
        <v>44292</v>
      </c>
      <c r="B1051">
        <v>3970.42</v>
      </c>
      <c r="C1051" s="1">
        <v>44286</v>
      </c>
      <c r="D1051">
        <v>6067.23</v>
      </c>
      <c r="E1051" s="1">
        <v>44279</v>
      </c>
      <c r="F1051">
        <v>14610.39</v>
      </c>
      <c r="G1051" s="1">
        <v>44260</v>
      </c>
      <c r="H1051">
        <v>7695.34411</v>
      </c>
      <c r="I1051" s="1">
        <v>44284</v>
      </c>
      <c r="J1051">
        <v>8492.1</v>
      </c>
      <c r="K1051" s="1">
        <v>44277</v>
      </c>
      <c r="L1051">
        <v>24262.84</v>
      </c>
    </row>
    <row r="1052" spans="1:12" x14ac:dyDescent="0.35">
      <c r="A1052" s="1">
        <v>44287</v>
      </c>
      <c r="B1052">
        <v>3945.96</v>
      </c>
      <c r="C1052" s="1">
        <v>44285</v>
      </c>
      <c r="D1052">
        <v>6088.04</v>
      </c>
      <c r="E1052" s="1">
        <v>44278</v>
      </c>
      <c r="F1052">
        <v>14662.02</v>
      </c>
      <c r="G1052" s="1">
        <v>44259</v>
      </c>
      <c r="H1052">
        <v>7721.0983100000003</v>
      </c>
      <c r="I1052" s="1">
        <v>44281</v>
      </c>
      <c r="J1052">
        <v>8498.2000000000007</v>
      </c>
      <c r="K1052" s="1">
        <v>44274</v>
      </c>
      <c r="L1052">
        <v>24199.42</v>
      </c>
    </row>
    <row r="1053" spans="1:12" x14ac:dyDescent="0.35">
      <c r="A1053" s="1">
        <v>44286</v>
      </c>
      <c r="B1053">
        <v>3919.21</v>
      </c>
      <c r="C1053" s="1">
        <v>44284</v>
      </c>
      <c r="D1053">
        <v>6015.51</v>
      </c>
      <c r="E1053" s="1">
        <v>44277</v>
      </c>
      <c r="F1053">
        <v>14657.21</v>
      </c>
      <c r="G1053" s="1">
        <v>44258</v>
      </c>
      <c r="H1053">
        <v>7726.8427000000001</v>
      </c>
      <c r="I1053" s="1">
        <v>44280</v>
      </c>
      <c r="J1053">
        <v>8409.5</v>
      </c>
      <c r="K1053" s="1">
        <v>44273</v>
      </c>
      <c r="L1053">
        <v>24360.49</v>
      </c>
    </row>
    <row r="1054" spans="1:12" x14ac:dyDescent="0.35">
      <c r="A1054" s="1">
        <v>44285</v>
      </c>
      <c r="B1054">
        <v>3926.2</v>
      </c>
      <c r="C1054" s="1">
        <v>44281</v>
      </c>
      <c r="D1054">
        <v>5988.81</v>
      </c>
      <c r="E1054" s="1">
        <v>44274</v>
      </c>
      <c r="F1054">
        <v>14621</v>
      </c>
      <c r="G1054" s="1">
        <v>44257</v>
      </c>
      <c r="H1054">
        <v>7647.4221900000002</v>
      </c>
      <c r="I1054" s="1">
        <v>44279</v>
      </c>
      <c r="J1054">
        <v>8443.7000000000007</v>
      </c>
      <c r="K1054" s="1">
        <v>44272</v>
      </c>
      <c r="L1054">
        <v>24281.05</v>
      </c>
    </row>
    <row r="1055" spans="1:12" x14ac:dyDescent="0.35">
      <c r="A1055" s="1">
        <v>44284</v>
      </c>
      <c r="B1055">
        <v>3882.87</v>
      </c>
      <c r="C1055" s="1">
        <v>44280</v>
      </c>
      <c r="D1055">
        <v>5952.41</v>
      </c>
      <c r="E1055" s="1">
        <v>44273</v>
      </c>
      <c r="F1055">
        <v>14775.52</v>
      </c>
      <c r="G1055" s="1">
        <v>44256</v>
      </c>
      <c r="H1055">
        <v>7616.1239999999998</v>
      </c>
      <c r="I1055" s="1">
        <v>44278</v>
      </c>
      <c r="J1055">
        <v>8390.2999999999993</v>
      </c>
      <c r="K1055" s="1">
        <v>44271</v>
      </c>
      <c r="L1055">
        <v>24261.119999999999</v>
      </c>
    </row>
    <row r="1056" spans="1:12" x14ac:dyDescent="0.35">
      <c r="A1056" s="1">
        <v>44281</v>
      </c>
      <c r="B1056">
        <v>3866.68</v>
      </c>
      <c r="C1056" s="1">
        <v>44279</v>
      </c>
      <c r="D1056">
        <v>5947.29</v>
      </c>
      <c r="E1056" s="1">
        <v>44272</v>
      </c>
      <c r="F1056">
        <v>14596.61</v>
      </c>
      <c r="G1056" s="1">
        <v>44253</v>
      </c>
      <c r="H1056">
        <v>7484.3900100000001</v>
      </c>
      <c r="I1056" s="1">
        <v>44277</v>
      </c>
      <c r="J1056">
        <v>8343.5</v>
      </c>
      <c r="K1056" s="1">
        <v>44270</v>
      </c>
      <c r="L1056">
        <v>24139.45</v>
      </c>
    </row>
    <row r="1057" spans="1:12" x14ac:dyDescent="0.35">
      <c r="A1057" s="1">
        <v>44280</v>
      </c>
      <c r="B1057">
        <v>3832.57</v>
      </c>
      <c r="C1057" s="1">
        <v>44278</v>
      </c>
      <c r="D1057">
        <v>5945.3</v>
      </c>
      <c r="E1057" s="1">
        <v>44271</v>
      </c>
      <c r="F1057">
        <v>14557.58</v>
      </c>
      <c r="G1057" s="1">
        <v>44252</v>
      </c>
      <c r="H1057">
        <v>7660.6744799999997</v>
      </c>
      <c r="I1057" s="1">
        <v>44274</v>
      </c>
      <c r="J1057">
        <v>8493</v>
      </c>
      <c r="K1057" s="1">
        <v>44267</v>
      </c>
      <c r="L1057">
        <v>24113.22</v>
      </c>
    </row>
    <row r="1058" spans="1:12" x14ac:dyDescent="0.35">
      <c r="A1058" s="1">
        <v>44279</v>
      </c>
      <c r="B1058">
        <v>3832.55</v>
      </c>
      <c r="C1058" s="1">
        <v>44277</v>
      </c>
      <c r="D1058">
        <v>5968.48</v>
      </c>
      <c r="E1058" s="1">
        <v>44270</v>
      </c>
      <c r="F1058">
        <v>14461.42</v>
      </c>
      <c r="G1058" s="1">
        <v>44251</v>
      </c>
      <c r="H1058">
        <v>7733.3335500000003</v>
      </c>
      <c r="I1058" s="1">
        <v>44273</v>
      </c>
      <c r="J1058">
        <v>8624.6</v>
      </c>
      <c r="K1058" s="1">
        <v>44266</v>
      </c>
      <c r="L1058">
        <v>24121.37</v>
      </c>
    </row>
    <row r="1059" spans="1:12" x14ac:dyDescent="0.35">
      <c r="A1059" s="1">
        <v>44278</v>
      </c>
      <c r="B1059">
        <v>3827.02</v>
      </c>
      <c r="C1059" s="1">
        <v>44274</v>
      </c>
      <c r="D1059">
        <v>5997.96</v>
      </c>
      <c r="E1059" s="1">
        <v>44267</v>
      </c>
      <c r="F1059">
        <v>14502.39</v>
      </c>
      <c r="G1059" s="1">
        <v>44250</v>
      </c>
      <c r="H1059">
        <v>7687.5305799999996</v>
      </c>
      <c r="I1059" s="1">
        <v>44272</v>
      </c>
      <c r="J1059">
        <v>8599.5</v>
      </c>
      <c r="K1059" s="1">
        <v>44265</v>
      </c>
      <c r="L1059">
        <v>23925.96</v>
      </c>
    </row>
    <row r="1060" spans="1:12" x14ac:dyDescent="0.35">
      <c r="A1060" s="1">
        <v>44277</v>
      </c>
      <c r="B1060">
        <v>3833.84</v>
      </c>
      <c r="C1060" s="1">
        <v>44273</v>
      </c>
      <c r="D1060">
        <v>6062.79</v>
      </c>
      <c r="E1060" s="1">
        <v>44266</v>
      </c>
      <c r="F1060">
        <v>14569.39</v>
      </c>
      <c r="G1060" s="1">
        <v>44249</v>
      </c>
      <c r="H1060">
        <v>7654.2181399999999</v>
      </c>
      <c r="I1060" s="1">
        <v>44271</v>
      </c>
      <c r="J1060">
        <v>8657.7000000000007</v>
      </c>
      <c r="K1060" s="1">
        <v>44264</v>
      </c>
      <c r="L1060">
        <v>23816.5</v>
      </c>
    </row>
    <row r="1061" spans="1:12" x14ac:dyDescent="0.35">
      <c r="A1061" s="1">
        <v>44274</v>
      </c>
      <c r="B1061">
        <v>3837.02</v>
      </c>
      <c r="C1061" s="1">
        <v>44272</v>
      </c>
      <c r="D1061">
        <v>6054.82</v>
      </c>
      <c r="E1061" s="1">
        <v>44265</v>
      </c>
      <c r="F1061">
        <v>14540.25</v>
      </c>
      <c r="G1061" s="1">
        <v>44246</v>
      </c>
      <c r="H1061">
        <v>7659.6546900000003</v>
      </c>
      <c r="I1061" s="1">
        <v>44270</v>
      </c>
      <c r="J1061">
        <v>8635.4</v>
      </c>
      <c r="K1061" s="1">
        <v>44263</v>
      </c>
      <c r="L1061">
        <v>23681.57</v>
      </c>
    </row>
    <row r="1062" spans="1:12" x14ac:dyDescent="0.35">
      <c r="A1062" s="1">
        <v>44273</v>
      </c>
      <c r="B1062">
        <v>3867.54</v>
      </c>
      <c r="C1062" s="1">
        <v>44271</v>
      </c>
      <c r="D1062">
        <v>6055.43</v>
      </c>
      <c r="E1062" s="1">
        <v>44264</v>
      </c>
      <c r="F1062">
        <v>14437.94</v>
      </c>
      <c r="G1062" s="1">
        <v>44245</v>
      </c>
      <c r="H1062">
        <v>7647.8962600000004</v>
      </c>
      <c r="I1062" s="1">
        <v>44267</v>
      </c>
      <c r="J1062">
        <v>8644.5</v>
      </c>
      <c r="K1062" s="1">
        <v>44260</v>
      </c>
      <c r="L1062">
        <v>22965.63</v>
      </c>
    </row>
    <row r="1063" spans="1:12" x14ac:dyDescent="0.35">
      <c r="A1063" s="1">
        <v>44272</v>
      </c>
      <c r="B1063">
        <v>3849.74</v>
      </c>
      <c r="C1063" s="1">
        <v>44270</v>
      </c>
      <c r="D1063">
        <v>6035.97</v>
      </c>
      <c r="E1063" s="1">
        <v>44263</v>
      </c>
      <c r="F1063">
        <v>14380.91</v>
      </c>
      <c r="G1063" s="1">
        <v>44244</v>
      </c>
      <c r="H1063">
        <v>7719.9029</v>
      </c>
      <c r="I1063" s="1">
        <v>44266</v>
      </c>
      <c r="J1063">
        <v>8593</v>
      </c>
      <c r="K1063" s="1">
        <v>44259</v>
      </c>
      <c r="L1063">
        <v>23093.1</v>
      </c>
    </row>
    <row r="1064" spans="1:12" x14ac:dyDescent="0.35">
      <c r="A1064" s="1">
        <v>44271</v>
      </c>
      <c r="B1064">
        <v>3850.96</v>
      </c>
      <c r="C1064" s="1">
        <v>44267</v>
      </c>
      <c r="D1064">
        <v>6046.55</v>
      </c>
      <c r="E1064" s="1">
        <v>44260</v>
      </c>
      <c r="F1064">
        <v>13920.69</v>
      </c>
      <c r="G1064" s="1">
        <v>44243</v>
      </c>
      <c r="H1064">
        <v>7754.3058199999996</v>
      </c>
      <c r="I1064" s="1">
        <v>44265</v>
      </c>
      <c r="J1064">
        <v>8525.2000000000007</v>
      </c>
      <c r="K1064" s="1">
        <v>44258</v>
      </c>
      <c r="L1064">
        <v>23046.77</v>
      </c>
    </row>
    <row r="1065" spans="1:12" x14ac:dyDescent="0.35">
      <c r="A1065" s="1">
        <v>44270</v>
      </c>
      <c r="B1065">
        <v>3829.84</v>
      </c>
      <c r="C1065" s="1">
        <v>44266</v>
      </c>
      <c r="D1065">
        <v>6033.76</v>
      </c>
      <c r="E1065" s="1">
        <v>44259</v>
      </c>
      <c r="F1065">
        <v>14056.34</v>
      </c>
      <c r="G1065" s="1">
        <v>44242</v>
      </c>
      <c r="H1065">
        <v>7748.0011800000002</v>
      </c>
      <c r="I1065" s="1">
        <v>44264</v>
      </c>
      <c r="J1065">
        <v>8496.4</v>
      </c>
      <c r="K1065" s="1">
        <v>44257</v>
      </c>
      <c r="L1065">
        <v>23083.55</v>
      </c>
    </row>
    <row r="1066" spans="1:12" x14ac:dyDescent="0.35">
      <c r="A1066" s="1">
        <v>44267</v>
      </c>
      <c r="B1066">
        <v>3833.36</v>
      </c>
      <c r="C1066" s="1">
        <v>44265</v>
      </c>
      <c r="D1066">
        <v>5990.55</v>
      </c>
      <c r="E1066" s="1">
        <v>44258</v>
      </c>
      <c r="F1066">
        <v>14080.03</v>
      </c>
      <c r="G1066" s="1">
        <v>44239</v>
      </c>
      <c r="H1066">
        <v>7533.4405399999996</v>
      </c>
      <c r="I1066" s="1">
        <v>44263</v>
      </c>
      <c r="J1066">
        <v>8444.2000000000007</v>
      </c>
      <c r="K1066" s="1">
        <v>44256</v>
      </c>
      <c r="L1066">
        <v>23264.86</v>
      </c>
    </row>
    <row r="1067" spans="1:12" x14ac:dyDescent="0.35">
      <c r="A1067" s="1">
        <v>44266</v>
      </c>
      <c r="B1067">
        <v>3845.64</v>
      </c>
      <c r="C1067" s="1">
        <v>44264</v>
      </c>
      <c r="D1067">
        <v>5924.97</v>
      </c>
      <c r="E1067" s="1">
        <v>44257</v>
      </c>
      <c r="F1067">
        <v>14039.8</v>
      </c>
      <c r="G1067" s="1">
        <v>44238</v>
      </c>
      <c r="H1067">
        <v>7435.3221700000004</v>
      </c>
      <c r="I1067" s="1">
        <v>44260</v>
      </c>
      <c r="J1067">
        <v>8286.7999999999993</v>
      </c>
      <c r="K1067" s="1">
        <v>44253</v>
      </c>
      <c r="L1067">
        <v>22848.58</v>
      </c>
    </row>
    <row r="1068" spans="1:12" x14ac:dyDescent="0.35">
      <c r="A1068" s="1">
        <v>44265</v>
      </c>
      <c r="B1068">
        <v>3819.92</v>
      </c>
      <c r="C1068" s="1">
        <v>44263</v>
      </c>
      <c r="D1068">
        <v>5902.99</v>
      </c>
      <c r="E1068" s="1">
        <v>44256</v>
      </c>
      <c r="F1068">
        <v>14012.82</v>
      </c>
      <c r="G1068" s="1">
        <v>44237</v>
      </c>
      <c r="H1068">
        <v>7445.6611199999998</v>
      </c>
      <c r="I1068" s="1">
        <v>44259</v>
      </c>
      <c r="J1068">
        <v>8354</v>
      </c>
      <c r="K1068" s="1">
        <v>44252</v>
      </c>
      <c r="L1068">
        <v>23063.55</v>
      </c>
    </row>
    <row r="1069" spans="1:12" x14ac:dyDescent="0.35">
      <c r="A1069" s="1">
        <v>44264</v>
      </c>
      <c r="B1069">
        <v>3786.05</v>
      </c>
      <c r="C1069" s="1">
        <v>44260</v>
      </c>
      <c r="D1069">
        <v>5782.65</v>
      </c>
      <c r="E1069" s="1">
        <v>44253</v>
      </c>
      <c r="F1069">
        <v>13786.29</v>
      </c>
      <c r="G1069" s="1">
        <v>44236</v>
      </c>
      <c r="H1069">
        <v>7445.0611200000003</v>
      </c>
      <c r="I1069" s="1">
        <v>44258</v>
      </c>
      <c r="J1069">
        <v>8329.2999999999993</v>
      </c>
      <c r="K1069" s="1">
        <v>44251</v>
      </c>
      <c r="L1069">
        <v>23098.15</v>
      </c>
    </row>
    <row r="1070" spans="1:12" x14ac:dyDescent="0.35">
      <c r="A1070" s="1">
        <v>44263</v>
      </c>
      <c r="B1070">
        <v>3763.24</v>
      </c>
      <c r="C1070" s="1">
        <v>44259</v>
      </c>
      <c r="D1070">
        <v>5830.65</v>
      </c>
      <c r="E1070" s="1">
        <v>44252</v>
      </c>
      <c r="F1070">
        <v>13879.33</v>
      </c>
      <c r="G1070" s="1">
        <v>44235</v>
      </c>
      <c r="H1070">
        <v>7441.3836899999997</v>
      </c>
      <c r="I1070" s="1">
        <v>44257</v>
      </c>
      <c r="J1070">
        <v>8355.7999999999993</v>
      </c>
      <c r="K1070" s="1">
        <v>44250</v>
      </c>
      <c r="L1070">
        <v>22939.38</v>
      </c>
    </row>
    <row r="1071" spans="1:12" x14ac:dyDescent="0.35">
      <c r="A1071" s="1">
        <v>44260</v>
      </c>
      <c r="B1071">
        <v>3669.54</v>
      </c>
      <c r="C1071" s="1">
        <v>44258</v>
      </c>
      <c r="D1071">
        <v>5830.06</v>
      </c>
      <c r="E1071" s="1">
        <v>44251</v>
      </c>
      <c r="F1071">
        <v>13976</v>
      </c>
      <c r="G1071" s="1">
        <v>44232</v>
      </c>
      <c r="H1071">
        <v>7403.0544</v>
      </c>
      <c r="I1071" s="1">
        <v>44256</v>
      </c>
      <c r="J1071">
        <v>8378.1</v>
      </c>
      <c r="K1071" s="1">
        <v>44249</v>
      </c>
      <c r="L1071">
        <v>23009.18</v>
      </c>
    </row>
    <row r="1072" spans="1:12" x14ac:dyDescent="0.35">
      <c r="A1072" s="1">
        <v>44259</v>
      </c>
      <c r="B1072">
        <v>3704.85</v>
      </c>
      <c r="C1072" s="1">
        <v>44257</v>
      </c>
      <c r="D1072">
        <v>5809.73</v>
      </c>
      <c r="E1072" s="1">
        <v>44250</v>
      </c>
      <c r="F1072">
        <v>13864.81</v>
      </c>
      <c r="G1072" s="1">
        <v>44231</v>
      </c>
      <c r="H1072">
        <v>7427.5407699999996</v>
      </c>
      <c r="I1072" s="1">
        <v>44253</v>
      </c>
      <c r="J1072">
        <v>8225</v>
      </c>
      <c r="K1072" s="1">
        <v>44246</v>
      </c>
      <c r="L1072">
        <v>23136.31</v>
      </c>
    </row>
    <row r="1073" spans="1:12" x14ac:dyDescent="0.35">
      <c r="A1073" s="1">
        <v>44258</v>
      </c>
      <c r="B1073">
        <v>3712.78</v>
      </c>
      <c r="C1073" s="1">
        <v>44256</v>
      </c>
      <c r="D1073">
        <v>5792.79</v>
      </c>
      <c r="E1073" s="1">
        <v>44249</v>
      </c>
      <c r="F1073">
        <v>13950.04</v>
      </c>
      <c r="G1073" s="1">
        <v>44230</v>
      </c>
      <c r="H1073">
        <v>7390.3554999999997</v>
      </c>
      <c r="I1073" s="1">
        <v>44252</v>
      </c>
      <c r="J1073">
        <v>8317.7999999999993</v>
      </c>
      <c r="K1073" s="1">
        <v>44245</v>
      </c>
      <c r="L1073">
        <v>22921.83</v>
      </c>
    </row>
    <row r="1074" spans="1:12" x14ac:dyDescent="0.35">
      <c r="A1074" s="1">
        <v>44257</v>
      </c>
      <c r="B1074">
        <v>3707.72</v>
      </c>
      <c r="C1074" s="1">
        <v>44253</v>
      </c>
      <c r="D1074">
        <v>5703.22</v>
      </c>
      <c r="E1074" s="1">
        <v>44246</v>
      </c>
      <c r="F1074">
        <v>13993.23</v>
      </c>
      <c r="G1074" s="1">
        <v>44229</v>
      </c>
      <c r="H1074">
        <v>7399.34458</v>
      </c>
      <c r="I1074" s="1">
        <v>44251</v>
      </c>
      <c r="J1074">
        <v>8269.6</v>
      </c>
      <c r="K1074" s="1">
        <v>44244</v>
      </c>
      <c r="L1074">
        <v>23178.560000000001</v>
      </c>
    </row>
    <row r="1075" spans="1:12" x14ac:dyDescent="0.35">
      <c r="A1075" s="1">
        <v>44256</v>
      </c>
      <c r="B1075">
        <v>3706.62</v>
      </c>
      <c r="C1075" s="1">
        <v>44252</v>
      </c>
      <c r="D1075">
        <v>5783.89</v>
      </c>
      <c r="E1075" s="1">
        <v>44245</v>
      </c>
      <c r="F1075">
        <v>13886.93</v>
      </c>
      <c r="G1075" s="1">
        <v>44228</v>
      </c>
      <c r="H1075">
        <v>7326.8235199999999</v>
      </c>
      <c r="I1075" s="1">
        <v>44250</v>
      </c>
      <c r="J1075">
        <v>8252.1</v>
      </c>
      <c r="K1075" s="1">
        <v>44243</v>
      </c>
      <c r="L1075">
        <v>23440.81</v>
      </c>
    </row>
    <row r="1076" spans="1:12" x14ac:dyDescent="0.35">
      <c r="A1076" s="1">
        <v>44253</v>
      </c>
      <c r="B1076">
        <v>3636.44</v>
      </c>
      <c r="C1076" s="1">
        <v>44251</v>
      </c>
      <c r="D1076">
        <v>5797.98</v>
      </c>
      <c r="E1076" s="1">
        <v>44244</v>
      </c>
      <c r="F1076">
        <v>13909.27</v>
      </c>
      <c r="G1076" s="1">
        <v>44225</v>
      </c>
      <c r="H1076">
        <v>7238.7608600000003</v>
      </c>
      <c r="I1076" s="1">
        <v>44249</v>
      </c>
      <c r="J1076">
        <v>8112.2</v>
      </c>
      <c r="K1076" s="1">
        <v>44242</v>
      </c>
      <c r="L1076">
        <v>23604.31</v>
      </c>
    </row>
    <row r="1077" spans="1:12" x14ac:dyDescent="0.35">
      <c r="A1077" s="1">
        <v>44252</v>
      </c>
      <c r="B1077">
        <v>3685.28</v>
      </c>
      <c r="C1077" s="1">
        <v>44250</v>
      </c>
      <c r="D1077">
        <v>5779.84</v>
      </c>
      <c r="E1077" s="1">
        <v>44243</v>
      </c>
      <c r="F1077">
        <v>14064.6</v>
      </c>
      <c r="G1077" s="1">
        <v>44224</v>
      </c>
      <c r="H1077">
        <v>7387.8709200000003</v>
      </c>
      <c r="I1077" s="1">
        <v>44246</v>
      </c>
      <c r="J1077">
        <v>8151.6</v>
      </c>
      <c r="K1077" s="1">
        <v>44239</v>
      </c>
      <c r="L1077">
        <v>23410.6</v>
      </c>
    </row>
    <row r="1078" spans="1:12" x14ac:dyDescent="0.35">
      <c r="A1078" s="1">
        <v>44251</v>
      </c>
      <c r="B1078">
        <v>3705.99</v>
      </c>
      <c r="C1078" s="1">
        <v>44249</v>
      </c>
      <c r="D1078">
        <v>5767.44</v>
      </c>
      <c r="E1078" s="1">
        <v>44242</v>
      </c>
      <c r="F1078">
        <v>14109.48</v>
      </c>
      <c r="G1078" s="1">
        <v>44223</v>
      </c>
      <c r="H1078">
        <v>7431.78287</v>
      </c>
      <c r="I1078" s="1">
        <v>44245</v>
      </c>
      <c r="J1078">
        <v>8058.1</v>
      </c>
      <c r="K1078" s="1">
        <v>44238</v>
      </c>
      <c r="L1078">
        <v>23307.24</v>
      </c>
    </row>
    <row r="1079" spans="1:12" x14ac:dyDescent="0.35">
      <c r="A1079" s="1">
        <v>44250</v>
      </c>
      <c r="B1079">
        <v>3689.1</v>
      </c>
      <c r="C1079" s="1">
        <v>44246</v>
      </c>
      <c r="D1079">
        <v>5773.55</v>
      </c>
      <c r="E1079" s="1">
        <v>44239</v>
      </c>
      <c r="F1079">
        <v>14049.89</v>
      </c>
      <c r="G1079" s="1">
        <v>44222</v>
      </c>
      <c r="H1079">
        <v>7516.0701900000004</v>
      </c>
      <c r="I1079" s="1">
        <v>44244</v>
      </c>
      <c r="J1079">
        <v>8122.7</v>
      </c>
      <c r="K1079" s="1">
        <v>44237</v>
      </c>
      <c r="L1079">
        <v>23264.68</v>
      </c>
    </row>
    <row r="1080" spans="1:12" x14ac:dyDescent="0.35">
      <c r="A1080" s="1">
        <v>44249</v>
      </c>
      <c r="B1080">
        <v>3699.85</v>
      </c>
      <c r="C1080" s="1">
        <v>44245</v>
      </c>
      <c r="D1080">
        <v>5728.33</v>
      </c>
      <c r="E1080" s="1">
        <v>44238</v>
      </c>
      <c r="F1080">
        <v>14040.91</v>
      </c>
      <c r="G1080" s="1">
        <v>44221</v>
      </c>
      <c r="H1080">
        <v>7472.4643500000002</v>
      </c>
      <c r="I1080" s="1">
        <v>44243</v>
      </c>
      <c r="J1080">
        <v>8153.7</v>
      </c>
      <c r="K1080" s="1">
        <v>44236</v>
      </c>
      <c r="L1080">
        <v>23300.49</v>
      </c>
    </row>
    <row r="1081" spans="1:12" x14ac:dyDescent="0.35">
      <c r="A1081" s="1">
        <v>44246</v>
      </c>
      <c r="B1081">
        <v>3713.46</v>
      </c>
      <c r="C1081" s="1">
        <v>44244</v>
      </c>
      <c r="D1081">
        <v>5765.84</v>
      </c>
      <c r="E1081" s="1">
        <v>44237</v>
      </c>
      <c r="F1081">
        <v>13932.97</v>
      </c>
      <c r="G1081" s="1">
        <v>44218</v>
      </c>
      <c r="H1081">
        <v>7527.0701499999996</v>
      </c>
      <c r="I1081" s="1">
        <v>44242</v>
      </c>
      <c r="J1081">
        <v>8203.5</v>
      </c>
      <c r="K1081" s="1">
        <v>44235</v>
      </c>
      <c r="L1081">
        <v>23425.919999999998</v>
      </c>
    </row>
    <row r="1082" spans="1:12" x14ac:dyDescent="0.35">
      <c r="A1082" s="1">
        <v>44245</v>
      </c>
      <c r="B1082">
        <v>3681.04</v>
      </c>
      <c r="C1082" s="1">
        <v>44243</v>
      </c>
      <c r="D1082">
        <v>5786.53</v>
      </c>
      <c r="E1082" s="1">
        <v>44236</v>
      </c>
      <c r="F1082">
        <v>14011.8</v>
      </c>
      <c r="G1082" s="1">
        <v>44217</v>
      </c>
      <c r="H1082">
        <v>7578.2704899999999</v>
      </c>
      <c r="I1082" s="1">
        <v>44239</v>
      </c>
      <c r="J1082">
        <v>8055</v>
      </c>
      <c r="K1082" s="1">
        <v>44232</v>
      </c>
      <c r="L1082">
        <v>23083.42</v>
      </c>
    </row>
    <row r="1083" spans="1:12" x14ac:dyDescent="0.35">
      <c r="A1083" s="1">
        <v>44244</v>
      </c>
      <c r="B1083">
        <v>3699.85</v>
      </c>
      <c r="C1083" s="1">
        <v>44242</v>
      </c>
      <c r="D1083">
        <v>5786.25</v>
      </c>
      <c r="E1083" s="1">
        <v>44235</v>
      </c>
      <c r="F1083">
        <v>14059.91</v>
      </c>
      <c r="G1083" s="1">
        <v>44216</v>
      </c>
      <c r="H1083">
        <v>7594.9781400000002</v>
      </c>
      <c r="I1083" s="1">
        <v>44238</v>
      </c>
      <c r="J1083">
        <v>8037.6</v>
      </c>
      <c r="K1083" s="1">
        <v>44231</v>
      </c>
      <c r="L1083">
        <v>22900.55</v>
      </c>
    </row>
    <row r="1084" spans="1:12" x14ac:dyDescent="0.35">
      <c r="A1084" s="1">
        <v>44243</v>
      </c>
      <c r="B1084">
        <v>3726.4</v>
      </c>
      <c r="C1084" s="1">
        <v>44239</v>
      </c>
      <c r="D1084">
        <v>5703.67</v>
      </c>
      <c r="E1084" s="1">
        <v>44232</v>
      </c>
      <c r="F1084">
        <v>14056.72</v>
      </c>
      <c r="G1084" s="1">
        <v>44215</v>
      </c>
      <c r="H1084">
        <v>7545.9074099999998</v>
      </c>
      <c r="I1084" s="1">
        <v>44237</v>
      </c>
      <c r="J1084">
        <v>8065.4</v>
      </c>
      <c r="K1084" s="1">
        <v>44230</v>
      </c>
      <c r="L1084">
        <v>22527.9</v>
      </c>
    </row>
    <row r="1085" spans="1:12" x14ac:dyDescent="0.35">
      <c r="A1085" s="1">
        <v>44242</v>
      </c>
      <c r="B1085">
        <v>3734.2</v>
      </c>
      <c r="C1085" s="1">
        <v>44238</v>
      </c>
      <c r="D1085">
        <v>5669.82</v>
      </c>
      <c r="E1085" s="1">
        <v>44231</v>
      </c>
      <c r="F1085">
        <v>14060.29</v>
      </c>
      <c r="G1085" s="1">
        <v>44214</v>
      </c>
      <c r="H1085">
        <v>7558.8528100000003</v>
      </c>
      <c r="I1085" s="1">
        <v>44236</v>
      </c>
      <c r="J1085">
        <v>8101</v>
      </c>
      <c r="K1085" s="1">
        <v>44229</v>
      </c>
      <c r="L1085">
        <v>22066.87</v>
      </c>
    </row>
    <row r="1086" spans="1:12" x14ac:dyDescent="0.35">
      <c r="A1086" s="1">
        <v>44239</v>
      </c>
      <c r="B1086">
        <v>3695.61</v>
      </c>
      <c r="C1086" s="1">
        <v>44237</v>
      </c>
      <c r="D1086">
        <v>5670.8</v>
      </c>
      <c r="E1086" s="1">
        <v>44230</v>
      </c>
      <c r="F1086">
        <v>13933.63</v>
      </c>
      <c r="G1086" s="1">
        <v>44211</v>
      </c>
      <c r="H1086">
        <v>7577.8129900000004</v>
      </c>
      <c r="I1086" s="1">
        <v>44235</v>
      </c>
      <c r="J1086">
        <v>8219</v>
      </c>
      <c r="K1086" s="1">
        <v>44228</v>
      </c>
      <c r="L1086">
        <v>21825.51</v>
      </c>
    </row>
    <row r="1087" spans="1:12" x14ac:dyDescent="0.35">
      <c r="A1087" s="1">
        <v>44238</v>
      </c>
      <c r="B1087">
        <v>3671.68</v>
      </c>
      <c r="C1087" s="1">
        <v>44236</v>
      </c>
      <c r="D1087">
        <v>5691.54</v>
      </c>
      <c r="E1087" s="1">
        <v>44229</v>
      </c>
      <c r="F1087">
        <v>13835.16</v>
      </c>
      <c r="G1087" s="1">
        <v>44210</v>
      </c>
      <c r="H1087">
        <v>7653.4629699999996</v>
      </c>
      <c r="I1087" s="1">
        <v>44232</v>
      </c>
      <c r="J1087">
        <v>8214.7000000000007</v>
      </c>
      <c r="K1087" s="1">
        <v>44225</v>
      </c>
      <c r="L1087">
        <v>21572.53</v>
      </c>
    </row>
    <row r="1088" spans="1:12" x14ac:dyDescent="0.35">
      <c r="A1088" s="1">
        <v>44237</v>
      </c>
      <c r="B1088">
        <v>3648.37</v>
      </c>
      <c r="C1088" s="1">
        <v>44235</v>
      </c>
      <c r="D1088">
        <v>5686.03</v>
      </c>
      <c r="E1088" s="1">
        <v>44228</v>
      </c>
      <c r="F1088">
        <v>13622.02</v>
      </c>
      <c r="G1088" s="1">
        <v>44209</v>
      </c>
      <c r="H1088">
        <v>7563.4108299999998</v>
      </c>
      <c r="I1088" s="1">
        <v>44231</v>
      </c>
      <c r="J1088">
        <v>8122.6</v>
      </c>
      <c r="K1088" s="1">
        <v>44224</v>
      </c>
      <c r="L1088">
        <v>21916.5</v>
      </c>
    </row>
    <row r="1089" spans="1:12" x14ac:dyDescent="0.35">
      <c r="A1089" s="1">
        <v>44236</v>
      </c>
      <c r="B1089">
        <v>3661.13</v>
      </c>
      <c r="C1089" s="1">
        <v>44232</v>
      </c>
      <c r="D1089">
        <v>5659.26</v>
      </c>
      <c r="E1089" s="1">
        <v>44225</v>
      </c>
      <c r="F1089">
        <v>13432.87</v>
      </c>
      <c r="G1089" s="1">
        <v>44208</v>
      </c>
      <c r="H1089">
        <v>7557.9461700000002</v>
      </c>
      <c r="I1089" s="1">
        <v>44230</v>
      </c>
      <c r="J1089">
        <v>8012.8</v>
      </c>
      <c r="K1089" s="1">
        <v>44223</v>
      </c>
      <c r="L1089">
        <v>21662.73</v>
      </c>
    </row>
    <row r="1090" spans="1:12" x14ac:dyDescent="0.35">
      <c r="A1090" s="1">
        <v>44235</v>
      </c>
      <c r="B1090">
        <v>3665.51</v>
      </c>
      <c r="C1090" s="1">
        <v>44231</v>
      </c>
      <c r="D1090">
        <v>5608.54</v>
      </c>
      <c r="E1090" s="1">
        <v>44224</v>
      </c>
      <c r="F1090">
        <v>13665.93</v>
      </c>
      <c r="G1090" s="1">
        <v>44207</v>
      </c>
      <c r="H1090">
        <v>7557.8401000000003</v>
      </c>
      <c r="I1090" s="1">
        <v>44229</v>
      </c>
      <c r="J1090">
        <v>7950.9</v>
      </c>
      <c r="K1090" s="1">
        <v>44222</v>
      </c>
      <c r="L1090">
        <v>21987</v>
      </c>
    </row>
    <row r="1091" spans="1:12" x14ac:dyDescent="0.35">
      <c r="A1091" s="1">
        <v>44232</v>
      </c>
      <c r="B1091">
        <v>3655.77</v>
      </c>
      <c r="C1091" s="1">
        <v>44230</v>
      </c>
      <c r="D1091">
        <v>5563.05</v>
      </c>
      <c r="E1091" s="1">
        <v>44223</v>
      </c>
      <c r="F1091">
        <v>13620.46</v>
      </c>
      <c r="G1091" s="1">
        <v>44204</v>
      </c>
      <c r="H1091">
        <v>7632.5840900000003</v>
      </c>
      <c r="I1091" s="1">
        <v>44228</v>
      </c>
      <c r="J1091">
        <v>7798.2</v>
      </c>
      <c r="K1091" s="1">
        <v>44221</v>
      </c>
      <c r="L1091">
        <v>21735.95</v>
      </c>
    </row>
    <row r="1092" spans="1:12" x14ac:dyDescent="0.35">
      <c r="A1092" s="1">
        <v>44231</v>
      </c>
      <c r="B1092">
        <v>3642.12</v>
      </c>
      <c r="C1092" s="1">
        <v>44229</v>
      </c>
      <c r="D1092">
        <v>5563.11</v>
      </c>
      <c r="E1092" s="1">
        <v>44222</v>
      </c>
      <c r="F1092">
        <v>13870.99</v>
      </c>
      <c r="G1092" s="1">
        <v>44203</v>
      </c>
      <c r="H1092">
        <v>7573.6257999999998</v>
      </c>
      <c r="I1092" s="1">
        <v>44225</v>
      </c>
      <c r="J1092">
        <v>7757.5</v>
      </c>
      <c r="K1092" s="1">
        <v>44218</v>
      </c>
      <c r="L1092">
        <v>22088.36</v>
      </c>
    </row>
    <row r="1093" spans="1:12" x14ac:dyDescent="0.35">
      <c r="A1093" s="1">
        <v>44230</v>
      </c>
      <c r="B1093">
        <v>3609.75</v>
      </c>
      <c r="C1093" s="1">
        <v>44228</v>
      </c>
      <c r="D1093">
        <v>5461.68</v>
      </c>
      <c r="E1093" s="1">
        <v>44221</v>
      </c>
      <c r="F1093">
        <v>13643.95</v>
      </c>
      <c r="G1093" s="1">
        <v>44202</v>
      </c>
      <c r="H1093">
        <v>7568.37997</v>
      </c>
      <c r="I1093" s="1">
        <v>44224</v>
      </c>
      <c r="J1093">
        <v>7932.5</v>
      </c>
      <c r="K1093" s="1">
        <v>44217</v>
      </c>
      <c r="L1093">
        <v>22428.93</v>
      </c>
    </row>
    <row r="1094" spans="1:12" x14ac:dyDescent="0.35">
      <c r="A1094" s="1">
        <v>44229</v>
      </c>
      <c r="B1094">
        <v>3590.46</v>
      </c>
      <c r="C1094" s="1">
        <v>44225</v>
      </c>
      <c r="D1094">
        <v>5399.21</v>
      </c>
      <c r="E1094" s="1">
        <v>44218</v>
      </c>
      <c r="F1094">
        <v>13873.97</v>
      </c>
      <c r="G1094" s="1">
        <v>44201</v>
      </c>
      <c r="H1094">
        <v>7328.8458700000001</v>
      </c>
      <c r="I1094" s="1">
        <v>44223</v>
      </c>
      <c r="J1094">
        <v>7852.7</v>
      </c>
      <c r="K1094" s="1">
        <v>44216</v>
      </c>
      <c r="L1094">
        <v>22650.78</v>
      </c>
    </row>
    <row r="1095" spans="1:12" x14ac:dyDescent="0.35">
      <c r="A1095" s="1">
        <v>44228</v>
      </c>
      <c r="B1095">
        <v>3530.85</v>
      </c>
      <c r="C1095" s="1">
        <v>44224</v>
      </c>
      <c r="D1095">
        <v>5510.52</v>
      </c>
      <c r="E1095" s="1">
        <v>44217</v>
      </c>
      <c r="F1095">
        <v>13906.67</v>
      </c>
      <c r="G1095" s="1">
        <v>44200</v>
      </c>
      <c r="H1095">
        <v>7276.1057799999999</v>
      </c>
      <c r="I1095" s="1">
        <v>44222</v>
      </c>
      <c r="J1095">
        <v>7964.9</v>
      </c>
      <c r="K1095" s="1">
        <v>44215</v>
      </c>
      <c r="L1095">
        <v>22441.72</v>
      </c>
    </row>
    <row r="1096" spans="1:12" x14ac:dyDescent="0.35">
      <c r="A1096" s="1">
        <v>44225</v>
      </c>
      <c r="B1096">
        <v>3481.44</v>
      </c>
      <c r="C1096" s="1">
        <v>44223</v>
      </c>
      <c r="D1096">
        <v>5459.62</v>
      </c>
      <c r="E1096" s="1">
        <v>44216</v>
      </c>
      <c r="F1096">
        <v>13921.37</v>
      </c>
      <c r="G1096" s="1">
        <v>44196</v>
      </c>
      <c r="H1096">
        <v>7214.1152199999997</v>
      </c>
      <c r="I1096" s="1">
        <v>44221</v>
      </c>
      <c r="J1096">
        <v>7897.3</v>
      </c>
      <c r="K1096" s="1">
        <v>44214</v>
      </c>
      <c r="L1096">
        <v>22498.89</v>
      </c>
    </row>
    <row r="1097" spans="1:12" x14ac:dyDescent="0.35">
      <c r="A1097" s="1">
        <v>44224</v>
      </c>
      <c r="B1097">
        <v>3557.04</v>
      </c>
      <c r="C1097" s="1">
        <v>44222</v>
      </c>
      <c r="D1097">
        <v>5523.52</v>
      </c>
      <c r="E1097" s="1">
        <v>44215</v>
      </c>
      <c r="F1097">
        <v>13815.06</v>
      </c>
      <c r="G1097" s="1">
        <v>44195</v>
      </c>
      <c r="H1097">
        <v>7254.6664600000004</v>
      </c>
      <c r="I1097" s="1">
        <v>44218</v>
      </c>
      <c r="J1097">
        <v>8036.4</v>
      </c>
      <c r="K1097" s="1">
        <v>44211</v>
      </c>
      <c r="L1097">
        <v>22381.35</v>
      </c>
    </row>
    <row r="1098" spans="1:12" x14ac:dyDescent="0.35">
      <c r="A1098" s="1">
        <v>44223</v>
      </c>
      <c r="B1098">
        <v>3536.38</v>
      </c>
      <c r="C1098" s="1">
        <v>44221</v>
      </c>
      <c r="D1098">
        <v>5472.36</v>
      </c>
      <c r="E1098" s="1">
        <v>44214</v>
      </c>
      <c r="F1098">
        <v>13848.35</v>
      </c>
      <c r="G1098" s="1">
        <v>44194</v>
      </c>
      <c r="H1098">
        <v>7275.7513900000004</v>
      </c>
      <c r="I1098" s="1">
        <v>44217</v>
      </c>
      <c r="J1098">
        <v>8122.1</v>
      </c>
      <c r="K1098" s="1">
        <v>44210</v>
      </c>
      <c r="L1098">
        <v>22637.72</v>
      </c>
    </row>
    <row r="1099" spans="1:12" x14ac:dyDescent="0.35">
      <c r="A1099" s="1">
        <v>44222</v>
      </c>
      <c r="B1099">
        <v>3592.83</v>
      </c>
      <c r="C1099" s="1">
        <v>44218</v>
      </c>
      <c r="D1099">
        <v>5559.57</v>
      </c>
      <c r="E1099" s="1">
        <v>44211</v>
      </c>
      <c r="F1099">
        <v>13787.73</v>
      </c>
      <c r="G1099" s="1">
        <v>44189</v>
      </c>
      <c r="H1099">
        <v>7225.2782699999998</v>
      </c>
      <c r="I1099" s="1">
        <v>44216</v>
      </c>
      <c r="J1099">
        <v>8204.1</v>
      </c>
      <c r="K1099" s="1">
        <v>44209</v>
      </c>
      <c r="L1099">
        <v>22743.65</v>
      </c>
    </row>
    <row r="1100" spans="1:12" x14ac:dyDescent="0.35">
      <c r="A1100" s="1">
        <v>44221</v>
      </c>
      <c r="B1100">
        <v>3553.14</v>
      </c>
      <c r="C1100" s="1">
        <v>44217</v>
      </c>
      <c r="D1100">
        <v>5590.79</v>
      </c>
      <c r="E1100" s="1">
        <v>44210</v>
      </c>
      <c r="F1100">
        <v>13988.7</v>
      </c>
      <c r="G1100" s="1">
        <v>44188</v>
      </c>
      <c r="H1100">
        <v>7186.5263999999997</v>
      </c>
      <c r="I1100" s="1">
        <v>44215</v>
      </c>
      <c r="J1100">
        <v>8199</v>
      </c>
      <c r="K1100" s="1">
        <v>44208</v>
      </c>
      <c r="L1100">
        <v>22646.07</v>
      </c>
    </row>
    <row r="1101" spans="1:12" x14ac:dyDescent="0.35">
      <c r="A1101" s="1">
        <v>44218</v>
      </c>
      <c r="B1101">
        <v>3602.41</v>
      </c>
      <c r="C1101" s="1">
        <v>44216</v>
      </c>
      <c r="D1101">
        <v>5628.44</v>
      </c>
      <c r="E1101" s="1">
        <v>44209</v>
      </c>
      <c r="F1101">
        <v>13939.71</v>
      </c>
      <c r="G1101" s="1">
        <v>44187</v>
      </c>
      <c r="H1101">
        <v>7079.6598000000004</v>
      </c>
      <c r="I1101" s="1">
        <v>44214</v>
      </c>
      <c r="J1101">
        <v>8254.5</v>
      </c>
      <c r="K1101" s="1">
        <v>44207</v>
      </c>
      <c r="L1101">
        <v>22722.01</v>
      </c>
    </row>
    <row r="1102" spans="1:12" x14ac:dyDescent="0.35">
      <c r="A1102" s="1">
        <v>44217</v>
      </c>
      <c r="B1102">
        <v>3618.35</v>
      </c>
      <c r="C1102" s="1">
        <v>44215</v>
      </c>
      <c r="D1102">
        <v>5598.61</v>
      </c>
      <c r="E1102" s="1">
        <v>44208</v>
      </c>
      <c r="F1102">
        <v>13925.06</v>
      </c>
      <c r="G1102" s="1">
        <v>44186</v>
      </c>
      <c r="H1102">
        <v>7004.15056</v>
      </c>
      <c r="I1102" s="1">
        <v>44211</v>
      </c>
      <c r="J1102">
        <v>8230.7000000000007</v>
      </c>
      <c r="K1102" s="1">
        <v>44204</v>
      </c>
      <c r="L1102">
        <v>22793.94</v>
      </c>
    </row>
    <row r="1103" spans="1:12" x14ac:dyDescent="0.35">
      <c r="A1103" s="1">
        <v>44216</v>
      </c>
      <c r="B1103">
        <v>3624.04</v>
      </c>
      <c r="C1103" s="1">
        <v>44214</v>
      </c>
      <c r="D1103">
        <v>5617.27</v>
      </c>
      <c r="E1103" s="1">
        <v>44207</v>
      </c>
      <c r="F1103">
        <v>13936.66</v>
      </c>
      <c r="G1103" s="1">
        <v>44183</v>
      </c>
      <c r="H1103">
        <v>7206.8018499999998</v>
      </c>
      <c r="I1103" s="1">
        <v>44210</v>
      </c>
      <c r="J1103">
        <v>8372.4</v>
      </c>
      <c r="K1103" s="1">
        <v>44203</v>
      </c>
      <c r="L1103">
        <v>22746.080000000002</v>
      </c>
    </row>
    <row r="1104" spans="1:12" x14ac:dyDescent="0.35">
      <c r="A1104" s="1">
        <v>44215</v>
      </c>
      <c r="B1104">
        <v>3595.42</v>
      </c>
      <c r="C1104" s="1">
        <v>44211</v>
      </c>
      <c r="D1104">
        <v>5611.69</v>
      </c>
      <c r="E1104" s="1">
        <v>44204</v>
      </c>
      <c r="F1104">
        <v>14049.53</v>
      </c>
      <c r="G1104" s="1">
        <v>44182</v>
      </c>
      <c r="H1104">
        <v>7271.35599</v>
      </c>
      <c r="I1104" s="1">
        <v>44209</v>
      </c>
      <c r="J1104">
        <v>8361.1</v>
      </c>
      <c r="K1104" s="1">
        <v>44202</v>
      </c>
      <c r="L1104">
        <v>22734.32</v>
      </c>
    </row>
    <row r="1105" spans="1:12" x14ac:dyDescent="0.35">
      <c r="A1105" s="1">
        <v>44214</v>
      </c>
      <c r="B1105">
        <v>3602.67</v>
      </c>
      <c r="C1105" s="1">
        <v>44210</v>
      </c>
      <c r="D1105">
        <v>5681.14</v>
      </c>
      <c r="E1105" s="1">
        <v>44203</v>
      </c>
      <c r="F1105">
        <v>13968.24</v>
      </c>
      <c r="G1105" s="1">
        <v>44181</v>
      </c>
      <c r="H1105">
        <v>7273.95255</v>
      </c>
      <c r="I1105" s="1">
        <v>44208</v>
      </c>
      <c r="J1105">
        <v>8345.9</v>
      </c>
      <c r="K1105" s="1">
        <v>44201</v>
      </c>
      <c r="L1105">
        <v>22200.6</v>
      </c>
    </row>
    <row r="1106" spans="1:12" x14ac:dyDescent="0.35">
      <c r="A1106" s="1">
        <v>44211</v>
      </c>
      <c r="B1106">
        <v>3599.55</v>
      </c>
      <c r="C1106" s="1">
        <v>44209</v>
      </c>
      <c r="D1106">
        <v>5662.67</v>
      </c>
      <c r="E1106" s="1">
        <v>44202</v>
      </c>
      <c r="F1106">
        <v>13891.97</v>
      </c>
      <c r="G1106" s="1">
        <v>44180</v>
      </c>
      <c r="H1106">
        <v>7192.9847499999996</v>
      </c>
      <c r="I1106" s="1">
        <v>44207</v>
      </c>
      <c r="J1106">
        <v>8357.5</v>
      </c>
      <c r="K1106" s="1">
        <v>44200</v>
      </c>
      <c r="L1106">
        <v>22315.87</v>
      </c>
    </row>
    <row r="1107" spans="1:12" x14ac:dyDescent="0.35">
      <c r="A1107" s="1">
        <v>44210</v>
      </c>
      <c r="B1107">
        <v>3641.37</v>
      </c>
      <c r="C1107" s="1">
        <v>44208</v>
      </c>
      <c r="D1107">
        <v>5650.97</v>
      </c>
      <c r="E1107" s="1">
        <v>44201</v>
      </c>
      <c r="F1107">
        <v>13651.22</v>
      </c>
      <c r="G1107" s="1">
        <v>44179</v>
      </c>
      <c r="H1107">
        <v>7164.16788</v>
      </c>
      <c r="I1107" s="1">
        <v>44204</v>
      </c>
      <c r="J1107">
        <v>8407.7000000000007</v>
      </c>
      <c r="K1107" s="1">
        <v>44195</v>
      </c>
      <c r="L1107">
        <v>22232.9</v>
      </c>
    </row>
    <row r="1108" spans="1:12" x14ac:dyDescent="0.35">
      <c r="A1108" s="1">
        <v>44209</v>
      </c>
      <c r="B1108">
        <v>3616.51</v>
      </c>
      <c r="C1108" s="1">
        <v>44207</v>
      </c>
      <c r="D1108">
        <v>5662.43</v>
      </c>
      <c r="E1108" s="1">
        <v>44200</v>
      </c>
      <c r="F1108">
        <v>13726.74</v>
      </c>
      <c r="G1108" s="1">
        <v>44176</v>
      </c>
      <c r="H1108">
        <v>7145.9367400000001</v>
      </c>
      <c r="I1108" s="1">
        <v>44203</v>
      </c>
      <c r="J1108">
        <v>8385.7999999999993</v>
      </c>
      <c r="K1108" s="1">
        <v>44194</v>
      </c>
      <c r="L1108">
        <v>22259.35</v>
      </c>
    </row>
    <row r="1109" spans="1:12" x14ac:dyDescent="0.35">
      <c r="A1109" s="1">
        <v>44208</v>
      </c>
      <c r="B1109">
        <v>3612.13</v>
      </c>
      <c r="C1109" s="1">
        <v>44204</v>
      </c>
      <c r="D1109">
        <v>5706.88</v>
      </c>
      <c r="E1109" s="1">
        <v>44195</v>
      </c>
      <c r="F1109">
        <v>13718.78</v>
      </c>
      <c r="G1109" s="1">
        <v>44175</v>
      </c>
      <c r="H1109">
        <v>7247.7562399999997</v>
      </c>
      <c r="I1109" s="1">
        <v>44202</v>
      </c>
      <c r="J1109">
        <v>8350.2999999999993</v>
      </c>
      <c r="K1109" s="1">
        <v>44193</v>
      </c>
      <c r="L1109">
        <v>22288.52</v>
      </c>
    </row>
    <row r="1110" spans="1:12" x14ac:dyDescent="0.35">
      <c r="A1110" s="1">
        <v>44207</v>
      </c>
      <c r="B1110">
        <v>3620.62</v>
      </c>
      <c r="C1110" s="1">
        <v>44203</v>
      </c>
      <c r="D1110">
        <v>5669.85</v>
      </c>
      <c r="E1110" s="1">
        <v>44194</v>
      </c>
      <c r="F1110">
        <v>13761.38</v>
      </c>
      <c r="G1110" s="1">
        <v>44174</v>
      </c>
      <c r="H1110">
        <v>7270.6363099999999</v>
      </c>
      <c r="I1110" s="1">
        <v>44201</v>
      </c>
      <c r="J1110">
        <v>8091.5</v>
      </c>
      <c r="K1110" s="1">
        <v>44188</v>
      </c>
      <c r="L1110">
        <v>22130.18</v>
      </c>
    </row>
    <row r="1111" spans="1:12" x14ac:dyDescent="0.35">
      <c r="A1111" s="1">
        <v>44204</v>
      </c>
      <c r="B1111">
        <v>3645.05</v>
      </c>
      <c r="C1111" s="1">
        <v>44202</v>
      </c>
      <c r="D1111">
        <v>5630.6</v>
      </c>
      <c r="E1111" s="1">
        <v>44193</v>
      </c>
      <c r="F1111">
        <v>13790.29</v>
      </c>
      <c r="G1111" s="1">
        <v>44173</v>
      </c>
      <c r="H1111">
        <v>7233.9209899999996</v>
      </c>
      <c r="I1111" s="1">
        <v>44200</v>
      </c>
      <c r="J1111">
        <v>8099.2</v>
      </c>
      <c r="K1111" s="1">
        <v>44187</v>
      </c>
      <c r="L1111">
        <v>21844.33</v>
      </c>
    </row>
    <row r="1112" spans="1:12" x14ac:dyDescent="0.35">
      <c r="A1112" s="1">
        <v>44203</v>
      </c>
      <c r="B1112">
        <v>3622.42</v>
      </c>
      <c r="C1112" s="1">
        <v>44201</v>
      </c>
      <c r="D1112">
        <v>5564.6</v>
      </c>
      <c r="E1112" s="1">
        <v>44188</v>
      </c>
      <c r="F1112">
        <v>13587.23</v>
      </c>
      <c r="G1112" s="1">
        <v>44172</v>
      </c>
      <c r="H1112">
        <v>7220.4922100000003</v>
      </c>
      <c r="I1112" s="1">
        <v>44196</v>
      </c>
      <c r="J1112">
        <v>8073.7</v>
      </c>
      <c r="K1112" s="1">
        <v>44186</v>
      </c>
      <c r="L1112">
        <v>21410.51</v>
      </c>
    </row>
    <row r="1113" spans="1:12" x14ac:dyDescent="0.35">
      <c r="A1113" s="1">
        <v>44202</v>
      </c>
      <c r="B1113">
        <v>3611.08</v>
      </c>
      <c r="C1113" s="1">
        <v>44200</v>
      </c>
      <c r="D1113">
        <v>5588.96</v>
      </c>
      <c r="E1113" s="1">
        <v>44187</v>
      </c>
      <c r="F1113">
        <v>13418.11</v>
      </c>
      <c r="G1113" s="1">
        <v>44169</v>
      </c>
      <c r="H1113">
        <v>7267.0659400000004</v>
      </c>
      <c r="I1113" s="1">
        <v>44195</v>
      </c>
      <c r="J1113">
        <v>8154.4</v>
      </c>
      <c r="K1113" s="1">
        <v>44183</v>
      </c>
      <c r="L1113">
        <v>21976.12</v>
      </c>
    </row>
    <row r="1114" spans="1:12" x14ac:dyDescent="0.35">
      <c r="A1114" s="1">
        <v>44201</v>
      </c>
      <c r="B1114">
        <v>3547.85</v>
      </c>
      <c r="C1114" s="1">
        <v>44196</v>
      </c>
      <c r="D1114">
        <v>5551.41</v>
      </c>
      <c r="E1114" s="1">
        <v>44186</v>
      </c>
      <c r="F1114">
        <v>13246.3</v>
      </c>
      <c r="G1114" s="1">
        <v>44168</v>
      </c>
      <c r="H1114">
        <v>7206.3050599999997</v>
      </c>
      <c r="I1114" s="1">
        <v>44194</v>
      </c>
      <c r="J1114">
        <v>8174.8</v>
      </c>
      <c r="K1114" s="1">
        <v>44182</v>
      </c>
      <c r="L1114">
        <v>22012.07</v>
      </c>
    </row>
    <row r="1115" spans="1:12" x14ac:dyDescent="0.35">
      <c r="A1115" s="1">
        <v>44200</v>
      </c>
      <c r="B1115">
        <v>3564.39</v>
      </c>
      <c r="C1115" s="1">
        <v>44195</v>
      </c>
      <c r="D1115">
        <v>5599.41</v>
      </c>
      <c r="E1115" s="1">
        <v>44183</v>
      </c>
      <c r="F1115">
        <v>13630.51</v>
      </c>
      <c r="G1115" s="1">
        <v>44167</v>
      </c>
      <c r="H1115">
        <v>7136.29234</v>
      </c>
      <c r="I1115" s="1">
        <v>44193</v>
      </c>
      <c r="J1115">
        <v>8155.6</v>
      </c>
      <c r="K1115" s="1">
        <v>44181</v>
      </c>
      <c r="L1115">
        <v>21986.52</v>
      </c>
    </row>
    <row r="1116" spans="1:12" x14ac:dyDescent="0.35">
      <c r="A1116" s="1">
        <v>44196</v>
      </c>
      <c r="B1116">
        <v>3552.64</v>
      </c>
      <c r="C1116" s="1">
        <v>44194</v>
      </c>
      <c r="D1116">
        <v>5611.79</v>
      </c>
      <c r="E1116" s="1">
        <v>44182</v>
      </c>
      <c r="F1116">
        <v>13667.25</v>
      </c>
      <c r="G1116" s="1">
        <v>44166</v>
      </c>
      <c r="H1116">
        <v>7113.0503799999997</v>
      </c>
      <c r="I1116" s="1">
        <v>44189</v>
      </c>
      <c r="J1116">
        <v>8111.5</v>
      </c>
      <c r="K1116" s="1">
        <v>44180</v>
      </c>
      <c r="L1116">
        <v>21935.05</v>
      </c>
    </row>
    <row r="1117" spans="1:12" x14ac:dyDescent="0.35">
      <c r="A1117" s="1">
        <v>44195</v>
      </c>
      <c r="B1117">
        <v>3571.59</v>
      </c>
      <c r="C1117" s="1">
        <v>44193</v>
      </c>
      <c r="D1117">
        <v>5588.38</v>
      </c>
      <c r="E1117" s="1">
        <v>44181</v>
      </c>
      <c r="F1117">
        <v>13565.98</v>
      </c>
      <c r="G1117" s="1">
        <v>44165</v>
      </c>
      <c r="H1117">
        <v>6999.5344699999996</v>
      </c>
      <c r="I1117" s="1">
        <v>44188</v>
      </c>
      <c r="J1117">
        <v>8073.6</v>
      </c>
      <c r="K1117" s="1">
        <v>44179</v>
      </c>
      <c r="L1117">
        <v>21759.73</v>
      </c>
    </row>
    <row r="1118" spans="1:12" x14ac:dyDescent="0.35">
      <c r="A1118" s="1">
        <v>44194</v>
      </c>
      <c r="B1118">
        <v>3581.37</v>
      </c>
      <c r="C1118" s="1">
        <v>44189</v>
      </c>
      <c r="D1118">
        <v>5522.01</v>
      </c>
      <c r="E1118" s="1">
        <v>44180</v>
      </c>
      <c r="F1118">
        <v>13362.87</v>
      </c>
      <c r="G1118" s="1">
        <v>44162</v>
      </c>
      <c r="H1118">
        <v>7091.8343100000002</v>
      </c>
      <c r="I1118" s="1">
        <v>44187</v>
      </c>
      <c r="J1118">
        <v>7934.2</v>
      </c>
      <c r="K1118" s="1">
        <v>44176</v>
      </c>
      <c r="L1118">
        <v>21702.16</v>
      </c>
    </row>
    <row r="1119" spans="1:12" x14ac:dyDescent="0.35">
      <c r="A1119" s="1">
        <v>44193</v>
      </c>
      <c r="B1119">
        <v>3575.41</v>
      </c>
      <c r="C1119" s="1">
        <v>44188</v>
      </c>
      <c r="D1119">
        <v>5527.59</v>
      </c>
      <c r="E1119" s="1">
        <v>44179</v>
      </c>
      <c r="F1119">
        <v>13223.16</v>
      </c>
      <c r="G1119" s="1">
        <v>44161</v>
      </c>
      <c r="H1119">
        <v>7132.5918899999997</v>
      </c>
      <c r="I1119" s="1">
        <v>44186</v>
      </c>
      <c r="J1119">
        <v>7789.8</v>
      </c>
      <c r="K1119" s="1">
        <v>44175</v>
      </c>
      <c r="L1119">
        <v>21915.51</v>
      </c>
    </row>
    <row r="1120" spans="1:12" x14ac:dyDescent="0.35">
      <c r="A1120" s="1">
        <v>44189</v>
      </c>
      <c r="B1120">
        <v>3543.28</v>
      </c>
      <c r="C1120" s="1">
        <v>44187</v>
      </c>
      <c r="D1120">
        <v>5466.86</v>
      </c>
      <c r="E1120" s="1">
        <v>44176</v>
      </c>
      <c r="F1120">
        <v>13114.3</v>
      </c>
      <c r="G1120" s="1">
        <v>44160</v>
      </c>
      <c r="H1120">
        <v>7176.8357900000001</v>
      </c>
      <c r="I1120" s="1">
        <v>44183</v>
      </c>
      <c r="J1120">
        <v>8037.4</v>
      </c>
      <c r="K1120" s="1">
        <v>44174</v>
      </c>
      <c r="L1120">
        <v>21969.59</v>
      </c>
    </row>
    <row r="1121" spans="1:12" x14ac:dyDescent="0.35">
      <c r="A1121" s="1">
        <v>44188</v>
      </c>
      <c r="B1121">
        <v>3539.26</v>
      </c>
      <c r="C1121" s="1">
        <v>44186</v>
      </c>
      <c r="D1121">
        <v>5393.34</v>
      </c>
      <c r="E1121" s="1">
        <v>44175</v>
      </c>
      <c r="F1121">
        <v>13295.73</v>
      </c>
      <c r="G1121" s="1">
        <v>44159</v>
      </c>
      <c r="H1121">
        <v>7228.5390600000001</v>
      </c>
      <c r="I1121" s="1">
        <v>44182</v>
      </c>
      <c r="J1121">
        <v>8153.4</v>
      </c>
      <c r="K1121" s="1">
        <v>44173</v>
      </c>
      <c r="L1121">
        <v>22053.42</v>
      </c>
    </row>
    <row r="1122" spans="1:12" x14ac:dyDescent="0.35">
      <c r="A1122" s="1">
        <v>44187</v>
      </c>
      <c r="B1122">
        <v>3497.49</v>
      </c>
      <c r="C1122" s="1">
        <v>44183</v>
      </c>
      <c r="D1122">
        <v>5527.84</v>
      </c>
      <c r="E1122" s="1">
        <v>44174</v>
      </c>
      <c r="F1122">
        <v>13340.26</v>
      </c>
      <c r="G1122" s="1">
        <v>44158</v>
      </c>
      <c r="H1122">
        <v>7120.6889700000002</v>
      </c>
      <c r="I1122" s="1">
        <v>44181</v>
      </c>
      <c r="J1122">
        <v>8139.5</v>
      </c>
      <c r="K1122" s="1">
        <v>44172</v>
      </c>
      <c r="L1122">
        <v>22107.18</v>
      </c>
    </row>
    <row r="1123" spans="1:12" x14ac:dyDescent="0.35">
      <c r="A1123" s="1">
        <v>44186</v>
      </c>
      <c r="B1123">
        <v>3448.68</v>
      </c>
      <c r="C1123" s="1">
        <v>44182</v>
      </c>
      <c r="D1123">
        <v>5549.46</v>
      </c>
      <c r="E1123" s="1">
        <v>44173</v>
      </c>
      <c r="F1123">
        <v>13278.49</v>
      </c>
      <c r="G1123" s="1">
        <v>44155</v>
      </c>
      <c r="H1123">
        <v>7114.4384300000002</v>
      </c>
      <c r="I1123" s="1">
        <v>44180</v>
      </c>
      <c r="J1123">
        <v>8152.4</v>
      </c>
      <c r="K1123" s="1">
        <v>44169</v>
      </c>
      <c r="L1123">
        <v>22178.799999999999</v>
      </c>
    </row>
    <row r="1124" spans="1:12" x14ac:dyDescent="0.35">
      <c r="A1124" s="1">
        <v>44183</v>
      </c>
      <c r="B1124">
        <v>3545.74</v>
      </c>
      <c r="C1124" s="1">
        <v>44181</v>
      </c>
      <c r="D1124">
        <v>5547.68</v>
      </c>
      <c r="E1124" s="1">
        <v>44172</v>
      </c>
      <c r="F1124">
        <v>13271</v>
      </c>
      <c r="G1124" s="1">
        <v>44154</v>
      </c>
      <c r="H1124">
        <v>7077.6174700000001</v>
      </c>
      <c r="I1124" s="1">
        <v>44179</v>
      </c>
      <c r="J1124">
        <v>8140.8</v>
      </c>
      <c r="K1124" s="1">
        <v>44168</v>
      </c>
      <c r="L1124">
        <v>22007.4</v>
      </c>
    </row>
    <row r="1125" spans="1:12" x14ac:dyDescent="0.35">
      <c r="A1125" s="1">
        <v>44182</v>
      </c>
      <c r="B1125">
        <v>3560.87</v>
      </c>
      <c r="C1125" s="1">
        <v>44180</v>
      </c>
      <c r="D1125">
        <v>5530.31</v>
      </c>
      <c r="E1125" s="1">
        <v>44169</v>
      </c>
      <c r="F1125">
        <v>13298.96</v>
      </c>
      <c r="G1125" s="1">
        <v>44153</v>
      </c>
      <c r="H1125">
        <v>7148.5639700000002</v>
      </c>
      <c r="I1125" s="1">
        <v>44176</v>
      </c>
      <c r="J1125">
        <v>8063.1</v>
      </c>
      <c r="K1125" s="1">
        <v>44167</v>
      </c>
      <c r="L1125">
        <v>21972.2</v>
      </c>
    </row>
    <row r="1126" spans="1:12" x14ac:dyDescent="0.35">
      <c r="A1126" s="1">
        <v>44181</v>
      </c>
      <c r="B1126">
        <v>3543</v>
      </c>
      <c r="C1126" s="1">
        <v>44179</v>
      </c>
      <c r="D1126">
        <v>5527.84</v>
      </c>
      <c r="E1126" s="1">
        <v>44168</v>
      </c>
      <c r="F1126">
        <v>13252.86</v>
      </c>
      <c r="G1126" s="1">
        <v>44152</v>
      </c>
      <c r="H1126">
        <v>7105.2600400000001</v>
      </c>
      <c r="I1126" s="1">
        <v>44175</v>
      </c>
      <c r="J1126">
        <v>8182.3</v>
      </c>
      <c r="K1126" s="1">
        <v>44166</v>
      </c>
      <c r="L1126">
        <v>22099.919999999998</v>
      </c>
    </row>
    <row r="1127" spans="1:12" x14ac:dyDescent="0.35">
      <c r="A1127" s="1">
        <v>44180</v>
      </c>
      <c r="B1127">
        <v>3521.5</v>
      </c>
      <c r="C1127" s="1">
        <v>44176</v>
      </c>
      <c r="D1127">
        <v>5507.55</v>
      </c>
      <c r="E1127" s="1">
        <v>44167</v>
      </c>
      <c r="F1127">
        <v>13313.24</v>
      </c>
      <c r="G1127" s="1">
        <v>44151</v>
      </c>
      <c r="H1127">
        <v>7156.0348000000004</v>
      </c>
      <c r="I1127" s="1">
        <v>44174</v>
      </c>
      <c r="J1127">
        <v>8235.2999999999993</v>
      </c>
      <c r="K1127" s="1">
        <v>44165</v>
      </c>
      <c r="L1127">
        <v>22060.98</v>
      </c>
    </row>
    <row r="1128" spans="1:12" x14ac:dyDescent="0.35">
      <c r="A1128" s="1">
        <v>44179</v>
      </c>
      <c r="B1128">
        <v>3503.96</v>
      </c>
      <c r="C1128" s="1">
        <v>44175</v>
      </c>
      <c r="D1128">
        <v>5549.65</v>
      </c>
      <c r="E1128" s="1">
        <v>44166</v>
      </c>
      <c r="F1128">
        <v>13382.3</v>
      </c>
      <c r="G1128" s="1">
        <v>44148</v>
      </c>
      <c r="H1128">
        <v>7043.8484099999996</v>
      </c>
      <c r="I1128" s="1">
        <v>44173</v>
      </c>
      <c r="J1128">
        <v>8227.6</v>
      </c>
      <c r="K1128" s="1">
        <v>44162</v>
      </c>
      <c r="L1128">
        <v>22352.46</v>
      </c>
    </row>
    <row r="1129" spans="1:12" x14ac:dyDescent="0.35">
      <c r="A1129" s="1">
        <v>44176</v>
      </c>
      <c r="B1129">
        <v>3485.84</v>
      </c>
      <c r="C1129" s="1">
        <v>44174</v>
      </c>
      <c r="D1129">
        <v>5546.82</v>
      </c>
      <c r="E1129" s="1">
        <v>44165</v>
      </c>
      <c r="F1129">
        <v>13291.16</v>
      </c>
      <c r="G1129" s="1">
        <v>44147</v>
      </c>
      <c r="H1129">
        <v>7045.8929699999999</v>
      </c>
      <c r="I1129" s="1">
        <v>44172</v>
      </c>
      <c r="J1129">
        <v>8275.6</v>
      </c>
      <c r="K1129" s="1">
        <v>44161</v>
      </c>
      <c r="L1129">
        <v>22201.439999999999</v>
      </c>
    </row>
    <row r="1130" spans="1:12" x14ac:dyDescent="0.35">
      <c r="A1130" s="1">
        <v>44175</v>
      </c>
      <c r="B1130">
        <v>3522.31</v>
      </c>
      <c r="C1130" s="1">
        <v>44173</v>
      </c>
      <c r="D1130">
        <v>5560.67</v>
      </c>
      <c r="E1130" s="1">
        <v>44162</v>
      </c>
      <c r="F1130">
        <v>13335.68</v>
      </c>
      <c r="G1130" s="1">
        <v>44146</v>
      </c>
      <c r="H1130">
        <v>7156.7556400000003</v>
      </c>
      <c r="I1130" s="1">
        <v>44169</v>
      </c>
      <c r="J1130">
        <v>8322.9</v>
      </c>
      <c r="K1130" s="1">
        <v>44160</v>
      </c>
      <c r="L1130">
        <v>22303.58</v>
      </c>
    </row>
    <row r="1131" spans="1:12" x14ac:dyDescent="0.35">
      <c r="A1131" s="1">
        <v>44174</v>
      </c>
      <c r="B1131">
        <v>3529.02</v>
      </c>
      <c r="C1131" s="1">
        <v>44172</v>
      </c>
      <c r="D1131">
        <v>5573.38</v>
      </c>
      <c r="E1131" s="1">
        <v>44161</v>
      </c>
      <c r="F1131">
        <v>13286.57</v>
      </c>
      <c r="G1131" s="1">
        <v>44145</v>
      </c>
      <c r="H1131">
        <v>7051.7261799999997</v>
      </c>
      <c r="I1131" s="1">
        <v>44168</v>
      </c>
      <c r="J1131">
        <v>8200.7000000000007</v>
      </c>
      <c r="K1131" s="1">
        <v>44159</v>
      </c>
      <c r="L1131">
        <v>22145.06</v>
      </c>
    </row>
    <row r="1132" spans="1:12" x14ac:dyDescent="0.35">
      <c r="A1132" s="1">
        <v>44173</v>
      </c>
      <c r="B1132">
        <v>3525.87</v>
      </c>
      <c r="C1132" s="1">
        <v>44169</v>
      </c>
      <c r="D1132">
        <v>5609.15</v>
      </c>
      <c r="E1132" s="1">
        <v>44160</v>
      </c>
      <c r="F1132">
        <v>13289.8</v>
      </c>
      <c r="G1132" s="1">
        <v>44144</v>
      </c>
      <c r="H1132">
        <v>6878.2500099999997</v>
      </c>
      <c r="I1132" s="1">
        <v>44167</v>
      </c>
      <c r="J1132">
        <v>8220.7999999999993</v>
      </c>
      <c r="K1132" s="1">
        <v>44158</v>
      </c>
      <c r="L1132">
        <v>21701.79</v>
      </c>
    </row>
    <row r="1133" spans="1:12" x14ac:dyDescent="0.35">
      <c r="A1133" s="1">
        <v>44172</v>
      </c>
      <c r="B1133">
        <v>3530.08</v>
      </c>
      <c r="C1133" s="1">
        <v>44168</v>
      </c>
      <c r="D1133">
        <v>5574.36</v>
      </c>
      <c r="E1133" s="1">
        <v>44159</v>
      </c>
      <c r="F1133">
        <v>13292.44</v>
      </c>
      <c r="G1133" s="1">
        <v>44141</v>
      </c>
      <c r="H1133">
        <v>6543.2541899999997</v>
      </c>
      <c r="I1133" s="1">
        <v>44166</v>
      </c>
      <c r="J1133">
        <v>8140.8</v>
      </c>
      <c r="K1133" s="1">
        <v>44155</v>
      </c>
      <c r="L1133">
        <v>21706.959999999999</v>
      </c>
    </row>
    <row r="1134" spans="1:12" x14ac:dyDescent="0.35">
      <c r="A1134" s="1">
        <v>44169</v>
      </c>
      <c r="B1134">
        <v>3539.27</v>
      </c>
      <c r="C1134" s="1">
        <v>44167</v>
      </c>
      <c r="D1134">
        <v>5583.01</v>
      </c>
      <c r="E1134" s="1">
        <v>44158</v>
      </c>
      <c r="F1134">
        <v>13126.97</v>
      </c>
      <c r="G1134" s="1">
        <v>44140</v>
      </c>
      <c r="H1134">
        <v>6555.19427</v>
      </c>
      <c r="I1134" s="1">
        <v>44165</v>
      </c>
      <c r="J1134">
        <v>8076.9</v>
      </c>
      <c r="K1134" s="1">
        <v>44154</v>
      </c>
      <c r="L1134">
        <v>21536.240000000002</v>
      </c>
    </row>
    <row r="1135" spans="1:12" x14ac:dyDescent="0.35">
      <c r="A1135" s="1">
        <v>44168</v>
      </c>
      <c r="B1135">
        <v>3517.1</v>
      </c>
      <c r="C1135" s="1">
        <v>44166</v>
      </c>
      <c r="D1135">
        <v>5581.64</v>
      </c>
      <c r="E1135" s="1">
        <v>44155</v>
      </c>
      <c r="F1135">
        <v>13137.25</v>
      </c>
      <c r="G1135" s="1">
        <v>44139</v>
      </c>
      <c r="H1135">
        <v>6527.0789800000002</v>
      </c>
      <c r="I1135" s="1">
        <v>44162</v>
      </c>
      <c r="J1135">
        <v>8190.7</v>
      </c>
      <c r="K1135" s="1">
        <v>44153</v>
      </c>
      <c r="L1135">
        <v>21622.66</v>
      </c>
    </row>
    <row r="1136" spans="1:12" x14ac:dyDescent="0.35">
      <c r="A1136" s="1">
        <v>44167</v>
      </c>
      <c r="B1136">
        <v>3521.32</v>
      </c>
      <c r="C1136" s="1">
        <v>44165</v>
      </c>
      <c r="D1136">
        <v>5518.55</v>
      </c>
      <c r="E1136" s="1">
        <v>44154</v>
      </c>
      <c r="F1136">
        <v>13086.16</v>
      </c>
      <c r="G1136" s="1">
        <v>44138</v>
      </c>
      <c r="H1136">
        <v>6444.5147399999996</v>
      </c>
      <c r="I1136" s="1">
        <v>44161</v>
      </c>
      <c r="J1136">
        <v>8104.6</v>
      </c>
      <c r="K1136" s="1">
        <v>44152</v>
      </c>
      <c r="L1136">
        <v>21435.11</v>
      </c>
    </row>
    <row r="1137" spans="1:12" x14ac:dyDescent="0.35">
      <c r="A1137" s="1">
        <v>44166</v>
      </c>
      <c r="B1137">
        <v>3525.24</v>
      </c>
      <c r="C1137" s="1">
        <v>44162</v>
      </c>
      <c r="D1137">
        <v>5598.18</v>
      </c>
      <c r="E1137" s="1">
        <v>44153</v>
      </c>
      <c r="F1137">
        <v>13201.89</v>
      </c>
      <c r="G1137" s="1">
        <v>44137</v>
      </c>
      <c r="H1137">
        <v>6276.00515</v>
      </c>
      <c r="I1137" s="1">
        <v>44160</v>
      </c>
      <c r="J1137">
        <v>8164.7</v>
      </c>
      <c r="K1137" s="1">
        <v>44151</v>
      </c>
      <c r="L1137">
        <v>21317.01</v>
      </c>
    </row>
    <row r="1138" spans="1:12" x14ac:dyDescent="0.35">
      <c r="A1138" s="1">
        <v>44165</v>
      </c>
      <c r="B1138">
        <v>3492.54</v>
      </c>
      <c r="C1138" s="1">
        <v>44161</v>
      </c>
      <c r="D1138">
        <v>5566.79</v>
      </c>
      <c r="E1138" s="1">
        <v>44152</v>
      </c>
      <c r="F1138">
        <v>13133.47</v>
      </c>
      <c r="G1138" s="1">
        <v>44134</v>
      </c>
      <c r="H1138">
        <v>6197.9244699999999</v>
      </c>
      <c r="I1138" s="1">
        <v>44159</v>
      </c>
      <c r="J1138">
        <v>8143.2</v>
      </c>
      <c r="K1138" s="1">
        <v>44148</v>
      </c>
      <c r="L1138">
        <v>20903.580000000002</v>
      </c>
    </row>
    <row r="1139" spans="1:12" x14ac:dyDescent="0.35">
      <c r="A1139" s="1">
        <v>44162</v>
      </c>
      <c r="B1139">
        <v>3527.79</v>
      </c>
      <c r="C1139" s="1">
        <v>44160</v>
      </c>
      <c r="D1139">
        <v>5571.29</v>
      </c>
      <c r="E1139" s="1">
        <v>44151</v>
      </c>
      <c r="F1139">
        <v>13138.61</v>
      </c>
      <c r="G1139" s="1">
        <v>44133</v>
      </c>
      <c r="H1139">
        <v>6179.2816499999999</v>
      </c>
      <c r="I1139" s="1">
        <v>44158</v>
      </c>
      <c r="J1139">
        <v>7981.2</v>
      </c>
      <c r="K1139" s="1">
        <v>44147</v>
      </c>
      <c r="L1139">
        <v>20817.73</v>
      </c>
    </row>
    <row r="1140" spans="1:12" x14ac:dyDescent="0.35">
      <c r="A1140" s="1">
        <v>44161</v>
      </c>
      <c r="B1140">
        <v>3510.94</v>
      </c>
      <c r="C1140" s="1">
        <v>44159</v>
      </c>
      <c r="D1140">
        <v>5558.42</v>
      </c>
      <c r="E1140" s="1">
        <v>44148</v>
      </c>
      <c r="F1140">
        <v>13076.72</v>
      </c>
      <c r="G1140" s="1">
        <v>44132</v>
      </c>
      <c r="H1140">
        <v>6171.4383500000004</v>
      </c>
      <c r="I1140" s="1">
        <v>44155</v>
      </c>
      <c r="J1140">
        <v>7977.9</v>
      </c>
      <c r="K1140" s="1">
        <v>44146</v>
      </c>
      <c r="L1140">
        <v>20993.02</v>
      </c>
    </row>
    <row r="1141" spans="1:12" x14ac:dyDescent="0.35">
      <c r="A1141" s="1">
        <v>44160</v>
      </c>
      <c r="B1141">
        <v>3511.9</v>
      </c>
      <c r="C1141" s="1">
        <v>44158</v>
      </c>
      <c r="D1141">
        <v>5492.15</v>
      </c>
      <c r="E1141" s="1">
        <v>44147</v>
      </c>
      <c r="F1141">
        <v>13052.95</v>
      </c>
      <c r="G1141" s="1">
        <v>44131</v>
      </c>
      <c r="H1141">
        <v>6329.7466700000004</v>
      </c>
      <c r="I1141" s="1">
        <v>44154</v>
      </c>
      <c r="J1141">
        <v>7930.2</v>
      </c>
      <c r="K1141" s="1">
        <v>44145</v>
      </c>
      <c r="L1141">
        <v>20851.580000000002</v>
      </c>
    </row>
    <row r="1142" spans="1:12" x14ac:dyDescent="0.35">
      <c r="A1142" s="1">
        <v>44159</v>
      </c>
      <c r="B1142">
        <v>3507.98</v>
      </c>
      <c r="C1142" s="1">
        <v>44155</v>
      </c>
      <c r="D1142">
        <v>5495.89</v>
      </c>
      <c r="E1142" s="1">
        <v>44146</v>
      </c>
      <c r="F1142">
        <v>13216.18</v>
      </c>
      <c r="G1142" s="1">
        <v>44130</v>
      </c>
      <c r="H1142">
        <v>6383.6616599999998</v>
      </c>
      <c r="I1142" s="1">
        <v>44153</v>
      </c>
      <c r="J1142">
        <v>7981.5</v>
      </c>
      <c r="K1142" s="1">
        <v>44144</v>
      </c>
      <c r="L1142">
        <v>20750.18</v>
      </c>
    </row>
    <row r="1143" spans="1:12" x14ac:dyDescent="0.35">
      <c r="A1143" s="1">
        <v>44158</v>
      </c>
      <c r="B1143">
        <v>3463.04</v>
      </c>
      <c r="C1143" s="1">
        <v>44154</v>
      </c>
      <c r="D1143">
        <v>5474.66</v>
      </c>
      <c r="E1143" s="1">
        <v>44145</v>
      </c>
      <c r="F1143">
        <v>13163.11</v>
      </c>
      <c r="G1143" s="1">
        <v>44127</v>
      </c>
      <c r="H1143">
        <v>6448.6337000000003</v>
      </c>
      <c r="I1143" s="1">
        <v>44152</v>
      </c>
      <c r="J1143">
        <v>7934.3</v>
      </c>
      <c r="K1143" s="1">
        <v>44141</v>
      </c>
      <c r="L1143">
        <v>19681.68</v>
      </c>
    </row>
    <row r="1144" spans="1:12" x14ac:dyDescent="0.35">
      <c r="A1144" s="1">
        <v>44155</v>
      </c>
      <c r="B1144">
        <v>3467.6</v>
      </c>
      <c r="C1144" s="1">
        <v>44153</v>
      </c>
      <c r="D1144">
        <v>5511.45</v>
      </c>
      <c r="E1144" s="1">
        <v>44144</v>
      </c>
      <c r="F1144">
        <v>13095.97</v>
      </c>
      <c r="G1144" s="1">
        <v>44126</v>
      </c>
      <c r="H1144">
        <v>6409.1416300000001</v>
      </c>
      <c r="I1144" s="1">
        <v>44151</v>
      </c>
      <c r="J1144">
        <v>7986.2</v>
      </c>
      <c r="K1144" s="1">
        <v>44140</v>
      </c>
      <c r="L1144">
        <v>19731.38</v>
      </c>
    </row>
    <row r="1145" spans="1:12" x14ac:dyDescent="0.35">
      <c r="A1145" s="1">
        <v>44154</v>
      </c>
      <c r="B1145">
        <v>3451.97</v>
      </c>
      <c r="C1145" s="1">
        <v>44152</v>
      </c>
      <c r="D1145">
        <v>5483</v>
      </c>
      <c r="E1145" s="1">
        <v>44141</v>
      </c>
      <c r="F1145">
        <v>12480.02</v>
      </c>
      <c r="G1145" s="1">
        <v>44125</v>
      </c>
      <c r="H1145">
        <v>6400.6577799999995</v>
      </c>
      <c r="I1145" s="1">
        <v>44148</v>
      </c>
      <c r="J1145">
        <v>7783.7</v>
      </c>
      <c r="K1145" s="1">
        <v>44139</v>
      </c>
      <c r="L1145">
        <v>19358.28</v>
      </c>
    </row>
    <row r="1146" spans="1:12" x14ac:dyDescent="0.35">
      <c r="A1146" s="1">
        <v>44153</v>
      </c>
      <c r="B1146">
        <v>3482.17</v>
      </c>
      <c r="C1146" s="1">
        <v>44151</v>
      </c>
      <c r="D1146">
        <v>5471.48</v>
      </c>
      <c r="E1146" s="1">
        <v>44140</v>
      </c>
      <c r="F1146">
        <v>12568.09</v>
      </c>
      <c r="G1146" s="1">
        <v>44124</v>
      </c>
      <c r="H1146">
        <v>6443.4350899999999</v>
      </c>
      <c r="I1146" s="1">
        <v>44147</v>
      </c>
      <c r="J1146">
        <v>7726</v>
      </c>
      <c r="K1146" s="1">
        <v>44138</v>
      </c>
      <c r="L1146">
        <v>18986.240000000002</v>
      </c>
    </row>
    <row r="1147" spans="1:12" x14ac:dyDescent="0.35">
      <c r="A1147" s="1">
        <v>44152</v>
      </c>
      <c r="B1147">
        <v>3468.48</v>
      </c>
      <c r="C1147" s="1">
        <v>44148</v>
      </c>
      <c r="D1147">
        <v>5380.16</v>
      </c>
      <c r="E1147" s="1">
        <v>44139</v>
      </c>
      <c r="F1147">
        <v>12324.22</v>
      </c>
      <c r="G1147" s="1">
        <v>44123</v>
      </c>
      <c r="H1147">
        <v>6484.0032499999998</v>
      </c>
      <c r="I1147" s="1">
        <v>44146</v>
      </c>
      <c r="J1147">
        <v>7793.7</v>
      </c>
      <c r="K1147" s="1">
        <v>44137</v>
      </c>
      <c r="L1147">
        <v>18400.03</v>
      </c>
    </row>
    <row r="1148" spans="1:12" x14ac:dyDescent="0.35">
      <c r="A1148" s="1">
        <v>44151</v>
      </c>
      <c r="B1148">
        <v>3466.21</v>
      </c>
      <c r="C1148" s="1">
        <v>44147</v>
      </c>
      <c r="D1148">
        <v>5362.57</v>
      </c>
      <c r="E1148" s="1">
        <v>44138</v>
      </c>
      <c r="F1148">
        <v>12088.98</v>
      </c>
      <c r="G1148" s="1">
        <v>44120</v>
      </c>
      <c r="H1148">
        <v>6528.2576900000004</v>
      </c>
      <c r="I1148" s="1">
        <v>44145</v>
      </c>
      <c r="J1148">
        <v>7711.4</v>
      </c>
      <c r="K1148" s="1">
        <v>44134</v>
      </c>
      <c r="L1148">
        <v>17943.11</v>
      </c>
    </row>
    <row r="1149" spans="1:12" x14ac:dyDescent="0.35">
      <c r="A1149" s="1">
        <v>44148</v>
      </c>
      <c r="B1149">
        <v>3432.07</v>
      </c>
      <c r="C1149" s="1">
        <v>44146</v>
      </c>
      <c r="D1149">
        <v>5445.21</v>
      </c>
      <c r="E1149" s="1">
        <v>44137</v>
      </c>
      <c r="F1149">
        <v>11788.28</v>
      </c>
      <c r="G1149" s="1">
        <v>44119</v>
      </c>
      <c r="H1149">
        <v>6443.34645</v>
      </c>
      <c r="I1149" s="1">
        <v>44144</v>
      </c>
      <c r="J1149">
        <v>7459.4</v>
      </c>
      <c r="K1149" s="1">
        <v>44133</v>
      </c>
      <c r="L1149">
        <v>17872.28</v>
      </c>
    </row>
    <row r="1150" spans="1:12" x14ac:dyDescent="0.35">
      <c r="A1150" s="1">
        <v>44147</v>
      </c>
      <c r="B1150">
        <v>3428.2</v>
      </c>
      <c r="C1150" s="1">
        <v>44145</v>
      </c>
      <c r="D1150">
        <v>5418.97</v>
      </c>
      <c r="E1150" s="1">
        <v>44134</v>
      </c>
      <c r="F1150">
        <v>11556.48</v>
      </c>
      <c r="G1150" s="1">
        <v>44118</v>
      </c>
      <c r="H1150">
        <v>6573.9716600000002</v>
      </c>
      <c r="I1150" s="1">
        <v>44141</v>
      </c>
      <c r="J1150">
        <v>6870.4</v>
      </c>
      <c r="K1150" s="1">
        <v>44132</v>
      </c>
      <c r="L1150">
        <v>17897.79</v>
      </c>
    </row>
    <row r="1151" spans="1:12" x14ac:dyDescent="0.35">
      <c r="A1151" s="1">
        <v>44146</v>
      </c>
      <c r="B1151">
        <v>3467.3</v>
      </c>
      <c r="C1151" s="1">
        <v>44144</v>
      </c>
      <c r="D1151">
        <v>5336.32</v>
      </c>
      <c r="E1151" s="1">
        <v>44133</v>
      </c>
      <c r="F1151">
        <v>11598.07</v>
      </c>
      <c r="G1151" s="1">
        <v>44117</v>
      </c>
      <c r="H1151">
        <v>6591.8621400000002</v>
      </c>
      <c r="I1151" s="1">
        <v>44140</v>
      </c>
      <c r="J1151">
        <v>6924.2</v>
      </c>
      <c r="K1151" s="1">
        <v>44131</v>
      </c>
      <c r="L1151">
        <v>18654.95</v>
      </c>
    </row>
    <row r="1152" spans="1:12" x14ac:dyDescent="0.35">
      <c r="A1152" s="1">
        <v>44145</v>
      </c>
      <c r="B1152">
        <v>3442.62</v>
      </c>
      <c r="C1152" s="1">
        <v>44141</v>
      </c>
      <c r="D1152">
        <v>4960.88</v>
      </c>
      <c r="E1152" s="1">
        <v>44132</v>
      </c>
      <c r="F1152">
        <v>11560.51</v>
      </c>
      <c r="G1152" s="1">
        <v>44116</v>
      </c>
      <c r="H1152">
        <v>6637.5435600000001</v>
      </c>
      <c r="I1152" s="1">
        <v>44139</v>
      </c>
      <c r="J1152">
        <v>6781.9</v>
      </c>
      <c r="K1152" s="1">
        <v>44130</v>
      </c>
      <c r="L1152">
        <v>18945.14</v>
      </c>
    </row>
    <row r="1153" spans="1:12" x14ac:dyDescent="0.35">
      <c r="A1153" s="1">
        <v>44144</v>
      </c>
      <c r="B1153">
        <v>3407.91</v>
      </c>
      <c r="C1153" s="1">
        <v>44140</v>
      </c>
      <c r="D1153">
        <v>4983.99</v>
      </c>
      <c r="E1153" s="1">
        <v>44131</v>
      </c>
      <c r="F1153">
        <v>12063.57</v>
      </c>
      <c r="G1153" s="1">
        <v>44113</v>
      </c>
      <c r="H1153">
        <v>6625.7957399999996</v>
      </c>
      <c r="I1153" s="1">
        <v>44138</v>
      </c>
      <c r="J1153">
        <v>6751.6</v>
      </c>
      <c r="K1153" s="1">
        <v>44127</v>
      </c>
      <c r="L1153">
        <v>19285.41</v>
      </c>
    </row>
    <row r="1154" spans="1:12" x14ac:dyDescent="0.35">
      <c r="A1154" s="1">
        <v>44141</v>
      </c>
      <c r="B1154">
        <v>3204.05</v>
      </c>
      <c r="C1154" s="1">
        <v>44139</v>
      </c>
      <c r="D1154">
        <v>4922.8500000000004</v>
      </c>
      <c r="E1154" s="1">
        <v>44130</v>
      </c>
      <c r="F1154">
        <v>12177.18</v>
      </c>
      <c r="G1154" s="1">
        <v>44112</v>
      </c>
      <c r="H1154">
        <v>6580.1556899999996</v>
      </c>
      <c r="I1154" s="1">
        <v>44137</v>
      </c>
      <c r="J1154">
        <v>6585.6</v>
      </c>
      <c r="K1154" s="1">
        <v>44126</v>
      </c>
      <c r="L1154">
        <v>19076.95</v>
      </c>
    </row>
    <row r="1155" spans="1:12" x14ac:dyDescent="0.35">
      <c r="A1155" s="1">
        <v>44140</v>
      </c>
      <c r="B1155">
        <v>3215.56</v>
      </c>
      <c r="C1155" s="1">
        <v>44138</v>
      </c>
      <c r="D1155">
        <v>4805.6099999999997</v>
      </c>
      <c r="E1155" s="1">
        <v>44127</v>
      </c>
      <c r="F1155">
        <v>12645.75</v>
      </c>
      <c r="G1155" s="1">
        <v>44111</v>
      </c>
      <c r="H1155">
        <v>6525.6204299999999</v>
      </c>
      <c r="I1155" s="1">
        <v>44134</v>
      </c>
      <c r="J1155">
        <v>6452.2</v>
      </c>
      <c r="K1155" s="1">
        <v>44125</v>
      </c>
      <c r="L1155">
        <v>19085.95</v>
      </c>
    </row>
    <row r="1156" spans="1:12" x14ac:dyDescent="0.35">
      <c r="A1156" s="1">
        <v>44139</v>
      </c>
      <c r="B1156">
        <v>3161.07</v>
      </c>
      <c r="C1156" s="1">
        <v>44137</v>
      </c>
      <c r="D1156">
        <v>4691.1400000000003</v>
      </c>
      <c r="E1156" s="1">
        <v>44126</v>
      </c>
      <c r="F1156">
        <v>12543.06</v>
      </c>
      <c r="G1156" s="1">
        <v>44110</v>
      </c>
      <c r="H1156">
        <v>6542.8633099999997</v>
      </c>
      <c r="I1156" s="1">
        <v>44133</v>
      </c>
      <c r="J1156">
        <v>6411.8</v>
      </c>
      <c r="K1156" s="1">
        <v>44124</v>
      </c>
      <c r="L1156">
        <v>19482.13</v>
      </c>
    </row>
    <row r="1157" spans="1:12" x14ac:dyDescent="0.35">
      <c r="A1157" s="1">
        <v>44138</v>
      </c>
      <c r="B1157">
        <v>3098.72</v>
      </c>
      <c r="C1157" s="1">
        <v>44134</v>
      </c>
      <c r="D1157">
        <v>4594.24</v>
      </c>
      <c r="E1157" s="1">
        <v>44125</v>
      </c>
      <c r="F1157">
        <v>12557.64</v>
      </c>
      <c r="G1157" s="1">
        <v>44109</v>
      </c>
      <c r="H1157">
        <v>6543.9397900000004</v>
      </c>
      <c r="I1157" s="1">
        <v>44132</v>
      </c>
      <c r="J1157">
        <v>6474.4</v>
      </c>
      <c r="K1157" s="1">
        <v>44123</v>
      </c>
      <c r="L1157">
        <v>19374.21</v>
      </c>
    </row>
    <row r="1158" spans="1:12" x14ac:dyDescent="0.35">
      <c r="A1158" s="1">
        <v>44137</v>
      </c>
      <c r="B1158">
        <v>3019.54</v>
      </c>
      <c r="C1158" s="1">
        <v>44133</v>
      </c>
      <c r="D1158">
        <v>4569.67</v>
      </c>
      <c r="E1158" s="1">
        <v>44124</v>
      </c>
      <c r="F1158">
        <v>12736.95</v>
      </c>
      <c r="G1158" s="1">
        <v>44106</v>
      </c>
      <c r="H1158">
        <v>6513.0836099999997</v>
      </c>
      <c r="I1158" s="1">
        <v>44131</v>
      </c>
      <c r="J1158">
        <v>6651.3</v>
      </c>
      <c r="K1158" s="1">
        <v>44120</v>
      </c>
      <c r="L1158">
        <v>19389.68</v>
      </c>
    </row>
    <row r="1159" spans="1:12" x14ac:dyDescent="0.35">
      <c r="A1159" s="1">
        <v>44134</v>
      </c>
      <c r="B1159">
        <v>2958.21</v>
      </c>
      <c r="C1159" s="1">
        <v>44132</v>
      </c>
      <c r="D1159">
        <v>4571.12</v>
      </c>
      <c r="E1159" s="1">
        <v>44123</v>
      </c>
      <c r="F1159">
        <v>12854.66</v>
      </c>
      <c r="G1159" s="1">
        <v>44105</v>
      </c>
      <c r="H1159">
        <v>6454.6299099999997</v>
      </c>
      <c r="I1159" s="1">
        <v>44130</v>
      </c>
      <c r="J1159">
        <v>6796.9</v>
      </c>
      <c r="K1159" s="1">
        <v>44119</v>
      </c>
      <c r="L1159">
        <v>19065.439999999999</v>
      </c>
    </row>
    <row r="1160" spans="1:12" x14ac:dyDescent="0.35">
      <c r="A1160" s="1">
        <v>44133</v>
      </c>
      <c r="B1160">
        <v>2960.03</v>
      </c>
      <c r="C1160" s="1">
        <v>44131</v>
      </c>
      <c r="D1160">
        <v>4730.66</v>
      </c>
      <c r="E1160" s="1">
        <v>44120</v>
      </c>
      <c r="F1160">
        <v>12908.99</v>
      </c>
      <c r="G1160" s="1">
        <v>44104</v>
      </c>
      <c r="H1160">
        <v>6461.1173099999996</v>
      </c>
      <c r="I1160" s="1">
        <v>44127</v>
      </c>
      <c r="J1160">
        <v>6893.4</v>
      </c>
      <c r="K1160" s="1">
        <v>44118</v>
      </c>
      <c r="L1160">
        <v>19607.73</v>
      </c>
    </row>
    <row r="1161" spans="1:12" x14ac:dyDescent="0.35">
      <c r="A1161" s="1">
        <v>44132</v>
      </c>
      <c r="B1161">
        <v>2963.54</v>
      </c>
      <c r="C1161" s="1">
        <v>44130</v>
      </c>
      <c r="D1161">
        <v>4816.12</v>
      </c>
      <c r="E1161" s="1">
        <v>44119</v>
      </c>
      <c r="F1161">
        <v>12703.75</v>
      </c>
      <c r="G1161" s="1">
        <v>44103</v>
      </c>
      <c r="H1161">
        <v>6458.2096600000004</v>
      </c>
      <c r="I1161" s="1">
        <v>44126</v>
      </c>
      <c r="J1161">
        <v>6796.6</v>
      </c>
      <c r="K1161" s="1">
        <v>44117</v>
      </c>
      <c r="L1161">
        <v>19558.689999999999</v>
      </c>
    </row>
    <row r="1162" spans="1:12" x14ac:dyDescent="0.35">
      <c r="A1162" s="1">
        <v>44131</v>
      </c>
      <c r="B1162">
        <v>3070.6</v>
      </c>
      <c r="C1162" s="1">
        <v>44127</v>
      </c>
      <c r="D1162">
        <v>4909.6400000000003</v>
      </c>
      <c r="E1162" s="1">
        <v>44118</v>
      </c>
      <c r="F1162">
        <v>13028.06</v>
      </c>
      <c r="G1162" s="1">
        <v>44102</v>
      </c>
      <c r="H1162">
        <v>6536.1836300000004</v>
      </c>
      <c r="I1162" s="1">
        <v>44125</v>
      </c>
      <c r="J1162">
        <v>6811.5</v>
      </c>
      <c r="K1162" s="1">
        <v>44116</v>
      </c>
      <c r="L1162">
        <v>19718.77</v>
      </c>
    </row>
    <row r="1163" spans="1:12" x14ac:dyDescent="0.35">
      <c r="A1163" s="1">
        <v>44130</v>
      </c>
      <c r="B1163">
        <v>3105.25</v>
      </c>
      <c r="C1163" s="1">
        <v>44126</v>
      </c>
      <c r="D1163">
        <v>4851.38</v>
      </c>
      <c r="E1163" s="1">
        <v>44117</v>
      </c>
      <c r="F1163">
        <v>13018.99</v>
      </c>
      <c r="G1163" s="1">
        <v>44099</v>
      </c>
      <c r="H1163">
        <v>6387.7646100000002</v>
      </c>
      <c r="I1163" s="1">
        <v>44124</v>
      </c>
      <c r="J1163">
        <v>6927.3</v>
      </c>
      <c r="K1163" s="1">
        <v>44113</v>
      </c>
      <c r="L1163">
        <v>19595.38</v>
      </c>
    </row>
    <row r="1164" spans="1:12" x14ac:dyDescent="0.35">
      <c r="A1164" s="1">
        <v>44127</v>
      </c>
      <c r="B1164">
        <v>3198.86</v>
      </c>
      <c r="C1164" s="1">
        <v>44125</v>
      </c>
      <c r="D1164">
        <v>4853.95</v>
      </c>
      <c r="E1164" s="1">
        <v>44116</v>
      </c>
      <c r="F1164">
        <v>13138.41</v>
      </c>
      <c r="G1164" s="1">
        <v>44098</v>
      </c>
      <c r="H1164">
        <v>6366.4657900000002</v>
      </c>
      <c r="I1164" s="1">
        <v>44123</v>
      </c>
      <c r="J1164">
        <v>6860.2</v>
      </c>
      <c r="K1164" s="1">
        <v>44112</v>
      </c>
      <c r="L1164">
        <v>19582.43</v>
      </c>
    </row>
    <row r="1165" spans="1:12" x14ac:dyDescent="0.35">
      <c r="A1165" s="1">
        <v>44126</v>
      </c>
      <c r="B1165">
        <v>3171.41</v>
      </c>
      <c r="C1165" s="1">
        <v>44124</v>
      </c>
      <c r="D1165">
        <v>4929.28</v>
      </c>
      <c r="E1165" s="1">
        <v>44113</v>
      </c>
      <c r="F1165">
        <v>13051.23</v>
      </c>
      <c r="G1165" s="1">
        <v>44097</v>
      </c>
      <c r="H1165">
        <v>6442.6727000000001</v>
      </c>
      <c r="I1165" s="1">
        <v>44120</v>
      </c>
      <c r="J1165">
        <v>6849.7</v>
      </c>
      <c r="K1165" s="1">
        <v>44111</v>
      </c>
      <c r="L1165">
        <v>19435.080000000002</v>
      </c>
    </row>
    <row r="1166" spans="1:12" x14ac:dyDescent="0.35">
      <c r="A1166" s="1">
        <v>44125</v>
      </c>
      <c r="B1166">
        <v>3180.7</v>
      </c>
      <c r="C1166" s="1">
        <v>44123</v>
      </c>
      <c r="D1166">
        <v>4942.62</v>
      </c>
      <c r="E1166" s="1">
        <v>44112</v>
      </c>
      <c r="F1166">
        <v>13042.21</v>
      </c>
      <c r="G1166" s="1">
        <v>44096</v>
      </c>
      <c r="H1166">
        <v>6336.0014199999996</v>
      </c>
      <c r="I1166" s="1">
        <v>44119</v>
      </c>
      <c r="J1166">
        <v>6816.8</v>
      </c>
      <c r="K1166" s="1">
        <v>44110</v>
      </c>
      <c r="L1166">
        <v>19429.810000000001</v>
      </c>
    </row>
    <row r="1167" spans="1:12" x14ac:dyDescent="0.35">
      <c r="A1167" s="1">
        <v>44124</v>
      </c>
      <c r="B1167">
        <v>3227.87</v>
      </c>
      <c r="C1167" s="1">
        <v>44120</v>
      </c>
      <c r="D1167">
        <v>4935.8599999999997</v>
      </c>
      <c r="E1167" s="1">
        <v>44111</v>
      </c>
      <c r="F1167">
        <v>12928.57</v>
      </c>
      <c r="G1167" s="1">
        <v>44095</v>
      </c>
      <c r="H1167">
        <v>6322.8744699999997</v>
      </c>
      <c r="I1167" s="1">
        <v>44118</v>
      </c>
      <c r="J1167">
        <v>6916.6</v>
      </c>
      <c r="K1167" s="1">
        <v>44109</v>
      </c>
      <c r="L1167">
        <v>19265.509999999998</v>
      </c>
    </row>
    <row r="1168" spans="1:12" x14ac:dyDescent="0.35">
      <c r="A1168" s="1">
        <v>44123</v>
      </c>
      <c r="B1168">
        <v>3242.51</v>
      </c>
      <c r="C1168" s="1">
        <v>44119</v>
      </c>
      <c r="D1168">
        <v>4837.42</v>
      </c>
      <c r="E1168" s="1">
        <v>44110</v>
      </c>
      <c r="F1168">
        <v>12906.02</v>
      </c>
      <c r="G1168" s="1">
        <v>44092</v>
      </c>
      <c r="H1168">
        <v>6556.32096</v>
      </c>
      <c r="I1168" s="1">
        <v>44117</v>
      </c>
      <c r="J1168">
        <v>6875.2</v>
      </c>
      <c r="K1168" s="1">
        <v>44106</v>
      </c>
      <c r="L1168">
        <v>19064.310000000001</v>
      </c>
    </row>
    <row r="1169" spans="1:12" x14ac:dyDescent="0.35">
      <c r="A1169" s="1">
        <v>44120</v>
      </c>
      <c r="B1169">
        <v>3245.47</v>
      </c>
      <c r="C1169" s="1">
        <v>44118</v>
      </c>
      <c r="D1169">
        <v>4941.66</v>
      </c>
      <c r="E1169" s="1">
        <v>44109</v>
      </c>
      <c r="F1169">
        <v>12828.31</v>
      </c>
      <c r="G1169" s="1">
        <v>44091</v>
      </c>
      <c r="H1169">
        <v>6621.0340900000001</v>
      </c>
      <c r="I1169" s="1">
        <v>44116</v>
      </c>
      <c r="J1169">
        <v>6951</v>
      </c>
      <c r="K1169" s="1">
        <v>44105</v>
      </c>
      <c r="L1169">
        <v>19061.5</v>
      </c>
    </row>
    <row r="1170" spans="1:12" x14ac:dyDescent="0.35">
      <c r="A1170" s="1">
        <v>44119</v>
      </c>
      <c r="B1170">
        <v>3192.69</v>
      </c>
      <c r="C1170" s="1">
        <v>44117</v>
      </c>
      <c r="D1170">
        <v>4947.6099999999997</v>
      </c>
      <c r="E1170" s="1">
        <v>44106</v>
      </c>
      <c r="F1170">
        <v>12689.04</v>
      </c>
      <c r="G1170" s="1">
        <v>44090</v>
      </c>
      <c r="H1170">
        <v>6667.16741</v>
      </c>
      <c r="I1170" s="1">
        <v>44113</v>
      </c>
      <c r="J1170">
        <v>6950.9</v>
      </c>
      <c r="K1170" s="1">
        <v>44104</v>
      </c>
      <c r="L1170">
        <v>19015.27</v>
      </c>
    </row>
    <row r="1171" spans="1:12" x14ac:dyDescent="0.35">
      <c r="A1171" s="1">
        <v>44118</v>
      </c>
      <c r="B1171">
        <v>3273.28</v>
      </c>
      <c r="C1171" s="1">
        <v>44116</v>
      </c>
      <c r="D1171">
        <v>4979.29</v>
      </c>
      <c r="E1171" s="1">
        <v>44105</v>
      </c>
      <c r="F1171">
        <v>12730.77</v>
      </c>
      <c r="G1171" s="1">
        <v>44089</v>
      </c>
      <c r="H1171">
        <v>6641.2492400000001</v>
      </c>
      <c r="I1171" s="1">
        <v>44112</v>
      </c>
      <c r="J1171">
        <v>6992.8</v>
      </c>
      <c r="K1171" s="1">
        <v>44103</v>
      </c>
      <c r="L1171">
        <v>19061.18</v>
      </c>
    </row>
    <row r="1172" spans="1:12" x14ac:dyDescent="0.35">
      <c r="A1172" s="1">
        <v>44117</v>
      </c>
      <c r="B1172">
        <v>3279.19</v>
      </c>
      <c r="C1172" s="1">
        <v>44113</v>
      </c>
      <c r="D1172">
        <v>4946.8100000000004</v>
      </c>
      <c r="E1172" s="1">
        <v>44104</v>
      </c>
      <c r="F1172">
        <v>12760.73</v>
      </c>
      <c r="G1172" s="1">
        <v>44088</v>
      </c>
      <c r="H1172">
        <v>6534.5736100000004</v>
      </c>
      <c r="I1172" s="1">
        <v>44111</v>
      </c>
      <c r="J1172">
        <v>6910.1</v>
      </c>
      <c r="K1172" s="1">
        <v>44102</v>
      </c>
      <c r="L1172">
        <v>19160.099999999999</v>
      </c>
    </row>
    <row r="1173" spans="1:12" x14ac:dyDescent="0.35">
      <c r="A1173" s="1">
        <v>44116</v>
      </c>
      <c r="B1173">
        <v>3298.12</v>
      </c>
      <c r="C1173" s="1">
        <v>44112</v>
      </c>
      <c r="D1173">
        <v>4911.9399999999996</v>
      </c>
      <c r="E1173" s="1">
        <v>44103</v>
      </c>
      <c r="F1173">
        <v>12825.82</v>
      </c>
      <c r="G1173" s="1">
        <v>44085</v>
      </c>
      <c r="H1173">
        <v>6517.2255599999999</v>
      </c>
      <c r="I1173" s="1">
        <v>44110</v>
      </c>
      <c r="J1173">
        <v>6936.2</v>
      </c>
      <c r="K1173" s="1">
        <v>44099</v>
      </c>
      <c r="L1173">
        <v>18698.36</v>
      </c>
    </row>
    <row r="1174" spans="1:12" x14ac:dyDescent="0.35">
      <c r="A1174" s="1">
        <v>44113</v>
      </c>
      <c r="B1174">
        <v>3273.12</v>
      </c>
      <c r="C1174" s="1">
        <v>44111</v>
      </c>
      <c r="D1174">
        <v>4882</v>
      </c>
      <c r="E1174" s="1">
        <v>44102</v>
      </c>
      <c r="F1174">
        <v>12870.87</v>
      </c>
      <c r="G1174" s="1">
        <v>44084</v>
      </c>
      <c r="H1174">
        <v>6495.41201</v>
      </c>
      <c r="I1174" s="1">
        <v>44109</v>
      </c>
      <c r="J1174">
        <v>6837.9</v>
      </c>
      <c r="K1174" s="1">
        <v>44098</v>
      </c>
      <c r="L1174">
        <v>18906.830000000002</v>
      </c>
    </row>
    <row r="1175" spans="1:12" x14ac:dyDescent="0.35">
      <c r="A1175" s="1">
        <v>44112</v>
      </c>
      <c r="B1175">
        <v>3255.76</v>
      </c>
      <c r="C1175" s="1">
        <v>44110</v>
      </c>
      <c r="D1175">
        <v>4895.46</v>
      </c>
      <c r="E1175" s="1">
        <v>44099</v>
      </c>
      <c r="F1175">
        <v>12469.2</v>
      </c>
      <c r="G1175" s="1">
        <v>44083</v>
      </c>
      <c r="H1175">
        <v>6628.6925600000004</v>
      </c>
      <c r="I1175" s="1">
        <v>44106</v>
      </c>
      <c r="J1175">
        <v>6754.5</v>
      </c>
      <c r="K1175" s="1">
        <v>44097</v>
      </c>
      <c r="L1175">
        <v>18929.89</v>
      </c>
    </row>
    <row r="1176" spans="1:12" x14ac:dyDescent="0.35">
      <c r="A1176" s="1">
        <v>44111</v>
      </c>
      <c r="B1176">
        <v>3233.43</v>
      </c>
      <c r="C1176" s="1">
        <v>44109</v>
      </c>
      <c r="D1176">
        <v>4871.87</v>
      </c>
      <c r="E1176" s="1">
        <v>44098</v>
      </c>
      <c r="F1176">
        <v>12606.57</v>
      </c>
      <c r="G1176" s="1">
        <v>44082</v>
      </c>
      <c r="H1176">
        <v>6558.2200300000004</v>
      </c>
      <c r="I1176" s="1">
        <v>44105</v>
      </c>
      <c r="J1176">
        <v>6730.7</v>
      </c>
      <c r="K1176" s="1">
        <v>44096</v>
      </c>
      <c r="L1176">
        <v>18895.59</v>
      </c>
    </row>
    <row r="1177" spans="1:12" x14ac:dyDescent="0.35">
      <c r="A1177" s="1">
        <v>44110</v>
      </c>
      <c r="B1177">
        <v>3233.3</v>
      </c>
      <c r="C1177" s="1">
        <v>44106</v>
      </c>
      <c r="D1177">
        <v>4824.88</v>
      </c>
      <c r="E1177" s="1">
        <v>44097</v>
      </c>
      <c r="F1177">
        <v>12642.97</v>
      </c>
      <c r="G1177" s="1">
        <v>44081</v>
      </c>
      <c r="H1177">
        <v>6619.77891</v>
      </c>
      <c r="I1177" s="1">
        <v>44104</v>
      </c>
      <c r="J1177">
        <v>6716.6</v>
      </c>
      <c r="K1177" s="1">
        <v>44095</v>
      </c>
      <c r="L1177">
        <v>18793.349999999999</v>
      </c>
    </row>
    <row r="1178" spans="1:12" x14ac:dyDescent="0.35">
      <c r="A1178" s="1">
        <v>44109</v>
      </c>
      <c r="B1178">
        <v>3220.22</v>
      </c>
      <c r="C1178" s="1">
        <v>44105</v>
      </c>
      <c r="D1178">
        <v>4824.04</v>
      </c>
      <c r="E1178" s="1">
        <v>44096</v>
      </c>
      <c r="F1178">
        <v>12594.39</v>
      </c>
      <c r="G1178" s="1">
        <v>44078</v>
      </c>
      <c r="H1178">
        <v>6489.9716600000002</v>
      </c>
      <c r="I1178" s="1">
        <v>44103</v>
      </c>
      <c r="J1178">
        <v>6713.6</v>
      </c>
      <c r="K1178" s="1">
        <v>44092</v>
      </c>
      <c r="L1178">
        <v>19524.939999999999</v>
      </c>
    </row>
    <row r="1179" spans="1:12" x14ac:dyDescent="0.35">
      <c r="A1179" s="1">
        <v>44106</v>
      </c>
      <c r="B1179">
        <v>3190.93</v>
      </c>
      <c r="C1179" s="1">
        <v>44104</v>
      </c>
      <c r="D1179">
        <v>4803.4399999999996</v>
      </c>
      <c r="E1179" s="1">
        <v>44095</v>
      </c>
      <c r="F1179">
        <v>12542.44</v>
      </c>
      <c r="G1179" s="1">
        <v>44077</v>
      </c>
      <c r="H1179">
        <v>6557.4330499999996</v>
      </c>
      <c r="I1179" s="1">
        <v>44102</v>
      </c>
      <c r="J1179">
        <v>6791.5</v>
      </c>
      <c r="K1179" s="1">
        <v>44091</v>
      </c>
      <c r="L1179">
        <v>19739.73</v>
      </c>
    </row>
    <row r="1180" spans="1:12" x14ac:dyDescent="0.35">
      <c r="A1180" s="1">
        <v>44105</v>
      </c>
      <c r="B1180">
        <v>3194.09</v>
      </c>
      <c r="C1180" s="1">
        <v>44103</v>
      </c>
      <c r="D1180">
        <v>4832.07</v>
      </c>
      <c r="E1180" s="1">
        <v>44092</v>
      </c>
      <c r="F1180">
        <v>13116.25</v>
      </c>
      <c r="G1180" s="1">
        <v>44076</v>
      </c>
      <c r="H1180">
        <v>6683.0673200000001</v>
      </c>
      <c r="I1180" s="1">
        <v>44099</v>
      </c>
      <c r="J1180">
        <v>6628.3</v>
      </c>
      <c r="K1180" s="1">
        <v>44090</v>
      </c>
      <c r="L1180">
        <v>19963.990000000002</v>
      </c>
    </row>
    <row r="1181" spans="1:12" x14ac:dyDescent="0.35">
      <c r="A1181" s="1">
        <v>44104</v>
      </c>
      <c r="B1181">
        <v>3193.61</v>
      </c>
      <c r="C1181" s="1">
        <v>44102</v>
      </c>
      <c r="D1181">
        <v>4843.2700000000004</v>
      </c>
      <c r="E1181" s="1">
        <v>44091</v>
      </c>
      <c r="F1181">
        <v>13208.12</v>
      </c>
      <c r="G1181" s="1">
        <v>44075</v>
      </c>
      <c r="H1181">
        <v>6578.2280499999997</v>
      </c>
      <c r="I1181" s="1">
        <v>44098</v>
      </c>
      <c r="J1181">
        <v>6643.4</v>
      </c>
      <c r="K1181" s="1">
        <v>44089</v>
      </c>
      <c r="L1181">
        <v>19956.95</v>
      </c>
    </row>
    <row r="1182" spans="1:12" x14ac:dyDescent="0.35">
      <c r="A1182" s="1">
        <v>44103</v>
      </c>
      <c r="B1182">
        <v>3214.3</v>
      </c>
      <c r="C1182" s="1">
        <v>44099</v>
      </c>
      <c r="D1182">
        <v>4729.66</v>
      </c>
      <c r="E1182" s="1">
        <v>44090</v>
      </c>
      <c r="F1182">
        <v>13255.37</v>
      </c>
      <c r="G1182" s="1">
        <v>44071</v>
      </c>
      <c r="H1182">
        <v>6684.8765599999997</v>
      </c>
      <c r="I1182" s="1">
        <v>44097</v>
      </c>
      <c r="J1182">
        <v>6654.2</v>
      </c>
      <c r="K1182" s="1">
        <v>44088</v>
      </c>
      <c r="L1182">
        <v>19793.8</v>
      </c>
    </row>
    <row r="1183" spans="1:12" x14ac:dyDescent="0.35">
      <c r="A1183" s="1">
        <v>44102</v>
      </c>
      <c r="B1183">
        <v>3223.19</v>
      </c>
      <c r="C1183" s="1">
        <v>44098</v>
      </c>
      <c r="D1183">
        <v>4762.62</v>
      </c>
      <c r="E1183" s="1">
        <v>44089</v>
      </c>
      <c r="F1183">
        <v>13217.67</v>
      </c>
      <c r="G1183" s="1">
        <v>44070</v>
      </c>
      <c r="H1183">
        <v>6704.91381</v>
      </c>
      <c r="I1183" s="1">
        <v>44096</v>
      </c>
      <c r="J1183">
        <v>6648.6</v>
      </c>
      <c r="K1183" s="1">
        <v>44085</v>
      </c>
      <c r="L1183">
        <v>19820.75</v>
      </c>
    </row>
    <row r="1184" spans="1:12" x14ac:dyDescent="0.35">
      <c r="A1184" s="1">
        <v>44099</v>
      </c>
      <c r="B1184">
        <v>3137.06</v>
      </c>
      <c r="C1184" s="1">
        <v>44097</v>
      </c>
      <c r="D1184">
        <v>4802.26</v>
      </c>
      <c r="E1184" s="1">
        <v>44088</v>
      </c>
      <c r="F1184">
        <v>13193.66</v>
      </c>
      <c r="G1184" s="1">
        <v>44069</v>
      </c>
      <c r="H1184">
        <v>6751.7375300000003</v>
      </c>
      <c r="I1184" s="1">
        <v>44095</v>
      </c>
      <c r="J1184">
        <v>6692.3</v>
      </c>
      <c r="K1184" s="1">
        <v>44084</v>
      </c>
      <c r="L1184">
        <v>19820.22</v>
      </c>
    </row>
    <row r="1185" spans="1:12" x14ac:dyDescent="0.35">
      <c r="A1185" s="1">
        <v>44098</v>
      </c>
      <c r="B1185">
        <v>3159.64</v>
      </c>
      <c r="C1185" s="1">
        <v>44096</v>
      </c>
      <c r="D1185">
        <v>4772.84</v>
      </c>
      <c r="E1185" s="1">
        <v>44085</v>
      </c>
      <c r="F1185">
        <v>13202.84</v>
      </c>
      <c r="G1185" s="1">
        <v>44068</v>
      </c>
      <c r="H1185">
        <v>6707.0506500000001</v>
      </c>
      <c r="I1185" s="1">
        <v>44092</v>
      </c>
      <c r="J1185">
        <v>6929.8</v>
      </c>
      <c r="K1185" s="1">
        <v>44083</v>
      </c>
      <c r="L1185">
        <v>19771.32</v>
      </c>
    </row>
    <row r="1186" spans="1:12" x14ac:dyDescent="0.35">
      <c r="A1186" s="1">
        <v>44097</v>
      </c>
      <c r="B1186">
        <v>3180.11</v>
      </c>
      <c r="C1186" s="1">
        <v>44095</v>
      </c>
      <c r="D1186">
        <v>4792.04</v>
      </c>
      <c r="E1186" s="1">
        <v>44084</v>
      </c>
      <c r="F1186">
        <v>13208.89</v>
      </c>
      <c r="G1186" s="1">
        <v>44067</v>
      </c>
      <c r="H1186">
        <v>6761.2471500000001</v>
      </c>
      <c r="I1186" s="1">
        <v>44091</v>
      </c>
      <c r="J1186">
        <v>7086.2</v>
      </c>
      <c r="K1186" s="1">
        <v>44082</v>
      </c>
      <c r="L1186">
        <v>19380.18</v>
      </c>
    </row>
    <row r="1187" spans="1:12" x14ac:dyDescent="0.35">
      <c r="A1187" s="1">
        <v>44096</v>
      </c>
      <c r="B1187">
        <v>3164.13</v>
      </c>
      <c r="C1187" s="1">
        <v>44092</v>
      </c>
      <c r="D1187">
        <v>4978.18</v>
      </c>
      <c r="E1187" s="1">
        <v>44083</v>
      </c>
      <c r="F1187">
        <v>13237.21</v>
      </c>
      <c r="G1187" s="1">
        <v>44064</v>
      </c>
      <c r="H1187">
        <v>6667.1806200000001</v>
      </c>
      <c r="I1187" s="1">
        <v>44090</v>
      </c>
      <c r="J1187">
        <v>7110.8</v>
      </c>
      <c r="K1187" s="1">
        <v>44081</v>
      </c>
      <c r="L1187">
        <v>19738.009999999998</v>
      </c>
    </row>
    <row r="1188" spans="1:12" x14ac:dyDescent="0.35">
      <c r="A1188" s="1">
        <v>44095</v>
      </c>
      <c r="B1188">
        <v>3160.95</v>
      </c>
      <c r="C1188" s="1">
        <v>44091</v>
      </c>
      <c r="D1188">
        <v>5039.5</v>
      </c>
      <c r="E1188" s="1">
        <v>44082</v>
      </c>
      <c r="F1188">
        <v>12968.33</v>
      </c>
      <c r="G1188" s="1">
        <v>44063</v>
      </c>
      <c r="H1188">
        <v>6690.0563499999998</v>
      </c>
      <c r="I1188" s="1">
        <v>44089</v>
      </c>
      <c r="J1188">
        <v>7036</v>
      </c>
      <c r="K1188" s="1">
        <v>44078</v>
      </c>
      <c r="L1188">
        <v>19391.25</v>
      </c>
    </row>
    <row r="1189" spans="1:12" x14ac:dyDescent="0.35">
      <c r="A1189" s="1">
        <v>44092</v>
      </c>
      <c r="B1189">
        <v>3283.69</v>
      </c>
      <c r="C1189" s="1">
        <v>44090</v>
      </c>
      <c r="D1189">
        <v>5074.42</v>
      </c>
      <c r="E1189" s="1">
        <v>44081</v>
      </c>
      <c r="F1189">
        <v>13100.28</v>
      </c>
      <c r="G1189" s="1">
        <v>44062</v>
      </c>
      <c r="H1189">
        <v>6774.2226600000004</v>
      </c>
      <c r="I1189" s="1">
        <v>44088</v>
      </c>
      <c r="J1189">
        <v>6951.1</v>
      </c>
      <c r="K1189" s="1">
        <v>44077</v>
      </c>
      <c r="L1189">
        <v>19551.48</v>
      </c>
    </row>
    <row r="1190" spans="1:12" x14ac:dyDescent="0.35">
      <c r="A1190" s="1">
        <v>44091</v>
      </c>
      <c r="B1190">
        <v>3316.57</v>
      </c>
      <c r="C1190" s="1">
        <v>44089</v>
      </c>
      <c r="D1190">
        <v>5067.93</v>
      </c>
      <c r="E1190" s="1">
        <v>44078</v>
      </c>
      <c r="F1190">
        <v>12842.66</v>
      </c>
      <c r="G1190" s="1">
        <v>44061</v>
      </c>
      <c r="H1190">
        <v>6737.9411600000003</v>
      </c>
      <c r="I1190" s="1">
        <v>44085</v>
      </c>
      <c r="J1190">
        <v>6943.2</v>
      </c>
      <c r="K1190" s="1">
        <v>44076</v>
      </c>
      <c r="L1190">
        <v>19858.21</v>
      </c>
    </row>
    <row r="1191" spans="1:12" x14ac:dyDescent="0.35">
      <c r="A1191" s="1">
        <v>44090</v>
      </c>
      <c r="B1191">
        <v>3338.84</v>
      </c>
      <c r="C1191" s="1">
        <v>44088</v>
      </c>
      <c r="D1191">
        <v>5051.88</v>
      </c>
      <c r="E1191" s="1">
        <v>44077</v>
      </c>
      <c r="F1191">
        <v>13057.77</v>
      </c>
      <c r="G1191" s="1">
        <v>44060</v>
      </c>
      <c r="H1191">
        <v>6765.06963</v>
      </c>
      <c r="I1191" s="1">
        <v>44084</v>
      </c>
      <c r="J1191">
        <v>6999.2</v>
      </c>
      <c r="K1191" s="1">
        <v>44075</v>
      </c>
      <c r="L1191">
        <v>19595.02</v>
      </c>
    </row>
    <row r="1192" spans="1:12" x14ac:dyDescent="0.35">
      <c r="A1192" s="1">
        <v>44089</v>
      </c>
      <c r="B1192">
        <v>3332.26</v>
      </c>
      <c r="C1192" s="1">
        <v>44085</v>
      </c>
      <c r="D1192">
        <v>5034.1400000000003</v>
      </c>
      <c r="E1192" s="1">
        <v>44076</v>
      </c>
      <c r="F1192">
        <v>13243.43</v>
      </c>
      <c r="G1192" s="1">
        <v>44057</v>
      </c>
      <c r="H1192">
        <v>6735.8053200000004</v>
      </c>
      <c r="I1192" s="1">
        <v>44083</v>
      </c>
      <c r="J1192">
        <v>7020.9</v>
      </c>
      <c r="K1192" s="1">
        <v>44074</v>
      </c>
      <c r="L1192">
        <v>19633.689999999999</v>
      </c>
    </row>
    <row r="1193" spans="1:12" x14ac:dyDescent="0.35">
      <c r="A1193" s="1">
        <v>44088</v>
      </c>
      <c r="B1193">
        <v>3316.79</v>
      </c>
      <c r="C1193" s="1">
        <v>44084</v>
      </c>
      <c r="D1193">
        <v>5023.93</v>
      </c>
      <c r="E1193" s="1">
        <v>44075</v>
      </c>
      <c r="F1193">
        <v>12974.25</v>
      </c>
      <c r="G1193" s="1">
        <v>44056</v>
      </c>
      <c r="H1193">
        <v>6846.7385599999998</v>
      </c>
      <c r="I1193" s="1">
        <v>44082</v>
      </c>
      <c r="J1193">
        <v>6955</v>
      </c>
      <c r="K1193" s="1">
        <v>44071</v>
      </c>
      <c r="L1193">
        <v>19841.009999999998</v>
      </c>
    </row>
    <row r="1194" spans="1:12" x14ac:dyDescent="0.35">
      <c r="A1194" s="1">
        <v>44085</v>
      </c>
      <c r="B1194">
        <v>3315.81</v>
      </c>
      <c r="C1194" s="1">
        <v>44083</v>
      </c>
      <c r="D1194">
        <v>5042.9799999999996</v>
      </c>
      <c r="E1194" s="1">
        <v>44074</v>
      </c>
      <c r="F1194">
        <v>12945.38</v>
      </c>
      <c r="G1194" s="1">
        <v>44055</v>
      </c>
      <c r="H1194">
        <v>6946.9034300000003</v>
      </c>
      <c r="I1194" s="1">
        <v>44081</v>
      </c>
      <c r="J1194">
        <v>7080.7</v>
      </c>
      <c r="K1194" s="1">
        <v>44070</v>
      </c>
      <c r="L1194">
        <v>19847.38</v>
      </c>
    </row>
    <row r="1195" spans="1:12" x14ac:dyDescent="0.35">
      <c r="A1195" s="1">
        <v>44084</v>
      </c>
      <c r="B1195">
        <v>3312.77</v>
      </c>
      <c r="C1195" s="1">
        <v>44082</v>
      </c>
      <c r="D1195">
        <v>4973.5200000000004</v>
      </c>
      <c r="E1195" s="1">
        <v>44071</v>
      </c>
      <c r="F1195">
        <v>13033.2</v>
      </c>
      <c r="G1195" s="1">
        <v>44054</v>
      </c>
      <c r="H1195">
        <v>6843.9648800000004</v>
      </c>
      <c r="I1195" s="1">
        <v>44078</v>
      </c>
      <c r="J1195">
        <v>6989.7</v>
      </c>
      <c r="K1195" s="1">
        <v>44069</v>
      </c>
      <c r="L1195">
        <v>20137.29</v>
      </c>
    </row>
    <row r="1196" spans="1:12" x14ac:dyDescent="0.35">
      <c r="A1196" s="1">
        <v>44083</v>
      </c>
      <c r="B1196">
        <v>3324.83</v>
      </c>
      <c r="C1196" s="1">
        <v>44081</v>
      </c>
      <c r="D1196">
        <v>5053.72</v>
      </c>
      <c r="E1196" s="1">
        <v>44070</v>
      </c>
      <c r="F1196">
        <v>13096.36</v>
      </c>
      <c r="G1196" s="1">
        <v>44053</v>
      </c>
      <c r="H1196">
        <v>6736.3200999999999</v>
      </c>
      <c r="I1196" s="1">
        <v>44077</v>
      </c>
      <c r="J1196">
        <v>7006</v>
      </c>
      <c r="K1196" s="1">
        <v>44068</v>
      </c>
      <c r="L1196">
        <v>20030.05</v>
      </c>
    </row>
    <row r="1197" spans="1:12" x14ac:dyDescent="0.35">
      <c r="A1197" s="1">
        <v>44082</v>
      </c>
      <c r="B1197">
        <v>3267.37</v>
      </c>
      <c r="C1197" s="1">
        <v>44078</v>
      </c>
      <c r="D1197">
        <v>4965.07</v>
      </c>
      <c r="E1197" s="1">
        <v>44069</v>
      </c>
      <c r="F1197">
        <v>13190.15</v>
      </c>
      <c r="G1197" s="1">
        <v>44050</v>
      </c>
      <c r="H1197">
        <v>6684.6538799999998</v>
      </c>
      <c r="I1197" s="1">
        <v>44076</v>
      </c>
      <c r="J1197">
        <v>6996.9</v>
      </c>
      <c r="K1197" s="1">
        <v>44067</v>
      </c>
      <c r="L1197">
        <v>20113.36</v>
      </c>
    </row>
    <row r="1198" spans="1:12" x14ac:dyDescent="0.35">
      <c r="A1198" s="1">
        <v>44081</v>
      </c>
      <c r="B1198">
        <v>3314.07</v>
      </c>
      <c r="C1198" s="1">
        <v>44077</v>
      </c>
      <c r="D1198">
        <v>5009.5200000000004</v>
      </c>
      <c r="E1198" s="1">
        <v>44068</v>
      </c>
      <c r="F1198">
        <v>13061.62</v>
      </c>
      <c r="G1198" s="1">
        <v>44049</v>
      </c>
      <c r="H1198">
        <v>6675.7999499999996</v>
      </c>
      <c r="I1198" s="1">
        <v>44075</v>
      </c>
      <c r="J1198">
        <v>6956.9</v>
      </c>
      <c r="K1198" s="1">
        <v>44064</v>
      </c>
      <c r="L1198">
        <v>19695.43</v>
      </c>
    </row>
    <row r="1199" spans="1:12" x14ac:dyDescent="0.35">
      <c r="A1199" s="1">
        <v>44078</v>
      </c>
      <c r="B1199">
        <v>3260.59</v>
      </c>
      <c r="C1199" s="1">
        <v>44076</v>
      </c>
      <c r="D1199">
        <v>5031.74</v>
      </c>
      <c r="E1199" s="1">
        <v>44067</v>
      </c>
      <c r="F1199">
        <v>13066.54</v>
      </c>
      <c r="G1199" s="1">
        <v>44048</v>
      </c>
      <c r="H1199">
        <v>6749.4870199999996</v>
      </c>
      <c r="I1199" s="1">
        <v>44074</v>
      </c>
      <c r="J1199">
        <v>6969.5</v>
      </c>
      <c r="K1199" s="1">
        <v>44063</v>
      </c>
      <c r="L1199">
        <v>19766.96</v>
      </c>
    </row>
    <row r="1200" spans="1:12" x14ac:dyDescent="0.35">
      <c r="A1200" s="1">
        <v>44077</v>
      </c>
      <c r="B1200">
        <v>3304.22</v>
      </c>
      <c r="C1200" s="1">
        <v>44075</v>
      </c>
      <c r="D1200">
        <v>4938.1000000000004</v>
      </c>
      <c r="E1200" s="1">
        <v>44064</v>
      </c>
      <c r="F1200">
        <v>12764.8</v>
      </c>
      <c r="G1200" s="1">
        <v>44047</v>
      </c>
      <c r="H1200">
        <v>6695.5629099999996</v>
      </c>
      <c r="I1200" s="1">
        <v>44071</v>
      </c>
      <c r="J1200">
        <v>7133</v>
      </c>
      <c r="K1200" s="1">
        <v>44062</v>
      </c>
      <c r="L1200">
        <v>20055.400000000001</v>
      </c>
    </row>
    <row r="1201" spans="1:12" x14ac:dyDescent="0.35">
      <c r="A1201" s="1">
        <v>44076</v>
      </c>
      <c r="B1201">
        <v>3337.77</v>
      </c>
      <c r="C1201" s="1">
        <v>44074</v>
      </c>
      <c r="D1201">
        <v>4947.22</v>
      </c>
      <c r="E1201" s="1">
        <v>44063</v>
      </c>
      <c r="F1201">
        <v>12830</v>
      </c>
      <c r="G1201" s="1">
        <v>44046</v>
      </c>
      <c r="H1201">
        <v>6704.9923699999999</v>
      </c>
      <c r="I1201" s="1">
        <v>44070</v>
      </c>
      <c r="J1201">
        <v>7090.7</v>
      </c>
      <c r="K1201" s="1">
        <v>44061</v>
      </c>
      <c r="L1201">
        <v>19845.61</v>
      </c>
    </row>
    <row r="1202" spans="1:12" x14ac:dyDescent="0.35">
      <c r="A1202" s="1">
        <v>44075</v>
      </c>
      <c r="B1202">
        <v>3277.58</v>
      </c>
      <c r="C1202" s="1">
        <v>44071</v>
      </c>
      <c r="D1202">
        <v>5002.9399999999996</v>
      </c>
      <c r="E1202" s="1">
        <v>44062</v>
      </c>
      <c r="F1202">
        <v>12977.33</v>
      </c>
      <c r="G1202" s="1">
        <v>44043</v>
      </c>
      <c r="H1202">
        <v>6552.0107099999996</v>
      </c>
      <c r="I1202" s="1">
        <v>44069</v>
      </c>
      <c r="J1202">
        <v>7123</v>
      </c>
      <c r="K1202" s="1">
        <v>44060</v>
      </c>
      <c r="L1202">
        <v>19950.32</v>
      </c>
    </row>
    <row r="1203" spans="1:12" x14ac:dyDescent="0.35">
      <c r="A1203" s="1">
        <v>44074</v>
      </c>
      <c r="B1203">
        <v>3272.51</v>
      </c>
      <c r="C1203" s="1">
        <v>44070</v>
      </c>
      <c r="D1203">
        <v>5015.97</v>
      </c>
      <c r="E1203" s="1">
        <v>44061</v>
      </c>
      <c r="F1203">
        <v>12881.76</v>
      </c>
      <c r="G1203" s="1">
        <v>44042</v>
      </c>
      <c r="H1203">
        <v>6627.3525399999999</v>
      </c>
      <c r="I1203" s="1">
        <v>44068</v>
      </c>
      <c r="J1203">
        <v>7108.4</v>
      </c>
      <c r="K1203" s="1">
        <v>44057</v>
      </c>
      <c r="L1203">
        <v>20028.11</v>
      </c>
    </row>
    <row r="1204" spans="1:12" x14ac:dyDescent="0.35">
      <c r="A1204" s="1">
        <v>44071</v>
      </c>
      <c r="B1204">
        <v>3315.54</v>
      </c>
      <c r="C1204" s="1">
        <v>44069</v>
      </c>
      <c r="D1204">
        <v>5048.43</v>
      </c>
      <c r="E1204" s="1">
        <v>44060</v>
      </c>
      <c r="F1204">
        <v>12920.66</v>
      </c>
      <c r="G1204" s="1">
        <v>44041</v>
      </c>
      <c r="H1204">
        <v>6756.3752400000003</v>
      </c>
      <c r="I1204" s="1">
        <v>44067</v>
      </c>
      <c r="J1204">
        <v>7109.1</v>
      </c>
      <c r="K1204" s="1">
        <v>44056</v>
      </c>
      <c r="L1204">
        <v>20257.310000000001</v>
      </c>
    </row>
    <row r="1205" spans="1:12" x14ac:dyDescent="0.35">
      <c r="A1205" s="1">
        <v>44070</v>
      </c>
      <c r="B1205">
        <v>3331.04</v>
      </c>
      <c r="C1205" s="1">
        <v>44068</v>
      </c>
      <c r="D1205">
        <v>5008.2700000000004</v>
      </c>
      <c r="E1205" s="1">
        <v>44057</v>
      </c>
      <c r="F1205">
        <v>12901.34</v>
      </c>
      <c r="G1205" s="1">
        <v>44040</v>
      </c>
      <c r="H1205">
        <v>6762.8170799999998</v>
      </c>
      <c r="I1205" s="1">
        <v>44064</v>
      </c>
      <c r="J1205">
        <v>6982.1</v>
      </c>
      <c r="K1205" s="1">
        <v>44055</v>
      </c>
      <c r="L1205">
        <v>20437.36</v>
      </c>
    </row>
    <row r="1206" spans="1:12" x14ac:dyDescent="0.35">
      <c r="A1206" s="1">
        <v>44069</v>
      </c>
      <c r="B1206">
        <v>3356.76</v>
      </c>
      <c r="C1206" s="1">
        <v>44067</v>
      </c>
      <c r="D1206">
        <v>5007.8900000000003</v>
      </c>
      <c r="E1206" s="1">
        <v>44056</v>
      </c>
      <c r="F1206">
        <v>12993.71</v>
      </c>
      <c r="G1206" s="1">
        <v>44039</v>
      </c>
      <c r="H1206">
        <v>6691.1979799999999</v>
      </c>
      <c r="I1206" s="1">
        <v>44063</v>
      </c>
      <c r="J1206">
        <v>6993.3</v>
      </c>
      <c r="K1206" s="1">
        <v>44054</v>
      </c>
      <c r="L1206">
        <v>20209.11</v>
      </c>
    </row>
    <row r="1207" spans="1:12" x14ac:dyDescent="0.35">
      <c r="A1207" s="1">
        <v>44068</v>
      </c>
      <c r="B1207">
        <v>3329.71</v>
      </c>
      <c r="C1207" s="1">
        <v>44064</v>
      </c>
      <c r="D1207">
        <v>4896.33</v>
      </c>
      <c r="E1207" s="1">
        <v>44055</v>
      </c>
      <c r="F1207">
        <v>13058.63</v>
      </c>
      <c r="G1207" s="1">
        <v>44036</v>
      </c>
      <c r="H1207">
        <v>6729.0965800000004</v>
      </c>
      <c r="I1207" s="1">
        <v>44062</v>
      </c>
      <c r="J1207">
        <v>7094.3</v>
      </c>
      <c r="K1207" s="1">
        <v>44053</v>
      </c>
      <c r="L1207">
        <v>19651.57</v>
      </c>
    </row>
    <row r="1208" spans="1:12" x14ac:dyDescent="0.35">
      <c r="A1208" s="1">
        <v>44067</v>
      </c>
      <c r="B1208">
        <v>3331.74</v>
      </c>
      <c r="C1208" s="1">
        <v>44063</v>
      </c>
      <c r="D1208">
        <v>4911.24</v>
      </c>
      <c r="E1208" s="1">
        <v>44054</v>
      </c>
      <c r="F1208">
        <v>12946.89</v>
      </c>
      <c r="G1208" s="1">
        <v>44035</v>
      </c>
      <c r="H1208">
        <v>6812.8057500000004</v>
      </c>
      <c r="I1208" s="1">
        <v>44061</v>
      </c>
      <c r="J1208">
        <v>7043.5</v>
      </c>
      <c r="K1208" s="1">
        <v>44050</v>
      </c>
      <c r="L1208">
        <v>19516.43</v>
      </c>
    </row>
    <row r="1209" spans="1:12" x14ac:dyDescent="0.35">
      <c r="A1209" s="1">
        <v>44064</v>
      </c>
      <c r="B1209">
        <v>3259.75</v>
      </c>
      <c r="C1209" s="1">
        <v>44062</v>
      </c>
      <c r="D1209">
        <v>4977.2299999999996</v>
      </c>
      <c r="E1209" s="1">
        <v>44053</v>
      </c>
      <c r="F1209">
        <v>12687.53</v>
      </c>
      <c r="G1209" s="1">
        <v>44034</v>
      </c>
      <c r="H1209">
        <v>6829.0431600000002</v>
      </c>
      <c r="I1209" s="1">
        <v>44060</v>
      </c>
      <c r="J1209">
        <v>7090.1</v>
      </c>
      <c r="K1209" s="1">
        <v>44049</v>
      </c>
      <c r="L1209">
        <v>19475.150000000001</v>
      </c>
    </row>
    <row r="1210" spans="1:12" x14ac:dyDescent="0.35">
      <c r="A1210" s="1">
        <v>44063</v>
      </c>
      <c r="B1210">
        <v>3273.98</v>
      </c>
      <c r="C1210" s="1">
        <v>44061</v>
      </c>
      <c r="D1210">
        <v>4938.0600000000004</v>
      </c>
      <c r="E1210" s="1">
        <v>44050</v>
      </c>
      <c r="F1210">
        <v>12674.88</v>
      </c>
      <c r="G1210" s="1">
        <v>44033</v>
      </c>
      <c r="H1210">
        <v>6937.7535099999996</v>
      </c>
      <c r="I1210" s="1">
        <v>44057</v>
      </c>
      <c r="J1210">
        <v>7154.3</v>
      </c>
      <c r="K1210" s="1">
        <v>44048</v>
      </c>
      <c r="L1210">
        <v>19740.2</v>
      </c>
    </row>
    <row r="1211" spans="1:12" x14ac:dyDescent="0.35">
      <c r="A1211" s="1">
        <v>44062</v>
      </c>
      <c r="B1211">
        <v>3317.62</v>
      </c>
      <c r="C1211" s="1">
        <v>44060</v>
      </c>
      <c r="D1211">
        <v>4971.9399999999996</v>
      </c>
      <c r="E1211" s="1">
        <v>44049</v>
      </c>
      <c r="F1211">
        <v>12591.68</v>
      </c>
      <c r="G1211" s="1">
        <v>44032</v>
      </c>
      <c r="H1211">
        <v>6924.9488199999996</v>
      </c>
      <c r="I1211" s="1">
        <v>44056</v>
      </c>
      <c r="J1211">
        <v>7250.5</v>
      </c>
      <c r="K1211" s="1">
        <v>44047</v>
      </c>
      <c r="L1211">
        <v>19613.95</v>
      </c>
    </row>
    <row r="1212" spans="1:12" x14ac:dyDescent="0.35">
      <c r="A1212" s="1">
        <v>44061</v>
      </c>
      <c r="B1212">
        <v>3289.64</v>
      </c>
      <c r="C1212" s="1">
        <v>44057</v>
      </c>
      <c r="D1212">
        <v>4962.93</v>
      </c>
      <c r="E1212" s="1">
        <v>44048</v>
      </c>
      <c r="F1212">
        <v>12660.25</v>
      </c>
      <c r="G1212" s="1">
        <v>44029</v>
      </c>
      <c r="H1212">
        <v>6907.5030299999999</v>
      </c>
      <c r="I1212" s="1">
        <v>44055</v>
      </c>
      <c r="J1212">
        <v>7296</v>
      </c>
      <c r="K1212" s="1">
        <v>44046</v>
      </c>
      <c r="L1212">
        <v>19379.79</v>
      </c>
    </row>
    <row r="1213" spans="1:12" x14ac:dyDescent="0.35">
      <c r="A1213" s="1">
        <v>44060</v>
      </c>
      <c r="B1213">
        <v>3305.85</v>
      </c>
      <c r="C1213" s="1">
        <v>44056</v>
      </c>
      <c r="D1213">
        <v>5042.38</v>
      </c>
      <c r="E1213" s="1">
        <v>44047</v>
      </c>
      <c r="F1213">
        <v>12600.87</v>
      </c>
      <c r="G1213" s="1">
        <v>44028</v>
      </c>
      <c r="H1213">
        <v>6896.6329800000003</v>
      </c>
      <c r="I1213" s="1">
        <v>44054</v>
      </c>
      <c r="J1213">
        <v>7263.5</v>
      </c>
      <c r="K1213" s="1">
        <v>44043</v>
      </c>
      <c r="L1213">
        <v>19091.93</v>
      </c>
    </row>
    <row r="1214" spans="1:12" x14ac:dyDescent="0.35">
      <c r="A1214" s="1">
        <v>44057</v>
      </c>
      <c r="B1214">
        <v>3305.05</v>
      </c>
      <c r="C1214" s="1">
        <v>44055</v>
      </c>
      <c r="D1214">
        <v>5073.3100000000004</v>
      </c>
      <c r="E1214" s="1">
        <v>44046</v>
      </c>
      <c r="F1214">
        <v>12646.98</v>
      </c>
      <c r="G1214" s="1">
        <v>44027</v>
      </c>
      <c r="H1214">
        <v>6943.0431200000003</v>
      </c>
      <c r="I1214" s="1">
        <v>44053</v>
      </c>
      <c r="J1214">
        <v>7053.9</v>
      </c>
      <c r="K1214" s="1">
        <v>44042</v>
      </c>
      <c r="L1214">
        <v>19228.47</v>
      </c>
    </row>
    <row r="1215" spans="1:12" x14ac:dyDescent="0.35">
      <c r="A1215" s="1">
        <v>44056</v>
      </c>
      <c r="B1215">
        <v>3342.85</v>
      </c>
      <c r="C1215" s="1">
        <v>44054</v>
      </c>
      <c r="D1215">
        <v>5027.99</v>
      </c>
      <c r="E1215" s="1">
        <v>44043</v>
      </c>
      <c r="F1215">
        <v>12313.36</v>
      </c>
      <c r="G1215" s="1">
        <v>44026</v>
      </c>
      <c r="H1215">
        <v>6800.2721199999996</v>
      </c>
      <c r="I1215" s="1">
        <v>44050</v>
      </c>
      <c r="J1215">
        <v>6950.5</v>
      </c>
      <c r="K1215" s="1">
        <v>44041</v>
      </c>
      <c r="L1215">
        <v>19880.57</v>
      </c>
    </row>
    <row r="1216" spans="1:12" x14ac:dyDescent="0.35">
      <c r="A1216" s="1">
        <v>44055</v>
      </c>
      <c r="B1216">
        <v>3363.18</v>
      </c>
      <c r="C1216" s="1">
        <v>44053</v>
      </c>
      <c r="D1216">
        <v>4909.51</v>
      </c>
      <c r="E1216" s="1">
        <v>44042</v>
      </c>
      <c r="F1216">
        <v>12379.65</v>
      </c>
      <c r="G1216" s="1">
        <v>44025</v>
      </c>
      <c r="H1216">
        <v>6853.6802299999999</v>
      </c>
      <c r="I1216" s="1">
        <v>44049</v>
      </c>
      <c r="J1216">
        <v>6957.9</v>
      </c>
      <c r="K1216" s="1">
        <v>44040</v>
      </c>
      <c r="L1216">
        <v>19902.63</v>
      </c>
    </row>
    <row r="1217" spans="1:12" x14ac:dyDescent="0.35">
      <c r="A1217" s="1">
        <v>44054</v>
      </c>
      <c r="B1217">
        <v>3332.12</v>
      </c>
      <c r="C1217" s="1">
        <v>44050</v>
      </c>
      <c r="D1217">
        <v>4889.5200000000004</v>
      </c>
      <c r="E1217" s="1">
        <v>44041</v>
      </c>
      <c r="F1217">
        <v>12822.26</v>
      </c>
      <c r="G1217" s="1">
        <v>44022</v>
      </c>
      <c r="H1217">
        <v>6811.2161100000003</v>
      </c>
      <c r="I1217" s="1">
        <v>44048</v>
      </c>
      <c r="J1217">
        <v>7039.7</v>
      </c>
      <c r="K1217" s="1">
        <v>44039</v>
      </c>
      <c r="L1217">
        <v>20019.96</v>
      </c>
    </row>
    <row r="1218" spans="1:12" x14ac:dyDescent="0.35">
      <c r="A1218" s="1">
        <v>44053</v>
      </c>
      <c r="B1218">
        <v>3259.71</v>
      </c>
      <c r="C1218" s="1">
        <v>44049</v>
      </c>
      <c r="D1218">
        <v>4885.13</v>
      </c>
      <c r="E1218" s="1">
        <v>44040</v>
      </c>
      <c r="F1218">
        <v>12835.28</v>
      </c>
      <c r="G1218" s="1">
        <v>44021</v>
      </c>
      <c r="H1218">
        <v>6756.3287799999998</v>
      </c>
      <c r="I1218" s="1">
        <v>44047</v>
      </c>
      <c r="J1218">
        <v>7021.6</v>
      </c>
      <c r="K1218" s="1">
        <v>44036</v>
      </c>
      <c r="L1218">
        <v>20075.27</v>
      </c>
    </row>
    <row r="1219" spans="1:12" x14ac:dyDescent="0.35">
      <c r="A1219" s="1">
        <v>44050</v>
      </c>
      <c r="B1219">
        <v>3252.65</v>
      </c>
      <c r="C1219" s="1">
        <v>44048</v>
      </c>
      <c r="D1219">
        <v>4933.34</v>
      </c>
      <c r="E1219" s="1">
        <v>44039</v>
      </c>
      <c r="F1219">
        <v>12838.66</v>
      </c>
      <c r="G1219" s="1">
        <v>44020</v>
      </c>
      <c r="H1219">
        <v>6844.2205800000002</v>
      </c>
      <c r="I1219" s="1">
        <v>44046</v>
      </c>
      <c r="J1219">
        <v>6975</v>
      </c>
      <c r="K1219" s="1">
        <v>44035</v>
      </c>
      <c r="L1219">
        <v>20454.46</v>
      </c>
    </row>
    <row r="1220" spans="1:12" x14ac:dyDescent="0.35">
      <c r="A1220" s="1">
        <v>44049</v>
      </c>
      <c r="B1220">
        <v>3240.39</v>
      </c>
      <c r="C1220" s="1">
        <v>44047</v>
      </c>
      <c r="D1220">
        <v>4889.5200000000004</v>
      </c>
      <c r="E1220" s="1">
        <v>44036</v>
      </c>
      <c r="F1220">
        <v>12838.06</v>
      </c>
      <c r="G1220" s="1">
        <v>44019</v>
      </c>
      <c r="H1220">
        <v>6886.1952199999996</v>
      </c>
      <c r="I1220" s="1">
        <v>44043</v>
      </c>
      <c r="J1220">
        <v>6877.4</v>
      </c>
      <c r="K1220" s="1">
        <v>44034</v>
      </c>
      <c r="L1220">
        <v>20598.78</v>
      </c>
    </row>
    <row r="1221" spans="1:12" x14ac:dyDescent="0.35">
      <c r="A1221" s="1">
        <v>44048</v>
      </c>
      <c r="B1221">
        <v>3268.38</v>
      </c>
      <c r="C1221" s="1">
        <v>44046</v>
      </c>
      <c r="D1221">
        <v>4875.93</v>
      </c>
      <c r="E1221" s="1">
        <v>44035</v>
      </c>
      <c r="F1221">
        <v>13103.39</v>
      </c>
      <c r="G1221" s="1">
        <v>44018</v>
      </c>
      <c r="H1221">
        <v>6940.8296499999997</v>
      </c>
      <c r="I1221" s="1">
        <v>44042</v>
      </c>
      <c r="J1221">
        <v>6996.6</v>
      </c>
      <c r="K1221" s="1">
        <v>44033</v>
      </c>
      <c r="L1221">
        <v>20723.419999999998</v>
      </c>
    </row>
    <row r="1222" spans="1:12" x14ac:dyDescent="0.35">
      <c r="A1222" s="1">
        <v>44047</v>
      </c>
      <c r="B1222">
        <v>3254.29</v>
      </c>
      <c r="C1222" s="1">
        <v>44043</v>
      </c>
      <c r="D1222">
        <v>4783.6899999999996</v>
      </c>
      <c r="E1222" s="1">
        <v>44034</v>
      </c>
      <c r="F1222">
        <v>13104.25</v>
      </c>
      <c r="G1222" s="1">
        <v>44015</v>
      </c>
      <c r="H1222">
        <v>6829.3340799999996</v>
      </c>
      <c r="I1222" s="1">
        <v>44041</v>
      </c>
      <c r="J1222">
        <v>7206.2</v>
      </c>
      <c r="K1222" s="1">
        <v>44032</v>
      </c>
      <c r="L1222">
        <v>20621.48</v>
      </c>
    </row>
    <row r="1223" spans="1:12" x14ac:dyDescent="0.35">
      <c r="A1223" s="1">
        <v>44046</v>
      </c>
      <c r="B1223">
        <v>3248.28</v>
      </c>
      <c r="C1223" s="1">
        <v>44042</v>
      </c>
      <c r="D1223">
        <v>4852.9399999999996</v>
      </c>
      <c r="E1223" s="1">
        <v>44033</v>
      </c>
      <c r="F1223">
        <v>13171.83</v>
      </c>
      <c r="G1223" s="1">
        <v>44014</v>
      </c>
      <c r="H1223">
        <v>6925.0267999999996</v>
      </c>
      <c r="I1223" s="1">
        <v>44040</v>
      </c>
      <c r="J1223">
        <v>7246.4</v>
      </c>
      <c r="K1223" s="1">
        <v>44029</v>
      </c>
      <c r="L1223">
        <v>20419.39</v>
      </c>
    </row>
    <row r="1224" spans="1:12" x14ac:dyDescent="0.35">
      <c r="A1224" s="1">
        <v>44043</v>
      </c>
      <c r="B1224">
        <v>3174.32</v>
      </c>
      <c r="C1224" s="1">
        <v>44041</v>
      </c>
      <c r="D1224">
        <v>4958.74</v>
      </c>
      <c r="E1224" s="1">
        <v>44032</v>
      </c>
      <c r="F1224">
        <v>13046.92</v>
      </c>
      <c r="G1224" s="1">
        <v>44013</v>
      </c>
      <c r="H1224">
        <v>6823.28647</v>
      </c>
      <c r="I1224" s="1">
        <v>44039</v>
      </c>
      <c r="J1224">
        <v>7170.6</v>
      </c>
      <c r="K1224" s="1">
        <v>44028</v>
      </c>
      <c r="L1224">
        <v>20356.09</v>
      </c>
    </row>
    <row r="1225" spans="1:12" x14ac:dyDescent="0.35">
      <c r="A1225" s="1">
        <v>44042</v>
      </c>
      <c r="B1225">
        <v>3208.2</v>
      </c>
      <c r="C1225" s="1">
        <v>44040</v>
      </c>
      <c r="D1225">
        <v>4928.9399999999996</v>
      </c>
      <c r="E1225" s="1">
        <v>44029</v>
      </c>
      <c r="F1225">
        <v>12919.61</v>
      </c>
      <c r="G1225" s="1">
        <v>44012</v>
      </c>
      <c r="H1225">
        <v>6793.1345199999996</v>
      </c>
      <c r="I1225" s="1">
        <v>44036</v>
      </c>
      <c r="J1225">
        <v>7294.7</v>
      </c>
      <c r="K1225" s="1">
        <v>44027</v>
      </c>
      <c r="L1225">
        <v>20281.38</v>
      </c>
    </row>
    <row r="1226" spans="1:12" x14ac:dyDescent="0.35">
      <c r="A1226" s="1">
        <v>44041</v>
      </c>
      <c r="B1226">
        <v>3300.16</v>
      </c>
      <c r="C1226" s="1">
        <v>44039</v>
      </c>
      <c r="D1226">
        <v>4939.62</v>
      </c>
      <c r="E1226" s="1">
        <v>44028</v>
      </c>
      <c r="F1226">
        <v>12874.97</v>
      </c>
      <c r="G1226" s="1">
        <v>44011</v>
      </c>
      <c r="H1226">
        <v>6810.8049499999997</v>
      </c>
      <c r="I1226" s="1">
        <v>44035</v>
      </c>
      <c r="J1226">
        <v>7384.9</v>
      </c>
      <c r="K1226" s="1">
        <v>44026</v>
      </c>
      <c r="L1226">
        <v>19879.75</v>
      </c>
    </row>
    <row r="1227" spans="1:12" x14ac:dyDescent="0.35">
      <c r="A1227" s="1">
        <v>44040</v>
      </c>
      <c r="B1227">
        <v>3303.56</v>
      </c>
      <c r="C1227" s="1">
        <v>44036</v>
      </c>
      <c r="D1227">
        <v>4956.43</v>
      </c>
      <c r="E1227" s="1">
        <v>44027</v>
      </c>
      <c r="F1227">
        <v>12930.98</v>
      </c>
      <c r="G1227" s="1">
        <v>44008</v>
      </c>
      <c r="H1227">
        <v>6772.4876599999998</v>
      </c>
      <c r="I1227" s="1">
        <v>44034</v>
      </c>
      <c r="J1227">
        <v>7390.1</v>
      </c>
      <c r="K1227" s="1">
        <v>44025</v>
      </c>
      <c r="L1227">
        <v>20003.25</v>
      </c>
    </row>
    <row r="1228" spans="1:12" x14ac:dyDescent="0.35">
      <c r="A1228" s="1">
        <v>44039</v>
      </c>
      <c r="B1228">
        <v>3302.84</v>
      </c>
      <c r="C1228" s="1">
        <v>44035</v>
      </c>
      <c r="D1228">
        <v>5033.76</v>
      </c>
      <c r="E1228" s="1">
        <v>44026</v>
      </c>
      <c r="F1228">
        <v>12697.36</v>
      </c>
      <c r="G1228" s="1">
        <v>44007</v>
      </c>
      <c r="H1228">
        <v>6800.3454899999997</v>
      </c>
      <c r="I1228" s="1">
        <v>44033</v>
      </c>
      <c r="J1228">
        <v>7494.5</v>
      </c>
      <c r="K1228" s="1">
        <v>44022</v>
      </c>
      <c r="L1228">
        <v>19767.599999999999</v>
      </c>
    </row>
    <row r="1229" spans="1:12" x14ac:dyDescent="0.35">
      <c r="A1229" s="1">
        <v>44036</v>
      </c>
      <c r="B1229">
        <v>3310.89</v>
      </c>
      <c r="C1229" s="1">
        <v>44034</v>
      </c>
      <c r="D1229">
        <v>5037.12</v>
      </c>
      <c r="E1229" s="1">
        <v>44025</v>
      </c>
      <c r="F1229">
        <v>12799.97</v>
      </c>
      <c r="G1229" s="1">
        <v>44006</v>
      </c>
      <c r="H1229">
        <v>6758.9726099999998</v>
      </c>
      <c r="I1229" s="1">
        <v>44032</v>
      </c>
      <c r="J1229">
        <v>7478</v>
      </c>
      <c r="K1229" s="1">
        <v>44021</v>
      </c>
      <c r="L1229">
        <v>19505.95</v>
      </c>
    </row>
    <row r="1230" spans="1:12" x14ac:dyDescent="0.35">
      <c r="A1230" s="1">
        <v>44035</v>
      </c>
      <c r="B1230">
        <v>3371.74</v>
      </c>
      <c r="C1230" s="1">
        <v>44033</v>
      </c>
      <c r="D1230">
        <v>5104.28</v>
      </c>
      <c r="E1230" s="1">
        <v>44022</v>
      </c>
      <c r="F1230">
        <v>12633.71</v>
      </c>
      <c r="G1230" s="1">
        <v>44005</v>
      </c>
      <c r="H1230">
        <v>6994.6610600000004</v>
      </c>
      <c r="I1230" s="1">
        <v>44029</v>
      </c>
      <c r="J1230">
        <v>7440.4</v>
      </c>
      <c r="K1230" s="1">
        <v>44020</v>
      </c>
      <c r="L1230">
        <v>19899.53</v>
      </c>
    </row>
    <row r="1231" spans="1:12" x14ac:dyDescent="0.35">
      <c r="A1231" s="1">
        <v>44034</v>
      </c>
      <c r="B1231">
        <v>3370.76</v>
      </c>
      <c r="C1231" s="1">
        <v>44032</v>
      </c>
      <c r="D1231">
        <v>5093.18</v>
      </c>
      <c r="E1231" s="1">
        <v>44021</v>
      </c>
      <c r="F1231">
        <v>12489.46</v>
      </c>
      <c r="G1231" s="1">
        <v>44004</v>
      </c>
      <c r="H1231">
        <v>6911.7257499999996</v>
      </c>
      <c r="I1231" s="1">
        <v>44028</v>
      </c>
      <c r="J1231">
        <v>7474.7</v>
      </c>
      <c r="K1231" s="1">
        <v>44019</v>
      </c>
      <c r="L1231">
        <v>20012.68</v>
      </c>
    </row>
    <row r="1232" spans="1:12" x14ac:dyDescent="0.35">
      <c r="A1232" s="1">
        <v>44033</v>
      </c>
      <c r="B1232">
        <v>3405.35</v>
      </c>
      <c r="C1232" s="1">
        <v>44029</v>
      </c>
      <c r="D1232">
        <v>5069.42</v>
      </c>
      <c r="E1232" s="1">
        <v>44020</v>
      </c>
      <c r="F1232">
        <v>12494.81</v>
      </c>
      <c r="G1232" s="1">
        <v>44001</v>
      </c>
      <c r="H1232">
        <v>6953.1740200000004</v>
      </c>
      <c r="I1232" s="1">
        <v>44027</v>
      </c>
      <c r="J1232">
        <v>7487.6</v>
      </c>
      <c r="K1232" s="1">
        <v>44018</v>
      </c>
      <c r="L1232">
        <v>20031.86</v>
      </c>
    </row>
    <row r="1233" spans="1:12" x14ac:dyDescent="0.35">
      <c r="A1233" s="1">
        <v>44032</v>
      </c>
      <c r="B1233">
        <v>3388.34</v>
      </c>
      <c r="C1233" s="1">
        <v>44028</v>
      </c>
      <c r="D1233">
        <v>5085.28</v>
      </c>
      <c r="E1233" s="1">
        <v>44019</v>
      </c>
      <c r="F1233">
        <v>12616.8</v>
      </c>
      <c r="G1233" s="1">
        <v>44000</v>
      </c>
      <c r="H1233">
        <v>6901.3004099999998</v>
      </c>
      <c r="I1233" s="1">
        <v>44026</v>
      </c>
      <c r="J1233">
        <v>7352</v>
      </c>
      <c r="K1233" s="1">
        <v>44015</v>
      </c>
      <c r="L1233">
        <v>19726.650000000001</v>
      </c>
    </row>
    <row r="1234" spans="1:12" x14ac:dyDescent="0.35">
      <c r="A1234" s="1">
        <v>44029</v>
      </c>
      <c r="B1234">
        <v>3365.6</v>
      </c>
      <c r="C1234" s="1">
        <v>44027</v>
      </c>
      <c r="D1234">
        <v>5108.9799999999996</v>
      </c>
      <c r="E1234" s="1">
        <v>44018</v>
      </c>
      <c r="F1234">
        <v>12733.45</v>
      </c>
      <c r="G1234" s="1">
        <v>43999</v>
      </c>
      <c r="H1234">
        <v>6983.1948599999996</v>
      </c>
      <c r="I1234" s="1">
        <v>44025</v>
      </c>
      <c r="J1234">
        <v>7426.9</v>
      </c>
      <c r="K1234" s="1">
        <v>44014</v>
      </c>
      <c r="L1234">
        <v>19886.88</v>
      </c>
    </row>
    <row r="1235" spans="1:12" x14ac:dyDescent="0.35">
      <c r="A1235" s="1">
        <v>44028</v>
      </c>
      <c r="B1235">
        <v>3365.35</v>
      </c>
      <c r="C1235" s="1">
        <v>44026</v>
      </c>
      <c r="D1235">
        <v>5007.46</v>
      </c>
      <c r="E1235" s="1">
        <v>44015</v>
      </c>
      <c r="F1235">
        <v>12528.18</v>
      </c>
      <c r="G1235" s="1">
        <v>43998</v>
      </c>
      <c r="H1235">
        <v>6976.8773899999997</v>
      </c>
      <c r="I1235" s="1">
        <v>44022</v>
      </c>
      <c r="J1235">
        <v>7321.1</v>
      </c>
      <c r="K1235" s="1">
        <v>44013</v>
      </c>
      <c r="L1235">
        <v>19330.88</v>
      </c>
    </row>
    <row r="1236" spans="1:12" x14ac:dyDescent="0.35">
      <c r="A1236" s="1">
        <v>44027</v>
      </c>
      <c r="B1236">
        <v>3378.21</v>
      </c>
      <c r="C1236" s="1">
        <v>44025</v>
      </c>
      <c r="D1236">
        <v>5056.2299999999996</v>
      </c>
      <c r="E1236" s="1">
        <v>44014</v>
      </c>
      <c r="F1236">
        <v>12608.46</v>
      </c>
      <c r="G1236" s="1">
        <v>43997</v>
      </c>
      <c r="H1236">
        <v>6752.0505800000001</v>
      </c>
      <c r="I1236" s="1">
        <v>44021</v>
      </c>
      <c r="J1236">
        <v>7236.9</v>
      </c>
      <c r="K1236" s="1">
        <v>44012</v>
      </c>
      <c r="L1236">
        <v>19375.52</v>
      </c>
    </row>
    <row r="1237" spans="1:12" x14ac:dyDescent="0.35">
      <c r="A1237" s="1">
        <v>44026</v>
      </c>
      <c r="B1237">
        <v>3321.39</v>
      </c>
      <c r="C1237" s="1">
        <v>44022</v>
      </c>
      <c r="D1237">
        <v>4970.4799999999996</v>
      </c>
      <c r="E1237" s="1">
        <v>44013</v>
      </c>
      <c r="F1237">
        <v>12260.57</v>
      </c>
      <c r="G1237" s="1">
        <v>43994</v>
      </c>
      <c r="H1237">
        <v>6794.1590200000001</v>
      </c>
      <c r="I1237" s="1">
        <v>44020</v>
      </c>
      <c r="J1237">
        <v>7326.4</v>
      </c>
      <c r="K1237" s="1">
        <v>44011</v>
      </c>
      <c r="L1237">
        <v>19447.02</v>
      </c>
    </row>
    <row r="1238" spans="1:12" x14ac:dyDescent="0.35">
      <c r="A1238" s="1">
        <v>44025</v>
      </c>
      <c r="B1238">
        <v>3350</v>
      </c>
      <c r="C1238" s="1">
        <v>44021</v>
      </c>
      <c r="D1238">
        <v>4921.01</v>
      </c>
      <c r="E1238" s="1">
        <v>44012</v>
      </c>
      <c r="F1238">
        <v>12310.93</v>
      </c>
      <c r="G1238" s="1">
        <v>43993</v>
      </c>
      <c r="H1238">
        <v>6752.72084</v>
      </c>
      <c r="I1238" s="1">
        <v>44019</v>
      </c>
      <c r="J1238">
        <v>7447.4</v>
      </c>
      <c r="K1238" s="1">
        <v>44008</v>
      </c>
      <c r="L1238">
        <v>19124.36</v>
      </c>
    </row>
    <row r="1239" spans="1:12" x14ac:dyDescent="0.35">
      <c r="A1239" s="1">
        <v>44022</v>
      </c>
      <c r="B1239">
        <v>3296.22</v>
      </c>
      <c r="C1239" s="1">
        <v>44020</v>
      </c>
      <c r="D1239">
        <v>4981.13</v>
      </c>
      <c r="E1239" s="1">
        <v>44011</v>
      </c>
      <c r="F1239">
        <v>12232.12</v>
      </c>
      <c r="G1239" s="1">
        <v>43992</v>
      </c>
      <c r="H1239">
        <v>7112.53478</v>
      </c>
      <c r="I1239" s="1">
        <v>44018</v>
      </c>
      <c r="J1239">
        <v>7556.2</v>
      </c>
      <c r="K1239" s="1">
        <v>44007</v>
      </c>
      <c r="L1239">
        <v>19234.75</v>
      </c>
    </row>
    <row r="1240" spans="1:12" x14ac:dyDescent="0.35">
      <c r="A1240" s="1">
        <v>44021</v>
      </c>
      <c r="B1240">
        <v>3261.17</v>
      </c>
      <c r="C1240" s="1">
        <v>44019</v>
      </c>
      <c r="D1240">
        <v>5043.7299999999996</v>
      </c>
      <c r="E1240" s="1">
        <v>44008</v>
      </c>
      <c r="F1240">
        <v>12089.39</v>
      </c>
      <c r="G1240" s="1">
        <v>43991</v>
      </c>
      <c r="H1240">
        <v>7118.2593399999996</v>
      </c>
      <c r="I1240" s="1">
        <v>44015</v>
      </c>
      <c r="J1240">
        <v>7403.5</v>
      </c>
      <c r="K1240" s="1">
        <v>44006</v>
      </c>
      <c r="L1240">
        <v>19162.98</v>
      </c>
    </row>
    <row r="1241" spans="1:12" x14ac:dyDescent="0.35">
      <c r="A1241" s="1">
        <v>44020</v>
      </c>
      <c r="B1241">
        <v>3286.09</v>
      </c>
      <c r="C1241" s="1">
        <v>44018</v>
      </c>
      <c r="D1241">
        <v>5081.51</v>
      </c>
      <c r="E1241" s="1">
        <v>44007</v>
      </c>
      <c r="F1241">
        <v>12177.87</v>
      </c>
      <c r="G1241" s="1">
        <v>43990</v>
      </c>
      <c r="H1241">
        <v>7279.1557700000003</v>
      </c>
      <c r="I1241" s="1">
        <v>44014</v>
      </c>
      <c r="J1241">
        <v>7498.6</v>
      </c>
      <c r="K1241" s="1">
        <v>44005</v>
      </c>
      <c r="L1241">
        <v>19841.580000000002</v>
      </c>
    </row>
    <row r="1242" spans="1:12" x14ac:dyDescent="0.35">
      <c r="A1242" s="1">
        <v>44019</v>
      </c>
      <c r="B1242">
        <v>3321.56</v>
      </c>
      <c r="C1242" s="1">
        <v>44015</v>
      </c>
      <c r="D1242">
        <v>5007.1400000000003</v>
      </c>
      <c r="E1242" s="1">
        <v>44006</v>
      </c>
      <c r="F1242">
        <v>12093.94</v>
      </c>
      <c r="G1242" s="1">
        <v>43987</v>
      </c>
      <c r="H1242">
        <v>7281.9877800000004</v>
      </c>
      <c r="I1242" s="1">
        <v>44013</v>
      </c>
      <c r="J1242">
        <v>7227.4</v>
      </c>
      <c r="K1242" s="1">
        <v>44004</v>
      </c>
      <c r="L1242">
        <v>19478.73</v>
      </c>
    </row>
    <row r="1243" spans="1:12" x14ac:dyDescent="0.35">
      <c r="A1243" s="1">
        <v>44018</v>
      </c>
      <c r="B1243">
        <v>3350.03</v>
      </c>
      <c r="C1243" s="1">
        <v>44014</v>
      </c>
      <c r="D1243">
        <v>5049.38</v>
      </c>
      <c r="E1243" s="1">
        <v>44005</v>
      </c>
      <c r="F1243">
        <v>12523.76</v>
      </c>
      <c r="G1243" s="1">
        <v>43986</v>
      </c>
      <c r="H1243">
        <v>7053.4456200000004</v>
      </c>
      <c r="I1243" s="1">
        <v>44012</v>
      </c>
      <c r="J1243">
        <v>7231.4</v>
      </c>
      <c r="K1243" s="1">
        <v>44001</v>
      </c>
      <c r="L1243">
        <v>19618.93</v>
      </c>
    </row>
    <row r="1244" spans="1:12" x14ac:dyDescent="0.35">
      <c r="A1244" s="1">
        <v>44015</v>
      </c>
      <c r="B1244">
        <v>3294.38</v>
      </c>
      <c r="C1244" s="1">
        <v>44013</v>
      </c>
      <c r="D1244">
        <v>4926.9399999999996</v>
      </c>
      <c r="E1244" s="1">
        <v>44004</v>
      </c>
      <c r="F1244">
        <v>12262.97</v>
      </c>
      <c r="G1244" s="1">
        <v>43985</v>
      </c>
      <c r="H1244">
        <v>7152.0251600000001</v>
      </c>
      <c r="I1244" s="1">
        <v>44011</v>
      </c>
      <c r="J1244">
        <v>7278.1</v>
      </c>
      <c r="K1244" s="1">
        <v>44000</v>
      </c>
      <c r="L1244">
        <v>19485.759999999998</v>
      </c>
    </row>
    <row r="1245" spans="1:12" x14ac:dyDescent="0.35">
      <c r="A1245" s="1">
        <v>44014</v>
      </c>
      <c r="B1245">
        <v>3320.09</v>
      </c>
      <c r="C1245" s="1">
        <v>44012</v>
      </c>
      <c r="D1245">
        <v>4935.99</v>
      </c>
      <c r="E1245" s="1">
        <v>44001</v>
      </c>
      <c r="F1245">
        <v>12330.76</v>
      </c>
      <c r="G1245" s="1">
        <v>43984</v>
      </c>
      <c r="H1245">
        <v>6979.9834799999999</v>
      </c>
      <c r="I1245" s="1">
        <v>44008</v>
      </c>
      <c r="J1245">
        <v>7178.4</v>
      </c>
      <c r="K1245" s="1">
        <v>43999</v>
      </c>
      <c r="L1245">
        <v>19585.89</v>
      </c>
    </row>
    <row r="1246" spans="1:12" x14ac:dyDescent="0.35">
      <c r="A1246" s="1">
        <v>44013</v>
      </c>
      <c r="B1246">
        <v>3228.45</v>
      </c>
      <c r="C1246" s="1">
        <v>44011</v>
      </c>
      <c r="D1246">
        <v>4945.46</v>
      </c>
      <c r="E1246" s="1">
        <v>44000</v>
      </c>
      <c r="F1246">
        <v>12281.53</v>
      </c>
      <c r="G1246" s="1">
        <v>43983</v>
      </c>
      <c r="H1246">
        <v>6906.0579799999996</v>
      </c>
      <c r="I1246" s="1">
        <v>44007</v>
      </c>
      <c r="J1246">
        <v>7270.3</v>
      </c>
      <c r="K1246" s="1">
        <v>43998</v>
      </c>
      <c r="L1246">
        <v>19625.63</v>
      </c>
    </row>
    <row r="1247" spans="1:12" x14ac:dyDescent="0.35">
      <c r="A1247" s="1">
        <v>44012</v>
      </c>
      <c r="B1247">
        <v>3234.07</v>
      </c>
      <c r="C1247" s="1">
        <v>44008</v>
      </c>
      <c r="D1247">
        <v>4909.6400000000003</v>
      </c>
      <c r="E1247" s="1">
        <v>43999</v>
      </c>
      <c r="F1247">
        <v>12382.14</v>
      </c>
      <c r="G1247" s="1">
        <v>43980</v>
      </c>
      <c r="H1247">
        <v>6744.0513799999999</v>
      </c>
      <c r="I1247" s="1">
        <v>44006</v>
      </c>
      <c r="J1247">
        <v>7195.5</v>
      </c>
      <c r="K1247" s="1">
        <v>43997</v>
      </c>
      <c r="L1247">
        <v>18969.29</v>
      </c>
    </row>
    <row r="1248" spans="1:12" x14ac:dyDescent="0.35">
      <c r="A1248" s="1">
        <v>44011</v>
      </c>
      <c r="B1248">
        <v>3232.02</v>
      </c>
      <c r="C1248" s="1">
        <v>44007</v>
      </c>
      <c r="D1248">
        <v>4918.58</v>
      </c>
      <c r="E1248" s="1">
        <v>43998</v>
      </c>
      <c r="F1248">
        <v>12315.66</v>
      </c>
      <c r="G1248" s="1">
        <v>43979</v>
      </c>
      <c r="H1248">
        <v>6923.6086500000001</v>
      </c>
      <c r="I1248" s="1">
        <v>44005</v>
      </c>
      <c r="J1248">
        <v>7438.4</v>
      </c>
      <c r="K1248" s="1">
        <v>43994</v>
      </c>
      <c r="L1248">
        <v>18888.16</v>
      </c>
    </row>
    <row r="1249" spans="1:12" x14ac:dyDescent="0.35">
      <c r="A1249" s="1">
        <v>44008</v>
      </c>
      <c r="B1249">
        <v>3204.17</v>
      </c>
      <c r="C1249" s="1">
        <v>44006</v>
      </c>
      <c r="D1249">
        <v>4871.3599999999997</v>
      </c>
      <c r="E1249" s="1">
        <v>43997</v>
      </c>
      <c r="F1249">
        <v>11911.35</v>
      </c>
      <c r="G1249" s="1">
        <v>43978</v>
      </c>
      <c r="H1249">
        <v>6851.8884500000004</v>
      </c>
      <c r="I1249" s="1">
        <v>44004</v>
      </c>
      <c r="J1249">
        <v>7345.7</v>
      </c>
      <c r="K1249" s="1">
        <v>43993</v>
      </c>
      <c r="L1249">
        <v>18806.86</v>
      </c>
    </row>
    <row r="1250" spans="1:12" x14ac:dyDescent="0.35">
      <c r="A1250" s="1">
        <v>44007</v>
      </c>
      <c r="B1250">
        <v>3218.91</v>
      </c>
      <c r="C1250" s="1">
        <v>44005</v>
      </c>
      <c r="D1250">
        <v>5017.68</v>
      </c>
      <c r="E1250" s="1">
        <v>43994</v>
      </c>
      <c r="F1250">
        <v>11949.28</v>
      </c>
      <c r="G1250" s="1">
        <v>43977</v>
      </c>
      <c r="H1250">
        <v>6819.0433300000004</v>
      </c>
      <c r="I1250" s="1">
        <v>44001</v>
      </c>
      <c r="J1250">
        <v>7414.2</v>
      </c>
      <c r="K1250" s="1">
        <v>43992</v>
      </c>
      <c r="L1250">
        <v>19758.009999999998</v>
      </c>
    </row>
    <row r="1251" spans="1:12" x14ac:dyDescent="0.35">
      <c r="A1251" s="1">
        <v>44006</v>
      </c>
      <c r="B1251">
        <v>3196.12</v>
      </c>
      <c r="C1251" s="1">
        <v>44004</v>
      </c>
      <c r="D1251">
        <v>4948.7</v>
      </c>
      <c r="E1251" s="1">
        <v>43993</v>
      </c>
      <c r="F1251">
        <v>11970.29</v>
      </c>
      <c r="G1251" s="1">
        <v>43973</v>
      </c>
      <c r="H1251">
        <v>6698.4041399999996</v>
      </c>
      <c r="I1251" s="1">
        <v>44000</v>
      </c>
      <c r="J1251">
        <v>7390.2</v>
      </c>
      <c r="K1251" s="1">
        <v>43991</v>
      </c>
      <c r="L1251">
        <v>19930.2</v>
      </c>
    </row>
    <row r="1252" spans="1:12" x14ac:dyDescent="0.35">
      <c r="A1252" s="1">
        <v>44005</v>
      </c>
      <c r="B1252">
        <v>3298.83</v>
      </c>
      <c r="C1252" s="1">
        <v>44001</v>
      </c>
      <c r="D1252">
        <v>4979.45</v>
      </c>
      <c r="E1252" s="1">
        <v>43992</v>
      </c>
      <c r="F1252">
        <v>12530.16</v>
      </c>
      <c r="G1252" s="1">
        <v>43972</v>
      </c>
      <c r="H1252">
        <v>6715.3361500000001</v>
      </c>
      <c r="I1252" s="1">
        <v>43999</v>
      </c>
      <c r="J1252">
        <v>7478.7</v>
      </c>
      <c r="K1252" s="1">
        <v>43990</v>
      </c>
      <c r="L1252">
        <v>20231.38</v>
      </c>
    </row>
    <row r="1253" spans="1:12" x14ac:dyDescent="0.35">
      <c r="A1253" s="1">
        <v>44004</v>
      </c>
      <c r="B1253">
        <v>3241.69</v>
      </c>
      <c r="C1253" s="1">
        <v>44000</v>
      </c>
      <c r="D1253">
        <v>4958.75</v>
      </c>
      <c r="E1253" s="1">
        <v>43991</v>
      </c>
      <c r="F1253">
        <v>12617.99</v>
      </c>
      <c r="G1253" s="1">
        <v>43971</v>
      </c>
      <c r="H1253">
        <v>6759.7758400000002</v>
      </c>
      <c r="I1253" s="1">
        <v>43998</v>
      </c>
      <c r="J1253">
        <v>7495.3</v>
      </c>
      <c r="K1253" s="1">
        <v>43987</v>
      </c>
      <c r="L1253">
        <v>20187.509999999998</v>
      </c>
    </row>
    <row r="1254" spans="1:12" x14ac:dyDescent="0.35">
      <c r="A1254" s="1">
        <v>44001</v>
      </c>
      <c r="B1254">
        <v>3269.1</v>
      </c>
      <c r="C1254" s="1">
        <v>43999</v>
      </c>
      <c r="D1254">
        <v>4995.97</v>
      </c>
      <c r="E1254" s="1">
        <v>43990</v>
      </c>
      <c r="F1254">
        <v>12819.59</v>
      </c>
      <c r="G1254" s="1">
        <v>43970</v>
      </c>
      <c r="H1254">
        <v>6727.1768000000002</v>
      </c>
      <c r="I1254" s="1">
        <v>43997</v>
      </c>
      <c r="J1254">
        <v>7259.3</v>
      </c>
      <c r="K1254" s="1">
        <v>43986</v>
      </c>
      <c r="L1254">
        <v>19634.03</v>
      </c>
    </row>
    <row r="1255" spans="1:12" x14ac:dyDescent="0.35">
      <c r="A1255" s="1">
        <v>44000</v>
      </c>
      <c r="B1255">
        <v>3249.9</v>
      </c>
      <c r="C1255" s="1">
        <v>43998</v>
      </c>
      <c r="D1255">
        <v>4952.46</v>
      </c>
      <c r="E1255" s="1">
        <v>43987</v>
      </c>
      <c r="F1255">
        <v>12847.68</v>
      </c>
      <c r="G1255" s="1">
        <v>43969</v>
      </c>
      <c r="H1255">
        <v>6753.3070100000004</v>
      </c>
      <c r="I1255" s="1">
        <v>43994</v>
      </c>
      <c r="J1255">
        <v>7292.7</v>
      </c>
      <c r="K1255" s="1">
        <v>43985</v>
      </c>
      <c r="L1255">
        <v>19641.810000000001</v>
      </c>
    </row>
    <row r="1256" spans="1:12" x14ac:dyDescent="0.35">
      <c r="A1256" s="1">
        <v>43999</v>
      </c>
      <c r="B1256">
        <v>3267.26</v>
      </c>
      <c r="C1256" s="1">
        <v>43997</v>
      </c>
      <c r="D1256">
        <v>4815.72</v>
      </c>
      <c r="E1256" s="1">
        <v>43986</v>
      </c>
      <c r="F1256">
        <v>12430.56</v>
      </c>
      <c r="G1256" s="1">
        <v>43966</v>
      </c>
      <c r="H1256">
        <v>6503.8782899999997</v>
      </c>
      <c r="I1256" s="1">
        <v>43993</v>
      </c>
      <c r="J1256">
        <v>7278</v>
      </c>
      <c r="K1256" s="1">
        <v>43984</v>
      </c>
      <c r="L1256">
        <v>18971.09</v>
      </c>
    </row>
    <row r="1257" spans="1:12" x14ac:dyDescent="0.35">
      <c r="A1257" s="1">
        <v>43998</v>
      </c>
      <c r="B1257">
        <v>3242.65</v>
      </c>
      <c r="C1257" s="1">
        <v>43994</v>
      </c>
      <c r="D1257">
        <v>4839.26</v>
      </c>
      <c r="E1257" s="1">
        <v>43985</v>
      </c>
      <c r="F1257">
        <v>12487.36</v>
      </c>
      <c r="G1257" s="1">
        <v>43965</v>
      </c>
      <c r="H1257">
        <v>6495.0438999999997</v>
      </c>
      <c r="I1257" s="1">
        <v>43992</v>
      </c>
      <c r="J1257">
        <v>7663.9</v>
      </c>
      <c r="K1257" s="1">
        <v>43983</v>
      </c>
      <c r="L1257">
        <v>18523.71</v>
      </c>
    </row>
    <row r="1258" spans="1:12" x14ac:dyDescent="0.35">
      <c r="A1258" s="1">
        <v>43997</v>
      </c>
      <c r="B1258">
        <v>3136.4</v>
      </c>
      <c r="C1258" s="1">
        <v>43993</v>
      </c>
      <c r="D1258">
        <v>4815.6000000000004</v>
      </c>
      <c r="E1258" s="1">
        <v>43984</v>
      </c>
      <c r="F1258">
        <v>12021.28</v>
      </c>
      <c r="G1258" s="1">
        <v>43964</v>
      </c>
      <c r="H1258">
        <v>6670.5617599999996</v>
      </c>
      <c r="I1258" s="1">
        <v>43991</v>
      </c>
      <c r="J1258">
        <v>7752.3</v>
      </c>
      <c r="K1258" s="1">
        <v>43980</v>
      </c>
      <c r="L1258">
        <v>18197.560000000001</v>
      </c>
    </row>
    <row r="1259" spans="1:12" x14ac:dyDescent="0.35">
      <c r="A1259" s="1">
        <v>43994</v>
      </c>
      <c r="B1259">
        <v>3153.74</v>
      </c>
      <c r="C1259" s="1">
        <v>43992</v>
      </c>
      <c r="D1259">
        <v>5053.42</v>
      </c>
      <c r="E1259" s="1">
        <v>43980</v>
      </c>
      <c r="F1259">
        <v>11586.85</v>
      </c>
      <c r="G1259" s="1">
        <v>43963</v>
      </c>
      <c r="H1259">
        <v>6790.8683799999999</v>
      </c>
      <c r="I1259" s="1">
        <v>43990</v>
      </c>
      <c r="J1259">
        <v>7896.1</v>
      </c>
      <c r="K1259" s="1">
        <v>43979</v>
      </c>
      <c r="L1259">
        <v>18351.16</v>
      </c>
    </row>
    <row r="1260" spans="1:12" x14ac:dyDescent="0.35">
      <c r="A1260" s="1">
        <v>43993</v>
      </c>
      <c r="B1260">
        <v>3144.57</v>
      </c>
      <c r="C1260" s="1">
        <v>43991</v>
      </c>
      <c r="D1260">
        <v>5095.1099999999997</v>
      </c>
      <c r="E1260" s="1">
        <v>43979</v>
      </c>
      <c r="F1260">
        <v>11781.13</v>
      </c>
      <c r="G1260" s="1">
        <v>43962</v>
      </c>
      <c r="H1260">
        <v>6783.8663100000003</v>
      </c>
      <c r="I1260" s="1">
        <v>43987</v>
      </c>
      <c r="J1260">
        <v>7872.6</v>
      </c>
      <c r="K1260" s="1">
        <v>43978</v>
      </c>
      <c r="L1260">
        <v>17910.25</v>
      </c>
    </row>
    <row r="1261" spans="1:12" x14ac:dyDescent="0.35">
      <c r="A1261" s="1">
        <v>43992</v>
      </c>
      <c r="B1261">
        <v>3293.71</v>
      </c>
      <c r="C1261" s="1">
        <v>43990</v>
      </c>
      <c r="D1261">
        <v>5175.5200000000004</v>
      </c>
      <c r="E1261" s="1">
        <v>43978</v>
      </c>
      <c r="F1261">
        <v>11657.69</v>
      </c>
      <c r="G1261" s="1">
        <v>43958</v>
      </c>
      <c r="H1261">
        <v>6783.0360600000004</v>
      </c>
      <c r="I1261" s="1">
        <v>43986</v>
      </c>
      <c r="J1261">
        <v>7566.8</v>
      </c>
      <c r="K1261" s="1">
        <v>43977</v>
      </c>
      <c r="L1261">
        <v>17860.46</v>
      </c>
    </row>
    <row r="1262" spans="1:12" x14ac:dyDescent="0.35">
      <c r="A1262" s="1">
        <v>43991</v>
      </c>
      <c r="B1262">
        <v>3320.71</v>
      </c>
      <c r="C1262" s="1">
        <v>43987</v>
      </c>
      <c r="D1262">
        <v>5197.79</v>
      </c>
      <c r="E1262" s="1">
        <v>43977</v>
      </c>
      <c r="F1262">
        <v>11504.65</v>
      </c>
      <c r="G1262" s="1">
        <v>43957</v>
      </c>
      <c r="H1262">
        <v>6693.8804600000003</v>
      </c>
      <c r="I1262" s="1">
        <v>43985</v>
      </c>
      <c r="J1262">
        <v>7626.4</v>
      </c>
      <c r="K1262" s="1">
        <v>43976</v>
      </c>
      <c r="L1262">
        <v>17595.900000000001</v>
      </c>
    </row>
    <row r="1263" spans="1:12" x14ac:dyDescent="0.35">
      <c r="A1263" s="1">
        <v>43990</v>
      </c>
      <c r="B1263">
        <v>3366.29</v>
      </c>
      <c r="C1263" s="1">
        <v>43986</v>
      </c>
      <c r="D1263">
        <v>5011.9799999999996</v>
      </c>
      <c r="E1263" s="1">
        <v>43976</v>
      </c>
      <c r="F1263">
        <v>11391.28</v>
      </c>
      <c r="G1263" s="1">
        <v>43956</v>
      </c>
      <c r="H1263">
        <v>6713.8822499999997</v>
      </c>
      <c r="I1263" s="1">
        <v>43984</v>
      </c>
      <c r="J1263">
        <v>7408.1</v>
      </c>
      <c r="K1263" s="1">
        <v>43973</v>
      </c>
      <c r="L1263">
        <v>17316.29</v>
      </c>
    </row>
    <row r="1264" spans="1:12" x14ac:dyDescent="0.35">
      <c r="A1264" s="1">
        <v>43987</v>
      </c>
      <c r="B1264">
        <v>3384.29</v>
      </c>
      <c r="C1264" s="1">
        <v>43985</v>
      </c>
      <c r="D1264">
        <v>5022.38</v>
      </c>
      <c r="E1264" s="1">
        <v>43973</v>
      </c>
      <c r="F1264">
        <v>11073.87</v>
      </c>
      <c r="G1264" s="1">
        <v>43955</v>
      </c>
      <c r="H1264">
        <v>6563.0042899999999</v>
      </c>
      <c r="I1264" s="1">
        <v>43983</v>
      </c>
      <c r="J1264">
        <v>7221.4</v>
      </c>
      <c r="K1264" s="1">
        <v>43972</v>
      </c>
      <c r="L1264">
        <v>17087.060000000001</v>
      </c>
    </row>
    <row r="1265" spans="1:12" x14ac:dyDescent="0.35">
      <c r="A1265" s="1">
        <v>43986</v>
      </c>
      <c r="B1265">
        <v>3261.67</v>
      </c>
      <c r="C1265" s="1">
        <v>43984</v>
      </c>
      <c r="D1265">
        <v>4858.97</v>
      </c>
      <c r="E1265" s="1">
        <v>43972</v>
      </c>
      <c r="F1265">
        <v>11065.93</v>
      </c>
      <c r="G1265" s="1">
        <v>43952</v>
      </c>
      <c r="H1265">
        <v>6562.9022400000003</v>
      </c>
      <c r="I1265" s="1">
        <v>43980</v>
      </c>
      <c r="J1265">
        <v>7096.5</v>
      </c>
      <c r="K1265" s="1">
        <v>43971</v>
      </c>
      <c r="L1265">
        <v>17213.11</v>
      </c>
    </row>
    <row r="1266" spans="1:12" x14ac:dyDescent="0.35">
      <c r="A1266" s="1">
        <v>43985</v>
      </c>
      <c r="B1266">
        <v>3269.59</v>
      </c>
      <c r="C1266" s="1">
        <v>43983</v>
      </c>
      <c r="D1266">
        <v>4762.78</v>
      </c>
      <c r="E1266" s="1">
        <v>43971</v>
      </c>
      <c r="F1266">
        <v>11223.71</v>
      </c>
      <c r="G1266" s="1">
        <v>43951</v>
      </c>
      <c r="H1266">
        <v>6788.7925599999999</v>
      </c>
      <c r="I1266" s="1">
        <v>43979</v>
      </c>
      <c r="J1266">
        <v>7224.1</v>
      </c>
      <c r="K1266" s="1">
        <v>43970</v>
      </c>
      <c r="L1266">
        <v>17034.54</v>
      </c>
    </row>
    <row r="1267" spans="1:12" x14ac:dyDescent="0.35">
      <c r="A1267" s="1">
        <v>43984</v>
      </c>
      <c r="B1267">
        <v>3159.02</v>
      </c>
      <c r="C1267" s="1">
        <v>43980</v>
      </c>
      <c r="D1267">
        <v>4695.4399999999996</v>
      </c>
      <c r="E1267" s="1">
        <v>43970</v>
      </c>
      <c r="F1267">
        <v>11075.29</v>
      </c>
      <c r="G1267" s="1">
        <v>43950</v>
      </c>
      <c r="H1267">
        <v>7009.8759</v>
      </c>
      <c r="I1267" s="1">
        <v>43978</v>
      </c>
      <c r="J1267">
        <v>7174.5</v>
      </c>
      <c r="K1267" s="1">
        <v>43969</v>
      </c>
      <c r="L1267">
        <v>17401.45</v>
      </c>
    </row>
    <row r="1268" spans="1:12" x14ac:dyDescent="0.35">
      <c r="A1268" s="1">
        <v>43983</v>
      </c>
      <c r="B1268">
        <v>3077.92</v>
      </c>
      <c r="C1268" s="1">
        <v>43979</v>
      </c>
      <c r="D1268">
        <v>4771.3900000000003</v>
      </c>
      <c r="E1268" s="1">
        <v>43969</v>
      </c>
      <c r="F1268">
        <v>11058.87</v>
      </c>
      <c r="G1268" s="1">
        <v>43949</v>
      </c>
      <c r="H1268">
        <v>6836.4326099999998</v>
      </c>
      <c r="I1268" s="1">
        <v>43977</v>
      </c>
      <c r="J1268">
        <v>7003.9</v>
      </c>
      <c r="K1268" s="1">
        <v>43966</v>
      </c>
      <c r="L1268">
        <v>16852.349999999999</v>
      </c>
    </row>
    <row r="1269" spans="1:12" x14ac:dyDescent="0.35">
      <c r="A1269" s="1">
        <v>43980</v>
      </c>
      <c r="B1269">
        <v>3050.2</v>
      </c>
      <c r="C1269" s="1">
        <v>43978</v>
      </c>
      <c r="D1269">
        <v>4688.74</v>
      </c>
      <c r="E1269" s="1">
        <v>43966</v>
      </c>
      <c r="F1269">
        <v>10465.17</v>
      </c>
      <c r="G1269" s="1">
        <v>43948</v>
      </c>
      <c r="H1269">
        <v>6701.03406</v>
      </c>
      <c r="I1269" s="1">
        <v>43976</v>
      </c>
      <c r="J1269">
        <v>6856.8</v>
      </c>
      <c r="K1269" s="1">
        <v>43965</v>
      </c>
      <c r="L1269">
        <v>16867.759999999998</v>
      </c>
    </row>
    <row r="1270" spans="1:12" x14ac:dyDescent="0.35">
      <c r="A1270" s="1">
        <v>43979</v>
      </c>
      <c r="B1270">
        <v>3094.47</v>
      </c>
      <c r="C1270" s="1">
        <v>43977</v>
      </c>
      <c r="D1270">
        <v>4606.24</v>
      </c>
      <c r="E1270" s="1">
        <v>43965</v>
      </c>
      <c r="F1270">
        <v>10337.02</v>
      </c>
      <c r="G1270" s="1">
        <v>43945</v>
      </c>
      <c r="H1270">
        <v>6574.96738</v>
      </c>
      <c r="I1270" s="1">
        <v>43973</v>
      </c>
      <c r="J1270">
        <v>6697.5</v>
      </c>
      <c r="K1270" s="1">
        <v>43964</v>
      </c>
      <c r="L1270">
        <v>17183.439999999999</v>
      </c>
    </row>
    <row r="1271" spans="1:12" x14ac:dyDescent="0.35">
      <c r="A1271" s="1">
        <v>43978</v>
      </c>
      <c r="B1271">
        <v>3051.08</v>
      </c>
      <c r="C1271" s="1">
        <v>43976</v>
      </c>
      <c r="D1271">
        <v>4539.91</v>
      </c>
      <c r="E1271" s="1">
        <v>43964</v>
      </c>
      <c r="F1271">
        <v>10542.66</v>
      </c>
      <c r="G1271" s="1">
        <v>43944</v>
      </c>
      <c r="H1271">
        <v>6660.1374299999998</v>
      </c>
      <c r="I1271" s="1">
        <v>43972</v>
      </c>
      <c r="J1271">
        <v>6686.1</v>
      </c>
      <c r="K1271" s="1">
        <v>43963</v>
      </c>
      <c r="L1271">
        <v>17559.32</v>
      </c>
    </row>
    <row r="1272" spans="1:12" x14ac:dyDescent="0.35">
      <c r="A1272" s="1">
        <v>43977</v>
      </c>
      <c r="B1272">
        <v>2999.22</v>
      </c>
      <c r="C1272" s="1">
        <v>43973</v>
      </c>
      <c r="D1272">
        <v>4444.5600000000004</v>
      </c>
      <c r="E1272" s="1">
        <v>43963</v>
      </c>
      <c r="F1272">
        <v>10819.5</v>
      </c>
      <c r="G1272" s="1">
        <v>43943</v>
      </c>
      <c r="H1272">
        <v>6567.7196100000001</v>
      </c>
      <c r="I1272" s="1">
        <v>43971</v>
      </c>
      <c r="J1272">
        <v>6683.6</v>
      </c>
      <c r="K1272" s="1">
        <v>43962</v>
      </c>
      <c r="L1272">
        <v>17381.36</v>
      </c>
    </row>
    <row r="1273" spans="1:12" x14ac:dyDescent="0.35">
      <c r="A1273" s="1">
        <v>43976</v>
      </c>
      <c r="B1273">
        <v>2971.35</v>
      </c>
      <c r="C1273" s="1">
        <v>43972</v>
      </c>
      <c r="D1273">
        <v>4445.45</v>
      </c>
      <c r="E1273" s="1">
        <v>43962</v>
      </c>
      <c r="F1273">
        <v>10824.99</v>
      </c>
      <c r="G1273" s="1">
        <v>43942</v>
      </c>
      <c r="H1273">
        <v>6382.8327300000001</v>
      </c>
      <c r="I1273" s="1">
        <v>43970</v>
      </c>
      <c r="J1273">
        <v>6609.1</v>
      </c>
      <c r="K1273" s="1">
        <v>43959</v>
      </c>
      <c r="L1273">
        <v>17439.3</v>
      </c>
    </row>
    <row r="1274" spans="1:12" x14ac:dyDescent="0.35">
      <c r="A1274" s="1">
        <v>43973</v>
      </c>
      <c r="B1274">
        <v>2905.47</v>
      </c>
      <c r="C1274" s="1">
        <v>43971</v>
      </c>
      <c r="D1274">
        <v>4496.9799999999996</v>
      </c>
      <c r="E1274" s="1">
        <v>43959</v>
      </c>
      <c r="F1274">
        <v>10904.48</v>
      </c>
      <c r="G1274" s="1">
        <v>43941</v>
      </c>
      <c r="H1274">
        <v>6665.7705599999999</v>
      </c>
      <c r="I1274" s="1">
        <v>43969</v>
      </c>
      <c r="J1274">
        <v>6779.3</v>
      </c>
      <c r="K1274" s="1">
        <v>43958</v>
      </c>
      <c r="L1274">
        <v>17245.04</v>
      </c>
    </row>
    <row r="1275" spans="1:12" x14ac:dyDescent="0.35">
      <c r="A1275" s="1">
        <v>43972</v>
      </c>
      <c r="B1275">
        <v>2904.98</v>
      </c>
      <c r="C1275" s="1">
        <v>43970</v>
      </c>
      <c r="D1275">
        <v>4458.16</v>
      </c>
      <c r="E1275" s="1">
        <v>43958</v>
      </c>
      <c r="F1275">
        <v>10759.27</v>
      </c>
      <c r="G1275" s="1">
        <v>43938</v>
      </c>
      <c r="H1275">
        <v>6655.5099</v>
      </c>
      <c r="I1275" s="1">
        <v>43966</v>
      </c>
      <c r="J1275">
        <v>6474.9</v>
      </c>
      <c r="K1275" s="1">
        <v>43957</v>
      </c>
      <c r="L1275">
        <v>17159.310000000001</v>
      </c>
    </row>
    <row r="1276" spans="1:12" x14ac:dyDescent="0.35">
      <c r="A1276" s="1">
        <v>43971</v>
      </c>
      <c r="B1276">
        <v>2942.39</v>
      </c>
      <c r="C1276" s="1">
        <v>43969</v>
      </c>
      <c r="D1276">
        <v>4498.34</v>
      </c>
      <c r="E1276" s="1">
        <v>43957</v>
      </c>
      <c r="F1276">
        <v>10606.2</v>
      </c>
      <c r="G1276" s="1">
        <v>43937</v>
      </c>
      <c r="H1276">
        <v>6462.2522399999998</v>
      </c>
      <c r="I1276" s="1">
        <v>43965</v>
      </c>
      <c r="J1276">
        <v>6545.6</v>
      </c>
      <c r="K1276" s="1">
        <v>43956</v>
      </c>
      <c r="L1276">
        <v>17387.38</v>
      </c>
    </row>
    <row r="1277" spans="1:12" x14ac:dyDescent="0.35">
      <c r="A1277" s="1">
        <v>43970</v>
      </c>
      <c r="B1277">
        <v>2902.58</v>
      </c>
      <c r="C1277" s="1">
        <v>43966</v>
      </c>
      <c r="D1277">
        <v>4277.63</v>
      </c>
      <c r="E1277" s="1">
        <v>43956</v>
      </c>
      <c r="F1277">
        <v>10729.46</v>
      </c>
      <c r="G1277" s="1">
        <v>43936</v>
      </c>
      <c r="H1277">
        <v>6429.3243000000002</v>
      </c>
      <c r="I1277" s="1">
        <v>43964</v>
      </c>
      <c r="J1277">
        <v>6631.4</v>
      </c>
      <c r="K1277" s="1">
        <v>43955</v>
      </c>
      <c r="L1277">
        <v>17035.61</v>
      </c>
    </row>
    <row r="1278" spans="1:12" x14ac:dyDescent="0.35">
      <c r="A1278" s="1">
        <v>43969</v>
      </c>
      <c r="B1278">
        <v>2911.88</v>
      </c>
      <c r="C1278" s="1">
        <v>43965</v>
      </c>
      <c r="D1278">
        <v>4273.13</v>
      </c>
      <c r="E1278" s="1">
        <v>43955</v>
      </c>
      <c r="F1278">
        <v>10466.799999999999</v>
      </c>
      <c r="G1278" s="1">
        <v>43935</v>
      </c>
      <c r="H1278">
        <v>6658.5540499999997</v>
      </c>
      <c r="I1278" s="1">
        <v>43963</v>
      </c>
      <c r="J1278">
        <v>6762.7</v>
      </c>
      <c r="K1278" s="1">
        <v>43951</v>
      </c>
      <c r="L1278">
        <v>17690.490000000002</v>
      </c>
    </row>
    <row r="1279" spans="1:12" x14ac:dyDescent="0.35">
      <c r="A1279" s="1">
        <v>43966</v>
      </c>
      <c r="B1279">
        <v>2770.7</v>
      </c>
      <c r="C1279" s="1">
        <v>43964</v>
      </c>
      <c r="D1279">
        <v>4344.95</v>
      </c>
      <c r="E1279" s="1">
        <v>43951</v>
      </c>
      <c r="F1279">
        <v>10861.64</v>
      </c>
      <c r="G1279" s="1">
        <v>43930</v>
      </c>
      <c r="H1279">
        <v>6650.9943599999997</v>
      </c>
      <c r="I1279" s="1">
        <v>43962</v>
      </c>
      <c r="J1279">
        <v>6672.2</v>
      </c>
      <c r="K1279" s="1">
        <v>43950</v>
      </c>
      <c r="L1279">
        <v>18067.29</v>
      </c>
    </row>
    <row r="1280" spans="1:12" x14ac:dyDescent="0.35">
      <c r="A1280" s="1">
        <v>43965</v>
      </c>
      <c r="B1280">
        <v>2760.23</v>
      </c>
      <c r="C1280" s="1">
        <v>43963</v>
      </c>
      <c r="D1280">
        <v>4472.5</v>
      </c>
      <c r="E1280" s="1">
        <v>43950</v>
      </c>
      <c r="F1280">
        <v>11107.74</v>
      </c>
      <c r="G1280" s="1">
        <v>43929</v>
      </c>
      <c r="H1280">
        <v>6483.6081000000004</v>
      </c>
      <c r="I1280" s="1">
        <v>43959</v>
      </c>
      <c r="J1280">
        <v>6783.1</v>
      </c>
      <c r="K1280" s="1">
        <v>43949</v>
      </c>
      <c r="L1280">
        <v>17677.150000000001</v>
      </c>
    </row>
    <row r="1281" spans="1:12" x14ac:dyDescent="0.35">
      <c r="A1281" s="1">
        <v>43964</v>
      </c>
      <c r="B1281">
        <v>2810.55</v>
      </c>
      <c r="C1281" s="1">
        <v>43962</v>
      </c>
      <c r="D1281">
        <v>4490.22</v>
      </c>
      <c r="E1281" s="1">
        <v>43949</v>
      </c>
      <c r="F1281">
        <v>10795.63</v>
      </c>
      <c r="G1281" s="1">
        <v>43928</v>
      </c>
      <c r="H1281">
        <v>6459.3891400000002</v>
      </c>
      <c r="I1281" s="1">
        <v>43958</v>
      </c>
      <c r="J1281">
        <v>6730.9</v>
      </c>
      <c r="K1281" s="1">
        <v>43948</v>
      </c>
      <c r="L1281">
        <v>17380.21</v>
      </c>
    </row>
    <row r="1282" spans="1:12" x14ac:dyDescent="0.35">
      <c r="A1282" s="1">
        <v>43963</v>
      </c>
      <c r="B1282">
        <v>2884.2</v>
      </c>
      <c r="C1282" s="1">
        <v>43959</v>
      </c>
      <c r="D1282">
        <v>4549.6400000000003</v>
      </c>
      <c r="E1282" s="1">
        <v>43948</v>
      </c>
      <c r="F1282">
        <v>10659.99</v>
      </c>
      <c r="G1282" s="1">
        <v>43927</v>
      </c>
      <c r="H1282">
        <v>6359.6455599999999</v>
      </c>
      <c r="I1282" s="1">
        <v>43957</v>
      </c>
      <c r="J1282">
        <v>6671.7</v>
      </c>
      <c r="K1282" s="1">
        <v>43945</v>
      </c>
      <c r="L1282">
        <v>16858.89</v>
      </c>
    </row>
    <row r="1283" spans="1:12" x14ac:dyDescent="0.35">
      <c r="A1283" s="1">
        <v>43962</v>
      </c>
      <c r="B1283">
        <v>2883.75</v>
      </c>
      <c r="C1283" s="1">
        <v>43958</v>
      </c>
      <c r="D1283">
        <v>4501.4399999999996</v>
      </c>
      <c r="E1283" s="1">
        <v>43945</v>
      </c>
      <c r="F1283">
        <v>10336.09</v>
      </c>
      <c r="G1283" s="1">
        <v>43924</v>
      </c>
      <c r="H1283">
        <v>6138.4368700000005</v>
      </c>
      <c r="I1283" s="1">
        <v>43956</v>
      </c>
      <c r="J1283">
        <v>6747.7</v>
      </c>
      <c r="K1283" s="1">
        <v>43944</v>
      </c>
      <c r="L1283">
        <v>17011.11</v>
      </c>
    </row>
    <row r="1284" spans="1:12" x14ac:dyDescent="0.35">
      <c r="A1284" s="1">
        <v>43959</v>
      </c>
      <c r="B1284">
        <v>2908.11</v>
      </c>
      <c r="C1284" s="1">
        <v>43957</v>
      </c>
      <c r="D1284">
        <v>4433.38</v>
      </c>
      <c r="E1284" s="1">
        <v>43944</v>
      </c>
      <c r="F1284">
        <v>10513.79</v>
      </c>
      <c r="G1284" s="1">
        <v>43923</v>
      </c>
      <c r="H1284">
        <v>6250.5442300000004</v>
      </c>
      <c r="I1284" s="1">
        <v>43955</v>
      </c>
      <c r="J1284">
        <v>6673.3</v>
      </c>
      <c r="K1284" s="1">
        <v>43943</v>
      </c>
      <c r="L1284">
        <v>16765.28</v>
      </c>
    </row>
    <row r="1285" spans="1:12" x14ac:dyDescent="0.35">
      <c r="A1285" s="1">
        <v>43958</v>
      </c>
      <c r="B1285">
        <v>2880.6</v>
      </c>
      <c r="C1285" s="1">
        <v>43956</v>
      </c>
      <c r="D1285">
        <v>4483.13</v>
      </c>
      <c r="E1285" s="1">
        <v>43943</v>
      </c>
      <c r="F1285">
        <v>10415.030000000001</v>
      </c>
      <c r="G1285" s="1">
        <v>43922</v>
      </c>
      <c r="H1285">
        <v>6188.50299</v>
      </c>
      <c r="I1285" s="1">
        <v>43951</v>
      </c>
      <c r="J1285">
        <v>6922.3</v>
      </c>
      <c r="K1285" s="1">
        <v>43942</v>
      </c>
      <c r="L1285">
        <v>16450.849999999999</v>
      </c>
    </row>
    <row r="1286" spans="1:12" x14ac:dyDescent="0.35">
      <c r="A1286" s="1">
        <v>43957</v>
      </c>
      <c r="B1286">
        <v>2843.76</v>
      </c>
      <c r="C1286" s="1">
        <v>43955</v>
      </c>
      <c r="D1286">
        <v>4378.2299999999996</v>
      </c>
      <c r="E1286" s="1">
        <v>43942</v>
      </c>
      <c r="F1286">
        <v>10249.85</v>
      </c>
      <c r="G1286" s="1">
        <v>43921</v>
      </c>
      <c r="H1286">
        <v>6409.7128899999998</v>
      </c>
      <c r="I1286" s="1">
        <v>43950</v>
      </c>
      <c r="J1286">
        <v>7055.7</v>
      </c>
      <c r="K1286" s="1">
        <v>43941</v>
      </c>
      <c r="L1286">
        <v>17064.14</v>
      </c>
    </row>
    <row r="1287" spans="1:12" x14ac:dyDescent="0.35">
      <c r="A1287" s="1">
        <v>43956</v>
      </c>
      <c r="B1287">
        <v>2875.91</v>
      </c>
      <c r="C1287" s="1">
        <v>43951</v>
      </c>
      <c r="D1287">
        <v>4572.18</v>
      </c>
      <c r="E1287" s="1">
        <v>43941</v>
      </c>
      <c r="F1287">
        <v>10675.9</v>
      </c>
      <c r="G1287" s="1">
        <v>43920</v>
      </c>
      <c r="H1287">
        <v>6253.9062999999996</v>
      </c>
      <c r="I1287" s="1">
        <v>43949</v>
      </c>
      <c r="J1287">
        <v>6836.4</v>
      </c>
      <c r="K1287" s="1">
        <v>43938</v>
      </c>
      <c r="L1287">
        <v>17055.47</v>
      </c>
    </row>
    <row r="1288" spans="1:12" x14ac:dyDescent="0.35">
      <c r="A1288" s="1">
        <v>43955</v>
      </c>
      <c r="B1288">
        <v>2816.48</v>
      </c>
      <c r="C1288" s="1">
        <v>43950</v>
      </c>
      <c r="D1288">
        <v>4671.1099999999997</v>
      </c>
      <c r="E1288" s="1">
        <v>43938</v>
      </c>
      <c r="F1288">
        <v>10625.78</v>
      </c>
      <c r="G1288" s="1">
        <v>43917</v>
      </c>
      <c r="H1288">
        <v>6163.2479999999996</v>
      </c>
      <c r="I1288" s="1">
        <v>43948</v>
      </c>
      <c r="J1288">
        <v>6731.8</v>
      </c>
      <c r="K1288" s="1">
        <v>43937</v>
      </c>
      <c r="L1288">
        <v>16768.14</v>
      </c>
    </row>
    <row r="1289" spans="1:12" x14ac:dyDescent="0.35">
      <c r="A1289" s="1">
        <v>43952</v>
      </c>
      <c r="B1289">
        <v>2927.93</v>
      </c>
      <c r="C1289" s="1">
        <v>43949</v>
      </c>
      <c r="D1289">
        <v>4569.79</v>
      </c>
      <c r="E1289" s="1">
        <v>43937</v>
      </c>
      <c r="F1289">
        <v>10301.540000000001</v>
      </c>
      <c r="G1289" s="1">
        <v>43916</v>
      </c>
      <c r="H1289">
        <v>6407.6430099999998</v>
      </c>
      <c r="I1289" s="1">
        <v>43945</v>
      </c>
      <c r="J1289">
        <v>6613.9</v>
      </c>
      <c r="K1289" s="1">
        <v>43936</v>
      </c>
      <c r="L1289">
        <v>16719.07</v>
      </c>
    </row>
    <row r="1290" spans="1:12" x14ac:dyDescent="0.35">
      <c r="A1290" s="1">
        <v>43951</v>
      </c>
      <c r="B1290">
        <v>2927.93</v>
      </c>
      <c r="C1290" s="1">
        <v>43948</v>
      </c>
      <c r="D1290">
        <v>4505.26</v>
      </c>
      <c r="E1290" s="1">
        <v>43936</v>
      </c>
      <c r="F1290">
        <v>10279.76</v>
      </c>
      <c r="G1290" s="1">
        <v>43915</v>
      </c>
      <c r="H1290">
        <v>6184.1695600000003</v>
      </c>
      <c r="I1290" s="1">
        <v>43944</v>
      </c>
      <c r="J1290">
        <v>6746.5</v>
      </c>
      <c r="K1290" s="1">
        <v>43935</v>
      </c>
      <c r="L1290">
        <v>17558.43</v>
      </c>
    </row>
    <row r="1291" spans="1:12" x14ac:dyDescent="0.35">
      <c r="A1291" s="1">
        <v>43950</v>
      </c>
      <c r="B1291">
        <v>2996.08</v>
      </c>
      <c r="C1291" s="1">
        <v>43945</v>
      </c>
      <c r="D1291">
        <v>4393.32</v>
      </c>
      <c r="E1291" s="1">
        <v>43935</v>
      </c>
      <c r="F1291">
        <v>10696.56</v>
      </c>
      <c r="G1291" s="1">
        <v>43914</v>
      </c>
      <c r="H1291">
        <v>5935.0725300000004</v>
      </c>
      <c r="I1291" s="1">
        <v>43943</v>
      </c>
      <c r="J1291">
        <v>6719.8</v>
      </c>
      <c r="K1291" s="1">
        <v>43930</v>
      </c>
      <c r="L1291">
        <v>17621.62</v>
      </c>
    </row>
    <row r="1292" spans="1:12" x14ac:dyDescent="0.35">
      <c r="A1292" s="1">
        <v>43949</v>
      </c>
      <c r="B1292">
        <v>2932.06</v>
      </c>
      <c r="C1292" s="1">
        <v>43944</v>
      </c>
      <c r="D1292">
        <v>4451</v>
      </c>
      <c r="E1292" s="1">
        <v>43930</v>
      </c>
      <c r="F1292">
        <v>10564.74</v>
      </c>
      <c r="G1292" s="1">
        <v>43913</v>
      </c>
      <c r="H1292">
        <v>5368.2807899999998</v>
      </c>
      <c r="I1292" s="1">
        <v>43942</v>
      </c>
      <c r="J1292">
        <v>6634.9</v>
      </c>
      <c r="K1292" s="1">
        <v>43929</v>
      </c>
      <c r="L1292">
        <v>17380.82</v>
      </c>
    </row>
    <row r="1293" spans="1:12" x14ac:dyDescent="0.35">
      <c r="A1293" s="1">
        <v>43948</v>
      </c>
      <c r="B1293">
        <v>2882.09</v>
      </c>
      <c r="C1293" s="1">
        <v>43943</v>
      </c>
      <c r="D1293">
        <v>4411.8</v>
      </c>
      <c r="E1293" s="1">
        <v>43929</v>
      </c>
      <c r="F1293">
        <v>10332.89</v>
      </c>
      <c r="G1293" s="1">
        <v>43910</v>
      </c>
      <c r="H1293">
        <v>5657.9355999999998</v>
      </c>
      <c r="I1293" s="1">
        <v>43941</v>
      </c>
      <c r="J1293">
        <v>6831.5</v>
      </c>
      <c r="K1293" s="1">
        <v>43928</v>
      </c>
      <c r="L1293">
        <v>17411.72</v>
      </c>
    </row>
    <row r="1294" spans="1:12" x14ac:dyDescent="0.35">
      <c r="A1294" s="1">
        <v>43945</v>
      </c>
      <c r="B1294">
        <v>2809.07</v>
      </c>
      <c r="C1294" s="1">
        <v>43942</v>
      </c>
      <c r="D1294">
        <v>4357.46</v>
      </c>
      <c r="E1294" s="1">
        <v>43928</v>
      </c>
      <c r="F1294">
        <v>10356.700000000001</v>
      </c>
      <c r="G1294" s="1">
        <v>43909</v>
      </c>
      <c r="H1294">
        <v>5571.5886899999996</v>
      </c>
      <c r="I1294" s="1">
        <v>43938</v>
      </c>
      <c r="J1294">
        <v>6875.8</v>
      </c>
      <c r="K1294" s="1">
        <v>43927</v>
      </c>
      <c r="L1294">
        <v>17039.310000000001</v>
      </c>
    </row>
    <row r="1295" spans="1:12" x14ac:dyDescent="0.35">
      <c r="A1295" s="1">
        <v>43944</v>
      </c>
      <c r="B1295">
        <v>2852.46</v>
      </c>
      <c r="C1295" s="1">
        <v>43941</v>
      </c>
      <c r="D1295">
        <v>4528.3</v>
      </c>
      <c r="E1295" s="1">
        <v>43927</v>
      </c>
      <c r="F1295">
        <v>10075.17</v>
      </c>
      <c r="G1295" s="1">
        <v>43908</v>
      </c>
      <c r="H1295">
        <v>5451.0389599999999</v>
      </c>
      <c r="I1295" s="1">
        <v>43937</v>
      </c>
      <c r="J1295">
        <v>6763.4</v>
      </c>
      <c r="K1295" s="1">
        <v>43924</v>
      </c>
      <c r="L1295">
        <v>16384.349999999999</v>
      </c>
    </row>
    <row r="1296" spans="1:12" x14ac:dyDescent="0.35">
      <c r="A1296" s="1">
        <v>43943</v>
      </c>
      <c r="B1296">
        <v>2834.9</v>
      </c>
      <c r="C1296" s="1">
        <v>43938</v>
      </c>
      <c r="D1296">
        <v>4499.01</v>
      </c>
      <c r="E1296" s="1">
        <v>43924</v>
      </c>
      <c r="F1296">
        <v>9525.77</v>
      </c>
      <c r="G1296" s="1">
        <v>43907</v>
      </c>
      <c r="H1296">
        <v>5825.4501399999999</v>
      </c>
      <c r="I1296" s="1">
        <v>43936</v>
      </c>
      <c r="J1296">
        <v>6839.5</v>
      </c>
      <c r="K1296" s="1">
        <v>43923</v>
      </c>
      <c r="L1296">
        <v>16834.03</v>
      </c>
    </row>
    <row r="1297" spans="1:12" x14ac:dyDescent="0.35">
      <c r="A1297" s="1">
        <v>43942</v>
      </c>
      <c r="B1297">
        <v>2791.34</v>
      </c>
      <c r="C1297" s="1">
        <v>43937</v>
      </c>
      <c r="D1297">
        <v>4350.16</v>
      </c>
      <c r="E1297" s="1">
        <v>43923</v>
      </c>
      <c r="F1297">
        <v>9570.82</v>
      </c>
      <c r="G1297" s="1">
        <v>43906</v>
      </c>
      <c r="H1297">
        <v>5647.7698499999997</v>
      </c>
      <c r="I1297" s="1">
        <v>43935</v>
      </c>
      <c r="J1297">
        <v>7108.6</v>
      </c>
      <c r="K1297" s="1">
        <v>43922</v>
      </c>
      <c r="L1297">
        <v>16544.97</v>
      </c>
    </row>
    <row r="1298" spans="1:12" x14ac:dyDescent="0.35">
      <c r="A1298" s="1">
        <v>43941</v>
      </c>
      <c r="B1298">
        <v>2909.5</v>
      </c>
      <c r="C1298" s="1">
        <v>43936</v>
      </c>
      <c r="D1298">
        <v>4353.72</v>
      </c>
      <c r="E1298" s="1">
        <v>43922</v>
      </c>
      <c r="F1298">
        <v>9544.75</v>
      </c>
      <c r="G1298" s="1">
        <v>43903</v>
      </c>
      <c r="H1298">
        <v>5979.6702699999996</v>
      </c>
      <c r="I1298" s="1">
        <v>43930</v>
      </c>
      <c r="J1298">
        <v>7070.6</v>
      </c>
      <c r="K1298" s="1">
        <v>43921</v>
      </c>
      <c r="L1298">
        <v>17050.939999999999</v>
      </c>
    </row>
    <row r="1299" spans="1:12" x14ac:dyDescent="0.35">
      <c r="A1299" s="1">
        <v>43938</v>
      </c>
      <c r="B1299">
        <v>2888.3</v>
      </c>
      <c r="C1299" s="1">
        <v>43935</v>
      </c>
      <c r="D1299">
        <v>4523.91</v>
      </c>
      <c r="E1299" s="1">
        <v>43921</v>
      </c>
      <c r="F1299">
        <v>9935.84</v>
      </c>
      <c r="G1299" s="1">
        <v>43902</v>
      </c>
      <c r="H1299">
        <v>5909.3719899999996</v>
      </c>
      <c r="I1299" s="1">
        <v>43929</v>
      </c>
      <c r="J1299">
        <v>6951.8</v>
      </c>
      <c r="K1299" s="1">
        <v>43920</v>
      </c>
      <c r="L1299">
        <v>16872.41</v>
      </c>
    </row>
    <row r="1300" spans="1:12" x14ac:dyDescent="0.35">
      <c r="A1300" s="1">
        <v>43937</v>
      </c>
      <c r="B1300">
        <v>2812.35</v>
      </c>
      <c r="C1300" s="1">
        <v>43930</v>
      </c>
      <c r="D1300">
        <v>4506.8500000000004</v>
      </c>
      <c r="E1300" s="1">
        <v>43920</v>
      </c>
      <c r="F1300">
        <v>9815.9699999999993</v>
      </c>
      <c r="G1300" s="1">
        <v>43901</v>
      </c>
      <c r="H1300">
        <v>6691.4738100000004</v>
      </c>
      <c r="I1300" s="1">
        <v>43928</v>
      </c>
      <c r="J1300">
        <v>7002</v>
      </c>
      <c r="K1300" s="1">
        <v>43917</v>
      </c>
      <c r="L1300">
        <v>16822.59</v>
      </c>
    </row>
    <row r="1301" spans="1:12" x14ac:dyDescent="0.35">
      <c r="A1301" s="1">
        <v>43936</v>
      </c>
      <c r="B1301">
        <v>2808.2</v>
      </c>
      <c r="C1301" s="1">
        <v>43929</v>
      </c>
      <c r="D1301">
        <v>4442.75</v>
      </c>
      <c r="E1301" s="1">
        <v>43917</v>
      </c>
      <c r="F1301">
        <v>9632.52</v>
      </c>
      <c r="G1301" s="1">
        <v>43900</v>
      </c>
      <c r="H1301">
        <v>6808.2302</v>
      </c>
      <c r="I1301" s="1">
        <v>43927</v>
      </c>
      <c r="J1301">
        <v>6844.3</v>
      </c>
      <c r="K1301" s="1">
        <v>43916</v>
      </c>
      <c r="L1301">
        <v>17369.38</v>
      </c>
    </row>
    <row r="1302" spans="1:12" x14ac:dyDescent="0.35">
      <c r="A1302" s="1">
        <v>43935</v>
      </c>
      <c r="B1302">
        <v>2917.74</v>
      </c>
      <c r="C1302" s="1">
        <v>43928</v>
      </c>
      <c r="D1302">
        <v>4438.2700000000004</v>
      </c>
      <c r="E1302" s="1">
        <v>43916</v>
      </c>
      <c r="F1302">
        <v>10000.959999999999</v>
      </c>
      <c r="G1302" s="1">
        <v>43899</v>
      </c>
      <c r="H1302">
        <v>6828.6546399999997</v>
      </c>
      <c r="I1302" s="1">
        <v>43924</v>
      </c>
      <c r="J1302">
        <v>6581.6</v>
      </c>
      <c r="K1302" s="1">
        <v>43915</v>
      </c>
      <c r="L1302">
        <v>17243.68</v>
      </c>
    </row>
    <row r="1303" spans="1:12" x14ac:dyDescent="0.35">
      <c r="A1303" s="1">
        <v>43930</v>
      </c>
      <c r="B1303">
        <v>2892.79</v>
      </c>
      <c r="C1303" s="1">
        <v>43927</v>
      </c>
      <c r="D1303">
        <v>4346.1400000000003</v>
      </c>
      <c r="E1303" s="1">
        <v>43915</v>
      </c>
      <c r="F1303">
        <v>9874.26</v>
      </c>
      <c r="G1303" s="1">
        <v>43896</v>
      </c>
      <c r="H1303">
        <v>7433.2187199999998</v>
      </c>
      <c r="I1303" s="1">
        <v>43923</v>
      </c>
      <c r="J1303">
        <v>6574.1</v>
      </c>
      <c r="K1303" s="1">
        <v>43914</v>
      </c>
      <c r="L1303">
        <v>16948.599999999999</v>
      </c>
    </row>
    <row r="1304" spans="1:12" x14ac:dyDescent="0.35">
      <c r="A1304" s="1">
        <v>43929</v>
      </c>
      <c r="B1304">
        <v>2851.27</v>
      </c>
      <c r="C1304" s="1">
        <v>43924</v>
      </c>
      <c r="D1304">
        <v>4154.58</v>
      </c>
      <c r="E1304" s="1">
        <v>43914</v>
      </c>
      <c r="F1304">
        <v>9700.57</v>
      </c>
      <c r="G1304" s="1">
        <v>43895</v>
      </c>
      <c r="H1304">
        <v>7736.8966300000002</v>
      </c>
      <c r="I1304" s="1">
        <v>43922</v>
      </c>
      <c r="J1304">
        <v>6579.4</v>
      </c>
      <c r="K1304" s="1">
        <v>43913</v>
      </c>
      <c r="L1304">
        <v>15559.8</v>
      </c>
    </row>
    <row r="1305" spans="1:12" x14ac:dyDescent="0.35">
      <c r="A1305" s="1">
        <v>43928</v>
      </c>
      <c r="B1305">
        <v>2857.67</v>
      </c>
      <c r="C1305" s="1">
        <v>43923</v>
      </c>
      <c r="D1305">
        <v>4220.96</v>
      </c>
      <c r="E1305" s="1">
        <v>43913</v>
      </c>
      <c r="F1305">
        <v>8741.15</v>
      </c>
      <c r="G1305" s="1">
        <v>43894</v>
      </c>
      <c r="H1305">
        <v>7868.1954999999998</v>
      </c>
      <c r="I1305" s="1">
        <v>43921</v>
      </c>
      <c r="J1305">
        <v>6785.4</v>
      </c>
      <c r="K1305" s="1">
        <v>43910</v>
      </c>
      <c r="L1305">
        <v>15731.85</v>
      </c>
    </row>
    <row r="1306" spans="1:12" x14ac:dyDescent="0.35">
      <c r="A1306" s="1">
        <v>43927</v>
      </c>
      <c r="B1306">
        <v>2795.97</v>
      </c>
      <c r="C1306" s="1">
        <v>43922</v>
      </c>
      <c r="D1306">
        <v>4207.24</v>
      </c>
      <c r="E1306" s="1">
        <v>43910</v>
      </c>
      <c r="F1306">
        <v>8928.9500000000007</v>
      </c>
      <c r="G1306" s="1">
        <v>43893</v>
      </c>
      <c r="H1306">
        <v>7712.7753599999996</v>
      </c>
      <c r="I1306" s="1">
        <v>43920</v>
      </c>
      <c r="J1306">
        <v>6659.9</v>
      </c>
      <c r="K1306" s="1">
        <v>43909</v>
      </c>
      <c r="L1306">
        <v>15466.97</v>
      </c>
    </row>
    <row r="1307" spans="1:12" x14ac:dyDescent="0.35">
      <c r="A1307" s="1">
        <v>43924</v>
      </c>
      <c r="B1307">
        <v>2662.99</v>
      </c>
      <c r="C1307" s="1">
        <v>43921</v>
      </c>
      <c r="D1307">
        <v>4396.12</v>
      </c>
      <c r="E1307" s="1">
        <v>43909</v>
      </c>
      <c r="F1307">
        <v>8610.43</v>
      </c>
      <c r="G1307" s="1">
        <v>43892</v>
      </c>
      <c r="H1307">
        <v>7624.55152</v>
      </c>
      <c r="I1307" s="1">
        <v>43917</v>
      </c>
      <c r="J1307">
        <v>6777.9</v>
      </c>
      <c r="K1307" s="1">
        <v>43908</v>
      </c>
      <c r="L1307">
        <v>15120.48</v>
      </c>
    </row>
    <row r="1308" spans="1:12" x14ac:dyDescent="0.35">
      <c r="A1308" s="1">
        <v>43923</v>
      </c>
      <c r="B1308">
        <v>2688.49</v>
      </c>
      <c r="C1308" s="1">
        <v>43920</v>
      </c>
      <c r="D1308">
        <v>4378.51</v>
      </c>
      <c r="E1308" s="1">
        <v>43908</v>
      </c>
      <c r="F1308">
        <v>8441.7099999999991</v>
      </c>
      <c r="G1308" s="1">
        <v>43889</v>
      </c>
      <c r="H1308">
        <v>7633.4118900000003</v>
      </c>
      <c r="I1308" s="1">
        <v>43916</v>
      </c>
      <c r="J1308">
        <v>7033.2</v>
      </c>
      <c r="K1308" s="1">
        <v>43907</v>
      </c>
      <c r="L1308">
        <v>15314.77</v>
      </c>
    </row>
    <row r="1309" spans="1:12" x14ac:dyDescent="0.35">
      <c r="A1309" s="1">
        <v>43922</v>
      </c>
      <c r="B1309">
        <v>2680.3</v>
      </c>
      <c r="C1309" s="1">
        <v>43917</v>
      </c>
      <c r="D1309">
        <v>4351.49</v>
      </c>
      <c r="E1309" s="1">
        <v>43907</v>
      </c>
      <c r="F1309">
        <v>8939.1</v>
      </c>
      <c r="G1309" s="1">
        <v>43888</v>
      </c>
      <c r="H1309">
        <v>7974.9378500000003</v>
      </c>
      <c r="I1309" s="1">
        <v>43915</v>
      </c>
      <c r="J1309">
        <v>6942.4</v>
      </c>
      <c r="K1309" s="1">
        <v>43906</v>
      </c>
      <c r="L1309">
        <v>14980.34</v>
      </c>
    </row>
    <row r="1310" spans="1:12" x14ac:dyDescent="0.35">
      <c r="A1310" s="1">
        <v>43921</v>
      </c>
      <c r="B1310">
        <v>2786.9</v>
      </c>
      <c r="C1310" s="1">
        <v>43916</v>
      </c>
      <c r="D1310">
        <v>4543.58</v>
      </c>
      <c r="E1310" s="1">
        <v>43906</v>
      </c>
      <c r="F1310">
        <v>8742.25</v>
      </c>
      <c r="G1310" s="1">
        <v>43887</v>
      </c>
      <c r="H1310">
        <v>8355.9336999999996</v>
      </c>
      <c r="I1310" s="1">
        <v>43914</v>
      </c>
      <c r="J1310">
        <v>6717.3</v>
      </c>
      <c r="K1310" s="1">
        <v>43903</v>
      </c>
      <c r="L1310">
        <v>15954.29</v>
      </c>
    </row>
    <row r="1311" spans="1:12" x14ac:dyDescent="0.35">
      <c r="A1311" s="1">
        <v>43920</v>
      </c>
      <c r="B1311">
        <v>2765.62</v>
      </c>
      <c r="C1311" s="1">
        <v>43915</v>
      </c>
      <c r="D1311">
        <v>4432.3</v>
      </c>
      <c r="E1311" s="1">
        <v>43903</v>
      </c>
      <c r="F1311">
        <v>9232.08</v>
      </c>
      <c r="G1311" s="1">
        <v>43886</v>
      </c>
      <c r="H1311">
        <v>8390.7612399999998</v>
      </c>
      <c r="I1311" s="1">
        <v>43913</v>
      </c>
      <c r="J1311">
        <v>6230.2</v>
      </c>
      <c r="K1311" s="1">
        <v>43902</v>
      </c>
      <c r="L1311">
        <v>14894.44</v>
      </c>
    </row>
    <row r="1312" spans="1:12" x14ac:dyDescent="0.35">
      <c r="A1312" s="1">
        <v>43917</v>
      </c>
      <c r="B1312">
        <v>2728.65</v>
      </c>
      <c r="C1312" s="1">
        <v>43914</v>
      </c>
      <c r="D1312">
        <v>4242.7</v>
      </c>
      <c r="E1312" s="1">
        <v>43902</v>
      </c>
      <c r="F1312">
        <v>9161.1299999999992</v>
      </c>
      <c r="G1312" s="1">
        <v>43885</v>
      </c>
      <c r="H1312">
        <v>8516.9634499999993</v>
      </c>
      <c r="I1312" s="1">
        <v>43910</v>
      </c>
      <c r="J1312">
        <v>6443.3</v>
      </c>
      <c r="K1312" s="1">
        <v>43901</v>
      </c>
      <c r="L1312">
        <v>17928.64</v>
      </c>
    </row>
    <row r="1313" spans="1:12" x14ac:dyDescent="0.35">
      <c r="A1313" s="1">
        <v>43916</v>
      </c>
      <c r="B1313">
        <v>2847.78</v>
      </c>
      <c r="C1313" s="1">
        <v>43913</v>
      </c>
      <c r="D1313">
        <v>3914.31</v>
      </c>
      <c r="E1313" s="1">
        <v>43901</v>
      </c>
      <c r="F1313">
        <v>10438.68</v>
      </c>
      <c r="G1313" s="1">
        <v>43882</v>
      </c>
      <c r="H1313">
        <v>8846.7911299999996</v>
      </c>
      <c r="I1313" s="1">
        <v>43909</v>
      </c>
      <c r="J1313">
        <v>6395.8</v>
      </c>
      <c r="K1313" s="1">
        <v>43900</v>
      </c>
      <c r="L1313">
        <v>17870.18</v>
      </c>
    </row>
    <row r="1314" spans="1:12" x14ac:dyDescent="0.35">
      <c r="A1314" s="1">
        <v>43915</v>
      </c>
      <c r="B1314">
        <v>2800.14</v>
      </c>
      <c r="C1314" s="1">
        <v>43910</v>
      </c>
      <c r="D1314">
        <v>4048.8</v>
      </c>
      <c r="E1314" s="1">
        <v>43900</v>
      </c>
      <c r="F1314">
        <v>10475.49</v>
      </c>
      <c r="G1314" s="1">
        <v>43881</v>
      </c>
      <c r="H1314">
        <v>8873.2558100000006</v>
      </c>
      <c r="I1314" s="1">
        <v>43908</v>
      </c>
      <c r="J1314">
        <v>6274.8</v>
      </c>
      <c r="K1314" s="1">
        <v>43899</v>
      </c>
      <c r="L1314">
        <v>18475.91</v>
      </c>
    </row>
    <row r="1315" spans="1:12" x14ac:dyDescent="0.35">
      <c r="A1315" s="1">
        <v>43914</v>
      </c>
      <c r="B1315">
        <v>2715.11</v>
      </c>
      <c r="C1315" s="1">
        <v>43909</v>
      </c>
      <c r="D1315">
        <v>3855.5</v>
      </c>
      <c r="E1315" s="1">
        <v>43899</v>
      </c>
      <c r="F1315">
        <v>10625.02</v>
      </c>
      <c r="G1315" s="1">
        <v>43880</v>
      </c>
      <c r="H1315">
        <v>8926.0363600000001</v>
      </c>
      <c r="I1315" s="1">
        <v>43907</v>
      </c>
      <c r="J1315">
        <v>6498.5</v>
      </c>
      <c r="K1315" s="1">
        <v>43896</v>
      </c>
      <c r="L1315">
        <v>20799.89</v>
      </c>
    </row>
    <row r="1316" spans="1:12" x14ac:dyDescent="0.35">
      <c r="A1316" s="1">
        <v>43913</v>
      </c>
      <c r="B1316">
        <v>2485.54</v>
      </c>
      <c r="C1316" s="1">
        <v>43908</v>
      </c>
      <c r="D1316">
        <v>3754.84</v>
      </c>
      <c r="E1316" s="1">
        <v>43896</v>
      </c>
      <c r="F1316">
        <v>11541.87</v>
      </c>
      <c r="G1316" s="1">
        <v>43879</v>
      </c>
      <c r="H1316">
        <v>8885.1960400000007</v>
      </c>
      <c r="I1316" s="1">
        <v>43906</v>
      </c>
      <c r="J1316">
        <v>6107.2</v>
      </c>
      <c r="K1316" s="1">
        <v>43895</v>
      </c>
      <c r="L1316">
        <v>21554.880000000001</v>
      </c>
    </row>
    <row r="1317" spans="1:12" x14ac:dyDescent="0.35">
      <c r="A1317" s="1">
        <v>43910</v>
      </c>
      <c r="B1317">
        <v>2548.5</v>
      </c>
      <c r="C1317" s="1">
        <v>43907</v>
      </c>
      <c r="D1317">
        <v>3991.78</v>
      </c>
      <c r="E1317" s="1">
        <v>43895</v>
      </c>
      <c r="F1317">
        <v>11944.72</v>
      </c>
      <c r="G1317" s="1">
        <v>43878</v>
      </c>
      <c r="H1317">
        <v>8929.2327399999995</v>
      </c>
      <c r="I1317" s="1">
        <v>43903</v>
      </c>
      <c r="J1317">
        <v>6629.6</v>
      </c>
      <c r="K1317" s="1">
        <v>43894</v>
      </c>
      <c r="L1317">
        <v>21946.03</v>
      </c>
    </row>
    <row r="1318" spans="1:12" x14ac:dyDescent="0.35">
      <c r="A1318" s="1">
        <v>43909</v>
      </c>
      <c r="B1318">
        <v>2454.08</v>
      </c>
      <c r="C1318" s="1">
        <v>43906</v>
      </c>
      <c r="D1318">
        <v>3881.46</v>
      </c>
      <c r="E1318" s="1">
        <v>43894</v>
      </c>
      <c r="F1318">
        <v>12127.69</v>
      </c>
      <c r="G1318" s="1">
        <v>43875</v>
      </c>
      <c r="H1318">
        <v>8910.3619999999992</v>
      </c>
      <c r="I1318" s="1">
        <v>43902</v>
      </c>
      <c r="J1318">
        <v>6390.9</v>
      </c>
      <c r="K1318" s="1">
        <v>43893</v>
      </c>
      <c r="L1318">
        <v>21748.2</v>
      </c>
    </row>
    <row r="1319" spans="1:12" x14ac:dyDescent="0.35">
      <c r="A1319" s="1">
        <v>43908</v>
      </c>
      <c r="B1319">
        <v>2385.8200000000002</v>
      </c>
      <c r="C1319" s="1">
        <v>43903</v>
      </c>
      <c r="D1319">
        <v>4118.3599999999997</v>
      </c>
      <c r="E1319" s="1">
        <v>43893</v>
      </c>
      <c r="F1319">
        <v>11985.39</v>
      </c>
      <c r="G1319" s="1">
        <v>43874</v>
      </c>
      <c r="H1319">
        <v>8973.7782399999996</v>
      </c>
      <c r="I1319" s="1">
        <v>43901</v>
      </c>
      <c r="J1319">
        <v>7436.4</v>
      </c>
      <c r="K1319" s="1">
        <v>43892</v>
      </c>
      <c r="L1319">
        <v>21655.09</v>
      </c>
    </row>
    <row r="1320" spans="1:12" x14ac:dyDescent="0.35">
      <c r="A1320" s="1">
        <v>43907</v>
      </c>
      <c r="B1320">
        <v>2530.5</v>
      </c>
      <c r="C1320" s="1">
        <v>43902</v>
      </c>
      <c r="D1320">
        <v>4044.26</v>
      </c>
      <c r="E1320" s="1">
        <v>43892</v>
      </c>
      <c r="F1320">
        <v>11857.87</v>
      </c>
      <c r="G1320" s="1">
        <v>43873</v>
      </c>
      <c r="H1320">
        <v>8979.7445900000002</v>
      </c>
      <c r="I1320" s="1">
        <v>43900</v>
      </c>
      <c r="J1320">
        <v>7461.5</v>
      </c>
      <c r="K1320" s="1">
        <v>43889</v>
      </c>
      <c r="L1320">
        <v>21984.21</v>
      </c>
    </row>
    <row r="1321" spans="1:12" x14ac:dyDescent="0.35">
      <c r="A1321" s="1">
        <v>43906</v>
      </c>
      <c r="B1321">
        <v>2450.37</v>
      </c>
      <c r="C1321" s="1">
        <v>43901</v>
      </c>
      <c r="D1321">
        <v>4610.25</v>
      </c>
      <c r="E1321" s="1">
        <v>43889</v>
      </c>
      <c r="F1321">
        <v>11890.35</v>
      </c>
      <c r="G1321" s="1">
        <v>43872</v>
      </c>
      <c r="H1321">
        <v>8892.6247399999993</v>
      </c>
      <c r="I1321" s="1">
        <v>43899</v>
      </c>
      <c r="J1321">
        <v>7708.7</v>
      </c>
      <c r="K1321" s="1">
        <v>43888</v>
      </c>
      <c r="L1321">
        <v>22799.37</v>
      </c>
    </row>
    <row r="1322" spans="1:12" x14ac:dyDescent="0.35">
      <c r="A1322" s="1">
        <v>43903</v>
      </c>
      <c r="B1322">
        <v>2586.02</v>
      </c>
      <c r="C1322" s="1">
        <v>43900</v>
      </c>
      <c r="D1322">
        <v>4636.6099999999997</v>
      </c>
      <c r="E1322" s="1">
        <v>43888</v>
      </c>
      <c r="F1322">
        <v>12367.46</v>
      </c>
      <c r="G1322" s="1">
        <v>43871</v>
      </c>
      <c r="H1322">
        <v>8812.0275700000002</v>
      </c>
      <c r="I1322" s="1">
        <v>43896</v>
      </c>
      <c r="J1322">
        <v>8375.6</v>
      </c>
      <c r="K1322" s="1">
        <v>43887</v>
      </c>
      <c r="L1322">
        <v>23422.54</v>
      </c>
    </row>
    <row r="1323" spans="1:12" x14ac:dyDescent="0.35">
      <c r="A1323" s="1">
        <v>43902</v>
      </c>
      <c r="B1323">
        <v>2545.23</v>
      </c>
      <c r="C1323" s="1">
        <v>43899</v>
      </c>
      <c r="D1323">
        <v>4707.91</v>
      </c>
      <c r="E1323" s="1">
        <v>43887</v>
      </c>
      <c r="F1323">
        <v>12774.88</v>
      </c>
      <c r="G1323" s="1">
        <v>43868</v>
      </c>
      <c r="H1323">
        <v>8802.6954900000001</v>
      </c>
      <c r="I1323" s="1">
        <v>43895</v>
      </c>
      <c r="J1323">
        <v>8683</v>
      </c>
      <c r="K1323" s="1">
        <v>43886</v>
      </c>
      <c r="L1323">
        <v>23090.44</v>
      </c>
    </row>
    <row r="1324" spans="1:12" x14ac:dyDescent="0.35">
      <c r="A1324" s="1">
        <v>43901</v>
      </c>
      <c r="B1324">
        <v>2905.56</v>
      </c>
      <c r="C1324" s="1">
        <v>43896</v>
      </c>
      <c r="D1324">
        <v>5139.1099999999997</v>
      </c>
      <c r="E1324" s="1">
        <v>43886</v>
      </c>
      <c r="F1324">
        <v>12790.49</v>
      </c>
      <c r="G1324" s="1">
        <v>43867</v>
      </c>
      <c r="H1324">
        <v>8844.3693700000003</v>
      </c>
      <c r="I1324" s="1">
        <v>43894</v>
      </c>
      <c r="J1324">
        <v>8910</v>
      </c>
      <c r="K1324" s="1">
        <v>43885</v>
      </c>
      <c r="L1324">
        <v>23427.19</v>
      </c>
    </row>
    <row r="1325" spans="1:12" x14ac:dyDescent="0.35">
      <c r="A1325" s="1">
        <v>43900</v>
      </c>
      <c r="B1325">
        <v>2910.02</v>
      </c>
      <c r="C1325" s="1">
        <v>43895</v>
      </c>
      <c r="D1325">
        <v>5361.1</v>
      </c>
      <c r="E1325" s="1">
        <v>43885</v>
      </c>
      <c r="F1325">
        <v>13035.24</v>
      </c>
      <c r="G1325" s="1">
        <v>43866</v>
      </c>
      <c r="H1325">
        <v>8844.8477299999995</v>
      </c>
      <c r="I1325" s="1">
        <v>43893</v>
      </c>
      <c r="J1325">
        <v>8811.6</v>
      </c>
      <c r="K1325" s="1">
        <v>43882</v>
      </c>
      <c r="L1325">
        <v>24773.15</v>
      </c>
    </row>
    <row r="1326" spans="1:12" x14ac:dyDescent="0.35">
      <c r="A1326" s="1">
        <v>43899</v>
      </c>
      <c r="B1326">
        <v>2959.07</v>
      </c>
      <c r="C1326" s="1">
        <v>43894</v>
      </c>
      <c r="D1326">
        <v>5464.89</v>
      </c>
      <c r="E1326" s="1">
        <v>43882</v>
      </c>
      <c r="F1326">
        <v>13579.33</v>
      </c>
      <c r="G1326" s="1">
        <v>43865</v>
      </c>
      <c r="H1326">
        <v>8784.6094300000004</v>
      </c>
      <c r="I1326" s="1">
        <v>43892</v>
      </c>
      <c r="J1326">
        <v>8741.5</v>
      </c>
      <c r="K1326" s="1">
        <v>43881</v>
      </c>
      <c r="L1326">
        <v>25080.16</v>
      </c>
    </row>
    <row r="1327" spans="1:12" x14ac:dyDescent="0.35">
      <c r="A1327" s="1">
        <v>43896</v>
      </c>
      <c r="B1327">
        <v>3232.07</v>
      </c>
      <c r="C1327" s="1">
        <v>43893</v>
      </c>
      <c r="D1327">
        <v>5393.17</v>
      </c>
      <c r="E1327" s="1">
        <v>43881</v>
      </c>
      <c r="F1327">
        <v>13664</v>
      </c>
      <c r="G1327" s="1">
        <v>43864</v>
      </c>
      <c r="H1327">
        <v>8615.4861700000001</v>
      </c>
      <c r="I1327" s="1">
        <v>43889</v>
      </c>
      <c r="J1327">
        <v>8723.2000000000007</v>
      </c>
      <c r="K1327" s="1">
        <v>43880</v>
      </c>
      <c r="L1327">
        <v>25477.55</v>
      </c>
    </row>
    <row r="1328" spans="1:12" x14ac:dyDescent="0.35">
      <c r="A1328" s="1">
        <v>43895</v>
      </c>
      <c r="B1328">
        <v>3363.58</v>
      </c>
      <c r="C1328" s="1">
        <v>43892</v>
      </c>
      <c r="D1328">
        <v>5333.52</v>
      </c>
      <c r="E1328" s="1">
        <v>43880</v>
      </c>
      <c r="F1328">
        <v>13789</v>
      </c>
      <c r="G1328" s="1">
        <v>43861</v>
      </c>
      <c r="H1328">
        <v>8675.1049299999995</v>
      </c>
      <c r="I1328" s="1">
        <v>43888</v>
      </c>
      <c r="J1328">
        <v>8985.9</v>
      </c>
      <c r="K1328" s="1">
        <v>43879</v>
      </c>
      <c r="L1328">
        <v>25223.51</v>
      </c>
    </row>
    <row r="1329" spans="1:12" x14ac:dyDescent="0.35">
      <c r="A1329" s="1">
        <v>43894</v>
      </c>
      <c r="B1329">
        <v>3420.56</v>
      </c>
      <c r="C1329" s="1">
        <v>43889</v>
      </c>
      <c r="D1329">
        <v>5309.9</v>
      </c>
      <c r="E1329" s="1">
        <v>43879</v>
      </c>
      <c r="F1329">
        <v>13681.19</v>
      </c>
      <c r="G1329" s="1">
        <v>43860</v>
      </c>
      <c r="H1329">
        <v>8757.6341900000007</v>
      </c>
      <c r="I1329" s="1">
        <v>43887</v>
      </c>
      <c r="J1329">
        <v>9316.7999999999993</v>
      </c>
      <c r="K1329" s="1">
        <v>43878</v>
      </c>
      <c r="L1329">
        <v>25120.54</v>
      </c>
    </row>
    <row r="1330" spans="1:12" x14ac:dyDescent="0.35">
      <c r="A1330" s="1">
        <v>43893</v>
      </c>
      <c r="B1330">
        <v>3371.97</v>
      </c>
      <c r="C1330" s="1">
        <v>43888</v>
      </c>
      <c r="D1330">
        <v>5495.6</v>
      </c>
      <c r="E1330" s="1">
        <v>43878</v>
      </c>
      <c r="F1330">
        <v>13783.89</v>
      </c>
      <c r="G1330" s="1">
        <v>43859</v>
      </c>
      <c r="H1330">
        <v>8848.3610000000008</v>
      </c>
      <c r="I1330" s="1">
        <v>43886</v>
      </c>
      <c r="J1330">
        <v>9250.7999999999993</v>
      </c>
      <c r="K1330" s="1">
        <v>43875</v>
      </c>
      <c r="L1330">
        <v>24867.01</v>
      </c>
    </row>
    <row r="1331" spans="1:12" x14ac:dyDescent="0.35">
      <c r="A1331" s="1">
        <v>43892</v>
      </c>
      <c r="B1331">
        <v>3338.83</v>
      </c>
      <c r="C1331" s="1">
        <v>43887</v>
      </c>
      <c r="D1331">
        <v>5684.55</v>
      </c>
      <c r="E1331" s="1">
        <v>43875</v>
      </c>
      <c r="F1331">
        <v>13744.21</v>
      </c>
      <c r="G1331" s="1">
        <v>43858</v>
      </c>
      <c r="H1331">
        <v>8832.9084700000003</v>
      </c>
      <c r="I1331" s="1">
        <v>43885</v>
      </c>
      <c r="J1331">
        <v>9483.5</v>
      </c>
      <c r="K1331" s="1">
        <v>43874</v>
      </c>
      <c r="L1331">
        <v>24892.15</v>
      </c>
    </row>
    <row r="1332" spans="1:12" x14ac:dyDescent="0.35">
      <c r="A1332" s="1">
        <v>43889</v>
      </c>
      <c r="B1332">
        <v>3329.49</v>
      </c>
      <c r="C1332" s="1">
        <v>43886</v>
      </c>
      <c r="D1332">
        <v>5679.68</v>
      </c>
      <c r="E1332" s="1">
        <v>43874</v>
      </c>
      <c r="F1332">
        <v>13745.43</v>
      </c>
      <c r="G1332" s="1">
        <v>43857</v>
      </c>
      <c r="H1332">
        <v>8786.7951799999992</v>
      </c>
      <c r="I1332" s="1">
        <v>43882</v>
      </c>
      <c r="J1332">
        <v>9886.2000000000007</v>
      </c>
      <c r="K1332" s="1">
        <v>43873</v>
      </c>
      <c r="L1332">
        <v>24861.279999999999</v>
      </c>
    </row>
    <row r="1333" spans="1:12" x14ac:dyDescent="0.35">
      <c r="A1333" s="1">
        <v>43888</v>
      </c>
      <c r="B1333">
        <v>3455.92</v>
      </c>
      <c r="C1333" s="1">
        <v>43885</v>
      </c>
      <c r="D1333">
        <v>5791.87</v>
      </c>
      <c r="E1333" s="1">
        <v>43873</v>
      </c>
      <c r="F1333">
        <v>13749.78</v>
      </c>
      <c r="G1333" s="1">
        <v>43854</v>
      </c>
      <c r="H1333">
        <v>8997.64509</v>
      </c>
      <c r="I1333" s="1">
        <v>43881</v>
      </c>
      <c r="J1333">
        <v>9931</v>
      </c>
      <c r="K1333" s="1">
        <v>43872</v>
      </c>
      <c r="L1333">
        <v>24688.89</v>
      </c>
    </row>
    <row r="1334" spans="1:12" x14ac:dyDescent="0.35">
      <c r="A1334" s="1">
        <v>43887</v>
      </c>
      <c r="B1334">
        <v>3577.68</v>
      </c>
      <c r="C1334" s="1">
        <v>43882</v>
      </c>
      <c r="D1334">
        <v>6029.72</v>
      </c>
      <c r="E1334" s="1">
        <v>43872</v>
      </c>
      <c r="F1334">
        <v>13627.84</v>
      </c>
      <c r="G1334" s="1">
        <v>43853</v>
      </c>
      <c r="H1334">
        <v>8906.4839100000008</v>
      </c>
      <c r="I1334" s="1">
        <v>43880</v>
      </c>
      <c r="J1334">
        <v>10083.6</v>
      </c>
      <c r="K1334" s="1">
        <v>43871</v>
      </c>
      <c r="L1334">
        <v>24507.7</v>
      </c>
    </row>
    <row r="1335" spans="1:12" x14ac:dyDescent="0.35">
      <c r="A1335" s="1">
        <v>43886</v>
      </c>
      <c r="B1335">
        <v>3572.51</v>
      </c>
      <c r="C1335" s="1">
        <v>43881</v>
      </c>
      <c r="D1335">
        <v>6062.3</v>
      </c>
      <c r="E1335" s="1">
        <v>43871</v>
      </c>
      <c r="F1335">
        <v>13494.03</v>
      </c>
      <c r="G1335" s="1">
        <v>43852</v>
      </c>
      <c r="H1335">
        <v>8967.3225399999992</v>
      </c>
      <c r="I1335" s="1">
        <v>43879</v>
      </c>
      <c r="J1335">
        <v>10005.799999999999</v>
      </c>
      <c r="K1335" s="1">
        <v>43868</v>
      </c>
      <c r="L1335">
        <v>24478.32</v>
      </c>
    </row>
    <row r="1336" spans="1:12" x14ac:dyDescent="0.35">
      <c r="A1336" s="1">
        <v>43885</v>
      </c>
      <c r="B1336">
        <v>3647.98</v>
      </c>
      <c r="C1336" s="1">
        <v>43880</v>
      </c>
      <c r="D1336">
        <v>6111.24</v>
      </c>
      <c r="E1336" s="1">
        <v>43868</v>
      </c>
      <c r="F1336">
        <v>13513.81</v>
      </c>
      <c r="G1336" s="1">
        <v>43851</v>
      </c>
      <c r="H1336">
        <v>8951.4237499999999</v>
      </c>
      <c r="I1336" s="1">
        <v>43878</v>
      </c>
      <c r="J1336">
        <v>10022.200000000001</v>
      </c>
      <c r="K1336" s="1">
        <v>43867</v>
      </c>
      <c r="L1336">
        <v>24490.35</v>
      </c>
    </row>
    <row r="1337" spans="1:12" x14ac:dyDescent="0.35">
      <c r="A1337" s="1">
        <v>43882</v>
      </c>
      <c r="B1337">
        <v>3800.38</v>
      </c>
      <c r="C1337" s="1">
        <v>43879</v>
      </c>
      <c r="D1337">
        <v>6056.82</v>
      </c>
      <c r="E1337" s="1">
        <v>43867</v>
      </c>
      <c r="F1337">
        <v>13574.82</v>
      </c>
      <c r="G1337" s="1">
        <v>43850</v>
      </c>
      <c r="H1337">
        <v>8974.0815600000005</v>
      </c>
      <c r="I1337" s="1">
        <v>43875</v>
      </c>
      <c r="J1337">
        <v>9956.7999999999993</v>
      </c>
      <c r="K1337" s="1">
        <v>43866</v>
      </c>
      <c r="L1337">
        <v>24236.63</v>
      </c>
    </row>
    <row r="1338" spans="1:12" x14ac:dyDescent="0.35">
      <c r="A1338" s="1">
        <v>43881</v>
      </c>
      <c r="B1338">
        <v>3822.98</v>
      </c>
      <c r="C1338" s="1">
        <v>43878</v>
      </c>
      <c r="D1338">
        <v>6085.95</v>
      </c>
      <c r="E1338" s="1">
        <v>43866</v>
      </c>
      <c r="F1338">
        <v>13478.33</v>
      </c>
      <c r="G1338" s="1">
        <v>43847</v>
      </c>
      <c r="H1338">
        <v>9012.1241900000005</v>
      </c>
      <c r="I1338" s="1">
        <v>43874</v>
      </c>
      <c r="J1338">
        <v>9909.7999999999993</v>
      </c>
      <c r="K1338" s="1">
        <v>43865</v>
      </c>
      <c r="L1338">
        <v>23844.85</v>
      </c>
    </row>
    <row r="1339" spans="1:12" x14ac:dyDescent="0.35">
      <c r="A1339" s="1">
        <v>43880</v>
      </c>
      <c r="B1339">
        <v>3865.18</v>
      </c>
      <c r="C1339" s="1">
        <v>43875</v>
      </c>
      <c r="D1339">
        <v>6069.35</v>
      </c>
      <c r="E1339" s="1">
        <v>43865</v>
      </c>
      <c r="F1339">
        <v>13281.74</v>
      </c>
      <c r="G1339" s="1">
        <v>43846</v>
      </c>
      <c r="H1339">
        <v>8934.9488899999997</v>
      </c>
      <c r="I1339" s="1">
        <v>43873</v>
      </c>
      <c r="J1339">
        <v>9940.4</v>
      </c>
      <c r="K1339" s="1">
        <v>43864</v>
      </c>
      <c r="L1339">
        <v>23460.01</v>
      </c>
    </row>
    <row r="1340" spans="1:12" x14ac:dyDescent="0.35">
      <c r="A1340" s="1">
        <v>43879</v>
      </c>
      <c r="B1340">
        <v>3836.54</v>
      </c>
      <c r="C1340" s="1">
        <v>43874</v>
      </c>
      <c r="D1340">
        <v>6093.14</v>
      </c>
      <c r="E1340" s="1">
        <v>43864</v>
      </c>
      <c r="F1340">
        <v>13045.19</v>
      </c>
      <c r="G1340" s="1">
        <v>43845</v>
      </c>
      <c r="H1340">
        <v>8927.1027400000003</v>
      </c>
      <c r="I1340" s="1">
        <v>43872</v>
      </c>
      <c r="J1340">
        <v>9882.6</v>
      </c>
      <c r="K1340" s="1">
        <v>43861</v>
      </c>
      <c r="L1340">
        <v>23237.03</v>
      </c>
    </row>
    <row r="1341" spans="1:12" x14ac:dyDescent="0.35">
      <c r="A1341" s="1">
        <v>43878</v>
      </c>
      <c r="B1341">
        <v>3853.27</v>
      </c>
      <c r="C1341" s="1">
        <v>43873</v>
      </c>
      <c r="D1341">
        <v>6104.73</v>
      </c>
      <c r="E1341" s="1">
        <v>43861</v>
      </c>
      <c r="F1341">
        <v>12981.97</v>
      </c>
      <c r="G1341" s="1">
        <v>43844</v>
      </c>
      <c r="H1341">
        <v>8917.2798199999997</v>
      </c>
      <c r="I1341" s="1">
        <v>43871</v>
      </c>
      <c r="J1341">
        <v>9816</v>
      </c>
      <c r="K1341" s="1">
        <v>43860</v>
      </c>
      <c r="L1341">
        <v>23781.1</v>
      </c>
    </row>
    <row r="1342" spans="1:12" x14ac:dyDescent="0.35">
      <c r="A1342" s="1">
        <v>43875</v>
      </c>
      <c r="B1342">
        <v>3840.97</v>
      </c>
      <c r="C1342" s="1">
        <v>43872</v>
      </c>
      <c r="D1342">
        <v>6054.76</v>
      </c>
      <c r="E1342" s="1">
        <v>43860</v>
      </c>
      <c r="F1342">
        <v>13157.12</v>
      </c>
      <c r="G1342" s="1">
        <v>43843</v>
      </c>
      <c r="H1342">
        <v>8886.0603200000005</v>
      </c>
      <c r="I1342" s="1">
        <v>43868</v>
      </c>
      <c r="J1342">
        <v>9811</v>
      </c>
      <c r="K1342" s="1">
        <v>43859</v>
      </c>
      <c r="L1342">
        <v>24164.73</v>
      </c>
    </row>
    <row r="1343" spans="1:12" x14ac:dyDescent="0.35">
      <c r="A1343" s="1">
        <v>43874</v>
      </c>
      <c r="B1343">
        <v>3846.74</v>
      </c>
      <c r="C1343" s="1">
        <v>43871</v>
      </c>
      <c r="D1343">
        <v>6015.67</v>
      </c>
      <c r="E1343" s="1">
        <v>43859</v>
      </c>
      <c r="F1343">
        <v>13345</v>
      </c>
      <c r="G1343" s="1">
        <v>43840</v>
      </c>
      <c r="H1343">
        <v>8911.3915400000005</v>
      </c>
      <c r="I1343" s="1">
        <v>43867</v>
      </c>
      <c r="J1343">
        <v>9811.2999999999993</v>
      </c>
      <c r="K1343" s="1">
        <v>43858</v>
      </c>
      <c r="L1343">
        <v>24027.63</v>
      </c>
    </row>
    <row r="1344" spans="1:12" x14ac:dyDescent="0.35">
      <c r="A1344" s="1">
        <v>43873</v>
      </c>
      <c r="B1344">
        <v>3854.43</v>
      </c>
      <c r="C1344" s="1">
        <v>43868</v>
      </c>
      <c r="D1344">
        <v>6029.75</v>
      </c>
      <c r="E1344" s="1">
        <v>43858</v>
      </c>
      <c r="F1344">
        <v>13323.69</v>
      </c>
      <c r="G1344" s="1">
        <v>43839</v>
      </c>
      <c r="H1344">
        <v>8936.4291099999991</v>
      </c>
      <c r="I1344" s="1">
        <v>43866</v>
      </c>
      <c r="J1344">
        <v>9717.7999999999993</v>
      </c>
      <c r="K1344" s="1">
        <v>43857</v>
      </c>
      <c r="L1344">
        <v>23416.13</v>
      </c>
    </row>
    <row r="1345" spans="1:12" x14ac:dyDescent="0.35">
      <c r="A1345" s="1">
        <v>43872</v>
      </c>
      <c r="B1345">
        <v>3825.84</v>
      </c>
      <c r="C1345" s="1">
        <v>43867</v>
      </c>
      <c r="D1345">
        <v>6038.18</v>
      </c>
      <c r="E1345" s="1">
        <v>43857</v>
      </c>
      <c r="F1345">
        <v>13204.77</v>
      </c>
      <c r="G1345" s="1">
        <v>43838</v>
      </c>
      <c r="H1345">
        <v>8928.7153799999996</v>
      </c>
      <c r="I1345" s="1">
        <v>43865</v>
      </c>
      <c r="J1345">
        <v>9562.9</v>
      </c>
      <c r="K1345" s="1">
        <v>43854</v>
      </c>
      <c r="L1345">
        <v>23969.13</v>
      </c>
    </row>
    <row r="1346" spans="1:12" x14ac:dyDescent="0.35">
      <c r="A1346" s="1">
        <v>43871</v>
      </c>
      <c r="B1346">
        <v>3793.18</v>
      </c>
      <c r="C1346" s="1">
        <v>43866</v>
      </c>
      <c r="D1346">
        <v>5985.4</v>
      </c>
      <c r="E1346" s="1">
        <v>43854</v>
      </c>
      <c r="F1346">
        <v>13576.68</v>
      </c>
      <c r="G1346" s="1">
        <v>43837</v>
      </c>
      <c r="H1346">
        <v>8923.0461099999993</v>
      </c>
      <c r="I1346" s="1">
        <v>43864</v>
      </c>
      <c r="J1346">
        <v>9404.7000000000007</v>
      </c>
      <c r="K1346" s="1">
        <v>43853</v>
      </c>
      <c r="L1346">
        <v>23707.05</v>
      </c>
    </row>
    <row r="1347" spans="1:12" x14ac:dyDescent="0.35">
      <c r="A1347" s="1">
        <v>43868</v>
      </c>
      <c r="B1347">
        <v>3798.49</v>
      </c>
      <c r="C1347" s="1">
        <v>43865</v>
      </c>
      <c r="D1347">
        <v>5935.05</v>
      </c>
      <c r="E1347" s="1">
        <v>43853</v>
      </c>
      <c r="F1347">
        <v>13388.42</v>
      </c>
      <c r="G1347" s="1">
        <v>43836</v>
      </c>
      <c r="H1347">
        <v>8904.9999499999994</v>
      </c>
      <c r="I1347" s="1">
        <v>43861</v>
      </c>
      <c r="J1347">
        <v>9367.9</v>
      </c>
      <c r="K1347" s="1">
        <v>43852</v>
      </c>
      <c r="L1347">
        <v>23706.29</v>
      </c>
    </row>
    <row r="1348" spans="1:12" x14ac:dyDescent="0.35">
      <c r="A1348" s="1">
        <v>43867</v>
      </c>
      <c r="B1348">
        <v>3805.52</v>
      </c>
      <c r="C1348" s="1">
        <v>43864</v>
      </c>
      <c r="D1348">
        <v>5832.51</v>
      </c>
      <c r="E1348" s="1">
        <v>43852</v>
      </c>
      <c r="F1348">
        <v>13515.75</v>
      </c>
      <c r="G1348" s="1">
        <v>43833</v>
      </c>
      <c r="H1348">
        <v>8929.6429599999992</v>
      </c>
      <c r="I1348" s="1">
        <v>43860</v>
      </c>
      <c r="J1348">
        <v>9477.9</v>
      </c>
      <c r="K1348" s="1">
        <v>43851</v>
      </c>
      <c r="L1348">
        <v>23845.279999999999</v>
      </c>
    </row>
    <row r="1349" spans="1:12" x14ac:dyDescent="0.35">
      <c r="A1349" s="1">
        <v>43866</v>
      </c>
      <c r="B1349">
        <v>3777.84</v>
      </c>
      <c r="C1349" s="1">
        <v>43861</v>
      </c>
      <c r="D1349">
        <v>5806.34</v>
      </c>
      <c r="E1349" s="1">
        <v>43851</v>
      </c>
      <c r="F1349">
        <v>13555.87</v>
      </c>
      <c r="G1349" s="1">
        <v>43832</v>
      </c>
      <c r="H1349">
        <v>8942.0304799999994</v>
      </c>
      <c r="I1349" s="1">
        <v>43859</v>
      </c>
      <c r="J1349">
        <v>9546.7000000000007</v>
      </c>
      <c r="K1349" s="1">
        <v>43850</v>
      </c>
      <c r="L1349">
        <v>24002.45</v>
      </c>
    </row>
    <row r="1350" spans="1:12" x14ac:dyDescent="0.35">
      <c r="A1350" s="1">
        <v>43865</v>
      </c>
      <c r="B1350">
        <v>3732.28</v>
      </c>
      <c r="C1350" s="1">
        <v>43860</v>
      </c>
      <c r="D1350">
        <v>5871.77</v>
      </c>
      <c r="E1350" s="1">
        <v>43850</v>
      </c>
      <c r="F1350">
        <v>13548.94</v>
      </c>
      <c r="G1350" s="1">
        <v>43830</v>
      </c>
      <c r="H1350">
        <v>8908.6634400000003</v>
      </c>
      <c r="I1350" s="1">
        <v>43858</v>
      </c>
      <c r="J1350">
        <v>9484.2000000000007</v>
      </c>
      <c r="K1350" s="1">
        <v>43847</v>
      </c>
      <c r="L1350">
        <v>24141.07</v>
      </c>
    </row>
    <row r="1351" spans="1:12" x14ac:dyDescent="0.35">
      <c r="A1351" s="1">
        <v>43864</v>
      </c>
      <c r="B1351">
        <v>3661.27</v>
      </c>
      <c r="C1351" s="1">
        <v>43859</v>
      </c>
      <c r="D1351">
        <v>5954.89</v>
      </c>
      <c r="E1351" s="1">
        <v>43847</v>
      </c>
      <c r="F1351">
        <v>13526.13</v>
      </c>
      <c r="G1351" s="1">
        <v>43829</v>
      </c>
      <c r="H1351">
        <v>8878.2899799999996</v>
      </c>
      <c r="I1351" s="1">
        <v>43857</v>
      </c>
      <c r="J1351">
        <v>9366.2999999999993</v>
      </c>
      <c r="K1351" s="1">
        <v>43846</v>
      </c>
      <c r="L1351">
        <v>23940.41</v>
      </c>
    </row>
    <row r="1352" spans="1:12" x14ac:dyDescent="0.35">
      <c r="A1352" s="1">
        <v>43861</v>
      </c>
      <c r="B1352">
        <v>3640.91</v>
      </c>
      <c r="C1352" s="1">
        <v>43858</v>
      </c>
      <c r="D1352">
        <v>5925.82</v>
      </c>
      <c r="E1352" s="1">
        <v>43846</v>
      </c>
      <c r="F1352">
        <v>13429.43</v>
      </c>
      <c r="G1352" s="1">
        <v>43826</v>
      </c>
      <c r="H1352">
        <v>8949.8100599999998</v>
      </c>
      <c r="I1352" s="1">
        <v>43854</v>
      </c>
      <c r="J1352">
        <v>9562</v>
      </c>
      <c r="K1352" s="1">
        <v>43845</v>
      </c>
      <c r="L1352">
        <v>23763.86</v>
      </c>
    </row>
    <row r="1353" spans="1:12" x14ac:dyDescent="0.35">
      <c r="A1353" s="1">
        <v>43860</v>
      </c>
      <c r="B1353">
        <v>3690.78</v>
      </c>
      <c r="C1353" s="1">
        <v>43857</v>
      </c>
      <c r="D1353">
        <v>5863.02</v>
      </c>
      <c r="E1353" s="1">
        <v>43845</v>
      </c>
      <c r="F1353">
        <v>13432.3</v>
      </c>
      <c r="G1353" s="1">
        <v>43823</v>
      </c>
      <c r="H1353">
        <v>8925.6183299999993</v>
      </c>
      <c r="I1353" s="1">
        <v>43853</v>
      </c>
      <c r="J1353">
        <v>9518.5</v>
      </c>
      <c r="K1353" s="1">
        <v>43844</v>
      </c>
      <c r="L1353">
        <v>23928.21</v>
      </c>
    </row>
    <row r="1354" spans="1:12" x14ac:dyDescent="0.35">
      <c r="A1354" s="1">
        <v>43859</v>
      </c>
      <c r="B1354">
        <v>3736.36</v>
      </c>
      <c r="C1354" s="1">
        <v>43854</v>
      </c>
      <c r="D1354">
        <v>6024.26</v>
      </c>
      <c r="E1354" s="1">
        <v>43844</v>
      </c>
      <c r="F1354">
        <v>13456.49</v>
      </c>
      <c r="G1354" s="1">
        <v>43822</v>
      </c>
      <c r="H1354">
        <v>8890.4078100000006</v>
      </c>
      <c r="I1354" s="1">
        <v>43852</v>
      </c>
      <c r="J1354">
        <v>9573.7000000000007</v>
      </c>
      <c r="K1354" s="1">
        <v>43843</v>
      </c>
      <c r="L1354">
        <v>23896.59</v>
      </c>
    </row>
    <row r="1355" spans="1:12" x14ac:dyDescent="0.35">
      <c r="A1355" s="1">
        <v>43858</v>
      </c>
      <c r="B1355">
        <v>3719.22</v>
      </c>
      <c r="C1355" s="1">
        <v>43853</v>
      </c>
      <c r="D1355">
        <v>5971.79</v>
      </c>
      <c r="E1355" s="1">
        <v>43843</v>
      </c>
      <c r="F1355">
        <v>13451.52</v>
      </c>
      <c r="G1355" s="1">
        <v>43819</v>
      </c>
      <c r="H1355">
        <v>8919.6379099999995</v>
      </c>
      <c r="I1355" s="1">
        <v>43851</v>
      </c>
      <c r="J1355">
        <v>9611.2999999999993</v>
      </c>
      <c r="K1355" s="1">
        <v>43840</v>
      </c>
      <c r="L1355">
        <v>24021.4</v>
      </c>
    </row>
    <row r="1356" spans="1:12" x14ac:dyDescent="0.35">
      <c r="A1356" s="1">
        <v>43857</v>
      </c>
      <c r="B1356">
        <v>3677.84</v>
      </c>
      <c r="C1356" s="1">
        <v>43852</v>
      </c>
      <c r="D1356">
        <v>6010.98</v>
      </c>
      <c r="E1356" s="1">
        <v>43840</v>
      </c>
      <c r="F1356">
        <v>13483.31</v>
      </c>
      <c r="G1356" s="1">
        <v>43818</v>
      </c>
      <c r="H1356">
        <v>8876.8574399999998</v>
      </c>
      <c r="I1356" s="1">
        <v>43850</v>
      </c>
      <c r="J1356">
        <v>9658.7999999999993</v>
      </c>
      <c r="K1356" s="1">
        <v>43839</v>
      </c>
      <c r="L1356">
        <v>24016.7</v>
      </c>
    </row>
    <row r="1357" spans="1:12" x14ac:dyDescent="0.35">
      <c r="A1357" s="1">
        <v>43854</v>
      </c>
      <c r="B1357">
        <v>3779.16</v>
      </c>
      <c r="C1357" s="1">
        <v>43851</v>
      </c>
      <c r="D1357">
        <v>6045.99</v>
      </c>
      <c r="E1357" s="1">
        <v>43839</v>
      </c>
      <c r="F1357">
        <v>13495.06</v>
      </c>
      <c r="G1357" s="1">
        <v>43817</v>
      </c>
      <c r="H1357">
        <v>8873.50533</v>
      </c>
      <c r="I1357" s="1">
        <v>43847</v>
      </c>
      <c r="J1357">
        <v>9681.2999999999993</v>
      </c>
      <c r="K1357" s="1">
        <v>43838</v>
      </c>
      <c r="L1357">
        <v>23832.02</v>
      </c>
    </row>
    <row r="1358" spans="1:12" x14ac:dyDescent="0.35">
      <c r="A1358" s="1">
        <v>43853</v>
      </c>
      <c r="B1358">
        <v>3736.85</v>
      </c>
      <c r="C1358" s="1">
        <v>43850</v>
      </c>
      <c r="D1358">
        <v>6078.54</v>
      </c>
      <c r="E1358" s="1">
        <v>43838</v>
      </c>
      <c r="F1358">
        <v>13320.18</v>
      </c>
      <c r="G1358" s="1">
        <v>43816</v>
      </c>
      <c r="H1358">
        <v>8860.6933000000008</v>
      </c>
      <c r="I1358" s="1">
        <v>43846</v>
      </c>
      <c r="J1358">
        <v>9572.5</v>
      </c>
      <c r="K1358" s="1">
        <v>43837</v>
      </c>
      <c r="L1358">
        <v>23723.38</v>
      </c>
    </row>
    <row r="1359" spans="1:12" x14ac:dyDescent="0.35">
      <c r="A1359" s="1">
        <v>43852</v>
      </c>
      <c r="B1359">
        <v>3769.79</v>
      </c>
      <c r="C1359" s="1">
        <v>43847</v>
      </c>
      <c r="D1359">
        <v>6100.72</v>
      </c>
      <c r="E1359" s="1">
        <v>43837</v>
      </c>
      <c r="F1359">
        <v>13226.83</v>
      </c>
      <c r="G1359" s="1">
        <v>43815</v>
      </c>
      <c r="H1359">
        <v>8992.0901300000005</v>
      </c>
      <c r="I1359" s="1">
        <v>43845</v>
      </c>
      <c r="J1359">
        <v>9511.7000000000007</v>
      </c>
      <c r="K1359" s="1">
        <v>43836</v>
      </c>
      <c r="L1359">
        <v>23581.29</v>
      </c>
    </row>
    <row r="1360" spans="1:12" x14ac:dyDescent="0.35">
      <c r="A1360" s="1">
        <v>43851</v>
      </c>
      <c r="B1360">
        <v>3789.12</v>
      </c>
      <c r="C1360" s="1">
        <v>43846</v>
      </c>
      <c r="D1360">
        <v>6039.03</v>
      </c>
      <c r="E1360" s="1">
        <v>43836</v>
      </c>
      <c r="F1360">
        <v>13126.99</v>
      </c>
      <c r="G1360" s="1">
        <v>43812</v>
      </c>
      <c r="H1360">
        <v>8812.7498799999994</v>
      </c>
      <c r="I1360" s="1">
        <v>43844</v>
      </c>
      <c r="J1360">
        <v>9528.2999999999993</v>
      </c>
      <c r="K1360" s="1">
        <v>43833</v>
      </c>
      <c r="L1360">
        <v>23702.35</v>
      </c>
    </row>
    <row r="1361" spans="1:12" x14ac:dyDescent="0.35">
      <c r="A1361" s="1">
        <v>43850</v>
      </c>
      <c r="B1361">
        <v>3799.03</v>
      </c>
      <c r="C1361" s="1">
        <v>43845</v>
      </c>
      <c r="D1361">
        <v>6032.61</v>
      </c>
      <c r="E1361" s="1">
        <v>43833</v>
      </c>
      <c r="F1361">
        <v>13219.14</v>
      </c>
      <c r="G1361" s="1">
        <v>43811</v>
      </c>
      <c r="H1361">
        <v>8582.1708600000002</v>
      </c>
      <c r="I1361" s="1">
        <v>43843</v>
      </c>
      <c r="J1361">
        <v>9543.9</v>
      </c>
      <c r="K1361" s="1">
        <v>43832</v>
      </c>
      <c r="L1361">
        <v>23836.26</v>
      </c>
    </row>
    <row r="1362" spans="1:12" x14ac:dyDescent="0.35">
      <c r="A1362" s="1">
        <v>43847</v>
      </c>
      <c r="B1362">
        <v>3808.26</v>
      </c>
      <c r="C1362" s="1">
        <v>43844</v>
      </c>
      <c r="D1362">
        <v>6040.89</v>
      </c>
      <c r="E1362" s="1">
        <v>43832</v>
      </c>
      <c r="F1362">
        <v>13385.93</v>
      </c>
      <c r="G1362" s="1">
        <v>43810</v>
      </c>
      <c r="H1362">
        <v>8569.4595200000003</v>
      </c>
      <c r="I1362" s="1">
        <v>43840</v>
      </c>
      <c r="J1362">
        <v>9573.6</v>
      </c>
      <c r="K1362" s="1">
        <v>43829</v>
      </c>
      <c r="L1362">
        <v>23506.37</v>
      </c>
    </row>
    <row r="1363" spans="1:12" x14ac:dyDescent="0.35">
      <c r="A1363" s="1">
        <v>43846</v>
      </c>
      <c r="B1363">
        <v>3774.14</v>
      </c>
      <c r="C1363" s="1">
        <v>43843</v>
      </c>
      <c r="D1363">
        <v>6036.14</v>
      </c>
      <c r="E1363" s="1">
        <v>43829</v>
      </c>
      <c r="F1363">
        <v>13249.01</v>
      </c>
      <c r="G1363" s="1">
        <v>43809</v>
      </c>
      <c r="H1363">
        <v>8577.5230499999998</v>
      </c>
      <c r="I1363" s="1">
        <v>43839</v>
      </c>
      <c r="J1363">
        <v>9581.7999999999993</v>
      </c>
      <c r="K1363" s="1">
        <v>43826</v>
      </c>
      <c r="L1363">
        <v>23757.599999999999</v>
      </c>
    </row>
    <row r="1364" spans="1:12" x14ac:dyDescent="0.35">
      <c r="A1364" s="1">
        <v>43845</v>
      </c>
      <c r="B1364">
        <v>3768.96</v>
      </c>
      <c r="C1364" s="1">
        <v>43840</v>
      </c>
      <c r="D1364">
        <v>6037.11</v>
      </c>
      <c r="E1364" s="1">
        <v>43826</v>
      </c>
      <c r="F1364">
        <v>13337.11</v>
      </c>
      <c r="G1364" s="1">
        <v>43808</v>
      </c>
      <c r="H1364">
        <v>8601.90985</v>
      </c>
      <c r="I1364" s="1">
        <v>43838</v>
      </c>
      <c r="J1364">
        <v>9591.4</v>
      </c>
      <c r="K1364" s="1">
        <v>43822</v>
      </c>
      <c r="L1364">
        <v>23898.42</v>
      </c>
    </row>
    <row r="1365" spans="1:12" x14ac:dyDescent="0.35">
      <c r="A1365" s="1">
        <v>43844</v>
      </c>
      <c r="B1365">
        <v>3774.88</v>
      </c>
      <c r="C1365" s="1">
        <v>43839</v>
      </c>
      <c r="D1365">
        <v>6042.55</v>
      </c>
      <c r="E1365" s="1">
        <v>43822</v>
      </c>
      <c r="F1365">
        <v>13300.98</v>
      </c>
      <c r="G1365" s="1">
        <v>43805</v>
      </c>
      <c r="H1365">
        <v>8600.4934200000007</v>
      </c>
      <c r="I1365" s="1">
        <v>43837</v>
      </c>
      <c r="J1365">
        <v>9579.7999999999993</v>
      </c>
      <c r="K1365" s="1">
        <v>43819</v>
      </c>
      <c r="L1365">
        <v>24003.64</v>
      </c>
    </row>
    <row r="1366" spans="1:12" x14ac:dyDescent="0.35">
      <c r="A1366" s="1">
        <v>43843</v>
      </c>
      <c r="B1366">
        <v>3779.68</v>
      </c>
      <c r="C1366" s="1">
        <v>43838</v>
      </c>
      <c r="D1366">
        <v>6031</v>
      </c>
      <c r="E1366" s="1">
        <v>43819</v>
      </c>
      <c r="F1366">
        <v>13318.9</v>
      </c>
      <c r="G1366" s="1">
        <v>43804</v>
      </c>
      <c r="H1366">
        <v>8457.4363200000007</v>
      </c>
      <c r="I1366" s="1">
        <v>43836</v>
      </c>
      <c r="J1366">
        <v>9600.9</v>
      </c>
      <c r="K1366" s="1">
        <v>43818</v>
      </c>
      <c r="L1366">
        <v>23708.94</v>
      </c>
    </row>
    <row r="1367" spans="1:12" x14ac:dyDescent="0.35">
      <c r="A1367" s="1">
        <v>43840</v>
      </c>
      <c r="B1367">
        <v>3789.52</v>
      </c>
      <c r="C1367" s="1">
        <v>43837</v>
      </c>
      <c r="D1367">
        <v>6012.35</v>
      </c>
      <c r="E1367" s="1">
        <v>43818</v>
      </c>
      <c r="F1367">
        <v>13211.96</v>
      </c>
      <c r="G1367" s="1">
        <v>43803</v>
      </c>
      <c r="H1367">
        <v>8494.7331200000008</v>
      </c>
      <c r="I1367" s="1">
        <v>43833</v>
      </c>
      <c r="J1367">
        <v>9646.6</v>
      </c>
      <c r="K1367" s="1">
        <v>43817</v>
      </c>
      <c r="L1367">
        <v>23628.87</v>
      </c>
    </row>
    <row r="1368" spans="1:12" x14ac:dyDescent="0.35">
      <c r="A1368" s="1">
        <v>43839</v>
      </c>
      <c r="B1368">
        <v>3795.88</v>
      </c>
      <c r="C1368" s="1">
        <v>43836</v>
      </c>
      <c r="D1368">
        <v>6013.59</v>
      </c>
      <c r="E1368" s="1">
        <v>43817</v>
      </c>
      <c r="F1368">
        <v>13222.16</v>
      </c>
      <c r="G1368" s="1">
        <v>43802</v>
      </c>
      <c r="H1368">
        <v>8398.37212</v>
      </c>
      <c r="I1368" s="1">
        <v>43832</v>
      </c>
      <c r="J1368">
        <v>9691.2000000000007</v>
      </c>
      <c r="K1368" s="1">
        <v>43816</v>
      </c>
      <c r="L1368">
        <v>23630.77</v>
      </c>
    </row>
    <row r="1369" spans="1:12" x14ac:dyDescent="0.35">
      <c r="A1369" s="1">
        <v>43838</v>
      </c>
      <c r="B1369">
        <v>3772.56</v>
      </c>
      <c r="C1369" s="1">
        <v>43833</v>
      </c>
      <c r="D1369">
        <v>6044.16</v>
      </c>
      <c r="E1369" s="1">
        <v>43816</v>
      </c>
      <c r="F1369">
        <v>13287.83</v>
      </c>
      <c r="G1369" s="1">
        <v>43801</v>
      </c>
      <c r="H1369">
        <v>8508.9253200000003</v>
      </c>
      <c r="I1369" s="1">
        <v>43830</v>
      </c>
      <c r="J1369">
        <v>9549.2000000000007</v>
      </c>
      <c r="K1369" s="1">
        <v>43815</v>
      </c>
      <c r="L1369">
        <v>23524.76</v>
      </c>
    </row>
    <row r="1370" spans="1:12" x14ac:dyDescent="0.35">
      <c r="A1370" s="1">
        <v>43837</v>
      </c>
      <c r="B1370">
        <v>3759.25</v>
      </c>
      <c r="C1370" s="1">
        <v>43832</v>
      </c>
      <c r="D1370">
        <v>6041.5</v>
      </c>
      <c r="E1370" s="1">
        <v>43815</v>
      </c>
      <c r="F1370">
        <v>13407.66</v>
      </c>
      <c r="G1370" s="1">
        <v>43798</v>
      </c>
      <c r="H1370">
        <v>8624.3033699999996</v>
      </c>
      <c r="I1370" s="1">
        <v>43829</v>
      </c>
      <c r="J1370">
        <v>9612.6</v>
      </c>
      <c r="K1370" s="1">
        <v>43812</v>
      </c>
      <c r="L1370">
        <v>23329.33</v>
      </c>
    </row>
    <row r="1371" spans="1:12" x14ac:dyDescent="0.35">
      <c r="A1371" s="1">
        <v>43836</v>
      </c>
      <c r="B1371">
        <v>3752.52</v>
      </c>
      <c r="C1371" s="1">
        <v>43830</v>
      </c>
      <c r="D1371">
        <v>5978.06</v>
      </c>
      <c r="E1371" s="1">
        <v>43812</v>
      </c>
      <c r="F1371">
        <v>13282.72</v>
      </c>
      <c r="G1371" s="1">
        <v>43797</v>
      </c>
      <c r="H1371">
        <v>8693.8238299999994</v>
      </c>
      <c r="I1371" s="1">
        <v>43826</v>
      </c>
      <c r="J1371">
        <v>9700.5</v>
      </c>
      <c r="K1371" s="1">
        <v>43811</v>
      </c>
      <c r="L1371">
        <v>23390.95</v>
      </c>
    </row>
    <row r="1372" spans="1:12" x14ac:dyDescent="0.35">
      <c r="A1372" s="1">
        <v>43833</v>
      </c>
      <c r="B1372">
        <v>3773.37</v>
      </c>
      <c r="C1372" s="1">
        <v>43829</v>
      </c>
      <c r="D1372">
        <v>5982.22</v>
      </c>
      <c r="E1372" s="1">
        <v>43811</v>
      </c>
      <c r="F1372">
        <v>13221.64</v>
      </c>
      <c r="G1372" s="1">
        <v>43796</v>
      </c>
      <c r="H1372">
        <v>8702.2986799999999</v>
      </c>
      <c r="I1372" s="1">
        <v>43823</v>
      </c>
      <c r="J1372">
        <v>9661.7999999999993</v>
      </c>
      <c r="K1372" s="1">
        <v>43810</v>
      </c>
      <c r="L1372">
        <v>23155.64</v>
      </c>
    </row>
    <row r="1373" spans="1:12" x14ac:dyDescent="0.35">
      <c r="A1373" s="1">
        <v>43832</v>
      </c>
      <c r="B1373">
        <v>3793.24</v>
      </c>
      <c r="C1373" s="1">
        <v>43826</v>
      </c>
      <c r="D1373">
        <v>6037.39</v>
      </c>
      <c r="E1373" s="1">
        <v>43810</v>
      </c>
      <c r="F1373">
        <v>13146.74</v>
      </c>
      <c r="G1373" s="1">
        <v>43795</v>
      </c>
      <c r="H1373">
        <v>8640.5795500000004</v>
      </c>
      <c r="I1373" s="1">
        <v>43822</v>
      </c>
      <c r="J1373">
        <v>9659.6</v>
      </c>
      <c r="K1373" s="1">
        <v>43809</v>
      </c>
      <c r="L1373">
        <v>23122.82</v>
      </c>
    </row>
    <row r="1374" spans="1:12" x14ac:dyDescent="0.35">
      <c r="A1374" s="1">
        <v>43830</v>
      </c>
      <c r="B1374">
        <v>3745.15</v>
      </c>
      <c r="C1374" s="1">
        <v>43823</v>
      </c>
      <c r="D1374">
        <v>6029.55</v>
      </c>
      <c r="E1374" s="1">
        <v>43809</v>
      </c>
      <c r="F1374">
        <v>13070.72</v>
      </c>
      <c r="G1374" s="1">
        <v>43794</v>
      </c>
      <c r="H1374">
        <v>8661.7101399999992</v>
      </c>
      <c r="I1374" s="1">
        <v>43819</v>
      </c>
      <c r="J1374">
        <v>9675.5</v>
      </c>
      <c r="K1374" s="1">
        <v>43808</v>
      </c>
      <c r="L1374">
        <v>22956.9</v>
      </c>
    </row>
    <row r="1375" spans="1:12" x14ac:dyDescent="0.35">
      <c r="A1375" s="1">
        <v>43829</v>
      </c>
      <c r="B1375">
        <v>3748.47</v>
      </c>
      <c r="C1375" s="1">
        <v>43822</v>
      </c>
      <c r="D1375">
        <v>6029.37</v>
      </c>
      <c r="E1375" s="1">
        <v>43808</v>
      </c>
      <c r="F1375">
        <v>13105.61</v>
      </c>
      <c r="G1375" s="1">
        <v>43791</v>
      </c>
      <c r="H1375">
        <v>8525.7908800000005</v>
      </c>
      <c r="I1375" s="1">
        <v>43818</v>
      </c>
      <c r="J1375">
        <v>9617.2000000000007</v>
      </c>
      <c r="K1375" s="1">
        <v>43805</v>
      </c>
      <c r="L1375">
        <v>23182.720000000001</v>
      </c>
    </row>
    <row r="1376" spans="1:12" x14ac:dyDescent="0.35">
      <c r="A1376" s="1">
        <v>43826</v>
      </c>
      <c r="B1376">
        <v>3782.27</v>
      </c>
      <c r="C1376" s="1">
        <v>43819</v>
      </c>
      <c r="D1376">
        <v>6021.53</v>
      </c>
      <c r="E1376" s="1">
        <v>43805</v>
      </c>
      <c r="F1376">
        <v>13166.58</v>
      </c>
      <c r="G1376" s="1">
        <v>43790</v>
      </c>
      <c r="H1376">
        <v>8443.1211399999993</v>
      </c>
      <c r="I1376" s="1">
        <v>43817</v>
      </c>
      <c r="J1376">
        <v>9621.7999999999993</v>
      </c>
      <c r="K1376" s="1">
        <v>43804</v>
      </c>
      <c r="L1376">
        <v>22969.4</v>
      </c>
    </row>
    <row r="1377" spans="1:12" x14ac:dyDescent="0.35">
      <c r="A1377" s="1">
        <v>43823</v>
      </c>
      <c r="B1377">
        <v>3774.39</v>
      </c>
      <c r="C1377" s="1">
        <v>43818</v>
      </c>
      <c r="D1377">
        <v>5972.28</v>
      </c>
      <c r="E1377" s="1">
        <v>43804</v>
      </c>
      <c r="F1377">
        <v>13054.8</v>
      </c>
      <c r="G1377" s="1">
        <v>43789</v>
      </c>
      <c r="H1377">
        <v>8479.7954100000006</v>
      </c>
      <c r="I1377" s="1">
        <v>43816</v>
      </c>
      <c r="J1377">
        <v>9615.9</v>
      </c>
      <c r="K1377" s="1">
        <v>43803</v>
      </c>
      <c r="L1377">
        <v>23034.2</v>
      </c>
    </row>
    <row r="1378" spans="1:12" x14ac:dyDescent="0.35">
      <c r="A1378" s="1">
        <v>43822</v>
      </c>
      <c r="B1378">
        <v>3776.66</v>
      </c>
      <c r="C1378" s="1">
        <v>43817</v>
      </c>
      <c r="D1378">
        <v>5959.6</v>
      </c>
      <c r="E1378" s="1">
        <v>43803</v>
      </c>
      <c r="F1378">
        <v>13140.57</v>
      </c>
      <c r="G1378" s="1">
        <v>43788</v>
      </c>
      <c r="H1378">
        <v>8543.88256</v>
      </c>
      <c r="I1378" s="1">
        <v>43815</v>
      </c>
      <c r="J1378">
        <v>9680.6</v>
      </c>
      <c r="K1378" s="1">
        <v>43802</v>
      </c>
      <c r="L1378">
        <v>22736.52</v>
      </c>
    </row>
    <row r="1379" spans="1:12" x14ac:dyDescent="0.35">
      <c r="A1379" s="1">
        <v>43819</v>
      </c>
      <c r="B1379">
        <v>3776.56</v>
      </c>
      <c r="C1379" s="1">
        <v>43816</v>
      </c>
      <c r="D1379">
        <v>5968.26</v>
      </c>
      <c r="E1379" s="1">
        <v>43802</v>
      </c>
      <c r="F1379">
        <v>12989.29</v>
      </c>
      <c r="G1379" s="1">
        <v>43787</v>
      </c>
      <c r="H1379">
        <v>8550.7079900000008</v>
      </c>
      <c r="I1379" s="1">
        <v>43812</v>
      </c>
      <c r="J1379">
        <v>9563.7000000000007</v>
      </c>
      <c r="K1379" s="1">
        <v>43801</v>
      </c>
      <c r="L1379">
        <v>22728.59</v>
      </c>
    </row>
    <row r="1380" spans="1:12" x14ac:dyDescent="0.35">
      <c r="A1380" s="1">
        <v>43818</v>
      </c>
      <c r="B1380">
        <v>3739.17</v>
      </c>
      <c r="C1380" s="1">
        <v>43815</v>
      </c>
      <c r="D1380">
        <v>5991.66</v>
      </c>
      <c r="E1380" s="1">
        <v>43801</v>
      </c>
      <c r="F1380">
        <v>12964.68</v>
      </c>
      <c r="G1380" s="1">
        <v>43784</v>
      </c>
      <c r="H1380">
        <v>8528.4650299999994</v>
      </c>
      <c r="I1380" s="1">
        <v>43811</v>
      </c>
      <c r="J1380">
        <v>9468.5</v>
      </c>
      <c r="K1380" s="1">
        <v>43798</v>
      </c>
      <c r="L1380">
        <v>23259.33</v>
      </c>
    </row>
    <row r="1381" spans="1:12" x14ac:dyDescent="0.35">
      <c r="A1381" s="1">
        <v>43817</v>
      </c>
      <c r="B1381">
        <v>3739</v>
      </c>
      <c r="C1381" s="1">
        <v>43812</v>
      </c>
      <c r="D1381">
        <v>5919.02</v>
      </c>
      <c r="E1381" s="1">
        <v>43798</v>
      </c>
      <c r="F1381">
        <v>13236.38</v>
      </c>
      <c r="G1381" s="1">
        <v>43783</v>
      </c>
      <c r="H1381">
        <v>8524.5467499999995</v>
      </c>
      <c r="I1381" s="1">
        <v>43810</v>
      </c>
      <c r="J1381">
        <v>9392.5</v>
      </c>
      <c r="K1381" s="1">
        <v>43797</v>
      </c>
      <c r="L1381">
        <v>23342.42</v>
      </c>
    </row>
    <row r="1382" spans="1:12" x14ac:dyDescent="0.35">
      <c r="A1382" s="1">
        <v>43816</v>
      </c>
      <c r="B1382">
        <v>3745.28</v>
      </c>
      <c r="C1382" s="1">
        <v>43811</v>
      </c>
      <c r="D1382">
        <v>5884.26</v>
      </c>
      <c r="E1382" s="1">
        <v>43797</v>
      </c>
      <c r="F1382">
        <v>13245.58</v>
      </c>
      <c r="G1382" s="1">
        <v>43782</v>
      </c>
      <c r="H1382">
        <v>8581.6471000000001</v>
      </c>
      <c r="I1382" s="1">
        <v>43809</v>
      </c>
      <c r="J1382">
        <v>9321.1</v>
      </c>
      <c r="K1382" s="1">
        <v>43796</v>
      </c>
      <c r="L1382">
        <v>23485.03</v>
      </c>
    </row>
    <row r="1383" spans="1:12" x14ac:dyDescent="0.35">
      <c r="A1383" s="1">
        <v>43815</v>
      </c>
      <c r="B1383">
        <v>3772.74</v>
      </c>
      <c r="C1383" s="1">
        <v>43810</v>
      </c>
      <c r="D1383">
        <v>5860.88</v>
      </c>
      <c r="E1383" s="1">
        <v>43796</v>
      </c>
      <c r="F1383">
        <v>13287.07</v>
      </c>
      <c r="G1383" s="1">
        <v>43781</v>
      </c>
      <c r="H1383">
        <v>8600.9288500000002</v>
      </c>
      <c r="I1383" s="1">
        <v>43808</v>
      </c>
      <c r="J1383">
        <v>9354.6</v>
      </c>
      <c r="K1383" s="1">
        <v>43795</v>
      </c>
      <c r="L1383">
        <v>23546.58</v>
      </c>
    </row>
    <row r="1384" spans="1:12" x14ac:dyDescent="0.35">
      <c r="A1384" s="1">
        <v>43812</v>
      </c>
      <c r="B1384">
        <v>3731.07</v>
      </c>
      <c r="C1384" s="1">
        <v>43809</v>
      </c>
      <c r="D1384">
        <v>5848.03</v>
      </c>
      <c r="E1384" s="1">
        <v>43795</v>
      </c>
      <c r="F1384">
        <v>13236.42</v>
      </c>
      <c r="G1384" s="1">
        <v>43780</v>
      </c>
      <c r="H1384">
        <v>8536.13256</v>
      </c>
      <c r="I1384" s="1">
        <v>43805</v>
      </c>
      <c r="J1384">
        <v>9382.7000000000007</v>
      </c>
      <c r="K1384" s="1">
        <v>43794</v>
      </c>
      <c r="L1384">
        <v>23467.25</v>
      </c>
    </row>
    <row r="1385" spans="1:12" x14ac:dyDescent="0.35">
      <c r="A1385" s="1">
        <v>43811</v>
      </c>
      <c r="B1385">
        <v>3706.35</v>
      </c>
      <c r="C1385" s="1">
        <v>43808</v>
      </c>
      <c r="D1385">
        <v>5837.25</v>
      </c>
      <c r="E1385" s="1">
        <v>43794</v>
      </c>
      <c r="F1385">
        <v>13246.45</v>
      </c>
      <c r="G1385" s="1">
        <v>43777</v>
      </c>
      <c r="H1385">
        <v>8529.40121</v>
      </c>
      <c r="I1385" s="1">
        <v>43804</v>
      </c>
      <c r="J1385">
        <v>9243.4</v>
      </c>
      <c r="K1385" s="1">
        <v>43791</v>
      </c>
      <c r="L1385">
        <v>23259.8</v>
      </c>
    </row>
    <row r="1386" spans="1:12" x14ac:dyDescent="0.35">
      <c r="A1386" s="1">
        <v>43810</v>
      </c>
      <c r="B1386">
        <v>3687.45</v>
      </c>
      <c r="C1386" s="1">
        <v>43805</v>
      </c>
      <c r="D1386">
        <v>5871.91</v>
      </c>
      <c r="E1386" s="1">
        <v>43791</v>
      </c>
      <c r="F1386">
        <v>13163.88</v>
      </c>
      <c r="G1386" s="1">
        <v>43776</v>
      </c>
      <c r="H1386">
        <v>8596.4264199999998</v>
      </c>
      <c r="I1386" s="1">
        <v>43803</v>
      </c>
      <c r="J1386">
        <v>9270.7999999999993</v>
      </c>
      <c r="K1386" s="1">
        <v>43790</v>
      </c>
      <c r="L1386">
        <v>23279.78</v>
      </c>
    </row>
    <row r="1387" spans="1:12" x14ac:dyDescent="0.35">
      <c r="A1387" s="1">
        <v>43809</v>
      </c>
      <c r="B1387">
        <v>3671.78</v>
      </c>
      <c r="C1387" s="1">
        <v>43804</v>
      </c>
      <c r="D1387">
        <v>5801.55</v>
      </c>
      <c r="E1387" s="1">
        <v>43790</v>
      </c>
      <c r="F1387">
        <v>13137.7</v>
      </c>
      <c r="G1387" s="1">
        <v>43775</v>
      </c>
      <c r="H1387">
        <v>8594.4447600000003</v>
      </c>
      <c r="I1387" s="1">
        <v>43802</v>
      </c>
      <c r="J1387">
        <v>9135.7000000000007</v>
      </c>
      <c r="K1387" s="1">
        <v>43789</v>
      </c>
      <c r="L1387">
        <v>23351.78</v>
      </c>
    </row>
    <row r="1388" spans="1:12" x14ac:dyDescent="0.35">
      <c r="A1388" s="1">
        <v>43808</v>
      </c>
      <c r="B1388">
        <v>3672.18</v>
      </c>
      <c r="C1388" s="1">
        <v>43803</v>
      </c>
      <c r="D1388">
        <v>5799.68</v>
      </c>
      <c r="E1388" s="1">
        <v>43789</v>
      </c>
      <c r="F1388">
        <v>13158.14</v>
      </c>
      <c r="G1388" s="1">
        <v>43774</v>
      </c>
      <c r="H1388">
        <v>8591.6134500000007</v>
      </c>
      <c r="I1388" s="1">
        <v>43801</v>
      </c>
      <c r="J1388">
        <v>9156.2999999999993</v>
      </c>
      <c r="K1388" s="1">
        <v>43788</v>
      </c>
      <c r="L1388">
        <v>23329.21</v>
      </c>
    </row>
    <row r="1389" spans="1:12" x14ac:dyDescent="0.35">
      <c r="A1389" s="1">
        <v>43805</v>
      </c>
      <c r="B1389">
        <v>3692.34</v>
      </c>
      <c r="C1389" s="1">
        <v>43802</v>
      </c>
      <c r="D1389">
        <v>5727.22</v>
      </c>
      <c r="E1389" s="1">
        <v>43788</v>
      </c>
      <c r="F1389">
        <v>13221.12</v>
      </c>
      <c r="G1389" s="1">
        <v>43773</v>
      </c>
      <c r="H1389">
        <v>8533.2556299999997</v>
      </c>
      <c r="I1389" s="1">
        <v>43798</v>
      </c>
      <c r="J1389">
        <v>9352</v>
      </c>
      <c r="K1389" s="1">
        <v>43787</v>
      </c>
      <c r="L1389">
        <v>23463.98</v>
      </c>
    </row>
    <row r="1390" spans="1:12" x14ac:dyDescent="0.35">
      <c r="A1390" s="1">
        <v>43804</v>
      </c>
      <c r="B1390">
        <v>3648.13</v>
      </c>
      <c r="C1390" s="1">
        <v>43801</v>
      </c>
      <c r="D1390">
        <v>5786.74</v>
      </c>
      <c r="E1390" s="1">
        <v>43787</v>
      </c>
      <c r="F1390">
        <v>13207.01</v>
      </c>
      <c r="G1390" s="1">
        <v>43770</v>
      </c>
      <c r="H1390">
        <v>8463.6630999999998</v>
      </c>
      <c r="I1390" s="1">
        <v>43797</v>
      </c>
      <c r="J1390">
        <v>9359</v>
      </c>
      <c r="K1390" s="1">
        <v>43784</v>
      </c>
      <c r="L1390">
        <v>23588.59</v>
      </c>
    </row>
    <row r="1391" spans="1:12" x14ac:dyDescent="0.35">
      <c r="A1391" s="1">
        <v>43803</v>
      </c>
      <c r="B1391">
        <v>3660.02</v>
      </c>
      <c r="C1391" s="1">
        <v>43798</v>
      </c>
      <c r="D1391">
        <v>5905.17</v>
      </c>
      <c r="E1391" s="1">
        <v>43784</v>
      </c>
      <c r="F1391">
        <v>13241.75</v>
      </c>
      <c r="G1391" s="1">
        <v>43769</v>
      </c>
      <c r="H1391">
        <v>8413.0891900000006</v>
      </c>
      <c r="I1391" s="1">
        <v>43796</v>
      </c>
      <c r="J1391">
        <v>9362.7000000000007</v>
      </c>
      <c r="K1391" s="1">
        <v>43783</v>
      </c>
      <c r="L1391">
        <v>23481.35</v>
      </c>
    </row>
    <row r="1392" spans="1:12" x14ac:dyDescent="0.35">
      <c r="A1392" s="1">
        <v>43802</v>
      </c>
      <c r="B1392">
        <v>3610.99</v>
      </c>
      <c r="C1392" s="1">
        <v>43797</v>
      </c>
      <c r="D1392">
        <v>5912.72</v>
      </c>
      <c r="E1392" s="1">
        <v>43783</v>
      </c>
      <c r="F1392">
        <v>13180.23</v>
      </c>
      <c r="G1392" s="1">
        <v>43768</v>
      </c>
      <c r="H1392">
        <v>8484.7662400000008</v>
      </c>
      <c r="I1392" s="1">
        <v>43795</v>
      </c>
      <c r="J1392">
        <v>9324.7999999999993</v>
      </c>
      <c r="K1392" s="1">
        <v>43782</v>
      </c>
      <c r="L1392">
        <v>23578.43</v>
      </c>
    </row>
    <row r="1393" spans="1:12" x14ac:dyDescent="0.35">
      <c r="A1393" s="1">
        <v>43801</v>
      </c>
      <c r="B1393">
        <v>3626.66</v>
      </c>
      <c r="C1393" s="1">
        <v>43796</v>
      </c>
      <c r="D1393">
        <v>5926.84</v>
      </c>
      <c r="E1393" s="1">
        <v>43782</v>
      </c>
      <c r="F1393">
        <v>13230.07</v>
      </c>
      <c r="G1393" s="1">
        <v>43767</v>
      </c>
      <c r="H1393">
        <v>8456.6605</v>
      </c>
      <c r="I1393" s="1">
        <v>43794</v>
      </c>
      <c r="J1393">
        <v>9319.9</v>
      </c>
      <c r="K1393" s="1">
        <v>43781</v>
      </c>
      <c r="L1393">
        <v>23782.15</v>
      </c>
    </row>
    <row r="1394" spans="1:12" x14ac:dyDescent="0.35">
      <c r="A1394" s="1">
        <v>43798</v>
      </c>
      <c r="B1394">
        <v>3703.58</v>
      </c>
      <c r="C1394" s="1">
        <v>43795</v>
      </c>
      <c r="D1394">
        <v>5929.62</v>
      </c>
      <c r="E1394" s="1">
        <v>43781</v>
      </c>
      <c r="F1394">
        <v>13283.51</v>
      </c>
      <c r="G1394" s="1">
        <v>43766</v>
      </c>
      <c r="H1394">
        <v>8494.8284899999999</v>
      </c>
      <c r="I1394" s="1">
        <v>43791</v>
      </c>
      <c r="J1394">
        <v>9254.7000000000007</v>
      </c>
      <c r="K1394" s="1">
        <v>43780</v>
      </c>
      <c r="L1394">
        <v>23489.93</v>
      </c>
    </row>
    <row r="1395" spans="1:12" x14ac:dyDescent="0.35">
      <c r="A1395" s="1">
        <v>43797</v>
      </c>
      <c r="B1395">
        <v>3704.48</v>
      </c>
      <c r="C1395" s="1">
        <v>43794</v>
      </c>
      <c r="D1395">
        <v>5924.86</v>
      </c>
      <c r="E1395" s="1">
        <v>43780</v>
      </c>
      <c r="F1395">
        <v>13198.37</v>
      </c>
      <c r="G1395" s="1">
        <v>43763</v>
      </c>
      <c r="H1395">
        <v>8477.9715099999994</v>
      </c>
      <c r="I1395" s="1">
        <v>43790</v>
      </c>
      <c r="J1395">
        <v>9214</v>
      </c>
      <c r="K1395" s="1">
        <v>43777</v>
      </c>
      <c r="L1395">
        <v>23534.49</v>
      </c>
    </row>
    <row r="1396" spans="1:12" x14ac:dyDescent="0.35">
      <c r="A1396" s="1">
        <v>43796</v>
      </c>
      <c r="B1396">
        <v>3712.85</v>
      </c>
      <c r="C1396" s="1">
        <v>43791</v>
      </c>
      <c r="D1396">
        <v>5893.13</v>
      </c>
      <c r="E1396" s="1">
        <v>43777</v>
      </c>
      <c r="F1396">
        <v>13228.56</v>
      </c>
      <c r="G1396" s="1">
        <v>43762</v>
      </c>
      <c r="H1396">
        <v>8478.9178699999993</v>
      </c>
      <c r="I1396" s="1">
        <v>43789</v>
      </c>
      <c r="J1396">
        <v>9225.4</v>
      </c>
      <c r="K1396" s="1">
        <v>43776</v>
      </c>
      <c r="L1396">
        <v>23503.03</v>
      </c>
    </row>
    <row r="1397" spans="1:12" x14ac:dyDescent="0.35">
      <c r="A1397" s="1">
        <v>43795</v>
      </c>
      <c r="B1397">
        <v>3705.55</v>
      </c>
      <c r="C1397" s="1">
        <v>43790</v>
      </c>
      <c r="D1397">
        <v>5881.21</v>
      </c>
      <c r="E1397" s="1">
        <v>43776</v>
      </c>
      <c r="F1397">
        <v>13289.46</v>
      </c>
      <c r="G1397" s="1">
        <v>43761</v>
      </c>
      <c r="H1397">
        <v>8405.9012199999997</v>
      </c>
      <c r="I1397" s="1">
        <v>43788</v>
      </c>
      <c r="J1397">
        <v>9259.2000000000007</v>
      </c>
      <c r="K1397" s="1">
        <v>43775</v>
      </c>
      <c r="L1397">
        <v>23373.22</v>
      </c>
    </row>
    <row r="1398" spans="1:12" x14ac:dyDescent="0.35">
      <c r="A1398" s="1">
        <v>43794</v>
      </c>
      <c r="B1398">
        <v>3707.68</v>
      </c>
      <c r="C1398" s="1">
        <v>43789</v>
      </c>
      <c r="D1398">
        <v>5894.03</v>
      </c>
      <c r="E1398" s="1">
        <v>43775</v>
      </c>
      <c r="F1398">
        <v>13179.89</v>
      </c>
      <c r="G1398" s="1">
        <v>43760</v>
      </c>
      <c r="H1398">
        <v>8383.6052</v>
      </c>
      <c r="I1398" s="1">
        <v>43787</v>
      </c>
      <c r="J1398">
        <v>9258</v>
      </c>
      <c r="K1398" s="1">
        <v>43774</v>
      </c>
      <c r="L1398">
        <v>23364.82</v>
      </c>
    </row>
    <row r="1399" spans="1:12" x14ac:dyDescent="0.35">
      <c r="A1399" s="1">
        <v>43791</v>
      </c>
      <c r="B1399">
        <v>3687.32</v>
      </c>
      <c r="C1399" s="1">
        <v>43788</v>
      </c>
      <c r="D1399">
        <v>5909.05</v>
      </c>
      <c r="E1399" s="1">
        <v>43774</v>
      </c>
      <c r="F1399">
        <v>13148.5</v>
      </c>
      <c r="G1399" s="1">
        <v>43759</v>
      </c>
      <c r="H1399">
        <v>8335.3113900000008</v>
      </c>
      <c r="I1399" s="1">
        <v>43784</v>
      </c>
      <c r="J1399">
        <v>9261.4</v>
      </c>
      <c r="K1399" s="1">
        <v>43773</v>
      </c>
      <c r="L1399">
        <v>23311.43</v>
      </c>
    </row>
    <row r="1400" spans="1:12" x14ac:dyDescent="0.35">
      <c r="A1400" s="1">
        <v>43790</v>
      </c>
      <c r="B1400">
        <v>3679.66</v>
      </c>
      <c r="C1400" s="1">
        <v>43787</v>
      </c>
      <c r="D1400">
        <v>5929.79</v>
      </c>
      <c r="E1400" s="1">
        <v>43773</v>
      </c>
      <c r="F1400">
        <v>13136.28</v>
      </c>
      <c r="G1400" s="1">
        <v>43756</v>
      </c>
      <c r="H1400">
        <v>8286.1507500000007</v>
      </c>
      <c r="I1400" s="1">
        <v>43783</v>
      </c>
      <c r="J1400">
        <v>9173.2999999999993</v>
      </c>
      <c r="K1400" s="1">
        <v>43770</v>
      </c>
      <c r="L1400">
        <v>22934.32</v>
      </c>
    </row>
    <row r="1401" spans="1:12" x14ac:dyDescent="0.35">
      <c r="A1401" s="1">
        <v>43789</v>
      </c>
      <c r="B1401">
        <v>3683.88</v>
      </c>
      <c r="C1401" s="1">
        <v>43784</v>
      </c>
      <c r="D1401">
        <v>5939.27</v>
      </c>
      <c r="E1401" s="1">
        <v>43770</v>
      </c>
      <c r="F1401">
        <v>12961.05</v>
      </c>
      <c r="G1401" s="1">
        <v>43755</v>
      </c>
      <c r="H1401">
        <v>8294.5919200000008</v>
      </c>
      <c r="I1401" s="1">
        <v>43782</v>
      </c>
      <c r="J1401">
        <v>9194.5</v>
      </c>
      <c r="K1401" s="1">
        <v>43769</v>
      </c>
      <c r="L1401">
        <v>22693.77</v>
      </c>
    </row>
    <row r="1402" spans="1:12" x14ac:dyDescent="0.35">
      <c r="A1402" s="1">
        <v>43788</v>
      </c>
      <c r="B1402">
        <v>3696.56</v>
      </c>
      <c r="C1402" s="1">
        <v>43783</v>
      </c>
      <c r="D1402">
        <v>5901.08</v>
      </c>
      <c r="E1402" s="1">
        <v>43769</v>
      </c>
      <c r="F1402">
        <v>12866.79</v>
      </c>
      <c r="G1402" s="1">
        <v>43754</v>
      </c>
      <c r="H1402">
        <v>8310.3197999999993</v>
      </c>
      <c r="I1402" s="1">
        <v>43781</v>
      </c>
      <c r="J1402">
        <v>9306.7000000000007</v>
      </c>
      <c r="K1402" s="1">
        <v>43768</v>
      </c>
      <c r="L1402">
        <v>22646.080000000002</v>
      </c>
    </row>
    <row r="1403" spans="1:12" x14ac:dyDescent="0.35">
      <c r="A1403" s="1">
        <v>43787</v>
      </c>
      <c r="B1403">
        <v>3704.92</v>
      </c>
      <c r="C1403" s="1">
        <v>43782</v>
      </c>
      <c r="D1403">
        <v>5907.09</v>
      </c>
      <c r="E1403" s="1">
        <v>43768</v>
      </c>
      <c r="F1403">
        <v>12910.23</v>
      </c>
      <c r="G1403" s="1">
        <v>43753</v>
      </c>
      <c r="H1403">
        <v>8345.4304499999998</v>
      </c>
      <c r="I1403" s="1">
        <v>43780</v>
      </c>
      <c r="J1403">
        <v>9388.5</v>
      </c>
      <c r="K1403" s="1">
        <v>43767</v>
      </c>
      <c r="L1403">
        <v>22680.74</v>
      </c>
    </row>
    <row r="1404" spans="1:12" x14ac:dyDescent="0.35">
      <c r="A1404" s="1">
        <v>43784</v>
      </c>
      <c r="B1404">
        <v>3711.61</v>
      </c>
      <c r="C1404" s="1">
        <v>43781</v>
      </c>
      <c r="D1404">
        <v>5919.75</v>
      </c>
      <c r="E1404" s="1">
        <v>43767</v>
      </c>
      <c r="F1404">
        <v>12939.62</v>
      </c>
      <c r="G1404" s="1">
        <v>43752</v>
      </c>
      <c r="H1404">
        <v>8220.58626</v>
      </c>
      <c r="I1404" s="1">
        <v>43777</v>
      </c>
      <c r="J1404">
        <v>9393.7000000000007</v>
      </c>
      <c r="K1404" s="1">
        <v>43766</v>
      </c>
      <c r="L1404">
        <v>22695.64</v>
      </c>
    </row>
    <row r="1405" spans="1:12" x14ac:dyDescent="0.35">
      <c r="A1405" s="1">
        <v>43783</v>
      </c>
      <c r="B1405">
        <v>3688.81</v>
      </c>
      <c r="C1405" s="1">
        <v>43780</v>
      </c>
      <c r="D1405">
        <v>5893.82</v>
      </c>
      <c r="E1405" s="1">
        <v>43766</v>
      </c>
      <c r="F1405">
        <v>12941.71</v>
      </c>
      <c r="G1405" s="1">
        <v>43749</v>
      </c>
      <c r="H1405">
        <v>8306.8285500000002</v>
      </c>
      <c r="I1405" s="1">
        <v>43776</v>
      </c>
      <c r="J1405">
        <v>9447.2999999999993</v>
      </c>
      <c r="K1405" s="1">
        <v>43763</v>
      </c>
      <c r="L1405">
        <v>22608.99</v>
      </c>
    </row>
    <row r="1406" spans="1:12" x14ac:dyDescent="0.35">
      <c r="A1406" s="1">
        <v>43782</v>
      </c>
      <c r="B1406">
        <v>3699.5</v>
      </c>
      <c r="C1406" s="1">
        <v>43777</v>
      </c>
      <c r="D1406">
        <v>5889.7</v>
      </c>
      <c r="E1406" s="1">
        <v>43763</v>
      </c>
      <c r="F1406">
        <v>12894.51</v>
      </c>
      <c r="G1406" s="1">
        <v>43748</v>
      </c>
      <c r="H1406">
        <v>8085.87806</v>
      </c>
      <c r="I1406" s="1">
        <v>43775</v>
      </c>
      <c r="J1406">
        <v>9398.4</v>
      </c>
      <c r="K1406" s="1">
        <v>43762</v>
      </c>
      <c r="L1406">
        <v>22527.42</v>
      </c>
    </row>
    <row r="1407" spans="1:12" x14ac:dyDescent="0.35">
      <c r="A1407" s="1">
        <v>43781</v>
      </c>
      <c r="B1407">
        <v>3712.2</v>
      </c>
      <c r="C1407" s="1">
        <v>43776</v>
      </c>
      <c r="D1407">
        <v>5890.99</v>
      </c>
      <c r="E1407" s="1">
        <v>43762</v>
      </c>
      <c r="F1407">
        <v>12872.1</v>
      </c>
      <c r="G1407" s="1">
        <v>43747</v>
      </c>
      <c r="H1407">
        <v>7969.8167800000001</v>
      </c>
      <c r="I1407" s="1">
        <v>43774</v>
      </c>
      <c r="J1407">
        <v>9407.9</v>
      </c>
      <c r="K1407" s="1">
        <v>43761</v>
      </c>
      <c r="L1407">
        <v>22351.07</v>
      </c>
    </row>
    <row r="1408" spans="1:12" x14ac:dyDescent="0.35">
      <c r="A1408" s="1">
        <v>43780</v>
      </c>
      <c r="B1408">
        <v>3696.82</v>
      </c>
      <c r="C1408" s="1">
        <v>43775</v>
      </c>
      <c r="D1408">
        <v>5866.74</v>
      </c>
      <c r="E1408" s="1">
        <v>43761</v>
      </c>
      <c r="F1408">
        <v>12798.19</v>
      </c>
      <c r="G1408" s="1">
        <v>43746</v>
      </c>
      <c r="H1408">
        <v>7966.1806999999999</v>
      </c>
      <c r="I1408" s="1">
        <v>43773</v>
      </c>
      <c r="J1408">
        <v>9416.4</v>
      </c>
      <c r="K1408" s="1">
        <v>43760</v>
      </c>
      <c r="L1408">
        <v>22487.08</v>
      </c>
    </row>
    <row r="1409" spans="1:12" x14ac:dyDescent="0.35">
      <c r="A1409" s="1">
        <v>43777</v>
      </c>
      <c r="B1409">
        <v>3699.65</v>
      </c>
      <c r="C1409" s="1">
        <v>43774</v>
      </c>
      <c r="D1409">
        <v>5846.89</v>
      </c>
      <c r="E1409" s="1">
        <v>43760</v>
      </c>
      <c r="F1409">
        <v>12754.69</v>
      </c>
      <c r="G1409" s="1">
        <v>43745</v>
      </c>
      <c r="H1409">
        <v>8071.4822999999997</v>
      </c>
      <c r="I1409" s="1">
        <v>43770</v>
      </c>
      <c r="J1409">
        <v>9328</v>
      </c>
      <c r="K1409" s="1">
        <v>43759</v>
      </c>
      <c r="L1409">
        <v>22478.19</v>
      </c>
    </row>
    <row r="1410" spans="1:12" x14ac:dyDescent="0.35">
      <c r="A1410" s="1">
        <v>43776</v>
      </c>
      <c r="B1410">
        <v>3706.68</v>
      </c>
      <c r="C1410" s="1">
        <v>43773</v>
      </c>
      <c r="D1410">
        <v>5824.3</v>
      </c>
      <c r="E1410" s="1">
        <v>43759</v>
      </c>
      <c r="F1410">
        <v>12747.96</v>
      </c>
      <c r="G1410" s="1">
        <v>43742</v>
      </c>
      <c r="H1410">
        <v>8031.5622700000004</v>
      </c>
      <c r="I1410" s="1">
        <v>43769</v>
      </c>
      <c r="J1410">
        <v>9257.5</v>
      </c>
      <c r="K1410" s="1">
        <v>43756</v>
      </c>
      <c r="L1410">
        <v>22321.77</v>
      </c>
    </row>
    <row r="1411" spans="1:12" x14ac:dyDescent="0.35">
      <c r="A1411" s="1">
        <v>43775</v>
      </c>
      <c r="B1411">
        <v>3688.74</v>
      </c>
      <c r="C1411" s="1">
        <v>43770</v>
      </c>
      <c r="D1411">
        <v>5761.89</v>
      </c>
      <c r="E1411" s="1">
        <v>43756</v>
      </c>
      <c r="F1411">
        <v>12633.6</v>
      </c>
      <c r="G1411" s="1">
        <v>43741</v>
      </c>
      <c r="H1411">
        <v>7973.3806500000001</v>
      </c>
      <c r="I1411" s="1">
        <v>43768</v>
      </c>
      <c r="J1411">
        <v>9284.5</v>
      </c>
      <c r="K1411" s="1">
        <v>43755</v>
      </c>
      <c r="L1411">
        <v>22375.67</v>
      </c>
    </row>
    <row r="1412" spans="1:12" x14ac:dyDescent="0.35">
      <c r="A1412" s="1">
        <v>43774</v>
      </c>
      <c r="B1412">
        <v>3676.52</v>
      </c>
      <c r="C1412" s="1">
        <v>43769</v>
      </c>
      <c r="D1412">
        <v>5729.86</v>
      </c>
      <c r="E1412" s="1">
        <v>43755</v>
      </c>
      <c r="F1412">
        <v>12654.95</v>
      </c>
      <c r="G1412" s="1">
        <v>43740</v>
      </c>
      <c r="H1412">
        <v>8000.6702699999996</v>
      </c>
      <c r="I1412" s="1">
        <v>43767</v>
      </c>
      <c r="J1412">
        <v>9400.1</v>
      </c>
      <c r="K1412" s="1">
        <v>43754</v>
      </c>
      <c r="L1412">
        <v>22428.09</v>
      </c>
    </row>
    <row r="1413" spans="1:12" x14ac:dyDescent="0.35">
      <c r="A1413" s="1">
        <v>43773</v>
      </c>
      <c r="B1413">
        <v>3665.21</v>
      </c>
      <c r="C1413" s="1">
        <v>43768</v>
      </c>
      <c r="D1413">
        <v>5765.87</v>
      </c>
      <c r="E1413" s="1">
        <v>43754</v>
      </c>
      <c r="F1413">
        <v>12670.11</v>
      </c>
      <c r="G1413" s="1">
        <v>43739</v>
      </c>
      <c r="H1413">
        <v>8288.9396400000005</v>
      </c>
      <c r="I1413" s="1">
        <v>43766</v>
      </c>
      <c r="J1413">
        <v>9433</v>
      </c>
      <c r="K1413" s="1">
        <v>43753</v>
      </c>
      <c r="L1413">
        <v>22365.34</v>
      </c>
    </row>
    <row r="1414" spans="1:12" x14ac:dyDescent="0.35">
      <c r="A1414" s="1">
        <v>43770</v>
      </c>
      <c r="B1414">
        <v>3623.74</v>
      </c>
      <c r="C1414" s="1">
        <v>43767</v>
      </c>
      <c r="D1414">
        <v>5740.14</v>
      </c>
      <c r="E1414" s="1">
        <v>43753</v>
      </c>
      <c r="F1414">
        <v>12629.79</v>
      </c>
      <c r="G1414" s="1">
        <v>43738</v>
      </c>
      <c r="H1414">
        <v>8350.6283500000009</v>
      </c>
      <c r="I1414" s="1">
        <v>43763</v>
      </c>
      <c r="J1414">
        <v>9430.2000000000007</v>
      </c>
      <c r="K1414" s="1">
        <v>43752</v>
      </c>
      <c r="L1414">
        <v>22097.94</v>
      </c>
    </row>
    <row r="1415" spans="1:12" x14ac:dyDescent="0.35">
      <c r="A1415" s="1">
        <v>43769</v>
      </c>
      <c r="B1415">
        <v>3604.41</v>
      </c>
      <c r="C1415" s="1">
        <v>43766</v>
      </c>
      <c r="D1415">
        <v>5730.57</v>
      </c>
      <c r="E1415" s="1">
        <v>43752</v>
      </c>
      <c r="F1415">
        <v>12486.56</v>
      </c>
      <c r="G1415" s="1">
        <v>43735</v>
      </c>
      <c r="H1415">
        <v>8353.8076899999996</v>
      </c>
      <c r="I1415" s="1">
        <v>43762</v>
      </c>
      <c r="J1415">
        <v>9391.7999999999993</v>
      </c>
      <c r="K1415" s="1">
        <v>43749</v>
      </c>
      <c r="L1415">
        <v>22165.34</v>
      </c>
    </row>
    <row r="1416" spans="1:12" x14ac:dyDescent="0.35">
      <c r="A1416" s="1">
        <v>43768</v>
      </c>
      <c r="B1416">
        <v>3620.29</v>
      </c>
      <c r="C1416" s="1">
        <v>43763</v>
      </c>
      <c r="D1416">
        <v>5722.15</v>
      </c>
      <c r="E1416" s="1">
        <v>43749</v>
      </c>
      <c r="F1416">
        <v>12511.65</v>
      </c>
      <c r="G1416" s="1">
        <v>43734</v>
      </c>
      <c r="H1416">
        <v>8299.7366700000002</v>
      </c>
      <c r="I1416" s="1">
        <v>43761</v>
      </c>
      <c r="J1416">
        <v>9385</v>
      </c>
      <c r="K1416" s="1">
        <v>43748</v>
      </c>
      <c r="L1416">
        <v>21756.39</v>
      </c>
    </row>
    <row r="1417" spans="1:12" x14ac:dyDescent="0.35">
      <c r="A1417" s="1">
        <v>43767</v>
      </c>
      <c r="B1417">
        <v>3622.09</v>
      </c>
      <c r="C1417" s="1">
        <v>43762</v>
      </c>
      <c r="D1417">
        <v>5684.33</v>
      </c>
      <c r="E1417" s="1">
        <v>43748</v>
      </c>
      <c r="F1417">
        <v>12164.2</v>
      </c>
      <c r="G1417" s="1">
        <v>43733</v>
      </c>
      <c r="H1417">
        <v>8230.6338699999997</v>
      </c>
      <c r="I1417" s="1">
        <v>43760</v>
      </c>
      <c r="J1417">
        <v>9380.2000000000007</v>
      </c>
      <c r="K1417" s="1">
        <v>43747</v>
      </c>
      <c r="L1417">
        <v>21533.64</v>
      </c>
    </row>
    <row r="1418" spans="1:12" x14ac:dyDescent="0.35">
      <c r="A1418" s="1">
        <v>43766</v>
      </c>
      <c r="B1418">
        <v>3625.69</v>
      </c>
      <c r="C1418" s="1">
        <v>43761</v>
      </c>
      <c r="D1418">
        <v>5653.44</v>
      </c>
      <c r="E1418" s="1">
        <v>43747</v>
      </c>
      <c r="F1418">
        <v>12094.26</v>
      </c>
      <c r="G1418" s="1">
        <v>43732</v>
      </c>
      <c r="H1418">
        <v>8267.2396800000006</v>
      </c>
      <c r="I1418" s="1">
        <v>43759</v>
      </c>
      <c r="J1418">
        <v>9402.2999999999993</v>
      </c>
      <c r="K1418" s="1">
        <v>43746</v>
      </c>
      <c r="L1418">
        <v>21405.73</v>
      </c>
    </row>
    <row r="1419" spans="1:12" x14ac:dyDescent="0.35">
      <c r="A1419" s="1">
        <v>43763</v>
      </c>
      <c r="B1419">
        <v>3624.68</v>
      </c>
      <c r="C1419" s="1">
        <v>43760</v>
      </c>
      <c r="D1419">
        <v>5657.69</v>
      </c>
      <c r="E1419" s="1">
        <v>43746</v>
      </c>
      <c r="F1419">
        <v>11970.2</v>
      </c>
      <c r="G1419" s="1">
        <v>43731</v>
      </c>
      <c r="H1419">
        <v>8289.5992100000003</v>
      </c>
      <c r="I1419" s="1">
        <v>43756</v>
      </c>
      <c r="J1419">
        <v>9329.7999999999993</v>
      </c>
      <c r="K1419" s="1">
        <v>43745</v>
      </c>
      <c r="L1419">
        <v>21652.15</v>
      </c>
    </row>
    <row r="1420" spans="1:12" x14ac:dyDescent="0.35">
      <c r="A1420" s="1">
        <v>43762</v>
      </c>
      <c r="B1420">
        <v>3621.37</v>
      </c>
      <c r="C1420" s="1">
        <v>43759</v>
      </c>
      <c r="D1420">
        <v>5648.35</v>
      </c>
      <c r="E1420" s="1">
        <v>43745</v>
      </c>
      <c r="F1420">
        <v>12097.43</v>
      </c>
      <c r="G1420" s="1">
        <v>43728</v>
      </c>
      <c r="H1420">
        <v>8331.1825399999998</v>
      </c>
      <c r="I1420" s="1">
        <v>43755</v>
      </c>
      <c r="J1420">
        <v>9340</v>
      </c>
      <c r="K1420" s="1">
        <v>43742</v>
      </c>
      <c r="L1420">
        <v>21470.44</v>
      </c>
    </row>
    <row r="1421" spans="1:12" x14ac:dyDescent="0.35">
      <c r="A1421" s="1">
        <v>43761</v>
      </c>
      <c r="B1421">
        <v>3606.89</v>
      </c>
      <c r="C1421" s="1">
        <v>43756</v>
      </c>
      <c r="D1421">
        <v>5636.25</v>
      </c>
      <c r="E1421" s="1">
        <v>43742</v>
      </c>
      <c r="F1421">
        <v>12012.81</v>
      </c>
      <c r="G1421" s="1">
        <v>43727</v>
      </c>
      <c r="H1421">
        <v>8319.5149099999999</v>
      </c>
      <c r="I1421" s="1">
        <v>43754</v>
      </c>
      <c r="J1421">
        <v>9386.7000000000007</v>
      </c>
      <c r="K1421" s="1">
        <v>43741</v>
      </c>
      <c r="L1421">
        <v>21311.51</v>
      </c>
    </row>
    <row r="1422" spans="1:12" x14ac:dyDescent="0.35">
      <c r="A1422" s="1">
        <v>43760</v>
      </c>
      <c r="B1422">
        <v>3604.82</v>
      </c>
      <c r="C1422" s="1">
        <v>43755</v>
      </c>
      <c r="D1422">
        <v>5673.07</v>
      </c>
      <c r="E1422" s="1">
        <v>43740</v>
      </c>
      <c r="F1422">
        <v>11925.25</v>
      </c>
      <c r="G1422" s="1">
        <v>43726</v>
      </c>
      <c r="H1422">
        <v>8250.2060899999997</v>
      </c>
      <c r="I1422" s="1">
        <v>43753</v>
      </c>
      <c r="J1422">
        <v>9356.1</v>
      </c>
      <c r="K1422" s="1">
        <v>43740</v>
      </c>
      <c r="L1422">
        <v>21298.240000000002</v>
      </c>
    </row>
    <row r="1423" spans="1:12" x14ac:dyDescent="0.35">
      <c r="A1423" s="1">
        <v>43759</v>
      </c>
      <c r="B1423">
        <v>3600.08</v>
      </c>
      <c r="C1423" s="1">
        <v>43754</v>
      </c>
      <c r="D1423">
        <v>5696.9</v>
      </c>
      <c r="E1423" s="1">
        <v>43739</v>
      </c>
      <c r="F1423">
        <v>12263.83</v>
      </c>
      <c r="G1423" s="1">
        <v>43725</v>
      </c>
      <c r="H1423">
        <v>8268.0181799999991</v>
      </c>
      <c r="I1423" s="1">
        <v>43752</v>
      </c>
      <c r="J1423">
        <v>9246.5</v>
      </c>
      <c r="K1423" s="1">
        <v>43739</v>
      </c>
      <c r="L1423">
        <v>21927.57</v>
      </c>
    </row>
    <row r="1424" spans="1:12" x14ac:dyDescent="0.35">
      <c r="A1424" s="1">
        <v>43756</v>
      </c>
      <c r="B1424">
        <v>3579.41</v>
      </c>
      <c r="C1424" s="1">
        <v>43753</v>
      </c>
      <c r="D1424">
        <v>5702.05</v>
      </c>
      <c r="E1424" s="1">
        <v>43738</v>
      </c>
      <c r="F1424">
        <v>12428.08</v>
      </c>
      <c r="G1424" s="1">
        <v>43724</v>
      </c>
      <c r="H1424">
        <v>8268.2759800000003</v>
      </c>
      <c r="I1424" s="1">
        <v>43749</v>
      </c>
      <c r="J1424">
        <v>9273.7999999999993</v>
      </c>
      <c r="K1424" s="1">
        <v>43738</v>
      </c>
      <c r="L1424">
        <v>22107.7</v>
      </c>
    </row>
    <row r="1425" spans="1:12" x14ac:dyDescent="0.35">
      <c r="A1425" s="1">
        <v>43755</v>
      </c>
      <c r="B1425">
        <v>3588.62</v>
      </c>
      <c r="C1425" s="1">
        <v>43752</v>
      </c>
      <c r="D1425">
        <v>5643.08</v>
      </c>
      <c r="E1425" s="1">
        <v>43735</v>
      </c>
      <c r="F1425">
        <v>12380.94</v>
      </c>
      <c r="G1425" s="1">
        <v>43721</v>
      </c>
      <c r="H1425">
        <v>8292.7161300000007</v>
      </c>
      <c r="I1425" s="1">
        <v>43748</v>
      </c>
      <c r="J1425">
        <v>9104.4</v>
      </c>
      <c r="K1425" s="1">
        <v>43735</v>
      </c>
      <c r="L1425">
        <v>22017.4</v>
      </c>
    </row>
    <row r="1426" spans="1:12" x14ac:dyDescent="0.35">
      <c r="A1426" s="1">
        <v>43754</v>
      </c>
      <c r="B1426">
        <v>3599.25</v>
      </c>
      <c r="C1426" s="1">
        <v>43749</v>
      </c>
      <c r="D1426">
        <v>5665.48</v>
      </c>
      <c r="E1426" s="1">
        <v>43734</v>
      </c>
      <c r="F1426">
        <v>12288.54</v>
      </c>
      <c r="G1426" s="1">
        <v>43720</v>
      </c>
      <c r="H1426">
        <v>8194.7352599999995</v>
      </c>
      <c r="I1426" s="1">
        <v>43747</v>
      </c>
      <c r="J1426">
        <v>8991.9</v>
      </c>
      <c r="K1426" s="1">
        <v>43734</v>
      </c>
      <c r="L1426">
        <v>21947.67</v>
      </c>
    </row>
    <row r="1427" spans="1:12" x14ac:dyDescent="0.35">
      <c r="A1427" s="1">
        <v>43753</v>
      </c>
      <c r="B1427">
        <v>3598.65</v>
      </c>
      <c r="C1427" s="1">
        <v>43748</v>
      </c>
      <c r="D1427">
        <v>5569.05</v>
      </c>
      <c r="E1427" s="1">
        <v>43733</v>
      </c>
      <c r="F1427">
        <v>12234.18</v>
      </c>
      <c r="G1427" s="1">
        <v>43719</v>
      </c>
      <c r="H1427">
        <v>8212.0335699999996</v>
      </c>
      <c r="I1427" s="1">
        <v>43746</v>
      </c>
      <c r="J1427">
        <v>8940.1</v>
      </c>
      <c r="K1427" s="1">
        <v>43733</v>
      </c>
      <c r="L1427">
        <v>21788.22</v>
      </c>
    </row>
    <row r="1428" spans="1:12" x14ac:dyDescent="0.35">
      <c r="A1428" s="1">
        <v>43752</v>
      </c>
      <c r="B1428">
        <v>3556.26</v>
      </c>
      <c r="C1428" s="1">
        <v>43747</v>
      </c>
      <c r="D1428">
        <v>5499.14</v>
      </c>
      <c r="E1428" s="1">
        <v>43732</v>
      </c>
      <c r="F1428">
        <v>12307.15</v>
      </c>
      <c r="G1428" s="1">
        <v>43718</v>
      </c>
      <c r="H1428">
        <v>8126.9912800000002</v>
      </c>
      <c r="I1428" s="1">
        <v>43745</v>
      </c>
      <c r="J1428">
        <v>9044.1</v>
      </c>
      <c r="K1428" s="1">
        <v>43732</v>
      </c>
      <c r="L1428">
        <v>21901.01</v>
      </c>
    </row>
    <row r="1429" spans="1:12" x14ac:dyDescent="0.35">
      <c r="A1429" s="1">
        <v>43749</v>
      </c>
      <c r="B1429">
        <v>3569.92</v>
      </c>
      <c r="C1429" s="1">
        <v>43746</v>
      </c>
      <c r="D1429">
        <v>5456.62</v>
      </c>
      <c r="E1429" s="1">
        <v>43731</v>
      </c>
      <c r="F1429">
        <v>12342.33</v>
      </c>
      <c r="G1429" s="1">
        <v>43717</v>
      </c>
      <c r="H1429">
        <v>8078.4612900000002</v>
      </c>
      <c r="I1429" s="1">
        <v>43742</v>
      </c>
      <c r="J1429">
        <v>8961.7999999999993</v>
      </c>
      <c r="K1429" s="1">
        <v>43731</v>
      </c>
      <c r="L1429">
        <v>21899.88</v>
      </c>
    </row>
    <row r="1430" spans="1:12" x14ac:dyDescent="0.35">
      <c r="A1430" s="1">
        <v>43748</v>
      </c>
      <c r="B1430">
        <v>3493.96</v>
      </c>
      <c r="C1430" s="1">
        <v>43745</v>
      </c>
      <c r="D1430">
        <v>5521.61</v>
      </c>
      <c r="E1430" s="1">
        <v>43728</v>
      </c>
      <c r="F1430">
        <v>12468.01</v>
      </c>
      <c r="G1430" s="1">
        <v>43714</v>
      </c>
      <c r="H1430">
        <v>8109.8936299999996</v>
      </c>
      <c r="I1430" s="1">
        <v>43741</v>
      </c>
      <c r="J1430">
        <v>8902.2000000000007</v>
      </c>
      <c r="K1430" s="1">
        <v>43728</v>
      </c>
      <c r="L1430">
        <v>22123.25</v>
      </c>
    </row>
    <row r="1431" spans="1:12" x14ac:dyDescent="0.35">
      <c r="A1431" s="1">
        <v>43747</v>
      </c>
      <c r="B1431">
        <v>3462.11</v>
      </c>
      <c r="C1431" s="1">
        <v>43742</v>
      </c>
      <c r="D1431">
        <v>5488.32</v>
      </c>
      <c r="E1431" s="1">
        <v>43727</v>
      </c>
      <c r="F1431">
        <v>12457.7</v>
      </c>
      <c r="G1431" s="1">
        <v>43713</v>
      </c>
      <c r="H1431">
        <v>8110.8350399999999</v>
      </c>
      <c r="I1431" s="1">
        <v>43740</v>
      </c>
      <c r="J1431">
        <v>8912.2000000000007</v>
      </c>
      <c r="K1431" s="1">
        <v>43727</v>
      </c>
      <c r="L1431">
        <v>22128.240000000002</v>
      </c>
    </row>
    <row r="1432" spans="1:12" x14ac:dyDescent="0.35">
      <c r="A1432" s="1">
        <v>43746</v>
      </c>
      <c r="B1432">
        <v>3432.76</v>
      </c>
      <c r="C1432" s="1">
        <v>43741</v>
      </c>
      <c r="D1432">
        <v>5438.77</v>
      </c>
      <c r="E1432" s="1">
        <v>43726</v>
      </c>
      <c r="F1432">
        <v>12389.62</v>
      </c>
      <c r="G1432" s="1">
        <v>43712</v>
      </c>
      <c r="H1432">
        <v>8095.0355600000003</v>
      </c>
      <c r="I1432" s="1">
        <v>43739</v>
      </c>
      <c r="J1432">
        <v>9165.9</v>
      </c>
      <c r="K1432" s="1">
        <v>43726</v>
      </c>
      <c r="L1432">
        <v>21947.7</v>
      </c>
    </row>
    <row r="1433" spans="1:12" x14ac:dyDescent="0.35">
      <c r="A1433" s="1">
        <v>43745</v>
      </c>
      <c r="B1433">
        <v>3471.24</v>
      </c>
      <c r="C1433" s="1">
        <v>43740</v>
      </c>
      <c r="D1433">
        <v>5422.77</v>
      </c>
      <c r="E1433" s="1">
        <v>43725</v>
      </c>
      <c r="F1433">
        <v>12372.61</v>
      </c>
      <c r="G1433" s="1">
        <v>43711</v>
      </c>
      <c r="H1433">
        <v>8011.5727900000002</v>
      </c>
      <c r="I1433" s="1">
        <v>43738</v>
      </c>
      <c r="J1433">
        <v>9244.6</v>
      </c>
      <c r="K1433" s="1">
        <v>43725</v>
      </c>
      <c r="L1433">
        <v>21801.93</v>
      </c>
    </row>
    <row r="1434" spans="1:12" x14ac:dyDescent="0.35">
      <c r="A1434" s="1">
        <v>43742</v>
      </c>
      <c r="B1434">
        <v>3446.71</v>
      </c>
      <c r="C1434" s="1">
        <v>43739</v>
      </c>
      <c r="D1434">
        <v>5597.63</v>
      </c>
      <c r="E1434" s="1">
        <v>43724</v>
      </c>
      <c r="F1434">
        <v>12380.31</v>
      </c>
      <c r="G1434" s="1">
        <v>43710</v>
      </c>
      <c r="H1434">
        <v>8013.8499499999998</v>
      </c>
      <c r="I1434" s="1">
        <v>43735</v>
      </c>
      <c r="J1434">
        <v>9184.1</v>
      </c>
      <c r="K1434" s="1">
        <v>43724</v>
      </c>
      <c r="L1434">
        <v>21969.24</v>
      </c>
    </row>
    <row r="1435" spans="1:12" x14ac:dyDescent="0.35">
      <c r="A1435" s="1">
        <v>43741</v>
      </c>
      <c r="B1435">
        <v>3417.37</v>
      </c>
      <c r="C1435" s="1">
        <v>43738</v>
      </c>
      <c r="D1435">
        <v>5677.79</v>
      </c>
      <c r="E1435" s="1">
        <v>43721</v>
      </c>
      <c r="F1435">
        <v>12468.53</v>
      </c>
      <c r="G1435" s="1">
        <v>43707</v>
      </c>
      <c r="H1435">
        <v>7979.8463700000002</v>
      </c>
      <c r="I1435" s="1">
        <v>43734</v>
      </c>
      <c r="J1435">
        <v>9129.7000000000007</v>
      </c>
      <c r="K1435" s="1">
        <v>43721</v>
      </c>
      <c r="L1435">
        <v>22181.41</v>
      </c>
    </row>
    <row r="1436" spans="1:12" x14ac:dyDescent="0.35">
      <c r="A1436" s="1">
        <v>43740</v>
      </c>
      <c r="B1436">
        <v>3413.31</v>
      </c>
      <c r="C1436" s="1">
        <v>43735</v>
      </c>
      <c r="D1436">
        <v>5640.58</v>
      </c>
      <c r="E1436" s="1">
        <v>43720</v>
      </c>
      <c r="F1436">
        <v>12410.25</v>
      </c>
      <c r="G1436" s="1">
        <v>43706</v>
      </c>
      <c r="H1436">
        <v>7928.5565299999998</v>
      </c>
      <c r="I1436" s="1">
        <v>43733</v>
      </c>
      <c r="J1436">
        <v>9085.2999999999993</v>
      </c>
      <c r="K1436" s="1">
        <v>43720</v>
      </c>
      <c r="L1436">
        <v>22083.17</v>
      </c>
    </row>
    <row r="1437" spans="1:12" x14ac:dyDescent="0.35">
      <c r="A1437" s="1">
        <v>43739</v>
      </c>
      <c r="B1437">
        <v>3518.25</v>
      </c>
      <c r="C1437" s="1">
        <v>43734</v>
      </c>
      <c r="D1437">
        <v>5620.57</v>
      </c>
      <c r="E1437" s="1">
        <v>43719</v>
      </c>
      <c r="F1437">
        <v>12359.07</v>
      </c>
      <c r="G1437" s="1">
        <v>43705</v>
      </c>
      <c r="H1437">
        <v>7857.0698499999999</v>
      </c>
      <c r="I1437" s="1">
        <v>43732</v>
      </c>
      <c r="J1437">
        <v>9118.2000000000007</v>
      </c>
      <c r="K1437" s="1">
        <v>43719</v>
      </c>
      <c r="L1437">
        <v>21891.57</v>
      </c>
    </row>
    <row r="1438" spans="1:12" x14ac:dyDescent="0.35">
      <c r="A1438" s="1">
        <v>43738</v>
      </c>
      <c r="B1438">
        <v>3569.45</v>
      </c>
      <c r="C1438" s="1">
        <v>43733</v>
      </c>
      <c r="D1438">
        <v>5583.8</v>
      </c>
      <c r="E1438" s="1">
        <v>43718</v>
      </c>
      <c r="F1438">
        <v>12268.71</v>
      </c>
      <c r="G1438" s="1">
        <v>43704</v>
      </c>
      <c r="H1438">
        <v>7856.2282800000003</v>
      </c>
      <c r="I1438" s="1">
        <v>43731</v>
      </c>
      <c r="J1438">
        <v>9093.6</v>
      </c>
      <c r="K1438" s="1">
        <v>43718</v>
      </c>
      <c r="L1438">
        <v>21869.01</v>
      </c>
    </row>
    <row r="1439" spans="1:12" x14ac:dyDescent="0.35">
      <c r="A1439" s="1">
        <v>43735</v>
      </c>
      <c r="B1439">
        <v>3545.88</v>
      </c>
      <c r="C1439" s="1">
        <v>43732</v>
      </c>
      <c r="D1439">
        <v>5628.33</v>
      </c>
      <c r="E1439" s="1">
        <v>43717</v>
      </c>
      <c r="F1439">
        <v>12226.1</v>
      </c>
      <c r="G1439" s="1">
        <v>43700</v>
      </c>
      <c r="H1439">
        <v>7814.0959400000002</v>
      </c>
      <c r="I1439" s="1">
        <v>43728</v>
      </c>
      <c r="J1439">
        <v>9179</v>
      </c>
      <c r="K1439" s="1">
        <v>43717</v>
      </c>
      <c r="L1439">
        <v>21989.73</v>
      </c>
    </row>
    <row r="1440" spans="1:12" x14ac:dyDescent="0.35">
      <c r="A1440" s="1">
        <v>43734</v>
      </c>
      <c r="B1440">
        <v>3532.18</v>
      </c>
      <c r="C1440" s="1">
        <v>43731</v>
      </c>
      <c r="D1440">
        <v>5630.76</v>
      </c>
      <c r="E1440" s="1">
        <v>43714</v>
      </c>
      <c r="F1440">
        <v>12191.73</v>
      </c>
      <c r="G1440" s="1">
        <v>43699</v>
      </c>
      <c r="H1440">
        <v>7882.0355300000001</v>
      </c>
      <c r="I1440" s="1">
        <v>43727</v>
      </c>
      <c r="J1440">
        <v>9136</v>
      </c>
      <c r="K1440" s="1">
        <v>43714</v>
      </c>
      <c r="L1440">
        <v>21947.33</v>
      </c>
    </row>
    <row r="1441" spans="1:12" x14ac:dyDescent="0.35">
      <c r="A1441" s="1">
        <v>43733</v>
      </c>
      <c r="B1441">
        <v>3513.03</v>
      </c>
      <c r="C1441" s="1">
        <v>43728</v>
      </c>
      <c r="D1441">
        <v>5690.78</v>
      </c>
      <c r="E1441" s="1">
        <v>43713</v>
      </c>
      <c r="F1441">
        <v>12126.78</v>
      </c>
      <c r="G1441" s="1">
        <v>43698</v>
      </c>
      <c r="H1441">
        <v>7879.4030199999997</v>
      </c>
      <c r="I1441" s="1">
        <v>43726</v>
      </c>
      <c r="J1441">
        <v>9031.7000000000007</v>
      </c>
      <c r="K1441" s="1">
        <v>43713</v>
      </c>
      <c r="L1441">
        <v>21955.07</v>
      </c>
    </row>
    <row r="1442" spans="1:12" x14ac:dyDescent="0.35">
      <c r="A1442" s="1">
        <v>43732</v>
      </c>
      <c r="B1442">
        <v>3532.05</v>
      </c>
      <c r="C1442" s="1">
        <v>43727</v>
      </c>
      <c r="D1442">
        <v>5659.08</v>
      </c>
      <c r="E1442" s="1">
        <v>43712</v>
      </c>
      <c r="F1442">
        <v>12025.04</v>
      </c>
      <c r="G1442" s="1">
        <v>43697</v>
      </c>
      <c r="H1442">
        <v>7813.17011</v>
      </c>
      <c r="I1442" s="1">
        <v>43725</v>
      </c>
      <c r="J1442">
        <v>9004.2000000000007</v>
      </c>
      <c r="K1442" s="1">
        <v>43712</v>
      </c>
      <c r="L1442">
        <v>21737.8</v>
      </c>
    </row>
    <row r="1443" spans="1:12" x14ac:dyDescent="0.35">
      <c r="A1443" s="1">
        <v>43731</v>
      </c>
      <c r="B1443">
        <v>3536.97</v>
      </c>
      <c r="C1443" s="1">
        <v>43726</v>
      </c>
      <c r="D1443">
        <v>5620.65</v>
      </c>
      <c r="E1443" s="1">
        <v>43711</v>
      </c>
      <c r="F1443">
        <v>11910.86</v>
      </c>
      <c r="G1443" s="1">
        <v>43696</v>
      </c>
      <c r="H1443">
        <v>7865.58338</v>
      </c>
      <c r="I1443" s="1">
        <v>43724</v>
      </c>
      <c r="J1443">
        <v>9052</v>
      </c>
      <c r="K1443" s="1">
        <v>43711</v>
      </c>
      <c r="L1443">
        <v>21399.23</v>
      </c>
    </row>
    <row r="1444" spans="1:12" x14ac:dyDescent="0.35">
      <c r="A1444" s="1">
        <v>43728</v>
      </c>
      <c r="B1444">
        <v>3571.39</v>
      </c>
      <c r="C1444" s="1">
        <v>43725</v>
      </c>
      <c r="D1444">
        <v>5615.51</v>
      </c>
      <c r="E1444" s="1">
        <v>43710</v>
      </c>
      <c r="F1444">
        <v>11953.78</v>
      </c>
      <c r="G1444" s="1">
        <v>43693</v>
      </c>
      <c r="H1444">
        <v>7799.15942</v>
      </c>
      <c r="I1444" s="1">
        <v>43721</v>
      </c>
      <c r="J1444">
        <v>9137.9</v>
      </c>
      <c r="K1444" s="1">
        <v>43710</v>
      </c>
      <c r="L1444">
        <v>21451.98</v>
      </c>
    </row>
    <row r="1445" spans="1:12" x14ac:dyDescent="0.35">
      <c r="A1445" s="1">
        <v>43727</v>
      </c>
      <c r="B1445">
        <v>3552.65</v>
      </c>
      <c r="C1445" s="1">
        <v>43724</v>
      </c>
      <c r="D1445">
        <v>5602.23</v>
      </c>
      <c r="E1445" s="1">
        <v>43707</v>
      </c>
      <c r="F1445">
        <v>11939.28</v>
      </c>
      <c r="G1445" s="1">
        <v>43692</v>
      </c>
      <c r="H1445">
        <v>7711.3175799999999</v>
      </c>
      <c r="I1445" s="1">
        <v>43720</v>
      </c>
      <c r="J1445">
        <v>9082.2999999999993</v>
      </c>
      <c r="K1445" s="1">
        <v>43707</v>
      </c>
      <c r="L1445">
        <v>21322.9</v>
      </c>
    </row>
    <row r="1446" spans="1:12" x14ac:dyDescent="0.35">
      <c r="A1446" s="1">
        <v>43726</v>
      </c>
      <c r="B1446">
        <v>3528.04</v>
      </c>
      <c r="C1446" s="1">
        <v>43721</v>
      </c>
      <c r="D1446">
        <v>5655.46</v>
      </c>
      <c r="E1446" s="1">
        <v>43706</v>
      </c>
      <c r="F1446">
        <v>11838.88</v>
      </c>
      <c r="G1446" s="1">
        <v>43691</v>
      </c>
      <c r="H1446">
        <v>7735.4121299999997</v>
      </c>
      <c r="I1446" s="1">
        <v>43719</v>
      </c>
      <c r="J1446">
        <v>9059.5</v>
      </c>
      <c r="K1446" s="1">
        <v>43706</v>
      </c>
      <c r="L1446">
        <v>21398.17</v>
      </c>
    </row>
    <row r="1447" spans="1:12" x14ac:dyDescent="0.35">
      <c r="A1447" s="1">
        <v>43725</v>
      </c>
      <c r="B1447">
        <v>3521.26</v>
      </c>
      <c r="C1447" s="1">
        <v>43720</v>
      </c>
      <c r="D1447">
        <v>5642.86</v>
      </c>
      <c r="E1447" s="1">
        <v>43705</v>
      </c>
      <c r="F1447">
        <v>11701.02</v>
      </c>
      <c r="G1447" s="1">
        <v>43690</v>
      </c>
      <c r="H1447">
        <v>7822.9298600000002</v>
      </c>
      <c r="I1447" s="1">
        <v>43718</v>
      </c>
      <c r="J1447">
        <v>9078.2000000000007</v>
      </c>
      <c r="K1447" s="1">
        <v>43705</v>
      </c>
      <c r="L1447">
        <v>20990.71</v>
      </c>
    </row>
    <row r="1448" spans="1:12" x14ac:dyDescent="0.35">
      <c r="A1448" s="1">
        <v>43724</v>
      </c>
      <c r="B1448">
        <v>3518.45</v>
      </c>
      <c r="C1448" s="1">
        <v>43719</v>
      </c>
      <c r="D1448">
        <v>5618.06</v>
      </c>
      <c r="E1448" s="1">
        <v>43704</v>
      </c>
      <c r="F1448">
        <v>11730.02</v>
      </c>
      <c r="G1448" s="1">
        <v>43689</v>
      </c>
      <c r="H1448">
        <v>7784.9022599999998</v>
      </c>
      <c r="I1448" s="1">
        <v>43717</v>
      </c>
      <c r="J1448">
        <v>9010.6</v>
      </c>
      <c r="K1448" s="1">
        <v>43704</v>
      </c>
      <c r="L1448">
        <v>20991.3</v>
      </c>
    </row>
    <row r="1449" spans="1:12" x14ac:dyDescent="0.35">
      <c r="A1449" s="1">
        <v>43721</v>
      </c>
      <c r="B1449">
        <v>3550.11</v>
      </c>
      <c r="C1449" s="1">
        <v>43718</v>
      </c>
      <c r="D1449">
        <v>5593.21</v>
      </c>
      <c r="E1449" s="1">
        <v>43703</v>
      </c>
      <c r="F1449">
        <v>11658.04</v>
      </c>
      <c r="G1449" s="1">
        <v>43686</v>
      </c>
      <c r="H1449">
        <v>7810.9425700000002</v>
      </c>
      <c r="I1449" s="1">
        <v>43714</v>
      </c>
      <c r="J1449">
        <v>8990.1</v>
      </c>
      <c r="K1449" s="1">
        <v>43703</v>
      </c>
      <c r="L1449">
        <v>20676.830000000002</v>
      </c>
    </row>
    <row r="1450" spans="1:12" x14ac:dyDescent="0.35">
      <c r="A1450" s="1">
        <v>43720</v>
      </c>
      <c r="B1450">
        <v>3538.86</v>
      </c>
      <c r="C1450" s="1">
        <v>43717</v>
      </c>
      <c r="D1450">
        <v>5588.95</v>
      </c>
      <c r="E1450" s="1">
        <v>43700</v>
      </c>
      <c r="F1450">
        <v>11611.51</v>
      </c>
      <c r="G1450" s="1">
        <v>43685</v>
      </c>
      <c r="H1450">
        <v>7892.5706600000003</v>
      </c>
      <c r="I1450" s="1">
        <v>43713</v>
      </c>
      <c r="J1450">
        <v>8992.7000000000007</v>
      </c>
      <c r="K1450" s="1">
        <v>43700</v>
      </c>
      <c r="L1450">
        <v>20473.86</v>
      </c>
    </row>
    <row r="1451" spans="1:12" x14ac:dyDescent="0.35">
      <c r="A1451" s="1">
        <v>43719</v>
      </c>
      <c r="B1451">
        <v>3516.82</v>
      </c>
      <c r="C1451" s="1">
        <v>43714</v>
      </c>
      <c r="D1451">
        <v>5603.99</v>
      </c>
      <c r="E1451" s="1">
        <v>43699</v>
      </c>
      <c r="F1451">
        <v>11747.04</v>
      </c>
      <c r="G1451" s="1">
        <v>43684</v>
      </c>
      <c r="H1451">
        <v>7793.7292699999998</v>
      </c>
      <c r="I1451" s="1">
        <v>43712</v>
      </c>
      <c r="J1451">
        <v>8856.6</v>
      </c>
      <c r="K1451" s="1">
        <v>43699</v>
      </c>
      <c r="L1451">
        <v>20816.990000000002</v>
      </c>
    </row>
    <row r="1452" spans="1:12" x14ac:dyDescent="0.35">
      <c r="A1452" s="1">
        <v>43718</v>
      </c>
      <c r="B1452">
        <v>3498.99</v>
      </c>
      <c r="C1452" s="1">
        <v>43713</v>
      </c>
      <c r="D1452">
        <v>5593.37</v>
      </c>
      <c r="E1452" s="1">
        <v>43698</v>
      </c>
      <c r="F1452">
        <v>11802.85</v>
      </c>
      <c r="G1452" s="1">
        <v>43683</v>
      </c>
      <c r="H1452">
        <v>7781.3925300000001</v>
      </c>
      <c r="I1452" s="1">
        <v>43711</v>
      </c>
      <c r="J1452">
        <v>8809.2000000000007</v>
      </c>
      <c r="K1452" s="1">
        <v>43698</v>
      </c>
      <c r="L1452">
        <v>20847.07</v>
      </c>
    </row>
    <row r="1453" spans="1:12" x14ac:dyDescent="0.35">
      <c r="A1453" s="1">
        <v>43717</v>
      </c>
      <c r="B1453">
        <v>3495.02</v>
      </c>
      <c r="C1453" s="1">
        <v>43712</v>
      </c>
      <c r="D1453">
        <v>5532.07</v>
      </c>
      <c r="E1453" s="1">
        <v>43697</v>
      </c>
      <c r="F1453">
        <v>11651.18</v>
      </c>
      <c r="G1453" s="1">
        <v>43682</v>
      </c>
      <c r="H1453">
        <v>7832.1199500000002</v>
      </c>
      <c r="I1453" s="1">
        <v>43710</v>
      </c>
      <c r="J1453">
        <v>8815.5</v>
      </c>
      <c r="K1453" s="1">
        <v>43697</v>
      </c>
      <c r="L1453">
        <v>20485.43</v>
      </c>
    </row>
    <row r="1454" spans="1:12" x14ac:dyDescent="0.35">
      <c r="A1454" s="1">
        <v>43714</v>
      </c>
      <c r="B1454">
        <v>3495.19</v>
      </c>
      <c r="C1454" s="1">
        <v>43711</v>
      </c>
      <c r="D1454">
        <v>5466.07</v>
      </c>
      <c r="E1454" s="1">
        <v>43696</v>
      </c>
      <c r="F1454">
        <v>11715.37</v>
      </c>
      <c r="G1454" s="1">
        <v>43679</v>
      </c>
      <c r="H1454">
        <v>8094.8489099999997</v>
      </c>
      <c r="I1454" s="1">
        <v>43707</v>
      </c>
      <c r="J1454">
        <v>8812.9</v>
      </c>
      <c r="K1454" s="1">
        <v>43696</v>
      </c>
      <c r="L1454">
        <v>20715.490000000002</v>
      </c>
    </row>
    <row r="1455" spans="1:12" x14ac:dyDescent="0.35">
      <c r="A1455" s="1">
        <v>43713</v>
      </c>
      <c r="B1455">
        <v>3484.7</v>
      </c>
      <c r="C1455" s="1">
        <v>43710</v>
      </c>
      <c r="D1455">
        <v>5493.04</v>
      </c>
      <c r="E1455" s="1">
        <v>43693</v>
      </c>
      <c r="F1455">
        <v>11562.74</v>
      </c>
      <c r="G1455" s="1">
        <v>43678</v>
      </c>
      <c r="H1455">
        <v>8322.9351399999996</v>
      </c>
      <c r="I1455" s="1">
        <v>43706</v>
      </c>
      <c r="J1455">
        <v>8794.2999999999993</v>
      </c>
      <c r="K1455" s="1">
        <v>43693</v>
      </c>
      <c r="L1455">
        <v>20322.59</v>
      </c>
    </row>
    <row r="1456" spans="1:12" x14ac:dyDescent="0.35">
      <c r="A1456" s="1">
        <v>43712</v>
      </c>
      <c r="B1456">
        <v>3450.83</v>
      </c>
      <c r="C1456" s="1">
        <v>43707</v>
      </c>
      <c r="D1456">
        <v>5480.48</v>
      </c>
      <c r="E1456" s="1">
        <v>43692</v>
      </c>
      <c r="F1456">
        <v>11412.67</v>
      </c>
      <c r="G1456" s="1">
        <v>43677</v>
      </c>
      <c r="H1456">
        <v>8327.1864600000008</v>
      </c>
      <c r="I1456" s="1">
        <v>43705</v>
      </c>
      <c r="J1456">
        <v>8747.1</v>
      </c>
      <c r="K1456" s="1">
        <v>43691</v>
      </c>
      <c r="L1456">
        <v>20020.28</v>
      </c>
    </row>
    <row r="1457" spans="1:12" x14ac:dyDescent="0.35">
      <c r="A1457" s="1">
        <v>43711</v>
      </c>
      <c r="B1457">
        <v>3420.74</v>
      </c>
      <c r="C1457" s="1">
        <v>43706</v>
      </c>
      <c r="D1457">
        <v>5449.97</v>
      </c>
      <c r="E1457" s="1">
        <v>43691</v>
      </c>
      <c r="F1457">
        <v>11492.66</v>
      </c>
      <c r="G1457" s="1">
        <v>43676</v>
      </c>
      <c r="H1457">
        <v>8342.0555800000002</v>
      </c>
      <c r="I1457" s="1">
        <v>43704</v>
      </c>
      <c r="J1457">
        <v>8728.9</v>
      </c>
      <c r="K1457" s="1">
        <v>43690</v>
      </c>
      <c r="L1457">
        <v>20539.43</v>
      </c>
    </row>
    <row r="1458" spans="1:12" x14ac:dyDescent="0.35">
      <c r="A1458" s="1">
        <v>43710</v>
      </c>
      <c r="B1458">
        <v>3432.54</v>
      </c>
      <c r="C1458" s="1">
        <v>43705</v>
      </c>
      <c r="D1458">
        <v>5368.8</v>
      </c>
      <c r="E1458" s="1">
        <v>43690</v>
      </c>
      <c r="F1458">
        <v>11750.13</v>
      </c>
      <c r="G1458" s="1">
        <v>43675</v>
      </c>
      <c r="H1458">
        <v>8430.4309699999994</v>
      </c>
      <c r="I1458" s="1">
        <v>43703</v>
      </c>
      <c r="J1458">
        <v>8679.2000000000007</v>
      </c>
      <c r="K1458" s="1">
        <v>43689</v>
      </c>
      <c r="L1458">
        <v>20263.830000000002</v>
      </c>
    </row>
    <row r="1459" spans="1:12" x14ac:dyDescent="0.35">
      <c r="A1459" s="1">
        <v>43707</v>
      </c>
      <c r="B1459">
        <v>3426.76</v>
      </c>
      <c r="C1459" s="1">
        <v>43704</v>
      </c>
      <c r="D1459">
        <v>5387.09</v>
      </c>
      <c r="E1459" s="1">
        <v>43689</v>
      </c>
      <c r="F1459">
        <v>11679.68</v>
      </c>
      <c r="G1459" s="1">
        <v>43672</v>
      </c>
      <c r="H1459">
        <v>8404.9640299999992</v>
      </c>
      <c r="I1459" s="1">
        <v>43700</v>
      </c>
      <c r="J1459">
        <v>8649.5</v>
      </c>
      <c r="K1459" s="1">
        <v>43686</v>
      </c>
      <c r="L1459">
        <v>20324.23</v>
      </c>
    </row>
    <row r="1460" spans="1:12" x14ac:dyDescent="0.35">
      <c r="A1460" s="1">
        <v>43706</v>
      </c>
      <c r="B1460">
        <v>3411.33</v>
      </c>
      <c r="C1460" s="1">
        <v>43703</v>
      </c>
      <c r="D1460">
        <v>5351.02</v>
      </c>
      <c r="E1460" s="1">
        <v>43686</v>
      </c>
      <c r="F1460">
        <v>11693.8</v>
      </c>
      <c r="G1460" s="1">
        <v>43671</v>
      </c>
      <c r="H1460">
        <v>8370.1938399999999</v>
      </c>
      <c r="I1460" s="1">
        <v>43699</v>
      </c>
      <c r="J1460">
        <v>8716.4</v>
      </c>
      <c r="K1460" s="1">
        <v>43685</v>
      </c>
      <c r="L1460">
        <v>20841.150000000001</v>
      </c>
    </row>
    <row r="1461" spans="1:12" x14ac:dyDescent="0.35">
      <c r="A1461" s="1">
        <v>43705</v>
      </c>
      <c r="B1461">
        <v>3365.38</v>
      </c>
      <c r="C1461" s="1">
        <v>43700</v>
      </c>
      <c r="D1461">
        <v>5326.87</v>
      </c>
      <c r="E1461" s="1">
        <v>43685</v>
      </c>
      <c r="F1461">
        <v>11845.41</v>
      </c>
      <c r="G1461" s="1">
        <v>43670</v>
      </c>
      <c r="H1461">
        <v>8413.4813799999993</v>
      </c>
      <c r="I1461" s="1">
        <v>43698</v>
      </c>
      <c r="J1461">
        <v>8701.5</v>
      </c>
      <c r="K1461" s="1">
        <v>43684</v>
      </c>
      <c r="L1461">
        <v>20538.849999999999</v>
      </c>
    </row>
    <row r="1462" spans="1:12" x14ac:dyDescent="0.35">
      <c r="A1462" s="1">
        <v>43704</v>
      </c>
      <c r="B1462">
        <v>3370.47</v>
      </c>
      <c r="C1462" s="1">
        <v>43699</v>
      </c>
      <c r="D1462">
        <v>5388.25</v>
      </c>
      <c r="E1462" s="1">
        <v>43684</v>
      </c>
      <c r="F1462">
        <v>11650.15</v>
      </c>
      <c r="G1462" s="1">
        <v>43669</v>
      </c>
      <c r="H1462">
        <v>8429.7176500000005</v>
      </c>
      <c r="I1462" s="1">
        <v>43697</v>
      </c>
      <c r="J1462">
        <v>8618.2999999999993</v>
      </c>
      <c r="K1462" s="1">
        <v>43683</v>
      </c>
      <c r="L1462">
        <v>20631.740000000002</v>
      </c>
    </row>
    <row r="1463" spans="1:12" x14ac:dyDescent="0.35">
      <c r="A1463" s="1">
        <v>43703</v>
      </c>
      <c r="B1463">
        <v>3348.84</v>
      </c>
      <c r="C1463" s="1">
        <v>43698</v>
      </c>
      <c r="D1463">
        <v>5435.48</v>
      </c>
      <c r="E1463" s="1">
        <v>43683</v>
      </c>
      <c r="F1463">
        <v>11567.96</v>
      </c>
      <c r="G1463" s="1">
        <v>43668</v>
      </c>
      <c r="H1463">
        <v>8361.0127799999991</v>
      </c>
      <c r="I1463" s="1">
        <v>43696</v>
      </c>
      <c r="J1463">
        <v>8733.2999999999993</v>
      </c>
      <c r="K1463" s="1">
        <v>43682</v>
      </c>
      <c r="L1463">
        <v>20773.3</v>
      </c>
    </row>
    <row r="1464" spans="1:12" x14ac:dyDescent="0.35">
      <c r="A1464" s="1">
        <v>43700</v>
      </c>
      <c r="B1464">
        <v>3334.25</v>
      </c>
      <c r="C1464" s="1">
        <v>43697</v>
      </c>
      <c r="D1464">
        <v>5344.64</v>
      </c>
      <c r="E1464" s="1">
        <v>43682</v>
      </c>
      <c r="F1464">
        <v>11658.51</v>
      </c>
      <c r="G1464" s="1">
        <v>43665</v>
      </c>
      <c r="H1464">
        <v>8360.6087900000002</v>
      </c>
      <c r="I1464" s="1">
        <v>43693</v>
      </c>
      <c r="J1464">
        <v>8670.4</v>
      </c>
      <c r="K1464" s="1">
        <v>43679</v>
      </c>
      <c r="L1464">
        <v>21046.86</v>
      </c>
    </row>
    <row r="1465" spans="1:12" x14ac:dyDescent="0.35">
      <c r="A1465" s="1">
        <v>43699</v>
      </c>
      <c r="B1465">
        <v>3373.67</v>
      </c>
      <c r="C1465" s="1">
        <v>43696</v>
      </c>
      <c r="D1465">
        <v>5371.56</v>
      </c>
      <c r="E1465" s="1">
        <v>43679</v>
      </c>
      <c r="F1465">
        <v>11872.44</v>
      </c>
      <c r="G1465" s="1">
        <v>43664</v>
      </c>
      <c r="H1465">
        <v>8330.9221400000006</v>
      </c>
      <c r="I1465" s="1">
        <v>43692</v>
      </c>
      <c r="J1465">
        <v>8519</v>
      </c>
      <c r="K1465" s="1">
        <v>43678</v>
      </c>
      <c r="L1465">
        <v>21566.91</v>
      </c>
    </row>
    <row r="1466" spans="1:12" x14ac:dyDescent="0.35">
      <c r="A1466" s="1">
        <v>43698</v>
      </c>
      <c r="B1466">
        <v>3394.89</v>
      </c>
      <c r="C1466" s="1">
        <v>43693</v>
      </c>
      <c r="D1466">
        <v>5300.79</v>
      </c>
      <c r="E1466" s="1">
        <v>43678</v>
      </c>
      <c r="F1466">
        <v>12253.15</v>
      </c>
      <c r="G1466" s="1">
        <v>43663</v>
      </c>
      <c r="H1466">
        <v>8357.14401</v>
      </c>
      <c r="I1466" s="1">
        <v>43691</v>
      </c>
      <c r="J1466">
        <v>8522.7000000000007</v>
      </c>
      <c r="K1466" s="1">
        <v>43677</v>
      </c>
      <c r="L1466">
        <v>21398.19</v>
      </c>
    </row>
    <row r="1467" spans="1:12" x14ac:dyDescent="0.35">
      <c r="A1467" s="1">
        <v>43697</v>
      </c>
      <c r="B1467">
        <v>3350.23</v>
      </c>
      <c r="C1467" s="1">
        <v>43692</v>
      </c>
      <c r="D1467">
        <v>5236.93</v>
      </c>
      <c r="E1467" s="1">
        <v>43677</v>
      </c>
      <c r="F1467">
        <v>12189.04</v>
      </c>
      <c r="G1467" s="1">
        <v>43662</v>
      </c>
      <c r="H1467">
        <v>8391.4803900000006</v>
      </c>
      <c r="I1467" s="1">
        <v>43690</v>
      </c>
      <c r="J1467">
        <v>8695.1</v>
      </c>
      <c r="K1467" s="1">
        <v>43676</v>
      </c>
      <c r="L1467">
        <v>21278.240000000002</v>
      </c>
    </row>
    <row r="1468" spans="1:12" x14ac:dyDescent="0.35">
      <c r="A1468" s="1">
        <v>43696</v>
      </c>
      <c r="B1468">
        <v>3369.19</v>
      </c>
      <c r="C1468" s="1">
        <v>43691</v>
      </c>
      <c r="D1468">
        <v>5251.3</v>
      </c>
      <c r="E1468" s="1">
        <v>43676</v>
      </c>
      <c r="F1468">
        <v>12147.24</v>
      </c>
      <c r="G1468" s="1">
        <v>43661</v>
      </c>
      <c r="H1468">
        <v>8369.9156800000001</v>
      </c>
      <c r="I1468" s="1">
        <v>43689</v>
      </c>
      <c r="J1468">
        <v>8676.4</v>
      </c>
      <c r="K1468" s="1">
        <v>43675</v>
      </c>
      <c r="L1468">
        <v>21709.3</v>
      </c>
    </row>
    <row r="1469" spans="1:12" x14ac:dyDescent="0.35">
      <c r="A1469" s="1">
        <v>43693</v>
      </c>
      <c r="B1469">
        <v>3329.08</v>
      </c>
      <c r="C1469" s="1">
        <v>43690</v>
      </c>
      <c r="D1469">
        <v>5363.07</v>
      </c>
      <c r="E1469" s="1">
        <v>43675</v>
      </c>
      <c r="F1469">
        <v>12417.47</v>
      </c>
      <c r="G1469" s="1">
        <v>43658</v>
      </c>
      <c r="H1469">
        <v>8371.2748499999998</v>
      </c>
      <c r="I1469" s="1">
        <v>43686</v>
      </c>
      <c r="J1469">
        <v>8757.7999999999993</v>
      </c>
      <c r="K1469" s="1">
        <v>43672</v>
      </c>
      <c r="L1469">
        <v>21837.74</v>
      </c>
    </row>
    <row r="1470" spans="1:12" x14ac:dyDescent="0.35">
      <c r="A1470" s="1">
        <v>43692</v>
      </c>
      <c r="B1470">
        <v>3282.78</v>
      </c>
      <c r="C1470" s="1">
        <v>43689</v>
      </c>
      <c r="D1470">
        <v>5310.31</v>
      </c>
      <c r="E1470" s="1">
        <v>43672</v>
      </c>
      <c r="F1470">
        <v>12419.9</v>
      </c>
      <c r="G1470" s="1">
        <v>43657</v>
      </c>
      <c r="H1470">
        <v>8355.2919999999995</v>
      </c>
      <c r="I1470" s="1">
        <v>43685</v>
      </c>
      <c r="J1470">
        <v>8869</v>
      </c>
      <c r="K1470" s="1">
        <v>43671</v>
      </c>
      <c r="L1470">
        <v>21903.29</v>
      </c>
    </row>
    <row r="1471" spans="1:12" x14ac:dyDescent="0.35">
      <c r="A1471" s="1">
        <v>43691</v>
      </c>
      <c r="B1471">
        <v>3288.7</v>
      </c>
      <c r="C1471" s="1">
        <v>43686</v>
      </c>
      <c r="D1471">
        <v>5327.92</v>
      </c>
      <c r="E1471" s="1">
        <v>43671</v>
      </c>
      <c r="F1471">
        <v>12362.1</v>
      </c>
      <c r="G1471" s="1">
        <v>43656</v>
      </c>
      <c r="H1471">
        <v>8369.4399099999991</v>
      </c>
      <c r="I1471" s="1">
        <v>43684</v>
      </c>
      <c r="J1471">
        <v>8746.1</v>
      </c>
      <c r="K1471" s="1">
        <v>43670</v>
      </c>
      <c r="L1471">
        <v>22080.32</v>
      </c>
    </row>
    <row r="1472" spans="1:12" x14ac:dyDescent="0.35">
      <c r="A1472" s="1">
        <v>43690</v>
      </c>
      <c r="B1472">
        <v>3357.16</v>
      </c>
      <c r="C1472" s="1">
        <v>43685</v>
      </c>
      <c r="D1472">
        <v>5387.96</v>
      </c>
      <c r="E1472" s="1">
        <v>43670</v>
      </c>
      <c r="F1472">
        <v>12522.89</v>
      </c>
      <c r="G1472" s="1">
        <v>43655</v>
      </c>
      <c r="H1472">
        <v>8382.2973899999997</v>
      </c>
      <c r="I1472" s="1">
        <v>43683</v>
      </c>
      <c r="J1472">
        <v>8699.4</v>
      </c>
      <c r="K1472" s="1">
        <v>43669</v>
      </c>
      <c r="L1472">
        <v>21954.66</v>
      </c>
    </row>
    <row r="1473" spans="1:12" x14ac:dyDescent="0.35">
      <c r="A1473" s="1">
        <v>43689</v>
      </c>
      <c r="B1473">
        <v>3326.55</v>
      </c>
      <c r="C1473" s="1">
        <v>43684</v>
      </c>
      <c r="D1473">
        <v>5266.51</v>
      </c>
      <c r="E1473" s="1">
        <v>43669</v>
      </c>
      <c r="F1473">
        <v>12490.74</v>
      </c>
      <c r="G1473" s="1">
        <v>43654</v>
      </c>
      <c r="H1473">
        <v>8425.6988500000007</v>
      </c>
      <c r="I1473" s="1">
        <v>43682</v>
      </c>
      <c r="J1473">
        <v>8777.2000000000007</v>
      </c>
      <c r="K1473" s="1">
        <v>43668</v>
      </c>
      <c r="L1473">
        <v>21735.7</v>
      </c>
    </row>
    <row r="1474" spans="1:12" x14ac:dyDescent="0.35">
      <c r="A1474" s="1">
        <v>43686</v>
      </c>
      <c r="B1474">
        <v>3333.74</v>
      </c>
      <c r="C1474" s="1">
        <v>43683</v>
      </c>
      <c r="D1474">
        <v>5234.6499999999996</v>
      </c>
      <c r="E1474" s="1">
        <v>43668</v>
      </c>
      <c r="F1474">
        <v>12289.4</v>
      </c>
      <c r="G1474" s="1">
        <v>43651</v>
      </c>
      <c r="H1474">
        <v>8422.9730400000008</v>
      </c>
      <c r="I1474" s="1">
        <v>43679</v>
      </c>
      <c r="J1474">
        <v>8897.6</v>
      </c>
      <c r="K1474" s="1">
        <v>43665</v>
      </c>
      <c r="L1474">
        <v>21641.46</v>
      </c>
    </row>
    <row r="1475" spans="1:12" x14ac:dyDescent="0.35">
      <c r="A1475" s="1">
        <v>43685</v>
      </c>
      <c r="B1475">
        <v>3375.38</v>
      </c>
      <c r="C1475" s="1">
        <v>43682</v>
      </c>
      <c r="D1475">
        <v>5241.55</v>
      </c>
      <c r="E1475" s="1">
        <v>43665</v>
      </c>
      <c r="F1475">
        <v>12260.07</v>
      </c>
      <c r="G1475" s="1">
        <v>43650</v>
      </c>
      <c r="H1475">
        <v>8481.1494700000003</v>
      </c>
      <c r="I1475" s="1">
        <v>43678</v>
      </c>
      <c r="J1475">
        <v>9038.2000000000007</v>
      </c>
      <c r="K1475" s="1">
        <v>43664</v>
      </c>
      <c r="L1475">
        <v>22090.81</v>
      </c>
    </row>
    <row r="1476" spans="1:12" x14ac:dyDescent="0.35">
      <c r="A1476" s="1">
        <v>43684</v>
      </c>
      <c r="B1476">
        <v>3309.99</v>
      </c>
      <c r="C1476" s="1">
        <v>43679</v>
      </c>
      <c r="D1476">
        <v>5359</v>
      </c>
      <c r="E1476" s="1">
        <v>43664</v>
      </c>
      <c r="F1476">
        <v>12227.85</v>
      </c>
      <c r="G1476" s="1">
        <v>43649</v>
      </c>
      <c r="H1476">
        <v>8482.1557499999999</v>
      </c>
      <c r="I1476" s="1">
        <v>43677</v>
      </c>
      <c r="J1476">
        <v>8971</v>
      </c>
      <c r="K1476" s="1">
        <v>43663</v>
      </c>
      <c r="L1476">
        <v>22079.38</v>
      </c>
    </row>
    <row r="1477" spans="1:12" x14ac:dyDescent="0.35">
      <c r="A1477" s="1">
        <v>43683</v>
      </c>
      <c r="B1477">
        <v>3291.66</v>
      </c>
      <c r="C1477" s="1">
        <v>43678</v>
      </c>
      <c r="D1477">
        <v>5557.41</v>
      </c>
      <c r="E1477" s="1">
        <v>43663</v>
      </c>
      <c r="F1477">
        <v>12341.03</v>
      </c>
      <c r="G1477" s="1">
        <v>43648</v>
      </c>
      <c r="H1477">
        <v>8433.6412700000001</v>
      </c>
      <c r="I1477" s="1">
        <v>43676</v>
      </c>
      <c r="J1477">
        <v>8986.6</v>
      </c>
      <c r="K1477" s="1">
        <v>43662</v>
      </c>
      <c r="L1477">
        <v>22204.080000000002</v>
      </c>
    </row>
    <row r="1478" spans="1:12" x14ac:dyDescent="0.35">
      <c r="A1478" s="1">
        <v>43682</v>
      </c>
      <c r="B1478">
        <v>3310.93</v>
      </c>
      <c r="C1478" s="1">
        <v>43677</v>
      </c>
      <c r="D1478">
        <v>5518.9</v>
      </c>
      <c r="E1478" s="1">
        <v>43662</v>
      </c>
      <c r="F1478">
        <v>12430.97</v>
      </c>
      <c r="G1478" s="1">
        <v>43647</v>
      </c>
      <c r="H1478">
        <v>8387.7202500000003</v>
      </c>
      <c r="I1478" s="1">
        <v>43675</v>
      </c>
      <c r="J1478">
        <v>9215.4</v>
      </c>
      <c r="K1478" s="1">
        <v>43661</v>
      </c>
      <c r="L1478">
        <v>22178.05</v>
      </c>
    </row>
    <row r="1479" spans="1:12" x14ac:dyDescent="0.35">
      <c r="A1479" s="1">
        <v>43679</v>
      </c>
      <c r="B1479">
        <v>3376.12</v>
      </c>
      <c r="C1479" s="1">
        <v>43676</v>
      </c>
      <c r="D1479">
        <v>5511.07</v>
      </c>
      <c r="E1479" s="1">
        <v>43661</v>
      </c>
      <c r="F1479">
        <v>12387.34</v>
      </c>
      <c r="G1479" s="1">
        <v>43644</v>
      </c>
      <c r="H1479">
        <v>8299.0028000000002</v>
      </c>
      <c r="I1479" s="1">
        <v>43672</v>
      </c>
      <c r="J1479">
        <v>9225.5</v>
      </c>
      <c r="K1479" s="1">
        <v>43658</v>
      </c>
      <c r="L1479">
        <v>22182.7</v>
      </c>
    </row>
    <row r="1480" spans="1:12" x14ac:dyDescent="0.35">
      <c r="A1480" s="1">
        <v>43678</v>
      </c>
      <c r="B1480">
        <v>3490.03</v>
      </c>
      <c r="C1480" s="1">
        <v>43675</v>
      </c>
      <c r="D1480">
        <v>5601.1</v>
      </c>
      <c r="E1480" s="1">
        <v>43658</v>
      </c>
      <c r="F1480">
        <v>12323.32</v>
      </c>
      <c r="G1480" s="1">
        <v>43643</v>
      </c>
      <c r="H1480">
        <v>8256.7956799999993</v>
      </c>
      <c r="I1480" s="1">
        <v>43671</v>
      </c>
      <c r="J1480">
        <v>9289.9</v>
      </c>
      <c r="K1480" s="1">
        <v>43657</v>
      </c>
      <c r="L1480">
        <v>22169.42</v>
      </c>
    </row>
    <row r="1481" spans="1:12" x14ac:dyDescent="0.35">
      <c r="A1481" s="1">
        <v>43677</v>
      </c>
      <c r="B1481">
        <v>3466.85</v>
      </c>
      <c r="C1481" s="1">
        <v>43672</v>
      </c>
      <c r="D1481">
        <v>5610.05</v>
      </c>
      <c r="E1481" s="1">
        <v>43657</v>
      </c>
      <c r="F1481">
        <v>12332.12</v>
      </c>
      <c r="G1481" s="1">
        <v>43642</v>
      </c>
      <c r="H1481">
        <v>8273.1547200000005</v>
      </c>
      <c r="I1481" s="1">
        <v>43670</v>
      </c>
      <c r="J1481">
        <v>9329.7000000000007</v>
      </c>
      <c r="K1481" s="1">
        <v>43656</v>
      </c>
      <c r="L1481">
        <v>22044.959999999999</v>
      </c>
    </row>
    <row r="1482" spans="1:12" x14ac:dyDescent="0.35">
      <c r="A1482" s="1">
        <v>43676</v>
      </c>
      <c r="B1482">
        <v>3462.85</v>
      </c>
      <c r="C1482" s="1">
        <v>43671</v>
      </c>
      <c r="D1482">
        <v>5578.05</v>
      </c>
      <c r="E1482" s="1">
        <v>43656</v>
      </c>
      <c r="F1482">
        <v>12373.41</v>
      </c>
      <c r="G1482" s="1">
        <v>43641</v>
      </c>
      <c r="H1482">
        <v>8291.1998600000006</v>
      </c>
      <c r="I1482" s="1">
        <v>43669</v>
      </c>
      <c r="J1482">
        <v>9281.6</v>
      </c>
      <c r="K1482" s="1">
        <v>43655</v>
      </c>
      <c r="L1482">
        <v>21886.17</v>
      </c>
    </row>
    <row r="1483" spans="1:12" x14ac:dyDescent="0.35">
      <c r="A1483" s="1">
        <v>43675</v>
      </c>
      <c r="B1483">
        <v>3523.58</v>
      </c>
      <c r="C1483" s="1">
        <v>43670</v>
      </c>
      <c r="D1483">
        <v>5605.87</v>
      </c>
      <c r="E1483" s="1">
        <v>43655</v>
      </c>
      <c r="F1483">
        <v>12436.55</v>
      </c>
      <c r="G1483" s="1">
        <v>43640</v>
      </c>
      <c r="H1483">
        <v>8294.5280999999995</v>
      </c>
      <c r="I1483" s="1">
        <v>43668</v>
      </c>
      <c r="J1483">
        <v>9163.5</v>
      </c>
      <c r="K1483" s="1">
        <v>43654</v>
      </c>
      <c r="L1483">
        <v>21976</v>
      </c>
    </row>
    <row r="1484" spans="1:12" x14ac:dyDescent="0.35">
      <c r="A1484" s="1">
        <v>43672</v>
      </c>
      <c r="B1484">
        <v>3524.47</v>
      </c>
      <c r="C1484" s="1">
        <v>43669</v>
      </c>
      <c r="D1484">
        <v>5618.16</v>
      </c>
      <c r="E1484" s="1">
        <v>43654</v>
      </c>
      <c r="F1484">
        <v>12543.51</v>
      </c>
      <c r="G1484" s="1">
        <v>43637</v>
      </c>
      <c r="H1484">
        <v>8299.0648999999994</v>
      </c>
      <c r="I1484" s="1">
        <v>43665</v>
      </c>
      <c r="J1484">
        <v>9170.5</v>
      </c>
      <c r="K1484" s="1">
        <v>43651</v>
      </c>
      <c r="L1484">
        <v>21985.79</v>
      </c>
    </row>
    <row r="1485" spans="1:12" x14ac:dyDescent="0.35">
      <c r="A1485" s="1">
        <v>43671</v>
      </c>
      <c r="B1485">
        <v>3510.15</v>
      </c>
      <c r="C1485" s="1">
        <v>43668</v>
      </c>
      <c r="D1485">
        <v>5567.02</v>
      </c>
      <c r="E1485" s="1">
        <v>43651</v>
      </c>
      <c r="F1485">
        <v>12568.53</v>
      </c>
      <c r="G1485" s="1">
        <v>43636</v>
      </c>
      <c r="H1485">
        <v>8352.8237499999996</v>
      </c>
      <c r="I1485" s="1">
        <v>43664</v>
      </c>
      <c r="J1485">
        <v>9225.7000000000007</v>
      </c>
      <c r="K1485" s="1">
        <v>43650</v>
      </c>
      <c r="L1485">
        <v>22120.7</v>
      </c>
    </row>
    <row r="1486" spans="1:12" x14ac:dyDescent="0.35">
      <c r="A1486" s="1">
        <v>43670</v>
      </c>
      <c r="B1486">
        <v>3532.9</v>
      </c>
      <c r="C1486" s="1">
        <v>43665</v>
      </c>
      <c r="D1486">
        <v>5552.34</v>
      </c>
      <c r="E1486" s="1">
        <v>43650</v>
      </c>
      <c r="F1486">
        <v>12629.9</v>
      </c>
      <c r="G1486" s="1">
        <v>43635</v>
      </c>
      <c r="H1486">
        <v>8340.2875000000004</v>
      </c>
      <c r="I1486" s="1">
        <v>43663</v>
      </c>
      <c r="J1486">
        <v>9284.2000000000007</v>
      </c>
      <c r="K1486" s="1">
        <v>43649</v>
      </c>
      <c r="L1486">
        <v>21905.34</v>
      </c>
    </row>
    <row r="1487" spans="1:12" x14ac:dyDescent="0.35">
      <c r="A1487" s="1">
        <v>43669</v>
      </c>
      <c r="B1487">
        <v>3532.87</v>
      </c>
      <c r="C1487" s="1">
        <v>43664</v>
      </c>
      <c r="D1487">
        <v>5550.55</v>
      </c>
      <c r="E1487" s="1">
        <v>43649</v>
      </c>
      <c r="F1487">
        <v>12616.24</v>
      </c>
      <c r="G1487" s="1">
        <v>43634</v>
      </c>
      <c r="H1487">
        <v>8341.4410399999997</v>
      </c>
      <c r="I1487" s="1">
        <v>43662</v>
      </c>
      <c r="J1487">
        <v>9377.1</v>
      </c>
      <c r="K1487" s="1">
        <v>43648</v>
      </c>
      <c r="L1487">
        <v>21392.87</v>
      </c>
    </row>
    <row r="1488" spans="1:12" x14ac:dyDescent="0.35">
      <c r="A1488" s="1">
        <v>43668</v>
      </c>
      <c r="B1488">
        <v>3489.92</v>
      </c>
      <c r="C1488" s="1">
        <v>43663</v>
      </c>
      <c r="D1488">
        <v>5571.71</v>
      </c>
      <c r="E1488" s="1">
        <v>43648</v>
      </c>
      <c r="F1488">
        <v>12526.72</v>
      </c>
      <c r="G1488" s="1">
        <v>43633</v>
      </c>
      <c r="H1488">
        <v>8230.2778400000007</v>
      </c>
      <c r="I1488" s="1">
        <v>43661</v>
      </c>
      <c r="J1488">
        <v>9323.6</v>
      </c>
      <c r="K1488" s="1">
        <v>43647</v>
      </c>
      <c r="L1488">
        <v>21254.04</v>
      </c>
    </row>
    <row r="1489" spans="1:12" x14ac:dyDescent="0.35">
      <c r="A1489" s="1">
        <v>43665</v>
      </c>
      <c r="B1489">
        <v>3480.18</v>
      </c>
      <c r="C1489" s="1">
        <v>43662</v>
      </c>
      <c r="D1489">
        <v>5614.38</v>
      </c>
      <c r="E1489" s="1">
        <v>43647</v>
      </c>
      <c r="F1489">
        <v>12521.38</v>
      </c>
      <c r="G1489" s="1">
        <v>43630</v>
      </c>
      <c r="H1489">
        <v>8254.7457300000005</v>
      </c>
      <c r="I1489" s="1">
        <v>43658</v>
      </c>
      <c r="J1489">
        <v>9293.2000000000007</v>
      </c>
      <c r="K1489" s="1">
        <v>43644</v>
      </c>
      <c r="L1489">
        <v>21234.79</v>
      </c>
    </row>
    <row r="1490" spans="1:12" x14ac:dyDescent="0.35">
      <c r="A1490" s="1">
        <v>43664</v>
      </c>
      <c r="B1490">
        <v>3482.83</v>
      </c>
      <c r="C1490" s="1">
        <v>43661</v>
      </c>
      <c r="D1490">
        <v>5578.21</v>
      </c>
      <c r="E1490" s="1">
        <v>43644</v>
      </c>
      <c r="F1490">
        <v>12398.8</v>
      </c>
      <c r="G1490" s="1">
        <v>43629</v>
      </c>
      <c r="H1490">
        <v>8285.3936699999995</v>
      </c>
      <c r="I1490" s="1">
        <v>43657</v>
      </c>
      <c r="J1490">
        <v>9280.2999999999993</v>
      </c>
      <c r="K1490" s="1">
        <v>43643</v>
      </c>
      <c r="L1490">
        <v>21110.87</v>
      </c>
    </row>
    <row r="1491" spans="1:12" x14ac:dyDescent="0.35">
      <c r="A1491" s="1">
        <v>43663</v>
      </c>
      <c r="B1491">
        <v>3501.58</v>
      </c>
      <c r="C1491" s="1">
        <v>43658</v>
      </c>
      <c r="D1491">
        <v>5572.86</v>
      </c>
      <c r="E1491" s="1">
        <v>43643</v>
      </c>
      <c r="F1491">
        <v>12271.03</v>
      </c>
      <c r="G1491" s="1">
        <v>43628</v>
      </c>
      <c r="H1491">
        <v>8275.4474800000007</v>
      </c>
      <c r="I1491" s="1">
        <v>43656</v>
      </c>
      <c r="J1491">
        <v>9252.9</v>
      </c>
      <c r="K1491" s="1">
        <v>43642</v>
      </c>
      <c r="L1491">
        <v>21057.14</v>
      </c>
    </row>
    <row r="1492" spans="1:12" x14ac:dyDescent="0.35">
      <c r="A1492" s="1">
        <v>43662</v>
      </c>
      <c r="B1492">
        <v>3521.36</v>
      </c>
      <c r="C1492" s="1">
        <v>43657</v>
      </c>
      <c r="D1492">
        <v>5551.95</v>
      </c>
      <c r="E1492" s="1">
        <v>43642</v>
      </c>
      <c r="F1492">
        <v>12245.32</v>
      </c>
      <c r="G1492" s="1">
        <v>43627</v>
      </c>
      <c r="H1492">
        <v>8311.4196400000001</v>
      </c>
      <c r="I1492" s="1">
        <v>43655</v>
      </c>
      <c r="J1492">
        <v>9273.9</v>
      </c>
      <c r="K1492" s="1">
        <v>43641</v>
      </c>
      <c r="L1492">
        <v>21128.41</v>
      </c>
    </row>
    <row r="1493" spans="1:12" x14ac:dyDescent="0.35">
      <c r="A1493" s="1">
        <v>43661</v>
      </c>
      <c r="B1493">
        <v>3502.22</v>
      </c>
      <c r="C1493" s="1">
        <v>43656</v>
      </c>
      <c r="D1493">
        <v>5567.59</v>
      </c>
      <c r="E1493" s="1">
        <v>43641</v>
      </c>
      <c r="F1493">
        <v>12228.44</v>
      </c>
      <c r="G1493" s="1">
        <v>43626</v>
      </c>
      <c r="H1493">
        <v>8270.4336399999993</v>
      </c>
      <c r="I1493" s="1">
        <v>43654</v>
      </c>
      <c r="J1493">
        <v>9284.7000000000007</v>
      </c>
      <c r="K1493" s="1">
        <v>43640</v>
      </c>
      <c r="L1493">
        <v>21284.1</v>
      </c>
    </row>
    <row r="1494" spans="1:12" x14ac:dyDescent="0.35">
      <c r="A1494" s="1">
        <v>43658</v>
      </c>
      <c r="B1494">
        <v>3497.63</v>
      </c>
      <c r="C1494" s="1">
        <v>43655</v>
      </c>
      <c r="D1494">
        <v>5572.1</v>
      </c>
      <c r="E1494" s="1">
        <v>43640</v>
      </c>
      <c r="F1494">
        <v>12274.57</v>
      </c>
      <c r="G1494" s="1">
        <v>43623</v>
      </c>
      <c r="H1494">
        <v>8241.6436699999995</v>
      </c>
      <c r="I1494" s="1">
        <v>43651</v>
      </c>
      <c r="J1494">
        <v>9335</v>
      </c>
      <c r="K1494" s="1">
        <v>43637</v>
      </c>
      <c r="L1494">
        <v>21388.63</v>
      </c>
    </row>
    <row r="1495" spans="1:12" x14ac:dyDescent="0.35">
      <c r="A1495" s="1">
        <v>43657</v>
      </c>
      <c r="B1495">
        <v>3496.73</v>
      </c>
      <c r="C1495" s="1">
        <v>43654</v>
      </c>
      <c r="D1495">
        <v>5589.19</v>
      </c>
      <c r="E1495" s="1">
        <v>43637</v>
      </c>
      <c r="F1495">
        <v>12339.92</v>
      </c>
      <c r="G1495" s="1">
        <v>43622</v>
      </c>
      <c r="H1495">
        <v>8170.7866400000003</v>
      </c>
      <c r="I1495" s="1">
        <v>43650</v>
      </c>
      <c r="J1495">
        <v>9401</v>
      </c>
      <c r="K1495" s="1">
        <v>43636</v>
      </c>
      <c r="L1495">
        <v>21361.439999999999</v>
      </c>
    </row>
    <row r="1496" spans="1:12" x14ac:dyDescent="0.35">
      <c r="A1496" s="1">
        <v>43656</v>
      </c>
      <c r="B1496">
        <v>3501.52</v>
      </c>
      <c r="C1496" s="1">
        <v>43651</v>
      </c>
      <c r="D1496">
        <v>5593.72</v>
      </c>
      <c r="E1496" s="1">
        <v>43636</v>
      </c>
      <c r="F1496">
        <v>12355.39</v>
      </c>
      <c r="G1496" s="1">
        <v>43621</v>
      </c>
      <c r="H1496">
        <v>8155.9245199999996</v>
      </c>
      <c r="I1496" s="1">
        <v>43649</v>
      </c>
      <c r="J1496">
        <v>9394.4</v>
      </c>
      <c r="K1496" s="1">
        <v>43635</v>
      </c>
      <c r="L1496">
        <v>21221.38</v>
      </c>
    </row>
    <row r="1497" spans="1:12" x14ac:dyDescent="0.35">
      <c r="A1497" s="1">
        <v>43655</v>
      </c>
      <c r="B1497">
        <v>3509.75</v>
      </c>
      <c r="C1497" s="1">
        <v>43650</v>
      </c>
      <c r="D1497">
        <v>5620.73</v>
      </c>
      <c r="E1497" s="1">
        <v>43635</v>
      </c>
      <c r="F1497">
        <v>12308.53</v>
      </c>
      <c r="G1497" s="1">
        <v>43620</v>
      </c>
      <c r="H1497">
        <v>8140.0543799999996</v>
      </c>
      <c r="I1497" s="1">
        <v>43648</v>
      </c>
      <c r="J1497">
        <v>9281.5</v>
      </c>
      <c r="K1497" s="1">
        <v>43634</v>
      </c>
      <c r="L1497">
        <v>21133.78</v>
      </c>
    </row>
    <row r="1498" spans="1:12" x14ac:dyDescent="0.35">
      <c r="A1498" s="1">
        <v>43654</v>
      </c>
      <c r="B1498">
        <v>3523.76</v>
      </c>
      <c r="C1498" s="1">
        <v>43649</v>
      </c>
      <c r="D1498">
        <v>5618.81</v>
      </c>
      <c r="E1498" s="1">
        <v>43634</v>
      </c>
      <c r="F1498">
        <v>12331.75</v>
      </c>
      <c r="G1498" s="1">
        <v>43619</v>
      </c>
      <c r="H1498">
        <v>8093.7899399999997</v>
      </c>
      <c r="I1498" s="1">
        <v>43647</v>
      </c>
      <c r="J1498">
        <v>9264.6</v>
      </c>
      <c r="K1498" s="1">
        <v>43633</v>
      </c>
      <c r="L1498">
        <v>20626.419999999998</v>
      </c>
    </row>
    <row r="1499" spans="1:12" x14ac:dyDescent="0.35">
      <c r="A1499" s="1">
        <v>43651</v>
      </c>
      <c r="B1499">
        <v>3527.98</v>
      </c>
      <c r="C1499" s="1">
        <v>43648</v>
      </c>
      <c r="D1499">
        <v>5576.82</v>
      </c>
      <c r="E1499" s="1">
        <v>43633</v>
      </c>
      <c r="F1499">
        <v>12085.82</v>
      </c>
      <c r="G1499" s="1">
        <v>43616</v>
      </c>
      <c r="H1499">
        <v>8102.3180300000004</v>
      </c>
      <c r="I1499" s="1">
        <v>43644</v>
      </c>
      <c r="J1499">
        <v>9198.7999999999993</v>
      </c>
      <c r="K1499" s="1">
        <v>43630</v>
      </c>
      <c r="L1499">
        <v>20612.45</v>
      </c>
    </row>
    <row r="1500" spans="1:12" x14ac:dyDescent="0.35">
      <c r="A1500" s="1">
        <v>43650</v>
      </c>
      <c r="B1500">
        <v>3544.15</v>
      </c>
      <c r="C1500" s="1">
        <v>43647</v>
      </c>
      <c r="D1500">
        <v>5567.91</v>
      </c>
      <c r="E1500" s="1">
        <v>43630</v>
      </c>
      <c r="F1500">
        <v>12096.4</v>
      </c>
      <c r="G1500" s="1">
        <v>43615</v>
      </c>
      <c r="H1500">
        <v>8174.8773300000003</v>
      </c>
      <c r="I1500" s="1">
        <v>43643</v>
      </c>
      <c r="J1500">
        <v>9147.7999999999993</v>
      </c>
      <c r="K1500" s="1">
        <v>43629</v>
      </c>
      <c r="L1500">
        <v>20630.75</v>
      </c>
    </row>
    <row r="1501" spans="1:12" x14ac:dyDescent="0.35">
      <c r="A1501" s="1">
        <v>43649</v>
      </c>
      <c r="B1501">
        <v>3540.63</v>
      </c>
      <c r="C1501" s="1">
        <v>43644</v>
      </c>
      <c r="D1501">
        <v>5538.97</v>
      </c>
      <c r="E1501" s="1">
        <v>43629</v>
      </c>
      <c r="F1501">
        <v>12169.05</v>
      </c>
      <c r="G1501" s="1">
        <v>43614</v>
      </c>
      <c r="H1501">
        <v>8143.6411600000001</v>
      </c>
      <c r="I1501" s="1">
        <v>43642</v>
      </c>
      <c r="J1501">
        <v>9157.4</v>
      </c>
      <c r="K1501" s="1">
        <v>43628</v>
      </c>
      <c r="L1501">
        <v>20463.25</v>
      </c>
    </row>
    <row r="1502" spans="1:12" x14ac:dyDescent="0.35">
      <c r="A1502" s="1">
        <v>43648</v>
      </c>
      <c r="B1502">
        <v>3507.98</v>
      </c>
      <c r="C1502" s="1">
        <v>43643</v>
      </c>
      <c r="D1502">
        <v>5493.61</v>
      </c>
      <c r="E1502" s="1">
        <v>43628</v>
      </c>
      <c r="F1502">
        <v>12115.68</v>
      </c>
      <c r="G1502" s="1">
        <v>43613</v>
      </c>
      <c r="H1502">
        <v>8246.1729200000009</v>
      </c>
      <c r="I1502" s="1">
        <v>43641</v>
      </c>
      <c r="J1502">
        <v>9159.7999999999993</v>
      </c>
      <c r="K1502" s="1">
        <v>43627</v>
      </c>
      <c r="L1502">
        <v>20609.7</v>
      </c>
    </row>
    <row r="1503" spans="1:12" x14ac:dyDescent="0.35">
      <c r="A1503" s="1">
        <v>43647</v>
      </c>
      <c r="B1503">
        <v>3497.59</v>
      </c>
      <c r="C1503" s="1">
        <v>43642</v>
      </c>
      <c r="D1503">
        <v>5500.72</v>
      </c>
      <c r="E1503" s="1">
        <v>43627</v>
      </c>
      <c r="F1503">
        <v>12155.81</v>
      </c>
      <c r="G1503" s="1">
        <v>43609</v>
      </c>
      <c r="H1503">
        <v>8257.8366100000003</v>
      </c>
      <c r="I1503" s="1">
        <v>43640</v>
      </c>
      <c r="J1503">
        <v>9192.5</v>
      </c>
      <c r="K1503" s="1">
        <v>43626</v>
      </c>
      <c r="L1503">
        <v>20484.990000000002</v>
      </c>
    </row>
    <row r="1504" spans="1:12" x14ac:dyDescent="0.35">
      <c r="A1504" s="1">
        <v>43644</v>
      </c>
      <c r="B1504">
        <v>3473.69</v>
      </c>
      <c r="C1504" s="1">
        <v>43641</v>
      </c>
      <c r="D1504">
        <v>5514.57</v>
      </c>
      <c r="E1504" s="1">
        <v>43623</v>
      </c>
      <c r="F1504">
        <v>12045.38</v>
      </c>
      <c r="G1504" s="1">
        <v>43608</v>
      </c>
      <c r="H1504">
        <v>8198.4551200000005</v>
      </c>
      <c r="I1504" s="1">
        <v>43637</v>
      </c>
      <c r="J1504">
        <v>9227.2000000000007</v>
      </c>
      <c r="K1504" s="1">
        <v>43623</v>
      </c>
      <c r="L1504">
        <v>20360.59</v>
      </c>
    </row>
    <row r="1505" spans="1:12" x14ac:dyDescent="0.35">
      <c r="A1505" s="1">
        <v>43643</v>
      </c>
      <c r="B1505">
        <v>3442.38</v>
      </c>
      <c r="C1505" s="1">
        <v>43640</v>
      </c>
      <c r="D1505">
        <v>5521.71</v>
      </c>
      <c r="E1505" s="1">
        <v>43622</v>
      </c>
      <c r="F1505">
        <v>11953.14</v>
      </c>
      <c r="G1505" s="1">
        <v>43607</v>
      </c>
      <c r="H1505">
        <v>8332.0658100000001</v>
      </c>
      <c r="I1505" s="1">
        <v>43636</v>
      </c>
      <c r="J1505">
        <v>9208.5</v>
      </c>
      <c r="K1505" s="1">
        <v>43622</v>
      </c>
      <c r="L1505">
        <v>20177.810000000001</v>
      </c>
    </row>
    <row r="1506" spans="1:12" x14ac:dyDescent="0.35">
      <c r="A1506" s="1">
        <v>43642</v>
      </c>
      <c r="B1506">
        <v>3442.95</v>
      </c>
      <c r="C1506" s="1">
        <v>43637</v>
      </c>
      <c r="D1506">
        <v>5528.33</v>
      </c>
      <c r="E1506" s="1">
        <v>43621</v>
      </c>
      <c r="F1506">
        <v>11980.81</v>
      </c>
      <c r="G1506" s="1">
        <v>43606</v>
      </c>
      <c r="H1506">
        <v>8359.95982</v>
      </c>
      <c r="I1506" s="1">
        <v>43635</v>
      </c>
      <c r="J1506">
        <v>9231.2000000000007</v>
      </c>
      <c r="K1506" s="1">
        <v>43621</v>
      </c>
      <c r="L1506">
        <v>20155.73</v>
      </c>
    </row>
    <row r="1507" spans="1:12" x14ac:dyDescent="0.35">
      <c r="A1507" s="1">
        <v>43641</v>
      </c>
      <c r="B1507">
        <v>3444.36</v>
      </c>
      <c r="C1507" s="1">
        <v>43636</v>
      </c>
      <c r="D1507">
        <v>5535.57</v>
      </c>
      <c r="E1507" s="1">
        <v>43620</v>
      </c>
      <c r="F1507">
        <v>11971.17</v>
      </c>
      <c r="G1507" s="1">
        <v>43605</v>
      </c>
      <c r="H1507">
        <v>8328.8257699999995</v>
      </c>
      <c r="I1507" s="1">
        <v>43634</v>
      </c>
      <c r="J1507">
        <v>9240.7000000000007</v>
      </c>
      <c r="K1507" s="1">
        <v>43620</v>
      </c>
      <c r="L1507">
        <v>20229.419999999998</v>
      </c>
    </row>
    <row r="1508" spans="1:12" x14ac:dyDescent="0.35">
      <c r="A1508" s="1">
        <v>43640</v>
      </c>
      <c r="B1508">
        <v>3455.57</v>
      </c>
      <c r="C1508" s="1">
        <v>43635</v>
      </c>
      <c r="D1508">
        <v>5518.45</v>
      </c>
      <c r="E1508" s="1">
        <v>43619</v>
      </c>
      <c r="F1508">
        <v>11792.81</v>
      </c>
      <c r="G1508" s="1">
        <v>43602</v>
      </c>
      <c r="H1508">
        <v>8380.0861000000004</v>
      </c>
      <c r="I1508" s="1">
        <v>43633</v>
      </c>
      <c r="J1508">
        <v>9131.7000000000007</v>
      </c>
      <c r="K1508" s="1">
        <v>43619</v>
      </c>
      <c r="L1508">
        <v>19874.240000000002</v>
      </c>
    </row>
    <row r="1509" spans="1:12" x14ac:dyDescent="0.35">
      <c r="A1509" s="1">
        <v>43637</v>
      </c>
      <c r="B1509">
        <v>3466.92</v>
      </c>
      <c r="C1509" s="1">
        <v>43634</v>
      </c>
      <c r="D1509">
        <v>5509.73</v>
      </c>
      <c r="E1509" s="1">
        <v>43616</v>
      </c>
      <c r="F1509">
        <v>11726.84</v>
      </c>
      <c r="G1509" s="1">
        <v>43601</v>
      </c>
      <c r="H1509">
        <v>8418.0156100000004</v>
      </c>
      <c r="I1509" s="1">
        <v>43630</v>
      </c>
      <c r="J1509">
        <v>9194.2000000000007</v>
      </c>
      <c r="K1509" s="1">
        <v>43616</v>
      </c>
      <c r="L1509">
        <v>19802.11</v>
      </c>
    </row>
    <row r="1510" spans="1:12" x14ac:dyDescent="0.35">
      <c r="A1510" s="1">
        <v>43636</v>
      </c>
      <c r="B1510">
        <v>3468.08</v>
      </c>
      <c r="C1510" s="1">
        <v>43633</v>
      </c>
      <c r="D1510">
        <v>5390.95</v>
      </c>
      <c r="E1510" s="1">
        <v>43615</v>
      </c>
      <c r="F1510">
        <v>11902.08</v>
      </c>
      <c r="G1510" s="1">
        <v>43600</v>
      </c>
      <c r="H1510">
        <v>8376.5808300000008</v>
      </c>
      <c r="I1510" s="1">
        <v>43629</v>
      </c>
      <c r="J1510">
        <v>9247.1</v>
      </c>
      <c r="K1510" s="1">
        <v>43615</v>
      </c>
      <c r="L1510">
        <v>19947.919999999998</v>
      </c>
    </row>
    <row r="1511" spans="1:12" x14ac:dyDescent="0.35">
      <c r="A1511" s="1">
        <v>43635</v>
      </c>
      <c r="B1511">
        <v>3454.7</v>
      </c>
      <c r="C1511" s="1">
        <v>43630</v>
      </c>
      <c r="D1511">
        <v>5367.62</v>
      </c>
      <c r="E1511" s="1">
        <v>43614</v>
      </c>
      <c r="F1511">
        <v>11837.81</v>
      </c>
      <c r="G1511" s="1">
        <v>43599</v>
      </c>
      <c r="H1511">
        <v>8344.31286</v>
      </c>
      <c r="I1511" s="1">
        <v>43628</v>
      </c>
      <c r="J1511">
        <v>9238.5</v>
      </c>
      <c r="K1511" s="1">
        <v>43614</v>
      </c>
      <c r="L1511">
        <v>19999.939999999999</v>
      </c>
    </row>
    <row r="1512" spans="1:12" x14ac:dyDescent="0.35">
      <c r="A1512" s="1">
        <v>43634</v>
      </c>
      <c r="B1512">
        <v>3452.89</v>
      </c>
      <c r="C1512" s="1">
        <v>43629</v>
      </c>
      <c r="D1512">
        <v>5375.63</v>
      </c>
      <c r="E1512" s="1">
        <v>43613</v>
      </c>
      <c r="F1512">
        <v>12027.05</v>
      </c>
      <c r="G1512" s="1">
        <v>43598</v>
      </c>
      <c r="H1512">
        <v>8255.9259999999995</v>
      </c>
      <c r="I1512" s="1">
        <v>43627</v>
      </c>
      <c r="J1512">
        <v>9282.1</v>
      </c>
      <c r="K1512" s="1">
        <v>43613</v>
      </c>
      <c r="L1512">
        <v>20260.98</v>
      </c>
    </row>
    <row r="1513" spans="1:12" x14ac:dyDescent="0.35">
      <c r="A1513" s="1">
        <v>43633</v>
      </c>
      <c r="B1513">
        <v>3383.21</v>
      </c>
      <c r="C1513" s="1">
        <v>43628</v>
      </c>
      <c r="D1513">
        <v>5374.92</v>
      </c>
      <c r="E1513" s="1">
        <v>43612</v>
      </c>
      <c r="F1513">
        <v>12071.18</v>
      </c>
      <c r="G1513" s="1">
        <v>43595</v>
      </c>
      <c r="H1513">
        <v>8350.7394199999999</v>
      </c>
      <c r="I1513" s="1">
        <v>43626</v>
      </c>
      <c r="J1513">
        <v>9294.1</v>
      </c>
      <c r="K1513" s="1">
        <v>43612</v>
      </c>
      <c r="L1513">
        <v>20363.13</v>
      </c>
    </row>
    <row r="1514" spans="1:12" x14ac:dyDescent="0.35">
      <c r="A1514" s="1">
        <v>43630</v>
      </c>
      <c r="B1514">
        <v>3379.19</v>
      </c>
      <c r="C1514" s="1">
        <v>43627</v>
      </c>
      <c r="D1514">
        <v>5408.45</v>
      </c>
      <c r="E1514" s="1">
        <v>43609</v>
      </c>
      <c r="F1514">
        <v>12011.04</v>
      </c>
      <c r="G1514" s="1">
        <v>43594</v>
      </c>
      <c r="H1514">
        <v>8367.3043500000003</v>
      </c>
      <c r="I1514" s="1">
        <v>43623</v>
      </c>
      <c r="J1514">
        <v>9236.1</v>
      </c>
      <c r="K1514" s="1">
        <v>43609</v>
      </c>
      <c r="L1514">
        <v>20376.03</v>
      </c>
    </row>
    <row r="1515" spans="1:12" x14ac:dyDescent="0.35">
      <c r="A1515" s="1">
        <v>43629</v>
      </c>
      <c r="B1515">
        <v>3390.5</v>
      </c>
      <c r="C1515" s="1">
        <v>43626</v>
      </c>
      <c r="D1515">
        <v>5382.5</v>
      </c>
      <c r="E1515" s="1">
        <v>43608</v>
      </c>
      <c r="F1515">
        <v>11952.41</v>
      </c>
      <c r="G1515" s="1">
        <v>43593</v>
      </c>
      <c r="H1515">
        <v>8451.7495799999997</v>
      </c>
      <c r="I1515" s="1">
        <v>43622</v>
      </c>
      <c r="J1515">
        <v>9169.2000000000007</v>
      </c>
      <c r="K1515" s="1">
        <v>43608</v>
      </c>
      <c r="L1515">
        <v>20136.39</v>
      </c>
    </row>
    <row r="1516" spans="1:12" x14ac:dyDescent="0.35">
      <c r="A1516" s="1">
        <v>43628</v>
      </c>
      <c r="B1516">
        <v>3386.63</v>
      </c>
      <c r="C1516" s="1">
        <v>43623</v>
      </c>
      <c r="D1516">
        <v>5364.05</v>
      </c>
      <c r="E1516" s="1">
        <v>43607</v>
      </c>
      <c r="F1516">
        <v>12168.74</v>
      </c>
      <c r="G1516" s="1">
        <v>43592</v>
      </c>
      <c r="H1516">
        <v>8483.8673199999994</v>
      </c>
      <c r="I1516" s="1">
        <v>43621</v>
      </c>
      <c r="J1516">
        <v>9150.5</v>
      </c>
      <c r="K1516" s="1">
        <v>43607</v>
      </c>
      <c r="L1516">
        <v>20573.310000000001</v>
      </c>
    </row>
    <row r="1517" spans="1:12" x14ac:dyDescent="0.35">
      <c r="A1517" s="1">
        <v>43627</v>
      </c>
      <c r="B1517">
        <v>3401.1</v>
      </c>
      <c r="C1517" s="1">
        <v>43622</v>
      </c>
      <c r="D1517">
        <v>5278.43</v>
      </c>
      <c r="E1517" s="1">
        <v>43606</v>
      </c>
      <c r="F1517">
        <v>12143.47</v>
      </c>
      <c r="G1517" s="1">
        <v>43588</v>
      </c>
      <c r="H1517">
        <v>8666.7804599999999</v>
      </c>
      <c r="I1517" s="1">
        <v>43620</v>
      </c>
      <c r="J1517">
        <v>9117.6</v>
      </c>
      <c r="K1517" s="1">
        <v>43606</v>
      </c>
      <c r="L1517">
        <v>20698.61</v>
      </c>
    </row>
    <row r="1518" spans="1:12" x14ac:dyDescent="0.35">
      <c r="A1518" s="1">
        <v>43626</v>
      </c>
      <c r="B1518">
        <v>3386.45</v>
      </c>
      <c r="C1518" s="1">
        <v>43621</v>
      </c>
      <c r="D1518">
        <v>5292</v>
      </c>
      <c r="E1518" s="1">
        <v>43605</v>
      </c>
      <c r="F1518">
        <v>12041.29</v>
      </c>
      <c r="G1518" s="1">
        <v>43587</v>
      </c>
      <c r="H1518">
        <v>8565.3481300000003</v>
      </c>
      <c r="I1518" s="1">
        <v>43619</v>
      </c>
      <c r="J1518">
        <v>9022.7999999999993</v>
      </c>
      <c r="K1518" s="1">
        <v>43605</v>
      </c>
      <c r="L1518">
        <v>20539.87</v>
      </c>
    </row>
    <row r="1519" spans="1:12" x14ac:dyDescent="0.35">
      <c r="A1519" s="1">
        <v>43623</v>
      </c>
      <c r="B1519">
        <v>3378.38</v>
      </c>
      <c r="C1519" s="1">
        <v>43620</v>
      </c>
      <c r="D1519">
        <v>5268.26</v>
      </c>
      <c r="E1519" s="1">
        <v>43602</v>
      </c>
      <c r="F1519">
        <v>12238.94</v>
      </c>
      <c r="G1519" s="1">
        <v>43586</v>
      </c>
      <c r="H1519">
        <v>8593.3629299999993</v>
      </c>
      <c r="I1519" s="1">
        <v>43616</v>
      </c>
      <c r="J1519">
        <v>9004.2000000000007</v>
      </c>
      <c r="K1519" s="1">
        <v>43602</v>
      </c>
      <c r="L1519">
        <v>21105.279999999999</v>
      </c>
    </row>
    <row r="1520" spans="1:12" x14ac:dyDescent="0.35">
      <c r="A1520" s="1">
        <v>43622</v>
      </c>
      <c r="B1520">
        <v>3338.41</v>
      </c>
      <c r="C1520" s="1">
        <v>43619</v>
      </c>
      <c r="D1520">
        <v>5241.46</v>
      </c>
      <c r="E1520" s="1">
        <v>43601</v>
      </c>
      <c r="F1520">
        <v>12310.37</v>
      </c>
      <c r="G1520" s="1">
        <v>43585</v>
      </c>
      <c r="H1520">
        <v>8625.1604900000002</v>
      </c>
      <c r="I1520" s="1">
        <v>43615</v>
      </c>
      <c r="J1520">
        <v>9157.7999999999993</v>
      </c>
      <c r="K1520" s="1">
        <v>43601</v>
      </c>
      <c r="L1520">
        <v>21151.8</v>
      </c>
    </row>
    <row r="1521" spans="1:12" x14ac:dyDescent="0.35">
      <c r="A1521" s="1">
        <v>43621</v>
      </c>
      <c r="B1521">
        <v>3339.95</v>
      </c>
      <c r="C1521" s="1">
        <v>43616</v>
      </c>
      <c r="D1521">
        <v>5207.63</v>
      </c>
      <c r="E1521" s="1">
        <v>43600</v>
      </c>
      <c r="F1521">
        <v>12099.57</v>
      </c>
      <c r="G1521" s="1">
        <v>43584</v>
      </c>
      <c r="H1521">
        <v>8606.5697</v>
      </c>
      <c r="I1521" s="1">
        <v>43614</v>
      </c>
      <c r="J1521">
        <v>9080.5</v>
      </c>
      <c r="K1521" s="1">
        <v>43600</v>
      </c>
      <c r="L1521">
        <v>20863.14</v>
      </c>
    </row>
    <row r="1522" spans="1:12" x14ac:dyDescent="0.35">
      <c r="A1522" s="1">
        <v>43620</v>
      </c>
      <c r="B1522">
        <v>3333.49</v>
      </c>
      <c r="C1522" s="1">
        <v>43615</v>
      </c>
      <c r="D1522">
        <v>5248.91</v>
      </c>
      <c r="E1522" s="1">
        <v>43599</v>
      </c>
      <c r="F1522">
        <v>11991.62</v>
      </c>
      <c r="G1522" s="1">
        <v>43581</v>
      </c>
      <c r="H1522">
        <v>8606.0002899999999</v>
      </c>
      <c r="I1522" s="1">
        <v>43613</v>
      </c>
      <c r="J1522">
        <v>9191.7999999999993</v>
      </c>
      <c r="K1522" s="1">
        <v>43599</v>
      </c>
      <c r="L1522">
        <v>20892.66</v>
      </c>
    </row>
    <row r="1523" spans="1:12" x14ac:dyDescent="0.35">
      <c r="A1523" s="1">
        <v>43619</v>
      </c>
      <c r="B1523">
        <v>3300.22</v>
      </c>
      <c r="C1523" s="1">
        <v>43614</v>
      </c>
      <c r="D1523">
        <v>5222.12</v>
      </c>
      <c r="E1523" s="1">
        <v>43598</v>
      </c>
      <c r="F1523">
        <v>11876.65</v>
      </c>
      <c r="G1523" s="1">
        <v>43580</v>
      </c>
      <c r="H1523">
        <v>8612.2964200000006</v>
      </c>
      <c r="I1523" s="1">
        <v>43612</v>
      </c>
      <c r="J1523">
        <v>9216.4</v>
      </c>
      <c r="K1523" s="1">
        <v>43598</v>
      </c>
      <c r="L1523">
        <v>20593.72</v>
      </c>
    </row>
    <row r="1524" spans="1:12" x14ac:dyDescent="0.35">
      <c r="A1524" s="1">
        <v>43616</v>
      </c>
      <c r="B1524">
        <v>3280.43</v>
      </c>
      <c r="C1524" s="1">
        <v>43613</v>
      </c>
      <c r="D1524">
        <v>5312.69</v>
      </c>
      <c r="E1524" s="1">
        <v>43595</v>
      </c>
      <c r="F1524">
        <v>12059.83</v>
      </c>
      <c r="G1524" s="1">
        <v>43579</v>
      </c>
      <c r="H1524">
        <v>8652.2048099999993</v>
      </c>
      <c r="I1524" s="1">
        <v>43609</v>
      </c>
      <c r="J1524">
        <v>9174.6</v>
      </c>
      <c r="K1524" s="1">
        <v>43595</v>
      </c>
      <c r="L1524">
        <v>20874.78</v>
      </c>
    </row>
    <row r="1525" spans="1:12" x14ac:dyDescent="0.35">
      <c r="A1525" s="1">
        <v>43615</v>
      </c>
      <c r="B1525">
        <v>3318.15</v>
      </c>
      <c r="C1525" s="1">
        <v>43612</v>
      </c>
      <c r="D1525">
        <v>5336.19</v>
      </c>
      <c r="E1525" s="1">
        <v>43594</v>
      </c>
      <c r="F1525">
        <v>11973.92</v>
      </c>
      <c r="G1525" s="1">
        <v>43578</v>
      </c>
      <c r="H1525">
        <v>8685.6774800000003</v>
      </c>
      <c r="I1525" s="1">
        <v>43608</v>
      </c>
      <c r="J1525">
        <v>9114</v>
      </c>
      <c r="K1525" s="1">
        <v>43594</v>
      </c>
      <c r="L1525">
        <v>20817.16</v>
      </c>
    </row>
    <row r="1526" spans="1:12" x14ac:dyDescent="0.35">
      <c r="A1526" s="1">
        <v>43614</v>
      </c>
      <c r="B1526">
        <v>3297.81</v>
      </c>
      <c r="C1526" s="1">
        <v>43609</v>
      </c>
      <c r="D1526">
        <v>5316.51</v>
      </c>
      <c r="E1526" s="1">
        <v>43593</v>
      </c>
      <c r="F1526">
        <v>12179.93</v>
      </c>
      <c r="G1526" s="1">
        <v>43573</v>
      </c>
      <c r="H1526">
        <v>8623.0367100000003</v>
      </c>
      <c r="I1526" s="1">
        <v>43607</v>
      </c>
      <c r="J1526">
        <v>9232.2000000000007</v>
      </c>
      <c r="K1526" s="1">
        <v>43593</v>
      </c>
      <c r="L1526">
        <v>21203.86</v>
      </c>
    </row>
    <row r="1527" spans="1:12" x14ac:dyDescent="0.35">
      <c r="A1527" s="1">
        <v>43613</v>
      </c>
      <c r="B1527">
        <v>3348.86</v>
      </c>
      <c r="C1527" s="1">
        <v>43608</v>
      </c>
      <c r="D1527">
        <v>5281.37</v>
      </c>
      <c r="E1527" s="1">
        <v>43592</v>
      </c>
      <c r="F1527">
        <v>12092.74</v>
      </c>
      <c r="G1527" s="1">
        <v>43572</v>
      </c>
      <c r="H1527">
        <v>8622.8398400000005</v>
      </c>
      <c r="I1527" s="1">
        <v>43606</v>
      </c>
      <c r="J1527">
        <v>9239.1</v>
      </c>
      <c r="K1527" s="1">
        <v>43592</v>
      </c>
      <c r="L1527">
        <v>21219.14</v>
      </c>
    </row>
    <row r="1528" spans="1:12" x14ac:dyDescent="0.35">
      <c r="A1528" s="1">
        <v>43612</v>
      </c>
      <c r="B1528">
        <v>3364.04</v>
      </c>
      <c r="C1528" s="1">
        <v>43607</v>
      </c>
      <c r="D1528">
        <v>5378.98</v>
      </c>
      <c r="E1528" s="1">
        <v>43591</v>
      </c>
      <c r="F1528">
        <v>12286.88</v>
      </c>
      <c r="G1528" s="1">
        <v>43571</v>
      </c>
      <c r="H1528">
        <v>8640.3222100000003</v>
      </c>
      <c r="I1528" s="1">
        <v>43605</v>
      </c>
      <c r="J1528">
        <v>9199.7000000000007</v>
      </c>
      <c r="K1528" s="1">
        <v>43591</v>
      </c>
      <c r="L1528">
        <v>21409.29</v>
      </c>
    </row>
    <row r="1529" spans="1:12" x14ac:dyDescent="0.35">
      <c r="A1529" s="1">
        <v>43609</v>
      </c>
      <c r="B1529">
        <v>3350.7</v>
      </c>
      <c r="C1529" s="1">
        <v>43606</v>
      </c>
      <c r="D1529">
        <v>5385.46</v>
      </c>
      <c r="E1529" s="1">
        <v>43588</v>
      </c>
      <c r="F1529">
        <v>12412.75</v>
      </c>
      <c r="G1529" s="1">
        <v>43570</v>
      </c>
      <c r="H1529">
        <v>8621.4284900000002</v>
      </c>
      <c r="I1529" s="1">
        <v>43602</v>
      </c>
      <c r="J1529">
        <v>9280.1</v>
      </c>
      <c r="K1529" s="1">
        <v>43588</v>
      </c>
      <c r="L1529">
        <v>21763.48</v>
      </c>
    </row>
    <row r="1530" spans="1:12" x14ac:dyDescent="0.35">
      <c r="A1530" s="1">
        <v>43608</v>
      </c>
      <c r="B1530">
        <v>3327.2</v>
      </c>
      <c r="C1530" s="1">
        <v>43605</v>
      </c>
      <c r="D1530">
        <v>5358.59</v>
      </c>
      <c r="E1530" s="1">
        <v>43587</v>
      </c>
      <c r="F1530">
        <v>12345.42</v>
      </c>
      <c r="G1530" s="1">
        <v>43567</v>
      </c>
      <c r="H1530">
        <v>8614.5890099999997</v>
      </c>
      <c r="I1530" s="1">
        <v>43601</v>
      </c>
      <c r="J1530">
        <v>9304.2999999999993</v>
      </c>
      <c r="K1530" s="1">
        <v>43587</v>
      </c>
      <c r="L1530">
        <v>21710.38</v>
      </c>
    </row>
    <row r="1531" spans="1:12" x14ac:dyDescent="0.35">
      <c r="A1531" s="1">
        <v>43607</v>
      </c>
      <c r="B1531">
        <v>3386.72</v>
      </c>
      <c r="C1531" s="1">
        <v>43602</v>
      </c>
      <c r="D1531">
        <v>5438.23</v>
      </c>
      <c r="E1531" s="1">
        <v>43585</v>
      </c>
      <c r="F1531">
        <v>12344.08</v>
      </c>
      <c r="G1531" s="1">
        <v>43566</v>
      </c>
      <c r="H1531">
        <v>8609.9087400000008</v>
      </c>
      <c r="I1531" s="1">
        <v>43600</v>
      </c>
      <c r="J1531">
        <v>9177.1</v>
      </c>
      <c r="K1531" s="1">
        <v>43585</v>
      </c>
      <c r="L1531">
        <v>21881.33</v>
      </c>
    </row>
    <row r="1532" spans="1:12" x14ac:dyDescent="0.35">
      <c r="A1532" s="1">
        <v>43606</v>
      </c>
      <c r="B1532">
        <v>3386.51</v>
      </c>
      <c r="C1532" s="1">
        <v>43601</v>
      </c>
      <c r="D1532">
        <v>5448.11</v>
      </c>
      <c r="E1532" s="1">
        <v>43584</v>
      </c>
      <c r="F1532">
        <v>12328.02</v>
      </c>
      <c r="G1532" s="1">
        <v>43565</v>
      </c>
      <c r="H1532">
        <v>8631.0310200000004</v>
      </c>
      <c r="I1532" s="1">
        <v>43599</v>
      </c>
      <c r="J1532">
        <v>9127.6</v>
      </c>
      <c r="K1532" s="1">
        <v>43584</v>
      </c>
      <c r="L1532">
        <v>21788.54</v>
      </c>
    </row>
    <row r="1533" spans="1:12" x14ac:dyDescent="0.35">
      <c r="A1533" s="1">
        <v>43605</v>
      </c>
      <c r="B1533">
        <v>3369.78</v>
      </c>
      <c r="C1533" s="1">
        <v>43600</v>
      </c>
      <c r="D1533">
        <v>5374.26</v>
      </c>
      <c r="E1533" s="1">
        <v>43581</v>
      </c>
      <c r="F1533">
        <v>12315.18</v>
      </c>
      <c r="G1533" s="1">
        <v>43564</v>
      </c>
      <c r="H1533">
        <v>8588.4920099999999</v>
      </c>
      <c r="I1533" s="1">
        <v>43598</v>
      </c>
      <c r="J1533">
        <v>9046.7999999999993</v>
      </c>
      <c r="K1533" s="1">
        <v>43581</v>
      </c>
      <c r="L1533">
        <v>21737.97</v>
      </c>
    </row>
    <row r="1534" spans="1:12" x14ac:dyDescent="0.35">
      <c r="A1534" s="1">
        <v>43602</v>
      </c>
      <c r="B1534">
        <v>3425.64</v>
      </c>
      <c r="C1534" s="1">
        <v>43599</v>
      </c>
      <c r="D1534">
        <v>5341.35</v>
      </c>
      <c r="E1534" s="1">
        <v>43580</v>
      </c>
      <c r="F1534">
        <v>12282.6</v>
      </c>
      <c r="G1534" s="1">
        <v>43563</v>
      </c>
      <c r="H1534">
        <v>8637.1022900000007</v>
      </c>
      <c r="I1534" s="1">
        <v>43595</v>
      </c>
      <c r="J1534">
        <v>9117.5</v>
      </c>
      <c r="K1534" s="1">
        <v>43580</v>
      </c>
      <c r="L1534">
        <v>21719.88</v>
      </c>
    </row>
    <row r="1535" spans="1:12" x14ac:dyDescent="0.35">
      <c r="A1535" s="1">
        <v>43601</v>
      </c>
      <c r="B1535">
        <v>3438.56</v>
      </c>
      <c r="C1535" s="1">
        <v>43598</v>
      </c>
      <c r="D1535">
        <v>5262.57</v>
      </c>
      <c r="E1535" s="1">
        <v>43579</v>
      </c>
      <c r="F1535">
        <v>12313.16</v>
      </c>
      <c r="G1535" s="1">
        <v>43560</v>
      </c>
      <c r="H1535">
        <v>8642.0876499999995</v>
      </c>
      <c r="I1535" s="1">
        <v>43594</v>
      </c>
      <c r="J1535">
        <v>9095.2000000000007</v>
      </c>
      <c r="K1535" s="1">
        <v>43579</v>
      </c>
      <c r="L1535">
        <v>21724.44</v>
      </c>
    </row>
    <row r="1536" spans="1:12" x14ac:dyDescent="0.35">
      <c r="A1536" s="1">
        <v>43600</v>
      </c>
      <c r="B1536">
        <v>3385.78</v>
      </c>
      <c r="C1536" s="1">
        <v>43595</v>
      </c>
      <c r="D1536">
        <v>5327.44</v>
      </c>
      <c r="E1536" s="1">
        <v>43578</v>
      </c>
      <c r="F1536">
        <v>12235.51</v>
      </c>
      <c r="G1536" s="1">
        <v>43559</v>
      </c>
      <c r="H1536">
        <v>8631.0882500000007</v>
      </c>
      <c r="I1536" s="1">
        <v>43593</v>
      </c>
      <c r="J1536">
        <v>9227</v>
      </c>
      <c r="K1536" s="1">
        <v>43578</v>
      </c>
      <c r="L1536">
        <v>21896.84</v>
      </c>
    </row>
    <row r="1537" spans="1:12" x14ac:dyDescent="0.35">
      <c r="A1537" s="1">
        <v>43599</v>
      </c>
      <c r="B1537">
        <v>3364.38</v>
      </c>
      <c r="C1537" s="1">
        <v>43594</v>
      </c>
      <c r="D1537">
        <v>5313.16</v>
      </c>
      <c r="E1537" s="1">
        <v>43573</v>
      </c>
      <c r="F1537">
        <v>12222.39</v>
      </c>
      <c r="G1537" s="1">
        <v>43558</v>
      </c>
      <c r="H1537">
        <v>8688.9672399999999</v>
      </c>
      <c r="I1537" s="1">
        <v>43592</v>
      </c>
      <c r="J1537">
        <v>9235.1</v>
      </c>
      <c r="K1537" s="1">
        <v>43573</v>
      </c>
      <c r="L1537">
        <v>21956.59</v>
      </c>
    </row>
    <row r="1538" spans="1:12" x14ac:dyDescent="0.35">
      <c r="A1538" s="1">
        <v>43598</v>
      </c>
      <c r="B1538">
        <v>3320.78</v>
      </c>
      <c r="C1538" s="1">
        <v>43593</v>
      </c>
      <c r="D1538">
        <v>5417.59</v>
      </c>
      <c r="E1538" s="1">
        <v>43572</v>
      </c>
      <c r="F1538">
        <v>12153.07</v>
      </c>
      <c r="G1538" s="1">
        <v>43557</v>
      </c>
      <c r="H1538">
        <v>8632.1046900000001</v>
      </c>
      <c r="I1538" s="1">
        <v>43591</v>
      </c>
      <c r="J1538">
        <v>9331</v>
      </c>
      <c r="K1538" s="1">
        <v>43572</v>
      </c>
      <c r="L1538">
        <v>22000.880000000001</v>
      </c>
    </row>
    <row r="1539" spans="1:12" x14ac:dyDescent="0.35">
      <c r="A1539" s="1">
        <v>43595</v>
      </c>
      <c r="B1539">
        <v>3361.05</v>
      </c>
      <c r="C1539" s="1">
        <v>43592</v>
      </c>
      <c r="D1539">
        <v>5395.75</v>
      </c>
      <c r="E1539" s="1">
        <v>43571</v>
      </c>
      <c r="F1539">
        <v>12101.32</v>
      </c>
      <c r="G1539" s="1">
        <v>43556</v>
      </c>
      <c r="H1539">
        <v>8566.5454399999999</v>
      </c>
      <c r="I1539" s="1">
        <v>43588</v>
      </c>
      <c r="J1539">
        <v>9409.6</v>
      </c>
      <c r="K1539" s="1">
        <v>43571</v>
      </c>
      <c r="L1539">
        <v>21918.93</v>
      </c>
    </row>
    <row r="1540" spans="1:12" x14ac:dyDescent="0.35">
      <c r="A1540" s="1">
        <v>43594</v>
      </c>
      <c r="B1540">
        <v>3350.71</v>
      </c>
      <c r="C1540" s="1">
        <v>43591</v>
      </c>
      <c r="D1540">
        <v>5483.52</v>
      </c>
      <c r="E1540" s="1">
        <v>43570</v>
      </c>
      <c r="F1540">
        <v>12020.28</v>
      </c>
      <c r="G1540" s="1">
        <v>43553</v>
      </c>
      <c r="H1540">
        <v>8428.7065000000002</v>
      </c>
      <c r="I1540" s="1">
        <v>43587</v>
      </c>
      <c r="J1540">
        <v>9418.2000000000007</v>
      </c>
      <c r="K1540" s="1">
        <v>43570</v>
      </c>
      <c r="L1540">
        <v>21892.42</v>
      </c>
    </row>
    <row r="1541" spans="1:12" x14ac:dyDescent="0.35">
      <c r="A1541" s="1">
        <v>43593</v>
      </c>
      <c r="B1541">
        <v>3417.26</v>
      </c>
      <c r="C1541" s="1">
        <v>43588</v>
      </c>
      <c r="D1541">
        <v>5548.84</v>
      </c>
      <c r="E1541" s="1">
        <v>43567</v>
      </c>
      <c r="F1541">
        <v>11999.93</v>
      </c>
      <c r="G1541" s="1">
        <v>43552</v>
      </c>
      <c r="H1541">
        <v>8417.1928599999992</v>
      </c>
      <c r="I1541" s="1">
        <v>43585</v>
      </c>
      <c r="J1541">
        <v>9570.6</v>
      </c>
      <c r="K1541" s="1">
        <v>43567</v>
      </c>
      <c r="L1541">
        <v>21858.31</v>
      </c>
    </row>
    <row r="1542" spans="1:12" x14ac:dyDescent="0.35">
      <c r="A1542" s="1">
        <v>43592</v>
      </c>
      <c r="B1542">
        <v>3401.16</v>
      </c>
      <c r="C1542" s="1">
        <v>43587</v>
      </c>
      <c r="D1542">
        <v>5538.86</v>
      </c>
      <c r="E1542" s="1">
        <v>43566</v>
      </c>
      <c r="F1542">
        <v>11935.2</v>
      </c>
      <c r="G1542" s="1">
        <v>43551</v>
      </c>
      <c r="H1542">
        <v>8450.3285599999999</v>
      </c>
      <c r="I1542" s="1">
        <v>43584</v>
      </c>
      <c r="J1542">
        <v>9517.2000000000007</v>
      </c>
      <c r="K1542" s="1">
        <v>43566</v>
      </c>
      <c r="L1542">
        <v>21684.84</v>
      </c>
    </row>
    <row r="1543" spans="1:12" x14ac:dyDescent="0.35">
      <c r="A1543" s="1">
        <v>43591</v>
      </c>
      <c r="B1543">
        <v>3462.95</v>
      </c>
      <c r="C1543" s="1">
        <v>43585</v>
      </c>
      <c r="D1543">
        <v>5586.41</v>
      </c>
      <c r="E1543" s="1">
        <v>43565</v>
      </c>
      <c r="F1543">
        <v>11905.91</v>
      </c>
      <c r="G1543" s="1">
        <v>43550</v>
      </c>
      <c r="H1543">
        <v>8432.9829300000001</v>
      </c>
      <c r="I1543" s="1">
        <v>43581</v>
      </c>
      <c r="J1543">
        <v>9506</v>
      </c>
      <c r="K1543" s="1">
        <v>43565</v>
      </c>
      <c r="L1543">
        <v>21671.759999999998</v>
      </c>
    </row>
    <row r="1544" spans="1:12" x14ac:dyDescent="0.35">
      <c r="A1544" s="1">
        <v>43588</v>
      </c>
      <c r="B1544">
        <v>3502.48</v>
      </c>
      <c r="C1544" s="1">
        <v>43584</v>
      </c>
      <c r="D1544">
        <v>5580.98</v>
      </c>
      <c r="E1544" s="1">
        <v>43564</v>
      </c>
      <c r="F1544">
        <v>11850.57</v>
      </c>
      <c r="G1544" s="1">
        <v>43549</v>
      </c>
      <c r="H1544">
        <v>8361.0530299999991</v>
      </c>
      <c r="I1544" s="1">
        <v>43580</v>
      </c>
      <c r="J1544">
        <v>9501.2000000000007</v>
      </c>
      <c r="K1544" s="1">
        <v>43564</v>
      </c>
      <c r="L1544">
        <v>21671.78</v>
      </c>
    </row>
    <row r="1545" spans="1:12" x14ac:dyDescent="0.35">
      <c r="A1545" s="1">
        <v>43587</v>
      </c>
      <c r="B1545">
        <v>3488.93</v>
      </c>
      <c r="C1545" s="1">
        <v>43581</v>
      </c>
      <c r="D1545">
        <v>5569.36</v>
      </c>
      <c r="E1545" s="1">
        <v>43563</v>
      </c>
      <c r="F1545">
        <v>11963.4</v>
      </c>
      <c r="G1545" s="1">
        <v>43546</v>
      </c>
      <c r="H1545">
        <v>8422.3595299999997</v>
      </c>
      <c r="I1545" s="1">
        <v>43579</v>
      </c>
      <c r="J1545">
        <v>9456.4</v>
      </c>
      <c r="K1545" s="1">
        <v>43563</v>
      </c>
      <c r="L1545">
        <v>21771.96</v>
      </c>
    </row>
    <row r="1546" spans="1:12" x14ac:dyDescent="0.35">
      <c r="A1546" s="1">
        <v>43586</v>
      </c>
      <c r="B1546">
        <v>3514.62</v>
      </c>
      <c r="C1546" s="1">
        <v>43580</v>
      </c>
      <c r="D1546">
        <v>5557.67</v>
      </c>
      <c r="E1546" s="1">
        <v>43560</v>
      </c>
      <c r="F1546">
        <v>12009.75</v>
      </c>
      <c r="G1546" s="1">
        <v>43545</v>
      </c>
      <c r="H1546">
        <v>8461.8782599999995</v>
      </c>
      <c r="I1546" s="1">
        <v>43578</v>
      </c>
      <c r="J1546">
        <v>9527.2000000000007</v>
      </c>
      <c r="K1546" s="1">
        <v>43560</v>
      </c>
      <c r="L1546">
        <v>21758.61</v>
      </c>
    </row>
    <row r="1547" spans="1:12" x14ac:dyDescent="0.35">
      <c r="A1547" s="1">
        <v>43585</v>
      </c>
      <c r="B1547">
        <v>3514.62</v>
      </c>
      <c r="C1547" s="1">
        <v>43579</v>
      </c>
      <c r="D1547">
        <v>5576.06</v>
      </c>
      <c r="E1547" s="1">
        <v>43559</v>
      </c>
      <c r="F1547">
        <v>11988.01</v>
      </c>
      <c r="G1547" s="1">
        <v>43544</v>
      </c>
      <c r="H1547">
        <v>8462.5272800000002</v>
      </c>
      <c r="I1547" s="1">
        <v>43573</v>
      </c>
      <c r="J1547">
        <v>9581.9</v>
      </c>
      <c r="K1547" s="1">
        <v>43559</v>
      </c>
      <c r="L1547">
        <v>21705.599999999999</v>
      </c>
    </row>
    <row r="1548" spans="1:12" x14ac:dyDescent="0.35">
      <c r="A1548" s="1">
        <v>43584</v>
      </c>
      <c r="B1548">
        <v>3501.94</v>
      </c>
      <c r="C1548" s="1">
        <v>43578</v>
      </c>
      <c r="D1548">
        <v>5591.69</v>
      </c>
      <c r="E1548" s="1">
        <v>43558</v>
      </c>
      <c r="F1548">
        <v>11954.4</v>
      </c>
      <c r="G1548" s="1">
        <v>43543</v>
      </c>
      <c r="H1548">
        <v>8559.2880000000005</v>
      </c>
      <c r="I1548" s="1">
        <v>43572</v>
      </c>
      <c r="J1548">
        <v>9549.7999999999993</v>
      </c>
      <c r="K1548" s="1">
        <v>43558</v>
      </c>
      <c r="L1548">
        <v>21755.88</v>
      </c>
    </row>
    <row r="1549" spans="1:12" x14ac:dyDescent="0.35">
      <c r="A1549" s="1">
        <v>43581</v>
      </c>
      <c r="B1549">
        <v>3500.41</v>
      </c>
      <c r="C1549" s="1">
        <v>43573</v>
      </c>
      <c r="D1549">
        <v>5580.38</v>
      </c>
      <c r="E1549" s="1">
        <v>43557</v>
      </c>
      <c r="F1549">
        <v>11754.79</v>
      </c>
      <c r="G1549" s="1">
        <v>43542</v>
      </c>
      <c r="H1549">
        <v>8527.3199600000007</v>
      </c>
      <c r="I1549" s="1">
        <v>43571</v>
      </c>
      <c r="J1549">
        <v>9497.2999999999993</v>
      </c>
      <c r="K1549" s="1">
        <v>43557</v>
      </c>
      <c r="L1549">
        <v>21522.92</v>
      </c>
    </row>
    <row r="1550" spans="1:12" x14ac:dyDescent="0.35">
      <c r="A1550" s="1">
        <v>43580</v>
      </c>
      <c r="B1550">
        <v>3491.92</v>
      </c>
      <c r="C1550" s="1">
        <v>43572</v>
      </c>
      <c r="D1550">
        <v>5563.09</v>
      </c>
      <c r="E1550" s="1">
        <v>43556</v>
      </c>
      <c r="F1550">
        <v>11681.99</v>
      </c>
      <c r="G1550" s="1">
        <v>43539</v>
      </c>
      <c r="H1550">
        <v>8483.0123500000009</v>
      </c>
      <c r="I1550" s="1">
        <v>43570</v>
      </c>
      <c r="J1550">
        <v>9497.1</v>
      </c>
      <c r="K1550" s="1">
        <v>43556</v>
      </c>
      <c r="L1550">
        <v>21520.25</v>
      </c>
    </row>
    <row r="1551" spans="1:12" x14ac:dyDescent="0.35">
      <c r="A1551" s="1">
        <v>43579</v>
      </c>
      <c r="B1551">
        <v>3502.63</v>
      </c>
      <c r="C1551" s="1">
        <v>43571</v>
      </c>
      <c r="D1551">
        <v>5528.67</v>
      </c>
      <c r="E1551" s="1">
        <v>43553</v>
      </c>
      <c r="F1551">
        <v>11526.04</v>
      </c>
      <c r="G1551" s="1">
        <v>43538</v>
      </c>
      <c r="H1551">
        <v>8431.2267400000001</v>
      </c>
      <c r="I1551" s="1">
        <v>43567</v>
      </c>
      <c r="J1551">
        <v>9468.5</v>
      </c>
      <c r="K1551" s="1">
        <v>43553</v>
      </c>
      <c r="L1551">
        <v>21286.13</v>
      </c>
    </row>
    <row r="1552" spans="1:12" x14ac:dyDescent="0.35">
      <c r="A1552" s="1">
        <v>43578</v>
      </c>
      <c r="B1552">
        <v>3503.85</v>
      </c>
      <c r="C1552" s="1">
        <v>43570</v>
      </c>
      <c r="D1552">
        <v>5508.73</v>
      </c>
      <c r="E1552" s="1">
        <v>43552</v>
      </c>
      <c r="F1552">
        <v>11428.16</v>
      </c>
      <c r="G1552" s="1">
        <v>43537</v>
      </c>
      <c r="H1552">
        <v>8362.6281099999997</v>
      </c>
      <c r="I1552" s="1">
        <v>43566</v>
      </c>
      <c r="J1552">
        <v>9445.4</v>
      </c>
      <c r="K1552" s="1">
        <v>43552</v>
      </c>
      <c r="L1552">
        <v>21080.97</v>
      </c>
    </row>
    <row r="1553" spans="1:12" x14ac:dyDescent="0.35">
      <c r="A1553" s="1">
        <v>43573</v>
      </c>
      <c r="B1553">
        <v>3499.23</v>
      </c>
      <c r="C1553" s="1">
        <v>43567</v>
      </c>
      <c r="D1553">
        <v>5502.7</v>
      </c>
      <c r="E1553" s="1">
        <v>43551</v>
      </c>
      <c r="F1553">
        <v>11419.04</v>
      </c>
      <c r="G1553" s="1">
        <v>43536</v>
      </c>
      <c r="H1553">
        <v>8279.8788999999997</v>
      </c>
      <c r="I1553" s="1">
        <v>43565</v>
      </c>
      <c r="J1553">
        <v>9406.5</v>
      </c>
      <c r="K1553" s="1">
        <v>43551</v>
      </c>
      <c r="L1553">
        <v>21194.19</v>
      </c>
    </row>
    <row r="1554" spans="1:12" x14ac:dyDescent="0.35">
      <c r="A1554" s="1">
        <v>43572</v>
      </c>
      <c r="B1554">
        <v>3477.73</v>
      </c>
      <c r="C1554" s="1">
        <v>43566</v>
      </c>
      <c r="D1554">
        <v>5485.72</v>
      </c>
      <c r="E1554" s="1">
        <v>43550</v>
      </c>
      <c r="F1554">
        <v>11419.48</v>
      </c>
      <c r="G1554" s="1">
        <v>43535</v>
      </c>
      <c r="H1554">
        <v>8337.6623299999992</v>
      </c>
      <c r="I1554" s="1">
        <v>43564</v>
      </c>
      <c r="J1554">
        <v>9407.7999999999993</v>
      </c>
      <c r="K1554" s="1">
        <v>43550</v>
      </c>
      <c r="L1554">
        <v>21139.4</v>
      </c>
    </row>
    <row r="1555" spans="1:12" x14ac:dyDescent="0.35">
      <c r="A1555" s="1">
        <v>43571</v>
      </c>
      <c r="B1555">
        <v>3463.36</v>
      </c>
      <c r="C1555" s="1">
        <v>43565</v>
      </c>
      <c r="D1555">
        <v>5449.88</v>
      </c>
      <c r="E1555" s="1">
        <v>43549</v>
      </c>
      <c r="F1555">
        <v>11346.65</v>
      </c>
      <c r="G1555" s="1">
        <v>43532</v>
      </c>
      <c r="H1555">
        <v>8223.0492099999992</v>
      </c>
      <c r="I1555" s="1">
        <v>43563</v>
      </c>
      <c r="J1555">
        <v>9437.7000000000007</v>
      </c>
      <c r="K1555" s="1">
        <v>43549</v>
      </c>
      <c r="L1555">
        <v>21059.599999999999</v>
      </c>
    </row>
    <row r="1556" spans="1:12" x14ac:dyDescent="0.35">
      <c r="A1556" s="1">
        <v>43570</v>
      </c>
      <c r="B1556">
        <v>3450.46</v>
      </c>
      <c r="C1556" s="1">
        <v>43564</v>
      </c>
      <c r="D1556">
        <v>5436.42</v>
      </c>
      <c r="E1556" s="1">
        <v>43546</v>
      </c>
      <c r="F1556">
        <v>11364.17</v>
      </c>
      <c r="G1556" s="1">
        <v>43531</v>
      </c>
      <c r="H1556">
        <v>8371.6235099999994</v>
      </c>
      <c r="I1556" s="1">
        <v>43560</v>
      </c>
      <c r="J1556">
        <v>9510.2999999999993</v>
      </c>
      <c r="K1556" s="1">
        <v>43546</v>
      </c>
      <c r="L1556">
        <v>21078.76</v>
      </c>
    </row>
    <row r="1557" spans="1:12" x14ac:dyDescent="0.35">
      <c r="A1557" s="1">
        <v>43567</v>
      </c>
      <c r="B1557">
        <v>3447.83</v>
      </c>
      <c r="C1557" s="1">
        <v>43563</v>
      </c>
      <c r="D1557">
        <v>5471.78</v>
      </c>
      <c r="E1557" s="1">
        <v>43545</v>
      </c>
      <c r="F1557">
        <v>11549.96</v>
      </c>
      <c r="G1557" s="1">
        <v>43530</v>
      </c>
      <c r="H1557">
        <v>8377.7272699999994</v>
      </c>
      <c r="I1557" s="1">
        <v>43559</v>
      </c>
      <c r="J1557">
        <v>9534.1</v>
      </c>
      <c r="K1557" s="1">
        <v>43545</v>
      </c>
      <c r="L1557">
        <v>21373.06</v>
      </c>
    </row>
    <row r="1558" spans="1:12" x14ac:dyDescent="0.35">
      <c r="A1558" s="1">
        <v>43566</v>
      </c>
      <c r="B1558">
        <v>3435.34</v>
      </c>
      <c r="C1558" s="1">
        <v>43560</v>
      </c>
      <c r="D1558">
        <v>5476.2</v>
      </c>
      <c r="E1558" s="1">
        <v>43544</v>
      </c>
      <c r="F1558">
        <v>11603.89</v>
      </c>
      <c r="G1558" s="1">
        <v>43529</v>
      </c>
      <c r="H1558">
        <v>8362.9699400000009</v>
      </c>
      <c r="I1558" s="1">
        <v>43558</v>
      </c>
      <c r="J1558">
        <v>9487.7999999999993</v>
      </c>
      <c r="K1558" s="1">
        <v>43544</v>
      </c>
      <c r="L1558">
        <v>21330.21</v>
      </c>
    </row>
    <row r="1559" spans="1:12" x14ac:dyDescent="0.35">
      <c r="A1559" s="1">
        <v>43565</v>
      </c>
      <c r="B1559">
        <v>3424.65</v>
      </c>
      <c r="C1559" s="1">
        <v>43559</v>
      </c>
      <c r="D1559">
        <v>5463.8</v>
      </c>
      <c r="E1559" s="1">
        <v>43543</v>
      </c>
      <c r="F1559">
        <v>11788.41</v>
      </c>
      <c r="G1559" s="1">
        <v>43528</v>
      </c>
      <c r="H1559">
        <v>8299.1112799999992</v>
      </c>
      <c r="I1559" s="1">
        <v>43557</v>
      </c>
      <c r="J1559">
        <v>9363.5</v>
      </c>
      <c r="K1559" s="1">
        <v>43543</v>
      </c>
      <c r="L1559">
        <v>21430.35</v>
      </c>
    </row>
    <row r="1560" spans="1:12" x14ac:dyDescent="0.35">
      <c r="A1560" s="1">
        <v>43564</v>
      </c>
      <c r="B1560">
        <v>3417.22</v>
      </c>
      <c r="C1560" s="1">
        <v>43558</v>
      </c>
      <c r="D1560">
        <v>5468.91</v>
      </c>
      <c r="E1560" s="1">
        <v>43542</v>
      </c>
      <c r="F1560">
        <v>11657.06</v>
      </c>
      <c r="G1560" s="1">
        <v>43525</v>
      </c>
      <c r="H1560">
        <v>8257.3136500000001</v>
      </c>
      <c r="I1560" s="1">
        <v>43556</v>
      </c>
      <c r="J1560">
        <v>9341.7000000000007</v>
      </c>
      <c r="K1560" s="1">
        <v>43542</v>
      </c>
      <c r="L1560">
        <v>21234.61</v>
      </c>
    </row>
    <row r="1561" spans="1:12" x14ac:dyDescent="0.35">
      <c r="A1561" s="1">
        <v>43563</v>
      </c>
      <c r="B1561">
        <v>3438.06</v>
      </c>
      <c r="C1561" s="1">
        <v>43557</v>
      </c>
      <c r="D1561">
        <v>5423.47</v>
      </c>
      <c r="E1561" s="1">
        <v>43539</v>
      </c>
      <c r="F1561">
        <v>11685.69</v>
      </c>
      <c r="G1561" s="1">
        <v>43524</v>
      </c>
      <c r="H1561">
        <v>8245.7712300000003</v>
      </c>
      <c r="I1561" s="1">
        <v>43553</v>
      </c>
      <c r="J1561">
        <v>9240.2999999999993</v>
      </c>
      <c r="K1561" s="1">
        <v>43539</v>
      </c>
      <c r="L1561">
        <v>21045.41</v>
      </c>
    </row>
    <row r="1562" spans="1:12" x14ac:dyDescent="0.35">
      <c r="A1562" s="1">
        <v>43560</v>
      </c>
      <c r="B1562">
        <v>3447.47</v>
      </c>
      <c r="C1562" s="1">
        <v>43556</v>
      </c>
      <c r="D1562">
        <v>5405.53</v>
      </c>
      <c r="E1562" s="1">
        <v>43538</v>
      </c>
      <c r="F1562">
        <v>11587.47</v>
      </c>
      <c r="G1562" s="1">
        <v>43523</v>
      </c>
      <c r="H1562">
        <v>8315.5927900000006</v>
      </c>
      <c r="I1562" s="1">
        <v>43552</v>
      </c>
      <c r="J1562">
        <v>9174.7000000000007</v>
      </c>
      <c r="K1562" s="1">
        <v>43538</v>
      </c>
      <c r="L1562">
        <v>20877.43</v>
      </c>
    </row>
    <row r="1563" spans="1:12" x14ac:dyDescent="0.35">
      <c r="A1563" s="1">
        <v>43559</v>
      </c>
      <c r="B1563">
        <v>3441.93</v>
      </c>
      <c r="C1563" s="1">
        <v>43553</v>
      </c>
      <c r="D1563">
        <v>5350.53</v>
      </c>
      <c r="E1563" s="1">
        <v>43537</v>
      </c>
      <c r="F1563">
        <v>11572.41</v>
      </c>
      <c r="G1563" s="1">
        <v>43522</v>
      </c>
      <c r="H1563">
        <v>8327.4729599999991</v>
      </c>
      <c r="I1563" s="1">
        <v>43551</v>
      </c>
      <c r="J1563">
        <v>9229.9</v>
      </c>
      <c r="K1563" s="1">
        <v>43537</v>
      </c>
      <c r="L1563">
        <v>20749.2</v>
      </c>
    </row>
    <row r="1564" spans="1:12" x14ac:dyDescent="0.35">
      <c r="A1564" s="1">
        <v>43558</v>
      </c>
      <c r="B1564">
        <v>3435.56</v>
      </c>
      <c r="C1564" s="1">
        <v>43552</v>
      </c>
      <c r="D1564">
        <v>5296.54</v>
      </c>
      <c r="E1564" s="1">
        <v>43536</v>
      </c>
      <c r="F1564">
        <v>11524.17</v>
      </c>
      <c r="G1564" s="1">
        <v>43521</v>
      </c>
      <c r="H1564">
        <v>8282.0647200000003</v>
      </c>
      <c r="I1564" s="1">
        <v>43550</v>
      </c>
      <c r="J1564">
        <v>9183.1</v>
      </c>
      <c r="K1564" s="1">
        <v>43536</v>
      </c>
      <c r="L1564">
        <v>20631.189999999999</v>
      </c>
    </row>
    <row r="1565" spans="1:12" x14ac:dyDescent="0.35">
      <c r="A1565" s="1">
        <v>43557</v>
      </c>
      <c r="B1565">
        <v>3395.7</v>
      </c>
      <c r="C1565" s="1">
        <v>43551</v>
      </c>
      <c r="D1565">
        <v>5301.24</v>
      </c>
      <c r="E1565" s="1">
        <v>43535</v>
      </c>
      <c r="F1565">
        <v>11543.48</v>
      </c>
      <c r="G1565" s="1">
        <v>43518</v>
      </c>
      <c r="H1565">
        <v>8268.1072399999994</v>
      </c>
      <c r="I1565" s="1">
        <v>43549</v>
      </c>
      <c r="J1565">
        <v>9179.9</v>
      </c>
      <c r="K1565" s="1">
        <v>43535</v>
      </c>
      <c r="L1565">
        <v>20638.22</v>
      </c>
    </row>
    <row r="1566" spans="1:12" x14ac:dyDescent="0.35">
      <c r="A1566" s="1">
        <v>43556</v>
      </c>
      <c r="B1566">
        <v>3385.38</v>
      </c>
      <c r="C1566" s="1">
        <v>43550</v>
      </c>
      <c r="D1566">
        <v>5307.38</v>
      </c>
      <c r="E1566" s="1">
        <v>43532</v>
      </c>
      <c r="F1566">
        <v>11457.84</v>
      </c>
      <c r="G1566" s="1">
        <v>43517</v>
      </c>
      <c r="H1566">
        <v>8247.9709999999995</v>
      </c>
      <c r="I1566" s="1">
        <v>43546</v>
      </c>
      <c r="J1566">
        <v>9199.4</v>
      </c>
      <c r="K1566" s="1">
        <v>43532</v>
      </c>
      <c r="L1566">
        <v>20484.39</v>
      </c>
    </row>
    <row r="1567" spans="1:12" x14ac:dyDescent="0.35">
      <c r="A1567" s="1">
        <v>43553</v>
      </c>
      <c r="B1567">
        <v>3351.71</v>
      </c>
      <c r="C1567" s="1">
        <v>43549</v>
      </c>
      <c r="D1567">
        <v>5260.64</v>
      </c>
      <c r="E1567" s="1">
        <v>43531</v>
      </c>
      <c r="F1567">
        <v>11517.8</v>
      </c>
      <c r="G1567" s="1">
        <v>43516</v>
      </c>
      <c r="H1567">
        <v>8323.1523799999995</v>
      </c>
      <c r="I1567" s="1">
        <v>43545</v>
      </c>
      <c r="J1567">
        <v>9355.6</v>
      </c>
      <c r="K1567" s="1">
        <v>43531</v>
      </c>
      <c r="L1567">
        <v>20697.560000000001</v>
      </c>
    </row>
    <row r="1568" spans="1:12" x14ac:dyDescent="0.35">
      <c r="A1568" s="1">
        <v>43552</v>
      </c>
      <c r="B1568">
        <v>3320.29</v>
      </c>
      <c r="C1568" s="1">
        <v>43546</v>
      </c>
      <c r="D1568">
        <v>5269.92</v>
      </c>
      <c r="E1568" s="1">
        <v>43530</v>
      </c>
      <c r="F1568">
        <v>11587.63</v>
      </c>
      <c r="G1568" s="1">
        <v>43515</v>
      </c>
      <c r="H1568">
        <v>8262.8779799999993</v>
      </c>
      <c r="I1568" s="1">
        <v>43544</v>
      </c>
      <c r="J1568">
        <v>9405.6</v>
      </c>
      <c r="K1568" s="1">
        <v>43530</v>
      </c>
      <c r="L1568">
        <v>20851.560000000001</v>
      </c>
    </row>
    <row r="1569" spans="1:12" x14ac:dyDescent="0.35">
      <c r="A1569" s="1">
        <v>43551</v>
      </c>
      <c r="B1569">
        <v>3322.04</v>
      </c>
      <c r="C1569" s="1">
        <v>43545</v>
      </c>
      <c r="D1569">
        <v>5378.85</v>
      </c>
      <c r="E1569" s="1">
        <v>43529</v>
      </c>
      <c r="F1569">
        <v>11620.74</v>
      </c>
      <c r="G1569" s="1">
        <v>43514</v>
      </c>
      <c r="H1569">
        <v>8250.2757700000002</v>
      </c>
      <c r="I1569" s="1">
        <v>43543</v>
      </c>
      <c r="J1569">
        <v>9492.2999999999993</v>
      </c>
      <c r="K1569" s="1">
        <v>43529</v>
      </c>
      <c r="L1569">
        <v>20715.97</v>
      </c>
    </row>
    <row r="1570" spans="1:12" x14ac:dyDescent="0.35">
      <c r="A1570" s="1">
        <v>43550</v>
      </c>
      <c r="B1570">
        <v>3319.53</v>
      </c>
      <c r="C1570" s="1">
        <v>43544</v>
      </c>
      <c r="D1570">
        <v>5382.66</v>
      </c>
      <c r="E1570" s="1">
        <v>43528</v>
      </c>
      <c r="F1570">
        <v>11592.66</v>
      </c>
      <c r="G1570" s="1">
        <v>43511</v>
      </c>
      <c r="H1570">
        <v>8261.2290400000002</v>
      </c>
      <c r="I1570" s="1">
        <v>43542</v>
      </c>
      <c r="J1570">
        <v>9409.1</v>
      </c>
      <c r="K1570" s="1">
        <v>43528</v>
      </c>
      <c r="L1570">
        <v>20718.3</v>
      </c>
    </row>
    <row r="1571" spans="1:12" x14ac:dyDescent="0.35">
      <c r="A1571" s="1">
        <v>43549</v>
      </c>
      <c r="B1571">
        <v>3300.48</v>
      </c>
      <c r="C1571" s="1">
        <v>43543</v>
      </c>
      <c r="D1571">
        <v>5425.9</v>
      </c>
      <c r="E1571" s="1">
        <v>43525</v>
      </c>
      <c r="F1571">
        <v>11601.68</v>
      </c>
      <c r="G1571" s="1">
        <v>43510</v>
      </c>
      <c r="H1571">
        <v>8157.7155899999998</v>
      </c>
      <c r="I1571" s="1">
        <v>43539</v>
      </c>
      <c r="J1571">
        <v>9342.2000000000007</v>
      </c>
      <c r="K1571" s="1">
        <v>43525</v>
      </c>
      <c r="L1571">
        <v>20694.53</v>
      </c>
    </row>
    <row r="1572" spans="1:12" x14ac:dyDescent="0.35">
      <c r="A1572" s="1">
        <v>43546</v>
      </c>
      <c r="B1572">
        <v>3305.73</v>
      </c>
      <c r="C1572" s="1">
        <v>43542</v>
      </c>
      <c r="D1572">
        <v>5412.83</v>
      </c>
      <c r="E1572" s="1">
        <v>43524</v>
      </c>
      <c r="F1572">
        <v>11515.64</v>
      </c>
      <c r="G1572" s="1">
        <v>43509</v>
      </c>
      <c r="H1572">
        <v>8197.7871799999994</v>
      </c>
      <c r="I1572" s="1">
        <v>43538</v>
      </c>
      <c r="J1572">
        <v>9209.7999999999993</v>
      </c>
      <c r="K1572" s="1">
        <v>43524</v>
      </c>
      <c r="L1572">
        <v>20659.46</v>
      </c>
    </row>
    <row r="1573" spans="1:12" x14ac:dyDescent="0.35">
      <c r="A1573" s="1">
        <v>43545</v>
      </c>
      <c r="B1573">
        <v>3367.4</v>
      </c>
      <c r="C1573" s="1">
        <v>43539</v>
      </c>
      <c r="D1573">
        <v>5405.32</v>
      </c>
      <c r="E1573" s="1">
        <v>43523</v>
      </c>
      <c r="F1573">
        <v>11487.33</v>
      </c>
      <c r="G1573" s="1">
        <v>43508</v>
      </c>
      <c r="H1573">
        <v>8121.8234499999999</v>
      </c>
      <c r="I1573" s="1">
        <v>43537</v>
      </c>
      <c r="J1573">
        <v>9192.7000000000007</v>
      </c>
      <c r="K1573" s="1">
        <v>43523</v>
      </c>
      <c r="L1573">
        <v>20498.79</v>
      </c>
    </row>
    <row r="1574" spans="1:12" x14ac:dyDescent="0.35">
      <c r="A1574" s="1">
        <v>43544</v>
      </c>
      <c r="B1574">
        <v>3372.38</v>
      </c>
      <c r="C1574" s="1">
        <v>43538</v>
      </c>
      <c r="D1574">
        <v>5349.78</v>
      </c>
      <c r="E1574" s="1">
        <v>43522</v>
      </c>
      <c r="F1574">
        <v>11540.79</v>
      </c>
      <c r="G1574" s="1">
        <v>43507</v>
      </c>
      <c r="H1574">
        <v>8128.4883900000004</v>
      </c>
      <c r="I1574" s="1">
        <v>43536</v>
      </c>
      <c r="J1574">
        <v>9161.7000000000007</v>
      </c>
      <c r="K1574" s="1">
        <v>43522</v>
      </c>
      <c r="L1574">
        <v>20459.59</v>
      </c>
    </row>
    <row r="1575" spans="1:12" x14ac:dyDescent="0.35">
      <c r="A1575" s="1">
        <v>43543</v>
      </c>
      <c r="B1575">
        <v>3409</v>
      </c>
      <c r="C1575" s="1">
        <v>43537</v>
      </c>
      <c r="D1575">
        <v>5306.38</v>
      </c>
      <c r="E1575" s="1">
        <v>43521</v>
      </c>
      <c r="F1575">
        <v>11505.39</v>
      </c>
      <c r="G1575" s="1">
        <v>43504</v>
      </c>
      <c r="H1575">
        <v>8069.7579299999998</v>
      </c>
      <c r="I1575" s="1">
        <v>43535</v>
      </c>
      <c r="J1575">
        <v>9171.9</v>
      </c>
      <c r="K1575" s="1">
        <v>43521</v>
      </c>
      <c r="L1575">
        <v>20436.96</v>
      </c>
    </row>
    <row r="1576" spans="1:12" x14ac:dyDescent="0.35">
      <c r="A1576" s="1">
        <v>43542</v>
      </c>
      <c r="B1576">
        <v>3387.94</v>
      </c>
      <c r="C1576" s="1">
        <v>43536</v>
      </c>
      <c r="D1576">
        <v>5270.25</v>
      </c>
      <c r="E1576" s="1">
        <v>43518</v>
      </c>
      <c r="F1576">
        <v>11457.7</v>
      </c>
      <c r="G1576" s="1">
        <v>43503</v>
      </c>
      <c r="H1576">
        <v>8103.0197500000004</v>
      </c>
      <c r="I1576" s="1">
        <v>43532</v>
      </c>
      <c r="J1576">
        <v>9129.2999999999993</v>
      </c>
      <c r="K1576" s="1">
        <v>43518</v>
      </c>
      <c r="L1576">
        <v>20262.509999999998</v>
      </c>
    </row>
    <row r="1577" spans="1:12" x14ac:dyDescent="0.35">
      <c r="A1577" s="1">
        <v>43539</v>
      </c>
      <c r="B1577">
        <v>3386.08</v>
      </c>
      <c r="C1577" s="1">
        <v>43535</v>
      </c>
      <c r="D1577">
        <v>5265.96</v>
      </c>
      <c r="E1577" s="1">
        <v>43517</v>
      </c>
      <c r="F1577">
        <v>11423.28</v>
      </c>
      <c r="G1577" s="1">
        <v>43502</v>
      </c>
      <c r="H1577">
        <v>8166.83032</v>
      </c>
      <c r="I1577" s="1">
        <v>43531</v>
      </c>
      <c r="J1577">
        <v>9249.9</v>
      </c>
      <c r="K1577" s="1">
        <v>43517</v>
      </c>
      <c r="L1577">
        <v>20209.72</v>
      </c>
    </row>
    <row r="1578" spans="1:12" x14ac:dyDescent="0.35">
      <c r="A1578" s="1">
        <v>43538</v>
      </c>
      <c r="B1578">
        <v>3342.03</v>
      </c>
      <c r="C1578" s="1">
        <v>43532</v>
      </c>
      <c r="D1578">
        <v>5231.22</v>
      </c>
      <c r="E1578" s="1">
        <v>43516</v>
      </c>
      <c r="F1578">
        <v>11401.97</v>
      </c>
      <c r="G1578" s="1">
        <v>43501</v>
      </c>
      <c r="H1578">
        <v>8144.2924000000003</v>
      </c>
      <c r="I1578" s="1">
        <v>43530</v>
      </c>
      <c r="J1578">
        <v>9296.7000000000007</v>
      </c>
      <c r="K1578" s="1">
        <v>43516</v>
      </c>
      <c r="L1578">
        <v>20304.21</v>
      </c>
    </row>
    <row r="1579" spans="1:12" x14ac:dyDescent="0.35">
      <c r="A1579" s="1">
        <v>43537</v>
      </c>
      <c r="B1579">
        <v>3323.45</v>
      </c>
      <c r="C1579" s="1">
        <v>43531</v>
      </c>
      <c r="D1579">
        <v>5267.92</v>
      </c>
      <c r="E1579" s="1">
        <v>43515</v>
      </c>
      <c r="F1579">
        <v>11309.21</v>
      </c>
      <c r="G1579" s="1">
        <v>43500</v>
      </c>
      <c r="H1579">
        <v>8026.6985999999997</v>
      </c>
      <c r="I1579" s="1">
        <v>43529</v>
      </c>
      <c r="J1579">
        <v>9258.2000000000007</v>
      </c>
      <c r="K1579" s="1">
        <v>43515</v>
      </c>
      <c r="L1579">
        <v>20228.189999999999</v>
      </c>
    </row>
    <row r="1580" spans="1:12" x14ac:dyDescent="0.35">
      <c r="A1580" s="1">
        <v>43536</v>
      </c>
      <c r="B1580">
        <v>3303.95</v>
      </c>
      <c r="C1580" s="1">
        <v>43530</v>
      </c>
      <c r="D1580">
        <v>5288.81</v>
      </c>
      <c r="E1580" s="1">
        <v>43514</v>
      </c>
      <c r="F1580">
        <v>11299.2</v>
      </c>
      <c r="G1580" s="1">
        <v>43497</v>
      </c>
      <c r="H1580">
        <v>8009.3799499999996</v>
      </c>
      <c r="I1580" s="1">
        <v>43528</v>
      </c>
      <c r="J1580">
        <v>9259.7999999999993</v>
      </c>
      <c r="K1580" s="1">
        <v>43514</v>
      </c>
      <c r="L1580">
        <v>20329.830000000002</v>
      </c>
    </row>
    <row r="1581" spans="1:12" x14ac:dyDescent="0.35">
      <c r="A1581" s="1">
        <v>43535</v>
      </c>
      <c r="B1581">
        <v>3304.44</v>
      </c>
      <c r="C1581" s="1">
        <v>43529</v>
      </c>
      <c r="D1581">
        <v>5297.52</v>
      </c>
      <c r="E1581" s="1">
        <v>43511</v>
      </c>
      <c r="F1581">
        <v>11299.8</v>
      </c>
      <c r="G1581" s="1">
        <v>43496</v>
      </c>
      <c r="H1581">
        <v>7986.4846900000002</v>
      </c>
      <c r="I1581" s="1">
        <v>43525</v>
      </c>
      <c r="J1581">
        <v>9267.7000000000007</v>
      </c>
      <c r="K1581" s="1">
        <v>43511</v>
      </c>
      <c r="L1581">
        <v>20212.34</v>
      </c>
    </row>
    <row r="1582" spans="1:12" x14ac:dyDescent="0.35">
      <c r="A1582" s="1">
        <v>43532</v>
      </c>
      <c r="B1582">
        <v>3283.6</v>
      </c>
      <c r="C1582" s="1">
        <v>43528</v>
      </c>
      <c r="D1582">
        <v>5286.57</v>
      </c>
      <c r="E1582" s="1">
        <v>43510</v>
      </c>
      <c r="F1582">
        <v>11089.79</v>
      </c>
      <c r="G1582" s="1">
        <v>43495</v>
      </c>
      <c r="H1582">
        <v>7940.4125599999998</v>
      </c>
      <c r="I1582" s="1">
        <v>43524</v>
      </c>
      <c r="J1582">
        <v>9277.7000000000007</v>
      </c>
      <c r="K1582" s="1">
        <v>43510</v>
      </c>
      <c r="L1582">
        <v>19834.96</v>
      </c>
    </row>
    <row r="1583" spans="1:12" x14ac:dyDescent="0.35">
      <c r="A1583" s="1">
        <v>43531</v>
      </c>
      <c r="B1583">
        <v>3308.85</v>
      </c>
      <c r="C1583" s="1">
        <v>43525</v>
      </c>
      <c r="D1583">
        <v>5265.19</v>
      </c>
      <c r="E1583" s="1">
        <v>43509</v>
      </c>
      <c r="F1583">
        <v>11167.22</v>
      </c>
      <c r="G1583" s="1">
        <v>43494</v>
      </c>
      <c r="H1583">
        <v>7855.9099100000003</v>
      </c>
      <c r="I1583" s="1">
        <v>43523</v>
      </c>
      <c r="J1583">
        <v>9211.7000000000007</v>
      </c>
      <c r="K1583" s="1">
        <v>43509</v>
      </c>
      <c r="L1583">
        <v>19989.900000000001</v>
      </c>
    </row>
    <row r="1584" spans="1:12" x14ac:dyDescent="0.35">
      <c r="A1584" s="1">
        <v>43530</v>
      </c>
      <c r="B1584">
        <v>3324.67</v>
      </c>
      <c r="C1584" s="1">
        <v>43524</v>
      </c>
      <c r="D1584">
        <v>5240.53</v>
      </c>
      <c r="E1584" s="1">
        <v>43508</v>
      </c>
      <c r="F1584">
        <v>11126.08</v>
      </c>
      <c r="G1584" s="1">
        <v>43493</v>
      </c>
      <c r="H1584">
        <v>7770.2282400000004</v>
      </c>
      <c r="I1584" s="1">
        <v>43522</v>
      </c>
      <c r="J1584">
        <v>9227.2000000000007</v>
      </c>
      <c r="K1584" s="1">
        <v>43508</v>
      </c>
      <c r="L1584">
        <v>19805.28</v>
      </c>
    </row>
    <row r="1585" spans="1:12" x14ac:dyDescent="0.35">
      <c r="A1585" s="1">
        <v>43529</v>
      </c>
      <c r="B1585">
        <v>3327.19</v>
      </c>
      <c r="C1585" s="1">
        <v>43523</v>
      </c>
      <c r="D1585">
        <v>5225.3500000000004</v>
      </c>
      <c r="E1585" s="1">
        <v>43507</v>
      </c>
      <c r="F1585">
        <v>11014.59</v>
      </c>
      <c r="G1585" s="1">
        <v>43490</v>
      </c>
      <c r="H1585">
        <v>7865.8848600000001</v>
      </c>
      <c r="I1585" s="1">
        <v>43521</v>
      </c>
      <c r="J1585">
        <v>9204.2999999999993</v>
      </c>
      <c r="K1585" s="1">
        <v>43507</v>
      </c>
      <c r="L1585">
        <v>19586.560000000001</v>
      </c>
    </row>
    <row r="1586" spans="1:12" x14ac:dyDescent="0.35">
      <c r="A1586" s="1">
        <v>43528</v>
      </c>
      <c r="B1586">
        <v>3317.12</v>
      </c>
      <c r="C1586" s="1">
        <v>43522</v>
      </c>
      <c r="D1586">
        <v>5238.72</v>
      </c>
      <c r="E1586" s="1">
        <v>43504</v>
      </c>
      <c r="F1586">
        <v>10906.78</v>
      </c>
      <c r="G1586" s="1">
        <v>43489</v>
      </c>
      <c r="H1586">
        <v>7855.7635300000002</v>
      </c>
      <c r="I1586" s="1">
        <v>43518</v>
      </c>
      <c r="J1586">
        <v>9204.6</v>
      </c>
      <c r="K1586" s="1">
        <v>43504</v>
      </c>
      <c r="L1586">
        <v>19351.900000000001</v>
      </c>
    </row>
    <row r="1587" spans="1:12" x14ac:dyDescent="0.35">
      <c r="A1587" s="1">
        <v>43525</v>
      </c>
      <c r="B1587">
        <v>3312.1</v>
      </c>
      <c r="C1587" s="1">
        <v>43521</v>
      </c>
      <c r="D1587">
        <v>5231.8500000000004</v>
      </c>
      <c r="E1587" s="1">
        <v>43503</v>
      </c>
      <c r="F1587">
        <v>11022.02</v>
      </c>
      <c r="G1587" s="1">
        <v>43488</v>
      </c>
      <c r="H1587">
        <v>7847.7196599999997</v>
      </c>
      <c r="I1587" s="1">
        <v>43517</v>
      </c>
      <c r="J1587">
        <v>9191.2000000000007</v>
      </c>
      <c r="K1587" s="1">
        <v>43503</v>
      </c>
      <c r="L1587">
        <v>19478.32</v>
      </c>
    </row>
    <row r="1588" spans="1:12" x14ac:dyDescent="0.35">
      <c r="A1588" s="1">
        <v>43524</v>
      </c>
      <c r="B1588">
        <v>3298.26</v>
      </c>
      <c r="C1588" s="1">
        <v>43518</v>
      </c>
      <c r="D1588">
        <v>5215.8500000000004</v>
      </c>
      <c r="E1588" s="1">
        <v>43502</v>
      </c>
      <c r="F1588">
        <v>11324.72</v>
      </c>
      <c r="G1588" s="1">
        <v>43487</v>
      </c>
      <c r="H1588">
        <v>7869.6121000000003</v>
      </c>
      <c r="I1588" s="1">
        <v>43516</v>
      </c>
      <c r="J1588">
        <v>9181.1</v>
      </c>
      <c r="K1588" s="1">
        <v>43502</v>
      </c>
      <c r="L1588">
        <v>19996.47</v>
      </c>
    </row>
    <row r="1589" spans="1:12" x14ac:dyDescent="0.35">
      <c r="A1589" s="1">
        <v>43523</v>
      </c>
      <c r="B1589">
        <v>3282.77</v>
      </c>
      <c r="C1589" s="1">
        <v>43517</v>
      </c>
      <c r="D1589">
        <v>5196.1099999999997</v>
      </c>
      <c r="E1589" s="1">
        <v>43501</v>
      </c>
      <c r="F1589">
        <v>11367.98</v>
      </c>
      <c r="G1589" s="1">
        <v>43486</v>
      </c>
      <c r="H1589">
        <v>7907.5236299999997</v>
      </c>
      <c r="I1589" s="1">
        <v>43515</v>
      </c>
      <c r="J1589">
        <v>9136.4</v>
      </c>
      <c r="K1589" s="1">
        <v>43501</v>
      </c>
      <c r="L1589">
        <v>19833.490000000002</v>
      </c>
    </row>
    <row r="1590" spans="1:12" x14ac:dyDescent="0.35">
      <c r="A1590" s="1">
        <v>43522</v>
      </c>
      <c r="B1590">
        <v>3289.32</v>
      </c>
      <c r="C1590" s="1">
        <v>43516</v>
      </c>
      <c r="D1590">
        <v>5195.95</v>
      </c>
      <c r="E1590" s="1">
        <v>43500</v>
      </c>
      <c r="F1590">
        <v>11176.58</v>
      </c>
      <c r="G1590" s="1">
        <v>43483</v>
      </c>
      <c r="H1590">
        <v>7906.3980199999996</v>
      </c>
      <c r="I1590" s="1">
        <v>43514</v>
      </c>
      <c r="J1590">
        <v>9155.5</v>
      </c>
      <c r="K1590" s="1">
        <v>43500</v>
      </c>
      <c r="L1590">
        <v>19605.599999999999</v>
      </c>
    </row>
    <row r="1591" spans="1:12" x14ac:dyDescent="0.35">
      <c r="A1591" s="1">
        <v>43521</v>
      </c>
      <c r="B1591">
        <v>3280.01</v>
      </c>
      <c r="C1591" s="1">
        <v>43515</v>
      </c>
      <c r="D1591">
        <v>5160.5200000000004</v>
      </c>
      <c r="E1591" s="1">
        <v>43497</v>
      </c>
      <c r="F1591">
        <v>11180.66</v>
      </c>
      <c r="G1591" s="1">
        <v>43482</v>
      </c>
      <c r="H1591">
        <v>7780.2962200000002</v>
      </c>
      <c r="I1591" s="1">
        <v>43511</v>
      </c>
      <c r="J1591">
        <v>9123.2000000000007</v>
      </c>
      <c r="K1591" s="1">
        <v>43497</v>
      </c>
      <c r="L1591">
        <v>19576.77</v>
      </c>
    </row>
    <row r="1592" spans="1:12" x14ac:dyDescent="0.35">
      <c r="A1592" s="1">
        <v>43518</v>
      </c>
      <c r="B1592">
        <v>3270.55</v>
      </c>
      <c r="C1592" s="1">
        <v>43514</v>
      </c>
      <c r="D1592">
        <v>5168.54</v>
      </c>
      <c r="E1592" s="1">
        <v>43496</v>
      </c>
      <c r="F1592">
        <v>11173.1</v>
      </c>
      <c r="G1592" s="1">
        <v>43481</v>
      </c>
      <c r="H1592">
        <v>7737.3707100000001</v>
      </c>
      <c r="I1592" s="1">
        <v>43510</v>
      </c>
      <c r="J1592">
        <v>8952.5</v>
      </c>
      <c r="K1592" s="1">
        <v>43496</v>
      </c>
      <c r="L1592">
        <v>19730.78</v>
      </c>
    </row>
    <row r="1593" spans="1:12" x14ac:dyDescent="0.35">
      <c r="A1593" s="1">
        <v>43517</v>
      </c>
      <c r="B1593">
        <v>3263.7</v>
      </c>
      <c r="C1593" s="1">
        <v>43511</v>
      </c>
      <c r="D1593">
        <v>5153.1899999999996</v>
      </c>
      <c r="E1593" s="1">
        <v>43495</v>
      </c>
      <c r="F1593">
        <v>11181.66</v>
      </c>
      <c r="G1593" s="1">
        <v>43480</v>
      </c>
      <c r="H1593">
        <v>7706.8041800000001</v>
      </c>
      <c r="I1593" s="1">
        <v>43509</v>
      </c>
      <c r="J1593">
        <v>8982.4</v>
      </c>
      <c r="K1593" s="1">
        <v>43495</v>
      </c>
      <c r="L1593">
        <v>19771.55</v>
      </c>
    </row>
    <row r="1594" spans="1:12" x14ac:dyDescent="0.35">
      <c r="A1594" s="1">
        <v>43516</v>
      </c>
      <c r="B1594">
        <v>3259.49</v>
      </c>
      <c r="C1594" s="1">
        <v>43510</v>
      </c>
      <c r="D1594">
        <v>5062.5200000000004</v>
      </c>
      <c r="E1594" s="1">
        <v>43494</v>
      </c>
      <c r="F1594">
        <v>11218.83</v>
      </c>
      <c r="G1594" s="1">
        <v>43479</v>
      </c>
      <c r="H1594">
        <v>7698.9812499999998</v>
      </c>
      <c r="I1594" s="1">
        <v>43508</v>
      </c>
      <c r="J1594">
        <v>8983.1</v>
      </c>
      <c r="K1594" s="1">
        <v>43494</v>
      </c>
      <c r="L1594">
        <v>19701.599999999999</v>
      </c>
    </row>
    <row r="1595" spans="1:12" x14ac:dyDescent="0.35">
      <c r="A1595" s="1">
        <v>43515</v>
      </c>
      <c r="B1595">
        <v>3239.41</v>
      </c>
      <c r="C1595" s="1">
        <v>43509</v>
      </c>
      <c r="D1595">
        <v>5074.2700000000004</v>
      </c>
      <c r="E1595" s="1">
        <v>43493</v>
      </c>
      <c r="F1595">
        <v>11210.31</v>
      </c>
      <c r="G1595" s="1">
        <v>43476</v>
      </c>
      <c r="H1595">
        <v>7747.78323</v>
      </c>
      <c r="I1595" s="1">
        <v>43507</v>
      </c>
      <c r="J1595">
        <v>8936.4</v>
      </c>
      <c r="K1595" s="1">
        <v>43493</v>
      </c>
      <c r="L1595">
        <v>19608.13</v>
      </c>
    </row>
    <row r="1596" spans="1:12" x14ac:dyDescent="0.35">
      <c r="A1596" s="1">
        <v>43514</v>
      </c>
      <c r="B1596">
        <v>3244.79</v>
      </c>
      <c r="C1596" s="1">
        <v>43508</v>
      </c>
      <c r="D1596">
        <v>5056.3500000000004</v>
      </c>
      <c r="E1596" s="1">
        <v>43490</v>
      </c>
      <c r="F1596">
        <v>11281.79</v>
      </c>
      <c r="G1596" s="1">
        <v>43475</v>
      </c>
      <c r="H1596">
        <v>7694.1191900000003</v>
      </c>
      <c r="I1596" s="1">
        <v>43504</v>
      </c>
      <c r="J1596">
        <v>8856.7999999999993</v>
      </c>
      <c r="K1596" s="1">
        <v>43490</v>
      </c>
      <c r="L1596">
        <v>19810.52</v>
      </c>
    </row>
    <row r="1597" spans="1:12" x14ac:dyDescent="0.35">
      <c r="A1597" s="1">
        <v>43511</v>
      </c>
      <c r="B1597">
        <v>3241.25</v>
      </c>
      <c r="C1597" s="1">
        <v>43507</v>
      </c>
      <c r="D1597">
        <v>5014.47</v>
      </c>
      <c r="E1597" s="1">
        <v>43489</v>
      </c>
      <c r="F1597">
        <v>11130.18</v>
      </c>
      <c r="G1597" s="1">
        <v>43474</v>
      </c>
      <c r="H1597">
        <v>7651.0105700000004</v>
      </c>
      <c r="I1597" s="1">
        <v>43503</v>
      </c>
      <c r="J1597">
        <v>8938.2999999999993</v>
      </c>
      <c r="K1597" s="1">
        <v>43489</v>
      </c>
      <c r="L1597">
        <v>19564.48</v>
      </c>
    </row>
    <row r="1598" spans="1:12" x14ac:dyDescent="0.35">
      <c r="A1598" s="1">
        <v>43510</v>
      </c>
      <c r="B1598">
        <v>3182.66</v>
      </c>
      <c r="C1598" s="1">
        <v>43504</v>
      </c>
      <c r="D1598">
        <v>4961.6400000000003</v>
      </c>
      <c r="E1598" s="1">
        <v>43488</v>
      </c>
      <c r="F1598">
        <v>11071.54</v>
      </c>
      <c r="G1598" s="1">
        <v>43473</v>
      </c>
      <c r="H1598">
        <v>7622.4025099999999</v>
      </c>
      <c r="I1598" s="1">
        <v>43502</v>
      </c>
      <c r="J1598">
        <v>9100.9</v>
      </c>
      <c r="K1598" s="1">
        <v>43488</v>
      </c>
      <c r="L1598">
        <v>19400.150000000001</v>
      </c>
    </row>
    <row r="1599" spans="1:12" x14ac:dyDescent="0.35">
      <c r="A1599" s="1">
        <v>43509</v>
      </c>
      <c r="B1599">
        <v>3202.37</v>
      </c>
      <c r="C1599" s="1">
        <v>43503</v>
      </c>
      <c r="D1599">
        <v>4985.5600000000004</v>
      </c>
      <c r="E1599" s="1">
        <v>43487</v>
      </c>
      <c r="F1599">
        <v>11090.11</v>
      </c>
      <c r="G1599" s="1">
        <v>43472</v>
      </c>
      <c r="H1599">
        <v>7585.8558800000001</v>
      </c>
      <c r="I1599" s="1">
        <v>43501</v>
      </c>
      <c r="J1599">
        <v>9092</v>
      </c>
      <c r="K1599" s="1">
        <v>43487</v>
      </c>
      <c r="L1599">
        <v>19437.27</v>
      </c>
    </row>
    <row r="1600" spans="1:12" x14ac:dyDescent="0.35">
      <c r="A1600" s="1">
        <v>43508</v>
      </c>
      <c r="B1600">
        <v>3190.75</v>
      </c>
      <c r="C1600" s="1">
        <v>43502</v>
      </c>
      <c r="D1600">
        <v>5079.05</v>
      </c>
      <c r="E1600" s="1">
        <v>43486</v>
      </c>
      <c r="F1600">
        <v>11136.2</v>
      </c>
      <c r="G1600" s="1">
        <v>43469</v>
      </c>
      <c r="H1600">
        <v>7628.7048000000004</v>
      </c>
      <c r="I1600" s="1">
        <v>43500</v>
      </c>
      <c r="J1600">
        <v>8975.2000000000007</v>
      </c>
      <c r="K1600" s="1">
        <v>43486</v>
      </c>
      <c r="L1600">
        <v>19638.64</v>
      </c>
    </row>
    <row r="1601" spans="1:12" x14ac:dyDescent="0.35">
      <c r="A1601" s="1">
        <v>43507</v>
      </c>
      <c r="B1601">
        <v>3165.61</v>
      </c>
      <c r="C1601" s="1">
        <v>43501</v>
      </c>
      <c r="D1601">
        <v>5083.34</v>
      </c>
      <c r="E1601" s="1">
        <v>43483</v>
      </c>
      <c r="F1601">
        <v>11205.54</v>
      </c>
      <c r="G1601" s="1">
        <v>43468</v>
      </c>
      <c r="H1601">
        <v>7423.0459099999998</v>
      </c>
      <c r="I1601" s="1">
        <v>43497</v>
      </c>
      <c r="J1601">
        <v>9019.4</v>
      </c>
      <c r="K1601" s="1">
        <v>43483</v>
      </c>
      <c r="L1601">
        <v>19708.060000000001</v>
      </c>
    </row>
    <row r="1602" spans="1:12" x14ac:dyDescent="0.35">
      <c r="A1602" s="1">
        <v>43504</v>
      </c>
      <c r="B1602">
        <v>3135.62</v>
      </c>
      <c r="C1602" s="1">
        <v>43500</v>
      </c>
      <c r="D1602">
        <v>5000.1899999999996</v>
      </c>
      <c r="E1602" s="1">
        <v>43482</v>
      </c>
      <c r="F1602">
        <v>10918.62</v>
      </c>
      <c r="G1602" s="1">
        <v>43467</v>
      </c>
      <c r="H1602">
        <v>7478.0549600000004</v>
      </c>
      <c r="I1602" s="1">
        <v>43496</v>
      </c>
      <c r="J1602">
        <v>9056.7000000000007</v>
      </c>
      <c r="K1602" s="1">
        <v>43482</v>
      </c>
      <c r="L1602">
        <v>19470.38</v>
      </c>
    </row>
    <row r="1603" spans="1:12" x14ac:dyDescent="0.35">
      <c r="A1603" s="1">
        <v>43503</v>
      </c>
      <c r="B1603">
        <v>3150.76</v>
      </c>
      <c r="C1603" s="1">
        <v>43497</v>
      </c>
      <c r="D1603">
        <v>5019.26</v>
      </c>
      <c r="E1603" s="1">
        <v>43481</v>
      </c>
      <c r="F1603">
        <v>10931.24</v>
      </c>
      <c r="G1603" s="1">
        <v>43465</v>
      </c>
      <c r="H1603">
        <v>7488.3640400000004</v>
      </c>
      <c r="I1603" s="1">
        <v>43495</v>
      </c>
      <c r="J1603">
        <v>9071.5</v>
      </c>
      <c r="K1603" s="1">
        <v>43481</v>
      </c>
      <c r="L1603">
        <v>19477.77</v>
      </c>
    </row>
    <row r="1604" spans="1:12" x14ac:dyDescent="0.35">
      <c r="A1604" s="1">
        <v>43502</v>
      </c>
      <c r="B1604">
        <v>3212.75</v>
      </c>
      <c r="C1604" s="1">
        <v>43496</v>
      </c>
      <c r="D1604">
        <v>4992.72</v>
      </c>
      <c r="E1604" s="1">
        <v>43480</v>
      </c>
      <c r="F1604">
        <v>10891.79</v>
      </c>
      <c r="G1604" s="1">
        <v>43462</v>
      </c>
      <c r="H1604">
        <v>7474.4065199999995</v>
      </c>
      <c r="I1604" s="1">
        <v>43494</v>
      </c>
      <c r="J1604">
        <v>9119.1</v>
      </c>
      <c r="K1604" s="1">
        <v>43480</v>
      </c>
      <c r="L1604">
        <v>19165.48</v>
      </c>
    </row>
    <row r="1605" spans="1:12" x14ac:dyDescent="0.35">
      <c r="A1605" s="1">
        <v>43501</v>
      </c>
      <c r="B1605">
        <v>3215.04</v>
      </c>
      <c r="C1605" s="1">
        <v>43495</v>
      </c>
      <c r="D1605">
        <v>4974.76</v>
      </c>
      <c r="E1605" s="1">
        <v>43479</v>
      </c>
      <c r="F1605">
        <v>10855.91</v>
      </c>
      <c r="G1605" s="1">
        <v>43461</v>
      </c>
      <c r="H1605">
        <v>7276.7738600000002</v>
      </c>
      <c r="I1605" s="1">
        <v>43493</v>
      </c>
      <c r="J1605">
        <v>9062.4</v>
      </c>
      <c r="K1605" s="1">
        <v>43479</v>
      </c>
      <c r="L1605">
        <v>19171.48</v>
      </c>
    </row>
    <row r="1606" spans="1:12" x14ac:dyDescent="0.35">
      <c r="A1606" s="1">
        <v>43500</v>
      </c>
      <c r="B1606">
        <v>3165.2</v>
      </c>
      <c r="C1606" s="1">
        <v>43494</v>
      </c>
      <c r="D1606">
        <v>4928.18</v>
      </c>
      <c r="E1606" s="1">
        <v>43476</v>
      </c>
      <c r="F1606">
        <v>10887.46</v>
      </c>
      <c r="G1606" s="1">
        <v>43458</v>
      </c>
      <c r="H1606">
        <v>7451.8610699999999</v>
      </c>
      <c r="I1606" s="1">
        <v>43490</v>
      </c>
      <c r="J1606">
        <v>9185.2000000000007</v>
      </c>
      <c r="K1606" s="1">
        <v>43476</v>
      </c>
      <c r="L1606">
        <v>19290.09</v>
      </c>
    </row>
    <row r="1607" spans="1:12" x14ac:dyDescent="0.35">
      <c r="A1607" s="1">
        <v>43497</v>
      </c>
      <c r="B1607">
        <v>3171.12</v>
      </c>
      <c r="C1607" s="1">
        <v>43493</v>
      </c>
      <c r="D1607">
        <v>4888.58</v>
      </c>
      <c r="E1607" s="1">
        <v>43475</v>
      </c>
      <c r="F1607">
        <v>10921.59</v>
      </c>
      <c r="G1607" s="1">
        <v>43455</v>
      </c>
      <c r="H1607">
        <v>7460.8174600000002</v>
      </c>
      <c r="I1607" s="1">
        <v>43489</v>
      </c>
      <c r="J1607">
        <v>9150</v>
      </c>
      <c r="K1607" s="1">
        <v>43475</v>
      </c>
      <c r="L1607">
        <v>19300.740000000002</v>
      </c>
    </row>
    <row r="1608" spans="1:12" x14ac:dyDescent="0.35">
      <c r="A1608" s="1">
        <v>43496</v>
      </c>
      <c r="B1608">
        <v>3159.43</v>
      </c>
      <c r="C1608" s="1">
        <v>43490</v>
      </c>
      <c r="D1608">
        <v>4925.82</v>
      </c>
      <c r="E1608" s="1">
        <v>43474</v>
      </c>
      <c r="F1608">
        <v>10893.32</v>
      </c>
      <c r="G1608" s="1">
        <v>43454</v>
      </c>
      <c r="H1608">
        <v>7425.3544499999998</v>
      </c>
      <c r="I1608" s="1">
        <v>43488</v>
      </c>
      <c r="J1608">
        <v>9128.7999999999993</v>
      </c>
      <c r="K1608" s="1">
        <v>43474</v>
      </c>
      <c r="L1608">
        <v>19179.16</v>
      </c>
    </row>
    <row r="1609" spans="1:12" x14ac:dyDescent="0.35">
      <c r="A1609" s="1">
        <v>43495</v>
      </c>
      <c r="B1609">
        <v>3161.74</v>
      </c>
      <c r="C1609" s="1">
        <v>43489</v>
      </c>
      <c r="D1609">
        <v>4871.96</v>
      </c>
      <c r="E1609" s="1">
        <v>43473</v>
      </c>
      <c r="F1609">
        <v>10803.98</v>
      </c>
      <c r="G1609" s="1">
        <v>43453</v>
      </c>
      <c r="H1609">
        <v>7493.75972</v>
      </c>
      <c r="I1609" s="1">
        <v>43487</v>
      </c>
      <c r="J1609">
        <v>9037.5</v>
      </c>
      <c r="K1609" s="1">
        <v>43473</v>
      </c>
      <c r="L1609">
        <v>19000.14</v>
      </c>
    </row>
    <row r="1610" spans="1:12" x14ac:dyDescent="0.35">
      <c r="A1610" s="1">
        <v>43494</v>
      </c>
      <c r="B1610">
        <v>3153.42</v>
      </c>
      <c r="C1610" s="1">
        <v>43488</v>
      </c>
      <c r="D1610">
        <v>4840.38</v>
      </c>
      <c r="E1610" s="1">
        <v>43472</v>
      </c>
      <c r="F1610">
        <v>10747.81</v>
      </c>
      <c r="G1610" s="1">
        <v>43452</v>
      </c>
      <c r="H1610">
        <v>7452.5692300000001</v>
      </c>
      <c r="I1610" s="1">
        <v>43486</v>
      </c>
      <c r="J1610">
        <v>9053.7999999999993</v>
      </c>
      <c r="K1610" s="1">
        <v>43472</v>
      </c>
      <c r="L1610">
        <v>18953.27</v>
      </c>
    </row>
    <row r="1611" spans="1:12" x14ac:dyDescent="0.35">
      <c r="A1611" s="1">
        <v>43493</v>
      </c>
      <c r="B1611">
        <v>3137.27</v>
      </c>
      <c r="C1611" s="1">
        <v>43487</v>
      </c>
      <c r="D1611">
        <v>4847.53</v>
      </c>
      <c r="E1611" s="1">
        <v>43469</v>
      </c>
      <c r="F1611">
        <v>10767.69</v>
      </c>
      <c r="G1611" s="1">
        <v>43451</v>
      </c>
      <c r="H1611">
        <v>7527.4797500000004</v>
      </c>
      <c r="I1611" s="1">
        <v>43483</v>
      </c>
      <c r="J1611">
        <v>9069.1</v>
      </c>
      <c r="K1611" s="1">
        <v>43469</v>
      </c>
      <c r="L1611">
        <v>18831.79</v>
      </c>
    </row>
    <row r="1612" spans="1:12" x14ac:dyDescent="0.35">
      <c r="A1612" s="1">
        <v>43490</v>
      </c>
      <c r="B1612">
        <v>3163.24</v>
      </c>
      <c r="C1612" s="1">
        <v>43486</v>
      </c>
      <c r="D1612">
        <v>4867.78</v>
      </c>
      <c r="E1612" s="1">
        <v>43468</v>
      </c>
      <c r="F1612">
        <v>10416.66</v>
      </c>
      <c r="G1612" s="1">
        <v>43448</v>
      </c>
      <c r="H1612">
        <v>7612.0034900000001</v>
      </c>
      <c r="I1612" s="1">
        <v>43482</v>
      </c>
      <c r="J1612">
        <v>8908.6</v>
      </c>
      <c r="K1612" s="1">
        <v>43468</v>
      </c>
      <c r="L1612">
        <v>18218.400000000001</v>
      </c>
    </row>
    <row r="1613" spans="1:12" x14ac:dyDescent="0.35">
      <c r="A1613" s="1">
        <v>43489</v>
      </c>
      <c r="B1613">
        <v>3126.31</v>
      </c>
      <c r="C1613" s="1">
        <v>43483</v>
      </c>
      <c r="D1613">
        <v>4875.93</v>
      </c>
      <c r="E1613" s="1">
        <v>43467</v>
      </c>
      <c r="F1613">
        <v>10580.19</v>
      </c>
      <c r="G1613" s="1">
        <v>43447</v>
      </c>
      <c r="H1613">
        <v>7648.3952600000002</v>
      </c>
      <c r="I1613" s="1">
        <v>43481</v>
      </c>
      <c r="J1613">
        <v>8912.7000000000007</v>
      </c>
      <c r="K1613" s="1">
        <v>43467</v>
      </c>
      <c r="L1613">
        <v>18330.990000000002</v>
      </c>
    </row>
    <row r="1614" spans="1:12" x14ac:dyDescent="0.35">
      <c r="A1614" s="1">
        <v>43488</v>
      </c>
      <c r="B1614">
        <v>3112.13</v>
      </c>
      <c r="C1614" s="1">
        <v>43482</v>
      </c>
      <c r="D1614">
        <v>4794.37</v>
      </c>
      <c r="E1614" s="1">
        <v>43462</v>
      </c>
      <c r="F1614">
        <v>10558.96</v>
      </c>
      <c r="G1614" s="1">
        <v>43446</v>
      </c>
      <c r="H1614">
        <v>7650.03107</v>
      </c>
      <c r="I1614" s="1">
        <v>43480</v>
      </c>
      <c r="J1614">
        <v>8850.1</v>
      </c>
      <c r="K1614" s="1">
        <v>43462</v>
      </c>
      <c r="L1614">
        <v>18324.03</v>
      </c>
    </row>
    <row r="1615" spans="1:12" x14ac:dyDescent="0.35">
      <c r="A1615" s="1">
        <v>43487</v>
      </c>
      <c r="B1615">
        <v>3112.8</v>
      </c>
      <c r="C1615" s="1">
        <v>43481</v>
      </c>
      <c r="D1615">
        <v>4810.74</v>
      </c>
      <c r="E1615" s="1">
        <v>43461</v>
      </c>
      <c r="F1615">
        <v>10381.51</v>
      </c>
      <c r="G1615" s="1">
        <v>43445</v>
      </c>
      <c r="H1615">
        <v>7526.7833799999999</v>
      </c>
      <c r="I1615" s="1">
        <v>43479</v>
      </c>
      <c r="J1615">
        <v>8818.6</v>
      </c>
      <c r="K1615" s="1">
        <v>43461</v>
      </c>
      <c r="L1615">
        <v>18064.62</v>
      </c>
    </row>
    <row r="1616" spans="1:12" x14ac:dyDescent="0.35">
      <c r="A1616" s="1">
        <v>43486</v>
      </c>
      <c r="B1616">
        <v>3125.07</v>
      </c>
      <c r="C1616" s="1">
        <v>43480</v>
      </c>
      <c r="D1616">
        <v>4786.17</v>
      </c>
      <c r="E1616" s="1">
        <v>43455</v>
      </c>
      <c r="F1616">
        <v>10633.82</v>
      </c>
      <c r="G1616" s="1">
        <v>43444</v>
      </c>
      <c r="H1616">
        <v>7433.3368899999996</v>
      </c>
      <c r="I1616" s="1">
        <v>43476</v>
      </c>
      <c r="J1616">
        <v>8877.1</v>
      </c>
      <c r="K1616" s="1">
        <v>43455</v>
      </c>
      <c r="L1616">
        <v>18397.189999999999</v>
      </c>
    </row>
    <row r="1617" spans="1:12" x14ac:dyDescent="0.35">
      <c r="A1617" s="1">
        <v>43483</v>
      </c>
      <c r="B1617">
        <v>3134.92</v>
      </c>
      <c r="C1617" s="1">
        <v>43479</v>
      </c>
      <c r="D1617">
        <v>4762.75</v>
      </c>
      <c r="E1617" s="1">
        <v>43454</v>
      </c>
      <c r="F1617">
        <v>10611.1</v>
      </c>
      <c r="G1617" s="1">
        <v>43441</v>
      </c>
      <c r="H1617">
        <v>7572.80548</v>
      </c>
      <c r="I1617" s="1">
        <v>43475</v>
      </c>
      <c r="J1617">
        <v>8856.7999999999993</v>
      </c>
      <c r="K1617" s="1">
        <v>43454</v>
      </c>
      <c r="L1617">
        <v>18576.900000000001</v>
      </c>
    </row>
    <row r="1618" spans="1:12" x14ac:dyDescent="0.35">
      <c r="A1618" s="1">
        <v>43482</v>
      </c>
      <c r="B1618">
        <v>3069.35</v>
      </c>
      <c r="C1618" s="1">
        <v>43476</v>
      </c>
      <c r="D1618">
        <v>4781.34</v>
      </c>
      <c r="E1618" s="1">
        <v>43453</v>
      </c>
      <c r="F1618">
        <v>10766.21</v>
      </c>
      <c r="G1618" s="1">
        <v>43440</v>
      </c>
      <c r="H1618">
        <v>7533.0042800000001</v>
      </c>
      <c r="I1618" s="1">
        <v>43474</v>
      </c>
      <c r="J1618">
        <v>8823.6</v>
      </c>
      <c r="K1618" s="1">
        <v>43453</v>
      </c>
      <c r="L1618">
        <v>18941.900000000001</v>
      </c>
    </row>
    <row r="1619" spans="1:12" x14ac:dyDescent="0.35">
      <c r="A1619" s="1">
        <v>43481</v>
      </c>
      <c r="B1619">
        <v>3077.22</v>
      </c>
      <c r="C1619" s="1">
        <v>43475</v>
      </c>
      <c r="D1619">
        <v>4805.66</v>
      </c>
      <c r="E1619" s="1">
        <v>43452</v>
      </c>
      <c r="F1619">
        <v>10740.89</v>
      </c>
      <c r="G1619" s="1">
        <v>43439</v>
      </c>
      <c r="H1619">
        <v>7775.0253899999998</v>
      </c>
      <c r="I1619" s="1">
        <v>43473</v>
      </c>
      <c r="J1619">
        <v>8847.2999999999993</v>
      </c>
      <c r="K1619" s="1">
        <v>43452</v>
      </c>
      <c r="L1619">
        <v>18644.849999999999</v>
      </c>
    </row>
    <row r="1620" spans="1:12" x14ac:dyDescent="0.35">
      <c r="A1620" s="1">
        <v>43480</v>
      </c>
      <c r="B1620">
        <v>3068.05</v>
      </c>
      <c r="C1620" s="1">
        <v>43474</v>
      </c>
      <c r="D1620">
        <v>4813.58</v>
      </c>
      <c r="E1620" s="1">
        <v>43451</v>
      </c>
      <c r="F1620">
        <v>10772.2</v>
      </c>
      <c r="G1620" s="1">
        <v>43438</v>
      </c>
      <c r="H1620">
        <v>7872.8216700000003</v>
      </c>
      <c r="I1620" s="1">
        <v>43472</v>
      </c>
      <c r="J1620">
        <v>8776.2999999999993</v>
      </c>
      <c r="K1620" s="1">
        <v>43451</v>
      </c>
      <c r="L1620">
        <v>18693.45</v>
      </c>
    </row>
    <row r="1621" spans="1:12" x14ac:dyDescent="0.35">
      <c r="A1621" s="1">
        <v>43479</v>
      </c>
      <c r="B1621">
        <v>3055.18</v>
      </c>
      <c r="C1621" s="1">
        <v>43473</v>
      </c>
      <c r="D1621">
        <v>4773.2700000000004</v>
      </c>
      <c r="E1621" s="1">
        <v>43448</v>
      </c>
      <c r="F1621">
        <v>10865.77</v>
      </c>
      <c r="G1621" s="1">
        <v>43437</v>
      </c>
      <c r="H1621">
        <v>7925.8491899999999</v>
      </c>
      <c r="I1621" s="1">
        <v>43469</v>
      </c>
      <c r="J1621">
        <v>8737.7999999999993</v>
      </c>
      <c r="K1621" s="1">
        <v>43448</v>
      </c>
      <c r="L1621">
        <v>18910.79</v>
      </c>
    </row>
    <row r="1622" spans="1:12" x14ac:dyDescent="0.35">
      <c r="A1622" s="1">
        <v>43476</v>
      </c>
      <c r="B1622">
        <v>3070.04</v>
      </c>
      <c r="C1622" s="1">
        <v>43472</v>
      </c>
      <c r="D1622">
        <v>4719.17</v>
      </c>
      <c r="E1622" s="1">
        <v>43447</v>
      </c>
      <c r="F1622">
        <v>10924.7</v>
      </c>
      <c r="G1622" s="1">
        <v>43434</v>
      </c>
      <c r="H1622">
        <v>7867.9611999999997</v>
      </c>
      <c r="I1622" s="1">
        <v>43468</v>
      </c>
      <c r="J1622">
        <v>8523.2999999999993</v>
      </c>
      <c r="K1622" s="1">
        <v>43447</v>
      </c>
      <c r="L1622">
        <v>19048.830000000002</v>
      </c>
    </row>
    <row r="1623" spans="1:12" x14ac:dyDescent="0.35">
      <c r="A1623" s="1">
        <v>43475</v>
      </c>
      <c r="B1623">
        <v>3075.73</v>
      </c>
      <c r="C1623" s="1">
        <v>43469</v>
      </c>
      <c r="D1623">
        <v>4737.12</v>
      </c>
      <c r="E1623" s="1">
        <v>43446</v>
      </c>
      <c r="F1623">
        <v>10929.43</v>
      </c>
      <c r="G1623" s="1">
        <v>43433</v>
      </c>
      <c r="H1623">
        <v>7909.1481599999997</v>
      </c>
      <c r="I1623" s="1">
        <v>43467</v>
      </c>
      <c r="J1623">
        <v>8550</v>
      </c>
      <c r="K1623" s="1">
        <v>43446</v>
      </c>
      <c r="L1623">
        <v>18945.8</v>
      </c>
    </row>
    <row r="1624" spans="1:12" x14ac:dyDescent="0.35">
      <c r="A1624" s="1">
        <v>43474</v>
      </c>
      <c r="B1624">
        <v>3070.24</v>
      </c>
      <c r="C1624" s="1">
        <v>43468</v>
      </c>
      <c r="D1624">
        <v>4611.49</v>
      </c>
      <c r="E1624" s="1">
        <v>43445</v>
      </c>
      <c r="F1624">
        <v>10780.51</v>
      </c>
      <c r="G1624" s="1">
        <v>43432</v>
      </c>
      <c r="H1624">
        <v>7906.63598</v>
      </c>
      <c r="I1624" s="1">
        <v>43465</v>
      </c>
      <c r="J1624">
        <v>8539.9</v>
      </c>
      <c r="K1624" s="1">
        <v>43445</v>
      </c>
      <c r="L1624">
        <v>18591.009999999998</v>
      </c>
    </row>
    <row r="1625" spans="1:12" x14ac:dyDescent="0.35">
      <c r="A1625" s="1">
        <v>43473</v>
      </c>
      <c r="B1625">
        <v>3054.94</v>
      </c>
      <c r="C1625" s="1">
        <v>43467</v>
      </c>
      <c r="D1625">
        <v>4689.3900000000003</v>
      </c>
      <c r="E1625" s="1">
        <v>43444</v>
      </c>
      <c r="F1625">
        <v>10622.07</v>
      </c>
      <c r="G1625" s="1">
        <v>43431</v>
      </c>
      <c r="H1625">
        <v>7918.4390599999997</v>
      </c>
      <c r="I1625" s="1">
        <v>43462</v>
      </c>
      <c r="J1625">
        <v>8493.7000000000007</v>
      </c>
      <c r="K1625" s="1">
        <v>43444</v>
      </c>
      <c r="L1625">
        <v>18410.13</v>
      </c>
    </row>
    <row r="1626" spans="1:12" x14ac:dyDescent="0.35">
      <c r="A1626" s="1">
        <v>43472</v>
      </c>
      <c r="B1626">
        <v>3033.64</v>
      </c>
      <c r="C1626" s="1">
        <v>43465</v>
      </c>
      <c r="D1626">
        <v>4730.6899999999996</v>
      </c>
      <c r="E1626" s="1">
        <v>43441</v>
      </c>
      <c r="F1626">
        <v>10788.09</v>
      </c>
      <c r="G1626" s="1">
        <v>43430</v>
      </c>
      <c r="H1626">
        <v>7954.3596399999997</v>
      </c>
      <c r="I1626" s="1">
        <v>43461</v>
      </c>
      <c r="J1626">
        <v>8363.9</v>
      </c>
      <c r="K1626" s="1">
        <v>43441</v>
      </c>
      <c r="L1626">
        <v>18741.98</v>
      </c>
    </row>
    <row r="1627" spans="1:12" x14ac:dyDescent="0.35">
      <c r="A1627" s="1">
        <v>43469</v>
      </c>
      <c r="B1627">
        <v>3041.85</v>
      </c>
      <c r="C1627" s="1">
        <v>43462</v>
      </c>
      <c r="D1627">
        <v>4678.74</v>
      </c>
      <c r="E1627" s="1">
        <v>43440</v>
      </c>
      <c r="F1627">
        <v>10810.98</v>
      </c>
      <c r="G1627" s="1">
        <v>43427</v>
      </c>
      <c r="H1627">
        <v>7857.0078299999996</v>
      </c>
      <c r="I1627" s="1">
        <v>43458</v>
      </c>
      <c r="J1627">
        <v>8480.6</v>
      </c>
      <c r="K1627" s="1">
        <v>43440</v>
      </c>
      <c r="L1627">
        <v>18643.830000000002</v>
      </c>
    </row>
    <row r="1628" spans="1:12" x14ac:dyDescent="0.35">
      <c r="A1628" s="1">
        <v>43468</v>
      </c>
      <c r="B1628">
        <v>2954.66</v>
      </c>
      <c r="C1628" s="1">
        <v>43461</v>
      </c>
      <c r="D1628">
        <v>4598.6099999999997</v>
      </c>
      <c r="E1628" s="1">
        <v>43439</v>
      </c>
      <c r="F1628">
        <v>11200.24</v>
      </c>
      <c r="G1628" s="1">
        <v>43426</v>
      </c>
      <c r="H1628">
        <v>7854.1549199999999</v>
      </c>
      <c r="I1628" s="1">
        <v>43455</v>
      </c>
      <c r="J1628">
        <v>8556.7999999999993</v>
      </c>
      <c r="K1628" s="1">
        <v>43439</v>
      </c>
      <c r="L1628">
        <v>19328.7</v>
      </c>
    </row>
    <row r="1629" spans="1:12" x14ac:dyDescent="0.35">
      <c r="A1629" s="1">
        <v>43467</v>
      </c>
      <c r="B1629">
        <v>2993.18</v>
      </c>
      <c r="C1629" s="1">
        <v>43458</v>
      </c>
      <c r="D1629">
        <v>4626.3900000000003</v>
      </c>
      <c r="E1629" s="1">
        <v>43438</v>
      </c>
      <c r="F1629">
        <v>11335.32</v>
      </c>
      <c r="G1629" s="1">
        <v>43425</v>
      </c>
      <c r="H1629">
        <v>7909.5463799999998</v>
      </c>
      <c r="I1629" s="1">
        <v>43454</v>
      </c>
      <c r="J1629">
        <v>8596.5</v>
      </c>
      <c r="K1629" s="1">
        <v>43438</v>
      </c>
      <c r="L1629">
        <v>19353.43</v>
      </c>
    </row>
    <row r="1630" spans="1:12" x14ac:dyDescent="0.35">
      <c r="A1630" s="1">
        <v>43465</v>
      </c>
      <c r="B1630">
        <v>3001.42</v>
      </c>
      <c r="C1630" s="1">
        <v>43455</v>
      </c>
      <c r="D1630">
        <v>4694.38</v>
      </c>
      <c r="E1630" s="1">
        <v>43437</v>
      </c>
      <c r="F1630">
        <v>11465.46</v>
      </c>
      <c r="G1630" s="1">
        <v>43424</v>
      </c>
      <c r="H1630">
        <v>7815.1885000000002</v>
      </c>
      <c r="I1630" s="1">
        <v>43453</v>
      </c>
      <c r="J1630">
        <v>8769.1</v>
      </c>
      <c r="K1630" s="1">
        <v>43437</v>
      </c>
      <c r="L1630">
        <v>19622.36</v>
      </c>
    </row>
    <row r="1631" spans="1:12" x14ac:dyDescent="0.35">
      <c r="A1631" s="1">
        <v>43462</v>
      </c>
      <c r="B1631">
        <v>2986.53</v>
      </c>
      <c r="C1631" s="1">
        <v>43454</v>
      </c>
      <c r="D1631">
        <v>4692.46</v>
      </c>
      <c r="E1631" s="1">
        <v>43434</v>
      </c>
      <c r="F1631">
        <v>11257.24</v>
      </c>
      <c r="G1631" s="1">
        <v>43423</v>
      </c>
      <c r="H1631">
        <v>7858.1293699999997</v>
      </c>
      <c r="I1631" s="1">
        <v>43452</v>
      </c>
      <c r="J1631">
        <v>8700.7999999999993</v>
      </c>
      <c r="K1631" s="1">
        <v>43434</v>
      </c>
      <c r="L1631">
        <v>19188.97</v>
      </c>
    </row>
    <row r="1632" spans="1:12" x14ac:dyDescent="0.35">
      <c r="A1632" s="1">
        <v>43461</v>
      </c>
      <c r="B1632">
        <v>2937.36</v>
      </c>
      <c r="C1632" s="1">
        <v>43453</v>
      </c>
      <c r="D1632">
        <v>4777.45</v>
      </c>
      <c r="E1632" s="1">
        <v>43433</v>
      </c>
      <c r="F1632">
        <v>11298.23</v>
      </c>
      <c r="G1632" s="1">
        <v>43420</v>
      </c>
      <c r="H1632">
        <v>7879.2447899999997</v>
      </c>
      <c r="I1632" s="1">
        <v>43451</v>
      </c>
      <c r="J1632">
        <v>8812.5</v>
      </c>
      <c r="K1632" s="1">
        <v>43433</v>
      </c>
      <c r="L1632">
        <v>19159.599999999999</v>
      </c>
    </row>
    <row r="1633" spans="1:12" x14ac:dyDescent="0.35">
      <c r="A1633" s="1">
        <v>43458</v>
      </c>
      <c r="B1633">
        <v>2973.78</v>
      </c>
      <c r="C1633" s="1">
        <v>43452</v>
      </c>
      <c r="D1633">
        <v>4754.08</v>
      </c>
      <c r="E1633" s="1">
        <v>43432</v>
      </c>
      <c r="F1633">
        <v>11298.88</v>
      </c>
      <c r="G1633" s="1">
        <v>43419</v>
      </c>
      <c r="H1633">
        <v>7928.7241199999999</v>
      </c>
      <c r="I1633" s="1">
        <v>43448</v>
      </c>
      <c r="J1633">
        <v>8886.1</v>
      </c>
      <c r="K1633" s="1">
        <v>43432</v>
      </c>
      <c r="L1633">
        <v>19115.16</v>
      </c>
    </row>
    <row r="1634" spans="1:12" x14ac:dyDescent="0.35">
      <c r="A1634" s="1">
        <v>43455</v>
      </c>
      <c r="B1634">
        <v>3000.61</v>
      </c>
      <c r="C1634" s="1">
        <v>43451</v>
      </c>
      <c r="D1634">
        <v>4799.87</v>
      </c>
      <c r="E1634" s="1">
        <v>43431</v>
      </c>
      <c r="F1634">
        <v>11309.11</v>
      </c>
      <c r="G1634" s="1">
        <v>43418</v>
      </c>
      <c r="H1634">
        <v>8066.4672200000005</v>
      </c>
      <c r="I1634" s="1">
        <v>43447</v>
      </c>
      <c r="J1634">
        <v>8926.2999999999993</v>
      </c>
      <c r="K1634" s="1">
        <v>43431</v>
      </c>
      <c r="L1634">
        <v>19150.38</v>
      </c>
    </row>
    <row r="1635" spans="1:12" x14ac:dyDescent="0.35">
      <c r="A1635" s="1">
        <v>43454</v>
      </c>
      <c r="B1635">
        <v>3000.06</v>
      </c>
      <c r="C1635" s="1">
        <v>43448</v>
      </c>
      <c r="D1635">
        <v>4853.7</v>
      </c>
      <c r="E1635" s="1">
        <v>43430</v>
      </c>
      <c r="F1635">
        <v>11354.72</v>
      </c>
      <c r="G1635" s="1">
        <v>43417</v>
      </c>
      <c r="H1635">
        <v>8121.29864</v>
      </c>
      <c r="I1635" s="1">
        <v>43446</v>
      </c>
      <c r="J1635">
        <v>8853.4</v>
      </c>
      <c r="K1635" s="1">
        <v>43430</v>
      </c>
      <c r="L1635">
        <v>19233.45</v>
      </c>
    </row>
    <row r="1636" spans="1:12" x14ac:dyDescent="0.35">
      <c r="A1636" s="1">
        <v>43453</v>
      </c>
      <c r="B1636">
        <v>3051.38</v>
      </c>
      <c r="C1636" s="1">
        <v>43447</v>
      </c>
      <c r="D1636">
        <v>4896.92</v>
      </c>
      <c r="E1636" s="1">
        <v>43427</v>
      </c>
      <c r="F1636">
        <v>11192.69</v>
      </c>
      <c r="G1636" s="1">
        <v>43416</v>
      </c>
      <c r="H1636">
        <v>8059.7668299999996</v>
      </c>
      <c r="I1636" s="1">
        <v>43445</v>
      </c>
      <c r="J1636">
        <v>8735.5</v>
      </c>
      <c r="K1636" s="1">
        <v>43427</v>
      </c>
      <c r="L1636">
        <v>18714.900000000001</v>
      </c>
    </row>
    <row r="1637" spans="1:12" x14ac:dyDescent="0.35">
      <c r="A1637" s="1">
        <v>43452</v>
      </c>
      <c r="B1637">
        <v>3040.13</v>
      </c>
      <c r="C1637" s="1">
        <v>43446</v>
      </c>
      <c r="D1637">
        <v>4909.45</v>
      </c>
      <c r="E1637" s="1">
        <v>43426</v>
      </c>
      <c r="F1637">
        <v>11138.49</v>
      </c>
      <c r="G1637" s="1">
        <v>43413</v>
      </c>
      <c r="H1637">
        <v>8136.1535299999996</v>
      </c>
      <c r="I1637" s="1">
        <v>43444</v>
      </c>
      <c r="J1637">
        <v>8660</v>
      </c>
      <c r="K1637" s="1">
        <v>43426</v>
      </c>
      <c r="L1637">
        <v>18603.04</v>
      </c>
    </row>
    <row r="1638" spans="1:12" x14ac:dyDescent="0.35">
      <c r="A1638" s="1">
        <v>43451</v>
      </c>
      <c r="B1638">
        <v>3063.65</v>
      </c>
      <c r="C1638" s="1">
        <v>43445</v>
      </c>
      <c r="D1638">
        <v>4806.2</v>
      </c>
      <c r="E1638" s="1">
        <v>43425</v>
      </c>
      <c r="F1638">
        <v>11244.17</v>
      </c>
      <c r="G1638" s="1">
        <v>43412</v>
      </c>
      <c r="H1638">
        <v>8204.9189700000006</v>
      </c>
      <c r="I1638" s="1">
        <v>43441</v>
      </c>
      <c r="J1638">
        <v>8815.5</v>
      </c>
      <c r="K1638" s="1">
        <v>43425</v>
      </c>
      <c r="L1638">
        <v>18731.55</v>
      </c>
    </row>
    <row r="1639" spans="1:12" x14ac:dyDescent="0.35">
      <c r="A1639" s="1">
        <v>43448</v>
      </c>
      <c r="B1639">
        <v>3092.6</v>
      </c>
      <c r="C1639" s="1">
        <v>43444</v>
      </c>
      <c r="D1639">
        <v>4742.38</v>
      </c>
      <c r="E1639" s="1">
        <v>43424</v>
      </c>
      <c r="F1639">
        <v>11066.41</v>
      </c>
      <c r="G1639" s="1">
        <v>43411</v>
      </c>
      <c r="H1639">
        <v>8165.2535399999997</v>
      </c>
      <c r="I1639" s="1">
        <v>43440</v>
      </c>
      <c r="J1639">
        <v>8764.5</v>
      </c>
      <c r="K1639" s="1">
        <v>43424</v>
      </c>
      <c r="L1639">
        <v>18471.38</v>
      </c>
    </row>
    <row r="1640" spans="1:12" x14ac:dyDescent="0.35">
      <c r="A1640" s="1">
        <v>43447</v>
      </c>
      <c r="B1640">
        <v>3112.17</v>
      </c>
      <c r="C1640" s="1">
        <v>43441</v>
      </c>
      <c r="D1640">
        <v>4813.13</v>
      </c>
      <c r="E1640" s="1">
        <v>43423</v>
      </c>
      <c r="F1640">
        <v>11244.54</v>
      </c>
      <c r="G1640" s="1">
        <v>43410</v>
      </c>
      <c r="H1640">
        <v>8072.2272300000004</v>
      </c>
      <c r="I1640" s="1">
        <v>43439</v>
      </c>
      <c r="J1640">
        <v>9012.2000000000007</v>
      </c>
      <c r="K1640" s="1">
        <v>43423</v>
      </c>
      <c r="L1640">
        <v>18823.13</v>
      </c>
    </row>
    <row r="1641" spans="1:12" x14ac:dyDescent="0.35">
      <c r="A1641" s="1">
        <v>43446</v>
      </c>
      <c r="B1641">
        <v>3107.97</v>
      </c>
      <c r="C1641" s="1">
        <v>43440</v>
      </c>
      <c r="D1641">
        <v>4780.46</v>
      </c>
      <c r="E1641" s="1">
        <v>43420</v>
      </c>
      <c r="F1641">
        <v>11341</v>
      </c>
      <c r="G1641" s="1">
        <v>43409</v>
      </c>
      <c r="H1641">
        <v>8115.0228399999996</v>
      </c>
      <c r="I1641" s="1">
        <v>43438</v>
      </c>
      <c r="J1641">
        <v>9061.7000000000007</v>
      </c>
      <c r="K1641" s="1">
        <v>43420</v>
      </c>
      <c r="L1641">
        <v>18878.310000000001</v>
      </c>
    </row>
    <row r="1642" spans="1:12" x14ac:dyDescent="0.35">
      <c r="A1642" s="1">
        <v>43445</v>
      </c>
      <c r="B1642">
        <v>3055.32</v>
      </c>
      <c r="C1642" s="1">
        <v>43439</v>
      </c>
      <c r="D1642">
        <v>4944.37</v>
      </c>
      <c r="E1642" s="1">
        <v>43419</v>
      </c>
      <c r="F1642">
        <v>11353.67</v>
      </c>
      <c r="G1642" s="1">
        <v>43406</v>
      </c>
      <c r="H1642">
        <v>8076.93887</v>
      </c>
      <c r="I1642" s="1">
        <v>43437</v>
      </c>
      <c r="J1642">
        <v>9179.6</v>
      </c>
      <c r="K1642" s="1">
        <v>43419</v>
      </c>
      <c r="L1642">
        <v>18905.36</v>
      </c>
    </row>
    <row r="1643" spans="1:12" x14ac:dyDescent="0.35">
      <c r="A1643" s="1">
        <v>43444</v>
      </c>
      <c r="B1643">
        <v>3016.99</v>
      </c>
      <c r="C1643" s="1">
        <v>43438</v>
      </c>
      <c r="D1643">
        <v>5012.66</v>
      </c>
      <c r="E1643" s="1">
        <v>43418</v>
      </c>
      <c r="F1643">
        <v>11412.53</v>
      </c>
      <c r="G1643" s="1">
        <v>43405</v>
      </c>
      <c r="H1643">
        <v>8107.2582599999996</v>
      </c>
      <c r="I1643" s="1">
        <v>43434</v>
      </c>
      <c r="J1643">
        <v>9077.2000000000007</v>
      </c>
      <c r="K1643" s="1">
        <v>43418</v>
      </c>
      <c r="L1643">
        <v>19077.47</v>
      </c>
    </row>
    <row r="1644" spans="1:12" x14ac:dyDescent="0.35">
      <c r="A1644" s="1">
        <v>43441</v>
      </c>
      <c r="B1644">
        <v>3058.53</v>
      </c>
      <c r="C1644" s="1">
        <v>43437</v>
      </c>
      <c r="D1644">
        <v>5053.9799999999996</v>
      </c>
      <c r="E1644" s="1">
        <v>43417</v>
      </c>
      <c r="F1644">
        <v>11472.22</v>
      </c>
      <c r="G1644" s="1">
        <v>43404</v>
      </c>
      <c r="H1644">
        <v>8041.02135</v>
      </c>
      <c r="I1644" s="1">
        <v>43433</v>
      </c>
      <c r="J1644">
        <v>9098.9</v>
      </c>
      <c r="K1644" s="1">
        <v>43417</v>
      </c>
      <c r="L1644">
        <v>19226.52</v>
      </c>
    </row>
    <row r="1645" spans="1:12" x14ac:dyDescent="0.35">
      <c r="A1645" s="1">
        <v>43440</v>
      </c>
      <c r="B1645">
        <v>3045.94</v>
      </c>
      <c r="C1645" s="1">
        <v>43434</v>
      </c>
      <c r="D1645">
        <v>5003.92</v>
      </c>
      <c r="E1645" s="1">
        <v>43416</v>
      </c>
      <c r="F1645">
        <v>11325.44</v>
      </c>
      <c r="G1645" s="1">
        <v>43403</v>
      </c>
      <c r="H1645">
        <v>7880.2263899999998</v>
      </c>
      <c r="I1645" s="1">
        <v>43432</v>
      </c>
      <c r="J1645">
        <v>9102.7000000000007</v>
      </c>
      <c r="K1645" s="1">
        <v>43416</v>
      </c>
      <c r="L1645">
        <v>19055.919999999998</v>
      </c>
    </row>
    <row r="1646" spans="1:12" x14ac:dyDescent="0.35">
      <c r="A1646" s="1">
        <v>43439</v>
      </c>
      <c r="B1646">
        <v>3150.27</v>
      </c>
      <c r="C1646" s="1">
        <v>43433</v>
      </c>
      <c r="D1646">
        <v>5006.25</v>
      </c>
      <c r="E1646" s="1">
        <v>43413</v>
      </c>
      <c r="F1646">
        <v>11529.16</v>
      </c>
      <c r="G1646" s="1">
        <v>43402</v>
      </c>
      <c r="H1646">
        <v>7899.9825499999997</v>
      </c>
      <c r="I1646" s="1">
        <v>43431</v>
      </c>
      <c r="J1646">
        <v>9085.6</v>
      </c>
      <c r="K1646" s="1">
        <v>43413</v>
      </c>
      <c r="L1646">
        <v>19258.11</v>
      </c>
    </row>
    <row r="1647" spans="1:12" x14ac:dyDescent="0.35">
      <c r="A1647" s="1">
        <v>43438</v>
      </c>
      <c r="B1647">
        <v>3189.25</v>
      </c>
      <c r="C1647" s="1">
        <v>43432</v>
      </c>
      <c r="D1647">
        <v>4983.24</v>
      </c>
      <c r="E1647" s="1">
        <v>43412</v>
      </c>
      <c r="F1647">
        <v>11527.32</v>
      </c>
      <c r="G1647" s="1">
        <v>43399</v>
      </c>
      <c r="H1647">
        <v>7813.39894</v>
      </c>
      <c r="I1647" s="1">
        <v>43430</v>
      </c>
      <c r="J1647">
        <v>9091.2000000000007</v>
      </c>
      <c r="K1647" s="1">
        <v>43412</v>
      </c>
      <c r="L1647">
        <v>19429.14</v>
      </c>
    </row>
    <row r="1648" spans="1:12" x14ac:dyDescent="0.35">
      <c r="A1648" s="1">
        <v>43437</v>
      </c>
      <c r="B1648">
        <v>3214.99</v>
      </c>
      <c r="C1648" s="1">
        <v>43431</v>
      </c>
      <c r="D1648">
        <v>4983.1499999999996</v>
      </c>
      <c r="E1648" s="1">
        <v>43411</v>
      </c>
      <c r="F1648">
        <v>11579.1</v>
      </c>
      <c r="G1648" s="1">
        <v>43398</v>
      </c>
      <c r="H1648">
        <v>7897.7817699999996</v>
      </c>
      <c r="I1648" s="1">
        <v>43427</v>
      </c>
      <c r="J1648">
        <v>8916.7000000000007</v>
      </c>
      <c r="K1648" s="1">
        <v>43411</v>
      </c>
      <c r="L1648">
        <v>19540.939999999999</v>
      </c>
    </row>
    <row r="1649" spans="1:12" x14ac:dyDescent="0.35">
      <c r="A1649" s="1">
        <v>43434</v>
      </c>
      <c r="B1649">
        <v>3173.13</v>
      </c>
      <c r="C1649" s="1">
        <v>43430</v>
      </c>
      <c r="D1649">
        <v>4994.9799999999996</v>
      </c>
      <c r="E1649" s="1">
        <v>43410</v>
      </c>
      <c r="F1649">
        <v>11484.34</v>
      </c>
      <c r="G1649" s="1">
        <v>43397</v>
      </c>
      <c r="H1649">
        <v>7874.2240300000003</v>
      </c>
      <c r="I1649" s="1">
        <v>43426</v>
      </c>
      <c r="J1649">
        <v>8906.2000000000007</v>
      </c>
      <c r="K1649" s="1">
        <v>43410</v>
      </c>
      <c r="L1649">
        <v>19268.29</v>
      </c>
    </row>
    <row r="1650" spans="1:12" x14ac:dyDescent="0.35">
      <c r="A1650" s="1">
        <v>43433</v>
      </c>
      <c r="B1650">
        <v>3174.16</v>
      </c>
      <c r="C1650" s="1">
        <v>43427</v>
      </c>
      <c r="D1650">
        <v>4946.95</v>
      </c>
      <c r="E1650" s="1">
        <v>43409</v>
      </c>
      <c r="F1650">
        <v>11494.96</v>
      </c>
      <c r="G1650" s="1">
        <v>43396</v>
      </c>
      <c r="H1650">
        <v>7872.3139799999999</v>
      </c>
      <c r="I1650" s="1">
        <v>43425</v>
      </c>
      <c r="J1650">
        <v>8960.6</v>
      </c>
      <c r="K1650" s="1">
        <v>43409</v>
      </c>
      <c r="L1650">
        <v>19281.03</v>
      </c>
    </row>
    <row r="1651" spans="1:12" x14ac:dyDescent="0.35">
      <c r="A1651" s="1">
        <v>43432</v>
      </c>
      <c r="B1651">
        <v>3168.29</v>
      </c>
      <c r="C1651" s="1">
        <v>43426</v>
      </c>
      <c r="D1651">
        <v>4938.1400000000003</v>
      </c>
      <c r="E1651" s="1">
        <v>43406</v>
      </c>
      <c r="F1651">
        <v>11518.99</v>
      </c>
      <c r="G1651" s="1">
        <v>43395</v>
      </c>
      <c r="H1651">
        <v>7965.1372199999996</v>
      </c>
      <c r="I1651" s="1">
        <v>43424</v>
      </c>
      <c r="J1651">
        <v>8866.5</v>
      </c>
      <c r="K1651" s="1">
        <v>43406</v>
      </c>
      <c r="L1651">
        <v>19390.34</v>
      </c>
    </row>
    <row r="1652" spans="1:12" x14ac:dyDescent="0.35">
      <c r="A1652" s="1">
        <v>43431</v>
      </c>
      <c r="B1652">
        <v>3166.42</v>
      </c>
      <c r="C1652" s="1">
        <v>43425</v>
      </c>
      <c r="D1652">
        <v>4975.5</v>
      </c>
      <c r="E1652" s="1">
        <v>43405</v>
      </c>
      <c r="F1652">
        <v>11468.54</v>
      </c>
      <c r="G1652" s="1">
        <v>43392</v>
      </c>
      <c r="H1652">
        <v>7997.7288399999998</v>
      </c>
      <c r="I1652" s="1">
        <v>43423</v>
      </c>
      <c r="J1652">
        <v>9006.2999999999993</v>
      </c>
      <c r="K1652" s="1">
        <v>43405</v>
      </c>
      <c r="L1652">
        <v>19185.14</v>
      </c>
    </row>
    <row r="1653" spans="1:12" x14ac:dyDescent="0.35">
      <c r="A1653" s="1">
        <v>43430</v>
      </c>
      <c r="B1653">
        <v>3172.71</v>
      </c>
      <c r="C1653" s="1">
        <v>43424</v>
      </c>
      <c r="D1653">
        <v>4924.8900000000003</v>
      </c>
      <c r="E1653" s="1">
        <v>43404</v>
      </c>
      <c r="F1653">
        <v>11447.51</v>
      </c>
      <c r="G1653" s="1">
        <v>43391</v>
      </c>
      <c r="H1653">
        <v>7989.2809100000004</v>
      </c>
      <c r="I1653" s="1">
        <v>43420</v>
      </c>
      <c r="J1653">
        <v>9056.7999999999993</v>
      </c>
      <c r="K1653" s="1">
        <v>43404</v>
      </c>
      <c r="L1653">
        <v>19050.22</v>
      </c>
    </row>
    <row r="1654" spans="1:12" x14ac:dyDescent="0.35">
      <c r="A1654" s="1">
        <v>43427</v>
      </c>
      <c r="B1654">
        <v>3137.21</v>
      </c>
      <c r="C1654" s="1">
        <v>43423</v>
      </c>
      <c r="D1654">
        <v>4985.45</v>
      </c>
      <c r="E1654" s="1">
        <v>43403</v>
      </c>
      <c r="F1654">
        <v>11287.39</v>
      </c>
      <c r="G1654" s="1">
        <v>43390</v>
      </c>
      <c r="H1654">
        <v>8042.2929599999998</v>
      </c>
      <c r="I1654" s="1">
        <v>43419</v>
      </c>
      <c r="J1654">
        <v>9073.5</v>
      </c>
      <c r="K1654" s="1">
        <v>43403</v>
      </c>
      <c r="L1654">
        <v>18998.8</v>
      </c>
    </row>
    <row r="1655" spans="1:12" x14ac:dyDescent="0.35">
      <c r="A1655" s="1">
        <v>43426</v>
      </c>
      <c r="B1655">
        <v>3126.67</v>
      </c>
      <c r="C1655" s="1">
        <v>43420</v>
      </c>
      <c r="D1655">
        <v>5025.2</v>
      </c>
      <c r="E1655" s="1">
        <v>43402</v>
      </c>
      <c r="F1655">
        <v>11335.48</v>
      </c>
      <c r="G1655" s="1">
        <v>43389</v>
      </c>
      <c r="H1655">
        <v>8034.89624</v>
      </c>
      <c r="I1655" s="1">
        <v>43418</v>
      </c>
      <c r="J1655">
        <v>9106.6</v>
      </c>
      <c r="K1655" s="1">
        <v>43402</v>
      </c>
      <c r="L1655">
        <v>19039.849999999999</v>
      </c>
    </row>
    <row r="1656" spans="1:12" x14ac:dyDescent="0.35">
      <c r="A1656" s="1">
        <v>43425</v>
      </c>
      <c r="B1656">
        <v>3153.91</v>
      </c>
      <c r="C1656" s="1">
        <v>43419</v>
      </c>
      <c r="D1656">
        <v>5033.62</v>
      </c>
      <c r="E1656" s="1">
        <v>43399</v>
      </c>
      <c r="F1656">
        <v>11200.62</v>
      </c>
      <c r="G1656" s="1">
        <v>43388</v>
      </c>
      <c r="H1656">
        <v>7984.3298299999997</v>
      </c>
      <c r="I1656" s="1">
        <v>43417</v>
      </c>
      <c r="J1656">
        <v>9145.4</v>
      </c>
      <c r="K1656" s="1">
        <v>43399</v>
      </c>
      <c r="L1656">
        <v>18683.27</v>
      </c>
    </row>
    <row r="1657" spans="1:12" x14ac:dyDescent="0.35">
      <c r="A1657" s="1">
        <v>43424</v>
      </c>
      <c r="B1657">
        <v>3116.07</v>
      </c>
      <c r="C1657" s="1">
        <v>43418</v>
      </c>
      <c r="D1657">
        <v>5068.8500000000004</v>
      </c>
      <c r="E1657" s="1">
        <v>43398</v>
      </c>
      <c r="F1657">
        <v>11307.12</v>
      </c>
      <c r="G1657" s="1">
        <v>43385</v>
      </c>
      <c r="H1657">
        <v>7960.3206700000001</v>
      </c>
      <c r="I1657" s="1">
        <v>43416</v>
      </c>
      <c r="J1657">
        <v>9076.2999999999993</v>
      </c>
      <c r="K1657" s="1">
        <v>43398</v>
      </c>
      <c r="L1657">
        <v>18815.32</v>
      </c>
    </row>
    <row r="1658" spans="1:12" x14ac:dyDescent="0.35">
      <c r="A1658" s="1">
        <v>43423</v>
      </c>
      <c r="B1658">
        <v>3160.33</v>
      </c>
      <c r="C1658" s="1">
        <v>43417</v>
      </c>
      <c r="D1658">
        <v>5101.8500000000004</v>
      </c>
      <c r="E1658" s="1">
        <v>43397</v>
      </c>
      <c r="F1658">
        <v>11191.63</v>
      </c>
      <c r="G1658" s="1">
        <v>43384</v>
      </c>
      <c r="H1658">
        <v>7990.0189300000002</v>
      </c>
      <c r="I1658" s="1">
        <v>43413</v>
      </c>
      <c r="J1658">
        <v>9134.7999999999993</v>
      </c>
      <c r="K1658" s="1">
        <v>43397</v>
      </c>
      <c r="L1658">
        <v>18485.46</v>
      </c>
    </row>
    <row r="1659" spans="1:12" x14ac:dyDescent="0.35">
      <c r="A1659" s="1">
        <v>43420</v>
      </c>
      <c r="B1659">
        <v>3180.74</v>
      </c>
      <c r="C1659" s="1">
        <v>43416</v>
      </c>
      <c r="D1659">
        <v>5059.09</v>
      </c>
      <c r="E1659" s="1">
        <v>43396</v>
      </c>
      <c r="F1659">
        <v>11274.28</v>
      </c>
      <c r="G1659" s="1">
        <v>43383</v>
      </c>
      <c r="H1659">
        <v>8181.1570400000001</v>
      </c>
      <c r="I1659" s="1">
        <v>43412</v>
      </c>
      <c r="J1659">
        <v>9177</v>
      </c>
      <c r="K1659" s="1">
        <v>43396</v>
      </c>
      <c r="L1659">
        <v>18802.47</v>
      </c>
    </row>
    <row r="1660" spans="1:12" x14ac:dyDescent="0.35">
      <c r="A1660" s="1">
        <v>43419</v>
      </c>
      <c r="B1660">
        <v>3190.31</v>
      </c>
      <c r="C1660" s="1">
        <v>43413</v>
      </c>
      <c r="D1660">
        <v>5106.75</v>
      </c>
      <c r="E1660" s="1">
        <v>43395</v>
      </c>
      <c r="F1660">
        <v>11524.34</v>
      </c>
      <c r="G1660" s="1">
        <v>43382</v>
      </c>
      <c r="H1660">
        <v>8278.4663999999993</v>
      </c>
      <c r="I1660" s="1">
        <v>43411</v>
      </c>
      <c r="J1660">
        <v>9167.9</v>
      </c>
      <c r="K1660" s="1">
        <v>43395</v>
      </c>
      <c r="L1660">
        <v>18966.22</v>
      </c>
    </row>
    <row r="1661" spans="1:12" x14ac:dyDescent="0.35">
      <c r="A1661" s="1">
        <v>43418</v>
      </c>
      <c r="B1661">
        <v>3205.36</v>
      </c>
      <c r="C1661" s="1">
        <v>43412</v>
      </c>
      <c r="D1661">
        <v>5131.45</v>
      </c>
      <c r="E1661" s="1">
        <v>43392</v>
      </c>
      <c r="F1661">
        <v>11553.83</v>
      </c>
      <c r="G1661" s="1">
        <v>43381</v>
      </c>
      <c r="H1661">
        <v>8237.6791300000004</v>
      </c>
      <c r="I1661" s="1">
        <v>43410</v>
      </c>
      <c r="J1661">
        <v>8988.9</v>
      </c>
      <c r="K1661" s="1">
        <v>43392</v>
      </c>
      <c r="L1661">
        <v>19080.16</v>
      </c>
    </row>
    <row r="1662" spans="1:12" x14ac:dyDescent="0.35">
      <c r="A1662" s="1">
        <v>43417</v>
      </c>
      <c r="B1662">
        <v>3224.82</v>
      </c>
      <c r="C1662" s="1">
        <v>43411</v>
      </c>
      <c r="D1662">
        <v>5137.9399999999996</v>
      </c>
      <c r="E1662" s="1">
        <v>43391</v>
      </c>
      <c r="F1662">
        <v>11589.21</v>
      </c>
      <c r="G1662" s="1">
        <v>43378</v>
      </c>
      <c r="H1662">
        <v>8323.5440600000002</v>
      </c>
      <c r="I1662" s="1">
        <v>43409</v>
      </c>
      <c r="J1662">
        <v>9010.7000000000007</v>
      </c>
      <c r="K1662" s="1">
        <v>43391</v>
      </c>
      <c r="L1662">
        <v>19087.53</v>
      </c>
    </row>
    <row r="1663" spans="1:12" x14ac:dyDescent="0.35">
      <c r="A1663" s="1">
        <v>43416</v>
      </c>
      <c r="B1663">
        <v>3194.08</v>
      </c>
      <c r="C1663" s="1">
        <v>43410</v>
      </c>
      <c r="D1663">
        <v>5075.1899999999996</v>
      </c>
      <c r="E1663" s="1">
        <v>43390</v>
      </c>
      <c r="F1663">
        <v>11715.03</v>
      </c>
      <c r="G1663" s="1">
        <v>43377</v>
      </c>
      <c r="H1663">
        <v>8389.4822100000001</v>
      </c>
      <c r="I1663" s="1">
        <v>43406</v>
      </c>
      <c r="J1663">
        <v>8993</v>
      </c>
      <c r="K1663" s="1">
        <v>43390</v>
      </c>
      <c r="L1663">
        <v>19454.990000000002</v>
      </c>
    </row>
    <row r="1664" spans="1:12" x14ac:dyDescent="0.35">
      <c r="A1664" s="1">
        <v>43413</v>
      </c>
      <c r="B1664">
        <v>3229.49</v>
      </c>
      <c r="C1664" s="1">
        <v>43409</v>
      </c>
      <c r="D1664">
        <v>5101.3900000000003</v>
      </c>
      <c r="E1664" s="1">
        <v>43389</v>
      </c>
      <c r="F1664">
        <v>11776.55</v>
      </c>
      <c r="G1664" s="1">
        <v>43376</v>
      </c>
      <c r="H1664">
        <v>8471.6480200000005</v>
      </c>
      <c r="I1664" s="1">
        <v>43405</v>
      </c>
      <c r="J1664">
        <v>8954.7999999999993</v>
      </c>
      <c r="K1664" s="1">
        <v>43389</v>
      </c>
      <c r="L1664">
        <v>19717.830000000002</v>
      </c>
    </row>
    <row r="1665" spans="1:12" x14ac:dyDescent="0.35">
      <c r="A1665" s="1">
        <v>43412</v>
      </c>
      <c r="B1665">
        <v>3237.6</v>
      </c>
      <c r="C1665" s="1">
        <v>43406</v>
      </c>
      <c r="D1665">
        <v>5102.13</v>
      </c>
      <c r="E1665" s="1">
        <v>43388</v>
      </c>
      <c r="F1665">
        <v>11614.16</v>
      </c>
      <c r="G1665" s="1">
        <v>43375</v>
      </c>
      <c r="H1665">
        <v>8399.8903599999994</v>
      </c>
      <c r="I1665" s="1">
        <v>43404</v>
      </c>
      <c r="J1665">
        <v>8893.5</v>
      </c>
      <c r="K1665" s="1">
        <v>43388</v>
      </c>
      <c r="L1665">
        <v>19287.64</v>
      </c>
    </row>
    <row r="1666" spans="1:12" x14ac:dyDescent="0.35">
      <c r="A1666" s="1">
        <v>43411</v>
      </c>
      <c r="B1666">
        <v>3246.16</v>
      </c>
      <c r="C1666" s="1">
        <v>43405</v>
      </c>
      <c r="D1666">
        <v>5085.78</v>
      </c>
      <c r="E1666" s="1">
        <v>43385</v>
      </c>
      <c r="F1666">
        <v>11523.81</v>
      </c>
      <c r="G1666" s="1">
        <v>43374</v>
      </c>
      <c r="H1666">
        <v>8445.5059600000004</v>
      </c>
      <c r="I1666" s="1">
        <v>43403</v>
      </c>
      <c r="J1666">
        <v>8806.1</v>
      </c>
      <c r="K1666" s="1">
        <v>43385</v>
      </c>
      <c r="L1666">
        <v>19255.98</v>
      </c>
    </row>
    <row r="1667" spans="1:12" x14ac:dyDescent="0.35">
      <c r="A1667" s="1">
        <v>43410</v>
      </c>
      <c r="B1667">
        <v>3207.42</v>
      </c>
      <c r="C1667" s="1">
        <v>43404</v>
      </c>
      <c r="D1667">
        <v>5093.4399999999996</v>
      </c>
      <c r="E1667" s="1">
        <v>43384</v>
      </c>
      <c r="F1667">
        <v>11539.35</v>
      </c>
      <c r="G1667" s="1">
        <v>43371</v>
      </c>
      <c r="H1667">
        <v>8433.6170500000007</v>
      </c>
      <c r="I1667" s="1">
        <v>43402</v>
      </c>
      <c r="J1667">
        <v>8821.2000000000007</v>
      </c>
      <c r="K1667" s="1">
        <v>43384</v>
      </c>
      <c r="L1667">
        <v>19356.61</v>
      </c>
    </row>
    <row r="1668" spans="1:12" x14ac:dyDescent="0.35">
      <c r="A1668" s="1">
        <v>43409</v>
      </c>
      <c r="B1668">
        <v>3217.37</v>
      </c>
      <c r="C1668" s="1">
        <v>43403</v>
      </c>
      <c r="D1668">
        <v>4978.53</v>
      </c>
      <c r="E1668" s="1">
        <v>43383</v>
      </c>
      <c r="F1668">
        <v>11712.5</v>
      </c>
      <c r="G1668" s="1">
        <v>43370</v>
      </c>
      <c r="H1668">
        <v>8468.5007700000006</v>
      </c>
      <c r="I1668" s="1">
        <v>43399</v>
      </c>
      <c r="J1668">
        <v>8730.4</v>
      </c>
      <c r="K1668" s="1">
        <v>43383</v>
      </c>
      <c r="L1668">
        <v>19719.04</v>
      </c>
    </row>
    <row r="1669" spans="1:12" x14ac:dyDescent="0.35">
      <c r="A1669" s="1">
        <v>43406</v>
      </c>
      <c r="B1669">
        <v>3214.41</v>
      </c>
      <c r="C1669" s="1">
        <v>43402</v>
      </c>
      <c r="D1669">
        <v>4989.3500000000004</v>
      </c>
      <c r="E1669" s="1">
        <v>43382</v>
      </c>
      <c r="F1669">
        <v>11977.22</v>
      </c>
      <c r="G1669" s="1">
        <v>43369</v>
      </c>
      <c r="H1669">
        <v>8423.5812399999995</v>
      </c>
      <c r="I1669" s="1">
        <v>43398</v>
      </c>
      <c r="J1669">
        <v>8785.2000000000007</v>
      </c>
      <c r="K1669" s="1">
        <v>43382</v>
      </c>
      <c r="L1669">
        <v>20062.25</v>
      </c>
    </row>
    <row r="1670" spans="1:12" x14ac:dyDescent="0.35">
      <c r="A1670" s="1">
        <v>43405</v>
      </c>
      <c r="B1670">
        <v>3204.21</v>
      </c>
      <c r="C1670" s="1">
        <v>43399</v>
      </c>
      <c r="D1670">
        <v>4967.37</v>
      </c>
      <c r="E1670" s="1">
        <v>43381</v>
      </c>
      <c r="F1670">
        <v>11947.16</v>
      </c>
      <c r="G1670" s="1">
        <v>43368</v>
      </c>
      <c r="H1670">
        <v>8397.7794599999997</v>
      </c>
      <c r="I1670" s="1">
        <v>43397</v>
      </c>
      <c r="J1670">
        <v>8677.4</v>
      </c>
      <c r="K1670" s="1">
        <v>43381</v>
      </c>
      <c r="L1670">
        <v>19851.47</v>
      </c>
    </row>
    <row r="1671" spans="1:12" x14ac:dyDescent="0.35">
      <c r="A1671" s="1">
        <v>43404</v>
      </c>
      <c r="B1671">
        <v>3197.51</v>
      </c>
      <c r="C1671" s="1">
        <v>43398</v>
      </c>
      <c r="D1671">
        <v>5032.3</v>
      </c>
      <c r="E1671" s="1">
        <v>43378</v>
      </c>
      <c r="F1671">
        <v>12111.9</v>
      </c>
      <c r="G1671" s="1">
        <v>43367</v>
      </c>
      <c r="H1671">
        <v>8319.9466900000007</v>
      </c>
      <c r="I1671" s="1">
        <v>43396</v>
      </c>
      <c r="J1671">
        <v>8726.1</v>
      </c>
      <c r="K1671" s="1">
        <v>43378</v>
      </c>
      <c r="L1671">
        <v>20345.96</v>
      </c>
    </row>
    <row r="1672" spans="1:12" x14ac:dyDescent="0.35">
      <c r="A1672" s="1">
        <v>43403</v>
      </c>
      <c r="B1672">
        <v>3147.13</v>
      </c>
      <c r="C1672" s="1">
        <v>43397</v>
      </c>
      <c r="D1672">
        <v>4953.09</v>
      </c>
      <c r="E1672" s="1">
        <v>43377</v>
      </c>
      <c r="F1672">
        <v>12244.14</v>
      </c>
      <c r="G1672" s="1">
        <v>43364</v>
      </c>
      <c r="H1672">
        <v>8345.6548399999992</v>
      </c>
      <c r="I1672" s="1">
        <v>43395</v>
      </c>
      <c r="J1672">
        <v>8806.5</v>
      </c>
      <c r="K1672" s="1">
        <v>43377</v>
      </c>
      <c r="L1672">
        <v>20612.93</v>
      </c>
    </row>
    <row r="1673" spans="1:12" x14ac:dyDescent="0.35">
      <c r="A1673" s="1">
        <v>43402</v>
      </c>
      <c r="B1673">
        <v>3154.93</v>
      </c>
      <c r="C1673" s="1">
        <v>43396</v>
      </c>
      <c r="D1673">
        <v>4967.6899999999996</v>
      </c>
      <c r="E1673" s="1">
        <v>43375</v>
      </c>
      <c r="F1673">
        <v>12287.58</v>
      </c>
      <c r="G1673" s="1">
        <v>43363</v>
      </c>
      <c r="H1673">
        <v>8299.04349</v>
      </c>
      <c r="I1673" s="1">
        <v>43392</v>
      </c>
      <c r="J1673">
        <v>8892.1</v>
      </c>
      <c r="K1673" s="1">
        <v>43376</v>
      </c>
      <c r="L1673">
        <v>20736.009999999998</v>
      </c>
    </row>
    <row r="1674" spans="1:12" x14ac:dyDescent="0.35">
      <c r="A1674" s="1">
        <v>43399</v>
      </c>
      <c r="B1674">
        <v>3134.89</v>
      </c>
      <c r="C1674" s="1">
        <v>43395</v>
      </c>
      <c r="D1674">
        <v>5053.3100000000004</v>
      </c>
      <c r="E1674" s="1">
        <v>43374</v>
      </c>
      <c r="F1674">
        <v>12339.03</v>
      </c>
      <c r="G1674" s="1">
        <v>43362</v>
      </c>
      <c r="H1674">
        <v>8259.1972499999993</v>
      </c>
      <c r="I1674" s="1">
        <v>43391</v>
      </c>
      <c r="J1674">
        <v>8889.6</v>
      </c>
      <c r="K1674" s="1">
        <v>43375</v>
      </c>
      <c r="L1674">
        <v>20562.310000000001</v>
      </c>
    </row>
    <row r="1675" spans="1:12" x14ac:dyDescent="0.35">
      <c r="A1675" s="1">
        <v>43398</v>
      </c>
      <c r="B1675">
        <v>3164.4</v>
      </c>
      <c r="C1675" s="1">
        <v>43392</v>
      </c>
      <c r="D1675">
        <v>5084.66</v>
      </c>
      <c r="E1675" s="1">
        <v>43371</v>
      </c>
      <c r="F1675">
        <v>12246.73</v>
      </c>
      <c r="G1675" s="1">
        <v>43361</v>
      </c>
      <c r="H1675">
        <v>8223.7945600000003</v>
      </c>
      <c r="I1675" s="1">
        <v>43390</v>
      </c>
      <c r="J1675">
        <v>8997.2000000000007</v>
      </c>
      <c r="K1675" s="1">
        <v>43374</v>
      </c>
      <c r="L1675">
        <v>20609.990000000002</v>
      </c>
    </row>
    <row r="1676" spans="1:12" x14ac:dyDescent="0.35">
      <c r="A1676" s="1">
        <v>43397</v>
      </c>
      <c r="B1676">
        <v>3130.33</v>
      </c>
      <c r="C1676" s="1">
        <v>43391</v>
      </c>
      <c r="D1676">
        <v>5116.79</v>
      </c>
      <c r="E1676" s="1">
        <v>43370</v>
      </c>
      <c r="F1676">
        <v>12435.59</v>
      </c>
      <c r="G1676" s="1">
        <v>43360</v>
      </c>
      <c r="H1676">
        <v>8215.4868200000001</v>
      </c>
      <c r="I1676" s="1">
        <v>43389</v>
      </c>
      <c r="J1676">
        <v>9074.7000000000007</v>
      </c>
      <c r="K1676" s="1">
        <v>43371</v>
      </c>
      <c r="L1676">
        <v>20711.7</v>
      </c>
    </row>
    <row r="1677" spans="1:12" x14ac:dyDescent="0.35">
      <c r="A1677" s="1">
        <v>43396</v>
      </c>
      <c r="B1677">
        <v>3140.94</v>
      </c>
      <c r="C1677" s="1">
        <v>43390</v>
      </c>
      <c r="D1677">
        <v>5144.95</v>
      </c>
      <c r="E1677" s="1">
        <v>43369</v>
      </c>
      <c r="F1677">
        <v>12385.89</v>
      </c>
      <c r="G1677" s="1">
        <v>43357</v>
      </c>
      <c r="H1677">
        <v>8204.6498499999998</v>
      </c>
      <c r="I1677" s="1">
        <v>43388</v>
      </c>
      <c r="J1677">
        <v>8923.7000000000007</v>
      </c>
      <c r="K1677" s="1">
        <v>43370</v>
      </c>
      <c r="L1677">
        <v>21511.07</v>
      </c>
    </row>
    <row r="1678" spans="1:12" x14ac:dyDescent="0.35">
      <c r="A1678" s="1">
        <v>43395</v>
      </c>
      <c r="B1678">
        <v>3190.09</v>
      </c>
      <c r="C1678" s="1">
        <v>43389</v>
      </c>
      <c r="D1678">
        <v>5173.05</v>
      </c>
      <c r="E1678" s="1">
        <v>43368</v>
      </c>
      <c r="F1678">
        <v>12374.66</v>
      </c>
      <c r="G1678" s="1">
        <v>43356</v>
      </c>
      <c r="H1678">
        <v>8173.1399199999996</v>
      </c>
      <c r="I1678" s="1">
        <v>43385</v>
      </c>
      <c r="J1678">
        <v>8902</v>
      </c>
      <c r="K1678" s="1">
        <v>43369</v>
      </c>
      <c r="L1678">
        <v>21646.34</v>
      </c>
    </row>
    <row r="1679" spans="1:12" x14ac:dyDescent="0.35">
      <c r="A1679" s="1">
        <v>43392</v>
      </c>
      <c r="B1679">
        <v>3210.82</v>
      </c>
      <c r="C1679" s="1">
        <v>43388</v>
      </c>
      <c r="D1679">
        <v>5095.07</v>
      </c>
      <c r="E1679" s="1">
        <v>43367</v>
      </c>
      <c r="F1679">
        <v>12350.82</v>
      </c>
      <c r="G1679" s="1">
        <v>43355</v>
      </c>
      <c r="H1679">
        <v>8212.6724799999993</v>
      </c>
      <c r="I1679" s="1">
        <v>43384</v>
      </c>
      <c r="J1679">
        <v>9007.9</v>
      </c>
      <c r="K1679" s="1">
        <v>43368</v>
      </c>
      <c r="L1679">
        <v>21668.99</v>
      </c>
    </row>
    <row r="1680" spans="1:12" x14ac:dyDescent="0.35">
      <c r="A1680" s="1">
        <v>43391</v>
      </c>
      <c r="B1680">
        <v>3211.59</v>
      </c>
      <c r="C1680" s="1">
        <v>43385</v>
      </c>
      <c r="D1680">
        <v>5095.9799999999996</v>
      </c>
      <c r="E1680" s="1">
        <v>43364</v>
      </c>
      <c r="F1680">
        <v>12430.88</v>
      </c>
      <c r="G1680" s="1">
        <v>43354</v>
      </c>
      <c r="H1680">
        <v>8164.2159799999999</v>
      </c>
      <c r="I1680" s="1">
        <v>43383</v>
      </c>
      <c r="J1680">
        <v>9162.9</v>
      </c>
      <c r="K1680" s="1">
        <v>43367</v>
      </c>
      <c r="L1680">
        <v>21339.87</v>
      </c>
    </row>
    <row r="1681" spans="1:12" x14ac:dyDescent="0.35">
      <c r="A1681" s="1">
        <v>43390</v>
      </c>
      <c r="B1681">
        <v>3243.08</v>
      </c>
      <c r="C1681" s="1">
        <v>43384</v>
      </c>
      <c r="D1681">
        <v>5106.37</v>
      </c>
      <c r="E1681" s="1">
        <v>43363</v>
      </c>
      <c r="F1681">
        <v>12326.48</v>
      </c>
      <c r="G1681" s="1">
        <v>43353</v>
      </c>
      <c r="H1681">
        <v>8175.3296899999996</v>
      </c>
      <c r="I1681" s="1">
        <v>43382</v>
      </c>
      <c r="J1681">
        <v>9260.5</v>
      </c>
      <c r="K1681" s="1">
        <v>43364</v>
      </c>
      <c r="L1681">
        <v>21536.74</v>
      </c>
    </row>
    <row r="1682" spans="1:12" x14ac:dyDescent="0.35">
      <c r="A1682" s="1">
        <v>43389</v>
      </c>
      <c r="B1682">
        <v>3257.34</v>
      </c>
      <c r="C1682" s="1">
        <v>43383</v>
      </c>
      <c r="D1682">
        <v>5206.22</v>
      </c>
      <c r="E1682" s="1">
        <v>43362</v>
      </c>
      <c r="F1682">
        <v>12219.02</v>
      </c>
      <c r="G1682" s="1">
        <v>43350</v>
      </c>
      <c r="H1682">
        <v>8138.2324699999999</v>
      </c>
      <c r="I1682" s="1">
        <v>43381</v>
      </c>
      <c r="J1682">
        <v>9199.2000000000007</v>
      </c>
      <c r="K1682" s="1">
        <v>43363</v>
      </c>
      <c r="L1682">
        <v>21388.38</v>
      </c>
    </row>
    <row r="1683" spans="1:12" x14ac:dyDescent="0.35">
      <c r="A1683" s="1">
        <v>43388</v>
      </c>
      <c r="B1683">
        <v>3210.37</v>
      </c>
      <c r="C1683" s="1">
        <v>43382</v>
      </c>
      <c r="D1683">
        <v>5318.55</v>
      </c>
      <c r="E1683" s="1">
        <v>43361</v>
      </c>
      <c r="F1683">
        <v>12157.67</v>
      </c>
      <c r="G1683" s="1">
        <v>43349</v>
      </c>
      <c r="H1683">
        <v>8143.7202200000002</v>
      </c>
      <c r="I1683" s="1">
        <v>43378</v>
      </c>
      <c r="J1683">
        <v>9253.9</v>
      </c>
      <c r="K1683" s="1">
        <v>43362</v>
      </c>
      <c r="L1683">
        <v>21280.78</v>
      </c>
    </row>
    <row r="1684" spans="1:12" x14ac:dyDescent="0.35">
      <c r="A1684" s="1">
        <v>43385</v>
      </c>
      <c r="B1684">
        <v>3194.41</v>
      </c>
      <c r="C1684" s="1">
        <v>43381</v>
      </c>
      <c r="D1684">
        <v>5300.25</v>
      </c>
      <c r="E1684" s="1">
        <v>43360</v>
      </c>
      <c r="F1684">
        <v>12096.41</v>
      </c>
      <c r="G1684" s="1">
        <v>43348</v>
      </c>
      <c r="H1684">
        <v>8197.7852000000003</v>
      </c>
      <c r="I1684" s="1">
        <v>43377</v>
      </c>
      <c r="J1684">
        <v>9314.5</v>
      </c>
      <c r="K1684" s="1">
        <v>43361</v>
      </c>
      <c r="L1684">
        <v>21228.23</v>
      </c>
    </row>
    <row r="1685" spans="1:12" x14ac:dyDescent="0.35">
      <c r="A1685" s="1">
        <v>43384</v>
      </c>
      <c r="B1685">
        <v>3209.19</v>
      </c>
      <c r="C1685" s="1">
        <v>43378</v>
      </c>
      <c r="D1685">
        <v>5359.36</v>
      </c>
      <c r="E1685" s="1">
        <v>43357</v>
      </c>
      <c r="F1685">
        <v>12124.33</v>
      </c>
      <c r="G1685" s="1">
        <v>43347</v>
      </c>
      <c r="H1685">
        <v>8278.3534099999997</v>
      </c>
      <c r="I1685" s="1">
        <v>43376</v>
      </c>
      <c r="J1685">
        <v>9361.1</v>
      </c>
      <c r="K1685" s="1">
        <v>43360</v>
      </c>
      <c r="L1685">
        <v>21111.4</v>
      </c>
    </row>
    <row r="1686" spans="1:12" x14ac:dyDescent="0.35">
      <c r="A1686" s="1">
        <v>43383</v>
      </c>
      <c r="B1686">
        <v>3266.9</v>
      </c>
      <c r="C1686" s="1">
        <v>43377</v>
      </c>
      <c r="D1686">
        <v>5410.85</v>
      </c>
      <c r="E1686" s="1">
        <v>43356</v>
      </c>
      <c r="F1686">
        <v>12055.55</v>
      </c>
      <c r="G1686" s="1">
        <v>43346</v>
      </c>
      <c r="H1686">
        <v>8321.1459599999998</v>
      </c>
      <c r="I1686" s="1">
        <v>43375</v>
      </c>
      <c r="J1686">
        <v>9305.5</v>
      </c>
      <c r="K1686" s="1">
        <v>43357</v>
      </c>
      <c r="L1686">
        <v>20885.43</v>
      </c>
    </row>
    <row r="1687" spans="1:12" x14ac:dyDescent="0.35">
      <c r="A1687" s="1">
        <v>43382</v>
      </c>
      <c r="B1687">
        <v>3321.79</v>
      </c>
      <c r="C1687" s="1">
        <v>43376</v>
      </c>
      <c r="D1687">
        <v>5491.4</v>
      </c>
      <c r="E1687" s="1">
        <v>43355</v>
      </c>
      <c r="F1687">
        <v>12032.3</v>
      </c>
      <c r="G1687" s="1">
        <v>43343</v>
      </c>
      <c r="H1687">
        <v>8306.7469400000009</v>
      </c>
      <c r="I1687" s="1">
        <v>43374</v>
      </c>
      <c r="J1687">
        <v>9407</v>
      </c>
      <c r="K1687" s="1">
        <v>43356</v>
      </c>
      <c r="L1687">
        <v>20846.18</v>
      </c>
    </row>
    <row r="1688" spans="1:12" x14ac:dyDescent="0.35">
      <c r="A1688" s="1">
        <v>43381</v>
      </c>
      <c r="B1688">
        <v>3309.72</v>
      </c>
      <c r="C1688" s="1">
        <v>43375</v>
      </c>
      <c r="D1688">
        <v>5467.89</v>
      </c>
      <c r="E1688" s="1">
        <v>43354</v>
      </c>
      <c r="F1688">
        <v>11970.27</v>
      </c>
      <c r="G1688" s="1">
        <v>43342</v>
      </c>
      <c r="H1688">
        <v>8387.7527900000005</v>
      </c>
      <c r="I1688" s="1">
        <v>43371</v>
      </c>
      <c r="J1688">
        <v>9389.2000000000007</v>
      </c>
      <c r="K1688" s="1">
        <v>43355</v>
      </c>
      <c r="L1688">
        <v>20963</v>
      </c>
    </row>
    <row r="1689" spans="1:12" x14ac:dyDescent="0.35">
      <c r="A1689" s="1">
        <v>43378</v>
      </c>
      <c r="B1689">
        <v>3345.51</v>
      </c>
      <c r="C1689" s="1">
        <v>43374</v>
      </c>
      <c r="D1689">
        <v>5506.82</v>
      </c>
      <c r="E1689" s="1">
        <v>43353</v>
      </c>
      <c r="F1689">
        <v>11986.34</v>
      </c>
      <c r="G1689" s="1">
        <v>43341</v>
      </c>
      <c r="H1689">
        <v>8403.2076899999993</v>
      </c>
      <c r="I1689" s="1">
        <v>43370</v>
      </c>
      <c r="J1689">
        <v>9527.5</v>
      </c>
      <c r="K1689" s="1">
        <v>43354</v>
      </c>
      <c r="L1689">
        <v>20853.84</v>
      </c>
    </row>
    <row r="1690" spans="1:12" x14ac:dyDescent="0.35">
      <c r="A1690" s="1">
        <v>43377</v>
      </c>
      <c r="B1690">
        <v>3375.08</v>
      </c>
      <c r="C1690" s="1">
        <v>43371</v>
      </c>
      <c r="D1690">
        <v>5493.49</v>
      </c>
      <c r="E1690" s="1">
        <v>43350</v>
      </c>
      <c r="F1690">
        <v>11959.63</v>
      </c>
      <c r="G1690" s="1">
        <v>43340</v>
      </c>
      <c r="H1690">
        <v>8377.7719199999992</v>
      </c>
      <c r="I1690" s="1">
        <v>43369</v>
      </c>
      <c r="J1690">
        <v>9524.7999999999993</v>
      </c>
      <c r="K1690" s="1">
        <v>43353</v>
      </c>
      <c r="L1690">
        <v>20918.900000000001</v>
      </c>
    </row>
    <row r="1691" spans="1:12" x14ac:dyDescent="0.35">
      <c r="A1691" s="1">
        <v>43376</v>
      </c>
      <c r="B1691">
        <v>3405.48</v>
      </c>
      <c r="C1691" s="1">
        <v>43370</v>
      </c>
      <c r="D1691">
        <v>5540.41</v>
      </c>
      <c r="E1691" s="1">
        <v>43349</v>
      </c>
      <c r="F1691">
        <v>11955.25</v>
      </c>
      <c r="G1691" s="1">
        <v>43336</v>
      </c>
      <c r="H1691">
        <v>8377.3506500000003</v>
      </c>
      <c r="I1691" s="1">
        <v>43368</v>
      </c>
      <c r="J1691">
        <v>9493.6</v>
      </c>
      <c r="K1691" s="1">
        <v>43350</v>
      </c>
      <c r="L1691">
        <v>20447.689999999999</v>
      </c>
    </row>
    <row r="1692" spans="1:12" x14ac:dyDescent="0.35">
      <c r="A1692" s="1">
        <v>43375</v>
      </c>
      <c r="B1692">
        <v>3388.99</v>
      </c>
      <c r="C1692" s="1">
        <v>43369</v>
      </c>
      <c r="D1692">
        <v>5512.73</v>
      </c>
      <c r="E1692" s="1">
        <v>43348</v>
      </c>
      <c r="F1692">
        <v>12040.46</v>
      </c>
      <c r="G1692" s="1">
        <v>43335</v>
      </c>
      <c r="H1692">
        <v>8387.9415200000003</v>
      </c>
      <c r="I1692" s="1">
        <v>43367</v>
      </c>
      <c r="J1692">
        <v>9512.7999999999993</v>
      </c>
      <c r="K1692" s="1">
        <v>43349</v>
      </c>
      <c r="L1692">
        <v>20527.22</v>
      </c>
    </row>
    <row r="1693" spans="1:12" x14ac:dyDescent="0.35">
      <c r="A1693" s="1">
        <v>43374</v>
      </c>
      <c r="B1693">
        <v>3414.16</v>
      </c>
      <c r="C1693" s="1">
        <v>43368</v>
      </c>
      <c r="D1693">
        <v>5479.1</v>
      </c>
      <c r="E1693" s="1">
        <v>43347</v>
      </c>
      <c r="F1693">
        <v>12210.21</v>
      </c>
      <c r="G1693" s="1">
        <v>43334</v>
      </c>
      <c r="H1693">
        <v>8436.2264200000009</v>
      </c>
      <c r="I1693" s="1">
        <v>43364</v>
      </c>
      <c r="J1693">
        <v>9590.4</v>
      </c>
      <c r="K1693" s="1">
        <v>43348</v>
      </c>
      <c r="L1693">
        <v>20581.78</v>
      </c>
    </row>
    <row r="1694" spans="1:12" x14ac:dyDescent="0.35">
      <c r="A1694" s="1">
        <v>43371</v>
      </c>
      <c r="B1694">
        <v>3399.2</v>
      </c>
      <c r="C1694" s="1">
        <v>43367</v>
      </c>
      <c r="D1694">
        <v>5476.17</v>
      </c>
      <c r="E1694" s="1">
        <v>43346</v>
      </c>
      <c r="F1694">
        <v>12346.41</v>
      </c>
      <c r="G1694" s="1">
        <v>43333</v>
      </c>
      <c r="H1694">
        <v>8429.6782000000003</v>
      </c>
      <c r="I1694" s="1">
        <v>43363</v>
      </c>
      <c r="J1694">
        <v>9583.7000000000007</v>
      </c>
      <c r="K1694" s="1">
        <v>43347</v>
      </c>
      <c r="L1694">
        <v>20601</v>
      </c>
    </row>
    <row r="1695" spans="1:12" x14ac:dyDescent="0.35">
      <c r="A1695" s="1">
        <v>43370</v>
      </c>
      <c r="B1695">
        <v>3449.79</v>
      </c>
      <c r="C1695" s="1">
        <v>43364</v>
      </c>
      <c r="D1695">
        <v>5494.17</v>
      </c>
      <c r="E1695" s="1">
        <v>43343</v>
      </c>
      <c r="F1695">
        <v>12364.06</v>
      </c>
      <c r="G1695" s="1">
        <v>43332</v>
      </c>
      <c r="H1695">
        <v>8471.0220499999996</v>
      </c>
      <c r="I1695" s="1">
        <v>43362</v>
      </c>
      <c r="J1695">
        <v>9486.2999999999993</v>
      </c>
      <c r="K1695" s="1">
        <v>43346</v>
      </c>
      <c r="L1695">
        <v>20395.79</v>
      </c>
    </row>
    <row r="1696" spans="1:12" x14ac:dyDescent="0.35">
      <c r="A1696" s="1">
        <v>43369</v>
      </c>
      <c r="B1696">
        <v>3433.15</v>
      </c>
      <c r="C1696" s="1">
        <v>43363</v>
      </c>
      <c r="D1696">
        <v>5451.59</v>
      </c>
      <c r="E1696" s="1">
        <v>43342</v>
      </c>
      <c r="F1696">
        <v>12494.24</v>
      </c>
      <c r="G1696" s="1">
        <v>43329</v>
      </c>
      <c r="H1696">
        <v>8433.1047500000004</v>
      </c>
      <c r="I1696" s="1">
        <v>43361</v>
      </c>
      <c r="J1696">
        <v>9447.5</v>
      </c>
      <c r="K1696" s="1">
        <v>43343</v>
      </c>
      <c r="L1696">
        <v>20269.47</v>
      </c>
    </row>
    <row r="1697" spans="1:12" x14ac:dyDescent="0.35">
      <c r="A1697" s="1">
        <v>43368</v>
      </c>
      <c r="B1697">
        <v>3419.78</v>
      </c>
      <c r="C1697" s="1">
        <v>43362</v>
      </c>
      <c r="D1697">
        <v>5393.74</v>
      </c>
      <c r="E1697" s="1">
        <v>43341</v>
      </c>
      <c r="F1697">
        <v>12561.68</v>
      </c>
      <c r="G1697" s="1">
        <v>43328</v>
      </c>
      <c r="H1697">
        <v>8448.7296999999999</v>
      </c>
      <c r="I1697" s="1">
        <v>43360</v>
      </c>
      <c r="J1697">
        <v>9404.6</v>
      </c>
      <c r="K1697" s="1">
        <v>43342</v>
      </c>
      <c r="L1697">
        <v>20495.099999999999</v>
      </c>
    </row>
    <row r="1698" spans="1:12" x14ac:dyDescent="0.35">
      <c r="A1698" s="1">
        <v>43367</v>
      </c>
      <c r="B1698">
        <v>3410.44</v>
      </c>
      <c r="C1698" s="1">
        <v>43361</v>
      </c>
      <c r="D1698">
        <v>5363.79</v>
      </c>
      <c r="E1698" s="1">
        <v>43340</v>
      </c>
      <c r="F1698">
        <v>12527.42</v>
      </c>
      <c r="G1698" s="1">
        <v>43327</v>
      </c>
      <c r="H1698">
        <v>8394.1245600000002</v>
      </c>
      <c r="I1698" s="1">
        <v>43357</v>
      </c>
      <c r="J1698">
        <v>9365.2999999999993</v>
      </c>
      <c r="K1698" s="1">
        <v>43341</v>
      </c>
      <c r="L1698">
        <v>20760.07</v>
      </c>
    </row>
    <row r="1699" spans="1:12" x14ac:dyDescent="0.35">
      <c r="A1699" s="1">
        <v>43364</v>
      </c>
      <c r="B1699">
        <v>3430.81</v>
      </c>
      <c r="C1699" s="1">
        <v>43360</v>
      </c>
      <c r="D1699">
        <v>5348.87</v>
      </c>
      <c r="E1699" s="1">
        <v>43339</v>
      </c>
      <c r="F1699">
        <v>12538.31</v>
      </c>
      <c r="G1699" s="1">
        <v>43326</v>
      </c>
      <c r="H1699">
        <v>8531.7209800000001</v>
      </c>
      <c r="I1699" s="1">
        <v>43356</v>
      </c>
      <c r="J1699">
        <v>9329.2000000000007</v>
      </c>
      <c r="K1699" s="1">
        <v>43340</v>
      </c>
      <c r="L1699">
        <v>20620.05</v>
      </c>
    </row>
    <row r="1700" spans="1:12" x14ac:dyDescent="0.35">
      <c r="A1700" s="1">
        <v>43363</v>
      </c>
      <c r="B1700">
        <v>3403.12</v>
      </c>
      <c r="C1700" s="1">
        <v>43357</v>
      </c>
      <c r="D1700">
        <v>5352.57</v>
      </c>
      <c r="E1700" s="1">
        <v>43336</v>
      </c>
      <c r="F1700">
        <v>12394.52</v>
      </c>
      <c r="G1700" s="1">
        <v>43325</v>
      </c>
      <c r="H1700">
        <v>8549.2950400000009</v>
      </c>
      <c r="I1700" s="1">
        <v>43355</v>
      </c>
      <c r="J1700">
        <v>9306.7999999999993</v>
      </c>
      <c r="K1700" s="1">
        <v>43339</v>
      </c>
      <c r="L1700">
        <v>20797.82</v>
      </c>
    </row>
    <row r="1701" spans="1:12" x14ac:dyDescent="0.35">
      <c r="A1701" s="1">
        <v>43362</v>
      </c>
      <c r="B1701">
        <v>3368.56</v>
      </c>
      <c r="C1701" s="1">
        <v>43356</v>
      </c>
      <c r="D1701">
        <v>5328.12</v>
      </c>
      <c r="E1701" s="1">
        <v>43335</v>
      </c>
      <c r="F1701">
        <v>12365.58</v>
      </c>
      <c r="G1701" s="1">
        <v>43322</v>
      </c>
      <c r="H1701">
        <v>8572.7688600000001</v>
      </c>
      <c r="I1701" s="1">
        <v>43354</v>
      </c>
      <c r="J1701">
        <v>9284.1</v>
      </c>
      <c r="K1701" s="1">
        <v>43336</v>
      </c>
      <c r="L1701">
        <v>20741.96</v>
      </c>
    </row>
    <row r="1702" spans="1:12" x14ac:dyDescent="0.35">
      <c r="A1702" s="1">
        <v>43361</v>
      </c>
      <c r="B1702">
        <v>3358.46</v>
      </c>
      <c r="C1702" s="1">
        <v>43355</v>
      </c>
      <c r="D1702">
        <v>5332.13</v>
      </c>
      <c r="E1702" s="1">
        <v>43334</v>
      </c>
      <c r="F1702">
        <v>12385.7</v>
      </c>
      <c r="G1702" s="1">
        <v>43321</v>
      </c>
      <c r="H1702">
        <v>8607.2512499999993</v>
      </c>
      <c r="I1702" s="1">
        <v>43353</v>
      </c>
      <c r="J1702">
        <v>9270.7999999999993</v>
      </c>
      <c r="K1702" s="1">
        <v>43335</v>
      </c>
      <c r="L1702">
        <v>20608.509999999998</v>
      </c>
    </row>
    <row r="1703" spans="1:12" x14ac:dyDescent="0.35">
      <c r="A1703" s="1">
        <v>43360</v>
      </c>
      <c r="B1703">
        <v>3346.11</v>
      </c>
      <c r="C1703" s="1">
        <v>43354</v>
      </c>
      <c r="D1703">
        <v>5283.79</v>
      </c>
      <c r="E1703" s="1">
        <v>43333</v>
      </c>
      <c r="F1703">
        <v>12384.49</v>
      </c>
      <c r="G1703" s="1">
        <v>43320</v>
      </c>
      <c r="H1703">
        <v>8639.1572799999994</v>
      </c>
      <c r="I1703" s="1">
        <v>43350</v>
      </c>
      <c r="J1703">
        <v>9171.2000000000007</v>
      </c>
      <c r="K1703" s="1">
        <v>43334</v>
      </c>
      <c r="L1703">
        <v>20699.7</v>
      </c>
    </row>
    <row r="1704" spans="1:12" x14ac:dyDescent="0.35">
      <c r="A1704" s="1">
        <v>43357</v>
      </c>
      <c r="B1704">
        <v>3344.63</v>
      </c>
      <c r="C1704" s="1">
        <v>43353</v>
      </c>
      <c r="D1704">
        <v>5269.63</v>
      </c>
      <c r="E1704" s="1">
        <v>43332</v>
      </c>
      <c r="F1704">
        <v>12331.3</v>
      </c>
      <c r="G1704" s="1">
        <v>43319</v>
      </c>
      <c r="H1704">
        <v>8621.9542799999999</v>
      </c>
      <c r="I1704" s="1">
        <v>43349</v>
      </c>
      <c r="J1704">
        <v>9208.7000000000007</v>
      </c>
      <c r="K1704" s="1">
        <v>43333</v>
      </c>
      <c r="L1704">
        <v>20783.79</v>
      </c>
    </row>
    <row r="1705" spans="1:12" x14ac:dyDescent="0.35">
      <c r="A1705" s="1">
        <v>43356</v>
      </c>
      <c r="B1705">
        <v>3333.68</v>
      </c>
      <c r="C1705" s="1">
        <v>43350</v>
      </c>
      <c r="D1705">
        <v>5252.22</v>
      </c>
      <c r="E1705" s="1">
        <v>43329</v>
      </c>
      <c r="F1705">
        <v>12210.55</v>
      </c>
      <c r="G1705" s="1">
        <v>43318</v>
      </c>
      <c r="H1705">
        <v>8579.1648999999998</v>
      </c>
      <c r="I1705" s="1">
        <v>43348</v>
      </c>
      <c r="J1705">
        <v>9301.2999999999993</v>
      </c>
      <c r="K1705" s="1">
        <v>43332</v>
      </c>
      <c r="L1705">
        <v>20470.97</v>
      </c>
    </row>
    <row r="1706" spans="1:12" x14ac:dyDescent="0.35">
      <c r="A1706" s="1">
        <v>43355</v>
      </c>
      <c r="B1706">
        <v>3326.6</v>
      </c>
      <c r="C1706" s="1">
        <v>43349</v>
      </c>
      <c r="D1706">
        <v>5243.84</v>
      </c>
      <c r="E1706" s="1">
        <v>43328</v>
      </c>
      <c r="F1706">
        <v>12237.17</v>
      </c>
      <c r="G1706" s="1">
        <v>43315</v>
      </c>
      <c r="H1706">
        <v>8600.3865499999993</v>
      </c>
      <c r="I1706" s="1">
        <v>43347</v>
      </c>
      <c r="J1706">
        <v>9376.2999999999993</v>
      </c>
      <c r="K1706" s="1">
        <v>43329</v>
      </c>
      <c r="L1706">
        <v>20415.27</v>
      </c>
    </row>
    <row r="1707" spans="1:12" x14ac:dyDescent="0.35">
      <c r="A1707" s="1">
        <v>43354</v>
      </c>
      <c r="B1707">
        <v>3311.66</v>
      </c>
      <c r="C1707" s="1">
        <v>43348</v>
      </c>
      <c r="D1707">
        <v>5260.22</v>
      </c>
      <c r="E1707" s="1">
        <v>43327</v>
      </c>
      <c r="F1707">
        <v>12163.01</v>
      </c>
      <c r="G1707" s="1">
        <v>43314</v>
      </c>
      <c r="H1707">
        <v>8505.8723100000007</v>
      </c>
      <c r="I1707" s="1">
        <v>43346</v>
      </c>
      <c r="J1707">
        <v>9376.1</v>
      </c>
      <c r="K1707" s="1">
        <v>43328</v>
      </c>
      <c r="L1707">
        <v>20524.13</v>
      </c>
    </row>
    <row r="1708" spans="1:12" x14ac:dyDescent="0.35">
      <c r="A1708" s="1">
        <v>43353</v>
      </c>
      <c r="B1708">
        <v>3309.28</v>
      </c>
      <c r="C1708" s="1">
        <v>43347</v>
      </c>
      <c r="D1708">
        <v>5342.7</v>
      </c>
      <c r="E1708" s="1">
        <v>43326</v>
      </c>
      <c r="F1708">
        <v>12358.87</v>
      </c>
      <c r="G1708" s="1">
        <v>43313</v>
      </c>
      <c r="H1708">
        <v>8603.9487000000008</v>
      </c>
      <c r="I1708" s="1">
        <v>43343</v>
      </c>
      <c r="J1708">
        <v>9399.1</v>
      </c>
      <c r="K1708" s="1">
        <v>43326</v>
      </c>
      <c r="L1708">
        <v>20906.349999999999</v>
      </c>
    </row>
    <row r="1709" spans="1:12" x14ac:dyDescent="0.35">
      <c r="A1709" s="1">
        <v>43350</v>
      </c>
      <c r="B1709">
        <v>3293.36</v>
      </c>
      <c r="C1709" s="1">
        <v>43346</v>
      </c>
      <c r="D1709">
        <v>5413.8</v>
      </c>
      <c r="E1709" s="1">
        <v>43325</v>
      </c>
      <c r="F1709">
        <v>12358.74</v>
      </c>
      <c r="G1709" s="1">
        <v>43312</v>
      </c>
      <c r="H1709">
        <v>8690.1300699999993</v>
      </c>
      <c r="I1709" s="1">
        <v>43342</v>
      </c>
      <c r="J1709">
        <v>9467.6</v>
      </c>
      <c r="K1709" s="1">
        <v>43325</v>
      </c>
      <c r="L1709">
        <v>20969.259999999998</v>
      </c>
    </row>
    <row r="1710" spans="1:12" x14ac:dyDescent="0.35">
      <c r="A1710" s="1">
        <v>43349</v>
      </c>
      <c r="B1710">
        <v>3295.95</v>
      </c>
      <c r="C1710" s="1">
        <v>43343</v>
      </c>
      <c r="D1710">
        <v>5406.85</v>
      </c>
      <c r="E1710" s="1">
        <v>43322</v>
      </c>
      <c r="F1710">
        <v>12424.35</v>
      </c>
      <c r="G1710" s="1">
        <v>43311</v>
      </c>
      <c r="H1710">
        <v>8636.17857</v>
      </c>
      <c r="I1710" s="1">
        <v>43341</v>
      </c>
      <c r="J1710">
        <v>9569.5</v>
      </c>
      <c r="K1710" s="1">
        <v>43322</v>
      </c>
      <c r="L1710">
        <v>21090.78</v>
      </c>
    </row>
    <row r="1711" spans="1:12" x14ac:dyDescent="0.35">
      <c r="A1711" s="1">
        <v>43348</v>
      </c>
      <c r="B1711">
        <v>3315.62</v>
      </c>
      <c r="C1711" s="1">
        <v>43342</v>
      </c>
      <c r="D1711">
        <v>5478.06</v>
      </c>
      <c r="E1711" s="1">
        <v>43321</v>
      </c>
      <c r="F1711">
        <v>12676.11</v>
      </c>
      <c r="G1711" s="1">
        <v>43308</v>
      </c>
      <c r="H1711">
        <v>8662.4873900000002</v>
      </c>
      <c r="I1711" s="1">
        <v>43340</v>
      </c>
      <c r="J1711">
        <v>9606.5</v>
      </c>
      <c r="K1711" s="1">
        <v>43321</v>
      </c>
      <c r="L1711">
        <v>21634.25</v>
      </c>
    </row>
    <row r="1712" spans="1:12" x14ac:dyDescent="0.35">
      <c r="A1712" s="1">
        <v>43347</v>
      </c>
      <c r="B1712">
        <v>3359.36</v>
      </c>
      <c r="C1712" s="1">
        <v>43341</v>
      </c>
      <c r="D1712">
        <v>5501.33</v>
      </c>
      <c r="E1712" s="1">
        <v>43320</v>
      </c>
      <c r="F1712">
        <v>12633.54</v>
      </c>
      <c r="G1712" s="1">
        <v>43307</v>
      </c>
      <c r="H1712">
        <v>8627.0618300000006</v>
      </c>
      <c r="I1712" s="1">
        <v>43339</v>
      </c>
      <c r="J1712">
        <v>9659.7999999999993</v>
      </c>
      <c r="K1712" s="1">
        <v>43320</v>
      </c>
      <c r="L1712">
        <v>21790.3</v>
      </c>
    </row>
    <row r="1713" spans="1:12" x14ac:dyDescent="0.35">
      <c r="A1713" s="1">
        <v>43346</v>
      </c>
      <c r="B1713">
        <v>3394.99</v>
      </c>
      <c r="C1713" s="1">
        <v>43340</v>
      </c>
      <c r="D1713">
        <v>5484.99</v>
      </c>
      <c r="E1713" s="1">
        <v>43319</v>
      </c>
      <c r="F1713">
        <v>12648.19</v>
      </c>
      <c r="G1713" s="1">
        <v>43306</v>
      </c>
      <c r="H1713">
        <v>8623.4932200000003</v>
      </c>
      <c r="I1713" s="1">
        <v>43336</v>
      </c>
      <c r="J1713">
        <v>9589.5</v>
      </c>
      <c r="K1713" s="1">
        <v>43319</v>
      </c>
      <c r="L1713">
        <v>21853.81</v>
      </c>
    </row>
    <row r="1714" spans="1:12" x14ac:dyDescent="0.35">
      <c r="A1714" s="1">
        <v>43343</v>
      </c>
      <c r="B1714">
        <v>3392.9</v>
      </c>
      <c r="C1714" s="1">
        <v>43339</v>
      </c>
      <c r="D1714">
        <v>5479.1</v>
      </c>
      <c r="E1714" s="1">
        <v>43318</v>
      </c>
      <c r="F1714">
        <v>12598.21</v>
      </c>
      <c r="G1714" s="1">
        <v>43305</v>
      </c>
      <c r="H1714">
        <v>8669.8766400000004</v>
      </c>
      <c r="I1714" s="1">
        <v>43335</v>
      </c>
      <c r="J1714">
        <v>9567.2999999999993</v>
      </c>
      <c r="K1714" s="1">
        <v>43318</v>
      </c>
      <c r="L1714">
        <v>21580.18</v>
      </c>
    </row>
    <row r="1715" spans="1:12" x14ac:dyDescent="0.35">
      <c r="A1715" s="1">
        <v>43342</v>
      </c>
      <c r="B1715">
        <v>3430.99</v>
      </c>
      <c r="C1715" s="1">
        <v>43336</v>
      </c>
      <c r="D1715">
        <v>5432.5</v>
      </c>
      <c r="E1715" s="1">
        <v>43315</v>
      </c>
      <c r="F1715">
        <v>12615.76</v>
      </c>
      <c r="G1715" s="1">
        <v>43304</v>
      </c>
      <c r="H1715">
        <v>8576.5265199999994</v>
      </c>
      <c r="I1715" s="1">
        <v>43334</v>
      </c>
      <c r="J1715">
        <v>9580.2000000000007</v>
      </c>
      <c r="K1715" s="1">
        <v>43315</v>
      </c>
      <c r="L1715">
        <v>21586.85</v>
      </c>
    </row>
    <row r="1716" spans="1:12" x14ac:dyDescent="0.35">
      <c r="A1716" s="1">
        <v>43341</v>
      </c>
      <c r="B1716">
        <v>3456.13</v>
      </c>
      <c r="C1716" s="1">
        <v>43335</v>
      </c>
      <c r="D1716">
        <v>5419.33</v>
      </c>
      <c r="E1716" s="1">
        <v>43314</v>
      </c>
      <c r="F1716">
        <v>12546.33</v>
      </c>
      <c r="G1716" s="1">
        <v>43301</v>
      </c>
      <c r="H1716">
        <v>8603.4713499999998</v>
      </c>
      <c r="I1716" s="1">
        <v>43333</v>
      </c>
      <c r="J1716">
        <v>9549</v>
      </c>
      <c r="K1716" s="1">
        <v>43314</v>
      </c>
      <c r="L1716">
        <v>21414.720000000001</v>
      </c>
    </row>
    <row r="1717" spans="1:12" x14ac:dyDescent="0.35">
      <c r="A1717" s="1">
        <v>43340</v>
      </c>
      <c r="B1717">
        <v>3447.57</v>
      </c>
      <c r="C1717" s="1">
        <v>43334</v>
      </c>
      <c r="D1717">
        <v>5420.61</v>
      </c>
      <c r="E1717" s="1">
        <v>43313</v>
      </c>
      <c r="F1717">
        <v>12737.05</v>
      </c>
      <c r="G1717" s="1">
        <v>43300</v>
      </c>
      <c r="H1717">
        <v>8599.5321999999996</v>
      </c>
      <c r="I1717" s="1">
        <v>43332</v>
      </c>
      <c r="J1717">
        <v>9468.6</v>
      </c>
      <c r="K1717" s="1">
        <v>43313</v>
      </c>
      <c r="L1717">
        <v>21791.45</v>
      </c>
    </row>
    <row r="1718" spans="1:12" x14ac:dyDescent="0.35">
      <c r="A1718" s="1">
        <v>43339</v>
      </c>
      <c r="B1718">
        <v>3456.01</v>
      </c>
      <c r="C1718" s="1">
        <v>43333</v>
      </c>
      <c r="D1718">
        <v>5408.6</v>
      </c>
      <c r="E1718" s="1">
        <v>43312</v>
      </c>
      <c r="F1718">
        <v>12805.5</v>
      </c>
      <c r="G1718" s="1">
        <v>43299</v>
      </c>
      <c r="H1718">
        <v>8603.7838400000001</v>
      </c>
      <c r="I1718" s="1">
        <v>43329</v>
      </c>
      <c r="J1718">
        <v>9417.2999999999993</v>
      </c>
      <c r="K1718" s="1">
        <v>43312</v>
      </c>
      <c r="L1718">
        <v>22215.69</v>
      </c>
    </row>
    <row r="1719" spans="1:12" x14ac:dyDescent="0.35">
      <c r="A1719" s="1">
        <v>43336</v>
      </c>
      <c r="B1719">
        <v>3427.44</v>
      </c>
      <c r="C1719" s="1">
        <v>43332</v>
      </c>
      <c r="D1719">
        <v>5379.65</v>
      </c>
      <c r="E1719" s="1">
        <v>43311</v>
      </c>
      <c r="F1719">
        <v>12798.2</v>
      </c>
      <c r="G1719" s="1">
        <v>43298</v>
      </c>
      <c r="H1719">
        <v>8594.1815600000009</v>
      </c>
      <c r="I1719" s="1">
        <v>43328</v>
      </c>
      <c r="J1719">
        <v>9427.4</v>
      </c>
      <c r="K1719" s="1">
        <v>43311</v>
      </c>
      <c r="L1719">
        <v>21941.01</v>
      </c>
    </row>
    <row r="1720" spans="1:12" x14ac:dyDescent="0.35">
      <c r="A1720" s="1">
        <v>43335</v>
      </c>
      <c r="B1720">
        <v>3419.26</v>
      </c>
      <c r="C1720" s="1">
        <v>43329</v>
      </c>
      <c r="D1720">
        <v>5344.93</v>
      </c>
      <c r="E1720" s="1">
        <v>43308</v>
      </c>
      <c r="F1720">
        <v>12860.4</v>
      </c>
      <c r="G1720" s="1">
        <v>43297</v>
      </c>
      <c r="H1720">
        <v>8589.9498999999996</v>
      </c>
      <c r="I1720" s="1">
        <v>43327</v>
      </c>
      <c r="J1720">
        <v>9386.7999999999993</v>
      </c>
      <c r="K1720" s="1">
        <v>43308</v>
      </c>
      <c r="L1720">
        <v>21955.08</v>
      </c>
    </row>
    <row r="1721" spans="1:12" x14ac:dyDescent="0.35">
      <c r="A1721" s="1">
        <v>43334</v>
      </c>
      <c r="B1721">
        <v>3420.18</v>
      </c>
      <c r="C1721" s="1">
        <v>43328</v>
      </c>
      <c r="D1721">
        <v>5349.02</v>
      </c>
      <c r="E1721" s="1">
        <v>43307</v>
      </c>
      <c r="F1721">
        <v>12809.23</v>
      </c>
      <c r="G1721" s="1">
        <v>43294</v>
      </c>
      <c r="H1721">
        <v>8674.5704800000003</v>
      </c>
      <c r="I1721" s="1">
        <v>43326</v>
      </c>
      <c r="J1721">
        <v>9507</v>
      </c>
      <c r="K1721" s="1">
        <v>43307</v>
      </c>
      <c r="L1721">
        <v>21862.87</v>
      </c>
    </row>
    <row r="1722" spans="1:12" x14ac:dyDescent="0.35">
      <c r="A1722" s="1">
        <v>43333</v>
      </c>
      <c r="B1722">
        <v>3411.66</v>
      </c>
      <c r="C1722" s="1">
        <v>43327</v>
      </c>
      <c r="D1722">
        <v>5305.22</v>
      </c>
      <c r="E1722" s="1">
        <v>43306</v>
      </c>
      <c r="F1722">
        <v>12579.33</v>
      </c>
      <c r="G1722" s="1">
        <v>43293</v>
      </c>
      <c r="H1722">
        <v>8658.6699700000008</v>
      </c>
      <c r="I1722" s="1">
        <v>43325</v>
      </c>
      <c r="J1722">
        <v>9530.4</v>
      </c>
      <c r="K1722" s="1">
        <v>43306</v>
      </c>
      <c r="L1722">
        <v>21561.46</v>
      </c>
    </row>
    <row r="1723" spans="1:12" x14ac:dyDescent="0.35">
      <c r="A1723" s="1">
        <v>43332</v>
      </c>
      <c r="B1723">
        <v>3393.67</v>
      </c>
      <c r="C1723" s="1">
        <v>43326</v>
      </c>
      <c r="D1723">
        <v>5403.41</v>
      </c>
      <c r="E1723" s="1">
        <v>43305</v>
      </c>
      <c r="F1723">
        <v>12689.39</v>
      </c>
      <c r="G1723" s="1">
        <v>43292</v>
      </c>
      <c r="H1723">
        <v>8578.9148000000005</v>
      </c>
      <c r="I1723" s="1">
        <v>43322</v>
      </c>
      <c r="J1723">
        <v>9602.1</v>
      </c>
      <c r="K1723" s="1">
        <v>43305</v>
      </c>
      <c r="L1723">
        <v>21874.69</v>
      </c>
    </row>
    <row r="1724" spans="1:12" x14ac:dyDescent="0.35">
      <c r="A1724" s="1">
        <v>43329</v>
      </c>
      <c r="B1724">
        <v>3372.94</v>
      </c>
      <c r="C1724" s="1">
        <v>43325</v>
      </c>
      <c r="D1724">
        <v>5412.32</v>
      </c>
      <c r="E1724" s="1">
        <v>43304</v>
      </c>
      <c r="F1724">
        <v>12548.57</v>
      </c>
      <c r="G1724" s="1">
        <v>43291</v>
      </c>
      <c r="H1724">
        <v>8687.22595</v>
      </c>
      <c r="I1724" s="1">
        <v>43321</v>
      </c>
      <c r="J1724">
        <v>9754.6</v>
      </c>
      <c r="K1724" s="1">
        <v>43304</v>
      </c>
      <c r="L1724">
        <v>21605.21</v>
      </c>
    </row>
    <row r="1725" spans="1:12" x14ac:dyDescent="0.35">
      <c r="A1725" s="1">
        <v>43328</v>
      </c>
      <c r="B1725">
        <v>3377.56</v>
      </c>
      <c r="C1725" s="1">
        <v>43322</v>
      </c>
      <c r="D1725">
        <v>5414.68</v>
      </c>
      <c r="E1725" s="1">
        <v>43301</v>
      </c>
      <c r="F1725">
        <v>12561.42</v>
      </c>
      <c r="G1725" s="1">
        <v>43290</v>
      </c>
      <c r="H1725">
        <v>8649.3977900000009</v>
      </c>
      <c r="I1725" s="1">
        <v>43320</v>
      </c>
      <c r="J1725">
        <v>9747.1</v>
      </c>
      <c r="K1725" s="1">
        <v>43301</v>
      </c>
      <c r="L1725">
        <v>21794.6</v>
      </c>
    </row>
    <row r="1726" spans="1:12" x14ac:dyDescent="0.35">
      <c r="A1726" s="1">
        <v>43327</v>
      </c>
      <c r="B1726">
        <v>3359.08</v>
      </c>
      <c r="C1726" s="1">
        <v>43321</v>
      </c>
      <c r="D1726">
        <v>5502.25</v>
      </c>
      <c r="E1726" s="1">
        <v>43300</v>
      </c>
      <c r="F1726">
        <v>12686.29</v>
      </c>
      <c r="G1726" s="1">
        <v>43287</v>
      </c>
      <c r="H1726">
        <v>8602.1771499999995</v>
      </c>
      <c r="I1726" s="1">
        <v>43319</v>
      </c>
      <c r="J1726">
        <v>9772.7999999999993</v>
      </c>
      <c r="K1726" s="1">
        <v>43300</v>
      </c>
      <c r="L1726">
        <v>21885.4</v>
      </c>
    </row>
    <row r="1727" spans="1:12" x14ac:dyDescent="0.35">
      <c r="A1727" s="1">
        <v>43326</v>
      </c>
      <c r="B1727">
        <v>3409.44</v>
      </c>
      <c r="C1727" s="1">
        <v>43320</v>
      </c>
      <c r="D1727">
        <v>5501.9</v>
      </c>
      <c r="E1727" s="1">
        <v>43299</v>
      </c>
      <c r="F1727">
        <v>12765.94</v>
      </c>
      <c r="G1727" s="1">
        <v>43286</v>
      </c>
      <c r="H1727">
        <v>8593.7574700000005</v>
      </c>
      <c r="I1727" s="1">
        <v>43318</v>
      </c>
      <c r="J1727">
        <v>9722.7000000000007</v>
      </c>
      <c r="K1727" s="1">
        <v>43299</v>
      </c>
      <c r="L1727">
        <v>21972.22</v>
      </c>
    </row>
    <row r="1728" spans="1:12" x14ac:dyDescent="0.35">
      <c r="A1728" s="1">
        <v>43325</v>
      </c>
      <c r="B1728">
        <v>3409.68</v>
      </c>
      <c r="C1728" s="1">
        <v>43319</v>
      </c>
      <c r="D1728">
        <v>5521.31</v>
      </c>
      <c r="E1728" s="1">
        <v>43298</v>
      </c>
      <c r="F1728">
        <v>12661.54</v>
      </c>
      <c r="G1728" s="1">
        <v>43285</v>
      </c>
      <c r="H1728">
        <v>8583.0949700000001</v>
      </c>
      <c r="I1728" s="1">
        <v>43315</v>
      </c>
      <c r="J1728">
        <v>9739.7999999999993</v>
      </c>
      <c r="K1728" s="1">
        <v>43298</v>
      </c>
      <c r="L1728">
        <v>21977.82</v>
      </c>
    </row>
    <row r="1729" spans="1:12" x14ac:dyDescent="0.35">
      <c r="A1729" s="1">
        <v>43322</v>
      </c>
      <c r="B1729">
        <v>3426.28</v>
      </c>
      <c r="C1729" s="1">
        <v>43318</v>
      </c>
      <c r="D1729">
        <v>5477.18</v>
      </c>
      <c r="E1729" s="1">
        <v>43297</v>
      </c>
      <c r="F1729">
        <v>12561.02</v>
      </c>
      <c r="G1729" s="1">
        <v>43284</v>
      </c>
      <c r="H1729">
        <v>8581.3953799999999</v>
      </c>
      <c r="I1729" s="1">
        <v>43314</v>
      </c>
      <c r="J1729">
        <v>9698.2000000000007</v>
      </c>
      <c r="K1729" s="1">
        <v>43297</v>
      </c>
      <c r="L1729">
        <v>21822.959999999999</v>
      </c>
    </row>
    <row r="1730" spans="1:12" x14ac:dyDescent="0.35">
      <c r="A1730" s="1">
        <v>43321</v>
      </c>
      <c r="B1730">
        <v>3494.13</v>
      </c>
      <c r="C1730" s="1">
        <v>43315</v>
      </c>
      <c r="D1730">
        <v>5478.98</v>
      </c>
      <c r="E1730" s="1">
        <v>43294</v>
      </c>
      <c r="F1730">
        <v>12540.73</v>
      </c>
      <c r="G1730" s="1">
        <v>43283</v>
      </c>
      <c r="H1730">
        <v>8539.4813300000005</v>
      </c>
      <c r="I1730" s="1">
        <v>43313</v>
      </c>
      <c r="J1730">
        <v>9799.2999999999993</v>
      </c>
      <c r="K1730" s="1">
        <v>43294</v>
      </c>
      <c r="L1730">
        <v>21892.35</v>
      </c>
    </row>
    <row r="1731" spans="1:12" x14ac:dyDescent="0.35">
      <c r="A1731" s="1">
        <v>43320</v>
      </c>
      <c r="B1731">
        <v>3493.6</v>
      </c>
      <c r="C1731" s="1">
        <v>43314</v>
      </c>
      <c r="D1731">
        <v>5460.98</v>
      </c>
      <c r="E1731" s="1">
        <v>43293</v>
      </c>
      <c r="F1731">
        <v>12492.97</v>
      </c>
      <c r="G1731" s="1">
        <v>43280</v>
      </c>
      <c r="H1731">
        <v>8629.07035</v>
      </c>
      <c r="I1731" s="1">
        <v>43312</v>
      </c>
      <c r="J1731">
        <v>9870.7000000000007</v>
      </c>
      <c r="K1731" s="1">
        <v>43293</v>
      </c>
      <c r="L1731">
        <v>21790.12</v>
      </c>
    </row>
    <row r="1732" spans="1:12" x14ac:dyDescent="0.35">
      <c r="A1732" s="1">
        <v>43319</v>
      </c>
      <c r="B1732">
        <v>3504.37</v>
      </c>
      <c r="C1732" s="1">
        <v>43313</v>
      </c>
      <c r="D1732">
        <v>5498.37</v>
      </c>
      <c r="E1732" s="1">
        <v>43292</v>
      </c>
      <c r="F1732">
        <v>12417.13</v>
      </c>
      <c r="G1732" s="1">
        <v>43279</v>
      </c>
      <c r="H1732">
        <v>8609.7448700000004</v>
      </c>
      <c r="I1732" s="1">
        <v>43311</v>
      </c>
      <c r="J1732">
        <v>9854.1</v>
      </c>
      <c r="K1732" s="1">
        <v>43292</v>
      </c>
      <c r="L1732">
        <v>21708.06</v>
      </c>
    </row>
    <row r="1733" spans="1:12" x14ac:dyDescent="0.35">
      <c r="A1733" s="1">
        <v>43318</v>
      </c>
      <c r="B1733">
        <v>3483.3</v>
      </c>
      <c r="C1733" s="1">
        <v>43312</v>
      </c>
      <c r="D1733">
        <v>5511.3</v>
      </c>
      <c r="E1733" s="1">
        <v>43291</v>
      </c>
      <c r="F1733">
        <v>12609.85</v>
      </c>
      <c r="G1733" s="1">
        <v>43278</v>
      </c>
      <c r="H1733">
        <v>8646.8642199999995</v>
      </c>
      <c r="I1733" s="1">
        <v>43308</v>
      </c>
      <c r="J1733">
        <v>9867.9</v>
      </c>
      <c r="K1733" s="1">
        <v>43291</v>
      </c>
      <c r="L1733">
        <v>22057.3</v>
      </c>
    </row>
    <row r="1734" spans="1:12" x14ac:dyDescent="0.35">
      <c r="A1734" s="1">
        <v>43315</v>
      </c>
      <c r="B1734">
        <v>3482.4</v>
      </c>
      <c r="C1734" s="1">
        <v>43311</v>
      </c>
      <c r="D1734">
        <v>5491.22</v>
      </c>
      <c r="E1734" s="1">
        <v>43290</v>
      </c>
      <c r="F1734">
        <v>12543.89</v>
      </c>
      <c r="G1734" s="1">
        <v>43277</v>
      </c>
      <c r="H1734">
        <v>8553.0627700000005</v>
      </c>
      <c r="I1734" s="1">
        <v>43307</v>
      </c>
      <c r="J1734">
        <v>9780</v>
      </c>
      <c r="K1734" s="1">
        <v>43290</v>
      </c>
      <c r="L1734">
        <v>22033.439999999999</v>
      </c>
    </row>
    <row r="1735" spans="1:12" x14ac:dyDescent="0.35">
      <c r="A1735" s="1">
        <v>43314</v>
      </c>
      <c r="B1735">
        <v>3469.21</v>
      </c>
      <c r="C1735" s="1">
        <v>43308</v>
      </c>
      <c r="D1735">
        <v>5511.76</v>
      </c>
      <c r="E1735" s="1">
        <v>43287</v>
      </c>
      <c r="F1735">
        <v>12496.17</v>
      </c>
      <c r="G1735" s="1">
        <v>43276</v>
      </c>
      <c r="H1735">
        <v>8520.8294100000003</v>
      </c>
      <c r="I1735" s="1">
        <v>43306</v>
      </c>
      <c r="J1735">
        <v>9703.1</v>
      </c>
      <c r="K1735" s="1">
        <v>43287</v>
      </c>
      <c r="L1735">
        <v>21925.51</v>
      </c>
    </row>
    <row r="1736" spans="1:12" x14ac:dyDescent="0.35">
      <c r="A1736" s="1">
        <v>43313</v>
      </c>
      <c r="B1736">
        <v>3509.23</v>
      </c>
      <c r="C1736" s="1">
        <v>43307</v>
      </c>
      <c r="D1736">
        <v>5480.55</v>
      </c>
      <c r="E1736" s="1">
        <v>43286</v>
      </c>
      <c r="F1736">
        <v>12464.29</v>
      </c>
      <c r="G1736" s="1">
        <v>43273</v>
      </c>
      <c r="H1736">
        <v>8740.8245499999994</v>
      </c>
      <c r="I1736" s="1">
        <v>43305</v>
      </c>
      <c r="J1736">
        <v>9773.1</v>
      </c>
      <c r="K1736" s="1">
        <v>43286</v>
      </c>
      <c r="L1736">
        <v>21914.29</v>
      </c>
    </row>
    <row r="1737" spans="1:12" x14ac:dyDescent="0.35">
      <c r="A1737" s="1">
        <v>43312</v>
      </c>
      <c r="B1737">
        <v>3525.49</v>
      </c>
      <c r="C1737" s="1">
        <v>43306</v>
      </c>
      <c r="D1737">
        <v>5426.41</v>
      </c>
      <c r="E1737" s="1">
        <v>43285</v>
      </c>
      <c r="F1737">
        <v>12317.61</v>
      </c>
      <c r="G1737" s="1">
        <v>43272</v>
      </c>
      <c r="H1737">
        <v>8624.7710100000004</v>
      </c>
      <c r="I1737" s="1">
        <v>43304</v>
      </c>
      <c r="J1737">
        <v>9726.1</v>
      </c>
      <c r="K1737" s="1">
        <v>43285</v>
      </c>
      <c r="L1737">
        <v>21686.61</v>
      </c>
    </row>
    <row r="1738" spans="1:12" x14ac:dyDescent="0.35">
      <c r="A1738" s="1">
        <v>43311</v>
      </c>
      <c r="B1738">
        <v>3512.31</v>
      </c>
      <c r="C1738" s="1">
        <v>43305</v>
      </c>
      <c r="D1738">
        <v>5434.19</v>
      </c>
      <c r="E1738" s="1">
        <v>43284</v>
      </c>
      <c r="F1738">
        <v>12349.14</v>
      </c>
      <c r="G1738" s="1">
        <v>43271</v>
      </c>
      <c r="H1738">
        <v>8685.0608699999993</v>
      </c>
      <c r="I1738" s="1">
        <v>43301</v>
      </c>
      <c r="J1738">
        <v>9724.7999999999993</v>
      </c>
      <c r="K1738" s="1">
        <v>43284</v>
      </c>
      <c r="L1738">
        <v>21764.16</v>
      </c>
    </row>
    <row r="1739" spans="1:12" x14ac:dyDescent="0.35">
      <c r="A1739" s="1">
        <v>43308</v>
      </c>
      <c r="B1739">
        <v>3527.18</v>
      </c>
      <c r="C1739" s="1">
        <v>43304</v>
      </c>
      <c r="D1739">
        <v>5378.25</v>
      </c>
      <c r="E1739" s="1">
        <v>43283</v>
      </c>
      <c r="F1739">
        <v>12238.17</v>
      </c>
      <c r="G1739" s="1">
        <v>43270</v>
      </c>
      <c r="H1739">
        <v>8657.3479700000007</v>
      </c>
      <c r="I1739" s="1">
        <v>43300</v>
      </c>
      <c r="J1739">
        <v>9721.1</v>
      </c>
      <c r="K1739" s="1">
        <v>43283</v>
      </c>
      <c r="L1739">
        <v>21427.200000000001</v>
      </c>
    </row>
    <row r="1740" spans="1:12" x14ac:dyDescent="0.35">
      <c r="A1740" s="1">
        <v>43307</v>
      </c>
      <c r="B1740">
        <v>3509.26</v>
      </c>
      <c r="C1740" s="1">
        <v>43301</v>
      </c>
      <c r="D1740">
        <v>5398.32</v>
      </c>
      <c r="E1740" s="1">
        <v>43280</v>
      </c>
      <c r="F1740">
        <v>12306</v>
      </c>
      <c r="G1740" s="1">
        <v>43269</v>
      </c>
      <c r="H1740">
        <v>8707.1469699999998</v>
      </c>
      <c r="I1740" s="1">
        <v>43299</v>
      </c>
      <c r="J1740">
        <v>9753.2000000000007</v>
      </c>
      <c r="K1740" s="1">
        <v>43280</v>
      </c>
      <c r="L1740">
        <v>21626.27</v>
      </c>
    </row>
    <row r="1741" spans="1:12" x14ac:dyDescent="0.35">
      <c r="A1741" s="1">
        <v>43306</v>
      </c>
      <c r="B1741">
        <v>3468.45</v>
      </c>
      <c r="C1741" s="1">
        <v>43300</v>
      </c>
      <c r="D1741">
        <v>5417.07</v>
      </c>
      <c r="E1741" s="1">
        <v>43279</v>
      </c>
      <c r="F1741">
        <v>12177.23</v>
      </c>
      <c r="G1741" s="1">
        <v>43266</v>
      </c>
      <c r="H1741">
        <v>8738.3765999999996</v>
      </c>
      <c r="I1741" s="1">
        <v>43298</v>
      </c>
      <c r="J1741">
        <v>9719.4</v>
      </c>
      <c r="K1741" s="1">
        <v>43279</v>
      </c>
      <c r="L1741">
        <v>21432.34</v>
      </c>
    </row>
    <row r="1742" spans="1:12" x14ac:dyDescent="0.35">
      <c r="A1742" s="1">
        <v>43305</v>
      </c>
      <c r="B1742">
        <v>3483.31</v>
      </c>
      <c r="C1742" s="1">
        <v>43299</v>
      </c>
      <c r="D1742">
        <v>5447.44</v>
      </c>
      <c r="E1742" s="1">
        <v>43278</v>
      </c>
      <c r="F1742">
        <v>12348.61</v>
      </c>
      <c r="G1742" s="1">
        <v>43265</v>
      </c>
      <c r="H1742">
        <v>8877.8585999999996</v>
      </c>
      <c r="I1742" s="1">
        <v>43297</v>
      </c>
      <c r="J1742">
        <v>9716.9</v>
      </c>
      <c r="K1742" s="1">
        <v>43278</v>
      </c>
      <c r="L1742">
        <v>21557.91</v>
      </c>
    </row>
    <row r="1743" spans="1:12" x14ac:dyDescent="0.35">
      <c r="A1743" s="1">
        <v>43304</v>
      </c>
      <c r="B1743">
        <v>3454.05</v>
      </c>
      <c r="C1743" s="1">
        <v>43298</v>
      </c>
      <c r="D1743">
        <v>5422.54</v>
      </c>
      <c r="E1743" s="1">
        <v>43277</v>
      </c>
      <c r="F1743">
        <v>12234.34</v>
      </c>
      <c r="G1743" s="1">
        <v>43264</v>
      </c>
      <c r="H1743">
        <v>8745.8113900000008</v>
      </c>
      <c r="I1743" s="1">
        <v>43294</v>
      </c>
      <c r="J1743">
        <v>9734.7999999999993</v>
      </c>
      <c r="K1743" s="1">
        <v>43277</v>
      </c>
      <c r="L1743">
        <v>21419.27</v>
      </c>
    </row>
    <row r="1744" spans="1:12" x14ac:dyDescent="0.35">
      <c r="A1744" s="1">
        <v>43301</v>
      </c>
      <c r="B1744">
        <v>3460.03</v>
      </c>
      <c r="C1744" s="1">
        <v>43297</v>
      </c>
      <c r="D1744">
        <v>5409.43</v>
      </c>
      <c r="E1744" s="1">
        <v>43276</v>
      </c>
      <c r="F1744">
        <v>12270.33</v>
      </c>
      <c r="G1744" s="1">
        <v>43263</v>
      </c>
      <c r="H1744">
        <v>8764.4415599999993</v>
      </c>
      <c r="I1744" s="1">
        <v>43293</v>
      </c>
      <c r="J1744">
        <v>9767.4</v>
      </c>
      <c r="K1744" s="1">
        <v>43276</v>
      </c>
      <c r="L1744">
        <v>21355.19</v>
      </c>
    </row>
    <row r="1745" spans="1:12" x14ac:dyDescent="0.35">
      <c r="A1745" s="1">
        <v>43300</v>
      </c>
      <c r="B1745">
        <v>3471.64</v>
      </c>
      <c r="C1745" s="1">
        <v>43294</v>
      </c>
      <c r="D1745">
        <v>5429.2</v>
      </c>
      <c r="E1745" s="1">
        <v>43273</v>
      </c>
      <c r="F1745">
        <v>12579.72</v>
      </c>
      <c r="G1745" s="1">
        <v>43262</v>
      </c>
      <c r="H1745">
        <v>8782.3900099999992</v>
      </c>
      <c r="I1745" s="1">
        <v>43292</v>
      </c>
      <c r="J1745">
        <v>9733.6</v>
      </c>
      <c r="K1745" s="1">
        <v>43273</v>
      </c>
      <c r="L1745">
        <v>21888.47</v>
      </c>
    </row>
    <row r="1746" spans="1:12" x14ac:dyDescent="0.35">
      <c r="A1746" s="1">
        <v>43299</v>
      </c>
      <c r="B1746">
        <v>3485.08</v>
      </c>
      <c r="C1746" s="1">
        <v>43293</v>
      </c>
      <c r="D1746">
        <v>5405.9</v>
      </c>
      <c r="E1746" s="1">
        <v>43272</v>
      </c>
      <c r="F1746">
        <v>12511.91</v>
      </c>
      <c r="G1746" s="1">
        <v>43259</v>
      </c>
      <c r="H1746">
        <v>8749.0995199999998</v>
      </c>
      <c r="I1746" s="1">
        <v>43291</v>
      </c>
      <c r="J1746">
        <v>9889.2999999999993</v>
      </c>
      <c r="K1746" s="1">
        <v>43272</v>
      </c>
      <c r="L1746">
        <v>21673.11</v>
      </c>
    </row>
    <row r="1747" spans="1:12" x14ac:dyDescent="0.35">
      <c r="A1747" s="1">
        <v>43298</v>
      </c>
      <c r="B1747">
        <v>3457.5</v>
      </c>
      <c r="C1747" s="1">
        <v>43292</v>
      </c>
      <c r="D1747">
        <v>5353.93</v>
      </c>
      <c r="E1747" s="1">
        <v>43271</v>
      </c>
      <c r="F1747">
        <v>12695.16</v>
      </c>
      <c r="G1747" s="1">
        <v>43258</v>
      </c>
      <c r="H1747">
        <v>8751.6190000000006</v>
      </c>
      <c r="I1747" s="1">
        <v>43290</v>
      </c>
      <c r="J1747">
        <v>9927</v>
      </c>
      <c r="K1747" s="1">
        <v>43271</v>
      </c>
      <c r="L1747">
        <v>22120.58</v>
      </c>
    </row>
    <row r="1748" spans="1:12" x14ac:dyDescent="0.35">
      <c r="A1748" s="1">
        <v>43297</v>
      </c>
      <c r="B1748">
        <v>3449.08</v>
      </c>
      <c r="C1748" s="1">
        <v>43291</v>
      </c>
      <c r="D1748">
        <v>5434.36</v>
      </c>
      <c r="E1748" s="1">
        <v>43270</v>
      </c>
      <c r="F1748">
        <v>12677.97</v>
      </c>
      <c r="G1748" s="1">
        <v>43257</v>
      </c>
      <c r="H1748">
        <v>8782.4228600000006</v>
      </c>
      <c r="I1748" s="1">
        <v>43287</v>
      </c>
      <c r="J1748">
        <v>9905</v>
      </c>
      <c r="K1748" s="1">
        <v>43270</v>
      </c>
      <c r="L1748">
        <v>22084.33</v>
      </c>
    </row>
    <row r="1749" spans="1:12" x14ac:dyDescent="0.35">
      <c r="A1749" s="1">
        <v>43294</v>
      </c>
      <c r="B1749">
        <v>3454.54</v>
      </c>
      <c r="C1749" s="1">
        <v>43290</v>
      </c>
      <c r="D1749">
        <v>5398.11</v>
      </c>
      <c r="E1749" s="1">
        <v>43269</v>
      </c>
      <c r="F1749">
        <v>12834.11</v>
      </c>
      <c r="G1749" s="1">
        <v>43256</v>
      </c>
      <c r="H1749">
        <v>8780.6024400000006</v>
      </c>
      <c r="I1749" s="1">
        <v>43286</v>
      </c>
      <c r="J1749">
        <v>9866.2000000000007</v>
      </c>
      <c r="K1749" s="1">
        <v>43269</v>
      </c>
      <c r="L1749">
        <v>22099.27</v>
      </c>
    </row>
    <row r="1750" spans="1:12" x14ac:dyDescent="0.35">
      <c r="A1750" s="1">
        <v>43293</v>
      </c>
      <c r="B1750">
        <v>3445.49</v>
      </c>
      <c r="C1750" s="1">
        <v>43287</v>
      </c>
      <c r="D1750">
        <v>5375.77</v>
      </c>
      <c r="E1750" s="1">
        <v>43266</v>
      </c>
      <c r="F1750">
        <v>13010.55</v>
      </c>
      <c r="G1750" s="1">
        <v>43255</v>
      </c>
      <c r="H1750">
        <v>8819.0821300000007</v>
      </c>
      <c r="I1750" s="1">
        <v>43285</v>
      </c>
      <c r="J1750">
        <v>9757.5</v>
      </c>
      <c r="K1750" s="1">
        <v>43266</v>
      </c>
      <c r="L1750">
        <v>22190.45</v>
      </c>
    </row>
    <row r="1751" spans="1:12" x14ac:dyDescent="0.35">
      <c r="A1751" s="1">
        <v>43292</v>
      </c>
      <c r="B1751">
        <v>3422.35</v>
      </c>
      <c r="C1751" s="1">
        <v>43286</v>
      </c>
      <c r="D1751">
        <v>5366.32</v>
      </c>
      <c r="E1751" s="1">
        <v>43265</v>
      </c>
      <c r="F1751">
        <v>13107.1</v>
      </c>
      <c r="G1751" s="1">
        <v>43252</v>
      </c>
      <c r="H1751">
        <v>8812.9640799999997</v>
      </c>
      <c r="I1751" s="1">
        <v>43284</v>
      </c>
      <c r="J1751">
        <v>9660.9</v>
      </c>
      <c r="K1751" s="1">
        <v>43265</v>
      </c>
      <c r="L1751">
        <v>22486.32</v>
      </c>
    </row>
    <row r="1752" spans="1:12" x14ac:dyDescent="0.35">
      <c r="A1752" s="1">
        <v>43291</v>
      </c>
      <c r="B1752">
        <v>3473.31</v>
      </c>
      <c r="C1752" s="1">
        <v>43285</v>
      </c>
      <c r="D1752">
        <v>5320.5</v>
      </c>
      <c r="E1752" s="1">
        <v>43264</v>
      </c>
      <c r="F1752">
        <v>12890.58</v>
      </c>
      <c r="G1752" s="1">
        <v>43251</v>
      </c>
      <c r="H1752">
        <v>8745.2928300000003</v>
      </c>
      <c r="I1752" s="1">
        <v>43283</v>
      </c>
      <c r="J1752">
        <v>9558.2999999999993</v>
      </c>
      <c r="K1752" s="1">
        <v>43264</v>
      </c>
      <c r="L1752">
        <v>22216.18</v>
      </c>
    </row>
    <row r="1753" spans="1:12" x14ac:dyDescent="0.35">
      <c r="A1753" s="1">
        <v>43290</v>
      </c>
      <c r="B1753">
        <v>3460.44</v>
      </c>
      <c r="C1753" s="1">
        <v>43284</v>
      </c>
      <c r="D1753">
        <v>5316.77</v>
      </c>
      <c r="E1753" s="1">
        <v>43263</v>
      </c>
      <c r="F1753">
        <v>12842.3</v>
      </c>
      <c r="G1753" s="1">
        <v>43250</v>
      </c>
      <c r="H1753">
        <v>8762.8398899999993</v>
      </c>
      <c r="I1753" s="1">
        <v>43280</v>
      </c>
      <c r="J1753">
        <v>9622.7000000000007</v>
      </c>
      <c r="K1753" s="1">
        <v>43263</v>
      </c>
      <c r="L1753">
        <v>22119.759999999998</v>
      </c>
    </row>
    <row r="1754" spans="1:12" x14ac:dyDescent="0.35">
      <c r="A1754" s="1">
        <v>43287</v>
      </c>
      <c r="B1754">
        <v>3448.49</v>
      </c>
      <c r="C1754" s="1">
        <v>43283</v>
      </c>
      <c r="D1754">
        <v>5276.76</v>
      </c>
      <c r="E1754" s="1">
        <v>43262</v>
      </c>
      <c r="F1754">
        <v>12842.91</v>
      </c>
      <c r="G1754" s="1">
        <v>43249</v>
      </c>
      <c r="H1754">
        <v>8755.1259399999999</v>
      </c>
      <c r="I1754" s="1">
        <v>43279</v>
      </c>
      <c r="J1754">
        <v>9589</v>
      </c>
      <c r="K1754" s="1">
        <v>43262</v>
      </c>
      <c r="L1754">
        <v>22086.2</v>
      </c>
    </row>
    <row r="1755" spans="1:12" x14ac:dyDescent="0.35">
      <c r="A1755" s="1">
        <v>43286</v>
      </c>
      <c r="B1755">
        <v>3440.92</v>
      </c>
      <c r="C1755" s="1">
        <v>43280</v>
      </c>
      <c r="D1755">
        <v>5323.53</v>
      </c>
      <c r="E1755" s="1">
        <v>43259</v>
      </c>
      <c r="F1755">
        <v>12766.55</v>
      </c>
      <c r="G1755" s="1">
        <v>43245</v>
      </c>
      <c r="H1755">
        <v>8828.0712399999993</v>
      </c>
      <c r="I1755" s="1">
        <v>43278</v>
      </c>
      <c r="J1755">
        <v>9658.6</v>
      </c>
      <c r="K1755" s="1">
        <v>43259</v>
      </c>
      <c r="L1755">
        <v>21355.98</v>
      </c>
    </row>
    <row r="1756" spans="1:12" x14ac:dyDescent="0.35">
      <c r="A1756" s="1">
        <v>43285</v>
      </c>
      <c r="B1756">
        <v>3412.03</v>
      </c>
      <c r="C1756" s="1">
        <v>43279</v>
      </c>
      <c r="D1756">
        <v>5275.64</v>
      </c>
      <c r="E1756" s="1">
        <v>43258</v>
      </c>
      <c r="F1756">
        <v>12811.05</v>
      </c>
      <c r="G1756" s="1">
        <v>43244</v>
      </c>
      <c r="H1756">
        <v>8805.3186499999993</v>
      </c>
      <c r="I1756" s="1">
        <v>43277</v>
      </c>
      <c r="J1756">
        <v>9637.4</v>
      </c>
      <c r="K1756" s="1">
        <v>43258</v>
      </c>
      <c r="L1756">
        <v>21767.599999999999</v>
      </c>
    </row>
    <row r="1757" spans="1:12" x14ac:dyDescent="0.35">
      <c r="A1757" s="1">
        <v>43284</v>
      </c>
      <c r="B1757">
        <v>3406.34</v>
      </c>
      <c r="C1757" s="1">
        <v>43278</v>
      </c>
      <c r="D1757">
        <v>5327.2</v>
      </c>
      <c r="E1757" s="1">
        <v>43257</v>
      </c>
      <c r="F1757">
        <v>12830.07</v>
      </c>
      <c r="G1757" s="1">
        <v>43243</v>
      </c>
      <c r="H1757">
        <v>8884.1368999999995</v>
      </c>
      <c r="I1757" s="1">
        <v>43276</v>
      </c>
      <c r="J1757">
        <v>9617.9</v>
      </c>
      <c r="K1757" s="1">
        <v>43257</v>
      </c>
      <c r="L1757">
        <v>21807.59</v>
      </c>
    </row>
    <row r="1758" spans="1:12" x14ac:dyDescent="0.35">
      <c r="A1758" s="1">
        <v>43283</v>
      </c>
      <c r="B1758">
        <v>3372.21</v>
      </c>
      <c r="C1758" s="1">
        <v>43277</v>
      </c>
      <c r="D1758">
        <v>5281.29</v>
      </c>
      <c r="E1758" s="1">
        <v>43256</v>
      </c>
      <c r="F1758">
        <v>12787.13</v>
      </c>
      <c r="G1758" s="1">
        <v>43242</v>
      </c>
      <c r="H1758">
        <v>8979.1164599999993</v>
      </c>
      <c r="I1758" s="1">
        <v>43273</v>
      </c>
      <c r="J1758">
        <v>9792.1</v>
      </c>
      <c r="K1758" s="1">
        <v>43256</v>
      </c>
      <c r="L1758">
        <v>21750.15</v>
      </c>
    </row>
    <row r="1759" spans="1:12" x14ac:dyDescent="0.35">
      <c r="A1759" s="1">
        <v>43280</v>
      </c>
      <c r="B1759">
        <v>3395.6</v>
      </c>
      <c r="C1759" s="1">
        <v>43276</v>
      </c>
      <c r="D1759">
        <v>5283.86</v>
      </c>
      <c r="E1759" s="1">
        <v>43255</v>
      </c>
      <c r="F1759">
        <v>12770.75</v>
      </c>
      <c r="G1759" s="1">
        <v>43241</v>
      </c>
      <c r="H1759">
        <v>8953.4848099999999</v>
      </c>
      <c r="I1759" s="1">
        <v>43272</v>
      </c>
      <c r="J1759">
        <v>9702.1</v>
      </c>
      <c r="K1759" s="1">
        <v>43255</v>
      </c>
      <c r="L1759">
        <v>22009.95</v>
      </c>
    </row>
    <row r="1760" spans="1:12" x14ac:dyDescent="0.35">
      <c r="A1760" s="1">
        <v>43279</v>
      </c>
      <c r="B1760">
        <v>3365.52</v>
      </c>
      <c r="C1760" s="1">
        <v>43273</v>
      </c>
      <c r="D1760">
        <v>5387.38</v>
      </c>
      <c r="E1760" s="1">
        <v>43252</v>
      </c>
      <c r="F1760">
        <v>12724.27</v>
      </c>
      <c r="G1760" s="1">
        <v>43238</v>
      </c>
      <c r="H1760">
        <v>8899.66453</v>
      </c>
      <c r="I1760" s="1">
        <v>43271</v>
      </c>
      <c r="J1760">
        <v>9788.9</v>
      </c>
      <c r="K1760" s="1">
        <v>43252</v>
      </c>
      <c r="L1760">
        <v>22109.55</v>
      </c>
    </row>
    <row r="1761" spans="1:12" x14ac:dyDescent="0.35">
      <c r="A1761" s="1">
        <v>43278</v>
      </c>
      <c r="B1761">
        <v>3397.13</v>
      </c>
      <c r="C1761" s="1">
        <v>43272</v>
      </c>
      <c r="D1761">
        <v>5316.01</v>
      </c>
      <c r="E1761" s="1">
        <v>43251</v>
      </c>
      <c r="F1761">
        <v>12604.89</v>
      </c>
      <c r="G1761" s="1">
        <v>43237</v>
      </c>
      <c r="H1761">
        <v>8916.0876399999997</v>
      </c>
      <c r="I1761" s="1">
        <v>43270</v>
      </c>
      <c r="J1761">
        <v>9755.4</v>
      </c>
      <c r="K1761" s="1">
        <v>43251</v>
      </c>
      <c r="L1761">
        <v>21784.18</v>
      </c>
    </row>
    <row r="1762" spans="1:12" x14ac:dyDescent="0.35">
      <c r="A1762" s="1">
        <v>43277</v>
      </c>
      <c r="B1762">
        <v>3368.72</v>
      </c>
      <c r="C1762" s="1">
        <v>43271</v>
      </c>
      <c r="D1762">
        <v>5372.31</v>
      </c>
      <c r="E1762" s="1">
        <v>43250</v>
      </c>
      <c r="F1762">
        <v>12783.76</v>
      </c>
      <c r="G1762" s="1">
        <v>43236</v>
      </c>
      <c r="H1762">
        <v>8837.4021499999999</v>
      </c>
      <c r="I1762" s="1">
        <v>43269</v>
      </c>
      <c r="J1762">
        <v>9769.4</v>
      </c>
      <c r="K1762" s="1">
        <v>43250</v>
      </c>
      <c r="L1762">
        <v>21797.82</v>
      </c>
    </row>
    <row r="1763" spans="1:12" x14ac:dyDescent="0.35">
      <c r="A1763" s="1">
        <v>43276</v>
      </c>
      <c r="B1763">
        <v>3369.21</v>
      </c>
      <c r="C1763" s="1">
        <v>43270</v>
      </c>
      <c r="D1763">
        <v>5390.63</v>
      </c>
      <c r="E1763" s="1">
        <v>43249</v>
      </c>
      <c r="F1763">
        <v>12666.51</v>
      </c>
      <c r="G1763" s="1">
        <v>43235</v>
      </c>
      <c r="H1763">
        <v>8798.1833499999993</v>
      </c>
      <c r="I1763" s="1">
        <v>43266</v>
      </c>
      <c r="J1763">
        <v>9851</v>
      </c>
      <c r="K1763" s="1">
        <v>43249</v>
      </c>
      <c r="L1763">
        <v>21350.880000000001</v>
      </c>
    </row>
    <row r="1764" spans="1:12" x14ac:dyDescent="0.35">
      <c r="A1764" s="1">
        <v>43273</v>
      </c>
      <c r="B1764">
        <v>3441.6</v>
      </c>
      <c r="C1764" s="1">
        <v>43269</v>
      </c>
      <c r="D1764">
        <v>5450.48</v>
      </c>
      <c r="E1764" s="1">
        <v>43248</v>
      </c>
      <c r="F1764">
        <v>12863.46</v>
      </c>
      <c r="G1764" s="1">
        <v>43234</v>
      </c>
      <c r="H1764">
        <v>8746.3220000000001</v>
      </c>
      <c r="I1764" s="1">
        <v>43265</v>
      </c>
      <c r="J1764">
        <v>9957.7000000000007</v>
      </c>
      <c r="K1764" s="1">
        <v>43248</v>
      </c>
      <c r="L1764">
        <v>21932.69</v>
      </c>
    </row>
    <row r="1765" spans="1:12" x14ac:dyDescent="0.35">
      <c r="A1765" s="1">
        <v>43272</v>
      </c>
      <c r="B1765">
        <v>3403.51</v>
      </c>
      <c r="C1765" s="1">
        <v>43266</v>
      </c>
      <c r="D1765">
        <v>5501.88</v>
      </c>
      <c r="E1765" s="1">
        <v>43245</v>
      </c>
      <c r="F1765">
        <v>12938.01</v>
      </c>
      <c r="G1765" s="1">
        <v>43231</v>
      </c>
      <c r="H1765">
        <v>8754.2316100000007</v>
      </c>
      <c r="I1765" s="1">
        <v>43264</v>
      </c>
      <c r="J1765">
        <v>9899.1</v>
      </c>
      <c r="K1765" s="1">
        <v>43245</v>
      </c>
      <c r="L1765">
        <v>22398.15</v>
      </c>
    </row>
    <row r="1766" spans="1:12" x14ac:dyDescent="0.35">
      <c r="A1766" s="1">
        <v>43271</v>
      </c>
      <c r="B1766">
        <v>3439.6</v>
      </c>
      <c r="C1766" s="1">
        <v>43265</v>
      </c>
      <c r="D1766">
        <v>5528.46</v>
      </c>
      <c r="E1766" s="1">
        <v>43244</v>
      </c>
      <c r="F1766">
        <v>12855.09</v>
      </c>
      <c r="G1766" s="1">
        <v>43230</v>
      </c>
      <c r="H1766">
        <v>8727.6797900000001</v>
      </c>
      <c r="I1766" s="1">
        <v>43263</v>
      </c>
      <c r="J1766">
        <v>9914.4</v>
      </c>
      <c r="K1766" s="1">
        <v>43244</v>
      </c>
      <c r="L1766">
        <v>22749.08</v>
      </c>
    </row>
    <row r="1767" spans="1:12" x14ac:dyDescent="0.35">
      <c r="A1767" s="1">
        <v>43270</v>
      </c>
      <c r="B1767">
        <v>3435.3</v>
      </c>
      <c r="C1767" s="1">
        <v>43264</v>
      </c>
      <c r="D1767">
        <v>5452.73</v>
      </c>
      <c r="E1767" s="1">
        <v>43243</v>
      </c>
      <c r="F1767">
        <v>12976.84</v>
      </c>
      <c r="G1767" s="1">
        <v>43229</v>
      </c>
      <c r="H1767">
        <v>8763.2598999999991</v>
      </c>
      <c r="I1767" s="1">
        <v>43262</v>
      </c>
      <c r="J1767">
        <v>9898.2999999999993</v>
      </c>
      <c r="K1767" s="1">
        <v>43243</v>
      </c>
      <c r="L1767">
        <v>22911.71</v>
      </c>
    </row>
    <row r="1768" spans="1:12" x14ac:dyDescent="0.35">
      <c r="A1768" s="1">
        <v>43269</v>
      </c>
      <c r="B1768">
        <v>3466.65</v>
      </c>
      <c r="C1768" s="1">
        <v>43263</v>
      </c>
      <c r="D1768">
        <v>5453.37</v>
      </c>
      <c r="E1768" s="1">
        <v>43242</v>
      </c>
      <c r="F1768">
        <v>13169.92</v>
      </c>
      <c r="G1768" s="1">
        <v>43228</v>
      </c>
      <c r="H1768">
        <v>8626.7381700000005</v>
      </c>
      <c r="I1768" s="1">
        <v>43259</v>
      </c>
      <c r="J1768">
        <v>9746.2999999999993</v>
      </c>
      <c r="K1768" s="1">
        <v>43242</v>
      </c>
      <c r="L1768">
        <v>23216.57</v>
      </c>
    </row>
    <row r="1769" spans="1:12" x14ac:dyDescent="0.35">
      <c r="A1769" s="1">
        <v>43266</v>
      </c>
      <c r="B1769">
        <v>3505.02</v>
      </c>
      <c r="C1769" s="1">
        <v>43262</v>
      </c>
      <c r="D1769">
        <v>5473.91</v>
      </c>
      <c r="E1769" s="1">
        <v>43238</v>
      </c>
      <c r="F1769">
        <v>13077.72</v>
      </c>
      <c r="G1769" s="1">
        <v>43224</v>
      </c>
      <c r="H1769">
        <v>8568.4592900000007</v>
      </c>
      <c r="I1769" s="1">
        <v>43258</v>
      </c>
      <c r="J1769">
        <v>9829</v>
      </c>
      <c r="K1769" s="1">
        <v>43241</v>
      </c>
      <c r="L1769">
        <v>23092.38</v>
      </c>
    </row>
    <row r="1770" spans="1:12" x14ac:dyDescent="0.35">
      <c r="A1770" s="1">
        <v>43265</v>
      </c>
      <c r="B1770">
        <v>3527.11</v>
      </c>
      <c r="C1770" s="1">
        <v>43259</v>
      </c>
      <c r="D1770">
        <v>5450.22</v>
      </c>
      <c r="E1770" s="1">
        <v>43237</v>
      </c>
      <c r="F1770">
        <v>13114.61</v>
      </c>
      <c r="G1770" s="1">
        <v>43223</v>
      </c>
      <c r="H1770">
        <v>8500.29493</v>
      </c>
      <c r="I1770" s="1">
        <v>43257</v>
      </c>
      <c r="J1770">
        <v>9791.6</v>
      </c>
      <c r="K1770" s="1">
        <v>43238</v>
      </c>
      <c r="L1770">
        <v>23449.65</v>
      </c>
    </row>
    <row r="1771" spans="1:12" x14ac:dyDescent="0.35">
      <c r="A1771" s="1">
        <v>43264</v>
      </c>
      <c r="B1771">
        <v>3479.56</v>
      </c>
      <c r="C1771" s="1">
        <v>43258</v>
      </c>
      <c r="D1771">
        <v>5448.36</v>
      </c>
      <c r="E1771" s="1">
        <v>43236</v>
      </c>
      <c r="F1771">
        <v>12996.33</v>
      </c>
      <c r="G1771" s="1">
        <v>43222</v>
      </c>
      <c r="H1771">
        <v>8573.1648000000005</v>
      </c>
      <c r="I1771" s="1">
        <v>43256</v>
      </c>
      <c r="J1771">
        <v>9686.4</v>
      </c>
      <c r="K1771" s="1">
        <v>43237</v>
      </c>
      <c r="L1771">
        <v>23801.99</v>
      </c>
    </row>
    <row r="1772" spans="1:12" x14ac:dyDescent="0.35">
      <c r="A1772" s="1">
        <v>43263</v>
      </c>
      <c r="B1772">
        <v>3475.58</v>
      </c>
      <c r="C1772" s="1">
        <v>43257</v>
      </c>
      <c r="D1772">
        <v>5457.56</v>
      </c>
      <c r="E1772" s="1">
        <v>43235</v>
      </c>
      <c r="F1772">
        <v>12970.04</v>
      </c>
      <c r="G1772" s="1">
        <v>43221</v>
      </c>
      <c r="H1772">
        <v>8527.9142599999996</v>
      </c>
      <c r="I1772" s="1">
        <v>43255</v>
      </c>
      <c r="J1772">
        <v>9750.2999999999993</v>
      </c>
      <c r="K1772" s="1">
        <v>43236</v>
      </c>
      <c r="L1772">
        <v>23734.22</v>
      </c>
    </row>
    <row r="1773" spans="1:12" x14ac:dyDescent="0.35">
      <c r="A1773" s="1">
        <v>43262</v>
      </c>
      <c r="B1773">
        <v>3480.22</v>
      </c>
      <c r="C1773" s="1">
        <v>43256</v>
      </c>
      <c r="D1773">
        <v>5460.95</v>
      </c>
      <c r="E1773" s="1">
        <v>43234</v>
      </c>
      <c r="F1773">
        <v>12977.71</v>
      </c>
      <c r="G1773" s="1">
        <v>43220</v>
      </c>
      <c r="H1773">
        <v>8541.8985599999996</v>
      </c>
      <c r="I1773" s="1">
        <v>43252</v>
      </c>
      <c r="J1773">
        <v>9632.4</v>
      </c>
      <c r="K1773" s="1">
        <v>43235</v>
      </c>
      <c r="L1773">
        <v>24297.17</v>
      </c>
    </row>
    <row r="1774" spans="1:12" x14ac:dyDescent="0.35">
      <c r="A1774" s="1">
        <v>43259</v>
      </c>
      <c r="B1774">
        <v>3447.3</v>
      </c>
      <c r="C1774" s="1">
        <v>43255</v>
      </c>
      <c r="D1774">
        <v>5472.91</v>
      </c>
      <c r="E1774" s="1">
        <v>43231</v>
      </c>
      <c r="F1774">
        <v>13001.24</v>
      </c>
      <c r="G1774" s="1">
        <v>43217</v>
      </c>
      <c r="H1774">
        <v>8534.2207199999993</v>
      </c>
      <c r="I1774" s="1">
        <v>43251</v>
      </c>
      <c r="J1774">
        <v>9465.5</v>
      </c>
      <c r="K1774" s="1">
        <v>43234</v>
      </c>
      <c r="L1774">
        <v>24221.47</v>
      </c>
    </row>
    <row r="1775" spans="1:12" x14ac:dyDescent="0.35">
      <c r="A1775" s="1">
        <v>43258</v>
      </c>
      <c r="B1775">
        <v>3459.77</v>
      </c>
      <c r="C1775" s="1">
        <v>43252</v>
      </c>
      <c r="D1775">
        <v>5465.53</v>
      </c>
      <c r="E1775" s="1">
        <v>43230</v>
      </c>
      <c r="F1775">
        <v>13022.87</v>
      </c>
      <c r="G1775" s="1">
        <v>43216</v>
      </c>
      <c r="H1775">
        <v>8525.5253100000009</v>
      </c>
      <c r="I1775" s="1">
        <v>43250</v>
      </c>
      <c r="J1775">
        <v>9566.2000000000007</v>
      </c>
      <c r="K1775" s="1">
        <v>43231</v>
      </c>
      <c r="L1775">
        <v>24159.34</v>
      </c>
    </row>
    <row r="1776" spans="1:12" x14ac:dyDescent="0.35">
      <c r="A1776" s="1">
        <v>43257</v>
      </c>
      <c r="B1776">
        <v>3460.82</v>
      </c>
      <c r="C1776" s="1">
        <v>43251</v>
      </c>
      <c r="D1776">
        <v>5398.4</v>
      </c>
      <c r="E1776" s="1">
        <v>43229</v>
      </c>
      <c r="F1776">
        <v>12943.06</v>
      </c>
      <c r="G1776" s="1">
        <v>43215</v>
      </c>
      <c r="H1776">
        <v>8440.9488799999999</v>
      </c>
      <c r="I1776" s="1">
        <v>43249</v>
      </c>
      <c r="J1776">
        <v>9521.2999999999993</v>
      </c>
      <c r="K1776" s="1">
        <v>43230</v>
      </c>
      <c r="L1776">
        <v>24033.9</v>
      </c>
    </row>
    <row r="1777" spans="1:12" x14ac:dyDescent="0.35">
      <c r="A1777" s="1">
        <v>43256</v>
      </c>
      <c r="B1777">
        <v>3456.79</v>
      </c>
      <c r="C1777" s="1">
        <v>43250</v>
      </c>
      <c r="D1777">
        <v>5427.35</v>
      </c>
      <c r="E1777" s="1">
        <v>43228</v>
      </c>
      <c r="F1777">
        <v>12912.21</v>
      </c>
      <c r="G1777" s="1">
        <v>43214</v>
      </c>
      <c r="H1777">
        <v>8478.4589300000007</v>
      </c>
      <c r="I1777" s="1">
        <v>43248</v>
      </c>
      <c r="J1777">
        <v>9764.4</v>
      </c>
      <c r="K1777" s="1">
        <v>43229</v>
      </c>
      <c r="L1777">
        <v>24266.560000000001</v>
      </c>
    </row>
    <row r="1778" spans="1:12" x14ac:dyDescent="0.35">
      <c r="A1778" s="1">
        <v>43255</v>
      </c>
      <c r="B1778">
        <v>3469.57</v>
      </c>
      <c r="C1778" s="1">
        <v>43249</v>
      </c>
      <c r="D1778">
        <v>5438.06</v>
      </c>
      <c r="E1778" s="1">
        <v>43227</v>
      </c>
      <c r="F1778">
        <v>12948.14</v>
      </c>
      <c r="G1778" s="1">
        <v>43213</v>
      </c>
      <c r="H1778">
        <v>8444.6916099999999</v>
      </c>
      <c r="I1778" s="1">
        <v>43245</v>
      </c>
      <c r="J1778">
        <v>9826.5</v>
      </c>
      <c r="K1778" s="1">
        <v>43228</v>
      </c>
      <c r="L1778">
        <v>24142.54</v>
      </c>
    </row>
    <row r="1779" spans="1:12" x14ac:dyDescent="0.35">
      <c r="A1779" s="1">
        <v>43252</v>
      </c>
      <c r="B1779">
        <v>3453.54</v>
      </c>
      <c r="C1779" s="1">
        <v>43248</v>
      </c>
      <c r="D1779">
        <v>5508.93</v>
      </c>
      <c r="E1779" s="1">
        <v>43224</v>
      </c>
      <c r="F1779">
        <v>12819.6</v>
      </c>
      <c r="G1779" s="1">
        <v>43210</v>
      </c>
      <c r="H1779">
        <v>8410.7507800000003</v>
      </c>
      <c r="I1779" s="1">
        <v>43244</v>
      </c>
      <c r="J1779">
        <v>9996</v>
      </c>
      <c r="K1779" s="1">
        <v>43227</v>
      </c>
      <c r="L1779">
        <v>24544.26</v>
      </c>
    </row>
    <row r="1780" spans="1:12" x14ac:dyDescent="0.35">
      <c r="A1780" s="1">
        <v>43251</v>
      </c>
      <c r="B1780">
        <v>3406.65</v>
      </c>
      <c r="C1780" s="1">
        <v>43245</v>
      </c>
      <c r="D1780">
        <v>5542.55</v>
      </c>
      <c r="E1780" s="1">
        <v>43223</v>
      </c>
      <c r="F1780">
        <v>12690.15</v>
      </c>
      <c r="G1780" s="1">
        <v>43209</v>
      </c>
      <c r="H1780">
        <v>8426.0317200000009</v>
      </c>
      <c r="I1780" s="1">
        <v>43243</v>
      </c>
      <c r="J1780">
        <v>10025</v>
      </c>
      <c r="K1780" s="1">
        <v>43224</v>
      </c>
      <c r="L1780">
        <v>24335.02</v>
      </c>
    </row>
    <row r="1781" spans="1:12" x14ac:dyDescent="0.35">
      <c r="A1781" s="1">
        <v>43250</v>
      </c>
      <c r="B1781">
        <v>3441.19</v>
      </c>
      <c r="C1781" s="1">
        <v>43244</v>
      </c>
      <c r="D1781">
        <v>5548.45</v>
      </c>
      <c r="E1781" s="1">
        <v>43222</v>
      </c>
      <c r="F1781">
        <v>12802.25</v>
      </c>
      <c r="G1781" s="1">
        <v>43208</v>
      </c>
      <c r="H1781">
        <v>8394.5658399999993</v>
      </c>
      <c r="I1781" s="1">
        <v>43242</v>
      </c>
      <c r="J1781">
        <v>10138.799999999999</v>
      </c>
      <c r="K1781" s="1">
        <v>43223</v>
      </c>
      <c r="L1781">
        <v>24064.46</v>
      </c>
    </row>
    <row r="1782" spans="1:12" x14ac:dyDescent="0.35">
      <c r="A1782" s="1">
        <v>43249</v>
      </c>
      <c r="B1782">
        <v>3428.14</v>
      </c>
      <c r="C1782" s="1">
        <v>43243</v>
      </c>
      <c r="D1782">
        <v>5565.85</v>
      </c>
      <c r="E1782" s="1">
        <v>43220</v>
      </c>
      <c r="F1782">
        <v>12612.11</v>
      </c>
      <c r="G1782" s="1">
        <v>43207</v>
      </c>
      <c r="H1782">
        <v>8356.6007599999994</v>
      </c>
      <c r="I1782" s="1">
        <v>43241</v>
      </c>
      <c r="J1782">
        <v>10066.5</v>
      </c>
      <c r="K1782" s="1">
        <v>43222</v>
      </c>
      <c r="L1782">
        <v>24265.61</v>
      </c>
    </row>
    <row r="1783" spans="1:12" x14ac:dyDescent="0.35">
      <c r="A1783" s="1">
        <v>43248</v>
      </c>
      <c r="B1783">
        <v>3482.64</v>
      </c>
      <c r="C1783" s="1">
        <v>43242</v>
      </c>
      <c r="D1783">
        <v>5640.1</v>
      </c>
      <c r="E1783" s="1">
        <v>43217</v>
      </c>
      <c r="F1783">
        <v>12580.87</v>
      </c>
      <c r="G1783" s="1">
        <v>43206</v>
      </c>
      <c r="H1783">
        <v>8327.0786599999992</v>
      </c>
      <c r="I1783" s="1">
        <v>43238</v>
      </c>
      <c r="J1783">
        <v>10112.4</v>
      </c>
      <c r="K1783" s="1">
        <v>43220</v>
      </c>
      <c r="L1783">
        <v>23979.37</v>
      </c>
    </row>
    <row r="1784" spans="1:12" x14ac:dyDescent="0.35">
      <c r="A1784" s="1">
        <v>43245</v>
      </c>
      <c r="B1784">
        <v>3515.36</v>
      </c>
      <c r="C1784" s="1">
        <v>43241</v>
      </c>
      <c r="D1784">
        <v>5637.51</v>
      </c>
      <c r="E1784" s="1">
        <v>43216</v>
      </c>
      <c r="F1784">
        <v>12500.47</v>
      </c>
      <c r="G1784" s="1">
        <v>43203</v>
      </c>
      <c r="H1784">
        <v>8387.6178899999995</v>
      </c>
      <c r="I1784" s="1">
        <v>43237</v>
      </c>
      <c r="J1784">
        <v>10216.4</v>
      </c>
      <c r="K1784" s="1">
        <v>43217</v>
      </c>
      <c r="L1784">
        <v>23927.61</v>
      </c>
    </row>
    <row r="1785" spans="1:12" x14ac:dyDescent="0.35">
      <c r="A1785" s="1">
        <v>43244</v>
      </c>
      <c r="B1785">
        <v>3521.76</v>
      </c>
      <c r="C1785" s="1">
        <v>43238</v>
      </c>
      <c r="D1785">
        <v>5614.51</v>
      </c>
      <c r="E1785" s="1">
        <v>43215</v>
      </c>
      <c r="F1785">
        <v>12422.3</v>
      </c>
      <c r="G1785" s="1">
        <v>43202</v>
      </c>
      <c r="H1785">
        <v>8372.3368900000005</v>
      </c>
      <c r="I1785" s="1">
        <v>43236</v>
      </c>
      <c r="J1785">
        <v>10111</v>
      </c>
      <c r="K1785" s="1">
        <v>43216</v>
      </c>
      <c r="L1785">
        <v>24039.63</v>
      </c>
    </row>
    <row r="1786" spans="1:12" x14ac:dyDescent="0.35">
      <c r="A1786" s="1">
        <v>43243</v>
      </c>
      <c r="B1786">
        <v>3541.82</v>
      </c>
      <c r="C1786" s="1">
        <v>43237</v>
      </c>
      <c r="D1786">
        <v>5621.92</v>
      </c>
      <c r="E1786" s="1">
        <v>43214</v>
      </c>
      <c r="F1786">
        <v>12550.82</v>
      </c>
      <c r="G1786" s="1">
        <v>43201</v>
      </c>
      <c r="H1786">
        <v>8313.3104399999993</v>
      </c>
      <c r="I1786" s="1">
        <v>43235</v>
      </c>
      <c r="J1786">
        <v>10207.6</v>
      </c>
      <c r="K1786" s="1">
        <v>43215</v>
      </c>
      <c r="L1786">
        <v>23801.200000000001</v>
      </c>
    </row>
    <row r="1787" spans="1:12" x14ac:dyDescent="0.35">
      <c r="A1787" s="1">
        <v>43242</v>
      </c>
      <c r="B1787">
        <v>3587.25</v>
      </c>
      <c r="C1787" s="1">
        <v>43236</v>
      </c>
      <c r="D1787">
        <v>5567.54</v>
      </c>
      <c r="E1787" s="1">
        <v>43213</v>
      </c>
      <c r="F1787">
        <v>12572.39</v>
      </c>
      <c r="G1787" s="1">
        <v>43200</v>
      </c>
      <c r="H1787">
        <v>8330.2630100000006</v>
      </c>
      <c r="I1787" s="1">
        <v>43234</v>
      </c>
      <c r="J1787">
        <v>10257.799999999999</v>
      </c>
      <c r="K1787" s="1">
        <v>43214</v>
      </c>
      <c r="L1787">
        <v>24035.49</v>
      </c>
    </row>
    <row r="1788" spans="1:12" x14ac:dyDescent="0.35">
      <c r="A1788" s="1">
        <v>43241</v>
      </c>
      <c r="B1788">
        <v>3572.57</v>
      </c>
      <c r="C1788" s="1">
        <v>43235</v>
      </c>
      <c r="D1788">
        <v>5553.16</v>
      </c>
      <c r="E1788" s="1">
        <v>43210</v>
      </c>
      <c r="F1788">
        <v>12540.5</v>
      </c>
      <c r="G1788" s="1">
        <v>43199</v>
      </c>
      <c r="H1788">
        <v>8256.0311099999999</v>
      </c>
      <c r="I1788" s="1">
        <v>43231</v>
      </c>
      <c r="J1788">
        <v>10271.4</v>
      </c>
      <c r="K1788" s="1">
        <v>43213</v>
      </c>
      <c r="L1788">
        <v>23982.52</v>
      </c>
    </row>
    <row r="1789" spans="1:12" x14ac:dyDescent="0.35">
      <c r="A1789" s="1">
        <v>43238</v>
      </c>
      <c r="B1789">
        <v>3573.76</v>
      </c>
      <c r="C1789" s="1">
        <v>43234</v>
      </c>
      <c r="D1789">
        <v>5540.68</v>
      </c>
      <c r="E1789" s="1">
        <v>43209</v>
      </c>
      <c r="F1789">
        <v>12567.42</v>
      </c>
      <c r="G1789" s="1">
        <v>43196</v>
      </c>
      <c r="H1789">
        <v>8242.2262499999997</v>
      </c>
      <c r="I1789" s="1">
        <v>43230</v>
      </c>
      <c r="J1789">
        <v>10246.6</v>
      </c>
      <c r="K1789" s="1">
        <v>43210</v>
      </c>
      <c r="L1789">
        <v>23829.34</v>
      </c>
    </row>
    <row r="1790" spans="1:12" x14ac:dyDescent="0.35">
      <c r="A1790" s="1">
        <v>43237</v>
      </c>
      <c r="B1790">
        <v>3592.18</v>
      </c>
      <c r="C1790" s="1">
        <v>43231</v>
      </c>
      <c r="D1790">
        <v>5541.94</v>
      </c>
      <c r="E1790" s="1">
        <v>43208</v>
      </c>
      <c r="F1790">
        <v>12590.83</v>
      </c>
      <c r="G1790" s="1">
        <v>43195</v>
      </c>
      <c r="H1790">
        <v>8230.3535499999998</v>
      </c>
      <c r="I1790" s="1">
        <v>43229</v>
      </c>
      <c r="J1790">
        <v>10221.200000000001</v>
      </c>
      <c r="K1790" s="1">
        <v>43209</v>
      </c>
      <c r="L1790">
        <v>23792.04</v>
      </c>
    </row>
    <row r="1791" spans="1:12" x14ac:dyDescent="0.35">
      <c r="A1791" s="1">
        <v>43236</v>
      </c>
      <c r="B1791">
        <v>3562.85</v>
      </c>
      <c r="C1791" s="1">
        <v>43230</v>
      </c>
      <c r="D1791">
        <v>5545.95</v>
      </c>
      <c r="E1791" s="1">
        <v>43207</v>
      </c>
      <c r="F1791">
        <v>12585.57</v>
      </c>
      <c r="G1791" s="1">
        <v>43194</v>
      </c>
      <c r="H1791">
        <v>8057.0138900000002</v>
      </c>
      <c r="I1791" s="1">
        <v>43228</v>
      </c>
      <c r="J1791">
        <v>10168.1</v>
      </c>
      <c r="K1791" s="1">
        <v>43208</v>
      </c>
      <c r="L1791">
        <v>23759.88</v>
      </c>
    </row>
    <row r="1792" spans="1:12" x14ac:dyDescent="0.35">
      <c r="A1792" s="1">
        <v>43235</v>
      </c>
      <c r="B1792">
        <v>3564.29</v>
      </c>
      <c r="C1792" s="1">
        <v>43229</v>
      </c>
      <c r="D1792">
        <v>5534.63</v>
      </c>
      <c r="E1792" s="1">
        <v>43206</v>
      </c>
      <c r="F1792">
        <v>12391.41</v>
      </c>
      <c r="G1792" s="1">
        <v>43193</v>
      </c>
      <c r="H1792">
        <v>8055.77124</v>
      </c>
      <c r="I1792" s="1">
        <v>43227</v>
      </c>
      <c r="J1792">
        <v>10140.9</v>
      </c>
      <c r="K1792" s="1">
        <v>43207</v>
      </c>
      <c r="L1792">
        <v>23649.040000000001</v>
      </c>
    </row>
    <row r="1793" spans="1:12" x14ac:dyDescent="0.35">
      <c r="A1793" s="1">
        <v>43234</v>
      </c>
      <c r="B1793">
        <v>3565.74</v>
      </c>
      <c r="C1793" s="1">
        <v>43228</v>
      </c>
      <c r="D1793">
        <v>5521.93</v>
      </c>
      <c r="E1793" s="1">
        <v>43203</v>
      </c>
      <c r="F1793">
        <v>12442.4</v>
      </c>
      <c r="G1793" s="1">
        <v>43188</v>
      </c>
      <c r="H1793">
        <v>8047.5553099999997</v>
      </c>
      <c r="I1793" s="1">
        <v>43224</v>
      </c>
      <c r="J1793">
        <v>10104.1</v>
      </c>
      <c r="K1793" s="1">
        <v>43206</v>
      </c>
      <c r="L1793">
        <v>23329.31</v>
      </c>
    </row>
    <row r="1794" spans="1:12" x14ac:dyDescent="0.35">
      <c r="A1794" s="1">
        <v>43231</v>
      </c>
      <c r="B1794">
        <v>3565.52</v>
      </c>
      <c r="C1794" s="1">
        <v>43227</v>
      </c>
      <c r="D1794">
        <v>5531.42</v>
      </c>
      <c r="E1794" s="1">
        <v>43202</v>
      </c>
      <c r="F1794">
        <v>12415.01</v>
      </c>
      <c r="G1794" s="1">
        <v>43187</v>
      </c>
      <c r="H1794">
        <v>8049.0120200000001</v>
      </c>
      <c r="I1794" s="1">
        <v>43223</v>
      </c>
      <c r="J1794">
        <v>10038.799999999999</v>
      </c>
      <c r="K1794" s="1">
        <v>43203</v>
      </c>
      <c r="L1794">
        <v>23330.32</v>
      </c>
    </row>
    <row r="1795" spans="1:12" x14ac:dyDescent="0.35">
      <c r="A1795" s="1">
        <v>43230</v>
      </c>
      <c r="B1795">
        <v>3569.71</v>
      </c>
      <c r="C1795" s="1">
        <v>43224</v>
      </c>
      <c r="D1795">
        <v>5516.05</v>
      </c>
      <c r="E1795" s="1">
        <v>43201</v>
      </c>
      <c r="F1795">
        <v>12293.97</v>
      </c>
      <c r="G1795" s="1">
        <v>43186</v>
      </c>
      <c r="H1795">
        <v>7989.7682999999997</v>
      </c>
      <c r="I1795" s="1">
        <v>43222</v>
      </c>
      <c r="J1795">
        <v>10088.9</v>
      </c>
      <c r="K1795" s="1">
        <v>43202</v>
      </c>
      <c r="L1795">
        <v>23304.880000000001</v>
      </c>
    </row>
    <row r="1796" spans="1:12" x14ac:dyDescent="0.35">
      <c r="A1796" s="1">
        <v>43229</v>
      </c>
      <c r="B1796">
        <v>3569.74</v>
      </c>
      <c r="C1796" s="1">
        <v>43223</v>
      </c>
      <c r="D1796">
        <v>5501.66</v>
      </c>
      <c r="E1796" s="1">
        <v>43200</v>
      </c>
      <c r="F1796">
        <v>12397.32</v>
      </c>
      <c r="G1796" s="1">
        <v>43185</v>
      </c>
      <c r="H1796">
        <v>7872.9467400000003</v>
      </c>
      <c r="I1796" s="1">
        <v>43220</v>
      </c>
      <c r="J1796">
        <v>9980.6</v>
      </c>
      <c r="K1796" s="1">
        <v>43201</v>
      </c>
      <c r="L1796">
        <v>23012.86</v>
      </c>
    </row>
    <row r="1797" spans="1:12" x14ac:dyDescent="0.35">
      <c r="A1797" s="1">
        <v>43228</v>
      </c>
      <c r="B1797">
        <v>3557.88</v>
      </c>
      <c r="C1797" s="1">
        <v>43222</v>
      </c>
      <c r="D1797">
        <v>5529.22</v>
      </c>
      <c r="E1797" s="1">
        <v>43199</v>
      </c>
      <c r="F1797">
        <v>12261.75</v>
      </c>
      <c r="G1797" s="1">
        <v>43182</v>
      </c>
      <c r="H1797">
        <v>7923.6671200000001</v>
      </c>
      <c r="I1797" s="1">
        <v>43217</v>
      </c>
      <c r="J1797">
        <v>9925.4</v>
      </c>
      <c r="K1797" s="1">
        <v>43200</v>
      </c>
      <c r="L1797">
        <v>23173.68</v>
      </c>
    </row>
    <row r="1798" spans="1:12" x14ac:dyDescent="0.35">
      <c r="A1798" s="1">
        <v>43227</v>
      </c>
      <c r="B1798">
        <v>3564.19</v>
      </c>
      <c r="C1798" s="1">
        <v>43220</v>
      </c>
      <c r="D1798">
        <v>5520.5</v>
      </c>
      <c r="E1798" s="1">
        <v>43196</v>
      </c>
      <c r="F1798">
        <v>12241.27</v>
      </c>
      <c r="G1798" s="1">
        <v>43181</v>
      </c>
      <c r="H1798">
        <v>7970.3592099999996</v>
      </c>
      <c r="I1798" s="1">
        <v>43216</v>
      </c>
      <c r="J1798">
        <v>9902.2999999999993</v>
      </c>
      <c r="K1798" s="1">
        <v>43199</v>
      </c>
      <c r="L1798">
        <v>23053.99</v>
      </c>
    </row>
    <row r="1799" spans="1:12" x14ac:dyDescent="0.35">
      <c r="A1799" s="1">
        <v>43224</v>
      </c>
      <c r="B1799">
        <v>3550.59</v>
      </c>
      <c r="C1799" s="1">
        <v>43217</v>
      </c>
      <c r="D1799">
        <v>5483.19</v>
      </c>
      <c r="E1799" s="1">
        <v>43195</v>
      </c>
      <c r="F1799">
        <v>12305.19</v>
      </c>
      <c r="G1799" s="1">
        <v>43180</v>
      </c>
      <c r="H1799">
        <v>8070.7408500000001</v>
      </c>
      <c r="I1799" s="1">
        <v>43215</v>
      </c>
      <c r="J1799">
        <v>9858</v>
      </c>
      <c r="K1799" s="1">
        <v>43196</v>
      </c>
      <c r="L1799">
        <v>22929.87</v>
      </c>
    </row>
    <row r="1800" spans="1:12" x14ac:dyDescent="0.35">
      <c r="A1800" s="1">
        <v>43223</v>
      </c>
      <c r="B1800">
        <v>3529.12</v>
      </c>
      <c r="C1800" s="1">
        <v>43216</v>
      </c>
      <c r="D1800">
        <v>5453.58</v>
      </c>
      <c r="E1800" s="1">
        <v>43194</v>
      </c>
      <c r="F1800">
        <v>11957.9</v>
      </c>
      <c r="G1800" s="1">
        <v>43179</v>
      </c>
      <c r="H1800">
        <v>8066.7321899999997</v>
      </c>
      <c r="I1800" s="1">
        <v>43214</v>
      </c>
      <c r="J1800">
        <v>9883.4</v>
      </c>
      <c r="K1800" s="1">
        <v>43195</v>
      </c>
      <c r="L1800">
        <v>22969.5</v>
      </c>
    </row>
    <row r="1801" spans="1:12" x14ac:dyDescent="0.35">
      <c r="A1801" s="1">
        <v>43222</v>
      </c>
      <c r="B1801">
        <v>3553.79</v>
      </c>
      <c r="C1801" s="1">
        <v>43215</v>
      </c>
      <c r="D1801">
        <v>5413.3</v>
      </c>
      <c r="E1801" s="1">
        <v>43193</v>
      </c>
      <c r="F1801">
        <v>12002.45</v>
      </c>
      <c r="G1801" s="1">
        <v>43178</v>
      </c>
      <c r="H1801">
        <v>8011.9888000000001</v>
      </c>
      <c r="I1801" s="1">
        <v>43213</v>
      </c>
      <c r="J1801">
        <v>9922</v>
      </c>
      <c r="K1801" s="1">
        <v>43194</v>
      </c>
      <c r="L1801">
        <v>22442.78</v>
      </c>
    </row>
    <row r="1802" spans="1:12" x14ac:dyDescent="0.35">
      <c r="A1802" s="1">
        <v>43221</v>
      </c>
      <c r="B1802">
        <v>3536.26</v>
      </c>
      <c r="C1802" s="1">
        <v>43214</v>
      </c>
      <c r="D1802">
        <v>5444.16</v>
      </c>
      <c r="E1802" s="1">
        <v>43188</v>
      </c>
      <c r="F1802">
        <v>12096.73</v>
      </c>
      <c r="G1802" s="1">
        <v>43175</v>
      </c>
      <c r="H1802">
        <v>8125.4604399999998</v>
      </c>
      <c r="I1802" s="1">
        <v>43210</v>
      </c>
      <c r="J1802">
        <v>9884.2000000000007</v>
      </c>
      <c r="K1802" s="1">
        <v>43193</v>
      </c>
      <c r="L1802">
        <v>22510.33</v>
      </c>
    </row>
    <row r="1803" spans="1:12" x14ac:dyDescent="0.35">
      <c r="A1803" s="1">
        <v>43220</v>
      </c>
      <c r="B1803">
        <v>3536.52</v>
      </c>
      <c r="C1803" s="1">
        <v>43213</v>
      </c>
      <c r="D1803">
        <v>5438.55</v>
      </c>
      <c r="E1803" s="1">
        <v>43187</v>
      </c>
      <c r="F1803">
        <v>11940.71</v>
      </c>
      <c r="G1803" s="1">
        <v>43174</v>
      </c>
      <c r="H1803">
        <v>8083.2386200000001</v>
      </c>
      <c r="I1803" s="1">
        <v>43209</v>
      </c>
      <c r="J1803">
        <v>9868</v>
      </c>
      <c r="K1803" s="1">
        <v>43188</v>
      </c>
      <c r="L1803">
        <v>22411.15</v>
      </c>
    </row>
    <row r="1804" spans="1:12" x14ac:dyDescent="0.35">
      <c r="A1804" s="1">
        <v>43217</v>
      </c>
      <c r="B1804">
        <v>3518.78</v>
      </c>
      <c r="C1804" s="1">
        <v>43210</v>
      </c>
      <c r="D1804">
        <v>5412.83</v>
      </c>
      <c r="E1804" s="1">
        <v>43186</v>
      </c>
      <c r="F1804">
        <v>11970.83</v>
      </c>
      <c r="G1804" s="1">
        <v>43173</v>
      </c>
      <c r="H1804">
        <v>8054.32</v>
      </c>
      <c r="I1804" s="1">
        <v>43208</v>
      </c>
      <c r="J1804">
        <v>9857.2999999999993</v>
      </c>
      <c r="K1804" s="1">
        <v>43187</v>
      </c>
      <c r="L1804">
        <v>22331.360000000001</v>
      </c>
    </row>
    <row r="1805" spans="1:12" x14ac:dyDescent="0.35">
      <c r="A1805" s="1">
        <v>43216</v>
      </c>
      <c r="B1805">
        <v>3506.03</v>
      </c>
      <c r="C1805" s="1">
        <v>43209</v>
      </c>
      <c r="D1805">
        <v>5391.64</v>
      </c>
      <c r="E1805" s="1">
        <v>43185</v>
      </c>
      <c r="F1805">
        <v>11787.26</v>
      </c>
      <c r="G1805" s="1">
        <v>43172</v>
      </c>
      <c r="H1805">
        <v>8049.0594300000002</v>
      </c>
      <c r="I1805" s="1">
        <v>43207</v>
      </c>
      <c r="J1805">
        <v>9803.9</v>
      </c>
      <c r="K1805" s="1">
        <v>43186</v>
      </c>
      <c r="L1805">
        <v>22209.75</v>
      </c>
    </row>
    <row r="1806" spans="1:12" x14ac:dyDescent="0.35">
      <c r="A1806" s="1">
        <v>43215</v>
      </c>
      <c r="B1806">
        <v>3485.83</v>
      </c>
      <c r="C1806" s="1">
        <v>43208</v>
      </c>
      <c r="D1806">
        <v>5380.17</v>
      </c>
      <c r="E1806" s="1">
        <v>43182</v>
      </c>
      <c r="F1806">
        <v>11886.31</v>
      </c>
      <c r="G1806" s="1">
        <v>43171</v>
      </c>
      <c r="H1806">
        <v>8134.0874400000002</v>
      </c>
      <c r="I1806" s="1">
        <v>43206</v>
      </c>
      <c r="J1806">
        <v>9766.1</v>
      </c>
      <c r="K1806" s="1">
        <v>43185</v>
      </c>
      <c r="L1806">
        <v>22011.759999999998</v>
      </c>
    </row>
    <row r="1807" spans="1:12" x14ac:dyDescent="0.35">
      <c r="A1807" s="1">
        <v>43214</v>
      </c>
      <c r="B1807">
        <v>3510.88</v>
      </c>
      <c r="C1807" s="1">
        <v>43207</v>
      </c>
      <c r="D1807">
        <v>5353.54</v>
      </c>
      <c r="E1807" s="1">
        <v>43181</v>
      </c>
      <c r="F1807">
        <v>12100.08</v>
      </c>
      <c r="G1807" s="1">
        <v>43168</v>
      </c>
      <c r="H1807">
        <v>8124.2013699999998</v>
      </c>
      <c r="I1807" s="1">
        <v>43203</v>
      </c>
      <c r="J1807">
        <v>9767.2999999999993</v>
      </c>
      <c r="K1807" s="1">
        <v>43182</v>
      </c>
      <c r="L1807">
        <v>22289.1</v>
      </c>
    </row>
    <row r="1808" spans="1:12" x14ac:dyDescent="0.35">
      <c r="A1808" s="1">
        <v>43213</v>
      </c>
      <c r="B1808">
        <v>3513.06</v>
      </c>
      <c r="C1808" s="1">
        <v>43206</v>
      </c>
      <c r="D1808">
        <v>5312.96</v>
      </c>
      <c r="E1808" s="1">
        <v>43180</v>
      </c>
      <c r="F1808">
        <v>12309.15</v>
      </c>
      <c r="G1808" s="1">
        <v>43167</v>
      </c>
      <c r="H1808">
        <v>8077.9901499999996</v>
      </c>
      <c r="I1808" s="1">
        <v>43202</v>
      </c>
      <c r="J1808">
        <v>9747</v>
      </c>
      <c r="K1808" s="1">
        <v>43181</v>
      </c>
      <c r="L1808">
        <v>22397.84</v>
      </c>
    </row>
    <row r="1809" spans="1:12" x14ac:dyDescent="0.35">
      <c r="A1809" s="1">
        <v>43210</v>
      </c>
      <c r="B1809">
        <v>3494.2</v>
      </c>
      <c r="C1809" s="1">
        <v>43203</v>
      </c>
      <c r="D1809">
        <v>5315.02</v>
      </c>
      <c r="E1809" s="1">
        <v>43179</v>
      </c>
      <c r="F1809">
        <v>12307.33</v>
      </c>
      <c r="G1809" s="1">
        <v>43166</v>
      </c>
      <c r="H1809">
        <v>8015.5571399999999</v>
      </c>
      <c r="I1809" s="1">
        <v>43201</v>
      </c>
      <c r="J1809">
        <v>9735.7999999999993</v>
      </c>
      <c r="K1809" s="1">
        <v>43180</v>
      </c>
      <c r="L1809">
        <v>22820.12</v>
      </c>
    </row>
    <row r="1810" spans="1:12" x14ac:dyDescent="0.35">
      <c r="A1810" s="1">
        <v>43209</v>
      </c>
      <c r="B1810">
        <v>3486.6</v>
      </c>
      <c r="C1810" s="1">
        <v>43202</v>
      </c>
      <c r="D1810">
        <v>5309.22</v>
      </c>
      <c r="E1810" s="1">
        <v>43178</v>
      </c>
      <c r="F1810">
        <v>12217.02</v>
      </c>
      <c r="G1810" s="1">
        <v>43165</v>
      </c>
      <c r="H1810">
        <v>8003.6910600000001</v>
      </c>
      <c r="I1810" s="1">
        <v>43200</v>
      </c>
      <c r="J1810">
        <v>9763.5</v>
      </c>
      <c r="K1810" s="1">
        <v>43179</v>
      </c>
      <c r="L1810">
        <v>22798.15</v>
      </c>
    </row>
    <row r="1811" spans="1:12" x14ac:dyDescent="0.35">
      <c r="A1811" s="1">
        <v>43208</v>
      </c>
      <c r="B1811">
        <v>3490.89</v>
      </c>
      <c r="C1811" s="1">
        <v>43201</v>
      </c>
      <c r="D1811">
        <v>5277.94</v>
      </c>
      <c r="E1811" s="1">
        <v>43175</v>
      </c>
      <c r="F1811">
        <v>12389.58</v>
      </c>
      <c r="G1811" s="1">
        <v>43164</v>
      </c>
      <c r="H1811">
        <v>7988.3135300000004</v>
      </c>
      <c r="I1811" s="1">
        <v>43199</v>
      </c>
      <c r="J1811">
        <v>9742.7999999999993</v>
      </c>
      <c r="K1811" s="1">
        <v>43178</v>
      </c>
      <c r="L1811">
        <v>22633.1</v>
      </c>
    </row>
    <row r="1812" spans="1:12" x14ac:dyDescent="0.35">
      <c r="A1812" s="1">
        <v>43207</v>
      </c>
      <c r="B1812">
        <v>3477.91</v>
      </c>
      <c r="C1812" s="1">
        <v>43200</v>
      </c>
      <c r="D1812">
        <v>5307.56</v>
      </c>
      <c r="E1812" s="1">
        <v>43174</v>
      </c>
      <c r="F1812">
        <v>12345.56</v>
      </c>
      <c r="G1812" s="1">
        <v>43161</v>
      </c>
      <c r="H1812">
        <v>7908.2734600000003</v>
      </c>
      <c r="I1812" s="1">
        <v>43196</v>
      </c>
      <c r="J1812">
        <v>9682.7999999999993</v>
      </c>
      <c r="K1812" s="1">
        <v>43175</v>
      </c>
      <c r="L1812">
        <v>22857.69</v>
      </c>
    </row>
    <row r="1813" spans="1:12" x14ac:dyDescent="0.35">
      <c r="A1813" s="1">
        <v>43206</v>
      </c>
      <c r="B1813">
        <v>3441.04</v>
      </c>
      <c r="C1813" s="1">
        <v>43199</v>
      </c>
      <c r="D1813">
        <v>5263.39</v>
      </c>
      <c r="E1813" s="1">
        <v>43173</v>
      </c>
      <c r="F1813">
        <v>12237.74</v>
      </c>
      <c r="G1813" s="1">
        <v>43160</v>
      </c>
      <c r="H1813">
        <v>8070.5384400000003</v>
      </c>
      <c r="I1813" s="1">
        <v>43195</v>
      </c>
      <c r="J1813">
        <v>9740.9</v>
      </c>
      <c r="K1813" s="1">
        <v>43174</v>
      </c>
      <c r="L1813">
        <v>22713.47</v>
      </c>
    </row>
    <row r="1814" spans="1:12" x14ac:dyDescent="0.35">
      <c r="A1814" s="1">
        <v>43203</v>
      </c>
      <c r="B1814">
        <v>3448</v>
      </c>
      <c r="C1814" s="1">
        <v>43196</v>
      </c>
      <c r="D1814">
        <v>5258.24</v>
      </c>
      <c r="E1814" s="1">
        <v>43172</v>
      </c>
      <c r="F1814">
        <v>12221.03</v>
      </c>
      <c r="G1814" s="1">
        <v>43159</v>
      </c>
      <c r="H1814">
        <v>8165.4418299999998</v>
      </c>
      <c r="I1814" s="1">
        <v>43194</v>
      </c>
      <c r="J1814">
        <v>9513.2999999999993</v>
      </c>
      <c r="K1814" s="1">
        <v>43173</v>
      </c>
      <c r="L1814">
        <v>22452.34</v>
      </c>
    </row>
    <row r="1815" spans="1:12" x14ac:dyDescent="0.35">
      <c r="A1815" s="1">
        <v>43202</v>
      </c>
      <c r="B1815">
        <v>3443.97</v>
      </c>
      <c r="C1815" s="1">
        <v>43195</v>
      </c>
      <c r="D1815">
        <v>5276.67</v>
      </c>
      <c r="E1815" s="1">
        <v>43171</v>
      </c>
      <c r="F1815">
        <v>12418.39</v>
      </c>
      <c r="G1815" s="1">
        <v>43158</v>
      </c>
      <c r="H1815">
        <v>8278.9707500000004</v>
      </c>
      <c r="I1815" s="1">
        <v>43193</v>
      </c>
      <c r="J1815">
        <v>9549.6</v>
      </c>
      <c r="K1815" s="1">
        <v>43172</v>
      </c>
      <c r="L1815">
        <v>22690.98</v>
      </c>
    </row>
    <row r="1816" spans="1:12" x14ac:dyDescent="0.35">
      <c r="A1816" s="1">
        <v>43201</v>
      </c>
      <c r="B1816">
        <v>3419.71</v>
      </c>
      <c r="C1816" s="1">
        <v>43194</v>
      </c>
      <c r="D1816">
        <v>5141.8</v>
      </c>
      <c r="E1816" s="1">
        <v>43168</v>
      </c>
      <c r="F1816">
        <v>12346.68</v>
      </c>
      <c r="G1816" s="1">
        <v>43157</v>
      </c>
      <c r="H1816">
        <v>8271.5529999999999</v>
      </c>
      <c r="I1816" s="1">
        <v>43188</v>
      </c>
      <c r="J1816">
        <v>9600.4</v>
      </c>
      <c r="K1816" s="1">
        <v>43171</v>
      </c>
      <c r="L1816">
        <v>22764.91</v>
      </c>
    </row>
    <row r="1817" spans="1:12" x14ac:dyDescent="0.35">
      <c r="A1817" s="1">
        <v>43200</v>
      </c>
      <c r="B1817">
        <v>3438.78</v>
      </c>
      <c r="C1817" s="1">
        <v>43193</v>
      </c>
      <c r="D1817">
        <v>5152.12</v>
      </c>
      <c r="E1817" s="1">
        <v>43167</v>
      </c>
      <c r="F1817">
        <v>12355.57</v>
      </c>
      <c r="G1817" s="1">
        <v>43154</v>
      </c>
      <c r="H1817">
        <v>8231.0532000000003</v>
      </c>
      <c r="I1817" s="1">
        <v>43187</v>
      </c>
      <c r="J1817">
        <v>9555</v>
      </c>
      <c r="K1817" s="1">
        <v>43168</v>
      </c>
      <c r="L1817">
        <v>22745.599999999999</v>
      </c>
    </row>
    <row r="1818" spans="1:12" x14ac:dyDescent="0.35">
      <c r="A1818" s="1">
        <v>43199</v>
      </c>
      <c r="B1818">
        <v>3414.85</v>
      </c>
      <c r="C1818" s="1">
        <v>43188</v>
      </c>
      <c r="D1818">
        <v>5167.3</v>
      </c>
      <c r="E1818" s="1">
        <v>43166</v>
      </c>
      <c r="F1818">
        <v>12245.36</v>
      </c>
      <c r="G1818" s="1">
        <v>43153</v>
      </c>
      <c r="H1818">
        <v>8207.1469199999992</v>
      </c>
      <c r="I1818" s="1">
        <v>43186</v>
      </c>
      <c r="J1818">
        <v>9473.6</v>
      </c>
      <c r="K1818" s="1">
        <v>43167</v>
      </c>
      <c r="L1818">
        <v>22731.1</v>
      </c>
    </row>
    <row r="1819" spans="1:12" x14ac:dyDescent="0.35">
      <c r="A1819" s="1">
        <v>43196</v>
      </c>
      <c r="B1819">
        <v>3408.1</v>
      </c>
      <c r="C1819" s="1">
        <v>43187</v>
      </c>
      <c r="D1819">
        <v>5130.4399999999996</v>
      </c>
      <c r="E1819" s="1">
        <v>43165</v>
      </c>
      <c r="F1819">
        <v>12113.87</v>
      </c>
      <c r="G1819" s="1">
        <v>43152</v>
      </c>
      <c r="H1819">
        <v>8250.3194800000001</v>
      </c>
      <c r="I1819" s="1">
        <v>43185</v>
      </c>
      <c r="J1819">
        <v>9381</v>
      </c>
      <c r="K1819" s="1">
        <v>43166</v>
      </c>
      <c r="L1819">
        <v>22473.47</v>
      </c>
    </row>
    <row r="1820" spans="1:12" x14ac:dyDescent="0.35">
      <c r="A1820" s="1">
        <v>43195</v>
      </c>
      <c r="B1820">
        <v>3429.95</v>
      </c>
      <c r="C1820" s="1">
        <v>43186</v>
      </c>
      <c r="D1820">
        <v>5115.74</v>
      </c>
      <c r="E1820" s="1">
        <v>43164</v>
      </c>
      <c r="F1820">
        <v>12090.87</v>
      </c>
      <c r="G1820" s="1">
        <v>43151</v>
      </c>
      <c r="H1820">
        <v>8220.7161599999999</v>
      </c>
      <c r="I1820" s="1">
        <v>43182</v>
      </c>
      <c r="J1820">
        <v>9393.1</v>
      </c>
      <c r="K1820" s="1">
        <v>43165</v>
      </c>
      <c r="L1820">
        <v>22202.5</v>
      </c>
    </row>
    <row r="1821" spans="1:12" x14ac:dyDescent="0.35">
      <c r="A1821" s="1">
        <v>43194</v>
      </c>
      <c r="B1821">
        <v>3340.35</v>
      </c>
      <c r="C1821" s="1">
        <v>43185</v>
      </c>
      <c r="D1821">
        <v>5066.28</v>
      </c>
      <c r="E1821" s="1">
        <v>43161</v>
      </c>
      <c r="F1821">
        <v>11913.71</v>
      </c>
      <c r="G1821" s="1">
        <v>43150</v>
      </c>
      <c r="H1821">
        <v>8182.4464099999996</v>
      </c>
      <c r="I1821" s="1">
        <v>43181</v>
      </c>
      <c r="J1821">
        <v>9487.4</v>
      </c>
      <c r="K1821" s="1">
        <v>43164</v>
      </c>
      <c r="L1821">
        <v>21819.91</v>
      </c>
    </row>
    <row r="1822" spans="1:12" x14ac:dyDescent="0.35">
      <c r="A1822" s="1">
        <v>43193</v>
      </c>
      <c r="B1822">
        <v>3346.93</v>
      </c>
      <c r="C1822" s="1">
        <v>43182</v>
      </c>
      <c r="D1822">
        <v>5095.22</v>
      </c>
      <c r="E1822" s="1">
        <v>43160</v>
      </c>
      <c r="F1822">
        <v>12190.94</v>
      </c>
      <c r="G1822" s="1">
        <v>43147</v>
      </c>
      <c r="H1822">
        <v>8234.6087000000007</v>
      </c>
      <c r="I1822" s="1">
        <v>43180</v>
      </c>
      <c r="J1822">
        <v>9630.9</v>
      </c>
      <c r="K1822" s="1">
        <v>43161</v>
      </c>
      <c r="L1822">
        <v>21912.14</v>
      </c>
    </row>
    <row r="1823" spans="1:12" x14ac:dyDescent="0.35">
      <c r="A1823" s="1">
        <v>43188</v>
      </c>
      <c r="B1823">
        <v>3361.5</v>
      </c>
      <c r="C1823" s="1">
        <v>43181</v>
      </c>
      <c r="D1823">
        <v>5167.21</v>
      </c>
      <c r="E1823" s="1">
        <v>43159</v>
      </c>
      <c r="F1823">
        <v>12435.85</v>
      </c>
      <c r="G1823" s="1">
        <v>43146</v>
      </c>
      <c r="H1823">
        <v>8147.8625099999999</v>
      </c>
      <c r="I1823" s="1">
        <v>43179</v>
      </c>
      <c r="J1823">
        <v>9681.6</v>
      </c>
      <c r="K1823" s="1">
        <v>43160</v>
      </c>
      <c r="L1823">
        <v>22448.38</v>
      </c>
    </row>
    <row r="1824" spans="1:12" x14ac:dyDescent="0.35">
      <c r="A1824" s="1">
        <v>43187</v>
      </c>
      <c r="B1824">
        <v>3331.25</v>
      </c>
      <c r="C1824" s="1">
        <v>43180</v>
      </c>
      <c r="D1824">
        <v>5239.74</v>
      </c>
      <c r="E1824" s="1">
        <v>43158</v>
      </c>
      <c r="F1824">
        <v>12490.73</v>
      </c>
      <c r="G1824" s="1">
        <v>43145</v>
      </c>
      <c r="H1824">
        <v>8119.6375200000002</v>
      </c>
      <c r="I1824" s="1">
        <v>43178</v>
      </c>
      <c r="J1824">
        <v>9664.1</v>
      </c>
      <c r="K1824" s="1">
        <v>43159</v>
      </c>
      <c r="L1824">
        <v>22607.61</v>
      </c>
    </row>
    <row r="1825" spans="1:12" x14ac:dyDescent="0.35">
      <c r="A1825" s="1">
        <v>43186</v>
      </c>
      <c r="B1825">
        <v>3316.95</v>
      </c>
      <c r="C1825" s="1">
        <v>43179</v>
      </c>
      <c r="D1825">
        <v>5252.43</v>
      </c>
      <c r="E1825" s="1">
        <v>43157</v>
      </c>
      <c r="F1825">
        <v>12527.04</v>
      </c>
      <c r="G1825" s="1">
        <v>43144</v>
      </c>
      <c r="H1825">
        <v>8045.9505099999997</v>
      </c>
      <c r="I1825" s="1">
        <v>43175</v>
      </c>
      <c r="J1825">
        <v>9761</v>
      </c>
      <c r="K1825" s="1">
        <v>43158</v>
      </c>
      <c r="L1825">
        <v>22724.46</v>
      </c>
    </row>
    <row r="1826" spans="1:12" x14ac:dyDescent="0.35">
      <c r="A1826" s="1">
        <v>43185</v>
      </c>
      <c r="B1826">
        <v>3278.72</v>
      </c>
      <c r="C1826" s="1">
        <v>43178</v>
      </c>
      <c r="D1826">
        <v>5222.84</v>
      </c>
      <c r="E1826" s="1">
        <v>43154</v>
      </c>
      <c r="F1826">
        <v>12483.79</v>
      </c>
      <c r="G1826" s="1">
        <v>43143</v>
      </c>
      <c r="H1826">
        <v>8078.6507600000004</v>
      </c>
      <c r="I1826" s="1">
        <v>43174</v>
      </c>
      <c r="J1826">
        <v>9684.2000000000007</v>
      </c>
      <c r="K1826" s="1">
        <v>43157</v>
      </c>
      <c r="L1826">
        <v>22706.21</v>
      </c>
    </row>
    <row r="1827" spans="1:12" x14ac:dyDescent="0.35">
      <c r="A1827" s="1">
        <v>43182</v>
      </c>
      <c r="B1827">
        <v>3298.07</v>
      </c>
      <c r="C1827" s="1">
        <v>43175</v>
      </c>
      <c r="D1827">
        <v>5282.75</v>
      </c>
      <c r="E1827" s="1">
        <v>43153</v>
      </c>
      <c r="F1827">
        <v>12461.91</v>
      </c>
      <c r="G1827" s="1">
        <v>43140</v>
      </c>
      <c r="H1827">
        <v>8005.25954</v>
      </c>
      <c r="I1827" s="1">
        <v>43173</v>
      </c>
      <c r="J1827">
        <v>9688.5</v>
      </c>
      <c r="K1827" s="1">
        <v>43154</v>
      </c>
      <c r="L1827">
        <v>22672.15</v>
      </c>
    </row>
    <row r="1828" spans="1:12" x14ac:dyDescent="0.35">
      <c r="A1828" s="1">
        <v>43181</v>
      </c>
      <c r="B1828">
        <v>3348.19</v>
      </c>
      <c r="C1828" s="1">
        <v>43174</v>
      </c>
      <c r="D1828">
        <v>5267.26</v>
      </c>
      <c r="E1828" s="1">
        <v>43152</v>
      </c>
      <c r="F1828">
        <v>12470.49</v>
      </c>
      <c r="G1828" s="1">
        <v>43139</v>
      </c>
      <c r="H1828">
        <v>8137.1234000000004</v>
      </c>
      <c r="I1828" s="1">
        <v>43172</v>
      </c>
      <c r="J1828">
        <v>9691.7000000000007</v>
      </c>
      <c r="K1828" s="1">
        <v>43153</v>
      </c>
      <c r="L1828">
        <v>22463.51</v>
      </c>
    </row>
    <row r="1829" spans="1:12" x14ac:dyDescent="0.35">
      <c r="A1829" s="1">
        <v>43180</v>
      </c>
      <c r="B1829">
        <v>3401.04</v>
      </c>
      <c r="C1829" s="1">
        <v>43173</v>
      </c>
      <c r="D1829">
        <v>5233.3599999999997</v>
      </c>
      <c r="E1829" s="1">
        <v>43151</v>
      </c>
      <c r="F1829">
        <v>12487.9</v>
      </c>
      <c r="G1829" s="1">
        <v>43138</v>
      </c>
      <c r="H1829">
        <v>8231.0246999999999</v>
      </c>
      <c r="I1829" s="1">
        <v>43171</v>
      </c>
      <c r="J1829">
        <v>9727.5</v>
      </c>
      <c r="K1829" s="1">
        <v>43152</v>
      </c>
      <c r="L1829">
        <v>22653.01</v>
      </c>
    </row>
    <row r="1830" spans="1:12" x14ac:dyDescent="0.35">
      <c r="A1830" s="1">
        <v>43179</v>
      </c>
      <c r="B1830">
        <v>3412.08</v>
      </c>
      <c r="C1830" s="1">
        <v>43172</v>
      </c>
      <c r="D1830">
        <v>5242.79</v>
      </c>
      <c r="E1830" s="1">
        <v>43150</v>
      </c>
      <c r="F1830">
        <v>12385.6</v>
      </c>
      <c r="G1830" s="1">
        <v>43137</v>
      </c>
      <c r="H1830">
        <v>8043.9447799999998</v>
      </c>
      <c r="I1830" s="1">
        <v>43168</v>
      </c>
      <c r="J1830">
        <v>9686.1</v>
      </c>
      <c r="K1830" s="1">
        <v>43151</v>
      </c>
      <c r="L1830">
        <v>22673.56</v>
      </c>
    </row>
    <row r="1831" spans="1:12" x14ac:dyDescent="0.35">
      <c r="A1831" s="1">
        <v>43178</v>
      </c>
      <c r="B1831">
        <v>3394.79</v>
      </c>
      <c r="C1831" s="1">
        <v>43171</v>
      </c>
      <c r="D1831">
        <v>5276.71</v>
      </c>
      <c r="E1831" s="1">
        <v>43147</v>
      </c>
      <c r="F1831">
        <v>12451.96</v>
      </c>
      <c r="G1831" s="1">
        <v>43136</v>
      </c>
      <c r="H1831">
        <v>8280.9911800000009</v>
      </c>
      <c r="I1831" s="1">
        <v>43167</v>
      </c>
      <c r="J1831">
        <v>9646.2000000000007</v>
      </c>
      <c r="K1831" s="1">
        <v>43150</v>
      </c>
      <c r="L1831">
        <v>22568.92</v>
      </c>
    </row>
    <row r="1832" spans="1:12" x14ac:dyDescent="0.35">
      <c r="A1832" s="1">
        <v>43175</v>
      </c>
      <c r="B1832">
        <v>3437.4</v>
      </c>
      <c r="C1832" s="1">
        <v>43168</v>
      </c>
      <c r="D1832">
        <v>5274.4</v>
      </c>
      <c r="E1832" s="1">
        <v>43146</v>
      </c>
      <c r="F1832">
        <v>12346.17</v>
      </c>
      <c r="G1832" s="1">
        <v>43133</v>
      </c>
      <c r="H1832">
        <v>8450.4928299999992</v>
      </c>
      <c r="I1832" s="1">
        <v>43166</v>
      </c>
      <c r="J1832">
        <v>9599.2999999999993</v>
      </c>
      <c r="K1832" s="1">
        <v>43147</v>
      </c>
      <c r="L1832">
        <v>22797.88</v>
      </c>
    </row>
    <row r="1833" spans="1:12" x14ac:dyDescent="0.35">
      <c r="A1833" s="1">
        <v>43174</v>
      </c>
      <c r="B1833">
        <v>3414.13</v>
      </c>
      <c r="C1833" s="1">
        <v>43167</v>
      </c>
      <c r="D1833">
        <v>5254.1</v>
      </c>
      <c r="E1833" s="1">
        <v>43145</v>
      </c>
      <c r="F1833">
        <v>12339.16</v>
      </c>
      <c r="G1833" s="1">
        <v>43132</v>
      </c>
      <c r="H1833">
        <v>8542.0097800000003</v>
      </c>
      <c r="I1833" s="1">
        <v>43165</v>
      </c>
      <c r="J1833">
        <v>9586.7999999999993</v>
      </c>
      <c r="K1833" s="1">
        <v>43146</v>
      </c>
      <c r="L1833">
        <v>22495.64</v>
      </c>
    </row>
    <row r="1834" spans="1:12" x14ac:dyDescent="0.35">
      <c r="A1834" s="1">
        <v>43173</v>
      </c>
      <c r="B1834">
        <v>3390.98</v>
      </c>
      <c r="C1834" s="1">
        <v>43166</v>
      </c>
      <c r="D1834">
        <v>5187.83</v>
      </c>
      <c r="E1834" s="1">
        <v>43144</v>
      </c>
      <c r="F1834">
        <v>12196.5</v>
      </c>
      <c r="G1834" s="1">
        <v>43131</v>
      </c>
      <c r="H1834">
        <v>8606.9974399999992</v>
      </c>
      <c r="I1834" s="1">
        <v>43164</v>
      </c>
      <c r="J1834">
        <v>9590.7999999999993</v>
      </c>
      <c r="K1834" s="1">
        <v>43145</v>
      </c>
      <c r="L1834">
        <v>22433.75</v>
      </c>
    </row>
    <row r="1835" spans="1:12" x14ac:dyDescent="0.35">
      <c r="A1835" s="1">
        <v>43172</v>
      </c>
      <c r="B1835">
        <v>3397.35</v>
      </c>
      <c r="C1835" s="1">
        <v>43165</v>
      </c>
      <c r="D1835">
        <v>5170.2299999999996</v>
      </c>
      <c r="E1835" s="1">
        <v>43143</v>
      </c>
      <c r="F1835">
        <v>12282.77</v>
      </c>
      <c r="G1835" s="1">
        <v>43130</v>
      </c>
      <c r="H1835">
        <v>8650.3950600000007</v>
      </c>
      <c r="I1835" s="1">
        <v>43161</v>
      </c>
      <c r="J1835">
        <v>9531.1</v>
      </c>
      <c r="K1835" s="1">
        <v>43144</v>
      </c>
      <c r="L1835">
        <v>22034.42</v>
      </c>
    </row>
    <row r="1836" spans="1:12" x14ac:dyDescent="0.35">
      <c r="A1836" s="1">
        <v>43171</v>
      </c>
      <c r="B1836">
        <v>3429.48</v>
      </c>
      <c r="C1836" s="1">
        <v>43164</v>
      </c>
      <c r="D1836">
        <v>5167.2299999999996</v>
      </c>
      <c r="E1836" s="1">
        <v>43140</v>
      </c>
      <c r="F1836">
        <v>12107.48</v>
      </c>
      <c r="G1836" s="1">
        <v>43129</v>
      </c>
      <c r="H1836">
        <v>8724.4121500000001</v>
      </c>
      <c r="I1836" s="1">
        <v>43160</v>
      </c>
      <c r="J1836">
        <v>9738.6</v>
      </c>
      <c r="K1836" s="1">
        <v>43143</v>
      </c>
      <c r="L1836">
        <v>22336.78</v>
      </c>
    </row>
    <row r="1837" spans="1:12" x14ac:dyDescent="0.35">
      <c r="A1837" s="1">
        <v>43168</v>
      </c>
      <c r="B1837">
        <v>3420.54</v>
      </c>
      <c r="C1837" s="1">
        <v>43161</v>
      </c>
      <c r="D1837">
        <v>5136.58</v>
      </c>
      <c r="E1837" s="1">
        <v>43139</v>
      </c>
      <c r="F1837">
        <v>12260.29</v>
      </c>
      <c r="G1837" s="1">
        <v>43126</v>
      </c>
      <c r="H1837">
        <v>8745.8271299999997</v>
      </c>
      <c r="I1837" s="1">
        <v>43159</v>
      </c>
      <c r="J1837">
        <v>9840.2999999999993</v>
      </c>
      <c r="K1837" s="1">
        <v>43140</v>
      </c>
      <c r="L1837">
        <v>22166.75</v>
      </c>
    </row>
    <row r="1838" spans="1:12" x14ac:dyDescent="0.35">
      <c r="A1838" s="1">
        <v>43167</v>
      </c>
      <c r="B1838">
        <v>3413.28</v>
      </c>
      <c r="C1838" s="1">
        <v>43160</v>
      </c>
      <c r="D1838">
        <v>5262.56</v>
      </c>
      <c r="E1838" s="1">
        <v>43138</v>
      </c>
      <c r="F1838">
        <v>12590.43</v>
      </c>
      <c r="G1838" s="1">
        <v>43125</v>
      </c>
      <c r="H1838">
        <v>8691.2756200000003</v>
      </c>
      <c r="I1838" s="1">
        <v>43158</v>
      </c>
      <c r="J1838">
        <v>9900.2000000000007</v>
      </c>
      <c r="K1838" s="1">
        <v>43139</v>
      </c>
      <c r="L1838">
        <v>22466.6</v>
      </c>
    </row>
    <row r="1839" spans="1:12" x14ac:dyDescent="0.35">
      <c r="A1839" s="1">
        <v>43166</v>
      </c>
      <c r="B1839">
        <v>3377.36</v>
      </c>
      <c r="C1839" s="1">
        <v>43159</v>
      </c>
      <c r="D1839">
        <v>5320.49</v>
      </c>
      <c r="E1839" s="1">
        <v>43137</v>
      </c>
      <c r="F1839">
        <v>12392.66</v>
      </c>
      <c r="G1839" s="1">
        <v>43124</v>
      </c>
      <c r="H1839">
        <v>8755.5268599999999</v>
      </c>
      <c r="I1839" s="1">
        <v>43157</v>
      </c>
      <c r="J1839">
        <v>9902.4</v>
      </c>
      <c r="K1839" s="1">
        <v>43138</v>
      </c>
      <c r="L1839">
        <v>22986.18</v>
      </c>
    </row>
    <row r="1840" spans="1:12" x14ac:dyDescent="0.35">
      <c r="A1840" s="1">
        <v>43165</v>
      </c>
      <c r="B1840">
        <v>3357.86</v>
      </c>
      <c r="C1840" s="1">
        <v>43158</v>
      </c>
      <c r="D1840">
        <v>5343.93</v>
      </c>
      <c r="E1840" s="1">
        <v>43136</v>
      </c>
      <c r="F1840">
        <v>12687.49</v>
      </c>
      <c r="G1840" s="1">
        <v>43123</v>
      </c>
      <c r="H1840">
        <v>8801.5677199999991</v>
      </c>
      <c r="I1840" s="1">
        <v>43154</v>
      </c>
      <c r="J1840">
        <v>9822.4</v>
      </c>
      <c r="K1840" s="1">
        <v>43137</v>
      </c>
      <c r="L1840">
        <v>22347.01</v>
      </c>
    </row>
    <row r="1841" spans="1:12" x14ac:dyDescent="0.35">
      <c r="A1841" s="1">
        <v>43164</v>
      </c>
      <c r="B1841">
        <v>3355.32</v>
      </c>
      <c r="C1841" s="1">
        <v>43157</v>
      </c>
      <c r="D1841">
        <v>5344.26</v>
      </c>
      <c r="E1841" s="1">
        <v>43133</v>
      </c>
      <c r="F1841">
        <v>12785.16</v>
      </c>
      <c r="G1841" s="1">
        <v>43122</v>
      </c>
      <c r="H1841">
        <v>8795.5007800000003</v>
      </c>
      <c r="I1841" s="1">
        <v>43153</v>
      </c>
      <c r="J1841">
        <v>9876.5</v>
      </c>
      <c r="K1841" s="1">
        <v>43136</v>
      </c>
      <c r="L1841">
        <v>22821.63</v>
      </c>
    </row>
    <row r="1842" spans="1:12" x14ac:dyDescent="0.35">
      <c r="A1842" s="1">
        <v>43161</v>
      </c>
      <c r="B1842">
        <v>3324.75</v>
      </c>
      <c r="C1842" s="1">
        <v>43154</v>
      </c>
      <c r="D1842">
        <v>5317.37</v>
      </c>
      <c r="E1842" s="1">
        <v>43132</v>
      </c>
      <c r="F1842">
        <v>13003.9</v>
      </c>
      <c r="G1842" s="1">
        <v>43119</v>
      </c>
      <c r="H1842">
        <v>8758.9920199999997</v>
      </c>
      <c r="I1842" s="1">
        <v>43152</v>
      </c>
      <c r="J1842">
        <v>9823.2999999999993</v>
      </c>
      <c r="K1842" s="1">
        <v>43133</v>
      </c>
      <c r="L1842">
        <v>23202.66</v>
      </c>
    </row>
    <row r="1843" spans="1:12" x14ac:dyDescent="0.35">
      <c r="A1843" s="1">
        <v>43160</v>
      </c>
      <c r="B1843">
        <v>3399.16</v>
      </c>
      <c r="C1843" s="1">
        <v>43153</v>
      </c>
      <c r="D1843">
        <v>5309.23</v>
      </c>
      <c r="E1843" s="1">
        <v>43131</v>
      </c>
      <c r="F1843">
        <v>13189.48</v>
      </c>
      <c r="G1843" s="1">
        <v>43118</v>
      </c>
      <c r="H1843">
        <v>8738.7539400000005</v>
      </c>
      <c r="I1843" s="1">
        <v>43151</v>
      </c>
      <c r="J1843">
        <v>9895.2999999999993</v>
      </c>
      <c r="K1843" s="1">
        <v>43132</v>
      </c>
      <c r="L1843">
        <v>23541.46</v>
      </c>
    </row>
    <row r="1844" spans="1:12" x14ac:dyDescent="0.35">
      <c r="A1844" s="1">
        <v>43159</v>
      </c>
      <c r="B1844">
        <v>3438.96</v>
      </c>
      <c r="C1844" s="1">
        <v>43152</v>
      </c>
      <c r="D1844">
        <v>5302.17</v>
      </c>
      <c r="E1844" s="1">
        <v>43130</v>
      </c>
      <c r="F1844">
        <v>13197.71</v>
      </c>
      <c r="G1844" s="1">
        <v>43117</v>
      </c>
      <c r="H1844">
        <v>8733.0399500000003</v>
      </c>
      <c r="I1844" s="1">
        <v>43150</v>
      </c>
      <c r="J1844">
        <v>9806.2000000000007</v>
      </c>
      <c r="K1844" s="1">
        <v>43131</v>
      </c>
      <c r="L1844">
        <v>23507.06</v>
      </c>
    </row>
    <row r="1845" spans="1:12" x14ac:dyDescent="0.35">
      <c r="A1845" s="1">
        <v>43158</v>
      </c>
      <c r="B1845">
        <v>3458.03</v>
      </c>
      <c r="C1845" s="1">
        <v>43151</v>
      </c>
      <c r="D1845">
        <v>5289.86</v>
      </c>
      <c r="E1845" s="1">
        <v>43129</v>
      </c>
      <c r="F1845">
        <v>13324.48</v>
      </c>
      <c r="G1845" s="1">
        <v>43116</v>
      </c>
      <c r="H1845">
        <v>8723.83763</v>
      </c>
      <c r="I1845" s="1">
        <v>43147</v>
      </c>
      <c r="J1845">
        <v>9832.1</v>
      </c>
      <c r="K1845" s="1">
        <v>43130</v>
      </c>
      <c r="L1845">
        <v>23480.92</v>
      </c>
    </row>
    <row r="1846" spans="1:12" x14ac:dyDescent="0.35">
      <c r="A1846" s="1">
        <v>43157</v>
      </c>
      <c r="B1846">
        <v>3463.18</v>
      </c>
      <c r="C1846" s="1">
        <v>43150</v>
      </c>
      <c r="D1846">
        <v>5256.18</v>
      </c>
      <c r="E1846" s="1">
        <v>43126</v>
      </c>
      <c r="F1846">
        <v>13340.17</v>
      </c>
      <c r="G1846" s="1">
        <v>43115</v>
      </c>
      <c r="H1846">
        <v>8743.52729</v>
      </c>
      <c r="I1846" s="1">
        <v>43146</v>
      </c>
      <c r="J1846">
        <v>9714.9</v>
      </c>
      <c r="K1846" s="1">
        <v>43129</v>
      </c>
      <c r="L1846">
        <v>23801.55</v>
      </c>
    </row>
    <row r="1847" spans="1:12" x14ac:dyDescent="0.35">
      <c r="A1847" s="1">
        <v>43154</v>
      </c>
      <c r="B1847">
        <v>3441.46</v>
      </c>
      <c r="C1847" s="1">
        <v>43147</v>
      </c>
      <c r="D1847">
        <v>5281.58</v>
      </c>
      <c r="E1847" s="1">
        <v>43125</v>
      </c>
      <c r="F1847">
        <v>13298.36</v>
      </c>
      <c r="G1847" s="1">
        <v>43112</v>
      </c>
      <c r="H1847">
        <v>8776.0494600000002</v>
      </c>
      <c r="I1847" s="1">
        <v>43145</v>
      </c>
      <c r="J1847">
        <v>9686.2000000000007</v>
      </c>
      <c r="K1847" s="1">
        <v>43126</v>
      </c>
      <c r="L1847">
        <v>23856.99</v>
      </c>
    </row>
    <row r="1848" spans="1:12" x14ac:dyDescent="0.35">
      <c r="A1848" s="1">
        <v>43153</v>
      </c>
      <c r="B1848">
        <v>3431.99</v>
      </c>
      <c r="C1848" s="1">
        <v>43146</v>
      </c>
      <c r="D1848">
        <v>5222.5200000000004</v>
      </c>
      <c r="E1848" s="1">
        <v>43124</v>
      </c>
      <c r="F1848">
        <v>13414.74</v>
      </c>
      <c r="G1848" s="1">
        <v>43111</v>
      </c>
      <c r="H1848">
        <v>8734.7584599999991</v>
      </c>
      <c r="I1848" s="1">
        <v>43144</v>
      </c>
      <c r="J1848">
        <v>9650.7000000000007</v>
      </c>
      <c r="K1848" s="1">
        <v>43125</v>
      </c>
      <c r="L1848">
        <v>23719.81</v>
      </c>
    </row>
    <row r="1849" spans="1:12" x14ac:dyDescent="0.35">
      <c r="A1849" s="1">
        <v>43152</v>
      </c>
      <c r="B1849">
        <v>3430.16</v>
      </c>
      <c r="C1849" s="1">
        <v>43145</v>
      </c>
      <c r="D1849">
        <v>5165.26</v>
      </c>
      <c r="E1849" s="1">
        <v>43123</v>
      </c>
      <c r="F1849">
        <v>13559.6</v>
      </c>
      <c r="G1849" s="1">
        <v>43110</v>
      </c>
      <c r="H1849">
        <v>8757.2416099999991</v>
      </c>
      <c r="I1849" s="1">
        <v>43143</v>
      </c>
      <c r="J1849">
        <v>9771.1</v>
      </c>
      <c r="K1849" s="1">
        <v>43124</v>
      </c>
      <c r="L1849">
        <v>23622.62</v>
      </c>
    </row>
    <row r="1850" spans="1:12" x14ac:dyDescent="0.35">
      <c r="A1850" s="1">
        <v>43151</v>
      </c>
      <c r="B1850">
        <v>3435.08</v>
      </c>
      <c r="C1850" s="1">
        <v>43144</v>
      </c>
      <c r="D1850">
        <v>5109.24</v>
      </c>
      <c r="E1850" s="1">
        <v>43122</v>
      </c>
      <c r="F1850">
        <v>13463.69</v>
      </c>
      <c r="G1850" s="1">
        <v>43109</v>
      </c>
      <c r="H1850">
        <v>8772.5448799999995</v>
      </c>
      <c r="I1850" s="1">
        <v>43140</v>
      </c>
      <c r="J1850">
        <v>9639.6</v>
      </c>
      <c r="K1850" s="1">
        <v>43123</v>
      </c>
      <c r="L1850">
        <v>23836.6</v>
      </c>
    </row>
    <row r="1851" spans="1:12" x14ac:dyDescent="0.35">
      <c r="A1851" s="1">
        <v>43150</v>
      </c>
      <c r="B1851">
        <v>3407.79</v>
      </c>
      <c r="C1851" s="1">
        <v>43143</v>
      </c>
      <c r="D1851">
        <v>5140.0600000000004</v>
      </c>
      <c r="E1851" s="1">
        <v>43119</v>
      </c>
      <c r="F1851">
        <v>13434.45</v>
      </c>
      <c r="G1851" s="1">
        <v>43108</v>
      </c>
      <c r="H1851">
        <v>8712.3876299999993</v>
      </c>
      <c r="I1851" s="1">
        <v>43139</v>
      </c>
      <c r="J1851">
        <v>9756.2999999999993</v>
      </c>
      <c r="K1851" s="1">
        <v>43122</v>
      </c>
      <c r="L1851">
        <v>23890.18</v>
      </c>
    </row>
    <row r="1852" spans="1:12" x14ac:dyDescent="0.35">
      <c r="A1852" s="1">
        <v>43147</v>
      </c>
      <c r="B1852">
        <v>3426.8</v>
      </c>
      <c r="C1852" s="1">
        <v>43140</v>
      </c>
      <c r="D1852">
        <v>5079.21</v>
      </c>
      <c r="E1852" s="1">
        <v>43118</v>
      </c>
      <c r="F1852">
        <v>13281.43</v>
      </c>
      <c r="G1852" s="1">
        <v>43105</v>
      </c>
      <c r="H1852">
        <v>8696.8805599999996</v>
      </c>
      <c r="I1852" s="1">
        <v>43138</v>
      </c>
      <c r="J1852">
        <v>9976.9</v>
      </c>
      <c r="K1852" s="1">
        <v>43119</v>
      </c>
      <c r="L1852">
        <v>23749.22</v>
      </c>
    </row>
    <row r="1853" spans="1:12" x14ac:dyDescent="0.35">
      <c r="A1853" s="1">
        <v>43146</v>
      </c>
      <c r="B1853">
        <v>3389.63</v>
      </c>
      <c r="C1853" s="1">
        <v>43139</v>
      </c>
      <c r="D1853">
        <v>5151.68</v>
      </c>
      <c r="E1853" s="1">
        <v>43117</v>
      </c>
      <c r="F1853">
        <v>13183.96</v>
      </c>
      <c r="G1853" s="1">
        <v>43104</v>
      </c>
      <c r="H1853">
        <v>8633.4070800000009</v>
      </c>
      <c r="I1853" s="1">
        <v>43137</v>
      </c>
      <c r="J1853">
        <v>9810</v>
      </c>
      <c r="K1853" s="1">
        <v>43118</v>
      </c>
      <c r="L1853">
        <v>23630.81</v>
      </c>
    </row>
    <row r="1854" spans="1:12" x14ac:dyDescent="0.35">
      <c r="A1854" s="1">
        <v>43145</v>
      </c>
      <c r="B1854">
        <v>3369.83</v>
      </c>
      <c r="C1854" s="1">
        <v>43138</v>
      </c>
      <c r="D1854">
        <v>5255.9</v>
      </c>
      <c r="E1854" s="1">
        <v>43116</v>
      </c>
      <c r="F1854">
        <v>13246.33</v>
      </c>
      <c r="G1854" s="1">
        <v>43103</v>
      </c>
      <c r="H1854">
        <v>8627.2082699999992</v>
      </c>
      <c r="I1854" s="1">
        <v>43136</v>
      </c>
      <c r="J1854">
        <v>10064.5</v>
      </c>
      <c r="K1854" s="1">
        <v>43117</v>
      </c>
      <c r="L1854">
        <v>23514.67</v>
      </c>
    </row>
    <row r="1855" spans="1:12" x14ac:dyDescent="0.35">
      <c r="A1855" s="1">
        <v>43144</v>
      </c>
      <c r="B1855">
        <v>3340.93</v>
      </c>
      <c r="C1855" s="1">
        <v>43137</v>
      </c>
      <c r="D1855">
        <v>5161.8100000000004</v>
      </c>
      <c r="E1855" s="1">
        <v>43115</v>
      </c>
      <c r="F1855">
        <v>13200.51</v>
      </c>
      <c r="G1855" s="1">
        <v>43102</v>
      </c>
      <c r="H1855">
        <v>8625.3043099999995</v>
      </c>
      <c r="I1855" s="1">
        <v>43133</v>
      </c>
      <c r="J1855">
        <v>10211.200000000001</v>
      </c>
      <c r="K1855" s="1">
        <v>43116</v>
      </c>
      <c r="L1855">
        <v>23495.279999999999</v>
      </c>
    </row>
    <row r="1856" spans="1:12" x14ac:dyDescent="0.35">
      <c r="A1856" s="1">
        <v>43143</v>
      </c>
      <c r="B1856">
        <v>3368.25</v>
      </c>
      <c r="C1856" s="1">
        <v>43136</v>
      </c>
      <c r="D1856">
        <v>5285.83</v>
      </c>
      <c r="E1856" s="1">
        <v>43112</v>
      </c>
      <c r="F1856">
        <v>13245.03</v>
      </c>
      <c r="G1856" s="1">
        <v>43098</v>
      </c>
      <c r="H1856">
        <v>8648.2616400000006</v>
      </c>
      <c r="I1856" s="1">
        <v>43132</v>
      </c>
      <c r="J1856">
        <v>10399</v>
      </c>
      <c r="K1856" s="1">
        <v>43115</v>
      </c>
      <c r="L1856">
        <v>23543.55</v>
      </c>
    </row>
    <row r="1857" spans="1:12" x14ac:dyDescent="0.35">
      <c r="A1857" s="1">
        <v>43140</v>
      </c>
      <c r="B1857">
        <v>3325.99</v>
      </c>
      <c r="C1857" s="1">
        <v>43133</v>
      </c>
      <c r="D1857">
        <v>5364.98</v>
      </c>
      <c r="E1857" s="1">
        <v>43111</v>
      </c>
      <c r="F1857">
        <v>13202.9</v>
      </c>
      <c r="G1857" s="1">
        <v>43097</v>
      </c>
      <c r="H1857">
        <v>8576.2980200000002</v>
      </c>
      <c r="I1857" s="1">
        <v>43131</v>
      </c>
      <c r="J1857">
        <v>10451.5</v>
      </c>
      <c r="K1857" s="1">
        <v>43112</v>
      </c>
      <c r="L1857">
        <v>23429.83</v>
      </c>
    </row>
    <row r="1858" spans="1:12" x14ac:dyDescent="0.35">
      <c r="A1858" s="1">
        <v>43139</v>
      </c>
      <c r="B1858">
        <v>3377.3</v>
      </c>
      <c r="C1858" s="1">
        <v>43132</v>
      </c>
      <c r="D1858">
        <v>5454.55</v>
      </c>
      <c r="E1858" s="1">
        <v>43110</v>
      </c>
      <c r="F1858">
        <v>13281.34</v>
      </c>
      <c r="G1858" s="1">
        <v>43096</v>
      </c>
      <c r="H1858">
        <v>8580.7101999999995</v>
      </c>
      <c r="I1858" s="1">
        <v>43130</v>
      </c>
      <c r="J1858">
        <v>10428.200000000001</v>
      </c>
      <c r="K1858" s="1">
        <v>43111</v>
      </c>
      <c r="L1858">
        <v>23305.26</v>
      </c>
    </row>
    <row r="1859" spans="1:12" x14ac:dyDescent="0.35">
      <c r="A1859" s="1">
        <v>43138</v>
      </c>
      <c r="B1859">
        <v>3454.52</v>
      </c>
      <c r="C1859" s="1">
        <v>43131</v>
      </c>
      <c r="D1859">
        <v>5481.93</v>
      </c>
      <c r="E1859" s="1">
        <v>43109</v>
      </c>
      <c r="F1859">
        <v>13385.59</v>
      </c>
      <c r="G1859" s="1">
        <v>43091</v>
      </c>
      <c r="H1859">
        <v>8572.0894399999997</v>
      </c>
      <c r="I1859" s="1">
        <v>43129</v>
      </c>
      <c r="J1859">
        <v>10555.6</v>
      </c>
      <c r="K1859" s="1">
        <v>43110</v>
      </c>
      <c r="L1859">
        <v>23157.42</v>
      </c>
    </row>
    <row r="1860" spans="1:12" x14ac:dyDescent="0.35">
      <c r="A1860" s="1">
        <v>43137</v>
      </c>
      <c r="B1860">
        <v>3394.92</v>
      </c>
      <c r="C1860" s="1">
        <v>43130</v>
      </c>
      <c r="D1860">
        <v>5473.78</v>
      </c>
      <c r="E1860" s="1">
        <v>43108</v>
      </c>
      <c r="F1860">
        <v>13367.78</v>
      </c>
      <c r="G1860" s="1">
        <v>43090</v>
      </c>
      <c r="H1860">
        <v>8566.9714000000004</v>
      </c>
      <c r="I1860" s="1">
        <v>43126</v>
      </c>
      <c r="J1860">
        <v>10595.4</v>
      </c>
      <c r="K1860" s="1">
        <v>43109</v>
      </c>
      <c r="L1860">
        <v>23004.98</v>
      </c>
    </row>
    <row r="1861" spans="1:12" x14ac:dyDescent="0.35">
      <c r="A1861" s="1">
        <v>43136</v>
      </c>
      <c r="B1861">
        <v>3478.77</v>
      </c>
      <c r="C1861" s="1">
        <v>43129</v>
      </c>
      <c r="D1861">
        <v>5521.59</v>
      </c>
      <c r="E1861" s="1">
        <v>43105</v>
      </c>
      <c r="F1861">
        <v>13319.64</v>
      </c>
      <c r="G1861" s="1">
        <v>43089</v>
      </c>
      <c r="H1861">
        <v>8487.65236</v>
      </c>
      <c r="I1861" s="1">
        <v>43125</v>
      </c>
      <c r="J1861">
        <v>10595.3</v>
      </c>
      <c r="K1861" s="1">
        <v>43108</v>
      </c>
      <c r="L1861">
        <v>22845.69</v>
      </c>
    </row>
    <row r="1862" spans="1:12" x14ac:dyDescent="0.35">
      <c r="A1862" s="1">
        <v>43133</v>
      </c>
      <c r="B1862">
        <v>3523.28</v>
      </c>
      <c r="C1862" s="1">
        <v>43126</v>
      </c>
      <c r="D1862">
        <v>5529.15</v>
      </c>
      <c r="E1862" s="1">
        <v>43104</v>
      </c>
      <c r="F1862">
        <v>13167.89</v>
      </c>
      <c r="G1862" s="1">
        <v>43088</v>
      </c>
      <c r="H1862">
        <v>8527.5194300000003</v>
      </c>
      <c r="I1862" s="1">
        <v>43124</v>
      </c>
      <c r="J1862">
        <v>10563</v>
      </c>
      <c r="K1862" s="1">
        <v>43105</v>
      </c>
      <c r="L1862">
        <v>22762.29</v>
      </c>
    </row>
    <row r="1863" spans="1:12" x14ac:dyDescent="0.35">
      <c r="A1863" s="1">
        <v>43132</v>
      </c>
      <c r="B1863">
        <v>3577.35</v>
      </c>
      <c r="C1863" s="1">
        <v>43125</v>
      </c>
      <c r="D1863">
        <v>5481.21</v>
      </c>
      <c r="E1863" s="1">
        <v>43103</v>
      </c>
      <c r="F1863">
        <v>12978.21</v>
      </c>
      <c r="G1863" s="1">
        <v>43087</v>
      </c>
      <c r="H1863">
        <v>8561.7620800000004</v>
      </c>
      <c r="I1863" s="1">
        <v>43123</v>
      </c>
      <c r="J1863">
        <v>10609.5</v>
      </c>
      <c r="K1863" s="1">
        <v>43104</v>
      </c>
      <c r="L1863">
        <v>22512.13</v>
      </c>
    </row>
    <row r="1864" spans="1:12" x14ac:dyDescent="0.35">
      <c r="A1864" s="1">
        <v>43131</v>
      </c>
      <c r="B1864">
        <v>3609.29</v>
      </c>
      <c r="C1864" s="1">
        <v>43124</v>
      </c>
      <c r="D1864">
        <v>5495.16</v>
      </c>
      <c r="E1864" s="1">
        <v>43102</v>
      </c>
      <c r="F1864">
        <v>12871.39</v>
      </c>
      <c r="G1864" s="1">
        <v>43084</v>
      </c>
      <c r="H1864">
        <v>8481.2480200000009</v>
      </c>
      <c r="I1864" s="1">
        <v>43122</v>
      </c>
      <c r="J1864">
        <v>10584</v>
      </c>
      <c r="K1864" s="1">
        <v>43103</v>
      </c>
      <c r="L1864">
        <v>21904.560000000001</v>
      </c>
    </row>
    <row r="1865" spans="1:12" x14ac:dyDescent="0.35">
      <c r="A1865" s="1">
        <v>43130</v>
      </c>
      <c r="B1865">
        <v>3606.75</v>
      </c>
      <c r="C1865" s="1">
        <v>43123</v>
      </c>
      <c r="D1865">
        <v>5535.26</v>
      </c>
      <c r="E1865" s="1">
        <v>43098</v>
      </c>
      <c r="F1865">
        <v>12917.64</v>
      </c>
      <c r="G1865" s="1">
        <v>43083</v>
      </c>
      <c r="H1865">
        <v>8486.2317399999993</v>
      </c>
      <c r="I1865" s="1">
        <v>43119</v>
      </c>
      <c r="J1865">
        <v>10479.5</v>
      </c>
      <c r="K1865" s="1">
        <v>43102</v>
      </c>
      <c r="L1865">
        <v>21845.16</v>
      </c>
    </row>
    <row r="1866" spans="1:12" x14ac:dyDescent="0.35">
      <c r="A1866" s="1">
        <v>43129</v>
      </c>
      <c r="B1866">
        <v>3643.04</v>
      </c>
      <c r="C1866" s="1">
        <v>43122</v>
      </c>
      <c r="D1866">
        <v>5541.99</v>
      </c>
      <c r="E1866" s="1">
        <v>43097</v>
      </c>
      <c r="F1866">
        <v>12979.94</v>
      </c>
      <c r="G1866" s="1">
        <v>43082</v>
      </c>
      <c r="H1866">
        <v>8509.1729599999999</v>
      </c>
      <c r="I1866" s="1">
        <v>43118</v>
      </c>
      <c r="J1866">
        <v>10432.700000000001</v>
      </c>
      <c r="K1866" s="1">
        <v>43098</v>
      </c>
      <c r="L1866">
        <v>21853.34</v>
      </c>
    </row>
    <row r="1867" spans="1:12" x14ac:dyDescent="0.35">
      <c r="A1867" s="1">
        <v>43126</v>
      </c>
      <c r="B1867">
        <v>3647.41</v>
      </c>
      <c r="C1867" s="1">
        <v>43119</v>
      </c>
      <c r="D1867">
        <v>5526.51</v>
      </c>
      <c r="E1867" s="1">
        <v>43096</v>
      </c>
      <c r="F1867">
        <v>13070.02</v>
      </c>
      <c r="G1867" s="1">
        <v>43081</v>
      </c>
      <c r="H1867">
        <v>8518.2496699999992</v>
      </c>
      <c r="I1867" s="1">
        <v>43117</v>
      </c>
      <c r="J1867">
        <v>10474.6</v>
      </c>
      <c r="K1867" s="1">
        <v>43097</v>
      </c>
      <c r="L1867">
        <v>22120.95</v>
      </c>
    </row>
    <row r="1868" spans="1:12" x14ac:dyDescent="0.35">
      <c r="A1868" s="1">
        <v>43125</v>
      </c>
      <c r="B1868">
        <v>3630.15</v>
      </c>
      <c r="C1868" s="1">
        <v>43118</v>
      </c>
      <c r="D1868">
        <v>5494.83</v>
      </c>
      <c r="E1868" s="1">
        <v>43091</v>
      </c>
      <c r="F1868">
        <v>13072.79</v>
      </c>
      <c r="G1868" s="1">
        <v>43080</v>
      </c>
      <c r="H1868">
        <v>8438.8917500000007</v>
      </c>
      <c r="I1868" s="1">
        <v>43116</v>
      </c>
      <c r="J1868">
        <v>10520.4</v>
      </c>
      <c r="K1868" s="1">
        <v>43096</v>
      </c>
      <c r="L1868">
        <v>22201.27</v>
      </c>
    </row>
    <row r="1869" spans="1:12" x14ac:dyDescent="0.35">
      <c r="A1869" s="1">
        <v>43124</v>
      </c>
      <c r="B1869">
        <v>3643.22</v>
      </c>
      <c r="C1869" s="1">
        <v>43117</v>
      </c>
      <c r="D1869">
        <v>5493.99</v>
      </c>
      <c r="E1869" s="1">
        <v>43090</v>
      </c>
      <c r="F1869">
        <v>13109.74</v>
      </c>
      <c r="G1869" s="1">
        <v>43077</v>
      </c>
      <c r="H1869">
        <v>8426.0702700000002</v>
      </c>
      <c r="I1869" s="1">
        <v>43115</v>
      </c>
      <c r="J1869">
        <v>10467.200000000001</v>
      </c>
      <c r="K1869" s="1">
        <v>43091</v>
      </c>
      <c r="L1869">
        <v>22209.05</v>
      </c>
    </row>
    <row r="1870" spans="1:12" x14ac:dyDescent="0.35">
      <c r="A1870" s="1">
        <v>43123</v>
      </c>
      <c r="B1870">
        <v>3672.29</v>
      </c>
      <c r="C1870" s="1">
        <v>43116</v>
      </c>
      <c r="D1870">
        <v>5513.82</v>
      </c>
      <c r="E1870" s="1">
        <v>43089</v>
      </c>
      <c r="F1870">
        <v>13069.17</v>
      </c>
      <c r="G1870" s="1">
        <v>43076</v>
      </c>
      <c r="H1870">
        <v>8332.2633100000003</v>
      </c>
      <c r="I1870" s="1">
        <v>43112</v>
      </c>
      <c r="J1870">
        <v>10462.4</v>
      </c>
      <c r="K1870" s="1">
        <v>43090</v>
      </c>
      <c r="L1870">
        <v>22240.25</v>
      </c>
    </row>
    <row r="1871" spans="1:12" x14ac:dyDescent="0.35">
      <c r="A1871" s="1">
        <v>43122</v>
      </c>
      <c r="B1871">
        <v>3665.28</v>
      </c>
      <c r="C1871" s="1">
        <v>43115</v>
      </c>
      <c r="D1871">
        <v>5509.69</v>
      </c>
      <c r="E1871" s="1">
        <v>43088</v>
      </c>
      <c r="F1871">
        <v>13215.79</v>
      </c>
      <c r="G1871" s="1">
        <v>43075</v>
      </c>
      <c r="H1871">
        <v>8334.9951099999998</v>
      </c>
      <c r="I1871" s="1">
        <v>43111</v>
      </c>
      <c r="J1871">
        <v>10435.200000000001</v>
      </c>
      <c r="K1871" s="1">
        <v>43089</v>
      </c>
      <c r="L1871">
        <v>22109.65</v>
      </c>
    </row>
    <row r="1872" spans="1:12" x14ac:dyDescent="0.35">
      <c r="A1872" s="1">
        <v>43119</v>
      </c>
      <c r="B1872">
        <v>3649.07</v>
      </c>
      <c r="C1872" s="1">
        <v>43112</v>
      </c>
      <c r="D1872">
        <v>5517.06</v>
      </c>
      <c r="E1872" s="1">
        <v>43087</v>
      </c>
      <c r="F1872">
        <v>13312.3</v>
      </c>
      <c r="G1872" s="1">
        <v>43074</v>
      </c>
      <c r="H1872">
        <v>8339.7948099999994</v>
      </c>
      <c r="I1872" s="1">
        <v>43110</v>
      </c>
      <c r="J1872">
        <v>10428.299999999999</v>
      </c>
      <c r="K1872" s="1">
        <v>43088</v>
      </c>
      <c r="L1872">
        <v>22274.97</v>
      </c>
    </row>
    <row r="1873" spans="1:12" x14ac:dyDescent="0.35">
      <c r="A1873" s="1">
        <v>43118</v>
      </c>
      <c r="B1873">
        <v>3620.91</v>
      </c>
      <c r="C1873" s="1">
        <v>43111</v>
      </c>
      <c r="D1873">
        <v>5488.55</v>
      </c>
      <c r="E1873" s="1">
        <v>43084</v>
      </c>
      <c r="F1873">
        <v>13103.56</v>
      </c>
      <c r="G1873" s="1">
        <v>43073</v>
      </c>
      <c r="H1873">
        <v>8339.0626699999993</v>
      </c>
      <c r="I1873" s="1">
        <v>43109</v>
      </c>
      <c r="J1873">
        <v>10426.5</v>
      </c>
      <c r="K1873" s="1">
        <v>43087</v>
      </c>
      <c r="L1873">
        <v>22390.53</v>
      </c>
    </row>
    <row r="1874" spans="1:12" x14ac:dyDescent="0.35">
      <c r="A1874" s="1">
        <v>43117</v>
      </c>
      <c r="B1874">
        <v>3612.78</v>
      </c>
      <c r="C1874" s="1">
        <v>43110</v>
      </c>
      <c r="D1874">
        <v>5504.68</v>
      </c>
      <c r="E1874" s="1">
        <v>43083</v>
      </c>
      <c r="F1874">
        <v>13068.08</v>
      </c>
      <c r="G1874" s="1">
        <v>43070</v>
      </c>
      <c r="H1874">
        <v>8284.0265299999992</v>
      </c>
      <c r="I1874" s="1">
        <v>43108</v>
      </c>
      <c r="J1874">
        <v>10398.4</v>
      </c>
      <c r="K1874" s="1">
        <v>43084</v>
      </c>
      <c r="L1874">
        <v>22094.04</v>
      </c>
    </row>
    <row r="1875" spans="1:12" x14ac:dyDescent="0.35">
      <c r="A1875" s="1">
        <v>43116</v>
      </c>
      <c r="B1875">
        <v>3622.01</v>
      </c>
      <c r="C1875" s="1">
        <v>43109</v>
      </c>
      <c r="D1875">
        <v>5523.94</v>
      </c>
      <c r="E1875" s="1">
        <v>43082</v>
      </c>
      <c r="F1875">
        <v>13125.64</v>
      </c>
      <c r="G1875" s="1">
        <v>43069</v>
      </c>
      <c r="H1875">
        <v>8323.6048300000002</v>
      </c>
      <c r="I1875" s="1">
        <v>43105</v>
      </c>
      <c r="J1875">
        <v>10411.4</v>
      </c>
      <c r="K1875" s="1">
        <v>43083</v>
      </c>
      <c r="L1875">
        <v>22191.74</v>
      </c>
    </row>
    <row r="1876" spans="1:12" x14ac:dyDescent="0.35">
      <c r="A1876" s="1">
        <v>43115</v>
      </c>
      <c r="B1876">
        <v>3611.81</v>
      </c>
      <c r="C1876" s="1">
        <v>43108</v>
      </c>
      <c r="D1876">
        <v>5487.42</v>
      </c>
      <c r="E1876" s="1">
        <v>43081</v>
      </c>
      <c r="F1876">
        <v>13183.53</v>
      </c>
      <c r="G1876" s="1">
        <v>43068</v>
      </c>
      <c r="H1876">
        <v>8378.0370600000006</v>
      </c>
      <c r="I1876" s="1">
        <v>43104</v>
      </c>
      <c r="J1876">
        <v>10314.4</v>
      </c>
      <c r="K1876" s="1">
        <v>43082</v>
      </c>
      <c r="L1876">
        <v>22400.19</v>
      </c>
    </row>
    <row r="1877" spans="1:12" x14ac:dyDescent="0.35">
      <c r="A1877" s="1">
        <v>43112</v>
      </c>
      <c r="B1877">
        <v>3612.61</v>
      </c>
      <c r="C1877" s="1">
        <v>43105</v>
      </c>
      <c r="D1877">
        <v>5470.75</v>
      </c>
      <c r="E1877" s="1">
        <v>43080</v>
      </c>
      <c r="F1877">
        <v>13123.65</v>
      </c>
      <c r="G1877" s="1">
        <v>43067</v>
      </c>
      <c r="H1877">
        <v>8378.3036599999996</v>
      </c>
      <c r="I1877" s="1">
        <v>43103</v>
      </c>
      <c r="J1877">
        <v>10116</v>
      </c>
      <c r="K1877" s="1">
        <v>43081</v>
      </c>
      <c r="L1877">
        <v>22727.32</v>
      </c>
    </row>
    <row r="1878" spans="1:12" x14ac:dyDescent="0.35">
      <c r="A1878" s="1">
        <v>43111</v>
      </c>
      <c r="B1878">
        <v>3595.24</v>
      </c>
      <c r="C1878" s="1">
        <v>43104</v>
      </c>
      <c r="D1878">
        <v>5413.69</v>
      </c>
      <c r="E1878" s="1">
        <v>43077</v>
      </c>
      <c r="F1878">
        <v>13153.7</v>
      </c>
      <c r="G1878" s="1">
        <v>43066</v>
      </c>
      <c r="H1878">
        <v>8269.1987100000006</v>
      </c>
      <c r="I1878" s="1">
        <v>43102</v>
      </c>
      <c r="J1878">
        <v>10079.1</v>
      </c>
      <c r="K1878" s="1">
        <v>43080</v>
      </c>
      <c r="L1878">
        <v>22690.98</v>
      </c>
    </row>
    <row r="1879" spans="1:12" x14ac:dyDescent="0.35">
      <c r="A1879" s="1">
        <v>43110</v>
      </c>
      <c r="B1879">
        <v>3609.83</v>
      </c>
      <c r="C1879" s="1">
        <v>43103</v>
      </c>
      <c r="D1879">
        <v>5331.28</v>
      </c>
      <c r="E1879" s="1">
        <v>43076</v>
      </c>
      <c r="F1879">
        <v>13045.15</v>
      </c>
      <c r="G1879" s="1">
        <v>43063</v>
      </c>
      <c r="H1879">
        <v>8281.8008499999996</v>
      </c>
      <c r="I1879" s="1">
        <v>43098</v>
      </c>
      <c r="J1879">
        <v>10043.9</v>
      </c>
      <c r="K1879" s="1">
        <v>43077</v>
      </c>
      <c r="L1879">
        <v>22773.8</v>
      </c>
    </row>
    <row r="1880" spans="1:12" x14ac:dyDescent="0.35">
      <c r="A1880" s="1">
        <v>43109</v>
      </c>
      <c r="B1880">
        <v>3622.87</v>
      </c>
      <c r="C1880" s="1">
        <v>43102</v>
      </c>
      <c r="D1880">
        <v>5288.6</v>
      </c>
      <c r="E1880" s="1">
        <v>43075</v>
      </c>
      <c r="F1880">
        <v>12998.85</v>
      </c>
      <c r="G1880" s="1">
        <v>43062</v>
      </c>
      <c r="H1880">
        <v>8328.6672500000004</v>
      </c>
      <c r="I1880" s="1">
        <v>43097</v>
      </c>
      <c r="J1880">
        <v>10093.1</v>
      </c>
      <c r="K1880" s="1">
        <v>43076</v>
      </c>
      <c r="L1880">
        <v>22459.51</v>
      </c>
    </row>
    <row r="1881" spans="1:12" x14ac:dyDescent="0.35">
      <c r="A1881" s="1">
        <v>43108</v>
      </c>
      <c r="B1881">
        <v>3616.45</v>
      </c>
      <c r="C1881" s="1">
        <v>43098</v>
      </c>
      <c r="D1881">
        <v>5312.56</v>
      </c>
      <c r="E1881" s="1">
        <v>43074</v>
      </c>
      <c r="F1881">
        <v>13048.54</v>
      </c>
      <c r="G1881" s="1">
        <v>43061</v>
      </c>
      <c r="H1881">
        <v>8358.7415700000001</v>
      </c>
      <c r="I1881" s="1">
        <v>43096</v>
      </c>
      <c r="J1881">
        <v>10165.200000000001</v>
      </c>
      <c r="K1881" s="1">
        <v>43075</v>
      </c>
      <c r="L1881">
        <v>22307.279999999999</v>
      </c>
    </row>
    <row r="1882" spans="1:12" x14ac:dyDescent="0.35">
      <c r="A1882" s="1">
        <v>43105</v>
      </c>
      <c r="B1882">
        <v>3607.63</v>
      </c>
      <c r="C1882" s="1">
        <v>43097</v>
      </c>
      <c r="D1882">
        <v>5339.42</v>
      </c>
      <c r="E1882" s="1">
        <v>43073</v>
      </c>
      <c r="F1882">
        <v>13058.55</v>
      </c>
      <c r="G1882" s="1">
        <v>43060</v>
      </c>
      <c r="H1882">
        <v>8355.5079800000003</v>
      </c>
      <c r="I1882" s="1">
        <v>43091</v>
      </c>
      <c r="J1882">
        <v>10182</v>
      </c>
      <c r="K1882" s="1">
        <v>43074</v>
      </c>
      <c r="L1882">
        <v>22416.31</v>
      </c>
    </row>
    <row r="1883" spans="1:12" x14ac:dyDescent="0.35">
      <c r="A1883" s="1">
        <v>43104</v>
      </c>
      <c r="B1883">
        <v>3568.88</v>
      </c>
      <c r="C1883" s="1">
        <v>43096</v>
      </c>
      <c r="D1883">
        <v>5368.84</v>
      </c>
      <c r="E1883" s="1">
        <v>43070</v>
      </c>
      <c r="F1883">
        <v>12861.49</v>
      </c>
      <c r="G1883" s="1">
        <v>43059</v>
      </c>
      <c r="H1883">
        <v>8324.8585700000003</v>
      </c>
      <c r="I1883" s="1">
        <v>43090</v>
      </c>
      <c r="J1883">
        <v>10304.6</v>
      </c>
      <c r="K1883" s="1">
        <v>43073</v>
      </c>
      <c r="L1883">
        <v>22362.11</v>
      </c>
    </row>
    <row r="1884" spans="1:12" x14ac:dyDescent="0.35">
      <c r="A1884" s="1">
        <v>43103</v>
      </c>
      <c r="B1884">
        <v>3509.88</v>
      </c>
      <c r="C1884" s="1">
        <v>43091</v>
      </c>
      <c r="D1884">
        <v>5364.72</v>
      </c>
      <c r="E1884" s="1">
        <v>43069</v>
      </c>
      <c r="F1884">
        <v>13023.98</v>
      </c>
      <c r="G1884" s="1">
        <v>43056</v>
      </c>
      <c r="H1884">
        <v>8259.3323799999998</v>
      </c>
      <c r="I1884" s="1">
        <v>43089</v>
      </c>
      <c r="J1884">
        <v>10207.700000000001</v>
      </c>
      <c r="K1884" s="1">
        <v>43070</v>
      </c>
      <c r="L1884">
        <v>22106.1</v>
      </c>
    </row>
    <row r="1885" spans="1:12" x14ac:dyDescent="0.35">
      <c r="A1885" s="1">
        <v>43102</v>
      </c>
      <c r="B1885">
        <v>3490.19</v>
      </c>
      <c r="C1885" s="1">
        <v>43090</v>
      </c>
      <c r="D1885">
        <v>5385.97</v>
      </c>
      <c r="E1885" s="1">
        <v>43068</v>
      </c>
      <c r="F1885">
        <v>13061.87</v>
      </c>
      <c r="G1885" s="1">
        <v>43055</v>
      </c>
      <c r="H1885">
        <v>8277.2880700000005</v>
      </c>
      <c r="I1885" s="1">
        <v>43088</v>
      </c>
      <c r="J1885">
        <v>10234.299999999999</v>
      </c>
      <c r="K1885" s="1">
        <v>43069</v>
      </c>
      <c r="L1885">
        <v>22368.29</v>
      </c>
    </row>
    <row r="1886" spans="1:12" x14ac:dyDescent="0.35">
      <c r="A1886" s="1">
        <v>43098</v>
      </c>
      <c r="B1886">
        <v>3503.96</v>
      </c>
      <c r="C1886" s="1">
        <v>43089</v>
      </c>
      <c r="D1886">
        <v>5352.77</v>
      </c>
      <c r="E1886" s="1">
        <v>43067</v>
      </c>
      <c r="F1886">
        <v>13059.53</v>
      </c>
      <c r="G1886" s="1">
        <v>43054</v>
      </c>
      <c r="H1886">
        <v>8234.3517499999998</v>
      </c>
      <c r="I1886" s="1">
        <v>43087</v>
      </c>
      <c r="J1886">
        <v>10244.1</v>
      </c>
      <c r="K1886" s="1">
        <v>43068</v>
      </c>
      <c r="L1886">
        <v>22325.94</v>
      </c>
    </row>
    <row r="1887" spans="1:12" x14ac:dyDescent="0.35">
      <c r="A1887" s="1">
        <v>43097</v>
      </c>
      <c r="B1887">
        <v>3524.31</v>
      </c>
      <c r="C1887" s="1">
        <v>43088</v>
      </c>
      <c r="D1887">
        <v>5382.91</v>
      </c>
      <c r="E1887" s="1">
        <v>43066</v>
      </c>
      <c r="F1887">
        <v>13000.2</v>
      </c>
      <c r="G1887" s="1">
        <v>43053</v>
      </c>
      <c r="H1887">
        <v>8293.5529800000004</v>
      </c>
      <c r="I1887" s="1">
        <v>43084</v>
      </c>
      <c r="J1887">
        <v>10150.4</v>
      </c>
      <c r="K1887" s="1">
        <v>43067</v>
      </c>
      <c r="L1887">
        <v>22291.77</v>
      </c>
    </row>
    <row r="1888" spans="1:12" x14ac:dyDescent="0.35">
      <c r="A1888" s="1">
        <v>43096</v>
      </c>
      <c r="B1888">
        <v>3550.17</v>
      </c>
      <c r="C1888" s="1">
        <v>43087</v>
      </c>
      <c r="D1888">
        <v>5420.58</v>
      </c>
      <c r="E1888" s="1">
        <v>43063</v>
      </c>
      <c r="F1888">
        <v>13059.84</v>
      </c>
      <c r="G1888" s="1">
        <v>43052</v>
      </c>
      <c r="H1888">
        <v>8337.0706800000007</v>
      </c>
      <c r="I1888" s="1">
        <v>43083</v>
      </c>
      <c r="J1888">
        <v>10176.5</v>
      </c>
      <c r="K1888" s="1">
        <v>43066</v>
      </c>
      <c r="L1888">
        <v>22176.7</v>
      </c>
    </row>
    <row r="1889" spans="1:12" x14ac:dyDescent="0.35">
      <c r="A1889" s="1">
        <v>43091</v>
      </c>
      <c r="B1889">
        <v>3553.39</v>
      </c>
      <c r="C1889" s="1">
        <v>43084</v>
      </c>
      <c r="D1889">
        <v>5349.3</v>
      </c>
      <c r="E1889" s="1">
        <v>43062</v>
      </c>
      <c r="F1889">
        <v>13008.55</v>
      </c>
      <c r="G1889" s="1">
        <v>43049</v>
      </c>
      <c r="H1889">
        <v>8412.2397299999993</v>
      </c>
      <c r="I1889" s="1">
        <v>43082</v>
      </c>
      <c r="J1889">
        <v>10260.5</v>
      </c>
      <c r="K1889" s="1">
        <v>43063</v>
      </c>
      <c r="L1889">
        <v>22416.31</v>
      </c>
    </row>
    <row r="1890" spans="1:12" x14ac:dyDescent="0.35">
      <c r="A1890" s="1">
        <v>43090</v>
      </c>
      <c r="B1890">
        <v>3570.78</v>
      </c>
      <c r="C1890" s="1">
        <v>43083</v>
      </c>
      <c r="D1890">
        <v>5357.14</v>
      </c>
      <c r="E1890" s="1">
        <v>43061</v>
      </c>
      <c r="F1890">
        <v>13015.04</v>
      </c>
      <c r="G1890" s="1">
        <v>43048</v>
      </c>
      <c r="H1890">
        <v>8451.7607000000007</v>
      </c>
      <c r="I1890" s="1">
        <v>43081</v>
      </c>
      <c r="J1890">
        <v>10288.299999999999</v>
      </c>
      <c r="K1890" s="1">
        <v>43062</v>
      </c>
      <c r="L1890">
        <v>22397.78</v>
      </c>
    </row>
    <row r="1891" spans="1:12" x14ac:dyDescent="0.35">
      <c r="A1891" s="1">
        <v>43089</v>
      </c>
      <c r="B1891">
        <v>3552.65</v>
      </c>
      <c r="C1891" s="1">
        <v>43082</v>
      </c>
      <c r="D1891">
        <v>5399.45</v>
      </c>
      <c r="E1891" s="1">
        <v>43060</v>
      </c>
      <c r="F1891">
        <v>13167.54</v>
      </c>
      <c r="G1891" s="1">
        <v>43047</v>
      </c>
      <c r="H1891">
        <v>8514.2857700000004</v>
      </c>
      <c r="I1891" s="1">
        <v>43080</v>
      </c>
      <c r="J1891">
        <v>10306.9</v>
      </c>
      <c r="K1891" s="1">
        <v>43061</v>
      </c>
      <c r="L1891">
        <v>22315.24</v>
      </c>
    </row>
    <row r="1892" spans="1:12" x14ac:dyDescent="0.35">
      <c r="A1892" s="1">
        <v>43088</v>
      </c>
      <c r="B1892">
        <v>3582.22</v>
      </c>
      <c r="C1892" s="1">
        <v>43081</v>
      </c>
      <c r="D1892">
        <v>5427.19</v>
      </c>
      <c r="E1892" s="1">
        <v>43059</v>
      </c>
      <c r="F1892">
        <v>13058.66</v>
      </c>
      <c r="G1892" s="1">
        <v>43046</v>
      </c>
      <c r="H1892">
        <v>8532.7602599999991</v>
      </c>
      <c r="I1892" s="1">
        <v>43077</v>
      </c>
      <c r="J1892">
        <v>10321.1</v>
      </c>
      <c r="K1892" s="1">
        <v>43060</v>
      </c>
      <c r="L1892">
        <v>22326.44</v>
      </c>
    </row>
    <row r="1893" spans="1:12" x14ac:dyDescent="0.35">
      <c r="A1893" s="1">
        <v>43087</v>
      </c>
      <c r="B1893">
        <v>3609.42</v>
      </c>
      <c r="C1893" s="1">
        <v>43080</v>
      </c>
      <c r="D1893">
        <v>5386.83</v>
      </c>
      <c r="E1893" s="1">
        <v>43056</v>
      </c>
      <c r="F1893">
        <v>12993.73</v>
      </c>
      <c r="G1893" s="1">
        <v>43045</v>
      </c>
      <c r="H1893">
        <v>8565.2003600000007</v>
      </c>
      <c r="I1893" s="1">
        <v>43076</v>
      </c>
      <c r="J1893">
        <v>10262.6</v>
      </c>
      <c r="K1893" s="1">
        <v>43059</v>
      </c>
      <c r="L1893">
        <v>22189.25</v>
      </c>
    </row>
    <row r="1894" spans="1:12" x14ac:dyDescent="0.35">
      <c r="A1894" s="1">
        <v>43084</v>
      </c>
      <c r="B1894">
        <v>3560.53</v>
      </c>
      <c r="C1894" s="1">
        <v>43077</v>
      </c>
      <c r="D1894">
        <v>5399.09</v>
      </c>
      <c r="E1894" s="1">
        <v>43055</v>
      </c>
      <c r="F1894">
        <v>13047.22</v>
      </c>
      <c r="G1894" s="1">
        <v>43042</v>
      </c>
      <c r="H1894">
        <v>8511.6652599999998</v>
      </c>
      <c r="I1894" s="1">
        <v>43075</v>
      </c>
      <c r="J1894">
        <v>10184</v>
      </c>
      <c r="K1894" s="1">
        <v>43056</v>
      </c>
      <c r="L1894">
        <v>22092.95</v>
      </c>
    </row>
    <row r="1895" spans="1:12" x14ac:dyDescent="0.35">
      <c r="A1895" s="1">
        <v>43083</v>
      </c>
      <c r="B1895">
        <v>3556.22</v>
      </c>
      <c r="C1895" s="1">
        <v>43076</v>
      </c>
      <c r="D1895">
        <v>5383.86</v>
      </c>
      <c r="E1895" s="1">
        <v>43054</v>
      </c>
      <c r="F1895">
        <v>12976.37</v>
      </c>
      <c r="G1895" s="1">
        <v>43041</v>
      </c>
      <c r="H1895">
        <v>8462.1398900000004</v>
      </c>
      <c r="I1895" s="1">
        <v>43074</v>
      </c>
      <c r="J1895">
        <v>10211.299999999999</v>
      </c>
      <c r="K1895" s="1">
        <v>43055</v>
      </c>
      <c r="L1895">
        <v>22206.6</v>
      </c>
    </row>
    <row r="1896" spans="1:12" x14ac:dyDescent="0.35">
      <c r="A1896" s="1">
        <v>43082</v>
      </c>
      <c r="B1896">
        <v>3581.75</v>
      </c>
      <c r="C1896" s="1">
        <v>43075</v>
      </c>
      <c r="D1896">
        <v>5374.35</v>
      </c>
      <c r="E1896" s="1">
        <v>43053</v>
      </c>
      <c r="F1896">
        <v>13033.48</v>
      </c>
      <c r="G1896" s="1">
        <v>43040</v>
      </c>
      <c r="H1896">
        <v>8540.1896699999998</v>
      </c>
      <c r="I1896" s="1">
        <v>43073</v>
      </c>
      <c r="J1896">
        <v>10208.6</v>
      </c>
      <c r="K1896" s="1">
        <v>43054</v>
      </c>
      <c r="L1896">
        <v>22158.880000000001</v>
      </c>
    </row>
    <row r="1897" spans="1:12" x14ac:dyDescent="0.35">
      <c r="A1897" s="1">
        <v>43081</v>
      </c>
      <c r="B1897">
        <v>3600.35</v>
      </c>
      <c r="C1897" s="1">
        <v>43074</v>
      </c>
      <c r="D1897">
        <v>5375.53</v>
      </c>
      <c r="E1897" s="1">
        <v>43052</v>
      </c>
      <c r="F1897">
        <v>13074.42</v>
      </c>
      <c r="G1897" s="1">
        <v>43039</v>
      </c>
      <c r="H1897">
        <v>8538.4315600000009</v>
      </c>
      <c r="I1897" s="1">
        <v>43070</v>
      </c>
      <c r="J1897">
        <v>10085</v>
      </c>
      <c r="K1897" s="1">
        <v>43053</v>
      </c>
      <c r="L1897">
        <v>22297.08</v>
      </c>
    </row>
    <row r="1898" spans="1:12" x14ac:dyDescent="0.35">
      <c r="A1898" s="1">
        <v>43080</v>
      </c>
      <c r="B1898">
        <v>3582.21</v>
      </c>
      <c r="C1898" s="1">
        <v>43073</v>
      </c>
      <c r="D1898">
        <v>5389.29</v>
      </c>
      <c r="E1898" s="1">
        <v>43049</v>
      </c>
      <c r="F1898">
        <v>13127.47</v>
      </c>
      <c r="G1898" s="1">
        <v>43038</v>
      </c>
      <c r="H1898">
        <v>8494.7691400000003</v>
      </c>
      <c r="I1898" s="1">
        <v>43069</v>
      </c>
      <c r="J1898">
        <v>10211</v>
      </c>
      <c r="K1898" s="1">
        <v>43052</v>
      </c>
      <c r="L1898">
        <v>22437.64</v>
      </c>
    </row>
    <row r="1899" spans="1:12" x14ac:dyDescent="0.35">
      <c r="A1899" s="1">
        <v>43077</v>
      </c>
      <c r="B1899">
        <v>3591.45</v>
      </c>
      <c r="C1899" s="1">
        <v>43070</v>
      </c>
      <c r="D1899">
        <v>5316.89</v>
      </c>
      <c r="E1899" s="1">
        <v>43048</v>
      </c>
      <c r="F1899">
        <v>13182.56</v>
      </c>
      <c r="G1899" s="1">
        <v>43035</v>
      </c>
      <c r="H1899">
        <v>8489.9437699999999</v>
      </c>
      <c r="I1899" s="1">
        <v>43068</v>
      </c>
      <c r="J1899">
        <v>10267.700000000001</v>
      </c>
      <c r="K1899" s="1">
        <v>43049</v>
      </c>
      <c r="L1899">
        <v>22560.79</v>
      </c>
    </row>
    <row r="1900" spans="1:12" x14ac:dyDescent="0.35">
      <c r="A1900" s="1">
        <v>43076</v>
      </c>
      <c r="B1900">
        <v>3573.13</v>
      </c>
      <c r="C1900" s="1">
        <v>43069</v>
      </c>
      <c r="D1900">
        <v>5372.79</v>
      </c>
      <c r="E1900" s="1">
        <v>43047</v>
      </c>
      <c r="F1900">
        <v>13382.42</v>
      </c>
      <c r="G1900" s="1">
        <v>43034</v>
      </c>
      <c r="H1900">
        <v>8443.9414500000003</v>
      </c>
      <c r="I1900" s="1">
        <v>43067</v>
      </c>
      <c r="J1900">
        <v>10144.4</v>
      </c>
      <c r="K1900" s="1">
        <v>43048</v>
      </c>
      <c r="L1900">
        <v>22641.31</v>
      </c>
    </row>
    <row r="1901" spans="1:12" x14ac:dyDescent="0.35">
      <c r="A1901" s="1">
        <v>43075</v>
      </c>
      <c r="B1901">
        <v>3561.57</v>
      </c>
      <c r="C1901" s="1">
        <v>43068</v>
      </c>
      <c r="D1901">
        <v>5398.05</v>
      </c>
      <c r="E1901" s="1">
        <v>43046</v>
      </c>
      <c r="F1901">
        <v>13379.27</v>
      </c>
      <c r="G1901" s="1">
        <v>43033</v>
      </c>
      <c r="H1901">
        <v>8351.2393900000006</v>
      </c>
      <c r="I1901" s="1">
        <v>43066</v>
      </c>
      <c r="J1901">
        <v>10063.1</v>
      </c>
      <c r="K1901" s="1">
        <v>43047</v>
      </c>
      <c r="L1901">
        <v>22831.3</v>
      </c>
    </row>
    <row r="1902" spans="1:12" x14ac:dyDescent="0.35">
      <c r="A1902" s="1">
        <v>43074</v>
      </c>
      <c r="B1902">
        <v>3570.57</v>
      </c>
      <c r="C1902" s="1">
        <v>43067</v>
      </c>
      <c r="D1902">
        <v>5390.48</v>
      </c>
      <c r="E1902" s="1">
        <v>43045</v>
      </c>
      <c r="F1902">
        <v>13468.79</v>
      </c>
      <c r="G1902" s="1">
        <v>43032</v>
      </c>
      <c r="H1902">
        <v>8402.4183799999992</v>
      </c>
      <c r="I1902" s="1">
        <v>43063</v>
      </c>
      <c r="J1902">
        <v>10053.5</v>
      </c>
      <c r="K1902" s="1">
        <v>43046</v>
      </c>
      <c r="L1902">
        <v>22962.59</v>
      </c>
    </row>
    <row r="1903" spans="1:12" x14ac:dyDescent="0.35">
      <c r="A1903" s="1">
        <v>43073</v>
      </c>
      <c r="B1903">
        <v>3576.22</v>
      </c>
      <c r="C1903" s="1">
        <v>43066</v>
      </c>
      <c r="D1903">
        <v>5360.09</v>
      </c>
      <c r="E1903" s="1">
        <v>43042</v>
      </c>
      <c r="F1903">
        <v>13478.86</v>
      </c>
      <c r="G1903" s="1">
        <v>43031</v>
      </c>
      <c r="H1903">
        <v>8456.5977000000003</v>
      </c>
      <c r="I1903" s="1">
        <v>43062</v>
      </c>
      <c r="J1903">
        <v>10032.799999999999</v>
      </c>
      <c r="K1903" s="1">
        <v>43045</v>
      </c>
      <c r="L1903">
        <v>23002.85</v>
      </c>
    </row>
    <row r="1904" spans="1:12" x14ac:dyDescent="0.35">
      <c r="A1904" s="1">
        <v>43070</v>
      </c>
      <c r="B1904">
        <v>3527.55</v>
      </c>
      <c r="C1904" s="1">
        <v>43063</v>
      </c>
      <c r="D1904">
        <v>5390.46</v>
      </c>
      <c r="E1904" s="1">
        <v>43041</v>
      </c>
      <c r="F1904">
        <v>13440.93</v>
      </c>
      <c r="G1904" s="1">
        <v>43028</v>
      </c>
      <c r="H1904">
        <v>8422.1359599999996</v>
      </c>
      <c r="I1904" s="1">
        <v>43061</v>
      </c>
      <c r="J1904">
        <v>10013.9</v>
      </c>
      <c r="K1904" s="1">
        <v>43042</v>
      </c>
      <c r="L1904">
        <v>23014.13</v>
      </c>
    </row>
    <row r="1905" spans="1:12" x14ac:dyDescent="0.35">
      <c r="A1905" s="1">
        <v>43069</v>
      </c>
      <c r="B1905">
        <v>3569.93</v>
      </c>
      <c r="C1905" s="1">
        <v>43062</v>
      </c>
      <c r="D1905">
        <v>5379.54</v>
      </c>
      <c r="E1905" s="1">
        <v>43040</v>
      </c>
      <c r="F1905">
        <v>13465.51</v>
      </c>
      <c r="G1905" s="1">
        <v>43027</v>
      </c>
      <c r="H1905">
        <v>8366.5612600000004</v>
      </c>
      <c r="I1905" s="1">
        <v>43060</v>
      </c>
      <c r="J1905">
        <v>9993.4</v>
      </c>
      <c r="K1905" s="1">
        <v>43041</v>
      </c>
      <c r="L1905">
        <v>23046.05</v>
      </c>
    </row>
    <row r="1906" spans="1:12" x14ac:dyDescent="0.35">
      <c r="A1906" s="1">
        <v>43068</v>
      </c>
      <c r="B1906">
        <v>3589.91</v>
      </c>
      <c r="C1906" s="1">
        <v>43061</v>
      </c>
      <c r="D1906">
        <v>5352.76</v>
      </c>
      <c r="E1906" s="1">
        <v>43038</v>
      </c>
      <c r="F1906">
        <v>13229.57</v>
      </c>
      <c r="G1906" s="1">
        <v>43026</v>
      </c>
      <c r="H1906">
        <v>8441.3335200000001</v>
      </c>
      <c r="I1906" s="1">
        <v>43059</v>
      </c>
      <c r="J1906">
        <v>10025.5</v>
      </c>
      <c r="K1906" s="1">
        <v>43040</v>
      </c>
      <c r="L1906">
        <v>22991.99</v>
      </c>
    </row>
    <row r="1907" spans="1:12" x14ac:dyDescent="0.35">
      <c r="A1907" s="1">
        <v>43067</v>
      </c>
      <c r="B1907">
        <v>3583.49</v>
      </c>
      <c r="C1907" s="1">
        <v>43060</v>
      </c>
      <c r="D1907">
        <v>5366.15</v>
      </c>
      <c r="E1907" s="1">
        <v>43035</v>
      </c>
      <c r="F1907">
        <v>13217.54</v>
      </c>
      <c r="G1907" s="1">
        <v>43025</v>
      </c>
      <c r="H1907">
        <v>8433.1350600000005</v>
      </c>
      <c r="I1907" s="1">
        <v>43056</v>
      </c>
      <c r="J1907">
        <v>10010.4</v>
      </c>
      <c r="K1907" s="1">
        <v>43039</v>
      </c>
      <c r="L1907">
        <v>22793.69</v>
      </c>
    </row>
    <row r="1908" spans="1:12" x14ac:dyDescent="0.35">
      <c r="A1908" s="1">
        <v>43066</v>
      </c>
      <c r="B1908">
        <v>3564.02</v>
      </c>
      <c r="C1908" s="1">
        <v>43059</v>
      </c>
      <c r="D1908">
        <v>5340.45</v>
      </c>
      <c r="E1908" s="1">
        <v>43034</v>
      </c>
      <c r="F1908">
        <v>13133.28</v>
      </c>
      <c r="G1908" s="1">
        <v>43024</v>
      </c>
      <c r="H1908">
        <v>8466.3276999999998</v>
      </c>
      <c r="I1908" s="1">
        <v>43055</v>
      </c>
      <c r="J1908">
        <v>10088.700000000001</v>
      </c>
      <c r="K1908" s="1">
        <v>43038</v>
      </c>
      <c r="L1908">
        <v>22752.89</v>
      </c>
    </row>
    <row r="1909" spans="1:12" x14ac:dyDescent="0.35">
      <c r="A1909" s="1">
        <v>43063</v>
      </c>
      <c r="B1909">
        <v>3581.23</v>
      </c>
      <c r="C1909" s="1">
        <v>43056</v>
      </c>
      <c r="D1909">
        <v>5319.17</v>
      </c>
      <c r="E1909" s="1">
        <v>43033</v>
      </c>
      <c r="F1909">
        <v>12953.41</v>
      </c>
      <c r="G1909" s="1">
        <v>43021</v>
      </c>
      <c r="H1909">
        <v>8472.6710999999996</v>
      </c>
      <c r="I1909" s="1">
        <v>43054</v>
      </c>
      <c r="J1909">
        <v>10013.9</v>
      </c>
      <c r="K1909" s="1">
        <v>43035</v>
      </c>
      <c r="L1909">
        <v>22665.03</v>
      </c>
    </row>
    <row r="1910" spans="1:12" x14ac:dyDescent="0.35">
      <c r="A1910" s="1">
        <v>43062</v>
      </c>
      <c r="B1910">
        <v>3572.07</v>
      </c>
      <c r="C1910" s="1">
        <v>43055</v>
      </c>
      <c r="D1910">
        <v>5336.39</v>
      </c>
      <c r="E1910" s="1">
        <v>43032</v>
      </c>
      <c r="F1910">
        <v>13013.19</v>
      </c>
      <c r="G1910" s="1">
        <v>43020</v>
      </c>
      <c r="H1910">
        <v>8457.7533800000001</v>
      </c>
      <c r="I1910" s="1">
        <v>43053</v>
      </c>
      <c r="J1910">
        <v>9990.4</v>
      </c>
      <c r="K1910" s="1">
        <v>43034</v>
      </c>
      <c r="L1910">
        <v>22807.42</v>
      </c>
    </row>
    <row r="1911" spans="1:12" x14ac:dyDescent="0.35">
      <c r="A1911" s="1">
        <v>43061</v>
      </c>
      <c r="B1911">
        <v>3562.65</v>
      </c>
      <c r="C1911" s="1">
        <v>43054</v>
      </c>
      <c r="D1911">
        <v>5301.25</v>
      </c>
      <c r="E1911" s="1">
        <v>43031</v>
      </c>
      <c r="F1911">
        <v>13003.14</v>
      </c>
      <c r="G1911" s="1">
        <v>43019</v>
      </c>
      <c r="H1911">
        <v>8401.9216500000002</v>
      </c>
      <c r="I1911" s="1">
        <v>43052</v>
      </c>
      <c r="J1911">
        <v>10049.9</v>
      </c>
      <c r="K1911" s="1">
        <v>43033</v>
      </c>
      <c r="L1911">
        <v>22446.39</v>
      </c>
    </row>
    <row r="1912" spans="1:12" x14ac:dyDescent="0.35">
      <c r="A1912" s="1">
        <v>43060</v>
      </c>
      <c r="B1912">
        <v>3579.32</v>
      </c>
      <c r="C1912" s="1">
        <v>43053</v>
      </c>
      <c r="D1912">
        <v>5315.58</v>
      </c>
      <c r="E1912" s="1">
        <v>43028</v>
      </c>
      <c r="F1912">
        <v>12991.28</v>
      </c>
      <c r="G1912" s="1">
        <v>43018</v>
      </c>
      <c r="H1912">
        <v>8437.5992800000004</v>
      </c>
      <c r="I1912" s="1">
        <v>43049</v>
      </c>
      <c r="J1912">
        <v>10092.700000000001</v>
      </c>
      <c r="K1912" s="1">
        <v>43032</v>
      </c>
      <c r="L1912">
        <v>22629.57</v>
      </c>
    </row>
    <row r="1913" spans="1:12" x14ac:dyDescent="0.35">
      <c r="A1913" s="1">
        <v>43059</v>
      </c>
      <c r="B1913">
        <v>3561.41</v>
      </c>
      <c r="C1913" s="1">
        <v>43052</v>
      </c>
      <c r="D1913">
        <v>5341.63</v>
      </c>
      <c r="E1913" s="1">
        <v>43027</v>
      </c>
      <c r="F1913">
        <v>12990.1</v>
      </c>
      <c r="G1913" s="1">
        <v>43017</v>
      </c>
      <c r="H1913">
        <v>8399.2522599999993</v>
      </c>
      <c r="I1913" s="1">
        <v>43048</v>
      </c>
      <c r="J1913">
        <v>10141.1</v>
      </c>
      <c r="K1913" s="1">
        <v>43031</v>
      </c>
      <c r="L1913">
        <v>22379.16</v>
      </c>
    </row>
    <row r="1914" spans="1:12" x14ac:dyDescent="0.35">
      <c r="A1914" s="1">
        <v>43056</v>
      </c>
      <c r="B1914">
        <v>3547.46</v>
      </c>
      <c r="C1914" s="1">
        <v>43049</v>
      </c>
      <c r="D1914">
        <v>5380.72</v>
      </c>
      <c r="E1914" s="1">
        <v>43026</v>
      </c>
      <c r="F1914">
        <v>13043.03</v>
      </c>
      <c r="G1914" s="1">
        <v>43014</v>
      </c>
      <c r="H1914">
        <v>8376.9249299999992</v>
      </c>
      <c r="I1914" s="1">
        <v>43047</v>
      </c>
      <c r="J1914">
        <v>10228.700000000001</v>
      </c>
      <c r="K1914" s="1">
        <v>43028</v>
      </c>
      <c r="L1914">
        <v>22346.85</v>
      </c>
    </row>
    <row r="1915" spans="1:12" x14ac:dyDescent="0.35">
      <c r="A1915" s="1">
        <v>43055</v>
      </c>
      <c r="B1915">
        <v>3564.8</v>
      </c>
      <c r="C1915" s="1">
        <v>43048</v>
      </c>
      <c r="D1915">
        <v>5407.75</v>
      </c>
      <c r="E1915" s="1">
        <v>43025</v>
      </c>
      <c r="F1915">
        <v>12995.06</v>
      </c>
      <c r="G1915" s="1">
        <v>43013</v>
      </c>
      <c r="H1915">
        <v>8421.7218099999991</v>
      </c>
      <c r="I1915" s="1">
        <v>43046</v>
      </c>
      <c r="J1915">
        <v>10230.700000000001</v>
      </c>
      <c r="K1915" s="1">
        <v>43027</v>
      </c>
      <c r="L1915">
        <v>22133.21</v>
      </c>
    </row>
    <row r="1916" spans="1:12" x14ac:dyDescent="0.35">
      <c r="A1916" s="1">
        <v>43054</v>
      </c>
      <c r="B1916">
        <v>3545.72</v>
      </c>
      <c r="C1916" s="1">
        <v>43047</v>
      </c>
      <c r="D1916">
        <v>5471.43</v>
      </c>
      <c r="E1916" s="1">
        <v>43024</v>
      </c>
      <c r="F1916">
        <v>13003.7</v>
      </c>
      <c r="G1916" s="1">
        <v>43012</v>
      </c>
      <c r="H1916">
        <v>8426.18289</v>
      </c>
      <c r="I1916" s="1">
        <v>43045</v>
      </c>
      <c r="J1916">
        <v>10316.5</v>
      </c>
      <c r="K1916" s="1">
        <v>43026</v>
      </c>
      <c r="L1916">
        <v>22354.69</v>
      </c>
    </row>
    <row r="1917" spans="1:12" x14ac:dyDescent="0.35">
      <c r="A1917" s="1">
        <v>43053</v>
      </c>
      <c r="B1917">
        <v>3556.38</v>
      </c>
      <c r="C1917" s="1">
        <v>43046</v>
      </c>
      <c r="D1917">
        <v>5480.64</v>
      </c>
      <c r="E1917" s="1">
        <v>43021</v>
      </c>
      <c r="F1917">
        <v>12991.87</v>
      </c>
      <c r="G1917" s="1">
        <v>43011</v>
      </c>
      <c r="H1917">
        <v>8418.0652800000007</v>
      </c>
      <c r="I1917" s="1">
        <v>43042</v>
      </c>
      <c r="J1917">
        <v>10357.799999999999</v>
      </c>
      <c r="K1917" s="1">
        <v>43025</v>
      </c>
      <c r="L1917">
        <v>22337.78</v>
      </c>
    </row>
    <row r="1918" spans="1:12" x14ac:dyDescent="0.35">
      <c r="A1918" s="1">
        <v>43052</v>
      </c>
      <c r="B1918">
        <v>3574.52</v>
      </c>
      <c r="C1918" s="1">
        <v>43045</v>
      </c>
      <c r="D1918">
        <v>5507.25</v>
      </c>
      <c r="E1918" s="1">
        <v>43020</v>
      </c>
      <c r="F1918">
        <v>12982.89</v>
      </c>
      <c r="G1918" s="1">
        <v>43010</v>
      </c>
      <c r="H1918">
        <v>8408.0493299999998</v>
      </c>
      <c r="I1918" s="1">
        <v>43041</v>
      </c>
      <c r="J1918">
        <v>10457.799999999999</v>
      </c>
      <c r="K1918" s="1">
        <v>43024</v>
      </c>
      <c r="L1918">
        <v>22428.31</v>
      </c>
    </row>
    <row r="1919" spans="1:12" x14ac:dyDescent="0.35">
      <c r="A1919" s="1">
        <v>43049</v>
      </c>
      <c r="B1919">
        <v>3593.76</v>
      </c>
      <c r="C1919" s="1">
        <v>43042</v>
      </c>
      <c r="D1919">
        <v>5517.97</v>
      </c>
      <c r="E1919" s="1">
        <v>43019</v>
      </c>
      <c r="F1919">
        <v>12970.68</v>
      </c>
      <c r="G1919" s="1">
        <v>43007</v>
      </c>
      <c r="H1919">
        <v>8367.2049599999991</v>
      </c>
      <c r="I1919" s="1">
        <v>43040</v>
      </c>
      <c r="J1919">
        <v>10506.7</v>
      </c>
      <c r="K1919" s="1">
        <v>43021</v>
      </c>
      <c r="L1919">
        <v>22413.54</v>
      </c>
    </row>
    <row r="1920" spans="1:12" x14ac:dyDescent="0.35">
      <c r="A1920" s="1">
        <v>43048</v>
      </c>
      <c r="B1920">
        <v>3612.5</v>
      </c>
      <c r="C1920" s="1">
        <v>43041</v>
      </c>
      <c r="D1920">
        <v>5510.5</v>
      </c>
      <c r="E1920" s="1">
        <v>43018</v>
      </c>
      <c r="F1920">
        <v>12949.25</v>
      </c>
      <c r="G1920" s="1">
        <v>43006</v>
      </c>
      <c r="H1920">
        <v>8351.2710399999996</v>
      </c>
      <c r="I1920" s="1">
        <v>43039</v>
      </c>
      <c r="J1920">
        <v>10523.5</v>
      </c>
      <c r="K1920" s="1">
        <v>43020</v>
      </c>
      <c r="L1920">
        <v>22398.51</v>
      </c>
    </row>
    <row r="1921" spans="1:12" x14ac:dyDescent="0.35">
      <c r="A1921" s="1">
        <v>43047</v>
      </c>
      <c r="B1921">
        <v>3655.04</v>
      </c>
      <c r="C1921" s="1">
        <v>43040</v>
      </c>
      <c r="D1921">
        <v>5514.29</v>
      </c>
      <c r="E1921" s="1">
        <v>43017</v>
      </c>
      <c r="F1921">
        <v>12976.4</v>
      </c>
      <c r="G1921" s="1">
        <v>43005</v>
      </c>
      <c r="H1921">
        <v>8340.9610699999994</v>
      </c>
      <c r="I1921" s="1">
        <v>43038</v>
      </c>
      <c r="J1921">
        <v>10446</v>
      </c>
      <c r="K1921" s="1">
        <v>43019</v>
      </c>
      <c r="L1921">
        <v>22552.21</v>
      </c>
    </row>
    <row r="1922" spans="1:12" x14ac:dyDescent="0.35">
      <c r="A1922" s="1">
        <v>43046</v>
      </c>
      <c r="B1922">
        <v>3658.77</v>
      </c>
      <c r="C1922" s="1">
        <v>43039</v>
      </c>
      <c r="D1922">
        <v>5503.29</v>
      </c>
      <c r="E1922" s="1">
        <v>43014</v>
      </c>
      <c r="F1922">
        <v>12955.94</v>
      </c>
      <c r="G1922" s="1">
        <v>43004</v>
      </c>
      <c r="H1922">
        <v>8306.0651600000001</v>
      </c>
      <c r="I1922" s="1">
        <v>43035</v>
      </c>
      <c r="J1922">
        <v>10197.5</v>
      </c>
      <c r="K1922" s="1">
        <v>43018</v>
      </c>
      <c r="L1922">
        <v>22335.91</v>
      </c>
    </row>
    <row r="1923" spans="1:12" x14ac:dyDescent="0.35">
      <c r="A1923" s="1">
        <v>43045</v>
      </c>
      <c r="B1923">
        <v>3682.36</v>
      </c>
      <c r="C1923" s="1">
        <v>43038</v>
      </c>
      <c r="D1923">
        <v>5493.63</v>
      </c>
      <c r="E1923" s="1">
        <v>43013</v>
      </c>
      <c r="F1923">
        <v>12968.05</v>
      </c>
      <c r="G1923" s="1">
        <v>43003</v>
      </c>
      <c r="H1923">
        <v>8293.0819499999998</v>
      </c>
      <c r="I1923" s="1">
        <v>43034</v>
      </c>
      <c r="J1923">
        <v>10347.799999999999</v>
      </c>
      <c r="K1923" s="1">
        <v>43017</v>
      </c>
      <c r="L1923">
        <v>22476.75</v>
      </c>
    </row>
    <row r="1924" spans="1:12" x14ac:dyDescent="0.35">
      <c r="A1924" s="1">
        <v>43042</v>
      </c>
      <c r="B1924">
        <v>3689.96</v>
      </c>
      <c r="C1924" s="1">
        <v>43035</v>
      </c>
      <c r="D1924">
        <v>5494.13</v>
      </c>
      <c r="E1924" s="1">
        <v>43012</v>
      </c>
      <c r="F1924">
        <v>12970.52</v>
      </c>
      <c r="G1924" s="1">
        <v>43000</v>
      </c>
      <c r="H1924">
        <v>8280.6998100000001</v>
      </c>
      <c r="I1924" s="1">
        <v>43033</v>
      </c>
      <c r="J1924">
        <v>10153.299999999999</v>
      </c>
      <c r="K1924" s="1">
        <v>43014</v>
      </c>
      <c r="L1924">
        <v>22392.31</v>
      </c>
    </row>
    <row r="1925" spans="1:12" x14ac:dyDescent="0.35">
      <c r="A1925" s="1">
        <v>43041</v>
      </c>
      <c r="B1925">
        <v>3688.8</v>
      </c>
      <c r="C1925" s="1">
        <v>43034</v>
      </c>
      <c r="D1925">
        <v>5455.4</v>
      </c>
      <c r="E1925" s="1">
        <v>43010</v>
      </c>
      <c r="F1925">
        <v>12902.65</v>
      </c>
      <c r="G1925" s="1">
        <v>42999</v>
      </c>
      <c r="H1925">
        <v>8262.8155999999999</v>
      </c>
      <c r="I1925" s="1">
        <v>43032</v>
      </c>
      <c r="J1925">
        <v>10205.700000000001</v>
      </c>
      <c r="K1925" s="1">
        <v>43013</v>
      </c>
      <c r="L1925">
        <v>22566.03</v>
      </c>
    </row>
    <row r="1926" spans="1:12" x14ac:dyDescent="0.35">
      <c r="A1926" s="1">
        <v>43040</v>
      </c>
      <c r="B1926">
        <v>3697.4</v>
      </c>
      <c r="C1926" s="1">
        <v>43033</v>
      </c>
      <c r="D1926">
        <v>5374.89</v>
      </c>
      <c r="E1926" s="1">
        <v>43007</v>
      </c>
      <c r="F1926">
        <v>12828.86</v>
      </c>
      <c r="G1926" s="1">
        <v>42998</v>
      </c>
      <c r="H1926">
        <v>8227.8927800000001</v>
      </c>
      <c r="I1926" s="1">
        <v>43031</v>
      </c>
      <c r="J1926">
        <v>10161.4</v>
      </c>
      <c r="K1926" s="1">
        <v>43012</v>
      </c>
      <c r="L1926">
        <v>22456.38</v>
      </c>
    </row>
    <row r="1927" spans="1:12" x14ac:dyDescent="0.35">
      <c r="A1927" s="1">
        <v>43039</v>
      </c>
      <c r="B1927">
        <v>3673.95</v>
      </c>
      <c r="C1927" s="1">
        <v>43032</v>
      </c>
      <c r="D1927">
        <v>5394.8</v>
      </c>
      <c r="E1927" s="1">
        <v>43006</v>
      </c>
      <c r="F1927">
        <v>12704.65</v>
      </c>
      <c r="G1927" s="1">
        <v>42997</v>
      </c>
      <c r="H1927">
        <v>8195.7447200000006</v>
      </c>
      <c r="I1927" s="1">
        <v>43028</v>
      </c>
      <c r="J1927">
        <v>10222.700000000001</v>
      </c>
      <c r="K1927" s="1">
        <v>43011</v>
      </c>
      <c r="L1927">
        <v>22784.82</v>
      </c>
    </row>
    <row r="1928" spans="1:12" x14ac:dyDescent="0.35">
      <c r="A1928" s="1">
        <v>43038</v>
      </c>
      <c r="B1928">
        <v>3662.18</v>
      </c>
      <c r="C1928" s="1">
        <v>43031</v>
      </c>
      <c r="D1928">
        <v>5386.81</v>
      </c>
      <c r="E1928" s="1">
        <v>43005</v>
      </c>
      <c r="F1928">
        <v>12657.41</v>
      </c>
      <c r="G1928" s="1">
        <v>42996</v>
      </c>
      <c r="H1928">
        <v>8195.3433499999992</v>
      </c>
      <c r="I1928" s="1">
        <v>43027</v>
      </c>
      <c r="J1928">
        <v>10197.5</v>
      </c>
      <c r="K1928" s="1">
        <v>43010</v>
      </c>
      <c r="L1928">
        <v>22811.19</v>
      </c>
    </row>
    <row r="1929" spans="1:12" x14ac:dyDescent="0.35">
      <c r="A1929" s="1">
        <v>43035</v>
      </c>
      <c r="B1929">
        <v>3652.23</v>
      </c>
      <c r="C1929" s="1">
        <v>43028</v>
      </c>
      <c r="D1929">
        <v>5372.38</v>
      </c>
      <c r="E1929" s="1">
        <v>43004</v>
      </c>
      <c r="F1929">
        <v>12605.2</v>
      </c>
      <c r="G1929" s="1">
        <v>42993</v>
      </c>
      <c r="H1929">
        <v>8198.2719799999995</v>
      </c>
      <c r="I1929" s="1">
        <v>43026</v>
      </c>
      <c r="J1929">
        <v>10273.4</v>
      </c>
      <c r="K1929" s="1">
        <v>43007</v>
      </c>
      <c r="L1929">
        <v>22696.32</v>
      </c>
    </row>
    <row r="1930" spans="1:12" x14ac:dyDescent="0.35">
      <c r="A1930" s="1">
        <v>43034</v>
      </c>
      <c r="B1930">
        <v>3637.2</v>
      </c>
      <c r="C1930" s="1">
        <v>43027</v>
      </c>
      <c r="D1930">
        <v>5368.29</v>
      </c>
      <c r="E1930" s="1">
        <v>43003</v>
      </c>
      <c r="F1930">
        <v>12594.81</v>
      </c>
      <c r="G1930" s="1">
        <v>42992</v>
      </c>
      <c r="H1930">
        <v>8218.0567100000007</v>
      </c>
      <c r="I1930" s="1">
        <v>43025</v>
      </c>
      <c r="J1930">
        <v>10216.799999999999</v>
      </c>
      <c r="K1930" s="1">
        <v>43006</v>
      </c>
      <c r="L1930">
        <v>22587.67</v>
      </c>
    </row>
    <row r="1931" spans="1:12" x14ac:dyDescent="0.35">
      <c r="A1931" s="1">
        <v>43033</v>
      </c>
      <c r="B1931">
        <v>3591.46</v>
      </c>
      <c r="C1931" s="1">
        <v>43026</v>
      </c>
      <c r="D1931">
        <v>5383.81</v>
      </c>
      <c r="E1931" s="1">
        <v>43000</v>
      </c>
      <c r="F1931">
        <v>12592.35</v>
      </c>
      <c r="G1931" s="1">
        <v>42991</v>
      </c>
      <c r="H1931">
        <v>8200.2187900000008</v>
      </c>
      <c r="I1931" s="1">
        <v>43024</v>
      </c>
      <c r="J1931">
        <v>10181.4</v>
      </c>
      <c r="K1931" s="1">
        <v>43005</v>
      </c>
      <c r="L1931">
        <v>22622.19</v>
      </c>
    </row>
    <row r="1932" spans="1:12" x14ac:dyDescent="0.35">
      <c r="A1932" s="1">
        <v>43032</v>
      </c>
      <c r="B1932">
        <v>3610.69</v>
      </c>
      <c r="C1932" s="1">
        <v>43025</v>
      </c>
      <c r="D1932">
        <v>5361.37</v>
      </c>
      <c r="E1932" s="1">
        <v>42999</v>
      </c>
      <c r="F1932">
        <v>12600.03</v>
      </c>
      <c r="G1932" s="1">
        <v>42990</v>
      </c>
      <c r="H1932">
        <v>8211.7160500000009</v>
      </c>
      <c r="I1932" s="1">
        <v>43021</v>
      </c>
      <c r="J1932">
        <v>10258</v>
      </c>
      <c r="K1932" s="1">
        <v>43004</v>
      </c>
      <c r="L1932">
        <v>22430.65</v>
      </c>
    </row>
    <row r="1933" spans="1:12" x14ac:dyDescent="0.35">
      <c r="A1933" s="1">
        <v>43031</v>
      </c>
      <c r="B1933">
        <v>3608.87</v>
      </c>
      <c r="C1933" s="1">
        <v>43024</v>
      </c>
      <c r="D1933">
        <v>5362.88</v>
      </c>
      <c r="E1933" s="1">
        <v>42998</v>
      </c>
      <c r="F1933">
        <v>12569.17</v>
      </c>
      <c r="G1933" s="1">
        <v>42989</v>
      </c>
      <c r="H1933">
        <v>8162.3811699999997</v>
      </c>
      <c r="I1933" s="1">
        <v>43020</v>
      </c>
      <c r="J1933">
        <v>10275.9</v>
      </c>
      <c r="K1933" s="1">
        <v>43003</v>
      </c>
      <c r="L1933">
        <v>22389.57</v>
      </c>
    </row>
    <row r="1934" spans="1:12" x14ac:dyDescent="0.35">
      <c r="A1934" s="1">
        <v>43028</v>
      </c>
      <c r="B1934">
        <v>3605.09</v>
      </c>
      <c r="C1934" s="1">
        <v>43021</v>
      </c>
      <c r="D1934">
        <v>5351.74</v>
      </c>
      <c r="E1934" s="1">
        <v>42997</v>
      </c>
      <c r="F1934">
        <v>12561.79</v>
      </c>
      <c r="G1934" s="1">
        <v>42986</v>
      </c>
      <c r="H1934">
        <v>8090.4530800000002</v>
      </c>
      <c r="I1934" s="1">
        <v>43019</v>
      </c>
      <c r="J1934">
        <v>10278.4</v>
      </c>
      <c r="K1934" s="1">
        <v>43000</v>
      </c>
      <c r="L1934">
        <v>22530.83</v>
      </c>
    </row>
    <row r="1935" spans="1:12" x14ac:dyDescent="0.35">
      <c r="A1935" s="1">
        <v>43027</v>
      </c>
      <c r="B1935">
        <v>3602.08</v>
      </c>
      <c r="C1935" s="1">
        <v>43020</v>
      </c>
      <c r="D1935">
        <v>5360.81</v>
      </c>
      <c r="E1935" s="1">
        <v>42996</v>
      </c>
      <c r="F1935">
        <v>12559.39</v>
      </c>
      <c r="G1935" s="1">
        <v>42985</v>
      </c>
      <c r="H1935">
        <v>8064.5529699999997</v>
      </c>
      <c r="I1935" s="1">
        <v>43018</v>
      </c>
      <c r="J1935">
        <v>10142.299999999999</v>
      </c>
      <c r="K1935" s="1">
        <v>42999</v>
      </c>
      <c r="L1935">
        <v>22491.73</v>
      </c>
    </row>
    <row r="1936" spans="1:12" x14ac:dyDescent="0.35">
      <c r="A1936" s="1">
        <v>43026</v>
      </c>
      <c r="B1936">
        <v>3619.65</v>
      </c>
      <c r="C1936" s="1">
        <v>43019</v>
      </c>
      <c r="D1936">
        <v>5362.41</v>
      </c>
      <c r="E1936" s="1">
        <v>42993</v>
      </c>
      <c r="F1936">
        <v>12518.81</v>
      </c>
      <c r="G1936" s="1">
        <v>42984</v>
      </c>
      <c r="H1936">
        <v>8045.33313</v>
      </c>
      <c r="I1936" s="1">
        <v>43017</v>
      </c>
      <c r="J1936">
        <v>10236</v>
      </c>
      <c r="K1936" s="1">
        <v>42998</v>
      </c>
      <c r="L1936">
        <v>22355.58</v>
      </c>
    </row>
    <row r="1937" spans="1:12" x14ac:dyDescent="0.35">
      <c r="A1937" s="1">
        <v>43025</v>
      </c>
      <c r="B1937">
        <v>3607.77</v>
      </c>
      <c r="C1937" s="1">
        <v>43018</v>
      </c>
      <c r="D1937">
        <v>5363.65</v>
      </c>
      <c r="E1937" s="1">
        <v>42992</v>
      </c>
      <c r="F1937">
        <v>12540.45</v>
      </c>
      <c r="G1937" s="1">
        <v>42983</v>
      </c>
      <c r="H1937">
        <v>8063.5699000000004</v>
      </c>
      <c r="I1937" s="1">
        <v>43014</v>
      </c>
      <c r="J1937">
        <v>10185.5</v>
      </c>
      <c r="K1937" s="1">
        <v>42997</v>
      </c>
      <c r="L1937">
        <v>22425.42</v>
      </c>
    </row>
    <row r="1938" spans="1:12" x14ac:dyDescent="0.35">
      <c r="A1938" s="1">
        <v>43024</v>
      </c>
      <c r="B1938">
        <v>3606.27</v>
      </c>
      <c r="C1938" s="1">
        <v>43017</v>
      </c>
      <c r="D1938">
        <v>5365.83</v>
      </c>
      <c r="E1938" s="1">
        <v>42991</v>
      </c>
      <c r="F1938">
        <v>12553.57</v>
      </c>
      <c r="G1938" s="1">
        <v>42982</v>
      </c>
      <c r="H1938">
        <v>8053.5605100000002</v>
      </c>
      <c r="I1938" s="1">
        <v>43013</v>
      </c>
      <c r="J1938">
        <v>10214.700000000001</v>
      </c>
      <c r="K1938" s="1">
        <v>42996</v>
      </c>
      <c r="L1938">
        <v>22364.74</v>
      </c>
    </row>
    <row r="1939" spans="1:12" x14ac:dyDescent="0.35">
      <c r="A1939" s="1">
        <v>43021</v>
      </c>
      <c r="B1939">
        <v>3604.55</v>
      </c>
      <c r="C1939" s="1">
        <v>43014</v>
      </c>
      <c r="D1939">
        <v>5359.9</v>
      </c>
      <c r="E1939" s="1">
        <v>42990</v>
      </c>
      <c r="F1939">
        <v>12524.77</v>
      </c>
      <c r="G1939" s="1">
        <v>42979</v>
      </c>
      <c r="H1939">
        <v>8127.9005299999999</v>
      </c>
      <c r="I1939" s="1">
        <v>43012</v>
      </c>
      <c r="J1939">
        <v>9964.9</v>
      </c>
      <c r="K1939" s="1">
        <v>42993</v>
      </c>
      <c r="L1939">
        <v>22229.49</v>
      </c>
    </row>
    <row r="1940" spans="1:12" x14ac:dyDescent="0.35">
      <c r="A1940" s="1">
        <v>43020</v>
      </c>
      <c r="B1940">
        <v>3605.54</v>
      </c>
      <c r="C1940" s="1">
        <v>43013</v>
      </c>
      <c r="D1940">
        <v>5379.21</v>
      </c>
      <c r="E1940" s="1">
        <v>42989</v>
      </c>
      <c r="F1940">
        <v>12475.24</v>
      </c>
      <c r="G1940" s="1">
        <v>42978</v>
      </c>
      <c r="H1940">
        <v>8064.1708799999997</v>
      </c>
      <c r="I1940" s="1">
        <v>43011</v>
      </c>
      <c r="J1940">
        <v>10257.5</v>
      </c>
      <c r="K1940" s="1">
        <v>42992</v>
      </c>
      <c r="L1940">
        <v>22281.14</v>
      </c>
    </row>
    <row r="1941" spans="1:12" x14ac:dyDescent="0.35">
      <c r="A1941" s="1">
        <v>43019</v>
      </c>
      <c r="B1941">
        <v>3607.39</v>
      </c>
      <c r="C1941" s="1">
        <v>43012</v>
      </c>
      <c r="D1941">
        <v>5363.23</v>
      </c>
      <c r="E1941" s="1">
        <v>42986</v>
      </c>
      <c r="F1941">
        <v>12303.98</v>
      </c>
      <c r="G1941" s="1">
        <v>42977</v>
      </c>
      <c r="H1941">
        <v>8001.92436</v>
      </c>
      <c r="I1941" s="1">
        <v>43010</v>
      </c>
      <c r="J1941">
        <v>10255.700000000001</v>
      </c>
      <c r="K1941" s="1">
        <v>42991</v>
      </c>
      <c r="L1941">
        <v>22233.3</v>
      </c>
    </row>
    <row r="1942" spans="1:12" x14ac:dyDescent="0.35">
      <c r="A1942" s="1">
        <v>43018</v>
      </c>
      <c r="B1942">
        <v>3598.79</v>
      </c>
      <c r="C1942" s="1">
        <v>43011</v>
      </c>
      <c r="D1942">
        <v>5367.41</v>
      </c>
      <c r="E1942" s="1">
        <v>42985</v>
      </c>
      <c r="F1942">
        <v>12296.63</v>
      </c>
      <c r="G1942" s="1">
        <v>42976</v>
      </c>
      <c r="H1942">
        <v>7893.7215100000003</v>
      </c>
      <c r="I1942" s="1">
        <v>43007</v>
      </c>
      <c r="J1942">
        <v>10381.5</v>
      </c>
      <c r="K1942" s="1">
        <v>42990</v>
      </c>
      <c r="L1942">
        <v>22233.4</v>
      </c>
    </row>
    <row r="1943" spans="1:12" x14ac:dyDescent="0.35">
      <c r="A1943" s="1">
        <v>43017</v>
      </c>
      <c r="B1943">
        <v>3610.5</v>
      </c>
      <c r="C1943" s="1">
        <v>43010</v>
      </c>
      <c r="D1943">
        <v>5350.44</v>
      </c>
      <c r="E1943" s="1">
        <v>42984</v>
      </c>
      <c r="F1943">
        <v>12214.54</v>
      </c>
      <c r="G1943" s="1">
        <v>42972</v>
      </c>
      <c r="H1943">
        <v>8021.6210300000002</v>
      </c>
      <c r="I1943" s="1">
        <v>43006</v>
      </c>
      <c r="J1943">
        <v>10328.5</v>
      </c>
      <c r="K1943" s="1">
        <v>42989</v>
      </c>
      <c r="L1943">
        <v>22134.11</v>
      </c>
    </row>
    <row r="1944" spans="1:12" x14ac:dyDescent="0.35">
      <c r="A1944" s="1">
        <v>43014</v>
      </c>
      <c r="B1944">
        <v>3603.32</v>
      </c>
      <c r="C1944" s="1">
        <v>43007</v>
      </c>
      <c r="D1944">
        <v>5329.81</v>
      </c>
      <c r="E1944" s="1">
        <v>42983</v>
      </c>
      <c r="F1944">
        <v>12123.71</v>
      </c>
      <c r="G1944" s="1">
        <v>42971</v>
      </c>
      <c r="H1944">
        <v>8028.9166999999998</v>
      </c>
      <c r="I1944" s="1">
        <v>43005</v>
      </c>
      <c r="J1944">
        <v>10368.9</v>
      </c>
      <c r="K1944" s="1">
        <v>42986</v>
      </c>
      <c r="L1944">
        <v>21776.66</v>
      </c>
    </row>
    <row r="1945" spans="1:12" x14ac:dyDescent="0.35">
      <c r="A1945" s="1">
        <v>43013</v>
      </c>
      <c r="B1945">
        <v>3613.54</v>
      </c>
      <c r="C1945" s="1">
        <v>43006</v>
      </c>
      <c r="D1945">
        <v>5293.77</v>
      </c>
      <c r="E1945" s="1">
        <v>42982</v>
      </c>
      <c r="F1945">
        <v>12102.21</v>
      </c>
      <c r="G1945" s="1">
        <v>42970</v>
      </c>
      <c r="H1945">
        <v>8001.3637399999998</v>
      </c>
      <c r="I1945" s="1">
        <v>43004</v>
      </c>
      <c r="J1945">
        <v>10189.6</v>
      </c>
      <c r="K1945" s="1">
        <v>42985</v>
      </c>
      <c r="L1945">
        <v>21722.51</v>
      </c>
    </row>
    <row r="1946" spans="1:12" x14ac:dyDescent="0.35">
      <c r="A1946" s="1">
        <v>43012</v>
      </c>
      <c r="B1946">
        <v>3594.91</v>
      </c>
      <c r="C1946" s="1">
        <v>43005</v>
      </c>
      <c r="D1946">
        <v>5281.96</v>
      </c>
      <c r="E1946" s="1">
        <v>42979</v>
      </c>
      <c r="F1946">
        <v>12142.64</v>
      </c>
      <c r="G1946" s="1">
        <v>42969</v>
      </c>
      <c r="H1946">
        <v>8056.9144500000002</v>
      </c>
      <c r="I1946" s="1">
        <v>43003</v>
      </c>
      <c r="J1946">
        <v>10216.5</v>
      </c>
      <c r="K1946" s="1">
        <v>42984</v>
      </c>
      <c r="L1946">
        <v>21814.560000000001</v>
      </c>
    </row>
    <row r="1947" spans="1:12" x14ac:dyDescent="0.35">
      <c r="A1947" s="1">
        <v>43011</v>
      </c>
      <c r="B1947">
        <v>3605.73</v>
      </c>
      <c r="C1947" s="1">
        <v>43004</v>
      </c>
      <c r="D1947">
        <v>5268.76</v>
      </c>
      <c r="E1947" s="1">
        <v>42978</v>
      </c>
      <c r="F1947">
        <v>12055.84</v>
      </c>
      <c r="G1947" s="1">
        <v>42968</v>
      </c>
      <c r="H1947">
        <v>7989.8598599999996</v>
      </c>
      <c r="I1947" s="1">
        <v>43000</v>
      </c>
      <c r="J1947">
        <v>10305</v>
      </c>
      <c r="K1947" s="1">
        <v>42983</v>
      </c>
      <c r="L1947">
        <v>21737.69</v>
      </c>
    </row>
    <row r="1948" spans="1:12" x14ac:dyDescent="0.35">
      <c r="A1948" s="1">
        <v>43010</v>
      </c>
      <c r="B1948">
        <v>3602.69</v>
      </c>
      <c r="C1948" s="1">
        <v>43003</v>
      </c>
      <c r="D1948">
        <v>5267.13</v>
      </c>
      <c r="E1948" s="1">
        <v>42977</v>
      </c>
      <c r="F1948">
        <v>12002.47</v>
      </c>
      <c r="G1948" s="1">
        <v>42965</v>
      </c>
      <c r="H1948">
        <v>8019.0381100000004</v>
      </c>
      <c r="I1948" s="1">
        <v>42999</v>
      </c>
      <c r="J1948">
        <v>10297</v>
      </c>
      <c r="K1948" s="1">
        <v>42982</v>
      </c>
      <c r="L1948">
        <v>21790.62</v>
      </c>
    </row>
    <row r="1949" spans="1:12" x14ac:dyDescent="0.35">
      <c r="A1949" s="1">
        <v>43007</v>
      </c>
      <c r="B1949">
        <v>3594.85</v>
      </c>
      <c r="C1949" s="1">
        <v>43000</v>
      </c>
      <c r="D1949">
        <v>5281.29</v>
      </c>
      <c r="E1949" s="1">
        <v>42976</v>
      </c>
      <c r="F1949">
        <v>11945.88</v>
      </c>
      <c r="G1949" s="1">
        <v>42964</v>
      </c>
      <c r="H1949">
        <v>8102.6830799999998</v>
      </c>
      <c r="I1949" s="1">
        <v>42998</v>
      </c>
      <c r="J1949">
        <v>10292.1</v>
      </c>
      <c r="K1949" s="1">
        <v>42979</v>
      </c>
      <c r="L1949">
        <v>21858.560000000001</v>
      </c>
    </row>
    <row r="1950" spans="1:12" x14ac:dyDescent="0.35">
      <c r="A1950" s="1">
        <v>43006</v>
      </c>
      <c r="B1950">
        <v>3563.64</v>
      </c>
      <c r="C1950" s="1">
        <v>42999</v>
      </c>
      <c r="D1950">
        <v>5267.29</v>
      </c>
      <c r="E1950" s="1">
        <v>42975</v>
      </c>
      <c r="F1950">
        <v>12123.47</v>
      </c>
      <c r="G1950" s="1">
        <v>42963</v>
      </c>
      <c r="H1950">
        <v>8160.3261300000004</v>
      </c>
      <c r="I1950" s="1">
        <v>42997</v>
      </c>
      <c r="J1950">
        <v>10378.4</v>
      </c>
      <c r="K1950" s="1">
        <v>42978</v>
      </c>
      <c r="L1950">
        <v>21670.02</v>
      </c>
    </row>
    <row r="1951" spans="1:12" x14ac:dyDescent="0.35">
      <c r="A1951" s="1">
        <v>43005</v>
      </c>
      <c r="B1951">
        <v>3555.17</v>
      </c>
      <c r="C1951" s="1">
        <v>42998</v>
      </c>
      <c r="D1951">
        <v>5241.66</v>
      </c>
      <c r="E1951" s="1">
        <v>42972</v>
      </c>
      <c r="F1951">
        <v>12167.94</v>
      </c>
      <c r="G1951" s="1">
        <v>42962</v>
      </c>
      <c r="H1951">
        <v>8094.11384</v>
      </c>
      <c r="I1951" s="1">
        <v>42996</v>
      </c>
      <c r="J1951">
        <v>10338.4</v>
      </c>
      <c r="K1951" s="1">
        <v>42977</v>
      </c>
      <c r="L1951">
        <v>21503.46</v>
      </c>
    </row>
    <row r="1952" spans="1:12" x14ac:dyDescent="0.35">
      <c r="A1952" s="1">
        <v>43004</v>
      </c>
      <c r="B1952">
        <v>3536.38</v>
      </c>
      <c r="C1952" s="1">
        <v>42997</v>
      </c>
      <c r="D1952">
        <v>5237.4399999999996</v>
      </c>
      <c r="E1952" s="1">
        <v>42971</v>
      </c>
      <c r="F1952">
        <v>12180.83</v>
      </c>
      <c r="G1952" s="1">
        <v>42961</v>
      </c>
      <c r="H1952">
        <v>8095.3277399999997</v>
      </c>
      <c r="I1952" s="1">
        <v>42993</v>
      </c>
      <c r="J1952">
        <v>10317.4</v>
      </c>
      <c r="K1952" s="1">
        <v>42976</v>
      </c>
      <c r="L1952">
        <v>21408.62</v>
      </c>
    </row>
    <row r="1953" spans="1:12" x14ac:dyDescent="0.35">
      <c r="A1953" s="1">
        <v>43003</v>
      </c>
      <c r="B1953">
        <v>3537.81</v>
      </c>
      <c r="C1953" s="1">
        <v>42996</v>
      </c>
      <c r="D1953">
        <v>5229.32</v>
      </c>
      <c r="E1953" s="1">
        <v>42970</v>
      </c>
      <c r="F1953">
        <v>12174.3</v>
      </c>
      <c r="G1953" s="1">
        <v>42958</v>
      </c>
      <c r="H1953">
        <v>8048.3148099999999</v>
      </c>
      <c r="I1953" s="1">
        <v>42992</v>
      </c>
      <c r="J1953">
        <v>10361.1</v>
      </c>
      <c r="K1953" s="1">
        <v>42975</v>
      </c>
      <c r="L1953">
        <v>21726.21</v>
      </c>
    </row>
    <row r="1954" spans="1:12" x14ac:dyDescent="0.35">
      <c r="A1954" s="1">
        <v>43000</v>
      </c>
      <c r="B1954">
        <v>3541.42</v>
      </c>
      <c r="C1954" s="1">
        <v>42993</v>
      </c>
      <c r="D1954">
        <v>5213.91</v>
      </c>
      <c r="E1954" s="1">
        <v>42969</v>
      </c>
      <c r="F1954">
        <v>12229.34</v>
      </c>
      <c r="G1954" s="1">
        <v>42957</v>
      </c>
      <c r="H1954">
        <v>8157.4076100000002</v>
      </c>
      <c r="I1954" s="1">
        <v>42991</v>
      </c>
      <c r="J1954">
        <v>10371</v>
      </c>
      <c r="K1954" s="1">
        <v>42972</v>
      </c>
      <c r="L1954">
        <v>21746.5</v>
      </c>
    </row>
    <row r="1955" spans="1:12" x14ac:dyDescent="0.35">
      <c r="A1955" s="1">
        <v>42999</v>
      </c>
      <c r="B1955">
        <v>3539.59</v>
      </c>
      <c r="C1955" s="1">
        <v>42992</v>
      </c>
      <c r="D1955">
        <v>5225.2</v>
      </c>
      <c r="E1955" s="1">
        <v>42968</v>
      </c>
      <c r="F1955">
        <v>12065.99</v>
      </c>
      <c r="G1955" s="1">
        <v>42956</v>
      </c>
      <c r="H1955">
        <v>8295.49503</v>
      </c>
      <c r="I1955" s="1">
        <v>42990</v>
      </c>
      <c r="J1955">
        <v>10336.200000000001</v>
      </c>
      <c r="K1955" s="1">
        <v>42971</v>
      </c>
      <c r="L1955">
        <v>21729.87</v>
      </c>
    </row>
    <row r="1956" spans="1:12" x14ac:dyDescent="0.35">
      <c r="A1956" s="1">
        <v>42998</v>
      </c>
      <c r="B1956">
        <v>3525.55</v>
      </c>
      <c r="C1956" s="1">
        <v>42991</v>
      </c>
      <c r="D1956">
        <v>5217.59</v>
      </c>
      <c r="E1956" s="1">
        <v>42965</v>
      </c>
      <c r="F1956">
        <v>12165.19</v>
      </c>
      <c r="G1956" s="1">
        <v>42955</v>
      </c>
      <c r="H1956">
        <v>8332.1750200000006</v>
      </c>
      <c r="I1956" s="1">
        <v>42989</v>
      </c>
      <c r="J1956">
        <v>10322.6</v>
      </c>
      <c r="K1956" s="1">
        <v>42970</v>
      </c>
      <c r="L1956">
        <v>21620.28</v>
      </c>
    </row>
    <row r="1957" spans="1:12" x14ac:dyDescent="0.35">
      <c r="A1957" s="1">
        <v>42997</v>
      </c>
      <c r="B1957">
        <v>3531.18</v>
      </c>
      <c r="C1957" s="1">
        <v>42990</v>
      </c>
      <c r="D1957">
        <v>5209.01</v>
      </c>
      <c r="E1957" s="1">
        <v>42964</v>
      </c>
      <c r="F1957">
        <v>12203.46</v>
      </c>
      <c r="G1957" s="1">
        <v>42954</v>
      </c>
      <c r="H1957">
        <v>8320.9760399999996</v>
      </c>
      <c r="I1957" s="1">
        <v>42986</v>
      </c>
      <c r="J1957">
        <v>10129.6</v>
      </c>
      <c r="K1957" s="1">
        <v>42969</v>
      </c>
      <c r="L1957">
        <v>21729.48</v>
      </c>
    </row>
    <row r="1958" spans="1:12" x14ac:dyDescent="0.35">
      <c r="A1958" s="1">
        <v>42996</v>
      </c>
      <c r="B1958">
        <v>3526.74</v>
      </c>
      <c r="C1958" s="1">
        <v>42989</v>
      </c>
      <c r="D1958">
        <v>5176.71</v>
      </c>
      <c r="E1958" s="1">
        <v>42963</v>
      </c>
      <c r="F1958">
        <v>12263.86</v>
      </c>
      <c r="G1958" s="1">
        <v>42951</v>
      </c>
      <c r="H1958">
        <v>8329.7284400000008</v>
      </c>
      <c r="I1958" s="1">
        <v>42985</v>
      </c>
      <c r="J1958">
        <v>10124.9</v>
      </c>
      <c r="K1958" s="1">
        <v>42968</v>
      </c>
      <c r="L1958">
        <v>21752.799999999999</v>
      </c>
    </row>
    <row r="1959" spans="1:12" x14ac:dyDescent="0.35">
      <c r="A1959" s="1">
        <v>42993</v>
      </c>
      <c r="B1959">
        <v>3515.55</v>
      </c>
      <c r="C1959" s="1">
        <v>42986</v>
      </c>
      <c r="D1959">
        <v>5113.49</v>
      </c>
      <c r="E1959" s="1">
        <v>42962</v>
      </c>
      <c r="F1959">
        <v>12177.04</v>
      </c>
      <c r="G1959" s="1">
        <v>42950</v>
      </c>
      <c r="H1959">
        <v>8272.0620099999996</v>
      </c>
      <c r="I1959" s="1">
        <v>42984</v>
      </c>
      <c r="J1959">
        <v>10131</v>
      </c>
      <c r="K1959" s="1">
        <v>42965</v>
      </c>
      <c r="L1959">
        <v>21814.959999999999</v>
      </c>
    </row>
    <row r="1960" spans="1:12" x14ac:dyDescent="0.35">
      <c r="A1960" s="1">
        <v>42992</v>
      </c>
      <c r="B1960">
        <v>3526.48</v>
      </c>
      <c r="C1960" s="1">
        <v>42985</v>
      </c>
      <c r="D1960">
        <v>5114.62</v>
      </c>
      <c r="E1960" s="1">
        <v>42961</v>
      </c>
      <c r="F1960">
        <v>12165.12</v>
      </c>
      <c r="G1960" s="1">
        <v>42949</v>
      </c>
      <c r="H1960">
        <v>8266.9793000000009</v>
      </c>
      <c r="I1960" s="1">
        <v>42983</v>
      </c>
      <c r="J1960">
        <v>10179.799999999999</v>
      </c>
      <c r="K1960" s="1">
        <v>42964</v>
      </c>
      <c r="L1960">
        <v>21788.86</v>
      </c>
    </row>
    <row r="1961" spans="1:12" x14ac:dyDescent="0.35">
      <c r="A1961" s="1">
        <v>42991</v>
      </c>
      <c r="B1961">
        <v>3523.14</v>
      </c>
      <c r="C1961" s="1">
        <v>42984</v>
      </c>
      <c r="D1961">
        <v>5101.41</v>
      </c>
      <c r="E1961" s="1">
        <v>42958</v>
      </c>
      <c r="F1961">
        <v>12014.06</v>
      </c>
      <c r="G1961" s="1">
        <v>42948</v>
      </c>
      <c r="H1961">
        <v>8307.2044600000008</v>
      </c>
      <c r="I1961" s="1">
        <v>42982</v>
      </c>
      <c r="J1961">
        <v>10243.200000000001</v>
      </c>
      <c r="K1961" s="1">
        <v>42963</v>
      </c>
      <c r="L1961">
        <v>21984.85</v>
      </c>
    </row>
    <row r="1962" spans="1:12" x14ac:dyDescent="0.35">
      <c r="A1962" s="1">
        <v>42990</v>
      </c>
      <c r="B1962">
        <v>3512.56</v>
      </c>
      <c r="C1962" s="1">
        <v>42983</v>
      </c>
      <c r="D1962">
        <v>5086.5600000000004</v>
      </c>
      <c r="E1962" s="1">
        <v>42957</v>
      </c>
      <c r="F1962">
        <v>12014.3</v>
      </c>
      <c r="G1962" s="1">
        <v>42947</v>
      </c>
      <c r="H1962">
        <v>8232.7220400000006</v>
      </c>
      <c r="I1962" s="1">
        <v>42979</v>
      </c>
      <c r="J1962">
        <v>10325.5</v>
      </c>
      <c r="K1962" s="1">
        <v>42961</v>
      </c>
      <c r="L1962">
        <v>21722.11</v>
      </c>
    </row>
    <row r="1963" spans="1:12" x14ac:dyDescent="0.35">
      <c r="A1963" s="1">
        <v>42989</v>
      </c>
      <c r="B1963">
        <v>3495.19</v>
      </c>
      <c r="C1963" s="1">
        <v>42982</v>
      </c>
      <c r="D1963">
        <v>5103.97</v>
      </c>
      <c r="E1963" s="1">
        <v>42956</v>
      </c>
      <c r="F1963">
        <v>12154</v>
      </c>
      <c r="G1963" s="1">
        <v>42944</v>
      </c>
      <c r="H1963">
        <v>8235.0524800000003</v>
      </c>
      <c r="I1963" s="1">
        <v>42978</v>
      </c>
      <c r="J1963">
        <v>10299.5</v>
      </c>
      <c r="K1963" s="1">
        <v>42958</v>
      </c>
      <c r="L1963">
        <v>21354.02</v>
      </c>
    </row>
    <row r="1964" spans="1:12" x14ac:dyDescent="0.35">
      <c r="A1964" s="1">
        <v>42986</v>
      </c>
      <c r="B1964">
        <v>3447.69</v>
      </c>
      <c r="C1964" s="1">
        <v>42979</v>
      </c>
      <c r="D1964">
        <v>5123.26</v>
      </c>
      <c r="E1964" s="1">
        <v>42955</v>
      </c>
      <c r="F1964">
        <v>12292.05</v>
      </c>
      <c r="G1964" s="1">
        <v>42943</v>
      </c>
      <c r="H1964">
        <v>8338.9278699999995</v>
      </c>
      <c r="I1964" s="1">
        <v>42977</v>
      </c>
      <c r="J1964">
        <v>10245.799999999999</v>
      </c>
      <c r="K1964" s="1">
        <v>42957</v>
      </c>
      <c r="L1964">
        <v>21681.61</v>
      </c>
    </row>
    <row r="1965" spans="1:12" x14ac:dyDescent="0.35">
      <c r="A1965" s="1">
        <v>42985</v>
      </c>
      <c r="B1965">
        <v>3447.66</v>
      </c>
      <c r="C1965" s="1">
        <v>42978</v>
      </c>
      <c r="D1965">
        <v>5085.59</v>
      </c>
      <c r="E1965" s="1">
        <v>42954</v>
      </c>
      <c r="F1965">
        <v>12257.17</v>
      </c>
      <c r="G1965" s="1">
        <v>42942</v>
      </c>
      <c r="H1965">
        <v>8362.4683100000002</v>
      </c>
      <c r="I1965" s="1">
        <v>42976</v>
      </c>
      <c r="J1965">
        <v>10192.6</v>
      </c>
      <c r="K1965" s="1">
        <v>42956</v>
      </c>
      <c r="L1965">
        <v>21848.37</v>
      </c>
    </row>
    <row r="1966" spans="1:12" x14ac:dyDescent="0.35">
      <c r="A1966" s="1">
        <v>42984</v>
      </c>
      <c r="B1966">
        <v>3433.8</v>
      </c>
      <c r="C1966" s="1">
        <v>42977</v>
      </c>
      <c r="D1966">
        <v>5056.34</v>
      </c>
      <c r="E1966" s="1">
        <v>42951</v>
      </c>
      <c r="F1966">
        <v>12297.72</v>
      </c>
      <c r="G1966" s="1">
        <v>42941</v>
      </c>
      <c r="H1966">
        <v>8318.4744800000008</v>
      </c>
      <c r="I1966" s="1">
        <v>42975</v>
      </c>
      <c r="J1966">
        <v>10285.9</v>
      </c>
      <c r="K1966" s="1">
        <v>42955</v>
      </c>
      <c r="L1966">
        <v>22048.3</v>
      </c>
    </row>
    <row r="1967" spans="1:12" x14ac:dyDescent="0.35">
      <c r="A1967" s="1">
        <v>42983</v>
      </c>
      <c r="B1967">
        <v>3420.86</v>
      </c>
      <c r="C1967" s="1">
        <v>42976</v>
      </c>
      <c r="D1967">
        <v>5031.92</v>
      </c>
      <c r="E1967" s="1">
        <v>42950</v>
      </c>
      <c r="F1967">
        <v>12154.72</v>
      </c>
      <c r="G1967" s="1">
        <v>42940</v>
      </c>
      <c r="H1967">
        <v>8257.63112</v>
      </c>
      <c r="I1967" s="1">
        <v>42972</v>
      </c>
      <c r="J1967">
        <v>10345.299999999999</v>
      </c>
      <c r="K1967" s="1">
        <v>42954</v>
      </c>
      <c r="L1967">
        <v>22031.17</v>
      </c>
    </row>
    <row r="1968" spans="1:12" x14ac:dyDescent="0.35">
      <c r="A1968" s="1">
        <v>42982</v>
      </c>
      <c r="B1968">
        <v>3429.98</v>
      </c>
      <c r="C1968" s="1">
        <v>42975</v>
      </c>
      <c r="D1968">
        <v>5079.75</v>
      </c>
      <c r="E1968" s="1">
        <v>42949</v>
      </c>
      <c r="F1968">
        <v>12181.48</v>
      </c>
      <c r="G1968" s="1">
        <v>42937</v>
      </c>
      <c r="H1968">
        <v>8291.7297199999994</v>
      </c>
      <c r="I1968" s="1">
        <v>42971</v>
      </c>
      <c r="J1968">
        <v>10357.4</v>
      </c>
      <c r="K1968" s="1">
        <v>42951</v>
      </c>
      <c r="L1968">
        <v>21935.79</v>
      </c>
    </row>
    <row r="1969" spans="1:12" x14ac:dyDescent="0.35">
      <c r="A1969" s="1">
        <v>42979</v>
      </c>
      <c r="B1969">
        <v>3443.88</v>
      </c>
      <c r="C1969" s="1">
        <v>42972</v>
      </c>
      <c r="D1969">
        <v>5104.33</v>
      </c>
      <c r="E1969" s="1">
        <v>42948</v>
      </c>
      <c r="F1969">
        <v>12251.29</v>
      </c>
      <c r="G1969" s="1">
        <v>42936</v>
      </c>
      <c r="H1969">
        <v>8351.5332199999993</v>
      </c>
      <c r="I1969" s="1">
        <v>42970</v>
      </c>
      <c r="J1969">
        <v>10338.1</v>
      </c>
      <c r="K1969" s="1">
        <v>42950</v>
      </c>
      <c r="L1969">
        <v>21793.72</v>
      </c>
    </row>
    <row r="1970" spans="1:12" x14ac:dyDescent="0.35">
      <c r="A1970" s="1">
        <v>42978</v>
      </c>
      <c r="B1970">
        <v>3421.47</v>
      </c>
      <c r="C1970" s="1">
        <v>42971</v>
      </c>
      <c r="D1970">
        <v>5113.13</v>
      </c>
      <c r="E1970" s="1">
        <v>42947</v>
      </c>
      <c r="F1970">
        <v>12118.25</v>
      </c>
      <c r="G1970" s="1">
        <v>42935</v>
      </c>
      <c r="H1970">
        <v>8407.4222599999994</v>
      </c>
      <c r="I1970" s="1">
        <v>42969</v>
      </c>
      <c r="J1970">
        <v>10409.799999999999</v>
      </c>
      <c r="K1970" s="1">
        <v>42949</v>
      </c>
      <c r="L1970">
        <v>21573.61</v>
      </c>
    </row>
    <row r="1971" spans="1:12" x14ac:dyDescent="0.35">
      <c r="A1971" s="1">
        <v>42977</v>
      </c>
      <c r="B1971">
        <v>3403.71</v>
      </c>
      <c r="C1971" s="1">
        <v>42970</v>
      </c>
      <c r="D1971">
        <v>5115.3900000000003</v>
      </c>
      <c r="E1971" s="1">
        <v>42944</v>
      </c>
      <c r="F1971">
        <v>12162.7</v>
      </c>
      <c r="G1971" s="1">
        <v>42934</v>
      </c>
      <c r="H1971">
        <v>8338.7657899999995</v>
      </c>
      <c r="I1971" s="1">
        <v>42968</v>
      </c>
      <c r="J1971">
        <v>10360.200000000001</v>
      </c>
      <c r="K1971" s="1">
        <v>42948</v>
      </c>
      <c r="L1971">
        <v>21612.81</v>
      </c>
    </row>
    <row r="1972" spans="1:12" x14ac:dyDescent="0.35">
      <c r="A1972" s="1">
        <v>42976</v>
      </c>
      <c r="B1972">
        <v>3388.22</v>
      </c>
      <c r="C1972" s="1">
        <v>42969</v>
      </c>
      <c r="D1972">
        <v>5131.8599999999997</v>
      </c>
      <c r="E1972" s="1">
        <v>42943</v>
      </c>
      <c r="F1972">
        <v>12212.04</v>
      </c>
      <c r="G1972" s="1">
        <v>42933</v>
      </c>
      <c r="H1972">
        <v>8429.0392100000008</v>
      </c>
      <c r="I1972" s="1">
        <v>42965</v>
      </c>
      <c r="J1972">
        <v>10385.700000000001</v>
      </c>
      <c r="K1972" s="1">
        <v>42947</v>
      </c>
      <c r="L1972">
        <v>21486.91</v>
      </c>
    </row>
    <row r="1973" spans="1:12" x14ac:dyDescent="0.35">
      <c r="A1973" s="1">
        <v>42975</v>
      </c>
      <c r="B1973">
        <v>3421.03</v>
      </c>
      <c r="C1973" s="1">
        <v>42968</v>
      </c>
      <c r="D1973">
        <v>5087.59</v>
      </c>
      <c r="E1973" s="1">
        <v>42942</v>
      </c>
      <c r="F1973">
        <v>12305.11</v>
      </c>
      <c r="G1973" s="1">
        <v>42930</v>
      </c>
      <c r="H1973">
        <v>8422.1434000000008</v>
      </c>
      <c r="I1973" s="1">
        <v>42964</v>
      </c>
      <c r="J1973">
        <v>10443.799999999999</v>
      </c>
      <c r="K1973" s="1">
        <v>42944</v>
      </c>
      <c r="L1973">
        <v>21430.36</v>
      </c>
    </row>
    <row r="1974" spans="1:12" x14ac:dyDescent="0.35">
      <c r="A1974" s="1">
        <v>42972</v>
      </c>
      <c r="B1974">
        <v>3438.55</v>
      </c>
      <c r="C1974" s="1">
        <v>42965</v>
      </c>
      <c r="D1974">
        <v>5114.1499999999996</v>
      </c>
      <c r="E1974" s="1">
        <v>42941</v>
      </c>
      <c r="F1974">
        <v>12264.31</v>
      </c>
      <c r="G1974" s="1">
        <v>42929</v>
      </c>
      <c r="H1974">
        <v>8410.4894299999996</v>
      </c>
      <c r="I1974" s="1">
        <v>42963</v>
      </c>
      <c r="J1974">
        <v>10544.3</v>
      </c>
      <c r="K1974" s="1">
        <v>42943</v>
      </c>
      <c r="L1974">
        <v>21634.720000000001</v>
      </c>
    </row>
    <row r="1975" spans="1:12" x14ac:dyDescent="0.35">
      <c r="A1975" s="1">
        <v>42971</v>
      </c>
      <c r="B1975">
        <v>3444.73</v>
      </c>
      <c r="C1975" s="1">
        <v>42964</v>
      </c>
      <c r="D1975">
        <v>5146.8500000000004</v>
      </c>
      <c r="E1975" s="1">
        <v>42940</v>
      </c>
      <c r="F1975">
        <v>12208.95</v>
      </c>
      <c r="G1975" s="1">
        <v>42928</v>
      </c>
      <c r="H1975">
        <v>8376.7603600000002</v>
      </c>
      <c r="I1975" s="1">
        <v>42962</v>
      </c>
      <c r="J1975">
        <v>10481.5</v>
      </c>
      <c r="K1975" s="1">
        <v>42942</v>
      </c>
      <c r="L1975">
        <v>21577.56</v>
      </c>
    </row>
    <row r="1976" spans="1:12" x14ac:dyDescent="0.35">
      <c r="A1976" s="1">
        <v>42970</v>
      </c>
      <c r="B1976">
        <v>3438.63</v>
      </c>
      <c r="C1976" s="1">
        <v>42963</v>
      </c>
      <c r="D1976">
        <v>5176.6099999999997</v>
      </c>
      <c r="E1976" s="1">
        <v>42937</v>
      </c>
      <c r="F1976">
        <v>12240.06</v>
      </c>
      <c r="G1976" s="1">
        <v>42927</v>
      </c>
      <c r="H1976">
        <v>8232.5250199999991</v>
      </c>
      <c r="I1976" s="1">
        <v>42961</v>
      </c>
      <c r="J1976">
        <v>10461.200000000001</v>
      </c>
      <c r="K1976" s="1">
        <v>42941</v>
      </c>
      <c r="L1976">
        <v>21457.45</v>
      </c>
    </row>
    <row r="1977" spans="1:12" x14ac:dyDescent="0.35">
      <c r="A1977" s="1">
        <v>42969</v>
      </c>
      <c r="B1977">
        <v>3455.59</v>
      </c>
      <c r="C1977" s="1">
        <v>42962</v>
      </c>
      <c r="D1977">
        <v>5140.25</v>
      </c>
      <c r="E1977" s="1">
        <v>42936</v>
      </c>
      <c r="F1977">
        <v>12447.25</v>
      </c>
      <c r="G1977" s="1">
        <v>42926</v>
      </c>
      <c r="H1977">
        <v>8328.47019</v>
      </c>
      <c r="I1977" s="1">
        <v>42958</v>
      </c>
      <c r="J1977">
        <v>10282.9</v>
      </c>
      <c r="K1977" s="1">
        <v>42940</v>
      </c>
      <c r="L1977">
        <v>21326.58</v>
      </c>
    </row>
    <row r="1978" spans="1:12" x14ac:dyDescent="0.35">
      <c r="A1978" s="1">
        <v>42968</v>
      </c>
      <c r="B1978">
        <v>3423.53</v>
      </c>
      <c r="C1978" s="1">
        <v>42961</v>
      </c>
      <c r="D1978">
        <v>5121.67</v>
      </c>
      <c r="E1978" s="1">
        <v>42935</v>
      </c>
      <c r="F1978">
        <v>12452.05</v>
      </c>
      <c r="G1978" s="1">
        <v>42923</v>
      </c>
      <c r="H1978">
        <v>8303.9363599999997</v>
      </c>
      <c r="I1978" s="1">
        <v>42957</v>
      </c>
      <c r="J1978">
        <v>10450</v>
      </c>
      <c r="K1978" s="1">
        <v>42937</v>
      </c>
      <c r="L1978">
        <v>21202.16</v>
      </c>
    </row>
    <row r="1979" spans="1:12" x14ac:dyDescent="0.35">
      <c r="A1979" s="1">
        <v>42965</v>
      </c>
      <c r="B1979">
        <v>3446.03</v>
      </c>
      <c r="C1979" s="1">
        <v>42958</v>
      </c>
      <c r="D1979">
        <v>5060.92</v>
      </c>
      <c r="E1979" s="1">
        <v>42934</v>
      </c>
      <c r="F1979">
        <v>12430.39</v>
      </c>
      <c r="G1979" s="1">
        <v>42922</v>
      </c>
      <c r="H1979">
        <v>8332.5030100000004</v>
      </c>
      <c r="I1979" s="1">
        <v>42956</v>
      </c>
      <c r="J1979">
        <v>10596</v>
      </c>
      <c r="K1979" s="1">
        <v>42936</v>
      </c>
      <c r="L1979">
        <v>21438.63</v>
      </c>
    </row>
    <row r="1980" spans="1:12" x14ac:dyDescent="0.35">
      <c r="A1980" s="1">
        <v>42964</v>
      </c>
      <c r="B1980">
        <v>3461.97</v>
      </c>
      <c r="C1980" s="1">
        <v>42957</v>
      </c>
      <c r="D1980">
        <v>5115.2299999999996</v>
      </c>
      <c r="E1980" s="1">
        <v>42933</v>
      </c>
      <c r="F1980">
        <v>12587.16</v>
      </c>
      <c r="G1980" s="1">
        <v>42921</v>
      </c>
      <c r="H1980">
        <v>8396.90661</v>
      </c>
      <c r="I1980" s="1">
        <v>42955</v>
      </c>
      <c r="J1980">
        <v>10734.7</v>
      </c>
      <c r="K1980" s="1">
        <v>42935</v>
      </c>
      <c r="L1980">
        <v>21478.95</v>
      </c>
    </row>
    <row r="1981" spans="1:12" x14ac:dyDescent="0.35">
      <c r="A1981" s="1">
        <v>42963</v>
      </c>
      <c r="B1981">
        <v>3484.57</v>
      </c>
      <c r="C1981" s="1">
        <v>42956</v>
      </c>
      <c r="D1981">
        <v>5145.7</v>
      </c>
      <c r="E1981" s="1">
        <v>42930</v>
      </c>
      <c r="F1981">
        <v>12631.72</v>
      </c>
      <c r="G1981" s="1">
        <v>42920</v>
      </c>
      <c r="H1981">
        <v>8378.7254200000007</v>
      </c>
      <c r="I1981" s="1">
        <v>42954</v>
      </c>
      <c r="J1981">
        <v>10676.5</v>
      </c>
      <c r="K1981" s="1">
        <v>42934</v>
      </c>
      <c r="L1981">
        <v>21358.2</v>
      </c>
    </row>
    <row r="1982" spans="1:12" x14ac:dyDescent="0.35">
      <c r="A1982" s="1">
        <v>42962</v>
      </c>
      <c r="B1982">
        <v>3461.91</v>
      </c>
      <c r="C1982" s="1">
        <v>42955</v>
      </c>
      <c r="D1982">
        <v>5218.8900000000003</v>
      </c>
      <c r="E1982" s="1">
        <v>42929</v>
      </c>
      <c r="F1982">
        <v>12641.33</v>
      </c>
      <c r="G1982" s="1">
        <v>42919</v>
      </c>
      <c r="H1982">
        <v>8416.3912199999995</v>
      </c>
      <c r="I1982" s="1">
        <v>42951</v>
      </c>
      <c r="J1982">
        <v>10658.4</v>
      </c>
      <c r="K1982" s="1">
        <v>42933</v>
      </c>
      <c r="L1982">
        <v>21484.84</v>
      </c>
    </row>
    <row r="1983" spans="1:12" x14ac:dyDescent="0.35">
      <c r="A1983" s="1">
        <v>42961</v>
      </c>
      <c r="B1983">
        <v>3450.66</v>
      </c>
      <c r="C1983" s="1">
        <v>42954</v>
      </c>
      <c r="D1983">
        <v>5207.8900000000003</v>
      </c>
      <c r="E1983" s="1">
        <v>42928</v>
      </c>
      <c r="F1983">
        <v>12626.58</v>
      </c>
      <c r="G1983" s="1">
        <v>42916</v>
      </c>
      <c r="H1983">
        <v>8334.6939199999997</v>
      </c>
      <c r="I1983" s="1">
        <v>42950</v>
      </c>
      <c r="J1983">
        <v>10549.1</v>
      </c>
      <c r="K1983" s="1">
        <v>42930</v>
      </c>
      <c r="L1983">
        <v>21492.29</v>
      </c>
    </row>
    <row r="1984" spans="1:12" x14ac:dyDescent="0.35">
      <c r="A1984" s="1">
        <v>42958</v>
      </c>
      <c r="B1984">
        <v>3406.34</v>
      </c>
      <c r="C1984" s="1">
        <v>42951</v>
      </c>
      <c r="D1984">
        <v>5203.4399999999996</v>
      </c>
      <c r="E1984" s="1">
        <v>42927</v>
      </c>
      <c r="F1984">
        <v>12437.02</v>
      </c>
      <c r="G1984" s="1">
        <v>42915</v>
      </c>
      <c r="H1984">
        <v>8352.8702099999991</v>
      </c>
      <c r="I1984" s="1">
        <v>42949</v>
      </c>
      <c r="J1984">
        <v>10513.9</v>
      </c>
      <c r="K1984" s="1">
        <v>42929</v>
      </c>
      <c r="L1984">
        <v>21521.91</v>
      </c>
    </row>
    <row r="1985" spans="1:12" x14ac:dyDescent="0.35">
      <c r="A1985" s="1">
        <v>42957</v>
      </c>
      <c r="B1985">
        <v>3433.54</v>
      </c>
      <c r="C1985" s="1">
        <v>42950</v>
      </c>
      <c r="D1985">
        <v>5130.49</v>
      </c>
      <c r="E1985" s="1">
        <v>42926</v>
      </c>
      <c r="F1985">
        <v>12445.92</v>
      </c>
      <c r="G1985" s="1">
        <v>42914</v>
      </c>
      <c r="H1985">
        <v>8396.1717200000003</v>
      </c>
      <c r="I1985" s="1">
        <v>42948</v>
      </c>
      <c r="J1985">
        <v>10586.7</v>
      </c>
      <c r="K1985" s="1">
        <v>42928</v>
      </c>
      <c r="L1985">
        <v>21432.55</v>
      </c>
    </row>
    <row r="1986" spans="1:12" x14ac:dyDescent="0.35">
      <c r="A1986" s="1">
        <v>42956</v>
      </c>
      <c r="B1986">
        <v>3468.45</v>
      </c>
      <c r="C1986" s="1">
        <v>42949</v>
      </c>
      <c r="D1986">
        <v>5107.25</v>
      </c>
      <c r="E1986" s="1">
        <v>42923</v>
      </c>
      <c r="F1986">
        <v>12388.68</v>
      </c>
      <c r="G1986" s="1">
        <v>42913</v>
      </c>
      <c r="H1986">
        <v>8400.4587599999995</v>
      </c>
      <c r="I1986" s="1">
        <v>42947</v>
      </c>
      <c r="J1986">
        <v>10502.2</v>
      </c>
      <c r="K1986" s="1">
        <v>42927</v>
      </c>
      <c r="L1986">
        <v>21111.7</v>
      </c>
    </row>
    <row r="1987" spans="1:12" x14ac:dyDescent="0.35">
      <c r="A1987" s="1">
        <v>42955</v>
      </c>
      <c r="B1987">
        <v>3515.63</v>
      </c>
      <c r="C1987" s="1">
        <v>42948</v>
      </c>
      <c r="D1987">
        <v>5127.03</v>
      </c>
      <c r="E1987" s="1">
        <v>42922</v>
      </c>
      <c r="F1987">
        <v>12381.25</v>
      </c>
      <c r="G1987" s="1">
        <v>42912</v>
      </c>
      <c r="H1987">
        <v>8468.5052199999991</v>
      </c>
      <c r="I1987" s="1">
        <v>42944</v>
      </c>
      <c r="J1987">
        <v>10536.1</v>
      </c>
      <c r="K1987" s="1">
        <v>42926</v>
      </c>
      <c r="L1987">
        <v>21190.67</v>
      </c>
    </row>
    <row r="1988" spans="1:12" x14ac:dyDescent="0.35">
      <c r="A1988" s="1">
        <v>42954</v>
      </c>
      <c r="B1988">
        <v>3505.8</v>
      </c>
      <c r="C1988" s="1">
        <v>42947</v>
      </c>
      <c r="D1988">
        <v>5093.7700000000004</v>
      </c>
      <c r="E1988" s="1">
        <v>42921</v>
      </c>
      <c r="F1988">
        <v>12453.68</v>
      </c>
      <c r="G1988" s="1">
        <v>42909</v>
      </c>
      <c r="H1988">
        <v>8431.9604500000005</v>
      </c>
      <c r="I1988" s="1">
        <v>42943</v>
      </c>
      <c r="J1988">
        <v>10603.4</v>
      </c>
      <c r="K1988" s="1">
        <v>42923</v>
      </c>
      <c r="L1988">
        <v>21015.1</v>
      </c>
    </row>
    <row r="1989" spans="1:12" x14ac:dyDescent="0.35">
      <c r="A1989" s="1">
        <v>42951</v>
      </c>
      <c r="B1989">
        <v>3507.41</v>
      </c>
      <c r="C1989" s="1">
        <v>42944</v>
      </c>
      <c r="D1989">
        <v>5131.3900000000003</v>
      </c>
      <c r="E1989" s="1">
        <v>42920</v>
      </c>
      <c r="F1989">
        <v>12437.13</v>
      </c>
      <c r="G1989" s="1">
        <v>42908</v>
      </c>
      <c r="H1989">
        <v>8446.8883499999993</v>
      </c>
      <c r="I1989" s="1">
        <v>42942</v>
      </c>
      <c r="J1989">
        <v>10575.4</v>
      </c>
      <c r="K1989" s="1">
        <v>42922</v>
      </c>
      <c r="L1989">
        <v>21084.19</v>
      </c>
    </row>
    <row r="1990" spans="1:12" x14ac:dyDescent="0.35">
      <c r="A1990" s="1">
        <v>42950</v>
      </c>
      <c r="B1990">
        <v>3466.37</v>
      </c>
      <c r="C1990" s="1">
        <v>42943</v>
      </c>
      <c r="D1990">
        <v>5186.95</v>
      </c>
      <c r="E1990" s="1">
        <v>42919</v>
      </c>
      <c r="F1990">
        <v>12475.31</v>
      </c>
      <c r="G1990" s="1">
        <v>42907</v>
      </c>
      <c r="H1990">
        <v>8458.0222099999992</v>
      </c>
      <c r="I1990" s="1">
        <v>42941</v>
      </c>
      <c r="J1990">
        <v>10523.4</v>
      </c>
      <c r="K1990" s="1">
        <v>42921</v>
      </c>
      <c r="L1990">
        <v>20939.39</v>
      </c>
    </row>
    <row r="1991" spans="1:12" x14ac:dyDescent="0.35">
      <c r="A1991" s="1">
        <v>42949</v>
      </c>
      <c r="B1991">
        <v>3459.32</v>
      </c>
      <c r="C1991" s="1">
        <v>42942</v>
      </c>
      <c r="D1991">
        <v>5190.17</v>
      </c>
      <c r="E1991" s="1">
        <v>42916</v>
      </c>
      <c r="F1991">
        <v>12325.12</v>
      </c>
      <c r="G1991" s="1">
        <v>42906</v>
      </c>
      <c r="H1991">
        <v>8480.2664000000004</v>
      </c>
      <c r="I1991" s="1">
        <v>42940</v>
      </c>
      <c r="J1991">
        <v>10446.5</v>
      </c>
      <c r="K1991" s="1">
        <v>42920</v>
      </c>
      <c r="L1991">
        <v>21031.05</v>
      </c>
    </row>
    <row r="1992" spans="1:12" x14ac:dyDescent="0.35">
      <c r="A1992" s="1">
        <v>42948</v>
      </c>
      <c r="B1992">
        <v>3477.39</v>
      </c>
      <c r="C1992" s="1">
        <v>42941</v>
      </c>
      <c r="D1992">
        <v>5161.08</v>
      </c>
      <c r="E1992" s="1">
        <v>42915</v>
      </c>
      <c r="F1992">
        <v>12416.19</v>
      </c>
      <c r="G1992" s="1">
        <v>42905</v>
      </c>
      <c r="H1992">
        <v>8592.4755499999992</v>
      </c>
      <c r="I1992" s="1">
        <v>42937</v>
      </c>
      <c r="J1992">
        <v>10426.6</v>
      </c>
      <c r="K1992" s="1">
        <v>42919</v>
      </c>
      <c r="L1992">
        <v>21013.14</v>
      </c>
    </row>
    <row r="1993" spans="1:12" x14ac:dyDescent="0.35">
      <c r="A1993" s="1">
        <v>42947</v>
      </c>
      <c r="B1993">
        <v>3449.36</v>
      </c>
      <c r="C1993" s="1">
        <v>42940</v>
      </c>
      <c r="D1993">
        <v>5127.7</v>
      </c>
      <c r="E1993" s="1">
        <v>42914</v>
      </c>
      <c r="F1993">
        <v>12647.27</v>
      </c>
      <c r="G1993" s="1">
        <v>42902</v>
      </c>
      <c r="H1993">
        <v>8528.1400400000002</v>
      </c>
      <c r="I1993" s="1">
        <v>42936</v>
      </c>
      <c r="J1993">
        <v>10564.8</v>
      </c>
      <c r="K1993" s="1">
        <v>42916</v>
      </c>
      <c r="L1993">
        <v>20584.23</v>
      </c>
    </row>
    <row r="1994" spans="1:12" x14ac:dyDescent="0.35">
      <c r="A1994" s="1">
        <v>42944</v>
      </c>
      <c r="B1994">
        <v>3467.73</v>
      </c>
      <c r="C1994" s="1">
        <v>42937</v>
      </c>
      <c r="D1994">
        <v>5117.66</v>
      </c>
      <c r="E1994" s="1">
        <v>42913</v>
      </c>
      <c r="F1994">
        <v>12671.02</v>
      </c>
      <c r="G1994" s="1">
        <v>42901</v>
      </c>
      <c r="H1994">
        <v>8490.8678600000003</v>
      </c>
      <c r="I1994" s="1">
        <v>42935</v>
      </c>
      <c r="J1994">
        <v>10588.1</v>
      </c>
      <c r="K1994" s="1">
        <v>42915</v>
      </c>
      <c r="L1994">
        <v>20704.650000000001</v>
      </c>
    </row>
    <row r="1995" spans="1:12" x14ac:dyDescent="0.35">
      <c r="A1995" s="1">
        <v>42943</v>
      </c>
      <c r="B1995">
        <v>3493.14</v>
      </c>
      <c r="C1995" s="1">
        <v>42936</v>
      </c>
      <c r="D1995">
        <v>5199.22</v>
      </c>
      <c r="E1995" s="1">
        <v>42912</v>
      </c>
      <c r="F1995">
        <v>12770.83</v>
      </c>
      <c r="G1995" s="1">
        <v>42900</v>
      </c>
      <c r="H1995">
        <v>8483.5401399999992</v>
      </c>
      <c r="I1995" s="1">
        <v>42934</v>
      </c>
      <c r="J1995">
        <v>10524.5</v>
      </c>
      <c r="K1995" s="1">
        <v>42914</v>
      </c>
      <c r="L1995">
        <v>21047.8</v>
      </c>
    </row>
    <row r="1996" spans="1:12" x14ac:dyDescent="0.35">
      <c r="A1996" s="1">
        <v>42942</v>
      </c>
      <c r="B1996">
        <v>3491.19</v>
      </c>
      <c r="C1996" s="1">
        <v>42935</v>
      </c>
      <c r="D1996">
        <v>5216.07</v>
      </c>
      <c r="E1996" s="1">
        <v>42909</v>
      </c>
      <c r="F1996">
        <v>12733.41</v>
      </c>
      <c r="G1996" s="1">
        <v>42899</v>
      </c>
      <c r="H1996">
        <v>8532.9055000000008</v>
      </c>
      <c r="I1996" s="1">
        <v>42933</v>
      </c>
      <c r="J1996">
        <v>10651.2</v>
      </c>
      <c r="K1996" s="1">
        <v>42913</v>
      </c>
      <c r="L1996">
        <v>20790.86</v>
      </c>
    </row>
    <row r="1997" spans="1:12" x14ac:dyDescent="0.35">
      <c r="A1997" s="1">
        <v>42941</v>
      </c>
      <c r="B1997">
        <v>3473.54</v>
      </c>
      <c r="C1997" s="1">
        <v>42934</v>
      </c>
      <c r="D1997">
        <v>5173.2700000000004</v>
      </c>
      <c r="E1997" s="1">
        <v>42908</v>
      </c>
      <c r="F1997">
        <v>12794</v>
      </c>
      <c r="G1997" s="1">
        <v>42898</v>
      </c>
      <c r="H1997">
        <v>8485.9042200000004</v>
      </c>
      <c r="I1997" s="1">
        <v>42930</v>
      </c>
      <c r="J1997">
        <v>10655.1</v>
      </c>
      <c r="K1997" s="1">
        <v>42912</v>
      </c>
      <c r="L1997">
        <v>21001.95</v>
      </c>
    </row>
    <row r="1998" spans="1:12" x14ac:dyDescent="0.35">
      <c r="A1998" s="1">
        <v>42940</v>
      </c>
      <c r="B1998">
        <v>3453.17</v>
      </c>
      <c r="C1998" s="1">
        <v>42933</v>
      </c>
      <c r="D1998">
        <v>5230.17</v>
      </c>
      <c r="E1998" s="1">
        <v>42907</v>
      </c>
      <c r="F1998">
        <v>12774.26</v>
      </c>
      <c r="G1998" s="1">
        <v>42895</v>
      </c>
      <c r="H1998">
        <v>8563.8671400000003</v>
      </c>
      <c r="I1998" s="1">
        <v>42929</v>
      </c>
      <c r="J1998">
        <v>10658.3</v>
      </c>
      <c r="K1998" s="1">
        <v>42909</v>
      </c>
      <c r="L1998">
        <v>20833.88</v>
      </c>
    </row>
    <row r="1999" spans="1:12" x14ac:dyDescent="0.35">
      <c r="A1999" s="1">
        <v>42937</v>
      </c>
      <c r="B1999">
        <v>3451.71</v>
      </c>
      <c r="C1999" s="1">
        <v>42930</v>
      </c>
      <c r="D1999">
        <v>5235.3100000000004</v>
      </c>
      <c r="E1999" s="1">
        <v>42906</v>
      </c>
      <c r="F1999">
        <v>12814.79</v>
      </c>
      <c r="G1999" s="1">
        <v>42894</v>
      </c>
      <c r="H1999">
        <v>8596.8463499999998</v>
      </c>
      <c r="I1999" s="1">
        <v>42928</v>
      </c>
      <c r="J1999">
        <v>10560.4</v>
      </c>
      <c r="K1999" s="1">
        <v>42908</v>
      </c>
      <c r="L1999">
        <v>20930.259999999998</v>
      </c>
    </row>
    <row r="2000" spans="1:12" x14ac:dyDescent="0.35">
      <c r="A2000" s="1">
        <v>42936</v>
      </c>
      <c r="B2000">
        <v>3499.49</v>
      </c>
      <c r="C2000" s="1">
        <v>42929</v>
      </c>
      <c r="D2000">
        <v>5235.3999999999996</v>
      </c>
      <c r="E2000" s="1">
        <v>42905</v>
      </c>
      <c r="F2000">
        <v>12888.95</v>
      </c>
      <c r="G2000" s="1">
        <v>42893</v>
      </c>
      <c r="H2000">
        <v>8581.9902999999995</v>
      </c>
      <c r="I2000" s="1">
        <v>42927</v>
      </c>
      <c r="J2000">
        <v>10449.1</v>
      </c>
      <c r="K2000" s="1">
        <v>42907</v>
      </c>
      <c r="L2000">
        <v>21071.91</v>
      </c>
    </row>
    <row r="2001" spans="1:12" x14ac:dyDescent="0.35">
      <c r="A2001" s="1">
        <v>42935</v>
      </c>
      <c r="B2001">
        <v>3500.28</v>
      </c>
      <c r="C2001" s="1">
        <v>42928</v>
      </c>
      <c r="D2001">
        <v>5222.13</v>
      </c>
      <c r="E2001" s="1">
        <v>42902</v>
      </c>
      <c r="F2001">
        <v>12752.73</v>
      </c>
      <c r="G2001" s="1">
        <v>42892</v>
      </c>
      <c r="H2001">
        <v>8602.6136499999993</v>
      </c>
      <c r="I2001" s="1">
        <v>42926</v>
      </c>
      <c r="J2001">
        <v>10509.5</v>
      </c>
      <c r="K2001" s="1">
        <v>42906</v>
      </c>
      <c r="L2001">
        <v>20810.02</v>
      </c>
    </row>
    <row r="2002" spans="1:12" x14ac:dyDescent="0.35">
      <c r="A2002" s="1">
        <v>42934</v>
      </c>
      <c r="B2002">
        <v>3478.68</v>
      </c>
      <c r="C2002" s="1">
        <v>42927</v>
      </c>
      <c r="D2002">
        <v>5140.6000000000004</v>
      </c>
      <c r="E2002" s="1">
        <v>42901</v>
      </c>
      <c r="F2002">
        <v>12691.81</v>
      </c>
      <c r="G2002" s="1">
        <v>42891</v>
      </c>
      <c r="H2002">
        <v>8643.2882100000006</v>
      </c>
      <c r="I2002" s="1">
        <v>42923</v>
      </c>
      <c r="J2002">
        <v>10488.8</v>
      </c>
      <c r="K2002" s="1">
        <v>42905</v>
      </c>
      <c r="L2002">
        <v>21014.25</v>
      </c>
    </row>
    <row r="2003" spans="1:12" x14ac:dyDescent="0.35">
      <c r="A2003" s="1">
        <v>42933</v>
      </c>
      <c r="B2003">
        <v>3516.35</v>
      </c>
      <c r="C2003" s="1">
        <v>42926</v>
      </c>
      <c r="D2003">
        <v>5165.6400000000003</v>
      </c>
      <c r="E2003" s="1">
        <v>42900</v>
      </c>
      <c r="F2003">
        <v>12805.95</v>
      </c>
      <c r="G2003" s="1">
        <v>42888</v>
      </c>
      <c r="H2003">
        <v>8628.5416999999998</v>
      </c>
      <c r="I2003" s="1">
        <v>42922</v>
      </c>
      <c r="J2003">
        <v>10498.4</v>
      </c>
      <c r="K2003" s="1">
        <v>42902</v>
      </c>
      <c r="L2003">
        <v>20940.73</v>
      </c>
    </row>
    <row r="2004" spans="1:12" x14ac:dyDescent="0.35">
      <c r="A2004" s="1">
        <v>42930</v>
      </c>
      <c r="B2004">
        <v>3525.94</v>
      </c>
      <c r="C2004" s="1">
        <v>42923</v>
      </c>
      <c r="D2004">
        <v>5145.16</v>
      </c>
      <c r="E2004" s="1">
        <v>42899</v>
      </c>
      <c r="F2004">
        <v>12764.98</v>
      </c>
      <c r="G2004" s="1">
        <v>42887</v>
      </c>
      <c r="H2004">
        <v>8670.9613200000003</v>
      </c>
      <c r="I2004" s="1">
        <v>42921</v>
      </c>
      <c r="J2004">
        <v>10523.6</v>
      </c>
      <c r="K2004" s="1">
        <v>42901</v>
      </c>
      <c r="L2004">
        <v>20847.509999999998</v>
      </c>
    </row>
    <row r="2005" spans="1:12" x14ac:dyDescent="0.35">
      <c r="A2005" s="1">
        <v>42929</v>
      </c>
      <c r="B2005">
        <v>3527.83</v>
      </c>
      <c r="C2005" s="1">
        <v>42922</v>
      </c>
      <c r="D2005">
        <v>5152.3999999999996</v>
      </c>
      <c r="E2005" s="1">
        <v>42898</v>
      </c>
      <c r="F2005">
        <v>12690.44</v>
      </c>
      <c r="G2005" s="1">
        <v>42886</v>
      </c>
      <c r="H2005">
        <v>8626.1596100000006</v>
      </c>
      <c r="I2005" s="1">
        <v>42920</v>
      </c>
      <c r="J2005">
        <v>10566.7</v>
      </c>
      <c r="K2005" s="1">
        <v>42900</v>
      </c>
      <c r="L2005">
        <v>20960.55</v>
      </c>
    </row>
    <row r="2006" spans="1:12" x14ac:dyDescent="0.35">
      <c r="A2006" s="1">
        <v>42928</v>
      </c>
      <c r="B2006">
        <v>3515.23</v>
      </c>
      <c r="C2006" s="1">
        <v>42921</v>
      </c>
      <c r="D2006">
        <v>5180.1000000000004</v>
      </c>
      <c r="E2006" s="1">
        <v>42895</v>
      </c>
      <c r="F2006">
        <v>12815.72</v>
      </c>
      <c r="G2006" s="1">
        <v>42885</v>
      </c>
      <c r="H2006">
        <v>8650.6035300000003</v>
      </c>
      <c r="I2006" s="1">
        <v>42919</v>
      </c>
      <c r="J2006">
        <v>10604.2</v>
      </c>
      <c r="K2006" s="1">
        <v>42899</v>
      </c>
      <c r="L2006">
        <v>21088.78</v>
      </c>
    </row>
    <row r="2007" spans="1:12" x14ac:dyDescent="0.35">
      <c r="A2007" s="1">
        <v>42927</v>
      </c>
      <c r="B2007">
        <v>3464.48</v>
      </c>
      <c r="C2007" s="1">
        <v>42920</v>
      </c>
      <c r="D2007">
        <v>5174.8999999999996</v>
      </c>
      <c r="E2007" s="1">
        <v>42894</v>
      </c>
      <c r="F2007">
        <v>12713.58</v>
      </c>
      <c r="G2007" s="1">
        <v>42881</v>
      </c>
      <c r="H2007">
        <v>8640.91201</v>
      </c>
      <c r="I2007" s="1">
        <v>42916</v>
      </c>
      <c r="J2007">
        <v>10444.5</v>
      </c>
      <c r="K2007" s="1">
        <v>42898</v>
      </c>
      <c r="L2007">
        <v>20910.23</v>
      </c>
    </row>
    <row r="2008" spans="1:12" x14ac:dyDescent="0.35">
      <c r="A2008" s="1">
        <v>42926</v>
      </c>
      <c r="B2008">
        <v>3478.06</v>
      </c>
      <c r="C2008" s="1">
        <v>42919</v>
      </c>
      <c r="D2008">
        <v>5195.72</v>
      </c>
      <c r="E2008" s="1">
        <v>42893</v>
      </c>
      <c r="F2008">
        <v>12672.49</v>
      </c>
      <c r="G2008" s="1">
        <v>42880</v>
      </c>
      <c r="H2008">
        <v>8684.4360799999995</v>
      </c>
      <c r="I2008" s="1">
        <v>42915</v>
      </c>
      <c r="J2008">
        <v>10531.1</v>
      </c>
      <c r="K2008" s="1">
        <v>42895</v>
      </c>
      <c r="L2008">
        <v>21122.42</v>
      </c>
    </row>
    <row r="2009" spans="1:12" x14ac:dyDescent="0.35">
      <c r="A2009" s="1">
        <v>42923</v>
      </c>
      <c r="B2009">
        <v>3463.84</v>
      </c>
      <c r="C2009" s="1">
        <v>42916</v>
      </c>
      <c r="D2009">
        <v>5120.68</v>
      </c>
      <c r="E2009" s="1">
        <v>42892</v>
      </c>
      <c r="F2009">
        <v>12690.12</v>
      </c>
      <c r="G2009" s="1">
        <v>42879</v>
      </c>
      <c r="H2009">
        <v>8694.1033100000004</v>
      </c>
      <c r="I2009" s="1">
        <v>42914</v>
      </c>
      <c r="J2009">
        <v>10702.7</v>
      </c>
      <c r="K2009" s="1">
        <v>42894</v>
      </c>
      <c r="L2009">
        <v>21042.41</v>
      </c>
    </row>
    <row r="2010" spans="1:12" x14ac:dyDescent="0.35">
      <c r="A2010" s="1">
        <v>42922</v>
      </c>
      <c r="B2010">
        <v>3462.06</v>
      </c>
      <c r="C2010" s="1">
        <v>42915</v>
      </c>
      <c r="D2010">
        <v>5154.3500000000004</v>
      </c>
      <c r="E2010" s="1">
        <v>42888</v>
      </c>
      <c r="F2010">
        <v>12822.94</v>
      </c>
      <c r="G2010" s="1">
        <v>42878</v>
      </c>
      <c r="H2010">
        <v>8681.1172399999996</v>
      </c>
      <c r="I2010" s="1">
        <v>42913</v>
      </c>
      <c r="J2010">
        <v>10647.9</v>
      </c>
      <c r="K2010" s="1">
        <v>42893</v>
      </c>
      <c r="L2010">
        <v>20739.91</v>
      </c>
    </row>
    <row r="2011" spans="1:12" x14ac:dyDescent="0.35">
      <c r="A2011" s="1">
        <v>42921</v>
      </c>
      <c r="B2011">
        <v>3478.41</v>
      </c>
      <c r="C2011" s="1">
        <v>42914</v>
      </c>
      <c r="D2011">
        <v>5252.9</v>
      </c>
      <c r="E2011" s="1">
        <v>42887</v>
      </c>
      <c r="F2011">
        <v>12664.92</v>
      </c>
      <c r="G2011" s="1">
        <v>42877</v>
      </c>
      <c r="H2011">
        <v>8683.4495700000007</v>
      </c>
      <c r="I2011" s="1">
        <v>42912</v>
      </c>
      <c r="J2011">
        <v>10696.6</v>
      </c>
      <c r="K2011" s="1">
        <v>42892</v>
      </c>
      <c r="L2011">
        <v>20760.009999999998</v>
      </c>
    </row>
    <row r="2012" spans="1:12" x14ac:dyDescent="0.35">
      <c r="A2012" s="1">
        <v>42920</v>
      </c>
      <c r="B2012">
        <v>3479.47</v>
      </c>
      <c r="C2012" s="1">
        <v>42913</v>
      </c>
      <c r="D2012">
        <v>5258.58</v>
      </c>
      <c r="E2012" s="1">
        <v>42886</v>
      </c>
      <c r="F2012">
        <v>12615.06</v>
      </c>
      <c r="G2012" s="1">
        <v>42874</v>
      </c>
      <c r="H2012">
        <v>8693.6874599999992</v>
      </c>
      <c r="I2012" s="1">
        <v>42909</v>
      </c>
      <c r="J2012">
        <v>10630.8</v>
      </c>
      <c r="K2012" s="1">
        <v>42891</v>
      </c>
      <c r="L2012">
        <v>20721.04</v>
      </c>
    </row>
    <row r="2013" spans="1:12" x14ac:dyDescent="0.35">
      <c r="A2013" s="1">
        <v>42919</v>
      </c>
      <c r="B2013">
        <v>3491.81</v>
      </c>
      <c r="C2013" s="1">
        <v>42912</v>
      </c>
      <c r="D2013">
        <v>5295.75</v>
      </c>
      <c r="E2013" s="1">
        <v>42885</v>
      </c>
      <c r="F2013">
        <v>12598.68</v>
      </c>
      <c r="G2013" s="1">
        <v>42873</v>
      </c>
      <c r="H2013">
        <v>8684.9578899999997</v>
      </c>
      <c r="I2013" s="1">
        <v>42908</v>
      </c>
      <c r="J2013">
        <v>10709.9</v>
      </c>
      <c r="K2013" s="1">
        <v>42888</v>
      </c>
      <c r="L2013">
        <v>20928.240000000002</v>
      </c>
    </row>
    <row r="2014" spans="1:12" x14ac:dyDescent="0.35">
      <c r="A2014" s="1">
        <v>42916</v>
      </c>
      <c r="B2014">
        <v>3441.88</v>
      </c>
      <c r="C2014" s="1">
        <v>42909</v>
      </c>
      <c r="D2014">
        <v>5266.12</v>
      </c>
      <c r="E2014" s="1">
        <v>42884</v>
      </c>
      <c r="F2014">
        <v>12628.95</v>
      </c>
      <c r="G2014" s="1">
        <v>42872</v>
      </c>
      <c r="H2014">
        <v>8717.4449499999992</v>
      </c>
      <c r="I2014" s="1">
        <v>42907</v>
      </c>
      <c r="J2014">
        <v>10740.7</v>
      </c>
      <c r="K2014" s="1">
        <v>42887</v>
      </c>
      <c r="L2014">
        <v>20936.07</v>
      </c>
    </row>
    <row r="2015" spans="1:12" x14ac:dyDescent="0.35">
      <c r="A2015" s="1">
        <v>42915</v>
      </c>
      <c r="B2015">
        <v>3471.33</v>
      </c>
      <c r="C2015" s="1">
        <v>42908</v>
      </c>
      <c r="D2015">
        <v>5281.93</v>
      </c>
      <c r="E2015" s="1">
        <v>42881</v>
      </c>
      <c r="F2015">
        <v>12602.18</v>
      </c>
      <c r="G2015" s="1">
        <v>42871</v>
      </c>
      <c r="H2015">
        <v>8771.6268899999995</v>
      </c>
      <c r="I2015" s="1">
        <v>42906</v>
      </c>
      <c r="J2015">
        <v>10746.1</v>
      </c>
      <c r="K2015" s="1">
        <v>42886</v>
      </c>
      <c r="L2015">
        <v>20731.68</v>
      </c>
    </row>
    <row r="2016" spans="1:12" x14ac:dyDescent="0.35">
      <c r="A2016" s="1">
        <v>42914</v>
      </c>
      <c r="B2016">
        <v>3535.7</v>
      </c>
      <c r="C2016" s="1">
        <v>42907</v>
      </c>
      <c r="D2016">
        <v>5274.26</v>
      </c>
      <c r="E2016" s="1">
        <v>42880</v>
      </c>
      <c r="F2016">
        <v>12621.72</v>
      </c>
      <c r="G2016" s="1">
        <v>42870</v>
      </c>
      <c r="H2016">
        <v>8768.0889299999999</v>
      </c>
      <c r="I2016" s="1">
        <v>42905</v>
      </c>
      <c r="J2016">
        <v>10848.9</v>
      </c>
      <c r="K2016" s="1">
        <v>42885</v>
      </c>
      <c r="L2016">
        <v>20814.48</v>
      </c>
    </row>
    <row r="2017" spans="1:12" x14ac:dyDescent="0.35">
      <c r="A2017" s="1">
        <v>42913</v>
      </c>
      <c r="B2017">
        <v>3538.32</v>
      </c>
      <c r="C2017" s="1">
        <v>42906</v>
      </c>
      <c r="D2017">
        <v>5293.65</v>
      </c>
      <c r="E2017" s="1">
        <v>42879</v>
      </c>
      <c r="F2017">
        <v>12642.87</v>
      </c>
      <c r="G2017" s="1">
        <v>42867</v>
      </c>
      <c r="H2017">
        <v>8765.9836500000001</v>
      </c>
      <c r="I2017" s="1">
        <v>42902</v>
      </c>
      <c r="J2017">
        <v>10759.4</v>
      </c>
      <c r="K2017" s="1">
        <v>42884</v>
      </c>
      <c r="L2017">
        <v>20783.82</v>
      </c>
    </row>
    <row r="2018" spans="1:12" x14ac:dyDescent="0.35">
      <c r="A2018" s="1">
        <v>42912</v>
      </c>
      <c r="B2018">
        <v>3561.76</v>
      </c>
      <c r="C2018" s="1">
        <v>42905</v>
      </c>
      <c r="D2018">
        <v>5310.72</v>
      </c>
      <c r="E2018" s="1">
        <v>42878</v>
      </c>
      <c r="F2018">
        <v>12659.15</v>
      </c>
      <c r="G2018" s="1">
        <v>42866</v>
      </c>
      <c r="H2018">
        <v>8752.2083299999995</v>
      </c>
      <c r="I2018" s="1">
        <v>42901</v>
      </c>
      <c r="J2018">
        <v>10699.6</v>
      </c>
      <c r="K2018" s="1">
        <v>42881</v>
      </c>
      <c r="L2018">
        <v>21210.57</v>
      </c>
    </row>
    <row r="2019" spans="1:12" x14ac:dyDescent="0.35">
      <c r="A2019" s="1">
        <v>42909</v>
      </c>
      <c r="B2019">
        <v>3543.68</v>
      </c>
      <c r="C2019" s="1">
        <v>42902</v>
      </c>
      <c r="D2019">
        <v>5263.31</v>
      </c>
      <c r="E2019" s="1">
        <v>42877</v>
      </c>
      <c r="F2019">
        <v>12619.46</v>
      </c>
      <c r="G2019" s="1">
        <v>42865</v>
      </c>
      <c r="H2019">
        <v>8793.9262799999997</v>
      </c>
      <c r="I2019" s="1">
        <v>42900</v>
      </c>
      <c r="J2019">
        <v>10775.8</v>
      </c>
      <c r="K2019" s="1">
        <v>42880</v>
      </c>
      <c r="L2019">
        <v>21291.72</v>
      </c>
    </row>
    <row r="2020" spans="1:12" x14ac:dyDescent="0.35">
      <c r="A2020" s="1">
        <v>42908</v>
      </c>
      <c r="B2020">
        <v>3555.76</v>
      </c>
      <c r="C2020" s="1">
        <v>42901</v>
      </c>
      <c r="D2020">
        <v>5216.88</v>
      </c>
      <c r="E2020" s="1">
        <v>42874</v>
      </c>
      <c r="F2020">
        <v>12638.69</v>
      </c>
      <c r="G2020" s="1">
        <v>42864</v>
      </c>
      <c r="H2020">
        <v>8723.5912900000003</v>
      </c>
      <c r="I2020" s="1">
        <v>42899</v>
      </c>
      <c r="J2020">
        <v>10882.1</v>
      </c>
      <c r="K2020" s="1">
        <v>42879</v>
      </c>
      <c r="L2020">
        <v>21369.73</v>
      </c>
    </row>
    <row r="2021" spans="1:12" x14ac:dyDescent="0.35">
      <c r="A2021" s="1">
        <v>42907</v>
      </c>
      <c r="B2021">
        <v>3554.35</v>
      </c>
      <c r="C2021" s="1">
        <v>42900</v>
      </c>
      <c r="D2021">
        <v>5243.29</v>
      </c>
      <c r="E2021" s="1">
        <v>42873</v>
      </c>
      <c r="F2021">
        <v>12590.06</v>
      </c>
      <c r="G2021" s="1">
        <v>42863</v>
      </c>
      <c r="H2021">
        <v>8639.8852700000007</v>
      </c>
      <c r="I2021" s="1">
        <v>42898</v>
      </c>
      <c r="J2021">
        <v>10842.4</v>
      </c>
      <c r="K2021" s="1">
        <v>42878</v>
      </c>
      <c r="L2021">
        <v>21415.74</v>
      </c>
    </row>
    <row r="2022" spans="1:12" x14ac:dyDescent="0.35">
      <c r="A2022" s="1">
        <v>42906</v>
      </c>
      <c r="B2022">
        <v>3560.66</v>
      </c>
      <c r="C2022" s="1">
        <v>42899</v>
      </c>
      <c r="D2022">
        <v>5261.74</v>
      </c>
      <c r="E2022" s="1">
        <v>42872</v>
      </c>
      <c r="F2022">
        <v>12631.61</v>
      </c>
      <c r="G2022" s="1">
        <v>42860</v>
      </c>
      <c r="H2022">
        <v>8604.1945400000004</v>
      </c>
      <c r="I2022" s="1">
        <v>42895</v>
      </c>
      <c r="J2022">
        <v>10978.3</v>
      </c>
      <c r="K2022" s="1">
        <v>42877</v>
      </c>
      <c r="L2022">
        <v>21318.58</v>
      </c>
    </row>
    <row r="2023" spans="1:12" x14ac:dyDescent="0.35">
      <c r="A2023" s="1">
        <v>42905</v>
      </c>
      <c r="B2023">
        <v>3579.58</v>
      </c>
      <c r="C2023" s="1">
        <v>42898</v>
      </c>
      <c r="D2023">
        <v>5240.59</v>
      </c>
      <c r="E2023" s="1">
        <v>42871</v>
      </c>
      <c r="F2023">
        <v>12804.53</v>
      </c>
      <c r="G2023" s="1">
        <v>42859</v>
      </c>
      <c r="H2023">
        <v>8534.0532299999995</v>
      </c>
      <c r="I2023" s="1">
        <v>42894</v>
      </c>
      <c r="J2023">
        <v>10953.1</v>
      </c>
      <c r="K2023" s="1">
        <v>42874</v>
      </c>
      <c r="L2023">
        <v>21567.52</v>
      </c>
    </row>
    <row r="2024" spans="1:12" x14ac:dyDescent="0.35">
      <c r="A2024" s="1">
        <v>42902</v>
      </c>
      <c r="B2024">
        <v>3543.88</v>
      </c>
      <c r="C2024" s="1">
        <v>42895</v>
      </c>
      <c r="D2024">
        <v>5299.71</v>
      </c>
      <c r="E2024" s="1">
        <v>42870</v>
      </c>
      <c r="F2024">
        <v>12807.04</v>
      </c>
      <c r="G2024" s="1">
        <v>42858</v>
      </c>
      <c r="H2024">
        <v>8557.9115500000007</v>
      </c>
      <c r="I2024" s="1">
        <v>42893</v>
      </c>
      <c r="J2024">
        <v>10871.7</v>
      </c>
      <c r="K2024" s="1">
        <v>42873</v>
      </c>
      <c r="L2024">
        <v>21299.26</v>
      </c>
    </row>
    <row r="2025" spans="1:12" x14ac:dyDescent="0.35">
      <c r="A2025" s="1">
        <v>42901</v>
      </c>
      <c r="B2025">
        <v>3525.46</v>
      </c>
      <c r="C2025" s="1">
        <v>42894</v>
      </c>
      <c r="D2025">
        <v>5264.24</v>
      </c>
      <c r="E2025" s="1">
        <v>42867</v>
      </c>
      <c r="F2025">
        <v>12770.41</v>
      </c>
      <c r="G2025" s="1">
        <v>42857</v>
      </c>
      <c r="H2025">
        <v>8590.2389600000006</v>
      </c>
      <c r="I2025" s="1">
        <v>42892</v>
      </c>
      <c r="J2025">
        <v>10879.7</v>
      </c>
      <c r="K2025" s="1">
        <v>42872</v>
      </c>
      <c r="L2025">
        <v>21283.72</v>
      </c>
    </row>
    <row r="2026" spans="1:12" x14ac:dyDescent="0.35">
      <c r="A2026" s="1">
        <v>42900</v>
      </c>
      <c r="B2026">
        <v>3547.15</v>
      </c>
      <c r="C2026" s="1">
        <v>42893</v>
      </c>
      <c r="D2026">
        <v>5265.53</v>
      </c>
      <c r="E2026" s="1">
        <v>42866</v>
      </c>
      <c r="F2026">
        <v>12711.06</v>
      </c>
      <c r="G2026" s="1">
        <v>42853</v>
      </c>
      <c r="H2026">
        <v>8558.0243100000007</v>
      </c>
      <c r="I2026" s="1">
        <v>42891</v>
      </c>
      <c r="J2026">
        <v>10884.7</v>
      </c>
      <c r="K2026" s="1">
        <v>42871</v>
      </c>
      <c r="L2026">
        <v>21787.9</v>
      </c>
    </row>
    <row r="2027" spans="1:12" x14ac:dyDescent="0.35">
      <c r="A2027" s="1">
        <v>42899</v>
      </c>
      <c r="B2027">
        <v>3557.87</v>
      </c>
      <c r="C2027" s="1">
        <v>42892</v>
      </c>
      <c r="D2027">
        <v>5269.22</v>
      </c>
      <c r="E2027" s="1">
        <v>42865</v>
      </c>
      <c r="F2027">
        <v>12757.46</v>
      </c>
      <c r="G2027" s="1">
        <v>42852</v>
      </c>
      <c r="H2027">
        <v>8584.6570599999995</v>
      </c>
      <c r="I2027" s="1">
        <v>42888</v>
      </c>
      <c r="J2027">
        <v>10905.9</v>
      </c>
      <c r="K2027" s="1">
        <v>42870</v>
      </c>
      <c r="L2027">
        <v>21704.46</v>
      </c>
    </row>
    <row r="2028" spans="1:12" x14ac:dyDescent="0.35">
      <c r="A2028" s="1">
        <v>42898</v>
      </c>
      <c r="B2028">
        <v>3543.95</v>
      </c>
      <c r="C2028" s="1">
        <v>42891</v>
      </c>
      <c r="D2028">
        <v>5307.89</v>
      </c>
      <c r="E2028" s="1">
        <v>42864</v>
      </c>
      <c r="F2028">
        <v>12749.12</v>
      </c>
      <c r="G2028" s="1">
        <v>42851</v>
      </c>
      <c r="H2028">
        <v>8599.68426</v>
      </c>
      <c r="I2028" s="1">
        <v>42887</v>
      </c>
      <c r="J2028">
        <v>10881</v>
      </c>
      <c r="K2028" s="1">
        <v>42867</v>
      </c>
      <c r="L2028">
        <v>21575.45</v>
      </c>
    </row>
    <row r="2029" spans="1:12" x14ac:dyDescent="0.35">
      <c r="A2029" s="1">
        <v>42895</v>
      </c>
      <c r="B2029">
        <v>3586.07</v>
      </c>
      <c r="C2029" s="1">
        <v>42888</v>
      </c>
      <c r="D2029">
        <v>5343.41</v>
      </c>
      <c r="E2029" s="1">
        <v>42863</v>
      </c>
      <c r="F2029">
        <v>12694.55</v>
      </c>
      <c r="G2029" s="1">
        <v>42850</v>
      </c>
      <c r="H2029">
        <v>8532.2145899999996</v>
      </c>
      <c r="I2029" s="1">
        <v>42886</v>
      </c>
      <c r="J2029">
        <v>10880</v>
      </c>
      <c r="K2029" s="1">
        <v>42866</v>
      </c>
      <c r="L2029">
        <v>21482.52</v>
      </c>
    </row>
    <row r="2030" spans="1:12" x14ac:dyDescent="0.35">
      <c r="A2030" s="1">
        <v>42894</v>
      </c>
      <c r="B2030">
        <v>3563.88</v>
      </c>
      <c r="C2030" s="1">
        <v>42887</v>
      </c>
      <c r="D2030">
        <v>5318.67</v>
      </c>
      <c r="E2030" s="1">
        <v>42860</v>
      </c>
      <c r="F2030">
        <v>12716.89</v>
      </c>
      <c r="G2030" s="1">
        <v>42849</v>
      </c>
      <c r="H2030">
        <v>8564.5766199999998</v>
      </c>
      <c r="I2030" s="1">
        <v>42885</v>
      </c>
      <c r="J2030">
        <v>10876.9</v>
      </c>
      <c r="K2030" s="1">
        <v>42865</v>
      </c>
      <c r="L2030">
        <v>21552.81</v>
      </c>
    </row>
    <row r="2031" spans="1:12" x14ac:dyDescent="0.35">
      <c r="A2031" s="1">
        <v>42893</v>
      </c>
      <c r="B2031">
        <v>3548.84</v>
      </c>
      <c r="C2031" s="1">
        <v>42886</v>
      </c>
      <c r="D2031">
        <v>5283.63</v>
      </c>
      <c r="E2031" s="1">
        <v>42859</v>
      </c>
      <c r="F2031">
        <v>12647.78</v>
      </c>
      <c r="G2031" s="1">
        <v>42846</v>
      </c>
      <c r="H2031">
        <v>8514.4390100000001</v>
      </c>
      <c r="I2031" s="1">
        <v>42884</v>
      </c>
      <c r="J2031">
        <v>10884</v>
      </c>
      <c r="K2031" s="1">
        <v>42864</v>
      </c>
      <c r="L2031">
        <v>21486.95</v>
      </c>
    </row>
    <row r="2032" spans="1:12" x14ac:dyDescent="0.35">
      <c r="A2032" s="1">
        <v>42892</v>
      </c>
      <c r="B2032">
        <v>3554.18</v>
      </c>
      <c r="C2032" s="1">
        <v>42885</v>
      </c>
      <c r="D2032">
        <v>5305.94</v>
      </c>
      <c r="E2032" s="1">
        <v>42858</v>
      </c>
      <c r="F2032">
        <v>12527.84</v>
      </c>
      <c r="G2032" s="1">
        <v>42845</v>
      </c>
      <c r="H2032">
        <v>8492.4327900000008</v>
      </c>
      <c r="I2032" s="1">
        <v>42881</v>
      </c>
      <c r="J2032">
        <v>10904.2</v>
      </c>
      <c r="K2032" s="1">
        <v>42863</v>
      </c>
      <c r="L2032">
        <v>21428.1</v>
      </c>
    </row>
    <row r="2033" spans="1:12" x14ac:dyDescent="0.35">
      <c r="A2033" s="1">
        <v>42891</v>
      </c>
      <c r="B2033">
        <v>3579.55</v>
      </c>
      <c r="C2033" s="1">
        <v>42884</v>
      </c>
      <c r="D2033">
        <v>5332.47</v>
      </c>
      <c r="E2033" s="1">
        <v>42857</v>
      </c>
      <c r="F2033">
        <v>12507.9</v>
      </c>
      <c r="G2033" s="1">
        <v>42844</v>
      </c>
      <c r="H2033">
        <v>8492.7257300000001</v>
      </c>
      <c r="I2033" s="1">
        <v>42880</v>
      </c>
      <c r="J2033">
        <v>10937.7</v>
      </c>
      <c r="K2033" s="1">
        <v>42860</v>
      </c>
      <c r="L2033">
        <v>21483.86</v>
      </c>
    </row>
    <row r="2034" spans="1:12" x14ac:dyDescent="0.35">
      <c r="A2034" s="1">
        <v>42888</v>
      </c>
      <c r="B2034">
        <v>3591.82</v>
      </c>
      <c r="C2034" s="1">
        <v>42881</v>
      </c>
      <c r="D2034">
        <v>5336.64</v>
      </c>
      <c r="E2034" s="1">
        <v>42853</v>
      </c>
      <c r="F2034">
        <v>12438.01</v>
      </c>
      <c r="G2034" s="1">
        <v>42843</v>
      </c>
      <c r="H2034">
        <v>8521.1977000000006</v>
      </c>
      <c r="I2034" s="1">
        <v>42879</v>
      </c>
      <c r="J2034">
        <v>10907.4</v>
      </c>
      <c r="K2034" s="1">
        <v>42859</v>
      </c>
      <c r="L2034">
        <v>21169.919999999998</v>
      </c>
    </row>
    <row r="2035" spans="1:12" x14ac:dyDescent="0.35">
      <c r="A2035" s="1">
        <v>42887</v>
      </c>
      <c r="B2035">
        <v>3567.02</v>
      </c>
      <c r="C2035" s="1">
        <v>42880</v>
      </c>
      <c r="D2035">
        <v>5337.16</v>
      </c>
      <c r="E2035" s="1">
        <v>42852</v>
      </c>
      <c r="F2035">
        <v>12443.79</v>
      </c>
      <c r="G2035" s="1">
        <v>42838</v>
      </c>
      <c r="H2035">
        <v>8634.1664899999996</v>
      </c>
      <c r="I2035" s="1">
        <v>42878</v>
      </c>
      <c r="J2035">
        <v>10916.3</v>
      </c>
      <c r="K2035" s="1">
        <v>42858</v>
      </c>
      <c r="L2035">
        <v>20759.310000000001</v>
      </c>
    </row>
    <row r="2036" spans="1:12" x14ac:dyDescent="0.35">
      <c r="A2036" s="1">
        <v>42886</v>
      </c>
      <c r="B2036">
        <v>3554.59</v>
      </c>
      <c r="C2036" s="1">
        <v>42879</v>
      </c>
      <c r="D2036">
        <v>5341.34</v>
      </c>
      <c r="E2036" s="1">
        <v>42851</v>
      </c>
      <c r="F2036">
        <v>12472.8</v>
      </c>
      <c r="G2036" s="1">
        <v>42837</v>
      </c>
      <c r="H2036">
        <v>8658.3884300000009</v>
      </c>
      <c r="I2036" s="1">
        <v>42877</v>
      </c>
      <c r="J2036">
        <v>10793.4</v>
      </c>
      <c r="K2036" s="1">
        <v>42857</v>
      </c>
      <c r="L2036">
        <v>20733.25</v>
      </c>
    </row>
    <row r="2037" spans="1:12" x14ac:dyDescent="0.35">
      <c r="A2037" s="1">
        <v>42885</v>
      </c>
      <c r="B2037">
        <v>3561.22</v>
      </c>
      <c r="C2037" s="1">
        <v>42878</v>
      </c>
      <c r="D2037">
        <v>5348.16</v>
      </c>
      <c r="E2037" s="1">
        <v>42850</v>
      </c>
      <c r="F2037">
        <v>12467.04</v>
      </c>
      <c r="G2037" s="1">
        <v>42836</v>
      </c>
      <c r="H2037">
        <v>8665.7433099999998</v>
      </c>
      <c r="I2037" s="1">
        <v>42874</v>
      </c>
      <c r="J2037">
        <v>10835.4</v>
      </c>
      <c r="K2037" s="1">
        <v>42853</v>
      </c>
      <c r="L2037">
        <v>20609.16</v>
      </c>
    </row>
    <row r="2038" spans="1:12" x14ac:dyDescent="0.35">
      <c r="A2038" s="1">
        <v>42884</v>
      </c>
      <c r="B2038">
        <v>3578.95</v>
      </c>
      <c r="C2038" s="1">
        <v>42877</v>
      </c>
      <c r="D2038">
        <v>5322.88</v>
      </c>
      <c r="E2038" s="1">
        <v>42849</v>
      </c>
      <c r="F2038">
        <v>12454.98</v>
      </c>
      <c r="G2038" s="1">
        <v>42835</v>
      </c>
      <c r="H2038">
        <v>8610.0458400000007</v>
      </c>
      <c r="I2038" s="1">
        <v>42873</v>
      </c>
      <c r="J2038">
        <v>10684.9</v>
      </c>
      <c r="K2038" s="1">
        <v>42852</v>
      </c>
      <c r="L2038">
        <v>20597.34</v>
      </c>
    </row>
    <row r="2039" spans="1:12" x14ac:dyDescent="0.35">
      <c r="A2039" s="1">
        <v>42881</v>
      </c>
      <c r="B2039">
        <v>3579.02</v>
      </c>
      <c r="C2039" s="1">
        <v>42874</v>
      </c>
      <c r="D2039">
        <v>5324.4</v>
      </c>
      <c r="E2039" s="1">
        <v>42846</v>
      </c>
      <c r="F2039">
        <v>12048.57</v>
      </c>
      <c r="G2039" s="1">
        <v>42832</v>
      </c>
      <c r="H2039">
        <v>8587.7863400000006</v>
      </c>
      <c r="I2039" s="1">
        <v>42872</v>
      </c>
      <c r="J2039">
        <v>10786.1</v>
      </c>
      <c r="K2039" s="1">
        <v>42851</v>
      </c>
      <c r="L2039">
        <v>20836.509999999998</v>
      </c>
    </row>
    <row r="2040" spans="1:12" x14ac:dyDescent="0.35">
      <c r="A2040" s="1">
        <v>42880</v>
      </c>
      <c r="B2040">
        <v>3584.55</v>
      </c>
      <c r="C2040" s="1">
        <v>42873</v>
      </c>
      <c r="D2040">
        <v>5289.73</v>
      </c>
      <c r="E2040" s="1">
        <v>42845</v>
      </c>
      <c r="F2040">
        <v>12027.32</v>
      </c>
      <c r="G2040" s="1">
        <v>42831</v>
      </c>
      <c r="H2040">
        <v>8556.0588200000002</v>
      </c>
      <c r="I2040" s="1">
        <v>42871</v>
      </c>
      <c r="J2040">
        <v>10982.4</v>
      </c>
      <c r="K2040" s="1">
        <v>42850</v>
      </c>
      <c r="L2040">
        <v>20805.52</v>
      </c>
    </row>
    <row r="2041" spans="1:12" x14ac:dyDescent="0.35">
      <c r="A2041" s="1">
        <v>42879</v>
      </c>
      <c r="B2041">
        <v>3586.62</v>
      </c>
      <c r="C2041" s="1">
        <v>42872</v>
      </c>
      <c r="D2041">
        <v>5317.89</v>
      </c>
      <c r="E2041" s="1">
        <v>42844</v>
      </c>
      <c r="F2041">
        <v>12016.45</v>
      </c>
      <c r="G2041" s="1">
        <v>42830</v>
      </c>
      <c r="H2041">
        <v>8585.64725</v>
      </c>
      <c r="I2041" s="1">
        <v>42870</v>
      </c>
      <c r="J2041">
        <v>10957.8</v>
      </c>
      <c r="K2041" s="1">
        <v>42849</v>
      </c>
      <c r="L2041">
        <v>20684.41</v>
      </c>
    </row>
    <row r="2042" spans="1:12" x14ac:dyDescent="0.35">
      <c r="A2042" s="1">
        <v>42878</v>
      </c>
      <c r="B2042">
        <v>3595.03</v>
      </c>
      <c r="C2042" s="1">
        <v>42871</v>
      </c>
      <c r="D2042">
        <v>5406.1</v>
      </c>
      <c r="E2042" s="1">
        <v>42843</v>
      </c>
      <c r="F2042">
        <v>12000.44</v>
      </c>
      <c r="G2042" s="1">
        <v>42829</v>
      </c>
      <c r="H2042">
        <v>8538.11708</v>
      </c>
      <c r="I2042" s="1">
        <v>42867</v>
      </c>
      <c r="J2042">
        <v>10897</v>
      </c>
      <c r="K2042" s="1">
        <v>42846</v>
      </c>
      <c r="L2042">
        <v>19741.75</v>
      </c>
    </row>
    <row r="2043" spans="1:12" x14ac:dyDescent="0.35">
      <c r="A2043" s="1">
        <v>42877</v>
      </c>
      <c r="B2043">
        <v>3576.53</v>
      </c>
      <c r="C2043" s="1">
        <v>42870</v>
      </c>
      <c r="D2043">
        <v>5417.4</v>
      </c>
      <c r="E2043" s="1">
        <v>42838</v>
      </c>
      <c r="F2043">
        <v>12109</v>
      </c>
      <c r="G2043" s="1">
        <v>42828</v>
      </c>
      <c r="H2043">
        <v>8522.5438900000008</v>
      </c>
      <c r="I2043" s="1">
        <v>42866</v>
      </c>
      <c r="J2043">
        <v>10861.4</v>
      </c>
      <c r="K2043" s="1">
        <v>42845</v>
      </c>
      <c r="L2043">
        <v>19849.439999999999</v>
      </c>
    </row>
    <row r="2044" spans="1:12" x14ac:dyDescent="0.35">
      <c r="A2044" s="1">
        <v>42874</v>
      </c>
      <c r="B2044">
        <v>3587.01</v>
      </c>
      <c r="C2044" s="1">
        <v>42867</v>
      </c>
      <c r="D2044">
        <v>5405.42</v>
      </c>
      <c r="E2044" s="1">
        <v>42837</v>
      </c>
      <c r="F2044">
        <v>12154.7</v>
      </c>
      <c r="G2044" s="1">
        <v>42825</v>
      </c>
      <c r="H2044">
        <v>8585.9645400000009</v>
      </c>
      <c r="I2044" s="1">
        <v>42865</v>
      </c>
      <c r="J2044">
        <v>11034.8</v>
      </c>
      <c r="K2044" s="1">
        <v>42844</v>
      </c>
      <c r="L2044">
        <v>19824.61</v>
      </c>
    </row>
    <row r="2045" spans="1:12" x14ac:dyDescent="0.35">
      <c r="A2045" s="1">
        <v>42873</v>
      </c>
      <c r="B2045">
        <v>3562.22</v>
      </c>
      <c r="C2045" s="1">
        <v>42866</v>
      </c>
      <c r="D2045">
        <v>5383.42</v>
      </c>
      <c r="E2045" s="1">
        <v>42836</v>
      </c>
      <c r="F2045">
        <v>12139.35</v>
      </c>
      <c r="G2045" s="1">
        <v>42824</v>
      </c>
      <c r="H2045">
        <v>8588.8230600000006</v>
      </c>
      <c r="I2045" s="1">
        <v>42864</v>
      </c>
      <c r="J2045">
        <v>11049.2</v>
      </c>
      <c r="K2045" s="1">
        <v>42843</v>
      </c>
      <c r="L2045">
        <v>19442.71</v>
      </c>
    </row>
    <row r="2046" spans="1:12" x14ac:dyDescent="0.35">
      <c r="A2046" s="1">
        <v>42872</v>
      </c>
      <c r="B2046">
        <v>3584.83</v>
      </c>
      <c r="C2046" s="1">
        <v>42865</v>
      </c>
      <c r="D2046">
        <v>5400.46</v>
      </c>
      <c r="E2046" s="1">
        <v>42835</v>
      </c>
      <c r="F2046">
        <v>12200.52</v>
      </c>
      <c r="G2046" s="1">
        <v>42823</v>
      </c>
      <c r="H2046">
        <v>8511.5677799999994</v>
      </c>
      <c r="I2046" s="1">
        <v>42863</v>
      </c>
      <c r="J2046">
        <v>11096.3</v>
      </c>
      <c r="K2046" s="1">
        <v>42838</v>
      </c>
      <c r="L2046">
        <v>19773.68</v>
      </c>
    </row>
    <row r="2047" spans="1:12" x14ac:dyDescent="0.35">
      <c r="A2047" s="1">
        <v>42871</v>
      </c>
      <c r="B2047">
        <v>3641.89</v>
      </c>
      <c r="C2047" s="1">
        <v>42864</v>
      </c>
      <c r="D2047">
        <v>5398.01</v>
      </c>
      <c r="E2047" s="1">
        <v>42832</v>
      </c>
      <c r="F2047">
        <v>12225.06</v>
      </c>
      <c r="G2047" s="1">
        <v>42822</v>
      </c>
      <c r="H2047">
        <v>8460.5580200000004</v>
      </c>
      <c r="I2047" s="1">
        <v>42860</v>
      </c>
      <c r="J2047">
        <v>11135.4</v>
      </c>
      <c r="K2047" s="1">
        <v>42837</v>
      </c>
      <c r="L2047">
        <v>20004.93</v>
      </c>
    </row>
    <row r="2048" spans="1:12" x14ac:dyDescent="0.35">
      <c r="A2048" s="1">
        <v>42870</v>
      </c>
      <c r="B2048">
        <v>3641.88</v>
      </c>
      <c r="C2048" s="1">
        <v>42863</v>
      </c>
      <c r="D2048">
        <v>5382.95</v>
      </c>
      <c r="E2048" s="1">
        <v>42831</v>
      </c>
      <c r="F2048">
        <v>12230.89</v>
      </c>
      <c r="G2048" s="1">
        <v>42821</v>
      </c>
      <c r="H2048">
        <v>8434.1163899999992</v>
      </c>
      <c r="I2048" s="1">
        <v>42859</v>
      </c>
      <c r="J2048">
        <v>11012.9</v>
      </c>
      <c r="K2048" s="1">
        <v>42836</v>
      </c>
      <c r="L2048">
        <v>20109.060000000001</v>
      </c>
    </row>
    <row r="2049" spans="1:12" x14ac:dyDescent="0.35">
      <c r="A2049" s="1">
        <v>42867</v>
      </c>
      <c r="B2049">
        <v>3637.52</v>
      </c>
      <c r="C2049" s="1">
        <v>42860</v>
      </c>
      <c r="D2049">
        <v>5432.4</v>
      </c>
      <c r="E2049" s="1">
        <v>42830</v>
      </c>
      <c r="F2049">
        <v>12217.54</v>
      </c>
      <c r="G2049" s="1">
        <v>42818</v>
      </c>
      <c r="H2049">
        <v>8485.8295699999999</v>
      </c>
      <c r="I2049" s="1">
        <v>42858</v>
      </c>
      <c r="J2049">
        <v>10837</v>
      </c>
      <c r="K2049" s="1">
        <v>42835</v>
      </c>
      <c r="L2049">
        <v>20202.05</v>
      </c>
    </row>
    <row r="2050" spans="1:12" x14ac:dyDescent="0.35">
      <c r="A2050" s="1">
        <v>42866</v>
      </c>
      <c r="B2050">
        <v>3623.55</v>
      </c>
      <c r="C2050" s="1">
        <v>42859</v>
      </c>
      <c r="D2050">
        <v>5372.42</v>
      </c>
      <c r="E2050" s="1">
        <v>42829</v>
      </c>
      <c r="F2050">
        <v>12282.34</v>
      </c>
      <c r="G2050" s="1">
        <v>42817</v>
      </c>
      <c r="H2050">
        <v>8521.3788700000005</v>
      </c>
      <c r="I2050" s="1">
        <v>42857</v>
      </c>
      <c r="J2050">
        <v>10820.3</v>
      </c>
      <c r="K2050" s="1">
        <v>42832</v>
      </c>
      <c r="L2050">
        <v>20300.060000000001</v>
      </c>
    </row>
    <row r="2051" spans="1:12" x14ac:dyDescent="0.35">
      <c r="A2051" s="1">
        <v>42865</v>
      </c>
      <c r="B2051">
        <v>3645.74</v>
      </c>
      <c r="C2051" s="1">
        <v>42858</v>
      </c>
      <c r="D2051">
        <v>5301</v>
      </c>
      <c r="E2051" s="1">
        <v>42828</v>
      </c>
      <c r="F2051">
        <v>12257.2</v>
      </c>
      <c r="G2051" s="1">
        <v>42816</v>
      </c>
      <c r="H2051">
        <v>8455.5087999999996</v>
      </c>
      <c r="I2051" s="1">
        <v>42853</v>
      </c>
      <c r="J2051">
        <v>10715.8</v>
      </c>
      <c r="K2051" s="1">
        <v>42831</v>
      </c>
      <c r="L2051">
        <v>20296.97</v>
      </c>
    </row>
    <row r="2052" spans="1:12" x14ac:dyDescent="0.35">
      <c r="A2052" s="1">
        <v>42864</v>
      </c>
      <c r="B2052">
        <v>3649.08</v>
      </c>
      <c r="C2052" s="1">
        <v>42857</v>
      </c>
      <c r="D2052">
        <v>5304.15</v>
      </c>
      <c r="E2052" s="1">
        <v>42825</v>
      </c>
      <c r="F2052">
        <v>12312.87</v>
      </c>
      <c r="G2052" s="1">
        <v>42815</v>
      </c>
      <c r="H2052">
        <v>8517.6173999999992</v>
      </c>
      <c r="I2052" s="1">
        <v>42852</v>
      </c>
      <c r="J2052">
        <v>10683.9</v>
      </c>
      <c r="K2052" s="1">
        <v>42830</v>
      </c>
      <c r="L2052">
        <v>20253.37</v>
      </c>
    </row>
    <row r="2053" spans="1:12" x14ac:dyDescent="0.35">
      <c r="A2053" s="1">
        <v>42863</v>
      </c>
      <c r="B2053">
        <v>3642.11</v>
      </c>
      <c r="C2053" s="1">
        <v>42853</v>
      </c>
      <c r="D2053">
        <v>5267.33</v>
      </c>
      <c r="E2053" s="1">
        <v>42824</v>
      </c>
      <c r="F2053">
        <v>12256.43</v>
      </c>
      <c r="G2053" s="1">
        <v>42814</v>
      </c>
      <c r="H2053">
        <v>8549.6834899999994</v>
      </c>
      <c r="I2053" s="1">
        <v>42851</v>
      </c>
      <c r="J2053">
        <v>10763.4</v>
      </c>
      <c r="K2053" s="1">
        <v>42829</v>
      </c>
      <c r="L2053">
        <v>20257.099999999999</v>
      </c>
    </row>
    <row r="2054" spans="1:12" x14ac:dyDescent="0.35">
      <c r="A2054" s="1">
        <v>42860</v>
      </c>
      <c r="B2054">
        <v>3658.79</v>
      </c>
      <c r="C2054" s="1">
        <v>42852</v>
      </c>
      <c r="D2054">
        <v>5271.7</v>
      </c>
      <c r="E2054" s="1">
        <v>42823</v>
      </c>
      <c r="F2054">
        <v>12203</v>
      </c>
      <c r="G2054" s="1">
        <v>42811</v>
      </c>
      <c r="H2054">
        <v>8563.6473299999998</v>
      </c>
      <c r="I2054" s="1">
        <v>42850</v>
      </c>
      <c r="J2054">
        <v>10783.1</v>
      </c>
      <c r="K2054" s="1">
        <v>42828</v>
      </c>
      <c r="L2054">
        <v>20242.88</v>
      </c>
    </row>
    <row r="2055" spans="1:12" x14ac:dyDescent="0.35">
      <c r="A2055" s="1">
        <v>42859</v>
      </c>
      <c r="B2055">
        <v>3627.88</v>
      </c>
      <c r="C2055" s="1">
        <v>42851</v>
      </c>
      <c r="D2055">
        <v>5287.88</v>
      </c>
      <c r="E2055" s="1">
        <v>42822</v>
      </c>
      <c r="F2055">
        <v>12149.42</v>
      </c>
      <c r="G2055" s="1">
        <v>42810</v>
      </c>
      <c r="H2055">
        <v>8548.9327499999999</v>
      </c>
      <c r="I2055" s="1">
        <v>42849</v>
      </c>
      <c r="J2055">
        <v>10766.8</v>
      </c>
      <c r="K2055" s="1">
        <v>42825</v>
      </c>
      <c r="L2055">
        <v>20492.939999999999</v>
      </c>
    </row>
    <row r="2056" spans="1:12" x14ac:dyDescent="0.35">
      <c r="A2056" s="1">
        <v>42858</v>
      </c>
      <c r="B2056">
        <v>3586.25</v>
      </c>
      <c r="C2056" s="1">
        <v>42850</v>
      </c>
      <c r="D2056">
        <v>5277.88</v>
      </c>
      <c r="E2056" s="1">
        <v>42821</v>
      </c>
      <c r="F2056">
        <v>11996.07</v>
      </c>
      <c r="G2056" s="1">
        <v>42809</v>
      </c>
      <c r="H2056">
        <v>8457.26001</v>
      </c>
      <c r="I2056" s="1">
        <v>42846</v>
      </c>
      <c r="J2056">
        <v>10377</v>
      </c>
      <c r="K2056" s="1">
        <v>42824</v>
      </c>
      <c r="L2056">
        <v>20367.75</v>
      </c>
    </row>
    <row r="2057" spans="1:12" x14ac:dyDescent="0.35">
      <c r="A2057" s="1">
        <v>42857</v>
      </c>
      <c r="B2057">
        <v>3578.21</v>
      </c>
      <c r="C2057" s="1">
        <v>42849</v>
      </c>
      <c r="D2057">
        <v>5268.85</v>
      </c>
      <c r="E2057" s="1">
        <v>42818</v>
      </c>
      <c r="F2057">
        <v>12064.27</v>
      </c>
      <c r="G2057" s="1">
        <v>42808</v>
      </c>
      <c r="H2057">
        <v>8427.4781299999995</v>
      </c>
      <c r="I2057" s="1">
        <v>42845</v>
      </c>
      <c r="J2057">
        <v>10372.5</v>
      </c>
      <c r="K2057" s="1">
        <v>42823</v>
      </c>
      <c r="L2057">
        <v>20276.8</v>
      </c>
    </row>
    <row r="2058" spans="1:12" x14ac:dyDescent="0.35">
      <c r="A2058" s="1">
        <v>42856</v>
      </c>
      <c r="B2058">
        <v>3559.59</v>
      </c>
      <c r="C2058" s="1">
        <v>42846</v>
      </c>
      <c r="D2058">
        <v>5059.2</v>
      </c>
      <c r="E2058" s="1">
        <v>42817</v>
      </c>
      <c r="F2058">
        <v>12039.68</v>
      </c>
      <c r="G2058" s="1">
        <v>42807</v>
      </c>
      <c r="H2058">
        <v>8456.3489800000007</v>
      </c>
      <c r="I2058" s="1">
        <v>42844</v>
      </c>
      <c r="J2058">
        <v>10370.299999999999</v>
      </c>
      <c r="K2058" s="1">
        <v>42822</v>
      </c>
      <c r="L2058">
        <v>20330.419999999998</v>
      </c>
    </row>
    <row r="2059" spans="1:12" x14ac:dyDescent="0.35">
      <c r="A2059" s="1">
        <v>42853</v>
      </c>
      <c r="B2059">
        <v>3559.59</v>
      </c>
      <c r="C2059" s="1">
        <v>42845</v>
      </c>
      <c r="D2059">
        <v>5077.91</v>
      </c>
      <c r="E2059" s="1">
        <v>42816</v>
      </c>
      <c r="F2059">
        <v>11904.12</v>
      </c>
      <c r="G2059" s="1">
        <v>42804</v>
      </c>
      <c r="H2059">
        <v>8375.4747900000002</v>
      </c>
      <c r="I2059" s="1">
        <v>42843</v>
      </c>
      <c r="J2059">
        <v>10264.5</v>
      </c>
      <c r="K2059" s="1">
        <v>42821</v>
      </c>
      <c r="L2059">
        <v>20124.189999999999</v>
      </c>
    </row>
    <row r="2060" spans="1:12" x14ac:dyDescent="0.35">
      <c r="A2060" s="1">
        <v>42852</v>
      </c>
      <c r="B2060">
        <v>3563.29</v>
      </c>
      <c r="C2060" s="1">
        <v>42844</v>
      </c>
      <c r="D2060">
        <v>5003.7299999999996</v>
      </c>
      <c r="E2060" s="1">
        <v>42815</v>
      </c>
      <c r="F2060">
        <v>11962.13</v>
      </c>
      <c r="G2060" s="1">
        <v>42803</v>
      </c>
      <c r="H2060">
        <v>8414.2781900000009</v>
      </c>
      <c r="I2060" s="1">
        <v>42838</v>
      </c>
      <c r="J2060">
        <v>10326.1</v>
      </c>
      <c r="K2060" s="1">
        <v>42818</v>
      </c>
      <c r="L2060">
        <v>20188.02</v>
      </c>
    </row>
    <row r="2061" spans="1:12" x14ac:dyDescent="0.35">
      <c r="A2061" s="1">
        <v>42851</v>
      </c>
      <c r="B2061">
        <v>3578.71</v>
      </c>
      <c r="C2061" s="1">
        <v>42843</v>
      </c>
      <c r="D2061">
        <v>4990.25</v>
      </c>
      <c r="E2061" s="1">
        <v>42814</v>
      </c>
      <c r="F2061">
        <v>12052.9</v>
      </c>
      <c r="G2061" s="1">
        <v>42802</v>
      </c>
      <c r="H2061">
        <v>8459.4775900000004</v>
      </c>
      <c r="I2061" s="1">
        <v>42837</v>
      </c>
      <c r="J2061">
        <v>10360.5</v>
      </c>
      <c r="K2061" s="1">
        <v>42817</v>
      </c>
      <c r="L2061">
        <v>20167.490000000002</v>
      </c>
    </row>
    <row r="2062" spans="1:12" x14ac:dyDescent="0.35">
      <c r="A2062" s="1">
        <v>42850</v>
      </c>
      <c r="B2062">
        <v>3583.16</v>
      </c>
      <c r="C2062" s="1">
        <v>42838</v>
      </c>
      <c r="D2062">
        <v>5071.1000000000004</v>
      </c>
      <c r="E2062" s="1">
        <v>42811</v>
      </c>
      <c r="F2062">
        <v>12095.24</v>
      </c>
      <c r="G2062" s="1">
        <v>42801</v>
      </c>
      <c r="H2062">
        <v>8471.5887399999992</v>
      </c>
      <c r="I2062" s="1">
        <v>42836</v>
      </c>
      <c r="J2062">
        <v>10416.299999999999</v>
      </c>
      <c r="K2062" s="1">
        <v>42816</v>
      </c>
      <c r="L2062">
        <v>19953.439999999999</v>
      </c>
    </row>
    <row r="2063" spans="1:12" x14ac:dyDescent="0.35">
      <c r="A2063" s="1">
        <v>42849</v>
      </c>
      <c r="B2063">
        <v>3577.38</v>
      </c>
      <c r="C2063" s="1">
        <v>42837</v>
      </c>
      <c r="D2063">
        <v>5101.1099999999997</v>
      </c>
      <c r="E2063" s="1">
        <v>42810</v>
      </c>
      <c r="F2063">
        <v>12083.18</v>
      </c>
      <c r="G2063" s="1">
        <v>42800</v>
      </c>
      <c r="H2063">
        <v>8498.0116799999996</v>
      </c>
      <c r="I2063" s="1">
        <v>42835</v>
      </c>
      <c r="J2063">
        <v>10437.700000000001</v>
      </c>
      <c r="K2063" s="1">
        <v>42815</v>
      </c>
      <c r="L2063">
        <v>19918.84</v>
      </c>
    </row>
    <row r="2064" spans="1:12" x14ac:dyDescent="0.35">
      <c r="A2064" s="1">
        <v>42846</v>
      </c>
      <c r="B2064">
        <v>3440.27</v>
      </c>
      <c r="C2064" s="1">
        <v>42836</v>
      </c>
      <c r="D2064">
        <v>5101.8599999999997</v>
      </c>
      <c r="E2064" s="1">
        <v>42809</v>
      </c>
      <c r="F2064">
        <v>12009.87</v>
      </c>
      <c r="G2064" s="1">
        <v>42797</v>
      </c>
      <c r="H2064">
        <v>8558.3865800000003</v>
      </c>
      <c r="I2064" s="1">
        <v>42832</v>
      </c>
      <c r="J2064">
        <v>10529</v>
      </c>
      <c r="K2064" s="1">
        <v>42814</v>
      </c>
      <c r="L2064">
        <v>19968.55</v>
      </c>
    </row>
    <row r="2065" spans="1:12" x14ac:dyDescent="0.35">
      <c r="A2065" s="1">
        <v>42845</v>
      </c>
      <c r="B2065">
        <v>3440.03</v>
      </c>
      <c r="C2065" s="1">
        <v>42835</v>
      </c>
      <c r="D2065">
        <v>5107.45</v>
      </c>
      <c r="E2065" s="1">
        <v>42808</v>
      </c>
      <c r="F2065">
        <v>11988.79</v>
      </c>
      <c r="G2065" s="1">
        <v>42796</v>
      </c>
      <c r="H2065">
        <v>8618.3631000000005</v>
      </c>
      <c r="I2065" s="1">
        <v>42831</v>
      </c>
      <c r="J2065">
        <v>10518.9</v>
      </c>
      <c r="K2065" s="1">
        <v>42811</v>
      </c>
      <c r="L2065">
        <v>20074.28</v>
      </c>
    </row>
    <row r="2066" spans="1:12" x14ac:dyDescent="0.35">
      <c r="A2066" s="1">
        <v>42844</v>
      </c>
      <c r="B2066">
        <v>3420.99</v>
      </c>
      <c r="C2066" s="1">
        <v>42832</v>
      </c>
      <c r="D2066">
        <v>5135.28</v>
      </c>
      <c r="E2066" s="1">
        <v>42807</v>
      </c>
      <c r="F2066">
        <v>11990.03</v>
      </c>
      <c r="G2066" s="1">
        <v>42795</v>
      </c>
      <c r="H2066">
        <v>8609.4230499999994</v>
      </c>
      <c r="I2066" s="1">
        <v>42830</v>
      </c>
      <c r="J2066">
        <v>10402.700000000001</v>
      </c>
      <c r="K2066" s="1">
        <v>42810</v>
      </c>
      <c r="L2066">
        <v>20109.759999999998</v>
      </c>
    </row>
    <row r="2067" spans="1:12" x14ac:dyDescent="0.35">
      <c r="A2067" s="1">
        <v>42843</v>
      </c>
      <c r="B2067">
        <v>3409.78</v>
      </c>
      <c r="C2067" s="1">
        <v>42831</v>
      </c>
      <c r="D2067">
        <v>5121.4399999999996</v>
      </c>
      <c r="E2067" s="1">
        <v>42804</v>
      </c>
      <c r="F2067">
        <v>11963.18</v>
      </c>
      <c r="G2067" s="1">
        <v>42794</v>
      </c>
      <c r="H2067">
        <v>8502.0865799999992</v>
      </c>
      <c r="I2067" s="1">
        <v>42829</v>
      </c>
      <c r="J2067">
        <v>10361.200000000001</v>
      </c>
      <c r="K2067" s="1">
        <v>42809</v>
      </c>
      <c r="L2067">
        <v>19774.02</v>
      </c>
    </row>
    <row r="2068" spans="1:12" x14ac:dyDescent="0.35">
      <c r="A2068" s="1">
        <v>42838</v>
      </c>
      <c r="B2068">
        <v>3448.26</v>
      </c>
      <c r="C2068" s="1">
        <v>42830</v>
      </c>
      <c r="D2068">
        <v>5091.8500000000004</v>
      </c>
      <c r="E2068" s="1">
        <v>42803</v>
      </c>
      <c r="F2068">
        <v>11978.39</v>
      </c>
      <c r="G2068" s="1">
        <v>42793</v>
      </c>
      <c r="H2068">
        <v>8522.4802</v>
      </c>
      <c r="I2068" s="1">
        <v>42828</v>
      </c>
      <c r="J2068">
        <v>10325.299999999999</v>
      </c>
      <c r="K2068" s="1">
        <v>42808</v>
      </c>
      <c r="L2068">
        <v>19537.400000000001</v>
      </c>
    </row>
    <row r="2069" spans="1:12" x14ac:dyDescent="0.35">
      <c r="A2069" s="1">
        <v>42837</v>
      </c>
      <c r="B2069">
        <v>3468.51</v>
      </c>
      <c r="C2069" s="1">
        <v>42829</v>
      </c>
      <c r="D2069">
        <v>5101.13</v>
      </c>
      <c r="E2069" s="1">
        <v>42802</v>
      </c>
      <c r="F2069">
        <v>11967.31</v>
      </c>
      <c r="G2069" s="1">
        <v>42790</v>
      </c>
      <c r="H2069">
        <v>8543.8512800000008</v>
      </c>
      <c r="I2069" s="1">
        <v>42825</v>
      </c>
      <c r="J2069">
        <v>10462.9</v>
      </c>
      <c r="K2069" s="1">
        <v>42807</v>
      </c>
      <c r="L2069">
        <v>19706.95</v>
      </c>
    </row>
    <row r="2070" spans="1:12" x14ac:dyDescent="0.35">
      <c r="A2070" s="1">
        <v>42836</v>
      </c>
      <c r="B2070">
        <v>3470.04</v>
      </c>
      <c r="C2070" s="1">
        <v>42828</v>
      </c>
      <c r="D2070">
        <v>5085.91</v>
      </c>
      <c r="E2070" s="1">
        <v>42801</v>
      </c>
      <c r="F2070">
        <v>11966.14</v>
      </c>
      <c r="G2070" s="1">
        <v>42789</v>
      </c>
      <c r="H2070">
        <v>8632.4724800000004</v>
      </c>
      <c r="I2070" s="1">
        <v>42824</v>
      </c>
      <c r="J2070">
        <v>10405.9</v>
      </c>
      <c r="K2070" s="1">
        <v>42804</v>
      </c>
      <c r="L2070">
        <v>19658.37</v>
      </c>
    </row>
    <row r="2071" spans="1:12" x14ac:dyDescent="0.35">
      <c r="A2071" s="1">
        <v>42835</v>
      </c>
      <c r="B2071">
        <v>3480.44</v>
      </c>
      <c r="C2071" s="1">
        <v>42825</v>
      </c>
      <c r="D2071">
        <v>5122.51</v>
      </c>
      <c r="E2071" s="1">
        <v>42800</v>
      </c>
      <c r="F2071">
        <v>11958.4</v>
      </c>
      <c r="G2071" s="1">
        <v>42788</v>
      </c>
      <c r="H2071">
        <v>8610.1053400000001</v>
      </c>
      <c r="I2071" s="1">
        <v>42823</v>
      </c>
      <c r="J2071">
        <v>10367.6</v>
      </c>
      <c r="K2071" s="1">
        <v>42803</v>
      </c>
      <c r="L2071">
        <v>19571.240000000002</v>
      </c>
    </row>
    <row r="2072" spans="1:12" x14ac:dyDescent="0.35">
      <c r="A2072" s="1">
        <v>42832</v>
      </c>
      <c r="B2072">
        <v>3495.8</v>
      </c>
      <c r="C2072" s="1">
        <v>42824</v>
      </c>
      <c r="D2072">
        <v>5089.6400000000003</v>
      </c>
      <c r="E2072" s="1">
        <v>42797</v>
      </c>
      <c r="F2072">
        <v>12027.36</v>
      </c>
      <c r="G2072" s="1">
        <v>42787</v>
      </c>
      <c r="H2072">
        <v>8597.4636399999999</v>
      </c>
      <c r="I2072" s="1">
        <v>42822</v>
      </c>
      <c r="J2072">
        <v>10389</v>
      </c>
      <c r="K2072" s="1">
        <v>42802</v>
      </c>
      <c r="L2072">
        <v>19482.39</v>
      </c>
    </row>
    <row r="2073" spans="1:12" x14ac:dyDescent="0.35">
      <c r="A2073" s="1">
        <v>42831</v>
      </c>
      <c r="B2073">
        <v>3489.57</v>
      </c>
      <c r="C2073" s="1">
        <v>42823</v>
      </c>
      <c r="D2073">
        <v>5069.04</v>
      </c>
      <c r="E2073" s="1">
        <v>42796</v>
      </c>
      <c r="F2073">
        <v>12059.57</v>
      </c>
      <c r="G2073" s="1">
        <v>42786</v>
      </c>
      <c r="H2073">
        <v>8569.9393199999995</v>
      </c>
      <c r="I2073" s="1">
        <v>42821</v>
      </c>
      <c r="J2073">
        <v>10302.9</v>
      </c>
      <c r="K2073" s="1">
        <v>42801</v>
      </c>
      <c r="L2073">
        <v>19455.05</v>
      </c>
    </row>
    <row r="2074" spans="1:12" x14ac:dyDescent="0.35">
      <c r="A2074" s="1">
        <v>42830</v>
      </c>
      <c r="B2074">
        <v>3472.58</v>
      </c>
      <c r="C2074" s="1">
        <v>42822</v>
      </c>
      <c r="D2074">
        <v>5046.2</v>
      </c>
      <c r="E2074" s="1">
        <v>42795</v>
      </c>
      <c r="F2074">
        <v>12067.19</v>
      </c>
      <c r="G2074" s="1">
        <v>42783</v>
      </c>
      <c r="H2074">
        <v>8557.8860299999997</v>
      </c>
      <c r="I2074" s="1">
        <v>42818</v>
      </c>
      <c r="J2074">
        <v>10309.4</v>
      </c>
      <c r="K2074" s="1">
        <v>42800</v>
      </c>
      <c r="L2074">
        <v>19449.849999999999</v>
      </c>
    </row>
    <row r="2075" spans="1:12" x14ac:dyDescent="0.35">
      <c r="A2075" s="1">
        <v>42829</v>
      </c>
      <c r="B2075">
        <v>3481.66</v>
      </c>
      <c r="C2075" s="1">
        <v>42821</v>
      </c>
      <c r="D2075">
        <v>5017.43</v>
      </c>
      <c r="E2075" s="1">
        <v>42794</v>
      </c>
      <c r="F2075">
        <v>11834.41</v>
      </c>
      <c r="G2075" s="1">
        <v>42782</v>
      </c>
      <c r="H2075">
        <v>8520.6250099999997</v>
      </c>
      <c r="I2075" s="1">
        <v>42817</v>
      </c>
      <c r="J2075">
        <v>10324.9</v>
      </c>
      <c r="K2075" s="1">
        <v>42797</v>
      </c>
      <c r="L2075">
        <v>19664.45</v>
      </c>
    </row>
    <row r="2076" spans="1:12" x14ac:dyDescent="0.35">
      <c r="A2076" s="1">
        <v>42828</v>
      </c>
      <c r="B2076">
        <v>3472.94</v>
      </c>
      <c r="C2076" s="1">
        <v>42818</v>
      </c>
      <c r="D2076">
        <v>5020.8999999999996</v>
      </c>
      <c r="E2076" s="1">
        <v>42793</v>
      </c>
      <c r="F2076">
        <v>11822.67</v>
      </c>
      <c r="G2076" s="1">
        <v>42781</v>
      </c>
      <c r="H2076">
        <v>8589.8530300000002</v>
      </c>
      <c r="I2076" s="1">
        <v>42816</v>
      </c>
      <c r="J2076">
        <v>10229.299999999999</v>
      </c>
      <c r="K2076" s="1">
        <v>42796</v>
      </c>
      <c r="L2076">
        <v>19440.62</v>
      </c>
    </row>
    <row r="2077" spans="1:12" x14ac:dyDescent="0.35">
      <c r="A2077" s="1">
        <v>42825</v>
      </c>
      <c r="B2077">
        <v>3500.93</v>
      </c>
      <c r="C2077" s="1">
        <v>42817</v>
      </c>
      <c r="D2077">
        <v>5032.76</v>
      </c>
      <c r="E2077" s="1">
        <v>42790</v>
      </c>
      <c r="F2077">
        <v>11804.03</v>
      </c>
      <c r="G2077" s="1">
        <v>42780</v>
      </c>
      <c r="H2077">
        <v>8579.1711500000001</v>
      </c>
      <c r="I2077" s="1">
        <v>42815</v>
      </c>
      <c r="J2077">
        <v>10211.9</v>
      </c>
      <c r="K2077" s="1">
        <v>42795</v>
      </c>
      <c r="L2077">
        <v>19364.39</v>
      </c>
    </row>
    <row r="2078" spans="1:12" x14ac:dyDescent="0.35">
      <c r="A2078" s="1">
        <v>42824</v>
      </c>
      <c r="B2078">
        <v>3481.58</v>
      </c>
      <c r="C2078" s="1">
        <v>42816</v>
      </c>
      <c r="D2078">
        <v>4994.7</v>
      </c>
      <c r="E2078" s="1">
        <v>42789</v>
      </c>
      <c r="F2078">
        <v>11947.83</v>
      </c>
      <c r="G2078" s="1">
        <v>42779</v>
      </c>
      <c r="H2078">
        <v>8589.6201999999994</v>
      </c>
      <c r="I2078" s="1">
        <v>42814</v>
      </c>
      <c r="J2078">
        <v>10214</v>
      </c>
      <c r="K2078" s="1">
        <v>42794</v>
      </c>
      <c r="L2078">
        <v>18913.28</v>
      </c>
    </row>
    <row r="2079" spans="1:12" x14ac:dyDescent="0.35">
      <c r="A2079" s="1">
        <v>42823</v>
      </c>
      <c r="B2079">
        <v>3475.27</v>
      </c>
      <c r="C2079" s="1">
        <v>42815</v>
      </c>
      <c r="D2079">
        <v>5002.43</v>
      </c>
      <c r="E2079" s="1">
        <v>42788</v>
      </c>
      <c r="F2079">
        <v>11998.59</v>
      </c>
      <c r="G2079" s="1">
        <v>42776</v>
      </c>
      <c r="H2079">
        <v>8528.3827799999999</v>
      </c>
      <c r="I2079" s="1">
        <v>42811</v>
      </c>
      <c r="J2079">
        <v>10245.799999999999</v>
      </c>
      <c r="K2079" s="1">
        <v>42793</v>
      </c>
      <c r="L2079">
        <v>18914.3</v>
      </c>
    </row>
    <row r="2080" spans="1:12" x14ac:dyDescent="0.35">
      <c r="A2080" s="1">
        <v>42822</v>
      </c>
      <c r="B2080">
        <v>3465.07</v>
      </c>
      <c r="C2080" s="1">
        <v>42814</v>
      </c>
      <c r="D2080">
        <v>5012.16</v>
      </c>
      <c r="E2080" s="1">
        <v>42787</v>
      </c>
      <c r="F2080">
        <v>11967.49</v>
      </c>
      <c r="G2080" s="1">
        <v>42775</v>
      </c>
      <c r="H2080">
        <v>8488.5740399999995</v>
      </c>
      <c r="I2080" s="1">
        <v>42810</v>
      </c>
      <c r="J2080">
        <v>10168</v>
      </c>
      <c r="K2080" s="1">
        <v>42790</v>
      </c>
      <c r="L2080">
        <v>18596.66</v>
      </c>
    </row>
    <row r="2081" spans="1:12" x14ac:dyDescent="0.35">
      <c r="A2081" s="1">
        <v>42821</v>
      </c>
      <c r="B2081">
        <v>3437.14</v>
      </c>
      <c r="C2081" s="1">
        <v>42811</v>
      </c>
      <c r="D2081">
        <v>5029.24</v>
      </c>
      <c r="E2081" s="1">
        <v>42786</v>
      </c>
      <c r="F2081">
        <v>11827.62</v>
      </c>
      <c r="G2081" s="1">
        <v>42774</v>
      </c>
      <c r="H2081">
        <v>8425.375</v>
      </c>
      <c r="I2081" s="1">
        <v>42809</v>
      </c>
      <c r="J2081">
        <v>9983.2000000000007</v>
      </c>
      <c r="K2081" s="1">
        <v>42789</v>
      </c>
      <c r="L2081">
        <v>18819.490000000002</v>
      </c>
    </row>
    <row r="2082" spans="1:12" x14ac:dyDescent="0.35">
      <c r="A2082" s="1">
        <v>42818</v>
      </c>
      <c r="B2082">
        <v>3444.15</v>
      </c>
      <c r="C2082" s="1">
        <v>42810</v>
      </c>
      <c r="D2082">
        <v>5013.38</v>
      </c>
      <c r="E2082" s="1">
        <v>42783</v>
      </c>
      <c r="F2082">
        <v>11757.02</v>
      </c>
      <c r="G2082" s="1">
        <v>42773</v>
      </c>
      <c r="H2082">
        <v>8399.3819100000001</v>
      </c>
      <c r="I2082" s="1">
        <v>42808</v>
      </c>
      <c r="J2082">
        <v>9905.1</v>
      </c>
      <c r="K2082" s="1">
        <v>42788</v>
      </c>
      <c r="L2082">
        <v>18884.900000000001</v>
      </c>
    </row>
    <row r="2083" spans="1:12" x14ac:dyDescent="0.35">
      <c r="A2083" s="1">
        <v>42817</v>
      </c>
      <c r="B2083">
        <v>3452.18</v>
      </c>
      <c r="C2083" s="1">
        <v>42809</v>
      </c>
      <c r="D2083">
        <v>4985.4799999999996</v>
      </c>
      <c r="E2083" s="1">
        <v>42782</v>
      </c>
      <c r="F2083">
        <v>11757.24</v>
      </c>
      <c r="G2083" s="1">
        <v>42772</v>
      </c>
      <c r="H2083">
        <v>8331.9872099999993</v>
      </c>
      <c r="I2083" s="1">
        <v>42807</v>
      </c>
      <c r="J2083">
        <v>9995.9</v>
      </c>
      <c r="K2083" s="1">
        <v>42787</v>
      </c>
      <c r="L2083">
        <v>19043.580000000002</v>
      </c>
    </row>
    <row r="2084" spans="1:12" x14ac:dyDescent="0.35">
      <c r="A2084" s="1">
        <v>42816</v>
      </c>
      <c r="B2084">
        <v>3420.7</v>
      </c>
      <c r="C2084" s="1">
        <v>42808</v>
      </c>
      <c r="D2084">
        <v>4974.26</v>
      </c>
      <c r="E2084" s="1">
        <v>42781</v>
      </c>
      <c r="F2084">
        <v>11793.93</v>
      </c>
      <c r="G2084" s="1">
        <v>42769</v>
      </c>
      <c r="H2084">
        <v>8340.1344200000003</v>
      </c>
      <c r="I2084" s="1">
        <v>42804</v>
      </c>
      <c r="J2084">
        <v>10006.4</v>
      </c>
      <c r="K2084" s="1">
        <v>42786</v>
      </c>
      <c r="L2084">
        <v>18978.650000000001</v>
      </c>
    </row>
    <row r="2085" spans="1:12" x14ac:dyDescent="0.35">
      <c r="A2085" s="1">
        <v>42815</v>
      </c>
      <c r="B2085">
        <v>3429.62</v>
      </c>
      <c r="C2085" s="1">
        <v>42807</v>
      </c>
      <c r="D2085">
        <v>4999.6000000000004</v>
      </c>
      <c r="E2085" s="1">
        <v>42780</v>
      </c>
      <c r="F2085">
        <v>11771.81</v>
      </c>
      <c r="G2085" s="1">
        <v>42768</v>
      </c>
      <c r="H2085">
        <v>8312.3413500000006</v>
      </c>
      <c r="I2085" s="1">
        <v>42803</v>
      </c>
      <c r="J2085">
        <v>9998.4</v>
      </c>
      <c r="K2085" s="1">
        <v>42783</v>
      </c>
      <c r="L2085">
        <v>19006.46</v>
      </c>
    </row>
    <row r="2086" spans="1:12" x14ac:dyDescent="0.35">
      <c r="A2086" s="1">
        <v>42814</v>
      </c>
      <c r="B2086">
        <v>3437.48</v>
      </c>
      <c r="C2086" s="1">
        <v>42804</v>
      </c>
      <c r="D2086">
        <v>4993.32</v>
      </c>
      <c r="E2086" s="1">
        <v>42779</v>
      </c>
      <c r="F2086">
        <v>11774.43</v>
      </c>
      <c r="G2086" s="1">
        <v>42767</v>
      </c>
      <c r="H2086">
        <v>8352.2984699999997</v>
      </c>
      <c r="I2086" s="1">
        <v>42802</v>
      </c>
      <c r="J2086">
        <v>9850.5</v>
      </c>
      <c r="K2086" s="1">
        <v>42782</v>
      </c>
      <c r="L2086">
        <v>19087.54</v>
      </c>
    </row>
    <row r="2087" spans="1:12" x14ac:dyDescent="0.35">
      <c r="A2087" s="1">
        <v>42811</v>
      </c>
      <c r="B2087">
        <v>3448.41</v>
      </c>
      <c r="C2087" s="1">
        <v>42803</v>
      </c>
      <c r="D2087">
        <v>4981.51</v>
      </c>
      <c r="E2087" s="1">
        <v>42776</v>
      </c>
      <c r="F2087">
        <v>11666.97</v>
      </c>
      <c r="G2087" s="1">
        <v>42766</v>
      </c>
      <c r="H2087">
        <v>8274.8808900000004</v>
      </c>
      <c r="I2087" s="1">
        <v>42801</v>
      </c>
      <c r="J2087">
        <v>9801.7000000000007</v>
      </c>
      <c r="K2087" s="1">
        <v>42781</v>
      </c>
      <c r="L2087">
        <v>19056.16</v>
      </c>
    </row>
    <row r="2088" spans="1:12" x14ac:dyDescent="0.35">
      <c r="A2088" s="1">
        <v>42810</v>
      </c>
      <c r="B2088">
        <v>3439.96</v>
      </c>
      <c r="C2088" s="1">
        <v>42802</v>
      </c>
      <c r="D2088">
        <v>4960.4799999999996</v>
      </c>
      <c r="E2088" s="1">
        <v>42775</v>
      </c>
      <c r="F2088">
        <v>11642.86</v>
      </c>
      <c r="G2088" s="1">
        <v>42765</v>
      </c>
      <c r="H2088">
        <v>8307.4452399999991</v>
      </c>
      <c r="I2088" s="1">
        <v>42800</v>
      </c>
      <c r="J2088">
        <v>9804.1</v>
      </c>
      <c r="K2088" s="1">
        <v>42780</v>
      </c>
      <c r="L2088">
        <v>19187.669999999998</v>
      </c>
    </row>
    <row r="2089" spans="1:12" x14ac:dyDescent="0.35">
      <c r="A2089" s="1">
        <v>42809</v>
      </c>
      <c r="B2089">
        <v>3409.32</v>
      </c>
      <c r="C2089" s="1">
        <v>42801</v>
      </c>
      <c r="D2089">
        <v>4955</v>
      </c>
      <c r="E2089" s="1">
        <v>42774</v>
      </c>
      <c r="F2089">
        <v>11543.38</v>
      </c>
      <c r="G2089" s="1">
        <v>42762</v>
      </c>
      <c r="H2089">
        <v>8432.0074499999992</v>
      </c>
      <c r="I2089" s="1">
        <v>42797</v>
      </c>
      <c r="J2089">
        <v>9798.5</v>
      </c>
      <c r="K2089" s="1">
        <v>42779</v>
      </c>
      <c r="L2089">
        <v>19064.64</v>
      </c>
    </row>
    <row r="2090" spans="1:12" x14ac:dyDescent="0.35">
      <c r="A2090" s="1">
        <v>42808</v>
      </c>
      <c r="B2090">
        <v>3399.43</v>
      </c>
      <c r="C2090" s="1">
        <v>42800</v>
      </c>
      <c r="D2090">
        <v>4972.1899999999996</v>
      </c>
      <c r="E2090" s="1">
        <v>42773</v>
      </c>
      <c r="F2090">
        <v>11549.44</v>
      </c>
      <c r="G2090" s="1">
        <v>42761</v>
      </c>
      <c r="H2090">
        <v>8437.3837899999999</v>
      </c>
      <c r="I2090" s="1">
        <v>42796</v>
      </c>
      <c r="J2090">
        <v>9716</v>
      </c>
      <c r="K2090" s="1">
        <v>42776</v>
      </c>
      <c r="L2090">
        <v>18862.11</v>
      </c>
    </row>
    <row r="2091" spans="1:12" x14ac:dyDescent="0.35">
      <c r="A2091" s="1">
        <v>42807</v>
      </c>
      <c r="B2091">
        <v>3415.49</v>
      </c>
      <c r="C2091" s="1">
        <v>42797</v>
      </c>
      <c r="D2091">
        <v>4995.13</v>
      </c>
      <c r="E2091" s="1">
        <v>42772</v>
      </c>
      <c r="F2091">
        <v>11509.84</v>
      </c>
      <c r="G2091" s="1">
        <v>42760</v>
      </c>
      <c r="H2091">
        <v>8411.4331399999992</v>
      </c>
      <c r="I2091" s="1">
        <v>42795</v>
      </c>
      <c r="J2091">
        <v>9751.5</v>
      </c>
      <c r="K2091" s="1">
        <v>42775</v>
      </c>
      <c r="L2091">
        <v>18947.439999999999</v>
      </c>
    </row>
    <row r="2092" spans="1:12" x14ac:dyDescent="0.35">
      <c r="A2092" s="1">
        <v>42804</v>
      </c>
      <c r="B2092">
        <v>3416.27</v>
      </c>
      <c r="C2092" s="1">
        <v>42796</v>
      </c>
      <c r="D2092">
        <v>4963.8</v>
      </c>
      <c r="E2092" s="1">
        <v>42769</v>
      </c>
      <c r="F2092">
        <v>11651.49</v>
      </c>
      <c r="G2092" s="1">
        <v>42759</v>
      </c>
      <c r="H2092">
        <v>8326.8856699999997</v>
      </c>
      <c r="I2092" s="1">
        <v>42794</v>
      </c>
      <c r="J2092">
        <v>9555.5</v>
      </c>
      <c r="K2092" s="1">
        <v>42774</v>
      </c>
      <c r="L2092">
        <v>18771.78</v>
      </c>
    </row>
    <row r="2093" spans="1:12" x14ac:dyDescent="0.35">
      <c r="A2093" s="1">
        <v>42803</v>
      </c>
      <c r="B2093">
        <v>3409.89</v>
      </c>
      <c r="C2093" s="1">
        <v>42795</v>
      </c>
      <c r="D2093">
        <v>4960.83</v>
      </c>
      <c r="E2093" s="1">
        <v>42768</v>
      </c>
      <c r="F2093">
        <v>11627.95</v>
      </c>
      <c r="G2093" s="1">
        <v>42758</v>
      </c>
      <c r="H2093">
        <v>8317.8216499999999</v>
      </c>
      <c r="I2093" s="1">
        <v>42793</v>
      </c>
      <c r="J2093">
        <v>9464.2999999999993</v>
      </c>
      <c r="K2093" s="1">
        <v>42773</v>
      </c>
      <c r="L2093">
        <v>18662.61</v>
      </c>
    </row>
    <row r="2094" spans="1:12" x14ac:dyDescent="0.35">
      <c r="A2094" s="1">
        <v>42802</v>
      </c>
      <c r="B2094">
        <v>3389.62</v>
      </c>
      <c r="C2094" s="1">
        <v>42794</v>
      </c>
      <c r="D2094">
        <v>4858.58</v>
      </c>
      <c r="E2094" s="1">
        <v>42767</v>
      </c>
      <c r="F2094">
        <v>11659.5</v>
      </c>
      <c r="G2094" s="1">
        <v>42755</v>
      </c>
      <c r="H2094">
        <v>8319.1713600000003</v>
      </c>
      <c r="I2094" s="1">
        <v>42790</v>
      </c>
      <c r="J2094">
        <v>9453.5</v>
      </c>
      <c r="K2094" s="1">
        <v>42772</v>
      </c>
      <c r="L2094">
        <v>18693.650000000001</v>
      </c>
    </row>
    <row r="2095" spans="1:12" x14ac:dyDescent="0.35">
      <c r="A2095" s="1">
        <v>42801</v>
      </c>
      <c r="B2095">
        <v>3385.12</v>
      </c>
      <c r="C2095" s="1">
        <v>42793</v>
      </c>
      <c r="D2095">
        <v>4845.18</v>
      </c>
      <c r="E2095" s="1">
        <v>42766</v>
      </c>
      <c r="F2095">
        <v>11535.31</v>
      </c>
      <c r="G2095" s="1">
        <v>42754</v>
      </c>
      <c r="H2095">
        <v>8340.6911999999993</v>
      </c>
      <c r="I2095" s="1">
        <v>42789</v>
      </c>
      <c r="J2095">
        <v>9493.4</v>
      </c>
      <c r="K2095" s="1">
        <v>42769</v>
      </c>
      <c r="L2095">
        <v>19116.04</v>
      </c>
    </row>
    <row r="2096" spans="1:12" x14ac:dyDescent="0.35">
      <c r="A2096" s="1">
        <v>42800</v>
      </c>
      <c r="B2096">
        <v>3387.46</v>
      </c>
      <c r="C2096" s="1">
        <v>42790</v>
      </c>
      <c r="D2096">
        <v>4845.24</v>
      </c>
      <c r="E2096" s="1">
        <v>42765</v>
      </c>
      <c r="F2096">
        <v>11681.89</v>
      </c>
      <c r="G2096" s="1">
        <v>42753</v>
      </c>
      <c r="H2096">
        <v>8351.4068200000002</v>
      </c>
      <c r="I2096" s="1">
        <v>42788</v>
      </c>
      <c r="J2096">
        <v>9477.2000000000007</v>
      </c>
      <c r="K2096" s="1">
        <v>42768</v>
      </c>
      <c r="L2096">
        <v>18889.189999999999</v>
      </c>
    </row>
    <row r="2097" spans="1:12" x14ac:dyDescent="0.35">
      <c r="A2097" s="1">
        <v>42797</v>
      </c>
      <c r="B2097">
        <v>3403.39</v>
      </c>
      <c r="C2097" s="1">
        <v>42789</v>
      </c>
      <c r="D2097">
        <v>4891.29</v>
      </c>
      <c r="E2097" s="1">
        <v>42762</v>
      </c>
      <c r="F2097">
        <v>11814.27</v>
      </c>
      <c r="G2097" s="1">
        <v>42752</v>
      </c>
      <c r="H2097">
        <v>8356.8525599999994</v>
      </c>
      <c r="I2097" s="1">
        <v>42787</v>
      </c>
      <c r="J2097">
        <v>9561</v>
      </c>
      <c r="K2097" s="1">
        <v>42767</v>
      </c>
      <c r="L2097">
        <v>18740.650000000001</v>
      </c>
    </row>
    <row r="2098" spans="1:12" x14ac:dyDescent="0.35">
      <c r="A2098" s="1">
        <v>42796</v>
      </c>
      <c r="B2098">
        <v>3384.71</v>
      </c>
      <c r="C2098" s="1">
        <v>42788</v>
      </c>
      <c r="D2098">
        <v>4895.88</v>
      </c>
      <c r="E2098" s="1">
        <v>42761</v>
      </c>
      <c r="F2098">
        <v>11848.63</v>
      </c>
      <c r="G2098" s="1">
        <v>42751</v>
      </c>
      <c r="H2098">
        <v>8338.7216900000003</v>
      </c>
      <c r="I2098" s="1">
        <v>42786</v>
      </c>
      <c r="J2098">
        <v>9526.6</v>
      </c>
      <c r="K2098" s="1">
        <v>42766</v>
      </c>
      <c r="L2098">
        <v>18590.73</v>
      </c>
    </row>
    <row r="2099" spans="1:12" x14ac:dyDescent="0.35">
      <c r="A2099" s="1">
        <v>42795</v>
      </c>
      <c r="B2099">
        <v>3390.2</v>
      </c>
      <c r="C2099" s="1">
        <v>42787</v>
      </c>
      <c r="D2099">
        <v>4888.76</v>
      </c>
      <c r="E2099" s="1">
        <v>42760</v>
      </c>
      <c r="F2099">
        <v>11806.05</v>
      </c>
      <c r="G2099" s="1">
        <v>42748</v>
      </c>
      <c r="H2099">
        <v>8418.7866200000008</v>
      </c>
      <c r="I2099" s="1">
        <v>42783</v>
      </c>
      <c r="J2099">
        <v>9500.2999999999993</v>
      </c>
      <c r="K2099" s="1">
        <v>42765</v>
      </c>
      <c r="L2099">
        <v>18759.400000000001</v>
      </c>
    </row>
    <row r="2100" spans="1:12" x14ac:dyDescent="0.35">
      <c r="A2100" s="1">
        <v>42794</v>
      </c>
      <c r="B2100">
        <v>3319.61</v>
      </c>
      <c r="C2100" s="1">
        <v>42786</v>
      </c>
      <c r="D2100">
        <v>4864.99</v>
      </c>
      <c r="E2100" s="1">
        <v>42759</v>
      </c>
      <c r="F2100">
        <v>11594.94</v>
      </c>
      <c r="G2100" s="1">
        <v>42747</v>
      </c>
      <c r="H2100">
        <v>8346.2677800000001</v>
      </c>
      <c r="I2100" s="1">
        <v>42782</v>
      </c>
      <c r="J2100">
        <v>9554.7000000000007</v>
      </c>
      <c r="K2100" s="1">
        <v>42762</v>
      </c>
      <c r="L2100">
        <v>19329.259999999998</v>
      </c>
    </row>
    <row r="2101" spans="1:12" x14ac:dyDescent="0.35">
      <c r="A2101" s="1">
        <v>42793</v>
      </c>
      <c r="B2101">
        <v>3309.3</v>
      </c>
      <c r="C2101" s="1">
        <v>42783</v>
      </c>
      <c r="D2101">
        <v>4867.58</v>
      </c>
      <c r="E2101" s="1">
        <v>42758</v>
      </c>
      <c r="F2101">
        <v>11545.75</v>
      </c>
      <c r="G2101" s="1">
        <v>42746</v>
      </c>
      <c r="H2101">
        <v>8395.2143099999994</v>
      </c>
      <c r="I2101" s="1">
        <v>42781</v>
      </c>
      <c r="J2101">
        <v>9584.1</v>
      </c>
      <c r="K2101" s="1">
        <v>42761</v>
      </c>
      <c r="L2101">
        <v>19439.650000000001</v>
      </c>
    </row>
    <row r="2102" spans="1:12" x14ac:dyDescent="0.35">
      <c r="A2102" s="1">
        <v>42790</v>
      </c>
      <c r="B2102">
        <v>3304.09</v>
      </c>
      <c r="C2102" s="1">
        <v>42782</v>
      </c>
      <c r="D2102">
        <v>4899.46</v>
      </c>
      <c r="E2102" s="1">
        <v>42755</v>
      </c>
      <c r="F2102">
        <v>11630.13</v>
      </c>
      <c r="G2102" s="1">
        <v>42745</v>
      </c>
      <c r="H2102">
        <v>8376.3317599999991</v>
      </c>
      <c r="I2102" s="1">
        <v>42780</v>
      </c>
      <c r="J2102">
        <v>9510.2000000000007</v>
      </c>
      <c r="K2102" s="1">
        <v>42760</v>
      </c>
      <c r="L2102">
        <v>19582.23</v>
      </c>
    </row>
    <row r="2103" spans="1:12" x14ac:dyDescent="0.35">
      <c r="A2103" s="1">
        <v>42789</v>
      </c>
      <c r="B2103">
        <v>3333.96</v>
      </c>
      <c r="C2103" s="1">
        <v>42781</v>
      </c>
      <c r="D2103">
        <v>4924.8599999999997</v>
      </c>
      <c r="E2103" s="1">
        <v>42754</v>
      </c>
      <c r="F2103">
        <v>11596.89</v>
      </c>
      <c r="G2103" s="1">
        <v>42744</v>
      </c>
      <c r="H2103">
        <v>8331.8913200000006</v>
      </c>
      <c r="I2103" s="1">
        <v>42779</v>
      </c>
      <c r="J2103">
        <v>9484.1</v>
      </c>
      <c r="K2103" s="1">
        <v>42759</v>
      </c>
      <c r="L2103">
        <v>19499.54</v>
      </c>
    </row>
    <row r="2104" spans="1:12" x14ac:dyDescent="0.35">
      <c r="A2104" s="1">
        <v>42788</v>
      </c>
      <c r="B2104">
        <v>3339.27</v>
      </c>
      <c r="C2104" s="1">
        <v>42780</v>
      </c>
      <c r="D2104">
        <v>4895.82</v>
      </c>
      <c r="E2104" s="1">
        <v>42753</v>
      </c>
      <c r="F2104">
        <v>11599.39</v>
      </c>
      <c r="G2104" s="1">
        <v>42741</v>
      </c>
      <c r="H2104">
        <v>8406.7132700000002</v>
      </c>
      <c r="I2104" s="1">
        <v>42776</v>
      </c>
      <c r="J2104">
        <v>9378.1</v>
      </c>
      <c r="K2104" s="1">
        <v>42758</v>
      </c>
      <c r="L2104">
        <v>19328.41</v>
      </c>
    </row>
    <row r="2105" spans="1:12" x14ac:dyDescent="0.35">
      <c r="A2105" s="1">
        <v>42787</v>
      </c>
      <c r="B2105">
        <v>3339.33</v>
      </c>
      <c r="C2105" s="1">
        <v>42779</v>
      </c>
      <c r="D2105">
        <v>4888.1899999999996</v>
      </c>
      <c r="E2105" s="1">
        <v>42752</v>
      </c>
      <c r="F2105">
        <v>11540</v>
      </c>
      <c r="G2105" s="1">
        <v>42740</v>
      </c>
      <c r="H2105">
        <v>8430.9642899999999</v>
      </c>
      <c r="I2105" s="1">
        <v>42775</v>
      </c>
      <c r="J2105">
        <v>9438.4</v>
      </c>
      <c r="K2105" s="1">
        <v>42755</v>
      </c>
      <c r="L2105">
        <v>19479.46</v>
      </c>
    </row>
    <row r="2106" spans="1:12" x14ac:dyDescent="0.35">
      <c r="A2106" s="1">
        <v>42786</v>
      </c>
      <c r="B2106">
        <v>3312.39</v>
      </c>
      <c r="C2106" s="1">
        <v>42776</v>
      </c>
      <c r="D2106">
        <v>4828.32</v>
      </c>
      <c r="E2106" s="1">
        <v>42751</v>
      </c>
      <c r="F2106">
        <v>11554.71</v>
      </c>
      <c r="G2106" s="1">
        <v>42739</v>
      </c>
      <c r="H2106">
        <v>8456.4579400000002</v>
      </c>
      <c r="I2106" s="1">
        <v>42774</v>
      </c>
      <c r="J2106">
        <v>9329.7000000000007</v>
      </c>
      <c r="K2106" s="1">
        <v>42754</v>
      </c>
      <c r="L2106">
        <v>19490.96</v>
      </c>
    </row>
    <row r="2107" spans="1:12" x14ac:dyDescent="0.35">
      <c r="A2107" s="1">
        <v>42783</v>
      </c>
      <c r="B2107">
        <v>3308.81</v>
      </c>
      <c r="C2107" s="1">
        <v>42775</v>
      </c>
      <c r="D2107">
        <v>4826.24</v>
      </c>
      <c r="E2107" s="1">
        <v>42748</v>
      </c>
      <c r="F2107">
        <v>11629.18</v>
      </c>
      <c r="G2107" s="1">
        <v>42738</v>
      </c>
      <c r="H2107">
        <v>8439.7172100000007</v>
      </c>
      <c r="I2107" s="1">
        <v>42773</v>
      </c>
      <c r="J2107">
        <v>9331.5</v>
      </c>
      <c r="K2107" s="1">
        <v>42753</v>
      </c>
      <c r="L2107">
        <v>19358.099999999999</v>
      </c>
    </row>
    <row r="2108" spans="1:12" x14ac:dyDescent="0.35">
      <c r="A2108" s="1">
        <v>42782</v>
      </c>
      <c r="B2108">
        <v>3311.04</v>
      </c>
      <c r="C2108" s="1">
        <v>42774</v>
      </c>
      <c r="D2108">
        <v>4766.6000000000004</v>
      </c>
      <c r="E2108" s="1">
        <v>42747</v>
      </c>
      <c r="F2108">
        <v>11521.04</v>
      </c>
      <c r="G2108" s="1">
        <v>42734</v>
      </c>
      <c r="H2108">
        <v>8360.5040599999993</v>
      </c>
      <c r="I2108" s="1">
        <v>42772</v>
      </c>
      <c r="J2108">
        <v>9357.2999999999993</v>
      </c>
      <c r="K2108" s="1">
        <v>42752</v>
      </c>
      <c r="L2108">
        <v>19296.16</v>
      </c>
    </row>
    <row r="2109" spans="1:12" x14ac:dyDescent="0.35">
      <c r="A2109" s="1">
        <v>42781</v>
      </c>
      <c r="B2109">
        <v>3323.71</v>
      </c>
      <c r="C2109" s="1">
        <v>42773</v>
      </c>
      <c r="D2109">
        <v>4754.47</v>
      </c>
      <c r="E2109" s="1">
        <v>42746</v>
      </c>
      <c r="F2109">
        <v>11646.17</v>
      </c>
      <c r="G2109" s="1">
        <v>42733</v>
      </c>
      <c r="H2109">
        <v>8312.8627500000002</v>
      </c>
      <c r="I2109" s="1">
        <v>42769</v>
      </c>
      <c r="J2109">
        <v>9462.7000000000007</v>
      </c>
      <c r="K2109" s="1">
        <v>42751</v>
      </c>
      <c r="L2109">
        <v>19247.25</v>
      </c>
    </row>
    <row r="2110" spans="1:12" x14ac:dyDescent="0.35">
      <c r="A2110" s="1">
        <v>42780</v>
      </c>
      <c r="B2110">
        <v>3308.89</v>
      </c>
      <c r="C2110" s="1">
        <v>42772</v>
      </c>
      <c r="D2110">
        <v>4778.08</v>
      </c>
      <c r="E2110" s="1">
        <v>42745</v>
      </c>
      <c r="F2110">
        <v>11583.3</v>
      </c>
      <c r="G2110" s="1">
        <v>42732</v>
      </c>
      <c r="H2110">
        <v>8367.2997099999993</v>
      </c>
      <c r="I2110" s="1">
        <v>42768</v>
      </c>
      <c r="J2110">
        <v>9406.4</v>
      </c>
      <c r="K2110" s="1">
        <v>42748</v>
      </c>
      <c r="L2110">
        <v>19514.54</v>
      </c>
    </row>
    <row r="2111" spans="1:12" x14ac:dyDescent="0.35">
      <c r="A2111" s="1">
        <v>42779</v>
      </c>
      <c r="B2111">
        <v>3305.23</v>
      </c>
      <c r="C2111" s="1">
        <v>42769</v>
      </c>
      <c r="D2111">
        <v>4825.42</v>
      </c>
      <c r="E2111" s="1">
        <v>42744</v>
      </c>
      <c r="F2111">
        <v>11563.99</v>
      </c>
      <c r="G2111" s="1">
        <v>42727</v>
      </c>
      <c r="H2111">
        <v>8302.1231100000005</v>
      </c>
      <c r="I2111" s="1">
        <v>42767</v>
      </c>
      <c r="J2111">
        <v>9330.7999999999993</v>
      </c>
      <c r="K2111" s="1">
        <v>42747</v>
      </c>
      <c r="L2111">
        <v>19156.59</v>
      </c>
    </row>
    <row r="2112" spans="1:12" x14ac:dyDescent="0.35">
      <c r="A2112" s="1">
        <v>42776</v>
      </c>
      <c r="B2112">
        <v>3270.83</v>
      </c>
      <c r="C2112" s="1">
        <v>42768</v>
      </c>
      <c r="D2112">
        <v>4794.29</v>
      </c>
      <c r="E2112" s="1">
        <v>42741</v>
      </c>
      <c r="F2112">
        <v>11599.01</v>
      </c>
      <c r="G2112" s="1">
        <v>42726</v>
      </c>
      <c r="H2112">
        <v>8321.9106800000009</v>
      </c>
      <c r="I2112" s="1">
        <v>42766</v>
      </c>
      <c r="J2112">
        <v>9315.2000000000007</v>
      </c>
      <c r="K2112" s="1">
        <v>42746</v>
      </c>
      <c r="L2112">
        <v>19486.88</v>
      </c>
    </row>
    <row r="2113" spans="1:12" x14ac:dyDescent="0.35">
      <c r="A2113" s="1">
        <v>42775</v>
      </c>
      <c r="B2113">
        <v>3277.79</v>
      </c>
      <c r="C2113" s="1">
        <v>42767</v>
      </c>
      <c r="D2113">
        <v>4794.58</v>
      </c>
      <c r="E2113" s="1">
        <v>42740</v>
      </c>
      <c r="F2113">
        <v>11584.94</v>
      </c>
      <c r="G2113" s="1">
        <v>42725</v>
      </c>
      <c r="H2113">
        <v>8342.0601600000009</v>
      </c>
      <c r="I2113" s="1">
        <v>42765</v>
      </c>
      <c r="J2113">
        <v>9361.2999999999993</v>
      </c>
      <c r="K2113" s="1">
        <v>42745</v>
      </c>
      <c r="L2113">
        <v>19424.189999999999</v>
      </c>
    </row>
    <row r="2114" spans="1:12" x14ac:dyDescent="0.35">
      <c r="A2114" s="1">
        <v>42774</v>
      </c>
      <c r="B2114">
        <v>3238.04</v>
      </c>
      <c r="C2114" s="1">
        <v>42766</v>
      </c>
      <c r="D2114">
        <v>4748.8999999999996</v>
      </c>
      <c r="E2114" s="1">
        <v>42739</v>
      </c>
      <c r="F2114">
        <v>11584.31</v>
      </c>
      <c r="G2114" s="1">
        <v>42724</v>
      </c>
      <c r="H2114">
        <v>8371.7308799999992</v>
      </c>
      <c r="I2114" s="1">
        <v>42762</v>
      </c>
      <c r="J2114">
        <v>9504.1</v>
      </c>
      <c r="K2114" s="1">
        <v>42744</v>
      </c>
      <c r="L2114">
        <v>19360.02</v>
      </c>
    </row>
    <row r="2115" spans="1:12" x14ac:dyDescent="0.35">
      <c r="A2115" s="1">
        <v>42773</v>
      </c>
      <c r="B2115">
        <v>3235.71</v>
      </c>
      <c r="C2115" s="1">
        <v>42765</v>
      </c>
      <c r="D2115">
        <v>4784.6400000000003</v>
      </c>
      <c r="E2115" s="1">
        <v>42738</v>
      </c>
      <c r="F2115">
        <v>11584.24</v>
      </c>
      <c r="G2115" s="1">
        <v>42723</v>
      </c>
      <c r="H2115">
        <v>8344.1315599999998</v>
      </c>
      <c r="I2115" s="1">
        <v>42761</v>
      </c>
      <c r="J2115">
        <v>9512.7999999999993</v>
      </c>
      <c r="K2115" s="1">
        <v>42741</v>
      </c>
      <c r="L2115">
        <v>19687.71</v>
      </c>
    </row>
    <row r="2116" spans="1:12" x14ac:dyDescent="0.35">
      <c r="A2116" s="1">
        <v>42772</v>
      </c>
      <c r="B2116">
        <v>3238.31</v>
      </c>
      <c r="C2116" s="1">
        <v>42762</v>
      </c>
      <c r="D2116">
        <v>4839.9799999999996</v>
      </c>
      <c r="E2116" s="1">
        <v>42737</v>
      </c>
      <c r="F2116">
        <v>11598.33</v>
      </c>
      <c r="G2116" s="1">
        <v>42720</v>
      </c>
      <c r="H2116">
        <v>8388.3271199999999</v>
      </c>
      <c r="I2116" s="1">
        <v>42760</v>
      </c>
      <c r="J2116">
        <v>9549.2999999999993</v>
      </c>
      <c r="K2116" s="1">
        <v>42740</v>
      </c>
      <c r="L2116">
        <v>19642.810000000001</v>
      </c>
    </row>
    <row r="2117" spans="1:12" x14ac:dyDescent="0.35">
      <c r="A2117" s="1">
        <v>42769</v>
      </c>
      <c r="B2117">
        <v>3273.11</v>
      </c>
      <c r="C2117" s="1">
        <v>42761</v>
      </c>
      <c r="D2117">
        <v>4867.24</v>
      </c>
      <c r="E2117" s="1">
        <v>42734</v>
      </c>
      <c r="F2117">
        <v>11481.06</v>
      </c>
      <c r="G2117" s="1">
        <v>42719</v>
      </c>
      <c r="H2117">
        <v>8362.1130699999994</v>
      </c>
      <c r="I2117" s="1">
        <v>42759</v>
      </c>
      <c r="J2117">
        <v>9387.2000000000007</v>
      </c>
      <c r="K2117" s="1">
        <v>42739</v>
      </c>
      <c r="L2117">
        <v>19626.64</v>
      </c>
    </row>
    <row r="2118" spans="1:12" x14ac:dyDescent="0.35">
      <c r="A2118" s="1">
        <v>42768</v>
      </c>
      <c r="B2118">
        <v>3253.61</v>
      </c>
      <c r="C2118" s="1">
        <v>42760</v>
      </c>
      <c r="D2118">
        <v>4877.67</v>
      </c>
      <c r="E2118" s="1">
        <v>42733</v>
      </c>
      <c r="F2118">
        <v>11451.05</v>
      </c>
      <c r="G2118" s="1">
        <v>42718</v>
      </c>
      <c r="H2118">
        <v>8281.6344100000006</v>
      </c>
      <c r="I2118" s="1">
        <v>42758</v>
      </c>
      <c r="J2118">
        <v>9304.7999999999993</v>
      </c>
      <c r="K2118" s="1">
        <v>42738</v>
      </c>
      <c r="L2118">
        <v>19573.48</v>
      </c>
    </row>
    <row r="2119" spans="1:12" x14ac:dyDescent="0.35">
      <c r="A2119" s="1">
        <v>42767</v>
      </c>
      <c r="B2119">
        <v>3258.92</v>
      </c>
      <c r="C2119" s="1">
        <v>42759</v>
      </c>
      <c r="D2119">
        <v>4830.03</v>
      </c>
      <c r="E2119" s="1">
        <v>42732</v>
      </c>
      <c r="F2119">
        <v>11474.99</v>
      </c>
      <c r="G2119" s="1">
        <v>42717</v>
      </c>
      <c r="H2119">
        <v>8317.81214</v>
      </c>
      <c r="I2119" s="1">
        <v>42755</v>
      </c>
      <c r="J2119">
        <v>9380.1</v>
      </c>
      <c r="K2119" s="1">
        <v>42737</v>
      </c>
      <c r="L2119">
        <v>19566.53</v>
      </c>
    </row>
    <row r="2120" spans="1:12" x14ac:dyDescent="0.35">
      <c r="A2120" s="1">
        <v>42766</v>
      </c>
      <c r="B2120">
        <v>3230.68</v>
      </c>
      <c r="C2120" s="1">
        <v>42758</v>
      </c>
      <c r="D2120">
        <v>4821.41</v>
      </c>
      <c r="E2120" s="1">
        <v>42731</v>
      </c>
      <c r="F2120">
        <v>11472.24</v>
      </c>
      <c r="G2120" s="1">
        <v>42716</v>
      </c>
      <c r="H2120">
        <v>8219.6844500000007</v>
      </c>
      <c r="I2120" s="1">
        <v>42754</v>
      </c>
      <c r="J2120">
        <v>9379.1</v>
      </c>
      <c r="K2120" s="1">
        <v>42734</v>
      </c>
      <c r="L2120">
        <v>19234.580000000002</v>
      </c>
    </row>
    <row r="2121" spans="1:12" x14ac:dyDescent="0.35">
      <c r="A2121" s="1">
        <v>42765</v>
      </c>
      <c r="B2121">
        <v>3262.72</v>
      </c>
      <c r="C2121" s="1">
        <v>42755</v>
      </c>
      <c r="D2121">
        <v>4850.67</v>
      </c>
      <c r="E2121" s="1">
        <v>42727</v>
      </c>
      <c r="F2121">
        <v>11449.93</v>
      </c>
      <c r="G2121" s="1">
        <v>42713</v>
      </c>
      <c r="H2121">
        <v>8298.2067499999994</v>
      </c>
      <c r="I2121" s="1">
        <v>42753</v>
      </c>
      <c r="J2121">
        <v>9386.2000000000007</v>
      </c>
      <c r="K2121" s="1">
        <v>42733</v>
      </c>
      <c r="L2121">
        <v>19203.939999999999</v>
      </c>
    </row>
    <row r="2122" spans="1:12" x14ac:dyDescent="0.35">
      <c r="A2122" s="1">
        <v>42762</v>
      </c>
      <c r="B2122">
        <v>3303.33</v>
      </c>
      <c r="C2122" s="1">
        <v>42754</v>
      </c>
      <c r="D2122">
        <v>4841.1400000000003</v>
      </c>
      <c r="E2122" s="1">
        <v>42726</v>
      </c>
      <c r="F2122">
        <v>11456.1</v>
      </c>
      <c r="G2122" s="1">
        <v>42712</v>
      </c>
      <c r="H2122">
        <v>8212.7988999999998</v>
      </c>
      <c r="I2122" s="1">
        <v>42752</v>
      </c>
      <c r="J2122">
        <v>9394.9</v>
      </c>
      <c r="K2122" s="1">
        <v>42732</v>
      </c>
      <c r="L2122">
        <v>19239.39</v>
      </c>
    </row>
    <row r="2123" spans="1:12" x14ac:dyDescent="0.35">
      <c r="A2123" s="1">
        <v>42761</v>
      </c>
      <c r="B2123">
        <v>3319.13</v>
      </c>
      <c r="C2123" s="1">
        <v>42753</v>
      </c>
      <c r="D2123">
        <v>4853.3999999999996</v>
      </c>
      <c r="E2123" s="1">
        <v>42725</v>
      </c>
      <c r="F2123">
        <v>11468.64</v>
      </c>
      <c r="G2123" s="1">
        <v>42711</v>
      </c>
      <c r="H2123">
        <v>8095.8583799999997</v>
      </c>
      <c r="I2123" s="1">
        <v>42751</v>
      </c>
      <c r="J2123">
        <v>9410</v>
      </c>
      <c r="K2123" s="1">
        <v>42731</v>
      </c>
      <c r="L2123">
        <v>19390.830000000002</v>
      </c>
    </row>
    <row r="2124" spans="1:12" x14ac:dyDescent="0.35">
      <c r="A2124" s="1">
        <v>42760</v>
      </c>
      <c r="B2124">
        <v>3326.15</v>
      </c>
      <c r="C2124" s="1">
        <v>42752</v>
      </c>
      <c r="D2124">
        <v>4859.6899999999996</v>
      </c>
      <c r="E2124" s="1">
        <v>42724</v>
      </c>
      <c r="F2124">
        <v>11464.74</v>
      </c>
      <c r="G2124" s="1">
        <v>42710</v>
      </c>
      <c r="H2124">
        <v>8018.4646199999997</v>
      </c>
      <c r="I2124" s="1">
        <v>42748</v>
      </c>
      <c r="J2124">
        <v>9511.6</v>
      </c>
      <c r="K2124" s="1">
        <v>42727</v>
      </c>
      <c r="L2124">
        <v>19345.02</v>
      </c>
    </row>
    <row r="2125" spans="1:12" x14ac:dyDescent="0.35">
      <c r="A2125" s="1">
        <v>42759</v>
      </c>
      <c r="B2125">
        <v>3281.53</v>
      </c>
      <c r="C2125" s="1">
        <v>42751</v>
      </c>
      <c r="D2125">
        <v>4882.18</v>
      </c>
      <c r="E2125" s="1">
        <v>42723</v>
      </c>
      <c r="F2125">
        <v>11426.7</v>
      </c>
      <c r="G2125" s="1">
        <v>42709</v>
      </c>
      <c r="H2125">
        <v>7970.6211199999998</v>
      </c>
      <c r="I2125" s="1">
        <v>42747</v>
      </c>
      <c r="J2125">
        <v>9407.4</v>
      </c>
      <c r="K2125" s="1">
        <v>42726</v>
      </c>
      <c r="L2125">
        <v>19121.259999999998</v>
      </c>
    </row>
    <row r="2126" spans="1:12" x14ac:dyDescent="0.35">
      <c r="A2126" s="1">
        <v>42758</v>
      </c>
      <c r="B2126">
        <v>3273.04</v>
      </c>
      <c r="C2126" s="1">
        <v>42748</v>
      </c>
      <c r="D2126">
        <v>4922.49</v>
      </c>
      <c r="E2126" s="1">
        <v>42720</v>
      </c>
      <c r="F2126">
        <v>11404.01</v>
      </c>
      <c r="G2126" s="1">
        <v>42706</v>
      </c>
      <c r="H2126">
        <v>7998.6804599999996</v>
      </c>
      <c r="I2126" s="1">
        <v>42746</v>
      </c>
      <c r="J2126">
        <v>9408.6</v>
      </c>
      <c r="K2126" s="1">
        <v>42725</v>
      </c>
      <c r="L2126">
        <v>19215.59</v>
      </c>
    </row>
    <row r="2127" spans="1:12" x14ac:dyDescent="0.35">
      <c r="A2127" s="1">
        <v>42755</v>
      </c>
      <c r="B2127">
        <v>3299.44</v>
      </c>
      <c r="C2127" s="1">
        <v>42747</v>
      </c>
      <c r="D2127">
        <v>4863.97</v>
      </c>
      <c r="E2127" s="1">
        <v>42719</v>
      </c>
      <c r="F2127">
        <v>11366.4</v>
      </c>
      <c r="G2127" s="1">
        <v>42705</v>
      </c>
      <c r="H2127">
        <v>7996.7402599999996</v>
      </c>
      <c r="I2127" s="1">
        <v>42745</v>
      </c>
      <c r="J2127">
        <v>9452</v>
      </c>
      <c r="K2127" s="1">
        <v>42724</v>
      </c>
      <c r="L2127">
        <v>19247.240000000002</v>
      </c>
    </row>
    <row r="2128" spans="1:12" x14ac:dyDescent="0.35">
      <c r="A2128" s="1">
        <v>42754</v>
      </c>
      <c r="B2128">
        <v>3290.33</v>
      </c>
      <c r="C2128" s="1">
        <v>42746</v>
      </c>
      <c r="D2128">
        <v>4888.71</v>
      </c>
      <c r="E2128" s="1">
        <v>42718</v>
      </c>
      <c r="F2128">
        <v>11244.84</v>
      </c>
      <c r="G2128" s="1">
        <v>42704</v>
      </c>
      <c r="H2128">
        <v>7999.2270399999998</v>
      </c>
      <c r="I2128" s="1">
        <v>42744</v>
      </c>
      <c r="J2128">
        <v>9492.7999999999993</v>
      </c>
      <c r="K2128" s="1">
        <v>42723</v>
      </c>
      <c r="L2128">
        <v>18968.939999999999</v>
      </c>
    </row>
    <row r="2129" spans="1:12" x14ac:dyDescent="0.35">
      <c r="A2129" s="1">
        <v>42753</v>
      </c>
      <c r="B2129">
        <v>3294</v>
      </c>
      <c r="C2129" s="1">
        <v>42745</v>
      </c>
      <c r="D2129">
        <v>4888.2299999999996</v>
      </c>
      <c r="E2129" s="1">
        <v>42717</v>
      </c>
      <c r="F2129">
        <v>11284.65</v>
      </c>
      <c r="G2129" s="1">
        <v>42703</v>
      </c>
      <c r="H2129">
        <v>7961.0987100000002</v>
      </c>
      <c r="I2129" s="1">
        <v>42741</v>
      </c>
      <c r="J2129">
        <v>9515.9</v>
      </c>
      <c r="K2129" s="1">
        <v>42720</v>
      </c>
      <c r="L2129">
        <v>19014.75</v>
      </c>
    </row>
    <row r="2130" spans="1:12" x14ac:dyDescent="0.35">
      <c r="A2130" s="1">
        <v>42752</v>
      </c>
      <c r="B2130">
        <v>3285.04</v>
      </c>
      <c r="C2130" s="1">
        <v>42744</v>
      </c>
      <c r="D2130">
        <v>4887.57</v>
      </c>
      <c r="E2130" s="1">
        <v>42716</v>
      </c>
      <c r="F2130">
        <v>11190.21</v>
      </c>
      <c r="G2130" s="1">
        <v>42702</v>
      </c>
      <c r="H2130">
        <v>7973.7195199999996</v>
      </c>
      <c r="I2130" s="1">
        <v>42740</v>
      </c>
      <c r="J2130">
        <v>9488.2000000000007</v>
      </c>
      <c r="K2130" s="1">
        <v>42719</v>
      </c>
      <c r="L2130">
        <v>18994.79</v>
      </c>
    </row>
    <row r="2131" spans="1:12" x14ac:dyDescent="0.35">
      <c r="A2131" s="1">
        <v>42751</v>
      </c>
      <c r="B2131">
        <v>3294.53</v>
      </c>
      <c r="C2131" s="1">
        <v>42741</v>
      </c>
      <c r="D2131">
        <v>4909.84</v>
      </c>
      <c r="E2131" s="1">
        <v>42713</v>
      </c>
      <c r="F2131">
        <v>11203.63</v>
      </c>
      <c r="G2131" s="1">
        <v>42699</v>
      </c>
      <c r="H2131">
        <v>8043.8385699999999</v>
      </c>
      <c r="I2131" s="1">
        <v>42739</v>
      </c>
      <c r="J2131">
        <v>9462.9</v>
      </c>
      <c r="K2131" s="1">
        <v>42718</v>
      </c>
      <c r="L2131">
        <v>18606.32</v>
      </c>
    </row>
    <row r="2132" spans="1:12" x14ac:dyDescent="0.35">
      <c r="A2132" s="1">
        <v>42748</v>
      </c>
      <c r="B2132">
        <v>3324.34</v>
      </c>
      <c r="C2132" s="1">
        <v>42740</v>
      </c>
      <c r="D2132">
        <v>4900.6400000000003</v>
      </c>
      <c r="E2132" s="1">
        <v>42712</v>
      </c>
      <c r="F2132">
        <v>11179.42</v>
      </c>
      <c r="G2132" s="1">
        <v>42698</v>
      </c>
      <c r="H2132">
        <v>8062.4027699999997</v>
      </c>
      <c r="I2132" s="1">
        <v>42738</v>
      </c>
      <c r="J2132">
        <v>9494.7000000000007</v>
      </c>
      <c r="K2132" s="1">
        <v>42717</v>
      </c>
      <c r="L2132">
        <v>18827.61</v>
      </c>
    </row>
    <row r="2133" spans="1:12" x14ac:dyDescent="0.35">
      <c r="A2133" s="1">
        <v>42747</v>
      </c>
      <c r="B2133">
        <v>3286.7</v>
      </c>
      <c r="C2133" s="1">
        <v>42739</v>
      </c>
      <c r="D2133">
        <v>4899.3999999999996</v>
      </c>
      <c r="E2133" s="1">
        <v>42711</v>
      </c>
      <c r="F2133">
        <v>10986.69</v>
      </c>
      <c r="G2133" s="1">
        <v>42697</v>
      </c>
      <c r="H2133">
        <v>8048.6046900000001</v>
      </c>
      <c r="I2133" s="1">
        <v>42737</v>
      </c>
      <c r="J2133">
        <v>9418.7000000000007</v>
      </c>
      <c r="K2133" s="1">
        <v>42716</v>
      </c>
      <c r="L2133">
        <v>18370.32</v>
      </c>
    </row>
    <row r="2134" spans="1:12" x14ac:dyDescent="0.35">
      <c r="A2134" s="1">
        <v>42746</v>
      </c>
      <c r="B2134">
        <v>3307.94</v>
      </c>
      <c r="C2134" s="1">
        <v>42738</v>
      </c>
      <c r="D2134">
        <v>4899.33</v>
      </c>
      <c r="E2134" s="1">
        <v>42710</v>
      </c>
      <c r="F2134">
        <v>10775.32</v>
      </c>
      <c r="G2134" s="1">
        <v>42696</v>
      </c>
      <c r="H2134">
        <v>7971.2096600000004</v>
      </c>
      <c r="I2134" s="1">
        <v>42734</v>
      </c>
      <c r="J2134">
        <v>9352.1</v>
      </c>
      <c r="K2134" s="1">
        <v>42713</v>
      </c>
      <c r="L2134">
        <v>18292.650000000001</v>
      </c>
    </row>
    <row r="2135" spans="1:12" x14ac:dyDescent="0.35">
      <c r="A2135" s="1">
        <v>42745</v>
      </c>
      <c r="B2135">
        <v>3306.21</v>
      </c>
      <c r="C2135" s="1">
        <v>42737</v>
      </c>
      <c r="D2135">
        <v>4882.38</v>
      </c>
      <c r="E2135" s="1">
        <v>42709</v>
      </c>
      <c r="F2135">
        <v>10684.83</v>
      </c>
      <c r="G2135" s="1">
        <v>42695</v>
      </c>
      <c r="H2135">
        <v>7974.2961400000004</v>
      </c>
      <c r="I2135" s="1">
        <v>42733</v>
      </c>
      <c r="J2135">
        <v>9327.1</v>
      </c>
      <c r="K2135" s="1">
        <v>42712</v>
      </c>
      <c r="L2135">
        <v>18427.86</v>
      </c>
    </row>
    <row r="2136" spans="1:12" x14ac:dyDescent="0.35">
      <c r="A2136" s="1">
        <v>42744</v>
      </c>
      <c r="B2136">
        <v>3308.97</v>
      </c>
      <c r="C2136" s="1">
        <v>42734</v>
      </c>
      <c r="D2136">
        <v>4862.3100000000004</v>
      </c>
      <c r="E2136" s="1">
        <v>42706</v>
      </c>
      <c r="F2136">
        <v>10513.35</v>
      </c>
      <c r="G2136" s="1">
        <v>42692</v>
      </c>
      <c r="H2136">
        <v>7898.4509500000004</v>
      </c>
      <c r="I2136" s="1">
        <v>42732</v>
      </c>
      <c r="J2136">
        <v>9344.9</v>
      </c>
      <c r="K2136" s="1">
        <v>42711</v>
      </c>
      <c r="L2136">
        <v>18130.66</v>
      </c>
    </row>
    <row r="2137" spans="1:12" x14ac:dyDescent="0.35">
      <c r="A2137" s="1">
        <v>42741</v>
      </c>
      <c r="B2137">
        <v>3321.17</v>
      </c>
      <c r="C2137" s="1">
        <v>42733</v>
      </c>
      <c r="D2137">
        <v>4838.47</v>
      </c>
      <c r="E2137" s="1">
        <v>42705</v>
      </c>
      <c r="F2137">
        <v>10534.05</v>
      </c>
      <c r="G2137" s="1">
        <v>42691</v>
      </c>
      <c r="H2137">
        <v>7943.3456299999998</v>
      </c>
      <c r="I2137" s="1">
        <v>42731</v>
      </c>
      <c r="J2137">
        <v>9376.6</v>
      </c>
      <c r="K2137" s="1">
        <v>42710</v>
      </c>
      <c r="L2137">
        <v>17757.8</v>
      </c>
    </row>
    <row r="2138" spans="1:12" x14ac:dyDescent="0.35">
      <c r="A2138" s="1">
        <v>42740</v>
      </c>
      <c r="B2138">
        <v>3316.47</v>
      </c>
      <c r="C2138" s="1">
        <v>42732</v>
      </c>
      <c r="D2138">
        <v>4848.01</v>
      </c>
      <c r="E2138" s="1">
        <v>42704</v>
      </c>
      <c r="F2138">
        <v>10640.3</v>
      </c>
      <c r="G2138" s="1">
        <v>42690</v>
      </c>
      <c r="H2138">
        <v>7854.6900599999999</v>
      </c>
      <c r="I2138" s="1">
        <v>42727</v>
      </c>
      <c r="J2138">
        <v>9367.7000000000007</v>
      </c>
      <c r="K2138" s="1">
        <v>42709</v>
      </c>
      <c r="L2138">
        <v>17050.21</v>
      </c>
    </row>
    <row r="2139" spans="1:12" x14ac:dyDescent="0.35">
      <c r="A2139" s="1">
        <v>42739</v>
      </c>
      <c r="B2139">
        <v>3317.52</v>
      </c>
      <c r="C2139" s="1">
        <v>42731</v>
      </c>
      <c r="D2139">
        <v>4848.28</v>
      </c>
      <c r="E2139" s="1">
        <v>42703</v>
      </c>
      <c r="F2139">
        <v>10620.49</v>
      </c>
      <c r="G2139" s="1">
        <v>42689</v>
      </c>
      <c r="H2139">
        <v>7873.7052400000002</v>
      </c>
      <c r="I2139" s="1">
        <v>42726</v>
      </c>
      <c r="J2139">
        <v>9333.6</v>
      </c>
      <c r="K2139" s="1">
        <v>42706</v>
      </c>
      <c r="L2139">
        <v>17086.849999999999</v>
      </c>
    </row>
    <row r="2140" spans="1:12" x14ac:dyDescent="0.35">
      <c r="A2140" s="1">
        <v>42738</v>
      </c>
      <c r="B2140">
        <v>3315.02</v>
      </c>
      <c r="C2140" s="1">
        <v>42727</v>
      </c>
      <c r="D2140">
        <v>4839.68</v>
      </c>
      <c r="E2140" s="1">
        <v>42702</v>
      </c>
      <c r="F2140">
        <v>10582.67</v>
      </c>
      <c r="G2140" s="1">
        <v>42688</v>
      </c>
      <c r="H2140">
        <v>7852.0088999999998</v>
      </c>
      <c r="I2140" s="1">
        <v>42725</v>
      </c>
      <c r="J2140">
        <v>9371.7000000000007</v>
      </c>
      <c r="K2140" s="1">
        <v>42705</v>
      </c>
      <c r="L2140">
        <v>17098.330000000002</v>
      </c>
    </row>
    <row r="2141" spans="1:12" x14ac:dyDescent="0.35">
      <c r="A2141" s="1">
        <v>42737</v>
      </c>
      <c r="B2141">
        <v>3308.67</v>
      </c>
      <c r="C2141" s="1">
        <v>42726</v>
      </c>
      <c r="D2141">
        <v>4834.63</v>
      </c>
      <c r="E2141" s="1">
        <v>42699</v>
      </c>
      <c r="F2141">
        <v>10699.27</v>
      </c>
      <c r="G2141" s="1">
        <v>42685</v>
      </c>
      <c r="H2141">
        <v>7809.4059299999999</v>
      </c>
      <c r="I2141" s="1">
        <v>42724</v>
      </c>
      <c r="J2141">
        <v>9407.9</v>
      </c>
      <c r="K2141" s="1">
        <v>42704</v>
      </c>
      <c r="L2141">
        <v>16930.41</v>
      </c>
    </row>
    <row r="2142" spans="1:12" x14ac:dyDescent="0.35">
      <c r="A2142" s="1">
        <v>42734</v>
      </c>
      <c r="B2142">
        <v>3290.52</v>
      </c>
      <c r="C2142" s="1">
        <v>42725</v>
      </c>
      <c r="D2142">
        <v>4833.82</v>
      </c>
      <c r="E2142" s="1">
        <v>42698</v>
      </c>
      <c r="F2142">
        <v>10689.26</v>
      </c>
      <c r="G2142" s="1">
        <v>42684</v>
      </c>
      <c r="H2142">
        <v>7863.0543699999998</v>
      </c>
      <c r="I2142" s="1">
        <v>42723</v>
      </c>
      <c r="J2142">
        <v>9336.7000000000007</v>
      </c>
      <c r="K2142" s="1">
        <v>42703</v>
      </c>
      <c r="L2142">
        <v>16561.86</v>
      </c>
    </row>
    <row r="2143" spans="1:12" x14ac:dyDescent="0.35">
      <c r="A2143" s="1">
        <v>42733</v>
      </c>
      <c r="B2143">
        <v>3271.76</v>
      </c>
      <c r="C2143" s="1">
        <v>42724</v>
      </c>
      <c r="D2143">
        <v>4849.8900000000003</v>
      </c>
      <c r="E2143" s="1">
        <v>42697</v>
      </c>
      <c r="F2143">
        <v>10662.44</v>
      </c>
      <c r="G2143" s="1">
        <v>42683</v>
      </c>
      <c r="H2143">
        <v>7845.7187400000003</v>
      </c>
      <c r="I2143" s="1">
        <v>42720</v>
      </c>
      <c r="J2143">
        <v>9412.7999999999993</v>
      </c>
      <c r="K2143" s="1">
        <v>42702</v>
      </c>
      <c r="L2143">
        <v>16216.95</v>
      </c>
    </row>
    <row r="2144" spans="1:12" x14ac:dyDescent="0.35">
      <c r="A2144" s="1">
        <v>42732</v>
      </c>
      <c r="B2144">
        <v>3278.72</v>
      </c>
      <c r="C2144" s="1">
        <v>42723</v>
      </c>
      <c r="D2144">
        <v>4822.7700000000004</v>
      </c>
      <c r="E2144" s="1">
        <v>42696</v>
      </c>
      <c r="F2144">
        <v>10713.85</v>
      </c>
      <c r="G2144" s="1">
        <v>42682</v>
      </c>
      <c r="H2144">
        <v>7691.77</v>
      </c>
      <c r="I2144" s="1">
        <v>42719</v>
      </c>
      <c r="J2144">
        <v>9340.7999999999993</v>
      </c>
      <c r="K2144" s="1">
        <v>42699</v>
      </c>
      <c r="L2144">
        <v>16515.11</v>
      </c>
    </row>
    <row r="2145" spans="1:12" x14ac:dyDescent="0.35">
      <c r="A2145" s="1">
        <v>42731</v>
      </c>
      <c r="B2145">
        <v>3278.53</v>
      </c>
      <c r="C2145" s="1">
        <v>42720</v>
      </c>
      <c r="D2145">
        <v>4833.2700000000004</v>
      </c>
      <c r="E2145" s="1">
        <v>42695</v>
      </c>
      <c r="F2145">
        <v>10685.13</v>
      </c>
      <c r="G2145" s="1">
        <v>42681</v>
      </c>
      <c r="H2145">
        <v>7645.8197600000003</v>
      </c>
      <c r="I2145" s="1">
        <v>42718</v>
      </c>
      <c r="J2145">
        <v>9218.4</v>
      </c>
      <c r="K2145" s="1">
        <v>42698</v>
      </c>
      <c r="L2145">
        <v>16500.73</v>
      </c>
    </row>
    <row r="2146" spans="1:12" x14ac:dyDescent="0.35">
      <c r="A2146" s="1">
        <v>42727</v>
      </c>
      <c r="B2146">
        <v>3273.97</v>
      </c>
      <c r="C2146" s="1">
        <v>42719</v>
      </c>
      <c r="D2146">
        <v>4819.2299999999996</v>
      </c>
      <c r="E2146" s="1">
        <v>42692</v>
      </c>
      <c r="F2146">
        <v>10664.56</v>
      </c>
      <c r="G2146" s="1">
        <v>42678</v>
      </c>
      <c r="H2146">
        <v>7527.2829499999998</v>
      </c>
      <c r="I2146" s="1">
        <v>42717</v>
      </c>
      <c r="J2146">
        <v>9331.2999999999993</v>
      </c>
      <c r="K2146" s="1">
        <v>42697</v>
      </c>
      <c r="L2146">
        <v>16532.259999999998</v>
      </c>
    </row>
    <row r="2147" spans="1:12" x14ac:dyDescent="0.35">
      <c r="A2147" s="1">
        <v>42726</v>
      </c>
      <c r="B2147">
        <v>3269.51</v>
      </c>
      <c r="C2147" s="1">
        <v>42718</v>
      </c>
      <c r="D2147">
        <v>4769.24</v>
      </c>
      <c r="E2147" s="1">
        <v>42691</v>
      </c>
      <c r="F2147">
        <v>10685.54</v>
      </c>
      <c r="G2147" s="1">
        <v>42677</v>
      </c>
      <c r="H2147">
        <v>7605.6400599999997</v>
      </c>
      <c r="I2147" s="1">
        <v>42716</v>
      </c>
      <c r="J2147">
        <v>9186.4</v>
      </c>
      <c r="K2147" s="1">
        <v>42696</v>
      </c>
      <c r="L2147">
        <v>16519.89</v>
      </c>
    </row>
    <row r="2148" spans="1:12" x14ac:dyDescent="0.35">
      <c r="A2148" s="1">
        <v>42725</v>
      </c>
      <c r="B2148">
        <v>3270.75</v>
      </c>
      <c r="C2148" s="1">
        <v>42717</v>
      </c>
      <c r="D2148">
        <v>4803.87</v>
      </c>
      <c r="E2148" s="1">
        <v>42690</v>
      </c>
      <c r="F2148">
        <v>10663.87</v>
      </c>
      <c r="G2148" s="1">
        <v>42676</v>
      </c>
      <c r="H2148">
        <v>7583.6152899999997</v>
      </c>
      <c r="I2148" s="1">
        <v>42713</v>
      </c>
      <c r="J2148">
        <v>9169.6</v>
      </c>
      <c r="K2148" s="1">
        <v>42695</v>
      </c>
      <c r="L2148">
        <v>16297.26</v>
      </c>
    </row>
    <row r="2149" spans="1:12" x14ac:dyDescent="0.35">
      <c r="A2149" s="1">
        <v>42724</v>
      </c>
      <c r="B2149">
        <v>3279.41</v>
      </c>
      <c r="C2149" s="1">
        <v>42716</v>
      </c>
      <c r="D2149">
        <v>4760.7700000000004</v>
      </c>
      <c r="E2149" s="1">
        <v>42689</v>
      </c>
      <c r="F2149">
        <v>10735.14</v>
      </c>
      <c r="G2149" s="1">
        <v>42675</v>
      </c>
      <c r="H2149">
        <v>7655.4020499999997</v>
      </c>
      <c r="I2149" s="1">
        <v>42712</v>
      </c>
      <c r="J2149">
        <v>9145.4</v>
      </c>
      <c r="K2149" s="1">
        <v>42692</v>
      </c>
      <c r="L2149">
        <v>16265.9</v>
      </c>
    </row>
    <row r="2150" spans="1:12" x14ac:dyDescent="0.35">
      <c r="A2150" s="1">
        <v>42723</v>
      </c>
      <c r="B2150">
        <v>3257.85</v>
      </c>
      <c r="C2150" s="1">
        <v>42713</v>
      </c>
      <c r="D2150">
        <v>4764.07</v>
      </c>
      <c r="E2150" s="1">
        <v>42688</v>
      </c>
      <c r="F2150">
        <v>10693.69</v>
      </c>
      <c r="G2150" s="1">
        <v>42674</v>
      </c>
      <c r="H2150">
        <v>7756.6544000000004</v>
      </c>
      <c r="I2150" s="1">
        <v>42711</v>
      </c>
      <c r="J2150">
        <v>8960.4</v>
      </c>
      <c r="K2150" s="1">
        <v>42691</v>
      </c>
      <c r="L2150">
        <v>16555.310000000001</v>
      </c>
    </row>
    <row r="2151" spans="1:12" x14ac:dyDescent="0.35">
      <c r="A2151" s="1">
        <v>42720</v>
      </c>
      <c r="B2151">
        <v>3259.24</v>
      </c>
      <c r="C2151" s="1">
        <v>42712</v>
      </c>
      <c r="D2151">
        <v>4735.4799999999996</v>
      </c>
      <c r="E2151" s="1">
        <v>42685</v>
      </c>
      <c r="F2151">
        <v>10667.95</v>
      </c>
      <c r="G2151" s="1">
        <v>42671</v>
      </c>
      <c r="H2151">
        <v>7777.10401</v>
      </c>
      <c r="I2151" s="1">
        <v>42710</v>
      </c>
      <c r="J2151">
        <v>8893.2999999999993</v>
      </c>
      <c r="K2151" s="1">
        <v>42690</v>
      </c>
      <c r="L2151">
        <v>16559.84</v>
      </c>
    </row>
    <row r="2152" spans="1:12" x14ac:dyDescent="0.35">
      <c r="A2152" s="1">
        <v>42719</v>
      </c>
      <c r="B2152">
        <v>3249.74</v>
      </c>
      <c r="C2152" s="1">
        <v>42711</v>
      </c>
      <c r="D2152">
        <v>4694.72</v>
      </c>
      <c r="E2152" s="1">
        <v>42684</v>
      </c>
      <c r="F2152">
        <v>10630.12</v>
      </c>
      <c r="G2152" s="1">
        <v>42670</v>
      </c>
      <c r="H2152">
        <v>7806.33097</v>
      </c>
      <c r="I2152" s="1">
        <v>42709</v>
      </c>
      <c r="J2152">
        <v>8664.7000000000007</v>
      </c>
      <c r="K2152" s="1">
        <v>42689</v>
      </c>
      <c r="L2152">
        <v>16682.37</v>
      </c>
    </row>
    <row r="2153" spans="1:12" x14ac:dyDescent="0.35">
      <c r="A2153" s="1">
        <v>42718</v>
      </c>
      <c r="B2153">
        <v>3211.71</v>
      </c>
      <c r="C2153" s="1">
        <v>42710</v>
      </c>
      <c r="D2153">
        <v>4631.9399999999996</v>
      </c>
      <c r="E2153" s="1">
        <v>42683</v>
      </c>
      <c r="F2153">
        <v>10646.01</v>
      </c>
      <c r="G2153" s="1">
        <v>42669</v>
      </c>
      <c r="H2153">
        <v>7795.9685099999997</v>
      </c>
      <c r="I2153" s="1">
        <v>42706</v>
      </c>
      <c r="J2153">
        <v>8607.1</v>
      </c>
      <c r="K2153" s="1">
        <v>42688</v>
      </c>
      <c r="L2153">
        <v>16686.330000000002</v>
      </c>
    </row>
    <row r="2154" spans="1:12" x14ac:dyDescent="0.35">
      <c r="A2154" s="1">
        <v>42717</v>
      </c>
      <c r="B2154">
        <v>3236.71</v>
      </c>
      <c r="C2154" s="1">
        <v>42709</v>
      </c>
      <c r="D2154">
        <v>4574.32</v>
      </c>
      <c r="E2154" s="1">
        <v>42682</v>
      </c>
      <c r="F2154">
        <v>10482.32</v>
      </c>
      <c r="G2154" s="1">
        <v>42668</v>
      </c>
      <c r="H2154">
        <v>7859.8083500000002</v>
      </c>
      <c r="I2154" s="1">
        <v>42705</v>
      </c>
      <c r="J2154">
        <v>8669.2000000000007</v>
      </c>
      <c r="K2154" s="1">
        <v>42685</v>
      </c>
      <c r="L2154">
        <v>16812.37</v>
      </c>
    </row>
    <row r="2155" spans="1:12" x14ac:dyDescent="0.35">
      <c r="A2155" s="1">
        <v>42716</v>
      </c>
      <c r="B2155">
        <v>3199.11</v>
      </c>
      <c r="C2155" s="1">
        <v>42706</v>
      </c>
      <c r="D2155">
        <v>4528.82</v>
      </c>
      <c r="E2155" s="1">
        <v>42681</v>
      </c>
      <c r="F2155">
        <v>10456.950000000001</v>
      </c>
      <c r="G2155" s="1">
        <v>42667</v>
      </c>
      <c r="H2155">
        <v>7842.5198</v>
      </c>
      <c r="I2155" s="1">
        <v>42704</v>
      </c>
      <c r="J2155">
        <v>8688.2000000000007</v>
      </c>
      <c r="K2155" s="1">
        <v>42684</v>
      </c>
      <c r="L2155">
        <v>16804.88</v>
      </c>
    </row>
    <row r="2156" spans="1:12" x14ac:dyDescent="0.35">
      <c r="A2156" s="1">
        <v>42713</v>
      </c>
      <c r="B2156">
        <v>3197.54</v>
      </c>
      <c r="C2156" s="1">
        <v>42705</v>
      </c>
      <c r="D2156">
        <v>4560.6099999999997</v>
      </c>
      <c r="E2156" s="1">
        <v>42678</v>
      </c>
      <c r="F2156">
        <v>10259.129999999999</v>
      </c>
      <c r="G2156" s="1">
        <v>42664</v>
      </c>
      <c r="H2156">
        <v>7900.4498199999998</v>
      </c>
      <c r="I2156" s="1">
        <v>42703</v>
      </c>
      <c r="J2156">
        <v>8667</v>
      </c>
      <c r="K2156" s="1">
        <v>42683</v>
      </c>
      <c r="L2156">
        <v>16799.849999999999</v>
      </c>
    </row>
    <row r="2157" spans="1:12" x14ac:dyDescent="0.35">
      <c r="A2157" s="1">
        <v>42712</v>
      </c>
      <c r="B2157">
        <v>3185.79</v>
      </c>
      <c r="C2157" s="1">
        <v>42704</v>
      </c>
      <c r="D2157">
        <v>4578.34</v>
      </c>
      <c r="E2157" s="1">
        <v>42677</v>
      </c>
      <c r="F2157">
        <v>10325.879999999999</v>
      </c>
      <c r="G2157" s="1">
        <v>42663</v>
      </c>
      <c r="H2157">
        <v>7880.1435000000001</v>
      </c>
      <c r="I2157" s="1">
        <v>42702</v>
      </c>
      <c r="J2157">
        <v>8619.2999999999993</v>
      </c>
      <c r="K2157" s="1">
        <v>42682</v>
      </c>
      <c r="L2157">
        <v>16817.41</v>
      </c>
    </row>
    <row r="2158" spans="1:12" x14ac:dyDescent="0.35">
      <c r="A2158" s="1">
        <v>42711</v>
      </c>
      <c r="B2158">
        <v>3142.24</v>
      </c>
      <c r="C2158" s="1">
        <v>42703</v>
      </c>
      <c r="D2158">
        <v>4551.46</v>
      </c>
      <c r="E2158" s="1">
        <v>42676</v>
      </c>
      <c r="F2158">
        <v>10370.93</v>
      </c>
      <c r="G2158" s="1">
        <v>42662</v>
      </c>
      <c r="H2158">
        <v>7859.3262100000002</v>
      </c>
      <c r="I2158" s="1">
        <v>42699</v>
      </c>
      <c r="J2158">
        <v>8674.4</v>
      </c>
      <c r="K2158" s="1">
        <v>42681</v>
      </c>
      <c r="L2158">
        <v>16736.75</v>
      </c>
    </row>
    <row r="2159" spans="1:12" x14ac:dyDescent="0.35">
      <c r="A2159" s="1">
        <v>42710</v>
      </c>
      <c r="B2159">
        <v>3100.76</v>
      </c>
      <c r="C2159" s="1">
        <v>42702</v>
      </c>
      <c r="D2159">
        <v>4510.3900000000003</v>
      </c>
      <c r="E2159" s="1">
        <v>42675</v>
      </c>
      <c r="F2159">
        <v>10526.16</v>
      </c>
      <c r="G2159" s="1">
        <v>42661</v>
      </c>
      <c r="H2159">
        <v>7830.00342</v>
      </c>
      <c r="I2159" s="1">
        <v>42698</v>
      </c>
      <c r="J2159">
        <v>8657.2000000000007</v>
      </c>
      <c r="K2159" s="1">
        <v>42678</v>
      </c>
      <c r="L2159">
        <v>16318.6</v>
      </c>
    </row>
    <row r="2160" spans="1:12" x14ac:dyDescent="0.35">
      <c r="A2160" s="1">
        <v>42709</v>
      </c>
      <c r="B2160">
        <v>3052.75</v>
      </c>
      <c r="C2160" s="1">
        <v>42699</v>
      </c>
      <c r="D2160">
        <v>4550.2700000000004</v>
      </c>
      <c r="E2160" s="1">
        <v>42674</v>
      </c>
      <c r="F2160">
        <v>10665.01</v>
      </c>
      <c r="G2160" s="1">
        <v>42660</v>
      </c>
      <c r="H2160">
        <v>7703.5010400000001</v>
      </c>
      <c r="I2160" s="1">
        <v>42697</v>
      </c>
      <c r="J2160">
        <v>8627.5</v>
      </c>
      <c r="K2160" s="1">
        <v>42677</v>
      </c>
      <c r="L2160">
        <v>16419.900000000001</v>
      </c>
    </row>
    <row r="2161" spans="1:12" x14ac:dyDescent="0.35">
      <c r="A2161" s="1">
        <v>42706</v>
      </c>
      <c r="B2161">
        <v>3015.13</v>
      </c>
      <c r="C2161" s="1">
        <v>42698</v>
      </c>
      <c r="D2161">
        <v>4542.5600000000004</v>
      </c>
      <c r="E2161" s="1">
        <v>42671</v>
      </c>
      <c r="F2161">
        <v>10696.19</v>
      </c>
      <c r="G2161" s="1">
        <v>42657</v>
      </c>
      <c r="H2161">
        <v>7787.3049899999996</v>
      </c>
      <c r="I2161" s="1">
        <v>42696</v>
      </c>
      <c r="J2161">
        <v>8651.5</v>
      </c>
      <c r="K2161" s="1">
        <v>42676</v>
      </c>
      <c r="L2161">
        <v>16474.52</v>
      </c>
    </row>
    <row r="2162" spans="1:12" x14ac:dyDescent="0.35">
      <c r="A2162" s="1">
        <v>42705</v>
      </c>
      <c r="B2162">
        <v>3030.98</v>
      </c>
      <c r="C2162" s="1">
        <v>42697</v>
      </c>
      <c r="D2162">
        <v>4529.21</v>
      </c>
      <c r="E2162" s="1">
        <v>42670</v>
      </c>
      <c r="F2162">
        <v>10717.08</v>
      </c>
      <c r="G2162" s="1">
        <v>42656</v>
      </c>
      <c r="H2162">
        <v>7741.8783700000004</v>
      </c>
      <c r="I2162" s="1">
        <v>42695</v>
      </c>
      <c r="J2162">
        <v>8614.6</v>
      </c>
      <c r="K2162" s="1">
        <v>42675</v>
      </c>
      <c r="L2162">
        <v>16898.28</v>
      </c>
    </row>
    <row r="2163" spans="1:12" x14ac:dyDescent="0.35">
      <c r="A2163" s="1">
        <v>42704</v>
      </c>
      <c r="B2163">
        <v>3051.61</v>
      </c>
      <c r="C2163" s="1">
        <v>42696</v>
      </c>
      <c r="D2163">
        <v>4548.3500000000004</v>
      </c>
      <c r="E2163" s="1">
        <v>42669</v>
      </c>
      <c r="F2163">
        <v>10709.68</v>
      </c>
      <c r="G2163" s="1">
        <v>42655</v>
      </c>
      <c r="H2163">
        <v>7782.4502499999999</v>
      </c>
      <c r="I2163" s="1">
        <v>42692</v>
      </c>
      <c r="J2163">
        <v>8622.9</v>
      </c>
      <c r="K2163" s="1">
        <v>42674</v>
      </c>
      <c r="L2163">
        <v>17125.05</v>
      </c>
    </row>
    <row r="2164" spans="1:12" x14ac:dyDescent="0.35">
      <c r="A2164" s="1">
        <v>42703</v>
      </c>
      <c r="B2164">
        <v>3038.42</v>
      </c>
      <c r="C2164" s="1">
        <v>42695</v>
      </c>
      <c r="D2164">
        <v>4529.58</v>
      </c>
      <c r="E2164" s="1">
        <v>42668</v>
      </c>
      <c r="F2164">
        <v>10757.31</v>
      </c>
      <c r="G2164" s="1">
        <v>42654</v>
      </c>
      <c r="H2164">
        <v>7766.5334800000001</v>
      </c>
      <c r="I2164" s="1">
        <v>42691</v>
      </c>
      <c r="J2164">
        <v>8718</v>
      </c>
      <c r="K2164" s="1">
        <v>42671</v>
      </c>
      <c r="L2164">
        <v>17324.23</v>
      </c>
    </row>
    <row r="2165" spans="1:12" x14ac:dyDescent="0.35">
      <c r="A2165" s="1">
        <v>42702</v>
      </c>
      <c r="B2165">
        <v>3016.8</v>
      </c>
      <c r="C2165" s="1">
        <v>42692</v>
      </c>
      <c r="D2165">
        <v>4504.3500000000004</v>
      </c>
      <c r="E2165" s="1">
        <v>42667</v>
      </c>
      <c r="F2165">
        <v>10761.17</v>
      </c>
      <c r="G2165" s="1">
        <v>42653</v>
      </c>
      <c r="H2165">
        <v>7885.3326900000002</v>
      </c>
      <c r="I2165" s="1">
        <v>42690</v>
      </c>
      <c r="J2165">
        <v>8638.5</v>
      </c>
      <c r="K2165" s="1">
        <v>42670</v>
      </c>
      <c r="L2165">
        <v>17426.46</v>
      </c>
    </row>
    <row r="2166" spans="1:12" x14ac:dyDescent="0.35">
      <c r="A2166" s="1">
        <v>42699</v>
      </c>
      <c r="B2166">
        <v>3048.38</v>
      </c>
      <c r="C2166" s="1">
        <v>42691</v>
      </c>
      <c r="D2166">
        <v>4527.7700000000004</v>
      </c>
      <c r="E2166" s="1">
        <v>42664</v>
      </c>
      <c r="F2166">
        <v>10710.73</v>
      </c>
      <c r="G2166" s="1">
        <v>42650</v>
      </c>
      <c r="H2166">
        <v>7859.3391300000003</v>
      </c>
      <c r="I2166" s="1">
        <v>42689</v>
      </c>
      <c r="J2166">
        <v>8687.1</v>
      </c>
      <c r="K2166" s="1">
        <v>42669</v>
      </c>
      <c r="L2166">
        <v>17280.740000000002</v>
      </c>
    </row>
    <row r="2167" spans="1:12" x14ac:dyDescent="0.35">
      <c r="A2167" s="1">
        <v>42698</v>
      </c>
      <c r="B2167">
        <v>3040.6</v>
      </c>
      <c r="C2167" s="1">
        <v>42690</v>
      </c>
      <c r="D2167">
        <v>4501.1400000000003</v>
      </c>
      <c r="E2167" s="1">
        <v>42663</v>
      </c>
      <c r="F2167">
        <v>10701.39</v>
      </c>
      <c r="G2167" s="1">
        <v>42649</v>
      </c>
      <c r="H2167">
        <v>7930.6956499999997</v>
      </c>
      <c r="I2167" s="1">
        <v>42688</v>
      </c>
      <c r="J2167">
        <v>8658.2000000000007</v>
      </c>
      <c r="K2167" s="1">
        <v>42668</v>
      </c>
      <c r="L2167">
        <v>17230.03</v>
      </c>
    </row>
    <row r="2168" spans="1:12" x14ac:dyDescent="0.35">
      <c r="A2168" s="1">
        <v>42697</v>
      </c>
      <c r="B2168">
        <v>3032.14</v>
      </c>
      <c r="C2168" s="1">
        <v>42689</v>
      </c>
      <c r="D2168">
        <v>4536.53</v>
      </c>
      <c r="E2168" s="1">
        <v>42662</v>
      </c>
      <c r="F2168">
        <v>10645.68</v>
      </c>
      <c r="G2168" s="1">
        <v>42648</v>
      </c>
      <c r="H2168">
        <v>8004.8251399999999</v>
      </c>
      <c r="I2168" s="1">
        <v>42685</v>
      </c>
      <c r="J2168">
        <v>8639.2000000000007</v>
      </c>
      <c r="K2168" s="1">
        <v>42667</v>
      </c>
      <c r="L2168">
        <v>17305.77</v>
      </c>
    </row>
    <row r="2169" spans="1:12" x14ac:dyDescent="0.35">
      <c r="A2169" s="1">
        <v>42696</v>
      </c>
      <c r="B2169">
        <v>3044.33</v>
      </c>
      <c r="C2169" s="1">
        <v>42688</v>
      </c>
      <c r="D2169">
        <v>4508.55</v>
      </c>
      <c r="E2169" s="1">
        <v>42661</v>
      </c>
      <c r="F2169">
        <v>10631.55</v>
      </c>
      <c r="G2169" s="1">
        <v>42647</v>
      </c>
      <c r="H2169">
        <v>8048.8470799999996</v>
      </c>
      <c r="I2169" s="1">
        <v>42684</v>
      </c>
      <c r="J2169">
        <v>8756.7999999999993</v>
      </c>
      <c r="K2169" s="1">
        <v>42664</v>
      </c>
      <c r="L2169">
        <v>17166.759999999998</v>
      </c>
    </row>
    <row r="2170" spans="1:12" x14ac:dyDescent="0.35">
      <c r="A2170" s="1">
        <v>42695</v>
      </c>
      <c r="B2170">
        <v>3032.97</v>
      </c>
      <c r="C2170" s="1">
        <v>42685</v>
      </c>
      <c r="D2170">
        <v>4489.2700000000004</v>
      </c>
      <c r="E2170" s="1">
        <v>42660</v>
      </c>
      <c r="F2170">
        <v>10503.57</v>
      </c>
      <c r="G2170" s="1">
        <v>42646</v>
      </c>
      <c r="H2170">
        <v>8001.9759400000003</v>
      </c>
      <c r="I2170" s="1">
        <v>42683</v>
      </c>
      <c r="J2170">
        <v>8901.5</v>
      </c>
      <c r="K2170" s="1">
        <v>42663</v>
      </c>
      <c r="L2170">
        <v>17141.38</v>
      </c>
    </row>
    <row r="2171" spans="1:12" x14ac:dyDescent="0.35">
      <c r="A2171" s="1">
        <v>42692</v>
      </c>
      <c r="B2171">
        <v>3020.83</v>
      </c>
      <c r="C2171" s="1">
        <v>42684</v>
      </c>
      <c r="D2171">
        <v>4530.95</v>
      </c>
      <c r="E2171" s="1">
        <v>42657</v>
      </c>
      <c r="F2171">
        <v>10580.38</v>
      </c>
      <c r="G2171" s="1">
        <v>42643</v>
      </c>
      <c r="H2171">
        <v>7969.7461800000001</v>
      </c>
      <c r="I2171" s="1">
        <v>42682</v>
      </c>
      <c r="J2171">
        <v>8937</v>
      </c>
      <c r="K2171" s="1">
        <v>42662</v>
      </c>
      <c r="L2171">
        <v>17044.34</v>
      </c>
    </row>
    <row r="2172" spans="1:12" x14ac:dyDescent="0.35">
      <c r="A2172" s="1">
        <v>42691</v>
      </c>
      <c r="B2172">
        <v>3041.79</v>
      </c>
      <c r="C2172" s="1">
        <v>42683</v>
      </c>
      <c r="D2172">
        <v>4543.4799999999996</v>
      </c>
      <c r="E2172" s="1">
        <v>42656</v>
      </c>
      <c r="F2172">
        <v>10414.07</v>
      </c>
      <c r="G2172" s="1">
        <v>42642</v>
      </c>
      <c r="H2172">
        <v>8000.8298400000003</v>
      </c>
      <c r="I2172" s="1">
        <v>42681</v>
      </c>
      <c r="J2172">
        <v>8918.7999999999993</v>
      </c>
      <c r="K2172" s="1">
        <v>42661</v>
      </c>
      <c r="L2172">
        <v>16966.61</v>
      </c>
    </row>
    <row r="2173" spans="1:12" x14ac:dyDescent="0.35">
      <c r="A2173" s="1">
        <v>42690</v>
      </c>
      <c r="B2173">
        <v>3026.36</v>
      </c>
      <c r="C2173" s="1">
        <v>42682</v>
      </c>
      <c r="D2173">
        <v>4476.8900000000003</v>
      </c>
      <c r="E2173" s="1">
        <v>42655</v>
      </c>
      <c r="F2173">
        <v>10523.07</v>
      </c>
      <c r="G2173" s="1">
        <v>42641</v>
      </c>
      <c r="H2173">
        <v>7949.2893599999998</v>
      </c>
      <c r="I2173" s="1">
        <v>42678</v>
      </c>
      <c r="J2173">
        <v>8791.6</v>
      </c>
      <c r="K2173" s="1">
        <v>42660</v>
      </c>
      <c r="L2173">
        <v>16630.34</v>
      </c>
    </row>
    <row r="2174" spans="1:12" x14ac:dyDescent="0.35">
      <c r="A2174" s="1">
        <v>42689</v>
      </c>
      <c r="B2174">
        <v>3049.72</v>
      </c>
      <c r="C2174" s="1">
        <v>42681</v>
      </c>
      <c r="D2174">
        <v>4461.21</v>
      </c>
      <c r="E2174" s="1">
        <v>42654</v>
      </c>
      <c r="F2174">
        <v>10577.16</v>
      </c>
      <c r="G2174" s="1">
        <v>42640</v>
      </c>
      <c r="H2174">
        <v>7901.1205200000004</v>
      </c>
      <c r="I2174" s="1">
        <v>42677</v>
      </c>
      <c r="J2174">
        <v>8879.9</v>
      </c>
      <c r="K2174" s="1">
        <v>42657</v>
      </c>
      <c r="L2174">
        <v>16591.37</v>
      </c>
    </row>
    <row r="2175" spans="1:12" x14ac:dyDescent="0.35">
      <c r="A2175" s="1">
        <v>42688</v>
      </c>
      <c r="B2175">
        <v>3039.8</v>
      </c>
      <c r="C2175" s="1">
        <v>42678</v>
      </c>
      <c r="D2175">
        <v>4377.46</v>
      </c>
      <c r="E2175" s="1">
        <v>42653</v>
      </c>
      <c r="F2175">
        <v>10624.08</v>
      </c>
      <c r="G2175" s="1">
        <v>42639</v>
      </c>
      <c r="H2175">
        <v>7862.5882099999999</v>
      </c>
      <c r="I2175" s="1">
        <v>42676</v>
      </c>
      <c r="J2175">
        <v>8873.4</v>
      </c>
      <c r="K2175" s="1">
        <v>42656</v>
      </c>
      <c r="L2175">
        <v>16269.26</v>
      </c>
    </row>
    <row r="2176" spans="1:12" x14ac:dyDescent="0.35">
      <c r="A2176" s="1">
        <v>42685</v>
      </c>
      <c r="B2176">
        <v>3030.02</v>
      </c>
      <c r="C2176" s="1">
        <v>42677</v>
      </c>
      <c r="D2176">
        <v>4411.68</v>
      </c>
      <c r="E2176" s="1">
        <v>42650</v>
      </c>
      <c r="F2176">
        <v>10490.86</v>
      </c>
      <c r="G2176" s="1">
        <v>42636</v>
      </c>
      <c r="H2176">
        <v>7977.9556300000004</v>
      </c>
      <c r="I2176" s="1">
        <v>42675</v>
      </c>
      <c r="J2176">
        <v>9040.7000000000007</v>
      </c>
      <c r="K2176" s="1">
        <v>42655</v>
      </c>
      <c r="L2176">
        <v>16470.28</v>
      </c>
    </row>
    <row r="2177" spans="1:12" x14ac:dyDescent="0.35">
      <c r="A2177" s="1">
        <v>42684</v>
      </c>
      <c r="B2177">
        <v>3046.59</v>
      </c>
      <c r="C2177" s="1">
        <v>42676</v>
      </c>
      <c r="D2177">
        <v>4414.67</v>
      </c>
      <c r="E2177" s="1">
        <v>42649</v>
      </c>
      <c r="F2177">
        <v>10568.8</v>
      </c>
      <c r="G2177" s="1">
        <v>42635</v>
      </c>
      <c r="H2177">
        <v>8053.8615600000003</v>
      </c>
      <c r="I2177" s="1">
        <v>42674</v>
      </c>
      <c r="J2177">
        <v>9143.2999999999993</v>
      </c>
      <c r="K2177" s="1">
        <v>42654</v>
      </c>
      <c r="L2177">
        <v>16474.060000000001</v>
      </c>
    </row>
    <row r="2178" spans="1:12" x14ac:dyDescent="0.35">
      <c r="A2178" s="1">
        <v>42683</v>
      </c>
      <c r="B2178">
        <v>3056.29</v>
      </c>
      <c r="C2178" s="1">
        <v>42675</v>
      </c>
      <c r="D2178">
        <v>4470.28</v>
      </c>
      <c r="E2178" s="1">
        <v>42648</v>
      </c>
      <c r="F2178">
        <v>10585.78</v>
      </c>
      <c r="G2178" s="1">
        <v>42634</v>
      </c>
      <c r="H2178">
        <v>7948.2758599999997</v>
      </c>
      <c r="I2178" s="1">
        <v>42671</v>
      </c>
      <c r="J2178">
        <v>9201.2999999999993</v>
      </c>
      <c r="K2178" s="1">
        <v>42653</v>
      </c>
      <c r="L2178">
        <v>16632.45</v>
      </c>
    </row>
    <row r="2179" spans="1:12" x14ac:dyDescent="0.35">
      <c r="A2179" s="1">
        <v>42682</v>
      </c>
      <c r="B2179">
        <v>3023.43</v>
      </c>
      <c r="C2179" s="1">
        <v>42674</v>
      </c>
      <c r="D2179">
        <v>4509.26</v>
      </c>
      <c r="E2179" s="1">
        <v>42647</v>
      </c>
      <c r="F2179">
        <v>10619.61</v>
      </c>
      <c r="G2179" s="1">
        <v>42633</v>
      </c>
      <c r="H2179">
        <v>7941.8257899999999</v>
      </c>
      <c r="I2179" s="1">
        <v>42670</v>
      </c>
      <c r="J2179">
        <v>9197.2000000000007</v>
      </c>
      <c r="K2179" s="1">
        <v>42650</v>
      </c>
      <c r="L2179">
        <v>16405.27</v>
      </c>
    </row>
    <row r="2180" spans="1:12" x14ac:dyDescent="0.35">
      <c r="A2180" s="1">
        <v>42681</v>
      </c>
      <c r="B2180">
        <v>3009.28</v>
      </c>
      <c r="C2180" s="1">
        <v>42671</v>
      </c>
      <c r="D2180">
        <v>4548.58</v>
      </c>
      <c r="E2180" s="1">
        <v>42643</v>
      </c>
      <c r="F2180">
        <v>10511.02</v>
      </c>
      <c r="G2180" s="1">
        <v>42632</v>
      </c>
      <c r="H2180">
        <v>7954.1201000000001</v>
      </c>
      <c r="I2180" s="1">
        <v>42669</v>
      </c>
      <c r="J2180">
        <v>9173.2999999999993</v>
      </c>
      <c r="K2180" s="1">
        <v>42649</v>
      </c>
      <c r="L2180">
        <v>16491.62</v>
      </c>
    </row>
    <row r="2181" spans="1:12" x14ac:dyDescent="0.35">
      <c r="A2181" s="1">
        <v>42678</v>
      </c>
      <c r="B2181">
        <v>2954.53</v>
      </c>
      <c r="C2181" s="1">
        <v>42670</v>
      </c>
      <c r="D2181">
        <v>4533.57</v>
      </c>
      <c r="E2181" s="1">
        <v>42642</v>
      </c>
      <c r="F2181">
        <v>10405.540000000001</v>
      </c>
      <c r="G2181" s="1">
        <v>42629</v>
      </c>
      <c r="H2181">
        <v>7859.6175800000001</v>
      </c>
      <c r="I2181" s="1">
        <v>42668</v>
      </c>
      <c r="J2181">
        <v>9139.7000000000007</v>
      </c>
      <c r="K2181" s="1">
        <v>42648</v>
      </c>
      <c r="L2181">
        <v>16476.580000000002</v>
      </c>
    </row>
    <row r="2182" spans="1:12" x14ac:dyDescent="0.35">
      <c r="A2182" s="1">
        <v>42677</v>
      </c>
      <c r="B2182">
        <v>2973.49</v>
      </c>
      <c r="C2182" s="1">
        <v>42669</v>
      </c>
      <c r="D2182">
        <v>4534.59</v>
      </c>
      <c r="E2182" s="1">
        <v>42641</v>
      </c>
      <c r="F2182">
        <v>10438.34</v>
      </c>
      <c r="G2182" s="1">
        <v>42628</v>
      </c>
      <c r="H2182">
        <v>7912.6823599999998</v>
      </c>
      <c r="I2182" s="1">
        <v>42667</v>
      </c>
      <c r="J2182">
        <v>9216.2000000000007</v>
      </c>
      <c r="K2182" s="1">
        <v>42647</v>
      </c>
      <c r="L2182">
        <v>16308.02</v>
      </c>
    </row>
    <row r="2183" spans="1:12" x14ac:dyDescent="0.35">
      <c r="A2183" s="1">
        <v>42676</v>
      </c>
      <c r="B2183">
        <v>2980.17</v>
      </c>
      <c r="C2183" s="1">
        <v>42668</v>
      </c>
      <c r="D2183">
        <v>4540.84</v>
      </c>
      <c r="E2183" s="1">
        <v>42640</v>
      </c>
      <c r="F2183">
        <v>10361.48</v>
      </c>
      <c r="G2183" s="1">
        <v>42627</v>
      </c>
      <c r="H2183">
        <v>7822.4902700000002</v>
      </c>
      <c r="I2183" s="1">
        <v>42664</v>
      </c>
      <c r="J2183">
        <v>9100.4</v>
      </c>
      <c r="K2183" s="1">
        <v>42646</v>
      </c>
      <c r="L2183">
        <v>16273.95</v>
      </c>
    </row>
    <row r="2184" spans="1:12" x14ac:dyDescent="0.35">
      <c r="A2184" s="1">
        <v>42675</v>
      </c>
      <c r="B2184">
        <v>3023.15</v>
      </c>
      <c r="C2184" s="1">
        <v>42667</v>
      </c>
      <c r="D2184">
        <v>4552.58</v>
      </c>
      <c r="E2184" s="1">
        <v>42639</v>
      </c>
      <c r="F2184">
        <v>10393.709999999999</v>
      </c>
      <c r="G2184" s="1">
        <v>42626</v>
      </c>
      <c r="H2184">
        <v>7830.8545100000001</v>
      </c>
      <c r="I2184" s="1">
        <v>42663</v>
      </c>
      <c r="J2184">
        <v>9061.2000000000007</v>
      </c>
      <c r="K2184" s="1">
        <v>42643</v>
      </c>
      <c r="L2184">
        <v>16401</v>
      </c>
    </row>
    <row r="2185" spans="1:12" x14ac:dyDescent="0.35">
      <c r="A2185" s="1">
        <v>42674</v>
      </c>
      <c r="B2185">
        <v>3055.25</v>
      </c>
      <c r="C2185" s="1">
        <v>42664</v>
      </c>
      <c r="D2185">
        <v>4536.07</v>
      </c>
      <c r="E2185" s="1">
        <v>42636</v>
      </c>
      <c r="F2185">
        <v>10626.97</v>
      </c>
      <c r="G2185" s="1">
        <v>42625</v>
      </c>
      <c r="H2185">
        <v>7944.34753</v>
      </c>
      <c r="I2185" s="1">
        <v>42662</v>
      </c>
      <c r="J2185">
        <v>8950.1</v>
      </c>
      <c r="K2185" s="1">
        <v>42642</v>
      </c>
      <c r="L2185">
        <v>16338.78</v>
      </c>
    </row>
    <row r="2186" spans="1:12" x14ac:dyDescent="0.35">
      <c r="A2186" s="1">
        <v>42671</v>
      </c>
      <c r="B2186">
        <v>3079.24</v>
      </c>
      <c r="C2186" s="1">
        <v>42663</v>
      </c>
      <c r="D2186">
        <v>4540.12</v>
      </c>
      <c r="E2186" s="1">
        <v>42635</v>
      </c>
      <c r="F2186">
        <v>10674.18</v>
      </c>
      <c r="G2186" s="1">
        <v>42622</v>
      </c>
      <c r="H2186">
        <v>8014.5062699999999</v>
      </c>
      <c r="I2186" s="1">
        <v>42661</v>
      </c>
      <c r="J2186">
        <v>8865.2999999999993</v>
      </c>
      <c r="K2186" s="1">
        <v>42641</v>
      </c>
      <c r="L2186">
        <v>16222.21</v>
      </c>
    </row>
    <row r="2187" spans="1:12" x14ac:dyDescent="0.35">
      <c r="A2187" s="1">
        <v>42670</v>
      </c>
      <c r="B2187">
        <v>3085.17</v>
      </c>
      <c r="C2187" s="1">
        <v>42662</v>
      </c>
      <c r="D2187">
        <v>4520.3</v>
      </c>
      <c r="E2187" s="1">
        <v>42634</v>
      </c>
      <c r="F2187">
        <v>10436.49</v>
      </c>
      <c r="G2187" s="1">
        <v>42621</v>
      </c>
      <c r="H2187">
        <v>8109.0632699999996</v>
      </c>
      <c r="I2187" s="1">
        <v>42660</v>
      </c>
      <c r="J2187">
        <v>8740.7000000000007</v>
      </c>
      <c r="K2187" s="1">
        <v>42640</v>
      </c>
      <c r="L2187">
        <v>16134.71</v>
      </c>
    </row>
    <row r="2188" spans="1:12" x14ac:dyDescent="0.35">
      <c r="A2188" s="1">
        <v>42669</v>
      </c>
      <c r="B2188">
        <v>3080.98</v>
      </c>
      <c r="C2188" s="1">
        <v>42661</v>
      </c>
      <c r="D2188">
        <v>4508.91</v>
      </c>
      <c r="E2188" s="1">
        <v>42633</v>
      </c>
      <c r="F2188">
        <v>10393.86</v>
      </c>
      <c r="G2188" s="1">
        <v>42620</v>
      </c>
      <c r="H2188">
        <v>8119.3416699999998</v>
      </c>
      <c r="I2188" s="1">
        <v>42657</v>
      </c>
      <c r="J2188">
        <v>8767.9</v>
      </c>
      <c r="K2188" s="1">
        <v>42639</v>
      </c>
      <c r="L2188">
        <v>16192.48</v>
      </c>
    </row>
    <row r="2189" spans="1:12" x14ac:dyDescent="0.35">
      <c r="A2189" s="1">
        <v>42668</v>
      </c>
      <c r="B2189">
        <v>3087.41</v>
      </c>
      <c r="C2189" s="1">
        <v>42660</v>
      </c>
      <c r="D2189">
        <v>4450.2299999999996</v>
      </c>
      <c r="E2189" s="1">
        <v>42632</v>
      </c>
      <c r="F2189">
        <v>10373.870000000001</v>
      </c>
      <c r="G2189" s="1">
        <v>42619</v>
      </c>
      <c r="H2189">
        <v>8150.4530800000002</v>
      </c>
      <c r="I2189" s="1">
        <v>42656</v>
      </c>
      <c r="J2189">
        <v>8608.7000000000007</v>
      </c>
      <c r="K2189" s="1">
        <v>42636</v>
      </c>
      <c r="L2189">
        <v>16452.84</v>
      </c>
    </row>
    <row r="2190" spans="1:12" x14ac:dyDescent="0.35">
      <c r="A2190" s="1">
        <v>42667</v>
      </c>
      <c r="B2190">
        <v>3093.86</v>
      </c>
      <c r="C2190" s="1">
        <v>42657</v>
      </c>
      <c r="D2190">
        <v>4470.92</v>
      </c>
      <c r="E2190" s="1">
        <v>42629</v>
      </c>
      <c r="F2190">
        <v>10276.17</v>
      </c>
      <c r="G2190" s="1">
        <v>42618</v>
      </c>
      <c r="H2190">
        <v>8211.7563399999999</v>
      </c>
      <c r="I2190" s="1">
        <v>42655</v>
      </c>
      <c r="J2190">
        <v>8686.5</v>
      </c>
      <c r="K2190" s="1">
        <v>42635</v>
      </c>
      <c r="L2190">
        <v>16637.689999999999</v>
      </c>
    </row>
    <row r="2191" spans="1:12" x14ac:dyDescent="0.35">
      <c r="A2191" s="1">
        <v>42664</v>
      </c>
      <c r="B2191">
        <v>3077.65</v>
      </c>
      <c r="C2191" s="1">
        <v>42656</v>
      </c>
      <c r="D2191">
        <v>4405.17</v>
      </c>
      <c r="E2191" s="1">
        <v>42628</v>
      </c>
      <c r="F2191">
        <v>10431.200000000001</v>
      </c>
      <c r="G2191" s="1">
        <v>42615</v>
      </c>
      <c r="H2191">
        <v>8218.7980100000004</v>
      </c>
      <c r="I2191" s="1">
        <v>42654</v>
      </c>
      <c r="J2191">
        <v>8693.2000000000007</v>
      </c>
      <c r="K2191" s="1">
        <v>42634</v>
      </c>
      <c r="L2191">
        <v>16349.82</v>
      </c>
    </row>
    <row r="2192" spans="1:12" x14ac:dyDescent="0.35">
      <c r="A2192" s="1">
        <v>42663</v>
      </c>
      <c r="B2192">
        <v>3076.63</v>
      </c>
      <c r="C2192" s="1">
        <v>42655</v>
      </c>
      <c r="D2192">
        <v>4452.24</v>
      </c>
      <c r="E2192" s="1">
        <v>42627</v>
      </c>
      <c r="F2192">
        <v>10378.4</v>
      </c>
      <c r="G2192" s="1">
        <v>42614</v>
      </c>
      <c r="H2192">
        <v>7997.2094800000004</v>
      </c>
      <c r="I2192" s="1">
        <v>42653</v>
      </c>
      <c r="J2192">
        <v>8701.5</v>
      </c>
      <c r="K2192" s="1">
        <v>42633</v>
      </c>
      <c r="L2192">
        <v>16207.1</v>
      </c>
    </row>
    <row r="2193" spans="1:12" x14ac:dyDescent="0.35">
      <c r="A2193" s="1">
        <v>42662</v>
      </c>
      <c r="B2193">
        <v>3055.94</v>
      </c>
      <c r="C2193" s="1">
        <v>42654</v>
      </c>
      <c r="D2193">
        <v>4471.74</v>
      </c>
      <c r="E2193" s="1">
        <v>42626</v>
      </c>
      <c r="F2193">
        <v>10386.6</v>
      </c>
      <c r="G2193" s="1">
        <v>42613</v>
      </c>
      <c r="H2193">
        <v>7986.7200999999995</v>
      </c>
      <c r="I2193" s="1">
        <v>42650</v>
      </c>
      <c r="J2193">
        <v>8624.2999999999993</v>
      </c>
      <c r="K2193" s="1">
        <v>42632</v>
      </c>
      <c r="L2193">
        <v>16399.259999999998</v>
      </c>
    </row>
    <row r="2194" spans="1:12" x14ac:dyDescent="0.35">
      <c r="A2194" s="1">
        <v>42661</v>
      </c>
      <c r="B2194">
        <v>3046.99</v>
      </c>
      <c r="C2194" s="1">
        <v>42653</v>
      </c>
      <c r="D2194">
        <v>4497.26</v>
      </c>
      <c r="E2194" s="1">
        <v>42625</v>
      </c>
      <c r="F2194">
        <v>10431.77</v>
      </c>
      <c r="G2194" s="1">
        <v>42612</v>
      </c>
      <c r="H2194">
        <v>8003.7698099999998</v>
      </c>
      <c r="I2194" s="1">
        <v>42649</v>
      </c>
      <c r="J2194">
        <v>8757.4</v>
      </c>
      <c r="K2194" s="1">
        <v>42629</v>
      </c>
      <c r="L2194">
        <v>16192.16</v>
      </c>
    </row>
    <row r="2195" spans="1:12" x14ac:dyDescent="0.35">
      <c r="A2195" s="1">
        <v>42660</v>
      </c>
      <c r="B2195">
        <v>3008.72</v>
      </c>
      <c r="C2195" s="1">
        <v>42650</v>
      </c>
      <c r="D2195">
        <v>4449.91</v>
      </c>
      <c r="E2195" s="1">
        <v>42622</v>
      </c>
      <c r="F2195">
        <v>10573.44</v>
      </c>
      <c r="G2195" s="1">
        <v>42608</v>
      </c>
      <c r="H2195">
        <v>8006.0266799999999</v>
      </c>
      <c r="I2195" s="1">
        <v>42648</v>
      </c>
      <c r="J2195">
        <v>8778.2999999999993</v>
      </c>
      <c r="K2195" s="1">
        <v>42628</v>
      </c>
      <c r="L2195">
        <v>16595.43</v>
      </c>
    </row>
    <row r="2196" spans="1:12" x14ac:dyDescent="0.35">
      <c r="A2196" s="1">
        <v>42657</v>
      </c>
      <c r="B2196">
        <v>3025.19</v>
      </c>
      <c r="C2196" s="1">
        <v>42649</v>
      </c>
      <c r="D2196">
        <v>4480.1000000000004</v>
      </c>
      <c r="E2196" s="1">
        <v>42621</v>
      </c>
      <c r="F2196">
        <v>10675.29</v>
      </c>
      <c r="G2196" s="1">
        <v>42607</v>
      </c>
      <c r="H2196">
        <v>7970.7803100000001</v>
      </c>
      <c r="I2196" s="1">
        <v>42647</v>
      </c>
      <c r="J2196">
        <v>8769</v>
      </c>
      <c r="K2196" s="1">
        <v>42627</v>
      </c>
      <c r="L2196">
        <v>16539.900000000001</v>
      </c>
    </row>
    <row r="2197" spans="1:12" x14ac:dyDescent="0.35">
      <c r="A2197" s="1">
        <v>42656</v>
      </c>
      <c r="B2197">
        <v>2975.04</v>
      </c>
      <c r="C2197" s="1">
        <v>42648</v>
      </c>
      <c r="D2197">
        <v>4489.95</v>
      </c>
      <c r="E2197" s="1">
        <v>42620</v>
      </c>
      <c r="F2197">
        <v>10752.98</v>
      </c>
      <c r="G2197" s="1">
        <v>42606</v>
      </c>
      <c r="H2197">
        <v>8029.5695999999998</v>
      </c>
      <c r="I2197" s="1">
        <v>42646</v>
      </c>
      <c r="J2197">
        <v>8751.6</v>
      </c>
      <c r="K2197" s="1">
        <v>42626</v>
      </c>
      <c r="L2197">
        <v>16547.75</v>
      </c>
    </row>
    <row r="2198" spans="1:12" x14ac:dyDescent="0.35">
      <c r="A2198" s="1">
        <v>42655</v>
      </c>
      <c r="B2198">
        <v>3008.03</v>
      </c>
      <c r="C2198" s="1">
        <v>42647</v>
      </c>
      <c r="D2198">
        <v>4503.09</v>
      </c>
      <c r="E2198" s="1">
        <v>42619</v>
      </c>
      <c r="F2198">
        <v>10687.14</v>
      </c>
      <c r="G2198" s="1">
        <v>42605</v>
      </c>
      <c r="H2198">
        <v>8003.3495199999998</v>
      </c>
      <c r="I2198" s="1">
        <v>42643</v>
      </c>
      <c r="J2198">
        <v>8779.4</v>
      </c>
      <c r="K2198" s="1">
        <v>42625</v>
      </c>
      <c r="L2198">
        <v>16840.28</v>
      </c>
    </row>
    <row r="2199" spans="1:12" x14ac:dyDescent="0.35">
      <c r="A2199" s="1">
        <v>42654</v>
      </c>
      <c r="B2199">
        <v>3020.69</v>
      </c>
      <c r="C2199" s="1">
        <v>42646</v>
      </c>
      <c r="D2199">
        <v>4453.5600000000004</v>
      </c>
      <c r="E2199" s="1">
        <v>42618</v>
      </c>
      <c r="F2199">
        <v>10672.22</v>
      </c>
      <c r="G2199" s="1">
        <v>42604</v>
      </c>
      <c r="H2199">
        <v>7920.9857499999998</v>
      </c>
      <c r="I2199" s="1">
        <v>42642</v>
      </c>
      <c r="J2199">
        <v>8796.2999999999993</v>
      </c>
      <c r="K2199" s="1">
        <v>42622</v>
      </c>
      <c r="L2199">
        <v>17156.48</v>
      </c>
    </row>
    <row r="2200" spans="1:12" x14ac:dyDescent="0.35">
      <c r="A2200" s="1">
        <v>42653</v>
      </c>
      <c r="B2200">
        <v>3035.76</v>
      </c>
      <c r="C2200" s="1">
        <v>42643</v>
      </c>
      <c r="D2200">
        <v>4448.26</v>
      </c>
      <c r="E2200" s="1">
        <v>42615</v>
      </c>
      <c r="F2200">
        <v>10683.82</v>
      </c>
      <c r="G2200" s="1">
        <v>42601</v>
      </c>
      <c r="H2200">
        <v>7915.0586400000002</v>
      </c>
      <c r="I2200" s="1">
        <v>42641</v>
      </c>
      <c r="J2200">
        <v>8740.4</v>
      </c>
      <c r="K2200" s="1">
        <v>42621</v>
      </c>
      <c r="L2200">
        <v>17375.73</v>
      </c>
    </row>
    <row r="2201" spans="1:12" x14ac:dyDescent="0.35">
      <c r="A2201" s="1">
        <v>42650</v>
      </c>
      <c r="B2201">
        <v>3000.57</v>
      </c>
      <c r="C2201" s="1">
        <v>42642</v>
      </c>
      <c r="D2201">
        <v>4443.84</v>
      </c>
      <c r="E2201" s="1">
        <v>42614</v>
      </c>
      <c r="F2201">
        <v>10534.31</v>
      </c>
      <c r="G2201" s="1">
        <v>42600</v>
      </c>
      <c r="H2201">
        <v>7965.0835399999996</v>
      </c>
      <c r="I2201" s="1">
        <v>42640</v>
      </c>
      <c r="J2201">
        <v>8688.2000000000007</v>
      </c>
      <c r="K2201" s="1">
        <v>42620</v>
      </c>
      <c r="L2201">
        <v>17292.84</v>
      </c>
    </row>
    <row r="2202" spans="1:12" x14ac:dyDescent="0.35">
      <c r="A2202" s="1">
        <v>42649</v>
      </c>
      <c r="B2202">
        <v>3021.58</v>
      </c>
      <c r="C2202" s="1">
        <v>42641</v>
      </c>
      <c r="D2202">
        <v>4432.45</v>
      </c>
      <c r="E2202" s="1">
        <v>42613</v>
      </c>
      <c r="F2202">
        <v>10592.69</v>
      </c>
      <c r="G2202" s="1">
        <v>42599</v>
      </c>
      <c r="H2202">
        <v>7917.8673799999997</v>
      </c>
      <c r="I2202" s="1">
        <v>42639</v>
      </c>
      <c r="J2202">
        <v>8711.4</v>
      </c>
      <c r="K2202" s="1">
        <v>42619</v>
      </c>
      <c r="L2202">
        <v>17052.57</v>
      </c>
    </row>
    <row r="2203" spans="1:12" x14ac:dyDescent="0.35">
      <c r="A2203" s="1">
        <v>42648</v>
      </c>
      <c r="B2203">
        <v>3026.28</v>
      </c>
      <c r="C2203" s="1">
        <v>42640</v>
      </c>
      <c r="D2203">
        <v>4398.68</v>
      </c>
      <c r="E2203" s="1">
        <v>42612</v>
      </c>
      <c r="F2203">
        <v>10657.64</v>
      </c>
      <c r="G2203" s="1">
        <v>42598</v>
      </c>
      <c r="H2203">
        <v>7974.8993799999998</v>
      </c>
      <c r="I2203" s="1">
        <v>42636</v>
      </c>
      <c r="J2203">
        <v>8823.6</v>
      </c>
      <c r="K2203" s="1">
        <v>42618</v>
      </c>
      <c r="L2203">
        <v>17190.439999999999</v>
      </c>
    </row>
    <row r="2204" spans="1:12" x14ac:dyDescent="0.35">
      <c r="A2204" s="1">
        <v>42647</v>
      </c>
      <c r="B2204">
        <v>3029.5</v>
      </c>
      <c r="C2204" s="1">
        <v>42639</v>
      </c>
      <c r="D2204">
        <v>4407.8500000000004</v>
      </c>
      <c r="E2204" s="1">
        <v>42611</v>
      </c>
      <c r="F2204">
        <v>10544.44</v>
      </c>
      <c r="G2204" s="1">
        <v>42597</v>
      </c>
      <c r="H2204">
        <v>7992.1142200000004</v>
      </c>
      <c r="I2204" s="1">
        <v>42635</v>
      </c>
      <c r="J2204">
        <v>8934.9</v>
      </c>
      <c r="K2204" s="1">
        <v>42615</v>
      </c>
      <c r="L2204">
        <v>17183.900000000001</v>
      </c>
    </row>
    <row r="2205" spans="1:12" x14ac:dyDescent="0.35">
      <c r="A2205" s="1">
        <v>42646</v>
      </c>
      <c r="B2205">
        <v>2998.5</v>
      </c>
      <c r="C2205" s="1">
        <v>42636</v>
      </c>
      <c r="D2205">
        <v>4488.6899999999996</v>
      </c>
      <c r="E2205" s="1">
        <v>42608</v>
      </c>
      <c r="F2205">
        <v>10587.77</v>
      </c>
      <c r="G2205" s="1">
        <v>42594</v>
      </c>
      <c r="H2205">
        <v>8001.6022899999998</v>
      </c>
      <c r="I2205" s="1">
        <v>42634</v>
      </c>
      <c r="J2205">
        <v>8758.5</v>
      </c>
      <c r="K2205" s="1">
        <v>42614</v>
      </c>
      <c r="L2205">
        <v>16923.28</v>
      </c>
    </row>
    <row r="2206" spans="1:12" x14ac:dyDescent="0.35">
      <c r="A2206" s="1">
        <v>42643</v>
      </c>
      <c r="B2206">
        <v>3002.24</v>
      </c>
      <c r="C2206" s="1">
        <v>42635</v>
      </c>
      <c r="D2206">
        <v>4509.82</v>
      </c>
      <c r="E2206" s="1">
        <v>42607</v>
      </c>
      <c r="F2206">
        <v>10529.59</v>
      </c>
      <c r="G2206" s="1">
        <v>42593</v>
      </c>
      <c r="H2206">
        <v>8037.6222200000002</v>
      </c>
      <c r="I2206" s="1">
        <v>42633</v>
      </c>
      <c r="J2206">
        <v>8686.1</v>
      </c>
      <c r="K2206" s="1">
        <v>42613</v>
      </c>
      <c r="L2206">
        <v>16943.38</v>
      </c>
    </row>
    <row r="2207" spans="1:12" x14ac:dyDescent="0.35">
      <c r="A2207" s="1">
        <v>42642</v>
      </c>
      <c r="B2207">
        <v>2991.58</v>
      </c>
      <c r="C2207" s="1">
        <v>42634</v>
      </c>
      <c r="D2207">
        <v>4409.55</v>
      </c>
      <c r="E2207" s="1">
        <v>42606</v>
      </c>
      <c r="F2207">
        <v>10622.97</v>
      </c>
      <c r="G2207" s="1">
        <v>42592</v>
      </c>
      <c r="H2207">
        <v>7996.5784999999996</v>
      </c>
      <c r="I2207" s="1">
        <v>42632</v>
      </c>
      <c r="J2207">
        <v>8715.5</v>
      </c>
      <c r="K2207" s="1">
        <v>42612</v>
      </c>
      <c r="L2207">
        <v>16891.419999999998</v>
      </c>
    </row>
    <row r="2208" spans="1:12" x14ac:dyDescent="0.35">
      <c r="A2208" s="1">
        <v>42641</v>
      </c>
      <c r="B2208">
        <v>2991.11</v>
      </c>
      <c r="C2208" s="1">
        <v>42633</v>
      </c>
      <c r="D2208">
        <v>4388.6000000000004</v>
      </c>
      <c r="E2208" s="1">
        <v>42605</v>
      </c>
      <c r="F2208">
        <v>10592.88</v>
      </c>
      <c r="G2208" s="1">
        <v>42591</v>
      </c>
      <c r="H2208">
        <v>8027.4305800000002</v>
      </c>
      <c r="I2208" s="1">
        <v>42629</v>
      </c>
      <c r="J2208">
        <v>8633.4</v>
      </c>
      <c r="K2208" s="1">
        <v>42611</v>
      </c>
      <c r="L2208">
        <v>16655.22</v>
      </c>
    </row>
    <row r="2209" spans="1:12" x14ac:dyDescent="0.35">
      <c r="A2209" s="1">
        <v>42640</v>
      </c>
      <c r="B2209">
        <v>2970.84</v>
      </c>
      <c r="C2209" s="1">
        <v>42632</v>
      </c>
      <c r="D2209">
        <v>4394.1899999999996</v>
      </c>
      <c r="E2209" s="1">
        <v>42604</v>
      </c>
      <c r="F2209">
        <v>10494.35</v>
      </c>
      <c r="G2209" s="1">
        <v>42590</v>
      </c>
      <c r="H2209">
        <v>8014.5740699999997</v>
      </c>
      <c r="I2209" s="1">
        <v>42628</v>
      </c>
      <c r="J2209">
        <v>8720.5</v>
      </c>
      <c r="K2209" s="1">
        <v>42608</v>
      </c>
      <c r="L2209">
        <v>16843.990000000002</v>
      </c>
    </row>
    <row r="2210" spans="1:12" x14ac:dyDescent="0.35">
      <c r="A2210" s="1">
        <v>42639</v>
      </c>
      <c r="B2210">
        <v>2975.88</v>
      </c>
      <c r="C2210" s="1">
        <v>42629</v>
      </c>
      <c r="D2210">
        <v>4332.45</v>
      </c>
      <c r="E2210" s="1">
        <v>42601</v>
      </c>
      <c r="F2210">
        <v>10544.36</v>
      </c>
      <c r="G2210" s="1">
        <v>42587</v>
      </c>
      <c r="H2210">
        <v>8013.3292000000001</v>
      </c>
      <c r="I2210" s="1">
        <v>42627</v>
      </c>
      <c r="J2210">
        <v>8702.4</v>
      </c>
      <c r="K2210" s="1">
        <v>42607</v>
      </c>
      <c r="L2210">
        <v>16710.78</v>
      </c>
    </row>
    <row r="2211" spans="1:12" x14ac:dyDescent="0.35">
      <c r="A2211" s="1">
        <v>42636</v>
      </c>
      <c r="B2211">
        <v>3032.31</v>
      </c>
      <c r="C2211" s="1">
        <v>42628</v>
      </c>
      <c r="D2211">
        <v>4373.22</v>
      </c>
      <c r="E2211" s="1">
        <v>42600</v>
      </c>
      <c r="F2211">
        <v>10603.03</v>
      </c>
      <c r="G2211" s="1">
        <v>42586</v>
      </c>
      <c r="H2211">
        <v>7938.3568800000003</v>
      </c>
      <c r="I2211" s="1">
        <v>42626</v>
      </c>
      <c r="J2211">
        <v>8724.2000000000007</v>
      </c>
      <c r="K2211" s="1">
        <v>42606</v>
      </c>
      <c r="L2211">
        <v>16891.63</v>
      </c>
    </row>
    <row r="2212" spans="1:12" x14ac:dyDescent="0.35">
      <c r="A2212" s="1">
        <v>42635</v>
      </c>
      <c r="B2212">
        <v>3051.69</v>
      </c>
      <c r="C2212" s="1">
        <v>42627</v>
      </c>
      <c r="D2212">
        <v>4370.26</v>
      </c>
      <c r="E2212" s="1">
        <v>42599</v>
      </c>
      <c r="F2212">
        <v>10537.67</v>
      </c>
      <c r="G2212" s="1">
        <v>42585</v>
      </c>
      <c r="H2212">
        <v>7912.7124400000002</v>
      </c>
      <c r="I2212" s="1">
        <v>42625</v>
      </c>
      <c r="J2212">
        <v>8866.6</v>
      </c>
      <c r="K2212" s="1">
        <v>42605</v>
      </c>
      <c r="L2212">
        <v>16778.05</v>
      </c>
    </row>
    <row r="2213" spans="1:12" x14ac:dyDescent="0.35">
      <c r="A2213" s="1">
        <v>42634</v>
      </c>
      <c r="B2213">
        <v>2982.18</v>
      </c>
      <c r="C2213" s="1">
        <v>42626</v>
      </c>
      <c r="D2213">
        <v>4387.18</v>
      </c>
      <c r="E2213" s="1">
        <v>42598</v>
      </c>
      <c r="F2213">
        <v>10676.65</v>
      </c>
      <c r="G2213" s="1">
        <v>42584</v>
      </c>
      <c r="H2213">
        <v>7897.14869</v>
      </c>
      <c r="I2213" s="1">
        <v>42622</v>
      </c>
      <c r="J2213">
        <v>9025.5</v>
      </c>
      <c r="K2213" s="1">
        <v>42604</v>
      </c>
      <c r="L2213">
        <v>16369.14</v>
      </c>
    </row>
    <row r="2214" spans="1:12" x14ac:dyDescent="0.35">
      <c r="A2214" s="1">
        <v>42633</v>
      </c>
      <c r="B2214">
        <v>2964.86</v>
      </c>
      <c r="C2214" s="1">
        <v>42625</v>
      </c>
      <c r="D2214">
        <v>4439.8</v>
      </c>
      <c r="E2214" s="1">
        <v>42597</v>
      </c>
      <c r="F2214">
        <v>10739.21</v>
      </c>
      <c r="G2214" s="1">
        <v>42583</v>
      </c>
      <c r="H2214">
        <v>7912.77502</v>
      </c>
      <c r="I2214" s="1">
        <v>42621</v>
      </c>
      <c r="J2214">
        <v>9101.1</v>
      </c>
      <c r="K2214" s="1">
        <v>42601</v>
      </c>
      <c r="L2214">
        <v>16310.06</v>
      </c>
    </row>
    <row r="2215" spans="1:12" x14ac:dyDescent="0.35">
      <c r="A2215" s="1">
        <v>42632</v>
      </c>
      <c r="B2215">
        <v>2968.31</v>
      </c>
      <c r="C2215" s="1">
        <v>42622</v>
      </c>
      <c r="D2215">
        <v>4491.3999999999996</v>
      </c>
      <c r="E2215" s="1">
        <v>42594</v>
      </c>
      <c r="F2215">
        <v>10713.43</v>
      </c>
      <c r="G2215" s="1">
        <v>42580</v>
      </c>
      <c r="H2215">
        <v>7972.6413899999998</v>
      </c>
      <c r="I2215" s="1">
        <v>42620</v>
      </c>
      <c r="J2215">
        <v>9015.2999999999993</v>
      </c>
      <c r="K2215" s="1">
        <v>42600</v>
      </c>
      <c r="L2215">
        <v>16673.580000000002</v>
      </c>
    </row>
    <row r="2216" spans="1:12" x14ac:dyDescent="0.35">
      <c r="A2216" s="1">
        <v>42629</v>
      </c>
      <c r="B2216">
        <v>2935.25</v>
      </c>
      <c r="C2216" s="1">
        <v>42621</v>
      </c>
      <c r="D2216">
        <v>4542.2</v>
      </c>
      <c r="E2216" s="1">
        <v>42593</v>
      </c>
      <c r="F2216">
        <v>10742.84</v>
      </c>
      <c r="G2216" s="1">
        <v>42579</v>
      </c>
      <c r="H2216">
        <v>7975.3423199999997</v>
      </c>
      <c r="I2216" s="1">
        <v>42619</v>
      </c>
      <c r="J2216">
        <v>8899.5</v>
      </c>
      <c r="K2216" s="1">
        <v>42599</v>
      </c>
      <c r="L2216">
        <v>16528.36</v>
      </c>
    </row>
    <row r="2217" spans="1:12" x14ac:dyDescent="0.35">
      <c r="A2217" s="1">
        <v>42628</v>
      </c>
      <c r="B2217">
        <v>2973.77</v>
      </c>
      <c r="C2217" s="1">
        <v>42620</v>
      </c>
      <c r="D2217">
        <v>4557.66</v>
      </c>
      <c r="E2217" s="1">
        <v>42592</v>
      </c>
      <c r="F2217">
        <v>10650.89</v>
      </c>
      <c r="G2217" s="1">
        <v>42578</v>
      </c>
      <c r="H2217">
        <v>8065.3850199999997</v>
      </c>
      <c r="I2217" s="1">
        <v>42618</v>
      </c>
      <c r="J2217">
        <v>8953.2999999999993</v>
      </c>
      <c r="K2217" s="1">
        <v>42598</v>
      </c>
      <c r="L2217">
        <v>16792.96</v>
      </c>
    </row>
    <row r="2218" spans="1:12" x14ac:dyDescent="0.35">
      <c r="A2218" s="1">
        <v>42627</v>
      </c>
      <c r="B2218">
        <v>2964.9</v>
      </c>
      <c r="C2218" s="1">
        <v>42619</v>
      </c>
      <c r="D2218">
        <v>4529.96</v>
      </c>
      <c r="E2218" s="1">
        <v>42591</v>
      </c>
      <c r="F2218">
        <v>10692.9</v>
      </c>
      <c r="G2218" s="1">
        <v>42577</v>
      </c>
      <c r="H2218">
        <v>8040.9314000000004</v>
      </c>
      <c r="I2218" s="1">
        <v>42615</v>
      </c>
      <c r="J2218">
        <v>8908.9</v>
      </c>
      <c r="K2218" s="1">
        <v>42594</v>
      </c>
      <c r="L2218">
        <v>16997.830000000002</v>
      </c>
    </row>
    <row r="2219" spans="1:12" x14ac:dyDescent="0.35">
      <c r="A2219" s="1">
        <v>42626</v>
      </c>
      <c r="B2219">
        <v>2974.8</v>
      </c>
      <c r="C2219" s="1">
        <v>42618</v>
      </c>
      <c r="D2219">
        <v>4541.08</v>
      </c>
      <c r="E2219" s="1">
        <v>42590</v>
      </c>
      <c r="F2219">
        <v>10432.36</v>
      </c>
      <c r="G2219" s="1">
        <v>42576</v>
      </c>
      <c r="H2219">
        <v>8023.20723</v>
      </c>
      <c r="I2219" s="1">
        <v>42614</v>
      </c>
      <c r="J2219">
        <v>8762.7999999999993</v>
      </c>
      <c r="K2219" s="1">
        <v>42593</v>
      </c>
      <c r="L2219">
        <v>16969.689999999999</v>
      </c>
    </row>
    <row r="2220" spans="1:12" x14ac:dyDescent="0.35">
      <c r="A2220" s="1">
        <v>42625</v>
      </c>
      <c r="B2220">
        <v>3012.88</v>
      </c>
      <c r="C2220" s="1">
        <v>42615</v>
      </c>
      <c r="D2220">
        <v>4542.17</v>
      </c>
      <c r="E2220" s="1">
        <v>42587</v>
      </c>
      <c r="F2220">
        <v>10367.209999999999</v>
      </c>
      <c r="G2220" s="1">
        <v>42573</v>
      </c>
      <c r="H2220">
        <v>8044.4179700000004</v>
      </c>
      <c r="I2220" s="1">
        <v>42613</v>
      </c>
      <c r="J2220">
        <v>8716.7999999999993</v>
      </c>
      <c r="K2220" s="1">
        <v>42592</v>
      </c>
      <c r="L2220">
        <v>16791.55</v>
      </c>
    </row>
    <row r="2221" spans="1:12" x14ac:dyDescent="0.35">
      <c r="A2221" s="1">
        <v>42622</v>
      </c>
      <c r="B2221">
        <v>3053.2</v>
      </c>
      <c r="C2221" s="1">
        <v>42614</v>
      </c>
      <c r="D2221">
        <v>4439.67</v>
      </c>
      <c r="E2221" s="1">
        <v>42586</v>
      </c>
      <c r="F2221">
        <v>10227.86</v>
      </c>
      <c r="G2221" s="1">
        <v>42572</v>
      </c>
      <c r="H2221">
        <v>8040.1114600000001</v>
      </c>
      <c r="I2221" s="1">
        <v>42612</v>
      </c>
      <c r="J2221">
        <v>8685.4</v>
      </c>
      <c r="K2221" s="1">
        <v>42591</v>
      </c>
      <c r="L2221">
        <v>16796.14</v>
      </c>
    </row>
    <row r="2222" spans="1:12" x14ac:dyDescent="0.35">
      <c r="A2222" s="1">
        <v>42621</v>
      </c>
      <c r="B2222">
        <v>3083.54</v>
      </c>
      <c r="C2222" s="1">
        <v>42613</v>
      </c>
      <c r="D2222">
        <v>4438.22</v>
      </c>
      <c r="E2222" s="1">
        <v>42585</v>
      </c>
      <c r="F2222">
        <v>10170.209999999999</v>
      </c>
      <c r="G2222" s="1">
        <v>42571</v>
      </c>
      <c r="H2222">
        <v>8062.43786</v>
      </c>
      <c r="I2222" s="1">
        <v>42611</v>
      </c>
      <c r="J2222">
        <v>8616.4</v>
      </c>
      <c r="K2222" s="1">
        <v>42590</v>
      </c>
      <c r="L2222">
        <v>16743.82</v>
      </c>
    </row>
    <row r="2223" spans="1:12" x14ac:dyDescent="0.35">
      <c r="A2223" s="1">
        <v>42620</v>
      </c>
      <c r="B2223">
        <v>3091.66</v>
      </c>
      <c r="C2223" s="1">
        <v>42612</v>
      </c>
      <c r="D2223">
        <v>4457.49</v>
      </c>
      <c r="E2223" s="1">
        <v>42584</v>
      </c>
      <c r="F2223">
        <v>10144.34</v>
      </c>
      <c r="G2223" s="1">
        <v>42570</v>
      </c>
      <c r="H2223">
        <v>7976.7659000000003</v>
      </c>
      <c r="I2223" s="1">
        <v>42608</v>
      </c>
      <c r="J2223">
        <v>8659.5</v>
      </c>
      <c r="K2223" s="1">
        <v>42587</v>
      </c>
      <c r="L2223">
        <v>16626.28</v>
      </c>
    </row>
    <row r="2224" spans="1:12" x14ac:dyDescent="0.35">
      <c r="A2224" s="1">
        <v>42619</v>
      </c>
      <c r="B2224">
        <v>3070.16</v>
      </c>
      <c r="C2224" s="1">
        <v>42611</v>
      </c>
      <c r="D2224">
        <v>4424.25</v>
      </c>
      <c r="E2224" s="1">
        <v>42583</v>
      </c>
      <c r="F2224">
        <v>10330.52</v>
      </c>
      <c r="G2224" s="1">
        <v>42569</v>
      </c>
      <c r="H2224">
        <v>8018.0542299999997</v>
      </c>
      <c r="I2224" s="1">
        <v>42607</v>
      </c>
      <c r="J2224">
        <v>8599.5</v>
      </c>
      <c r="K2224" s="1">
        <v>42586</v>
      </c>
      <c r="L2224">
        <v>16236.41</v>
      </c>
    </row>
    <row r="2225" spans="1:12" x14ac:dyDescent="0.35">
      <c r="A2225" s="1">
        <v>42618</v>
      </c>
      <c r="B2225">
        <v>3077.66</v>
      </c>
      <c r="C2225" s="1">
        <v>42608</v>
      </c>
      <c r="D2225">
        <v>4441.87</v>
      </c>
      <c r="E2225" s="1">
        <v>42580</v>
      </c>
      <c r="F2225">
        <v>10337.5</v>
      </c>
      <c r="G2225" s="1">
        <v>42566</v>
      </c>
      <c r="H2225">
        <v>7945.57168</v>
      </c>
      <c r="I2225" s="1">
        <v>42606</v>
      </c>
      <c r="J2225">
        <v>8655.5</v>
      </c>
      <c r="K2225" s="1">
        <v>42585</v>
      </c>
      <c r="L2225">
        <v>16129.84</v>
      </c>
    </row>
    <row r="2226" spans="1:12" x14ac:dyDescent="0.35">
      <c r="A2226" s="1">
        <v>42615</v>
      </c>
      <c r="B2226">
        <v>3079.74</v>
      </c>
      <c r="C2226" s="1">
        <v>42607</v>
      </c>
      <c r="D2226">
        <v>4406.6099999999997</v>
      </c>
      <c r="E2226" s="1">
        <v>42579</v>
      </c>
      <c r="F2226">
        <v>10274.93</v>
      </c>
      <c r="G2226" s="1">
        <v>42565</v>
      </c>
      <c r="H2226">
        <v>7976.6215099999999</v>
      </c>
      <c r="I2226" s="1">
        <v>42605</v>
      </c>
      <c r="J2226">
        <v>8580.9</v>
      </c>
      <c r="K2226" s="1">
        <v>42584</v>
      </c>
      <c r="L2226">
        <v>16098.37</v>
      </c>
    </row>
    <row r="2227" spans="1:12" x14ac:dyDescent="0.35">
      <c r="A2227" s="1">
        <v>42614</v>
      </c>
      <c r="B2227">
        <v>3017.49</v>
      </c>
      <c r="C2227" s="1">
        <v>42606</v>
      </c>
      <c r="D2227">
        <v>4435.47</v>
      </c>
      <c r="E2227" s="1">
        <v>42578</v>
      </c>
      <c r="F2227">
        <v>10319.549999999999</v>
      </c>
      <c r="G2227" s="1">
        <v>42564</v>
      </c>
      <c r="H2227">
        <v>7921.13753</v>
      </c>
      <c r="I2227" s="1">
        <v>42604</v>
      </c>
      <c r="J2227">
        <v>8468</v>
      </c>
      <c r="K2227" s="1">
        <v>42583</v>
      </c>
      <c r="L2227">
        <v>16554.830000000002</v>
      </c>
    </row>
    <row r="2228" spans="1:12" x14ac:dyDescent="0.35">
      <c r="A2228" s="1">
        <v>42613</v>
      </c>
      <c r="B2228">
        <v>3023.13</v>
      </c>
      <c r="C2228" s="1">
        <v>42605</v>
      </c>
      <c r="D2228">
        <v>4421.45</v>
      </c>
      <c r="E2228" s="1">
        <v>42577</v>
      </c>
      <c r="F2228">
        <v>10247.76</v>
      </c>
      <c r="G2228" s="1">
        <v>42563</v>
      </c>
      <c r="H2228">
        <v>7998.5181400000001</v>
      </c>
      <c r="I2228" s="1">
        <v>42601</v>
      </c>
      <c r="J2228">
        <v>8450.6</v>
      </c>
      <c r="K2228" s="1">
        <v>42580</v>
      </c>
      <c r="L2228">
        <v>16846.86</v>
      </c>
    </row>
    <row r="2229" spans="1:12" x14ac:dyDescent="0.35">
      <c r="A2229" s="1">
        <v>42612</v>
      </c>
      <c r="B2229">
        <v>3030.75</v>
      </c>
      <c r="C2229" s="1">
        <v>42604</v>
      </c>
      <c r="D2229">
        <v>4389.9399999999996</v>
      </c>
      <c r="E2229" s="1">
        <v>42576</v>
      </c>
      <c r="F2229">
        <v>10198.24</v>
      </c>
      <c r="G2229" s="1">
        <v>42562</v>
      </c>
      <c r="H2229">
        <v>7840.7064600000003</v>
      </c>
      <c r="I2229" s="1">
        <v>42600</v>
      </c>
      <c r="J2229">
        <v>8550.1</v>
      </c>
      <c r="K2229" s="1">
        <v>42579</v>
      </c>
      <c r="L2229">
        <v>16522.64</v>
      </c>
    </row>
    <row r="2230" spans="1:12" x14ac:dyDescent="0.35">
      <c r="A2230" s="1">
        <v>42611</v>
      </c>
      <c r="B2230">
        <v>2998.5</v>
      </c>
      <c r="C2230" s="1">
        <v>42601</v>
      </c>
      <c r="D2230">
        <v>4400.5200000000004</v>
      </c>
      <c r="E2230" s="1">
        <v>42573</v>
      </c>
      <c r="F2230">
        <v>10147.459999999999</v>
      </c>
      <c r="G2230" s="1">
        <v>42559</v>
      </c>
      <c r="H2230">
        <v>7728.1290200000003</v>
      </c>
      <c r="I2230" s="1">
        <v>42599</v>
      </c>
      <c r="J2230">
        <v>8487</v>
      </c>
      <c r="K2230" s="1">
        <v>42578</v>
      </c>
      <c r="L2230">
        <v>16863.009999999998</v>
      </c>
    </row>
    <row r="2231" spans="1:12" x14ac:dyDescent="0.35">
      <c r="A2231" s="1">
        <v>42608</v>
      </c>
      <c r="B2231">
        <v>3010.36</v>
      </c>
      <c r="C2231" s="1">
        <v>42600</v>
      </c>
      <c r="D2231">
        <v>4437.0600000000004</v>
      </c>
      <c r="E2231" s="1">
        <v>42572</v>
      </c>
      <c r="F2231">
        <v>10156.209999999999</v>
      </c>
      <c r="G2231" s="1">
        <v>42558</v>
      </c>
      <c r="H2231">
        <v>7619.8022700000001</v>
      </c>
      <c r="I2231" s="1">
        <v>42598</v>
      </c>
      <c r="J2231">
        <v>8621.7000000000007</v>
      </c>
      <c r="K2231" s="1">
        <v>42577</v>
      </c>
      <c r="L2231">
        <v>16697.009999999998</v>
      </c>
    </row>
    <row r="2232" spans="1:12" x14ac:dyDescent="0.35">
      <c r="A2232" s="1">
        <v>42607</v>
      </c>
      <c r="B2232">
        <v>2987.69</v>
      </c>
      <c r="C2232" s="1">
        <v>42599</v>
      </c>
      <c r="D2232">
        <v>4417.68</v>
      </c>
      <c r="E2232" s="1">
        <v>42571</v>
      </c>
      <c r="F2232">
        <v>10142.01</v>
      </c>
      <c r="G2232" s="1">
        <v>42557</v>
      </c>
      <c r="H2232">
        <v>7544.8380299999999</v>
      </c>
      <c r="I2232" s="1">
        <v>42597</v>
      </c>
      <c r="J2232">
        <v>8720.6</v>
      </c>
      <c r="K2232" s="1">
        <v>42576</v>
      </c>
      <c r="L2232">
        <v>16692.169999999998</v>
      </c>
    </row>
    <row r="2233" spans="1:12" x14ac:dyDescent="0.35">
      <c r="A2233" s="1">
        <v>42606</v>
      </c>
      <c r="B2233">
        <v>3008.59</v>
      </c>
      <c r="C2233" s="1">
        <v>42598</v>
      </c>
      <c r="D2233">
        <v>4460.4399999999996</v>
      </c>
      <c r="E2233" s="1">
        <v>42570</v>
      </c>
      <c r="F2233">
        <v>9981.24</v>
      </c>
      <c r="G2233" s="1">
        <v>42556</v>
      </c>
      <c r="H2233">
        <v>7703.9417999999996</v>
      </c>
      <c r="I2233" s="1">
        <v>42594</v>
      </c>
      <c r="J2233">
        <v>8716.4</v>
      </c>
      <c r="K2233" s="1">
        <v>42573</v>
      </c>
      <c r="L2233">
        <v>16778.669999999998</v>
      </c>
    </row>
    <row r="2234" spans="1:12" x14ac:dyDescent="0.35">
      <c r="A2234" s="1">
        <v>42605</v>
      </c>
      <c r="B2234">
        <v>2993.73</v>
      </c>
      <c r="C2234" s="1">
        <v>42597</v>
      </c>
      <c r="D2234">
        <v>4497.8599999999997</v>
      </c>
      <c r="E2234" s="1">
        <v>42569</v>
      </c>
      <c r="F2234">
        <v>10063.129999999999</v>
      </c>
      <c r="G2234" s="1">
        <v>42555</v>
      </c>
      <c r="H2234">
        <v>7777.8009000000002</v>
      </c>
      <c r="I2234" s="1">
        <v>42593</v>
      </c>
      <c r="J2234">
        <v>8719.5</v>
      </c>
      <c r="K2234" s="1">
        <v>42572</v>
      </c>
      <c r="L2234">
        <v>16805.400000000001</v>
      </c>
    </row>
    <row r="2235" spans="1:12" x14ac:dyDescent="0.35">
      <c r="A2235" s="1">
        <v>42604</v>
      </c>
      <c r="B2235">
        <v>2960.37</v>
      </c>
      <c r="C2235" s="1">
        <v>42594</v>
      </c>
      <c r="D2235">
        <v>4500.1899999999996</v>
      </c>
      <c r="E2235" s="1">
        <v>42566</v>
      </c>
      <c r="F2235">
        <v>10066.9</v>
      </c>
      <c r="G2235" s="1">
        <v>42552</v>
      </c>
      <c r="H2235">
        <v>7844.7282100000002</v>
      </c>
      <c r="I2235" s="1">
        <v>42592</v>
      </c>
      <c r="J2235">
        <v>8658.9</v>
      </c>
      <c r="K2235" s="1">
        <v>42571</v>
      </c>
      <c r="L2235">
        <v>16763.82</v>
      </c>
    </row>
    <row r="2236" spans="1:12" x14ac:dyDescent="0.35">
      <c r="A2236" s="1">
        <v>42601</v>
      </c>
      <c r="B2236">
        <v>2968.2</v>
      </c>
      <c r="C2236" s="1">
        <v>42593</v>
      </c>
      <c r="D2236">
        <v>4503.95</v>
      </c>
      <c r="E2236" s="1">
        <v>42565</v>
      </c>
      <c r="F2236">
        <v>10068.299999999999</v>
      </c>
      <c r="G2236" s="1">
        <v>42551</v>
      </c>
      <c r="H2236">
        <v>7793.6828699999996</v>
      </c>
      <c r="I2236" s="1">
        <v>42591</v>
      </c>
      <c r="J2236">
        <v>8665.4</v>
      </c>
      <c r="K2236" s="1">
        <v>42570</v>
      </c>
      <c r="L2236">
        <v>16673.77</v>
      </c>
    </row>
    <row r="2237" spans="1:12" x14ac:dyDescent="0.35">
      <c r="A2237" s="1">
        <v>42600</v>
      </c>
      <c r="B2237">
        <v>2995.3</v>
      </c>
      <c r="C2237" s="1">
        <v>42592</v>
      </c>
      <c r="D2237">
        <v>4452.01</v>
      </c>
      <c r="E2237" s="1">
        <v>42564</v>
      </c>
      <c r="F2237">
        <v>9930.7099999999991</v>
      </c>
      <c r="G2237" s="1">
        <v>42550</v>
      </c>
      <c r="H2237">
        <v>7720.5558000000001</v>
      </c>
      <c r="I2237" s="1">
        <v>42590</v>
      </c>
      <c r="J2237">
        <v>8562.5</v>
      </c>
      <c r="K2237" s="1">
        <v>42569</v>
      </c>
      <c r="L2237">
        <v>16762.73</v>
      </c>
    </row>
    <row r="2238" spans="1:12" x14ac:dyDescent="0.35">
      <c r="A2238" s="1">
        <v>42599</v>
      </c>
      <c r="B2238">
        <v>2980.54</v>
      </c>
      <c r="C2238" s="1">
        <v>42591</v>
      </c>
      <c r="D2238">
        <v>4468.07</v>
      </c>
      <c r="E2238" s="1">
        <v>42563</v>
      </c>
      <c r="F2238">
        <v>9964.07</v>
      </c>
      <c r="G2238" s="1">
        <v>42549</v>
      </c>
      <c r="H2238">
        <v>7405.3558899999998</v>
      </c>
      <c r="I2238" s="1">
        <v>42587</v>
      </c>
      <c r="J2238">
        <v>8539.4</v>
      </c>
      <c r="K2238" s="1">
        <v>42566</v>
      </c>
      <c r="L2238">
        <v>16748.59</v>
      </c>
    </row>
    <row r="2239" spans="1:12" x14ac:dyDescent="0.35">
      <c r="A2239" s="1">
        <v>42598</v>
      </c>
      <c r="B2239">
        <v>3016.19</v>
      </c>
      <c r="C2239" s="1">
        <v>42590</v>
      </c>
      <c r="D2239">
        <v>4415.46</v>
      </c>
      <c r="E2239" s="1">
        <v>42562</v>
      </c>
      <c r="F2239">
        <v>9833.41</v>
      </c>
      <c r="G2239" s="1">
        <v>42548</v>
      </c>
      <c r="H2239">
        <v>7161.5139300000001</v>
      </c>
      <c r="I2239" s="1">
        <v>42586</v>
      </c>
      <c r="J2239">
        <v>8385.5</v>
      </c>
      <c r="K2239" s="1">
        <v>42565</v>
      </c>
      <c r="L2239">
        <v>16797.52</v>
      </c>
    </row>
    <row r="2240" spans="1:12" x14ac:dyDescent="0.35">
      <c r="A2240" s="1">
        <v>42597</v>
      </c>
      <c r="B2240">
        <v>3046.65</v>
      </c>
      <c r="C2240" s="1">
        <v>42587</v>
      </c>
      <c r="D2240">
        <v>4410.55</v>
      </c>
      <c r="E2240" s="1">
        <v>42559</v>
      </c>
      <c r="F2240">
        <v>9629.66</v>
      </c>
      <c r="G2240" s="1">
        <v>42545</v>
      </c>
      <c r="H2240">
        <v>7563.6841299999996</v>
      </c>
      <c r="I2240" s="1">
        <v>42585</v>
      </c>
      <c r="J2240">
        <v>8263.5</v>
      </c>
      <c r="K2240" s="1">
        <v>42564</v>
      </c>
      <c r="L2240">
        <v>16527.89</v>
      </c>
    </row>
    <row r="2241" spans="1:12" x14ac:dyDescent="0.35">
      <c r="A2241" s="1">
        <v>42594</v>
      </c>
      <c r="B2241">
        <v>3044.94</v>
      </c>
      <c r="C2241" s="1">
        <v>42586</v>
      </c>
      <c r="D2241">
        <v>4345.63</v>
      </c>
      <c r="E2241" s="1">
        <v>42558</v>
      </c>
      <c r="F2241">
        <v>9418.7800000000007</v>
      </c>
      <c r="G2241" s="1">
        <v>42544</v>
      </c>
      <c r="H2241">
        <v>8268.0578700000005</v>
      </c>
      <c r="I2241" s="1">
        <v>42584</v>
      </c>
      <c r="J2241">
        <v>8277.2999999999993</v>
      </c>
      <c r="K2241" s="1">
        <v>42563</v>
      </c>
      <c r="L2241">
        <v>16721</v>
      </c>
    </row>
    <row r="2242" spans="1:12" x14ac:dyDescent="0.35">
      <c r="A2242" s="1">
        <v>42593</v>
      </c>
      <c r="B2242">
        <v>3049.03</v>
      </c>
      <c r="C2242" s="1">
        <v>42585</v>
      </c>
      <c r="D2242">
        <v>4321.08</v>
      </c>
      <c r="E2242" s="1">
        <v>42557</v>
      </c>
      <c r="F2242">
        <v>9373.26</v>
      </c>
      <c r="G2242" s="1">
        <v>42543</v>
      </c>
      <c r="H2242">
        <v>8145.6957400000001</v>
      </c>
      <c r="I2242" s="1">
        <v>42583</v>
      </c>
      <c r="J2242">
        <v>8513.4</v>
      </c>
      <c r="K2242" s="1">
        <v>42562</v>
      </c>
      <c r="L2242">
        <v>16260.64</v>
      </c>
    </row>
    <row r="2243" spans="1:12" x14ac:dyDescent="0.35">
      <c r="A2243" s="1">
        <v>42592</v>
      </c>
      <c r="B2243">
        <v>3018.46</v>
      </c>
      <c r="C2243" s="1">
        <v>42584</v>
      </c>
      <c r="D2243">
        <v>4327.99</v>
      </c>
      <c r="E2243" s="1">
        <v>42556</v>
      </c>
      <c r="F2243">
        <v>9532.61</v>
      </c>
      <c r="G2243" s="1">
        <v>42542</v>
      </c>
      <c r="H2243">
        <v>8108.5066299999999</v>
      </c>
      <c r="I2243" s="1">
        <v>42580</v>
      </c>
      <c r="J2243">
        <v>8587.2000000000007</v>
      </c>
      <c r="K2243" s="1">
        <v>42559</v>
      </c>
      <c r="L2243">
        <v>16066.38</v>
      </c>
    </row>
    <row r="2244" spans="1:12" x14ac:dyDescent="0.35">
      <c r="A2244" s="1">
        <v>42591</v>
      </c>
      <c r="B2244">
        <v>3029.18</v>
      </c>
      <c r="C2244" s="1">
        <v>42583</v>
      </c>
      <c r="D2244">
        <v>4409.17</v>
      </c>
      <c r="E2244" s="1">
        <v>42555</v>
      </c>
      <c r="F2244">
        <v>9709.09</v>
      </c>
      <c r="G2244" s="1">
        <v>42541</v>
      </c>
      <c r="H2244">
        <v>8047.9285900000004</v>
      </c>
      <c r="I2244" s="1">
        <v>42579</v>
      </c>
      <c r="J2244">
        <v>8479.2000000000007</v>
      </c>
      <c r="K2244" s="1">
        <v>42558</v>
      </c>
      <c r="L2244">
        <v>15436.16</v>
      </c>
    </row>
    <row r="2245" spans="1:12" x14ac:dyDescent="0.35">
      <c r="A2245" s="1">
        <v>42590</v>
      </c>
      <c r="B2245">
        <v>2982.92</v>
      </c>
      <c r="C2245" s="1">
        <v>42580</v>
      </c>
      <c r="D2245">
        <v>4439.8100000000004</v>
      </c>
      <c r="E2245" s="1">
        <v>42552</v>
      </c>
      <c r="F2245">
        <v>9776.1200000000008</v>
      </c>
      <c r="G2245" s="1">
        <v>42538</v>
      </c>
      <c r="H2245">
        <v>7649.4082099999996</v>
      </c>
      <c r="I2245" s="1">
        <v>42578</v>
      </c>
      <c r="J2245">
        <v>8661.4</v>
      </c>
      <c r="K2245" s="1">
        <v>42557</v>
      </c>
      <c r="L2245">
        <v>15423.79</v>
      </c>
    </row>
    <row r="2246" spans="1:12" x14ac:dyDescent="0.35">
      <c r="A2246" s="1">
        <v>42587</v>
      </c>
      <c r="B2246">
        <v>2973.71</v>
      </c>
      <c r="C2246" s="1">
        <v>42579</v>
      </c>
      <c r="D2246">
        <v>4420.58</v>
      </c>
      <c r="E2246" s="1">
        <v>42551</v>
      </c>
      <c r="F2246">
        <v>9680.09</v>
      </c>
      <c r="G2246" s="1">
        <v>42537</v>
      </c>
      <c r="H2246">
        <v>7527.4341899999999</v>
      </c>
      <c r="I2246" s="1">
        <v>42577</v>
      </c>
      <c r="J2246">
        <v>8560.2000000000007</v>
      </c>
      <c r="K2246" s="1">
        <v>42556</v>
      </c>
      <c r="L2246">
        <v>15780.16</v>
      </c>
    </row>
    <row r="2247" spans="1:12" x14ac:dyDescent="0.35">
      <c r="A2247" s="1">
        <v>42586</v>
      </c>
      <c r="B2247">
        <v>2932.34</v>
      </c>
      <c r="C2247" s="1">
        <v>42578</v>
      </c>
      <c r="D2247">
        <v>4446.96</v>
      </c>
      <c r="E2247" s="1">
        <v>42550</v>
      </c>
      <c r="F2247">
        <v>9612.27</v>
      </c>
      <c r="G2247" s="1">
        <v>42536</v>
      </c>
      <c r="H2247">
        <v>7522.4793</v>
      </c>
      <c r="I2247" s="1">
        <v>42576</v>
      </c>
      <c r="J2247">
        <v>8575.7000000000007</v>
      </c>
      <c r="K2247" s="1">
        <v>42555</v>
      </c>
      <c r="L2247">
        <v>16012.31</v>
      </c>
    </row>
    <row r="2248" spans="1:12" x14ac:dyDescent="0.35">
      <c r="A2248" s="1">
        <v>42585</v>
      </c>
      <c r="B2248">
        <v>2911.06</v>
      </c>
      <c r="C2248" s="1">
        <v>42577</v>
      </c>
      <c r="D2248">
        <v>4394.7700000000004</v>
      </c>
      <c r="E2248" s="1">
        <v>42549</v>
      </c>
      <c r="F2248">
        <v>9447.2800000000007</v>
      </c>
      <c r="G2248" s="1">
        <v>42535</v>
      </c>
      <c r="H2248">
        <v>7474.0125200000002</v>
      </c>
      <c r="I2248" s="1">
        <v>42573</v>
      </c>
      <c r="J2248">
        <v>8599.9</v>
      </c>
      <c r="K2248" s="1">
        <v>42552</v>
      </c>
      <c r="L2248">
        <v>16295.78</v>
      </c>
    </row>
    <row r="2249" spans="1:12" x14ac:dyDescent="0.35">
      <c r="A2249" s="1">
        <v>42584</v>
      </c>
      <c r="B2249">
        <v>2906.98</v>
      </c>
      <c r="C2249" s="1">
        <v>42576</v>
      </c>
      <c r="D2249">
        <v>4388</v>
      </c>
      <c r="E2249" s="1">
        <v>42548</v>
      </c>
      <c r="F2249">
        <v>9268.66</v>
      </c>
      <c r="G2249" s="1">
        <v>42534</v>
      </c>
      <c r="H2249">
        <v>7623.1764499999999</v>
      </c>
      <c r="I2249" s="1">
        <v>42572</v>
      </c>
      <c r="J2249">
        <v>8583.6</v>
      </c>
      <c r="K2249" s="1">
        <v>42551</v>
      </c>
      <c r="L2249">
        <v>16197.78</v>
      </c>
    </row>
    <row r="2250" spans="1:12" x14ac:dyDescent="0.35">
      <c r="A2250" s="1">
        <v>42583</v>
      </c>
      <c r="B2250">
        <v>2967.31</v>
      </c>
      <c r="C2250" s="1">
        <v>42573</v>
      </c>
      <c r="D2250">
        <v>4381.1000000000004</v>
      </c>
      <c r="E2250" s="1">
        <v>42545</v>
      </c>
      <c r="F2250">
        <v>9557.16</v>
      </c>
      <c r="G2250" s="1">
        <v>42531</v>
      </c>
      <c r="H2250">
        <v>7774.57449</v>
      </c>
      <c r="I2250" s="1">
        <v>42571</v>
      </c>
      <c r="J2250">
        <v>8575.5</v>
      </c>
      <c r="K2250" s="1">
        <v>42550</v>
      </c>
      <c r="L2250">
        <v>15946.93</v>
      </c>
    </row>
    <row r="2251" spans="1:12" x14ac:dyDescent="0.35">
      <c r="A2251" s="1">
        <v>42580</v>
      </c>
      <c r="B2251">
        <v>2990.76</v>
      </c>
      <c r="C2251" s="1">
        <v>42572</v>
      </c>
      <c r="D2251">
        <v>4376.25</v>
      </c>
      <c r="E2251" s="1">
        <v>42544</v>
      </c>
      <c r="F2251">
        <v>10257.030000000001</v>
      </c>
      <c r="G2251" s="1">
        <v>42530</v>
      </c>
      <c r="H2251">
        <v>7963.4293600000001</v>
      </c>
      <c r="I2251" s="1">
        <v>42570</v>
      </c>
      <c r="J2251">
        <v>8485.2000000000007</v>
      </c>
      <c r="K2251" s="1">
        <v>42549</v>
      </c>
      <c r="L2251">
        <v>15601.62</v>
      </c>
    </row>
    <row r="2252" spans="1:12" x14ac:dyDescent="0.35">
      <c r="A2252" s="1">
        <v>42579</v>
      </c>
      <c r="B2252">
        <v>2966.1</v>
      </c>
      <c r="C2252" s="1">
        <v>42571</v>
      </c>
      <c r="D2252">
        <v>4379.76</v>
      </c>
      <c r="E2252" s="1">
        <v>42543</v>
      </c>
      <c r="F2252">
        <v>10071.06</v>
      </c>
      <c r="G2252" s="1">
        <v>42529</v>
      </c>
      <c r="H2252">
        <v>8034.5900199999996</v>
      </c>
      <c r="I2252" s="1">
        <v>42569</v>
      </c>
      <c r="J2252">
        <v>8524.4</v>
      </c>
      <c r="K2252" s="1">
        <v>42548</v>
      </c>
      <c r="L2252">
        <v>15103.58</v>
      </c>
    </row>
    <row r="2253" spans="1:12" x14ac:dyDescent="0.35">
      <c r="A2253" s="1">
        <v>42578</v>
      </c>
      <c r="B2253">
        <v>2999.48</v>
      </c>
      <c r="C2253" s="1">
        <v>42570</v>
      </c>
      <c r="D2253">
        <v>4330.13</v>
      </c>
      <c r="E2253" s="1">
        <v>42542</v>
      </c>
      <c r="F2253">
        <v>10015.540000000001</v>
      </c>
      <c r="G2253" s="1">
        <v>42528</v>
      </c>
      <c r="H2253">
        <v>8056.5359900000003</v>
      </c>
      <c r="I2253" s="1">
        <v>42566</v>
      </c>
      <c r="J2253">
        <v>8531</v>
      </c>
      <c r="K2253" s="1">
        <v>42545</v>
      </c>
      <c r="L2253">
        <v>15723.81</v>
      </c>
    </row>
    <row r="2254" spans="1:12" x14ac:dyDescent="0.35">
      <c r="A2254" s="1">
        <v>42577</v>
      </c>
      <c r="B2254">
        <v>2978.9</v>
      </c>
      <c r="C2254" s="1">
        <v>42569</v>
      </c>
      <c r="D2254">
        <v>4357.74</v>
      </c>
      <c r="E2254" s="1">
        <v>42541</v>
      </c>
      <c r="F2254">
        <v>9962.02</v>
      </c>
      <c r="G2254" s="1">
        <v>42527</v>
      </c>
      <c r="H2254">
        <v>7973.2498999999998</v>
      </c>
      <c r="I2254" s="1">
        <v>42565</v>
      </c>
      <c r="J2254">
        <v>8552.2999999999993</v>
      </c>
      <c r="K2254" s="1">
        <v>42544</v>
      </c>
      <c r="L2254">
        <v>17966.169999999998</v>
      </c>
    </row>
    <row r="2255" spans="1:12" x14ac:dyDescent="0.35">
      <c r="A2255" s="1">
        <v>42576</v>
      </c>
      <c r="B2255">
        <v>2973.22</v>
      </c>
      <c r="C2255" s="1">
        <v>42566</v>
      </c>
      <c r="D2255">
        <v>4372.51</v>
      </c>
      <c r="E2255" s="1">
        <v>42538</v>
      </c>
      <c r="F2255">
        <v>9631.36</v>
      </c>
      <c r="G2255" s="1">
        <v>42524</v>
      </c>
      <c r="H2255">
        <v>7959.68642</v>
      </c>
      <c r="I2255" s="1">
        <v>42564</v>
      </c>
      <c r="J2255">
        <v>8473.9</v>
      </c>
      <c r="K2255" s="1">
        <v>42543</v>
      </c>
      <c r="L2255">
        <v>17323.27</v>
      </c>
    </row>
    <row r="2256" spans="1:12" x14ac:dyDescent="0.35">
      <c r="A2256" s="1">
        <v>42573</v>
      </c>
      <c r="B2256">
        <v>2972.23</v>
      </c>
      <c r="C2256" s="1">
        <v>42565</v>
      </c>
      <c r="D2256">
        <v>4385.5200000000004</v>
      </c>
      <c r="E2256" s="1">
        <v>42537</v>
      </c>
      <c r="F2256">
        <v>9550.4699999999993</v>
      </c>
      <c r="G2256" s="1">
        <v>42523</v>
      </c>
      <c r="H2256">
        <v>8004.2547500000001</v>
      </c>
      <c r="I2256" s="1">
        <v>42563</v>
      </c>
      <c r="J2256">
        <v>8506</v>
      </c>
      <c r="K2256" s="1">
        <v>42542</v>
      </c>
      <c r="L2256">
        <v>17431.169999999998</v>
      </c>
    </row>
    <row r="2257" spans="1:12" x14ac:dyDescent="0.35">
      <c r="A2257" s="1">
        <v>42572</v>
      </c>
      <c r="B2257">
        <v>2968.49</v>
      </c>
      <c r="C2257" s="1">
        <v>42564</v>
      </c>
      <c r="D2257">
        <v>4335.26</v>
      </c>
      <c r="E2257" s="1">
        <v>42536</v>
      </c>
      <c r="F2257">
        <v>9606.7099999999991</v>
      </c>
      <c r="G2257" s="1">
        <v>42522</v>
      </c>
      <c r="H2257">
        <v>7991.7678999999998</v>
      </c>
      <c r="I2257" s="1">
        <v>42562</v>
      </c>
      <c r="J2257">
        <v>8305.1</v>
      </c>
      <c r="K2257" s="1">
        <v>42541</v>
      </c>
      <c r="L2257">
        <v>17353.45</v>
      </c>
    </row>
    <row r="2258" spans="1:12" x14ac:dyDescent="0.35">
      <c r="A2258" s="1">
        <v>42571</v>
      </c>
      <c r="B2258">
        <v>2966.95</v>
      </c>
      <c r="C2258" s="1">
        <v>42563</v>
      </c>
      <c r="D2258">
        <v>4331.38</v>
      </c>
      <c r="E2258" s="1">
        <v>42535</v>
      </c>
      <c r="F2258">
        <v>9519.2000000000007</v>
      </c>
      <c r="G2258" s="1">
        <v>42521</v>
      </c>
      <c r="H2258">
        <v>8119.2132899999997</v>
      </c>
      <c r="I2258" s="1">
        <v>42559</v>
      </c>
      <c r="J2258">
        <v>8185.9</v>
      </c>
      <c r="K2258" s="1">
        <v>42538</v>
      </c>
      <c r="L2258">
        <v>16923.29</v>
      </c>
    </row>
    <row r="2259" spans="1:12" x14ac:dyDescent="0.35">
      <c r="A2259" s="1">
        <v>42570</v>
      </c>
      <c r="B2259">
        <v>2931.1</v>
      </c>
      <c r="C2259" s="1">
        <v>42562</v>
      </c>
      <c r="D2259">
        <v>4264.53</v>
      </c>
      <c r="E2259" s="1">
        <v>42534</v>
      </c>
      <c r="F2259">
        <v>9657.44</v>
      </c>
      <c r="G2259" s="1">
        <v>42517</v>
      </c>
      <c r="H2259">
        <v>8241.4971000000005</v>
      </c>
      <c r="I2259" s="1">
        <v>42558</v>
      </c>
      <c r="J2259">
        <v>8008.2</v>
      </c>
      <c r="K2259" s="1">
        <v>42537</v>
      </c>
      <c r="L2259">
        <v>16351.9</v>
      </c>
    </row>
    <row r="2260" spans="1:12" x14ac:dyDescent="0.35">
      <c r="A2260" s="1">
        <v>42569</v>
      </c>
      <c r="B2260">
        <v>2949.17</v>
      </c>
      <c r="C2260" s="1">
        <v>42559</v>
      </c>
      <c r="D2260">
        <v>4190.68</v>
      </c>
      <c r="E2260" s="1">
        <v>42531</v>
      </c>
      <c r="F2260">
        <v>9834.6200000000008</v>
      </c>
      <c r="G2260" s="1">
        <v>42516</v>
      </c>
      <c r="H2260">
        <v>8215.5364300000001</v>
      </c>
      <c r="I2260" s="1">
        <v>42557</v>
      </c>
      <c r="J2260">
        <v>7926.2</v>
      </c>
      <c r="K2260" s="1">
        <v>42536</v>
      </c>
      <c r="L2260">
        <v>16513.97</v>
      </c>
    </row>
    <row r="2261" spans="1:12" x14ac:dyDescent="0.35">
      <c r="A2261" s="1">
        <v>42566</v>
      </c>
      <c r="B2261">
        <v>2958.65</v>
      </c>
      <c r="C2261" s="1">
        <v>42558</v>
      </c>
      <c r="D2261">
        <v>4117.8500000000004</v>
      </c>
      <c r="E2261" s="1">
        <v>42530</v>
      </c>
      <c r="F2261">
        <v>10088.870000000001</v>
      </c>
      <c r="G2261" s="1">
        <v>42515</v>
      </c>
      <c r="H2261">
        <v>8242.8961299999992</v>
      </c>
      <c r="I2261" s="1">
        <v>42556</v>
      </c>
      <c r="J2261">
        <v>8067.6</v>
      </c>
      <c r="K2261" s="1">
        <v>42535</v>
      </c>
      <c r="L2261">
        <v>16271.35</v>
      </c>
    </row>
    <row r="2262" spans="1:12" x14ac:dyDescent="0.35">
      <c r="A2262" s="1">
        <v>42565</v>
      </c>
      <c r="B2262">
        <v>2963.07</v>
      </c>
      <c r="C2262" s="1">
        <v>42557</v>
      </c>
      <c r="D2262">
        <v>4085.3</v>
      </c>
      <c r="E2262" s="1">
        <v>42529</v>
      </c>
      <c r="F2262">
        <v>10217.030000000001</v>
      </c>
      <c r="G2262" s="1">
        <v>42514</v>
      </c>
      <c r="H2262">
        <v>8158.83907</v>
      </c>
      <c r="I2262" s="1">
        <v>42555</v>
      </c>
      <c r="J2262">
        <v>8255.9</v>
      </c>
      <c r="K2262" s="1">
        <v>42534</v>
      </c>
      <c r="L2262">
        <v>16621.87</v>
      </c>
    </row>
    <row r="2263" spans="1:12" x14ac:dyDescent="0.35">
      <c r="A2263" s="1">
        <v>42564</v>
      </c>
      <c r="B2263">
        <v>2926.14</v>
      </c>
      <c r="C2263" s="1">
        <v>42556</v>
      </c>
      <c r="D2263">
        <v>4163.42</v>
      </c>
      <c r="E2263" s="1">
        <v>42528</v>
      </c>
      <c r="F2263">
        <v>10287.68</v>
      </c>
      <c r="G2263" s="1">
        <v>42513</v>
      </c>
      <c r="H2263">
        <v>7928.6397999999999</v>
      </c>
      <c r="I2263" s="1">
        <v>42552</v>
      </c>
      <c r="J2263">
        <v>8268.9</v>
      </c>
      <c r="K2263" s="1">
        <v>42531</v>
      </c>
      <c r="L2263">
        <v>17120.16</v>
      </c>
    </row>
    <row r="2264" spans="1:12" x14ac:dyDescent="0.35">
      <c r="A2264" s="1">
        <v>42563</v>
      </c>
      <c r="B2264">
        <v>2933.44</v>
      </c>
      <c r="C2264" s="1">
        <v>42555</v>
      </c>
      <c r="D2264">
        <v>4234.8599999999997</v>
      </c>
      <c r="E2264" s="1">
        <v>42527</v>
      </c>
      <c r="F2264">
        <v>10121.08</v>
      </c>
      <c r="G2264" s="1">
        <v>42510</v>
      </c>
      <c r="H2264">
        <v>7969.2307899999996</v>
      </c>
      <c r="I2264" s="1">
        <v>42551</v>
      </c>
      <c r="J2264">
        <v>8163.3</v>
      </c>
      <c r="K2264" s="1">
        <v>42530</v>
      </c>
      <c r="L2264">
        <v>17763.88</v>
      </c>
    </row>
    <row r="2265" spans="1:12" x14ac:dyDescent="0.35">
      <c r="A2265" s="1">
        <v>42562</v>
      </c>
      <c r="B2265">
        <v>2885.32</v>
      </c>
      <c r="C2265" s="1">
        <v>42552</v>
      </c>
      <c r="D2265">
        <v>4273.96</v>
      </c>
      <c r="E2265" s="1">
        <v>42524</v>
      </c>
      <c r="F2265">
        <v>10103.26</v>
      </c>
      <c r="G2265" s="1">
        <v>42509</v>
      </c>
      <c r="H2265">
        <v>7895.0633699999998</v>
      </c>
      <c r="I2265" s="1">
        <v>42550</v>
      </c>
      <c r="J2265">
        <v>8105.3</v>
      </c>
      <c r="K2265" s="1">
        <v>42529</v>
      </c>
      <c r="L2265">
        <v>17909.7</v>
      </c>
    </row>
    <row r="2266" spans="1:12" x14ac:dyDescent="0.35">
      <c r="A2266" s="1">
        <v>42559</v>
      </c>
      <c r="B2266">
        <v>2838.01</v>
      </c>
      <c r="C2266" s="1">
        <v>42551</v>
      </c>
      <c r="D2266">
        <v>4237.4799999999996</v>
      </c>
      <c r="E2266" s="1">
        <v>42523</v>
      </c>
      <c r="F2266">
        <v>10208</v>
      </c>
      <c r="G2266" s="1">
        <v>42508</v>
      </c>
      <c r="H2266">
        <v>7984.7683900000002</v>
      </c>
      <c r="I2266" s="1">
        <v>42549</v>
      </c>
      <c r="J2266">
        <v>7835</v>
      </c>
      <c r="K2266" s="1">
        <v>42528</v>
      </c>
      <c r="L2266">
        <v>17975.490000000002</v>
      </c>
    </row>
    <row r="2267" spans="1:12" x14ac:dyDescent="0.35">
      <c r="A2267" s="1">
        <v>42558</v>
      </c>
      <c r="B2267">
        <v>2780.1</v>
      </c>
      <c r="C2267" s="1">
        <v>42550</v>
      </c>
      <c r="D2267">
        <v>4195.32</v>
      </c>
      <c r="E2267" s="1">
        <v>42522</v>
      </c>
      <c r="F2267">
        <v>10204.44</v>
      </c>
      <c r="G2267" s="1">
        <v>42507</v>
      </c>
      <c r="H2267">
        <v>7877.3504400000002</v>
      </c>
      <c r="I2267" s="1">
        <v>42548</v>
      </c>
      <c r="J2267">
        <v>7645.5</v>
      </c>
      <c r="K2267" s="1">
        <v>42527</v>
      </c>
      <c r="L2267">
        <v>17625</v>
      </c>
    </row>
    <row r="2268" spans="1:12" x14ac:dyDescent="0.35">
      <c r="A2268" s="1">
        <v>42557</v>
      </c>
      <c r="B2268">
        <v>2761.37</v>
      </c>
      <c r="C2268" s="1">
        <v>42549</v>
      </c>
      <c r="D2268">
        <v>4088.85</v>
      </c>
      <c r="E2268" s="1">
        <v>42521</v>
      </c>
      <c r="F2268">
        <v>10262.74</v>
      </c>
      <c r="G2268" s="1">
        <v>42506</v>
      </c>
      <c r="H2268">
        <v>7823.37745</v>
      </c>
      <c r="I2268" s="1">
        <v>42545</v>
      </c>
      <c r="J2268">
        <v>7787.7</v>
      </c>
      <c r="K2268" s="1">
        <v>42524</v>
      </c>
      <c r="L2268">
        <v>17495.09</v>
      </c>
    </row>
    <row r="2269" spans="1:12" x14ac:dyDescent="0.35">
      <c r="A2269" s="1">
        <v>42556</v>
      </c>
      <c r="B2269">
        <v>2812.88</v>
      </c>
      <c r="C2269" s="1">
        <v>42548</v>
      </c>
      <c r="D2269">
        <v>3984.72</v>
      </c>
      <c r="E2269" s="1">
        <v>42520</v>
      </c>
      <c r="F2269">
        <v>10333.23</v>
      </c>
      <c r="G2269" s="1">
        <v>42503</v>
      </c>
      <c r="H2269">
        <v>7808.1893899999995</v>
      </c>
      <c r="I2269" s="1">
        <v>42544</v>
      </c>
      <c r="J2269">
        <v>8885.2999999999993</v>
      </c>
      <c r="K2269" s="1">
        <v>42523</v>
      </c>
      <c r="L2269">
        <v>17767.3</v>
      </c>
    </row>
    <row r="2270" spans="1:12" x14ac:dyDescent="0.35">
      <c r="A2270" s="1">
        <v>42555</v>
      </c>
      <c r="B2270">
        <v>2862.21</v>
      </c>
      <c r="C2270" s="1">
        <v>42545</v>
      </c>
      <c r="D2270">
        <v>4106.7299999999996</v>
      </c>
      <c r="E2270" s="1">
        <v>42517</v>
      </c>
      <c r="F2270">
        <v>10286.31</v>
      </c>
      <c r="G2270" s="1">
        <v>42502</v>
      </c>
      <c r="H2270">
        <v>7754.3478100000002</v>
      </c>
      <c r="I2270" s="1">
        <v>42543</v>
      </c>
      <c r="J2270">
        <v>8702</v>
      </c>
      <c r="K2270" s="1">
        <v>42522</v>
      </c>
      <c r="L2270">
        <v>17810.849999999999</v>
      </c>
    </row>
    <row r="2271" spans="1:12" x14ac:dyDescent="0.35">
      <c r="A2271" s="1">
        <v>42552</v>
      </c>
      <c r="B2271">
        <v>2883.06</v>
      </c>
      <c r="C2271" s="1">
        <v>42544</v>
      </c>
      <c r="D2271">
        <v>4465.8999999999996</v>
      </c>
      <c r="E2271" s="1">
        <v>42516</v>
      </c>
      <c r="F2271">
        <v>10272.709999999999</v>
      </c>
      <c r="G2271" s="1">
        <v>42501</v>
      </c>
      <c r="H2271">
        <v>7798.5254400000003</v>
      </c>
      <c r="I2271" s="1">
        <v>42542</v>
      </c>
      <c r="J2271">
        <v>8667.2999999999993</v>
      </c>
      <c r="K2271" s="1">
        <v>42521</v>
      </c>
      <c r="L2271">
        <v>18025.25</v>
      </c>
    </row>
    <row r="2272" spans="1:12" x14ac:dyDescent="0.35">
      <c r="A2272" s="1">
        <v>42551</v>
      </c>
      <c r="B2272">
        <v>2864.74</v>
      </c>
      <c r="C2272" s="1">
        <v>42543</v>
      </c>
      <c r="D2272">
        <v>4380.03</v>
      </c>
      <c r="E2272" s="1">
        <v>42515</v>
      </c>
      <c r="F2272">
        <v>10205.209999999999</v>
      </c>
      <c r="G2272" s="1">
        <v>42500</v>
      </c>
      <c r="H2272">
        <v>7807.5106400000004</v>
      </c>
      <c r="I2272" s="1">
        <v>42541</v>
      </c>
      <c r="J2272">
        <v>8647.1</v>
      </c>
      <c r="K2272" s="1">
        <v>42520</v>
      </c>
      <c r="L2272">
        <v>18291.38</v>
      </c>
    </row>
    <row r="2273" spans="1:12" x14ac:dyDescent="0.35">
      <c r="A2273" s="1">
        <v>42550</v>
      </c>
      <c r="B2273">
        <v>2832.18</v>
      </c>
      <c r="C2273" s="1">
        <v>42542</v>
      </c>
      <c r="D2273">
        <v>4367.24</v>
      </c>
      <c r="E2273" s="1">
        <v>42514</v>
      </c>
      <c r="F2273">
        <v>10057.31</v>
      </c>
      <c r="G2273" s="1">
        <v>42499</v>
      </c>
      <c r="H2273">
        <v>7729.5364099999997</v>
      </c>
      <c r="I2273" s="1">
        <v>42538</v>
      </c>
      <c r="J2273">
        <v>8362</v>
      </c>
      <c r="K2273" s="1">
        <v>42517</v>
      </c>
      <c r="L2273">
        <v>18186.14</v>
      </c>
    </row>
    <row r="2274" spans="1:12" x14ac:dyDescent="0.35">
      <c r="A2274" s="1">
        <v>42549</v>
      </c>
      <c r="B2274">
        <v>2758.67</v>
      </c>
      <c r="C2274" s="1">
        <v>42541</v>
      </c>
      <c r="D2274">
        <v>4340.76</v>
      </c>
      <c r="E2274" s="1">
        <v>42513</v>
      </c>
      <c r="F2274">
        <v>9842.2900000000009</v>
      </c>
      <c r="G2274" s="1">
        <v>42496</v>
      </c>
      <c r="H2274">
        <v>7754.0370599999997</v>
      </c>
      <c r="I2274" s="1">
        <v>42537</v>
      </c>
      <c r="J2274">
        <v>8199.9</v>
      </c>
      <c r="K2274" s="1">
        <v>42516</v>
      </c>
      <c r="L2274">
        <v>18216.919999999998</v>
      </c>
    </row>
    <row r="2275" spans="1:12" x14ac:dyDescent="0.35">
      <c r="A2275" s="1">
        <v>42548</v>
      </c>
      <c r="B2275">
        <v>2697.44</v>
      </c>
      <c r="C2275" s="1">
        <v>42538</v>
      </c>
      <c r="D2275">
        <v>4193.83</v>
      </c>
      <c r="E2275" s="1">
        <v>42510</v>
      </c>
      <c r="F2275">
        <v>9916.02</v>
      </c>
      <c r="G2275" s="1">
        <v>42495</v>
      </c>
      <c r="H2275">
        <v>7766.0986700000003</v>
      </c>
      <c r="I2275" s="1">
        <v>42536</v>
      </c>
      <c r="J2275">
        <v>8250.7999999999993</v>
      </c>
      <c r="K2275" s="1">
        <v>42515</v>
      </c>
      <c r="L2275">
        <v>18201.39</v>
      </c>
    </row>
    <row r="2276" spans="1:12" x14ac:dyDescent="0.35">
      <c r="A2276" s="1">
        <v>42545</v>
      </c>
      <c r="B2276">
        <v>2776.09</v>
      </c>
      <c r="C2276" s="1">
        <v>42537</v>
      </c>
      <c r="D2276">
        <v>4153.01</v>
      </c>
      <c r="E2276" s="1">
        <v>42509</v>
      </c>
      <c r="F2276">
        <v>9795.89</v>
      </c>
      <c r="G2276" s="1">
        <v>42494</v>
      </c>
      <c r="H2276">
        <v>7703.6863400000002</v>
      </c>
      <c r="I2276" s="1">
        <v>42535</v>
      </c>
      <c r="J2276">
        <v>8126.7</v>
      </c>
      <c r="K2276" s="1">
        <v>42514</v>
      </c>
      <c r="L2276">
        <v>17903.97</v>
      </c>
    </row>
    <row r="2277" spans="1:12" x14ac:dyDescent="0.35">
      <c r="A2277" s="1">
        <v>42544</v>
      </c>
      <c r="B2277">
        <v>3037.86</v>
      </c>
      <c r="C2277" s="1">
        <v>42536</v>
      </c>
      <c r="D2277">
        <v>4171.58</v>
      </c>
      <c r="E2277" s="1">
        <v>42508</v>
      </c>
      <c r="F2277">
        <v>9943.23</v>
      </c>
      <c r="G2277" s="1">
        <v>42493</v>
      </c>
      <c r="H2277">
        <v>7815.2973700000002</v>
      </c>
      <c r="I2277" s="1">
        <v>42534</v>
      </c>
      <c r="J2277">
        <v>8303.7999999999993</v>
      </c>
      <c r="K2277" s="1">
        <v>42513</v>
      </c>
      <c r="L2277">
        <v>17325.080000000002</v>
      </c>
    </row>
    <row r="2278" spans="1:12" x14ac:dyDescent="0.35">
      <c r="A2278" s="1">
        <v>42543</v>
      </c>
      <c r="B2278">
        <v>2978.31</v>
      </c>
      <c r="C2278" s="1">
        <v>42535</v>
      </c>
      <c r="D2278">
        <v>4130.33</v>
      </c>
      <c r="E2278" s="1">
        <v>42507</v>
      </c>
      <c r="F2278">
        <v>9890.19</v>
      </c>
      <c r="G2278" s="1">
        <v>42489</v>
      </c>
      <c r="H2278">
        <v>7980.2345400000004</v>
      </c>
      <c r="I2278" s="1">
        <v>42531</v>
      </c>
      <c r="J2278">
        <v>8490.5</v>
      </c>
      <c r="K2278" s="1">
        <v>42510</v>
      </c>
      <c r="L2278">
        <v>17812.349999999999</v>
      </c>
    </row>
    <row r="2279" spans="1:12" x14ac:dyDescent="0.35">
      <c r="A2279" s="1">
        <v>42542</v>
      </c>
      <c r="B2279">
        <v>2967.34</v>
      </c>
      <c r="C2279" s="1">
        <v>42534</v>
      </c>
      <c r="D2279">
        <v>4227.0200000000004</v>
      </c>
      <c r="E2279" s="1">
        <v>42503</v>
      </c>
      <c r="F2279">
        <v>9952.9</v>
      </c>
      <c r="G2279" s="1">
        <v>42488</v>
      </c>
      <c r="H2279">
        <v>8140.4315800000004</v>
      </c>
      <c r="I2279" s="1">
        <v>42530</v>
      </c>
      <c r="J2279">
        <v>8769.5</v>
      </c>
      <c r="K2279" s="1">
        <v>42509</v>
      </c>
      <c r="L2279">
        <v>17545.560000000001</v>
      </c>
    </row>
    <row r="2280" spans="1:12" x14ac:dyDescent="0.35">
      <c r="A2280" s="1">
        <v>42541</v>
      </c>
      <c r="B2280">
        <v>2942.88</v>
      </c>
      <c r="C2280" s="1">
        <v>42531</v>
      </c>
      <c r="D2280">
        <v>4306.72</v>
      </c>
      <c r="E2280" s="1">
        <v>42502</v>
      </c>
      <c r="F2280">
        <v>9862.1200000000008</v>
      </c>
      <c r="G2280" s="1">
        <v>42487</v>
      </c>
      <c r="H2280">
        <v>8123.1269899999998</v>
      </c>
      <c r="I2280" s="1">
        <v>42529</v>
      </c>
      <c r="J2280">
        <v>8831.4</v>
      </c>
      <c r="K2280" s="1">
        <v>42508</v>
      </c>
      <c r="L2280">
        <v>17713.62</v>
      </c>
    </row>
    <row r="2281" spans="1:12" x14ac:dyDescent="0.35">
      <c r="A2281" s="1">
        <v>42538</v>
      </c>
      <c r="B2281">
        <v>2849.17</v>
      </c>
      <c r="C2281" s="1">
        <v>42530</v>
      </c>
      <c r="D2281">
        <v>4405.6099999999997</v>
      </c>
      <c r="E2281" s="1">
        <v>42501</v>
      </c>
      <c r="F2281">
        <v>9975.32</v>
      </c>
      <c r="G2281" s="1">
        <v>42486</v>
      </c>
      <c r="H2281">
        <v>8113.9579599999997</v>
      </c>
      <c r="I2281" s="1">
        <v>42528</v>
      </c>
      <c r="J2281">
        <v>8894.5</v>
      </c>
      <c r="K2281" s="1">
        <v>42507</v>
      </c>
      <c r="L2281">
        <v>17498.88</v>
      </c>
    </row>
    <row r="2282" spans="1:12" x14ac:dyDescent="0.35">
      <c r="A2282" s="1">
        <v>42537</v>
      </c>
      <c r="B2282">
        <v>2819.3</v>
      </c>
      <c r="C2282" s="1">
        <v>42529</v>
      </c>
      <c r="D2282">
        <v>4448.7299999999996</v>
      </c>
      <c r="E2282" s="1">
        <v>42500</v>
      </c>
      <c r="F2282">
        <v>10045.44</v>
      </c>
      <c r="G2282" s="1">
        <v>42485</v>
      </c>
      <c r="H2282">
        <v>8051.5008799999996</v>
      </c>
      <c r="I2282" s="1">
        <v>42527</v>
      </c>
      <c r="J2282">
        <v>8823.5</v>
      </c>
      <c r="K2282" s="1">
        <v>42506</v>
      </c>
      <c r="L2282">
        <v>17737.02</v>
      </c>
    </row>
    <row r="2283" spans="1:12" x14ac:dyDescent="0.35">
      <c r="A2283" s="1">
        <v>42536</v>
      </c>
      <c r="B2283">
        <v>2830.3</v>
      </c>
      <c r="C2283" s="1">
        <v>42528</v>
      </c>
      <c r="D2283">
        <v>4475.8599999999997</v>
      </c>
      <c r="E2283" s="1">
        <v>42499</v>
      </c>
      <c r="F2283">
        <v>9980.49</v>
      </c>
      <c r="G2283" s="1">
        <v>42482</v>
      </c>
      <c r="H2283">
        <v>8088.9236199999996</v>
      </c>
      <c r="I2283" s="1">
        <v>42524</v>
      </c>
      <c r="J2283">
        <v>8801.6</v>
      </c>
      <c r="K2283" s="1">
        <v>42503</v>
      </c>
      <c r="L2283">
        <v>17729.45</v>
      </c>
    </row>
    <row r="2284" spans="1:12" x14ac:dyDescent="0.35">
      <c r="A2284" s="1">
        <v>42535</v>
      </c>
      <c r="B2284">
        <v>2797.18</v>
      </c>
      <c r="C2284" s="1">
        <v>42527</v>
      </c>
      <c r="D2284">
        <v>4423.38</v>
      </c>
      <c r="E2284" s="1">
        <v>42496</v>
      </c>
      <c r="F2284">
        <v>9869.9500000000007</v>
      </c>
      <c r="G2284" s="1">
        <v>42481</v>
      </c>
      <c r="H2284">
        <v>8094.0020500000001</v>
      </c>
      <c r="I2284" s="1">
        <v>42523</v>
      </c>
      <c r="J2284">
        <v>8957.9</v>
      </c>
      <c r="K2284" s="1">
        <v>42502</v>
      </c>
      <c r="L2284">
        <v>17651.36</v>
      </c>
    </row>
    <row r="2285" spans="1:12" x14ac:dyDescent="0.35">
      <c r="A2285" s="1">
        <v>42534</v>
      </c>
      <c r="B2285">
        <v>2853.52</v>
      </c>
      <c r="C2285" s="1">
        <v>42524</v>
      </c>
      <c r="D2285">
        <v>4421.78</v>
      </c>
      <c r="E2285" s="1">
        <v>42495</v>
      </c>
      <c r="F2285">
        <v>9851.86</v>
      </c>
      <c r="G2285" s="1">
        <v>42480</v>
      </c>
      <c r="H2285">
        <v>8139.1683000000003</v>
      </c>
      <c r="I2285" s="1">
        <v>42522</v>
      </c>
      <c r="J2285">
        <v>8916.9</v>
      </c>
      <c r="K2285" s="1">
        <v>42501</v>
      </c>
      <c r="L2285">
        <v>17698.080000000002</v>
      </c>
    </row>
    <row r="2286" spans="1:12" x14ac:dyDescent="0.35">
      <c r="A2286" s="1">
        <v>42531</v>
      </c>
      <c r="B2286">
        <v>2911.11</v>
      </c>
      <c r="C2286" s="1">
        <v>42523</v>
      </c>
      <c r="D2286">
        <v>4466</v>
      </c>
      <c r="E2286" s="1">
        <v>42494</v>
      </c>
      <c r="F2286">
        <v>9828.25</v>
      </c>
      <c r="G2286" s="1">
        <v>42479</v>
      </c>
      <c r="H2286">
        <v>8099.5920999999998</v>
      </c>
      <c r="I2286" s="1">
        <v>42521</v>
      </c>
      <c r="J2286">
        <v>9034</v>
      </c>
      <c r="K2286" s="1">
        <v>42500</v>
      </c>
      <c r="L2286">
        <v>17934.72</v>
      </c>
    </row>
    <row r="2287" spans="1:12" x14ac:dyDescent="0.35">
      <c r="A2287" s="1">
        <v>42530</v>
      </c>
      <c r="B2287">
        <v>2989.03</v>
      </c>
      <c r="C2287" s="1">
        <v>42522</v>
      </c>
      <c r="D2287">
        <v>4475.3900000000003</v>
      </c>
      <c r="E2287" s="1">
        <v>42493</v>
      </c>
      <c r="F2287">
        <v>9926.77</v>
      </c>
      <c r="G2287" s="1">
        <v>42478</v>
      </c>
      <c r="H2287">
        <v>8009.6428299999998</v>
      </c>
      <c r="I2287" s="1">
        <v>42520</v>
      </c>
      <c r="J2287">
        <v>9116.9</v>
      </c>
      <c r="K2287" s="1">
        <v>42499</v>
      </c>
      <c r="L2287">
        <v>17685.8</v>
      </c>
    </row>
    <row r="2288" spans="1:12" x14ac:dyDescent="0.35">
      <c r="A2288" s="1">
        <v>42529</v>
      </c>
      <c r="B2288">
        <v>3019.76</v>
      </c>
      <c r="C2288" s="1">
        <v>42521</v>
      </c>
      <c r="D2288">
        <v>4505.62</v>
      </c>
      <c r="E2288" s="1">
        <v>42492</v>
      </c>
      <c r="F2288">
        <v>10123.27</v>
      </c>
      <c r="G2288" s="1">
        <v>42475</v>
      </c>
      <c r="H2288">
        <v>7988.9250300000003</v>
      </c>
      <c r="I2288" s="1">
        <v>42517</v>
      </c>
      <c r="J2288">
        <v>9107.2999999999993</v>
      </c>
      <c r="K2288" s="1">
        <v>42496</v>
      </c>
      <c r="L2288">
        <v>17842.8</v>
      </c>
    </row>
    <row r="2289" spans="1:12" x14ac:dyDescent="0.35">
      <c r="A2289" s="1">
        <v>42528</v>
      </c>
      <c r="B2289">
        <v>3040.69</v>
      </c>
      <c r="C2289" s="1">
        <v>42520</v>
      </c>
      <c r="D2289">
        <v>4529.3999999999996</v>
      </c>
      <c r="E2289" s="1">
        <v>42489</v>
      </c>
      <c r="F2289">
        <v>10038.969999999999</v>
      </c>
      <c r="G2289" s="1">
        <v>42474</v>
      </c>
      <c r="H2289">
        <v>7999.1762699999999</v>
      </c>
      <c r="I2289" s="1">
        <v>42516</v>
      </c>
      <c r="J2289">
        <v>9079.2000000000007</v>
      </c>
      <c r="K2289" s="1">
        <v>42495</v>
      </c>
      <c r="L2289">
        <v>17923.900000000001</v>
      </c>
    </row>
    <row r="2290" spans="1:12" x14ac:dyDescent="0.35">
      <c r="A2290" s="1">
        <v>42527</v>
      </c>
      <c r="B2290">
        <v>3001.9</v>
      </c>
      <c r="C2290" s="1">
        <v>42517</v>
      </c>
      <c r="D2290">
        <v>4514.74</v>
      </c>
      <c r="E2290" s="1">
        <v>42488</v>
      </c>
      <c r="F2290">
        <v>10321.15</v>
      </c>
      <c r="G2290" s="1">
        <v>42473</v>
      </c>
      <c r="H2290">
        <v>8018.5830900000001</v>
      </c>
      <c r="I2290" s="1">
        <v>42515</v>
      </c>
      <c r="J2290">
        <v>9125</v>
      </c>
      <c r="K2290" s="1">
        <v>42494</v>
      </c>
      <c r="L2290">
        <v>17935.669999999998</v>
      </c>
    </row>
    <row r="2291" spans="1:12" x14ac:dyDescent="0.35">
      <c r="A2291" s="1">
        <v>42524</v>
      </c>
      <c r="B2291">
        <v>2997.55</v>
      </c>
      <c r="C2291" s="1">
        <v>42516</v>
      </c>
      <c r="D2291">
        <v>4512.6400000000003</v>
      </c>
      <c r="E2291" s="1">
        <v>42487</v>
      </c>
      <c r="F2291">
        <v>10299.83</v>
      </c>
      <c r="G2291" s="1">
        <v>42472</v>
      </c>
      <c r="H2291">
        <v>7816.1571000000004</v>
      </c>
      <c r="I2291" s="1">
        <v>42514</v>
      </c>
      <c r="J2291">
        <v>8918.1</v>
      </c>
      <c r="K2291" s="1">
        <v>42493</v>
      </c>
      <c r="L2291">
        <v>17966.810000000001</v>
      </c>
    </row>
    <row r="2292" spans="1:12" x14ac:dyDescent="0.35">
      <c r="A2292" s="1">
        <v>42523</v>
      </c>
      <c r="B2292">
        <v>3033.86</v>
      </c>
      <c r="C2292" s="1">
        <v>42515</v>
      </c>
      <c r="D2292">
        <v>4481.6400000000003</v>
      </c>
      <c r="E2292" s="1">
        <v>42486</v>
      </c>
      <c r="F2292">
        <v>10259.59</v>
      </c>
      <c r="G2292" s="1">
        <v>42471</v>
      </c>
      <c r="H2292">
        <v>7736.8415199999999</v>
      </c>
      <c r="I2292" s="1">
        <v>42513</v>
      </c>
      <c r="J2292">
        <v>8714</v>
      </c>
      <c r="K2292" s="1">
        <v>42492</v>
      </c>
      <c r="L2292">
        <v>18420.22</v>
      </c>
    </row>
    <row r="2293" spans="1:12" x14ac:dyDescent="0.35">
      <c r="A2293" s="1">
        <v>42522</v>
      </c>
      <c r="B2293">
        <v>3038.77</v>
      </c>
      <c r="C2293" s="1">
        <v>42514</v>
      </c>
      <c r="D2293">
        <v>4431.5200000000004</v>
      </c>
      <c r="E2293" s="1">
        <v>42485</v>
      </c>
      <c r="F2293">
        <v>10294.35</v>
      </c>
      <c r="G2293" s="1">
        <v>42468</v>
      </c>
      <c r="H2293">
        <v>7678.4129000000003</v>
      </c>
      <c r="I2293" s="1">
        <v>42510</v>
      </c>
      <c r="J2293">
        <v>8771.2000000000007</v>
      </c>
      <c r="K2293" s="1">
        <v>42489</v>
      </c>
      <c r="L2293">
        <v>18600.560000000001</v>
      </c>
    </row>
    <row r="2294" spans="1:12" x14ac:dyDescent="0.35">
      <c r="A2294" s="1">
        <v>42521</v>
      </c>
      <c r="B2294">
        <v>3063.48</v>
      </c>
      <c r="C2294" s="1">
        <v>42513</v>
      </c>
      <c r="D2294">
        <v>4325.1000000000004</v>
      </c>
      <c r="E2294" s="1">
        <v>42482</v>
      </c>
      <c r="F2294">
        <v>10373.49</v>
      </c>
      <c r="G2294" s="1">
        <v>42467</v>
      </c>
      <c r="H2294">
        <v>7589.1146699999999</v>
      </c>
      <c r="I2294" s="1">
        <v>42509</v>
      </c>
      <c r="J2294">
        <v>8674.7000000000007</v>
      </c>
      <c r="K2294" s="1">
        <v>42488</v>
      </c>
      <c r="L2294">
        <v>18976.71</v>
      </c>
    </row>
    <row r="2295" spans="1:12" x14ac:dyDescent="0.35">
      <c r="A2295" s="1">
        <v>42520</v>
      </c>
      <c r="B2295">
        <v>3090.01</v>
      </c>
      <c r="C2295" s="1">
        <v>42510</v>
      </c>
      <c r="D2295">
        <v>4353.8999999999996</v>
      </c>
      <c r="E2295" s="1">
        <v>42481</v>
      </c>
      <c r="F2295">
        <v>10435.73</v>
      </c>
      <c r="G2295" s="1">
        <v>42466</v>
      </c>
      <c r="H2295">
        <v>7626.0629600000002</v>
      </c>
      <c r="I2295" s="1">
        <v>42508</v>
      </c>
      <c r="J2295">
        <v>8775.1</v>
      </c>
      <c r="K2295" s="1">
        <v>42487</v>
      </c>
      <c r="L2295">
        <v>18750.62</v>
      </c>
    </row>
    <row r="2296" spans="1:12" x14ac:dyDescent="0.35">
      <c r="A2296" s="1">
        <v>42517</v>
      </c>
      <c r="B2296">
        <v>3078.48</v>
      </c>
      <c r="C2296" s="1">
        <v>42509</v>
      </c>
      <c r="D2296">
        <v>4282.54</v>
      </c>
      <c r="E2296" s="1">
        <v>42480</v>
      </c>
      <c r="F2296">
        <v>10421.290000000001</v>
      </c>
      <c r="G2296" s="1">
        <v>42465</v>
      </c>
      <c r="H2296">
        <v>7570.7425199999998</v>
      </c>
      <c r="I2296" s="1">
        <v>42507</v>
      </c>
      <c r="J2296">
        <v>8698.7000000000007</v>
      </c>
      <c r="K2296" s="1">
        <v>42486</v>
      </c>
      <c r="L2296">
        <v>18670.41</v>
      </c>
    </row>
    <row r="2297" spans="1:12" x14ac:dyDescent="0.35">
      <c r="A2297" s="1">
        <v>42516</v>
      </c>
      <c r="B2297">
        <v>3071.21</v>
      </c>
      <c r="C2297" s="1">
        <v>42508</v>
      </c>
      <c r="D2297">
        <v>4319.3</v>
      </c>
      <c r="E2297" s="1">
        <v>42479</v>
      </c>
      <c r="F2297">
        <v>10349.59</v>
      </c>
      <c r="G2297" s="1">
        <v>42464</v>
      </c>
      <c r="H2297">
        <v>7721.1833100000003</v>
      </c>
      <c r="I2297" s="1">
        <v>42506</v>
      </c>
      <c r="J2297">
        <v>8682.1</v>
      </c>
      <c r="K2297" s="1">
        <v>42485</v>
      </c>
      <c r="L2297">
        <v>18403.23</v>
      </c>
    </row>
    <row r="2298" spans="1:12" x14ac:dyDescent="0.35">
      <c r="A2298" s="1">
        <v>42515</v>
      </c>
      <c r="B2298">
        <v>3061.6</v>
      </c>
      <c r="C2298" s="1">
        <v>42507</v>
      </c>
      <c r="D2298">
        <v>4297.57</v>
      </c>
      <c r="E2298" s="1">
        <v>42478</v>
      </c>
      <c r="F2298">
        <v>10120.31</v>
      </c>
      <c r="G2298" s="1">
        <v>42461</v>
      </c>
      <c r="H2298">
        <v>7671.7723800000003</v>
      </c>
      <c r="I2298" s="1">
        <v>42503</v>
      </c>
      <c r="J2298">
        <v>8721.5</v>
      </c>
      <c r="K2298" s="1">
        <v>42482</v>
      </c>
      <c r="L2298">
        <v>18687.04</v>
      </c>
    </row>
    <row r="2299" spans="1:12" x14ac:dyDescent="0.35">
      <c r="A2299" s="1">
        <v>42514</v>
      </c>
      <c r="B2299">
        <v>3010.12</v>
      </c>
      <c r="C2299" s="1">
        <v>42506</v>
      </c>
      <c r="D2299">
        <v>4312.28</v>
      </c>
      <c r="E2299" s="1">
        <v>42475</v>
      </c>
      <c r="F2299">
        <v>10051.57</v>
      </c>
      <c r="G2299" s="1">
        <v>42460</v>
      </c>
      <c r="H2299">
        <v>7809.6397999999999</v>
      </c>
      <c r="I2299" s="1">
        <v>42502</v>
      </c>
      <c r="J2299">
        <v>8663.1</v>
      </c>
      <c r="K2299" s="1">
        <v>42481</v>
      </c>
      <c r="L2299">
        <v>18732.96</v>
      </c>
    </row>
    <row r="2300" spans="1:12" x14ac:dyDescent="0.35">
      <c r="A2300" s="1">
        <v>42513</v>
      </c>
      <c r="B2300">
        <v>2932.93</v>
      </c>
      <c r="C2300" s="1">
        <v>42503</v>
      </c>
      <c r="D2300">
        <v>4319.99</v>
      </c>
      <c r="E2300" s="1">
        <v>42474</v>
      </c>
      <c r="F2300">
        <v>10093.65</v>
      </c>
      <c r="G2300" s="1">
        <v>42459</v>
      </c>
      <c r="H2300">
        <v>7887.2711900000004</v>
      </c>
      <c r="I2300" s="1">
        <v>42501</v>
      </c>
      <c r="J2300">
        <v>8663.9</v>
      </c>
      <c r="K2300" s="1">
        <v>42480</v>
      </c>
      <c r="L2300">
        <v>18658.36</v>
      </c>
    </row>
    <row r="2301" spans="1:12" x14ac:dyDescent="0.35">
      <c r="A2301" s="1">
        <v>42510</v>
      </c>
      <c r="B2301">
        <v>2962.16</v>
      </c>
      <c r="C2301" s="1">
        <v>42502</v>
      </c>
      <c r="D2301">
        <v>4293.2700000000004</v>
      </c>
      <c r="E2301" s="1">
        <v>42473</v>
      </c>
      <c r="F2301">
        <v>10026.1</v>
      </c>
      <c r="G2301" s="1">
        <v>42458</v>
      </c>
      <c r="H2301">
        <v>7786.7163200000005</v>
      </c>
      <c r="I2301" s="1">
        <v>42500</v>
      </c>
      <c r="J2301">
        <v>8775.2000000000007</v>
      </c>
      <c r="K2301" s="1">
        <v>42479</v>
      </c>
      <c r="L2301">
        <v>18447.98</v>
      </c>
    </row>
    <row r="2302" spans="1:12" x14ac:dyDescent="0.35">
      <c r="A2302" s="1">
        <v>42509</v>
      </c>
      <c r="B2302">
        <v>2919.22</v>
      </c>
      <c r="C2302" s="1">
        <v>42501</v>
      </c>
      <c r="D2302">
        <v>4316.67</v>
      </c>
      <c r="E2302" s="1">
        <v>42472</v>
      </c>
      <c r="F2302">
        <v>9761.4699999999993</v>
      </c>
      <c r="G2302" s="1">
        <v>42453</v>
      </c>
      <c r="H2302">
        <v>7741.46191</v>
      </c>
      <c r="I2302" s="1">
        <v>42499</v>
      </c>
      <c r="J2302">
        <v>8660.7999999999993</v>
      </c>
      <c r="K2302" s="1">
        <v>42478</v>
      </c>
      <c r="L2302">
        <v>18358.25</v>
      </c>
    </row>
    <row r="2303" spans="1:12" x14ac:dyDescent="0.35">
      <c r="A2303" s="1">
        <v>42508</v>
      </c>
      <c r="B2303">
        <v>2956.43</v>
      </c>
      <c r="C2303" s="1">
        <v>42500</v>
      </c>
      <c r="D2303">
        <v>4338.21</v>
      </c>
      <c r="E2303" s="1">
        <v>42471</v>
      </c>
      <c r="F2303">
        <v>9682.99</v>
      </c>
      <c r="G2303" s="1">
        <v>42452</v>
      </c>
      <c r="H2303">
        <v>7822.05296</v>
      </c>
      <c r="I2303" s="1">
        <v>42496</v>
      </c>
      <c r="J2303">
        <v>8702.1</v>
      </c>
      <c r="K2303" s="1">
        <v>42475</v>
      </c>
      <c r="L2303">
        <v>18257.349999999999</v>
      </c>
    </row>
    <row r="2304" spans="1:12" x14ac:dyDescent="0.35">
      <c r="A2304" s="1">
        <v>42507</v>
      </c>
      <c r="B2304">
        <v>2938.09</v>
      </c>
      <c r="C2304" s="1">
        <v>42499</v>
      </c>
      <c r="D2304">
        <v>4322.8100000000004</v>
      </c>
      <c r="E2304" s="1">
        <v>42468</v>
      </c>
      <c r="F2304">
        <v>9622.26</v>
      </c>
      <c r="G2304" s="1">
        <v>42451</v>
      </c>
      <c r="H2304">
        <v>7846.7496099999998</v>
      </c>
      <c r="I2304" s="1">
        <v>42495</v>
      </c>
      <c r="J2304">
        <v>8689.4</v>
      </c>
      <c r="K2304" s="1">
        <v>42474</v>
      </c>
      <c r="L2304">
        <v>18329.09</v>
      </c>
    </row>
    <row r="2305" spans="1:12" x14ac:dyDescent="0.35">
      <c r="A2305" s="1">
        <v>42506</v>
      </c>
      <c r="B2305">
        <v>2951.39</v>
      </c>
      <c r="C2305" s="1">
        <v>42496</v>
      </c>
      <c r="D2305">
        <v>4301.24</v>
      </c>
      <c r="E2305" s="1">
        <v>42467</v>
      </c>
      <c r="F2305">
        <v>9530.6200000000008</v>
      </c>
      <c r="G2305" s="1">
        <v>42450</v>
      </c>
      <c r="H2305">
        <v>7915.3167599999997</v>
      </c>
      <c r="I2305" s="1">
        <v>42494</v>
      </c>
      <c r="J2305">
        <v>8654.2999999999993</v>
      </c>
      <c r="K2305" s="1">
        <v>42473</v>
      </c>
      <c r="L2305">
        <v>18165.59</v>
      </c>
    </row>
    <row r="2306" spans="1:12" x14ac:dyDescent="0.35">
      <c r="A2306" s="1">
        <v>42503</v>
      </c>
      <c r="B2306">
        <v>2956.63</v>
      </c>
      <c r="C2306" s="1">
        <v>42495</v>
      </c>
      <c r="D2306">
        <v>4319.46</v>
      </c>
      <c r="E2306" s="1">
        <v>42466</v>
      </c>
      <c r="F2306">
        <v>9624.51</v>
      </c>
      <c r="G2306" s="1">
        <v>42447</v>
      </c>
      <c r="H2306">
        <v>7954.5794800000003</v>
      </c>
      <c r="I2306" s="1">
        <v>42493</v>
      </c>
      <c r="J2306">
        <v>8764.9</v>
      </c>
      <c r="K2306" s="1">
        <v>42472</v>
      </c>
      <c r="L2306">
        <v>17444.8</v>
      </c>
    </row>
    <row r="2307" spans="1:12" x14ac:dyDescent="0.35">
      <c r="A2307" s="1">
        <v>42502</v>
      </c>
      <c r="B2307">
        <v>2935.46</v>
      </c>
      <c r="C2307" s="1">
        <v>42494</v>
      </c>
      <c r="D2307">
        <v>4324.2299999999996</v>
      </c>
      <c r="E2307" s="1">
        <v>42465</v>
      </c>
      <c r="F2307">
        <v>9563.36</v>
      </c>
      <c r="G2307" s="1">
        <v>42446</v>
      </c>
      <c r="H2307">
        <v>7930.2889999999998</v>
      </c>
      <c r="I2307" s="1">
        <v>42492</v>
      </c>
      <c r="J2307">
        <v>9022.1</v>
      </c>
      <c r="K2307" s="1">
        <v>42471</v>
      </c>
      <c r="L2307">
        <v>17722.66</v>
      </c>
    </row>
    <row r="2308" spans="1:12" x14ac:dyDescent="0.35">
      <c r="A2308" s="1">
        <v>42501</v>
      </c>
      <c r="B2308">
        <v>2956.71</v>
      </c>
      <c r="C2308" s="1">
        <v>42493</v>
      </c>
      <c r="D2308">
        <v>4371.9799999999996</v>
      </c>
      <c r="E2308" s="1">
        <v>42464</v>
      </c>
      <c r="F2308">
        <v>9822.08</v>
      </c>
      <c r="G2308" s="1">
        <v>42445</v>
      </c>
      <c r="H2308">
        <v>7867.1608100000003</v>
      </c>
      <c r="I2308" s="1">
        <v>42489</v>
      </c>
      <c r="J2308">
        <v>9025.7000000000007</v>
      </c>
      <c r="K2308" s="1">
        <v>42468</v>
      </c>
      <c r="L2308">
        <v>17504.62</v>
      </c>
    </row>
    <row r="2309" spans="1:12" x14ac:dyDescent="0.35">
      <c r="A2309" s="1">
        <v>42500</v>
      </c>
      <c r="B2309">
        <v>2978.97</v>
      </c>
      <c r="C2309" s="1">
        <v>42492</v>
      </c>
      <c r="D2309">
        <v>4442.75</v>
      </c>
      <c r="E2309" s="1">
        <v>42461</v>
      </c>
      <c r="F2309">
        <v>9794.64</v>
      </c>
      <c r="G2309" s="1">
        <v>42444</v>
      </c>
      <c r="H2309">
        <v>7822.6456099999996</v>
      </c>
      <c r="I2309" s="1">
        <v>42488</v>
      </c>
      <c r="J2309">
        <v>9269</v>
      </c>
      <c r="K2309" s="1">
        <v>42467</v>
      </c>
      <c r="L2309">
        <v>16818.25</v>
      </c>
    </row>
    <row r="2310" spans="1:12" x14ac:dyDescent="0.35">
      <c r="A2310" s="1">
        <v>42499</v>
      </c>
      <c r="B2310">
        <v>2955.83</v>
      </c>
      <c r="C2310" s="1">
        <v>42489</v>
      </c>
      <c r="D2310">
        <v>4428.96</v>
      </c>
      <c r="E2310" s="1">
        <v>42460</v>
      </c>
      <c r="F2310">
        <v>9965.51</v>
      </c>
      <c r="G2310" s="1">
        <v>42443</v>
      </c>
      <c r="H2310">
        <v>7971.5174800000004</v>
      </c>
      <c r="I2310" s="1">
        <v>42487</v>
      </c>
      <c r="J2310">
        <v>9332.6</v>
      </c>
      <c r="K2310" s="1">
        <v>42466</v>
      </c>
      <c r="L2310">
        <v>17240.91</v>
      </c>
    </row>
    <row r="2311" spans="1:12" x14ac:dyDescent="0.35">
      <c r="A2311" s="1">
        <v>42496</v>
      </c>
      <c r="B2311">
        <v>2936.84</v>
      </c>
      <c r="C2311" s="1">
        <v>42488</v>
      </c>
      <c r="D2311">
        <v>4557.3599999999997</v>
      </c>
      <c r="E2311" s="1">
        <v>42459</v>
      </c>
      <c r="F2311">
        <v>10046.61</v>
      </c>
      <c r="G2311" s="1">
        <v>42440</v>
      </c>
      <c r="H2311">
        <v>7926.8013099999998</v>
      </c>
      <c r="I2311" s="1">
        <v>42486</v>
      </c>
      <c r="J2311">
        <v>9283</v>
      </c>
      <c r="K2311" s="1">
        <v>42465</v>
      </c>
      <c r="L2311">
        <v>17109.3</v>
      </c>
    </row>
    <row r="2312" spans="1:12" x14ac:dyDescent="0.35">
      <c r="A2312" s="1">
        <v>42495</v>
      </c>
      <c r="B2312">
        <v>2940.35</v>
      </c>
      <c r="C2312" s="1">
        <v>42487</v>
      </c>
      <c r="D2312">
        <v>4559.3999999999996</v>
      </c>
      <c r="E2312" s="1">
        <v>42458</v>
      </c>
      <c r="F2312">
        <v>9887.94</v>
      </c>
      <c r="G2312" s="1">
        <v>42439</v>
      </c>
      <c r="H2312">
        <v>7704.1536699999997</v>
      </c>
      <c r="I2312" s="1">
        <v>42485</v>
      </c>
      <c r="J2312">
        <v>9140</v>
      </c>
      <c r="K2312" s="1">
        <v>42464</v>
      </c>
      <c r="L2312">
        <v>17639.259999999998</v>
      </c>
    </row>
    <row r="2313" spans="1:12" x14ac:dyDescent="0.35">
      <c r="A2313" s="1">
        <v>42494</v>
      </c>
      <c r="B2313">
        <v>2938.75</v>
      </c>
      <c r="C2313" s="1">
        <v>42486</v>
      </c>
      <c r="D2313">
        <v>4533.18</v>
      </c>
      <c r="E2313" s="1">
        <v>42453</v>
      </c>
      <c r="F2313">
        <v>9851.35</v>
      </c>
      <c r="G2313" s="1">
        <v>42438</v>
      </c>
      <c r="H2313">
        <v>7927.4097400000001</v>
      </c>
      <c r="I2313" s="1">
        <v>42482</v>
      </c>
      <c r="J2313">
        <v>9232.7999999999993</v>
      </c>
      <c r="K2313" s="1">
        <v>42461</v>
      </c>
      <c r="L2313">
        <v>17776.84</v>
      </c>
    </row>
    <row r="2314" spans="1:12" x14ac:dyDescent="0.35">
      <c r="A2314" s="1">
        <v>42493</v>
      </c>
      <c r="B2314">
        <v>2974.2</v>
      </c>
      <c r="C2314" s="1">
        <v>42485</v>
      </c>
      <c r="D2314">
        <v>4546.12</v>
      </c>
      <c r="E2314" s="1">
        <v>42452</v>
      </c>
      <c r="F2314">
        <v>10022.93</v>
      </c>
      <c r="G2314" s="1">
        <v>42437</v>
      </c>
      <c r="H2314">
        <v>7908.7607699999999</v>
      </c>
      <c r="I2314" s="1">
        <v>42481</v>
      </c>
      <c r="J2314">
        <v>9197.2000000000007</v>
      </c>
      <c r="K2314" s="1">
        <v>42460</v>
      </c>
      <c r="L2314">
        <v>18116.88</v>
      </c>
    </row>
    <row r="2315" spans="1:12" x14ac:dyDescent="0.35">
      <c r="A2315" s="1">
        <v>42492</v>
      </c>
      <c r="B2315">
        <v>3032.6</v>
      </c>
      <c r="C2315" s="1">
        <v>42482</v>
      </c>
      <c r="D2315">
        <v>4569.66</v>
      </c>
      <c r="E2315" s="1">
        <v>42451</v>
      </c>
      <c r="F2315">
        <v>9990</v>
      </c>
      <c r="G2315" s="1">
        <v>42436</v>
      </c>
      <c r="H2315">
        <v>8008.3424699999996</v>
      </c>
      <c r="I2315" s="1">
        <v>42480</v>
      </c>
      <c r="J2315">
        <v>9147.2000000000007</v>
      </c>
      <c r="K2315" s="1">
        <v>42459</v>
      </c>
      <c r="L2315">
        <v>18375.32</v>
      </c>
    </row>
    <row r="2316" spans="1:12" x14ac:dyDescent="0.35">
      <c r="A2316" s="1">
        <v>42489</v>
      </c>
      <c r="B2316">
        <v>3028.21</v>
      </c>
      <c r="C2316" s="1">
        <v>42481</v>
      </c>
      <c r="D2316">
        <v>4582.83</v>
      </c>
      <c r="E2316" s="1">
        <v>42450</v>
      </c>
      <c r="F2316">
        <v>9948.64</v>
      </c>
      <c r="G2316" s="1">
        <v>42433</v>
      </c>
      <c r="H2316">
        <v>8016.7569999999996</v>
      </c>
      <c r="I2316" s="1">
        <v>42479</v>
      </c>
      <c r="J2316">
        <v>8971.2999999999993</v>
      </c>
      <c r="K2316" s="1">
        <v>42458</v>
      </c>
      <c r="L2316">
        <v>18171.86</v>
      </c>
    </row>
    <row r="2317" spans="1:12" x14ac:dyDescent="0.35">
      <c r="A2317" s="1">
        <v>42488</v>
      </c>
      <c r="B2317">
        <v>3125.43</v>
      </c>
      <c r="C2317" s="1">
        <v>42480</v>
      </c>
      <c r="D2317">
        <v>4591.92</v>
      </c>
      <c r="E2317" s="1">
        <v>42447</v>
      </c>
      <c r="F2317">
        <v>9950.7999999999993</v>
      </c>
      <c r="G2317" s="1">
        <v>42432</v>
      </c>
      <c r="H2317">
        <v>7921.5445099999997</v>
      </c>
      <c r="I2317" s="1">
        <v>42478</v>
      </c>
      <c r="J2317">
        <v>8881.6</v>
      </c>
      <c r="K2317" s="1">
        <v>42453</v>
      </c>
      <c r="L2317">
        <v>18165.84</v>
      </c>
    </row>
    <row r="2318" spans="1:12" x14ac:dyDescent="0.35">
      <c r="A2318" s="1">
        <v>42487</v>
      </c>
      <c r="B2318">
        <v>3130.43</v>
      </c>
      <c r="C2318" s="1">
        <v>42479</v>
      </c>
      <c r="D2318">
        <v>4566.4799999999996</v>
      </c>
      <c r="E2318" s="1">
        <v>42446</v>
      </c>
      <c r="F2318">
        <v>9892.2000000000007</v>
      </c>
      <c r="G2318" s="1">
        <v>42431</v>
      </c>
      <c r="H2318">
        <v>7966.3133600000001</v>
      </c>
      <c r="I2318" s="1">
        <v>42475</v>
      </c>
      <c r="J2318">
        <v>8850.9</v>
      </c>
      <c r="K2318" s="1">
        <v>42452</v>
      </c>
      <c r="L2318">
        <v>18462.88</v>
      </c>
    </row>
    <row r="2319" spans="1:12" x14ac:dyDescent="0.35">
      <c r="A2319" s="1">
        <v>42486</v>
      </c>
      <c r="B2319">
        <v>3121.29</v>
      </c>
      <c r="C2319" s="1">
        <v>42478</v>
      </c>
      <c r="D2319">
        <v>4506.84</v>
      </c>
      <c r="E2319" s="1">
        <v>42445</v>
      </c>
      <c r="F2319">
        <v>9983.41</v>
      </c>
      <c r="G2319" s="1">
        <v>42430</v>
      </c>
      <c r="H2319">
        <v>7907.8504700000003</v>
      </c>
      <c r="I2319" s="1">
        <v>42474</v>
      </c>
      <c r="J2319">
        <v>8861.5</v>
      </c>
      <c r="K2319" s="1">
        <v>42451</v>
      </c>
      <c r="L2319">
        <v>18698.82</v>
      </c>
    </row>
    <row r="2320" spans="1:12" x14ac:dyDescent="0.35">
      <c r="A2320" s="1">
        <v>42485</v>
      </c>
      <c r="B2320">
        <v>3117.62</v>
      </c>
      <c r="C2320" s="1">
        <v>42475</v>
      </c>
      <c r="D2320">
        <v>4495.17</v>
      </c>
      <c r="E2320" s="1">
        <v>42444</v>
      </c>
      <c r="F2320">
        <v>9933.85</v>
      </c>
      <c r="G2320" s="1">
        <v>42429</v>
      </c>
      <c r="H2320">
        <v>7800.3506399999997</v>
      </c>
      <c r="I2320" s="1">
        <v>42473</v>
      </c>
      <c r="J2320">
        <v>8820.7000000000007</v>
      </c>
      <c r="K2320" s="1">
        <v>42450</v>
      </c>
      <c r="L2320">
        <v>18696.93</v>
      </c>
    </row>
    <row r="2321" spans="1:12" x14ac:dyDescent="0.35">
      <c r="A2321" s="1">
        <v>42482</v>
      </c>
      <c r="B2321">
        <v>3141.12</v>
      </c>
      <c r="C2321" s="1">
        <v>42474</v>
      </c>
      <c r="D2321">
        <v>4511.51</v>
      </c>
      <c r="E2321" s="1">
        <v>42443</v>
      </c>
      <c r="F2321">
        <v>9990.26</v>
      </c>
      <c r="G2321" s="1">
        <v>42426</v>
      </c>
      <c r="H2321">
        <v>7742.6301800000001</v>
      </c>
      <c r="I2321" s="1">
        <v>42472</v>
      </c>
      <c r="J2321">
        <v>8546.2999999999993</v>
      </c>
      <c r="K2321" s="1">
        <v>42447</v>
      </c>
      <c r="L2321">
        <v>18611.34</v>
      </c>
    </row>
    <row r="2322" spans="1:12" x14ac:dyDescent="0.35">
      <c r="A2322" s="1">
        <v>42481</v>
      </c>
      <c r="B2322">
        <v>3151.69</v>
      </c>
      <c r="C2322" s="1">
        <v>42473</v>
      </c>
      <c r="D2322">
        <v>4490.3100000000004</v>
      </c>
      <c r="E2322" s="1">
        <v>42440</v>
      </c>
      <c r="F2322">
        <v>9831.1299999999992</v>
      </c>
      <c r="G2322" s="1">
        <v>42425</v>
      </c>
      <c r="H2322">
        <v>7597.5647399999998</v>
      </c>
      <c r="I2322" s="1">
        <v>42471</v>
      </c>
      <c r="J2322">
        <v>8497.6</v>
      </c>
      <c r="K2322" s="1">
        <v>42446</v>
      </c>
      <c r="L2322">
        <v>18608.03</v>
      </c>
    </row>
    <row r="2323" spans="1:12" x14ac:dyDescent="0.35">
      <c r="A2323" s="1">
        <v>42480</v>
      </c>
      <c r="B2323">
        <v>3142.52</v>
      </c>
      <c r="C2323" s="1">
        <v>42472</v>
      </c>
      <c r="D2323">
        <v>4345.91</v>
      </c>
      <c r="E2323" s="1">
        <v>42439</v>
      </c>
      <c r="F2323">
        <v>9498.15</v>
      </c>
      <c r="G2323" s="1">
        <v>42424</v>
      </c>
      <c r="H2323">
        <v>7411.6789399999998</v>
      </c>
      <c r="I2323" s="1">
        <v>42468</v>
      </c>
      <c r="J2323">
        <v>8427.6</v>
      </c>
      <c r="K2323" s="1">
        <v>42445</v>
      </c>
      <c r="L2323">
        <v>18731.75</v>
      </c>
    </row>
    <row r="2324" spans="1:12" x14ac:dyDescent="0.35">
      <c r="A2324" s="1">
        <v>42479</v>
      </c>
      <c r="B2324">
        <v>3112.99</v>
      </c>
      <c r="C2324" s="1">
        <v>42471</v>
      </c>
      <c r="D2324">
        <v>4312.63</v>
      </c>
      <c r="E2324" s="1">
        <v>42438</v>
      </c>
      <c r="F2324">
        <v>9723.09</v>
      </c>
      <c r="G2324" s="1">
        <v>42423</v>
      </c>
      <c r="H2324">
        <v>7589.0830900000001</v>
      </c>
      <c r="I2324" s="1">
        <v>42467</v>
      </c>
      <c r="J2324">
        <v>8292.9</v>
      </c>
      <c r="K2324" s="1">
        <v>42444</v>
      </c>
      <c r="L2324">
        <v>18765.37</v>
      </c>
    </row>
    <row r="2325" spans="1:12" x14ac:dyDescent="0.35">
      <c r="A2325" s="1">
        <v>42478</v>
      </c>
      <c r="B2325">
        <v>3064.03</v>
      </c>
      <c r="C2325" s="1">
        <v>42468</v>
      </c>
      <c r="D2325">
        <v>4303.12</v>
      </c>
      <c r="E2325" s="1">
        <v>42437</v>
      </c>
      <c r="F2325">
        <v>9692.82</v>
      </c>
      <c r="G2325" s="1">
        <v>42422</v>
      </c>
      <c r="H2325">
        <v>7755.2090500000004</v>
      </c>
      <c r="I2325" s="1">
        <v>42466</v>
      </c>
      <c r="J2325">
        <v>8398.6</v>
      </c>
      <c r="K2325" s="1">
        <v>42443</v>
      </c>
      <c r="L2325">
        <v>18981.77</v>
      </c>
    </row>
    <row r="2326" spans="1:12" x14ac:dyDescent="0.35">
      <c r="A2326" s="1">
        <v>42475</v>
      </c>
      <c r="B2326">
        <v>3054.34</v>
      </c>
      <c r="C2326" s="1">
        <v>42467</v>
      </c>
      <c r="D2326">
        <v>4245.91</v>
      </c>
      <c r="E2326" s="1">
        <v>42436</v>
      </c>
      <c r="F2326">
        <v>9778.93</v>
      </c>
      <c r="G2326" s="1">
        <v>42419</v>
      </c>
      <c r="H2326">
        <v>7673.4388499999995</v>
      </c>
      <c r="I2326" s="1">
        <v>42465</v>
      </c>
      <c r="J2326">
        <v>8387.7000000000007</v>
      </c>
      <c r="K2326" s="1">
        <v>42440</v>
      </c>
      <c r="L2326">
        <v>18987.75</v>
      </c>
    </row>
    <row r="2327" spans="1:12" x14ac:dyDescent="0.35">
      <c r="A2327" s="1">
        <v>42474</v>
      </c>
      <c r="B2327">
        <v>3060.86</v>
      </c>
      <c r="C2327" s="1">
        <v>42466</v>
      </c>
      <c r="D2327">
        <v>4284.6400000000003</v>
      </c>
      <c r="E2327" s="1">
        <v>42433</v>
      </c>
      <c r="F2327">
        <v>9824.17</v>
      </c>
      <c r="G2327" s="1">
        <v>42418</v>
      </c>
      <c r="H2327">
        <v>7704.1647400000002</v>
      </c>
      <c r="I2327" s="1">
        <v>42464</v>
      </c>
      <c r="J2327">
        <v>8597.5</v>
      </c>
      <c r="K2327" s="1">
        <v>42439</v>
      </c>
      <c r="L2327">
        <v>18118.23</v>
      </c>
    </row>
    <row r="2328" spans="1:12" x14ac:dyDescent="0.35">
      <c r="A2328" s="1">
        <v>42473</v>
      </c>
      <c r="B2328">
        <v>3039.19</v>
      </c>
      <c r="C2328" s="1">
        <v>42465</v>
      </c>
      <c r="D2328">
        <v>4250.28</v>
      </c>
      <c r="E2328" s="1">
        <v>42432</v>
      </c>
      <c r="F2328">
        <v>9751.92</v>
      </c>
      <c r="G2328" s="1">
        <v>42417</v>
      </c>
      <c r="H2328">
        <v>7743.9156400000002</v>
      </c>
      <c r="I2328" s="1">
        <v>42461</v>
      </c>
      <c r="J2328">
        <v>8602.2999999999993</v>
      </c>
      <c r="K2328" s="1">
        <v>42438</v>
      </c>
      <c r="L2328">
        <v>18208.919999999998</v>
      </c>
    </row>
    <row r="2329" spans="1:12" x14ac:dyDescent="0.35">
      <c r="A2329" s="1">
        <v>42472</v>
      </c>
      <c r="B2329">
        <v>2942.09</v>
      </c>
      <c r="C2329" s="1">
        <v>42464</v>
      </c>
      <c r="D2329">
        <v>4345.22</v>
      </c>
      <c r="E2329" s="1">
        <v>42431</v>
      </c>
      <c r="F2329">
        <v>9776.6200000000008</v>
      </c>
      <c r="G2329" s="1">
        <v>42416</v>
      </c>
      <c r="H2329">
        <v>7528.6538099999998</v>
      </c>
      <c r="I2329" s="1">
        <v>42460</v>
      </c>
      <c r="J2329">
        <v>8723.1</v>
      </c>
      <c r="K2329" s="1">
        <v>42437</v>
      </c>
      <c r="L2329">
        <v>18017.560000000001</v>
      </c>
    </row>
    <row r="2330" spans="1:12" x14ac:dyDescent="0.35">
      <c r="A2330" s="1">
        <v>42471</v>
      </c>
      <c r="B2330">
        <v>2924.23</v>
      </c>
      <c r="C2330" s="1">
        <v>42461</v>
      </c>
      <c r="D2330">
        <v>4322.24</v>
      </c>
      <c r="E2330" s="1">
        <v>42430</v>
      </c>
      <c r="F2330">
        <v>9717.16</v>
      </c>
      <c r="G2330" s="1">
        <v>42415</v>
      </c>
      <c r="H2330">
        <v>7539.2996999999996</v>
      </c>
      <c r="I2330" s="1">
        <v>42459</v>
      </c>
      <c r="J2330">
        <v>8870.2000000000007</v>
      </c>
      <c r="K2330" s="1">
        <v>42436</v>
      </c>
      <c r="L2330">
        <v>18059.27</v>
      </c>
    </row>
    <row r="2331" spans="1:12" x14ac:dyDescent="0.35">
      <c r="A2331" s="1">
        <v>42468</v>
      </c>
      <c r="B2331">
        <v>2911.98</v>
      </c>
      <c r="C2331" s="1">
        <v>42460</v>
      </c>
      <c r="D2331">
        <v>4385.0600000000004</v>
      </c>
      <c r="E2331" s="1">
        <v>42429</v>
      </c>
      <c r="F2331">
        <v>9495.4</v>
      </c>
      <c r="G2331" s="1">
        <v>42412</v>
      </c>
      <c r="H2331">
        <v>7345.8831899999996</v>
      </c>
      <c r="I2331" s="1">
        <v>42458</v>
      </c>
      <c r="J2331">
        <v>8808.2999999999993</v>
      </c>
      <c r="K2331" s="1">
        <v>42433</v>
      </c>
      <c r="L2331">
        <v>18278.98</v>
      </c>
    </row>
    <row r="2332" spans="1:12" x14ac:dyDescent="0.35">
      <c r="A2332" s="1">
        <v>42467</v>
      </c>
      <c r="B2332">
        <v>2871.57</v>
      </c>
      <c r="C2332" s="1">
        <v>42459</v>
      </c>
      <c r="D2332">
        <v>4444.42</v>
      </c>
      <c r="E2332" s="1">
        <v>42426</v>
      </c>
      <c r="F2332">
        <v>9513.2999999999993</v>
      </c>
      <c r="G2332" s="1">
        <v>42411</v>
      </c>
      <c r="H2332">
        <v>7064.6459199999999</v>
      </c>
      <c r="I2332" s="1">
        <v>42453</v>
      </c>
      <c r="J2332">
        <v>8789.7999999999993</v>
      </c>
      <c r="K2332" s="1">
        <v>42432</v>
      </c>
      <c r="L2332">
        <v>18348.5</v>
      </c>
    </row>
    <row r="2333" spans="1:12" x14ac:dyDescent="0.35">
      <c r="A2333" s="1">
        <v>42466</v>
      </c>
      <c r="B2333">
        <v>2909.36</v>
      </c>
      <c r="C2333" s="1">
        <v>42458</v>
      </c>
      <c r="D2333">
        <v>4366.67</v>
      </c>
      <c r="E2333" s="1">
        <v>42425</v>
      </c>
      <c r="F2333">
        <v>9331.48</v>
      </c>
      <c r="G2333" s="1">
        <v>42410</v>
      </c>
      <c r="H2333">
        <v>7315.0393000000004</v>
      </c>
      <c r="I2333" s="1">
        <v>42452</v>
      </c>
      <c r="J2333">
        <v>8927.1</v>
      </c>
      <c r="K2333" s="1">
        <v>42431</v>
      </c>
      <c r="L2333">
        <v>18206.41</v>
      </c>
    </row>
    <row r="2334" spans="1:12" x14ac:dyDescent="0.35">
      <c r="A2334" s="1">
        <v>42465</v>
      </c>
      <c r="B2334">
        <v>2890.35</v>
      </c>
      <c r="C2334" s="1">
        <v>42453</v>
      </c>
      <c r="D2334">
        <v>4329.68</v>
      </c>
      <c r="E2334" s="1">
        <v>42424</v>
      </c>
      <c r="F2334">
        <v>9167.7999999999993</v>
      </c>
      <c r="G2334" s="1">
        <v>42409</v>
      </c>
      <c r="H2334">
        <v>7212.1509999999998</v>
      </c>
      <c r="I2334" s="1">
        <v>42451</v>
      </c>
      <c r="J2334">
        <v>8992</v>
      </c>
      <c r="K2334" s="1">
        <v>42430</v>
      </c>
      <c r="L2334">
        <v>18011.91</v>
      </c>
    </row>
    <row r="2335" spans="1:12" x14ac:dyDescent="0.35">
      <c r="A2335" s="1">
        <v>42464</v>
      </c>
      <c r="B2335">
        <v>2962.28</v>
      </c>
      <c r="C2335" s="1">
        <v>42452</v>
      </c>
      <c r="D2335">
        <v>4423.9799999999996</v>
      </c>
      <c r="E2335" s="1">
        <v>42423</v>
      </c>
      <c r="F2335">
        <v>9416.77</v>
      </c>
      <c r="G2335" s="1">
        <v>42408</v>
      </c>
      <c r="H2335">
        <v>7345.46569</v>
      </c>
      <c r="I2335" s="1">
        <v>42450</v>
      </c>
      <c r="J2335">
        <v>9021</v>
      </c>
      <c r="K2335" s="1">
        <v>42429</v>
      </c>
      <c r="L2335">
        <v>17623.07</v>
      </c>
    </row>
    <row r="2336" spans="1:12" x14ac:dyDescent="0.35">
      <c r="A2336" s="1">
        <v>42461</v>
      </c>
      <c r="B2336">
        <v>2953.28</v>
      </c>
      <c r="C2336" s="1">
        <v>42451</v>
      </c>
      <c r="D2336">
        <v>4431.97</v>
      </c>
      <c r="E2336" s="1">
        <v>42422</v>
      </c>
      <c r="F2336">
        <v>9573.59</v>
      </c>
      <c r="G2336" s="1">
        <v>42405</v>
      </c>
      <c r="H2336">
        <v>7597.3854300000003</v>
      </c>
      <c r="I2336" s="1">
        <v>42447</v>
      </c>
      <c r="J2336">
        <v>9051.1</v>
      </c>
      <c r="K2336" s="1">
        <v>42426</v>
      </c>
      <c r="L2336">
        <v>17483.759999999998</v>
      </c>
    </row>
    <row r="2337" spans="1:12" x14ac:dyDescent="0.35">
      <c r="A2337" s="1">
        <v>42460</v>
      </c>
      <c r="B2337">
        <v>3004.93</v>
      </c>
      <c r="C2337" s="1">
        <v>42450</v>
      </c>
      <c r="D2337">
        <v>4427.8</v>
      </c>
      <c r="E2337" s="1">
        <v>42419</v>
      </c>
      <c r="F2337">
        <v>9388.0499999999993</v>
      </c>
      <c r="G2337" s="1">
        <v>42404</v>
      </c>
      <c r="H2337">
        <v>7684.66662</v>
      </c>
      <c r="I2337" s="1">
        <v>42446</v>
      </c>
      <c r="J2337">
        <v>8978.7999999999993</v>
      </c>
      <c r="K2337" s="1">
        <v>42425</v>
      </c>
      <c r="L2337">
        <v>17104.54</v>
      </c>
    </row>
    <row r="2338" spans="1:12" x14ac:dyDescent="0.35">
      <c r="A2338" s="1">
        <v>42459</v>
      </c>
      <c r="B2338">
        <v>3044.1</v>
      </c>
      <c r="C2338" s="1">
        <v>42447</v>
      </c>
      <c r="D2338">
        <v>4462.51</v>
      </c>
      <c r="E2338" s="1">
        <v>42418</v>
      </c>
      <c r="F2338">
        <v>9463.64</v>
      </c>
      <c r="G2338" s="1">
        <v>42403</v>
      </c>
      <c r="H2338">
        <v>7690.1919399999997</v>
      </c>
      <c r="I2338" s="1">
        <v>42445</v>
      </c>
      <c r="J2338">
        <v>8962.7999999999993</v>
      </c>
      <c r="K2338" s="1">
        <v>42424</v>
      </c>
      <c r="L2338">
        <v>16719.36</v>
      </c>
    </row>
    <row r="2339" spans="1:12" x14ac:dyDescent="0.35">
      <c r="A2339" s="1">
        <v>42458</v>
      </c>
      <c r="B2339">
        <v>3004.87</v>
      </c>
      <c r="C2339" s="1">
        <v>42446</v>
      </c>
      <c r="D2339">
        <v>4442.8900000000003</v>
      </c>
      <c r="E2339" s="1">
        <v>42417</v>
      </c>
      <c r="F2339">
        <v>9377.2099999999991</v>
      </c>
      <c r="G2339" s="1">
        <v>42402</v>
      </c>
      <c r="H2339">
        <v>7821.82989</v>
      </c>
      <c r="I2339" s="1">
        <v>42444</v>
      </c>
      <c r="J2339">
        <v>8988.2999999999993</v>
      </c>
      <c r="K2339" s="1">
        <v>42423</v>
      </c>
      <c r="L2339">
        <v>17163.46</v>
      </c>
    </row>
    <row r="2340" spans="1:12" x14ac:dyDescent="0.35">
      <c r="A2340" s="1">
        <v>42453</v>
      </c>
      <c r="B2340">
        <v>2986.73</v>
      </c>
      <c r="C2340" s="1">
        <v>42445</v>
      </c>
      <c r="D2340">
        <v>4463</v>
      </c>
      <c r="E2340" s="1">
        <v>42416</v>
      </c>
      <c r="F2340">
        <v>9135.11</v>
      </c>
      <c r="G2340" s="1">
        <v>42401</v>
      </c>
      <c r="H2340">
        <v>8005.38598</v>
      </c>
      <c r="I2340" s="1">
        <v>42443</v>
      </c>
      <c r="J2340">
        <v>9142.7000000000007</v>
      </c>
      <c r="K2340" s="1">
        <v>42422</v>
      </c>
      <c r="L2340">
        <v>17504.580000000002</v>
      </c>
    </row>
    <row r="2341" spans="1:12" x14ac:dyDescent="0.35">
      <c r="A2341" s="1">
        <v>42452</v>
      </c>
      <c r="B2341">
        <v>3042.42</v>
      </c>
      <c r="C2341" s="1">
        <v>42444</v>
      </c>
      <c r="D2341">
        <v>4472.63</v>
      </c>
      <c r="E2341" s="1">
        <v>42415</v>
      </c>
      <c r="F2341">
        <v>9206.84</v>
      </c>
      <c r="G2341" s="1">
        <v>42398</v>
      </c>
      <c r="H2341">
        <v>7980.2402599999996</v>
      </c>
      <c r="I2341" s="1">
        <v>42440</v>
      </c>
      <c r="J2341">
        <v>9090.6</v>
      </c>
      <c r="K2341" s="1">
        <v>42419</v>
      </c>
      <c r="L2341">
        <v>16909.560000000001</v>
      </c>
    </row>
    <row r="2342" spans="1:12" x14ac:dyDescent="0.35">
      <c r="A2342" s="1">
        <v>42451</v>
      </c>
      <c r="B2342">
        <v>3051.23</v>
      </c>
      <c r="C2342" s="1">
        <v>42443</v>
      </c>
      <c r="D2342">
        <v>4506.59</v>
      </c>
      <c r="E2342" s="1">
        <v>42412</v>
      </c>
      <c r="F2342">
        <v>8967.51</v>
      </c>
      <c r="G2342" s="1">
        <v>42397</v>
      </c>
      <c r="H2342">
        <v>7788.0016999999998</v>
      </c>
      <c r="I2342" s="1">
        <v>42439</v>
      </c>
      <c r="J2342">
        <v>8766.9</v>
      </c>
      <c r="K2342" s="1">
        <v>42418</v>
      </c>
      <c r="L2342">
        <v>17112.36</v>
      </c>
    </row>
    <row r="2343" spans="1:12" x14ac:dyDescent="0.35">
      <c r="A2343" s="1">
        <v>42450</v>
      </c>
      <c r="B2343">
        <v>3048.77</v>
      </c>
      <c r="C2343" s="1">
        <v>42440</v>
      </c>
      <c r="D2343">
        <v>4492.79</v>
      </c>
      <c r="E2343" s="1">
        <v>42411</v>
      </c>
      <c r="F2343">
        <v>8752.8700000000008</v>
      </c>
      <c r="G2343" s="1">
        <v>42396</v>
      </c>
      <c r="H2343">
        <v>7862.0851300000004</v>
      </c>
      <c r="I2343" s="1">
        <v>42438</v>
      </c>
      <c r="J2343">
        <v>8761.1</v>
      </c>
      <c r="K2343" s="1">
        <v>42417</v>
      </c>
      <c r="L2343">
        <v>17377.89</v>
      </c>
    </row>
    <row r="2344" spans="1:12" x14ac:dyDescent="0.35">
      <c r="A2344" s="1">
        <v>42447</v>
      </c>
      <c r="B2344">
        <v>3059.77</v>
      </c>
      <c r="C2344" s="1">
        <v>42439</v>
      </c>
      <c r="D2344">
        <v>4350.3500000000004</v>
      </c>
      <c r="E2344" s="1">
        <v>42410</v>
      </c>
      <c r="F2344">
        <v>9017.2900000000009</v>
      </c>
      <c r="G2344" s="1">
        <v>42395</v>
      </c>
      <c r="H2344">
        <v>7823.2536399999999</v>
      </c>
      <c r="I2344" s="1">
        <v>42437</v>
      </c>
      <c r="J2344">
        <v>8740.2999999999993</v>
      </c>
      <c r="K2344" s="1">
        <v>42416</v>
      </c>
      <c r="L2344">
        <v>16957.84</v>
      </c>
    </row>
    <row r="2345" spans="1:12" x14ac:dyDescent="0.35">
      <c r="A2345" s="1">
        <v>42446</v>
      </c>
      <c r="B2345">
        <v>3043.1</v>
      </c>
      <c r="C2345" s="1">
        <v>42438</v>
      </c>
      <c r="D2345">
        <v>4425.6499999999996</v>
      </c>
      <c r="E2345" s="1">
        <v>42409</v>
      </c>
      <c r="F2345">
        <v>8879.4</v>
      </c>
      <c r="G2345" s="1">
        <v>42394</v>
      </c>
      <c r="H2345">
        <v>7728.9251199999999</v>
      </c>
      <c r="I2345" s="1">
        <v>42436</v>
      </c>
      <c r="J2345">
        <v>8786.7999999999993</v>
      </c>
      <c r="K2345" s="1">
        <v>42415</v>
      </c>
      <c r="L2345">
        <v>17041.82</v>
      </c>
    </row>
    <row r="2346" spans="1:12" x14ac:dyDescent="0.35">
      <c r="A2346" s="1">
        <v>42445</v>
      </c>
      <c r="B2346">
        <v>3062.05</v>
      </c>
      <c r="C2346" s="1">
        <v>42437</v>
      </c>
      <c r="D2346">
        <v>4404.0200000000004</v>
      </c>
      <c r="E2346" s="1">
        <v>42408</v>
      </c>
      <c r="F2346">
        <v>8979.36</v>
      </c>
      <c r="G2346" s="1">
        <v>42391</v>
      </c>
      <c r="H2346">
        <v>7799.9299899999996</v>
      </c>
      <c r="I2346" s="1">
        <v>42433</v>
      </c>
      <c r="J2346">
        <v>8811.6</v>
      </c>
      <c r="K2346" s="1">
        <v>42412</v>
      </c>
      <c r="L2346">
        <v>16514.87</v>
      </c>
    </row>
    <row r="2347" spans="1:12" x14ac:dyDescent="0.35">
      <c r="A2347" s="1">
        <v>42444</v>
      </c>
      <c r="B2347">
        <v>3067.21</v>
      </c>
      <c r="C2347" s="1">
        <v>42436</v>
      </c>
      <c r="D2347">
        <v>4442.29</v>
      </c>
      <c r="E2347" s="1">
        <v>42405</v>
      </c>
      <c r="F2347">
        <v>9286.23</v>
      </c>
      <c r="G2347" s="1">
        <v>42390</v>
      </c>
      <c r="H2347">
        <v>7564.3890199999996</v>
      </c>
      <c r="I2347" s="1">
        <v>42432</v>
      </c>
      <c r="J2347">
        <v>8767</v>
      </c>
      <c r="K2347" s="1">
        <v>42411</v>
      </c>
      <c r="L2347">
        <v>15773</v>
      </c>
    </row>
    <row r="2348" spans="1:12" x14ac:dyDescent="0.35">
      <c r="A2348" s="1">
        <v>42443</v>
      </c>
      <c r="B2348">
        <v>3091.98</v>
      </c>
      <c r="C2348" s="1">
        <v>42433</v>
      </c>
      <c r="D2348">
        <v>4456.62</v>
      </c>
      <c r="E2348" s="1">
        <v>42404</v>
      </c>
      <c r="F2348">
        <v>9393.36</v>
      </c>
      <c r="G2348" s="1">
        <v>42389</v>
      </c>
      <c r="H2348">
        <v>7366.8758699999998</v>
      </c>
      <c r="I2348" s="1">
        <v>42431</v>
      </c>
      <c r="J2348">
        <v>8764.5</v>
      </c>
      <c r="K2348" s="1">
        <v>42410</v>
      </c>
      <c r="L2348">
        <v>16714.14</v>
      </c>
    </row>
    <row r="2349" spans="1:12" x14ac:dyDescent="0.35">
      <c r="A2349" s="1">
        <v>42440</v>
      </c>
      <c r="B2349">
        <v>3073.8</v>
      </c>
      <c r="C2349" s="1">
        <v>42432</v>
      </c>
      <c r="D2349">
        <v>4416.08</v>
      </c>
      <c r="E2349" s="1">
        <v>42403</v>
      </c>
      <c r="F2349">
        <v>9434.82</v>
      </c>
      <c r="G2349" s="1">
        <v>42388</v>
      </c>
      <c r="H2349">
        <v>7628.3316299999997</v>
      </c>
      <c r="I2349" s="1">
        <v>42430</v>
      </c>
      <c r="J2349">
        <v>8611</v>
      </c>
      <c r="K2349" s="1">
        <v>42409</v>
      </c>
      <c r="L2349">
        <v>15913.12</v>
      </c>
    </row>
    <row r="2350" spans="1:12" x14ac:dyDescent="0.35">
      <c r="A2350" s="1">
        <v>42439</v>
      </c>
      <c r="B2350">
        <v>2970.78</v>
      </c>
      <c r="C2350" s="1">
        <v>42431</v>
      </c>
      <c r="D2350">
        <v>4424.8900000000003</v>
      </c>
      <c r="E2350" s="1">
        <v>42402</v>
      </c>
      <c r="F2350">
        <v>9581.0400000000009</v>
      </c>
      <c r="G2350" s="1">
        <v>42387</v>
      </c>
      <c r="H2350">
        <v>7568.23531</v>
      </c>
      <c r="I2350" s="1">
        <v>42429</v>
      </c>
      <c r="J2350">
        <v>8461.4</v>
      </c>
      <c r="K2350" s="1">
        <v>42408</v>
      </c>
      <c r="L2350">
        <v>16441.2</v>
      </c>
    </row>
    <row r="2351" spans="1:12" x14ac:dyDescent="0.35">
      <c r="A2351" s="1">
        <v>42438</v>
      </c>
      <c r="B2351">
        <v>3016.18</v>
      </c>
      <c r="C2351" s="1">
        <v>42430</v>
      </c>
      <c r="D2351">
        <v>4406.84</v>
      </c>
      <c r="E2351" s="1">
        <v>42401</v>
      </c>
      <c r="F2351">
        <v>9757.8799999999992</v>
      </c>
      <c r="G2351" s="1">
        <v>42384</v>
      </c>
      <c r="H2351">
        <v>7566.9012599999996</v>
      </c>
      <c r="I2351" s="1">
        <v>42426</v>
      </c>
      <c r="J2351">
        <v>8349.2000000000007</v>
      </c>
      <c r="K2351" s="1">
        <v>42405</v>
      </c>
      <c r="L2351">
        <v>17250.259999999998</v>
      </c>
    </row>
    <row r="2352" spans="1:12" x14ac:dyDescent="0.35">
      <c r="A2352" s="1">
        <v>42437</v>
      </c>
      <c r="B2352">
        <v>3002.01</v>
      </c>
      <c r="C2352" s="1">
        <v>42429</v>
      </c>
      <c r="D2352">
        <v>4353.55</v>
      </c>
      <c r="E2352" s="1">
        <v>42398</v>
      </c>
      <c r="F2352">
        <v>9798.11</v>
      </c>
      <c r="G2352" s="1">
        <v>42383</v>
      </c>
      <c r="H2352">
        <v>7854.2829599999995</v>
      </c>
      <c r="I2352" s="1">
        <v>42425</v>
      </c>
      <c r="J2352">
        <v>8215.6</v>
      </c>
      <c r="K2352" s="1">
        <v>42404</v>
      </c>
      <c r="L2352">
        <v>17626.04</v>
      </c>
    </row>
    <row r="2353" spans="1:12" x14ac:dyDescent="0.35">
      <c r="A2353" s="1">
        <v>42436</v>
      </c>
      <c r="B2353">
        <v>3021.09</v>
      </c>
      <c r="C2353" s="1">
        <v>42426</v>
      </c>
      <c r="D2353">
        <v>4314.57</v>
      </c>
      <c r="E2353" s="1">
        <v>42397</v>
      </c>
      <c r="F2353">
        <v>9639.59</v>
      </c>
      <c r="G2353" s="1">
        <v>42382</v>
      </c>
      <c r="H2353">
        <v>7943.7479499999999</v>
      </c>
      <c r="I2353" s="1">
        <v>42424</v>
      </c>
      <c r="J2353">
        <v>8013.7</v>
      </c>
      <c r="K2353" s="1">
        <v>42403</v>
      </c>
      <c r="L2353">
        <v>17412.04</v>
      </c>
    </row>
    <row r="2354" spans="1:12" x14ac:dyDescent="0.35">
      <c r="A2354" s="1">
        <v>42433</v>
      </c>
      <c r="B2354">
        <v>3037.35</v>
      </c>
      <c r="C2354" s="1">
        <v>42425</v>
      </c>
      <c r="D2354">
        <v>4248.45</v>
      </c>
      <c r="E2354" s="1">
        <v>42396</v>
      </c>
      <c r="F2354">
        <v>9880.82</v>
      </c>
      <c r="G2354" s="1">
        <v>42381</v>
      </c>
      <c r="H2354">
        <v>7891.9776300000003</v>
      </c>
      <c r="I2354" s="1">
        <v>42423</v>
      </c>
      <c r="J2354">
        <v>8267.6</v>
      </c>
      <c r="K2354" s="1">
        <v>42402</v>
      </c>
      <c r="L2354">
        <v>17922.45</v>
      </c>
    </row>
    <row r="2355" spans="1:12" x14ac:dyDescent="0.35">
      <c r="A2355" s="1">
        <v>42432</v>
      </c>
      <c r="B2355">
        <v>3012.87</v>
      </c>
      <c r="C2355" s="1">
        <v>42424</v>
      </c>
      <c r="D2355">
        <v>4155.34</v>
      </c>
      <c r="E2355" s="1">
        <v>42395</v>
      </c>
      <c r="F2355">
        <v>9822.75</v>
      </c>
      <c r="G2355" s="1">
        <v>42380</v>
      </c>
      <c r="H2355">
        <v>7857.1679800000002</v>
      </c>
      <c r="I2355" s="1">
        <v>42422</v>
      </c>
      <c r="J2355">
        <v>8387</v>
      </c>
      <c r="K2355" s="1">
        <v>42401</v>
      </c>
      <c r="L2355">
        <v>18485.95</v>
      </c>
    </row>
    <row r="2356" spans="1:12" x14ac:dyDescent="0.35">
      <c r="A2356" s="1">
        <v>42431</v>
      </c>
      <c r="B2356">
        <v>3022.14</v>
      </c>
      <c r="C2356" s="1">
        <v>42423</v>
      </c>
      <c r="D2356">
        <v>4238.42</v>
      </c>
      <c r="E2356" s="1">
        <v>42394</v>
      </c>
      <c r="F2356">
        <v>9736.15</v>
      </c>
      <c r="G2356" s="1">
        <v>42377</v>
      </c>
      <c r="H2356">
        <v>7883.61535</v>
      </c>
      <c r="I2356" s="1">
        <v>42419</v>
      </c>
      <c r="J2356">
        <v>8194.2000000000007</v>
      </c>
      <c r="K2356" s="1">
        <v>42398</v>
      </c>
      <c r="L2356">
        <v>18657.29</v>
      </c>
    </row>
    <row r="2357" spans="1:12" x14ac:dyDescent="0.35">
      <c r="A2357" s="1">
        <v>42430</v>
      </c>
      <c r="B2357">
        <v>2996.39</v>
      </c>
      <c r="C2357" s="1">
        <v>42422</v>
      </c>
      <c r="D2357">
        <v>4298.7</v>
      </c>
      <c r="E2357" s="1">
        <v>42391</v>
      </c>
      <c r="F2357">
        <v>9764.8799999999992</v>
      </c>
      <c r="G2357" s="1">
        <v>42376</v>
      </c>
      <c r="H2357">
        <v>7995.9643699999997</v>
      </c>
      <c r="I2357" s="1">
        <v>42418</v>
      </c>
      <c r="J2357">
        <v>8295.4</v>
      </c>
      <c r="K2357" s="1">
        <v>42397</v>
      </c>
      <c r="L2357">
        <v>18189.95</v>
      </c>
    </row>
    <row r="2358" spans="1:12" x14ac:dyDescent="0.35">
      <c r="A2358" s="1">
        <v>42429</v>
      </c>
      <c r="B2358">
        <v>2945.75</v>
      </c>
      <c r="C2358" s="1">
        <v>42419</v>
      </c>
      <c r="D2358">
        <v>4223.04</v>
      </c>
      <c r="E2358" s="1">
        <v>42390</v>
      </c>
      <c r="F2358">
        <v>9574.16</v>
      </c>
      <c r="G2358" s="1">
        <v>42375</v>
      </c>
      <c r="H2358">
        <v>8256.5215200000002</v>
      </c>
      <c r="I2358" s="1">
        <v>42417</v>
      </c>
      <c r="J2358">
        <v>8364.9</v>
      </c>
      <c r="K2358" s="1">
        <v>42396</v>
      </c>
      <c r="L2358">
        <v>18848.03</v>
      </c>
    </row>
    <row r="2359" spans="1:12" x14ac:dyDescent="0.35">
      <c r="A2359" s="1">
        <v>42426</v>
      </c>
      <c r="B2359">
        <v>2929.16</v>
      </c>
      <c r="C2359" s="1">
        <v>42418</v>
      </c>
      <c r="D2359">
        <v>4239.76</v>
      </c>
      <c r="E2359" s="1">
        <v>42389</v>
      </c>
      <c r="F2359">
        <v>9391.64</v>
      </c>
      <c r="G2359" s="1">
        <v>42374</v>
      </c>
      <c r="H2359">
        <v>8373.7402600000005</v>
      </c>
      <c r="I2359" s="1">
        <v>42416</v>
      </c>
      <c r="J2359">
        <v>8137.6</v>
      </c>
      <c r="K2359" s="1">
        <v>42395</v>
      </c>
      <c r="L2359">
        <v>18923.830000000002</v>
      </c>
    </row>
    <row r="2360" spans="1:12" x14ac:dyDescent="0.35">
      <c r="A2360" s="1">
        <v>42425</v>
      </c>
      <c r="B2360">
        <v>2877.42</v>
      </c>
      <c r="C2360" s="1">
        <v>42417</v>
      </c>
      <c r="D2360">
        <v>4233.47</v>
      </c>
      <c r="E2360" s="1">
        <v>42388</v>
      </c>
      <c r="F2360">
        <v>9664.2099999999991</v>
      </c>
      <c r="G2360" s="1">
        <v>42373</v>
      </c>
      <c r="H2360">
        <v>8278.3454199999996</v>
      </c>
      <c r="I2360" s="1">
        <v>42415</v>
      </c>
      <c r="J2360">
        <v>8179.2</v>
      </c>
      <c r="K2360" s="1">
        <v>42394</v>
      </c>
      <c r="L2360">
        <v>18641.47</v>
      </c>
    </row>
    <row r="2361" spans="1:12" x14ac:dyDescent="0.35">
      <c r="A2361" s="1">
        <v>42424</v>
      </c>
      <c r="B2361">
        <v>2820.24</v>
      </c>
      <c r="C2361" s="1">
        <v>42416</v>
      </c>
      <c r="D2361">
        <v>4110.66</v>
      </c>
      <c r="E2361" s="1">
        <v>42387</v>
      </c>
      <c r="F2361">
        <v>9521.85</v>
      </c>
      <c r="G2361" s="1">
        <v>42369</v>
      </c>
      <c r="H2361">
        <v>8464.4158700000007</v>
      </c>
      <c r="I2361" s="1">
        <v>42412</v>
      </c>
      <c r="J2361">
        <v>7920.8</v>
      </c>
      <c r="K2361" s="1">
        <v>42391</v>
      </c>
      <c r="L2361">
        <v>19028.419999999998</v>
      </c>
    </row>
    <row r="2362" spans="1:12" x14ac:dyDescent="0.35">
      <c r="A2362" s="1">
        <v>42423</v>
      </c>
      <c r="B2362">
        <v>2887.38</v>
      </c>
      <c r="C2362" s="1">
        <v>42415</v>
      </c>
      <c r="D2362">
        <v>4115.25</v>
      </c>
      <c r="E2362" s="1">
        <v>42384</v>
      </c>
      <c r="F2362">
        <v>9545.27</v>
      </c>
      <c r="G2362" s="1">
        <v>42368</v>
      </c>
      <c r="H2362">
        <v>8525.2557300000008</v>
      </c>
      <c r="I2362" s="1">
        <v>42411</v>
      </c>
      <c r="J2362">
        <v>7746.3</v>
      </c>
      <c r="K2362" s="1">
        <v>42390</v>
      </c>
      <c r="L2362">
        <v>18723.22</v>
      </c>
    </row>
    <row r="2363" spans="1:12" x14ac:dyDescent="0.35">
      <c r="A2363" s="1">
        <v>42422</v>
      </c>
      <c r="B2363">
        <v>2933.91</v>
      </c>
      <c r="C2363" s="1">
        <v>42412</v>
      </c>
      <c r="D2363">
        <v>3995.06</v>
      </c>
      <c r="E2363" s="1">
        <v>42383</v>
      </c>
      <c r="F2363">
        <v>9794.2000000000007</v>
      </c>
      <c r="G2363" s="1">
        <v>42367</v>
      </c>
      <c r="H2363">
        <v>8552.8574800000006</v>
      </c>
      <c r="I2363" s="1">
        <v>42410</v>
      </c>
      <c r="J2363">
        <v>8143.7</v>
      </c>
      <c r="K2363" s="1">
        <v>42389</v>
      </c>
      <c r="L2363">
        <v>17967.91</v>
      </c>
    </row>
    <row r="2364" spans="1:12" x14ac:dyDescent="0.35">
      <c r="A2364" s="1">
        <v>42419</v>
      </c>
      <c r="B2364">
        <v>2871.05</v>
      </c>
      <c r="C2364" s="1">
        <v>42411</v>
      </c>
      <c r="D2364">
        <v>3896.71</v>
      </c>
      <c r="E2364" s="1">
        <v>42382</v>
      </c>
      <c r="F2364">
        <v>9960.9599999999991</v>
      </c>
      <c r="G2364" s="1">
        <v>42362</v>
      </c>
      <c r="H2364">
        <v>8524.7453700000005</v>
      </c>
      <c r="I2364" s="1">
        <v>42409</v>
      </c>
      <c r="J2364">
        <v>7927.6</v>
      </c>
      <c r="K2364" s="1">
        <v>42388</v>
      </c>
      <c r="L2364">
        <v>18880.52</v>
      </c>
    </row>
    <row r="2365" spans="1:12" x14ac:dyDescent="0.35">
      <c r="A2365" s="1">
        <v>42418</v>
      </c>
      <c r="B2365">
        <v>2895.15</v>
      </c>
      <c r="C2365" s="1">
        <v>42410</v>
      </c>
      <c r="D2365">
        <v>4061.2</v>
      </c>
      <c r="E2365" s="1">
        <v>42381</v>
      </c>
      <c r="F2365">
        <v>9985.43</v>
      </c>
      <c r="G2365" s="1">
        <v>42361</v>
      </c>
      <c r="H2365">
        <v>8533.3156999999992</v>
      </c>
      <c r="I2365" s="1">
        <v>42408</v>
      </c>
      <c r="J2365">
        <v>8122.1</v>
      </c>
      <c r="K2365" s="1">
        <v>42387</v>
      </c>
      <c r="L2365">
        <v>18686.86</v>
      </c>
    </row>
    <row r="2366" spans="1:12" x14ac:dyDescent="0.35">
      <c r="A2366" s="1">
        <v>42417</v>
      </c>
      <c r="B2366">
        <v>2897.72</v>
      </c>
      <c r="C2366" s="1">
        <v>42409</v>
      </c>
      <c r="D2366">
        <v>3997.54</v>
      </c>
      <c r="E2366" s="1">
        <v>42380</v>
      </c>
      <c r="F2366">
        <v>9825.07</v>
      </c>
      <c r="G2366" s="1">
        <v>42360</v>
      </c>
      <c r="H2366">
        <v>8217.2584100000004</v>
      </c>
      <c r="I2366" s="1">
        <v>42405</v>
      </c>
      <c r="J2366">
        <v>8499.5</v>
      </c>
      <c r="K2366" s="1">
        <v>42384</v>
      </c>
      <c r="L2366">
        <v>19195.939999999999</v>
      </c>
    </row>
    <row r="2367" spans="1:12" x14ac:dyDescent="0.35">
      <c r="A2367" s="1">
        <v>42416</v>
      </c>
      <c r="B2367">
        <v>2821.26</v>
      </c>
      <c r="C2367" s="1">
        <v>42408</v>
      </c>
      <c r="D2367">
        <v>4066.31</v>
      </c>
      <c r="E2367" s="1">
        <v>42377</v>
      </c>
      <c r="F2367">
        <v>9849.34</v>
      </c>
      <c r="G2367" s="1">
        <v>42359</v>
      </c>
      <c r="H2367">
        <v>8231.53946</v>
      </c>
      <c r="I2367" s="1">
        <v>42404</v>
      </c>
      <c r="J2367">
        <v>8468.1</v>
      </c>
      <c r="K2367" s="1">
        <v>42383</v>
      </c>
      <c r="L2367">
        <v>19803.41</v>
      </c>
    </row>
    <row r="2368" spans="1:12" x14ac:dyDescent="0.35">
      <c r="A2368" s="1">
        <v>42415</v>
      </c>
      <c r="B2368">
        <v>2833.87</v>
      </c>
      <c r="C2368" s="1">
        <v>42405</v>
      </c>
      <c r="D2368">
        <v>4200.67</v>
      </c>
      <c r="E2368" s="1">
        <v>42376</v>
      </c>
      <c r="F2368">
        <v>9979.85</v>
      </c>
      <c r="G2368" s="1">
        <v>42356</v>
      </c>
      <c r="H2368">
        <v>8319.9133299999994</v>
      </c>
      <c r="I2368" s="1">
        <v>42403</v>
      </c>
      <c r="J2368">
        <v>8314.5</v>
      </c>
      <c r="K2368" s="1">
        <v>42382</v>
      </c>
      <c r="L2368">
        <v>20139.87</v>
      </c>
    </row>
    <row r="2369" spans="1:12" x14ac:dyDescent="0.35">
      <c r="A2369" s="1">
        <v>42412</v>
      </c>
      <c r="B2369">
        <v>2756.16</v>
      </c>
      <c r="C2369" s="1">
        <v>42404</v>
      </c>
      <c r="D2369">
        <v>4228.53</v>
      </c>
      <c r="E2369" s="1">
        <v>42375</v>
      </c>
      <c r="F2369">
        <v>10214.02</v>
      </c>
      <c r="G2369" s="1">
        <v>42355</v>
      </c>
      <c r="H2369">
        <v>8400.5109699999994</v>
      </c>
      <c r="I2369" s="1">
        <v>42402</v>
      </c>
      <c r="J2369">
        <v>8528.7000000000007</v>
      </c>
      <c r="K2369" s="1">
        <v>42381</v>
      </c>
      <c r="L2369">
        <v>19970.099999999999</v>
      </c>
    </row>
    <row r="2370" spans="1:12" x14ac:dyDescent="0.35">
      <c r="A2370" s="1">
        <v>42411</v>
      </c>
      <c r="B2370">
        <v>2680.35</v>
      </c>
      <c r="C2370" s="1">
        <v>42403</v>
      </c>
      <c r="D2370">
        <v>4226.96</v>
      </c>
      <c r="E2370" s="1">
        <v>42374</v>
      </c>
      <c r="F2370">
        <v>10310.1</v>
      </c>
      <c r="G2370" s="1">
        <v>42354</v>
      </c>
      <c r="H2370">
        <v>8327.3405700000003</v>
      </c>
      <c r="I2370" s="1">
        <v>42401</v>
      </c>
      <c r="J2370">
        <v>8788.5</v>
      </c>
      <c r="K2370" s="1">
        <v>42380</v>
      </c>
      <c r="L2370">
        <v>19756.14</v>
      </c>
    </row>
    <row r="2371" spans="1:12" x14ac:dyDescent="0.35">
      <c r="A2371" s="1">
        <v>42410</v>
      </c>
      <c r="B2371">
        <v>2789.05</v>
      </c>
      <c r="C2371" s="1">
        <v>42402</v>
      </c>
      <c r="D2371">
        <v>4283.99</v>
      </c>
      <c r="E2371" s="1">
        <v>42373</v>
      </c>
      <c r="F2371">
        <v>10283.44</v>
      </c>
      <c r="G2371" s="1">
        <v>42353</v>
      </c>
      <c r="H2371">
        <v>8294.0174100000004</v>
      </c>
      <c r="I2371" s="1">
        <v>42398</v>
      </c>
      <c r="J2371">
        <v>8815.7999999999993</v>
      </c>
      <c r="K2371" s="1">
        <v>42377</v>
      </c>
      <c r="L2371">
        <v>19869.490000000002</v>
      </c>
    </row>
    <row r="2372" spans="1:12" x14ac:dyDescent="0.35">
      <c r="A2372" s="1">
        <v>42409</v>
      </c>
      <c r="B2372">
        <v>2736.5</v>
      </c>
      <c r="C2372" s="1">
        <v>42401</v>
      </c>
      <c r="D2372">
        <v>4392.33</v>
      </c>
      <c r="E2372" s="1">
        <v>42368</v>
      </c>
      <c r="F2372">
        <v>10743.01</v>
      </c>
      <c r="G2372" s="1">
        <v>42352</v>
      </c>
      <c r="H2372">
        <v>8075.43264</v>
      </c>
      <c r="I2372" s="1">
        <v>42397</v>
      </c>
      <c r="J2372">
        <v>8590.6</v>
      </c>
      <c r="K2372" s="1">
        <v>42376</v>
      </c>
      <c r="L2372">
        <v>20189.48</v>
      </c>
    </row>
    <row r="2373" spans="1:12" x14ac:dyDescent="0.35">
      <c r="A2373" s="1">
        <v>42408</v>
      </c>
      <c r="B2373">
        <v>2785.17</v>
      </c>
      <c r="C2373" s="1">
        <v>42398</v>
      </c>
      <c r="D2373">
        <v>4417.0200000000004</v>
      </c>
      <c r="E2373" s="1">
        <v>42367</v>
      </c>
      <c r="F2373">
        <v>10860.14</v>
      </c>
      <c r="G2373" s="1">
        <v>42349</v>
      </c>
      <c r="H2373">
        <v>8238.8121200000005</v>
      </c>
      <c r="I2373" s="1">
        <v>42396</v>
      </c>
      <c r="J2373">
        <v>8741</v>
      </c>
      <c r="K2373" s="1">
        <v>42375</v>
      </c>
      <c r="L2373">
        <v>20422.39</v>
      </c>
    </row>
    <row r="2374" spans="1:12" x14ac:dyDescent="0.35">
      <c r="A2374" s="1">
        <v>42405</v>
      </c>
      <c r="B2374">
        <v>2879.39</v>
      </c>
      <c r="C2374" s="1">
        <v>42397</v>
      </c>
      <c r="D2374">
        <v>4322.16</v>
      </c>
      <c r="E2374" s="1">
        <v>42366</v>
      </c>
      <c r="F2374">
        <v>10653.91</v>
      </c>
      <c r="G2374" s="1">
        <v>42348</v>
      </c>
      <c r="H2374">
        <v>8436.0674600000002</v>
      </c>
      <c r="I2374" s="1">
        <v>42395</v>
      </c>
      <c r="J2374">
        <v>8692.5</v>
      </c>
      <c r="K2374" s="1">
        <v>42374</v>
      </c>
      <c r="L2374">
        <v>20983.24</v>
      </c>
    </row>
    <row r="2375" spans="1:12" x14ac:dyDescent="0.35">
      <c r="A2375" s="1">
        <v>42404</v>
      </c>
      <c r="B2375">
        <v>2905.3</v>
      </c>
      <c r="C2375" s="1">
        <v>42396</v>
      </c>
      <c r="D2375">
        <v>4380.3599999999997</v>
      </c>
      <c r="E2375" s="1">
        <v>42361</v>
      </c>
      <c r="F2375">
        <v>10727.64</v>
      </c>
      <c r="G2375" s="1">
        <v>42347</v>
      </c>
      <c r="H2375">
        <v>8445.8313400000006</v>
      </c>
      <c r="I2375" s="1">
        <v>42394</v>
      </c>
      <c r="J2375">
        <v>8567.7000000000007</v>
      </c>
      <c r="K2375" s="1">
        <v>42373</v>
      </c>
      <c r="L2375">
        <v>20733.810000000001</v>
      </c>
    </row>
    <row r="2376" spans="1:12" x14ac:dyDescent="0.35">
      <c r="A2376" s="1">
        <v>42403</v>
      </c>
      <c r="B2376">
        <v>2896.63</v>
      </c>
      <c r="C2376" s="1">
        <v>42395</v>
      </c>
      <c r="D2376">
        <v>4356.8100000000004</v>
      </c>
      <c r="E2376" s="1">
        <v>42360</v>
      </c>
      <c r="F2376">
        <v>10488.75</v>
      </c>
      <c r="G2376" s="1">
        <v>42346</v>
      </c>
      <c r="H2376">
        <v>8456.5632299999997</v>
      </c>
      <c r="I2376" s="1">
        <v>42391</v>
      </c>
      <c r="J2376">
        <v>8722.9</v>
      </c>
      <c r="K2376" s="1">
        <v>42368</v>
      </c>
      <c r="L2376">
        <v>21418.37</v>
      </c>
    </row>
    <row r="2377" spans="1:12" x14ac:dyDescent="0.35">
      <c r="A2377" s="1">
        <v>42402</v>
      </c>
      <c r="B2377">
        <v>2951.85</v>
      </c>
      <c r="C2377" s="1">
        <v>42394</v>
      </c>
      <c r="D2377">
        <v>4311.33</v>
      </c>
      <c r="E2377" s="1">
        <v>42359</v>
      </c>
      <c r="F2377">
        <v>10497.77</v>
      </c>
      <c r="G2377" s="1">
        <v>42345</v>
      </c>
      <c r="H2377">
        <v>8638.1379300000008</v>
      </c>
      <c r="I2377" s="1">
        <v>42390</v>
      </c>
      <c r="J2377">
        <v>8444.2000000000007</v>
      </c>
      <c r="K2377" s="1">
        <v>42367</v>
      </c>
      <c r="L2377">
        <v>21661.33</v>
      </c>
    </row>
    <row r="2378" spans="1:12" x14ac:dyDescent="0.35">
      <c r="A2378" s="1">
        <v>42401</v>
      </c>
      <c r="B2378">
        <v>3021.01</v>
      </c>
      <c r="C2378" s="1">
        <v>42391</v>
      </c>
      <c r="D2378">
        <v>4336.6899999999996</v>
      </c>
      <c r="E2378" s="1">
        <v>42356</v>
      </c>
      <c r="F2378">
        <v>10608.19</v>
      </c>
      <c r="G2378" s="1">
        <v>42342</v>
      </c>
      <c r="H2378">
        <v>8666.6831399999992</v>
      </c>
      <c r="I2378" s="1">
        <v>42389</v>
      </c>
      <c r="J2378">
        <v>8281.4</v>
      </c>
      <c r="K2378" s="1">
        <v>42366</v>
      </c>
      <c r="L2378">
        <v>21369.15</v>
      </c>
    </row>
    <row r="2379" spans="1:12" x14ac:dyDescent="0.35">
      <c r="A2379" s="1">
        <v>42398</v>
      </c>
      <c r="B2379">
        <v>3045.09</v>
      </c>
      <c r="C2379" s="1">
        <v>42390</v>
      </c>
      <c r="D2379">
        <v>4206.3999999999996</v>
      </c>
      <c r="E2379" s="1">
        <v>42355</v>
      </c>
      <c r="F2379">
        <v>10738.12</v>
      </c>
      <c r="G2379" s="1">
        <v>42341</v>
      </c>
      <c r="H2379">
        <v>8691.8707599999998</v>
      </c>
      <c r="I2379" s="1">
        <v>42388</v>
      </c>
      <c r="J2379">
        <v>8554.9</v>
      </c>
      <c r="K2379" s="1">
        <v>42361</v>
      </c>
      <c r="L2379">
        <v>21456.36</v>
      </c>
    </row>
    <row r="2380" spans="1:12" x14ac:dyDescent="0.35">
      <c r="A2380" s="1">
        <v>42397</v>
      </c>
      <c r="B2380">
        <v>2979.42</v>
      </c>
      <c r="C2380" s="1">
        <v>42389</v>
      </c>
      <c r="D2380">
        <v>4124.95</v>
      </c>
      <c r="E2380" s="1">
        <v>42354</v>
      </c>
      <c r="F2380">
        <v>10469.26</v>
      </c>
      <c r="G2380" s="1">
        <v>42340</v>
      </c>
      <c r="H2380">
        <v>9057.8485400000009</v>
      </c>
      <c r="I2380" s="1">
        <v>42387</v>
      </c>
      <c r="J2380">
        <v>8469.2999999999993</v>
      </c>
      <c r="K2380" s="1">
        <v>42360</v>
      </c>
      <c r="L2380">
        <v>21060.13</v>
      </c>
    </row>
    <row r="2381" spans="1:12" x14ac:dyDescent="0.35">
      <c r="A2381" s="1">
        <v>42396</v>
      </c>
      <c r="B2381">
        <v>3043.47</v>
      </c>
      <c r="C2381" s="1">
        <v>42388</v>
      </c>
      <c r="D2381">
        <v>4272.26</v>
      </c>
      <c r="E2381" s="1">
        <v>42353</v>
      </c>
      <c r="F2381">
        <v>10450.379999999999</v>
      </c>
      <c r="G2381" s="1">
        <v>42339</v>
      </c>
      <c r="H2381">
        <v>9081.3892300000007</v>
      </c>
      <c r="I2381" s="1">
        <v>42384</v>
      </c>
      <c r="J2381">
        <v>8543.6</v>
      </c>
      <c r="K2381" s="1">
        <v>42359</v>
      </c>
      <c r="L2381">
        <v>21099.32</v>
      </c>
    </row>
    <row r="2382" spans="1:12" x14ac:dyDescent="0.35">
      <c r="A2382" s="1">
        <v>42395</v>
      </c>
      <c r="B2382">
        <v>3032.84</v>
      </c>
      <c r="C2382" s="1">
        <v>42387</v>
      </c>
      <c r="D2382">
        <v>4189.57</v>
      </c>
      <c r="E2382" s="1">
        <v>42352</v>
      </c>
      <c r="F2382">
        <v>10139.34</v>
      </c>
      <c r="G2382" s="1">
        <v>42338</v>
      </c>
      <c r="H2382">
        <v>9049.6035200000006</v>
      </c>
      <c r="I2382" s="1">
        <v>42383</v>
      </c>
      <c r="J2382">
        <v>8787.7000000000007</v>
      </c>
      <c r="K2382" s="1">
        <v>42356</v>
      </c>
      <c r="L2382">
        <v>21241.93</v>
      </c>
    </row>
    <row r="2383" spans="1:12" x14ac:dyDescent="0.35">
      <c r="A2383" s="1">
        <v>42394</v>
      </c>
      <c r="B2383">
        <v>3001.78</v>
      </c>
      <c r="C2383" s="1">
        <v>42384</v>
      </c>
      <c r="D2383">
        <v>4210.16</v>
      </c>
      <c r="E2383" s="1">
        <v>42349</v>
      </c>
      <c r="F2383">
        <v>10340.06</v>
      </c>
      <c r="G2383" s="1">
        <v>42335</v>
      </c>
      <c r="H2383">
        <v>9049.7058500000003</v>
      </c>
      <c r="I2383" s="1">
        <v>42382</v>
      </c>
      <c r="J2383">
        <v>8934.5</v>
      </c>
      <c r="K2383" s="1">
        <v>42355</v>
      </c>
      <c r="L2383">
        <v>21523.1</v>
      </c>
    </row>
    <row r="2384" spans="1:12" x14ac:dyDescent="0.35">
      <c r="A2384" s="1">
        <v>42391</v>
      </c>
      <c r="B2384">
        <v>3023.21</v>
      </c>
      <c r="C2384" s="1">
        <v>42383</v>
      </c>
      <c r="D2384">
        <v>4312.8900000000003</v>
      </c>
      <c r="E2384" s="1">
        <v>42348</v>
      </c>
      <c r="F2384">
        <v>10598.93</v>
      </c>
      <c r="G2384" s="1">
        <v>42334</v>
      </c>
      <c r="H2384">
        <v>9100.6030900000005</v>
      </c>
      <c r="I2384" s="1">
        <v>42381</v>
      </c>
      <c r="J2384">
        <v>8915.4</v>
      </c>
      <c r="K2384" s="1">
        <v>42354</v>
      </c>
      <c r="L2384">
        <v>21210.23</v>
      </c>
    </row>
    <row r="2385" spans="1:12" x14ac:dyDescent="0.35">
      <c r="A2385" s="1">
        <v>42390</v>
      </c>
      <c r="B2385">
        <v>2943.92</v>
      </c>
      <c r="C2385" s="1">
        <v>42382</v>
      </c>
      <c r="D2385">
        <v>4391.9399999999996</v>
      </c>
      <c r="E2385" s="1">
        <v>42347</v>
      </c>
      <c r="F2385">
        <v>10592.49</v>
      </c>
      <c r="G2385" s="1">
        <v>42333</v>
      </c>
      <c r="H2385">
        <v>9016.3563300000005</v>
      </c>
      <c r="I2385" s="1">
        <v>42380</v>
      </c>
      <c r="J2385">
        <v>8886.1</v>
      </c>
      <c r="K2385" s="1">
        <v>42353</v>
      </c>
      <c r="L2385">
        <v>21272.68</v>
      </c>
    </row>
    <row r="2386" spans="1:12" x14ac:dyDescent="0.35">
      <c r="A2386" s="1">
        <v>42389</v>
      </c>
      <c r="B2386">
        <v>2882.59</v>
      </c>
      <c r="C2386" s="1">
        <v>42381</v>
      </c>
      <c r="D2386">
        <v>4378.75</v>
      </c>
      <c r="E2386" s="1">
        <v>42346</v>
      </c>
      <c r="F2386">
        <v>10673.6</v>
      </c>
      <c r="G2386" s="1">
        <v>42332</v>
      </c>
      <c r="H2386">
        <v>8885.5201799999995</v>
      </c>
      <c r="I2386" s="1">
        <v>42377</v>
      </c>
      <c r="J2386">
        <v>8909.2000000000007</v>
      </c>
      <c r="K2386" s="1">
        <v>42352</v>
      </c>
      <c r="L2386">
        <v>20506.560000000001</v>
      </c>
    </row>
    <row r="2387" spans="1:12" x14ac:dyDescent="0.35">
      <c r="A2387" s="1">
        <v>42388</v>
      </c>
      <c r="B2387">
        <v>2980.49</v>
      </c>
      <c r="C2387" s="1">
        <v>42380</v>
      </c>
      <c r="D2387">
        <v>4312.74</v>
      </c>
      <c r="E2387" s="1">
        <v>42345</v>
      </c>
      <c r="F2387">
        <v>10886.09</v>
      </c>
      <c r="G2387" s="1">
        <v>42331</v>
      </c>
      <c r="H2387">
        <v>8982.0576899999996</v>
      </c>
      <c r="I2387" s="1">
        <v>42376</v>
      </c>
      <c r="J2387">
        <v>9059.2999999999993</v>
      </c>
      <c r="K2387" s="1">
        <v>42349</v>
      </c>
      <c r="L2387">
        <v>21015.29</v>
      </c>
    </row>
    <row r="2388" spans="1:12" x14ac:dyDescent="0.35">
      <c r="A2388" s="1">
        <v>42387</v>
      </c>
      <c r="B2388">
        <v>2935.39</v>
      </c>
      <c r="C2388" s="1">
        <v>42377</v>
      </c>
      <c r="D2388">
        <v>4333.76</v>
      </c>
      <c r="E2388" s="1">
        <v>42342</v>
      </c>
      <c r="F2388">
        <v>10752.1</v>
      </c>
      <c r="G2388" s="1">
        <v>42328</v>
      </c>
      <c r="H2388">
        <v>9037.4054699999997</v>
      </c>
      <c r="I2388" s="1">
        <v>42375</v>
      </c>
      <c r="J2388">
        <v>9197.4</v>
      </c>
      <c r="K2388" s="1">
        <v>42348</v>
      </c>
      <c r="L2388">
        <v>21409.63</v>
      </c>
    </row>
    <row r="2389" spans="1:12" x14ac:dyDescent="0.35">
      <c r="A2389" s="1">
        <v>42384</v>
      </c>
      <c r="B2389">
        <v>2952.48</v>
      </c>
      <c r="C2389" s="1">
        <v>42376</v>
      </c>
      <c r="D2389">
        <v>4403.58</v>
      </c>
      <c r="E2389" s="1">
        <v>42341</v>
      </c>
      <c r="F2389">
        <v>10789.24</v>
      </c>
      <c r="G2389" s="1">
        <v>42327</v>
      </c>
      <c r="H2389">
        <v>9027.4976000000006</v>
      </c>
      <c r="I2389" s="1">
        <v>42374</v>
      </c>
      <c r="J2389">
        <v>9335.2000000000007</v>
      </c>
      <c r="K2389" s="1">
        <v>42347</v>
      </c>
      <c r="L2389">
        <v>21500.880000000001</v>
      </c>
    </row>
    <row r="2390" spans="1:12" x14ac:dyDescent="0.35">
      <c r="A2390" s="1">
        <v>42383</v>
      </c>
      <c r="B2390">
        <v>3024</v>
      </c>
      <c r="C2390" s="1">
        <v>42375</v>
      </c>
      <c r="D2390">
        <v>4480.47</v>
      </c>
      <c r="E2390" s="1">
        <v>42340</v>
      </c>
      <c r="F2390">
        <v>11190.02</v>
      </c>
      <c r="G2390" s="1">
        <v>42326</v>
      </c>
      <c r="H2390">
        <v>8978.2189500000004</v>
      </c>
      <c r="I2390" s="1">
        <v>42373</v>
      </c>
      <c r="J2390">
        <v>9313.2000000000007</v>
      </c>
      <c r="K2390" s="1">
        <v>42346</v>
      </c>
      <c r="L2390">
        <v>21538.04</v>
      </c>
    </row>
    <row r="2391" spans="1:12" x14ac:dyDescent="0.35">
      <c r="A2391" s="1">
        <v>42382</v>
      </c>
      <c r="B2391">
        <v>3073.02</v>
      </c>
      <c r="C2391" s="1">
        <v>42374</v>
      </c>
      <c r="D2391">
        <v>4537.63</v>
      </c>
      <c r="E2391" s="1">
        <v>42339</v>
      </c>
      <c r="F2391">
        <v>11261.24</v>
      </c>
      <c r="G2391" s="1">
        <v>42325</v>
      </c>
      <c r="H2391">
        <v>8958.9041199999992</v>
      </c>
      <c r="I2391" s="1">
        <v>42369</v>
      </c>
      <c r="J2391">
        <v>9544.2000000000007</v>
      </c>
      <c r="K2391" s="1">
        <v>42345</v>
      </c>
      <c r="L2391">
        <v>22037.17</v>
      </c>
    </row>
    <row r="2392" spans="1:12" x14ac:dyDescent="0.35">
      <c r="A2392" s="1">
        <v>42381</v>
      </c>
      <c r="B2392">
        <v>3064.66</v>
      </c>
      <c r="C2392" s="1">
        <v>42373</v>
      </c>
      <c r="D2392">
        <v>4522.45</v>
      </c>
      <c r="E2392" s="1">
        <v>42338</v>
      </c>
      <c r="F2392">
        <v>11382.23</v>
      </c>
      <c r="G2392" s="1">
        <v>42324</v>
      </c>
      <c r="H2392">
        <v>8743.6767299999992</v>
      </c>
      <c r="I2392" s="1">
        <v>42368</v>
      </c>
      <c r="J2392">
        <v>9641.9</v>
      </c>
      <c r="K2392" s="1">
        <v>42342</v>
      </c>
      <c r="L2392">
        <v>22021.360000000001</v>
      </c>
    </row>
    <row r="2393" spans="1:12" x14ac:dyDescent="0.35">
      <c r="A2393" s="1">
        <v>42380</v>
      </c>
      <c r="B2393">
        <v>3027.49</v>
      </c>
      <c r="C2393" s="1">
        <v>42369</v>
      </c>
      <c r="D2393">
        <v>4637.0600000000004</v>
      </c>
      <c r="E2393" s="1">
        <v>42335</v>
      </c>
      <c r="F2393">
        <v>11293.76</v>
      </c>
      <c r="G2393" s="1">
        <v>42321</v>
      </c>
      <c r="H2393">
        <v>8673.7428400000008</v>
      </c>
      <c r="I2393" s="1">
        <v>42367</v>
      </c>
      <c r="J2393">
        <v>9670.4</v>
      </c>
      <c r="K2393" s="1">
        <v>42341</v>
      </c>
      <c r="L2393">
        <v>21995.71</v>
      </c>
    </row>
    <row r="2394" spans="1:12" x14ac:dyDescent="0.35">
      <c r="A2394" s="1">
        <v>42377</v>
      </c>
      <c r="B2394">
        <v>3033.47</v>
      </c>
      <c r="C2394" s="1">
        <v>42368</v>
      </c>
      <c r="D2394">
        <v>4677.1400000000003</v>
      </c>
      <c r="E2394" s="1">
        <v>42334</v>
      </c>
      <c r="F2394">
        <v>11320.77</v>
      </c>
      <c r="G2394" s="1">
        <v>42320</v>
      </c>
      <c r="H2394">
        <v>8718.5938200000001</v>
      </c>
      <c r="I2394" s="1">
        <v>42366</v>
      </c>
      <c r="J2394">
        <v>9552.5</v>
      </c>
      <c r="K2394" s="1">
        <v>42340</v>
      </c>
      <c r="L2394">
        <v>22551.91</v>
      </c>
    </row>
    <row r="2395" spans="1:12" x14ac:dyDescent="0.35">
      <c r="A2395" s="1">
        <v>42376</v>
      </c>
      <c r="B2395">
        <v>3084.68</v>
      </c>
      <c r="C2395" s="1">
        <v>42367</v>
      </c>
      <c r="D2395">
        <v>4701.3599999999997</v>
      </c>
      <c r="E2395" s="1">
        <v>42333</v>
      </c>
      <c r="F2395">
        <v>11169.54</v>
      </c>
      <c r="G2395" s="1">
        <v>42319</v>
      </c>
      <c r="H2395">
        <v>8919.6149100000002</v>
      </c>
      <c r="I2395" s="1">
        <v>42362</v>
      </c>
      <c r="J2395">
        <v>9682.9</v>
      </c>
      <c r="K2395" s="1">
        <v>42339</v>
      </c>
      <c r="L2395">
        <v>22581.33</v>
      </c>
    </row>
    <row r="2396" spans="1:12" x14ac:dyDescent="0.35">
      <c r="A2396" s="1">
        <v>42375</v>
      </c>
      <c r="B2396">
        <v>3139.32</v>
      </c>
      <c r="C2396" s="1">
        <v>42366</v>
      </c>
      <c r="D2396">
        <v>4617.95</v>
      </c>
      <c r="E2396" s="1">
        <v>42332</v>
      </c>
      <c r="F2396">
        <v>10933.99</v>
      </c>
      <c r="G2396" s="1">
        <v>42318</v>
      </c>
      <c r="H2396">
        <v>8856.9084999999995</v>
      </c>
      <c r="I2396" s="1">
        <v>42361</v>
      </c>
      <c r="J2396">
        <v>9641</v>
      </c>
      <c r="K2396" s="1">
        <v>42338</v>
      </c>
      <c r="L2396">
        <v>22717.98</v>
      </c>
    </row>
    <row r="2397" spans="1:12" x14ac:dyDescent="0.35">
      <c r="A2397" s="1">
        <v>42374</v>
      </c>
      <c r="B2397">
        <v>3178.01</v>
      </c>
      <c r="C2397" s="1">
        <v>42362</v>
      </c>
      <c r="D2397">
        <v>4663.18</v>
      </c>
      <c r="E2397" s="1">
        <v>42331</v>
      </c>
      <c r="F2397">
        <v>11092.31</v>
      </c>
      <c r="G2397" s="1">
        <v>42317</v>
      </c>
      <c r="H2397">
        <v>8844.3574499999995</v>
      </c>
      <c r="I2397" s="1">
        <v>42360</v>
      </c>
      <c r="J2397">
        <v>9415.6</v>
      </c>
      <c r="K2397" s="1">
        <v>42335</v>
      </c>
      <c r="L2397">
        <v>22575.18</v>
      </c>
    </row>
    <row r="2398" spans="1:12" x14ac:dyDescent="0.35">
      <c r="A2398" s="1">
        <v>42373</v>
      </c>
      <c r="B2398">
        <v>3164.76</v>
      </c>
      <c r="C2398" s="1">
        <v>42361</v>
      </c>
      <c r="D2398">
        <v>4674.53</v>
      </c>
      <c r="E2398" s="1">
        <v>42328</v>
      </c>
      <c r="F2398">
        <v>11119.83</v>
      </c>
      <c r="G2398" s="1">
        <v>42314</v>
      </c>
      <c r="H2398">
        <v>8899.0309699999998</v>
      </c>
      <c r="I2398" s="1">
        <v>42359</v>
      </c>
      <c r="J2398">
        <v>9365.7999999999993</v>
      </c>
      <c r="K2398" s="1">
        <v>42334</v>
      </c>
      <c r="L2398">
        <v>22591.53</v>
      </c>
    </row>
    <row r="2399" spans="1:12" x14ac:dyDescent="0.35">
      <c r="A2399" s="1">
        <v>42369</v>
      </c>
      <c r="B2399">
        <v>3267.52</v>
      </c>
      <c r="C2399" s="1">
        <v>42360</v>
      </c>
      <c r="D2399">
        <v>4567.6000000000004</v>
      </c>
      <c r="E2399" s="1">
        <v>42327</v>
      </c>
      <c r="F2399">
        <v>11085.44</v>
      </c>
      <c r="G2399" s="1">
        <v>42313</v>
      </c>
      <c r="H2399">
        <v>8910.86</v>
      </c>
      <c r="I2399" s="1">
        <v>42356</v>
      </c>
      <c r="J2399">
        <v>9717.1</v>
      </c>
      <c r="K2399" s="1">
        <v>42333</v>
      </c>
      <c r="L2399">
        <v>22359.23</v>
      </c>
    </row>
    <row r="2400" spans="1:12" x14ac:dyDescent="0.35">
      <c r="A2400" s="1">
        <v>42368</v>
      </c>
      <c r="B2400">
        <v>3287.98</v>
      </c>
      <c r="C2400" s="1">
        <v>42359</v>
      </c>
      <c r="D2400">
        <v>4565.17</v>
      </c>
      <c r="E2400" s="1">
        <v>42326</v>
      </c>
      <c r="F2400">
        <v>10959.95</v>
      </c>
      <c r="G2400" s="1">
        <v>42312</v>
      </c>
      <c r="H2400">
        <v>9078.8091999999997</v>
      </c>
      <c r="I2400" s="1">
        <v>42355</v>
      </c>
      <c r="J2400">
        <v>9878.5</v>
      </c>
      <c r="K2400" s="1">
        <v>42332</v>
      </c>
      <c r="L2400">
        <v>21948.14</v>
      </c>
    </row>
    <row r="2401" spans="1:12" x14ac:dyDescent="0.35">
      <c r="A2401" s="1">
        <v>42367</v>
      </c>
      <c r="B2401">
        <v>3314.28</v>
      </c>
      <c r="C2401" s="1">
        <v>42356</v>
      </c>
      <c r="D2401">
        <v>4625.26</v>
      </c>
      <c r="E2401" s="1">
        <v>42325</v>
      </c>
      <c r="F2401">
        <v>10971.04</v>
      </c>
      <c r="G2401" s="1">
        <v>42311</v>
      </c>
      <c r="H2401">
        <v>8980.3919499999993</v>
      </c>
      <c r="I2401" s="1">
        <v>42354</v>
      </c>
      <c r="J2401">
        <v>9711</v>
      </c>
      <c r="K2401" s="1">
        <v>42331</v>
      </c>
      <c r="L2401">
        <v>22294.69</v>
      </c>
    </row>
    <row r="2402" spans="1:12" x14ac:dyDescent="0.35">
      <c r="A2402" s="1">
        <v>42366</v>
      </c>
      <c r="B2402">
        <v>3256.49</v>
      </c>
      <c r="C2402" s="1">
        <v>42355</v>
      </c>
      <c r="D2402">
        <v>4677.54</v>
      </c>
      <c r="E2402" s="1">
        <v>42324</v>
      </c>
      <c r="F2402">
        <v>10713.23</v>
      </c>
      <c r="G2402" s="1">
        <v>42310</v>
      </c>
      <c r="H2402">
        <v>8902.2484000000004</v>
      </c>
      <c r="I2402" s="1">
        <v>42353</v>
      </c>
      <c r="J2402">
        <v>9711.6</v>
      </c>
      <c r="K2402" s="1">
        <v>42328</v>
      </c>
      <c r="L2402">
        <v>22140.14</v>
      </c>
    </row>
    <row r="2403" spans="1:12" x14ac:dyDescent="0.35">
      <c r="A2403" s="1">
        <v>42362</v>
      </c>
      <c r="B2403">
        <v>3284.47</v>
      </c>
      <c r="C2403" s="1">
        <v>42354</v>
      </c>
      <c r="D2403">
        <v>4624.67</v>
      </c>
      <c r="E2403" s="1">
        <v>42321</v>
      </c>
      <c r="F2403">
        <v>10708.4</v>
      </c>
      <c r="G2403" s="1">
        <v>42307</v>
      </c>
      <c r="H2403">
        <v>8917.5345899999993</v>
      </c>
      <c r="I2403" s="1">
        <v>42352</v>
      </c>
      <c r="J2403">
        <v>9428.5</v>
      </c>
      <c r="K2403" s="1">
        <v>42327</v>
      </c>
      <c r="L2403">
        <v>22191.99</v>
      </c>
    </row>
    <row r="2404" spans="1:12" x14ac:dyDescent="0.35">
      <c r="A2404" s="1">
        <v>42361</v>
      </c>
      <c r="B2404">
        <v>3286.68</v>
      </c>
      <c r="C2404" s="1">
        <v>42353</v>
      </c>
      <c r="D2404">
        <v>4614.3999999999996</v>
      </c>
      <c r="E2404" s="1">
        <v>42320</v>
      </c>
      <c r="F2404">
        <v>10782.63</v>
      </c>
      <c r="G2404" s="1">
        <v>42306</v>
      </c>
      <c r="H2404">
        <v>8923.9109700000008</v>
      </c>
      <c r="I2404" s="1">
        <v>42349</v>
      </c>
      <c r="J2404">
        <v>9630.7000000000007</v>
      </c>
      <c r="K2404" s="1">
        <v>42326</v>
      </c>
      <c r="L2404">
        <v>22091.56</v>
      </c>
    </row>
    <row r="2405" spans="1:12" x14ac:dyDescent="0.35">
      <c r="A2405" s="1">
        <v>42360</v>
      </c>
      <c r="B2405">
        <v>3214.32</v>
      </c>
      <c r="C2405" s="1">
        <v>42352</v>
      </c>
      <c r="D2405">
        <v>4473.07</v>
      </c>
      <c r="E2405" s="1">
        <v>42319</v>
      </c>
      <c r="F2405">
        <v>10907.87</v>
      </c>
      <c r="G2405" s="1">
        <v>42305</v>
      </c>
      <c r="H2405">
        <v>8914.5930000000008</v>
      </c>
      <c r="I2405" s="1">
        <v>42348</v>
      </c>
      <c r="J2405">
        <v>9778.7000000000007</v>
      </c>
      <c r="K2405" s="1">
        <v>42325</v>
      </c>
      <c r="L2405">
        <v>22309.39</v>
      </c>
    </row>
    <row r="2406" spans="1:12" x14ac:dyDescent="0.35">
      <c r="A2406" s="1">
        <v>42359</v>
      </c>
      <c r="B2406">
        <v>3213.01</v>
      </c>
      <c r="C2406" s="1">
        <v>42349</v>
      </c>
      <c r="D2406">
        <v>4549.5600000000004</v>
      </c>
      <c r="E2406" s="1">
        <v>42318</v>
      </c>
      <c r="F2406">
        <v>10832.52</v>
      </c>
      <c r="G2406" s="1">
        <v>42304</v>
      </c>
      <c r="H2406">
        <v>8825.3390199999994</v>
      </c>
      <c r="I2406" s="1">
        <v>42347</v>
      </c>
      <c r="J2406">
        <v>9835.5</v>
      </c>
      <c r="K2406" s="1">
        <v>42324</v>
      </c>
      <c r="L2406">
        <v>21811.360000000001</v>
      </c>
    </row>
    <row r="2407" spans="1:12" x14ac:dyDescent="0.35">
      <c r="A2407" s="1">
        <v>42356</v>
      </c>
      <c r="B2407">
        <v>3260.72</v>
      </c>
      <c r="C2407" s="1">
        <v>42348</v>
      </c>
      <c r="D2407">
        <v>4635.0600000000004</v>
      </c>
      <c r="E2407" s="1">
        <v>42317</v>
      </c>
      <c r="F2407">
        <v>10815.45</v>
      </c>
      <c r="G2407" s="1">
        <v>42303</v>
      </c>
      <c r="H2407">
        <v>8919.6229700000004</v>
      </c>
      <c r="I2407" s="1">
        <v>42346</v>
      </c>
      <c r="J2407">
        <v>9837.1</v>
      </c>
      <c r="K2407" s="1">
        <v>42321</v>
      </c>
      <c r="L2407">
        <v>21842.560000000001</v>
      </c>
    </row>
    <row r="2408" spans="1:12" x14ac:dyDescent="0.35">
      <c r="A2408" s="1">
        <v>42355</v>
      </c>
      <c r="B2408">
        <v>3306.47</v>
      </c>
      <c r="C2408" s="1">
        <v>42347</v>
      </c>
      <c r="D2408">
        <v>4637.45</v>
      </c>
      <c r="E2408" s="1">
        <v>42314</v>
      </c>
      <c r="F2408">
        <v>10988.03</v>
      </c>
      <c r="G2408" s="1">
        <v>42300</v>
      </c>
      <c r="H2408">
        <v>8975.2650200000007</v>
      </c>
      <c r="I2408" s="1">
        <v>42345</v>
      </c>
      <c r="J2408">
        <v>10042.4</v>
      </c>
      <c r="K2408" s="1">
        <v>42320</v>
      </c>
      <c r="L2408">
        <v>21859.29</v>
      </c>
    </row>
    <row r="2409" spans="1:12" x14ac:dyDescent="0.35">
      <c r="A2409" s="1">
        <v>42354</v>
      </c>
      <c r="B2409">
        <v>3246.78</v>
      </c>
      <c r="C2409" s="1">
        <v>42346</v>
      </c>
      <c r="D2409">
        <v>4681.8599999999997</v>
      </c>
      <c r="E2409" s="1">
        <v>42313</v>
      </c>
      <c r="F2409">
        <v>10887.74</v>
      </c>
      <c r="G2409" s="1">
        <v>42299</v>
      </c>
      <c r="H2409">
        <v>8808.9650799999999</v>
      </c>
      <c r="I2409" s="1">
        <v>42342</v>
      </c>
      <c r="J2409">
        <v>10078.700000000001</v>
      </c>
      <c r="K2409" s="1">
        <v>42319</v>
      </c>
      <c r="L2409">
        <v>22385.11</v>
      </c>
    </row>
    <row r="2410" spans="1:12" x14ac:dyDescent="0.35">
      <c r="A2410" s="1">
        <v>42353</v>
      </c>
      <c r="B2410">
        <v>3241.51</v>
      </c>
      <c r="C2410" s="1">
        <v>42345</v>
      </c>
      <c r="D2410">
        <v>4756.41</v>
      </c>
      <c r="E2410" s="1">
        <v>42312</v>
      </c>
      <c r="F2410">
        <v>10845.24</v>
      </c>
      <c r="G2410" s="1">
        <v>42298</v>
      </c>
      <c r="H2410">
        <v>8639.6926899999999</v>
      </c>
      <c r="I2410" s="1">
        <v>42341</v>
      </c>
      <c r="J2410">
        <v>10092.9</v>
      </c>
      <c r="K2410" s="1">
        <v>42318</v>
      </c>
      <c r="L2410">
        <v>22444</v>
      </c>
    </row>
    <row r="2411" spans="1:12" x14ac:dyDescent="0.35">
      <c r="A2411" s="1">
        <v>42352</v>
      </c>
      <c r="B2411">
        <v>3139.24</v>
      </c>
      <c r="C2411" s="1">
        <v>42342</v>
      </c>
      <c r="D2411">
        <v>4714.79</v>
      </c>
      <c r="E2411" s="1">
        <v>42311</v>
      </c>
      <c r="F2411">
        <v>10951.15</v>
      </c>
      <c r="G2411" s="1">
        <v>42297</v>
      </c>
      <c r="H2411">
        <v>8640.7121800000004</v>
      </c>
      <c r="I2411" s="1">
        <v>42340</v>
      </c>
      <c r="J2411">
        <v>10342</v>
      </c>
      <c r="K2411" s="1">
        <v>42317</v>
      </c>
      <c r="L2411">
        <v>22107.3</v>
      </c>
    </row>
    <row r="2412" spans="1:12" x14ac:dyDescent="0.35">
      <c r="A2412" s="1">
        <v>42349</v>
      </c>
      <c r="B2412">
        <v>3203.21</v>
      </c>
      <c r="C2412" s="1">
        <v>42341</v>
      </c>
      <c r="D2412">
        <v>4730.21</v>
      </c>
      <c r="E2412" s="1">
        <v>42310</v>
      </c>
      <c r="F2412">
        <v>10950.67</v>
      </c>
      <c r="G2412" s="1">
        <v>42296</v>
      </c>
      <c r="H2412">
        <v>8681.2932400000009</v>
      </c>
      <c r="I2412" s="1">
        <v>42339</v>
      </c>
      <c r="J2412">
        <v>10379.200000000001</v>
      </c>
      <c r="K2412" s="1">
        <v>42314</v>
      </c>
      <c r="L2412">
        <v>22529.94</v>
      </c>
    </row>
    <row r="2413" spans="1:12" x14ac:dyDescent="0.35">
      <c r="A2413" s="1">
        <v>42348</v>
      </c>
      <c r="B2413">
        <v>3269.97</v>
      </c>
      <c r="C2413" s="1">
        <v>42340</v>
      </c>
      <c r="D2413">
        <v>4905.76</v>
      </c>
      <c r="E2413" s="1">
        <v>42307</v>
      </c>
      <c r="F2413">
        <v>10850.14</v>
      </c>
      <c r="G2413" s="1">
        <v>42293</v>
      </c>
      <c r="H2413">
        <v>8657.2324000000008</v>
      </c>
      <c r="I2413" s="1">
        <v>42338</v>
      </c>
      <c r="J2413">
        <v>10386.9</v>
      </c>
      <c r="K2413" s="1">
        <v>42313</v>
      </c>
      <c r="L2413">
        <v>22223.7</v>
      </c>
    </row>
    <row r="2414" spans="1:12" x14ac:dyDescent="0.35">
      <c r="A2414" s="1">
        <v>42347</v>
      </c>
      <c r="B2414">
        <v>3277.21</v>
      </c>
      <c r="C2414" s="1">
        <v>42339</v>
      </c>
      <c r="D2414">
        <v>4914.53</v>
      </c>
      <c r="E2414" s="1">
        <v>42306</v>
      </c>
      <c r="F2414">
        <v>10800.84</v>
      </c>
      <c r="G2414" s="1">
        <v>42292</v>
      </c>
      <c r="H2414">
        <v>8614.8312999999998</v>
      </c>
      <c r="I2414" s="1">
        <v>42335</v>
      </c>
      <c r="J2414">
        <v>10310.700000000001</v>
      </c>
      <c r="K2414" s="1">
        <v>42312</v>
      </c>
      <c r="L2414">
        <v>22312.63</v>
      </c>
    </row>
    <row r="2415" spans="1:12" x14ac:dyDescent="0.35">
      <c r="A2415" s="1">
        <v>42346</v>
      </c>
      <c r="B2415">
        <v>3297.46</v>
      </c>
      <c r="C2415" s="1">
        <v>42338</v>
      </c>
      <c r="D2415">
        <v>4957.6000000000004</v>
      </c>
      <c r="E2415" s="1">
        <v>42305</v>
      </c>
      <c r="F2415">
        <v>10831.96</v>
      </c>
      <c r="G2415" s="1">
        <v>42291</v>
      </c>
      <c r="H2415">
        <v>8466.3016599999992</v>
      </c>
      <c r="I2415" s="1">
        <v>42334</v>
      </c>
      <c r="J2415">
        <v>10332.299999999999</v>
      </c>
      <c r="K2415" s="1">
        <v>42311</v>
      </c>
      <c r="L2415">
        <v>22459.45</v>
      </c>
    </row>
    <row r="2416" spans="1:12" x14ac:dyDescent="0.35">
      <c r="A2416" s="1">
        <v>42345</v>
      </c>
      <c r="B2416">
        <v>3360.21</v>
      </c>
      <c r="C2416" s="1">
        <v>42335</v>
      </c>
      <c r="D2416">
        <v>4930.1400000000003</v>
      </c>
      <c r="E2416" s="1">
        <v>42304</v>
      </c>
      <c r="F2416">
        <v>10692.19</v>
      </c>
      <c r="G2416" s="1">
        <v>42290</v>
      </c>
      <c r="H2416">
        <v>8489.9686700000002</v>
      </c>
      <c r="I2416" s="1">
        <v>42333</v>
      </c>
      <c r="J2416">
        <v>10227.299999999999</v>
      </c>
      <c r="K2416" s="1">
        <v>42310</v>
      </c>
      <c r="L2416">
        <v>22482.39</v>
      </c>
    </row>
    <row r="2417" spans="1:12" x14ac:dyDescent="0.35">
      <c r="A2417" s="1">
        <v>42342</v>
      </c>
      <c r="B2417">
        <v>3330.75</v>
      </c>
      <c r="C2417" s="1">
        <v>42334</v>
      </c>
      <c r="D2417">
        <v>4946.0200000000004</v>
      </c>
      <c r="E2417" s="1">
        <v>42303</v>
      </c>
      <c r="F2417">
        <v>10801.34</v>
      </c>
      <c r="G2417" s="1">
        <v>42289</v>
      </c>
      <c r="H2417">
        <v>8599.6092499999995</v>
      </c>
      <c r="I2417" s="1">
        <v>42332</v>
      </c>
      <c r="J2417">
        <v>10207.200000000001</v>
      </c>
      <c r="K2417" s="1">
        <v>42307</v>
      </c>
      <c r="L2417">
        <v>22442.51</v>
      </c>
    </row>
    <row r="2418" spans="1:12" x14ac:dyDescent="0.35">
      <c r="A2418" s="1">
        <v>42341</v>
      </c>
      <c r="B2418">
        <v>3343.34</v>
      </c>
      <c r="C2418" s="1">
        <v>42333</v>
      </c>
      <c r="D2418">
        <v>4892.99</v>
      </c>
      <c r="E2418" s="1">
        <v>42300</v>
      </c>
      <c r="F2418">
        <v>10794.54</v>
      </c>
      <c r="G2418" s="1">
        <v>42286</v>
      </c>
      <c r="H2418">
        <v>8642.0826400000005</v>
      </c>
      <c r="I2418" s="1">
        <v>42331</v>
      </c>
      <c r="J2418">
        <v>10277.4</v>
      </c>
      <c r="K2418" s="1">
        <v>42306</v>
      </c>
      <c r="L2418">
        <v>22442.69</v>
      </c>
    </row>
    <row r="2419" spans="1:12" x14ac:dyDescent="0.35">
      <c r="A2419" s="1">
        <v>42340</v>
      </c>
      <c r="B2419">
        <v>3468.66</v>
      </c>
      <c r="C2419" s="1">
        <v>42332</v>
      </c>
      <c r="D2419">
        <v>4820.28</v>
      </c>
      <c r="E2419" s="1">
        <v>42299</v>
      </c>
      <c r="F2419">
        <v>10491.97</v>
      </c>
      <c r="G2419" s="1">
        <v>42285</v>
      </c>
      <c r="H2419">
        <v>8659.2906000000003</v>
      </c>
      <c r="I2419" s="1">
        <v>42328</v>
      </c>
      <c r="J2419">
        <v>10290.299999999999</v>
      </c>
      <c r="K2419" s="1">
        <v>42305</v>
      </c>
      <c r="L2419">
        <v>22686.240000000002</v>
      </c>
    </row>
    <row r="2420" spans="1:12" x14ac:dyDescent="0.35">
      <c r="A2420" s="1">
        <v>42339</v>
      </c>
      <c r="B2420">
        <v>3479.64</v>
      </c>
      <c r="C2420" s="1">
        <v>42331</v>
      </c>
      <c r="D2420">
        <v>4889.12</v>
      </c>
      <c r="E2420" s="1">
        <v>42298</v>
      </c>
      <c r="F2420">
        <v>10238.1</v>
      </c>
      <c r="G2420" s="1">
        <v>42284</v>
      </c>
      <c r="H2420">
        <v>8632.9457700000003</v>
      </c>
      <c r="I2420" s="1">
        <v>42327</v>
      </c>
      <c r="J2420">
        <v>10354.700000000001</v>
      </c>
      <c r="K2420" s="1">
        <v>42304</v>
      </c>
      <c r="L2420">
        <v>22369.919999999998</v>
      </c>
    </row>
    <row r="2421" spans="1:12" x14ac:dyDescent="0.35">
      <c r="A2421" s="1">
        <v>42338</v>
      </c>
      <c r="B2421">
        <v>3506.45</v>
      </c>
      <c r="C2421" s="1">
        <v>42328</v>
      </c>
      <c r="D2421">
        <v>4910.97</v>
      </c>
      <c r="E2421" s="1">
        <v>42297</v>
      </c>
      <c r="F2421">
        <v>10147.68</v>
      </c>
      <c r="G2421" s="1">
        <v>42283</v>
      </c>
      <c r="H2421">
        <v>8552.0831199999993</v>
      </c>
      <c r="I2421" s="1">
        <v>42326</v>
      </c>
      <c r="J2421">
        <v>10261.1</v>
      </c>
      <c r="K2421" s="1">
        <v>42303</v>
      </c>
      <c r="L2421">
        <v>22629.64</v>
      </c>
    </row>
    <row r="2422" spans="1:12" x14ac:dyDescent="0.35">
      <c r="A2422" s="1">
        <v>42335</v>
      </c>
      <c r="B2422">
        <v>3488.99</v>
      </c>
      <c r="C2422" s="1">
        <v>42327</v>
      </c>
      <c r="D2422">
        <v>4915.1000000000004</v>
      </c>
      <c r="E2422" s="1">
        <v>42296</v>
      </c>
      <c r="F2422">
        <v>10164.31</v>
      </c>
      <c r="G2422" s="1">
        <v>42282</v>
      </c>
      <c r="H2422">
        <v>8533.1306499999992</v>
      </c>
      <c r="I2422" s="1">
        <v>42325</v>
      </c>
      <c r="J2422">
        <v>10363.799999999999</v>
      </c>
      <c r="K2422" s="1">
        <v>42300</v>
      </c>
      <c r="L2422">
        <v>22736.86</v>
      </c>
    </row>
    <row r="2423" spans="1:12" x14ac:dyDescent="0.35">
      <c r="A2423" s="1">
        <v>42334</v>
      </c>
      <c r="B2423">
        <v>3498.62</v>
      </c>
      <c r="C2423" s="1">
        <v>42326</v>
      </c>
      <c r="D2423">
        <v>4906.72</v>
      </c>
      <c r="E2423" s="1">
        <v>42293</v>
      </c>
      <c r="F2423">
        <v>10104.43</v>
      </c>
      <c r="G2423" s="1">
        <v>42279</v>
      </c>
      <c r="H2423">
        <v>8289.2684499999996</v>
      </c>
      <c r="I2423" s="1">
        <v>42324</v>
      </c>
      <c r="J2423">
        <v>10124.5</v>
      </c>
      <c r="K2423" s="1">
        <v>42299</v>
      </c>
      <c r="L2423">
        <v>22616.9</v>
      </c>
    </row>
    <row r="2424" spans="1:12" x14ac:dyDescent="0.35">
      <c r="A2424" s="1">
        <v>42333</v>
      </c>
      <c r="B2424">
        <v>3462.06</v>
      </c>
      <c r="C2424" s="1">
        <v>42325</v>
      </c>
      <c r="D2424">
        <v>4937.3100000000004</v>
      </c>
      <c r="E2424" s="1">
        <v>42292</v>
      </c>
      <c r="F2424">
        <v>10064.799999999999</v>
      </c>
      <c r="G2424" s="1">
        <v>42278</v>
      </c>
      <c r="H2424">
        <v>8216.4923199999994</v>
      </c>
      <c r="I2424" s="1">
        <v>42321</v>
      </c>
      <c r="J2424">
        <v>10111.4</v>
      </c>
      <c r="K2424" s="1">
        <v>42298</v>
      </c>
      <c r="L2424">
        <v>22172.639999999999</v>
      </c>
    </row>
    <row r="2425" spans="1:12" x14ac:dyDescent="0.35">
      <c r="A2425" s="1">
        <v>42332</v>
      </c>
      <c r="B2425">
        <v>3409.6</v>
      </c>
      <c r="C2425" s="1">
        <v>42324</v>
      </c>
      <c r="D2425">
        <v>4804.3100000000004</v>
      </c>
      <c r="E2425" s="1">
        <v>42291</v>
      </c>
      <c r="F2425">
        <v>9915.85</v>
      </c>
      <c r="G2425" s="1">
        <v>42277</v>
      </c>
      <c r="H2425">
        <v>8202.85124</v>
      </c>
      <c r="I2425" s="1">
        <v>42320</v>
      </c>
      <c r="J2425">
        <v>10144</v>
      </c>
      <c r="K2425" s="1">
        <v>42297</v>
      </c>
      <c r="L2425">
        <v>22270.11</v>
      </c>
    </row>
    <row r="2426" spans="1:12" x14ac:dyDescent="0.35">
      <c r="A2426" s="1">
        <v>42331</v>
      </c>
      <c r="B2426">
        <v>3445.26</v>
      </c>
      <c r="C2426" s="1">
        <v>42321</v>
      </c>
      <c r="D2426">
        <v>4807.95</v>
      </c>
      <c r="E2426" s="1">
        <v>42290</v>
      </c>
      <c r="F2426">
        <v>10032.82</v>
      </c>
      <c r="G2426" s="1">
        <v>42276</v>
      </c>
      <c r="H2426">
        <v>7955.7754800000002</v>
      </c>
      <c r="I2426" s="1">
        <v>42319</v>
      </c>
      <c r="J2426">
        <v>10377.200000000001</v>
      </c>
      <c r="K2426" s="1">
        <v>42296</v>
      </c>
      <c r="L2426">
        <v>22419.68</v>
      </c>
    </row>
    <row r="2427" spans="1:12" x14ac:dyDescent="0.35">
      <c r="A2427" s="1">
        <v>42328</v>
      </c>
      <c r="B2427">
        <v>3452.45</v>
      </c>
      <c r="C2427" s="1">
        <v>42320</v>
      </c>
      <c r="D2427">
        <v>4856.6499999999996</v>
      </c>
      <c r="E2427" s="1">
        <v>42289</v>
      </c>
      <c r="F2427">
        <v>10119.83</v>
      </c>
      <c r="G2427" s="1">
        <v>42275</v>
      </c>
      <c r="H2427">
        <v>8059.1486999999997</v>
      </c>
      <c r="I2427" s="1">
        <v>42318</v>
      </c>
      <c r="J2427">
        <v>10336.799999999999</v>
      </c>
      <c r="K2427" s="1">
        <v>42293</v>
      </c>
      <c r="L2427">
        <v>22337.66</v>
      </c>
    </row>
    <row r="2428" spans="1:12" x14ac:dyDescent="0.35">
      <c r="A2428" s="1">
        <v>42327</v>
      </c>
      <c r="B2428">
        <v>3448.93</v>
      </c>
      <c r="C2428" s="1">
        <v>42319</v>
      </c>
      <c r="D2428">
        <v>4952.51</v>
      </c>
      <c r="E2428" s="1">
        <v>42286</v>
      </c>
      <c r="F2428">
        <v>10096.6</v>
      </c>
      <c r="G2428" s="1">
        <v>42272</v>
      </c>
      <c r="H2428">
        <v>8288.6147700000001</v>
      </c>
      <c r="I2428" s="1">
        <v>42317</v>
      </c>
      <c r="J2428">
        <v>10325.200000000001</v>
      </c>
      <c r="K2428" s="1">
        <v>42292</v>
      </c>
      <c r="L2428">
        <v>22217.69</v>
      </c>
    </row>
    <row r="2429" spans="1:12" x14ac:dyDescent="0.35">
      <c r="A2429" s="1">
        <v>42326</v>
      </c>
      <c r="B2429">
        <v>3431.92</v>
      </c>
      <c r="C2429" s="1">
        <v>42318</v>
      </c>
      <c r="D2429">
        <v>4912.16</v>
      </c>
      <c r="E2429" s="1">
        <v>42285</v>
      </c>
      <c r="F2429">
        <v>9993.07</v>
      </c>
      <c r="G2429" s="1">
        <v>42271</v>
      </c>
      <c r="H2429">
        <v>8077.0111999999999</v>
      </c>
      <c r="I2429" s="1">
        <v>42314</v>
      </c>
      <c r="J2429">
        <v>10453.200000000001</v>
      </c>
      <c r="K2429" s="1">
        <v>42291</v>
      </c>
      <c r="L2429">
        <v>21838.2</v>
      </c>
    </row>
    <row r="2430" spans="1:12" x14ac:dyDescent="0.35">
      <c r="A2430" s="1">
        <v>42325</v>
      </c>
      <c r="B2430">
        <v>3451.94</v>
      </c>
      <c r="C2430" s="1">
        <v>42317</v>
      </c>
      <c r="D2430">
        <v>4911.17</v>
      </c>
      <c r="E2430" s="1">
        <v>42284</v>
      </c>
      <c r="F2430">
        <v>9970.4</v>
      </c>
      <c r="G2430" s="1">
        <v>42270</v>
      </c>
      <c r="H2430">
        <v>8239.6705899999997</v>
      </c>
      <c r="I2430" s="1">
        <v>42313</v>
      </c>
      <c r="J2430">
        <v>10431.200000000001</v>
      </c>
      <c r="K2430" s="1">
        <v>42290</v>
      </c>
      <c r="L2430">
        <v>22048.49</v>
      </c>
    </row>
    <row r="2431" spans="1:12" x14ac:dyDescent="0.35">
      <c r="A2431" s="1">
        <v>42324</v>
      </c>
      <c r="B2431">
        <v>3362.23</v>
      </c>
      <c r="C2431" s="1">
        <v>42314</v>
      </c>
      <c r="D2431">
        <v>4984.1499999999996</v>
      </c>
      <c r="E2431" s="1">
        <v>42283</v>
      </c>
      <c r="F2431">
        <v>9902.83</v>
      </c>
      <c r="G2431" s="1">
        <v>42269</v>
      </c>
      <c r="H2431">
        <v>8203.1345099999999</v>
      </c>
      <c r="I2431" s="1">
        <v>42312</v>
      </c>
      <c r="J2431">
        <v>10473.5</v>
      </c>
      <c r="K2431" s="1">
        <v>42289</v>
      </c>
      <c r="L2431">
        <v>22091.27</v>
      </c>
    </row>
    <row r="2432" spans="1:12" x14ac:dyDescent="0.35">
      <c r="A2432" s="1">
        <v>42321</v>
      </c>
      <c r="B2432">
        <v>3360.65</v>
      </c>
      <c r="C2432" s="1">
        <v>42313</v>
      </c>
      <c r="D2432">
        <v>4980.04</v>
      </c>
      <c r="E2432" s="1">
        <v>42282</v>
      </c>
      <c r="F2432">
        <v>9814.7900000000009</v>
      </c>
      <c r="G2432" s="1">
        <v>42268</v>
      </c>
      <c r="H2432">
        <v>8446.9409199999991</v>
      </c>
      <c r="I2432" s="1">
        <v>42311</v>
      </c>
      <c r="J2432">
        <v>10465.200000000001</v>
      </c>
      <c r="K2432" s="1">
        <v>42286</v>
      </c>
      <c r="L2432">
        <v>22257.89</v>
      </c>
    </row>
    <row r="2433" spans="1:12" x14ac:dyDescent="0.35">
      <c r="A2433" s="1">
        <v>42320</v>
      </c>
      <c r="B2433">
        <v>3387.7</v>
      </c>
      <c r="C2433" s="1">
        <v>42312</v>
      </c>
      <c r="D2433">
        <v>4948.29</v>
      </c>
      <c r="E2433" s="1">
        <v>42279</v>
      </c>
      <c r="F2433">
        <v>9553.07</v>
      </c>
      <c r="G2433" s="1">
        <v>42265</v>
      </c>
      <c r="H2433">
        <v>8367.0394899999992</v>
      </c>
      <c r="I2433" s="1">
        <v>42310</v>
      </c>
      <c r="J2433">
        <v>10418.200000000001</v>
      </c>
      <c r="K2433" s="1">
        <v>42285</v>
      </c>
      <c r="L2433">
        <v>22156.74</v>
      </c>
    </row>
    <row r="2434" spans="1:12" x14ac:dyDescent="0.35">
      <c r="A2434" s="1">
        <v>42319</v>
      </c>
      <c r="B2434">
        <v>3448.42</v>
      </c>
      <c r="C2434" s="1">
        <v>42311</v>
      </c>
      <c r="D2434">
        <v>4936.18</v>
      </c>
      <c r="E2434" s="1">
        <v>42278</v>
      </c>
      <c r="F2434">
        <v>9509.25</v>
      </c>
      <c r="G2434" s="1">
        <v>42264</v>
      </c>
      <c r="H2434">
        <v>8493.9753899999996</v>
      </c>
      <c r="I2434" s="1">
        <v>42307</v>
      </c>
      <c r="J2434">
        <v>10360.700000000001</v>
      </c>
      <c r="K2434" s="1">
        <v>42284</v>
      </c>
      <c r="L2434">
        <v>22007.34</v>
      </c>
    </row>
    <row r="2435" spans="1:12" x14ac:dyDescent="0.35">
      <c r="A2435" s="1">
        <v>42318</v>
      </c>
      <c r="B2435">
        <v>3425.4</v>
      </c>
      <c r="C2435" s="1">
        <v>42310</v>
      </c>
      <c r="D2435">
        <v>4916.21</v>
      </c>
      <c r="E2435" s="1">
        <v>42277</v>
      </c>
      <c r="F2435">
        <v>9660.44</v>
      </c>
      <c r="G2435" s="1">
        <v>42263</v>
      </c>
      <c r="H2435">
        <v>8528.3277400000006</v>
      </c>
      <c r="I2435" s="1">
        <v>42306</v>
      </c>
      <c r="J2435">
        <v>10397.200000000001</v>
      </c>
      <c r="K2435" s="1">
        <v>42283</v>
      </c>
      <c r="L2435">
        <v>22182.65</v>
      </c>
    </row>
    <row r="2436" spans="1:12" x14ac:dyDescent="0.35">
      <c r="A2436" s="1">
        <v>42317</v>
      </c>
      <c r="B2436">
        <v>3418.36</v>
      </c>
      <c r="C2436" s="1">
        <v>42307</v>
      </c>
      <c r="D2436">
        <v>4897.66</v>
      </c>
      <c r="E2436" s="1">
        <v>42276</v>
      </c>
      <c r="F2436">
        <v>9450.4</v>
      </c>
      <c r="G2436" s="1">
        <v>42262</v>
      </c>
      <c r="H2436">
        <v>8352.6409600000006</v>
      </c>
      <c r="I2436" s="1">
        <v>42305</v>
      </c>
      <c r="J2436">
        <v>10421.9</v>
      </c>
      <c r="K2436" s="1">
        <v>42282</v>
      </c>
      <c r="L2436">
        <v>21980.080000000002</v>
      </c>
    </row>
    <row r="2437" spans="1:12" x14ac:dyDescent="0.35">
      <c r="A2437" s="1">
        <v>42314</v>
      </c>
      <c r="B2437">
        <v>3468.21</v>
      </c>
      <c r="C2437" s="1">
        <v>42306</v>
      </c>
      <c r="D2437">
        <v>4885.82</v>
      </c>
      <c r="E2437" s="1">
        <v>42275</v>
      </c>
      <c r="F2437">
        <v>9483.5499999999993</v>
      </c>
      <c r="G2437" s="1">
        <v>42261</v>
      </c>
      <c r="H2437">
        <v>8292.8677399999997</v>
      </c>
      <c r="I2437" s="1">
        <v>42304</v>
      </c>
      <c r="J2437">
        <v>10322.4</v>
      </c>
      <c r="K2437" s="1">
        <v>42279</v>
      </c>
      <c r="L2437">
        <v>21395.29</v>
      </c>
    </row>
    <row r="2438" spans="1:12" x14ac:dyDescent="0.35">
      <c r="A2438" s="1">
        <v>42313</v>
      </c>
      <c r="B2438">
        <v>3447.49</v>
      </c>
      <c r="C2438" s="1">
        <v>42305</v>
      </c>
      <c r="D2438">
        <v>4890.58</v>
      </c>
      <c r="E2438" s="1">
        <v>42272</v>
      </c>
      <c r="F2438">
        <v>9688.5300000000007</v>
      </c>
      <c r="G2438" s="1">
        <v>42258</v>
      </c>
      <c r="H2438">
        <v>8320.5849999999991</v>
      </c>
      <c r="I2438" s="1">
        <v>42303</v>
      </c>
      <c r="J2438">
        <v>10478.299999999999</v>
      </c>
      <c r="K2438" s="1">
        <v>42278</v>
      </c>
      <c r="L2438">
        <v>21142.86</v>
      </c>
    </row>
    <row r="2439" spans="1:12" x14ac:dyDescent="0.35">
      <c r="A2439" s="1">
        <v>42312</v>
      </c>
      <c r="B2439">
        <v>3439.16</v>
      </c>
      <c r="C2439" s="1">
        <v>42304</v>
      </c>
      <c r="D2439">
        <v>4847.07</v>
      </c>
      <c r="E2439" s="1">
        <v>42271</v>
      </c>
      <c r="F2439">
        <v>9427.64</v>
      </c>
      <c r="G2439" s="1">
        <v>42257</v>
      </c>
      <c r="H2439">
        <v>8438.2092300000004</v>
      </c>
      <c r="I2439" s="1">
        <v>42300</v>
      </c>
      <c r="J2439">
        <v>10476.299999999999</v>
      </c>
      <c r="K2439" s="1">
        <v>42277</v>
      </c>
      <c r="L2439">
        <v>21294.98</v>
      </c>
    </row>
    <row r="2440" spans="1:12" x14ac:dyDescent="0.35">
      <c r="A2440" s="1">
        <v>42311</v>
      </c>
      <c r="B2440">
        <v>3442.68</v>
      </c>
      <c r="C2440" s="1">
        <v>42303</v>
      </c>
      <c r="D2440">
        <v>4897.13</v>
      </c>
      <c r="E2440" s="1">
        <v>42270</v>
      </c>
      <c r="F2440">
        <v>9612.6200000000008</v>
      </c>
      <c r="G2440" s="1">
        <v>42256</v>
      </c>
      <c r="H2440">
        <v>8575.4937000000009</v>
      </c>
      <c r="I2440" s="1">
        <v>42299</v>
      </c>
      <c r="J2440">
        <v>10365.4</v>
      </c>
      <c r="K2440" s="1">
        <v>42276</v>
      </c>
      <c r="L2440">
        <v>20726.75</v>
      </c>
    </row>
    <row r="2441" spans="1:12" x14ac:dyDescent="0.35">
      <c r="A2441" s="1">
        <v>42310</v>
      </c>
      <c r="B2441">
        <v>3434.5</v>
      </c>
      <c r="C2441" s="1">
        <v>42300</v>
      </c>
      <c r="D2441">
        <v>4923.6400000000003</v>
      </c>
      <c r="E2441" s="1">
        <v>42269</v>
      </c>
      <c r="F2441">
        <v>9570.66</v>
      </c>
      <c r="G2441" s="1">
        <v>42255</v>
      </c>
      <c r="H2441">
        <v>8447.5902399999995</v>
      </c>
      <c r="I2441" s="1">
        <v>42298</v>
      </c>
      <c r="J2441">
        <v>10157.5</v>
      </c>
      <c r="K2441" s="1">
        <v>42275</v>
      </c>
      <c r="L2441">
        <v>20759.490000000002</v>
      </c>
    </row>
    <row r="2442" spans="1:12" x14ac:dyDescent="0.35">
      <c r="A2442" s="1">
        <v>42307</v>
      </c>
      <c r="B2442">
        <v>3418.23</v>
      </c>
      <c r="C2442" s="1">
        <v>42299</v>
      </c>
      <c r="D2442">
        <v>4802.18</v>
      </c>
      <c r="E2442" s="1">
        <v>42268</v>
      </c>
      <c r="F2442">
        <v>9948.51</v>
      </c>
      <c r="G2442" s="1">
        <v>42254</v>
      </c>
      <c r="H2442">
        <v>8312.5583000000006</v>
      </c>
      <c r="I2442" s="1">
        <v>42297</v>
      </c>
      <c r="J2442">
        <v>10100.6</v>
      </c>
      <c r="K2442" s="1">
        <v>42272</v>
      </c>
      <c r="L2442">
        <v>21339.11</v>
      </c>
    </row>
    <row r="2443" spans="1:12" x14ac:dyDescent="0.35">
      <c r="A2443" s="1">
        <v>42306</v>
      </c>
      <c r="B2443">
        <v>3413.39</v>
      </c>
      <c r="C2443" s="1">
        <v>42298</v>
      </c>
      <c r="D2443">
        <v>4695.1000000000004</v>
      </c>
      <c r="E2443" s="1">
        <v>42265</v>
      </c>
      <c r="F2443">
        <v>9916.16</v>
      </c>
      <c r="G2443" s="1">
        <v>42251</v>
      </c>
      <c r="H2443">
        <v>8241.7750400000004</v>
      </c>
      <c r="I2443" s="1">
        <v>42296</v>
      </c>
      <c r="J2443">
        <v>10207.299999999999</v>
      </c>
      <c r="K2443" s="1">
        <v>42271</v>
      </c>
      <c r="L2443">
        <v>20581.830000000002</v>
      </c>
    </row>
    <row r="2444" spans="1:12" x14ac:dyDescent="0.35">
      <c r="A2444" s="1">
        <v>42305</v>
      </c>
      <c r="B2444">
        <v>3421.09</v>
      </c>
      <c r="C2444" s="1">
        <v>42297</v>
      </c>
      <c r="D2444">
        <v>4673.8100000000004</v>
      </c>
      <c r="E2444" s="1">
        <v>42264</v>
      </c>
      <c r="F2444">
        <v>10229.58</v>
      </c>
      <c r="G2444" s="1">
        <v>42250</v>
      </c>
      <c r="H2444">
        <v>8499.6847600000001</v>
      </c>
      <c r="I2444" s="1">
        <v>42293</v>
      </c>
      <c r="J2444">
        <v>10231.5</v>
      </c>
      <c r="K2444" s="1">
        <v>42270</v>
      </c>
      <c r="L2444">
        <v>21068.880000000001</v>
      </c>
    </row>
    <row r="2445" spans="1:12" x14ac:dyDescent="0.35">
      <c r="A2445" s="1">
        <v>42304</v>
      </c>
      <c r="B2445">
        <v>3381.01</v>
      </c>
      <c r="C2445" s="1">
        <v>42296</v>
      </c>
      <c r="D2445">
        <v>4704.07</v>
      </c>
      <c r="E2445" s="1">
        <v>42263</v>
      </c>
      <c r="F2445">
        <v>10227.209999999999</v>
      </c>
      <c r="G2445" s="1">
        <v>42249</v>
      </c>
      <c r="H2445">
        <v>8289.7620000000006</v>
      </c>
      <c r="I2445" s="1">
        <v>42292</v>
      </c>
      <c r="J2445">
        <v>10101.700000000001</v>
      </c>
      <c r="K2445" s="1">
        <v>42269</v>
      </c>
      <c r="L2445">
        <v>21031.8</v>
      </c>
    </row>
    <row r="2446" spans="1:12" x14ac:dyDescent="0.35">
      <c r="A2446" s="1">
        <v>42303</v>
      </c>
      <c r="B2446">
        <v>3414.6</v>
      </c>
      <c r="C2446" s="1">
        <v>42293</v>
      </c>
      <c r="D2446">
        <v>4702.79</v>
      </c>
      <c r="E2446" s="1">
        <v>42262</v>
      </c>
      <c r="F2446">
        <v>10188.129999999999</v>
      </c>
      <c r="G2446" s="1">
        <v>42248</v>
      </c>
      <c r="H2446">
        <v>8235.0131099999999</v>
      </c>
      <c r="I2446" s="1">
        <v>42291</v>
      </c>
      <c r="J2446">
        <v>10037.6</v>
      </c>
      <c r="K2446" s="1">
        <v>42268</v>
      </c>
      <c r="L2446">
        <v>21755.42</v>
      </c>
    </row>
    <row r="2447" spans="1:12" x14ac:dyDescent="0.35">
      <c r="A2447" s="1">
        <v>42300</v>
      </c>
      <c r="B2447">
        <v>3425.81</v>
      </c>
      <c r="C2447" s="1">
        <v>42292</v>
      </c>
      <c r="D2447">
        <v>4675.29</v>
      </c>
      <c r="E2447" s="1">
        <v>42261</v>
      </c>
      <c r="F2447">
        <v>10131.74</v>
      </c>
      <c r="G2447" s="1">
        <v>42244</v>
      </c>
      <c r="H2447">
        <v>8597.0626499999998</v>
      </c>
      <c r="I2447" s="1">
        <v>42290</v>
      </c>
      <c r="J2447">
        <v>10115.299999999999</v>
      </c>
      <c r="K2447" s="1">
        <v>42265</v>
      </c>
      <c r="L2447">
        <v>21514.9</v>
      </c>
    </row>
    <row r="2448" spans="1:12" x14ac:dyDescent="0.35">
      <c r="A2448" s="1">
        <v>42299</v>
      </c>
      <c r="B2448">
        <v>3353.11</v>
      </c>
      <c r="C2448" s="1">
        <v>42291</v>
      </c>
      <c r="D2448">
        <v>4609.03</v>
      </c>
      <c r="E2448" s="1">
        <v>42258</v>
      </c>
      <c r="F2448">
        <v>10123.56</v>
      </c>
      <c r="G2448" s="1">
        <v>42243</v>
      </c>
      <c r="H2448">
        <v>8490.6199899999992</v>
      </c>
      <c r="I2448" s="1">
        <v>42289</v>
      </c>
      <c r="J2448">
        <v>10246.4</v>
      </c>
      <c r="K2448" s="1">
        <v>42264</v>
      </c>
      <c r="L2448">
        <v>22099.53</v>
      </c>
    </row>
    <row r="2449" spans="1:12" x14ac:dyDescent="0.35">
      <c r="A2449" s="1">
        <v>42298</v>
      </c>
      <c r="B2449">
        <v>3272.23</v>
      </c>
      <c r="C2449" s="1">
        <v>42290</v>
      </c>
      <c r="D2449">
        <v>4643.38</v>
      </c>
      <c r="E2449" s="1">
        <v>42257</v>
      </c>
      <c r="F2449">
        <v>10210.44</v>
      </c>
      <c r="G2449" s="1">
        <v>42242</v>
      </c>
      <c r="H2449">
        <v>8133.4976200000001</v>
      </c>
      <c r="I2449" s="1">
        <v>42286</v>
      </c>
      <c r="J2449">
        <v>10309.6</v>
      </c>
      <c r="K2449" s="1">
        <v>42263</v>
      </c>
      <c r="L2449">
        <v>22059.21</v>
      </c>
    </row>
    <row r="2450" spans="1:12" x14ac:dyDescent="0.35">
      <c r="A2450" s="1">
        <v>42297</v>
      </c>
      <c r="B2450">
        <v>3255.72</v>
      </c>
      <c r="C2450" s="1">
        <v>42289</v>
      </c>
      <c r="D2450">
        <v>4688.7</v>
      </c>
      <c r="E2450" s="1">
        <v>42256</v>
      </c>
      <c r="F2450">
        <v>10303.120000000001</v>
      </c>
      <c r="G2450" s="1">
        <v>42241</v>
      </c>
      <c r="H2450">
        <v>8356.1859999999997</v>
      </c>
      <c r="I2450" s="1">
        <v>42285</v>
      </c>
      <c r="J2450">
        <v>10181.200000000001</v>
      </c>
      <c r="K2450" s="1">
        <v>42262</v>
      </c>
      <c r="L2450">
        <v>21903.63</v>
      </c>
    </row>
    <row r="2451" spans="1:12" x14ac:dyDescent="0.35">
      <c r="A2451" s="1">
        <v>42296</v>
      </c>
      <c r="B2451">
        <v>3272.04</v>
      </c>
      <c r="C2451" s="1">
        <v>42286</v>
      </c>
      <c r="D2451">
        <v>4701.3900000000003</v>
      </c>
      <c r="E2451" s="1">
        <v>42255</v>
      </c>
      <c r="F2451">
        <v>10271.36</v>
      </c>
      <c r="G2451" s="1">
        <v>42240</v>
      </c>
      <c r="H2451">
        <v>8053.9606800000001</v>
      </c>
      <c r="I2451" s="1">
        <v>42284</v>
      </c>
      <c r="J2451">
        <v>10170</v>
      </c>
      <c r="K2451" s="1">
        <v>42261</v>
      </c>
      <c r="L2451">
        <v>21553.8</v>
      </c>
    </row>
    <row r="2452" spans="1:12" x14ac:dyDescent="0.35">
      <c r="A2452" s="1">
        <v>42293</v>
      </c>
      <c r="B2452">
        <v>3264.93</v>
      </c>
      <c r="C2452" s="1">
        <v>42285</v>
      </c>
      <c r="D2452">
        <v>4675.91</v>
      </c>
      <c r="E2452" s="1">
        <v>42254</v>
      </c>
      <c r="F2452">
        <v>10108.61</v>
      </c>
      <c r="G2452" s="1">
        <v>42237</v>
      </c>
      <c r="H2452">
        <v>8556.0789600000007</v>
      </c>
      <c r="I2452" s="1">
        <v>42283</v>
      </c>
      <c r="J2452">
        <v>10103.299999999999</v>
      </c>
      <c r="K2452" s="1">
        <v>42258</v>
      </c>
      <c r="L2452">
        <v>21762.63</v>
      </c>
    </row>
    <row r="2453" spans="1:12" x14ac:dyDescent="0.35">
      <c r="A2453" s="1">
        <v>42292</v>
      </c>
      <c r="B2453">
        <v>3238.81</v>
      </c>
      <c r="C2453" s="1">
        <v>42284</v>
      </c>
      <c r="D2453">
        <v>4667.34</v>
      </c>
      <c r="E2453" s="1">
        <v>42251</v>
      </c>
      <c r="F2453">
        <v>10038.040000000001</v>
      </c>
      <c r="G2453" s="1">
        <v>42236</v>
      </c>
      <c r="H2453">
        <v>8919.8244799999993</v>
      </c>
      <c r="I2453" s="1">
        <v>42282</v>
      </c>
      <c r="J2453">
        <v>9971.2999999999993</v>
      </c>
      <c r="K2453" s="1">
        <v>42257</v>
      </c>
      <c r="L2453">
        <v>21901.45</v>
      </c>
    </row>
    <row r="2454" spans="1:12" x14ac:dyDescent="0.35">
      <c r="A2454" s="1">
        <v>42291</v>
      </c>
      <c r="B2454">
        <v>3191.57</v>
      </c>
      <c r="C2454" s="1">
        <v>42283</v>
      </c>
      <c r="D2454">
        <v>4660.6400000000003</v>
      </c>
      <c r="E2454" s="1">
        <v>42250</v>
      </c>
      <c r="F2454">
        <v>10317.84</v>
      </c>
      <c r="G2454" s="1">
        <v>42235</v>
      </c>
      <c r="H2454">
        <v>9060.2621400000007</v>
      </c>
      <c r="I2454" s="1">
        <v>42279</v>
      </c>
      <c r="J2454">
        <v>9603.6</v>
      </c>
      <c r="K2454" s="1">
        <v>42256</v>
      </c>
      <c r="L2454">
        <v>22126.57</v>
      </c>
    </row>
    <row r="2455" spans="1:12" x14ac:dyDescent="0.35">
      <c r="A2455" s="1">
        <v>42290</v>
      </c>
      <c r="B2455">
        <v>3221.28</v>
      </c>
      <c r="C2455" s="1">
        <v>42282</v>
      </c>
      <c r="D2455">
        <v>4616.8999999999996</v>
      </c>
      <c r="E2455" s="1">
        <v>42249</v>
      </c>
      <c r="F2455">
        <v>10048.049999999999</v>
      </c>
      <c r="G2455" s="1">
        <v>42234</v>
      </c>
      <c r="H2455">
        <v>9260.8120199999994</v>
      </c>
      <c r="I2455" s="1">
        <v>42278</v>
      </c>
      <c r="J2455">
        <v>9567.2999999999993</v>
      </c>
      <c r="K2455" s="1">
        <v>42255</v>
      </c>
      <c r="L2455">
        <v>21941.31</v>
      </c>
    </row>
    <row r="2456" spans="1:12" x14ac:dyDescent="0.35">
      <c r="A2456" s="1">
        <v>42289</v>
      </c>
      <c r="B2456">
        <v>3247.33</v>
      </c>
      <c r="C2456" s="1">
        <v>42279</v>
      </c>
      <c r="D2456">
        <v>4458.88</v>
      </c>
      <c r="E2456" s="1">
        <v>42248</v>
      </c>
      <c r="F2456">
        <v>10015.57</v>
      </c>
      <c r="G2456" s="1">
        <v>42233</v>
      </c>
      <c r="H2456">
        <v>9216.7728800000004</v>
      </c>
      <c r="I2456" s="1">
        <v>42277</v>
      </c>
      <c r="J2456">
        <v>9559.9</v>
      </c>
      <c r="K2456" s="1">
        <v>42254</v>
      </c>
      <c r="L2456">
        <v>21622.34</v>
      </c>
    </row>
    <row r="2457" spans="1:12" x14ac:dyDescent="0.35">
      <c r="A2457" s="1">
        <v>42286</v>
      </c>
      <c r="B2457">
        <v>3250.31</v>
      </c>
      <c r="C2457" s="1">
        <v>42278</v>
      </c>
      <c r="D2457">
        <v>4426.54</v>
      </c>
      <c r="E2457" s="1">
        <v>42247</v>
      </c>
      <c r="F2457">
        <v>10259.459999999999</v>
      </c>
      <c r="G2457" s="1">
        <v>42230</v>
      </c>
      <c r="H2457">
        <v>9203.0281200000009</v>
      </c>
      <c r="I2457" s="1">
        <v>42276</v>
      </c>
      <c r="J2457">
        <v>9393.9</v>
      </c>
      <c r="K2457" s="1">
        <v>42251</v>
      </c>
      <c r="L2457">
        <v>21472.68</v>
      </c>
    </row>
    <row r="2458" spans="1:12" x14ac:dyDescent="0.35">
      <c r="A2458" s="1">
        <v>42285</v>
      </c>
      <c r="B2458">
        <v>3224.96</v>
      </c>
      <c r="C2458" s="1">
        <v>42277</v>
      </c>
      <c r="D2458">
        <v>4455.29</v>
      </c>
      <c r="E2458" s="1">
        <v>42244</v>
      </c>
      <c r="F2458">
        <v>10298.530000000001</v>
      </c>
      <c r="G2458" s="1">
        <v>42229</v>
      </c>
      <c r="H2458">
        <v>9202.9739000000009</v>
      </c>
      <c r="I2458" s="1">
        <v>42275</v>
      </c>
      <c r="J2458">
        <v>9394.2000000000007</v>
      </c>
      <c r="K2458" s="1">
        <v>42250</v>
      </c>
      <c r="L2458">
        <v>22177.37</v>
      </c>
    </row>
    <row r="2459" spans="1:12" x14ac:dyDescent="0.35">
      <c r="A2459" s="1">
        <v>42284</v>
      </c>
      <c r="B2459">
        <v>3226.4</v>
      </c>
      <c r="C2459" s="1">
        <v>42276</v>
      </c>
      <c r="D2459">
        <v>4343.7299999999996</v>
      </c>
      <c r="E2459" s="1">
        <v>42243</v>
      </c>
      <c r="F2459">
        <v>10315.620000000001</v>
      </c>
      <c r="G2459" s="1">
        <v>42228</v>
      </c>
      <c r="H2459">
        <v>9200.2540300000001</v>
      </c>
      <c r="I2459" s="1">
        <v>42272</v>
      </c>
      <c r="J2459">
        <v>9519.5</v>
      </c>
      <c r="K2459" s="1">
        <v>42249</v>
      </c>
      <c r="L2459">
        <v>21612</v>
      </c>
    </row>
    <row r="2460" spans="1:12" x14ac:dyDescent="0.35">
      <c r="A2460" s="1">
        <v>42283</v>
      </c>
      <c r="B2460">
        <v>3220.09</v>
      </c>
      <c r="C2460" s="1">
        <v>42275</v>
      </c>
      <c r="D2460">
        <v>4357.05</v>
      </c>
      <c r="E2460" s="1">
        <v>42242</v>
      </c>
      <c r="F2460">
        <v>9997.43</v>
      </c>
      <c r="G2460" s="1">
        <v>42227</v>
      </c>
      <c r="H2460">
        <v>9417.6923800000004</v>
      </c>
      <c r="I2460" s="1">
        <v>42271</v>
      </c>
      <c r="J2460">
        <v>9291.4</v>
      </c>
      <c r="K2460" s="1">
        <v>42248</v>
      </c>
      <c r="L2460">
        <v>21451.37</v>
      </c>
    </row>
    <row r="2461" spans="1:12" x14ac:dyDescent="0.35">
      <c r="A2461" s="1">
        <v>42282</v>
      </c>
      <c r="B2461">
        <v>3190.39</v>
      </c>
      <c r="C2461" s="1">
        <v>42272</v>
      </c>
      <c r="D2461">
        <v>4480.66</v>
      </c>
      <c r="E2461" s="1">
        <v>42241</v>
      </c>
      <c r="F2461">
        <v>10128.120000000001</v>
      </c>
      <c r="G2461" s="1">
        <v>42226</v>
      </c>
      <c r="H2461">
        <v>9528.4671999999991</v>
      </c>
      <c r="I2461" s="1">
        <v>42270</v>
      </c>
      <c r="J2461">
        <v>9474.6</v>
      </c>
      <c r="K2461" s="1">
        <v>42247</v>
      </c>
      <c r="L2461">
        <v>21941.919999999998</v>
      </c>
    </row>
    <row r="2462" spans="1:12" x14ac:dyDescent="0.35">
      <c r="A2462" s="1">
        <v>42279</v>
      </c>
      <c r="B2462">
        <v>3088.18</v>
      </c>
      <c r="C2462" s="1">
        <v>42271</v>
      </c>
      <c r="D2462">
        <v>4347.24</v>
      </c>
      <c r="E2462" s="1">
        <v>42240</v>
      </c>
      <c r="F2462">
        <v>9648.43</v>
      </c>
      <c r="G2462" s="1">
        <v>42223</v>
      </c>
      <c r="H2462">
        <v>9488.8938999999991</v>
      </c>
      <c r="I2462" s="1">
        <v>42269</v>
      </c>
      <c r="J2462">
        <v>9550.2000000000007</v>
      </c>
      <c r="K2462" s="1">
        <v>42244</v>
      </c>
      <c r="L2462">
        <v>21993.74</v>
      </c>
    </row>
    <row r="2463" spans="1:12" x14ac:dyDescent="0.35">
      <c r="A2463" s="1">
        <v>42278</v>
      </c>
      <c r="B2463">
        <v>3069.05</v>
      </c>
      <c r="C2463" s="1">
        <v>42270</v>
      </c>
      <c r="D2463">
        <v>4432.83</v>
      </c>
      <c r="E2463" s="1">
        <v>42237</v>
      </c>
      <c r="F2463">
        <v>10124.52</v>
      </c>
      <c r="G2463" s="1">
        <v>42222</v>
      </c>
      <c r="H2463">
        <v>9592.9106599999996</v>
      </c>
      <c r="I2463" s="1">
        <v>42268</v>
      </c>
      <c r="J2463">
        <v>9856.7999999999993</v>
      </c>
      <c r="K2463" s="1">
        <v>42243</v>
      </c>
      <c r="L2463">
        <v>22201.24</v>
      </c>
    </row>
    <row r="2464" spans="1:12" x14ac:dyDescent="0.35">
      <c r="A2464" s="1">
        <v>42277</v>
      </c>
      <c r="B2464">
        <v>3100.67</v>
      </c>
      <c r="C2464" s="1">
        <v>42269</v>
      </c>
      <c r="D2464">
        <v>4428.51</v>
      </c>
      <c r="E2464" s="1">
        <v>42236</v>
      </c>
      <c r="F2464">
        <v>10432.19</v>
      </c>
      <c r="G2464" s="1">
        <v>42221</v>
      </c>
      <c r="H2464">
        <v>9691.1025499999996</v>
      </c>
      <c r="I2464" s="1">
        <v>42265</v>
      </c>
      <c r="J2464">
        <v>9847.2000000000007</v>
      </c>
      <c r="K2464" s="1">
        <v>42242</v>
      </c>
      <c r="L2464">
        <v>21473.81</v>
      </c>
    </row>
    <row r="2465" spans="1:12" x14ac:dyDescent="0.35">
      <c r="A2465" s="1">
        <v>42276</v>
      </c>
      <c r="B2465">
        <v>3029.86</v>
      </c>
      <c r="C2465" s="1">
        <v>42268</v>
      </c>
      <c r="D2465">
        <v>4585.5</v>
      </c>
      <c r="E2465" s="1">
        <v>42235</v>
      </c>
      <c r="F2465">
        <v>10682.15</v>
      </c>
      <c r="G2465" s="1">
        <v>42220</v>
      </c>
      <c r="H2465">
        <v>9533.9435400000002</v>
      </c>
      <c r="I2465" s="1">
        <v>42264</v>
      </c>
      <c r="J2465">
        <v>10106.6</v>
      </c>
      <c r="K2465" s="1">
        <v>42241</v>
      </c>
      <c r="L2465">
        <v>21649.69</v>
      </c>
    </row>
    <row r="2466" spans="1:12" x14ac:dyDescent="0.35">
      <c r="A2466" s="1">
        <v>42275</v>
      </c>
      <c r="B2466">
        <v>3039.44</v>
      </c>
      <c r="C2466" s="1">
        <v>42265</v>
      </c>
      <c r="D2466">
        <v>4535.8500000000004</v>
      </c>
      <c r="E2466" s="1">
        <v>42234</v>
      </c>
      <c r="F2466">
        <v>10915.92</v>
      </c>
      <c r="G2466" s="1">
        <v>42219</v>
      </c>
      <c r="H2466">
        <v>9513.3277799999996</v>
      </c>
      <c r="I2466" s="1">
        <v>42263</v>
      </c>
      <c r="J2466">
        <v>9976.7999999999993</v>
      </c>
      <c r="K2466" s="1">
        <v>42240</v>
      </c>
      <c r="L2466">
        <v>20450.43</v>
      </c>
    </row>
    <row r="2467" spans="1:12" x14ac:dyDescent="0.35">
      <c r="A2467" s="1">
        <v>42272</v>
      </c>
      <c r="B2467">
        <v>3113.16</v>
      </c>
      <c r="C2467" s="1">
        <v>42264</v>
      </c>
      <c r="D2467">
        <v>4655.1400000000003</v>
      </c>
      <c r="E2467" s="1">
        <v>42233</v>
      </c>
      <c r="F2467">
        <v>10940.33</v>
      </c>
      <c r="G2467" s="1">
        <v>42216</v>
      </c>
      <c r="H2467">
        <v>9509.1679499999991</v>
      </c>
      <c r="I2467" s="1">
        <v>42262</v>
      </c>
      <c r="J2467">
        <v>9782.5</v>
      </c>
      <c r="K2467" s="1">
        <v>42237</v>
      </c>
      <c r="L2467">
        <v>21746.17</v>
      </c>
    </row>
    <row r="2468" spans="1:12" x14ac:dyDescent="0.35">
      <c r="A2468" s="1">
        <v>42271</v>
      </c>
      <c r="B2468">
        <v>3019.34</v>
      </c>
      <c r="C2468" s="1">
        <v>42263</v>
      </c>
      <c r="D2468">
        <v>4645.84</v>
      </c>
      <c r="E2468" s="1">
        <v>42230</v>
      </c>
      <c r="F2468">
        <v>10985.14</v>
      </c>
      <c r="G2468" s="1">
        <v>42215</v>
      </c>
      <c r="H2468">
        <v>9523.9016699999993</v>
      </c>
      <c r="I2468" s="1">
        <v>42261</v>
      </c>
      <c r="J2468">
        <v>9696.4</v>
      </c>
      <c r="K2468" s="1">
        <v>42236</v>
      </c>
      <c r="L2468">
        <v>22378.65</v>
      </c>
    </row>
    <row r="2469" spans="1:12" x14ac:dyDescent="0.35">
      <c r="A2469" s="1">
        <v>42270</v>
      </c>
      <c r="B2469">
        <v>3079.99</v>
      </c>
      <c r="C2469" s="1">
        <v>42262</v>
      </c>
      <c r="D2469">
        <v>4569.37</v>
      </c>
      <c r="E2469" s="1">
        <v>42229</v>
      </c>
      <c r="F2469">
        <v>11014.63</v>
      </c>
      <c r="G2469" s="1">
        <v>42214</v>
      </c>
      <c r="H2469">
        <v>9387.3567700000003</v>
      </c>
      <c r="I2469" s="1">
        <v>42258</v>
      </c>
      <c r="J2469">
        <v>9737.9</v>
      </c>
      <c r="K2469" s="1">
        <v>42235</v>
      </c>
      <c r="L2469">
        <v>22975.32</v>
      </c>
    </row>
    <row r="2470" spans="1:12" x14ac:dyDescent="0.35">
      <c r="A2470" s="1">
        <v>42269</v>
      </c>
      <c r="B2470">
        <v>3076.05</v>
      </c>
      <c r="C2470" s="1">
        <v>42261</v>
      </c>
      <c r="D2470">
        <v>4518.1499999999996</v>
      </c>
      <c r="E2470" s="1">
        <v>42228</v>
      </c>
      <c r="F2470">
        <v>10924.61</v>
      </c>
      <c r="G2470" s="1">
        <v>42213</v>
      </c>
      <c r="H2470">
        <v>9255.0015800000001</v>
      </c>
      <c r="I2470" s="1">
        <v>42257</v>
      </c>
      <c r="J2470">
        <v>9859</v>
      </c>
      <c r="K2470" s="1">
        <v>42234</v>
      </c>
      <c r="L2470">
        <v>23389.72</v>
      </c>
    </row>
    <row r="2471" spans="1:12" x14ac:dyDescent="0.35">
      <c r="A2471" s="1">
        <v>42268</v>
      </c>
      <c r="B2471">
        <v>3184.72</v>
      </c>
      <c r="C2471" s="1">
        <v>42258</v>
      </c>
      <c r="D2471">
        <v>4548.72</v>
      </c>
      <c r="E2471" s="1">
        <v>42227</v>
      </c>
      <c r="F2471">
        <v>11293.65</v>
      </c>
      <c r="G2471" s="1">
        <v>42212</v>
      </c>
      <c r="H2471">
        <v>9113.5039099999995</v>
      </c>
      <c r="I2471" s="1">
        <v>42256</v>
      </c>
      <c r="J2471">
        <v>10037.799999999999</v>
      </c>
      <c r="K2471" s="1">
        <v>42233</v>
      </c>
      <c r="L2471">
        <v>23407.99</v>
      </c>
    </row>
    <row r="2472" spans="1:12" x14ac:dyDescent="0.35">
      <c r="A2472" s="1">
        <v>42265</v>
      </c>
      <c r="B2472">
        <v>3157.3</v>
      </c>
      <c r="C2472" s="1">
        <v>42257</v>
      </c>
      <c r="D2472">
        <v>4596.53</v>
      </c>
      <c r="E2472" s="1">
        <v>42226</v>
      </c>
      <c r="F2472">
        <v>11604.78</v>
      </c>
      <c r="G2472" s="1">
        <v>42209</v>
      </c>
      <c r="H2472">
        <v>9295.5249899999999</v>
      </c>
      <c r="I2472" s="1">
        <v>42255</v>
      </c>
      <c r="J2472">
        <v>9866.2000000000007</v>
      </c>
      <c r="K2472" s="1">
        <v>42230</v>
      </c>
      <c r="L2472">
        <v>23248.52</v>
      </c>
    </row>
    <row r="2473" spans="1:12" x14ac:dyDescent="0.35">
      <c r="A2473" s="1">
        <v>42264</v>
      </c>
      <c r="B2473">
        <v>3255.79</v>
      </c>
      <c r="C2473" s="1">
        <v>42256</v>
      </c>
      <c r="D2473">
        <v>4664.59</v>
      </c>
      <c r="E2473" s="1">
        <v>42223</v>
      </c>
      <c r="F2473">
        <v>11490.83</v>
      </c>
      <c r="G2473" s="1">
        <v>42208</v>
      </c>
      <c r="H2473">
        <v>9391.3554199999999</v>
      </c>
      <c r="I2473" s="1">
        <v>42254</v>
      </c>
      <c r="J2473">
        <v>9805.4</v>
      </c>
      <c r="K2473" s="1">
        <v>42229</v>
      </c>
      <c r="L2473">
        <v>23356.01</v>
      </c>
    </row>
    <row r="2474" spans="1:12" x14ac:dyDescent="0.35">
      <c r="A2474" s="1">
        <v>42263</v>
      </c>
      <c r="B2474">
        <v>3251.79</v>
      </c>
      <c r="C2474" s="1">
        <v>42255</v>
      </c>
      <c r="D2474">
        <v>4598.26</v>
      </c>
      <c r="E2474" s="1">
        <v>42222</v>
      </c>
      <c r="F2474">
        <v>11585.1</v>
      </c>
      <c r="G2474" s="1">
        <v>42207</v>
      </c>
      <c r="H2474">
        <v>9535.9534000000003</v>
      </c>
      <c r="I2474" s="1">
        <v>42251</v>
      </c>
      <c r="J2474">
        <v>9821.7999999999993</v>
      </c>
      <c r="K2474" s="1">
        <v>42228</v>
      </c>
      <c r="L2474">
        <v>22997.55</v>
      </c>
    </row>
    <row r="2475" spans="1:12" x14ac:dyDescent="0.35">
      <c r="A2475" s="1">
        <v>42262</v>
      </c>
      <c r="B2475">
        <v>3207.6</v>
      </c>
      <c r="C2475" s="1">
        <v>42254</v>
      </c>
      <c r="D2475">
        <v>4549.6400000000003</v>
      </c>
      <c r="E2475" s="1">
        <v>42221</v>
      </c>
      <c r="F2475">
        <v>11636.3</v>
      </c>
      <c r="G2475" s="1">
        <v>42206</v>
      </c>
      <c r="H2475">
        <v>9615.0439600000009</v>
      </c>
      <c r="I2475" s="1">
        <v>42250</v>
      </c>
      <c r="J2475">
        <v>10042.4</v>
      </c>
      <c r="K2475" s="1">
        <v>42227</v>
      </c>
      <c r="L2475">
        <v>23698.49</v>
      </c>
    </row>
    <row r="2476" spans="1:12" x14ac:dyDescent="0.35">
      <c r="A2476" s="1">
        <v>42261</v>
      </c>
      <c r="B2476">
        <v>3175.62</v>
      </c>
      <c r="C2476" s="1">
        <v>42251</v>
      </c>
      <c r="D2476">
        <v>4523.08</v>
      </c>
      <c r="E2476" s="1">
        <v>42220</v>
      </c>
      <c r="F2476">
        <v>11456.07</v>
      </c>
      <c r="G2476" s="1">
        <v>42205</v>
      </c>
      <c r="H2476">
        <v>9756.9024000000009</v>
      </c>
      <c r="I2476" s="1">
        <v>42249</v>
      </c>
      <c r="J2476">
        <v>9938.2999999999993</v>
      </c>
      <c r="K2476" s="1">
        <v>42226</v>
      </c>
      <c r="L2476">
        <v>23966.44</v>
      </c>
    </row>
    <row r="2477" spans="1:12" x14ac:dyDescent="0.35">
      <c r="A2477" s="1">
        <v>42258</v>
      </c>
      <c r="B2477">
        <v>3187.94</v>
      </c>
      <c r="C2477" s="1">
        <v>42250</v>
      </c>
      <c r="D2477">
        <v>4653.79</v>
      </c>
      <c r="E2477" s="1">
        <v>42219</v>
      </c>
      <c r="F2477">
        <v>11443.72</v>
      </c>
      <c r="G2477" s="1">
        <v>42202</v>
      </c>
      <c r="H2477">
        <v>9751.6970799999999</v>
      </c>
      <c r="I2477" s="1">
        <v>42248</v>
      </c>
      <c r="J2477">
        <v>9992.7999999999993</v>
      </c>
      <c r="K2477" s="1">
        <v>42223</v>
      </c>
      <c r="L2477">
        <v>23705</v>
      </c>
    </row>
    <row r="2478" spans="1:12" x14ac:dyDescent="0.35">
      <c r="A2478" s="1">
        <v>42257</v>
      </c>
      <c r="B2478">
        <v>3221.14</v>
      </c>
      <c r="C2478" s="1">
        <v>42249</v>
      </c>
      <c r="D2478">
        <v>4554.92</v>
      </c>
      <c r="E2478" s="1">
        <v>42216</v>
      </c>
      <c r="F2478">
        <v>11308.99</v>
      </c>
      <c r="G2478" s="1">
        <v>42201</v>
      </c>
      <c r="H2478">
        <v>9753.49316</v>
      </c>
      <c r="I2478" s="1">
        <v>42247</v>
      </c>
      <c r="J2478">
        <v>10259</v>
      </c>
      <c r="K2478" s="1">
        <v>42222</v>
      </c>
      <c r="L2478">
        <v>23811.09</v>
      </c>
    </row>
    <row r="2479" spans="1:12" x14ac:dyDescent="0.35">
      <c r="A2479" s="1">
        <v>42256</v>
      </c>
      <c r="B2479">
        <v>3269.98</v>
      </c>
      <c r="C2479" s="1">
        <v>42248</v>
      </c>
      <c r="D2479">
        <v>4541.16</v>
      </c>
      <c r="E2479" s="1">
        <v>42215</v>
      </c>
      <c r="F2479">
        <v>11257.15</v>
      </c>
      <c r="G2479" s="1">
        <v>42200</v>
      </c>
      <c r="H2479">
        <v>9641.6922400000003</v>
      </c>
      <c r="I2479" s="1">
        <v>42244</v>
      </c>
      <c r="J2479">
        <v>10352.9</v>
      </c>
      <c r="K2479" s="1">
        <v>42221</v>
      </c>
      <c r="L2479">
        <v>23911.81</v>
      </c>
    </row>
    <row r="2480" spans="1:12" x14ac:dyDescent="0.35">
      <c r="A2480" s="1">
        <v>42255</v>
      </c>
      <c r="B2480">
        <v>3233.84</v>
      </c>
      <c r="C2480" s="1">
        <v>42247</v>
      </c>
      <c r="D2480">
        <v>4652.95</v>
      </c>
      <c r="E2480" s="1">
        <v>42214</v>
      </c>
      <c r="F2480">
        <v>11211.85</v>
      </c>
      <c r="G2480" s="1">
        <v>42199</v>
      </c>
      <c r="H2480">
        <v>9560.1447499999995</v>
      </c>
      <c r="I2480" s="1">
        <v>42243</v>
      </c>
      <c r="J2480">
        <v>10290.200000000001</v>
      </c>
      <c r="K2480" s="1">
        <v>42220</v>
      </c>
      <c r="L2480">
        <v>23473.25</v>
      </c>
    </row>
    <row r="2481" spans="1:12" x14ac:dyDescent="0.35">
      <c r="A2481" s="1">
        <v>42254</v>
      </c>
      <c r="B2481">
        <v>3197.97</v>
      </c>
      <c r="C2481" s="1">
        <v>42244</v>
      </c>
      <c r="D2481">
        <v>4675.13</v>
      </c>
      <c r="E2481" s="1">
        <v>42213</v>
      </c>
      <c r="F2481">
        <v>11173.91</v>
      </c>
      <c r="G2481" s="1">
        <v>42198</v>
      </c>
      <c r="H2481">
        <v>9482.4067200000009</v>
      </c>
      <c r="I2481" s="1">
        <v>42242</v>
      </c>
      <c r="J2481">
        <v>9984.5</v>
      </c>
      <c r="K2481" s="1">
        <v>42219</v>
      </c>
      <c r="L2481">
        <v>23714.38</v>
      </c>
    </row>
    <row r="2482" spans="1:12" x14ac:dyDescent="0.35">
      <c r="A2482" s="1">
        <v>42251</v>
      </c>
      <c r="B2482">
        <v>3180.25</v>
      </c>
      <c r="C2482" s="1">
        <v>42243</v>
      </c>
      <c r="D2482">
        <v>4658.18</v>
      </c>
      <c r="E2482" s="1">
        <v>42212</v>
      </c>
      <c r="F2482">
        <v>11056.4</v>
      </c>
      <c r="G2482" s="1">
        <v>42195</v>
      </c>
      <c r="H2482">
        <v>9283.6076200000007</v>
      </c>
      <c r="I2482" s="1">
        <v>42241</v>
      </c>
      <c r="J2482">
        <v>10115.4</v>
      </c>
      <c r="K2482" s="1">
        <v>42216</v>
      </c>
      <c r="L2482">
        <v>23538.03</v>
      </c>
    </row>
    <row r="2483" spans="1:12" x14ac:dyDescent="0.35">
      <c r="A2483" s="1">
        <v>42250</v>
      </c>
      <c r="B2483">
        <v>3270.09</v>
      </c>
      <c r="C2483" s="1">
        <v>42242</v>
      </c>
      <c r="D2483">
        <v>4501.05</v>
      </c>
      <c r="E2483" s="1">
        <v>42209</v>
      </c>
      <c r="F2483">
        <v>11347.45</v>
      </c>
      <c r="G2483" s="1">
        <v>42194</v>
      </c>
      <c r="H2483">
        <v>9183.6558600000008</v>
      </c>
      <c r="I2483" s="1">
        <v>42240</v>
      </c>
      <c r="J2483">
        <v>9756.6</v>
      </c>
      <c r="K2483" s="1">
        <v>42215</v>
      </c>
      <c r="L2483">
        <v>23396.09</v>
      </c>
    </row>
    <row r="2484" spans="1:12" x14ac:dyDescent="0.35">
      <c r="A2484" s="1">
        <v>42249</v>
      </c>
      <c r="B2484">
        <v>3198.86</v>
      </c>
      <c r="C2484" s="1">
        <v>42241</v>
      </c>
      <c r="D2484">
        <v>4564.8599999999997</v>
      </c>
      <c r="E2484" s="1">
        <v>42208</v>
      </c>
      <c r="F2484">
        <v>11512.11</v>
      </c>
      <c r="G2484" s="1">
        <v>42193</v>
      </c>
      <c r="H2484">
        <v>9007.6818600000006</v>
      </c>
      <c r="I2484" s="1">
        <v>42237</v>
      </c>
      <c r="J2484">
        <v>10271.700000000001</v>
      </c>
      <c r="K2484" s="1">
        <v>42214</v>
      </c>
      <c r="L2484">
        <v>23248.9</v>
      </c>
    </row>
    <row r="2485" spans="1:12" x14ac:dyDescent="0.35">
      <c r="A2485" s="1">
        <v>42248</v>
      </c>
      <c r="B2485">
        <v>3188.73</v>
      </c>
      <c r="C2485" s="1">
        <v>42240</v>
      </c>
      <c r="D2485">
        <v>4383.46</v>
      </c>
      <c r="E2485" s="1">
        <v>42207</v>
      </c>
      <c r="F2485">
        <v>11520.67</v>
      </c>
      <c r="G2485" s="1">
        <v>42192</v>
      </c>
      <c r="H2485">
        <v>9070.5979900000002</v>
      </c>
      <c r="I2485" s="1">
        <v>42236</v>
      </c>
      <c r="J2485">
        <v>10587</v>
      </c>
      <c r="K2485" s="1">
        <v>42213</v>
      </c>
      <c r="L2485">
        <v>23328.02</v>
      </c>
    </row>
    <row r="2486" spans="1:12" x14ac:dyDescent="0.35">
      <c r="A2486" s="1">
        <v>42247</v>
      </c>
      <c r="B2486">
        <v>3269.63</v>
      </c>
      <c r="C2486" s="1">
        <v>42237</v>
      </c>
      <c r="D2486">
        <v>4630.99</v>
      </c>
      <c r="E2486" s="1">
        <v>42206</v>
      </c>
      <c r="F2486">
        <v>11604.8</v>
      </c>
      <c r="G2486" s="1">
        <v>42191</v>
      </c>
      <c r="H2486">
        <v>9218.4069799999997</v>
      </c>
      <c r="I2486" s="1">
        <v>42235</v>
      </c>
      <c r="J2486">
        <v>10782.4</v>
      </c>
      <c r="K2486" s="1">
        <v>42212</v>
      </c>
      <c r="L2486">
        <v>22809.3</v>
      </c>
    </row>
    <row r="2487" spans="1:12" x14ac:dyDescent="0.35">
      <c r="A2487" s="1">
        <v>42244</v>
      </c>
      <c r="B2487">
        <v>3286.59</v>
      </c>
      <c r="C2487" s="1">
        <v>42236</v>
      </c>
      <c r="D2487">
        <v>4783.55</v>
      </c>
      <c r="E2487" s="1">
        <v>42205</v>
      </c>
      <c r="F2487">
        <v>11735.72</v>
      </c>
      <c r="G2487" s="1">
        <v>42188</v>
      </c>
      <c r="H2487">
        <v>9267.7960800000001</v>
      </c>
      <c r="I2487" s="1">
        <v>42234</v>
      </c>
      <c r="J2487">
        <v>10897.9</v>
      </c>
      <c r="K2487" s="1">
        <v>42209</v>
      </c>
      <c r="L2487">
        <v>23507.7</v>
      </c>
    </row>
    <row r="2488" spans="1:12" x14ac:dyDescent="0.35">
      <c r="A2488" s="1">
        <v>42243</v>
      </c>
      <c r="B2488">
        <v>3280.78</v>
      </c>
      <c r="C2488" s="1">
        <v>42235</v>
      </c>
      <c r="D2488">
        <v>4884.1000000000004</v>
      </c>
      <c r="E2488" s="1">
        <v>42202</v>
      </c>
      <c r="F2488">
        <v>11673.42</v>
      </c>
      <c r="G2488" s="1">
        <v>42187</v>
      </c>
      <c r="H2488">
        <v>9327.2356</v>
      </c>
      <c r="I2488" s="1">
        <v>42233</v>
      </c>
      <c r="J2488">
        <v>10900.3</v>
      </c>
      <c r="K2488" s="1">
        <v>42208</v>
      </c>
      <c r="L2488">
        <v>23633.05</v>
      </c>
    </row>
    <row r="2489" spans="1:12" x14ac:dyDescent="0.35">
      <c r="A2489" s="1">
        <v>42242</v>
      </c>
      <c r="B2489">
        <v>3170.73</v>
      </c>
      <c r="C2489" s="1">
        <v>42234</v>
      </c>
      <c r="D2489">
        <v>4971.25</v>
      </c>
      <c r="E2489" s="1">
        <v>42201</v>
      </c>
      <c r="F2489">
        <v>11716.76</v>
      </c>
      <c r="G2489" s="1">
        <v>42186</v>
      </c>
      <c r="H2489">
        <v>9318.0164299999997</v>
      </c>
      <c r="I2489" s="1">
        <v>42230</v>
      </c>
      <c r="J2489">
        <v>10879.3</v>
      </c>
      <c r="K2489" s="1">
        <v>42207</v>
      </c>
      <c r="L2489">
        <v>23681.11</v>
      </c>
    </row>
    <row r="2490" spans="1:12" x14ac:dyDescent="0.35">
      <c r="A2490" s="1">
        <v>42241</v>
      </c>
      <c r="B2490">
        <v>3218.01</v>
      </c>
      <c r="C2490" s="1">
        <v>42233</v>
      </c>
      <c r="D2490">
        <v>4984.83</v>
      </c>
      <c r="E2490" s="1">
        <v>42200</v>
      </c>
      <c r="F2490">
        <v>11539.66</v>
      </c>
      <c r="G2490" s="1">
        <v>42185</v>
      </c>
      <c r="H2490">
        <v>9194.1549799999993</v>
      </c>
      <c r="I2490" s="1">
        <v>42229</v>
      </c>
      <c r="J2490">
        <v>10947.9</v>
      </c>
      <c r="K2490" s="1">
        <v>42206</v>
      </c>
      <c r="L2490">
        <v>23712.9</v>
      </c>
    </row>
    <row r="2491" spans="1:12" x14ac:dyDescent="0.35">
      <c r="A2491" s="1">
        <v>42240</v>
      </c>
      <c r="B2491">
        <v>3073.39</v>
      </c>
      <c r="C2491" s="1">
        <v>42230</v>
      </c>
      <c r="D2491">
        <v>4956.47</v>
      </c>
      <c r="E2491" s="1">
        <v>42199</v>
      </c>
      <c r="F2491">
        <v>11516.9</v>
      </c>
      <c r="G2491" s="1">
        <v>42184</v>
      </c>
      <c r="H2491">
        <v>9291.9328299999997</v>
      </c>
      <c r="I2491" s="1">
        <v>42228</v>
      </c>
      <c r="J2491">
        <v>10880.1</v>
      </c>
      <c r="K2491" s="1">
        <v>42205</v>
      </c>
      <c r="L2491">
        <v>24031.19</v>
      </c>
    </row>
    <row r="2492" spans="1:12" x14ac:dyDescent="0.35">
      <c r="A2492" s="1">
        <v>42237</v>
      </c>
      <c r="B2492">
        <v>3247.26</v>
      </c>
      <c r="C2492" s="1">
        <v>42229</v>
      </c>
      <c r="D2492">
        <v>4986.8500000000004</v>
      </c>
      <c r="E2492" s="1">
        <v>42198</v>
      </c>
      <c r="F2492">
        <v>11484.38</v>
      </c>
      <c r="G2492" s="1">
        <v>42181</v>
      </c>
      <c r="H2492">
        <v>9525.7681499999999</v>
      </c>
      <c r="I2492" s="1">
        <v>42227</v>
      </c>
      <c r="J2492">
        <v>11152.3</v>
      </c>
      <c r="K2492" s="1">
        <v>42202</v>
      </c>
      <c r="L2492">
        <v>23765.41</v>
      </c>
    </row>
    <row r="2493" spans="1:12" x14ac:dyDescent="0.35">
      <c r="A2493" s="1">
        <v>42236</v>
      </c>
      <c r="B2493">
        <v>3353.48</v>
      </c>
      <c r="C2493" s="1">
        <v>42228</v>
      </c>
      <c r="D2493">
        <v>4925.43</v>
      </c>
      <c r="E2493" s="1">
        <v>42195</v>
      </c>
      <c r="F2493">
        <v>11315.63</v>
      </c>
      <c r="G2493" s="1">
        <v>42180</v>
      </c>
      <c r="H2493">
        <v>9560.4732600000007</v>
      </c>
      <c r="I2493" s="1">
        <v>42226</v>
      </c>
      <c r="J2493">
        <v>11311.7</v>
      </c>
      <c r="K2493" s="1">
        <v>42201</v>
      </c>
      <c r="L2493">
        <v>23783.14</v>
      </c>
    </row>
    <row r="2494" spans="1:12" x14ac:dyDescent="0.35">
      <c r="A2494" s="1">
        <v>42235</v>
      </c>
      <c r="B2494">
        <v>3429.84</v>
      </c>
      <c r="C2494" s="1">
        <v>42227</v>
      </c>
      <c r="D2494">
        <v>5099.03</v>
      </c>
      <c r="E2494" s="1">
        <v>42194</v>
      </c>
      <c r="F2494">
        <v>10996.41</v>
      </c>
      <c r="G2494" s="1">
        <v>42179</v>
      </c>
      <c r="H2494">
        <v>9598.0190600000005</v>
      </c>
      <c r="I2494" s="1">
        <v>42223</v>
      </c>
      <c r="J2494">
        <v>11178.2</v>
      </c>
      <c r="K2494" s="1">
        <v>42200</v>
      </c>
      <c r="L2494">
        <v>23392.75</v>
      </c>
    </row>
    <row r="2495" spans="1:12" x14ac:dyDescent="0.35">
      <c r="A2495" s="1">
        <v>42234</v>
      </c>
      <c r="B2495">
        <v>3495.38</v>
      </c>
      <c r="C2495" s="1">
        <v>42226</v>
      </c>
      <c r="D2495">
        <v>5195.41</v>
      </c>
      <c r="E2495" s="1">
        <v>42193</v>
      </c>
      <c r="F2495">
        <v>10747.3</v>
      </c>
      <c r="G2495" s="1">
        <v>42178</v>
      </c>
      <c r="H2495">
        <v>9616.4106699999993</v>
      </c>
      <c r="I2495" s="1">
        <v>42222</v>
      </c>
      <c r="J2495">
        <v>11253.6</v>
      </c>
      <c r="K2495" s="1">
        <v>42199</v>
      </c>
      <c r="L2495">
        <v>23097.51</v>
      </c>
    </row>
    <row r="2496" spans="1:12" x14ac:dyDescent="0.35">
      <c r="A2496" s="1">
        <v>42233</v>
      </c>
      <c r="B2496">
        <v>3497.9</v>
      </c>
      <c r="C2496" s="1">
        <v>42223</v>
      </c>
      <c r="D2496">
        <v>5154.75</v>
      </c>
      <c r="E2496" s="1">
        <v>42192</v>
      </c>
      <c r="F2496">
        <v>10676.78</v>
      </c>
      <c r="G2496" s="1">
        <v>42177</v>
      </c>
      <c r="H2496">
        <v>9508.1270800000002</v>
      </c>
      <c r="I2496" s="1">
        <v>42221</v>
      </c>
      <c r="J2496">
        <v>11279.5</v>
      </c>
      <c r="K2496" s="1">
        <v>42198</v>
      </c>
      <c r="L2496">
        <v>23167.040000000001</v>
      </c>
    </row>
    <row r="2497" spans="1:12" x14ac:dyDescent="0.35">
      <c r="A2497" s="1">
        <v>42230</v>
      </c>
      <c r="B2497">
        <v>3491.03</v>
      </c>
      <c r="C2497" s="1">
        <v>42222</v>
      </c>
      <c r="D2497">
        <v>5192.1099999999997</v>
      </c>
      <c r="E2497" s="1">
        <v>42191</v>
      </c>
      <c r="F2497">
        <v>10890.63</v>
      </c>
      <c r="G2497" s="1">
        <v>42174</v>
      </c>
      <c r="H2497">
        <v>9390.6068099999993</v>
      </c>
      <c r="I2497" s="1">
        <v>42220</v>
      </c>
      <c r="J2497">
        <v>11150.5</v>
      </c>
      <c r="K2497" s="1">
        <v>42195</v>
      </c>
      <c r="L2497">
        <v>22937.4</v>
      </c>
    </row>
    <row r="2498" spans="1:12" x14ac:dyDescent="0.35">
      <c r="A2498" s="1">
        <v>42229</v>
      </c>
      <c r="B2498">
        <v>3516.15</v>
      </c>
      <c r="C2498" s="1">
        <v>42221</v>
      </c>
      <c r="D2498">
        <v>5196.7299999999996</v>
      </c>
      <c r="E2498" s="1">
        <v>42188</v>
      </c>
      <c r="F2498">
        <v>11058.39</v>
      </c>
      <c r="G2498" s="1">
        <v>42173</v>
      </c>
      <c r="H2498">
        <v>9358.8313500000004</v>
      </c>
      <c r="I2498" s="1">
        <v>42219</v>
      </c>
      <c r="J2498">
        <v>11265.9</v>
      </c>
      <c r="K2498" s="1">
        <v>42194</v>
      </c>
      <c r="L2498">
        <v>22268.51</v>
      </c>
    </row>
    <row r="2499" spans="1:12" x14ac:dyDescent="0.35">
      <c r="A2499" s="1">
        <v>42228</v>
      </c>
      <c r="B2499">
        <v>3484.41</v>
      </c>
      <c r="C2499" s="1">
        <v>42220</v>
      </c>
      <c r="D2499">
        <v>5112.1400000000003</v>
      </c>
      <c r="E2499" s="1">
        <v>42187</v>
      </c>
      <c r="F2499">
        <v>11099.35</v>
      </c>
      <c r="G2499" s="1">
        <v>42172</v>
      </c>
      <c r="H2499">
        <v>9322.5251700000008</v>
      </c>
      <c r="I2499" s="1">
        <v>42216</v>
      </c>
      <c r="J2499">
        <v>11180.7</v>
      </c>
      <c r="K2499" s="1">
        <v>42193</v>
      </c>
      <c r="L2499">
        <v>21512.39</v>
      </c>
    </row>
    <row r="2500" spans="1:12" x14ac:dyDescent="0.35">
      <c r="A2500" s="1">
        <v>42227</v>
      </c>
      <c r="B2500">
        <v>3605.28</v>
      </c>
      <c r="C2500" s="1">
        <v>42219</v>
      </c>
      <c r="D2500">
        <v>5120.5200000000004</v>
      </c>
      <c r="E2500" s="1">
        <v>42186</v>
      </c>
      <c r="F2500">
        <v>11180.5</v>
      </c>
      <c r="G2500" s="1">
        <v>42171</v>
      </c>
      <c r="H2500">
        <v>9332.1840900000007</v>
      </c>
      <c r="I2500" s="1">
        <v>42215</v>
      </c>
      <c r="J2500">
        <v>11168.6</v>
      </c>
      <c r="K2500" s="1">
        <v>42192</v>
      </c>
      <c r="L2500">
        <v>20958.48</v>
      </c>
    </row>
    <row r="2501" spans="1:12" x14ac:dyDescent="0.35">
      <c r="A2501" s="1">
        <v>42226</v>
      </c>
      <c r="B2501">
        <v>3674.94</v>
      </c>
      <c r="C2501" s="1">
        <v>42216</v>
      </c>
      <c r="D2501">
        <v>5082.6099999999997</v>
      </c>
      <c r="E2501" s="1">
        <v>42185</v>
      </c>
      <c r="F2501">
        <v>10944.97</v>
      </c>
      <c r="G2501" s="1">
        <v>42170</v>
      </c>
      <c r="H2501">
        <v>9268.1548199999997</v>
      </c>
      <c r="I2501" s="1">
        <v>42214</v>
      </c>
      <c r="J2501">
        <v>11282.9</v>
      </c>
      <c r="K2501" s="1">
        <v>42191</v>
      </c>
      <c r="L2501">
        <v>21600.720000000001</v>
      </c>
    </row>
    <row r="2502" spans="1:12" x14ac:dyDescent="0.35">
      <c r="A2502" s="1">
        <v>42223</v>
      </c>
      <c r="B2502">
        <v>3637.8</v>
      </c>
      <c r="C2502" s="1">
        <v>42215</v>
      </c>
      <c r="D2502">
        <v>5046.42</v>
      </c>
      <c r="E2502" s="1">
        <v>42184</v>
      </c>
      <c r="F2502">
        <v>11083.2</v>
      </c>
      <c r="G2502" s="1">
        <v>42167</v>
      </c>
      <c r="H2502">
        <v>9361.3119200000001</v>
      </c>
      <c r="I2502" s="1">
        <v>42213</v>
      </c>
      <c r="J2502">
        <v>11252.4</v>
      </c>
      <c r="K2502" s="1">
        <v>42188</v>
      </c>
      <c r="L2502">
        <v>22508.13</v>
      </c>
    </row>
    <row r="2503" spans="1:12" x14ac:dyDescent="0.35">
      <c r="A2503" s="1">
        <v>42222</v>
      </c>
      <c r="B2503">
        <v>3668.47</v>
      </c>
      <c r="C2503" s="1">
        <v>42214</v>
      </c>
      <c r="D2503">
        <v>5017.4399999999996</v>
      </c>
      <c r="E2503" s="1">
        <v>42181</v>
      </c>
      <c r="F2503">
        <v>11492.43</v>
      </c>
      <c r="G2503" s="1">
        <v>42166</v>
      </c>
      <c r="H2503">
        <v>9438.0239799999999</v>
      </c>
      <c r="I2503" s="1">
        <v>42212</v>
      </c>
      <c r="J2503">
        <v>11145.4</v>
      </c>
      <c r="K2503" s="1">
        <v>42187</v>
      </c>
      <c r="L2503">
        <v>22616.5</v>
      </c>
    </row>
    <row r="2504" spans="1:12" x14ac:dyDescent="0.35">
      <c r="A2504" s="1">
        <v>42221</v>
      </c>
      <c r="B2504">
        <v>3676.75</v>
      </c>
      <c r="C2504" s="1">
        <v>42213</v>
      </c>
      <c r="D2504">
        <v>4977.32</v>
      </c>
      <c r="E2504" s="1">
        <v>42180</v>
      </c>
      <c r="F2504">
        <v>11473.13</v>
      </c>
      <c r="G2504" s="1">
        <v>42165</v>
      </c>
      <c r="H2504">
        <v>9369.8688000000002</v>
      </c>
      <c r="I2504" s="1">
        <v>42209</v>
      </c>
      <c r="J2504">
        <v>11309.3</v>
      </c>
      <c r="K2504" s="1">
        <v>42186</v>
      </c>
      <c r="L2504">
        <v>22943.64</v>
      </c>
    </row>
    <row r="2505" spans="1:12" x14ac:dyDescent="0.35">
      <c r="A2505" s="1">
        <v>42220</v>
      </c>
      <c r="B2505">
        <v>3619.31</v>
      </c>
      <c r="C2505" s="1">
        <v>42212</v>
      </c>
      <c r="D2505">
        <v>4927.6000000000004</v>
      </c>
      <c r="E2505" s="1">
        <v>42179</v>
      </c>
      <c r="F2505">
        <v>11471.26</v>
      </c>
      <c r="G2505" s="1">
        <v>42164</v>
      </c>
      <c r="H2505">
        <v>9210.8168600000008</v>
      </c>
      <c r="I2505" s="1">
        <v>42208</v>
      </c>
      <c r="J2505">
        <v>11441.9</v>
      </c>
      <c r="K2505" s="1">
        <v>42185</v>
      </c>
      <c r="L2505">
        <v>22460.71</v>
      </c>
    </row>
    <row r="2506" spans="1:12" x14ac:dyDescent="0.35">
      <c r="A2506" s="1">
        <v>42219</v>
      </c>
      <c r="B2506">
        <v>3635.4</v>
      </c>
      <c r="C2506" s="1">
        <v>42209</v>
      </c>
      <c r="D2506">
        <v>5057.3599999999997</v>
      </c>
      <c r="E2506" s="1">
        <v>42178</v>
      </c>
      <c r="F2506">
        <v>11542.54</v>
      </c>
      <c r="G2506" s="1">
        <v>42163</v>
      </c>
      <c r="H2506">
        <v>9252.6611099999991</v>
      </c>
      <c r="I2506" s="1">
        <v>42207</v>
      </c>
      <c r="J2506">
        <v>11484.3</v>
      </c>
      <c r="K2506" s="1">
        <v>42184</v>
      </c>
      <c r="L2506">
        <v>22569.95</v>
      </c>
    </row>
    <row r="2507" spans="1:12" x14ac:dyDescent="0.35">
      <c r="A2507" s="1">
        <v>42216</v>
      </c>
      <c r="B2507">
        <v>3600.69</v>
      </c>
      <c r="C2507" s="1">
        <v>42208</v>
      </c>
      <c r="D2507">
        <v>5086.74</v>
      </c>
      <c r="E2507" s="1">
        <v>42177</v>
      </c>
      <c r="F2507">
        <v>11460.5</v>
      </c>
      <c r="G2507" s="1">
        <v>42160</v>
      </c>
      <c r="H2507">
        <v>9341.4938299999994</v>
      </c>
      <c r="I2507" s="1">
        <v>42206</v>
      </c>
      <c r="J2507">
        <v>11458.6</v>
      </c>
      <c r="K2507" s="1">
        <v>42181</v>
      </c>
      <c r="L2507">
        <v>23800.47</v>
      </c>
    </row>
    <row r="2508" spans="1:12" x14ac:dyDescent="0.35">
      <c r="A2508" s="1">
        <v>42215</v>
      </c>
      <c r="B2508">
        <v>3583.79</v>
      </c>
      <c r="C2508" s="1">
        <v>42207</v>
      </c>
      <c r="D2508">
        <v>5082.57</v>
      </c>
      <c r="E2508" s="1">
        <v>42174</v>
      </c>
      <c r="F2508">
        <v>11040.1</v>
      </c>
      <c r="G2508" s="1">
        <v>42159</v>
      </c>
      <c r="H2508">
        <v>9346.9905799999997</v>
      </c>
      <c r="I2508" s="1">
        <v>42205</v>
      </c>
      <c r="J2508">
        <v>11556.1</v>
      </c>
      <c r="K2508" s="1">
        <v>42180</v>
      </c>
      <c r="L2508">
        <v>23642.62</v>
      </c>
    </row>
    <row r="2509" spans="1:12" x14ac:dyDescent="0.35">
      <c r="A2509" s="1">
        <v>42214</v>
      </c>
      <c r="B2509">
        <v>3575.53</v>
      </c>
      <c r="C2509" s="1">
        <v>42206</v>
      </c>
      <c r="D2509">
        <v>5106.57</v>
      </c>
      <c r="E2509" s="1">
        <v>42173</v>
      </c>
      <c r="F2509">
        <v>11100.3</v>
      </c>
      <c r="G2509" s="1">
        <v>42158</v>
      </c>
      <c r="H2509">
        <v>9466.3350800000007</v>
      </c>
      <c r="I2509" s="1">
        <v>42202</v>
      </c>
      <c r="J2509">
        <v>11480.7</v>
      </c>
      <c r="K2509" s="1">
        <v>42179</v>
      </c>
      <c r="L2509">
        <v>23443.07</v>
      </c>
    </row>
    <row r="2510" spans="1:12" x14ac:dyDescent="0.35">
      <c r="A2510" s="1">
        <v>42213</v>
      </c>
      <c r="B2510">
        <v>3554.11</v>
      </c>
      <c r="C2510" s="1">
        <v>42205</v>
      </c>
      <c r="D2510">
        <v>5142.49</v>
      </c>
      <c r="E2510" s="1">
        <v>42172</v>
      </c>
      <c r="F2510">
        <v>10978.01</v>
      </c>
      <c r="G2510" s="1">
        <v>42157</v>
      </c>
      <c r="H2510">
        <v>9522.8838699999997</v>
      </c>
      <c r="I2510" s="1">
        <v>42201</v>
      </c>
      <c r="J2510">
        <v>11510.6</v>
      </c>
      <c r="K2510" s="1">
        <v>42178</v>
      </c>
      <c r="L2510">
        <v>23567.25</v>
      </c>
    </row>
    <row r="2511" spans="1:12" x14ac:dyDescent="0.35">
      <c r="A2511" s="1">
        <v>42212</v>
      </c>
      <c r="B2511">
        <v>3513.1</v>
      </c>
      <c r="C2511" s="1">
        <v>42202</v>
      </c>
      <c r="D2511">
        <v>5124.3900000000003</v>
      </c>
      <c r="E2511" s="1">
        <v>42171</v>
      </c>
      <c r="F2511">
        <v>11044.01</v>
      </c>
      <c r="G2511" s="1">
        <v>42156</v>
      </c>
      <c r="H2511">
        <v>9671.5834300000006</v>
      </c>
      <c r="I2511" s="1">
        <v>42200</v>
      </c>
      <c r="J2511">
        <v>11335.7</v>
      </c>
      <c r="K2511" s="1">
        <v>42177</v>
      </c>
      <c r="L2511">
        <v>23485.95</v>
      </c>
    </row>
    <row r="2512" spans="1:12" x14ac:dyDescent="0.35">
      <c r="A2512" s="1">
        <v>42209</v>
      </c>
      <c r="B2512">
        <v>3600</v>
      </c>
      <c r="C2512" s="1">
        <v>42201</v>
      </c>
      <c r="D2512">
        <v>5121.5</v>
      </c>
      <c r="E2512" s="1">
        <v>42170</v>
      </c>
      <c r="F2512">
        <v>10984.97</v>
      </c>
      <c r="G2512" s="1">
        <v>42153</v>
      </c>
      <c r="H2512">
        <v>9720.1522399999994</v>
      </c>
      <c r="I2512" s="1">
        <v>42199</v>
      </c>
      <c r="J2512">
        <v>11258.3</v>
      </c>
      <c r="K2512" s="1">
        <v>42174</v>
      </c>
      <c r="L2512">
        <v>22699.37</v>
      </c>
    </row>
    <row r="2513" spans="1:12" x14ac:dyDescent="0.35">
      <c r="A2513" s="1">
        <v>42208</v>
      </c>
      <c r="B2513">
        <v>3634.64</v>
      </c>
      <c r="C2513" s="1">
        <v>42200</v>
      </c>
      <c r="D2513">
        <v>5047.24</v>
      </c>
      <c r="E2513" s="1">
        <v>42167</v>
      </c>
      <c r="F2513">
        <v>11196.49</v>
      </c>
      <c r="G2513" s="1">
        <v>42152</v>
      </c>
      <c r="H2513">
        <v>9857.2880000000005</v>
      </c>
      <c r="I2513" s="1">
        <v>42198</v>
      </c>
      <c r="J2513">
        <v>11224.2</v>
      </c>
      <c r="K2513" s="1">
        <v>42173</v>
      </c>
      <c r="L2513">
        <v>22460.02</v>
      </c>
    </row>
    <row r="2514" spans="1:12" x14ac:dyDescent="0.35">
      <c r="A2514" s="1">
        <v>42207</v>
      </c>
      <c r="B2514">
        <v>3635.58</v>
      </c>
      <c r="C2514" s="1">
        <v>42199</v>
      </c>
      <c r="D2514">
        <v>5032.47</v>
      </c>
      <c r="E2514" s="1">
        <v>42166</v>
      </c>
      <c r="F2514">
        <v>11332.78</v>
      </c>
      <c r="G2514" s="1">
        <v>42151</v>
      </c>
      <c r="H2514">
        <v>9904.3143700000001</v>
      </c>
      <c r="I2514" s="1">
        <v>42195</v>
      </c>
      <c r="J2514">
        <v>11036.1</v>
      </c>
      <c r="K2514" s="1">
        <v>42172</v>
      </c>
      <c r="L2514">
        <v>22225.06</v>
      </c>
    </row>
    <row r="2515" spans="1:12" x14ac:dyDescent="0.35">
      <c r="A2515" s="1">
        <v>42206</v>
      </c>
      <c r="B2515">
        <v>3647.96</v>
      </c>
      <c r="C2515" s="1">
        <v>42198</v>
      </c>
      <c r="D2515">
        <v>4998.1000000000004</v>
      </c>
      <c r="E2515" s="1">
        <v>42165</v>
      </c>
      <c r="F2515">
        <v>11265.39</v>
      </c>
      <c r="G2515" s="1">
        <v>42150</v>
      </c>
      <c r="H2515">
        <v>9822.7620100000004</v>
      </c>
      <c r="I2515" s="1">
        <v>42194</v>
      </c>
      <c r="J2515">
        <v>10706.4</v>
      </c>
      <c r="K2515" s="1">
        <v>42171</v>
      </c>
      <c r="L2515">
        <v>22383.48</v>
      </c>
    </row>
    <row r="2516" spans="1:12" x14ac:dyDescent="0.35">
      <c r="A2516" s="1">
        <v>42205</v>
      </c>
      <c r="B2516">
        <v>3686.58</v>
      </c>
      <c r="C2516" s="1">
        <v>42195</v>
      </c>
      <c r="D2516">
        <v>4903.07</v>
      </c>
      <c r="E2516" s="1">
        <v>42164</v>
      </c>
      <c r="F2516">
        <v>11001.29</v>
      </c>
      <c r="G2516" s="1">
        <v>42146</v>
      </c>
      <c r="H2516">
        <v>9865.8166399999991</v>
      </c>
      <c r="I2516" s="1">
        <v>42193</v>
      </c>
      <c r="J2516">
        <v>10430.299999999999</v>
      </c>
      <c r="K2516" s="1">
        <v>42170</v>
      </c>
      <c r="L2516">
        <v>22328.03</v>
      </c>
    </row>
    <row r="2517" spans="1:12" x14ac:dyDescent="0.35">
      <c r="A2517" s="1">
        <v>42202</v>
      </c>
      <c r="B2517">
        <v>3670.34</v>
      </c>
      <c r="C2517" s="1">
        <v>42194</v>
      </c>
      <c r="D2517">
        <v>4757.22</v>
      </c>
      <c r="E2517" s="1">
        <v>42163</v>
      </c>
      <c r="F2517">
        <v>11064.92</v>
      </c>
      <c r="G2517" s="1">
        <v>42145</v>
      </c>
      <c r="H2517">
        <v>9875.0564799999993</v>
      </c>
      <c r="I2517" s="1">
        <v>42192</v>
      </c>
      <c r="J2517">
        <v>10346</v>
      </c>
      <c r="K2517" s="1">
        <v>42167</v>
      </c>
      <c r="L2517">
        <v>22877.81</v>
      </c>
    </row>
    <row r="2518" spans="1:12" x14ac:dyDescent="0.35">
      <c r="A2518" s="1">
        <v>42201</v>
      </c>
      <c r="B2518">
        <v>3676.41</v>
      </c>
      <c r="C2518" s="1">
        <v>42193</v>
      </c>
      <c r="D2518">
        <v>4639.0200000000004</v>
      </c>
      <c r="E2518" s="1">
        <v>42160</v>
      </c>
      <c r="F2518">
        <v>11197.15</v>
      </c>
      <c r="G2518" s="1">
        <v>42144</v>
      </c>
      <c r="H2518">
        <v>9817.6144999999997</v>
      </c>
      <c r="I2518" s="1">
        <v>42191</v>
      </c>
      <c r="J2518">
        <v>10540.1</v>
      </c>
      <c r="K2518" s="1">
        <v>42166</v>
      </c>
      <c r="L2518">
        <v>23172.34</v>
      </c>
    </row>
    <row r="2519" spans="1:12" x14ac:dyDescent="0.35">
      <c r="A2519" s="1">
        <v>42200</v>
      </c>
      <c r="B2519">
        <v>3623.87</v>
      </c>
      <c r="C2519" s="1">
        <v>42192</v>
      </c>
      <c r="D2519">
        <v>4604.6400000000003</v>
      </c>
      <c r="E2519" s="1">
        <v>42159</v>
      </c>
      <c r="F2519">
        <v>11340.6</v>
      </c>
      <c r="G2519" s="1">
        <v>42143</v>
      </c>
      <c r="H2519">
        <v>9729.2572400000008</v>
      </c>
      <c r="I2519" s="1">
        <v>42188</v>
      </c>
      <c r="J2519">
        <v>10779.8</v>
      </c>
      <c r="K2519" s="1">
        <v>42165</v>
      </c>
      <c r="L2519">
        <v>23091.49</v>
      </c>
    </row>
    <row r="2520" spans="1:12" x14ac:dyDescent="0.35">
      <c r="A2520" s="1">
        <v>42199</v>
      </c>
      <c r="B2520">
        <v>3607.19</v>
      </c>
      <c r="C2520" s="1">
        <v>42191</v>
      </c>
      <c r="D2520">
        <v>4711.54</v>
      </c>
      <c r="E2520" s="1">
        <v>42158</v>
      </c>
      <c r="F2520">
        <v>11419.62</v>
      </c>
      <c r="G2520" s="1">
        <v>42142</v>
      </c>
      <c r="H2520">
        <v>9622.3327900000004</v>
      </c>
      <c r="I2520" s="1">
        <v>42187</v>
      </c>
      <c r="J2520">
        <v>10846.4</v>
      </c>
      <c r="K2520" s="1">
        <v>42164</v>
      </c>
      <c r="L2520">
        <v>22527.46</v>
      </c>
    </row>
    <row r="2521" spans="1:12" x14ac:dyDescent="0.35">
      <c r="A2521" s="1">
        <v>42198</v>
      </c>
      <c r="B2521">
        <v>3590.43</v>
      </c>
      <c r="C2521" s="1">
        <v>42188</v>
      </c>
      <c r="D2521">
        <v>4808.22</v>
      </c>
      <c r="E2521" s="1">
        <v>42157</v>
      </c>
      <c r="F2521">
        <v>11328.8</v>
      </c>
      <c r="G2521" s="1">
        <v>42139</v>
      </c>
      <c r="H2521">
        <v>9596.8547400000007</v>
      </c>
      <c r="I2521" s="1">
        <v>42186</v>
      </c>
      <c r="J2521">
        <v>10911.5</v>
      </c>
      <c r="K2521" s="1">
        <v>42163</v>
      </c>
      <c r="L2521">
        <v>22642.29</v>
      </c>
    </row>
    <row r="2522" spans="1:12" x14ac:dyDescent="0.35">
      <c r="A2522" s="1">
        <v>42195</v>
      </c>
      <c r="B2522">
        <v>3528.81</v>
      </c>
      <c r="C2522" s="1">
        <v>42187</v>
      </c>
      <c r="D2522">
        <v>4835.5600000000004</v>
      </c>
      <c r="E2522" s="1">
        <v>42156</v>
      </c>
      <c r="F2522">
        <v>11436.05</v>
      </c>
      <c r="G2522" s="1">
        <v>42138</v>
      </c>
      <c r="H2522">
        <v>9656.4868900000001</v>
      </c>
      <c r="I2522" s="1">
        <v>42185</v>
      </c>
      <c r="J2522">
        <v>10769.5</v>
      </c>
      <c r="K2522" s="1">
        <v>42160</v>
      </c>
      <c r="L2522">
        <v>22847.34</v>
      </c>
    </row>
    <row r="2523" spans="1:12" x14ac:dyDescent="0.35">
      <c r="A2523" s="1">
        <v>42194</v>
      </c>
      <c r="B2523">
        <v>3420.03</v>
      </c>
      <c r="C2523" s="1">
        <v>42186</v>
      </c>
      <c r="D2523">
        <v>4883.1899999999996</v>
      </c>
      <c r="E2523" s="1">
        <v>42153</v>
      </c>
      <c r="F2523">
        <v>11413.82</v>
      </c>
      <c r="G2523" s="1">
        <v>42137</v>
      </c>
      <c r="H2523">
        <v>9622.8937100000003</v>
      </c>
      <c r="I2523" s="1">
        <v>42184</v>
      </c>
      <c r="J2523">
        <v>10853.9</v>
      </c>
      <c r="K2523" s="1">
        <v>42159</v>
      </c>
      <c r="L2523">
        <v>23336.5</v>
      </c>
    </row>
    <row r="2524" spans="1:12" x14ac:dyDescent="0.35">
      <c r="A2524" s="1">
        <v>42193</v>
      </c>
      <c r="B2524">
        <v>3327.5</v>
      </c>
      <c r="C2524" s="1">
        <v>42185</v>
      </c>
      <c r="D2524">
        <v>4790.2</v>
      </c>
      <c r="E2524" s="1">
        <v>42152</v>
      </c>
      <c r="F2524">
        <v>11677.57</v>
      </c>
      <c r="G2524" s="1">
        <v>42136</v>
      </c>
      <c r="H2524">
        <v>9690.1659899999995</v>
      </c>
      <c r="I2524" s="1">
        <v>42181</v>
      </c>
      <c r="J2524">
        <v>11372.3</v>
      </c>
      <c r="K2524" s="1">
        <v>42158</v>
      </c>
      <c r="L2524">
        <v>23608.83</v>
      </c>
    </row>
    <row r="2525" spans="1:12" x14ac:dyDescent="0.35">
      <c r="A2525" s="1">
        <v>42192</v>
      </c>
      <c r="B2525">
        <v>3294.19</v>
      </c>
      <c r="C2525" s="1">
        <v>42184</v>
      </c>
      <c r="D2525">
        <v>4869.82</v>
      </c>
      <c r="E2525" s="1">
        <v>42151</v>
      </c>
      <c r="F2525">
        <v>11771.13</v>
      </c>
      <c r="G2525" s="1">
        <v>42135</v>
      </c>
      <c r="H2525">
        <v>9817.0929099999994</v>
      </c>
      <c r="I2525" s="1">
        <v>42180</v>
      </c>
      <c r="J2525">
        <v>11308.4</v>
      </c>
      <c r="K2525" s="1">
        <v>42157</v>
      </c>
      <c r="L2525">
        <v>23576.16</v>
      </c>
    </row>
    <row r="2526" spans="1:12" x14ac:dyDescent="0.35">
      <c r="A2526" s="1">
        <v>42191</v>
      </c>
      <c r="B2526">
        <v>3365.2</v>
      </c>
      <c r="C2526" s="1">
        <v>42181</v>
      </c>
      <c r="D2526">
        <v>5059.17</v>
      </c>
      <c r="E2526" s="1">
        <v>42150</v>
      </c>
      <c r="F2526">
        <v>11625.13</v>
      </c>
      <c r="G2526" s="1">
        <v>42132</v>
      </c>
      <c r="H2526">
        <v>9702.6440600000005</v>
      </c>
      <c r="I2526" s="1">
        <v>42179</v>
      </c>
      <c r="J2526">
        <v>11321.9</v>
      </c>
      <c r="K2526" s="1">
        <v>42156</v>
      </c>
      <c r="L2526">
        <v>23435.67</v>
      </c>
    </row>
    <row r="2527" spans="1:12" x14ac:dyDescent="0.35">
      <c r="A2527" s="1">
        <v>42188</v>
      </c>
      <c r="B2527">
        <v>3441.76</v>
      </c>
      <c r="C2527" s="1">
        <v>42180</v>
      </c>
      <c r="D2527">
        <v>5041.71</v>
      </c>
      <c r="E2527" s="1">
        <v>42146</v>
      </c>
      <c r="F2527">
        <v>11815.01</v>
      </c>
      <c r="G2527" s="1">
        <v>42131</v>
      </c>
      <c r="H2527">
        <v>9298.3299399999996</v>
      </c>
      <c r="I2527" s="1">
        <v>42178</v>
      </c>
      <c r="J2527">
        <v>11402.5</v>
      </c>
      <c r="K2527" s="1">
        <v>42153</v>
      </c>
      <c r="L2527">
        <v>23495.68</v>
      </c>
    </row>
    <row r="2528" spans="1:12" x14ac:dyDescent="0.35">
      <c r="A2528" s="1">
        <v>42187</v>
      </c>
      <c r="B2528">
        <v>3463.25</v>
      </c>
      <c r="C2528" s="1">
        <v>42179</v>
      </c>
      <c r="D2528">
        <v>5045.3500000000004</v>
      </c>
      <c r="E2528" s="1">
        <v>42145</v>
      </c>
      <c r="F2528">
        <v>11864.59</v>
      </c>
      <c r="G2528" s="1">
        <v>42130</v>
      </c>
      <c r="H2528">
        <v>9327.4509999999991</v>
      </c>
      <c r="I2528" s="1">
        <v>42177</v>
      </c>
      <c r="J2528">
        <v>11368.2</v>
      </c>
      <c r="K2528" s="1">
        <v>42152</v>
      </c>
      <c r="L2528">
        <v>23744.13</v>
      </c>
    </row>
    <row r="2529" spans="1:12" x14ac:dyDescent="0.35">
      <c r="A2529" s="1">
        <v>42186</v>
      </c>
      <c r="B2529">
        <v>3496.28</v>
      </c>
      <c r="C2529" s="1">
        <v>42178</v>
      </c>
      <c r="D2529">
        <v>5057.68</v>
      </c>
      <c r="E2529" s="1">
        <v>42144</v>
      </c>
      <c r="F2529">
        <v>11848.47</v>
      </c>
      <c r="G2529" s="1">
        <v>42129</v>
      </c>
      <c r="H2529">
        <v>9402.7317899999998</v>
      </c>
      <c r="I2529" s="1">
        <v>42174</v>
      </c>
      <c r="J2529">
        <v>10944.3</v>
      </c>
      <c r="K2529" s="1">
        <v>42151</v>
      </c>
      <c r="L2529">
        <v>23861.07</v>
      </c>
    </row>
    <row r="2530" spans="1:12" x14ac:dyDescent="0.35">
      <c r="A2530" s="1">
        <v>42185</v>
      </c>
      <c r="B2530">
        <v>3424.3</v>
      </c>
      <c r="C2530" s="1">
        <v>42177</v>
      </c>
      <c r="D2530">
        <v>4998.6099999999997</v>
      </c>
      <c r="E2530" s="1">
        <v>42143</v>
      </c>
      <c r="F2530">
        <v>11853.33</v>
      </c>
      <c r="G2530" s="1">
        <v>42125</v>
      </c>
      <c r="H2530">
        <v>9447.3145100000002</v>
      </c>
      <c r="I2530" s="1">
        <v>42173</v>
      </c>
      <c r="J2530">
        <v>10871.9</v>
      </c>
      <c r="K2530" s="1">
        <v>42150</v>
      </c>
      <c r="L2530">
        <v>23326.95</v>
      </c>
    </row>
    <row r="2531" spans="1:12" x14ac:dyDescent="0.35">
      <c r="A2531" s="1">
        <v>42184</v>
      </c>
      <c r="B2531">
        <v>3468.9</v>
      </c>
      <c r="C2531" s="1">
        <v>42174</v>
      </c>
      <c r="D2531">
        <v>4815.37</v>
      </c>
      <c r="E2531" s="1">
        <v>42142</v>
      </c>
      <c r="F2531">
        <v>11594.28</v>
      </c>
      <c r="G2531" s="1">
        <v>42124</v>
      </c>
      <c r="H2531">
        <v>9517.9508100000003</v>
      </c>
      <c r="I2531" s="1">
        <v>42172</v>
      </c>
      <c r="J2531">
        <v>10813.4</v>
      </c>
      <c r="K2531" s="1">
        <v>42149</v>
      </c>
      <c r="L2531">
        <v>23285.11</v>
      </c>
    </row>
    <row r="2532" spans="1:12" x14ac:dyDescent="0.35">
      <c r="A2532" s="1">
        <v>42181</v>
      </c>
      <c r="B2532">
        <v>3621.37</v>
      </c>
      <c r="C2532" s="1">
        <v>42173</v>
      </c>
      <c r="D2532">
        <v>4803.4799999999996</v>
      </c>
      <c r="E2532" s="1">
        <v>42139</v>
      </c>
      <c r="F2532">
        <v>11447.03</v>
      </c>
      <c r="G2532" s="1">
        <v>42123</v>
      </c>
      <c r="H2532">
        <v>9634.6599000000006</v>
      </c>
      <c r="I2532" s="1">
        <v>42171</v>
      </c>
      <c r="J2532">
        <v>10871.4</v>
      </c>
      <c r="K2532" s="1">
        <v>42146</v>
      </c>
      <c r="L2532">
        <v>23781.78</v>
      </c>
    </row>
    <row r="2533" spans="1:12" x14ac:dyDescent="0.35">
      <c r="A2533" s="1">
        <v>42180</v>
      </c>
      <c r="B2533">
        <v>3610.91</v>
      </c>
      <c r="C2533" s="1">
        <v>42172</v>
      </c>
      <c r="D2533">
        <v>4790.62</v>
      </c>
      <c r="E2533" s="1">
        <v>42138</v>
      </c>
      <c r="F2533">
        <v>11559.82</v>
      </c>
      <c r="G2533" s="1">
        <v>42122</v>
      </c>
      <c r="H2533">
        <v>9816.7196199999998</v>
      </c>
      <c r="I2533" s="1">
        <v>42170</v>
      </c>
      <c r="J2533">
        <v>10842.1</v>
      </c>
      <c r="K2533" s="1">
        <v>42145</v>
      </c>
      <c r="L2533">
        <v>23739.69</v>
      </c>
    </row>
    <row r="2534" spans="1:12" x14ac:dyDescent="0.35">
      <c r="A2534" s="1">
        <v>42179</v>
      </c>
      <c r="B2534">
        <v>3610.95</v>
      </c>
      <c r="C2534" s="1">
        <v>42171</v>
      </c>
      <c r="D2534">
        <v>4839.8599999999997</v>
      </c>
      <c r="E2534" s="1">
        <v>42137</v>
      </c>
      <c r="F2534">
        <v>11351.46</v>
      </c>
      <c r="G2534" s="1">
        <v>42121</v>
      </c>
      <c r="H2534">
        <v>9929.4191900000005</v>
      </c>
      <c r="I2534" s="1">
        <v>42167</v>
      </c>
      <c r="J2534">
        <v>11030.5</v>
      </c>
      <c r="K2534" s="1">
        <v>42144</v>
      </c>
      <c r="L2534">
        <v>23772.61</v>
      </c>
    </row>
    <row r="2535" spans="1:12" x14ac:dyDescent="0.35">
      <c r="A2535" s="1">
        <v>42178</v>
      </c>
      <c r="B2535">
        <v>3625.97</v>
      </c>
      <c r="C2535" s="1">
        <v>42170</v>
      </c>
      <c r="D2535">
        <v>4815.3599999999997</v>
      </c>
      <c r="E2535" s="1">
        <v>42136</v>
      </c>
      <c r="F2535">
        <v>11472.41</v>
      </c>
      <c r="G2535" s="1">
        <v>42118</v>
      </c>
      <c r="H2535">
        <v>9879.9562800000003</v>
      </c>
      <c r="I2535" s="1">
        <v>42166</v>
      </c>
      <c r="J2535">
        <v>11156.7</v>
      </c>
      <c r="K2535" s="1">
        <v>42143</v>
      </c>
      <c r="L2535">
        <v>23713.26</v>
      </c>
    </row>
    <row r="2536" spans="1:12" x14ac:dyDescent="0.35">
      <c r="A2536" s="1">
        <v>42177</v>
      </c>
      <c r="B2536">
        <v>3596.07</v>
      </c>
      <c r="C2536" s="1">
        <v>42167</v>
      </c>
      <c r="D2536">
        <v>4901.1899999999996</v>
      </c>
      <c r="E2536" s="1">
        <v>42135</v>
      </c>
      <c r="F2536">
        <v>11673.35</v>
      </c>
      <c r="G2536" s="1">
        <v>42117</v>
      </c>
      <c r="H2536">
        <v>9810.2317199999998</v>
      </c>
      <c r="I2536" s="1">
        <v>42165</v>
      </c>
      <c r="J2536">
        <v>11097.5</v>
      </c>
      <c r="K2536" s="1">
        <v>42142</v>
      </c>
      <c r="L2536">
        <v>23198.1</v>
      </c>
    </row>
    <row r="2537" spans="1:12" x14ac:dyDescent="0.35">
      <c r="A2537" s="1">
        <v>42174</v>
      </c>
      <c r="B2537">
        <v>3455.8</v>
      </c>
      <c r="C2537" s="1">
        <v>42166</v>
      </c>
      <c r="D2537">
        <v>4971.37</v>
      </c>
      <c r="E2537" s="1">
        <v>42132</v>
      </c>
      <c r="F2537">
        <v>11709.73</v>
      </c>
      <c r="G2537" s="1">
        <v>42116</v>
      </c>
      <c r="H2537">
        <v>9844.6460200000001</v>
      </c>
      <c r="I2537" s="1">
        <v>42164</v>
      </c>
      <c r="J2537">
        <v>10938.1</v>
      </c>
      <c r="K2537" s="1">
        <v>42139</v>
      </c>
      <c r="L2537">
        <v>23473.46</v>
      </c>
    </row>
    <row r="2538" spans="1:12" x14ac:dyDescent="0.35">
      <c r="A2538" s="1">
        <v>42173</v>
      </c>
      <c r="B2538">
        <v>3450.45</v>
      </c>
      <c r="C2538" s="1">
        <v>42165</v>
      </c>
      <c r="D2538">
        <v>4934.91</v>
      </c>
      <c r="E2538" s="1">
        <v>42131</v>
      </c>
      <c r="F2538">
        <v>11407.97</v>
      </c>
      <c r="G2538" s="1">
        <v>42115</v>
      </c>
      <c r="H2538">
        <v>9825.3145600000007</v>
      </c>
      <c r="I2538" s="1">
        <v>42163</v>
      </c>
      <c r="J2538">
        <v>10917.3</v>
      </c>
      <c r="K2538" s="1">
        <v>42138</v>
      </c>
      <c r="L2538">
        <v>23548.59</v>
      </c>
    </row>
    <row r="2539" spans="1:12" x14ac:dyDescent="0.35">
      <c r="A2539" s="1">
        <v>42172</v>
      </c>
      <c r="B2539">
        <v>3428.76</v>
      </c>
      <c r="C2539" s="1">
        <v>42164</v>
      </c>
      <c r="D2539">
        <v>4850.22</v>
      </c>
      <c r="E2539" s="1">
        <v>42130</v>
      </c>
      <c r="F2539">
        <v>11350.15</v>
      </c>
      <c r="G2539" s="1">
        <v>42114</v>
      </c>
      <c r="H2539">
        <v>9780.0820500000009</v>
      </c>
      <c r="I2539" s="1">
        <v>42160</v>
      </c>
      <c r="J2539">
        <v>11062</v>
      </c>
      <c r="K2539" s="1">
        <v>42137</v>
      </c>
      <c r="L2539">
        <v>23210.97</v>
      </c>
    </row>
    <row r="2540" spans="1:12" x14ac:dyDescent="0.35">
      <c r="A2540" s="1">
        <v>42171</v>
      </c>
      <c r="B2540">
        <v>3454.09</v>
      </c>
      <c r="C2540" s="1">
        <v>42163</v>
      </c>
      <c r="D2540">
        <v>4857.66</v>
      </c>
      <c r="E2540" s="1">
        <v>42129</v>
      </c>
      <c r="F2540">
        <v>11327.68</v>
      </c>
      <c r="G2540" s="1">
        <v>42111</v>
      </c>
      <c r="H2540">
        <v>9694.1068300000006</v>
      </c>
      <c r="I2540" s="1">
        <v>42159</v>
      </c>
      <c r="J2540">
        <v>11146.1</v>
      </c>
      <c r="K2540" s="1">
        <v>42136</v>
      </c>
      <c r="L2540">
        <v>23104.87</v>
      </c>
    </row>
    <row r="2541" spans="1:12" x14ac:dyDescent="0.35">
      <c r="A2541" s="1">
        <v>42170</v>
      </c>
      <c r="B2541">
        <v>3438.07</v>
      </c>
      <c r="C2541" s="1">
        <v>42160</v>
      </c>
      <c r="D2541">
        <v>4920.74</v>
      </c>
      <c r="E2541" s="1">
        <v>42128</v>
      </c>
      <c r="F2541">
        <v>11619.85</v>
      </c>
      <c r="G2541" s="1">
        <v>42110</v>
      </c>
      <c r="H2541">
        <v>9818.1709599999995</v>
      </c>
      <c r="I2541" s="1">
        <v>42158</v>
      </c>
      <c r="J2541">
        <v>11267.6</v>
      </c>
      <c r="K2541" s="1">
        <v>42135</v>
      </c>
      <c r="L2541">
        <v>23321.86</v>
      </c>
    </row>
    <row r="2542" spans="1:12" x14ac:dyDescent="0.35">
      <c r="A2542" s="1">
        <v>42167</v>
      </c>
      <c r="B2542">
        <v>3502.77</v>
      </c>
      <c r="C2542" s="1">
        <v>42159</v>
      </c>
      <c r="D2542">
        <v>4987.13</v>
      </c>
      <c r="E2542" s="1">
        <v>42124</v>
      </c>
      <c r="F2542">
        <v>11454.38</v>
      </c>
      <c r="G2542" s="1">
        <v>42109</v>
      </c>
      <c r="H2542">
        <v>9888.9776500000007</v>
      </c>
      <c r="I2542" s="1">
        <v>42157</v>
      </c>
      <c r="J2542">
        <v>11271.4</v>
      </c>
      <c r="K2542" s="1">
        <v>42132</v>
      </c>
      <c r="L2542">
        <v>23312.43</v>
      </c>
    </row>
    <row r="2543" spans="1:12" x14ac:dyDescent="0.35">
      <c r="A2543" s="1">
        <v>42166</v>
      </c>
      <c r="B2543">
        <v>3551.91</v>
      </c>
      <c r="C2543" s="1">
        <v>42158</v>
      </c>
      <c r="D2543">
        <v>5034.17</v>
      </c>
      <c r="E2543" s="1">
        <v>42123</v>
      </c>
      <c r="F2543">
        <v>11432.72</v>
      </c>
      <c r="G2543" s="1">
        <v>42108</v>
      </c>
      <c r="H2543">
        <v>9812.0361499999999</v>
      </c>
      <c r="I2543" s="1">
        <v>42156</v>
      </c>
      <c r="J2543">
        <v>11238.1</v>
      </c>
      <c r="K2543" s="1">
        <v>42131</v>
      </c>
      <c r="L2543">
        <v>22841.919999999998</v>
      </c>
    </row>
    <row r="2544" spans="1:12" x14ac:dyDescent="0.35">
      <c r="A2544" s="1">
        <v>42165</v>
      </c>
      <c r="B2544">
        <v>3526.48</v>
      </c>
      <c r="C2544" s="1">
        <v>42157</v>
      </c>
      <c r="D2544">
        <v>5004.46</v>
      </c>
      <c r="E2544" s="1">
        <v>42122</v>
      </c>
      <c r="F2544">
        <v>11811.66</v>
      </c>
      <c r="G2544" s="1">
        <v>42107</v>
      </c>
      <c r="H2544">
        <v>9792.0196899999992</v>
      </c>
      <c r="I2544" s="1">
        <v>42153</v>
      </c>
      <c r="J2544">
        <v>11217.6</v>
      </c>
      <c r="K2544" s="1">
        <v>42130</v>
      </c>
      <c r="L2544">
        <v>22659.85</v>
      </c>
    </row>
    <row r="2545" spans="1:12" x14ac:dyDescent="0.35">
      <c r="A2545" s="1">
        <v>42164</v>
      </c>
      <c r="B2545">
        <v>3456.79</v>
      </c>
      <c r="C2545" s="1">
        <v>42156</v>
      </c>
      <c r="D2545">
        <v>5025.3</v>
      </c>
      <c r="E2545" s="1">
        <v>42121</v>
      </c>
      <c r="F2545">
        <v>12039.16</v>
      </c>
      <c r="G2545" s="1">
        <v>42104</v>
      </c>
      <c r="H2545">
        <v>9808.6753800000006</v>
      </c>
      <c r="I2545" s="1">
        <v>42152</v>
      </c>
      <c r="J2545">
        <v>11382.8</v>
      </c>
      <c r="K2545" s="1">
        <v>42129</v>
      </c>
      <c r="L2545">
        <v>22576.35</v>
      </c>
    </row>
    <row r="2546" spans="1:12" x14ac:dyDescent="0.35">
      <c r="A2546" s="1">
        <v>42163</v>
      </c>
      <c r="B2546">
        <v>3468.31</v>
      </c>
      <c r="C2546" s="1">
        <v>42153</v>
      </c>
      <c r="D2546">
        <v>5007.8900000000003</v>
      </c>
      <c r="E2546" s="1">
        <v>42118</v>
      </c>
      <c r="F2546">
        <v>11810.85</v>
      </c>
      <c r="G2546" s="1">
        <v>42103</v>
      </c>
      <c r="H2546">
        <v>9689.1933100000006</v>
      </c>
      <c r="I2546" s="1">
        <v>42151</v>
      </c>
      <c r="J2546">
        <v>11431.1</v>
      </c>
      <c r="K2546" s="1">
        <v>42128</v>
      </c>
      <c r="L2546">
        <v>23217.17</v>
      </c>
    </row>
    <row r="2547" spans="1:12" x14ac:dyDescent="0.35">
      <c r="A2547" s="1">
        <v>42160</v>
      </c>
      <c r="B2547">
        <v>3510.01</v>
      </c>
      <c r="C2547" s="1">
        <v>42152</v>
      </c>
      <c r="D2547">
        <v>5137.83</v>
      </c>
      <c r="E2547" s="1">
        <v>42117</v>
      </c>
      <c r="F2547">
        <v>11723.58</v>
      </c>
      <c r="G2547" s="1">
        <v>42102</v>
      </c>
      <c r="H2547">
        <v>9565.1488100000006</v>
      </c>
      <c r="I2547" s="1">
        <v>42150</v>
      </c>
      <c r="J2547">
        <v>11240.3</v>
      </c>
      <c r="K2547" s="1">
        <v>42124</v>
      </c>
      <c r="L2547">
        <v>23045.52</v>
      </c>
    </row>
    <row r="2548" spans="1:12" x14ac:dyDescent="0.35">
      <c r="A2548" s="1">
        <v>42159</v>
      </c>
      <c r="B2548">
        <v>3556.38</v>
      </c>
      <c r="C2548" s="1">
        <v>42151</v>
      </c>
      <c r="D2548">
        <v>5182.53</v>
      </c>
      <c r="E2548" s="1">
        <v>42116</v>
      </c>
      <c r="F2548">
        <v>11867.37</v>
      </c>
      <c r="G2548" s="1">
        <v>42101</v>
      </c>
      <c r="H2548">
        <v>9529.3677800000005</v>
      </c>
      <c r="I2548" s="1">
        <v>42149</v>
      </c>
      <c r="J2548">
        <v>11322.3</v>
      </c>
      <c r="K2548" s="1">
        <v>42123</v>
      </c>
      <c r="L2548">
        <v>22995.63</v>
      </c>
    </row>
    <row r="2549" spans="1:12" x14ac:dyDescent="0.35">
      <c r="A2549" s="1">
        <v>42158</v>
      </c>
      <c r="B2549">
        <v>3583.82</v>
      </c>
      <c r="C2549" s="1">
        <v>42150</v>
      </c>
      <c r="D2549">
        <v>5083.54</v>
      </c>
      <c r="E2549" s="1">
        <v>42115</v>
      </c>
      <c r="F2549">
        <v>11939.58</v>
      </c>
      <c r="G2549" s="1">
        <v>42096</v>
      </c>
      <c r="H2549">
        <v>9323.1507600000004</v>
      </c>
      <c r="I2549" s="1">
        <v>42146</v>
      </c>
      <c r="J2549">
        <v>11554.2</v>
      </c>
      <c r="K2549" s="1">
        <v>42122</v>
      </c>
      <c r="L2549">
        <v>23532.09</v>
      </c>
    </row>
    <row r="2550" spans="1:12" x14ac:dyDescent="0.35">
      <c r="A2550" s="1">
        <v>42157</v>
      </c>
      <c r="B2550">
        <v>3561.89</v>
      </c>
      <c r="C2550" s="1">
        <v>42149</v>
      </c>
      <c r="D2550">
        <v>5117.17</v>
      </c>
      <c r="E2550" s="1">
        <v>42114</v>
      </c>
      <c r="F2550">
        <v>11891.91</v>
      </c>
      <c r="G2550" s="1">
        <v>42095</v>
      </c>
      <c r="H2550">
        <v>9367.1684100000002</v>
      </c>
      <c r="I2550" s="1">
        <v>42145</v>
      </c>
      <c r="J2550">
        <v>11595.4</v>
      </c>
      <c r="K2550" s="1">
        <v>42121</v>
      </c>
      <c r="L2550">
        <v>23806.27</v>
      </c>
    </row>
    <row r="2551" spans="1:12" x14ac:dyDescent="0.35">
      <c r="A2551" s="1">
        <v>42156</v>
      </c>
      <c r="B2551">
        <v>3575.04</v>
      </c>
      <c r="C2551" s="1">
        <v>42146</v>
      </c>
      <c r="D2551">
        <v>5142.8900000000003</v>
      </c>
      <c r="E2551" s="1">
        <v>42111</v>
      </c>
      <c r="F2551">
        <v>11688.7</v>
      </c>
      <c r="G2551" s="1">
        <v>42094</v>
      </c>
      <c r="H2551">
        <v>9371.0134899999994</v>
      </c>
      <c r="I2551" s="1">
        <v>42144</v>
      </c>
      <c r="J2551">
        <v>11574.1</v>
      </c>
      <c r="K2551" s="1">
        <v>42118</v>
      </c>
      <c r="L2551">
        <v>23427.35</v>
      </c>
    </row>
    <row r="2552" spans="1:12" x14ac:dyDescent="0.35">
      <c r="A2552" s="1">
        <v>42153</v>
      </c>
      <c r="B2552">
        <v>3570.78</v>
      </c>
      <c r="C2552" s="1">
        <v>42145</v>
      </c>
      <c r="D2552">
        <v>5146.7</v>
      </c>
      <c r="E2552" s="1">
        <v>42110</v>
      </c>
      <c r="F2552">
        <v>11998.86</v>
      </c>
      <c r="G2552" s="1">
        <v>42093</v>
      </c>
      <c r="H2552">
        <v>9435.2720900000004</v>
      </c>
      <c r="I2552" s="1">
        <v>42143</v>
      </c>
      <c r="J2552">
        <v>11497.7</v>
      </c>
      <c r="K2552" s="1">
        <v>42117</v>
      </c>
      <c r="L2552">
        <v>23199.43</v>
      </c>
    </row>
    <row r="2553" spans="1:12" x14ac:dyDescent="0.35">
      <c r="A2553" s="1">
        <v>42152</v>
      </c>
      <c r="B2553">
        <v>3650.71</v>
      </c>
      <c r="C2553" s="1">
        <v>42144</v>
      </c>
      <c r="D2553">
        <v>5133.3</v>
      </c>
      <c r="E2553" s="1">
        <v>42109</v>
      </c>
      <c r="F2553">
        <v>12231.34</v>
      </c>
      <c r="G2553" s="1">
        <v>42090</v>
      </c>
      <c r="H2553">
        <v>9356.3288900000007</v>
      </c>
      <c r="I2553" s="1">
        <v>42142</v>
      </c>
      <c r="J2553">
        <v>11345</v>
      </c>
      <c r="K2553" s="1">
        <v>42116</v>
      </c>
      <c r="L2553">
        <v>23315.4</v>
      </c>
    </row>
    <row r="2554" spans="1:12" x14ac:dyDescent="0.35">
      <c r="A2554" s="1">
        <v>42151</v>
      </c>
      <c r="B2554">
        <v>3682.87</v>
      </c>
      <c r="C2554" s="1">
        <v>42143</v>
      </c>
      <c r="D2554">
        <v>5117.3</v>
      </c>
      <c r="E2554" s="1">
        <v>42108</v>
      </c>
      <c r="F2554">
        <v>12227.6</v>
      </c>
      <c r="G2554" s="1">
        <v>42089</v>
      </c>
      <c r="H2554">
        <v>9403.5879800000002</v>
      </c>
      <c r="I2554" s="1">
        <v>42139</v>
      </c>
      <c r="J2554">
        <v>11317.3</v>
      </c>
      <c r="K2554" s="1">
        <v>42115</v>
      </c>
      <c r="L2554">
        <v>23240.26</v>
      </c>
    </row>
    <row r="2555" spans="1:12" x14ac:dyDescent="0.35">
      <c r="A2555" s="1">
        <v>42150</v>
      </c>
      <c r="B2555">
        <v>3619.3</v>
      </c>
      <c r="C2555" s="1">
        <v>42142</v>
      </c>
      <c r="D2555">
        <v>5012.3100000000004</v>
      </c>
      <c r="E2555" s="1">
        <v>42107</v>
      </c>
      <c r="F2555">
        <v>12338.73</v>
      </c>
      <c r="G2555" s="1">
        <v>42088</v>
      </c>
      <c r="H2555">
        <v>9484.8769799999991</v>
      </c>
      <c r="I2555" s="1">
        <v>42138</v>
      </c>
      <c r="J2555">
        <v>11398.7</v>
      </c>
      <c r="K2555" s="1">
        <v>42114</v>
      </c>
      <c r="L2555">
        <v>23332.98</v>
      </c>
    </row>
    <row r="2556" spans="1:12" x14ac:dyDescent="0.35">
      <c r="A2556" s="1">
        <v>42149</v>
      </c>
      <c r="B2556">
        <v>3655.41</v>
      </c>
      <c r="C2556" s="1">
        <v>42139</v>
      </c>
      <c r="D2556">
        <v>4993.82</v>
      </c>
      <c r="E2556" s="1">
        <v>42104</v>
      </c>
      <c r="F2556">
        <v>12374.73</v>
      </c>
      <c r="G2556" s="1">
        <v>42087</v>
      </c>
      <c r="H2556">
        <v>9555.6358199999995</v>
      </c>
      <c r="I2556" s="1">
        <v>42137</v>
      </c>
      <c r="J2556">
        <v>11324.6</v>
      </c>
      <c r="K2556" s="1">
        <v>42111</v>
      </c>
      <c r="L2556">
        <v>23044.080000000002</v>
      </c>
    </row>
    <row r="2557" spans="1:12" x14ac:dyDescent="0.35">
      <c r="A2557" s="1">
        <v>42146</v>
      </c>
      <c r="B2557">
        <v>3679.14</v>
      </c>
      <c r="C2557" s="1">
        <v>42138</v>
      </c>
      <c r="D2557">
        <v>5029.3100000000004</v>
      </c>
      <c r="E2557" s="1">
        <v>42103</v>
      </c>
      <c r="F2557">
        <v>12166.44</v>
      </c>
      <c r="G2557" s="1">
        <v>42086</v>
      </c>
      <c r="H2557">
        <v>9618.5352600000006</v>
      </c>
      <c r="I2557" s="1">
        <v>42136</v>
      </c>
      <c r="J2557">
        <v>11322.6</v>
      </c>
      <c r="K2557" s="1">
        <v>42110</v>
      </c>
      <c r="L2557">
        <v>23610.81</v>
      </c>
    </row>
    <row r="2558" spans="1:12" x14ac:dyDescent="0.35">
      <c r="A2558" s="1">
        <v>42145</v>
      </c>
      <c r="B2558">
        <v>3688.72</v>
      </c>
      <c r="C2558" s="1">
        <v>42137</v>
      </c>
      <c r="D2558">
        <v>4961.8599999999997</v>
      </c>
      <c r="E2558" s="1">
        <v>42102</v>
      </c>
      <c r="F2558">
        <v>12035.86</v>
      </c>
      <c r="G2558" s="1">
        <v>42083</v>
      </c>
      <c r="H2558">
        <v>9693.0966800000006</v>
      </c>
      <c r="I2558" s="1">
        <v>42135</v>
      </c>
      <c r="J2558">
        <v>11445.8</v>
      </c>
      <c r="K2558" s="1">
        <v>42109</v>
      </c>
      <c r="L2558">
        <v>24030.54</v>
      </c>
    </row>
    <row r="2559" spans="1:12" x14ac:dyDescent="0.35">
      <c r="A2559" s="1">
        <v>42144</v>
      </c>
      <c r="B2559">
        <v>3683.48</v>
      </c>
      <c r="C2559" s="1">
        <v>42136</v>
      </c>
      <c r="D2559">
        <v>4974.6499999999996</v>
      </c>
      <c r="E2559" s="1">
        <v>42101</v>
      </c>
      <c r="F2559">
        <v>12123.52</v>
      </c>
      <c r="G2559" s="1">
        <v>42082</v>
      </c>
      <c r="H2559">
        <v>9637.9196100000008</v>
      </c>
      <c r="I2559" s="1">
        <v>42132</v>
      </c>
      <c r="J2559">
        <v>11424.7</v>
      </c>
      <c r="K2559" s="1">
        <v>42108</v>
      </c>
      <c r="L2559">
        <v>23752.91</v>
      </c>
    </row>
    <row r="2560" spans="1:12" x14ac:dyDescent="0.35">
      <c r="A2560" s="1">
        <v>42143</v>
      </c>
      <c r="B2560">
        <v>3670.52</v>
      </c>
      <c r="C2560" s="1">
        <v>42135</v>
      </c>
      <c r="D2560">
        <v>5027.87</v>
      </c>
      <c r="E2560" s="1">
        <v>42096</v>
      </c>
      <c r="F2560">
        <v>11967.39</v>
      </c>
      <c r="G2560" s="1">
        <v>42081</v>
      </c>
      <c r="H2560">
        <v>9608.4068000000007</v>
      </c>
      <c r="I2560" s="1">
        <v>42131</v>
      </c>
      <c r="J2560">
        <v>11180.3</v>
      </c>
      <c r="K2560" s="1">
        <v>42107</v>
      </c>
      <c r="L2560">
        <v>24008.91</v>
      </c>
    </row>
    <row r="2561" spans="1:12" x14ac:dyDescent="0.35">
      <c r="A2561" s="1">
        <v>42142</v>
      </c>
      <c r="B2561">
        <v>3589.22</v>
      </c>
      <c r="C2561" s="1">
        <v>42132</v>
      </c>
      <c r="D2561">
        <v>5090.3900000000003</v>
      </c>
      <c r="E2561" s="1">
        <v>42095</v>
      </c>
      <c r="F2561">
        <v>12001.38</v>
      </c>
      <c r="G2561" s="1">
        <v>42080</v>
      </c>
      <c r="H2561">
        <v>9521.6704000000009</v>
      </c>
      <c r="I2561" s="1">
        <v>42130</v>
      </c>
      <c r="J2561">
        <v>11163.6</v>
      </c>
      <c r="K2561" s="1">
        <v>42104</v>
      </c>
      <c r="L2561">
        <v>23877.25</v>
      </c>
    </row>
    <row r="2562" spans="1:12" x14ac:dyDescent="0.35">
      <c r="A2562" s="1">
        <v>42139</v>
      </c>
      <c r="B2562">
        <v>3573.07</v>
      </c>
      <c r="C2562" s="1">
        <v>42131</v>
      </c>
      <c r="D2562">
        <v>4967.22</v>
      </c>
      <c r="E2562" s="1">
        <v>42094</v>
      </c>
      <c r="F2562">
        <v>11966.17</v>
      </c>
      <c r="G2562" s="1">
        <v>42079</v>
      </c>
      <c r="H2562">
        <v>9533.4220100000002</v>
      </c>
      <c r="I2562" s="1">
        <v>42129</v>
      </c>
      <c r="J2562">
        <v>11115.6</v>
      </c>
      <c r="K2562" s="1">
        <v>42103</v>
      </c>
      <c r="L2562">
        <v>23803.9</v>
      </c>
    </row>
    <row r="2563" spans="1:12" x14ac:dyDescent="0.35">
      <c r="A2563" s="1">
        <v>42138</v>
      </c>
      <c r="B2563">
        <v>3602.22</v>
      </c>
      <c r="C2563" s="1">
        <v>42130</v>
      </c>
      <c r="D2563">
        <v>4981.59</v>
      </c>
      <c r="E2563" s="1">
        <v>42093</v>
      </c>
      <c r="F2563">
        <v>12086.01</v>
      </c>
      <c r="G2563" s="1">
        <v>42076</v>
      </c>
      <c r="H2563">
        <v>9461.3535699999993</v>
      </c>
      <c r="I2563" s="1">
        <v>42128</v>
      </c>
      <c r="J2563">
        <v>11429.1</v>
      </c>
      <c r="K2563" s="1">
        <v>42102</v>
      </c>
      <c r="L2563">
        <v>23578.7</v>
      </c>
    </row>
    <row r="2564" spans="1:12" x14ac:dyDescent="0.35">
      <c r="A2564" s="1">
        <v>42137</v>
      </c>
      <c r="B2564">
        <v>3553.42</v>
      </c>
      <c r="C2564" s="1">
        <v>42129</v>
      </c>
      <c r="D2564">
        <v>4974.07</v>
      </c>
      <c r="E2564" s="1">
        <v>42090</v>
      </c>
      <c r="F2564">
        <v>11868.33</v>
      </c>
      <c r="G2564" s="1">
        <v>42075</v>
      </c>
      <c r="H2564">
        <v>9470.8512800000008</v>
      </c>
      <c r="I2564" s="1">
        <v>42124</v>
      </c>
      <c r="J2564">
        <v>11385</v>
      </c>
      <c r="K2564" s="1">
        <v>42101</v>
      </c>
      <c r="L2564">
        <v>23706.34</v>
      </c>
    </row>
    <row r="2565" spans="1:12" x14ac:dyDescent="0.35">
      <c r="A2565" s="1">
        <v>42136</v>
      </c>
      <c r="B2565">
        <v>3573.1</v>
      </c>
      <c r="C2565" s="1">
        <v>42128</v>
      </c>
      <c r="D2565">
        <v>5081.97</v>
      </c>
      <c r="E2565" s="1">
        <v>42089</v>
      </c>
      <c r="F2565">
        <v>11843.68</v>
      </c>
      <c r="G2565" s="1">
        <v>42074</v>
      </c>
      <c r="H2565">
        <v>9517.4590399999997</v>
      </c>
      <c r="I2565" s="1">
        <v>42123</v>
      </c>
      <c r="J2565">
        <v>11378.9</v>
      </c>
      <c r="K2565" s="1">
        <v>42096</v>
      </c>
      <c r="L2565">
        <v>23308.53</v>
      </c>
    </row>
    <row r="2566" spans="1:12" x14ac:dyDescent="0.35">
      <c r="A2566" s="1">
        <v>42135</v>
      </c>
      <c r="B2566">
        <v>3624.41</v>
      </c>
      <c r="C2566" s="1">
        <v>42124</v>
      </c>
      <c r="D2566">
        <v>5046.49</v>
      </c>
      <c r="E2566" s="1">
        <v>42088</v>
      </c>
      <c r="F2566">
        <v>11865.32</v>
      </c>
      <c r="G2566" s="1">
        <v>42073</v>
      </c>
      <c r="H2566">
        <v>9440.5052199999991</v>
      </c>
      <c r="I2566" s="1">
        <v>42122</v>
      </c>
      <c r="J2566">
        <v>11607.7</v>
      </c>
      <c r="K2566" s="1">
        <v>42095</v>
      </c>
      <c r="L2566">
        <v>23358.99</v>
      </c>
    </row>
    <row r="2567" spans="1:12" x14ac:dyDescent="0.35">
      <c r="A2567" s="1">
        <v>42132</v>
      </c>
      <c r="B2567">
        <v>3649.48</v>
      </c>
      <c r="C2567" s="1">
        <v>42123</v>
      </c>
      <c r="D2567">
        <v>5039.3900000000003</v>
      </c>
      <c r="E2567" s="1">
        <v>42087</v>
      </c>
      <c r="F2567">
        <v>12005.69</v>
      </c>
      <c r="G2567" s="1">
        <v>42072</v>
      </c>
      <c r="H2567">
        <v>9573.8698299999996</v>
      </c>
      <c r="I2567" s="1">
        <v>42121</v>
      </c>
      <c r="J2567">
        <v>11640.2</v>
      </c>
      <c r="K2567" s="1">
        <v>42094</v>
      </c>
      <c r="L2567">
        <v>23157.119999999999</v>
      </c>
    </row>
    <row r="2568" spans="1:12" x14ac:dyDescent="0.35">
      <c r="A2568" s="1">
        <v>42131</v>
      </c>
      <c r="B2568">
        <v>3556.21</v>
      </c>
      <c r="C2568" s="1">
        <v>42122</v>
      </c>
      <c r="D2568">
        <v>5173.38</v>
      </c>
      <c r="E2568" s="1">
        <v>42086</v>
      </c>
      <c r="F2568">
        <v>11895.84</v>
      </c>
      <c r="G2568" s="1">
        <v>42069</v>
      </c>
      <c r="H2568">
        <v>9587.7667799999999</v>
      </c>
      <c r="I2568" s="1">
        <v>42118</v>
      </c>
      <c r="J2568">
        <v>11505.4</v>
      </c>
      <c r="K2568" s="1">
        <v>42093</v>
      </c>
      <c r="L2568">
        <v>23260.57</v>
      </c>
    </row>
    <row r="2569" spans="1:12" x14ac:dyDescent="0.35">
      <c r="A2569" s="1">
        <v>42130</v>
      </c>
      <c r="B2569">
        <v>3558.03</v>
      </c>
      <c r="C2569" s="1">
        <v>42121</v>
      </c>
      <c r="D2569">
        <v>5268.91</v>
      </c>
      <c r="E2569" s="1">
        <v>42083</v>
      </c>
      <c r="F2569">
        <v>12039.37</v>
      </c>
      <c r="G2569" s="1">
        <v>42068</v>
      </c>
      <c r="H2569">
        <v>9621.8789099999995</v>
      </c>
      <c r="I2569" s="1">
        <v>42117</v>
      </c>
      <c r="J2569">
        <v>11425.8</v>
      </c>
      <c r="K2569" s="1">
        <v>42090</v>
      </c>
      <c r="L2569">
        <v>22984.23</v>
      </c>
    </row>
    <row r="2570" spans="1:12" x14ac:dyDescent="0.35">
      <c r="A2570" s="1">
        <v>42129</v>
      </c>
      <c r="B2570">
        <v>3546.56</v>
      </c>
      <c r="C2570" s="1">
        <v>42118</v>
      </c>
      <c r="D2570">
        <v>5201.45</v>
      </c>
      <c r="E2570" s="1">
        <v>42082</v>
      </c>
      <c r="F2570">
        <v>11899.4</v>
      </c>
      <c r="G2570" s="1">
        <v>42067</v>
      </c>
      <c r="H2570">
        <v>9537.4659200000006</v>
      </c>
      <c r="I2570" s="1">
        <v>42116</v>
      </c>
      <c r="J2570">
        <v>11399.2</v>
      </c>
      <c r="K2570" s="1">
        <v>42089</v>
      </c>
      <c r="L2570">
        <v>22900.27</v>
      </c>
    </row>
    <row r="2571" spans="1:12" x14ac:dyDescent="0.35">
      <c r="A2571" s="1">
        <v>42128</v>
      </c>
      <c r="B2571">
        <v>3632.94</v>
      </c>
      <c r="C2571" s="1">
        <v>42117</v>
      </c>
      <c r="D2571">
        <v>5178.91</v>
      </c>
      <c r="E2571" s="1">
        <v>42081</v>
      </c>
      <c r="F2571">
        <v>11922.77</v>
      </c>
      <c r="G2571" s="1">
        <v>42066</v>
      </c>
      <c r="H2571">
        <v>9460.6372300000003</v>
      </c>
      <c r="I2571" s="1">
        <v>42115</v>
      </c>
      <c r="J2571">
        <v>11422.3</v>
      </c>
      <c r="K2571" s="1">
        <v>42088</v>
      </c>
      <c r="L2571">
        <v>23145.1</v>
      </c>
    </row>
    <row r="2572" spans="1:12" x14ac:dyDescent="0.35">
      <c r="A2572" s="1">
        <v>42125</v>
      </c>
      <c r="B2572">
        <v>3615.59</v>
      </c>
      <c r="C2572" s="1">
        <v>42116</v>
      </c>
      <c r="D2572">
        <v>5211.09</v>
      </c>
      <c r="E2572" s="1">
        <v>42080</v>
      </c>
      <c r="F2572">
        <v>11980.85</v>
      </c>
      <c r="G2572" s="1">
        <v>42065</v>
      </c>
      <c r="H2572">
        <v>9536.7051100000008</v>
      </c>
      <c r="I2572" s="1">
        <v>42114</v>
      </c>
      <c r="J2572">
        <v>11384.6</v>
      </c>
      <c r="K2572" s="1">
        <v>42087</v>
      </c>
      <c r="L2572">
        <v>23333.200000000001</v>
      </c>
    </row>
    <row r="2573" spans="1:12" x14ac:dyDescent="0.35">
      <c r="A2573" s="1">
        <v>42124</v>
      </c>
      <c r="B2573">
        <v>3615.59</v>
      </c>
      <c r="C2573" s="1">
        <v>42115</v>
      </c>
      <c r="D2573">
        <v>5192.6400000000003</v>
      </c>
      <c r="E2573" s="1">
        <v>42079</v>
      </c>
      <c r="F2573">
        <v>12167.72</v>
      </c>
      <c r="G2573" s="1">
        <v>42062</v>
      </c>
      <c r="H2573">
        <v>9580.7441199999994</v>
      </c>
      <c r="I2573" s="1">
        <v>42111</v>
      </c>
      <c r="J2573">
        <v>11359.4</v>
      </c>
      <c r="K2573" s="1">
        <v>42086</v>
      </c>
      <c r="L2573">
        <v>23057.119999999999</v>
      </c>
    </row>
    <row r="2574" spans="1:12" x14ac:dyDescent="0.35">
      <c r="A2574" s="1">
        <v>42123</v>
      </c>
      <c r="B2574">
        <v>3617.11</v>
      </c>
      <c r="C2574" s="1">
        <v>42114</v>
      </c>
      <c r="D2574">
        <v>5187.59</v>
      </c>
      <c r="E2574" s="1">
        <v>42076</v>
      </c>
      <c r="F2574">
        <v>11901.61</v>
      </c>
      <c r="G2574" s="1">
        <v>42061</v>
      </c>
      <c r="H2574">
        <v>9565.1129799999999</v>
      </c>
      <c r="I2574" s="1">
        <v>42110</v>
      </c>
      <c r="J2574">
        <v>11611.7</v>
      </c>
      <c r="K2574" s="1">
        <v>42083</v>
      </c>
      <c r="L2574">
        <v>23176.68</v>
      </c>
    </row>
    <row r="2575" spans="1:12" x14ac:dyDescent="0.35">
      <c r="A2575" s="1">
        <v>42122</v>
      </c>
      <c r="B2575">
        <v>3715.42</v>
      </c>
      <c r="C2575" s="1">
        <v>42111</v>
      </c>
      <c r="D2575">
        <v>5143.26</v>
      </c>
      <c r="E2575" s="1">
        <v>42075</v>
      </c>
      <c r="F2575">
        <v>11799.39</v>
      </c>
      <c r="G2575" s="1">
        <v>42060</v>
      </c>
      <c r="H2575">
        <v>9465.8812300000009</v>
      </c>
      <c r="I2575" s="1">
        <v>42109</v>
      </c>
      <c r="J2575">
        <v>11778.4</v>
      </c>
      <c r="K2575" s="1">
        <v>42082</v>
      </c>
      <c r="L2575">
        <v>22805.17</v>
      </c>
    </row>
    <row r="2576" spans="1:12" x14ac:dyDescent="0.35">
      <c r="A2576" s="1">
        <v>42121</v>
      </c>
      <c r="B2576">
        <v>3771.45</v>
      </c>
      <c r="C2576" s="1">
        <v>42110</v>
      </c>
      <c r="D2576">
        <v>5224.49</v>
      </c>
      <c r="E2576" s="1">
        <v>42074</v>
      </c>
      <c r="F2576">
        <v>11805.99</v>
      </c>
      <c r="G2576" s="1">
        <v>42059</v>
      </c>
      <c r="H2576">
        <v>9477.8828300000005</v>
      </c>
      <c r="I2576" s="1">
        <v>42108</v>
      </c>
      <c r="J2576">
        <v>11704.7</v>
      </c>
      <c r="K2576" s="1">
        <v>42081</v>
      </c>
      <c r="L2576">
        <v>22565.19</v>
      </c>
    </row>
    <row r="2577" spans="1:12" x14ac:dyDescent="0.35">
      <c r="A2577" s="1">
        <v>42118</v>
      </c>
      <c r="B2577">
        <v>3713.96</v>
      </c>
      <c r="C2577" s="1">
        <v>42109</v>
      </c>
      <c r="D2577">
        <v>5254.35</v>
      </c>
      <c r="E2577" s="1">
        <v>42073</v>
      </c>
      <c r="F2577">
        <v>11500.38</v>
      </c>
      <c r="G2577" s="1">
        <v>42058</v>
      </c>
      <c r="H2577">
        <v>9425.8390799999997</v>
      </c>
      <c r="I2577" s="1">
        <v>42107</v>
      </c>
      <c r="J2577">
        <v>11866.4</v>
      </c>
      <c r="K2577" s="1">
        <v>42080</v>
      </c>
      <c r="L2577">
        <v>22723.06</v>
      </c>
    </row>
    <row r="2578" spans="1:12" x14ac:dyDescent="0.35">
      <c r="A2578" s="1">
        <v>42117</v>
      </c>
      <c r="B2578">
        <v>3697.88</v>
      </c>
      <c r="C2578" s="1">
        <v>42108</v>
      </c>
      <c r="D2578">
        <v>5218.0600000000004</v>
      </c>
      <c r="E2578" s="1">
        <v>42072</v>
      </c>
      <c r="F2578">
        <v>11582.11</v>
      </c>
      <c r="G2578" s="1">
        <v>42055</v>
      </c>
      <c r="H2578">
        <v>9347.9325200000003</v>
      </c>
      <c r="I2578" s="1">
        <v>42104</v>
      </c>
      <c r="J2578">
        <v>11749.3</v>
      </c>
      <c r="K2578" s="1">
        <v>42079</v>
      </c>
      <c r="L2578">
        <v>22930.92</v>
      </c>
    </row>
    <row r="2579" spans="1:12" x14ac:dyDescent="0.35">
      <c r="A2579" s="1">
        <v>42116</v>
      </c>
      <c r="B2579">
        <v>3724.49</v>
      </c>
      <c r="C2579" s="1">
        <v>42107</v>
      </c>
      <c r="D2579">
        <v>5254.12</v>
      </c>
      <c r="E2579" s="1">
        <v>42069</v>
      </c>
      <c r="F2579">
        <v>11550.97</v>
      </c>
      <c r="G2579" s="1">
        <v>42054</v>
      </c>
      <c r="H2579">
        <v>9348.1397799999995</v>
      </c>
      <c r="I2579" s="1">
        <v>42103</v>
      </c>
      <c r="J2579">
        <v>11734.6</v>
      </c>
      <c r="K2579" s="1">
        <v>42076</v>
      </c>
      <c r="L2579">
        <v>22713.59</v>
      </c>
    </row>
    <row r="2580" spans="1:12" x14ac:dyDescent="0.35">
      <c r="A2580" s="1">
        <v>42115</v>
      </c>
      <c r="B2580">
        <v>3719.38</v>
      </c>
      <c r="C2580" s="1">
        <v>42104</v>
      </c>
      <c r="D2580">
        <v>5240.46</v>
      </c>
      <c r="E2580" s="1">
        <v>42068</v>
      </c>
      <c r="F2580">
        <v>11504.01</v>
      </c>
      <c r="G2580" s="1">
        <v>42053</v>
      </c>
      <c r="H2580">
        <v>9376.8399499999996</v>
      </c>
      <c r="I2580" s="1">
        <v>42102</v>
      </c>
      <c r="J2580">
        <v>11655.5</v>
      </c>
      <c r="K2580" s="1">
        <v>42075</v>
      </c>
      <c r="L2580">
        <v>22809.01</v>
      </c>
    </row>
    <row r="2581" spans="1:12" x14ac:dyDescent="0.35">
      <c r="A2581" s="1">
        <v>42114</v>
      </c>
      <c r="B2581">
        <v>3718.04</v>
      </c>
      <c r="C2581" s="1">
        <v>42103</v>
      </c>
      <c r="D2581">
        <v>5208.95</v>
      </c>
      <c r="E2581" s="1">
        <v>42067</v>
      </c>
      <c r="F2581">
        <v>11390.38</v>
      </c>
      <c r="G2581" s="1">
        <v>42052</v>
      </c>
      <c r="H2581">
        <v>9281.4828500000003</v>
      </c>
      <c r="I2581" s="1">
        <v>42101</v>
      </c>
      <c r="J2581">
        <v>11730.5</v>
      </c>
      <c r="K2581" s="1">
        <v>42074</v>
      </c>
      <c r="L2581">
        <v>22833.040000000001</v>
      </c>
    </row>
    <row r="2582" spans="1:12" x14ac:dyDescent="0.35">
      <c r="A2582" s="1">
        <v>42111</v>
      </c>
      <c r="B2582">
        <v>3674.05</v>
      </c>
      <c r="C2582" s="1">
        <v>42102</v>
      </c>
      <c r="D2582">
        <v>5136.8599999999997</v>
      </c>
      <c r="E2582" s="1">
        <v>42066</v>
      </c>
      <c r="F2582">
        <v>11280.36</v>
      </c>
      <c r="G2582" s="1">
        <v>42051</v>
      </c>
      <c r="H2582">
        <v>9270.5432099999998</v>
      </c>
      <c r="I2582" s="1">
        <v>42096</v>
      </c>
      <c r="J2582">
        <v>11634</v>
      </c>
      <c r="K2582" s="1">
        <v>42073</v>
      </c>
      <c r="L2582">
        <v>22345.77</v>
      </c>
    </row>
    <row r="2583" spans="1:12" x14ac:dyDescent="0.35">
      <c r="A2583" s="1">
        <v>42110</v>
      </c>
      <c r="B2583">
        <v>3751.72</v>
      </c>
      <c r="C2583" s="1">
        <v>42101</v>
      </c>
      <c r="D2583">
        <v>5151.1899999999996</v>
      </c>
      <c r="E2583" s="1">
        <v>42065</v>
      </c>
      <c r="F2583">
        <v>11410.36</v>
      </c>
      <c r="G2583" s="1">
        <v>42048</v>
      </c>
      <c r="H2583">
        <v>9278.7699900000007</v>
      </c>
      <c r="I2583" s="1">
        <v>42095</v>
      </c>
      <c r="J2583">
        <v>11569.8</v>
      </c>
      <c r="K2583" s="1">
        <v>42072</v>
      </c>
      <c r="L2583">
        <v>22564.35</v>
      </c>
    </row>
    <row r="2584" spans="1:12" x14ac:dyDescent="0.35">
      <c r="A2584" s="1">
        <v>42109</v>
      </c>
      <c r="B2584">
        <v>3803.55</v>
      </c>
      <c r="C2584" s="1">
        <v>42096</v>
      </c>
      <c r="D2584">
        <v>5074.1400000000003</v>
      </c>
      <c r="E2584" s="1">
        <v>42062</v>
      </c>
      <c r="F2584">
        <v>11401.66</v>
      </c>
      <c r="G2584" s="1">
        <v>42047</v>
      </c>
      <c r="H2584">
        <v>9215.6700600000004</v>
      </c>
      <c r="I2584" s="1">
        <v>42094</v>
      </c>
      <c r="J2584">
        <v>11521.1</v>
      </c>
      <c r="K2584" s="1">
        <v>42069</v>
      </c>
      <c r="L2584">
        <v>22436.13</v>
      </c>
    </row>
    <row r="2585" spans="1:12" x14ac:dyDescent="0.35">
      <c r="A2585" s="1">
        <v>42108</v>
      </c>
      <c r="B2585">
        <v>3784.53</v>
      </c>
      <c r="C2585" s="1">
        <v>42095</v>
      </c>
      <c r="D2585">
        <v>5062.22</v>
      </c>
      <c r="E2585" s="1">
        <v>42061</v>
      </c>
      <c r="F2585">
        <v>11327.19</v>
      </c>
      <c r="G2585" s="1">
        <v>42046</v>
      </c>
      <c r="H2585">
        <v>9196.74179</v>
      </c>
      <c r="I2585" s="1">
        <v>42093</v>
      </c>
      <c r="J2585">
        <v>11529.1</v>
      </c>
      <c r="K2585" s="1">
        <v>42068</v>
      </c>
      <c r="L2585">
        <v>22400.080000000002</v>
      </c>
    </row>
    <row r="2586" spans="1:12" x14ac:dyDescent="0.35">
      <c r="A2586" s="1">
        <v>42107</v>
      </c>
      <c r="B2586">
        <v>3828.78</v>
      </c>
      <c r="C2586" s="1">
        <v>42094</v>
      </c>
      <c r="D2586">
        <v>5033.6400000000003</v>
      </c>
      <c r="E2586" s="1">
        <v>42060</v>
      </c>
      <c r="F2586">
        <v>11210.27</v>
      </c>
      <c r="G2586" s="1">
        <v>42045</v>
      </c>
      <c r="H2586">
        <v>9211.3430800000006</v>
      </c>
      <c r="I2586" s="1">
        <v>42090</v>
      </c>
      <c r="J2586">
        <v>11427.4</v>
      </c>
      <c r="K2586" s="1">
        <v>42067</v>
      </c>
      <c r="L2586">
        <v>22131.08</v>
      </c>
    </row>
    <row r="2587" spans="1:12" x14ac:dyDescent="0.35">
      <c r="A2587" s="1">
        <v>42104</v>
      </c>
      <c r="B2587">
        <v>3816.76</v>
      </c>
      <c r="C2587" s="1">
        <v>42093</v>
      </c>
      <c r="D2587">
        <v>5083.5200000000004</v>
      </c>
      <c r="E2587" s="1">
        <v>42059</v>
      </c>
      <c r="F2587">
        <v>11205.74</v>
      </c>
      <c r="G2587" s="1">
        <v>42044</v>
      </c>
      <c r="H2587">
        <v>9182.9883000000009</v>
      </c>
      <c r="I2587" s="1">
        <v>42089</v>
      </c>
      <c r="J2587">
        <v>11453.8</v>
      </c>
      <c r="K2587" s="1">
        <v>42066</v>
      </c>
      <c r="L2587">
        <v>21987.18</v>
      </c>
    </row>
    <row r="2588" spans="1:12" x14ac:dyDescent="0.35">
      <c r="A2588" s="1">
        <v>42103</v>
      </c>
      <c r="B2588">
        <v>3781.79</v>
      </c>
      <c r="C2588" s="1">
        <v>42090</v>
      </c>
      <c r="D2588">
        <v>5034.0600000000004</v>
      </c>
      <c r="E2588" s="1">
        <v>42058</v>
      </c>
      <c r="F2588">
        <v>11130.92</v>
      </c>
      <c r="G2588" s="1">
        <v>42041</v>
      </c>
      <c r="H2588">
        <v>9224.4808499999999</v>
      </c>
      <c r="I2588" s="1">
        <v>42088</v>
      </c>
      <c r="J2588">
        <v>11464.7</v>
      </c>
      <c r="K2588" s="1">
        <v>42065</v>
      </c>
      <c r="L2588">
        <v>22297.599999999999</v>
      </c>
    </row>
    <row r="2589" spans="1:12" x14ac:dyDescent="0.35">
      <c r="A2589" s="1">
        <v>42102</v>
      </c>
      <c r="B2589">
        <v>3742.63</v>
      </c>
      <c r="C2589" s="1">
        <v>42089</v>
      </c>
      <c r="D2589">
        <v>5006.3500000000004</v>
      </c>
      <c r="E2589" s="1">
        <v>42055</v>
      </c>
      <c r="F2589">
        <v>11050.64</v>
      </c>
      <c r="G2589" s="1">
        <v>42040</v>
      </c>
      <c r="H2589">
        <v>9173.7602800000004</v>
      </c>
      <c r="I2589" s="1">
        <v>42087</v>
      </c>
      <c r="J2589">
        <v>11579.3</v>
      </c>
      <c r="K2589" s="1">
        <v>42062</v>
      </c>
      <c r="L2589">
        <v>22337.79</v>
      </c>
    </row>
    <row r="2590" spans="1:12" x14ac:dyDescent="0.35">
      <c r="A2590" s="1">
        <v>42101</v>
      </c>
      <c r="B2590">
        <v>3768.72</v>
      </c>
      <c r="C2590" s="1">
        <v>42088</v>
      </c>
      <c r="D2590">
        <v>5020.99</v>
      </c>
      <c r="E2590" s="1">
        <v>42054</v>
      </c>
      <c r="F2590">
        <v>11001.94</v>
      </c>
      <c r="G2590" s="1">
        <v>42039</v>
      </c>
      <c r="H2590">
        <v>9135.8759599999994</v>
      </c>
      <c r="I2590" s="1">
        <v>42086</v>
      </c>
      <c r="J2590">
        <v>11452.8</v>
      </c>
      <c r="K2590" s="1">
        <v>42061</v>
      </c>
      <c r="L2590">
        <v>22165.13</v>
      </c>
    </row>
    <row r="2591" spans="1:12" x14ac:dyDescent="0.35">
      <c r="A2591" s="1">
        <v>42096</v>
      </c>
      <c r="B2591">
        <v>3715.27</v>
      </c>
      <c r="C2591" s="1">
        <v>42087</v>
      </c>
      <c r="D2591">
        <v>5088.28</v>
      </c>
      <c r="E2591" s="1">
        <v>42053</v>
      </c>
      <c r="F2591">
        <v>10961</v>
      </c>
      <c r="G2591" s="1">
        <v>42038</v>
      </c>
      <c r="H2591">
        <v>9081.7267900000006</v>
      </c>
      <c r="I2591" s="1">
        <v>42083</v>
      </c>
      <c r="J2591">
        <v>11419.6</v>
      </c>
      <c r="K2591" s="1">
        <v>42060</v>
      </c>
      <c r="L2591">
        <v>21937.24</v>
      </c>
    </row>
    <row r="2592" spans="1:12" x14ac:dyDescent="0.35">
      <c r="A2592" s="1">
        <v>42095</v>
      </c>
      <c r="B2592">
        <v>3714.89</v>
      </c>
      <c r="C2592" s="1">
        <v>42086</v>
      </c>
      <c r="D2592">
        <v>5054.5200000000004</v>
      </c>
      <c r="E2592" s="1">
        <v>42052</v>
      </c>
      <c r="F2592">
        <v>10895.62</v>
      </c>
      <c r="G2592" s="1">
        <v>42037</v>
      </c>
      <c r="H2592">
        <v>8993.3273499999996</v>
      </c>
      <c r="I2592" s="1">
        <v>42082</v>
      </c>
      <c r="J2592">
        <v>11091</v>
      </c>
      <c r="K2592" s="1">
        <v>42059</v>
      </c>
      <c r="L2592">
        <v>22149.75</v>
      </c>
    </row>
    <row r="2593" spans="1:12" x14ac:dyDescent="0.35">
      <c r="A2593" s="1">
        <v>42094</v>
      </c>
      <c r="B2593">
        <v>3697.38</v>
      </c>
      <c r="C2593" s="1">
        <v>42083</v>
      </c>
      <c r="D2593">
        <v>5087.49</v>
      </c>
      <c r="E2593" s="1">
        <v>42051</v>
      </c>
      <c r="F2593">
        <v>10923.23</v>
      </c>
      <c r="G2593" s="1">
        <v>42034</v>
      </c>
      <c r="H2593">
        <v>8980.8635699999995</v>
      </c>
      <c r="I2593" s="1">
        <v>42081</v>
      </c>
      <c r="J2593">
        <v>11050</v>
      </c>
      <c r="K2593" s="1">
        <v>42058</v>
      </c>
      <c r="L2593">
        <v>21964.29</v>
      </c>
    </row>
    <row r="2594" spans="1:12" x14ac:dyDescent="0.35">
      <c r="A2594" s="1">
        <v>42093</v>
      </c>
      <c r="B2594">
        <v>3727.8</v>
      </c>
      <c r="C2594" s="1">
        <v>42082</v>
      </c>
      <c r="D2594">
        <v>5037.18</v>
      </c>
      <c r="E2594" s="1">
        <v>42048</v>
      </c>
      <c r="F2594">
        <v>10963.4</v>
      </c>
      <c r="G2594" s="1">
        <v>42033</v>
      </c>
      <c r="H2594">
        <v>9065.5381500000003</v>
      </c>
      <c r="I2594" s="1">
        <v>42080</v>
      </c>
      <c r="J2594">
        <v>11028.1</v>
      </c>
      <c r="K2594" s="1">
        <v>42055</v>
      </c>
      <c r="L2594">
        <v>21842.57</v>
      </c>
    </row>
    <row r="2595" spans="1:12" x14ac:dyDescent="0.35">
      <c r="A2595" s="1">
        <v>42090</v>
      </c>
      <c r="B2595">
        <v>3679.03</v>
      </c>
      <c r="C2595" s="1">
        <v>42081</v>
      </c>
      <c r="D2595">
        <v>5033.42</v>
      </c>
      <c r="E2595" s="1">
        <v>42047</v>
      </c>
      <c r="F2595">
        <v>10919.65</v>
      </c>
      <c r="G2595" s="1">
        <v>42032</v>
      </c>
      <c r="H2595">
        <v>9124.2990499999996</v>
      </c>
      <c r="I2595" s="1">
        <v>42079</v>
      </c>
      <c r="J2595">
        <v>11114.7</v>
      </c>
      <c r="K2595" s="1">
        <v>42054</v>
      </c>
      <c r="L2595">
        <v>21789.98</v>
      </c>
    </row>
    <row r="2596" spans="1:12" x14ac:dyDescent="0.35">
      <c r="A2596" s="1">
        <v>42089</v>
      </c>
      <c r="B2596">
        <v>3669.79</v>
      </c>
      <c r="C2596" s="1">
        <v>42080</v>
      </c>
      <c r="D2596">
        <v>5028.93</v>
      </c>
      <c r="E2596" s="1">
        <v>42046</v>
      </c>
      <c r="F2596">
        <v>10752.11</v>
      </c>
      <c r="G2596" s="1">
        <v>42031</v>
      </c>
      <c r="H2596">
        <v>9119.1456300000009</v>
      </c>
      <c r="I2596" s="1">
        <v>42076</v>
      </c>
      <c r="J2596">
        <v>11033.8</v>
      </c>
      <c r="K2596" s="1">
        <v>42053</v>
      </c>
      <c r="L2596">
        <v>21659.33</v>
      </c>
    </row>
    <row r="2597" spans="1:12" x14ac:dyDescent="0.35">
      <c r="A2597" s="1">
        <v>42088</v>
      </c>
      <c r="B2597">
        <v>3684.04</v>
      </c>
      <c r="C2597" s="1">
        <v>42079</v>
      </c>
      <c r="D2597">
        <v>5061.16</v>
      </c>
      <c r="E2597" s="1">
        <v>42045</v>
      </c>
      <c r="F2597">
        <v>10753.83</v>
      </c>
      <c r="G2597" s="1">
        <v>42030</v>
      </c>
      <c r="H2597">
        <v>9168.1224099999999</v>
      </c>
      <c r="I2597" s="1">
        <v>42075</v>
      </c>
      <c r="J2597">
        <v>11011.8</v>
      </c>
      <c r="K2597" s="1">
        <v>42052</v>
      </c>
      <c r="L2597">
        <v>21266.25</v>
      </c>
    </row>
    <row r="2598" spans="1:12" x14ac:dyDescent="0.35">
      <c r="A2598" s="1">
        <v>42087</v>
      </c>
      <c r="B2598">
        <v>3731.35</v>
      </c>
      <c r="C2598" s="1">
        <v>42076</v>
      </c>
      <c r="D2598">
        <v>5010.46</v>
      </c>
      <c r="E2598" s="1">
        <v>42044</v>
      </c>
      <c r="F2598">
        <v>10663.51</v>
      </c>
      <c r="G2598" s="1">
        <v>42027</v>
      </c>
      <c r="H2598">
        <v>9117.3203900000008</v>
      </c>
      <c r="I2598" s="1">
        <v>42074</v>
      </c>
      <c r="J2598">
        <v>11021.8</v>
      </c>
      <c r="K2598" s="1">
        <v>42051</v>
      </c>
      <c r="L2598">
        <v>21165.84</v>
      </c>
    </row>
    <row r="2599" spans="1:12" x14ac:dyDescent="0.35">
      <c r="A2599" s="1">
        <v>42086</v>
      </c>
      <c r="B2599">
        <v>3699.04</v>
      </c>
      <c r="C2599" s="1">
        <v>42075</v>
      </c>
      <c r="D2599">
        <v>4987.33</v>
      </c>
      <c r="E2599" s="1">
        <v>42041</v>
      </c>
      <c r="F2599">
        <v>10846.39</v>
      </c>
      <c r="G2599" s="1">
        <v>42026</v>
      </c>
      <c r="H2599">
        <v>8970.0230599999995</v>
      </c>
      <c r="I2599" s="1">
        <v>42073</v>
      </c>
      <c r="J2599">
        <v>10902.2</v>
      </c>
      <c r="K2599" s="1">
        <v>42048</v>
      </c>
      <c r="L2599">
        <v>21204.07</v>
      </c>
    </row>
    <row r="2600" spans="1:12" x14ac:dyDescent="0.35">
      <c r="A2600" s="1">
        <v>42083</v>
      </c>
      <c r="B2600">
        <v>3726.07</v>
      </c>
      <c r="C2600" s="1">
        <v>42074</v>
      </c>
      <c r="D2600">
        <v>4997.75</v>
      </c>
      <c r="E2600" s="1">
        <v>42040</v>
      </c>
      <c r="F2600">
        <v>10905.41</v>
      </c>
      <c r="G2600" s="1">
        <v>42025</v>
      </c>
      <c r="H2600">
        <v>8782.1992499999997</v>
      </c>
      <c r="I2600" s="1">
        <v>42072</v>
      </c>
      <c r="J2600">
        <v>11054.2</v>
      </c>
      <c r="K2600" s="1">
        <v>42047</v>
      </c>
      <c r="L2600">
        <v>21002.91</v>
      </c>
    </row>
    <row r="2601" spans="1:12" x14ac:dyDescent="0.35">
      <c r="A2601" s="1">
        <v>42082</v>
      </c>
      <c r="B2601">
        <v>3670.73</v>
      </c>
      <c r="C2601" s="1">
        <v>42073</v>
      </c>
      <c r="D2601">
        <v>4881.95</v>
      </c>
      <c r="E2601" s="1">
        <v>42039</v>
      </c>
      <c r="F2601">
        <v>10911.32</v>
      </c>
      <c r="G2601" s="1">
        <v>42024</v>
      </c>
      <c r="H2601">
        <v>8686.1582299999991</v>
      </c>
      <c r="I2601" s="1">
        <v>42069</v>
      </c>
      <c r="J2601">
        <v>11091.9</v>
      </c>
      <c r="K2601" s="1">
        <v>42046</v>
      </c>
      <c r="L2601">
        <v>20565.759999999998</v>
      </c>
    </row>
    <row r="2602" spans="1:12" x14ac:dyDescent="0.35">
      <c r="A2602" s="1">
        <v>42081</v>
      </c>
      <c r="B2602">
        <v>3668.52</v>
      </c>
      <c r="C2602" s="1">
        <v>42072</v>
      </c>
      <c r="D2602">
        <v>4937.2</v>
      </c>
      <c r="E2602" s="1">
        <v>42038</v>
      </c>
      <c r="F2602">
        <v>10890.95</v>
      </c>
      <c r="G2602" s="1">
        <v>42023</v>
      </c>
      <c r="H2602">
        <v>8585.7521400000005</v>
      </c>
      <c r="I2602" s="1">
        <v>42068</v>
      </c>
      <c r="J2602">
        <v>11124.4</v>
      </c>
      <c r="K2602" s="1">
        <v>42045</v>
      </c>
      <c r="L2602">
        <v>20725.63</v>
      </c>
    </row>
    <row r="2603" spans="1:12" x14ac:dyDescent="0.35">
      <c r="A2603" s="1">
        <v>42080</v>
      </c>
      <c r="B2603">
        <v>3672.16</v>
      </c>
      <c r="C2603" s="1">
        <v>42069</v>
      </c>
      <c r="D2603">
        <v>4964.3500000000004</v>
      </c>
      <c r="E2603" s="1">
        <v>42037</v>
      </c>
      <c r="F2603">
        <v>10828.01</v>
      </c>
      <c r="G2603" s="1">
        <v>42020</v>
      </c>
      <c r="H2603">
        <v>8592.2661900000003</v>
      </c>
      <c r="I2603" s="1">
        <v>42067</v>
      </c>
      <c r="J2603">
        <v>11051.3</v>
      </c>
      <c r="K2603" s="1">
        <v>42044</v>
      </c>
      <c r="L2603">
        <v>20366.64</v>
      </c>
    </row>
    <row r="2604" spans="1:12" x14ac:dyDescent="0.35">
      <c r="A2604" s="1">
        <v>42079</v>
      </c>
      <c r="B2604">
        <v>3706.75</v>
      </c>
      <c r="C2604" s="1">
        <v>42068</v>
      </c>
      <c r="D2604">
        <v>4963.51</v>
      </c>
      <c r="E2604" s="1">
        <v>42034</v>
      </c>
      <c r="F2604">
        <v>10694.32</v>
      </c>
      <c r="G2604" s="1">
        <v>42019</v>
      </c>
      <c r="H2604">
        <v>8489.1399099999999</v>
      </c>
      <c r="I2604" s="1">
        <v>42066</v>
      </c>
      <c r="J2604">
        <v>11014.7</v>
      </c>
      <c r="K2604" s="1">
        <v>42041</v>
      </c>
      <c r="L2604">
        <v>20760.740000000002</v>
      </c>
    </row>
    <row r="2605" spans="1:12" x14ac:dyDescent="0.35">
      <c r="A2605" s="1">
        <v>42076</v>
      </c>
      <c r="B2605">
        <v>3656.21</v>
      </c>
      <c r="C2605" s="1">
        <v>42067</v>
      </c>
      <c r="D2605">
        <v>4917.3500000000004</v>
      </c>
      <c r="E2605" s="1">
        <v>42033</v>
      </c>
      <c r="F2605">
        <v>10737.87</v>
      </c>
      <c r="G2605" s="1">
        <v>42018</v>
      </c>
      <c r="H2605">
        <v>8248.9607799999994</v>
      </c>
      <c r="I2605" s="1">
        <v>42065</v>
      </c>
      <c r="J2605">
        <v>11178.5</v>
      </c>
      <c r="K2605" s="1">
        <v>42040</v>
      </c>
      <c r="L2605">
        <v>20819.05</v>
      </c>
    </row>
    <row r="2606" spans="1:12" x14ac:dyDescent="0.35">
      <c r="A2606" s="1">
        <v>42075</v>
      </c>
      <c r="B2606">
        <v>3641.32</v>
      </c>
      <c r="C2606" s="1">
        <v>42066</v>
      </c>
      <c r="D2606">
        <v>4869.25</v>
      </c>
      <c r="E2606" s="1">
        <v>42032</v>
      </c>
      <c r="F2606">
        <v>10710.97</v>
      </c>
      <c r="G2606" s="1">
        <v>42017</v>
      </c>
      <c r="H2606">
        <v>8416.3168600000008</v>
      </c>
      <c r="I2606" s="1">
        <v>42062</v>
      </c>
      <c r="J2606">
        <v>11178.3</v>
      </c>
      <c r="K2606" s="1">
        <v>42039</v>
      </c>
      <c r="L2606">
        <v>20941.73</v>
      </c>
    </row>
    <row r="2607" spans="1:12" x14ac:dyDescent="0.35">
      <c r="A2607" s="1">
        <v>42074</v>
      </c>
      <c r="B2607">
        <v>3649.54</v>
      </c>
      <c r="C2607" s="1">
        <v>42065</v>
      </c>
      <c r="D2607">
        <v>4917.32</v>
      </c>
      <c r="E2607" s="1">
        <v>42031</v>
      </c>
      <c r="F2607">
        <v>10628.58</v>
      </c>
      <c r="G2607" s="1">
        <v>42016</v>
      </c>
      <c r="H2607">
        <v>8336.5070899999992</v>
      </c>
      <c r="I2607" s="1">
        <v>42061</v>
      </c>
      <c r="J2607">
        <v>11139.5</v>
      </c>
      <c r="K2607" s="1">
        <v>42038</v>
      </c>
      <c r="L2607">
        <v>21011.55</v>
      </c>
    </row>
    <row r="2608" spans="1:12" x14ac:dyDescent="0.35">
      <c r="A2608" s="1">
        <v>42073</v>
      </c>
      <c r="B2608">
        <v>3567.25</v>
      </c>
      <c r="C2608" s="1">
        <v>42062</v>
      </c>
      <c r="D2608">
        <v>4951.4799999999996</v>
      </c>
      <c r="E2608" s="1">
        <v>42030</v>
      </c>
      <c r="F2608">
        <v>10798.33</v>
      </c>
      <c r="G2608" s="1">
        <v>42013</v>
      </c>
      <c r="H2608">
        <v>8321.2393800000009</v>
      </c>
      <c r="I2608" s="1">
        <v>42060</v>
      </c>
      <c r="J2608">
        <v>11049.5</v>
      </c>
      <c r="K2608" s="1">
        <v>42037</v>
      </c>
      <c r="L2608">
        <v>20485.689999999999</v>
      </c>
    </row>
    <row r="2609" spans="1:12" x14ac:dyDescent="0.35">
      <c r="A2609" s="1">
        <v>42072</v>
      </c>
      <c r="B2609">
        <v>3610.28</v>
      </c>
      <c r="C2609" s="1">
        <v>42061</v>
      </c>
      <c r="D2609">
        <v>4910.62</v>
      </c>
      <c r="E2609" s="1">
        <v>42027</v>
      </c>
      <c r="F2609">
        <v>10649.58</v>
      </c>
      <c r="G2609" s="1">
        <v>42012</v>
      </c>
      <c r="H2609">
        <v>8403.5665100000006</v>
      </c>
      <c r="I2609" s="1">
        <v>42059</v>
      </c>
      <c r="J2609">
        <v>11064.5</v>
      </c>
      <c r="K2609" s="1">
        <v>42034</v>
      </c>
      <c r="L2609">
        <v>20503.38</v>
      </c>
    </row>
    <row r="2610" spans="1:12" x14ac:dyDescent="0.35">
      <c r="A2610" s="1">
        <v>42069</v>
      </c>
      <c r="B2610">
        <v>3617.62</v>
      </c>
      <c r="C2610" s="1">
        <v>42060</v>
      </c>
      <c r="D2610">
        <v>4882.22</v>
      </c>
      <c r="E2610" s="1">
        <v>42026</v>
      </c>
      <c r="F2610">
        <v>10435.620000000001</v>
      </c>
      <c r="G2610" s="1">
        <v>42011</v>
      </c>
      <c r="H2610">
        <v>8187.8609500000002</v>
      </c>
      <c r="I2610" s="1">
        <v>42058</v>
      </c>
      <c r="J2610">
        <v>10990.1</v>
      </c>
      <c r="K2610" s="1">
        <v>42033</v>
      </c>
      <c r="L2610">
        <v>20593.72</v>
      </c>
    </row>
    <row r="2611" spans="1:12" x14ac:dyDescent="0.35">
      <c r="A2611" s="1">
        <v>42068</v>
      </c>
      <c r="B2611">
        <v>3618.21</v>
      </c>
      <c r="C2611" s="1">
        <v>42059</v>
      </c>
      <c r="D2611">
        <v>4886.4399999999996</v>
      </c>
      <c r="E2611" s="1">
        <v>42025</v>
      </c>
      <c r="F2611">
        <v>10299.23</v>
      </c>
      <c r="G2611" s="1">
        <v>42010</v>
      </c>
      <c r="H2611">
        <v>8102.0541599999997</v>
      </c>
      <c r="I2611" s="1">
        <v>42055</v>
      </c>
      <c r="J2611">
        <v>10879.3</v>
      </c>
      <c r="K2611" s="1">
        <v>42032</v>
      </c>
      <c r="L2611">
        <v>20478.439999999999</v>
      </c>
    </row>
    <row r="2612" spans="1:12" x14ac:dyDescent="0.35">
      <c r="A2612" s="1">
        <v>42067</v>
      </c>
      <c r="B2612">
        <v>3583.44</v>
      </c>
      <c r="C2612" s="1">
        <v>42058</v>
      </c>
      <c r="D2612">
        <v>4862.3</v>
      </c>
      <c r="E2612" s="1">
        <v>42024</v>
      </c>
      <c r="F2612">
        <v>10257.129999999999</v>
      </c>
      <c r="G2612" s="1">
        <v>42009</v>
      </c>
      <c r="H2612">
        <v>8194.8903900000005</v>
      </c>
      <c r="I2612" s="1">
        <v>42054</v>
      </c>
      <c r="J2612">
        <v>10910.4</v>
      </c>
      <c r="K2612" s="1">
        <v>42031</v>
      </c>
      <c r="L2612">
        <v>20645.82</v>
      </c>
    </row>
    <row r="2613" spans="1:12" x14ac:dyDescent="0.35">
      <c r="A2613" s="1">
        <v>42066</v>
      </c>
      <c r="B2613">
        <v>3549.11</v>
      </c>
      <c r="C2613" s="1">
        <v>42055</v>
      </c>
      <c r="D2613">
        <v>4830.8999999999996</v>
      </c>
      <c r="E2613" s="1">
        <v>42023</v>
      </c>
      <c r="F2613">
        <v>10242.35</v>
      </c>
      <c r="G2613" s="1">
        <v>42006</v>
      </c>
      <c r="H2613">
        <v>8373.6602999999996</v>
      </c>
      <c r="I2613" s="1">
        <v>42053</v>
      </c>
      <c r="J2613">
        <v>10805.3</v>
      </c>
      <c r="K2613" s="1">
        <v>42030</v>
      </c>
      <c r="L2613">
        <v>20756.72</v>
      </c>
    </row>
    <row r="2614" spans="1:12" x14ac:dyDescent="0.35">
      <c r="A2614" s="1">
        <v>42065</v>
      </c>
      <c r="B2614">
        <v>3591.09</v>
      </c>
      <c r="C2614" s="1">
        <v>42054</v>
      </c>
      <c r="D2614">
        <v>4833.28</v>
      </c>
      <c r="E2614" s="1">
        <v>42020</v>
      </c>
      <c r="F2614">
        <v>10167.77</v>
      </c>
      <c r="G2614" s="1">
        <v>42004</v>
      </c>
      <c r="H2614">
        <v>8455.0618400000003</v>
      </c>
      <c r="I2614" s="1">
        <v>42052</v>
      </c>
      <c r="J2614">
        <v>10698</v>
      </c>
      <c r="K2614" s="1">
        <v>42027</v>
      </c>
      <c r="L2614">
        <v>20519.75</v>
      </c>
    </row>
    <row r="2615" spans="1:12" x14ac:dyDescent="0.35">
      <c r="A2615" s="1">
        <v>42062</v>
      </c>
      <c r="B2615">
        <v>3599</v>
      </c>
      <c r="C2615" s="1">
        <v>42053</v>
      </c>
      <c r="D2615">
        <v>4799.03</v>
      </c>
      <c r="E2615" s="1">
        <v>42019</v>
      </c>
      <c r="F2615">
        <v>10032.61</v>
      </c>
      <c r="G2615" s="1">
        <v>42003</v>
      </c>
      <c r="H2615">
        <v>8378.5659300000007</v>
      </c>
      <c r="I2615" s="1">
        <v>42051</v>
      </c>
      <c r="J2615">
        <v>10689.5</v>
      </c>
      <c r="K2615" s="1">
        <v>42026</v>
      </c>
      <c r="L2615">
        <v>20469.740000000002</v>
      </c>
    </row>
    <row r="2616" spans="1:12" x14ac:dyDescent="0.35">
      <c r="A2616" s="1">
        <v>42061</v>
      </c>
      <c r="B2616">
        <v>3574.94</v>
      </c>
      <c r="C2616" s="1">
        <v>42052</v>
      </c>
      <c r="D2616">
        <v>4753.99</v>
      </c>
      <c r="E2616" s="1">
        <v>42018</v>
      </c>
      <c r="F2616">
        <v>9817.08</v>
      </c>
      <c r="G2616" s="1">
        <v>42002</v>
      </c>
      <c r="H2616">
        <v>8459.1967000000004</v>
      </c>
      <c r="I2616" s="1">
        <v>42048</v>
      </c>
      <c r="J2616">
        <v>10739.5</v>
      </c>
      <c r="K2616" s="1">
        <v>42025</v>
      </c>
      <c r="L2616">
        <v>19981.41</v>
      </c>
    </row>
    <row r="2617" spans="1:12" x14ac:dyDescent="0.35">
      <c r="A2617" s="1">
        <v>42060</v>
      </c>
      <c r="B2617">
        <v>3541.78</v>
      </c>
      <c r="C2617" s="1">
        <v>42051</v>
      </c>
      <c r="D2617">
        <v>4751.95</v>
      </c>
      <c r="E2617" s="1">
        <v>42017</v>
      </c>
      <c r="F2617">
        <v>9941</v>
      </c>
      <c r="G2617" s="1">
        <v>41997</v>
      </c>
      <c r="H2617">
        <v>8431.8631299999997</v>
      </c>
      <c r="I2617" s="1">
        <v>42047</v>
      </c>
      <c r="J2617">
        <v>10562.2</v>
      </c>
      <c r="K2617" s="1">
        <v>42024</v>
      </c>
      <c r="L2617">
        <v>19658.66</v>
      </c>
    </row>
    <row r="2618" spans="1:12" x14ac:dyDescent="0.35">
      <c r="A2618" s="1">
        <v>42059</v>
      </c>
      <c r="B2618">
        <v>3547.1</v>
      </c>
      <c r="C2618" s="1">
        <v>42048</v>
      </c>
      <c r="D2618">
        <v>4759.3599999999997</v>
      </c>
      <c r="E2618" s="1">
        <v>42016</v>
      </c>
      <c r="F2618">
        <v>9781.9</v>
      </c>
      <c r="G2618" s="1">
        <v>41996</v>
      </c>
      <c r="H2618">
        <v>8407.5856399999993</v>
      </c>
      <c r="I2618" s="1">
        <v>42046</v>
      </c>
      <c r="J2618">
        <v>10364.799999999999</v>
      </c>
      <c r="K2618" s="1">
        <v>42023</v>
      </c>
      <c r="L2618">
        <v>19480.53</v>
      </c>
    </row>
    <row r="2619" spans="1:12" x14ac:dyDescent="0.35">
      <c r="A2619" s="1">
        <v>42058</v>
      </c>
      <c r="B2619">
        <v>3519.58</v>
      </c>
      <c r="C2619" s="1">
        <v>42047</v>
      </c>
      <c r="D2619">
        <v>4726.2</v>
      </c>
      <c r="E2619" s="1">
        <v>42013</v>
      </c>
      <c r="F2619">
        <v>9648.5</v>
      </c>
      <c r="G2619" s="1">
        <v>41995</v>
      </c>
      <c r="H2619">
        <v>8376.5938399999995</v>
      </c>
      <c r="I2619" s="1">
        <v>42045</v>
      </c>
      <c r="J2619">
        <v>10500.1</v>
      </c>
      <c r="K2619" s="1">
        <v>42020</v>
      </c>
      <c r="L2619">
        <v>19254.54</v>
      </c>
    </row>
    <row r="2620" spans="1:12" x14ac:dyDescent="0.35">
      <c r="A2620" s="1">
        <v>42055</v>
      </c>
      <c r="B2620">
        <v>3490.53</v>
      </c>
      <c r="C2620" s="1">
        <v>42046</v>
      </c>
      <c r="D2620">
        <v>4679.38</v>
      </c>
      <c r="E2620" s="1">
        <v>42012</v>
      </c>
      <c r="F2620">
        <v>9837.61</v>
      </c>
      <c r="G2620" s="1">
        <v>41992</v>
      </c>
      <c r="H2620">
        <v>8353.2404100000003</v>
      </c>
      <c r="I2620" s="1">
        <v>42044</v>
      </c>
      <c r="J2620">
        <v>10364.9</v>
      </c>
      <c r="K2620" s="1">
        <v>42019</v>
      </c>
      <c r="L2620">
        <v>18844.52</v>
      </c>
    </row>
    <row r="2621" spans="1:12" x14ac:dyDescent="0.35">
      <c r="A2621" s="1">
        <v>42054</v>
      </c>
      <c r="B2621">
        <v>3488.08</v>
      </c>
      <c r="C2621" s="1">
        <v>42045</v>
      </c>
      <c r="D2621">
        <v>4695.6499999999996</v>
      </c>
      <c r="E2621" s="1">
        <v>42011</v>
      </c>
      <c r="F2621">
        <v>9518.18</v>
      </c>
      <c r="G2621" s="1">
        <v>41991</v>
      </c>
      <c r="H2621">
        <v>8243.5709900000002</v>
      </c>
      <c r="I2621" s="1">
        <v>42041</v>
      </c>
      <c r="J2621">
        <v>10573.1</v>
      </c>
      <c r="K2621" s="1">
        <v>42018</v>
      </c>
      <c r="L2621">
        <v>18410.68</v>
      </c>
    </row>
    <row r="2622" spans="1:12" x14ac:dyDescent="0.35">
      <c r="A2622" s="1">
        <v>42053</v>
      </c>
      <c r="B2622">
        <v>3465.8</v>
      </c>
      <c r="C2622" s="1">
        <v>42044</v>
      </c>
      <c r="D2622">
        <v>4651.08</v>
      </c>
      <c r="E2622" s="1">
        <v>42010</v>
      </c>
      <c r="F2622">
        <v>9469.66</v>
      </c>
      <c r="G2622" s="1">
        <v>41990</v>
      </c>
      <c r="H2622">
        <v>7990.9174199999998</v>
      </c>
      <c r="I2622" s="1">
        <v>42040</v>
      </c>
      <c r="J2622">
        <v>10535.5</v>
      </c>
      <c r="K2622" s="1">
        <v>42017</v>
      </c>
      <c r="L2622">
        <v>18708.93</v>
      </c>
    </row>
    <row r="2623" spans="1:12" x14ac:dyDescent="0.35">
      <c r="A2623" s="1">
        <v>42052</v>
      </c>
      <c r="B2623">
        <v>3438.44</v>
      </c>
      <c r="C2623" s="1">
        <v>42041</v>
      </c>
      <c r="D2623">
        <v>4691.03</v>
      </c>
      <c r="E2623" s="1">
        <v>42009</v>
      </c>
      <c r="F2623">
        <v>9473.16</v>
      </c>
      <c r="G2623" s="1">
        <v>41989</v>
      </c>
      <c r="H2623">
        <v>7974.3904199999997</v>
      </c>
      <c r="I2623" s="1">
        <v>42039</v>
      </c>
      <c r="J2623">
        <v>10577.8</v>
      </c>
      <c r="K2623" s="1">
        <v>42016</v>
      </c>
      <c r="L2623">
        <v>18349.150000000001</v>
      </c>
    </row>
    <row r="2624" spans="1:12" x14ac:dyDescent="0.35">
      <c r="A2624" s="1">
        <v>42051</v>
      </c>
      <c r="B2624">
        <v>3433.3</v>
      </c>
      <c r="C2624" s="1">
        <v>42040</v>
      </c>
      <c r="D2624">
        <v>4703.3</v>
      </c>
      <c r="E2624" s="1">
        <v>42006</v>
      </c>
      <c r="F2624">
        <v>9764.73</v>
      </c>
      <c r="G2624" s="1">
        <v>41988</v>
      </c>
      <c r="H2624">
        <v>7775.3743599999998</v>
      </c>
      <c r="I2624" s="1">
        <v>42038</v>
      </c>
      <c r="J2624">
        <v>10598.2</v>
      </c>
      <c r="K2624" s="1">
        <v>42013</v>
      </c>
      <c r="L2624">
        <v>18177.09</v>
      </c>
    </row>
    <row r="2625" spans="1:12" x14ac:dyDescent="0.35">
      <c r="A2625" s="1">
        <v>42048</v>
      </c>
      <c r="B2625">
        <v>3447.59</v>
      </c>
      <c r="C2625" s="1">
        <v>42039</v>
      </c>
      <c r="D2625">
        <v>4696.3</v>
      </c>
      <c r="E2625" s="1">
        <v>42003</v>
      </c>
      <c r="F2625">
        <v>9805.5499999999993</v>
      </c>
      <c r="G2625" s="1">
        <v>41985</v>
      </c>
      <c r="H2625">
        <v>7949.1329800000003</v>
      </c>
      <c r="I2625" s="1">
        <v>42037</v>
      </c>
      <c r="J2625">
        <v>10328.1</v>
      </c>
      <c r="K2625" s="1">
        <v>42012</v>
      </c>
      <c r="L2625">
        <v>18791.830000000002</v>
      </c>
    </row>
    <row r="2626" spans="1:12" x14ac:dyDescent="0.35">
      <c r="A2626" s="1">
        <v>42047</v>
      </c>
      <c r="B2626">
        <v>3417.61</v>
      </c>
      <c r="C2626" s="1">
        <v>42038</v>
      </c>
      <c r="D2626">
        <v>4677.8999999999996</v>
      </c>
      <c r="E2626" s="1">
        <v>42002</v>
      </c>
      <c r="F2626">
        <v>9927.1299999999992</v>
      </c>
      <c r="G2626" s="1">
        <v>41984</v>
      </c>
      <c r="H2626">
        <v>8193.0620999999992</v>
      </c>
      <c r="I2626" s="1">
        <v>42034</v>
      </c>
      <c r="J2626">
        <v>10403.299999999999</v>
      </c>
      <c r="K2626" s="1">
        <v>42011</v>
      </c>
      <c r="L2626">
        <v>18123.45</v>
      </c>
    </row>
    <row r="2627" spans="1:12" x14ac:dyDescent="0.35">
      <c r="A2627" s="1">
        <v>42046</v>
      </c>
      <c r="B2627">
        <v>3374.14</v>
      </c>
      <c r="C2627" s="1">
        <v>42037</v>
      </c>
      <c r="D2627">
        <v>4627.67</v>
      </c>
      <c r="E2627" s="1">
        <v>41996</v>
      </c>
      <c r="F2627">
        <v>9922.11</v>
      </c>
      <c r="G2627" s="1">
        <v>41983</v>
      </c>
      <c r="H2627">
        <v>8216.0547399999996</v>
      </c>
      <c r="I2627" s="1">
        <v>42033</v>
      </c>
      <c r="J2627">
        <v>10507.6</v>
      </c>
      <c r="K2627" s="1">
        <v>42010</v>
      </c>
      <c r="L2627">
        <v>18143.259999999998</v>
      </c>
    </row>
    <row r="2628" spans="1:12" x14ac:dyDescent="0.35">
      <c r="A2628" s="1">
        <v>42045</v>
      </c>
      <c r="B2628">
        <v>3383.13</v>
      </c>
      <c r="C2628" s="1">
        <v>42034</v>
      </c>
      <c r="D2628">
        <v>4604.25</v>
      </c>
      <c r="E2628" s="1">
        <v>41995</v>
      </c>
      <c r="F2628">
        <v>9865.76</v>
      </c>
      <c r="G2628" s="1">
        <v>41982</v>
      </c>
      <c r="H2628">
        <v>8262.7245000000003</v>
      </c>
      <c r="I2628" s="1">
        <v>42032</v>
      </c>
      <c r="J2628">
        <v>10456.9</v>
      </c>
      <c r="K2628" s="1">
        <v>42009</v>
      </c>
      <c r="L2628">
        <v>18188.439999999999</v>
      </c>
    </row>
    <row r="2629" spans="1:12" x14ac:dyDescent="0.35">
      <c r="A2629" s="1">
        <v>42044</v>
      </c>
      <c r="B2629">
        <v>3347.75</v>
      </c>
      <c r="C2629" s="1">
        <v>42033</v>
      </c>
      <c r="D2629">
        <v>4631.43</v>
      </c>
      <c r="E2629" s="1">
        <v>41992</v>
      </c>
      <c r="F2629">
        <v>9786.9599999999991</v>
      </c>
      <c r="G2629" s="1">
        <v>41981</v>
      </c>
      <c r="H2629">
        <v>8473.0616200000004</v>
      </c>
      <c r="I2629" s="1">
        <v>42031</v>
      </c>
      <c r="J2629">
        <v>10598.9</v>
      </c>
      <c r="K2629" s="1">
        <v>42006</v>
      </c>
      <c r="L2629">
        <v>19130.259999999998</v>
      </c>
    </row>
    <row r="2630" spans="1:12" x14ac:dyDescent="0.35">
      <c r="A2630" s="1">
        <v>42041</v>
      </c>
      <c r="B2630">
        <v>3398.16</v>
      </c>
      <c r="C2630" s="1">
        <v>42032</v>
      </c>
      <c r="D2630">
        <v>4610.9399999999996</v>
      </c>
      <c r="E2630" s="1">
        <v>41991</v>
      </c>
      <c r="F2630">
        <v>9811.06</v>
      </c>
      <c r="G2630" s="1">
        <v>41978</v>
      </c>
      <c r="H2630">
        <v>8551.2792300000001</v>
      </c>
      <c r="I2630" s="1">
        <v>42030</v>
      </c>
      <c r="J2630">
        <v>10696.1</v>
      </c>
      <c r="K2630" s="1">
        <v>42003</v>
      </c>
      <c r="L2630">
        <v>19011.96</v>
      </c>
    </row>
    <row r="2631" spans="1:12" x14ac:dyDescent="0.35">
      <c r="A2631" s="1">
        <v>42040</v>
      </c>
      <c r="B2631">
        <v>3408.96</v>
      </c>
      <c r="C2631" s="1">
        <v>42031</v>
      </c>
      <c r="D2631">
        <v>4624.21</v>
      </c>
      <c r="E2631" s="1">
        <v>41990</v>
      </c>
      <c r="F2631">
        <v>9544.43</v>
      </c>
      <c r="G2631" s="1">
        <v>41977</v>
      </c>
      <c r="H2631">
        <v>8460.5353300000006</v>
      </c>
      <c r="I2631" s="1">
        <v>42027</v>
      </c>
      <c r="J2631">
        <v>10581.5</v>
      </c>
      <c r="K2631" s="1">
        <v>42002</v>
      </c>
      <c r="L2631">
        <v>19130.02</v>
      </c>
    </row>
    <row r="2632" spans="1:12" x14ac:dyDescent="0.35">
      <c r="A2632" s="1">
        <v>42039</v>
      </c>
      <c r="B2632">
        <v>3415.53</v>
      </c>
      <c r="C2632" s="1">
        <v>42030</v>
      </c>
      <c r="D2632">
        <v>4675.13</v>
      </c>
      <c r="E2632" s="1">
        <v>41989</v>
      </c>
      <c r="F2632">
        <v>9563.89</v>
      </c>
      <c r="G2632" s="1">
        <v>41976</v>
      </c>
      <c r="H2632">
        <v>8570.8674699999992</v>
      </c>
      <c r="I2632" s="1">
        <v>42026</v>
      </c>
      <c r="J2632">
        <v>10510.6</v>
      </c>
      <c r="K2632" s="1">
        <v>41996</v>
      </c>
      <c r="L2632">
        <v>19352.13</v>
      </c>
    </row>
    <row r="2633" spans="1:12" x14ac:dyDescent="0.35">
      <c r="A2633" s="1">
        <v>42038</v>
      </c>
      <c r="B2633">
        <v>3414.18</v>
      </c>
      <c r="C2633" s="1">
        <v>42027</v>
      </c>
      <c r="D2633">
        <v>4640.6899999999996</v>
      </c>
      <c r="E2633" s="1">
        <v>41988</v>
      </c>
      <c r="F2633">
        <v>9334.01</v>
      </c>
      <c r="G2633" s="1">
        <v>41975</v>
      </c>
      <c r="H2633">
        <v>8513.3573400000005</v>
      </c>
      <c r="I2633" s="1">
        <v>42025</v>
      </c>
      <c r="J2633">
        <v>10335.299999999999</v>
      </c>
      <c r="K2633" s="1">
        <v>41995</v>
      </c>
      <c r="L2633">
        <v>19074.04</v>
      </c>
    </row>
    <row r="2634" spans="1:12" x14ac:dyDescent="0.35">
      <c r="A2634" s="1">
        <v>42037</v>
      </c>
      <c r="B2634">
        <v>3370.11</v>
      </c>
      <c r="C2634" s="1">
        <v>42026</v>
      </c>
      <c r="D2634">
        <v>4552.8</v>
      </c>
      <c r="E2634" s="1">
        <v>41985</v>
      </c>
      <c r="F2634">
        <v>9594.73</v>
      </c>
      <c r="G2634" s="1">
        <v>41974</v>
      </c>
      <c r="H2634">
        <v>8391.5866700000006</v>
      </c>
      <c r="I2634" s="1">
        <v>42024</v>
      </c>
      <c r="J2634">
        <v>10283.9</v>
      </c>
      <c r="K2634" s="1">
        <v>41992</v>
      </c>
      <c r="L2634">
        <v>18983.830000000002</v>
      </c>
    </row>
    <row r="2635" spans="1:12" x14ac:dyDescent="0.35">
      <c r="A2635" s="1">
        <v>42034</v>
      </c>
      <c r="B2635">
        <v>3351.44</v>
      </c>
      <c r="C2635" s="1">
        <v>42025</v>
      </c>
      <c r="D2635">
        <v>4484.82</v>
      </c>
      <c r="E2635" s="1">
        <v>41984</v>
      </c>
      <c r="F2635">
        <v>9862.5300000000007</v>
      </c>
      <c r="G2635" s="1">
        <v>41971</v>
      </c>
      <c r="H2635">
        <v>8446.1191999999992</v>
      </c>
      <c r="I2635" s="1">
        <v>42023</v>
      </c>
      <c r="J2635">
        <v>10157.5</v>
      </c>
      <c r="K2635" s="1">
        <v>41991</v>
      </c>
      <c r="L2635">
        <v>19060.990000000002</v>
      </c>
    </row>
    <row r="2636" spans="1:12" x14ac:dyDescent="0.35">
      <c r="A2636" s="1">
        <v>42033</v>
      </c>
      <c r="B2636">
        <v>3371.83</v>
      </c>
      <c r="C2636" s="1">
        <v>42024</v>
      </c>
      <c r="D2636">
        <v>4446.0200000000004</v>
      </c>
      <c r="E2636" s="1">
        <v>41983</v>
      </c>
      <c r="F2636">
        <v>9799.73</v>
      </c>
      <c r="G2636" s="1">
        <v>41970</v>
      </c>
      <c r="H2636">
        <v>8475.9727899999998</v>
      </c>
      <c r="I2636" s="1">
        <v>42020</v>
      </c>
      <c r="J2636">
        <v>10038.9</v>
      </c>
      <c r="K2636" s="1">
        <v>41990</v>
      </c>
      <c r="L2636">
        <v>18569.03</v>
      </c>
    </row>
    <row r="2637" spans="1:12" x14ac:dyDescent="0.35">
      <c r="A2637" s="1">
        <v>42032</v>
      </c>
      <c r="B2637">
        <v>3358.96</v>
      </c>
      <c r="C2637" s="1">
        <v>42023</v>
      </c>
      <c r="D2637">
        <v>4394.93</v>
      </c>
      <c r="E2637" s="1">
        <v>41982</v>
      </c>
      <c r="F2637">
        <v>9793.7099999999991</v>
      </c>
      <c r="G2637" s="1">
        <v>41969</v>
      </c>
      <c r="H2637">
        <v>8493.6600799999997</v>
      </c>
      <c r="I2637" s="1">
        <v>42019</v>
      </c>
      <c r="J2637">
        <v>9982.5</v>
      </c>
      <c r="K2637" s="1">
        <v>41989</v>
      </c>
      <c r="L2637">
        <v>18670.05</v>
      </c>
    </row>
    <row r="2638" spans="1:12" x14ac:dyDescent="0.35">
      <c r="A2638" s="1">
        <v>42031</v>
      </c>
      <c r="B2638">
        <v>3372.58</v>
      </c>
      <c r="C2638" s="1">
        <v>42020</v>
      </c>
      <c r="D2638">
        <v>4379.62</v>
      </c>
      <c r="E2638" s="1">
        <v>41981</v>
      </c>
      <c r="F2638">
        <v>10014.99</v>
      </c>
      <c r="G2638" s="1">
        <v>41968</v>
      </c>
      <c r="H2638">
        <v>8485.2340299999996</v>
      </c>
      <c r="I2638" s="1">
        <v>42018</v>
      </c>
      <c r="J2638">
        <v>9846</v>
      </c>
      <c r="K2638" s="1">
        <v>41988</v>
      </c>
      <c r="L2638">
        <v>18078.97</v>
      </c>
    </row>
    <row r="2639" spans="1:12" x14ac:dyDescent="0.35">
      <c r="A2639" s="1">
        <v>42030</v>
      </c>
      <c r="B2639">
        <v>3414.28</v>
      </c>
      <c r="C2639" s="1">
        <v>42019</v>
      </c>
      <c r="D2639">
        <v>4323.2</v>
      </c>
      <c r="E2639" s="1">
        <v>41978</v>
      </c>
      <c r="F2639">
        <v>10087.120000000001</v>
      </c>
      <c r="G2639" s="1">
        <v>41967</v>
      </c>
      <c r="H2639">
        <v>8500.1033100000004</v>
      </c>
      <c r="I2639" s="1">
        <v>42017</v>
      </c>
      <c r="J2639">
        <v>9966</v>
      </c>
      <c r="K2639" s="1">
        <v>41985</v>
      </c>
      <c r="L2639">
        <v>18600.830000000002</v>
      </c>
    </row>
    <row r="2640" spans="1:12" x14ac:dyDescent="0.35">
      <c r="A2640" s="1">
        <v>42027</v>
      </c>
      <c r="B2640">
        <v>3382.55</v>
      </c>
      <c r="C2640" s="1">
        <v>42018</v>
      </c>
      <c r="D2640">
        <v>4223.24</v>
      </c>
      <c r="E2640" s="1">
        <v>41977</v>
      </c>
      <c r="F2640">
        <v>9851.35</v>
      </c>
      <c r="G2640" s="1">
        <v>41964</v>
      </c>
      <c r="H2640">
        <v>8528.9106200000006</v>
      </c>
      <c r="I2640" s="1">
        <v>42016</v>
      </c>
      <c r="J2640">
        <v>9797.5</v>
      </c>
      <c r="K2640" s="1">
        <v>41984</v>
      </c>
      <c r="L2640">
        <v>19201.07</v>
      </c>
    </row>
    <row r="2641" spans="1:12" x14ac:dyDescent="0.35">
      <c r="A2641" s="1">
        <v>42026</v>
      </c>
      <c r="B2641">
        <v>3322.65</v>
      </c>
      <c r="C2641" s="1">
        <v>42017</v>
      </c>
      <c r="D2641">
        <v>4290.28</v>
      </c>
      <c r="E2641" s="1">
        <v>41976</v>
      </c>
      <c r="F2641">
        <v>9971.7900000000009</v>
      </c>
      <c r="G2641" s="1">
        <v>41963</v>
      </c>
      <c r="H2641">
        <v>8356.2152600000009</v>
      </c>
      <c r="I2641" s="1">
        <v>42013</v>
      </c>
      <c r="J2641">
        <v>9719</v>
      </c>
      <c r="K2641" s="1">
        <v>41983</v>
      </c>
      <c r="L2641">
        <v>19217.689999999999</v>
      </c>
    </row>
    <row r="2642" spans="1:12" x14ac:dyDescent="0.35">
      <c r="A2642" s="1">
        <v>42025</v>
      </c>
      <c r="B2642">
        <v>3269.73</v>
      </c>
      <c r="C2642" s="1">
        <v>42016</v>
      </c>
      <c r="D2642">
        <v>4228.24</v>
      </c>
      <c r="E2642" s="1">
        <v>41975</v>
      </c>
      <c r="F2642">
        <v>9934.08</v>
      </c>
      <c r="G2642" s="1">
        <v>41962</v>
      </c>
      <c r="H2642">
        <v>8369.4160200000006</v>
      </c>
      <c r="I2642" s="1">
        <v>42012</v>
      </c>
      <c r="J2642">
        <v>10115</v>
      </c>
      <c r="K2642" s="1">
        <v>41982</v>
      </c>
      <c r="L2642">
        <v>19390</v>
      </c>
    </row>
    <row r="2643" spans="1:12" x14ac:dyDescent="0.35">
      <c r="A2643" s="1">
        <v>42024</v>
      </c>
      <c r="B2643">
        <v>3244.92</v>
      </c>
      <c r="C2643" s="1">
        <v>42013</v>
      </c>
      <c r="D2643">
        <v>4179.07</v>
      </c>
      <c r="E2643" s="1">
        <v>41974</v>
      </c>
      <c r="F2643">
        <v>9963.51</v>
      </c>
      <c r="G2643" s="1">
        <v>41961</v>
      </c>
      <c r="H2643">
        <v>8377.3113799999992</v>
      </c>
      <c r="I2643" s="1">
        <v>42011</v>
      </c>
      <c r="J2643">
        <v>9891.4</v>
      </c>
      <c r="K2643" s="1">
        <v>41981</v>
      </c>
      <c r="L2643">
        <v>19951.150000000001</v>
      </c>
    </row>
    <row r="2644" spans="1:12" x14ac:dyDescent="0.35">
      <c r="A2644" s="1">
        <v>42023</v>
      </c>
      <c r="B2644">
        <v>3220.9</v>
      </c>
      <c r="C2644" s="1">
        <v>42012</v>
      </c>
      <c r="D2644">
        <v>4260.1899999999996</v>
      </c>
      <c r="E2644" s="1">
        <v>41971</v>
      </c>
      <c r="F2644">
        <v>9980.85</v>
      </c>
      <c r="G2644" s="1">
        <v>41960</v>
      </c>
      <c r="H2644">
        <v>8381.7695100000001</v>
      </c>
      <c r="I2644" s="1">
        <v>42010</v>
      </c>
      <c r="J2644">
        <v>9871.1</v>
      </c>
      <c r="K2644" s="1">
        <v>41978</v>
      </c>
      <c r="L2644">
        <v>20087.23</v>
      </c>
    </row>
    <row r="2645" spans="1:12" x14ac:dyDescent="0.35">
      <c r="A2645" s="1">
        <v>42020</v>
      </c>
      <c r="B2645">
        <v>3202.24</v>
      </c>
      <c r="C2645" s="1">
        <v>42011</v>
      </c>
      <c r="D2645">
        <v>4112.7299999999996</v>
      </c>
      <c r="E2645" s="1">
        <v>41970</v>
      </c>
      <c r="F2645">
        <v>9974.8700000000008</v>
      </c>
      <c r="G2645" s="1">
        <v>41957</v>
      </c>
      <c r="H2645">
        <v>8326.7364400000006</v>
      </c>
      <c r="I2645" s="1">
        <v>42009</v>
      </c>
      <c r="J2645">
        <v>9993.2999999999993</v>
      </c>
      <c r="K2645" s="1">
        <v>41977</v>
      </c>
      <c r="L2645">
        <v>19424.38</v>
      </c>
    </row>
    <row r="2646" spans="1:12" x14ac:dyDescent="0.35">
      <c r="A2646" s="1">
        <v>42019</v>
      </c>
      <c r="B2646">
        <v>3157.36</v>
      </c>
      <c r="C2646" s="1">
        <v>42010</v>
      </c>
      <c r="D2646">
        <v>4083.5</v>
      </c>
      <c r="E2646" s="1">
        <v>41969</v>
      </c>
      <c r="F2646">
        <v>9915.56</v>
      </c>
      <c r="G2646" s="1">
        <v>41956</v>
      </c>
      <c r="H2646">
        <v>8361.7848900000008</v>
      </c>
      <c r="I2646" s="1">
        <v>42006</v>
      </c>
      <c r="J2646">
        <v>10350.799999999999</v>
      </c>
      <c r="K2646" s="1">
        <v>41976</v>
      </c>
      <c r="L2646">
        <v>19978.32</v>
      </c>
    </row>
    <row r="2647" spans="1:12" x14ac:dyDescent="0.35">
      <c r="A2647" s="1">
        <v>42018</v>
      </c>
      <c r="B2647">
        <v>3089.67</v>
      </c>
      <c r="C2647" s="1">
        <v>42009</v>
      </c>
      <c r="D2647">
        <v>4111.3599999999997</v>
      </c>
      <c r="E2647" s="1">
        <v>41968</v>
      </c>
      <c r="F2647">
        <v>9861.2099999999991</v>
      </c>
      <c r="G2647" s="1">
        <v>41955</v>
      </c>
      <c r="H2647">
        <v>8394.6761600000009</v>
      </c>
      <c r="I2647" s="1">
        <v>42004</v>
      </c>
      <c r="J2647">
        <v>10279.5</v>
      </c>
      <c r="K2647" s="1">
        <v>41975</v>
      </c>
      <c r="L2647">
        <v>19780.580000000002</v>
      </c>
    </row>
    <row r="2648" spans="1:12" x14ac:dyDescent="0.35">
      <c r="A2648" s="1">
        <v>42017</v>
      </c>
      <c r="B2648">
        <v>3133.86</v>
      </c>
      <c r="C2648" s="1">
        <v>42006</v>
      </c>
      <c r="D2648">
        <v>4252.29</v>
      </c>
      <c r="E2648" s="1">
        <v>41967</v>
      </c>
      <c r="F2648">
        <v>9785.5400000000009</v>
      </c>
      <c r="G2648" s="1">
        <v>41954</v>
      </c>
      <c r="H2648">
        <v>8446.4256299999997</v>
      </c>
      <c r="I2648" s="1">
        <v>42003</v>
      </c>
      <c r="J2648">
        <v>10279.200000000001</v>
      </c>
      <c r="K2648" s="1">
        <v>41974</v>
      </c>
      <c r="L2648">
        <v>19686.45</v>
      </c>
    </row>
    <row r="2649" spans="1:12" x14ac:dyDescent="0.35">
      <c r="A2649" s="1">
        <v>42016</v>
      </c>
      <c r="B2649">
        <v>3084.18</v>
      </c>
      <c r="C2649" s="1">
        <v>42004</v>
      </c>
      <c r="D2649">
        <v>4272.75</v>
      </c>
      <c r="E2649" s="1">
        <v>41964</v>
      </c>
      <c r="F2649">
        <v>9732.5499999999993</v>
      </c>
      <c r="G2649" s="1">
        <v>41953</v>
      </c>
      <c r="H2649">
        <v>8436.56574</v>
      </c>
      <c r="I2649" s="1">
        <v>42002</v>
      </c>
      <c r="J2649">
        <v>10394.200000000001</v>
      </c>
      <c r="K2649" s="1">
        <v>41971</v>
      </c>
      <c r="L2649">
        <v>20014.82</v>
      </c>
    </row>
    <row r="2650" spans="1:12" x14ac:dyDescent="0.35">
      <c r="A2650" s="1">
        <v>42013</v>
      </c>
      <c r="B2650">
        <v>3042.9</v>
      </c>
      <c r="C2650" s="1">
        <v>42003</v>
      </c>
      <c r="D2650">
        <v>4245.54</v>
      </c>
      <c r="E2650" s="1">
        <v>41963</v>
      </c>
      <c r="F2650">
        <v>9483.9699999999993</v>
      </c>
      <c r="G2650" s="1">
        <v>41950</v>
      </c>
      <c r="H2650">
        <v>8370.55033</v>
      </c>
      <c r="I2650" s="1">
        <v>41997</v>
      </c>
      <c r="J2650">
        <v>10481.799999999999</v>
      </c>
      <c r="K2650" s="1">
        <v>41970</v>
      </c>
      <c r="L2650">
        <v>20100.53</v>
      </c>
    </row>
    <row r="2651" spans="1:12" x14ac:dyDescent="0.35">
      <c r="A2651" s="1">
        <v>42012</v>
      </c>
      <c r="B2651">
        <v>3135.08</v>
      </c>
      <c r="C2651" s="1">
        <v>42002</v>
      </c>
      <c r="D2651">
        <v>4317.93</v>
      </c>
      <c r="E2651" s="1">
        <v>41962</v>
      </c>
      <c r="F2651">
        <v>9472.7999999999993</v>
      </c>
      <c r="G2651" s="1">
        <v>41949</v>
      </c>
      <c r="H2651">
        <v>8369.9157899999991</v>
      </c>
      <c r="I2651" s="1">
        <v>41996</v>
      </c>
      <c r="J2651">
        <v>10477.700000000001</v>
      </c>
      <c r="K2651" s="1">
        <v>41969</v>
      </c>
      <c r="L2651">
        <v>19938.419999999998</v>
      </c>
    </row>
    <row r="2652" spans="1:12" x14ac:dyDescent="0.35">
      <c r="A2652" s="1">
        <v>42011</v>
      </c>
      <c r="B2652">
        <v>3026.79</v>
      </c>
      <c r="C2652" s="1">
        <v>41997</v>
      </c>
      <c r="D2652">
        <v>4295.8500000000004</v>
      </c>
      <c r="E2652" s="1">
        <v>41961</v>
      </c>
      <c r="F2652">
        <v>9456.5300000000007</v>
      </c>
      <c r="G2652" s="1">
        <v>41948</v>
      </c>
      <c r="H2652">
        <v>8364.4667000000009</v>
      </c>
      <c r="I2652" s="1">
        <v>41995</v>
      </c>
      <c r="J2652">
        <v>10371</v>
      </c>
      <c r="K2652" s="1">
        <v>41968</v>
      </c>
      <c r="L2652">
        <v>20009.830000000002</v>
      </c>
    </row>
    <row r="2653" spans="1:12" x14ac:dyDescent="0.35">
      <c r="A2653" s="1">
        <v>42010</v>
      </c>
      <c r="B2653">
        <v>3007.91</v>
      </c>
      <c r="C2653" s="1">
        <v>41996</v>
      </c>
      <c r="D2653">
        <v>4314.97</v>
      </c>
      <c r="E2653" s="1">
        <v>41960</v>
      </c>
      <c r="F2653">
        <v>9306.35</v>
      </c>
      <c r="G2653" s="1">
        <v>41947</v>
      </c>
      <c r="H2653">
        <v>8227.33266</v>
      </c>
      <c r="I2653" s="1">
        <v>41992</v>
      </c>
      <c r="J2653">
        <v>10363.6</v>
      </c>
      <c r="K2653" s="1">
        <v>41967</v>
      </c>
      <c r="L2653">
        <v>19925.82</v>
      </c>
    </row>
    <row r="2654" spans="1:12" x14ac:dyDescent="0.35">
      <c r="A2654" s="1">
        <v>42009</v>
      </c>
      <c r="B2654">
        <v>3023.14</v>
      </c>
      <c r="C2654" s="1">
        <v>41995</v>
      </c>
      <c r="D2654">
        <v>4254.43</v>
      </c>
      <c r="E2654" s="1">
        <v>41957</v>
      </c>
      <c r="F2654">
        <v>9252.94</v>
      </c>
      <c r="G2654" s="1">
        <v>41946</v>
      </c>
      <c r="H2654">
        <v>8307.3038400000005</v>
      </c>
      <c r="I2654" s="1">
        <v>41991</v>
      </c>
      <c r="J2654">
        <v>10391.299999999999</v>
      </c>
      <c r="K2654" s="1">
        <v>41964</v>
      </c>
      <c r="L2654">
        <v>19954.509999999998</v>
      </c>
    </row>
    <row r="2655" spans="1:12" x14ac:dyDescent="0.35">
      <c r="A2655" s="1">
        <v>42006</v>
      </c>
      <c r="B2655">
        <v>3139.44</v>
      </c>
      <c r="C2655" s="1">
        <v>41992</v>
      </c>
      <c r="D2655">
        <v>4241.6499999999996</v>
      </c>
      <c r="E2655" s="1">
        <v>41956</v>
      </c>
      <c r="F2655">
        <v>9248.51</v>
      </c>
      <c r="G2655" s="1">
        <v>41943</v>
      </c>
      <c r="H2655">
        <v>8355.6173600000002</v>
      </c>
      <c r="I2655" s="1">
        <v>41990</v>
      </c>
      <c r="J2655">
        <v>10049.5</v>
      </c>
      <c r="K2655" s="1">
        <v>41963</v>
      </c>
      <c r="L2655">
        <v>19209.22</v>
      </c>
    </row>
    <row r="2656" spans="1:12" x14ac:dyDescent="0.35">
      <c r="A2656" s="1">
        <v>42004</v>
      </c>
      <c r="B2656">
        <v>3146.43</v>
      </c>
      <c r="C2656" s="1">
        <v>41991</v>
      </c>
      <c r="D2656">
        <v>4249.49</v>
      </c>
      <c r="E2656" s="1">
        <v>41955</v>
      </c>
      <c r="F2656">
        <v>9210.9599999999991</v>
      </c>
      <c r="G2656" s="1">
        <v>41942</v>
      </c>
      <c r="H2656">
        <v>8199.7736399999994</v>
      </c>
      <c r="I2656" s="1">
        <v>41989</v>
      </c>
      <c r="J2656">
        <v>10081.9</v>
      </c>
      <c r="K2656" s="1">
        <v>41962</v>
      </c>
      <c r="L2656">
        <v>19379.919999999998</v>
      </c>
    </row>
    <row r="2657" spans="1:12" x14ac:dyDescent="0.35">
      <c r="A2657" s="1">
        <v>42003</v>
      </c>
      <c r="B2657">
        <v>3135.95</v>
      </c>
      <c r="C2657" s="1">
        <v>41990</v>
      </c>
      <c r="D2657">
        <v>4111.91</v>
      </c>
      <c r="E2657" s="1">
        <v>41954</v>
      </c>
      <c r="F2657">
        <v>9369.0300000000007</v>
      </c>
      <c r="G2657" s="1">
        <v>41941</v>
      </c>
      <c r="H2657">
        <v>8156.2847400000001</v>
      </c>
      <c r="I2657" s="1">
        <v>41988</v>
      </c>
      <c r="J2657">
        <v>9903.9</v>
      </c>
      <c r="K2657" s="1">
        <v>41961</v>
      </c>
      <c r="L2657">
        <v>19352.95</v>
      </c>
    </row>
    <row r="2658" spans="1:12" x14ac:dyDescent="0.35">
      <c r="A2658" s="1">
        <v>42002</v>
      </c>
      <c r="B2658">
        <v>3185.17</v>
      </c>
      <c r="C2658" s="1">
        <v>41989</v>
      </c>
      <c r="D2658">
        <v>4093.2</v>
      </c>
      <c r="E2658" s="1">
        <v>41953</v>
      </c>
      <c r="F2658">
        <v>9351.8700000000008</v>
      </c>
      <c r="G2658" s="1">
        <v>41940</v>
      </c>
      <c r="H2658">
        <v>8110.8895199999997</v>
      </c>
      <c r="I2658" s="1">
        <v>41985</v>
      </c>
      <c r="J2658">
        <v>10145</v>
      </c>
      <c r="K2658" s="1">
        <v>41960</v>
      </c>
      <c r="L2658">
        <v>19216.740000000002</v>
      </c>
    </row>
    <row r="2659" spans="1:12" x14ac:dyDescent="0.35">
      <c r="A2659" s="1">
        <v>41997</v>
      </c>
      <c r="B2659">
        <v>3184.66</v>
      </c>
      <c r="C2659" s="1">
        <v>41988</v>
      </c>
      <c r="D2659">
        <v>4005.38</v>
      </c>
      <c r="E2659" s="1">
        <v>41950</v>
      </c>
      <c r="F2659">
        <v>9291.83</v>
      </c>
      <c r="G2659" s="1">
        <v>41939</v>
      </c>
      <c r="H2659">
        <v>8075.4085500000001</v>
      </c>
      <c r="I2659" s="1">
        <v>41984</v>
      </c>
      <c r="J2659">
        <v>10431.799999999999</v>
      </c>
      <c r="K2659" s="1">
        <v>41957</v>
      </c>
      <c r="L2659">
        <v>18965.41</v>
      </c>
    </row>
    <row r="2660" spans="1:12" x14ac:dyDescent="0.35">
      <c r="A2660" s="1">
        <v>41996</v>
      </c>
      <c r="B2660">
        <v>3192.47</v>
      </c>
      <c r="C2660" s="1">
        <v>41985</v>
      </c>
      <c r="D2660">
        <v>4108.93</v>
      </c>
      <c r="E2660" s="1">
        <v>41949</v>
      </c>
      <c r="F2660">
        <v>9377.41</v>
      </c>
      <c r="G2660" s="1">
        <v>41936</v>
      </c>
      <c r="H2660">
        <v>8110.5583399999996</v>
      </c>
      <c r="I2660" s="1">
        <v>41983</v>
      </c>
      <c r="J2660">
        <v>10396.9</v>
      </c>
      <c r="K2660" s="1">
        <v>41956</v>
      </c>
      <c r="L2660">
        <v>18782.55</v>
      </c>
    </row>
    <row r="2661" spans="1:12" x14ac:dyDescent="0.35">
      <c r="A2661" s="1">
        <v>41995</v>
      </c>
      <c r="B2661">
        <v>3154.91</v>
      </c>
      <c r="C2661" s="1">
        <v>41984</v>
      </c>
      <c r="D2661">
        <v>4225.8599999999997</v>
      </c>
      <c r="E2661" s="1">
        <v>41948</v>
      </c>
      <c r="F2661">
        <v>9315.48</v>
      </c>
      <c r="G2661" s="1">
        <v>41935</v>
      </c>
      <c r="H2661">
        <v>8141.9925800000001</v>
      </c>
      <c r="I2661" s="1">
        <v>41982</v>
      </c>
      <c r="J2661">
        <v>10461.6</v>
      </c>
      <c r="K2661" s="1">
        <v>41955</v>
      </c>
      <c r="L2661">
        <v>18702.240000000002</v>
      </c>
    </row>
    <row r="2662" spans="1:12" x14ac:dyDescent="0.35">
      <c r="A2662" s="1">
        <v>41992</v>
      </c>
      <c r="B2662">
        <v>3141.28</v>
      </c>
      <c r="C2662" s="1">
        <v>41983</v>
      </c>
      <c r="D2662">
        <v>4227.91</v>
      </c>
      <c r="E2662" s="1">
        <v>41947</v>
      </c>
      <c r="F2662">
        <v>9166.4699999999993</v>
      </c>
      <c r="G2662" s="1">
        <v>41934</v>
      </c>
      <c r="H2662">
        <v>8122.9674699999996</v>
      </c>
      <c r="I2662" s="1">
        <v>41981</v>
      </c>
      <c r="J2662">
        <v>10805.2</v>
      </c>
      <c r="K2662" s="1">
        <v>41954</v>
      </c>
      <c r="L2662">
        <v>19255.47</v>
      </c>
    </row>
    <row r="2663" spans="1:12" x14ac:dyDescent="0.35">
      <c r="A2663" s="1">
        <v>41991</v>
      </c>
      <c r="B2663">
        <v>3153.77</v>
      </c>
      <c r="C2663" s="1">
        <v>41982</v>
      </c>
      <c r="D2663">
        <v>4263.9399999999996</v>
      </c>
      <c r="E2663" s="1">
        <v>41946</v>
      </c>
      <c r="F2663">
        <v>9251.7000000000007</v>
      </c>
      <c r="G2663" s="1">
        <v>41933</v>
      </c>
      <c r="H2663">
        <v>8074.3872000000001</v>
      </c>
      <c r="I2663" s="1">
        <v>41978</v>
      </c>
      <c r="J2663">
        <v>10900.7</v>
      </c>
      <c r="K2663" s="1">
        <v>41953</v>
      </c>
      <c r="L2663">
        <v>19258.54</v>
      </c>
    </row>
    <row r="2664" spans="1:12" x14ac:dyDescent="0.35">
      <c r="A2664" s="1">
        <v>41990</v>
      </c>
      <c r="B2664">
        <v>3051.99</v>
      </c>
      <c r="C2664" s="1">
        <v>41981</v>
      </c>
      <c r="D2664">
        <v>4375.4799999999996</v>
      </c>
      <c r="E2664" s="1">
        <v>41943</v>
      </c>
      <c r="F2664">
        <v>9326.8700000000008</v>
      </c>
      <c r="G2664" s="1">
        <v>41932</v>
      </c>
      <c r="H2664">
        <v>7907.9206800000002</v>
      </c>
      <c r="I2664" s="1">
        <v>41977</v>
      </c>
      <c r="J2664">
        <v>10619.9</v>
      </c>
      <c r="K2664" s="1">
        <v>41950</v>
      </c>
      <c r="L2664">
        <v>19095.32</v>
      </c>
    </row>
    <row r="2665" spans="1:12" x14ac:dyDescent="0.35">
      <c r="A2665" s="1">
        <v>41989</v>
      </c>
      <c r="B2665">
        <v>3049.99</v>
      </c>
      <c r="C2665" s="1">
        <v>41978</v>
      </c>
      <c r="D2665">
        <v>4419.4799999999996</v>
      </c>
      <c r="E2665" s="1">
        <v>41942</v>
      </c>
      <c r="F2665">
        <v>9114.84</v>
      </c>
      <c r="G2665" s="1">
        <v>41929</v>
      </c>
      <c r="H2665">
        <v>7953.2086600000002</v>
      </c>
      <c r="I2665" s="1">
        <v>41976</v>
      </c>
      <c r="J2665">
        <v>10875.9</v>
      </c>
      <c r="K2665" s="1">
        <v>41949</v>
      </c>
      <c r="L2665">
        <v>19285.759999999998</v>
      </c>
    </row>
    <row r="2666" spans="1:12" x14ac:dyDescent="0.35">
      <c r="A2666" s="1">
        <v>41988</v>
      </c>
      <c r="B2666">
        <v>2982.9</v>
      </c>
      <c r="C2666" s="1">
        <v>41977</v>
      </c>
      <c r="D2666">
        <v>4323.8900000000003</v>
      </c>
      <c r="E2666" s="1">
        <v>41941</v>
      </c>
      <c r="F2666">
        <v>9082.81</v>
      </c>
      <c r="G2666" s="1">
        <v>41928</v>
      </c>
      <c r="H2666">
        <v>7763.1249699999998</v>
      </c>
      <c r="I2666" s="1">
        <v>41975</v>
      </c>
      <c r="J2666">
        <v>10749.2</v>
      </c>
      <c r="K2666" s="1">
        <v>41948</v>
      </c>
      <c r="L2666">
        <v>19427.849999999999</v>
      </c>
    </row>
    <row r="2667" spans="1:12" x14ac:dyDescent="0.35">
      <c r="A2667" s="1">
        <v>41985</v>
      </c>
      <c r="B2667">
        <v>3067.32</v>
      </c>
      <c r="C2667" s="1">
        <v>41976</v>
      </c>
      <c r="D2667">
        <v>4391.8599999999997</v>
      </c>
      <c r="E2667" s="1">
        <v>41940</v>
      </c>
      <c r="F2667">
        <v>9068.19</v>
      </c>
      <c r="G2667" s="1">
        <v>41927</v>
      </c>
      <c r="H2667">
        <v>7739.9044899999999</v>
      </c>
      <c r="I2667" s="1">
        <v>41974</v>
      </c>
      <c r="J2667">
        <v>10672.8</v>
      </c>
      <c r="K2667" s="1">
        <v>41947</v>
      </c>
      <c r="L2667">
        <v>18934.63</v>
      </c>
    </row>
    <row r="2668" spans="1:12" x14ac:dyDescent="0.35">
      <c r="A2668" s="1">
        <v>41984</v>
      </c>
      <c r="B2668">
        <v>3159.11</v>
      </c>
      <c r="C2668" s="1">
        <v>41975</v>
      </c>
      <c r="D2668">
        <v>4388.3</v>
      </c>
      <c r="E2668" s="1">
        <v>41939</v>
      </c>
      <c r="F2668">
        <v>8902.61</v>
      </c>
      <c r="G2668" s="1">
        <v>41926</v>
      </c>
      <c r="H2668">
        <v>8039.83025</v>
      </c>
      <c r="I2668" s="1">
        <v>41971</v>
      </c>
      <c r="J2668">
        <v>10770.7</v>
      </c>
      <c r="K2668" s="1">
        <v>41946</v>
      </c>
      <c r="L2668">
        <v>19369.03</v>
      </c>
    </row>
    <row r="2669" spans="1:12" x14ac:dyDescent="0.35">
      <c r="A2669" s="1">
        <v>41983</v>
      </c>
      <c r="B2669">
        <v>3150.95</v>
      </c>
      <c r="C2669" s="1">
        <v>41974</v>
      </c>
      <c r="D2669">
        <v>4377.33</v>
      </c>
      <c r="E2669" s="1">
        <v>41936</v>
      </c>
      <c r="F2669">
        <v>8987.7999999999993</v>
      </c>
      <c r="G2669" s="1">
        <v>41925</v>
      </c>
      <c r="H2669">
        <v>8072.1470399999998</v>
      </c>
      <c r="I2669" s="1">
        <v>41970</v>
      </c>
      <c r="J2669">
        <v>10727.6</v>
      </c>
      <c r="K2669" s="1">
        <v>41943</v>
      </c>
      <c r="L2669">
        <v>19783.990000000002</v>
      </c>
    </row>
    <row r="2670" spans="1:12" x14ac:dyDescent="0.35">
      <c r="A2670" s="1">
        <v>41982</v>
      </c>
      <c r="B2670">
        <v>3162.77</v>
      </c>
      <c r="C2670" s="1">
        <v>41971</v>
      </c>
      <c r="D2670">
        <v>4390.18</v>
      </c>
      <c r="E2670" s="1">
        <v>41935</v>
      </c>
      <c r="F2670">
        <v>9047.31</v>
      </c>
      <c r="G2670" s="1">
        <v>41922</v>
      </c>
      <c r="H2670">
        <v>8057.51548</v>
      </c>
      <c r="I2670" s="1">
        <v>41969</v>
      </c>
      <c r="J2670">
        <v>10647</v>
      </c>
      <c r="K2670" s="1">
        <v>41942</v>
      </c>
      <c r="L2670">
        <v>19194.61</v>
      </c>
    </row>
    <row r="2671" spans="1:12" x14ac:dyDescent="0.35">
      <c r="A2671" s="1">
        <v>41981</v>
      </c>
      <c r="B2671">
        <v>3247.99</v>
      </c>
      <c r="C2671" s="1">
        <v>41970</v>
      </c>
      <c r="D2671">
        <v>4382.34</v>
      </c>
      <c r="E2671" s="1">
        <v>41934</v>
      </c>
      <c r="F2671">
        <v>8940.14</v>
      </c>
      <c r="G2671" s="1">
        <v>41921</v>
      </c>
      <c r="H2671">
        <v>8172.3939899999996</v>
      </c>
      <c r="I2671" s="1">
        <v>41968</v>
      </c>
      <c r="J2671">
        <v>10699.6</v>
      </c>
      <c r="K2671" s="1">
        <v>41941</v>
      </c>
      <c r="L2671">
        <v>19157.41</v>
      </c>
    </row>
    <row r="2672" spans="1:12" x14ac:dyDescent="0.35">
      <c r="A2672" s="1">
        <v>41978</v>
      </c>
      <c r="B2672">
        <v>3277.38</v>
      </c>
      <c r="C2672" s="1">
        <v>41969</v>
      </c>
      <c r="D2672">
        <v>4373.42</v>
      </c>
      <c r="E2672" s="1">
        <v>41933</v>
      </c>
      <c r="F2672">
        <v>8886.9599999999991</v>
      </c>
      <c r="G2672" s="1">
        <v>41920</v>
      </c>
      <c r="H2672">
        <v>8216.0525799999996</v>
      </c>
      <c r="I2672" s="1">
        <v>41967</v>
      </c>
      <c r="J2672">
        <v>10642.5</v>
      </c>
      <c r="K2672" s="1">
        <v>41940</v>
      </c>
      <c r="L2672">
        <v>19476.62</v>
      </c>
    </row>
    <row r="2673" spans="1:12" x14ac:dyDescent="0.35">
      <c r="A2673" s="1">
        <v>41977</v>
      </c>
      <c r="B2673">
        <v>3191.25</v>
      </c>
      <c r="C2673" s="1">
        <v>41968</v>
      </c>
      <c r="D2673">
        <v>4382.3100000000004</v>
      </c>
      <c r="E2673" s="1">
        <v>41932</v>
      </c>
      <c r="F2673">
        <v>8717.76</v>
      </c>
      <c r="G2673" s="1">
        <v>41919</v>
      </c>
      <c r="H2673">
        <v>8257.0671199999997</v>
      </c>
      <c r="I2673" s="1">
        <v>41964</v>
      </c>
      <c r="J2673">
        <v>10520.8</v>
      </c>
      <c r="K2673" s="1">
        <v>41939</v>
      </c>
      <c r="L2673">
        <v>19028.669999999998</v>
      </c>
    </row>
    <row r="2674" spans="1:12" x14ac:dyDescent="0.35">
      <c r="A2674" s="1">
        <v>41976</v>
      </c>
      <c r="B2674">
        <v>3247.72</v>
      </c>
      <c r="C2674" s="1">
        <v>41967</v>
      </c>
      <c r="D2674">
        <v>4368.4399999999996</v>
      </c>
      <c r="E2674" s="1">
        <v>41929</v>
      </c>
      <c r="F2674">
        <v>8850.27</v>
      </c>
      <c r="G2674" s="1">
        <v>41918</v>
      </c>
      <c r="H2674">
        <v>8350.0884399999995</v>
      </c>
      <c r="I2674" s="1">
        <v>41963</v>
      </c>
      <c r="J2674">
        <v>10209.200000000001</v>
      </c>
      <c r="K2674" s="1">
        <v>41936</v>
      </c>
      <c r="L2674">
        <v>19495.68</v>
      </c>
    </row>
    <row r="2675" spans="1:12" x14ac:dyDescent="0.35">
      <c r="A2675" s="1">
        <v>41975</v>
      </c>
      <c r="B2675">
        <v>3238.35</v>
      </c>
      <c r="C2675" s="1">
        <v>41964</v>
      </c>
      <c r="D2675">
        <v>4347.2299999999996</v>
      </c>
      <c r="E2675" s="1">
        <v>41928</v>
      </c>
      <c r="F2675">
        <v>8582.9</v>
      </c>
      <c r="G2675" s="1">
        <v>41915</v>
      </c>
      <c r="H2675">
        <v>8329.3064099999992</v>
      </c>
      <c r="I2675" s="1">
        <v>41962</v>
      </c>
      <c r="J2675">
        <v>10376.799999999999</v>
      </c>
      <c r="K2675" s="1">
        <v>41935</v>
      </c>
      <c r="L2675">
        <v>19434.98</v>
      </c>
    </row>
    <row r="2676" spans="1:12" x14ac:dyDescent="0.35">
      <c r="A2676" s="1">
        <v>41974</v>
      </c>
      <c r="B2676">
        <v>3232.91</v>
      </c>
      <c r="C2676" s="1">
        <v>41963</v>
      </c>
      <c r="D2676">
        <v>4234.21</v>
      </c>
      <c r="E2676" s="1">
        <v>41927</v>
      </c>
      <c r="F2676">
        <v>8571.9500000000007</v>
      </c>
      <c r="G2676" s="1">
        <v>41914</v>
      </c>
      <c r="H2676">
        <v>8211.5698400000001</v>
      </c>
      <c r="I2676" s="1">
        <v>41961</v>
      </c>
      <c r="J2676">
        <v>10432.9</v>
      </c>
      <c r="K2676" s="1">
        <v>41934</v>
      </c>
      <c r="L2676">
        <v>19266.25</v>
      </c>
    </row>
    <row r="2677" spans="1:12" x14ac:dyDescent="0.35">
      <c r="A2677" s="1">
        <v>41971</v>
      </c>
      <c r="B2677">
        <v>3250.93</v>
      </c>
      <c r="C2677" s="1">
        <v>41962</v>
      </c>
      <c r="D2677">
        <v>4266.1899999999996</v>
      </c>
      <c r="E2677" s="1">
        <v>41926</v>
      </c>
      <c r="F2677">
        <v>8825.2099999999991</v>
      </c>
      <c r="G2677" s="1">
        <v>41913</v>
      </c>
      <c r="H2677">
        <v>8418.8384299999998</v>
      </c>
      <c r="I2677" s="1">
        <v>41960</v>
      </c>
      <c r="J2677">
        <v>10309</v>
      </c>
      <c r="K2677" s="1">
        <v>41933</v>
      </c>
      <c r="L2677">
        <v>19057.72</v>
      </c>
    </row>
    <row r="2678" spans="1:12" x14ac:dyDescent="0.35">
      <c r="A2678" s="1">
        <v>41970</v>
      </c>
      <c r="B2678">
        <v>3244.92</v>
      </c>
      <c r="C2678" s="1">
        <v>41961</v>
      </c>
      <c r="D2678">
        <v>4262.38</v>
      </c>
      <c r="E2678" s="1">
        <v>41925</v>
      </c>
      <c r="F2678">
        <v>8812.43</v>
      </c>
      <c r="G2678" s="1">
        <v>41912</v>
      </c>
      <c r="H2678">
        <v>8505.3365799999992</v>
      </c>
      <c r="I2678" s="1">
        <v>41957</v>
      </c>
      <c r="J2678">
        <v>10148</v>
      </c>
      <c r="K2678" s="1">
        <v>41932</v>
      </c>
      <c r="L2678">
        <v>18540.099999999999</v>
      </c>
    </row>
    <row r="2679" spans="1:12" x14ac:dyDescent="0.35">
      <c r="A2679" s="1">
        <v>41969</v>
      </c>
      <c r="B2679">
        <v>3226.08</v>
      </c>
      <c r="C2679" s="1">
        <v>41960</v>
      </c>
      <c r="D2679">
        <v>4226.1000000000004</v>
      </c>
      <c r="E2679" s="1">
        <v>41922</v>
      </c>
      <c r="F2679">
        <v>8788.81</v>
      </c>
      <c r="G2679" s="1">
        <v>41911</v>
      </c>
      <c r="H2679">
        <v>8513.8459800000001</v>
      </c>
      <c r="I2679" s="1">
        <v>41956</v>
      </c>
      <c r="J2679">
        <v>10140.4</v>
      </c>
      <c r="K2679" s="1">
        <v>41929</v>
      </c>
      <c r="L2679">
        <v>18700.98</v>
      </c>
    </row>
    <row r="2680" spans="1:12" x14ac:dyDescent="0.35">
      <c r="A2680" s="1">
        <v>41968</v>
      </c>
      <c r="B2680">
        <v>3226.15</v>
      </c>
      <c r="C2680" s="1">
        <v>41957</v>
      </c>
      <c r="D2680">
        <v>4202.46</v>
      </c>
      <c r="E2680" s="1">
        <v>41921</v>
      </c>
      <c r="F2680">
        <v>9005.02</v>
      </c>
      <c r="G2680" s="1">
        <v>41908</v>
      </c>
      <c r="H2680">
        <v>8511.7851499999997</v>
      </c>
      <c r="I2680" s="1">
        <v>41955</v>
      </c>
      <c r="J2680">
        <v>10157.299999999999</v>
      </c>
      <c r="K2680" s="1">
        <v>41928</v>
      </c>
      <c r="L2680">
        <v>18083.11</v>
      </c>
    </row>
    <row r="2681" spans="1:12" x14ac:dyDescent="0.35">
      <c r="A2681" s="1">
        <v>41967</v>
      </c>
      <c r="B2681">
        <v>3211.7</v>
      </c>
      <c r="C2681" s="1">
        <v>41956</v>
      </c>
      <c r="D2681">
        <v>4187.95</v>
      </c>
      <c r="E2681" s="1">
        <v>41920</v>
      </c>
      <c r="F2681">
        <v>8995.33</v>
      </c>
      <c r="G2681" s="1">
        <v>41907</v>
      </c>
      <c r="H2681">
        <v>8495.9730099999997</v>
      </c>
      <c r="I2681" s="1">
        <v>41954</v>
      </c>
      <c r="J2681">
        <v>10338.799999999999</v>
      </c>
      <c r="K2681" s="1">
        <v>41927</v>
      </c>
      <c r="L2681">
        <v>18304.990000000002</v>
      </c>
    </row>
    <row r="2682" spans="1:12" x14ac:dyDescent="0.35">
      <c r="A2682" s="1">
        <v>41964</v>
      </c>
      <c r="B2682">
        <v>3194.22</v>
      </c>
      <c r="C2682" s="1">
        <v>41955</v>
      </c>
      <c r="D2682">
        <v>4179.88</v>
      </c>
      <c r="E2682" s="1">
        <v>41919</v>
      </c>
      <c r="F2682">
        <v>9086.2099999999991</v>
      </c>
      <c r="G2682" s="1">
        <v>41906</v>
      </c>
      <c r="H2682">
        <v>8568.1029899999994</v>
      </c>
      <c r="I2682" s="1">
        <v>41953</v>
      </c>
      <c r="J2682">
        <v>10273</v>
      </c>
      <c r="K2682" s="1">
        <v>41926</v>
      </c>
      <c r="L2682">
        <v>19155.849999999999</v>
      </c>
    </row>
    <row r="2683" spans="1:12" x14ac:dyDescent="0.35">
      <c r="A2683" s="1">
        <v>41963</v>
      </c>
      <c r="B2683">
        <v>3102.21</v>
      </c>
      <c r="C2683" s="1">
        <v>41954</v>
      </c>
      <c r="D2683">
        <v>4244.1000000000004</v>
      </c>
      <c r="E2683" s="1">
        <v>41918</v>
      </c>
      <c r="F2683">
        <v>9209.51</v>
      </c>
      <c r="G2683" s="1">
        <v>41905</v>
      </c>
      <c r="H2683">
        <v>8501.1280999999999</v>
      </c>
      <c r="I2683" s="1">
        <v>41950</v>
      </c>
      <c r="J2683">
        <v>10126.299999999999</v>
      </c>
      <c r="K2683" s="1">
        <v>41925</v>
      </c>
      <c r="L2683">
        <v>19139.080000000002</v>
      </c>
    </row>
    <row r="2684" spans="1:12" x14ac:dyDescent="0.35">
      <c r="A2684" s="1">
        <v>41962</v>
      </c>
      <c r="B2684">
        <v>3123.12</v>
      </c>
      <c r="C2684" s="1">
        <v>41953</v>
      </c>
      <c r="D2684">
        <v>4222.82</v>
      </c>
      <c r="E2684" s="1">
        <v>41914</v>
      </c>
      <c r="F2684">
        <v>9195.68</v>
      </c>
      <c r="G2684" s="1">
        <v>41904</v>
      </c>
      <c r="H2684">
        <v>8629.0936399999991</v>
      </c>
      <c r="I2684" s="1">
        <v>41949</v>
      </c>
      <c r="J2684">
        <v>10261.799999999999</v>
      </c>
      <c r="K2684" s="1">
        <v>41922</v>
      </c>
      <c r="L2684">
        <v>19200.97</v>
      </c>
    </row>
    <row r="2685" spans="1:12" x14ac:dyDescent="0.35">
      <c r="A2685" s="1">
        <v>41961</v>
      </c>
      <c r="B2685">
        <v>3120.42</v>
      </c>
      <c r="C2685" s="1">
        <v>41950</v>
      </c>
      <c r="D2685">
        <v>4189.8900000000003</v>
      </c>
      <c r="E2685" s="1">
        <v>41913</v>
      </c>
      <c r="F2685">
        <v>9382.0300000000007</v>
      </c>
      <c r="G2685" s="1">
        <v>41901</v>
      </c>
      <c r="H2685">
        <v>8685.8048699999999</v>
      </c>
      <c r="I2685" s="1">
        <v>41948</v>
      </c>
      <c r="J2685">
        <v>10276.9</v>
      </c>
      <c r="K2685" s="1">
        <v>41921</v>
      </c>
      <c r="L2685">
        <v>19382.490000000002</v>
      </c>
    </row>
    <row r="2686" spans="1:12" x14ac:dyDescent="0.35">
      <c r="A2686" s="1">
        <v>41960</v>
      </c>
      <c r="B2686">
        <v>3084.79</v>
      </c>
      <c r="C2686" s="1">
        <v>41949</v>
      </c>
      <c r="D2686">
        <v>4227.68</v>
      </c>
      <c r="E2686" s="1">
        <v>41912</v>
      </c>
      <c r="F2686">
        <v>9474.2999999999993</v>
      </c>
      <c r="G2686" s="1">
        <v>41900</v>
      </c>
      <c r="H2686">
        <v>8645.6122699999996</v>
      </c>
      <c r="I2686" s="1">
        <v>41947</v>
      </c>
      <c r="J2686">
        <v>10154.4</v>
      </c>
      <c r="K2686" s="1">
        <v>41920</v>
      </c>
      <c r="L2686">
        <v>19645.490000000002</v>
      </c>
    </row>
    <row r="2687" spans="1:12" x14ac:dyDescent="0.35">
      <c r="A2687" s="1">
        <v>41957</v>
      </c>
      <c r="B2687">
        <v>3059.99</v>
      </c>
      <c r="C2687" s="1">
        <v>41948</v>
      </c>
      <c r="D2687">
        <v>4208.42</v>
      </c>
      <c r="E2687" s="1">
        <v>41911</v>
      </c>
      <c r="F2687">
        <v>9422.91</v>
      </c>
      <c r="G2687" s="1">
        <v>41899</v>
      </c>
      <c r="H2687">
        <v>8542.2271299999993</v>
      </c>
      <c r="I2687" s="1">
        <v>41946</v>
      </c>
      <c r="J2687">
        <v>10374.4</v>
      </c>
      <c r="K2687" s="1">
        <v>41919</v>
      </c>
      <c r="L2687">
        <v>19771.71</v>
      </c>
    </row>
    <row r="2688" spans="1:12" x14ac:dyDescent="0.35">
      <c r="A2688" s="1">
        <v>41956</v>
      </c>
      <c r="B2688">
        <v>3056.8</v>
      </c>
      <c r="C2688" s="1">
        <v>41947</v>
      </c>
      <c r="D2688">
        <v>4130.1899999999996</v>
      </c>
      <c r="E2688" s="1">
        <v>41908</v>
      </c>
      <c r="F2688">
        <v>9490.5499999999993</v>
      </c>
      <c r="G2688" s="1">
        <v>41898</v>
      </c>
      <c r="H2688">
        <v>8527.3652500000007</v>
      </c>
      <c r="I2688" s="1">
        <v>41943</v>
      </c>
      <c r="J2688">
        <v>10477.799999999999</v>
      </c>
      <c r="K2688" s="1">
        <v>41918</v>
      </c>
      <c r="L2688">
        <v>20119.73</v>
      </c>
    </row>
    <row r="2689" spans="1:12" x14ac:dyDescent="0.35">
      <c r="A2689" s="1">
        <v>41955</v>
      </c>
      <c r="B2689">
        <v>3047.3</v>
      </c>
      <c r="C2689" s="1">
        <v>41946</v>
      </c>
      <c r="D2689">
        <v>4194.03</v>
      </c>
      <c r="E2689" s="1">
        <v>41907</v>
      </c>
      <c r="F2689">
        <v>9510.01</v>
      </c>
      <c r="G2689" s="1">
        <v>41897</v>
      </c>
      <c r="H2689">
        <v>8535.7793700000002</v>
      </c>
      <c r="I2689" s="1">
        <v>41942</v>
      </c>
      <c r="J2689">
        <v>10263.700000000001</v>
      </c>
      <c r="K2689" s="1">
        <v>41915</v>
      </c>
      <c r="L2689">
        <v>20200.62</v>
      </c>
    </row>
    <row r="2690" spans="1:12" x14ac:dyDescent="0.35">
      <c r="A2690" s="1">
        <v>41954</v>
      </c>
      <c r="B2690">
        <v>3104.59</v>
      </c>
      <c r="C2690" s="1">
        <v>41943</v>
      </c>
      <c r="D2690">
        <v>4233.09</v>
      </c>
      <c r="E2690" s="1">
        <v>41906</v>
      </c>
      <c r="F2690">
        <v>9661.9699999999993</v>
      </c>
      <c r="G2690" s="1">
        <v>41894</v>
      </c>
      <c r="H2690">
        <v>8535.7200699999994</v>
      </c>
      <c r="I2690" s="1">
        <v>41941</v>
      </c>
      <c r="J2690">
        <v>10247.799999999999</v>
      </c>
      <c r="K2690" s="1">
        <v>41914</v>
      </c>
      <c r="L2690">
        <v>19894.88</v>
      </c>
    </row>
    <row r="2691" spans="1:12" x14ac:dyDescent="0.35">
      <c r="A2691" s="1">
        <v>41953</v>
      </c>
      <c r="B2691">
        <v>3094.6</v>
      </c>
      <c r="C2691" s="1">
        <v>41942</v>
      </c>
      <c r="D2691">
        <v>4141.24</v>
      </c>
      <c r="E2691" s="1">
        <v>41905</v>
      </c>
      <c r="F2691">
        <v>9595.0300000000007</v>
      </c>
      <c r="G2691" s="1">
        <v>41893</v>
      </c>
      <c r="H2691">
        <v>8528.4260099999992</v>
      </c>
      <c r="I2691" s="1">
        <v>41940</v>
      </c>
      <c r="J2691">
        <v>10394.799999999999</v>
      </c>
      <c r="K2691" s="1">
        <v>41913</v>
      </c>
      <c r="L2691">
        <v>20706.310000000001</v>
      </c>
    </row>
    <row r="2692" spans="1:12" x14ac:dyDescent="0.35">
      <c r="A2692" s="1">
        <v>41950</v>
      </c>
      <c r="B2692">
        <v>3064.92</v>
      </c>
      <c r="C2692" s="1">
        <v>41941</v>
      </c>
      <c r="D2692">
        <v>4110.6400000000003</v>
      </c>
      <c r="E2692" s="1">
        <v>41904</v>
      </c>
      <c r="F2692">
        <v>9749.5400000000009</v>
      </c>
      <c r="G2692" s="1">
        <v>41892</v>
      </c>
      <c r="H2692">
        <v>8563.3126200000006</v>
      </c>
      <c r="I2692" s="1">
        <v>41939</v>
      </c>
      <c r="J2692">
        <v>10195.200000000001</v>
      </c>
      <c r="K2692" s="1">
        <v>41912</v>
      </c>
      <c r="L2692">
        <v>20892.11</v>
      </c>
    </row>
    <row r="2693" spans="1:12" x14ac:dyDescent="0.35">
      <c r="A2693" s="1">
        <v>41949</v>
      </c>
      <c r="B2693">
        <v>3102.07</v>
      </c>
      <c r="C2693" s="1">
        <v>41940</v>
      </c>
      <c r="D2693">
        <v>4112.67</v>
      </c>
      <c r="E2693" s="1">
        <v>41901</v>
      </c>
      <c r="F2693">
        <v>9799.26</v>
      </c>
      <c r="G2693" s="1">
        <v>41891</v>
      </c>
      <c r="H2693">
        <v>8505.0552800000005</v>
      </c>
      <c r="I2693" s="1">
        <v>41936</v>
      </c>
      <c r="J2693">
        <v>10339.299999999999</v>
      </c>
      <c r="K2693" s="1">
        <v>41911</v>
      </c>
      <c r="L2693">
        <v>20526.11</v>
      </c>
    </row>
    <row r="2694" spans="1:12" x14ac:dyDescent="0.35">
      <c r="A2694" s="1">
        <v>41948</v>
      </c>
      <c r="B2694">
        <v>3091.54</v>
      </c>
      <c r="C2694" s="1">
        <v>41939</v>
      </c>
      <c r="D2694">
        <v>4096.74</v>
      </c>
      <c r="E2694" s="1">
        <v>41900</v>
      </c>
      <c r="F2694">
        <v>9798.1299999999992</v>
      </c>
      <c r="G2694" s="1">
        <v>41890</v>
      </c>
      <c r="H2694">
        <v>8527.3452500000003</v>
      </c>
      <c r="I2694" s="1">
        <v>41935</v>
      </c>
      <c r="J2694">
        <v>10333.700000000001</v>
      </c>
      <c r="K2694" s="1">
        <v>41908</v>
      </c>
      <c r="L2694">
        <v>20795.37</v>
      </c>
    </row>
    <row r="2695" spans="1:12" x14ac:dyDescent="0.35">
      <c r="A2695" s="1">
        <v>41947</v>
      </c>
      <c r="B2695">
        <v>3034.24</v>
      </c>
      <c r="C2695" s="1">
        <v>41936</v>
      </c>
      <c r="D2695">
        <v>4128.8999999999996</v>
      </c>
      <c r="E2695" s="1">
        <v>41899</v>
      </c>
      <c r="F2695">
        <v>9661.5</v>
      </c>
      <c r="G2695" s="1">
        <v>41887</v>
      </c>
      <c r="H2695">
        <v>8631.9952699999994</v>
      </c>
      <c r="I2695" s="1">
        <v>41934</v>
      </c>
      <c r="J2695">
        <v>10249.9</v>
      </c>
      <c r="K2695" s="1">
        <v>41907</v>
      </c>
      <c r="L2695">
        <v>20411.490000000002</v>
      </c>
    </row>
    <row r="2696" spans="1:12" x14ac:dyDescent="0.35">
      <c r="A2696" s="1">
        <v>41946</v>
      </c>
      <c r="B2696">
        <v>3082.32</v>
      </c>
      <c r="C2696" s="1">
        <v>41935</v>
      </c>
      <c r="D2696">
        <v>4157.68</v>
      </c>
      <c r="E2696" s="1">
        <v>41898</v>
      </c>
      <c r="F2696">
        <v>9632.93</v>
      </c>
      <c r="G2696" s="1">
        <v>41886</v>
      </c>
      <c r="H2696">
        <v>8686.8436999999994</v>
      </c>
      <c r="I2696" s="1">
        <v>41933</v>
      </c>
      <c r="J2696">
        <v>10152.1</v>
      </c>
      <c r="K2696" s="1">
        <v>41906</v>
      </c>
      <c r="L2696">
        <v>20691.04</v>
      </c>
    </row>
    <row r="2697" spans="1:12" x14ac:dyDescent="0.35">
      <c r="A2697" s="1">
        <v>41943</v>
      </c>
      <c r="B2697">
        <v>3113.32</v>
      </c>
      <c r="C2697" s="1">
        <v>41934</v>
      </c>
      <c r="D2697">
        <v>4105.09</v>
      </c>
      <c r="E2697" s="1">
        <v>41897</v>
      </c>
      <c r="F2697">
        <v>9659.6299999999992</v>
      </c>
      <c r="G2697" s="1">
        <v>41885</v>
      </c>
      <c r="H2697">
        <v>8603.3516400000008</v>
      </c>
      <c r="I2697" s="1">
        <v>41932</v>
      </c>
      <c r="J2697">
        <v>9915.2000000000007</v>
      </c>
      <c r="K2697" s="1">
        <v>41905</v>
      </c>
      <c r="L2697">
        <v>20351.03</v>
      </c>
    </row>
    <row r="2698" spans="1:12" x14ac:dyDescent="0.35">
      <c r="A2698" s="1">
        <v>41942</v>
      </c>
      <c r="B2698">
        <v>3035.9</v>
      </c>
      <c r="C2698" s="1">
        <v>41933</v>
      </c>
      <c r="D2698">
        <v>4081.24</v>
      </c>
      <c r="E2698" s="1">
        <v>41894</v>
      </c>
      <c r="F2698">
        <v>9651.1299999999992</v>
      </c>
      <c r="G2698" s="1">
        <v>41884</v>
      </c>
      <c r="H2698">
        <v>8577.9578399999991</v>
      </c>
      <c r="I2698" s="1">
        <v>41929</v>
      </c>
      <c r="J2698">
        <v>9956.7999999999993</v>
      </c>
      <c r="K2698" s="1">
        <v>41904</v>
      </c>
      <c r="L2698">
        <v>20673</v>
      </c>
    </row>
    <row r="2699" spans="1:12" x14ac:dyDescent="0.35">
      <c r="A2699" s="1">
        <v>41941</v>
      </c>
      <c r="B2699">
        <v>3022.42</v>
      </c>
      <c r="C2699" s="1">
        <v>41932</v>
      </c>
      <c r="D2699">
        <v>3991.24</v>
      </c>
      <c r="E2699" s="1">
        <v>41893</v>
      </c>
      <c r="F2699">
        <v>9691.2800000000007</v>
      </c>
      <c r="G2699" s="1">
        <v>41883</v>
      </c>
      <c r="H2699">
        <v>8631.5663600000007</v>
      </c>
      <c r="I2699" s="1">
        <v>41928</v>
      </c>
      <c r="J2699">
        <v>9669.7000000000007</v>
      </c>
      <c r="K2699" s="1">
        <v>41901</v>
      </c>
      <c r="L2699">
        <v>20972.35</v>
      </c>
    </row>
    <row r="2700" spans="1:12" x14ac:dyDescent="0.35">
      <c r="A2700" s="1">
        <v>41940</v>
      </c>
      <c r="B2700">
        <v>3036.15</v>
      </c>
      <c r="C2700" s="1">
        <v>41929</v>
      </c>
      <c r="D2700">
        <v>4033.18</v>
      </c>
      <c r="E2700" s="1">
        <v>41892</v>
      </c>
      <c r="F2700">
        <v>9700.17</v>
      </c>
      <c r="G2700" s="1">
        <v>41880</v>
      </c>
      <c r="H2700">
        <v>8603.9356399999997</v>
      </c>
      <c r="I2700" s="1">
        <v>41927</v>
      </c>
      <c r="J2700">
        <v>9838.5</v>
      </c>
      <c r="K2700" s="1">
        <v>41900</v>
      </c>
      <c r="L2700">
        <v>21128.720000000001</v>
      </c>
    </row>
    <row r="2701" spans="1:12" x14ac:dyDescent="0.35">
      <c r="A2701" s="1">
        <v>41939</v>
      </c>
      <c r="B2701">
        <v>2998.84</v>
      </c>
      <c r="C2701" s="1">
        <v>41928</v>
      </c>
      <c r="D2701">
        <v>3918.62</v>
      </c>
      <c r="E2701" s="1">
        <v>41891</v>
      </c>
      <c r="F2701">
        <v>9710.7000000000007</v>
      </c>
      <c r="G2701" s="1">
        <v>41879</v>
      </c>
      <c r="H2701">
        <v>8560.5857799999994</v>
      </c>
      <c r="I2701" s="1">
        <v>41926</v>
      </c>
      <c r="J2701">
        <v>10204.9</v>
      </c>
      <c r="K2701" s="1">
        <v>41899</v>
      </c>
      <c r="L2701">
        <v>21111.66</v>
      </c>
    </row>
    <row r="2702" spans="1:12" x14ac:dyDescent="0.35">
      <c r="A2702" s="1">
        <v>41936</v>
      </c>
      <c r="B2702">
        <v>3030.37</v>
      </c>
      <c r="C2702" s="1">
        <v>41927</v>
      </c>
      <c r="D2702">
        <v>3939.72</v>
      </c>
      <c r="E2702" s="1">
        <v>41890</v>
      </c>
      <c r="F2702">
        <v>9758.0300000000007</v>
      </c>
      <c r="G2702" s="1">
        <v>41878</v>
      </c>
      <c r="H2702">
        <v>8583.2397099999998</v>
      </c>
      <c r="I2702" s="1">
        <v>41925</v>
      </c>
      <c r="J2702">
        <v>10187.299999999999</v>
      </c>
      <c r="K2702" s="1">
        <v>41898</v>
      </c>
      <c r="L2702">
        <v>20788.5</v>
      </c>
    </row>
    <row r="2703" spans="1:12" x14ac:dyDescent="0.35">
      <c r="A2703" s="1">
        <v>41935</v>
      </c>
      <c r="B2703">
        <v>3044.3</v>
      </c>
      <c r="C2703" s="1">
        <v>41926</v>
      </c>
      <c r="D2703">
        <v>4088.25</v>
      </c>
      <c r="E2703" s="1">
        <v>41887</v>
      </c>
      <c r="F2703">
        <v>9747.02</v>
      </c>
      <c r="G2703" s="1">
        <v>41877</v>
      </c>
      <c r="H2703">
        <v>8567.5037100000009</v>
      </c>
      <c r="I2703" s="1">
        <v>41922</v>
      </c>
      <c r="J2703">
        <v>10150.5</v>
      </c>
      <c r="K2703" s="1">
        <v>41897</v>
      </c>
      <c r="L2703">
        <v>20851.72</v>
      </c>
    </row>
    <row r="2704" spans="1:12" x14ac:dyDescent="0.35">
      <c r="A2704" s="1">
        <v>41934</v>
      </c>
      <c r="B2704">
        <v>3008.53</v>
      </c>
      <c r="C2704" s="1">
        <v>41925</v>
      </c>
      <c r="D2704">
        <v>4078.7</v>
      </c>
      <c r="E2704" s="1">
        <v>41886</v>
      </c>
      <c r="F2704">
        <v>9724.26</v>
      </c>
      <c r="G2704" s="1">
        <v>41873</v>
      </c>
      <c r="H2704">
        <v>8481.3439199999993</v>
      </c>
      <c r="I2704" s="1">
        <v>41921</v>
      </c>
      <c r="J2704">
        <v>10273.700000000001</v>
      </c>
      <c r="K2704" s="1">
        <v>41894</v>
      </c>
      <c r="L2704">
        <v>21071.119999999999</v>
      </c>
    </row>
    <row r="2705" spans="1:12" x14ac:dyDescent="0.35">
      <c r="A2705" s="1">
        <v>41933</v>
      </c>
      <c r="B2705">
        <v>2991.46</v>
      </c>
      <c r="C2705" s="1">
        <v>41922</v>
      </c>
      <c r="D2705">
        <v>4073.71</v>
      </c>
      <c r="E2705" s="1">
        <v>41885</v>
      </c>
      <c r="F2705">
        <v>9626.49</v>
      </c>
      <c r="G2705" s="1">
        <v>41872</v>
      </c>
      <c r="H2705">
        <v>8465.0569400000004</v>
      </c>
      <c r="I2705" s="1">
        <v>41920</v>
      </c>
      <c r="J2705">
        <v>10339</v>
      </c>
      <c r="K2705" s="1">
        <v>41893</v>
      </c>
      <c r="L2705">
        <v>21092.240000000002</v>
      </c>
    </row>
    <row r="2706" spans="1:12" x14ac:dyDescent="0.35">
      <c r="A2706" s="1">
        <v>41932</v>
      </c>
      <c r="B2706">
        <v>2927.3</v>
      </c>
      <c r="C2706" s="1">
        <v>41921</v>
      </c>
      <c r="D2706">
        <v>4141.45</v>
      </c>
      <c r="E2706" s="1">
        <v>41884</v>
      </c>
      <c r="F2706">
        <v>9507.02</v>
      </c>
      <c r="G2706" s="1">
        <v>41871</v>
      </c>
      <c r="H2706">
        <v>8451.7205400000003</v>
      </c>
      <c r="I2706" s="1">
        <v>41919</v>
      </c>
      <c r="J2706">
        <v>10430.700000000001</v>
      </c>
      <c r="K2706" s="1">
        <v>41892</v>
      </c>
      <c r="L2706">
        <v>21140.639999999999</v>
      </c>
    </row>
    <row r="2707" spans="1:12" x14ac:dyDescent="0.35">
      <c r="A2707" s="1">
        <v>41929</v>
      </c>
      <c r="B2707">
        <v>2962.24</v>
      </c>
      <c r="C2707" s="1">
        <v>41920</v>
      </c>
      <c r="D2707">
        <v>4168.12</v>
      </c>
      <c r="E2707" s="1">
        <v>41883</v>
      </c>
      <c r="F2707">
        <v>9479.0300000000007</v>
      </c>
      <c r="G2707" s="1">
        <v>41870</v>
      </c>
      <c r="H2707">
        <v>8459.1210100000008</v>
      </c>
      <c r="I2707" s="1">
        <v>41918</v>
      </c>
      <c r="J2707">
        <v>10645.7</v>
      </c>
      <c r="K2707" s="1">
        <v>41891</v>
      </c>
      <c r="L2707">
        <v>21149.8</v>
      </c>
    </row>
    <row r="2708" spans="1:12" x14ac:dyDescent="0.35">
      <c r="A2708" s="1">
        <v>41928</v>
      </c>
      <c r="B2708">
        <v>2874.65</v>
      </c>
      <c r="C2708" s="1">
        <v>41919</v>
      </c>
      <c r="D2708">
        <v>4209.1400000000003</v>
      </c>
      <c r="E2708" s="1">
        <v>41880</v>
      </c>
      <c r="F2708">
        <v>9470.17</v>
      </c>
      <c r="G2708" s="1">
        <v>41869</v>
      </c>
      <c r="H2708">
        <v>8441.4455199999993</v>
      </c>
      <c r="I2708" s="1">
        <v>41915</v>
      </c>
      <c r="J2708">
        <v>10567.6</v>
      </c>
      <c r="K2708" s="1">
        <v>41890</v>
      </c>
      <c r="L2708">
        <v>21294.34</v>
      </c>
    </row>
    <row r="2709" spans="1:12" x14ac:dyDescent="0.35">
      <c r="A2709" s="1">
        <v>41927</v>
      </c>
      <c r="B2709">
        <v>2892.55</v>
      </c>
      <c r="C2709" s="1">
        <v>41918</v>
      </c>
      <c r="D2709">
        <v>4286.5200000000004</v>
      </c>
      <c r="E2709" s="1">
        <v>41879</v>
      </c>
      <c r="F2709">
        <v>9462.56</v>
      </c>
      <c r="G2709" s="1">
        <v>41866</v>
      </c>
      <c r="H2709">
        <v>8337.61391</v>
      </c>
      <c r="I2709" s="1">
        <v>41914</v>
      </c>
      <c r="J2709">
        <v>10418.1</v>
      </c>
      <c r="K2709" s="1">
        <v>41887</v>
      </c>
      <c r="L2709">
        <v>21395.13</v>
      </c>
    </row>
    <row r="2710" spans="1:12" x14ac:dyDescent="0.35">
      <c r="A2710" s="1">
        <v>41926</v>
      </c>
      <c r="B2710">
        <v>3000.99</v>
      </c>
      <c r="C2710" s="1">
        <v>41915</v>
      </c>
      <c r="D2710">
        <v>4281.74</v>
      </c>
      <c r="E2710" s="1">
        <v>41878</v>
      </c>
      <c r="F2710">
        <v>9569.7099999999991</v>
      </c>
      <c r="G2710" s="1">
        <v>41865</v>
      </c>
      <c r="H2710">
        <v>8343.9485600000007</v>
      </c>
      <c r="I2710" s="1">
        <v>41913</v>
      </c>
      <c r="J2710">
        <v>10753.2</v>
      </c>
      <c r="K2710" s="1">
        <v>41886</v>
      </c>
      <c r="L2710">
        <v>21419.39</v>
      </c>
    </row>
    <row r="2711" spans="1:12" x14ac:dyDescent="0.35">
      <c r="A2711" s="1">
        <v>41925</v>
      </c>
      <c r="B2711">
        <v>2998.32</v>
      </c>
      <c r="C2711" s="1">
        <v>41914</v>
      </c>
      <c r="D2711">
        <v>4242.67</v>
      </c>
      <c r="E2711" s="1">
        <v>41877</v>
      </c>
      <c r="F2711">
        <v>9588.15</v>
      </c>
      <c r="G2711" s="1">
        <v>41864</v>
      </c>
      <c r="H2711">
        <v>8313.0089499999995</v>
      </c>
      <c r="I2711" s="1">
        <v>41912</v>
      </c>
      <c r="J2711">
        <v>10825.5</v>
      </c>
      <c r="K2711" s="1">
        <v>41885</v>
      </c>
      <c r="L2711">
        <v>20831.96</v>
      </c>
    </row>
    <row r="2712" spans="1:12" x14ac:dyDescent="0.35">
      <c r="A2712" s="1">
        <v>41922</v>
      </c>
      <c r="B2712">
        <v>2991.5</v>
      </c>
      <c r="C2712" s="1">
        <v>41913</v>
      </c>
      <c r="D2712">
        <v>4365.2700000000004</v>
      </c>
      <c r="E2712" s="1">
        <v>41876</v>
      </c>
      <c r="F2712">
        <v>9510.14</v>
      </c>
      <c r="G2712" s="1">
        <v>41863</v>
      </c>
      <c r="H2712">
        <v>8345.1332500000008</v>
      </c>
      <c r="I2712" s="1">
        <v>41911</v>
      </c>
      <c r="J2712">
        <v>10686</v>
      </c>
      <c r="K2712" s="1">
        <v>41884</v>
      </c>
      <c r="L2712">
        <v>20446.28</v>
      </c>
    </row>
    <row r="2713" spans="1:12" x14ac:dyDescent="0.35">
      <c r="A2713" s="1">
        <v>41921</v>
      </c>
      <c r="B2713">
        <v>3042.45</v>
      </c>
      <c r="C2713" s="1">
        <v>41912</v>
      </c>
      <c r="D2713">
        <v>4416.24</v>
      </c>
      <c r="E2713" s="1">
        <v>41873</v>
      </c>
      <c r="F2713">
        <v>9339.17</v>
      </c>
      <c r="G2713" s="1">
        <v>41862</v>
      </c>
      <c r="H2713">
        <v>8316.0479699999996</v>
      </c>
      <c r="I2713" s="1">
        <v>41908</v>
      </c>
      <c r="J2713">
        <v>10851.4</v>
      </c>
      <c r="K2713" s="1">
        <v>41883</v>
      </c>
      <c r="L2713">
        <v>20345.849999999999</v>
      </c>
    </row>
    <row r="2714" spans="1:12" x14ac:dyDescent="0.35">
      <c r="A2714" s="1">
        <v>41920</v>
      </c>
      <c r="B2714">
        <v>3053.31</v>
      </c>
      <c r="C2714" s="1">
        <v>41911</v>
      </c>
      <c r="D2714">
        <v>4358.07</v>
      </c>
      <c r="E2714" s="1">
        <v>41872</v>
      </c>
      <c r="F2714">
        <v>9401.5300000000007</v>
      </c>
      <c r="G2714" s="1">
        <v>41859</v>
      </c>
      <c r="H2714">
        <v>8212.1370999999999</v>
      </c>
      <c r="I2714" s="1">
        <v>41907</v>
      </c>
      <c r="J2714">
        <v>10783.1</v>
      </c>
      <c r="K2714" s="1">
        <v>41880</v>
      </c>
      <c r="L2714">
        <v>20450.490000000002</v>
      </c>
    </row>
    <row r="2715" spans="1:12" x14ac:dyDescent="0.35">
      <c r="A2715" s="1">
        <v>41919</v>
      </c>
      <c r="B2715">
        <v>3082.1</v>
      </c>
      <c r="C2715" s="1">
        <v>41908</v>
      </c>
      <c r="D2715">
        <v>4394.75</v>
      </c>
      <c r="E2715" s="1">
        <v>41871</v>
      </c>
      <c r="F2715">
        <v>9314.57</v>
      </c>
      <c r="G2715" s="1">
        <v>41858</v>
      </c>
      <c r="H2715">
        <v>8318.6164200000003</v>
      </c>
      <c r="I2715" s="1">
        <v>41906</v>
      </c>
      <c r="J2715">
        <v>10856.9</v>
      </c>
      <c r="K2715" s="1">
        <v>41879</v>
      </c>
      <c r="L2715">
        <v>20341.09</v>
      </c>
    </row>
    <row r="2716" spans="1:12" x14ac:dyDescent="0.35">
      <c r="A2716" s="1">
        <v>41918</v>
      </c>
      <c r="B2716">
        <v>3138.67</v>
      </c>
      <c r="C2716" s="1">
        <v>41907</v>
      </c>
      <c r="D2716">
        <v>4355.28</v>
      </c>
      <c r="E2716" s="1">
        <v>41870</v>
      </c>
      <c r="F2716">
        <v>9334.2800000000007</v>
      </c>
      <c r="G2716" s="1">
        <v>41857</v>
      </c>
      <c r="H2716">
        <v>8363.0805400000008</v>
      </c>
      <c r="I2716" s="1">
        <v>41905</v>
      </c>
      <c r="J2716">
        <v>10801.8</v>
      </c>
      <c r="K2716" s="1">
        <v>41878</v>
      </c>
      <c r="L2716">
        <v>20763.14</v>
      </c>
    </row>
    <row r="2717" spans="1:12" x14ac:dyDescent="0.35">
      <c r="A2717" s="1">
        <v>41915</v>
      </c>
      <c r="B2717">
        <v>3133.37</v>
      </c>
      <c r="C2717" s="1">
        <v>41906</v>
      </c>
      <c r="D2717">
        <v>4413.72</v>
      </c>
      <c r="E2717" s="1">
        <v>41869</v>
      </c>
      <c r="F2717">
        <v>9245.33</v>
      </c>
      <c r="G2717" s="1">
        <v>41856</v>
      </c>
      <c r="H2717">
        <v>8434.9502599999996</v>
      </c>
      <c r="I2717" s="1">
        <v>41904</v>
      </c>
      <c r="J2717">
        <v>10947.9</v>
      </c>
      <c r="K2717" s="1">
        <v>41877</v>
      </c>
      <c r="L2717">
        <v>20645.54</v>
      </c>
    </row>
    <row r="2718" spans="1:12" x14ac:dyDescent="0.35">
      <c r="A2718" s="1">
        <v>41914</v>
      </c>
      <c r="B2718">
        <v>3106.42</v>
      </c>
      <c r="C2718" s="1">
        <v>41905</v>
      </c>
      <c r="D2718">
        <v>4359.3500000000004</v>
      </c>
      <c r="E2718" s="1">
        <v>41866</v>
      </c>
      <c r="F2718">
        <v>9092.6</v>
      </c>
      <c r="G2718" s="1">
        <v>41855</v>
      </c>
      <c r="H2718">
        <v>8385.5954700000002</v>
      </c>
      <c r="I2718" s="1">
        <v>41901</v>
      </c>
      <c r="J2718">
        <v>11001.9</v>
      </c>
      <c r="K2718" s="1">
        <v>41876</v>
      </c>
      <c r="L2718">
        <v>20375.39</v>
      </c>
    </row>
    <row r="2719" spans="1:12" x14ac:dyDescent="0.35">
      <c r="A2719" s="1">
        <v>41913</v>
      </c>
      <c r="B2719">
        <v>3195.08</v>
      </c>
      <c r="C2719" s="1">
        <v>41904</v>
      </c>
      <c r="D2719">
        <v>4442.55</v>
      </c>
      <c r="E2719" s="1">
        <v>41865</v>
      </c>
      <c r="F2719">
        <v>9225.1</v>
      </c>
      <c r="G2719" s="1">
        <v>41852</v>
      </c>
      <c r="H2719">
        <v>8371.4776399999992</v>
      </c>
      <c r="I2719" s="1">
        <v>41900</v>
      </c>
      <c r="J2719">
        <v>10991</v>
      </c>
      <c r="K2719" s="1">
        <v>41873</v>
      </c>
      <c r="L2719">
        <v>19917.98</v>
      </c>
    </row>
    <row r="2720" spans="1:12" x14ac:dyDescent="0.35">
      <c r="A2720" s="1">
        <v>41912</v>
      </c>
      <c r="B2720">
        <v>3225.93</v>
      </c>
      <c r="C2720" s="1">
        <v>41901</v>
      </c>
      <c r="D2720">
        <v>4461.22</v>
      </c>
      <c r="E2720" s="1">
        <v>41864</v>
      </c>
      <c r="F2720">
        <v>9198.8799999999992</v>
      </c>
      <c r="G2720" s="1">
        <v>41851</v>
      </c>
      <c r="H2720">
        <v>8489.9445199999991</v>
      </c>
      <c r="I2720" s="1">
        <v>41899</v>
      </c>
      <c r="J2720">
        <v>10907.4</v>
      </c>
      <c r="K2720" s="1">
        <v>41872</v>
      </c>
      <c r="L2720">
        <v>20010.509999999998</v>
      </c>
    </row>
    <row r="2721" spans="1:12" x14ac:dyDescent="0.35">
      <c r="A2721" s="1">
        <v>41911</v>
      </c>
      <c r="B2721">
        <v>3186.95</v>
      </c>
      <c r="C2721" s="1">
        <v>41900</v>
      </c>
      <c r="D2721">
        <v>4464.7</v>
      </c>
      <c r="E2721" s="1">
        <v>41863</v>
      </c>
      <c r="F2721">
        <v>9069.4699999999993</v>
      </c>
      <c r="G2721" s="1">
        <v>41850</v>
      </c>
      <c r="H2721">
        <v>8555.5245200000008</v>
      </c>
      <c r="I2721" s="1">
        <v>41898</v>
      </c>
      <c r="J2721">
        <v>10798.7</v>
      </c>
      <c r="K2721" s="1">
        <v>41871</v>
      </c>
      <c r="L2721">
        <v>19605.97</v>
      </c>
    </row>
    <row r="2722" spans="1:12" x14ac:dyDescent="0.35">
      <c r="A2722" s="1">
        <v>41908</v>
      </c>
      <c r="B2722">
        <v>3219.58</v>
      </c>
      <c r="C2722" s="1">
        <v>41899</v>
      </c>
      <c r="D2722">
        <v>4431.41</v>
      </c>
      <c r="E2722" s="1">
        <v>41862</v>
      </c>
      <c r="F2722">
        <v>9180.74</v>
      </c>
      <c r="G2722" s="1">
        <v>41849</v>
      </c>
      <c r="H2722">
        <v>8598.6486700000005</v>
      </c>
      <c r="I2722" s="1">
        <v>41897</v>
      </c>
      <c r="J2722">
        <v>10841.3</v>
      </c>
      <c r="K2722" s="1">
        <v>41870</v>
      </c>
      <c r="L2722">
        <v>19644.37</v>
      </c>
    </row>
    <row r="2723" spans="1:12" x14ac:dyDescent="0.35">
      <c r="A2723" s="1">
        <v>41907</v>
      </c>
      <c r="B2723">
        <v>3202.31</v>
      </c>
      <c r="C2723" s="1">
        <v>41898</v>
      </c>
      <c r="D2723">
        <v>4409.1499999999996</v>
      </c>
      <c r="E2723" s="1">
        <v>41859</v>
      </c>
      <c r="F2723">
        <v>9009.32</v>
      </c>
      <c r="G2723" s="1">
        <v>41848</v>
      </c>
      <c r="H2723">
        <v>8579.4013200000009</v>
      </c>
      <c r="I2723" s="1">
        <v>41894</v>
      </c>
      <c r="J2723">
        <v>10888.9</v>
      </c>
      <c r="K2723" s="1">
        <v>41869</v>
      </c>
      <c r="L2723">
        <v>19639.900000000001</v>
      </c>
    </row>
    <row r="2724" spans="1:12" x14ac:dyDescent="0.35">
      <c r="A2724" s="1">
        <v>41906</v>
      </c>
      <c r="B2724">
        <v>3244.01</v>
      </c>
      <c r="C2724" s="1">
        <v>41897</v>
      </c>
      <c r="D2724">
        <v>4428.63</v>
      </c>
      <c r="E2724" s="1">
        <v>41858</v>
      </c>
      <c r="F2724">
        <v>9038.9699999999993</v>
      </c>
      <c r="G2724" s="1">
        <v>41845</v>
      </c>
      <c r="H2724">
        <v>8581.3553100000008</v>
      </c>
      <c r="I2724" s="1">
        <v>41893</v>
      </c>
      <c r="J2724">
        <v>10886.3</v>
      </c>
      <c r="K2724" s="1">
        <v>41865</v>
      </c>
      <c r="L2724">
        <v>19480.96</v>
      </c>
    </row>
    <row r="2725" spans="1:12" x14ac:dyDescent="0.35">
      <c r="A2725" s="1">
        <v>41905</v>
      </c>
      <c r="B2725">
        <v>3205.93</v>
      </c>
      <c r="C2725" s="1">
        <v>41894</v>
      </c>
      <c r="D2725">
        <v>4441.7</v>
      </c>
      <c r="E2725" s="1">
        <v>41857</v>
      </c>
      <c r="F2725">
        <v>9130.0400000000009</v>
      </c>
      <c r="G2725" s="1">
        <v>41844</v>
      </c>
      <c r="H2725">
        <v>8600.0025000000005</v>
      </c>
      <c r="I2725" s="1">
        <v>41892</v>
      </c>
      <c r="J2725">
        <v>10937.8</v>
      </c>
      <c r="K2725" s="1">
        <v>41864</v>
      </c>
      <c r="L2725">
        <v>19537.259999999998</v>
      </c>
    </row>
    <row r="2726" spans="1:12" x14ac:dyDescent="0.35">
      <c r="A2726" s="1">
        <v>41904</v>
      </c>
      <c r="B2726">
        <v>3257.48</v>
      </c>
      <c r="C2726" s="1">
        <v>41893</v>
      </c>
      <c r="D2726">
        <v>4440.8999999999996</v>
      </c>
      <c r="E2726" s="1">
        <v>41856</v>
      </c>
      <c r="F2726">
        <v>9189.74</v>
      </c>
      <c r="G2726" s="1">
        <v>41843</v>
      </c>
      <c r="H2726">
        <v>8601.8335599999991</v>
      </c>
      <c r="I2726" s="1">
        <v>41891</v>
      </c>
      <c r="J2726">
        <v>10951.6</v>
      </c>
      <c r="K2726" s="1">
        <v>41863</v>
      </c>
      <c r="L2726">
        <v>19416.259999999998</v>
      </c>
    </row>
    <row r="2727" spans="1:12" x14ac:dyDescent="0.35">
      <c r="A2727" s="1">
        <v>41901</v>
      </c>
      <c r="B2727">
        <v>3273.25</v>
      </c>
      <c r="C2727" s="1">
        <v>41892</v>
      </c>
      <c r="D2727">
        <v>4450.79</v>
      </c>
      <c r="E2727" s="1">
        <v>41855</v>
      </c>
      <c r="F2727">
        <v>9154.14</v>
      </c>
      <c r="G2727" s="1">
        <v>41842</v>
      </c>
      <c r="H2727">
        <v>8605.8159699999997</v>
      </c>
      <c r="I2727" s="1">
        <v>41890</v>
      </c>
      <c r="J2727">
        <v>11102.6</v>
      </c>
      <c r="K2727" s="1">
        <v>41862</v>
      </c>
      <c r="L2727">
        <v>19460.669999999998</v>
      </c>
    </row>
    <row r="2728" spans="1:12" x14ac:dyDescent="0.35">
      <c r="A2728" s="1">
        <v>41900</v>
      </c>
      <c r="B2728">
        <v>3271.37</v>
      </c>
      <c r="C2728" s="1">
        <v>41891</v>
      </c>
      <c r="D2728">
        <v>4452.37</v>
      </c>
      <c r="E2728" s="1">
        <v>41852</v>
      </c>
      <c r="F2728">
        <v>9210.08</v>
      </c>
      <c r="G2728" s="1">
        <v>41841</v>
      </c>
      <c r="H2728">
        <v>8493.5296099999996</v>
      </c>
      <c r="I2728" s="1">
        <v>41887</v>
      </c>
      <c r="J2728">
        <v>11148.9</v>
      </c>
      <c r="K2728" s="1">
        <v>41859</v>
      </c>
      <c r="L2728">
        <v>19193.48</v>
      </c>
    </row>
    <row r="2729" spans="1:12" x14ac:dyDescent="0.35">
      <c r="A2729" s="1">
        <v>41899</v>
      </c>
      <c r="B2729">
        <v>3237.44</v>
      </c>
      <c r="C2729" s="1">
        <v>41890</v>
      </c>
      <c r="D2729">
        <v>4474.93</v>
      </c>
      <c r="E2729" s="1">
        <v>41851</v>
      </c>
      <c r="F2729">
        <v>9407.48</v>
      </c>
      <c r="G2729" s="1">
        <v>41838</v>
      </c>
      <c r="H2729">
        <v>8524.8064799999993</v>
      </c>
      <c r="I2729" s="1">
        <v>41886</v>
      </c>
      <c r="J2729">
        <v>11100.1</v>
      </c>
      <c r="K2729" s="1">
        <v>41858</v>
      </c>
      <c r="L2729">
        <v>19130.650000000001</v>
      </c>
    </row>
    <row r="2730" spans="1:12" x14ac:dyDescent="0.35">
      <c r="A2730" s="1">
        <v>41898</v>
      </c>
      <c r="B2730">
        <v>3221.73</v>
      </c>
      <c r="C2730" s="1">
        <v>41887</v>
      </c>
      <c r="D2730">
        <v>4486.49</v>
      </c>
      <c r="E2730" s="1">
        <v>41850</v>
      </c>
      <c r="F2730">
        <v>9593.68</v>
      </c>
      <c r="G2730" s="1">
        <v>41837</v>
      </c>
      <c r="H2730">
        <v>8523.0480599999992</v>
      </c>
      <c r="I2730" s="1">
        <v>41885</v>
      </c>
      <c r="J2730">
        <v>10886.8</v>
      </c>
      <c r="K2730" s="1">
        <v>41857</v>
      </c>
      <c r="L2730">
        <v>19509.84</v>
      </c>
    </row>
    <row r="2731" spans="1:12" x14ac:dyDescent="0.35">
      <c r="A2731" s="1">
        <v>41897</v>
      </c>
      <c r="B2731">
        <v>3231.7</v>
      </c>
      <c r="C2731" s="1">
        <v>41886</v>
      </c>
      <c r="D2731">
        <v>4494.9399999999996</v>
      </c>
      <c r="E2731" s="1">
        <v>41849</v>
      </c>
      <c r="F2731">
        <v>9653.6299999999992</v>
      </c>
      <c r="G2731" s="1">
        <v>41836</v>
      </c>
      <c r="H2731">
        <v>8593.1797600000009</v>
      </c>
      <c r="I2731" s="1">
        <v>41884</v>
      </c>
      <c r="J2731">
        <v>10755</v>
      </c>
      <c r="K2731" s="1">
        <v>41856</v>
      </c>
      <c r="L2731">
        <v>20052.2</v>
      </c>
    </row>
    <row r="2732" spans="1:12" x14ac:dyDescent="0.35">
      <c r="A2732" s="1">
        <v>41894</v>
      </c>
      <c r="B2732">
        <v>3235.07</v>
      </c>
      <c r="C2732" s="1">
        <v>41885</v>
      </c>
      <c r="D2732">
        <v>4421.87</v>
      </c>
      <c r="E2732" s="1">
        <v>41848</v>
      </c>
      <c r="F2732">
        <v>9598.17</v>
      </c>
      <c r="G2732" s="1">
        <v>41835</v>
      </c>
      <c r="H2732">
        <v>8478.0759099999996</v>
      </c>
      <c r="I2732" s="1">
        <v>41883</v>
      </c>
      <c r="J2732">
        <v>10746.5</v>
      </c>
      <c r="K2732" s="1">
        <v>41855</v>
      </c>
      <c r="L2732">
        <v>20381.39</v>
      </c>
    </row>
    <row r="2733" spans="1:12" x14ac:dyDescent="0.35">
      <c r="A2733" s="1">
        <v>41893</v>
      </c>
      <c r="B2733">
        <v>3237.76</v>
      </c>
      <c r="C2733" s="1">
        <v>41884</v>
      </c>
      <c r="D2733">
        <v>4378.33</v>
      </c>
      <c r="E2733" s="1">
        <v>41845</v>
      </c>
      <c r="F2733">
        <v>9644.01</v>
      </c>
      <c r="G2733" s="1">
        <v>41834</v>
      </c>
      <c r="H2733">
        <v>8461.91554</v>
      </c>
      <c r="I2733" s="1">
        <v>41880</v>
      </c>
      <c r="J2733">
        <v>10728.8</v>
      </c>
      <c r="K2733" s="1">
        <v>41852</v>
      </c>
      <c r="L2733">
        <v>20362.41</v>
      </c>
    </row>
    <row r="2734" spans="1:12" x14ac:dyDescent="0.35">
      <c r="A2734" s="1">
        <v>41892</v>
      </c>
      <c r="B2734">
        <v>3244.16</v>
      </c>
      <c r="C2734" s="1">
        <v>41883</v>
      </c>
      <c r="D2734">
        <v>4379.7299999999996</v>
      </c>
      <c r="E2734" s="1">
        <v>41844</v>
      </c>
      <c r="F2734">
        <v>9794.06</v>
      </c>
      <c r="G2734" s="1">
        <v>41831</v>
      </c>
      <c r="H2734">
        <v>8416.4433700000009</v>
      </c>
      <c r="I2734" s="1">
        <v>41879</v>
      </c>
      <c r="J2734">
        <v>10722.2</v>
      </c>
      <c r="K2734" s="1">
        <v>41851</v>
      </c>
      <c r="L2734">
        <v>20570.8</v>
      </c>
    </row>
    <row r="2735" spans="1:12" x14ac:dyDescent="0.35">
      <c r="A2735" s="1">
        <v>41891</v>
      </c>
      <c r="B2735">
        <v>3245.43</v>
      </c>
      <c r="C2735" s="1">
        <v>41880</v>
      </c>
      <c r="D2735">
        <v>4381.04</v>
      </c>
      <c r="E2735" s="1">
        <v>41843</v>
      </c>
      <c r="F2735">
        <v>9753.56</v>
      </c>
      <c r="G2735" s="1">
        <v>41830</v>
      </c>
      <c r="H2735">
        <v>8400.2081099999996</v>
      </c>
      <c r="I2735" s="1">
        <v>41878</v>
      </c>
      <c r="J2735">
        <v>10837.4</v>
      </c>
      <c r="K2735" s="1">
        <v>41850</v>
      </c>
      <c r="L2735">
        <v>20887.53</v>
      </c>
    </row>
    <row r="2736" spans="1:12" x14ac:dyDescent="0.35">
      <c r="A2736" s="1">
        <v>41890</v>
      </c>
      <c r="B2736">
        <v>3267.54</v>
      </c>
      <c r="C2736" s="1">
        <v>41879</v>
      </c>
      <c r="D2736">
        <v>4366.04</v>
      </c>
      <c r="E2736" s="1">
        <v>41842</v>
      </c>
      <c r="F2736">
        <v>9734.33</v>
      </c>
      <c r="G2736" s="1">
        <v>41829</v>
      </c>
      <c r="H2736">
        <v>8443.5217599999996</v>
      </c>
      <c r="I2736" s="1">
        <v>41877</v>
      </c>
      <c r="J2736">
        <v>10826.9</v>
      </c>
      <c r="K2736" s="1">
        <v>41849</v>
      </c>
      <c r="L2736">
        <v>21085.119999999999</v>
      </c>
    </row>
    <row r="2737" spans="1:12" x14ac:dyDescent="0.35">
      <c r="A2737" s="1">
        <v>41887</v>
      </c>
      <c r="B2737">
        <v>3275.25</v>
      </c>
      <c r="C2737" s="1">
        <v>41878</v>
      </c>
      <c r="D2737">
        <v>4395.26</v>
      </c>
      <c r="E2737" s="1">
        <v>41841</v>
      </c>
      <c r="F2737">
        <v>9612.0499999999993</v>
      </c>
      <c r="G2737" s="1">
        <v>41828</v>
      </c>
      <c r="H2737">
        <v>8482.6126299999996</v>
      </c>
      <c r="I2737" s="1">
        <v>41876</v>
      </c>
      <c r="J2737">
        <v>10690.1</v>
      </c>
      <c r="K2737" s="1">
        <v>41848</v>
      </c>
      <c r="L2737">
        <v>20939.080000000002</v>
      </c>
    </row>
    <row r="2738" spans="1:12" x14ac:dyDescent="0.35">
      <c r="A2738" s="1">
        <v>41886</v>
      </c>
      <c r="B2738">
        <v>3277.25</v>
      </c>
      <c r="C2738" s="1">
        <v>41877</v>
      </c>
      <c r="D2738">
        <v>4393.41</v>
      </c>
      <c r="E2738" s="1">
        <v>41838</v>
      </c>
      <c r="F2738">
        <v>9720.02</v>
      </c>
      <c r="G2738" s="1">
        <v>41827</v>
      </c>
      <c r="H2738">
        <v>8590.8221599999997</v>
      </c>
      <c r="I2738" s="1">
        <v>41873</v>
      </c>
      <c r="J2738">
        <v>10500.2</v>
      </c>
      <c r="K2738" s="1">
        <v>41845</v>
      </c>
      <c r="L2738">
        <v>21063.31</v>
      </c>
    </row>
    <row r="2739" spans="1:12" x14ac:dyDescent="0.35">
      <c r="A2739" s="1">
        <v>41885</v>
      </c>
      <c r="B2739">
        <v>3218.84</v>
      </c>
      <c r="C2739" s="1">
        <v>41876</v>
      </c>
      <c r="D2739">
        <v>4342.1099999999997</v>
      </c>
      <c r="E2739" s="1">
        <v>41837</v>
      </c>
      <c r="F2739">
        <v>9753.8799999999992</v>
      </c>
      <c r="G2739" s="1">
        <v>41824</v>
      </c>
      <c r="H2739">
        <v>8668.8111599999993</v>
      </c>
      <c r="I2739" s="1">
        <v>41872</v>
      </c>
      <c r="J2739">
        <v>10556.4</v>
      </c>
      <c r="K2739" s="1">
        <v>41844</v>
      </c>
      <c r="L2739">
        <v>21255.599999999999</v>
      </c>
    </row>
    <row r="2740" spans="1:12" x14ac:dyDescent="0.35">
      <c r="A2740" s="1">
        <v>41884</v>
      </c>
      <c r="B2740">
        <v>3180.29</v>
      </c>
      <c r="C2740" s="1">
        <v>41873</v>
      </c>
      <c r="D2740">
        <v>4252.8</v>
      </c>
      <c r="E2740" s="1">
        <v>41836</v>
      </c>
      <c r="F2740">
        <v>9859.27</v>
      </c>
      <c r="G2740" s="1">
        <v>41823</v>
      </c>
      <c r="H2740">
        <v>8654.3130999999994</v>
      </c>
      <c r="I2740" s="1">
        <v>41871</v>
      </c>
      <c r="J2740">
        <v>10420.9</v>
      </c>
      <c r="K2740" s="1">
        <v>41843</v>
      </c>
      <c r="L2740">
        <v>20831.259999999998</v>
      </c>
    </row>
    <row r="2741" spans="1:12" x14ac:dyDescent="0.35">
      <c r="A2741" s="1">
        <v>41883</v>
      </c>
      <c r="B2741">
        <v>3175.05</v>
      </c>
      <c r="C2741" s="1">
        <v>41872</v>
      </c>
      <c r="D2741">
        <v>4292.93</v>
      </c>
      <c r="E2741" s="1">
        <v>41835</v>
      </c>
      <c r="F2741">
        <v>9719.41</v>
      </c>
      <c r="G2741" s="1">
        <v>41822</v>
      </c>
      <c r="H2741">
        <v>8568.3947800000005</v>
      </c>
      <c r="I2741" s="1">
        <v>41870</v>
      </c>
      <c r="J2741">
        <v>10386.5</v>
      </c>
      <c r="K2741" s="1">
        <v>41842</v>
      </c>
      <c r="L2741">
        <v>20873.5</v>
      </c>
    </row>
    <row r="2742" spans="1:12" x14ac:dyDescent="0.35">
      <c r="A2742" s="1">
        <v>41880</v>
      </c>
      <c r="B2742">
        <v>3172.63</v>
      </c>
      <c r="C2742" s="1">
        <v>41871</v>
      </c>
      <c r="D2742">
        <v>4240.79</v>
      </c>
      <c r="E2742" s="1">
        <v>41834</v>
      </c>
      <c r="F2742">
        <v>9783.01</v>
      </c>
      <c r="G2742" s="1">
        <v>41821</v>
      </c>
      <c r="H2742">
        <v>8529.1156100000007</v>
      </c>
      <c r="I2742" s="1">
        <v>41869</v>
      </c>
      <c r="J2742">
        <v>10353.4</v>
      </c>
      <c r="K2742" s="1">
        <v>41841</v>
      </c>
      <c r="L2742">
        <v>20431.2</v>
      </c>
    </row>
    <row r="2743" spans="1:12" x14ac:dyDescent="0.35">
      <c r="A2743" s="1">
        <v>41879</v>
      </c>
      <c r="B2743">
        <v>3164.44</v>
      </c>
      <c r="C2743" s="1">
        <v>41870</v>
      </c>
      <c r="D2743">
        <v>4254.45</v>
      </c>
      <c r="E2743" s="1">
        <v>41831</v>
      </c>
      <c r="F2743">
        <v>9666.34</v>
      </c>
      <c r="G2743" s="1">
        <v>41820</v>
      </c>
      <c r="H2743">
        <v>8424.7525100000003</v>
      </c>
      <c r="I2743" s="1">
        <v>41866</v>
      </c>
      <c r="J2743">
        <v>10222.200000000001</v>
      </c>
      <c r="K2743" s="1">
        <v>41838</v>
      </c>
      <c r="L2743">
        <v>20737.12</v>
      </c>
    </row>
    <row r="2744" spans="1:12" x14ac:dyDescent="0.35">
      <c r="A2744" s="1">
        <v>41878</v>
      </c>
      <c r="B2744">
        <v>3194.45</v>
      </c>
      <c r="C2744" s="1">
        <v>41869</v>
      </c>
      <c r="D2744">
        <v>4230.6499999999996</v>
      </c>
      <c r="E2744" s="1">
        <v>41830</v>
      </c>
      <c r="F2744">
        <v>9659.1299999999992</v>
      </c>
      <c r="G2744" s="1">
        <v>41817</v>
      </c>
      <c r="H2744">
        <v>8431.7312099999999</v>
      </c>
      <c r="I2744" s="1">
        <v>41865</v>
      </c>
      <c r="J2744">
        <v>10294.799999999999</v>
      </c>
      <c r="K2744" s="1">
        <v>41837</v>
      </c>
      <c r="L2744">
        <v>20603.29</v>
      </c>
    </row>
    <row r="2745" spans="1:12" x14ac:dyDescent="0.35">
      <c r="A2745" s="1">
        <v>41877</v>
      </c>
      <c r="B2745">
        <v>3197.54</v>
      </c>
      <c r="C2745" s="1">
        <v>41866</v>
      </c>
      <c r="D2745">
        <v>4174.3599999999997</v>
      </c>
      <c r="E2745" s="1">
        <v>41829</v>
      </c>
      <c r="F2745">
        <v>9808.2000000000007</v>
      </c>
      <c r="G2745" s="1">
        <v>41816</v>
      </c>
      <c r="H2745">
        <v>8421.3739600000008</v>
      </c>
      <c r="I2745" s="1">
        <v>41864</v>
      </c>
      <c r="J2745">
        <v>10304</v>
      </c>
      <c r="K2745" s="1">
        <v>41836</v>
      </c>
      <c r="L2745">
        <v>21069.97</v>
      </c>
    </row>
    <row r="2746" spans="1:12" x14ac:dyDescent="0.35">
      <c r="A2746" s="1">
        <v>41876</v>
      </c>
      <c r="B2746">
        <v>3165.47</v>
      </c>
      <c r="C2746" s="1">
        <v>41865</v>
      </c>
      <c r="D2746">
        <v>4205.43</v>
      </c>
      <c r="E2746" s="1">
        <v>41828</v>
      </c>
      <c r="F2746">
        <v>9772.67</v>
      </c>
      <c r="G2746" s="1">
        <v>41815</v>
      </c>
      <c r="H2746">
        <v>8383.69758</v>
      </c>
      <c r="I2746" s="1">
        <v>41863</v>
      </c>
      <c r="J2746">
        <v>10241.5</v>
      </c>
      <c r="K2746" s="1">
        <v>41835</v>
      </c>
      <c r="L2746">
        <v>20422.95</v>
      </c>
    </row>
    <row r="2747" spans="1:12" x14ac:dyDescent="0.35">
      <c r="A2747" s="1">
        <v>41873</v>
      </c>
      <c r="B2747">
        <v>3098.5</v>
      </c>
      <c r="C2747" s="1">
        <v>41864</v>
      </c>
      <c r="D2747">
        <v>4194.79</v>
      </c>
      <c r="E2747" s="1">
        <v>41827</v>
      </c>
      <c r="F2747">
        <v>9906.07</v>
      </c>
      <c r="G2747" s="1">
        <v>41814</v>
      </c>
      <c r="H2747">
        <v>8478.4675900000002</v>
      </c>
      <c r="I2747" s="1">
        <v>41862</v>
      </c>
      <c r="J2747">
        <v>10193.5</v>
      </c>
      <c r="K2747" s="1">
        <v>41834</v>
      </c>
      <c r="L2747">
        <v>20697.54</v>
      </c>
    </row>
    <row r="2748" spans="1:12" x14ac:dyDescent="0.35">
      <c r="A2748" s="1">
        <v>41872</v>
      </c>
      <c r="B2748">
        <v>3124.56</v>
      </c>
      <c r="C2748" s="1">
        <v>41863</v>
      </c>
      <c r="D2748">
        <v>4162.16</v>
      </c>
      <c r="E2748" s="1">
        <v>41824</v>
      </c>
      <c r="F2748">
        <v>10009.08</v>
      </c>
      <c r="G2748" s="1">
        <v>41813</v>
      </c>
      <c r="H2748">
        <v>8512.2043300000005</v>
      </c>
      <c r="I2748" s="1">
        <v>41859</v>
      </c>
      <c r="J2748">
        <v>10104.799999999999</v>
      </c>
      <c r="K2748" s="1">
        <v>41831</v>
      </c>
      <c r="L2748">
        <v>20614.86</v>
      </c>
    </row>
    <row r="2749" spans="1:12" x14ac:dyDescent="0.35">
      <c r="A2749" s="1">
        <v>41871</v>
      </c>
      <c r="B2749">
        <v>3083.5</v>
      </c>
      <c r="C2749" s="1">
        <v>41862</v>
      </c>
      <c r="D2749">
        <v>4197.7</v>
      </c>
      <c r="E2749" s="1">
        <v>41823</v>
      </c>
      <c r="F2749">
        <v>10029.43</v>
      </c>
      <c r="G2749" s="1">
        <v>41810</v>
      </c>
      <c r="H2749">
        <v>8546.5733199999995</v>
      </c>
      <c r="I2749" s="1">
        <v>41858</v>
      </c>
      <c r="J2749">
        <v>10078.6</v>
      </c>
      <c r="K2749" s="1">
        <v>41830</v>
      </c>
      <c r="L2749">
        <v>20488.75</v>
      </c>
    </row>
    <row r="2750" spans="1:12" x14ac:dyDescent="0.35">
      <c r="A2750" s="1">
        <v>41870</v>
      </c>
      <c r="B2750">
        <v>3091.11</v>
      </c>
      <c r="C2750" s="1">
        <v>41859</v>
      </c>
      <c r="D2750">
        <v>4147.8100000000004</v>
      </c>
      <c r="E2750" s="1">
        <v>41822</v>
      </c>
      <c r="F2750">
        <v>9911.27</v>
      </c>
      <c r="G2750" s="1">
        <v>41809</v>
      </c>
      <c r="H2750">
        <v>8520.5088599999999</v>
      </c>
      <c r="I2750" s="1">
        <v>41857</v>
      </c>
      <c r="J2750">
        <v>10246.200000000001</v>
      </c>
      <c r="K2750" s="1">
        <v>41829</v>
      </c>
      <c r="L2750">
        <v>20885.36</v>
      </c>
    </row>
    <row r="2751" spans="1:12" x14ac:dyDescent="0.35">
      <c r="A2751" s="1">
        <v>41869</v>
      </c>
      <c r="B2751">
        <v>3073.45</v>
      </c>
      <c r="C2751" s="1">
        <v>41858</v>
      </c>
      <c r="D2751">
        <v>4149.83</v>
      </c>
      <c r="E2751" s="1">
        <v>41821</v>
      </c>
      <c r="F2751">
        <v>9902.41</v>
      </c>
      <c r="G2751" s="1">
        <v>41808</v>
      </c>
      <c r="H2751">
        <v>8463.3380099999995</v>
      </c>
      <c r="I2751" s="1">
        <v>41856</v>
      </c>
      <c r="J2751">
        <v>10353.799999999999</v>
      </c>
      <c r="K2751" s="1">
        <v>41828</v>
      </c>
      <c r="L2751">
        <v>20700.53</v>
      </c>
    </row>
    <row r="2752" spans="1:12" x14ac:dyDescent="0.35">
      <c r="A2752" s="1">
        <v>41866</v>
      </c>
      <c r="B2752">
        <v>3033.52</v>
      </c>
      <c r="C2752" s="1">
        <v>41857</v>
      </c>
      <c r="D2752">
        <v>4207.1400000000003</v>
      </c>
      <c r="E2752" s="1">
        <v>41820</v>
      </c>
      <c r="F2752">
        <v>9833.07</v>
      </c>
      <c r="G2752" s="1">
        <v>41807</v>
      </c>
      <c r="H2752">
        <v>8475.3232200000002</v>
      </c>
      <c r="I2752" s="1">
        <v>41855</v>
      </c>
      <c r="J2752">
        <v>10496.2</v>
      </c>
      <c r="K2752" s="1">
        <v>41827</v>
      </c>
      <c r="L2752">
        <v>21273.22</v>
      </c>
    </row>
    <row r="2753" spans="1:12" x14ac:dyDescent="0.35">
      <c r="A2753" s="1">
        <v>41865</v>
      </c>
      <c r="B2753">
        <v>3058.16</v>
      </c>
      <c r="C2753" s="1">
        <v>41856</v>
      </c>
      <c r="D2753">
        <v>4232.88</v>
      </c>
      <c r="E2753" s="1">
        <v>41817</v>
      </c>
      <c r="F2753">
        <v>9815.17</v>
      </c>
      <c r="G2753" s="1">
        <v>41806</v>
      </c>
      <c r="H2753">
        <v>8454.9974199999997</v>
      </c>
      <c r="I2753" s="1">
        <v>41852</v>
      </c>
      <c r="J2753">
        <v>10514</v>
      </c>
      <c r="K2753" s="1">
        <v>41824</v>
      </c>
      <c r="L2753">
        <v>21559.19</v>
      </c>
    </row>
    <row r="2754" spans="1:12" x14ac:dyDescent="0.35">
      <c r="A2754" s="1">
        <v>41864</v>
      </c>
      <c r="B2754">
        <v>3056.17</v>
      </c>
      <c r="C2754" s="1">
        <v>41855</v>
      </c>
      <c r="D2754">
        <v>4217.22</v>
      </c>
      <c r="E2754" s="1">
        <v>41816</v>
      </c>
      <c r="F2754">
        <v>9804.9</v>
      </c>
      <c r="G2754" s="1">
        <v>41803</v>
      </c>
      <c r="H2754">
        <v>8496.4815400000007</v>
      </c>
      <c r="I2754" s="1">
        <v>41851</v>
      </c>
      <c r="J2754">
        <v>10707.2</v>
      </c>
      <c r="K2754" s="1">
        <v>41823</v>
      </c>
      <c r="L2754">
        <v>21884.6</v>
      </c>
    </row>
    <row r="2755" spans="1:12" x14ac:dyDescent="0.35">
      <c r="A2755" s="1">
        <v>41863</v>
      </c>
      <c r="B2755">
        <v>3023.77</v>
      </c>
      <c r="C2755" s="1">
        <v>41852</v>
      </c>
      <c r="D2755">
        <v>4202.78</v>
      </c>
      <c r="E2755" s="1">
        <v>41815</v>
      </c>
      <c r="F2755">
        <v>9867.75</v>
      </c>
      <c r="G2755" s="1">
        <v>41802</v>
      </c>
      <c r="H2755">
        <v>8492.8920400000006</v>
      </c>
      <c r="I2755" s="1">
        <v>41850</v>
      </c>
      <c r="J2755">
        <v>10937.4</v>
      </c>
      <c r="K2755" s="1">
        <v>41822</v>
      </c>
      <c r="L2755">
        <v>21678.58</v>
      </c>
    </row>
    <row r="2756" spans="1:12" x14ac:dyDescent="0.35">
      <c r="A2756" s="1">
        <v>41862</v>
      </c>
      <c r="B2756">
        <v>3047.56</v>
      </c>
      <c r="C2756" s="1">
        <v>41851</v>
      </c>
      <c r="D2756">
        <v>4246.1400000000003</v>
      </c>
      <c r="E2756" s="1">
        <v>41814</v>
      </c>
      <c r="F2756">
        <v>9938.08</v>
      </c>
      <c r="G2756" s="1">
        <v>41801</v>
      </c>
      <c r="H2756">
        <v>8488.9696899999999</v>
      </c>
      <c r="I2756" s="1">
        <v>41849</v>
      </c>
      <c r="J2756">
        <v>10901.2</v>
      </c>
      <c r="K2756" s="1">
        <v>41821</v>
      </c>
      <c r="L2756">
        <v>21563.43</v>
      </c>
    </row>
    <row r="2757" spans="1:12" x14ac:dyDescent="0.35">
      <c r="A2757" s="1">
        <v>41859</v>
      </c>
      <c r="B2757">
        <v>3006.83</v>
      </c>
      <c r="C2757" s="1">
        <v>41850</v>
      </c>
      <c r="D2757">
        <v>4312.3</v>
      </c>
      <c r="E2757" s="1">
        <v>41813</v>
      </c>
      <c r="F2757">
        <v>9920.92</v>
      </c>
      <c r="G2757" s="1">
        <v>41800</v>
      </c>
      <c r="H2757">
        <v>8502.3773700000002</v>
      </c>
      <c r="I2757" s="1">
        <v>41848</v>
      </c>
      <c r="J2757">
        <v>10879.8</v>
      </c>
      <c r="K2757" s="1">
        <v>41820</v>
      </c>
      <c r="L2757">
        <v>21283.03</v>
      </c>
    </row>
    <row r="2758" spans="1:12" x14ac:dyDescent="0.35">
      <c r="A2758" s="1">
        <v>41858</v>
      </c>
      <c r="B2758">
        <v>3012.88</v>
      </c>
      <c r="C2758" s="1">
        <v>41849</v>
      </c>
      <c r="D2758">
        <v>4365.58</v>
      </c>
      <c r="E2758" s="1">
        <v>41810</v>
      </c>
      <c r="F2758">
        <v>9987.24</v>
      </c>
      <c r="G2758" s="1">
        <v>41799</v>
      </c>
      <c r="H2758">
        <v>8497.8562500000007</v>
      </c>
      <c r="I2758" s="1">
        <v>41845</v>
      </c>
      <c r="J2758">
        <v>10888.1</v>
      </c>
      <c r="K2758" s="1">
        <v>41817</v>
      </c>
      <c r="L2758">
        <v>21319.759999999998</v>
      </c>
    </row>
    <row r="2759" spans="1:12" x14ac:dyDescent="0.35">
      <c r="A2759" s="1">
        <v>41857</v>
      </c>
      <c r="B2759">
        <v>3050.37</v>
      </c>
      <c r="C2759" s="1">
        <v>41848</v>
      </c>
      <c r="D2759">
        <v>4344.7700000000004</v>
      </c>
      <c r="E2759" s="1">
        <v>41809</v>
      </c>
      <c r="F2759">
        <v>10004</v>
      </c>
      <c r="G2759" s="1">
        <v>41796</v>
      </c>
      <c r="H2759">
        <v>8449.6928499999995</v>
      </c>
      <c r="I2759" s="1">
        <v>41844</v>
      </c>
      <c r="J2759">
        <v>10860.7</v>
      </c>
      <c r="K2759" s="1">
        <v>41816</v>
      </c>
      <c r="L2759">
        <v>21384.54</v>
      </c>
    </row>
    <row r="2760" spans="1:12" x14ac:dyDescent="0.35">
      <c r="A2760" s="1">
        <v>41856</v>
      </c>
      <c r="B2760">
        <v>3072.2</v>
      </c>
      <c r="C2760" s="1">
        <v>41845</v>
      </c>
      <c r="D2760">
        <v>4330.55</v>
      </c>
      <c r="E2760" s="1">
        <v>41808</v>
      </c>
      <c r="F2760">
        <v>9930.33</v>
      </c>
      <c r="G2760" s="1">
        <v>41795</v>
      </c>
      <c r="H2760">
        <v>8394.3276000000005</v>
      </c>
      <c r="I2760" s="1">
        <v>41843</v>
      </c>
      <c r="J2760">
        <v>10659.1</v>
      </c>
      <c r="K2760" s="1">
        <v>41815</v>
      </c>
      <c r="L2760">
        <v>21469.1</v>
      </c>
    </row>
    <row r="2761" spans="1:12" x14ac:dyDescent="0.35">
      <c r="A2761" s="1">
        <v>41855</v>
      </c>
      <c r="B2761">
        <v>3070.46</v>
      </c>
      <c r="C2761" s="1">
        <v>41844</v>
      </c>
      <c r="D2761">
        <v>4410.6499999999996</v>
      </c>
      <c r="E2761" s="1">
        <v>41807</v>
      </c>
      <c r="F2761">
        <v>9920.32</v>
      </c>
      <c r="G2761" s="1">
        <v>41794</v>
      </c>
      <c r="H2761">
        <v>8388.9993699999995</v>
      </c>
      <c r="I2761" s="1">
        <v>41842</v>
      </c>
      <c r="J2761">
        <v>10648.9</v>
      </c>
      <c r="K2761" s="1">
        <v>41814</v>
      </c>
      <c r="L2761">
        <v>21641.24</v>
      </c>
    </row>
    <row r="2762" spans="1:12" x14ac:dyDescent="0.35">
      <c r="A2762" s="1">
        <v>41852</v>
      </c>
      <c r="B2762">
        <v>3072.57</v>
      </c>
      <c r="C2762" s="1">
        <v>41843</v>
      </c>
      <c r="D2762">
        <v>4376.32</v>
      </c>
      <c r="E2762" s="1">
        <v>41806</v>
      </c>
      <c r="F2762">
        <v>9883.98</v>
      </c>
      <c r="G2762" s="1">
        <v>41793</v>
      </c>
      <c r="H2762">
        <v>8402.3357099999994</v>
      </c>
      <c r="I2762" s="1">
        <v>41841</v>
      </c>
      <c r="J2762">
        <v>10482</v>
      </c>
      <c r="K2762" s="1">
        <v>41813</v>
      </c>
      <c r="L2762">
        <v>21694.75</v>
      </c>
    </row>
    <row r="2763" spans="1:12" x14ac:dyDescent="0.35">
      <c r="A2763" s="1">
        <v>41851</v>
      </c>
      <c r="B2763">
        <v>3115.51</v>
      </c>
      <c r="C2763" s="1">
        <v>41842</v>
      </c>
      <c r="D2763">
        <v>4369.5200000000004</v>
      </c>
      <c r="E2763" s="1">
        <v>41803</v>
      </c>
      <c r="F2763">
        <v>9912.8700000000008</v>
      </c>
      <c r="G2763" s="1">
        <v>41792</v>
      </c>
      <c r="H2763">
        <v>8451.5020199999999</v>
      </c>
      <c r="I2763" s="1">
        <v>41838</v>
      </c>
      <c r="J2763">
        <v>10527</v>
      </c>
      <c r="K2763" s="1">
        <v>41810</v>
      </c>
      <c r="L2763">
        <v>21988.080000000002</v>
      </c>
    </row>
    <row r="2764" spans="1:12" x14ac:dyDescent="0.35">
      <c r="A2764" s="1">
        <v>41850</v>
      </c>
      <c r="B2764">
        <v>3169.23</v>
      </c>
      <c r="C2764" s="1">
        <v>41841</v>
      </c>
      <c r="D2764">
        <v>4304.74</v>
      </c>
      <c r="E2764" s="1">
        <v>41802</v>
      </c>
      <c r="F2764">
        <v>9938.7000000000007</v>
      </c>
      <c r="G2764" s="1">
        <v>41789</v>
      </c>
      <c r="H2764">
        <v>8414.0156999999999</v>
      </c>
      <c r="I2764" s="1">
        <v>41837</v>
      </c>
      <c r="J2764">
        <v>10543.3</v>
      </c>
      <c r="K2764" s="1">
        <v>41809</v>
      </c>
      <c r="L2764">
        <v>22216.63</v>
      </c>
    </row>
    <row r="2765" spans="1:12" x14ac:dyDescent="0.35">
      <c r="A2765" s="1">
        <v>41849</v>
      </c>
      <c r="B2765">
        <v>3190.54</v>
      </c>
      <c r="C2765" s="1">
        <v>41838</v>
      </c>
      <c r="D2765">
        <v>4335.3100000000004</v>
      </c>
      <c r="E2765" s="1">
        <v>41801</v>
      </c>
      <c r="F2765">
        <v>9949.81</v>
      </c>
      <c r="G2765" s="1">
        <v>41788</v>
      </c>
      <c r="H2765">
        <v>8440.5433900000007</v>
      </c>
      <c r="I2765" s="1">
        <v>41836</v>
      </c>
      <c r="J2765">
        <v>10668.4</v>
      </c>
      <c r="K2765" s="1">
        <v>41808</v>
      </c>
      <c r="L2765">
        <v>22030.34</v>
      </c>
    </row>
    <row r="2766" spans="1:12" x14ac:dyDescent="0.35">
      <c r="A2766" s="1">
        <v>41848</v>
      </c>
      <c r="B2766">
        <v>3171.55</v>
      </c>
      <c r="C2766" s="1">
        <v>41837</v>
      </c>
      <c r="D2766">
        <v>4316.12</v>
      </c>
      <c r="E2766" s="1">
        <v>41800</v>
      </c>
      <c r="F2766">
        <v>10028.799999999999</v>
      </c>
      <c r="G2766" s="1">
        <v>41787</v>
      </c>
      <c r="H2766">
        <v>8421.87932</v>
      </c>
      <c r="I2766" s="1">
        <v>41835</v>
      </c>
      <c r="J2766">
        <v>10475.9</v>
      </c>
      <c r="K2766" s="1">
        <v>41807</v>
      </c>
      <c r="L2766">
        <v>21996.400000000001</v>
      </c>
    </row>
    <row r="2767" spans="1:12" x14ac:dyDescent="0.35">
      <c r="A2767" s="1">
        <v>41845</v>
      </c>
      <c r="B2767">
        <v>3174.99</v>
      </c>
      <c r="C2767" s="1">
        <v>41836</v>
      </c>
      <c r="D2767">
        <v>4369.0600000000004</v>
      </c>
      <c r="E2767" s="1">
        <v>41799</v>
      </c>
      <c r="F2767">
        <v>10008.629999999999</v>
      </c>
      <c r="G2767" s="1">
        <v>41786</v>
      </c>
      <c r="H2767">
        <v>8438.0374499999998</v>
      </c>
      <c r="I2767" s="1">
        <v>41834</v>
      </c>
      <c r="J2767">
        <v>10606.3</v>
      </c>
      <c r="K2767" s="1">
        <v>41806</v>
      </c>
      <c r="L2767">
        <v>21976.26</v>
      </c>
    </row>
    <row r="2768" spans="1:12" x14ac:dyDescent="0.35">
      <c r="A2768" s="1">
        <v>41844</v>
      </c>
      <c r="B2768">
        <v>3220.07</v>
      </c>
      <c r="C2768" s="1">
        <v>41835</v>
      </c>
      <c r="D2768">
        <v>4305.3100000000004</v>
      </c>
      <c r="E2768" s="1">
        <v>41796</v>
      </c>
      <c r="F2768">
        <v>9987.19</v>
      </c>
      <c r="G2768" s="1">
        <v>41782</v>
      </c>
      <c r="H2768">
        <v>8412.1598900000008</v>
      </c>
      <c r="I2768" s="1">
        <v>41831</v>
      </c>
      <c r="J2768">
        <v>10538.8</v>
      </c>
      <c r="K2768" s="1">
        <v>41803</v>
      </c>
      <c r="L2768">
        <v>22165.97</v>
      </c>
    </row>
    <row r="2769" spans="1:12" x14ac:dyDescent="0.35">
      <c r="A2769" s="1">
        <v>41843</v>
      </c>
      <c r="B2769">
        <v>3193.13</v>
      </c>
      <c r="C2769" s="1">
        <v>41834</v>
      </c>
      <c r="D2769">
        <v>4350.04</v>
      </c>
      <c r="E2769" s="1">
        <v>41795</v>
      </c>
      <c r="F2769">
        <v>9947.83</v>
      </c>
      <c r="G2769" s="1">
        <v>41781</v>
      </c>
      <c r="H2769">
        <v>8422.5171699999992</v>
      </c>
      <c r="I2769" s="1">
        <v>41830</v>
      </c>
      <c r="J2769">
        <v>10533.6</v>
      </c>
      <c r="K2769" s="1">
        <v>41802</v>
      </c>
      <c r="L2769">
        <v>22163.49</v>
      </c>
    </row>
    <row r="2770" spans="1:12" x14ac:dyDescent="0.35">
      <c r="A2770" s="1">
        <v>41842</v>
      </c>
      <c r="B2770">
        <v>3189.22</v>
      </c>
      <c r="C2770" s="1">
        <v>41831</v>
      </c>
      <c r="D2770">
        <v>4316.5</v>
      </c>
      <c r="E2770" s="1">
        <v>41794</v>
      </c>
      <c r="F2770">
        <v>9926.67</v>
      </c>
      <c r="G2770" s="1">
        <v>41780</v>
      </c>
      <c r="H2770">
        <v>8423.0832800000007</v>
      </c>
      <c r="I2770" s="1">
        <v>41829</v>
      </c>
      <c r="J2770">
        <v>10746.9</v>
      </c>
      <c r="K2770" s="1">
        <v>41801</v>
      </c>
      <c r="L2770">
        <v>22223.77</v>
      </c>
    </row>
    <row r="2771" spans="1:12" x14ac:dyDescent="0.35">
      <c r="A2771" s="1">
        <v>41841</v>
      </c>
      <c r="B2771">
        <v>3137.06</v>
      </c>
      <c r="C2771" s="1">
        <v>41830</v>
      </c>
      <c r="D2771">
        <v>4301.26</v>
      </c>
      <c r="E2771" s="1">
        <v>41793</v>
      </c>
      <c r="F2771">
        <v>9919.74</v>
      </c>
      <c r="G2771" s="1">
        <v>41779</v>
      </c>
      <c r="H2771">
        <v>8368.2140400000008</v>
      </c>
      <c r="I2771" s="1">
        <v>41828</v>
      </c>
      <c r="J2771">
        <v>10689.1</v>
      </c>
      <c r="K2771" s="1">
        <v>41800</v>
      </c>
      <c r="L2771">
        <v>22502.97</v>
      </c>
    </row>
    <row r="2772" spans="1:12" x14ac:dyDescent="0.35">
      <c r="A2772" s="1">
        <v>41838</v>
      </c>
      <c r="B2772">
        <v>3164.21</v>
      </c>
      <c r="C2772" s="1">
        <v>41829</v>
      </c>
      <c r="D2772">
        <v>4359.84</v>
      </c>
      <c r="E2772" s="1">
        <v>41792</v>
      </c>
      <c r="F2772">
        <v>9950.1200000000008</v>
      </c>
      <c r="G2772" s="1">
        <v>41778</v>
      </c>
      <c r="H2772">
        <v>8394.6833200000001</v>
      </c>
      <c r="I2772" s="1">
        <v>41827</v>
      </c>
      <c r="J2772">
        <v>10888.5</v>
      </c>
      <c r="K2772" s="1">
        <v>41799</v>
      </c>
      <c r="L2772">
        <v>22472.12</v>
      </c>
    </row>
    <row r="2773" spans="1:12" x14ac:dyDescent="0.35">
      <c r="A2773" s="1">
        <v>41837</v>
      </c>
      <c r="B2773">
        <v>3157.82</v>
      </c>
      <c r="C2773" s="1">
        <v>41828</v>
      </c>
      <c r="D2773">
        <v>4342.53</v>
      </c>
      <c r="E2773" s="1">
        <v>41789</v>
      </c>
      <c r="F2773">
        <v>9943.27</v>
      </c>
      <c r="G2773" s="1">
        <v>41775</v>
      </c>
      <c r="H2773">
        <v>8420.9080599999998</v>
      </c>
      <c r="I2773" s="1">
        <v>41824</v>
      </c>
      <c r="J2773">
        <v>11009.4</v>
      </c>
      <c r="K2773" s="1">
        <v>41796</v>
      </c>
      <c r="L2773">
        <v>22290.080000000002</v>
      </c>
    </row>
    <row r="2774" spans="1:12" x14ac:dyDescent="0.35">
      <c r="A2774" s="1">
        <v>41836</v>
      </c>
      <c r="B2774">
        <v>3202.94</v>
      </c>
      <c r="C2774" s="1">
        <v>41827</v>
      </c>
      <c r="D2774">
        <v>4405.76</v>
      </c>
      <c r="E2774" s="1">
        <v>41788</v>
      </c>
      <c r="F2774">
        <v>9938.9</v>
      </c>
      <c r="G2774" s="1">
        <v>41774</v>
      </c>
      <c r="H2774">
        <v>8378.0565000000006</v>
      </c>
      <c r="I2774" s="1">
        <v>41823</v>
      </c>
      <c r="J2774">
        <v>11090</v>
      </c>
      <c r="K2774" s="1">
        <v>41795</v>
      </c>
      <c r="L2774">
        <v>21951.07</v>
      </c>
    </row>
    <row r="2775" spans="1:12" x14ac:dyDescent="0.35">
      <c r="A2775" s="1">
        <v>41835</v>
      </c>
      <c r="B2775">
        <v>3153.75</v>
      </c>
      <c r="C2775" s="1">
        <v>41824</v>
      </c>
      <c r="D2775">
        <v>4468.9799999999996</v>
      </c>
      <c r="E2775" s="1">
        <v>41787</v>
      </c>
      <c r="F2775">
        <v>9939.17</v>
      </c>
      <c r="G2775" s="1">
        <v>41773</v>
      </c>
      <c r="H2775">
        <v>8418.4729200000002</v>
      </c>
      <c r="I2775" s="1">
        <v>41822</v>
      </c>
      <c r="J2775">
        <v>11016.2</v>
      </c>
      <c r="K2775" s="1">
        <v>41794</v>
      </c>
      <c r="L2775">
        <v>21622.77</v>
      </c>
    </row>
    <row r="2776" spans="1:12" x14ac:dyDescent="0.35">
      <c r="A2776" s="1">
        <v>41834</v>
      </c>
      <c r="B2776">
        <v>3185.86</v>
      </c>
      <c r="C2776" s="1">
        <v>41823</v>
      </c>
      <c r="D2776">
        <v>4489.88</v>
      </c>
      <c r="E2776" s="1">
        <v>41786</v>
      </c>
      <c r="F2776">
        <v>9940.82</v>
      </c>
      <c r="G2776" s="1">
        <v>41772</v>
      </c>
      <c r="H2776">
        <v>8445.8614500000003</v>
      </c>
      <c r="I2776" s="1">
        <v>41821</v>
      </c>
      <c r="J2776">
        <v>11007.8</v>
      </c>
      <c r="K2776" s="1">
        <v>41793</v>
      </c>
      <c r="L2776">
        <v>21656.65</v>
      </c>
    </row>
    <row r="2777" spans="1:12" x14ac:dyDescent="0.35">
      <c r="A2777" s="1">
        <v>41831</v>
      </c>
      <c r="B2777">
        <v>3157.05</v>
      </c>
      <c r="C2777" s="1">
        <v>41822</v>
      </c>
      <c r="D2777">
        <v>4444.72</v>
      </c>
      <c r="E2777" s="1">
        <v>41785</v>
      </c>
      <c r="F2777">
        <v>9892.82</v>
      </c>
      <c r="G2777" s="1">
        <v>41771</v>
      </c>
      <c r="H2777">
        <v>8401.6988299999994</v>
      </c>
      <c r="I2777" s="1">
        <v>41820</v>
      </c>
      <c r="J2777">
        <v>10923.5</v>
      </c>
      <c r="K2777" s="1">
        <v>41792</v>
      </c>
      <c r="L2777">
        <v>21796.17</v>
      </c>
    </row>
    <row r="2778" spans="1:12" x14ac:dyDescent="0.35">
      <c r="A2778" s="1">
        <v>41830</v>
      </c>
      <c r="B2778">
        <v>3150.59</v>
      </c>
      <c r="C2778" s="1">
        <v>41821</v>
      </c>
      <c r="D2778">
        <v>4461.12</v>
      </c>
      <c r="E2778" s="1">
        <v>41782</v>
      </c>
      <c r="F2778">
        <v>9768.01</v>
      </c>
      <c r="G2778" s="1">
        <v>41768</v>
      </c>
      <c r="H2778">
        <v>8344.6039199999996</v>
      </c>
      <c r="I2778" s="1">
        <v>41817</v>
      </c>
      <c r="J2778">
        <v>10959.9</v>
      </c>
      <c r="K2778" s="1">
        <v>41789</v>
      </c>
      <c r="L2778">
        <v>21629.71</v>
      </c>
    </row>
    <row r="2779" spans="1:12" x14ac:dyDescent="0.35">
      <c r="A2779" s="1">
        <v>41829</v>
      </c>
      <c r="B2779">
        <v>3203.1</v>
      </c>
      <c r="C2779" s="1">
        <v>41820</v>
      </c>
      <c r="D2779">
        <v>4422.84</v>
      </c>
      <c r="E2779" s="1">
        <v>41781</v>
      </c>
      <c r="F2779">
        <v>9720.91</v>
      </c>
      <c r="G2779" s="1">
        <v>41767</v>
      </c>
      <c r="H2779">
        <v>8355.0263500000001</v>
      </c>
      <c r="I2779" s="1">
        <v>41816</v>
      </c>
      <c r="J2779">
        <v>10989</v>
      </c>
      <c r="K2779" s="1">
        <v>41788</v>
      </c>
      <c r="L2779">
        <v>21511.35</v>
      </c>
    </row>
    <row r="2780" spans="1:12" x14ac:dyDescent="0.35">
      <c r="A2780" s="1">
        <v>41828</v>
      </c>
      <c r="B2780">
        <v>3184.38</v>
      </c>
      <c r="C2780" s="1">
        <v>41817</v>
      </c>
      <c r="D2780">
        <v>4436.99</v>
      </c>
      <c r="E2780" s="1">
        <v>41780</v>
      </c>
      <c r="F2780">
        <v>9697.8700000000008</v>
      </c>
      <c r="G2780" s="1">
        <v>41766</v>
      </c>
      <c r="H2780">
        <v>8283.1612499999992</v>
      </c>
      <c r="I2780" s="1">
        <v>41815</v>
      </c>
      <c r="J2780">
        <v>10966.7</v>
      </c>
      <c r="K2780" s="1">
        <v>41787</v>
      </c>
      <c r="L2780">
        <v>21586.01</v>
      </c>
    </row>
    <row r="2781" spans="1:12" x14ac:dyDescent="0.35">
      <c r="A2781" s="1">
        <v>41827</v>
      </c>
      <c r="B2781">
        <v>3230.92</v>
      </c>
      <c r="C2781" s="1">
        <v>41816</v>
      </c>
      <c r="D2781">
        <v>4439.63</v>
      </c>
      <c r="E2781" s="1">
        <v>41779</v>
      </c>
      <c r="F2781">
        <v>9639.08</v>
      </c>
      <c r="G2781" s="1">
        <v>41765</v>
      </c>
      <c r="H2781">
        <v>8291.5579500000003</v>
      </c>
      <c r="I2781" s="1">
        <v>41814</v>
      </c>
      <c r="J2781">
        <v>11105.9</v>
      </c>
      <c r="K2781" s="1">
        <v>41786</v>
      </c>
      <c r="L2781">
        <v>21403.55</v>
      </c>
    </row>
    <row r="2782" spans="1:12" x14ac:dyDescent="0.35">
      <c r="A2782" s="1">
        <v>41824</v>
      </c>
      <c r="B2782">
        <v>3270.47</v>
      </c>
      <c r="C2782" s="1">
        <v>41815</v>
      </c>
      <c r="D2782">
        <v>4460.6000000000004</v>
      </c>
      <c r="E2782" s="1">
        <v>41778</v>
      </c>
      <c r="F2782">
        <v>9659.39</v>
      </c>
      <c r="G2782" s="1">
        <v>41761</v>
      </c>
      <c r="H2782">
        <v>8301.1687099999999</v>
      </c>
      <c r="I2782" s="1">
        <v>41813</v>
      </c>
      <c r="J2782">
        <v>11118.3</v>
      </c>
      <c r="K2782" s="1">
        <v>41785</v>
      </c>
      <c r="L2782">
        <v>21493.87</v>
      </c>
    </row>
    <row r="2783" spans="1:12" x14ac:dyDescent="0.35">
      <c r="A2783" s="1">
        <v>41823</v>
      </c>
      <c r="B2783">
        <v>3289.75</v>
      </c>
      <c r="C2783" s="1">
        <v>41814</v>
      </c>
      <c r="D2783">
        <v>4518.34</v>
      </c>
      <c r="E2783" s="1">
        <v>41775</v>
      </c>
      <c r="F2783">
        <v>9629.1</v>
      </c>
      <c r="G2783" s="1">
        <v>41760</v>
      </c>
      <c r="H2783">
        <v>8295.0575900000003</v>
      </c>
      <c r="I2783" s="1">
        <v>41810</v>
      </c>
      <c r="J2783">
        <v>11155.1</v>
      </c>
      <c r="K2783" s="1">
        <v>41782</v>
      </c>
      <c r="L2783">
        <v>20745.96</v>
      </c>
    </row>
    <row r="2784" spans="1:12" x14ac:dyDescent="0.35">
      <c r="A2784" s="1">
        <v>41822</v>
      </c>
      <c r="B2784">
        <v>3252.25</v>
      </c>
      <c r="C2784" s="1">
        <v>41813</v>
      </c>
      <c r="D2784">
        <v>4515.57</v>
      </c>
      <c r="E2784" s="1">
        <v>41774</v>
      </c>
      <c r="F2784">
        <v>9656.0499999999993</v>
      </c>
      <c r="G2784" s="1">
        <v>41759</v>
      </c>
      <c r="H2784">
        <v>8250.35671</v>
      </c>
      <c r="I2784" s="1">
        <v>41809</v>
      </c>
      <c r="J2784">
        <v>11187.8</v>
      </c>
      <c r="K2784" s="1">
        <v>41781</v>
      </c>
      <c r="L2784">
        <v>20372.68</v>
      </c>
    </row>
    <row r="2785" spans="1:12" x14ac:dyDescent="0.35">
      <c r="A2785" s="1">
        <v>41821</v>
      </c>
      <c r="B2785">
        <v>3258.71</v>
      </c>
      <c r="C2785" s="1">
        <v>41810</v>
      </c>
      <c r="D2785">
        <v>4541.34</v>
      </c>
      <c r="E2785" s="1">
        <v>41773</v>
      </c>
      <c r="F2785">
        <v>9754.39</v>
      </c>
      <c r="G2785" s="1">
        <v>41758</v>
      </c>
      <c r="H2785">
        <v>8246.3395799999998</v>
      </c>
      <c r="I2785" s="1">
        <v>41808</v>
      </c>
      <c r="J2785">
        <v>11112.3</v>
      </c>
      <c r="K2785" s="1">
        <v>41780</v>
      </c>
      <c r="L2785">
        <v>20597.509999999998</v>
      </c>
    </row>
    <row r="2786" spans="1:12" x14ac:dyDescent="0.35">
      <c r="A2786" s="1">
        <v>41820</v>
      </c>
      <c r="B2786">
        <v>3228.24</v>
      </c>
      <c r="C2786" s="1">
        <v>41809</v>
      </c>
      <c r="D2786">
        <v>4563.04</v>
      </c>
      <c r="E2786" s="1">
        <v>41772</v>
      </c>
      <c r="F2786">
        <v>9754.43</v>
      </c>
      <c r="G2786" s="1">
        <v>41757</v>
      </c>
      <c r="H2786">
        <v>8130.4823100000003</v>
      </c>
      <c r="I2786" s="1">
        <v>41807</v>
      </c>
      <c r="J2786">
        <v>11058.5</v>
      </c>
      <c r="K2786" s="1">
        <v>41779</v>
      </c>
      <c r="L2786">
        <v>20379.849999999999</v>
      </c>
    </row>
    <row r="2787" spans="1:12" x14ac:dyDescent="0.35">
      <c r="A2787" s="1">
        <v>41817</v>
      </c>
      <c r="B2787">
        <v>3227.85</v>
      </c>
      <c r="C2787" s="1">
        <v>41808</v>
      </c>
      <c r="D2787">
        <v>4530.37</v>
      </c>
      <c r="E2787" s="1">
        <v>41771</v>
      </c>
      <c r="F2787">
        <v>9702.4599999999991</v>
      </c>
      <c r="G2787" s="1">
        <v>41754</v>
      </c>
      <c r="H2787">
        <v>8115.7841200000003</v>
      </c>
      <c r="I2787" s="1">
        <v>41806</v>
      </c>
      <c r="J2787">
        <v>11008.2</v>
      </c>
      <c r="K2787" s="1">
        <v>41778</v>
      </c>
      <c r="L2787">
        <v>20318.46</v>
      </c>
    </row>
    <row r="2788" spans="1:12" x14ac:dyDescent="0.35">
      <c r="A2788" s="1">
        <v>41816</v>
      </c>
      <c r="B2788">
        <v>3233.19</v>
      </c>
      <c r="C2788" s="1">
        <v>41807</v>
      </c>
      <c r="D2788">
        <v>4536.07</v>
      </c>
      <c r="E2788" s="1">
        <v>41768</v>
      </c>
      <c r="F2788">
        <v>9581.4500000000007</v>
      </c>
      <c r="G2788" s="1">
        <v>41753</v>
      </c>
      <c r="H2788">
        <v>8142.6127699999997</v>
      </c>
      <c r="I2788" s="1">
        <v>41803</v>
      </c>
      <c r="J2788">
        <v>11113.7</v>
      </c>
      <c r="K2788" s="1">
        <v>41775</v>
      </c>
      <c r="L2788">
        <v>20648.59</v>
      </c>
    </row>
    <row r="2789" spans="1:12" x14ac:dyDescent="0.35">
      <c r="A2789" s="1">
        <v>41815</v>
      </c>
      <c r="B2789">
        <v>3252.31</v>
      </c>
      <c r="C2789" s="1">
        <v>41806</v>
      </c>
      <c r="D2789">
        <v>4510.05</v>
      </c>
      <c r="E2789" s="1">
        <v>41767</v>
      </c>
      <c r="F2789">
        <v>9607.4</v>
      </c>
      <c r="G2789" s="1">
        <v>41752</v>
      </c>
      <c r="H2789">
        <v>8104.4549100000004</v>
      </c>
      <c r="I2789" s="1">
        <v>41802</v>
      </c>
      <c r="J2789">
        <v>11088.5</v>
      </c>
      <c r="K2789" s="1">
        <v>41774</v>
      </c>
      <c r="L2789">
        <v>20419.62</v>
      </c>
    </row>
    <row r="2790" spans="1:12" x14ac:dyDescent="0.35">
      <c r="A2790" s="1">
        <v>41814</v>
      </c>
      <c r="B2790">
        <v>3284.81</v>
      </c>
      <c r="C2790" s="1">
        <v>41803</v>
      </c>
      <c r="D2790">
        <v>4543.28</v>
      </c>
      <c r="E2790" s="1">
        <v>41766</v>
      </c>
      <c r="F2790">
        <v>9521.2999999999993</v>
      </c>
      <c r="G2790" s="1">
        <v>41751</v>
      </c>
      <c r="H2790">
        <v>8148.8420900000001</v>
      </c>
      <c r="I2790" s="1">
        <v>41801</v>
      </c>
      <c r="J2790">
        <v>11074.9</v>
      </c>
      <c r="K2790" s="1">
        <v>41773</v>
      </c>
      <c r="L2790">
        <v>21184.6</v>
      </c>
    </row>
    <row r="2791" spans="1:12" x14ac:dyDescent="0.35">
      <c r="A2791" s="1">
        <v>41813</v>
      </c>
      <c r="B2791">
        <v>3282.58</v>
      </c>
      <c r="C2791" s="1">
        <v>41802</v>
      </c>
      <c r="D2791">
        <v>4554.3999999999996</v>
      </c>
      <c r="E2791" s="1">
        <v>41765</v>
      </c>
      <c r="F2791">
        <v>9467.5300000000007</v>
      </c>
      <c r="G2791" s="1">
        <v>41746</v>
      </c>
      <c r="H2791">
        <v>8054.4323000000004</v>
      </c>
      <c r="I2791" s="1">
        <v>41800</v>
      </c>
      <c r="J2791">
        <v>11153.5</v>
      </c>
      <c r="K2791" s="1">
        <v>41772</v>
      </c>
      <c r="L2791">
        <v>21255.99</v>
      </c>
    </row>
    <row r="2792" spans="1:12" x14ac:dyDescent="0.35">
      <c r="A2792" s="1">
        <v>41810</v>
      </c>
      <c r="B2792">
        <v>3302.36</v>
      </c>
      <c r="C2792" s="1">
        <v>41801</v>
      </c>
      <c r="D2792">
        <v>4555.1099999999997</v>
      </c>
      <c r="E2792" s="1">
        <v>41764</v>
      </c>
      <c r="F2792">
        <v>9529.5</v>
      </c>
      <c r="G2792" s="1">
        <v>41745</v>
      </c>
      <c r="H2792">
        <v>7997.5457999999999</v>
      </c>
      <c r="I2792" s="1">
        <v>41799</v>
      </c>
      <c r="J2792">
        <v>11164.1</v>
      </c>
      <c r="K2792" s="1">
        <v>41771</v>
      </c>
      <c r="L2792">
        <v>21493.67</v>
      </c>
    </row>
    <row r="2793" spans="1:12" x14ac:dyDescent="0.35">
      <c r="A2793" s="1">
        <v>41809</v>
      </c>
      <c r="B2793">
        <v>3314.8</v>
      </c>
      <c r="C2793" s="1">
        <v>41800</v>
      </c>
      <c r="D2793">
        <v>4595</v>
      </c>
      <c r="E2793" s="1">
        <v>41761</v>
      </c>
      <c r="F2793">
        <v>9556.02</v>
      </c>
      <c r="G2793" s="1">
        <v>41744</v>
      </c>
      <c r="H2793">
        <v>7917.7197200000001</v>
      </c>
      <c r="I2793" s="1">
        <v>41796</v>
      </c>
      <c r="J2793">
        <v>11064.3</v>
      </c>
      <c r="K2793" s="1">
        <v>41768</v>
      </c>
      <c r="L2793">
        <v>21390.11</v>
      </c>
    </row>
    <row r="2794" spans="1:12" x14ac:dyDescent="0.35">
      <c r="A2794" s="1">
        <v>41808</v>
      </c>
      <c r="B2794">
        <v>3279.2</v>
      </c>
      <c r="C2794" s="1">
        <v>41799</v>
      </c>
      <c r="D2794">
        <v>4589.12</v>
      </c>
      <c r="E2794" s="1">
        <v>41759</v>
      </c>
      <c r="F2794">
        <v>9603.23</v>
      </c>
      <c r="G2794" s="1">
        <v>41743</v>
      </c>
      <c r="H2794">
        <v>7967.8350899999996</v>
      </c>
      <c r="I2794" s="1">
        <v>41795</v>
      </c>
      <c r="J2794">
        <v>10876.4</v>
      </c>
      <c r="K2794" s="1">
        <v>41767</v>
      </c>
      <c r="L2794">
        <v>21729.64</v>
      </c>
    </row>
    <row r="2795" spans="1:12" x14ac:dyDescent="0.35">
      <c r="A2795" s="1">
        <v>41807</v>
      </c>
      <c r="B2795">
        <v>3275.33</v>
      </c>
      <c r="C2795" s="1">
        <v>41796</v>
      </c>
      <c r="D2795">
        <v>4581.12</v>
      </c>
      <c r="E2795" s="1">
        <v>41758</v>
      </c>
      <c r="F2795">
        <v>9584.1200000000008</v>
      </c>
      <c r="G2795" s="1">
        <v>41740</v>
      </c>
      <c r="H2795">
        <v>7905.4862999999996</v>
      </c>
      <c r="I2795" s="1">
        <v>41794</v>
      </c>
      <c r="J2795">
        <v>10755.6</v>
      </c>
      <c r="K2795" s="1">
        <v>41766</v>
      </c>
      <c r="L2795">
        <v>21240.74</v>
      </c>
    </row>
    <row r="2796" spans="1:12" x14ac:dyDescent="0.35">
      <c r="A2796" s="1">
        <v>41806</v>
      </c>
      <c r="B2796">
        <v>3261.42</v>
      </c>
      <c r="C2796" s="1">
        <v>41795</v>
      </c>
      <c r="D2796">
        <v>4548.7299999999996</v>
      </c>
      <c r="E2796" s="1">
        <v>41757</v>
      </c>
      <c r="F2796">
        <v>9446.36</v>
      </c>
      <c r="G2796" s="1">
        <v>41739</v>
      </c>
      <c r="H2796">
        <v>8026.6105399999997</v>
      </c>
      <c r="I2796" s="1">
        <v>41793</v>
      </c>
      <c r="J2796">
        <v>10776.7</v>
      </c>
      <c r="K2796" s="1">
        <v>41765</v>
      </c>
      <c r="L2796">
        <v>21521.65</v>
      </c>
    </row>
    <row r="2797" spans="1:12" x14ac:dyDescent="0.35">
      <c r="A2797" s="1">
        <v>41803</v>
      </c>
      <c r="B2797">
        <v>3282.84</v>
      </c>
      <c r="C2797" s="1">
        <v>41794</v>
      </c>
      <c r="D2797">
        <v>4501</v>
      </c>
      <c r="E2797" s="1">
        <v>41754</v>
      </c>
      <c r="F2797">
        <v>9401.5499999999993</v>
      </c>
      <c r="G2797" s="1">
        <v>41738</v>
      </c>
      <c r="H2797">
        <v>8046.9204900000004</v>
      </c>
      <c r="I2797" s="1">
        <v>41792</v>
      </c>
      <c r="J2797">
        <v>10827.4</v>
      </c>
      <c r="K2797" s="1">
        <v>41764</v>
      </c>
      <c r="L2797">
        <v>21639.96</v>
      </c>
    </row>
    <row r="2798" spans="1:12" x14ac:dyDescent="0.35">
      <c r="A2798" s="1">
        <v>41802</v>
      </c>
      <c r="B2798">
        <v>3284.28</v>
      </c>
      <c r="C2798" s="1">
        <v>41793</v>
      </c>
      <c r="D2798">
        <v>4503.6899999999996</v>
      </c>
      <c r="E2798" s="1">
        <v>41753</v>
      </c>
      <c r="F2798">
        <v>9548.68</v>
      </c>
      <c r="G2798" s="1">
        <v>41737</v>
      </c>
      <c r="H2798">
        <v>7996.1560799999997</v>
      </c>
      <c r="I2798" s="1">
        <v>41789</v>
      </c>
      <c r="J2798">
        <v>10798.7</v>
      </c>
      <c r="K2798" s="1">
        <v>41761</v>
      </c>
      <c r="L2798">
        <v>21782</v>
      </c>
    </row>
    <row r="2799" spans="1:12" x14ac:dyDescent="0.35">
      <c r="A2799" s="1">
        <v>41801</v>
      </c>
      <c r="B2799">
        <v>3289.09</v>
      </c>
      <c r="C2799" s="1">
        <v>41792</v>
      </c>
      <c r="D2799">
        <v>4515.8900000000003</v>
      </c>
      <c r="E2799" s="1">
        <v>41752</v>
      </c>
      <c r="F2799">
        <v>9544.19</v>
      </c>
      <c r="G2799" s="1">
        <v>41736</v>
      </c>
      <c r="H2799">
        <v>8005.3500199999999</v>
      </c>
      <c r="I2799" s="1">
        <v>41788</v>
      </c>
      <c r="J2799">
        <v>10734.8</v>
      </c>
      <c r="K2799" s="1">
        <v>41759</v>
      </c>
      <c r="L2799">
        <v>21783.38</v>
      </c>
    </row>
    <row r="2800" spans="1:12" x14ac:dyDescent="0.35">
      <c r="A2800" s="1">
        <v>41800</v>
      </c>
      <c r="B2800">
        <v>3313.8</v>
      </c>
      <c r="C2800" s="1">
        <v>41789</v>
      </c>
      <c r="D2800">
        <v>4519.57</v>
      </c>
      <c r="E2800" s="1">
        <v>41751</v>
      </c>
      <c r="F2800">
        <v>9600.09</v>
      </c>
      <c r="G2800" s="1">
        <v>41733</v>
      </c>
      <c r="H2800">
        <v>8099.14833</v>
      </c>
      <c r="I2800" s="1">
        <v>41787</v>
      </c>
      <c r="J2800">
        <v>10757.2</v>
      </c>
      <c r="K2800" s="1">
        <v>41758</v>
      </c>
      <c r="L2800">
        <v>21976.84</v>
      </c>
    </row>
    <row r="2801" spans="1:12" x14ac:dyDescent="0.35">
      <c r="A2801" s="1">
        <v>41799</v>
      </c>
      <c r="B2801">
        <v>3305.26</v>
      </c>
      <c r="C2801" s="1">
        <v>41788</v>
      </c>
      <c r="D2801">
        <v>4530.51</v>
      </c>
      <c r="E2801" s="1">
        <v>41746</v>
      </c>
      <c r="F2801">
        <v>9409.7099999999991</v>
      </c>
      <c r="G2801" s="1">
        <v>41732</v>
      </c>
      <c r="H2801">
        <v>8039.4455699999999</v>
      </c>
      <c r="I2801" s="1">
        <v>41786</v>
      </c>
      <c r="J2801">
        <v>10714.2</v>
      </c>
      <c r="K2801" s="1">
        <v>41757</v>
      </c>
      <c r="L2801">
        <v>21513.82</v>
      </c>
    </row>
    <row r="2802" spans="1:12" x14ac:dyDescent="0.35">
      <c r="A2802" s="1">
        <v>41796</v>
      </c>
      <c r="B2802">
        <v>3294.28</v>
      </c>
      <c r="C2802" s="1">
        <v>41787</v>
      </c>
      <c r="D2802">
        <v>4531.63</v>
      </c>
      <c r="E2802" s="1">
        <v>41745</v>
      </c>
      <c r="F2802">
        <v>9317.82</v>
      </c>
      <c r="G2802" s="1">
        <v>41731</v>
      </c>
      <c r="H2802">
        <v>8046.8640400000004</v>
      </c>
      <c r="I2802" s="1">
        <v>41785</v>
      </c>
      <c r="J2802">
        <v>10687.5</v>
      </c>
      <c r="K2802" s="1">
        <v>41754</v>
      </c>
      <c r="L2802">
        <v>21441.57</v>
      </c>
    </row>
    <row r="2803" spans="1:12" x14ac:dyDescent="0.35">
      <c r="A2803" s="1">
        <v>41795</v>
      </c>
      <c r="B2803">
        <v>3267.05</v>
      </c>
      <c r="C2803" s="1">
        <v>41786</v>
      </c>
      <c r="D2803">
        <v>4529.75</v>
      </c>
      <c r="E2803" s="1">
        <v>41744</v>
      </c>
      <c r="F2803">
        <v>9173.7099999999991</v>
      </c>
      <c r="G2803" s="1">
        <v>41730</v>
      </c>
      <c r="H2803">
        <v>8024.3070200000002</v>
      </c>
      <c r="I2803" s="1">
        <v>41782</v>
      </c>
      <c r="J2803">
        <v>10558.9</v>
      </c>
      <c r="K2803" s="1">
        <v>41753</v>
      </c>
      <c r="L2803">
        <v>21819.48</v>
      </c>
    </row>
    <row r="2804" spans="1:12" x14ac:dyDescent="0.35">
      <c r="A2804" s="1">
        <v>41794</v>
      </c>
      <c r="B2804">
        <v>3237.93</v>
      </c>
      <c r="C2804" s="1">
        <v>41785</v>
      </c>
      <c r="D2804">
        <v>4526.93</v>
      </c>
      <c r="E2804" s="1">
        <v>41743</v>
      </c>
      <c r="F2804">
        <v>9339.17</v>
      </c>
      <c r="G2804" s="1">
        <v>41729</v>
      </c>
      <c r="H2804">
        <v>7992.1151600000003</v>
      </c>
      <c r="I2804" s="1">
        <v>41781</v>
      </c>
      <c r="J2804">
        <v>10520.6</v>
      </c>
      <c r="K2804" s="1">
        <v>41752</v>
      </c>
      <c r="L2804">
        <v>21675.75</v>
      </c>
    </row>
    <row r="2805" spans="1:12" x14ac:dyDescent="0.35">
      <c r="A2805" s="1">
        <v>41793</v>
      </c>
      <c r="B2805">
        <v>3241.04</v>
      </c>
      <c r="C2805" s="1">
        <v>41782</v>
      </c>
      <c r="D2805">
        <v>4493.1499999999996</v>
      </c>
      <c r="E2805" s="1">
        <v>41740</v>
      </c>
      <c r="F2805">
        <v>9315.2900000000009</v>
      </c>
      <c r="G2805" s="1">
        <v>41726</v>
      </c>
      <c r="H2805">
        <v>8008.1564600000002</v>
      </c>
      <c r="I2805" s="1">
        <v>41780</v>
      </c>
      <c r="J2805">
        <v>10531.4</v>
      </c>
      <c r="K2805" s="1">
        <v>41751</v>
      </c>
      <c r="L2805">
        <v>21935.34</v>
      </c>
    </row>
    <row r="2806" spans="1:12" x14ac:dyDescent="0.35">
      <c r="A2806" s="1">
        <v>41792</v>
      </c>
      <c r="B2806">
        <v>3247.8</v>
      </c>
      <c r="C2806" s="1">
        <v>41781</v>
      </c>
      <c r="D2806">
        <v>4478.21</v>
      </c>
      <c r="E2806" s="1">
        <v>41739</v>
      </c>
      <c r="F2806">
        <v>9454.5400000000009</v>
      </c>
      <c r="G2806" s="1">
        <v>41725</v>
      </c>
      <c r="H2806">
        <v>7965.3200999999999</v>
      </c>
      <c r="I2806" s="1">
        <v>41779</v>
      </c>
      <c r="J2806">
        <v>10453.799999999999</v>
      </c>
      <c r="K2806" s="1">
        <v>41746</v>
      </c>
      <c r="L2806">
        <v>21613.3</v>
      </c>
    </row>
    <row r="2807" spans="1:12" x14ac:dyDescent="0.35">
      <c r="A2807" s="1">
        <v>41789</v>
      </c>
      <c r="B2807">
        <v>3244.6</v>
      </c>
      <c r="C2807" s="1">
        <v>41780</v>
      </c>
      <c r="D2807">
        <v>4469.03</v>
      </c>
      <c r="E2807" s="1">
        <v>41738</v>
      </c>
      <c r="F2807">
        <v>9506.35</v>
      </c>
      <c r="G2807" s="1">
        <v>41724</v>
      </c>
      <c r="H2807">
        <v>7936.5153700000001</v>
      </c>
      <c r="I2807" s="1">
        <v>41778</v>
      </c>
      <c r="J2807">
        <v>10425.5</v>
      </c>
      <c r="K2807" s="1">
        <v>41745</v>
      </c>
      <c r="L2807">
        <v>21534.52</v>
      </c>
    </row>
    <row r="2808" spans="1:12" x14ac:dyDescent="0.35">
      <c r="A2808" s="1">
        <v>41788</v>
      </c>
      <c r="B2808">
        <v>3244.66</v>
      </c>
      <c r="C2808" s="1">
        <v>41779</v>
      </c>
      <c r="D2808">
        <v>4452.3500000000004</v>
      </c>
      <c r="E2808" s="1">
        <v>41737</v>
      </c>
      <c r="F2808">
        <v>9490.7900000000009</v>
      </c>
      <c r="G2808" s="1">
        <v>41723</v>
      </c>
      <c r="H2808">
        <v>7895.1053700000002</v>
      </c>
      <c r="I2808" s="1">
        <v>41775</v>
      </c>
      <c r="J2808">
        <v>10478.700000000001</v>
      </c>
      <c r="K2808" s="1">
        <v>41744</v>
      </c>
      <c r="L2808">
        <v>20817.490000000002</v>
      </c>
    </row>
    <row r="2809" spans="1:12" x14ac:dyDescent="0.35">
      <c r="A2809" s="1">
        <v>41787</v>
      </c>
      <c r="B2809">
        <v>3246.24</v>
      </c>
      <c r="C2809" s="1">
        <v>41778</v>
      </c>
      <c r="D2809">
        <v>4469.76</v>
      </c>
      <c r="E2809" s="1">
        <v>41736</v>
      </c>
      <c r="F2809">
        <v>9510.85</v>
      </c>
      <c r="G2809" s="1">
        <v>41722</v>
      </c>
      <c r="H2809">
        <v>7770.3350399999999</v>
      </c>
      <c r="I2809" s="1">
        <v>41774</v>
      </c>
      <c r="J2809">
        <v>10365</v>
      </c>
      <c r="K2809" s="1">
        <v>41743</v>
      </c>
      <c r="L2809">
        <v>21314.560000000001</v>
      </c>
    </row>
    <row r="2810" spans="1:12" x14ac:dyDescent="0.35">
      <c r="A2810" s="1">
        <v>41786</v>
      </c>
      <c r="B2810">
        <v>3244.28</v>
      </c>
      <c r="C2810" s="1">
        <v>41775</v>
      </c>
      <c r="D2810">
        <v>4456.28</v>
      </c>
      <c r="E2810" s="1">
        <v>41733</v>
      </c>
      <c r="F2810">
        <v>9695.77</v>
      </c>
      <c r="G2810" s="1">
        <v>41719</v>
      </c>
      <c r="H2810">
        <v>7840.4665400000004</v>
      </c>
      <c r="I2810" s="1">
        <v>41773</v>
      </c>
      <c r="J2810">
        <v>10613.9</v>
      </c>
      <c r="K2810" s="1">
        <v>41740</v>
      </c>
      <c r="L2810">
        <v>21198.79</v>
      </c>
    </row>
    <row r="2811" spans="1:12" x14ac:dyDescent="0.35">
      <c r="A2811" s="1">
        <v>41785</v>
      </c>
      <c r="B2811">
        <v>3240.39</v>
      </c>
      <c r="C2811" s="1">
        <v>41774</v>
      </c>
      <c r="D2811">
        <v>4444.93</v>
      </c>
      <c r="E2811" s="1">
        <v>41732</v>
      </c>
      <c r="F2811">
        <v>9628.82</v>
      </c>
      <c r="G2811" s="1">
        <v>41718</v>
      </c>
      <c r="H2811">
        <v>7835.0669600000001</v>
      </c>
      <c r="I2811" s="1">
        <v>41772</v>
      </c>
      <c r="J2811">
        <v>10587.2</v>
      </c>
      <c r="K2811" s="1">
        <v>41739</v>
      </c>
      <c r="L2811">
        <v>21429.09</v>
      </c>
    </row>
    <row r="2812" spans="1:12" x14ac:dyDescent="0.35">
      <c r="A2812" s="1">
        <v>41782</v>
      </c>
      <c r="B2812">
        <v>3203.28</v>
      </c>
      <c r="C2812" s="1">
        <v>41773</v>
      </c>
      <c r="D2812">
        <v>4501.04</v>
      </c>
      <c r="E2812" s="1">
        <v>41731</v>
      </c>
      <c r="F2812">
        <v>9623.36</v>
      </c>
      <c r="G2812" s="1">
        <v>41717</v>
      </c>
      <c r="H2812">
        <v>7862.15499</v>
      </c>
      <c r="I2812" s="1">
        <v>41771</v>
      </c>
      <c r="J2812">
        <v>10567</v>
      </c>
      <c r="K2812" s="1">
        <v>41738</v>
      </c>
      <c r="L2812">
        <v>21717.02</v>
      </c>
    </row>
    <row r="2813" spans="1:12" x14ac:dyDescent="0.35">
      <c r="A2813" s="1">
        <v>41781</v>
      </c>
      <c r="B2813">
        <v>3187.63</v>
      </c>
      <c r="C2813" s="1">
        <v>41772</v>
      </c>
      <c r="D2813">
        <v>4505.0200000000004</v>
      </c>
      <c r="E2813" s="1">
        <v>41730</v>
      </c>
      <c r="F2813">
        <v>9603.7099999999991</v>
      </c>
      <c r="G2813" s="1">
        <v>41716</v>
      </c>
      <c r="H2813">
        <v>7867.3145400000003</v>
      </c>
      <c r="I2813" s="1">
        <v>41768</v>
      </c>
      <c r="J2813">
        <v>10487.2</v>
      </c>
      <c r="K2813" s="1">
        <v>41737</v>
      </c>
      <c r="L2813">
        <v>21667.05</v>
      </c>
    </row>
    <row r="2814" spans="1:12" x14ac:dyDescent="0.35">
      <c r="A2814" s="1">
        <v>41780</v>
      </c>
      <c r="B2814">
        <v>3187.08</v>
      </c>
      <c r="C2814" s="1">
        <v>41771</v>
      </c>
      <c r="D2814">
        <v>4493.6499999999996</v>
      </c>
      <c r="E2814" s="1">
        <v>41729</v>
      </c>
      <c r="F2814">
        <v>9555.91</v>
      </c>
      <c r="G2814" s="1">
        <v>41715</v>
      </c>
      <c r="H2814">
        <v>7848.0579699999998</v>
      </c>
      <c r="I2814" s="1">
        <v>41767</v>
      </c>
      <c r="J2814">
        <v>10591.2</v>
      </c>
      <c r="K2814" s="1">
        <v>41736</v>
      </c>
      <c r="L2814">
        <v>21988.34</v>
      </c>
    </row>
    <row r="2815" spans="1:12" x14ac:dyDescent="0.35">
      <c r="A2815" s="1">
        <v>41779</v>
      </c>
      <c r="B2815">
        <v>3163.93</v>
      </c>
      <c r="C2815" s="1">
        <v>41768</v>
      </c>
      <c r="D2815">
        <v>4477.28</v>
      </c>
      <c r="E2815" s="1">
        <v>41726</v>
      </c>
      <c r="F2815">
        <v>9587.19</v>
      </c>
      <c r="G2815" s="1">
        <v>41712</v>
      </c>
      <c r="H2815">
        <v>7807.6382199999998</v>
      </c>
      <c r="I2815" s="1">
        <v>41766</v>
      </c>
      <c r="J2815">
        <v>10413.799999999999</v>
      </c>
      <c r="K2815" s="1">
        <v>41733</v>
      </c>
      <c r="L2815">
        <v>22175.48</v>
      </c>
    </row>
    <row r="2816" spans="1:12" x14ac:dyDescent="0.35">
      <c r="A2816" s="1">
        <v>41778</v>
      </c>
      <c r="B2816">
        <v>3169.9</v>
      </c>
      <c r="C2816" s="1">
        <v>41767</v>
      </c>
      <c r="D2816">
        <v>4507.24</v>
      </c>
      <c r="E2816" s="1">
        <v>41725</v>
      </c>
      <c r="F2816">
        <v>9451.2099999999991</v>
      </c>
      <c r="G2816" s="1">
        <v>41711</v>
      </c>
      <c r="H2816">
        <v>7865.7656900000002</v>
      </c>
      <c r="I2816" s="1">
        <v>41765</v>
      </c>
      <c r="J2816">
        <v>10481.4</v>
      </c>
      <c r="K2816" s="1">
        <v>41732</v>
      </c>
      <c r="L2816">
        <v>21992.080000000002</v>
      </c>
    </row>
    <row r="2817" spans="1:12" x14ac:dyDescent="0.35">
      <c r="A2817" s="1">
        <v>41775</v>
      </c>
      <c r="B2817">
        <v>3172.72</v>
      </c>
      <c r="C2817" s="1">
        <v>41766</v>
      </c>
      <c r="D2817">
        <v>4446.4399999999996</v>
      </c>
      <c r="E2817" s="1">
        <v>41724</v>
      </c>
      <c r="F2817">
        <v>9448.58</v>
      </c>
      <c r="G2817" s="1">
        <v>41710</v>
      </c>
      <c r="H2817">
        <v>7910.5063600000003</v>
      </c>
      <c r="I2817" s="1">
        <v>41764</v>
      </c>
      <c r="J2817">
        <v>10477</v>
      </c>
      <c r="K2817" s="1">
        <v>41731</v>
      </c>
      <c r="L2817">
        <v>21692.04</v>
      </c>
    </row>
    <row r="2818" spans="1:12" x14ac:dyDescent="0.35">
      <c r="A2818" s="1">
        <v>41774</v>
      </c>
      <c r="B2818">
        <v>3163.22</v>
      </c>
      <c r="C2818" s="1">
        <v>41765</v>
      </c>
      <c r="D2818">
        <v>4428.07</v>
      </c>
      <c r="E2818" s="1">
        <v>41723</v>
      </c>
      <c r="F2818">
        <v>9338.4</v>
      </c>
      <c r="G2818" s="1">
        <v>41709</v>
      </c>
      <c r="H2818">
        <v>8013.5582299999996</v>
      </c>
      <c r="I2818" s="1">
        <v>41761</v>
      </c>
      <c r="J2818">
        <v>10474.5</v>
      </c>
      <c r="K2818" s="1">
        <v>41730</v>
      </c>
      <c r="L2818">
        <v>21915.41</v>
      </c>
    </row>
    <row r="2819" spans="1:12" x14ac:dyDescent="0.35">
      <c r="A2819" s="1">
        <v>41773</v>
      </c>
      <c r="B2819">
        <v>3210.42</v>
      </c>
      <c r="C2819" s="1">
        <v>41764</v>
      </c>
      <c r="D2819">
        <v>4462.6899999999996</v>
      </c>
      <c r="E2819" s="1">
        <v>41722</v>
      </c>
      <c r="F2819">
        <v>9188.77</v>
      </c>
      <c r="G2819" s="1">
        <v>41708</v>
      </c>
      <c r="H2819">
        <v>8025.0256499999996</v>
      </c>
      <c r="I2819" s="1">
        <v>41759</v>
      </c>
      <c r="J2819">
        <v>10459</v>
      </c>
      <c r="K2819" s="1">
        <v>41729</v>
      </c>
      <c r="L2819">
        <v>21691.919999999998</v>
      </c>
    </row>
    <row r="2820" spans="1:12" x14ac:dyDescent="0.35">
      <c r="A2820" s="1">
        <v>41772</v>
      </c>
      <c r="B2820">
        <v>3211.78</v>
      </c>
      <c r="C2820" s="1">
        <v>41761</v>
      </c>
      <c r="D2820">
        <v>4458.17</v>
      </c>
      <c r="E2820" s="1">
        <v>41719</v>
      </c>
      <c r="F2820">
        <v>9342.94</v>
      </c>
      <c r="G2820" s="1">
        <v>41705</v>
      </c>
      <c r="H2820">
        <v>8091.9724999999999</v>
      </c>
      <c r="I2820" s="1">
        <v>41758</v>
      </c>
      <c r="J2820">
        <v>10461</v>
      </c>
      <c r="K2820" s="1">
        <v>41726</v>
      </c>
      <c r="L2820">
        <v>21498.240000000002</v>
      </c>
    </row>
    <row r="2821" spans="1:12" x14ac:dyDescent="0.35">
      <c r="A2821" s="1">
        <v>41771</v>
      </c>
      <c r="B2821">
        <v>3206.97</v>
      </c>
      <c r="C2821" s="1">
        <v>41759</v>
      </c>
      <c r="D2821">
        <v>4487.3900000000003</v>
      </c>
      <c r="E2821" s="1">
        <v>41718</v>
      </c>
      <c r="F2821">
        <v>9296.1200000000008</v>
      </c>
      <c r="G2821" s="1">
        <v>41704</v>
      </c>
      <c r="H2821">
        <v>8210.4530900000009</v>
      </c>
      <c r="I2821" s="1">
        <v>41757</v>
      </c>
      <c r="J2821">
        <v>10320.9</v>
      </c>
      <c r="K2821" s="1">
        <v>41725</v>
      </c>
      <c r="L2821">
        <v>21173.9</v>
      </c>
    </row>
    <row r="2822" spans="1:12" x14ac:dyDescent="0.35">
      <c r="A2822" s="1">
        <v>41768</v>
      </c>
      <c r="B2822">
        <v>3184.09</v>
      </c>
      <c r="C2822" s="1">
        <v>41758</v>
      </c>
      <c r="D2822">
        <v>4497.68</v>
      </c>
      <c r="E2822" s="1">
        <v>41717</v>
      </c>
      <c r="F2822">
        <v>9277.0499999999993</v>
      </c>
      <c r="G2822" s="1">
        <v>41703</v>
      </c>
      <c r="H2822">
        <v>8254.3212899999999</v>
      </c>
      <c r="I2822" s="1">
        <v>41754</v>
      </c>
      <c r="J2822">
        <v>10306.200000000001</v>
      </c>
      <c r="K2822" s="1">
        <v>41724</v>
      </c>
      <c r="L2822">
        <v>21108.15</v>
      </c>
    </row>
    <row r="2823" spans="1:12" x14ac:dyDescent="0.35">
      <c r="A2823" s="1">
        <v>41767</v>
      </c>
      <c r="B2823">
        <v>3204.3</v>
      </c>
      <c r="C2823" s="1">
        <v>41757</v>
      </c>
      <c r="D2823">
        <v>4460.53</v>
      </c>
      <c r="E2823" s="1">
        <v>41716</v>
      </c>
      <c r="F2823">
        <v>9242.5499999999993</v>
      </c>
      <c r="G2823" s="1">
        <v>41702</v>
      </c>
      <c r="H2823">
        <v>8284.6222400000006</v>
      </c>
      <c r="I2823" s="1">
        <v>41753</v>
      </c>
      <c r="J2823">
        <v>10462</v>
      </c>
      <c r="K2823" s="1">
        <v>41723</v>
      </c>
      <c r="L2823">
        <v>20823.16</v>
      </c>
    </row>
    <row r="2824" spans="1:12" x14ac:dyDescent="0.35">
      <c r="A2824" s="1">
        <v>41766</v>
      </c>
      <c r="B2824">
        <v>3159.67</v>
      </c>
      <c r="C2824" s="1">
        <v>41754</v>
      </c>
      <c r="D2824">
        <v>4443.63</v>
      </c>
      <c r="E2824" s="1">
        <v>41715</v>
      </c>
      <c r="F2824">
        <v>9180.89</v>
      </c>
      <c r="G2824" s="1">
        <v>41701</v>
      </c>
      <c r="H2824">
        <v>8133.9232099999999</v>
      </c>
      <c r="I2824" s="1">
        <v>41752</v>
      </c>
      <c r="J2824">
        <v>10424.4</v>
      </c>
      <c r="K2824" s="1">
        <v>41722</v>
      </c>
      <c r="L2824">
        <v>20626.580000000002</v>
      </c>
    </row>
    <row r="2825" spans="1:12" x14ac:dyDescent="0.35">
      <c r="A2825" s="1">
        <v>41765</v>
      </c>
      <c r="B2825">
        <v>3149.79</v>
      </c>
      <c r="C2825" s="1">
        <v>41753</v>
      </c>
      <c r="D2825">
        <v>4479.54</v>
      </c>
      <c r="E2825" s="1">
        <v>41712</v>
      </c>
      <c r="F2825">
        <v>9056.41</v>
      </c>
      <c r="G2825" s="1">
        <v>41698</v>
      </c>
      <c r="H2825">
        <v>8249.7582299999995</v>
      </c>
      <c r="I2825" s="1">
        <v>41751</v>
      </c>
      <c r="J2825">
        <v>10437.799999999999</v>
      </c>
      <c r="K2825" s="1">
        <v>41719</v>
      </c>
      <c r="L2825">
        <v>20972.240000000002</v>
      </c>
    </row>
    <row r="2826" spans="1:12" x14ac:dyDescent="0.35">
      <c r="A2826" s="1">
        <v>41764</v>
      </c>
      <c r="B2826">
        <v>3171.29</v>
      </c>
      <c r="C2826" s="1">
        <v>41752</v>
      </c>
      <c r="D2826">
        <v>4451.08</v>
      </c>
      <c r="E2826" s="1">
        <v>41711</v>
      </c>
      <c r="F2826">
        <v>9017.7900000000009</v>
      </c>
      <c r="G2826" s="1">
        <v>41697</v>
      </c>
      <c r="H2826">
        <v>8286.4659300000003</v>
      </c>
      <c r="I2826" s="1">
        <v>41746</v>
      </c>
      <c r="J2826">
        <v>10292.4</v>
      </c>
      <c r="K2826" s="1">
        <v>41718</v>
      </c>
      <c r="L2826">
        <v>21094.49</v>
      </c>
    </row>
    <row r="2827" spans="1:12" x14ac:dyDescent="0.35">
      <c r="A2827" s="1">
        <v>41761</v>
      </c>
      <c r="B2827">
        <v>3177.89</v>
      </c>
      <c r="C2827" s="1">
        <v>41751</v>
      </c>
      <c r="D2827">
        <v>4484.21</v>
      </c>
      <c r="E2827" s="1">
        <v>41710</v>
      </c>
      <c r="F2827">
        <v>9188.69</v>
      </c>
      <c r="G2827" s="1">
        <v>41696</v>
      </c>
      <c r="H2827">
        <v>8273.6584700000003</v>
      </c>
      <c r="I2827" s="1">
        <v>41745</v>
      </c>
      <c r="J2827">
        <v>10267.9</v>
      </c>
      <c r="K2827" s="1">
        <v>41717</v>
      </c>
      <c r="L2827">
        <v>20976.99</v>
      </c>
    </row>
    <row r="2828" spans="1:12" x14ac:dyDescent="0.35">
      <c r="A2828" s="1">
        <v>41760</v>
      </c>
      <c r="B2828">
        <v>3198.66</v>
      </c>
      <c r="C2828" s="1">
        <v>41746</v>
      </c>
      <c r="D2828">
        <v>4431.8100000000004</v>
      </c>
      <c r="E2828" s="1">
        <v>41709</v>
      </c>
      <c r="F2828">
        <v>9307.7900000000009</v>
      </c>
      <c r="G2828" s="1">
        <v>41695</v>
      </c>
      <c r="H2828">
        <v>8293.7528399999992</v>
      </c>
      <c r="I2828" s="1">
        <v>41744</v>
      </c>
      <c r="J2828">
        <v>10103.5</v>
      </c>
      <c r="K2828" s="1">
        <v>41716</v>
      </c>
      <c r="L2828">
        <v>21038.03</v>
      </c>
    </row>
    <row r="2829" spans="1:12" x14ac:dyDescent="0.35">
      <c r="A2829" s="1">
        <v>41759</v>
      </c>
      <c r="B2829">
        <v>3198.39</v>
      </c>
      <c r="C2829" s="1">
        <v>41745</v>
      </c>
      <c r="D2829">
        <v>4405.66</v>
      </c>
      <c r="E2829" s="1">
        <v>41708</v>
      </c>
      <c r="F2829">
        <v>9265.5</v>
      </c>
      <c r="G2829" s="1">
        <v>41694</v>
      </c>
      <c r="H2829">
        <v>8320.3007500000003</v>
      </c>
      <c r="I2829" s="1">
        <v>41743</v>
      </c>
      <c r="J2829">
        <v>10188.200000000001</v>
      </c>
      <c r="K2829" s="1">
        <v>41715</v>
      </c>
      <c r="L2829">
        <v>20858.84</v>
      </c>
    </row>
    <row r="2830" spans="1:12" x14ac:dyDescent="0.35">
      <c r="A2830" s="1">
        <v>41758</v>
      </c>
      <c r="B2830">
        <v>3208.68</v>
      </c>
      <c r="C2830" s="1">
        <v>41744</v>
      </c>
      <c r="D2830">
        <v>4345.3500000000004</v>
      </c>
      <c r="E2830" s="1">
        <v>41705</v>
      </c>
      <c r="F2830">
        <v>9350.75</v>
      </c>
      <c r="G2830" s="1">
        <v>41691</v>
      </c>
      <c r="H2830">
        <v>8284.3333399999992</v>
      </c>
      <c r="I2830" s="1">
        <v>41740</v>
      </c>
      <c r="J2830">
        <v>10205.4</v>
      </c>
      <c r="K2830" s="1">
        <v>41712</v>
      </c>
      <c r="L2830">
        <v>20346.57</v>
      </c>
    </row>
    <row r="2831" spans="1:12" x14ac:dyDescent="0.35">
      <c r="A2831" s="1">
        <v>41757</v>
      </c>
      <c r="B2831">
        <v>3165.84</v>
      </c>
      <c r="C2831" s="1">
        <v>41743</v>
      </c>
      <c r="D2831">
        <v>4384.5600000000004</v>
      </c>
      <c r="E2831" s="1">
        <v>41704</v>
      </c>
      <c r="F2831">
        <v>9542.8700000000008</v>
      </c>
      <c r="G2831" s="1">
        <v>41690</v>
      </c>
      <c r="H2831">
        <v>8280.4108799999995</v>
      </c>
      <c r="I2831" s="1">
        <v>41739</v>
      </c>
      <c r="J2831">
        <v>10336.1</v>
      </c>
      <c r="K2831" s="1">
        <v>41711</v>
      </c>
      <c r="L2831">
        <v>20591.82</v>
      </c>
    </row>
    <row r="2832" spans="1:12" x14ac:dyDescent="0.35">
      <c r="A2832" s="1">
        <v>41754</v>
      </c>
      <c r="B2832">
        <v>3147.4</v>
      </c>
      <c r="C2832" s="1">
        <v>41740</v>
      </c>
      <c r="D2832">
        <v>4365.8599999999997</v>
      </c>
      <c r="E2832" s="1">
        <v>41703</v>
      </c>
      <c r="F2832">
        <v>9542.02</v>
      </c>
      <c r="G2832" s="1">
        <v>41689</v>
      </c>
      <c r="H2832">
        <v>8265.5743199999997</v>
      </c>
      <c r="I2832" s="1">
        <v>41738</v>
      </c>
      <c r="J2832">
        <v>10485.200000000001</v>
      </c>
      <c r="K2832" s="1">
        <v>41710</v>
      </c>
      <c r="L2832">
        <v>20781.46</v>
      </c>
    </row>
    <row r="2833" spans="1:12" x14ac:dyDescent="0.35">
      <c r="A2833" s="1">
        <v>41753</v>
      </c>
      <c r="B2833">
        <v>3189.81</v>
      </c>
      <c r="C2833" s="1">
        <v>41739</v>
      </c>
      <c r="D2833">
        <v>4413.49</v>
      </c>
      <c r="E2833" s="1">
        <v>41702</v>
      </c>
      <c r="F2833">
        <v>9589.15</v>
      </c>
      <c r="G2833" s="1">
        <v>41688</v>
      </c>
      <c r="H2833">
        <v>8250.1959599999991</v>
      </c>
      <c r="I2833" s="1">
        <v>41737</v>
      </c>
      <c r="J2833">
        <v>10480.5</v>
      </c>
      <c r="K2833" s="1">
        <v>41709</v>
      </c>
      <c r="L2833">
        <v>20833.919999999998</v>
      </c>
    </row>
    <row r="2834" spans="1:12" x14ac:dyDescent="0.35">
      <c r="A2834" s="1">
        <v>41752</v>
      </c>
      <c r="B2834">
        <v>3175.97</v>
      </c>
      <c r="C2834" s="1">
        <v>41738</v>
      </c>
      <c r="D2834">
        <v>4442.68</v>
      </c>
      <c r="E2834" s="1">
        <v>41701</v>
      </c>
      <c r="F2834">
        <v>9358.89</v>
      </c>
      <c r="G2834" s="1">
        <v>41687</v>
      </c>
      <c r="H2834">
        <v>8211.8513500000008</v>
      </c>
      <c r="I2834" s="1">
        <v>41736</v>
      </c>
      <c r="J2834">
        <v>10606.2</v>
      </c>
      <c r="K2834" s="1">
        <v>41708</v>
      </c>
      <c r="L2834">
        <v>20753.36</v>
      </c>
    </row>
    <row r="2835" spans="1:12" x14ac:dyDescent="0.35">
      <c r="A2835" s="1">
        <v>41751</v>
      </c>
      <c r="B2835">
        <v>3199.69</v>
      </c>
      <c r="C2835" s="1">
        <v>41737</v>
      </c>
      <c r="D2835">
        <v>4424.83</v>
      </c>
      <c r="E2835" s="1">
        <v>41698</v>
      </c>
      <c r="F2835">
        <v>9692.08</v>
      </c>
      <c r="G2835" s="1">
        <v>41684</v>
      </c>
      <c r="H2835">
        <v>8141.8293899999999</v>
      </c>
      <c r="I2835" s="1">
        <v>41733</v>
      </c>
      <c r="J2835">
        <v>10677.2</v>
      </c>
      <c r="K2835" s="1">
        <v>41705</v>
      </c>
      <c r="L2835">
        <v>20634.21</v>
      </c>
    </row>
    <row r="2836" spans="1:12" x14ac:dyDescent="0.35">
      <c r="A2836" s="1">
        <v>41746</v>
      </c>
      <c r="B2836">
        <v>3155.81</v>
      </c>
      <c r="C2836" s="1">
        <v>41736</v>
      </c>
      <c r="D2836">
        <v>4436.08</v>
      </c>
      <c r="E2836" s="1">
        <v>41697</v>
      </c>
      <c r="F2836">
        <v>9588.33</v>
      </c>
      <c r="G2836" s="1">
        <v>41683</v>
      </c>
      <c r="H2836">
        <v>8108.7085500000003</v>
      </c>
      <c r="I2836" s="1">
        <v>41732</v>
      </c>
      <c r="J2836">
        <v>10584.1</v>
      </c>
      <c r="K2836" s="1">
        <v>41704</v>
      </c>
      <c r="L2836">
        <v>20838.05</v>
      </c>
    </row>
    <row r="2837" spans="1:12" x14ac:dyDescent="0.35">
      <c r="A2837" s="1">
        <v>41745</v>
      </c>
      <c r="B2837">
        <v>3139.26</v>
      </c>
      <c r="C2837" s="1">
        <v>41733</v>
      </c>
      <c r="D2837">
        <v>4484.55</v>
      </c>
      <c r="E2837" s="1">
        <v>41696</v>
      </c>
      <c r="F2837">
        <v>9661.73</v>
      </c>
      <c r="G2837" s="1">
        <v>41682</v>
      </c>
      <c r="H2837">
        <v>8144.6667100000004</v>
      </c>
      <c r="I2837" s="1">
        <v>41731</v>
      </c>
      <c r="J2837">
        <v>10435.799999999999</v>
      </c>
      <c r="K2837" s="1">
        <v>41703</v>
      </c>
      <c r="L2837">
        <v>20756.95</v>
      </c>
    </row>
    <row r="2838" spans="1:12" x14ac:dyDescent="0.35">
      <c r="A2838" s="1">
        <v>41744</v>
      </c>
      <c r="B2838">
        <v>3091.52</v>
      </c>
      <c r="C2838" s="1">
        <v>41732</v>
      </c>
      <c r="D2838">
        <v>4449.33</v>
      </c>
      <c r="E2838" s="1">
        <v>41695</v>
      </c>
      <c r="F2838">
        <v>9699.35</v>
      </c>
      <c r="G2838" s="1">
        <v>41681</v>
      </c>
      <c r="H2838">
        <v>8045.91093</v>
      </c>
      <c r="I2838" s="1">
        <v>41730</v>
      </c>
      <c r="J2838">
        <v>10463.1</v>
      </c>
      <c r="K2838" s="1">
        <v>41702</v>
      </c>
      <c r="L2838">
        <v>20475.12</v>
      </c>
    </row>
    <row r="2839" spans="1:12" x14ac:dyDescent="0.35">
      <c r="A2839" s="1">
        <v>41743</v>
      </c>
      <c r="B2839">
        <v>3131.57</v>
      </c>
      <c r="C2839" s="1">
        <v>41731</v>
      </c>
      <c r="D2839">
        <v>4430.8599999999997</v>
      </c>
      <c r="E2839" s="1">
        <v>41694</v>
      </c>
      <c r="F2839">
        <v>9708.94</v>
      </c>
      <c r="G2839" s="1">
        <v>41680</v>
      </c>
      <c r="H2839">
        <v>7927.5444100000004</v>
      </c>
      <c r="I2839" s="1">
        <v>41729</v>
      </c>
      <c r="J2839">
        <v>10340.5</v>
      </c>
      <c r="K2839" s="1">
        <v>41701</v>
      </c>
      <c r="L2839">
        <v>19759.689999999999</v>
      </c>
    </row>
    <row r="2840" spans="1:12" x14ac:dyDescent="0.35">
      <c r="A2840" s="1">
        <v>41740</v>
      </c>
      <c r="B2840">
        <v>3116.54</v>
      </c>
      <c r="C2840" s="1">
        <v>41730</v>
      </c>
      <c r="D2840">
        <v>4426.72</v>
      </c>
      <c r="E2840" s="1">
        <v>41691</v>
      </c>
      <c r="F2840">
        <v>9656.9500000000007</v>
      </c>
      <c r="G2840" s="1">
        <v>41677</v>
      </c>
      <c r="H2840">
        <v>7908.5954499999998</v>
      </c>
      <c r="I2840" s="1">
        <v>41726</v>
      </c>
      <c r="J2840">
        <v>10328.9</v>
      </c>
      <c r="K2840" s="1">
        <v>41698</v>
      </c>
      <c r="L2840">
        <v>20442.41</v>
      </c>
    </row>
    <row r="2841" spans="1:12" x14ac:dyDescent="0.35">
      <c r="A2841" s="1">
        <v>41739</v>
      </c>
      <c r="B2841">
        <v>3152.86</v>
      </c>
      <c r="C2841" s="1">
        <v>41729</v>
      </c>
      <c r="D2841">
        <v>4391.5</v>
      </c>
      <c r="E2841" s="1">
        <v>41690</v>
      </c>
      <c r="F2841">
        <v>9618.85</v>
      </c>
      <c r="G2841" s="1">
        <v>41676</v>
      </c>
      <c r="H2841">
        <v>7879.00119</v>
      </c>
      <c r="I2841" s="1">
        <v>41725</v>
      </c>
      <c r="J2841">
        <v>10199</v>
      </c>
      <c r="K2841" s="1">
        <v>41697</v>
      </c>
      <c r="L2841">
        <v>20320.98</v>
      </c>
    </row>
    <row r="2842" spans="1:12" x14ac:dyDescent="0.35">
      <c r="A2842" s="1">
        <v>41738</v>
      </c>
      <c r="B2842">
        <v>3182.79</v>
      </c>
      <c r="C2842" s="1">
        <v>41726</v>
      </c>
      <c r="D2842">
        <v>4411.26</v>
      </c>
      <c r="E2842" s="1">
        <v>41689</v>
      </c>
      <c r="F2842">
        <v>9660.0499999999993</v>
      </c>
      <c r="G2842" s="1">
        <v>41675</v>
      </c>
      <c r="H2842">
        <v>7788.7889299999997</v>
      </c>
      <c r="I2842" s="1">
        <v>41724</v>
      </c>
      <c r="J2842">
        <v>10140.799999999999</v>
      </c>
      <c r="K2842" s="1">
        <v>41696</v>
      </c>
      <c r="L2842">
        <v>20398.099999999999</v>
      </c>
    </row>
    <row r="2843" spans="1:12" x14ac:dyDescent="0.35">
      <c r="A2843" s="1">
        <v>41737</v>
      </c>
      <c r="B2843">
        <v>3177.66</v>
      </c>
      <c r="C2843" s="1">
        <v>41725</v>
      </c>
      <c r="D2843">
        <v>4379.0600000000004</v>
      </c>
      <c r="E2843" s="1">
        <v>41688</v>
      </c>
      <c r="F2843">
        <v>9659.7800000000007</v>
      </c>
      <c r="G2843" s="1">
        <v>41674</v>
      </c>
      <c r="H2843">
        <v>7785.7728100000004</v>
      </c>
      <c r="I2843" s="1">
        <v>41723</v>
      </c>
      <c r="J2843">
        <v>9990.5</v>
      </c>
      <c r="K2843" s="1">
        <v>41695</v>
      </c>
      <c r="L2843">
        <v>20473.169999999998</v>
      </c>
    </row>
    <row r="2844" spans="1:12" x14ac:dyDescent="0.35">
      <c r="A2844" s="1">
        <v>41736</v>
      </c>
      <c r="B2844">
        <v>3185.97</v>
      </c>
      <c r="C2844" s="1">
        <v>41724</v>
      </c>
      <c r="D2844">
        <v>4385.1499999999996</v>
      </c>
      <c r="E2844" s="1">
        <v>41687</v>
      </c>
      <c r="F2844">
        <v>9656.76</v>
      </c>
      <c r="G2844" s="1">
        <v>41673</v>
      </c>
      <c r="H2844">
        <v>7802.1291899999997</v>
      </c>
      <c r="I2844" s="1">
        <v>41722</v>
      </c>
      <c r="J2844">
        <v>9913.1</v>
      </c>
      <c r="K2844" s="1">
        <v>41694</v>
      </c>
      <c r="L2844">
        <v>20477.5</v>
      </c>
    </row>
    <row r="2845" spans="1:12" x14ac:dyDescent="0.35">
      <c r="A2845" s="1">
        <v>41733</v>
      </c>
      <c r="B2845">
        <v>3230.33</v>
      </c>
      <c r="C2845" s="1">
        <v>41723</v>
      </c>
      <c r="D2845">
        <v>4344.12</v>
      </c>
      <c r="E2845" s="1">
        <v>41684</v>
      </c>
      <c r="F2845">
        <v>9662.4</v>
      </c>
      <c r="G2845" s="1">
        <v>41670</v>
      </c>
      <c r="H2845">
        <v>7934.4933000000001</v>
      </c>
      <c r="I2845" s="1">
        <v>41719</v>
      </c>
      <c r="J2845">
        <v>10053.1</v>
      </c>
      <c r="K2845" s="1">
        <v>41691</v>
      </c>
      <c r="L2845">
        <v>20391.900000000001</v>
      </c>
    </row>
    <row r="2846" spans="1:12" x14ac:dyDescent="0.35">
      <c r="A2846" s="1">
        <v>41732</v>
      </c>
      <c r="B2846">
        <v>3206.76</v>
      </c>
      <c r="C2846" s="1">
        <v>41722</v>
      </c>
      <c r="D2846">
        <v>4276.34</v>
      </c>
      <c r="E2846" s="1">
        <v>41683</v>
      </c>
      <c r="F2846">
        <v>9596.77</v>
      </c>
      <c r="G2846" s="1">
        <v>41669</v>
      </c>
      <c r="H2846">
        <v>7952.0906800000002</v>
      </c>
      <c r="I2846" s="1">
        <v>41718</v>
      </c>
      <c r="J2846">
        <v>10079.9</v>
      </c>
      <c r="K2846" s="1">
        <v>41690</v>
      </c>
      <c r="L2846">
        <v>20452.28</v>
      </c>
    </row>
    <row r="2847" spans="1:12" x14ac:dyDescent="0.35">
      <c r="A2847" s="1">
        <v>41731</v>
      </c>
      <c r="B2847">
        <v>3187.45</v>
      </c>
      <c r="C2847" s="1">
        <v>41719</v>
      </c>
      <c r="D2847">
        <v>4335.28</v>
      </c>
      <c r="E2847" s="1">
        <v>41682</v>
      </c>
      <c r="F2847">
        <v>9540</v>
      </c>
      <c r="G2847" s="1">
        <v>41668</v>
      </c>
      <c r="H2847">
        <v>7936.9755999999998</v>
      </c>
      <c r="I2847" s="1">
        <v>41717</v>
      </c>
      <c r="J2847">
        <v>10093.299999999999</v>
      </c>
      <c r="K2847" s="1">
        <v>41689</v>
      </c>
      <c r="L2847">
        <v>20438.3</v>
      </c>
    </row>
    <row r="2848" spans="1:12" x14ac:dyDescent="0.35">
      <c r="A2848" s="1">
        <v>41730</v>
      </c>
      <c r="B2848">
        <v>3186.34</v>
      </c>
      <c r="C2848" s="1">
        <v>41718</v>
      </c>
      <c r="D2848">
        <v>4327.91</v>
      </c>
      <c r="E2848" s="1">
        <v>41681</v>
      </c>
      <c r="F2848">
        <v>9478.77</v>
      </c>
      <c r="G2848" s="1">
        <v>41667</v>
      </c>
      <c r="H2848">
        <v>7969.7257900000004</v>
      </c>
      <c r="I2848" s="1">
        <v>41716</v>
      </c>
      <c r="J2848">
        <v>10051.4</v>
      </c>
      <c r="K2848" s="1">
        <v>41688</v>
      </c>
      <c r="L2848">
        <v>20478.53</v>
      </c>
    </row>
    <row r="2849" spans="1:12" x14ac:dyDescent="0.35">
      <c r="A2849" s="1">
        <v>41729</v>
      </c>
      <c r="B2849">
        <v>3161.6</v>
      </c>
      <c r="C2849" s="1">
        <v>41717</v>
      </c>
      <c r="D2849">
        <v>4308.0600000000004</v>
      </c>
      <c r="E2849" s="1">
        <v>41680</v>
      </c>
      <c r="F2849">
        <v>9289.86</v>
      </c>
      <c r="G2849" s="1">
        <v>41666</v>
      </c>
      <c r="H2849">
        <v>7941.3403600000001</v>
      </c>
      <c r="I2849" s="1">
        <v>41715</v>
      </c>
      <c r="J2849">
        <v>9975</v>
      </c>
      <c r="K2849" s="1">
        <v>41687</v>
      </c>
      <c r="L2849">
        <v>20459.650000000001</v>
      </c>
    </row>
    <row r="2850" spans="1:12" x14ac:dyDescent="0.35">
      <c r="A2850" s="1">
        <v>41726</v>
      </c>
      <c r="B2850">
        <v>3172.43</v>
      </c>
      <c r="C2850" s="1">
        <v>41716</v>
      </c>
      <c r="D2850">
        <v>4313.26</v>
      </c>
      <c r="E2850" s="1">
        <v>41677</v>
      </c>
      <c r="F2850">
        <v>9301.92</v>
      </c>
      <c r="G2850" s="1">
        <v>41663</v>
      </c>
      <c r="H2850">
        <v>8038.5655500000003</v>
      </c>
      <c r="I2850" s="1">
        <v>41712</v>
      </c>
      <c r="J2850">
        <v>9812</v>
      </c>
      <c r="K2850" s="1">
        <v>41684</v>
      </c>
      <c r="L2850">
        <v>20436.47</v>
      </c>
    </row>
    <row r="2851" spans="1:12" x14ac:dyDescent="0.35">
      <c r="A2851" s="1">
        <v>41725</v>
      </c>
      <c r="B2851">
        <v>3133.75</v>
      </c>
      <c r="C2851" s="1">
        <v>41715</v>
      </c>
      <c r="D2851">
        <v>4271.96</v>
      </c>
      <c r="E2851" s="1">
        <v>41676</v>
      </c>
      <c r="F2851">
        <v>9256.58</v>
      </c>
      <c r="G2851" s="1">
        <v>41662</v>
      </c>
      <c r="H2851">
        <v>8229.9685900000004</v>
      </c>
      <c r="I2851" s="1">
        <v>41711</v>
      </c>
      <c r="J2851">
        <v>9950.2999999999993</v>
      </c>
      <c r="K2851" s="1">
        <v>41683</v>
      </c>
      <c r="L2851">
        <v>20110.3</v>
      </c>
    </row>
    <row r="2852" spans="1:12" x14ac:dyDescent="0.35">
      <c r="A2852" s="1">
        <v>41724</v>
      </c>
      <c r="B2852">
        <v>3130.17</v>
      </c>
      <c r="C2852" s="1">
        <v>41712</v>
      </c>
      <c r="D2852">
        <v>4216.37</v>
      </c>
      <c r="E2852" s="1">
        <v>41675</v>
      </c>
      <c r="F2852">
        <v>9116.32</v>
      </c>
      <c r="G2852" s="1">
        <v>41661</v>
      </c>
      <c r="H2852">
        <v>8350.1768200000006</v>
      </c>
      <c r="I2852" s="1">
        <v>41710</v>
      </c>
      <c r="J2852">
        <v>10070.4</v>
      </c>
      <c r="K2852" s="1">
        <v>41682</v>
      </c>
      <c r="L2852">
        <v>20144.96</v>
      </c>
    </row>
    <row r="2853" spans="1:12" x14ac:dyDescent="0.35">
      <c r="A2853" s="1">
        <v>41723</v>
      </c>
      <c r="B2853">
        <v>3096.64</v>
      </c>
      <c r="C2853" s="1">
        <v>41711</v>
      </c>
      <c r="D2853">
        <v>4250.51</v>
      </c>
      <c r="E2853" s="1">
        <v>41674</v>
      </c>
      <c r="F2853">
        <v>9127.91</v>
      </c>
      <c r="G2853" s="1">
        <v>41660</v>
      </c>
      <c r="H2853">
        <v>8309.5522899999996</v>
      </c>
      <c r="I2853" s="1">
        <v>41709</v>
      </c>
      <c r="J2853">
        <v>10163.299999999999</v>
      </c>
      <c r="K2853" s="1">
        <v>41681</v>
      </c>
      <c r="L2853">
        <v>19887.39</v>
      </c>
    </row>
    <row r="2854" spans="1:12" x14ac:dyDescent="0.35">
      <c r="A2854" s="1">
        <v>41722</v>
      </c>
      <c r="B2854">
        <v>3052.91</v>
      </c>
      <c r="C2854" s="1">
        <v>41710</v>
      </c>
      <c r="D2854">
        <v>4306.26</v>
      </c>
      <c r="E2854" s="1">
        <v>41673</v>
      </c>
      <c r="F2854">
        <v>9186.52</v>
      </c>
      <c r="G2854" s="1">
        <v>41659</v>
      </c>
      <c r="H2854">
        <v>8280.2077300000001</v>
      </c>
      <c r="I2854" s="1">
        <v>41708</v>
      </c>
      <c r="J2854">
        <v>10194.6</v>
      </c>
      <c r="K2854" s="1">
        <v>41680</v>
      </c>
      <c r="L2854">
        <v>19682.82</v>
      </c>
    </row>
    <row r="2855" spans="1:12" x14ac:dyDescent="0.35">
      <c r="A2855" s="1">
        <v>41719</v>
      </c>
      <c r="B2855">
        <v>3096.49</v>
      </c>
      <c r="C2855" s="1">
        <v>41709</v>
      </c>
      <c r="D2855">
        <v>4349.72</v>
      </c>
      <c r="E2855" s="1">
        <v>41670</v>
      </c>
      <c r="F2855">
        <v>9306.48</v>
      </c>
      <c r="G2855" s="1">
        <v>41656</v>
      </c>
      <c r="H2855">
        <v>8282.2673900000009</v>
      </c>
      <c r="I2855" s="1">
        <v>41705</v>
      </c>
      <c r="J2855">
        <v>10164.200000000001</v>
      </c>
      <c r="K2855" s="1">
        <v>41677</v>
      </c>
      <c r="L2855">
        <v>19692.080000000002</v>
      </c>
    </row>
    <row r="2856" spans="1:12" x14ac:dyDescent="0.35">
      <c r="A2856" s="1">
        <v>41718</v>
      </c>
      <c r="B2856">
        <v>3088.9</v>
      </c>
      <c r="C2856" s="1">
        <v>41708</v>
      </c>
      <c r="D2856">
        <v>4370.84</v>
      </c>
      <c r="E2856" s="1">
        <v>41669</v>
      </c>
      <c r="F2856">
        <v>9373.48</v>
      </c>
      <c r="G2856" s="1">
        <v>41655</v>
      </c>
      <c r="H2856">
        <v>8194.7491000000009</v>
      </c>
      <c r="I2856" s="1">
        <v>41704</v>
      </c>
      <c r="J2856">
        <v>10304</v>
      </c>
      <c r="K2856" s="1">
        <v>41676</v>
      </c>
      <c r="L2856">
        <v>19504.240000000002</v>
      </c>
    </row>
    <row r="2857" spans="1:12" x14ac:dyDescent="0.35">
      <c r="A2857" s="1">
        <v>41717</v>
      </c>
      <c r="B2857">
        <v>3076.36</v>
      </c>
      <c r="C2857" s="1">
        <v>41705</v>
      </c>
      <c r="D2857">
        <v>4366.42</v>
      </c>
      <c r="E2857" s="1">
        <v>41668</v>
      </c>
      <c r="F2857">
        <v>9336.73</v>
      </c>
      <c r="G2857" s="1">
        <v>41654</v>
      </c>
      <c r="H2857">
        <v>8206.0063300000002</v>
      </c>
      <c r="I2857" s="1">
        <v>41703</v>
      </c>
      <c r="J2857">
        <v>10215.200000000001</v>
      </c>
      <c r="K2857" s="1">
        <v>41675</v>
      </c>
      <c r="L2857">
        <v>19069.62</v>
      </c>
    </row>
    <row r="2858" spans="1:12" x14ac:dyDescent="0.35">
      <c r="A2858" s="1">
        <v>41716</v>
      </c>
      <c r="B2858">
        <v>3073.75</v>
      </c>
      <c r="C2858" s="1">
        <v>41704</v>
      </c>
      <c r="D2858">
        <v>4417.04</v>
      </c>
      <c r="E2858" s="1">
        <v>41667</v>
      </c>
      <c r="F2858">
        <v>9406.91</v>
      </c>
      <c r="G2858" s="1">
        <v>41653</v>
      </c>
      <c r="H2858">
        <v>8135.2661699999999</v>
      </c>
      <c r="I2858" s="1">
        <v>41702</v>
      </c>
      <c r="J2858">
        <v>10126.700000000001</v>
      </c>
      <c r="K2858" s="1">
        <v>41674</v>
      </c>
      <c r="L2858">
        <v>19019.71</v>
      </c>
    </row>
    <row r="2859" spans="1:12" x14ac:dyDescent="0.35">
      <c r="A2859" s="1">
        <v>41715</v>
      </c>
      <c r="B2859">
        <v>3049.19</v>
      </c>
      <c r="C2859" s="1">
        <v>41703</v>
      </c>
      <c r="D2859">
        <v>4391.25</v>
      </c>
      <c r="E2859" s="1">
        <v>41666</v>
      </c>
      <c r="F2859">
        <v>9349.2199999999993</v>
      </c>
      <c r="G2859" s="1">
        <v>41652</v>
      </c>
      <c r="H2859">
        <v>8100.7608300000002</v>
      </c>
      <c r="I2859" s="1">
        <v>41701</v>
      </c>
      <c r="J2859">
        <v>9878.7000000000007</v>
      </c>
      <c r="K2859" s="1">
        <v>41673</v>
      </c>
      <c r="L2859">
        <v>18907.16</v>
      </c>
    </row>
    <row r="2860" spans="1:12" x14ac:dyDescent="0.35">
      <c r="A2860" s="1">
        <v>41712</v>
      </c>
      <c r="B2860">
        <v>3004.64</v>
      </c>
      <c r="C2860" s="1">
        <v>41702</v>
      </c>
      <c r="D2860">
        <v>4395.8999999999996</v>
      </c>
      <c r="E2860" s="1">
        <v>41663</v>
      </c>
      <c r="F2860">
        <v>9392.02</v>
      </c>
      <c r="G2860" s="1">
        <v>41649</v>
      </c>
      <c r="H2860">
        <v>8125.1227200000003</v>
      </c>
      <c r="I2860" s="1">
        <v>41698</v>
      </c>
      <c r="J2860">
        <v>10114.200000000001</v>
      </c>
      <c r="K2860" s="1">
        <v>41670</v>
      </c>
      <c r="L2860">
        <v>19418.34</v>
      </c>
    </row>
    <row r="2861" spans="1:12" x14ac:dyDescent="0.35">
      <c r="A2861" s="1">
        <v>41711</v>
      </c>
      <c r="B2861">
        <v>3019.54</v>
      </c>
      <c r="C2861" s="1">
        <v>41701</v>
      </c>
      <c r="D2861">
        <v>4290.87</v>
      </c>
      <c r="E2861" s="1">
        <v>41662</v>
      </c>
      <c r="F2861">
        <v>9631.0400000000009</v>
      </c>
      <c r="G2861" s="1">
        <v>41648</v>
      </c>
      <c r="H2861">
        <v>8108.1325999999999</v>
      </c>
      <c r="I2861" s="1">
        <v>41697</v>
      </c>
      <c r="J2861">
        <v>10164.1</v>
      </c>
      <c r="K2861" s="1">
        <v>41669</v>
      </c>
      <c r="L2861">
        <v>19411.55</v>
      </c>
    </row>
    <row r="2862" spans="1:12" x14ac:dyDescent="0.35">
      <c r="A2862" s="1">
        <v>41710</v>
      </c>
      <c r="B2862">
        <v>3065.46</v>
      </c>
      <c r="C2862" s="1">
        <v>41698</v>
      </c>
      <c r="D2862">
        <v>4408.08</v>
      </c>
      <c r="E2862" s="1">
        <v>41661</v>
      </c>
      <c r="F2862">
        <v>9720.11</v>
      </c>
      <c r="G2862" s="1">
        <v>41647</v>
      </c>
      <c r="H2862">
        <v>8145.39059</v>
      </c>
      <c r="I2862" s="1">
        <v>41696</v>
      </c>
      <c r="J2862">
        <v>10224.299999999999</v>
      </c>
      <c r="K2862" s="1">
        <v>41668</v>
      </c>
      <c r="L2862">
        <v>19337.419999999998</v>
      </c>
    </row>
    <row r="2863" spans="1:12" x14ac:dyDescent="0.35">
      <c r="A2863" s="1">
        <v>41709</v>
      </c>
      <c r="B2863">
        <v>3092.55</v>
      </c>
      <c r="C2863" s="1">
        <v>41697</v>
      </c>
      <c r="D2863">
        <v>4396.3900000000003</v>
      </c>
      <c r="E2863" s="1">
        <v>41660</v>
      </c>
      <c r="F2863">
        <v>9730.1200000000008</v>
      </c>
      <c r="G2863" s="1">
        <v>41646</v>
      </c>
      <c r="H2863">
        <v>8140.8401800000001</v>
      </c>
      <c r="I2863" s="1">
        <v>41695</v>
      </c>
      <c r="J2863">
        <v>10242.5</v>
      </c>
      <c r="K2863" s="1">
        <v>41667</v>
      </c>
      <c r="L2863">
        <v>19448.32</v>
      </c>
    </row>
    <row r="2864" spans="1:12" x14ac:dyDescent="0.35">
      <c r="A2864" s="1">
        <v>41708</v>
      </c>
      <c r="B2864">
        <v>3092.79</v>
      </c>
      <c r="C2864" s="1">
        <v>41696</v>
      </c>
      <c r="D2864">
        <v>4396.91</v>
      </c>
      <c r="E2864" s="1">
        <v>41659</v>
      </c>
      <c r="F2864">
        <v>9715.9</v>
      </c>
      <c r="G2864" s="1">
        <v>41645</v>
      </c>
      <c r="H2864">
        <v>8099.6753099999996</v>
      </c>
      <c r="I2864" s="1">
        <v>41694</v>
      </c>
      <c r="J2864">
        <v>10193.1</v>
      </c>
      <c r="K2864" s="1">
        <v>41666</v>
      </c>
      <c r="L2864">
        <v>19273.580000000002</v>
      </c>
    </row>
    <row r="2865" spans="1:12" x14ac:dyDescent="0.35">
      <c r="A2865" s="1">
        <v>41705</v>
      </c>
      <c r="B2865">
        <v>3095.31</v>
      </c>
      <c r="C2865" s="1">
        <v>41695</v>
      </c>
      <c r="D2865">
        <v>4414.55</v>
      </c>
      <c r="E2865" s="1">
        <v>41656</v>
      </c>
      <c r="F2865">
        <v>9742.9599999999991</v>
      </c>
      <c r="G2865" s="1">
        <v>41642</v>
      </c>
      <c r="H2865">
        <v>8126.7707499999997</v>
      </c>
      <c r="I2865" s="1">
        <v>41691</v>
      </c>
      <c r="J2865">
        <v>10071</v>
      </c>
      <c r="K2865" s="1">
        <v>41663</v>
      </c>
      <c r="L2865">
        <v>19358.990000000002</v>
      </c>
    </row>
    <row r="2866" spans="1:12" x14ac:dyDescent="0.35">
      <c r="A2866" s="1">
        <v>41704</v>
      </c>
      <c r="B2866">
        <v>3144.53</v>
      </c>
      <c r="C2866" s="1">
        <v>41694</v>
      </c>
      <c r="D2866">
        <v>4419.13</v>
      </c>
      <c r="E2866" s="1">
        <v>41655</v>
      </c>
      <c r="F2866">
        <v>9717.7099999999991</v>
      </c>
      <c r="G2866" s="1">
        <v>41641</v>
      </c>
      <c r="H2866">
        <v>8077.7034100000001</v>
      </c>
      <c r="I2866" s="1">
        <v>41690</v>
      </c>
      <c r="J2866">
        <v>10062.200000000001</v>
      </c>
      <c r="K2866" s="1">
        <v>41662</v>
      </c>
      <c r="L2866">
        <v>19814.55</v>
      </c>
    </row>
    <row r="2867" spans="1:12" x14ac:dyDescent="0.35">
      <c r="A2867" s="1">
        <v>41703</v>
      </c>
      <c r="B2867">
        <v>3135.97</v>
      </c>
      <c r="C2867" s="1">
        <v>41691</v>
      </c>
      <c r="D2867">
        <v>4381.0600000000004</v>
      </c>
      <c r="E2867" s="1">
        <v>41654</v>
      </c>
      <c r="F2867">
        <v>9733.81</v>
      </c>
      <c r="G2867" s="1">
        <v>41639</v>
      </c>
      <c r="H2867">
        <v>8108.3055299999996</v>
      </c>
      <c r="I2867" s="1">
        <v>41689</v>
      </c>
      <c r="J2867">
        <v>10053.799999999999</v>
      </c>
      <c r="K2867" s="1">
        <v>41661</v>
      </c>
      <c r="L2867">
        <v>19958.38</v>
      </c>
    </row>
    <row r="2868" spans="1:12" x14ac:dyDescent="0.35">
      <c r="A2868" s="1">
        <v>41702</v>
      </c>
      <c r="B2868">
        <v>3136.33</v>
      </c>
      <c r="C2868" s="1">
        <v>41690</v>
      </c>
      <c r="D2868">
        <v>4355.49</v>
      </c>
      <c r="E2868" s="1">
        <v>41653</v>
      </c>
      <c r="F2868">
        <v>9540.51</v>
      </c>
      <c r="G2868" s="1">
        <v>41638</v>
      </c>
      <c r="H2868">
        <v>8055.0864300000003</v>
      </c>
      <c r="I2868" s="1">
        <v>41688</v>
      </c>
      <c r="J2868">
        <v>10042.700000000001</v>
      </c>
      <c r="K2868" s="1">
        <v>41660</v>
      </c>
      <c r="L2868">
        <v>19995.75</v>
      </c>
    </row>
    <row r="2869" spans="1:12" x14ac:dyDescent="0.35">
      <c r="A2869" s="1">
        <v>41701</v>
      </c>
      <c r="B2869">
        <v>3053.99</v>
      </c>
      <c r="C2869" s="1">
        <v>41689</v>
      </c>
      <c r="D2869">
        <v>4341.1000000000004</v>
      </c>
      <c r="E2869" s="1">
        <v>41652</v>
      </c>
      <c r="F2869">
        <v>9510.17</v>
      </c>
      <c r="G2869" s="1">
        <v>41635</v>
      </c>
      <c r="H2869">
        <v>8084.5689000000002</v>
      </c>
      <c r="I2869" s="1">
        <v>41687</v>
      </c>
      <c r="J2869">
        <v>10118.6</v>
      </c>
      <c r="K2869" s="1">
        <v>41659</v>
      </c>
      <c r="L2869">
        <v>19973.45</v>
      </c>
    </row>
    <row r="2870" spans="1:12" x14ac:dyDescent="0.35">
      <c r="A2870" s="1">
        <v>41698</v>
      </c>
      <c r="B2870">
        <v>3149.23</v>
      </c>
      <c r="C2870" s="1">
        <v>41688</v>
      </c>
      <c r="D2870">
        <v>4330.71</v>
      </c>
      <c r="E2870" s="1">
        <v>41649</v>
      </c>
      <c r="F2870">
        <v>9473.24</v>
      </c>
      <c r="G2870" s="1">
        <v>41632</v>
      </c>
      <c r="H2870">
        <v>8009.32341</v>
      </c>
      <c r="I2870" s="1">
        <v>41684</v>
      </c>
      <c r="J2870">
        <v>10132.799999999999</v>
      </c>
      <c r="K2870" s="1">
        <v>41656</v>
      </c>
      <c r="L2870">
        <v>19969.330000000002</v>
      </c>
    </row>
    <row r="2871" spans="1:12" x14ac:dyDescent="0.35">
      <c r="A2871" s="1">
        <v>41697</v>
      </c>
      <c r="B2871">
        <v>3134.94</v>
      </c>
      <c r="C2871" s="1">
        <v>41687</v>
      </c>
      <c r="D2871">
        <v>4335.17</v>
      </c>
      <c r="E2871" s="1">
        <v>41648</v>
      </c>
      <c r="F2871">
        <v>9421.61</v>
      </c>
      <c r="G2871" s="1">
        <v>41631</v>
      </c>
      <c r="H2871">
        <v>7976.4025300000003</v>
      </c>
      <c r="I2871" s="1">
        <v>41683</v>
      </c>
      <c r="J2871">
        <v>10098.9</v>
      </c>
      <c r="K2871" s="1">
        <v>41655</v>
      </c>
      <c r="L2871">
        <v>19875.689999999999</v>
      </c>
    </row>
    <row r="2872" spans="1:12" x14ac:dyDescent="0.35">
      <c r="A2872" s="1">
        <v>41696</v>
      </c>
      <c r="B2872">
        <v>3148.19</v>
      </c>
      <c r="C2872" s="1">
        <v>41684</v>
      </c>
      <c r="D2872">
        <v>4340.1400000000003</v>
      </c>
      <c r="E2872" s="1">
        <v>41647</v>
      </c>
      <c r="F2872">
        <v>9497.84</v>
      </c>
      <c r="G2872" s="1">
        <v>41628</v>
      </c>
      <c r="H2872">
        <v>7900.0747499999998</v>
      </c>
      <c r="I2872" s="1">
        <v>41682</v>
      </c>
      <c r="J2872">
        <v>10080.799999999999</v>
      </c>
      <c r="K2872" s="1">
        <v>41654</v>
      </c>
      <c r="L2872">
        <v>20045.759999999998</v>
      </c>
    </row>
    <row r="2873" spans="1:12" x14ac:dyDescent="0.35">
      <c r="A2873" s="1">
        <v>41695</v>
      </c>
      <c r="B2873">
        <v>3157.48</v>
      </c>
      <c r="C2873" s="1">
        <v>41683</v>
      </c>
      <c r="D2873">
        <v>4312.8</v>
      </c>
      <c r="E2873" s="1">
        <v>41646</v>
      </c>
      <c r="F2873">
        <v>9506.2000000000007</v>
      </c>
      <c r="G2873" s="1">
        <v>41627</v>
      </c>
      <c r="H2873">
        <v>7891.52081</v>
      </c>
      <c r="I2873" s="1">
        <v>41681</v>
      </c>
      <c r="J2873">
        <v>10091.200000000001</v>
      </c>
      <c r="K2873" s="1">
        <v>41653</v>
      </c>
      <c r="L2873">
        <v>19730.38</v>
      </c>
    </row>
    <row r="2874" spans="1:12" x14ac:dyDescent="0.35">
      <c r="A2874" s="1">
        <v>41694</v>
      </c>
      <c r="B2874">
        <v>3157.31</v>
      </c>
      <c r="C2874" s="1">
        <v>41682</v>
      </c>
      <c r="D2874">
        <v>4305.5</v>
      </c>
      <c r="E2874" s="1">
        <v>41645</v>
      </c>
      <c r="F2874">
        <v>9428</v>
      </c>
      <c r="G2874" s="1">
        <v>41626</v>
      </c>
      <c r="H2874">
        <v>7732.3523299999997</v>
      </c>
      <c r="I2874" s="1">
        <v>41680</v>
      </c>
      <c r="J2874">
        <v>9982.7000000000007</v>
      </c>
      <c r="K2874" s="1">
        <v>41652</v>
      </c>
      <c r="L2874">
        <v>19697.25</v>
      </c>
    </row>
    <row r="2875" spans="1:12" x14ac:dyDescent="0.35">
      <c r="A2875" s="1">
        <v>41691</v>
      </c>
      <c r="B2875">
        <v>3131.67</v>
      </c>
      <c r="C2875" s="1">
        <v>41681</v>
      </c>
      <c r="D2875">
        <v>4283.32</v>
      </c>
      <c r="E2875" s="1">
        <v>41642</v>
      </c>
      <c r="F2875">
        <v>9435.15</v>
      </c>
      <c r="G2875" s="1">
        <v>41625</v>
      </c>
      <c r="H2875">
        <v>7667.3404799999998</v>
      </c>
      <c r="I2875" s="1">
        <v>41677</v>
      </c>
      <c r="J2875">
        <v>10072.4</v>
      </c>
      <c r="K2875" s="1">
        <v>41649</v>
      </c>
      <c r="L2875">
        <v>19569</v>
      </c>
    </row>
    <row r="2876" spans="1:12" x14ac:dyDescent="0.35">
      <c r="A2876" s="1">
        <v>41690</v>
      </c>
      <c r="B2876">
        <v>3121.59</v>
      </c>
      <c r="C2876" s="1">
        <v>41680</v>
      </c>
      <c r="D2876">
        <v>4237.13</v>
      </c>
      <c r="E2876" s="1">
        <v>41641</v>
      </c>
      <c r="F2876">
        <v>9400.0400000000009</v>
      </c>
      <c r="G2876" s="1">
        <v>41624</v>
      </c>
      <c r="H2876">
        <v>7735.4449699999996</v>
      </c>
      <c r="I2876" s="1">
        <v>41676</v>
      </c>
      <c r="J2876">
        <v>9964.6</v>
      </c>
      <c r="K2876" s="1">
        <v>41648</v>
      </c>
      <c r="L2876">
        <v>19503</v>
      </c>
    </row>
    <row r="2877" spans="1:12" x14ac:dyDescent="0.35">
      <c r="A2877" s="1">
        <v>41689</v>
      </c>
      <c r="B2877">
        <v>3120.8</v>
      </c>
      <c r="C2877" s="1">
        <v>41677</v>
      </c>
      <c r="D2877">
        <v>4228.18</v>
      </c>
      <c r="E2877" s="1">
        <v>41638</v>
      </c>
      <c r="F2877">
        <v>9552.16</v>
      </c>
      <c r="G2877" s="1">
        <v>41621</v>
      </c>
      <c r="H2877">
        <v>7648.3327200000003</v>
      </c>
      <c r="I2877" s="1">
        <v>41675</v>
      </c>
      <c r="J2877">
        <v>9775</v>
      </c>
      <c r="K2877" s="1">
        <v>41647</v>
      </c>
      <c r="L2877">
        <v>19436.3</v>
      </c>
    </row>
    <row r="2878" spans="1:12" x14ac:dyDescent="0.35">
      <c r="A2878" s="1">
        <v>41688</v>
      </c>
      <c r="B2878">
        <v>3117.44</v>
      </c>
      <c r="C2878" s="1">
        <v>41676</v>
      </c>
      <c r="D2878">
        <v>4188.1000000000004</v>
      </c>
      <c r="E2878" s="1">
        <v>41635</v>
      </c>
      <c r="F2878">
        <v>9589.39</v>
      </c>
      <c r="G2878" s="1">
        <v>41620</v>
      </c>
      <c r="H2878">
        <v>7658.53971</v>
      </c>
      <c r="I2878" s="1">
        <v>41674</v>
      </c>
      <c r="J2878">
        <v>9754.2999999999993</v>
      </c>
      <c r="K2878" s="1">
        <v>41646</v>
      </c>
      <c r="L2878">
        <v>19468.75</v>
      </c>
    </row>
    <row r="2879" spans="1:12" x14ac:dyDescent="0.35">
      <c r="A2879" s="1">
        <v>41687</v>
      </c>
      <c r="B2879">
        <v>3118.91</v>
      </c>
      <c r="C2879" s="1">
        <v>41675</v>
      </c>
      <c r="D2879">
        <v>4117.79</v>
      </c>
      <c r="E2879" s="1">
        <v>41631</v>
      </c>
      <c r="F2879">
        <v>9488.82</v>
      </c>
      <c r="G2879" s="1">
        <v>41619</v>
      </c>
      <c r="H2879">
        <v>7728.8309799999997</v>
      </c>
      <c r="I2879" s="1">
        <v>41673</v>
      </c>
      <c r="J2879">
        <v>9725.4</v>
      </c>
      <c r="K2879" s="1">
        <v>41645</v>
      </c>
      <c r="L2879">
        <v>19233.740000000002</v>
      </c>
    </row>
    <row r="2880" spans="1:12" x14ac:dyDescent="0.35">
      <c r="A2880" s="1">
        <v>41684</v>
      </c>
      <c r="B2880">
        <v>3119.06</v>
      </c>
      <c r="C2880" s="1">
        <v>41674</v>
      </c>
      <c r="D2880">
        <v>4117.45</v>
      </c>
      <c r="E2880" s="1">
        <v>41628</v>
      </c>
      <c r="F2880">
        <v>9400.18</v>
      </c>
      <c r="G2880" s="1">
        <v>41618</v>
      </c>
      <c r="H2880">
        <v>7786.37518</v>
      </c>
      <c r="I2880" s="1">
        <v>41670</v>
      </c>
      <c r="J2880">
        <v>9920.2000000000007</v>
      </c>
      <c r="K2880" s="1">
        <v>41642</v>
      </c>
      <c r="L2880">
        <v>19112.650000000001</v>
      </c>
    </row>
    <row r="2881" spans="1:12" x14ac:dyDescent="0.35">
      <c r="A2881" s="1">
        <v>41683</v>
      </c>
      <c r="B2881">
        <v>3097.95</v>
      </c>
      <c r="C2881" s="1">
        <v>41673</v>
      </c>
      <c r="D2881">
        <v>4107.75</v>
      </c>
      <c r="E2881" s="1">
        <v>41627</v>
      </c>
      <c r="F2881">
        <v>9335.74</v>
      </c>
      <c r="G2881" s="1">
        <v>41617</v>
      </c>
      <c r="H2881">
        <v>7841.9317099999998</v>
      </c>
      <c r="I2881" s="1">
        <v>41669</v>
      </c>
      <c r="J2881">
        <v>9964.5</v>
      </c>
      <c r="K2881" s="1">
        <v>41641</v>
      </c>
      <c r="L2881">
        <v>18929.63</v>
      </c>
    </row>
    <row r="2882" spans="1:12" x14ac:dyDescent="0.35">
      <c r="A2882" s="1">
        <v>41682</v>
      </c>
      <c r="B2882">
        <v>3094.89</v>
      </c>
      <c r="C2882" s="1">
        <v>41670</v>
      </c>
      <c r="D2882">
        <v>4165.72</v>
      </c>
      <c r="E2882" s="1">
        <v>41626</v>
      </c>
      <c r="F2882">
        <v>9181.75</v>
      </c>
      <c r="G2882" s="1">
        <v>41614</v>
      </c>
      <c r="H2882">
        <v>7817.3239299999996</v>
      </c>
      <c r="I2882" s="1">
        <v>41668</v>
      </c>
      <c r="J2882">
        <v>9896.2000000000007</v>
      </c>
      <c r="K2882" s="1">
        <v>41638</v>
      </c>
      <c r="L2882">
        <v>18967.71</v>
      </c>
    </row>
    <row r="2883" spans="1:12" x14ac:dyDescent="0.35">
      <c r="A2883" s="1">
        <v>41681</v>
      </c>
      <c r="B2883">
        <v>3077.08</v>
      </c>
      <c r="C2883" s="1">
        <v>41669</v>
      </c>
      <c r="D2883">
        <v>4180.0200000000004</v>
      </c>
      <c r="E2883" s="1">
        <v>41625</v>
      </c>
      <c r="F2883">
        <v>9085.1200000000008</v>
      </c>
      <c r="G2883" s="1">
        <v>41613</v>
      </c>
      <c r="H2883">
        <v>7765.6589000000004</v>
      </c>
      <c r="I2883" s="1">
        <v>41667</v>
      </c>
      <c r="J2883">
        <v>9879.1</v>
      </c>
      <c r="K2883" s="1">
        <v>41635</v>
      </c>
      <c r="L2883">
        <v>18956.52</v>
      </c>
    </row>
    <row r="2884" spans="1:12" x14ac:dyDescent="0.35">
      <c r="A2884" s="1">
        <v>41680</v>
      </c>
      <c r="B2884">
        <v>3032.53</v>
      </c>
      <c r="C2884" s="1">
        <v>41668</v>
      </c>
      <c r="D2884">
        <v>4156.9799999999996</v>
      </c>
      <c r="E2884" s="1">
        <v>41624</v>
      </c>
      <c r="F2884">
        <v>9163.56</v>
      </c>
      <c r="G2884" s="1">
        <v>41612</v>
      </c>
      <c r="H2884">
        <v>7848.4550799999997</v>
      </c>
      <c r="I2884" s="1">
        <v>41666</v>
      </c>
      <c r="J2884">
        <v>9758.4</v>
      </c>
      <c r="K2884" s="1">
        <v>41631</v>
      </c>
      <c r="L2884">
        <v>18697.150000000001</v>
      </c>
    </row>
    <row r="2885" spans="1:12" x14ac:dyDescent="0.35">
      <c r="A2885" s="1">
        <v>41677</v>
      </c>
      <c r="B2885">
        <v>3038.49</v>
      </c>
      <c r="C2885" s="1">
        <v>41667</v>
      </c>
      <c r="D2885">
        <v>4185.29</v>
      </c>
      <c r="E2885" s="1">
        <v>41621</v>
      </c>
      <c r="F2885">
        <v>9006.4599999999991</v>
      </c>
      <c r="G2885" s="1">
        <v>41611</v>
      </c>
      <c r="H2885">
        <v>7881.1846599999999</v>
      </c>
      <c r="I2885" s="1">
        <v>41663</v>
      </c>
      <c r="J2885">
        <v>9868.9</v>
      </c>
      <c r="K2885" s="1">
        <v>41628</v>
      </c>
      <c r="L2885">
        <v>18565.61</v>
      </c>
    </row>
    <row r="2886" spans="1:12" x14ac:dyDescent="0.35">
      <c r="A2886" s="1">
        <v>41676</v>
      </c>
      <c r="B2886">
        <v>3010.79</v>
      </c>
      <c r="C2886" s="1">
        <v>41666</v>
      </c>
      <c r="D2886">
        <v>4144.5600000000004</v>
      </c>
      <c r="E2886" s="1">
        <v>41620</v>
      </c>
      <c r="F2886">
        <v>9017</v>
      </c>
      <c r="G2886" s="1">
        <v>41610</v>
      </c>
      <c r="H2886">
        <v>7961.0222700000004</v>
      </c>
      <c r="I2886" s="1">
        <v>41662</v>
      </c>
      <c r="J2886">
        <v>10241.200000000001</v>
      </c>
      <c r="K2886" s="1">
        <v>41627</v>
      </c>
      <c r="L2886">
        <v>18453.990000000002</v>
      </c>
    </row>
    <row r="2887" spans="1:12" x14ac:dyDescent="0.35">
      <c r="A2887" s="1">
        <v>41675</v>
      </c>
      <c r="B2887">
        <v>2962.51</v>
      </c>
      <c r="C2887" s="1">
        <v>41663</v>
      </c>
      <c r="D2887">
        <v>4161.47</v>
      </c>
      <c r="E2887" s="1">
        <v>41619</v>
      </c>
      <c r="F2887">
        <v>9077.11</v>
      </c>
      <c r="G2887" s="1">
        <v>41607</v>
      </c>
      <c r="H2887">
        <v>8009.4675699999998</v>
      </c>
      <c r="I2887" s="1">
        <v>41661</v>
      </c>
      <c r="J2887">
        <v>10279.700000000001</v>
      </c>
      <c r="K2887" s="1">
        <v>41626</v>
      </c>
      <c r="L2887">
        <v>18131.490000000002</v>
      </c>
    </row>
    <row r="2888" spans="1:12" x14ac:dyDescent="0.35">
      <c r="A2888" s="1">
        <v>41674</v>
      </c>
      <c r="B2888">
        <v>2962.49</v>
      </c>
      <c r="C2888" s="1">
        <v>41662</v>
      </c>
      <c r="D2888">
        <v>4280.96</v>
      </c>
      <c r="E2888" s="1">
        <v>41618</v>
      </c>
      <c r="F2888">
        <v>9114.44</v>
      </c>
      <c r="G2888" s="1">
        <v>41606</v>
      </c>
      <c r="H2888">
        <v>7993.5866500000002</v>
      </c>
      <c r="I2888" s="1">
        <v>41660</v>
      </c>
      <c r="J2888">
        <v>10357.4</v>
      </c>
      <c r="K2888" s="1">
        <v>41625</v>
      </c>
      <c r="L2888">
        <v>17925.21</v>
      </c>
    </row>
    <row r="2889" spans="1:12" x14ac:dyDescent="0.35">
      <c r="A2889" s="1">
        <v>41673</v>
      </c>
      <c r="B2889">
        <v>2963.96</v>
      </c>
      <c r="C2889" s="1">
        <v>41661</v>
      </c>
      <c r="D2889">
        <v>4324.9799999999996</v>
      </c>
      <c r="E2889" s="1">
        <v>41617</v>
      </c>
      <c r="F2889">
        <v>9195.17</v>
      </c>
      <c r="G2889" s="1">
        <v>41605</v>
      </c>
      <c r="H2889">
        <v>7973.4838499999996</v>
      </c>
      <c r="I2889" s="1">
        <v>41659</v>
      </c>
      <c r="J2889">
        <v>10454.1</v>
      </c>
      <c r="K2889" s="1">
        <v>41624</v>
      </c>
      <c r="L2889">
        <v>18222.419999999998</v>
      </c>
    </row>
    <row r="2890" spans="1:12" x14ac:dyDescent="0.35">
      <c r="A2890" s="1">
        <v>41670</v>
      </c>
      <c r="B2890">
        <v>3013.96</v>
      </c>
      <c r="C2890" s="1">
        <v>41660</v>
      </c>
      <c r="D2890">
        <v>4323.87</v>
      </c>
      <c r="E2890" s="1">
        <v>41614</v>
      </c>
      <c r="F2890">
        <v>9172.41</v>
      </c>
      <c r="G2890" s="1">
        <v>41604</v>
      </c>
      <c r="H2890">
        <v>7925.0868</v>
      </c>
      <c r="I2890" s="1">
        <v>41656</v>
      </c>
      <c r="J2890">
        <v>10465.700000000001</v>
      </c>
      <c r="K2890" s="1">
        <v>41621</v>
      </c>
      <c r="L2890">
        <v>17805.73</v>
      </c>
    </row>
    <row r="2891" spans="1:12" x14ac:dyDescent="0.35">
      <c r="A2891" s="1">
        <v>41669</v>
      </c>
      <c r="B2891">
        <v>3027.3</v>
      </c>
      <c r="C2891" s="1">
        <v>41659</v>
      </c>
      <c r="D2891">
        <v>4322.8599999999997</v>
      </c>
      <c r="E2891" s="1">
        <v>41613</v>
      </c>
      <c r="F2891">
        <v>9084.9500000000007</v>
      </c>
      <c r="G2891" s="1">
        <v>41603</v>
      </c>
      <c r="H2891">
        <v>7999.4615800000001</v>
      </c>
      <c r="I2891" s="1">
        <v>41655</v>
      </c>
      <c r="J2891">
        <v>10455.5</v>
      </c>
      <c r="K2891" s="1">
        <v>41620</v>
      </c>
      <c r="L2891">
        <v>17804.87</v>
      </c>
    </row>
    <row r="2892" spans="1:12" x14ac:dyDescent="0.35">
      <c r="A2892" s="1">
        <v>41668</v>
      </c>
      <c r="B2892">
        <v>3011.45</v>
      </c>
      <c r="C2892" s="1">
        <v>41656</v>
      </c>
      <c r="D2892">
        <v>4327.5</v>
      </c>
      <c r="E2892" s="1">
        <v>41612</v>
      </c>
      <c r="F2892">
        <v>9140.6299999999992</v>
      </c>
      <c r="G2892" s="1">
        <v>41600</v>
      </c>
      <c r="H2892">
        <v>7989.5398599999999</v>
      </c>
      <c r="I2892" s="1">
        <v>41654</v>
      </c>
      <c r="J2892">
        <v>10525</v>
      </c>
      <c r="K2892" s="1">
        <v>41619</v>
      </c>
      <c r="L2892">
        <v>17973.96</v>
      </c>
    </row>
    <row r="2893" spans="1:12" x14ac:dyDescent="0.35">
      <c r="A2893" s="1">
        <v>41667</v>
      </c>
      <c r="B2893">
        <v>3038.6</v>
      </c>
      <c r="C2893" s="1">
        <v>41655</v>
      </c>
      <c r="D2893">
        <v>4319.2700000000004</v>
      </c>
      <c r="E2893" s="1">
        <v>41611</v>
      </c>
      <c r="F2893">
        <v>9223.4</v>
      </c>
      <c r="G2893" s="1">
        <v>41599</v>
      </c>
      <c r="H2893">
        <v>8022.1630699999996</v>
      </c>
      <c r="I2893" s="1">
        <v>41653</v>
      </c>
      <c r="J2893">
        <v>10382</v>
      </c>
      <c r="K2893" s="1">
        <v>41618</v>
      </c>
      <c r="L2893">
        <v>18236.72</v>
      </c>
    </row>
    <row r="2894" spans="1:12" x14ac:dyDescent="0.35">
      <c r="A2894" s="1">
        <v>41666</v>
      </c>
      <c r="B2894">
        <v>3014.62</v>
      </c>
      <c r="C2894" s="1">
        <v>41654</v>
      </c>
      <c r="D2894">
        <v>4332.07</v>
      </c>
      <c r="E2894" s="1">
        <v>41610</v>
      </c>
      <c r="F2894">
        <v>9401.9599999999991</v>
      </c>
      <c r="G2894" s="1">
        <v>41598</v>
      </c>
      <c r="H2894">
        <v>8019.3839900000003</v>
      </c>
      <c r="I2894" s="1">
        <v>41652</v>
      </c>
      <c r="J2894">
        <v>10365.5</v>
      </c>
      <c r="K2894" s="1">
        <v>41617</v>
      </c>
      <c r="L2894">
        <v>18285.52</v>
      </c>
    </row>
    <row r="2895" spans="1:12" x14ac:dyDescent="0.35">
      <c r="A2895" s="1">
        <v>41663</v>
      </c>
      <c r="B2895">
        <v>3028.2</v>
      </c>
      <c r="C2895" s="1">
        <v>41653</v>
      </c>
      <c r="D2895">
        <v>4274.2</v>
      </c>
      <c r="E2895" s="1">
        <v>41607</v>
      </c>
      <c r="F2895">
        <v>9405.2999999999993</v>
      </c>
      <c r="G2895" s="1">
        <v>41597</v>
      </c>
      <c r="H2895">
        <v>7977.63868</v>
      </c>
      <c r="I2895" s="1">
        <v>41649</v>
      </c>
      <c r="J2895">
        <v>10290.6</v>
      </c>
      <c r="K2895" s="1">
        <v>41614</v>
      </c>
      <c r="L2895">
        <v>18124.39</v>
      </c>
    </row>
    <row r="2896" spans="1:12" x14ac:dyDescent="0.35">
      <c r="A2896" s="1">
        <v>41662</v>
      </c>
      <c r="B2896">
        <v>3117.08</v>
      </c>
      <c r="C2896" s="1">
        <v>41652</v>
      </c>
      <c r="D2896">
        <v>4263.2700000000004</v>
      </c>
      <c r="E2896" s="1">
        <v>41606</v>
      </c>
      <c r="F2896">
        <v>9387.3700000000008</v>
      </c>
      <c r="G2896" s="1">
        <v>41596</v>
      </c>
      <c r="H2896">
        <v>8014.5952699999998</v>
      </c>
      <c r="I2896" s="1">
        <v>41648</v>
      </c>
      <c r="J2896">
        <v>10234.200000000001</v>
      </c>
      <c r="K2896" s="1">
        <v>41613</v>
      </c>
      <c r="L2896">
        <v>17993.12</v>
      </c>
    </row>
    <row r="2897" spans="1:12" x14ac:dyDescent="0.35">
      <c r="A2897" s="1">
        <v>41661</v>
      </c>
      <c r="B2897">
        <v>3151.27</v>
      </c>
      <c r="C2897" s="1">
        <v>41649</v>
      </c>
      <c r="D2897">
        <v>4250.6000000000004</v>
      </c>
      <c r="E2897" s="1">
        <v>41605</v>
      </c>
      <c r="F2897">
        <v>9351.1299999999992</v>
      </c>
      <c r="G2897" s="1">
        <v>41593</v>
      </c>
      <c r="H2897">
        <v>7995.2870199999998</v>
      </c>
      <c r="I2897" s="1">
        <v>41647</v>
      </c>
      <c r="J2897">
        <v>10253.6</v>
      </c>
      <c r="K2897" s="1">
        <v>41612</v>
      </c>
      <c r="L2897">
        <v>18312.96</v>
      </c>
    </row>
    <row r="2898" spans="1:12" x14ac:dyDescent="0.35">
      <c r="A2898" s="1">
        <v>41660</v>
      </c>
      <c r="B2898">
        <v>3153.08</v>
      </c>
      <c r="C2898" s="1">
        <v>41648</v>
      </c>
      <c r="D2898">
        <v>4225.1400000000003</v>
      </c>
      <c r="E2898" s="1">
        <v>41604</v>
      </c>
      <c r="F2898">
        <v>9290.07</v>
      </c>
      <c r="G2898" s="1">
        <v>41592</v>
      </c>
      <c r="H2898">
        <v>7952.1507700000002</v>
      </c>
      <c r="I2898" s="1">
        <v>41646</v>
      </c>
      <c r="J2898">
        <v>10178.700000000001</v>
      </c>
      <c r="K2898" s="1">
        <v>41611</v>
      </c>
      <c r="L2898">
        <v>18366.75</v>
      </c>
    </row>
    <row r="2899" spans="1:12" x14ac:dyDescent="0.35">
      <c r="A2899" s="1">
        <v>41659</v>
      </c>
      <c r="B2899">
        <v>3153.17</v>
      </c>
      <c r="C2899" s="1">
        <v>41647</v>
      </c>
      <c r="D2899">
        <v>4260.96</v>
      </c>
      <c r="E2899" s="1">
        <v>41603</v>
      </c>
      <c r="F2899">
        <v>9299.9500000000007</v>
      </c>
      <c r="G2899" s="1">
        <v>41591</v>
      </c>
      <c r="H2899">
        <v>7896.9637300000004</v>
      </c>
      <c r="I2899" s="1">
        <v>41645</v>
      </c>
      <c r="J2899">
        <v>9888.5</v>
      </c>
      <c r="K2899" s="1">
        <v>41610</v>
      </c>
      <c r="L2899">
        <v>18732.560000000001</v>
      </c>
    </row>
    <row r="2900" spans="1:12" x14ac:dyDescent="0.35">
      <c r="A2900" s="1">
        <v>41656</v>
      </c>
      <c r="B2900">
        <v>3154.1</v>
      </c>
      <c r="C2900" s="1">
        <v>41646</v>
      </c>
      <c r="D2900">
        <v>4262.68</v>
      </c>
      <c r="E2900" s="1">
        <v>41600</v>
      </c>
      <c r="F2900">
        <v>9219.0400000000009</v>
      </c>
      <c r="G2900" s="1">
        <v>41590</v>
      </c>
      <c r="H2900">
        <v>7964.3552200000004</v>
      </c>
      <c r="I2900" s="1">
        <v>41642</v>
      </c>
      <c r="J2900">
        <v>9798</v>
      </c>
      <c r="K2900" s="1">
        <v>41607</v>
      </c>
      <c r="L2900">
        <v>19021.48</v>
      </c>
    </row>
    <row r="2901" spans="1:12" x14ac:dyDescent="0.35">
      <c r="A2901" s="1">
        <v>41655</v>
      </c>
      <c r="B2901">
        <v>3150.2</v>
      </c>
      <c r="C2901" s="1">
        <v>41645</v>
      </c>
      <c r="D2901">
        <v>4227.54</v>
      </c>
      <c r="E2901" s="1">
        <v>41599</v>
      </c>
      <c r="F2901">
        <v>9196.08</v>
      </c>
      <c r="G2901" s="1">
        <v>41589</v>
      </c>
      <c r="H2901">
        <v>8021.0322999999999</v>
      </c>
      <c r="I2901" s="1">
        <v>41641</v>
      </c>
      <c r="J2901">
        <v>9760.2999999999993</v>
      </c>
      <c r="K2901" s="1">
        <v>41606</v>
      </c>
      <c r="L2901">
        <v>19099.36</v>
      </c>
    </row>
    <row r="2902" spans="1:12" x14ac:dyDescent="0.35">
      <c r="A2902" s="1">
        <v>41654</v>
      </c>
      <c r="B2902">
        <v>3168.76</v>
      </c>
      <c r="C2902" s="1">
        <v>41642</v>
      </c>
      <c r="D2902">
        <v>4247.6499999999996</v>
      </c>
      <c r="E2902" s="1">
        <v>41598</v>
      </c>
      <c r="F2902">
        <v>9202.07</v>
      </c>
      <c r="G2902" s="1">
        <v>41586</v>
      </c>
      <c r="H2902">
        <v>8031.33428</v>
      </c>
      <c r="I2902" s="1">
        <v>41639</v>
      </c>
      <c r="J2902">
        <v>9916.7000000000007</v>
      </c>
      <c r="K2902" s="1">
        <v>41605</v>
      </c>
      <c r="L2902">
        <v>18924.79</v>
      </c>
    </row>
    <row r="2903" spans="1:12" x14ac:dyDescent="0.35">
      <c r="A2903" s="1">
        <v>41653</v>
      </c>
      <c r="B2903">
        <v>3119.53</v>
      </c>
      <c r="C2903" s="1">
        <v>41641</v>
      </c>
      <c r="D2903">
        <v>4227.28</v>
      </c>
      <c r="E2903" s="1">
        <v>41597</v>
      </c>
      <c r="F2903">
        <v>9193.2900000000009</v>
      </c>
      <c r="G2903" s="1">
        <v>41585</v>
      </c>
      <c r="H2903">
        <v>8033.1667600000001</v>
      </c>
      <c r="I2903" s="1">
        <v>41638</v>
      </c>
      <c r="J2903">
        <v>9901.9</v>
      </c>
      <c r="K2903" s="1">
        <v>41604</v>
      </c>
      <c r="L2903">
        <v>18774.27</v>
      </c>
    </row>
    <row r="2904" spans="1:12" x14ac:dyDescent="0.35">
      <c r="A2904" s="1">
        <v>41652</v>
      </c>
      <c r="B2904">
        <v>3111.94</v>
      </c>
      <c r="C2904" s="1">
        <v>41639</v>
      </c>
      <c r="D2904">
        <v>4295.95</v>
      </c>
      <c r="E2904" s="1">
        <v>41596</v>
      </c>
      <c r="F2904">
        <v>9225.43</v>
      </c>
      <c r="G2904" s="1">
        <v>41584</v>
      </c>
      <c r="H2904">
        <v>8018.6536100000003</v>
      </c>
      <c r="I2904" s="1">
        <v>41635</v>
      </c>
      <c r="J2904">
        <v>9900.1</v>
      </c>
      <c r="K2904" s="1">
        <v>41603</v>
      </c>
      <c r="L2904">
        <v>18784.3</v>
      </c>
    </row>
    <row r="2905" spans="1:12" x14ac:dyDescent="0.35">
      <c r="A2905" s="1">
        <v>41649</v>
      </c>
      <c r="B2905">
        <v>3104.15</v>
      </c>
      <c r="C2905" s="1">
        <v>41638</v>
      </c>
      <c r="D2905">
        <v>4275.71</v>
      </c>
      <c r="E2905" s="1">
        <v>41593</v>
      </c>
      <c r="F2905">
        <v>9168.69</v>
      </c>
      <c r="G2905" s="1">
        <v>41583</v>
      </c>
      <c r="H2905">
        <v>8031.69</v>
      </c>
      <c r="I2905" s="1">
        <v>41632</v>
      </c>
      <c r="J2905">
        <v>9819.5</v>
      </c>
      <c r="K2905" s="1">
        <v>41600</v>
      </c>
      <c r="L2905">
        <v>18822.310000000001</v>
      </c>
    </row>
    <row r="2906" spans="1:12" x14ac:dyDescent="0.35">
      <c r="A2906" s="1">
        <v>41648</v>
      </c>
      <c r="B2906">
        <v>3090.26</v>
      </c>
      <c r="C2906" s="1">
        <v>41635</v>
      </c>
      <c r="D2906">
        <v>4277.6499999999996</v>
      </c>
      <c r="E2906" s="1">
        <v>41592</v>
      </c>
      <c r="F2906">
        <v>9149.66</v>
      </c>
      <c r="G2906" s="1">
        <v>41582</v>
      </c>
      <c r="H2906">
        <v>7985.0864199999996</v>
      </c>
      <c r="I2906" s="1">
        <v>41631</v>
      </c>
      <c r="J2906">
        <v>9758.4</v>
      </c>
      <c r="K2906" s="1">
        <v>41599</v>
      </c>
      <c r="L2906">
        <v>18841.849999999999</v>
      </c>
    </row>
    <row r="2907" spans="1:12" x14ac:dyDescent="0.35">
      <c r="A2907" s="1">
        <v>41647</v>
      </c>
      <c r="B2907">
        <v>3110.66</v>
      </c>
      <c r="C2907" s="1">
        <v>41632</v>
      </c>
      <c r="D2907">
        <v>4218.41</v>
      </c>
      <c r="E2907" s="1">
        <v>41591</v>
      </c>
      <c r="F2907">
        <v>9054.83</v>
      </c>
      <c r="G2907" s="1">
        <v>41579</v>
      </c>
      <c r="H2907">
        <v>7945.4461300000003</v>
      </c>
      <c r="I2907" s="1">
        <v>41628</v>
      </c>
      <c r="J2907">
        <v>9689.9</v>
      </c>
      <c r="K2907" s="1">
        <v>41598</v>
      </c>
      <c r="L2907">
        <v>18728.25</v>
      </c>
    </row>
    <row r="2908" spans="1:12" x14ac:dyDescent="0.35">
      <c r="A2908" s="1">
        <v>41646</v>
      </c>
      <c r="B2908">
        <v>3110.96</v>
      </c>
      <c r="C2908" s="1">
        <v>41631</v>
      </c>
      <c r="D2908">
        <v>4215.29</v>
      </c>
      <c r="E2908" s="1">
        <v>41590</v>
      </c>
      <c r="F2908">
        <v>9076.48</v>
      </c>
      <c r="G2908" s="1">
        <v>41578</v>
      </c>
      <c r="H2908">
        <v>7945.1564799999996</v>
      </c>
      <c r="I2908" s="1">
        <v>41627</v>
      </c>
      <c r="J2908">
        <v>9664.2999999999993</v>
      </c>
      <c r="K2908" s="1">
        <v>41597</v>
      </c>
      <c r="L2908">
        <v>18766.78</v>
      </c>
    </row>
    <row r="2909" spans="1:12" x14ac:dyDescent="0.35">
      <c r="A2909" s="1">
        <v>41645</v>
      </c>
      <c r="B2909">
        <v>3069.16</v>
      </c>
      <c r="C2909" s="1">
        <v>41628</v>
      </c>
      <c r="D2909">
        <v>4193.7700000000004</v>
      </c>
      <c r="E2909" s="1">
        <v>41589</v>
      </c>
      <c r="F2909">
        <v>9107.86</v>
      </c>
      <c r="G2909" s="1">
        <v>41577</v>
      </c>
      <c r="H2909">
        <v>7908.3010800000002</v>
      </c>
      <c r="I2909" s="1">
        <v>41626</v>
      </c>
      <c r="J2909">
        <v>9443.6</v>
      </c>
      <c r="K2909" s="1">
        <v>41596</v>
      </c>
      <c r="L2909">
        <v>19105.46</v>
      </c>
    </row>
    <row r="2910" spans="1:12" x14ac:dyDescent="0.35">
      <c r="A2910" s="1">
        <v>41642</v>
      </c>
      <c r="B2910">
        <v>3074.43</v>
      </c>
      <c r="C2910" s="1">
        <v>41627</v>
      </c>
      <c r="D2910">
        <v>4177.03</v>
      </c>
      <c r="E2910" s="1">
        <v>41586</v>
      </c>
      <c r="F2910">
        <v>9078.2800000000007</v>
      </c>
      <c r="G2910" s="1">
        <v>41576</v>
      </c>
      <c r="H2910">
        <v>7899.4978300000002</v>
      </c>
      <c r="I2910" s="1">
        <v>41625</v>
      </c>
      <c r="J2910">
        <v>9343.4</v>
      </c>
      <c r="K2910" s="1">
        <v>41593</v>
      </c>
      <c r="L2910">
        <v>18687.189999999999</v>
      </c>
    </row>
    <row r="2911" spans="1:12" x14ac:dyDescent="0.35">
      <c r="A2911" s="1">
        <v>41641</v>
      </c>
      <c r="B2911">
        <v>3059.93</v>
      </c>
      <c r="C2911" s="1">
        <v>41626</v>
      </c>
      <c r="D2911">
        <v>4109.51</v>
      </c>
      <c r="E2911" s="1">
        <v>41585</v>
      </c>
      <c r="F2911">
        <v>9081.0300000000007</v>
      </c>
      <c r="G2911" s="1">
        <v>41575</v>
      </c>
      <c r="H2911">
        <v>7874.3448399999997</v>
      </c>
      <c r="I2911" s="1">
        <v>41624</v>
      </c>
      <c r="J2911">
        <v>9429.5</v>
      </c>
      <c r="K2911" s="1">
        <v>41592</v>
      </c>
      <c r="L2911">
        <v>18760.78</v>
      </c>
    </row>
    <row r="2912" spans="1:12" x14ac:dyDescent="0.35">
      <c r="A2912" s="1">
        <v>41639</v>
      </c>
      <c r="B2912">
        <v>3109</v>
      </c>
      <c r="C2912" s="1">
        <v>41625</v>
      </c>
      <c r="D2912">
        <v>4068.64</v>
      </c>
      <c r="E2912" s="1">
        <v>41584</v>
      </c>
      <c r="F2912">
        <v>9040.8700000000008</v>
      </c>
      <c r="G2912" s="1">
        <v>41572</v>
      </c>
      <c r="H2912">
        <v>7875.58824</v>
      </c>
      <c r="I2912" s="1">
        <v>41621</v>
      </c>
      <c r="J2912">
        <v>9272.7000000000007</v>
      </c>
      <c r="K2912" s="1">
        <v>41591</v>
      </c>
      <c r="L2912">
        <v>18733.02</v>
      </c>
    </row>
    <row r="2913" spans="1:12" x14ac:dyDescent="0.35">
      <c r="A2913" s="1">
        <v>41638</v>
      </c>
      <c r="B2913">
        <v>3100.93</v>
      </c>
      <c r="C2913" s="1">
        <v>41624</v>
      </c>
      <c r="D2913">
        <v>4119.88</v>
      </c>
      <c r="E2913" s="1">
        <v>41583</v>
      </c>
      <c r="F2913">
        <v>9009.11</v>
      </c>
      <c r="G2913" s="1">
        <v>41571</v>
      </c>
      <c r="H2913">
        <v>7876.4606800000001</v>
      </c>
      <c r="I2913" s="1">
        <v>41620</v>
      </c>
      <c r="J2913">
        <v>9272.1</v>
      </c>
      <c r="K2913" s="1">
        <v>41590</v>
      </c>
      <c r="L2913">
        <v>19005.02</v>
      </c>
    </row>
    <row r="2914" spans="1:12" x14ac:dyDescent="0.35">
      <c r="A2914" s="1">
        <v>41635</v>
      </c>
      <c r="B2914">
        <v>3111.37</v>
      </c>
      <c r="C2914" s="1">
        <v>41621</v>
      </c>
      <c r="D2914">
        <v>4059.71</v>
      </c>
      <c r="E2914" s="1">
        <v>41582</v>
      </c>
      <c r="F2914">
        <v>9037.23</v>
      </c>
      <c r="G2914" s="1">
        <v>41570</v>
      </c>
      <c r="H2914">
        <v>7829.4085100000002</v>
      </c>
      <c r="I2914" s="1">
        <v>41619</v>
      </c>
      <c r="J2914">
        <v>9358.7000000000007</v>
      </c>
      <c r="K2914" s="1">
        <v>41589</v>
      </c>
      <c r="L2914">
        <v>19107.849999999999</v>
      </c>
    </row>
    <row r="2915" spans="1:12" x14ac:dyDescent="0.35">
      <c r="A2915" s="1">
        <v>41632</v>
      </c>
      <c r="B2915">
        <v>3072.88</v>
      </c>
      <c r="C2915" s="1">
        <v>41620</v>
      </c>
      <c r="D2915">
        <v>4069.12</v>
      </c>
      <c r="E2915" s="1">
        <v>41579</v>
      </c>
      <c r="F2915">
        <v>9007.83</v>
      </c>
      <c r="G2915" s="1">
        <v>41569</v>
      </c>
      <c r="H2915">
        <v>7886.9600600000003</v>
      </c>
      <c r="I2915" s="1">
        <v>41618</v>
      </c>
      <c r="J2915">
        <v>9438.2999999999993</v>
      </c>
      <c r="K2915" s="1">
        <v>41586</v>
      </c>
      <c r="L2915">
        <v>18961.71</v>
      </c>
    </row>
    <row r="2916" spans="1:12" x14ac:dyDescent="0.35">
      <c r="A2916" s="1">
        <v>41631</v>
      </c>
      <c r="B2916">
        <v>3070.91</v>
      </c>
      <c r="C2916" s="1">
        <v>41619</v>
      </c>
      <c r="D2916">
        <v>4086.86</v>
      </c>
      <c r="E2916" s="1">
        <v>41578</v>
      </c>
      <c r="F2916">
        <v>9033.92</v>
      </c>
      <c r="G2916" s="1">
        <v>41568</v>
      </c>
      <c r="H2916">
        <v>7857.4638599999998</v>
      </c>
      <c r="I2916" s="1">
        <v>41617</v>
      </c>
      <c r="J2916">
        <v>9487.4</v>
      </c>
      <c r="K2916" s="1">
        <v>41585</v>
      </c>
      <c r="L2916">
        <v>18863.41</v>
      </c>
    </row>
    <row r="2917" spans="1:12" x14ac:dyDescent="0.35">
      <c r="A2917" s="1">
        <v>41628</v>
      </c>
      <c r="B2917">
        <v>3049.35</v>
      </c>
      <c r="C2917" s="1">
        <v>41618</v>
      </c>
      <c r="D2917">
        <v>4091.14</v>
      </c>
      <c r="E2917" s="1">
        <v>41577</v>
      </c>
      <c r="F2917">
        <v>9010.27</v>
      </c>
      <c r="G2917" s="1">
        <v>41565</v>
      </c>
      <c r="H2917">
        <v>7822.1124600000003</v>
      </c>
      <c r="I2917" s="1">
        <v>41614</v>
      </c>
      <c r="J2917">
        <v>9400.5</v>
      </c>
      <c r="K2917" s="1">
        <v>41584</v>
      </c>
      <c r="L2917">
        <v>19262.509999999998</v>
      </c>
    </row>
    <row r="2918" spans="1:12" x14ac:dyDescent="0.35">
      <c r="A2918" s="1">
        <v>41627</v>
      </c>
      <c r="B2918">
        <v>3031.05</v>
      </c>
      <c r="C2918" s="1">
        <v>41617</v>
      </c>
      <c r="D2918">
        <v>4134.1000000000004</v>
      </c>
      <c r="E2918" s="1">
        <v>41576</v>
      </c>
      <c r="F2918">
        <v>9022.0400000000009</v>
      </c>
      <c r="G2918" s="1">
        <v>41564</v>
      </c>
      <c r="H2918">
        <v>7779.0456599999998</v>
      </c>
      <c r="I2918" s="1">
        <v>41613</v>
      </c>
      <c r="J2918">
        <v>9392.1</v>
      </c>
      <c r="K2918" s="1">
        <v>41583</v>
      </c>
      <c r="L2918">
        <v>19091.93</v>
      </c>
    </row>
    <row r="2919" spans="1:12" x14ac:dyDescent="0.35">
      <c r="A2919" s="1">
        <v>41626</v>
      </c>
      <c r="B2919">
        <v>2975.09</v>
      </c>
      <c r="C2919" s="1">
        <v>41614</v>
      </c>
      <c r="D2919">
        <v>4129.37</v>
      </c>
      <c r="E2919" s="1">
        <v>41575</v>
      </c>
      <c r="F2919">
        <v>8978.65</v>
      </c>
      <c r="G2919" s="1">
        <v>41563</v>
      </c>
      <c r="H2919">
        <v>7744.8450000000003</v>
      </c>
      <c r="I2919" s="1">
        <v>41612</v>
      </c>
      <c r="J2919">
        <v>9540.5</v>
      </c>
      <c r="K2919" s="1">
        <v>41582</v>
      </c>
      <c r="L2919">
        <v>19310.689999999999</v>
      </c>
    </row>
    <row r="2920" spans="1:12" x14ac:dyDescent="0.35">
      <c r="A2920" s="1">
        <v>41625</v>
      </c>
      <c r="B2920">
        <v>2941.76</v>
      </c>
      <c r="C2920" s="1">
        <v>41613</v>
      </c>
      <c r="D2920">
        <v>4099.91</v>
      </c>
      <c r="E2920" s="1">
        <v>41572</v>
      </c>
      <c r="F2920">
        <v>8985.74</v>
      </c>
      <c r="G2920" s="1">
        <v>41562</v>
      </c>
      <c r="H2920">
        <v>7749.9580699999997</v>
      </c>
      <c r="I2920" s="1">
        <v>41611</v>
      </c>
      <c r="J2920">
        <v>9605</v>
      </c>
      <c r="K2920" s="1">
        <v>41579</v>
      </c>
      <c r="L2920">
        <v>19164.259999999998</v>
      </c>
    </row>
    <row r="2921" spans="1:12" x14ac:dyDescent="0.35">
      <c r="A2921" s="1">
        <v>41624</v>
      </c>
      <c r="B2921">
        <v>2978.77</v>
      </c>
      <c r="C2921" s="1">
        <v>41612</v>
      </c>
      <c r="D2921">
        <v>4148.5200000000004</v>
      </c>
      <c r="E2921" s="1">
        <v>41571</v>
      </c>
      <c r="F2921">
        <v>8980.6299999999992</v>
      </c>
      <c r="G2921" s="1">
        <v>41561</v>
      </c>
      <c r="H2921">
        <v>7666.7173000000003</v>
      </c>
      <c r="I2921" s="1">
        <v>41610</v>
      </c>
      <c r="J2921">
        <v>9745.5</v>
      </c>
      <c r="K2921" s="1">
        <v>41578</v>
      </c>
      <c r="L2921">
        <v>19351.52</v>
      </c>
    </row>
    <row r="2922" spans="1:12" x14ac:dyDescent="0.35">
      <c r="A2922" s="1">
        <v>41621</v>
      </c>
      <c r="B2922">
        <v>2921.92</v>
      </c>
      <c r="C2922" s="1">
        <v>41611</v>
      </c>
      <c r="D2922">
        <v>4172.4399999999996</v>
      </c>
      <c r="E2922" s="1">
        <v>41570</v>
      </c>
      <c r="F2922">
        <v>8919.86</v>
      </c>
      <c r="G2922" s="1">
        <v>41558</v>
      </c>
      <c r="H2922">
        <v>7636.1878299999998</v>
      </c>
      <c r="I2922" s="1">
        <v>41607</v>
      </c>
      <c r="J2922">
        <v>9837.6</v>
      </c>
      <c r="K2922" s="1">
        <v>41577</v>
      </c>
      <c r="L2922">
        <v>19166.93</v>
      </c>
    </row>
    <row r="2923" spans="1:12" x14ac:dyDescent="0.35">
      <c r="A2923" s="1">
        <v>41620</v>
      </c>
      <c r="B2923">
        <v>2928.12</v>
      </c>
      <c r="C2923" s="1">
        <v>41610</v>
      </c>
      <c r="D2923">
        <v>4285.8100000000004</v>
      </c>
      <c r="E2923" s="1">
        <v>41569</v>
      </c>
      <c r="F2923">
        <v>8947.4599999999991</v>
      </c>
      <c r="G2923" s="1">
        <v>41557</v>
      </c>
      <c r="H2923">
        <v>7590.8505699999996</v>
      </c>
      <c r="I2923" s="1">
        <v>41606</v>
      </c>
      <c r="J2923">
        <v>9859.7999999999993</v>
      </c>
      <c r="K2923" s="1">
        <v>41576</v>
      </c>
      <c r="L2923">
        <v>19256.900000000001</v>
      </c>
    </row>
    <row r="2924" spans="1:12" x14ac:dyDescent="0.35">
      <c r="A2924" s="1">
        <v>41619</v>
      </c>
      <c r="B2924">
        <v>2947.31</v>
      </c>
      <c r="C2924" s="1">
        <v>41607</v>
      </c>
      <c r="D2924">
        <v>4295.21</v>
      </c>
      <c r="E2924" s="1">
        <v>41568</v>
      </c>
      <c r="F2924">
        <v>8867.2199999999993</v>
      </c>
      <c r="G2924" s="1">
        <v>41556</v>
      </c>
      <c r="H2924">
        <v>7479.6813700000002</v>
      </c>
      <c r="I2924" s="1">
        <v>41605</v>
      </c>
      <c r="J2924">
        <v>9808.4</v>
      </c>
      <c r="K2924" s="1">
        <v>41575</v>
      </c>
      <c r="L2924">
        <v>18829.419999999998</v>
      </c>
    </row>
    <row r="2925" spans="1:12" x14ac:dyDescent="0.35">
      <c r="A2925" s="1">
        <v>41618</v>
      </c>
      <c r="B2925">
        <v>2960.86</v>
      </c>
      <c r="C2925" s="1">
        <v>41606</v>
      </c>
      <c r="D2925">
        <v>4302.42</v>
      </c>
      <c r="E2925" s="1">
        <v>41565</v>
      </c>
      <c r="F2925">
        <v>8865.1</v>
      </c>
      <c r="G2925" s="1">
        <v>41555</v>
      </c>
      <c r="H2925">
        <v>7540.1366399999997</v>
      </c>
      <c r="I2925" s="1">
        <v>41604</v>
      </c>
      <c r="J2925">
        <v>9714.6</v>
      </c>
      <c r="K2925" s="1">
        <v>41572</v>
      </c>
      <c r="L2925">
        <v>18874.75</v>
      </c>
    </row>
    <row r="2926" spans="1:12" x14ac:dyDescent="0.35">
      <c r="A2926" s="1">
        <v>41617</v>
      </c>
      <c r="B2926">
        <v>2988.67</v>
      </c>
      <c r="C2926" s="1">
        <v>41605</v>
      </c>
      <c r="D2926">
        <v>4293.0600000000004</v>
      </c>
      <c r="E2926" s="1">
        <v>41564</v>
      </c>
      <c r="F2926">
        <v>8811.98</v>
      </c>
      <c r="G2926" s="1">
        <v>41554</v>
      </c>
      <c r="H2926">
        <v>7632.7409900000002</v>
      </c>
      <c r="I2926" s="1">
        <v>41603</v>
      </c>
      <c r="J2926">
        <v>9689.1</v>
      </c>
      <c r="K2926" s="1">
        <v>41571</v>
      </c>
      <c r="L2926">
        <v>19152.93</v>
      </c>
    </row>
    <row r="2927" spans="1:12" x14ac:dyDescent="0.35">
      <c r="A2927" s="1">
        <v>41614</v>
      </c>
      <c r="B2927">
        <v>2979.94</v>
      </c>
      <c r="C2927" s="1">
        <v>41604</v>
      </c>
      <c r="D2927">
        <v>4277.57</v>
      </c>
      <c r="E2927" s="1">
        <v>41563</v>
      </c>
      <c r="F2927">
        <v>8846</v>
      </c>
      <c r="G2927" s="1">
        <v>41551</v>
      </c>
      <c r="H2927">
        <v>7636.83734</v>
      </c>
      <c r="I2927" s="1">
        <v>41600</v>
      </c>
      <c r="J2927">
        <v>9677.4</v>
      </c>
      <c r="K2927" s="1">
        <v>41570</v>
      </c>
      <c r="L2927">
        <v>18910.68</v>
      </c>
    </row>
    <row r="2928" spans="1:12" x14ac:dyDescent="0.35">
      <c r="A2928" s="1">
        <v>41613</v>
      </c>
      <c r="B2928">
        <v>2953.17</v>
      </c>
      <c r="C2928" s="1">
        <v>41603</v>
      </c>
      <c r="D2928">
        <v>4301.97</v>
      </c>
      <c r="E2928" s="1">
        <v>41562</v>
      </c>
      <c r="F2928">
        <v>8804.44</v>
      </c>
      <c r="G2928" s="1">
        <v>41550</v>
      </c>
      <c r="H2928">
        <v>7653.2647299999999</v>
      </c>
      <c r="I2928" s="1">
        <v>41599</v>
      </c>
      <c r="J2928">
        <v>9599.2999999999993</v>
      </c>
      <c r="K2928" s="1">
        <v>41569</v>
      </c>
      <c r="L2928">
        <v>19371.93</v>
      </c>
    </row>
    <row r="2929" spans="1:12" x14ac:dyDescent="0.35">
      <c r="A2929" s="1">
        <v>41612</v>
      </c>
      <c r="B2929">
        <v>2991.76</v>
      </c>
      <c r="C2929" s="1">
        <v>41600</v>
      </c>
      <c r="D2929">
        <v>4278.53</v>
      </c>
      <c r="E2929" s="1">
        <v>41561</v>
      </c>
      <c r="F2929">
        <v>8723.81</v>
      </c>
      <c r="G2929" s="1">
        <v>41549</v>
      </c>
      <c r="H2929">
        <v>7687.2745299999997</v>
      </c>
      <c r="I2929" s="1">
        <v>41598</v>
      </c>
      <c r="J2929">
        <v>9559.5</v>
      </c>
      <c r="K2929" s="1">
        <v>41568</v>
      </c>
      <c r="L2929">
        <v>19262.689999999999</v>
      </c>
    </row>
    <row r="2930" spans="1:12" x14ac:dyDescent="0.35">
      <c r="A2930" s="1">
        <v>41611</v>
      </c>
      <c r="B2930">
        <v>3013.88</v>
      </c>
      <c r="C2930" s="1">
        <v>41599</v>
      </c>
      <c r="D2930">
        <v>4253.8999999999996</v>
      </c>
      <c r="E2930" s="1">
        <v>41558</v>
      </c>
      <c r="F2930">
        <v>8724.83</v>
      </c>
      <c r="G2930" s="1">
        <v>41548</v>
      </c>
      <c r="H2930">
        <v>7738.1605900000004</v>
      </c>
      <c r="I2930" s="1">
        <v>41597</v>
      </c>
      <c r="J2930">
        <v>9629.7999999999993</v>
      </c>
      <c r="K2930" s="1">
        <v>41565</v>
      </c>
      <c r="L2930">
        <v>19271.02</v>
      </c>
    </row>
    <row r="2931" spans="1:12" x14ac:dyDescent="0.35">
      <c r="A2931" s="1">
        <v>41610</v>
      </c>
      <c r="B2931">
        <v>3077.23</v>
      </c>
      <c r="C2931" s="1">
        <v>41598</v>
      </c>
      <c r="D2931">
        <v>4268.37</v>
      </c>
      <c r="E2931" s="1">
        <v>41557</v>
      </c>
      <c r="F2931">
        <v>8685.77</v>
      </c>
      <c r="G2931" s="1">
        <v>41547</v>
      </c>
      <c r="H2931">
        <v>7728.7788200000005</v>
      </c>
      <c r="I2931" s="1">
        <v>41596</v>
      </c>
      <c r="J2931">
        <v>9783.1</v>
      </c>
      <c r="K2931" s="1">
        <v>41564</v>
      </c>
      <c r="L2931">
        <v>19198.099999999999</v>
      </c>
    </row>
    <row r="2932" spans="1:12" x14ac:dyDescent="0.35">
      <c r="A2932" s="1">
        <v>41607</v>
      </c>
      <c r="B2932">
        <v>3086.64</v>
      </c>
      <c r="C2932" s="1">
        <v>41597</v>
      </c>
      <c r="D2932">
        <v>4272.29</v>
      </c>
      <c r="E2932" s="1">
        <v>41556</v>
      </c>
      <c r="F2932">
        <v>8516.69</v>
      </c>
      <c r="G2932" s="1">
        <v>41544</v>
      </c>
      <c r="H2932">
        <v>7764.8167700000004</v>
      </c>
      <c r="I2932" s="1">
        <v>41593</v>
      </c>
      <c r="J2932">
        <v>9695.9</v>
      </c>
      <c r="K2932" s="1">
        <v>41563</v>
      </c>
      <c r="L2932">
        <v>19275.04</v>
      </c>
    </row>
    <row r="2933" spans="1:12" x14ac:dyDescent="0.35">
      <c r="A2933" s="1">
        <v>41606</v>
      </c>
      <c r="B2933">
        <v>3092.42</v>
      </c>
      <c r="C2933" s="1">
        <v>41596</v>
      </c>
      <c r="D2933">
        <v>4320.68</v>
      </c>
      <c r="E2933" s="1">
        <v>41555</v>
      </c>
      <c r="F2933">
        <v>8555.89</v>
      </c>
      <c r="G2933" s="1">
        <v>41543</v>
      </c>
      <c r="H2933">
        <v>7804.8311000000003</v>
      </c>
      <c r="I2933" s="1">
        <v>41592</v>
      </c>
      <c r="J2933">
        <v>9708.7000000000007</v>
      </c>
      <c r="K2933" s="1">
        <v>41562</v>
      </c>
      <c r="L2933">
        <v>18999.22</v>
      </c>
    </row>
    <row r="2934" spans="1:12" x14ac:dyDescent="0.35">
      <c r="A2934" s="1">
        <v>41605</v>
      </c>
      <c r="B2934">
        <v>3082.65</v>
      </c>
      <c r="C2934" s="1">
        <v>41593</v>
      </c>
      <c r="D2934">
        <v>4292.2299999999996</v>
      </c>
      <c r="E2934" s="1">
        <v>41554</v>
      </c>
      <c r="F2934">
        <v>8591.58</v>
      </c>
      <c r="G2934" s="1">
        <v>41542</v>
      </c>
      <c r="H2934">
        <v>7786.96414</v>
      </c>
      <c r="I2934" s="1">
        <v>41591</v>
      </c>
      <c r="J2934">
        <v>9675.2000000000007</v>
      </c>
      <c r="K2934" s="1">
        <v>41561</v>
      </c>
      <c r="L2934">
        <v>18917.669999999998</v>
      </c>
    </row>
    <row r="2935" spans="1:12" x14ac:dyDescent="0.35">
      <c r="A2935" s="1">
        <v>41604</v>
      </c>
      <c r="B2935">
        <v>3062.62</v>
      </c>
      <c r="C2935" s="1">
        <v>41592</v>
      </c>
      <c r="D2935">
        <v>4283.91</v>
      </c>
      <c r="E2935" s="1">
        <v>41551</v>
      </c>
      <c r="F2935">
        <v>8622.9699999999993</v>
      </c>
      <c r="G2935" s="1">
        <v>41541</v>
      </c>
      <c r="H2935">
        <v>7795.8467499999997</v>
      </c>
      <c r="I2935" s="1">
        <v>41590</v>
      </c>
      <c r="J2935">
        <v>9707.6</v>
      </c>
      <c r="K2935" s="1">
        <v>41558</v>
      </c>
      <c r="L2935">
        <v>18882.63</v>
      </c>
    </row>
    <row r="2936" spans="1:12" x14ac:dyDescent="0.35">
      <c r="A2936" s="1">
        <v>41603</v>
      </c>
      <c r="B2936">
        <v>3072.75</v>
      </c>
      <c r="C2936" s="1">
        <v>41591</v>
      </c>
      <c r="D2936">
        <v>4239.9399999999996</v>
      </c>
      <c r="E2936" s="1">
        <v>41550</v>
      </c>
      <c r="F2936">
        <v>8597.91</v>
      </c>
      <c r="G2936" s="1">
        <v>41540</v>
      </c>
      <c r="H2936">
        <v>7793.1540500000001</v>
      </c>
      <c r="I2936" s="1">
        <v>41589</v>
      </c>
      <c r="J2936">
        <v>9789.5</v>
      </c>
      <c r="K2936" s="1">
        <v>41557</v>
      </c>
      <c r="L2936">
        <v>18836.79</v>
      </c>
    </row>
    <row r="2937" spans="1:12" x14ac:dyDescent="0.35">
      <c r="A2937" s="1">
        <v>41600</v>
      </c>
      <c r="B2937">
        <v>3055.98</v>
      </c>
      <c r="C2937" s="1">
        <v>41590</v>
      </c>
      <c r="D2937">
        <v>4263.78</v>
      </c>
      <c r="E2937" s="1">
        <v>41549</v>
      </c>
      <c r="F2937">
        <v>8629.42</v>
      </c>
      <c r="G2937" s="1">
        <v>41537</v>
      </c>
      <c r="H2937">
        <v>7809.2134299999998</v>
      </c>
      <c r="I2937" s="1">
        <v>41586</v>
      </c>
      <c r="J2937">
        <v>9747.2000000000007</v>
      </c>
      <c r="K2937" s="1">
        <v>41556</v>
      </c>
      <c r="L2937">
        <v>18551.57</v>
      </c>
    </row>
    <row r="2938" spans="1:12" x14ac:dyDescent="0.35">
      <c r="A2938" s="1">
        <v>41599</v>
      </c>
      <c r="B2938">
        <v>3044.34</v>
      </c>
      <c r="C2938" s="1">
        <v>41589</v>
      </c>
      <c r="D2938">
        <v>4290.1400000000003</v>
      </c>
      <c r="E2938" s="1">
        <v>41548</v>
      </c>
      <c r="F2938">
        <v>8689.14</v>
      </c>
      <c r="G2938" s="1">
        <v>41536</v>
      </c>
      <c r="H2938">
        <v>7859.77639</v>
      </c>
      <c r="I2938" s="1">
        <v>41585</v>
      </c>
      <c r="J2938">
        <v>9740.4</v>
      </c>
      <c r="K2938" s="1">
        <v>41555</v>
      </c>
      <c r="L2938">
        <v>18372.75</v>
      </c>
    </row>
    <row r="2939" spans="1:12" x14ac:dyDescent="0.35">
      <c r="A2939" s="1">
        <v>41598</v>
      </c>
      <c r="B2939">
        <v>3047.32</v>
      </c>
      <c r="C2939" s="1">
        <v>41586</v>
      </c>
      <c r="D2939">
        <v>4260.4399999999996</v>
      </c>
      <c r="E2939" s="1">
        <v>41547</v>
      </c>
      <c r="F2939">
        <v>8594.4</v>
      </c>
      <c r="G2939" s="1">
        <v>41535</v>
      </c>
      <c r="H2939">
        <v>7840.3382099999999</v>
      </c>
      <c r="I2939" s="1">
        <v>41584</v>
      </c>
      <c r="J2939">
        <v>9837.1</v>
      </c>
      <c r="K2939" s="1">
        <v>41554</v>
      </c>
      <c r="L2939">
        <v>18425.82</v>
      </c>
    </row>
    <row r="2940" spans="1:12" x14ac:dyDescent="0.35">
      <c r="A2940" s="1">
        <v>41597</v>
      </c>
      <c r="B2940">
        <v>3049.17</v>
      </c>
      <c r="C2940" s="1">
        <v>41585</v>
      </c>
      <c r="D2940">
        <v>4280.99</v>
      </c>
      <c r="E2940" s="1">
        <v>41544</v>
      </c>
      <c r="F2940">
        <v>8661.51</v>
      </c>
      <c r="G2940" s="1">
        <v>41534</v>
      </c>
      <c r="H2940">
        <v>7827.1362600000002</v>
      </c>
      <c r="I2940" s="1">
        <v>41583</v>
      </c>
      <c r="J2940">
        <v>9795.7000000000007</v>
      </c>
      <c r="K2940" s="1">
        <v>41551</v>
      </c>
      <c r="L2940">
        <v>18304.22</v>
      </c>
    </row>
    <row r="2941" spans="1:12" x14ac:dyDescent="0.35">
      <c r="A2941" s="1">
        <v>41596</v>
      </c>
      <c r="B2941">
        <v>3081.3</v>
      </c>
      <c r="C2941" s="1">
        <v>41584</v>
      </c>
      <c r="D2941">
        <v>4286.93</v>
      </c>
      <c r="E2941" s="1">
        <v>41543</v>
      </c>
      <c r="F2941">
        <v>8664.1</v>
      </c>
      <c r="G2941" s="1">
        <v>41533</v>
      </c>
      <c r="H2941">
        <v>7901.8529799999997</v>
      </c>
      <c r="I2941" s="1">
        <v>41582</v>
      </c>
      <c r="J2941">
        <v>9873.7999999999993</v>
      </c>
      <c r="K2941" s="1">
        <v>41550</v>
      </c>
      <c r="L2941">
        <v>18018.22</v>
      </c>
    </row>
    <row r="2942" spans="1:12" x14ac:dyDescent="0.35">
      <c r="A2942" s="1">
        <v>41593</v>
      </c>
      <c r="B2942">
        <v>3054.53</v>
      </c>
      <c r="C2942" s="1">
        <v>41583</v>
      </c>
      <c r="D2942">
        <v>4253.34</v>
      </c>
      <c r="E2942" s="1">
        <v>41542</v>
      </c>
      <c r="F2942">
        <v>8665.6299999999992</v>
      </c>
      <c r="G2942" s="1">
        <v>41530</v>
      </c>
      <c r="H2942">
        <v>7860.5290699999996</v>
      </c>
      <c r="I2942" s="1">
        <v>41579</v>
      </c>
      <c r="J2942">
        <v>9838.2999999999993</v>
      </c>
      <c r="K2942" s="1">
        <v>41549</v>
      </c>
      <c r="L2942">
        <v>18098.439999999999</v>
      </c>
    </row>
    <row r="2943" spans="1:12" x14ac:dyDescent="0.35">
      <c r="A2943" s="1">
        <v>41592</v>
      </c>
      <c r="B2943">
        <v>3053.69</v>
      </c>
      <c r="C2943" s="1">
        <v>41582</v>
      </c>
      <c r="D2943">
        <v>4288.59</v>
      </c>
      <c r="E2943" s="1">
        <v>41541</v>
      </c>
      <c r="F2943">
        <v>8664.6</v>
      </c>
      <c r="G2943" s="1">
        <v>41529</v>
      </c>
      <c r="H2943">
        <v>7827.4765799999996</v>
      </c>
      <c r="I2943" s="1">
        <v>41578</v>
      </c>
      <c r="J2943">
        <v>9907.9</v>
      </c>
      <c r="K2943" s="1">
        <v>41548</v>
      </c>
      <c r="L2943">
        <v>17977.060000000001</v>
      </c>
    </row>
    <row r="2944" spans="1:12" x14ac:dyDescent="0.35">
      <c r="A2944" s="1">
        <v>41591</v>
      </c>
      <c r="B2944">
        <v>3021.17</v>
      </c>
      <c r="C2944" s="1">
        <v>41579</v>
      </c>
      <c r="D2944">
        <v>4273.1899999999996</v>
      </c>
      <c r="E2944" s="1">
        <v>41540</v>
      </c>
      <c r="F2944">
        <v>8635.2900000000009</v>
      </c>
      <c r="G2944" s="1">
        <v>41528</v>
      </c>
      <c r="H2944">
        <v>7832.2122499999996</v>
      </c>
      <c r="I2944" s="1">
        <v>41577</v>
      </c>
      <c r="J2944">
        <v>9778.7000000000007</v>
      </c>
      <c r="K2944" s="1">
        <v>41547</v>
      </c>
      <c r="L2944">
        <v>17434.86</v>
      </c>
    </row>
    <row r="2945" spans="1:12" x14ac:dyDescent="0.35">
      <c r="A2945" s="1">
        <v>41590</v>
      </c>
      <c r="B2945">
        <v>3034.68</v>
      </c>
      <c r="C2945" s="1">
        <v>41578</v>
      </c>
      <c r="D2945">
        <v>4299.8900000000003</v>
      </c>
      <c r="E2945" s="1">
        <v>41537</v>
      </c>
      <c r="F2945">
        <v>8675.73</v>
      </c>
      <c r="G2945" s="1">
        <v>41527</v>
      </c>
      <c r="H2945">
        <v>7810.9160400000001</v>
      </c>
      <c r="I2945" s="1">
        <v>41576</v>
      </c>
      <c r="J2945">
        <v>9863.9</v>
      </c>
      <c r="K2945" s="1">
        <v>41544</v>
      </c>
      <c r="L2945">
        <v>17646.16</v>
      </c>
    </row>
    <row r="2946" spans="1:12" x14ac:dyDescent="0.35">
      <c r="A2946" s="1">
        <v>41589</v>
      </c>
      <c r="B2946">
        <v>3052.83</v>
      </c>
      <c r="C2946" s="1">
        <v>41577</v>
      </c>
      <c r="D2946">
        <v>4274.1099999999997</v>
      </c>
      <c r="E2946" s="1">
        <v>41536</v>
      </c>
      <c r="F2946">
        <v>8694.18</v>
      </c>
      <c r="G2946" s="1">
        <v>41526</v>
      </c>
      <c r="H2946">
        <v>7736.10437</v>
      </c>
      <c r="I2946" s="1">
        <v>41575</v>
      </c>
      <c r="J2946">
        <v>9736.2000000000007</v>
      </c>
      <c r="K2946" s="1">
        <v>41543</v>
      </c>
      <c r="L2946">
        <v>17872.53</v>
      </c>
    </row>
    <row r="2947" spans="1:12" x14ac:dyDescent="0.35">
      <c r="A2947" s="1">
        <v>41586</v>
      </c>
      <c r="B2947">
        <v>3034.91</v>
      </c>
      <c r="C2947" s="1">
        <v>41576</v>
      </c>
      <c r="D2947">
        <v>4278.09</v>
      </c>
      <c r="E2947" s="1">
        <v>41535</v>
      </c>
      <c r="F2947">
        <v>8636.06</v>
      </c>
      <c r="G2947" s="1">
        <v>41523</v>
      </c>
      <c r="H2947">
        <v>7772.3432000000003</v>
      </c>
      <c r="I2947" s="1">
        <v>41572</v>
      </c>
      <c r="J2947">
        <v>9815.5</v>
      </c>
      <c r="K2947" s="1">
        <v>41542</v>
      </c>
      <c r="L2947">
        <v>18089.240000000002</v>
      </c>
    </row>
    <row r="2948" spans="1:12" x14ac:dyDescent="0.35">
      <c r="A2948" s="1">
        <v>41585</v>
      </c>
      <c r="B2948">
        <v>3042.98</v>
      </c>
      <c r="C2948" s="1">
        <v>41575</v>
      </c>
      <c r="D2948">
        <v>4251.6099999999997</v>
      </c>
      <c r="E2948" s="1">
        <v>41534</v>
      </c>
      <c r="F2948">
        <v>8596.9500000000007</v>
      </c>
      <c r="G2948" s="1">
        <v>41522</v>
      </c>
      <c r="H2948">
        <v>7761.0980600000003</v>
      </c>
      <c r="I2948" s="1">
        <v>41571</v>
      </c>
      <c r="J2948">
        <v>9915.4</v>
      </c>
      <c r="K2948" s="1">
        <v>41541</v>
      </c>
      <c r="L2948">
        <v>18064.580000000002</v>
      </c>
    </row>
    <row r="2949" spans="1:12" x14ac:dyDescent="0.35">
      <c r="A2949" s="1">
        <v>41584</v>
      </c>
      <c r="B2949">
        <v>3056.4</v>
      </c>
      <c r="C2949" s="1">
        <v>41572</v>
      </c>
      <c r="D2949">
        <v>4272.3100000000004</v>
      </c>
      <c r="E2949" s="1">
        <v>41533</v>
      </c>
      <c r="F2949">
        <v>8613</v>
      </c>
      <c r="G2949" s="1">
        <v>41521</v>
      </c>
      <c r="H2949">
        <v>7660.9668799999999</v>
      </c>
      <c r="I2949" s="1">
        <v>41570</v>
      </c>
      <c r="J2949">
        <v>9828.2999999999993</v>
      </c>
      <c r="K2949" s="1">
        <v>41540</v>
      </c>
      <c r="L2949">
        <v>17913.18</v>
      </c>
    </row>
    <row r="2950" spans="1:12" x14ac:dyDescent="0.35">
      <c r="A2950" s="1">
        <v>41583</v>
      </c>
      <c r="B2950">
        <v>3035.92</v>
      </c>
      <c r="C2950" s="1">
        <v>41571</v>
      </c>
      <c r="D2950">
        <v>4275.6899999999996</v>
      </c>
      <c r="E2950" s="1">
        <v>41530</v>
      </c>
      <c r="F2950">
        <v>8509.42</v>
      </c>
      <c r="G2950" s="1">
        <v>41520</v>
      </c>
      <c r="H2950">
        <v>7635.7785000000003</v>
      </c>
      <c r="I2950" s="1">
        <v>41569</v>
      </c>
      <c r="J2950">
        <v>10012.9</v>
      </c>
      <c r="K2950" s="1">
        <v>41537</v>
      </c>
      <c r="L2950">
        <v>17970.12</v>
      </c>
    </row>
    <row r="2951" spans="1:12" x14ac:dyDescent="0.35">
      <c r="A2951" s="1">
        <v>41582</v>
      </c>
      <c r="B2951">
        <v>3061.18</v>
      </c>
      <c r="C2951" s="1">
        <v>41570</v>
      </c>
      <c r="D2951">
        <v>4260.66</v>
      </c>
      <c r="E2951" s="1">
        <v>41529</v>
      </c>
      <c r="F2951">
        <v>8494</v>
      </c>
      <c r="G2951" s="1">
        <v>41519</v>
      </c>
      <c r="H2951">
        <v>7659.0109300000004</v>
      </c>
      <c r="I2951" s="1">
        <v>41568</v>
      </c>
      <c r="J2951">
        <v>10037.799999999999</v>
      </c>
      <c r="K2951" s="1">
        <v>41536</v>
      </c>
      <c r="L2951">
        <v>18059.23</v>
      </c>
    </row>
    <row r="2952" spans="1:12" x14ac:dyDescent="0.35">
      <c r="A2952" s="1">
        <v>41579</v>
      </c>
      <c r="B2952">
        <v>3052.14</v>
      </c>
      <c r="C2952" s="1">
        <v>41569</v>
      </c>
      <c r="D2952">
        <v>4295.43</v>
      </c>
      <c r="E2952" s="1">
        <v>41528</v>
      </c>
      <c r="F2952">
        <v>8495.73</v>
      </c>
      <c r="G2952" s="1">
        <v>41516</v>
      </c>
      <c r="H2952">
        <v>7516.8825800000004</v>
      </c>
      <c r="I2952" s="1">
        <v>41565</v>
      </c>
      <c r="J2952">
        <v>10001.799999999999</v>
      </c>
      <c r="K2952" s="1">
        <v>41535</v>
      </c>
      <c r="L2952">
        <v>17804.7</v>
      </c>
    </row>
    <row r="2953" spans="1:12" x14ac:dyDescent="0.35">
      <c r="A2953" s="1">
        <v>41578</v>
      </c>
      <c r="B2953">
        <v>3067.95</v>
      </c>
      <c r="C2953" s="1">
        <v>41568</v>
      </c>
      <c r="D2953">
        <v>4276.92</v>
      </c>
      <c r="E2953" s="1">
        <v>41527</v>
      </c>
      <c r="F2953">
        <v>8446.5400000000009</v>
      </c>
      <c r="G2953" s="1">
        <v>41515</v>
      </c>
      <c r="H2953">
        <v>7587.7147100000002</v>
      </c>
      <c r="I2953" s="1">
        <v>41564</v>
      </c>
      <c r="J2953">
        <v>9918</v>
      </c>
      <c r="K2953" s="1">
        <v>41534</v>
      </c>
      <c r="L2953">
        <v>17751.650000000001</v>
      </c>
    </row>
    <row r="2954" spans="1:12" x14ac:dyDescent="0.35">
      <c r="A2954" s="1">
        <v>41577</v>
      </c>
      <c r="B2954">
        <v>3040.69</v>
      </c>
      <c r="C2954" s="1">
        <v>41565</v>
      </c>
      <c r="D2954">
        <v>4286.03</v>
      </c>
      <c r="E2954" s="1">
        <v>41526</v>
      </c>
      <c r="F2954">
        <v>8276.32</v>
      </c>
      <c r="G2954" s="1">
        <v>41514</v>
      </c>
      <c r="H2954">
        <v>7485.7414900000003</v>
      </c>
      <c r="I2954" s="1">
        <v>41563</v>
      </c>
      <c r="J2954">
        <v>9879</v>
      </c>
      <c r="K2954" s="1">
        <v>41533</v>
      </c>
      <c r="L2954">
        <v>17731.810000000001</v>
      </c>
    </row>
    <row r="2955" spans="1:12" x14ac:dyDescent="0.35">
      <c r="A2955" s="1">
        <v>41576</v>
      </c>
      <c r="B2955">
        <v>3050.64</v>
      </c>
      <c r="C2955" s="1">
        <v>41564</v>
      </c>
      <c r="D2955">
        <v>4239.6400000000003</v>
      </c>
      <c r="E2955" s="1">
        <v>41523</v>
      </c>
      <c r="F2955">
        <v>8275.67</v>
      </c>
      <c r="G2955" s="1">
        <v>41513</v>
      </c>
      <c r="H2955">
        <v>7475.3355099999999</v>
      </c>
      <c r="I2955" s="1">
        <v>41562</v>
      </c>
      <c r="J2955">
        <v>9805.2999999999993</v>
      </c>
      <c r="K2955" s="1">
        <v>41530</v>
      </c>
      <c r="L2955">
        <v>17547.91</v>
      </c>
    </row>
    <row r="2956" spans="1:12" x14ac:dyDescent="0.35">
      <c r="A2956" s="1">
        <v>41575</v>
      </c>
      <c r="B2956">
        <v>3022.04</v>
      </c>
      <c r="C2956" s="1">
        <v>41563</v>
      </c>
      <c r="D2956">
        <v>4243.72</v>
      </c>
      <c r="E2956" s="1">
        <v>41522</v>
      </c>
      <c r="F2956">
        <v>8234.98</v>
      </c>
      <c r="G2956" s="1">
        <v>41509</v>
      </c>
      <c r="H2956">
        <v>7550.2730199999996</v>
      </c>
      <c r="I2956" s="1">
        <v>41561</v>
      </c>
      <c r="J2956">
        <v>9696</v>
      </c>
      <c r="K2956" s="1">
        <v>41529</v>
      </c>
      <c r="L2956">
        <v>17522.71</v>
      </c>
    </row>
    <row r="2957" spans="1:12" x14ac:dyDescent="0.35">
      <c r="A2957" s="1">
        <v>41572</v>
      </c>
      <c r="B2957">
        <v>3034.5</v>
      </c>
      <c r="C2957" s="1">
        <v>41562</v>
      </c>
      <c r="D2957">
        <v>4256.0200000000004</v>
      </c>
      <c r="E2957" s="1">
        <v>41521</v>
      </c>
      <c r="F2957">
        <v>8195.92</v>
      </c>
      <c r="G2957" s="1">
        <v>41508</v>
      </c>
      <c r="H2957">
        <v>7523.6005699999996</v>
      </c>
      <c r="I2957" s="1">
        <v>41558</v>
      </c>
      <c r="J2957">
        <v>9668.5</v>
      </c>
      <c r="K2957" s="1">
        <v>41528</v>
      </c>
      <c r="L2957">
        <v>17562.55</v>
      </c>
    </row>
    <row r="2958" spans="1:12" x14ac:dyDescent="0.35">
      <c r="A2958" s="1">
        <v>41571</v>
      </c>
      <c r="B2958">
        <v>3038.96</v>
      </c>
      <c r="C2958" s="1">
        <v>41561</v>
      </c>
      <c r="D2958">
        <v>4222.96</v>
      </c>
      <c r="E2958" s="1">
        <v>41520</v>
      </c>
      <c r="F2958">
        <v>8180.71</v>
      </c>
      <c r="G2958" s="1">
        <v>41507</v>
      </c>
      <c r="H2958">
        <v>7498.0312899999999</v>
      </c>
      <c r="I2958" s="1">
        <v>41557</v>
      </c>
      <c r="J2958">
        <v>9660.5</v>
      </c>
      <c r="K2958" s="1">
        <v>41527</v>
      </c>
      <c r="L2958">
        <v>17332.419999999998</v>
      </c>
    </row>
    <row r="2959" spans="1:12" x14ac:dyDescent="0.35">
      <c r="A2959" s="1">
        <v>41570</v>
      </c>
      <c r="B2959">
        <v>3017.16</v>
      </c>
      <c r="C2959" s="1">
        <v>41558</v>
      </c>
      <c r="D2959">
        <v>4219.9799999999996</v>
      </c>
      <c r="E2959" s="1">
        <v>41519</v>
      </c>
      <c r="F2959">
        <v>8243.8700000000008</v>
      </c>
      <c r="G2959" s="1">
        <v>41506</v>
      </c>
      <c r="H2959">
        <v>7538.3337499999998</v>
      </c>
      <c r="I2959" s="1">
        <v>41556</v>
      </c>
      <c r="J2959">
        <v>9439</v>
      </c>
      <c r="K2959" s="1">
        <v>41526</v>
      </c>
      <c r="L2959">
        <v>17244.740000000002</v>
      </c>
    </row>
    <row r="2960" spans="1:12" x14ac:dyDescent="0.35">
      <c r="A2960" s="1">
        <v>41569</v>
      </c>
      <c r="B2960">
        <v>3045.77</v>
      </c>
      <c r="C2960" s="1">
        <v>41557</v>
      </c>
      <c r="D2960">
        <v>4218.1099999999997</v>
      </c>
      <c r="E2960" s="1">
        <v>41516</v>
      </c>
      <c r="F2960">
        <v>8103.15</v>
      </c>
      <c r="G2960" s="1">
        <v>41505</v>
      </c>
      <c r="H2960">
        <v>7586.7279399999998</v>
      </c>
      <c r="I2960" s="1">
        <v>41555</v>
      </c>
      <c r="J2960">
        <v>9318.9</v>
      </c>
      <c r="K2960" s="1">
        <v>41523</v>
      </c>
      <c r="L2960">
        <v>17047</v>
      </c>
    </row>
    <row r="2961" spans="1:12" x14ac:dyDescent="0.35">
      <c r="A2961" s="1">
        <v>41568</v>
      </c>
      <c r="B2961">
        <v>3028.65</v>
      </c>
      <c r="C2961" s="1">
        <v>41556</v>
      </c>
      <c r="D2961">
        <v>4127.05</v>
      </c>
      <c r="E2961" s="1">
        <v>41515</v>
      </c>
      <c r="F2961">
        <v>8194.5499999999993</v>
      </c>
      <c r="G2961" s="1">
        <v>41502</v>
      </c>
      <c r="H2961">
        <v>7624.3970099999997</v>
      </c>
      <c r="I2961" s="1">
        <v>41554</v>
      </c>
      <c r="J2961">
        <v>9381.9</v>
      </c>
      <c r="K2961" s="1">
        <v>41522</v>
      </c>
      <c r="L2961">
        <v>16842.7</v>
      </c>
    </row>
    <row r="2962" spans="1:12" x14ac:dyDescent="0.35">
      <c r="A2962" s="1">
        <v>41565</v>
      </c>
      <c r="B2962">
        <v>3033.31</v>
      </c>
      <c r="C2962" s="1">
        <v>41555</v>
      </c>
      <c r="D2962">
        <v>4133.53</v>
      </c>
      <c r="E2962" s="1">
        <v>41514</v>
      </c>
      <c r="F2962">
        <v>8157.9</v>
      </c>
      <c r="G2962" s="1">
        <v>41501</v>
      </c>
      <c r="H2962">
        <v>7615.6388800000004</v>
      </c>
      <c r="I2962" s="1">
        <v>41551</v>
      </c>
      <c r="J2962">
        <v>9420.9</v>
      </c>
      <c r="K2962" s="1">
        <v>41521</v>
      </c>
      <c r="L2962">
        <v>16712.2</v>
      </c>
    </row>
    <row r="2963" spans="1:12" x14ac:dyDescent="0.35">
      <c r="A2963" s="1">
        <v>41564</v>
      </c>
      <c r="B2963">
        <v>3010.39</v>
      </c>
      <c r="C2963" s="1">
        <v>41554</v>
      </c>
      <c r="D2963">
        <v>4165.58</v>
      </c>
      <c r="E2963" s="1">
        <v>41513</v>
      </c>
      <c r="F2963">
        <v>8242.56</v>
      </c>
      <c r="G2963" s="1">
        <v>41500</v>
      </c>
      <c r="H2963">
        <v>7709.5193900000004</v>
      </c>
      <c r="I2963" s="1">
        <v>41550</v>
      </c>
      <c r="J2963">
        <v>9295.7000000000007</v>
      </c>
      <c r="K2963" s="1">
        <v>41520</v>
      </c>
      <c r="L2963">
        <v>16941.03</v>
      </c>
    </row>
    <row r="2964" spans="1:12" x14ac:dyDescent="0.35">
      <c r="A2964" s="1">
        <v>41563</v>
      </c>
      <c r="B2964">
        <v>3015.4</v>
      </c>
      <c r="C2964" s="1">
        <v>41551</v>
      </c>
      <c r="D2964">
        <v>4164.25</v>
      </c>
      <c r="E2964" s="1">
        <v>41512</v>
      </c>
      <c r="F2964">
        <v>8435.15</v>
      </c>
      <c r="G2964" s="1">
        <v>41499</v>
      </c>
      <c r="H2964">
        <v>7714.5120500000003</v>
      </c>
      <c r="I2964" s="1">
        <v>41549</v>
      </c>
      <c r="J2964">
        <v>9350</v>
      </c>
      <c r="K2964" s="1">
        <v>41519</v>
      </c>
      <c r="L2964">
        <v>16988.57</v>
      </c>
    </row>
    <row r="2965" spans="1:12" x14ac:dyDescent="0.35">
      <c r="A2965" s="1">
        <v>41562</v>
      </c>
      <c r="B2965">
        <v>3004.56</v>
      </c>
      <c r="C2965" s="1">
        <v>41550</v>
      </c>
      <c r="D2965">
        <v>4127.9799999999996</v>
      </c>
      <c r="E2965" s="1">
        <v>41509</v>
      </c>
      <c r="F2965">
        <v>8416.99</v>
      </c>
      <c r="G2965" s="1">
        <v>41498</v>
      </c>
      <c r="H2965">
        <v>7646.8446700000004</v>
      </c>
      <c r="I2965" s="1">
        <v>41548</v>
      </c>
      <c r="J2965">
        <v>9341.5</v>
      </c>
      <c r="K2965" s="1">
        <v>41516</v>
      </c>
      <c r="L2965">
        <v>16682.21</v>
      </c>
    </row>
    <row r="2966" spans="1:12" x14ac:dyDescent="0.35">
      <c r="A2966" s="1">
        <v>41561</v>
      </c>
      <c r="B2966">
        <v>2977.69</v>
      </c>
      <c r="C2966" s="1">
        <v>41549</v>
      </c>
      <c r="D2966">
        <v>4158.16</v>
      </c>
      <c r="E2966" s="1">
        <v>41508</v>
      </c>
      <c r="F2966">
        <v>8397.89</v>
      </c>
      <c r="G2966" s="1">
        <v>41495</v>
      </c>
      <c r="H2966">
        <v>7656.52747</v>
      </c>
      <c r="I2966" s="1">
        <v>41547</v>
      </c>
      <c r="J2966">
        <v>9186.1</v>
      </c>
      <c r="K2966" s="1">
        <v>41515</v>
      </c>
      <c r="L2966">
        <v>16905.150000000001</v>
      </c>
    </row>
    <row r="2967" spans="1:12" x14ac:dyDescent="0.35">
      <c r="A2967" s="1">
        <v>41558</v>
      </c>
      <c r="B2967">
        <v>2974.28</v>
      </c>
      <c r="C2967" s="1">
        <v>41548</v>
      </c>
      <c r="D2967">
        <v>4196.6000000000004</v>
      </c>
      <c r="E2967" s="1">
        <v>41507</v>
      </c>
      <c r="F2967">
        <v>8285.41</v>
      </c>
      <c r="G2967" s="1">
        <v>41494</v>
      </c>
      <c r="H2967">
        <v>7585.8585400000002</v>
      </c>
      <c r="I2967" s="1">
        <v>41544</v>
      </c>
      <c r="J2967">
        <v>9228.4</v>
      </c>
      <c r="K2967" s="1">
        <v>41514</v>
      </c>
      <c r="L2967">
        <v>16743.09</v>
      </c>
    </row>
    <row r="2968" spans="1:12" x14ac:dyDescent="0.35">
      <c r="A2968" s="1">
        <v>41557</v>
      </c>
      <c r="B2968">
        <v>2969.41</v>
      </c>
      <c r="C2968" s="1">
        <v>41547</v>
      </c>
      <c r="D2968">
        <v>4143.4399999999996</v>
      </c>
      <c r="E2968" s="1">
        <v>41506</v>
      </c>
      <c r="F2968">
        <v>8300.0300000000007</v>
      </c>
      <c r="G2968" s="1">
        <v>41493</v>
      </c>
      <c r="H2968">
        <v>7573.7761600000003</v>
      </c>
      <c r="I2968" s="1">
        <v>41543</v>
      </c>
      <c r="J2968">
        <v>9272.4</v>
      </c>
      <c r="K2968" s="1">
        <v>41513</v>
      </c>
      <c r="L2968">
        <v>16579.8</v>
      </c>
    </row>
    <row r="2969" spans="1:12" x14ac:dyDescent="0.35">
      <c r="A2969" s="1">
        <v>41556</v>
      </c>
      <c r="B2969">
        <v>2904.73</v>
      </c>
      <c r="C2969" s="1">
        <v>41544</v>
      </c>
      <c r="D2969">
        <v>4186.7700000000004</v>
      </c>
      <c r="E2969" s="1">
        <v>41505</v>
      </c>
      <c r="F2969">
        <v>8366.2900000000009</v>
      </c>
      <c r="G2969" s="1">
        <v>41492</v>
      </c>
      <c r="H2969">
        <v>7631.1673899999996</v>
      </c>
      <c r="I2969" s="1">
        <v>41542</v>
      </c>
      <c r="J2969">
        <v>9242.9</v>
      </c>
      <c r="K2969" s="1">
        <v>41512</v>
      </c>
      <c r="L2969">
        <v>16977.759999999998</v>
      </c>
    </row>
    <row r="2970" spans="1:12" x14ac:dyDescent="0.35">
      <c r="A2970" s="1">
        <v>41555</v>
      </c>
      <c r="B2970">
        <v>2903.35</v>
      </c>
      <c r="C2970" s="1">
        <v>41543</v>
      </c>
      <c r="D2970">
        <v>4186.72</v>
      </c>
      <c r="E2970" s="1">
        <v>41502</v>
      </c>
      <c r="F2970">
        <v>8391.94</v>
      </c>
      <c r="G2970" s="1">
        <v>41491</v>
      </c>
      <c r="H2970">
        <v>7655.79234</v>
      </c>
      <c r="I2970" s="1">
        <v>41541</v>
      </c>
      <c r="J2970">
        <v>9167.6</v>
      </c>
      <c r="K2970" s="1">
        <v>41509</v>
      </c>
      <c r="L2970">
        <v>17342.25</v>
      </c>
    </row>
    <row r="2971" spans="1:12" x14ac:dyDescent="0.35">
      <c r="A2971" s="1">
        <v>41554</v>
      </c>
      <c r="B2971">
        <v>2923.04</v>
      </c>
      <c r="C2971" s="1">
        <v>41542</v>
      </c>
      <c r="D2971">
        <v>4195.3500000000004</v>
      </c>
      <c r="E2971" s="1">
        <v>41501</v>
      </c>
      <c r="F2971">
        <v>8376.2900000000009</v>
      </c>
      <c r="G2971" s="1">
        <v>41488</v>
      </c>
      <c r="H2971">
        <v>7651.2842899999996</v>
      </c>
      <c r="I2971" s="1">
        <v>41540</v>
      </c>
      <c r="J2971">
        <v>9109.5</v>
      </c>
      <c r="K2971" s="1">
        <v>41508</v>
      </c>
      <c r="L2971">
        <v>17309.84</v>
      </c>
    </row>
    <row r="2972" spans="1:12" x14ac:dyDescent="0.35">
      <c r="A2972" s="1">
        <v>41551</v>
      </c>
      <c r="B2972">
        <v>2928.31</v>
      </c>
      <c r="C2972" s="1">
        <v>41541</v>
      </c>
      <c r="D2972">
        <v>4195.6099999999997</v>
      </c>
      <c r="E2972" s="1">
        <v>41500</v>
      </c>
      <c r="F2972">
        <v>8438.1200000000008</v>
      </c>
      <c r="G2972" s="1">
        <v>41487</v>
      </c>
      <c r="H2972">
        <v>7648.3235599999998</v>
      </c>
      <c r="I2972" s="1">
        <v>41537</v>
      </c>
      <c r="J2972">
        <v>9171.7999999999993</v>
      </c>
      <c r="K2972" s="1">
        <v>41507</v>
      </c>
      <c r="L2972">
        <v>16877.93</v>
      </c>
    </row>
    <row r="2973" spans="1:12" x14ac:dyDescent="0.35">
      <c r="A2973" s="1">
        <v>41550</v>
      </c>
      <c r="B2973">
        <v>2902.12</v>
      </c>
      <c r="C2973" s="1">
        <v>41540</v>
      </c>
      <c r="D2973">
        <v>4172.08</v>
      </c>
      <c r="E2973" s="1">
        <v>41499</v>
      </c>
      <c r="F2973">
        <v>8415.76</v>
      </c>
      <c r="G2973" s="1">
        <v>41486</v>
      </c>
      <c r="H2973">
        <v>7569.1343500000003</v>
      </c>
      <c r="I2973" s="1">
        <v>41536</v>
      </c>
      <c r="J2973">
        <v>9153.7000000000007</v>
      </c>
      <c r="K2973" s="1">
        <v>41506</v>
      </c>
      <c r="L2973">
        <v>16999.55</v>
      </c>
    </row>
    <row r="2974" spans="1:12" x14ac:dyDescent="0.35">
      <c r="A2974" s="1">
        <v>41549</v>
      </c>
      <c r="B2974">
        <v>2918.31</v>
      </c>
      <c r="C2974" s="1">
        <v>41537</v>
      </c>
      <c r="D2974">
        <v>4203.66</v>
      </c>
      <c r="E2974" s="1">
        <v>41498</v>
      </c>
      <c r="F2974">
        <v>8359.25</v>
      </c>
      <c r="G2974" s="1">
        <v>41485</v>
      </c>
      <c r="H2974">
        <v>7552.5767500000002</v>
      </c>
      <c r="I2974" s="1">
        <v>41535</v>
      </c>
      <c r="J2974">
        <v>9062.5</v>
      </c>
      <c r="K2974" s="1">
        <v>41505</v>
      </c>
      <c r="L2974">
        <v>17243.25</v>
      </c>
    </row>
    <row r="2975" spans="1:12" x14ac:dyDescent="0.35">
      <c r="A2975" s="1">
        <v>41548</v>
      </c>
      <c r="B2975">
        <v>2933.02</v>
      </c>
      <c r="C2975" s="1">
        <v>41536</v>
      </c>
      <c r="D2975">
        <v>4206.04</v>
      </c>
      <c r="E2975" s="1">
        <v>41495</v>
      </c>
      <c r="F2975">
        <v>8338.31</v>
      </c>
      <c r="G2975" s="1">
        <v>41484</v>
      </c>
      <c r="H2975">
        <v>7591.1323000000002</v>
      </c>
      <c r="I2975" s="1">
        <v>41534</v>
      </c>
      <c r="J2975">
        <v>8992</v>
      </c>
      <c r="K2975" s="1">
        <v>41502</v>
      </c>
      <c r="L2975">
        <v>17677.77</v>
      </c>
    </row>
    <row r="2976" spans="1:12" x14ac:dyDescent="0.35">
      <c r="A2976" s="1">
        <v>41547</v>
      </c>
      <c r="B2976">
        <v>2893.15</v>
      </c>
      <c r="C2976" s="1">
        <v>41535</v>
      </c>
      <c r="D2976">
        <v>4170.3999999999996</v>
      </c>
      <c r="E2976" s="1">
        <v>41494</v>
      </c>
      <c r="F2976">
        <v>8318.32</v>
      </c>
      <c r="G2976" s="1">
        <v>41481</v>
      </c>
      <c r="H2976">
        <v>7591.8091100000001</v>
      </c>
      <c r="I2976" s="1">
        <v>41533</v>
      </c>
      <c r="J2976">
        <v>8999.5</v>
      </c>
      <c r="K2976" s="1">
        <v>41500</v>
      </c>
      <c r="L2976">
        <v>17463.46</v>
      </c>
    </row>
    <row r="2977" spans="1:12" x14ac:dyDescent="0.35">
      <c r="A2977" s="1">
        <v>41544</v>
      </c>
      <c r="B2977">
        <v>2919.34</v>
      </c>
      <c r="C2977" s="1">
        <v>41534</v>
      </c>
      <c r="D2977">
        <v>4145.51</v>
      </c>
      <c r="E2977" s="1">
        <v>41493</v>
      </c>
      <c r="F2977">
        <v>8260.48</v>
      </c>
      <c r="G2977" s="1">
        <v>41480</v>
      </c>
      <c r="H2977">
        <v>7635.7273699999996</v>
      </c>
      <c r="I2977" s="1">
        <v>41530</v>
      </c>
      <c r="J2977">
        <v>8941.6</v>
      </c>
      <c r="K2977" s="1">
        <v>41499</v>
      </c>
      <c r="L2977">
        <v>17380.07</v>
      </c>
    </row>
    <row r="2978" spans="1:12" x14ac:dyDescent="0.35">
      <c r="A2978" s="1">
        <v>41543</v>
      </c>
      <c r="B2978">
        <v>2922.99</v>
      </c>
      <c r="C2978" s="1">
        <v>41533</v>
      </c>
      <c r="D2978">
        <v>4152.22</v>
      </c>
      <c r="E2978" s="1">
        <v>41492</v>
      </c>
      <c r="F2978">
        <v>8299.73</v>
      </c>
      <c r="G2978" s="1">
        <v>41479</v>
      </c>
      <c r="H2978">
        <v>7696.2624100000003</v>
      </c>
      <c r="I2978" s="1">
        <v>41529</v>
      </c>
      <c r="J2978">
        <v>8924.2000000000007</v>
      </c>
      <c r="K2978" s="1">
        <v>41498</v>
      </c>
      <c r="L2978">
        <v>17262.86</v>
      </c>
    </row>
    <row r="2979" spans="1:12" x14ac:dyDescent="0.35">
      <c r="A2979" s="1">
        <v>41542</v>
      </c>
      <c r="B2979">
        <v>2927.35</v>
      </c>
      <c r="C2979" s="1">
        <v>41530</v>
      </c>
      <c r="D2979">
        <v>4114.5</v>
      </c>
      <c r="E2979" s="1">
        <v>41491</v>
      </c>
      <c r="F2979">
        <v>8398.3799999999992</v>
      </c>
      <c r="G2979" s="1">
        <v>41478</v>
      </c>
      <c r="H2979">
        <v>7677.5385999999999</v>
      </c>
      <c r="I2979" s="1">
        <v>41528</v>
      </c>
      <c r="J2979">
        <v>8875.2000000000007</v>
      </c>
      <c r="K2979" s="1">
        <v>41495</v>
      </c>
      <c r="L2979">
        <v>17186.560000000001</v>
      </c>
    </row>
    <row r="2980" spans="1:12" x14ac:dyDescent="0.35">
      <c r="A2980" s="1">
        <v>41541</v>
      </c>
      <c r="B2980">
        <v>2922.93</v>
      </c>
      <c r="C2980" s="1">
        <v>41529</v>
      </c>
      <c r="D2980">
        <v>4106.63</v>
      </c>
      <c r="E2980" s="1">
        <v>41488</v>
      </c>
      <c r="F2980">
        <v>8406.94</v>
      </c>
      <c r="G2980" s="1">
        <v>41477</v>
      </c>
      <c r="H2980">
        <v>7711.1331099999998</v>
      </c>
      <c r="I2980" s="1">
        <v>41527</v>
      </c>
      <c r="J2980">
        <v>8801.6</v>
      </c>
      <c r="K2980" s="1">
        <v>41494</v>
      </c>
      <c r="L2980">
        <v>17146.5</v>
      </c>
    </row>
    <row r="2981" spans="1:12" x14ac:dyDescent="0.35">
      <c r="A2981" s="1">
        <v>41540</v>
      </c>
      <c r="B2981">
        <v>2906.35</v>
      </c>
      <c r="C2981" s="1">
        <v>41528</v>
      </c>
      <c r="D2981">
        <v>4119.1099999999997</v>
      </c>
      <c r="E2981" s="1">
        <v>41487</v>
      </c>
      <c r="F2981">
        <v>8410.73</v>
      </c>
      <c r="G2981" s="1">
        <v>41474</v>
      </c>
      <c r="H2981">
        <v>7704.0724700000001</v>
      </c>
      <c r="I2981" s="1">
        <v>41526</v>
      </c>
      <c r="J2981">
        <v>8632.5</v>
      </c>
      <c r="K2981" s="1">
        <v>41493</v>
      </c>
      <c r="L2981">
        <v>16838.189999999999</v>
      </c>
    </row>
    <row r="2982" spans="1:12" x14ac:dyDescent="0.35">
      <c r="A2982" s="1">
        <v>41537</v>
      </c>
      <c r="B2982">
        <v>2927.19</v>
      </c>
      <c r="C2982" s="1">
        <v>41527</v>
      </c>
      <c r="D2982">
        <v>4116.6400000000003</v>
      </c>
      <c r="E2982" s="1">
        <v>41486</v>
      </c>
      <c r="F2982">
        <v>8275.9699999999993</v>
      </c>
      <c r="G2982" s="1">
        <v>41473</v>
      </c>
      <c r="H2982">
        <v>7707.2148500000003</v>
      </c>
      <c r="I2982" s="1">
        <v>41523</v>
      </c>
      <c r="J2982">
        <v>8655</v>
      </c>
      <c r="K2982" s="1">
        <v>41492</v>
      </c>
      <c r="L2982">
        <v>16683.169999999998</v>
      </c>
    </row>
    <row r="2983" spans="1:12" x14ac:dyDescent="0.35">
      <c r="A2983" s="1">
        <v>41536</v>
      </c>
      <c r="B2983">
        <v>2936.2</v>
      </c>
      <c r="C2983" s="1">
        <v>41526</v>
      </c>
      <c r="D2983">
        <v>4040.33</v>
      </c>
      <c r="E2983" s="1">
        <v>41485</v>
      </c>
      <c r="F2983">
        <v>8271.02</v>
      </c>
      <c r="G2983" s="1">
        <v>41472</v>
      </c>
      <c r="H2983">
        <v>7616.3161700000001</v>
      </c>
      <c r="I2983" s="1">
        <v>41522</v>
      </c>
      <c r="J2983">
        <v>8550</v>
      </c>
      <c r="K2983" s="1">
        <v>41491</v>
      </c>
      <c r="L2983">
        <v>16757.240000000002</v>
      </c>
    </row>
    <row r="2984" spans="1:12" x14ac:dyDescent="0.35">
      <c r="A2984" s="1">
        <v>41535</v>
      </c>
      <c r="B2984">
        <v>2908.92</v>
      </c>
      <c r="C2984" s="1">
        <v>41523</v>
      </c>
      <c r="D2984">
        <v>4049.19</v>
      </c>
      <c r="E2984" s="1">
        <v>41484</v>
      </c>
      <c r="F2984">
        <v>8259.0300000000007</v>
      </c>
      <c r="G2984" s="1">
        <v>41471</v>
      </c>
      <c r="H2984">
        <v>7538.5056000000004</v>
      </c>
      <c r="I2984" s="1">
        <v>41521</v>
      </c>
      <c r="J2984">
        <v>8490.2999999999993</v>
      </c>
      <c r="K2984" s="1">
        <v>41488</v>
      </c>
      <c r="L2984">
        <v>16779.189999999999</v>
      </c>
    </row>
    <row r="2985" spans="1:12" x14ac:dyDescent="0.35">
      <c r="A2985" s="1">
        <v>41534</v>
      </c>
      <c r="B2985">
        <v>2890.95</v>
      </c>
      <c r="C2985" s="1">
        <v>41522</v>
      </c>
      <c r="D2985">
        <v>4006.8</v>
      </c>
      <c r="E2985" s="1">
        <v>41481</v>
      </c>
      <c r="F2985">
        <v>8244.91</v>
      </c>
      <c r="G2985" s="1">
        <v>41470</v>
      </c>
      <c r="H2985">
        <v>7611.5467900000003</v>
      </c>
      <c r="I2985" s="1">
        <v>41520</v>
      </c>
      <c r="J2985">
        <v>8445.2000000000007</v>
      </c>
      <c r="K2985" s="1">
        <v>41487</v>
      </c>
      <c r="L2985">
        <v>16818.97</v>
      </c>
    </row>
    <row r="2986" spans="1:12" x14ac:dyDescent="0.35">
      <c r="A2986" s="1">
        <v>41533</v>
      </c>
      <c r="B2986">
        <v>2894.64</v>
      </c>
      <c r="C2986" s="1">
        <v>41521</v>
      </c>
      <c r="D2986">
        <v>3980.42</v>
      </c>
      <c r="E2986" s="1">
        <v>41480</v>
      </c>
      <c r="F2986">
        <v>8298.98</v>
      </c>
      <c r="G2986" s="1">
        <v>41467</v>
      </c>
      <c r="H2986">
        <v>7568.5253700000003</v>
      </c>
      <c r="I2986" s="1">
        <v>41519</v>
      </c>
      <c r="J2986">
        <v>8429.6</v>
      </c>
      <c r="K2986" s="1">
        <v>41486</v>
      </c>
      <c r="L2986">
        <v>16482.349999999999</v>
      </c>
    </row>
    <row r="2987" spans="1:12" x14ac:dyDescent="0.35">
      <c r="A2987" s="1">
        <v>41530</v>
      </c>
      <c r="B2987">
        <v>2867.11</v>
      </c>
      <c r="C2987" s="1">
        <v>41520</v>
      </c>
      <c r="D2987">
        <v>3974.07</v>
      </c>
      <c r="E2987" s="1">
        <v>41479</v>
      </c>
      <c r="F2987">
        <v>8379.11</v>
      </c>
      <c r="G2987" s="1">
        <v>41466</v>
      </c>
      <c r="H2987">
        <v>7588.5868399999999</v>
      </c>
      <c r="I2987" s="1">
        <v>41516</v>
      </c>
      <c r="J2987">
        <v>8290.5</v>
      </c>
      <c r="K2987" s="1">
        <v>41485</v>
      </c>
      <c r="L2987">
        <v>16542.900000000001</v>
      </c>
    </row>
    <row r="2988" spans="1:12" x14ac:dyDescent="0.35">
      <c r="A2988" s="1">
        <v>41529</v>
      </c>
      <c r="B2988">
        <v>2862.07</v>
      </c>
      <c r="C2988" s="1">
        <v>41519</v>
      </c>
      <c r="D2988">
        <v>4006.01</v>
      </c>
      <c r="E2988" s="1">
        <v>41478</v>
      </c>
      <c r="F2988">
        <v>8314.23</v>
      </c>
      <c r="G2988" s="1">
        <v>41465</v>
      </c>
      <c r="H2988">
        <v>7561.3642900000004</v>
      </c>
      <c r="I2988" s="1">
        <v>41515</v>
      </c>
      <c r="J2988">
        <v>8432.1</v>
      </c>
      <c r="K2988" s="1">
        <v>41484</v>
      </c>
      <c r="L2988">
        <v>16275.71</v>
      </c>
    </row>
    <row r="2989" spans="1:12" x14ac:dyDescent="0.35">
      <c r="A2989" s="1">
        <v>41528</v>
      </c>
      <c r="B2989">
        <v>2863.44</v>
      </c>
      <c r="C2989" s="1">
        <v>41516</v>
      </c>
      <c r="D2989">
        <v>3933.78</v>
      </c>
      <c r="E2989" s="1">
        <v>41477</v>
      </c>
      <c r="F2989">
        <v>8331.06</v>
      </c>
      <c r="G2989" s="1">
        <v>41464</v>
      </c>
      <c r="H2989">
        <v>7564.9892600000003</v>
      </c>
      <c r="I2989" s="1">
        <v>41514</v>
      </c>
      <c r="J2989">
        <v>8398.1</v>
      </c>
      <c r="K2989" s="1">
        <v>41481</v>
      </c>
      <c r="L2989">
        <v>16421.509999999998</v>
      </c>
    </row>
    <row r="2990" spans="1:12" x14ac:dyDescent="0.35">
      <c r="A2990" s="1">
        <v>41527</v>
      </c>
      <c r="B2990">
        <v>2851.4</v>
      </c>
      <c r="C2990" s="1">
        <v>41515</v>
      </c>
      <c r="D2990">
        <v>3986.35</v>
      </c>
      <c r="E2990" s="1">
        <v>41474</v>
      </c>
      <c r="F2990">
        <v>8331.57</v>
      </c>
      <c r="G2990" s="1">
        <v>41463</v>
      </c>
      <c r="H2990">
        <v>7495.17382</v>
      </c>
      <c r="I2990" s="1">
        <v>41513</v>
      </c>
      <c r="J2990">
        <v>8394</v>
      </c>
      <c r="K2990" s="1">
        <v>41480</v>
      </c>
      <c r="L2990">
        <v>16431.97</v>
      </c>
    </row>
    <row r="2991" spans="1:12" x14ac:dyDescent="0.35">
      <c r="A2991" s="1">
        <v>41526</v>
      </c>
      <c r="B2991">
        <v>2798.31</v>
      </c>
      <c r="C2991" s="1">
        <v>41514</v>
      </c>
      <c r="D2991">
        <v>3960.46</v>
      </c>
      <c r="E2991" s="1">
        <v>41473</v>
      </c>
      <c r="F2991">
        <v>8337.09</v>
      </c>
      <c r="G2991" s="1">
        <v>41460</v>
      </c>
      <c r="H2991">
        <v>7408.8778700000003</v>
      </c>
      <c r="I2991" s="1">
        <v>41512</v>
      </c>
      <c r="J2991">
        <v>8649.9</v>
      </c>
      <c r="K2991" s="1">
        <v>41479</v>
      </c>
      <c r="L2991">
        <v>16442.71</v>
      </c>
    </row>
    <row r="2992" spans="1:12" x14ac:dyDescent="0.35">
      <c r="A2992" s="1">
        <v>41523</v>
      </c>
      <c r="B2992">
        <v>2803.42</v>
      </c>
      <c r="C2992" s="1">
        <v>41513</v>
      </c>
      <c r="D2992">
        <v>3968.73</v>
      </c>
      <c r="E2992" s="1">
        <v>41472</v>
      </c>
      <c r="F2992">
        <v>8254.7199999999993</v>
      </c>
      <c r="G2992" s="1">
        <v>41459</v>
      </c>
      <c r="H2992">
        <v>7493.6048499999997</v>
      </c>
      <c r="I2992" s="1">
        <v>41509</v>
      </c>
      <c r="J2992">
        <v>8686.7999999999993</v>
      </c>
      <c r="K2992" s="1">
        <v>41478</v>
      </c>
      <c r="L2992">
        <v>16238.58</v>
      </c>
    </row>
    <row r="2993" spans="1:12" x14ac:dyDescent="0.35">
      <c r="A2993" s="1">
        <v>41522</v>
      </c>
      <c r="B2993">
        <v>2774.2</v>
      </c>
      <c r="C2993" s="1">
        <v>41512</v>
      </c>
      <c r="D2993">
        <v>4067.13</v>
      </c>
      <c r="E2993" s="1">
        <v>41471</v>
      </c>
      <c r="F2993">
        <v>8201.0499999999993</v>
      </c>
      <c r="G2993" s="1">
        <v>41458</v>
      </c>
      <c r="H2993">
        <v>7312.3057200000003</v>
      </c>
      <c r="I2993" s="1">
        <v>41508</v>
      </c>
      <c r="J2993">
        <v>8629.7000000000007</v>
      </c>
      <c r="K2993" s="1">
        <v>41477</v>
      </c>
      <c r="L2993">
        <v>16233.55</v>
      </c>
    </row>
    <row r="2994" spans="1:12" x14ac:dyDescent="0.35">
      <c r="A2994" s="1">
        <v>41521</v>
      </c>
      <c r="B2994">
        <v>2758.29</v>
      </c>
      <c r="C2994" s="1">
        <v>41509</v>
      </c>
      <c r="D2994">
        <v>4069.47</v>
      </c>
      <c r="E2994" s="1">
        <v>41470</v>
      </c>
      <c r="F2994">
        <v>8234.81</v>
      </c>
      <c r="G2994" s="1">
        <v>41457</v>
      </c>
      <c r="H2994">
        <v>7344.5089399999997</v>
      </c>
      <c r="I2994" s="1">
        <v>41507</v>
      </c>
      <c r="J2994">
        <v>8461.7999999999993</v>
      </c>
      <c r="K2994" s="1">
        <v>41474</v>
      </c>
      <c r="L2994">
        <v>16124.36</v>
      </c>
    </row>
    <row r="2995" spans="1:12" x14ac:dyDescent="0.35">
      <c r="A2995" s="1">
        <v>41520</v>
      </c>
      <c r="B2995">
        <v>2753.35</v>
      </c>
      <c r="C2995" s="1">
        <v>41508</v>
      </c>
      <c r="D2995">
        <v>4059.12</v>
      </c>
      <c r="E2995" s="1">
        <v>41467</v>
      </c>
      <c r="F2995">
        <v>8212.77</v>
      </c>
      <c r="G2995" s="1">
        <v>41456</v>
      </c>
      <c r="H2995">
        <v>7353.4392600000001</v>
      </c>
      <c r="I2995" s="1">
        <v>41506</v>
      </c>
      <c r="J2995">
        <v>8502.4</v>
      </c>
      <c r="K2995" s="1">
        <v>41473</v>
      </c>
      <c r="L2995">
        <v>16053.61</v>
      </c>
    </row>
    <row r="2996" spans="1:12" x14ac:dyDescent="0.35">
      <c r="A2996" s="1">
        <v>41519</v>
      </c>
      <c r="B2996">
        <v>2774.09</v>
      </c>
      <c r="C2996" s="1">
        <v>41507</v>
      </c>
      <c r="D2996">
        <v>4015.09</v>
      </c>
      <c r="E2996" s="1">
        <v>41466</v>
      </c>
      <c r="F2996">
        <v>8158.8</v>
      </c>
      <c r="G2996" s="1">
        <v>41453</v>
      </c>
      <c r="H2996">
        <v>7257.3557799999999</v>
      </c>
      <c r="I2996" s="1">
        <v>41505</v>
      </c>
      <c r="J2996">
        <v>8657.1</v>
      </c>
      <c r="K2996" s="1">
        <v>41472</v>
      </c>
      <c r="L2996">
        <v>15695.03</v>
      </c>
    </row>
    <row r="2997" spans="1:12" x14ac:dyDescent="0.35">
      <c r="A2997" s="1">
        <v>41516</v>
      </c>
      <c r="B2997">
        <v>2721.37</v>
      </c>
      <c r="C2997" s="1">
        <v>41506</v>
      </c>
      <c r="D2997">
        <v>4028.93</v>
      </c>
      <c r="E2997" s="1">
        <v>41465</v>
      </c>
      <c r="F2997">
        <v>8066.48</v>
      </c>
      <c r="G2997" s="1">
        <v>41452</v>
      </c>
      <c r="H2997">
        <v>7304.4043700000002</v>
      </c>
      <c r="I2997" s="1">
        <v>41502</v>
      </c>
      <c r="J2997">
        <v>8821.2999999999993</v>
      </c>
      <c r="K2997" s="1">
        <v>41471</v>
      </c>
      <c r="L2997">
        <v>15529.95</v>
      </c>
    </row>
    <row r="2998" spans="1:12" x14ac:dyDescent="0.35">
      <c r="A2998" s="1">
        <v>41515</v>
      </c>
      <c r="B2998">
        <v>2758.31</v>
      </c>
      <c r="C2998" s="1">
        <v>41505</v>
      </c>
      <c r="D2998">
        <v>4083.98</v>
      </c>
      <c r="E2998" s="1">
        <v>41464</v>
      </c>
      <c r="F2998">
        <v>8057.75</v>
      </c>
      <c r="G2998" s="1">
        <v>41451</v>
      </c>
      <c r="H2998">
        <v>7264.7148800000004</v>
      </c>
      <c r="I2998" s="1">
        <v>41501</v>
      </c>
      <c r="J2998">
        <v>8737.6</v>
      </c>
      <c r="K2998" s="1">
        <v>41470</v>
      </c>
      <c r="L2998">
        <v>15597.34</v>
      </c>
    </row>
    <row r="2999" spans="1:12" x14ac:dyDescent="0.35">
      <c r="A2999" s="1">
        <v>41514</v>
      </c>
      <c r="B2999">
        <v>2742.61</v>
      </c>
      <c r="C2999" s="1">
        <v>41502</v>
      </c>
      <c r="D2999">
        <v>4123.8900000000003</v>
      </c>
      <c r="E2999" s="1">
        <v>41463</v>
      </c>
      <c r="F2999">
        <v>7968.54</v>
      </c>
      <c r="G2999" s="1">
        <v>41450</v>
      </c>
      <c r="H2999">
        <v>7185.8969100000004</v>
      </c>
      <c r="I2999" s="1">
        <v>41500</v>
      </c>
      <c r="J2999">
        <v>8789.2999999999993</v>
      </c>
      <c r="K2999" s="1">
        <v>41467</v>
      </c>
      <c r="L2999">
        <v>15430.57</v>
      </c>
    </row>
    <row r="3000" spans="1:12" x14ac:dyDescent="0.35">
      <c r="A3000" s="1">
        <v>41513</v>
      </c>
      <c r="B3000">
        <v>2749.27</v>
      </c>
      <c r="C3000" s="1">
        <v>41501</v>
      </c>
      <c r="D3000">
        <v>4093.2</v>
      </c>
      <c r="E3000" s="1">
        <v>41460</v>
      </c>
      <c r="F3000">
        <v>7806</v>
      </c>
      <c r="G3000" s="1">
        <v>41449</v>
      </c>
      <c r="H3000">
        <v>7096.2543800000003</v>
      </c>
      <c r="I3000" s="1">
        <v>41499</v>
      </c>
      <c r="J3000">
        <v>8758.5</v>
      </c>
      <c r="K3000" s="1">
        <v>41466</v>
      </c>
      <c r="L3000">
        <v>15677.3</v>
      </c>
    </row>
    <row r="3001" spans="1:12" x14ac:dyDescent="0.35">
      <c r="A3001" s="1">
        <v>41512</v>
      </c>
      <c r="B3001">
        <v>2821.45</v>
      </c>
      <c r="C3001" s="1">
        <v>41500</v>
      </c>
      <c r="D3001">
        <v>4114.2</v>
      </c>
      <c r="E3001" s="1">
        <v>41459</v>
      </c>
      <c r="F3001">
        <v>7994.31</v>
      </c>
      <c r="G3001" s="1">
        <v>41446</v>
      </c>
      <c r="H3001">
        <v>7180.9848700000002</v>
      </c>
      <c r="I3001" s="1">
        <v>41498</v>
      </c>
      <c r="J3001">
        <v>8717.7000000000007</v>
      </c>
      <c r="K3001" s="1">
        <v>41465</v>
      </c>
      <c r="L3001">
        <v>15677.26</v>
      </c>
    </row>
    <row r="3002" spans="1:12" x14ac:dyDescent="0.35">
      <c r="A3002" s="1">
        <v>41509</v>
      </c>
      <c r="B3002">
        <v>2826.05</v>
      </c>
      <c r="C3002" s="1">
        <v>41499</v>
      </c>
      <c r="D3002">
        <v>4092.5</v>
      </c>
      <c r="E3002" s="1">
        <v>41458</v>
      </c>
      <c r="F3002">
        <v>7829.32</v>
      </c>
      <c r="G3002" s="1">
        <v>41445</v>
      </c>
      <c r="H3002">
        <v>7203.5420599999998</v>
      </c>
      <c r="I3002" s="1">
        <v>41495</v>
      </c>
      <c r="J3002">
        <v>8735.5</v>
      </c>
      <c r="K3002" s="1">
        <v>41464</v>
      </c>
      <c r="L3002">
        <v>15790.55</v>
      </c>
    </row>
    <row r="3003" spans="1:12" x14ac:dyDescent="0.35">
      <c r="A3003" s="1">
        <v>41508</v>
      </c>
      <c r="B3003">
        <v>2812.32</v>
      </c>
      <c r="C3003" s="1">
        <v>41498</v>
      </c>
      <c r="D3003">
        <v>4071.68</v>
      </c>
      <c r="E3003" s="1">
        <v>41457</v>
      </c>
      <c r="F3003">
        <v>7910.77</v>
      </c>
      <c r="G3003" s="1">
        <v>41444</v>
      </c>
      <c r="H3003">
        <v>7416.1152899999997</v>
      </c>
      <c r="I3003" s="1">
        <v>41494</v>
      </c>
      <c r="J3003">
        <v>8671.7999999999993</v>
      </c>
      <c r="K3003" s="1">
        <v>41463</v>
      </c>
      <c r="L3003">
        <v>15799.62</v>
      </c>
    </row>
    <row r="3004" spans="1:12" x14ac:dyDescent="0.35">
      <c r="A3004" s="1">
        <v>41507</v>
      </c>
      <c r="B3004">
        <v>2774.58</v>
      </c>
      <c r="C3004" s="1">
        <v>41495</v>
      </c>
      <c r="D3004">
        <v>4076.55</v>
      </c>
      <c r="E3004" s="1">
        <v>41456</v>
      </c>
      <c r="F3004">
        <v>7983.92</v>
      </c>
      <c r="G3004" s="1">
        <v>41443</v>
      </c>
      <c r="H3004">
        <v>7441.5749100000003</v>
      </c>
      <c r="I3004" s="1">
        <v>41493</v>
      </c>
      <c r="J3004">
        <v>8574.1</v>
      </c>
      <c r="K3004" s="1">
        <v>41460</v>
      </c>
      <c r="L3004">
        <v>15533.69</v>
      </c>
    </row>
    <row r="3005" spans="1:12" x14ac:dyDescent="0.35">
      <c r="A3005" s="1">
        <v>41506</v>
      </c>
      <c r="B3005">
        <v>2787.98</v>
      </c>
      <c r="C3005" s="1">
        <v>41494</v>
      </c>
      <c r="D3005">
        <v>4064.32</v>
      </c>
      <c r="E3005" s="1">
        <v>41453</v>
      </c>
      <c r="F3005">
        <v>7959.22</v>
      </c>
      <c r="G3005" s="1">
        <v>41442</v>
      </c>
      <c r="H3005">
        <v>7452.04846</v>
      </c>
      <c r="I3005" s="1">
        <v>41492</v>
      </c>
      <c r="J3005">
        <v>8529.5</v>
      </c>
      <c r="K3005" s="1">
        <v>41459</v>
      </c>
      <c r="L3005">
        <v>15808.15</v>
      </c>
    </row>
    <row r="3006" spans="1:12" x14ac:dyDescent="0.35">
      <c r="A3006" s="1">
        <v>41505</v>
      </c>
      <c r="B3006">
        <v>2823.35</v>
      </c>
      <c r="C3006" s="1">
        <v>41493</v>
      </c>
      <c r="D3006">
        <v>4038.49</v>
      </c>
      <c r="E3006" s="1">
        <v>41452</v>
      </c>
      <c r="F3006">
        <v>7990.75</v>
      </c>
      <c r="G3006" s="1">
        <v>41439</v>
      </c>
      <c r="H3006">
        <v>7429.7284399999999</v>
      </c>
      <c r="I3006" s="1">
        <v>41491</v>
      </c>
      <c r="J3006">
        <v>8560.7999999999993</v>
      </c>
      <c r="K3006" s="1">
        <v>41458</v>
      </c>
      <c r="L3006">
        <v>15282.81</v>
      </c>
    </row>
    <row r="3007" spans="1:12" x14ac:dyDescent="0.35">
      <c r="A3007" s="1">
        <v>41502</v>
      </c>
      <c r="B3007">
        <v>2854.27</v>
      </c>
      <c r="C3007" s="1">
        <v>41492</v>
      </c>
      <c r="D3007">
        <v>4032.57</v>
      </c>
      <c r="E3007" s="1">
        <v>41451</v>
      </c>
      <c r="F3007">
        <v>7940.99</v>
      </c>
      <c r="G3007" s="1">
        <v>41438</v>
      </c>
      <c r="H3007">
        <v>7422.4990399999997</v>
      </c>
      <c r="I3007" s="1">
        <v>41488</v>
      </c>
      <c r="J3007">
        <v>8574</v>
      </c>
      <c r="K3007" s="1">
        <v>41457</v>
      </c>
      <c r="L3007">
        <v>15365.71</v>
      </c>
    </row>
    <row r="3008" spans="1:12" x14ac:dyDescent="0.35">
      <c r="A3008" s="1">
        <v>41501</v>
      </c>
      <c r="B3008">
        <v>2835.86</v>
      </c>
      <c r="C3008" s="1">
        <v>41491</v>
      </c>
      <c r="D3008">
        <v>4049.97</v>
      </c>
      <c r="E3008" s="1">
        <v>41450</v>
      </c>
      <c r="F3008">
        <v>7811.3</v>
      </c>
      <c r="G3008" s="1">
        <v>41437</v>
      </c>
      <c r="H3008">
        <v>7407.28431</v>
      </c>
      <c r="I3008" s="1">
        <v>41487</v>
      </c>
      <c r="J3008">
        <v>8540.2000000000007</v>
      </c>
      <c r="K3008" s="1">
        <v>41456</v>
      </c>
      <c r="L3008">
        <v>15459.57</v>
      </c>
    </row>
    <row r="3009" spans="1:12" x14ac:dyDescent="0.35">
      <c r="A3009" s="1">
        <v>41500</v>
      </c>
      <c r="B3009">
        <v>2852.08</v>
      </c>
      <c r="C3009" s="1">
        <v>41488</v>
      </c>
      <c r="D3009">
        <v>4045.65</v>
      </c>
      <c r="E3009" s="1">
        <v>41449</v>
      </c>
      <c r="F3009">
        <v>7692.45</v>
      </c>
      <c r="G3009" s="1">
        <v>41436</v>
      </c>
      <c r="H3009">
        <v>7445.4637300000004</v>
      </c>
      <c r="I3009" s="1">
        <v>41486</v>
      </c>
      <c r="J3009">
        <v>8433.4</v>
      </c>
      <c r="K3009" s="1">
        <v>41453</v>
      </c>
      <c r="L3009">
        <v>15239.28</v>
      </c>
    </row>
    <row r="3010" spans="1:12" x14ac:dyDescent="0.35">
      <c r="A3010" s="1">
        <v>41499</v>
      </c>
      <c r="B3010">
        <v>2841.61</v>
      </c>
      <c r="C3010" s="1">
        <v>41487</v>
      </c>
      <c r="D3010">
        <v>4042.73</v>
      </c>
      <c r="E3010" s="1">
        <v>41446</v>
      </c>
      <c r="F3010">
        <v>7789.24</v>
      </c>
      <c r="G3010" s="1">
        <v>41435</v>
      </c>
      <c r="H3010">
        <v>7526.92533</v>
      </c>
      <c r="I3010" s="1">
        <v>41485</v>
      </c>
      <c r="J3010">
        <v>8456.5</v>
      </c>
      <c r="K3010" s="1">
        <v>41452</v>
      </c>
      <c r="L3010">
        <v>15430.47</v>
      </c>
    </row>
    <row r="3011" spans="1:12" x14ac:dyDescent="0.35">
      <c r="A3011" s="1">
        <v>41498</v>
      </c>
      <c r="B3011">
        <v>2827.15</v>
      </c>
      <c r="C3011" s="1">
        <v>41486</v>
      </c>
      <c r="D3011">
        <v>3992.69</v>
      </c>
      <c r="E3011" s="1">
        <v>41445</v>
      </c>
      <c r="F3011">
        <v>7928.48</v>
      </c>
      <c r="G3011" s="1">
        <v>41432</v>
      </c>
      <c r="H3011">
        <v>7533.6760400000003</v>
      </c>
      <c r="I3011" s="1">
        <v>41484</v>
      </c>
      <c r="J3011">
        <v>8376.1</v>
      </c>
      <c r="K3011" s="1">
        <v>41451</v>
      </c>
      <c r="L3011">
        <v>15362.88</v>
      </c>
    </row>
    <row r="3012" spans="1:12" x14ac:dyDescent="0.35">
      <c r="A3012" s="1">
        <v>41495</v>
      </c>
      <c r="B3012">
        <v>2825.62</v>
      </c>
      <c r="C3012" s="1">
        <v>41485</v>
      </c>
      <c r="D3012">
        <v>3986.61</v>
      </c>
      <c r="E3012" s="1">
        <v>41444</v>
      </c>
      <c r="F3012">
        <v>8197.08</v>
      </c>
      <c r="G3012" s="1">
        <v>41431</v>
      </c>
      <c r="H3012">
        <v>7467.9168300000001</v>
      </c>
      <c r="I3012" s="1">
        <v>41481</v>
      </c>
      <c r="J3012">
        <v>8353.6</v>
      </c>
      <c r="K3012" s="1">
        <v>41450</v>
      </c>
      <c r="L3012">
        <v>15056.57</v>
      </c>
    </row>
    <row r="3013" spans="1:12" x14ac:dyDescent="0.35">
      <c r="A3013" s="1">
        <v>41494</v>
      </c>
      <c r="B3013">
        <v>2816.88</v>
      </c>
      <c r="C3013" s="1">
        <v>41484</v>
      </c>
      <c r="D3013">
        <v>3968.91</v>
      </c>
      <c r="E3013" s="1">
        <v>41443</v>
      </c>
      <c r="F3013">
        <v>8229.51</v>
      </c>
      <c r="G3013" s="1">
        <v>41430</v>
      </c>
      <c r="H3013">
        <v>7553.1968299999999</v>
      </c>
      <c r="I3013" s="1">
        <v>41480</v>
      </c>
      <c r="J3013">
        <v>8282.1</v>
      </c>
      <c r="K3013" s="1">
        <v>41449</v>
      </c>
      <c r="L3013">
        <v>15112.38</v>
      </c>
    </row>
    <row r="3014" spans="1:12" x14ac:dyDescent="0.35">
      <c r="A3014" s="1">
        <v>41493</v>
      </c>
      <c r="B3014">
        <v>2794.44</v>
      </c>
      <c r="C3014" s="1">
        <v>41481</v>
      </c>
      <c r="D3014">
        <v>3968.84</v>
      </c>
      <c r="E3014" s="1">
        <v>41442</v>
      </c>
      <c r="F3014">
        <v>8215.73</v>
      </c>
      <c r="G3014" s="1">
        <v>41429</v>
      </c>
      <c r="H3014">
        <v>7674.5070100000003</v>
      </c>
      <c r="I3014" s="1">
        <v>41479</v>
      </c>
      <c r="J3014">
        <v>8192.5</v>
      </c>
      <c r="K3014" s="1">
        <v>41446</v>
      </c>
      <c r="L3014">
        <v>15254.82</v>
      </c>
    </row>
    <row r="3015" spans="1:12" x14ac:dyDescent="0.35">
      <c r="A3015" s="1">
        <v>41492</v>
      </c>
      <c r="B3015">
        <v>2790.78</v>
      </c>
      <c r="C3015" s="1">
        <v>41480</v>
      </c>
      <c r="D3015">
        <v>3956.02</v>
      </c>
      <c r="E3015" s="1">
        <v>41439</v>
      </c>
      <c r="F3015">
        <v>8127.96</v>
      </c>
      <c r="G3015" s="1">
        <v>41428</v>
      </c>
      <c r="H3015">
        <v>7647.7159300000003</v>
      </c>
      <c r="I3015" s="1">
        <v>41478</v>
      </c>
      <c r="J3015">
        <v>8073.7</v>
      </c>
      <c r="K3015" s="1">
        <v>41445</v>
      </c>
      <c r="L3015">
        <v>15549.23</v>
      </c>
    </row>
    <row r="3016" spans="1:12" x14ac:dyDescent="0.35">
      <c r="A3016" s="1">
        <v>41491</v>
      </c>
      <c r="B3016">
        <v>2809.08</v>
      </c>
      <c r="C3016" s="1">
        <v>41479</v>
      </c>
      <c r="D3016">
        <v>3962.75</v>
      </c>
      <c r="E3016" s="1">
        <v>41438</v>
      </c>
      <c r="F3016">
        <v>8095.39</v>
      </c>
      <c r="G3016" s="1">
        <v>41425</v>
      </c>
      <c r="H3016">
        <v>7701.1647300000004</v>
      </c>
      <c r="I3016" s="1">
        <v>41477</v>
      </c>
      <c r="J3016">
        <v>7966</v>
      </c>
      <c r="K3016" s="1">
        <v>41444</v>
      </c>
      <c r="L3016">
        <v>16045.52</v>
      </c>
    </row>
    <row r="3017" spans="1:12" x14ac:dyDescent="0.35">
      <c r="A3017" s="1">
        <v>41488</v>
      </c>
      <c r="B3017">
        <v>2811</v>
      </c>
      <c r="C3017" s="1">
        <v>41478</v>
      </c>
      <c r="D3017">
        <v>3923.09</v>
      </c>
      <c r="E3017" s="1">
        <v>41437</v>
      </c>
      <c r="F3017">
        <v>8143.27</v>
      </c>
      <c r="G3017" s="1">
        <v>41424</v>
      </c>
      <c r="H3017">
        <v>7759.1744600000002</v>
      </c>
      <c r="I3017" s="1">
        <v>41474</v>
      </c>
      <c r="J3017">
        <v>7943.2</v>
      </c>
      <c r="K3017" s="1">
        <v>41443</v>
      </c>
      <c r="L3017">
        <v>16197.94</v>
      </c>
    </row>
    <row r="3018" spans="1:12" x14ac:dyDescent="0.35">
      <c r="A3018" s="1">
        <v>41487</v>
      </c>
      <c r="B3018">
        <v>2808.64</v>
      </c>
      <c r="C3018" s="1">
        <v>41477</v>
      </c>
      <c r="D3018">
        <v>3939.92</v>
      </c>
      <c r="E3018" s="1">
        <v>41436</v>
      </c>
      <c r="F3018">
        <v>8222.4599999999991</v>
      </c>
      <c r="G3018" s="1">
        <v>41423</v>
      </c>
      <c r="H3018">
        <v>7741.9444199999998</v>
      </c>
      <c r="I3018" s="1">
        <v>41473</v>
      </c>
      <c r="J3018">
        <v>7957.3</v>
      </c>
      <c r="K3018" s="1">
        <v>41442</v>
      </c>
      <c r="L3018">
        <v>16194.14</v>
      </c>
    </row>
    <row r="3019" spans="1:12" x14ac:dyDescent="0.35">
      <c r="A3019" s="1">
        <v>41486</v>
      </c>
      <c r="B3019">
        <v>2768.15</v>
      </c>
      <c r="C3019" s="1">
        <v>41474</v>
      </c>
      <c r="D3019">
        <v>3925.32</v>
      </c>
      <c r="E3019" s="1">
        <v>41435</v>
      </c>
      <c r="F3019">
        <v>8307.69</v>
      </c>
      <c r="G3019" s="1">
        <v>41422</v>
      </c>
      <c r="H3019">
        <v>7910.9998100000003</v>
      </c>
      <c r="I3019" s="1">
        <v>41472</v>
      </c>
      <c r="J3019">
        <v>7812.7</v>
      </c>
      <c r="K3019" s="1">
        <v>41439</v>
      </c>
      <c r="L3019">
        <v>16152.91</v>
      </c>
    </row>
    <row r="3020" spans="1:12" x14ac:dyDescent="0.35">
      <c r="A3020" s="1">
        <v>41485</v>
      </c>
      <c r="B3020">
        <v>2759.21</v>
      </c>
      <c r="C3020" s="1">
        <v>41473</v>
      </c>
      <c r="D3020">
        <v>3927.79</v>
      </c>
      <c r="E3020" s="1">
        <v>41432</v>
      </c>
      <c r="F3020">
        <v>8254.68</v>
      </c>
      <c r="G3020" s="1">
        <v>41418</v>
      </c>
      <c r="H3020">
        <v>7785.4593299999997</v>
      </c>
      <c r="I3020" s="1">
        <v>41471</v>
      </c>
      <c r="J3020">
        <v>7798.2</v>
      </c>
      <c r="K3020" s="1">
        <v>41438</v>
      </c>
      <c r="L3020">
        <v>16116.34</v>
      </c>
    </row>
    <row r="3021" spans="1:12" x14ac:dyDescent="0.35">
      <c r="A3021" s="1">
        <v>41484</v>
      </c>
      <c r="B3021">
        <v>2741.73</v>
      </c>
      <c r="C3021" s="1">
        <v>41472</v>
      </c>
      <c r="D3021">
        <v>3872.02</v>
      </c>
      <c r="E3021" s="1">
        <v>41431</v>
      </c>
      <c r="F3021">
        <v>8098.81</v>
      </c>
      <c r="G3021" s="1">
        <v>41417</v>
      </c>
      <c r="H3021">
        <v>7827.6791499999999</v>
      </c>
      <c r="I3021" s="1">
        <v>41470</v>
      </c>
      <c r="J3021">
        <v>7855.1</v>
      </c>
      <c r="K3021" s="1">
        <v>41437</v>
      </c>
      <c r="L3021">
        <v>16024.03</v>
      </c>
    </row>
    <row r="3022" spans="1:12" x14ac:dyDescent="0.35">
      <c r="A3022" s="1">
        <v>41481</v>
      </c>
      <c r="B3022">
        <v>2741.96</v>
      </c>
      <c r="C3022" s="1">
        <v>41471</v>
      </c>
      <c r="D3022">
        <v>3851.03</v>
      </c>
      <c r="E3022" s="1">
        <v>41430</v>
      </c>
      <c r="F3022">
        <v>8196.18</v>
      </c>
      <c r="G3022" s="1">
        <v>41416</v>
      </c>
      <c r="H3022">
        <v>8004.5034100000003</v>
      </c>
      <c r="I3022" s="1">
        <v>41467</v>
      </c>
      <c r="J3022">
        <v>7844.7</v>
      </c>
      <c r="K3022" s="1">
        <v>41436</v>
      </c>
      <c r="L3022">
        <v>16286.6</v>
      </c>
    </row>
    <row r="3023" spans="1:12" x14ac:dyDescent="0.35">
      <c r="A3023" s="1">
        <v>41480</v>
      </c>
      <c r="B3023">
        <v>2740.29</v>
      </c>
      <c r="C3023" s="1">
        <v>41470</v>
      </c>
      <c r="D3023">
        <v>3878.58</v>
      </c>
      <c r="E3023" s="1">
        <v>41429</v>
      </c>
      <c r="F3023">
        <v>8295.9599999999991</v>
      </c>
      <c r="G3023" s="1">
        <v>41415</v>
      </c>
      <c r="H3023">
        <v>7993.5198700000001</v>
      </c>
      <c r="I3023" s="1">
        <v>41466</v>
      </c>
      <c r="J3023">
        <v>8030.7</v>
      </c>
      <c r="K3023" s="1">
        <v>41435</v>
      </c>
      <c r="L3023">
        <v>16556.34</v>
      </c>
    </row>
    <row r="3024" spans="1:12" x14ac:dyDescent="0.35">
      <c r="A3024" s="1">
        <v>41479</v>
      </c>
      <c r="B3024">
        <v>2752.25</v>
      </c>
      <c r="C3024" s="1">
        <v>41467</v>
      </c>
      <c r="D3024">
        <v>3855.09</v>
      </c>
      <c r="E3024" s="1">
        <v>41428</v>
      </c>
      <c r="F3024">
        <v>8285.7999999999993</v>
      </c>
      <c r="G3024" s="1">
        <v>41414</v>
      </c>
      <c r="H3024">
        <v>7997.18822</v>
      </c>
      <c r="I3024" s="1">
        <v>41465</v>
      </c>
      <c r="J3024">
        <v>7995</v>
      </c>
      <c r="K3024" s="1">
        <v>41432</v>
      </c>
      <c r="L3024">
        <v>16691.060000000001</v>
      </c>
    </row>
    <row r="3025" spans="1:12" x14ac:dyDescent="0.35">
      <c r="A3025" s="1">
        <v>41478</v>
      </c>
      <c r="B3025">
        <v>2722.9</v>
      </c>
      <c r="C3025" s="1">
        <v>41466</v>
      </c>
      <c r="D3025">
        <v>3868.98</v>
      </c>
      <c r="E3025" s="1">
        <v>41425</v>
      </c>
      <c r="F3025">
        <v>8348.84</v>
      </c>
      <c r="G3025" s="1">
        <v>41411</v>
      </c>
      <c r="H3025">
        <v>7955.7258199999997</v>
      </c>
      <c r="I3025" s="1">
        <v>41464</v>
      </c>
      <c r="J3025">
        <v>8014.8</v>
      </c>
      <c r="K3025" s="1">
        <v>41431</v>
      </c>
      <c r="L3025">
        <v>16525.07</v>
      </c>
    </row>
    <row r="3026" spans="1:12" x14ac:dyDescent="0.35">
      <c r="A3026" s="1">
        <v>41477</v>
      </c>
      <c r="B3026">
        <v>2725.4</v>
      </c>
      <c r="C3026" s="1">
        <v>41465</v>
      </c>
      <c r="D3026">
        <v>3840.53</v>
      </c>
      <c r="E3026" s="1">
        <v>41424</v>
      </c>
      <c r="F3026">
        <v>8400.2000000000007</v>
      </c>
      <c r="G3026" s="1">
        <v>41410</v>
      </c>
      <c r="H3026">
        <v>7935.3458799999999</v>
      </c>
      <c r="I3026" s="1">
        <v>41463</v>
      </c>
      <c r="J3026">
        <v>8017.6</v>
      </c>
      <c r="K3026" s="1">
        <v>41430</v>
      </c>
      <c r="L3026">
        <v>16971.169999999998</v>
      </c>
    </row>
    <row r="3027" spans="1:12" x14ac:dyDescent="0.35">
      <c r="A3027" s="1">
        <v>41474</v>
      </c>
      <c r="B3027">
        <v>2716.17</v>
      </c>
      <c r="C3027" s="1">
        <v>41464</v>
      </c>
      <c r="D3027">
        <v>3843.56</v>
      </c>
      <c r="E3027" s="1">
        <v>41423</v>
      </c>
      <c r="F3027">
        <v>8336.58</v>
      </c>
      <c r="G3027" s="1">
        <v>41409</v>
      </c>
      <c r="H3027">
        <v>7914.5334599999996</v>
      </c>
      <c r="I3027" s="1">
        <v>41460</v>
      </c>
      <c r="J3027">
        <v>7868.4</v>
      </c>
      <c r="K3027" s="1">
        <v>41429</v>
      </c>
      <c r="L3027">
        <v>17135.48</v>
      </c>
    </row>
    <row r="3028" spans="1:12" x14ac:dyDescent="0.35">
      <c r="A3028" s="1">
        <v>41473</v>
      </c>
      <c r="B3028">
        <v>2717.99</v>
      </c>
      <c r="C3028" s="1">
        <v>41463</v>
      </c>
      <c r="D3028">
        <v>3823.83</v>
      </c>
      <c r="E3028" s="1">
        <v>41422</v>
      </c>
      <c r="F3028">
        <v>8480.8700000000008</v>
      </c>
      <c r="G3028" s="1">
        <v>41408</v>
      </c>
      <c r="H3028">
        <v>7865.9529400000001</v>
      </c>
      <c r="I3028" s="1">
        <v>41459</v>
      </c>
      <c r="J3028">
        <v>8002</v>
      </c>
      <c r="K3028" s="1">
        <v>41428</v>
      </c>
      <c r="L3028">
        <v>17058.05</v>
      </c>
    </row>
    <row r="3029" spans="1:12" x14ac:dyDescent="0.35">
      <c r="A3029" s="1">
        <v>41472</v>
      </c>
      <c r="B3029">
        <v>2681.88</v>
      </c>
      <c r="C3029" s="1">
        <v>41460</v>
      </c>
      <c r="D3029">
        <v>3753.85</v>
      </c>
      <c r="E3029" s="1">
        <v>41421</v>
      </c>
      <c r="F3029">
        <v>8383.2999999999993</v>
      </c>
      <c r="G3029" s="1">
        <v>41407</v>
      </c>
      <c r="H3029">
        <v>7814.90769</v>
      </c>
      <c r="I3029" s="1">
        <v>41458</v>
      </c>
      <c r="J3029">
        <v>7763.8</v>
      </c>
      <c r="K3029" s="1">
        <v>41425</v>
      </c>
      <c r="L3029">
        <v>17214.080000000002</v>
      </c>
    </row>
    <row r="3030" spans="1:12" x14ac:dyDescent="0.35">
      <c r="A3030" s="1">
        <v>41471</v>
      </c>
      <c r="B3030">
        <v>2665.61</v>
      </c>
      <c r="C3030" s="1">
        <v>41459</v>
      </c>
      <c r="D3030">
        <v>3809.31</v>
      </c>
      <c r="E3030" s="1">
        <v>41418</v>
      </c>
      <c r="F3030">
        <v>8305.32</v>
      </c>
      <c r="G3030" s="1">
        <v>41404</v>
      </c>
      <c r="H3030">
        <v>7837.7384000000002</v>
      </c>
      <c r="I3030" s="1">
        <v>41457</v>
      </c>
      <c r="J3030">
        <v>7886.6</v>
      </c>
      <c r="K3030" s="1">
        <v>41424</v>
      </c>
      <c r="L3030">
        <v>17350.96</v>
      </c>
    </row>
    <row r="3031" spans="1:12" x14ac:dyDescent="0.35">
      <c r="A3031" s="1">
        <v>41470</v>
      </c>
      <c r="B3031">
        <v>2686.69</v>
      </c>
      <c r="C3031" s="1">
        <v>41458</v>
      </c>
      <c r="D3031">
        <v>3702.01</v>
      </c>
      <c r="E3031" s="1">
        <v>41417</v>
      </c>
      <c r="F3031">
        <v>8351.98</v>
      </c>
      <c r="G3031" s="1">
        <v>41403</v>
      </c>
      <c r="H3031">
        <v>7794.4368100000002</v>
      </c>
      <c r="I3031" s="1">
        <v>41456</v>
      </c>
      <c r="J3031">
        <v>7907.1</v>
      </c>
      <c r="K3031" s="1">
        <v>41423</v>
      </c>
      <c r="L3031">
        <v>17237.099999999999</v>
      </c>
    </row>
    <row r="3032" spans="1:12" x14ac:dyDescent="0.35">
      <c r="A3032" s="1">
        <v>41467</v>
      </c>
      <c r="B3032">
        <v>2674.87</v>
      </c>
      <c r="C3032" s="1">
        <v>41457</v>
      </c>
      <c r="D3032">
        <v>3742.57</v>
      </c>
      <c r="E3032" s="1">
        <v>41416</v>
      </c>
      <c r="F3032">
        <v>8530.89</v>
      </c>
      <c r="G3032" s="1">
        <v>41402</v>
      </c>
      <c r="H3032">
        <v>7777.6136100000003</v>
      </c>
      <c r="I3032" s="1">
        <v>41453</v>
      </c>
      <c r="J3032">
        <v>7762.7</v>
      </c>
      <c r="K3032" s="1">
        <v>41422</v>
      </c>
      <c r="L3032">
        <v>17519.79</v>
      </c>
    </row>
    <row r="3033" spans="1:12" x14ac:dyDescent="0.35">
      <c r="A3033" s="1">
        <v>41466</v>
      </c>
      <c r="B3033">
        <v>2681.32</v>
      </c>
      <c r="C3033" s="1">
        <v>41456</v>
      </c>
      <c r="D3033">
        <v>3767.48</v>
      </c>
      <c r="E3033" s="1">
        <v>41415</v>
      </c>
      <c r="F3033">
        <v>8472.2000000000007</v>
      </c>
      <c r="G3033" s="1">
        <v>41401</v>
      </c>
      <c r="H3033">
        <v>7760.1064800000004</v>
      </c>
      <c r="I3033" s="1">
        <v>41452</v>
      </c>
      <c r="J3033">
        <v>7844.4</v>
      </c>
      <c r="K3033" s="1">
        <v>41421</v>
      </c>
      <c r="L3033">
        <v>17159.150000000001</v>
      </c>
    </row>
    <row r="3034" spans="1:12" x14ac:dyDescent="0.35">
      <c r="A3034" s="1">
        <v>41465</v>
      </c>
      <c r="B3034">
        <v>2659.71</v>
      </c>
      <c r="C3034" s="1">
        <v>41453</v>
      </c>
      <c r="D3034">
        <v>3738.91</v>
      </c>
      <c r="E3034" s="1">
        <v>41414</v>
      </c>
      <c r="F3034">
        <v>8455.83</v>
      </c>
      <c r="G3034" s="1">
        <v>41397</v>
      </c>
      <c r="H3034">
        <v>7742.9587600000004</v>
      </c>
      <c r="I3034" s="1">
        <v>41451</v>
      </c>
      <c r="J3034">
        <v>7823</v>
      </c>
      <c r="K3034" s="1">
        <v>41418</v>
      </c>
      <c r="L3034">
        <v>16896.810000000001</v>
      </c>
    </row>
    <row r="3035" spans="1:12" x14ac:dyDescent="0.35">
      <c r="A3035" s="1">
        <v>41464</v>
      </c>
      <c r="B3035">
        <v>2664.14</v>
      </c>
      <c r="C3035" s="1">
        <v>41452</v>
      </c>
      <c r="D3035">
        <v>3762.19</v>
      </c>
      <c r="E3035" s="1">
        <v>41411</v>
      </c>
      <c r="F3035">
        <v>8398</v>
      </c>
      <c r="G3035" s="1">
        <v>41396</v>
      </c>
      <c r="H3035">
        <v>7676.8203800000001</v>
      </c>
      <c r="I3035" s="1">
        <v>41450</v>
      </c>
      <c r="J3035">
        <v>7607.7</v>
      </c>
      <c r="K3035" s="1">
        <v>41417</v>
      </c>
      <c r="L3035">
        <v>17008.419999999998</v>
      </c>
    </row>
    <row r="3036" spans="1:12" x14ac:dyDescent="0.35">
      <c r="A3036" s="1">
        <v>41463</v>
      </c>
      <c r="B3036">
        <v>2650.85</v>
      </c>
      <c r="C3036" s="1">
        <v>41451</v>
      </c>
      <c r="D3036">
        <v>3726.04</v>
      </c>
      <c r="E3036" s="1">
        <v>41410</v>
      </c>
      <c r="F3036">
        <v>8369.8700000000008</v>
      </c>
      <c r="G3036" s="1">
        <v>41395</v>
      </c>
      <c r="H3036">
        <v>7617.8045300000003</v>
      </c>
      <c r="I3036" s="1">
        <v>41449</v>
      </c>
      <c r="J3036">
        <v>7553.2</v>
      </c>
      <c r="K3036" s="1">
        <v>41416</v>
      </c>
      <c r="L3036">
        <v>17545.46</v>
      </c>
    </row>
    <row r="3037" spans="1:12" x14ac:dyDescent="0.35">
      <c r="A3037" s="1">
        <v>41460</v>
      </c>
      <c r="B3037">
        <v>2596.0100000000002</v>
      </c>
      <c r="C3037" s="1">
        <v>41450</v>
      </c>
      <c r="D3037">
        <v>3649.82</v>
      </c>
      <c r="E3037" s="1">
        <v>41409</v>
      </c>
      <c r="F3037">
        <v>8362.42</v>
      </c>
      <c r="G3037" s="1">
        <v>41394</v>
      </c>
      <c r="H3037">
        <v>7594.1681699999999</v>
      </c>
      <c r="I3037" s="1">
        <v>41446</v>
      </c>
      <c r="J3037">
        <v>7700.2</v>
      </c>
      <c r="K3037" s="1">
        <v>41415</v>
      </c>
      <c r="L3037">
        <v>17427.47</v>
      </c>
    </row>
    <row r="3038" spans="1:12" x14ac:dyDescent="0.35">
      <c r="A3038" s="1">
        <v>41459</v>
      </c>
      <c r="B3038">
        <v>2646.54</v>
      </c>
      <c r="C3038" s="1">
        <v>41449</v>
      </c>
      <c r="D3038">
        <v>3595.63</v>
      </c>
      <c r="E3038" s="1">
        <v>41408</v>
      </c>
      <c r="F3038">
        <v>8339.11</v>
      </c>
      <c r="G3038" s="1">
        <v>41393</v>
      </c>
      <c r="H3038">
        <v>7647.4604399999998</v>
      </c>
      <c r="I3038" s="1">
        <v>41445</v>
      </c>
      <c r="J3038">
        <v>7822.1</v>
      </c>
      <c r="K3038" s="1">
        <v>41414</v>
      </c>
      <c r="L3038">
        <v>17506.87</v>
      </c>
    </row>
    <row r="3039" spans="1:12" x14ac:dyDescent="0.35">
      <c r="A3039" s="1">
        <v>41458</v>
      </c>
      <c r="B3039">
        <v>2570.7600000000002</v>
      </c>
      <c r="C3039" s="1">
        <v>41446</v>
      </c>
      <c r="D3039">
        <v>3658.04</v>
      </c>
      <c r="E3039" s="1">
        <v>41407</v>
      </c>
      <c r="F3039">
        <v>8279.2900000000009</v>
      </c>
      <c r="G3039" s="1">
        <v>41390</v>
      </c>
      <c r="H3039">
        <v>7639.2407999999996</v>
      </c>
      <c r="I3039" s="1">
        <v>41444</v>
      </c>
      <c r="J3039">
        <v>8098.3</v>
      </c>
      <c r="K3039" s="1">
        <v>41411</v>
      </c>
      <c r="L3039">
        <v>17604.61</v>
      </c>
    </row>
    <row r="3040" spans="1:12" x14ac:dyDescent="0.35">
      <c r="A3040" s="1">
        <v>41457</v>
      </c>
      <c r="B3040">
        <v>2603.1999999999998</v>
      </c>
      <c r="C3040" s="1">
        <v>41445</v>
      </c>
      <c r="D3040">
        <v>3698.93</v>
      </c>
      <c r="E3040" s="1">
        <v>41404</v>
      </c>
      <c r="F3040">
        <v>8278.59</v>
      </c>
      <c r="G3040" s="1">
        <v>41389</v>
      </c>
      <c r="H3040">
        <v>7642.2481100000005</v>
      </c>
      <c r="I3040" s="1">
        <v>41443</v>
      </c>
      <c r="J3040">
        <v>8180.2</v>
      </c>
      <c r="K3040" s="1">
        <v>41410</v>
      </c>
      <c r="L3040">
        <v>17544.009999999998</v>
      </c>
    </row>
    <row r="3041" spans="1:12" x14ac:dyDescent="0.35">
      <c r="A3041" s="1">
        <v>41456</v>
      </c>
      <c r="B3041">
        <v>2622.62</v>
      </c>
      <c r="C3041" s="1">
        <v>41444</v>
      </c>
      <c r="D3041">
        <v>3839.34</v>
      </c>
      <c r="E3041" s="1">
        <v>41403</v>
      </c>
      <c r="F3041">
        <v>8262.5499999999993</v>
      </c>
      <c r="G3041" s="1">
        <v>41388</v>
      </c>
      <c r="H3041">
        <v>7546.9083000000001</v>
      </c>
      <c r="I3041" s="1">
        <v>41442</v>
      </c>
      <c r="J3041">
        <v>8136.3</v>
      </c>
      <c r="K3041" s="1">
        <v>41409</v>
      </c>
      <c r="L3041">
        <v>17492.97</v>
      </c>
    </row>
    <row r="3042" spans="1:12" x14ac:dyDescent="0.35">
      <c r="A3042" s="1">
        <v>41453</v>
      </c>
      <c r="B3042">
        <v>2602.59</v>
      </c>
      <c r="C3042" s="1">
        <v>41443</v>
      </c>
      <c r="D3042">
        <v>3860.55</v>
      </c>
      <c r="E3042" s="1">
        <v>41402</v>
      </c>
      <c r="F3042">
        <v>8249.7099999999991</v>
      </c>
      <c r="G3042" s="1">
        <v>41387</v>
      </c>
      <c r="H3042">
        <v>7517.38069</v>
      </c>
      <c r="I3042" s="1">
        <v>41439</v>
      </c>
      <c r="J3042">
        <v>8070.9</v>
      </c>
      <c r="K3042" s="1">
        <v>41408</v>
      </c>
      <c r="L3042">
        <v>17315.25</v>
      </c>
    </row>
    <row r="3043" spans="1:12" x14ac:dyDescent="0.35">
      <c r="A3043" s="1">
        <v>41452</v>
      </c>
      <c r="B3043">
        <v>2619.86</v>
      </c>
      <c r="C3043" s="1">
        <v>41442</v>
      </c>
      <c r="D3043">
        <v>3863.66</v>
      </c>
      <c r="E3043" s="1">
        <v>41401</v>
      </c>
      <c r="F3043">
        <v>8181.78</v>
      </c>
      <c r="G3043" s="1">
        <v>41386</v>
      </c>
      <c r="H3043">
        <v>7350.1737700000003</v>
      </c>
      <c r="I3043" s="1">
        <v>41438</v>
      </c>
      <c r="J3043">
        <v>8071.7</v>
      </c>
      <c r="K3043" s="1">
        <v>41407</v>
      </c>
      <c r="L3043">
        <v>17171.52</v>
      </c>
    </row>
    <row r="3044" spans="1:12" x14ac:dyDescent="0.35">
      <c r="A3044" s="1">
        <v>41451</v>
      </c>
      <c r="B3044">
        <v>2602.81</v>
      </c>
      <c r="C3044" s="1">
        <v>41439</v>
      </c>
      <c r="D3044">
        <v>3805.16</v>
      </c>
      <c r="E3044" s="1">
        <v>41400</v>
      </c>
      <c r="F3044">
        <v>8112.08</v>
      </c>
      <c r="G3044" s="1">
        <v>41383</v>
      </c>
      <c r="H3044">
        <v>7328.5821900000001</v>
      </c>
      <c r="I3044" s="1">
        <v>41437</v>
      </c>
      <c r="J3044">
        <v>8123.8</v>
      </c>
      <c r="K3044" s="1">
        <v>41404</v>
      </c>
      <c r="L3044">
        <v>17284.03</v>
      </c>
    </row>
    <row r="3045" spans="1:12" x14ac:dyDescent="0.35">
      <c r="A3045" s="1">
        <v>41450</v>
      </c>
      <c r="B3045">
        <v>2543.37</v>
      </c>
      <c r="C3045" s="1">
        <v>41438</v>
      </c>
      <c r="D3045">
        <v>3797.98</v>
      </c>
      <c r="E3045" s="1">
        <v>41397</v>
      </c>
      <c r="F3045">
        <v>8122.29</v>
      </c>
      <c r="G3045" s="1">
        <v>41382</v>
      </c>
      <c r="H3045">
        <v>7302.8981100000001</v>
      </c>
      <c r="I3045" s="1">
        <v>41436</v>
      </c>
      <c r="J3045">
        <v>8089.3</v>
      </c>
      <c r="K3045" s="1">
        <v>41403</v>
      </c>
      <c r="L3045">
        <v>17090.62</v>
      </c>
    </row>
    <row r="3046" spans="1:12" x14ac:dyDescent="0.35">
      <c r="A3046" s="1">
        <v>41449</v>
      </c>
      <c r="B3046">
        <v>2511.83</v>
      </c>
      <c r="C3046" s="1">
        <v>41437</v>
      </c>
      <c r="D3046">
        <v>3793.7</v>
      </c>
      <c r="E3046" s="1">
        <v>41396</v>
      </c>
      <c r="F3046">
        <v>7961.71</v>
      </c>
      <c r="G3046" s="1">
        <v>41381</v>
      </c>
      <c r="H3046">
        <v>7308.4822599999998</v>
      </c>
      <c r="I3046" s="1">
        <v>41435</v>
      </c>
      <c r="J3046">
        <v>8227.4</v>
      </c>
      <c r="K3046" s="1">
        <v>41402</v>
      </c>
      <c r="L3046">
        <v>17255.57</v>
      </c>
    </row>
    <row r="3047" spans="1:12" x14ac:dyDescent="0.35">
      <c r="A3047" s="1">
        <v>41446</v>
      </c>
      <c r="B3047">
        <v>2549.48</v>
      </c>
      <c r="C3047" s="1">
        <v>41436</v>
      </c>
      <c r="D3047">
        <v>3810.56</v>
      </c>
      <c r="E3047" s="1">
        <v>41394</v>
      </c>
      <c r="F3047">
        <v>7913.71</v>
      </c>
      <c r="G3047" s="1">
        <v>41380</v>
      </c>
      <c r="H3047">
        <v>7346.8887299999997</v>
      </c>
      <c r="I3047" s="1">
        <v>41432</v>
      </c>
      <c r="J3047">
        <v>8266.6</v>
      </c>
      <c r="K3047" s="1">
        <v>41401</v>
      </c>
      <c r="L3047">
        <v>17121.87</v>
      </c>
    </row>
    <row r="3048" spans="1:12" x14ac:dyDescent="0.35">
      <c r="A3048" s="1">
        <v>41445</v>
      </c>
      <c r="B3048">
        <v>2586.4499999999998</v>
      </c>
      <c r="C3048" s="1">
        <v>41435</v>
      </c>
      <c r="D3048">
        <v>3864.36</v>
      </c>
      <c r="E3048" s="1">
        <v>41393</v>
      </c>
      <c r="F3048">
        <v>7873.5</v>
      </c>
      <c r="G3048" s="1">
        <v>41379</v>
      </c>
      <c r="H3048">
        <v>7430.2284399999999</v>
      </c>
      <c r="I3048" s="1">
        <v>41431</v>
      </c>
      <c r="J3048">
        <v>8216.7000000000007</v>
      </c>
      <c r="K3048" s="1">
        <v>41400</v>
      </c>
      <c r="L3048">
        <v>16862.990000000002</v>
      </c>
    </row>
    <row r="3049" spans="1:12" x14ac:dyDescent="0.35">
      <c r="A3049" s="1">
        <v>41444</v>
      </c>
      <c r="B3049">
        <v>2683.98</v>
      </c>
      <c r="C3049" s="1">
        <v>41432</v>
      </c>
      <c r="D3049">
        <v>3872.59</v>
      </c>
      <c r="E3049" s="1">
        <v>41390</v>
      </c>
      <c r="F3049">
        <v>7814.76</v>
      </c>
      <c r="G3049" s="1">
        <v>41376</v>
      </c>
      <c r="H3049">
        <v>7487.7022999999999</v>
      </c>
      <c r="I3049" s="1">
        <v>41430</v>
      </c>
      <c r="J3049">
        <v>8290.7000000000007</v>
      </c>
      <c r="K3049" s="1">
        <v>41397</v>
      </c>
      <c r="L3049">
        <v>16922.29</v>
      </c>
    </row>
    <row r="3050" spans="1:12" x14ac:dyDescent="0.35">
      <c r="A3050" s="1">
        <v>41443</v>
      </c>
      <c r="B3050">
        <v>2700.93</v>
      </c>
      <c r="C3050" s="1">
        <v>41431</v>
      </c>
      <c r="D3050">
        <v>3814.28</v>
      </c>
      <c r="E3050" s="1">
        <v>41389</v>
      </c>
      <c r="F3050">
        <v>7832.86</v>
      </c>
      <c r="G3050" s="1">
        <v>41375</v>
      </c>
      <c r="H3050">
        <v>7528.8445599999995</v>
      </c>
      <c r="I3050" s="1">
        <v>41429</v>
      </c>
      <c r="J3050">
        <v>8363</v>
      </c>
      <c r="K3050" s="1">
        <v>41396</v>
      </c>
      <c r="L3050">
        <v>16748.28</v>
      </c>
    </row>
    <row r="3051" spans="1:12" x14ac:dyDescent="0.35">
      <c r="A3051" s="1">
        <v>41442</v>
      </c>
      <c r="B3051">
        <v>2702.69</v>
      </c>
      <c r="C3051" s="1">
        <v>41430</v>
      </c>
      <c r="D3051">
        <v>3852.44</v>
      </c>
      <c r="E3051" s="1">
        <v>41388</v>
      </c>
      <c r="F3051">
        <v>7759.03</v>
      </c>
      <c r="G3051" s="1">
        <v>41374</v>
      </c>
      <c r="H3051">
        <v>7488.6069699999998</v>
      </c>
      <c r="I3051" s="1">
        <v>41428</v>
      </c>
      <c r="J3051">
        <v>8284.4</v>
      </c>
      <c r="K3051" s="1">
        <v>41394</v>
      </c>
      <c r="L3051">
        <v>16767.66</v>
      </c>
    </row>
    <row r="3052" spans="1:12" x14ac:dyDescent="0.35">
      <c r="A3052" s="1">
        <v>41439</v>
      </c>
      <c r="B3052">
        <v>2667.32</v>
      </c>
      <c r="C3052" s="1">
        <v>41429</v>
      </c>
      <c r="D3052">
        <v>3925.83</v>
      </c>
      <c r="E3052" s="1">
        <v>41387</v>
      </c>
      <c r="F3052">
        <v>7658.21</v>
      </c>
      <c r="G3052" s="1">
        <v>41373</v>
      </c>
      <c r="H3052">
        <v>7394.6886400000003</v>
      </c>
      <c r="I3052" s="1">
        <v>41425</v>
      </c>
      <c r="J3052">
        <v>8320.6</v>
      </c>
      <c r="K3052" s="1">
        <v>41393</v>
      </c>
      <c r="L3052">
        <v>16929.68</v>
      </c>
    </row>
    <row r="3053" spans="1:12" x14ac:dyDescent="0.35">
      <c r="A3053" s="1">
        <v>41438</v>
      </c>
      <c r="B3053">
        <v>2661.71</v>
      </c>
      <c r="C3053" s="1">
        <v>41428</v>
      </c>
      <c r="D3053">
        <v>3920.67</v>
      </c>
      <c r="E3053" s="1">
        <v>41386</v>
      </c>
      <c r="F3053">
        <v>7478.11</v>
      </c>
      <c r="G3053" s="1">
        <v>41372</v>
      </c>
      <c r="H3053">
        <v>7364.0293899999997</v>
      </c>
      <c r="I3053" s="1">
        <v>41424</v>
      </c>
      <c r="J3053">
        <v>8433.5</v>
      </c>
      <c r="K3053" s="1">
        <v>41390</v>
      </c>
      <c r="L3053">
        <v>16565.25</v>
      </c>
    </row>
    <row r="3054" spans="1:12" x14ac:dyDescent="0.35">
      <c r="A3054" s="1">
        <v>41437</v>
      </c>
      <c r="B3054">
        <v>2666.52</v>
      </c>
      <c r="C3054" s="1">
        <v>41425</v>
      </c>
      <c r="D3054">
        <v>3948.59</v>
      </c>
      <c r="E3054" s="1">
        <v>41383</v>
      </c>
      <c r="F3054">
        <v>7459.96</v>
      </c>
      <c r="G3054" s="1">
        <v>41369</v>
      </c>
      <c r="H3054">
        <v>7361.3857600000001</v>
      </c>
      <c r="I3054" s="1">
        <v>41423</v>
      </c>
      <c r="J3054">
        <v>8441.7000000000007</v>
      </c>
      <c r="K3054" s="1">
        <v>41389</v>
      </c>
      <c r="L3054">
        <v>16649.75</v>
      </c>
    </row>
    <row r="3055" spans="1:12" x14ac:dyDescent="0.35">
      <c r="A3055" s="1">
        <v>41436</v>
      </c>
      <c r="B3055">
        <v>2683.2</v>
      </c>
      <c r="C3055" s="1">
        <v>41424</v>
      </c>
      <c r="D3055">
        <v>3996.31</v>
      </c>
      <c r="E3055" s="1">
        <v>41382</v>
      </c>
      <c r="F3055">
        <v>7473.73</v>
      </c>
      <c r="G3055" s="1">
        <v>41368</v>
      </c>
      <c r="H3055">
        <v>7487.1159200000002</v>
      </c>
      <c r="I3055" s="1">
        <v>41422</v>
      </c>
      <c r="J3055">
        <v>8511.2999999999993</v>
      </c>
      <c r="K3055" s="1">
        <v>41388</v>
      </c>
      <c r="L3055">
        <v>16563.43</v>
      </c>
    </row>
    <row r="3056" spans="1:12" x14ac:dyDescent="0.35">
      <c r="A3056" s="1">
        <v>41435</v>
      </c>
      <c r="B3056">
        <v>2719.4</v>
      </c>
      <c r="C3056" s="1">
        <v>41423</v>
      </c>
      <c r="D3056">
        <v>3974.12</v>
      </c>
      <c r="E3056" s="1">
        <v>41381</v>
      </c>
      <c r="F3056">
        <v>7503.03</v>
      </c>
      <c r="G3056" s="1">
        <v>41367</v>
      </c>
      <c r="H3056">
        <v>7572.3816299999999</v>
      </c>
      <c r="I3056" s="1">
        <v>41421</v>
      </c>
      <c r="J3056">
        <v>8363.6</v>
      </c>
      <c r="K3056" s="1">
        <v>41387</v>
      </c>
      <c r="L3056">
        <v>16490.77</v>
      </c>
    </row>
    <row r="3057" spans="1:12" x14ac:dyDescent="0.35">
      <c r="A3057" s="1">
        <v>41432</v>
      </c>
      <c r="B3057">
        <v>2724.08</v>
      </c>
      <c r="C3057" s="1">
        <v>41422</v>
      </c>
      <c r="D3057">
        <v>4050.56</v>
      </c>
      <c r="E3057" s="1">
        <v>41380</v>
      </c>
      <c r="F3057">
        <v>7682.58</v>
      </c>
      <c r="G3057" s="1">
        <v>41366</v>
      </c>
      <c r="H3057">
        <v>7649.0196400000004</v>
      </c>
      <c r="I3057" s="1">
        <v>41418</v>
      </c>
      <c r="J3057">
        <v>8264.6</v>
      </c>
      <c r="K3057" s="1">
        <v>41386</v>
      </c>
      <c r="L3057">
        <v>16021.71</v>
      </c>
    </row>
    <row r="3058" spans="1:12" x14ac:dyDescent="0.35">
      <c r="A3058" s="1">
        <v>41431</v>
      </c>
      <c r="B3058">
        <v>2676.21</v>
      </c>
      <c r="C3058" s="1">
        <v>41421</v>
      </c>
      <c r="D3058">
        <v>3995.16</v>
      </c>
      <c r="E3058" s="1">
        <v>41379</v>
      </c>
      <c r="F3058">
        <v>7712.63</v>
      </c>
      <c r="G3058" s="1">
        <v>41361</v>
      </c>
      <c r="H3058">
        <v>7595.3766100000003</v>
      </c>
      <c r="I3058" s="1">
        <v>41417</v>
      </c>
      <c r="J3058">
        <v>8343.6</v>
      </c>
      <c r="K3058" s="1">
        <v>41383</v>
      </c>
      <c r="L3058">
        <v>15760.78</v>
      </c>
    </row>
    <row r="3059" spans="1:12" x14ac:dyDescent="0.35">
      <c r="A3059" s="1">
        <v>41430</v>
      </c>
      <c r="B3059">
        <v>2709.33</v>
      </c>
      <c r="C3059" s="1">
        <v>41418</v>
      </c>
      <c r="D3059">
        <v>3956.79</v>
      </c>
      <c r="E3059" s="1">
        <v>41376</v>
      </c>
      <c r="F3059">
        <v>7744.77</v>
      </c>
      <c r="G3059" s="1">
        <v>41360</v>
      </c>
      <c r="H3059">
        <v>7560.3464199999999</v>
      </c>
      <c r="I3059" s="1">
        <v>41416</v>
      </c>
      <c r="J3059">
        <v>8462.4</v>
      </c>
      <c r="K3059" s="1">
        <v>41382</v>
      </c>
      <c r="L3059">
        <v>15480.56</v>
      </c>
    </row>
    <row r="3060" spans="1:12" x14ac:dyDescent="0.35">
      <c r="A3060" s="1">
        <v>41429</v>
      </c>
      <c r="B3060">
        <v>2755.7</v>
      </c>
      <c r="C3060" s="1">
        <v>41417</v>
      </c>
      <c r="D3060">
        <v>3967.15</v>
      </c>
      <c r="E3060" s="1">
        <v>41375</v>
      </c>
      <c r="F3060">
        <v>7871.63</v>
      </c>
      <c r="G3060" s="1">
        <v>41359</v>
      </c>
      <c r="H3060">
        <v>7538.94974</v>
      </c>
      <c r="I3060" s="1">
        <v>41415</v>
      </c>
      <c r="J3060">
        <v>8464.5</v>
      </c>
      <c r="K3060" s="1">
        <v>41381</v>
      </c>
      <c r="L3060">
        <v>15383.76</v>
      </c>
    </row>
    <row r="3061" spans="1:12" x14ac:dyDescent="0.35">
      <c r="A3061" s="1">
        <v>41428</v>
      </c>
      <c r="B3061">
        <v>2747.74</v>
      </c>
      <c r="C3061" s="1">
        <v>41416</v>
      </c>
      <c r="D3061">
        <v>4051.11</v>
      </c>
      <c r="E3061" s="1">
        <v>41374</v>
      </c>
      <c r="F3061">
        <v>7810.63</v>
      </c>
      <c r="G3061" s="1">
        <v>41358</v>
      </c>
      <c r="H3061">
        <v>7519.53449</v>
      </c>
      <c r="I3061" s="1">
        <v>41414</v>
      </c>
      <c r="J3061">
        <v>8515.2000000000007</v>
      </c>
      <c r="K3061" s="1">
        <v>41380</v>
      </c>
      <c r="L3061">
        <v>15533.04</v>
      </c>
    </row>
    <row r="3062" spans="1:12" x14ac:dyDescent="0.35">
      <c r="A3062" s="1">
        <v>41425</v>
      </c>
      <c r="B3062">
        <v>2769.64</v>
      </c>
      <c r="C3062" s="1">
        <v>41415</v>
      </c>
      <c r="D3062">
        <v>4036.18</v>
      </c>
      <c r="E3062" s="1">
        <v>41373</v>
      </c>
      <c r="F3062">
        <v>7637.51</v>
      </c>
      <c r="G3062" s="1">
        <v>41355</v>
      </c>
      <c r="H3062">
        <v>7501.4165400000002</v>
      </c>
      <c r="I3062" s="1">
        <v>41411</v>
      </c>
      <c r="J3062">
        <v>8582.4</v>
      </c>
      <c r="K3062" s="1">
        <v>41379</v>
      </c>
      <c r="L3062">
        <v>15628.95</v>
      </c>
    </row>
    <row r="3063" spans="1:12" x14ac:dyDescent="0.35">
      <c r="A3063" s="1">
        <v>41424</v>
      </c>
      <c r="B3063">
        <v>2799.2</v>
      </c>
      <c r="C3063" s="1">
        <v>41414</v>
      </c>
      <c r="D3063">
        <v>4022.85</v>
      </c>
      <c r="E3063" s="1">
        <v>41372</v>
      </c>
      <c r="F3063">
        <v>7662.64</v>
      </c>
      <c r="G3063" s="1">
        <v>41354</v>
      </c>
      <c r="H3063">
        <v>7506.1628300000002</v>
      </c>
      <c r="I3063" s="1">
        <v>41410</v>
      </c>
      <c r="J3063">
        <v>8542.2999999999993</v>
      </c>
      <c r="K3063" s="1">
        <v>41376</v>
      </c>
      <c r="L3063">
        <v>15780.08</v>
      </c>
    </row>
    <row r="3064" spans="1:12" x14ac:dyDescent="0.35">
      <c r="A3064" s="1">
        <v>41423</v>
      </c>
      <c r="B3064">
        <v>2786.54</v>
      </c>
      <c r="C3064" s="1">
        <v>41411</v>
      </c>
      <c r="D3064">
        <v>4001.27</v>
      </c>
      <c r="E3064" s="1">
        <v>41369</v>
      </c>
      <c r="F3064">
        <v>7658.75</v>
      </c>
      <c r="G3064" s="1">
        <v>41353</v>
      </c>
      <c r="H3064">
        <v>7518.2367599999998</v>
      </c>
      <c r="I3064" s="1">
        <v>41409</v>
      </c>
      <c r="J3064">
        <v>8582.5</v>
      </c>
      <c r="K3064" s="1">
        <v>41375</v>
      </c>
      <c r="L3064">
        <v>16020.91</v>
      </c>
    </row>
    <row r="3065" spans="1:12" x14ac:dyDescent="0.35">
      <c r="A3065" s="1">
        <v>41422</v>
      </c>
      <c r="B3065">
        <v>2835.87</v>
      </c>
      <c r="C3065" s="1">
        <v>41410</v>
      </c>
      <c r="D3065">
        <v>3979.07</v>
      </c>
      <c r="E3065" s="1">
        <v>41368</v>
      </c>
      <c r="F3065">
        <v>7817.39</v>
      </c>
      <c r="G3065" s="1">
        <v>41352</v>
      </c>
      <c r="H3065">
        <v>7555.2212</v>
      </c>
      <c r="I3065" s="1">
        <v>41408</v>
      </c>
      <c r="J3065">
        <v>8474.6</v>
      </c>
      <c r="K3065" s="1">
        <v>41374</v>
      </c>
      <c r="L3065">
        <v>15928.64</v>
      </c>
    </row>
    <row r="3066" spans="1:12" x14ac:dyDescent="0.35">
      <c r="A3066" s="1">
        <v>41421</v>
      </c>
      <c r="B3066">
        <v>2795</v>
      </c>
      <c r="C3066" s="1">
        <v>41409</v>
      </c>
      <c r="D3066">
        <v>3982.23</v>
      </c>
      <c r="E3066" s="1">
        <v>41367</v>
      </c>
      <c r="F3066">
        <v>7874.75</v>
      </c>
      <c r="G3066" s="1">
        <v>41351</v>
      </c>
      <c r="H3066">
        <v>7519.9533000000001</v>
      </c>
      <c r="I3066" s="1">
        <v>41407</v>
      </c>
      <c r="J3066">
        <v>8457.7999999999993</v>
      </c>
      <c r="K3066" s="1">
        <v>41373</v>
      </c>
      <c r="L3066">
        <v>15436.07</v>
      </c>
    </row>
    <row r="3067" spans="1:12" x14ac:dyDescent="0.35">
      <c r="A3067" s="1">
        <v>41418</v>
      </c>
      <c r="B3067">
        <v>2764.29</v>
      </c>
      <c r="C3067" s="1">
        <v>41408</v>
      </c>
      <c r="D3067">
        <v>3966.06</v>
      </c>
      <c r="E3067" s="1">
        <v>41366</v>
      </c>
      <c r="F3067">
        <v>7943.87</v>
      </c>
      <c r="G3067" s="1">
        <v>41348</v>
      </c>
      <c r="H3067">
        <v>7511.9512800000002</v>
      </c>
      <c r="I3067" s="1">
        <v>41404</v>
      </c>
      <c r="J3067">
        <v>8544.5</v>
      </c>
      <c r="K3067" s="1">
        <v>41372</v>
      </c>
      <c r="L3067">
        <v>15243.39</v>
      </c>
    </row>
    <row r="3068" spans="1:12" x14ac:dyDescent="0.35">
      <c r="A3068" s="1">
        <v>41417</v>
      </c>
      <c r="B3068">
        <v>2776.78</v>
      </c>
      <c r="C3068" s="1">
        <v>41407</v>
      </c>
      <c r="D3068">
        <v>3945.2</v>
      </c>
      <c r="E3068" s="1">
        <v>41361</v>
      </c>
      <c r="F3068">
        <v>7795.31</v>
      </c>
      <c r="G3068" s="1">
        <v>41347</v>
      </c>
      <c r="H3068">
        <v>7572.9711500000003</v>
      </c>
      <c r="I3068" s="1">
        <v>41403</v>
      </c>
      <c r="J3068">
        <v>8572.7000000000007</v>
      </c>
      <c r="K3068" s="1">
        <v>41369</v>
      </c>
      <c r="L3068">
        <v>15250.42</v>
      </c>
    </row>
    <row r="3069" spans="1:12" x14ac:dyDescent="0.35">
      <c r="A3069" s="1">
        <v>41416</v>
      </c>
      <c r="B3069">
        <v>2835.01</v>
      </c>
      <c r="C3069" s="1">
        <v>41404</v>
      </c>
      <c r="D3069">
        <v>3953.83</v>
      </c>
      <c r="E3069" s="1">
        <v>41360</v>
      </c>
      <c r="F3069">
        <v>7789.09</v>
      </c>
      <c r="G3069" s="1">
        <v>41346</v>
      </c>
      <c r="H3069">
        <v>7460.39588</v>
      </c>
      <c r="I3069" s="1">
        <v>41402</v>
      </c>
      <c r="J3069">
        <v>8597</v>
      </c>
      <c r="K3069" s="1">
        <v>41368</v>
      </c>
      <c r="L3069">
        <v>15154.02</v>
      </c>
    </row>
    <row r="3070" spans="1:12" x14ac:dyDescent="0.35">
      <c r="A3070" s="1">
        <v>41415</v>
      </c>
      <c r="B3070">
        <v>2821.65</v>
      </c>
      <c r="C3070" s="1">
        <v>41403</v>
      </c>
      <c r="D3070">
        <v>3928.58</v>
      </c>
      <c r="E3070" s="1">
        <v>41359</v>
      </c>
      <c r="F3070">
        <v>7879.67</v>
      </c>
      <c r="G3070" s="1">
        <v>41345</v>
      </c>
      <c r="H3070">
        <v>7449.9930299999996</v>
      </c>
      <c r="I3070" s="1">
        <v>41401</v>
      </c>
      <c r="J3070">
        <v>8544</v>
      </c>
      <c r="K3070" s="1">
        <v>41367</v>
      </c>
      <c r="L3070">
        <v>15200.3</v>
      </c>
    </row>
    <row r="3071" spans="1:12" x14ac:dyDescent="0.35">
      <c r="A3071" s="1">
        <v>41414</v>
      </c>
      <c r="B3071">
        <v>2824.5</v>
      </c>
      <c r="C3071" s="1">
        <v>41402</v>
      </c>
      <c r="D3071">
        <v>3956.28</v>
      </c>
      <c r="E3071" s="1">
        <v>41358</v>
      </c>
      <c r="F3071">
        <v>7870.9</v>
      </c>
      <c r="G3071" s="1">
        <v>41344</v>
      </c>
      <c r="H3071">
        <v>7447.4074799999999</v>
      </c>
      <c r="I3071" s="1">
        <v>41400</v>
      </c>
      <c r="J3071">
        <v>8503.7999999999993</v>
      </c>
      <c r="K3071" s="1">
        <v>41366</v>
      </c>
      <c r="L3071">
        <v>15555.03</v>
      </c>
    </row>
    <row r="3072" spans="1:12" x14ac:dyDescent="0.35">
      <c r="A3072" s="1">
        <v>41411</v>
      </c>
      <c r="B3072">
        <v>2817.99</v>
      </c>
      <c r="C3072" s="1">
        <v>41401</v>
      </c>
      <c r="D3072">
        <v>3921.32</v>
      </c>
      <c r="E3072" s="1">
        <v>41355</v>
      </c>
      <c r="F3072">
        <v>7911.35</v>
      </c>
      <c r="G3072" s="1">
        <v>41341</v>
      </c>
      <c r="H3072">
        <v>7459.8604100000002</v>
      </c>
      <c r="I3072" s="1">
        <v>41397</v>
      </c>
      <c r="J3072">
        <v>8544.7999999999993</v>
      </c>
      <c r="K3072" s="1">
        <v>41361</v>
      </c>
      <c r="L3072">
        <v>15338.72</v>
      </c>
    </row>
    <row r="3073" spans="1:12" x14ac:dyDescent="0.35">
      <c r="A3073" s="1">
        <v>41410</v>
      </c>
      <c r="B3073">
        <v>2806.7</v>
      </c>
      <c r="C3073" s="1">
        <v>41400</v>
      </c>
      <c r="D3073">
        <v>3907.04</v>
      </c>
      <c r="E3073" s="1">
        <v>41354</v>
      </c>
      <c r="F3073">
        <v>7932.51</v>
      </c>
      <c r="G3073" s="1">
        <v>41340</v>
      </c>
      <c r="H3073">
        <v>7387.5557900000003</v>
      </c>
      <c r="I3073" s="1">
        <v>41396</v>
      </c>
      <c r="J3073">
        <v>8406.4</v>
      </c>
      <c r="K3073" s="1">
        <v>41360</v>
      </c>
      <c r="L3073">
        <v>15353.85</v>
      </c>
    </row>
    <row r="3074" spans="1:12" x14ac:dyDescent="0.35">
      <c r="A3074" s="1">
        <v>41409</v>
      </c>
      <c r="B3074">
        <v>2809.58</v>
      </c>
      <c r="C3074" s="1">
        <v>41397</v>
      </c>
      <c r="D3074">
        <v>3912.95</v>
      </c>
      <c r="E3074" s="1">
        <v>41353</v>
      </c>
      <c r="F3074">
        <v>8001.97</v>
      </c>
      <c r="G3074" s="1">
        <v>41339</v>
      </c>
      <c r="H3074">
        <v>7432.6081899999999</v>
      </c>
      <c r="I3074" s="1">
        <v>41394</v>
      </c>
      <c r="J3074">
        <v>8419</v>
      </c>
      <c r="K3074" s="1">
        <v>41359</v>
      </c>
      <c r="L3074">
        <v>15495.92</v>
      </c>
    </row>
    <row r="3075" spans="1:12" x14ac:dyDescent="0.35">
      <c r="A3075" s="1">
        <v>41408</v>
      </c>
      <c r="B3075">
        <v>2795.63</v>
      </c>
      <c r="C3075" s="1">
        <v>41396</v>
      </c>
      <c r="D3075">
        <v>3858.76</v>
      </c>
      <c r="E3075" s="1">
        <v>41352</v>
      </c>
      <c r="F3075">
        <v>7947.79</v>
      </c>
      <c r="G3075" s="1">
        <v>41338</v>
      </c>
      <c r="H3075">
        <v>7458.59292</v>
      </c>
      <c r="I3075" s="1">
        <v>41393</v>
      </c>
      <c r="J3075">
        <v>8450.9</v>
      </c>
      <c r="K3075" s="1">
        <v>41358</v>
      </c>
      <c r="L3075">
        <v>15644.36</v>
      </c>
    </row>
    <row r="3076" spans="1:12" x14ac:dyDescent="0.35">
      <c r="A3076" s="1">
        <v>41407</v>
      </c>
      <c r="B3076">
        <v>2777.39</v>
      </c>
      <c r="C3076" s="1">
        <v>41394</v>
      </c>
      <c r="D3076">
        <v>3856.75</v>
      </c>
      <c r="E3076" s="1">
        <v>41351</v>
      </c>
      <c r="F3076">
        <v>8010.7</v>
      </c>
      <c r="G3076" s="1">
        <v>41337</v>
      </c>
      <c r="H3076">
        <v>7359.7406000000001</v>
      </c>
      <c r="I3076" s="1">
        <v>41390</v>
      </c>
      <c r="J3076">
        <v>8297</v>
      </c>
      <c r="K3076" s="1">
        <v>41355</v>
      </c>
      <c r="L3076">
        <v>16045.51</v>
      </c>
    </row>
    <row r="3077" spans="1:12" x14ac:dyDescent="0.35">
      <c r="A3077" s="1">
        <v>41404</v>
      </c>
      <c r="B3077">
        <v>2785.24</v>
      </c>
      <c r="C3077" s="1">
        <v>41393</v>
      </c>
      <c r="D3077">
        <v>3868.68</v>
      </c>
      <c r="E3077" s="1">
        <v>41348</v>
      </c>
      <c r="F3077">
        <v>8042.85</v>
      </c>
      <c r="G3077" s="1">
        <v>41334</v>
      </c>
      <c r="H3077">
        <v>7357.7410200000004</v>
      </c>
      <c r="I3077" s="1">
        <v>41389</v>
      </c>
      <c r="J3077">
        <v>8365.1</v>
      </c>
      <c r="K3077" s="1">
        <v>41354</v>
      </c>
      <c r="L3077">
        <v>15935.99</v>
      </c>
    </row>
    <row r="3078" spans="1:12" x14ac:dyDescent="0.35">
      <c r="A3078" s="1">
        <v>41403</v>
      </c>
      <c r="B3078">
        <v>2773.16</v>
      </c>
      <c r="C3078" s="1">
        <v>41390</v>
      </c>
      <c r="D3078">
        <v>3810.05</v>
      </c>
      <c r="E3078" s="1">
        <v>41347</v>
      </c>
      <c r="F3078">
        <v>8058.37</v>
      </c>
      <c r="G3078" s="1">
        <v>41333</v>
      </c>
      <c r="H3078">
        <v>7382.2929800000002</v>
      </c>
      <c r="I3078" s="1">
        <v>41388</v>
      </c>
      <c r="J3078">
        <v>8389.2999999999993</v>
      </c>
      <c r="K3078" s="1">
        <v>41353</v>
      </c>
      <c r="L3078">
        <v>16015.98</v>
      </c>
    </row>
    <row r="3079" spans="1:12" x14ac:dyDescent="0.35">
      <c r="A3079" s="1">
        <v>41402</v>
      </c>
      <c r="B3079">
        <v>2784.62</v>
      </c>
      <c r="C3079" s="1">
        <v>41389</v>
      </c>
      <c r="D3079">
        <v>3840.47</v>
      </c>
      <c r="E3079" s="1">
        <v>41346</v>
      </c>
      <c r="F3079">
        <v>7970.91</v>
      </c>
      <c r="G3079" s="1">
        <v>41332</v>
      </c>
      <c r="H3079">
        <v>7309.6052900000004</v>
      </c>
      <c r="I3079" s="1">
        <v>41387</v>
      </c>
      <c r="J3079">
        <v>8289.2999999999993</v>
      </c>
      <c r="K3079" s="1">
        <v>41352</v>
      </c>
      <c r="L3079">
        <v>15670.56</v>
      </c>
    </row>
    <row r="3080" spans="1:12" x14ac:dyDescent="0.35">
      <c r="A3080" s="1">
        <v>41401</v>
      </c>
      <c r="B3080">
        <v>2769.08</v>
      </c>
      <c r="C3080" s="1">
        <v>41388</v>
      </c>
      <c r="D3080">
        <v>3842.94</v>
      </c>
      <c r="E3080" s="1">
        <v>41345</v>
      </c>
      <c r="F3080">
        <v>7966.12</v>
      </c>
      <c r="G3080" s="1">
        <v>41331</v>
      </c>
      <c r="H3080">
        <v>7274.0370899999998</v>
      </c>
      <c r="I3080" s="1">
        <v>41386</v>
      </c>
      <c r="J3080">
        <v>8027.7</v>
      </c>
      <c r="K3080" s="1">
        <v>41351</v>
      </c>
      <c r="L3080">
        <v>15924.13</v>
      </c>
    </row>
    <row r="3081" spans="1:12" x14ac:dyDescent="0.35">
      <c r="A3081" s="1">
        <v>41400</v>
      </c>
      <c r="B3081">
        <v>2750.52</v>
      </c>
      <c r="C3081" s="1">
        <v>41387</v>
      </c>
      <c r="D3081">
        <v>3783.05</v>
      </c>
      <c r="E3081" s="1">
        <v>41344</v>
      </c>
      <c r="F3081">
        <v>7984.29</v>
      </c>
      <c r="G3081" s="1">
        <v>41330</v>
      </c>
      <c r="H3081">
        <v>7297.69139</v>
      </c>
      <c r="I3081" s="1">
        <v>41383</v>
      </c>
      <c r="J3081">
        <v>7915.5</v>
      </c>
      <c r="K3081" s="1">
        <v>41348</v>
      </c>
      <c r="L3081">
        <v>16061.15</v>
      </c>
    </row>
    <row r="3082" spans="1:12" x14ac:dyDescent="0.35">
      <c r="A3082" s="1">
        <v>41397</v>
      </c>
      <c r="B3082">
        <v>2763.68</v>
      </c>
      <c r="C3082" s="1">
        <v>41386</v>
      </c>
      <c r="D3082">
        <v>3652.13</v>
      </c>
      <c r="E3082" s="1">
        <v>41341</v>
      </c>
      <c r="F3082">
        <v>7986.47</v>
      </c>
      <c r="G3082" s="1">
        <v>41327</v>
      </c>
      <c r="H3082">
        <v>7329.5258800000001</v>
      </c>
      <c r="I3082" s="1">
        <v>41382</v>
      </c>
      <c r="J3082">
        <v>7812.5</v>
      </c>
      <c r="K3082" s="1">
        <v>41347</v>
      </c>
      <c r="L3082">
        <v>16131.05</v>
      </c>
    </row>
    <row r="3083" spans="1:12" x14ac:dyDescent="0.35">
      <c r="A3083" s="1">
        <v>41396</v>
      </c>
      <c r="B3083">
        <v>2718.9</v>
      </c>
      <c r="C3083" s="1">
        <v>41383</v>
      </c>
      <c r="D3083">
        <v>3651.96</v>
      </c>
      <c r="E3083" s="1">
        <v>41340</v>
      </c>
      <c r="F3083">
        <v>7939.77</v>
      </c>
      <c r="G3083" s="1">
        <v>41326</v>
      </c>
      <c r="H3083">
        <v>7272.4482799999996</v>
      </c>
      <c r="I3083" s="1">
        <v>41381</v>
      </c>
      <c r="J3083">
        <v>7803</v>
      </c>
      <c r="K3083" s="1">
        <v>41346</v>
      </c>
      <c r="L3083">
        <v>15745.34</v>
      </c>
    </row>
    <row r="3084" spans="1:12" x14ac:dyDescent="0.35">
      <c r="A3084" s="1">
        <v>41395</v>
      </c>
      <c r="B3084">
        <v>2711.74</v>
      </c>
      <c r="C3084" s="1">
        <v>41382</v>
      </c>
      <c r="D3084">
        <v>3599.36</v>
      </c>
      <c r="E3084" s="1">
        <v>41339</v>
      </c>
      <c r="F3084">
        <v>7919.33</v>
      </c>
      <c r="G3084" s="1">
        <v>41325</v>
      </c>
      <c r="H3084">
        <v>7327.0695900000001</v>
      </c>
      <c r="I3084" s="1">
        <v>41380</v>
      </c>
      <c r="J3084">
        <v>7948.7</v>
      </c>
      <c r="K3084" s="1">
        <v>41345</v>
      </c>
      <c r="L3084">
        <v>16023.98</v>
      </c>
    </row>
    <row r="3085" spans="1:12" x14ac:dyDescent="0.35">
      <c r="A3085" s="1">
        <v>41394</v>
      </c>
      <c r="B3085">
        <v>2712</v>
      </c>
      <c r="C3085" s="1">
        <v>41381</v>
      </c>
      <c r="D3085">
        <v>3599.23</v>
      </c>
      <c r="E3085" s="1">
        <v>41338</v>
      </c>
      <c r="F3085">
        <v>7870.31</v>
      </c>
      <c r="G3085" s="1">
        <v>41324</v>
      </c>
      <c r="H3085">
        <v>7346.2454500000003</v>
      </c>
      <c r="I3085" s="1">
        <v>41379</v>
      </c>
      <c r="J3085">
        <v>8014.1</v>
      </c>
      <c r="K3085" s="1">
        <v>41344</v>
      </c>
      <c r="L3085">
        <v>16091.98</v>
      </c>
    </row>
    <row r="3086" spans="1:12" x14ac:dyDescent="0.35">
      <c r="A3086" s="1">
        <v>41393</v>
      </c>
      <c r="B3086">
        <v>2717.38</v>
      </c>
      <c r="C3086" s="1">
        <v>41380</v>
      </c>
      <c r="D3086">
        <v>3685.79</v>
      </c>
      <c r="E3086" s="1">
        <v>41337</v>
      </c>
      <c r="F3086">
        <v>7691.68</v>
      </c>
      <c r="G3086" s="1">
        <v>41323</v>
      </c>
      <c r="H3086">
        <v>7321.7757899999997</v>
      </c>
      <c r="I3086" s="1">
        <v>41376</v>
      </c>
      <c r="J3086">
        <v>8040.4</v>
      </c>
      <c r="K3086" s="1">
        <v>41341</v>
      </c>
      <c r="L3086">
        <v>16204.03</v>
      </c>
    </row>
    <row r="3087" spans="1:12" x14ac:dyDescent="0.35">
      <c r="A3087" s="1">
        <v>41390</v>
      </c>
      <c r="B3087">
        <v>2683.43</v>
      </c>
      <c r="C3087" s="1">
        <v>41379</v>
      </c>
      <c r="D3087">
        <v>3710.48</v>
      </c>
      <c r="E3087" s="1">
        <v>41334</v>
      </c>
      <c r="F3087">
        <v>7708.16</v>
      </c>
      <c r="G3087" s="1">
        <v>41320</v>
      </c>
      <c r="H3087">
        <v>7357.0642900000003</v>
      </c>
      <c r="I3087" s="1">
        <v>41375</v>
      </c>
      <c r="J3087">
        <v>8159.5</v>
      </c>
      <c r="K3087" s="1">
        <v>41340</v>
      </c>
      <c r="L3087">
        <v>15947.17</v>
      </c>
    </row>
    <row r="3088" spans="1:12" x14ac:dyDescent="0.35">
      <c r="A3088" s="1">
        <v>41389</v>
      </c>
      <c r="B3088">
        <v>2704.41</v>
      </c>
      <c r="C3088" s="1">
        <v>41376</v>
      </c>
      <c r="D3088">
        <v>3729.3</v>
      </c>
      <c r="E3088" s="1">
        <v>41333</v>
      </c>
      <c r="F3088">
        <v>7741.7</v>
      </c>
      <c r="G3088" s="1">
        <v>41319</v>
      </c>
      <c r="H3088">
        <v>7348.5598600000003</v>
      </c>
      <c r="I3088" s="1">
        <v>41374</v>
      </c>
      <c r="J3088">
        <v>8136.4</v>
      </c>
      <c r="K3088" s="1">
        <v>41339</v>
      </c>
      <c r="L3088">
        <v>15899.7</v>
      </c>
    </row>
    <row r="3089" spans="1:12" x14ac:dyDescent="0.35">
      <c r="A3089" s="1">
        <v>41388</v>
      </c>
      <c r="B3089">
        <v>2702.05</v>
      </c>
      <c r="C3089" s="1">
        <v>41375</v>
      </c>
      <c r="D3089">
        <v>3775.66</v>
      </c>
      <c r="E3089" s="1">
        <v>41332</v>
      </c>
      <c r="F3089">
        <v>7675.83</v>
      </c>
      <c r="G3089" s="1">
        <v>41318</v>
      </c>
      <c r="H3089">
        <v>7355.0696200000002</v>
      </c>
      <c r="I3089" s="1">
        <v>41373</v>
      </c>
      <c r="J3089">
        <v>7872.5</v>
      </c>
      <c r="K3089" s="1">
        <v>41338</v>
      </c>
      <c r="L3089">
        <v>15974.3</v>
      </c>
    </row>
    <row r="3090" spans="1:12" x14ac:dyDescent="0.35">
      <c r="A3090" s="1">
        <v>41387</v>
      </c>
      <c r="B3090">
        <v>2662.88</v>
      </c>
      <c r="C3090" s="1">
        <v>41374</v>
      </c>
      <c r="D3090">
        <v>3743.71</v>
      </c>
      <c r="E3090" s="1">
        <v>41331</v>
      </c>
      <c r="F3090">
        <v>7597.11</v>
      </c>
      <c r="G3090" s="1">
        <v>41317</v>
      </c>
      <c r="H3090">
        <v>7376.4939299999996</v>
      </c>
      <c r="I3090" s="1">
        <v>41372</v>
      </c>
      <c r="J3090">
        <v>7787.1</v>
      </c>
      <c r="K3090" s="1">
        <v>41337</v>
      </c>
      <c r="L3090">
        <v>15542.17</v>
      </c>
    </row>
    <row r="3091" spans="1:12" x14ac:dyDescent="0.35">
      <c r="A3091" s="1">
        <v>41386</v>
      </c>
      <c r="B3091">
        <v>2583.62</v>
      </c>
      <c r="C3091" s="1">
        <v>41373</v>
      </c>
      <c r="D3091">
        <v>3670.72</v>
      </c>
      <c r="E3091" s="1">
        <v>41330</v>
      </c>
      <c r="F3091">
        <v>7773.19</v>
      </c>
      <c r="G3091" s="1">
        <v>41316</v>
      </c>
      <c r="H3091">
        <v>7338.2946199999997</v>
      </c>
      <c r="I3091" s="1">
        <v>41369</v>
      </c>
      <c r="J3091">
        <v>7798.4</v>
      </c>
      <c r="K3091" s="1">
        <v>41334</v>
      </c>
      <c r="L3091">
        <v>15675.37</v>
      </c>
    </row>
    <row r="3092" spans="1:12" x14ac:dyDescent="0.35">
      <c r="A3092" s="1">
        <v>41383</v>
      </c>
      <c r="B3092">
        <v>2575.16</v>
      </c>
      <c r="C3092" s="1">
        <v>41372</v>
      </c>
      <c r="D3092">
        <v>3666.78</v>
      </c>
      <c r="E3092" s="1">
        <v>41327</v>
      </c>
      <c r="F3092">
        <v>7661.91</v>
      </c>
      <c r="G3092" s="1">
        <v>41313</v>
      </c>
      <c r="H3092">
        <v>7407.9004400000003</v>
      </c>
      <c r="I3092" s="1">
        <v>41368</v>
      </c>
      <c r="J3092">
        <v>7847.9</v>
      </c>
      <c r="K3092" s="1">
        <v>41333</v>
      </c>
      <c r="L3092">
        <v>15921.25</v>
      </c>
    </row>
    <row r="3093" spans="1:12" x14ac:dyDescent="0.35">
      <c r="A3093" s="1">
        <v>41382</v>
      </c>
      <c r="B3093">
        <v>2555.5</v>
      </c>
      <c r="C3093" s="1">
        <v>41369</v>
      </c>
      <c r="D3093">
        <v>3663.48</v>
      </c>
      <c r="E3093" s="1">
        <v>41326</v>
      </c>
      <c r="F3093">
        <v>7583.57</v>
      </c>
      <c r="G3093" s="1">
        <v>41312</v>
      </c>
      <c r="H3093">
        <v>7295.5383000000002</v>
      </c>
      <c r="I3093" s="1">
        <v>41367</v>
      </c>
      <c r="J3093">
        <v>7904.3</v>
      </c>
      <c r="K3093" s="1">
        <v>41332</v>
      </c>
      <c r="L3093">
        <v>15827.02</v>
      </c>
    </row>
    <row r="3094" spans="1:12" x14ac:dyDescent="0.35">
      <c r="A3094" s="1">
        <v>41381</v>
      </c>
      <c r="B3094">
        <v>2553.4899999999998</v>
      </c>
      <c r="C3094" s="1">
        <v>41368</v>
      </c>
      <c r="D3094">
        <v>3726.16</v>
      </c>
      <c r="E3094" s="1">
        <v>41325</v>
      </c>
      <c r="F3094">
        <v>7728.9</v>
      </c>
      <c r="G3094" s="1">
        <v>41311</v>
      </c>
      <c r="H3094">
        <v>7291.3024800000003</v>
      </c>
      <c r="I3094" s="1">
        <v>41366</v>
      </c>
      <c r="J3094">
        <v>8050.4</v>
      </c>
      <c r="K3094" s="1">
        <v>41331</v>
      </c>
      <c r="L3094">
        <v>15552.2</v>
      </c>
    </row>
    <row r="3095" spans="1:12" x14ac:dyDescent="0.35">
      <c r="A3095" s="1">
        <v>41380</v>
      </c>
      <c r="B3095">
        <v>2609.3000000000002</v>
      </c>
      <c r="C3095" s="1">
        <v>41367</v>
      </c>
      <c r="D3095">
        <v>3754.96</v>
      </c>
      <c r="E3095" s="1">
        <v>41324</v>
      </c>
      <c r="F3095">
        <v>7752.45</v>
      </c>
      <c r="G3095" s="1">
        <v>41310</v>
      </c>
      <c r="H3095">
        <v>7235.5342600000004</v>
      </c>
      <c r="I3095" s="1">
        <v>41361</v>
      </c>
      <c r="J3095">
        <v>7920</v>
      </c>
      <c r="K3095" s="1">
        <v>41330</v>
      </c>
      <c r="L3095">
        <v>16351.99</v>
      </c>
    </row>
    <row r="3096" spans="1:12" x14ac:dyDescent="0.35">
      <c r="A3096" s="1">
        <v>41379</v>
      </c>
      <c r="B3096">
        <v>2624.71</v>
      </c>
      <c r="C3096" s="1">
        <v>41366</v>
      </c>
      <c r="D3096">
        <v>3805.37</v>
      </c>
      <c r="E3096" s="1">
        <v>41323</v>
      </c>
      <c r="F3096">
        <v>7628.73</v>
      </c>
      <c r="G3096" s="1">
        <v>41309</v>
      </c>
      <c r="H3096">
        <v>7263.5957099999996</v>
      </c>
      <c r="I3096" s="1">
        <v>41360</v>
      </c>
      <c r="J3096">
        <v>7900.4</v>
      </c>
      <c r="K3096" s="1">
        <v>41327</v>
      </c>
      <c r="L3096">
        <v>16233.28</v>
      </c>
    </row>
    <row r="3097" spans="1:12" x14ac:dyDescent="0.35">
      <c r="A3097" s="1">
        <v>41376</v>
      </c>
      <c r="B3097">
        <v>2633.47</v>
      </c>
      <c r="C3097" s="1">
        <v>41361</v>
      </c>
      <c r="D3097">
        <v>3731.42</v>
      </c>
      <c r="E3097" s="1">
        <v>41320</v>
      </c>
      <c r="F3097">
        <v>7593.51</v>
      </c>
      <c r="G3097" s="1">
        <v>41306</v>
      </c>
      <c r="H3097">
        <v>7303.2027799999996</v>
      </c>
      <c r="I3097" s="1">
        <v>41359</v>
      </c>
      <c r="J3097">
        <v>7990.5</v>
      </c>
      <c r="K3097" s="1">
        <v>41326</v>
      </c>
      <c r="L3097">
        <v>16009.55</v>
      </c>
    </row>
    <row r="3098" spans="1:12" x14ac:dyDescent="0.35">
      <c r="A3098" s="1">
        <v>41375</v>
      </c>
      <c r="B3098">
        <v>2674.33</v>
      </c>
      <c r="C3098" s="1">
        <v>41360</v>
      </c>
      <c r="D3098">
        <v>3711.64</v>
      </c>
      <c r="E3098" s="1">
        <v>41319</v>
      </c>
      <c r="F3098">
        <v>7631.19</v>
      </c>
      <c r="G3098" s="1">
        <v>41305</v>
      </c>
      <c r="H3098">
        <v>7335.04072</v>
      </c>
      <c r="I3098" s="1">
        <v>41358</v>
      </c>
      <c r="J3098">
        <v>8140.6</v>
      </c>
      <c r="K3098" s="1">
        <v>41325</v>
      </c>
      <c r="L3098">
        <v>16527.5</v>
      </c>
    </row>
    <row r="3099" spans="1:12" x14ac:dyDescent="0.35">
      <c r="A3099" s="1">
        <v>41374</v>
      </c>
      <c r="B3099">
        <v>2661.62</v>
      </c>
      <c r="C3099" s="1">
        <v>41359</v>
      </c>
      <c r="D3099">
        <v>3748.64</v>
      </c>
      <c r="E3099" s="1">
        <v>41318</v>
      </c>
      <c r="F3099">
        <v>7711.89</v>
      </c>
      <c r="G3099" s="1">
        <v>41304</v>
      </c>
      <c r="H3099">
        <v>7358.6392100000003</v>
      </c>
      <c r="I3099" s="1">
        <v>41355</v>
      </c>
      <c r="J3099">
        <v>8329.5</v>
      </c>
      <c r="K3099" s="1">
        <v>41324</v>
      </c>
      <c r="L3099">
        <v>16664.419999999998</v>
      </c>
    </row>
    <row r="3100" spans="1:12" x14ac:dyDescent="0.35">
      <c r="A3100" s="1">
        <v>41373</v>
      </c>
      <c r="B3100">
        <v>2595.13</v>
      </c>
      <c r="C3100" s="1">
        <v>41358</v>
      </c>
      <c r="D3100">
        <v>3727.98</v>
      </c>
      <c r="E3100" s="1">
        <v>41317</v>
      </c>
      <c r="F3100">
        <v>7660.19</v>
      </c>
      <c r="G3100" s="1">
        <v>41303</v>
      </c>
      <c r="H3100">
        <v>7409.0458799999997</v>
      </c>
      <c r="I3100" s="1">
        <v>41354</v>
      </c>
      <c r="J3100">
        <v>8351.2000000000007</v>
      </c>
      <c r="K3100" s="1">
        <v>41323</v>
      </c>
      <c r="L3100">
        <v>16406.03</v>
      </c>
    </row>
    <row r="3101" spans="1:12" x14ac:dyDescent="0.35">
      <c r="A3101" s="1">
        <v>41372</v>
      </c>
      <c r="B3101">
        <v>2589.25</v>
      </c>
      <c r="C3101" s="1">
        <v>41355</v>
      </c>
      <c r="D3101">
        <v>3770.29</v>
      </c>
      <c r="E3101" s="1">
        <v>41316</v>
      </c>
      <c r="F3101">
        <v>7633.74</v>
      </c>
      <c r="G3101" s="1">
        <v>41302</v>
      </c>
      <c r="H3101">
        <v>7339.2689600000003</v>
      </c>
      <c r="I3101" s="1">
        <v>41353</v>
      </c>
      <c r="J3101">
        <v>8416.2999999999993</v>
      </c>
      <c r="K3101" s="1">
        <v>41320</v>
      </c>
      <c r="L3101">
        <v>16489.8</v>
      </c>
    </row>
    <row r="3102" spans="1:12" x14ac:dyDescent="0.35">
      <c r="A3102" s="1">
        <v>41369</v>
      </c>
      <c r="B3102">
        <v>2585.2800000000002</v>
      </c>
      <c r="C3102" s="1">
        <v>41354</v>
      </c>
      <c r="D3102">
        <v>3774.85</v>
      </c>
      <c r="E3102" s="1">
        <v>41313</v>
      </c>
      <c r="F3102">
        <v>7652.14</v>
      </c>
      <c r="G3102" s="1">
        <v>41299</v>
      </c>
      <c r="H3102">
        <v>7381.3789800000004</v>
      </c>
      <c r="I3102" s="1">
        <v>41352</v>
      </c>
      <c r="J3102">
        <v>8321</v>
      </c>
      <c r="K3102" s="1">
        <v>41319</v>
      </c>
      <c r="L3102">
        <v>16544.95</v>
      </c>
    </row>
    <row r="3103" spans="1:12" x14ac:dyDescent="0.35">
      <c r="A3103" s="1">
        <v>41368</v>
      </c>
      <c r="B3103">
        <v>2621.4299999999998</v>
      </c>
      <c r="C3103" s="1">
        <v>41353</v>
      </c>
      <c r="D3103">
        <v>3829.56</v>
      </c>
      <c r="E3103" s="1">
        <v>41312</v>
      </c>
      <c r="F3103">
        <v>7590.85</v>
      </c>
      <c r="G3103" s="1">
        <v>41298</v>
      </c>
      <c r="H3103">
        <v>7393.9336400000002</v>
      </c>
      <c r="I3103" s="1">
        <v>41351</v>
      </c>
      <c r="J3103">
        <v>8507.7999999999993</v>
      </c>
      <c r="K3103" s="1">
        <v>41318</v>
      </c>
      <c r="L3103">
        <v>16712.150000000001</v>
      </c>
    </row>
    <row r="3104" spans="1:12" x14ac:dyDescent="0.35">
      <c r="A3104" s="1">
        <v>41367</v>
      </c>
      <c r="B3104">
        <v>2639.01</v>
      </c>
      <c r="C3104" s="1">
        <v>41352</v>
      </c>
      <c r="D3104">
        <v>3775.75</v>
      </c>
      <c r="E3104" s="1">
        <v>41311</v>
      </c>
      <c r="F3104">
        <v>7581.18</v>
      </c>
      <c r="G3104" s="1">
        <v>41297</v>
      </c>
      <c r="H3104">
        <v>7377.3666199999998</v>
      </c>
      <c r="I3104" s="1">
        <v>41348</v>
      </c>
      <c r="J3104">
        <v>8619.1</v>
      </c>
      <c r="K3104" s="1">
        <v>41317</v>
      </c>
      <c r="L3104">
        <v>16644.45</v>
      </c>
    </row>
    <row r="3105" spans="1:12" x14ac:dyDescent="0.35">
      <c r="A3105" s="1">
        <v>41366</v>
      </c>
      <c r="B3105">
        <v>2679.8</v>
      </c>
      <c r="C3105" s="1">
        <v>41351</v>
      </c>
      <c r="D3105">
        <v>3825.47</v>
      </c>
      <c r="E3105" s="1">
        <v>41310</v>
      </c>
      <c r="F3105">
        <v>7664.66</v>
      </c>
      <c r="G3105" s="1">
        <v>41296</v>
      </c>
      <c r="H3105">
        <v>7361.5063</v>
      </c>
      <c r="I3105" s="1">
        <v>41347</v>
      </c>
      <c r="J3105">
        <v>8657.9</v>
      </c>
      <c r="K3105" s="1">
        <v>41316</v>
      </c>
      <c r="L3105">
        <v>16529.87</v>
      </c>
    </row>
    <row r="3106" spans="1:12" x14ac:dyDescent="0.35">
      <c r="A3106" s="1">
        <v>41361</v>
      </c>
      <c r="B3106">
        <v>2624.02</v>
      </c>
      <c r="C3106" s="1">
        <v>41348</v>
      </c>
      <c r="D3106">
        <v>3844.03</v>
      </c>
      <c r="E3106" s="1">
        <v>41309</v>
      </c>
      <c r="F3106">
        <v>7638.23</v>
      </c>
      <c r="G3106" s="1">
        <v>41295</v>
      </c>
      <c r="H3106">
        <v>7349.6897399999998</v>
      </c>
      <c r="I3106" s="1">
        <v>41346</v>
      </c>
      <c r="J3106">
        <v>8498.2999999999993</v>
      </c>
      <c r="K3106" s="1">
        <v>41313</v>
      </c>
      <c r="L3106">
        <v>16630.5</v>
      </c>
    </row>
    <row r="3107" spans="1:12" x14ac:dyDescent="0.35">
      <c r="A3107" s="1">
        <v>41360</v>
      </c>
      <c r="B3107">
        <v>2612.46</v>
      </c>
      <c r="C3107" s="1">
        <v>41347</v>
      </c>
      <c r="D3107">
        <v>3871.58</v>
      </c>
      <c r="E3107" s="1">
        <v>41306</v>
      </c>
      <c r="F3107">
        <v>7833.39</v>
      </c>
      <c r="G3107" s="1">
        <v>41292</v>
      </c>
      <c r="H3107">
        <v>7332.5306700000001</v>
      </c>
      <c r="I3107" s="1">
        <v>41345</v>
      </c>
      <c r="J3107">
        <v>8532.2999999999993</v>
      </c>
      <c r="K3107" s="1">
        <v>41312</v>
      </c>
      <c r="L3107">
        <v>16400.560000000001</v>
      </c>
    </row>
    <row r="3108" spans="1:12" x14ac:dyDescent="0.35">
      <c r="A3108" s="1">
        <v>41359</v>
      </c>
      <c r="B3108">
        <v>2641.12</v>
      </c>
      <c r="C3108" s="1">
        <v>41346</v>
      </c>
      <c r="D3108">
        <v>3836.04</v>
      </c>
      <c r="E3108" s="1">
        <v>41305</v>
      </c>
      <c r="F3108">
        <v>7776.05</v>
      </c>
      <c r="G3108" s="1">
        <v>41291</v>
      </c>
      <c r="H3108">
        <v>7338.2745500000001</v>
      </c>
      <c r="I3108" s="1">
        <v>41344</v>
      </c>
      <c r="J3108">
        <v>8554.4</v>
      </c>
      <c r="K3108" s="1">
        <v>41311</v>
      </c>
      <c r="L3108">
        <v>16602.849999999999</v>
      </c>
    </row>
    <row r="3109" spans="1:12" x14ac:dyDescent="0.35">
      <c r="A3109" s="1">
        <v>41358</v>
      </c>
      <c r="B3109">
        <v>2649.28</v>
      </c>
      <c r="C3109" s="1">
        <v>41345</v>
      </c>
      <c r="D3109">
        <v>3839.97</v>
      </c>
      <c r="E3109" s="1">
        <v>41304</v>
      </c>
      <c r="F3109">
        <v>7811.31</v>
      </c>
      <c r="G3109" s="1">
        <v>41290</v>
      </c>
      <c r="H3109">
        <v>7349.2213300000003</v>
      </c>
      <c r="I3109" s="1">
        <v>41341</v>
      </c>
      <c r="J3109">
        <v>8628.1</v>
      </c>
      <c r="K3109" s="1">
        <v>41310</v>
      </c>
      <c r="L3109">
        <v>16712.259999999998</v>
      </c>
    </row>
    <row r="3110" spans="1:12" x14ac:dyDescent="0.35">
      <c r="A3110" s="1">
        <v>41355</v>
      </c>
      <c r="B3110">
        <v>2681.67</v>
      </c>
      <c r="C3110" s="1">
        <v>41344</v>
      </c>
      <c r="D3110">
        <v>3836.27</v>
      </c>
      <c r="E3110" s="1">
        <v>41303</v>
      </c>
      <c r="F3110">
        <v>7848.57</v>
      </c>
      <c r="G3110" s="1">
        <v>41289</v>
      </c>
      <c r="H3110">
        <v>7373.3425999999999</v>
      </c>
      <c r="I3110" s="1">
        <v>41340</v>
      </c>
      <c r="J3110">
        <v>8389.1</v>
      </c>
      <c r="K3110" s="1">
        <v>41309</v>
      </c>
      <c r="L3110">
        <v>16539</v>
      </c>
    </row>
    <row r="3111" spans="1:12" x14ac:dyDescent="0.35">
      <c r="A3111" s="1">
        <v>41354</v>
      </c>
      <c r="B3111">
        <v>2683.92</v>
      </c>
      <c r="C3111" s="1">
        <v>41341</v>
      </c>
      <c r="D3111">
        <v>3840.15</v>
      </c>
      <c r="E3111" s="1">
        <v>41302</v>
      </c>
      <c r="F3111">
        <v>7833</v>
      </c>
      <c r="G3111" s="1">
        <v>41288</v>
      </c>
      <c r="H3111">
        <v>7347.5334300000004</v>
      </c>
      <c r="I3111" s="1">
        <v>41339</v>
      </c>
      <c r="J3111">
        <v>8358.9</v>
      </c>
      <c r="K3111" s="1">
        <v>41306</v>
      </c>
      <c r="L3111">
        <v>17318.939999999999</v>
      </c>
    </row>
    <row r="3112" spans="1:12" x14ac:dyDescent="0.35">
      <c r="A3112" s="1">
        <v>41353</v>
      </c>
      <c r="B3112">
        <v>2708.9</v>
      </c>
      <c r="C3112" s="1">
        <v>41340</v>
      </c>
      <c r="D3112">
        <v>3793.78</v>
      </c>
      <c r="E3112" s="1">
        <v>41299</v>
      </c>
      <c r="F3112">
        <v>7857.97</v>
      </c>
      <c r="G3112" s="1">
        <v>41285</v>
      </c>
      <c r="H3112">
        <v>7395.3818300000003</v>
      </c>
      <c r="I3112" s="1">
        <v>41338</v>
      </c>
      <c r="J3112">
        <v>8423.2999999999993</v>
      </c>
      <c r="K3112" s="1">
        <v>41305</v>
      </c>
      <c r="L3112">
        <v>17439.060000000001</v>
      </c>
    </row>
    <row r="3113" spans="1:12" x14ac:dyDescent="0.35">
      <c r="A3113" s="1">
        <v>41352</v>
      </c>
      <c r="B3113">
        <v>2671.96</v>
      </c>
      <c r="C3113" s="1">
        <v>41339</v>
      </c>
      <c r="D3113">
        <v>3773.76</v>
      </c>
      <c r="E3113" s="1">
        <v>41298</v>
      </c>
      <c r="F3113">
        <v>7748.13</v>
      </c>
      <c r="G3113" s="1">
        <v>41284</v>
      </c>
      <c r="H3113">
        <v>7436.3878699999996</v>
      </c>
      <c r="I3113" s="1">
        <v>41337</v>
      </c>
      <c r="J3113">
        <v>8246.2999999999993</v>
      </c>
      <c r="K3113" s="1">
        <v>41304</v>
      </c>
      <c r="L3113">
        <v>17289.91</v>
      </c>
    </row>
    <row r="3114" spans="1:12" x14ac:dyDescent="0.35">
      <c r="A3114" s="1">
        <v>41351</v>
      </c>
      <c r="B3114">
        <v>2705.47</v>
      </c>
      <c r="C3114" s="1">
        <v>41338</v>
      </c>
      <c r="D3114">
        <v>3787.19</v>
      </c>
      <c r="E3114" s="1">
        <v>41297</v>
      </c>
      <c r="F3114">
        <v>7707.54</v>
      </c>
      <c r="G3114" s="1">
        <v>41283</v>
      </c>
      <c r="H3114">
        <v>7479.0009600000003</v>
      </c>
      <c r="I3114" s="1">
        <v>41334</v>
      </c>
      <c r="J3114">
        <v>8187.1</v>
      </c>
      <c r="K3114" s="1">
        <v>41303</v>
      </c>
      <c r="L3114">
        <v>17891.91</v>
      </c>
    </row>
    <row r="3115" spans="1:12" x14ac:dyDescent="0.35">
      <c r="A3115" s="1">
        <v>41348</v>
      </c>
      <c r="B3115">
        <v>2725.72</v>
      </c>
      <c r="C3115" s="1">
        <v>41337</v>
      </c>
      <c r="D3115">
        <v>3709.76</v>
      </c>
      <c r="E3115" s="1">
        <v>41296</v>
      </c>
      <c r="F3115">
        <v>7696.21</v>
      </c>
      <c r="G3115" s="1">
        <v>41282</v>
      </c>
      <c r="H3115">
        <v>7430.6339799999996</v>
      </c>
      <c r="I3115" s="1">
        <v>41333</v>
      </c>
      <c r="J3115">
        <v>8230.2999999999993</v>
      </c>
      <c r="K3115" s="1">
        <v>41302</v>
      </c>
      <c r="L3115">
        <v>17897.41</v>
      </c>
    </row>
    <row r="3116" spans="1:12" x14ac:dyDescent="0.35">
      <c r="A3116" s="1">
        <v>41347</v>
      </c>
      <c r="B3116">
        <v>2744.7</v>
      </c>
      <c r="C3116" s="1">
        <v>41334</v>
      </c>
      <c r="D3116">
        <v>3699.91</v>
      </c>
      <c r="E3116" s="1">
        <v>41295</v>
      </c>
      <c r="F3116">
        <v>7748.86</v>
      </c>
      <c r="G3116" s="1">
        <v>41281</v>
      </c>
      <c r="H3116">
        <v>7444.7022299999999</v>
      </c>
      <c r="I3116" s="1">
        <v>41332</v>
      </c>
      <c r="J3116">
        <v>8136.7</v>
      </c>
      <c r="K3116" s="1">
        <v>41299</v>
      </c>
      <c r="L3116">
        <v>17726.89</v>
      </c>
    </row>
    <row r="3117" spans="1:12" x14ac:dyDescent="0.35">
      <c r="A3117" s="1">
        <v>41346</v>
      </c>
      <c r="B3117">
        <v>2704.73</v>
      </c>
      <c r="C3117" s="1">
        <v>41333</v>
      </c>
      <c r="D3117">
        <v>3723</v>
      </c>
      <c r="E3117" s="1">
        <v>41292</v>
      </c>
      <c r="F3117">
        <v>7702.23</v>
      </c>
      <c r="G3117" s="1">
        <v>41278</v>
      </c>
      <c r="H3117">
        <v>7488.0437400000001</v>
      </c>
      <c r="I3117" s="1">
        <v>41331</v>
      </c>
      <c r="J3117">
        <v>7980.7</v>
      </c>
      <c r="K3117" s="1">
        <v>41298</v>
      </c>
      <c r="L3117">
        <v>17756.63</v>
      </c>
    </row>
    <row r="3118" spans="1:12" x14ac:dyDescent="0.35">
      <c r="A3118" s="1">
        <v>41345</v>
      </c>
      <c r="B3118">
        <v>2711.85</v>
      </c>
      <c r="C3118" s="1">
        <v>41332</v>
      </c>
      <c r="D3118">
        <v>3691.49</v>
      </c>
      <c r="E3118" s="1">
        <v>41291</v>
      </c>
      <c r="F3118">
        <v>7735.46</v>
      </c>
      <c r="G3118" s="1">
        <v>41277</v>
      </c>
      <c r="H3118">
        <v>7451.8209900000002</v>
      </c>
      <c r="I3118" s="1">
        <v>41330</v>
      </c>
      <c r="J3118">
        <v>8244.5</v>
      </c>
      <c r="K3118" s="1">
        <v>41297</v>
      </c>
      <c r="L3118">
        <v>17579</v>
      </c>
    </row>
    <row r="3119" spans="1:12" x14ac:dyDescent="0.35">
      <c r="A3119" s="1">
        <v>41344</v>
      </c>
      <c r="B3119">
        <v>2718.71</v>
      </c>
      <c r="C3119" s="1">
        <v>41331</v>
      </c>
      <c r="D3119">
        <v>3621.92</v>
      </c>
      <c r="E3119" s="1">
        <v>41290</v>
      </c>
      <c r="F3119">
        <v>7691.13</v>
      </c>
      <c r="G3119" s="1">
        <v>41276</v>
      </c>
      <c r="H3119">
        <v>7428.8284999999996</v>
      </c>
      <c r="I3119" s="1">
        <v>41327</v>
      </c>
      <c r="J3119">
        <v>8179</v>
      </c>
      <c r="K3119" s="1">
        <v>41296</v>
      </c>
      <c r="L3119">
        <v>17715.900000000001</v>
      </c>
    </row>
    <row r="3120" spans="1:12" x14ac:dyDescent="0.35">
      <c r="A3120" s="1">
        <v>41341</v>
      </c>
      <c r="B3120">
        <v>2728.78</v>
      </c>
      <c r="C3120" s="1">
        <v>41330</v>
      </c>
      <c r="D3120">
        <v>3721.33</v>
      </c>
      <c r="E3120" s="1">
        <v>41289</v>
      </c>
      <c r="F3120">
        <v>7675.91</v>
      </c>
      <c r="G3120" s="1">
        <v>41274</v>
      </c>
      <c r="H3120">
        <v>7258.63681</v>
      </c>
      <c r="I3120" s="1">
        <v>41326</v>
      </c>
      <c r="J3120">
        <v>8014.5</v>
      </c>
      <c r="K3120" s="1">
        <v>41295</v>
      </c>
      <c r="L3120">
        <v>17631.990000000002</v>
      </c>
    </row>
    <row r="3121" spans="1:12" x14ac:dyDescent="0.35">
      <c r="A3121" s="1">
        <v>41340</v>
      </c>
      <c r="B3121">
        <v>2690.85</v>
      </c>
      <c r="C3121" s="1">
        <v>41327</v>
      </c>
      <c r="D3121">
        <v>3706.28</v>
      </c>
      <c r="E3121" s="1">
        <v>41288</v>
      </c>
      <c r="F3121">
        <v>7729.52</v>
      </c>
      <c r="G3121" s="1">
        <v>41271</v>
      </c>
      <c r="H3121">
        <v>7242.0192999999999</v>
      </c>
      <c r="I3121" s="1">
        <v>41325</v>
      </c>
      <c r="J3121">
        <v>8163</v>
      </c>
      <c r="K3121" s="1">
        <v>41292</v>
      </c>
      <c r="L3121">
        <v>17554.13</v>
      </c>
    </row>
    <row r="3122" spans="1:12" x14ac:dyDescent="0.35">
      <c r="A3122" s="1">
        <v>41339</v>
      </c>
      <c r="B3122">
        <v>2679.89</v>
      </c>
      <c r="C3122" s="1">
        <v>41326</v>
      </c>
      <c r="D3122">
        <v>3624.8</v>
      </c>
      <c r="E3122" s="1">
        <v>41285</v>
      </c>
      <c r="F3122">
        <v>7715.53</v>
      </c>
      <c r="G3122" s="1">
        <v>41270</v>
      </c>
      <c r="H3122">
        <v>7244.7739499999998</v>
      </c>
      <c r="I3122" s="1">
        <v>41324</v>
      </c>
      <c r="J3122">
        <v>8225.2999999999993</v>
      </c>
      <c r="K3122" s="1">
        <v>41291</v>
      </c>
      <c r="L3122">
        <v>17587.349999999999</v>
      </c>
    </row>
    <row r="3123" spans="1:12" x14ac:dyDescent="0.35">
      <c r="A3123" s="1">
        <v>41338</v>
      </c>
      <c r="B3123">
        <v>2683.02</v>
      </c>
      <c r="C3123" s="1">
        <v>41325</v>
      </c>
      <c r="D3123">
        <v>3709.88</v>
      </c>
      <c r="E3123" s="1">
        <v>41284</v>
      </c>
      <c r="F3123">
        <v>7708.47</v>
      </c>
      <c r="G3123" s="1">
        <v>41267</v>
      </c>
      <c r="H3123">
        <v>7284.3547399999998</v>
      </c>
      <c r="I3123" s="1">
        <v>41323</v>
      </c>
      <c r="J3123">
        <v>8108.9</v>
      </c>
      <c r="K3123" s="1">
        <v>41290</v>
      </c>
      <c r="L3123">
        <v>17339.95</v>
      </c>
    </row>
    <row r="3124" spans="1:12" x14ac:dyDescent="0.35">
      <c r="A3124" s="1">
        <v>41337</v>
      </c>
      <c r="B3124">
        <v>2619.7800000000002</v>
      </c>
      <c r="C3124" s="1">
        <v>41324</v>
      </c>
      <c r="D3124">
        <v>3735.82</v>
      </c>
      <c r="E3124" s="1">
        <v>41283</v>
      </c>
      <c r="F3124">
        <v>7720.47</v>
      </c>
      <c r="G3124" s="1">
        <v>41264</v>
      </c>
      <c r="H3124">
        <v>7291.8124600000001</v>
      </c>
      <c r="I3124" s="1">
        <v>41320</v>
      </c>
      <c r="J3124">
        <v>8150.2</v>
      </c>
      <c r="K3124" s="1">
        <v>41289</v>
      </c>
      <c r="L3124">
        <v>17467.48</v>
      </c>
    </row>
    <row r="3125" spans="1:12" x14ac:dyDescent="0.35">
      <c r="A3125" s="1">
        <v>41334</v>
      </c>
      <c r="B3125">
        <v>2616.75</v>
      </c>
      <c r="C3125" s="1">
        <v>41323</v>
      </c>
      <c r="D3125">
        <v>3667.04</v>
      </c>
      <c r="E3125" s="1">
        <v>41282</v>
      </c>
      <c r="F3125">
        <v>7695.83</v>
      </c>
      <c r="G3125" s="1">
        <v>41263</v>
      </c>
      <c r="H3125">
        <v>7324.6179599999996</v>
      </c>
      <c r="I3125" s="1">
        <v>41319</v>
      </c>
      <c r="J3125">
        <v>8247.4</v>
      </c>
      <c r="K3125" s="1">
        <v>41288</v>
      </c>
      <c r="L3125">
        <v>17391.240000000002</v>
      </c>
    </row>
    <row r="3126" spans="1:12" x14ac:dyDescent="0.35">
      <c r="A3126" s="1">
        <v>41333</v>
      </c>
      <c r="B3126">
        <v>2633.55</v>
      </c>
      <c r="C3126" s="1">
        <v>41320</v>
      </c>
      <c r="D3126">
        <v>3660.37</v>
      </c>
      <c r="E3126" s="1">
        <v>41281</v>
      </c>
      <c r="F3126">
        <v>7732.66</v>
      </c>
      <c r="G3126" s="1">
        <v>41262</v>
      </c>
      <c r="H3126">
        <v>7322.6959399999996</v>
      </c>
      <c r="I3126" s="1">
        <v>41318</v>
      </c>
      <c r="J3126">
        <v>8306.2000000000007</v>
      </c>
      <c r="K3126" s="1">
        <v>41285</v>
      </c>
      <c r="L3126">
        <v>17502.39</v>
      </c>
    </row>
    <row r="3127" spans="1:12" x14ac:dyDescent="0.35">
      <c r="A3127" s="1">
        <v>41332</v>
      </c>
      <c r="B3127">
        <v>2611.89</v>
      </c>
      <c r="C3127" s="1">
        <v>41319</v>
      </c>
      <c r="D3127">
        <v>3669.6</v>
      </c>
      <c r="E3127" s="1">
        <v>41278</v>
      </c>
      <c r="F3127">
        <v>7776.37</v>
      </c>
      <c r="G3127" s="1">
        <v>41261</v>
      </c>
      <c r="H3127">
        <v>7292.22847</v>
      </c>
      <c r="I3127" s="1">
        <v>41317</v>
      </c>
      <c r="J3127">
        <v>8234.7000000000007</v>
      </c>
      <c r="K3127" s="1">
        <v>41284</v>
      </c>
      <c r="L3127">
        <v>17451.07</v>
      </c>
    </row>
    <row r="3128" spans="1:12" x14ac:dyDescent="0.35">
      <c r="A3128" s="1">
        <v>41331</v>
      </c>
      <c r="B3128">
        <v>2570.52</v>
      </c>
      <c r="C3128" s="1">
        <v>41318</v>
      </c>
      <c r="D3128">
        <v>3698.53</v>
      </c>
      <c r="E3128" s="1">
        <v>41277</v>
      </c>
      <c r="F3128">
        <v>7756.44</v>
      </c>
      <c r="G3128" s="1">
        <v>41260</v>
      </c>
      <c r="H3128">
        <v>7279.98344</v>
      </c>
      <c r="I3128" s="1">
        <v>41316</v>
      </c>
      <c r="J3128">
        <v>8078.6</v>
      </c>
      <c r="K3128" s="1">
        <v>41283</v>
      </c>
      <c r="L3128">
        <v>17326.27</v>
      </c>
    </row>
    <row r="3129" spans="1:12" x14ac:dyDescent="0.35">
      <c r="A3129" s="1">
        <v>41330</v>
      </c>
      <c r="B3129">
        <v>2651.86</v>
      </c>
      <c r="C3129" s="1">
        <v>41317</v>
      </c>
      <c r="D3129">
        <v>3686.58</v>
      </c>
      <c r="E3129" s="1">
        <v>41276</v>
      </c>
      <c r="F3129">
        <v>7778.78</v>
      </c>
      <c r="G3129" s="1">
        <v>41257</v>
      </c>
      <c r="H3129">
        <v>7273.1336899999997</v>
      </c>
      <c r="I3129" s="1">
        <v>41313</v>
      </c>
      <c r="J3129">
        <v>8174.9</v>
      </c>
      <c r="K3129" s="1">
        <v>41282</v>
      </c>
      <c r="L3129">
        <v>16951.14</v>
      </c>
    </row>
    <row r="3130" spans="1:12" x14ac:dyDescent="0.35">
      <c r="A3130" s="1">
        <v>41327</v>
      </c>
      <c r="B3130">
        <v>2630.05</v>
      </c>
      <c r="C3130" s="1">
        <v>41316</v>
      </c>
      <c r="D3130">
        <v>3650.58</v>
      </c>
      <c r="E3130" s="1">
        <v>41271</v>
      </c>
      <c r="F3130">
        <v>7612.39</v>
      </c>
      <c r="G3130" s="1">
        <v>41256</v>
      </c>
      <c r="H3130">
        <v>7305.6243199999999</v>
      </c>
      <c r="I3130" s="1">
        <v>41312</v>
      </c>
      <c r="J3130">
        <v>8014.6</v>
      </c>
      <c r="K3130" s="1">
        <v>41281</v>
      </c>
      <c r="L3130">
        <v>16895.66</v>
      </c>
    </row>
    <row r="3131" spans="1:12" x14ac:dyDescent="0.35">
      <c r="A3131" s="1">
        <v>41326</v>
      </c>
      <c r="B3131">
        <v>2579.7600000000002</v>
      </c>
      <c r="C3131" s="1">
        <v>41313</v>
      </c>
      <c r="D3131">
        <v>3649.5</v>
      </c>
      <c r="E3131" s="1">
        <v>41270</v>
      </c>
      <c r="F3131">
        <v>7655.88</v>
      </c>
      <c r="G3131" s="1">
        <v>41255</v>
      </c>
      <c r="H3131">
        <v>7344.1787199999999</v>
      </c>
      <c r="I3131" s="1">
        <v>41311</v>
      </c>
      <c r="J3131">
        <v>8056.2</v>
      </c>
      <c r="K3131" s="1">
        <v>41278</v>
      </c>
      <c r="L3131">
        <v>16959.78</v>
      </c>
    </row>
    <row r="3132" spans="1:12" x14ac:dyDescent="0.35">
      <c r="A3132" s="1">
        <v>41325</v>
      </c>
      <c r="B3132">
        <v>2640.35</v>
      </c>
      <c r="C3132" s="1">
        <v>41312</v>
      </c>
      <c r="D3132">
        <v>3601.05</v>
      </c>
      <c r="E3132" s="1">
        <v>41264</v>
      </c>
      <c r="F3132">
        <v>7636.23</v>
      </c>
      <c r="G3132" s="1">
        <v>41254</v>
      </c>
      <c r="H3132">
        <v>7343.8815800000002</v>
      </c>
      <c r="I3132" s="1">
        <v>41310</v>
      </c>
      <c r="J3132">
        <v>8093.6</v>
      </c>
      <c r="K3132" s="1">
        <v>41277</v>
      </c>
      <c r="L3132">
        <v>16909.830000000002</v>
      </c>
    </row>
    <row r="3133" spans="1:12" x14ac:dyDescent="0.35">
      <c r="A3133" s="1">
        <v>41324</v>
      </c>
      <c r="B3133">
        <v>2662.37</v>
      </c>
      <c r="C3133" s="1">
        <v>41311</v>
      </c>
      <c r="D3133">
        <v>3642.9</v>
      </c>
      <c r="E3133" s="1">
        <v>41263</v>
      </c>
      <c r="F3133">
        <v>7672.1</v>
      </c>
      <c r="G3133" s="1">
        <v>41253</v>
      </c>
      <c r="H3133">
        <v>7356.1502499999997</v>
      </c>
      <c r="I3133" s="1">
        <v>41309</v>
      </c>
      <c r="J3133">
        <v>7919.6</v>
      </c>
      <c r="K3133" s="1">
        <v>41276</v>
      </c>
      <c r="L3133">
        <v>16893.39</v>
      </c>
    </row>
    <row r="3134" spans="1:12" x14ac:dyDescent="0.35">
      <c r="A3134" s="1">
        <v>41323</v>
      </c>
      <c r="B3134">
        <v>2616.65</v>
      </c>
      <c r="C3134" s="1">
        <v>41310</v>
      </c>
      <c r="D3134">
        <v>3694.7</v>
      </c>
      <c r="E3134" s="1">
        <v>41262</v>
      </c>
      <c r="F3134">
        <v>7668.5</v>
      </c>
      <c r="G3134" s="1">
        <v>41250</v>
      </c>
      <c r="H3134">
        <v>7329.4681899999996</v>
      </c>
      <c r="I3134" s="1">
        <v>41306</v>
      </c>
      <c r="J3134">
        <v>8229.7000000000007</v>
      </c>
      <c r="K3134" s="1">
        <v>41271</v>
      </c>
      <c r="L3134">
        <v>16273.38</v>
      </c>
    </row>
    <row r="3135" spans="1:12" x14ac:dyDescent="0.35">
      <c r="A3135" s="1">
        <v>41320</v>
      </c>
      <c r="B3135">
        <v>2615.2600000000002</v>
      </c>
      <c r="C3135" s="1">
        <v>41309</v>
      </c>
      <c r="D3135">
        <v>3659.91</v>
      </c>
      <c r="E3135" s="1">
        <v>41261</v>
      </c>
      <c r="F3135">
        <v>7653.58</v>
      </c>
      <c r="G3135" s="1">
        <v>41249</v>
      </c>
      <c r="H3135">
        <v>7308.2121100000004</v>
      </c>
      <c r="I3135" s="1">
        <v>41305</v>
      </c>
      <c r="J3135">
        <v>8362.2999999999993</v>
      </c>
      <c r="K3135" s="1">
        <v>41270</v>
      </c>
      <c r="L3135">
        <v>16408.28</v>
      </c>
    </row>
    <row r="3136" spans="1:12" x14ac:dyDescent="0.35">
      <c r="A3136" s="1">
        <v>41319</v>
      </c>
      <c r="B3136">
        <v>2635.35</v>
      </c>
      <c r="C3136" s="1">
        <v>41306</v>
      </c>
      <c r="D3136">
        <v>3773.53</v>
      </c>
      <c r="E3136" s="1">
        <v>41260</v>
      </c>
      <c r="F3136">
        <v>7604.94</v>
      </c>
      <c r="G3136" s="1">
        <v>41248</v>
      </c>
      <c r="H3136">
        <v>7251.40978</v>
      </c>
      <c r="I3136" s="1">
        <v>41304</v>
      </c>
      <c r="J3136">
        <v>8571.9</v>
      </c>
      <c r="K3136" s="1">
        <v>41264</v>
      </c>
      <c r="L3136">
        <v>16333.95</v>
      </c>
    </row>
    <row r="3137" spans="1:12" x14ac:dyDescent="0.35">
      <c r="A3137" s="1">
        <v>41318</v>
      </c>
      <c r="B3137">
        <v>2656.86</v>
      </c>
      <c r="C3137" s="1">
        <v>41305</v>
      </c>
      <c r="D3137">
        <v>3732.6</v>
      </c>
      <c r="E3137" s="1">
        <v>41257</v>
      </c>
      <c r="F3137">
        <v>7596.47</v>
      </c>
      <c r="G3137" s="1">
        <v>41247</v>
      </c>
      <c r="H3137">
        <v>7217.0542999999998</v>
      </c>
      <c r="I3137" s="1">
        <v>41303</v>
      </c>
      <c r="J3137">
        <v>8643</v>
      </c>
      <c r="K3137" s="1">
        <v>41263</v>
      </c>
      <c r="L3137">
        <v>16399.36</v>
      </c>
    </row>
    <row r="3138" spans="1:12" x14ac:dyDescent="0.35">
      <c r="A3138" s="1">
        <v>41317</v>
      </c>
      <c r="B3138">
        <v>2648.83</v>
      </c>
      <c r="C3138" s="1">
        <v>41304</v>
      </c>
      <c r="D3138">
        <v>3765.52</v>
      </c>
      <c r="E3138" s="1">
        <v>41256</v>
      </c>
      <c r="F3138">
        <v>7581.98</v>
      </c>
      <c r="G3138" s="1">
        <v>41246</v>
      </c>
      <c r="H3138">
        <v>7242.0205100000003</v>
      </c>
      <c r="I3138" s="1">
        <v>41302</v>
      </c>
      <c r="J3138">
        <v>8672.5</v>
      </c>
      <c r="K3138" s="1">
        <v>41262</v>
      </c>
      <c r="L3138">
        <v>16332.5</v>
      </c>
    </row>
    <row r="3139" spans="1:12" x14ac:dyDescent="0.35">
      <c r="A3139" s="1">
        <v>41316</v>
      </c>
      <c r="B3139">
        <v>2622.61</v>
      </c>
      <c r="C3139" s="1">
        <v>41303</v>
      </c>
      <c r="D3139">
        <v>3785.82</v>
      </c>
      <c r="E3139" s="1">
        <v>41255</v>
      </c>
      <c r="F3139">
        <v>7614.79</v>
      </c>
      <c r="G3139" s="1">
        <v>41243</v>
      </c>
      <c r="H3139">
        <v>7234.0300100000004</v>
      </c>
      <c r="I3139" s="1">
        <v>41299</v>
      </c>
      <c r="J3139">
        <v>8724.6</v>
      </c>
      <c r="K3139" s="1">
        <v>41261</v>
      </c>
      <c r="L3139">
        <v>16155.14</v>
      </c>
    </row>
    <row r="3140" spans="1:12" x14ac:dyDescent="0.35">
      <c r="A3140" s="1">
        <v>41313</v>
      </c>
      <c r="B3140">
        <v>2630.3</v>
      </c>
      <c r="C3140" s="1">
        <v>41302</v>
      </c>
      <c r="D3140">
        <v>3780.89</v>
      </c>
      <c r="E3140" s="1">
        <v>41254</v>
      </c>
      <c r="F3140">
        <v>7589.75</v>
      </c>
      <c r="G3140" s="1">
        <v>41242</v>
      </c>
      <c r="H3140">
        <v>7259.5862299999999</v>
      </c>
      <c r="I3140" s="1">
        <v>41298</v>
      </c>
      <c r="J3140">
        <v>8665.6</v>
      </c>
      <c r="K3140" s="1">
        <v>41260</v>
      </c>
      <c r="L3140">
        <v>16004.73</v>
      </c>
    </row>
    <row r="3141" spans="1:12" x14ac:dyDescent="0.35">
      <c r="A3141" s="1">
        <v>41312</v>
      </c>
      <c r="B3141">
        <v>2597.92</v>
      </c>
      <c r="C3141" s="1">
        <v>41299</v>
      </c>
      <c r="D3141">
        <v>3778.16</v>
      </c>
      <c r="E3141" s="1">
        <v>41253</v>
      </c>
      <c r="F3141">
        <v>7530.92</v>
      </c>
      <c r="G3141" s="1">
        <v>41241</v>
      </c>
      <c r="H3141">
        <v>7181.3403799999996</v>
      </c>
      <c r="I3141" s="1">
        <v>41297</v>
      </c>
      <c r="J3141">
        <v>8613.2999999999993</v>
      </c>
      <c r="K3141" s="1">
        <v>41257</v>
      </c>
      <c r="L3141">
        <v>15908.09</v>
      </c>
    </row>
    <row r="3142" spans="1:12" x14ac:dyDescent="0.35">
      <c r="A3142" s="1">
        <v>41311</v>
      </c>
      <c r="B3142">
        <v>2617.35</v>
      </c>
      <c r="C3142" s="1">
        <v>41298</v>
      </c>
      <c r="D3142">
        <v>3752.17</v>
      </c>
      <c r="E3142" s="1">
        <v>41250</v>
      </c>
      <c r="F3142">
        <v>7517.8</v>
      </c>
      <c r="G3142" s="1">
        <v>41240</v>
      </c>
      <c r="H3142">
        <v>7183.8590400000003</v>
      </c>
      <c r="I3142" s="1">
        <v>41296</v>
      </c>
      <c r="J3142">
        <v>8632.1</v>
      </c>
      <c r="K3142" s="1">
        <v>41256</v>
      </c>
      <c r="L3142">
        <v>15866.29</v>
      </c>
    </row>
    <row r="3143" spans="1:12" x14ac:dyDescent="0.35">
      <c r="A3143" s="1">
        <v>41310</v>
      </c>
      <c r="B3143">
        <v>2651.21</v>
      </c>
      <c r="C3143" s="1">
        <v>41297</v>
      </c>
      <c r="D3143">
        <v>3726.17</v>
      </c>
      <c r="E3143" s="1">
        <v>41249</v>
      </c>
      <c r="F3143">
        <v>7534.54</v>
      </c>
      <c r="G3143" s="1">
        <v>41239</v>
      </c>
      <c r="H3143">
        <v>7152.5823799999998</v>
      </c>
      <c r="I3143" s="1">
        <v>41295</v>
      </c>
      <c r="J3143">
        <v>8665.9</v>
      </c>
      <c r="K3143" s="1">
        <v>41255</v>
      </c>
      <c r="L3143">
        <v>15764.98</v>
      </c>
    </row>
    <row r="3144" spans="1:12" x14ac:dyDescent="0.35">
      <c r="A3144" s="1">
        <v>41309</v>
      </c>
      <c r="B3144">
        <v>2625.17</v>
      </c>
      <c r="C3144" s="1">
        <v>41296</v>
      </c>
      <c r="D3144">
        <v>3741.01</v>
      </c>
      <c r="E3144" s="1">
        <v>41248</v>
      </c>
      <c r="F3144">
        <v>7454.55</v>
      </c>
      <c r="G3144" s="1">
        <v>41236</v>
      </c>
      <c r="H3144">
        <v>7192.14516</v>
      </c>
      <c r="I3144" s="1">
        <v>41292</v>
      </c>
      <c r="J3144">
        <v>8604</v>
      </c>
      <c r="K3144" s="1">
        <v>41254</v>
      </c>
      <c r="L3144">
        <v>15585.61</v>
      </c>
    </row>
    <row r="3145" spans="1:12" x14ac:dyDescent="0.35">
      <c r="A3145" s="1">
        <v>41306</v>
      </c>
      <c r="B3145">
        <v>2710.08</v>
      </c>
      <c r="C3145" s="1">
        <v>41295</v>
      </c>
      <c r="D3145">
        <v>3763.03</v>
      </c>
      <c r="E3145" s="1">
        <v>41247</v>
      </c>
      <c r="F3145">
        <v>7435.12</v>
      </c>
      <c r="G3145" s="1">
        <v>41235</v>
      </c>
      <c r="H3145">
        <v>7172.6988700000002</v>
      </c>
      <c r="I3145" s="1">
        <v>41291</v>
      </c>
      <c r="J3145">
        <v>8628.9</v>
      </c>
      <c r="K3145" s="1">
        <v>41253</v>
      </c>
      <c r="L3145">
        <v>15354.01</v>
      </c>
    </row>
    <row r="3146" spans="1:12" x14ac:dyDescent="0.35">
      <c r="A3146" s="1">
        <v>41305</v>
      </c>
      <c r="B3146">
        <v>2702.98</v>
      </c>
      <c r="C3146" s="1">
        <v>41292</v>
      </c>
      <c r="D3146">
        <v>3741.58</v>
      </c>
      <c r="E3146" s="1">
        <v>41246</v>
      </c>
      <c r="F3146">
        <v>7435.21</v>
      </c>
      <c r="G3146" s="1">
        <v>41234</v>
      </c>
      <c r="H3146">
        <v>7148.3366299999998</v>
      </c>
      <c r="I3146" s="1">
        <v>41290</v>
      </c>
      <c r="J3146">
        <v>8581.1</v>
      </c>
      <c r="K3146" s="1">
        <v>41250</v>
      </c>
      <c r="L3146">
        <v>15699.22</v>
      </c>
    </row>
    <row r="3147" spans="1:12" x14ac:dyDescent="0.35">
      <c r="A3147" s="1">
        <v>41304</v>
      </c>
      <c r="B3147">
        <v>2732.12</v>
      </c>
      <c r="C3147" s="1">
        <v>41291</v>
      </c>
      <c r="D3147">
        <v>3744.11</v>
      </c>
      <c r="E3147" s="1">
        <v>41243</v>
      </c>
      <c r="F3147">
        <v>7405.5</v>
      </c>
      <c r="G3147" s="1">
        <v>41233</v>
      </c>
      <c r="H3147">
        <v>7147.6451999999999</v>
      </c>
      <c r="I3147" s="1">
        <v>41289</v>
      </c>
      <c r="J3147">
        <v>8601</v>
      </c>
      <c r="K3147" s="1">
        <v>41249</v>
      </c>
      <c r="L3147">
        <v>15835.22</v>
      </c>
    </row>
    <row r="3148" spans="1:12" x14ac:dyDescent="0.35">
      <c r="A3148" s="1">
        <v>41303</v>
      </c>
      <c r="B3148">
        <v>2749.27</v>
      </c>
      <c r="C3148" s="1">
        <v>41290</v>
      </c>
      <c r="D3148">
        <v>3708.49</v>
      </c>
      <c r="E3148" s="1">
        <v>41242</v>
      </c>
      <c r="F3148">
        <v>7400.96</v>
      </c>
      <c r="G3148" s="1">
        <v>41232</v>
      </c>
      <c r="H3148">
        <v>7130.6179199999997</v>
      </c>
      <c r="I3148" s="1">
        <v>41288</v>
      </c>
      <c r="J3148">
        <v>8632.1</v>
      </c>
      <c r="K3148" s="1">
        <v>41248</v>
      </c>
      <c r="L3148">
        <v>15954.43</v>
      </c>
    </row>
    <row r="3149" spans="1:12" x14ac:dyDescent="0.35">
      <c r="A3149" s="1">
        <v>41302</v>
      </c>
      <c r="B3149">
        <v>2744.5</v>
      </c>
      <c r="C3149" s="1">
        <v>41289</v>
      </c>
      <c r="D3149">
        <v>3697.35</v>
      </c>
      <c r="E3149" s="1">
        <v>41241</v>
      </c>
      <c r="F3149">
        <v>7343.41</v>
      </c>
      <c r="G3149" s="1">
        <v>41229</v>
      </c>
      <c r="H3149">
        <v>6992.5582700000004</v>
      </c>
      <c r="I3149" s="1">
        <v>41285</v>
      </c>
      <c r="J3149">
        <v>8664.7000000000007</v>
      </c>
      <c r="K3149" s="1">
        <v>41247</v>
      </c>
      <c r="L3149">
        <v>16041.54</v>
      </c>
    </row>
    <row r="3150" spans="1:12" x14ac:dyDescent="0.35">
      <c r="A3150" s="1">
        <v>41299</v>
      </c>
      <c r="B3150">
        <v>2744.18</v>
      </c>
      <c r="C3150" s="1">
        <v>41288</v>
      </c>
      <c r="D3150">
        <v>3708.25</v>
      </c>
      <c r="E3150" s="1">
        <v>41240</v>
      </c>
      <c r="F3150">
        <v>7332.33</v>
      </c>
      <c r="G3150" s="1">
        <v>41228</v>
      </c>
      <c r="H3150">
        <v>7049.5136000000002</v>
      </c>
      <c r="I3150" s="1">
        <v>41284</v>
      </c>
      <c r="J3150">
        <v>8618.9</v>
      </c>
      <c r="K3150" s="1">
        <v>41246</v>
      </c>
      <c r="L3150">
        <v>15876.06</v>
      </c>
    </row>
    <row r="3151" spans="1:12" x14ac:dyDescent="0.35">
      <c r="A3151" s="1">
        <v>41298</v>
      </c>
      <c r="B3151">
        <v>2722.96</v>
      </c>
      <c r="C3151" s="1">
        <v>41285</v>
      </c>
      <c r="D3151">
        <v>3706.02</v>
      </c>
      <c r="E3151" s="1">
        <v>41239</v>
      </c>
      <c r="F3151">
        <v>7292.03</v>
      </c>
      <c r="G3151" s="1">
        <v>41227</v>
      </c>
      <c r="H3151">
        <v>7118.1696700000002</v>
      </c>
      <c r="I3151" s="1">
        <v>41283</v>
      </c>
      <c r="J3151">
        <v>8606.4</v>
      </c>
      <c r="K3151" s="1">
        <v>41243</v>
      </c>
      <c r="L3151">
        <v>15808.24</v>
      </c>
    </row>
    <row r="3152" spans="1:12" x14ac:dyDescent="0.35">
      <c r="A3152" s="1">
        <v>41297</v>
      </c>
      <c r="B3152">
        <v>2708.28</v>
      </c>
      <c r="C3152" s="1">
        <v>41284</v>
      </c>
      <c r="D3152">
        <v>3703.12</v>
      </c>
      <c r="E3152" s="1">
        <v>41236</v>
      </c>
      <c r="F3152">
        <v>7309.13</v>
      </c>
      <c r="G3152" s="1">
        <v>41226</v>
      </c>
      <c r="H3152">
        <v>7228.9428600000001</v>
      </c>
      <c r="I3152" s="1">
        <v>41282</v>
      </c>
      <c r="J3152">
        <v>8453</v>
      </c>
      <c r="K3152" s="1">
        <v>41242</v>
      </c>
      <c r="L3152">
        <v>15887.99</v>
      </c>
    </row>
    <row r="3153" spans="1:12" x14ac:dyDescent="0.35">
      <c r="A3153" s="1">
        <v>41296</v>
      </c>
      <c r="B3153">
        <v>2716.7</v>
      </c>
      <c r="C3153" s="1">
        <v>41283</v>
      </c>
      <c r="D3153">
        <v>3717.45</v>
      </c>
      <c r="E3153" s="1">
        <v>41235</v>
      </c>
      <c r="F3153">
        <v>7244.99</v>
      </c>
      <c r="G3153" s="1">
        <v>41225</v>
      </c>
      <c r="H3153">
        <v>7201.7156699999996</v>
      </c>
      <c r="I3153" s="1">
        <v>41281</v>
      </c>
      <c r="J3153">
        <v>8419</v>
      </c>
      <c r="K3153" s="1">
        <v>41241</v>
      </c>
      <c r="L3153">
        <v>15453.43</v>
      </c>
    </row>
    <row r="3154" spans="1:12" x14ac:dyDescent="0.35">
      <c r="A3154" s="1">
        <v>41295</v>
      </c>
      <c r="B3154">
        <v>2726.63</v>
      </c>
      <c r="C3154" s="1">
        <v>41282</v>
      </c>
      <c r="D3154">
        <v>3705.88</v>
      </c>
      <c r="E3154" s="1">
        <v>41234</v>
      </c>
      <c r="F3154">
        <v>7184.71</v>
      </c>
      <c r="G3154" s="1">
        <v>41222</v>
      </c>
      <c r="H3154">
        <v>7218.6760400000003</v>
      </c>
      <c r="I3154" s="1">
        <v>41278</v>
      </c>
      <c r="J3154">
        <v>8435.7999999999993</v>
      </c>
      <c r="K3154" s="1">
        <v>41240</v>
      </c>
      <c r="L3154">
        <v>15479.81</v>
      </c>
    </row>
    <row r="3155" spans="1:12" x14ac:dyDescent="0.35">
      <c r="A3155" s="1">
        <v>41292</v>
      </c>
      <c r="B3155">
        <v>2709.59</v>
      </c>
      <c r="C3155" s="1">
        <v>41281</v>
      </c>
      <c r="D3155">
        <v>3704.64</v>
      </c>
      <c r="E3155" s="1">
        <v>41233</v>
      </c>
      <c r="F3155">
        <v>7172.99</v>
      </c>
      <c r="G3155" s="1">
        <v>41221</v>
      </c>
      <c r="H3155">
        <v>7244.8908499999998</v>
      </c>
      <c r="I3155" s="1">
        <v>41277</v>
      </c>
      <c r="J3155">
        <v>8403.4</v>
      </c>
      <c r="K3155" s="1">
        <v>41239</v>
      </c>
      <c r="L3155">
        <v>15520.14</v>
      </c>
    </row>
    <row r="3156" spans="1:12" x14ac:dyDescent="0.35">
      <c r="A3156" s="1">
        <v>41291</v>
      </c>
      <c r="B3156">
        <v>2718.93</v>
      </c>
      <c r="C3156" s="1">
        <v>41278</v>
      </c>
      <c r="D3156">
        <v>3730.02</v>
      </c>
      <c r="E3156" s="1">
        <v>41232</v>
      </c>
      <c r="F3156">
        <v>7123.84</v>
      </c>
      <c r="G3156" s="1">
        <v>41220</v>
      </c>
      <c r="H3156">
        <v>7251.56369</v>
      </c>
      <c r="I3156" s="1">
        <v>41276</v>
      </c>
      <c r="J3156">
        <v>8447.6</v>
      </c>
      <c r="K3156" s="1">
        <v>41236</v>
      </c>
      <c r="L3156">
        <v>15635.89</v>
      </c>
    </row>
    <row r="3157" spans="1:12" x14ac:dyDescent="0.35">
      <c r="A3157" s="1">
        <v>41290</v>
      </c>
      <c r="B3157">
        <v>2702.54</v>
      </c>
      <c r="C3157" s="1">
        <v>41277</v>
      </c>
      <c r="D3157">
        <v>3721.17</v>
      </c>
      <c r="E3157" s="1">
        <v>41229</v>
      </c>
      <c r="F3157">
        <v>6950.53</v>
      </c>
      <c r="G3157" s="1">
        <v>41219</v>
      </c>
      <c r="H3157">
        <v>7342.0039999999999</v>
      </c>
      <c r="I3157" s="1">
        <v>41274</v>
      </c>
      <c r="J3157">
        <v>8167.5</v>
      </c>
      <c r="K3157" s="1">
        <v>41235</v>
      </c>
      <c r="L3157">
        <v>15553.62</v>
      </c>
    </row>
    <row r="3158" spans="1:12" x14ac:dyDescent="0.35">
      <c r="A3158" s="1">
        <v>41289</v>
      </c>
      <c r="B3158">
        <v>2701.59</v>
      </c>
      <c r="C3158" s="1">
        <v>41276</v>
      </c>
      <c r="D3158">
        <v>3733.93</v>
      </c>
      <c r="E3158" s="1">
        <v>41228</v>
      </c>
      <c r="F3158">
        <v>7043.42</v>
      </c>
      <c r="G3158" s="1">
        <v>41218</v>
      </c>
      <c r="H3158">
        <v>7294.8269</v>
      </c>
      <c r="I3158" s="1">
        <v>41271</v>
      </c>
      <c r="J3158">
        <v>8131</v>
      </c>
      <c r="K3158" s="1">
        <v>41234</v>
      </c>
      <c r="L3158">
        <v>15394.62</v>
      </c>
    </row>
    <row r="3159" spans="1:12" x14ac:dyDescent="0.35">
      <c r="A3159" s="1">
        <v>41288</v>
      </c>
      <c r="B3159">
        <v>2715.16</v>
      </c>
      <c r="C3159" s="1">
        <v>41274</v>
      </c>
      <c r="D3159">
        <v>3641.07</v>
      </c>
      <c r="E3159" s="1">
        <v>41227</v>
      </c>
      <c r="F3159">
        <v>7101.92</v>
      </c>
      <c r="G3159" s="1">
        <v>41215</v>
      </c>
      <c r="H3159">
        <v>7335.80188</v>
      </c>
      <c r="I3159" s="1">
        <v>41270</v>
      </c>
      <c r="J3159">
        <v>8280.9</v>
      </c>
      <c r="K3159" s="1">
        <v>41233</v>
      </c>
      <c r="L3159">
        <v>15269.99</v>
      </c>
    </row>
    <row r="3160" spans="1:12" x14ac:dyDescent="0.35">
      <c r="A3160" s="1">
        <v>41285</v>
      </c>
      <c r="B3160">
        <v>2717.79</v>
      </c>
      <c r="C3160" s="1">
        <v>41271</v>
      </c>
      <c r="D3160">
        <v>3620.25</v>
      </c>
      <c r="E3160" s="1">
        <v>41226</v>
      </c>
      <c r="F3160">
        <v>7169.12</v>
      </c>
      <c r="G3160" s="1">
        <v>41214</v>
      </c>
      <c r="H3160">
        <v>7307.6850199999999</v>
      </c>
      <c r="I3160" s="1">
        <v>41267</v>
      </c>
      <c r="J3160">
        <v>8299.5</v>
      </c>
      <c r="K3160" s="1">
        <v>41232</v>
      </c>
      <c r="L3160">
        <v>15308.96</v>
      </c>
    </row>
    <row r="3161" spans="1:12" x14ac:dyDescent="0.35">
      <c r="A3161" s="1">
        <v>41284</v>
      </c>
      <c r="B3161">
        <v>2708.27</v>
      </c>
      <c r="C3161" s="1">
        <v>41270</v>
      </c>
      <c r="D3161">
        <v>3674.26</v>
      </c>
      <c r="E3161" s="1">
        <v>41225</v>
      </c>
      <c r="F3161">
        <v>7168.76</v>
      </c>
      <c r="G3161" s="1">
        <v>41213</v>
      </c>
      <c r="H3161">
        <v>7193.3756199999998</v>
      </c>
      <c r="I3161" s="1">
        <v>41264</v>
      </c>
      <c r="J3161">
        <v>8291</v>
      </c>
      <c r="K3161" s="1">
        <v>41229</v>
      </c>
      <c r="L3161">
        <v>14855.79</v>
      </c>
    </row>
    <row r="3162" spans="1:12" x14ac:dyDescent="0.35">
      <c r="A3162" s="1">
        <v>41283</v>
      </c>
      <c r="B3162">
        <v>2706.39</v>
      </c>
      <c r="C3162" s="1">
        <v>41267</v>
      </c>
      <c r="D3162">
        <v>3652.61</v>
      </c>
      <c r="E3162" s="1">
        <v>41222</v>
      </c>
      <c r="F3162">
        <v>7163.5</v>
      </c>
      <c r="G3162" s="1">
        <v>41212</v>
      </c>
      <c r="H3162">
        <v>7253.1540699999996</v>
      </c>
      <c r="I3162" s="1">
        <v>41263</v>
      </c>
      <c r="J3162">
        <v>8264.2000000000007</v>
      </c>
      <c r="K3162" s="1">
        <v>41228</v>
      </c>
      <c r="L3162">
        <v>15162.82</v>
      </c>
    </row>
    <row r="3163" spans="1:12" x14ac:dyDescent="0.35">
      <c r="A3163" s="1">
        <v>41282</v>
      </c>
      <c r="B3163">
        <v>2691.45</v>
      </c>
      <c r="C3163" s="1">
        <v>41264</v>
      </c>
      <c r="D3163">
        <v>3661.4</v>
      </c>
      <c r="E3163" s="1">
        <v>41221</v>
      </c>
      <c r="F3163">
        <v>7204.96</v>
      </c>
      <c r="G3163" s="1">
        <v>41211</v>
      </c>
      <c r="H3163">
        <v>7201.30692</v>
      </c>
      <c r="I3163" s="1">
        <v>41262</v>
      </c>
      <c r="J3163">
        <v>8264.2000000000007</v>
      </c>
      <c r="K3163" s="1">
        <v>41227</v>
      </c>
      <c r="L3163">
        <v>15252.93</v>
      </c>
    </row>
    <row r="3164" spans="1:12" x14ac:dyDescent="0.35">
      <c r="A3164" s="1">
        <v>41281</v>
      </c>
      <c r="B3164">
        <v>2695.56</v>
      </c>
      <c r="C3164" s="1">
        <v>41263</v>
      </c>
      <c r="D3164">
        <v>3666.73</v>
      </c>
      <c r="E3164" s="1">
        <v>41220</v>
      </c>
      <c r="F3164">
        <v>7232.83</v>
      </c>
      <c r="G3164" s="1">
        <v>41208</v>
      </c>
      <c r="H3164">
        <v>7224.9304300000003</v>
      </c>
      <c r="I3164" s="1">
        <v>41261</v>
      </c>
      <c r="J3164">
        <v>8168.8</v>
      </c>
      <c r="K3164" s="1">
        <v>41226</v>
      </c>
      <c r="L3164">
        <v>15333.15</v>
      </c>
    </row>
    <row r="3165" spans="1:12" x14ac:dyDescent="0.35">
      <c r="A3165" s="1">
        <v>41278</v>
      </c>
      <c r="B3165">
        <v>2709.35</v>
      </c>
      <c r="C3165" s="1">
        <v>41262</v>
      </c>
      <c r="D3165">
        <v>3664.59</v>
      </c>
      <c r="E3165" s="1">
        <v>41219</v>
      </c>
      <c r="F3165">
        <v>7377.76</v>
      </c>
      <c r="G3165" s="1">
        <v>41207</v>
      </c>
      <c r="H3165">
        <v>7220.4899100000002</v>
      </c>
      <c r="I3165" s="1">
        <v>41260</v>
      </c>
      <c r="J3165">
        <v>8040.3</v>
      </c>
      <c r="K3165" s="1">
        <v>41225</v>
      </c>
      <c r="L3165">
        <v>15121.7</v>
      </c>
    </row>
    <row r="3166" spans="1:12" x14ac:dyDescent="0.35">
      <c r="A3166" s="1">
        <v>41277</v>
      </c>
      <c r="B3166">
        <v>2701.22</v>
      </c>
      <c r="C3166" s="1">
        <v>41261</v>
      </c>
      <c r="D3166">
        <v>3648.63</v>
      </c>
      <c r="E3166" s="1">
        <v>41218</v>
      </c>
      <c r="F3166">
        <v>7326.47</v>
      </c>
      <c r="G3166" s="1">
        <v>41206</v>
      </c>
      <c r="H3166">
        <v>7179.1246199999996</v>
      </c>
      <c r="I3166" s="1">
        <v>41257</v>
      </c>
      <c r="J3166">
        <v>8024.1</v>
      </c>
      <c r="K3166" s="1">
        <v>41222</v>
      </c>
      <c r="L3166">
        <v>15181</v>
      </c>
    </row>
    <row r="3167" spans="1:12" x14ac:dyDescent="0.35">
      <c r="A3167" s="1">
        <v>41276</v>
      </c>
      <c r="B3167">
        <v>2711.25</v>
      </c>
      <c r="C3167" s="1">
        <v>41260</v>
      </c>
      <c r="D3167">
        <v>3638.1</v>
      </c>
      <c r="E3167" s="1">
        <v>41215</v>
      </c>
      <c r="F3167">
        <v>7363.85</v>
      </c>
      <c r="G3167" s="1">
        <v>41205</v>
      </c>
      <c r="H3167">
        <v>7122.7252900000003</v>
      </c>
      <c r="I3167" s="1">
        <v>41256</v>
      </c>
      <c r="J3167">
        <v>8017.1</v>
      </c>
      <c r="K3167" s="1">
        <v>41221</v>
      </c>
      <c r="L3167">
        <v>15194.08</v>
      </c>
    </row>
    <row r="3168" spans="1:12" x14ac:dyDescent="0.35">
      <c r="A3168" s="1">
        <v>41274</v>
      </c>
      <c r="B3168">
        <v>2635.93</v>
      </c>
      <c r="C3168" s="1">
        <v>41257</v>
      </c>
      <c r="D3168">
        <v>3643.28</v>
      </c>
      <c r="E3168" s="1">
        <v>41214</v>
      </c>
      <c r="F3168">
        <v>7335.67</v>
      </c>
      <c r="G3168" s="1">
        <v>41204</v>
      </c>
      <c r="H3168">
        <v>7213.1981699999997</v>
      </c>
      <c r="I3168" s="1">
        <v>41255</v>
      </c>
      <c r="J3168">
        <v>7986.8</v>
      </c>
      <c r="K3168" s="1">
        <v>41220</v>
      </c>
      <c r="L3168">
        <v>15291.78</v>
      </c>
    </row>
    <row r="3169" spans="1:12" x14ac:dyDescent="0.35">
      <c r="A3169" s="1">
        <v>41271</v>
      </c>
      <c r="B3169">
        <v>2626.85</v>
      </c>
      <c r="C3169" s="1">
        <v>41256</v>
      </c>
      <c r="D3169">
        <v>3643.13</v>
      </c>
      <c r="E3169" s="1">
        <v>41213</v>
      </c>
      <c r="F3169">
        <v>7260.63</v>
      </c>
      <c r="G3169" s="1">
        <v>41201</v>
      </c>
      <c r="H3169">
        <v>7246.0401599999996</v>
      </c>
      <c r="I3169" s="1">
        <v>41254</v>
      </c>
      <c r="J3169">
        <v>7920.9</v>
      </c>
      <c r="K3169" s="1">
        <v>41219</v>
      </c>
      <c r="L3169">
        <v>15683.71</v>
      </c>
    </row>
    <row r="3170" spans="1:12" x14ac:dyDescent="0.35">
      <c r="A3170" s="1">
        <v>41270</v>
      </c>
      <c r="B3170">
        <v>2659.95</v>
      </c>
      <c r="C3170" s="1">
        <v>41255</v>
      </c>
      <c r="D3170">
        <v>3646.66</v>
      </c>
      <c r="E3170" s="1">
        <v>41212</v>
      </c>
      <c r="F3170">
        <v>7284.4</v>
      </c>
      <c r="G3170" s="1">
        <v>41200</v>
      </c>
      <c r="H3170">
        <v>7286.6915099999997</v>
      </c>
      <c r="I3170" s="1">
        <v>41253</v>
      </c>
      <c r="J3170">
        <v>7804.4</v>
      </c>
      <c r="K3170" s="1">
        <v>41218</v>
      </c>
      <c r="L3170">
        <v>15544.4</v>
      </c>
    </row>
    <row r="3171" spans="1:12" x14ac:dyDescent="0.35">
      <c r="A3171" s="1">
        <v>41267</v>
      </c>
      <c r="B3171">
        <v>2648.53</v>
      </c>
      <c r="C3171" s="1">
        <v>41254</v>
      </c>
      <c r="D3171">
        <v>3646.15</v>
      </c>
      <c r="E3171" s="1">
        <v>41211</v>
      </c>
      <c r="F3171">
        <v>7203.16</v>
      </c>
      <c r="G3171" s="1">
        <v>41199</v>
      </c>
      <c r="H3171">
        <v>7277.9121299999997</v>
      </c>
      <c r="I3171" s="1">
        <v>41250</v>
      </c>
      <c r="J3171">
        <v>7848.5</v>
      </c>
      <c r="K3171" s="1">
        <v>41215</v>
      </c>
      <c r="L3171">
        <v>15769.28</v>
      </c>
    </row>
    <row r="3172" spans="1:12" x14ac:dyDescent="0.35">
      <c r="A3172" s="1">
        <v>41264</v>
      </c>
      <c r="B3172">
        <v>2651.09</v>
      </c>
      <c r="C3172" s="1">
        <v>41253</v>
      </c>
      <c r="D3172">
        <v>3612.1</v>
      </c>
      <c r="E3172" s="1">
        <v>41208</v>
      </c>
      <c r="F3172">
        <v>7231.85</v>
      </c>
      <c r="G3172" s="1">
        <v>41198</v>
      </c>
      <c r="H3172">
        <v>7253.0082899999998</v>
      </c>
      <c r="I3172" s="1">
        <v>41249</v>
      </c>
      <c r="J3172">
        <v>7910.8</v>
      </c>
      <c r="K3172" s="1">
        <v>41214</v>
      </c>
      <c r="L3172">
        <v>15806.73</v>
      </c>
    </row>
    <row r="3173" spans="1:12" x14ac:dyDescent="0.35">
      <c r="A3173" s="1">
        <v>41263</v>
      </c>
      <c r="B3173">
        <v>2658.3</v>
      </c>
      <c r="C3173" s="1">
        <v>41250</v>
      </c>
      <c r="D3173">
        <v>3605.61</v>
      </c>
      <c r="E3173" s="1">
        <v>41207</v>
      </c>
      <c r="F3173">
        <v>7200.23</v>
      </c>
      <c r="G3173" s="1">
        <v>41197</v>
      </c>
      <c r="H3173">
        <v>7211.2354299999997</v>
      </c>
      <c r="I3173" s="1">
        <v>41248</v>
      </c>
      <c r="J3173">
        <v>7883.2</v>
      </c>
      <c r="K3173" s="1">
        <v>41213</v>
      </c>
      <c r="L3173">
        <v>15539.71</v>
      </c>
    </row>
    <row r="3174" spans="1:12" x14ac:dyDescent="0.35">
      <c r="A3174" s="1">
        <v>41262</v>
      </c>
      <c r="B3174">
        <v>2654.69</v>
      </c>
      <c r="C3174" s="1">
        <v>41249</v>
      </c>
      <c r="D3174">
        <v>3601.65</v>
      </c>
      <c r="E3174" s="1">
        <v>41206</v>
      </c>
      <c r="F3174">
        <v>7192.85</v>
      </c>
      <c r="G3174" s="1">
        <v>41194</v>
      </c>
      <c r="H3174">
        <v>7190.8745699999999</v>
      </c>
      <c r="I3174" s="1">
        <v>41247</v>
      </c>
      <c r="J3174">
        <v>7902.4</v>
      </c>
      <c r="K3174" s="1">
        <v>41212</v>
      </c>
      <c r="L3174">
        <v>15521.77</v>
      </c>
    </row>
    <row r="3175" spans="1:12" x14ac:dyDescent="0.35">
      <c r="A3175" s="1">
        <v>41261</v>
      </c>
      <c r="B3175">
        <v>2643.5</v>
      </c>
      <c r="C3175" s="1">
        <v>41248</v>
      </c>
      <c r="D3175">
        <v>3590.5</v>
      </c>
      <c r="E3175" s="1">
        <v>41205</v>
      </c>
      <c r="F3175">
        <v>7173.69</v>
      </c>
      <c r="G3175" s="1">
        <v>41193</v>
      </c>
      <c r="H3175">
        <v>7227.6106200000004</v>
      </c>
      <c r="I3175" s="1">
        <v>41246</v>
      </c>
      <c r="J3175">
        <v>7889.2</v>
      </c>
      <c r="K3175" s="1">
        <v>41211</v>
      </c>
      <c r="L3175">
        <v>15349.12</v>
      </c>
    </row>
    <row r="3176" spans="1:12" x14ac:dyDescent="0.35">
      <c r="A3176" s="1">
        <v>41260</v>
      </c>
      <c r="B3176">
        <v>2628.01</v>
      </c>
      <c r="C3176" s="1">
        <v>41247</v>
      </c>
      <c r="D3176">
        <v>3580.48</v>
      </c>
      <c r="E3176" s="1">
        <v>41204</v>
      </c>
      <c r="F3176">
        <v>7328.05</v>
      </c>
      <c r="G3176" s="1">
        <v>41192</v>
      </c>
      <c r="H3176">
        <v>7172.3710199999996</v>
      </c>
      <c r="I3176" s="1">
        <v>41243</v>
      </c>
      <c r="J3176">
        <v>7934.6</v>
      </c>
      <c r="K3176" s="1">
        <v>41208</v>
      </c>
      <c r="L3176">
        <v>15584.86</v>
      </c>
    </row>
    <row r="3177" spans="1:12" x14ac:dyDescent="0.35">
      <c r="A3177" s="1">
        <v>41257</v>
      </c>
      <c r="B3177">
        <v>2630.54</v>
      </c>
      <c r="C3177" s="1">
        <v>41246</v>
      </c>
      <c r="D3177">
        <v>3566.59</v>
      </c>
      <c r="E3177" s="1">
        <v>41201</v>
      </c>
      <c r="F3177">
        <v>7380.64</v>
      </c>
      <c r="G3177" s="1">
        <v>41191</v>
      </c>
      <c r="H3177">
        <v>7219.6022899999998</v>
      </c>
      <c r="I3177" s="1">
        <v>41242</v>
      </c>
      <c r="J3177">
        <v>7973.7</v>
      </c>
      <c r="K3177" s="1">
        <v>41207</v>
      </c>
      <c r="L3177">
        <v>15528.47</v>
      </c>
    </row>
    <row r="3178" spans="1:12" x14ac:dyDescent="0.35">
      <c r="A3178" s="1">
        <v>41256</v>
      </c>
      <c r="B3178">
        <v>2627.66</v>
      </c>
      <c r="C3178" s="1">
        <v>41243</v>
      </c>
      <c r="D3178">
        <v>3557.28</v>
      </c>
      <c r="E3178" s="1">
        <v>41200</v>
      </c>
      <c r="F3178">
        <v>7437.23</v>
      </c>
      <c r="G3178" s="1">
        <v>41190</v>
      </c>
      <c r="H3178">
        <v>7218.6508199999998</v>
      </c>
      <c r="I3178" s="1">
        <v>41241</v>
      </c>
      <c r="J3178">
        <v>7837.6</v>
      </c>
      <c r="K3178" s="1">
        <v>41206</v>
      </c>
      <c r="L3178">
        <v>15706.56</v>
      </c>
    </row>
    <row r="3179" spans="1:12" x14ac:dyDescent="0.35">
      <c r="A3179" s="1">
        <v>41255</v>
      </c>
      <c r="B3179">
        <v>2630.34</v>
      </c>
      <c r="C3179" s="1">
        <v>41242</v>
      </c>
      <c r="D3179">
        <v>3568.88</v>
      </c>
      <c r="E3179" s="1">
        <v>41199</v>
      </c>
      <c r="F3179">
        <v>7394.55</v>
      </c>
      <c r="G3179" s="1">
        <v>41187</v>
      </c>
      <c r="H3179">
        <v>7276.2503500000003</v>
      </c>
      <c r="I3179" s="1">
        <v>41240</v>
      </c>
      <c r="J3179">
        <v>7863.7</v>
      </c>
      <c r="K3179" s="1">
        <v>41205</v>
      </c>
      <c r="L3179">
        <v>15578.95</v>
      </c>
    </row>
    <row r="3180" spans="1:12" x14ac:dyDescent="0.35">
      <c r="A3180" s="1">
        <v>41254</v>
      </c>
      <c r="B3180">
        <v>2624.03</v>
      </c>
      <c r="C3180" s="1">
        <v>41241</v>
      </c>
      <c r="D3180">
        <v>3515.19</v>
      </c>
      <c r="E3180" s="1">
        <v>41198</v>
      </c>
      <c r="F3180">
        <v>7376.27</v>
      </c>
      <c r="G3180" s="1">
        <v>41186</v>
      </c>
      <c r="H3180">
        <v>7244.6584499999999</v>
      </c>
      <c r="I3180" s="1">
        <v>41239</v>
      </c>
      <c r="J3180">
        <v>7874.8</v>
      </c>
      <c r="K3180" s="1">
        <v>41204</v>
      </c>
      <c r="L3180">
        <v>15866.78</v>
      </c>
    </row>
    <row r="3181" spans="1:12" x14ac:dyDescent="0.35">
      <c r="A3181" s="1">
        <v>41253</v>
      </c>
      <c r="B3181">
        <v>2596.02</v>
      </c>
      <c r="C3181" s="1">
        <v>41240</v>
      </c>
      <c r="D3181">
        <v>3502.13</v>
      </c>
      <c r="E3181" s="1">
        <v>41197</v>
      </c>
      <c r="F3181">
        <v>7261.25</v>
      </c>
      <c r="G3181" s="1">
        <v>41185</v>
      </c>
      <c r="H3181">
        <v>7259.6958400000003</v>
      </c>
      <c r="I3181" s="1">
        <v>41236</v>
      </c>
      <c r="J3181">
        <v>7909.6</v>
      </c>
      <c r="K3181" s="1">
        <v>41201</v>
      </c>
      <c r="L3181">
        <v>15862.31</v>
      </c>
    </row>
    <row r="3182" spans="1:12" x14ac:dyDescent="0.35">
      <c r="A3182" s="1">
        <v>41250</v>
      </c>
      <c r="B3182">
        <v>2601.37</v>
      </c>
      <c r="C3182" s="1">
        <v>41239</v>
      </c>
      <c r="D3182">
        <v>3500.94</v>
      </c>
      <c r="E3182" s="1">
        <v>41194</v>
      </c>
      <c r="F3182">
        <v>7232.49</v>
      </c>
      <c r="G3182" s="1">
        <v>41184</v>
      </c>
      <c r="H3182">
        <v>7255.7525699999997</v>
      </c>
      <c r="I3182" s="1">
        <v>41235</v>
      </c>
      <c r="J3182">
        <v>7875.6</v>
      </c>
      <c r="K3182" s="1">
        <v>41200</v>
      </c>
      <c r="L3182">
        <v>16185.45</v>
      </c>
    </row>
    <row r="3183" spans="1:12" x14ac:dyDescent="0.35">
      <c r="A3183" s="1">
        <v>41249</v>
      </c>
      <c r="B3183">
        <v>2603.41</v>
      </c>
      <c r="C3183" s="1">
        <v>41236</v>
      </c>
      <c r="D3183">
        <v>3528.8</v>
      </c>
      <c r="E3183" s="1">
        <v>41193</v>
      </c>
      <c r="F3183">
        <v>7281.7</v>
      </c>
      <c r="G3183" s="1">
        <v>41183</v>
      </c>
      <c r="H3183">
        <v>7283.1218200000003</v>
      </c>
      <c r="I3183" s="1">
        <v>41234</v>
      </c>
      <c r="J3183">
        <v>7805.4</v>
      </c>
      <c r="K3183" s="1">
        <v>41199</v>
      </c>
      <c r="L3183">
        <v>16233.84</v>
      </c>
    </row>
    <row r="3184" spans="1:12" x14ac:dyDescent="0.35">
      <c r="A3184" s="1">
        <v>41248</v>
      </c>
      <c r="B3184">
        <v>2592.09</v>
      </c>
      <c r="C3184" s="1">
        <v>41235</v>
      </c>
      <c r="D3184">
        <v>3498.22</v>
      </c>
      <c r="E3184" s="1">
        <v>41192</v>
      </c>
      <c r="F3184">
        <v>7205.23</v>
      </c>
      <c r="G3184" s="1">
        <v>41180</v>
      </c>
      <c r="H3184">
        <v>7203.4526800000003</v>
      </c>
      <c r="I3184" s="1">
        <v>41233</v>
      </c>
      <c r="J3184">
        <v>7778.7</v>
      </c>
      <c r="K3184" s="1">
        <v>41198</v>
      </c>
      <c r="L3184">
        <v>15985.16</v>
      </c>
    </row>
    <row r="3185" spans="1:12" x14ac:dyDescent="0.35">
      <c r="A3185" s="1">
        <v>41247</v>
      </c>
      <c r="B3185">
        <v>2590.83</v>
      </c>
      <c r="C3185" s="1">
        <v>41234</v>
      </c>
      <c r="D3185">
        <v>3477.36</v>
      </c>
      <c r="E3185" s="1">
        <v>41191</v>
      </c>
      <c r="F3185">
        <v>7234.53</v>
      </c>
      <c r="G3185" s="1">
        <v>41179</v>
      </c>
      <c r="H3185">
        <v>7270.4350700000005</v>
      </c>
      <c r="I3185" s="1">
        <v>41232</v>
      </c>
      <c r="J3185">
        <v>7763.8</v>
      </c>
      <c r="K3185" s="1">
        <v>41197</v>
      </c>
      <c r="L3185">
        <v>15590.72</v>
      </c>
    </row>
    <row r="3186" spans="1:12" x14ac:dyDescent="0.35">
      <c r="A3186" s="1">
        <v>41246</v>
      </c>
      <c r="B3186">
        <v>2582.36</v>
      </c>
      <c r="C3186" s="1">
        <v>41233</v>
      </c>
      <c r="D3186">
        <v>3462.06</v>
      </c>
      <c r="E3186" s="1">
        <v>41190</v>
      </c>
      <c r="F3186">
        <v>7291.21</v>
      </c>
      <c r="G3186" s="1">
        <v>41178</v>
      </c>
      <c r="H3186">
        <v>7246.6619700000001</v>
      </c>
      <c r="I3186" s="1">
        <v>41229</v>
      </c>
      <c r="J3186">
        <v>7588.2</v>
      </c>
      <c r="K3186" s="1">
        <v>41194</v>
      </c>
      <c r="L3186">
        <v>15511.94</v>
      </c>
    </row>
    <row r="3187" spans="1:12" x14ac:dyDescent="0.35">
      <c r="A3187" s="1">
        <v>41243</v>
      </c>
      <c r="B3187">
        <v>2575.25</v>
      </c>
      <c r="C3187" s="1">
        <v>41232</v>
      </c>
      <c r="D3187">
        <v>3439.58</v>
      </c>
      <c r="E3187" s="1">
        <v>41187</v>
      </c>
      <c r="F3187">
        <v>7397.87</v>
      </c>
      <c r="G3187" s="1">
        <v>41177</v>
      </c>
      <c r="H3187">
        <v>7339.1148599999997</v>
      </c>
      <c r="I3187" s="1">
        <v>41228</v>
      </c>
      <c r="J3187">
        <v>7695.5</v>
      </c>
      <c r="K3187" s="1">
        <v>41193</v>
      </c>
      <c r="L3187">
        <v>15634.45</v>
      </c>
    </row>
    <row r="3188" spans="1:12" x14ac:dyDescent="0.35">
      <c r="A3188" s="1">
        <v>41242</v>
      </c>
      <c r="B3188">
        <v>2581.69</v>
      </c>
      <c r="C3188" s="1">
        <v>41229</v>
      </c>
      <c r="D3188">
        <v>3341.52</v>
      </c>
      <c r="E3188" s="1">
        <v>41186</v>
      </c>
      <c r="F3188">
        <v>7305.21</v>
      </c>
      <c r="G3188" s="1">
        <v>41176</v>
      </c>
      <c r="H3188">
        <v>7327.2604199999996</v>
      </c>
      <c r="I3188" s="1">
        <v>41227</v>
      </c>
      <c r="J3188">
        <v>7673</v>
      </c>
      <c r="K3188" s="1">
        <v>41192</v>
      </c>
      <c r="L3188">
        <v>15440.63</v>
      </c>
    </row>
    <row r="3189" spans="1:12" x14ac:dyDescent="0.35">
      <c r="A3189" s="1">
        <v>41241</v>
      </c>
      <c r="B3189">
        <v>2546.84</v>
      </c>
      <c r="C3189" s="1">
        <v>41228</v>
      </c>
      <c r="D3189">
        <v>3382.4</v>
      </c>
      <c r="E3189" s="1">
        <v>41185</v>
      </c>
      <c r="F3189">
        <v>7322.08</v>
      </c>
      <c r="G3189" s="1">
        <v>41173</v>
      </c>
      <c r="H3189">
        <v>7315.0998</v>
      </c>
      <c r="I3189" s="1">
        <v>41226</v>
      </c>
      <c r="J3189">
        <v>7693.4</v>
      </c>
      <c r="K3189" s="1">
        <v>41191</v>
      </c>
      <c r="L3189">
        <v>15504.65</v>
      </c>
    </row>
    <row r="3190" spans="1:12" x14ac:dyDescent="0.35">
      <c r="A3190" s="1">
        <v>41240</v>
      </c>
      <c r="B3190">
        <v>2543.4499999999998</v>
      </c>
      <c r="C3190" s="1">
        <v>41227</v>
      </c>
      <c r="D3190">
        <v>3400.02</v>
      </c>
      <c r="E3190" s="1">
        <v>41184</v>
      </c>
      <c r="F3190">
        <v>7305.86</v>
      </c>
      <c r="G3190" s="1">
        <v>41172</v>
      </c>
      <c r="H3190">
        <v>7323.5023099999999</v>
      </c>
      <c r="I3190" s="1">
        <v>41225</v>
      </c>
      <c r="J3190">
        <v>7567.8</v>
      </c>
      <c r="K3190" s="1">
        <v>41190</v>
      </c>
      <c r="L3190">
        <v>15562</v>
      </c>
    </row>
    <row r="3191" spans="1:12" x14ac:dyDescent="0.35">
      <c r="A3191" s="1">
        <v>41239</v>
      </c>
      <c r="B3191">
        <v>2542.52</v>
      </c>
      <c r="C3191" s="1">
        <v>41226</v>
      </c>
      <c r="D3191">
        <v>3430.6</v>
      </c>
      <c r="E3191" s="1">
        <v>41183</v>
      </c>
      <c r="F3191">
        <v>7326.73</v>
      </c>
      <c r="G3191" s="1">
        <v>41171</v>
      </c>
      <c r="H3191">
        <v>7309.12255</v>
      </c>
      <c r="I3191" s="1">
        <v>41222</v>
      </c>
      <c r="J3191">
        <v>7636.6</v>
      </c>
      <c r="K3191" s="1">
        <v>41187</v>
      </c>
      <c r="L3191">
        <v>15876.25</v>
      </c>
    </row>
    <row r="3192" spans="1:12" x14ac:dyDescent="0.35">
      <c r="A3192" s="1">
        <v>41236</v>
      </c>
      <c r="B3192">
        <v>2557.0300000000002</v>
      </c>
      <c r="C3192" s="1">
        <v>41225</v>
      </c>
      <c r="D3192">
        <v>3411.65</v>
      </c>
      <c r="E3192" s="1">
        <v>41180</v>
      </c>
      <c r="F3192">
        <v>7216.15</v>
      </c>
      <c r="G3192" s="1">
        <v>41170</v>
      </c>
      <c r="H3192">
        <v>7307.7492499999998</v>
      </c>
      <c r="I3192" s="1">
        <v>41221</v>
      </c>
      <c r="J3192">
        <v>7624.1</v>
      </c>
      <c r="K3192" s="1">
        <v>41186</v>
      </c>
      <c r="L3192">
        <v>15511.25</v>
      </c>
    </row>
    <row r="3193" spans="1:12" x14ac:dyDescent="0.35">
      <c r="A3193" s="1">
        <v>41235</v>
      </c>
      <c r="B3193">
        <v>2535.09</v>
      </c>
      <c r="C3193" s="1">
        <v>41222</v>
      </c>
      <c r="D3193">
        <v>3423.57</v>
      </c>
      <c r="E3193" s="1">
        <v>41179</v>
      </c>
      <c r="F3193">
        <v>7290.02</v>
      </c>
      <c r="G3193" s="1">
        <v>41169</v>
      </c>
      <c r="H3193">
        <v>7304.2268800000002</v>
      </c>
      <c r="I3193" s="1">
        <v>41220</v>
      </c>
      <c r="J3193">
        <v>7660.7</v>
      </c>
      <c r="K3193" s="1">
        <v>41185</v>
      </c>
      <c r="L3193">
        <v>15535.09</v>
      </c>
    </row>
    <row r="3194" spans="1:12" x14ac:dyDescent="0.35">
      <c r="A3194" s="1">
        <v>41234</v>
      </c>
      <c r="B3194">
        <v>2519.6799999999998</v>
      </c>
      <c r="C3194" s="1">
        <v>41221</v>
      </c>
      <c r="D3194">
        <v>3407.68</v>
      </c>
      <c r="E3194" s="1">
        <v>41178</v>
      </c>
      <c r="F3194">
        <v>7276.51</v>
      </c>
      <c r="G3194" s="1">
        <v>41166</v>
      </c>
      <c r="H3194">
        <v>7321.7385899999999</v>
      </c>
      <c r="I3194" s="1">
        <v>41219</v>
      </c>
      <c r="J3194">
        <v>7837.6</v>
      </c>
      <c r="K3194" s="1">
        <v>41184</v>
      </c>
      <c r="L3194">
        <v>15495.79</v>
      </c>
    </row>
    <row r="3195" spans="1:12" x14ac:dyDescent="0.35">
      <c r="A3195" s="1">
        <v>41233</v>
      </c>
      <c r="B3195">
        <v>2509.62</v>
      </c>
      <c r="C3195" s="1">
        <v>41220</v>
      </c>
      <c r="D3195">
        <v>3409.59</v>
      </c>
      <c r="E3195" s="1">
        <v>41177</v>
      </c>
      <c r="F3195">
        <v>7425.11</v>
      </c>
      <c r="G3195" s="1">
        <v>41165</v>
      </c>
      <c r="H3195">
        <v>7265.4315800000004</v>
      </c>
      <c r="I3195" s="1">
        <v>41218</v>
      </c>
      <c r="J3195">
        <v>7818.6</v>
      </c>
      <c r="K3195" s="1">
        <v>41183</v>
      </c>
      <c r="L3195">
        <v>15523.1</v>
      </c>
    </row>
    <row r="3196" spans="1:12" x14ac:dyDescent="0.35">
      <c r="A3196" s="1">
        <v>41232</v>
      </c>
      <c r="B3196">
        <v>2495.21</v>
      </c>
      <c r="C3196" s="1">
        <v>41219</v>
      </c>
      <c r="D3196">
        <v>3478.66</v>
      </c>
      <c r="E3196" s="1">
        <v>41176</v>
      </c>
      <c r="F3196">
        <v>7413.16</v>
      </c>
      <c r="G3196" s="1">
        <v>41164</v>
      </c>
      <c r="H3196">
        <v>7226.2540799999997</v>
      </c>
      <c r="I3196" s="1">
        <v>41215</v>
      </c>
      <c r="J3196">
        <v>7968.9</v>
      </c>
      <c r="K3196" s="1">
        <v>41180</v>
      </c>
      <c r="L3196">
        <v>15095.84</v>
      </c>
    </row>
    <row r="3197" spans="1:12" x14ac:dyDescent="0.35">
      <c r="A3197" s="1">
        <v>41229</v>
      </c>
      <c r="B3197">
        <v>2427.3200000000002</v>
      </c>
      <c r="C3197" s="1">
        <v>41218</v>
      </c>
      <c r="D3197">
        <v>3448.5</v>
      </c>
      <c r="E3197" s="1">
        <v>41173</v>
      </c>
      <c r="F3197">
        <v>7451.62</v>
      </c>
      <c r="G3197" s="1">
        <v>41163</v>
      </c>
      <c r="H3197">
        <v>7236.2973899999997</v>
      </c>
      <c r="I3197" s="1">
        <v>41214</v>
      </c>
      <c r="J3197">
        <v>7886.4</v>
      </c>
      <c r="K3197" s="1">
        <v>41179</v>
      </c>
      <c r="L3197">
        <v>15450.14</v>
      </c>
    </row>
    <row r="3198" spans="1:12" x14ac:dyDescent="0.35">
      <c r="A3198" s="1">
        <v>41228</v>
      </c>
      <c r="B3198">
        <v>2461.77</v>
      </c>
      <c r="C3198" s="1">
        <v>41215</v>
      </c>
      <c r="D3198">
        <v>3492.46</v>
      </c>
      <c r="E3198" s="1">
        <v>41172</v>
      </c>
      <c r="F3198">
        <v>7389.49</v>
      </c>
      <c r="G3198" s="1">
        <v>41162</v>
      </c>
      <c r="H3198">
        <v>7254.7559700000002</v>
      </c>
      <c r="I3198" s="1">
        <v>41213</v>
      </c>
      <c r="J3198">
        <v>7842.9</v>
      </c>
      <c r="K3198" s="1">
        <v>41178</v>
      </c>
      <c r="L3198">
        <v>15408.03</v>
      </c>
    </row>
    <row r="3199" spans="1:12" x14ac:dyDescent="0.35">
      <c r="A3199" s="1">
        <v>41227</v>
      </c>
      <c r="B3199">
        <v>2472.84</v>
      </c>
      <c r="C3199" s="1">
        <v>41214</v>
      </c>
      <c r="D3199">
        <v>3475.4</v>
      </c>
      <c r="E3199" s="1">
        <v>41171</v>
      </c>
      <c r="F3199">
        <v>7390.76</v>
      </c>
      <c r="G3199" s="1">
        <v>41159</v>
      </c>
      <c r="H3199">
        <v>7257.8861800000004</v>
      </c>
      <c r="I3199" s="1">
        <v>41212</v>
      </c>
      <c r="J3199">
        <v>7833.9</v>
      </c>
      <c r="K3199" s="1">
        <v>41177</v>
      </c>
      <c r="L3199">
        <v>15932.6</v>
      </c>
    </row>
    <row r="3200" spans="1:12" x14ac:dyDescent="0.35">
      <c r="A3200" s="1">
        <v>41226</v>
      </c>
      <c r="B3200">
        <v>2493.14</v>
      </c>
      <c r="C3200" s="1">
        <v>41213</v>
      </c>
      <c r="D3200">
        <v>3429.27</v>
      </c>
      <c r="E3200" s="1">
        <v>41170</v>
      </c>
      <c r="F3200">
        <v>7347.69</v>
      </c>
      <c r="G3200" s="1">
        <v>41158</v>
      </c>
      <c r="H3200">
        <v>7287.6540400000004</v>
      </c>
      <c r="I3200" s="1">
        <v>41211</v>
      </c>
      <c r="J3200">
        <v>7728.6</v>
      </c>
      <c r="K3200" s="1">
        <v>41176</v>
      </c>
      <c r="L3200">
        <v>15867.07</v>
      </c>
    </row>
    <row r="3201" spans="1:12" x14ac:dyDescent="0.35">
      <c r="A3201" s="1">
        <v>41225</v>
      </c>
      <c r="B3201">
        <v>2473.52</v>
      </c>
      <c r="C3201" s="1">
        <v>41212</v>
      </c>
      <c r="D3201">
        <v>3459.44</v>
      </c>
      <c r="E3201" s="1">
        <v>41169</v>
      </c>
      <c r="F3201">
        <v>7403.69</v>
      </c>
      <c r="G3201" s="1">
        <v>41157</v>
      </c>
      <c r="H3201">
        <v>7141.33698</v>
      </c>
      <c r="I3201" s="1">
        <v>41208</v>
      </c>
      <c r="J3201">
        <v>7775.6</v>
      </c>
      <c r="K3201" s="1">
        <v>41173</v>
      </c>
      <c r="L3201">
        <v>15991.1</v>
      </c>
    </row>
    <row r="3202" spans="1:12" x14ac:dyDescent="0.35">
      <c r="A3202" s="1">
        <v>41222</v>
      </c>
      <c r="B3202">
        <v>2479.8200000000002</v>
      </c>
      <c r="C3202" s="1">
        <v>41211</v>
      </c>
      <c r="D3202">
        <v>3408.89</v>
      </c>
      <c r="E3202" s="1">
        <v>41166</v>
      </c>
      <c r="F3202">
        <v>7412.13</v>
      </c>
      <c r="G3202" s="1">
        <v>41156</v>
      </c>
      <c r="H3202">
        <v>7171.1799099999998</v>
      </c>
      <c r="I3202" s="1">
        <v>41207</v>
      </c>
      <c r="J3202">
        <v>7779.2</v>
      </c>
      <c r="K3202" s="1">
        <v>41172</v>
      </c>
      <c r="L3202">
        <v>15830.28</v>
      </c>
    </row>
    <row r="3203" spans="1:12" x14ac:dyDescent="0.35">
      <c r="A3203" s="1">
        <v>41221</v>
      </c>
      <c r="B3203">
        <v>2479.13</v>
      </c>
      <c r="C3203" s="1">
        <v>41208</v>
      </c>
      <c r="D3203">
        <v>3435.09</v>
      </c>
      <c r="E3203" s="1">
        <v>41165</v>
      </c>
      <c r="F3203">
        <v>7310.32</v>
      </c>
      <c r="G3203" s="1">
        <v>41155</v>
      </c>
      <c r="H3203">
        <v>7261.7764500000003</v>
      </c>
      <c r="I3203" s="1">
        <v>41206</v>
      </c>
      <c r="J3203">
        <v>7791.5</v>
      </c>
      <c r="K3203" s="1">
        <v>41171</v>
      </c>
      <c r="L3203">
        <v>16100.23</v>
      </c>
    </row>
    <row r="3204" spans="1:12" x14ac:dyDescent="0.35">
      <c r="A3204" s="1">
        <v>41220</v>
      </c>
      <c r="B3204">
        <v>2479.1</v>
      </c>
      <c r="C3204" s="1">
        <v>41207</v>
      </c>
      <c r="D3204">
        <v>3411.53</v>
      </c>
      <c r="E3204" s="1">
        <v>41164</v>
      </c>
      <c r="F3204">
        <v>7343.53</v>
      </c>
      <c r="G3204" s="1">
        <v>41152</v>
      </c>
      <c r="H3204">
        <v>7207.6142499999996</v>
      </c>
      <c r="I3204" s="1">
        <v>41205</v>
      </c>
      <c r="J3204">
        <v>7747.7</v>
      </c>
      <c r="K3204" s="1">
        <v>41170</v>
      </c>
      <c r="L3204">
        <v>16076.03</v>
      </c>
    </row>
    <row r="3205" spans="1:12" x14ac:dyDescent="0.35">
      <c r="A3205" s="1">
        <v>41219</v>
      </c>
      <c r="B3205">
        <v>2535.94</v>
      </c>
      <c r="C3205" s="1">
        <v>41206</v>
      </c>
      <c r="D3205">
        <v>3426.49</v>
      </c>
      <c r="E3205" s="1">
        <v>41163</v>
      </c>
      <c r="F3205">
        <v>7310.11</v>
      </c>
      <c r="G3205" s="1">
        <v>41151</v>
      </c>
      <c r="H3205">
        <v>7223.3162599999996</v>
      </c>
      <c r="I3205" s="1">
        <v>41204</v>
      </c>
      <c r="J3205">
        <v>7877.1</v>
      </c>
      <c r="K3205" s="1">
        <v>41169</v>
      </c>
      <c r="L3205">
        <v>16470.09</v>
      </c>
    </row>
    <row r="3206" spans="1:12" x14ac:dyDescent="0.35">
      <c r="A3206" s="1">
        <v>41218</v>
      </c>
      <c r="B3206">
        <v>2517.67</v>
      </c>
      <c r="C3206" s="1">
        <v>41205</v>
      </c>
      <c r="D3206">
        <v>3406.5</v>
      </c>
      <c r="E3206" s="1">
        <v>41162</v>
      </c>
      <c r="F3206">
        <v>7213.7</v>
      </c>
      <c r="G3206" s="1">
        <v>41150</v>
      </c>
      <c r="H3206">
        <v>7258.8462499999996</v>
      </c>
      <c r="I3206" s="1">
        <v>41201</v>
      </c>
      <c r="J3206">
        <v>7913.4</v>
      </c>
      <c r="K3206" s="1">
        <v>41166</v>
      </c>
      <c r="L3206">
        <v>16624.45</v>
      </c>
    </row>
    <row r="3207" spans="1:12" x14ac:dyDescent="0.35">
      <c r="A3207" s="1">
        <v>41215</v>
      </c>
      <c r="B3207">
        <v>2547.15</v>
      </c>
      <c r="C3207" s="1">
        <v>41204</v>
      </c>
      <c r="D3207">
        <v>3483.25</v>
      </c>
      <c r="E3207" s="1">
        <v>41159</v>
      </c>
      <c r="F3207">
        <v>7214.5</v>
      </c>
      <c r="G3207" s="1">
        <v>41149</v>
      </c>
      <c r="H3207">
        <v>7273.9671200000003</v>
      </c>
      <c r="I3207" s="1">
        <v>41200</v>
      </c>
      <c r="J3207">
        <v>8100.3</v>
      </c>
      <c r="K3207" s="1">
        <v>41165</v>
      </c>
      <c r="L3207">
        <v>16244.28</v>
      </c>
    </row>
    <row r="3208" spans="1:12" x14ac:dyDescent="0.35">
      <c r="A3208" s="1">
        <v>41214</v>
      </c>
      <c r="B3208">
        <v>2533.87</v>
      </c>
      <c r="C3208" s="1">
        <v>41201</v>
      </c>
      <c r="D3208">
        <v>3504.56</v>
      </c>
      <c r="E3208" s="1">
        <v>41158</v>
      </c>
      <c r="F3208">
        <v>7167.33</v>
      </c>
      <c r="G3208" s="1">
        <v>41145</v>
      </c>
      <c r="H3208">
        <v>7295.3997399999998</v>
      </c>
      <c r="I3208" s="1">
        <v>41199</v>
      </c>
      <c r="J3208">
        <v>8128.2</v>
      </c>
      <c r="K3208" s="1">
        <v>41164</v>
      </c>
      <c r="L3208">
        <v>16419.79</v>
      </c>
    </row>
    <row r="3209" spans="1:12" x14ac:dyDescent="0.35">
      <c r="A3209" s="1">
        <v>41213</v>
      </c>
      <c r="B3209">
        <v>2503.64</v>
      </c>
      <c r="C3209" s="1">
        <v>41200</v>
      </c>
      <c r="D3209">
        <v>3535.18</v>
      </c>
      <c r="E3209" s="1">
        <v>41157</v>
      </c>
      <c r="F3209">
        <v>6964.69</v>
      </c>
      <c r="G3209" s="1">
        <v>41144</v>
      </c>
      <c r="H3209">
        <v>7290.9078799999997</v>
      </c>
      <c r="I3209" s="1">
        <v>41198</v>
      </c>
      <c r="J3209">
        <v>7940.2</v>
      </c>
      <c r="K3209" s="1">
        <v>41163</v>
      </c>
      <c r="L3209">
        <v>16226.66</v>
      </c>
    </row>
    <row r="3210" spans="1:12" x14ac:dyDescent="0.35">
      <c r="A3210" s="1">
        <v>41212</v>
      </c>
      <c r="B3210">
        <v>2515.9899999999998</v>
      </c>
      <c r="C3210" s="1">
        <v>41199</v>
      </c>
      <c r="D3210">
        <v>3527.5</v>
      </c>
      <c r="E3210" s="1">
        <v>41156</v>
      </c>
      <c r="F3210">
        <v>6932.58</v>
      </c>
      <c r="G3210" s="1">
        <v>41143</v>
      </c>
      <c r="H3210">
        <v>7314.66597</v>
      </c>
      <c r="I3210" s="1">
        <v>41197</v>
      </c>
      <c r="J3210">
        <v>7678.5</v>
      </c>
      <c r="K3210" s="1">
        <v>41162</v>
      </c>
      <c r="L3210">
        <v>16092.06</v>
      </c>
    </row>
    <row r="3211" spans="1:12" x14ac:dyDescent="0.35">
      <c r="A3211" s="1">
        <v>41211</v>
      </c>
      <c r="B3211">
        <v>2478.84</v>
      </c>
      <c r="C3211" s="1">
        <v>41198</v>
      </c>
      <c r="D3211">
        <v>3500.94</v>
      </c>
      <c r="E3211" s="1">
        <v>41155</v>
      </c>
      <c r="F3211">
        <v>7014.83</v>
      </c>
      <c r="G3211" s="1">
        <v>41142</v>
      </c>
      <c r="H3211">
        <v>7411.3259900000003</v>
      </c>
      <c r="I3211" s="1">
        <v>41194</v>
      </c>
      <c r="J3211">
        <v>7652.4</v>
      </c>
      <c r="K3211" s="1">
        <v>41159</v>
      </c>
      <c r="L3211">
        <v>16110.27</v>
      </c>
    </row>
    <row r="3212" spans="1:12" x14ac:dyDescent="0.35">
      <c r="A3212" s="1">
        <v>41208</v>
      </c>
      <c r="B3212">
        <v>2496.1</v>
      </c>
      <c r="C3212" s="1">
        <v>41197</v>
      </c>
      <c r="D3212">
        <v>3420.28</v>
      </c>
      <c r="E3212" s="1">
        <v>41152</v>
      </c>
      <c r="F3212">
        <v>6970.79</v>
      </c>
      <c r="G3212" s="1">
        <v>41141</v>
      </c>
      <c r="H3212">
        <v>7411.5474000000004</v>
      </c>
      <c r="I3212" s="1">
        <v>41193</v>
      </c>
      <c r="J3212">
        <v>7734.7</v>
      </c>
      <c r="K3212" s="1">
        <v>41158</v>
      </c>
      <c r="L3212">
        <v>15780.32</v>
      </c>
    </row>
    <row r="3213" spans="1:12" x14ac:dyDescent="0.35">
      <c r="A3213" s="1">
        <v>41207</v>
      </c>
      <c r="B3213">
        <v>2483.4299999999998</v>
      </c>
      <c r="C3213" s="1">
        <v>41194</v>
      </c>
      <c r="D3213">
        <v>3389.08</v>
      </c>
      <c r="E3213" s="1">
        <v>41151</v>
      </c>
      <c r="F3213">
        <v>6895.49</v>
      </c>
      <c r="G3213" s="1">
        <v>41138</v>
      </c>
      <c r="H3213">
        <v>7455.9203699999998</v>
      </c>
      <c r="I3213" s="1">
        <v>41192</v>
      </c>
      <c r="J3213">
        <v>7668</v>
      </c>
      <c r="K3213" s="1">
        <v>41157</v>
      </c>
      <c r="L3213">
        <v>15128.08</v>
      </c>
    </row>
    <row r="3214" spans="1:12" x14ac:dyDescent="0.35">
      <c r="A3214" s="1">
        <v>41206</v>
      </c>
      <c r="B3214">
        <v>2490.58</v>
      </c>
      <c r="C3214" s="1">
        <v>41193</v>
      </c>
      <c r="D3214">
        <v>3413.72</v>
      </c>
      <c r="E3214" s="1">
        <v>41150</v>
      </c>
      <c r="F3214">
        <v>7010.57</v>
      </c>
      <c r="G3214" s="1">
        <v>41137</v>
      </c>
      <c r="H3214">
        <v>7428.0142299999998</v>
      </c>
      <c r="I3214" s="1">
        <v>41191</v>
      </c>
      <c r="J3214">
        <v>7745.4</v>
      </c>
      <c r="K3214" s="1">
        <v>41156</v>
      </c>
      <c r="L3214">
        <v>15222.63</v>
      </c>
    </row>
    <row r="3215" spans="1:12" x14ac:dyDescent="0.35">
      <c r="A3215" s="1">
        <v>41205</v>
      </c>
      <c r="B3215">
        <v>2477.92</v>
      </c>
      <c r="C3215" s="1">
        <v>41192</v>
      </c>
      <c r="D3215">
        <v>3365.87</v>
      </c>
      <c r="E3215" s="1">
        <v>41149</v>
      </c>
      <c r="F3215">
        <v>7002.68</v>
      </c>
      <c r="G3215" s="1">
        <v>41136</v>
      </c>
      <c r="H3215">
        <v>7448.1315100000002</v>
      </c>
      <c r="I3215" s="1">
        <v>41190</v>
      </c>
      <c r="J3215">
        <v>7891</v>
      </c>
      <c r="K3215" s="1">
        <v>41155</v>
      </c>
      <c r="L3215">
        <v>15267.17</v>
      </c>
    </row>
    <row r="3216" spans="1:12" x14ac:dyDescent="0.35">
      <c r="A3216" s="1">
        <v>41204</v>
      </c>
      <c r="B3216">
        <v>2531.1</v>
      </c>
      <c r="C3216" s="1">
        <v>41191</v>
      </c>
      <c r="D3216">
        <v>3382.78</v>
      </c>
      <c r="E3216" s="1">
        <v>41148</v>
      </c>
      <c r="F3216">
        <v>7047.45</v>
      </c>
      <c r="G3216" s="1">
        <v>41135</v>
      </c>
      <c r="H3216">
        <v>7459.1214399999999</v>
      </c>
      <c r="I3216" s="1">
        <v>41187</v>
      </c>
      <c r="J3216">
        <v>7954.4</v>
      </c>
      <c r="K3216" s="1">
        <v>41152</v>
      </c>
      <c r="L3216">
        <v>15100.48</v>
      </c>
    </row>
    <row r="3217" spans="1:12" x14ac:dyDescent="0.35">
      <c r="A3217" s="1">
        <v>41201</v>
      </c>
      <c r="B3217">
        <v>2542.2399999999998</v>
      </c>
      <c r="C3217" s="1">
        <v>41190</v>
      </c>
      <c r="D3217">
        <v>3406.53</v>
      </c>
      <c r="E3217" s="1">
        <v>41145</v>
      </c>
      <c r="F3217">
        <v>6971.07</v>
      </c>
      <c r="G3217" s="1">
        <v>41134</v>
      </c>
      <c r="H3217">
        <v>7417.9245099999998</v>
      </c>
      <c r="I3217" s="1">
        <v>41186</v>
      </c>
      <c r="J3217">
        <v>7812.8</v>
      </c>
      <c r="K3217" s="1">
        <v>41151</v>
      </c>
      <c r="L3217">
        <v>14780.55</v>
      </c>
    </row>
    <row r="3218" spans="1:12" x14ac:dyDescent="0.35">
      <c r="A3218" s="1">
        <v>41200</v>
      </c>
      <c r="B3218">
        <v>2574.19</v>
      </c>
      <c r="C3218" s="1">
        <v>41187</v>
      </c>
      <c r="D3218">
        <v>3457.04</v>
      </c>
      <c r="E3218" s="1">
        <v>41144</v>
      </c>
      <c r="F3218">
        <v>6949.57</v>
      </c>
      <c r="G3218" s="1">
        <v>41131</v>
      </c>
      <c r="H3218">
        <v>7454.1853799999999</v>
      </c>
      <c r="I3218" s="1">
        <v>41185</v>
      </c>
      <c r="J3218">
        <v>7826.7</v>
      </c>
      <c r="K3218" s="1">
        <v>41150</v>
      </c>
      <c r="L3218">
        <v>14943.57</v>
      </c>
    </row>
    <row r="3219" spans="1:12" x14ac:dyDescent="0.35">
      <c r="A3219" s="1">
        <v>41199</v>
      </c>
      <c r="B3219">
        <v>2569.83</v>
      </c>
      <c r="C3219" s="1">
        <v>41186</v>
      </c>
      <c r="D3219">
        <v>3401.2</v>
      </c>
      <c r="E3219" s="1">
        <v>41143</v>
      </c>
      <c r="F3219">
        <v>7017.75</v>
      </c>
      <c r="G3219" s="1">
        <v>41130</v>
      </c>
      <c r="H3219">
        <v>7438.9738799999996</v>
      </c>
      <c r="I3219" s="1">
        <v>41184</v>
      </c>
      <c r="J3219">
        <v>7867.1</v>
      </c>
      <c r="K3219" s="1">
        <v>41149</v>
      </c>
      <c r="L3219">
        <v>14993.01</v>
      </c>
    </row>
    <row r="3220" spans="1:12" x14ac:dyDescent="0.35">
      <c r="A3220" s="1">
        <v>41198</v>
      </c>
      <c r="B3220">
        <v>2547.9</v>
      </c>
      <c r="C3220" s="1">
        <v>41185</v>
      </c>
      <c r="D3220">
        <v>3406.02</v>
      </c>
      <c r="E3220" s="1">
        <v>41142</v>
      </c>
      <c r="F3220">
        <v>7089.32</v>
      </c>
      <c r="G3220" s="1">
        <v>41129</v>
      </c>
      <c r="H3220">
        <v>7402.8783199999998</v>
      </c>
      <c r="I3220" s="1">
        <v>41183</v>
      </c>
      <c r="J3220">
        <v>7784.1</v>
      </c>
      <c r="K3220" s="1">
        <v>41148</v>
      </c>
      <c r="L3220">
        <v>15012.87</v>
      </c>
    </row>
    <row r="3221" spans="1:12" x14ac:dyDescent="0.35">
      <c r="A3221" s="1">
        <v>41197</v>
      </c>
      <c r="B3221">
        <v>2485.12</v>
      </c>
      <c r="C3221" s="1">
        <v>41184</v>
      </c>
      <c r="D3221">
        <v>3414.23</v>
      </c>
      <c r="E3221" s="1">
        <v>41141</v>
      </c>
      <c r="F3221">
        <v>7033.68</v>
      </c>
      <c r="G3221" s="1">
        <v>41128</v>
      </c>
      <c r="H3221">
        <v>7359.1721500000003</v>
      </c>
      <c r="I3221" s="1">
        <v>41180</v>
      </c>
      <c r="J3221">
        <v>7708.5</v>
      </c>
      <c r="K3221" s="1">
        <v>41145</v>
      </c>
      <c r="L3221">
        <v>14880.68</v>
      </c>
    </row>
    <row r="3222" spans="1:12" x14ac:dyDescent="0.35">
      <c r="A3222" s="1">
        <v>41194</v>
      </c>
      <c r="B3222">
        <v>2469.09</v>
      </c>
      <c r="C3222" s="1">
        <v>41183</v>
      </c>
      <c r="D3222">
        <v>3434.98</v>
      </c>
      <c r="E3222" s="1">
        <v>41138</v>
      </c>
      <c r="F3222">
        <v>7040.88</v>
      </c>
      <c r="G3222" s="1">
        <v>41127</v>
      </c>
      <c r="H3222">
        <v>7311.7482799999998</v>
      </c>
      <c r="I3222" s="1">
        <v>41179</v>
      </c>
      <c r="J3222">
        <v>7842.3</v>
      </c>
      <c r="K3222" s="1">
        <v>41144</v>
      </c>
      <c r="L3222">
        <v>14953.76</v>
      </c>
    </row>
    <row r="3223" spans="1:12" x14ac:dyDescent="0.35">
      <c r="A3223" s="1">
        <v>41193</v>
      </c>
      <c r="B3223">
        <v>2487.08</v>
      </c>
      <c r="C3223" s="1">
        <v>41180</v>
      </c>
      <c r="D3223">
        <v>3354.82</v>
      </c>
      <c r="E3223" s="1">
        <v>41137</v>
      </c>
      <c r="F3223">
        <v>6996.29</v>
      </c>
      <c r="G3223" s="1">
        <v>41124</v>
      </c>
      <c r="H3223">
        <v>7315.6159299999999</v>
      </c>
      <c r="I3223" s="1">
        <v>41178</v>
      </c>
      <c r="J3223">
        <v>7854.4</v>
      </c>
      <c r="K3223" s="1">
        <v>41143</v>
      </c>
      <c r="L3223">
        <v>15161.18</v>
      </c>
    </row>
    <row r="3224" spans="1:12" x14ac:dyDescent="0.35">
      <c r="A3224" s="1">
        <v>41192</v>
      </c>
      <c r="B3224">
        <v>2456.54</v>
      </c>
      <c r="C3224" s="1">
        <v>41179</v>
      </c>
      <c r="D3224">
        <v>3439.32</v>
      </c>
      <c r="E3224" s="1">
        <v>41136</v>
      </c>
      <c r="F3224">
        <v>6946.8</v>
      </c>
      <c r="G3224" s="1">
        <v>41123</v>
      </c>
      <c r="H3224">
        <v>7217.9894599999998</v>
      </c>
      <c r="I3224" s="1">
        <v>41177</v>
      </c>
      <c r="J3224">
        <v>8175</v>
      </c>
      <c r="K3224" s="1">
        <v>41142</v>
      </c>
      <c r="L3224">
        <v>15330.46</v>
      </c>
    </row>
    <row r="3225" spans="1:12" x14ac:dyDescent="0.35">
      <c r="A3225" s="1">
        <v>41191</v>
      </c>
      <c r="B3225">
        <v>2472.23</v>
      </c>
      <c r="C3225" s="1">
        <v>41178</v>
      </c>
      <c r="D3225">
        <v>3414.84</v>
      </c>
      <c r="E3225" s="1">
        <v>41135</v>
      </c>
      <c r="F3225">
        <v>6974.39</v>
      </c>
      <c r="G3225" s="1">
        <v>41122</v>
      </c>
      <c r="H3225">
        <v>7248.3145500000001</v>
      </c>
      <c r="I3225" s="1">
        <v>41176</v>
      </c>
      <c r="J3225">
        <v>8138.4</v>
      </c>
      <c r="K3225" s="1">
        <v>41141</v>
      </c>
      <c r="L3225">
        <v>14971.88</v>
      </c>
    </row>
    <row r="3226" spans="1:12" x14ac:dyDescent="0.35">
      <c r="A3226" s="1">
        <v>41190</v>
      </c>
      <c r="B3226">
        <v>2496.09</v>
      </c>
      <c r="C3226" s="1">
        <v>41177</v>
      </c>
      <c r="D3226">
        <v>3513.81</v>
      </c>
      <c r="E3226" s="1">
        <v>41134</v>
      </c>
      <c r="F3226">
        <v>6909.68</v>
      </c>
      <c r="G3226" s="1">
        <v>41121</v>
      </c>
      <c r="H3226">
        <v>7175.2967900000003</v>
      </c>
      <c r="I3226" s="1">
        <v>41173</v>
      </c>
      <c r="J3226">
        <v>8230.7000000000007</v>
      </c>
      <c r="K3226" s="1">
        <v>41138</v>
      </c>
      <c r="L3226">
        <v>15124.69</v>
      </c>
    </row>
    <row r="3227" spans="1:12" x14ac:dyDescent="0.35">
      <c r="A3227" s="1">
        <v>41187</v>
      </c>
      <c r="B3227">
        <v>2531.21</v>
      </c>
      <c r="C3227" s="1">
        <v>41176</v>
      </c>
      <c r="D3227">
        <v>3497.22</v>
      </c>
      <c r="E3227" s="1">
        <v>41131</v>
      </c>
      <c r="F3227">
        <v>6944.56</v>
      </c>
      <c r="G3227" s="1">
        <v>41120</v>
      </c>
      <c r="H3227">
        <v>7286.2862500000001</v>
      </c>
      <c r="I3227" s="1">
        <v>41172</v>
      </c>
      <c r="J3227">
        <v>8022.1</v>
      </c>
      <c r="K3227" s="1">
        <v>41137</v>
      </c>
      <c r="L3227">
        <v>14930.3</v>
      </c>
    </row>
    <row r="3228" spans="1:12" x14ac:dyDescent="0.35">
      <c r="A3228" s="1">
        <v>41186</v>
      </c>
      <c r="B3228">
        <v>2485.75</v>
      </c>
      <c r="C3228" s="1">
        <v>41173</v>
      </c>
      <c r="D3228">
        <v>3530.72</v>
      </c>
      <c r="E3228" s="1">
        <v>41130</v>
      </c>
      <c r="F3228">
        <v>6964.99</v>
      </c>
      <c r="G3228" s="1">
        <v>41117</v>
      </c>
      <c r="H3228">
        <v>7161.0755900000004</v>
      </c>
      <c r="I3228" s="1">
        <v>41171</v>
      </c>
      <c r="J3228">
        <v>8098.8</v>
      </c>
      <c r="K3228" s="1">
        <v>41135</v>
      </c>
      <c r="L3228">
        <v>14656.87</v>
      </c>
    </row>
    <row r="3229" spans="1:12" x14ac:dyDescent="0.35">
      <c r="A3229" s="1">
        <v>41185</v>
      </c>
      <c r="B3229">
        <v>2492.48</v>
      </c>
      <c r="C3229" s="1">
        <v>41172</v>
      </c>
      <c r="D3229">
        <v>3509.92</v>
      </c>
      <c r="E3229" s="1">
        <v>41129</v>
      </c>
      <c r="F3229">
        <v>6966.15</v>
      </c>
      <c r="G3229" s="1">
        <v>41116</v>
      </c>
      <c r="H3229">
        <v>7115.4352399999998</v>
      </c>
      <c r="I3229" s="1">
        <v>41170</v>
      </c>
      <c r="J3229">
        <v>8058.3</v>
      </c>
      <c r="K3229" s="1">
        <v>41134</v>
      </c>
      <c r="L3229">
        <v>14532.87</v>
      </c>
    </row>
    <row r="3230" spans="1:12" x14ac:dyDescent="0.35">
      <c r="A3230" s="1">
        <v>41184</v>
      </c>
      <c r="B3230">
        <v>2493.59</v>
      </c>
      <c r="C3230" s="1">
        <v>41171</v>
      </c>
      <c r="D3230">
        <v>3531.82</v>
      </c>
      <c r="E3230" s="1">
        <v>41128</v>
      </c>
      <c r="F3230">
        <v>6967.95</v>
      </c>
      <c r="G3230" s="1">
        <v>41115</v>
      </c>
      <c r="H3230">
        <v>7020.0387799999999</v>
      </c>
      <c r="I3230" s="1">
        <v>41169</v>
      </c>
      <c r="J3230">
        <v>8148</v>
      </c>
      <c r="K3230" s="1">
        <v>41131</v>
      </c>
      <c r="L3230">
        <v>14548.64</v>
      </c>
    </row>
    <row r="3231" spans="1:12" x14ac:dyDescent="0.35">
      <c r="A3231" s="1">
        <v>41183</v>
      </c>
      <c r="B3231">
        <v>2498.81</v>
      </c>
      <c r="C3231" s="1">
        <v>41170</v>
      </c>
      <c r="D3231">
        <v>3512.69</v>
      </c>
      <c r="E3231" s="1">
        <v>41127</v>
      </c>
      <c r="F3231">
        <v>6918.72</v>
      </c>
      <c r="G3231" s="1">
        <v>41114</v>
      </c>
      <c r="H3231">
        <v>7073.30645</v>
      </c>
      <c r="I3231" s="1">
        <v>41166</v>
      </c>
      <c r="J3231">
        <v>8154.5</v>
      </c>
      <c r="K3231" s="1">
        <v>41130</v>
      </c>
      <c r="L3231">
        <v>14654.11</v>
      </c>
    </row>
    <row r="3232" spans="1:12" x14ac:dyDescent="0.35">
      <c r="A3232" s="1">
        <v>41180</v>
      </c>
      <c r="B3232">
        <v>2454.2600000000002</v>
      </c>
      <c r="C3232" s="1">
        <v>41169</v>
      </c>
      <c r="D3232">
        <v>3553.69</v>
      </c>
      <c r="E3232" s="1">
        <v>41124</v>
      </c>
      <c r="F3232">
        <v>6865.66</v>
      </c>
      <c r="G3232" s="1">
        <v>41113</v>
      </c>
      <c r="H3232">
        <v>7078.4285200000004</v>
      </c>
      <c r="I3232" s="1">
        <v>41165</v>
      </c>
      <c r="J3232">
        <v>7935.9</v>
      </c>
      <c r="K3232" s="1">
        <v>41129</v>
      </c>
      <c r="L3232">
        <v>14665.3</v>
      </c>
    </row>
    <row r="3233" spans="1:12" x14ac:dyDescent="0.35">
      <c r="A3233" s="1">
        <v>41179</v>
      </c>
      <c r="B3233">
        <v>2506.06</v>
      </c>
      <c r="C3233" s="1">
        <v>41166</v>
      </c>
      <c r="D3233">
        <v>3581.58</v>
      </c>
      <c r="E3233" s="1">
        <v>41123</v>
      </c>
      <c r="F3233">
        <v>6606.09</v>
      </c>
      <c r="G3233" s="1">
        <v>41110</v>
      </c>
      <c r="H3233">
        <v>7256.3471099999997</v>
      </c>
      <c r="I3233" s="1">
        <v>41164</v>
      </c>
      <c r="J3233">
        <v>7992.1</v>
      </c>
      <c r="K3233" s="1">
        <v>41128</v>
      </c>
      <c r="L3233">
        <v>14655.64</v>
      </c>
    </row>
    <row r="3234" spans="1:12" x14ac:dyDescent="0.35">
      <c r="A3234" s="1">
        <v>41178</v>
      </c>
      <c r="B3234">
        <v>2498.52</v>
      </c>
      <c r="C3234" s="1">
        <v>41165</v>
      </c>
      <c r="D3234">
        <v>3502.09</v>
      </c>
      <c r="E3234" s="1">
        <v>41122</v>
      </c>
      <c r="F3234">
        <v>6754.46</v>
      </c>
      <c r="G3234" s="1">
        <v>41109</v>
      </c>
      <c r="H3234">
        <v>7315.9688100000003</v>
      </c>
      <c r="I3234" s="1">
        <v>41163</v>
      </c>
      <c r="J3234">
        <v>7930.4</v>
      </c>
      <c r="K3234" s="1">
        <v>41127</v>
      </c>
      <c r="L3234">
        <v>14342.03</v>
      </c>
    </row>
    <row r="3235" spans="1:12" x14ac:dyDescent="0.35">
      <c r="A3235" s="1">
        <v>41177</v>
      </c>
      <c r="B3235">
        <v>2568.48</v>
      </c>
      <c r="C3235" s="1">
        <v>41164</v>
      </c>
      <c r="D3235">
        <v>3543.79</v>
      </c>
      <c r="E3235" s="1">
        <v>41121</v>
      </c>
      <c r="F3235">
        <v>6772.26</v>
      </c>
      <c r="G3235" s="1">
        <v>41108</v>
      </c>
      <c r="H3235">
        <v>7254.84969</v>
      </c>
      <c r="I3235" s="1">
        <v>41162</v>
      </c>
      <c r="J3235">
        <v>7857.7</v>
      </c>
      <c r="K3235" s="1">
        <v>41124</v>
      </c>
      <c r="L3235">
        <v>14124.89</v>
      </c>
    </row>
    <row r="3236" spans="1:12" x14ac:dyDescent="0.35">
      <c r="A3236" s="1">
        <v>41176</v>
      </c>
      <c r="B3236">
        <v>2557.89</v>
      </c>
      <c r="C3236" s="1">
        <v>41163</v>
      </c>
      <c r="D3236">
        <v>3537.3</v>
      </c>
      <c r="E3236" s="1">
        <v>41120</v>
      </c>
      <c r="F3236">
        <v>6774.06</v>
      </c>
      <c r="G3236" s="1">
        <v>41107</v>
      </c>
      <c r="H3236">
        <v>7179.2158900000004</v>
      </c>
      <c r="I3236" s="1">
        <v>41159</v>
      </c>
      <c r="J3236">
        <v>7882.8</v>
      </c>
      <c r="K3236" s="1">
        <v>41123</v>
      </c>
      <c r="L3236">
        <v>13282.55</v>
      </c>
    </row>
    <row r="3237" spans="1:12" x14ac:dyDescent="0.35">
      <c r="A3237" s="1">
        <v>41173</v>
      </c>
      <c r="B3237">
        <v>2577.08</v>
      </c>
      <c r="C3237" s="1">
        <v>41162</v>
      </c>
      <c r="D3237">
        <v>3506.05</v>
      </c>
      <c r="E3237" s="1">
        <v>41117</v>
      </c>
      <c r="F3237">
        <v>6689.4</v>
      </c>
      <c r="G3237" s="1">
        <v>41106</v>
      </c>
      <c r="H3237">
        <v>7216.00756</v>
      </c>
      <c r="I3237" s="1">
        <v>41158</v>
      </c>
      <c r="J3237">
        <v>7862</v>
      </c>
      <c r="K3237" s="1">
        <v>41122</v>
      </c>
      <c r="L3237">
        <v>13928.59</v>
      </c>
    </row>
    <row r="3238" spans="1:12" x14ac:dyDescent="0.35">
      <c r="A3238" s="1">
        <v>41172</v>
      </c>
      <c r="B3238">
        <v>2553.0300000000002</v>
      </c>
      <c r="C3238" s="1">
        <v>41159</v>
      </c>
      <c r="D3238">
        <v>3519.05</v>
      </c>
      <c r="E3238" s="1">
        <v>41116</v>
      </c>
      <c r="F3238">
        <v>6582.96</v>
      </c>
      <c r="G3238" s="1">
        <v>41103</v>
      </c>
      <c r="H3238">
        <v>7203.1001900000001</v>
      </c>
      <c r="I3238" s="1">
        <v>41157</v>
      </c>
      <c r="J3238">
        <v>7494</v>
      </c>
      <c r="K3238" s="1">
        <v>41121</v>
      </c>
      <c r="L3238">
        <v>13890.99</v>
      </c>
    </row>
    <row r="3239" spans="1:12" x14ac:dyDescent="0.35">
      <c r="A3239" s="1">
        <v>41171</v>
      </c>
      <c r="B3239">
        <v>2567.67</v>
      </c>
      <c r="C3239" s="1">
        <v>41158</v>
      </c>
      <c r="D3239">
        <v>3509.88</v>
      </c>
      <c r="E3239" s="1">
        <v>41115</v>
      </c>
      <c r="F3239">
        <v>6406.52</v>
      </c>
      <c r="G3239" s="1">
        <v>41102</v>
      </c>
      <c r="H3239">
        <v>7090.5420199999999</v>
      </c>
      <c r="I3239" s="1">
        <v>41156</v>
      </c>
      <c r="J3239">
        <v>7488.2</v>
      </c>
      <c r="K3239" s="1">
        <v>41120</v>
      </c>
      <c r="L3239">
        <v>13978.04</v>
      </c>
    </row>
    <row r="3240" spans="1:12" x14ac:dyDescent="0.35">
      <c r="A3240" s="1">
        <v>41170</v>
      </c>
      <c r="B3240">
        <v>2553.4</v>
      </c>
      <c r="C3240" s="1">
        <v>41157</v>
      </c>
      <c r="D3240">
        <v>3405.79</v>
      </c>
      <c r="E3240" s="1">
        <v>41114</v>
      </c>
      <c r="F3240">
        <v>6390.41</v>
      </c>
      <c r="G3240" s="1">
        <v>41101</v>
      </c>
      <c r="H3240">
        <v>7179.2915700000003</v>
      </c>
      <c r="I3240" s="1">
        <v>41155</v>
      </c>
      <c r="J3240">
        <v>7434.2</v>
      </c>
      <c r="K3240" s="1">
        <v>41117</v>
      </c>
      <c r="L3240">
        <v>13596.88</v>
      </c>
    </row>
    <row r="3241" spans="1:12" x14ac:dyDescent="0.35">
      <c r="A3241" s="1">
        <v>41169</v>
      </c>
      <c r="B3241">
        <v>2583.5700000000002</v>
      </c>
      <c r="C3241" s="1">
        <v>41156</v>
      </c>
      <c r="D3241">
        <v>3399.04</v>
      </c>
      <c r="E3241" s="1">
        <v>41113</v>
      </c>
      <c r="F3241">
        <v>6419.33</v>
      </c>
      <c r="G3241" s="1">
        <v>41100</v>
      </c>
      <c r="H3241">
        <v>7166.9710800000003</v>
      </c>
      <c r="I3241" s="1">
        <v>41152</v>
      </c>
      <c r="J3241">
        <v>7420.5</v>
      </c>
      <c r="K3241" s="1">
        <v>41116</v>
      </c>
      <c r="L3241">
        <v>13210.04</v>
      </c>
    </row>
    <row r="3242" spans="1:12" x14ac:dyDescent="0.35">
      <c r="A3242" s="1">
        <v>41166</v>
      </c>
      <c r="B3242">
        <v>2594.56</v>
      </c>
      <c r="C3242" s="1">
        <v>41155</v>
      </c>
      <c r="D3242">
        <v>3453.71</v>
      </c>
      <c r="E3242" s="1">
        <v>41110</v>
      </c>
      <c r="F3242">
        <v>6630.02</v>
      </c>
      <c r="G3242" s="1">
        <v>41099</v>
      </c>
      <c r="H3242">
        <v>7091.6518800000003</v>
      </c>
      <c r="I3242" s="1">
        <v>41151</v>
      </c>
      <c r="J3242">
        <v>7195</v>
      </c>
      <c r="K3242" s="1">
        <v>41115</v>
      </c>
      <c r="L3242">
        <v>12506.74</v>
      </c>
    </row>
    <row r="3243" spans="1:12" x14ac:dyDescent="0.35">
      <c r="A3243" s="1">
        <v>41165</v>
      </c>
      <c r="B3243">
        <v>2543.2199999999998</v>
      </c>
      <c r="C3243" s="1">
        <v>41152</v>
      </c>
      <c r="D3243">
        <v>3413.07</v>
      </c>
      <c r="E3243" s="1">
        <v>41109</v>
      </c>
      <c r="F3243">
        <v>6758.39</v>
      </c>
      <c r="G3243" s="1">
        <v>41096</v>
      </c>
      <c r="H3243">
        <v>7136.1494199999997</v>
      </c>
      <c r="I3243" s="1">
        <v>41150</v>
      </c>
      <c r="J3243">
        <v>7306</v>
      </c>
      <c r="K3243" s="1">
        <v>41114</v>
      </c>
      <c r="L3243">
        <v>12362.51</v>
      </c>
    </row>
    <row r="3244" spans="1:12" x14ac:dyDescent="0.35">
      <c r="A3244" s="1">
        <v>41164</v>
      </c>
      <c r="B3244">
        <v>2564.8000000000002</v>
      </c>
      <c r="C3244" s="1">
        <v>41151</v>
      </c>
      <c r="D3244">
        <v>3379.11</v>
      </c>
      <c r="E3244" s="1">
        <v>41108</v>
      </c>
      <c r="F3244">
        <v>6684.42</v>
      </c>
      <c r="G3244" s="1">
        <v>41095</v>
      </c>
      <c r="H3244">
        <v>7133.5870199999999</v>
      </c>
      <c r="I3244" s="1">
        <v>41149</v>
      </c>
      <c r="J3244">
        <v>7333.5</v>
      </c>
      <c r="K3244" s="1">
        <v>41113</v>
      </c>
      <c r="L3244">
        <v>12706.36</v>
      </c>
    </row>
    <row r="3245" spans="1:12" x14ac:dyDescent="0.35">
      <c r="A3245" s="1">
        <v>41163</v>
      </c>
      <c r="B3245">
        <v>2557.65</v>
      </c>
      <c r="C3245" s="1">
        <v>41150</v>
      </c>
      <c r="D3245">
        <v>3413.89</v>
      </c>
      <c r="E3245" s="1">
        <v>41107</v>
      </c>
      <c r="F3245">
        <v>6577.64</v>
      </c>
      <c r="G3245" s="1">
        <v>41094</v>
      </c>
      <c r="H3245">
        <v>7072.1641</v>
      </c>
      <c r="I3245" s="1">
        <v>41148</v>
      </c>
      <c r="J3245">
        <v>7398.9</v>
      </c>
      <c r="K3245" s="1">
        <v>41110</v>
      </c>
      <c r="L3245">
        <v>13067.22</v>
      </c>
    </row>
    <row r="3246" spans="1:12" x14ac:dyDescent="0.35">
      <c r="A3246" s="1">
        <v>41162</v>
      </c>
      <c r="B3246">
        <v>2528.5300000000002</v>
      </c>
      <c r="C3246" s="1">
        <v>41149</v>
      </c>
      <c r="D3246">
        <v>3431.55</v>
      </c>
      <c r="E3246" s="1">
        <v>41106</v>
      </c>
      <c r="F3246">
        <v>6565.72</v>
      </c>
      <c r="G3246" s="1">
        <v>41093</v>
      </c>
      <c r="H3246">
        <v>7078.54504</v>
      </c>
      <c r="I3246" s="1">
        <v>41145</v>
      </c>
      <c r="J3246">
        <v>7310.3</v>
      </c>
      <c r="K3246" s="1">
        <v>41109</v>
      </c>
      <c r="L3246">
        <v>13666.49</v>
      </c>
    </row>
    <row r="3247" spans="1:12" x14ac:dyDescent="0.35">
      <c r="A3247" s="1">
        <v>41159</v>
      </c>
      <c r="B3247">
        <v>2538.6</v>
      </c>
      <c r="C3247" s="1">
        <v>41148</v>
      </c>
      <c r="D3247">
        <v>3462.83</v>
      </c>
      <c r="E3247" s="1">
        <v>41103</v>
      </c>
      <c r="F3247">
        <v>6557.1</v>
      </c>
      <c r="G3247" s="1">
        <v>41092</v>
      </c>
      <c r="H3247">
        <v>7024.8186500000002</v>
      </c>
      <c r="I3247" s="1">
        <v>41144</v>
      </c>
      <c r="J3247">
        <v>7282.9</v>
      </c>
      <c r="K3247" s="1">
        <v>41108</v>
      </c>
      <c r="L3247">
        <v>13594.39</v>
      </c>
    </row>
    <row r="3248" spans="1:12" x14ac:dyDescent="0.35">
      <c r="A3248" s="1">
        <v>41158</v>
      </c>
      <c r="B3248">
        <v>2524.9499999999998</v>
      </c>
      <c r="C3248" s="1">
        <v>41145</v>
      </c>
      <c r="D3248">
        <v>3433.21</v>
      </c>
      <c r="E3248" s="1">
        <v>41102</v>
      </c>
      <c r="F3248">
        <v>6419.35</v>
      </c>
      <c r="G3248" s="1">
        <v>41089</v>
      </c>
      <c r="H3248">
        <v>6905.9184500000001</v>
      </c>
      <c r="I3248" s="1">
        <v>41143</v>
      </c>
      <c r="J3248">
        <v>7340.7</v>
      </c>
      <c r="K3248" s="1">
        <v>41107</v>
      </c>
      <c r="L3248">
        <v>13536.73</v>
      </c>
    </row>
    <row r="3249" spans="1:12" x14ac:dyDescent="0.35">
      <c r="A3249" s="1">
        <v>41157</v>
      </c>
      <c r="B3249">
        <v>2441.81</v>
      </c>
      <c r="C3249" s="1">
        <v>41144</v>
      </c>
      <c r="D3249">
        <v>3432.56</v>
      </c>
      <c r="E3249" s="1">
        <v>41101</v>
      </c>
      <c r="F3249">
        <v>6453.85</v>
      </c>
      <c r="G3249" s="1">
        <v>41088</v>
      </c>
      <c r="H3249">
        <v>6850.74107</v>
      </c>
      <c r="I3249" s="1">
        <v>41142</v>
      </c>
      <c r="J3249">
        <v>7544.5</v>
      </c>
      <c r="K3249" s="1">
        <v>41106</v>
      </c>
      <c r="L3249">
        <v>13664.81</v>
      </c>
    </row>
    <row r="3250" spans="1:12" x14ac:dyDescent="0.35">
      <c r="A3250" s="1">
        <v>41156</v>
      </c>
      <c r="B3250">
        <v>2436.54</v>
      </c>
      <c r="C3250" s="1">
        <v>41143</v>
      </c>
      <c r="D3250">
        <v>3461.65</v>
      </c>
      <c r="E3250" s="1">
        <v>41100</v>
      </c>
      <c r="F3250">
        <v>6438.33</v>
      </c>
      <c r="G3250" s="1">
        <v>41087</v>
      </c>
      <c r="H3250">
        <v>6893.9407199999996</v>
      </c>
      <c r="I3250" s="1">
        <v>41141</v>
      </c>
      <c r="J3250">
        <v>7469.6</v>
      </c>
      <c r="K3250" s="1">
        <v>41103</v>
      </c>
      <c r="L3250">
        <v>13714.68</v>
      </c>
    </row>
    <row r="3251" spans="1:12" x14ac:dyDescent="0.35">
      <c r="A3251" s="1">
        <v>41155</v>
      </c>
      <c r="B3251">
        <v>2463.17</v>
      </c>
      <c r="C3251" s="1">
        <v>41142</v>
      </c>
      <c r="D3251">
        <v>3513.28</v>
      </c>
      <c r="E3251" s="1">
        <v>41099</v>
      </c>
      <c r="F3251">
        <v>6387.57</v>
      </c>
      <c r="G3251" s="1">
        <v>41086</v>
      </c>
      <c r="H3251">
        <v>6814.0401599999996</v>
      </c>
      <c r="I3251" s="1">
        <v>41138</v>
      </c>
      <c r="J3251">
        <v>7561</v>
      </c>
      <c r="K3251" s="1">
        <v>41102</v>
      </c>
      <c r="L3251">
        <v>13583.82</v>
      </c>
    </row>
    <row r="3252" spans="1:12" x14ac:dyDescent="0.35">
      <c r="A3252" s="1">
        <v>41152</v>
      </c>
      <c r="B3252">
        <v>2440.71</v>
      </c>
      <c r="C3252" s="1">
        <v>41141</v>
      </c>
      <c r="D3252">
        <v>3480.58</v>
      </c>
      <c r="E3252" s="1">
        <v>41096</v>
      </c>
      <c r="F3252">
        <v>6410.11</v>
      </c>
      <c r="G3252" s="1">
        <v>41085</v>
      </c>
      <c r="H3252">
        <v>6790.4161100000001</v>
      </c>
      <c r="I3252" s="1">
        <v>41137</v>
      </c>
      <c r="J3252">
        <v>7417.3</v>
      </c>
      <c r="K3252" s="1">
        <v>41101</v>
      </c>
      <c r="L3252">
        <v>13861.42</v>
      </c>
    </row>
    <row r="3253" spans="1:12" x14ac:dyDescent="0.35">
      <c r="A3253" s="1">
        <v>41151</v>
      </c>
      <c r="B3253">
        <v>2403.8000000000002</v>
      </c>
      <c r="C3253" s="1">
        <v>41138</v>
      </c>
      <c r="D3253">
        <v>3488.38</v>
      </c>
      <c r="E3253" s="1">
        <v>41095</v>
      </c>
      <c r="F3253">
        <v>6535.56</v>
      </c>
      <c r="G3253" s="1">
        <v>41082</v>
      </c>
      <c r="H3253">
        <v>6842.29529</v>
      </c>
      <c r="I3253" s="1">
        <v>41136</v>
      </c>
      <c r="J3253">
        <v>7128.9</v>
      </c>
      <c r="K3253" s="1">
        <v>41100</v>
      </c>
      <c r="L3253">
        <v>13868.27</v>
      </c>
    </row>
    <row r="3254" spans="1:12" x14ac:dyDescent="0.35">
      <c r="A3254" s="1">
        <v>41150</v>
      </c>
      <c r="B3254">
        <v>2434.23</v>
      </c>
      <c r="C3254" s="1">
        <v>41137</v>
      </c>
      <c r="D3254">
        <v>3480.49</v>
      </c>
      <c r="E3254" s="1">
        <v>41094</v>
      </c>
      <c r="F3254">
        <v>6564.8</v>
      </c>
      <c r="G3254" s="1">
        <v>41081</v>
      </c>
      <c r="H3254">
        <v>6914.7604300000003</v>
      </c>
      <c r="I3254" s="1">
        <v>41135</v>
      </c>
      <c r="J3254">
        <v>7124.8</v>
      </c>
      <c r="K3254" s="1">
        <v>41099</v>
      </c>
      <c r="L3254">
        <v>13812.65</v>
      </c>
    </row>
    <row r="3255" spans="1:12" x14ac:dyDescent="0.35">
      <c r="A3255" s="1">
        <v>41149</v>
      </c>
      <c r="B3255">
        <v>2442.12</v>
      </c>
      <c r="C3255" s="1">
        <v>41136</v>
      </c>
      <c r="D3255">
        <v>3449.2</v>
      </c>
      <c r="E3255" s="1">
        <v>41093</v>
      </c>
      <c r="F3255">
        <v>6578.21</v>
      </c>
      <c r="G3255" s="1">
        <v>41080</v>
      </c>
      <c r="H3255">
        <v>6959.20075</v>
      </c>
      <c r="I3255" s="1">
        <v>41134</v>
      </c>
      <c r="J3255">
        <v>7069.6</v>
      </c>
      <c r="K3255" s="1">
        <v>41096</v>
      </c>
      <c r="L3255">
        <v>13732.07</v>
      </c>
    </row>
    <row r="3256" spans="1:12" x14ac:dyDescent="0.35">
      <c r="A3256" s="1">
        <v>41148</v>
      </c>
      <c r="B3256">
        <v>2461.8200000000002</v>
      </c>
      <c r="C3256" s="1">
        <v>41135</v>
      </c>
      <c r="D3256">
        <v>3450.27</v>
      </c>
      <c r="E3256" s="1">
        <v>41092</v>
      </c>
      <c r="F3256">
        <v>6496.08</v>
      </c>
      <c r="G3256" s="1">
        <v>41079</v>
      </c>
      <c r="H3256">
        <v>6923.9081800000004</v>
      </c>
      <c r="I3256" s="1">
        <v>41131</v>
      </c>
      <c r="J3256">
        <v>7047.7</v>
      </c>
      <c r="K3256" s="1">
        <v>41095</v>
      </c>
      <c r="L3256">
        <v>14088.74</v>
      </c>
    </row>
    <row r="3257" spans="1:12" x14ac:dyDescent="0.35">
      <c r="A3257" s="1">
        <v>41145</v>
      </c>
      <c r="B3257">
        <v>2434.23</v>
      </c>
      <c r="C3257" s="1">
        <v>41134</v>
      </c>
      <c r="D3257">
        <v>3426.41</v>
      </c>
      <c r="E3257" s="1">
        <v>41089</v>
      </c>
      <c r="F3257">
        <v>6416.28</v>
      </c>
      <c r="G3257" s="1">
        <v>41078</v>
      </c>
      <c r="H3257">
        <v>6842.1175599999997</v>
      </c>
      <c r="I3257" s="1">
        <v>41130</v>
      </c>
      <c r="J3257">
        <v>7110.2</v>
      </c>
      <c r="K3257" s="1">
        <v>41094</v>
      </c>
      <c r="L3257">
        <v>14381.2</v>
      </c>
    </row>
    <row r="3258" spans="1:12" x14ac:dyDescent="0.35">
      <c r="A3258" s="1">
        <v>41144</v>
      </c>
      <c r="B3258">
        <v>2429.17</v>
      </c>
      <c r="C3258" s="1">
        <v>41131</v>
      </c>
      <c r="D3258">
        <v>3435.62</v>
      </c>
      <c r="E3258" s="1">
        <v>41088</v>
      </c>
      <c r="F3258">
        <v>6149.91</v>
      </c>
      <c r="G3258" s="1">
        <v>41075</v>
      </c>
      <c r="H3258">
        <v>6785.4155499999997</v>
      </c>
      <c r="I3258" s="1">
        <v>41129</v>
      </c>
      <c r="J3258">
        <v>7150.2</v>
      </c>
      <c r="K3258" s="1">
        <v>41093</v>
      </c>
      <c r="L3258">
        <v>14494.41</v>
      </c>
    </row>
    <row r="3259" spans="1:12" x14ac:dyDescent="0.35">
      <c r="A3259" s="1">
        <v>41143</v>
      </c>
      <c r="B3259">
        <v>2452.73</v>
      </c>
      <c r="C3259" s="1">
        <v>41130</v>
      </c>
      <c r="D3259">
        <v>3456.71</v>
      </c>
      <c r="E3259" s="1">
        <v>41087</v>
      </c>
      <c r="F3259">
        <v>6228.99</v>
      </c>
      <c r="G3259" s="1">
        <v>41074</v>
      </c>
      <c r="H3259">
        <v>6738.6588400000001</v>
      </c>
      <c r="I3259" s="1">
        <v>41128</v>
      </c>
      <c r="J3259">
        <v>7211.1</v>
      </c>
      <c r="K3259" s="1">
        <v>41092</v>
      </c>
      <c r="L3259">
        <v>14308.79</v>
      </c>
    </row>
    <row r="3260" spans="1:12" x14ac:dyDescent="0.35">
      <c r="A3260" s="1">
        <v>41142</v>
      </c>
      <c r="B3260">
        <v>2490.27</v>
      </c>
      <c r="C3260" s="1">
        <v>41129</v>
      </c>
      <c r="D3260">
        <v>3438.26</v>
      </c>
      <c r="E3260" s="1">
        <v>41086</v>
      </c>
      <c r="F3260">
        <v>6136.69</v>
      </c>
      <c r="G3260" s="1">
        <v>41073</v>
      </c>
      <c r="H3260">
        <v>6778.8103600000004</v>
      </c>
      <c r="I3260" s="1">
        <v>41127</v>
      </c>
      <c r="J3260">
        <v>7053.6</v>
      </c>
      <c r="K3260" s="1">
        <v>41089</v>
      </c>
      <c r="L3260">
        <v>14274.37</v>
      </c>
    </row>
    <row r="3261" spans="1:12" x14ac:dyDescent="0.35">
      <c r="A3261" s="1">
        <v>41141</v>
      </c>
      <c r="B3261">
        <v>2466.3200000000002</v>
      </c>
      <c r="C3261" s="1">
        <v>41128</v>
      </c>
      <c r="D3261">
        <v>3453.28</v>
      </c>
      <c r="E3261" s="1">
        <v>41085</v>
      </c>
      <c r="F3261">
        <v>6132.39</v>
      </c>
      <c r="G3261" s="1">
        <v>41072</v>
      </c>
      <c r="H3261">
        <v>6823.2131099999997</v>
      </c>
      <c r="I3261" s="1">
        <v>41124</v>
      </c>
      <c r="J3261">
        <v>6755.7</v>
      </c>
      <c r="K3261" s="1">
        <v>41088</v>
      </c>
      <c r="L3261">
        <v>13391.3</v>
      </c>
    </row>
    <row r="3262" spans="1:12" x14ac:dyDescent="0.35">
      <c r="A3262" s="1">
        <v>41138</v>
      </c>
      <c r="B3262">
        <v>2471.5300000000002</v>
      </c>
      <c r="C3262" s="1">
        <v>41127</v>
      </c>
      <c r="D3262">
        <v>3401.56</v>
      </c>
      <c r="E3262" s="1">
        <v>41082</v>
      </c>
      <c r="F3262">
        <v>6263.25</v>
      </c>
      <c r="G3262" s="1">
        <v>41071</v>
      </c>
      <c r="H3262">
        <v>6735.6866799999998</v>
      </c>
      <c r="I3262" s="1">
        <v>41123</v>
      </c>
      <c r="J3262">
        <v>6373.4</v>
      </c>
      <c r="K3262" s="1">
        <v>41087</v>
      </c>
      <c r="L3262">
        <v>13302.77</v>
      </c>
    </row>
    <row r="3263" spans="1:12" x14ac:dyDescent="0.35">
      <c r="A3263" s="1">
        <v>41137</v>
      </c>
      <c r="B3263">
        <v>2456.5300000000002</v>
      </c>
      <c r="C3263" s="1">
        <v>41124</v>
      </c>
      <c r="D3263">
        <v>3374.19</v>
      </c>
      <c r="E3263" s="1">
        <v>41081</v>
      </c>
      <c r="F3263">
        <v>6343.13</v>
      </c>
      <c r="G3263" s="1">
        <v>41068</v>
      </c>
      <c r="H3263">
        <v>6716.4049000000005</v>
      </c>
      <c r="I3263" s="1">
        <v>41122</v>
      </c>
      <c r="J3263">
        <v>6720</v>
      </c>
      <c r="K3263" s="1">
        <v>41086</v>
      </c>
      <c r="L3263">
        <v>12968.18</v>
      </c>
    </row>
    <row r="3264" spans="1:12" x14ac:dyDescent="0.35">
      <c r="A3264" s="1">
        <v>41136</v>
      </c>
      <c r="B3264">
        <v>2430.39</v>
      </c>
      <c r="C3264" s="1">
        <v>41123</v>
      </c>
      <c r="D3264">
        <v>3232.46</v>
      </c>
      <c r="E3264" s="1">
        <v>41080</v>
      </c>
      <c r="F3264">
        <v>6392.13</v>
      </c>
      <c r="G3264" s="1">
        <v>41067</v>
      </c>
      <c r="H3264">
        <v>6740.1552700000002</v>
      </c>
      <c r="I3264" s="1">
        <v>41121</v>
      </c>
      <c r="J3264">
        <v>6738.1</v>
      </c>
      <c r="K3264" s="1">
        <v>41085</v>
      </c>
      <c r="L3264">
        <v>13113.78</v>
      </c>
    </row>
    <row r="3265" spans="1:12" x14ac:dyDescent="0.35">
      <c r="A3265" s="1">
        <v>41135</v>
      </c>
      <c r="B3265">
        <v>2432.29</v>
      </c>
      <c r="C3265" s="1">
        <v>41122</v>
      </c>
      <c r="D3265">
        <v>3321.56</v>
      </c>
      <c r="E3265" s="1">
        <v>41079</v>
      </c>
      <c r="F3265">
        <v>6363.36</v>
      </c>
      <c r="G3265" s="1">
        <v>41066</v>
      </c>
      <c r="H3265">
        <v>6635.5007999999998</v>
      </c>
      <c r="I3265" s="1">
        <v>41120</v>
      </c>
      <c r="J3265">
        <v>6801.8</v>
      </c>
      <c r="K3265" s="1">
        <v>41082</v>
      </c>
      <c r="L3265">
        <v>13662.8</v>
      </c>
    </row>
    <row r="3266" spans="1:12" x14ac:dyDescent="0.35">
      <c r="A3266" s="1">
        <v>41134</v>
      </c>
      <c r="B3266">
        <v>2415.96</v>
      </c>
      <c r="C3266" s="1">
        <v>41121</v>
      </c>
      <c r="D3266">
        <v>3291.66</v>
      </c>
      <c r="E3266" s="1">
        <v>41078</v>
      </c>
      <c r="F3266">
        <v>6248.2</v>
      </c>
      <c r="G3266" s="1">
        <v>41061</v>
      </c>
      <c r="H3266">
        <v>6522.9924000000001</v>
      </c>
      <c r="I3266" s="1">
        <v>41117</v>
      </c>
      <c r="J3266">
        <v>6617.6</v>
      </c>
      <c r="K3266" s="1">
        <v>41081</v>
      </c>
      <c r="L3266">
        <v>13751.63</v>
      </c>
    </row>
    <row r="3267" spans="1:12" x14ac:dyDescent="0.35">
      <c r="A3267" s="1">
        <v>41131</v>
      </c>
      <c r="B3267">
        <v>2423.2199999999998</v>
      </c>
      <c r="C3267" s="1">
        <v>41120</v>
      </c>
      <c r="D3267">
        <v>3320.71</v>
      </c>
      <c r="E3267" s="1">
        <v>41075</v>
      </c>
      <c r="F3267">
        <v>6229.41</v>
      </c>
      <c r="G3267" s="1">
        <v>41060</v>
      </c>
      <c r="H3267">
        <v>6634.2913099999996</v>
      </c>
      <c r="I3267" s="1">
        <v>41116</v>
      </c>
      <c r="J3267">
        <v>6368.8</v>
      </c>
      <c r="K3267" s="1">
        <v>41080</v>
      </c>
      <c r="L3267">
        <v>13732.16</v>
      </c>
    </row>
    <row r="3268" spans="1:12" x14ac:dyDescent="0.35">
      <c r="A3268" s="1">
        <v>41130</v>
      </c>
      <c r="B3268">
        <v>2437.04</v>
      </c>
      <c r="C3268" s="1">
        <v>41117</v>
      </c>
      <c r="D3268">
        <v>3280.19</v>
      </c>
      <c r="E3268" s="1">
        <v>41074</v>
      </c>
      <c r="F3268">
        <v>6138.61</v>
      </c>
      <c r="G3268" s="1">
        <v>41059</v>
      </c>
      <c r="H3268">
        <v>6628.6453899999997</v>
      </c>
      <c r="I3268" s="1">
        <v>41115</v>
      </c>
      <c r="J3268">
        <v>6004.9</v>
      </c>
      <c r="K3268" s="1">
        <v>41079</v>
      </c>
      <c r="L3268">
        <v>13445.46</v>
      </c>
    </row>
    <row r="3269" spans="1:12" x14ac:dyDescent="0.35">
      <c r="A3269" s="1">
        <v>41129</v>
      </c>
      <c r="B3269">
        <v>2432.2800000000002</v>
      </c>
      <c r="C3269" s="1">
        <v>41116</v>
      </c>
      <c r="D3269">
        <v>3207.12</v>
      </c>
      <c r="E3269" s="1">
        <v>41073</v>
      </c>
      <c r="F3269">
        <v>6152.49</v>
      </c>
      <c r="G3269" s="1">
        <v>41058</v>
      </c>
      <c r="H3269">
        <v>6750.3707000000004</v>
      </c>
      <c r="I3269" s="1">
        <v>41114</v>
      </c>
      <c r="J3269">
        <v>5956.3</v>
      </c>
      <c r="K3269" s="1">
        <v>41078</v>
      </c>
      <c r="L3269">
        <v>13009.63</v>
      </c>
    </row>
    <row r="3270" spans="1:12" x14ac:dyDescent="0.35">
      <c r="A3270" s="1">
        <v>41128</v>
      </c>
      <c r="B3270">
        <v>2440.2399999999998</v>
      </c>
      <c r="C3270" s="1">
        <v>41115</v>
      </c>
      <c r="D3270">
        <v>3081.74</v>
      </c>
      <c r="E3270" s="1">
        <v>41072</v>
      </c>
      <c r="F3270">
        <v>6161.24</v>
      </c>
      <c r="G3270" s="1">
        <v>41057</v>
      </c>
      <c r="H3270">
        <v>6701.0886700000001</v>
      </c>
      <c r="I3270" s="1">
        <v>41113</v>
      </c>
      <c r="J3270">
        <v>6177.4</v>
      </c>
      <c r="K3270" s="1">
        <v>41075</v>
      </c>
      <c r="L3270">
        <v>13390.69</v>
      </c>
    </row>
    <row r="3271" spans="1:12" x14ac:dyDescent="0.35">
      <c r="A3271" s="1">
        <v>41127</v>
      </c>
      <c r="B3271">
        <v>2399.3200000000002</v>
      </c>
      <c r="C3271" s="1">
        <v>41114</v>
      </c>
      <c r="D3271">
        <v>3074.68</v>
      </c>
      <c r="E3271" s="1">
        <v>41071</v>
      </c>
      <c r="F3271">
        <v>6141.05</v>
      </c>
      <c r="G3271" s="1">
        <v>41054</v>
      </c>
      <c r="H3271">
        <v>6689.9470099999999</v>
      </c>
      <c r="I3271" s="1">
        <v>41110</v>
      </c>
      <c r="J3271">
        <v>6246.3</v>
      </c>
      <c r="K3271" s="1">
        <v>41074</v>
      </c>
      <c r="L3271">
        <v>13084.62</v>
      </c>
    </row>
    <row r="3272" spans="1:12" x14ac:dyDescent="0.35">
      <c r="A3272" s="1">
        <v>41124</v>
      </c>
      <c r="B3272">
        <v>2372.58</v>
      </c>
      <c r="C3272" s="1">
        <v>41113</v>
      </c>
      <c r="D3272">
        <v>3101.53</v>
      </c>
      <c r="E3272" s="1">
        <v>41068</v>
      </c>
      <c r="F3272">
        <v>6130.82</v>
      </c>
      <c r="G3272" s="1">
        <v>41053</v>
      </c>
      <c r="H3272">
        <v>6681.9117900000001</v>
      </c>
      <c r="I3272" s="1">
        <v>41109</v>
      </c>
      <c r="J3272">
        <v>6632.6</v>
      </c>
      <c r="K3272" s="1">
        <v>41073</v>
      </c>
      <c r="L3272">
        <v>12894.8</v>
      </c>
    </row>
    <row r="3273" spans="1:12" x14ac:dyDescent="0.35">
      <c r="A3273" s="1">
        <v>41123</v>
      </c>
      <c r="B3273">
        <v>2263.36</v>
      </c>
      <c r="C3273" s="1">
        <v>41110</v>
      </c>
      <c r="D3273">
        <v>3193.89</v>
      </c>
      <c r="E3273" s="1">
        <v>41067</v>
      </c>
      <c r="F3273">
        <v>6144.22</v>
      </c>
      <c r="G3273" s="1">
        <v>41052</v>
      </c>
      <c r="H3273">
        <v>6578.4002</v>
      </c>
      <c r="I3273" s="1">
        <v>41108</v>
      </c>
      <c r="J3273">
        <v>6591.2</v>
      </c>
      <c r="K3273" s="1">
        <v>41072</v>
      </c>
      <c r="L3273">
        <v>12979.69</v>
      </c>
    </row>
    <row r="3274" spans="1:12" x14ac:dyDescent="0.35">
      <c r="A3274" s="1">
        <v>41122</v>
      </c>
      <c r="B3274">
        <v>2333.38</v>
      </c>
      <c r="C3274" s="1">
        <v>41109</v>
      </c>
      <c r="D3274">
        <v>3263.64</v>
      </c>
      <c r="E3274" s="1">
        <v>41066</v>
      </c>
      <c r="F3274">
        <v>6093.99</v>
      </c>
      <c r="G3274" s="1">
        <v>41051</v>
      </c>
      <c r="H3274">
        <v>6695.9774100000004</v>
      </c>
      <c r="I3274" s="1">
        <v>41107</v>
      </c>
      <c r="J3274">
        <v>6558.2</v>
      </c>
      <c r="K3274" s="1">
        <v>41071</v>
      </c>
      <c r="L3274">
        <v>13070.75</v>
      </c>
    </row>
    <row r="3275" spans="1:12" x14ac:dyDescent="0.35">
      <c r="A3275" s="1">
        <v>41121</v>
      </c>
      <c r="B3275">
        <v>2325.7199999999998</v>
      </c>
      <c r="C3275" s="1">
        <v>41108</v>
      </c>
      <c r="D3275">
        <v>3235.4</v>
      </c>
      <c r="E3275" s="1">
        <v>41065</v>
      </c>
      <c r="F3275">
        <v>5969.4</v>
      </c>
      <c r="G3275" s="1">
        <v>41050</v>
      </c>
      <c r="H3275">
        <v>6558.18318</v>
      </c>
      <c r="I3275" s="1">
        <v>41106</v>
      </c>
      <c r="J3275">
        <v>6532.1</v>
      </c>
      <c r="K3275" s="1">
        <v>41068</v>
      </c>
      <c r="L3275">
        <v>13445.46</v>
      </c>
    </row>
    <row r="3276" spans="1:12" x14ac:dyDescent="0.35">
      <c r="A3276" s="1">
        <v>41120</v>
      </c>
      <c r="B3276">
        <v>2340.31</v>
      </c>
      <c r="C3276" s="1">
        <v>41107</v>
      </c>
      <c r="D3276">
        <v>3176.97</v>
      </c>
      <c r="E3276" s="1">
        <v>41064</v>
      </c>
      <c r="F3276">
        <v>5978.23</v>
      </c>
      <c r="G3276" s="1">
        <v>41047</v>
      </c>
      <c r="H3276">
        <v>6537.4594299999999</v>
      </c>
      <c r="I3276" s="1">
        <v>41103</v>
      </c>
      <c r="J3276">
        <v>6664.6</v>
      </c>
      <c r="K3276" s="1">
        <v>41067</v>
      </c>
      <c r="L3276">
        <v>13545.32</v>
      </c>
    </row>
    <row r="3277" spans="1:12" x14ac:dyDescent="0.35">
      <c r="A3277" s="1">
        <v>41117</v>
      </c>
      <c r="B3277">
        <v>2301.23</v>
      </c>
      <c r="C3277" s="1">
        <v>41106</v>
      </c>
      <c r="D3277">
        <v>3179.9</v>
      </c>
      <c r="E3277" s="1">
        <v>41061</v>
      </c>
      <c r="F3277">
        <v>6050.29</v>
      </c>
      <c r="G3277" s="1">
        <v>41046</v>
      </c>
      <c r="H3277">
        <v>6644.9500799999996</v>
      </c>
      <c r="I3277" s="1">
        <v>41102</v>
      </c>
      <c r="J3277">
        <v>6630.1</v>
      </c>
      <c r="K3277" s="1">
        <v>41066</v>
      </c>
      <c r="L3277">
        <v>13427.15</v>
      </c>
    </row>
    <row r="3278" spans="1:12" x14ac:dyDescent="0.35">
      <c r="A3278" s="1">
        <v>41116</v>
      </c>
      <c r="B3278">
        <v>2251.0500000000002</v>
      </c>
      <c r="C3278" s="1">
        <v>41103</v>
      </c>
      <c r="D3278">
        <v>3180.81</v>
      </c>
      <c r="E3278" s="1">
        <v>41060</v>
      </c>
      <c r="F3278">
        <v>6264.38</v>
      </c>
      <c r="G3278" s="1">
        <v>41045</v>
      </c>
      <c r="H3278">
        <v>6762.50047</v>
      </c>
      <c r="I3278" s="1">
        <v>41101</v>
      </c>
      <c r="J3278">
        <v>6805.9</v>
      </c>
      <c r="K3278" s="1">
        <v>41065</v>
      </c>
      <c r="L3278">
        <v>12973.66</v>
      </c>
    </row>
    <row r="3279" spans="1:12" x14ac:dyDescent="0.35">
      <c r="A3279" s="1">
        <v>41115</v>
      </c>
      <c r="B3279">
        <v>2159.09</v>
      </c>
      <c r="C3279" s="1">
        <v>41102</v>
      </c>
      <c r="D3279">
        <v>3135.18</v>
      </c>
      <c r="E3279" s="1">
        <v>41059</v>
      </c>
      <c r="F3279">
        <v>6280.8</v>
      </c>
      <c r="G3279" s="1">
        <v>41044</v>
      </c>
      <c r="H3279">
        <v>6822.04342</v>
      </c>
      <c r="I3279" s="1">
        <v>41100</v>
      </c>
      <c r="J3279">
        <v>6726.9</v>
      </c>
      <c r="K3279" s="1">
        <v>41064</v>
      </c>
      <c r="L3279">
        <v>12891.96</v>
      </c>
    </row>
    <row r="3280" spans="1:12" x14ac:dyDescent="0.35">
      <c r="A3280" s="1">
        <v>41114</v>
      </c>
      <c r="B3280">
        <v>2151.54</v>
      </c>
      <c r="C3280" s="1">
        <v>41101</v>
      </c>
      <c r="D3280">
        <v>3157.25</v>
      </c>
      <c r="E3280" s="1">
        <v>41058</v>
      </c>
      <c r="F3280">
        <v>6396.84</v>
      </c>
      <c r="G3280" s="1">
        <v>41043</v>
      </c>
      <c r="H3280">
        <v>6852.9605000000001</v>
      </c>
      <c r="I3280" s="1">
        <v>41099</v>
      </c>
      <c r="J3280">
        <v>6688.3</v>
      </c>
      <c r="K3280" s="1">
        <v>41061</v>
      </c>
      <c r="L3280">
        <v>12739.98</v>
      </c>
    </row>
    <row r="3281" spans="1:12" x14ac:dyDescent="0.35">
      <c r="A3281" s="1">
        <v>41113</v>
      </c>
      <c r="B3281">
        <v>2179.31</v>
      </c>
      <c r="C3281" s="1">
        <v>41100</v>
      </c>
      <c r="D3281">
        <v>3175.41</v>
      </c>
      <c r="E3281" s="1">
        <v>41057</v>
      </c>
      <c r="F3281">
        <v>6323.19</v>
      </c>
      <c r="G3281" s="1">
        <v>41040</v>
      </c>
      <c r="H3281">
        <v>6929.5502399999996</v>
      </c>
      <c r="I3281" s="1">
        <v>41096</v>
      </c>
      <c r="J3281">
        <v>6738.9</v>
      </c>
      <c r="K3281" s="1">
        <v>41060</v>
      </c>
      <c r="L3281">
        <v>12873.84</v>
      </c>
    </row>
    <row r="3282" spans="1:12" x14ac:dyDescent="0.35">
      <c r="A3282" s="1">
        <v>41110</v>
      </c>
      <c r="B3282">
        <v>2237.33</v>
      </c>
      <c r="C3282" s="1">
        <v>41099</v>
      </c>
      <c r="D3282">
        <v>3156.8</v>
      </c>
      <c r="E3282" s="1">
        <v>41054</v>
      </c>
      <c r="F3282">
        <v>6339.94</v>
      </c>
      <c r="G3282" s="1">
        <v>41039</v>
      </c>
      <c r="H3282">
        <v>6911.2267199999997</v>
      </c>
      <c r="I3282" s="1">
        <v>41095</v>
      </c>
      <c r="J3282">
        <v>6954.2</v>
      </c>
      <c r="K3282" s="1">
        <v>41059</v>
      </c>
      <c r="L3282">
        <v>12872.58</v>
      </c>
    </row>
    <row r="3283" spans="1:12" x14ac:dyDescent="0.35">
      <c r="A3283" s="1">
        <v>41109</v>
      </c>
      <c r="B3283">
        <v>2302.4499999999998</v>
      </c>
      <c r="C3283" s="1">
        <v>41096</v>
      </c>
      <c r="D3283">
        <v>3168.79</v>
      </c>
      <c r="E3283" s="1">
        <v>41053</v>
      </c>
      <c r="F3283">
        <v>6315.89</v>
      </c>
      <c r="G3283" s="1">
        <v>41038</v>
      </c>
      <c r="H3283">
        <v>6887.90337</v>
      </c>
      <c r="I3283" s="1">
        <v>41094</v>
      </c>
      <c r="J3283">
        <v>7168.5</v>
      </c>
      <c r="K3283" s="1">
        <v>41058</v>
      </c>
      <c r="L3283">
        <v>13107.13</v>
      </c>
    </row>
    <row r="3284" spans="1:12" x14ac:dyDescent="0.35">
      <c r="A3284" s="1">
        <v>41108</v>
      </c>
      <c r="B3284">
        <v>2284.6999999999998</v>
      </c>
      <c r="C3284" s="1">
        <v>41095</v>
      </c>
      <c r="D3284">
        <v>3229.36</v>
      </c>
      <c r="E3284" s="1">
        <v>41052</v>
      </c>
      <c r="F3284">
        <v>6285.75</v>
      </c>
      <c r="G3284" s="1">
        <v>41037</v>
      </c>
      <c r="H3284">
        <v>6897.7178899999999</v>
      </c>
      <c r="I3284" s="1">
        <v>41093</v>
      </c>
      <c r="J3284">
        <v>7219.5</v>
      </c>
      <c r="K3284" s="1">
        <v>41057</v>
      </c>
      <c r="L3284">
        <v>13057.26</v>
      </c>
    </row>
    <row r="3285" spans="1:12" x14ac:dyDescent="0.35">
      <c r="A3285" s="1">
        <v>41107</v>
      </c>
      <c r="B3285">
        <v>2250.75</v>
      </c>
      <c r="C3285" s="1">
        <v>41094</v>
      </c>
      <c r="D3285">
        <v>3267.75</v>
      </c>
      <c r="E3285" s="1">
        <v>41051</v>
      </c>
      <c r="F3285">
        <v>6435.6</v>
      </c>
      <c r="G3285" s="1">
        <v>41033</v>
      </c>
      <c r="H3285">
        <v>6978.0882499999998</v>
      </c>
      <c r="I3285" s="1">
        <v>41092</v>
      </c>
      <c r="J3285">
        <v>7124</v>
      </c>
      <c r="K3285" s="1">
        <v>41054</v>
      </c>
      <c r="L3285">
        <v>13154.8</v>
      </c>
    </row>
    <row r="3286" spans="1:12" x14ac:dyDescent="0.35">
      <c r="A3286" s="1">
        <v>41106</v>
      </c>
      <c r="B3286">
        <v>2251.96</v>
      </c>
      <c r="C3286" s="1">
        <v>41093</v>
      </c>
      <c r="D3286">
        <v>3271.2</v>
      </c>
      <c r="E3286" s="1">
        <v>41050</v>
      </c>
      <c r="F3286">
        <v>6331.04</v>
      </c>
      <c r="G3286" s="1">
        <v>41032</v>
      </c>
      <c r="H3286">
        <v>7099.2832799999996</v>
      </c>
      <c r="I3286" s="1">
        <v>41089</v>
      </c>
      <c r="J3286">
        <v>7102.2</v>
      </c>
      <c r="K3286" s="1">
        <v>41053</v>
      </c>
      <c r="L3286">
        <v>13107.8</v>
      </c>
    </row>
    <row r="3287" spans="1:12" x14ac:dyDescent="0.35">
      <c r="A3287" s="1">
        <v>41103</v>
      </c>
      <c r="B3287">
        <v>2259.09</v>
      </c>
      <c r="C3287" s="1">
        <v>41092</v>
      </c>
      <c r="D3287">
        <v>3240.2</v>
      </c>
      <c r="E3287" s="1">
        <v>41047</v>
      </c>
      <c r="F3287">
        <v>6271.22</v>
      </c>
      <c r="G3287" s="1">
        <v>41031</v>
      </c>
      <c r="H3287">
        <v>7082.2960000000003</v>
      </c>
      <c r="I3287" s="1">
        <v>41088</v>
      </c>
      <c r="J3287">
        <v>6721.7</v>
      </c>
      <c r="K3287" s="1">
        <v>41052</v>
      </c>
      <c r="L3287">
        <v>12960.87</v>
      </c>
    </row>
    <row r="3288" spans="1:12" x14ac:dyDescent="0.35">
      <c r="A3288" s="1">
        <v>41102</v>
      </c>
      <c r="B3288">
        <v>2228.0100000000002</v>
      </c>
      <c r="C3288" s="1">
        <v>41089</v>
      </c>
      <c r="D3288">
        <v>3196.65</v>
      </c>
      <c r="E3288" s="1">
        <v>41046</v>
      </c>
      <c r="F3288">
        <v>6308.96</v>
      </c>
      <c r="G3288" s="1">
        <v>41030</v>
      </c>
      <c r="H3288">
        <v>7129.6746599999997</v>
      </c>
      <c r="I3288" s="1">
        <v>41087</v>
      </c>
      <c r="J3288">
        <v>6666.9</v>
      </c>
      <c r="K3288" s="1">
        <v>41051</v>
      </c>
      <c r="L3288">
        <v>13456.03</v>
      </c>
    </row>
    <row r="3289" spans="1:12" x14ac:dyDescent="0.35">
      <c r="A3289" s="1">
        <v>41101</v>
      </c>
      <c r="B3289">
        <v>2246.23</v>
      </c>
      <c r="C3289" s="1">
        <v>41088</v>
      </c>
      <c r="D3289">
        <v>3051.68</v>
      </c>
      <c r="E3289" s="1">
        <v>41045</v>
      </c>
      <c r="F3289">
        <v>6384.26</v>
      </c>
      <c r="G3289" s="1">
        <v>41029</v>
      </c>
      <c r="H3289">
        <v>7041.1308900000004</v>
      </c>
      <c r="I3289" s="1">
        <v>41086</v>
      </c>
      <c r="J3289">
        <v>6528.4</v>
      </c>
      <c r="K3289" s="1">
        <v>41050</v>
      </c>
      <c r="L3289">
        <v>13012.04</v>
      </c>
    </row>
    <row r="3290" spans="1:12" x14ac:dyDescent="0.35">
      <c r="A3290" s="1">
        <v>41100</v>
      </c>
      <c r="B3290">
        <v>2241.85</v>
      </c>
      <c r="C3290" s="1">
        <v>41087</v>
      </c>
      <c r="D3290">
        <v>3063.12</v>
      </c>
      <c r="E3290" s="1">
        <v>41044</v>
      </c>
      <c r="F3290">
        <v>6401.06</v>
      </c>
      <c r="G3290" s="1">
        <v>41026</v>
      </c>
      <c r="H3290">
        <v>7084.9786700000004</v>
      </c>
      <c r="I3290" s="1">
        <v>41085</v>
      </c>
      <c r="J3290">
        <v>6624</v>
      </c>
      <c r="K3290" s="1">
        <v>41047</v>
      </c>
      <c r="L3290">
        <v>13048.9</v>
      </c>
    </row>
    <row r="3291" spans="1:12" x14ac:dyDescent="0.35">
      <c r="A3291" s="1">
        <v>41099</v>
      </c>
      <c r="B3291">
        <v>2227.91</v>
      </c>
      <c r="C3291" s="1">
        <v>41086</v>
      </c>
      <c r="D3291">
        <v>3012.71</v>
      </c>
      <c r="E3291" s="1">
        <v>41043</v>
      </c>
      <c r="F3291">
        <v>6451.97</v>
      </c>
      <c r="G3291" s="1">
        <v>41025</v>
      </c>
      <c r="H3291">
        <v>7030.0742899999996</v>
      </c>
      <c r="I3291" s="1">
        <v>41082</v>
      </c>
      <c r="J3291">
        <v>6876.3</v>
      </c>
      <c r="K3291" s="1">
        <v>41046</v>
      </c>
      <c r="L3291">
        <v>13089.26</v>
      </c>
    </row>
    <row r="3292" spans="1:12" x14ac:dyDescent="0.35">
      <c r="A3292" s="1">
        <v>41096</v>
      </c>
      <c r="B3292">
        <v>2235.5100000000002</v>
      </c>
      <c r="C3292" s="1">
        <v>41085</v>
      </c>
      <c r="D3292">
        <v>3021.64</v>
      </c>
      <c r="E3292" s="1">
        <v>41040</v>
      </c>
      <c r="F3292">
        <v>6579.93</v>
      </c>
      <c r="G3292" s="1">
        <v>41024</v>
      </c>
      <c r="H3292">
        <v>6995.5788000000002</v>
      </c>
      <c r="I3292" s="1">
        <v>41081</v>
      </c>
      <c r="J3292">
        <v>6773.5</v>
      </c>
      <c r="K3292" s="1">
        <v>41045</v>
      </c>
      <c r="L3292">
        <v>13283.55</v>
      </c>
    </row>
    <row r="3293" spans="1:12" x14ac:dyDescent="0.35">
      <c r="A3293" s="1">
        <v>41095</v>
      </c>
      <c r="B3293">
        <v>2284.92</v>
      </c>
      <c r="C3293" s="1">
        <v>41082</v>
      </c>
      <c r="D3293">
        <v>3090.9</v>
      </c>
      <c r="E3293" s="1">
        <v>41039</v>
      </c>
      <c r="F3293">
        <v>6518</v>
      </c>
      <c r="G3293" s="1">
        <v>41023</v>
      </c>
      <c r="H3293">
        <v>6978.7462299999997</v>
      </c>
      <c r="I3293" s="1">
        <v>41080</v>
      </c>
      <c r="J3293">
        <v>6796.1</v>
      </c>
      <c r="K3293" s="1">
        <v>41044</v>
      </c>
      <c r="L3293">
        <v>13311.36</v>
      </c>
    </row>
    <row r="3294" spans="1:12" x14ac:dyDescent="0.35">
      <c r="A3294" s="1">
        <v>41094</v>
      </c>
      <c r="B3294">
        <v>2312.41</v>
      </c>
      <c r="C3294" s="1">
        <v>41081</v>
      </c>
      <c r="D3294">
        <v>3114.22</v>
      </c>
      <c r="E3294" s="1">
        <v>41038</v>
      </c>
      <c r="F3294">
        <v>6475.31</v>
      </c>
      <c r="G3294" s="1">
        <v>41022</v>
      </c>
      <c r="H3294">
        <v>6952.5721999999996</v>
      </c>
      <c r="I3294" s="1">
        <v>41079</v>
      </c>
      <c r="J3294">
        <v>6693.9</v>
      </c>
      <c r="K3294" s="1">
        <v>41043</v>
      </c>
      <c r="L3294">
        <v>13660.87</v>
      </c>
    </row>
    <row r="3295" spans="1:12" x14ac:dyDescent="0.35">
      <c r="A3295" s="1">
        <v>41093</v>
      </c>
      <c r="B3295">
        <v>2320.4299999999998</v>
      </c>
      <c r="C3295" s="1">
        <v>41080</v>
      </c>
      <c r="D3295">
        <v>3126.52</v>
      </c>
      <c r="E3295" s="1">
        <v>41037</v>
      </c>
      <c r="F3295">
        <v>6444.74</v>
      </c>
      <c r="G3295" s="1">
        <v>41019</v>
      </c>
      <c r="H3295">
        <v>7044.3647099999998</v>
      </c>
      <c r="I3295" s="1">
        <v>41078</v>
      </c>
      <c r="J3295">
        <v>6519.9</v>
      </c>
      <c r="K3295" s="1">
        <v>41040</v>
      </c>
      <c r="L3295">
        <v>14045.35</v>
      </c>
    </row>
    <row r="3296" spans="1:12" x14ac:dyDescent="0.35">
      <c r="A3296" s="1">
        <v>41092</v>
      </c>
      <c r="B3296">
        <v>2292.08</v>
      </c>
      <c r="C3296" s="1">
        <v>41079</v>
      </c>
      <c r="D3296">
        <v>3117.92</v>
      </c>
      <c r="E3296" s="1">
        <v>41036</v>
      </c>
      <c r="F3296">
        <v>6569.48</v>
      </c>
      <c r="G3296" s="1">
        <v>41018</v>
      </c>
      <c r="H3296">
        <v>7026.6124</v>
      </c>
      <c r="I3296" s="1">
        <v>41075</v>
      </c>
      <c r="J3296">
        <v>6719</v>
      </c>
      <c r="K3296" s="1">
        <v>41039</v>
      </c>
      <c r="L3296">
        <v>14004.94</v>
      </c>
    </row>
    <row r="3297" spans="1:12" x14ac:dyDescent="0.35">
      <c r="A3297" s="1">
        <v>41089</v>
      </c>
      <c r="B3297">
        <v>2264.7199999999998</v>
      </c>
      <c r="C3297" s="1">
        <v>41078</v>
      </c>
      <c r="D3297">
        <v>3066.19</v>
      </c>
      <c r="E3297" s="1">
        <v>41033</v>
      </c>
      <c r="F3297">
        <v>6561.47</v>
      </c>
      <c r="G3297" s="1">
        <v>41017</v>
      </c>
      <c r="H3297">
        <v>7017.34872</v>
      </c>
      <c r="I3297" s="1">
        <v>41074</v>
      </c>
      <c r="J3297">
        <v>6696</v>
      </c>
      <c r="K3297" s="1">
        <v>41038</v>
      </c>
      <c r="L3297">
        <v>13771.82</v>
      </c>
    </row>
    <row r="3298" spans="1:12" x14ac:dyDescent="0.35">
      <c r="A3298" s="1">
        <v>41088</v>
      </c>
      <c r="B3298">
        <v>2157.62</v>
      </c>
      <c r="C3298" s="1">
        <v>41075</v>
      </c>
      <c r="D3298">
        <v>3087.62</v>
      </c>
      <c r="E3298" s="1">
        <v>41032</v>
      </c>
      <c r="F3298">
        <v>6694.44</v>
      </c>
      <c r="G3298" s="1">
        <v>41016</v>
      </c>
      <c r="H3298">
        <v>7000.84177</v>
      </c>
      <c r="I3298" s="1">
        <v>41073</v>
      </c>
      <c r="J3298">
        <v>6615.3</v>
      </c>
      <c r="K3298" s="1">
        <v>41037</v>
      </c>
      <c r="L3298">
        <v>13936.7</v>
      </c>
    </row>
    <row r="3299" spans="1:12" x14ac:dyDescent="0.35">
      <c r="A3299" s="1">
        <v>41087</v>
      </c>
      <c r="B3299">
        <v>2165.61</v>
      </c>
      <c r="C3299" s="1">
        <v>41074</v>
      </c>
      <c r="D3299">
        <v>3032.45</v>
      </c>
      <c r="E3299" s="1">
        <v>41031</v>
      </c>
      <c r="F3299">
        <v>6710.77</v>
      </c>
      <c r="G3299" s="1">
        <v>41015</v>
      </c>
      <c r="H3299">
        <v>6877.2677400000002</v>
      </c>
      <c r="I3299" s="1">
        <v>41072</v>
      </c>
      <c r="J3299">
        <v>6522.5</v>
      </c>
      <c r="K3299" s="1">
        <v>41036</v>
      </c>
      <c r="L3299">
        <v>14275.35</v>
      </c>
    </row>
    <row r="3300" spans="1:12" x14ac:dyDescent="0.35">
      <c r="A3300" s="1">
        <v>41086</v>
      </c>
      <c r="B3300">
        <v>2127.9499999999998</v>
      </c>
      <c r="C3300" s="1">
        <v>41073</v>
      </c>
      <c r="D3300">
        <v>3030.04</v>
      </c>
      <c r="E3300" s="1">
        <v>41029</v>
      </c>
      <c r="F3300">
        <v>6761.19</v>
      </c>
      <c r="G3300" s="1">
        <v>41012</v>
      </c>
      <c r="H3300">
        <v>6852.64419</v>
      </c>
      <c r="I3300" s="1">
        <v>41071</v>
      </c>
      <c r="J3300">
        <v>6516.4</v>
      </c>
      <c r="K3300" s="1">
        <v>41033</v>
      </c>
      <c r="L3300">
        <v>13918.57</v>
      </c>
    </row>
    <row r="3301" spans="1:12" x14ac:dyDescent="0.35">
      <c r="A3301" s="1">
        <v>41085</v>
      </c>
      <c r="B3301">
        <v>2130.71</v>
      </c>
      <c r="C3301" s="1">
        <v>41072</v>
      </c>
      <c r="D3301">
        <v>3046.91</v>
      </c>
      <c r="E3301" s="1">
        <v>41026</v>
      </c>
      <c r="F3301">
        <v>6801.32</v>
      </c>
      <c r="G3301" s="1">
        <v>41011</v>
      </c>
      <c r="H3301">
        <v>6915.6500500000002</v>
      </c>
      <c r="I3301" s="1">
        <v>41068</v>
      </c>
      <c r="J3301">
        <v>6552</v>
      </c>
      <c r="K3301" s="1">
        <v>41032</v>
      </c>
      <c r="L3301">
        <v>14118.13</v>
      </c>
    </row>
    <row r="3302" spans="1:12" x14ac:dyDescent="0.35">
      <c r="A3302" s="1">
        <v>41082</v>
      </c>
      <c r="B3302">
        <v>2186.81</v>
      </c>
      <c r="C3302" s="1">
        <v>41071</v>
      </c>
      <c r="D3302">
        <v>3042.76</v>
      </c>
      <c r="E3302" s="1">
        <v>41025</v>
      </c>
      <c r="F3302">
        <v>6739.9</v>
      </c>
      <c r="G3302" s="1">
        <v>41010</v>
      </c>
      <c r="H3302">
        <v>6834.3610699999999</v>
      </c>
      <c r="I3302" s="1">
        <v>41067</v>
      </c>
      <c r="J3302">
        <v>6438.1</v>
      </c>
      <c r="K3302" s="1">
        <v>41031</v>
      </c>
      <c r="L3302">
        <v>14213.17</v>
      </c>
    </row>
    <row r="3303" spans="1:12" x14ac:dyDescent="0.35">
      <c r="A3303" s="1">
        <v>41081</v>
      </c>
      <c r="B3303">
        <v>2199.42</v>
      </c>
      <c r="C3303" s="1">
        <v>41068</v>
      </c>
      <c r="D3303">
        <v>3051.69</v>
      </c>
      <c r="E3303" s="1">
        <v>41024</v>
      </c>
      <c r="F3303">
        <v>6704.5</v>
      </c>
      <c r="G3303" s="1">
        <v>41009</v>
      </c>
      <c r="H3303">
        <v>6776.6427899999999</v>
      </c>
      <c r="I3303" s="1">
        <v>41066</v>
      </c>
      <c r="J3303">
        <v>6418.9</v>
      </c>
      <c r="K3303" s="1">
        <v>41029</v>
      </c>
      <c r="L3303">
        <v>14592.34</v>
      </c>
    </row>
    <row r="3304" spans="1:12" x14ac:dyDescent="0.35">
      <c r="A3304" s="1">
        <v>41080</v>
      </c>
      <c r="B3304">
        <v>2207.4899999999998</v>
      </c>
      <c r="C3304" s="1">
        <v>41067</v>
      </c>
      <c r="D3304">
        <v>3071.16</v>
      </c>
      <c r="E3304" s="1">
        <v>41023</v>
      </c>
      <c r="F3304">
        <v>6590.41</v>
      </c>
      <c r="G3304" s="1">
        <v>41004</v>
      </c>
      <c r="H3304">
        <v>6934.3031000000001</v>
      </c>
      <c r="I3304" s="1">
        <v>41065</v>
      </c>
      <c r="J3304">
        <v>6267.8</v>
      </c>
      <c r="K3304" s="1">
        <v>41026</v>
      </c>
      <c r="L3304">
        <v>14778.9</v>
      </c>
    </row>
    <row r="3305" spans="1:12" x14ac:dyDescent="0.35">
      <c r="A3305" s="1">
        <v>41079</v>
      </c>
      <c r="B3305">
        <v>2198.0100000000002</v>
      </c>
      <c r="C3305" s="1">
        <v>41066</v>
      </c>
      <c r="D3305">
        <v>3058.44</v>
      </c>
      <c r="E3305" s="1">
        <v>41022</v>
      </c>
      <c r="F3305">
        <v>6523</v>
      </c>
      <c r="G3305" s="1">
        <v>41003</v>
      </c>
      <c r="H3305">
        <v>6894.8054099999999</v>
      </c>
      <c r="I3305" s="1">
        <v>41064</v>
      </c>
      <c r="J3305">
        <v>6239.5</v>
      </c>
      <c r="K3305" s="1">
        <v>41025</v>
      </c>
      <c r="L3305">
        <v>14509.96</v>
      </c>
    </row>
    <row r="3306" spans="1:12" x14ac:dyDescent="0.35">
      <c r="A3306" s="1">
        <v>41078</v>
      </c>
      <c r="B3306">
        <v>2155.64</v>
      </c>
      <c r="C3306" s="1">
        <v>41065</v>
      </c>
      <c r="D3306">
        <v>2986.1</v>
      </c>
      <c r="E3306" s="1">
        <v>41019</v>
      </c>
      <c r="F3306">
        <v>6750.12</v>
      </c>
      <c r="G3306" s="1">
        <v>41002</v>
      </c>
      <c r="H3306">
        <v>6993.74442</v>
      </c>
      <c r="I3306" s="1">
        <v>41061</v>
      </c>
      <c r="J3306">
        <v>6065</v>
      </c>
      <c r="K3306" s="1">
        <v>41024</v>
      </c>
      <c r="L3306">
        <v>14606.43</v>
      </c>
    </row>
    <row r="3307" spans="1:12" x14ac:dyDescent="0.35">
      <c r="A3307" s="1">
        <v>41075</v>
      </c>
      <c r="B3307">
        <v>2181.23</v>
      </c>
      <c r="C3307" s="1">
        <v>41064</v>
      </c>
      <c r="D3307">
        <v>2954.49</v>
      </c>
      <c r="E3307" s="1">
        <v>41018</v>
      </c>
      <c r="F3307">
        <v>6671.22</v>
      </c>
      <c r="G3307" s="1">
        <v>41001</v>
      </c>
      <c r="H3307">
        <v>7060.0936300000003</v>
      </c>
      <c r="I3307" s="1">
        <v>41060</v>
      </c>
      <c r="J3307">
        <v>6089.8</v>
      </c>
      <c r="K3307" s="1">
        <v>41023</v>
      </c>
      <c r="L3307">
        <v>14192.77</v>
      </c>
    </row>
    <row r="3308" spans="1:12" x14ac:dyDescent="0.35">
      <c r="A3308" s="1">
        <v>41074</v>
      </c>
      <c r="B3308">
        <v>2148.21</v>
      </c>
      <c r="C3308" s="1">
        <v>41061</v>
      </c>
      <c r="D3308">
        <v>2950.47</v>
      </c>
      <c r="E3308" s="1">
        <v>41017</v>
      </c>
      <c r="F3308">
        <v>6732.03</v>
      </c>
      <c r="G3308" s="1">
        <v>40998</v>
      </c>
      <c r="H3308">
        <v>6918.9381899999998</v>
      </c>
      <c r="I3308" s="1">
        <v>41059</v>
      </c>
      <c r="J3308">
        <v>6090.4</v>
      </c>
      <c r="K3308" s="1">
        <v>41022</v>
      </c>
      <c r="L3308">
        <v>13849.55</v>
      </c>
    </row>
    <row r="3309" spans="1:12" x14ac:dyDescent="0.35">
      <c r="A3309" s="1">
        <v>41073</v>
      </c>
      <c r="B3309">
        <v>2143.5</v>
      </c>
      <c r="C3309" s="1">
        <v>41060</v>
      </c>
      <c r="D3309">
        <v>3017.01</v>
      </c>
      <c r="E3309" s="1">
        <v>41016</v>
      </c>
      <c r="F3309">
        <v>6801</v>
      </c>
      <c r="G3309" s="1">
        <v>40997</v>
      </c>
      <c r="H3309">
        <v>6886.62932</v>
      </c>
      <c r="I3309" s="1">
        <v>41058</v>
      </c>
      <c r="J3309">
        <v>6251.7</v>
      </c>
      <c r="K3309" s="1">
        <v>41019</v>
      </c>
      <c r="L3309">
        <v>14401.78</v>
      </c>
    </row>
    <row r="3310" spans="1:12" x14ac:dyDescent="0.35">
      <c r="A3310" s="1">
        <v>41072</v>
      </c>
      <c r="B3310">
        <v>2143.38</v>
      </c>
      <c r="C3310" s="1">
        <v>41059</v>
      </c>
      <c r="D3310">
        <v>3015.58</v>
      </c>
      <c r="E3310" s="1">
        <v>41015</v>
      </c>
      <c r="F3310">
        <v>6625.19</v>
      </c>
      <c r="G3310" s="1">
        <v>40996</v>
      </c>
      <c r="H3310">
        <v>6926.6072000000004</v>
      </c>
      <c r="I3310" s="1">
        <v>41057</v>
      </c>
      <c r="J3310">
        <v>6401.2</v>
      </c>
      <c r="K3310" s="1">
        <v>41018</v>
      </c>
      <c r="L3310">
        <v>14287.27</v>
      </c>
    </row>
    <row r="3311" spans="1:12" x14ac:dyDescent="0.35">
      <c r="A3311" s="1">
        <v>41071</v>
      </c>
      <c r="B3311">
        <v>2137.6999999999998</v>
      </c>
      <c r="C3311" s="1">
        <v>41058</v>
      </c>
      <c r="D3311">
        <v>3084.7</v>
      </c>
      <c r="E3311" s="1">
        <v>41012</v>
      </c>
      <c r="F3311">
        <v>6583.9</v>
      </c>
      <c r="G3311" s="1">
        <v>40995</v>
      </c>
      <c r="H3311">
        <v>7026.0335400000004</v>
      </c>
      <c r="I3311" s="1">
        <v>41054</v>
      </c>
      <c r="J3311">
        <v>6543</v>
      </c>
      <c r="K3311" s="1">
        <v>41017</v>
      </c>
      <c r="L3311">
        <v>14580.15</v>
      </c>
    </row>
    <row r="3312" spans="1:12" x14ac:dyDescent="0.35">
      <c r="A3312" s="1">
        <v>41068</v>
      </c>
      <c r="B3312">
        <v>2143.9</v>
      </c>
      <c r="C3312" s="1">
        <v>41057</v>
      </c>
      <c r="D3312">
        <v>3042.97</v>
      </c>
      <c r="E3312" s="1">
        <v>41011</v>
      </c>
      <c r="F3312">
        <v>6743.24</v>
      </c>
      <c r="G3312" s="1">
        <v>40994</v>
      </c>
      <c r="H3312">
        <v>7060.3874100000003</v>
      </c>
      <c r="I3312" s="1">
        <v>41053</v>
      </c>
      <c r="J3312">
        <v>6534.4</v>
      </c>
      <c r="K3312" s="1">
        <v>41016</v>
      </c>
      <c r="L3312">
        <v>14942.05</v>
      </c>
    </row>
    <row r="3313" spans="1:12" x14ac:dyDescent="0.35">
      <c r="A3313" s="1">
        <v>41067</v>
      </c>
      <c r="B3313">
        <v>2143.08</v>
      </c>
      <c r="C3313" s="1">
        <v>41054</v>
      </c>
      <c r="D3313">
        <v>3047.94</v>
      </c>
      <c r="E3313" s="1">
        <v>41010</v>
      </c>
      <c r="F3313">
        <v>6674.73</v>
      </c>
      <c r="G3313" s="1">
        <v>40991</v>
      </c>
      <c r="H3313">
        <v>7005.2966500000002</v>
      </c>
      <c r="I3313" s="1">
        <v>41052</v>
      </c>
      <c r="J3313">
        <v>6440.5</v>
      </c>
      <c r="K3313" s="1">
        <v>41015</v>
      </c>
      <c r="L3313">
        <v>14411.24</v>
      </c>
    </row>
    <row r="3314" spans="1:12" x14ac:dyDescent="0.35">
      <c r="A3314" s="1">
        <v>41066</v>
      </c>
      <c r="B3314">
        <v>2137.73</v>
      </c>
      <c r="C3314" s="1">
        <v>41053</v>
      </c>
      <c r="D3314">
        <v>3038.25</v>
      </c>
      <c r="E3314" s="1">
        <v>41009</v>
      </c>
      <c r="F3314">
        <v>6606.43</v>
      </c>
      <c r="G3314" s="1">
        <v>40990</v>
      </c>
      <c r="H3314">
        <v>7012.7402499999998</v>
      </c>
      <c r="I3314" s="1">
        <v>41051</v>
      </c>
      <c r="J3314">
        <v>6661.3</v>
      </c>
      <c r="K3314" s="1">
        <v>41012</v>
      </c>
      <c r="L3314">
        <v>14359.5</v>
      </c>
    </row>
    <row r="3315" spans="1:12" x14ac:dyDescent="0.35">
      <c r="A3315" s="1">
        <v>41065</v>
      </c>
      <c r="B3315">
        <v>2087.31</v>
      </c>
      <c r="C3315" s="1">
        <v>41052</v>
      </c>
      <c r="D3315">
        <v>3003.27</v>
      </c>
      <c r="E3315" s="1">
        <v>41004</v>
      </c>
      <c r="F3315">
        <v>6775.26</v>
      </c>
      <c r="G3315" s="1">
        <v>40989</v>
      </c>
      <c r="H3315">
        <v>7076.7685600000004</v>
      </c>
      <c r="I3315" s="1">
        <v>41050</v>
      </c>
      <c r="J3315">
        <v>6524</v>
      </c>
      <c r="K3315" s="1">
        <v>41011</v>
      </c>
      <c r="L3315">
        <v>14869.91</v>
      </c>
    </row>
    <row r="3316" spans="1:12" x14ac:dyDescent="0.35">
      <c r="A3316" s="1">
        <v>41064</v>
      </c>
      <c r="B3316">
        <v>2078.96</v>
      </c>
      <c r="C3316" s="1">
        <v>41051</v>
      </c>
      <c r="D3316">
        <v>3084.09</v>
      </c>
      <c r="E3316" s="1">
        <v>41003</v>
      </c>
      <c r="F3316">
        <v>6784.06</v>
      </c>
      <c r="G3316" s="1">
        <v>40988</v>
      </c>
      <c r="H3316">
        <v>7063.3691200000003</v>
      </c>
      <c r="I3316" s="1">
        <v>41047</v>
      </c>
      <c r="J3316">
        <v>6566.7</v>
      </c>
      <c r="K3316" s="1">
        <v>41010</v>
      </c>
      <c r="L3316">
        <v>14689.84</v>
      </c>
    </row>
    <row r="3317" spans="1:12" x14ac:dyDescent="0.35">
      <c r="A3317" s="1">
        <v>41061</v>
      </c>
      <c r="B3317">
        <v>2068.66</v>
      </c>
      <c r="C3317" s="1">
        <v>41050</v>
      </c>
      <c r="D3317">
        <v>3027.15</v>
      </c>
      <c r="E3317" s="1">
        <v>41002</v>
      </c>
      <c r="F3317">
        <v>6982.28</v>
      </c>
      <c r="G3317" s="1">
        <v>40987</v>
      </c>
      <c r="H3317">
        <v>7159.0041000000001</v>
      </c>
      <c r="I3317" s="1">
        <v>41046</v>
      </c>
      <c r="J3317">
        <v>6537.9</v>
      </c>
      <c r="K3317" s="1">
        <v>41009</v>
      </c>
      <c r="L3317">
        <v>14458.88</v>
      </c>
    </row>
    <row r="3318" spans="1:12" x14ac:dyDescent="0.35">
      <c r="A3318" s="1">
        <v>41060</v>
      </c>
      <c r="B3318">
        <v>2118.94</v>
      </c>
      <c r="C3318" s="1">
        <v>41047</v>
      </c>
      <c r="D3318">
        <v>3008</v>
      </c>
      <c r="E3318" s="1">
        <v>41001</v>
      </c>
      <c r="F3318">
        <v>7056.65</v>
      </c>
      <c r="G3318" s="1">
        <v>40984</v>
      </c>
      <c r="H3318">
        <v>7169.2056400000001</v>
      </c>
      <c r="I3318" s="1">
        <v>41045</v>
      </c>
      <c r="J3318">
        <v>6611.5</v>
      </c>
      <c r="K3318" s="1">
        <v>41004</v>
      </c>
      <c r="L3318">
        <v>15216.02</v>
      </c>
    </row>
    <row r="3319" spans="1:12" x14ac:dyDescent="0.35">
      <c r="A3319" s="1">
        <v>41059</v>
      </c>
      <c r="B3319">
        <v>2116.1799999999998</v>
      </c>
      <c r="C3319" s="1">
        <v>41046</v>
      </c>
      <c r="D3319">
        <v>3011.99</v>
      </c>
      <c r="E3319" s="1">
        <v>40998</v>
      </c>
      <c r="F3319">
        <v>6946.83</v>
      </c>
      <c r="G3319" s="1">
        <v>40983</v>
      </c>
      <c r="H3319">
        <v>7130.5871299999999</v>
      </c>
      <c r="I3319" s="1">
        <v>41044</v>
      </c>
      <c r="J3319">
        <v>6700.7</v>
      </c>
      <c r="K3319" s="1">
        <v>41003</v>
      </c>
      <c r="L3319">
        <v>15245.92</v>
      </c>
    </row>
    <row r="3320" spans="1:12" x14ac:dyDescent="0.35">
      <c r="A3320" s="1">
        <v>41058</v>
      </c>
      <c r="B3320">
        <v>2160.31</v>
      </c>
      <c r="C3320" s="1">
        <v>41045</v>
      </c>
      <c r="D3320">
        <v>3048.67</v>
      </c>
      <c r="E3320" s="1">
        <v>40997</v>
      </c>
      <c r="F3320">
        <v>6875.15</v>
      </c>
      <c r="G3320" s="1">
        <v>40982</v>
      </c>
      <c r="H3320">
        <v>7154.3371399999996</v>
      </c>
      <c r="I3320" s="1">
        <v>41043</v>
      </c>
      <c r="J3320">
        <v>6809.4</v>
      </c>
      <c r="K3320" s="1">
        <v>41002</v>
      </c>
      <c r="L3320">
        <v>15624.23</v>
      </c>
    </row>
    <row r="3321" spans="1:12" x14ac:dyDescent="0.35">
      <c r="A3321" s="1">
        <v>41057</v>
      </c>
      <c r="B3321">
        <v>2147.92</v>
      </c>
      <c r="C3321" s="1">
        <v>41044</v>
      </c>
      <c r="D3321">
        <v>3039.27</v>
      </c>
      <c r="E3321" s="1">
        <v>40996</v>
      </c>
      <c r="F3321">
        <v>6998.8</v>
      </c>
      <c r="G3321" s="1">
        <v>40981</v>
      </c>
      <c r="H3321">
        <v>7142.0042000000003</v>
      </c>
      <c r="I3321" s="1">
        <v>41040</v>
      </c>
      <c r="J3321">
        <v>6995.6</v>
      </c>
      <c r="K3321" s="1">
        <v>41001</v>
      </c>
      <c r="L3321">
        <v>15948.86</v>
      </c>
    </row>
    <row r="3322" spans="1:12" x14ac:dyDescent="0.35">
      <c r="A3322" s="1">
        <v>41054</v>
      </c>
      <c r="B3322">
        <v>2161.87</v>
      </c>
      <c r="C3322" s="1">
        <v>41043</v>
      </c>
      <c r="D3322">
        <v>3057.99</v>
      </c>
      <c r="E3322" s="1">
        <v>40995</v>
      </c>
      <c r="F3322">
        <v>7078.9</v>
      </c>
      <c r="G3322" s="1">
        <v>40980</v>
      </c>
      <c r="H3322">
        <v>7007.3886700000003</v>
      </c>
      <c r="I3322" s="1">
        <v>41039</v>
      </c>
      <c r="J3322">
        <v>7045.7</v>
      </c>
      <c r="K3322" s="1">
        <v>40998</v>
      </c>
      <c r="L3322">
        <v>15980.07</v>
      </c>
    </row>
    <row r="3323" spans="1:12" x14ac:dyDescent="0.35">
      <c r="A3323" s="1">
        <v>41053</v>
      </c>
      <c r="B3323">
        <v>2156.52</v>
      </c>
      <c r="C3323" s="1">
        <v>41040</v>
      </c>
      <c r="D3323">
        <v>3129.77</v>
      </c>
      <c r="E3323" s="1">
        <v>40994</v>
      </c>
      <c r="F3323">
        <v>7079.23</v>
      </c>
      <c r="G3323" s="1">
        <v>40977</v>
      </c>
      <c r="H3323">
        <v>7036.4436800000003</v>
      </c>
      <c r="I3323" s="1">
        <v>41038</v>
      </c>
      <c r="J3323">
        <v>6812.7</v>
      </c>
      <c r="K3323" s="1">
        <v>40997</v>
      </c>
      <c r="L3323">
        <v>15908.85</v>
      </c>
    </row>
    <row r="3324" spans="1:12" x14ac:dyDescent="0.35">
      <c r="A3324" s="1">
        <v>41052</v>
      </c>
      <c r="B3324">
        <v>2134.0500000000002</v>
      </c>
      <c r="C3324" s="1">
        <v>41039</v>
      </c>
      <c r="D3324">
        <v>3130.17</v>
      </c>
      <c r="E3324" s="1">
        <v>40991</v>
      </c>
      <c r="F3324">
        <v>6995.62</v>
      </c>
      <c r="G3324" s="1">
        <v>40976</v>
      </c>
      <c r="H3324">
        <v>6989.43894</v>
      </c>
      <c r="I3324" s="1">
        <v>41037</v>
      </c>
      <c r="J3324">
        <v>7006.9</v>
      </c>
      <c r="K3324" s="1">
        <v>40996</v>
      </c>
      <c r="L3324">
        <v>16451.71</v>
      </c>
    </row>
    <row r="3325" spans="1:12" x14ac:dyDescent="0.35">
      <c r="A3325" s="1">
        <v>41051</v>
      </c>
      <c r="B3325">
        <v>2192.85</v>
      </c>
      <c r="C3325" s="1">
        <v>41038</v>
      </c>
      <c r="D3325">
        <v>3118.65</v>
      </c>
      <c r="E3325" s="1">
        <v>40990</v>
      </c>
      <c r="F3325">
        <v>6981.26</v>
      </c>
      <c r="G3325" s="1">
        <v>40975</v>
      </c>
      <c r="H3325">
        <v>6935.3269399999999</v>
      </c>
      <c r="I3325" s="1">
        <v>41036</v>
      </c>
      <c r="J3325">
        <v>7063.2</v>
      </c>
      <c r="K3325" s="1">
        <v>40995</v>
      </c>
      <c r="L3325">
        <v>16498.73</v>
      </c>
    </row>
    <row r="3326" spans="1:12" x14ac:dyDescent="0.35">
      <c r="A3326" s="1">
        <v>41050</v>
      </c>
      <c r="B3326">
        <v>2150.16</v>
      </c>
      <c r="C3326" s="1">
        <v>41037</v>
      </c>
      <c r="D3326">
        <v>3124.8</v>
      </c>
      <c r="E3326" s="1">
        <v>40989</v>
      </c>
      <c r="F3326">
        <v>7071.32</v>
      </c>
      <c r="G3326" s="1">
        <v>40974</v>
      </c>
      <c r="H3326">
        <v>6907.9691499999999</v>
      </c>
      <c r="I3326" s="1">
        <v>41033</v>
      </c>
      <c r="J3326">
        <v>6876</v>
      </c>
      <c r="K3326" s="1">
        <v>40994</v>
      </c>
      <c r="L3326">
        <v>16619.11</v>
      </c>
    </row>
    <row r="3327" spans="1:12" x14ac:dyDescent="0.35">
      <c r="A3327" s="1">
        <v>41047</v>
      </c>
      <c r="B3327">
        <v>2144.69</v>
      </c>
      <c r="C3327" s="1">
        <v>41036</v>
      </c>
      <c r="D3327">
        <v>3214.22</v>
      </c>
      <c r="E3327" s="1">
        <v>40988</v>
      </c>
      <c r="F3327">
        <v>7054.94</v>
      </c>
      <c r="G3327" s="1">
        <v>40973</v>
      </c>
      <c r="H3327">
        <v>7046.8528100000003</v>
      </c>
      <c r="I3327" s="1">
        <v>41032</v>
      </c>
      <c r="J3327">
        <v>6851.9</v>
      </c>
      <c r="K3327" s="1">
        <v>40991</v>
      </c>
      <c r="L3327">
        <v>16485.240000000002</v>
      </c>
    </row>
    <row r="3328" spans="1:12" x14ac:dyDescent="0.35">
      <c r="A3328" s="1">
        <v>41046</v>
      </c>
      <c r="B3328">
        <v>2146.91</v>
      </c>
      <c r="C3328" s="1">
        <v>41033</v>
      </c>
      <c r="D3328">
        <v>3161.97</v>
      </c>
      <c r="E3328" s="1">
        <v>40987</v>
      </c>
      <c r="F3328">
        <v>7154.22</v>
      </c>
      <c r="G3328" s="1">
        <v>40970</v>
      </c>
      <c r="H3328">
        <v>7096.3985899999998</v>
      </c>
      <c r="I3328" s="1">
        <v>41031</v>
      </c>
      <c r="J3328">
        <v>6831.9</v>
      </c>
      <c r="K3328" s="1">
        <v>40990</v>
      </c>
      <c r="L3328">
        <v>16450.68</v>
      </c>
    </row>
    <row r="3329" spans="1:12" x14ac:dyDescent="0.35">
      <c r="A3329" s="1">
        <v>41045</v>
      </c>
      <c r="B3329">
        <v>2175.34</v>
      </c>
      <c r="C3329" s="1">
        <v>41032</v>
      </c>
      <c r="D3329">
        <v>3223.36</v>
      </c>
      <c r="E3329" s="1">
        <v>40984</v>
      </c>
      <c r="F3329">
        <v>7157.82</v>
      </c>
      <c r="G3329" s="1">
        <v>40969</v>
      </c>
      <c r="H3329">
        <v>7103.0693799999999</v>
      </c>
      <c r="I3329" s="1">
        <v>41029</v>
      </c>
      <c r="J3329">
        <v>7011</v>
      </c>
      <c r="K3329" s="1">
        <v>40989</v>
      </c>
      <c r="L3329">
        <v>16734.75</v>
      </c>
    </row>
    <row r="3330" spans="1:12" x14ac:dyDescent="0.35">
      <c r="A3330" s="1">
        <v>41044</v>
      </c>
      <c r="B3330">
        <v>2178.67</v>
      </c>
      <c r="C3330" s="1">
        <v>41031</v>
      </c>
      <c r="D3330">
        <v>3226.33</v>
      </c>
      <c r="E3330" s="1">
        <v>40983</v>
      </c>
      <c r="F3330">
        <v>7144.45</v>
      </c>
      <c r="G3330" s="1">
        <v>40968</v>
      </c>
      <c r="H3330">
        <v>7005.63411</v>
      </c>
      <c r="I3330" s="1">
        <v>41026</v>
      </c>
      <c r="J3330">
        <v>7145.8</v>
      </c>
      <c r="K3330" s="1">
        <v>40988</v>
      </c>
      <c r="L3330">
        <v>16953.62</v>
      </c>
    </row>
    <row r="3331" spans="1:12" x14ac:dyDescent="0.35">
      <c r="A3331" s="1">
        <v>41043</v>
      </c>
      <c r="B3331">
        <v>2201.9499999999998</v>
      </c>
      <c r="C3331" s="1">
        <v>41029</v>
      </c>
      <c r="D3331">
        <v>3212.8</v>
      </c>
      <c r="E3331" s="1">
        <v>40982</v>
      </c>
      <c r="F3331">
        <v>7079.42</v>
      </c>
      <c r="G3331" s="1">
        <v>40967</v>
      </c>
      <c r="H3331">
        <v>6998.3005300000004</v>
      </c>
      <c r="I3331" s="1">
        <v>41025</v>
      </c>
      <c r="J3331">
        <v>7027.1</v>
      </c>
      <c r="K3331" s="1">
        <v>40987</v>
      </c>
      <c r="L3331">
        <v>17133.419999999998</v>
      </c>
    </row>
    <row r="3332" spans="1:12" x14ac:dyDescent="0.35">
      <c r="A3332" s="1">
        <v>41040</v>
      </c>
      <c r="B3332">
        <v>2254.54</v>
      </c>
      <c r="C3332" s="1">
        <v>41026</v>
      </c>
      <c r="D3332">
        <v>3266.27</v>
      </c>
      <c r="E3332" s="1">
        <v>40981</v>
      </c>
      <c r="F3332">
        <v>6995.91</v>
      </c>
      <c r="G3332" s="1">
        <v>40966</v>
      </c>
      <c r="H3332">
        <v>6988.2975699999997</v>
      </c>
      <c r="I3332" s="1">
        <v>41024</v>
      </c>
      <c r="J3332">
        <v>7118.9</v>
      </c>
      <c r="K3332" s="1">
        <v>40984</v>
      </c>
      <c r="L3332">
        <v>17081.689999999999</v>
      </c>
    </row>
    <row r="3333" spans="1:12" x14ac:dyDescent="0.35">
      <c r="A3333" s="1">
        <v>41039</v>
      </c>
      <c r="B3333">
        <v>2247.38</v>
      </c>
      <c r="C3333" s="1">
        <v>41025</v>
      </c>
      <c r="D3333">
        <v>3229.32</v>
      </c>
      <c r="E3333" s="1">
        <v>40980</v>
      </c>
      <c r="F3333">
        <v>6901.35</v>
      </c>
      <c r="G3333" s="1">
        <v>40963</v>
      </c>
      <c r="H3333">
        <v>6996.6908000000003</v>
      </c>
      <c r="I3333" s="1">
        <v>41023</v>
      </c>
      <c r="J3333">
        <v>6999.9</v>
      </c>
      <c r="K3333" s="1">
        <v>40983</v>
      </c>
      <c r="L3333">
        <v>16993.310000000001</v>
      </c>
    </row>
    <row r="3334" spans="1:12" x14ac:dyDescent="0.35">
      <c r="A3334" s="1">
        <v>41038</v>
      </c>
      <c r="B3334">
        <v>2225.63</v>
      </c>
      <c r="C3334" s="1">
        <v>41024</v>
      </c>
      <c r="D3334">
        <v>3233.46</v>
      </c>
      <c r="E3334" s="1">
        <v>40977</v>
      </c>
      <c r="F3334">
        <v>6880.21</v>
      </c>
      <c r="G3334" s="1">
        <v>40962</v>
      </c>
      <c r="H3334">
        <v>7003.2763500000001</v>
      </c>
      <c r="I3334" s="1">
        <v>41022</v>
      </c>
      <c r="J3334">
        <v>6846.6</v>
      </c>
      <c r="K3334" s="1">
        <v>40982</v>
      </c>
      <c r="L3334">
        <v>16850.32</v>
      </c>
    </row>
    <row r="3335" spans="1:12" x14ac:dyDescent="0.35">
      <c r="A3335" s="1">
        <v>41037</v>
      </c>
      <c r="B3335">
        <v>2236.11</v>
      </c>
      <c r="C3335" s="1">
        <v>41023</v>
      </c>
      <c r="D3335">
        <v>3169.32</v>
      </c>
      <c r="E3335" s="1">
        <v>40976</v>
      </c>
      <c r="F3335">
        <v>6834.54</v>
      </c>
      <c r="G3335" s="1">
        <v>40961</v>
      </c>
      <c r="H3335">
        <v>6997.1188499999998</v>
      </c>
      <c r="I3335" s="1">
        <v>41019</v>
      </c>
      <c r="J3335">
        <v>7040.6</v>
      </c>
      <c r="K3335" s="1">
        <v>40981</v>
      </c>
      <c r="L3335">
        <v>16799.009999999998</v>
      </c>
    </row>
    <row r="3336" spans="1:12" x14ac:dyDescent="0.35">
      <c r="A3336" s="1">
        <v>41036</v>
      </c>
      <c r="B3336">
        <v>2283.09</v>
      </c>
      <c r="C3336" s="1">
        <v>41022</v>
      </c>
      <c r="D3336">
        <v>3098.37</v>
      </c>
      <c r="E3336" s="1">
        <v>40975</v>
      </c>
      <c r="F3336">
        <v>6671.11</v>
      </c>
      <c r="G3336" s="1">
        <v>40960</v>
      </c>
      <c r="H3336">
        <v>7069.4433900000004</v>
      </c>
      <c r="I3336" s="1">
        <v>41018</v>
      </c>
      <c r="J3336">
        <v>6908.1</v>
      </c>
      <c r="K3336" s="1">
        <v>40980</v>
      </c>
      <c r="L3336">
        <v>16457.189999999999</v>
      </c>
    </row>
    <row r="3337" spans="1:12" x14ac:dyDescent="0.35">
      <c r="A3337" s="1">
        <v>41033</v>
      </c>
      <c r="B3337">
        <v>2248.34</v>
      </c>
      <c r="C3337" s="1">
        <v>41019</v>
      </c>
      <c r="D3337">
        <v>3188.58</v>
      </c>
      <c r="E3337" s="1">
        <v>40974</v>
      </c>
      <c r="F3337">
        <v>6633.11</v>
      </c>
      <c r="G3337" s="1">
        <v>40959</v>
      </c>
      <c r="H3337">
        <v>7115.9779099999996</v>
      </c>
      <c r="I3337" s="1">
        <v>41017</v>
      </c>
      <c r="J3337">
        <v>7079.2</v>
      </c>
      <c r="K3337" s="1">
        <v>40977</v>
      </c>
      <c r="L3337">
        <v>16479.2</v>
      </c>
    </row>
    <row r="3338" spans="1:12" x14ac:dyDescent="0.35">
      <c r="A3338" s="1">
        <v>41032</v>
      </c>
      <c r="B3338">
        <v>2287.1</v>
      </c>
      <c r="C3338" s="1">
        <v>41018</v>
      </c>
      <c r="D3338">
        <v>3174.02</v>
      </c>
      <c r="E3338" s="1">
        <v>40973</v>
      </c>
      <c r="F3338">
        <v>6866.46</v>
      </c>
      <c r="G3338" s="1">
        <v>40956</v>
      </c>
      <c r="H3338">
        <v>7108.7111999999997</v>
      </c>
      <c r="I3338" s="1">
        <v>41016</v>
      </c>
      <c r="J3338">
        <v>7373.3</v>
      </c>
      <c r="K3338" s="1">
        <v>40976</v>
      </c>
      <c r="L3338">
        <v>16664.25</v>
      </c>
    </row>
    <row r="3339" spans="1:12" x14ac:dyDescent="0.35">
      <c r="A3339" s="1">
        <v>41031</v>
      </c>
      <c r="B3339">
        <v>2290.31</v>
      </c>
      <c r="C3339" s="1">
        <v>41017</v>
      </c>
      <c r="D3339">
        <v>3240.29</v>
      </c>
      <c r="E3339" s="1">
        <v>40970</v>
      </c>
      <c r="F3339">
        <v>6921.37</v>
      </c>
      <c r="G3339" s="1">
        <v>40955</v>
      </c>
      <c r="H3339">
        <v>7089.0444100000004</v>
      </c>
      <c r="I3339" s="1">
        <v>41015</v>
      </c>
      <c r="J3339">
        <v>7209.1</v>
      </c>
      <c r="K3339" s="1">
        <v>40975</v>
      </c>
      <c r="L3339">
        <v>16398.89</v>
      </c>
    </row>
    <row r="3340" spans="1:12" x14ac:dyDescent="0.35">
      <c r="A3340" s="1">
        <v>41030</v>
      </c>
      <c r="B3340">
        <v>2306.69</v>
      </c>
      <c r="C3340" s="1">
        <v>41016</v>
      </c>
      <c r="D3340">
        <v>3292.51</v>
      </c>
      <c r="E3340" s="1">
        <v>40969</v>
      </c>
      <c r="F3340">
        <v>6941.77</v>
      </c>
      <c r="G3340" s="1">
        <v>40954</v>
      </c>
      <c r="H3340">
        <v>7083.5844399999996</v>
      </c>
      <c r="I3340" s="1">
        <v>41012</v>
      </c>
      <c r="J3340">
        <v>7250.6</v>
      </c>
      <c r="K3340" s="1">
        <v>40974</v>
      </c>
      <c r="L3340">
        <v>16218.06</v>
      </c>
    </row>
    <row r="3341" spans="1:12" x14ac:dyDescent="0.35">
      <c r="A3341" s="1">
        <v>41029</v>
      </c>
      <c r="B3341">
        <v>2306.4299999999998</v>
      </c>
      <c r="C3341" s="1">
        <v>41015</v>
      </c>
      <c r="D3341">
        <v>3205.28</v>
      </c>
      <c r="E3341" s="1">
        <v>40968</v>
      </c>
      <c r="F3341">
        <v>6856.08</v>
      </c>
      <c r="G3341" s="1">
        <v>40953</v>
      </c>
      <c r="H3341">
        <v>7050.34015</v>
      </c>
      <c r="I3341" s="1">
        <v>41011</v>
      </c>
      <c r="J3341">
        <v>7520</v>
      </c>
      <c r="K3341" s="1">
        <v>40973</v>
      </c>
      <c r="L3341">
        <v>16787.150000000001</v>
      </c>
    </row>
    <row r="3342" spans="1:12" x14ac:dyDescent="0.35">
      <c r="A3342" s="1">
        <v>41026</v>
      </c>
      <c r="B3342">
        <v>2344.02</v>
      </c>
      <c r="C3342" s="1">
        <v>41012</v>
      </c>
      <c r="D3342">
        <v>3189.09</v>
      </c>
      <c r="E3342" s="1">
        <v>40967</v>
      </c>
      <c r="F3342">
        <v>6887.63</v>
      </c>
      <c r="G3342" s="1">
        <v>40952</v>
      </c>
      <c r="H3342">
        <v>7055.1855599999999</v>
      </c>
      <c r="I3342" s="1">
        <v>41010</v>
      </c>
      <c r="J3342">
        <v>7576.7</v>
      </c>
      <c r="K3342" s="1">
        <v>40970</v>
      </c>
      <c r="L3342">
        <v>16902.509999999998</v>
      </c>
    </row>
    <row r="3343" spans="1:12" x14ac:dyDescent="0.35">
      <c r="A3343" s="1">
        <v>41025</v>
      </c>
      <c r="B3343">
        <v>2322.69</v>
      </c>
      <c r="C3343" s="1">
        <v>41011</v>
      </c>
      <c r="D3343">
        <v>3269.79</v>
      </c>
      <c r="E3343" s="1">
        <v>40966</v>
      </c>
      <c r="F3343">
        <v>6849.6</v>
      </c>
      <c r="G3343" s="1">
        <v>40949</v>
      </c>
      <c r="H3343">
        <v>6983.9230399999997</v>
      </c>
      <c r="I3343" s="1">
        <v>41009</v>
      </c>
      <c r="J3343">
        <v>7433.6</v>
      </c>
      <c r="K3343" s="1">
        <v>40969</v>
      </c>
      <c r="L3343">
        <v>16830.599999999999</v>
      </c>
    </row>
    <row r="3344" spans="1:12" x14ac:dyDescent="0.35">
      <c r="A3344" s="1">
        <v>41024</v>
      </c>
      <c r="B3344">
        <v>2322.91</v>
      </c>
      <c r="C3344" s="1">
        <v>41010</v>
      </c>
      <c r="D3344">
        <v>3237.69</v>
      </c>
      <c r="E3344" s="1">
        <v>40963</v>
      </c>
      <c r="F3344">
        <v>6864.43</v>
      </c>
      <c r="G3344" s="1">
        <v>40948</v>
      </c>
      <c r="H3344">
        <v>7019.8523400000004</v>
      </c>
      <c r="I3344" s="1">
        <v>41004</v>
      </c>
      <c r="J3344">
        <v>7660.5</v>
      </c>
      <c r="K3344" s="1">
        <v>40968</v>
      </c>
      <c r="L3344">
        <v>16351.41</v>
      </c>
    </row>
    <row r="3345" spans="1:12" x14ac:dyDescent="0.35">
      <c r="A3345" s="1">
        <v>41023</v>
      </c>
      <c r="B3345">
        <v>2284.08</v>
      </c>
      <c r="C3345" s="1">
        <v>41009</v>
      </c>
      <c r="D3345">
        <v>3217.6</v>
      </c>
      <c r="E3345" s="1">
        <v>40962</v>
      </c>
      <c r="F3345">
        <v>6809.46</v>
      </c>
      <c r="G3345" s="1">
        <v>40947</v>
      </c>
      <c r="H3345">
        <v>7007.4659799999999</v>
      </c>
      <c r="I3345" s="1">
        <v>41003</v>
      </c>
      <c r="J3345">
        <v>7660.7</v>
      </c>
      <c r="K3345" s="1">
        <v>40967</v>
      </c>
      <c r="L3345">
        <v>16345.3</v>
      </c>
    </row>
    <row r="3346" spans="1:12" x14ac:dyDescent="0.35">
      <c r="A3346" s="1">
        <v>41022</v>
      </c>
      <c r="B3346">
        <v>2244.83</v>
      </c>
      <c r="C3346" s="1">
        <v>41004</v>
      </c>
      <c r="D3346">
        <v>3319.81</v>
      </c>
      <c r="E3346" s="1">
        <v>40961</v>
      </c>
      <c r="F3346">
        <v>6843.87</v>
      </c>
      <c r="G3346" s="1">
        <v>40946</v>
      </c>
      <c r="H3346">
        <v>7063.1583600000004</v>
      </c>
      <c r="I3346" s="1">
        <v>41002</v>
      </c>
      <c r="J3346">
        <v>7824.5</v>
      </c>
      <c r="K3346" s="1">
        <v>40966</v>
      </c>
      <c r="L3346">
        <v>16308.6</v>
      </c>
    </row>
    <row r="3347" spans="1:12" x14ac:dyDescent="0.35">
      <c r="A3347" s="1">
        <v>41019</v>
      </c>
      <c r="B3347">
        <v>2311.27</v>
      </c>
      <c r="C3347" s="1">
        <v>41003</v>
      </c>
      <c r="D3347">
        <v>3313.47</v>
      </c>
      <c r="E3347" s="1">
        <v>40960</v>
      </c>
      <c r="F3347">
        <v>6908.18</v>
      </c>
      <c r="G3347" s="1">
        <v>40945</v>
      </c>
      <c r="H3347">
        <v>7100.8909400000002</v>
      </c>
      <c r="I3347" s="1">
        <v>41001</v>
      </c>
      <c r="J3347">
        <v>8042.8</v>
      </c>
      <c r="K3347" s="1">
        <v>40963</v>
      </c>
      <c r="L3347">
        <v>16487.53</v>
      </c>
    </row>
    <row r="3348" spans="1:12" x14ac:dyDescent="0.35">
      <c r="A3348" s="1">
        <v>41018</v>
      </c>
      <c r="B3348">
        <v>2284.67</v>
      </c>
      <c r="C3348" s="1">
        <v>41002</v>
      </c>
      <c r="D3348">
        <v>3406.78</v>
      </c>
      <c r="E3348" s="1">
        <v>40959</v>
      </c>
      <c r="F3348">
        <v>6948.25</v>
      </c>
      <c r="G3348" s="1">
        <v>40942</v>
      </c>
      <c r="H3348">
        <v>7102.4827599999999</v>
      </c>
      <c r="I3348" s="1">
        <v>40998</v>
      </c>
      <c r="J3348">
        <v>8008</v>
      </c>
      <c r="K3348" s="1">
        <v>40962</v>
      </c>
      <c r="L3348">
        <v>16312.3</v>
      </c>
    </row>
    <row r="3349" spans="1:12" x14ac:dyDescent="0.35">
      <c r="A3349" s="1">
        <v>41017</v>
      </c>
      <c r="B3349">
        <v>2327.84</v>
      </c>
      <c r="C3349" s="1">
        <v>41001</v>
      </c>
      <c r="D3349">
        <v>3462.91</v>
      </c>
      <c r="E3349" s="1">
        <v>40956</v>
      </c>
      <c r="F3349">
        <v>6848.03</v>
      </c>
      <c r="G3349" s="1">
        <v>40941</v>
      </c>
      <c r="H3349">
        <v>6967.9770900000003</v>
      </c>
      <c r="I3349" s="1">
        <v>40997</v>
      </c>
      <c r="J3349">
        <v>7911</v>
      </c>
      <c r="K3349" s="1">
        <v>40961</v>
      </c>
      <c r="L3349">
        <v>16557.62</v>
      </c>
    </row>
    <row r="3350" spans="1:12" x14ac:dyDescent="0.35">
      <c r="A3350" s="1">
        <v>41016</v>
      </c>
      <c r="B3350">
        <v>2367.0500000000002</v>
      </c>
      <c r="C3350" s="1">
        <v>40998</v>
      </c>
      <c r="D3350">
        <v>3423.81</v>
      </c>
      <c r="E3350" s="1">
        <v>40955</v>
      </c>
      <c r="F3350">
        <v>6751.96</v>
      </c>
      <c r="G3350" s="1">
        <v>40940</v>
      </c>
      <c r="H3350">
        <v>6959.9324299999998</v>
      </c>
      <c r="I3350" s="1">
        <v>40996</v>
      </c>
      <c r="J3350">
        <v>7980.8</v>
      </c>
      <c r="K3350" s="1">
        <v>40960</v>
      </c>
      <c r="L3350">
        <v>16710.86</v>
      </c>
    </row>
    <row r="3351" spans="1:12" x14ac:dyDescent="0.35">
      <c r="A3351" s="1">
        <v>41015</v>
      </c>
      <c r="B3351">
        <v>2301.19</v>
      </c>
      <c r="C3351" s="1">
        <v>40997</v>
      </c>
      <c r="D3351">
        <v>3381.12</v>
      </c>
      <c r="E3351" s="1">
        <v>40954</v>
      </c>
      <c r="F3351">
        <v>6757.94</v>
      </c>
      <c r="G3351" s="1">
        <v>40939</v>
      </c>
      <c r="H3351">
        <v>6845.6641300000001</v>
      </c>
      <c r="I3351" s="1">
        <v>40995</v>
      </c>
      <c r="J3351">
        <v>8140.3</v>
      </c>
      <c r="K3351" s="1">
        <v>40959</v>
      </c>
      <c r="L3351">
        <v>16724.22</v>
      </c>
    </row>
    <row r="3352" spans="1:12" x14ac:dyDescent="0.35">
      <c r="A3352" s="1">
        <v>41012</v>
      </c>
      <c r="B3352">
        <v>2291.5100000000002</v>
      </c>
      <c r="C3352" s="1">
        <v>40996</v>
      </c>
      <c r="D3352">
        <v>3430.15</v>
      </c>
      <c r="E3352" s="1">
        <v>40953</v>
      </c>
      <c r="F3352">
        <v>6728.19</v>
      </c>
      <c r="G3352" s="1">
        <v>40938</v>
      </c>
      <c r="H3352">
        <v>6775.5897400000003</v>
      </c>
      <c r="I3352" s="1">
        <v>40994</v>
      </c>
      <c r="J3352">
        <v>8224.7000000000007</v>
      </c>
      <c r="K3352" s="1">
        <v>40956</v>
      </c>
      <c r="L3352">
        <v>16547.21</v>
      </c>
    </row>
    <row r="3353" spans="1:12" x14ac:dyDescent="0.35">
      <c r="A3353" s="1">
        <v>41011</v>
      </c>
      <c r="B3353">
        <v>2352.2399999999998</v>
      </c>
      <c r="C3353" s="1">
        <v>40995</v>
      </c>
      <c r="D3353">
        <v>3469.59</v>
      </c>
      <c r="E3353" s="1">
        <v>40952</v>
      </c>
      <c r="F3353">
        <v>6738.47</v>
      </c>
      <c r="G3353" s="1">
        <v>40935</v>
      </c>
      <c r="H3353">
        <v>6838.0117200000004</v>
      </c>
      <c r="I3353" s="1">
        <v>40991</v>
      </c>
      <c r="J3353">
        <v>8281.7999999999993</v>
      </c>
      <c r="K3353" s="1">
        <v>40955</v>
      </c>
      <c r="L3353">
        <v>16369.66</v>
      </c>
    </row>
    <row r="3354" spans="1:12" x14ac:dyDescent="0.35">
      <c r="A3354" s="1">
        <v>41010</v>
      </c>
      <c r="B3354">
        <v>2341.36</v>
      </c>
      <c r="C3354" s="1">
        <v>40994</v>
      </c>
      <c r="D3354">
        <v>3501.98</v>
      </c>
      <c r="E3354" s="1">
        <v>40949</v>
      </c>
      <c r="F3354">
        <v>6692.96</v>
      </c>
      <c r="G3354" s="1">
        <v>40934</v>
      </c>
      <c r="H3354">
        <v>6923.5626400000001</v>
      </c>
      <c r="I3354" s="1">
        <v>40990</v>
      </c>
      <c r="J3354">
        <v>8353.6</v>
      </c>
      <c r="K3354" s="1">
        <v>40954</v>
      </c>
      <c r="L3354">
        <v>16513.21</v>
      </c>
    </row>
    <row r="3355" spans="1:12" x14ac:dyDescent="0.35">
      <c r="A3355" s="1">
        <v>41009</v>
      </c>
      <c r="B3355">
        <v>2321.5300000000002</v>
      </c>
      <c r="C3355" s="1">
        <v>40991</v>
      </c>
      <c r="D3355">
        <v>3476.18</v>
      </c>
      <c r="E3355" s="1">
        <v>40948</v>
      </c>
      <c r="F3355">
        <v>6788.8</v>
      </c>
      <c r="G3355" s="1">
        <v>40933</v>
      </c>
      <c r="H3355">
        <v>6848.4765500000003</v>
      </c>
      <c r="I3355" s="1">
        <v>40989</v>
      </c>
      <c r="J3355">
        <v>8490.9</v>
      </c>
      <c r="K3355" s="1">
        <v>40953</v>
      </c>
      <c r="L3355">
        <v>16445.91</v>
      </c>
    </row>
    <row r="3356" spans="1:12" x14ac:dyDescent="0.35">
      <c r="A3356" s="1">
        <v>41004</v>
      </c>
      <c r="B3356">
        <v>2392.54</v>
      </c>
      <c r="C3356" s="1">
        <v>40990</v>
      </c>
      <c r="D3356">
        <v>3472.46</v>
      </c>
      <c r="E3356" s="1">
        <v>40947</v>
      </c>
      <c r="F3356">
        <v>6748.76</v>
      </c>
      <c r="G3356" s="1">
        <v>40932</v>
      </c>
      <c r="H3356">
        <v>6891.0606600000001</v>
      </c>
      <c r="I3356" s="1">
        <v>40988</v>
      </c>
      <c r="J3356">
        <v>8567.5</v>
      </c>
      <c r="K3356" s="1">
        <v>40952</v>
      </c>
      <c r="L3356">
        <v>16369.28</v>
      </c>
    </row>
    <row r="3357" spans="1:12" x14ac:dyDescent="0.35">
      <c r="A3357" s="1">
        <v>41003</v>
      </c>
      <c r="B3357">
        <v>2398.46</v>
      </c>
      <c r="C3357" s="1">
        <v>40989</v>
      </c>
      <c r="D3357">
        <v>3527.37</v>
      </c>
      <c r="E3357" s="1">
        <v>40946</v>
      </c>
      <c r="F3357">
        <v>6754.2</v>
      </c>
      <c r="G3357" s="1">
        <v>40931</v>
      </c>
      <c r="H3357">
        <v>6921.2056599999996</v>
      </c>
      <c r="I3357" s="1">
        <v>40987</v>
      </c>
      <c r="J3357">
        <v>8591.7999999999993</v>
      </c>
      <c r="K3357" s="1">
        <v>40949</v>
      </c>
      <c r="L3357">
        <v>16361.04</v>
      </c>
    </row>
    <row r="3358" spans="1:12" x14ac:dyDescent="0.35">
      <c r="A3358" s="1">
        <v>41002</v>
      </c>
      <c r="B3358">
        <v>2458.98</v>
      </c>
      <c r="C3358" s="1">
        <v>40988</v>
      </c>
      <c r="D3358">
        <v>3530.83</v>
      </c>
      <c r="E3358" s="1">
        <v>40945</v>
      </c>
      <c r="F3358">
        <v>6764.83</v>
      </c>
      <c r="G3358" s="1">
        <v>40928</v>
      </c>
      <c r="H3358">
        <v>6884.8036199999997</v>
      </c>
      <c r="I3358" s="1">
        <v>40984</v>
      </c>
      <c r="J3358">
        <v>8486.2999999999993</v>
      </c>
      <c r="K3358" s="1">
        <v>40948</v>
      </c>
      <c r="L3358">
        <v>16653.830000000002</v>
      </c>
    </row>
    <row r="3359" spans="1:12" x14ac:dyDescent="0.35">
      <c r="A3359" s="1">
        <v>41001</v>
      </c>
      <c r="B3359">
        <v>2501.1799999999998</v>
      </c>
      <c r="C3359" s="1">
        <v>40987</v>
      </c>
      <c r="D3359">
        <v>3577.88</v>
      </c>
      <c r="E3359" s="1">
        <v>40942</v>
      </c>
      <c r="F3359">
        <v>6766.67</v>
      </c>
      <c r="G3359" s="1">
        <v>40927</v>
      </c>
      <c r="H3359">
        <v>6866.1170700000002</v>
      </c>
      <c r="I3359" s="1">
        <v>40983</v>
      </c>
      <c r="J3359">
        <v>8426.7000000000007</v>
      </c>
      <c r="K3359" s="1">
        <v>40947</v>
      </c>
      <c r="L3359">
        <v>16669.22</v>
      </c>
    </row>
    <row r="3360" spans="1:12" x14ac:dyDescent="0.35">
      <c r="A3360" s="1">
        <v>40998</v>
      </c>
      <c r="B3360">
        <v>2477.2800000000002</v>
      </c>
      <c r="C3360" s="1">
        <v>40984</v>
      </c>
      <c r="D3360">
        <v>3594.83</v>
      </c>
      <c r="E3360" s="1">
        <v>40941</v>
      </c>
      <c r="F3360">
        <v>6655.63</v>
      </c>
      <c r="G3360" s="1">
        <v>40926</v>
      </c>
      <c r="H3360">
        <v>6845.50659</v>
      </c>
      <c r="I3360" s="1">
        <v>40982</v>
      </c>
      <c r="J3360">
        <v>8391.1</v>
      </c>
      <c r="K3360" s="1">
        <v>40946</v>
      </c>
      <c r="L3360">
        <v>16491.71</v>
      </c>
    </row>
    <row r="3361" spans="1:12" x14ac:dyDescent="0.35">
      <c r="A3361" s="1">
        <v>40997</v>
      </c>
      <c r="B3361">
        <v>2452.7399999999998</v>
      </c>
      <c r="C3361" s="1">
        <v>40983</v>
      </c>
      <c r="D3361">
        <v>3580.21</v>
      </c>
      <c r="E3361" s="1">
        <v>40940</v>
      </c>
      <c r="F3361">
        <v>6616.64</v>
      </c>
      <c r="G3361" s="1">
        <v>40925</v>
      </c>
      <c r="H3361">
        <v>6864.6686900000004</v>
      </c>
      <c r="I3361" s="1">
        <v>40981</v>
      </c>
      <c r="J3361">
        <v>8376.7999999999993</v>
      </c>
      <c r="K3361" s="1">
        <v>40945</v>
      </c>
      <c r="L3361">
        <v>16389.82</v>
      </c>
    </row>
    <row r="3362" spans="1:12" x14ac:dyDescent="0.35">
      <c r="A3362" s="1">
        <v>40996</v>
      </c>
      <c r="B3362">
        <v>2496.6799999999998</v>
      </c>
      <c r="C3362" s="1">
        <v>40982</v>
      </c>
      <c r="D3362">
        <v>3564.51</v>
      </c>
      <c r="E3362" s="1">
        <v>40939</v>
      </c>
      <c r="F3362">
        <v>6458.91</v>
      </c>
      <c r="G3362" s="1">
        <v>40924</v>
      </c>
      <c r="H3362">
        <v>6841.3373300000003</v>
      </c>
      <c r="I3362" s="1">
        <v>40980</v>
      </c>
      <c r="J3362">
        <v>8180.2</v>
      </c>
      <c r="K3362" s="1">
        <v>40942</v>
      </c>
      <c r="L3362">
        <v>16439.62</v>
      </c>
    </row>
    <row r="3363" spans="1:12" x14ac:dyDescent="0.35">
      <c r="A3363" s="1">
        <v>40995</v>
      </c>
      <c r="B3363">
        <v>2525.21</v>
      </c>
      <c r="C3363" s="1">
        <v>40981</v>
      </c>
      <c r="D3363">
        <v>3550.16</v>
      </c>
      <c r="E3363" s="1">
        <v>40938</v>
      </c>
      <c r="F3363">
        <v>6444.45</v>
      </c>
      <c r="G3363" s="1">
        <v>40921</v>
      </c>
      <c r="H3363">
        <v>6800.1584499999999</v>
      </c>
      <c r="I3363" s="1">
        <v>40977</v>
      </c>
      <c r="J3363">
        <v>8282.7000000000007</v>
      </c>
      <c r="K3363" s="1">
        <v>40941</v>
      </c>
      <c r="L3363">
        <v>16276.5</v>
      </c>
    </row>
    <row r="3364" spans="1:12" x14ac:dyDescent="0.35">
      <c r="A3364" s="1">
        <v>40994</v>
      </c>
      <c r="B3364">
        <v>2539.87</v>
      </c>
      <c r="C3364" s="1">
        <v>40980</v>
      </c>
      <c r="D3364">
        <v>3490.06</v>
      </c>
      <c r="E3364" s="1">
        <v>40935</v>
      </c>
      <c r="F3364">
        <v>6511.98</v>
      </c>
      <c r="G3364" s="1">
        <v>40920</v>
      </c>
      <c r="H3364">
        <v>6767.1963500000002</v>
      </c>
      <c r="I3364" s="1">
        <v>40976</v>
      </c>
      <c r="J3364">
        <v>8307.4</v>
      </c>
      <c r="K3364" s="1">
        <v>40940</v>
      </c>
      <c r="L3364">
        <v>16264.55</v>
      </c>
    </row>
    <row r="3365" spans="1:12" x14ac:dyDescent="0.35">
      <c r="A3365" s="1">
        <v>40991</v>
      </c>
      <c r="B3365">
        <v>2525.4299999999998</v>
      </c>
      <c r="C3365" s="1">
        <v>40977</v>
      </c>
      <c r="D3365">
        <v>3487.48</v>
      </c>
      <c r="E3365" s="1">
        <v>40934</v>
      </c>
      <c r="F3365">
        <v>6539.85</v>
      </c>
      <c r="G3365" s="1">
        <v>40919</v>
      </c>
      <c r="H3365">
        <v>6846.6956499999997</v>
      </c>
      <c r="I3365" s="1">
        <v>40975</v>
      </c>
      <c r="J3365">
        <v>8161.8</v>
      </c>
      <c r="K3365" s="1">
        <v>40939</v>
      </c>
      <c r="L3365">
        <v>15828.05</v>
      </c>
    </row>
    <row r="3366" spans="1:12" x14ac:dyDescent="0.35">
      <c r="A3366" s="1">
        <v>40990</v>
      </c>
      <c r="B3366">
        <v>2530.2199999999998</v>
      </c>
      <c r="C3366" s="1">
        <v>40976</v>
      </c>
      <c r="D3366">
        <v>3478.36</v>
      </c>
      <c r="E3366" s="1">
        <v>40933</v>
      </c>
      <c r="F3366">
        <v>6421.85</v>
      </c>
      <c r="G3366" s="1">
        <v>40918</v>
      </c>
      <c r="H3366">
        <v>6901.7540099999997</v>
      </c>
      <c r="I3366" s="1">
        <v>40974</v>
      </c>
      <c r="J3366">
        <v>8166.6</v>
      </c>
      <c r="K3366" s="1">
        <v>40938</v>
      </c>
      <c r="L3366">
        <v>15753.14</v>
      </c>
    </row>
    <row r="3367" spans="1:12" x14ac:dyDescent="0.35">
      <c r="A3367" s="1">
        <v>40989</v>
      </c>
      <c r="B3367">
        <v>2567.58</v>
      </c>
      <c r="C3367" s="1">
        <v>40975</v>
      </c>
      <c r="D3367">
        <v>3392.33</v>
      </c>
      <c r="E3367" s="1">
        <v>40932</v>
      </c>
      <c r="F3367">
        <v>6419.22</v>
      </c>
      <c r="G3367" s="1">
        <v>40917</v>
      </c>
      <c r="H3367">
        <v>6796.13051</v>
      </c>
      <c r="I3367" s="1">
        <v>40973</v>
      </c>
      <c r="J3367">
        <v>8453.5</v>
      </c>
      <c r="K3367" s="1">
        <v>40935</v>
      </c>
      <c r="L3367">
        <v>15946.87</v>
      </c>
    </row>
    <row r="3368" spans="1:12" x14ac:dyDescent="0.35">
      <c r="A3368" s="1">
        <v>40988</v>
      </c>
      <c r="B3368">
        <v>2576.61</v>
      </c>
      <c r="C3368" s="1">
        <v>40974</v>
      </c>
      <c r="D3368">
        <v>3362.56</v>
      </c>
      <c r="E3368" s="1">
        <v>40931</v>
      </c>
      <c r="F3368">
        <v>6436.62</v>
      </c>
      <c r="G3368" s="1">
        <v>40914</v>
      </c>
      <c r="H3368">
        <v>6848.3661300000003</v>
      </c>
      <c r="I3368" s="1">
        <v>40970</v>
      </c>
      <c r="J3368">
        <v>8563.4</v>
      </c>
      <c r="K3368" s="1">
        <v>40934</v>
      </c>
      <c r="L3368">
        <v>16111.04</v>
      </c>
    </row>
    <row r="3369" spans="1:12" x14ac:dyDescent="0.35">
      <c r="A3369" s="1">
        <v>40987</v>
      </c>
      <c r="B3369">
        <v>2608.42</v>
      </c>
      <c r="C3369" s="1">
        <v>40973</v>
      </c>
      <c r="D3369">
        <v>3487.54</v>
      </c>
      <c r="E3369" s="1">
        <v>40928</v>
      </c>
      <c r="F3369">
        <v>6404.39</v>
      </c>
      <c r="G3369" s="1">
        <v>40913</v>
      </c>
      <c r="H3369">
        <v>6810.6513800000002</v>
      </c>
      <c r="I3369" s="1">
        <v>40969</v>
      </c>
      <c r="J3369">
        <v>8547.7000000000007</v>
      </c>
      <c r="K3369" s="1">
        <v>40933</v>
      </c>
      <c r="L3369">
        <v>15840.24</v>
      </c>
    </row>
    <row r="3370" spans="1:12" x14ac:dyDescent="0.35">
      <c r="A3370" s="1">
        <v>40984</v>
      </c>
      <c r="B3370">
        <v>2608.3000000000002</v>
      </c>
      <c r="C3370" s="1">
        <v>40970</v>
      </c>
      <c r="D3370">
        <v>3501.17</v>
      </c>
      <c r="E3370" s="1">
        <v>40927</v>
      </c>
      <c r="F3370">
        <v>6416.26</v>
      </c>
      <c r="G3370" s="1">
        <v>40912</v>
      </c>
      <c r="H3370">
        <v>6839.8596500000003</v>
      </c>
      <c r="I3370" s="1">
        <v>40968</v>
      </c>
      <c r="J3370">
        <v>8465.9</v>
      </c>
      <c r="K3370" s="1">
        <v>40932</v>
      </c>
      <c r="L3370">
        <v>15929.25</v>
      </c>
    </row>
    <row r="3371" spans="1:12" x14ac:dyDescent="0.35">
      <c r="A3371" s="1">
        <v>40983</v>
      </c>
      <c r="B3371">
        <v>2593.9699999999998</v>
      </c>
      <c r="C3371" s="1">
        <v>40969</v>
      </c>
      <c r="D3371">
        <v>3499.73</v>
      </c>
      <c r="E3371" s="1">
        <v>40926</v>
      </c>
      <c r="F3371">
        <v>6354.57</v>
      </c>
      <c r="G3371" s="1">
        <v>40911</v>
      </c>
      <c r="H3371">
        <v>6835.1744699999999</v>
      </c>
      <c r="I3371" s="1">
        <v>40967</v>
      </c>
      <c r="J3371">
        <v>8526.7000000000007</v>
      </c>
      <c r="K3371" s="1">
        <v>40931</v>
      </c>
      <c r="L3371">
        <v>15907.52</v>
      </c>
    </row>
    <row r="3372" spans="1:12" x14ac:dyDescent="0.35">
      <c r="A3372" s="1">
        <v>40982</v>
      </c>
      <c r="B3372">
        <v>2574.79</v>
      </c>
      <c r="C3372" s="1">
        <v>40968</v>
      </c>
      <c r="D3372">
        <v>3452.45</v>
      </c>
      <c r="E3372" s="1">
        <v>40925</v>
      </c>
      <c r="F3372">
        <v>6332.93</v>
      </c>
      <c r="G3372" s="1">
        <v>40907</v>
      </c>
      <c r="H3372">
        <v>6668.24773</v>
      </c>
      <c r="I3372" s="1">
        <v>40966</v>
      </c>
      <c r="J3372">
        <v>8537.2000000000007</v>
      </c>
      <c r="K3372" s="1">
        <v>40928</v>
      </c>
      <c r="L3372">
        <v>15632.06</v>
      </c>
    </row>
    <row r="3373" spans="1:12" x14ac:dyDescent="0.35">
      <c r="A3373" s="1">
        <v>40981</v>
      </c>
      <c r="B3373">
        <v>2556.8200000000002</v>
      </c>
      <c r="C3373" s="1">
        <v>40967</v>
      </c>
      <c r="D3373">
        <v>3453.99</v>
      </c>
      <c r="E3373" s="1">
        <v>40924</v>
      </c>
      <c r="F3373">
        <v>6220.01</v>
      </c>
      <c r="G3373" s="1">
        <v>40906</v>
      </c>
      <c r="H3373">
        <v>6623.6046399999996</v>
      </c>
      <c r="I3373" s="1">
        <v>40963</v>
      </c>
      <c r="J3373">
        <v>8527.7000000000007</v>
      </c>
      <c r="K3373" s="1">
        <v>40927</v>
      </c>
      <c r="L3373">
        <v>15651.99</v>
      </c>
    </row>
    <row r="3374" spans="1:12" x14ac:dyDescent="0.35">
      <c r="A3374" s="1">
        <v>40980</v>
      </c>
      <c r="B3374">
        <v>2514.9699999999998</v>
      </c>
      <c r="C3374" s="1">
        <v>40966</v>
      </c>
      <c r="D3374">
        <v>3441.45</v>
      </c>
      <c r="E3374" s="1">
        <v>40921</v>
      </c>
      <c r="F3374">
        <v>6143.08</v>
      </c>
      <c r="G3374" s="1">
        <v>40905</v>
      </c>
      <c r="H3374">
        <v>6589.4691599999996</v>
      </c>
      <c r="I3374" s="1">
        <v>40962</v>
      </c>
      <c r="J3374">
        <v>8527.7000000000007</v>
      </c>
      <c r="K3374" s="1">
        <v>40926</v>
      </c>
      <c r="L3374">
        <v>15278</v>
      </c>
    </row>
    <row r="3375" spans="1:12" x14ac:dyDescent="0.35">
      <c r="A3375" s="1">
        <v>40977</v>
      </c>
      <c r="B3375">
        <v>2515.9499999999998</v>
      </c>
      <c r="C3375" s="1">
        <v>40963</v>
      </c>
      <c r="D3375">
        <v>3467.03</v>
      </c>
      <c r="E3375" s="1">
        <v>40920</v>
      </c>
      <c r="F3375">
        <v>6179.21</v>
      </c>
      <c r="G3375" s="1">
        <v>40900</v>
      </c>
      <c r="H3375">
        <v>6599.5328600000003</v>
      </c>
      <c r="I3375" s="1">
        <v>40961</v>
      </c>
      <c r="J3375">
        <v>8657</v>
      </c>
      <c r="K3375" s="1">
        <v>40925</v>
      </c>
      <c r="L3375">
        <v>15325.98</v>
      </c>
    </row>
    <row r="3376" spans="1:12" x14ac:dyDescent="0.35">
      <c r="A3376" s="1">
        <v>40976</v>
      </c>
      <c r="B3376">
        <v>2514.2199999999998</v>
      </c>
      <c r="C3376" s="1">
        <v>40962</v>
      </c>
      <c r="D3376">
        <v>3447.31</v>
      </c>
      <c r="E3376" s="1">
        <v>40919</v>
      </c>
      <c r="F3376">
        <v>6152.34</v>
      </c>
      <c r="G3376" s="1">
        <v>40899</v>
      </c>
      <c r="H3376">
        <v>6552.6295399999999</v>
      </c>
      <c r="I3376" s="1">
        <v>40960</v>
      </c>
      <c r="J3376">
        <v>8767.1</v>
      </c>
      <c r="K3376" s="1">
        <v>40924</v>
      </c>
      <c r="L3376">
        <v>15220.98</v>
      </c>
    </row>
    <row r="3377" spans="1:12" x14ac:dyDescent="0.35">
      <c r="A3377" s="1">
        <v>40975</v>
      </c>
      <c r="B3377">
        <v>2460.77</v>
      </c>
      <c r="C3377" s="1">
        <v>40961</v>
      </c>
      <c r="D3377">
        <v>3447.37</v>
      </c>
      <c r="E3377" s="1">
        <v>40918</v>
      </c>
      <c r="F3377">
        <v>6162.98</v>
      </c>
      <c r="G3377" s="1">
        <v>40898</v>
      </c>
      <c r="H3377">
        <v>6469.2548999999999</v>
      </c>
      <c r="I3377" s="1">
        <v>40959</v>
      </c>
      <c r="J3377">
        <v>8818.1</v>
      </c>
      <c r="K3377" s="1">
        <v>40921</v>
      </c>
      <c r="L3377">
        <v>15011.09</v>
      </c>
    </row>
    <row r="3378" spans="1:12" x14ac:dyDescent="0.35">
      <c r="A3378" s="1">
        <v>40974</v>
      </c>
      <c r="B3378">
        <v>2443.52</v>
      </c>
      <c r="C3378" s="1">
        <v>40960</v>
      </c>
      <c r="D3378">
        <v>3465.24</v>
      </c>
      <c r="E3378" s="1">
        <v>40917</v>
      </c>
      <c r="F3378">
        <v>6017.23</v>
      </c>
      <c r="G3378" s="1">
        <v>40897</v>
      </c>
      <c r="H3378">
        <v>6487.2036399999997</v>
      </c>
      <c r="I3378" s="1">
        <v>40956</v>
      </c>
      <c r="J3378">
        <v>8657</v>
      </c>
      <c r="K3378" s="1">
        <v>40920</v>
      </c>
      <c r="L3378">
        <v>15192.79</v>
      </c>
    </row>
    <row r="3379" spans="1:12" x14ac:dyDescent="0.35">
      <c r="A3379" s="1">
        <v>40973</v>
      </c>
      <c r="B3379">
        <v>2529.86</v>
      </c>
      <c r="C3379" s="1">
        <v>40959</v>
      </c>
      <c r="D3379">
        <v>3472.54</v>
      </c>
      <c r="E3379" s="1">
        <v>40914</v>
      </c>
      <c r="F3379">
        <v>6057.92</v>
      </c>
      <c r="G3379" s="1">
        <v>40896</v>
      </c>
      <c r="H3379">
        <v>6398.4946799999998</v>
      </c>
      <c r="I3379" s="1">
        <v>40955</v>
      </c>
      <c r="J3379">
        <v>8558.1</v>
      </c>
      <c r="K3379" s="1">
        <v>40919</v>
      </c>
      <c r="L3379">
        <v>14882.44</v>
      </c>
    </row>
    <row r="3380" spans="1:12" x14ac:dyDescent="0.35">
      <c r="A3380" s="1">
        <v>40970</v>
      </c>
      <c r="B3380">
        <v>2546.16</v>
      </c>
      <c r="C3380" s="1">
        <v>40956</v>
      </c>
      <c r="D3380">
        <v>3439.62</v>
      </c>
      <c r="E3380" s="1">
        <v>40913</v>
      </c>
      <c r="F3380">
        <v>6095.99</v>
      </c>
      <c r="G3380" s="1">
        <v>40893</v>
      </c>
      <c r="H3380">
        <v>6417.0290999999997</v>
      </c>
      <c r="I3380" s="1">
        <v>40954</v>
      </c>
      <c r="J3380">
        <v>8741.6</v>
      </c>
      <c r="K3380" s="1">
        <v>40918</v>
      </c>
      <c r="L3380">
        <v>14844.81</v>
      </c>
    </row>
    <row r="3381" spans="1:12" x14ac:dyDescent="0.35">
      <c r="A3381" s="1">
        <v>40969</v>
      </c>
      <c r="B3381">
        <v>2548.66</v>
      </c>
      <c r="C3381" s="1">
        <v>40955</v>
      </c>
      <c r="D3381">
        <v>3393.25</v>
      </c>
      <c r="E3381" s="1">
        <v>40912</v>
      </c>
      <c r="F3381">
        <v>6111.55</v>
      </c>
      <c r="G3381" s="1">
        <v>40892</v>
      </c>
      <c r="H3381">
        <v>6433.0235199999997</v>
      </c>
      <c r="I3381" s="1">
        <v>40953</v>
      </c>
      <c r="J3381">
        <v>8771.9</v>
      </c>
      <c r="K3381" s="1">
        <v>40917</v>
      </c>
      <c r="L3381">
        <v>14401.55</v>
      </c>
    </row>
    <row r="3382" spans="1:12" x14ac:dyDescent="0.35">
      <c r="A3382" s="1">
        <v>40968</v>
      </c>
      <c r="B3382">
        <v>2512.11</v>
      </c>
      <c r="C3382" s="1">
        <v>40954</v>
      </c>
      <c r="D3382">
        <v>3390.35</v>
      </c>
      <c r="E3382" s="1">
        <v>40911</v>
      </c>
      <c r="F3382">
        <v>6166.57</v>
      </c>
      <c r="G3382" s="1">
        <v>40891</v>
      </c>
      <c r="H3382">
        <v>6389.0279499999997</v>
      </c>
      <c r="I3382" s="1">
        <v>40952</v>
      </c>
      <c r="J3382">
        <v>8788.2999999999993</v>
      </c>
      <c r="K3382" s="1">
        <v>40914</v>
      </c>
      <c r="L3382">
        <v>14645.64</v>
      </c>
    </row>
    <row r="3383" spans="1:12" x14ac:dyDescent="0.35">
      <c r="A3383" s="1">
        <v>40967</v>
      </c>
      <c r="B3383">
        <v>2519.7199999999998</v>
      </c>
      <c r="C3383" s="1">
        <v>40953</v>
      </c>
      <c r="D3383">
        <v>3375.64</v>
      </c>
      <c r="E3383" s="1">
        <v>40910</v>
      </c>
      <c r="F3383">
        <v>6075.52</v>
      </c>
      <c r="G3383" s="1">
        <v>40890</v>
      </c>
      <c r="H3383">
        <v>6515.3305</v>
      </c>
      <c r="I3383" s="1">
        <v>40949</v>
      </c>
      <c r="J3383">
        <v>8797.1</v>
      </c>
      <c r="K3383" s="1">
        <v>40913</v>
      </c>
      <c r="L3383">
        <v>14767.22</v>
      </c>
    </row>
    <row r="3384" spans="1:12" x14ac:dyDescent="0.35">
      <c r="A3384" s="1">
        <v>40966</v>
      </c>
      <c r="B3384">
        <v>2513.06</v>
      </c>
      <c r="C3384" s="1">
        <v>40952</v>
      </c>
      <c r="D3384">
        <v>3384.55</v>
      </c>
      <c r="E3384" s="1">
        <v>40907</v>
      </c>
      <c r="F3384">
        <v>5898.35</v>
      </c>
      <c r="G3384" s="1">
        <v>40889</v>
      </c>
      <c r="H3384">
        <v>6409.5861000000004</v>
      </c>
      <c r="I3384" s="1">
        <v>40948</v>
      </c>
      <c r="J3384">
        <v>8902.1</v>
      </c>
      <c r="K3384" s="1">
        <v>40912</v>
      </c>
      <c r="L3384">
        <v>15327.03</v>
      </c>
    </row>
    <row r="3385" spans="1:12" x14ac:dyDescent="0.35">
      <c r="A3385" s="1">
        <v>40963</v>
      </c>
      <c r="B3385">
        <v>2523.69</v>
      </c>
      <c r="C3385" s="1">
        <v>40949</v>
      </c>
      <c r="D3385">
        <v>3373.14</v>
      </c>
      <c r="E3385" s="1">
        <v>40906</v>
      </c>
      <c r="F3385">
        <v>5848.78</v>
      </c>
      <c r="G3385" s="1">
        <v>40886</v>
      </c>
      <c r="H3385">
        <v>6468.8035</v>
      </c>
      <c r="I3385" s="1">
        <v>40947</v>
      </c>
      <c r="J3385">
        <v>8849.2999999999993</v>
      </c>
      <c r="K3385" s="1">
        <v>40911</v>
      </c>
      <c r="L3385">
        <v>15645.56</v>
      </c>
    </row>
    <row r="3386" spans="1:12" x14ac:dyDescent="0.35">
      <c r="A3386" s="1">
        <v>40962</v>
      </c>
      <c r="B3386">
        <v>2508.08</v>
      </c>
      <c r="C3386" s="1">
        <v>40948</v>
      </c>
      <c r="D3386">
        <v>3424.71</v>
      </c>
      <c r="E3386" s="1">
        <v>40905</v>
      </c>
      <c r="F3386">
        <v>5771.27</v>
      </c>
      <c r="G3386" s="1">
        <v>40885</v>
      </c>
      <c r="H3386">
        <v>6426.45363</v>
      </c>
      <c r="I3386" s="1">
        <v>40946</v>
      </c>
      <c r="J3386">
        <v>8846.9</v>
      </c>
      <c r="K3386" s="1">
        <v>40910</v>
      </c>
      <c r="L3386">
        <v>15454.62</v>
      </c>
    </row>
    <row r="3387" spans="1:12" x14ac:dyDescent="0.35">
      <c r="A3387" s="1">
        <v>40961</v>
      </c>
      <c r="B3387">
        <v>2519</v>
      </c>
      <c r="C3387" s="1">
        <v>40947</v>
      </c>
      <c r="D3387">
        <v>3410</v>
      </c>
      <c r="E3387" s="1">
        <v>40904</v>
      </c>
      <c r="F3387">
        <v>5889.76</v>
      </c>
      <c r="G3387" s="1">
        <v>40884</v>
      </c>
      <c r="H3387">
        <v>6488.1988099999999</v>
      </c>
      <c r="I3387" s="1">
        <v>40945</v>
      </c>
      <c r="J3387">
        <v>8835.2999999999993</v>
      </c>
      <c r="K3387" s="1">
        <v>40907</v>
      </c>
      <c r="L3387">
        <v>15089.74</v>
      </c>
    </row>
    <row r="3388" spans="1:12" x14ac:dyDescent="0.35">
      <c r="A3388" s="1">
        <v>40960</v>
      </c>
      <c r="B3388">
        <v>2541.6</v>
      </c>
      <c r="C3388" s="1">
        <v>40946</v>
      </c>
      <c r="D3388">
        <v>3411.54</v>
      </c>
      <c r="E3388" s="1">
        <v>40900</v>
      </c>
      <c r="F3388">
        <v>5878.93</v>
      </c>
      <c r="G3388" s="1">
        <v>40883</v>
      </c>
      <c r="H3388">
        <v>6474.4631399999998</v>
      </c>
      <c r="I3388" s="1">
        <v>40942</v>
      </c>
      <c r="J3388">
        <v>8861.2000000000007</v>
      </c>
      <c r="K3388" s="1">
        <v>40906</v>
      </c>
      <c r="L3388">
        <v>14908.53</v>
      </c>
    </row>
    <row r="3389" spans="1:12" x14ac:dyDescent="0.35">
      <c r="A3389" s="1">
        <v>40959</v>
      </c>
      <c r="B3389">
        <v>2550.2800000000002</v>
      </c>
      <c r="C3389" s="1">
        <v>40945</v>
      </c>
      <c r="D3389">
        <v>3405.27</v>
      </c>
      <c r="E3389" s="1">
        <v>40899</v>
      </c>
      <c r="F3389">
        <v>5852.18</v>
      </c>
      <c r="G3389" s="1">
        <v>40882</v>
      </c>
      <c r="H3389">
        <v>6486.4333299999998</v>
      </c>
      <c r="I3389" s="1">
        <v>40941</v>
      </c>
      <c r="J3389">
        <v>8772.2999999999993</v>
      </c>
      <c r="K3389" s="1">
        <v>40905</v>
      </c>
      <c r="L3389">
        <v>14796.55</v>
      </c>
    </row>
    <row r="3390" spans="1:12" x14ac:dyDescent="0.35">
      <c r="A3390" s="1">
        <v>40956</v>
      </c>
      <c r="B3390">
        <v>2520.31</v>
      </c>
      <c r="C3390" s="1">
        <v>40942</v>
      </c>
      <c r="D3390">
        <v>3427.92</v>
      </c>
      <c r="E3390" s="1">
        <v>40898</v>
      </c>
      <c r="F3390">
        <v>5791.53</v>
      </c>
      <c r="G3390" s="1">
        <v>40879</v>
      </c>
      <c r="H3390">
        <v>6462.6781799999999</v>
      </c>
      <c r="I3390" s="1">
        <v>40940</v>
      </c>
      <c r="J3390">
        <v>8696.6</v>
      </c>
      <c r="K3390" s="1">
        <v>40904</v>
      </c>
      <c r="L3390">
        <v>14924.01</v>
      </c>
    </row>
    <row r="3391" spans="1:12" x14ac:dyDescent="0.35">
      <c r="A3391" s="1">
        <v>40955</v>
      </c>
      <c r="B3391">
        <v>2489.35</v>
      </c>
      <c r="C3391" s="1">
        <v>40941</v>
      </c>
      <c r="D3391">
        <v>3376.66</v>
      </c>
      <c r="E3391" s="1">
        <v>40897</v>
      </c>
      <c r="F3391">
        <v>5847.03</v>
      </c>
      <c r="G3391" s="1">
        <v>40878</v>
      </c>
      <c r="H3391">
        <v>6405.99935</v>
      </c>
      <c r="I3391" s="1">
        <v>40939</v>
      </c>
      <c r="J3391">
        <v>8509.2000000000007</v>
      </c>
      <c r="K3391" s="1">
        <v>40900</v>
      </c>
      <c r="L3391">
        <v>15073.99</v>
      </c>
    </row>
    <row r="3392" spans="1:12" x14ac:dyDescent="0.35">
      <c r="A3392" s="1">
        <v>40954</v>
      </c>
      <c r="B3392">
        <v>2493.96</v>
      </c>
      <c r="C3392" s="1">
        <v>40940</v>
      </c>
      <c r="D3392">
        <v>3367.46</v>
      </c>
      <c r="E3392" s="1">
        <v>40896</v>
      </c>
      <c r="F3392">
        <v>5670.71</v>
      </c>
      <c r="G3392" s="1">
        <v>40877</v>
      </c>
      <c r="H3392">
        <v>6432.2694099999999</v>
      </c>
      <c r="I3392" s="1">
        <v>40938</v>
      </c>
      <c r="J3392">
        <v>8517</v>
      </c>
      <c r="K3392" s="1">
        <v>40899</v>
      </c>
      <c r="L3392">
        <v>15027.44</v>
      </c>
    </row>
    <row r="3393" spans="1:12" x14ac:dyDescent="0.35">
      <c r="A3393" s="1">
        <v>40953</v>
      </c>
      <c r="B3393">
        <v>2488.29</v>
      </c>
      <c r="C3393" s="1">
        <v>40939</v>
      </c>
      <c r="D3393">
        <v>3298.55</v>
      </c>
      <c r="E3393" s="1">
        <v>40893</v>
      </c>
      <c r="F3393">
        <v>5701.78</v>
      </c>
      <c r="G3393" s="1">
        <v>40876</v>
      </c>
      <c r="H3393">
        <v>6247.8533399999997</v>
      </c>
      <c r="I3393" s="1">
        <v>40935</v>
      </c>
      <c r="J3393">
        <v>8657.2999999999993</v>
      </c>
      <c r="K3393" s="1">
        <v>40898</v>
      </c>
      <c r="L3393">
        <v>14819.86</v>
      </c>
    </row>
    <row r="3394" spans="1:12" x14ac:dyDescent="0.35">
      <c r="A3394" s="1">
        <v>40952</v>
      </c>
      <c r="B3394">
        <v>2491.54</v>
      </c>
      <c r="C3394" s="1">
        <v>40938</v>
      </c>
      <c r="D3394">
        <v>3265.64</v>
      </c>
      <c r="E3394" s="1">
        <v>40892</v>
      </c>
      <c r="F3394">
        <v>5730.62</v>
      </c>
      <c r="G3394" s="1">
        <v>40875</v>
      </c>
      <c r="H3394">
        <v>6189.5070699999997</v>
      </c>
      <c r="I3394" s="1">
        <v>40934</v>
      </c>
      <c r="J3394">
        <v>8713.7999999999993</v>
      </c>
      <c r="K3394" s="1">
        <v>40897</v>
      </c>
      <c r="L3394">
        <v>14965.18</v>
      </c>
    </row>
    <row r="3395" spans="1:12" x14ac:dyDescent="0.35">
      <c r="A3395" s="1">
        <v>40949</v>
      </c>
      <c r="B3395">
        <v>2480.7600000000002</v>
      </c>
      <c r="C3395" s="1">
        <v>40935</v>
      </c>
      <c r="D3395">
        <v>3318.76</v>
      </c>
      <c r="E3395" s="1">
        <v>40891</v>
      </c>
      <c r="F3395">
        <v>5675.14</v>
      </c>
      <c r="G3395" s="1">
        <v>40872</v>
      </c>
      <c r="H3395">
        <v>6020.8094099999998</v>
      </c>
      <c r="I3395" s="1">
        <v>40933</v>
      </c>
      <c r="J3395">
        <v>8555.4</v>
      </c>
      <c r="K3395" s="1">
        <v>40896</v>
      </c>
      <c r="L3395">
        <v>14548.2</v>
      </c>
    </row>
    <row r="3396" spans="1:12" x14ac:dyDescent="0.35">
      <c r="A3396" s="1">
        <v>40948</v>
      </c>
      <c r="B3396">
        <v>2522.34</v>
      </c>
      <c r="C3396" s="1">
        <v>40934</v>
      </c>
      <c r="D3396">
        <v>3363.23</v>
      </c>
      <c r="E3396" s="1">
        <v>40890</v>
      </c>
      <c r="F3396">
        <v>5774.26</v>
      </c>
      <c r="G3396" s="1">
        <v>40871</v>
      </c>
      <c r="H3396">
        <v>5954.7462100000002</v>
      </c>
      <c r="I3396" s="1">
        <v>40932</v>
      </c>
      <c r="J3396">
        <v>8591.4</v>
      </c>
      <c r="K3396" s="1">
        <v>40893</v>
      </c>
      <c r="L3396">
        <v>14572.22</v>
      </c>
    </row>
    <row r="3397" spans="1:12" x14ac:dyDescent="0.35">
      <c r="A3397" s="1">
        <v>40947</v>
      </c>
      <c r="B3397">
        <v>2512.92</v>
      </c>
      <c r="C3397" s="1">
        <v>40933</v>
      </c>
      <c r="D3397">
        <v>3312.48</v>
      </c>
      <c r="E3397" s="1">
        <v>40889</v>
      </c>
      <c r="F3397">
        <v>5785.43</v>
      </c>
      <c r="G3397" s="1">
        <v>40870</v>
      </c>
      <c r="H3397">
        <v>5971.28287</v>
      </c>
      <c r="I3397" s="1">
        <v>40931</v>
      </c>
      <c r="J3397">
        <v>8619.6</v>
      </c>
      <c r="K3397" s="1">
        <v>40892</v>
      </c>
      <c r="L3397">
        <v>14627.69</v>
      </c>
    </row>
    <row r="3398" spans="1:12" x14ac:dyDescent="0.35">
      <c r="A3398" s="1">
        <v>40946</v>
      </c>
      <c r="B3398">
        <v>2514.12</v>
      </c>
      <c r="C3398" s="1">
        <v>40932</v>
      </c>
      <c r="D3398">
        <v>3322.65</v>
      </c>
      <c r="E3398" s="1">
        <v>40886</v>
      </c>
      <c r="F3398">
        <v>5986.71</v>
      </c>
      <c r="G3398" s="1">
        <v>40869</v>
      </c>
      <c r="H3398">
        <v>6027.7740199999998</v>
      </c>
      <c r="I3398" s="1">
        <v>40928</v>
      </c>
      <c r="J3398">
        <v>8561.9</v>
      </c>
      <c r="K3398" s="1">
        <v>40891</v>
      </c>
      <c r="L3398">
        <v>14430.02</v>
      </c>
    </row>
    <row r="3399" spans="1:12" x14ac:dyDescent="0.35">
      <c r="A3399" s="1">
        <v>40945</v>
      </c>
      <c r="B3399">
        <v>2507.89</v>
      </c>
      <c r="C3399" s="1">
        <v>40931</v>
      </c>
      <c r="D3399">
        <v>3338.42</v>
      </c>
      <c r="E3399" s="1">
        <v>40885</v>
      </c>
      <c r="F3399">
        <v>5874.44</v>
      </c>
      <c r="G3399" s="1">
        <v>40868</v>
      </c>
      <c r="H3399">
        <v>6051.5964000000004</v>
      </c>
      <c r="I3399" s="1">
        <v>40927</v>
      </c>
      <c r="J3399">
        <v>8603.7999999999993</v>
      </c>
      <c r="K3399" s="1">
        <v>40890</v>
      </c>
      <c r="L3399">
        <v>14851.25</v>
      </c>
    </row>
    <row r="3400" spans="1:12" x14ac:dyDescent="0.35">
      <c r="A3400" s="1">
        <v>40942</v>
      </c>
      <c r="B3400">
        <v>2515.15</v>
      </c>
      <c r="C3400" s="1">
        <v>40928</v>
      </c>
      <c r="D3400">
        <v>3321.5</v>
      </c>
      <c r="E3400" s="1">
        <v>40884</v>
      </c>
      <c r="F3400">
        <v>5994.73</v>
      </c>
      <c r="G3400" s="1">
        <v>40865</v>
      </c>
      <c r="H3400">
        <v>6267.3458199999995</v>
      </c>
      <c r="I3400" s="1">
        <v>40926</v>
      </c>
      <c r="J3400">
        <v>8420.7000000000007</v>
      </c>
      <c r="K3400" s="1">
        <v>40889</v>
      </c>
      <c r="L3400">
        <v>14896.73</v>
      </c>
    </row>
    <row r="3401" spans="1:12" x14ac:dyDescent="0.35">
      <c r="A3401" s="1">
        <v>40941</v>
      </c>
      <c r="B3401">
        <v>2478.15</v>
      </c>
      <c r="C3401" s="1">
        <v>40927</v>
      </c>
      <c r="D3401">
        <v>3328.94</v>
      </c>
      <c r="E3401" s="1">
        <v>40883</v>
      </c>
      <c r="F3401">
        <v>6028.82</v>
      </c>
      <c r="G3401" s="1">
        <v>40864</v>
      </c>
      <c r="H3401">
        <v>6344.5746399999998</v>
      </c>
      <c r="I3401" s="1">
        <v>40925</v>
      </c>
      <c r="J3401">
        <v>8535.2999999999993</v>
      </c>
      <c r="K3401" s="1">
        <v>40886</v>
      </c>
      <c r="L3401">
        <v>15483.91</v>
      </c>
    </row>
    <row r="3402" spans="1:12" x14ac:dyDescent="0.35">
      <c r="A3402" s="1">
        <v>40940</v>
      </c>
      <c r="B3402">
        <v>2470.79</v>
      </c>
      <c r="C3402" s="1">
        <v>40926</v>
      </c>
      <c r="D3402">
        <v>3264.93</v>
      </c>
      <c r="E3402" s="1">
        <v>40882</v>
      </c>
      <c r="F3402">
        <v>6106.09</v>
      </c>
      <c r="G3402" s="1">
        <v>40863</v>
      </c>
      <c r="H3402">
        <v>6424.4739200000004</v>
      </c>
      <c r="I3402" s="1">
        <v>40924</v>
      </c>
      <c r="J3402">
        <v>8449.6</v>
      </c>
      <c r="K3402" s="1">
        <v>40885</v>
      </c>
      <c r="L3402">
        <v>14979.07</v>
      </c>
    </row>
    <row r="3403" spans="1:12" x14ac:dyDescent="0.35">
      <c r="A3403" s="1">
        <v>40939</v>
      </c>
      <c r="B3403">
        <v>2416.66</v>
      </c>
      <c r="C3403" s="1">
        <v>40925</v>
      </c>
      <c r="D3403">
        <v>3269.99</v>
      </c>
      <c r="E3403" s="1">
        <v>40879</v>
      </c>
      <c r="F3403">
        <v>6080.68</v>
      </c>
      <c r="G3403" s="1">
        <v>40862</v>
      </c>
      <c r="H3403">
        <v>6452.0192900000002</v>
      </c>
      <c r="I3403" s="1">
        <v>40921</v>
      </c>
      <c r="J3403">
        <v>8450.6</v>
      </c>
      <c r="K3403" s="1">
        <v>40884</v>
      </c>
      <c r="L3403">
        <v>15650.93</v>
      </c>
    </row>
    <row r="3404" spans="1:12" x14ac:dyDescent="0.35">
      <c r="A3404" s="1">
        <v>40938</v>
      </c>
      <c r="B3404">
        <v>2404.62</v>
      </c>
      <c r="C3404" s="1">
        <v>40924</v>
      </c>
      <c r="D3404">
        <v>3225</v>
      </c>
      <c r="E3404" s="1">
        <v>40878</v>
      </c>
      <c r="F3404">
        <v>6035.88</v>
      </c>
      <c r="G3404" s="1">
        <v>40861</v>
      </c>
      <c r="H3404">
        <v>6442.0539600000002</v>
      </c>
      <c r="I3404" s="1">
        <v>40920</v>
      </c>
      <c r="J3404">
        <v>8427</v>
      </c>
      <c r="K3404" s="1">
        <v>40883</v>
      </c>
      <c r="L3404">
        <v>15848.21</v>
      </c>
    </row>
    <row r="3405" spans="1:12" x14ac:dyDescent="0.35">
      <c r="A3405" s="1">
        <v>40935</v>
      </c>
      <c r="B3405">
        <v>2436.62</v>
      </c>
      <c r="C3405" s="1">
        <v>40921</v>
      </c>
      <c r="D3405">
        <v>3196.49</v>
      </c>
      <c r="E3405" s="1">
        <v>40877</v>
      </c>
      <c r="F3405">
        <v>6088.84</v>
      </c>
      <c r="G3405" s="1">
        <v>40858</v>
      </c>
      <c r="H3405">
        <v>6478.3494499999997</v>
      </c>
      <c r="I3405" s="1">
        <v>40919</v>
      </c>
      <c r="J3405">
        <v>8426.7999999999993</v>
      </c>
      <c r="K3405" s="1">
        <v>40882</v>
      </c>
      <c r="L3405">
        <v>15926.47</v>
      </c>
    </row>
    <row r="3406" spans="1:12" x14ac:dyDescent="0.35">
      <c r="A3406" s="1">
        <v>40934</v>
      </c>
      <c r="B3406">
        <v>2460.4</v>
      </c>
      <c r="C3406" s="1">
        <v>40920</v>
      </c>
      <c r="D3406">
        <v>3199.98</v>
      </c>
      <c r="E3406" s="1">
        <v>40876</v>
      </c>
      <c r="F3406">
        <v>5799.91</v>
      </c>
      <c r="G3406" s="1">
        <v>40857</v>
      </c>
      <c r="H3406">
        <v>6379.1547899999996</v>
      </c>
      <c r="I3406" s="1">
        <v>40918</v>
      </c>
      <c r="J3406">
        <v>8472.9</v>
      </c>
      <c r="K3406" s="1">
        <v>40879</v>
      </c>
      <c r="L3406">
        <v>15476.09</v>
      </c>
    </row>
    <row r="3407" spans="1:12" x14ac:dyDescent="0.35">
      <c r="A3407" s="1">
        <v>40933</v>
      </c>
      <c r="B3407">
        <v>2421.12</v>
      </c>
      <c r="C3407" s="1">
        <v>40919</v>
      </c>
      <c r="D3407">
        <v>3204.83</v>
      </c>
      <c r="E3407" s="1">
        <v>40875</v>
      </c>
      <c r="F3407">
        <v>5745.33</v>
      </c>
      <c r="G3407" s="1">
        <v>40856</v>
      </c>
      <c r="H3407">
        <v>6406.7655999999997</v>
      </c>
      <c r="I3407" s="1">
        <v>40917</v>
      </c>
      <c r="J3407">
        <v>8278.9</v>
      </c>
      <c r="K3407" s="1">
        <v>40878</v>
      </c>
      <c r="L3407">
        <v>15244.62</v>
      </c>
    </row>
    <row r="3408" spans="1:12" x14ac:dyDescent="0.35">
      <c r="A3408" s="1">
        <v>40932</v>
      </c>
      <c r="B3408">
        <v>2432.0700000000002</v>
      </c>
      <c r="C3408" s="1">
        <v>40918</v>
      </c>
      <c r="D3408">
        <v>3210.79</v>
      </c>
      <c r="E3408" s="1">
        <v>40872</v>
      </c>
      <c r="F3408">
        <v>5492.87</v>
      </c>
      <c r="G3408" s="1">
        <v>40855</v>
      </c>
      <c r="H3408">
        <v>6496.8458300000002</v>
      </c>
      <c r="I3408" s="1">
        <v>40914</v>
      </c>
      <c r="J3408">
        <v>8289.1</v>
      </c>
      <c r="K3408" s="1">
        <v>40877</v>
      </c>
      <c r="L3408">
        <v>15268.66</v>
      </c>
    </row>
    <row r="3409" spans="1:12" x14ac:dyDescent="0.35">
      <c r="A3409" s="1">
        <v>40931</v>
      </c>
      <c r="B3409">
        <v>2441.44</v>
      </c>
      <c r="C3409" s="1">
        <v>40917</v>
      </c>
      <c r="D3409">
        <v>3127.69</v>
      </c>
      <c r="E3409" s="1">
        <v>40871</v>
      </c>
      <c r="F3409">
        <v>5428.11</v>
      </c>
      <c r="G3409" s="1">
        <v>40854</v>
      </c>
      <c r="H3409">
        <v>6425.6153199999999</v>
      </c>
      <c r="I3409" s="1">
        <v>40913</v>
      </c>
      <c r="J3409">
        <v>8329.6</v>
      </c>
      <c r="K3409" s="1">
        <v>40876</v>
      </c>
      <c r="L3409">
        <v>14627.37</v>
      </c>
    </row>
    <row r="3410" spans="1:12" x14ac:dyDescent="0.35">
      <c r="A3410" s="1">
        <v>40928</v>
      </c>
      <c r="B3410">
        <v>2426.96</v>
      </c>
      <c r="C3410" s="1">
        <v>40914</v>
      </c>
      <c r="D3410">
        <v>3137.36</v>
      </c>
      <c r="E3410" s="1">
        <v>40870</v>
      </c>
      <c r="F3410">
        <v>5457.77</v>
      </c>
      <c r="G3410" s="1">
        <v>40851</v>
      </c>
      <c r="H3410">
        <v>6431.9249200000004</v>
      </c>
      <c r="I3410" s="1">
        <v>40912</v>
      </c>
      <c r="J3410">
        <v>8581.7999999999993</v>
      </c>
      <c r="K3410" s="1">
        <v>40875</v>
      </c>
      <c r="L3410">
        <v>14578.23</v>
      </c>
    </row>
    <row r="3411" spans="1:12" x14ac:dyDescent="0.35">
      <c r="A3411" s="1">
        <v>40927</v>
      </c>
      <c r="B3411">
        <v>2435.04</v>
      </c>
      <c r="C3411" s="1">
        <v>40913</v>
      </c>
      <c r="D3411">
        <v>3144.91</v>
      </c>
      <c r="E3411" s="1">
        <v>40869</v>
      </c>
      <c r="F3411">
        <v>5537.39</v>
      </c>
      <c r="G3411" s="1">
        <v>40850</v>
      </c>
      <c r="H3411">
        <v>6428.6755999999996</v>
      </c>
      <c r="I3411" s="1">
        <v>40911</v>
      </c>
      <c r="J3411">
        <v>8732.4</v>
      </c>
      <c r="K3411" s="1">
        <v>40872</v>
      </c>
      <c r="L3411">
        <v>13937.4</v>
      </c>
    </row>
    <row r="3412" spans="1:12" x14ac:dyDescent="0.35">
      <c r="A3412" s="1">
        <v>40926</v>
      </c>
      <c r="B3412">
        <v>2390.64</v>
      </c>
      <c r="C3412" s="1">
        <v>40912</v>
      </c>
      <c r="D3412">
        <v>3193.65</v>
      </c>
      <c r="E3412" s="1">
        <v>40868</v>
      </c>
      <c r="F3412">
        <v>5606</v>
      </c>
      <c r="G3412" s="1">
        <v>40849</v>
      </c>
      <c r="H3412">
        <v>6363.34321</v>
      </c>
      <c r="I3412" s="1">
        <v>40910</v>
      </c>
      <c r="J3412">
        <v>8723.7999999999993</v>
      </c>
      <c r="K3412" s="1">
        <v>40871</v>
      </c>
      <c r="L3412">
        <v>13920.58</v>
      </c>
    </row>
    <row r="3413" spans="1:12" x14ac:dyDescent="0.35">
      <c r="A3413" s="1">
        <v>40925</v>
      </c>
      <c r="B3413">
        <v>2396.63</v>
      </c>
      <c r="C3413" s="1">
        <v>40911</v>
      </c>
      <c r="D3413">
        <v>3245.4</v>
      </c>
      <c r="E3413" s="1">
        <v>40865</v>
      </c>
      <c r="F3413">
        <v>5800.24</v>
      </c>
      <c r="G3413" s="1">
        <v>40848</v>
      </c>
      <c r="H3413">
        <v>6307.9968900000003</v>
      </c>
      <c r="I3413" s="1">
        <v>40907</v>
      </c>
      <c r="J3413">
        <v>8566.2999999999993</v>
      </c>
      <c r="K3413" s="1">
        <v>40870</v>
      </c>
      <c r="L3413">
        <v>13915.78</v>
      </c>
    </row>
    <row r="3414" spans="1:12" x14ac:dyDescent="0.35">
      <c r="A3414" s="1">
        <v>40924</v>
      </c>
      <c r="B3414">
        <v>2361.56</v>
      </c>
      <c r="C3414" s="1">
        <v>40910</v>
      </c>
      <c r="D3414">
        <v>3222.3</v>
      </c>
      <c r="E3414" s="1">
        <v>40864</v>
      </c>
      <c r="F3414">
        <v>5850.17</v>
      </c>
      <c r="G3414" s="1">
        <v>40847</v>
      </c>
      <c r="H3414">
        <v>6412.0697200000004</v>
      </c>
      <c r="I3414" s="1">
        <v>40906</v>
      </c>
      <c r="J3414">
        <v>8487.9</v>
      </c>
      <c r="K3414" s="1">
        <v>40869</v>
      </c>
      <c r="L3414">
        <v>14286.06</v>
      </c>
    </row>
    <row r="3415" spans="1:12" x14ac:dyDescent="0.35">
      <c r="A3415" s="1">
        <v>40921</v>
      </c>
      <c r="B3415">
        <v>2338.0100000000002</v>
      </c>
      <c r="C3415" s="1">
        <v>40907</v>
      </c>
      <c r="D3415">
        <v>3159.81</v>
      </c>
      <c r="E3415" s="1">
        <v>40863</v>
      </c>
      <c r="F3415">
        <v>5913.36</v>
      </c>
      <c r="G3415" s="1">
        <v>40844</v>
      </c>
      <c r="H3415">
        <v>6492.2269299999998</v>
      </c>
      <c r="I3415" s="1">
        <v>40905</v>
      </c>
      <c r="J3415">
        <v>8358.4</v>
      </c>
      <c r="K3415" s="1">
        <v>40868</v>
      </c>
      <c r="L3415">
        <v>14509.94</v>
      </c>
    </row>
    <row r="3416" spans="1:12" x14ac:dyDescent="0.35">
      <c r="A3416" s="1">
        <v>40920</v>
      </c>
      <c r="B3416">
        <v>2345.85</v>
      </c>
      <c r="C3416" s="1">
        <v>40906</v>
      </c>
      <c r="D3416">
        <v>3127.56</v>
      </c>
      <c r="E3416" s="1">
        <v>40862</v>
      </c>
      <c r="F3416">
        <v>5933.14</v>
      </c>
      <c r="G3416" s="1">
        <v>40843</v>
      </c>
      <c r="H3416">
        <v>6482.8331399999997</v>
      </c>
      <c r="I3416" s="1">
        <v>40904</v>
      </c>
      <c r="J3416">
        <v>8529.6</v>
      </c>
      <c r="K3416" s="1">
        <v>40865</v>
      </c>
      <c r="L3416">
        <v>15232.56</v>
      </c>
    </row>
    <row r="3417" spans="1:12" x14ac:dyDescent="0.35">
      <c r="A3417" s="1">
        <v>40919</v>
      </c>
      <c r="B3417">
        <v>2339.5100000000002</v>
      </c>
      <c r="C3417" s="1">
        <v>40905</v>
      </c>
      <c r="D3417">
        <v>3071.08</v>
      </c>
      <c r="E3417" s="1">
        <v>40861</v>
      </c>
      <c r="F3417">
        <v>5985.02</v>
      </c>
      <c r="G3417" s="1">
        <v>40842</v>
      </c>
      <c r="H3417">
        <v>6386.8283000000001</v>
      </c>
      <c r="I3417" s="1">
        <v>40900</v>
      </c>
      <c r="J3417">
        <v>8542.7000000000007</v>
      </c>
      <c r="K3417" s="1">
        <v>40864</v>
      </c>
      <c r="L3417">
        <v>15198.31</v>
      </c>
    </row>
    <row r="3418" spans="1:12" x14ac:dyDescent="0.35">
      <c r="A3418" s="1">
        <v>40918</v>
      </c>
      <c r="B3418">
        <v>2347.4699999999998</v>
      </c>
      <c r="C3418" s="1">
        <v>40904</v>
      </c>
      <c r="D3418">
        <v>3103.11</v>
      </c>
      <c r="E3418" s="1">
        <v>40858</v>
      </c>
      <c r="F3418">
        <v>6057.03</v>
      </c>
      <c r="G3418" s="1">
        <v>40841</v>
      </c>
      <c r="H3418">
        <v>6352.5050700000002</v>
      </c>
      <c r="I3418" s="1">
        <v>40899</v>
      </c>
      <c r="J3418">
        <v>8462.9</v>
      </c>
      <c r="K3418" s="1">
        <v>40863</v>
      </c>
      <c r="L3418">
        <v>15419.2</v>
      </c>
    </row>
    <row r="3419" spans="1:12" x14ac:dyDescent="0.35">
      <c r="A3419" s="1">
        <v>40917</v>
      </c>
      <c r="B3419">
        <v>2286.4499999999998</v>
      </c>
      <c r="C3419" s="1">
        <v>40900</v>
      </c>
      <c r="D3419">
        <v>3102.09</v>
      </c>
      <c r="E3419" s="1">
        <v>40857</v>
      </c>
      <c r="F3419">
        <v>5867.81</v>
      </c>
      <c r="G3419" s="1">
        <v>40840</v>
      </c>
      <c r="H3419">
        <v>6371.4413599999998</v>
      </c>
      <c r="I3419" s="1">
        <v>40898</v>
      </c>
      <c r="J3419">
        <v>8378.4</v>
      </c>
      <c r="K3419" s="1">
        <v>40862</v>
      </c>
      <c r="L3419">
        <v>15297.6</v>
      </c>
    </row>
    <row r="3420" spans="1:12" x14ac:dyDescent="0.35">
      <c r="A3420" s="1">
        <v>40914</v>
      </c>
      <c r="B3420">
        <v>2298.65</v>
      </c>
      <c r="C3420" s="1">
        <v>40899</v>
      </c>
      <c r="D3420">
        <v>3071.8</v>
      </c>
      <c r="E3420" s="1">
        <v>40856</v>
      </c>
      <c r="F3420">
        <v>5829.54</v>
      </c>
      <c r="G3420" s="1">
        <v>40837</v>
      </c>
      <c r="H3420">
        <v>6309.8084500000004</v>
      </c>
      <c r="I3420" s="1">
        <v>40897</v>
      </c>
      <c r="J3420">
        <v>8454.4</v>
      </c>
      <c r="K3420" s="1">
        <v>40861</v>
      </c>
      <c r="L3420">
        <v>15464.45</v>
      </c>
    </row>
    <row r="3421" spans="1:12" x14ac:dyDescent="0.35">
      <c r="A3421" s="1">
        <v>40913</v>
      </c>
      <c r="B3421">
        <v>2315.75</v>
      </c>
      <c r="C3421" s="1">
        <v>40898</v>
      </c>
      <c r="D3421">
        <v>3030.47</v>
      </c>
      <c r="E3421" s="1">
        <v>40855</v>
      </c>
      <c r="F3421">
        <v>5961.44</v>
      </c>
      <c r="G3421" s="1">
        <v>40836</v>
      </c>
      <c r="H3421">
        <v>6184.8399900000004</v>
      </c>
      <c r="I3421" s="1">
        <v>40896</v>
      </c>
      <c r="J3421">
        <v>8253</v>
      </c>
      <c r="K3421" s="1">
        <v>40858</v>
      </c>
      <c r="L3421">
        <v>15778.85</v>
      </c>
    </row>
    <row r="3422" spans="1:12" x14ac:dyDescent="0.35">
      <c r="A3422" s="1">
        <v>40912</v>
      </c>
      <c r="B3422">
        <v>2349.89</v>
      </c>
      <c r="C3422" s="1">
        <v>40897</v>
      </c>
      <c r="D3422">
        <v>3055.39</v>
      </c>
      <c r="E3422" s="1">
        <v>40854</v>
      </c>
      <c r="F3422">
        <v>5928.68</v>
      </c>
      <c r="G3422" s="1">
        <v>40835</v>
      </c>
      <c r="H3422">
        <v>6246.7533700000004</v>
      </c>
      <c r="I3422" s="1">
        <v>40893</v>
      </c>
      <c r="J3422">
        <v>8203.4</v>
      </c>
      <c r="K3422" s="1">
        <v>40857</v>
      </c>
      <c r="L3422">
        <v>15218.34</v>
      </c>
    </row>
    <row r="3423" spans="1:12" x14ac:dyDescent="0.35">
      <c r="A3423" s="1">
        <v>40911</v>
      </c>
      <c r="B3423">
        <v>2389.91</v>
      </c>
      <c r="C3423" s="1">
        <v>40896</v>
      </c>
      <c r="D3423">
        <v>2974.2</v>
      </c>
      <c r="E3423" s="1">
        <v>40851</v>
      </c>
      <c r="F3423">
        <v>5966.16</v>
      </c>
      <c r="G3423" s="1">
        <v>40834</v>
      </c>
      <c r="H3423">
        <v>6184.1572500000002</v>
      </c>
      <c r="I3423" s="1">
        <v>40892</v>
      </c>
      <c r="J3423">
        <v>8250.4</v>
      </c>
      <c r="K3423" s="1">
        <v>40856</v>
      </c>
      <c r="L3423">
        <v>15071.77</v>
      </c>
    </row>
    <row r="3424" spans="1:12" x14ac:dyDescent="0.35">
      <c r="A3424" s="1">
        <v>40910</v>
      </c>
      <c r="B3424">
        <v>2370.1999999999998</v>
      </c>
      <c r="C3424" s="1">
        <v>40893</v>
      </c>
      <c r="D3424">
        <v>2972.3</v>
      </c>
      <c r="E3424" s="1">
        <v>40850</v>
      </c>
      <c r="F3424">
        <v>6133.18</v>
      </c>
      <c r="G3424" s="1">
        <v>40833</v>
      </c>
      <c r="H3424">
        <v>6229.4451600000002</v>
      </c>
      <c r="I3424" s="1">
        <v>40891</v>
      </c>
      <c r="J3424">
        <v>8182</v>
      </c>
      <c r="K3424" s="1">
        <v>40855</v>
      </c>
      <c r="L3424">
        <v>15664.06</v>
      </c>
    </row>
    <row r="3425" spans="1:12" x14ac:dyDescent="0.35">
      <c r="A3425" s="1">
        <v>40907</v>
      </c>
      <c r="B3425">
        <v>2316.5500000000002</v>
      </c>
      <c r="C3425" s="1">
        <v>40892</v>
      </c>
      <c r="D3425">
        <v>2998.73</v>
      </c>
      <c r="E3425" s="1">
        <v>40849</v>
      </c>
      <c r="F3425">
        <v>5965.63</v>
      </c>
      <c r="G3425" s="1">
        <v>40830</v>
      </c>
      <c r="H3425">
        <v>6234.91885</v>
      </c>
      <c r="I3425" s="1">
        <v>40890</v>
      </c>
      <c r="J3425">
        <v>8327.7999999999993</v>
      </c>
      <c r="K3425" s="1">
        <v>40854</v>
      </c>
      <c r="L3425">
        <v>15548.94</v>
      </c>
    </row>
    <row r="3426" spans="1:12" x14ac:dyDescent="0.35">
      <c r="A3426" s="1">
        <v>40906</v>
      </c>
      <c r="B3426">
        <v>2292.2800000000002</v>
      </c>
      <c r="C3426" s="1">
        <v>40891</v>
      </c>
      <c r="D3426">
        <v>2976.17</v>
      </c>
      <c r="E3426" s="1">
        <v>40848</v>
      </c>
      <c r="F3426">
        <v>5834.51</v>
      </c>
      <c r="G3426" s="1">
        <v>40829</v>
      </c>
      <c r="H3426">
        <v>6184.5015800000001</v>
      </c>
      <c r="I3426" s="1">
        <v>40889</v>
      </c>
      <c r="J3426">
        <v>8381</v>
      </c>
      <c r="K3426" s="1">
        <v>40851</v>
      </c>
      <c r="L3426">
        <v>15346.55</v>
      </c>
    </row>
    <row r="3427" spans="1:12" x14ac:dyDescent="0.35">
      <c r="A3427" s="1">
        <v>40905</v>
      </c>
      <c r="B3427">
        <v>2255.0300000000002</v>
      </c>
      <c r="C3427" s="1">
        <v>40890</v>
      </c>
      <c r="D3427">
        <v>3078.72</v>
      </c>
      <c r="E3427" s="1">
        <v>40847</v>
      </c>
      <c r="F3427">
        <v>6141.34</v>
      </c>
      <c r="G3427" s="1">
        <v>40828</v>
      </c>
      <c r="H3427">
        <v>6210.5315799999998</v>
      </c>
      <c r="I3427" s="1">
        <v>40886</v>
      </c>
      <c r="J3427">
        <v>8649.7000000000007</v>
      </c>
      <c r="K3427" s="1">
        <v>40850</v>
      </c>
      <c r="L3427">
        <v>15766.16</v>
      </c>
    </row>
    <row r="3428" spans="1:12" x14ac:dyDescent="0.35">
      <c r="A3428" s="1">
        <v>40904</v>
      </c>
      <c r="B3428">
        <v>2290.31</v>
      </c>
      <c r="C3428" s="1">
        <v>40889</v>
      </c>
      <c r="D3428">
        <v>3089.59</v>
      </c>
      <c r="E3428" s="1">
        <v>40844</v>
      </c>
      <c r="F3428">
        <v>6346.19</v>
      </c>
      <c r="G3428" s="1">
        <v>40827</v>
      </c>
      <c r="H3428">
        <v>6169.3961499999996</v>
      </c>
      <c r="I3428" s="1">
        <v>40885</v>
      </c>
      <c r="J3428">
        <v>8461.2000000000007</v>
      </c>
      <c r="K3428" s="1">
        <v>40849</v>
      </c>
      <c r="L3428">
        <v>15273.31</v>
      </c>
    </row>
    <row r="3429" spans="1:12" x14ac:dyDescent="0.35">
      <c r="A3429" s="1">
        <v>40900</v>
      </c>
      <c r="B3429">
        <v>2290.37</v>
      </c>
      <c r="C3429" s="1">
        <v>40886</v>
      </c>
      <c r="D3429">
        <v>3172.35</v>
      </c>
      <c r="E3429" s="1">
        <v>40843</v>
      </c>
      <c r="F3429">
        <v>6337.84</v>
      </c>
      <c r="G3429" s="1">
        <v>40826</v>
      </c>
      <c r="H3429">
        <v>6195.3534900000004</v>
      </c>
      <c r="I3429" s="1">
        <v>40884</v>
      </c>
      <c r="J3429">
        <v>8644.2999999999993</v>
      </c>
      <c r="K3429" s="1">
        <v>40848</v>
      </c>
      <c r="L3429">
        <v>14928.24</v>
      </c>
    </row>
    <row r="3430" spans="1:12" x14ac:dyDescent="0.35">
      <c r="A3430" s="1">
        <v>40899</v>
      </c>
      <c r="B3430">
        <v>2273.02</v>
      </c>
      <c r="C3430" s="1">
        <v>40885</v>
      </c>
      <c r="D3430">
        <v>3095.49</v>
      </c>
      <c r="E3430" s="1">
        <v>40842</v>
      </c>
      <c r="F3430">
        <v>6016.07</v>
      </c>
      <c r="G3430" s="1">
        <v>40823</v>
      </c>
      <c r="H3430">
        <v>6161.9552000000003</v>
      </c>
      <c r="I3430" s="1">
        <v>40883</v>
      </c>
      <c r="J3430">
        <v>8712.7999999999993</v>
      </c>
      <c r="K3430" s="1">
        <v>40847</v>
      </c>
      <c r="L3430">
        <v>16017.73</v>
      </c>
    </row>
    <row r="3431" spans="1:12" x14ac:dyDescent="0.35">
      <c r="A3431" s="1">
        <v>40898</v>
      </c>
      <c r="B3431">
        <v>2244.35</v>
      </c>
      <c r="C3431" s="1">
        <v>40884</v>
      </c>
      <c r="D3431">
        <v>3175.98</v>
      </c>
      <c r="E3431" s="1">
        <v>40841</v>
      </c>
      <c r="F3431">
        <v>6046.75</v>
      </c>
      <c r="G3431" s="1">
        <v>40822</v>
      </c>
      <c r="H3431">
        <v>6080.0511500000002</v>
      </c>
      <c r="I3431" s="1">
        <v>40882</v>
      </c>
      <c r="J3431">
        <v>8705.7999999999993</v>
      </c>
      <c r="K3431" s="1">
        <v>40844</v>
      </c>
      <c r="L3431">
        <v>16653.55</v>
      </c>
    </row>
    <row r="3432" spans="1:12" x14ac:dyDescent="0.35">
      <c r="A3432" s="1">
        <v>40897</v>
      </c>
      <c r="B3432">
        <v>2262.39</v>
      </c>
      <c r="C3432" s="1">
        <v>40883</v>
      </c>
      <c r="D3432">
        <v>3179.63</v>
      </c>
      <c r="E3432" s="1">
        <v>40840</v>
      </c>
      <c r="F3432">
        <v>6055.27</v>
      </c>
      <c r="G3432" s="1">
        <v>40821</v>
      </c>
      <c r="H3432">
        <v>5908.6432699999996</v>
      </c>
      <c r="I3432" s="1">
        <v>40879</v>
      </c>
      <c r="J3432">
        <v>8558.6</v>
      </c>
      <c r="K3432" s="1">
        <v>40843</v>
      </c>
      <c r="L3432">
        <v>16954.68</v>
      </c>
    </row>
    <row r="3433" spans="1:12" x14ac:dyDescent="0.35">
      <c r="A3433" s="1">
        <v>40896</v>
      </c>
      <c r="B3433">
        <v>2202.9499999999998</v>
      </c>
      <c r="C3433" s="1">
        <v>40882</v>
      </c>
      <c r="D3433">
        <v>3201.28</v>
      </c>
      <c r="E3433" s="1">
        <v>40837</v>
      </c>
      <c r="F3433">
        <v>5970.96</v>
      </c>
      <c r="G3433" s="1">
        <v>40820</v>
      </c>
      <c r="H3433">
        <v>5733.3750499999996</v>
      </c>
      <c r="I3433" s="1">
        <v>40878</v>
      </c>
      <c r="J3433">
        <v>8421</v>
      </c>
      <c r="K3433" s="1">
        <v>40842</v>
      </c>
      <c r="L3433">
        <v>16071.92</v>
      </c>
    </row>
    <row r="3434" spans="1:12" x14ac:dyDescent="0.35">
      <c r="A3434" s="1">
        <v>40893</v>
      </c>
      <c r="B3434">
        <v>2202.7199999999998</v>
      </c>
      <c r="C3434" s="1">
        <v>40879</v>
      </c>
      <c r="D3434">
        <v>3164.95</v>
      </c>
      <c r="E3434" s="1">
        <v>40836</v>
      </c>
      <c r="F3434">
        <v>5766.48</v>
      </c>
      <c r="G3434" s="1">
        <v>40819</v>
      </c>
      <c r="H3434">
        <v>5920.5877700000001</v>
      </c>
      <c r="I3434" s="1">
        <v>40877</v>
      </c>
      <c r="J3434">
        <v>8449.5</v>
      </c>
      <c r="K3434" s="1">
        <v>40841</v>
      </c>
      <c r="L3434">
        <v>16060.49</v>
      </c>
    </row>
    <row r="3435" spans="1:12" x14ac:dyDescent="0.35">
      <c r="A3435" s="1">
        <v>40892</v>
      </c>
      <c r="B3435">
        <v>2224.89</v>
      </c>
      <c r="C3435" s="1">
        <v>40878</v>
      </c>
      <c r="D3435">
        <v>3129.95</v>
      </c>
      <c r="E3435" s="1">
        <v>40835</v>
      </c>
      <c r="F3435">
        <v>5913.53</v>
      </c>
      <c r="G3435" s="1">
        <v>40816</v>
      </c>
      <c r="H3435">
        <v>5967.0202300000001</v>
      </c>
      <c r="I3435" s="1">
        <v>40876</v>
      </c>
      <c r="J3435">
        <v>8128</v>
      </c>
      <c r="K3435" s="1">
        <v>40840</v>
      </c>
      <c r="L3435">
        <v>16232.26</v>
      </c>
    </row>
    <row r="3436" spans="1:12" x14ac:dyDescent="0.35">
      <c r="A3436" s="1">
        <v>40891</v>
      </c>
      <c r="B3436">
        <v>2205.91</v>
      </c>
      <c r="C3436" s="1">
        <v>40877</v>
      </c>
      <c r="D3436">
        <v>3154.62</v>
      </c>
      <c r="E3436" s="1">
        <v>40834</v>
      </c>
      <c r="F3436">
        <v>5877.41</v>
      </c>
      <c r="G3436" s="1">
        <v>40815</v>
      </c>
      <c r="H3436">
        <v>5980.2293900000004</v>
      </c>
      <c r="I3436" s="1">
        <v>40875</v>
      </c>
      <c r="J3436">
        <v>8119.9</v>
      </c>
      <c r="K3436" s="1">
        <v>40837</v>
      </c>
      <c r="L3436">
        <v>16116.48</v>
      </c>
    </row>
    <row r="3437" spans="1:12" x14ac:dyDescent="0.35">
      <c r="A3437" s="1">
        <v>40890</v>
      </c>
      <c r="B3437">
        <v>2260.98</v>
      </c>
      <c r="C3437" s="1">
        <v>40876</v>
      </c>
      <c r="D3437">
        <v>3026.76</v>
      </c>
      <c r="E3437" s="1">
        <v>40833</v>
      </c>
      <c r="F3437">
        <v>5859.43</v>
      </c>
      <c r="G3437" s="1">
        <v>40814</v>
      </c>
      <c r="H3437">
        <v>5992.6849400000001</v>
      </c>
      <c r="I3437" s="1">
        <v>40872</v>
      </c>
      <c r="J3437">
        <v>7763.5</v>
      </c>
      <c r="K3437" s="1">
        <v>40836</v>
      </c>
      <c r="L3437">
        <v>15677.86</v>
      </c>
    </row>
    <row r="3438" spans="1:12" x14ac:dyDescent="0.35">
      <c r="A3438" s="1">
        <v>40889</v>
      </c>
      <c r="B3438">
        <v>2269.46</v>
      </c>
      <c r="C3438" s="1">
        <v>40875</v>
      </c>
      <c r="D3438">
        <v>3012.93</v>
      </c>
      <c r="E3438" s="1">
        <v>40830</v>
      </c>
      <c r="F3438">
        <v>5967.2</v>
      </c>
      <c r="G3438" s="1">
        <v>40813</v>
      </c>
      <c r="H3438">
        <v>6092.6743399999996</v>
      </c>
      <c r="I3438" s="1">
        <v>40871</v>
      </c>
      <c r="J3438">
        <v>7721.8</v>
      </c>
      <c r="K3438" s="1">
        <v>40835</v>
      </c>
      <c r="L3438">
        <v>16293.19</v>
      </c>
    </row>
    <row r="3439" spans="1:12" x14ac:dyDescent="0.35">
      <c r="A3439" s="1">
        <v>40886</v>
      </c>
      <c r="B3439">
        <v>2342.59</v>
      </c>
      <c r="C3439" s="1">
        <v>40872</v>
      </c>
      <c r="D3439">
        <v>2856.97</v>
      </c>
      <c r="E3439" s="1">
        <v>40829</v>
      </c>
      <c r="F3439">
        <v>5914.84</v>
      </c>
      <c r="G3439" s="1">
        <v>40812</v>
      </c>
      <c r="H3439">
        <v>5866.3297599999996</v>
      </c>
      <c r="I3439" s="1">
        <v>40870</v>
      </c>
      <c r="J3439">
        <v>7739.3</v>
      </c>
      <c r="K3439" s="1">
        <v>40834</v>
      </c>
      <c r="L3439">
        <v>15970.14</v>
      </c>
    </row>
    <row r="3440" spans="1:12" x14ac:dyDescent="0.35">
      <c r="A3440" s="1">
        <v>40885</v>
      </c>
      <c r="B3440">
        <v>2288.0500000000002</v>
      </c>
      <c r="C3440" s="1">
        <v>40871</v>
      </c>
      <c r="D3440">
        <v>2822.25</v>
      </c>
      <c r="E3440" s="1">
        <v>40828</v>
      </c>
      <c r="F3440">
        <v>5994.47</v>
      </c>
      <c r="G3440" s="1">
        <v>40809</v>
      </c>
      <c r="H3440">
        <v>5808.9641300000003</v>
      </c>
      <c r="I3440" s="1">
        <v>40869</v>
      </c>
      <c r="J3440">
        <v>7904.9</v>
      </c>
      <c r="K3440" s="1">
        <v>40833</v>
      </c>
      <c r="L3440">
        <v>15914.6</v>
      </c>
    </row>
    <row r="3441" spans="1:12" x14ac:dyDescent="0.35">
      <c r="A3441" s="1">
        <v>40884</v>
      </c>
      <c r="B3441">
        <v>2344.92</v>
      </c>
      <c r="C3441" s="1">
        <v>40870</v>
      </c>
      <c r="D3441">
        <v>2822.43</v>
      </c>
      <c r="E3441" s="1">
        <v>40827</v>
      </c>
      <c r="F3441">
        <v>5865.01</v>
      </c>
      <c r="G3441" s="1">
        <v>40808</v>
      </c>
      <c r="H3441">
        <v>5747.0096999999996</v>
      </c>
      <c r="I3441" s="1">
        <v>40868</v>
      </c>
      <c r="J3441">
        <v>8021</v>
      </c>
      <c r="K3441" s="1">
        <v>40830</v>
      </c>
      <c r="L3441">
        <v>16289.65</v>
      </c>
    </row>
    <row r="3442" spans="1:12" x14ac:dyDescent="0.35">
      <c r="A3442" s="1">
        <v>40883</v>
      </c>
      <c r="B3442">
        <v>2356.71</v>
      </c>
      <c r="C3442" s="1">
        <v>40869</v>
      </c>
      <c r="D3442">
        <v>2870.68</v>
      </c>
      <c r="E3442" s="1">
        <v>40826</v>
      </c>
      <c r="F3442">
        <v>5847.29</v>
      </c>
      <c r="G3442" s="1">
        <v>40807</v>
      </c>
      <c r="H3442">
        <v>6021.1901900000003</v>
      </c>
      <c r="I3442" s="1">
        <v>40865</v>
      </c>
      <c r="J3442">
        <v>8310.1</v>
      </c>
      <c r="K3442" s="1">
        <v>40829</v>
      </c>
      <c r="L3442">
        <v>15894.39</v>
      </c>
    </row>
    <row r="3443" spans="1:12" x14ac:dyDescent="0.35">
      <c r="A3443" s="1">
        <v>40882</v>
      </c>
      <c r="B3443">
        <v>2369.39</v>
      </c>
      <c r="C3443" s="1">
        <v>40868</v>
      </c>
      <c r="D3443">
        <v>2894.94</v>
      </c>
      <c r="E3443" s="1">
        <v>40823</v>
      </c>
      <c r="F3443">
        <v>5675.7</v>
      </c>
      <c r="G3443" s="1">
        <v>40806</v>
      </c>
      <c r="H3443">
        <v>6163.4032399999996</v>
      </c>
      <c r="I3443" s="1">
        <v>40864</v>
      </c>
      <c r="J3443">
        <v>8270.6</v>
      </c>
      <c r="K3443" s="1">
        <v>40828</v>
      </c>
      <c r="L3443">
        <v>16505.98</v>
      </c>
    </row>
    <row r="3444" spans="1:12" x14ac:dyDescent="0.35">
      <c r="A3444" s="1">
        <v>40879</v>
      </c>
      <c r="B3444">
        <v>2342.5</v>
      </c>
      <c r="C3444" s="1">
        <v>40865</v>
      </c>
      <c r="D3444">
        <v>2997.01</v>
      </c>
      <c r="E3444" s="1">
        <v>40822</v>
      </c>
      <c r="F3444">
        <v>5645.25</v>
      </c>
      <c r="G3444" s="1">
        <v>40805</v>
      </c>
      <c r="H3444">
        <v>6042.4966299999996</v>
      </c>
      <c r="I3444" s="1">
        <v>40863</v>
      </c>
      <c r="J3444">
        <v>8304.1</v>
      </c>
      <c r="K3444" s="1">
        <v>40827</v>
      </c>
      <c r="L3444">
        <v>16036.14</v>
      </c>
    </row>
    <row r="3445" spans="1:12" x14ac:dyDescent="0.35">
      <c r="A3445" s="1">
        <v>40878</v>
      </c>
      <c r="B3445">
        <v>2313.84</v>
      </c>
      <c r="C3445" s="1">
        <v>40864</v>
      </c>
      <c r="D3445">
        <v>3010.29</v>
      </c>
      <c r="E3445" s="1">
        <v>40821</v>
      </c>
      <c r="F3445">
        <v>5473.03</v>
      </c>
      <c r="G3445" s="1">
        <v>40802</v>
      </c>
      <c r="H3445">
        <v>6144.6641099999997</v>
      </c>
      <c r="I3445" s="1">
        <v>40862</v>
      </c>
      <c r="J3445">
        <v>8237.6</v>
      </c>
      <c r="K3445" s="1">
        <v>40826</v>
      </c>
      <c r="L3445">
        <v>16098.16</v>
      </c>
    </row>
    <row r="3446" spans="1:12" x14ac:dyDescent="0.35">
      <c r="A3446" s="1">
        <v>40877</v>
      </c>
      <c r="B3446">
        <v>2330.4299999999998</v>
      </c>
      <c r="C3446" s="1">
        <v>40863</v>
      </c>
      <c r="D3446">
        <v>3064.9</v>
      </c>
      <c r="E3446" s="1">
        <v>40820</v>
      </c>
      <c r="F3446">
        <v>5216.71</v>
      </c>
      <c r="G3446" s="1">
        <v>40801</v>
      </c>
      <c r="H3446">
        <v>6086.1889700000002</v>
      </c>
      <c r="I3446" s="1">
        <v>40861</v>
      </c>
      <c r="J3446">
        <v>8372.2000000000007</v>
      </c>
      <c r="K3446" s="1">
        <v>40823</v>
      </c>
      <c r="L3446">
        <v>15529</v>
      </c>
    </row>
    <row r="3447" spans="1:12" x14ac:dyDescent="0.35">
      <c r="A3447" s="1">
        <v>40876</v>
      </c>
      <c r="B3447">
        <v>2234.17</v>
      </c>
      <c r="C3447" s="1">
        <v>40862</v>
      </c>
      <c r="D3447">
        <v>3049.13</v>
      </c>
      <c r="E3447" s="1">
        <v>40819</v>
      </c>
      <c r="F3447">
        <v>5376.7</v>
      </c>
      <c r="G3447" s="1">
        <v>40800</v>
      </c>
      <c r="H3447">
        <v>6007.2234399999998</v>
      </c>
      <c r="I3447" s="1">
        <v>40858</v>
      </c>
      <c r="J3447">
        <v>8556.1</v>
      </c>
      <c r="K3447" s="1">
        <v>40822</v>
      </c>
      <c r="L3447">
        <v>15331.53</v>
      </c>
    </row>
    <row r="3448" spans="1:12" x14ac:dyDescent="0.35">
      <c r="A3448" s="1">
        <v>40875</v>
      </c>
      <c r="B3448">
        <v>2221.7600000000002</v>
      </c>
      <c r="C3448" s="1">
        <v>40861</v>
      </c>
      <c r="D3448">
        <v>3108.95</v>
      </c>
      <c r="E3448" s="1">
        <v>40816</v>
      </c>
      <c r="F3448">
        <v>5502.02</v>
      </c>
      <c r="G3448" s="1">
        <v>40799</v>
      </c>
      <c r="H3448">
        <v>5971.3335900000002</v>
      </c>
      <c r="I3448" s="1">
        <v>40857</v>
      </c>
      <c r="J3448">
        <v>8310.9</v>
      </c>
      <c r="K3448" s="1">
        <v>40821</v>
      </c>
      <c r="L3448">
        <v>14805.48</v>
      </c>
    </row>
    <row r="3449" spans="1:12" x14ac:dyDescent="0.35">
      <c r="A3449" s="1">
        <v>40872</v>
      </c>
      <c r="B3449">
        <v>2111.2600000000002</v>
      </c>
      <c r="C3449" s="1">
        <v>40858</v>
      </c>
      <c r="D3449">
        <v>3149.38</v>
      </c>
      <c r="E3449" s="1">
        <v>40815</v>
      </c>
      <c r="F3449">
        <v>5639.58</v>
      </c>
      <c r="G3449" s="1">
        <v>40798</v>
      </c>
      <c r="H3449">
        <v>5963.13141</v>
      </c>
      <c r="I3449" s="1">
        <v>40856</v>
      </c>
      <c r="J3449">
        <v>8340.6</v>
      </c>
      <c r="K3449" s="1">
        <v>40820</v>
      </c>
      <c r="L3449">
        <v>14243.97</v>
      </c>
    </row>
    <row r="3450" spans="1:12" x14ac:dyDescent="0.35">
      <c r="A3450" s="1">
        <v>40871</v>
      </c>
      <c r="B3450">
        <v>2090.25</v>
      </c>
      <c r="C3450" s="1">
        <v>40857</v>
      </c>
      <c r="D3450">
        <v>3064.84</v>
      </c>
      <c r="E3450" s="1">
        <v>40814</v>
      </c>
      <c r="F3450">
        <v>5578.42</v>
      </c>
      <c r="G3450" s="1">
        <v>40795</v>
      </c>
      <c r="H3450">
        <v>6050.73171</v>
      </c>
      <c r="I3450" s="1">
        <v>40855</v>
      </c>
      <c r="J3450">
        <v>8518.5</v>
      </c>
      <c r="K3450" s="1">
        <v>40819</v>
      </c>
      <c r="L3450">
        <v>14642.52</v>
      </c>
    </row>
    <row r="3451" spans="1:12" x14ac:dyDescent="0.35">
      <c r="A3451" s="1">
        <v>40870</v>
      </c>
      <c r="B3451">
        <v>2096.79</v>
      </c>
      <c r="C3451" s="1">
        <v>40856</v>
      </c>
      <c r="D3451">
        <v>3075.16</v>
      </c>
      <c r="E3451" s="1">
        <v>40813</v>
      </c>
      <c r="F3451">
        <v>5628.44</v>
      </c>
      <c r="G3451" s="1">
        <v>40794</v>
      </c>
      <c r="H3451">
        <v>6134.23063</v>
      </c>
      <c r="I3451" s="1">
        <v>40854</v>
      </c>
      <c r="J3451">
        <v>8476.4</v>
      </c>
      <c r="K3451" s="1">
        <v>40816</v>
      </c>
      <c r="L3451">
        <v>14836.33</v>
      </c>
    </row>
    <row r="3452" spans="1:12" x14ac:dyDescent="0.35">
      <c r="A3452" s="1">
        <v>40869</v>
      </c>
      <c r="B3452">
        <v>2136.81</v>
      </c>
      <c r="C3452" s="1">
        <v>40855</v>
      </c>
      <c r="D3452">
        <v>3143.3</v>
      </c>
      <c r="E3452" s="1">
        <v>40812</v>
      </c>
      <c r="F3452">
        <v>5345.56</v>
      </c>
      <c r="G3452" s="1">
        <v>40793</v>
      </c>
      <c r="H3452">
        <v>6035.7032600000002</v>
      </c>
      <c r="I3452" s="1">
        <v>40851</v>
      </c>
      <c r="J3452">
        <v>8596.4</v>
      </c>
      <c r="K3452" s="1">
        <v>40815</v>
      </c>
      <c r="L3452">
        <v>15046.02</v>
      </c>
    </row>
    <row r="3453" spans="1:12" x14ac:dyDescent="0.35">
      <c r="A3453" s="1">
        <v>40868</v>
      </c>
      <c r="B3453">
        <v>2160.2800000000002</v>
      </c>
      <c r="C3453" s="1">
        <v>40854</v>
      </c>
      <c r="D3453">
        <v>3103.6</v>
      </c>
      <c r="E3453" s="1">
        <v>40809</v>
      </c>
      <c r="F3453">
        <v>5196.5600000000004</v>
      </c>
      <c r="G3453" s="1">
        <v>40792</v>
      </c>
      <c r="H3453">
        <v>5879.0482899999997</v>
      </c>
      <c r="I3453" s="1">
        <v>40850</v>
      </c>
      <c r="J3453">
        <v>8712.6</v>
      </c>
      <c r="K3453" s="1">
        <v>40814</v>
      </c>
      <c r="L3453">
        <v>14741.22</v>
      </c>
    </row>
    <row r="3454" spans="1:12" x14ac:dyDescent="0.35">
      <c r="A3454" s="1">
        <v>40865</v>
      </c>
      <c r="B3454">
        <v>2236.6799999999998</v>
      </c>
      <c r="C3454" s="1">
        <v>40851</v>
      </c>
      <c r="D3454">
        <v>3123.55</v>
      </c>
      <c r="E3454" s="1">
        <v>40808</v>
      </c>
      <c r="F3454">
        <v>5164.21</v>
      </c>
      <c r="G3454" s="1">
        <v>40791</v>
      </c>
      <c r="H3454">
        <v>5823.7735599999996</v>
      </c>
      <c r="I3454" s="1">
        <v>40849</v>
      </c>
      <c r="J3454">
        <v>8574.5</v>
      </c>
      <c r="K3454" s="1">
        <v>40813</v>
      </c>
      <c r="L3454">
        <v>14811.16</v>
      </c>
    </row>
    <row r="3455" spans="1:12" x14ac:dyDescent="0.35">
      <c r="A3455" s="1">
        <v>40864</v>
      </c>
      <c r="B3455">
        <v>2242.7800000000002</v>
      </c>
      <c r="C3455" s="1">
        <v>40850</v>
      </c>
      <c r="D3455">
        <v>3195.47</v>
      </c>
      <c r="E3455" s="1">
        <v>40807</v>
      </c>
      <c r="F3455">
        <v>5433.8</v>
      </c>
      <c r="G3455" s="1">
        <v>40788</v>
      </c>
      <c r="H3455">
        <v>6041.3275000000003</v>
      </c>
      <c r="I3455" s="1">
        <v>40848</v>
      </c>
      <c r="J3455">
        <v>8579.6</v>
      </c>
      <c r="K3455" s="1">
        <v>40812</v>
      </c>
      <c r="L3455">
        <v>14118.98</v>
      </c>
    </row>
    <row r="3456" spans="1:12" x14ac:dyDescent="0.35">
      <c r="A3456" s="1">
        <v>40863</v>
      </c>
      <c r="B3456">
        <v>2267.96</v>
      </c>
      <c r="C3456" s="1">
        <v>40849</v>
      </c>
      <c r="D3456">
        <v>3110.59</v>
      </c>
      <c r="E3456" s="1">
        <v>40806</v>
      </c>
      <c r="F3456">
        <v>5571.68</v>
      </c>
      <c r="G3456" s="1">
        <v>40787</v>
      </c>
      <c r="H3456">
        <v>6135.93019</v>
      </c>
      <c r="I3456" s="1">
        <v>40847</v>
      </c>
      <c r="J3456">
        <v>8954.9</v>
      </c>
      <c r="K3456" s="1">
        <v>40809</v>
      </c>
      <c r="L3456">
        <v>13664.91</v>
      </c>
    </row>
    <row r="3457" spans="1:12" x14ac:dyDescent="0.35">
      <c r="A3457" s="1">
        <v>40862</v>
      </c>
      <c r="B3457">
        <v>2254</v>
      </c>
      <c r="C3457" s="1">
        <v>40848</v>
      </c>
      <c r="D3457">
        <v>3068.33</v>
      </c>
      <c r="E3457" s="1">
        <v>40805</v>
      </c>
      <c r="F3457">
        <v>5415.91</v>
      </c>
      <c r="G3457" s="1">
        <v>40786</v>
      </c>
      <c r="H3457">
        <v>6092.7117099999996</v>
      </c>
      <c r="I3457" s="1">
        <v>40844</v>
      </c>
      <c r="J3457">
        <v>9224.4</v>
      </c>
      <c r="K3457" s="1">
        <v>40808</v>
      </c>
      <c r="L3457">
        <v>13481.59</v>
      </c>
    </row>
    <row r="3458" spans="1:12" x14ac:dyDescent="0.35">
      <c r="A3458" s="1">
        <v>40861</v>
      </c>
      <c r="B3458">
        <v>2288.3200000000002</v>
      </c>
      <c r="C3458" s="1">
        <v>40847</v>
      </c>
      <c r="D3458">
        <v>3242.84</v>
      </c>
      <c r="E3458" s="1">
        <v>40802</v>
      </c>
      <c r="F3458">
        <v>5573.51</v>
      </c>
      <c r="G3458" s="1">
        <v>40785</v>
      </c>
      <c r="H3458">
        <v>5950.3963299999996</v>
      </c>
      <c r="I3458" s="1">
        <v>40843</v>
      </c>
      <c r="J3458">
        <v>9270.5</v>
      </c>
      <c r="K3458" s="1">
        <v>40807</v>
      </c>
      <c r="L3458">
        <v>14119.76</v>
      </c>
    </row>
    <row r="3459" spans="1:12" x14ac:dyDescent="0.35">
      <c r="A3459" s="1">
        <v>40858</v>
      </c>
      <c r="B3459">
        <v>2324.81</v>
      </c>
      <c r="C3459" s="1">
        <v>40844</v>
      </c>
      <c r="D3459">
        <v>3348.63</v>
      </c>
      <c r="E3459" s="1">
        <v>40801</v>
      </c>
      <c r="F3459">
        <v>5508.24</v>
      </c>
      <c r="G3459" s="1">
        <v>40781</v>
      </c>
      <c r="H3459">
        <v>5791.5822200000002</v>
      </c>
      <c r="I3459" s="1">
        <v>40842</v>
      </c>
      <c r="J3459">
        <v>8832.5</v>
      </c>
      <c r="K3459" s="1">
        <v>40806</v>
      </c>
      <c r="L3459">
        <v>14356.13</v>
      </c>
    </row>
    <row r="3460" spans="1:12" x14ac:dyDescent="0.35">
      <c r="A3460" s="1">
        <v>40857</v>
      </c>
      <c r="B3460">
        <v>2254.92</v>
      </c>
      <c r="C3460" s="1">
        <v>40843</v>
      </c>
      <c r="D3460">
        <v>3368.62</v>
      </c>
      <c r="E3460" s="1">
        <v>40800</v>
      </c>
      <c r="F3460">
        <v>5340.19</v>
      </c>
      <c r="G3460" s="1">
        <v>40780</v>
      </c>
      <c r="H3460">
        <v>5815.6037399999996</v>
      </c>
      <c r="I3460" s="1">
        <v>40841</v>
      </c>
      <c r="J3460">
        <v>8879.6</v>
      </c>
      <c r="K3460" s="1">
        <v>40805</v>
      </c>
      <c r="L3460">
        <v>14086.72</v>
      </c>
    </row>
    <row r="3461" spans="1:12" x14ac:dyDescent="0.35">
      <c r="A3461" s="1">
        <v>40856</v>
      </c>
      <c r="B3461">
        <v>2249.39</v>
      </c>
      <c r="C3461" s="1">
        <v>40842</v>
      </c>
      <c r="D3461">
        <v>3169.62</v>
      </c>
      <c r="E3461" s="1">
        <v>40799</v>
      </c>
      <c r="F3461">
        <v>5166.3599999999997</v>
      </c>
      <c r="G3461" s="1">
        <v>40779</v>
      </c>
      <c r="H3461">
        <v>5919.2522900000004</v>
      </c>
      <c r="I3461" s="1">
        <v>40840</v>
      </c>
      <c r="J3461">
        <v>8957.1</v>
      </c>
      <c r="K3461" s="1">
        <v>40802</v>
      </c>
      <c r="L3461">
        <v>14547.38</v>
      </c>
    </row>
    <row r="3462" spans="1:12" x14ac:dyDescent="0.35">
      <c r="A3462" s="1">
        <v>40855</v>
      </c>
      <c r="B3462">
        <v>2303.1999999999998</v>
      </c>
      <c r="C3462" s="1">
        <v>40841</v>
      </c>
      <c r="D3462">
        <v>3174.29</v>
      </c>
      <c r="E3462" s="1">
        <v>40798</v>
      </c>
      <c r="F3462">
        <v>5072.33</v>
      </c>
      <c r="G3462" s="1">
        <v>40778</v>
      </c>
      <c r="H3462">
        <v>5868.7990600000003</v>
      </c>
      <c r="I3462" s="1">
        <v>40837</v>
      </c>
      <c r="J3462">
        <v>8853</v>
      </c>
      <c r="K3462" s="1">
        <v>40801</v>
      </c>
      <c r="L3462">
        <v>14642.72</v>
      </c>
    </row>
    <row r="3463" spans="1:12" x14ac:dyDescent="0.35">
      <c r="A3463" s="1">
        <v>40854</v>
      </c>
      <c r="B3463">
        <v>2275.92</v>
      </c>
      <c r="C3463" s="1">
        <v>40840</v>
      </c>
      <c r="D3463">
        <v>3220.46</v>
      </c>
      <c r="E3463" s="1">
        <v>40795</v>
      </c>
      <c r="F3463">
        <v>5189.93</v>
      </c>
      <c r="G3463" s="1">
        <v>40777</v>
      </c>
      <c r="H3463">
        <v>5835.8485700000001</v>
      </c>
      <c r="I3463" s="1">
        <v>40836</v>
      </c>
      <c r="J3463">
        <v>8608.2000000000007</v>
      </c>
      <c r="K3463" s="1">
        <v>40800</v>
      </c>
      <c r="L3463">
        <v>14140.08</v>
      </c>
    </row>
    <row r="3464" spans="1:12" x14ac:dyDescent="0.35">
      <c r="A3464" s="1">
        <v>40851</v>
      </c>
      <c r="B3464">
        <v>2291.4699999999998</v>
      </c>
      <c r="C3464" s="1">
        <v>40837</v>
      </c>
      <c r="D3464">
        <v>3171.34</v>
      </c>
      <c r="E3464" s="1">
        <v>40794</v>
      </c>
      <c r="F3464">
        <v>5408.46</v>
      </c>
      <c r="G3464" s="1">
        <v>40774</v>
      </c>
      <c r="H3464">
        <v>5790.223</v>
      </c>
      <c r="I3464" s="1">
        <v>40835</v>
      </c>
      <c r="J3464">
        <v>8849.5</v>
      </c>
      <c r="K3464" s="1">
        <v>40799</v>
      </c>
      <c r="L3464">
        <v>13769.44</v>
      </c>
    </row>
    <row r="3465" spans="1:12" x14ac:dyDescent="0.35">
      <c r="A3465" s="1">
        <v>40850</v>
      </c>
      <c r="B3465">
        <v>2347.94</v>
      </c>
      <c r="C3465" s="1">
        <v>40836</v>
      </c>
      <c r="D3465">
        <v>3084.07</v>
      </c>
      <c r="E3465" s="1">
        <v>40793</v>
      </c>
      <c r="F3465">
        <v>5405.53</v>
      </c>
      <c r="G3465" s="1">
        <v>40773</v>
      </c>
      <c r="H3465">
        <v>5855.35329</v>
      </c>
      <c r="I3465" s="1">
        <v>40834</v>
      </c>
      <c r="J3465">
        <v>8811.2999999999993</v>
      </c>
      <c r="K3465" s="1">
        <v>40798</v>
      </c>
      <c r="L3465">
        <v>13474.14</v>
      </c>
    </row>
    <row r="3466" spans="1:12" x14ac:dyDescent="0.35">
      <c r="A3466" s="1">
        <v>40849</v>
      </c>
      <c r="B3466">
        <v>2291.89</v>
      </c>
      <c r="C3466" s="1">
        <v>40835</v>
      </c>
      <c r="D3466">
        <v>3157.34</v>
      </c>
      <c r="E3466" s="1">
        <v>40792</v>
      </c>
      <c r="F3466">
        <v>5193.97</v>
      </c>
      <c r="G3466" s="1">
        <v>40772</v>
      </c>
      <c r="H3466">
        <v>6113.6713900000004</v>
      </c>
      <c r="I3466" s="1">
        <v>40833</v>
      </c>
      <c r="J3466">
        <v>8864.2999999999993</v>
      </c>
      <c r="K3466" s="1">
        <v>40795</v>
      </c>
      <c r="L3466">
        <v>14020.18</v>
      </c>
    </row>
    <row r="3467" spans="1:12" x14ac:dyDescent="0.35">
      <c r="A3467" s="1">
        <v>40848</v>
      </c>
      <c r="B3467">
        <v>2259.73</v>
      </c>
      <c r="C3467" s="1">
        <v>40834</v>
      </c>
      <c r="D3467">
        <v>3141.1</v>
      </c>
      <c r="E3467" s="1">
        <v>40791</v>
      </c>
      <c r="F3467">
        <v>5246.18</v>
      </c>
      <c r="G3467" s="1">
        <v>40771</v>
      </c>
      <c r="H3467">
        <v>6114.13256</v>
      </c>
      <c r="I3467" s="1">
        <v>40830</v>
      </c>
      <c r="J3467">
        <v>8975.5</v>
      </c>
      <c r="K3467" s="1">
        <v>40794</v>
      </c>
      <c r="L3467">
        <v>14747.6</v>
      </c>
    </row>
    <row r="3468" spans="1:12" x14ac:dyDescent="0.35">
      <c r="A3468" s="1">
        <v>40847</v>
      </c>
      <c r="B3468">
        <v>2385.2199999999998</v>
      </c>
      <c r="C3468" s="1">
        <v>40833</v>
      </c>
      <c r="D3468">
        <v>3166.06</v>
      </c>
      <c r="E3468" s="1">
        <v>40788</v>
      </c>
      <c r="F3468">
        <v>5538.33</v>
      </c>
      <c r="G3468" s="1">
        <v>40770</v>
      </c>
      <c r="H3468">
        <v>6074.54306</v>
      </c>
      <c r="I3468" s="1">
        <v>40829</v>
      </c>
      <c r="J3468">
        <v>8943.5</v>
      </c>
      <c r="K3468" s="1">
        <v>40793</v>
      </c>
      <c r="L3468">
        <v>14645.96</v>
      </c>
    </row>
    <row r="3469" spans="1:12" x14ac:dyDescent="0.35">
      <c r="A3469" s="1">
        <v>40844</v>
      </c>
      <c r="B3469">
        <v>2462.36</v>
      </c>
      <c r="C3469" s="1">
        <v>40830</v>
      </c>
      <c r="D3469">
        <v>3217.89</v>
      </c>
      <c r="E3469" s="1">
        <v>40787</v>
      </c>
      <c r="F3469">
        <v>5730.63</v>
      </c>
      <c r="G3469" s="1">
        <v>40767</v>
      </c>
      <c r="H3469">
        <v>6082.0631000000003</v>
      </c>
      <c r="I3469" s="1">
        <v>40828</v>
      </c>
      <c r="J3469">
        <v>9026.5</v>
      </c>
      <c r="K3469" s="1">
        <v>40792</v>
      </c>
      <c r="L3469">
        <v>14049.71</v>
      </c>
    </row>
    <row r="3470" spans="1:12" x14ac:dyDescent="0.35">
      <c r="A3470" s="1">
        <v>40843</v>
      </c>
      <c r="B3470">
        <v>2476.92</v>
      </c>
      <c r="C3470" s="1">
        <v>40829</v>
      </c>
      <c r="D3470">
        <v>3186.94</v>
      </c>
      <c r="E3470" s="1">
        <v>40786</v>
      </c>
      <c r="F3470">
        <v>5784.85</v>
      </c>
      <c r="G3470" s="1">
        <v>40766</v>
      </c>
      <c r="H3470">
        <v>5889.6361699999998</v>
      </c>
      <c r="I3470" s="1">
        <v>40827</v>
      </c>
      <c r="J3470">
        <v>8845.5</v>
      </c>
      <c r="K3470" s="1">
        <v>40791</v>
      </c>
      <c r="L3470">
        <v>14333.91</v>
      </c>
    </row>
    <row r="3471" spans="1:12" x14ac:dyDescent="0.35">
      <c r="A3471" s="1">
        <v>40842</v>
      </c>
      <c r="B3471">
        <v>2335.06</v>
      </c>
      <c r="C3471" s="1">
        <v>40828</v>
      </c>
      <c r="D3471">
        <v>3229.76</v>
      </c>
      <c r="E3471" s="1">
        <v>40785</v>
      </c>
      <c r="F3471">
        <v>5643.92</v>
      </c>
      <c r="G3471" s="1">
        <v>40765</v>
      </c>
      <c r="H3471">
        <v>5699.4819100000004</v>
      </c>
      <c r="I3471" s="1">
        <v>40826</v>
      </c>
      <c r="J3471">
        <v>8892.4</v>
      </c>
      <c r="K3471" s="1">
        <v>40788</v>
      </c>
      <c r="L3471">
        <v>15060.79</v>
      </c>
    </row>
    <row r="3472" spans="1:12" x14ac:dyDescent="0.35">
      <c r="A3472" s="1">
        <v>40841</v>
      </c>
      <c r="B3472">
        <v>2343.96</v>
      </c>
      <c r="C3472" s="1">
        <v>40827</v>
      </c>
      <c r="D3472">
        <v>3153.52</v>
      </c>
      <c r="E3472" s="1">
        <v>40784</v>
      </c>
      <c r="F3472">
        <v>5670.07</v>
      </c>
      <c r="G3472" s="1">
        <v>40764</v>
      </c>
      <c r="H3472">
        <v>5885.2350100000003</v>
      </c>
      <c r="I3472" s="1">
        <v>40823</v>
      </c>
      <c r="J3472">
        <v>8798.4</v>
      </c>
      <c r="K3472" s="1">
        <v>40787</v>
      </c>
      <c r="L3472">
        <v>15670.82</v>
      </c>
    </row>
    <row r="3473" spans="1:12" x14ac:dyDescent="0.35">
      <c r="A3473" s="1">
        <v>40840</v>
      </c>
      <c r="B3473">
        <v>2369.0700000000002</v>
      </c>
      <c r="C3473" s="1">
        <v>40826</v>
      </c>
      <c r="D3473">
        <v>3161.47</v>
      </c>
      <c r="E3473" s="1">
        <v>40781</v>
      </c>
      <c r="F3473">
        <v>5537.48</v>
      </c>
      <c r="G3473" s="1">
        <v>40763</v>
      </c>
      <c r="H3473">
        <v>5833.01836</v>
      </c>
      <c r="I3473" s="1">
        <v>40822</v>
      </c>
      <c r="J3473">
        <v>8704.7999999999993</v>
      </c>
      <c r="K3473" s="1">
        <v>40786</v>
      </c>
      <c r="L3473">
        <v>15563.2</v>
      </c>
    </row>
    <row r="3474" spans="1:12" x14ac:dyDescent="0.35">
      <c r="A3474" s="1">
        <v>40837</v>
      </c>
      <c r="B3474">
        <v>2337.5100000000002</v>
      </c>
      <c r="C3474" s="1">
        <v>40823</v>
      </c>
      <c r="D3474">
        <v>3095.56</v>
      </c>
      <c r="E3474" s="1">
        <v>40780</v>
      </c>
      <c r="F3474">
        <v>5584.14</v>
      </c>
      <c r="G3474" s="1">
        <v>40760</v>
      </c>
      <c r="H3474">
        <v>6028.9738399999997</v>
      </c>
      <c r="I3474" s="1">
        <v>40821</v>
      </c>
      <c r="J3474">
        <v>8477.2999999999993</v>
      </c>
      <c r="K3474" s="1">
        <v>40785</v>
      </c>
      <c r="L3474">
        <v>15106.28</v>
      </c>
    </row>
    <row r="3475" spans="1:12" x14ac:dyDescent="0.35">
      <c r="A3475" s="1">
        <v>40836</v>
      </c>
      <c r="B3475">
        <v>2271.77</v>
      </c>
      <c r="C3475" s="1">
        <v>40822</v>
      </c>
      <c r="D3475">
        <v>3075.37</v>
      </c>
      <c r="E3475" s="1">
        <v>40779</v>
      </c>
      <c r="F3475">
        <v>5681.08</v>
      </c>
      <c r="G3475" s="1">
        <v>40759</v>
      </c>
      <c r="H3475">
        <v>6204.9286499999998</v>
      </c>
      <c r="I3475" s="1">
        <v>40820</v>
      </c>
      <c r="J3475">
        <v>8225.4</v>
      </c>
      <c r="K3475" s="1">
        <v>40784</v>
      </c>
      <c r="L3475">
        <v>15140.98</v>
      </c>
    </row>
    <row r="3476" spans="1:12" x14ac:dyDescent="0.35">
      <c r="A3476" s="1">
        <v>40835</v>
      </c>
      <c r="B3476">
        <v>2330.08</v>
      </c>
      <c r="C3476" s="1">
        <v>40821</v>
      </c>
      <c r="D3476">
        <v>2973.9</v>
      </c>
      <c r="E3476" s="1">
        <v>40778</v>
      </c>
      <c r="F3476">
        <v>5532.38</v>
      </c>
      <c r="G3476" s="1">
        <v>40758</v>
      </c>
      <c r="H3476">
        <v>6407.6219499999997</v>
      </c>
      <c r="I3476" s="1">
        <v>40819</v>
      </c>
      <c r="J3476">
        <v>8353.7999999999993</v>
      </c>
      <c r="K3476" s="1">
        <v>40781</v>
      </c>
      <c r="L3476">
        <v>14800.01</v>
      </c>
    </row>
    <row r="3477" spans="1:12" x14ac:dyDescent="0.35">
      <c r="A3477" s="1">
        <v>40834</v>
      </c>
      <c r="B3477">
        <v>2306.81</v>
      </c>
      <c r="C3477" s="1">
        <v>40820</v>
      </c>
      <c r="D3477">
        <v>2850.55</v>
      </c>
      <c r="E3477" s="1">
        <v>40777</v>
      </c>
      <c r="F3477">
        <v>5473.78</v>
      </c>
      <c r="G3477" s="1">
        <v>40757</v>
      </c>
      <c r="H3477">
        <v>6556.2980100000004</v>
      </c>
      <c r="I3477" s="1">
        <v>40816</v>
      </c>
      <c r="J3477">
        <v>8546.6</v>
      </c>
      <c r="K3477" s="1">
        <v>40780</v>
      </c>
      <c r="L3477">
        <v>14944.61</v>
      </c>
    </row>
    <row r="3478" spans="1:12" x14ac:dyDescent="0.35">
      <c r="A3478" s="1">
        <v>40833</v>
      </c>
      <c r="B3478">
        <v>2315.89</v>
      </c>
      <c r="C3478" s="1">
        <v>40819</v>
      </c>
      <c r="D3478">
        <v>2926.83</v>
      </c>
      <c r="E3478" s="1">
        <v>40774</v>
      </c>
      <c r="F3478">
        <v>5480</v>
      </c>
      <c r="G3478" s="1">
        <v>40756</v>
      </c>
      <c r="H3478">
        <v>6606.1847500000003</v>
      </c>
      <c r="I3478" s="1">
        <v>40815</v>
      </c>
      <c r="J3478">
        <v>8592.5</v>
      </c>
      <c r="K3478" s="1">
        <v>40779</v>
      </c>
      <c r="L3478">
        <v>14981.35</v>
      </c>
    </row>
    <row r="3479" spans="1:12" x14ac:dyDescent="0.35">
      <c r="A3479" s="1">
        <v>40830</v>
      </c>
      <c r="B3479">
        <v>2355.48</v>
      </c>
      <c r="C3479" s="1">
        <v>40816</v>
      </c>
      <c r="D3479">
        <v>2981.96</v>
      </c>
      <c r="E3479" s="1">
        <v>40773</v>
      </c>
      <c r="F3479">
        <v>5602.8</v>
      </c>
      <c r="G3479" s="1">
        <v>40753</v>
      </c>
      <c r="H3479">
        <v>6644.4873600000001</v>
      </c>
      <c r="I3479" s="1">
        <v>40814</v>
      </c>
      <c r="J3479">
        <v>8480.2000000000007</v>
      </c>
      <c r="K3479" s="1">
        <v>40778</v>
      </c>
      <c r="L3479">
        <v>14707.32</v>
      </c>
    </row>
    <row r="3480" spans="1:12" x14ac:dyDescent="0.35">
      <c r="A3480" s="1">
        <v>40829</v>
      </c>
      <c r="B3480">
        <v>2332.52</v>
      </c>
      <c r="C3480" s="1">
        <v>40815</v>
      </c>
      <c r="D3480">
        <v>3027.65</v>
      </c>
      <c r="E3480" s="1">
        <v>40772</v>
      </c>
      <c r="F3480">
        <v>5948.94</v>
      </c>
      <c r="G3480" s="1">
        <v>40752</v>
      </c>
      <c r="H3480">
        <v>6704.4408000000003</v>
      </c>
      <c r="I3480" s="1">
        <v>40813</v>
      </c>
      <c r="J3480">
        <v>8531.9</v>
      </c>
      <c r="K3480" s="1">
        <v>40777</v>
      </c>
      <c r="L3480">
        <v>14861.64</v>
      </c>
    </row>
    <row r="3481" spans="1:12" x14ac:dyDescent="0.35">
      <c r="A3481" s="1">
        <v>40828</v>
      </c>
      <c r="B3481">
        <v>2372.15</v>
      </c>
      <c r="C3481" s="1">
        <v>40814</v>
      </c>
      <c r="D3481">
        <v>2995.62</v>
      </c>
      <c r="E3481" s="1">
        <v>40771</v>
      </c>
      <c r="F3481">
        <v>5994.9</v>
      </c>
      <c r="G3481" s="1">
        <v>40751</v>
      </c>
      <c r="H3481">
        <v>6658.63339</v>
      </c>
      <c r="I3481" s="1">
        <v>40812</v>
      </c>
      <c r="J3481">
        <v>8201.7000000000007</v>
      </c>
      <c r="K3481" s="1">
        <v>40774</v>
      </c>
      <c r="L3481">
        <v>14602.33</v>
      </c>
    </row>
    <row r="3482" spans="1:12" x14ac:dyDescent="0.35">
      <c r="A3482" s="1">
        <v>40827</v>
      </c>
      <c r="B3482">
        <v>2315.9699999999998</v>
      </c>
      <c r="C3482" s="1">
        <v>40813</v>
      </c>
      <c r="D3482">
        <v>3023.38</v>
      </c>
      <c r="E3482" s="1">
        <v>40770</v>
      </c>
      <c r="F3482">
        <v>6022.24</v>
      </c>
      <c r="G3482" s="1">
        <v>40750</v>
      </c>
      <c r="H3482">
        <v>6702.3372499999996</v>
      </c>
      <c r="I3482" s="1">
        <v>40809</v>
      </c>
      <c r="J3482">
        <v>7996.9</v>
      </c>
      <c r="K3482" s="1">
        <v>40773</v>
      </c>
      <c r="L3482">
        <v>14970.42</v>
      </c>
    </row>
    <row r="3483" spans="1:12" x14ac:dyDescent="0.35">
      <c r="A3483" s="1">
        <v>40826</v>
      </c>
      <c r="B3483">
        <v>2320.8000000000002</v>
      </c>
      <c r="C3483" s="1">
        <v>40812</v>
      </c>
      <c r="D3483">
        <v>2859.34</v>
      </c>
      <c r="E3483" s="1">
        <v>40767</v>
      </c>
      <c r="F3483">
        <v>5997.74</v>
      </c>
      <c r="G3483" s="1">
        <v>40749</v>
      </c>
      <c r="H3483">
        <v>6713.8930200000004</v>
      </c>
      <c r="I3483" s="1">
        <v>40808</v>
      </c>
      <c r="J3483">
        <v>7830.8</v>
      </c>
      <c r="K3483" s="1">
        <v>40772</v>
      </c>
      <c r="L3483">
        <v>15950.75</v>
      </c>
    </row>
    <row r="3484" spans="1:12" x14ac:dyDescent="0.35">
      <c r="A3484" s="1">
        <v>40823</v>
      </c>
      <c r="B3484">
        <v>2269.19</v>
      </c>
      <c r="C3484" s="1">
        <v>40809</v>
      </c>
      <c r="D3484">
        <v>2810.11</v>
      </c>
      <c r="E3484" s="1">
        <v>40766</v>
      </c>
      <c r="F3484">
        <v>5797.66</v>
      </c>
      <c r="G3484" s="1">
        <v>40746</v>
      </c>
      <c r="H3484">
        <v>6739.0261899999996</v>
      </c>
      <c r="I3484" s="1">
        <v>40807</v>
      </c>
      <c r="J3484">
        <v>8210.2999999999993</v>
      </c>
      <c r="K3484" s="1">
        <v>40771</v>
      </c>
      <c r="L3484">
        <v>15750.6</v>
      </c>
    </row>
    <row r="3485" spans="1:12" x14ac:dyDescent="0.35">
      <c r="A3485" s="1">
        <v>40822</v>
      </c>
      <c r="B3485">
        <v>2248.7800000000002</v>
      </c>
      <c r="C3485" s="1">
        <v>40808</v>
      </c>
      <c r="D3485">
        <v>2781.68</v>
      </c>
      <c r="E3485" s="1">
        <v>40765</v>
      </c>
      <c r="F3485">
        <v>5613.42</v>
      </c>
      <c r="G3485" s="1">
        <v>40745</v>
      </c>
      <c r="H3485">
        <v>6688.2656699999998</v>
      </c>
      <c r="I3485" s="1">
        <v>40806</v>
      </c>
      <c r="J3485">
        <v>8362.2000000000007</v>
      </c>
      <c r="K3485" s="1">
        <v>40767</v>
      </c>
      <c r="L3485">
        <v>15888.61</v>
      </c>
    </row>
    <row r="3486" spans="1:12" x14ac:dyDescent="0.35">
      <c r="A3486" s="1">
        <v>40821</v>
      </c>
      <c r="B3486">
        <v>2179.42</v>
      </c>
      <c r="C3486" s="1">
        <v>40807</v>
      </c>
      <c r="D3486">
        <v>2935.82</v>
      </c>
      <c r="E3486" s="1">
        <v>40764</v>
      </c>
      <c r="F3486">
        <v>5917.08</v>
      </c>
      <c r="G3486" s="1">
        <v>40744</v>
      </c>
      <c r="H3486">
        <v>6657.9886299999998</v>
      </c>
      <c r="I3486" s="1">
        <v>40805</v>
      </c>
      <c r="J3486">
        <v>8222.7000000000007</v>
      </c>
      <c r="K3486" s="1">
        <v>40766</v>
      </c>
      <c r="L3486">
        <v>15277.19</v>
      </c>
    </row>
    <row r="3487" spans="1:12" x14ac:dyDescent="0.35">
      <c r="A3487" s="1">
        <v>40820</v>
      </c>
      <c r="B3487">
        <v>2091.09</v>
      </c>
      <c r="C3487" s="1">
        <v>40806</v>
      </c>
      <c r="D3487">
        <v>2984.05</v>
      </c>
      <c r="E3487" s="1">
        <v>40763</v>
      </c>
      <c r="F3487">
        <v>5923.27</v>
      </c>
      <c r="G3487" s="1">
        <v>40743</v>
      </c>
      <c r="H3487">
        <v>6596.2791200000001</v>
      </c>
      <c r="I3487" s="1">
        <v>40802</v>
      </c>
      <c r="J3487">
        <v>8388.4</v>
      </c>
      <c r="K3487" s="1">
        <v>40765</v>
      </c>
      <c r="L3487">
        <v>14676.04</v>
      </c>
    </row>
    <row r="3488" spans="1:12" x14ac:dyDescent="0.35">
      <c r="A3488" s="1">
        <v>40819</v>
      </c>
      <c r="B3488">
        <v>2138.2399999999998</v>
      </c>
      <c r="C3488" s="1">
        <v>40805</v>
      </c>
      <c r="D3488">
        <v>2940</v>
      </c>
      <c r="E3488" s="1">
        <v>40760</v>
      </c>
      <c r="F3488">
        <v>6236.16</v>
      </c>
      <c r="G3488" s="1">
        <v>40742</v>
      </c>
      <c r="H3488">
        <v>6556.9926299999997</v>
      </c>
      <c r="I3488" s="1">
        <v>40801</v>
      </c>
      <c r="J3488">
        <v>8337.9</v>
      </c>
      <c r="K3488" s="1">
        <v>40764</v>
      </c>
      <c r="L3488">
        <v>15721.45</v>
      </c>
    </row>
    <row r="3489" spans="1:12" x14ac:dyDescent="0.35">
      <c r="A3489" s="1">
        <v>40816</v>
      </c>
      <c r="B3489">
        <v>2179.66</v>
      </c>
      <c r="C3489" s="1">
        <v>40802</v>
      </c>
      <c r="D3489">
        <v>3031.08</v>
      </c>
      <c r="E3489" s="1">
        <v>40759</v>
      </c>
      <c r="F3489">
        <v>6414.76</v>
      </c>
      <c r="G3489" s="1">
        <v>40739</v>
      </c>
      <c r="H3489">
        <v>6668.9096900000004</v>
      </c>
      <c r="I3489" s="1">
        <v>40800</v>
      </c>
      <c r="J3489">
        <v>8045.7</v>
      </c>
      <c r="K3489" s="1">
        <v>40763</v>
      </c>
      <c r="L3489">
        <v>15639.75</v>
      </c>
    </row>
    <row r="3490" spans="1:12" x14ac:dyDescent="0.35">
      <c r="A3490" s="1">
        <v>40815</v>
      </c>
      <c r="B3490">
        <v>2212.44</v>
      </c>
      <c r="C3490" s="1">
        <v>40801</v>
      </c>
      <c r="D3490">
        <v>3045.62</v>
      </c>
      <c r="E3490" s="1">
        <v>40758</v>
      </c>
      <c r="F3490">
        <v>6640.59</v>
      </c>
      <c r="G3490" s="1">
        <v>40738</v>
      </c>
      <c r="H3490">
        <v>6661.2861400000002</v>
      </c>
      <c r="I3490" s="1">
        <v>40799</v>
      </c>
      <c r="J3490">
        <v>7834.2</v>
      </c>
      <c r="K3490" s="1">
        <v>40760</v>
      </c>
      <c r="L3490">
        <v>16015.87</v>
      </c>
    </row>
    <row r="3491" spans="1:12" x14ac:dyDescent="0.35">
      <c r="A3491" s="1">
        <v>40814</v>
      </c>
      <c r="B3491">
        <v>2176.64</v>
      </c>
      <c r="C3491" s="1">
        <v>40800</v>
      </c>
      <c r="D3491">
        <v>2949.14</v>
      </c>
      <c r="E3491" s="1">
        <v>40757</v>
      </c>
      <c r="F3491">
        <v>6796.75</v>
      </c>
      <c r="G3491" s="1">
        <v>40737</v>
      </c>
      <c r="H3491">
        <v>6722.4773999999998</v>
      </c>
      <c r="I3491" s="1">
        <v>40798</v>
      </c>
      <c r="J3491">
        <v>7640.7</v>
      </c>
      <c r="K3491" s="1">
        <v>40759</v>
      </c>
      <c r="L3491">
        <v>16128.07</v>
      </c>
    </row>
    <row r="3492" spans="1:12" x14ac:dyDescent="0.35">
      <c r="A3492" s="1">
        <v>40813</v>
      </c>
      <c r="B3492">
        <v>2194.0300000000002</v>
      </c>
      <c r="C3492" s="1">
        <v>40799</v>
      </c>
      <c r="D3492">
        <v>2894.93</v>
      </c>
      <c r="E3492" s="1">
        <v>40756</v>
      </c>
      <c r="F3492">
        <v>6953.98</v>
      </c>
      <c r="G3492" s="1">
        <v>40736</v>
      </c>
      <c r="H3492">
        <v>6675.4235600000002</v>
      </c>
      <c r="I3492" s="1">
        <v>40795</v>
      </c>
      <c r="J3492">
        <v>7910.2</v>
      </c>
      <c r="K3492" s="1">
        <v>40758</v>
      </c>
      <c r="L3492">
        <v>17006.02</v>
      </c>
    </row>
    <row r="3493" spans="1:12" x14ac:dyDescent="0.35">
      <c r="A3493" s="1">
        <v>40812</v>
      </c>
      <c r="B3493">
        <v>2083.35</v>
      </c>
      <c r="C3493" s="1">
        <v>40798</v>
      </c>
      <c r="D3493">
        <v>2854.81</v>
      </c>
      <c r="E3493" s="1">
        <v>40753</v>
      </c>
      <c r="F3493">
        <v>7158.77</v>
      </c>
      <c r="G3493" s="1">
        <v>40735</v>
      </c>
      <c r="H3493">
        <v>6720.1648999999998</v>
      </c>
      <c r="I3493" s="1">
        <v>40794</v>
      </c>
      <c r="J3493">
        <v>8277.7999999999993</v>
      </c>
      <c r="K3493" s="1">
        <v>40757</v>
      </c>
      <c r="L3493">
        <v>17272.79</v>
      </c>
    </row>
    <row r="3494" spans="1:12" x14ac:dyDescent="0.35">
      <c r="A3494" s="1">
        <v>40809</v>
      </c>
      <c r="B3494">
        <v>2026.03</v>
      </c>
      <c r="C3494" s="1">
        <v>40795</v>
      </c>
      <c r="D3494">
        <v>2974.59</v>
      </c>
      <c r="E3494" s="1">
        <v>40752</v>
      </c>
      <c r="F3494">
        <v>7190.06</v>
      </c>
      <c r="G3494" s="1">
        <v>40732</v>
      </c>
      <c r="H3494">
        <v>6733.1548700000003</v>
      </c>
      <c r="I3494" s="1">
        <v>40793</v>
      </c>
      <c r="J3494">
        <v>8156.6</v>
      </c>
      <c r="K3494" s="1">
        <v>40756</v>
      </c>
      <c r="L3494">
        <v>17720.439999999999</v>
      </c>
    </row>
    <row r="3495" spans="1:12" x14ac:dyDescent="0.35">
      <c r="A3495" s="1">
        <v>40808</v>
      </c>
      <c r="B3495">
        <v>1995.75</v>
      </c>
      <c r="C3495" s="1">
        <v>40794</v>
      </c>
      <c r="D3495">
        <v>3085.83</v>
      </c>
      <c r="E3495" s="1">
        <v>40751</v>
      </c>
      <c r="F3495">
        <v>7252.68</v>
      </c>
      <c r="G3495" s="1">
        <v>40731</v>
      </c>
      <c r="H3495">
        <v>6739.9389000000001</v>
      </c>
      <c r="I3495" s="1">
        <v>40792</v>
      </c>
      <c r="J3495">
        <v>7936.4</v>
      </c>
      <c r="K3495" s="1">
        <v>40753</v>
      </c>
      <c r="L3495">
        <v>18433.68</v>
      </c>
    </row>
    <row r="3496" spans="1:12" x14ac:dyDescent="0.35">
      <c r="A3496" s="1">
        <v>40807</v>
      </c>
      <c r="B3496">
        <v>2098.4899999999998</v>
      </c>
      <c r="C3496" s="1">
        <v>40793</v>
      </c>
      <c r="D3496">
        <v>3073.18</v>
      </c>
      <c r="E3496" s="1">
        <v>40750</v>
      </c>
      <c r="F3496">
        <v>7349.45</v>
      </c>
      <c r="G3496" s="1">
        <v>40730</v>
      </c>
      <c r="H3496">
        <v>6701.55735</v>
      </c>
      <c r="I3496" s="1">
        <v>40791</v>
      </c>
      <c r="J3496">
        <v>8066.5</v>
      </c>
      <c r="K3496" s="1">
        <v>40752</v>
      </c>
      <c r="L3496">
        <v>18558.02</v>
      </c>
    </row>
    <row r="3497" spans="1:12" x14ac:dyDescent="0.35">
      <c r="A3497" s="1">
        <v>40806</v>
      </c>
      <c r="B3497">
        <v>2140.41</v>
      </c>
      <c r="C3497" s="1">
        <v>40792</v>
      </c>
      <c r="D3497">
        <v>2965.64</v>
      </c>
      <c r="E3497" s="1">
        <v>40749</v>
      </c>
      <c r="F3497">
        <v>7344.54</v>
      </c>
      <c r="G3497" s="1">
        <v>40729</v>
      </c>
      <c r="H3497">
        <v>6690.4989400000004</v>
      </c>
      <c r="I3497" s="1">
        <v>40788</v>
      </c>
      <c r="J3497">
        <v>8463.5</v>
      </c>
      <c r="K3497" s="1">
        <v>40751</v>
      </c>
      <c r="L3497">
        <v>18494.27</v>
      </c>
    </row>
    <row r="3498" spans="1:12" x14ac:dyDescent="0.35">
      <c r="A3498" s="1">
        <v>40805</v>
      </c>
      <c r="B3498">
        <v>2096.1</v>
      </c>
      <c r="C3498" s="1">
        <v>40791</v>
      </c>
      <c r="D3498">
        <v>2999.54</v>
      </c>
      <c r="E3498" s="1">
        <v>40746</v>
      </c>
      <c r="F3498">
        <v>7326.39</v>
      </c>
      <c r="G3498" s="1">
        <v>40728</v>
      </c>
      <c r="H3498">
        <v>6664.8945999999996</v>
      </c>
      <c r="I3498" s="1">
        <v>40787</v>
      </c>
      <c r="J3498">
        <v>8761.1</v>
      </c>
      <c r="K3498" s="1">
        <v>40750</v>
      </c>
      <c r="L3498">
        <v>19029.86</v>
      </c>
    </row>
    <row r="3499" spans="1:12" x14ac:dyDescent="0.35">
      <c r="A3499" s="1">
        <v>40802</v>
      </c>
      <c r="B3499">
        <v>2159.2800000000002</v>
      </c>
      <c r="C3499" s="1">
        <v>40788</v>
      </c>
      <c r="D3499">
        <v>3148.53</v>
      </c>
      <c r="E3499" s="1">
        <v>40745</v>
      </c>
      <c r="F3499">
        <v>7290.14</v>
      </c>
      <c r="G3499" s="1">
        <v>40725</v>
      </c>
      <c r="H3499">
        <v>6635.7509300000002</v>
      </c>
      <c r="I3499" s="1">
        <v>40786</v>
      </c>
      <c r="J3499">
        <v>8718.6</v>
      </c>
      <c r="K3499" s="1">
        <v>40749</v>
      </c>
      <c r="L3499">
        <v>18979.43</v>
      </c>
    </row>
    <row r="3500" spans="1:12" x14ac:dyDescent="0.35">
      <c r="A3500" s="1">
        <v>40801</v>
      </c>
      <c r="B3500">
        <v>2155.62</v>
      </c>
      <c r="C3500" s="1">
        <v>40787</v>
      </c>
      <c r="D3500">
        <v>3265.83</v>
      </c>
      <c r="E3500" s="1">
        <v>40744</v>
      </c>
      <c r="F3500">
        <v>7221.36</v>
      </c>
      <c r="G3500" s="1">
        <v>40724</v>
      </c>
      <c r="H3500">
        <v>6583.7162399999997</v>
      </c>
      <c r="I3500" s="1">
        <v>40785</v>
      </c>
      <c r="J3500">
        <v>8444.7999999999993</v>
      </c>
      <c r="K3500" s="1">
        <v>40746</v>
      </c>
      <c r="L3500">
        <v>19461.14</v>
      </c>
    </row>
    <row r="3501" spans="1:12" x14ac:dyDescent="0.35">
      <c r="A3501" s="1">
        <v>40800</v>
      </c>
      <c r="B3501">
        <v>2083.38</v>
      </c>
      <c r="C3501" s="1">
        <v>40786</v>
      </c>
      <c r="D3501">
        <v>3256.76</v>
      </c>
      <c r="E3501" s="1">
        <v>40743</v>
      </c>
      <c r="F3501">
        <v>7192.67</v>
      </c>
      <c r="G3501" s="1">
        <v>40723</v>
      </c>
      <c r="H3501">
        <v>6519.8300600000002</v>
      </c>
      <c r="I3501" s="1">
        <v>40784</v>
      </c>
      <c r="J3501">
        <v>8395</v>
      </c>
      <c r="K3501" s="1">
        <v>40745</v>
      </c>
      <c r="L3501">
        <v>19490.759999999998</v>
      </c>
    </row>
    <row r="3502" spans="1:12" x14ac:dyDescent="0.35">
      <c r="A3502" s="1">
        <v>40799</v>
      </c>
      <c r="B3502">
        <v>2036.64</v>
      </c>
      <c r="C3502" s="1">
        <v>40785</v>
      </c>
      <c r="D3502">
        <v>3159.74</v>
      </c>
      <c r="E3502" s="1">
        <v>40742</v>
      </c>
      <c r="F3502">
        <v>7107.92</v>
      </c>
      <c r="G3502" s="1">
        <v>40722</v>
      </c>
      <c r="H3502">
        <v>6429.3380399999996</v>
      </c>
      <c r="I3502" s="1">
        <v>40781</v>
      </c>
      <c r="J3502">
        <v>8185.5</v>
      </c>
      <c r="K3502" s="1">
        <v>40744</v>
      </c>
      <c r="L3502">
        <v>18784.11</v>
      </c>
    </row>
    <row r="3503" spans="1:12" x14ac:dyDescent="0.35">
      <c r="A3503" s="1">
        <v>40798</v>
      </c>
      <c r="B3503">
        <v>1995.01</v>
      </c>
      <c r="C3503" s="1">
        <v>40784</v>
      </c>
      <c r="D3503">
        <v>3154.2</v>
      </c>
      <c r="E3503" s="1">
        <v>40739</v>
      </c>
      <c r="F3503">
        <v>7220.12</v>
      </c>
      <c r="G3503" s="1">
        <v>40721</v>
      </c>
      <c r="H3503">
        <v>6405.6823299999996</v>
      </c>
      <c r="I3503" s="1">
        <v>40780</v>
      </c>
      <c r="J3503">
        <v>8299.1</v>
      </c>
      <c r="K3503" s="1">
        <v>40743</v>
      </c>
      <c r="L3503">
        <v>18229.47</v>
      </c>
    </row>
    <row r="3504" spans="1:12" x14ac:dyDescent="0.35">
      <c r="A3504" s="1">
        <v>40795</v>
      </c>
      <c r="B3504">
        <v>2073.67</v>
      </c>
      <c r="C3504" s="1">
        <v>40781</v>
      </c>
      <c r="D3504">
        <v>3087.64</v>
      </c>
      <c r="E3504" s="1">
        <v>40738</v>
      </c>
      <c r="F3504">
        <v>7214.74</v>
      </c>
      <c r="G3504" s="1">
        <v>40718</v>
      </c>
      <c r="H3504">
        <v>6422.4970000000003</v>
      </c>
      <c r="I3504" s="1">
        <v>40779</v>
      </c>
      <c r="J3504">
        <v>8369.1</v>
      </c>
      <c r="K3504" s="1">
        <v>40742</v>
      </c>
      <c r="L3504">
        <v>17885.740000000002</v>
      </c>
    </row>
    <row r="3505" spans="1:12" x14ac:dyDescent="0.35">
      <c r="A3505" s="1">
        <v>40794</v>
      </c>
      <c r="B3505">
        <v>2163.4</v>
      </c>
      <c r="C3505" s="1">
        <v>40780</v>
      </c>
      <c r="D3505">
        <v>3119</v>
      </c>
      <c r="E3505" s="1">
        <v>40737</v>
      </c>
      <c r="F3505">
        <v>7267.87</v>
      </c>
      <c r="G3505" s="1">
        <v>40717</v>
      </c>
      <c r="H3505">
        <v>6389.8765999999996</v>
      </c>
      <c r="I3505" s="1">
        <v>40778</v>
      </c>
      <c r="J3505">
        <v>8279.7999999999993</v>
      </c>
      <c r="K3505" s="1">
        <v>40739</v>
      </c>
      <c r="L3505">
        <v>18450.45</v>
      </c>
    </row>
    <row r="3506" spans="1:12" x14ac:dyDescent="0.35">
      <c r="A3506" s="1">
        <v>40793</v>
      </c>
      <c r="B3506">
        <v>2151.16</v>
      </c>
      <c r="C3506" s="1">
        <v>40779</v>
      </c>
      <c r="D3506">
        <v>3139.55</v>
      </c>
      <c r="E3506" s="1">
        <v>40736</v>
      </c>
      <c r="F3506">
        <v>7174.14</v>
      </c>
      <c r="G3506" s="1">
        <v>40716</v>
      </c>
      <c r="H3506">
        <v>6460.6225899999999</v>
      </c>
      <c r="I3506" s="1">
        <v>40777</v>
      </c>
      <c r="J3506">
        <v>8293.9</v>
      </c>
      <c r="K3506" s="1">
        <v>40738</v>
      </c>
      <c r="L3506">
        <v>18640.349999999999</v>
      </c>
    </row>
    <row r="3507" spans="1:12" x14ac:dyDescent="0.35">
      <c r="A3507" s="1">
        <v>40792</v>
      </c>
      <c r="B3507">
        <v>2080.1</v>
      </c>
      <c r="C3507" s="1">
        <v>40778</v>
      </c>
      <c r="D3507">
        <v>3084.37</v>
      </c>
      <c r="E3507" s="1">
        <v>40735</v>
      </c>
      <c r="F3507">
        <v>7230.25</v>
      </c>
      <c r="G3507" s="1">
        <v>40715</v>
      </c>
      <c r="H3507">
        <v>6508.5553600000003</v>
      </c>
      <c r="I3507" s="1">
        <v>40774</v>
      </c>
      <c r="J3507">
        <v>8141.9</v>
      </c>
      <c r="K3507" s="1">
        <v>40737</v>
      </c>
      <c r="L3507">
        <v>18842.650000000001</v>
      </c>
    </row>
    <row r="3508" spans="1:12" x14ac:dyDescent="0.35">
      <c r="A3508" s="1">
        <v>40791</v>
      </c>
      <c r="B3508">
        <v>2107.27</v>
      </c>
      <c r="C3508" s="1">
        <v>40777</v>
      </c>
      <c r="D3508">
        <v>3051.36</v>
      </c>
      <c r="E3508" s="1">
        <v>40732</v>
      </c>
      <c r="F3508">
        <v>7402.73</v>
      </c>
      <c r="G3508" s="1">
        <v>40714</v>
      </c>
      <c r="H3508">
        <v>6442.4783699999998</v>
      </c>
      <c r="I3508" s="1">
        <v>40773</v>
      </c>
      <c r="J3508">
        <v>8317.7000000000007</v>
      </c>
      <c r="K3508" s="1">
        <v>40736</v>
      </c>
      <c r="L3508">
        <v>18510.53</v>
      </c>
    </row>
    <row r="3509" spans="1:12" x14ac:dyDescent="0.35">
      <c r="A3509" s="1">
        <v>40788</v>
      </c>
      <c r="B3509">
        <v>2220.7199999999998</v>
      </c>
      <c r="C3509" s="1">
        <v>40774</v>
      </c>
      <c r="D3509">
        <v>3016.99</v>
      </c>
      <c r="E3509" s="1">
        <v>40731</v>
      </c>
      <c r="F3509">
        <v>7471.44</v>
      </c>
      <c r="G3509" s="1">
        <v>40711</v>
      </c>
      <c r="H3509">
        <v>6462.1921899999998</v>
      </c>
      <c r="I3509" s="1">
        <v>40772</v>
      </c>
      <c r="J3509">
        <v>8728.2000000000007</v>
      </c>
      <c r="K3509" s="1">
        <v>40735</v>
      </c>
      <c r="L3509">
        <v>18295.189999999999</v>
      </c>
    </row>
    <row r="3510" spans="1:12" x14ac:dyDescent="0.35">
      <c r="A3510" s="1">
        <v>40787</v>
      </c>
      <c r="B3510">
        <v>2305.75</v>
      </c>
      <c r="C3510" s="1">
        <v>40773</v>
      </c>
      <c r="D3510">
        <v>3076.04</v>
      </c>
      <c r="E3510" s="1">
        <v>40730</v>
      </c>
      <c r="F3510">
        <v>7431.19</v>
      </c>
      <c r="G3510" s="1">
        <v>40710</v>
      </c>
      <c r="H3510">
        <v>6490.2778600000001</v>
      </c>
      <c r="I3510" s="1">
        <v>40771</v>
      </c>
      <c r="J3510">
        <v>8674.2999999999993</v>
      </c>
      <c r="K3510" s="1">
        <v>40732</v>
      </c>
      <c r="L3510">
        <v>19049.88</v>
      </c>
    </row>
    <row r="3511" spans="1:12" x14ac:dyDescent="0.35">
      <c r="A3511" s="1">
        <v>40786</v>
      </c>
      <c r="B3511">
        <v>2302.08</v>
      </c>
      <c r="C3511" s="1">
        <v>40772</v>
      </c>
      <c r="D3511">
        <v>3254.34</v>
      </c>
      <c r="E3511" s="1">
        <v>40729</v>
      </c>
      <c r="F3511">
        <v>7439.44</v>
      </c>
      <c r="G3511" s="1">
        <v>40709</v>
      </c>
      <c r="H3511">
        <v>6546.6282799999999</v>
      </c>
      <c r="I3511" s="1">
        <v>40770</v>
      </c>
      <c r="J3511">
        <v>8709</v>
      </c>
      <c r="K3511" s="1">
        <v>40731</v>
      </c>
      <c r="L3511">
        <v>19735.63</v>
      </c>
    </row>
    <row r="3512" spans="1:12" x14ac:dyDescent="0.35">
      <c r="A3512" s="1">
        <v>40785</v>
      </c>
      <c r="B3512">
        <v>2239.14</v>
      </c>
      <c r="C3512" s="1">
        <v>40771</v>
      </c>
      <c r="D3512">
        <v>3230.9</v>
      </c>
      <c r="E3512" s="1">
        <v>40728</v>
      </c>
      <c r="F3512">
        <v>7442.96</v>
      </c>
      <c r="G3512" s="1">
        <v>40708</v>
      </c>
      <c r="H3512">
        <v>6570.2242299999998</v>
      </c>
      <c r="I3512" s="1">
        <v>40767</v>
      </c>
      <c r="J3512">
        <v>8647.2999999999993</v>
      </c>
      <c r="K3512" s="1">
        <v>40730</v>
      </c>
      <c r="L3512">
        <v>19783.21</v>
      </c>
    </row>
    <row r="3513" spans="1:12" x14ac:dyDescent="0.35">
      <c r="A3513" s="1">
        <v>40784</v>
      </c>
      <c r="B3513">
        <v>2239.3000000000002</v>
      </c>
      <c r="C3513" s="1">
        <v>40770</v>
      </c>
      <c r="D3513">
        <v>3239.06</v>
      </c>
      <c r="E3513" s="1">
        <v>40725</v>
      </c>
      <c r="F3513">
        <v>7419.44</v>
      </c>
      <c r="G3513" s="1">
        <v>40707</v>
      </c>
      <c r="H3513">
        <v>6550.1153899999999</v>
      </c>
      <c r="I3513" s="1">
        <v>40766</v>
      </c>
      <c r="J3513">
        <v>8249.4</v>
      </c>
      <c r="K3513" s="1">
        <v>40729</v>
      </c>
      <c r="L3513">
        <v>20277.52</v>
      </c>
    </row>
    <row r="3514" spans="1:12" x14ac:dyDescent="0.35">
      <c r="A3514" s="1">
        <v>40781</v>
      </c>
      <c r="B3514">
        <v>2190.44</v>
      </c>
      <c r="C3514" s="1">
        <v>40767</v>
      </c>
      <c r="D3514">
        <v>3213.88</v>
      </c>
      <c r="E3514" s="1">
        <v>40724</v>
      </c>
      <c r="F3514">
        <v>7376.24</v>
      </c>
      <c r="G3514" s="1">
        <v>40704</v>
      </c>
      <c r="H3514">
        <v>6516.6575700000003</v>
      </c>
      <c r="I3514" s="1">
        <v>40765</v>
      </c>
      <c r="J3514">
        <v>7966</v>
      </c>
      <c r="K3514" s="1">
        <v>40728</v>
      </c>
      <c r="L3514">
        <v>20476.150000000001</v>
      </c>
    </row>
    <row r="3515" spans="1:12" x14ac:dyDescent="0.35">
      <c r="A3515" s="1">
        <v>40780</v>
      </c>
      <c r="B3515">
        <v>2216.6999999999998</v>
      </c>
      <c r="C3515" s="1">
        <v>40766</v>
      </c>
      <c r="D3515">
        <v>3089.66</v>
      </c>
      <c r="E3515" s="1">
        <v>40723</v>
      </c>
      <c r="F3515">
        <v>7294.14</v>
      </c>
      <c r="G3515" s="1">
        <v>40703</v>
      </c>
      <c r="H3515">
        <v>6600.8788199999999</v>
      </c>
      <c r="I3515" s="1">
        <v>40764</v>
      </c>
      <c r="J3515">
        <v>8428.9</v>
      </c>
      <c r="K3515" s="1">
        <v>40725</v>
      </c>
      <c r="L3515">
        <v>20516.990000000002</v>
      </c>
    </row>
    <row r="3516" spans="1:12" x14ac:dyDescent="0.35">
      <c r="A3516" s="1">
        <v>40779</v>
      </c>
      <c r="B3516">
        <v>2238.6999999999998</v>
      </c>
      <c r="C3516" s="1">
        <v>40765</v>
      </c>
      <c r="D3516">
        <v>3002.99</v>
      </c>
      <c r="E3516" s="1">
        <v>40722</v>
      </c>
      <c r="F3516">
        <v>7170.43</v>
      </c>
      <c r="G3516" s="1">
        <v>40702</v>
      </c>
      <c r="H3516">
        <v>6524.4116100000001</v>
      </c>
      <c r="I3516" s="1">
        <v>40763</v>
      </c>
      <c r="J3516">
        <v>8459.4</v>
      </c>
      <c r="K3516" s="1">
        <v>40724</v>
      </c>
      <c r="L3516">
        <v>20186.939999999999</v>
      </c>
    </row>
    <row r="3517" spans="1:12" x14ac:dyDescent="0.35">
      <c r="A3517" s="1">
        <v>40778</v>
      </c>
      <c r="B3517">
        <v>2199.98</v>
      </c>
      <c r="C3517" s="1">
        <v>40764</v>
      </c>
      <c r="D3517">
        <v>3176.19</v>
      </c>
      <c r="E3517" s="1">
        <v>40721</v>
      </c>
      <c r="F3517">
        <v>7107.9</v>
      </c>
      <c r="G3517" s="1">
        <v>40701</v>
      </c>
      <c r="H3517">
        <v>6565.4195399999999</v>
      </c>
      <c r="I3517" s="1">
        <v>40760</v>
      </c>
      <c r="J3517">
        <v>8671.2000000000007</v>
      </c>
      <c r="K3517" s="1">
        <v>40723</v>
      </c>
      <c r="L3517">
        <v>19864.669999999998</v>
      </c>
    </row>
    <row r="3518" spans="1:12" x14ac:dyDescent="0.35">
      <c r="A3518" s="1">
        <v>40777</v>
      </c>
      <c r="B3518">
        <v>2183.39</v>
      </c>
      <c r="C3518" s="1">
        <v>40763</v>
      </c>
      <c r="D3518">
        <v>3125.19</v>
      </c>
      <c r="E3518" s="1">
        <v>40718</v>
      </c>
      <c r="F3518">
        <v>7121.38</v>
      </c>
      <c r="G3518" s="1">
        <v>40700</v>
      </c>
      <c r="H3518">
        <v>6567.3976700000003</v>
      </c>
      <c r="I3518" s="1">
        <v>40759</v>
      </c>
      <c r="J3518">
        <v>8686.5</v>
      </c>
      <c r="K3518" s="1">
        <v>40722</v>
      </c>
      <c r="L3518">
        <v>19454.68</v>
      </c>
    </row>
    <row r="3519" spans="1:12" x14ac:dyDescent="0.35">
      <c r="A3519" s="1">
        <v>40774</v>
      </c>
      <c r="B3519">
        <v>2159.0700000000002</v>
      </c>
      <c r="C3519" s="1">
        <v>40760</v>
      </c>
      <c r="D3519">
        <v>3278.56</v>
      </c>
      <c r="E3519" s="1">
        <v>40717</v>
      </c>
      <c r="F3519">
        <v>7149.44</v>
      </c>
      <c r="G3519" s="1">
        <v>40697</v>
      </c>
      <c r="H3519">
        <v>6573.3793100000003</v>
      </c>
      <c r="I3519" s="1">
        <v>40758</v>
      </c>
      <c r="J3519">
        <v>9037.7000000000007</v>
      </c>
      <c r="K3519" s="1">
        <v>40721</v>
      </c>
      <c r="L3519">
        <v>19297.11</v>
      </c>
    </row>
    <row r="3520" spans="1:12" x14ac:dyDescent="0.35">
      <c r="A3520" s="1">
        <v>40773</v>
      </c>
      <c r="B3520">
        <v>2206.61</v>
      </c>
      <c r="C3520" s="1">
        <v>40759</v>
      </c>
      <c r="D3520">
        <v>3320.35</v>
      </c>
      <c r="E3520" s="1">
        <v>40716</v>
      </c>
      <c r="F3520">
        <v>7278.19</v>
      </c>
      <c r="G3520" s="1">
        <v>40696</v>
      </c>
      <c r="H3520">
        <v>6612.2562399999997</v>
      </c>
      <c r="I3520" s="1">
        <v>40757</v>
      </c>
      <c r="J3520">
        <v>9114.9</v>
      </c>
      <c r="K3520" s="1">
        <v>40718</v>
      </c>
      <c r="L3520">
        <v>19154.36</v>
      </c>
    </row>
    <row r="3521" spans="1:12" x14ac:dyDescent="0.35">
      <c r="A3521" s="1">
        <v>40772</v>
      </c>
      <c r="B3521">
        <v>2331.12</v>
      </c>
      <c r="C3521" s="1">
        <v>40758</v>
      </c>
      <c r="D3521">
        <v>3454.94</v>
      </c>
      <c r="E3521" s="1">
        <v>40715</v>
      </c>
      <c r="F3521">
        <v>7285.51</v>
      </c>
      <c r="G3521" s="1">
        <v>40695</v>
      </c>
      <c r="H3521">
        <v>6742.8980300000003</v>
      </c>
      <c r="I3521" s="1">
        <v>40756</v>
      </c>
      <c r="J3521">
        <v>9318.2000000000007</v>
      </c>
      <c r="K3521" s="1">
        <v>40717</v>
      </c>
      <c r="L3521">
        <v>19468.310000000001</v>
      </c>
    </row>
    <row r="3522" spans="1:12" x14ac:dyDescent="0.35">
      <c r="A3522" s="1">
        <v>40771</v>
      </c>
      <c r="B3522">
        <v>2323.67</v>
      </c>
      <c r="C3522" s="1">
        <v>40757</v>
      </c>
      <c r="D3522">
        <v>3522.79</v>
      </c>
      <c r="E3522" s="1">
        <v>40714</v>
      </c>
      <c r="F3522">
        <v>7150.21</v>
      </c>
      <c r="G3522" s="1">
        <v>40694</v>
      </c>
      <c r="H3522">
        <v>6851.77808</v>
      </c>
      <c r="I3522" s="1">
        <v>40753</v>
      </c>
      <c r="J3522">
        <v>9630.7000000000007</v>
      </c>
      <c r="K3522" s="1">
        <v>40716</v>
      </c>
      <c r="L3522">
        <v>20014.11</v>
      </c>
    </row>
    <row r="3523" spans="1:12" x14ac:dyDescent="0.35">
      <c r="A3523" s="1">
        <v>40770</v>
      </c>
      <c r="B3523">
        <v>2324.48</v>
      </c>
      <c r="C3523" s="1">
        <v>40756</v>
      </c>
      <c r="D3523">
        <v>3588.05</v>
      </c>
      <c r="E3523" s="1">
        <v>40711</v>
      </c>
      <c r="F3523">
        <v>7164.05</v>
      </c>
      <c r="G3523" s="1">
        <v>40690</v>
      </c>
      <c r="H3523">
        <v>6838.0577999999996</v>
      </c>
      <c r="I3523" s="1">
        <v>40752</v>
      </c>
      <c r="J3523">
        <v>9657</v>
      </c>
      <c r="K3523" s="1">
        <v>40715</v>
      </c>
      <c r="L3523">
        <v>20102.34</v>
      </c>
    </row>
    <row r="3524" spans="1:12" x14ac:dyDescent="0.35">
      <c r="A3524" s="1">
        <v>40767</v>
      </c>
      <c r="B3524">
        <v>2307.33</v>
      </c>
      <c r="C3524" s="1">
        <v>40753</v>
      </c>
      <c r="D3524">
        <v>3671.28</v>
      </c>
      <c r="E3524" s="1">
        <v>40710</v>
      </c>
      <c r="F3524">
        <v>7110.2</v>
      </c>
      <c r="G3524" s="1">
        <v>40689</v>
      </c>
      <c r="H3524">
        <v>6815.7885500000002</v>
      </c>
      <c r="I3524" s="1">
        <v>40751</v>
      </c>
      <c r="J3524">
        <v>9643.2999999999993</v>
      </c>
      <c r="K3524" s="1">
        <v>40714</v>
      </c>
      <c r="L3524">
        <v>19692.52</v>
      </c>
    </row>
    <row r="3525" spans="1:12" x14ac:dyDescent="0.35">
      <c r="A3525" s="1">
        <v>40766</v>
      </c>
      <c r="B3525">
        <v>2215.4499999999998</v>
      </c>
      <c r="C3525" s="1">
        <v>40752</v>
      </c>
      <c r="D3525">
        <v>3712.66</v>
      </c>
      <c r="E3525" s="1">
        <v>40709</v>
      </c>
      <c r="F3525">
        <v>7115.08</v>
      </c>
      <c r="G3525" s="1">
        <v>40688</v>
      </c>
      <c r="H3525">
        <v>6772.8222900000001</v>
      </c>
      <c r="I3525" s="1">
        <v>40750</v>
      </c>
      <c r="J3525">
        <v>9833.4</v>
      </c>
      <c r="K3525" s="1">
        <v>40711</v>
      </c>
      <c r="L3525">
        <v>20096.84</v>
      </c>
    </row>
    <row r="3526" spans="1:12" x14ac:dyDescent="0.35">
      <c r="A3526" s="1">
        <v>40765</v>
      </c>
      <c r="B3526">
        <v>2153.77</v>
      </c>
      <c r="C3526" s="1">
        <v>40751</v>
      </c>
      <c r="D3526">
        <v>3734.07</v>
      </c>
      <c r="E3526" s="1">
        <v>40708</v>
      </c>
      <c r="F3526">
        <v>7204.79</v>
      </c>
      <c r="G3526" s="1">
        <v>40687</v>
      </c>
      <c r="H3526">
        <v>6727.0464199999997</v>
      </c>
      <c r="I3526" s="1">
        <v>40749</v>
      </c>
      <c r="J3526">
        <v>9866.2000000000007</v>
      </c>
      <c r="K3526" s="1">
        <v>40710</v>
      </c>
      <c r="L3526">
        <v>19852.439999999999</v>
      </c>
    </row>
    <row r="3527" spans="1:12" x14ac:dyDescent="0.35">
      <c r="A3527" s="1">
        <v>40764</v>
      </c>
      <c r="B3527">
        <v>2294.2399999999998</v>
      </c>
      <c r="C3527" s="1">
        <v>40750</v>
      </c>
      <c r="D3527">
        <v>3787.88</v>
      </c>
      <c r="E3527" s="1">
        <v>40707</v>
      </c>
      <c r="F3527">
        <v>7085.14</v>
      </c>
      <c r="G3527" s="1">
        <v>40686</v>
      </c>
      <c r="H3527">
        <v>6695.0015000000003</v>
      </c>
      <c r="I3527" s="1">
        <v>40746</v>
      </c>
      <c r="J3527">
        <v>10059.299999999999</v>
      </c>
      <c r="K3527" s="1">
        <v>40709</v>
      </c>
      <c r="L3527">
        <v>19918.52</v>
      </c>
    </row>
    <row r="3528" spans="1:12" x14ac:dyDescent="0.35">
      <c r="A3528" s="1">
        <v>40763</v>
      </c>
      <c r="B3528">
        <v>2286.91</v>
      </c>
      <c r="C3528" s="1">
        <v>40749</v>
      </c>
      <c r="D3528">
        <v>3812.97</v>
      </c>
      <c r="E3528" s="1">
        <v>40704</v>
      </c>
      <c r="F3528">
        <v>7069.9</v>
      </c>
      <c r="G3528" s="1">
        <v>40683</v>
      </c>
      <c r="H3528">
        <v>6806.7152599999999</v>
      </c>
      <c r="I3528" s="1">
        <v>40745</v>
      </c>
      <c r="J3528">
        <v>10017.6</v>
      </c>
      <c r="K3528" s="1">
        <v>40708</v>
      </c>
      <c r="L3528">
        <v>20358.91</v>
      </c>
    </row>
    <row r="3529" spans="1:12" x14ac:dyDescent="0.35">
      <c r="A3529" s="1">
        <v>40760</v>
      </c>
      <c r="B3529">
        <v>2375.15</v>
      </c>
      <c r="C3529" s="1">
        <v>40746</v>
      </c>
      <c r="D3529">
        <v>3842.7</v>
      </c>
      <c r="E3529" s="1">
        <v>40703</v>
      </c>
      <c r="F3529">
        <v>7159.66</v>
      </c>
      <c r="G3529" s="1">
        <v>40682</v>
      </c>
      <c r="H3529">
        <v>6740.8233600000003</v>
      </c>
      <c r="I3529" s="1">
        <v>40744</v>
      </c>
      <c r="J3529">
        <v>9732.7999999999993</v>
      </c>
      <c r="K3529" s="1">
        <v>40707</v>
      </c>
      <c r="L3529">
        <v>20081.12</v>
      </c>
    </row>
    <row r="3530" spans="1:12" x14ac:dyDescent="0.35">
      <c r="A3530" s="1">
        <v>40759</v>
      </c>
      <c r="B3530">
        <v>2412.29</v>
      </c>
      <c r="C3530" s="1">
        <v>40745</v>
      </c>
      <c r="D3530">
        <v>3816.75</v>
      </c>
      <c r="E3530" s="1">
        <v>40702</v>
      </c>
      <c r="F3530">
        <v>7060.23</v>
      </c>
      <c r="G3530" s="1">
        <v>40681</v>
      </c>
      <c r="H3530">
        <v>6718.96569</v>
      </c>
      <c r="I3530" s="1">
        <v>40743</v>
      </c>
      <c r="J3530">
        <v>9443.7999999999993</v>
      </c>
      <c r="K3530" s="1">
        <v>40704</v>
      </c>
      <c r="L3530">
        <v>20117.490000000002</v>
      </c>
    </row>
    <row r="3531" spans="1:12" x14ac:dyDescent="0.35">
      <c r="A3531" s="1">
        <v>40758</v>
      </c>
      <c r="B3531">
        <v>2497.83</v>
      </c>
      <c r="C3531" s="1">
        <v>40744</v>
      </c>
      <c r="D3531">
        <v>3754.6</v>
      </c>
      <c r="E3531" s="1">
        <v>40701</v>
      </c>
      <c r="F3531">
        <v>7103.25</v>
      </c>
      <c r="G3531" s="1">
        <v>40680</v>
      </c>
      <c r="H3531">
        <v>6705.1990800000003</v>
      </c>
      <c r="I3531" s="1">
        <v>40742</v>
      </c>
      <c r="J3531">
        <v>9347.7999999999993</v>
      </c>
      <c r="K3531" s="1">
        <v>40703</v>
      </c>
      <c r="L3531">
        <v>20389.59</v>
      </c>
    </row>
    <row r="3532" spans="1:12" x14ac:dyDescent="0.35">
      <c r="A3532" s="1">
        <v>40757</v>
      </c>
      <c r="B3532">
        <v>2544.89</v>
      </c>
      <c r="C3532" s="1">
        <v>40743</v>
      </c>
      <c r="D3532">
        <v>3694.95</v>
      </c>
      <c r="E3532" s="1">
        <v>40700</v>
      </c>
      <c r="F3532">
        <v>7084.57</v>
      </c>
      <c r="G3532" s="1">
        <v>40679</v>
      </c>
      <c r="H3532">
        <v>6767.1900800000003</v>
      </c>
      <c r="I3532" s="1">
        <v>40739</v>
      </c>
      <c r="J3532">
        <v>9484.2000000000007</v>
      </c>
      <c r="K3532" s="1">
        <v>40702</v>
      </c>
      <c r="L3532">
        <v>20277.28</v>
      </c>
    </row>
    <row r="3533" spans="1:12" x14ac:dyDescent="0.35">
      <c r="A3533" s="1">
        <v>40756</v>
      </c>
      <c r="B3533">
        <v>2593.34</v>
      </c>
      <c r="C3533" s="1">
        <v>40742</v>
      </c>
      <c r="D3533">
        <v>3650.71</v>
      </c>
      <c r="E3533" s="1">
        <v>40697</v>
      </c>
      <c r="F3533">
        <v>7109.03</v>
      </c>
      <c r="G3533" s="1">
        <v>40676</v>
      </c>
      <c r="H3533">
        <v>6791.85214</v>
      </c>
      <c r="I3533" s="1">
        <v>40738</v>
      </c>
      <c r="J3533">
        <v>9598.6</v>
      </c>
      <c r="K3533" s="1">
        <v>40701</v>
      </c>
      <c r="L3533">
        <v>20574.490000000002</v>
      </c>
    </row>
    <row r="3534" spans="1:12" x14ac:dyDescent="0.35">
      <c r="A3534" s="1">
        <v>40753</v>
      </c>
      <c r="B3534">
        <v>2670.37</v>
      </c>
      <c r="C3534" s="1">
        <v>40739</v>
      </c>
      <c r="D3534">
        <v>3726.59</v>
      </c>
      <c r="E3534" s="1">
        <v>40696</v>
      </c>
      <c r="F3534">
        <v>7074.12</v>
      </c>
      <c r="G3534" s="1">
        <v>40675</v>
      </c>
      <c r="H3534">
        <v>6802.5346799999998</v>
      </c>
      <c r="I3534" s="1">
        <v>40737</v>
      </c>
      <c r="J3534">
        <v>9666.9</v>
      </c>
      <c r="K3534" s="1">
        <v>40700</v>
      </c>
      <c r="L3534">
        <v>20525.04</v>
      </c>
    </row>
    <row r="3535" spans="1:12" x14ac:dyDescent="0.35">
      <c r="A3535" s="1">
        <v>40752</v>
      </c>
      <c r="B3535">
        <v>2692.76</v>
      </c>
      <c r="C3535" s="1">
        <v>40738</v>
      </c>
      <c r="D3535">
        <v>3751.23</v>
      </c>
      <c r="E3535" s="1">
        <v>40695</v>
      </c>
      <c r="F3535">
        <v>7217.43</v>
      </c>
      <c r="G3535" s="1">
        <v>40674</v>
      </c>
      <c r="H3535">
        <v>6875.4050200000001</v>
      </c>
      <c r="I3535" s="1">
        <v>40736</v>
      </c>
      <c r="J3535">
        <v>9603.4</v>
      </c>
      <c r="K3535" s="1">
        <v>40697</v>
      </c>
      <c r="L3535">
        <v>20809.919999999998</v>
      </c>
    </row>
    <row r="3536" spans="1:12" x14ac:dyDescent="0.35">
      <c r="A3536" s="1">
        <v>40751</v>
      </c>
      <c r="B3536">
        <v>2693.71</v>
      </c>
      <c r="C3536" s="1">
        <v>40737</v>
      </c>
      <c r="D3536">
        <v>3793.27</v>
      </c>
      <c r="E3536" s="1">
        <v>40694</v>
      </c>
      <c r="F3536">
        <v>7293.69</v>
      </c>
      <c r="G3536" s="1">
        <v>40673</v>
      </c>
      <c r="H3536">
        <v>6846.0890799999997</v>
      </c>
      <c r="I3536" s="1">
        <v>40735</v>
      </c>
      <c r="J3536">
        <v>9670.6</v>
      </c>
      <c r="K3536" s="1">
        <v>40696</v>
      </c>
      <c r="L3536">
        <v>20700.93</v>
      </c>
    </row>
    <row r="3537" spans="1:12" x14ac:dyDescent="0.35">
      <c r="A3537" s="1">
        <v>40750</v>
      </c>
      <c r="B3537">
        <v>2739.65</v>
      </c>
      <c r="C3537" s="1">
        <v>40736</v>
      </c>
      <c r="D3537">
        <v>3774.12</v>
      </c>
      <c r="E3537" s="1">
        <v>40693</v>
      </c>
      <c r="F3537">
        <v>7160.3</v>
      </c>
      <c r="G3537" s="1">
        <v>40672</v>
      </c>
      <c r="H3537">
        <v>6786.0694599999997</v>
      </c>
      <c r="I3537" s="1">
        <v>40732</v>
      </c>
      <c r="J3537">
        <v>9938.2000000000007</v>
      </c>
      <c r="K3537" s="1">
        <v>40695</v>
      </c>
      <c r="L3537">
        <v>20866.29</v>
      </c>
    </row>
    <row r="3538" spans="1:12" x14ac:dyDescent="0.35">
      <c r="A3538" s="1">
        <v>40749</v>
      </c>
      <c r="B3538">
        <v>2742.7</v>
      </c>
      <c r="C3538" s="1">
        <v>40735</v>
      </c>
      <c r="D3538">
        <v>3807.51</v>
      </c>
      <c r="E3538" s="1">
        <v>40690</v>
      </c>
      <c r="F3538">
        <v>7163.47</v>
      </c>
      <c r="G3538" s="1">
        <v>40669</v>
      </c>
      <c r="H3538">
        <v>6800.9517299999998</v>
      </c>
      <c r="I3538" s="1">
        <v>40731</v>
      </c>
      <c r="J3538">
        <v>10196.200000000001</v>
      </c>
      <c r="K3538" s="1">
        <v>40694</v>
      </c>
      <c r="L3538">
        <v>21109.75</v>
      </c>
    </row>
    <row r="3539" spans="1:12" x14ac:dyDescent="0.35">
      <c r="A3539" s="1">
        <v>40746</v>
      </c>
      <c r="B3539">
        <v>2772.6</v>
      </c>
      <c r="C3539" s="1">
        <v>40732</v>
      </c>
      <c r="D3539">
        <v>3913.55</v>
      </c>
      <c r="E3539" s="1">
        <v>40689</v>
      </c>
      <c r="F3539">
        <v>7114.09</v>
      </c>
      <c r="G3539" s="1">
        <v>40668</v>
      </c>
      <c r="H3539">
        <v>6670.5372900000002</v>
      </c>
      <c r="I3539" s="1">
        <v>40730</v>
      </c>
      <c r="J3539">
        <v>10204.5</v>
      </c>
      <c r="K3539" s="1">
        <v>40693</v>
      </c>
      <c r="L3539">
        <v>20791.48</v>
      </c>
    </row>
    <row r="3540" spans="1:12" x14ac:dyDescent="0.35">
      <c r="A3540" s="1">
        <v>40745</v>
      </c>
      <c r="B3540">
        <v>2763.34</v>
      </c>
      <c r="C3540" s="1">
        <v>40731</v>
      </c>
      <c r="D3540">
        <v>3979.96</v>
      </c>
      <c r="E3540" s="1">
        <v>40688</v>
      </c>
      <c r="F3540">
        <v>7170.94</v>
      </c>
      <c r="G3540" s="1">
        <v>40667</v>
      </c>
      <c r="H3540">
        <v>6656.6683499999999</v>
      </c>
      <c r="I3540" s="1">
        <v>40729</v>
      </c>
      <c r="J3540">
        <v>10330.1</v>
      </c>
      <c r="K3540" s="1">
        <v>40690</v>
      </c>
      <c r="L3540">
        <v>20830.87</v>
      </c>
    </row>
    <row r="3541" spans="1:12" x14ac:dyDescent="0.35">
      <c r="A3541" s="1">
        <v>40744</v>
      </c>
      <c r="B3541">
        <v>2705.75</v>
      </c>
      <c r="C3541" s="1">
        <v>40730</v>
      </c>
      <c r="D3541">
        <v>3961.34</v>
      </c>
      <c r="E3541" s="1">
        <v>40687</v>
      </c>
      <c r="F3541">
        <v>7150.66</v>
      </c>
      <c r="G3541" s="1">
        <v>40666</v>
      </c>
      <c r="H3541">
        <v>6769.76908</v>
      </c>
      <c r="I3541" s="1">
        <v>40728</v>
      </c>
      <c r="J3541">
        <v>10468</v>
      </c>
      <c r="K3541" s="1">
        <v>40689</v>
      </c>
      <c r="L3541">
        <v>20668.349999999999</v>
      </c>
    </row>
    <row r="3542" spans="1:12" x14ac:dyDescent="0.35">
      <c r="A3542" s="1">
        <v>40743</v>
      </c>
      <c r="B3542">
        <v>2657.45</v>
      </c>
      <c r="C3542" s="1">
        <v>40729</v>
      </c>
      <c r="D3542">
        <v>3978.83</v>
      </c>
      <c r="E3542" s="1">
        <v>40686</v>
      </c>
      <c r="F3542">
        <v>7121.52</v>
      </c>
      <c r="G3542" s="1">
        <v>40661</v>
      </c>
      <c r="H3542">
        <v>6825.5607099999997</v>
      </c>
      <c r="I3542" s="1">
        <v>40725</v>
      </c>
      <c r="J3542">
        <v>10492</v>
      </c>
      <c r="K3542" s="1">
        <v>40688</v>
      </c>
      <c r="L3542">
        <v>20815.73</v>
      </c>
    </row>
    <row r="3543" spans="1:12" x14ac:dyDescent="0.35">
      <c r="A3543" s="1">
        <v>40742</v>
      </c>
      <c r="B3543">
        <v>2622.36</v>
      </c>
      <c r="C3543" s="1">
        <v>40728</v>
      </c>
      <c r="D3543">
        <v>4003.11</v>
      </c>
      <c r="E3543" s="1">
        <v>40683</v>
      </c>
      <c r="F3543">
        <v>7266.82</v>
      </c>
      <c r="G3543" s="1">
        <v>40660</v>
      </c>
      <c r="H3543">
        <v>6838.4051600000003</v>
      </c>
      <c r="I3543" s="1">
        <v>40724</v>
      </c>
      <c r="J3543">
        <v>10359.9</v>
      </c>
      <c r="K3543" s="1">
        <v>40687</v>
      </c>
      <c r="L3543">
        <v>20582.150000000001</v>
      </c>
    </row>
    <row r="3544" spans="1:12" x14ac:dyDescent="0.35">
      <c r="A3544" s="1">
        <v>40739</v>
      </c>
      <c r="B3544">
        <v>2675.38</v>
      </c>
      <c r="C3544" s="1">
        <v>40725</v>
      </c>
      <c r="D3544">
        <v>4007.35</v>
      </c>
      <c r="E3544" s="1">
        <v>40682</v>
      </c>
      <c r="F3544">
        <v>7358.23</v>
      </c>
      <c r="G3544" s="1">
        <v>40659</v>
      </c>
      <c r="H3544">
        <v>6833.7327299999997</v>
      </c>
      <c r="I3544" s="1">
        <v>40723</v>
      </c>
      <c r="J3544">
        <v>10143.6</v>
      </c>
      <c r="K3544" s="1">
        <v>40686</v>
      </c>
      <c r="L3544">
        <v>20532.64</v>
      </c>
    </row>
    <row r="3545" spans="1:12" x14ac:dyDescent="0.35">
      <c r="A3545" s="1">
        <v>40738</v>
      </c>
      <c r="B3545">
        <v>2695.29</v>
      </c>
      <c r="C3545" s="1">
        <v>40724</v>
      </c>
      <c r="D3545">
        <v>3982.21</v>
      </c>
      <c r="E3545" s="1">
        <v>40681</v>
      </c>
      <c r="F3545">
        <v>7303.53</v>
      </c>
      <c r="G3545" s="1">
        <v>40654</v>
      </c>
      <c r="H3545">
        <v>6834.0396499999997</v>
      </c>
      <c r="I3545" s="1">
        <v>40722</v>
      </c>
      <c r="J3545">
        <v>9936.7000000000007</v>
      </c>
      <c r="K3545" s="1">
        <v>40683</v>
      </c>
      <c r="L3545">
        <v>21236.87</v>
      </c>
    </row>
    <row r="3546" spans="1:12" x14ac:dyDescent="0.35">
      <c r="A3546" s="1">
        <v>40737</v>
      </c>
      <c r="B3546">
        <v>2715.05</v>
      </c>
      <c r="C3546" s="1">
        <v>40723</v>
      </c>
      <c r="D3546">
        <v>3924.23</v>
      </c>
      <c r="E3546" s="1">
        <v>40680</v>
      </c>
      <c r="F3546">
        <v>7256.65</v>
      </c>
      <c r="G3546" s="1">
        <v>40653</v>
      </c>
      <c r="H3546">
        <v>6812.4323599999998</v>
      </c>
      <c r="I3546" s="1">
        <v>40721</v>
      </c>
      <c r="J3546">
        <v>9872.2000000000007</v>
      </c>
      <c r="K3546" s="1">
        <v>40682</v>
      </c>
      <c r="L3546">
        <v>21559.72</v>
      </c>
    </row>
    <row r="3547" spans="1:12" x14ac:dyDescent="0.35">
      <c r="A3547" s="1">
        <v>40736</v>
      </c>
      <c r="B3547">
        <v>2693.53</v>
      </c>
      <c r="C3547" s="1">
        <v>40722</v>
      </c>
      <c r="D3547">
        <v>3851.89</v>
      </c>
      <c r="E3547" s="1">
        <v>40679</v>
      </c>
      <c r="F3547">
        <v>7387.54</v>
      </c>
      <c r="G3547" s="1">
        <v>40652</v>
      </c>
      <c r="H3547">
        <v>6721.1548000000003</v>
      </c>
      <c r="I3547" s="1">
        <v>40718</v>
      </c>
      <c r="J3547">
        <v>9812.7000000000007</v>
      </c>
      <c r="K3547" s="1">
        <v>40681</v>
      </c>
      <c r="L3547">
        <v>21444.04</v>
      </c>
    </row>
    <row r="3548" spans="1:12" x14ac:dyDescent="0.35">
      <c r="A3548" s="1">
        <v>40735</v>
      </c>
      <c r="B3548">
        <v>2709.14</v>
      </c>
      <c r="C3548" s="1">
        <v>40721</v>
      </c>
      <c r="D3548">
        <v>3796.55</v>
      </c>
      <c r="E3548" s="1">
        <v>40676</v>
      </c>
      <c r="F3548">
        <v>7403.31</v>
      </c>
      <c r="G3548" s="1">
        <v>40651</v>
      </c>
      <c r="H3548">
        <v>6698.3557899999996</v>
      </c>
      <c r="I3548" s="1">
        <v>40717</v>
      </c>
      <c r="J3548">
        <v>9942.6</v>
      </c>
      <c r="K3548" s="1">
        <v>40680</v>
      </c>
      <c r="L3548">
        <v>21408.94</v>
      </c>
    </row>
    <row r="3549" spans="1:12" x14ac:dyDescent="0.35">
      <c r="A3549" s="1">
        <v>40732</v>
      </c>
      <c r="B3549">
        <v>2790.09</v>
      </c>
      <c r="C3549" s="1">
        <v>40718</v>
      </c>
      <c r="D3549">
        <v>3784.8</v>
      </c>
      <c r="E3549" s="1">
        <v>40675</v>
      </c>
      <c r="F3549">
        <v>7443.95</v>
      </c>
      <c r="G3549" s="1">
        <v>40648</v>
      </c>
      <c r="H3549">
        <v>6773.6934499999998</v>
      </c>
      <c r="I3549" s="1">
        <v>40716</v>
      </c>
      <c r="J3549">
        <v>10226.200000000001</v>
      </c>
      <c r="K3549" s="1">
        <v>40679</v>
      </c>
      <c r="L3549">
        <v>21685.34</v>
      </c>
    </row>
    <row r="3550" spans="1:12" x14ac:dyDescent="0.35">
      <c r="A3550" s="1">
        <v>40731</v>
      </c>
      <c r="B3550">
        <v>2844.51</v>
      </c>
      <c r="C3550" s="1">
        <v>40717</v>
      </c>
      <c r="D3550">
        <v>3787.79</v>
      </c>
      <c r="E3550" s="1">
        <v>40674</v>
      </c>
      <c r="F3550">
        <v>7495.05</v>
      </c>
      <c r="G3550" s="1">
        <v>40647</v>
      </c>
      <c r="H3550">
        <v>6730.83896</v>
      </c>
      <c r="I3550" s="1">
        <v>40715</v>
      </c>
      <c r="J3550">
        <v>10231.9</v>
      </c>
      <c r="K3550" s="1">
        <v>40676</v>
      </c>
      <c r="L3550">
        <v>21764.31</v>
      </c>
    </row>
    <row r="3551" spans="1:12" x14ac:dyDescent="0.35">
      <c r="A3551" s="1">
        <v>40730</v>
      </c>
      <c r="B3551">
        <v>2832.63</v>
      </c>
      <c r="C3551" s="1">
        <v>40716</v>
      </c>
      <c r="D3551">
        <v>3871.37</v>
      </c>
      <c r="E3551" s="1">
        <v>40673</v>
      </c>
      <c r="F3551">
        <v>7501.52</v>
      </c>
      <c r="G3551" s="1">
        <v>40646</v>
      </c>
      <c r="H3551">
        <v>6767.4642800000001</v>
      </c>
      <c r="I3551" s="1">
        <v>40714</v>
      </c>
      <c r="J3551">
        <v>10038.1</v>
      </c>
      <c r="K3551" s="1">
        <v>40675</v>
      </c>
      <c r="L3551">
        <v>21787.69</v>
      </c>
    </row>
    <row r="3552" spans="1:12" x14ac:dyDescent="0.35">
      <c r="A3552" s="1">
        <v>40729</v>
      </c>
      <c r="B3552">
        <v>2850.51</v>
      </c>
      <c r="C3552" s="1">
        <v>40715</v>
      </c>
      <c r="D3552">
        <v>3877.07</v>
      </c>
      <c r="E3552" s="1">
        <v>40672</v>
      </c>
      <c r="F3552">
        <v>7410.52</v>
      </c>
      <c r="G3552" s="1">
        <v>40645</v>
      </c>
      <c r="H3552">
        <v>6701.1242499999998</v>
      </c>
      <c r="I3552" s="1">
        <v>40711</v>
      </c>
      <c r="J3552">
        <v>10135.200000000001</v>
      </c>
      <c r="K3552" s="1">
        <v>40674</v>
      </c>
      <c r="L3552">
        <v>22031.16</v>
      </c>
    </row>
    <row r="3553" spans="1:12" x14ac:dyDescent="0.35">
      <c r="A3553" s="1">
        <v>40728</v>
      </c>
      <c r="B3553">
        <v>2870.19</v>
      </c>
      <c r="C3553" s="1">
        <v>40714</v>
      </c>
      <c r="D3553">
        <v>3799.66</v>
      </c>
      <c r="E3553" s="1">
        <v>40669</v>
      </c>
      <c r="F3553">
        <v>7492.25</v>
      </c>
      <c r="G3553" s="1">
        <v>40644</v>
      </c>
      <c r="H3553">
        <v>6863.3600900000001</v>
      </c>
      <c r="I3553" s="1">
        <v>40710</v>
      </c>
      <c r="J3553">
        <v>9918.5</v>
      </c>
      <c r="K3553" s="1">
        <v>40673</v>
      </c>
      <c r="L3553">
        <v>21984.32</v>
      </c>
    </row>
    <row r="3554" spans="1:12" x14ac:dyDescent="0.35">
      <c r="A3554" s="1">
        <v>40725</v>
      </c>
      <c r="B3554">
        <v>2875.67</v>
      </c>
      <c r="C3554" s="1">
        <v>40711</v>
      </c>
      <c r="D3554">
        <v>3823.74</v>
      </c>
      <c r="E3554" s="1">
        <v>40668</v>
      </c>
      <c r="F3554">
        <v>7376.96</v>
      </c>
      <c r="G3554" s="1">
        <v>40641</v>
      </c>
      <c r="H3554">
        <v>6864.0511200000001</v>
      </c>
      <c r="I3554" s="1">
        <v>40709</v>
      </c>
      <c r="J3554">
        <v>9933.1</v>
      </c>
      <c r="K3554" s="1">
        <v>40672</v>
      </c>
      <c r="L3554">
        <v>21666.400000000001</v>
      </c>
    </row>
    <row r="3555" spans="1:12" x14ac:dyDescent="0.35">
      <c r="A3555" s="1">
        <v>40724</v>
      </c>
      <c r="B3555">
        <v>2848.53</v>
      </c>
      <c r="C3555" s="1">
        <v>40710</v>
      </c>
      <c r="D3555">
        <v>3792.31</v>
      </c>
      <c r="E3555" s="1">
        <v>40667</v>
      </c>
      <c r="F3555">
        <v>7373.93</v>
      </c>
      <c r="G3555" s="1">
        <v>40640</v>
      </c>
      <c r="H3555">
        <v>6855.1826199999996</v>
      </c>
      <c r="I3555" s="1">
        <v>40708</v>
      </c>
      <c r="J3555">
        <v>10132.6</v>
      </c>
      <c r="K3555" s="1">
        <v>40669</v>
      </c>
      <c r="L3555">
        <v>21953.759999999998</v>
      </c>
    </row>
    <row r="3556" spans="1:12" x14ac:dyDescent="0.35">
      <c r="A3556" s="1">
        <v>40723</v>
      </c>
      <c r="B3556">
        <v>2802.55</v>
      </c>
      <c r="C3556" s="1">
        <v>40709</v>
      </c>
      <c r="D3556">
        <v>3806.85</v>
      </c>
      <c r="E3556" s="1">
        <v>40666</v>
      </c>
      <c r="F3556">
        <v>7500.7</v>
      </c>
      <c r="G3556" s="1">
        <v>40639</v>
      </c>
      <c r="H3556">
        <v>6881.7340700000004</v>
      </c>
      <c r="I3556" s="1">
        <v>40707</v>
      </c>
      <c r="J3556">
        <v>9946.2000000000007</v>
      </c>
      <c r="K3556" s="1">
        <v>40668</v>
      </c>
      <c r="L3556">
        <v>21741.02</v>
      </c>
    </row>
    <row r="3557" spans="1:12" x14ac:dyDescent="0.35">
      <c r="A3557" s="1">
        <v>40722</v>
      </c>
      <c r="B3557">
        <v>2750.49</v>
      </c>
      <c r="C3557" s="1">
        <v>40708</v>
      </c>
      <c r="D3557">
        <v>3864.58</v>
      </c>
      <c r="E3557" s="1">
        <v>40665</v>
      </c>
      <c r="F3557">
        <v>7527.64</v>
      </c>
      <c r="G3557" s="1">
        <v>40638</v>
      </c>
      <c r="H3557">
        <v>6876.6751700000004</v>
      </c>
      <c r="I3557" s="1">
        <v>40704</v>
      </c>
      <c r="J3557">
        <v>9950.7999999999993</v>
      </c>
      <c r="K3557" s="1">
        <v>40667</v>
      </c>
      <c r="L3557">
        <v>21915.32</v>
      </c>
    </row>
    <row r="3558" spans="1:12" x14ac:dyDescent="0.35">
      <c r="A3558" s="1">
        <v>40721</v>
      </c>
      <c r="B3558">
        <v>2723.93</v>
      </c>
      <c r="C3558" s="1">
        <v>40707</v>
      </c>
      <c r="D3558">
        <v>3807.61</v>
      </c>
      <c r="E3558" s="1">
        <v>40662</v>
      </c>
      <c r="F3558">
        <v>7514.46</v>
      </c>
      <c r="G3558" s="1">
        <v>40637</v>
      </c>
      <c r="H3558">
        <v>6822.0092599999998</v>
      </c>
      <c r="I3558" s="1">
        <v>40703</v>
      </c>
      <c r="J3558">
        <v>10121.700000000001</v>
      </c>
      <c r="K3558" s="1">
        <v>40666</v>
      </c>
      <c r="L3558">
        <v>22315.68</v>
      </c>
    </row>
    <row r="3559" spans="1:12" x14ac:dyDescent="0.35">
      <c r="A3559" s="1">
        <v>40718</v>
      </c>
      <c r="B3559">
        <v>2715.88</v>
      </c>
      <c r="C3559" s="1">
        <v>40704</v>
      </c>
      <c r="D3559">
        <v>3805.09</v>
      </c>
      <c r="E3559" s="1">
        <v>40661</v>
      </c>
      <c r="F3559">
        <v>7475.22</v>
      </c>
      <c r="G3559" s="1">
        <v>40634</v>
      </c>
      <c r="H3559">
        <v>6812.8493699999999</v>
      </c>
      <c r="I3559" s="1">
        <v>40702</v>
      </c>
      <c r="J3559">
        <v>10082.5</v>
      </c>
      <c r="K3559" s="1">
        <v>40665</v>
      </c>
      <c r="L3559">
        <v>22397.7</v>
      </c>
    </row>
    <row r="3560" spans="1:12" x14ac:dyDescent="0.35">
      <c r="A3560" s="1">
        <v>40717</v>
      </c>
      <c r="B3560">
        <v>2730.86</v>
      </c>
      <c r="C3560" s="1">
        <v>40703</v>
      </c>
      <c r="D3560">
        <v>3878.65</v>
      </c>
      <c r="E3560" s="1">
        <v>40660</v>
      </c>
      <c r="F3560">
        <v>7404.95</v>
      </c>
      <c r="G3560" s="1">
        <v>40633</v>
      </c>
      <c r="H3560">
        <v>6689.0994099999998</v>
      </c>
      <c r="I3560" s="1">
        <v>40701</v>
      </c>
      <c r="J3560">
        <v>10168.1</v>
      </c>
      <c r="K3560" s="1">
        <v>40662</v>
      </c>
      <c r="L3560">
        <v>22417.96</v>
      </c>
    </row>
    <row r="3561" spans="1:12" x14ac:dyDescent="0.35">
      <c r="A3561" s="1">
        <v>40716</v>
      </c>
      <c r="B3561">
        <v>2795.07</v>
      </c>
      <c r="C3561" s="1">
        <v>40702</v>
      </c>
      <c r="D3561">
        <v>3837.98</v>
      </c>
      <c r="E3561" s="1">
        <v>40659</v>
      </c>
      <c r="F3561">
        <v>7356.51</v>
      </c>
      <c r="G3561" s="1">
        <v>40632</v>
      </c>
      <c r="H3561">
        <v>6760.1591500000004</v>
      </c>
      <c r="I3561" s="1">
        <v>40700</v>
      </c>
      <c r="J3561">
        <v>10157.700000000001</v>
      </c>
      <c r="K3561" s="1">
        <v>40661</v>
      </c>
      <c r="L3561">
        <v>22380.19</v>
      </c>
    </row>
    <row r="3562" spans="1:12" x14ac:dyDescent="0.35">
      <c r="A3562" s="1">
        <v>40715</v>
      </c>
      <c r="B3562">
        <v>2801.99</v>
      </c>
      <c r="C3562" s="1">
        <v>40701</v>
      </c>
      <c r="D3562">
        <v>3871.92</v>
      </c>
      <c r="E3562" s="1">
        <v>40654</v>
      </c>
      <c r="F3562">
        <v>7295.49</v>
      </c>
      <c r="G3562" s="1">
        <v>40631</v>
      </c>
      <c r="H3562">
        <v>6734.7254899999998</v>
      </c>
      <c r="I3562" s="1">
        <v>40697</v>
      </c>
      <c r="J3562">
        <v>10285.700000000001</v>
      </c>
      <c r="K3562" s="1">
        <v>40660</v>
      </c>
      <c r="L3562">
        <v>22238.16</v>
      </c>
    </row>
    <row r="3563" spans="1:12" x14ac:dyDescent="0.35">
      <c r="A3563" s="1">
        <v>40714</v>
      </c>
      <c r="B3563">
        <v>2748.01</v>
      </c>
      <c r="C3563" s="1">
        <v>40700</v>
      </c>
      <c r="D3563">
        <v>3863.4</v>
      </c>
      <c r="E3563" s="1">
        <v>40653</v>
      </c>
      <c r="F3563">
        <v>7249.19</v>
      </c>
      <c r="G3563" s="1">
        <v>40630</v>
      </c>
      <c r="H3563">
        <v>6708.25792</v>
      </c>
      <c r="I3563" s="1">
        <v>40696</v>
      </c>
      <c r="J3563">
        <v>10261</v>
      </c>
      <c r="K3563" s="1">
        <v>40659</v>
      </c>
      <c r="L3563">
        <v>21932.78</v>
      </c>
    </row>
    <row r="3564" spans="1:12" x14ac:dyDescent="0.35">
      <c r="A3564" s="1">
        <v>40711</v>
      </c>
      <c r="B3564">
        <v>2770.12</v>
      </c>
      <c r="C3564" s="1">
        <v>40697</v>
      </c>
      <c r="D3564">
        <v>3890.68</v>
      </c>
      <c r="E3564" s="1">
        <v>40652</v>
      </c>
      <c r="F3564">
        <v>7039.31</v>
      </c>
      <c r="G3564" s="1">
        <v>40627</v>
      </c>
      <c r="H3564">
        <v>6717.67868</v>
      </c>
      <c r="I3564" s="1">
        <v>40695</v>
      </c>
      <c r="J3564">
        <v>10339.299999999999</v>
      </c>
      <c r="K3564" s="1">
        <v>40654</v>
      </c>
      <c r="L3564">
        <v>21810.7</v>
      </c>
    </row>
    <row r="3565" spans="1:12" x14ac:dyDescent="0.35">
      <c r="A3565" s="1">
        <v>40710</v>
      </c>
      <c r="B3565">
        <v>2730.62</v>
      </c>
      <c r="C3565" s="1">
        <v>40696</v>
      </c>
      <c r="D3565">
        <v>3889.87</v>
      </c>
      <c r="E3565" s="1">
        <v>40651</v>
      </c>
      <c r="F3565">
        <v>7026.85</v>
      </c>
      <c r="G3565" s="1">
        <v>40626</v>
      </c>
      <c r="H3565">
        <v>6683.7488499999999</v>
      </c>
      <c r="I3565" s="1">
        <v>40694</v>
      </c>
      <c r="J3565">
        <v>10476</v>
      </c>
      <c r="K3565" s="1">
        <v>40653</v>
      </c>
      <c r="L3565">
        <v>21502.45</v>
      </c>
    </row>
    <row r="3566" spans="1:12" x14ac:dyDescent="0.35">
      <c r="A3566" s="1">
        <v>40709</v>
      </c>
      <c r="B3566">
        <v>2731.5</v>
      </c>
      <c r="C3566" s="1">
        <v>40695</v>
      </c>
      <c r="D3566">
        <v>3964.81</v>
      </c>
      <c r="E3566" s="1">
        <v>40648</v>
      </c>
      <c r="F3566">
        <v>7178.29</v>
      </c>
      <c r="G3566" s="1">
        <v>40625</v>
      </c>
      <c r="H3566">
        <v>6666.6572100000003</v>
      </c>
      <c r="I3566" s="1">
        <v>40693</v>
      </c>
      <c r="J3566">
        <v>10257.6</v>
      </c>
      <c r="K3566" s="1">
        <v>40652</v>
      </c>
      <c r="L3566">
        <v>21249.9</v>
      </c>
    </row>
    <row r="3567" spans="1:12" x14ac:dyDescent="0.35">
      <c r="A3567" s="1">
        <v>40708</v>
      </c>
      <c r="B3567">
        <v>2779.94</v>
      </c>
      <c r="C3567" s="1">
        <v>40694</v>
      </c>
      <c r="D3567">
        <v>4006.94</v>
      </c>
      <c r="E3567" s="1">
        <v>40647</v>
      </c>
      <c r="F3567">
        <v>7146.56</v>
      </c>
      <c r="G3567" s="1">
        <v>40624</v>
      </c>
      <c r="H3567">
        <v>6639.3974200000002</v>
      </c>
      <c r="I3567" s="1">
        <v>40690</v>
      </c>
      <c r="J3567">
        <v>10261.200000000001</v>
      </c>
      <c r="K3567" s="1">
        <v>40651</v>
      </c>
      <c r="L3567">
        <v>21184.67</v>
      </c>
    </row>
    <row r="3568" spans="1:12" x14ac:dyDescent="0.35">
      <c r="A3568" s="1">
        <v>40707</v>
      </c>
      <c r="B3568">
        <v>2733.95</v>
      </c>
      <c r="C3568" s="1">
        <v>40693</v>
      </c>
      <c r="D3568">
        <v>3942.53</v>
      </c>
      <c r="E3568" s="1">
        <v>40646</v>
      </c>
      <c r="F3568">
        <v>7177.97</v>
      </c>
      <c r="G3568" s="1">
        <v>40623</v>
      </c>
      <c r="H3568">
        <v>6632.6066799999999</v>
      </c>
      <c r="I3568" s="1">
        <v>40689</v>
      </c>
      <c r="J3568">
        <v>10203.200000000001</v>
      </c>
      <c r="K3568" s="1">
        <v>40648</v>
      </c>
      <c r="L3568">
        <v>21821.26</v>
      </c>
    </row>
    <row r="3569" spans="1:12" x14ac:dyDescent="0.35">
      <c r="A3569" s="1">
        <v>40704</v>
      </c>
      <c r="B3569">
        <v>2732.54</v>
      </c>
      <c r="C3569" s="1">
        <v>40690</v>
      </c>
      <c r="D3569">
        <v>3950.98</v>
      </c>
      <c r="E3569" s="1">
        <v>40645</v>
      </c>
      <c r="F3569">
        <v>7102.91</v>
      </c>
      <c r="G3569" s="1">
        <v>40620</v>
      </c>
      <c r="H3569">
        <v>6554.55537</v>
      </c>
      <c r="I3569" s="1">
        <v>40688</v>
      </c>
      <c r="J3569">
        <v>10217.4</v>
      </c>
      <c r="K3569" s="1">
        <v>40647</v>
      </c>
      <c r="L3569">
        <v>21833.72</v>
      </c>
    </row>
    <row r="3570" spans="1:12" x14ac:dyDescent="0.35">
      <c r="A3570" s="1">
        <v>40703</v>
      </c>
      <c r="B3570">
        <v>2778.12</v>
      </c>
      <c r="C3570" s="1">
        <v>40689</v>
      </c>
      <c r="D3570">
        <v>3917.22</v>
      </c>
      <c r="E3570" s="1">
        <v>40644</v>
      </c>
      <c r="F3570">
        <v>7204.86</v>
      </c>
      <c r="G3570" s="1">
        <v>40619</v>
      </c>
      <c r="H3570">
        <v>6557.64156</v>
      </c>
      <c r="I3570" s="1">
        <v>40687</v>
      </c>
      <c r="J3570">
        <v>10115.9</v>
      </c>
      <c r="K3570" s="1">
        <v>40646</v>
      </c>
      <c r="L3570">
        <v>22096.959999999999</v>
      </c>
    </row>
    <row r="3571" spans="1:12" x14ac:dyDescent="0.35">
      <c r="A3571" s="1">
        <v>40702</v>
      </c>
      <c r="B3571">
        <v>2752.06</v>
      </c>
      <c r="C3571" s="1">
        <v>40688</v>
      </c>
      <c r="D3571">
        <v>3928.99</v>
      </c>
      <c r="E3571" s="1">
        <v>40641</v>
      </c>
      <c r="F3571">
        <v>7217.02</v>
      </c>
      <c r="G3571" s="1">
        <v>40618</v>
      </c>
      <c r="H3571">
        <v>6446.6298699999998</v>
      </c>
      <c r="I3571" s="1">
        <v>40686</v>
      </c>
      <c r="J3571">
        <v>10082.700000000001</v>
      </c>
      <c r="K3571" s="1">
        <v>40645</v>
      </c>
      <c r="L3571">
        <v>22018.55</v>
      </c>
    </row>
    <row r="3572" spans="1:12" x14ac:dyDescent="0.35">
      <c r="A3572" s="1">
        <v>40701</v>
      </c>
      <c r="B3572">
        <v>2774.5</v>
      </c>
      <c r="C3572" s="1">
        <v>40687</v>
      </c>
      <c r="D3572">
        <v>3916.88</v>
      </c>
      <c r="E3572" s="1">
        <v>40640</v>
      </c>
      <c r="F3572">
        <v>7178.78</v>
      </c>
      <c r="G3572" s="1">
        <v>40617</v>
      </c>
      <c r="H3572">
        <v>6559.1272900000004</v>
      </c>
      <c r="I3572" s="1">
        <v>40683</v>
      </c>
      <c r="J3572">
        <v>10226.6</v>
      </c>
      <c r="K3572" s="1">
        <v>40644</v>
      </c>
      <c r="L3572">
        <v>22365.93</v>
      </c>
    </row>
    <row r="3573" spans="1:12" x14ac:dyDescent="0.35">
      <c r="A3573" s="1">
        <v>40700</v>
      </c>
      <c r="B3573">
        <v>2765.33</v>
      </c>
      <c r="C3573" s="1">
        <v>40686</v>
      </c>
      <c r="D3573">
        <v>3906.98</v>
      </c>
      <c r="E3573" s="1">
        <v>40639</v>
      </c>
      <c r="F3573">
        <v>7215.11</v>
      </c>
      <c r="G3573" s="1">
        <v>40616</v>
      </c>
      <c r="H3573">
        <v>6676.4086100000004</v>
      </c>
      <c r="I3573" s="1">
        <v>40682</v>
      </c>
      <c r="J3573">
        <v>10376.799999999999</v>
      </c>
      <c r="K3573" s="1">
        <v>40641</v>
      </c>
      <c r="L3573">
        <v>22389.15</v>
      </c>
    </row>
    <row r="3574" spans="1:12" x14ac:dyDescent="0.35">
      <c r="A3574" s="1">
        <v>40697</v>
      </c>
      <c r="B3574">
        <v>2789.11</v>
      </c>
      <c r="C3574" s="1">
        <v>40683</v>
      </c>
      <c r="D3574">
        <v>3990.85</v>
      </c>
      <c r="E3574" s="1">
        <v>40638</v>
      </c>
      <c r="F3574">
        <v>7175.31</v>
      </c>
      <c r="G3574" s="1">
        <v>40613</v>
      </c>
      <c r="H3574">
        <v>6744.6758600000003</v>
      </c>
      <c r="I3574" s="1">
        <v>40681</v>
      </c>
      <c r="J3574">
        <v>10343.700000000001</v>
      </c>
      <c r="K3574" s="1">
        <v>40640</v>
      </c>
      <c r="L3574">
        <v>22243.99</v>
      </c>
    </row>
    <row r="3575" spans="1:12" x14ac:dyDescent="0.35">
      <c r="A3575" s="1">
        <v>40696</v>
      </c>
      <c r="B3575">
        <v>2782.57</v>
      </c>
      <c r="C3575" s="1">
        <v>40682</v>
      </c>
      <c r="D3575">
        <v>4027.74</v>
      </c>
      <c r="E3575" s="1">
        <v>40637</v>
      </c>
      <c r="F3575">
        <v>7175.33</v>
      </c>
      <c r="G3575" s="1">
        <v>40612</v>
      </c>
      <c r="H3575">
        <v>6793.1405699999996</v>
      </c>
      <c r="I3575" s="1">
        <v>40680</v>
      </c>
      <c r="J3575">
        <v>10306.4</v>
      </c>
      <c r="K3575" s="1">
        <v>40639</v>
      </c>
      <c r="L3575">
        <v>22326.52</v>
      </c>
    </row>
    <row r="3576" spans="1:12" x14ac:dyDescent="0.35">
      <c r="A3576" s="1">
        <v>40695</v>
      </c>
      <c r="B3576">
        <v>2827.66</v>
      </c>
      <c r="C3576" s="1">
        <v>40681</v>
      </c>
      <c r="D3576">
        <v>3978</v>
      </c>
      <c r="E3576" s="1">
        <v>40634</v>
      </c>
      <c r="F3576">
        <v>7179.81</v>
      </c>
      <c r="G3576" s="1">
        <v>40611</v>
      </c>
      <c r="H3576">
        <v>6918.4494999999997</v>
      </c>
      <c r="I3576" s="1">
        <v>40679</v>
      </c>
      <c r="J3576">
        <v>10363.9</v>
      </c>
      <c r="K3576" s="1">
        <v>40638</v>
      </c>
      <c r="L3576">
        <v>22058.98</v>
      </c>
    </row>
    <row r="3577" spans="1:12" x14ac:dyDescent="0.35">
      <c r="A3577" s="1">
        <v>40694</v>
      </c>
      <c r="B3577">
        <v>2861.92</v>
      </c>
      <c r="C3577" s="1">
        <v>40680</v>
      </c>
      <c r="D3577">
        <v>3941.58</v>
      </c>
      <c r="E3577" s="1">
        <v>40633</v>
      </c>
      <c r="F3577">
        <v>7041.31</v>
      </c>
      <c r="G3577" s="1">
        <v>40610</v>
      </c>
      <c r="H3577">
        <v>6940.0523300000004</v>
      </c>
      <c r="I3577" s="1">
        <v>40676</v>
      </c>
      <c r="J3577">
        <v>10356.5</v>
      </c>
      <c r="K3577" s="1">
        <v>40637</v>
      </c>
      <c r="L3577">
        <v>22007.81</v>
      </c>
    </row>
    <row r="3578" spans="1:12" x14ac:dyDescent="0.35">
      <c r="A3578" s="1">
        <v>40693</v>
      </c>
      <c r="B3578">
        <v>2814.34</v>
      </c>
      <c r="C3578" s="1">
        <v>40679</v>
      </c>
      <c r="D3578">
        <v>3989.82</v>
      </c>
      <c r="E3578" s="1">
        <v>40632</v>
      </c>
      <c r="F3578">
        <v>7057.15</v>
      </c>
      <c r="G3578" s="1">
        <v>40609</v>
      </c>
      <c r="H3578">
        <v>6927.3431399999999</v>
      </c>
      <c r="I3578" s="1">
        <v>40675</v>
      </c>
      <c r="J3578">
        <v>10487.6</v>
      </c>
      <c r="K3578" s="1">
        <v>40634</v>
      </c>
      <c r="L3578">
        <v>21967.77</v>
      </c>
    </row>
    <row r="3579" spans="1:12" x14ac:dyDescent="0.35">
      <c r="A3579" s="1">
        <v>40690</v>
      </c>
      <c r="B3579">
        <v>2819.4</v>
      </c>
      <c r="C3579" s="1">
        <v>40676</v>
      </c>
      <c r="D3579">
        <v>4018.85</v>
      </c>
      <c r="E3579" s="1">
        <v>40631</v>
      </c>
      <c r="F3579">
        <v>6934.44</v>
      </c>
      <c r="G3579" s="1">
        <v>40606</v>
      </c>
      <c r="H3579">
        <v>6962.85869</v>
      </c>
      <c r="I3579" s="1">
        <v>40674</v>
      </c>
      <c r="J3579">
        <v>10531.5</v>
      </c>
      <c r="K3579" s="1">
        <v>40633</v>
      </c>
      <c r="L3579">
        <v>21727.439999999999</v>
      </c>
    </row>
    <row r="3580" spans="1:12" x14ac:dyDescent="0.35">
      <c r="A3580" s="1">
        <v>40689</v>
      </c>
      <c r="B3580">
        <v>2799.82</v>
      </c>
      <c r="C3580" s="1">
        <v>40675</v>
      </c>
      <c r="D3580">
        <v>4023.29</v>
      </c>
      <c r="E3580" s="1">
        <v>40630</v>
      </c>
      <c r="F3580">
        <v>6938.63</v>
      </c>
      <c r="G3580" s="1">
        <v>40605</v>
      </c>
      <c r="H3580">
        <v>7006.5128699999996</v>
      </c>
      <c r="I3580" s="1">
        <v>40673</v>
      </c>
      <c r="J3580">
        <v>10474.4</v>
      </c>
      <c r="K3580" s="1">
        <v>40632</v>
      </c>
      <c r="L3580">
        <v>22001.19</v>
      </c>
    </row>
    <row r="3581" spans="1:12" x14ac:dyDescent="0.35">
      <c r="A3581" s="1">
        <v>40688</v>
      </c>
      <c r="B3581">
        <v>2816.84</v>
      </c>
      <c r="C3581" s="1">
        <v>40674</v>
      </c>
      <c r="D3581">
        <v>4058.08</v>
      </c>
      <c r="E3581" s="1">
        <v>40627</v>
      </c>
      <c r="F3581">
        <v>6946.36</v>
      </c>
      <c r="G3581" s="1">
        <v>40604</v>
      </c>
      <c r="H3581">
        <v>6964.3403699999999</v>
      </c>
      <c r="I3581" s="1">
        <v>40672</v>
      </c>
      <c r="J3581">
        <v>10396.299999999999</v>
      </c>
      <c r="K3581" s="1">
        <v>40631</v>
      </c>
      <c r="L3581">
        <v>21780.78</v>
      </c>
    </row>
    <row r="3582" spans="1:12" x14ac:dyDescent="0.35">
      <c r="A3582" s="1">
        <v>40687</v>
      </c>
      <c r="B3582">
        <v>2801.27</v>
      </c>
      <c r="C3582" s="1">
        <v>40673</v>
      </c>
      <c r="D3582">
        <v>4052.51</v>
      </c>
      <c r="E3582" s="1">
        <v>40626</v>
      </c>
      <c r="F3582">
        <v>6933.58</v>
      </c>
      <c r="G3582" s="1">
        <v>40603</v>
      </c>
      <c r="H3582">
        <v>6997.7902199999999</v>
      </c>
      <c r="I3582" s="1">
        <v>40669</v>
      </c>
      <c r="J3582">
        <v>10610.5</v>
      </c>
      <c r="K3582" s="1">
        <v>40630</v>
      </c>
      <c r="L3582">
        <v>22009.95</v>
      </c>
    </row>
    <row r="3583" spans="1:12" x14ac:dyDescent="0.35">
      <c r="A3583" s="1">
        <v>40686</v>
      </c>
      <c r="B3583">
        <v>2794.26</v>
      </c>
      <c r="C3583" s="1">
        <v>40672</v>
      </c>
      <c r="D3583">
        <v>4007.26</v>
      </c>
      <c r="E3583" s="1">
        <v>40625</v>
      </c>
      <c r="F3583">
        <v>6804.45</v>
      </c>
      <c r="G3583" s="1">
        <v>40602</v>
      </c>
      <c r="H3583">
        <v>7062.2580099999996</v>
      </c>
      <c r="I3583" s="1">
        <v>40668</v>
      </c>
      <c r="J3583">
        <v>10627.3</v>
      </c>
      <c r="K3583" s="1">
        <v>40627</v>
      </c>
      <c r="L3583">
        <v>21984.99</v>
      </c>
    </row>
    <row r="3584" spans="1:12" x14ac:dyDescent="0.35">
      <c r="A3584" s="1">
        <v>40683</v>
      </c>
      <c r="B3584">
        <v>2853.98</v>
      </c>
      <c r="C3584" s="1">
        <v>40669</v>
      </c>
      <c r="D3584">
        <v>4058.01</v>
      </c>
      <c r="E3584" s="1">
        <v>40624</v>
      </c>
      <c r="F3584">
        <v>6780.97</v>
      </c>
      <c r="G3584" s="1">
        <v>40599</v>
      </c>
      <c r="H3584">
        <v>7021.3167700000004</v>
      </c>
      <c r="I3584" s="1">
        <v>40667</v>
      </c>
      <c r="J3584">
        <v>10712.6</v>
      </c>
      <c r="K3584" s="1">
        <v>40626</v>
      </c>
      <c r="L3584">
        <v>22023.91</v>
      </c>
    </row>
    <row r="3585" spans="1:12" x14ac:dyDescent="0.35">
      <c r="A3585" s="1">
        <v>40682</v>
      </c>
      <c r="B3585">
        <v>2890.6</v>
      </c>
      <c r="C3585" s="1">
        <v>40668</v>
      </c>
      <c r="D3585">
        <v>4004.87</v>
      </c>
      <c r="E3585" s="1">
        <v>40623</v>
      </c>
      <c r="F3585">
        <v>6816.12</v>
      </c>
      <c r="G3585" s="1">
        <v>40598</v>
      </c>
      <c r="H3585">
        <v>6922.7407300000004</v>
      </c>
      <c r="I3585" s="1">
        <v>40666</v>
      </c>
      <c r="J3585">
        <v>10825.6</v>
      </c>
      <c r="K3585" s="1">
        <v>40625</v>
      </c>
      <c r="L3585">
        <v>21698.38</v>
      </c>
    </row>
    <row r="3586" spans="1:12" x14ac:dyDescent="0.35">
      <c r="A3586" s="1">
        <v>40681</v>
      </c>
      <c r="B3586">
        <v>2867.3</v>
      </c>
      <c r="C3586" s="1">
        <v>40667</v>
      </c>
      <c r="D3586">
        <v>4043.13</v>
      </c>
      <c r="E3586" s="1">
        <v>40620</v>
      </c>
      <c r="F3586">
        <v>6664.4</v>
      </c>
      <c r="G3586" s="1">
        <v>40597</v>
      </c>
      <c r="H3586">
        <v>6981.3339999999998</v>
      </c>
      <c r="I3586" s="1">
        <v>40665</v>
      </c>
      <c r="J3586">
        <v>10877.3</v>
      </c>
      <c r="K3586" s="1">
        <v>40624</v>
      </c>
      <c r="L3586">
        <v>21556.82</v>
      </c>
    </row>
    <row r="3587" spans="1:12" x14ac:dyDescent="0.35">
      <c r="A3587" s="1">
        <v>40680</v>
      </c>
      <c r="B3587">
        <v>2849.6</v>
      </c>
      <c r="C3587" s="1">
        <v>40666</v>
      </c>
      <c r="D3587">
        <v>4096.84</v>
      </c>
      <c r="E3587" s="1">
        <v>40619</v>
      </c>
      <c r="F3587">
        <v>6656.88</v>
      </c>
      <c r="G3587" s="1">
        <v>40596</v>
      </c>
      <c r="H3587">
        <v>7081.6914699999998</v>
      </c>
      <c r="I3587" s="1">
        <v>40662</v>
      </c>
      <c r="J3587">
        <v>10878.9</v>
      </c>
      <c r="K3587" s="1">
        <v>40623</v>
      </c>
      <c r="L3587">
        <v>21527.11</v>
      </c>
    </row>
    <row r="3588" spans="1:12" x14ac:dyDescent="0.35">
      <c r="A3588" s="1">
        <v>40679</v>
      </c>
      <c r="B3588">
        <v>2881.31</v>
      </c>
      <c r="C3588" s="1">
        <v>40665</v>
      </c>
      <c r="D3588">
        <v>4108.7700000000004</v>
      </c>
      <c r="E3588" s="1">
        <v>40618</v>
      </c>
      <c r="F3588">
        <v>6513.84</v>
      </c>
      <c r="G3588" s="1">
        <v>40595</v>
      </c>
      <c r="H3588">
        <v>7131.3882299999996</v>
      </c>
      <c r="I3588" s="1">
        <v>40661</v>
      </c>
      <c r="J3588">
        <v>10867.8</v>
      </c>
      <c r="K3588" s="1">
        <v>40620</v>
      </c>
      <c r="L3588">
        <v>21197.1</v>
      </c>
    </row>
    <row r="3589" spans="1:12" x14ac:dyDescent="0.35">
      <c r="A3589" s="1">
        <v>40676</v>
      </c>
      <c r="B3589">
        <v>2894.6</v>
      </c>
      <c r="C3589" s="1">
        <v>40662</v>
      </c>
      <c r="D3589">
        <v>4106.92</v>
      </c>
      <c r="E3589" s="1">
        <v>40617</v>
      </c>
      <c r="F3589">
        <v>6647.66</v>
      </c>
      <c r="G3589" s="1">
        <v>40592</v>
      </c>
      <c r="H3589">
        <v>7223.4949999999999</v>
      </c>
      <c r="I3589" s="1">
        <v>40660</v>
      </c>
      <c r="J3589">
        <v>10740.9</v>
      </c>
      <c r="K3589" s="1">
        <v>40619</v>
      </c>
      <c r="L3589">
        <v>21140.59</v>
      </c>
    </row>
    <row r="3590" spans="1:12" x14ac:dyDescent="0.35">
      <c r="A3590" s="1">
        <v>40675</v>
      </c>
      <c r="B3590">
        <v>2917.05</v>
      </c>
      <c r="C3590" s="1">
        <v>40661</v>
      </c>
      <c r="D3590">
        <v>4104.8999999999996</v>
      </c>
      <c r="E3590" s="1">
        <v>40616</v>
      </c>
      <c r="F3590">
        <v>6866.63</v>
      </c>
      <c r="G3590" s="1">
        <v>40591</v>
      </c>
      <c r="H3590">
        <v>7238.2235000000001</v>
      </c>
      <c r="I3590" s="1">
        <v>40659</v>
      </c>
      <c r="J3590">
        <v>10650.6</v>
      </c>
      <c r="K3590" s="1">
        <v>40618</v>
      </c>
      <c r="L3590">
        <v>20836.77</v>
      </c>
    </row>
    <row r="3591" spans="1:12" x14ac:dyDescent="0.35">
      <c r="A3591" s="1">
        <v>40674</v>
      </c>
      <c r="B3591">
        <v>2942.43</v>
      </c>
      <c r="C3591" s="1">
        <v>40660</v>
      </c>
      <c r="D3591">
        <v>4067.72</v>
      </c>
      <c r="E3591" s="1">
        <v>40613</v>
      </c>
      <c r="F3591">
        <v>6981.49</v>
      </c>
      <c r="G3591" s="1">
        <v>40590</v>
      </c>
      <c r="H3591">
        <v>7215.3658999999998</v>
      </c>
      <c r="I3591" s="1">
        <v>40654</v>
      </c>
      <c r="J3591">
        <v>10584.1</v>
      </c>
      <c r="K3591" s="1">
        <v>40617</v>
      </c>
      <c r="L3591">
        <v>21365.4</v>
      </c>
    </row>
    <row r="3592" spans="1:12" x14ac:dyDescent="0.35">
      <c r="A3592" s="1">
        <v>40673</v>
      </c>
      <c r="B3592">
        <v>2939.02</v>
      </c>
      <c r="C3592" s="1">
        <v>40659</v>
      </c>
      <c r="D3592">
        <v>4045.29</v>
      </c>
      <c r="E3592" s="1">
        <v>40612</v>
      </c>
      <c r="F3592">
        <v>7063.09</v>
      </c>
      <c r="G3592" s="1">
        <v>40589</v>
      </c>
      <c r="H3592">
        <v>7208.9469900000004</v>
      </c>
      <c r="I3592" s="1">
        <v>40653</v>
      </c>
      <c r="J3592">
        <v>10535.4</v>
      </c>
      <c r="K3592" s="1">
        <v>40616</v>
      </c>
      <c r="L3592">
        <v>21804.32</v>
      </c>
    </row>
    <row r="3593" spans="1:12" x14ac:dyDescent="0.35">
      <c r="A3593" s="1">
        <v>40672</v>
      </c>
      <c r="B3593">
        <v>2902.4</v>
      </c>
      <c r="C3593" s="1">
        <v>40654</v>
      </c>
      <c r="D3593">
        <v>4021.88</v>
      </c>
      <c r="E3593" s="1">
        <v>40611</v>
      </c>
      <c r="F3593">
        <v>7131.8</v>
      </c>
      <c r="G3593" s="1">
        <v>40588</v>
      </c>
      <c r="H3593">
        <v>7197.9284799999996</v>
      </c>
      <c r="I3593" s="1">
        <v>40652</v>
      </c>
      <c r="J3593">
        <v>10376.5</v>
      </c>
      <c r="K3593" s="1">
        <v>40613</v>
      </c>
      <c r="L3593">
        <v>21863.02</v>
      </c>
    </row>
    <row r="3594" spans="1:12" x14ac:dyDescent="0.35">
      <c r="A3594" s="1">
        <v>40669</v>
      </c>
      <c r="B3594">
        <v>2952.9</v>
      </c>
      <c r="C3594" s="1">
        <v>40653</v>
      </c>
      <c r="D3594">
        <v>4004.62</v>
      </c>
      <c r="E3594" s="1">
        <v>40610</v>
      </c>
      <c r="F3594">
        <v>7164.75</v>
      </c>
      <c r="G3594" s="1">
        <v>40585</v>
      </c>
      <c r="H3594">
        <v>7177.1893600000003</v>
      </c>
      <c r="I3594" s="1">
        <v>40651</v>
      </c>
      <c r="J3594">
        <v>10344.9</v>
      </c>
      <c r="K3594" s="1">
        <v>40612</v>
      </c>
      <c r="L3594">
        <v>22084.46</v>
      </c>
    </row>
    <row r="3595" spans="1:12" x14ac:dyDescent="0.35">
      <c r="A3595" s="1">
        <v>40668</v>
      </c>
      <c r="B3595">
        <v>2926.54</v>
      </c>
      <c r="C3595" s="1">
        <v>40652</v>
      </c>
      <c r="D3595">
        <v>3908.58</v>
      </c>
      <c r="E3595" s="1">
        <v>40609</v>
      </c>
      <c r="F3595">
        <v>7161.93</v>
      </c>
      <c r="G3595" s="1">
        <v>40584</v>
      </c>
      <c r="H3595">
        <v>7121.4252999999999</v>
      </c>
      <c r="I3595" s="1">
        <v>40648</v>
      </c>
      <c r="J3595">
        <v>10558.6</v>
      </c>
      <c r="K3595" s="1">
        <v>40611</v>
      </c>
      <c r="L3595">
        <v>22441.24</v>
      </c>
    </row>
    <row r="3596" spans="1:12" x14ac:dyDescent="0.35">
      <c r="A3596" s="1">
        <v>40667</v>
      </c>
      <c r="B3596">
        <v>2952.02</v>
      </c>
      <c r="C3596" s="1">
        <v>40651</v>
      </c>
      <c r="D3596">
        <v>3881.24</v>
      </c>
      <c r="E3596" s="1">
        <v>40606</v>
      </c>
      <c r="F3596">
        <v>7178.9</v>
      </c>
      <c r="G3596" s="1">
        <v>40583</v>
      </c>
      <c r="H3596">
        <v>7106.9928099999997</v>
      </c>
      <c r="I3596" s="1">
        <v>40647</v>
      </c>
      <c r="J3596">
        <v>10622.7</v>
      </c>
      <c r="K3596" s="1">
        <v>40610</v>
      </c>
      <c r="L3596">
        <v>22353.45</v>
      </c>
    </row>
    <row r="3597" spans="1:12" x14ac:dyDescent="0.35">
      <c r="A3597" s="1">
        <v>40666</v>
      </c>
      <c r="B3597">
        <v>3000.39</v>
      </c>
      <c r="C3597" s="1">
        <v>40648</v>
      </c>
      <c r="D3597">
        <v>3974.48</v>
      </c>
      <c r="E3597" s="1">
        <v>40605</v>
      </c>
      <c r="F3597">
        <v>7225.96</v>
      </c>
      <c r="G3597" s="1">
        <v>40582</v>
      </c>
      <c r="H3597">
        <v>7176.31333</v>
      </c>
      <c r="I3597" s="1">
        <v>40646</v>
      </c>
      <c r="J3597">
        <v>10786</v>
      </c>
      <c r="K3597" s="1">
        <v>40609</v>
      </c>
      <c r="L3597">
        <v>22145.79</v>
      </c>
    </row>
    <row r="3598" spans="1:12" x14ac:dyDescent="0.35">
      <c r="A3598" s="1">
        <v>40665</v>
      </c>
      <c r="B3598">
        <v>3008.89</v>
      </c>
      <c r="C3598" s="1">
        <v>40647</v>
      </c>
      <c r="D3598">
        <v>3970.39</v>
      </c>
      <c r="E3598" s="1">
        <v>40604</v>
      </c>
      <c r="F3598">
        <v>7181.12</v>
      </c>
      <c r="G3598" s="1">
        <v>40581</v>
      </c>
      <c r="H3598">
        <v>7190.2891900000004</v>
      </c>
      <c r="I3598" s="1">
        <v>40645</v>
      </c>
      <c r="J3598">
        <v>10784.5</v>
      </c>
      <c r="K3598" s="1">
        <v>40606</v>
      </c>
      <c r="L3598">
        <v>22138.44</v>
      </c>
    </row>
    <row r="3599" spans="1:12" x14ac:dyDescent="0.35">
      <c r="A3599" s="1">
        <v>40662</v>
      </c>
      <c r="B3599">
        <v>3011.25</v>
      </c>
      <c r="C3599" s="1">
        <v>40646</v>
      </c>
      <c r="D3599">
        <v>4006.23</v>
      </c>
      <c r="E3599" s="1">
        <v>40603</v>
      </c>
      <c r="F3599">
        <v>7223.3</v>
      </c>
      <c r="G3599" s="1">
        <v>40578</v>
      </c>
      <c r="H3599">
        <v>7108.0877099999998</v>
      </c>
      <c r="I3599" s="1">
        <v>40644</v>
      </c>
      <c r="J3599">
        <v>10878.3</v>
      </c>
      <c r="K3599" s="1">
        <v>40605</v>
      </c>
      <c r="L3599">
        <v>22154.23</v>
      </c>
    </row>
    <row r="3600" spans="1:12" x14ac:dyDescent="0.35">
      <c r="A3600" s="1">
        <v>40661</v>
      </c>
      <c r="B3600">
        <v>3005.33</v>
      </c>
      <c r="C3600" s="1">
        <v>40645</v>
      </c>
      <c r="D3600">
        <v>3976.6</v>
      </c>
      <c r="E3600" s="1">
        <v>40602</v>
      </c>
      <c r="F3600">
        <v>7272.32</v>
      </c>
      <c r="G3600" s="1">
        <v>40577</v>
      </c>
      <c r="H3600">
        <v>7080.1468500000001</v>
      </c>
      <c r="I3600" s="1">
        <v>40641</v>
      </c>
      <c r="J3600">
        <v>10913.2</v>
      </c>
      <c r="K3600" s="1">
        <v>40604</v>
      </c>
      <c r="L3600">
        <v>22238.75</v>
      </c>
    </row>
    <row r="3601" spans="1:12" x14ac:dyDescent="0.35">
      <c r="A3601" s="1">
        <v>40660</v>
      </c>
      <c r="B3601">
        <v>2977.59</v>
      </c>
      <c r="C3601" s="1">
        <v>40644</v>
      </c>
      <c r="D3601">
        <v>4038.7</v>
      </c>
      <c r="E3601" s="1">
        <v>40599</v>
      </c>
      <c r="F3601">
        <v>7185.17</v>
      </c>
      <c r="G3601" s="1">
        <v>40576</v>
      </c>
      <c r="H3601">
        <v>7036.2004500000003</v>
      </c>
      <c r="I3601" s="1">
        <v>40640</v>
      </c>
      <c r="J3601">
        <v>10849.1</v>
      </c>
      <c r="K3601" s="1">
        <v>40603</v>
      </c>
      <c r="L3601">
        <v>22227.23</v>
      </c>
    </row>
    <row r="3602" spans="1:12" x14ac:dyDescent="0.35">
      <c r="A3602" s="1">
        <v>40659</v>
      </c>
      <c r="B3602">
        <v>2955.36</v>
      </c>
      <c r="C3602" s="1">
        <v>40641</v>
      </c>
      <c r="D3602">
        <v>4061.91</v>
      </c>
      <c r="E3602" s="1">
        <v>40598</v>
      </c>
      <c r="F3602">
        <v>7130.5</v>
      </c>
      <c r="G3602" s="1">
        <v>40575</v>
      </c>
      <c r="H3602">
        <v>6955.6029200000003</v>
      </c>
      <c r="I3602" s="1">
        <v>40639</v>
      </c>
      <c r="J3602">
        <v>10845.1</v>
      </c>
      <c r="K3602" s="1">
        <v>40602</v>
      </c>
      <c r="L3602">
        <v>22466.57</v>
      </c>
    </row>
    <row r="3603" spans="1:12" x14ac:dyDescent="0.35">
      <c r="A3603" s="1">
        <v>40654</v>
      </c>
      <c r="B3603">
        <v>2936.3</v>
      </c>
      <c r="C3603" s="1">
        <v>40640</v>
      </c>
      <c r="D3603">
        <v>4028.3</v>
      </c>
      <c r="E3603" s="1">
        <v>40597</v>
      </c>
      <c r="F3603">
        <v>7194.6</v>
      </c>
      <c r="G3603" s="1">
        <v>40574</v>
      </c>
      <c r="H3603">
        <v>6862.8544199999997</v>
      </c>
      <c r="I3603" s="1">
        <v>40638</v>
      </c>
      <c r="J3603">
        <v>10678.6</v>
      </c>
      <c r="K3603" s="1">
        <v>40599</v>
      </c>
      <c r="L3603">
        <v>22349.71</v>
      </c>
    </row>
    <row r="3604" spans="1:12" x14ac:dyDescent="0.35">
      <c r="A3604" s="1">
        <v>40653</v>
      </c>
      <c r="B3604">
        <v>2921.43</v>
      </c>
      <c r="C3604" s="1">
        <v>40639</v>
      </c>
      <c r="D3604">
        <v>4048.16</v>
      </c>
      <c r="E3604" s="1">
        <v>40596</v>
      </c>
      <c r="F3604">
        <v>7318.35</v>
      </c>
      <c r="G3604" s="1">
        <v>40571</v>
      </c>
      <c r="H3604">
        <v>6845.2527899999995</v>
      </c>
      <c r="I3604" s="1">
        <v>40637</v>
      </c>
      <c r="J3604">
        <v>10756.1</v>
      </c>
      <c r="K3604" s="1">
        <v>40598</v>
      </c>
      <c r="L3604">
        <v>21948.73</v>
      </c>
    </row>
    <row r="3605" spans="1:12" x14ac:dyDescent="0.35">
      <c r="A3605" s="1">
        <v>40652</v>
      </c>
      <c r="B3605">
        <v>2857.61</v>
      </c>
      <c r="C3605" s="1">
        <v>40638</v>
      </c>
      <c r="D3605">
        <v>4041.74</v>
      </c>
      <c r="E3605" s="1">
        <v>40595</v>
      </c>
      <c r="F3605">
        <v>7321.81</v>
      </c>
      <c r="G3605" s="1">
        <v>40570</v>
      </c>
      <c r="H3605">
        <v>6927.1896800000004</v>
      </c>
      <c r="I3605" s="1">
        <v>40634</v>
      </c>
      <c r="J3605">
        <v>10729.9</v>
      </c>
      <c r="K3605" s="1">
        <v>40597</v>
      </c>
      <c r="L3605">
        <v>21929.79</v>
      </c>
    </row>
    <row r="3606" spans="1:12" x14ac:dyDescent="0.35">
      <c r="A3606" s="1">
        <v>40651</v>
      </c>
      <c r="B3606">
        <v>2847.96</v>
      </c>
      <c r="C3606" s="1">
        <v>40637</v>
      </c>
      <c r="D3606">
        <v>4042.92</v>
      </c>
      <c r="E3606" s="1">
        <v>40592</v>
      </c>
      <c r="F3606">
        <v>7426.81</v>
      </c>
      <c r="G3606" s="1">
        <v>40569</v>
      </c>
      <c r="H3606">
        <v>6925.4701999999997</v>
      </c>
      <c r="I3606" s="1">
        <v>40633</v>
      </c>
      <c r="J3606">
        <v>10576.5</v>
      </c>
      <c r="K3606" s="1">
        <v>40596</v>
      </c>
      <c r="L3606">
        <v>21993.96</v>
      </c>
    </row>
    <row r="3607" spans="1:12" x14ac:dyDescent="0.35">
      <c r="A3607" s="1">
        <v>40648</v>
      </c>
      <c r="B3607">
        <v>2919.05</v>
      </c>
      <c r="C3607" s="1">
        <v>40634</v>
      </c>
      <c r="D3607">
        <v>4054.76</v>
      </c>
      <c r="E3607" s="1">
        <v>40591</v>
      </c>
      <c r="F3607">
        <v>7405.51</v>
      </c>
      <c r="G3607" s="1">
        <v>40568</v>
      </c>
      <c r="H3607">
        <v>6860.7609899999998</v>
      </c>
      <c r="I3607" s="1">
        <v>40632</v>
      </c>
      <c r="J3607">
        <v>10732.3</v>
      </c>
      <c r="K3607" s="1">
        <v>40595</v>
      </c>
      <c r="L3607">
        <v>22230.2</v>
      </c>
    </row>
    <row r="3608" spans="1:12" x14ac:dyDescent="0.35">
      <c r="A3608" s="1">
        <v>40647</v>
      </c>
      <c r="B3608">
        <v>2917.72</v>
      </c>
      <c r="C3608" s="1">
        <v>40633</v>
      </c>
      <c r="D3608">
        <v>3989.18</v>
      </c>
      <c r="E3608" s="1">
        <v>40590</v>
      </c>
      <c r="F3608">
        <v>7414.3</v>
      </c>
      <c r="G3608" s="1">
        <v>40567</v>
      </c>
      <c r="H3608">
        <v>6968.1859700000005</v>
      </c>
      <c r="I3608" s="1">
        <v>40631</v>
      </c>
      <c r="J3608">
        <v>10735</v>
      </c>
      <c r="K3608" s="1">
        <v>40592</v>
      </c>
      <c r="L3608">
        <v>23059.03</v>
      </c>
    </row>
    <row r="3609" spans="1:12" x14ac:dyDescent="0.35">
      <c r="A3609" s="1">
        <v>40646</v>
      </c>
      <c r="B3609">
        <v>2949.98</v>
      </c>
      <c r="C3609" s="1">
        <v>40632</v>
      </c>
      <c r="D3609">
        <v>4024.44</v>
      </c>
      <c r="E3609" s="1">
        <v>40589</v>
      </c>
      <c r="F3609">
        <v>7400.04</v>
      </c>
      <c r="G3609" s="1">
        <v>40564</v>
      </c>
      <c r="H3609">
        <v>6939.8033400000004</v>
      </c>
      <c r="I3609" s="1">
        <v>40630</v>
      </c>
      <c r="J3609">
        <v>10751</v>
      </c>
      <c r="K3609" s="1">
        <v>40591</v>
      </c>
      <c r="L3609">
        <v>23178.38</v>
      </c>
    </row>
    <row r="3610" spans="1:12" x14ac:dyDescent="0.35">
      <c r="A3610" s="1">
        <v>40645</v>
      </c>
      <c r="B3610">
        <v>2932.33</v>
      </c>
      <c r="C3610" s="1">
        <v>40631</v>
      </c>
      <c r="D3610">
        <v>3987.8</v>
      </c>
      <c r="E3610" s="1">
        <v>40588</v>
      </c>
      <c r="F3610">
        <v>7396.63</v>
      </c>
      <c r="G3610" s="1">
        <v>40563</v>
      </c>
      <c r="H3610">
        <v>6926.1291199999996</v>
      </c>
      <c r="I3610" s="1">
        <v>40627</v>
      </c>
      <c r="J3610">
        <v>10710.4</v>
      </c>
      <c r="K3610" s="1">
        <v>40590</v>
      </c>
      <c r="L3610">
        <v>23167.58</v>
      </c>
    </row>
    <row r="3611" spans="1:12" x14ac:dyDescent="0.35">
      <c r="A3611" s="1">
        <v>40644</v>
      </c>
      <c r="B3611">
        <v>2974.58</v>
      </c>
      <c r="C3611" s="1">
        <v>40630</v>
      </c>
      <c r="D3611">
        <v>3976.95</v>
      </c>
      <c r="E3611" s="1">
        <v>40585</v>
      </c>
      <c r="F3611">
        <v>7371.2</v>
      </c>
      <c r="G3611" s="1">
        <v>40562</v>
      </c>
      <c r="H3611">
        <v>7088.2420499999998</v>
      </c>
      <c r="I3611" s="1">
        <v>40626</v>
      </c>
      <c r="J3611">
        <v>10755.6</v>
      </c>
      <c r="K3611" s="1">
        <v>40589</v>
      </c>
      <c r="L3611">
        <v>22823.82</v>
      </c>
    </row>
    <row r="3612" spans="1:12" x14ac:dyDescent="0.35">
      <c r="A3612" s="1">
        <v>40641</v>
      </c>
      <c r="B3612">
        <v>2984.66</v>
      </c>
      <c r="C3612" s="1">
        <v>40627</v>
      </c>
      <c r="D3612">
        <v>3972.38</v>
      </c>
      <c r="E3612" s="1">
        <v>40584</v>
      </c>
      <c r="F3612">
        <v>7340.28</v>
      </c>
      <c r="G3612" s="1">
        <v>40561</v>
      </c>
      <c r="H3612">
        <v>7235.0765600000004</v>
      </c>
      <c r="I3612" s="1">
        <v>40625</v>
      </c>
      <c r="J3612">
        <v>10638</v>
      </c>
      <c r="K3612" s="1">
        <v>40588</v>
      </c>
      <c r="L3612">
        <v>22637.29</v>
      </c>
    </row>
    <row r="3613" spans="1:12" x14ac:dyDescent="0.35">
      <c r="A3613" s="1">
        <v>40640</v>
      </c>
      <c r="B3613">
        <v>2963.69</v>
      </c>
      <c r="C3613" s="1">
        <v>40626</v>
      </c>
      <c r="D3613">
        <v>3968.84</v>
      </c>
      <c r="E3613" s="1">
        <v>40583</v>
      </c>
      <c r="F3613">
        <v>7320.9</v>
      </c>
      <c r="G3613" s="1">
        <v>40560</v>
      </c>
      <c r="H3613">
        <v>7153.12536</v>
      </c>
      <c r="I3613" s="1">
        <v>40624</v>
      </c>
      <c r="J3613">
        <v>10576.1</v>
      </c>
      <c r="K3613" s="1">
        <v>40585</v>
      </c>
      <c r="L3613">
        <v>22695.19</v>
      </c>
    </row>
    <row r="3614" spans="1:12" x14ac:dyDescent="0.35">
      <c r="A3614" s="1">
        <v>40639</v>
      </c>
      <c r="B3614">
        <v>2971.48</v>
      </c>
      <c r="C3614" s="1">
        <v>40625</v>
      </c>
      <c r="D3614">
        <v>3913.73</v>
      </c>
      <c r="E3614" s="1">
        <v>40582</v>
      </c>
      <c r="F3614">
        <v>7323.24</v>
      </c>
      <c r="G3614" s="1">
        <v>40557</v>
      </c>
      <c r="H3614">
        <v>7141.5100199999997</v>
      </c>
      <c r="I3614" s="1">
        <v>40623</v>
      </c>
      <c r="J3614">
        <v>10574.4</v>
      </c>
      <c r="K3614" s="1">
        <v>40584</v>
      </c>
      <c r="L3614">
        <v>22596.79</v>
      </c>
    </row>
    <row r="3615" spans="1:12" x14ac:dyDescent="0.35">
      <c r="A3615" s="1">
        <v>40638</v>
      </c>
      <c r="B3615">
        <v>2950.96</v>
      </c>
      <c r="C3615" s="1">
        <v>40624</v>
      </c>
      <c r="D3615">
        <v>3892.71</v>
      </c>
      <c r="E3615" s="1">
        <v>40581</v>
      </c>
      <c r="F3615">
        <v>7283.62</v>
      </c>
      <c r="G3615" s="1">
        <v>40556</v>
      </c>
      <c r="H3615">
        <v>7155.5846000000001</v>
      </c>
      <c r="I3615" s="1">
        <v>40620</v>
      </c>
      <c r="J3615">
        <v>10328.4</v>
      </c>
      <c r="K3615" s="1">
        <v>40583</v>
      </c>
      <c r="L3615">
        <v>22683.46</v>
      </c>
    </row>
    <row r="3616" spans="1:12" x14ac:dyDescent="0.35">
      <c r="A3616" s="1">
        <v>40637</v>
      </c>
      <c r="B3616">
        <v>2955.84</v>
      </c>
      <c r="C3616" s="1">
        <v>40623</v>
      </c>
      <c r="D3616">
        <v>3904.45</v>
      </c>
      <c r="E3616" s="1">
        <v>40578</v>
      </c>
      <c r="F3616">
        <v>7216.21</v>
      </c>
      <c r="G3616" s="1">
        <v>40555</v>
      </c>
      <c r="H3616">
        <v>7280.9359400000003</v>
      </c>
      <c r="I3616" s="1">
        <v>40619</v>
      </c>
      <c r="J3616">
        <v>10325.6</v>
      </c>
      <c r="K3616" s="1">
        <v>40582</v>
      </c>
      <c r="L3616">
        <v>22734.17</v>
      </c>
    </row>
    <row r="3617" spans="1:12" x14ac:dyDescent="0.35">
      <c r="A3617" s="1">
        <v>40634</v>
      </c>
      <c r="B3617">
        <v>2962.92</v>
      </c>
      <c r="C3617" s="1">
        <v>40620</v>
      </c>
      <c r="D3617">
        <v>3810.22</v>
      </c>
      <c r="E3617" s="1">
        <v>40577</v>
      </c>
      <c r="F3617">
        <v>7193.68</v>
      </c>
      <c r="G3617" s="1">
        <v>40554</v>
      </c>
      <c r="H3617">
        <v>7242.43354</v>
      </c>
      <c r="I3617" s="1">
        <v>40618</v>
      </c>
      <c r="J3617">
        <v>10092.6</v>
      </c>
      <c r="K3617" s="1">
        <v>40581</v>
      </c>
      <c r="L3617">
        <v>22793.01</v>
      </c>
    </row>
    <row r="3618" spans="1:12" x14ac:dyDescent="0.35">
      <c r="A3618" s="1">
        <v>40633</v>
      </c>
      <c r="B3618">
        <v>2910.91</v>
      </c>
      <c r="C3618" s="1">
        <v>40619</v>
      </c>
      <c r="D3618">
        <v>3786.21</v>
      </c>
      <c r="E3618" s="1">
        <v>40576</v>
      </c>
      <c r="F3618">
        <v>7183.67</v>
      </c>
      <c r="G3618" s="1">
        <v>40553</v>
      </c>
      <c r="H3618">
        <v>7166.7991099999999</v>
      </c>
      <c r="I3618" s="1">
        <v>40617</v>
      </c>
      <c r="J3618">
        <v>10329.700000000001</v>
      </c>
      <c r="K3618" s="1">
        <v>40578</v>
      </c>
      <c r="L3618">
        <v>22618.05</v>
      </c>
    </row>
    <row r="3619" spans="1:12" x14ac:dyDescent="0.35">
      <c r="A3619" s="1">
        <v>40632</v>
      </c>
      <c r="B3619">
        <v>2936.44</v>
      </c>
      <c r="C3619" s="1">
        <v>40618</v>
      </c>
      <c r="D3619">
        <v>3696.56</v>
      </c>
      <c r="E3619" s="1">
        <v>40575</v>
      </c>
      <c r="F3619">
        <v>7184.27</v>
      </c>
      <c r="G3619" s="1">
        <v>40550</v>
      </c>
      <c r="H3619">
        <v>7197.4011499999997</v>
      </c>
      <c r="I3619" s="1">
        <v>40616</v>
      </c>
      <c r="J3619">
        <v>10415.9</v>
      </c>
      <c r="K3619" s="1">
        <v>40577</v>
      </c>
      <c r="L3619">
        <v>22443.86</v>
      </c>
    </row>
    <row r="3620" spans="1:12" x14ac:dyDescent="0.35">
      <c r="A3620" s="1">
        <v>40631</v>
      </c>
      <c r="B3620">
        <v>2910.93</v>
      </c>
      <c r="C3620" s="1">
        <v>40617</v>
      </c>
      <c r="D3620">
        <v>3780.85</v>
      </c>
      <c r="E3620" s="1">
        <v>40574</v>
      </c>
      <c r="F3620">
        <v>7077.48</v>
      </c>
      <c r="G3620" s="1">
        <v>40549</v>
      </c>
      <c r="H3620">
        <v>7159.3726900000001</v>
      </c>
      <c r="I3620" s="1">
        <v>40613</v>
      </c>
      <c r="J3620">
        <v>10398.4</v>
      </c>
      <c r="K3620" s="1">
        <v>40576</v>
      </c>
      <c r="L3620">
        <v>22653.59</v>
      </c>
    </row>
    <row r="3621" spans="1:12" x14ac:dyDescent="0.35">
      <c r="A3621" s="1">
        <v>40630</v>
      </c>
      <c r="B3621">
        <v>2914.76</v>
      </c>
      <c r="C3621" s="1">
        <v>40616</v>
      </c>
      <c r="D3621">
        <v>3878.04</v>
      </c>
      <c r="E3621" s="1">
        <v>40571</v>
      </c>
      <c r="F3621">
        <v>7102.8</v>
      </c>
      <c r="G3621" s="1">
        <v>40548</v>
      </c>
      <c r="H3621">
        <v>7106.10862</v>
      </c>
      <c r="I3621" s="1">
        <v>40612</v>
      </c>
      <c r="J3621">
        <v>10435.6</v>
      </c>
      <c r="K3621" s="1">
        <v>40575</v>
      </c>
      <c r="L3621">
        <v>22525.59</v>
      </c>
    </row>
    <row r="3622" spans="1:12" x14ac:dyDescent="0.35">
      <c r="A3622" s="1">
        <v>40627</v>
      </c>
      <c r="B3622">
        <v>2911.33</v>
      </c>
      <c r="C3622" s="1">
        <v>40613</v>
      </c>
      <c r="D3622">
        <v>3928.68</v>
      </c>
      <c r="E3622" s="1">
        <v>40570</v>
      </c>
      <c r="F3622">
        <v>7155.58</v>
      </c>
      <c r="G3622" s="1">
        <v>40547</v>
      </c>
      <c r="H3622">
        <v>7041.0249000000003</v>
      </c>
      <c r="I3622" s="1">
        <v>40611</v>
      </c>
      <c r="J3622">
        <v>10559.5</v>
      </c>
      <c r="K3622" s="1">
        <v>40574</v>
      </c>
      <c r="L3622">
        <v>22050.45</v>
      </c>
    </row>
    <row r="3623" spans="1:12" x14ac:dyDescent="0.35">
      <c r="A3623" s="1">
        <v>40626</v>
      </c>
      <c r="B3623">
        <v>2909.78</v>
      </c>
      <c r="C3623" s="1">
        <v>40612</v>
      </c>
      <c r="D3623">
        <v>3963.99</v>
      </c>
      <c r="E3623" s="1">
        <v>40569</v>
      </c>
      <c r="F3623">
        <v>7127.35</v>
      </c>
      <c r="G3623" s="1">
        <v>40543</v>
      </c>
      <c r="H3623">
        <v>6882.0862299999999</v>
      </c>
      <c r="I3623" s="1">
        <v>40610</v>
      </c>
      <c r="J3623">
        <v>10568.7</v>
      </c>
      <c r="K3623" s="1">
        <v>40571</v>
      </c>
      <c r="L3623">
        <v>22025.11</v>
      </c>
    </row>
    <row r="3624" spans="1:12" x14ac:dyDescent="0.35">
      <c r="A3624" s="1">
        <v>40625</v>
      </c>
      <c r="B3624">
        <v>2866.23</v>
      </c>
      <c r="C3624" s="1">
        <v>40611</v>
      </c>
      <c r="D3624">
        <v>3993.81</v>
      </c>
      <c r="E3624" s="1">
        <v>40568</v>
      </c>
      <c r="F3624">
        <v>7059.01</v>
      </c>
      <c r="G3624" s="1">
        <v>40542</v>
      </c>
      <c r="H3624">
        <v>6930.3873899999999</v>
      </c>
      <c r="I3624" s="1">
        <v>40609</v>
      </c>
      <c r="J3624">
        <v>10495.7</v>
      </c>
      <c r="K3624" s="1">
        <v>40570</v>
      </c>
      <c r="L3624">
        <v>22311.52</v>
      </c>
    </row>
    <row r="3625" spans="1:12" x14ac:dyDescent="0.35">
      <c r="A3625" s="1">
        <v>40624</v>
      </c>
      <c r="B3625">
        <v>2854.79</v>
      </c>
      <c r="C3625" s="1">
        <v>40610</v>
      </c>
      <c r="D3625">
        <v>4015.91</v>
      </c>
      <c r="E3625" s="1">
        <v>40567</v>
      </c>
      <c r="F3625">
        <v>7067.77</v>
      </c>
      <c r="G3625" s="1">
        <v>40541</v>
      </c>
      <c r="H3625">
        <v>7040.2331199999999</v>
      </c>
      <c r="I3625" s="1">
        <v>40606</v>
      </c>
      <c r="J3625">
        <v>10498.7</v>
      </c>
      <c r="K3625" s="1">
        <v>40569</v>
      </c>
      <c r="L3625">
        <v>22007</v>
      </c>
    </row>
    <row r="3626" spans="1:12" x14ac:dyDescent="0.35">
      <c r="A3626" s="1">
        <v>40623</v>
      </c>
      <c r="B3626">
        <v>2860.81</v>
      </c>
      <c r="C3626" s="1">
        <v>40609</v>
      </c>
      <c r="D3626">
        <v>3990.41</v>
      </c>
      <c r="E3626" s="1">
        <v>40564</v>
      </c>
      <c r="F3626">
        <v>7062.42</v>
      </c>
      <c r="G3626" s="1">
        <v>40536</v>
      </c>
      <c r="H3626">
        <v>7071.7969700000003</v>
      </c>
      <c r="I3626" s="1">
        <v>40605</v>
      </c>
      <c r="J3626">
        <v>10566.9</v>
      </c>
      <c r="K3626" s="1">
        <v>40568</v>
      </c>
      <c r="L3626">
        <v>21940.13</v>
      </c>
    </row>
    <row r="3627" spans="1:12" x14ac:dyDescent="0.35">
      <c r="A3627" s="1">
        <v>40620</v>
      </c>
      <c r="B3627">
        <v>2792.61</v>
      </c>
      <c r="C3627" s="1">
        <v>40606</v>
      </c>
      <c r="D3627">
        <v>4020.21</v>
      </c>
      <c r="E3627" s="1">
        <v>40563</v>
      </c>
      <c r="F3627">
        <v>7024.27</v>
      </c>
      <c r="G3627" s="1">
        <v>40535</v>
      </c>
      <c r="H3627">
        <v>7047.2340199999999</v>
      </c>
      <c r="I3627" s="1">
        <v>40604</v>
      </c>
      <c r="J3627">
        <v>10643.8</v>
      </c>
      <c r="K3627" s="1">
        <v>40567</v>
      </c>
      <c r="L3627">
        <v>22156.85</v>
      </c>
    </row>
    <row r="3628" spans="1:12" x14ac:dyDescent="0.35">
      <c r="A3628" s="1">
        <v>40619</v>
      </c>
      <c r="B3628">
        <v>2786.16</v>
      </c>
      <c r="C3628" s="1">
        <v>40605</v>
      </c>
      <c r="D3628">
        <v>4060.76</v>
      </c>
      <c r="E3628" s="1">
        <v>40562</v>
      </c>
      <c r="F3628">
        <v>7082.76</v>
      </c>
      <c r="G3628" s="1">
        <v>40534</v>
      </c>
      <c r="H3628">
        <v>7027.7546300000004</v>
      </c>
      <c r="I3628" s="1">
        <v>40603</v>
      </c>
      <c r="J3628">
        <v>10761.9</v>
      </c>
      <c r="K3628" s="1">
        <v>40564</v>
      </c>
      <c r="L3628">
        <v>22093.85</v>
      </c>
    </row>
    <row r="3629" spans="1:12" x14ac:dyDescent="0.35">
      <c r="A3629" s="1">
        <v>40618</v>
      </c>
      <c r="B3629">
        <v>2721.24</v>
      </c>
      <c r="C3629" s="1">
        <v>40604</v>
      </c>
      <c r="D3629">
        <v>4034.32</v>
      </c>
      <c r="E3629" s="1">
        <v>40561</v>
      </c>
      <c r="F3629">
        <v>7143.45</v>
      </c>
      <c r="G3629" s="1">
        <v>40533</v>
      </c>
      <c r="H3629">
        <v>7017.4080899999999</v>
      </c>
      <c r="I3629" s="1">
        <v>40602</v>
      </c>
      <c r="J3629">
        <v>10850.8</v>
      </c>
      <c r="K3629" s="1">
        <v>40563</v>
      </c>
      <c r="L3629">
        <v>21792.28</v>
      </c>
    </row>
    <row r="3630" spans="1:12" x14ac:dyDescent="0.35">
      <c r="A3630" s="1">
        <v>40617</v>
      </c>
      <c r="B3630">
        <v>2784.2</v>
      </c>
      <c r="C3630" s="1">
        <v>40603</v>
      </c>
      <c r="D3630">
        <v>4067.15</v>
      </c>
      <c r="E3630" s="1">
        <v>40560</v>
      </c>
      <c r="F3630">
        <v>7078.06</v>
      </c>
      <c r="G3630" s="1">
        <v>40532</v>
      </c>
      <c r="H3630">
        <v>6962.8934499999996</v>
      </c>
      <c r="I3630" s="1">
        <v>40599</v>
      </c>
      <c r="J3630">
        <v>10822.7</v>
      </c>
      <c r="K3630" s="1">
        <v>40562</v>
      </c>
      <c r="L3630">
        <v>21712.14</v>
      </c>
    </row>
    <row r="3631" spans="1:12" x14ac:dyDescent="0.35">
      <c r="A3631" s="1">
        <v>40616</v>
      </c>
      <c r="B3631">
        <v>2852.11</v>
      </c>
      <c r="C3631" s="1">
        <v>40602</v>
      </c>
      <c r="D3631">
        <v>4110.3500000000004</v>
      </c>
      <c r="E3631" s="1">
        <v>40557</v>
      </c>
      <c r="F3631">
        <v>7075.7</v>
      </c>
      <c r="G3631" s="1">
        <v>40529</v>
      </c>
      <c r="H3631">
        <v>6909.8839699999999</v>
      </c>
      <c r="I3631" s="1">
        <v>40598</v>
      </c>
      <c r="J3631">
        <v>10647.6</v>
      </c>
      <c r="K3631" s="1">
        <v>40561</v>
      </c>
      <c r="L3631">
        <v>21590.86</v>
      </c>
    </row>
    <row r="3632" spans="1:12" x14ac:dyDescent="0.35">
      <c r="A3632" s="1">
        <v>40613</v>
      </c>
      <c r="B3632">
        <v>2883.84</v>
      </c>
      <c r="C3632" s="1">
        <v>40599</v>
      </c>
      <c r="D3632">
        <v>4070.38</v>
      </c>
      <c r="E3632" s="1">
        <v>40556</v>
      </c>
      <c r="F3632">
        <v>7075.11</v>
      </c>
      <c r="G3632" s="1">
        <v>40528</v>
      </c>
      <c r="H3632">
        <v>6939.74827</v>
      </c>
      <c r="I3632" s="1">
        <v>40597</v>
      </c>
      <c r="J3632">
        <v>10633.4</v>
      </c>
      <c r="K3632" s="1">
        <v>40560</v>
      </c>
      <c r="L3632">
        <v>21344.14</v>
      </c>
    </row>
    <row r="3633" spans="1:12" x14ac:dyDescent="0.35">
      <c r="A3633" s="1">
        <v>40612</v>
      </c>
      <c r="B3633">
        <v>2909.73</v>
      </c>
      <c r="C3633" s="1">
        <v>40598</v>
      </c>
      <c r="D3633">
        <v>4009.64</v>
      </c>
      <c r="E3633" s="1">
        <v>40555</v>
      </c>
      <c r="F3633">
        <v>7068.78</v>
      </c>
      <c r="G3633" s="1">
        <v>40527</v>
      </c>
      <c r="H3633">
        <v>6896.8837400000002</v>
      </c>
      <c r="I3633" s="1">
        <v>40596</v>
      </c>
      <c r="J3633">
        <v>10701.9</v>
      </c>
      <c r="K3633" s="1">
        <v>40557</v>
      </c>
      <c r="L3633">
        <v>21460.09</v>
      </c>
    </row>
    <row r="3634" spans="1:12" x14ac:dyDescent="0.35">
      <c r="A3634" s="1">
        <v>40611</v>
      </c>
      <c r="B3634">
        <v>2935.11</v>
      </c>
      <c r="C3634" s="1">
        <v>40597</v>
      </c>
      <c r="D3634">
        <v>4013.12</v>
      </c>
      <c r="E3634" s="1">
        <v>40554</v>
      </c>
      <c r="F3634">
        <v>6941.57</v>
      </c>
      <c r="G3634" s="1">
        <v>40526</v>
      </c>
      <c r="H3634">
        <v>6941.4547899999998</v>
      </c>
      <c r="I3634" s="1">
        <v>40595</v>
      </c>
      <c r="J3634">
        <v>10810.5</v>
      </c>
      <c r="K3634" s="1">
        <v>40556</v>
      </c>
      <c r="L3634">
        <v>21308.13</v>
      </c>
    </row>
    <row r="3635" spans="1:12" x14ac:dyDescent="0.35">
      <c r="A3635" s="1">
        <v>40610</v>
      </c>
      <c r="B3635">
        <v>2945.42</v>
      </c>
      <c r="C3635" s="1">
        <v>40596</v>
      </c>
      <c r="D3635">
        <v>4050.27</v>
      </c>
      <c r="E3635" s="1">
        <v>40553</v>
      </c>
      <c r="F3635">
        <v>6857.06</v>
      </c>
      <c r="G3635" s="1">
        <v>40525</v>
      </c>
      <c r="H3635">
        <v>6956.5201800000004</v>
      </c>
      <c r="I3635" s="1">
        <v>40592</v>
      </c>
      <c r="J3635">
        <v>11068.1</v>
      </c>
      <c r="K3635" s="1">
        <v>40555</v>
      </c>
      <c r="L3635">
        <v>21116.39</v>
      </c>
    </row>
    <row r="3636" spans="1:12" x14ac:dyDescent="0.35">
      <c r="A3636" s="1">
        <v>40609</v>
      </c>
      <c r="B3636">
        <v>2931.42</v>
      </c>
      <c r="C3636" s="1">
        <v>40595</v>
      </c>
      <c r="D3636">
        <v>4097.41</v>
      </c>
      <c r="E3636" s="1">
        <v>40550</v>
      </c>
      <c r="F3636">
        <v>6947.84</v>
      </c>
      <c r="G3636" s="1">
        <v>40522</v>
      </c>
      <c r="H3636">
        <v>6941.43923</v>
      </c>
      <c r="I3636" s="1">
        <v>40591</v>
      </c>
      <c r="J3636">
        <v>11113</v>
      </c>
      <c r="K3636" s="1">
        <v>40554</v>
      </c>
      <c r="L3636">
        <v>20339.05</v>
      </c>
    </row>
    <row r="3637" spans="1:12" x14ac:dyDescent="0.35">
      <c r="A3637" s="1">
        <v>40606</v>
      </c>
      <c r="B3637">
        <v>2949.18</v>
      </c>
      <c r="C3637" s="1">
        <v>40592</v>
      </c>
      <c r="D3637">
        <v>4157.1400000000003</v>
      </c>
      <c r="E3637" s="1">
        <v>40549</v>
      </c>
      <c r="F3637">
        <v>6981.39</v>
      </c>
      <c r="G3637" s="1">
        <v>40521</v>
      </c>
      <c r="H3637">
        <v>6924.5712800000001</v>
      </c>
      <c r="I3637" s="1">
        <v>40590</v>
      </c>
      <c r="J3637">
        <v>11047.8</v>
      </c>
      <c r="K3637" s="1">
        <v>40553</v>
      </c>
      <c r="L3637">
        <v>20058.18</v>
      </c>
    </row>
    <row r="3638" spans="1:12" x14ac:dyDescent="0.35">
      <c r="A3638" s="1">
        <v>40605</v>
      </c>
      <c r="B3638">
        <v>2969.24</v>
      </c>
      <c r="C3638" s="1">
        <v>40591</v>
      </c>
      <c r="D3638">
        <v>4152.3100000000004</v>
      </c>
      <c r="E3638" s="1">
        <v>40548</v>
      </c>
      <c r="F3638">
        <v>6939.82</v>
      </c>
      <c r="G3638" s="1">
        <v>40520</v>
      </c>
      <c r="H3638">
        <v>6911.4580800000003</v>
      </c>
      <c r="I3638" s="1">
        <v>40589</v>
      </c>
      <c r="J3638">
        <v>10826.2</v>
      </c>
      <c r="K3638" s="1">
        <v>40550</v>
      </c>
      <c r="L3638">
        <v>20542.060000000001</v>
      </c>
    </row>
    <row r="3639" spans="1:12" x14ac:dyDescent="0.35">
      <c r="A3639" s="1">
        <v>40604</v>
      </c>
      <c r="B3639">
        <v>2958.8</v>
      </c>
      <c r="C3639" s="1">
        <v>40590</v>
      </c>
      <c r="D3639">
        <v>4151.26</v>
      </c>
      <c r="E3639" s="1">
        <v>40547</v>
      </c>
      <c r="F3639">
        <v>6975.35</v>
      </c>
      <c r="G3639" s="1">
        <v>40519</v>
      </c>
      <c r="H3639">
        <v>6885.3342700000003</v>
      </c>
      <c r="I3639" s="1">
        <v>40588</v>
      </c>
      <c r="J3639">
        <v>10774.7</v>
      </c>
      <c r="K3639" s="1">
        <v>40549</v>
      </c>
      <c r="L3639">
        <v>20637.39</v>
      </c>
    </row>
    <row r="3640" spans="1:12" x14ac:dyDescent="0.35">
      <c r="A3640" s="1">
        <v>40603</v>
      </c>
      <c r="B3640">
        <v>2983.27</v>
      </c>
      <c r="C3640" s="1">
        <v>40589</v>
      </c>
      <c r="D3640">
        <v>4110.34</v>
      </c>
      <c r="E3640" s="1">
        <v>40546</v>
      </c>
      <c r="F3640">
        <v>6989.74</v>
      </c>
      <c r="G3640" s="1">
        <v>40518</v>
      </c>
      <c r="H3640">
        <v>6812.6363600000004</v>
      </c>
      <c r="I3640" s="1">
        <v>40585</v>
      </c>
      <c r="J3640">
        <v>10803.6</v>
      </c>
      <c r="K3640" s="1">
        <v>40548</v>
      </c>
      <c r="L3640">
        <v>20551.580000000002</v>
      </c>
    </row>
    <row r="3641" spans="1:12" x14ac:dyDescent="0.35">
      <c r="A3641" s="1">
        <v>40602</v>
      </c>
      <c r="B3641">
        <v>3013.09</v>
      </c>
      <c r="C3641" s="1">
        <v>40588</v>
      </c>
      <c r="D3641">
        <v>4096.62</v>
      </c>
      <c r="E3641" s="1">
        <v>40542</v>
      </c>
      <c r="F3641">
        <v>6914.19</v>
      </c>
      <c r="G3641" s="1">
        <v>40515</v>
      </c>
      <c r="H3641">
        <v>6763.3963800000001</v>
      </c>
      <c r="I3641" s="1">
        <v>40584</v>
      </c>
      <c r="J3641">
        <v>10791.9</v>
      </c>
      <c r="K3641" s="1">
        <v>40547</v>
      </c>
      <c r="L3641">
        <v>20547.03</v>
      </c>
    </row>
    <row r="3642" spans="1:12" x14ac:dyDescent="0.35">
      <c r="A3642" s="1">
        <v>40599</v>
      </c>
      <c r="B3642">
        <v>2985.02</v>
      </c>
      <c r="C3642" s="1">
        <v>40585</v>
      </c>
      <c r="D3642">
        <v>4101.3100000000004</v>
      </c>
      <c r="E3642" s="1">
        <v>40541</v>
      </c>
      <c r="F3642">
        <v>6995.47</v>
      </c>
      <c r="G3642" s="1">
        <v>40514</v>
      </c>
      <c r="H3642">
        <v>6811.5215600000001</v>
      </c>
      <c r="I3642" s="1">
        <v>40583</v>
      </c>
      <c r="J3642">
        <v>10935.6</v>
      </c>
      <c r="K3642" s="1">
        <v>40546</v>
      </c>
      <c r="L3642">
        <v>20436.28</v>
      </c>
    </row>
    <row r="3643" spans="1:12" x14ac:dyDescent="0.35">
      <c r="A3643" s="1">
        <v>40598</v>
      </c>
      <c r="B3643">
        <v>2949.13</v>
      </c>
      <c r="C3643" s="1">
        <v>40584</v>
      </c>
      <c r="D3643">
        <v>4095.14</v>
      </c>
      <c r="E3643" s="1">
        <v>40540</v>
      </c>
      <c r="F3643">
        <v>6972.1</v>
      </c>
      <c r="G3643" s="1">
        <v>40513</v>
      </c>
      <c r="H3643">
        <v>6701.4625999999998</v>
      </c>
      <c r="I3643" s="1">
        <v>40582</v>
      </c>
      <c r="J3643">
        <v>10965.1</v>
      </c>
      <c r="K3643" s="1">
        <v>40542</v>
      </c>
      <c r="L3643">
        <v>20173.29</v>
      </c>
    </row>
    <row r="3644" spans="1:12" x14ac:dyDescent="0.35">
      <c r="A3644" s="1">
        <v>40597</v>
      </c>
      <c r="B3644">
        <v>2954.92</v>
      </c>
      <c r="C3644" s="1">
        <v>40583</v>
      </c>
      <c r="D3644">
        <v>4090.74</v>
      </c>
      <c r="E3644" s="1">
        <v>40539</v>
      </c>
      <c r="F3644">
        <v>6970.73</v>
      </c>
      <c r="G3644" s="1">
        <v>40512</v>
      </c>
      <c r="H3644">
        <v>6606.4501200000004</v>
      </c>
      <c r="I3644" s="1">
        <v>40581</v>
      </c>
      <c r="J3644">
        <v>10922.6</v>
      </c>
      <c r="K3644" s="1">
        <v>40541</v>
      </c>
      <c r="L3644">
        <v>20471.009999999998</v>
      </c>
    </row>
    <row r="3645" spans="1:12" x14ac:dyDescent="0.35">
      <c r="A3645" s="1">
        <v>40596</v>
      </c>
      <c r="B3645">
        <v>2983.33</v>
      </c>
      <c r="C3645" s="1">
        <v>40582</v>
      </c>
      <c r="D3645">
        <v>4108.2700000000004</v>
      </c>
      <c r="E3645" s="1">
        <v>40535</v>
      </c>
      <c r="F3645">
        <v>7057.69</v>
      </c>
      <c r="G3645" s="1">
        <v>40511</v>
      </c>
      <c r="H3645">
        <v>6589.6350899999998</v>
      </c>
      <c r="I3645" s="1">
        <v>40578</v>
      </c>
      <c r="J3645">
        <v>10854.7</v>
      </c>
      <c r="K3645" s="1">
        <v>40540</v>
      </c>
      <c r="L3645">
        <v>20448.48</v>
      </c>
    </row>
    <row r="3646" spans="1:12" x14ac:dyDescent="0.35">
      <c r="A3646" s="1">
        <v>40595</v>
      </c>
      <c r="B3646">
        <v>3012.34</v>
      </c>
      <c r="C3646" s="1">
        <v>40581</v>
      </c>
      <c r="D3646">
        <v>4090.8</v>
      </c>
      <c r="E3646" s="1">
        <v>40534</v>
      </c>
      <c r="F3646">
        <v>7067.92</v>
      </c>
      <c r="G3646" s="1">
        <v>40508</v>
      </c>
      <c r="H3646">
        <v>6681.7474099999999</v>
      </c>
      <c r="I3646" s="1">
        <v>40577</v>
      </c>
      <c r="J3646">
        <v>10860.7</v>
      </c>
      <c r="K3646" s="1">
        <v>40539</v>
      </c>
      <c r="L3646">
        <v>20513.509999999998</v>
      </c>
    </row>
    <row r="3647" spans="1:12" x14ac:dyDescent="0.35">
      <c r="A3647" s="1">
        <v>40592</v>
      </c>
      <c r="B3647">
        <v>3068</v>
      </c>
      <c r="C3647" s="1">
        <v>40578</v>
      </c>
      <c r="D3647">
        <v>4047.21</v>
      </c>
      <c r="E3647" s="1">
        <v>40533</v>
      </c>
      <c r="F3647">
        <v>7077.99</v>
      </c>
      <c r="G3647" s="1">
        <v>40507</v>
      </c>
      <c r="H3647">
        <v>6719.8373899999997</v>
      </c>
      <c r="I3647" s="1">
        <v>40576</v>
      </c>
      <c r="J3647">
        <v>11010.2</v>
      </c>
      <c r="K3647" s="1">
        <v>40535</v>
      </c>
      <c r="L3647">
        <v>20774.16</v>
      </c>
    </row>
    <row r="3648" spans="1:12" x14ac:dyDescent="0.35">
      <c r="A3648" s="1">
        <v>40591</v>
      </c>
      <c r="B3648">
        <v>3064.54</v>
      </c>
      <c r="C3648" s="1">
        <v>40577</v>
      </c>
      <c r="D3648">
        <v>4036.59</v>
      </c>
      <c r="E3648" s="1">
        <v>40532</v>
      </c>
      <c r="F3648">
        <v>7018.6</v>
      </c>
      <c r="G3648" s="1">
        <v>40506</v>
      </c>
      <c r="H3648">
        <v>6679.2788600000003</v>
      </c>
      <c r="I3648" s="1">
        <v>40575</v>
      </c>
      <c r="J3648">
        <v>10967.9</v>
      </c>
      <c r="K3648" s="1">
        <v>40534</v>
      </c>
      <c r="L3648">
        <v>20733.37</v>
      </c>
    </row>
    <row r="3649" spans="1:12" x14ac:dyDescent="0.35">
      <c r="A3649" s="1">
        <v>40590</v>
      </c>
      <c r="B3649">
        <v>3061.92</v>
      </c>
      <c r="C3649" s="1">
        <v>40576</v>
      </c>
      <c r="D3649">
        <v>4066.53</v>
      </c>
      <c r="E3649" s="1">
        <v>40529</v>
      </c>
      <c r="F3649">
        <v>6982.45</v>
      </c>
      <c r="G3649" s="1">
        <v>40505</v>
      </c>
      <c r="H3649">
        <v>6588.9358700000003</v>
      </c>
      <c r="I3649" s="1">
        <v>40574</v>
      </c>
      <c r="J3649">
        <v>10806</v>
      </c>
      <c r="K3649" s="1">
        <v>40533</v>
      </c>
      <c r="L3649">
        <v>20736.599999999999</v>
      </c>
    </row>
    <row r="3650" spans="1:12" x14ac:dyDescent="0.35">
      <c r="A3650" s="1">
        <v>40589</v>
      </c>
      <c r="B3650">
        <v>3030.46</v>
      </c>
      <c r="C3650" s="1">
        <v>40575</v>
      </c>
      <c r="D3650">
        <v>4072.62</v>
      </c>
      <c r="E3650" s="1">
        <v>40528</v>
      </c>
      <c r="F3650">
        <v>7024.4</v>
      </c>
      <c r="G3650" s="1">
        <v>40504</v>
      </c>
      <c r="H3650">
        <v>6648.67821</v>
      </c>
      <c r="I3650" s="1">
        <v>40571</v>
      </c>
      <c r="J3650">
        <v>10747</v>
      </c>
      <c r="K3650" s="1">
        <v>40532</v>
      </c>
      <c r="L3650">
        <v>20373.66</v>
      </c>
    </row>
    <row r="3651" spans="1:12" x14ac:dyDescent="0.35">
      <c r="A3651" s="1">
        <v>40588</v>
      </c>
      <c r="B3651">
        <v>3018.38</v>
      </c>
      <c r="C3651" s="1">
        <v>40574</v>
      </c>
      <c r="D3651">
        <v>4005.5</v>
      </c>
      <c r="E3651" s="1">
        <v>40527</v>
      </c>
      <c r="F3651">
        <v>7016.37</v>
      </c>
      <c r="G3651" s="1">
        <v>40501</v>
      </c>
      <c r="H3651">
        <v>6704.7523799999999</v>
      </c>
      <c r="I3651" s="1">
        <v>40570</v>
      </c>
      <c r="J3651">
        <v>10828.7</v>
      </c>
      <c r="K3651" s="1">
        <v>40529</v>
      </c>
      <c r="L3651">
        <v>20069.18</v>
      </c>
    </row>
    <row r="3652" spans="1:12" x14ac:dyDescent="0.35">
      <c r="A3652" s="1">
        <v>40585</v>
      </c>
      <c r="B3652">
        <v>3024.37</v>
      </c>
      <c r="C3652" s="1">
        <v>40571</v>
      </c>
      <c r="D3652">
        <v>4002.32</v>
      </c>
      <c r="E3652" s="1">
        <v>40526</v>
      </c>
      <c r="F3652">
        <v>7027.4</v>
      </c>
      <c r="G3652" s="1">
        <v>40500</v>
      </c>
      <c r="H3652">
        <v>6791.0291299999999</v>
      </c>
      <c r="I3652" s="1">
        <v>40569</v>
      </c>
      <c r="J3652">
        <v>10670.7</v>
      </c>
      <c r="K3652" s="1">
        <v>40528</v>
      </c>
      <c r="L3652">
        <v>20366.62</v>
      </c>
    </row>
    <row r="3653" spans="1:12" x14ac:dyDescent="0.35">
      <c r="A3653" s="1">
        <v>40584</v>
      </c>
      <c r="B3653">
        <v>3025.68</v>
      </c>
      <c r="C3653" s="1">
        <v>40570</v>
      </c>
      <c r="D3653">
        <v>4059.57</v>
      </c>
      <c r="E3653" s="1">
        <v>40525</v>
      </c>
      <c r="F3653">
        <v>7029.39</v>
      </c>
      <c r="G3653" s="1">
        <v>40499</v>
      </c>
      <c r="H3653">
        <v>6690.0516699999998</v>
      </c>
      <c r="I3653" s="1">
        <v>40568</v>
      </c>
      <c r="J3653">
        <v>10664.4</v>
      </c>
      <c r="K3653" s="1">
        <v>40527</v>
      </c>
      <c r="L3653">
        <v>20410.27</v>
      </c>
    </row>
    <row r="3654" spans="1:12" x14ac:dyDescent="0.35">
      <c r="A3654" s="1">
        <v>40583</v>
      </c>
      <c r="B3654">
        <v>3031.62</v>
      </c>
      <c r="C3654" s="1">
        <v>40569</v>
      </c>
      <c r="D3654">
        <v>4049.07</v>
      </c>
      <c r="E3654" s="1">
        <v>40522</v>
      </c>
      <c r="F3654">
        <v>7006.17</v>
      </c>
      <c r="G3654" s="1">
        <v>40498</v>
      </c>
      <c r="H3654">
        <v>6685.9762099999998</v>
      </c>
      <c r="I3654" s="1">
        <v>40567</v>
      </c>
      <c r="J3654">
        <v>10815.4</v>
      </c>
      <c r="K3654" s="1">
        <v>40526</v>
      </c>
      <c r="L3654">
        <v>20708.580000000002</v>
      </c>
    </row>
    <row r="3655" spans="1:12" x14ac:dyDescent="0.35">
      <c r="A3655" s="1">
        <v>40582</v>
      </c>
      <c r="B3655">
        <v>3042.5</v>
      </c>
      <c r="C3655" s="1">
        <v>40568</v>
      </c>
      <c r="D3655">
        <v>4019.62</v>
      </c>
      <c r="E3655" s="1">
        <v>40521</v>
      </c>
      <c r="F3655">
        <v>6964.16</v>
      </c>
      <c r="G3655" s="1">
        <v>40497</v>
      </c>
      <c r="H3655">
        <v>6868.7935500000003</v>
      </c>
      <c r="I3655" s="1">
        <v>40564</v>
      </c>
      <c r="J3655">
        <v>10829.1</v>
      </c>
      <c r="K3655" s="1">
        <v>40525</v>
      </c>
      <c r="L3655">
        <v>20634.599999999999</v>
      </c>
    </row>
    <row r="3656" spans="1:12" x14ac:dyDescent="0.35">
      <c r="A3656" s="1">
        <v>40581</v>
      </c>
      <c r="B3656">
        <v>3031.18</v>
      </c>
      <c r="C3656" s="1">
        <v>40567</v>
      </c>
      <c r="D3656">
        <v>4033.21</v>
      </c>
      <c r="E3656" s="1">
        <v>40520</v>
      </c>
      <c r="F3656">
        <v>6975.87</v>
      </c>
      <c r="G3656" s="1">
        <v>40494</v>
      </c>
      <c r="H3656">
        <v>6840.6289299999999</v>
      </c>
      <c r="I3656" s="1">
        <v>40563</v>
      </c>
      <c r="J3656">
        <v>10636.9</v>
      </c>
      <c r="K3656" s="1">
        <v>40522</v>
      </c>
      <c r="L3656">
        <v>20487.34</v>
      </c>
    </row>
    <row r="3657" spans="1:12" x14ac:dyDescent="0.35">
      <c r="A3657" s="1">
        <v>40578</v>
      </c>
      <c r="B3657">
        <v>3003.19</v>
      </c>
      <c r="C3657" s="1">
        <v>40564</v>
      </c>
      <c r="D3657">
        <v>4017.45</v>
      </c>
      <c r="E3657" s="1">
        <v>40519</v>
      </c>
      <c r="F3657">
        <v>7001.91</v>
      </c>
      <c r="G3657" s="1">
        <v>40493</v>
      </c>
      <c r="H3657">
        <v>6861.8180499999999</v>
      </c>
      <c r="I3657" s="1">
        <v>40562</v>
      </c>
      <c r="J3657">
        <v>10556.5</v>
      </c>
      <c r="K3657" s="1">
        <v>40521</v>
      </c>
      <c r="L3657">
        <v>20533.560000000001</v>
      </c>
    </row>
    <row r="3658" spans="1:12" x14ac:dyDescent="0.35">
      <c r="A3658" s="1">
        <v>40577</v>
      </c>
      <c r="B3658">
        <v>2995.49</v>
      </c>
      <c r="C3658" s="1">
        <v>40563</v>
      </c>
      <c r="D3658">
        <v>3964.84</v>
      </c>
      <c r="E3658" s="1">
        <v>40518</v>
      </c>
      <c r="F3658">
        <v>6954.38</v>
      </c>
      <c r="G3658" s="1">
        <v>40492</v>
      </c>
      <c r="H3658">
        <v>6810.7060600000004</v>
      </c>
      <c r="I3658" s="1">
        <v>40561</v>
      </c>
      <c r="J3658">
        <v>10583.4</v>
      </c>
      <c r="K3658" s="1">
        <v>40520</v>
      </c>
      <c r="L3658">
        <v>20393.95</v>
      </c>
    </row>
    <row r="3659" spans="1:12" x14ac:dyDescent="0.35">
      <c r="A3659" s="1">
        <v>40576</v>
      </c>
      <c r="B3659">
        <v>3012.7</v>
      </c>
      <c r="C3659" s="1">
        <v>40562</v>
      </c>
      <c r="D3659">
        <v>3976.71</v>
      </c>
      <c r="E3659" s="1">
        <v>40515</v>
      </c>
      <c r="F3659">
        <v>6947.72</v>
      </c>
      <c r="G3659" s="1">
        <v>40491</v>
      </c>
      <c r="H3659">
        <v>6804.1911600000003</v>
      </c>
      <c r="I3659" s="1">
        <v>40560</v>
      </c>
      <c r="J3659">
        <v>10280</v>
      </c>
      <c r="K3659" s="1">
        <v>40519</v>
      </c>
      <c r="L3659">
        <v>20112.439999999999</v>
      </c>
    </row>
    <row r="3660" spans="1:12" x14ac:dyDescent="0.35">
      <c r="A3660" s="1">
        <v>40575</v>
      </c>
      <c r="B3660">
        <v>3006.81</v>
      </c>
      <c r="C3660" s="1">
        <v>40561</v>
      </c>
      <c r="D3660">
        <v>4012.68</v>
      </c>
      <c r="E3660" s="1">
        <v>40514</v>
      </c>
      <c r="F3660">
        <v>6957.61</v>
      </c>
      <c r="G3660" s="1">
        <v>40490</v>
      </c>
      <c r="H3660">
        <v>6772.7764999999999</v>
      </c>
      <c r="I3660" s="1">
        <v>40557</v>
      </c>
      <c r="J3660">
        <v>10385.1</v>
      </c>
      <c r="K3660" s="1">
        <v>40518</v>
      </c>
      <c r="L3660">
        <v>19930.29</v>
      </c>
    </row>
    <row r="3661" spans="1:12" x14ac:dyDescent="0.35">
      <c r="A3661" s="1">
        <v>40574</v>
      </c>
      <c r="B3661">
        <v>2953.63</v>
      </c>
      <c r="C3661" s="1">
        <v>40560</v>
      </c>
      <c r="D3661">
        <v>3975.41</v>
      </c>
      <c r="E3661" s="1">
        <v>40513</v>
      </c>
      <c r="F3661">
        <v>6866.63</v>
      </c>
      <c r="G3661" s="1">
        <v>40487</v>
      </c>
      <c r="H3661">
        <v>6769.4522399999996</v>
      </c>
      <c r="I3661" s="1">
        <v>40556</v>
      </c>
      <c r="J3661">
        <v>10370.799999999999</v>
      </c>
      <c r="K3661" s="1">
        <v>40515</v>
      </c>
      <c r="L3661">
        <v>20120.8</v>
      </c>
    </row>
    <row r="3662" spans="1:12" x14ac:dyDescent="0.35">
      <c r="A3662" s="1">
        <v>40571</v>
      </c>
      <c r="B3662">
        <v>2954.13</v>
      </c>
      <c r="C3662" s="1">
        <v>40557</v>
      </c>
      <c r="D3662">
        <v>3983.28</v>
      </c>
      <c r="E3662" s="1">
        <v>40512</v>
      </c>
      <c r="F3662">
        <v>6688.49</v>
      </c>
      <c r="G3662" s="1">
        <v>40486</v>
      </c>
      <c r="H3662">
        <v>6715.8523800000003</v>
      </c>
      <c r="I3662" s="1">
        <v>40555</v>
      </c>
      <c r="J3662">
        <v>10101.200000000001</v>
      </c>
      <c r="K3662" s="1">
        <v>40514</v>
      </c>
      <c r="L3662">
        <v>20054.09</v>
      </c>
    </row>
    <row r="3663" spans="1:12" x14ac:dyDescent="0.35">
      <c r="A3663" s="1">
        <v>40570</v>
      </c>
      <c r="B3663">
        <v>2989.75</v>
      </c>
      <c r="C3663" s="1">
        <v>40556</v>
      </c>
      <c r="D3663">
        <v>3974.83</v>
      </c>
      <c r="E3663" s="1">
        <v>40511</v>
      </c>
      <c r="F3663">
        <v>6697.97</v>
      </c>
      <c r="G3663" s="1">
        <v>40485</v>
      </c>
      <c r="H3663">
        <v>6583.8214900000003</v>
      </c>
      <c r="I3663" s="1">
        <v>40554</v>
      </c>
      <c r="J3663">
        <v>9582.1</v>
      </c>
      <c r="K3663" s="1">
        <v>40513</v>
      </c>
      <c r="L3663">
        <v>19566.060000000001</v>
      </c>
    </row>
    <row r="3664" spans="1:12" x14ac:dyDescent="0.35">
      <c r="A3664" s="1">
        <v>40569</v>
      </c>
      <c r="B3664">
        <v>2967.78</v>
      </c>
      <c r="C3664" s="1">
        <v>40555</v>
      </c>
      <c r="D3664">
        <v>3945.07</v>
      </c>
      <c r="E3664" s="1">
        <v>40508</v>
      </c>
      <c r="F3664">
        <v>6848.98</v>
      </c>
      <c r="G3664" s="1">
        <v>40484</v>
      </c>
      <c r="H3664">
        <v>6573.2983599999998</v>
      </c>
      <c r="I3664" s="1">
        <v>40553</v>
      </c>
      <c r="J3664">
        <v>9437.7999999999993</v>
      </c>
      <c r="K3664" s="1">
        <v>40512</v>
      </c>
      <c r="L3664">
        <v>19105.71</v>
      </c>
    </row>
    <row r="3665" spans="1:12" x14ac:dyDescent="0.35">
      <c r="A3665" s="1">
        <v>40568</v>
      </c>
      <c r="B3665">
        <v>2957.78</v>
      </c>
      <c r="C3665" s="1">
        <v>40554</v>
      </c>
      <c r="D3665">
        <v>3861.92</v>
      </c>
      <c r="E3665" s="1">
        <v>40507</v>
      </c>
      <c r="F3665">
        <v>6879.66</v>
      </c>
      <c r="G3665" s="1">
        <v>40483</v>
      </c>
      <c r="H3665">
        <v>6570.8729400000002</v>
      </c>
      <c r="I3665" s="1">
        <v>40550</v>
      </c>
      <c r="J3665">
        <v>9560.7000000000007</v>
      </c>
      <c r="K3665" s="1">
        <v>40511</v>
      </c>
      <c r="L3665">
        <v>19314.38</v>
      </c>
    </row>
    <row r="3666" spans="1:12" x14ac:dyDescent="0.35">
      <c r="A3666" s="1">
        <v>40567</v>
      </c>
      <c r="B3666">
        <v>2979.06</v>
      </c>
      <c r="C3666" s="1">
        <v>40553</v>
      </c>
      <c r="D3666">
        <v>3802.03</v>
      </c>
      <c r="E3666" s="1">
        <v>40506</v>
      </c>
      <c r="F3666">
        <v>6823.8</v>
      </c>
      <c r="G3666" s="1">
        <v>40480</v>
      </c>
      <c r="H3666">
        <v>6531.9802900000004</v>
      </c>
      <c r="I3666" s="1">
        <v>40549</v>
      </c>
      <c r="J3666">
        <v>9702.7000000000007</v>
      </c>
      <c r="K3666" s="1">
        <v>40508</v>
      </c>
      <c r="L3666">
        <v>19844.310000000001</v>
      </c>
    </row>
    <row r="3667" spans="1:12" x14ac:dyDescent="0.35">
      <c r="A3667" s="1">
        <v>40564</v>
      </c>
      <c r="B3667">
        <v>2970.56</v>
      </c>
      <c r="C3667" s="1">
        <v>40550</v>
      </c>
      <c r="D3667">
        <v>3865.58</v>
      </c>
      <c r="E3667" s="1">
        <v>40505</v>
      </c>
      <c r="F3667">
        <v>6705</v>
      </c>
      <c r="G3667" s="1">
        <v>40479</v>
      </c>
      <c r="H3667">
        <v>6493.9108200000001</v>
      </c>
      <c r="I3667" s="1">
        <v>40548</v>
      </c>
      <c r="J3667">
        <v>9801.4</v>
      </c>
      <c r="K3667" s="1">
        <v>40507</v>
      </c>
      <c r="L3667">
        <v>19945.939999999999</v>
      </c>
    </row>
    <row r="3668" spans="1:12" x14ac:dyDescent="0.35">
      <c r="A3668" s="1">
        <v>40563</v>
      </c>
      <c r="B3668">
        <v>2927.42</v>
      </c>
      <c r="C3668" s="1">
        <v>40549</v>
      </c>
      <c r="D3668">
        <v>3904.42</v>
      </c>
      <c r="E3668" s="1">
        <v>40504</v>
      </c>
      <c r="F3668">
        <v>6822.05</v>
      </c>
      <c r="G3668" s="1">
        <v>40478</v>
      </c>
      <c r="H3668">
        <v>6459.3879699999998</v>
      </c>
      <c r="I3668" s="1">
        <v>40547</v>
      </c>
      <c r="J3668">
        <v>9888.4</v>
      </c>
      <c r="K3668" s="1">
        <v>40506</v>
      </c>
      <c r="L3668">
        <v>19941.189999999999</v>
      </c>
    </row>
    <row r="3669" spans="1:12" x14ac:dyDescent="0.35">
      <c r="A3669" s="1">
        <v>40562</v>
      </c>
      <c r="B3669">
        <v>2923.76</v>
      </c>
      <c r="C3669" s="1">
        <v>40548</v>
      </c>
      <c r="D3669">
        <v>3904.61</v>
      </c>
      <c r="E3669" s="1">
        <v>40501</v>
      </c>
      <c r="F3669">
        <v>6843.55</v>
      </c>
      <c r="G3669" s="1">
        <v>40477</v>
      </c>
      <c r="H3669">
        <v>6520.3936700000004</v>
      </c>
      <c r="I3669" s="1">
        <v>40546</v>
      </c>
      <c r="J3669">
        <v>9888.2999999999993</v>
      </c>
      <c r="K3669" s="1">
        <v>40505</v>
      </c>
      <c r="L3669">
        <v>19950.96</v>
      </c>
    </row>
    <row r="3670" spans="1:12" x14ac:dyDescent="0.35">
      <c r="A3670" s="1">
        <v>40561</v>
      </c>
      <c r="B3670">
        <v>2945.62</v>
      </c>
      <c r="C3670" s="1">
        <v>40547</v>
      </c>
      <c r="D3670">
        <v>3916.03</v>
      </c>
      <c r="E3670" s="1">
        <v>40500</v>
      </c>
      <c r="F3670">
        <v>6832.11</v>
      </c>
      <c r="G3670" s="1">
        <v>40476</v>
      </c>
      <c r="H3670">
        <v>6480.8140800000001</v>
      </c>
      <c r="I3670" s="1">
        <v>40542</v>
      </c>
      <c r="J3670">
        <v>9859.1</v>
      </c>
      <c r="K3670" s="1">
        <v>40504</v>
      </c>
      <c r="L3670">
        <v>20372.2</v>
      </c>
    </row>
    <row r="3671" spans="1:12" x14ac:dyDescent="0.35">
      <c r="A3671" s="1">
        <v>40560</v>
      </c>
      <c r="B3671">
        <v>2910.63</v>
      </c>
      <c r="C3671" s="1">
        <v>40546</v>
      </c>
      <c r="D3671">
        <v>3900.86</v>
      </c>
      <c r="E3671" s="1">
        <v>40499</v>
      </c>
      <c r="F3671">
        <v>6700.07</v>
      </c>
      <c r="G3671" s="1">
        <v>40473</v>
      </c>
      <c r="H3671">
        <v>6467.9586600000002</v>
      </c>
      <c r="I3671" s="1">
        <v>40541</v>
      </c>
      <c r="J3671">
        <v>9981.5</v>
      </c>
      <c r="K3671" s="1">
        <v>40501</v>
      </c>
      <c r="L3671">
        <v>20773.12</v>
      </c>
    </row>
    <row r="3672" spans="1:12" x14ac:dyDescent="0.35">
      <c r="A3672" s="1">
        <v>40557</v>
      </c>
      <c r="B3672">
        <v>2920.4</v>
      </c>
      <c r="C3672" s="1">
        <v>40543</v>
      </c>
      <c r="D3672">
        <v>3804.78</v>
      </c>
      <c r="E3672" s="1">
        <v>40498</v>
      </c>
      <c r="F3672">
        <v>6663.24</v>
      </c>
      <c r="G3672" s="1">
        <v>40472</v>
      </c>
      <c r="H3672">
        <v>6492.3610099999996</v>
      </c>
      <c r="I3672" s="1">
        <v>40540</v>
      </c>
      <c r="J3672">
        <v>9903.5</v>
      </c>
      <c r="K3672" s="1">
        <v>40500</v>
      </c>
      <c r="L3672">
        <v>20880.38</v>
      </c>
    </row>
    <row r="3673" spans="1:12" x14ac:dyDescent="0.35">
      <c r="A3673" s="1">
        <v>40556</v>
      </c>
      <c r="B3673">
        <v>2915.62</v>
      </c>
      <c r="C3673" s="1">
        <v>40542</v>
      </c>
      <c r="D3673">
        <v>3850.76</v>
      </c>
      <c r="E3673" s="1">
        <v>40497</v>
      </c>
      <c r="F3673">
        <v>6790.17</v>
      </c>
      <c r="G3673" s="1">
        <v>40471</v>
      </c>
      <c r="H3673">
        <v>6509.0099300000002</v>
      </c>
      <c r="I3673" s="1">
        <v>40539</v>
      </c>
      <c r="J3673">
        <v>9899</v>
      </c>
      <c r="K3673" s="1">
        <v>40499</v>
      </c>
      <c r="L3673">
        <v>20639.080000000002</v>
      </c>
    </row>
    <row r="3674" spans="1:12" x14ac:dyDescent="0.35">
      <c r="A3674" s="1">
        <v>40555</v>
      </c>
      <c r="B3674">
        <v>2879.11</v>
      </c>
      <c r="C3674" s="1">
        <v>40541</v>
      </c>
      <c r="D3674">
        <v>3890.65</v>
      </c>
      <c r="E3674" s="1">
        <v>40494</v>
      </c>
      <c r="F3674">
        <v>6734.61</v>
      </c>
      <c r="G3674" s="1">
        <v>40470</v>
      </c>
      <c r="H3674">
        <v>6496.7852199999998</v>
      </c>
      <c r="I3674" s="1">
        <v>40535</v>
      </c>
      <c r="J3674">
        <v>10106.9</v>
      </c>
      <c r="K3674" s="1">
        <v>40498</v>
      </c>
      <c r="L3674">
        <v>20563.07</v>
      </c>
    </row>
    <row r="3675" spans="1:12" x14ac:dyDescent="0.35">
      <c r="A3675" s="1">
        <v>40554</v>
      </c>
      <c r="B3675">
        <v>2796.6</v>
      </c>
      <c r="C3675" s="1">
        <v>40540</v>
      </c>
      <c r="D3675">
        <v>3858.72</v>
      </c>
      <c r="E3675" s="1">
        <v>40493</v>
      </c>
      <c r="F3675">
        <v>6723.41</v>
      </c>
      <c r="G3675" s="1">
        <v>40469</v>
      </c>
      <c r="H3675">
        <v>6538.8949199999997</v>
      </c>
      <c r="I3675" s="1">
        <v>40534</v>
      </c>
      <c r="J3675">
        <v>10183.5</v>
      </c>
      <c r="K3675" s="1">
        <v>40497</v>
      </c>
      <c r="L3675">
        <v>20993.27</v>
      </c>
    </row>
    <row r="3676" spans="1:12" x14ac:dyDescent="0.35">
      <c r="A3676" s="1">
        <v>40553</v>
      </c>
      <c r="B3676">
        <v>2760.88</v>
      </c>
      <c r="C3676" s="1">
        <v>40539</v>
      </c>
      <c r="D3676">
        <v>3862.19</v>
      </c>
      <c r="E3676" s="1">
        <v>40492</v>
      </c>
      <c r="F3676">
        <v>6719.84</v>
      </c>
      <c r="G3676" s="1">
        <v>40466</v>
      </c>
      <c r="H3676">
        <v>6520.6956499999997</v>
      </c>
      <c r="I3676" s="1">
        <v>40533</v>
      </c>
      <c r="J3676">
        <v>10203.4</v>
      </c>
      <c r="K3676" s="1">
        <v>40494</v>
      </c>
      <c r="L3676">
        <v>20829.830000000002</v>
      </c>
    </row>
    <row r="3677" spans="1:12" x14ac:dyDescent="0.35">
      <c r="A3677" s="1">
        <v>40550</v>
      </c>
      <c r="B3677">
        <v>2808.25</v>
      </c>
      <c r="C3677" s="1">
        <v>40536</v>
      </c>
      <c r="D3677">
        <v>3900.39</v>
      </c>
      <c r="E3677" s="1">
        <v>40491</v>
      </c>
      <c r="F3677">
        <v>6787.81</v>
      </c>
      <c r="G3677" s="1">
        <v>40465</v>
      </c>
      <c r="H3677">
        <v>6513.3056399999996</v>
      </c>
      <c r="I3677" s="1">
        <v>40532</v>
      </c>
      <c r="J3677">
        <v>9996.1</v>
      </c>
      <c r="K3677" s="1">
        <v>40493</v>
      </c>
      <c r="L3677">
        <v>20855.96</v>
      </c>
    </row>
    <row r="3678" spans="1:12" x14ac:dyDescent="0.35">
      <c r="A3678" s="1">
        <v>40549</v>
      </c>
      <c r="B3678">
        <v>2836.23</v>
      </c>
      <c r="C3678" s="1">
        <v>40535</v>
      </c>
      <c r="D3678">
        <v>3911.32</v>
      </c>
      <c r="E3678" s="1">
        <v>40490</v>
      </c>
      <c r="F3678">
        <v>6750.5</v>
      </c>
      <c r="G3678" s="1">
        <v>40464</v>
      </c>
      <c r="H3678">
        <v>6541.3240100000003</v>
      </c>
      <c r="I3678" s="1">
        <v>40529</v>
      </c>
      <c r="J3678">
        <v>9898.1</v>
      </c>
      <c r="K3678" s="1">
        <v>40492</v>
      </c>
      <c r="L3678">
        <v>21058.01</v>
      </c>
    </row>
    <row r="3679" spans="1:12" x14ac:dyDescent="0.35">
      <c r="A3679" s="1">
        <v>40548</v>
      </c>
      <c r="B3679">
        <v>2833.74</v>
      </c>
      <c r="C3679" s="1">
        <v>40534</v>
      </c>
      <c r="D3679">
        <v>3919.71</v>
      </c>
      <c r="E3679" s="1">
        <v>40487</v>
      </c>
      <c r="F3679">
        <v>6754.2</v>
      </c>
      <c r="G3679" s="1">
        <v>40463</v>
      </c>
      <c r="H3679">
        <v>6447.1167299999997</v>
      </c>
      <c r="I3679" s="1">
        <v>40528</v>
      </c>
      <c r="J3679">
        <v>10010.299999999999</v>
      </c>
      <c r="K3679" s="1">
        <v>40491</v>
      </c>
      <c r="L3679">
        <v>21578.48</v>
      </c>
    </row>
    <row r="3680" spans="1:12" x14ac:dyDescent="0.35">
      <c r="A3680" s="1">
        <v>40547</v>
      </c>
      <c r="B3680">
        <v>2844.17</v>
      </c>
      <c r="C3680" s="1">
        <v>40533</v>
      </c>
      <c r="D3680">
        <v>3927.49</v>
      </c>
      <c r="E3680" s="1">
        <v>40486</v>
      </c>
      <c r="F3680">
        <v>6734.69</v>
      </c>
      <c r="G3680" s="1">
        <v>40462</v>
      </c>
      <c r="H3680">
        <v>6493.3622699999996</v>
      </c>
      <c r="I3680" s="1">
        <v>40527</v>
      </c>
      <c r="J3680">
        <v>10009.799999999999</v>
      </c>
      <c r="K3680" s="1">
        <v>40490</v>
      </c>
      <c r="L3680">
        <v>21228.98</v>
      </c>
    </row>
    <row r="3681" spans="1:12" x14ac:dyDescent="0.35">
      <c r="A3681" s="1">
        <v>40546</v>
      </c>
      <c r="B3681">
        <v>2839.43</v>
      </c>
      <c r="C3681" s="1">
        <v>40532</v>
      </c>
      <c r="D3681">
        <v>3885.08</v>
      </c>
      <c r="E3681" s="1">
        <v>40485</v>
      </c>
      <c r="F3681">
        <v>6617.8</v>
      </c>
      <c r="G3681" s="1">
        <v>40459</v>
      </c>
      <c r="H3681">
        <v>6485.5330899999999</v>
      </c>
      <c r="I3681" s="1">
        <v>40526</v>
      </c>
      <c r="J3681">
        <v>10162.700000000001</v>
      </c>
      <c r="K3681" s="1">
        <v>40487</v>
      </c>
      <c r="L3681">
        <v>21194.74</v>
      </c>
    </row>
    <row r="3682" spans="1:12" x14ac:dyDescent="0.35">
      <c r="A3682" s="1">
        <v>40543</v>
      </c>
      <c r="B3682">
        <v>2792.82</v>
      </c>
      <c r="C3682" s="1">
        <v>40529</v>
      </c>
      <c r="D3682">
        <v>3867.35</v>
      </c>
      <c r="E3682" s="1">
        <v>40484</v>
      </c>
      <c r="F3682">
        <v>6654.31</v>
      </c>
      <c r="G3682" s="1">
        <v>40458</v>
      </c>
      <c r="H3682">
        <v>6473.5687699999999</v>
      </c>
      <c r="I3682" s="1">
        <v>40525</v>
      </c>
      <c r="J3682">
        <v>10151.200000000001</v>
      </c>
      <c r="K3682" s="1">
        <v>40486</v>
      </c>
      <c r="L3682">
        <v>21469.19</v>
      </c>
    </row>
    <row r="3683" spans="1:12" x14ac:dyDescent="0.35">
      <c r="A3683" s="1">
        <v>40542</v>
      </c>
      <c r="B3683">
        <v>2807.04</v>
      </c>
      <c r="C3683" s="1">
        <v>40528</v>
      </c>
      <c r="D3683">
        <v>3888.36</v>
      </c>
      <c r="E3683" s="1">
        <v>40483</v>
      </c>
      <c r="F3683">
        <v>6604.86</v>
      </c>
      <c r="G3683" s="1">
        <v>40457</v>
      </c>
      <c r="H3683">
        <v>6491.2685700000002</v>
      </c>
      <c r="I3683" s="1">
        <v>40522</v>
      </c>
      <c r="J3683">
        <v>10121.9</v>
      </c>
      <c r="K3683" s="1">
        <v>40485</v>
      </c>
      <c r="L3683">
        <v>21180.81</v>
      </c>
    </row>
    <row r="3684" spans="1:12" x14ac:dyDescent="0.35">
      <c r="A3684" s="1">
        <v>40541</v>
      </c>
      <c r="B3684">
        <v>2841.23</v>
      </c>
      <c r="C3684" s="1">
        <v>40527</v>
      </c>
      <c r="D3684">
        <v>3880.19</v>
      </c>
      <c r="E3684" s="1">
        <v>40480</v>
      </c>
      <c r="F3684">
        <v>6601.37</v>
      </c>
      <c r="G3684" s="1">
        <v>40456</v>
      </c>
      <c r="H3684">
        <v>6479.7587700000004</v>
      </c>
      <c r="I3684" s="1">
        <v>40521</v>
      </c>
      <c r="J3684">
        <v>10185.5</v>
      </c>
      <c r="K3684" s="1">
        <v>40484</v>
      </c>
      <c r="L3684">
        <v>21397.82</v>
      </c>
    </row>
    <row r="3685" spans="1:12" x14ac:dyDescent="0.35">
      <c r="A3685" s="1">
        <v>40540</v>
      </c>
      <c r="B3685">
        <v>2824.3</v>
      </c>
      <c r="C3685" s="1">
        <v>40526</v>
      </c>
      <c r="D3685">
        <v>3902.87</v>
      </c>
      <c r="E3685" s="1">
        <v>40479</v>
      </c>
      <c r="F3685">
        <v>6595.28</v>
      </c>
      <c r="G3685" s="1">
        <v>40455</v>
      </c>
      <c r="H3685">
        <v>6428.4654700000001</v>
      </c>
      <c r="I3685" s="1">
        <v>40520</v>
      </c>
      <c r="J3685">
        <v>10078.4</v>
      </c>
      <c r="K3685" s="1">
        <v>40483</v>
      </c>
      <c r="L3685">
        <v>21184.93</v>
      </c>
    </row>
    <row r="3686" spans="1:12" x14ac:dyDescent="0.35">
      <c r="A3686" s="1">
        <v>40539</v>
      </c>
      <c r="B3686">
        <v>2826.51</v>
      </c>
      <c r="C3686" s="1">
        <v>40525</v>
      </c>
      <c r="D3686">
        <v>3892.44</v>
      </c>
      <c r="E3686" s="1">
        <v>40478</v>
      </c>
      <c r="F3686">
        <v>6568</v>
      </c>
      <c r="G3686" s="1">
        <v>40452</v>
      </c>
      <c r="H3686">
        <v>6439.0387799999999</v>
      </c>
      <c r="I3686" s="1">
        <v>40519</v>
      </c>
      <c r="J3686">
        <v>9924.7000000000007</v>
      </c>
      <c r="K3686" s="1">
        <v>40480</v>
      </c>
      <c r="L3686">
        <v>21450.61</v>
      </c>
    </row>
    <row r="3687" spans="1:12" x14ac:dyDescent="0.35">
      <c r="A3687" s="1">
        <v>40536</v>
      </c>
      <c r="B3687">
        <v>2861.94</v>
      </c>
      <c r="C3687" s="1">
        <v>40522</v>
      </c>
      <c r="D3687">
        <v>3857.35</v>
      </c>
      <c r="E3687" s="1">
        <v>40477</v>
      </c>
      <c r="F3687">
        <v>6613.8</v>
      </c>
      <c r="G3687" s="1">
        <v>40451</v>
      </c>
      <c r="H3687">
        <v>6407.3932000000004</v>
      </c>
      <c r="I3687" s="1">
        <v>40518</v>
      </c>
      <c r="J3687">
        <v>9889.9</v>
      </c>
      <c r="K3687" s="1">
        <v>40479</v>
      </c>
      <c r="L3687">
        <v>21509.62</v>
      </c>
    </row>
    <row r="3688" spans="1:12" x14ac:dyDescent="0.35">
      <c r="A3688" s="1">
        <v>40535</v>
      </c>
      <c r="B3688">
        <v>2864.52</v>
      </c>
      <c r="C3688" s="1">
        <v>40521</v>
      </c>
      <c r="D3688">
        <v>3858.05</v>
      </c>
      <c r="E3688" s="1">
        <v>40476</v>
      </c>
      <c r="F3688">
        <v>6639.21</v>
      </c>
      <c r="G3688" s="1">
        <v>40450</v>
      </c>
      <c r="H3688">
        <v>6453.8972599999997</v>
      </c>
      <c r="I3688" s="1">
        <v>40515</v>
      </c>
      <c r="J3688">
        <v>10014.799999999999</v>
      </c>
      <c r="K3688" s="1">
        <v>40478</v>
      </c>
      <c r="L3688">
        <v>21250.82</v>
      </c>
    </row>
    <row r="3689" spans="1:12" x14ac:dyDescent="0.35">
      <c r="A3689" s="1">
        <v>40534</v>
      </c>
      <c r="B3689">
        <v>2869.63</v>
      </c>
      <c r="C3689" s="1">
        <v>40520</v>
      </c>
      <c r="D3689">
        <v>3831.98</v>
      </c>
      <c r="E3689" s="1">
        <v>40473</v>
      </c>
      <c r="F3689">
        <v>6605.84</v>
      </c>
      <c r="G3689" s="1">
        <v>40449</v>
      </c>
      <c r="H3689">
        <v>6490.5808900000002</v>
      </c>
      <c r="I3689" s="1">
        <v>40514</v>
      </c>
      <c r="J3689">
        <v>9947.6</v>
      </c>
      <c r="K3689" s="1">
        <v>40477</v>
      </c>
      <c r="L3689">
        <v>21363.52</v>
      </c>
    </row>
    <row r="3690" spans="1:12" x14ac:dyDescent="0.35">
      <c r="A3690" s="1">
        <v>40533</v>
      </c>
      <c r="B3690">
        <v>2876.99</v>
      </c>
      <c r="C3690" s="1">
        <v>40519</v>
      </c>
      <c r="D3690">
        <v>3810.5</v>
      </c>
      <c r="E3690" s="1">
        <v>40472</v>
      </c>
      <c r="F3690">
        <v>6611.01</v>
      </c>
      <c r="G3690" s="1">
        <v>40448</v>
      </c>
      <c r="H3690">
        <v>6549.2543500000002</v>
      </c>
      <c r="I3690" s="1">
        <v>40513</v>
      </c>
      <c r="J3690">
        <v>9678.4</v>
      </c>
      <c r="K3690" s="1">
        <v>40476</v>
      </c>
      <c r="L3690">
        <v>21435.03</v>
      </c>
    </row>
    <row r="3691" spans="1:12" x14ac:dyDescent="0.35">
      <c r="A3691" s="1">
        <v>40532</v>
      </c>
      <c r="B3691">
        <v>2839.22</v>
      </c>
      <c r="C3691" s="1">
        <v>40518</v>
      </c>
      <c r="D3691">
        <v>3749.23</v>
      </c>
      <c r="E3691" s="1">
        <v>40471</v>
      </c>
      <c r="F3691">
        <v>6524.55</v>
      </c>
      <c r="G3691" s="1">
        <v>40445</v>
      </c>
      <c r="H3691">
        <v>6574.5676999999996</v>
      </c>
      <c r="I3691" s="1">
        <v>40512</v>
      </c>
      <c r="J3691">
        <v>9267.2000000000007</v>
      </c>
      <c r="K3691" s="1">
        <v>40473</v>
      </c>
      <c r="L3691">
        <v>21536.21</v>
      </c>
    </row>
    <row r="3692" spans="1:12" x14ac:dyDescent="0.35">
      <c r="A3692" s="1">
        <v>40529</v>
      </c>
      <c r="B3692">
        <v>2821.77</v>
      </c>
      <c r="C3692" s="1">
        <v>40515</v>
      </c>
      <c r="D3692">
        <v>3750.55</v>
      </c>
      <c r="E3692" s="1">
        <v>40470</v>
      </c>
      <c r="F3692">
        <v>6490.69</v>
      </c>
      <c r="G3692" s="1">
        <v>40444</v>
      </c>
      <c r="H3692">
        <v>6526.0009</v>
      </c>
      <c r="I3692" s="1">
        <v>40511</v>
      </c>
      <c r="J3692">
        <v>9324.7000000000007</v>
      </c>
      <c r="K3692" s="1">
        <v>40472</v>
      </c>
      <c r="L3692">
        <v>21616.43</v>
      </c>
    </row>
    <row r="3693" spans="1:12" x14ac:dyDescent="0.35">
      <c r="A3693" s="1">
        <v>40528</v>
      </c>
      <c r="B3693">
        <v>2845.78</v>
      </c>
      <c r="C3693" s="1">
        <v>40514</v>
      </c>
      <c r="D3693">
        <v>3747.04</v>
      </c>
      <c r="E3693" s="1">
        <v>40469</v>
      </c>
      <c r="F3693">
        <v>6516.63</v>
      </c>
      <c r="G3693" s="1">
        <v>40443</v>
      </c>
      <c r="H3693">
        <v>6497.3048200000003</v>
      </c>
      <c r="I3693" s="1">
        <v>40508</v>
      </c>
      <c r="J3693">
        <v>9547.2000000000007</v>
      </c>
      <c r="K3693" s="1">
        <v>40471</v>
      </c>
      <c r="L3693">
        <v>21425.79</v>
      </c>
    </row>
    <row r="3694" spans="1:12" x14ac:dyDescent="0.35">
      <c r="A3694" s="1">
        <v>40527</v>
      </c>
      <c r="B3694">
        <v>2841.99</v>
      </c>
      <c r="C3694" s="1">
        <v>40513</v>
      </c>
      <c r="D3694">
        <v>3669.29</v>
      </c>
      <c r="E3694" s="1">
        <v>40466</v>
      </c>
      <c r="F3694">
        <v>6492.3</v>
      </c>
      <c r="G3694" s="1">
        <v>40442</v>
      </c>
      <c r="H3694">
        <v>6603.2487600000004</v>
      </c>
      <c r="I3694" s="1">
        <v>40507</v>
      </c>
      <c r="J3694">
        <v>9721.7999999999993</v>
      </c>
      <c r="K3694" s="1">
        <v>40470</v>
      </c>
      <c r="L3694">
        <v>21233.48</v>
      </c>
    </row>
    <row r="3695" spans="1:12" x14ac:dyDescent="0.35">
      <c r="A3695" s="1">
        <v>40526</v>
      </c>
      <c r="B3695">
        <v>2861.67</v>
      </c>
      <c r="C3695" s="1">
        <v>40512</v>
      </c>
      <c r="D3695">
        <v>3610.44</v>
      </c>
      <c r="E3695" s="1">
        <v>40465</v>
      </c>
      <c r="F3695">
        <v>6455.27</v>
      </c>
      <c r="G3695" s="1">
        <v>40441</v>
      </c>
      <c r="H3695">
        <v>6669.3027000000002</v>
      </c>
      <c r="I3695" s="1">
        <v>40506</v>
      </c>
      <c r="J3695">
        <v>9742.6</v>
      </c>
      <c r="K3695" s="1">
        <v>40469</v>
      </c>
      <c r="L3695">
        <v>21258.59</v>
      </c>
    </row>
    <row r="3696" spans="1:12" x14ac:dyDescent="0.35">
      <c r="A3696" s="1">
        <v>40525</v>
      </c>
      <c r="B3696">
        <v>2855.37</v>
      </c>
      <c r="C3696" s="1">
        <v>40511</v>
      </c>
      <c r="D3696">
        <v>3636.96</v>
      </c>
      <c r="E3696" s="1">
        <v>40464</v>
      </c>
      <c r="F3696">
        <v>6434.52</v>
      </c>
      <c r="G3696" s="1">
        <v>40438</v>
      </c>
      <c r="H3696">
        <v>6598.2375899999997</v>
      </c>
      <c r="I3696" s="1">
        <v>40505</v>
      </c>
      <c r="J3696">
        <v>9691.7999999999993</v>
      </c>
      <c r="K3696" s="1">
        <v>40466</v>
      </c>
      <c r="L3696">
        <v>21062.18</v>
      </c>
    </row>
    <row r="3697" spans="1:12" x14ac:dyDescent="0.35">
      <c r="A3697" s="1">
        <v>40522</v>
      </c>
      <c r="B3697">
        <v>2839.53</v>
      </c>
      <c r="C3697" s="1">
        <v>40508</v>
      </c>
      <c r="D3697">
        <v>3728.65</v>
      </c>
      <c r="E3697" s="1">
        <v>40463</v>
      </c>
      <c r="F3697">
        <v>6304.57</v>
      </c>
      <c r="G3697" s="1">
        <v>40437</v>
      </c>
      <c r="H3697">
        <v>6622.4038499999997</v>
      </c>
      <c r="I3697" s="1">
        <v>40504</v>
      </c>
      <c r="J3697">
        <v>9996.4</v>
      </c>
      <c r="K3697" s="1">
        <v>40465</v>
      </c>
      <c r="L3697">
        <v>21094.86</v>
      </c>
    </row>
    <row r="3698" spans="1:12" x14ac:dyDescent="0.35">
      <c r="A3698" s="1">
        <v>40521</v>
      </c>
      <c r="B3698">
        <v>2840.71</v>
      </c>
      <c r="C3698" s="1">
        <v>40507</v>
      </c>
      <c r="D3698">
        <v>3760.42</v>
      </c>
      <c r="E3698" s="1">
        <v>40462</v>
      </c>
      <c r="F3698">
        <v>6309.51</v>
      </c>
      <c r="G3698" s="1">
        <v>40436</v>
      </c>
      <c r="H3698">
        <v>6674.27826</v>
      </c>
      <c r="I3698" s="1">
        <v>40501</v>
      </c>
      <c r="J3698">
        <v>10271.700000000001</v>
      </c>
      <c r="K3698" s="1">
        <v>40464</v>
      </c>
      <c r="L3698">
        <v>21145.26</v>
      </c>
    </row>
    <row r="3699" spans="1:12" x14ac:dyDescent="0.35">
      <c r="A3699" s="1">
        <v>40520</v>
      </c>
      <c r="B3699">
        <v>2818.95</v>
      </c>
      <c r="C3699" s="1">
        <v>40506</v>
      </c>
      <c r="D3699">
        <v>3747.61</v>
      </c>
      <c r="E3699" s="1">
        <v>40459</v>
      </c>
      <c r="F3699">
        <v>6291.67</v>
      </c>
      <c r="G3699" s="1">
        <v>40435</v>
      </c>
      <c r="H3699">
        <v>6663.34674</v>
      </c>
      <c r="I3699" s="1">
        <v>40500</v>
      </c>
      <c r="J3699">
        <v>10325.299999999999</v>
      </c>
      <c r="K3699" s="1">
        <v>40463</v>
      </c>
      <c r="L3699">
        <v>20750.22</v>
      </c>
    </row>
    <row r="3700" spans="1:12" x14ac:dyDescent="0.35">
      <c r="A3700" s="1">
        <v>40519</v>
      </c>
      <c r="B3700">
        <v>2802.74</v>
      </c>
      <c r="C3700" s="1">
        <v>40505</v>
      </c>
      <c r="D3700">
        <v>3724.42</v>
      </c>
      <c r="E3700" s="1">
        <v>40458</v>
      </c>
      <c r="F3700">
        <v>6276.25</v>
      </c>
      <c r="G3700" s="1">
        <v>40434</v>
      </c>
      <c r="H3700">
        <v>6682.0114100000001</v>
      </c>
      <c r="I3700" s="1">
        <v>40499</v>
      </c>
      <c r="J3700">
        <v>10189.299999999999</v>
      </c>
      <c r="K3700" s="1">
        <v>40462</v>
      </c>
      <c r="L3700">
        <v>20837.71</v>
      </c>
    </row>
    <row r="3701" spans="1:12" x14ac:dyDescent="0.35">
      <c r="A3701" s="1">
        <v>40518</v>
      </c>
      <c r="B3701">
        <v>2769.96</v>
      </c>
      <c r="C3701" s="1">
        <v>40504</v>
      </c>
      <c r="D3701">
        <v>3818.89</v>
      </c>
      <c r="E3701" s="1">
        <v>40457</v>
      </c>
      <c r="F3701">
        <v>6270.73</v>
      </c>
      <c r="G3701" s="1">
        <v>40431</v>
      </c>
      <c r="H3701">
        <v>6647.0400099999997</v>
      </c>
      <c r="I3701" s="1">
        <v>40498</v>
      </c>
      <c r="J3701">
        <v>10095.4</v>
      </c>
      <c r="K3701" s="1">
        <v>40459</v>
      </c>
      <c r="L3701">
        <v>20750.740000000002</v>
      </c>
    </row>
    <row r="3702" spans="1:12" x14ac:dyDescent="0.35">
      <c r="A3702" s="1">
        <v>40515</v>
      </c>
      <c r="B3702">
        <v>2782.39</v>
      </c>
      <c r="C3702" s="1">
        <v>40501</v>
      </c>
      <c r="D3702">
        <v>3860.16</v>
      </c>
      <c r="E3702" s="1">
        <v>40456</v>
      </c>
      <c r="F3702">
        <v>6215.83</v>
      </c>
      <c r="G3702" s="1">
        <v>40430</v>
      </c>
      <c r="H3702">
        <v>6680.8120399999998</v>
      </c>
      <c r="I3702" s="1">
        <v>40497</v>
      </c>
      <c r="J3702">
        <v>10349.700000000001</v>
      </c>
      <c r="K3702" s="1">
        <v>40458</v>
      </c>
      <c r="L3702">
        <v>20691.900000000001</v>
      </c>
    </row>
    <row r="3703" spans="1:12" x14ac:dyDescent="0.35">
      <c r="A3703" s="1">
        <v>40514</v>
      </c>
      <c r="B3703">
        <v>2781.39</v>
      </c>
      <c r="C3703" s="1">
        <v>40500</v>
      </c>
      <c r="D3703">
        <v>3867.97</v>
      </c>
      <c r="E3703" s="1">
        <v>40455</v>
      </c>
      <c r="F3703">
        <v>6134.21</v>
      </c>
      <c r="G3703" s="1">
        <v>40429</v>
      </c>
      <c r="H3703">
        <v>6597.8793599999999</v>
      </c>
      <c r="I3703" s="1">
        <v>40494</v>
      </c>
      <c r="J3703">
        <v>10226.799999999999</v>
      </c>
      <c r="K3703" s="1">
        <v>40457</v>
      </c>
      <c r="L3703">
        <v>20568.310000000001</v>
      </c>
    </row>
    <row r="3704" spans="1:12" x14ac:dyDescent="0.35">
      <c r="A3704" s="1">
        <v>40513</v>
      </c>
      <c r="B3704">
        <v>2721.87</v>
      </c>
      <c r="C3704" s="1">
        <v>40499</v>
      </c>
      <c r="D3704">
        <v>3792.35</v>
      </c>
      <c r="E3704" s="1">
        <v>40452</v>
      </c>
      <c r="F3704">
        <v>6211.34</v>
      </c>
      <c r="G3704" s="1">
        <v>40428</v>
      </c>
      <c r="H3704">
        <v>6511.3007100000004</v>
      </c>
      <c r="I3704" s="1">
        <v>40493</v>
      </c>
      <c r="J3704">
        <v>10149.5</v>
      </c>
      <c r="K3704" s="1">
        <v>40456</v>
      </c>
      <c r="L3704">
        <v>20510.02</v>
      </c>
    </row>
    <row r="3705" spans="1:12" x14ac:dyDescent="0.35">
      <c r="A3705" s="1">
        <v>40512</v>
      </c>
      <c r="B3705">
        <v>2650.99</v>
      </c>
      <c r="C3705" s="1">
        <v>40498</v>
      </c>
      <c r="D3705">
        <v>3762.47</v>
      </c>
      <c r="E3705" s="1">
        <v>40451</v>
      </c>
      <c r="F3705">
        <v>6229.02</v>
      </c>
      <c r="G3705" s="1">
        <v>40427</v>
      </c>
      <c r="H3705">
        <v>6511.7360900000003</v>
      </c>
      <c r="I3705" s="1">
        <v>40492</v>
      </c>
      <c r="J3705">
        <v>10235.4</v>
      </c>
      <c r="K3705" s="1">
        <v>40455</v>
      </c>
      <c r="L3705">
        <v>20090.97</v>
      </c>
    </row>
    <row r="3706" spans="1:12" x14ac:dyDescent="0.35">
      <c r="A3706" s="1">
        <v>40511</v>
      </c>
      <c r="B3706">
        <v>2669.96</v>
      </c>
      <c r="C3706" s="1">
        <v>40497</v>
      </c>
      <c r="D3706">
        <v>3864.24</v>
      </c>
      <c r="E3706" s="1">
        <v>40450</v>
      </c>
      <c r="F3706">
        <v>6246.92</v>
      </c>
      <c r="G3706" s="1">
        <v>40424</v>
      </c>
      <c r="H3706">
        <v>6503.4149799999996</v>
      </c>
      <c r="I3706" s="1">
        <v>40491</v>
      </c>
      <c r="J3706">
        <v>10409.799999999999</v>
      </c>
      <c r="K3706" s="1">
        <v>40452</v>
      </c>
      <c r="L3706">
        <v>20391.27</v>
      </c>
    </row>
    <row r="3707" spans="1:12" x14ac:dyDescent="0.35">
      <c r="A3707" s="1">
        <v>40508</v>
      </c>
      <c r="B3707">
        <v>2736.96</v>
      </c>
      <c r="C3707" s="1">
        <v>40494</v>
      </c>
      <c r="D3707">
        <v>3831.12</v>
      </c>
      <c r="E3707" s="1">
        <v>40449</v>
      </c>
      <c r="F3707">
        <v>6276.09</v>
      </c>
      <c r="G3707" s="1">
        <v>40423</v>
      </c>
      <c r="H3707">
        <v>6455.4801500000003</v>
      </c>
      <c r="I3707" s="1">
        <v>40490</v>
      </c>
      <c r="J3707">
        <v>10291.799999999999</v>
      </c>
      <c r="K3707" s="1">
        <v>40451</v>
      </c>
      <c r="L3707">
        <v>20505.2</v>
      </c>
    </row>
    <row r="3708" spans="1:12" x14ac:dyDescent="0.35">
      <c r="A3708" s="1">
        <v>40507</v>
      </c>
      <c r="B3708">
        <v>2765.05</v>
      </c>
      <c r="C3708" s="1">
        <v>40493</v>
      </c>
      <c r="D3708">
        <v>3867.35</v>
      </c>
      <c r="E3708" s="1">
        <v>40448</v>
      </c>
      <c r="F3708">
        <v>6278.89</v>
      </c>
      <c r="G3708" s="1">
        <v>40422</v>
      </c>
      <c r="H3708">
        <v>6479.8687799999998</v>
      </c>
      <c r="I3708" s="1">
        <v>40487</v>
      </c>
      <c r="J3708">
        <v>10428.1</v>
      </c>
      <c r="K3708" s="1">
        <v>40450</v>
      </c>
      <c r="L3708">
        <v>20372.45</v>
      </c>
    </row>
    <row r="3709" spans="1:12" x14ac:dyDescent="0.35">
      <c r="A3709" s="1">
        <v>40506</v>
      </c>
      <c r="B3709">
        <v>2758.02</v>
      </c>
      <c r="C3709" s="1">
        <v>40492</v>
      </c>
      <c r="D3709">
        <v>3888.45</v>
      </c>
      <c r="E3709" s="1">
        <v>40445</v>
      </c>
      <c r="F3709">
        <v>6298.3</v>
      </c>
      <c r="G3709" s="1">
        <v>40421</v>
      </c>
      <c r="H3709">
        <v>6316.4669899999999</v>
      </c>
      <c r="I3709" s="1">
        <v>40486</v>
      </c>
      <c r="J3709">
        <v>10602.8</v>
      </c>
      <c r="K3709" s="1">
        <v>40449</v>
      </c>
      <c r="L3709">
        <v>20541.59</v>
      </c>
    </row>
    <row r="3710" spans="1:12" x14ac:dyDescent="0.35">
      <c r="A3710" s="1">
        <v>40505</v>
      </c>
      <c r="B3710">
        <v>2739.37</v>
      </c>
      <c r="C3710" s="1">
        <v>40491</v>
      </c>
      <c r="D3710">
        <v>3945.71</v>
      </c>
      <c r="E3710" s="1">
        <v>40444</v>
      </c>
      <c r="F3710">
        <v>6184.71</v>
      </c>
      <c r="G3710" s="1">
        <v>40417</v>
      </c>
      <c r="H3710">
        <v>6332.3871399999998</v>
      </c>
      <c r="I3710" s="1">
        <v>40485</v>
      </c>
      <c r="J3710">
        <v>10569.5</v>
      </c>
      <c r="K3710" s="1">
        <v>40448</v>
      </c>
      <c r="L3710">
        <v>20593.939999999999</v>
      </c>
    </row>
    <row r="3711" spans="1:12" x14ac:dyDescent="0.35">
      <c r="A3711" s="1">
        <v>40504</v>
      </c>
      <c r="B3711">
        <v>2811.43</v>
      </c>
      <c r="C3711" s="1">
        <v>40490</v>
      </c>
      <c r="D3711">
        <v>3913.7</v>
      </c>
      <c r="E3711" s="1">
        <v>40443</v>
      </c>
      <c r="F3711">
        <v>6208.33</v>
      </c>
      <c r="G3711" s="1">
        <v>40416</v>
      </c>
      <c r="H3711">
        <v>6304.0625700000001</v>
      </c>
      <c r="I3711" s="1">
        <v>40484</v>
      </c>
      <c r="J3711">
        <v>10762.1</v>
      </c>
      <c r="K3711" s="1">
        <v>40445</v>
      </c>
      <c r="L3711">
        <v>20607.72</v>
      </c>
    </row>
    <row r="3712" spans="1:12" x14ac:dyDescent="0.35">
      <c r="A3712" s="1">
        <v>40501</v>
      </c>
      <c r="B3712">
        <v>2845.75</v>
      </c>
      <c r="C3712" s="1">
        <v>40487</v>
      </c>
      <c r="D3712">
        <v>3916.73</v>
      </c>
      <c r="E3712" s="1">
        <v>40442</v>
      </c>
      <c r="F3712">
        <v>6275.98</v>
      </c>
      <c r="G3712" s="1">
        <v>40415</v>
      </c>
      <c r="H3712">
        <v>6236.9778100000003</v>
      </c>
      <c r="I3712" s="1">
        <v>40483</v>
      </c>
      <c r="J3712">
        <v>10649.5</v>
      </c>
      <c r="K3712" s="1">
        <v>40444</v>
      </c>
      <c r="L3712">
        <v>20262.8</v>
      </c>
    </row>
    <row r="3713" spans="1:12" x14ac:dyDescent="0.35">
      <c r="A3713" s="1">
        <v>40500</v>
      </c>
      <c r="B3713">
        <v>2855.23</v>
      </c>
      <c r="C3713" s="1">
        <v>40486</v>
      </c>
      <c r="D3713">
        <v>3916.78</v>
      </c>
      <c r="E3713" s="1">
        <v>40441</v>
      </c>
      <c r="F3713">
        <v>6294.58</v>
      </c>
      <c r="G3713" s="1">
        <v>40414</v>
      </c>
      <c r="H3713">
        <v>6291.1378599999998</v>
      </c>
      <c r="I3713" s="1">
        <v>40480</v>
      </c>
      <c r="J3713">
        <v>10812.9</v>
      </c>
      <c r="K3713" s="1">
        <v>40443</v>
      </c>
      <c r="L3713">
        <v>20365.3</v>
      </c>
    </row>
    <row r="3714" spans="1:12" x14ac:dyDescent="0.35">
      <c r="A3714" s="1">
        <v>40499</v>
      </c>
      <c r="B3714">
        <v>2802.7</v>
      </c>
      <c r="C3714" s="1">
        <v>40485</v>
      </c>
      <c r="D3714">
        <v>3842.94</v>
      </c>
      <c r="E3714" s="1">
        <v>40438</v>
      </c>
      <c r="F3714">
        <v>6209.76</v>
      </c>
      <c r="G3714" s="1">
        <v>40413</v>
      </c>
      <c r="H3714">
        <v>6412.4620699999996</v>
      </c>
      <c r="I3714" s="1">
        <v>40479</v>
      </c>
      <c r="J3714">
        <v>10753.5</v>
      </c>
      <c r="K3714" s="1">
        <v>40442</v>
      </c>
      <c r="L3714">
        <v>20740.73</v>
      </c>
    </row>
    <row r="3715" spans="1:12" x14ac:dyDescent="0.35">
      <c r="A3715" s="1">
        <v>40498</v>
      </c>
      <c r="B3715">
        <v>2781.77</v>
      </c>
      <c r="C3715" s="1">
        <v>40484</v>
      </c>
      <c r="D3715">
        <v>3865.72</v>
      </c>
      <c r="E3715" s="1">
        <v>40437</v>
      </c>
      <c r="F3715">
        <v>6249.65</v>
      </c>
      <c r="G3715" s="1">
        <v>40410</v>
      </c>
      <c r="H3715">
        <v>6350.6952300000003</v>
      </c>
      <c r="I3715" s="1">
        <v>40478</v>
      </c>
      <c r="J3715">
        <v>10700.1</v>
      </c>
      <c r="K3715" s="1">
        <v>40441</v>
      </c>
      <c r="L3715">
        <v>20753.54</v>
      </c>
    </row>
    <row r="3716" spans="1:12" x14ac:dyDescent="0.35">
      <c r="A3716" s="1">
        <v>40497</v>
      </c>
      <c r="B3716">
        <v>2848.45</v>
      </c>
      <c r="C3716" s="1">
        <v>40483</v>
      </c>
      <c r="D3716">
        <v>3841.11</v>
      </c>
      <c r="E3716" s="1">
        <v>40436</v>
      </c>
      <c r="F3716">
        <v>6261.87</v>
      </c>
      <c r="G3716" s="1">
        <v>40409</v>
      </c>
      <c r="H3716">
        <v>6344.3381600000002</v>
      </c>
      <c r="I3716" s="1">
        <v>40477</v>
      </c>
      <c r="J3716">
        <v>10797.8</v>
      </c>
      <c r="K3716" s="1">
        <v>40438</v>
      </c>
      <c r="L3716">
        <v>20517.96</v>
      </c>
    </row>
    <row r="3717" spans="1:12" x14ac:dyDescent="0.35">
      <c r="A3717" s="1">
        <v>40494</v>
      </c>
      <c r="B3717">
        <v>2822.43</v>
      </c>
      <c r="C3717" s="1">
        <v>40480</v>
      </c>
      <c r="D3717">
        <v>3833.5</v>
      </c>
      <c r="E3717" s="1">
        <v>40435</v>
      </c>
      <c r="F3717">
        <v>6275.41</v>
      </c>
      <c r="G3717" s="1">
        <v>40408</v>
      </c>
      <c r="H3717">
        <v>6432.2268599999998</v>
      </c>
      <c r="I3717" s="1">
        <v>40476</v>
      </c>
      <c r="J3717">
        <v>10870.3</v>
      </c>
      <c r="K3717" s="1">
        <v>40437</v>
      </c>
      <c r="L3717">
        <v>20684.36</v>
      </c>
    </row>
    <row r="3718" spans="1:12" x14ac:dyDescent="0.35">
      <c r="A3718" s="1">
        <v>40493</v>
      </c>
      <c r="B3718">
        <v>2831.22</v>
      </c>
      <c r="C3718" s="1">
        <v>40479</v>
      </c>
      <c r="D3718">
        <v>3834.84</v>
      </c>
      <c r="E3718" s="1">
        <v>40434</v>
      </c>
      <c r="F3718">
        <v>6261.68</v>
      </c>
      <c r="G3718" s="1">
        <v>40407</v>
      </c>
      <c r="H3718">
        <v>6474.3566799999999</v>
      </c>
      <c r="I3718" s="1">
        <v>40473</v>
      </c>
      <c r="J3718">
        <v>10924.8</v>
      </c>
      <c r="K3718" s="1">
        <v>40436</v>
      </c>
      <c r="L3718">
        <v>20872.79</v>
      </c>
    </row>
    <row r="3719" spans="1:12" x14ac:dyDescent="0.35">
      <c r="A3719" s="1">
        <v>40492</v>
      </c>
      <c r="B3719">
        <v>2845.93</v>
      </c>
      <c r="C3719" s="1">
        <v>40478</v>
      </c>
      <c r="D3719">
        <v>3815.77</v>
      </c>
      <c r="E3719" s="1">
        <v>40431</v>
      </c>
      <c r="F3719">
        <v>6214.77</v>
      </c>
      <c r="G3719" s="1">
        <v>40406</v>
      </c>
      <c r="H3719">
        <v>6445.8266199999998</v>
      </c>
      <c r="I3719" s="1">
        <v>40472</v>
      </c>
      <c r="J3719">
        <v>10892.3</v>
      </c>
      <c r="K3719" s="1">
        <v>40435</v>
      </c>
      <c r="L3719">
        <v>21003.94</v>
      </c>
    </row>
    <row r="3720" spans="1:12" x14ac:dyDescent="0.35">
      <c r="A3720" s="1">
        <v>40491</v>
      </c>
      <c r="B3720">
        <v>2890.64</v>
      </c>
      <c r="C3720" s="1">
        <v>40477</v>
      </c>
      <c r="D3720">
        <v>3852.66</v>
      </c>
      <c r="E3720" s="1">
        <v>40430</v>
      </c>
      <c r="F3720">
        <v>6221.52</v>
      </c>
      <c r="G3720" s="1">
        <v>40403</v>
      </c>
      <c r="H3720">
        <v>6433.0510100000001</v>
      </c>
      <c r="I3720" s="1">
        <v>40471</v>
      </c>
      <c r="J3720">
        <v>10896.9</v>
      </c>
      <c r="K3720" s="1">
        <v>40434</v>
      </c>
      <c r="L3720">
        <v>21001.62</v>
      </c>
    </row>
    <row r="3721" spans="1:12" x14ac:dyDescent="0.35">
      <c r="A3721" s="1">
        <v>40490</v>
      </c>
      <c r="B3721">
        <v>2867.96</v>
      </c>
      <c r="C3721" s="1">
        <v>40476</v>
      </c>
      <c r="D3721">
        <v>3870</v>
      </c>
      <c r="E3721" s="1">
        <v>40429</v>
      </c>
      <c r="F3721">
        <v>6164.44</v>
      </c>
      <c r="G3721" s="1">
        <v>40402</v>
      </c>
      <c r="H3721">
        <v>6384.6058999999996</v>
      </c>
      <c r="I3721" s="1">
        <v>40470</v>
      </c>
      <c r="J3721">
        <v>10895.3</v>
      </c>
      <c r="K3721" s="1">
        <v>40431</v>
      </c>
      <c r="L3721">
        <v>20833.189999999999</v>
      </c>
    </row>
    <row r="3722" spans="1:12" x14ac:dyDescent="0.35">
      <c r="A3722" s="1">
        <v>40487</v>
      </c>
      <c r="B3722">
        <v>2875.94</v>
      </c>
      <c r="C3722" s="1">
        <v>40473</v>
      </c>
      <c r="D3722">
        <v>3868.54</v>
      </c>
      <c r="E3722" s="1">
        <v>40428</v>
      </c>
      <c r="F3722">
        <v>6117.89</v>
      </c>
      <c r="G3722" s="1">
        <v>40401</v>
      </c>
      <c r="H3722">
        <v>6373.71994</v>
      </c>
      <c r="I3722" s="1">
        <v>40469</v>
      </c>
      <c r="J3722">
        <v>10897.7</v>
      </c>
      <c r="K3722" s="1">
        <v>40430</v>
      </c>
      <c r="L3722">
        <v>20858.47</v>
      </c>
    </row>
    <row r="3723" spans="1:12" x14ac:dyDescent="0.35">
      <c r="A3723" s="1">
        <v>40486</v>
      </c>
      <c r="B3723">
        <v>2884.21</v>
      </c>
      <c r="C3723" s="1">
        <v>40472</v>
      </c>
      <c r="D3723">
        <v>3878.27</v>
      </c>
      <c r="E3723" s="1">
        <v>40427</v>
      </c>
      <c r="F3723">
        <v>6155.04</v>
      </c>
      <c r="G3723" s="1">
        <v>40400</v>
      </c>
      <c r="H3723">
        <v>6473.2517399999997</v>
      </c>
      <c r="I3723" s="1">
        <v>40466</v>
      </c>
      <c r="J3723">
        <v>10868.2</v>
      </c>
      <c r="K3723" s="1">
        <v>40429</v>
      </c>
      <c r="L3723">
        <v>20580.259999999998</v>
      </c>
    </row>
    <row r="3724" spans="1:12" x14ac:dyDescent="0.35">
      <c r="A3724" s="1">
        <v>40485</v>
      </c>
      <c r="B3724">
        <v>2830.43</v>
      </c>
      <c r="C3724" s="1">
        <v>40471</v>
      </c>
      <c r="D3724">
        <v>3828.15</v>
      </c>
      <c r="E3724" s="1">
        <v>40424</v>
      </c>
      <c r="F3724">
        <v>6134.62</v>
      </c>
      <c r="G3724" s="1">
        <v>40399</v>
      </c>
      <c r="H3724">
        <v>6513.9732400000003</v>
      </c>
      <c r="I3724" s="1">
        <v>40465</v>
      </c>
      <c r="J3724">
        <v>10849.7</v>
      </c>
      <c r="K3724" s="1">
        <v>40428</v>
      </c>
      <c r="L3724">
        <v>20395.45</v>
      </c>
    </row>
    <row r="3725" spans="1:12" x14ac:dyDescent="0.35">
      <c r="A3725" s="1">
        <v>40484</v>
      </c>
      <c r="B3725">
        <v>2861.01</v>
      </c>
      <c r="C3725" s="1">
        <v>40470</v>
      </c>
      <c r="D3725">
        <v>3807.17</v>
      </c>
      <c r="E3725" s="1">
        <v>40423</v>
      </c>
      <c r="F3725">
        <v>6083.85</v>
      </c>
      <c r="G3725" s="1">
        <v>40396</v>
      </c>
      <c r="H3725">
        <v>6408.4346299999997</v>
      </c>
      <c r="I3725" s="1">
        <v>40464</v>
      </c>
      <c r="J3725">
        <v>10866.1</v>
      </c>
      <c r="K3725" s="1">
        <v>40427</v>
      </c>
      <c r="L3725">
        <v>20660.91</v>
      </c>
    </row>
    <row r="3726" spans="1:12" x14ac:dyDescent="0.35">
      <c r="A3726" s="1">
        <v>40483</v>
      </c>
      <c r="B3726">
        <v>2836.73</v>
      </c>
      <c r="C3726" s="1">
        <v>40469</v>
      </c>
      <c r="D3726">
        <v>3834.5</v>
      </c>
      <c r="E3726" s="1">
        <v>40422</v>
      </c>
      <c r="F3726">
        <v>6083.9</v>
      </c>
      <c r="G3726" s="1">
        <v>40395</v>
      </c>
      <c r="H3726">
        <v>6468.7005900000004</v>
      </c>
      <c r="I3726" s="1">
        <v>40463</v>
      </c>
      <c r="J3726">
        <v>10648.2</v>
      </c>
      <c r="K3726" s="1">
        <v>40424</v>
      </c>
      <c r="L3726">
        <v>20639.86</v>
      </c>
    </row>
    <row r="3727" spans="1:12" x14ac:dyDescent="0.35">
      <c r="A3727" s="1">
        <v>40480</v>
      </c>
      <c r="B3727">
        <v>2844.99</v>
      </c>
      <c r="C3727" s="1">
        <v>40466</v>
      </c>
      <c r="D3727">
        <v>3827.37</v>
      </c>
      <c r="E3727" s="1">
        <v>40421</v>
      </c>
      <c r="F3727">
        <v>5925.22</v>
      </c>
      <c r="G3727" s="1">
        <v>40394</v>
      </c>
      <c r="H3727">
        <v>6501.3849799999998</v>
      </c>
      <c r="I3727" s="1">
        <v>40462</v>
      </c>
      <c r="J3727">
        <v>10700.8</v>
      </c>
      <c r="K3727" s="1">
        <v>40423</v>
      </c>
      <c r="L3727">
        <v>20412.28</v>
      </c>
    </row>
    <row r="3728" spans="1:12" x14ac:dyDescent="0.35">
      <c r="A3728" s="1">
        <v>40479</v>
      </c>
      <c r="B3728">
        <v>2845.53</v>
      </c>
      <c r="C3728" s="1">
        <v>40465</v>
      </c>
      <c r="D3728">
        <v>3819.17</v>
      </c>
      <c r="E3728" s="1">
        <v>40420</v>
      </c>
      <c r="F3728">
        <v>5912.41</v>
      </c>
      <c r="G3728" s="1">
        <v>40393</v>
      </c>
      <c r="H3728">
        <v>6498.2936300000001</v>
      </c>
      <c r="I3728" s="1">
        <v>40459</v>
      </c>
      <c r="J3728">
        <v>10720.8</v>
      </c>
      <c r="K3728" s="1">
        <v>40422</v>
      </c>
      <c r="L3728">
        <v>20369.96</v>
      </c>
    </row>
    <row r="3729" spans="1:12" x14ac:dyDescent="0.35">
      <c r="A3729" s="1">
        <v>40478</v>
      </c>
      <c r="B3729">
        <v>2829.42</v>
      </c>
      <c r="C3729" s="1">
        <v>40464</v>
      </c>
      <c r="D3729">
        <v>3828.34</v>
      </c>
      <c r="E3729" s="1">
        <v>40417</v>
      </c>
      <c r="F3729">
        <v>5951.17</v>
      </c>
      <c r="G3729" s="1">
        <v>40392</v>
      </c>
      <c r="H3729">
        <v>6510.71479</v>
      </c>
      <c r="I3729" s="1">
        <v>40458</v>
      </c>
      <c r="J3729">
        <v>10740.3</v>
      </c>
      <c r="K3729" s="1">
        <v>40421</v>
      </c>
      <c r="L3729">
        <v>19734.57</v>
      </c>
    </row>
    <row r="3730" spans="1:12" x14ac:dyDescent="0.35">
      <c r="A3730" s="1">
        <v>40477</v>
      </c>
      <c r="B3730">
        <v>2856.31</v>
      </c>
      <c r="C3730" s="1">
        <v>40463</v>
      </c>
      <c r="D3730">
        <v>3748.86</v>
      </c>
      <c r="E3730" s="1">
        <v>40416</v>
      </c>
      <c r="F3730">
        <v>5912.58</v>
      </c>
      <c r="G3730" s="1">
        <v>40389</v>
      </c>
      <c r="H3730">
        <v>6324.6952700000002</v>
      </c>
      <c r="I3730" s="1">
        <v>40457</v>
      </c>
      <c r="J3730">
        <v>10700.2</v>
      </c>
      <c r="K3730" s="1">
        <v>40420</v>
      </c>
      <c r="L3730">
        <v>19699.66</v>
      </c>
    </row>
    <row r="3731" spans="1:12" x14ac:dyDescent="0.35">
      <c r="A3731" s="1">
        <v>40476</v>
      </c>
      <c r="B3731">
        <v>2871.48</v>
      </c>
      <c r="C3731" s="1">
        <v>40462</v>
      </c>
      <c r="D3731">
        <v>3768.49</v>
      </c>
      <c r="E3731" s="1">
        <v>40415</v>
      </c>
      <c r="F3731">
        <v>5899.5</v>
      </c>
      <c r="G3731" s="1">
        <v>40388</v>
      </c>
      <c r="H3731">
        <v>6338.6293999999998</v>
      </c>
      <c r="I3731" s="1">
        <v>40456</v>
      </c>
      <c r="J3731">
        <v>10651.2</v>
      </c>
      <c r="K3731" s="1">
        <v>40417</v>
      </c>
      <c r="L3731">
        <v>19817.46</v>
      </c>
    </row>
    <row r="3732" spans="1:12" x14ac:dyDescent="0.35">
      <c r="A3732" s="1">
        <v>40473</v>
      </c>
      <c r="B3732">
        <v>2873.74</v>
      </c>
      <c r="C3732" s="1">
        <v>40459</v>
      </c>
      <c r="D3732">
        <v>3763.18</v>
      </c>
      <c r="E3732" s="1">
        <v>40414</v>
      </c>
      <c r="F3732">
        <v>5935.44</v>
      </c>
      <c r="G3732" s="1">
        <v>40387</v>
      </c>
      <c r="H3732">
        <v>6387.4631300000001</v>
      </c>
      <c r="I3732" s="1">
        <v>40455</v>
      </c>
      <c r="J3732">
        <v>10383</v>
      </c>
      <c r="K3732" s="1">
        <v>40416</v>
      </c>
      <c r="L3732">
        <v>19735.47</v>
      </c>
    </row>
    <row r="3733" spans="1:12" x14ac:dyDescent="0.35">
      <c r="A3733" s="1">
        <v>40472</v>
      </c>
      <c r="B3733">
        <v>2882.29</v>
      </c>
      <c r="C3733" s="1">
        <v>40458</v>
      </c>
      <c r="D3733">
        <v>3770.47</v>
      </c>
      <c r="E3733" s="1">
        <v>40413</v>
      </c>
      <c r="F3733">
        <v>6010.91</v>
      </c>
      <c r="G3733" s="1">
        <v>40386</v>
      </c>
      <c r="H3733">
        <v>6432.19247</v>
      </c>
      <c r="I3733" s="1">
        <v>40452</v>
      </c>
      <c r="J3733">
        <v>10450.1</v>
      </c>
      <c r="K3733" s="1">
        <v>40415</v>
      </c>
      <c r="L3733">
        <v>19465.45</v>
      </c>
    </row>
    <row r="3734" spans="1:12" x14ac:dyDescent="0.35">
      <c r="A3734" s="1">
        <v>40471</v>
      </c>
      <c r="B3734">
        <v>2851.52</v>
      </c>
      <c r="C3734" s="1">
        <v>40457</v>
      </c>
      <c r="D3734">
        <v>3764.91</v>
      </c>
      <c r="E3734" s="1">
        <v>40410</v>
      </c>
      <c r="F3734">
        <v>6005.16</v>
      </c>
      <c r="G3734" s="1">
        <v>40385</v>
      </c>
      <c r="H3734">
        <v>6379.1676799999996</v>
      </c>
      <c r="I3734" s="1">
        <v>40451</v>
      </c>
      <c r="J3734">
        <v>10514.5</v>
      </c>
      <c r="K3734" s="1">
        <v>40414</v>
      </c>
      <c r="L3734">
        <v>19694.88</v>
      </c>
    </row>
    <row r="3735" spans="1:12" x14ac:dyDescent="0.35">
      <c r="A3735" s="1">
        <v>40470</v>
      </c>
      <c r="B3735">
        <v>2837.33</v>
      </c>
      <c r="C3735" s="1">
        <v>40456</v>
      </c>
      <c r="D3735">
        <v>3731.93</v>
      </c>
      <c r="E3735" s="1">
        <v>40409</v>
      </c>
      <c r="F3735">
        <v>6075.13</v>
      </c>
      <c r="G3735" s="1">
        <v>40382</v>
      </c>
      <c r="H3735">
        <v>6368.1156300000002</v>
      </c>
      <c r="I3735" s="1">
        <v>40450</v>
      </c>
      <c r="J3735">
        <v>10486.8</v>
      </c>
      <c r="K3735" s="1">
        <v>40413</v>
      </c>
      <c r="L3735">
        <v>20010.34</v>
      </c>
    </row>
    <row r="3736" spans="1:12" x14ac:dyDescent="0.35">
      <c r="A3736" s="1">
        <v>40469</v>
      </c>
      <c r="B3736">
        <v>2850.72</v>
      </c>
      <c r="C3736" s="1">
        <v>40455</v>
      </c>
      <c r="D3736">
        <v>3649.81</v>
      </c>
      <c r="E3736" s="1">
        <v>40408</v>
      </c>
      <c r="F3736">
        <v>6186.31</v>
      </c>
      <c r="G3736" s="1">
        <v>40381</v>
      </c>
      <c r="H3736">
        <v>6289.4373900000001</v>
      </c>
      <c r="I3736" s="1">
        <v>40449</v>
      </c>
      <c r="J3736">
        <v>10590.7</v>
      </c>
      <c r="K3736" s="1">
        <v>40410</v>
      </c>
      <c r="L3736">
        <v>19870.46</v>
      </c>
    </row>
    <row r="3737" spans="1:12" x14ac:dyDescent="0.35">
      <c r="A3737" s="1">
        <v>40466</v>
      </c>
      <c r="B3737">
        <v>2841.65</v>
      </c>
      <c r="C3737" s="1">
        <v>40452</v>
      </c>
      <c r="D3737">
        <v>3692.09</v>
      </c>
      <c r="E3737" s="1">
        <v>40407</v>
      </c>
      <c r="F3737">
        <v>6206.4</v>
      </c>
      <c r="G3737" s="1">
        <v>40380</v>
      </c>
      <c r="H3737">
        <v>6184.44578</v>
      </c>
      <c r="I3737" s="1">
        <v>40448</v>
      </c>
      <c r="J3737">
        <v>10613</v>
      </c>
      <c r="K3737" s="1">
        <v>40409</v>
      </c>
      <c r="L3737">
        <v>20115.689999999999</v>
      </c>
    </row>
    <row r="3738" spans="1:12" x14ac:dyDescent="0.35">
      <c r="A3738" s="1">
        <v>40465</v>
      </c>
      <c r="B3738">
        <v>2836.11</v>
      </c>
      <c r="C3738" s="1">
        <v>40451</v>
      </c>
      <c r="D3738">
        <v>3715.18</v>
      </c>
      <c r="E3738" s="1">
        <v>40406</v>
      </c>
      <c r="F3738">
        <v>6110.57</v>
      </c>
      <c r="G3738" s="1">
        <v>40379</v>
      </c>
      <c r="H3738">
        <v>6088.3936999999996</v>
      </c>
      <c r="I3738" s="1">
        <v>40445</v>
      </c>
      <c r="J3738">
        <v>10727.6</v>
      </c>
      <c r="K3738" s="1">
        <v>40408</v>
      </c>
      <c r="L3738">
        <v>20536.77</v>
      </c>
    </row>
    <row r="3739" spans="1:12" x14ac:dyDescent="0.35">
      <c r="A3739" s="1">
        <v>40464</v>
      </c>
      <c r="B3739">
        <v>2840.55</v>
      </c>
      <c r="C3739" s="1">
        <v>40450</v>
      </c>
      <c r="D3739">
        <v>3737.12</v>
      </c>
      <c r="E3739" s="1">
        <v>40403</v>
      </c>
      <c r="F3739">
        <v>6110.41</v>
      </c>
      <c r="G3739" s="1">
        <v>40378</v>
      </c>
      <c r="H3739">
        <v>6051.7518899999995</v>
      </c>
      <c r="I3739" s="1">
        <v>40444</v>
      </c>
      <c r="J3739">
        <v>10501.5</v>
      </c>
      <c r="K3739" s="1">
        <v>40407</v>
      </c>
      <c r="L3739">
        <v>20668.57</v>
      </c>
    </row>
    <row r="3740" spans="1:12" x14ac:dyDescent="0.35">
      <c r="A3740" s="1">
        <v>40463</v>
      </c>
      <c r="B3740">
        <v>2775.75</v>
      </c>
      <c r="C3740" s="1">
        <v>40449</v>
      </c>
      <c r="D3740">
        <v>3762.35</v>
      </c>
      <c r="E3740" s="1">
        <v>40402</v>
      </c>
      <c r="F3740">
        <v>6135.17</v>
      </c>
      <c r="G3740" s="1">
        <v>40375</v>
      </c>
      <c r="H3740">
        <v>6110.1839600000003</v>
      </c>
      <c r="I3740" s="1">
        <v>40443</v>
      </c>
      <c r="J3740">
        <v>10555.2</v>
      </c>
      <c r="K3740" s="1">
        <v>40406</v>
      </c>
      <c r="L3740">
        <v>20409.060000000001</v>
      </c>
    </row>
    <row r="3741" spans="1:12" x14ac:dyDescent="0.35">
      <c r="A3741" s="1">
        <v>40462</v>
      </c>
      <c r="B3741">
        <v>2789.72</v>
      </c>
      <c r="C3741" s="1">
        <v>40448</v>
      </c>
      <c r="D3741">
        <v>3766.16</v>
      </c>
      <c r="E3741" s="1">
        <v>40401</v>
      </c>
      <c r="F3741">
        <v>6154.07</v>
      </c>
      <c r="G3741" s="1">
        <v>40374</v>
      </c>
      <c r="H3741">
        <v>6214.8619200000003</v>
      </c>
      <c r="I3741" s="1">
        <v>40442</v>
      </c>
      <c r="J3741">
        <v>10762.5</v>
      </c>
      <c r="K3741" s="1">
        <v>40403</v>
      </c>
      <c r="L3741">
        <v>20473.150000000001</v>
      </c>
    </row>
    <row r="3742" spans="1:12" x14ac:dyDescent="0.35">
      <c r="A3742" s="1">
        <v>40459</v>
      </c>
      <c r="B3742">
        <v>2785.43</v>
      </c>
      <c r="C3742" s="1">
        <v>40445</v>
      </c>
      <c r="D3742">
        <v>3782.48</v>
      </c>
      <c r="E3742" s="1">
        <v>40400</v>
      </c>
      <c r="F3742">
        <v>6286.25</v>
      </c>
      <c r="G3742" s="1">
        <v>40373</v>
      </c>
      <c r="H3742">
        <v>6284.4538000000002</v>
      </c>
      <c r="I3742" s="1">
        <v>40441</v>
      </c>
      <c r="J3742">
        <v>10743.1</v>
      </c>
      <c r="K3742" s="1">
        <v>40402</v>
      </c>
      <c r="L3742">
        <v>20539.400000000001</v>
      </c>
    </row>
    <row r="3743" spans="1:12" x14ac:dyDescent="0.35">
      <c r="A3743" s="1">
        <v>40458</v>
      </c>
      <c r="B3743">
        <v>2786.88</v>
      </c>
      <c r="C3743" s="1">
        <v>40444</v>
      </c>
      <c r="D3743">
        <v>3710.61</v>
      </c>
      <c r="E3743" s="1">
        <v>40399</v>
      </c>
      <c r="F3743">
        <v>6351.6</v>
      </c>
      <c r="G3743" s="1">
        <v>40372</v>
      </c>
      <c r="H3743">
        <v>6285.6509100000003</v>
      </c>
      <c r="I3743" s="1">
        <v>40438</v>
      </c>
      <c r="J3743">
        <v>10588.6</v>
      </c>
      <c r="K3743" s="1">
        <v>40401</v>
      </c>
      <c r="L3743">
        <v>20579.240000000002</v>
      </c>
    </row>
    <row r="3744" spans="1:12" x14ac:dyDescent="0.35">
      <c r="A3744" s="1">
        <v>40457</v>
      </c>
      <c r="B3744">
        <v>2780</v>
      </c>
      <c r="C3744" s="1">
        <v>40443</v>
      </c>
      <c r="D3744">
        <v>3735.05</v>
      </c>
      <c r="E3744" s="1">
        <v>40396</v>
      </c>
      <c r="F3744">
        <v>6259.63</v>
      </c>
      <c r="G3744" s="1">
        <v>40371</v>
      </c>
      <c r="H3744">
        <v>6170.1335799999997</v>
      </c>
      <c r="I3744" s="1">
        <v>40437</v>
      </c>
      <c r="J3744">
        <v>10716.8</v>
      </c>
      <c r="K3744" s="1">
        <v>40400</v>
      </c>
      <c r="L3744">
        <v>21259.89</v>
      </c>
    </row>
    <row r="3745" spans="1:12" x14ac:dyDescent="0.35">
      <c r="A3745" s="1">
        <v>40456</v>
      </c>
      <c r="B3745">
        <v>2758.56</v>
      </c>
      <c r="C3745" s="1">
        <v>40442</v>
      </c>
      <c r="D3745">
        <v>3784.4</v>
      </c>
      <c r="E3745" s="1">
        <v>40395</v>
      </c>
      <c r="F3745">
        <v>6333.58</v>
      </c>
      <c r="G3745" s="1">
        <v>40368</v>
      </c>
      <c r="H3745">
        <v>6112.6914999999999</v>
      </c>
      <c r="I3745" s="1">
        <v>40436</v>
      </c>
      <c r="J3745">
        <v>10751.8</v>
      </c>
      <c r="K3745" s="1">
        <v>40399</v>
      </c>
      <c r="L3745">
        <v>21341.62</v>
      </c>
    </row>
    <row r="3746" spans="1:12" x14ac:dyDescent="0.35">
      <c r="A3746" s="1">
        <v>40455</v>
      </c>
      <c r="B3746">
        <v>2701.02</v>
      </c>
      <c r="C3746" s="1">
        <v>40441</v>
      </c>
      <c r="D3746">
        <v>3788.01</v>
      </c>
      <c r="E3746" s="1">
        <v>40394</v>
      </c>
      <c r="F3746">
        <v>6331.33</v>
      </c>
      <c r="G3746" s="1">
        <v>40367</v>
      </c>
      <c r="H3746">
        <v>6099.9919799999998</v>
      </c>
      <c r="I3746" s="1">
        <v>40435</v>
      </c>
      <c r="J3746">
        <v>10806.6</v>
      </c>
      <c r="K3746" s="1">
        <v>40396</v>
      </c>
      <c r="L3746">
        <v>21084.47</v>
      </c>
    </row>
    <row r="3747" spans="1:12" x14ac:dyDescent="0.35">
      <c r="A3747" s="1">
        <v>40452</v>
      </c>
      <c r="B3747">
        <v>2732.91</v>
      </c>
      <c r="C3747" s="1">
        <v>40438</v>
      </c>
      <c r="D3747">
        <v>3722.02</v>
      </c>
      <c r="E3747" s="1">
        <v>40393</v>
      </c>
      <c r="F3747">
        <v>6307.91</v>
      </c>
      <c r="G3747" s="1">
        <v>40366</v>
      </c>
      <c r="H3747">
        <v>6042.2872799999996</v>
      </c>
      <c r="I3747" s="1">
        <v>40434</v>
      </c>
      <c r="J3747">
        <v>10765.2</v>
      </c>
      <c r="K3747" s="1">
        <v>40395</v>
      </c>
      <c r="L3747">
        <v>21302.97</v>
      </c>
    </row>
    <row r="3748" spans="1:12" x14ac:dyDescent="0.35">
      <c r="A3748" s="1">
        <v>40451</v>
      </c>
      <c r="B3748">
        <v>2747.9</v>
      </c>
      <c r="C3748" s="1">
        <v>40437</v>
      </c>
      <c r="D3748">
        <v>3736.3</v>
      </c>
      <c r="E3748" s="1">
        <v>40392</v>
      </c>
      <c r="F3748">
        <v>6292.13</v>
      </c>
      <c r="G3748" s="1">
        <v>40365</v>
      </c>
      <c r="H3748">
        <v>5958.5500099999999</v>
      </c>
      <c r="I3748" s="1">
        <v>40431</v>
      </c>
      <c r="J3748">
        <v>10689.6</v>
      </c>
      <c r="K3748" s="1">
        <v>40394</v>
      </c>
      <c r="L3748">
        <v>21466.44</v>
      </c>
    </row>
    <row r="3749" spans="1:12" x14ac:dyDescent="0.35">
      <c r="A3749" s="1">
        <v>40450</v>
      </c>
      <c r="B3749">
        <v>2752.71</v>
      </c>
      <c r="C3749" s="1">
        <v>40436</v>
      </c>
      <c r="D3749">
        <v>3755.64</v>
      </c>
      <c r="E3749" s="1">
        <v>40389</v>
      </c>
      <c r="F3749">
        <v>6147.97</v>
      </c>
      <c r="G3749" s="1">
        <v>40364</v>
      </c>
      <c r="H3749">
        <v>5823.7320099999997</v>
      </c>
      <c r="I3749" s="1">
        <v>40430</v>
      </c>
      <c r="J3749">
        <v>10712.9</v>
      </c>
      <c r="K3749" s="1">
        <v>40393</v>
      </c>
      <c r="L3749">
        <v>21498.32</v>
      </c>
    </row>
    <row r="3750" spans="1:12" x14ac:dyDescent="0.35">
      <c r="A3750" s="1">
        <v>40449</v>
      </c>
      <c r="B3750">
        <v>2774.62</v>
      </c>
      <c r="C3750" s="1">
        <v>40435</v>
      </c>
      <c r="D3750">
        <v>3774.4</v>
      </c>
      <c r="E3750" s="1">
        <v>40388</v>
      </c>
      <c r="F3750">
        <v>6134.7</v>
      </c>
      <c r="G3750" s="1">
        <v>40361</v>
      </c>
      <c r="H3750">
        <v>5858.2389199999998</v>
      </c>
      <c r="I3750" s="1">
        <v>40429</v>
      </c>
      <c r="J3750">
        <v>10586.2</v>
      </c>
      <c r="K3750" s="1">
        <v>40392</v>
      </c>
      <c r="L3750">
        <v>21547.84</v>
      </c>
    </row>
    <row r="3751" spans="1:12" x14ac:dyDescent="0.35">
      <c r="A3751" s="1">
        <v>40448</v>
      </c>
      <c r="B3751">
        <v>2776.33</v>
      </c>
      <c r="C3751" s="1">
        <v>40434</v>
      </c>
      <c r="D3751">
        <v>3767.15</v>
      </c>
      <c r="E3751" s="1">
        <v>40387</v>
      </c>
      <c r="F3751">
        <v>6178.94</v>
      </c>
      <c r="G3751" s="1">
        <v>40360</v>
      </c>
      <c r="H3751">
        <v>5834.20136</v>
      </c>
      <c r="I3751" s="1">
        <v>40428</v>
      </c>
      <c r="J3751">
        <v>10479.1</v>
      </c>
      <c r="K3751" s="1">
        <v>40389</v>
      </c>
      <c r="L3751">
        <v>21021.56</v>
      </c>
    </row>
    <row r="3752" spans="1:12" x14ac:dyDescent="0.35">
      <c r="A3752" s="1">
        <v>40445</v>
      </c>
      <c r="B3752">
        <v>2792.75</v>
      </c>
      <c r="C3752" s="1">
        <v>40431</v>
      </c>
      <c r="D3752">
        <v>3725.82</v>
      </c>
      <c r="E3752" s="1">
        <v>40386</v>
      </c>
      <c r="F3752">
        <v>6207.31</v>
      </c>
      <c r="G3752" s="1">
        <v>40359</v>
      </c>
      <c r="H3752">
        <v>6002.37626</v>
      </c>
      <c r="I3752" s="1">
        <v>40427</v>
      </c>
      <c r="J3752">
        <v>10622.7</v>
      </c>
      <c r="K3752" s="1">
        <v>40388</v>
      </c>
      <c r="L3752">
        <v>21096.97</v>
      </c>
    </row>
    <row r="3753" spans="1:12" x14ac:dyDescent="0.35">
      <c r="A3753" s="1">
        <v>40444</v>
      </c>
      <c r="B3753">
        <v>2738.61</v>
      </c>
      <c r="C3753" s="1">
        <v>40430</v>
      </c>
      <c r="D3753">
        <v>3722.15</v>
      </c>
      <c r="E3753" s="1">
        <v>40385</v>
      </c>
      <c r="F3753">
        <v>6194.21</v>
      </c>
      <c r="G3753" s="1">
        <v>40358</v>
      </c>
      <c r="H3753">
        <v>6073.1354099999999</v>
      </c>
      <c r="I3753" s="1">
        <v>40424</v>
      </c>
      <c r="J3753">
        <v>10599.4</v>
      </c>
      <c r="K3753" s="1">
        <v>40387</v>
      </c>
      <c r="L3753">
        <v>21082.06</v>
      </c>
    </row>
    <row r="3754" spans="1:12" x14ac:dyDescent="0.35">
      <c r="A3754" s="1">
        <v>40443</v>
      </c>
      <c r="B3754">
        <v>2752.77</v>
      </c>
      <c r="C3754" s="1">
        <v>40429</v>
      </c>
      <c r="D3754">
        <v>3677.21</v>
      </c>
      <c r="E3754" s="1">
        <v>40382</v>
      </c>
      <c r="F3754">
        <v>6166.34</v>
      </c>
      <c r="G3754" s="1">
        <v>40357</v>
      </c>
      <c r="H3754">
        <v>6223.5097500000002</v>
      </c>
      <c r="I3754" s="1">
        <v>40423</v>
      </c>
      <c r="J3754">
        <v>10537.6</v>
      </c>
      <c r="K3754" s="1">
        <v>40386</v>
      </c>
      <c r="L3754">
        <v>21158.080000000002</v>
      </c>
    </row>
    <row r="3755" spans="1:12" x14ac:dyDescent="0.35">
      <c r="A3755" s="1">
        <v>40442</v>
      </c>
      <c r="B3755">
        <v>2794.55</v>
      </c>
      <c r="C3755" s="1">
        <v>40428</v>
      </c>
      <c r="D3755">
        <v>3643.81</v>
      </c>
      <c r="E3755" s="1">
        <v>40381</v>
      </c>
      <c r="F3755">
        <v>6142.15</v>
      </c>
      <c r="G3755" s="1">
        <v>40354</v>
      </c>
      <c r="H3755">
        <v>6127.6228600000004</v>
      </c>
      <c r="I3755" s="1">
        <v>40422</v>
      </c>
      <c r="J3755">
        <v>10544.8</v>
      </c>
      <c r="K3755" s="1">
        <v>40385</v>
      </c>
      <c r="L3755">
        <v>20819.96</v>
      </c>
    </row>
    <row r="3756" spans="1:12" x14ac:dyDescent="0.35">
      <c r="A3756" s="1">
        <v>40441</v>
      </c>
      <c r="B3756">
        <v>2802.67</v>
      </c>
      <c r="C3756" s="1">
        <v>40427</v>
      </c>
      <c r="D3756">
        <v>3684.73</v>
      </c>
      <c r="E3756" s="1">
        <v>40380</v>
      </c>
      <c r="F3756">
        <v>5990.38</v>
      </c>
      <c r="G3756" s="1">
        <v>40353</v>
      </c>
      <c r="H3756">
        <v>6172.1161599999996</v>
      </c>
      <c r="I3756" s="1">
        <v>40421</v>
      </c>
      <c r="J3756">
        <v>10187</v>
      </c>
      <c r="K3756" s="1">
        <v>40382</v>
      </c>
      <c r="L3756">
        <v>20604.080000000002</v>
      </c>
    </row>
    <row r="3757" spans="1:12" x14ac:dyDescent="0.35">
      <c r="A3757" s="1">
        <v>40438</v>
      </c>
      <c r="B3757">
        <v>2757.37</v>
      </c>
      <c r="C3757" s="1">
        <v>40424</v>
      </c>
      <c r="D3757">
        <v>3672.2</v>
      </c>
      <c r="E3757" s="1">
        <v>40379</v>
      </c>
      <c r="F3757">
        <v>5967.49</v>
      </c>
      <c r="G3757" s="1">
        <v>40352</v>
      </c>
      <c r="H3757">
        <v>6294.5111299999999</v>
      </c>
      <c r="I3757" s="1">
        <v>40420</v>
      </c>
      <c r="J3757">
        <v>10136</v>
      </c>
      <c r="K3757" s="1">
        <v>40381</v>
      </c>
      <c r="L3757">
        <v>20694.259999999998</v>
      </c>
    </row>
    <row r="3758" spans="1:12" x14ac:dyDescent="0.35">
      <c r="A3758" s="1">
        <v>40437</v>
      </c>
      <c r="B3758">
        <v>2784.61</v>
      </c>
      <c r="C3758" s="1">
        <v>40423</v>
      </c>
      <c r="D3758">
        <v>3631.43</v>
      </c>
      <c r="E3758" s="1">
        <v>40378</v>
      </c>
      <c r="F3758">
        <v>6009.11</v>
      </c>
      <c r="G3758" s="1">
        <v>40351</v>
      </c>
      <c r="H3758">
        <v>6329.4600700000001</v>
      </c>
      <c r="I3758" s="1">
        <v>40417</v>
      </c>
      <c r="J3758">
        <v>10148.200000000001</v>
      </c>
      <c r="K3758" s="1">
        <v>40380</v>
      </c>
      <c r="L3758">
        <v>20137.919999999998</v>
      </c>
    </row>
    <row r="3759" spans="1:12" x14ac:dyDescent="0.35">
      <c r="A3759" s="1">
        <v>40436</v>
      </c>
      <c r="B3759">
        <v>2794.36</v>
      </c>
      <c r="C3759" s="1">
        <v>40422</v>
      </c>
      <c r="D3759">
        <v>3623.84</v>
      </c>
      <c r="E3759" s="1">
        <v>40375</v>
      </c>
      <c r="F3759">
        <v>6040.27</v>
      </c>
      <c r="G3759" s="1">
        <v>40350</v>
      </c>
      <c r="H3759">
        <v>6352.9224800000002</v>
      </c>
      <c r="I3759" s="1">
        <v>40416</v>
      </c>
      <c r="J3759">
        <v>10004.4</v>
      </c>
      <c r="K3759" s="1">
        <v>40379</v>
      </c>
      <c r="L3759">
        <v>19985.32</v>
      </c>
    </row>
    <row r="3760" spans="1:12" x14ac:dyDescent="0.35">
      <c r="A3760" s="1">
        <v>40435</v>
      </c>
      <c r="B3760">
        <v>2806.47</v>
      </c>
      <c r="C3760" s="1">
        <v>40421</v>
      </c>
      <c r="D3760">
        <v>3490.79</v>
      </c>
      <c r="E3760" s="1">
        <v>40374</v>
      </c>
      <c r="F3760">
        <v>6149.36</v>
      </c>
      <c r="G3760" s="1">
        <v>40347</v>
      </c>
      <c r="H3760">
        <v>6288.1793200000002</v>
      </c>
      <c r="I3760" s="1">
        <v>40415</v>
      </c>
      <c r="J3760">
        <v>9894</v>
      </c>
      <c r="K3760" s="1">
        <v>40378</v>
      </c>
      <c r="L3760">
        <v>20117.54</v>
      </c>
    </row>
    <row r="3761" spans="1:12" x14ac:dyDescent="0.35">
      <c r="A3761" s="1">
        <v>40434</v>
      </c>
      <c r="B3761">
        <v>2805.06</v>
      </c>
      <c r="C3761" s="1">
        <v>40420</v>
      </c>
      <c r="D3761">
        <v>3487.01</v>
      </c>
      <c r="E3761" s="1">
        <v>40373</v>
      </c>
      <c r="F3761">
        <v>6209.76</v>
      </c>
      <c r="G3761" s="1">
        <v>40346</v>
      </c>
      <c r="H3761">
        <v>6295.7342600000002</v>
      </c>
      <c r="I3761" s="1">
        <v>40414</v>
      </c>
      <c r="J3761">
        <v>10052.299999999999</v>
      </c>
      <c r="K3761" s="1">
        <v>40375</v>
      </c>
      <c r="L3761">
        <v>20161.02</v>
      </c>
    </row>
    <row r="3762" spans="1:12" x14ac:dyDescent="0.35">
      <c r="A3762" s="1">
        <v>40431</v>
      </c>
      <c r="B3762">
        <v>2780.4</v>
      </c>
      <c r="C3762" s="1">
        <v>40417</v>
      </c>
      <c r="D3762">
        <v>3507.44</v>
      </c>
      <c r="E3762" s="1">
        <v>40372</v>
      </c>
      <c r="F3762">
        <v>6191.13</v>
      </c>
      <c r="G3762" s="1">
        <v>40345</v>
      </c>
      <c r="H3762">
        <v>6306.8572199999999</v>
      </c>
      <c r="I3762" s="1">
        <v>40413</v>
      </c>
      <c r="J3762">
        <v>10221.200000000001</v>
      </c>
      <c r="K3762" s="1">
        <v>40374</v>
      </c>
      <c r="L3762">
        <v>20480.080000000002</v>
      </c>
    </row>
    <row r="3763" spans="1:12" x14ac:dyDescent="0.35">
      <c r="A3763" s="1">
        <v>40430</v>
      </c>
      <c r="B3763">
        <v>2782.43</v>
      </c>
      <c r="C3763" s="1">
        <v>40416</v>
      </c>
      <c r="D3763">
        <v>3475.03</v>
      </c>
      <c r="E3763" s="1">
        <v>40371</v>
      </c>
      <c r="F3763">
        <v>6077.19</v>
      </c>
      <c r="G3763" s="1">
        <v>40344</v>
      </c>
      <c r="H3763">
        <v>6268.9160099999999</v>
      </c>
      <c r="I3763" s="1">
        <v>40410</v>
      </c>
      <c r="J3763">
        <v>10094.299999999999</v>
      </c>
      <c r="K3763" s="1">
        <v>40373</v>
      </c>
      <c r="L3763">
        <v>20804.37</v>
      </c>
    </row>
    <row r="3764" spans="1:12" x14ac:dyDescent="0.35">
      <c r="A3764" s="1">
        <v>40429</v>
      </c>
      <c r="B3764">
        <v>2752.89</v>
      </c>
      <c r="C3764" s="1">
        <v>40415</v>
      </c>
      <c r="D3764">
        <v>3450.19</v>
      </c>
      <c r="E3764" s="1">
        <v>40368</v>
      </c>
      <c r="F3764">
        <v>6065.24</v>
      </c>
      <c r="G3764" s="1">
        <v>40343</v>
      </c>
      <c r="H3764">
        <v>6259.3699399999996</v>
      </c>
      <c r="I3764" s="1">
        <v>40409</v>
      </c>
      <c r="J3764">
        <v>10238</v>
      </c>
      <c r="K3764" s="1">
        <v>40372</v>
      </c>
      <c r="L3764">
        <v>20851.849999999999</v>
      </c>
    </row>
    <row r="3765" spans="1:12" x14ac:dyDescent="0.35">
      <c r="A3765" s="1">
        <v>40428</v>
      </c>
      <c r="B3765">
        <v>2727.16</v>
      </c>
      <c r="C3765" s="1">
        <v>40414</v>
      </c>
      <c r="D3765">
        <v>3491.11</v>
      </c>
      <c r="E3765" s="1">
        <v>40367</v>
      </c>
      <c r="F3765">
        <v>6035.66</v>
      </c>
      <c r="G3765" s="1">
        <v>40340</v>
      </c>
      <c r="H3765">
        <v>6214.7399800000003</v>
      </c>
      <c r="I3765" s="1">
        <v>40408</v>
      </c>
      <c r="J3765">
        <v>10391</v>
      </c>
      <c r="K3765" s="1">
        <v>40371</v>
      </c>
      <c r="L3765">
        <v>20517.919999999998</v>
      </c>
    </row>
    <row r="3766" spans="1:12" x14ac:dyDescent="0.35">
      <c r="A3766" s="1">
        <v>40427</v>
      </c>
      <c r="B3766">
        <v>2753.6</v>
      </c>
      <c r="C3766" s="1">
        <v>40413</v>
      </c>
      <c r="D3766">
        <v>3553.23</v>
      </c>
      <c r="E3766" s="1">
        <v>40366</v>
      </c>
      <c r="F3766">
        <v>5992.86</v>
      </c>
      <c r="G3766" s="1">
        <v>40339</v>
      </c>
      <c r="H3766">
        <v>6225.43408</v>
      </c>
      <c r="I3766" s="1">
        <v>40407</v>
      </c>
      <c r="J3766">
        <v>10369.5</v>
      </c>
      <c r="K3766" s="1">
        <v>40368</v>
      </c>
      <c r="L3766">
        <v>20478.98</v>
      </c>
    </row>
    <row r="3767" spans="1:12" x14ac:dyDescent="0.35">
      <c r="A3767" s="1">
        <v>40424</v>
      </c>
      <c r="B3767">
        <v>2746.23</v>
      </c>
      <c r="C3767" s="1">
        <v>40410</v>
      </c>
      <c r="D3767">
        <v>3526.12</v>
      </c>
      <c r="E3767" s="1">
        <v>40365</v>
      </c>
      <c r="F3767">
        <v>5940.98</v>
      </c>
      <c r="G3767" s="1">
        <v>40338</v>
      </c>
      <c r="H3767">
        <v>6158.8369499999999</v>
      </c>
      <c r="I3767" s="1">
        <v>40406</v>
      </c>
      <c r="J3767">
        <v>10258.299999999999</v>
      </c>
      <c r="K3767" s="1">
        <v>40367</v>
      </c>
      <c r="L3767">
        <v>20243.73</v>
      </c>
    </row>
    <row r="3768" spans="1:12" x14ac:dyDescent="0.35">
      <c r="A3768" s="1">
        <v>40423</v>
      </c>
      <c r="B3768">
        <v>2715.19</v>
      </c>
      <c r="C3768" s="1">
        <v>40409</v>
      </c>
      <c r="D3768">
        <v>3572.4</v>
      </c>
      <c r="E3768" s="1">
        <v>40364</v>
      </c>
      <c r="F3768">
        <v>5816.2</v>
      </c>
      <c r="G3768" s="1">
        <v>40337</v>
      </c>
      <c r="H3768">
        <v>6059.2315399999998</v>
      </c>
      <c r="I3768" s="1">
        <v>40403</v>
      </c>
      <c r="J3768">
        <v>10275.799999999999</v>
      </c>
      <c r="K3768" s="1">
        <v>40366</v>
      </c>
      <c r="L3768">
        <v>20013.07</v>
      </c>
    </row>
    <row r="3769" spans="1:12" x14ac:dyDescent="0.35">
      <c r="A3769" s="1">
        <v>40422</v>
      </c>
      <c r="B3769">
        <v>2715.27</v>
      </c>
      <c r="C3769" s="1">
        <v>40408</v>
      </c>
      <c r="D3769">
        <v>3647.93</v>
      </c>
      <c r="E3769" s="1">
        <v>40361</v>
      </c>
      <c r="F3769">
        <v>5834.15</v>
      </c>
      <c r="G3769" s="1">
        <v>40336</v>
      </c>
      <c r="H3769">
        <v>6142.92713</v>
      </c>
      <c r="I3769" s="1">
        <v>40402</v>
      </c>
      <c r="J3769">
        <v>10342.4</v>
      </c>
      <c r="K3769" s="1">
        <v>40365</v>
      </c>
      <c r="L3769">
        <v>19356.66</v>
      </c>
    </row>
    <row r="3770" spans="1:12" x14ac:dyDescent="0.35">
      <c r="A3770" s="1">
        <v>40421</v>
      </c>
      <c r="B3770">
        <v>2622.95</v>
      </c>
      <c r="C3770" s="1">
        <v>40407</v>
      </c>
      <c r="D3770">
        <v>3663.13</v>
      </c>
      <c r="E3770" s="1">
        <v>40360</v>
      </c>
      <c r="F3770">
        <v>5857.43</v>
      </c>
      <c r="G3770" s="1">
        <v>40333</v>
      </c>
      <c r="H3770">
        <v>6184.0370999999996</v>
      </c>
      <c r="I3770" s="1">
        <v>40401</v>
      </c>
      <c r="J3770">
        <v>10374.799999999999</v>
      </c>
      <c r="K3770" s="1">
        <v>40364</v>
      </c>
      <c r="L3770">
        <v>18848.560000000001</v>
      </c>
    </row>
    <row r="3771" spans="1:12" x14ac:dyDescent="0.35">
      <c r="A3771" s="1">
        <v>40420</v>
      </c>
      <c r="B3771">
        <v>2616.5700000000002</v>
      </c>
      <c r="C3771" s="1">
        <v>40406</v>
      </c>
      <c r="D3771">
        <v>3597.6</v>
      </c>
      <c r="E3771" s="1">
        <v>40359</v>
      </c>
      <c r="F3771">
        <v>5965.52</v>
      </c>
      <c r="G3771" s="1">
        <v>40332</v>
      </c>
      <c r="H3771">
        <v>6249.0505199999998</v>
      </c>
      <c r="I3771" s="1">
        <v>40400</v>
      </c>
      <c r="J3771">
        <v>10718.5</v>
      </c>
      <c r="K3771" s="1">
        <v>40361</v>
      </c>
      <c r="L3771">
        <v>19073.849999999999</v>
      </c>
    </row>
    <row r="3772" spans="1:12" x14ac:dyDescent="0.35">
      <c r="A3772" s="1">
        <v>40417</v>
      </c>
      <c r="B3772">
        <v>2630.35</v>
      </c>
      <c r="C3772" s="1">
        <v>40403</v>
      </c>
      <c r="D3772">
        <v>3610.91</v>
      </c>
      <c r="E3772" s="1">
        <v>40358</v>
      </c>
      <c r="F3772">
        <v>5952.03</v>
      </c>
      <c r="G3772" s="1">
        <v>40331</v>
      </c>
      <c r="H3772">
        <v>6161.7453699999996</v>
      </c>
      <c r="I3772" s="1">
        <v>40399</v>
      </c>
      <c r="J3772">
        <v>10812.6</v>
      </c>
      <c r="K3772" s="1">
        <v>40360</v>
      </c>
      <c r="L3772">
        <v>18943.759999999998</v>
      </c>
    </row>
    <row r="3773" spans="1:12" x14ac:dyDescent="0.35">
      <c r="A3773" s="1">
        <v>40416</v>
      </c>
      <c r="B3773">
        <v>2606.89</v>
      </c>
      <c r="C3773" s="1">
        <v>40402</v>
      </c>
      <c r="D3773">
        <v>3621.07</v>
      </c>
      <c r="E3773" s="1">
        <v>40357</v>
      </c>
      <c r="F3773">
        <v>6157.22</v>
      </c>
      <c r="G3773" s="1">
        <v>40330</v>
      </c>
      <c r="H3773">
        <v>6170.6398099999997</v>
      </c>
      <c r="I3773" s="1">
        <v>40396</v>
      </c>
      <c r="J3773">
        <v>10651.1</v>
      </c>
      <c r="K3773" s="1">
        <v>40359</v>
      </c>
      <c r="L3773">
        <v>19311.75</v>
      </c>
    </row>
    <row r="3774" spans="1:12" x14ac:dyDescent="0.35">
      <c r="A3774" s="1">
        <v>40415</v>
      </c>
      <c r="B3774">
        <v>2587.4</v>
      </c>
      <c r="C3774" s="1">
        <v>40401</v>
      </c>
      <c r="D3774">
        <v>3628.29</v>
      </c>
      <c r="E3774" s="1">
        <v>40354</v>
      </c>
      <c r="F3774">
        <v>6070.6</v>
      </c>
      <c r="G3774" s="1">
        <v>40326</v>
      </c>
      <c r="H3774">
        <v>6099.7516699999996</v>
      </c>
      <c r="I3774" s="1">
        <v>40395</v>
      </c>
      <c r="J3774">
        <v>10840</v>
      </c>
      <c r="K3774" s="1">
        <v>40358</v>
      </c>
      <c r="L3774">
        <v>19236.259999999998</v>
      </c>
    </row>
    <row r="3775" spans="1:12" x14ac:dyDescent="0.35">
      <c r="A3775" s="1">
        <v>40414</v>
      </c>
      <c r="B3775">
        <v>2614.54</v>
      </c>
      <c r="C3775" s="1">
        <v>40400</v>
      </c>
      <c r="D3775">
        <v>3730.58</v>
      </c>
      <c r="E3775" s="1">
        <v>40353</v>
      </c>
      <c r="F3775">
        <v>6115.48</v>
      </c>
      <c r="G3775" s="1">
        <v>40325</v>
      </c>
      <c r="H3775">
        <v>6118.9427400000004</v>
      </c>
      <c r="I3775" s="1">
        <v>40394</v>
      </c>
      <c r="J3775">
        <v>10843.3</v>
      </c>
      <c r="K3775" s="1">
        <v>40357</v>
      </c>
      <c r="L3775">
        <v>20130.61</v>
      </c>
    </row>
    <row r="3776" spans="1:12" x14ac:dyDescent="0.35">
      <c r="A3776" s="1">
        <v>40413</v>
      </c>
      <c r="B3776">
        <v>2660.84</v>
      </c>
      <c r="C3776" s="1">
        <v>40399</v>
      </c>
      <c r="D3776">
        <v>3777.37</v>
      </c>
      <c r="E3776" s="1">
        <v>40352</v>
      </c>
      <c r="F3776">
        <v>6204.52</v>
      </c>
      <c r="G3776" s="1">
        <v>40324</v>
      </c>
      <c r="H3776">
        <v>5941.8121199999996</v>
      </c>
      <c r="I3776" s="1">
        <v>40393</v>
      </c>
      <c r="J3776">
        <v>10871.4</v>
      </c>
      <c r="K3776" s="1">
        <v>40354</v>
      </c>
      <c r="L3776">
        <v>19961.740000000002</v>
      </c>
    </row>
    <row r="3777" spans="1:12" x14ac:dyDescent="0.35">
      <c r="A3777" s="1">
        <v>40410</v>
      </c>
      <c r="B3777">
        <v>2643.98</v>
      </c>
      <c r="C3777" s="1">
        <v>40396</v>
      </c>
      <c r="D3777">
        <v>3716.05</v>
      </c>
      <c r="E3777" s="1">
        <v>40351</v>
      </c>
      <c r="F3777">
        <v>6269.04</v>
      </c>
      <c r="G3777" s="1">
        <v>40323</v>
      </c>
      <c r="H3777">
        <v>5773.4421300000004</v>
      </c>
      <c r="I3777" s="1">
        <v>40392</v>
      </c>
      <c r="J3777">
        <v>10835.4</v>
      </c>
      <c r="K3777" s="1">
        <v>40353</v>
      </c>
      <c r="L3777">
        <v>19942.39</v>
      </c>
    </row>
    <row r="3778" spans="1:12" x14ac:dyDescent="0.35">
      <c r="A3778" s="1">
        <v>40409</v>
      </c>
      <c r="B3778">
        <v>2675.02</v>
      </c>
      <c r="C3778" s="1">
        <v>40395</v>
      </c>
      <c r="D3778">
        <v>3764.19</v>
      </c>
      <c r="E3778" s="1">
        <v>40350</v>
      </c>
      <c r="F3778">
        <v>6292.97</v>
      </c>
      <c r="G3778" s="1">
        <v>40322</v>
      </c>
      <c r="H3778">
        <v>5898.6182399999998</v>
      </c>
      <c r="I3778" s="1">
        <v>40389</v>
      </c>
      <c r="J3778">
        <v>10499.8</v>
      </c>
      <c r="K3778" s="1">
        <v>40352</v>
      </c>
      <c r="L3778">
        <v>20358.919999999998</v>
      </c>
    </row>
    <row r="3779" spans="1:12" x14ac:dyDescent="0.35">
      <c r="A3779" s="1">
        <v>40408</v>
      </c>
      <c r="B3779">
        <v>2728.66</v>
      </c>
      <c r="C3779" s="1">
        <v>40394</v>
      </c>
      <c r="D3779">
        <v>3760.72</v>
      </c>
      <c r="E3779" s="1">
        <v>40347</v>
      </c>
      <c r="F3779">
        <v>6216.98</v>
      </c>
      <c r="G3779" s="1">
        <v>40319</v>
      </c>
      <c r="H3779">
        <v>5821.3609500000002</v>
      </c>
      <c r="I3779" s="1">
        <v>40388</v>
      </c>
      <c r="J3779">
        <v>10659.5</v>
      </c>
      <c r="K3779" s="1">
        <v>40351</v>
      </c>
      <c r="L3779">
        <v>20609.03</v>
      </c>
    </row>
    <row r="3780" spans="1:12" x14ac:dyDescent="0.35">
      <c r="A3780" s="1">
        <v>40407</v>
      </c>
      <c r="B3780">
        <v>2737.69</v>
      </c>
      <c r="C3780" s="1">
        <v>40393</v>
      </c>
      <c r="D3780">
        <v>3747.51</v>
      </c>
      <c r="E3780" s="1">
        <v>40346</v>
      </c>
      <c r="F3780">
        <v>6223.54</v>
      </c>
      <c r="G3780" s="1">
        <v>40318</v>
      </c>
      <c r="H3780">
        <v>5886.8692600000004</v>
      </c>
      <c r="I3780" s="1">
        <v>40387</v>
      </c>
      <c r="J3780">
        <v>10643.9</v>
      </c>
      <c r="K3780" s="1">
        <v>40350</v>
      </c>
      <c r="L3780">
        <v>20810.439999999999</v>
      </c>
    </row>
    <row r="3781" spans="1:12" x14ac:dyDescent="0.35">
      <c r="A3781" s="1">
        <v>40406</v>
      </c>
      <c r="B3781">
        <v>2698.29</v>
      </c>
      <c r="C3781" s="1">
        <v>40392</v>
      </c>
      <c r="D3781">
        <v>3752.03</v>
      </c>
      <c r="E3781" s="1">
        <v>40345</v>
      </c>
      <c r="F3781">
        <v>6190.91</v>
      </c>
      <c r="G3781" s="1">
        <v>40317</v>
      </c>
      <c r="H3781">
        <v>6019.9194699999998</v>
      </c>
      <c r="I3781" s="1">
        <v>40386</v>
      </c>
      <c r="J3781">
        <v>10645</v>
      </c>
      <c r="K3781" s="1">
        <v>40347</v>
      </c>
      <c r="L3781">
        <v>20752.310000000001</v>
      </c>
    </row>
    <row r="3782" spans="1:12" x14ac:dyDescent="0.35">
      <c r="A3782" s="1">
        <v>40403</v>
      </c>
      <c r="B3782">
        <v>2708.73</v>
      </c>
      <c r="C3782" s="1">
        <v>40389</v>
      </c>
      <c r="D3782">
        <v>3643.14</v>
      </c>
      <c r="E3782" s="1">
        <v>40344</v>
      </c>
      <c r="F3782">
        <v>6175.05</v>
      </c>
      <c r="G3782" s="1">
        <v>40316</v>
      </c>
      <c r="H3782">
        <v>6210.4698500000004</v>
      </c>
      <c r="I3782" s="1">
        <v>40385</v>
      </c>
      <c r="J3782">
        <v>10506.7</v>
      </c>
      <c r="K3782" s="1">
        <v>40346</v>
      </c>
      <c r="L3782">
        <v>20568.91</v>
      </c>
    </row>
    <row r="3783" spans="1:12" x14ac:dyDescent="0.35">
      <c r="A3783" s="1">
        <v>40402</v>
      </c>
      <c r="B3783">
        <v>2720.85</v>
      </c>
      <c r="C3783" s="1">
        <v>40388</v>
      </c>
      <c r="D3783">
        <v>3651.91</v>
      </c>
      <c r="E3783" s="1">
        <v>40343</v>
      </c>
      <c r="F3783">
        <v>6125</v>
      </c>
      <c r="G3783" s="1">
        <v>40315</v>
      </c>
      <c r="H3783">
        <v>6160.7724200000002</v>
      </c>
      <c r="I3783" s="1">
        <v>40382</v>
      </c>
      <c r="J3783">
        <v>10388.200000000001</v>
      </c>
      <c r="K3783" s="1">
        <v>40345</v>
      </c>
      <c r="L3783">
        <v>20562.63</v>
      </c>
    </row>
    <row r="3784" spans="1:12" x14ac:dyDescent="0.35">
      <c r="A3784" s="1">
        <v>40401</v>
      </c>
      <c r="B3784">
        <v>2724.16</v>
      </c>
      <c r="C3784" s="1">
        <v>40387</v>
      </c>
      <c r="D3784">
        <v>3670.36</v>
      </c>
      <c r="E3784" s="1">
        <v>40340</v>
      </c>
      <c r="F3784">
        <v>6047.83</v>
      </c>
      <c r="G3784" s="1">
        <v>40312</v>
      </c>
      <c r="H3784">
        <v>6176.6921499999999</v>
      </c>
      <c r="I3784" s="1">
        <v>40381</v>
      </c>
      <c r="J3784">
        <v>10302.9</v>
      </c>
      <c r="K3784" s="1">
        <v>40344</v>
      </c>
      <c r="L3784">
        <v>20582.72</v>
      </c>
    </row>
    <row r="3785" spans="1:12" x14ac:dyDescent="0.35">
      <c r="A3785" s="1">
        <v>40400</v>
      </c>
      <c r="B3785">
        <v>2800.02</v>
      </c>
      <c r="C3785" s="1">
        <v>40386</v>
      </c>
      <c r="D3785">
        <v>3666.4</v>
      </c>
      <c r="E3785" s="1">
        <v>40339</v>
      </c>
      <c r="F3785">
        <v>6056.59</v>
      </c>
      <c r="G3785" s="1">
        <v>40311</v>
      </c>
      <c r="H3785">
        <v>6340.3595100000002</v>
      </c>
      <c r="I3785" s="1">
        <v>40380</v>
      </c>
      <c r="J3785">
        <v>10040.799999999999</v>
      </c>
      <c r="K3785" s="1">
        <v>40343</v>
      </c>
      <c r="L3785">
        <v>20188.54</v>
      </c>
    </row>
    <row r="3786" spans="1:12" x14ac:dyDescent="0.35">
      <c r="A3786" s="1">
        <v>40399</v>
      </c>
      <c r="B3786">
        <v>2827.27</v>
      </c>
      <c r="C3786" s="1">
        <v>40385</v>
      </c>
      <c r="D3786">
        <v>3636.18</v>
      </c>
      <c r="E3786" s="1">
        <v>40338</v>
      </c>
      <c r="F3786">
        <v>5984.75</v>
      </c>
      <c r="G3786" s="1">
        <v>40310</v>
      </c>
      <c r="H3786">
        <v>6328.6163999999999</v>
      </c>
      <c r="I3786" s="1">
        <v>40379</v>
      </c>
      <c r="J3786">
        <v>10061.299999999999</v>
      </c>
      <c r="K3786" s="1">
        <v>40340</v>
      </c>
      <c r="L3786">
        <v>19660.27</v>
      </c>
    </row>
    <row r="3787" spans="1:12" x14ac:dyDescent="0.35">
      <c r="A3787" s="1">
        <v>40396</v>
      </c>
      <c r="B3787">
        <v>2779.34</v>
      </c>
      <c r="C3787" s="1">
        <v>40382</v>
      </c>
      <c r="D3787">
        <v>3607.05</v>
      </c>
      <c r="E3787" s="1">
        <v>40337</v>
      </c>
      <c r="F3787">
        <v>5868.55</v>
      </c>
      <c r="G3787" s="1">
        <v>40309</v>
      </c>
      <c r="H3787">
        <v>6275.7135500000004</v>
      </c>
      <c r="I3787" s="1">
        <v>40378</v>
      </c>
      <c r="J3787">
        <v>9929.7999999999993</v>
      </c>
      <c r="K3787" s="1">
        <v>40339</v>
      </c>
      <c r="L3787">
        <v>19391.09</v>
      </c>
    </row>
    <row r="3788" spans="1:12" x14ac:dyDescent="0.35">
      <c r="A3788" s="1">
        <v>40395</v>
      </c>
      <c r="B3788">
        <v>2819.34</v>
      </c>
      <c r="C3788" s="1">
        <v>40381</v>
      </c>
      <c r="D3788">
        <v>3600.57</v>
      </c>
      <c r="E3788" s="1">
        <v>40336</v>
      </c>
      <c r="F3788">
        <v>5904.95</v>
      </c>
      <c r="G3788" s="1">
        <v>40308</v>
      </c>
      <c r="H3788">
        <v>6247.0520399999996</v>
      </c>
      <c r="I3788" s="1">
        <v>40375</v>
      </c>
      <c r="J3788">
        <v>9991.7000000000007</v>
      </c>
      <c r="K3788" s="1">
        <v>40338</v>
      </c>
      <c r="L3788">
        <v>18912.91</v>
      </c>
    </row>
    <row r="3789" spans="1:12" x14ac:dyDescent="0.35">
      <c r="A3789" s="1">
        <v>40394</v>
      </c>
      <c r="B3789">
        <v>2825.08</v>
      </c>
      <c r="C3789" s="1">
        <v>40380</v>
      </c>
      <c r="D3789">
        <v>3493.92</v>
      </c>
      <c r="E3789" s="1">
        <v>40333</v>
      </c>
      <c r="F3789">
        <v>5938.88</v>
      </c>
      <c r="G3789" s="1">
        <v>40305</v>
      </c>
      <c r="H3789">
        <v>5959.7194499999996</v>
      </c>
      <c r="I3789" s="1">
        <v>40374</v>
      </c>
      <c r="J3789">
        <v>10160.200000000001</v>
      </c>
      <c r="K3789" s="1">
        <v>40337</v>
      </c>
      <c r="L3789">
        <v>18542.8</v>
      </c>
    </row>
    <row r="3790" spans="1:12" x14ac:dyDescent="0.35">
      <c r="A3790" s="1">
        <v>40393</v>
      </c>
      <c r="B3790">
        <v>2818.97</v>
      </c>
      <c r="C3790" s="1">
        <v>40379</v>
      </c>
      <c r="D3790">
        <v>3468.02</v>
      </c>
      <c r="E3790" s="1">
        <v>40332</v>
      </c>
      <c r="F3790">
        <v>6054.63</v>
      </c>
      <c r="G3790" s="1">
        <v>40304</v>
      </c>
      <c r="H3790">
        <v>6176.6634100000001</v>
      </c>
      <c r="I3790" s="1">
        <v>40373</v>
      </c>
      <c r="J3790">
        <v>10278.5</v>
      </c>
      <c r="K3790" s="1">
        <v>40336</v>
      </c>
      <c r="L3790">
        <v>18631.18</v>
      </c>
    </row>
    <row r="3791" spans="1:12" x14ac:dyDescent="0.35">
      <c r="A3791" s="1">
        <v>40392</v>
      </c>
      <c r="B3791">
        <v>2822.17</v>
      </c>
      <c r="C3791" s="1">
        <v>40378</v>
      </c>
      <c r="D3791">
        <v>3486.33</v>
      </c>
      <c r="E3791" s="1">
        <v>40331</v>
      </c>
      <c r="F3791">
        <v>5981.2</v>
      </c>
      <c r="G3791" s="1">
        <v>40303</v>
      </c>
      <c r="H3791">
        <v>6270.7270500000004</v>
      </c>
      <c r="I3791" s="1">
        <v>40372</v>
      </c>
      <c r="J3791">
        <v>10259.5</v>
      </c>
      <c r="K3791" s="1">
        <v>40333</v>
      </c>
      <c r="L3791">
        <v>18734.73</v>
      </c>
    </row>
    <row r="3792" spans="1:12" x14ac:dyDescent="0.35">
      <c r="A3792" s="1">
        <v>40389</v>
      </c>
      <c r="B3792">
        <v>2742.14</v>
      </c>
      <c r="C3792" s="1">
        <v>40375</v>
      </c>
      <c r="D3792">
        <v>3500.16</v>
      </c>
      <c r="E3792" s="1">
        <v>40330</v>
      </c>
      <c r="F3792">
        <v>5981.27</v>
      </c>
      <c r="G3792" s="1">
        <v>40302</v>
      </c>
      <c r="H3792">
        <v>6295.3949199999997</v>
      </c>
      <c r="I3792" s="1">
        <v>40371</v>
      </c>
      <c r="J3792">
        <v>10058.200000000001</v>
      </c>
      <c r="K3792" s="1">
        <v>40332</v>
      </c>
      <c r="L3792">
        <v>19473.349999999999</v>
      </c>
    </row>
    <row r="3793" spans="1:12" x14ac:dyDescent="0.35">
      <c r="A3793" s="1">
        <v>40388</v>
      </c>
      <c r="B3793">
        <v>2752.93</v>
      </c>
      <c r="C3793" s="1">
        <v>40374</v>
      </c>
      <c r="D3793">
        <v>3581.82</v>
      </c>
      <c r="E3793" s="1">
        <v>40329</v>
      </c>
      <c r="F3793">
        <v>5964.33</v>
      </c>
      <c r="G3793" s="1">
        <v>40298</v>
      </c>
      <c r="H3793">
        <v>6394.3171899999998</v>
      </c>
      <c r="I3793" s="1">
        <v>40368</v>
      </c>
      <c r="J3793">
        <v>10127.299999999999</v>
      </c>
      <c r="K3793" s="1">
        <v>40331</v>
      </c>
      <c r="L3793">
        <v>19183.13</v>
      </c>
    </row>
    <row r="3794" spans="1:12" x14ac:dyDescent="0.35">
      <c r="A3794" s="1">
        <v>40387</v>
      </c>
      <c r="B3794">
        <v>2766.11</v>
      </c>
      <c r="C3794" s="1">
        <v>40373</v>
      </c>
      <c r="D3794">
        <v>3632.98</v>
      </c>
      <c r="E3794" s="1">
        <v>40326</v>
      </c>
      <c r="F3794">
        <v>5946.18</v>
      </c>
      <c r="G3794" s="1">
        <v>40297</v>
      </c>
      <c r="H3794">
        <v>6501.0494600000002</v>
      </c>
      <c r="I3794" s="1">
        <v>40367</v>
      </c>
      <c r="J3794">
        <v>10080.5</v>
      </c>
      <c r="K3794" s="1">
        <v>40330</v>
      </c>
      <c r="L3794">
        <v>19279.18</v>
      </c>
    </row>
    <row r="3795" spans="1:12" x14ac:dyDescent="0.35">
      <c r="A3795" s="1">
        <v>40386</v>
      </c>
      <c r="B3795">
        <v>2769.31</v>
      </c>
      <c r="C3795" s="1">
        <v>40372</v>
      </c>
      <c r="D3795">
        <v>3637.76</v>
      </c>
      <c r="E3795" s="1">
        <v>40325</v>
      </c>
      <c r="F3795">
        <v>5937.14</v>
      </c>
      <c r="G3795" s="1">
        <v>40296</v>
      </c>
      <c r="H3795">
        <v>6447.4598699999997</v>
      </c>
      <c r="I3795" s="1">
        <v>40366</v>
      </c>
      <c r="J3795">
        <v>9987.4</v>
      </c>
      <c r="K3795" s="1">
        <v>40329</v>
      </c>
      <c r="L3795">
        <v>19543.97</v>
      </c>
    </row>
    <row r="3796" spans="1:12" x14ac:dyDescent="0.35">
      <c r="A3796" s="1">
        <v>40385</v>
      </c>
      <c r="B3796">
        <v>2743.12</v>
      </c>
      <c r="C3796" s="1">
        <v>40371</v>
      </c>
      <c r="D3796">
        <v>3567.66</v>
      </c>
      <c r="E3796" s="1">
        <v>40324</v>
      </c>
      <c r="F3796">
        <v>5758.02</v>
      </c>
      <c r="G3796" s="1">
        <v>40295</v>
      </c>
      <c r="H3796">
        <v>6467.3572199999999</v>
      </c>
      <c r="I3796" s="1">
        <v>40365</v>
      </c>
      <c r="J3796">
        <v>9615</v>
      </c>
      <c r="K3796" s="1">
        <v>40326</v>
      </c>
      <c r="L3796">
        <v>19475.88</v>
      </c>
    </row>
    <row r="3797" spans="1:12" x14ac:dyDescent="0.35">
      <c r="A3797" s="1">
        <v>40382</v>
      </c>
      <c r="B3797">
        <v>2719.13</v>
      </c>
      <c r="C3797" s="1">
        <v>40368</v>
      </c>
      <c r="D3797">
        <v>3554.48</v>
      </c>
      <c r="E3797" s="1">
        <v>40323</v>
      </c>
      <c r="F3797">
        <v>5670.04</v>
      </c>
      <c r="G3797" s="1">
        <v>40294</v>
      </c>
      <c r="H3797">
        <v>6661.7851000000001</v>
      </c>
      <c r="I3797" s="1">
        <v>40364</v>
      </c>
      <c r="J3797">
        <v>9281.5</v>
      </c>
      <c r="K3797" s="1">
        <v>40325</v>
      </c>
      <c r="L3797">
        <v>19631.87</v>
      </c>
    </row>
    <row r="3798" spans="1:12" x14ac:dyDescent="0.35">
      <c r="A3798" s="1">
        <v>40381</v>
      </c>
      <c r="B3798">
        <v>2714.21</v>
      </c>
      <c r="C3798" s="1">
        <v>40367</v>
      </c>
      <c r="D3798">
        <v>3538.25</v>
      </c>
      <c r="E3798" s="1">
        <v>40322</v>
      </c>
      <c r="F3798">
        <v>5805.68</v>
      </c>
      <c r="G3798" s="1">
        <v>40291</v>
      </c>
      <c r="H3798">
        <v>6575.2613000000001</v>
      </c>
      <c r="I3798" s="1">
        <v>40361</v>
      </c>
      <c r="J3798">
        <v>9250.7999999999993</v>
      </c>
      <c r="K3798" s="1">
        <v>40324</v>
      </c>
      <c r="L3798">
        <v>18778.41</v>
      </c>
    </row>
    <row r="3799" spans="1:12" x14ac:dyDescent="0.35">
      <c r="A3799" s="1">
        <v>40380</v>
      </c>
      <c r="B3799">
        <v>2639.52</v>
      </c>
      <c r="C3799" s="1">
        <v>40366</v>
      </c>
      <c r="D3799">
        <v>3483.44</v>
      </c>
      <c r="E3799" s="1">
        <v>40319</v>
      </c>
      <c r="F3799">
        <v>5829.25</v>
      </c>
      <c r="G3799" s="1">
        <v>40290</v>
      </c>
      <c r="H3799">
        <v>6536.8864800000001</v>
      </c>
      <c r="I3799" s="1">
        <v>40360</v>
      </c>
      <c r="J3799">
        <v>9178.2000000000007</v>
      </c>
      <c r="K3799" s="1">
        <v>40323</v>
      </c>
      <c r="L3799">
        <v>18382.71</v>
      </c>
    </row>
    <row r="3800" spans="1:12" x14ac:dyDescent="0.35">
      <c r="A3800" s="1">
        <v>40379</v>
      </c>
      <c r="B3800">
        <v>2627.28</v>
      </c>
      <c r="C3800" s="1">
        <v>40365</v>
      </c>
      <c r="D3800">
        <v>3423.36</v>
      </c>
      <c r="E3800" s="1">
        <v>40318</v>
      </c>
      <c r="F3800">
        <v>5867.88</v>
      </c>
      <c r="G3800" s="1">
        <v>40289</v>
      </c>
      <c r="H3800">
        <v>6579.4256100000002</v>
      </c>
      <c r="I3800" s="1">
        <v>40359</v>
      </c>
      <c r="J3800">
        <v>9263.4</v>
      </c>
      <c r="K3800" s="1">
        <v>40322</v>
      </c>
      <c r="L3800">
        <v>19030.490000000002</v>
      </c>
    </row>
    <row r="3801" spans="1:12" x14ac:dyDescent="0.35">
      <c r="A3801" s="1">
        <v>40378</v>
      </c>
      <c r="B3801">
        <v>2634.6</v>
      </c>
      <c r="C3801" s="1">
        <v>40364</v>
      </c>
      <c r="D3801">
        <v>3332.46</v>
      </c>
      <c r="E3801" s="1">
        <v>40317</v>
      </c>
      <c r="F3801">
        <v>5988.67</v>
      </c>
      <c r="G3801" s="1">
        <v>40288</v>
      </c>
      <c r="H3801">
        <v>6610.3004499999997</v>
      </c>
      <c r="I3801" s="1">
        <v>40358</v>
      </c>
      <c r="J3801">
        <v>9160.4</v>
      </c>
      <c r="K3801" s="1">
        <v>40319</v>
      </c>
      <c r="L3801">
        <v>19535.91</v>
      </c>
    </row>
    <row r="3802" spans="1:12" x14ac:dyDescent="0.35">
      <c r="A3802" s="1">
        <v>40375</v>
      </c>
      <c r="B3802">
        <v>2645.61</v>
      </c>
      <c r="C3802" s="1">
        <v>40361</v>
      </c>
      <c r="D3802">
        <v>3348.37</v>
      </c>
      <c r="E3802" s="1">
        <v>40316</v>
      </c>
      <c r="F3802">
        <v>6155.93</v>
      </c>
      <c r="G3802" s="1">
        <v>40287</v>
      </c>
      <c r="H3802">
        <v>6509.9744799999999</v>
      </c>
      <c r="I3802" s="1">
        <v>40357</v>
      </c>
      <c r="J3802">
        <v>9688.5</v>
      </c>
      <c r="K3802" s="1">
        <v>40318</v>
      </c>
      <c r="L3802">
        <v>19282.05</v>
      </c>
    </row>
    <row r="3803" spans="1:12" x14ac:dyDescent="0.35">
      <c r="A3803" s="1">
        <v>40374</v>
      </c>
      <c r="B3803">
        <v>2702.81</v>
      </c>
      <c r="C3803" s="1">
        <v>40360</v>
      </c>
      <c r="D3803">
        <v>3339.9</v>
      </c>
      <c r="E3803" s="1">
        <v>40315</v>
      </c>
      <c r="F3803">
        <v>6066.92</v>
      </c>
      <c r="G3803" s="1">
        <v>40284</v>
      </c>
      <c r="H3803">
        <v>6550.6075199999996</v>
      </c>
      <c r="I3803" s="1">
        <v>40354</v>
      </c>
      <c r="J3803">
        <v>9535</v>
      </c>
      <c r="K3803" s="1">
        <v>40317</v>
      </c>
      <c r="L3803">
        <v>19612.66</v>
      </c>
    </row>
    <row r="3804" spans="1:12" x14ac:dyDescent="0.35">
      <c r="A3804" s="1">
        <v>40373</v>
      </c>
      <c r="B3804">
        <v>2738.96</v>
      </c>
      <c r="C3804" s="1">
        <v>40359</v>
      </c>
      <c r="D3804">
        <v>3442.89</v>
      </c>
      <c r="E3804" s="1">
        <v>40312</v>
      </c>
      <c r="F3804">
        <v>6056.71</v>
      </c>
      <c r="G3804" s="1">
        <v>40283</v>
      </c>
      <c r="H3804">
        <v>6650.5309800000005</v>
      </c>
      <c r="I3804" s="1">
        <v>40353</v>
      </c>
      <c r="J3804">
        <v>9586.5</v>
      </c>
      <c r="K3804" s="1">
        <v>40316</v>
      </c>
      <c r="L3804">
        <v>20314.21</v>
      </c>
    </row>
    <row r="3805" spans="1:12" x14ac:dyDescent="0.35">
      <c r="A3805" s="1">
        <v>40372</v>
      </c>
      <c r="B3805">
        <v>2737.59</v>
      </c>
      <c r="C3805" s="1">
        <v>40358</v>
      </c>
      <c r="D3805">
        <v>3432.99</v>
      </c>
      <c r="E3805" s="1">
        <v>40311</v>
      </c>
      <c r="F3805">
        <v>6251.97</v>
      </c>
      <c r="G3805" s="1">
        <v>40282</v>
      </c>
      <c r="H3805">
        <v>6566.22685</v>
      </c>
      <c r="I3805" s="1">
        <v>40352</v>
      </c>
      <c r="J3805">
        <v>9886</v>
      </c>
      <c r="K3805" s="1">
        <v>40315</v>
      </c>
      <c r="L3805">
        <v>19826.830000000002</v>
      </c>
    </row>
    <row r="3806" spans="1:12" x14ac:dyDescent="0.35">
      <c r="A3806" s="1">
        <v>40371</v>
      </c>
      <c r="B3806">
        <v>2686.09</v>
      </c>
      <c r="C3806" s="1">
        <v>40357</v>
      </c>
      <c r="D3806">
        <v>3576.45</v>
      </c>
      <c r="E3806" s="1">
        <v>40310</v>
      </c>
      <c r="F3806">
        <v>6183.49</v>
      </c>
      <c r="G3806" s="1">
        <v>40281</v>
      </c>
      <c r="H3806">
        <v>6518.8243300000004</v>
      </c>
      <c r="I3806" s="1">
        <v>40351</v>
      </c>
      <c r="J3806">
        <v>10016.1</v>
      </c>
      <c r="K3806" s="1">
        <v>40312</v>
      </c>
      <c r="L3806">
        <v>19781.169999999998</v>
      </c>
    </row>
    <row r="3807" spans="1:12" x14ac:dyDescent="0.35">
      <c r="A3807" s="1">
        <v>40368</v>
      </c>
      <c r="B3807">
        <v>2681.2</v>
      </c>
      <c r="C3807" s="1">
        <v>40354</v>
      </c>
      <c r="D3807">
        <v>3519.73</v>
      </c>
      <c r="E3807" s="1">
        <v>40309</v>
      </c>
      <c r="F3807">
        <v>6037.71</v>
      </c>
      <c r="G3807" s="1">
        <v>40280</v>
      </c>
      <c r="H3807">
        <v>6538.5838700000004</v>
      </c>
      <c r="I3807" s="1">
        <v>40350</v>
      </c>
      <c r="J3807">
        <v>10071.9</v>
      </c>
      <c r="K3807" s="1">
        <v>40311</v>
      </c>
      <c r="L3807">
        <v>20878.830000000002</v>
      </c>
    </row>
    <row r="3808" spans="1:12" x14ac:dyDescent="0.35">
      <c r="A3808" s="1">
        <v>40367</v>
      </c>
      <c r="B3808">
        <v>2666.42</v>
      </c>
      <c r="C3808" s="1">
        <v>40353</v>
      </c>
      <c r="D3808">
        <v>3555.36</v>
      </c>
      <c r="E3808" s="1">
        <v>40308</v>
      </c>
      <c r="F3808">
        <v>6017.91</v>
      </c>
      <c r="G3808" s="1">
        <v>40277</v>
      </c>
      <c r="H3808">
        <v>6585.6713</v>
      </c>
      <c r="I3808" s="1">
        <v>40347</v>
      </c>
      <c r="J3808">
        <v>9971.7999999999993</v>
      </c>
      <c r="K3808" s="1">
        <v>40310</v>
      </c>
      <c r="L3808">
        <v>21029.48</v>
      </c>
    </row>
    <row r="3809" spans="1:12" x14ac:dyDescent="0.35">
      <c r="A3809" s="1">
        <v>40366</v>
      </c>
      <c r="B3809">
        <v>2634.39</v>
      </c>
      <c r="C3809" s="1">
        <v>40352</v>
      </c>
      <c r="D3809">
        <v>3641.79</v>
      </c>
      <c r="E3809" s="1">
        <v>40305</v>
      </c>
      <c r="F3809">
        <v>5715.09</v>
      </c>
      <c r="G3809" s="1">
        <v>40276</v>
      </c>
      <c r="H3809">
        <v>6527.0272000000004</v>
      </c>
      <c r="I3809" s="1">
        <v>40346</v>
      </c>
      <c r="J3809">
        <v>9755.1</v>
      </c>
      <c r="K3809" s="1">
        <v>40309</v>
      </c>
      <c r="L3809">
        <v>20874.650000000001</v>
      </c>
    </row>
    <row r="3810" spans="1:12" x14ac:dyDescent="0.35">
      <c r="A3810" s="1">
        <v>40365</v>
      </c>
      <c r="B3810">
        <v>2578.69</v>
      </c>
      <c r="C3810" s="1">
        <v>40351</v>
      </c>
      <c r="D3810">
        <v>3705.32</v>
      </c>
      <c r="E3810" s="1">
        <v>40304</v>
      </c>
      <c r="F3810">
        <v>5908.26</v>
      </c>
      <c r="G3810" s="1">
        <v>40275</v>
      </c>
      <c r="H3810">
        <v>6577.9383600000001</v>
      </c>
      <c r="I3810" s="1">
        <v>40345</v>
      </c>
      <c r="J3810">
        <v>9683.2999999999993</v>
      </c>
      <c r="K3810" s="1">
        <v>40308</v>
      </c>
      <c r="L3810">
        <v>20971.21</v>
      </c>
    </row>
    <row r="3811" spans="1:12" x14ac:dyDescent="0.35">
      <c r="A3811" s="1">
        <v>40364</v>
      </c>
      <c r="B3811">
        <v>2507.83</v>
      </c>
      <c r="C3811" s="1">
        <v>40350</v>
      </c>
      <c r="D3811">
        <v>3736.15</v>
      </c>
      <c r="E3811" s="1">
        <v>40303</v>
      </c>
      <c r="F3811">
        <v>5958.45</v>
      </c>
      <c r="G3811" s="1">
        <v>40274</v>
      </c>
      <c r="H3811">
        <v>6582.4081299999998</v>
      </c>
      <c r="I3811" s="1">
        <v>40344</v>
      </c>
      <c r="J3811">
        <v>9742</v>
      </c>
      <c r="K3811" s="1">
        <v>40305</v>
      </c>
      <c r="L3811">
        <v>18846.18</v>
      </c>
    </row>
    <row r="3812" spans="1:12" x14ac:dyDescent="0.35">
      <c r="A3812" s="1">
        <v>40361</v>
      </c>
      <c r="B3812">
        <v>2522.36</v>
      </c>
      <c r="C3812" s="1">
        <v>40347</v>
      </c>
      <c r="D3812">
        <v>3687.21</v>
      </c>
      <c r="E3812" s="1">
        <v>40302</v>
      </c>
      <c r="F3812">
        <v>6006.86</v>
      </c>
      <c r="G3812" s="1">
        <v>40269</v>
      </c>
      <c r="H3812">
        <v>6468.7190300000002</v>
      </c>
      <c r="I3812" s="1">
        <v>40343</v>
      </c>
      <c r="J3812">
        <v>9584</v>
      </c>
      <c r="K3812" s="1">
        <v>40304</v>
      </c>
      <c r="L3812">
        <v>19483.93</v>
      </c>
    </row>
    <row r="3813" spans="1:12" x14ac:dyDescent="0.35">
      <c r="A3813" s="1">
        <v>40360</v>
      </c>
      <c r="B3813">
        <v>2518.65</v>
      </c>
      <c r="C3813" s="1">
        <v>40346</v>
      </c>
      <c r="D3813">
        <v>3683.08</v>
      </c>
      <c r="E3813" s="1">
        <v>40301</v>
      </c>
      <c r="F3813">
        <v>6166.92</v>
      </c>
      <c r="G3813" s="1">
        <v>40268</v>
      </c>
      <c r="H3813">
        <v>6375.4829900000004</v>
      </c>
      <c r="I3813" s="1">
        <v>40340</v>
      </c>
      <c r="J3813">
        <v>9561.7000000000007</v>
      </c>
      <c r="K3813" s="1">
        <v>40303</v>
      </c>
      <c r="L3813">
        <v>20351.95</v>
      </c>
    </row>
    <row r="3814" spans="1:12" x14ac:dyDescent="0.35">
      <c r="A3814" s="1">
        <v>40359</v>
      </c>
      <c r="B3814">
        <v>2573.3200000000002</v>
      </c>
      <c r="C3814" s="1">
        <v>40345</v>
      </c>
      <c r="D3814">
        <v>3675.93</v>
      </c>
      <c r="E3814" s="1">
        <v>40298</v>
      </c>
      <c r="F3814">
        <v>6135.7</v>
      </c>
      <c r="G3814" s="1">
        <v>40267</v>
      </c>
      <c r="H3814">
        <v>6368.7872399999997</v>
      </c>
      <c r="I3814" s="1">
        <v>40339</v>
      </c>
      <c r="J3814">
        <v>9198.2000000000007</v>
      </c>
      <c r="K3814" s="1">
        <v>40302</v>
      </c>
      <c r="L3814">
        <v>20613.25</v>
      </c>
    </row>
    <row r="3815" spans="1:12" x14ac:dyDescent="0.35">
      <c r="A3815" s="1">
        <v>40358</v>
      </c>
      <c r="B3815">
        <v>2556.34</v>
      </c>
      <c r="C3815" s="1">
        <v>40344</v>
      </c>
      <c r="D3815">
        <v>3661.51</v>
      </c>
      <c r="E3815" s="1">
        <v>40297</v>
      </c>
      <c r="F3815">
        <v>6144.91</v>
      </c>
      <c r="G3815" s="1">
        <v>40266</v>
      </c>
      <c r="H3815">
        <v>6358.6811699999998</v>
      </c>
      <c r="I3815" s="1">
        <v>40338</v>
      </c>
      <c r="J3815">
        <v>8868.7000000000007</v>
      </c>
      <c r="K3815" s="1">
        <v>40301</v>
      </c>
      <c r="L3815">
        <v>21628.91</v>
      </c>
    </row>
    <row r="3816" spans="1:12" x14ac:dyDescent="0.35">
      <c r="A3816" s="1">
        <v>40357</v>
      </c>
      <c r="B3816">
        <v>2668.67</v>
      </c>
      <c r="C3816" s="1">
        <v>40343</v>
      </c>
      <c r="D3816">
        <v>3626.04</v>
      </c>
      <c r="E3816" s="1">
        <v>40296</v>
      </c>
      <c r="F3816">
        <v>6084.34</v>
      </c>
      <c r="G3816" s="1">
        <v>40263</v>
      </c>
      <c r="H3816">
        <v>6340.6644100000003</v>
      </c>
      <c r="I3816" s="1">
        <v>40337</v>
      </c>
      <c r="J3816">
        <v>8669.7999999999993</v>
      </c>
      <c r="K3816" s="1">
        <v>40298</v>
      </c>
      <c r="L3816">
        <v>21562.48</v>
      </c>
    </row>
    <row r="3817" spans="1:12" x14ac:dyDescent="0.35">
      <c r="A3817" s="1">
        <v>40354</v>
      </c>
      <c r="B3817">
        <v>2629.25</v>
      </c>
      <c r="C3817" s="1">
        <v>40340</v>
      </c>
      <c r="D3817">
        <v>3555.52</v>
      </c>
      <c r="E3817" s="1">
        <v>40295</v>
      </c>
      <c r="F3817">
        <v>6159.51</v>
      </c>
      <c r="G3817" s="1">
        <v>40262</v>
      </c>
      <c r="H3817">
        <v>6381.2298499999997</v>
      </c>
      <c r="I3817" s="1">
        <v>40336</v>
      </c>
      <c r="J3817">
        <v>8795.2999999999993</v>
      </c>
      <c r="K3817" s="1">
        <v>40297</v>
      </c>
      <c r="L3817">
        <v>21695.7</v>
      </c>
    </row>
    <row r="3818" spans="1:12" x14ac:dyDescent="0.35">
      <c r="A3818" s="1">
        <v>40353</v>
      </c>
      <c r="B3818">
        <v>2645.32</v>
      </c>
      <c r="C3818" s="1">
        <v>40339</v>
      </c>
      <c r="D3818">
        <v>3516.64</v>
      </c>
      <c r="E3818" s="1">
        <v>40294</v>
      </c>
      <c r="F3818">
        <v>6332.1</v>
      </c>
      <c r="G3818" s="1">
        <v>40261</v>
      </c>
      <c r="H3818">
        <v>6337.3565099999996</v>
      </c>
      <c r="I3818" s="1">
        <v>40333</v>
      </c>
      <c r="J3818">
        <v>8923.4</v>
      </c>
      <c r="K3818" s="1">
        <v>40296</v>
      </c>
      <c r="L3818">
        <v>21501.24</v>
      </c>
    </row>
    <row r="3819" spans="1:12" x14ac:dyDescent="0.35">
      <c r="A3819" s="1">
        <v>40352</v>
      </c>
      <c r="B3819">
        <v>2704.8</v>
      </c>
      <c r="C3819" s="1">
        <v>40338</v>
      </c>
      <c r="D3819">
        <v>3446.77</v>
      </c>
      <c r="E3819" s="1">
        <v>40291</v>
      </c>
      <c r="F3819">
        <v>6259.53</v>
      </c>
      <c r="G3819" s="1">
        <v>40260</v>
      </c>
      <c r="H3819">
        <v>6320.1951300000001</v>
      </c>
      <c r="I3819" s="1">
        <v>40332</v>
      </c>
      <c r="J3819">
        <v>9276.2000000000007</v>
      </c>
      <c r="K3819" s="1">
        <v>40295</v>
      </c>
      <c r="L3819">
        <v>22036.47</v>
      </c>
    </row>
    <row r="3820" spans="1:12" x14ac:dyDescent="0.35">
      <c r="A3820" s="1">
        <v>40351</v>
      </c>
      <c r="B3820">
        <v>2745.97</v>
      </c>
      <c r="C3820" s="1">
        <v>40337</v>
      </c>
      <c r="D3820">
        <v>3380.36</v>
      </c>
      <c r="E3820" s="1">
        <v>40290</v>
      </c>
      <c r="F3820">
        <v>6168.72</v>
      </c>
      <c r="G3820" s="1">
        <v>40259</v>
      </c>
      <c r="H3820">
        <v>6279.80573</v>
      </c>
      <c r="I3820" s="1">
        <v>40331</v>
      </c>
      <c r="J3820">
        <v>9268</v>
      </c>
      <c r="K3820" s="1">
        <v>40294</v>
      </c>
      <c r="L3820">
        <v>22783.27</v>
      </c>
    </row>
    <row r="3821" spans="1:12" x14ac:dyDescent="0.35">
      <c r="A3821" s="1">
        <v>40350</v>
      </c>
      <c r="B3821">
        <v>2768.27</v>
      </c>
      <c r="C3821" s="1">
        <v>40336</v>
      </c>
      <c r="D3821">
        <v>3413.72</v>
      </c>
      <c r="E3821" s="1">
        <v>40289</v>
      </c>
      <c r="F3821">
        <v>6230.38</v>
      </c>
      <c r="G3821" s="1">
        <v>40256</v>
      </c>
      <c r="H3821">
        <v>6271.3286500000004</v>
      </c>
      <c r="I3821" s="1">
        <v>40330</v>
      </c>
      <c r="J3821">
        <v>9299.7000000000007</v>
      </c>
      <c r="K3821" s="1">
        <v>40291</v>
      </c>
      <c r="L3821">
        <v>22726</v>
      </c>
    </row>
    <row r="3822" spans="1:12" x14ac:dyDescent="0.35">
      <c r="A3822" s="1">
        <v>40347</v>
      </c>
      <c r="B3822">
        <v>2737.02</v>
      </c>
      <c r="C3822" s="1">
        <v>40333</v>
      </c>
      <c r="D3822">
        <v>3455.61</v>
      </c>
      <c r="E3822" s="1">
        <v>40288</v>
      </c>
      <c r="F3822">
        <v>6264.23</v>
      </c>
      <c r="G3822" s="1">
        <v>40255</v>
      </c>
      <c r="H3822">
        <v>6318.92317</v>
      </c>
      <c r="I3822" s="1">
        <v>40329</v>
      </c>
      <c r="J3822">
        <v>9359.4</v>
      </c>
      <c r="K3822" s="1">
        <v>40290</v>
      </c>
      <c r="L3822">
        <v>22616.5</v>
      </c>
    </row>
    <row r="3823" spans="1:12" x14ac:dyDescent="0.35">
      <c r="A3823" s="1">
        <v>40346</v>
      </c>
      <c r="B3823">
        <v>2728.12</v>
      </c>
      <c r="C3823" s="1">
        <v>40332</v>
      </c>
      <c r="D3823">
        <v>3557.34</v>
      </c>
      <c r="E3823" s="1">
        <v>40287</v>
      </c>
      <c r="F3823">
        <v>6162.44</v>
      </c>
      <c r="G3823" s="1">
        <v>40254</v>
      </c>
      <c r="H3823">
        <v>6292.8446199999998</v>
      </c>
      <c r="I3823" s="1">
        <v>40326</v>
      </c>
      <c r="J3823">
        <v>9425.5</v>
      </c>
      <c r="K3823" s="1">
        <v>40289</v>
      </c>
      <c r="L3823">
        <v>23045.05</v>
      </c>
    </row>
    <row r="3824" spans="1:12" x14ac:dyDescent="0.35">
      <c r="A3824" s="1">
        <v>40345</v>
      </c>
      <c r="B3824">
        <v>2718.73</v>
      </c>
      <c r="C3824" s="1">
        <v>40331</v>
      </c>
      <c r="D3824">
        <v>3501.5</v>
      </c>
      <c r="E3824" s="1">
        <v>40284</v>
      </c>
      <c r="F3824">
        <v>6180.9</v>
      </c>
      <c r="G3824" s="1">
        <v>40253</v>
      </c>
      <c r="H3824">
        <v>6214.8985599999996</v>
      </c>
      <c r="I3824" s="1">
        <v>40325</v>
      </c>
      <c r="J3824">
        <v>9334.9</v>
      </c>
      <c r="K3824" s="1">
        <v>40288</v>
      </c>
      <c r="L3824">
        <v>23271.68</v>
      </c>
    </row>
    <row r="3825" spans="1:12" x14ac:dyDescent="0.35">
      <c r="A3825" s="1">
        <v>40344</v>
      </c>
      <c r="B3825">
        <v>2716.3</v>
      </c>
      <c r="C3825" s="1">
        <v>40330</v>
      </c>
      <c r="D3825">
        <v>3503.08</v>
      </c>
      <c r="E3825" s="1">
        <v>40283</v>
      </c>
      <c r="F3825">
        <v>6291.45</v>
      </c>
      <c r="G3825" s="1">
        <v>40252</v>
      </c>
      <c r="H3825">
        <v>6157.6537799999996</v>
      </c>
      <c r="I3825" s="1">
        <v>40324</v>
      </c>
      <c r="J3825">
        <v>9042.6</v>
      </c>
      <c r="K3825" s="1">
        <v>40287</v>
      </c>
      <c r="L3825">
        <v>22785.78</v>
      </c>
    </row>
    <row r="3826" spans="1:12" x14ac:dyDescent="0.35">
      <c r="A3826" s="1">
        <v>40343</v>
      </c>
      <c r="B3826">
        <v>2683.46</v>
      </c>
      <c r="C3826" s="1">
        <v>40329</v>
      </c>
      <c r="D3826">
        <v>3507.56</v>
      </c>
      <c r="E3826" s="1">
        <v>40282</v>
      </c>
      <c r="F3826">
        <v>6278.4</v>
      </c>
      <c r="G3826" s="1">
        <v>40249</v>
      </c>
      <c r="H3826">
        <v>6202.2832099999996</v>
      </c>
      <c r="I3826" s="1">
        <v>40323</v>
      </c>
      <c r="J3826">
        <v>9004.4</v>
      </c>
      <c r="K3826" s="1">
        <v>40284</v>
      </c>
      <c r="L3826">
        <v>23007.22</v>
      </c>
    </row>
    <row r="3827" spans="1:12" x14ac:dyDescent="0.35">
      <c r="A3827" s="1">
        <v>40340</v>
      </c>
      <c r="B3827">
        <v>2638.31</v>
      </c>
      <c r="C3827" s="1">
        <v>40326</v>
      </c>
      <c r="D3827">
        <v>3515.06</v>
      </c>
      <c r="E3827" s="1">
        <v>40281</v>
      </c>
      <c r="F3827">
        <v>6230.83</v>
      </c>
      <c r="G3827" s="1">
        <v>40248</v>
      </c>
      <c r="H3827">
        <v>6178.9859999999999</v>
      </c>
      <c r="I3827" s="1">
        <v>40322</v>
      </c>
      <c r="J3827">
        <v>9287.9</v>
      </c>
      <c r="K3827" s="1">
        <v>40283</v>
      </c>
      <c r="L3827">
        <v>23539.24</v>
      </c>
    </row>
    <row r="3828" spans="1:12" x14ac:dyDescent="0.35">
      <c r="A3828" s="1">
        <v>40339</v>
      </c>
      <c r="B3828">
        <v>2608.7399999999998</v>
      </c>
      <c r="C3828" s="1">
        <v>40325</v>
      </c>
      <c r="D3828">
        <v>3525.31</v>
      </c>
      <c r="E3828" s="1">
        <v>40280</v>
      </c>
      <c r="F3828">
        <v>6250.69</v>
      </c>
      <c r="G3828" s="1">
        <v>40247</v>
      </c>
      <c r="H3828">
        <v>6184.0451999999996</v>
      </c>
      <c r="I3828" s="1">
        <v>40319</v>
      </c>
      <c r="J3828">
        <v>9407.2999999999993</v>
      </c>
      <c r="K3828" s="1">
        <v>40282</v>
      </c>
      <c r="L3828">
        <v>23480.42</v>
      </c>
    </row>
    <row r="3829" spans="1:12" x14ac:dyDescent="0.35">
      <c r="A3829" s="1">
        <v>40338</v>
      </c>
      <c r="B3829">
        <v>2556.6799999999998</v>
      </c>
      <c r="C3829" s="1">
        <v>40324</v>
      </c>
      <c r="D3829">
        <v>3408.59</v>
      </c>
      <c r="E3829" s="1">
        <v>40277</v>
      </c>
      <c r="F3829">
        <v>6249.7</v>
      </c>
      <c r="G3829" s="1">
        <v>40246</v>
      </c>
      <c r="H3829">
        <v>6177.6446400000004</v>
      </c>
      <c r="I3829" s="1">
        <v>40318</v>
      </c>
      <c r="J3829">
        <v>9270.5</v>
      </c>
      <c r="K3829" s="1">
        <v>40281</v>
      </c>
      <c r="L3829">
        <v>23195.56</v>
      </c>
    </row>
    <row r="3830" spans="1:12" x14ac:dyDescent="0.35">
      <c r="A3830" s="1">
        <v>40337</v>
      </c>
      <c r="B3830">
        <v>2510.84</v>
      </c>
      <c r="C3830" s="1">
        <v>40323</v>
      </c>
      <c r="D3830">
        <v>3331.29</v>
      </c>
      <c r="E3830" s="1">
        <v>40276</v>
      </c>
      <c r="F3830">
        <v>6171.83</v>
      </c>
      <c r="G3830" s="1">
        <v>40245</v>
      </c>
      <c r="H3830">
        <v>6200.3195100000003</v>
      </c>
      <c r="I3830" s="1">
        <v>40317</v>
      </c>
      <c r="J3830">
        <v>9376.5</v>
      </c>
      <c r="K3830" s="1">
        <v>40280</v>
      </c>
      <c r="L3830">
        <v>23291.65</v>
      </c>
    </row>
    <row r="3831" spans="1:12" x14ac:dyDescent="0.35">
      <c r="A3831" s="1">
        <v>40336</v>
      </c>
      <c r="B3831">
        <v>2529.9699999999998</v>
      </c>
      <c r="C3831" s="1">
        <v>40322</v>
      </c>
      <c r="D3831">
        <v>3430.93</v>
      </c>
      <c r="E3831" s="1">
        <v>40275</v>
      </c>
      <c r="F3831">
        <v>6222.41</v>
      </c>
      <c r="G3831" s="1">
        <v>40242</v>
      </c>
      <c r="H3831">
        <v>6219.3954599999997</v>
      </c>
      <c r="I3831" s="1">
        <v>40316</v>
      </c>
      <c r="J3831">
        <v>9627.6</v>
      </c>
      <c r="K3831" s="1">
        <v>40277</v>
      </c>
      <c r="L3831">
        <v>23103.87</v>
      </c>
    </row>
    <row r="3832" spans="1:12" x14ac:dyDescent="0.35">
      <c r="A3832" s="1">
        <v>40333</v>
      </c>
      <c r="B3832">
        <v>2553.59</v>
      </c>
      <c r="C3832" s="1">
        <v>40319</v>
      </c>
      <c r="D3832">
        <v>3430.74</v>
      </c>
      <c r="E3832" s="1">
        <v>40274</v>
      </c>
      <c r="F3832">
        <v>6252.21</v>
      </c>
      <c r="G3832" s="1">
        <v>40241</v>
      </c>
      <c r="H3832">
        <v>6119.5882199999996</v>
      </c>
      <c r="I3832" s="1">
        <v>40315</v>
      </c>
      <c r="J3832">
        <v>9286.1</v>
      </c>
      <c r="K3832" s="1">
        <v>40276</v>
      </c>
      <c r="L3832">
        <v>22820.01</v>
      </c>
    </row>
    <row r="3833" spans="1:12" x14ac:dyDescent="0.35">
      <c r="A3833" s="1">
        <v>40332</v>
      </c>
      <c r="B3833">
        <v>2634.16</v>
      </c>
      <c r="C3833" s="1">
        <v>40318</v>
      </c>
      <c r="D3833">
        <v>3432.52</v>
      </c>
      <c r="E3833" s="1">
        <v>40269</v>
      </c>
      <c r="F3833">
        <v>6235.56</v>
      </c>
      <c r="G3833" s="1">
        <v>40240</v>
      </c>
      <c r="H3833">
        <v>6100.8531999999996</v>
      </c>
      <c r="I3833" s="1">
        <v>40312</v>
      </c>
      <c r="J3833">
        <v>9314.7000000000007</v>
      </c>
      <c r="K3833" s="1">
        <v>40275</v>
      </c>
      <c r="L3833">
        <v>23151.3</v>
      </c>
    </row>
    <row r="3834" spans="1:12" x14ac:dyDescent="0.35">
      <c r="A3834" s="1">
        <v>40331</v>
      </c>
      <c r="B3834">
        <v>2601.98</v>
      </c>
      <c r="C3834" s="1">
        <v>40317</v>
      </c>
      <c r="D3834">
        <v>3511.67</v>
      </c>
      <c r="E3834" s="1">
        <v>40268</v>
      </c>
      <c r="F3834">
        <v>6153.55</v>
      </c>
      <c r="G3834" s="1">
        <v>40239</v>
      </c>
      <c r="H3834">
        <v>6042.4311500000003</v>
      </c>
      <c r="I3834" s="1">
        <v>40311</v>
      </c>
      <c r="J3834">
        <v>9977.5</v>
      </c>
      <c r="K3834" s="1">
        <v>40274</v>
      </c>
      <c r="L3834">
        <v>23346.66</v>
      </c>
    </row>
    <row r="3835" spans="1:12" x14ac:dyDescent="0.35">
      <c r="A3835" s="1">
        <v>40330</v>
      </c>
      <c r="B3835">
        <v>2606.58</v>
      </c>
      <c r="C3835" s="1">
        <v>40316</v>
      </c>
      <c r="D3835">
        <v>3617.32</v>
      </c>
      <c r="E3835" s="1">
        <v>40267</v>
      </c>
      <c r="F3835">
        <v>6142.45</v>
      </c>
      <c r="G3835" s="1">
        <v>40238</v>
      </c>
      <c r="H3835">
        <v>5993.77657</v>
      </c>
      <c r="I3835" s="1">
        <v>40310</v>
      </c>
      <c r="J3835">
        <v>10089.799999999999</v>
      </c>
      <c r="K3835" s="1">
        <v>40269</v>
      </c>
      <c r="L3835">
        <v>23206.66</v>
      </c>
    </row>
    <row r="3836" spans="1:12" x14ac:dyDescent="0.35">
      <c r="A3836" s="1">
        <v>40329</v>
      </c>
      <c r="B3836">
        <v>2610.2600000000002</v>
      </c>
      <c r="C3836" s="1">
        <v>40315</v>
      </c>
      <c r="D3836">
        <v>3543.55</v>
      </c>
      <c r="E3836" s="1">
        <v>40266</v>
      </c>
      <c r="F3836">
        <v>6156.85</v>
      </c>
      <c r="G3836" s="1">
        <v>40235</v>
      </c>
      <c r="H3836">
        <v>5997.7552400000004</v>
      </c>
      <c r="I3836" s="1">
        <v>40309</v>
      </c>
      <c r="J3836">
        <v>10008.6</v>
      </c>
      <c r="K3836" s="1">
        <v>40268</v>
      </c>
      <c r="L3836">
        <v>22847.97</v>
      </c>
    </row>
    <row r="3837" spans="1:12" x14ac:dyDescent="0.35">
      <c r="A3837" s="1">
        <v>40326</v>
      </c>
      <c r="B3837">
        <v>2614.06</v>
      </c>
      <c r="C3837" s="1">
        <v>40312</v>
      </c>
      <c r="D3837">
        <v>3560.36</v>
      </c>
      <c r="E3837" s="1">
        <v>40263</v>
      </c>
      <c r="F3837">
        <v>6120.05</v>
      </c>
      <c r="G3837" s="1">
        <v>40234</v>
      </c>
      <c r="H3837">
        <v>5947.16921</v>
      </c>
      <c r="I3837" s="1">
        <v>40308</v>
      </c>
      <c r="J3837">
        <v>10351.9</v>
      </c>
      <c r="K3837" s="1">
        <v>40267</v>
      </c>
      <c r="L3837">
        <v>23003.34</v>
      </c>
    </row>
    <row r="3838" spans="1:12" x14ac:dyDescent="0.35">
      <c r="A3838" s="1">
        <v>40325</v>
      </c>
      <c r="B3838">
        <v>2619.36</v>
      </c>
      <c r="C3838" s="1">
        <v>40311</v>
      </c>
      <c r="D3838">
        <v>3731.54</v>
      </c>
      <c r="E3838" s="1">
        <v>40262</v>
      </c>
      <c r="F3838">
        <v>6132.95</v>
      </c>
      <c r="G3838" s="1">
        <v>40233</v>
      </c>
      <c r="H3838">
        <v>6080.1057000000001</v>
      </c>
      <c r="I3838" s="1">
        <v>40305</v>
      </c>
      <c r="J3838">
        <v>9046.1</v>
      </c>
      <c r="K3838" s="1">
        <v>40266</v>
      </c>
      <c r="L3838">
        <v>23104.97</v>
      </c>
    </row>
    <row r="3839" spans="1:12" x14ac:dyDescent="0.35">
      <c r="A3839" s="1">
        <v>40324</v>
      </c>
      <c r="B3839">
        <v>2530.34</v>
      </c>
      <c r="C3839" s="1">
        <v>40310</v>
      </c>
      <c r="D3839">
        <v>3733.87</v>
      </c>
      <c r="E3839" s="1">
        <v>40261</v>
      </c>
      <c r="F3839">
        <v>6039</v>
      </c>
      <c r="G3839" s="1">
        <v>40232</v>
      </c>
      <c r="H3839">
        <v>6063.94337</v>
      </c>
      <c r="I3839" s="1">
        <v>40304</v>
      </c>
      <c r="J3839">
        <v>9352.6</v>
      </c>
      <c r="K3839" s="1">
        <v>40263</v>
      </c>
      <c r="L3839">
        <v>23063.87</v>
      </c>
    </row>
    <row r="3840" spans="1:12" x14ac:dyDescent="0.35">
      <c r="A3840" s="1">
        <v>40323</v>
      </c>
      <c r="B3840">
        <v>2488.5</v>
      </c>
      <c r="C3840" s="1">
        <v>40309</v>
      </c>
      <c r="D3840">
        <v>3693.2</v>
      </c>
      <c r="E3840" s="1">
        <v>40260</v>
      </c>
      <c r="F3840">
        <v>6017.27</v>
      </c>
      <c r="G3840" s="1">
        <v>40231</v>
      </c>
      <c r="H3840">
        <v>6092.2959700000001</v>
      </c>
      <c r="I3840" s="1">
        <v>40303</v>
      </c>
      <c r="J3840">
        <v>9635.2000000000007</v>
      </c>
      <c r="K3840" s="1">
        <v>40262</v>
      </c>
      <c r="L3840">
        <v>23034.46</v>
      </c>
    </row>
    <row r="3841" spans="1:12" x14ac:dyDescent="0.35">
      <c r="A3841" s="1">
        <v>40322</v>
      </c>
      <c r="B3841">
        <v>2558.27</v>
      </c>
      <c r="C3841" s="1">
        <v>40308</v>
      </c>
      <c r="D3841">
        <v>3720.29</v>
      </c>
      <c r="E3841" s="1">
        <v>40259</v>
      </c>
      <c r="F3841">
        <v>5987.5</v>
      </c>
      <c r="G3841" s="1">
        <v>40228</v>
      </c>
      <c r="H3841">
        <v>6100.6169799999998</v>
      </c>
      <c r="I3841" s="1">
        <v>40302</v>
      </c>
      <c r="J3841">
        <v>9859.1</v>
      </c>
      <c r="K3841" s="1">
        <v>40261</v>
      </c>
      <c r="L3841">
        <v>22798.7</v>
      </c>
    </row>
    <row r="3842" spans="1:12" x14ac:dyDescent="0.35">
      <c r="A3842" s="1">
        <v>40319</v>
      </c>
      <c r="B3842">
        <v>2574.1799999999998</v>
      </c>
      <c r="C3842" s="1">
        <v>40305</v>
      </c>
      <c r="D3842">
        <v>3392.59</v>
      </c>
      <c r="E3842" s="1">
        <v>40256</v>
      </c>
      <c r="F3842">
        <v>5982.43</v>
      </c>
      <c r="G3842" s="1">
        <v>40227</v>
      </c>
      <c r="H3842">
        <v>6112.1205200000004</v>
      </c>
      <c r="I3842" s="1">
        <v>40301</v>
      </c>
      <c r="J3842">
        <v>10422.799999999999</v>
      </c>
      <c r="K3842" s="1">
        <v>40260</v>
      </c>
      <c r="L3842">
        <v>22765.89</v>
      </c>
    </row>
    <row r="3843" spans="1:12" x14ac:dyDescent="0.35">
      <c r="A3843" s="1">
        <v>40318</v>
      </c>
      <c r="B3843">
        <v>2569.58</v>
      </c>
      <c r="C3843" s="1">
        <v>40304</v>
      </c>
      <c r="D3843">
        <v>3556.11</v>
      </c>
      <c r="E3843" s="1">
        <v>40255</v>
      </c>
      <c r="F3843">
        <v>6012.31</v>
      </c>
      <c r="G3843" s="1">
        <v>40226</v>
      </c>
      <c r="H3843">
        <v>6083.0947500000002</v>
      </c>
      <c r="I3843" s="1">
        <v>40298</v>
      </c>
      <c r="J3843">
        <v>10492.2</v>
      </c>
      <c r="K3843" s="1">
        <v>40259</v>
      </c>
      <c r="L3843">
        <v>22622.81</v>
      </c>
    </row>
    <row r="3844" spans="1:12" x14ac:dyDescent="0.35">
      <c r="A3844" s="1">
        <v>40317</v>
      </c>
      <c r="B3844">
        <v>2619.48</v>
      </c>
      <c r="C3844" s="1">
        <v>40303</v>
      </c>
      <c r="D3844">
        <v>3636.03</v>
      </c>
      <c r="E3844" s="1">
        <v>40254</v>
      </c>
      <c r="F3844">
        <v>6024.28</v>
      </c>
      <c r="G3844" s="1">
        <v>40225</v>
      </c>
      <c r="H3844">
        <v>6013.7987999999996</v>
      </c>
      <c r="I3844" s="1">
        <v>40297</v>
      </c>
      <c r="J3844">
        <v>10441</v>
      </c>
      <c r="K3844" s="1">
        <v>40256</v>
      </c>
      <c r="L3844">
        <v>22687.3</v>
      </c>
    </row>
    <row r="3845" spans="1:12" x14ac:dyDescent="0.35">
      <c r="A3845" s="1">
        <v>40316</v>
      </c>
      <c r="B3845">
        <v>2698.21</v>
      </c>
      <c r="C3845" s="1">
        <v>40302</v>
      </c>
      <c r="D3845">
        <v>3689.29</v>
      </c>
      <c r="E3845" s="1">
        <v>40253</v>
      </c>
      <c r="F3845">
        <v>5970.99</v>
      </c>
      <c r="G3845" s="1">
        <v>40224</v>
      </c>
      <c r="H3845">
        <v>5946.3691699999999</v>
      </c>
      <c r="I3845" s="1">
        <v>40296</v>
      </c>
      <c r="J3845">
        <v>10167</v>
      </c>
      <c r="K3845" s="1">
        <v>40255</v>
      </c>
      <c r="L3845">
        <v>22785.15</v>
      </c>
    </row>
    <row r="3846" spans="1:12" x14ac:dyDescent="0.35">
      <c r="A3846" s="1">
        <v>40315</v>
      </c>
      <c r="B3846">
        <v>2635.34</v>
      </c>
      <c r="C3846" s="1">
        <v>40301</v>
      </c>
      <c r="D3846">
        <v>3828.46</v>
      </c>
      <c r="E3846" s="1">
        <v>40252</v>
      </c>
      <c r="F3846">
        <v>5903.56</v>
      </c>
      <c r="G3846" s="1">
        <v>40221</v>
      </c>
      <c r="H3846">
        <v>5912.5534900000002</v>
      </c>
      <c r="I3846" s="1">
        <v>40295</v>
      </c>
      <c r="J3846">
        <v>10480.9</v>
      </c>
      <c r="K3846" s="1">
        <v>40254</v>
      </c>
      <c r="L3846">
        <v>22902.58</v>
      </c>
    </row>
    <row r="3847" spans="1:12" x14ac:dyDescent="0.35">
      <c r="A3847" s="1">
        <v>40312</v>
      </c>
      <c r="B3847">
        <v>2633.92</v>
      </c>
      <c r="C3847" s="1">
        <v>40298</v>
      </c>
      <c r="D3847">
        <v>3816.99</v>
      </c>
      <c r="E3847" s="1">
        <v>40249</v>
      </c>
      <c r="F3847">
        <v>5945.11</v>
      </c>
      <c r="G3847" s="1">
        <v>40220</v>
      </c>
      <c r="H3847">
        <v>5916.9473900000003</v>
      </c>
      <c r="I3847" s="1">
        <v>40294</v>
      </c>
      <c r="J3847">
        <v>10939.3</v>
      </c>
      <c r="K3847" s="1">
        <v>40253</v>
      </c>
      <c r="L3847">
        <v>22619.85</v>
      </c>
    </row>
    <row r="3848" spans="1:12" x14ac:dyDescent="0.35">
      <c r="A3848" s="1">
        <v>40311</v>
      </c>
      <c r="B3848">
        <v>2764.05</v>
      </c>
      <c r="C3848" s="1">
        <v>40297</v>
      </c>
      <c r="D3848">
        <v>3840.62</v>
      </c>
      <c r="E3848" s="1">
        <v>40248</v>
      </c>
      <c r="F3848">
        <v>5928.63</v>
      </c>
      <c r="G3848" s="1">
        <v>40219</v>
      </c>
      <c r="H3848">
        <v>5831.5691299999999</v>
      </c>
      <c r="I3848" s="1">
        <v>40291</v>
      </c>
      <c r="J3848">
        <v>10918.2</v>
      </c>
      <c r="K3848" s="1">
        <v>40252</v>
      </c>
      <c r="L3848">
        <v>22373.23</v>
      </c>
    </row>
    <row r="3849" spans="1:12" x14ac:dyDescent="0.35">
      <c r="A3849" s="1">
        <v>40310</v>
      </c>
      <c r="B3849">
        <v>2764.31</v>
      </c>
      <c r="C3849" s="1">
        <v>40296</v>
      </c>
      <c r="D3849">
        <v>3787</v>
      </c>
      <c r="E3849" s="1">
        <v>40247</v>
      </c>
      <c r="F3849">
        <v>5936.72</v>
      </c>
      <c r="G3849" s="1">
        <v>40218</v>
      </c>
      <c r="H3849">
        <v>5822.2915800000001</v>
      </c>
      <c r="I3849" s="1">
        <v>40290</v>
      </c>
      <c r="J3849">
        <v>10821.9</v>
      </c>
      <c r="K3849" s="1">
        <v>40249</v>
      </c>
      <c r="L3849">
        <v>22565.19</v>
      </c>
    </row>
    <row r="3850" spans="1:12" x14ac:dyDescent="0.35">
      <c r="A3850" s="1">
        <v>40309</v>
      </c>
      <c r="B3850">
        <v>2730.48</v>
      </c>
      <c r="C3850" s="1">
        <v>40295</v>
      </c>
      <c r="D3850">
        <v>3844.6</v>
      </c>
      <c r="E3850" s="1">
        <v>40246</v>
      </c>
      <c r="F3850">
        <v>5885.89</v>
      </c>
      <c r="G3850" s="1">
        <v>40217</v>
      </c>
      <c r="H3850">
        <v>5818.1589999999997</v>
      </c>
      <c r="I3850" s="1">
        <v>40289</v>
      </c>
      <c r="J3850">
        <v>11064.7</v>
      </c>
      <c r="K3850" s="1">
        <v>40248</v>
      </c>
      <c r="L3850">
        <v>22540.85</v>
      </c>
    </row>
    <row r="3851" spans="1:12" x14ac:dyDescent="0.35">
      <c r="A3851" s="1">
        <v>40308</v>
      </c>
      <c r="B3851">
        <v>2758.89</v>
      </c>
      <c r="C3851" s="1">
        <v>40294</v>
      </c>
      <c r="D3851">
        <v>3997.39</v>
      </c>
      <c r="E3851" s="1">
        <v>40245</v>
      </c>
      <c r="F3851">
        <v>5875.91</v>
      </c>
      <c r="G3851" s="1">
        <v>40214</v>
      </c>
      <c r="H3851">
        <v>5802.0495899999996</v>
      </c>
      <c r="I3851" s="1">
        <v>40288</v>
      </c>
      <c r="J3851">
        <v>11305.6</v>
      </c>
      <c r="K3851" s="1">
        <v>40247</v>
      </c>
      <c r="L3851">
        <v>22638.65</v>
      </c>
    </row>
    <row r="3852" spans="1:12" x14ac:dyDescent="0.35">
      <c r="A3852" s="1">
        <v>40305</v>
      </c>
      <c r="B3852">
        <v>2500.1799999999998</v>
      </c>
      <c r="C3852" s="1">
        <v>40291</v>
      </c>
      <c r="D3852">
        <v>3951.3</v>
      </c>
      <c r="E3852" s="1">
        <v>40242</v>
      </c>
      <c r="F3852">
        <v>5877.36</v>
      </c>
      <c r="G3852" s="1">
        <v>40213</v>
      </c>
      <c r="H3852">
        <v>5896.49719</v>
      </c>
      <c r="I3852" s="1">
        <v>40287</v>
      </c>
      <c r="J3852">
        <v>11199.5</v>
      </c>
      <c r="K3852" s="1">
        <v>40246</v>
      </c>
      <c r="L3852">
        <v>22355.8</v>
      </c>
    </row>
    <row r="3853" spans="1:12" x14ac:dyDescent="0.35">
      <c r="A3853" s="1">
        <v>40304</v>
      </c>
      <c r="B3853">
        <v>2611.41</v>
      </c>
      <c r="C3853" s="1">
        <v>40290</v>
      </c>
      <c r="D3853">
        <v>3924.65</v>
      </c>
      <c r="E3853" s="1">
        <v>40241</v>
      </c>
      <c r="F3853">
        <v>5795.32</v>
      </c>
      <c r="G3853" s="1">
        <v>40212</v>
      </c>
      <c r="H3853">
        <v>6009.4797500000004</v>
      </c>
      <c r="I3853" s="1">
        <v>40284</v>
      </c>
      <c r="J3853">
        <v>11259.7</v>
      </c>
      <c r="K3853" s="1">
        <v>40245</v>
      </c>
      <c r="L3853">
        <v>22398.21</v>
      </c>
    </row>
    <row r="3854" spans="1:12" x14ac:dyDescent="0.35">
      <c r="A3854" s="1">
        <v>40303</v>
      </c>
      <c r="B3854">
        <v>2679.3</v>
      </c>
      <c r="C3854" s="1">
        <v>40289</v>
      </c>
      <c r="D3854">
        <v>3977.67</v>
      </c>
      <c r="E3854" s="1">
        <v>40240</v>
      </c>
      <c r="F3854">
        <v>5817.88</v>
      </c>
      <c r="G3854" s="1">
        <v>40211</v>
      </c>
      <c r="H3854">
        <v>6046.0173800000002</v>
      </c>
      <c r="I3854" s="1">
        <v>40283</v>
      </c>
      <c r="J3854">
        <v>11523.5</v>
      </c>
      <c r="K3854" s="1">
        <v>40242</v>
      </c>
      <c r="L3854">
        <v>22278.12</v>
      </c>
    </row>
    <row r="3855" spans="1:12" x14ac:dyDescent="0.35">
      <c r="A3855" s="1">
        <v>40302</v>
      </c>
      <c r="B3855">
        <v>2708.12</v>
      </c>
      <c r="C3855" s="1">
        <v>40288</v>
      </c>
      <c r="D3855">
        <v>4026.65</v>
      </c>
      <c r="E3855" s="1">
        <v>40239</v>
      </c>
      <c r="F3855">
        <v>5776.56</v>
      </c>
      <c r="G3855" s="1">
        <v>40210</v>
      </c>
      <c r="H3855">
        <v>6014.8729400000002</v>
      </c>
      <c r="I3855" s="1">
        <v>40282</v>
      </c>
      <c r="J3855">
        <v>11503.7</v>
      </c>
      <c r="K3855" s="1">
        <v>40241</v>
      </c>
      <c r="L3855">
        <v>21844.560000000001</v>
      </c>
    </row>
    <row r="3856" spans="1:12" x14ac:dyDescent="0.35">
      <c r="A3856" s="1">
        <v>40301</v>
      </c>
      <c r="B3856">
        <v>2816.5</v>
      </c>
      <c r="C3856" s="1">
        <v>40287</v>
      </c>
      <c r="D3856">
        <v>3970.47</v>
      </c>
      <c r="E3856" s="1">
        <v>40238</v>
      </c>
      <c r="F3856">
        <v>5713.51</v>
      </c>
      <c r="G3856" s="1">
        <v>40207</v>
      </c>
      <c r="H3856">
        <v>5981.6100699999997</v>
      </c>
      <c r="I3856" s="1">
        <v>40281</v>
      </c>
      <c r="J3856">
        <v>11461</v>
      </c>
      <c r="K3856" s="1">
        <v>40240</v>
      </c>
      <c r="L3856">
        <v>21745.06</v>
      </c>
    </row>
    <row r="3857" spans="1:12" x14ac:dyDescent="0.35">
      <c r="A3857" s="1">
        <v>40298</v>
      </c>
      <c r="B3857">
        <v>2816.86</v>
      </c>
      <c r="C3857" s="1">
        <v>40284</v>
      </c>
      <c r="D3857">
        <v>3986.63</v>
      </c>
      <c r="E3857" s="1">
        <v>40235</v>
      </c>
      <c r="F3857">
        <v>5598.46</v>
      </c>
      <c r="G3857" s="1">
        <v>40206</v>
      </c>
      <c r="H3857">
        <v>5942.2930399999996</v>
      </c>
      <c r="I3857" s="1">
        <v>40280</v>
      </c>
      <c r="J3857">
        <v>11460.8</v>
      </c>
      <c r="K3857" s="1">
        <v>40239</v>
      </c>
      <c r="L3857">
        <v>21431.41</v>
      </c>
    </row>
    <row r="3858" spans="1:12" x14ac:dyDescent="0.35">
      <c r="A3858" s="1">
        <v>40297</v>
      </c>
      <c r="B3858">
        <v>2828.12</v>
      </c>
      <c r="C3858" s="1">
        <v>40283</v>
      </c>
      <c r="D3858">
        <v>4065.65</v>
      </c>
      <c r="E3858" s="1">
        <v>40234</v>
      </c>
      <c r="F3858">
        <v>5532.33</v>
      </c>
      <c r="G3858" s="1">
        <v>40205</v>
      </c>
      <c r="H3858">
        <v>6013.0403500000002</v>
      </c>
      <c r="I3858" s="1">
        <v>40277</v>
      </c>
      <c r="J3858">
        <v>11394.2</v>
      </c>
      <c r="K3858" s="1">
        <v>40238</v>
      </c>
      <c r="L3858">
        <v>21320.799999999999</v>
      </c>
    </row>
    <row r="3859" spans="1:12" x14ac:dyDescent="0.35">
      <c r="A3859" s="1">
        <v>40296</v>
      </c>
      <c r="B3859">
        <v>2788.54</v>
      </c>
      <c r="C3859" s="1">
        <v>40282</v>
      </c>
      <c r="D3859">
        <v>4057.7</v>
      </c>
      <c r="E3859" s="1">
        <v>40233</v>
      </c>
      <c r="F3859">
        <v>5615.51</v>
      </c>
      <c r="G3859" s="1">
        <v>40204</v>
      </c>
      <c r="H3859">
        <v>6044.6911700000001</v>
      </c>
      <c r="I3859" s="1">
        <v>40276</v>
      </c>
      <c r="J3859">
        <v>11076.3</v>
      </c>
      <c r="K3859" s="1">
        <v>40235</v>
      </c>
      <c r="L3859">
        <v>21068.32</v>
      </c>
    </row>
    <row r="3860" spans="1:12" x14ac:dyDescent="0.35">
      <c r="A3860" s="1">
        <v>40295</v>
      </c>
      <c r="B3860">
        <v>2838.78</v>
      </c>
      <c r="C3860" s="1">
        <v>40281</v>
      </c>
      <c r="D3860">
        <v>4031.99</v>
      </c>
      <c r="E3860" s="1">
        <v>40232</v>
      </c>
      <c r="F3860">
        <v>5604.07</v>
      </c>
      <c r="G3860" s="1">
        <v>40203</v>
      </c>
      <c r="H3860">
        <v>6033.50234</v>
      </c>
      <c r="I3860" s="1">
        <v>40275</v>
      </c>
      <c r="J3860">
        <v>11191.3</v>
      </c>
      <c r="K3860" s="1">
        <v>40234</v>
      </c>
      <c r="L3860">
        <v>20843.23</v>
      </c>
    </row>
    <row r="3861" spans="1:12" x14ac:dyDescent="0.35">
      <c r="A3861" s="1">
        <v>40294</v>
      </c>
      <c r="B3861">
        <v>2947.04</v>
      </c>
      <c r="C3861" s="1">
        <v>40280</v>
      </c>
      <c r="D3861">
        <v>4050.5</v>
      </c>
      <c r="E3861" s="1">
        <v>40231</v>
      </c>
      <c r="F3861">
        <v>5688.44</v>
      </c>
      <c r="G3861" s="1">
        <v>40200</v>
      </c>
      <c r="H3861">
        <v>6044.0224399999997</v>
      </c>
      <c r="I3861" s="1">
        <v>40274</v>
      </c>
      <c r="J3861">
        <v>11160.6</v>
      </c>
      <c r="K3861" s="1">
        <v>40233</v>
      </c>
      <c r="L3861">
        <v>21346.31</v>
      </c>
    </row>
    <row r="3862" spans="1:12" x14ac:dyDescent="0.35">
      <c r="A3862" s="1">
        <v>40291</v>
      </c>
      <c r="B3862">
        <v>2918.11</v>
      </c>
      <c r="C3862" s="1">
        <v>40277</v>
      </c>
      <c r="D3862">
        <v>4050.54</v>
      </c>
      <c r="E3862" s="1">
        <v>40228</v>
      </c>
      <c r="F3862">
        <v>5722.05</v>
      </c>
      <c r="G3862" s="1">
        <v>40199</v>
      </c>
      <c r="H3862">
        <v>6133.8514999999998</v>
      </c>
      <c r="I3862" s="1">
        <v>40269</v>
      </c>
      <c r="J3862">
        <v>11067.9</v>
      </c>
      <c r="K3862" s="1">
        <v>40232</v>
      </c>
      <c r="L3862">
        <v>21224.07</v>
      </c>
    </row>
    <row r="3863" spans="1:12" x14ac:dyDescent="0.35">
      <c r="A3863" s="1">
        <v>40290</v>
      </c>
      <c r="B3863">
        <v>2897.59</v>
      </c>
      <c r="C3863" s="1">
        <v>40276</v>
      </c>
      <c r="D3863">
        <v>3978.46</v>
      </c>
      <c r="E3863" s="1">
        <v>40227</v>
      </c>
      <c r="F3863">
        <v>5680.41</v>
      </c>
      <c r="G3863" s="1">
        <v>40198</v>
      </c>
      <c r="H3863">
        <v>6251.0472099999997</v>
      </c>
      <c r="I3863" s="1">
        <v>40268</v>
      </c>
      <c r="J3863">
        <v>10871.3</v>
      </c>
      <c r="K3863" s="1">
        <v>40231</v>
      </c>
      <c r="L3863">
        <v>21704.78</v>
      </c>
    </row>
    <row r="3864" spans="1:12" x14ac:dyDescent="0.35">
      <c r="A3864" s="1">
        <v>40289</v>
      </c>
      <c r="B3864">
        <v>2947.64</v>
      </c>
      <c r="C3864" s="1">
        <v>40275</v>
      </c>
      <c r="D3864">
        <v>4026.97</v>
      </c>
      <c r="E3864" s="1">
        <v>40226</v>
      </c>
      <c r="F3864">
        <v>5648.34</v>
      </c>
      <c r="G3864" s="1">
        <v>40197</v>
      </c>
      <c r="H3864">
        <v>6316.5449699999999</v>
      </c>
      <c r="I3864" s="1">
        <v>40267</v>
      </c>
      <c r="J3864">
        <v>10980.7</v>
      </c>
      <c r="K3864" s="1">
        <v>40228</v>
      </c>
      <c r="L3864">
        <v>21772.33</v>
      </c>
    </row>
    <row r="3865" spans="1:12" x14ac:dyDescent="0.35">
      <c r="A3865" s="1">
        <v>40288</v>
      </c>
      <c r="B3865">
        <v>2983.91</v>
      </c>
      <c r="C3865" s="1">
        <v>40274</v>
      </c>
      <c r="D3865">
        <v>4053.94</v>
      </c>
      <c r="E3865" s="1">
        <v>40225</v>
      </c>
      <c r="F3865">
        <v>5592.12</v>
      </c>
      <c r="G3865" s="1">
        <v>40196</v>
      </c>
      <c r="H3865">
        <v>6232.52214</v>
      </c>
      <c r="I3865" s="1">
        <v>40266</v>
      </c>
      <c r="J3865">
        <v>11091</v>
      </c>
      <c r="K3865" s="1">
        <v>40227</v>
      </c>
      <c r="L3865">
        <v>21686.12</v>
      </c>
    </row>
    <row r="3866" spans="1:12" x14ac:dyDescent="0.35">
      <c r="A3866" s="1">
        <v>40287</v>
      </c>
      <c r="B3866">
        <v>2940.19</v>
      </c>
      <c r="C3866" s="1">
        <v>40269</v>
      </c>
      <c r="D3866">
        <v>4034.23</v>
      </c>
      <c r="E3866" s="1">
        <v>40224</v>
      </c>
      <c r="F3866">
        <v>5511.1</v>
      </c>
      <c r="G3866" s="1">
        <v>40193</v>
      </c>
      <c r="H3866">
        <v>6163.2782399999996</v>
      </c>
      <c r="I3866" s="1">
        <v>40263</v>
      </c>
      <c r="J3866">
        <v>11071.1</v>
      </c>
      <c r="K3866" s="1">
        <v>40226</v>
      </c>
      <c r="L3866">
        <v>21650.81</v>
      </c>
    </row>
    <row r="3867" spans="1:12" x14ac:dyDescent="0.35">
      <c r="A3867" s="1">
        <v>40284</v>
      </c>
      <c r="B3867">
        <v>2949.65</v>
      </c>
      <c r="C3867" s="1">
        <v>40268</v>
      </c>
      <c r="D3867">
        <v>3974.01</v>
      </c>
      <c r="E3867" s="1">
        <v>40221</v>
      </c>
      <c r="F3867">
        <v>5500.39</v>
      </c>
      <c r="G3867" s="1">
        <v>40192</v>
      </c>
      <c r="H3867">
        <v>6191.6871700000002</v>
      </c>
      <c r="I3867" s="1">
        <v>40262</v>
      </c>
      <c r="J3867">
        <v>11091.4</v>
      </c>
      <c r="K3867" s="1">
        <v>40225</v>
      </c>
      <c r="L3867">
        <v>21289.200000000001</v>
      </c>
    </row>
    <row r="3868" spans="1:12" x14ac:dyDescent="0.35">
      <c r="A3868" s="1">
        <v>40283</v>
      </c>
      <c r="B3868">
        <v>3012.65</v>
      </c>
      <c r="C3868" s="1">
        <v>40267</v>
      </c>
      <c r="D3868">
        <v>3987.41</v>
      </c>
      <c r="E3868" s="1">
        <v>40220</v>
      </c>
      <c r="F3868">
        <v>5503.93</v>
      </c>
      <c r="G3868" s="1">
        <v>40191</v>
      </c>
      <c r="H3868">
        <v>6141.8151500000004</v>
      </c>
      <c r="I3868" s="1">
        <v>40261</v>
      </c>
      <c r="J3868">
        <v>10866.3</v>
      </c>
      <c r="K3868" s="1">
        <v>40224</v>
      </c>
      <c r="L3868">
        <v>21122.47</v>
      </c>
    </row>
    <row r="3869" spans="1:12" x14ac:dyDescent="0.35">
      <c r="A3869" s="1">
        <v>40282</v>
      </c>
      <c r="B3869">
        <v>3008.03</v>
      </c>
      <c r="C3869" s="1">
        <v>40266</v>
      </c>
      <c r="D3869">
        <v>4000.66</v>
      </c>
      <c r="E3869" s="1">
        <v>40219</v>
      </c>
      <c r="F3869">
        <v>5536.37</v>
      </c>
      <c r="G3869" s="1">
        <v>40190</v>
      </c>
      <c r="H3869">
        <v>6128.6718099999998</v>
      </c>
      <c r="I3869" s="1">
        <v>40260</v>
      </c>
      <c r="J3869">
        <v>10996.2</v>
      </c>
      <c r="K3869" s="1">
        <v>40221</v>
      </c>
      <c r="L3869">
        <v>21035.91</v>
      </c>
    </row>
    <row r="3870" spans="1:12" x14ac:dyDescent="0.35">
      <c r="A3870" s="1">
        <v>40281</v>
      </c>
      <c r="B3870">
        <v>2988.24</v>
      </c>
      <c r="C3870" s="1">
        <v>40263</v>
      </c>
      <c r="D3870">
        <v>3988.93</v>
      </c>
      <c r="E3870" s="1">
        <v>40218</v>
      </c>
      <c r="F3870">
        <v>5498.26</v>
      </c>
      <c r="G3870" s="1">
        <v>40189</v>
      </c>
      <c r="H3870">
        <v>6151.4179299999996</v>
      </c>
      <c r="I3870" s="1">
        <v>40259</v>
      </c>
      <c r="J3870">
        <v>10861.9</v>
      </c>
      <c r="K3870" s="1">
        <v>40220</v>
      </c>
      <c r="L3870">
        <v>21076.45</v>
      </c>
    </row>
    <row r="3871" spans="1:12" x14ac:dyDescent="0.35">
      <c r="A3871" s="1">
        <v>40280</v>
      </c>
      <c r="B3871">
        <v>3002.23</v>
      </c>
      <c r="C3871" s="1">
        <v>40262</v>
      </c>
      <c r="D3871">
        <v>4000.48</v>
      </c>
      <c r="E3871" s="1">
        <v>40217</v>
      </c>
      <c r="F3871">
        <v>5484.85</v>
      </c>
      <c r="G3871" s="1">
        <v>40186</v>
      </c>
      <c r="H3871">
        <v>6154.06873</v>
      </c>
      <c r="I3871" s="1">
        <v>40256</v>
      </c>
      <c r="J3871">
        <v>10990.8</v>
      </c>
      <c r="K3871" s="1">
        <v>40219</v>
      </c>
      <c r="L3871">
        <v>21241.63</v>
      </c>
    </row>
    <row r="3872" spans="1:12" x14ac:dyDescent="0.35">
      <c r="A3872" s="1">
        <v>40277</v>
      </c>
      <c r="B3872">
        <v>2993.54</v>
      </c>
      <c r="C3872" s="1">
        <v>40261</v>
      </c>
      <c r="D3872">
        <v>3949.81</v>
      </c>
      <c r="E3872" s="1">
        <v>40214</v>
      </c>
      <c r="F3872">
        <v>5434.34</v>
      </c>
      <c r="G3872" s="1">
        <v>40185</v>
      </c>
      <c r="H3872">
        <v>6151.3890600000004</v>
      </c>
      <c r="I3872" s="1">
        <v>40255</v>
      </c>
      <c r="J3872">
        <v>11073.5</v>
      </c>
      <c r="K3872" s="1">
        <v>40218</v>
      </c>
      <c r="L3872">
        <v>20818.97</v>
      </c>
    </row>
    <row r="3873" spans="1:12" x14ac:dyDescent="0.35">
      <c r="A3873" s="1">
        <v>40276</v>
      </c>
      <c r="B3873">
        <v>2942.31</v>
      </c>
      <c r="C3873" s="1">
        <v>40260</v>
      </c>
      <c r="D3873">
        <v>3952.55</v>
      </c>
      <c r="E3873" s="1">
        <v>40213</v>
      </c>
      <c r="F3873">
        <v>5533.24</v>
      </c>
      <c r="G3873" s="1">
        <v>40184</v>
      </c>
      <c r="H3873">
        <v>6140.8205399999997</v>
      </c>
      <c r="I3873" s="1">
        <v>40254</v>
      </c>
      <c r="J3873">
        <v>11166.8</v>
      </c>
      <c r="K3873" s="1">
        <v>40217</v>
      </c>
      <c r="L3873">
        <v>20938.240000000002</v>
      </c>
    </row>
    <row r="3874" spans="1:12" x14ac:dyDescent="0.35">
      <c r="A3874" s="1">
        <v>40275</v>
      </c>
      <c r="B3874">
        <v>2974.62</v>
      </c>
      <c r="C3874" s="1">
        <v>40259</v>
      </c>
      <c r="D3874">
        <v>3928</v>
      </c>
      <c r="E3874" s="1">
        <v>40212</v>
      </c>
      <c r="F3874">
        <v>5672.09</v>
      </c>
      <c r="G3874" s="1">
        <v>40183</v>
      </c>
      <c r="H3874">
        <v>6141.4835700000003</v>
      </c>
      <c r="I3874" s="1">
        <v>40253</v>
      </c>
      <c r="J3874">
        <v>11059.3</v>
      </c>
      <c r="K3874" s="1">
        <v>40214</v>
      </c>
      <c r="L3874">
        <v>20815.88</v>
      </c>
    </row>
    <row r="3875" spans="1:12" x14ac:dyDescent="0.35">
      <c r="A3875" s="1">
        <v>40274</v>
      </c>
      <c r="B3875">
        <v>2989.49</v>
      </c>
      <c r="C3875" s="1">
        <v>40256</v>
      </c>
      <c r="D3875">
        <v>3925.44</v>
      </c>
      <c r="E3875" s="1">
        <v>40211</v>
      </c>
      <c r="F3875">
        <v>5709.66</v>
      </c>
      <c r="G3875" s="1">
        <v>40182</v>
      </c>
      <c r="H3875">
        <v>6153.2072699999999</v>
      </c>
      <c r="I3875" s="1">
        <v>40252</v>
      </c>
      <c r="J3875">
        <v>10957.8</v>
      </c>
      <c r="K3875" s="1">
        <v>40213</v>
      </c>
      <c r="L3875">
        <v>21404.82</v>
      </c>
    </row>
    <row r="3876" spans="1:12" x14ac:dyDescent="0.35">
      <c r="A3876" s="1">
        <v>40269</v>
      </c>
      <c r="B3876">
        <v>2978.5</v>
      </c>
      <c r="C3876" s="1">
        <v>40255</v>
      </c>
      <c r="D3876">
        <v>3938.18</v>
      </c>
      <c r="E3876" s="1">
        <v>40210</v>
      </c>
      <c r="F3876">
        <v>5654.48</v>
      </c>
      <c r="I3876" s="1">
        <v>40249</v>
      </c>
      <c r="J3876">
        <v>11077</v>
      </c>
      <c r="K3876" s="1">
        <v>40212</v>
      </c>
      <c r="L3876">
        <v>22169.25</v>
      </c>
    </row>
    <row r="3877" spans="1:12" x14ac:dyDescent="0.35">
      <c r="A3877" s="1">
        <v>40268</v>
      </c>
      <c r="B3877">
        <v>2931.16</v>
      </c>
      <c r="C3877" s="1">
        <v>40254</v>
      </c>
      <c r="D3877">
        <v>3957.89</v>
      </c>
      <c r="E3877" s="1">
        <v>40207</v>
      </c>
      <c r="F3877">
        <v>5608.79</v>
      </c>
      <c r="I3877" s="1">
        <v>40248</v>
      </c>
      <c r="J3877">
        <v>11045.4</v>
      </c>
      <c r="K3877" s="1">
        <v>40211</v>
      </c>
      <c r="L3877">
        <v>22413.74</v>
      </c>
    </row>
    <row r="3878" spans="1:12" x14ac:dyDescent="0.35">
      <c r="A3878" s="1">
        <v>40267</v>
      </c>
      <c r="B3878">
        <v>2939.68</v>
      </c>
      <c r="C3878" s="1">
        <v>40253</v>
      </c>
      <c r="D3878">
        <v>3938.95</v>
      </c>
      <c r="E3878" s="1">
        <v>40206</v>
      </c>
      <c r="F3878">
        <v>5540.33</v>
      </c>
      <c r="I3878" s="1">
        <v>40247</v>
      </c>
      <c r="J3878">
        <v>11121</v>
      </c>
      <c r="K3878" s="1">
        <v>40210</v>
      </c>
      <c r="L3878">
        <v>22012</v>
      </c>
    </row>
    <row r="3879" spans="1:12" x14ac:dyDescent="0.35">
      <c r="A3879" s="1">
        <v>40266</v>
      </c>
      <c r="B3879">
        <v>2947.49</v>
      </c>
      <c r="C3879" s="1">
        <v>40252</v>
      </c>
      <c r="D3879">
        <v>3890.91</v>
      </c>
      <c r="E3879" s="1">
        <v>40205</v>
      </c>
      <c r="F3879">
        <v>5643.2</v>
      </c>
      <c r="I3879" s="1">
        <v>40246</v>
      </c>
      <c r="J3879">
        <v>11002.8</v>
      </c>
      <c r="K3879" s="1">
        <v>40207</v>
      </c>
      <c r="L3879">
        <v>21896.29</v>
      </c>
    </row>
    <row r="3880" spans="1:12" x14ac:dyDescent="0.35">
      <c r="A3880" s="1">
        <v>40263</v>
      </c>
      <c r="B3880">
        <v>2940.94</v>
      </c>
      <c r="C3880" s="1">
        <v>40249</v>
      </c>
      <c r="D3880">
        <v>3927.4</v>
      </c>
      <c r="E3880" s="1">
        <v>40204</v>
      </c>
      <c r="F3880">
        <v>5668.93</v>
      </c>
      <c r="I3880" s="1">
        <v>40245</v>
      </c>
      <c r="J3880">
        <v>11078.3</v>
      </c>
      <c r="K3880" s="1">
        <v>40206</v>
      </c>
      <c r="L3880">
        <v>21603.13</v>
      </c>
    </row>
    <row r="3881" spans="1:12" x14ac:dyDescent="0.35">
      <c r="A3881" s="1">
        <v>40262</v>
      </c>
      <c r="B3881">
        <v>2948.09</v>
      </c>
      <c r="C3881" s="1">
        <v>40248</v>
      </c>
      <c r="D3881">
        <v>3928.95</v>
      </c>
      <c r="E3881" s="1">
        <v>40203</v>
      </c>
      <c r="F3881">
        <v>5631.37</v>
      </c>
      <c r="I3881" s="1">
        <v>40242</v>
      </c>
      <c r="J3881">
        <v>11019.8</v>
      </c>
      <c r="K3881" s="1">
        <v>40205</v>
      </c>
      <c r="L3881">
        <v>21997.59</v>
      </c>
    </row>
    <row r="3882" spans="1:12" x14ac:dyDescent="0.35">
      <c r="A3882" s="1">
        <v>40261</v>
      </c>
      <c r="B3882">
        <v>2903.94</v>
      </c>
      <c r="C3882" s="1">
        <v>40247</v>
      </c>
      <c r="D3882">
        <v>3943.55</v>
      </c>
      <c r="E3882" s="1">
        <v>40200</v>
      </c>
      <c r="F3882">
        <v>5695.32</v>
      </c>
      <c r="I3882" s="1">
        <v>40241</v>
      </c>
      <c r="J3882">
        <v>10745.3</v>
      </c>
      <c r="K3882" s="1">
        <v>40204</v>
      </c>
      <c r="L3882">
        <v>22407.71</v>
      </c>
    </row>
    <row r="3883" spans="1:12" x14ac:dyDescent="0.35">
      <c r="A3883" s="1">
        <v>40260</v>
      </c>
      <c r="B3883">
        <v>2910.52</v>
      </c>
      <c r="C3883" s="1">
        <v>40246</v>
      </c>
      <c r="D3883">
        <v>3910.01</v>
      </c>
      <c r="E3883" s="1">
        <v>40199</v>
      </c>
      <c r="F3883">
        <v>5746.97</v>
      </c>
      <c r="I3883" s="1">
        <v>40240</v>
      </c>
      <c r="J3883">
        <v>10664.5</v>
      </c>
      <c r="K3883" s="1">
        <v>40203</v>
      </c>
      <c r="L3883">
        <v>22373.09</v>
      </c>
    </row>
    <row r="3884" spans="1:12" x14ac:dyDescent="0.35">
      <c r="A3884" s="1">
        <v>40259</v>
      </c>
      <c r="B3884">
        <v>2890.75</v>
      </c>
      <c r="C3884" s="1">
        <v>40245</v>
      </c>
      <c r="D3884">
        <v>3903.54</v>
      </c>
      <c r="E3884" s="1">
        <v>40198</v>
      </c>
      <c r="F3884">
        <v>5851.53</v>
      </c>
      <c r="I3884" s="1">
        <v>40239</v>
      </c>
      <c r="J3884">
        <v>10521.5</v>
      </c>
      <c r="K3884" s="1">
        <v>40200</v>
      </c>
      <c r="L3884">
        <v>22567.81</v>
      </c>
    </row>
    <row r="3885" spans="1:12" x14ac:dyDescent="0.35">
      <c r="A3885" s="1">
        <v>40256</v>
      </c>
      <c r="B3885">
        <v>2897.95</v>
      </c>
      <c r="C3885" s="1">
        <v>40242</v>
      </c>
      <c r="D3885">
        <v>3910.42</v>
      </c>
      <c r="E3885" s="1">
        <v>40197</v>
      </c>
      <c r="F3885">
        <v>5976.48</v>
      </c>
      <c r="I3885" s="1">
        <v>40238</v>
      </c>
      <c r="J3885">
        <v>10434.9</v>
      </c>
      <c r="K3885" s="1">
        <v>40199</v>
      </c>
      <c r="L3885">
        <v>22876.46</v>
      </c>
    </row>
    <row r="3886" spans="1:12" x14ac:dyDescent="0.35">
      <c r="A3886" s="1">
        <v>40255</v>
      </c>
      <c r="B3886">
        <v>2913.74</v>
      </c>
      <c r="C3886" s="1">
        <v>40241</v>
      </c>
      <c r="D3886">
        <v>3828.41</v>
      </c>
      <c r="E3886" s="1">
        <v>40196</v>
      </c>
      <c r="F3886">
        <v>5918.55</v>
      </c>
      <c r="I3886" s="1">
        <v>40235</v>
      </c>
      <c r="J3886">
        <v>10333.6</v>
      </c>
      <c r="K3886" s="1">
        <v>40198</v>
      </c>
      <c r="L3886">
        <v>23126.02</v>
      </c>
    </row>
    <row r="3887" spans="1:12" x14ac:dyDescent="0.35">
      <c r="A3887" s="1">
        <v>40254</v>
      </c>
      <c r="B3887">
        <v>2931.31</v>
      </c>
      <c r="C3887" s="1">
        <v>40240</v>
      </c>
      <c r="D3887">
        <v>3842.52</v>
      </c>
      <c r="E3887" s="1">
        <v>40193</v>
      </c>
      <c r="F3887">
        <v>5875.97</v>
      </c>
      <c r="I3887" s="1">
        <v>40234</v>
      </c>
      <c r="J3887">
        <v>10126.200000000001</v>
      </c>
      <c r="K3887" s="1">
        <v>40197</v>
      </c>
      <c r="L3887">
        <v>23705.67</v>
      </c>
    </row>
    <row r="3888" spans="1:12" x14ac:dyDescent="0.35">
      <c r="A3888" s="1">
        <v>40253</v>
      </c>
      <c r="B3888">
        <v>2905.93</v>
      </c>
      <c r="C3888" s="1">
        <v>40239</v>
      </c>
      <c r="D3888">
        <v>3811.92</v>
      </c>
      <c r="E3888" s="1">
        <v>40192</v>
      </c>
      <c r="F3888">
        <v>5988.88</v>
      </c>
      <c r="I3888" s="1">
        <v>40233</v>
      </c>
      <c r="J3888">
        <v>10254</v>
      </c>
      <c r="K3888" s="1">
        <v>40196</v>
      </c>
      <c r="L3888">
        <v>23509.759999999998</v>
      </c>
    </row>
    <row r="3889" spans="1:12" x14ac:dyDescent="0.35">
      <c r="A3889" s="1">
        <v>40252</v>
      </c>
      <c r="B3889">
        <v>2870.55</v>
      </c>
      <c r="C3889" s="1">
        <v>40238</v>
      </c>
      <c r="D3889">
        <v>3769.54</v>
      </c>
      <c r="E3889" s="1">
        <v>40191</v>
      </c>
      <c r="F3889">
        <v>5963.14</v>
      </c>
      <c r="I3889" s="1">
        <v>40232</v>
      </c>
      <c r="J3889">
        <v>10312.9</v>
      </c>
      <c r="K3889" s="1">
        <v>40193</v>
      </c>
      <c r="L3889">
        <v>23472.11</v>
      </c>
    </row>
    <row r="3890" spans="1:12" x14ac:dyDescent="0.35">
      <c r="A3890" s="1">
        <v>40249</v>
      </c>
      <c r="B3890">
        <v>2898.36</v>
      </c>
      <c r="C3890" s="1">
        <v>40235</v>
      </c>
      <c r="D3890">
        <v>3708.8</v>
      </c>
      <c r="E3890" s="1">
        <v>40190</v>
      </c>
      <c r="F3890">
        <v>5943</v>
      </c>
      <c r="I3890" s="1">
        <v>40231</v>
      </c>
      <c r="J3890">
        <v>10570.5</v>
      </c>
      <c r="K3890" s="1">
        <v>40192</v>
      </c>
      <c r="L3890">
        <v>23805.99</v>
      </c>
    </row>
    <row r="3891" spans="1:12" x14ac:dyDescent="0.35">
      <c r="A3891" s="1">
        <v>40248</v>
      </c>
      <c r="B3891">
        <v>2895.74</v>
      </c>
      <c r="C3891" s="1">
        <v>40234</v>
      </c>
      <c r="D3891">
        <v>3640.77</v>
      </c>
      <c r="E3891" s="1">
        <v>40189</v>
      </c>
      <c r="F3891">
        <v>6040.5</v>
      </c>
      <c r="I3891" s="1">
        <v>40228</v>
      </c>
      <c r="J3891">
        <v>10676.7</v>
      </c>
      <c r="K3891" s="1">
        <v>40191</v>
      </c>
      <c r="L3891">
        <v>23658.400000000001</v>
      </c>
    </row>
    <row r="3892" spans="1:12" x14ac:dyDescent="0.35">
      <c r="A3892" s="1">
        <v>40247</v>
      </c>
      <c r="B3892">
        <v>2909.4</v>
      </c>
      <c r="C3892" s="1">
        <v>40233</v>
      </c>
      <c r="D3892">
        <v>3715.68</v>
      </c>
      <c r="E3892" s="1">
        <v>40186</v>
      </c>
      <c r="F3892">
        <v>6037.61</v>
      </c>
      <c r="I3892" s="1">
        <v>40227</v>
      </c>
      <c r="J3892">
        <v>10574.2</v>
      </c>
      <c r="K3892" s="1">
        <v>40190</v>
      </c>
      <c r="L3892">
        <v>23583.35</v>
      </c>
    </row>
    <row r="3893" spans="1:12" x14ac:dyDescent="0.35">
      <c r="A3893" s="1">
        <v>40246</v>
      </c>
      <c r="B3893">
        <v>2880.71</v>
      </c>
      <c r="C3893" s="1">
        <v>40232</v>
      </c>
      <c r="D3893">
        <v>3707.06</v>
      </c>
      <c r="E3893" s="1">
        <v>40185</v>
      </c>
      <c r="F3893">
        <v>6019.36</v>
      </c>
      <c r="I3893" s="1">
        <v>40226</v>
      </c>
      <c r="J3893">
        <v>10498.6</v>
      </c>
      <c r="K3893" s="1">
        <v>40189</v>
      </c>
      <c r="L3893">
        <v>23774.76</v>
      </c>
    </row>
    <row r="3894" spans="1:12" x14ac:dyDescent="0.35">
      <c r="A3894" s="1">
        <v>40245</v>
      </c>
      <c r="B3894">
        <v>2879.29</v>
      </c>
      <c r="C3894" s="1">
        <v>40231</v>
      </c>
      <c r="D3894">
        <v>3756.7</v>
      </c>
      <c r="E3894" s="1">
        <v>40184</v>
      </c>
      <c r="F3894">
        <v>6034.33</v>
      </c>
      <c r="I3894" s="1">
        <v>40225</v>
      </c>
      <c r="J3894">
        <v>10393.9</v>
      </c>
      <c r="K3894" s="1">
        <v>40186</v>
      </c>
      <c r="L3894">
        <v>23811.13</v>
      </c>
    </row>
    <row r="3895" spans="1:12" x14ac:dyDescent="0.35">
      <c r="A3895" s="1">
        <v>40242</v>
      </c>
      <c r="B3895">
        <v>2877.44</v>
      </c>
      <c r="C3895" s="1">
        <v>40228</v>
      </c>
      <c r="D3895">
        <v>3769.54</v>
      </c>
      <c r="E3895" s="1">
        <v>40183</v>
      </c>
      <c r="F3895">
        <v>6031.86</v>
      </c>
      <c r="I3895" s="1">
        <v>40224</v>
      </c>
      <c r="J3895">
        <v>10293.6</v>
      </c>
      <c r="K3895" s="1">
        <v>40185</v>
      </c>
      <c r="L3895">
        <v>23709.01</v>
      </c>
    </row>
    <row r="3896" spans="1:12" x14ac:dyDescent="0.35">
      <c r="A3896" s="1">
        <v>40241</v>
      </c>
      <c r="B3896">
        <v>2816.1</v>
      </c>
      <c r="C3896" s="1">
        <v>40227</v>
      </c>
      <c r="D3896">
        <v>3747.83</v>
      </c>
      <c r="E3896" s="1">
        <v>40182</v>
      </c>
      <c r="F3896">
        <v>6048.3</v>
      </c>
      <c r="I3896" s="1">
        <v>40221</v>
      </c>
      <c r="J3896">
        <v>10224.9</v>
      </c>
      <c r="K3896" s="1">
        <v>40184</v>
      </c>
      <c r="L3896">
        <v>23622.29</v>
      </c>
    </row>
    <row r="3897" spans="1:12" x14ac:dyDescent="0.35">
      <c r="A3897" s="1">
        <v>40240</v>
      </c>
      <c r="B3897">
        <v>2822.59</v>
      </c>
      <c r="C3897" s="1">
        <v>40226</v>
      </c>
      <c r="D3897">
        <v>3725.21</v>
      </c>
      <c r="I3897" s="1">
        <v>40220</v>
      </c>
      <c r="J3897">
        <v>10281.700000000001</v>
      </c>
      <c r="K3897" s="1">
        <v>40183</v>
      </c>
      <c r="L3897">
        <v>23555.73</v>
      </c>
    </row>
    <row r="3898" spans="1:12" x14ac:dyDescent="0.35">
      <c r="A3898" s="1">
        <v>40239</v>
      </c>
      <c r="B3898">
        <v>2796.33</v>
      </c>
      <c r="C3898" s="1">
        <v>40225</v>
      </c>
      <c r="D3898">
        <v>3669.04</v>
      </c>
      <c r="I3898" s="1">
        <v>40219</v>
      </c>
      <c r="J3898">
        <v>10455</v>
      </c>
      <c r="K3898" s="1">
        <v>40182</v>
      </c>
      <c r="L3898">
        <v>23545.02</v>
      </c>
    </row>
    <row r="3899" spans="1:12" x14ac:dyDescent="0.35">
      <c r="A3899" s="1">
        <v>40238</v>
      </c>
      <c r="B3899">
        <v>2772.7</v>
      </c>
      <c r="C3899" s="1">
        <v>40224</v>
      </c>
      <c r="D3899">
        <v>3609.22</v>
      </c>
      <c r="I3899" s="1">
        <v>40218</v>
      </c>
      <c r="J3899">
        <v>10275.4</v>
      </c>
    </row>
    <row r="3900" spans="1:12" x14ac:dyDescent="0.35">
      <c r="A3900" s="1">
        <v>40235</v>
      </c>
      <c r="B3900">
        <v>2728.47</v>
      </c>
      <c r="C3900" s="1">
        <v>40221</v>
      </c>
      <c r="D3900">
        <v>3599.07</v>
      </c>
      <c r="I3900" s="1">
        <v>40217</v>
      </c>
      <c r="J3900">
        <v>10206.299999999999</v>
      </c>
    </row>
    <row r="3901" spans="1:12" x14ac:dyDescent="0.35">
      <c r="A3901" s="1">
        <v>40234</v>
      </c>
      <c r="B3901">
        <v>2684.42</v>
      </c>
      <c r="C3901" s="1">
        <v>40220</v>
      </c>
      <c r="D3901">
        <v>3616.75</v>
      </c>
      <c r="I3901" s="1">
        <v>40214</v>
      </c>
      <c r="J3901">
        <v>10103.299999999999</v>
      </c>
    </row>
    <row r="3902" spans="1:12" x14ac:dyDescent="0.35">
      <c r="A3902" s="1">
        <v>40233</v>
      </c>
      <c r="B3902">
        <v>2734.95</v>
      </c>
      <c r="C3902" s="1">
        <v>40219</v>
      </c>
      <c r="D3902">
        <v>3635.61</v>
      </c>
      <c r="I3902" s="1">
        <v>40213</v>
      </c>
      <c r="J3902">
        <v>10241.700000000001</v>
      </c>
    </row>
    <row r="3903" spans="1:12" x14ac:dyDescent="0.35">
      <c r="A3903" s="1">
        <v>40232</v>
      </c>
      <c r="B3903">
        <v>2730.57</v>
      </c>
      <c r="C3903" s="1">
        <v>40218</v>
      </c>
      <c r="D3903">
        <v>3612.76</v>
      </c>
      <c r="I3903" s="1">
        <v>40212</v>
      </c>
      <c r="J3903">
        <v>10888.4</v>
      </c>
    </row>
    <row r="3904" spans="1:12" x14ac:dyDescent="0.35">
      <c r="A3904" s="1">
        <v>40231</v>
      </c>
      <c r="B3904">
        <v>2778.12</v>
      </c>
      <c r="C3904" s="1">
        <v>40217</v>
      </c>
      <c r="D3904">
        <v>3607.27</v>
      </c>
      <c r="I3904" s="1">
        <v>40211</v>
      </c>
      <c r="J3904">
        <v>11140.9</v>
      </c>
    </row>
    <row r="3905" spans="1:10" x14ac:dyDescent="0.35">
      <c r="A3905" s="1">
        <v>40228</v>
      </c>
      <c r="B3905">
        <v>2793.37</v>
      </c>
      <c r="C3905" s="1">
        <v>40214</v>
      </c>
      <c r="D3905">
        <v>3563.76</v>
      </c>
      <c r="I3905" s="1">
        <v>40210</v>
      </c>
      <c r="J3905">
        <v>10995.2</v>
      </c>
    </row>
    <row r="3906" spans="1:10" x14ac:dyDescent="0.35">
      <c r="A3906" s="1">
        <v>40227</v>
      </c>
      <c r="B3906">
        <v>2778.3</v>
      </c>
      <c r="C3906" s="1">
        <v>40213</v>
      </c>
      <c r="D3906">
        <v>3689.25</v>
      </c>
      <c r="I3906" s="1">
        <v>40207</v>
      </c>
      <c r="J3906">
        <v>10947.7</v>
      </c>
    </row>
    <row r="3907" spans="1:10" x14ac:dyDescent="0.35">
      <c r="A3907" s="1">
        <v>40226</v>
      </c>
      <c r="B3907">
        <v>2762.25</v>
      </c>
      <c r="C3907" s="1">
        <v>40212</v>
      </c>
      <c r="D3907">
        <v>3793.47</v>
      </c>
      <c r="I3907" s="1">
        <v>40206</v>
      </c>
      <c r="J3907">
        <v>10829.3</v>
      </c>
    </row>
    <row r="3908" spans="1:10" x14ac:dyDescent="0.35">
      <c r="A3908" s="1">
        <v>40225</v>
      </c>
      <c r="B3908">
        <v>2720.77</v>
      </c>
      <c r="C3908" s="1">
        <v>40211</v>
      </c>
      <c r="D3908">
        <v>3812.13</v>
      </c>
      <c r="I3908" s="1">
        <v>40205</v>
      </c>
      <c r="J3908">
        <v>11042.2</v>
      </c>
    </row>
    <row r="3909" spans="1:10" x14ac:dyDescent="0.35">
      <c r="A3909" s="1">
        <v>40224</v>
      </c>
      <c r="B3909">
        <v>2683.83</v>
      </c>
      <c r="C3909" s="1">
        <v>40210</v>
      </c>
      <c r="D3909">
        <v>3762.01</v>
      </c>
      <c r="I3909" s="1">
        <v>40204</v>
      </c>
      <c r="J3909">
        <v>11347.3</v>
      </c>
    </row>
    <row r="3910" spans="1:10" x14ac:dyDescent="0.35">
      <c r="A3910" s="1">
        <v>40221</v>
      </c>
      <c r="B3910">
        <v>2674.46</v>
      </c>
      <c r="C3910" s="1">
        <v>40207</v>
      </c>
      <c r="D3910">
        <v>3739.46</v>
      </c>
      <c r="I3910" s="1">
        <v>40203</v>
      </c>
      <c r="J3910">
        <v>11249.3</v>
      </c>
    </row>
    <row r="3911" spans="1:10" x14ac:dyDescent="0.35">
      <c r="A3911" s="1">
        <v>40220</v>
      </c>
      <c r="B3911">
        <v>2680.25</v>
      </c>
      <c r="C3911" s="1">
        <v>40206</v>
      </c>
      <c r="D3911">
        <v>3688.79</v>
      </c>
      <c r="I3911" s="1">
        <v>40200</v>
      </c>
      <c r="J3911">
        <v>11373.4</v>
      </c>
    </row>
    <row r="3912" spans="1:10" x14ac:dyDescent="0.35">
      <c r="A3912" s="1">
        <v>40219</v>
      </c>
      <c r="B3912">
        <v>2700.17</v>
      </c>
      <c r="C3912" s="1">
        <v>40205</v>
      </c>
      <c r="D3912">
        <v>3759.8</v>
      </c>
      <c r="I3912" s="1">
        <v>40199</v>
      </c>
      <c r="J3912">
        <v>11444</v>
      </c>
    </row>
    <row r="3913" spans="1:10" x14ac:dyDescent="0.35">
      <c r="A3913" s="1">
        <v>40218</v>
      </c>
      <c r="B3913">
        <v>2668.43</v>
      </c>
      <c r="C3913" s="1">
        <v>40204</v>
      </c>
      <c r="D3913">
        <v>3807.04</v>
      </c>
      <c r="I3913" s="1">
        <v>40198</v>
      </c>
      <c r="J3913">
        <v>11709</v>
      </c>
    </row>
    <row r="3914" spans="1:10" x14ac:dyDescent="0.35">
      <c r="A3914" s="1">
        <v>40217</v>
      </c>
      <c r="B3914">
        <v>2664.29</v>
      </c>
      <c r="C3914" s="1">
        <v>40203</v>
      </c>
      <c r="D3914">
        <v>3781.85</v>
      </c>
      <c r="I3914" s="1">
        <v>40197</v>
      </c>
      <c r="J3914">
        <v>12022.6</v>
      </c>
    </row>
    <row r="3915" spans="1:10" x14ac:dyDescent="0.35">
      <c r="A3915" s="1">
        <v>40214</v>
      </c>
      <c r="B3915">
        <v>2631.64</v>
      </c>
      <c r="C3915" s="1">
        <v>40200</v>
      </c>
      <c r="D3915">
        <v>3820.78</v>
      </c>
      <c r="I3915" s="1">
        <v>40196</v>
      </c>
      <c r="J3915">
        <v>11870.7</v>
      </c>
    </row>
    <row r="3916" spans="1:10" x14ac:dyDescent="0.35">
      <c r="A3916" s="1">
        <v>40213</v>
      </c>
      <c r="B3916">
        <v>2707.45</v>
      </c>
      <c r="C3916" s="1">
        <v>40199</v>
      </c>
      <c r="D3916">
        <v>3862.16</v>
      </c>
      <c r="I3916" s="1">
        <v>40193</v>
      </c>
      <c r="J3916">
        <v>11845</v>
      </c>
    </row>
    <row r="3917" spans="1:10" x14ac:dyDescent="0.35">
      <c r="A3917" s="1">
        <v>40212</v>
      </c>
      <c r="B3917">
        <v>2804.61</v>
      </c>
      <c r="C3917" s="1">
        <v>40198</v>
      </c>
      <c r="D3917">
        <v>3928.95</v>
      </c>
      <c r="I3917" s="1">
        <v>40192</v>
      </c>
      <c r="J3917">
        <v>11999.8</v>
      </c>
    </row>
    <row r="3918" spans="1:10" x14ac:dyDescent="0.35">
      <c r="A3918" s="1">
        <v>40211</v>
      </c>
      <c r="B3918">
        <v>2830.01</v>
      </c>
      <c r="C3918" s="1">
        <v>40197</v>
      </c>
      <c r="D3918">
        <v>4009.67</v>
      </c>
      <c r="I3918" s="1">
        <v>40191</v>
      </c>
      <c r="J3918">
        <v>11958.3</v>
      </c>
    </row>
    <row r="3919" spans="1:10" x14ac:dyDescent="0.35">
      <c r="A3919" s="1">
        <v>40210</v>
      </c>
      <c r="B3919">
        <v>2793.29</v>
      </c>
      <c r="C3919" s="1">
        <v>40196</v>
      </c>
      <c r="D3919">
        <v>3977.46</v>
      </c>
      <c r="I3919" s="1">
        <v>40190</v>
      </c>
      <c r="J3919">
        <v>11966.1</v>
      </c>
    </row>
    <row r="3920" spans="1:10" x14ac:dyDescent="0.35">
      <c r="A3920" s="1">
        <v>40207</v>
      </c>
      <c r="B3920">
        <v>2776.83</v>
      </c>
      <c r="C3920" s="1">
        <v>40193</v>
      </c>
      <c r="D3920">
        <v>3954.38</v>
      </c>
      <c r="I3920" s="1">
        <v>40189</v>
      </c>
      <c r="J3920">
        <v>12074.5</v>
      </c>
    </row>
    <row r="3921" spans="1:10" x14ac:dyDescent="0.35">
      <c r="A3921" s="1">
        <v>40206</v>
      </c>
      <c r="B3921">
        <v>2737.33</v>
      </c>
      <c r="C3921" s="1">
        <v>40192</v>
      </c>
      <c r="D3921">
        <v>4015.77</v>
      </c>
      <c r="I3921" s="1">
        <v>40186</v>
      </c>
      <c r="J3921">
        <v>12163</v>
      </c>
    </row>
    <row r="3922" spans="1:10" x14ac:dyDescent="0.35">
      <c r="A3922" s="1">
        <v>40205</v>
      </c>
      <c r="B3922">
        <v>2787.4</v>
      </c>
      <c r="C3922" s="1">
        <v>40191</v>
      </c>
      <c r="D3922">
        <v>4000.86</v>
      </c>
      <c r="I3922" s="1">
        <v>40185</v>
      </c>
      <c r="J3922">
        <v>12166.3</v>
      </c>
    </row>
    <row r="3923" spans="1:10" x14ac:dyDescent="0.35">
      <c r="A3923" s="1">
        <v>40204</v>
      </c>
      <c r="B3923">
        <v>2827.74</v>
      </c>
      <c r="C3923" s="1">
        <v>40190</v>
      </c>
      <c r="D3923">
        <v>4000.05</v>
      </c>
      <c r="I3923" s="1">
        <v>40184</v>
      </c>
      <c r="J3923">
        <v>12222.5</v>
      </c>
    </row>
    <row r="3924" spans="1:10" x14ac:dyDescent="0.35">
      <c r="A3924" s="1">
        <v>40203</v>
      </c>
      <c r="B3924">
        <v>2807.3</v>
      </c>
      <c r="C3924" s="1">
        <v>40189</v>
      </c>
      <c r="D3924">
        <v>4043.09</v>
      </c>
      <c r="I3924" s="1">
        <v>40183</v>
      </c>
      <c r="J3924">
        <v>12204.4</v>
      </c>
    </row>
    <row r="3925" spans="1:10" x14ac:dyDescent="0.35">
      <c r="A3925" s="1">
        <v>40200</v>
      </c>
      <c r="B3925">
        <v>2836.8</v>
      </c>
      <c r="C3925" s="1">
        <v>40186</v>
      </c>
      <c r="D3925">
        <v>4045.14</v>
      </c>
      <c r="I3925" s="1">
        <v>40182</v>
      </c>
      <c r="J3925">
        <v>12145.1</v>
      </c>
    </row>
    <row r="3926" spans="1:10" x14ac:dyDescent="0.35">
      <c r="A3926" s="1">
        <v>40199</v>
      </c>
      <c r="B3926">
        <v>2863.25</v>
      </c>
      <c r="C3926" s="1">
        <v>40185</v>
      </c>
      <c r="D3926">
        <v>4024.8</v>
      </c>
    </row>
    <row r="3927" spans="1:10" x14ac:dyDescent="0.35">
      <c r="A3927" s="1">
        <v>40198</v>
      </c>
      <c r="B3927">
        <v>2914.6</v>
      </c>
      <c r="C3927" s="1">
        <v>40184</v>
      </c>
      <c r="D3927">
        <v>4017.67</v>
      </c>
    </row>
    <row r="3928" spans="1:10" x14ac:dyDescent="0.35">
      <c r="A3928" s="1">
        <v>40197</v>
      </c>
      <c r="B3928">
        <v>2984.82</v>
      </c>
      <c r="C3928" s="1">
        <v>40183</v>
      </c>
      <c r="D3928">
        <v>4012.91</v>
      </c>
    </row>
    <row r="3929" spans="1:10" x14ac:dyDescent="0.35">
      <c r="A3929" s="1">
        <v>40196</v>
      </c>
      <c r="B3929">
        <v>2957.87</v>
      </c>
      <c r="C3929" s="1">
        <v>40182</v>
      </c>
      <c r="D3929">
        <v>4013.97</v>
      </c>
    </row>
    <row r="3930" spans="1:10" x14ac:dyDescent="0.35">
      <c r="A3930" s="1">
        <v>40193</v>
      </c>
      <c r="B3930">
        <v>2940.25</v>
      </c>
    </row>
    <row r="3931" spans="1:10" x14ac:dyDescent="0.35">
      <c r="A3931" s="1">
        <v>40192</v>
      </c>
      <c r="B3931">
        <v>2989.71</v>
      </c>
    </row>
    <row r="3932" spans="1:10" x14ac:dyDescent="0.35">
      <c r="A3932" s="1">
        <v>40191</v>
      </c>
      <c r="B3932">
        <v>2978.41</v>
      </c>
    </row>
    <row r="3933" spans="1:10" x14ac:dyDescent="0.35">
      <c r="A3933" s="1">
        <v>40190</v>
      </c>
      <c r="B3933">
        <v>2976.89</v>
      </c>
    </row>
    <row r="3934" spans="1:10" x14ac:dyDescent="0.35">
      <c r="A3934" s="1">
        <v>40189</v>
      </c>
      <c r="B3934">
        <v>3010.24</v>
      </c>
    </row>
    <row r="3935" spans="1:10" x14ac:dyDescent="0.35">
      <c r="A3935" s="1">
        <v>40186</v>
      </c>
      <c r="B3935">
        <v>3017.85</v>
      </c>
    </row>
    <row r="3936" spans="1:10" x14ac:dyDescent="0.35">
      <c r="A3936" s="1">
        <v>40185</v>
      </c>
      <c r="B3936">
        <v>3007.34</v>
      </c>
    </row>
    <row r="3937" spans="1:2" x14ac:dyDescent="0.35">
      <c r="A3937" s="1">
        <v>40184</v>
      </c>
      <c r="B3937">
        <v>3009.66</v>
      </c>
    </row>
    <row r="3938" spans="1:2" x14ac:dyDescent="0.35">
      <c r="A3938" s="1">
        <v>40183</v>
      </c>
      <c r="B3938">
        <v>3012.36</v>
      </c>
    </row>
    <row r="3939" spans="1:2" x14ac:dyDescent="0.35">
      <c r="A3939" s="1">
        <v>40182</v>
      </c>
      <c r="B3939">
        <v>3017.8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2E00B-A487-4C30-86A3-3DB42FCBB952}">
  <dimension ref="A1:E192"/>
  <sheetViews>
    <sheetView workbookViewId="0">
      <selection activeCell="H7" sqref="H7"/>
    </sheetView>
  </sheetViews>
  <sheetFormatPr baseColWidth="10" defaultRowHeight="14.5" x14ac:dyDescent="0.35"/>
  <cols>
    <col min="5" max="5" width="15.453125" bestFit="1" customWidth="1"/>
  </cols>
  <sheetData>
    <row r="1" spans="1:5" x14ac:dyDescent="0.35">
      <c r="A1" t="s">
        <v>394</v>
      </c>
      <c r="B1" t="s">
        <v>395</v>
      </c>
      <c r="C1" t="s">
        <v>396</v>
      </c>
      <c r="D1" t="s">
        <v>397</v>
      </c>
      <c r="E1" t="s">
        <v>398</v>
      </c>
    </row>
    <row r="2" spans="1:5" x14ac:dyDescent="0.35">
      <c r="A2" t="s">
        <v>0</v>
      </c>
      <c r="B2" s="3" t="s">
        <v>218</v>
      </c>
      <c r="D2" t="s">
        <v>0</v>
      </c>
      <c r="E2" s="3" t="s">
        <v>219</v>
      </c>
    </row>
    <row r="3" spans="1:5" x14ac:dyDescent="0.35">
      <c r="A3" t="s">
        <v>2</v>
      </c>
      <c r="B3">
        <v>40178</v>
      </c>
      <c r="D3" t="s">
        <v>2</v>
      </c>
      <c r="E3">
        <v>40178</v>
      </c>
    </row>
    <row r="4" spans="1:5" x14ac:dyDescent="0.35">
      <c r="A4" t="s">
        <v>3</v>
      </c>
      <c r="B4">
        <v>45772</v>
      </c>
      <c r="D4" t="s">
        <v>3</v>
      </c>
      <c r="E4">
        <v>45772</v>
      </c>
    </row>
    <row r="5" spans="1:5" x14ac:dyDescent="0.35">
      <c r="A5" t="s">
        <v>4</v>
      </c>
      <c r="B5" t="s">
        <v>216</v>
      </c>
      <c r="D5" t="s">
        <v>4</v>
      </c>
      <c r="E5" t="s">
        <v>216</v>
      </c>
    </row>
    <row r="6" spans="1:5" x14ac:dyDescent="0.35">
      <c r="A6" t="s">
        <v>6</v>
      </c>
      <c r="B6" t="s">
        <v>217</v>
      </c>
      <c r="D6" t="s">
        <v>6</v>
      </c>
      <c r="E6" t="s">
        <v>217</v>
      </c>
    </row>
    <row r="8" spans="1:5" x14ac:dyDescent="0.35">
      <c r="A8" t="s">
        <v>8</v>
      </c>
      <c r="B8" t="s">
        <v>9</v>
      </c>
      <c r="D8" t="s">
        <v>8</v>
      </c>
      <c r="E8" t="s">
        <v>9</v>
      </c>
    </row>
    <row r="9" spans="1:5" x14ac:dyDescent="0.35">
      <c r="A9" s="1">
        <v>40178</v>
      </c>
      <c r="B9">
        <v>21.68</v>
      </c>
      <c r="D9" s="1">
        <v>40178</v>
      </c>
      <c r="E9">
        <v>34.496339999999996</v>
      </c>
    </row>
    <row r="10" spans="1:5" x14ac:dyDescent="0.35">
      <c r="A10" s="1">
        <v>40207</v>
      </c>
      <c r="B10">
        <v>24.62</v>
      </c>
      <c r="D10" s="1">
        <v>40207</v>
      </c>
      <c r="E10">
        <v>37.116689999999998</v>
      </c>
    </row>
    <row r="11" spans="1:5" x14ac:dyDescent="0.35">
      <c r="A11" s="1">
        <v>40235</v>
      </c>
      <c r="B11">
        <v>19.5</v>
      </c>
      <c r="D11" s="1">
        <v>40235</v>
      </c>
      <c r="E11">
        <v>33.141820000000003</v>
      </c>
    </row>
    <row r="12" spans="1:5" x14ac:dyDescent="0.35">
      <c r="A12" s="1">
        <v>40268</v>
      </c>
      <c r="B12">
        <v>17.59</v>
      </c>
      <c r="D12" s="1">
        <v>40268</v>
      </c>
      <c r="E12">
        <v>27.876359999999998</v>
      </c>
    </row>
    <row r="13" spans="1:5" x14ac:dyDescent="0.35">
      <c r="A13" s="1">
        <v>40298</v>
      </c>
      <c r="B13">
        <v>22.05</v>
      </c>
      <c r="D13" s="1">
        <v>40298</v>
      </c>
      <c r="E13">
        <v>38.34281</v>
      </c>
    </row>
    <row r="14" spans="1:5" x14ac:dyDescent="0.35">
      <c r="A14" s="1">
        <v>40329</v>
      </c>
      <c r="B14">
        <v>32.07</v>
      </c>
      <c r="D14" s="1">
        <v>40329</v>
      </c>
      <c r="E14">
        <v>42.291849999999997</v>
      </c>
    </row>
    <row r="15" spans="1:5" x14ac:dyDescent="0.35">
      <c r="A15" s="1">
        <v>40359</v>
      </c>
      <c r="B15">
        <v>34.54</v>
      </c>
      <c r="D15" s="1">
        <v>40359</v>
      </c>
      <c r="E15">
        <v>42.061239999999998</v>
      </c>
    </row>
    <row r="16" spans="1:5" x14ac:dyDescent="0.35">
      <c r="A16" s="1">
        <v>40389</v>
      </c>
      <c r="B16">
        <v>23.5</v>
      </c>
      <c r="D16" s="1">
        <v>40389</v>
      </c>
      <c r="E16">
        <v>35.439799999999998</v>
      </c>
    </row>
    <row r="17" spans="1:5" x14ac:dyDescent="0.35">
      <c r="A17" s="1">
        <v>40421</v>
      </c>
      <c r="B17">
        <v>26.05</v>
      </c>
      <c r="D17" s="1">
        <v>40421</v>
      </c>
      <c r="E17">
        <v>37.272030000000001</v>
      </c>
    </row>
    <row r="18" spans="1:5" x14ac:dyDescent="0.35">
      <c r="A18" s="1">
        <v>40451</v>
      </c>
      <c r="B18">
        <v>23.7</v>
      </c>
      <c r="D18" s="1">
        <v>40451</v>
      </c>
      <c r="E18">
        <v>35.565089999999998</v>
      </c>
    </row>
    <row r="19" spans="1:5" x14ac:dyDescent="0.35">
      <c r="A19" s="1">
        <v>40480</v>
      </c>
      <c r="B19">
        <v>21.2</v>
      </c>
      <c r="D19" s="1">
        <v>40480</v>
      </c>
      <c r="E19">
        <v>32.5473</v>
      </c>
    </row>
    <row r="20" spans="1:5" x14ac:dyDescent="0.35">
      <c r="A20" s="1">
        <v>40512</v>
      </c>
      <c r="B20">
        <v>23.54</v>
      </c>
      <c r="D20" s="1">
        <v>40512</v>
      </c>
      <c r="E20">
        <v>40.515819999999998</v>
      </c>
    </row>
    <row r="21" spans="1:5" x14ac:dyDescent="0.35">
      <c r="A21" s="1">
        <v>40543</v>
      </c>
      <c r="B21">
        <v>17.75</v>
      </c>
      <c r="D21" s="1">
        <v>40543</v>
      </c>
      <c r="E21">
        <v>31.72045</v>
      </c>
    </row>
    <row r="22" spans="1:5" x14ac:dyDescent="0.35">
      <c r="A22" s="1">
        <v>40574</v>
      </c>
      <c r="B22">
        <v>19.53</v>
      </c>
      <c r="D22" s="1">
        <v>40574</v>
      </c>
      <c r="E22">
        <v>31.13862</v>
      </c>
    </row>
    <row r="23" spans="1:5" x14ac:dyDescent="0.35">
      <c r="A23" s="1">
        <v>40602</v>
      </c>
      <c r="B23">
        <v>18.350000000000001</v>
      </c>
      <c r="D23" s="1">
        <v>40602</v>
      </c>
      <c r="E23">
        <v>31.327290000000001</v>
      </c>
    </row>
    <row r="24" spans="1:5" x14ac:dyDescent="0.35">
      <c r="A24" s="1">
        <v>40633</v>
      </c>
      <c r="B24">
        <v>17.739999999999998</v>
      </c>
      <c r="D24" s="1">
        <v>40633</v>
      </c>
      <c r="E24">
        <v>31.331520000000001</v>
      </c>
    </row>
    <row r="25" spans="1:5" x14ac:dyDescent="0.35">
      <c r="A25" s="1">
        <v>40662</v>
      </c>
      <c r="B25">
        <v>14.75</v>
      </c>
      <c r="D25" s="1">
        <v>40662</v>
      </c>
      <c r="E25">
        <v>27.39622</v>
      </c>
    </row>
    <row r="26" spans="1:5" x14ac:dyDescent="0.35">
      <c r="A26" s="1">
        <v>40694</v>
      </c>
      <c r="B26">
        <v>15.45</v>
      </c>
      <c r="D26" s="1">
        <v>40694</v>
      </c>
      <c r="E26">
        <v>29.241160000000001</v>
      </c>
    </row>
    <row r="27" spans="1:5" x14ac:dyDescent="0.35">
      <c r="A27" s="1">
        <v>40724</v>
      </c>
      <c r="B27">
        <v>16.52</v>
      </c>
      <c r="D27" s="1">
        <v>40724</v>
      </c>
      <c r="E27">
        <v>31.286750000000001</v>
      </c>
    </row>
    <row r="28" spans="1:5" x14ac:dyDescent="0.35">
      <c r="A28" s="1">
        <v>40753</v>
      </c>
      <c r="B28">
        <v>25.25</v>
      </c>
      <c r="D28" s="1">
        <v>40753</v>
      </c>
      <c r="E28">
        <v>39.728549999999998</v>
      </c>
    </row>
    <row r="29" spans="1:5" x14ac:dyDescent="0.35">
      <c r="A29" s="1">
        <v>40786</v>
      </c>
      <c r="B29">
        <v>31.62</v>
      </c>
      <c r="D29" s="1">
        <v>40786</v>
      </c>
      <c r="E29">
        <v>51.370930000000001</v>
      </c>
    </row>
    <row r="30" spans="1:5" x14ac:dyDescent="0.35">
      <c r="A30" s="1">
        <v>40816</v>
      </c>
      <c r="B30">
        <v>42.96</v>
      </c>
      <c r="D30" s="1">
        <v>40816</v>
      </c>
      <c r="E30">
        <v>62.779389999999999</v>
      </c>
    </row>
    <row r="31" spans="1:5" x14ac:dyDescent="0.35">
      <c r="A31" s="1">
        <v>40847</v>
      </c>
      <c r="B31">
        <v>29.96</v>
      </c>
      <c r="D31" s="1">
        <v>40847</v>
      </c>
      <c r="E31">
        <v>48.978070000000002</v>
      </c>
    </row>
    <row r="32" spans="1:5" x14ac:dyDescent="0.35">
      <c r="A32" s="1">
        <v>40877</v>
      </c>
      <c r="B32">
        <v>27.8</v>
      </c>
      <c r="D32" s="1">
        <v>40877</v>
      </c>
      <c r="E32">
        <v>49.869079999999997</v>
      </c>
    </row>
    <row r="33" spans="1:5" x14ac:dyDescent="0.35">
      <c r="A33" s="1">
        <v>40907</v>
      </c>
      <c r="B33">
        <v>23.4</v>
      </c>
      <c r="D33" s="1">
        <v>40907</v>
      </c>
      <c r="E33">
        <v>41.6721</v>
      </c>
    </row>
    <row r="34" spans="1:5" x14ac:dyDescent="0.35">
      <c r="A34" s="1">
        <v>40939</v>
      </c>
      <c r="B34">
        <v>19.440000000000001</v>
      </c>
      <c r="D34" s="1">
        <v>40939</v>
      </c>
      <c r="E34">
        <v>34.387320000000003</v>
      </c>
    </row>
    <row r="35" spans="1:5" x14ac:dyDescent="0.35">
      <c r="A35" s="1">
        <v>40968</v>
      </c>
      <c r="B35">
        <v>18.43</v>
      </c>
      <c r="D35" s="1">
        <v>40968</v>
      </c>
      <c r="E35">
        <v>31.961829999999999</v>
      </c>
    </row>
    <row r="36" spans="1:5" x14ac:dyDescent="0.35">
      <c r="A36" s="1">
        <v>40998</v>
      </c>
      <c r="B36">
        <v>15.5</v>
      </c>
      <c r="D36" s="1">
        <v>40998</v>
      </c>
      <c r="E36">
        <v>30.058730000000001</v>
      </c>
    </row>
    <row r="37" spans="1:5" x14ac:dyDescent="0.35">
      <c r="A37" s="1">
        <v>41029</v>
      </c>
      <c r="B37">
        <v>17.149999999999999</v>
      </c>
      <c r="D37" s="1">
        <v>41029</v>
      </c>
      <c r="E37">
        <v>35.65361</v>
      </c>
    </row>
    <row r="38" spans="1:5" x14ac:dyDescent="0.35">
      <c r="A38" s="1">
        <v>41060</v>
      </c>
      <c r="B38">
        <v>24.06</v>
      </c>
      <c r="D38" s="1">
        <v>41060</v>
      </c>
      <c r="E38">
        <v>43.20946</v>
      </c>
    </row>
    <row r="39" spans="1:5" x14ac:dyDescent="0.35">
      <c r="A39" s="1">
        <v>41089</v>
      </c>
      <c r="B39">
        <v>17.079999999999998</v>
      </c>
      <c r="D39" s="1">
        <v>41089</v>
      </c>
      <c r="E39">
        <v>31.559560000000001</v>
      </c>
    </row>
    <row r="40" spans="1:5" x14ac:dyDescent="0.35">
      <c r="A40" s="1">
        <v>41121</v>
      </c>
      <c r="B40">
        <v>18.93</v>
      </c>
      <c r="D40" s="1">
        <v>41121</v>
      </c>
      <c r="E40">
        <v>34.46763</v>
      </c>
    </row>
    <row r="41" spans="1:5" x14ac:dyDescent="0.35">
      <c r="A41" s="1">
        <v>41152</v>
      </c>
      <c r="B41">
        <v>17.47</v>
      </c>
      <c r="D41" s="1">
        <v>41152</v>
      </c>
      <c r="E41">
        <v>32.31174</v>
      </c>
    </row>
    <row r="42" spans="1:5" x14ac:dyDescent="0.35">
      <c r="A42" s="1">
        <v>41180</v>
      </c>
      <c r="B42">
        <v>15.73</v>
      </c>
      <c r="D42" s="1">
        <v>41180</v>
      </c>
      <c r="E42">
        <v>30.108720000000002</v>
      </c>
    </row>
    <row r="43" spans="1:5" x14ac:dyDescent="0.35">
      <c r="A43" s="1">
        <v>41213</v>
      </c>
      <c r="B43">
        <v>18.600000000000001</v>
      </c>
      <c r="D43" s="1">
        <v>41213</v>
      </c>
      <c r="E43">
        <v>28.809349999999998</v>
      </c>
    </row>
    <row r="44" spans="1:5" x14ac:dyDescent="0.35">
      <c r="A44" s="1">
        <v>41243</v>
      </c>
      <c r="B44">
        <v>15.87</v>
      </c>
      <c r="D44" s="1">
        <v>41243</v>
      </c>
      <c r="E44">
        <v>21.524550000000001</v>
      </c>
    </row>
    <row r="45" spans="1:5" x14ac:dyDescent="0.35">
      <c r="A45" s="1">
        <v>41274</v>
      </c>
      <c r="B45">
        <v>18.02</v>
      </c>
      <c r="D45" s="1">
        <v>41274</v>
      </c>
      <c r="E45">
        <v>28.233470000000001</v>
      </c>
    </row>
    <row r="46" spans="1:5" x14ac:dyDescent="0.35">
      <c r="A46" s="1">
        <v>41305</v>
      </c>
      <c r="B46">
        <v>14.28</v>
      </c>
      <c r="D46" s="1">
        <v>41305</v>
      </c>
      <c r="E46">
        <v>22.603100000000001</v>
      </c>
    </row>
    <row r="47" spans="1:5" x14ac:dyDescent="0.35">
      <c r="A47" s="1">
        <v>41333</v>
      </c>
      <c r="B47">
        <v>15.51</v>
      </c>
      <c r="D47" s="1">
        <v>41333</v>
      </c>
      <c r="E47">
        <v>27.480319999999999</v>
      </c>
    </row>
    <row r="48" spans="1:5" x14ac:dyDescent="0.35">
      <c r="A48" s="1">
        <v>41362</v>
      </c>
      <c r="B48">
        <v>12.7</v>
      </c>
      <c r="D48" s="1">
        <v>41362</v>
      </c>
      <c r="E48">
        <v>26.790800000000001</v>
      </c>
    </row>
    <row r="49" spans="1:5" x14ac:dyDescent="0.35">
      <c r="A49" s="1">
        <v>41394</v>
      </c>
      <c r="B49">
        <v>13.52</v>
      </c>
      <c r="D49" s="1">
        <v>41394</v>
      </c>
      <c r="E49">
        <v>26.659420000000001</v>
      </c>
    </row>
    <row r="50" spans="1:5" x14ac:dyDescent="0.35">
      <c r="A50" s="1">
        <v>41425</v>
      </c>
      <c r="B50">
        <v>16.3</v>
      </c>
      <c r="D50" s="1">
        <v>41425</v>
      </c>
      <c r="E50">
        <v>25.429390000000001</v>
      </c>
    </row>
    <row r="51" spans="1:5" x14ac:dyDescent="0.35">
      <c r="A51" s="1">
        <v>41453</v>
      </c>
      <c r="B51">
        <v>16.86</v>
      </c>
      <c r="D51" s="1">
        <v>41453</v>
      </c>
      <c r="E51">
        <v>28.373660000000001</v>
      </c>
    </row>
    <row r="52" spans="1:5" x14ac:dyDescent="0.35">
      <c r="A52" s="1">
        <v>41486</v>
      </c>
      <c r="B52">
        <v>13.45</v>
      </c>
      <c r="D52" s="1">
        <v>41486</v>
      </c>
      <c r="E52">
        <v>25.309899999999999</v>
      </c>
    </row>
    <row r="53" spans="1:5" x14ac:dyDescent="0.35">
      <c r="A53" s="1">
        <v>41516</v>
      </c>
      <c r="B53">
        <v>17.010000000000002</v>
      </c>
      <c r="D53" s="1">
        <v>41516</v>
      </c>
      <c r="E53">
        <v>31.001010000000001</v>
      </c>
    </row>
    <row r="54" spans="1:5" x14ac:dyDescent="0.35">
      <c r="A54" s="1">
        <v>41547</v>
      </c>
      <c r="B54">
        <v>16.600000000000001</v>
      </c>
      <c r="D54" s="1">
        <v>41547</v>
      </c>
      <c r="E54">
        <v>26.318200000000001</v>
      </c>
    </row>
    <row r="55" spans="1:5" x14ac:dyDescent="0.35">
      <c r="A55" s="1">
        <v>41578</v>
      </c>
      <c r="B55">
        <v>13.75</v>
      </c>
      <c r="D55" s="1">
        <v>41578</v>
      </c>
      <c r="E55">
        <v>21.606089999999998</v>
      </c>
    </row>
    <row r="56" spans="1:5" x14ac:dyDescent="0.35">
      <c r="A56" s="1">
        <v>41607</v>
      </c>
      <c r="B56">
        <v>13.7</v>
      </c>
      <c r="D56" s="1">
        <v>41607</v>
      </c>
      <c r="E56">
        <v>19.903759999999998</v>
      </c>
    </row>
    <row r="57" spans="1:5" x14ac:dyDescent="0.35">
      <c r="A57" s="1">
        <v>41639</v>
      </c>
      <c r="B57">
        <v>13.72</v>
      </c>
      <c r="D57" s="1">
        <v>41639</v>
      </c>
      <c r="E57">
        <v>23.81176</v>
      </c>
    </row>
    <row r="58" spans="1:5" x14ac:dyDescent="0.35">
      <c r="A58" s="1">
        <v>41670</v>
      </c>
      <c r="B58">
        <v>18.41</v>
      </c>
      <c r="D58" s="1">
        <v>41670</v>
      </c>
      <c r="E58">
        <v>29.466290000000001</v>
      </c>
    </row>
    <row r="59" spans="1:5" x14ac:dyDescent="0.35">
      <c r="A59" s="1">
        <v>41698</v>
      </c>
      <c r="B59">
        <v>14</v>
      </c>
      <c r="D59" s="1">
        <v>41698</v>
      </c>
      <c r="E59">
        <v>23.15146</v>
      </c>
    </row>
    <row r="60" spans="1:5" x14ac:dyDescent="0.35">
      <c r="A60" s="1">
        <v>41729</v>
      </c>
      <c r="B60">
        <v>13.88</v>
      </c>
      <c r="D60" s="1">
        <v>41729</v>
      </c>
      <c r="E60">
        <v>24.326720000000002</v>
      </c>
    </row>
    <row r="61" spans="1:5" x14ac:dyDescent="0.35">
      <c r="A61" s="1">
        <v>41759</v>
      </c>
      <c r="B61">
        <v>13.41</v>
      </c>
      <c r="D61" s="1">
        <v>41759</v>
      </c>
      <c r="E61">
        <v>23.671060000000001</v>
      </c>
    </row>
    <row r="62" spans="1:5" x14ac:dyDescent="0.35">
      <c r="A62" s="1">
        <v>41789</v>
      </c>
      <c r="B62">
        <v>11.4</v>
      </c>
      <c r="D62" s="1">
        <v>41789</v>
      </c>
      <c r="E62">
        <v>21.531639999999999</v>
      </c>
    </row>
    <row r="63" spans="1:5" x14ac:dyDescent="0.35">
      <c r="A63" s="1">
        <v>41820</v>
      </c>
      <c r="B63">
        <v>11.57</v>
      </c>
      <c r="D63" s="1">
        <v>41820</v>
      </c>
      <c r="E63">
        <v>20.90326</v>
      </c>
    </row>
    <row r="64" spans="1:5" x14ac:dyDescent="0.35">
      <c r="A64" s="1">
        <v>41851</v>
      </c>
      <c r="B64">
        <v>16.95</v>
      </c>
      <c r="D64" s="1">
        <v>41851</v>
      </c>
      <c r="E64">
        <v>25.594930000000002</v>
      </c>
    </row>
    <row r="65" spans="1:5" x14ac:dyDescent="0.35">
      <c r="A65" s="1">
        <v>41880</v>
      </c>
      <c r="B65">
        <v>11.98</v>
      </c>
      <c r="D65" s="1">
        <v>41880</v>
      </c>
      <c r="E65">
        <v>22.59468</v>
      </c>
    </row>
    <row r="66" spans="1:5" x14ac:dyDescent="0.35">
      <c r="A66" s="1">
        <v>41912</v>
      </c>
      <c r="B66">
        <v>16.309999999999999</v>
      </c>
      <c r="D66" s="1">
        <v>41912</v>
      </c>
      <c r="E66">
        <v>22.544530000000002</v>
      </c>
    </row>
    <row r="67" spans="1:5" x14ac:dyDescent="0.35">
      <c r="A67" s="1">
        <v>41943</v>
      </c>
      <c r="B67">
        <v>14.03</v>
      </c>
      <c r="D67" s="1">
        <v>41943</v>
      </c>
      <c r="E67">
        <v>25.459479999999999</v>
      </c>
    </row>
    <row r="68" spans="1:5" x14ac:dyDescent="0.35">
      <c r="A68" s="1">
        <v>41971</v>
      </c>
      <c r="B68">
        <v>13.33</v>
      </c>
      <c r="D68" s="1">
        <v>41971</v>
      </c>
      <c r="E68">
        <v>22.414459999999998</v>
      </c>
    </row>
    <row r="69" spans="1:5" x14ac:dyDescent="0.35">
      <c r="A69" s="1">
        <v>42004</v>
      </c>
      <c r="B69">
        <v>19.2</v>
      </c>
      <c r="D69" s="1">
        <v>42004</v>
      </c>
      <c r="E69">
        <v>31.836269999999999</v>
      </c>
    </row>
    <row r="70" spans="1:5" x14ac:dyDescent="0.35">
      <c r="A70" s="1">
        <v>42034</v>
      </c>
      <c r="B70">
        <v>20.97</v>
      </c>
      <c r="D70" s="1">
        <v>42034</v>
      </c>
      <c r="E70">
        <v>27.916350000000001</v>
      </c>
    </row>
    <row r="71" spans="1:5" x14ac:dyDescent="0.35">
      <c r="A71" s="1">
        <v>42062</v>
      </c>
      <c r="B71">
        <v>13.34</v>
      </c>
      <c r="D71" s="1">
        <v>42062</v>
      </c>
      <c r="E71">
        <v>19.87426</v>
      </c>
    </row>
    <row r="72" spans="1:5" x14ac:dyDescent="0.35">
      <c r="A72" s="1">
        <v>42094</v>
      </c>
      <c r="B72">
        <v>15.29</v>
      </c>
      <c r="D72" s="1">
        <v>42094</v>
      </c>
      <c r="E72">
        <v>22.636510000000001</v>
      </c>
    </row>
    <row r="73" spans="1:5" x14ac:dyDescent="0.35">
      <c r="A73" s="1">
        <v>42124</v>
      </c>
      <c r="B73">
        <v>14.55</v>
      </c>
      <c r="D73" s="1">
        <v>42124</v>
      </c>
      <c r="E73">
        <v>27.152229999999999</v>
      </c>
    </row>
    <row r="74" spans="1:5" x14ac:dyDescent="0.35">
      <c r="A74" s="1">
        <v>42153</v>
      </c>
      <c r="B74">
        <v>13.84</v>
      </c>
      <c r="D74" s="1">
        <v>42153</v>
      </c>
      <c r="E74">
        <v>25.82891</v>
      </c>
    </row>
    <row r="75" spans="1:5" x14ac:dyDescent="0.35">
      <c r="A75" s="1">
        <v>42185</v>
      </c>
      <c r="B75">
        <v>18.23</v>
      </c>
      <c r="D75" s="1">
        <v>42185</v>
      </c>
      <c r="E75">
        <v>36.032110000000003</v>
      </c>
    </row>
    <row r="76" spans="1:5" x14ac:dyDescent="0.35">
      <c r="A76" s="1">
        <v>42216</v>
      </c>
      <c r="B76">
        <v>12.12</v>
      </c>
      <c r="D76" s="1">
        <v>42216</v>
      </c>
      <c r="E76">
        <v>21.222370000000002</v>
      </c>
    </row>
    <row r="77" spans="1:5" x14ac:dyDescent="0.35">
      <c r="A77" s="1">
        <v>42247</v>
      </c>
      <c r="B77">
        <v>28.43</v>
      </c>
      <c r="D77" s="1">
        <v>42247</v>
      </c>
      <c r="E77">
        <v>34.812840000000001</v>
      </c>
    </row>
    <row r="78" spans="1:5" x14ac:dyDescent="0.35">
      <c r="A78" s="1">
        <v>42277</v>
      </c>
      <c r="B78">
        <v>24.5</v>
      </c>
      <c r="D78" s="1">
        <v>42277</v>
      </c>
      <c r="E78">
        <v>35.833730000000003</v>
      </c>
    </row>
    <row r="79" spans="1:5" x14ac:dyDescent="0.35">
      <c r="A79" s="1">
        <v>42307</v>
      </c>
      <c r="B79">
        <v>15.07</v>
      </c>
      <c r="D79" s="1">
        <v>42307</v>
      </c>
      <c r="E79">
        <v>22.42923</v>
      </c>
    </row>
    <row r="80" spans="1:5" x14ac:dyDescent="0.35">
      <c r="A80" s="1">
        <v>42338</v>
      </c>
      <c r="B80">
        <v>16.13</v>
      </c>
      <c r="D80" s="1">
        <v>42338</v>
      </c>
      <c r="E80">
        <v>24.974720000000001</v>
      </c>
    </row>
    <row r="81" spans="1:5" x14ac:dyDescent="0.35">
      <c r="A81" s="1">
        <v>42369</v>
      </c>
      <c r="B81">
        <v>18.21</v>
      </c>
      <c r="D81" s="1">
        <v>42369</v>
      </c>
      <c r="E81">
        <v>24.7791</v>
      </c>
    </row>
    <row r="82" spans="1:5" x14ac:dyDescent="0.35">
      <c r="A82" s="1">
        <v>42398</v>
      </c>
      <c r="B82">
        <v>20.2</v>
      </c>
      <c r="D82" s="1">
        <v>42398</v>
      </c>
      <c r="E82">
        <v>29.697890000000001</v>
      </c>
    </row>
    <row r="83" spans="1:5" x14ac:dyDescent="0.35">
      <c r="A83" s="1">
        <v>42429</v>
      </c>
      <c r="B83">
        <v>20.55</v>
      </c>
      <c r="D83" s="1">
        <v>42429</v>
      </c>
      <c r="E83">
        <v>32.331159999999997</v>
      </c>
    </row>
    <row r="84" spans="1:5" x14ac:dyDescent="0.35">
      <c r="A84" s="1">
        <v>42460</v>
      </c>
      <c r="B84">
        <v>13.95</v>
      </c>
      <c r="D84" s="1">
        <v>42460</v>
      </c>
      <c r="E84">
        <v>26.686969999999999</v>
      </c>
    </row>
    <row r="85" spans="1:5" x14ac:dyDescent="0.35">
      <c r="A85" s="1">
        <v>42489</v>
      </c>
      <c r="B85">
        <v>15.7</v>
      </c>
      <c r="D85" s="1">
        <v>42489</v>
      </c>
      <c r="E85">
        <v>27.493749999999999</v>
      </c>
    </row>
    <row r="86" spans="1:5" x14ac:dyDescent="0.35">
      <c r="A86" s="1">
        <v>42521</v>
      </c>
      <c r="B86">
        <v>14.19</v>
      </c>
      <c r="D86" s="1">
        <v>42521</v>
      </c>
      <c r="E86">
        <v>24.633790000000001</v>
      </c>
    </row>
    <row r="87" spans="1:5" x14ac:dyDescent="0.35">
      <c r="A87" s="1">
        <v>42551</v>
      </c>
      <c r="B87">
        <v>15.63</v>
      </c>
      <c r="D87" s="1">
        <v>42551</v>
      </c>
      <c r="E87">
        <v>28.874510000000001</v>
      </c>
    </row>
    <row r="88" spans="1:5" x14ac:dyDescent="0.35">
      <c r="A88" s="1">
        <v>42580</v>
      </c>
      <c r="B88">
        <v>11.87</v>
      </c>
      <c r="D88" s="1">
        <v>42580</v>
      </c>
      <c r="E88">
        <v>22.58746</v>
      </c>
    </row>
    <row r="89" spans="1:5" x14ac:dyDescent="0.35">
      <c r="A89" s="1">
        <v>42613</v>
      </c>
      <c r="B89">
        <v>13.42</v>
      </c>
      <c r="D89" s="1">
        <v>42613</v>
      </c>
      <c r="E89">
        <v>21.665040000000001</v>
      </c>
    </row>
    <row r="90" spans="1:5" x14ac:dyDescent="0.35">
      <c r="A90" s="1">
        <v>42643</v>
      </c>
      <c r="B90">
        <v>13.29</v>
      </c>
      <c r="D90" s="1">
        <v>42643</v>
      </c>
      <c r="E90">
        <v>22.19697</v>
      </c>
    </row>
    <row r="91" spans="1:5" x14ac:dyDescent="0.35">
      <c r="A91" s="1">
        <v>42674</v>
      </c>
      <c r="B91">
        <v>17.059999999999999</v>
      </c>
      <c r="D91" s="1">
        <v>42674</v>
      </c>
      <c r="E91">
        <v>23.51004</v>
      </c>
    </row>
    <row r="92" spans="1:5" x14ac:dyDescent="0.35">
      <c r="A92" s="1">
        <v>42704</v>
      </c>
      <c r="B92">
        <v>13.33</v>
      </c>
      <c r="D92" s="1">
        <v>42704</v>
      </c>
      <c r="E92">
        <v>22.72129</v>
      </c>
    </row>
    <row r="93" spans="1:5" x14ac:dyDescent="0.35">
      <c r="A93" s="1">
        <v>42734</v>
      </c>
      <c r="B93">
        <v>14.04</v>
      </c>
      <c r="D93" s="1">
        <v>42734</v>
      </c>
      <c r="E93">
        <v>19.114329999999999</v>
      </c>
    </row>
    <row r="94" spans="1:5" x14ac:dyDescent="0.35">
      <c r="A94" s="1">
        <v>42766</v>
      </c>
      <c r="B94">
        <v>11.99</v>
      </c>
      <c r="D94" s="1">
        <v>42766</v>
      </c>
      <c r="E94">
        <v>18.729869999999998</v>
      </c>
    </row>
    <row r="95" spans="1:5" x14ac:dyDescent="0.35">
      <c r="A95" s="1">
        <v>42794</v>
      </c>
      <c r="B95">
        <v>12.92</v>
      </c>
      <c r="D95" s="1">
        <v>42794</v>
      </c>
      <c r="E95">
        <v>17.275020000000001</v>
      </c>
    </row>
    <row r="96" spans="1:5" x14ac:dyDescent="0.35">
      <c r="A96" s="1">
        <v>42825</v>
      </c>
      <c r="B96">
        <v>12.37</v>
      </c>
      <c r="D96" s="1">
        <v>42825</v>
      </c>
      <c r="E96">
        <v>17.673690000000001</v>
      </c>
    </row>
    <row r="97" spans="1:5" x14ac:dyDescent="0.35">
      <c r="A97" s="1">
        <v>42853</v>
      </c>
      <c r="B97">
        <v>10.82</v>
      </c>
      <c r="D97" s="1">
        <v>42853</v>
      </c>
      <c r="E97">
        <v>18.585660000000001</v>
      </c>
    </row>
    <row r="98" spans="1:5" x14ac:dyDescent="0.35">
      <c r="A98" s="1">
        <v>42886</v>
      </c>
      <c r="B98">
        <v>10.41</v>
      </c>
      <c r="D98" s="1">
        <v>42886</v>
      </c>
      <c r="E98">
        <v>16.354109999999999</v>
      </c>
    </row>
    <row r="99" spans="1:5" x14ac:dyDescent="0.35">
      <c r="A99" s="1">
        <v>42916</v>
      </c>
      <c r="B99">
        <v>11.18</v>
      </c>
      <c r="D99" s="1">
        <v>42916</v>
      </c>
      <c r="E99">
        <v>19.691189999999999</v>
      </c>
    </row>
    <row r="100" spans="1:5" x14ac:dyDescent="0.35">
      <c r="A100" s="1">
        <v>42947</v>
      </c>
      <c r="B100">
        <v>10.26</v>
      </c>
      <c r="D100" s="1">
        <v>42947</v>
      </c>
      <c r="E100">
        <v>16.421189999999999</v>
      </c>
    </row>
    <row r="101" spans="1:5" x14ac:dyDescent="0.35">
      <c r="A101" s="1">
        <v>42978</v>
      </c>
      <c r="B101">
        <v>10.59</v>
      </c>
      <c r="D101" s="1">
        <v>42978</v>
      </c>
      <c r="E101">
        <v>18.572019999999998</v>
      </c>
    </row>
    <row r="102" spans="1:5" x14ac:dyDescent="0.35">
      <c r="A102" s="1">
        <v>43007</v>
      </c>
      <c r="B102">
        <v>9.51</v>
      </c>
      <c r="D102" s="1">
        <v>43007</v>
      </c>
      <c r="E102">
        <v>14.306179999999999</v>
      </c>
    </row>
    <row r="103" spans="1:5" x14ac:dyDescent="0.35">
      <c r="A103" s="1">
        <v>43039</v>
      </c>
      <c r="B103">
        <v>10.18</v>
      </c>
      <c r="D103" s="1">
        <v>43039</v>
      </c>
      <c r="E103">
        <v>13.96176</v>
      </c>
    </row>
    <row r="104" spans="1:5" x14ac:dyDescent="0.35">
      <c r="A104" s="1">
        <v>43069</v>
      </c>
      <c r="B104">
        <v>11.28</v>
      </c>
      <c r="D104" s="1">
        <v>43069</v>
      </c>
      <c r="E104">
        <v>16.018129999999999</v>
      </c>
    </row>
    <row r="105" spans="1:5" x14ac:dyDescent="0.35">
      <c r="A105" s="1">
        <v>43098</v>
      </c>
      <c r="B105">
        <v>11.04</v>
      </c>
      <c r="D105" s="1">
        <v>43098</v>
      </c>
      <c r="E105">
        <v>16.243410000000001</v>
      </c>
    </row>
    <row r="106" spans="1:5" x14ac:dyDescent="0.35">
      <c r="A106" s="1">
        <v>43131</v>
      </c>
      <c r="B106">
        <v>13.54</v>
      </c>
      <c r="D106" s="1">
        <v>43131</v>
      </c>
      <c r="E106">
        <v>18.826599999999999</v>
      </c>
    </row>
    <row r="107" spans="1:5" x14ac:dyDescent="0.35">
      <c r="A107" s="1">
        <v>43159</v>
      </c>
      <c r="B107">
        <v>19.850000000000001</v>
      </c>
      <c r="D107" s="1">
        <v>43159</v>
      </c>
      <c r="E107">
        <v>21.97644</v>
      </c>
    </row>
    <row r="108" spans="1:5" x14ac:dyDescent="0.35">
      <c r="A108" s="1">
        <v>43189</v>
      </c>
      <c r="B108">
        <v>19.97</v>
      </c>
      <c r="D108" s="1">
        <v>43189</v>
      </c>
      <c r="E108">
        <v>21.431080000000001</v>
      </c>
    </row>
    <row r="109" spans="1:5" x14ac:dyDescent="0.35">
      <c r="A109" s="1">
        <v>43220</v>
      </c>
      <c r="B109">
        <v>15.93</v>
      </c>
      <c r="D109" s="1">
        <v>43220</v>
      </c>
      <c r="E109">
        <v>16.597010000000001</v>
      </c>
    </row>
    <row r="110" spans="1:5" x14ac:dyDescent="0.35">
      <c r="A110" s="1">
        <v>43251</v>
      </c>
      <c r="B110">
        <v>15.43</v>
      </c>
      <c r="D110" s="1">
        <v>43251</v>
      </c>
      <c r="E110">
        <v>20.604800000000001</v>
      </c>
    </row>
    <row r="111" spans="1:5" x14ac:dyDescent="0.35">
      <c r="A111" s="1">
        <v>43280</v>
      </c>
      <c r="B111">
        <v>16.09</v>
      </c>
      <c r="D111" s="1">
        <v>43280</v>
      </c>
      <c r="E111">
        <v>19.422699999999999</v>
      </c>
    </row>
    <row r="112" spans="1:5" x14ac:dyDescent="0.35">
      <c r="A112" s="1">
        <v>43312</v>
      </c>
      <c r="B112">
        <v>12.83</v>
      </c>
      <c r="D112" s="1">
        <v>43312</v>
      </c>
      <c r="E112">
        <v>14.70101</v>
      </c>
    </row>
    <row r="113" spans="1:5" x14ac:dyDescent="0.35">
      <c r="A113" s="1">
        <v>43343</v>
      </c>
      <c r="B113">
        <v>12.86</v>
      </c>
      <c r="D113" s="1">
        <v>43343</v>
      </c>
      <c r="E113">
        <v>18.127970000000001</v>
      </c>
    </row>
    <row r="114" spans="1:5" x14ac:dyDescent="0.35">
      <c r="A114" s="1">
        <v>43371</v>
      </c>
      <c r="B114">
        <v>12.12</v>
      </c>
      <c r="D114" s="1">
        <v>43371</v>
      </c>
      <c r="E114">
        <v>17.146560000000001</v>
      </c>
    </row>
    <row r="115" spans="1:5" x14ac:dyDescent="0.35">
      <c r="A115" s="1">
        <v>43404</v>
      </c>
      <c r="B115">
        <v>21.23</v>
      </c>
      <c r="D115" s="1">
        <v>43404</v>
      </c>
      <c r="E115">
        <v>22.955480000000001</v>
      </c>
    </row>
    <row r="116" spans="1:5" x14ac:dyDescent="0.35">
      <c r="A116" s="1">
        <v>43434</v>
      </c>
      <c r="B116">
        <v>18.07</v>
      </c>
      <c r="D116" s="1">
        <v>43434</v>
      </c>
      <c r="E116">
        <v>20.9254</v>
      </c>
    </row>
    <row r="117" spans="1:5" x14ac:dyDescent="0.35">
      <c r="A117" s="1">
        <v>43465</v>
      </c>
      <c r="B117">
        <v>25.42</v>
      </c>
      <c r="D117" s="1">
        <v>43465</v>
      </c>
      <c r="E117">
        <v>27.303149999999999</v>
      </c>
    </row>
    <row r="118" spans="1:5" x14ac:dyDescent="0.35">
      <c r="A118" s="1">
        <v>43496</v>
      </c>
      <c r="B118">
        <v>16.57</v>
      </c>
      <c r="D118" s="1">
        <v>43496</v>
      </c>
      <c r="E118">
        <v>17.303930000000001</v>
      </c>
    </row>
    <row r="119" spans="1:5" x14ac:dyDescent="0.35">
      <c r="A119" s="1">
        <v>43524</v>
      </c>
      <c r="B119">
        <v>14.78</v>
      </c>
      <c r="D119" s="1">
        <v>43524</v>
      </c>
      <c r="E119">
        <v>15.46541</v>
      </c>
    </row>
    <row r="120" spans="1:5" x14ac:dyDescent="0.35">
      <c r="A120" s="1">
        <v>43553</v>
      </c>
      <c r="B120">
        <v>13.71</v>
      </c>
      <c r="D120" s="1">
        <v>43553</v>
      </c>
      <c r="E120">
        <v>17.139849999999999</v>
      </c>
    </row>
    <row r="121" spans="1:5" x14ac:dyDescent="0.35">
      <c r="A121" s="1">
        <v>43585</v>
      </c>
      <c r="B121">
        <v>13.12</v>
      </c>
      <c r="D121" s="1">
        <v>43585</v>
      </c>
      <c r="E121">
        <v>14.876429999999999</v>
      </c>
    </row>
    <row r="122" spans="1:5" x14ac:dyDescent="0.35">
      <c r="A122" s="1">
        <v>43616</v>
      </c>
      <c r="B122">
        <v>18.71</v>
      </c>
      <c r="D122" s="1">
        <v>43616</v>
      </c>
      <c r="E122">
        <v>19.446210000000001</v>
      </c>
    </row>
    <row r="123" spans="1:5" x14ac:dyDescent="0.35">
      <c r="A123" s="1">
        <v>43644</v>
      </c>
      <c r="B123">
        <v>15.08</v>
      </c>
      <c r="D123" s="1">
        <v>43644</v>
      </c>
      <c r="E123">
        <v>15.600680000000001</v>
      </c>
    </row>
    <row r="124" spans="1:5" x14ac:dyDescent="0.35">
      <c r="A124" s="1">
        <v>43677</v>
      </c>
      <c r="B124">
        <v>16.12</v>
      </c>
      <c r="D124" s="1">
        <v>43677</v>
      </c>
      <c r="E124">
        <v>16.014189999999999</v>
      </c>
    </row>
    <row r="125" spans="1:5" x14ac:dyDescent="0.35">
      <c r="A125" s="1">
        <v>43707</v>
      </c>
      <c r="B125">
        <v>18.98</v>
      </c>
      <c r="D125" s="1">
        <v>43707</v>
      </c>
      <c r="E125">
        <v>19.413709999999998</v>
      </c>
    </row>
    <row r="126" spans="1:5" x14ac:dyDescent="0.35">
      <c r="A126" s="1">
        <v>43738</v>
      </c>
      <c r="B126">
        <v>16.239999999999998</v>
      </c>
      <c r="D126" s="1">
        <v>43738</v>
      </c>
      <c r="E126">
        <v>17.257490000000001</v>
      </c>
    </row>
    <row r="127" spans="1:5" x14ac:dyDescent="0.35">
      <c r="A127" s="1">
        <v>43769</v>
      </c>
      <c r="B127">
        <v>13.22</v>
      </c>
      <c r="D127" s="1">
        <v>43769</v>
      </c>
      <c r="E127">
        <v>15.372450000000001</v>
      </c>
    </row>
    <row r="128" spans="1:5" x14ac:dyDescent="0.35">
      <c r="A128" s="1">
        <v>43798</v>
      </c>
      <c r="B128">
        <v>12.62</v>
      </c>
      <c r="D128" s="1">
        <v>43798</v>
      </c>
      <c r="E128">
        <v>14.51248</v>
      </c>
    </row>
    <row r="129" spans="1:5" x14ac:dyDescent="0.35">
      <c r="A129" s="1">
        <v>43830</v>
      </c>
      <c r="B129">
        <v>13.78</v>
      </c>
      <c r="D129" s="1">
        <v>43830</v>
      </c>
      <c r="E129">
        <v>15.644729999999999</v>
      </c>
    </row>
    <row r="130" spans="1:5" x14ac:dyDescent="0.35">
      <c r="A130" s="1">
        <v>43861</v>
      </c>
      <c r="B130">
        <v>18.84</v>
      </c>
      <c r="D130" s="1">
        <v>43861</v>
      </c>
      <c r="E130">
        <v>19.012</v>
      </c>
    </row>
    <row r="131" spans="1:5" x14ac:dyDescent="0.35">
      <c r="A131" s="1">
        <v>43889</v>
      </c>
      <c r="B131">
        <v>40.11</v>
      </c>
      <c r="D131" s="1">
        <v>43889</v>
      </c>
      <c r="E131">
        <v>46.46481</v>
      </c>
    </row>
    <row r="132" spans="1:5" x14ac:dyDescent="0.35">
      <c r="A132" s="1">
        <v>43921</v>
      </c>
      <c r="B132">
        <v>53.54</v>
      </c>
      <c r="D132" s="1">
        <v>43921</v>
      </c>
      <c r="E132">
        <v>53.310940000000002</v>
      </c>
    </row>
    <row r="133" spans="1:5" x14ac:dyDescent="0.35">
      <c r="A133" s="1">
        <v>43951</v>
      </c>
      <c r="B133">
        <v>34.15</v>
      </c>
      <c r="D133" s="1">
        <v>43951</v>
      </c>
      <c r="E133">
        <v>37.087910000000001</v>
      </c>
    </row>
    <row r="134" spans="1:5" x14ac:dyDescent="0.35">
      <c r="A134" s="1">
        <v>43980</v>
      </c>
      <c r="B134">
        <v>27.51</v>
      </c>
      <c r="D134" s="1">
        <v>43980</v>
      </c>
      <c r="E134">
        <v>34.543970000000002</v>
      </c>
    </row>
    <row r="135" spans="1:5" x14ac:dyDescent="0.35">
      <c r="A135" s="1">
        <v>44012</v>
      </c>
      <c r="B135">
        <v>30.43</v>
      </c>
      <c r="D135" s="1">
        <v>44012</v>
      </c>
      <c r="E135">
        <v>35.660429999999998</v>
      </c>
    </row>
    <row r="136" spans="1:5" x14ac:dyDescent="0.35">
      <c r="A136" s="1">
        <v>44043</v>
      </c>
      <c r="B136">
        <v>24.46</v>
      </c>
      <c r="D136" s="1">
        <v>44043</v>
      </c>
      <c r="E136">
        <v>31.437750000000001</v>
      </c>
    </row>
    <row r="137" spans="1:5" x14ac:dyDescent="0.35">
      <c r="A137" s="1">
        <v>44074</v>
      </c>
      <c r="B137">
        <v>26.41</v>
      </c>
      <c r="D137" s="1">
        <v>44074</v>
      </c>
      <c r="E137">
        <v>31.91592</v>
      </c>
    </row>
    <row r="138" spans="1:5" x14ac:dyDescent="0.35">
      <c r="A138" s="1">
        <v>44104</v>
      </c>
      <c r="B138">
        <v>26.37</v>
      </c>
      <c r="D138" s="1">
        <v>44104</v>
      </c>
      <c r="E138">
        <v>30.5473</v>
      </c>
    </row>
    <row r="139" spans="1:5" x14ac:dyDescent="0.35">
      <c r="A139" s="1">
        <v>44134</v>
      </c>
      <c r="B139">
        <v>38.020000000000003</v>
      </c>
      <c r="D139" s="1">
        <v>44134</v>
      </c>
      <c r="E139">
        <v>41.165349999999997</v>
      </c>
    </row>
    <row r="140" spans="1:5" x14ac:dyDescent="0.35">
      <c r="A140" s="1">
        <v>44165</v>
      </c>
      <c r="B140">
        <v>20.57</v>
      </c>
      <c r="D140" s="1">
        <v>44165</v>
      </c>
      <c r="E140">
        <v>27.392469999999999</v>
      </c>
    </row>
    <row r="141" spans="1:5" x14ac:dyDescent="0.35">
      <c r="A141" s="1">
        <v>44196</v>
      </c>
      <c r="B141">
        <v>22.75</v>
      </c>
      <c r="D141" s="1">
        <v>44196</v>
      </c>
      <c r="E141">
        <v>28.718160000000001</v>
      </c>
    </row>
    <row r="142" spans="1:5" x14ac:dyDescent="0.35">
      <c r="A142" s="1">
        <v>44225</v>
      </c>
      <c r="B142">
        <v>33.090000000000003</v>
      </c>
      <c r="D142" s="1">
        <v>44225</v>
      </c>
      <c r="E142">
        <v>35.192749999999997</v>
      </c>
    </row>
    <row r="143" spans="1:5" x14ac:dyDescent="0.35">
      <c r="A143" s="1">
        <v>44253</v>
      </c>
      <c r="B143">
        <v>27.95</v>
      </c>
      <c r="D143" s="1">
        <v>44253</v>
      </c>
      <c r="E143">
        <v>32.450749999999999</v>
      </c>
    </row>
    <row r="144" spans="1:5" x14ac:dyDescent="0.35">
      <c r="A144" s="1">
        <v>44286</v>
      </c>
      <c r="B144">
        <v>19.399999999999999</v>
      </c>
      <c r="D144" s="1">
        <v>44286</v>
      </c>
      <c r="E144">
        <v>21.119689999999999</v>
      </c>
    </row>
    <row r="145" spans="1:5" x14ac:dyDescent="0.35">
      <c r="A145" s="1">
        <v>44316</v>
      </c>
      <c r="B145">
        <v>18.61</v>
      </c>
      <c r="D145" s="1">
        <v>44316</v>
      </c>
      <c r="E145">
        <v>24.81278</v>
      </c>
    </row>
    <row r="146" spans="1:5" x14ac:dyDescent="0.35">
      <c r="A146" s="1">
        <v>44347</v>
      </c>
      <c r="B146">
        <v>16.760000000000002</v>
      </c>
      <c r="D146" s="1">
        <v>44347</v>
      </c>
      <c r="E146">
        <v>23.353159999999999</v>
      </c>
    </row>
    <row r="147" spans="1:5" x14ac:dyDescent="0.35">
      <c r="A147" s="1">
        <v>44377</v>
      </c>
      <c r="B147">
        <v>15.83</v>
      </c>
      <c r="D147" s="1">
        <v>44377</v>
      </c>
      <c r="E147">
        <v>21.54729</v>
      </c>
    </row>
    <row r="148" spans="1:5" x14ac:dyDescent="0.35">
      <c r="A148" s="1">
        <v>44407</v>
      </c>
      <c r="B148">
        <v>18.239999999999998</v>
      </c>
      <c r="D148" s="1">
        <v>44407</v>
      </c>
      <c r="E148">
        <v>24.831800000000001</v>
      </c>
    </row>
    <row r="149" spans="1:5" x14ac:dyDescent="0.35">
      <c r="A149" s="1">
        <v>44439</v>
      </c>
      <c r="B149">
        <v>16.48</v>
      </c>
      <c r="D149" s="1">
        <v>44439</v>
      </c>
      <c r="E149">
        <v>22.156310000000001</v>
      </c>
    </row>
    <row r="150" spans="1:5" x14ac:dyDescent="0.35">
      <c r="A150" s="1">
        <v>44469</v>
      </c>
      <c r="B150">
        <v>23.14</v>
      </c>
      <c r="D150" s="1">
        <v>44469</v>
      </c>
      <c r="E150">
        <v>26.89424</v>
      </c>
    </row>
    <row r="151" spans="1:5" x14ac:dyDescent="0.35">
      <c r="A151" s="1">
        <v>44498</v>
      </c>
      <c r="B151">
        <v>16.260000000000002</v>
      </c>
      <c r="D151" s="1">
        <v>44498</v>
      </c>
      <c r="E151">
        <v>20.327559999999998</v>
      </c>
    </row>
    <row r="152" spans="1:5" x14ac:dyDescent="0.35">
      <c r="A152" s="1">
        <v>44530</v>
      </c>
      <c r="B152">
        <v>27.19</v>
      </c>
      <c r="D152" s="1">
        <v>44530</v>
      </c>
      <c r="E152">
        <v>34.009799999999998</v>
      </c>
    </row>
    <row r="153" spans="1:5" x14ac:dyDescent="0.35">
      <c r="A153" s="1">
        <v>44561</v>
      </c>
      <c r="B153">
        <v>17.22</v>
      </c>
      <c r="D153" s="1">
        <v>44561</v>
      </c>
      <c r="E153">
        <v>21.801400000000001</v>
      </c>
    </row>
    <row r="154" spans="1:5" x14ac:dyDescent="0.35">
      <c r="A154" s="1">
        <v>44592</v>
      </c>
      <c r="B154">
        <v>24.83</v>
      </c>
      <c r="D154" s="1">
        <v>44592</v>
      </c>
      <c r="E154">
        <v>30.300719999999998</v>
      </c>
    </row>
    <row r="155" spans="1:5" x14ac:dyDescent="0.35">
      <c r="A155" s="1">
        <v>44620</v>
      </c>
      <c r="B155">
        <v>30.15</v>
      </c>
      <c r="D155" s="1">
        <v>44620</v>
      </c>
      <c r="E155">
        <v>39.545810000000003</v>
      </c>
    </row>
    <row r="156" spans="1:5" x14ac:dyDescent="0.35">
      <c r="A156" s="1">
        <v>44651</v>
      </c>
      <c r="B156">
        <v>20.56</v>
      </c>
      <c r="D156" s="1">
        <v>44651</v>
      </c>
      <c r="E156">
        <v>32.1265</v>
      </c>
    </row>
    <row r="157" spans="1:5" x14ac:dyDescent="0.35">
      <c r="A157" s="1">
        <v>44680</v>
      </c>
      <c r="B157">
        <v>33.4</v>
      </c>
      <c r="D157" s="1">
        <v>44680</v>
      </c>
      <c r="E157">
        <v>32.462649999999996</v>
      </c>
    </row>
    <row r="158" spans="1:5" x14ac:dyDescent="0.35">
      <c r="A158" s="1">
        <v>44712</v>
      </c>
      <c r="B158">
        <v>26.19</v>
      </c>
      <c r="D158" s="1">
        <v>44712</v>
      </c>
      <c r="E158">
        <v>27.09723</v>
      </c>
    </row>
    <row r="159" spans="1:5" x14ac:dyDescent="0.35">
      <c r="A159" s="1">
        <v>44742</v>
      </c>
      <c r="B159">
        <v>28.71</v>
      </c>
      <c r="D159" s="1">
        <v>44742</v>
      </c>
      <c r="E159">
        <v>31.218789999999998</v>
      </c>
    </row>
    <row r="160" spans="1:5" x14ac:dyDescent="0.35">
      <c r="A160" s="1">
        <v>44771</v>
      </c>
      <c r="B160">
        <v>21.33</v>
      </c>
      <c r="D160" s="1">
        <v>44771</v>
      </c>
      <c r="E160">
        <v>22.744309999999999</v>
      </c>
    </row>
    <row r="161" spans="1:5" x14ac:dyDescent="0.35">
      <c r="A161" s="1">
        <v>44804</v>
      </c>
      <c r="B161">
        <v>25.87</v>
      </c>
      <c r="D161" s="1">
        <v>44804</v>
      </c>
      <c r="E161">
        <v>28.096</v>
      </c>
    </row>
    <row r="162" spans="1:5" x14ac:dyDescent="0.35">
      <c r="A162" s="1">
        <v>44834</v>
      </c>
      <c r="B162">
        <v>31.62</v>
      </c>
      <c r="D162" s="1">
        <v>44834</v>
      </c>
      <c r="E162">
        <v>30.064309999999999</v>
      </c>
    </row>
    <row r="163" spans="1:5" x14ac:dyDescent="0.35">
      <c r="A163" s="1">
        <v>44865</v>
      </c>
      <c r="B163">
        <v>25.88</v>
      </c>
      <c r="D163" s="1">
        <v>44865</v>
      </c>
      <c r="E163">
        <v>24.54992</v>
      </c>
    </row>
    <row r="164" spans="1:5" x14ac:dyDescent="0.35">
      <c r="A164" s="1">
        <v>44895</v>
      </c>
      <c r="B164">
        <v>20.58</v>
      </c>
      <c r="D164" s="1">
        <v>44895</v>
      </c>
      <c r="E164">
        <v>21.878530000000001</v>
      </c>
    </row>
    <row r="165" spans="1:5" x14ac:dyDescent="0.35">
      <c r="A165" s="1">
        <v>44925</v>
      </c>
      <c r="B165">
        <v>21.67</v>
      </c>
      <c r="D165" s="1">
        <v>44925</v>
      </c>
      <c r="E165">
        <v>22.371210000000001</v>
      </c>
    </row>
    <row r="166" spans="1:5" x14ac:dyDescent="0.35">
      <c r="A166" s="1">
        <v>44957</v>
      </c>
      <c r="B166">
        <v>19.399999999999999</v>
      </c>
      <c r="D166" s="1">
        <v>44957</v>
      </c>
      <c r="E166">
        <v>20.17446</v>
      </c>
    </row>
    <row r="167" spans="1:5" x14ac:dyDescent="0.35">
      <c r="A167" s="1">
        <v>44985</v>
      </c>
      <c r="B167">
        <v>20.7</v>
      </c>
      <c r="D167" s="1">
        <v>44985</v>
      </c>
      <c r="E167">
        <v>20.68244</v>
      </c>
    </row>
    <row r="168" spans="1:5" x14ac:dyDescent="0.35">
      <c r="A168" s="1">
        <v>45016</v>
      </c>
      <c r="B168">
        <v>18.7</v>
      </c>
      <c r="D168" s="1">
        <v>45016</v>
      </c>
      <c r="E168">
        <v>21.1126</v>
      </c>
    </row>
    <row r="169" spans="1:5" x14ac:dyDescent="0.35">
      <c r="A169" s="1">
        <v>45044</v>
      </c>
      <c r="B169">
        <v>15.78</v>
      </c>
      <c r="D169" s="1">
        <v>45044</v>
      </c>
      <c r="E169">
        <v>19.22747</v>
      </c>
    </row>
    <row r="170" spans="1:5" x14ac:dyDescent="0.35">
      <c r="A170" s="1">
        <v>45077</v>
      </c>
      <c r="B170">
        <v>17.940000000000001</v>
      </c>
      <c r="D170" s="1">
        <v>45077</v>
      </c>
      <c r="E170">
        <v>21.256530000000001</v>
      </c>
    </row>
    <row r="171" spans="1:5" x14ac:dyDescent="0.35">
      <c r="A171" s="1">
        <v>45107</v>
      </c>
      <c r="B171">
        <v>13.59</v>
      </c>
      <c r="D171" s="1">
        <v>45107</v>
      </c>
      <c r="E171">
        <v>14.863659999999999</v>
      </c>
    </row>
    <row r="172" spans="1:5" x14ac:dyDescent="0.35">
      <c r="A172" s="1">
        <v>45138</v>
      </c>
      <c r="B172">
        <v>13.63</v>
      </c>
      <c r="D172" s="1">
        <v>45138</v>
      </c>
      <c r="E172">
        <v>17.860399999999998</v>
      </c>
    </row>
    <row r="173" spans="1:5" x14ac:dyDescent="0.35">
      <c r="A173" s="1">
        <v>45169</v>
      </c>
      <c r="B173">
        <v>13.57</v>
      </c>
      <c r="D173" s="1">
        <v>45169</v>
      </c>
      <c r="E173">
        <v>17.411549999999998</v>
      </c>
    </row>
    <row r="174" spans="1:5" x14ac:dyDescent="0.35">
      <c r="A174" s="1">
        <v>45198</v>
      </c>
      <c r="B174">
        <v>17.52</v>
      </c>
      <c r="D174" s="1">
        <v>45198</v>
      </c>
      <c r="E174">
        <v>18.48019</v>
      </c>
    </row>
    <row r="175" spans="1:5" x14ac:dyDescent="0.35">
      <c r="A175" s="1">
        <v>45230</v>
      </c>
      <c r="B175">
        <v>18.14</v>
      </c>
      <c r="D175" s="1">
        <v>45230</v>
      </c>
      <c r="E175">
        <v>20.840789999999998</v>
      </c>
    </row>
    <row r="176" spans="1:5" x14ac:dyDescent="0.35">
      <c r="A176" s="1">
        <v>45260</v>
      </c>
      <c r="B176">
        <v>12.92</v>
      </c>
      <c r="D176" s="1">
        <v>45260</v>
      </c>
      <c r="E176">
        <v>15.04454</v>
      </c>
    </row>
    <row r="177" spans="1:5" x14ac:dyDescent="0.35">
      <c r="A177" s="1">
        <v>45289</v>
      </c>
      <c r="B177">
        <v>12.45</v>
      </c>
      <c r="D177" s="1">
        <v>45289</v>
      </c>
      <c r="E177">
        <v>15.01905</v>
      </c>
    </row>
    <row r="178" spans="1:5" x14ac:dyDescent="0.35">
      <c r="A178" s="1">
        <v>45322</v>
      </c>
      <c r="B178">
        <v>14.35</v>
      </c>
      <c r="D178" s="1">
        <v>45322</v>
      </c>
      <c r="E178">
        <v>16.078399999999998</v>
      </c>
    </row>
    <row r="179" spans="1:5" x14ac:dyDescent="0.35">
      <c r="A179" s="1">
        <v>45351</v>
      </c>
      <c r="B179">
        <v>13.4</v>
      </c>
      <c r="D179" s="1">
        <v>45351</v>
      </c>
      <c r="E179">
        <v>14.885859999999999</v>
      </c>
    </row>
    <row r="180" spans="1:5" x14ac:dyDescent="0.35">
      <c r="A180" s="1">
        <v>45380</v>
      </c>
      <c r="B180">
        <v>13.01</v>
      </c>
      <c r="D180" s="1">
        <v>45380</v>
      </c>
      <c r="E180">
        <v>14.443</v>
      </c>
    </row>
    <row r="181" spans="1:5" x14ac:dyDescent="0.35">
      <c r="A181" s="1">
        <v>45412</v>
      </c>
      <c r="B181">
        <v>15.65</v>
      </c>
      <c r="D181" s="1">
        <v>45412</v>
      </c>
      <c r="E181">
        <v>16.62208</v>
      </c>
    </row>
    <row r="182" spans="1:5" x14ac:dyDescent="0.35">
      <c r="A182" s="1">
        <v>45443</v>
      </c>
      <c r="B182">
        <v>12.92</v>
      </c>
      <c r="D182" s="1">
        <v>45443</v>
      </c>
      <c r="E182">
        <v>15.33592</v>
      </c>
    </row>
    <row r="183" spans="1:5" x14ac:dyDescent="0.35">
      <c r="A183" s="1">
        <v>45471</v>
      </c>
      <c r="B183">
        <v>12.44</v>
      </c>
      <c r="D183" s="1">
        <v>45471</v>
      </c>
      <c r="E183">
        <v>19.606960000000001</v>
      </c>
    </row>
    <row r="184" spans="1:5" x14ac:dyDescent="0.35">
      <c r="A184" s="1">
        <v>45504</v>
      </c>
      <c r="B184">
        <v>16.36</v>
      </c>
      <c r="D184" s="1">
        <v>45504</v>
      </c>
      <c r="E184">
        <v>17.017040000000001</v>
      </c>
    </row>
    <row r="185" spans="1:5" x14ac:dyDescent="0.35">
      <c r="A185" s="1">
        <v>45534</v>
      </c>
      <c r="B185">
        <v>15</v>
      </c>
      <c r="D185" s="1">
        <v>45534</v>
      </c>
      <c r="E185">
        <v>16.872800000000002</v>
      </c>
    </row>
    <row r="186" spans="1:5" x14ac:dyDescent="0.35">
      <c r="A186" s="1">
        <v>45565</v>
      </c>
      <c r="B186">
        <v>16.73</v>
      </c>
      <c r="D186" s="1">
        <v>45565</v>
      </c>
      <c r="E186">
        <v>20.138529999999999</v>
      </c>
    </row>
    <row r="187" spans="1:5" x14ac:dyDescent="0.35">
      <c r="A187" s="1">
        <v>45596</v>
      </c>
      <c r="B187">
        <v>23.16</v>
      </c>
      <c r="D187" s="1">
        <v>45596</v>
      </c>
      <c r="E187">
        <v>23.603339999999999</v>
      </c>
    </row>
    <row r="188" spans="1:5" x14ac:dyDescent="0.35">
      <c r="A188" s="1">
        <v>45625</v>
      </c>
      <c r="B188">
        <v>13.51</v>
      </c>
      <c r="D188" s="1">
        <v>45625</v>
      </c>
      <c r="E188">
        <v>17.92407</v>
      </c>
    </row>
    <row r="189" spans="1:5" x14ac:dyDescent="0.35">
      <c r="A189" s="1">
        <v>45657</v>
      </c>
      <c r="B189">
        <v>17.350000000000001</v>
      </c>
      <c r="D189" s="1">
        <v>45657</v>
      </c>
      <c r="E189">
        <v>17.672920000000001</v>
      </c>
    </row>
    <row r="190" spans="1:5" x14ac:dyDescent="0.35">
      <c r="A190" s="1">
        <v>45688</v>
      </c>
      <c r="B190">
        <v>16.43</v>
      </c>
      <c r="D190" s="1">
        <v>45688</v>
      </c>
      <c r="E190">
        <v>16.003240000000002</v>
      </c>
    </row>
    <row r="191" spans="1:5" x14ac:dyDescent="0.35">
      <c r="A191" s="1">
        <v>45716</v>
      </c>
      <c r="B191">
        <v>19.63</v>
      </c>
      <c r="D191" s="1">
        <v>45716</v>
      </c>
      <c r="E191">
        <v>19.36608</v>
      </c>
    </row>
    <row r="192" spans="1:5" x14ac:dyDescent="0.35">
      <c r="A192" s="1">
        <v>45747</v>
      </c>
      <c r="B192">
        <v>22.28</v>
      </c>
      <c r="D192" s="1">
        <v>45747</v>
      </c>
      <c r="E192">
        <v>23.943390000000001</v>
      </c>
    </row>
  </sheetData>
  <sortState xmlns:xlrd2="http://schemas.microsoft.com/office/spreadsheetml/2017/richdata2" ref="D9:E192">
    <sortCondition ref="D8:D19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1FBAE-E547-4A7F-96C8-E26AE7C35298}">
  <dimension ref="A1:G3818"/>
  <sheetViews>
    <sheetView workbookViewId="0">
      <selection activeCell="A11" sqref="A11"/>
    </sheetView>
  </sheetViews>
  <sheetFormatPr baseColWidth="10" defaultRowHeight="14.5" x14ac:dyDescent="0.35"/>
  <cols>
    <col min="1" max="1" width="10.90625" style="1"/>
    <col min="2" max="2" width="11.81640625" customWidth="1"/>
    <col min="3" max="3" width="11.26953125" customWidth="1"/>
    <col min="4" max="4" width="11.36328125" customWidth="1"/>
    <col min="5" max="5" width="11.1796875" customWidth="1"/>
    <col min="6" max="6" width="11.54296875" customWidth="1"/>
    <col min="7" max="7" width="15.08984375" customWidth="1"/>
  </cols>
  <sheetData>
    <row r="1" spans="1:7" x14ac:dyDescent="0.35">
      <c r="A1" s="1" t="s">
        <v>8</v>
      </c>
      <c r="B1" t="s">
        <v>1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</row>
    <row r="2" spans="1:7" x14ac:dyDescent="0.35">
      <c r="A2" s="1">
        <v>40182</v>
      </c>
      <c r="B2">
        <v>3017.8</v>
      </c>
      <c r="C2">
        <v>4013.97</v>
      </c>
      <c r="D2">
        <v>6048.3</v>
      </c>
      <c r="E2">
        <v>6153.2072699999999</v>
      </c>
      <c r="F2">
        <v>12145.1</v>
      </c>
      <c r="G2">
        <v>23545.02</v>
      </c>
    </row>
    <row r="3" spans="1:7" x14ac:dyDescent="0.35">
      <c r="A3" s="1">
        <v>40183</v>
      </c>
      <c r="B3">
        <v>3012.36</v>
      </c>
      <c r="C3">
        <v>4012.91</v>
      </c>
      <c r="D3">
        <v>6031.86</v>
      </c>
      <c r="E3">
        <v>6141.4835700000003</v>
      </c>
      <c r="F3">
        <v>12204.4</v>
      </c>
      <c r="G3">
        <v>23555.73</v>
      </c>
    </row>
    <row r="4" spans="1:7" x14ac:dyDescent="0.35">
      <c r="A4" s="1">
        <v>40184</v>
      </c>
      <c r="B4">
        <v>3009.66</v>
      </c>
      <c r="C4">
        <v>4017.67</v>
      </c>
      <c r="D4">
        <v>6034.33</v>
      </c>
      <c r="E4">
        <v>6140.8205399999997</v>
      </c>
      <c r="F4">
        <v>12222.5</v>
      </c>
      <c r="G4">
        <v>23622.29</v>
      </c>
    </row>
    <row r="5" spans="1:7" x14ac:dyDescent="0.35">
      <c r="A5" s="1">
        <v>40185</v>
      </c>
      <c r="B5">
        <v>3007.34</v>
      </c>
      <c r="C5">
        <v>4024.8</v>
      </c>
      <c r="D5">
        <v>6019.36</v>
      </c>
      <c r="E5">
        <v>6151.3890600000004</v>
      </c>
      <c r="F5">
        <v>12166.3</v>
      </c>
      <c r="G5">
        <v>23709.01</v>
      </c>
    </row>
    <row r="6" spans="1:7" x14ac:dyDescent="0.35">
      <c r="A6" s="1">
        <v>40186</v>
      </c>
      <c r="B6">
        <v>3017.85</v>
      </c>
      <c r="C6">
        <v>4045.14</v>
      </c>
      <c r="D6">
        <v>6037.61</v>
      </c>
      <c r="E6">
        <v>6154.06873</v>
      </c>
      <c r="F6">
        <v>12163</v>
      </c>
      <c r="G6">
        <v>23811.13</v>
      </c>
    </row>
    <row r="7" spans="1:7" x14ac:dyDescent="0.35">
      <c r="A7" s="1">
        <v>40189</v>
      </c>
      <c r="B7">
        <v>3010.24</v>
      </c>
      <c r="C7">
        <v>4043.09</v>
      </c>
      <c r="D7">
        <v>6040.5</v>
      </c>
      <c r="E7">
        <v>6151.4179299999996</v>
      </c>
      <c r="F7">
        <v>12074.5</v>
      </c>
      <c r="G7">
        <v>23774.76</v>
      </c>
    </row>
    <row r="8" spans="1:7" x14ac:dyDescent="0.35">
      <c r="A8" s="1">
        <v>40190</v>
      </c>
      <c r="B8">
        <v>2976.89</v>
      </c>
      <c r="C8">
        <v>4000.05</v>
      </c>
      <c r="D8">
        <v>5943</v>
      </c>
      <c r="E8">
        <v>6128.6718099999998</v>
      </c>
      <c r="F8">
        <v>11966.1</v>
      </c>
      <c r="G8">
        <v>23583.35</v>
      </c>
    </row>
    <row r="9" spans="1:7" x14ac:dyDescent="0.35">
      <c r="A9" s="1">
        <v>40191</v>
      </c>
      <c r="B9">
        <v>2978.41</v>
      </c>
      <c r="C9">
        <v>4000.86</v>
      </c>
      <c r="D9">
        <v>5963.14</v>
      </c>
      <c r="E9">
        <v>6141.8151500000004</v>
      </c>
      <c r="F9">
        <v>11958.3</v>
      </c>
      <c r="G9">
        <v>23658.400000000001</v>
      </c>
    </row>
    <row r="10" spans="1:7" x14ac:dyDescent="0.35">
      <c r="A10" s="1">
        <v>40192</v>
      </c>
      <c r="B10">
        <v>2989.71</v>
      </c>
      <c r="C10">
        <v>4015.77</v>
      </c>
      <c r="D10">
        <v>5988.88</v>
      </c>
      <c r="E10">
        <v>6191.6871700000002</v>
      </c>
      <c r="F10">
        <v>11999.8</v>
      </c>
      <c r="G10">
        <v>23805.99</v>
      </c>
    </row>
    <row r="11" spans="1:7" x14ac:dyDescent="0.35">
      <c r="A11" s="1">
        <v>40193</v>
      </c>
      <c r="B11">
        <v>2940.25</v>
      </c>
      <c r="C11">
        <v>3954.38</v>
      </c>
      <c r="D11">
        <v>5875.97</v>
      </c>
      <c r="E11">
        <v>6163.2782399999996</v>
      </c>
      <c r="F11">
        <v>11845</v>
      </c>
      <c r="G11">
        <v>23472.11</v>
      </c>
    </row>
    <row r="12" spans="1:7" x14ac:dyDescent="0.35">
      <c r="A12" s="1">
        <v>40196</v>
      </c>
      <c r="B12">
        <v>2957.87</v>
      </c>
      <c r="C12">
        <v>3977.46</v>
      </c>
      <c r="D12">
        <v>5918.55</v>
      </c>
      <c r="E12">
        <v>6232.52214</v>
      </c>
      <c r="F12">
        <v>11870.7</v>
      </c>
      <c r="G12">
        <v>23509.759999999998</v>
      </c>
    </row>
    <row r="13" spans="1:7" x14ac:dyDescent="0.35">
      <c r="A13" s="1">
        <v>40197</v>
      </c>
      <c r="B13">
        <v>2984.82</v>
      </c>
      <c r="C13">
        <v>4009.67</v>
      </c>
      <c r="D13">
        <v>5976.48</v>
      </c>
      <c r="E13">
        <v>6316.5449699999999</v>
      </c>
      <c r="F13">
        <v>12022.6</v>
      </c>
      <c r="G13">
        <v>23705.67</v>
      </c>
    </row>
    <row r="14" spans="1:7" x14ac:dyDescent="0.35">
      <c r="A14" s="1">
        <v>40198</v>
      </c>
      <c r="B14">
        <v>2914.6</v>
      </c>
      <c r="C14">
        <v>3928.95</v>
      </c>
      <c r="D14">
        <v>5851.53</v>
      </c>
      <c r="E14">
        <v>6251.0472099999997</v>
      </c>
      <c r="F14">
        <v>11709</v>
      </c>
      <c r="G14">
        <v>23126.02</v>
      </c>
    </row>
    <row r="15" spans="1:7" x14ac:dyDescent="0.35">
      <c r="A15" s="1">
        <v>40199</v>
      </c>
      <c r="B15">
        <v>2863.25</v>
      </c>
      <c r="C15">
        <v>3862.16</v>
      </c>
      <c r="D15">
        <v>5746.97</v>
      </c>
      <c r="E15">
        <v>6133.8514999999998</v>
      </c>
      <c r="F15">
        <v>11444</v>
      </c>
      <c r="G15">
        <v>22876.46</v>
      </c>
    </row>
    <row r="16" spans="1:7" x14ac:dyDescent="0.35">
      <c r="A16" s="1">
        <v>40200</v>
      </c>
      <c r="B16">
        <v>2836.8</v>
      </c>
      <c r="C16">
        <v>3820.78</v>
      </c>
      <c r="D16">
        <v>5695.32</v>
      </c>
      <c r="E16">
        <v>6044.0224399999997</v>
      </c>
      <c r="F16">
        <v>11373.4</v>
      </c>
      <c r="G16">
        <v>22567.81</v>
      </c>
    </row>
    <row r="17" spans="1:7" x14ac:dyDescent="0.35">
      <c r="A17" s="1">
        <v>40203</v>
      </c>
      <c r="B17">
        <v>2807.3</v>
      </c>
      <c r="C17">
        <v>3781.85</v>
      </c>
      <c r="D17">
        <v>5631.37</v>
      </c>
      <c r="E17">
        <v>6033.50234</v>
      </c>
      <c r="F17">
        <v>11249.3</v>
      </c>
      <c r="G17">
        <v>22373.09</v>
      </c>
    </row>
    <row r="18" spans="1:7" x14ac:dyDescent="0.35">
      <c r="A18" s="1">
        <v>40204</v>
      </c>
      <c r="B18">
        <v>2827.74</v>
      </c>
      <c r="C18">
        <v>3807.04</v>
      </c>
      <c r="D18">
        <v>5668.93</v>
      </c>
      <c r="E18">
        <v>6044.6911700000001</v>
      </c>
      <c r="F18">
        <v>11347.3</v>
      </c>
      <c r="G18">
        <v>22407.71</v>
      </c>
    </row>
    <row r="19" spans="1:7" x14ac:dyDescent="0.35">
      <c r="A19" s="1">
        <v>40205</v>
      </c>
      <c r="B19">
        <v>2787.4</v>
      </c>
      <c r="C19">
        <v>3759.8</v>
      </c>
      <c r="D19">
        <v>5643.2</v>
      </c>
      <c r="E19">
        <v>6013.0403500000002</v>
      </c>
      <c r="F19">
        <v>11042.2</v>
      </c>
      <c r="G19">
        <v>21997.59</v>
      </c>
    </row>
    <row r="20" spans="1:7" x14ac:dyDescent="0.35">
      <c r="A20" s="1">
        <v>40206</v>
      </c>
      <c r="B20">
        <v>2737.33</v>
      </c>
      <c r="C20">
        <v>3688.79</v>
      </c>
      <c r="D20">
        <v>5540.33</v>
      </c>
      <c r="E20">
        <v>5942.2930399999996</v>
      </c>
      <c r="F20">
        <v>10829.3</v>
      </c>
      <c r="G20">
        <v>21603.13</v>
      </c>
    </row>
    <row r="21" spans="1:7" x14ac:dyDescent="0.35">
      <c r="A21" s="1">
        <v>40207</v>
      </c>
      <c r="B21">
        <v>2776.83</v>
      </c>
      <c r="C21">
        <v>3739.46</v>
      </c>
      <c r="D21">
        <v>5608.79</v>
      </c>
      <c r="E21">
        <v>5981.6100699999997</v>
      </c>
      <c r="F21">
        <v>10947.7</v>
      </c>
      <c r="G21">
        <v>21896.29</v>
      </c>
    </row>
    <row r="22" spans="1:7" x14ac:dyDescent="0.35">
      <c r="A22" s="1">
        <v>40210</v>
      </c>
      <c r="B22">
        <v>2793.29</v>
      </c>
      <c r="C22">
        <v>3762.01</v>
      </c>
      <c r="D22">
        <v>5654.48</v>
      </c>
      <c r="E22">
        <v>6014.8729400000002</v>
      </c>
      <c r="F22">
        <v>10995.2</v>
      </c>
      <c r="G22">
        <v>22012</v>
      </c>
    </row>
    <row r="23" spans="1:7" x14ac:dyDescent="0.35">
      <c r="A23" s="1">
        <v>40211</v>
      </c>
      <c r="B23">
        <v>2830.01</v>
      </c>
      <c r="C23">
        <v>3812.13</v>
      </c>
      <c r="D23">
        <v>5709.66</v>
      </c>
      <c r="E23">
        <v>6046.0173800000002</v>
      </c>
      <c r="F23">
        <v>11140.9</v>
      </c>
      <c r="G23">
        <v>22413.74</v>
      </c>
    </row>
    <row r="24" spans="1:7" x14ac:dyDescent="0.35">
      <c r="A24" s="1">
        <v>40212</v>
      </c>
      <c r="B24">
        <v>2804.61</v>
      </c>
      <c r="C24">
        <v>3793.47</v>
      </c>
      <c r="D24">
        <v>5672.09</v>
      </c>
      <c r="E24">
        <v>6009.4797500000004</v>
      </c>
      <c r="F24">
        <v>10888.4</v>
      </c>
      <c r="G24">
        <v>22169.25</v>
      </c>
    </row>
    <row r="25" spans="1:7" x14ac:dyDescent="0.35">
      <c r="A25" s="1">
        <v>40213</v>
      </c>
      <c r="B25">
        <v>2707.45</v>
      </c>
      <c r="C25">
        <v>3689.25</v>
      </c>
      <c r="D25">
        <v>5533.24</v>
      </c>
      <c r="E25">
        <v>5896.49719</v>
      </c>
      <c r="F25">
        <v>10241.700000000001</v>
      </c>
      <c r="G25">
        <v>21404.82</v>
      </c>
    </row>
    <row r="26" spans="1:7" x14ac:dyDescent="0.35">
      <c r="A26" s="1">
        <v>40214</v>
      </c>
      <c r="B26">
        <v>2631.64</v>
      </c>
      <c r="C26">
        <v>3563.76</v>
      </c>
      <c r="D26">
        <v>5434.34</v>
      </c>
      <c r="E26">
        <v>5802.0495899999996</v>
      </c>
      <c r="F26">
        <v>10103.299999999999</v>
      </c>
      <c r="G26">
        <v>20815.88</v>
      </c>
    </row>
    <row r="27" spans="1:7" x14ac:dyDescent="0.35">
      <c r="A27" s="1">
        <v>40217</v>
      </c>
      <c r="B27">
        <v>2664.29</v>
      </c>
      <c r="C27">
        <v>3607.27</v>
      </c>
      <c r="D27">
        <v>5484.85</v>
      </c>
      <c r="E27">
        <v>5818.1589999999997</v>
      </c>
      <c r="F27">
        <v>10206.299999999999</v>
      </c>
      <c r="G27">
        <v>20938.240000000002</v>
      </c>
    </row>
    <row r="28" spans="1:7" x14ac:dyDescent="0.35">
      <c r="A28" s="1">
        <v>40218</v>
      </c>
      <c r="B28">
        <v>2668.43</v>
      </c>
      <c r="C28">
        <v>3612.76</v>
      </c>
      <c r="D28">
        <v>5498.26</v>
      </c>
      <c r="E28">
        <v>5822.2915800000001</v>
      </c>
      <c r="F28">
        <v>10275.4</v>
      </c>
      <c r="G28">
        <v>20818.97</v>
      </c>
    </row>
    <row r="29" spans="1:7" x14ac:dyDescent="0.35">
      <c r="A29" s="1">
        <v>40219</v>
      </c>
      <c r="B29">
        <v>2700.17</v>
      </c>
      <c r="C29">
        <v>3635.61</v>
      </c>
      <c r="D29">
        <v>5536.37</v>
      </c>
      <c r="E29">
        <v>5831.5691299999999</v>
      </c>
      <c r="F29">
        <v>10455</v>
      </c>
      <c r="G29">
        <v>21241.63</v>
      </c>
    </row>
    <row r="30" spans="1:7" x14ac:dyDescent="0.35">
      <c r="A30" s="1">
        <v>40220</v>
      </c>
      <c r="B30">
        <v>2680.25</v>
      </c>
      <c r="C30">
        <v>3616.75</v>
      </c>
      <c r="D30">
        <v>5503.93</v>
      </c>
      <c r="E30">
        <v>5916.9473900000003</v>
      </c>
      <c r="F30">
        <v>10281.700000000001</v>
      </c>
      <c r="G30">
        <v>21076.45</v>
      </c>
    </row>
    <row r="31" spans="1:7" x14ac:dyDescent="0.35">
      <c r="A31" s="1">
        <v>40221</v>
      </c>
      <c r="B31">
        <v>2674.46</v>
      </c>
      <c r="C31">
        <v>3599.07</v>
      </c>
      <c r="D31">
        <v>5500.39</v>
      </c>
      <c r="E31">
        <v>5912.5534900000002</v>
      </c>
      <c r="F31">
        <v>10224.9</v>
      </c>
      <c r="G31">
        <v>21035.91</v>
      </c>
    </row>
    <row r="32" spans="1:7" x14ac:dyDescent="0.35">
      <c r="A32" s="1">
        <v>40224</v>
      </c>
      <c r="B32">
        <v>2683.83</v>
      </c>
      <c r="C32">
        <v>3609.22</v>
      </c>
      <c r="D32">
        <v>5511.1</v>
      </c>
      <c r="E32">
        <v>5946.3691699999999</v>
      </c>
      <c r="F32">
        <v>10293.6</v>
      </c>
      <c r="G32">
        <v>21122.47</v>
      </c>
    </row>
    <row r="33" spans="1:7" x14ac:dyDescent="0.35">
      <c r="A33" s="1">
        <v>40225</v>
      </c>
      <c r="B33">
        <v>2720.77</v>
      </c>
      <c r="C33">
        <v>3669.04</v>
      </c>
      <c r="D33">
        <v>5592.12</v>
      </c>
      <c r="E33">
        <v>6013.7987999999996</v>
      </c>
      <c r="F33">
        <v>10393.9</v>
      </c>
      <c r="G33">
        <v>21289.200000000001</v>
      </c>
    </row>
    <row r="34" spans="1:7" x14ac:dyDescent="0.35">
      <c r="A34" s="1">
        <v>40226</v>
      </c>
      <c r="B34">
        <v>2762.25</v>
      </c>
      <c r="C34">
        <v>3725.21</v>
      </c>
      <c r="D34">
        <v>5648.34</v>
      </c>
      <c r="E34">
        <v>6083.0947500000002</v>
      </c>
      <c r="F34">
        <v>10498.6</v>
      </c>
      <c r="G34">
        <v>21650.81</v>
      </c>
    </row>
    <row r="35" spans="1:7" x14ac:dyDescent="0.35">
      <c r="A35" s="1">
        <v>40227</v>
      </c>
      <c r="B35">
        <v>2778.3</v>
      </c>
      <c r="C35">
        <v>3747.83</v>
      </c>
      <c r="D35">
        <v>5680.41</v>
      </c>
      <c r="E35">
        <v>6112.1205200000004</v>
      </c>
      <c r="F35">
        <v>10574.2</v>
      </c>
      <c r="G35">
        <v>21686.12</v>
      </c>
    </row>
    <row r="36" spans="1:7" x14ac:dyDescent="0.35">
      <c r="A36" s="1">
        <v>40228</v>
      </c>
      <c r="B36">
        <v>2793.37</v>
      </c>
      <c r="C36">
        <v>3769.54</v>
      </c>
      <c r="D36">
        <v>5722.05</v>
      </c>
      <c r="E36">
        <v>6100.6169799999998</v>
      </c>
      <c r="F36">
        <v>10676.7</v>
      </c>
      <c r="G36">
        <v>21772.33</v>
      </c>
    </row>
    <row r="37" spans="1:7" x14ac:dyDescent="0.35">
      <c r="A37" s="1">
        <v>40231</v>
      </c>
      <c r="B37">
        <v>2778.12</v>
      </c>
      <c r="C37">
        <v>3756.7</v>
      </c>
      <c r="D37">
        <v>5688.44</v>
      </c>
      <c r="E37">
        <v>6092.2959700000001</v>
      </c>
      <c r="F37">
        <v>10570.5</v>
      </c>
      <c r="G37">
        <v>21704.78</v>
      </c>
    </row>
    <row r="38" spans="1:7" x14ac:dyDescent="0.35">
      <c r="A38" s="1">
        <v>40232</v>
      </c>
      <c r="B38">
        <v>2730.57</v>
      </c>
      <c r="C38">
        <v>3707.06</v>
      </c>
      <c r="D38">
        <v>5604.07</v>
      </c>
      <c r="E38">
        <v>6063.94337</v>
      </c>
      <c r="F38">
        <v>10312.9</v>
      </c>
      <c r="G38">
        <v>21224.07</v>
      </c>
    </row>
    <row r="39" spans="1:7" x14ac:dyDescent="0.35">
      <c r="A39" s="1">
        <v>40233</v>
      </c>
      <c r="B39">
        <v>2734.95</v>
      </c>
      <c r="C39">
        <v>3715.68</v>
      </c>
      <c r="D39">
        <v>5615.51</v>
      </c>
      <c r="E39">
        <v>6080.1057000000001</v>
      </c>
      <c r="F39">
        <v>10254</v>
      </c>
      <c r="G39">
        <v>21346.31</v>
      </c>
    </row>
    <row r="40" spans="1:7" x14ac:dyDescent="0.35">
      <c r="A40" s="1">
        <v>40234</v>
      </c>
      <c r="B40">
        <v>2684.42</v>
      </c>
      <c r="C40">
        <v>3640.77</v>
      </c>
      <c r="D40">
        <v>5532.33</v>
      </c>
      <c r="E40">
        <v>5947.16921</v>
      </c>
      <c r="F40">
        <v>10126.200000000001</v>
      </c>
      <c r="G40">
        <v>20843.23</v>
      </c>
    </row>
    <row r="41" spans="1:7" x14ac:dyDescent="0.35">
      <c r="A41" s="1">
        <v>40235</v>
      </c>
      <c r="B41">
        <v>2728.47</v>
      </c>
      <c r="C41">
        <v>3708.8</v>
      </c>
      <c r="D41">
        <v>5598.46</v>
      </c>
      <c r="E41">
        <v>5997.7552400000004</v>
      </c>
      <c r="F41">
        <v>10333.6</v>
      </c>
      <c r="G41">
        <v>21068.32</v>
      </c>
    </row>
    <row r="42" spans="1:7" x14ac:dyDescent="0.35">
      <c r="A42" s="1">
        <v>40238</v>
      </c>
      <c r="B42">
        <v>2772.7</v>
      </c>
      <c r="C42">
        <v>3769.54</v>
      </c>
      <c r="D42">
        <v>5713.51</v>
      </c>
      <c r="E42">
        <v>5993.77657</v>
      </c>
      <c r="F42">
        <v>10434.9</v>
      </c>
      <c r="G42">
        <v>21320.799999999999</v>
      </c>
    </row>
    <row r="43" spans="1:7" x14ac:dyDescent="0.35">
      <c r="A43" s="1">
        <v>40239</v>
      </c>
      <c r="B43">
        <v>2796.33</v>
      </c>
      <c r="C43">
        <v>3811.92</v>
      </c>
      <c r="D43">
        <v>5776.56</v>
      </c>
      <c r="E43">
        <v>6042.4311500000003</v>
      </c>
      <c r="F43">
        <v>10521.5</v>
      </c>
      <c r="G43">
        <v>21431.41</v>
      </c>
    </row>
    <row r="44" spans="1:7" x14ac:dyDescent="0.35">
      <c r="A44" s="1">
        <v>40240</v>
      </c>
      <c r="B44">
        <v>2822.59</v>
      </c>
      <c r="C44">
        <v>3842.52</v>
      </c>
      <c r="D44">
        <v>5817.88</v>
      </c>
      <c r="E44">
        <v>6100.8531999999996</v>
      </c>
      <c r="F44">
        <v>10664.5</v>
      </c>
      <c r="G44">
        <v>21745.06</v>
      </c>
    </row>
    <row r="45" spans="1:7" x14ac:dyDescent="0.35">
      <c r="A45" s="1">
        <v>40241</v>
      </c>
      <c r="B45">
        <v>2816.1</v>
      </c>
      <c r="C45">
        <v>3828.41</v>
      </c>
      <c r="D45">
        <v>5795.32</v>
      </c>
      <c r="E45">
        <v>6119.5882199999996</v>
      </c>
      <c r="F45">
        <v>10745.3</v>
      </c>
      <c r="G45">
        <v>21844.560000000001</v>
      </c>
    </row>
    <row r="46" spans="1:7" x14ac:dyDescent="0.35">
      <c r="A46" s="1">
        <v>40242</v>
      </c>
      <c r="B46">
        <v>2877.44</v>
      </c>
      <c r="C46">
        <v>3910.42</v>
      </c>
      <c r="D46">
        <v>5877.36</v>
      </c>
      <c r="E46">
        <v>6219.3954599999997</v>
      </c>
      <c r="F46">
        <v>11019.8</v>
      </c>
      <c r="G46">
        <v>22278.12</v>
      </c>
    </row>
    <row r="47" spans="1:7" x14ac:dyDescent="0.35">
      <c r="A47" s="1">
        <v>40245</v>
      </c>
      <c r="B47">
        <v>2879.29</v>
      </c>
      <c r="C47">
        <v>3903.54</v>
      </c>
      <c r="D47">
        <v>5875.91</v>
      </c>
      <c r="E47">
        <v>6200.3195100000003</v>
      </c>
      <c r="F47">
        <v>11078.3</v>
      </c>
      <c r="G47">
        <v>22398.21</v>
      </c>
    </row>
    <row r="48" spans="1:7" x14ac:dyDescent="0.35">
      <c r="A48" s="1">
        <v>40246</v>
      </c>
      <c r="B48">
        <v>2880.71</v>
      </c>
      <c r="C48">
        <v>3910.01</v>
      </c>
      <c r="D48">
        <v>5885.89</v>
      </c>
      <c r="E48">
        <v>6177.6446400000004</v>
      </c>
      <c r="F48">
        <v>11002.8</v>
      </c>
      <c r="G48">
        <v>22355.8</v>
      </c>
    </row>
    <row r="49" spans="1:7" x14ac:dyDescent="0.35">
      <c r="A49" s="1">
        <v>40247</v>
      </c>
      <c r="B49">
        <v>2909.4</v>
      </c>
      <c r="C49">
        <v>3943.55</v>
      </c>
      <c r="D49">
        <v>5936.72</v>
      </c>
      <c r="E49">
        <v>6184.0451999999996</v>
      </c>
      <c r="F49">
        <v>11121</v>
      </c>
      <c r="G49">
        <v>22638.65</v>
      </c>
    </row>
    <row r="50" spans="1:7" x14ac:dyDescent="0.35">
      <c r="A50" s="1">
        <v>40248</v>
      </c>
      <c r="B50">
        <v>2895.74</v>
      </c>
      <c r="C50">
        <v>3928.95</v>
      </c>
      <c r="D50">
        <v>5928.63</v>
      </c>
      <c r="E50">
        <v>6178.9859999999999</v>
      </c>
      <c r="F50">
        <v>11045.4</v>
      </c>
      <c r="G50">
        <v>22540.85</v>
      </c>
    </row>
    <row r="51" spans="1:7" x14ac:dyDescent="0.35">
      <c r="A51" s="1">
        <v>40249</v>
      </c>
      <c r="B51">
        <v>2898.36</v>
      </c>
      <c r="C51">
        <v>3927.4</v>
      </c>
      <c r="D51">
        <v>5945.11</v>
      </c>
      <c r="E51">
        <v>6202.2832099999996</v>
      </c>
      <c r="F51">
        <v>11077</v>
      </c>
      <c r="G51">
        <v>22565.19</v>
      </c>
    </row>
    <row r="52" spans="1:7" x14ac:dyDescent="0.35">
      <c r="A52" s="1">
        <v>40252</v>
      </c>
      <c r="B52">
        <v>2870.55</v>
      </c>
      <c r="C52">
        <v>3890.91</v>
      </c>
      <c r="D52">
        <v>5903.56</v>
      </c>
      <c r="E52">
        <v>6157.6537799999996</v>
      </c>
      <c r="F52">
        <v>10957.8</v>
      </c>
      <c r="G52">
        <v>22373.23</v>
      </c>
    </row>
    <row r="53" spans="1:7" x14ac:dyDescent="0.35">
      <c r="A53" s="1">
        <v>40253</v>
      </c>
      <c r="B53">
        <v>2905.93</v>
      </c>
      <c r="C53">
        <v>3938.95</v>
      </c>
      <c r="D53">
        <v>5970.99</v>
      </c>
      <c r="E53">
        <v>6214.8985599999996</v>
      </c>
      <c r="F53">
        <v>11059.3</v>
      </c>
      <c r="G53">
        <v>22619.85</v>
      </c>
    </row>
    <row r="54" spans="1:7" x14ac:dyDescent="0.35">
      <c r="A54" s="1">
        <v>40254</v>
      </c>
      <c r="B54">
        <v>2931.31</v>
      </c>
      <c r="C54">
        <v>3957.89</v>
      </c>
      <c r="D54">
        <v>6024.28</v>
      </c>
      <c r="E54">
        <v>6292.8446199999998</v>
      </c>
      <c r="F54">
        <v>11166.8</v>
      </c>
      <c r="G54">
        <v>22902.58</v>
      </c>
    </row>
    <row r="55" spans="1:7" x14ac:dyDescent="0.35">
      <c r="A55" s="1">
        <v>40255</v>
      </c>
      <c r="B55">
        <v>2913.74</v>
      </c>
      <c r="C55">
        <v>3938.18</v>
      </c>
      <c r="D55">
        <v>6012.31</v>
      </c>
      <c r="E55">
        <v>6318.92317</v>
      </c>
      <c r="F55">
        <v>11073.5</v>
      </c>
      <c r="G55">
        <v>22785.15</v>
      </c>
    </row>
    <row r="56" spans="1:7" x14ac:dyDescent="0.35">
      <c r="A56" s="1">
        <v>40256</v>
      </c>
      <c r="B56">
        <v>2897.95</v>
      </c>
      <c r="C56">
        <v>3925.44</v>
      </c>
      <c r="D56">
        <v>5982.43</v>
      </c>
      <c r="E56">
        <v>6271.3286500000004</v>
      </c>
      <c r="F56">
        <v>10990.8</v>
      </c>
      <c r="G56">
        <v>22687.3</v>
      </c>
    </row>
    <row r="57" spans="1:7" x14ac:dyDescent="0.35">
      <c r="A57" s="1">
        <v>40259</v>
      </c>
      <c r="B57">
        <v>2890.75</v>
      </c>
      <c r="C57">
        <v>3928</v>
      </c>
      <c r="D57">
        <v>5987.5</v>
      </c>
      <c r="E57">
        <v>6279.80573</v>
      </c>
      <c r="F57">
        <v>10861.9</v>
      </c>
      <c r="G57">
        <v>22622.81</v>
      </c>
    </row>
    <row r="58" spans="1:7" x14ac:dyDescent="0.35">
      <c r="A58" s="1">
        <v>40260</v>
      </c>
      <c r="B58">
        <v>2910.52</v>
      </c>
      <c r="C58">
        <v>3952.55</v>
      </c>
      <c r="D58">
        <v>6017.27</v>
      </c>
      <c r="E58">
        <v>6320.1951300000001</v>
      </c>
      <c r="F58">
        <v>10996.2</v>
      </c>
      <c r="G58">
        <v>22765.89</v>
      </c>
    </row>
    <row r="59" spans="1:7" x14ac:dyDescent="0.35">
      <c r="A59" s="1">
        <v>40261</v>
      </c>
      <c r="B59">
        <v>2903.94</v>
      </c>
      <c r="C59">
        <v>3949.81</v>
      </c>
      <c r="D59">
        <v>6039</v>
      </c>
      <c r="E59">
        <v>6337.3565099999996</v>
      </c>
      <c r="F59">
        <v>10866.3</v>
      </c>
      <c r="G59">
        <v>22798.7</v>
      </c>
    </row>
    <row r="60" spans="1:7" x14ac:dyDescent="0.35">
      <c r="A60" s="1">
        <v>40262</v>
      </c>
      <c r="B60">
        <v>2948.09</v>
      </c>
      <c r="C60">
        <v>4000.48</v>
      </c>
      <c r="D60">
        <v>6132.95</v>
      </c>
      <c r="E60">
        <v>6381.2298499999997</v>
      </c>
      <c r="F60">
        <v>11091.4</v>
      </c>
      <c r="G60">
        <v>23034.46</v>
      </c>
    </row>
    <row r="61" spans="1:7" x14ac:dyDescent="0.35">
      <c r="A61" s="1">
        <v>40263</v>
      </c>
      <c r="B61">
        <v>2940.94</v>
      </c>
      <c r="C61">
        <v>3988.93</v>
      </c>
      <c r="D61">
        <v>6120.05</v>
      </c>
      <c r="E61">
        <v>6340.6644100000003</v>
      </c>
      <c r="F61">
        <v>11071.1</v>
      </c>
      <c r="G61">
        <v>23063.87</v>
      </c>
    </row>
    <row r="62" spans="1:7" x14ac:dyDescent="0.35">
      <c r="A62" s="1">
        <v>40266</v>
      </c>
      <c r="B62">
        <v>2947.49</v>
      </c>
      <c r="C62">
        <v>4000.66</v>
      </c>
      <c r="D62">
        <v>6156.85</v>
      </c>
      <c r="E62">
        <v>6358.6811699999998</v>
      </c>
      <c r="F62">
        <v>11091</v>
      </c>
      <c r="G62">
        <v>23104.97</v>
      </c>
    </row>
    <row r="63" spans="1:7" x14ac:dyDescent="0.35">
      <c r="A63" s="1">
        <v>40267</v>
      </c>
      <c r="B63">
        <v>2939.68</v>
      </c>
      <c r="C63">
        <v>3987.41</v>
      </c>
      <c r="D63">
        <v>6142.45</v>
      </c>
      <c r="E63">
        <v>6368.7872399999997</v>
      </c>
      <c r="F63">
        <v>10980.7</v>
      </c>
      <c r="G63">
        <v>23003.34</v>
      </c>
    </row>
    <row r="64" spans="1:7" x14ac:dyDescent="0.35">
      <c r="A64" s="1">
        <v>40268</v>
      </c>
      <c r="B64">
        <v>2931.16</v>
      </c>
      <c r="C64">
        <v>3974.01</v>
      </c>
      <c r="D64">
        <v>6153.55</v>
      </c>
      <c r="E64">
        <v>6375.4829900000004</v>
      </c>
      <c r="F64">
        <v>10871.3</v>
      </c>
      <c r="G64">
        <v>22847.97</v>
      </c>
    </row>
    <row r="65" spans="1:7" x14ac:dyDescent="0.35">
      <c r="A65" s="1">
        <v>40269</v>
      </c>
      <c r="B65">
        <v>2978.5</v>
      </c>
      <c r="C65">
        <v>4034.23</v>
      </c>
      <c r="D65">
        <v>6235.56</v>
      </c>
      <c r="E65">
        <v>6468.7190300000002</v>
      </c>
      <c r="F65">
        <v>11067.9</v>
      </c>
      <c r="G65">
        <v>23206.66</v>
      </c>
    </row>
    <row r="66" spans="1:7" x14ac:dyDescent="0.35">
      <c r="A66" s="1">
        <v>40274</v>
      </c>
      <c r="B66">
        <v>2989.49</v>
      </c>
      <c r="C66">
        <v>4053.94</v>
      </c>
      <c r="D66">
        <v>6252.21</v>
      </c>
      <c r="E66">
        <v>6582.4081299999998</v>
      </c>
      <c r="F66">
        <v>11160.6</v>
      </c>
      <c r="G66">
        <v>23346.66</v>
      </c>
    </row>
    <row r="67" spans="1:7" x14ac:dyDescent="0.35">
      <c r="A67" s="1">
        <v>40275</v>
      </c>
      <c r="B67">
        <v>2974.62</v>
      </c>
      <c r="C67">
        <v>4026.97</v>
      </c>
      <c r="D67">
        <v>6222.41</v>
      </c>
      <c r="E67">
        <v>6577.9383600000001</v>
      </c>
      <c r="F67">
        <v>11191.3</v>
      </c>
      <c r="G67">
        <v>23151.3</v>
      </c>
    </row>
    <row r="68" spans="1:7" x14ac:dyDescent="0.35">
      <c r="A68" s="1">
        <v>40276</v>
      </c>
      <c r="B68">
        <v>2942.31</v>
      </c>
      <c r="C68">
        <v>3978.46</v>
      </c>
      <c r="D68">
        <v>6171.83</v>
      </c>
      <c r="E68">
        <v>6527.0272000000004</v>
      </c>
      <c r="F68">
        <v>11076.3</v>
      </c>
      <c r="G68">
        <v>22820.01</v>
      </c>
    </row>
    <row r="69" spans="1:7" x14ac:dyDescent="0.35">
      <c r="A69" s="1">
        <v>40277</v>
      </c>
      <c r="B69">
        <v>2993.54</v>
      </c>
      <c r="C69">
        <v>4050.54</v>
      </c>
      <c r="D69">
        <v>6249.7</v>
      </c>
      <c r="E69">
        <v>6585.6713</v>
      </c>
      <c r="F69">
        <v>11394.2</v>
      </c>
      <c r="G69">
        <v>23103.87</v>
      </c>
    </row>
    <row r="70" spans="1:7" x14ac:dyDescent="0.35">
      <c r="A70" s="1">
        <v>40280</v>
      </c>
      <c r="B70">
        <v>3002.23</v>
      </c>
      <c r="C70">
        <v>4050.5</v>
      </c>
      <c r="D70">
        <v>6250.69</v>
      </c>
      <c r="E70">
        <v>6538.5838700000004</v>
      </c>
      <c r="F70">
        <v>11460.8</v>
      </c>
      <c r="G70">
        <v>23291.65</v>
      </c>
    </row>
    <row r="71" spans="1:7" x14ac:dyDescent="0.35">
      <c r="A71" s="1">
        <v>40281</v>
      </c>
      <c r="B71">
        <v>2988.24</v>
      </c>
      <c r="C71">
        <v>4031.99</v>
      </c>
      <c r="D71">
        <v>6230.83</v>
      </c>
      <c r="E71">
        <v>6518.8243300000004</v>
      </c>
      <c r="F71">
        <v>11461</v>
      </c>
      <c r="G71">
        <v>23195.56</v>
      </c>
    </row>
    <row r="72" spans="1:7" x14ac:dyDescent="0.35">
      <c r="A72" s="1">
        <v>40282</v>
      </c>
      <c r="B72">
        <v>3008.03</v>
      </c>
      <c r="C72">
        <v>4057.7</v>
      </c>
      <c r="D72">
        <v>6278.4</v>
      </c>
      <c r="E72">
        <v>6566.22685</v>
      </c>
      <c r="F72">
        <v>11503.7</v>
      </c>
      <c r="G72">
        <v>23480.42</v>
      </c>
    </row>
    <row r="73" spans="1:7" x14ac:dyDescent="0.35">
      <c r="A73" s="1">
        <v>40283</v>
      </c>
      <c r="B73">
        <v>3012.65</v>
      </c>
      <c r="C73">
        <v>4065.65</v>
      </c>
      <c r="D73">
        <v>6291.45</v>
      </c>
      <c r="E73">
        <v>6650.5309800000005</v>
      </c>
      <c r="F73">
        <v>11523.5</v>
      </c>
      <c r="G73">
        <v>23539.24</v>
      </c>
    </row>
    <row r="74" spans="1:7" x14ac:dyDescent="0.35">
      <c r="A74" s="1">
        <v>40284</v>
      </c>
      <c r="B74">
        <v>2949.65</v>
      </c>
      <c r="C74">
        <v>3986.63</v>
      </c>
      <c r="D74">
        <v>6180.9</v>
      </c>
      <c r="E74">
        <v>6550.6075199999996</v>
      </c>
      <c r="F74">
        <v>11259.7</v>
      </c>
      <c r="G74">
        <v>23007.22</v>
      </c>
    </row>
    <row r="75" spans="1:7" x14ac:dyDescent="0.35">
      <c r="A75" s="1">
        <v>40287</v>
      </c>
      <c r="B75">
        <v>2940.19</v>
      </c>
      <c r="C75">
        <v>3970.47</v>
      </c>
      <c r="D75">
        <v>6162.44</v>
      </c>
      <c r="E75">
        <v>6509.9744799999999</v>
      </c>
      <c r="F75">
        <v>11199.5</v>
      </c>
      <c r="G75">
        <v>22785.78</v>
      </c>
    </row>
    <row r="76" spans="1:7" x14ac:dyDescent="0.35">
      <c r="A76" s="1">
        <v>40288</v>
      </c>
      <c r="B76">
        <v>2983.91</v>
      </c>
      <c r="C76">
        <v>4026.65</v>
      </c>
      <c r="D76">
        <v>6264.23</v>
      </c>
      <c r="E76">
        <v>6610.3004499999997</v>
      </c>
      <c r="F76">
        <v>11305.6</v>
      </c>
      <c r="G76">
        <v>23271.68</v>
      </c>
    </row>
    <row r="77" spans="1:7" x14ac:dyDescent="0.35">
      <c r="A77" s="1">
        <v>40289</v>
      </c>
      <c r="B77">
        <v>2947.64</v>
      </c>
      <c r="C77">
        <v>3977.67</v>
      </c>
      <c r="D77">
        <v>6230.38</v>
      </c>
      <c r="E77">
        <v>6579.4256100000002</v>
      </c>
      <c r="F77">
        <v>11064.7</v>
      </c>
      <c r="G77">
        <v>23045.05</v>
      </c>
    </row>
    <row r="78" spans="1:7" x14ac:dyDescent="0.35">
      <c r="A78" s="1">
        <v>40290</v>
      </c>
      <c r="B78">
        <v>2897.59</v>
      </c>
      <c r="C78">
        <v>3924.65</v>
      </c>
      <c r="D78">
        <v>6168.72</v>
      </c>
      <c r="E78">
        <v>6536.8864800000001</v>
      </c>
      <c r="F78">
        <v>10821.9</v>
      </c>
      <c r="G78">
        <v>22616.5</v>
      </c>
    </row>
    <row r="79" spans="1:7" x14ac:dyDescent="0.35">
      <c r="A79" s="1">
        <v>40291</v>
      </c>
      <c r="B79">
        <v>2918.11</v>
      </c>
      <c r="C79">
        <v>3951.3</v>
      </c>
      <c r="D79">
        <v>6259.53</v>
      </c>
      <c r="E79">
        <v>6575.2613000000001</v>
      </c>
      <c r="F79">
        <v>10918.2</v>
      </c>
      <c r="G79">
        <v>22726</v>
      </c>
    </row>
    <row r="80" spans="1:7" x14ac:dyDescent="0.35">
      <c r="A80" s="1">
        <v>40294</v>
      </c>
      <c r="B80">
        <v>2947.04</v>
      </c>
      <c r="C80">
        <v>3997.39</v>
      </c>
      <c r="D80">
        <v>6332.1</v>
      </c>
      <c r="E80">
        <v>6661.7851000000001</v>
      </c>
      <c r="F80">
        <v>10939.3</v>
      </c>
      <c r="G80">
        <v>22783.27</v>
      </c>
    </row>
    <row r="81" spans="1:7" x14ac:dyDescent="0.35">
      <c r="A81" s="1">
        <v>40295</v>
      </c>
      <c r="B81">
        <v>2838.78</v>
      </c>
      <c r="C81">
        <v>3844.6</v>
      </c>
      <c r="D81">
        <v>6159.51</v>
      </c>
      <c r="E81">
        <v>6467.3572199999999</v>
      </c>
      <c r="F81">
        <v>10480.9</v>
      </c>
      <c r="G81">
        <v>22036.47</v>
      </c>
    </row>
    <row r="82" spans="1:7" x14ac:dyDescent="0.35">
      <c r="A82" s="1">
        <v>40296</v>
      </c>
      <c r="B82">
        <v>2788.54</v>
      </c>
      <c r="C82">
        <v>3787</v>
      </c>
      <c r="D82">
        <v>6084.34</v>
      </c>
      <c r="E82">
        <v>6447.4598699999997</v>
      </c>
      <c r="F82">
        <v>10167</v>
      </c>
      <c r="G82">
        <v>21501.24</v>
      </c>
    </row>
    <row r="83" spans="1:7" x14ac:dyDescent="0.35">
      <c r="A83" s="1">
        <v>40297</v>
      </c>
      <c r="B83">
        <v>2828.12</v>
      </c>
      <c r="C83">
        <v>3840.62</v>
      </c>
      <c r="D83">
        <v>6144.91</v>
      </c>
      <c r="E83">
        <v>6501.0494600000002</v>
      </c>
      <c r="F83">
        <v>10441</v>
      </c>
      <c r="G83">
        <v>21695.7</v>
      </c>
    </row>
    <row r="84" spans="1:7" x14ac:dyDescent="0.35">
      <c r="A84" s="1">
        <v>40298</v>
      </c>
      <c r="B84">
        <v>2816.86</v>
      </c>
      <c r="C84">
        <v>3816.99</v>
      </c>
      <c r="D84">
        <v>6135.7</v>
      </c>
      <c r="E84">
        <v>6394.3171899999998</v>
      </c>
      <c r="F84">
        <v>10492.2</v>
      </c>
      <c r="G84">
        <v>21562.48</v>
      </c>
    </row>
    <row r="85" spans="1:7" x14ac:dyDescent="0.35">
      <c r="A85" s="1">
        <v>40302</v>
      </c>
      <c r="B85">
        <v>2708.12</v>
      </c>
      <c r="C85">
        <v>3689.29</v>
      </c>
      <c r="D85">
        <v>6006.86</v>
      </c>
      <c r="E85">
        <v>6295.3949199999997</v>
      </c>
      <c r="F85">
        <v>9859.1</v>
      </c>
      <c r="G85">
        <v>20613.25</v>
      </c>
    </row>
    <row r="86" spans="1:7" x14ac:dyDescent="0.35">
      <c r="A86" s="1">
        <v>40303</v>
      </c>
      <c r="B86">
        <v>2679.3</v>
      </c>
      <c r="C86">
        <v>3636.03</v>
      </c>
      <c r="D86">
        <v>5958.45</v>
      </c>
      <c r="E86">
        <v>6270.7270500000004</v>
      </c>
      <c r="F86">
        <v>9635.2000000000007</v>
      </c>
      <c r="G86">
        <v>20351.95</v>
      </c>
    </row>
    <row r="87" spans="1:7" x14ac:dyDescent="0.35">
      <c r="A87" s="1">
        <v>40304</v>
      </c>
      <c r="B87">
        <v>2611.41</v>
      </c>
      <c r="C87">
        <v>3556.11</v>
      </c>
      <c r="D87">
        <v>5908.26</v>
      </c>
      <c r="E87">
        <v>6176.6634100000001</v>
      </c>
      <c r="F87">
        <v>9352.6</v>
      </c>
      <c r="G87">
        <v>19483.93</v>
      </c>
    </row>
    <row r="88" spans="1:7" x14ac:dyDescent="0.35">
      <c r="A88" s="1">
        <v>40305</v>
      </c>
      <c r="B88">
        <v>2500.1799999999998</v>
      </c>
      <c r="C88">
        <v>3392.59</v>
      </c>
      <c r="D88">
        <v>5715.09</v>
      </c>
      <c r="E88">
        <v>5959.7194499999996</v>
      </c>
      <c r="F88">
        <v>9046.1</v>
      </c>
      <c r="G88">
        <v>18846.18</v>
      </c>
    </row>
    <row r="89" spans="1:7" x14ac:dyDescent="0.35">
      <c r="A89" s="1">
        <v>40308</v>
      </c>
      <c r="B89">
        <v>2758.89</v>
      </c>
      <c r="C89">
        <v>3720.29</v>
      </c>
      <c r="D89">
        <v>6017.91</v>
      </c>
      <c r="E89">
        <v>6247.0520399999996</v>
      </c>
      <c r="F89">
        <v>10351.9</v>
      </c>
      <c r="G89">
        <v>20971.21</v>
      </c>
    </row>
    <row r="90" spans="1:7" x14ac:dyDescent="0.35">
      <c r="A90" s="1">
        <v>40309</v>
      </c>
      <c r="B90">
        <v>2730.48</v>
      </c>
      <c r="C90">
        <v>3693.2</v>
      </c>
      <c r="D90">
        <v>6037.71</v>
      </c>
      <c r="E90">
        <v>6275.7135500000004</v>
      </c>
      <c r="F90">
        <v>10008.6</v>
      </c>
      <c r="G90">
        <v>20874.650000000001</v>
      </c>
    </row>
    <row r="91" spans="1:7" x14ac:dyDescent="0.35">
      <c r="A91" s="1">
        <v>40310</v>
      </c>
      <c r="B91">
        <v>2764.31</v>
      </c>
      <c r="C91">
        <v>3733.87</v>
      </c>
      <c r="D91">
        <v>6183.49</v>
      </c>
      <c r="E91">
        <v>6328.6163999999999</v>
      </c>
      <c r="F91">
        <v>10089.799999999999</v>
      </c>
      <c r="G91">
        <v>21029.48</v>
      </c>
    </row>
    <row r="92" spans="1:7" x14ac:dyDescent="0.35">
      <c r="A92" s="1">
        <v>40311</v>
      </c>
      <c r="B92">
        <v>2764.05</v>
      </c>
      <c r="C92">
        <v>3731.54</v>
      </c>
      <c r="D92">
        <v>6251.97</v>
      </c>
      <c r="E92">
        <v>6340.3595100000002</v>
      </c>
      <c r="F92">
        <v>9977.5</v>
      </c>
      <c r="G92">
        <v>20878.830000000002</v>
      </c>
    </row>
    <row r="93" spans="1:7" x14ac:dyDescent="0.35">
      <c r="A93" s="1">
        <v>40312</v>
      </c>
      <c r="B93">
        <v>2633.92</v>
      </c>
      <c r="C93">
        <v>3560.36</v>
      </c>
      <c r="D93">
        <v>6056.71</v>
      </c>
      <c r="E93">
        <v>6176.6921499999999</v>
      </c>
      <c r="F93">
        <v>9314.7000000000007</v>
      </c>
      <c r="G93">
        <v>19781.169999999998</v>
      </c>
    </row>
    <row r="94" spans="1:7" x14ac:dyDescent="0.35">
      <c r="A94" s="1">
        <v>40315</v>
      </c>
      <c r="B94">
        <v>2635.34</v>
      </c>
      <c r="C94">
        <v>3543.55</v>
      </c>
      <c r="D94">
        <v>6066.92</v>
      </c>
      <c r="E94">
        <v>6160.7724200000002</v>
      </c>
      <c r="F94">
        <v>9286.1</v>
      </c>
      <c r="G94">
        <v>19826.830000000002</v>
      </c>
    </row>
    <row r="95" spans="1:7" x14ac:dyDescent="0.35">
      <c r="A95" s="1">
        <v>40316</v>
      </c>
      <c r="B95">
        <v>2698.21</v>
      </c>
      <c r="C95">
        <v>3617.32</v>
      </c>
      <c r="D95">
        <v>6155.93</v>
      </c>
      <c r="E95">
        <v>6210.4698500000004</v>
      </c>
      <c r="F95">
        <v>9627.6</v>
      </c>
      <c r="G95">
        <v>20314.21</v>
      </c>
    </row>
    <row r="96" spans="1:7" x14ac:dyDescent="0.35">
      <c r="A96" s="1">
        <v>40317</v>
      </c>
      <c r="B96">
        <v>2619.48</v>
      </c>
      <c r="C96">
        <v>3511.67</v>
      </c>
      <c r="D96">
        <v>5988.67</v>
      </c>
      <c r="E96">
        <v>6019.9194699999998</v>
      </c>
      <c r="F96">
        <v>9376.5</v>
      </c>
      <c r="G96">
        <v>19612.66</v>
      </c>
    </row>
    <row r="97" spans="1:7" x14ac:dyDescent="0.35">
      <c r="A97" s="1">
        <v>40318</v>
      </c>
      <c r="B97">
        <v>2569.58</v>
      </c>
      <c r="C97">
        <v>3432.52</v>
      </c>
      <c r="D97">
        <v>5867.88</v>
      </c>
      <c r="E97">
        <v>5886.8692600000004</v>
      </c>
      <c r="F97">
        <v>9270.5</v>
      </c>
      <c r="G97">
        <v>19282.05</v>
      </c>
    </row>
    <row r="98" spans="1:7" x14ac:dyDescent="0.35">
      <c r="A98" s="1">
        <v>40319</v>
      </c>
      <c r="B98">
        <v>2574.1799999999998</v>
      </c>
      <c r="C98">
        <v>3430.74</v>
      </c>
      <c r="D98">
        <v>5829.25</v>
      </c>
      <c r="E98">
        <v>5821.3609500000002</v>
      </c>
      <c r="F98">
        <v>9407.2999999999993</v>
      </c>
      <c r="G98">
        <v>19535.91</v>
      </c>
    </row>
    <row r="99" spans="1:7" x14ac:dyDescent="0.35">
      <c r="A99" s="1">
        <v>40322</v>
      </c>
      <c r="B99">
        <v>2558.27</v>
      </c>
      <c r="C99">
        <v>3430.93</v>
      </c>
      <c r="D99">
        <v>5805.68</v>
      </c>
      <c r="E99">
        <v>5898.6182399999998</v>
      </c>
      <c r="F99">
        <v>9287.9</v>
      </c>
      <c r="G99">
        <v>19030.490000000002</v>
      </c>
    </row>
    <row r="100" spans="1:7" x14ac:dyDescent="0.35">
      <c r="A100" s="1">
        <v>40323</v>
      </c>
      <c r="B100">
        <v>2488.5</v>
      </c>
      <c r="C100">
        <v>3331.29</v>
      </c>
      <c r="D100">
        <v>5670.04</v>
      </c>
      <c r="E100">
        <v>5773.4421300000004</v>
      </c>
      <c r="F100">
        <v>9004.4</v>
      </c>
      <c r="G100">
        <v>18382.71</v>
      </c>
    </row>
    <row r="101" spans="1:7" x14ac:dyDescent="0.35">
      <c r="A101" s="1">
        <v>40324</v>
      </c>
      <c r="B101">
        <v>2530.34</v>
      </c>
      <c r="C101">
        <v>3408.59</v>
      </c>
      <c r="D101">
        <v>5758.02</v>
      </c>
      <c r="E101">
        <v>5941.8121199999996</v>
      </c>
      <c r="F101">
        <v>9042.6</v>
      </c>
      <c r="G101">
        <v>18778.41</v>
      </c>
    </row>
    <row r="102" spans="1:7" x14ac:dyDescent="0.35">
      <c r="A102" s="1">
        <v>40325</v>
      </c>
      <c r="B102">
        <v>2619.36</v>
      </c>
      <c r="C102">
        <v>3525.31</v>
      </c>
      <c r="D102">
        <v>5937.14</v>
      </c>
      <c r="E102">
        <v>6118.9427400000004</v>
      </c>
      <c r="F102">
        <v>9334.9</v>
      </c>
      <c r="G102">
        <v>19631.87</v>
      </c>
    </row>
    <row r="103" spans="1:7" x14ac:dyDescent="0.35">
      <c r="A103" s="1">
        <v>40326</v>
      </c>
      <c r="B103">
        <v>2614.06</v>
      </c>
      <c r="C103">
        <v>3515.06</v>
      </c>
      <c r="D103">
        <v>5946.18</v>
      </c>
      <c r="E103">
        <v>6099.7516699999996</v>
      </c>
      <c r="F103">
        <v>9425.5</v>
      </c>
      <c r="G103">
        <v>19475.88</v>
      </c>
    </row>
    <row r="104" spans="1:7" x14ac:dyDescent="0.35">
      <c r="A104" s="1">
        <v>40330</v>
      </c>
      <c r="B104">
        <v>2606.58</v>
      </c>
      <c r="C104">
        <v>3503.08</v>
      </c>
      <c r="D104">
        <v>5981.27</v>
      </c>
      <c r="E104">
        <v>6170.6398099999997</v>
      </c>
      <c r="F104">
        <v>9299.7000000000007</v>
      </c>
      <c r="G104">
        <v>19279.18</v>
      </c>
    </row>
    <row r="105" spans="1:7" x14ac:dyDescent="0.35">
      <c r="A105" s="1">
        <v>40331</v>
      </c>
      <c r="B105">
        <v>2601.98</v>
      </c>
      <c r="C105">
        <v>3501.5</v>
      </c>
      <c r="D105">
        <v>5981.2</v>
      </c>
      <c r="E105">
        <v>6161.7453699999996</v>
      </c>
      <c r="F105">
        <v>9268</v>
      </c>
      <c r="G105">
        <v>19183.13</v>
      </c>
    </row>
    <row r="106" spans="1:7" x14ac:dyDescent="0.35">
      <c r="A106" s="1">
        <v>40332</v>
      </c>
      <c r="B106">
        <v>2634.16</v>
      </c>
      <c r="C106">
        <v>3557.34</v>
      </c>
      <c r="D106">
        <v>6054.63</v>
      </c>
      <c r="E106">
        <v>6249.0505199999998</v>
      </c>
      <c r="F106">
        <v>9276.2000000000007</v>
      </c>
      <c r="G106">
        <v>19473.349999999999</v>
      </c>
    </row>
    <row r="107" spans="1:7" x14ac:dyDescent="0.35">
      <c r="A107" s="1">
        <v>40333</v>
      </c>
      <c r="B107">
        <v>2553.59</v>
      </c>
      <c r="C107">
        <v>3455.61</v>
      </c>
      <c r="D107">
        <v>5938.88</v>
      </c>
      <c r="E107">
        <v>6184.0370999999996</v>
      </c>
      <c r="F107">
        <v>8923.4</v>
      </c>
      <c r="G107">
        <v>18734.73</v>
      </c>
    </row>
    <row r="108" spans="1:7" x14ac:dyDescent="0.35">
      <c r="A108" s="1">
        <v>40336</v>
      </c>
      <c r="B108">
        <v>2529.9699999999998</v>
      </c>
      <c r="C108">
        <v>3413.72</v>
      </c>
      <c r="D108">
        <v>5904.95</v>
      </c>
      <c r="E108">
        <v>6142.92713</v>
      </c>
      <c r="F108">
        <v>8795.2999999999993</v>
      </c>
      <c r="G108">
        <v>18631.18</v>
      </c>
    </row>
    <row r="109" spans="1:7" x14ac:dyDescent="0.35">
      <c r="A109" s="1">
        <v>40337</v>
      </c>
      <c r="B109">
        <v>2510.84</v>
      </c>
      <c r="C109">
        <v>3380.36</v>
      </c>
      <c r="D109">
        <v>5868.55</v>
      </c>
      <c r="E109">
        <v>6059.2315399999998</v>
      </c>
      <c r="F109">
        <v>8669.7999999999993</v>
      </c>
      <c r="G109">
        <v>18542.8</v>
      </c>
    </row>
    <row r="110" spans="1:7" x14ac:dyDescent="0.35">
      <c r="A110" s="1">
        <v>40338</v>
      </c>
      <c r="B110">
        <v>2556.6799999999998</v>
      </c>
      <c r="C110">
        <v>3446.77</v>
      </c>
      <c r="D110">
        <v>5984.75</v>
      </c>
      <c r="E110">
        <v>6158.8369499999999</v>
      </c>
      <c r="F110">
        <v>8868.7000000000007</v>
      </c>
      <c r="G110">
        <v>18912.91</v>
      </c>
    </row>
    <row r="111" spans="1:7" x14ac:dyDescent="0.35">
      <c r="A111" s="1">
        <v>40339</v>
      </c>
      <c r="B111">
        <v>2608.7399999999998</v>
      </c>
      <c r="C111">
        <v>3516.64</v>
      </c>
      <c r="D111">
        <v>6056.59</v>
      </c>
      <c r="E111">
        <v>6225.43408</v>
      </c>
      <c r="F111">
        <v>9198.2000000000007</v>
      </c>
      <c r="G111">
        <v>19391.09</v>
      </c>
    </row>
    <row r="112" spans="1:7" x14ac:dyDescent="0.35">
      <c r="A112" s="1">
        <v>40340</v>
      </c>
      <c r="B112">
        <v>2638.31</v>
      </c>
      <c r="C112">
        <v>3555.52</v>
      </c>
      <c r="D112">
        <v>6047.83</v>
      </c>
      <c r="E112">
        <v>6214.7399800000003</v>
      </c>
      <c r="F112">
        <v>9561.7000000000007</v>
      </c>
      <c r="G112">
        <v>19660.27</v>
      </c>
    </row>
    <row r="113" spans="1:7" x14ac:dyDescent="0.35">
      <c r="A113" s="1">
        <v>40343</v>
      </c>
      <c r="B113">
        <v>2683.46</v>
      </c>
      <c r="C113">
        <v>3626.04</v>
      </c>
      <c r="D113">
        <v>6125</v>
      </c>
      <c r="E113">
        <v>6259.3699399999996</v>
      </c>
      <c r="F113">
        <v>9584</v>
      </c>
      <c r="G113">
        <v>20188.54</v>
      </c>
    </row>
    <row r="114" spans="1:7" x14ac:dyDescent="0.35">
      <c r="A114" s="1">
        <v>40344</v>
      </c>
      <c r="B114">
        <v>2716.3</v>
      </c>
      <c r="C114">
        <v>3661.51</v>
      </c>
      <c r="D114">
        <v>6175.05</v>
      </c>
      <c r="E114">
        <v>6268.9160099999999</v>
      </c>
      <c r="F114">
        <v>9742</v>
      </c>
      <c r="G114">
        <v>20582.72</v>
      </c>
    </row>
    <row r="115" spans="1:7" x14ac:dyDescent="0.35">
      <c r="A115" s="1">
        <v>40345</v>
      </c>
      <c r="B115">
        <v>2718.73</v>
      </c>
      <c r="C115">
        <v>3675.93</v>
      </c>
      <c r="D115">
        <v>6190.91</v>
      </c>
      <c r="E115">
        <v>6306.8572199999999</v>
      </c>
      <c r="F115">
        <v>9683.2999999999993</v>
      </c>
      <c r="G115">
        <v>20562.63</v>
      </c>
    </row>
    <row r="116" spans="1:7" x14ac:dyDescent="0.35">
      <c r="A116" s="1">
        <v>40346</v>
      </c>
      <c r="B116">
        <v>2728.12</v>
      </c>
      <c r="C116">
        <v>3683.08</v>
      </c>
      <c r="D116">
        <v>6223.54</v>
      </c>
      <c r="E116">
        <v>6295.7342600000002</v>
      </c>
      <c r="F116">
        <v>9755.1</v>
      </c>
      <c r="G116">
        <v>20568.91</v>
      </c>
    </row>
    <row r="117" spans="1:7" x14ac:dyDescent="0.35">
      <c r="A117" s="1">
        <v>40347</v>
      </c>
      <c r="B117">
        <v>2737.02</v>
      </c>
      <c r="C117">
        <v>3687.21</v>
      </c>
      <c r="D117">
        <v>6216.98</v>
      </c>
      <c r="E117">
        <v>6288.1793200000002</v>
      </c>
      <c r="F117">
        <v>9971.7999999999993</v>
      </c>
      <c r="G117">
        <v>20752.310000000001</v>
      </c>
    </row>
    <row r="118" spans="1:7" x14ac:dyDescent="0.35">
      <c r="A118" s="1">
        <v>40350</v>
      </c>
      <c r="B118">
        <v>2768.27</v>
      </c>
      <c r="C118">
        <v>3736.15</v>
      </c>
      <c r="D118">
        <v>6292.97</v>
      </c>
      <c r="E118">
        <v>6352.9224800000002</v>
      </c>
      <c r="F118">
        <v>10071.9</v>
      </c>
      <c r="G118">
        <v>20810.439999999999</v>
      </c>
    </row>
    <row r="119" spans="1:7" x14ac:dyDescent="0.35">
      <c r="A119" s="1">
        <v>40351</v>
      </c>
      <c r="B119">
        <v>2745.97</v>
      </c>
      <c r="C119">
        <v>3705.32</v>
      </c>
      <c r="D119">
        <v>6269.04</v>
      </c>
      <c r="E119">
        <v>6329.4600700000001</v>
      </c>
      <c r="F119">
        <v>10016.1</v>
      </c>
      <c r="G119">
        <v>20609.03</v>
      </c>
    </row>
    <row r="120" spans="1:7" x14ac:dyDescent="0.35">
      <c r="A120" s="1">
        <v>40352</v>
      </c>
      <c r="B120">
        <v>2704.8</v>
      </c>
      <c r="C120">
        <v>3641.79</v>
      </c>
      <c r="D120">
        <v>6204.52</v>
      </c>
      <c r="E120">
        <v>6294.5111299999999</v>
      </c>
      <c r="F120">
        <v>9886</v>
      </c>
      <c r="G120">
        <v>20358.919999999998</v>
      </c>
    </row>
    <row r="121" spans="1:7" x14ac:dyDescent="0.35">
      <c r="A121" s="1">
        <v>40353</v>
      </c>
      <c r="B121">
        <v>2645.32</v>
      </c>
      <c r="C121">
        <v>3555.36</v>
      </c>
      <c r="D121">
        <v>6115.48</v>
      </c>
      <c r="E121">
        <v>6172.1161599999996</v>
      </c>
      <c r="F121">
        <v>9586.5</v>
      </c>
      <c r="G121">
        <v>19942.39</v>
      </c>
    </row>
    <row r="122" spans="1:7" x14ac:dyDescent="0.35">
      <c r="A122" s="1">
        <v>40354</v>
      </c>
      <c r="B122">
        <v>2629.25</v>
      </c>
      <c r="C122">
        <v>3519.73</v>
      </c>
      <c r="D122">
        <v>6070.6</v>
      </c>
      <c r="E122">
        <v>6127.6228600000004</v>
      </c>
      <c r="F122">
        <v>9535</v>
      </c>
      <c r="G122">
        <v>19961.740000000002</v>
      </c>
    </row>
    <row r="123" spans="1:7" x14ac:dyDescent="0.35">
      <c r="A123" s="1">
        <v>40357</v>
      </c>
      <c r="B123">
        <v>2668.67</v>
      </c>
      <c r="C123">
        <v>3576.45</v>
      </c>
      <c r="D123">
        <v>6157.22</v>
      </c>
      <c r="E123">
        <v>6223.5097500000002</v>
      </c>
      <c r="F123">
        <v>9688.5</v>
      </c>
      <c r="G123">
        <v>20130.61</v>
      </c>
    </row>
    <row r="124" spans="1:7" x14ac:dyDescent="0.35">
      <c r="A124" s="1">
        <v>40358</v>
      </c>
      <c r="B124">
        <v>2556.34</v>
      </c>
      <c r="C124">
        <v>3432.99</v>
      </c>
      <c r="D124">
        <v>5952.03</v>
      </c>
      <c r="E124">
        <v>6073.1354099999999</v>
      </c>
      <c r="F124">
        <v>9160.4</v>
      </c>
      <c r="G124">
        <v>19236.259999999998</v>
      </c>
    </row>
    <row r="125" spans="1:7" x14ac:dyDescent="0.35">
      <c r="A125" s="1">
        <v>40359</v>
      </c>
      <c r="B125">
        <v>2573.3200000000002</v>
      </c>
      <c r="C125">
        <v>3442.89</v>
      </c>
      <c r="D125">
        <v>5965.52</v>
      </c>
      <c r="E125">
        <v>6002.37626</v>
      </c>
      <c r="F125">
        <v>9263.4</v>
      </c>
      <c r="G125">
        <v>19311.75</v>
      </c>
    </row>
    <row r="126" spans="1:7" x14ac:dyDescent="0.35">
      <c r="A126" s="1">
        <v>40360</v>
      </c>
      <c r="B126">
        <v>2518.65</v>
      </c>
      <c r="C126">
        <v>3339.9</v>
      </c>
      <c r="D126">
        <v>5857.43</v>
      </c>
      <c r="E126">
        <v>5834.20136</v>
      </c>
      <c r="F126">
        <v>9178.2000000000007</v>
      </c>
      <c r="G126">
        <v>18943.759999999998</v>
      </c>
    </row>
    <row r="127" spans="1:7" x14ac:dyDescent="0.35">
      <c r="A127" s="1">
        <v>40361</v>
      </c>
      <c r="B127">
        <v>2522.36</v>
      </c>
      <c r="C127">
        <v>3348.37</v>
      </c>
      <c r="D127">
        <v>5834.15</v>
      </c>
      <c r="E127">
        <v>5858.2389199999998</v>
      </c>
      <c r="F127">
        <v>9250.7999999999993</v>
      </c>
      <c r="G127">
        <v>19073.849999999999</v>
      </c>
    </row>
    <row r="128" spans="1:7" x14ac:dyDescent="0.35">
      <c r="A128" s="1">
        <v>40364</v>
      </c>
      <c r="B128">
        <v>2507.83</v>
      </c>
      <c r="C128">
        <v>3332.46</v>
      </c>
      <c r="D128">
        <v>5816.2</v>
      </c>
      <c r="E128">
        <v>5823.7320099999997</v>
      </c>
      <c r="F128">
        <v>9281.5</v>
      </c>
      <c r="G128">
        <v>18848.560000000001</v>
      </c>
    </row>
    <row r="129" spans="1:7" x14ac:dyDescent="0.35">
      <c r="A129" s="1">
        <v>40365</v>
      </c>
      <c r="B129">
        <v>2578.69</v>
      </c>
      <c r="C129">
        <v>3423.36</v>
      </c>
      <c r="D129">
        <v>5940.98</v>
      </c>
      <c r="E129">
        <v>5958.5500099999999</v>
      </c>
      <c r="F129">
        <v>9615</v>
      </c>
      <c r="G129">
        <v>19356.66</v>
      </c>
    </row>
    <row r="130" spans="1:7" x14ac:dyDescent="0.35">
      <c r="A130" s="1">
        <v>40366</v>
      </c>
      <c r="B130">
        <v>2634.39</v>
      </c>
      <c r="C130">
        <v>3483.44</v>
      </c>
      <c r="D130">
        <v>5992.86</v>
      </c>
      <c r="E130">
        <v>6042.2872799999996</v>
      </c>
      <c r="F130">
        <v>9987.4</v>
      </c>
      <c r="G130">
        <v>20013.07</v>
      </c>
    </row>
    <row r="131" spans="1:7" x14ac:dyDescent="0.35">
      <c r="A131" s="1">
        <v>40367</v>
      </c>
      <c r="B131">
        <v>2666.42</v>
      </c>
      <c r="C131">
        <v>3538.25</v>
      </c>
      <c r="D131">
        <v>6035.66</v>
      </c>
      <c r="E131">
        <v>6099.9919799999998</v>
      </c>
      <c r="F131">
        <v>10080.5</v>
      </c>
      <c r="G131">
        <v>20243.73</v>
      </c>
    </row>
    <row r="132" spans="1:7" x14ac:dyDescent="0.35">
      <c r="A132" s="1">
        <v>40368</v>
      </c>
      <c r="B132">
        <v>2681.2</v>
      </c>
      <c r="C132">
        <v>3554.48</v>
      </c>
      <c r="D132">
        <v>6065.24</v>
      </c>
      <c r="E132">
        <v>6112.6914999999999</v>
      </c>
      <c r="F132">
        <v>10127.299999999999</v>
      </c>
      <c r="G132">
        <v>20478.98</v>
      </c>
    </row>
    <row r="133" spans="1:7" x14ac:dyDescent="0.35">
      <c r="A133" s="1">
        <v>40371</v>
      </c>
      <c r="B133">
        <v>2686.09</v>
      </c>
      <c r="C133">
        <v>3567.66</v>
      </c>
      <c r="D133">
        <v>6077.19</v>
      </c>
      <c r="E133">
        <v>6170.1335799999997</v>
      </c>
      <c r="F133">
        <v>10058.200000000001</v>
      </c>
      <c r="G133">
        <v>20517.919999999998</v>
      </c>
    </row>
    <row r="134" spans="1:7" x14ac:dyDescent="0.35">
      <c r="A134" s="1">
        <v>40372</v>
      </c>
      <c r="B134">
        <v>2737.59</v>
      </c>
      <c r="C134">
        <v>3637.76</v>
      </c>
      <c r="D134">
        <v>6191.13</v>
      </c>
      <c r="E134">
        <v>6285.6509100000003</v>
      </c>
      <c r="F134">
        <v>10259.5</v>
      </c>
      <c r="G134">
        <v>20851.849999999999</v>
      </c>
    </row>
    <row r="135" spans="1:7" x14ac:dyDescent="0.35">
      <c r="A135" s="1">
        <v>40373</v>
      </c>
      <c r="B135">
        <v>2738.96</v>
      </c>
      <c r="C135">
        <v>3632.98</v>
      </c>
      <c r="D135">
        <v>6209.76</v>
      </c>
      <c r="E135">
        <v>6284.4538000000002</v>
      </c>
      <c r="F135">
        <v>10278.5</v>
      </c>
      <c r="G135">
        <v>20804.37</v>
      </c>
    </row>
    <row r="136" spans="1:7" x14ac:dyDescent="0.35">
      <c r="A136" s="1">
        <v>40374</v>
      </c>
      <c r="B136">
        <v>2702.81</v>
      </c>
      <c r="C136">
        <v>3581.82</v>
      </c>
      <c r="D136">
        <v>6149.36</v>
      </c>
      <c r="E136">
        <v>6214.8619200000003</v>
      </c>
      <c r="F136">
        <v>10160.200000000001</v>
      </c>
      <c r="G136">
        <v>20480.080000000002</v>
      </c>
    </row>
    <row r="137" spans="1:7" x14ac:dyDescent="0.35">
      <c r="A137" s="1">
        <v>40375</v>
      </c>
      <c r="B137">
        <v>2645.61</v>
      </c>
      <c r="C137">
        <v>3500.16</v>
      </c>
      <c r="D137">
        <v>6040.27</v>
      </c>
      <c r="E137">
        <v>6110.1839600000003</v>
      </c>
      <c r="F137">
        <v>9991.7000000000007</v>
      </c>
      <c r="G137">
        <v>20161.02</v>
      </c>
    </row>
    <row r="138" spans="1:7" x14ac:dyDescent="0.35">
      <c r="A138" s="1">
        <v>40378</v>
      </c>
      <c r="B138">
        <v>2634.6</v>
      </c>
      <c r="C138">
        <v>3486.33</v>
      </c>
      <c r="D138">
        <v>6009.11</v>
      </c>
      <c r="E138">
        <v>6051.7518899999995</v>
      </c>
      <c r="F138">
        <v>9929.7999999999993</v>
      </c>
      <c r="G138">
        <v>20117.54</v>
      </c>
    </row>
    <row r="139" spans="1:7" x14ac:dyDescent="0.35">
      <c r="A139" s="1">
        <v>40379</v>
      </c>
      <c r="B139">
        <v>2627.28</v>
      </c>
      <c r="C139">
        <v>3468.02</v>
      </c>
      <c r="D139">
        <v>5967.49</v>
      </c>
      <c r="E139">
        <v>6088.3936999999996</v>
      </c>
      <c r="F139">
        <v>10061.299999999999</v>
      </c>
      <c r="G139">
        <v>19985.32</v>
      </c>
    </row>
    <row r="140" spans="1:7" x14ac:dyDescent="0.35">
      <c r="A140" s="1">
        <v>40380</v>
      </c>
      <c r="B140">
        <v>2639.52</v>
      </c>
      <c r="C140">
        <v>3493.92</v>
      </c>
      <c r="D140">
        <v>5990.38</v>
      </c>
      <c r="E140">
        <v>6184.44578</v>
      </c>
      <c r="F140">
        <v>10040.799999999999</v>
      </c>
      <c r="G140">
        <v>20137.919999999998</v>
      </c>
    </row>
    <row r="141" spans="1:7" x14ac:dyDescent="0.35">
      <c r="A141" s="1">
        <v>40381</v>
      </c>
      <c r="B141">
        <v>2714.21</v>
      </c>
      <c r="C141">
        <v>3600.57</v>
      </c>
      <c r="D141">
        <v>6142.15</v>
      </c>
      <c r="E141">
        <v>6289.4373900000001</v>
      </c>
      <c r="F141">
        <v>10302.9</v>
      </c>
      <c r="G141">
        <v>20694.259999999998</v>
      </c>
    </row>
    <row r="142" spans="1:7" x14ac:dyDescent="0.35">
      <c r="A142" s="1">
        <v>40382</v>
      </c>
      <c r="B142">
        <v>2719.13</v>
      </c>
      <c r="C142">
        <v>3607.05</v>
      </c>
      <c r="D142">
        <v>6166.34</v>
      </c>
      <c r="E142">
        <v>6368.1156300000002</v>
      </c>
      <c r="F142">
        <v>10388.200000000001</v>
      </c>
      <c r="G142">
        <v>20604.080000000002</v>
      </c>
    </row>
    <row r="143" spans="1:7" x14ac:dyDescent="0.35">
      <c r="A143" s="1">
        <v>40385</v>
      </c>
      <c r="B143">
        <v>2743.12</v>
      </c>
      <c r="C143">
        <v>3636.18</v>
      </c>
      <c r="D143">
        <v>6194.21</v>
      </c>
      <c r="E143">
        <v>6379.1676799999996</v>
      </c>
      <c r="F143">
        <v>10506.7</v>
      </c>
      <c r="G143">
        <v>20819.96</v>
      </c>
    </row>
    <row r="144" spans="1:7" x14ac:dyDescent="0.35">
      <c r="A144" s="1">
        <v>40386</v>
      </c>
      <c r="B144">
        <v>2769.31</v>
      </c>
      <c r="C144">
        <v>3666.4</v>
      </c>
      <c r="D144">
        <v>6207.31</v>
      </c>
      <c r="E144">
        <v>6432.19247</v>
      </c>
      <c r="F144">
        <v>10645</v>
      </c>
      <c r="G144">
        <v>21158.080000000002</v>
      </c>
    </row>
    <row r="145" spans="1:7" x14ac:dyDescent="0.35">
      <c r="A145" s="1">
        <v>40387</v>
      </c>
      <c r="B145">
        <v>2766.11</v>
      </c>
      <c r="C145">
        <v>3670.36</v>
      </c>
      <c r="D145">
        <v>6178.94</v>
      </c>
      <c r="E145">
        <v>6387.4631300000001</v>
      </c>
      <c r="F145">
        <v>10643.9</v>
      </c>
      <c r="G145">
        <v>21082.06</v>
      </c>
    </row>
    <row r="146" spans="1:7" x14ac:dyDescent="0.35">
      <c r="A146" s="1">
        <v>40388</v>
      </c>
      <c r="B146">
        <v>2752.93</v>
      </c>
      <c r="C146">
        <v>3651.91</v>
      </c>
      <c r="D146">
        <v>6134.7</v>
      </c>
      <c r="E146">
        <v>6338.6293999999998</v>
      </c>
      <c r="F146">
        <v>10659.5</v>
      </c>
      <c r="G146">
        <v>21096.97</v>
      </c>
    </row>
    <row r="147" spans="1:7" x14ac:dyDescent="0.35">
      <c r="A147" s="1">
        <v>40389</v>
      </c>
      <c r="B147">
        <v>2742.14</v>
      </c>
      <c r="C147">
        <v>3643.14</v>
      </c>
      <c r="D147">
        <v>6147.97</v>
      </c>
      <c r="E147">
        <v>6324.6952700000002</v>
      </c>
      <c r="F147">
        <v>10499.8</v>
      </c>
      <c r="G147">
        <v>21021.56</v>
      </c>
    </row>
    <row r="148" spans="1:7" x14ac:dyDescent="0.35">
      <c r="A148" s="1">
        <v>40392</v>
      </c>
      <c r="B148">
        <v>2822.17</v>
      </c>
      <c r="C148">
        <v>3752.03</v>
      </c>
      <c r="D148">
        <v>6292.13</v>
      </c>
      <c r="E148">
        <v>6510.71479</v>
      </c>
      <c r="F148">
        <v>10835.4</v>
      </c>
      <c r="G148">
        <v>21547.84</v>
      </c>
    </row>
    <row r="149" spans="1:7" x14ac:dyDescent="0.35">
      <c r="A149" s="1">
        <v>40393</v>
      </c>
      <c r="B149">
        <v>2818.97</v>
      </c>
      <c r="C149">
        <v>3747.51</v>
      </c>
      <c r="D149">
        <v>6307.91</v>
      </c>
      <c r="E149">
        <v>6498.2936300000001</v>
      </c>
      <c r="F149">
        <v>10871.4</v>
      </c>
      <c r="G149">
        <v>21498.32</v>
      </c>
    </row>
    <row r="150" spans="1:7" x14ac:dyDescent="0.35">
      <c r="A150" s="1">
        <v>40394</v>
      </c>
      <c r="B150">
        <v>2825.08</v>
      </c>
      <c r="C150">
        <v>3760.72</v>
      </c>
      <c r="D150">
        <v>6331.33</v>
      </c>
      <c r="E150">
        <v>6501.3849799999998</v>
      </c>
      <c r="F150">
        <v>10843.3</v>
      </c>
      <c r="G150">
        <v>21466.44</v>
      </c>
    </row>
    <row r="151" spans="1:7" x14ac:dyDescent="0.35">
      <c r="A151" s="1">
        <v>40395</v>
      </c>
      <c r="B151">
        <v>2819.34</v>
      </c>
      <c r="C151">
        <v>3764.19</v>
      </c>
      <c r="D151">
        <v>6333.58</v>
      </c>
      <c r="E151">
        <v>6468.7005900000004</v>
      </c>
      <c r="F151">
        <v>10840</v>
      </c>
      <c r="G151">
        <v>21302.97</v>
      </c>
    </row>
    <row r="152" spans="1:7" x14ac:dyDescent="0.35">
      <c r="A152" s="1">
        <v>40396</v>
      </c>
      <c r="B152">
        <v>2779.34</v>
      </c>
      <c r="C152">
        <v>3716.05</v>
      </c>
      <c r="D152">
        <v>6259.63</v>
      </c>
      <c r="E152">
        <v>6408.4346299999997</v>
      </c>
      <c r="F152">
        <v>10651.1</v>
      </c>
      <c r="G152">
        <v>21084.47</v>
      </c>
    </row>
    <row r="153" spans="1:7" x14ac:dyDescent="0.35">
      <c r="A153" s="1">
        <v>40399</v>
      </c>
      <c r="B153">
        <v>2827.27</v>
      </c>
      <c r="C153">
        <v>3777.37</v>
      </c>
      <c r="D153">
        <v>6351.6</v>
      </c>
      <c r="E153">
        <v>6513.9732400000003</v>
      </c>
      <c r="F153">
        <v>10812.6</v>
      </c>
      <c r="G153">
        <v>21341.62</v>
      </c>
    </row>
    <row r="154" spans="1:7" x14ac:dyDescent="0.35">
      <c r="A154" s="1">
        <v>40400</v>
      </c>
      <c r="B154">
        <v>2800.02</v>
      </c>
      <c r="C154">
        <v>3730.58</v>
      </c>
      <c r="D154">
        <v>6286.25</v>
      </c>
      <c r="E154">
        <v>6473.2517399999997</v>
      </c>
      <c r="F154">
        <v>10718.5</v>
      </c>
      <c r="G154">
        <v>21259.89</v>
      </c>
    </row>
    <row r="155" spans="1:7" x14ac:dyDescent="0.35">
      <c r="A155" s="1">
        <v>40401</v>
      </c>
      <c r="B155">
        <v>2724.16</v>
      </c>
      <c r="C155">
        <v>3628.29</v>
      </c>
      <c r="D155">
        <v>6154.07</v>
      </c>
      <c r="E155">
        <v>6373.71994</v>
      </c>
      <c r="F155">
        <v>10374.799999999999</v>
      </c>
      <c r="G155">
        <v>20579.240000000002</v>
      </c>
    </row>
    <row r="156" spans="1:7" x14ac:dyDescent="0.35">
      <c r="A156" s="1">
        <v>40402</v>
      </c>
      <c r="B156">
        <v>2720.85</v>
      </c>
      <c r="C156">
        <v>3621.07</v>
      </c>
      <c r="D156">
        <v>6135.17</v>
      </c>
      <c r="E156">
        <v>6384.6058999999996</v>
      </c>
      <c r="F156">
        <v>10342.4</v>
      </c>
      <c r="G156">
        <v>20539.400000000001</v>
      </c>
    </row>
    <row r="157" spans="1:7" x14ac:dyDescent="0.35">
      <c r="A157" s="1">
        <v>40403</v>
      </c>
      <c r="B157">
        <v>2708.73</v>
      </c>
      <c r="C157">
        <v>3610.91</v>
      </c>
      <c r="D157">
        <v>6110.41</v>
      </c>
      <c r="E157">
        <v>6433.0510100000001</v>
      </c>
      <c r="F157">
        <v>10275.799999999999</v>
      </c>
      <c r="G157">
        <v>20473.150000000001</v>
      </c>
    </row>
    <row r="158" spans="1:7" x14ac:dyDescent="0.35">
      <c r="A158" s="1">
        <v>40406</v>
      </c>
      <c r="B158">
        <v>2698.29</v>
      </c>
      <c r="C158">
        <v>3597.6</v>
      </c>
      <c r="D158">
        <v>6110.57</v>
      </c>
      <c r="E158">
        <v>6445.8266199999998</v>
      </c>
      <c r="F158">
        <v>10258.299999999999</v>
      </c>
      <c r="G158">
        <v>20409.060000000001</v>
      </c>
    </row>
    <row r="159" spans="1:7" x14ac:dyDescent="0.35">
      <c r="A159" s="1">
        <v>40407</v>
      </c>
      <c r="B159">
        <v>2737.69</v>
      </c>
      <c r="C159">
        <v>3663.13</v>
      </c>
      <c r="D159">
        <v>6206.4</v>
      </c>
      <c r="E159">
        <v>6474.3566799999999</v>
      </c>
      <c r="F159">
        <v>10369.5</v>
      </c>
      <c r="G159">
        <v>20668.57</v>
      </c>
    </row>
    <row r="160" spans="1:7" x14ac:dyDescent="0.35">
      <c r="A160" s="1">
        <v>40408</v>
      </c>
      <c r="B160">
        <v>2728.66</v>
      </c>
      <c r="C160">
        <v>3647.93</v>
      </c>
      <c r="D160">
        <v>6186.31</v>
      </c>
      <c r="E160">
        <v>6432.2268599999998</v>
      </c>
      <c r="F160">
        <v>10391</v>
      </c>
      <c r="G160">
        <v>20536.77</v>
      </c>
    </row>
    <row r="161" spans="1:7" x14ac:dyDescent="0.35">
      <c r="A161" s="1">
        <v>40409</v>
      </c>
      <c r="B161">
        <v>2675.02</v>
      </c>
      <c r="C161">
        <v>3572.4</v>
      </c>
      <c r="D161">
        <v>6075.13</v>
      </c>
      <c r="E161">
        <v>6344.3381600000002</v>
      </c>
      <c r="F161">
        <v>10238</v>
      </c>
      <c r="G161">
        <v>20115.689999999999</v>
      </c>
    </row>
    <row r="162" spans="1:7" x14ac:dyDescent="0.35">
      <c r="A162" s="1">
        <v>40410</v>
      </c>
      <c r="B162">
        <v>2643.98</v>
      </c>
      <c r="C162">
        <v>3526.12</v>
      </c>
      <c r="D162">
        <v>6005.16</v>
      </c>
      <c r="E162">
        <v>6350.6952300000003</v>
      </c>
      <c r="F162">
        <v>10094.299999999999</v>
      </c>
      <c r="G162">
        <v>19870.46</v>
      </c>
    </row>
    <row r="163" spans="1:7" x14ac:dyDescent="0.35">
      <c r="A163" s="1">
        <v>40413</v>
      </c>
      <c r="B163">
        <v>2660.84</v>
      </c>
      <c r="C163">
        <v>3553.23</v>
      </c>
      <c r="D163">
        <v>6010.91</v>
      </c>
      <c r="E163">
        <v>6412.4620699999996</v>
      </c>
      <c r="F163">
        <v>10221.200000000001</v>
      </c>
      <c r="G163">
        <v>20010.34</v>
      </c>
    </row>
    <row r="164" spans="1:7" x14ac:dyDescent="0.35">
      <c r="A164" s="1">
        <v>40414</v>
      </c>
      <c r="B164">
        <v>2614.54</v>
      </c>
      <c r="C164">
        <v>3491.11</v>
      </c>
      <c r="D164">
        <v>5935.44</v>
      </c>
      <c r="E164">
        <v>6291.1378599999998</v>
      </c>
      <c r="F164">
        <v>10052.299999999999</v>
      </c>
      <c r="G164">
        <v>19694.88</v>
      </c>
    </row>
    <row r="165" spans="1:7" x14ac:dyDescent="0.35">
      <c r="A165" s="1">
        <v>40415</v>
      </c>
      <c r="B165">
        <v>2587.4</v>
      </c>
      <c r="C165">
        <v>3450.19</v>
      </c>
      <c r="D165">
        <v>5899.5</v>
      </c>
      <c r="E165">
        <v>6236.9778100000003</v>
      </c>
      <c r="F165">
        <v>9894</v>
      </c>
      <c r="G165">
        <v>19465.45</v>
      </c>
    </row>
    <row r="166" spans="1:7" x14ac:dyDescent="0.35">
      <c r="A166" s="1">
        <v>40416</v>
      </c>
      <c r="B166">
        <v>2606.89</v>
      </c>
      <c r="C166">
        <v>3475.03</v>
      </c>
      <c r="D166">
        <v>5912.58</v>
      </c>
      <c r="E166">
        <v>6304.0625700000001</v>
      </c>
      <c r="F166">
        <v>10004.4</v>
      </c>
      <c r="G166">
        <v>19735.47</v>
      </c>
    </row>
    <row r="167" spans="1:7" x14ac:dyDescent="0.35">
      <c r="A167" s="1">
        <v>40417</v>
      </c>
      <c r="B167">
        <v>2630.35</v>
      </c>
      <c r="C167">
        <v>3507.44</v>
      </c>
      <c r="D167">
        <v>5951.17</v>
      </c>
      <c r="E167">
        <v>6332.3871399999998</v>
      </c>
      <c r="F167">
        <v>10148.200000000001</v>
      </c>
      <c r="G167">
        <v>19817.46</v>
      </c>
    </row>
    <row r="168" spans="1:7" x14ac:dyDescent="0.35">
      <c r="A168" s="1">
        <v>40421</v>
      </c>
      <c r="B168">
        <v>2622.95</v>
      </c>
      <c r="C168">
        <v>3490.79</v>
      </c>
      <c r="D168">
        <v>5925.22</v>
      </c>
      <c r="E168">
        <v>6316.4669899999999</v>
      </c>
      <c r="F168">
        <v>10187</v>
      </c>
      <c r="G168">
        <v>19734.57</v>
      </c>
    </row>
    <row r="169" spans="1:7" x14ac:dyDescent="0.35">
      <c r="A169" s="1">
        <v>40422</v>
      </c>
      <c r="B169">
        <v>2715.27</v>
      </c>
      <c r="C169">
        <v>3623.84</v>
      </c>
      <c r="D169">
        <v>6083.9</v>
      </c>
      <c r="E169">
        <v>6479.8687799999998</v>
      </c>
      <c r="F169">
        <v>10544.8</v>
      </c>
      <c r="G169">
        <v>20369.96</v>
      </c>
    </row>
    <row r="170" spans="1:7" x14ac:dyDescent="0.35">
      <c r="A170" s="1">
        <v>40423</v>
      </c>
      <c r="B170">
        <v>2715.19</v>
      </c>
      <c r="C170">
        <v>3631.43</v>
      </c>
      <c r="D170">
        <v>6083.85</v>
      </c>
      <c r="E170">
        <v>6455.4801500000003</v>
      </c>
      <c r="F170">
        <v>10537.6</v>
      </c>
      <c r="G170">
        <v>20412.28</v>
      </c>
    </row>
    <row r="171" spans="1:7" x14ac:dyDescent="0.35">
      <c r="A171" s="1">
        <v>40424</v>
      </c>
      <c r="B171">
        <v>2746.23</v>
      </c>
      <c r="C171">
        <v>3672.2</v>
      </c>
      <c r="D171">
        <v>6134.62</v>
      </c>
      <c r="E171">
        <v>6503.4149799999996</v>
      </c>
      <c r="F171">
        <v>10599.4</v>
      </c>
      <c r="G171">
        <v>20639.86</v>
      </c>
    </row>
    <row r="172" spans="1:7" x14ac:dyDescent="0.35">
      <c r="A172" s="1">
        <v>40427</v>
      </c>
      <c r="B172">
        <v>2753.6</v>
      </c>
      <c r="C172">
        <v>3684.73</v>
      </c>
      <c r="D172">
        <v>6155.04</v>
      </c>
      <c r="E172">
        <v>6511.7360900000003</v>
      </c>
      <c r="F172">
        <v>10622.7</v>
      </c>
      <c r="G172">
        <v>20660.91</v>
      </c>
    </row>
    <row r="173" spans="1:7" x14ac:dyDescent="0.35">
      <c r="A173" s="1">
        <v>40428</v>
      </c>
      <c r="B173">
        <v>2727.16</v>
      </c>
      <c r="C173">
        <v>3643.81</v>
      </c>
      <c r="D173">
        <v>6117.89</v>
      </c>
      <c r="E173">
        <v>6511.3007100000004</v>
      </c>
      <c r="F173">
        <v>10479.1</v>
      </c>
      <c r="G173">
        <v>20395.45</v>
      </c>
    </row>
    <row r="174" spans="1:7" x14ac:dyDescent="0.35">
      <c r="A174" s="1">
        <v>40429</v>
      </c>
      <c r="B174">
        <v>2752.89</v>
      </c>
      <c r="C174">
        <v>3677.21</v>
      </c>
      <c r="D174">
        <v>6164.44</v>
      </c>
      <c r="E174">
        <v>6597.8793599999999</v>
      </c>
      <c r="F174">
        <v>10586.2</v>
      </c>
      <c r="G174">
        <v>20580.259999999998</v>
      </c>
    </row>
    <row r="175" spans="1:7" x14ac:dyDescent="0.35">
      <c r="A175" s="1">
        <v>40430</v>
      </c>
      <c r="B175">
        <v>2782.43</v>
      </c>
      <c r="C175">
        <v>3722.15</v>
      </c>
      <c r="D175">
        <v>6221.52</v>
      </c>
      <c r="E175">
        <v>6680.8120399999998</v>
      </c>
      <c r="F175">
        <v>10712.9</v>
      </c>
      <c r="G175">
        <v>20858.47</v>
      </c>
    </row>
    <row r="176" spans="1:7" x14ac:dyDescent="0.35">
      <c r="A176" s="1">
        <v>40431</v>
      </c>
      <c r="B176">
        <v>2780.4</v>
      </c>
      <c r="C176">
        <v>3725.82</v>
      </c>
      <c r="D176">
        <v>6214.77</v>
      </c>
      <c r="E176">
        <v>6647.0400099999997</v>
      </c>
      <c r="F176">
        <v>10689.6</v>
      </c>
      <c r="G176">
        <v>20833.189999999999</v>
      </c>
    </row>
    <row r="177" spans="1:7" x14ac:dyDescent="0.35">
      <c r="A177" s="1">
        <v>40434</v>
      </c>
      <c r="B177">
        <v>2805.06</v>
      </c>
      <c r="C177">
        <v>3767.15</v>
      </c>
      <c r="D177">
        <v>6261.68</v>
      </c>
      <c r="E177">
        <v>6682.0114100000001</v>
      </c>
      <c r="F177">
        <v>10765.2</v>
      </c>
      <c r="G177">
        <v>21001.62</v>
      </c>
    </row>
    <row r="178" spans="1:7" x14ac:dyDescent="0.35">
      <c r="A178" s="1">
        <v>40435</v>
      </c>
      <c r="B178">
        <v>2806.47</v>
      </c>
      <c r="C178">
        <v>3774.4</v>
      </c>
      <c r="D178">
        <v>6275.41</v>
      </c>
      <c r="E178">
        <v>6663.34674</v>
      </c>
      <c r="F178">
        <v>10806.6</v>
      </c>
      <c r="G178">
        <v>21003.94</v>
      </c>
    </row>
    <row r="179" spans="1:7" x14ac:dyDescent="0.35">
      <c r="A179" s="1">
        <v>40436</v>
      </c>
      <c r="B179">
        <v>2794.36</v>
      </c>
      <c r="C179">
        <v>3755.64</v>
      </c>
      <c r="D179">
        <v>6261.87</v>
      </c>
      <c r="E179">
        <v>6674.27826</v>
      </c>
      <c r="F179">
        <v>10751.8</v>
      </c>
      <c r="G179">
        <v>20872.79</v>
      </c>
    </row>
    <row r="180" spans="1:7" x14ac:dyDescent="0.35">
      <c r="A180" s="1">
        <v>40437</v>
      </c>
      <c r="B180">
        <v>2784.61</v>
      </c>
      <c r="C180">
        <v>3736.3</v>
      </c>
      <c r="D180">
        <v>6249.65</v>
      </c>
      <c r="E180">
        <v>6622.4038499999997</v>
      </c>
      <c r="F180">
        <v>10716.8</v>
      </c>
      <c r="G180">
        <v>20684.36</v>
      </c>
    </row>
    <row r="181" spans="1:7" x14ac:dyDescent="0.35">
      <c r="A181" s="1">
        <v>40438</v>
      </c>
      <c r="B181">
        <v>2757.37</v>
      </c>
      <c r="C181">
        <v>3722.02</v>
      </c>
      <c r="D181">
        <v>6209.76</v>
      </c>
      <c r="E181">
        <v>6598.2375899999997</v>
      </c>
      <c r="F181">
        <v>10588.6</v>
      </c>
      <c r="G181">
        <v>20517.96</v>
      </c>
    </row>
    <row r="182" spans="1:7" x14ac:dyDescent="0.35">
      <c r="A182" s="1">
        <v>40441</v>
      </c>
      <c r="B182">
        <v>2802.67</v>
      </c>
      <c r="C182">
        <v>3788.01</v>
      </c>
      <c r="D182">
        <v>6294.58</v>
      </c>
      <c r="E182">
        <v>6669.3027000000002</v>
      </c>
      <c r="F182">
        <v>10743.1</v>
      </c>
      <c r="G182">
        <v>20753.54</v>
      </c>
    </row>
    <row r="183" spans="1:7" x14ac:dyDescent="0.35">
      <c r="A183" s="1">
        <v>40442</v>
      </c>
      <c r="B183">
        <v>2794.55</v>
      </c>
      <c r="C183">
        <v>3784.4</v>
      </c>
      <c r="D183">
        <v>6275.98</v>
      </c>
      <c r="E183">
        <v>6603.2487600000004</v>
      </c>
      <c r="F183">
        <v>10762.5</v>
      </c>
      <c r="G183">
        <v>20740.73</v>
      </c>
    </row>
    <row r="184" spans="1:7" x14ac:dyDescent="0.35">
      <c r="A184" s="1">
        <v>40443</v>
      </c>
      <c r="B184">
        <v>2752.77</v>
      </c>
      <c r="C184">
        <v>3735.05</v>
      </c>
      <c r="D184">
        <v>6208.33</v>
      </c>
      <c r="E184">
        <v>6497.3048200000003</v>
      </c>
      <c r="F184">
        <v>10555.2</v>
      </c>
      <c r="G184">
        <v>20365.3</v>
      </c>
    </row>
    <row r="185" spans="1:7" x14ac:dyDescent="0.35">
      <c r="A185" s="1">
        <v>40444</v>
      </c>
      <c r="B185">
        <v>2738.61</v>
      </c>
      <c r="C185">
        <v>3710.61</v>
      </c>
      <c r="D185">
        <v>6184.71</v>
      </c>
      <c r="E185">
        <v>6526.0009</v>
      </c>
      <c r="F185">
        <v>10501.5</v>
      </c>
      <c r="G185">
        <v>20262.8</v>
      </c>
    </row>
    <row r="186" spans="1:7" x14ac:dyDescent="0.35">
      <c r="A186" s="1">
        <v>40445</v>
      </c>
      <c r="B186">
        <v>2792.75</v>
      </c>
      <c r="C186">
        <v>3782.48</v>
      </c>
      <c r="D186">
        <v>6298.3</v>
      </c>
      <c r="E186">
        <v>6574.5676999999996</v>
      </c>
      <c r="F186">
        <v>10727.6</v>
      </c>
      <c r="G186">
        <v>20607.72</v>
      </c>
    </row>
    <row r="187" spans="1:7" x14ac:dyDescent="0.35">
      <c r="A187" s="1">
        <v>40448</v>
      </c>
      <c r="B187">
        <v>2776.33</v>
      </c>
      <c r="C187">
        <v>3766.16</v>
      </c>
      <c r="D187">
        <v>6278.89</v>
      </c>
      <c r="E187">
        <v>6549.2543500000002</v>
      </c>
      <c r="F187">
        <v>10613</v>
      </c>
      <c r="G187">
        <v>20593.939999999999</v>
      </c>
    </row>
    <row r="188" spans="1:7" x14ac:dyDescent="0.35">
      <c r="A188" s="1">
        <v>40449</v>
      </c>
      <c r="B188">
        <v>2774.62</v>
      </c>
      <c r="C188">
        <v>3762.35</v>
      </c>
      <c r="D188">
        <v>6276.09</v>
      </c>
      <c r="E188">
        <v>6490.5808900000002</v>
      </c>
      <c r="F188">
        <v>10590.7</v>
      </c>
      <c r="G188">
        <v>20541.59</v>
      </c>
    </row>
    <row r="189" spans="1:7" x14ac:dyDescent="0.35">
      <c r="A189" s="1">
        <v>40450</v>
      </c>
      <c r="B189">
        <v>2752.71</v>
      </c>
      <c r="C189">
        <v>3737.12</v>
      </c>
      <c r="D189">
        <v>6246.92</v>
      </c>
      <c r="E189">
        <v>6453.8972599999997</v>
      </c>
      <c r="F189">
        <v>10486.8</v>
      </c>
      <c r="G189">
        <v>20372.45</v>
      </c>
    </row>
    <row r="190" spans="1:7" x14ac:dyDescent="0.35">
      <c r="A190" s="1">
        <v>40451</v>
      </c>
      <c r="B190">
        <v>2747.9</v>
      </c>
      <c r="C190">
        <v>3715.18</v>
      </c>
      <c r="D190">
        <v>6229.02</v>
      </c>
      <c r="E190">
        <v>6407.3932000000004</v>
      </c>
      <c r="F190">
        <v>10514.5</v>
      </c>
      <c r="G190">
        <v>20505.2</v>
      </c>
    </row>
    <row r="191" spans="1:7" x14ac:dyDescent="0.35">
      <c r="A191" s="1">
        <v>40452</v>
      </c>
      <c r="B191">
        <v>2732.91</v>
      </c>
      <c r="C191">
        <v>3692.09</v>
      </c>
      <c r="D191">
        <v>6211.34</v>
      </c>
      <c r="E191">
        <v>6439.0387799999999</v>
      </c>
      <c r="F191">
        <v>10450.1</v>
      </c>
      <c r="G191">
        <v>20391.27</v>
      </c>
    </row>
    <row r="192" spans="1:7" x14ac:dyDescent="0.35">
      <c r="A192" s="1">
        <v>40455</v>
      </c>
      <c r="B192">
        <v>2701.02</v>
      </c>
      <c r="C192">
        <v>3649.81</v>
      </c>
      <c r="D192">
        <v>6134.21</v>
      </c>
      <c r="E192">
        <v>6428.4654700000001</v>
      </c>
      <c r="F192">
        <v>10383</v>
      </c>
      <c r="G192">
        <v>20090.97</v>
      </c>
    </row>
    <row r="193" spans="1:7" x14ac:dyDescent="0.35">
      <c r="A193" s="1">
        <v>40456</v>
      </c>
      <c r="B193">
        <v>2758.56</v>
      </c>
      <c r="C193">
        <v>3731.93</v>
      </c>
      <c r="D193">
        <v>6215.83</v>
      </c>
      <c r="E193">
        <v>6479.7587700000004</v>
      </c>
      <c r="F193">
        <v>10651.2</v>
      </c>
      <c r="G193">
        <v>20510.02</v>
      </c>
    </row>
    <row r="194" spans="1:7" x14ac:dyDescent="0.35">
      <c r="A194" s="1">
        <v>40457</v>
      </c>
      <c r="B194">
        <v>2780</v>
      </c>
      <c r="C194">
        <v>3764.91</v>
      </c>
      <c r="D194">
        <v>6270.73</v>
      </c>
      <c r="E194">
        <v>6491.2685700000002</v>
      </c>
      <c r="F194">
        <v>10700.2</v>
      </c>
      <c r="G194">
        <v>20568.310000000001</v>
      </c>
    </row>
    <row r="195" spans="1:7" x14ac:dyDescent="0.35">
      <c r="A195" s="1">
        <v>40458</v>
      </c>
      <c r="B195">
        <v>2786.88</v>
      </c>
      <c r="C195">
        <v>3770.47</v>
      </c>
      <c r="D195">
        <v>6276.25</v>
      </c>
      <c r="E195">
        <v>6473.5687699999999</v>
      </c>
      <c r="F195">
        <v>10740.3</v>
      </c>
      <c r="G195">
        <v>20691.900000000001</v>
      </c>
    </row>
    <row r="196" spans="1:7" x14ac:dyDescent="0.35">
      <c r="A196" s="1">
        <v>40459</v>
      </c>
      <c r="B196">
        <v>2785.43</v>
      </c>
      <c r="C196">
        <v>3763.18</v>
      </c>
      <c r="D196">
        <v>6291.67</v>
      </c>
      <c r="E196">
        <v>6485.5330899999999</v>
      </c>
      <c r="F196">
        <v>10720.8</v>
      </c>
      <c r="G196">
        <v>20750.740000000002</v>
      </c>
    </row>
    <row r="197" spans="1:7" x14ac:dyDescent="0.35">
      <c r="A197" s="1">
        <v>40462</v>
      </c>
      <c r="B197">
        <v>2789.72</v>
      </c>
      <c r="C197">
        <v>3768.49</v>
      </c>
      <c r="D197">
        <v>6309.51</v>
      </c>
      <c r="E197">
        <v>6493.3622699999996</v>
      </c>
      <c r="F197">
        <v>10700.8</v>
      </c>
      <c r="G197">
        <v>20837.71</v>
      </c>
    </row>
    <row r="198" spans="1:7" x14ac:dyDescent="0.35">
      <c r="A198" s="1">
        <v>40463</v>
      </c>
      <c r="B198">
        <v>2775.75</v>
      </c>
      <c r="C198">
        <v>3748.86</v>
      </c>
      <c r="D198">
        <v>6304.57</v>
      </c>
      <c r="E198">
        <v>6447.1167299999997</v>
      </c>
      <c r="F198">
        <v>10648.2</v>
      </c>
      <c r="G198">
        <v>20750.22</v>
      </c>
    </row>
    <row r="199" spans="1:7" x14ac:dyDescent="0.35">
      <c r="A199" s="1">
        <v>40464</v>
      </c>
      <c r="B199">
        <v>2840.55</v>
      </c>
      <c r="C199">
        <v>3828.34</v>
      </c>
      <c r="D199">
        <v>6434.52</v>
      </c>
      <c r="E199">
        <v>6541.3240100000003</v>
      </c>
      <c r="F199">
        <v>10866.1</v>
      </c>
      <c r="G199">
        <v>21145.26</v>
      </c>
    </row>
    <row r="200" spans="1:7" x14ac:dyDescent="0.35">
      <c r="A200" s="1">
        <v>40465</v>
      </c>
      <c r="B200">
        <v>2836.11</v>
      </c>
      <c r="C200">
        <v>3819.17</v>
      </c>
      <c r="D200">
        <v>6455.27</v>
      </c>
      <c r="E200">
        <v>6513.3056399999996</v>
      </c>
      <c r="F200">
        <v>10849.7</v>
      </c>
      <c r="G200">
        <v>21094.86</v>
      </c>
    </row>
    <row r="201" spans="1:7" x14ac:dyDescent="0.35">
      <c r="A201" s="1">
        <v>40466</v>
      </c>
      <c r="B201">
        <v>2841.65</v>
      </c>
      <c r="C201">
        <v>3827.37</v>
      </c>
      <c r="D201">
        <v>6492.3</v>
      </c>
      <c r="E201">
        <v>6520.6956499999997</v>
      </c>
      <c r="F201">
        <v>10868.2</v>
      </c>
      <c r="G201">
        <v>21062.18</v>
      </c>
    </row>
    <row r="202" spans="1:7" x14ac:dyDescent="0.35">
      <c r="A202" s="1">
        <v>40469</v>
      </c>
      <c r="B202">
        <v>2850.72</v>
      </c>
      <c r="C202">
        <v>3834.5</v>
      </c>
      <c r="D202">
        <v>6516.63</v>
      </c>
      <c r="E202">
        <v>6538.8949199999997</v>
      </c>
      <c r="F202">
        <v>10897.7</v>
      </c>
      <c r="G202">
        <v>21258.59</v>
      </c>
    </row>
    <row r="203" spans="1:7" x14ac:dyDescent="0.35">
      <c r="A203" s="1">
        <v>40470</v>
      </c>
      <c r="B203">
        <v>2837.33</v>
      </c>
      <c r="C203">
        <v>3807.17</v>
      </c>
      <c r="D203">
        <v>6490.69</v>
      </c>
      <c r="E203">
        <v>6496.7852199999998</v>
      </c>
      <c r="F203">
        <v>10895.3</v>
      </c>
      <c r="G203">
        <v>21233.48</v>
      </c>
    </row>
    <row r="204" spans="1:7" x14ac:dyDescent="0.35">
      <c r="A204" s="1">
        <v>40471</v>
      </c>
      <c r="B204">
        <v>2851.52</v>
      </c>
      <c r="C204">
        <v>3828.15</v>
      </c>
      <c r="D204">
        <v>6524.55</v>
      </c>
      <c r="E204">
        <v>6509.0099300000002</v>
      </c>
      <c r="F204">
        <v>10896.9</v>
      </c>
      <c r="G204">
        <v>21425.79</v>
      </c>
    </row>
    <row r="205" spans="1:7" x14ac:dyDescent="0.35">
      <c r="A205" s="1">
        <v>40472</v>
      </c>
      <c r="B205">
        <v>2882.29</v>
      </c>
      <c r="C205">
        <v>3878.27</v>
      </c>
      <c r="D205">
        <v>6611.01</v>
      </c>
      <c r="E205">
        <v>6492.3610099999996</v>
      </c>
      <c r="F205">
        <v>10892.3</v>
      </c>
      <c r="G205">
        <v>21616.43</v>
      </c>
    </row>
    <row r="206" spans="1:7" x14ac:dyDescent="0.35">
      <c r="A206" s="1">
        <v>40473</v>
      </c>
      <c r="B206">
        <v>2873.74</v>
      </c>
      <c r="C206">
        <v>3868.54</v>
      </c>
      <c r="D206">
        <v>6605.84</v>
      </c>
      <c r="E206">
        <v>6467.9586600000002</v>
      </c>
      <c r="F206">
        <v>10924.8</v>
      </c>
      <c r="G206">
        <v>21536.21</v>
      </c>
    </row>
    <row r="207" spans="1:7" x14ac:dyDescent="0.35">
      <c r="A207" s="1">
        <v>40476</v>
      </c>
      <c r="B207">
        <v>2871.48</v>
      </c>
      <c r="C207">
        <v>3870</v>
      </c>
      <c r="D207">
        <v>6639.21</v>
      </c>
      <c r="E207">
        <v>6480.8140800000001</v>
      </c>
      <c r="F207">
        <v>10870.3</v>
      </c>
      <c r="G207">
        <v>21435.03</v>
      </c>
    </row>
    <row r="208" spans="1:7" x14ac:dyDescent="0.35">
      <c r="A208" s="1">
        <v>40477</v>
      </c>
      <c r="B208">
        <v>2856.31</v>
      </c>
      <c r="C208">
        <v>3852.66</v>
      </c>
      <c r="D208">
        <v>6613.8</v>
      </c>
      <c r="E208">
        <v>6520.3936700000004</v>
      </c>
      <c r="F208">
        <v>10797.8</v>
      </c>
      <c r="G208">
        <v>21363.52</v>
      </c>
    </row>
    <row r="209" spans="1:7" x14ac:dyDescent="0.35">
      <c r="A209" s="1">
        <v>40478</v>
      </c>
      <c r="B209">
        <v>2829.42</v>
      </c>
      <c r="C209">
        <v>3815.77</v>
      </c>
      <c r="D209">
        <v>6568</v>
      </c>
      <c r="E209">
        <v>6459.3879699999998</v>
      </c>
      <c r="F209">
        <v>10700.1</v>
      </c>
      <c r="G209">
        <v>21250.82</v>
      </c>
    </row>
    <row r="210" spans="1:7" x14ac:dyDescent="0.35">
      <c r="A210" s="1">
        <v>40479</v>
      </c>
      <c r="B210">
        <v>2845.53</v>
      </c>
      <c r="C210">
        <v>3834.84</v>
      </c>
      <c r="D210">
        <v>6595.28</v>
      </c>
      <c r="E210">
        <v>6493.9108200000001</v>
      </c>
      <c r="F210">
        <v>10753.5</v>
      </c>
      <c r="G210">
        <v>21509.62</v>
      </c>
    </row>
    <row r="211" spans="1:7" x14ac:dyDescent="0.35">
      <c r="A211" s="1">
        <v>40480</v>
      </c>
      <c r="B211">
        <v>2844.99</v>
      </c>
      <c r="C211">
        <v>3833.5</v>
      </c>
      <c r="D211">
        <v>6601.37</v>
      </c>
      <c r="E211">
        <v>6531.9802900000004</v>
      </c>
      <c r="F211">
        <v>10812.9</v>
      </c>
      <c r="G211">
        <v>21450.61</v>
      </c>
    </row>
    <row r="212" spans="1:7" x14ac:dyDescent="0.35">
      <c r="A212" s="1">
        <v>40483</v>
      </c>
      <c r="B212">
        <v>2836.73</v>
      </c>
      <c r="C212">
        <v>3841.11</v>
      </c>
      <c r="D212">
        <v>6604.86</v>
      </c>
      <c r="E212">
        <v>6570.8729400000002</v>
      </c>
      <c r="F212">
        <v>10649.5</v>
      </c>
      <c r="G212">
        <v>21184.93</v>
      </c>
    </row>
    <row r="213" spans="1:7" x14ac:dyDescent="0.35">
      <c r="A213" s="1">
        <v>40484</v>
      </c>
      <c r="B213">
        <v>2861.01</v>
      </c>
      <c r="C213">
        <v>3865.72</v>
      </c>
      <c r="D213">
        <v>6654.31</v>
      </c>
      <c r="E213">
        <v>6573.2983599999998</v>
      </c>
      <c r="F213">
        <v>10762.1</v>
      </c>
      <c r="G213">
        <v>21397.82</v>
      </c>
    </row>
    <row r="214" spans="1:7" x14ac:dyDescent="0.35">
      <c r="A214" s="1">
        <v>40485</v>
      </c>
      <c r="B214">
        <v>2830.43</v>
      </c>
      <c r="C214">
        <v>3842.94</v>
      </c>
      <c r="D214">
        <v>6617.8</v>
      </c>
      <c r="E214">
        <v>6583.8214900000003</v>
      </c>
      <c r="F214">
        <v>10569.5</v>
      </c>
      <c r="G214">
        <v>21180.81</v>
      </c>
    </row>
    <row r="215" spans="1:7" x14ac:dyDescent="0.35">
      <c r="A215" s="1">
        <v>40486</v>
      </c>
      <c r="B215">
        <v>2884.21</v>
      </c>
      <c r="C215">
        <v>3916.78</v>
      </c>
      <c r="D215">
        <v>6734.69</v>
      </c>
      <c r="E215">
        <v>6715.8523800000003</v>
      </c>
      <c r="F215">
        <v>10602.8</v>
      </c>
      <c r="G215">
        <v>21469.19</v>
      </c>
    </row>
    <row r="216" spans="1:7" x14ac:dyDescent="0.35">
      <c r="A216" s="1">
        <v>40487</v>
      </c>
      <c r="B216">
        <v>2875.94</v>
      </c>
      <c r="C216">
        <v>3916.73</v>
      </c>
      <c r="D216">
        <v>6754.2</v>
      </c>
      <c r="E216">
        <v>6769.4522399999996</v>
      </c>
      <c r="F216">
        <v>10428.1</v>
      </c>
      <c r="G216">
        <v>21194.74</v>
      </c>
    </row>
    <row r="217" spans="1:7" x14ac:dyDescent="0.35">
      <c r="A217" s="1">
        <v>40490</v>
      </c>
      <c r="B217">
        <v>2867.96</v>
      </c>
      <c r="C217">
        <v>3913.7</v>
      </c>
      <c r="D217">
        <v>6750.5</v>
      </c>
      <c r="E217">
        <v>6772.7764999999999</v>
      </c>
      <c r="F217">
        <v>10291.799999999999</v>
      </c>
      <c r="G217">
        <v>21228.98</v>
      </c>
    </row>
    <row r="218" spans="1:7" x14ac:dyDescent="0.35">
      <c r="A218" s="1">
        <v>40491</v>
      </c>
      <c r="B218">
        <v>2890.64</v>
      </c>
      <c r="C218">
        <v>3945.71</v>
      </c>
      <c r="D218">
        <v>6787.81</v>
      </c>
      <c r="E218">
        <v>6804.1911600000003</v>
      </c>
      <c r="F218">
        <v>10409.799999999999</v>
      </c>
      <c r="G218">
        <v>21578.48</v>
      </c>
    </row>
    <row r="219" spans="1:7" x14ac:dyDescent="0.35">
      <c r="A219" s="1">
        <v>40492</v>
      </c>
      <c r="B219">
        <v>2845.93</v>
      </c>
      <c r="C219">
        <v>3888.45</v>
      </c>
      <c r="D219">
        <v>6719.84</v>
      </c>
      <c r="E219">
        <v>6810.7060600000004</v>
      </c>
      <c r="F219">
        <v>10235.4</v>
      </c>
      <c r="G219">
        <v>21058.01</v>
      </c>
    </row>
    <row r="220" spans="1:7" x14ac:dyDescent="0.35">
      <c r="A220" s="1">
        <v>40493</v>
      </c>
      <c r="B220">
        <v>2831.22</v>
      </c>
      <c r="C220">
        <v>3867.35</v>
      </c>
      <c r="D220">
        <v>6723.41</v>
      </c>
      <c r="E220">
        <v>6861.8180499999999</v>
      </c>
      <c r="F220">
        <v>10149.5</v>
      </c>
      <c r="G220">
        <v>20855.96</v>
      </c>
    </row>
    <row r="221" spans="1:7" x14ac:dyDescent="0.35">
      <c r="A221" s="1">
        <v>40494</v>
      </c>
      <c r="B221">
        <v>2822.43</v>
      </c>
      <c r="C221">
        <v>3831.12</v>
      </c>
      <c r="D221">
        <v>6734.61</v>
      </c>
      <c r="E221">
        <v>6840.6289299999999</v>
      </c>
      <c r="F221">
        <v>10226.799999999999</v>
      </c>
      <c r="G221">
        <v>20829.830000000002</v>
      </c>
    </row>
    <row r="222" spans="1:7" x14ac:dyDescent="0.35">
      <c r="A222" s="1">
        <v>40497</v>
      </c>
      <c r="B222">
        <v>2848.45</v>
      </c>
      <c r="C222">
        <v>3864.24</v>
      </c>
      <c r="D222">
        <v>6790.17</v>
      </c>
      <c r="E222">
        <v>6868.7935500000003</v>
      </c>
      <c r="F222">
        <v>10349.700000000001</v>
      </c>
      <c r="G222">
        <v>20993.27</v>
      </c>
    </row>
    <row r="223" spans="1:7" x14ac:dyDescent="0.35">
      <c r="A223" s="1">
        <v>40498</v>
      </c>
      <c r="B223">
        <v>2781.77</v>
      </c>
      <c r="C223">
        <v>3762.47</v>
      </c>
      <c r="D223">
        <v>6663.24</v>
      </c>
      <c r="E223">
        <v>6685.9762099999998</v>
      </c>
      <c r="F223">
        <v>10095.4</v>
      </c>
      <c r="G223">
        <v>20563.07</v>
      </c>
    </row>
    <row r="224" spans="1:7" x14ac:dyDescent="0.35">
      <c r="A224" s="1">
        <v>40499</v>
      </c>
      <c r="B224">
        <v>2802.7</v>
      </c>
      <c r="C224">
        <v>3792.35</v>
      </c>
      <c r="D224">
        <v>6700.07</v>
      </c>
      <c r="E224">
        <v>6690.0516699999998</v>
      </c>
      <c r="F224">
        <v>10189.299999999999</v>
      </c>
      <c r="G224">
        <v>20639.080000000002</v>
      </c>
    </row>
    <row r="225" spans="1:7" x14ac:dyDescent="0.35">
      <c r="A225" s="1">
        <v>40500</v>
      </c>
      <c r="B225">
        <v>2855.23</v>
      </c>
      <c r="C225">
        <v>3867.97</v>
      </c>
      <c r="D225">
        <v>6832.11</v>
      </c>
      <c r="E225">
        <v>6791.0291299999999</v>
      </c>
      <c r="F225">
        <v>10325.299999999999</v>
      </c>
      <c r="G225">
        <v>20880.38</v>
      </c>
    </row>
    <row r="226" spans="1:7" x14ac:dyDescent="0.35">
      <c r="A226" s="1">
        <v>40501</v>
      </c>
      <c r="B226">
        <v>2845.75</v>
      </c>
      <c r="C226">
        <v>3860.16</v>
      </c>
      <c r="D226">
        <v>6843.55</v>
      </c>
      <c r="E226">
        <v>6704.7523799999999</v>
      </c>
      <c r="F226">
        <v>10271.700000000001</v>
      </c>
      <c r="G226">
        <v>20773.12</v>
      </c>
    </row>
    <row r="227" spans="1:7" x14ac:dyDescent="0.35">
      <c r="A227" s="1">
        <v>40504</v>
      </c>
      <c r="B227">
        <v>2811.43</v>
      </c>
      <c r="C227">
        <v>3818.89</v>
      </c>
      <c r="D227">
        <v>6822.05</v>
      </c>
      <c r="E227">
        <v>6648.67821</v>
      </c>
      <c r="F227">
        <v>9996.4</v>
      </c>
      <c r="G227">
        <v>20372.2</v>
      </c>
    </row>
    <row r="228" spans="1:7" x14ac:dyDescent="0.35">
      <c r="A228" s="1">
        <v>40505</v>
      </c>
      <c r="B228">
        <v>2739.37</v>
      </c>
      <c r="C228">
        <v>3724.42</v>
      </c>
      <c r="D228">
        <v>6705</v>
      </c>
      <c r="E228">
        <v>6588.9358700000003</v>
      </c>
      <c r="F228">
        <v>9691.7999999999993</v>
      </c>
      <c r="G228">
        <v>19950.96</v>
      </c>
    </row>
    <row r="229" spans="1:7" x14ac:dyDescent="0.35">
      <c r="A229" s="1">
        <v>40506</v>
      </c>
      <c r="B229">
        <v>2758.02</v>
      </c>
      <c r="C229">
        <v>3747.61</v>
      </c>
      <c r="D229">
        <v>6823.8</v>
      </c>
      <c r="E229">
        <v>6679.2788600000003</v>
      </c>
      <c r="F229">
        <v>9742.6</v>
      </c>
      <c r="G229">
        <v>19941.189999999999</v>
      </c>
    </row>
    <row r="230" spans="1:7" x14ac:dyDescent="0.35">
      <c r="A230" s="1">
        <v>40507</v>
      </c>
      <c r="B230">
        <v>2765.05</v>
      </c>
      <c r="C230">
        <v>3760.42</v>
      </c>
      <c r="D230">
        <v>6879.66</v>
      </c>
      <c r="E230">
        <v>6719.8373899999997</v>
      </c>
      <c r="F230">
        <v>9721.7999999999993</v>
      </c>
      <c r="G230">
        <v>19945.939999999999</v>
      </c>
    </row>
    <row r="231" spans="1:7" x14ac:dyDescent="0.35">
      <c r="A231" s="1">
        <v>40508</v>
      </c>
      <c r="B231">
        <v>2736.96</v>
      </c>
      <c r="C231">
        <v>3728.65</v>
      </c>
      <c r="D231">
        <v>6848.98</v>
      </c>
      <c r="E231">
        <v>6681.7474099999999</v>
      </c>
      <c r="F231">
        <v>9547.2000000000007</v>
      </c>
      <c r="G231">
        <v>19844.310000000001</v>
      </c>
    </row>
    <row r="232" spans="1:7" x14ac:dyDescent="0.35">
      <c r="A232" s="1">
        <v>40511</v>
      </c>
      <c r="B232">
        <v>2669.96</v>
      </c>
      <c r="C232">
        <v>3636.96</v>
      </c>
      <c r="D232">
        <v>6697.97</v>
      </c>
      <c r="E232">
        <v>6589.6350899999998</v>
      </c>
      <c r="F232">
        <v>9324.7000000000007</v>
      </c>
      <c r="G232">
        <v>19314.38</v>
      </c>
    </row>
    <row r="233" spans="1:7" x14ac:dyDescent="0.35">
      <c r="A233" s="1">
        <v>40512</v>
      </c>
      <c r="B233">
        <v>2650.99</v>
      </c>
      <c r="C233">
        <v>3610.44</v>
      </c>
      <c r="D233">
        <v>6688.49</v>
      </c>
      <c r="E233">
        <v>6606.4501200000004</v>
      </c>
      <c r="F233">
        <v>9267.2000000000007</v>
      </c>
      <c r="G233">
        <v>19105.71</v>
      </c>
    </row>
    <row r="234" spans="1:7" x14ac:dyDescent="0.35">
      <c r="A234" s="1">
        <v>40513</v>
      </c>
      <c r="B234">
        <v>2721.87</v>
      </c>
      <c r="C234">
        <v>3669.29</v>
      </c>
      <c r="D234">
        <v>6866.63</v>
      </c>
      <c r="E234">
        <v>6701.4625999999998</v>
      </c>
      <c r="F234">
        <v>9678.4</v>
      </c>
      <c r="G234">
        <v>19566.060000000001</v>
      </c>
    </row>
    <row r="235" spans="1:7" x14ac:dyDescent="0.35">
      <c r="A235" s="1">
        <v>40514</v>
      </c>
      <c r="B235">
        <v>2781.39</v>
      </c>
      <c r="C235">
        <v>3747.04</v>
      </c>
      <c r="D235">
        <v>6957.61</v>
      </c>
      <c r="E235">
        <v>6811.5215600000001</v>
      </c>
      <c r="F235">
        <v>9947.6</v>
      </c>
      <c r="G235">
        <v>20054.09</v>
      </c>
    </row>
    <row r="236" spans="1:7" x14ac:dyDescent="0.35">
      <c r="A236" s="1">
        <v>40515</v>
      </c>
      <c r="B236">
        <v>2782.39</v>
      </c>
      <c r="C236">
        <v>3750.55</v>
      </c>
      <c r="D236">
        <v>6947.72</v>
      </c>
      <c r="E236">
        <v>6763.3963800000001</v>
      </c>
      <c r="F236">
        <v>10014.799999999999</v>
      </c>
      <c r="G236">
        <v>20120.8</v>
      </c>
    </row>
    <row r="237" spans="1:7" x14ac:dyDescent="0.35">
      <c r="A237" s="1">
        <v>40518</v>
      </c>
      <c r="B237">
        <v>2769.96</v>
      </c>
      <c r="C237">
        <v>3749.23</v>
      </c>
      <c r="D237">
        <v>6954.38</v>
      </c>
      <c r="E237">
        <v>6812.6363600000004</v>
      </c>
      <c r="F237">
        <v>9889.9</v>
      </c>
      <c r="G237">
        <v>19930.29</v>
      </c>
    </row>
    <row r="238" spans="1:7" x14ac:dyDescent="0.35">
      <c r="A238" s="1">
        <v>40519</v>
      </c>
      <c r="B238">
        <v>2802.74</v>
      </c>
      <c r="C238">
        <v>3810.5</v>
      </c>
      <c r="D238">
        <v>7001.91</v>
      </c>
      <c r="E238">
        <v>6885.3342700000003</v>
      </c>
      <c r="F238">
        <v>9924.7000000000007</v>
      </c>
      <c r="G238">
        <v>20112.439999999999</v>
      </c>
    </row>
    <row r="239" spans="1:7" x14ac:dyDescent="0.35">
      <c r="A239" s="1">
        <v>40520</v>
      </c>
      <c r="B239">
        <v>2818.95</v>
      </c>
      <c r="C239">
        <v>3831.98</v>
      </c>
      <c r="D239">
        <v>6975.87</v>
      </c>
      <c r="E239">
        <v>6911.4580800000003</v>
      </c>
      <c r="F239">
        <v>10078.4</v>
      </c>
      <c r="G239">
        <v>20393.95</v>
      </c>
    </row>
    <row r="240" spans="1:7" x14ac:dyDescent="0.35">
      <c r="A240" s="1">
        <v>40521</v>
      </c>
      <c r="B240">
        <v>2840.71</v>
      </c>
      <c r="C240">
        <v>3858.05</v>
      </c>
      <c r="D240">
        <v>6964.16</v>
      </c>
      <c r="E240">
        <v>6924.5712800000001</v>
      </c>
      <c r="F240">
        <v>10185.5</v>
      </c>
      <c r="G240">
        <v>20533.560000000001</v>
      </c>
    </row>
    <row r="241" spans="1:7" x14ac:dyDescent="0.35">
      <c r="A241" s="1">
        <v>40522</v>
      </c>
      <c r="B241">
        <v>2839.53</v>
      </c>
      <c r="C241">
        <v>3857.35</v>
      </c>
      <c r="D241">
        <v>7006.17</v>
      </c>
      <c r="E241">
        <v>6941.43923</v>
      </c>
      <c r="F241">
        <v>10121.9</v>
      </c>
      <c r="G241">
        <v>20487.34</v>
      </c>
    </row>
    <row r="242" spans="1:7" x14ac:dyDescent="0.35">
      <c r="A242" s="1">
        <v>40525</v>
      </c>
      <c r="B242">
        <v>2855.37</v>
      </c>
      <c r="C242">
        <v>3892.44</v>
      </c>
      <c r="D242">
        <v>7029.39</v>
      </c>
      <c r="E242">
        <v>6956.5201800000004</v>
      </c>
      <c r="F242">
        <v>10151.200000000001</v>
      </c>
      <c r="G242">
        <v>20634.599999999999</v>
      </c>
    </row>
    <row r="243" spans="1:7" x14ac:dyDescent="0.35">
      <c r="A243" s="1">
        <v>40526</v>
      </c>
      <c r="B243">
        <v>2861.67</v>
      </c>
      <c r="C243">
        <v>3902.87</v>
      </c>
      <c r="D243">
        <v>7027.4</v>
      </c>
      <c r="E243">
        <v>6941.4547899999998</v>
      </c>
      <c r="F243">
        <v>10162.700000000001</v>
      </c>
      <c r="G243">
        <v>20708.580000000002</v>
      </c>
    </row>
    <row r="244" spans="1:7" x14ac:dyDescent="0.35">
      <c r="A244" s="1">
        <v>40527</v>
      </c>
      <c r="B244">
        <v>2841.99</v>
      </c>
      <c r="C244">
        <v>3880.19</v>
      </c>
      <c r="D244">
        <v>7016.37</v>
      </c>
      <c r="E244">
        <v>6896.8837400000002</v>
      </c>
      <c r="F244">
        <v>10009.799999999999</v>
      </c>
      <c r="G244">
        <v>20410.27</v>
      </c>
    </row>
    <row r="245" spans="1:7" x14ac:dyDescent="0.35">
      <c r="A245" s="1">
        <v>40528</v>
      </c>
      <c r="B245">
        <v>2845.78</v>
      </c>
      <c r="C245">
        <v>3888.36</v>
      </c>
      <c r="D245">
        <v>7024.4</v>
      </c>
      <c r="E245">
        <v>6939.74827</v>
      </c>
      <c r="F245">
        <v>10010.299999999999</v>
      </c>
      <c r="G245">
        <v>20366.62</v>
      </c>
    </row>
    <row r="246" spans="1:7" x14ac:dyDescent="0.35">
      <c r="A246" s="1">
        <v>40529</v>
      </c>
      <c r="B246">
        <v>2821.77</v>
      </c>
      <c r="C246">
        <v>3867.35</v>
      </c>
      <c r="D246">
        <v>6982.45</v>
      </c>
      <c r="E246">
        <v>6909.8839699999999</v>
      </c>
      <c r="F246">
        <v>9898.1</v>
      </c>
      <c r="G246">
        <v>20069.18</v>
      </c>
    </row>
    <row r="247" spans="1:7" x14ac:dyDescent="0.35">
      <c r="A247" s="1">
        <v>40532</v>
      </c>
      <c r="B247">
        <v>2839.22</v>
      </c>
      <c r="C247">
        <v>3885.08</v>
      </c>
      <c r="D247">
        <v>7018.6</v>
      </c>
      <c r="E247">
        <v>6962.8934499999996</v>
      </c>
      <c r="F247">
        <v>9996.1</v>
      </c>
      <c r="G247">
        <v>20373.66</v>
      </c>
    </row>
    <row r="248" spans="1:7" x14ac:dyDescent="0.35">
      <c r="A248" s="1">
        <v>40533</v>
      </c>
      <c r="B248">
        <v>2876.99</v>
      </c>
      <c r="C248">
        <v>3927.49</v>
      </c>
      <c r="D248">
        <v>7077.99</v>
      </c>
      <c r="E248">
        <v>7017.4080899999999</v>
      </c>
      <c r="F248">
        <v>10203.4</v>
      </c>
      <c r="G248">
        <v>20736.599999999999</v>
      </c>
    </row>
    <row r="249" spans="1:7" x14ac:dyDescent="0.35">
      <c r="A249" s="1">
        <v>40534</v>
      </c>
      <c r="B249">
        <v>2869.63</v>
      </c>
      <c r="C249">
        <v>3919.71</v>
      </c>
      <c r="D249">
        <v>7067.92</v>
      </c>
      <c r="E249">
        <v>7027.7546300000004</v>
      </c>
      <c r="F249">
        <v>10183.5</v>
      </c>
      <c r="G249">
        <v>20733.37</v>
      </c>
    </row>
    <row r="250" spans="1:7" x14ac:dyDescent="0.35">
      <c r="A250" s="1">
        <v>40535</v>
      </c>
      <c r="B250">
        <v>2864.52</v>
      </c>
      <c r="C250">
        <v>3911.32</v>
      </c>
      <c r="D250">
        <v>7057.69</v>
      </c>
      <c r="E250">
        <v>7047.2340199999999</v>
      </c>
      <c r="F250">
        <v>10106.9</v>
      </c>
      <c r="G250">
        <v>20774.16</v>
      </c>
    </row>
    <row r="251" spans="1:7" x14ac:dyDescent="0.35">
      <c r="A251" s="1">
        <v>40541</v>
      </c>
      <c r="B251">
        <v>2841.23</v>
      </c>
      <c r="C251">
        <v>3890.65</v>
      </c>
      <c r="D251">
        <v>6995.47</v>
      </c>
      <c r="E251">
        <v>7040.2331199999999</v>
      </c>
      <c r="F251">
        <v>9981.5</v>
      </c>
      <c r="G251">
        <v>20471.009999999998</v>
      </c>
    </row>
    <row r="252" spans="1:7" x14ac:dyDescent="0.35">
      <c r="A252" s="1">
        <v>40542</v>
      </c>
      <c r="B252">
        <v>2807.04</v>
      </c>
      <c r="C252">
        <v>3850.76</v>
      </c>
      <c r="D252">
        <v>6914.19</v>
      </c>
      <c r="E252">
        <v>6930.3873899999999</v>
      </c>
      <c r="F252">
        <v>9859.1</v>
      </c>
      <c r="G252">
        <v>20173.29</v>
      </c>
    </row>
    <row r="253" spans="1:7" x14ac:dyDescent="0.35">
      <c r="A253" s="1">
        <v>40547</v>
      </c>
      <c r="B253">
        <v>2844.17</v>
      </c>
      <c r="C253">
        <v>3916.03</v>
      </c>
      <c r="D253">
        <v>6975.35</v>
      </c>
      <c r="E253">
        <v>7041.0249000000003</v>
      </c>
      <c r="F253">
        <v>9888.4</v>
      </c>
      <c r="G253">
        <v>20547.03</v>
      </c>
    </row>
    <row r="254" spans="1:7" x14ac:dyDescent="0.35">
      <c r="A254" s="1">
        <v>40548</v>
      </c>
      <c r="B254">
        <v>2833.74</v>
      </c>
      <c r="C254">
        <v>3904.61</v>
      </c>
      <c r="D254">
        <v>6939.82</v>
      </c>
      <c r="E254">
        <v>7106.10862</v>
      </c>
      <c r="F254">
        <v>9801.4</v>
      </c>
      <c r="G254">
        <v>20551.580000000002</v>
      </c>
    </row>
    <row r="255" spans="1:7" x14ac:dyDescent="0.35">
      <c r="A255" s="1">
        <v>40549</v>
      </c>
      <c r="B255">
        <v>2836.23</v>
      </c>
      <c r="C255">
        <v>3904.42</v>
      </c>
      <c r="D255">
        <v>6981.39</v>
      </c>
      <c r="E255">
        <v>7159.3726900000001</v>
      </c>
      <c r="F255">
        <v>9702.7000000000007</v>
      </c>
      <c r="G255">
        <v>20637.39</v>
      </c>
    </row>
    <row r="256" spans="1:7" x14ac:dyDescent="0.35">
      <c r="A256" s="1">
        <v>40550</v>
      </c>
      <c r="B256">
        <v>2808.25</v>
      </c>
      <c r="C256">
        <v>3865.58</v>
      </c>
      <c r="D256">
        <v>6947.84</v>
      </c>
      <c r="E256">
        <v>7197.4011499999997</v>
      </c>
      <c r="F256">
        <v>9560.7000000000007</v>
      </c>
      <c r="G256">
        <v>20542.060000000001</v>
      </c>
    </row>
    <row r="257" spans="1:7" x14ac:dyDescent="0.35">
      <c r="A257" s="1">
        <v>40553</v>
      </c>
      <c r="B257">
        <v>2760.88</v>
      </c>
      <c r="C257">
        <v>3802.03</v>
      </c>
      <c r="D257">
        <v>6857.06</v>
      </c>
      <c r="E257">
        <v>7166.7991099999999</v>
      </c>
      <c r="F257">
        <v>9437.7999999999993</v>
      </c>
      <c r="G257">
        <v>20058.18</v>
      </c>
    </row>
    <row r="258" spans="1:7" x14ac:dyDescent="0.35">
      <c r="A258" s="1">
        <v>40554</v>
      </c>
      <c r="B258">
        <v>2796.6</v>
      </c>
      <c r="C258">
        <v>3861.92</v>
      </c>
      <c r="D258">
        <v>6941.57</v>
      </c>
      <c r="E258">
        <v>7242.43354</v>
      </c>
      <c r="F258">
        <v>9582.1</v>
      </c>
      <c r="G258">
        <v>20339.05</v>
      </c>
    </row>
    <row r="259" spans="1:7" x14ac:dyDescent="0.35">
      <c r="A259" s="1">
        <v>40555</v>
      </c>
      <c r="B259">
        <v>2879.11</v>
      </c>
      <c r="C259">
        <v>3945.07</v>
      </c>
      <c r="D259">
        <v>7068.78</v>
      </c>
      <c r="E259">
        <v>7280.9359400000003</v>
      </c>
      <c r="F259">
        <v>10101.200000000001</v>
      </c>
      <c r="G259">
        <v>21116.39</v>
      </c>
    </row>
    <row r="260" spans="1:7" x14ac:dyDescent="0.35">
      <c r="A260" s="1">
        <v>40556</v>
      </c>
      <c r="B260">
        <v>2915.62</v>
      </c>
      <c r="C260">
        <v>3974.83</v>
      </c>
      <c r="D260">
        <v>7075.11</v>
      </c>
      <c r="E260">
        <v>7155.5846000000001</v>
      </c>
      <c r="F260">
        <v>10370.799999999999</v>
      </c>
      <c r="G260">
        <v>21308.13</v>
      </c>
    </row>
    <row r="261" spans="1:7" x14ac:dyDescent="0.35">
      <c r="A261" s="1">
        <v>40557</v>
      </c>
      <c r="B261">
        <v>2920.4</v>
      </c>
      <c r="C261">
        <v>3983.28</v>
      </c>
      <c r="D261">
        <v>7075.7</v>
      </c>
      <c r="E261">
        <v>7141.5100199999997</v>
      </c>
      <c r="F261">
        <v>10385.1</v>
      </c>
      <c r="G261">
        <v>21460.09</v>
      </c>
    </row>
    <row r="262" spans="1:7" x14ac:dyDescent="0.35">
      <c r="A262" s="1">
        <v>40560</v>
      </c>
      <c r="B262">
        <v>2910.63</v>
      </c>
      <c r="C262">
        <v>3975.41</v>
      </c>
      <c r="D262">
        <v>7078.06</v>
      </c>
      <c r="E262">
        <v>7153.12536</v>
      </c>
      <c r="F262">
        <v>10280</v>
      </c>
      <c r="G262">
        <v>21344.14</v>
      </c>
    </row>
    <row r="263" spans="1:7" x14ac:dyDescent="0.35">
      <c r="A263" s="1">
        <v>40561</v>
      </c>
      <c r="B263">
        <v>2945.62</v>
      </c>
      <c r="C263">
        <v>4012.68</v>
      </c>
      <c r="D263">
        <v>7143.45</v>
      </c>
      <c r="E263">
        <v>7235.0765600000004</v>
      </c>
      <c r="F263">
        <v>10583.4</v>
      </c>
      <c r="G263">
        <v>21590.86</v>
      </c>
    </row>
    <row r="264" spans="1:7" x14ac:dyDescent="0.35">
      <c r="A264" s="1">
        <v>40562</v>
      </c>
      <c r="B264">
        <v>2923.76</v>
      </c>
      <c r="C264">
        <v>3976.71</v>
      </c>
      <c r="D264">
        <v>7082.76</v>
      </c>
      <c r="E264">
        <v>7088.2420499999998</v>
      </c>
      <c r="F264">
        <v>10556.5</v>
      </c>
      <c r="G264">
        <v>21712.14</v>
      </c>
    </row>
    <row r="265" spans="1:7" x14ac:dyDescent="0.35">
      <c r="A265" s="1">
        <v>40563</v>
      </c>
      <c r="B265">
        <v>2927.42</v>
      </c>
      <c r="C265">
        <v>3964.84</v>
      </c>
      <c r="D265">
        <v>7024.27</v>
      </c>
      <c r="E265">
        <v>6926.1291199999996</v>
      </c>
      <c r="F265">
        <v>10636.9</v>
      </c>
      <c r="G265">
        <v>21792.28</v>
      </c>
    </row>
    <row r="266" spans="1:7" x14ac:dyDescent="0.35">
      <c r="A266" s="1">
        <v>40564</v>
      </c>
      <c r="B266">
        <v>2970.56</v>
      </c>
      <c r="C266">
        <v>4017.45</v>
      </c>
      <c r="D266">
        <v>7062.42</v>
      </c>
      <c r="E266">
        <v>6939.8033400000004</v>
      </c>
      <c r="F266">
        <v>10829.1</v>
      </c>
      <c r="G266">
        <v>22093.85</v>
      </c>
    </row>
    <row r="267" spans="1:7" x14ac:dyDescent="0.35">
      <c r="A267" s="1">
        <v>40567</v>
      </c>
      <c r="B267">
        <v>2979.06</v>
      </c>
      <c r="C267">
        <v>4033.21</v>
      </c>
      <c r="D267">
        <v>7067.77</v>
      </c>
      <c r="E267">
        <v>6968.1859700000005</v>
      </c>
      <c r="F267">
        <v>10815.4</v>
      </c>
      <c r="G267">
        <v>22156.85</v>
      </c>
    </row>
    <row r="268" spans="1:7" x14ac:dyDescent="0.35">
      <c r="A268" s="1">
        <v>40568</v>
      </c>
      <c r="B268">
        <v>2957.78</v>
      </c>
      <c r="C268">
        <v>4019.62</v>
      </c>
      <c r="D268">
        <v>7059.01</v>
      </c>
      <c r="E268">
        <v>6860.7609899999998</v>
      </c>
      <c r="F268">
        <v>10664.4</v>
      </c>
      <c r="G268">
        <v>21940.13</v>
      </c>
    </row>
    <row r="269" spans="1:7" x14ac:dyDescent="0.35">
      <c r="A269" s="1">
        <v>40569</v>
      </c>
      <c r="B269">
        <v>2967.78</v>
      </c>
      <c r="C269">
        <v>4049.07</v>
      </c>
      <c r="D269">
        <v>7127.35</v>
      </c>
      <c r="E269">
        <v>6925.4701999999997</v>
      </c>
      <c r="F269">
        <v>10670.7</v>
      </c>
      <c r="G269">
        <v>22007</v>
      </c>
    </row>
    <row r="270" spans="1:7" x14ac:dyDescent="0.35">
      <c r="A270" s="1">
        <v>40570</v>
      </c>
      <c r="B270">
        <v>2989.75</v>
      </c>
      <c r="C270">
        <v>4059.57</v>
      </c>
      <c r="D270">
        <v>7155.58</v>
      </c>
      <c r="E270">
        <v>6927.1896800000004</v>
      </c>
      <c r="F270">
        <v>10828.7</v>
      </c>
      <c r="G270">
        <v>22311.52</v>
      </c>
    </row>
    <row r="271" spans="1:7" x14ac:dyDescent="0.35">
      <c r="A271" s="1">
        <v>40571</v>
      </c>
      <c r="B271">
        <v>2954.13</v>
      </c>
      <c r="C271">
        <v>4002.32</v>
      </c>
      <c r="D271">
        <v>7102.8</v>
      </c>
      <c r="E271">
        <v>6845.2527899999995</v>
      </c>
      <c r="F271">
        <v>10747</v>
      </c>
      <c r="G271">
        <v>22025.11</v>
      </c>
    </row>
    <row r="272" spans="1:7" x14ac:dyDescent="0.35">
      <c r="A272" s="1">
        <v>40574</v>
      </c>
      <c r="B272">
        <v>2953.63</v>
      </c>
      <c r="C272">
        <v>4005.5</v>
      </c>
      <c r="D272">
        <v>7077.48</v>
      </c>
      <c r="E272">
        <v>6862.8544199999997</v>
      </c>
      <c r="F272">
        <v>10806</v>
      </c>
      <c r="G272">
        <v>22050.45</v>
      </c>
    </row>
    <row r="273" spans="1:7" x14ac:dyDescent="0.35">
      <c r="A273" s="1">
        <v>40575</v>
      </c>
      <c r="B273">
        <v>3006.81</v>
      </c>
      <c r="C273">
        <v>4072.62</v>
      </c>
      <c r="D273">
        <v>7184.27</v>
      </c>
      <c r="E273">
        <v>6955.6029200000003</v>
      </c>
      <c r="F273">
        <v>10967.9</v>
      </c>
      <c r="G273">
        <v>22525.59</v>
      </c>
    </row>
    <row r="274" spans="1:7" x14ac:dyDescent="0.35">
      <c r="A274" s="1">
        <v>40576</v>
      </c>
      <c r="B274">
        <v>3012.7</v>
      </c>
      <c r="C274">
        <v>4066.53</v>
      </c>
      <c r="D274">
        <v>7183.67</v>
      </c>
      <c r="E274">
        <v>7036.2004500000003</v>
      </c>
      <c r="F274">
        <v>11010.2</v>
      </c>
      <c r="G274">
        <v>22653.59</v>
      </c>
    </row>
    <row r="275" spans="1:7" x14ac:dyDescent="0.35">
      <c r="A275" s="1">
        <v>40577</v>
      </c>
      <c r="B275">
        <v>2995.49</v>
      </c>
      <c r="C275">
        <v>4036.59</v>
      </c>
      <c r="D275">
        <v>7193.68</v>
      </c>
      <c r="E275">
        <v>7080.1468500000001</v>
      </c>
      <c r="F275">
        <v>10860.7</v>
      </c>
      <c r="G275">
        <v>22443.86</v>
      </c>
    </row>
    <row r="276" spans="1:7" x14ac:dyDescent="0.35">
      <c r="A276" s="1">
        <v>40578</v>
      </c>
      <c r="B276">
        <v>3003.19</v>
      </c>
      <c r="C276">
        <v>4047.21</v>
      </c>
      <c r="D276">
        <v>7216.21</v>
      </c>
      <c r="E276">
        <v>7108.0877099999998</v>
      </c>
      <c r="F276">
        <v>10854.7</v>
      </c>
      <c r="G276">
        <v>22618.05</v>
      </c>
    </row>
    <row r="277" spans="1:7" x14ac:dyDescent="0.35">
      <c r="A277" s="1">
        <v>40581</v>
      </c>
      <c r="B277">
        <v>3031.18</v>
      </c>
      <c r="C277">
        <v>4090.8</v>
      </c>
      <c r="D277">
        <v>7283.62</v>
      </c>
      <c r="E277">
        <v>7190.2891900000004</v>
      </c>
      <c r="F277">
        <v>10922.6</v>
      </c>
      <c r="G277">
        <v>22793.01</v>
      </c>
    </row>
    <row r="278" spans="1:7" x14ac:dyDescent="0.35">
      <c r="A278" s="1">
        <v>40582</v>
      </c>
      <c r="B278">
        <v>3042.5</v>
      </c>
      <c r="C278">
        <v>4108.2700000000004</v>
      </c>
      <c r="D278">
        <v>7323.24</v>
      </c>
      <c r="E278">
        <v>7176.31333</v>
      </c>
      <c r="F278">
        <v>10965.1</v>
      </c>
      <c r="G278">
        <v>22734.17</v>
      </c>
    </row>
    <row r="279" spans="1:7" x14ac:dyDescent="0.35">
      <c r="A279" s="1">
        <v>40583</v>
      </c>
      <c r="B279">
        <v>3031.62</v>
      </c>
      <c r="C279">
        <v>4090.74</v>
      </c>
      <c r="D279">
        <v>7320.9</v>
      </c>
      <c r="E279">
        <v>7106.9928099999997</v>
      </c>
      <c r="F279">
        <v>10935.6</v>
      </c>
      <c r="G279">
        <v>22683.46</v>
      </c>
    </row>
    <row r="280" spans="1:7" x14ac:dyDescent="0.35">
      <c r="A280" s="1">
        <v>40584</v>
      </c>
      <c r="B280">
        <v>3025.68</v>
      </c>
      <c r="C280">
        <v>4095.14</v>
      </c>
      <c r="D280">
        <v>7340.28</v>
      </c>
      <c r="E280">
        <v>7121.4252999999999</v>
      </c>
      <c r="F280">
        <v>10791.9</v>
      </c>
      <c r="G280">
        <v>22596.79</v>
      </c>
    </row>
    <row r="281" spans="1:7" x14ac:dyDescent="0.35">
      <c r="A281" s="1">
        <v>40585</v>
      </c>
      <c r="B281">
        <v>3024.37</v>
      </c>
      <c r="C281">
        <v>4101.3100000000004</v>
      </c>
      <c r="D281">
        <v>7371.2</v>
      </c>
      <c r="E281">
        <v>7177.1893600000003</v>
      </c>
      <c r="F281">
        <v>10803.6</v>
      </c>
      <c r="G281">
        <v>22695.19</v>
      </c>
    </row>
    <row r="282" spans="1:7" x14ac:dyDescent="0.35">
      <c r="A282" s="1">
        <v>40588</v>
      </c>
      <c r="B282">
        <v>3018.38</v>
      </c>
      <c r="C282">
        <v>4096.62</v>
      </c>
      <c r="D282">
        <v>7396.63</v>
      </c>
      <c r="E282">
        <v>7197.9284799999996</v>
      </c>
      <c r="F282">
        <v>10774.7</v>
      </c>
      <c r="G282">
        <v>22637.29</v>
      </c>
    </row>
    <row r="283" spans="1:7" x14ac:dyDescent="0.35">
      <c r="A283" s="1">
        <v>40589</v>
      </c>
      <c r="B283">
        <v>3030.46</v>
      </c>
      <c r="C283">
        <v>4110.34</v>
      </c>
      <c r="D283">
        <v>7400.04</v>
      </c>
      <c r="E283">
        <v>7208.9469900000004</v>
      </c>
      <c r="F283">
        <v>10826.2</v>
      </c>
      <c r="G283">
        <v>22823.82</v>
      </c>
    </row>
    <row r="284" spans="1:7" x14ac:dyDescent="0.35">
      <c r="A284" s="1">
        <v>40590</v>
      </c>
      <c r="B284">
        <v>3061.92</v>
      </c>
      <c r="C284">
        <v>4151.26</v>
      </c>
      <c r="D284">
        <v>7414.3</v>
      </c>
      <c r="E284">
        <v>7215.3658999999998</v>
      </c>
      <c r="F284">
        <v>11047.8</v>
      </c>
      <c r="G284">
        <v>23167.58</v>
      </c>
    </row>
    <row r="285" spans="1:7" x14ac:dyDescent="0.35">
      <c r="A285" s="1">
        <v>40591</v>
      </c>
      <c r="B285">
        <v>3064.54</v>
      </c>
      <c r="C285">
        <v>4152.3100000000004</v>
      </c>
      <c r="D285">
        <v>7405.51</v>
      </c>
      <c r="E285">
        <v>7238.2235000000001</v>
      </c>
      <c r="F285">
        <v>11113</v>
      </c>
      <c r="G285">
        <v>23178.38</v>
      </c>
    </row>
    <row r="286" spans="1:7" x14ac:dyDescent="0.35">
      <c r="A286" s="1">
        <v>40592</v>
      </c>
      <c r="B286">
        <v>3068</v>
      </c>
      <c r="C286">
        <v>4157.1400000000003</v>
      </c>
      <c r="D286">
        <v>7426.81</v>
      </c>
      <c r="E286">
        <v>7223.4949999999999</v>
      </c>
      <c r="F286">
        <v>11068.1</v>
      </c>
      <c r="G286">
        <v>23059.03</v>
      </c>
    </row>
    <row r="287" spans="1:7" x14ac:dyDescent="0.35">
      <c r="A287" s="1">
        <v>40595</v>
      </c>
      <c r="B287">
        <v>3012.34</v>
      </c>
      <c r="C287">
        <v>4097.41</v>
      </c>
      <c r="D287">
        <v>7321.81</v>
      </c>
      <c r="E287">
        <v>7131.3882299999996</v>
      </c>
      <c r="F287">
        <v>10810.5</v>
      </c>
      <c r="G287">
        <v>22230.2</v>
      </c>
    </row>
    <row r="288" spans="1:7" x14ac:dyDescent="0.35">
      <c r="A288" s="1">
        <v>40596</v>
      </c>
      <c r="B288">
        <v>2983.33</v>
      </c>
      <c r="C288">
        <v>4050.27</v>
      </c>
      <c r="D288">
        <v>7318.35</v>
      </c>
      <c r="E288">
        <v>7081.6914699999998</v>
      </c>
      <c r="F288">
        <v>10701.9</v>
      </c>
      <c r="G288">
        <v>21993.96</v>
      </c>
    </row>
    <row r="289" spans="1:7" x14ac:dyDescent="0.35">
      <c r="A289" s="1">
        <v>40597</v>
      </c>
      <c r="B289">
        <v>2954.92</v>
      </c>
      <c r="C289">
        <v>4013.12</v>
      </c>
      <c r="D289">
        <v>7194.6</v>
      </c>
      <c r="E289">
        <v>6981.3339999999998</v>
      </c>
      <c r="F289">
        <v>10633.4</v>
      </c>
      <c r="G289">
        <v>21929.79</v>
      </c>
    </row>
    <row r="290" spans="1:7" x14ac:dyDescent="0.35">
      <c r="A290" s="1">
        <v>40598</v>
      </c>
      <c r="B290">
        <v>2949.13</v>
      </c>
      <c r="C290">
        <v>4009.64</v>
      </c>
      <c r="D290">
        <v>7130.5</v>
      </c>
      <c r="E290">
        <v>6922.7407300000004</v>
      </c>
      <c r="F290">
        <v>10647.6</v>
      </c>
      <c r="G290">
        <v>21948.73</v>
      </c>
    </row>
    <row r="291" spans="1:7" x14ac:dyDescent="0.35">
      <c r="A291" s="1">
        <v>40599</v>
      </c>
      <c r="B291">
        <v>2985.02</v>
      </c>
      <c r="C291">
        <v>4070.38</v>
      </c>
      <c r="D291">
        <v>7185.17</v>
      </c>
      <c r="E291">
        <v>7021.3167700000004</v>
      </c>
      <c r="F291">
        <v>10822.7</v>
      </c>
      <c r="G291">
        <v>22349.71</v>
      </c>
    </row>
    <row r="292" spans="1:7" x14ac:dyDescent="0.35">
      <c r="A292" s="1">
        <v>40602</v>
      </c>
      <c r="B292">
        <v>3013.09</v>
      </c>
      <c r="C292">
        <v>4110.3500000000004</v>
      </c>
      <c r="D292">
        <v>7272.32</v>
      </c>
      <c r="E292">
        <v>7062.2580099999996</v>
      </c>
      <c r="F292">
        <v>10850.8</v>
      </c>
      <c r="G292">
        <v>22466.57</v>
      </c>
    </row>
    <row r="293" spans="1:7" x14ac:dyDescent="0.35">
      <c r="A293" s="1">
        <v>40603</v>
      </c>
      <c r="B293">
        <v>2983.27</v>
      </c>
      <c r="C293">
        <v>4067.15</v>
      </c>
      <c r="D293">
        <v>7223.3</v>
      </c>
      <c r="E293">
        <v>6997.7902199999999</v>
      </c>
      <c r="F293">
        <v>10761.9</v>
      </c>
      <c r="G293">
        <v>22227.23</v>
      </c>
    </row>
    <row r="294" spans="1:7" x14ac:dyDescent="0.35">
      <c r="A294" s="1">
        <v>40604</v>
      </c>
      <c r="B294">
        <v>2958.8</v>
      </c>
      <c r="C294">
        <v>4034.32</v>
      </c>
      <c r="D294">
        <v>7181.12</v>
      </c>
      <c r="E294">
        <v>6964.3403699999999</v>
      </c>
      <c r="F294">
        <v>10643.8</v>
      </c>
      <c r="G294">
        <v>22238.75</v>
      </c>
    </row>
    <row r="295" spans="1:7" x14ac:dyDescent="0.35">
      <c r="A295" s="1">
        <v>40605</v>
      </c>
      <c r="B295">
        <v>2969.24</v>
      </c>
      <c r="C295">
        <v>4060.76</v>
      </c>
      <c r="D295">
        <v>7225.96</v>
      </c>
      <c r="E295">
        <v>7006.5128699999996</v>
      </c>
      <c r="F295">
        <v>10566.9</v>
      </c>
      <c r="G295">
        <v>22154.23</v>
      </c>
    </row>
    <row r="296" spans="1:7" x14ac:dyDescent="0.35">
      <c r="A296" s="1">
        <v>40606</v>
      </c>
      <c r="B296">
        <v>2949.18</v>
      </c>
      <c r="C296">
        <v>4020.21</v>
      </c>
      <c r="D296">
        <v>7178.9</v>
      </c>
      <c r="E296">
        <v>6962.85869</v>
      </c>
      <c r="F296">
        <v>10498.7</v>
      </c>
      <c r="G296">
        <v>22138.44</v>
      </c>
    </row>
    <row r="297" spans="1:7" x14ac:dyDescent="0.35">
      <c r="A297" s="1">
        <v>40609</v>
      </c>
      <c r="B297">
        <v>2931.42</v>
      </c>
      <c r="C297">
        <v>3990.41</v>
      </c>
      <c r="D297">
        <v>7161.93</v>
      </c>
      <c r="E297">
        <v>6927.3431399999999</v>
      </c>
      <c r="F297">
        <v>10495.7</v>
      </c>
      <c r="G297">
        <v>22145.79</v>
      </c>
    </row>
    <row r="298" spans="1:7" x14ac:dyDescent="0.35">
      <c r="A298" s="1">
        <v>40610</v>
      </c>
      <c r="B298">
        <v>2945.42</v>
      </c>
      <c r="C298">
        <v>4015.91</v>
      </c>
      <c r="D298">
        <v>7164.75</v>
      </c>
      <c r="E298">
        <v>6940.0523300000004</v>
      </c>
      <c r="F298">
        <v>10568.7</v>
      </c>
      <c r="G298">
        <v>22353.45</v>
      </c>
    </row>
    <row r="299" spans="1:7" x14ac:dyDescent="0.35">
      <c r="A299" s="1">
        <v>40611</v>
      </c>
      <c r="B299">
        <v>2935.11</v>
      </c>
      <c r="C299">
        <v>3993.81</v>
      </c>
      <c r="D299">
        <v>7131.8</v>
      </c>
      <c r="E299">
        <v>6918.4494999999997</v>
      </c>
      <c r="F299">
        <v>10559.5</v>
      </c>
      <c r="G299">
        <v>22441.24</v>
      </c>
    </row>
    <row r="300" spans="1:7" x14ac:dyDescent="0.35">
      <c r="A300" s="1">
        <v>40612</v>
      </c>
      <c r="B300">
        <v>2909.73</v>
      </c>
      <c r="C300">
        <v>3963.99</v>
      </c>
      <c r="D300">
        <v>7063.09</v>
      </c>
      <c r="E300">
        <v>6793.1405699999996</v>
      </c>
      <c r="F300">
        <v>10435.6</v>
      </c>
      <c r="G300">
        <v>22084.46</v>
      </c>
    </row>
    <row r="301" spans="1:7" x14ac:dyDescent="0.35">
      <c r="A301" s="1">
        <v>40613</v>
      </c>
      <c r="B301">
        <v>2883.84</v>
      </c>
      <c r="C301">
        <v>3928.68</v>
      </c>
      <c r="D301">
        <v>6981.49</v>
      </c>
      <c r="E301">
        <v>6744.6758600000003</v>
      </c>
      <c r="F301">
        <v>10398.4</v>
      </c>
      <c r="G301">
        <v>21863.02</v>
      </c>
    </row>
    <row r="302" spans="1:7" x14ac:dyDescent="0.35">
      <c r="A302" s="1">
        <v>40616</v>
      </c>
      <c r="B302">
        <v>2852.11</v>
      </c>
      <c r="C302">
        <v>3878.04</v>
      </c>
      <c r="D302">
        <v>6866.63</v>
      </c>
      <c r="E302">
        <v>6676.4086100000004</v>
      </c>
      <c r="F302">
        <v>10415.9</v>
      </c>
      <c r="G302">
        <v>21804.32</v>
      </c>
    </row>
    <row r="303" spans="1:7" x14ac:dyDescent="0.35">
      <c r="A303" s="1">
        <v>40617</v>
      </c>
      <c r="B303">
        <v>2784.2</v>
      </c>
      <c r="C303">
        <v>3780.85</v>
      </c>
      <c r="D303">
        <v>6647.66</v>
      </c>
      <c r="E303">
        <v>6559.1272900000004</v>
      </c>
      <c r="F303">
        <v>10329.700000000001</v>
      </c>
      <c r="G303">
        <v>21365.4</v>
      </c>
    </row>
    <row r="304" spans="1:7" x14ac:dyDescent="0.35">
      <c r="A304" s="1">
        <v>40618</v>
      </c>
      <c r="B304">
        <v>2721.24</v>
      </c>
      <c r="C304">
        <v>3696.56</v>
      </c>
      <c r="D304">
        <v>6513.84</v>
      </c>
      <c r="E304">
        <v>6446.6298699999998</v>
      </c>
      <c r="F304">
        <v>10092.6</v>
      </c>
      <c r="G304">
        <v>20836.77</v>
      </c>
    </row>
    <row r="305" spans="1:7" x14ac:dyDescent="0.35">
      <c r="A305" s="1">
        <v>40619</v>
      </c>
      <c r="B305">
        <v>2786.16</v>
      </c>
      <c r="C305">
        <v>3786.21</v>
      </c>
      <c r="D305">
        <v>6656.88</v>
      </c>
      <c r="E305">
        <v>6557.64156</v>
      </c>
      <c r="F305">
        <v>10325.6</v>
      </c>
      <c r="G305">
        <v>21140.59</v>
      </c>
    </row>
    <row r="306" spans="1:7" x14ac:dyDescent="0.35">
      <c r="A306" s="1">
        <v>40620</v>
      </c>
      <c r="B306">
        <v>2792.61</v>
      </c>
      <c r="C306">
        <v>3810.22</v>
      </c>
      <c r="D306">
        <v>6664.4</v>
      </c>
      <c r="E306">
        <v>6554.55537</v>
      </c>
      <c r="F306">
        <v>10328.4</v>
      </c>
      <c r="G306">
        <v>21197.1</v>
      </c>
    </row>
    <row r="307" spans="1:7" x14ac:dyDescent="0.35">
      <c r="A307" s="1">
        <v>40623</v>
      </c>
      <c r="B307">
        <v>2860.81</v>
      </c>
      <c r="C307">
        <v>3904.45</v>
      </c>
      <c r="D307">
        <v>6816.12</v>
      </c>
      <c r="E307">
        <v>6632.6066799999999</v>
      </c>
      <c r="F307">
        <v>10574.4</v>
      </c>
      <c r="G307">
        <v>21527.11</v>
      </c>
    </row>
    <row r="308" spans="1:7" x14ac:dyDescent="0.35">
      <c r="A308" s="1">
        <v>40624</v>
      </c>
      <c r="B308">
        <v>2854.79</v>
      </c>
      <c r="C308">
        <v>3892.71</v>
      </c>
      <c r="D308">
        <v>6780.97</v>
      </c>
      <c r="E308">
        <v>6639.3974200000002</v>
      </c>
      <c r="F308">
        <v>10576.1</v>
      </c>
      <c r="G308">
        <v>21556.82</v>
      </c>
    </row>
    <row r="309" spans="1:7" x14ac:dyDescent="0.35">
      <c r="A309" s="1">
        <v>40625</v>
      </c>
      <c r="B309">
        <v>2866.23</v>
      </c>
      <c r="C309">
        <v>3913.73</v>
      </c>
      <c r="D309">
        <v>6804.45</v>
      </c>
      <c r="E309">
        <v>6666.6572100000003</v>
      </c>
      <c r="F309">
        <v>10638</v>
      </c>
      <c r="G309">
        <v>21698.38</v>
      </c>
    </row>
    <row r="310" spans="1:7" x14ac:dyDescent="0.35">
      <c r="A310" s="1">
        <v>40626</v>
      </c>
      <c r="B310">
        <v>2909.78</v>
      </c>
      <c r="C310">
        <v>3968.84</v>
      </c>
      <c r="D310">
        <v>6933.58</v>
      </c>
      <c r="E310">
        <v>6683.7488499999999</v>
      </c>
      <c r="F310">
        <v>10755.6</v>
      </c>
      <c r="G310">
        <v>22023.91</v>
      </c>
    </row>
    <row r="311" spans="1:7" x14ac:dyDescent="0.35">
      <c r="A311" s="1">
        <v>40627</v>
      </c>
      <c r="B311">
        <v>2911.33</v>
      </c>
      <c r="C311">
        <v>3972.38</v>
      </c>
      <c r="D311">
        <v>6946.36</v>
      </c>
      <c r="E311">
        <v>6717.67868</v>
      </c>
      <c r="F311">
        <v>10710.4</v>
      </c>
      <c r="G311">
        <v>21984.99</v>
      </c>
    </row>
    <row r="312" spans="1:7" x14ac:dyDescent="0.35">
      <c r="A312" s="1">
        <v>40630</v>
      </c>
      <c r="B312">
        <v>2914.76</v>
      </c>
      <c r="C312">
        <v>3976.95</v>
      </c>
      <c r="D312">
        <v>6938.63</v>
      </c>
      <c r="E312">
        <v>6708.25792</v>
      </c>
      <c r="F312">
        <v>10751</v>
      </c>
      <c r="G312">
        <v>22009.95</v>
      </c>
    </row>
    <row r="313" spans="1:7" x14ac:dyDescent="0.35">
      <c r="A313" s="1">
        <v>40631</v>
      </c>
      <c r="B313">
        <v>2910.93</v>
      </c>
      <c r="C313">
        <v>3987.8</v>
      </c>
      <c r="D313">
        <v>6934.44</v>
      </c>
      <c r="E313">
        <v>6734.7254899999998</v>
      </c>
      <c r="F313">
        <v>10735</v>
      </c>
      <c r="G313">
        <v>21780.78</v>
      </c>
    </row>
    <row r="314" spans="1:7" x14ac:dyDescent="0.35">
      <c r="A314" s="1">
        <v>40632</v>
      </c>
      <c r="B314">
        <v>2936.44</v>
      </c>
      <c r="C314">
        <v>4024.44</v>
      </c>
      <c r="D314">
        <v>7057.15</v>
      </c>
      <c r="E314">
        <v>6760.1591500000004</v>
      </c>
      <c r="F314">
        <v>10732.3</v>
      </c>
      <c r="G314">
        <v>22001.19</v>
      </c>
    </row>
    <row r="315" spans="1:7" x14ac:dyDescent="0.35">
      <c r="A315" s="1">
        <v>40633</v>
      </c>
      <c r="B315">
        <v>2910.91</v>
      </c>
      <c r="C315">
        <v>3989.18</v>
      </c>
      <c r="D315">
        <v>7041.31</v>
      </c>
      <c r="E315">
        <v>6689.0994099999998</v>
      </c>
      <c r="F315">
        <v>10576.5</v>
      </c>
      <c r="G315">
        <v>21727.439999999999</v>
      </c>
    </row>
    <row r="316" spans="1:7" x14ac:dyDescent="0.35">
      <c r="A316" s="1">
        <v>40634</v>
      </c>
      <c r="B316">
        <v>2962.92</v>
      </c>
      <c r="C316">
        <v>4054.76</v>
      </c>
      <c r="D316">
        <v>7179.81</v>
      </c>
      <c r="E316">
        <v>6812.8493699999999</v>
      </c>
      <c r="F316">
        <v>10729.9</v>
      </c>
      <c r="G316">
        <v>21967.77</v>
      </c>
    </row>
    <row r="317" spans="1:7" x14ac:dyDescent="0.35">
      <c r="A317" s="1">
        <v>40637</v>
      </c>
      <c r="B317">
        <v>2955.84</v>
      </c>
      <c r="C317">
        <v>4042.92</v>
      </c>
      <c r="D317">
        <v>7175.33</v>
      </c>
      <c r="E317">
        <v>6822.0092599999998</v>
      </c>
      <c r="F317">
        <v>10756.1</v>
      </c>
      <c r="G317">
        <v>22007.81</v>
      </c>
    </row>
    <row r="318" spans="1:7" x14ac:dyDescent="0.35">
      <c r="A318" s="1">
        <v>40638</v>
      </c>
      <c r="B318">
        <v>2950.96</v>
      </c>
      <c r="C318">
        <v>4041.74</v>
      </c>
      <c r="D318">
        <v>7175.31</v>
      </c>
      <c r="E318">
        <v>6876.6751700000004</v>
      </c>
      <c r="F318">
        <v>10678.6</v>
      </c>
      <c r="G318">
        <v>22058.98</v>
      </c>
    </row>
    <row r="319" spans="1:7" x14ac:dyDescent="0.35">
      <c r="A319" s="1">
        <v>40639</v>
      </c>
      <c r="B319">
        <v>2971.48</v>
      </c>
      <c r="C319">
        <v>4048.16</v>
      </c>
      <c r="D319">
        <v>7215.11</v>
      </c>
      <c r="E319">
        <v>6881.7340700000004</v>
      </c>
      <c r="F319">
        <v>10845.1</v>
      </c>
      <c r="G319">
        <v>22326.52</v>
      </c>
    </row>
    <row r="320" spans="1:7" x14ac:dyDescent="0.35">
      <c r="A320" s="1">
        <v>40640</v>
      </c>
      <c r="B320">
        <v>2963.69</v>
      </c>
      <c r="C320">
        <v>4028.3</v>
      </c>
      <c r="D320">
        <v>7178.78</v>
      </c>
      <c r="E320">
        <v>6855.1826199999996</v>
      </c>
      <c r="F320">
        <v>10849.1</v>
      </c>
      <c r="G320">
        <v>22243.99</v>
      </c>
    </row>
    <row r="321" spans="1:7" x14ac:dyDescent="0.35">
      <c r="A321" s="1">
        <v>40641</v>
      </c>
      <c r="B321">
        <v>2984.66</v>
      </c>
      <c r="C321">
        <v>4061.91</v>
      </c>
      <c r="D321">
        <v>7217.02</v>
      </c>
      <c r="E321">
        <v>6864.0511200000001</v>
      </c>
      <c r="F321">
        <v>10913.2</v>
      </c>
      <c r="G321">
        <v>22389.15</v>
      </c>
    </row>
    <row r="322" spans="1:7" x14ac:dyDescent="0.35">
      <c r="A322" s="1">
        <v>40644</v>
      </c>
      <c r="B322">
        <v>2974.58</v>
      </c>
      <c r="C322">
        <v>4038.7</v>
      </c>
      <c r="D322">
        <v>7204.86</v>
      </c>
      <c r="E322">
        <v>6863.3600900000001</v>
      </c>
      <c r="F322">
        <v>10878.3</v>
      </c>
      <c r="G322">
        <v>22365.93</v>
      </c>
    </row>
    <row r="323" spans="1:7" x14ac:dyDescent="0.35">
      <c r="A323" s="1">
        <v>40645</v>
      </c>
      <c r="B323">
        <v>2932.33</v>
      </c>
      <c r="C323">
        <v>3976.6</v>
      </c>
      <c r="D323">
        <v>7102.91</v>
      </c>
      <c r="E323">
        <v>6701.1242499999998</v>
      </c>
      <c r="F323">
        <v>10784.5</v>
      </c>
      <c r="G323">
        <v>22018.55</v>
      </c>
    </row>
    <row r="324" spans="1:7" x14ac:dyDescent="0.35">
      <c r="A324" s="1">
        <v>40646</v>
      </c>
      <c r="B324">
        <v>2949.98</v>
      </c>
      <c r="C324">
        <v>4006.23</v>
      </c>
      <c r="D324">
        <v>7177.97</v>
      </c>
      <c r="E324">
        <v>6767.4642800000001</v>
      </c>
      <c r="F324">
        <v>10786</v>
      </c>
      <c r="G324">
        <v>22096.959999999999</v>
      </c>
    </row>
    <row r="325" spans="1:7" x14ac:dyDescent="0.35">
      <c r="A325" s="1">
        <v>40647</v>
      </c>
      <c r="B325">
        <v>2917.72</v>
      </c>
      <c r="C325">
        <v>3970.39</v>
      </c>
      <c r="D325">
        <v>7146.56</v>
      </c>
      <c r="E325">
        <v>6730.83896</v>
      </c>
      <c r="F325">
        <v>10622.7</v>
      </c>
      <c r="G325">
        <v>21833.72</v>
      </c>
    </row>
    <row r="326" spans="1:7" x14ac:dyDescent="0.35">
      <c r="A326" s="1">
        <v>40648</v>
      </c>
      <c r="B326">
        <v>2919.05</v>
      </c>
      <c r="C326">
        <v>3974.48</v>
      </c>
      <c r="D326">
        <v>7178.29</v>
      </c>
      <c r="E326">
        <v>6773.6934499999998</v>
      </c>
      <c r="F326">
        <v>10558.6</v>
      </c>
      <c r="G326">
        <v>21821.26</v>
      </c>
    </row>
    <row r="327" spans="1:7" x14ac:dyDescent="0.35">
      <c r="A327" s="1">
        <v>40651</v>
      </c>
      <c r="B327">
        <v>2847.96</v>
      </c>
      <c r="C327">
        <v>3881.24</v>
      </c>
      <c r="D327">
        <v>7026.85</v>
      </c>
      <c r="E327">
        <v>6698.3557899999996</v>
      </c>
      <c r="F327">
        <v>10344.9</v>
      </c>
      <c r="G327">
        <v>21184.67</v>
      </c>
    </row>
    <row r="328" spans="1:7" x14ac:dyDescent="0.35">
      <c r="A328" s="1">
        <v>40652</v>
      </c>
      <c r="B328">
        <v>2857.61</v>
      </c>
      <c r="C328">
        <v>3908.58</v>
      </c>
      <c r="D328">
        <v>7039.31</v>
      </c>
      <c r="E328">
        <v>6721.1548000000003</v>
      </c>
      <c r="F328">
        <v>10376.5</v>
      </c>
      <c r="G328">
        <v>21249.9</v>
      </c>
    </row>
    <row r="329" spans="1:7" x14ac:dyDescent="0.35">
      <c r="A329" s="1">
        <v>40653</v>
      </c>
      <c r="B329">
        <v>2921.43</v>
      </c>
      <c r="C329">
        <v>4004.62</v>
      </c>
      <c r="D329">
        <v>7249.19</v>
      </c>
      <c r="E329">
        <v>6812.4323599999998</v>
      </c>
      <c r="F329">
        <v>10535.4</v>
      </c>
      <c r="G329">
        <v>21502.45</v>
      </c>
    </row>
    <row r="330" spans="1:7" x14ac:dyDescent="0.35">
      <c r="A330" s="1">
        <v>40654</v>
      </c>
      <c r="B330">
        <v>2936.3</v>
      </c>
      <c r="C330">
        <v>4021.88</v>
      </c>
      <c r="D330">
        <v>7295.49</v>
      </c>
      <c r="E330">
        <v>6834.0396499999997</v>
      </c>
      <c r="F330">
        <v>10584.1</v>
      </c>
      <c r="G330">
        <v>21810.7</v>
      </c>
    </row>
    <row r="331" spans="1:7" x14ac:dyDescent="0.35">
      <c r="A331" s="1">
        <v>40659</v>
      </c>
      <c r="B331">
        <v>2955.36</v>
      </c>
      <c r="C331">
        <v>4045.29</v>
      </c>
      <c r="D331">
        <v>7356.51</v>
      </c>
      <c r="E331">
        <v>6833.7327299999997</v>
      </c>
      <c r="F331">
        <v>10650.6</v>
      </c>
      <c r="G331">
        <v>21932.78</v>
      </c>
    </row>
    <row r="332" spans="1:7" x14ac:dyDescent="0.35">
      <c r="A332" s="1">
        <v>40660</v>
      </c>
      <c r="B332">
        <v>2977.59</v>
      </c>
      <c r="C332">
        <v>4067.72</v>
      </c>
      <c r="D332">
        <v>7404.95</v>
      </c>
      <c r="E332">
        <v>6838.4051600000003</v>
      </c>
      <c r="F332">
        <v>10740.9</v>
      </c>
      <c r="G332">
        <v>22238.16</v>
      </c>
    </row>
    <row r="333" spans="1:7" x14ac:dyDescent="0.35">
      <c r="A333" s="1">
        <v>40661</v>
      </c>
      <c r="B333">
        <v>3005.33</v>
      </c>
      <c r="C333">
        <v>4104.8999999999996</v>
      </c>
      <c r="D333">
        <v>7475.22</v>
      </c>
      <c r="E333">
        <v>6825.5607099999997</v>
      </c>
      <c r="F333">
        <v>10867.8</v>
      </c>
      <c r="G333">
        <v>22380.19</v>
      </c>
    </row>
    <row r="334" spans="1:7" x14ac:dyDescent="0.35">
      <c r="A334" s="1">
        <v>40666</v>
      </c>
      <c r="B334">
        <v>3000.39</v>
      </c>
      <c r="C334">
        <v>4096.84</v>
      </c>
      <c r="D334">
        <v>7500.7</v>
      </c>
      <c r="E334">
        <v>6769.76908</v>
      </c>
      <c r="F334">
        <v>10825.6</v>
      </c>
      <c r="G334">
        <v>22315.68</v>
      </c>
    </row>
    <row r="335" spans="1:7" x14ac:dyDescent="0.35">
      <c r="A335" s="1">
        <v>40667</v>
      </c>
      <c r="B335">
        <v>2952.02</v>
      </c>
      <c r="C335">
        <v>4043.13</v>
      </c>
      <c r="D335">
        <v>7373.93</v>
      </c>
      <c r="E335">
        <v>6656.6683499999999</v>
      </c>
      <c r="F335">
        <v>10712.6</v>
      </c>
      <c r="G335">
        <v>21915.32</v>
      </c>
    </row>
    <row r="336" spans="1:7" x14ac:dyDescent="0.35">
      <c r="A336" s="1">
        <v>40668</v>
      </c>
      <c r="B336">
        <v>2926.54</v>
      </c>
      <c r="C336">
        <v>4004.87</v>
      </c>
      <c r="D336">
        <v>7376.96</v>
      </c>
      <c r="E336">
        <v>6670.5372900000002</v>
      </c>
      <c r="F336">
        <v>10627.3</v>
      </c>
      <c r="G336">
        <v>21741.02</v>
      </c>
    </row>
    <row r="337" spans="1:7" x14ac:dyDescent="0.35">
      <c r="A337" s="1">
        <v>40669</v>
      </c>
      <c r="B337">
        <v>2952.9</v>
      </c>
      <c r="C337">
        <v>4058.01</v>
      </c>
      <c r="D337">
        <v>7492.25</v>
      </c>
      <c r="E337">
        <v>6800.9517299999998</v>
      </c>
      <c r="F337">
        <v>10610.5</v>
      </c>
      <c r="G337">
        <v>21953.759999999998</v>
      </c>
    </row>
    <row r="338" spans="1:7" x14ac:dyDescent="0.35">
      <c r="A338" s="1">
        <v>40672</v>
      </c>
      <c r="B338">
        <v>2902.4</v>
      </c>
      <c r="C338">
        <v>4007.26</v>
      </c>
      <c r="D338">
        <v>7410.52</v>
      </c>
      <c r="E338">
        <v>6786.0694599999997</v>
      </c>
      <c r="F338">
        <v>10396.299999999999</v>
      </c>
      <c r="G338">
        <v>21666.400000000001</v>
      </c>
    </row>
    <row r="339" spans="1:7" x14ac:dyDescent="0.35">
      <c r="A339" s="1">
        <v>40673</v>
      </c>
      <c r="B339">
        <v>2939.02</v>
      </c>
      <c r="C339">
        <v>4052.51</v>
      </c>
      <c r="D339">
        <v>7501.52</v>
      </c>
      <c r="E339">
        <v>6846.0890799999997</v>
      </c>
      <c r="F339">
        <v>10474.4</v>
      </c>
      <c r="G339">
        <v>21984.32</v>
      </c>
    </row>
    <row r="340" spans="1:7" x14ac:dyDescent="0.35">
      <c r="A340" s="1">
        <v>40674</v>
      </c>
      <c r="B340">
        <v>2942.43</v>
      </c>
      <c r="C340">
        <v>4058.08</v>
      </c>
      <c r="D340">
        <v>7495.05</v>
      </c>
      <c r="E340">
        <v>6875.4050200000001</v>
      </c>
      <c r="F340">
        <v>10531.5</v>
      </c>
      <c r="G340">
        <v>22031.16</v>
      </c>
    </row>
    <row r="341" spans="1:7" x14ac:dyDescent="0.35">
      <c r="A341" s="1">
        <v>40675</v>
      </c>
      <c r="B341">
        <v>2917.05</v>
      </c>
      <c r="C341">
        <v>4023.29</v>
      </c>
      <c r="D341">
        <v>7443.95</v>
      </c>
      <c r="E341">
        <v>6802.5346799999998</v>
      </c>
      <c r="F341">
        <v>10487.6</v>
      </c>
      <c r="G341">
        <v>21787.69</v>
      </c>
    </row>
    <row r="342" spans="1:7" x14ac:dyDescent="0.35">
      <c r="A342" s="1">
        <v>40676</v>
      </c>
      <c r="B342">
        <v>2894.6</v>
      </c>
      <c r="C342">
        <v>4018.85</v>
      </c>
      <c r="D342">
        <v>7403.31</v>
      </c>
      <c r="E342">
        <v>6791.85214</v>
      </c>
      <c r="F342">
        <v>10356.5</v>
      </c>
      <c r="G342">
        <v>21764.31</v>
      </c>
    </row>
    <row r="343" spans="1:7" x14ac:dyDescent="0.35">
      <c r="A343" s="1">
        <v>40679</v>
      </c>
      <c r="B343">
        <v>2881.31</v>
      </c>
      <c r="C343">
        <v>3989.82</v>
      </c>
      <c r="D343">
        <v>7387.54</v>
      </c>
      <c r="E343">
        <v>6767.1900800000003</v>
      </c>
      <c r="F343">
        <v>10363.9</v>
      </c>
      <c r="G343">
        <v>21685.34</v>
      </c>
    </row>
    <row r="344" spans="1:7" x14ac:dyDescent="0.35">
      <c r="A344" s="1">
        <v>40680</v>
      </c>
      <c r="B344">
        <v>2849.6</v>
      </c>
      <c r="C344">
        <v>3941.58</v>
      </c>
      <c r="D344">
        <v>7256.65</v>
      </c>
      <c r="E344">
        <v>6705.1990800000003</v>
      </c>
      <c r="F344">
        <v>10306.4</v>
      </c>
      <c r="G344">
        <v>21408.94</v>
      </c>
    </row>
    <row r="345" spans="1:7" x14ac:dyDescent="0.35">
      <c r="A345" s="1">
        <v>40681</v>
      </c>
      <c r="B345">
        <v>2867.3</v>
      </c>
      <c r="C345">
        <v>3978</v>
      </c>
      <c r="D345">
        <v>7303.53</v>
      </c>
      <c r="E345">
        <v>6718.96569</v>
      </c>
      <c r="F345">
        <v>10343.700000000001</v>
      </c>
      <c r="G345">
        <v>21444.04</v>
      </c>
    </row>
    <row r="346" spans="1:7" x14ac:dyDescent="0.35">
      <c r="A346" s="1">
        <v>40682</v>
      </c>
      <c r="B346">
        <v>2890.6</v>
      </c>
      <c r="C346">
        <v>4027.74</v>
      </c>
      <c r="D346">
        <v>7358.23</v>
      </c>
      <c r="E346">
        <v>6740.8233600000003</v>
      </c>
      <c r="F346">
        <v>10376.799999999999</v>
      </c>
      <c r="G346">
        <v>21559.72</v>
      </c>
    </row>
    <row r="347" spans="1:7" x14ac:dyDescent="0.35">
      <c r="A347" s="1">
        <v>40683</v>
      </c>
      <c r="B347">
        <v>2853.98</v>
      </c>
      <c r="C347">
        <v>3990.85</v>
      </c>
      <c r="D347">
        <v>7266.82</v>
      </c>
      <c r="E347">
        <v>6806.7152599999999</v>
      </c>
      <c r="F347">
        <v>10226.6</v>
      </c>
      <c r="G347">
        <v>21236.87</v>
      </c>
    </row>
    <row r="348" spans="1:7" x14ac:dyDescent="0.35">
      <c r="A348" s="1">
        <v>40686</v>
      </c>
      <c r="B348">
        <v>2794.26</v>
      </c>
      <c r="C348">
        <v>3906.98</v>
      </c>
      <c r="D348">
        <v>7121.52</v>
      </c>
      <c r="E348">
        <v>6695.0015000000003</v>
      </c>
      <c r="F348">
        <v>10082.700000000001</v>
      </c>
      <c r="G348">
        <v>20532.64</v>
      </c>
    </row>
    <row r="349" spans="1:7" x14ac:dyDescent="0.35">
      <c r="A349" s="1">
        <v>40687</v>
      </c>
      <c r="B349">
        <v>2801.27</v>
      </c>
      <c r="C349">
        <v>3916.88</v>
      </c>
      <c r="D349">
        <v>7150.66</v>
      </c>
      <c r="E349">
        <v>6727.0464199999997</v>
      </c>
      <c r="F349">
        <v>10115.9</v>
      </c>
      <c r="G349">
        <v>20582.150000000001</v>
      </c>
    </row>
    <row r="350" spans="1:7" x14ac:dyDescent="0.35">
      <c r="A350" s="1">
        <v>40688</v>
      </c>
      <c r="B350">
        <v>2816.84</v>
      </c>
      <c r="C350">
        <v>3928.99</v>
      </c>
      <c r="D350">
        <v>7170.94</v>
      </c>
      <c r="E350">
        <v>6772.8222900000001</v>
      </c>
      <c r="F350">
        <v>10217.4</v>
      </c>
      <c r="G350">
        <v>20815.73</v>
      </c>
    </row>
    <row r="351" spans="1:7" x14ac:dyDescent="0.35">
      <c r="A351" s="1">
        <v>40689</v>
      </c>
      <c r="B351">
        <v>2799.82</v>
      </c>
      <c r="C351">
        <v>3917.22</v>
      </c>
      <c r="D351">
        <v>7114.09</v>
      </c>
      <c r="E351">
        <v>6815.7885500000002</v>
      </c>
      <c r="F351">
        <v>10203.200000000001</v>
      </c>
      <c r="G351">
        <v>20668.349999999999</v>
      </c>
    </row>
    <row r="352" spans="1:7" x14ac:dyDescent="0.35">
      <c r="A352" s="1">
        <v>40690</v>
      </c>
      <c r="B352">
        <v>2819.4</v>
      </c>
      <c r="C352">
        <v>3950.98</v>
      </c>
      <c r="D352">
        <v>7163.47</v>
      </c>
      <c r="E352">
        <v>6838.0577999999996</v>
      </c>
      <c r="F352">
        <v>10261.200000000001</v>
      </c>
      <c r="G352">
        <v>20830.87</v>
      </c>
    </row>
    <row r="353" spans="1:7" x14ac:dyDescent="0.35">
      <c r="A353" s="1">
        <v>40694</v>
      </c>
      <c r="B353">
        <v>2861.92</v>
      </c>
      <c r="C353">
        <v>4006.94</v>
      </c>
      <c r="D353">
        <v>7293.69</v>
      </c>
      <c r="E353">
        <v>6851.77808</v>
      </c>
      <c r="F353">
        <v>10476</v>
      </c>
      <c r="G353">
        <v>21109.75</v>
      </c>
    </row>
    <row r="354" spans="1:7" x14ac:dyDescent="0.35">
      <c r="A354" s="1">
        <v>40695</v>
      </c>
      <c r="B354">
        <v>2827.66</v>
      </c>
      <c r="C354">
        <v>3964.81</v>
      </c>
      <c r="D354">
        <v>7217.43</v>
      </c>
      <c r="E354">
        <v>6742.8980300000003</v>
      </c>
      <c r="F354">
        <v>10339.299999999999</v>
      </c>
      <c r="G354">
        <v>20866.29</v>
      </c>
    </row>
    <row r="355" spans="1:7" x14ac:dyDescent="0.35">
      <c r="A355" s="1">
        <v>40696</v>
      </c>
      <c r="B355">
        <v>2782.57</v>
      </c>
      <c r="C355">
        <v>3889.87</v>
      </c>
      <c r="D355">
        <v>7074.12</v>
      </c>
      <c r="E355">
        <v>6612.2562399999997</v>
      </c>
      <c r="F355">
        <v>10261</v>
      </c>
      <c r="G355">
        <v>20700.93</v>
      </c>
    </row>
    <row r="356" spans="1:7" x14ac:dyDescent="0.35">
      <c r="A356" s="1">
        <v>40697</v>
      </c>
      <c r="B356">
        <v>2789.11</v>
      </c>
      <c r="C356">
        <v>3890.68</v>
      </c>
      <c r="D356">
        <v>7109.03</v>
      </c>
      <c r="E356">
        <v>6573.3793100000003</v>
      </c>
      <c r="F356">
        <v>10285.700000000001</v>
      </c>
      <c r="G356">
        <v>20809.919999999998</v>
      </c>
    </row>
    <row r="357" spans="1:7" x14ac:dyDescent="0.35">
      <c r="A357" s="1">
        <v>40700</v>
      </c>
      <c r="B357">
        <v>2765.33</v>
      </c>
      <c r="C357">
        <v>3863.4</v>
      </c>
      <c r="D357">
        <v>7084.57</v>
      </c>
      <c r="E357">
        <v>6567.3976700000003</v>
      </c>
      <c r="F357">
        <v>10157.700000000001</v>
      </c>
      <c r="G357">
        <v>20525.04</v>
      </c>
    </row>
    <row r="358" spans="1:7" x14ac:dyDescent="0.35">
      <c r="A358" s="1">
        <v>40701</v>
      </c>
      <c r="B358">
        <v>2774.5</v>
      </c>
      <c r="C358">
        <v>3871.92</v>
      </c>
      <c r="D358">
        <v>7103.25</v>
      </c>
      <c r="E358">
        <v>6565.4195399999999</v>
      </c>
      <c r="F358">
        <v>10168.1</v>
      </c>
      <c r="G358">
        <v>20574.490000000002</v>
      </c>
    </row>
    <row r="359" spans="1:7" x14ac:dyDescent="0.35">
      <c r="A359" s="1">
        <v>40702</v>
      </c>
      <c r="B359">
        <v>2752.06</v>
      </c>
      <c r="C359">
        <v>3837.98</v>
      </c>
      <c r="D359">
        <v>7060.23</v>
      </c>
      <c r="E359">
        <v>6524.4116100000001</v>
      </c>
      <c r="F359">
        <v>10082.5</v>
      </c>
      <c r="G359">
        <v>20277.28</v>
      </c>
    </row>
    <row r="360" spans="1:7" x14ac:dyDescent="0.35">
      <c r="A360" s="1">
        <v>40703</v>
      </c>
      <c r="B360">
        <v>2778.12</v>
      </c>
      <c r="C360">
        <v>3878.65</v>
      </c>
      <c r="D360">
        <v>7159.66</v>
      </c>
      <c r="E360">
        <v>6600.8788199999999</v>
      </c>
      <c r="F360">
        <v>10121.700000000001</v>
      </c>
      <c r="G360">
        <v>20389.59</v>
      </c>
    </row>
    <row r="361" spans="1:7" x14ac:dyDescent="0.35">
      <c r="A361" s="1">
        <v>40704</v>
      </c>
      <c r="B361">
        <v>2732.54</v>
      </c>
      <c r="C361">
        <v>3805.09</v>
      </c>
      <c r="D361">
        <v>7069.9</v>
      </c>
      <c r="E361">
        <v>6516.6575700000003</v>
      </c>
      <c r="F361">
        <v>9950.7999999999993</v>
      </c>
      <c r="G361">
        <v>20117.490000000002</v>
      </c>
    </row>
    <row r="362" spans="1:7" x14ac:dyDescent="0.35">
      <c r="A362" s="1">
        <v>40707</v>
      </c>
      <c r="B362">
        <v>2733.95</v>
      </c>
      <c r="C362">
        <v>3807.61</v>
      </c>
      <c r="D362">
        <v>7085.14</v>
      </c>
      <c r="E362">
        <v>6550.1153899999999</v>
      </c>
      <c r="F362">
        <v>9946.2000000000007</v>
      </c>
      <c r="G362">
        <v>20081.12</v>
      </c>
    </row>
    <row r="363" spans="1:7" x14ac:dyDescent="0.35">
      <c r="A363" s="1">
        <v>40708</v>
      </c>
      <c r="B363">
        <v>2779.94</v>
      </c>
      <c r="C363">
        <v>3864.58</v>
      </c>
      <c r="D363">
        <v>7204.79</v>
      </c>
      <c r="E363">
        <v>6570.2242299999998</v>
      </c>
      <c r="F363">
        <v>10132.6</v>
      </c>
      <c r="G363">
        <v>20358.91</v>
      </c>
    </row>
    <row r="364" spans="1:7" x14ac:dyDescent="0.35">
      <c r="A364" s="1">
        <v>40709</v>
      </c>
      <c r="B364">
        <v>2731.5</v>
      </c>
      <c r="C364">
        <v>3806.85</v>
      </c>
      <c r="D364">
        <v>7115.08</v>
      </c>
      <c r="E364">
        <v>6546.6282799999999</v>
      </c>
      <c r="F364">
        <v>9933.1</v>
      </c>
      <c r="G364">
        <v>19918.52</v>
      </c>
    </row>
    <row r="365" spans="1:7" x14ac:dyDescent="0.35">
      <c r="A365" s="1">
        <v>40710</v>
      </c>
      <c r="B365">
        <v>2730.62</v>
      </c>
      <c r="C365">
        <v>3792.31</v>
      </c>
      <c r="D365">
        <v>7110.2</v>
      </c>
      <c r="E365">
        <v>6490.2778600000001</v>
      </c>
      <c r="F365">
        <v>9918.5</v>
      </c>
      <c r="G365">
        <v>19852.439999999999</v>
      </c>
    </row>
    <row r="366" spans="1:7" x14ac:dyDescent="0.35">
      <c r="A366" s="1">
        <v>40711</v>
      </c>
      <c r="B366">
        <v>2770.12</v>
      </c>
      <c r="C366">
        <v>3823.74</v>
      </c>
      <c r="D366">
        <v>7164.05</v>
      </c>
      <c r="E366">
        <v>6462.1921899999998</v>
      </c>
      <c r="F366">
        <v>10135.200000000001</v>
      </c>
      <c r="G366">
        <v>20096.84</v>
      </c>
    </row>
    <row r="367" spans="1:7" x14ac:dyDescent="0.35">
      <c r="A367" s="1">
        <v>40714</v>
      </c>
      <c r="B367">
        <v>2748.01</v>
      </c>
      <c r="C367">
        <v>3799.66</v>
      </c>
      <c r="D367">
        <v>7150.21</v>
      </c>
      <c r="E367">
        <v>6442.4783699999998</v>
      </c>
      <c r="F367">
        <v>10038.1</v>
      </c>
      <c r="G367">
        <v>19692.52</v>
      </c>
    </row>
    <row r="368" spans="1:7" x14ac:dyDescent="0.35">
      <c r="A368" s="1">
        <v>40715</v>
      </c>
      <c r="B368">
        <v>2801.99</v>
      </c>
      <c r="C368">
        <v>3877.07</v>
      </c>
      <c r="D368">
        <v>7285.51</v>
      </c>
      <c r="E368">
        <v>6508.5553600000003</v>
      </c>
      <c r="F368">
        <v>10231.9</v>
      </c>
      <c r="G368">
        <v>20102.34</v>
      </c>
    </row>
    <row r="369" spans="1:7" x14ac:dyDescent="0.35">
      <c r="A369" s="1">
        <v>40716</v>
      </c>
      <c r="B369">
        <v>2795.07</v>
      </c>
      <c r="C369">
        <v>3871.37</v>
      </c>
      <c r="D369">
        <v>7278.19</v>
      </c>
      <c r="E369">
        <v>6460.6225899999999</v>
      </c>
      <c r="F369">
        <v>10226.200000000001</v>
      </c>
      <c r="G369">
        <v>20014.11</v>
      </c>
    </row>
    <row r="370" spans="1:7" x14ac:dyDescent="0.35">
      <c r="A370" s="1">
        <v>40717</v>
      </c>
      <c r="B370">
        <v>2730.86</v>
      </c>
      <c r="C370">
        <v>3787.79</v>
      </c>
      <c r="D370">
        <v>7149.44</v>
      </c>
      <c r="E370">
        <v>6389.8765999999996</v>
      </c>
      <c r="F370">
        <v>9942.6</v>
      </c>
      <c r="G370">
        <v>19468.310000000001</v>
      </c>
    </row>
    <row r="371" spans="1:7" x14ac:dyDescent="0.35">
      <c r="A371" s="1">
        <v>40718</v>
      </c>
      <c r="B371">
        <v>2715.88</v>
      </c>
      <c r="C371">
        <v>3784.8</v>
      </c>
      <c r="D371">
        <v>7121.38</v>
      </c>
      <c r="E371">
        <v>6422.4970000000003</v>
      </c>
      <c r="F371">
        <v>9812.7000000000007</v>
      </c>
      <c r="G371">
        <v>19154.36</v>
      </c>
    </row>
    <row r="372" spans="1:7" x14ac:dyDescent="0.35">
      <c r="A372" s="1">
        <v>40721</v>
      </c>
      <c r="B372">
        <v>2723.93</v>
      </c>
      <c r="C372">
        <v>3796.55</v>
      </c>
      <c r="D372">
        <v>7107.9</v>
      </c>
      <c r="E372">
        <v>6405.6823299999996</v>
      </c>
      <c r="F372">
        <v>9872.2000000000007</v>
      </c>
      <c r="G372">
        <v>19297.11</v>
      </c>
    </row>
    <row r="373" spans="1:7" x14ac:dyDescent="0.35">
      <c r="A373" s="1">
        <v>40722</v>
      </c>
      <c r="B373">
        <v>2750.49</v>
      </c>
      <c r="C373">
        <v>3851.89</v>
      </c>
      <c r="D373">
        <v>7170.43</v>
      </c>
      <c r="E373">
        <v>6429.3380399999996</v>
      </c>
      <c r="F373">
        <v>9936.7000000000007</v>
      </c>
      <c r="G373">
        <v>19454.68</v>
      </c>
    </row>
    <row r="374" spans="1:7" x14ac:dyDescent="0.35">
      <c r="A374" s="1">
        <v>40723</v>
      </c>
      <c r="B374">
        <v>2802.55</v>
      </c>
      <c r="C374">
        <v>3924.23</v>
      </c>
      <c r="D374">
        <v>7294.14</v>
      </c>
      <c r="E374">
        <v>6519.8300600000002</v>
      </c>
      <c r="F374">
        <v>10143.6</v>
      </c>
      <c r="G374">
        <v>19864.669999999998</v>
      </c>
    </row>
    <row r="375" spans="1:7" x14ac:dyDescent="0.35">
      <c r="A375" s="1">
        <v>40724</v>
      </c>
      <c r="B375">
        <v>2848.53</v>
      </c>
      <c r="C375">
        <v>3982.21</v>
      </c>
      <c r="D375">
        <v>7376.24</v>
      </c>
      <c r="E375">
        <v>6583.7162399999997</v>
      </c>
      <c r="F375">
        <v>10359.9</v>
      </c>
      <c r="G375">
        <v>20186.939999999999</v>
      </c>
    </row>
    <row r="376" spans="1:7" x14ac:dyDescent="0.35">
      <c r="A376" s="1">
        <v>40725</v>
      </c>
      <c r="B376">
        <v>2875.67</v>
      </c>
      <c r="C376">
        <v>4007.35</v>
      </c>
      <c r="D376">
        <v>7419.44</v>
      </c>
      <c r="E376">
        <v>6635.7509300000002</v>
      </c>
      <c r="F376">
        <v>10492</v>
      </c>
      <c r="G376">
        <v>20516.990000000002</v>
      </c>
    </row>
    <row r="377" spans="1:7" x14ac:dyDescent="0.35">
      <c r="A377" s="1">
        <v>40728</v>
      </c>
      <c r="B377">
        <v>2870.19</v>
      </c>
      <c r="C377">
        <v>4003.11</v>
      </c>
      <c r="D377">
        <v>7442.96</v>
      </c>
      <c r="E377">
        <v>6664.8945999999996</v>
      </c>
      <c r="F377">
        <v>10468</v>
      </c>
      <c r="G377">
        <v>20476.150000000001</v>
      </c>
    </row>
    <row r="378" spans="1:7" x14ac:dyDescent="0.35">
      <c r="A378" s="1">
        <v>40729</v>
      </c>
      <c r="B378">
        <v>2850.51</v>
      </c>
      <c r="C378">
        <v>3978.83</v>
      </c>
      <c r="D378">
        <v>7439.44</v>
      </c>
      <c r="E378">
        <v>6690.4989400000004</v>
      </c>
      <c r="F378">
        <v>10330.1</v>
      </c>
      <c r="G378">
        <v>20277.52</v>
      </c>
    </row>
    <row r="379" spans="1:7" x14ac:dyDescent="0.35">
      <c r="A379" s="1">
        <v>40730</v>
      </c>
      <c r="B379">
        <v>2832.63</v>
      </c>
      <c r="C379">
        <v>3961.34</v>
      </c>
      <c r="D379">
        <v>7431.19</v>
      </c>
      <c r="E379">
        <v>6701.55735</v>
      </c>
      <c r="F379">
        <v>10204.5</v>
      </c>
      <c r="G379">
        <v>19783.21</v>
      </c>
    </row>
    <row r="380" spans="1:7" x14ac:dyDescent="0.35">
      <c r="A380" s="1">
        <v>40731</v>
      </c>
      <c r="B380">
        <v>2844.51</v>
      </c>
      <c r="C380">
        <v>3979.96</v>
      </c>
      <c r="D380">
        <v>7471.44</v>
      </c>
      <c r="E380">
        <v>6739.9389000000001</v>
      </c>
      <c r="F380">
        <v>10196.200000000001</v>
      </c>
      <c r="G380">
        <v>19735.63</v>
      </c>
    </row>
    <row r="381" spans="1:7" x14ac:dyDescent="0.35">
      <c r="A381" s="1">
        <v>40732</v>
      </c>
      <c r="B381">
        <v>2790.09</v>
      </c>
      <c r="C381">
        <v>3913.55</v>
      </c>
      <c r="D381">
        <v>7402.73</v>
      </c>
      <c r="E381">
        <v>6733.1548700000003</v>
      </c>
      <c r="F381">
        <v>9938.2000000000007</v>
      </c>
      <c r="G381">
        <v>19049.88</v>
      </c>
    </row>
    <row r="382" spans="1:7" x14ac:dyDescent="0.35">
      <c r="A382" s="1">
        <v>40735</v>
      </c>
      <c r="B382">
        <v>2709.14</v>
      </c>
      <c r="C382">
        <v>3807.51</v>
      </c>
      <c r="D382">
        <v>7230.25</v>
      </c>
      <c r="E382">
        <v>6720.1648999999998</v>
      </c>
      <c r="F382">
        <v>9670.6</v>
      </c>
      <c r="G382">
        <v>18295.189999999999</v>
      </c>
    </row>
    <row r="383" spans="1:7" x14ac:dyDescent="0.35">
      <c r="A383" s="1">
        <v>40736</v>
      </c>
      <c r="B383">
        <v>2693.53</v>
      </c>
      <c r="C383">
        <v>3774.12</v>
      </c>
      <c r="D383">
        <v>7174.14</v>
      </c>
      <c r="E383">
        <v>6675.4235600000002</v>
      </c>
      <c r="F383">
        <v>9603.4</v>
      </c>
      <c r="G383">
        <v>18510.53</v>
      </c>
    </row>
    <row r="384" spans="1:7" x14ac:dyDescent="0.35">
      <c r="A384" s="1">
        <v>40737</v>
      </c>
      <c r="B384">
        <v>2715.05</v>
      </c>
      <c r="C384">
        <v>3793.27</v>
      </c>
      <c r="D384">
        <v>7267.87</v>
      </c>
      <c r="E384">
        <v>6722.4773999999998</v>
      </c>
      <c r="F384">
        <v>9666.9</v>
      </c>
      <c r="G384">
        <v>18842.650000000001</v>
      </c>
    </row>
    <row r="385" spans="1:7" x14ac:dyDescent="0.35">
      <c r="A385" s="1">
        <v>40738</v>
      </c>
      <c r="B385">
        <v>2695.29</v>
      </c>
      <c r="C385">
        <v>3751.23</v>
      </c>
      <c r="D385">
        <v>7214.74</v>
      </c>
      <c r="E385">
        <v>6661.2861400000002</v>
      </c>
      <c r="F385">
        <v>9598.6</v>
      </c>
      <c r="G385">
        <v>18640.349999999999</v>
      </c>
    </row>
    <row r="386" spans="1:7" x14ac:dyDescent="0.35">
      <c r="A386" s="1">
        <v>40739</v>
      </c>
      <c r="B386">
        <v>2675.38</v>
      </c>
      <c r="C386">
        <v>3726.59</v>
      </c>
      <c r="D386">
        <v>7220.12</v>
      </c>
      <c r="E386">
        <v>6668.9096900000004</v>
      </c>
      <c r="F386">
        <v>9484.2000000000007</v>
      </c>
      <c r="G386">
        <v>18450.45</v>
      </c>
    </row>
    <row r="387" spans="1:7" x14ac:dyDescent="0.35">
      <c r="A387" s="1">
        <v>40742</v>
      </c>
      <c r="B387">
        <v>2622.36</v>
      </c>
      <c r="C387">
        <v>3650.71</v>
      </c>
      <c r="D387">
        <v>7107.92</v>
      </c>
      <c r="E387">
        <v>6556.9926299999997</v>
      </c>
      <c r="F387">
        <v>9347.7999999999993</v>
      </c>
      <c r="G387">
        <v>17885.740000000002</v>
      </c>
    </row>
    <row r="388" spans="1:7" x14ac:dyDescent="0.35">
      <c r="A388" s="1">
        <v>40743</v>
      </c>
      <c r="B388">
        <v>2657.45</v>
      </c>
      <c r="C388">
        <v>3694.95</v>
      </c>
      <c r="D388">
        <v>7192.67</v>
      </c>
      <c r="E388">
        <v>6596.2791200000001</v>
      </c>
      <c r="F388">
        <v>9443.7999999999993</v>
      </c>
      <c r="G388">
        <v>18229.47</v>
      </c>
    </row>
    <row r="389" spans="1:7" x14ac:dyDescent="0.35">
      <c r="A389" s="1">
        <v>40744</v>
      </c>
      <c r="B389">
        <v>2705.75</v>
      </c>
      <c r="C389">
        <v>3754.6</v>
      </c>
      <c r="D389">
        <v>7221.36</v>
      </c>
      <c r="E389">
        <v>6657.9886299999998</v>
      </c>
      <c r="F389">
        <v>9732.7999999999993</v>
      </c>
      <c r="G389">
        <v>18784.11</v>
      </c>
    </row>
    <row r="390" spans="1:7" x14ac:dyDescent="0.35">
      <c r="A390" s="1">
        <v>40745</v>
      </c>
      <c r="B390">
        <v>2763.34</v>
      </c>
      <c r="C390">
        <v>3816.75</v>
      </c>
      <c r="D390">
        <v>7290.14</v>
      </c>
      <c r="E390">
        <v>6688.2656699999998</v>
      </c>
      <c r="F390">
        <v>10017.6</v>
      </c>
      <c r="G390">
        <v>19490.759999999998</v>
      </c>
    </row>
    <row r="391" spans="1:7" x14ac:dyDescent="0.35">
      <c r="A391" s="1">
        <v>40746</v>
      </c>
      <c r="B391">
        <v>2772.6</v>
      </c>
      <c r="C391">
        <v>3842.7</v>
      </c>
      <c r="D391">
        <v>7326.39</v>
      </c>
      <c r="E391">
        <v>6739.0261899999996</v>
      </c>
      <c r="F391">
        <v>10059.299999999999</v>
      </c>
      <c r="G391">
        <v>19461.14</v>
      </c>
    </row>
    <row r="392" spans="1:7" x14ac:dyDescent="0.35">
      <c r="A392" s="1">
        <v>40749</v>
      </c>
      <c r="B392">
        <v>2742.7</v>
      </c>
      <c r="C392">
        <v>3812.97</v>
      </c>
      <c r="D392">
        <v>7344.54</v>
      </c>
      <c r="E392">
        <v>6713.8930200000004</v>
      </c>
      <c r="F392">
        <v>9866.2000000000007</v>
      </c>
      <c r="G392">
        <v>18979.43</v>
      </c>
    </row>
    <row r="393" spans="1:7" x14ac:dyDescent="0.35">
      <c r="A393" s="1">
        <v>40750</v>
      </c>
      <c r="B393">
        <v>2739.65</v>
      </c>
      <c r="C393">
        <v>3787.88</v>
      </c>
      <c r="D393">
        <v>7349.45</v>
      </c>
      <c r="E393">
        <v>6702.3372499999996</v>
      </c>
      <c r="F393">
        <v>9833.4</v>
      </c>
      <c r="G393">
        <v>19029.86</v>
      </c>
    </row>
    <row r="394" spans="1:7" x14ac:dyDescent="0.35">
      <c r="A394" s="1">
        <v>40751</v>
      </c>
      <c r="B394">
        <v>2693.71</v>
      </c>
      <c r="C394">
        <v>3734.07</v>
      </c>
      <c r="D394">
        <v>7252.68</v>
      </c>
      <c r="E394">
        <v>6658.63339</v>
      </c>
      <c r="F394">
        <v>9643.2999999999993</v>
      </c>
      <c r="G394">
        <v>18494.27</v>
      </c>
    </row>
    <row r="395" spans="1:7" x14ac:dyDescent="0.35">
      <c r="A395" s="1">
        <v>40752</v>
      </c>
      <c r="B395">
        <v>2692.76</v>
      </c>
      <c r="C395">
        <v>3712.66</v>
      </c>
      <c r="D395">
        <v>7190.06</v>
      </c>
      <c r="E395">
        <v>6704.4408000000003</v>
      </c>
      <c r="F395">
        <v>9657</v>
      </c>
      <c r="G395">
        <v>18558.02</v>
      </c>
    </row>
    <row r="396" spans="1:7" x14ac:dyDescent="0.35">
      <c r="A396" s="1">
        <v>40753</v>
      </c>
      <c r="B396">
        <v>2670.37</v>
      </c>
      <c r="C396">
        <v>3671.28</v>
      </c>
      <c r="D396">
        <v>7158.77</v>
      </c>
      <c r="E396">
        <v>6644.4873600000001</v>
      </c>
      <c r="F396">
        <v>9630.7000000000007</v>
      </c>
      <c r="G396">
        <v>18433.68</v>
      </c>
    </row>
    <row r="397" spans="1:7" x14ac:dyDescent="0.35">
      <c r="A397" s="1">
        <v>40756</v>
      </c>
      <c r="B397">
        <v>2593.34</v>
      </c>
      <c r="C397">
        <v>3588.05</v>
      </c>
      <c r="D397">
        <v>6953.98</v>
      </c>
      <c r="E397">
        <v>6606.1847500000003</v>
      </c>
      <c r="F397">
        <v>9318.2000000000007</v>
      </c>
      <c r="G397">
        <v>17720.439999999999</v>
      </c>
    </row>
    <row r="398" spans="1:7" x14ac:dyDescent="0.35">
      <c r="A398" s="1">
        <v>40757</v>
      </c>
      <c r="B398">
        <v>2544.89</v>
      </c>
      <c r="C398">
        <v>3522.79</v>
      </c>
      <c r="D398">
        <v>6796.75</v>
      </c>
      <c r="E398">
        <v>6556.2980100000004</v>
      </c>
      <c r="F398">
        <v>9114.9</v>
      </c>
      <c r="G398">
        <v>17272.79</v>
      </c>
    </row>
    <row r="399" spans="1:7" x14ac:dyDescent="0.35">
      <c r="A399" s="1">
        <v>40758</v>
      </c>
      <c r="B399">
        <v>2497.83</v>
      </c>
      <c r="C399">
        <v>3454.94</v>
      </c>
      <c r="D399">
        <v>6640.59</v>
      </c>
      <c r="E399">
        <v>6407.6219499999997</v>
      </c>
      <c r="F399">
        <v>9037.7000000000007</v>
      </c>
      <c r="G399">
        <v>17006.02</v>
      </c>
    </row>
    <row r="400" spans="1:7" x14ac:dyDescent="0.35">
      <c r="A400" s="1">
        <v>40759</v>
      </c>
      <c r="B400">
        <v>2412.29</v>
      </c>
      <c r="C400">
        <v>3320.35</v>
      </c>
      <c r="D400">
        <v>6414.76</v>
      </c>
      <c r="E400">
        <v>6204.9286499999998</v>
      </c>
      <c r="F400">
        <v>8686.5</v>
      </c>
      <c r="G400">
        <v>16128.07</v>
      </c>
    </row>
    <row r="401" spans="1:7" x14ac:dyDescent="0.35">
      <c r="A401" s="1">
        <v>40760</v>
      </c>
      <c r="B401">
        <v>2375.15</v>
      </c>
      <c r="C401">
        <v>3278.56</v>
      </c>
      <c r="D401">
        <v>6236.16</v>
      </c>
      <c r="E401">
        <v>6028.9738399999997</v>
      </c>
      <c r="F401">
        <v>8671.2000000000007</v>
      </c>
      <c r="G401">
        <v>16015.87</v>
      </c>
    </row>
    <row r="402" spans="1:7" x14ac:dyDescent="0.35">
      <c r="A402" s="1">
        <v>40763</v>
      </c>
      <c r="B402">
        <v>2286.91</v>
      </c>
      <c r="C402">
        <v>3125.19</v>
      </c>
      <c r="D402">
        <v>5923.27</v>
      </c>
      <c r="E402">
        <v>5833.01836</v>
      </c>
      <c r="F402">
        <v>8459.4</v>
      </c>
      <c r="G402">
        <v>15639.75</v>
      </c>
    </row>
    <row r="403" spans="1:7" x14ac:dyDescent="0.35">
      <c r="A403" s="1">
        <v>40764</v>
      </c>
      <c r="B403">
        <v>2294.2399999999998</v>
      </c>
      <c r="C403">
        <v>3176.19</v>
      </c>
      <c r="D403">
        <v>5917.08</v>
      </c>
      <c r="E403">
        <v>5885.2350100000003</v>
      </c>
      <c r="F403">
        <v>8428.9</v>
      </c>
      <c r="G403">
        <v>15721.45</v>
      </c>
    </row>
    <row r="404" spans="1:7" x14ac:dyDescent="0.35">
      <c r="A404" s="1">
        <v>40765</v>
      </c>
      <c r="B404">
        <v>2153.77</v>
      </c>
      <c r="C404">
        <v>3002.99</v>
      </c>
      <c r="D404">
        <v>5613.42</v>
      </c>
      <c r="E404">
        <v>5699.4819100000004</v>
      </c>
      <c r="F404">
        <v>7966</v>
      </c>
      <c r="G404">
        <v>14676.04</v>
      </c>
    </row>
    <row r="405" spans="1:7" x14ac:dyDescent="0.35">
      <c r="A405" s="1">
        <v>40766</v>
      </c>
      <c r="B405">
        <v>2215.4499999999998</v>
      </c>
      <c r="C405">
        <v>3089.66</v>
      </c>
      <c r="D405">
        <v>5797.66</v>
      </c>
      <c r="E405">
        <v>5889.6361699999998</v>
      </c>
      <c r="F405">
        <v>8249.4</v>
      </c>
      <c r="G405">
        <v>15277.19</v>
      </c>
    </row>
    <row r="406" spans="1:7" x14ac:dyDescent="0.35">
      <c r="A406" s="1">
        <v>40767</v>
      </c>
      <c r="B406">
        <v>2307.33</v>
      </c>
      <c r="C406">
        <v>3213.88</v>
      </c>
      <c r="D406">
        <v>5997.74</v>
      </c>
      <c r="E406">
        <v>6082.0631000000003</v>
      </c>
      <c r="F406">
        <v>8647.2999999999993</v>
      </c>
      <c r="G406">
        <v>15888.61</v>
      </c>
    </row>
    <row r="407" spans="1:7" x14ac:dyDescent="0.35">
      <c r="A407" s="1">
        <v>40771</v>
      </c>
      <c r="B407">
        <v>2323.67</v>
      </c>
      <c r="C407">
        <v>3230.9</v>
      </c>
      <c r="D407">
        <v>5994.9</v>
      </c>
      <c r="E407">
        <v>6114.13256</v>
      </c>
      <c r="F407">
        <v>8674.2999999999993</v>
      </c>
      <c r="G407">
        <v>15750.6</v>
      </c>
    </row>
    <row r="408" spans="1:7" x14ac:dyDescent="0.35">
      <c r="A408" s="1">
        <v>40772</v>
      </c>
      <c r="B408">
        <v>2331.12</v>
      </c>
      <c r="C408">
        <v>3254.34</v>
      </c>
      <c r="D408">
        <v>5948.94</v>
      </c>
      <c r="E408">
        <v>6113.6713900000004</v>
      </c>
      <c r="F408">
        <v>8728.2000000000007</v>
      </c>
      <c r="G408">
        <v>15950.75</v>
      </c>
    </row>
    <row r="409" spans="1:7" x14ac:dyDescent="0.35">
      <c r="A409" s="1">
        <v>40773</v>
      </c>
      <c r="B409">
        <v>2206.61</v>
      </c>
      <c r="C409">
        <v>3076.04</v>
      </c>
      <c r="D409">
        <v>5602.8</v>
      </c>
      <c r="E409">
        <v>5855.35329</v>
      </c>
      <c r="F409">
        <v>8317.7000000000007</v>
      </c>
      <c r="G409">
        <v>14970.42</v>
      </c>
    </row>
    <row r="410" spans="1:7" x14ac:dyDescent="0.35">
      <c r="A410" s="1">
        <v>40774</v>
      </c>
      <c r="B410">
        <v>2159.0700000000002</v>
      </c>
      <c r="C410">
        <v>3016.99</v>
      </c>
      <c r="D410">
        <v>5480</v>
      </c>
      <c r="E410">
        <v>5790.223</v>
      </c>
      <c r="F410">
        <v>8141.9</v>
      </c>
      <c r="G410">
        <v>14602.33</v>
      </c>
    </row>
    <row r="411" spans="1:7" x14ac:dyDescent="0.35">
      <c r="A411" s="1">
        <v>40777</v>
      </c>
      <c r="B411">
        <v>2183.39</v>
      </c>
      <c r="C411">
        <v>3051.36</v>
      </c>
      <c r="D411">
        <v>5473.78</v>
      </c>
      <c r="E411">
        <v>5835.8485700000001</v>
      </c>
      <c r="F411">
        <v>8293.9</v>
      </c>
      <c r="G411">
        <v>14861.64</v>
      </c>
    </row>
    <row r="412" spans="1:7" x14ac:dyDescent="0.35">
      <c r="A412" s="1">
        <v>40778</v>
      </c>
      <c r="B412">
        <v>2199.98</v>
      </c>
      <c r="C412">
        <v>3084.37</v>
      </c>
      <c r="D412">
        <v>5532.38</v>
      </c>
      <c r="E412">
        <v>5868.7990600000003</v>
      </c>
      <c r="F412">
        <v>8279.7999999999993</v>
      </c>
      <c r="G412">
        <v>14707.32</v>
      </c>
    </row>
    <row r="413" spans="1:7" x14ac:dyDescent="0.35">
      <c r="A413" s="1">
        <v>40779</v>
      </c>
      <c r="B413">
        <v>2238.6999999999998</v>
      </c>
      <c r="C413">
        <v>3139.55</v>
      </c>
      <c r="D413">
        <v>5681.08</v>
      </c>
      <c r="E413">
        <v>5919.2522900000004</v>
      </c>
      <c r="F413">
        <v>8369.1</v>
      </c>
      <c r="G413">
        <v>14981.35</v>
      </c>
    </row>
    <row r="414" spans="1:7" x14ac:dyDescent="0.35">
      <c r="A414" s="1">
        <v>40780</v>
      </c>
      <c r="B414">
        <v>2216.6999999999998</v>
      </c>
      <c r="C414">
        <v>3119</v>
      </c>
      <c r="D414">
        <v>5584.14</v>
      </c>
      <c r="E414">
        <v>5815.6037399999996</v>
      </c>
      <c r="F414">
        <v>8299.1</v>
      </c>
      <c r="G414">
        <v>14944.61</v>
      </c>
    </row>
    <row r="415" spans="1:7" x14ac:dyDescent="0.35">
      <c r="A415" s="1">
        <v>40781</v>
      </c>
      <c r="B415">
        <v>2190.44</v>
      </c>
      <c r="C415">
        <v>3087.64</v>
      </c>
      <c r="D415">
        <v>5537.48</v>
      </c>
      <c r="E415">
        <v>5791.5822200000002</v>
      </c>
      <c r="F415">
        <v>8185.5</v>
      </c>
      <c r="G415">
        <v>14800.01</v>
      </c>
    </row>
    <row r="416" spans="1:7" x14ac:dyDescent="0.35">
      <c r="A416" s="1">
        <v>40785</v>
      </c>
      <c r="B416">
        <v>2239.14</v>
      </c>
      <c r="C416">
        <v>3159.74</v>
      </c>
      <c r="D416">
        <v>5643.92</v>
      </c>
      <c r="E416">
        <v>5950.3963299999996</v>
      </c>
      <c r="F416">
        <v>8444.7999999999993</v>
      </c>
      <c r="G416">
        <v>15106.28</v>
      </c>
    </row>
    <row r="417" spans="1:7" x14ac:dyDescent="0.35">
      <c r="A417" s="1">
        <v>40786</v>
      </c>
      <c r="B417">
        <v>2302.08</v>
      </c>
      <c r="C417">
        <v>3256.76</v>
      </c>
      <c r="D417">
        <v>5784.85</v>
      </c>
      <c r="E417">
        <v>6092.7117099999996</v>
      </c>
      <c r="F417">
        <v>8718.6</v>
      </c>
      <c r="G417">
        <v>15563.2</v>
      </c>
    </row>
    <row r="418" spans="1:7" x14ac:dyDescent="0.35">
      <c r="A418" s="1">
        <v>40787</v>
      </c>
      <c r="B418">
        <v>2305.75</v>
      </c>
      <c r="C418">
        <v>3265.83</v>
      </c>
      <c r="D418">
        <v>5730.63</v>
      </c>
      <c r="E418">
        <v>6135.93019</v>
      </c>
      <c r="F418">
        <v>8761.1</v>
      </c>
      <c r="G418">
        <v>15670.82</v>
      </c>
    </row>
    <row r="419" spans="1:7" x14ac:dyDescent="0.35">
      <c r="A419" s="1">
        <v>40788</v>
      </c>
      <c r="B419">
        <v>2220.7199999999998</v>
      </c>
      <c r="C419">
        <v>3148.53</v>
      </c>
      <c r="D419">
        <v>5538.33</v>
      </c>
      <c r="E419">
        <v>6041.3275000000003</v>
      </c>
      <c r="F419">
        <v>8463.5</v>
      </c>
      <c r="G419">
        <v>15060.79</v>
      </c>
    </row>
    <row r="420" spans="1:7" x14ac:dyDescent="0.35">
      <c r="A420" s="1">
        <v>40791</v>
      </c>
      <c r="B420">
        <v>2107.27</v>
      </c>
      <c r="C420">
        <v>2999.54</v>
      </c>
      <c r="D420">
        <v>5246.18</v>
      </c>
      <c r="E420">
        <v>5823.7735599999996</v>
      </c>
      <c r="F420">
        <v>8066.5</v>
      </c>
      <c r="G420">
        <v>14333.91</v>
      </c>
    </row>
    <row r="421" spans="1:7" x14ac:dyDescent="0.35">
      <c r="A421" s="1">
        <v>40792</v>
      </c>
      <c r="B421">
        <v>2080.1</v>
      </c>
      <c r="C421">
        <v>2965.64</v>
      </c>
      <c r="D421">
        <v>5193.97</v>
      </c>
      <c r="E421">
        <v>5879.0482899999997</v>
      </c>
      <c r="F421">
        <v>7936.4</v>
      </c>
      <c r="G421">
        <v>14049.71</v>
      </c>
    </row>
    <row r="422" spans="1:7" x14ac:dyDescent="0.35">
      <c r="A422" s="1">
        <v>40793</v>
      </c>
      <c r="B422">
        <v>2151.16</v>
      </c>
      <c r="C422">
        <v>3073.18</v>
      </c>
      <c r="D422">
        <v>5405.53</v>
      </c>
      <c r="E422">
        <v>6035.7032600000002</v>
      </c>
      <c r="F422">
        <v>8156.6</v>
      </c>
      <c r="G422">
        <v>14645.96</v>
      </c>
    </row>
    <row r="423" spans="1:7" x14ac:dyDescent="0.35">
      <c r="A423" s="1">
        <v>40794</v>
      </c>
      <c r="B423">
        <v>2163.4</v>
      </c>
      <c r="C423">
        <v>3085.83</v>
      </c>
      <c r="D423">
        <v>5408.46</v>
      </c>
      <c r="E423">
        <v>6134.23063</v>
      </c>
      <c r="F423">
        <v>8277.7999999999993</v>
      </c>
      <c r="G423">
        <v>14747.6</v>
      </c>
    </row>
    <row r="424" spans="1:7" x14ac:dyDescent="0.35">
      <c r="A424" s="1">
        <v>40795</v>
      </c>
      <c r="B424">
        <v>2073.67</v>
      </c>
      <c r="C424">
        <v>2974.59</v>
      </c>
      <c r="D424">
        <v>5189.93</v>
      </c>
      <c r="E424">
        <v>6050.73171</v>
      </c>
      <c r="F424">
        <v>7910.2</v>
      </c>
      <c r="G424">
        <v>14020.18</v>
      </c>
    </row>
    <row r="425" spans="1:7" x14ac:dyDescent="0.35">
      <c r="A425" s="1">
        <v>40798</v>
      </c>
      <c r="B425">
        <v>1995.01</v>
      </c>
      <c r="C425">
        <v>2854.81</v>
      </c>
      <c r="D425">
        <v>5072.33</v>
      </c>
      <c r="E425">
        <v>5963.13141</v>
      </c>
      <c r="F425">
        <v>7640.7</v>
      </c>
      <c r="G425">
        <v>13474.14</v>
      </c>
    </row>
    <row r="426" spans="1:7" x14ac:dyDescent="0.35">
      <c r="A426" s="1">
        <v>40799</v>
      </c>
      <c r="B426">
        <v>2036.64</v>
      </c>
      <c r="C426">
        <v>2894.93</v>
      </c>
      <c r="D426">
        <v>5166.3599999999997</v>
      </c>
      <c r="E426">
        <v>5971.3335900000002</v>
      </c>
      <c r="F426">
        <v>7834.2</v>
      </c>
      <c r="G426">
        <v>13769.44</v>
      </c>
    </row>
    <row r="427" spans="1:7" x14ac:dyDescent="0.35">
      <c r="A427" s="1">
        <v>40800</v>
      </c>
      <c r="B427">
        <v>2083.38</v>
      </c>
      <c r="C427">
        <v>2949.14</v>
      </c>
      <c r="D427">
        <v>5340.19</v>
      </c>
      <c r="E427">
        <v>6007.2234399999998</v>
      </c>
      <c r="F427">
        <v>8045.7</v>
      </c>
      <c r="G427">
        <v>14140.08</v>
      </c>
    </row>
    <row r="428" spans="1:7" x14ac:dyDescent="0.35">
      <c r="A428" s="1">
        <v>40801</v>
      </c>
      <c r="B428">
        <v>2155.62</v>
      </c>
      <c r="C428">
        <v>3045.62</v>
      </c>
      <c r="D428">
        <v>5508.24</v>
      </c>
      <c r="E428">
        <v>6086.1889700000002</v>
      </c>
      <c r="F428">
        <v>8337.9</v>
      </c>
      <c r="G428">
        <v>14642.72</v>
      </c>
    </row>
    <row r="429" spans="1:7" x14ac:dyDescent="0.35">
      <c r="A429" s="1">
        <v>40802</v>
      </c>
      <c r="B429">
        <v>2159.2800000000002</v>
      </c>
      <c r="C429">
        <v>3031.08</v>
      </c>
      <c r="D429">
        <v>5573.51</v>
      </c>
      <c r="E429">
        <v>6144.6641099999997</v>
      </c>
      <c r="F429">
        <v>8388.4</v>
      </c>
      <c r="G429">
        <v>14547.38</v>
      </c>
    </row>
    <row r="430" spans="1:7" x14ac:dyDescent="0.35">
      <c r="A430" s="1">
        <v>40805</v>
      </c>
      <c r="B430">
        <v>2096.1</v>
      </c>
      <c r="C430">
        <v>2940</v>
      </c>
      <c r="D430">
        <v>5415.91</v>
      </c>
      <c r="E430">
        <v>6042.4966299999996</v>
      </c>
      <c r="F430">
        <v>8222.7000000000007</v>
      </c>
      <c r="G430">
        <v>14086.72</v>
      </c>
    </row>
    <row r="431" spans="1:7" x14ac:dyDescent="0.35">
      <c r="A431" s="1">
        <v>40806</v>
      </c>
      <c r="B431">
        <v>2140.41</v>
      </c>
      <c r="C431">
        <v>2984.05</v>
      </c>
      <c r="D431">
        <v>5571.68</v>
      </c>
      <c r="E431">
        <v>6163.4032399999996</v>
      </c>
      <c r="F431">
        <v>8362.2000000000007</v>
      </c>
      <c r="G431">
        <v>14356.13</v>
      </c>
    </row>
    <row r="432" spans="1:7" x14ac:dyDescent="0.35">
      <c r="A432" s="1">
        <v>40807</v>
      </c>
      <c r="B432">
        <v>2098.4899999999998</v>
      </c>
      <c r="C432">
        <v>2935.82</v>
      </c>
      <c r="D432">
        <v>5433.8</v>
      </c>
      <c r="E432">
        <v>6021.1901900000003</v>
      </c>
      <c r="F432">
        <v>8210.2999999999993</v>
      </c>
      <c r="G432">
        <v>14119.76</v>
      </c>
    </row>
    <row r="433" spans="1:7" x14ac:dyDescent="0.35">
      <c r="A433" s="1">
        <v>40808</v>
      </c>
      <c r="B433">
        <v>1995.75</v>
      </c>
      <c r="C433">
        <v>2781.68</v>
      </c>
      <c r="D433">
        <v>5164.21</v>
      </c>
      <c r="E433">
        <v>5747.0096999999996</v>
      </c>
      <c r="F433">
        <v>7830.8</v>
      </c>
      <c r="G433">
        <v>13481.59</v>
      </c>
    </row>
    <row r="434" spans="1:7" x14ac:dyDescent="0.35">
      <c r="A434" s="1">
        <v>40809</v>
      </c>
      <c r="B434">
        <v>2026.03</v>
      </c>
      <c r="C434">
        <v>2810.11</v>
      </c>
      <c r="D434">
        <v>5196.5600000000004</v>
      </c>
      <c r="E434">
        <v>5808.9641300000003</v>
      </c>
      <c r="F434">
        <v>7996.9</v>
      </c>
      <c r="G434">
        <v>13664.91</v>
      </c>
    </row>
    <row r="435" spans="1:7" x14ac:dyDescent="0.35">
      <c r="A435" s="1">
        <v>40812</v>
      </c>
      <c r="B435">
        <v>2083.35</v>
      </c>
      <c r="C435">
        <v>2859.34</v>
      </c>
      <c r="D435">
        <v>5345.56</v>
      </c>
      <c r="E435">
        <v>5866.3297599999996</v>
      </c>
      <c r="F435">
        <v>8201.7000000000007</v>
      </c>
      <c r="G435">
        <v>14118.98</v>
      </c>
    </row>
    <row r="436" spans="1:7" x14ac:dyDescent="0.35">
      <c r="A436" s="1">
        <v>40813</v>
      </c>
      <c r="B436">
        <v>2194.0300000000002</v>
      </c>
      <c r="C436">
        <v>3023.38</v>
      </c>
      <c r="D436">
        <v>5628.44</v>
      </c>
      <c r="E436">
        <v>6092.6743399999996</v>
      </c>
      <c r="F436">
        <v>8531.9</v>
      </c>
      <c r="G436">
        <v>14811.16</v>
      </c>
    </row>
    <row r="437" spans="1:7" x14ac:dyDescent="0.35">
      <c r="A437" s="1">
        <v>40814</v>
      </c>
      <c r="B437">
        <v>2176.64</v>
      </c>
      <c r="C437">
        <v>2995.62</v>
      </c>
      <c r="D437">
        <v>5578.42</v>
      </c>
      <c r="E437">
        <v>5992.6849400000001</v>
      </c>
      <c r="F437">
        <v>8480.2000000000007</v>
      </c>
      <c r="G437">
        <v>14741.22</v>
      </c>
    </row>
    <row r="438" spans="1:7" x14ac:dyDescent="0.35">
      <c r="A438" s="1">
        <v>40815</v>
      </c>
      <c r="B438">
        <v>2212.44</v>
      </c>
      <c r="C438">
        <v>3027.65</v>
      </c>
      <c r="D438">
        <v>5639.58</v>
      </c>
      <c r="E438">
        <v>5980.2293900000004</v>
      </c>
      <c r="F438">
        <v>8592.5</v>
      </c>
      <c r="G438">
        <v>15046.02</v>
      </c>
    </row>
    <row r="439" spans="1:7" x14ac:dyDescent="0.35">
      <c r="A439" s="1">
        <v>40816</v>
      </c>
      <c r="B439">
        <v>2179.66</v>
      </c>
      <c r="C439">
        <v>2981.96</v>
      </c>
      <c r="D439">
        <v>5502.02</v>
      </c>
      <c r="E439">
        <v>5967.0202300000001</v>
      </c>
      <c r="F439">
        <v>8546.6</v>
      </c>
      <c r="G439">
        <v>14836.33</v>
      </c>
    </row>
    <row r="440" spans="1:7" x14ac:dyDescent="0.35">
      <c r="A440" s="1">
        <v>40819</v>
      </c>
      <c r="B440">
        <v>2138.2399999999998</v>
      </c>
      <c r="C440">
        <v>2926.83</v>
      </c>
      <c r="D440">
        <v>5376.7</v>
      </c>
      <c r="E440">
        <v>5920.5877700000001</v>
      </c>
      <c r="F440">
        <v>8353.7999999999993</v>
      </c>
      <c r="G440">
        <v>14642.52</v>
      </c>
    </row>
    <row r="441" spans="1:7" x14ac:dyDescent="0.35">
      <c r="A441" s="1">
        <v>40820</v>
      </c>
      <c r="B441">
        <v>2091.09</v>
      </c>
      <c r="C441">
        <v>2850.55</v>
      </c>
      <c r="D441">
        <v>5216.71</v>
      </c>
      <c r="E441">
        <v>5733.3750499999996</v>
      </c>
      <c r="F441">
        <v>8225.4</v>
      </c>
      <c r="G441">
        <v>14243.97</v>
      </c>
    </row>
    <row r="442" spans="1:7" x14ac:dyDescent="0.35">
      <c r="A442" s="1">
        <v>40821</v>
      </c>
      <c r="B442">
        <v>2179.42</v>
      </c>
      <c r="C442">
        <v>2973.9</v>
      </c>
      <c r="D442">
        <v>5473.03</v>
      </c>
      <c r="E442">
        <v>5908.6432699999996</v>
      </c>
      <c r="F442">
        <v>8477.2999999999993</v>
      </c>
      <c r="G442">
        <v>14805.48</v>
      </c>
    </row>
    <row r="443" spans="1:7" x14ac:dyDescent="0.35">
      <c r="A443" s="1">
        <v>40822</v>
      </c>
      <c r="B443">
        <v>2248.7800000000002</v>
      </c>
      <c r="C443">
        <v>3075.37</v>
      </c>
      <c r="D443">
        <v>5645.25</v>
      </c>
      <c r="E443">
        <v>6080.0511500000002</v>
      </c>
      <c r="F443">
        <v>8704.7999999999993</v>
      </c>
      <c r="G443">
        <v>15331.53</v>
      </c>
    </row>
    <row r="444" spans="1:7" x14ac:dyDescent="0.35">
      <c r="A444" s="1">
        <v>40823</v>
      </c>
      <c r="B444">
        <v>2269.19</v>
      </c>
      <c r="C444">
        <v>3095.56</v>
      </c>
      <c r="D444">
        <v>5675.7</v>
      </c>
      <c r="E444">
        <v>6161.9552000000003</v>
      </c>
      <c r="F444">
        <v>8798.4</v>
      </c>
      <c r="G444">
        <v>15529</v>
      </c>
    </row>
    <row r="445" spans="1:7" x14ac:dyDescent="0.35">
      <c r="A445" s="1">
        <v>40826</v>
      </c>
      <c r="B445">
        <v>2320.8000000000002</v>
      </c>
      <c r="C445">
        <v>3161.47</v>
      </c>
      <c r="D445">
        <v>5847.29</v>
      </c>
      <c r="E445">
        <v>6195.3534900000004</v>
      </c>
      <c r="F445">
        <v>8892.4</v>
      </c>
      <c r="G445">
        <v>16098.16</v>
      </c>
    </row>
    <row r="446" spans="1:7" x14ac:dyDescent="0.35">
      <c r="A446" s="1">
        <v>40827</v>
      </c>
      <c r="B446">
        <v>2315.9699999999998</v>
      </c>
      <c r="C446">
        <v>3153.52</v>
      </c>
      <c r="D446">
        <v>5865.01</v>
      </c>
      <c r="E446">
        <v>6169.3961499999996</v>
      </c>
      <c r="F446">
        <v>8845.5</v>
      </c>
      <c r="G446">
        <v>16036.14</v>
      </c>
    </row>
    <row r="447" spans="1:7" x14ac:dyDescent="0.35">
      <c r="A447" s="1">
        <v>40828</v>
      </c>
      <c r="B447">
        <v>2372.15</v>
      </c>
      <c r="C447">
        <v>3229.76</v>
      </c>
      <c r="D447">
        <v>5994.47</v>
      </c>
      <c r="E447">
        <v>6210.5315799999998</v>
      </c>
      <c r="F447">
        <v>9026.5</v>
      </c>
      <c r="G447">
        <v>16505.98</v>
      </c>
    </row>
    <row r="448" spans="1:7" x14ac:dyDescent="0.35">
      <c r="A448" s="1">
        <v>40829</v>
      </c>
      <c r="B448">
        <v>2332.52</v>
      </c>
      <c r="C448">
        <v>3186.94</v>
      </c>
      <c r="D448">
        <v>5914.84</v>
      </c>
      <c r="E448">
        <v>6184.5015800000001</v>
      </c>
      <c r="F448">
        <v>8943.5</v>
      </c>
      <c r="G448">
        <v>15894.39</v>
      </c>
    </row>
    <row r="449" spans="1:7" x14ac:dyDescent="0.35">
      <c r="A449" s="1">
        <v>40830</v>
      </c>
      <c r="B449">
        <v>2355.48</v>
      </c>
      <c r="C449">
        <v>3217.89</v>
      </c>
      <c r="D449">
        <v>5967.2</v>
      </c>
      <c r="E449">
        <v>6234.91885</v>
      </c>
      <c r="F449">
        <v>8975.5</v>
      </c>
      <c r="G449">
        <v>16289.65</v>
      </c>
    </row>
    <row r="450" spans="1:7" x14ac:dyDescent="0.35">
      <c r="A450" s="1">
        <v>40833</v>
      </c>
      <c r="B450">
        <v>2315.89</v>
      </c>
      <c r="C450">
        <v>3166.06</v>
      </c>
      <c r="D450">
        <v>5859.43</v>
      </c>
      <c r="E450">
        <v>6229.4451600000002</v>
      </c>
      <c r="F450">
        <v>8864.2999999999993</v>
      </c>
      <c r="G450">
        <v>15914.6</v>
      </c>
    </row>
    <row r="451" spans="1:7" x14ac:dyDescent="0.35">
      <c r="A451" s="1">
        <v>40834</v>
      </c>
      <c r="B451">
        <v>2306.81</v>
      </c>
      <c r="C451">
        <v>3141.1</v>
      </c>
      <c r="D451">
        <v>5877.41</v>
      </c>
      <c r="E451">
        <v>6184.1572500000002</v>
      </c>
      <c r="F451">
        <v>8811.2999999999993</v>
      </c>
      <c r="G451">
        <v>15970.14</v>
      </c>
    </row>
    <row r="452" spans="1:7" x14ac:dyDescent="0.35">
      <c r="A452" s="1">
        <v>40835</v>
      </c>
      <c r="B452">
        <v>2330.08</v>
      </c>
      <c r="C452">
        <v>3157.34</v>
      </c>
      <c r="D452">
        <v>5913.53</v>
      </c>
      <c r="E452">
        <v>6246.7533700000004</v>
      </c>
      <c r="F452">
        <v>8849.5</v>
      </c>
      <c r="G452">
        <v>16293.19</v>
      </c>
    </row>
    <row r="453" spans="1:7" x14ac:dyDescent="0.35">
      <c r="A453" s="1">
        <v>40836</v>
      </c>
      <c r="B453">
        <v>2271.77</v>
      </c>
      <c r="C453">
        <v>3084.07</v>
      </c>
      <c r="D453">
        <v>5766.48</v>
      </c>
      <c r="E453">
        <v>6184.8399900000004</v>
      </c>
      <c r="F453">
        <v>8608.2000000000007</v>
      </c>
      <c r="G453">
        <v>15677.86</v>
      </c>
    </row>
    <row r="454" spans="1:7" x14ac:dyDescent="0.35">
      <c r="A454" s="1">
        <v>40837</v>
      </c>
      <c r="B454">
        <v>2337.5100000000002</v>
      </c>
      <c r="C454">
        <v>3171.34</v>
      </c>
      <c r="D454">
        <v>5970.96</v>
      </c>
      <c r="E454">
        <v>6309.8084500000004</v>
      </c>
      <c r="F454">
        <v>8853</v>
      </c>
      <c r="G454">
        <v>16116.48</v>
      </c>
    </row>
    <row r="455" spans="1:7" x14ac:dyDescent="0.35">
      <c r="A455" s="1">
        <v>40840</v>
      </c>
      <c r="B455">
        <v>2369.0700000000002</v>
      </c>
      <c r="C455">
        <v>3220.46</v>
      </c>
      <c r="D455">
        <v>6055.27</v>
      </c>
      <c r="E455">
        <v>6371.4413599999998</v>
      </c>
      <c r="F455">
        <v>8957.1</v>
      </c>
      <c r="G455">
        <v>16232.26</v>
      </c>
    </row>
    <row r="456" spans="1:7" x14ac:dyDescent="0.35">
      <c r="A456" s="1">
        <v>40841</v>
      </c>
      <c r="B456">
        <v>2343.96</v>
      </c>
      <c r="C456">
        <v>3174.29</v>
      </c>
      <c r="D456">
        <v>6046.75</v>
      </c>
      <c r="E456">
        <v>6352.5050700000002</v>
      </c>
      <c r="F456">
        <v>8879.6</v>
      </c>
      <c r="G456">
        <v>16060.49</v>
      </c>
    </row>
    <row r="457" spans="1:7" x14ac:dyDescent="0.35">
      <c r="A457" s="1">
        <v>40842</v>
      </c>
      <c r="B457">
        <v>2335.06</v>
      </c>
      <c r="C457">
        <v>3169.62</v>
      </c>
      <c r="D457">
        <v>6016.07</v>
      </c>
      <c r="E457">
        <v>6386.8283000000001</v>
      </c>
      <c r="F457">
        <v>8832.5</v>
      </c>
      <c r="G457">
        <v>16071.92</v>
      </c>
    </row>
    <row r="458" spans="1:7" x14ac:dyDescent="0.35">
      <c r="A458" s="1">
        <v>40843</v>
      </c>
      <c r="B458">
        <v>2476.92</v>
      </c>
      <c r="C458">
        <v>3368.62</v>
      </c>
      <c r="D458">
        <v>6337.84</v>
      </c>
      <c r="E458">
        <v>6482.8331399999997</v>
      </c>
      <c r="F458">
        <v>9270.5</v>
      </c>
      <c r="G458">
        <v>16954.68</v>
      </c>
    </row>
    <row r="459" spans="1:7" x14ac:dyDescent="0.35">
      <c r="A459" s="1">
        <v>40844</v>
      </c>
      <c r="B459">
        <v>2462.36</v>
      </c>
      <c r="C459">
        <v>3348.63</v>
      </c>
      <c r="D459">
        <v>6346.19</v>
      </c>
      <c r="E459">
        <v>6492.2269299999998</v>
      </c>
      <c r="F459">
        <v>9224.4</v>
      </c>
      <c r="G459">
        <v>16653.55</v>
      </c>
    </row>
    <row r="460" spans="1:7" x14ac:dyDescent="0.35">
      <c r="A460" s="1">
        <v>40847</v>
      </c>
      <c r="B460">
        <v>2385.2199999999998</v>
      </c>
      <c r="C460">
        <v>3242.84</v>
      </c>
      <c r="D460">
        <v>6141.34</v>
      </c>
      <c r="E460">
        <v>6412.0697200000004</v>
      </c>
      <c r="F460">
        <v>8954.9</v>
      </c>
      <c r="G460">
        <v>16017.73</v>
      </c>
    </row>
    <row r="461" spans="1:7" x14ac:dyDescent="0.35">
      <c r="A461" s="1">
        <v>40848</v>
      </c>
      <c r="B461">
        <v>2259.73</v>
      </c>
      <c r="C461">
        <v>3068.33</v>
      </c>
      <c r="D461">
        <v>5834.51</v>
      </c>
      <c r="E461">
        <v>6307.9968900000003</v>
      </c>
      <c r="F461">
        <v>8579.6</v>
      </c>
      <c r="G461">
        <v>14928.24</v>
      </c>
    </row>
    <row r="462" spans="1:7" x14ac:dyDescent="0.35">
      <c r="A462" s="1">
        <v>40849</v>
      </c>
      <c r="B462">
        <v>2291.89</v>
      </c>
      <c r="C462">
        <v>3110.59</v>
      </c>
      <c r="D462">
        <v>5965.63</v>
      </c>
      <c r="E462">
        <v>6363.34321</v>
      </c>
      <c r="F462">
        <v>8574.5</v>
      </c>
      <c r="G462">
        <v>15273.31</v>
      </c>
    </row>
    <row r="463" spans="1:7" x14ac:dyDescent="0.35">
      <c r="A463" s="1">
        <v>40850</v>
      </c>
      <c r="B463">
        <v>2347.94</v>
      </c>
      <c r="C463">
        <v>3195.47</v>
      </c>
      <c r="D463">
        <v>6133.18</v>
      </c>
      <c r="E463">
        <v>6428.6755999999996</v>
      </c>
      <c r="F463">
        <v>8712.6</v>
      </c>
      <c r="G463">
        <v>15766.16</v>
      </c>
    </row>
    <row r="464" spans="1:7" x14ac:dyDescent="0.35">
      <c r="A464" s="1">
        <v>40851</v>
      </c>
      <c r="B464">
        <v>2291.4699999999998</v>
      </c>
      <c r="C464">
        <v>3123.55</v>
      </c>
      <c r="D464">
        <v>5966.16</v>
      </c>
      <c r="E464">
        <v>6431.9249200000004</v>
      </c>
      <c r="F464">
        <v>8596.4</v>
      </c>
      <c r="G464">
        <v>15346.55</v>
      </c>
    </row>
    <row r="465" spans="1:7" x14ac:dyDescent="0.35">
      <c r="A465" s="1">
        <v>40854</v>
      </c>
      <c r="B465">
        <v>2275.92</v>
      </c>
      <c r="C465">
        <v>3103.6</v>
      </c>
      <c r="D465">
        <v>5928.68</v>
      </c>
      <c r="E465">
        <v>6425.6153199999999</v>
      </c>
      <c r="F465">
        <v>8476.4</v>
      </c>
      <c r="G465">
        <v>15548.94</v>
      </c>
    </row>
    <row r="466" spans="1:7" x14ac:dyDescent="0.35">
      <c r="A466" s="1">
        <v>40855</v>
      </c>
      <c r="B466">
        <v>2303.1999999999998</v>
      </c>
      <c r="C466">
        <v>3143.3</v>
      </c>
      <c r="D466">
        <v>5961.44</v>
      </c>
      <c r="E466">
        <v>6496.8458300000002</v>
      </c>
      <c r="F466">
        <v>8518.5</v>
      </c>
      <c r="G466">
        <v>15664.06</v>
      </c>
    </row>
    <row r="467" spans="1:7" x14ac:dyDescent="0.35">
      <c r="A467" s="1">
        <v>40856</v>
      </c>
      <c r="B467">
        <v>2249.39</v>
      </c>
      <c r="C467">
        <v>3075.16</v>
      </c>
      <c r="D467">
        <v>5829.54</v>
      </c>
      <c r="E467">
        <v>6406.7655999999997</v>
      </c>
      <c r="F467">
        <v>8340.6</v>
      </c>
      <c r="G467">
        <v>15071.77</v>
      </c>
    </row>
    <row r="468" spans="1:7" x14ac:dyDescent="0.35">
      <c r="A468" s="1">
        <v>40857</v>
      </c>
      <c r="B468">
        <v>2254.92</v>
      </c>
      <c r="C468">
        <v>3064.84</v>
      </c>
      <c r="D468">
        <v>5867.81</v>
      </c>
      <c r="E468">
        <v>6379.1547899999996</v>
      </c>
      <c r="F468">
        <v>8310.9</v>
      </c>
      <c r="G468">
        <v>15218.34</v>
      </c>
    </row>
    <row r="469" spans="1:7" x14ac:dyDescent="0.35">
      <c r="A469" s="1">
        <v>40858</v>
      </c>
      <c r="B469">
        <v>2324.81</v>
      </c>
      <c r="C469">
        <v>3149.38</v>
      </c>
      <c r="D469">
        <v>6057.03</v>
      </c>
      <c r="E469">
        <v>6478.3494499999997</v>
      </c>
      <c r="F469">
        <v>8556.1</v>
      </c>
      <c r="G469">
        <v>15778.85</v>
      </c>
    </row>
    <row r="470" spans="1:7" x14ac:dyDescent="0.35">
      <c r="A470" s="1">
        <v>40861</v>
      </c>
      <c r="B470">
        <v>2288.3200000000002</v>
      </c>
      <c r="C470">
        <v>3108.95</v>
      </c>
      <c r="D470">
        <v>5985.02</v>
      </c>
      <c r="E470">
        <v>6442.0539600000002</v>
      </c>
      <c r="F470">
        <v>8372.2000000000007</v>
      </c>
      <c r="G470">
        <v>15464.45</v>
      </c>
    </row>
    <row r="471" spans="1:7" x14ac:dyDescent="0.35">
      <c r="A471" s="1">
        <v>40862</v>
      </c>
      <c r="B471">
        <v>2254</v>
      </c>
      <c r="C471">
        <v>3049.13</v>
      </c>
      <c r="D471">
        <v>5933.14</v>
      </c>
      <c r="E471">
        <v>6452.0192900000002</v>
      </c>
      <c r="F471">
        <v>8237.6</v>
      </c>
      <c r="G471">
        <v>15297.6</v>
      </c>
    </row>
    <row r="472" spans="1:7" x14ac:dyDescent="0.35">
      <c r="A472" s="1">
        <v>40863</v>
      </c>
      <c r="B472">
        <v>2267.96</v>
      </c>
      <c r="C472">
        <v>3064.9</v>
      </c>
      <c r="D472">
        <v>5913.36</v>
      </c>
      <c r="E472">
        <v>6424.4739200000004</v>
      </c>
      <c r="F472">
        <v>8304.1</v>
      </c>
      <c r="G472">
        <v>15419.2</v>
      </c>
    </row>
    <row r="473" spans="1:7" x14ac:dyDescent="0.35">
      <c r="A473" s="1">
        <v>40864</v>
      </c>
      <c r="B473">
        <v>2242.7800000000002</v>
      </c>
      <c r="C473">
        <v>3010.29</v>
      </c>
      <c r="D473">
        <v>5850.17</v>
      </c>
      <c r="E473">
        <v>6344.5746399999998</v>
      </c>
      <c r="F473">
        <v>8270.6</v>
      </c>
      <c r="G473">
        <v>15198.31</v>
      </c>
    </row>
    <row r="474" spans="1:7" x14ac:dyDescent="0.35">
      <c r="A474" s="1">
        <v>40865</v>
      </c>
      <c r="B474">
        <v>2236.6799999999998</v>
      </c>
      <c r="C474">
        <v>2997.01</v>
      </c>
      <c r="D474">
        <v>5800.24</v>
      </c>
      <c r="E474">
        <v>6267.3458199999995</v>
      </c>
      <c r="F474">
        <v>8310.1</v>
      </c>
      <c r="G474">
        <v>15232.56</v>
      </c>
    </row>
    <row r="475" spans="1:7" x14ac:dyDescent="0.35">
      <c r="A475" s="1">
        <v>40868</v>
      </c>
      <c r="B475">
        <v>2160.2800000000002</v>
      </c>
      <c r="C475">
        <v>2894.94</v>
      </c>
      <c r="D475">
        <v>5606</v>
      </c>
      <c r="E475">
        <v>6051.5964000000004</v>
      </c>
      <c r="F475">
        <v>8021</v>
      </c>
      <c r="G475">
        <v>14509.94</v>
      </c>
    </row>
    <row r="476" spans="1:7" x14ac:dyDescent="0.35">
      <c r="A476" s="1">
        <v>40869</v>
      </c>
      <c r="B476">
        <v>2136.81</v>
      </c>
      <c r="C476">
        <v>2870.68</v>
      </c>
      <c r="D476">
        <v>5537.39</v>
      </c>
      <c r="E476">
        <v>6027.7740199999998</v>
      </c>
      <c r="F476">
        <v>7904.9</v>
      </c>
      <c r="G476">
        <v>14286.06</v>
      </c>
    </row>
    <row r="477" spans="1:7" x14ac:dyDescent="0.35">
      <c r="A477" s="1">
        <v>40870</v>
      </c>
      <c r="B477">
        <v>2096.79</v>
      </c>
      <c r="C477">
        <v>2822.43</v>
      </c>
      <c r="D477">
        <v>5457.77</v>
      </c>
      <c r="E477">
        <v>5971.28287</v>
      </c>
      <c r="F477">
        <v>7739.3</v>
      </c>
      <c r="G477">
        <v>13915.78</v>
      </c>
    </row>
    <row r="478" spans="1:7" x14ac:dyDescent="0.35">
      <c r="A478" s="1">
        <v>40871</v>
      </c>
      <c r="B478">
        <v>2090.25</v>
      </c>
      <c r="C478">
        <v>2822.25</v>
      </c>
      <c r="D478">
        <v>5428.11</v>
      </c>
      <c r="E478">
        <v>5954.7462100000002</v>
      </c>
      <c r="F478">
        <v>7721.8</v>
      </c>
      <c r="G478">
        <v>13920.58</v>
      </c>
    </row>
    <row r="479" spans="1:7" x14ac:dyDescent="0.35">
      <c r="A479" s="1">
        <v>40872</v>
      </c>
      <c r="B479">
        <v>2111.2600000000002</v>
      </c>
      <c r="C479">
        <v>2856.97</v>
      </c>
      <c r="D479">
        <v>5492.87</v>
      </c>
      <c r="E479">
        <v>6020.8094099999998</v>
      </c>
      <c r="F479">
        <v>7763.5</v>
      </c>
      <c r="G479">
        <v>13937.4</v>
      </c>
    </row>
    <row r="480" spans="1:7" x14ac:dyDescent="0.35">
      <c r="A480" s="1">
        <v>40875</v>
      </c>
      <c r="B480">
        <v>2221.7600000000002</v>
      </c>
      <c r="C480">
        <v>3012.93</v>
      </c>
      <c r="D480">
        <v>5745.33</v>
      </c>
      <c r="E480">
        <v>6189.5070699999997</v>
      </c>
      <c r="F480">
        <v>8119.9</v>
      </c>
      <c r="G480">
        <v>14578.23</v>
      </c>
    </row>
    <row r="481" spans="1:7" x14ac:dyDescent="0.35">
      <c r="A481" s="1">
        <v>40876</v>
      </c>
      <c r="B481">
        <v>2234.17</v>
      </c>
      <c r="C481">
        <v>3026.76</v>
      </c>
      <c r="D481">
        <v>5799.91</v>
      </c>
      <c r="E481">
        <v>6247.8533399999997</v>
      </c>
      <c r="F481">
        <v>8128</v>
      </c>
      <c r="G481">
        <v>14627.37</v>
      </c>
    </row>
    <row r="482" spans="1:7" x14ac:dyDescent="0.35">
      <c r="A482" s="1">
        <v>40877</v>
      </c>
      <c r="B482">
        <v>2330.4299999999998</v>
      </c>
      <c r="C482">
        <v>3154.62</v>
      </c>
      <c r="D482">
        <v>6088.84</v>
      </c>
      <c r="E482">
        <v>6432.2694099999999</v>
      </c>
      <c r="F482">
        <v>8449.5</v>
      </c>
      <c r="G482">
        <v>15268.66</v>
      </c>
    </row>
    <row r="483" spans="1:7" x14ac:dyDescent="0.35">
      <c r="A483" s="1">
        <v>40878</v>
      </c>
      <c r="B483">
        <v>2313.84</v>
      </c>
      <c r="C483">
        <v>3129.95</v>
      </c>
      <c r="D483">
        <v>6035.88</v>
      </c>
      <c r="E483">
        <v>6405.99935</v>
      </c>
      <c r="F483">
        <v>8421</v>
      </c>
      <c r="G483">
        <v>15244.62</v>
      </c>
    </row>
    <row r="484" spans="1:7" x14ac:dyDescent="0.35">
      <c r="A484" s="1">
        <v>40879</v>
      </c>
      <c r="B484">
        <v>2342.5</v>
      </c>
      <c r="C484">
        <v>3164.95</v>
      </c>
      <c r="D484">
        <v>6080.68</v>
      </c>
      <c r="E484">
        <v>6462.6781799999999</v>
      </c>
      <c r="F484">
        <v>8558.6</v>
      </c>
      <c r="G484">
        <v>15476.09</v>
      </c>
    </row>
    <row r="485" spans="1:7" x14ac:dyDescent="0.35">
      <c r="A485" s="1">
        <v>40882</v>
      </c>
      <c r="B485">
        <v>2369.39</v>
      </c>
      <c r="C485">
        <v>3201.28</v>
      </c>
      <c r="D485">
        <v>6106.09</v>
      </c>
      <c r="E485">
        <v>6486.4333299999998</v>
      </c>
      <c r="F485">
        <v>8705.7999999999993</v>
      </c>
      <c r="G485">
        <v>15926.47</v>
      </c>
    </row>
    <row r="486" spans="1:7" x14ac:dyDescent="0.35">
      <c r="A486" s="1">
        <v>40883</v>
      </c>
      <c r="B486">
        <v>2356.71</v>
      </c>
      <c r="C486">
        <v>3179.63</v>
      </c>
      <c r="D486">
        <v>6028.82</v>
      </c>
      <c r="E486">
        <v>6474.4631399999998</v>
      </c>
      <c r="F486">
        <v>8712.7999999999993</v>
      </c>
      <c r="G486">
        <v>15848.21</v>
      </c>
    </row>
    <row r="487" spans="1:7" x14ac:dyDescent="0.35">
      <c r="A487" s="1">
        <v>40884</v>
      </c>
      <c r="B487">
        <v>2344.92</v>
      </c>
      <c r="C487">
        <v>3175.98</v>
      </c>
      <c r="D487">
        <v>5994.73</v>
      </c>
      <c r="E487">
        <v>6488.1988099999999</v>
      </c>
      <c r="F487">
        <v>8644.2999999999993</v>
      </c>
      <c r="G487">
        <v>15650.93</v>
      </c>
    </row>
    <row r="488" spans="1:7" x14ac:dyDescent="0.35">
      <c r="A488" s="1">
        <v>40885</v>
      </c>
      <c r="B488">
        <v>2288.0500000000002</v>
      </c>
      <c r="C488">
        <v>3095.49</v>
      </c>
      <c r="D488">
        <v>5874.44</v>
      </c>
      <c r="E488">
        <v>6426.45363</v>
      </c>
      <c r="F488">
        <v>8461.2000000000007</v>
      </c>
      <c r="G488">
        <v>14979.07</v>
      </c>
    </row>
    <row r="489" spans="1:7" x14ac:dyDescent="0.35">
      <c r="A489" s="1">
        <v>40886</v>
      </c>
      <c r="B489">
        <v>2342.59</v>
      </c>
      <c r="C489">
        <v>3172.35</v>
      </c>
      <c r="D489">
        <v>5986.71</v>
      </c>
      <c r="E489">
        <v>6468.8035</v>
      </c>
      <c r="F489">
        <v>8649.7000000000007</v>
      </c>
      <c r="G489">
        <v>15483.91</v>
      </c>
    </row>
    <row r="490" spans="1:7" x14ac:dyDescent="0.35">
      <c r="A490" s="1">
        <v>40889</v>
      </c>
      <c r="B490">
        <v>2269.46</v>
      </c>
      <c r="C490">
        <v>3089.59</v>
      </c>
      <c r="D490">
        <v>5785.43</v>
      </c>
      <c r="E490">
        <v>6409.5861000000004</v>
      </c>
      <c r="F490">
        <v>8381</v>
      </c>
      <c r="G490">
        <v>14896.73</v>
      </c>
    </row>
    <row r="491" spans="1:7" x14ac:dyDescent="0.35">
      <c r="A491" s="1">
        <v>40890</v>
      </c>
      <c r="B491">
        <v>2260.98</v>
      </c>
      <c r="C491">
        <v>3078.72</v>
      </c>
      <c r="D491">
        <v>5774.26</v>
      </c>
      <c r="E491">
        <v>6515.3305</v>
      </c>
      <c r="F491">
        <v>8327.7999999999993</v>
      </c>
      <c r="G491">
        <v>14851.25</v>
      </c>
    </row>
    <row r="492" spans="1:7" x14ac:dyDescent="0.35">
      <c r="A492" s="1">
        <v>40891</v>
      </c>
      <c r="B492">
        <v>2205.91</v>
      </c>
      <c r="C492">
        <v>2976.17</v>
      </c>
      <c r="D492">
        <v>5675.14</v>
      </c>
      <c r="E492">
        <v>6389.0279499999997</v>
      </c>
      <c r="F492">
        <v>8182</v>
      </c>
      <c r="G492">
        <v>14430.02</v>
      </c>
    </row>
    <row r="493" spans="1:7" x14ac:dyDescent="0.35">
      <c r="A493" s="1">
        <v>40892</v>
      </c>
      <c r="B493">
        <v>2224.89</v>
      </c>
      <c r="C493">
        <v>2998.73</v>
      </c>
      <c r="D493">
        <v>5730.62</v>
      </c>
      <c r="E493">
        <v>6433.0235199999997</v>
      </c>
      <c r="F493">
        <v>8250.4</v>
      </c>
      <c r="G493">
        <v>14627.69</v>
      </c>
    </row>
    <row r="494" spans="1:7" x14ac:dyDescent="0.35">
      <c r="A494" s="1">
        <v>40893</v>
      </c>
      <c r="B494">
        <v>2202.7199999999998</v>
      </c>
      <c r="C494">
        <v>2972.3</v>
      </c>
      <c r="D494">
        <v>5701.78</v>
      </c>
      <c r="E494">
        <v>6417.0290999999997</v>
      </c>
      <c r="F494">
        <v>8203.4</v>
      </c>
      <c r="G494">
        <v>14572.22</v>
      </c>
    </row>
    <row r="495" spans="1:7" x14ac:dyDescent="0.35">
      <c r="A495" s="1">
        <v>40896</v>
      </c>
      <c r="B495">
        <v>2202.9499999999998</v>
      </c>
      <c r="C495">
        <v>2974.2</v>
      </c>
      <c r="D495">
        <v>5670.71</v>
      </c>
      <c r="E495">
        <v>6398.4946799999998</v>
      </c>
      <c r="F495">
        <v>8253</v>
      </c>
      <c r="G495">
        <v>14548.2</v>
      </c>
    </row>
    <row r="496" spans="1:7" x14ac:dyDescent="0.35">
      <c r="A496" s="1">
        <v>40897</v>
      </c>
      <c r="B496">
        <v>2262.39</v>
      </c>
      <c r="C496">
        <v>3055.39</v>
      </c>
      <c r="D496">
        <v>5847.03</v>
      </c>
      <c r="E496">
        <v>6487.2036399999997</v>
      </c>
      <c r="F496">
        <v>8454.4</v>
      </c>
      <c r="G496">
        <v>14965.18</v>
      </c>
    </row>
    <row r="497" spans="1:7" x14ac:dyDescent="0.35">
      <c r="A497" s="1">
        <v>40898</v>
      </c>
      <c r="B497">
        <v>2244.35</v>
      </c>
      <c r="C497">
        <v>3030.47</v>
      </c>
      <c r="D497">
        <v>5791.53</v>
      </c>
      <c r="E497">
        <v>6469.2548999999999</v>
      </c>
      <c r="F497">
        <v>8378.4</v>
      </c>
      <c r="G497">
        <v>14819.86</v>
      </c>
    </row>
    <row r="498" spans="1:7" x14ac:dyDescent="0.35">
      <c r="A498" s="1">
        <v>40899</v>
      </c>
      <c r="B498">
        <v>2273.02</v>
      </c>
      <c r="C498">
        <v>3071.8</v>
      </c>
      <c r="D498">
        <v>5852.18</v>
      </c>
      <c r="E498">
        <v>6552.6295399999999</v>
      </c>
      <c r="F498">
        <v>8462.9</v>
      </c>
      <c r="G498">
        <v>15027.44</v>
      </c>
    </row>
    <row r="499" spans="1:7" x14ac:dyDescent="0.35">
      <c r="A499" s="1">
        <v>40900</v>
      </c>
      <c r="B499">
        <v>2290.37</v>
      </c>
      <c r="C499">
        <v>3102.09</v>
      </c>
      <c r="D499">
        <v>5878.93</v>
      </c>
      <c r="E499">
        <v>6599.5328600000003</v>
      </c>
      <c r="F499">
        <v>8542.7000000000007</v>
      </c>
      <c r="G499">
        <v>15073.99</v>
      </c>
    </row>
    <row r="500" spans="1:7" x14ac:dyDescent="0.35">
      <c r="A500" s="1">
        <v>40905</v>
      </c>
      <c r="B500">
        <v>2255.0300000000002</v>
      </c>
      <c r="C500">
        <v>3071.08</v>
      </c>
      <c r="D500">
        <v>5771.27</v>
      </c>
      <c r="E500">
        <v>6589.4691599999996</v>
      </c>
      <c r="F500">
        <v>8358.4</v>
      </c>
      <c r="G500">
        <v>14796.55</v>
      </c>
    </row>
    <row r="501" spans="1:7" x14ac:dyDescent="0.35">
      <c r="A501" s="1">
        <v>40906</v>
      </c>
      <c r="B501">
        <v>2292.2800000000002</v>
      </c>
      <c r="C501">
        <v>3127.56</v>
      </c>
      <c r="D501">
        <v>5848.78</v>
      </c>
      <c r="E501">
        <v>6623.6046399999996</v>
      </c>
      <c r="F501">
        <v>8487.9</v>
      </c>
      <c r="G501">
        <v>14908.53</v>
      </c>
    </row>
    <row r="502" spans="1:7" x14ac:dyDescent="0.35">
      <c r="A502" s="1">
        <v>40907</v>
      </c>
      <c r="B502">
        <v>2316.5500000000002</v>
      </c>
      <c r="C502">
        <v>3159.81</v>
      </c>
      <c r="D502">
        <v>5898.35</v>
      </c>
      <c r="E502">
        <v>6668.24773</v>
      </c>
      <c r="F502">
        <v>8566.2999999999993</v>
      </c>
      <c r="G502">
        <v>15089.74</v>
      </c>
    </row>
    <row r="503" spans="1:7" x14ac:dyDescent="0.35">
      <c r="A503" s="1">
        <v>40911</v>
      </c>
      <c r="B503">
        <v>2389.91</v>
      </c>
      <c r="C503">
        <v>3245.4</v>
      </c>
      <c r="D503">
        <v>6166.57</v>
      </c>
      <c r="E503">
        <v>6835.1744699999999</v>
      </c>
      <c r="F503">
        <v>8732.4</v>
      </c>
      <c r="G503">
        <v>15645.56</v>
      </c>
    </row>
    <row r="504" spans="1:7" x14ac:dyDescent="0.35">
      <c r="A504" s="1">
        <v>40912</v>
      </c>
      <c r="B504">
        <v>2349.89</v>
      </c>
      <c r="C504">
        <v>3193.65</v>
      </c>
      <c r="D504">
        <v>6111.55</v>
      </c>
      <c r="E504">
        <v>6839.8596500000003</v>
      </c>
      <c r="F504">
        <v>8581.7999999999993</v>
      </c>
      <c r="G504">
        <v>15327.03</v>
      </c>
    </row>
    <row r="505" spans="1:7" x14ac:dyDescent="0.35">
      <c r="A505" s="1">
        <v>40913</v>
      </c>
      <c r="B505">
        <v>2315.75</v>
      </c>
      <c r="C505">
        <v>3144.91</v>
      </c>
      <c r="D505">
        <v>6095.99</v>
      </c>
      <c r="E505">
        <v>6810.6513800000002</v>
      </c>
      <c r="F505">
        <v>8329.6</v>
      </c>
      <c r="G505">
        <v>14767.22</v>
      </c>
    </row>
    <row r="506" spans="1:7" x14ac:dyDescent="0.35">
      <c r="A506" s="1">
        <v>40914</v>
      </c>
      <c r="B506">
        <v>2298.65</v>
      </c>
      <c r="C506">
        <v>3137.36</v>
      </c>
      <c r="D506">
        <v>6057.92</v>
      </c>
      <c r="E506">
        <v>6848.3661300000003</v>
      </c>
      <c r="F506">
        <v>8289.1</v>
      </c>
      <c r="G506">
        <v>14645.64</v>
      </c>
    </row>
    <row r="507" spans="1:7" x14ac:dyDescent="0.35">
      <c r="A507" s="1">
        <v>40917</v>
      </c>
      <c r="B507">
        <v>2286.4499999999998</v>
      </c>
      <c r="C507">
        <v>3127.69</v>
      </c>
      <c r="D507">
        <v>6017.23</v>
      </c>
      <c r="E507">
        <v>6796.13051</v>
      </c>
      <c r="F507">
        <v>8278.9</v>
      </c>
      <c r="G507">
        <v>14401.55</v>
      </c>
    </row>
    <row r="508" spans="1:7" x14ac:dyDescent="0.35">
      <c r="A508" s="1">
        <v>40918</v>
      </c>
      <c r="B508">
        <v>2347.4699999999998</v>
      </c>
      <c r="C508">
        <v>3210.79</v>
      </c>
      <c r="D508">
        <v>6162.98</v>
      </c>
      <c r="E508">
        <v>6901.7540099999997</v>
      </c>
      <c r="F508">
        <v>8472.9</v>
      </c>
      <c r="G508">
        <v>14844.81</v>
      </c>
    </row>
    <row r="509" spans="1:7" x14ac:dyDescent="0.35">
      <c r="A509" s="1">
        <v>40919</v>
      </c>
      <c r="B509">
        <v>2339.5100000000002</v>
      </c>
      <c r="C509">
        <v>3204.83</v>
      </c>
      <c r="D509">
        <v>6152.34</v>
      </c>
      <c r="E509">
        <v>6846.6956499999997</v>
      </c>
      <c r="F509">
        <v>8426.7999999999993</v>
      </c>
      <c r="G509">
        <v>14882.44</v>
      </c>
    </row>
    <row r="510" spans="1:7" x14ac:dyDescent="0.35">
      <c r="A510" s="1">
        <v>40920</v>
      </c>
      <c r="B510">
        <v>2345.85</v>
      </c>
      <c r="C510">
        <v>3199.98</v>
      </c>
      <c r="D510">
        <v>6179.21</v>
      </c>
      <c r="E510">
        <v>6767.1963500000002</v>
      </c>
      <c r="F510">
        <v>8427</v>
      </c>
      <c r="G510">
        <v>15192.79</v>
      </c>
    </row>
    <row r="511" spans="1:7" x14ac:dyDescent="0.35">
      <c r="A511" s="1">
        <v>40921</v>
      </c>
      <c r="B511">
        <v>2338.0100000000002</v>
      </c>
      <c r="C511">
        <v>3196.49</v>
      </c>
      <c r="D511">
        <v>6143.08</v>
      </c>
      <c r="E511">
        <v>6800.1584499999999</v>
      </c>
      <c r="F511">
        <v>8450.6</v>
      </c>
      <c r="G511">
        <v>15011.09</v>
      </c>
    </row>
    <row r="512" spans="1:7" x14ac:dyDescent="0.35">
      <c r="A512" s="1">
        <v>40924</v>
      </c>
      <c r="B512">
        <v>2361.56</v>
      </c>
      <c r="C512">
        <v>3225</v>
      </c>
      <c r="D512">
        <v>6220.01</v>
      </c>
      <c r="E512">
        <v>6841.3373300000003</v>
      </c>
      <c r="F512">
        <v>8449.6</v>
      </c>
      <c r="G512">
        <v>15220.98</v>
      </c>
    </row>
    <row r="513" spans="1:7" x14ac:dyDescent="0.35">
      <c r="A513" s="1">
        <v>40925</v>
      </c>
      <c r="B513">
        <v>2396.63</v>
      </c>
      <c r="C513">
        <v>3269.99</v>
      </c>
      <c r="D513">
        <v>6332.93</v>
      </c>
      <c r="E513">
        <v>6864.6686900000004</v>
      </c>
      <c r="F513">
        <v>8535.2999999999993</v>
      </c>
      <c r="G513">
        <v>15325.98</v>
      </c>
    </row>
    <row r="514" spans="1:7" x14ac:dyDescent="0.35">
      <c r="A514" s="1">
        <v>40926</v>
      </c>
      <c r="B514">
        <v>2390.64</v>
      </c>
      <c r="C514">
        <v>3264.93</v>
      </c>
      <c r="D514">
        <v>6354.57</v>
      </c>
      <c r="E514">
        <v>6845.50659</v>
      </c>
      <c r="F514">
        <v>8420.7000000000007</v>
      </c>
      <c r="G514">
        <v>15278</v>
      </c>
    </row>
    <row r="515" spans="1:7" x14ac:dyDescent="0.35">
      <c r="A515" s="1">
        <v>40927</v>
      </c>
      <c r="B515">
        <v>2435.04</v>
      </c>
      <c r="C515">
        <v>3328.94</v>
      </c>
      <c r="D515">
        <v>6416.26</v>
      </c>
      <c r="E515">
        <v>6866.1170700000002</v>
      </c>
      <c r="F515">
        <v>8603.7999999999993</v>
      </c>
      <c r="G515">
        <v>15651.99</v>
      </c>
    </row>
    <row r="516" spans="1:7" x14ac:dyDescent="0.35">
      <c r="A516" s="1">
        <v>40928</v>
      </c>
      <c r="B516">
        <v>2426.96</v>
      </c>
      <c r="C516">
        <v>3321.5</v>
      </c>
      <c r="D516">
        <v>6404.39</v>
      </c>
      <c r="E516">
        <v>6884.8036199999997</v>
      </c>
      <c r="F516">
        <v>8561.9</v>
      </c>
      <c r="G516">
        <v>15632.06</v>
      </c>
    </row>
    <row r="517" spans="1:7" x14ac:dyDescent="0.35">
      <c r="A517" s="1">
        <v>40931</v>
      </c>
      <c r="B517">
        <v>2441.44</v>
      </c>
      <c r="C517">
        <v>3338.42</v>
      </c>
      <c r="D517">
        <v>6436.62</v>
      </c>
      <c r="E517">
        <v>6921.2056599999996</v>
      </c>
      <c r="F517">
        <v>8619.6</v>
      </c>
      <c r="G517">
        <v>15907.52</v>
      </c>
    </row>
    <row r="518" spans="1:7" x14ac:dyDescent="0.35">
      <c r="A518" s="1">
        <v>40932</v>
      </c>
      <c r="B518">
        <v>2432.0700000000002</v>
      </c>
      <c r="C518">
        <v>3322.65</v>
      </c>
      <c r="D518">
        <v>6419.22</v>
      </c>
      <c r="E518">
        <v>6891.0606600000001</v>
      </c>
      <c r="F518">
        <v>8591.4</v>
      </c>
      <c r="G518">
        <v>15929.25</v>
      </c>
    </row>
    <row r="519" spans="1:7" x14ac:dyDescent="0.35">
      <c r="A519" s="1">
        <v>40933</v>
      </c>
      <c r="B519">
        <v>2421.12</v>
      </c>
      <c r="C519">
        <v>3312.48</v>
      </c>
      <c r="D519">
        <v>6421.85</v>
      </c>
      <c r="E519">
        <v>6848.4765500000003</v>
      </c>
      <c r="F519">
        <v>8555.4</v>
      </c>
      <c r="G519">
        <v>15840.24</v>
      </c>
    </row>
    <row r="520" spans="1:7" x14ac:dyDescent="0.35">
      <c r="A520" s="1">
        <v>40934</v>
      </c>
      <c r="B520">
        <v>2460.4</v>
      </c>
      <c r="C520">
        <v>3363.23</v>
      </c>
      <c r="D520">
        <v>6539.85</v>
      </c>
      <c r="E520">
        <v>6923.5626400000001</v>
      </c>
      <c r="F520">
        <v>8713.7999999999993</v>
      </c>
      <c r="G520">
        <v>16111.04</v>
      </c>
    </row>
    <row r="521" spans="1:7" x14ac:dyDescent="0.35">
      <c r="A521" s="1">
        <v>40935</v>
      </c>
      <c r="B521">
        <v>2436.62</v>
      </c>
      <c r="C521">
        <v>3318.76</v>
      </c>
      <c r="D521">
        <v>6511.98</v>
      </c>
      <c r="E521">
        <v>6838.0117200000004</v>
      </c>
      <c r="F521">
        <v>8657.2999999999993</v>
      </c>
      <c r="G521">
        <v>15946.87</v>
      </c>
    </row>
    <row r="522" spans="1:7" x14ac:dyDescent="0.35">
      <c r="A522" s="1">
        <v>40938</v>
      </c>
      <c r="B522">
        <v>2404.62</v>
      </c>
      <c r="C522">
        <v>3265.64</v>
      </c>
      <c r="D522">
        <v>6444.45</v>
      </c>
      <c r="E522">
        <v>6775.5897400000003</v>
      </c>
      <c r="F522">
        <v>8517</v>
      </c>
      <c r="G522">
        <v>15753.14</v>
      </c>
    </row>
    <row r="523" spans="1:7" x14ac:dyDescent="0.35">
      <c r="A523" s="1">
        <v>40939</v>
      </c>
      <c r="B523">
        <v>2416.66</v>
      </c>
      <c r="C523">
        <v>3298.55</v>
      </c>
      <c r="D523">
        <v>6458.91</v>
      </c>
      <c r="E523">
        <v>6845.6641300000001</v>
      </c>
      <c r="F523">
        <v>8509.2000000000007</v>
      </c>
      <c r="G523">
        <v>15828.05</v>
      </c>
    </row>
    <row r="524" spans="1:7" x14ac:dyDescent="0.35">
      <c r="A524" s="1">
        <v>40940</v>
      </c>
      <c r="B524">
        <v>2470.79</v>
      </c>
      <c r="C524">
        <v>3367.46</v>
      </c>
      <c r="D524">
        <v>6616.64</v>
      </c>
      <c r="E524">
        <v>6959.9324299999998</v>
      </c>
      <c r="F524">
        <v>8696.6</v>
      </c>
      <c r="G524">
        <v>16264.55</v>
      </c>
    </row>
    <row r="525" spans="1:7" x14ac:dyDescent="0.35">
      <c r="A525" s="1">
        <v>40941</v>
      </c>
      <c r="B525">
        <v>2478.15</v>
      </c>
      <c r="C525">
        <v>3376.66</v>
      </c>
      <c r="D525">
        <v>6655.63</v>
      </c>
      <c r="E525">
        <v>6967.9770900000003</v>
      </c>
      <c r="F525">
        <v>8772.2999999999993</v>
      </c>
      <c r="G525">
        <v>16276.5</v>
      </c>
    </row>
    <row r="526" spans="1:7" x14ac:dyDescent="0.35">
      <c r="A526" s="1">
        <v>40942</v>
      </c>
      <c r="B526">
        <v>2515.15</v>
      </c>
      <c r="C526">
        <v>3427.92</v>
      </c>
      <c r="D526">
        <v>6766.67</v>
      </c>
      <c r="E526">
        <v>7102.4827599999999</v>
      </c>
      <c r="F526">
        <v>8861.2000000000007</v>
      </c>
      <c r="G526">
        <v>16439.62</v>
      </c>
    </row>
    <row r="527" spans="1:7" x14ac:dyDescent="0.35">
      <c r="A527" s="1">
        <v>40945</v>
      </c>
      <c r="B527">
        <v>2507.89</v>
      </c>
      <c r="C527">
        <v>3405.27</v>
      </c>
      <c r="D527">
        <v>6764.83</v>
      </c>
      <c r="E527">
        <v>7100.8909400000002</v>
      </c>
      <c r="F527">
        <v>8835.2999999999993</v>
      </c>
      <c r="G527">
        <v>16389.82</v>
      </c>
    </row>
    <row r="528" spans="1:7" x14ac:dyDescent="0.35">
      <c r="A528" s="1">
        <v>40946</v>
      </c>
      <c r="B528">
        <v>2514.12</v>
      </c>
      <c r="C528">
        <v>3411.54</v>
      </c>
      <c r="D528">
        <v>6754.2</v>
      </c>
      <c r="E528">
        <v>7063.1583600000004</v>
      </c>
      <c r="F528">
        <v>8846.9</v>
      </c>
      <c r="G528">
        <v>16491.71</v>
      </c>
    </row>
    <row r="529" spans="1:7" x14ac:dyDescent="0.35">
      <c r="A529" s="1">
        <v>40947</v>
      </c>
      <c r="B529">
        <v>2512.92</v>
      </c>
      <c r="C529">
        <v>3410</v>
      </c>
      <c r="D529">
        <v>6748.76</v>
      </c>
      <c r="E529">
        <v>7007.4659799999999</v>
      </c>
      <c r="F529">
        <v>8849.2999999999993</v>
      </c>
      <c r="G529">
        <v>16669.22</v>
      </c>
    </row>
    <row r="530" spans="1:7" x14ac:dyDescent="0.35">
      <c r="A530" s="1">
        <v>40948</v>
      </c>
      <c r="B530">
        <v>2522.34</v>
      </c>
      <c r="C530">
        <v>3424.71</v>
      </c>
      <c r="D530">
        <v>6788.8</v>
      </c>
      <c r="E530">
        <v>7019.8523400000004</v>
      </c>
      <c r="F530">
        <v>8902.1</v>
      </c>
      <c r="G530">
        <v>16653.830000000002</v>
      </c>
    </row>
    <row r="531" spans="1:7" x14ac:dyDescent="0.35">
      <c r="A531" s="1">
        <v>40949</v>
      </c>
      <c r="B531">
        <v>2480.7600000000002</v>
      </c>
      <c r="C531">
        <v>3373.14</v>
      </c>
      <c r="D531">
        <v>6692.96</v>
      </c>
      <c r="E531">
        <v>6983.9230399999997</v>
      </c>
      <c r="F531">
        <v>8797.1</v>
      </c>
      <c r="G531">
        <v>16361.04</v>
      </c>
    </row>
    <row r="532" spans="1:7" x14ac:dyDescent="0.35">
      <c r="A532" s="1">
        <v>40952</v>
      </c>
      <c r="B532">
        <v>2491.54</v>
      </c>
      <c r="C532">
        <v>3384.55</v>
      </c>
      <c r="D532">
        <v>6738.47</v>
      </c>
      <c r="E532">
        <v>7055.1855599999999</v>
      </c>
      <c r="F532">
        <v>8788.2999999999993</v>
      </c>
      <c r="G532">
        <v>16369.28</v>
      </c>
    </row>
    <row r="533" spans="1:7" x14ac:dyDescent="0.35">
      <c r="A533" s="1">
        <v>40953</v>
      </c>
      <c r="B533">
        <v>2488.29</v>
      </c>
      <c r="C533">
        <v>3375.64</v>
      </c>
      <c r="D533">
        <v>6728.19</v>
      </c>
      <c r="E533">
        <v>7050.34015</v>
      </c>
      <c r="F533">
        <v>8771.9</v>
      </c>
      <c r="G533">
        <v>16445.91</v>
      </c>
    </row>
    <row r="534" spans="1:7" x14ac:dyDescent="0.35">
      <c r="A534" s="1">
        <v>40954</v>
      </c>
      <c r="B534">
        <v>2493.96</v>
      </c>
      <c r="C534">
        <v>3390.35</v>
      </c>
      <c r="D534">
        <v>6757.94</v>
      </c>
      <c r="E534">
        <v>7083.5844399999996</v>
      </c>
      <c r="F534">
        <v>8741.6</v>
      </c>
      <c r="G534">
        <v>16513.21</v>
      </c>
    </row>
    <row r="535" spans="1:7" x14ac:dyDescent="0.35">
      <c r="A535" s="1">
        <v>40955</v>
      </c>
      <c r="B535">
        <v>2489.35</v>
      </c>
      <c r="C535">
        <v>3393.25</v>
      </c>
      <c r="D535">
        <v>6751.96</v>
      </c>
      <c r="E535">
        <v>7089.0444100000004</v>
      </c>
      <c r="F535">
        <v>8558.1</v>
      </c>
      <c r="G535">
        <v>16369.66</v>
      </c>
    </row>
    <row r="536" spans="1:7" x14ac:dyDescent="0.35">
      <c r="A536" s="1">
        <v>40956</v>
      </c>
      <c r="B536">
        <v>2520.31</v>
      </c>
      <c r="C536">
        <v>3439.62</v>
      </c>
      <c r="D536">
        <v>6848.03</v>
      </c>
      <c r="E536">
        <v>7108.7111999999997</v>
      </c>
      <c r="F536">
        <v>8657</v>
      </c>
      <c r="G536">
        <v>16547.21</v>
      </c>
    </row>
    <row r="537" spans="1:7" x14ac:dyDescent="0.35">
      <c r="A537" s="1">
        <v>40959</v>
      </c>
      <c r="B537">
        <v>2550.2800000000002</v>
      </c>
      <c r="C537">
        <v>3472.54</v>
      </c>
      <c r="D537">
        <v>6948.25</v>
      </c>
      <c r="E537">
        <v>7115.9779099999996</v>
      </c>
      <c r="F537">
        <v>8818.1</v>
      </c>
      <c r="G537">
        <v>16724.22</v>
      </c>
    </row>
    <row r="538" spans="1:7" x14ac:dyDescent="0.35">
      <c r="A538" s="1">
        <v>40960</v>
      </c>
      <c r="B538">
        <v>2541.6</v>
      </c>
      <c r="C538">
        <v>3465.24</v>
      </c>
      <c r="D538">
        <v>6908.18</v>
      </c>
      <c r="E538">
        <v>7069.4433900000004</v>
      </c>
      <c r="F538">
        <v>8767.1</v>
      </c>
      <c r="G538">
        <v>16710.86</v>
      </c>
    </row>
    <row r="539" spans="1:7" x14ac:dyDescent="0.35">
      <c r="A539" s="1">
        <v>40961</v>
      </c>
      <c r="B539">
        <v>2519</v>
      </c>
      <c r="C539">
        <v>3447.37</v>
      </c>
      <c r="D539">
        <v>6843.87</v>
      </c>
      <c r="E539">
        <v>6997.1188499999998</v>
      </c>
      <c r="F539">
        <v>8657</v>
      </c>
      <c r="G539">
        <v>16557.62</v>
      </c>
    </row>
    <row r="540" spans="1:7" x14ac:dyDescent="0.35">
      <c r="A540" s="1">
        <v>40962</v>
      </c>
      <c r="B540">
        <v>2508.08</v>
      </c>
      <c r="C540">
        <v>3447.31</v>
      </c>
      <c r="D540">
        <v>6809.46</v>
      </c>
      <c r="E540">
        <v>7003.2763500000001</v>
      </c>
      <c r="F540">
        <v>8527.7000000000007</v>
      </c>
      <c r="G540">
        <v>16312.3</v>
      </c>
    </row>
    <row r="541" spans="1:7" x14ac:dyDescent="0.35">
      <c r="A541" s="1">
        <v>40963</v>
      </c>
      <c r="B541">
        <v>2523.69</v>
      </c>
      <c r="C541">
        <v>3467.03</v>
      </c>
      <c r="D541">
        <v>6864.43</v>
      </c>
      <c r="E541">
        <v>6996.6908000000003</v>
      </c>
      <c r="F541">
        <v>8527.7000000000007</v>
      </c>
      <c r="G541">
        <v>16487.53</v>
      </c>
    </row>
    <row r="542" spans="1:7" x14ac:dyDescent="0.35">
      <c r="A542" s="1">
        <v>40966</v>
      </c>
      <c r="B542">
        <v>2513.06</v>
      </c>
      <c r="C542">
        <v>3441.45</v>
      </c>
      <c r="D542">
        <v>6849.6</v>
      </c>
      <c r="E542">
        <v>6988.2975699999997</v>
      </c>
      <c r="F542">
        <v>8537.2000000000007</v>
      </c>
      <c r="G542">
        <v>16308.6</v>
      </c>
    </row>
    <row r="543" spans="1:7" x14ac:dyDescent="0.35">
      <c r="A543" s="1">
        <v>40967</v>
      </c>
      <c r="B543">
        <v>2519.7199999999998</v>
      </c>
      <c r="C543">
        <v>3453.99</v>
      </c>
      <c r="D543">
        <v>6887.63</v>
      </c>
      <c r="E543">
        <v>6998.3005300000004</v>
      </c>
      <c r="F543">
        <v>8526.7000000000007</v>
      </c>
      <c r="G543">
        <v>16345.3</v>
      </c>
    </row>
    <row r="544" spans="1:7" x14ac:dyDescent="0.35">
      <c r="A544" s="1">
        <v>40968</v>
      </c>
      <c r="B544">
        <v>2512.11</v>
      </c>
      <c r="C544">
        <v>3452.45</v>
      </c>
      <c r="D544">
        <v>6856.08</v>
      </c>
      <c r="E544">
        <v>7005.63411</v>
      </c>
      <c r="F544">
        <v>8465.9</v>
      </c>
      <c r="G544">
        <v>16351.41</v>
      </c>
    </row>
    <row r="545" spans="1:7" x14ac:dyDescent="0.35">
      <c r="A545" s="1">
        <v>40969</v>
      </c>
      <c r="B545">
        <v>2548.66</v>
      </c>
      <c r="C545">
        <v>3499.73</v>
      </c>
      <c r="D545">
        <v>6941.77</v>
      </c>
      <c r="E545">
        <v>7103.0693799999999</v>
      </c>
      <c r="F545">
        <v>8547.7000000000007</v>
      </c>
      <c r="G545">
        <v>16830.599999999999</v>
      </c>
    </row>
    <row r="546" spans="1:7" x14ac:dyDescent="0.35">
      <c r="A546" s="1">
        <v>40970</v>
      </c>
      <c r="B546">
        <v>2546.16</v>
      </c>
      <c r="C546">
        <v>3501.17</v>
      </c>
      <c r="D546">
        <v>6921.37</v>
      </c>
      <c r="E546">
        <v>7096.3985899999998</v>
      </c>
      <c r="F546">
        <v>8563.4</v>
      </c>
      <c r="G546">
        <v>16902.509999999998</v>
      </c>
    </row>
    <row r="547" spans="1:7" x14ac:dyDescent="0.35">
      <c r="A547" s="1">
        <v>40973</v>
      </c>
      <c r="B547">
        <v>2529.86</v>
      </c>
      <c r="C547">
        <v>3487.54</v>
      </c>
      <c r="D547">
        <v>6866.46</v>
      </c>
      <c r="E547">
        <v>7046.8528100000003</v>
      </c>
      <c r="F547">
        <v>8453.5</v>
      </c>
      <c r="G547">
        <v>16787.150000000001</v>
      </c>
    </row>
    <row r="548" spans="1:7" x14ac:dyDescent="0.35">
      <c r="A548" s="1">
        <v>40974</v>
      </c>
      <c r="B548">
        <v>2443.52</v>
      </c>
      <c r="C548">
        <v>3362.56</v>
      </c>
      <c r="D548">
        <v>6633.11</v>
      </c>
      <c r="E548">
        <v>6907.9691499999999</v>
      </c>
      <c r="F548">
        <v>8166.6</v>
      </c>
      <c r="G548">
        <v>16218.06</v>
      </c>
    </row>
    <row r="549" spans="1:7" x14ac:dyDescent="0.35">
      <c r="A549" s="1">
        <v>40975</v>
      </c>
      <c r="B549">
        <v>2460.77</v>
      </c>
      <c r="C549">
        <v>3392.33</v>
      </c>
      <c r="D549">
        <v>6671.11</v>
      </c>
      <c r="E549">
        <v>6935.3269399999999</v>
      </c>
      <c r="F549">
        <v>8161.8</v>
      </c>
      <c r="G549">
        <v>16398.89</v>
      </c>
    </row>
    <row r="550" spans="1:7" x14ac:dyDescent="0.35">
      <c r="A550" s="1">
        <v>40976</v>
      </c>
      <c r="B550">
        <v>2514.2199999999998</v>
      </c>
      <c r="C550">
        <v>3478.36</v>
      </c>
      <c r="D550">
        <v>6834.54</v>
      </c>
      <c r="E550">
        <v>6989.43894</v>
      </c>
      <c r="F550">
        <v>8307.4</v>
      </c>
      <c r="G550">
        <v>16664.25</v>
      </c>
    </row>
    <row r="551" spans="1:7" x14ac:dyDescent="0.35">
      <c r="A551" s="1">
        <v>40977</v>
      </c>
      <c r="B551">
        <v>2515.9499999999998</v>
      </c>
      <c r="C551">
        <v>3487.48</v>
      </c>
      <c r="D551">
        <v>6880.21</v>
      </c>
      <c r="E551">
        <v>7036.4436800000003</v>
      </c>
      <c r="F551">
        <v>8282.7000000000007</v>
      </c>
      <c r="G551">
        <v>16479.2</v>
      </c>
    </row>
    <row r="552" spans="1:7" x14ac:dyDescent="0.35">
      <c r="A552" s="1">
        <v>40980</v>
      </c>
      <c r="B552">
        <v>2514.9699999999998</v>
      </c>
      <c r="C552">
        <v>3490.06</v>
      </c>
      <c r="D552">
        <v>6901.35</v>
      </c>
      <c r="E552">
        <v>7007.3886700000003</v>
      </c>
      <c r="F552">
        <v>8180.2</v>
      </c>
      <c r="G552">
        <v>16457.189999999999</v>
      </c>
    </row>
    <row r="553" spans="1:7" x14ac:dyDescent="0.35">
      <c r="A553" s="1">
        <v>40981</v>
      </c>
      <c r="B553">
        <v>2556.8200000000002</v>
      </c>
      <c r="C553">
        <v>3550.16</v>
      </c>
      <c r="D553">
        <v>6995.91</v>
      </c>
      <c r="E553">
        <v>7142.0042000000003</v>
      </c>
      <c r="F553">
        <v>8376.7999999999993</v>
      </c>
      <c r="G553">
        <v>16799.009999999998</v>
      </c>
    </row>
    <row r="554" spans="1:7" x14ac:dyDescent="0.35">
      <c r="A554" s="1">
        <v>40982</v>
      </c>
      <c r="B554">
        <v>2574.79</v>
      </c>
      <c r="C554">
        <v>3564.51</v>
      </c>
      <c r="D554">
        <v>7079.42</v>
      </c>
      <c r="E554">
        <v>7154.3371399999996</v>
      </c>
      <c r="F554">
        <v>8391.1</v>
      </c>
      <c r="G554">
        <v>16850.32</v>
      </c>
    </row>
    <row r="555" spans="1:7" x14ac:dyDescent="0.35">
      <c r="A555" s="1">
        <v>40983</v>
      </c>
      <c r="B555">
        <v>2593.9699999999998</v>
      </c>
      <c r="C555">
        <v>3580.21</v>
      </c>
      <c r="D555">
        <v>7144.45</v>
      </c>
      <c r="E555">
        <v>7130.5871299999999</v>
      </c>
      <c r="F555">
        <v>8426.7000000000007</v>
      </c>
      <c r="G555">
        <v>16993.310000000001</v>
      </c>
    </row>
    <row r="556" spans="1:7" x14ac:dyDescent="0.35">
      <c r="A556" s="1">
        <v>40984</v>
      </c>
      <c r="B556">
        <v>2608.3000000000002</v>
      </c>
      <c r="C556">
        <v>3594.83</v>
      </c>
      <c r="D556">
        <v>7157.82</v>
      </c>
      <c r="E556">
        <v>7169.2056400000001</v>
      </c>
      <c r="F556">
        <v>8486.2999999999993</v>
      </c>
      <c r="G556">
        <v>17081.689999999999</v>
      </c>
    </row>
    <row r="557" spans="1:7" x14ac:dyDescent="0.35">
      <c r="A557" s="1">
        <v>40987</v>
      </c>
      <c r="B557">
        <v>2608.42</v>
      </c>
      <c r="C557">
        <v>3577.88</v>
      </c>
      <c r="D557">
        <v>7154.22</v>
      </c>
      <c r="E557">
        <v>7159.0041000000001</v>
      </c>
      <c r="F557">
        <v>8591.7999999999993</v>
      </c>
      <c r="G557">
        <v>17133.419999999998</v>
      </c>
    </row>
    <row r="558" spans="1:7" x14ac:dyDescent="0.35">
      <c r="A558" s="1">
        <v>40988</v>
      </c>
      <c r="B558">
        <v>2576.61</v>
      </c>
      <c r="C558">
        <v>3530.83</v>
      </c>
      <c r="D558">
        <v>7054.94</v>
      </c>
      <c r="E558">
        <v>7063.3691200000003</v>
      </c>
      <c r="F558">
        <v>8567.5</v>
      </c>
      <c r="G558">
        <v>16953.62</v>
      </c>
    </row>
    <row r="559" spans="1:7" x14ac:dyDescent="0.35">
      <c r="A559" s="1">
        <v>40989</v>
      </c>
      <c r="B559">
        <v>2567.58</v>
      </c>
      <c r="C559">
        <v>3527.37</v>
      </c>
      <c r="D559">
        <v>7071.32</v>
      </c>
      <c r="E559">
        <v>7076.7685600000004</v>
      </c>
      <c r="F559">
        <v>8490.9</v>
      </c>
      <c r="G559">
        <v>16734.75</v>
      </c>
    </row>
    <row r="560" spans="1:7" x14ac:dyDescent="0.35">
      <c r="A560" s="1">
        <v>40990</v>
      </c>
      <c r="B560">
        <v>2530.2199999999998</v>
      </c>
      <c r="C560">
        <v>3472.46</v>
      </c>
      <c r="D560">
        <v>6981.26</v>
      </c>
      <c r="E560">
        <v>7012.7402499999998</v>
      </c>
      <c r="F560">
        <v>8353.6</v>
      </c>
      <c r="G560">
        <v>16450.68</v>
      </c>
    </row>
    <row r="561" spans="1:7" x14ac:dyDescent="0.35">
      <c r="A561" s="1">
        <v>40991</v>
      </c>
      <c r="B561">
        <v>2525.4299999999998</v>
      </c>
      <c r="C561">
        <v>3476.18</v>
      </c>
      <c r="D561">
        <v>6995.62</v>
      </c>
      <c r="E561">
        <v>7005.2966500000002</v>
      </c>
      <c r="F561">
        <v>8281.7999999999993</v>
      </c>
      <c r="G561">
        <v>16485.240000000002</v>
      </c>
    </row>
    <row r="562" spans="1:7" x14ac:dyDescent="0.35">
      <c r="A562" s="1">
        <v>40994</v>
      </c>
      <c r="B562">
        <v>2539.87</v>
      </c>
      <c r="C562">
        <v>3501.98</v>
      </c>
      <c r="D562">
        <v>7079.23</v>
      </c>
      <c r="E562">
        <v>7060.3874100000003</v>
      </c>
      <c r="F562">
        <v>8224.7000000000007</v>
      </c>
      <c r="G562">
        <v>16619.11</v>
      </c>
    </row>
    <row r="563" spans="1:7" x14ac:dyDescent="0.35">
      <c r="A563" s="1">
        <v>40995</v>
      </c>
      <c r="B563">
        <v>2525.21</v>
      </c>
      <c r="C563">
        <v>3469.59</v>
      </c>
      <c r="D563">
        <v>7078.9</v>
      </c>
      <c r="E563">
        <v>7026.0335400000004</v>
      </c>
      <c r="F563">
        <v>8140.3</v>
      </c>
      <c r="G563">
        <v>16498.73</v>
      </c>
    </row>
    <row r="564" spans="1:7" x14ac:dyDescent="0.35">
      <c r="A564" s="1">
        <v>40996</v>
      </c>
      <c r="B564">
        <v>2496.6799999999998</v>
      </c>
      <c r="C564">
        <v>3430.15</v>
      </c>
      <c r="D564">
        <v>6998.8</v>
      </c>
      <c r="E564">
        <v>6926.6072000000004</v>
      </c>
      <c r="F564">
        <v>7980.8</v>
      </c>
      <c r="G564">
        <v>16451.71</v>
      </c>
    </row>
    <row r="565" spans="1:7" x14ac:dyDescent="0.35">
      <c r="A565" s="1">
        <v>40997</v>
      </c>
      <c r="B565">
        <v>2452.7399999999998</v>
      </c>
      <c r="C565">
        <v>3381.12</v>
      </c>
      <c r="D565">
        <v>6875.15</v>
      </c>
      <c r="E565">
        <v>6886.62932</v>
      </c>
      <c r="F565">
        <v>7911</v>
      </c>
      <c r="G565">
        <v>15908.85</v>
      </c>
    </row>
    <row r="566" spans="1:7" x14ac:dyDescent="0.35">
      <c r="A566" s="1">
        <v>40998</v>
      </c>
      <c r="B566">
        <v>2477.2800000000002</v>
      </c>
      <c r="C566">
        <v>3423.81</v>
      </c>
      <c r="D566">
        <v>6946.83</v>
      </c>
      <c r="E566">
        <v>6918.9381899999998</v>
      </c>
      <c r="F566">
        <v>8008</v>
      </c>
      <c r="G566">
        <v>15980.07</v>
      </c>
    </row>
    <row r="567" spans="1:7" x14ac:dyDescent="0.35">
      <c r="A567" s="1">
        <v>41001</v>
      </c>
      <c r="B567">
        <v>2501.1799999999998</v>
      </c>
      <c r="C567">
        <v>3462.91</v>
      </c>
      <c r="D567">
        <v>7056.65</v>
      </c>
      <c r="E567">
        <v>7060.0936300000003</v>
      </c>
      <c r="F567">
        <v>8042.8</v>
      </c>
      <c r="G567">
        <v>15948.86</v>
      </c>
    </row>
    <row r="568" spans="1:7" x14ac:dyDescent="0.35">
      <c r="A568" s="1">
        <v>41002</v>
      </c>
      <c r="B568">
        <v>2458.98</v>
      </c>
      <c r="C568">
        <v>3406.78</v>
      </c>
      <c r="D568">
        <v>6982.28</v>
      </c>
      <c r="E568">
        <v>6993.74442</v>
      </c>
      <c r="F568">
        <v>7824.5</v>
      </c>
      <c r="G568">
        <v>15624.23</v>
      </c>
    </row>
    <row r="569" spans="1:7" x14ac:dyDescent="0.35">
      <c r="A569" s="1">
        <v>41003</v>
      </c>
      <c r="B569">
        <v>2398.46</v>
      </c>
      <c r="C569">
        <v>3313.47</v>
      </c>
      <c r="D569">
        <v>6784.06</v>
      </c>
      <c r="E569">
        <v>6894.8054099999999</v>
      </c>
      <c r="F569">
        <v>7660.7</v>
      </c>
      <c r="G569">
        <v>15245.92</v>
      </c>
    </row>
    <row r="570" spans="1:7" x14ac:dyDescent="0.35">
      <c r="A570" s="1">
        <v>41004</v>
      </c>
      <c r="B570">
        <v>2392.54</v>
      </c>
      <c r="C570">
        <v>3319.81</v>
      </c>
      <c r="D570">
        <v>6775.26</v>
      </c>
      <c r="E570">
        <v>6934.3031000000001</v>
      </c>
      <c r="F570">
        <v>7660.5</v>
      </c>
      <c r="G570">
        <v>15216.02</v>
      </c>
    </row>
    <row r="571" spans="1:7" x14ac:dyDescent="0.35">
      <c r="A571" s="1">
        <v>41009</v>
      </c>
      <c r="B571">
        <v>2321.5300000000002</v>
      </c>
      <c r="C571">
        <v>3217.6</v>
      </c>
      <c r="D571">
        <v>6606.43</v>
      </c>
      <c r="E571">
        <v>6776.6427899999999</v>
      </c>
      <c r="F571">
        <v>7433.6</v>
      </c>
      <c r="G571">
        <v>14458.88</v>
      </c>
    </row>
    <row r="572" spans="1:7" x14ac:dyDescent="0.35">
      <c r="A572" s="1">
        <v>41010</v>
      </c>
      <c r="B572">
        <v>2341.36</v>
      </c>
      <c r="C572">
        <v>3237.69</v>
      </c>
      <c r="D572">
        <v>6674.73</v>
      </c>
      <c r="E572">
        <v>6834.3610699999999</v>
      </c>
      <c r="F572">
        <v>7576.7</v>
      </c>
      <c r="G572">
        <v>14689.84</v>
      </c>
    </row>
    <row r="573" spans="1:7" x14ac:dyDescent="0.35">
      <c r="A573" s="1">
        <v>41011</v>
      </c>
      <c r="B573">
        <v>2352.2399999999998</v>
      </c>
      <c r="C573">
        <v>3269.79</v>
      </c>
      <c r="D573">
        <v>6743.24</v>
      </c>
      <c r="E573">
        <v>6915.6500500000002</v>
      </c>
      <c r="F573">
        <v>7520</v>
      </c>
      <c r="G573">
        <v>14869.91</v>
      </c>
    </row>
    <row r="574" spans="1:7" x14ac:dyDescent="0.35">
      <c r="A574" s="1">
        <v>41012</v>
      </c>
      <c r="B574">
        <v>2291.5100000000002</v>
      </c>
      <c r="C574">
        <v>3189.09</v>
      </c>
      <c r="D574">
        <v>6583.9</v>
      </c>
      <c r="E574">
        <v>6852.64419</v>
      </c>
      <c r="F574">
        <v>7250.6</v>
      </c>
      <c r="G574">
        <v>14359.5</v>
      </c>
    </row>
    <row r="575" spans="1:7" x14ac:dyDescent="0.35">
      <c r="A575" s="1">
        <v>41015</v>
      </c>
      <c r="B575">
        <v>2301.19</v>
      </c>
      <c r="C575">
        <v>3205.28</v>
      </c>
      <c r="D575">
        <v>6625.19</v>
      </c>
      <c r="E575">
        <v>6877.2677400000002</v>
      </c>
      <c r="F575">
        <v>7209.1</v>
      </c>
      <c r="G575">
        <v>14411.24</v>
      </c>
    </row>
    <row r="576" spans="1:7" x14ac:dyDescent="0.35">
      <c r="A576" s="1">
        <v>41016</v>
      </c>
      <c r="B576">
        <v>2367.0500000000002</v>
      </c>
      <c r="C576">
        <v>3292.51</v>
      </c>
      <c r="D576">
        <v>6801</v>
      </c>
      <c r="E576">
        <v>7000.84177</v>
      </c>
      <c r="F576">
        <v>7373.3</v>
      </c>
      <c r="G576">
        <v>14942.05</v>
      </c>
    </row>
    <row r="577" spans="1:7" x14ac:dyDescent="0.35">
      <c r="A577" s="1">
        <v>41017</v>
      </c>
      <c r="B577">
        <v>2327.84</v>
      </c>
      <c r="C577">
        <v>3240.29</v>
      </c>
      <c r="D577">
        <v>6732.03</v>
      </c>
      <c r="E577">
        <v>7017.34872</v>
      </c>
      <c r="F577">
        <v>7079.2</v>
      </c>
      <c r="G577">
        <v>14580.15</v>
      </c>
    </row>
    <row r="578" spans="1:7" x14ac:dyDescent="0.35">
      <c r="A578" s="1">
        <v>41018</v>
      </c>
      <c r="B578">
        <v>2284.67</v>
      </c>
      <c r="C578">
        <v>3174.02</v>
      </c>
      <c r="D578">
        <v>6671.22</v>
      </c>
      <c r="E578">
        <v>7026.6124</v>
      </c>
      <c r="F578">
        <v>6908.1</v>
      </c>
      <c r="G578">
        <v>14287.27</v>
      </c>
    </row>
    <row r="579" spans="1:7" x14ac:dyDescent="0.35">
      <c r="A579" s="1">
        <v>41019</v>
      </c>
      <c r="B579">
        <v>2311.27</v>
      </c>
      <c r="C579">
        <v>3188.58</v>
      </c>
      <c r="D579">
        <v>6750.12</v>
      </c>
      <c r="E579">
        <v>7044.3647099999998</v>
      </c>
      <c r="F579">
        <v>7040.6</v>
      </c>
      <c r="G579">
        <v>14401.78</v>
      </c>
    </row>
    <row r="580" spans="1:7" x14ac:dyDescent="0.35">
      <c r="A580" s="1">
        <v>41022</v>
      </c>
      <c r="B580">
        <v>2244.83</v>
      </c>
      <c r="C580">
        <v>3098.37</v>
      </c>
      <c r="D580">
        <v>6523</v>
      </c>
      <c r="E580">
        <v>6952.5721999999996</v>
      </c>
      <c r="F580">
        <v>6846.6</v>
      </c>
      <c r="G580">
        <v>13849.55</v>
      </c>
    </row>
    <row r="581" spans="1:7" x14ac:dyDescent="0.35">
      <c r="A581" s="1">
        <v>41023</v>
      </c>
      <c r="B581">
        <v>2284.08</v>
      </c>
      <c r="C581">
        <v>3169.32</v>
      </c>
      <c r="D581">
        <v>6590.41</v>
      </c>
      <c r="E581">
        <v>6978.7462299999997</v>
      </c>
      <c r="F581">
        <v>6999.9</v>
      </c>
      <c r="G581">
        <v>14192.77</v>
      </c>
    </row>
    <row r="582" spans="1:7" x14ac:dyDescent="0.35">
      <c r="A582" s="1">
        <v>41024</v>
      </c>
      <c r="B582">
        <v>2322.91</v>
      </c>
      <c r="C582">
        <v>3233.46</v>
      </c>
      <c r="D582">
        <v>6704.5</v>
      </c>
      <c r="E582">
        <v>6995.5788000000002</v>
      </c>
      <c r="F582">
        <v>7118.9</v>
      </c>
      <c r="G582">
        <v>14606.43</v>
      </c>
    </row>
    <row r="583" spans="1:7" x14ac:dyDescent="0.35">
      <c r="A583" s="1">
        <v>41025</v>
      </c>
      <c r="B583">
        <v>2322.69</v>
      </c>
      <c r="C583">
        <v>3229.32</v>
      </c>
      <c r="D583">
        <v>6739.9</v>
      </c>
      <c r="E583">
        <v>7030.0742899999996</v>
      </c>
      <c r="F583">
        <v>7027.1</v>
      </c>
      <c r="G583">
        <v>14509.96</v>
      </c>
    </row>
    <row r="584" spans="1:7" x14ac:dyDescent="0.35">
      <c r="A584" s="1">
        <v>41026</v>
      </c>
      <c r="B584">
        <v>2344.02</v>
      </c>
      <c r="C584">
        <v>3266.27</v>
      </c>
      <c r="D584">
        <v>6801.32</v>
      </c>
      <c r="E584">
        <v>7084.9786700000004</v>
      </c>
      <c r="F584">
        <v>7145.8</v>
      </c>
      <c r="G584">
        <v>14778.9</v>
      </c>
    </row>
    <row r="585" spans="1:7" x14ac:dyDescent="0.35">
      <c r="A585" s="1">
        <v>41029</v>
      </c>
      <c r="B585">
        <v>2306.4299999999998</v>
      </c>
      <c r="C585">
        <v>3212.8</v>
      </c>
      <c r="D585">
        <v>6761.19</v>
      </c>
      <c r="E585">
        <v>7041.1308900000004</v>
      </c>
      <c r="F585">
        <v>7011</v>
      </c>
      <c r="G585">
        <v>14592.34</v>
      </c>
    </row>
    <row r="586" spans="1:7" x14ac:dyDescent="0.35">
      <c r="A586" s="1">
        <v>41031</v>
      </c>
      <c r="B586">
        <v>2290.31</v>
      </c>
      <c r="C586">
        <v>3226.33</v>
      </c>
      <c r="D586">
        <v>6710.77</v>
      </c>
      <c r="E586">
        <v>7082.2960000000003</v>
      </c>
      <c r="F586">
        <v>6831.9</v>
      </c>
      <c r="G586">
        <v>14213.17</v>
      </c>
    </row>
    <row r="587" spans="1:7" x14ac:dyDescent="0.35">
      <c r="A587" s="1">
        <v>41032</v>
      </c>
      <c r="B587">
        <v>2287.1</v>
      </c>
      <c r="C587">
        <v>3223.36</v>
      </c>
      <c r="D587">
        <v>6694.44</v>
      </c>
      <c r="E587">
        <v>7099.2832799999996</v>
      </c>
      <c r="F587">
        <v>6851.9</v>
      </c>
      <c r="G587">
        <v>14118.13</v>
      </c>
    </row>
    <row r="588" spans="1:7" x14ac:dyDescent="0.35">
      <c r="A588" s="1">
        <v>41033</v>
      </c>
      <c r="B588">
        <v>2248.34</v>
      </c>
      <c r="C588">
        <v>3161.97</v>
      </c>
      <c r="D588">
        <v>6561.47</v>
      </c>
      <c r="E588">
        <v>6978.0882499999998</v>
      </c>
      <c r="F588">
        <v>6876</v>
      </c>
      <c r="G588">
        <v>13918.57</v>
      </c>
    </row>
    <row r="589" spans="1:7" x14ac:dyDescent="0.35">
      <c r="A589" s="1">
        <v>41037</v>
      </c>
      <c r="B589">
        <v>2236.11</v>
      </c>
      <c r="C589">
        <v>3124.8</v>
      </c>
      <c r="D589">
        <v>6444.74</v>
      </c>
      <c r="E589">
        <v>6897.7178899999999</v>
      </c>
      <c r="F589">
        <v>7006.9</v>
      </c>
      <c r="G589">
        <v>13936.7</v>
      </c>
    </row>
    <row r="590" spans="1:7" x14ac:dyDescent="0.35">
      <c r="A590" s="1">
        <v>41038</v>
      </c>
      <c r="B590">
        <v>2225.63</v>
      </c>
      <c r="C590">
        <v>3118.65</v>
      </c>
      <c r="D590">
        <v>6475.31</v>
      </c>
      <c r="E590">
        <v>6887.90337</v>
      </c>
      <c r="F590">
        <v>6812.7</v>
      </c>
      <c r="G590">
        <v>13771.82</v>
      </c>
    </row>
    <row r="591" spans="1:7" x14ac:dyDescent="0.35">
      <c r="A591" s="1">
        <v>41039</v>
      </c>
      <c r="B591">
        <v>2247.38</v>
      </c>
      <c r="C591">
        <v>3130.17</v>
      </c>
      <c r="D591">
        <v>6518</v>
      </c>
      <c r="E591">
        <v>6911.2267199999997</v>
      </c>
      <c r="F591">
        <v>7045.7</v>
      </c>
      <c r="G591">
        <v>14004.94</v>
      </c>
    </row>
    <row r="592" spans="1:7" x14ac:dyDescent="0.35">
      <c r="A592" s="1">
        <v>41040</v>
      </c>
      <c r="B592">
        <v>2254.54</v>
      </c>
      <c r="C592">
        <v>3129.77</v>
      </c>
      <c r="D592">
        <v>6579.93</v>
      </c>
      <c r="E592">
        <v>6929.5502399999996</v>
      </c>
      <c r="F592">
        <v>6995.6</v>
      </c>
      <c r="G592">
        <v>14045.35</v>
      </c>
    </row>
    <row r="593" spans="1:7" x14ac:dyDescent="0.35">
      <c r="A593" s="1">
        <v>41043</v>
      </c>
      <c r="B593">
        <v>2201.9499999999998</v>
      </c>
      <c r="C593">
        <v>3057.99</v>
      </c>
      <c r="D593">
        <v>6451.97</v>
      </c>
      <c r="E593">
        <v>6852.9605000000001</v>
      </c>
      <c r="F593">
        <v>6809.4</v>
      </c>
      <c r="G593">
        <v>13660.87</v>
      </c>
    </row>
    <row r="594" spans="1:7" x14ac:dyDescent="0.35">
      <c r="A594" s="1">
        <v>41044</v>
      </c>
      <c r="B594">
        <v>2178.67</v>
      </c>
      <c r="C594">
        <v>3039.27</v>
      </c>
      <c r="D594">
        <v>6401.06</v>
      </c>
      <c r="E594">
        <v>6822.04342</v>
      </c>
      <c r="F594">
        <v>6700.7</v>
      </c>
      <c r="G594">
        <v>13311.36</v>
      </c>
    </row>
    <row r="595" spans="1:7" x14ac:dyDescent="0.35">
      <c r="A595" s="1">
        <v>41045</v>
      </c>
      <c r="B595">
        <v>2175.34</v>
      </c>
      <c r="C595">
        <v>3048.67</v>
      </c>
      <c r="D595">
        <v>6384.26</v>
      </c>
      <c r="E595">
        <v>6762.50047</v>
      </c>
      <c r="F595">
        <v>6611.5</v>
      </c>
      <c r="G595">
        <v>13283.55</v>
      </c>
    </row>
    <row r="596" spans="1:7" x14ac:dyDescent="0.35">
      <c r="A596" s="1">
        <v>41046</v>
      </c>
      <c r="B596">
        <v>2146.91</v>
      </c>
      <c r="C596">
        <v>3011.99</v>
      </c>
      <c r="D596">
        <v>6308.96</v>
      </c>
      <c r="E596">
        <v>6644.9500799999996</v>
      </c>
      <c r="F596">
        <v>6537.9</v>
      </c>
      <c r="G596">
        <v>13089.26</v>
      </c>
    </row>
    <row r="597" spans="1:7" x14ac:dyDescent="0.35">
      <c r="A597" s="1">
        <v>41047</v>
      </c>
      <c r="B597">
        <v>2144.69</v>
      </c>
      <c r="C597">
        <v>3008</v>
      </c>
      <c r="D597">
        <v>6271.22</v>
      </c>
      <c r="E597">
        <v>6537.4594299999999</v>
      </c>
      <c r="F597">
        <v>6566.7</v>
      </c>
      <c r="G597">
        <v>13048.9</v>
      </c>
    </row>
    <row r="598" spans="1:7" x14ac:dyDescent="0.35">
      <c r="A598" s="1">
        <v>41050</v>
      </c>
      <c r="B598">
        <v>2150.16</v>
      </c>
      <c r="C598">
        <v>3027.15</v>
      </c>
      <c r="D598">
        <v>6331.04</v>
      </c>
      <c r="E598">
        <v>6558.18318</v>
      </c>
      <c r="F598">
        <v>6524</v>
      </c>
      <c r="G598">
        <v>13012.04</v>
      </c>
    </row>
    <row r="599" spans="1:7" x14ac:dyDescent="0.35">
      <c r="A599" s="1">
        <v>41051</v>
      </c>
      <c r="B599">
        <v>2192.85</v>
      </c>
      <c r="C599">
        <v>3084.09</v>
      </c>
      <c r="D599">
        <v>6435.6</v>
      </c>
      <c r="E599">
        <v>6695.9774100000004</v>
      </c>
      <c r="F599">
        <v>6661.3</v>
      </c>
      <c r="G599">
        <v>13456.03</v>
      </c>
    </row>
    <row r="600" spans="1:7" x14ac:dyDescent="0.35">
      <c r="A600" s="1">
        <v>41052</v>
      </c>
      <c r="B600">
        <v>2134.0500000000002</v>
      </c>
      <c r="C600">
        <v>3003.27</v>
      </c>
      <c r="D600">
        <v>6285.75</v>
      </c>
      <c r="E600">
        <v>6578.4002</v>
      </c>
      <c r="F600">
        <v>6440.5</v>
      </c>
      <c r="G600">
        <v>12960.87</v>
      </c>
    </row>
    <row r="601" spans="1:7" x14ac:dyDescent="0.35">
      <c r="A601" s="1">
        <v>41053</v>
      </c>
      <c r="B601">
        <v>2156.52</v>
      </c>
      <c r="C601">
        <v>3038.25</v>
      </c>
      <c r="D601">
        <v>6315.89</v>
      </c>
      <c r="E601">
        <v>6681.9117900000001</v>
      </c>
      <c r="F601">
        <v>6534.4</v>
      </c>
      <c r="G601">
        <v>13107.8</v>
      </c>
    </row>
    <row r="602" spans="1:7" x14ac:dyDescent="0.35">
      <c r="A602" s="1">
        <v>41054</v>
      </c>
      <c r="B602">
        <v>2161.87</v>
      </c>
      <c r="C602">
        <v>3047.94</v>
      </c>
      <c r="D602">
        <v>6339.94</v>
      </c>
      <c r="E602">
        <v>6689.9470099999999</v>
      </c>
      <c r="F602">
        <v>6543</v>
      </c>
      <c r="G602">
        <v>13154.8</v>
      </c>
    </row>
    <row r="603" spans="1:7" x14ac:dyDescent="0.35">
      <c r="A603" s="1">
        <v>41057</v>
      </c>
      <c r="B603">
        <v>2147.92</v>
      </c>
      <c r="C603">
        <v>3042.97</v>
      </c>
      <c r="D603">
        <v>6323.19</v>
      </c>
      <c r="E603">
        <v>6701.0886700000001</v>
      </c>
      <c r="F603">
        <v>6401.2</v>
      </c>
      <c r="G603">
        <v>13057.26</v>
      </c>
    </row>
    <row r="604" spans="1:7" x14ac:dyDescent="0.35">
      <c r="A604" s="1">
        <v>41058</v>
      </c>
      <c r="B604">
        <v>2160.31</v>
      </c>
      <c r="C604">
        <v>3084.7</v>
      </c>
      <c r="D604">
        <v>6396.84</v>
      </c>
      <c r="E604">
        <v>6750.3707000000004</v>
      </c>
      <c r="F604">
        <v>6251.7</v>
      </c>
      <c r="G604">
        <v>13107.13</v>
      </c>
    </row>
    <row r="605" spans="1:7" x14ac:dyDescent="0.35">
      <c r="A605" s="1">
        <v>41059</v>
      </c>
      <c r="B605">
        <v>2116.1799999999998</v>
      </c>
      <c r="C605">
        <v>3015.58</v>
      </c>
      <c r="D605">
        <v>6280.8</v>
      </c>
      <c r="E605">
        <v>6628.6453899999997</v>
      </c>
      <c r="F605">
        <v>6090.4</v>
      </c>
      <c r="G605">
        <v>12872.58</v>
      </c>
    </row>
    <row r="606" spans="1:7" x14ac:dyDescent="0.35">
      <c r="A606" s="1">
        <v>41060</v>
      </c>
      <c r="B606">
        <v>2118.94</v>
      </c>
      <c r="C606">
        <v>3017.01</v>
      </c>
      <c r="D606">
        <v>6264.38</v>
      </c>
      <c r="E606">
        <v>6634.2913099999996</v>
      </c>
      <c r="F606">
        <v>6089.8</v>
      </c>
      <c r="G606">
        <v>12873.84</v>
      </c>
    </row>
    <row r="607" spans="1:7" x14ac:dyDescent="0.35">
      <c r="A607" s="1">
        <v>41061</v>
      </c>
      <c r="B607">
        <v>2068.66</v>
      </c>
      <c r="C607">
        <v>2950.47</v>
      </c>
      <c r="D607">
        <v>6050.29</v>
      </c>
      <c r="E607">
        <v>6522.9924000000001</v>
      </c>
      <c r="F607">
        <v>6065</v>
      </c>
      <c r="G607">
        <v>12739.98</v>
      </c>
    </row>
    <row r="608" spans="1:7" x14ac:dyDescent="0.35">
      <c r="A608" s="1">
        <v>41066</v>
      </c>
      <c r="B608">
        <v>2137.73</v>
      </c>
      <c r="C608">
        <v>3058.44</v>
      </c>
      <c r="D608">
        <v>6093.99</v>
      </c>
      <c r="E608">
        <v>6635.5007999999998</v>
      </c>
      <c r="F608">
        <v>6418.9</v>
      </c>
      <c r="G608">
        <v>13427.15</v>
      </c>
    </row>
    <row r="609" spans="1:7" x14ac:dyDescent="0.35">
      <c r="A609" s="1">
        <v>41067</v>
      </c>
      <c r="B609">
        <v>2143.08</v>
      </c>
      <c r="C609">
        <v>3071.16</v>
      </c>
      <c r="D609">
        <v>6144.22</v>
      </c>
      <c r="E609">
        <v>6740.1552700000002</v>
      </c>
      <c r="F609">
        <v>6438.1</v>
      </c>
      <c r="G609">
        <v>13545.32</v>
      </c>
    </row>
    <row r="610" spans="1:7" x14ac:dyDescent="0.35">
      <c r="A610" s="1">
        <v>41068</v>
      </c>
      <c r="B610">
        <v>2143.9</v>
      </c>
      <c r="C610">
        <v>3051.69</v>
      </c>
      <c r="D610">
        <v>6130.82</v>
      </c>
      <c r="E610">
        <v>6716.4049000000005</v>
      </c>
      <c r="F610">
        <v>6552</v>
      </c>
      <c r="G610">
        <v>13445.46</v>
      </c>
    </row>
    <row r="611" spans="1:7" x14ac:dyDescent="0.35">
      <c r="A611" s="1">
        <v>41071</v>
      </c>
      <c r="B611">
        <v>2137.6999999999998</v>
      </c>
      <c r="C611">
        <v>3042.76</v>
      </c>
      <c r="D611">
        <v>6141.05</v>
      </c>
      <c r="E611">
        <v>6735.6866799999998</v>
      </c>
      <c r="F611">
        <v>6516.4</v>
      </c>
      <c r="G611">
        <v>13070.75</v>
      </c>
    </row>
    <row r="612" spans="1:7" x14ac:dyDescent="0.35">
      <c r="A612" s="1">
        <v>41072</v>
      </c>
      <c r="B612">
        <v>2143.38</v>
      </c>
      <c r="C612">
        <v>3046.91</v>
      </c>
      <c r="D612">
        <v>6161.24</v>
      </c>
      <c r="E612">
        <v>6823.2131099999997</v>
      </c>
      <c r="F612">
        <v>6522.5</v>
      </c>
      <c r="G612">
        <v>12979.69</v>
      </c>
    </row>
    <row r="613" spans="1:7" x14ac:dyDescent="0.35">
      <c r="A613" s="1">
        <v>41073</v>
      </c>
      <c r="B613">
        <v>2143.5</v>
      </c>
      <c r="C613">
        <v>3030.04</v>
      </c>
      <c r="D613">
        <v>6152.49</v>
      </c>
      <c r="E613">
        <v>6778.8103600000004</v>
      </c>
      <c r="F613">
        <v>6615.3</v>
      </c>
      <c r="G613">
        <v>12894.8</v>
      </c>
    </row>
    <row r="614" spans="1:7" x14ac:dyDescent="0.35">
      <c r="A614" s="1">
        <v>41074</v>
      </c>
      <c r="B614">
        <v>2148.21</v>
      </c>
      <c r="C614">
        <v>3032.45</v>
      </c>
      <c r="D614">
        <v>6138.61</v>
      </c>
      <c r="E614">
        <v>6738.6588400000001</v>
      </c>
      <c r="F614">
        <v>6696</v>
      </c>
      <c r="G614">
        <v>13084.62</v>
      </c>
    </row>
    <row r="615" spans="1:7" x14ac:dyDescent="0.35">
      <c r="A615" s="1">
        <v>41075</v>
      </c>
      <c r="B615">
        <v>2181.23</v>
      </c>
      <c r="C615">
        <v>3087.62</v>
      </c>
      <c r="D615">
        <v>6229.41</v>
      </c>
      <c r="E615">
        <v>6785.4155499999997</v>
      </c>
      <c r="F615">
        <v>6719</v>
      </c>
      <c r="G615">
        <v>13390.69</v>
      </c>
    </row>
    <row r="616" spans="1:7" x14ac:dyDescent="0.35">
      <c r="A616" s="1">
        <v>41078</v>
      </c>
      <c r="B616">
        <v>2155.64</v>
      </c>
      <c r="C616">
        <v>3066.19</v>
      </c>
      <c r="D616">
        <v>6248.2</v>
      </c>
      <c r="E616">
        <v>6842.1175599999997</v>
      </c>
      <c r="F616">
        <v>6519.9</v>
      </c>
      <c r="G616">
        <v>13009.63</v>
      </c>
    </row>
    <row r="617" spans="1:7" x14ac:dyDescent="0.35">
      <c r="A617" s="1">
        <v>41079</v>
      </c>
      <c r="B617">
        <v>2198.0100000000002</v>
      </c>
      <c r="C617">
        <v>3117.92</v>
      </c>
      <c r="D617">
        <v>6363.36</v>
      </c>
      <c r="E617">
        <v>6923.9081800000004</v>
      </c>
      <c r="F617">
        <v>6693.9</v>
      </c>
      <c r="G617">
        <v>13445.46</v>
      </c>
    </row>
    <row r="618" spans="1:7" x14ac:dyDescent="0.35">
      <c r="A618" s="1">
        <v>41080</v>
      </c>
      <c r="B618">
        <v>2207.4899999999998</v>
      </c>
      <c r="C618">
        <v>3126.52</v>
      </c>
      <c r="D618">
        <v>6392.13</v>
      </c>
      <c r="E618">
        <v>6959.20075</v>
      </c>
      <c r="F618">
        <v>6796.1</v>
      </c>
      <c r="G618">
        <v>13732.16</v>
      </c>
    </row>
    <row r="619" spans="1:7" x14ac:dyDescent="0.35">
      <c r="A619" s="1">
        <v>41081</v>
      </c>
      <c r="B619">
        <v>2199.42</v>
      </c>
      <c r="C619">
        <v>3114.22</v>
      </c>
      <c r="D619">
        <v>6343.13</v>
      </c>
      <c r="E619">
        <v>6914.7604300000003</v>
      </c>
      <c r="F619">
        <v>6773.5</v>
      </c>
      <c r="G619">
        <v>13751.63</v>
      </c>
    </row>
    <row r="620" spans="1:7" x14ac:dyDescent="0.35">
      <c r="A620" s="1">
        <v>41082</v>
      </c>
      <c r="B620">
        <v>2186.81</v>
      </c>
      <c r="C620">
        <v>3090.9</v>
      </c>
      <c r="D620">
        <v>6263.25</v>
      </c>
      <c r="E620">
        <v>6842.29529</v>
      </c>
      <c r="F620">
        <v>6876.3</v>
      </c>
      <c r="G620">
        <v>13662.8</v>
      </c>
    </row>
    <row r="621" spans="1:7" x14ac:dyDescent="0.35">
      <c r="A621" s="1">
        <v>41085</v>
      </c>
      <c r="B621">
        <v>2130.71</v>
      </c>
      <c r="C621">
        <v>3021.64</v>
      </c>
      <c r="D621">
        <v>6132.39</v>
      </c>
      <c r="E621">
        <v>6790.4161100000001</v>
      </c>
      <c r="F621">
        <v>6624</v>
      </c>
      <c r="G621">
        <v>13113.78</v>
      </c>
    </row>
    <row r="622" spans="1:7" x14ac:dyDescent="0.35">
      <c r="A622" s="1">
        <v>41086</v>
      </c>
      <c r="B622">
        <v>2127.9499999999998</v>
      </c>
      <c r="C622">
        <v>3012.71</v>
      </c>
      <c r="D622">
        <v>6136.69</v>
      </c>
      <c r="E622">
        <v>6814.0401599999996</v>
      </c>
      <c r="F622">
        <v>6528.4</v>
      </c>
      <c r="G622">
        <v>12968.18</v>
      </c>
    </row>
    <row r="623" spans="1:7" x14ac:dyDescent="0.35">
      <c r="A623" s="1">
        <v>41087</v>
      </c>
      <c r="B623">
        <v>2165.61</v>
      </c>
      <c r="C623">
        <v>3063.12</v>
      </c>
      <c r="D623">
        <v>6228.99</v>
      </c>
      <c r="E623">
        <v>6893.9407199999996</v>
      </c>
      <c r="F623">
        <v>6666.9</v>
      </c>
      <c r="G623">
        <v>13302.77</v>
      </c>
    </row>
    <row r="624" spans="1:7" x14ac:dyDescent="0.35">
      <c r="A624" s="1">
        <v>41088</v>
      </c>
      <c r="B624">
        <v>2157.62</v>
      </c>
      <c r="C624">
        <v>3051.68</v>
      </c>
      <c r="D624">
        <v>6149.91</v>
      </c>
      <c r="E624">
        <v>6850.74107</v>
      </c>
      <c r="F624">
        <v>6721.7</v>
      </c>
      <c r="G624">
        <v>13391.3</v>
      </c>
    </row>
    <row r="625" spans="1:7" x14ac:dyDescent="0.35">
      <c r="A625" s="1">
        <v>41089</v>
      </c>
      <c r="B625">
        <v>2264.7199999999998</v>
      </c>
      <c r="C625">
        <v>3196.65</v>
      </c>
      <c r="D625">
        <v>6416.28</v>
      </c>
      <c r="E625">
        <v>6905.9184500000001</v>
      </c>
      <c r="F625">
        <v>7102.2</v>
      </c>
      <c r="G625">
        <v>14274.37</v>
      </c>
    </row>
    <row r="626" spans="1:7" x14ac:dyDescent="0.35">
      <c r="A626" s="1">
        <v>41092</v>
      </c>
      <c r="B626">
        <v>2292.08</v>
      </c>
      <c r="C626">
        <v>3240.2</v>
      </c>
      <c r="D626">
        <v>6496.08</v>
      </c>
      <c r="E626">
        <v>7024.8186500000002</v>
      </c>
      <c r="F626">
        <v>7124</v>
      </c>
      <c r="G626">
        <v>14308.79</v>
      </c>
    </row>
    <row r="627" spans="1:7" x14ac:dyDescent="0.35">
      <c r="A627" s="1">
        <v>41093</v>
      </c>
      <c r="B627">
        <v>2320.4299999999998</v>
      </c>
      <c r="C627">
        <v>3271.2</v>
      </c>
      <c r="D627">
        <v>6578.21</v>
      </c>
      <c r="E627">
        <v>7078.54504</v>
      </c>
      <c r="F627">
        <v>7219.5</v>
      </c>
      <c r="G627">
        <v>14494.41</v>
      </c>
    </row>
    <row r="628" spans="1:7" x14ac:dyDescent="0.35">
      <c r="A628" s="1">
        <v>41094</v>
      </c>
      <c r="B628">
        <v>2312.41</v>
      </c>
      <c r="C628">
        <v>3267.75</v>
      </c>
      <c r="D628">
        <v>6564.8</v>
      </c>
      <c r="E628">
        <v>7072.1641</v>
      </c>
      <c r="F628">
        <v>7168.5</v>
      </c>
      <c r="G628">
        <v>14381.2</v>
      </c>
    </row>
    <row r="629" spans="1:7" x14ac:dyDescent="0.35">
      <c r="A629" s="1">
        <v>41095</v>
      </c>
      <c r="B629">
        <v>2284.92</v>
      </c>
      <c r="C629">
        <v>3229.36</v>
      </c>
      <c r="D629">
        <v>6535.56</v>
      </c>
      <c r="E629">
        <v>7133.5870199999999</v>
      </c>
      <c r="F629">
        <v>6954.2</v>
      </c>
      <c r="G629">
        <v>14088.74</v>
      </c>
    </row>
    <row r="630" spans="1:7" x14ac:dyDescent="0.35">
      <c r="A630" s="1">
        <v>41096</v>
      </c>
      <c r="B630">
        <v>2235.5100000000002</v>
      </c>
      <c r="C630">
        <v>3168.79</v>
      </c>
      <c r="D630">
        <v>6410.11</v>
      </c>
      <c r="E630">
        <v>7136.1494199999997</v>
      </c>
      <c r="F630">
        <v>6738.9</v>
      </c>
      <c r="G630">
        <v>13732.07</v>
      </c>
    </row>
    <row r="631" spans="1:7" x14ac:dyDescent="0.35">
      <c r="A631" s="1">
        <v>41099</v>
      </c>
      <c r="B631">
        <v>2227.91</v>
      </c>
      <c r="C631">
        <v>3156.8</v>
      </c>
      <c r="D631">
        <v>6387.57</v>
      </c>
      <c r="E631">
        <v>7091.6518800000003</v>
      </c>
      <c r="F631">
        <v>6688.3</v>
      </c>
      <c r="G631">
        <v>13812.65</v>
      </c>
    </row>
    <row r="632" spans="1:7" x14ac:dyDescent="0.35">
      <c r="A632" s="1">
        <v>41100</v>
      </c>
      <c r="B632">
        <v>2241.85</v>
      </c>
      <c r="C632">
        <v>3175.41</v>
      </c>
      <c r="D632">
        <v>6438.33</v>
      </c>
      <c r="E632">
        <v>7166.9710800000003</v>
      </c>
      <c r="F632">
        <v>6726.9</v>
      </c>
      <c r="G632">
        <v>13868.27</v>
      </c>
    </row>
    <row r="633" spans="1:7" x14ac:dyDescent="0.35">
      <c r="A633" s="1">
        <v>41101</v>
      </c>
      <c r="B633">
        <v>2246.23</v>
      </c>
      <c r="C633">
        <v>3157.25</v>
      </c>
      <c r="D633">
        <v>6453.85</v>
      </c>
      <c r="E633">
        <v>7179.2915700000003</v>
      </c>
      <c r="F633">
        <v>6805.9</v>
      </c>
      <c r="G633">
        <v>13861.42</v>
      </c>
    </row>
    <row r="634" spans="1:7" x14ac:dyDescent="0.35">
      <c r="A634" s="1">
        <v>41102</v>
      </c>
      <c r="B634">
        <v>2228.0100000000002</v>
      </c>
      <c r="C634">
        <v>3135.18</v>
      </c>
      <c r="D634">
        <v>6419.35</v>
      </c>
      <c r="E634">
        <v>7090.5420199999999</v>
      </c>
      <c r="F634">
        <v>6630.1</v>
      </c>
      <c r="G634">
        <v>13583.82</v>
      </c>
    </row>
    <row r="635" spans="1:7" x14ac:dyDescent="0.35">
      <c r="A635" s="1">
        <v>41103</v>
      </c>
      <c r="B635">
        <v>2259.09</v>
      </c>
      <c r="C635">
        <v>3180.81</v>
      </c>
      <c r="D635">
        <v>6557.1</v>
      </c>
      <c r="E635">
        <v>7203.1001900000001</v>
      </c>
      <c r="F635">
        <v>6664.6</v>
      </c>
      <c r="G635">
        <v>13714.68</v>
      </c>
    </row>
    <row r="636" spans="1:7" x14ac:dyDescent="0.35">
      <c r="A636" s="1">
        <v>41106</v>
      </c>
      <c r="B636">
        <v>2251.96</v>
      </c>
      <c r="C636">
        <v>3179.9</v>
      </c>
      <c r="D636">
        <v>6565.72</v>
      </c>
      <c r="E636">
        <v>7216.00756</v>
      </c>
      <c r="F636">
        <v>6532.1</v>
      </c>
      <c r="G636">
        <v>13664.81</v>
      </c>
    </row>
    <row r="637" spans="1:7" x14ac:dyDescent="0.35">
      <c r="A637" s="1">
        <v>41107</v>
      </c>
      <c r="B637">
        <v>2250.75</v>
      </c>
      <c r="C637">
        <v>3176.97</v>
      </c>
      <c r="D637">
        <v>6577.64</v>
      </c>
      <c r="E637">
        <v>7179.2158900000004</v>
      </c>
      <c r="F637">
        <v>6558.2</v>
      </c>
      <c r="G637">
        <v>13536.73</v>
      </c>
    </row>
    <row r="638" spans="1:7" x14ac:dyDescent="0.35">
      <c r="A638" s="1">
        <v>41108</v>
      </c>
      <c r="B638">
        <v>2284.6999999999998</v>
      </c>
      <c r="C638">
        <v>3235.4</v>
      </c>
      <c r="D638">
        <v>6684.42</v>
      </c>
      <c r="E638">
        <v>7254.84969</v>
      </c>
      <c r="F638">
        <v>6591.2</v>
      </c>
      <c r="G638">
        <v>13594.39</v>
      </c>
    </row>
    <row r="639" spans="1:7" x14ac:dyDescent="0.35">
      <c r="A639" s="1">
        <v>41109</v>
      </c>
      <c r="B639">
        <v>2302.4499999999998</v>
      </c>
      <c r="C639">
        <v>3263.64</v>
      </c>
      <c r="D639">
        <v>6758.39</v>
      </c>
      <c r="E639">
        <v>7315.9688100000003</v>
      </c>
      <c r="F639">
        <v>6632.6</v>
      </c>
      <c r="G639">
        <v>13666.49</v>
      </c>
    </row>
    <row r="640" spans="1:7" x14ac:dyDescent="0.35">
      <c r="A640" s="1">
        <v>41110</v>
      </c>
      <c r="B640">
        <v>2237.33</v>
      </c>
      <c r="C640">
        <v>3193.89</v>
      </c>
      <c r="D640">
        <v>6630.02</v>
      </c>
      <c r="E640">
        <v>7256.3471099999997</v>
      </c>
      <c r="F640">
        <v>6246.3</v>
      </c>
      <c r="G640">
        <v>13067.22</v>
      </c>
    </row>
    <row r="641" spans="1:7" x14ac:dyDescent="0.35">
      <c r="A641" s="1">
        <v>41113</v>
      </c>
      <c r="B641">
        <v>2179.31</v>
      </c>
      <c r="C641">
        <v>3101.53</v>
      </c>
      <c r="D641">
        <v>6419.33</v>
      </c>
      <c r="E641">
        <v>7078.4285200000004</v>
      </c>
      <c r="F641">
        <v>6177.4</v>
      </c>
      <c r="G641">
        <v>12706.36</v>
      </c>
    </row>
    <row r="642" spans="1:7" x14ac:dyDescent="0.35">
      <c r="A642" s="1">
        <v>41114</v>
      </c>
      <c r="B642">
        <v>2151.54</v>
      </c>
      <c r="C642">
        <v>3074.68</v>
      </c>
      <c r="D642">
        <v>6390.41</v>
      </c>
      <c r="E642">
        <v>7073.30645</v>
      </c>
      <c r="F642">
        <v>5956.3</v>
      </c>
      <c r="G642">
        <v>12362.51</v>
      </c>
    </row>
    <row r="643" spans="1:7" x14ac:dyDescent="0.35">
      <c r="A643" s="1">
        <v>41115</v>
      </c>
      <c r="B643">
        <v>2159.09</v>
      </c>
      <c r="C643">
        <v>3081.74</v>
      </c>
      <c r="D643">
        <v>6406.52</v>
      </c>
      <c r="E643">
        <v>7020.0387799999999</v>
      </c>
      <c r="F643">
        <v>6004.9</v>
      </c>
      <c r="G643">
        <v>12506.74</v>
      </c>
    </row>
    <row r="644" spans="1:7" x14ac:dyDescent="0.35">
      <c r="A644" s="1">
        <v>41116</v>
      </c>
      <c r="B644">
        <v>2251.0500000000002</v>
      </c>
      <c r="C644">
        <v>3207.12</v>
      </c>
      <c r="D644">
        <v>6582.96</v>
      </c>
      <c r="E644">
        <v>7115.4352399999998</v>
      </c>
      <c r="F644">
        <v>6368.8</v>
      </c>
      <c r="G644">
        <v>13210.04</v>
      </c>
    </row>
    <row r="645" spans="1:7" x14ac:dyDescent="0.35">
      <c r="A645" s="1">
        <v>41117</v>
      </c>
      <c r="B645">
        <v>2301.23</v>
      </c>
      <c r="C645">
        <v>3280.19</v>
      </c>
      <c r="D645">
        <v>6689.4</v>
      </c>
      <c r="E645">
        <v>7161.0755900000004</v>
      </c>
      <c r="F645">
        <v>6617.6</v>
      </c>
      <c r="G645">
        <v>13596.88</v>
      </c>
    </row>
    <row r="646" spans="1:7" x14ac:dyDescent="0.35">
      <c r="A646" s="1">
        <v>41120</v>
      </c>
      <c r="B646">
        <v>2340.31</v>
      </c>
      <c r="C646">
        <v>3320.71</v>
      </c>
      <c r="D646">
        <v>6774.06</v>
      </c>
      <c r="E646">
        <v>7286.2862500000001</v>
      </c>
      <c r="F646">
        <v>6801.8</v>
      </c>
      <c r="G646">
        <v>13978.04</v>
      </c>
    </row>
    <row r="647" spans="1:7" x14ac:dyDescent="0.35">
      <c r="A647" s="1">
        <v>41121</v>
      </c>
      <c r="B647">
        <v>2325.7199999999998</v>
      </c>
      <c r="C647">
        <v>3291.66</v>
      </c>
      <c r="D647">
        <v>6772.26</v>
      </c>
      <c r="E647">
        <v>7175.2967900000003</v>
      </c>
      <c r="F647">
        <v>6738.1</v>
      </c>
      <c r="G647">
        <v>13890.99</v>
      </c>
    </row>
    <row r="648" spans="1:7" x14ac:dyDescent="0.35">
      <c r="A648" s="1">
        <v>41122</v>
      </c>
      <c r="B648">
        <v>2333.38</v>
      </c>
      <c r="C648">
        <v>3321.56</v>
      </c>
      <c r="D648">
        <v>6754.46</v>
      </c>
      <c r="E648">
        <v>7248.3145500000001</v>
      </c>
      <c r="F648">
        <v>6720</v>
      </c>
      <c r="G648">
        <v>13928.59</v>
      </c>
    </row>
    <row r="649" spans="1:7" x14ac:dyDescent="0.35">
      <c r="A649" s="1">
        <v>41123</v>
      </c>
      <c r="B649">
        <v>2263.36</v>
      </c>
      <c r="C649">
        <v>3232.46</v>
      </c>
      <c r="D649">
        <v>6606.09</v>
      </c>
      <c r="E649">
        <v>7217.9894599999998</v>
      </c>
      <c r="F649">
        <v>6373.4</v>
      </c>
      <c r="G649">
        <v>13282.55</v>
      </c>
    </row>
    <row r="650" spans="1:7" x14ac:dyDescent="0.35">
      <c r="A650" s="1">
        <v>41124</v>
      </c>
      <c r="B650">
        <v>2372.58</v>
      </c>
      <c r="C650">
        <v>3374.19</v>
      </c>
      <c r="D650">
        <v>6865.66</v>
      </c>
      <c r="E650">
        <v>7315.6159299999999</v>
      </c>
      <c r="F650">
        <v>6755.7</v>
      </c>
      <c r="G650">
        <v>14124.89</v>
      </c>
    </row>
    <row r="651" spans="1:7" x14ac:dyDescent="0.35">
      <c r="A651" s="1">
        <v>41127</v>
      </c>
      <c r="B651">
        <v>2399.3200000000002</v>
      </c>
      <c r="C651">
        <v>3401.56</v>
      </c>
      <c r="D651">
        <v>6918.72</v>
      </c>
      <c r="E651">
        <v>7311.7482799999998</v>
      </c>
      <c r="F651">
        <v>7053.6</v>
      </c>
      <c r="G651">
        <v>14342.03</v>
      </c>
    </row>
    <row r="652" spans="1:7" x14ac:dyDescent="0.35">
      <c r="A652" s="1">
        <v>41128</v>
      </c>
      <c r="B652">
        <v>2440.2399999999998</v>
      </c>
      <c r="C652">
        <v>3453.28</v>
      </c>
      <c r="D652">
        <v>6967.95</v>
      </c>
      <c r="E652">
        <v>7359.1721500000003</v>
      </c>
      <c r="F652">
        <v>7211.1</v>
      </c>
      <c r="G652">
        <v>14655.64</v>
      </c>
    </row>
    <row r="653" spans="1:7" x14ac:dyDescent="0.35">
      <c r="A653" s="1">
        <v>41129</v>
      </c>
      <c r="B653">
        <v>2432.2800000000002</v>
      </c>
      <c r="C653">
        <v>3438.26</v>
      </c>
      <c r="D653">
        <v>6966.15</v>
      </c>
      <c r="E653">
        <v>7402.8783199999998</v>
      </c>
      <c r="F653">
        <v>7150.2</v>
      </c>
      <c r="G653">
        <v>14665.3</v>
      </c>
    </row>
    <row r="654" spans="1:7" x14ac:dyDescent="0.35">
      <c r="A654" s="1">
        <v>41130</v>
      </c>
      <c r="B654">
        <v>2437.04</v>
      </c>
      <c r="C654">
        <v>3456.71</v>
      </c>
      <c r="D654">
        <v>6964.99</v>
      </c>
      <c r="E654">
        <v>7438.9738799999996</v>
      </c>
      <c r="F654">
        <v>7110.2</v>
      </c>
      <c r="G654">
        <v>14654.11</v>
      </c>
    </row>
    <row r="655" spans="1:7" x14ac:dyDescent="0.35">
      <c r="A655" s="1">
        <v>41131</v>
      </c>
      <c r="B655">
        <v>2423.2199999999998</v>
      </c>
      <c r="C655">
        <v>3435.62</v>
      </c>
      <c r="D655">
        <v>6944.56</v>
      </c>
      <c r="E655">
        <v>7454.1853799999999</v>
      </c>
      <c r="F655">
        <v>7047.7</v>
      </c>
      <c r="G655">
        <v>14548.64</v>
      </c>
    </row>
    <row r="656" spans="1:7" x14ac:dyDescent="0.35">
      <c r="A656" s="1">
        <v>41134</v>
      </c>
      <c r="B656">
        <v>2415.96</v>
      </c>
      <c r="C656">
        <v>3426.41</v>
      </c>
      <c r="D656">
        <v>6909.68</v>
      </c>
      <c r="E656">
        <v>7417.9245099999998</v>
      </c>
      <c r="F656">
        <v>7069.6</v>
      </c>
      <c r="G656">
        <v>14532.87</v>
      </c>
    </row>
    <row r="657" spans="1:7" x14ac:dyDescent="0.35">
      <c r="A657" s="1">
        <v>41135</v>
      </c>
      <c r="B657">
        <v>2432.29</v>
      </c>
      <c r="C657">
        <v>3450.27</v>
      </c>
      <c r="D657">
        <v>6974.39</v>
      </c>
      <c r="E657">
        <v>7459.1214399999999</v>
      </c>
      <c r="F657">
        <v>7124.8</v>
      </c>
      <c r="G657">
        <v>14656.87</v>
      </c>
    </row>
    <row r="658" spans="1:7" x14ac:dyDescent="0.35">
      <c r="A658" s="1">
        <v>41137</v>
      </c>
      <c r="B658">
        <v>2456.5300000000002</v>
      </c>
      <c r="C658">
        <v>3480.49</v>
      </c>
      <c r="D658">
        <v>6996.29</v>
      </c>
      <c r="E658">
        <v>7428.0142299999998</v>
      </c>
      <c r="F658">
        <v>7417.3</v>
      </c>
      <c r="G658">
        <v>14930.3</v>
      </c>
    </row>
    <row r="659" spans="1:7" x14ac:dyDescent="0.35">
      <c r="A659" s="1">
        <v>41138</v>
      </c>
      <c r="B659">
        <v>2471.5300000000002</v>
      </c>
      <c r="C659">
        <v>3488.38</v>
      </c>
      <c r="D659">
        <v>7040.88</v>
      </c>
      <c r="E659">
        <v>7455.9203699999998</v>
      </c>
      <c r="F659">
        <v>7561</v>
      </c>
      <c r="G659">
        <v>15124.69</v>
      </c>
    </row>
    <row r="660" spans="1:7" x14ac:dyDescent="0.35">
      <c r="A660" s="1">
        <v>41141</v>
      </c>
      <c r="B660">
        <v>2466.3200000000002</v>
      </c>
      <c r="C660">
        <v>3480.58</v>
      </c>
      <c r="D660">
        <v>7033.68</v>
      </c>
      <c r="E660">
        <v>7411.5474000000004</v>
      </c>
      <c r="F660">
        <v>7469.6</v>
      </c>
      <c r="G660">
        <v>14971.88</v>
      </c>
    </row>
    <row r="661" spans="1:7" x14ac:dyDescent="0.35">
      <c r="A661" s="1">
        <v>41142</v>
      </c>
      <c r="B661">
        <v>2490.27</v>
      </c>
      <c r="C661">
        <v>3513.28</v>
      </c>
      <c r="D661">
        <v>7089.32</v>
      </c>
      <c r="E661">
        <v>7411.3259900000003</v>
      </c>
      <c r="F661">
        <v>7544.5</v>
      </c>
      <c r="G661">
        <v>15330.46</v>
      </c>
    </row>
    <row r="662" spans="1:7" x14ac:dyDescent="0.35">
      <c r="A662" s="1">
        <v>41143</v>
      </c>
      <c r="B662">
        <v>2452.73</v>
      </c>
      <c r="C662">
        <v>3461.65</v>
      </c>
      <c r="D662">
        <v>7017.75</v>
      </c>
      <c r="E662">
        <v>7314.66597</v>
      </c>
      <c r="F662">
        <v>7340.7</v>
      </c>
      <c r="G662">
        <v>15161.18</v>
      </c>
    </row>
    <row r="663" spans="1:7" x14ac:dyDescent="0.35">
      <c r="A663" s="1">
        <v>41144</v>
      </c>
      <c r="B663">
        <v>2429.17</v>
      </c>
      <c r="C663">
        <v>3432.56</v>
      </c>
      <c r="D663">
        <v>6949.57</v>
      </c>
      <c r="E663">
        <v>7290.9078799999997</v>
      </c>
      <c r="F663">
        <v>7282.9</v>
      </c>
      <c r="G663">
        <v>14953.76</v>
      </c>
    </row>
    <row r="664" spans="1:7" x14ac:dyDescent="0.35">
      <c r="A664" s="1">
        <v>41145</v>
      </c>
      <c r="B664">
        <v>2434.23</v>
      </c>
      <c r="C664">
        <v>3433.21</v>
      </c>
      <c r="D664">
        <v>6971.07</v>
      </c>
      <c r="E664">
        <v>7295.3997399999998</v>
      </c>
      <c r="F664">
        <v>7310.3</v>
      </c>
      <c r="G664">
        <v>14880.68</v>
      </c>
    </row>
    <row r="665" spans="1:7" x14ac:dyDescent="0.35">
      <c r="A665" s="1">
        <v>41149</v>
      </c>
      <c r="B665">
        <v>2442.12</v>
      </c>
      <c r="C665">
        <v>3431.55</v>
      </c>
      <c r="D665">
        <v>7002.68</v>
      </c>
      <c r="E665">
        <v>7273.9671200000003</v>
      </c>
      <c r="F665">
        <v>7333.5</v>
      </c>
      <c r="G665">
        <v>14993.01</v>
      </c>
    </row>
    <row r="666" spans="1:7" x14ac:dyDescent="0.35">
      <c r="A666" s="1">
        <v>41150</v>
      </c>
      <c r="B666">
        <v>2434.23</v>
      </c>
      <c r="C666">
        <v>3413.89</v>
      </c>
      <c r="D666">
        <v>7010.57</v>
      </c>
      <c r="E666">
        <v>7258.8462499999996</v>
      </c>
      <c r="F666">
        <v>7306</v>
      </c>
      <c r="G666">
        <v>14943.57</v>
      </c>
    </row>
    <row r="667" spans="1:7" x14ac:dyDescent="0.35">
      <c r="A667" s="1">
        <v>41151</v>
      </c>
      <c r="B667">
        <v>2403.8000000000002</v>
      </c>
      <c r="C667">
        <v>3379.11</v>
      </c>
      <c r="D667">
        <v>6895.49</v>
      </c>
      <c r="E667">
        <v>7223.3162599999996</v>
      </c>
      <c r="F667">
        <v>7195</v>
      </c>
      <c r="G667">
        <v>14780.55</v>
      </c>
    </row>
    <row r="668" spans="1:7" x14ac:dyDescent="0.35">
      <c r="A668" s="1">
        <v>41152</v>
      </c>
      <c r="B668">
        <v>2440.71</v>
      </c>
      <c r="C668">
        <v>3413.07</v>
      </c>
      <c r="D668">
        <v>6970.79</v>
      </c>
      <c r="E668">
        <v>7207.6142499999996</v>
      </c>
      <c r="F668">
        <v>7420.5</v>
      </c>
      <c r="G668">
        <v>15100.48</v>
      </c>
    </row>
    <row r="669" spans="1:7" x14ac:dyDescent="0.35">
      <c r="A669" s="1">
        <v>41155</v>
      </c>
      <c r="B669">
        <v>2463.17</v>
      </c>
      <c r="C669">
        <v>3453.71</v>
      </c>
      <c r="D669">
        <v>7014.83</v>
      </c>
      <c r="E669">
        <v>7261.7764500000003</v>
      </c>
      <c r="F669">
        <v>7434.2</v>
      </c>
      <c r="G669">
        <v>15267.17</v>
      </c>
    </row>
    <row r="670" spans="1:7" x14ac:dyDescent="0.35">
      <c r="A670" s="1">
        <v>41156</v>
      </c>
      <c r="B670">
        <v>2436.54</v>
      </c>
      <c r="C670">
        <v>3399.04</v>
      </c>
      <c r="D670">
        <v>6932.58</v>
      </c>
      <c r="E670">
        <v>7171.1799099999998</v>
      </c>
      <c r="F670">
        <v>7488.2</v>
      </c>
      <c r="G670">
        <v>15222.63</v>
      </c>
    </row>
    <row r="671" spans="1:7" x14ac:dyDescent="0.35">
      <c r="A671" s="1">
        <v>41157</v>
      </c>
      <c r="B671">
        <v>2441.81</v>
      </c>
      <c r="C671">
        <v>3405.79</v>
      </c>
      <c r="D671">
        <v>6964.69</v>
      </c>
      <c r="E671">
        <v>7141.33698</v>
      </c>
      <c r="F671">
        <v>7494</v>
      </c>
      <c r="G671">
        <v>15128.08</v>
      </c>
    </row>
    <row r="672" spans="1:7" x14ac:dyDescent="0.35">
      <c r="A672" s="1">
        <v>41158</v>
      </c>
      <c r="B672">
        <v>2524.9499999999998</v>
      </c>
      <c r="C672">
        <v>3509.88</v>
      </c>
      <c r="D672">
        <v>7167.33</v>
      </c>
      <c r="E672">
        <v>7287.6540400000004</v>
      </c>
      <c r="F672">
        <v>7862</v>
      </c>
      <c r="G672">
        <v>15780.32</v>
      </c>
    </row>
    <row r="673" spans="1:7" x14ac:dyDescent="0.35">
      <c r="A673" s="1">
        <v>41159</v>
      </c>
      <c r="B673">
        <v>2538.6</v>
      </c>
      <c r="C673">
        <v>3519.05</v>
      </c>
      <c r="D673">
        <v>7214.5</v>
      </c>
      <c r="E673">
        <v>7257.8861800000004</v>
      </c>
      <c r="F673">
        <v>7882.8</v>
      </c>
      <c r="G673">
        <v>16110.27</v>
      </c>
    </row>
    <row r="674" spans="1:7" x14ac:dyDescent="0.35">
      <c r="A674" s="1">
        <v>41162</v>
      </c>
      <c r="B674">
        <v>2528.5300000000002</v>
      </c>
      <c r="C674">
        <v>3506.05</v>
      </c>
      <c r="D674">
        <v>7213.7</v>
      </c>
      <c r="E674">
        <v>7254.7559700000002</v>
      </c>
      <c r="F674">
        <v>7857.7</v>
      </c>
      <c r="G674">
        <v>16092.06</v>
      </c>
    </row>
    <row r="675" spans="1:7" x14ac:dyDescent="0.35">
      <c r="A675" s="1">
        <v>41163</v>
      </c>
      <c r="B675">
        <v>2557.65</v>
      </c>
      <c r="C675">
        <v>3537.3</v>
      </c>
      <c r="D675">
        <v>7310.11</v>
      </c>
      <c r="E675">
        <v>7236.2973899999997</v>
      </c>
      <c r="F675">
        <v>7930.4</v>
      </c>
      <c r="G675">
        <v>16226.66</v>
      </c>
    </row>
    <row r="676" spans="1:7" x14ac:dyDescent="0.35">
      <c r="A676" s="1">
        <v>41164</v>
      </c>
      <c r="B676">
        <v>2564.8000000000002</v>
      </c>
      <c r="C676">
        <v>3543.79</v>
      </c>
      <c r="D676">
        <v>7343.53</v>
      </c>
      <c r="E676">
        <v>7226.2540799999997</v>
      </c>
      <c r="F676">
        <v>7992.1</v>
      </c>
      <c r="G676">
        <v>16419.79</v>
      </c>
    </row>
    <row r="677" spans="1:7" x14ac:dyDescent="0.35">
      <c r="A677" s="1">
        <v>41165</v>
      </c>
      <c r="B677">
        <v>2543.2199999999998</v>
      </c>
      <c r="C677">
        <v>3502.09</v>
      </c>
      <c r="D677">
        <v>7310.32</v>
      </c>
      <c r="E677">
        <v>7265.4315800000004</v>
      </c>
      <c r="F677">
        <v>7935.9</v>
      </c>
      <c r="G677">
        <v>16244.28</v>
      </c>
    </row>
    <row r="678" spans="1:7" x14ac:dyDescent="0.35">
      <c r="A678" s="1">
        <v>41166</v>
      </c>
      <c r="B678">
        <v>2594.56</v>
      </c>
      <c r="C678">
        <v>3581.58</v>
      </c>
      <c r="D678">
        <v>7412.13</v>
      </c>
      <c r="E678">
        <v>7321.7385899999999</v>
      </c>
      <c r="F678">
        <v>8154.5</v>
      </c>
      <c r="G678">
        <v>16624.45</v>
      </c>
    </row>
    <row r="679" spans="1:7" x14ac:dyDescent="0.35">
      <c r="A679" s="1">
        <v>41169</v>
      </c>
      <c r="B679">
        <v>2583.5700000000002</v>
      </c>
      <c r="C679">
        <v>3553.69</v>
      </c>
      <c r="D679">
        <v>7403.69</v>
      </c>
      <c r="E679">
        <v>7304.2268800000002</v>
      </c>
      <c r="F679">
        <v>8148</v>
      </c>
      <c r="G679">
        <v>16470.09</v>
      </c>
    </row>
    <row r="680" spans="1:7" x14ac:dyDescent="0.35">
      <c r="A680" s="1">
        <v>41170</v>
      </c>
      <c r="B680">
        <v>2553.4</v>
      </c>
      <c r="C680">
        <v>3512.69</v>
      </c>
      <c r="D680">
        <v>7347.69</v>
      </c>
      <c r="E680">
        <v>7307.7492499999998</v>
      </c>
      <c r="F680">
        <v>8058.3</v>
      </c>
      <c r="G680">
        <v>16076.03</v>
      </c>
    </row>
    <row r="681" spans="1:7" x14ac:dyDescent="0.35">
      <c r="A681" s="1">
        <v>41171</v>
      </c>
      <c r="B681">
        <v>2567.67</v>
      </c>
      <c r="C681">
        <v>3531.82</v>
      </c>
      <c r="D681">
        <v>7390.76</v>
      </c>
      <c r="E681">
        <v>7309.12255</v>
      </c>
      <c r="F681">
        <v>8098.8</v>
      </c>
      <c r="G681">
        <v>16100.23</v>
      </c>
    </row>
    <row r="682" spans="1:7" x14ac:dyDescent="0.35">
      <c r="A682" s="1">
        <v>41172</v>
      </c>
      <c r="B682">
        <v>2553.0300000000002</v>
      </c>
      <c r="C682">
        <v>3509.92</v>
      </c>
      <c r="D682">
        <v>7389.49</v>
      </c>
      <c r="E682">
        <v>7323.5023099999999</v>
      </c>
      <c r="F682">
        <v>8022.1</v>
      </c>
      <c r="G682">
        <v>15830.28</v>
      </c>
    </row>
    <row r="683" spans="1:7" x14ac:dyDescent="0.35">
      <c r="A683" s="1">
        <v>41173</v>
      </c>
      <c r="B683">
        <v>2577.08</v>
      </c>
      <c r="C683">
        <v>3530.72</v>
      </c>
      <c r="D683">
        <v>7451.62</v>
      </c>
      <c r="E683">
        <v>7315.0998</v>
      </c>
      <c r="F683">
        <v>8230.7000000000007</v>
      </c>
      <c r="G683">
        <v>15991.1</v>
      </c>
    </row>
    <row r="684" spans="1:7" x14ac:dyDescent="0.35">
      <c r="A684" s="1">
        <v>41176</v>
      </c>
      <c r="B684">
        <v>2557.89</v>
      </c>
      <c r="C684">
        <v>3497.22</v>
      </c>
      <c r="D684">
        <v>7413.16</v>
      </c>
      <c r="E684">
        <v>7327.2604199999996</v>
      </c>
      <c r="F684">
        <v>8138.4</v>
      </c>
      <c r="G684">
        <v>15867.07</v>
      </c>
    </row>
    <row r="685" spans="1:7" x14ac:dyDescent="0.35">
      <c r="A685" s="1">
        <v>41177</v>
      </c>
      <c r="B685">
        <v>2568.48</v>
      </c>
      <c r="C685">
        <v>3513.81</v>
      </c>
      <c r="D685">
        <v>7425.11</v>
      </c>
      <c r="E685">
        <v>7339.1148599999997</v>
      </c>
      <c r="F685">
        <v>8175</v>
      </c>
      <c r="G685">
        <v>15932.6</v>
      </c>
    </row>
    <row r="686" spans="1:7" x14ac:dyDescent="0.35">
      <c r="A686" s="1">
        <v>41178</v>
      </c>
      <c r="B686">
        <v>2498.52</v>
      </c>
      <c r="C686">
        <v>3414.84</v>
      </c>
      <c r="D686">
        <v>7276.51</v>
      </c>
      <c r="E686">
        <v>7246.6619700000001</v>
      </c>
      <c r="F686">
        <v>7854.4</v>
      </c>
      <c r="G686">
        <v>15408.03</v>
      </c>
    </row>
    <row r="687" spans="1:7" x14ac:dyDescent="0.35">
      <c r="A687" s="1">
        <v>41179</v>
      </c>
      <c r="B687">
        <v>2506.06</v>
      </c>
      <c r="C687">
        <v>3439.32</v>
      </c>
      <c r="D687">
        <v>7290.02</v>
      </c>
      <c r="E687">
        <v>7270.4350700000005</v>
      </c>
      <c r="F687">
        <v>7842.3</v>
      </c>
      <c r="G687">
        <v>15450.14</v>
      </c>
    </row>
    <row r="688" spans="1:7" x14ac:dyDescent="0.35">
      <c r="A688" s="1">
        <v>41180</v>
      </c>
      <c r="B688">
        <v>2454.2600000000002</v>
      </c>
      <c r="C688">
        <v>3354.82</v>
      </c>
      <c r="D688">
        <v>7216.15</v>
      </c>
      <c r="E688">
        <v>7203.4526800000003</v>
      </c>
      <c r="F688">
        <v>7708.5</v>
      </c>
      <c r="G688">
        <v>15095.84</v>
      </c>
    </row>
    <row r="689" spans="1:7" x14ac:dyDescent="0.35">
      <c r="A689" s="1">
        <v>41183</v>
      </c>
      <c r="B689">
        <v>2498.81</v>
      </c>
      <c r="C689">
        <v>3434.98</v>
      </c>
      <c r="D689">
        <v>7326.73</v>
      </c>
      <c r="E689">
        <v>7283.1218200000003</v>
      </c>
      <c r="F689">
        <v>7784.1</v>
      </c>
      <c r="G689">
        <v>15523.1</v>
      </c>
    </row>
    <row r="690" spans="1:7" x14ac:dyDescent="0.35">
      <c r="A690" s="1">
        <v>41184</v>
      </c>
      <c r="B690">
        <v>2493.59</v>
      </c>
      <c r="C690">
        <v>3414.23</v>
      </c>
      <c r="D690">
        <v>7305.86</v>
      </c>
      <c r="E690">
        <v>7255.7525699999997</v>
      </c>
      <c r="F690">
        <v>7867.1</v>
      </c>
      <c r="G690">
        <v>15495.79</v>
      </c>
    </row>
    <row r="691" spans="1:7" x14ac:dyDescent="0.35">
      <c r="A691" s="1">
        <v>41185</v>
      </c>
      <c r="B691">
        <v>2492.48</v>
      </c>
      <c r="C691">
        <v>3406.02</v>
      </c>
      <c r="D691">
        <v>7322.08</v>
      </c>
      <c r="E691">
        <v>7259.6958400000003</v>
      </c>
      <c r="F691">
        <v>7826.7</v>
      </c>
      <c r="G691">
        <v>15535.09</v>
      </c>
    </row>
    <row r="692" spans="1:7" x14ac:dyDescent="0.35">
      <c r="A692" s="1">
        <v>41186</v>
      </c>
      <c r="B692">
        <v>2485.75</v>
      </c>
      <c r="C692">
        <v>3401.2</v>
      </c>
      <c r="D692">
        <v>7305.21</v>
      </c>
      <c r="E692">
        <v>7244.6584499999999</v>
      </c>
      <c r="F692">
        <v>7812.8</v>
      </c>
      <c r="G692">
        <v>15511.25</v>
      </c>
    </row>
    <row r="693" spans="1:7" x14ac:dyDescent="0.35">
      <c r="A693" s="1">
        <v>41187</v>
      </c>
      <c r="B693">
        <v>2531.21</v>
      </c>
      <c r="C693">
        <v>3457.04</v>
      </c>
      <c r="D693">
        <v>7397.87</v>
      </c>
      <c r="E693">
        <v>7276.2503500000003</v>
      </c>
      <c r="F693">
        <v>7954.4</v>
      </c>
      <c r="G693">
        <v>15876.25</v>
      </c>
    </row>
    <row r="694" spans="1:7" x14ac:dyDescent="0.35">
      <c r="A694" s="1">
        <v>41190</v>
      </c>
      <c r="B694">
        <v>2496.09</v>
      </c>
      <c r="C694">
        <v>3406.53</v>
      </c>
      <c r="D694">
        <v>7291.21</v>
      </c>
      <c r="E694">
        <v>7218.6508199999998</v>
      </c>
      <c r="F694">
        <v>7891</v>
      </c>
      <c r="G694">
        <v>15562</v>
      </c>
    </row>
    <row r="695" spans="1:7" x14ac:dyDescent="0.35">
      <c r="A695" s="1">
        <v>41191</v>
      </c>
      <c r="B695">
        <v>2472.23</v>
      </c>
      <c r="C695">
        <v>3382.78</v>
      </c>
      <c r="D695">
        <v>7234.53</v>
      </c>
      <c r="E695">
        <v>7219.6022899999998</v>
      </c>
      <c r="F695">
        <v>7745.4</v>
      </c>
      <c r="G695">
        <v>15504.65</v>
      </c>
    </row>
    <row r="696" spans="1:7" x14ac:dyDescent="0.35">
      <c r="A696" s="1">
        <v>41192</v>
      </c>
      <c r="B696">
        <v>2456.54</v>
      </c>
      <c r="C696">
        <v>3365.87</v>
      </c>
      <c r="D696">
        <v>7205.23</v>
      </c>
      <c r="E696">
        <v>7172.3710199999996</v>
      </c>
      <c r="F696">
        <v>7668</v>
      </c>
      <c r="G696">
        <v>15440.63</v>
      </c>
    </row>
    <row r="697" spans="1:7" x14ac:dyDescent="0.35">
      <c r="A697" s="1">
        <v>41193</v>
      </c>
      <c r="B697">
        <v>2487.08</v>
      </c>
      <c r="C697">
        <v>3413.72</v>
      </c>
      <c r="D697">
        <v>7281.7</v>
      </c>
      <c r="E697">
        <v>7227.6106200000004</v>
      </c>
      <c r="F697">
        <v>7734.7</v>
      </c>
      <c r="G697">
        <v>15634.45</v>
      </c>
    </row>
    <row r="698" spans="1:7" x14ac:dyDescent="0.35">
      <c r="A698" s="1">
        <v>41194</v>
      </c>
      <c r="B698">
        <v>2469.09</v>
      </c>
      <c r="C698">
        <v>3389.08</v>
      </c>
      <c r="D698">
        <v>7232.49</v>
      </c>
      <c r="E698">
        <v>7190.8745699999999</v>
      </c>
      <c r="F698">
        <v>7652.4</v>
      </c>
      <c r="G698">
        <v>15511.94</v>
      </c>
    </row>
    <row r="699" spans="1:7" x14ac:dyDescent="0.35">
      <c r="A699" s="1">
        <v>41197</v>
      </c>
      <c r="B699">
        <v>2485.12</v>
      </c>
      <c r="C699">
        <v>3420.28</v>
      </c>
      <c r="D699">
        <v>7261.25</v>
      </c>
      <c r="E699">
        <v>7211.2354299999997</v>
      </c>
      <c r="F699">
        <v>7678.5</v>
      </c>
      <c r="G699">
        <v>15590.72</v>
      </c>
    </row>
    <row r="700" spans="1:7" x14ac:dyDescent="0.35">
      <c r="A700" s="1">
        <v>41198</v>
      </c>
      <c r="B700">
        <v>2547.9</v>
      </c>
      <c r="C700">
        <v>3500.94</v>
      </c>
      <c r="D700">
        <v>7376.27</v>
      </c>
      <c r="E700">
        <v>7253.0082899999998</v>
      </c>
      <c r="F700">
        <v>7940.2</v>
      </c>
      <c r="G700">
        <v>15985.16</v>
      </c>
    </row>
    <row r="701" spans="1:7" x14ac:dyDescent="0.35">
      <c r="A701" s="1">
        <v>41199</v>
      </c>
      <c r="B701">
        <v>2569.83</v>
      </c>
      <c r="C701">
        <v>3527.5</v>
      </c>
      <c r="D701">
        <v>7394.55</v>
      </c>
      <c r="E701">
        <v>7277.9121299999997</v>
      </c>
      <c r="F701">
        <v>8128.2</v>
      </c>
      <c r="G701">
        <v>16233.84</v>
      </c>
    </row>
    <row r="702" spans="1:7" x14ac:dyDescent="0.35">
      <c r="A702" s="1">
        <v>41200</v>
      </c>
      <c r="B702">
        <v>2574.19</v>
      </c>
      <c r="C702">
        <v>3535.18</v>
      </c>
      <c r="D702">
        <v>7437.23</v>
      </c>
      <c r="E702">
        <v>7286.6915099999997</v>
      </c>
      <c r="F702">
        <v>8100.3</v>
      </c>
      <c r="G702">
        <v>16185.45</v>
      </c>
    </row>
    <row r="703" spans="1:7" x14ac:dyDescent="0.35">
      <c r="A703" s="1">
        <v>41201</v>
      </c>
      <c r="B703">
        <v>2542.2399999999998</v>
      </c>
      <c r="C703">
        <v>3504.56</v>
      </c>
      <c r="D703">
        <v>7380.64</v>
      </c>
      <c r="E703">
        <v>7246.0401599999996</v>
      </c>
      <c r="F703">
        <v>7913.4</v>
      </c>
      <c r="G703">
        <v>15862.31</v>
      </c>
    </row>
    <row r="704" spans="1:7" x14ac:dyDescent="0.35">
      <c r="A704" s="1">
        <v>41204</v>
      </c>
      <c r="B704">
        <v>2531.1</v>
      </c>
      <c r="C704">
        <v>3483.25</v>
      </c>
      <c r="D704">
        <v>7328.05</v>
      </c>
      <c r="E704">
        <v>7213.1981699999997</v>
      </c>
      <c r="F704">
        <v>7877.1</v>
      </c>
      <c r="G704">
        <v>15866.78</v>
      </c>
    </row>
    <row r="705" spans="1:7" x14ac:dyDescent="0.35">
      <c r="A705" s="1">
        <v>41205</v>
      </c>
      <c r="B705">
        <v>2477.92</v>
      </c>
      <c r="C705">
        <v>3406.5</v>
      </c>
      <c r="D705">
        <v>7173.69</v>
      </c>
      <c r="E705">
        <v>7122.7252900000003</v>
      </c>
      <c r="F705">
        <v>7747.7</v>
      </c>
      <c r="G705">
        <v>15578.95</v>
      </c>
    </row>
    <row r="706" spans="1:7" x14ac:dyDescent="0.35">
      <c r="A706" s="1">
        <v>41206</v>
      </c>
      <c r="B706">
        <v>2490.58</v>
      </c>
      <c r="C706">
        <v>3426.49</v>
      </c>
      <c r="D706">
        <v>7192.85</v>
      </c>
      <c r="E706">
        <v>7179.1246199999996</v>
      </c>
      <c r="F706">
        <v>7791.5</v>
      </c>
      <c r="G706">
        <v>15706.56</v>
      </c>
    </row>
    <row r="707" spans="1:7" x14ac:dyDescent="0.35">
      <c r="A707" s="1">
        <v>41207</v>
      </c>
      <c r="B707">
        <v>2483.4299999999998</v>
      </c>
      <c r="C707">
        <v>3411.53</v>
      </c>
      <c r="D707">
        <v>7200.23</v>
      </c>
      <c r="E707">
        <v>7220.4899100000002</v>
      </c>
      <c r="F707">
        <v>7779.2</v>
      </c>
      <c r="G707">
        <v>15528.47</v>
      </c>
    </row>
    <row r="708" spans="1:7" x14ac:dyDescent="0.35">
      <c r="A708" s="1">
        <v>41208</v>
      </c>
      <c r="B708">
        <v>2496.1</v>
      </c>
      <c r="C708">
        <v>3435.09</v>
      </c>
      <c r="D708">
        <v>7231.85</v>
      </c>
      <c r="E708">
        <v>7224.9304300000003</v>
      </c>
      <c r="F708">
        <v>7775.6</v>
      </c>
      <c r="G708">
        <v>15584.86</v>
      </c>
    </row>
    <row r="709" spans="1:7" x14ac:dyDescent="0.35">
      <c r="A709" s="1">
        <v>41211</v>
      </c>
      <c r="B709">
        <v>2478.84</v>
      </c>
      <c r="C709">
        <v>3408.89</v>
      </c>
      <c r="D709">
        <v>7203.16</v>
      </c>
      <c r="E709">
        <v>7201.30692</v>
      </c>
      <c r="F709">
        <v>7728.6</v>
      </c>
      <c r="G709">
        <v>15349.12</v>
      </c>
    </row>
    <row r="710" spans="1:7" x14ac:dyDescent="0.35">
      <c r="A710" s="1">
        <v>41212</v>
      </c>
      <c r="B710">
        <v>2515.9899999999998</v>
      </c>
      <c r="C710">
        <v>3459.44</v>
      </c>
      <c r="D710">
        <v>7284.4</v>
      </c>
      <c r="E710">
        <v>7253.1540699999996</v>
      </c>
      <c r="F710">
        <v>7833.9</v>
      </c>
      <c r="G710">
        <v>15521.77</v>
      </c>
    </row>
    <row r="711" spans="1:7" x14ac:dyDescent="0.35">
      <c r="A711" s="1">
        <v>41213</v>
      </c>
      <c r="B711">
        <v>2503.64</v>
      </c>
      <c r="C711">
        <v>3429.27</v>
      </c>
      <c r="D711">
        <v>7260.63</v>
      </c>
      <c r="E711">
        <v>7193.3756199999998</v>
      </c>
      <c r="F711">
        <v>7842.9</v>
      </c>
      <c r="G711">
        <v>15539.71</v>
      </c>
    </row>
    <row r="712" spans="1:7" x14ac:dyDescent="0.35">
      <c r="A712" s="1">
        <v>41214</v>
      </c>
      <c r="B712">
        <v>2533.87</v>
      </c>
      <c r="C712">
        <v>3475.4</v>
      </c>
      <c r="D712">
        <v>7335.67</v>
      </c>
      <c r="E712">
        <v>7307.6850199999999</v>
      </c>
      <c r="F712">
        <v>7886.4</v>
      </c>
      <c r="G712">
        <v>15806.73</v>
      </c>
    </row>
    <row r="713" spans="1:7" x14ac:dyDescent="0.35">
      <c r="A713" s="1">
        <v>41215</v>
      </c>
      <c r="B713">
        <v>2547.15</v>
      </c>
      <c r="C713">
        <v>3492.46</v>
      </c>
      <c r="D713">
        <v>7363.85</v>
      </c>
      <c r="E713">
        <v>7335.80188</v>
      </c>
      <c r="F713">
        <v>7968.9</v>
      </c>
      <c r="G713">
        <v>15769.28</v>
      </c>
    </row>
    <row r="714" spans="1:7" x14ac:dyDescent="0.35">
      <c r="A714" s="1">
        <v>41218</v>
      </c>
      <c r="B714">
        <v>2517.67</v>
      </c>
      <c r="C714">
        <v>3448.5</v>
      </c>
      <c r="D714">
        <v>7326.47</v>
      </c>
      <c r="E714">
        <v>7294.8269</v>
      </c>
      <c r="F714">
        <v>7818.6</v>
      </c>
      <c r="G714">
        <v>15544.4</v>
      </c>
    </row>
    <row r="715" spans="1:7" x14ac:dyDescent="0.35">
      <c r="A715" s="1">
        <v>41219</v>
      </c>
      <c r="B715">
        <v>2535.94</v>
      </c>
      <c r="C715">
        <v>3478.66</v>
      </c>
      <c r="D715">
        <v>7377.76</v>
      </c>
      <c r="E715">
        <v>7342.0039999999999</v>
      </c>
      <c r="F715">
        <v>7837.6</v>
      </c>
      <c r="G715">
        <v>15683.71</v>
      </c>
    </row>
    <row r="716" spans="1:7" x14ac:dyDescent="0.35">
      <c r="A716" s="1">
        <v>41220</v>
      </c>
      <c r="B716">
        <v>2479.1</v>
      </c>
      <c r="C716">
        <v>3409.59</v>
      </c>
      <c r="D716">
        <v>7232.83</v>
      </c>
      <c r="E716">
        <v>7251.56369</v>
      </c>
      <c r="F716">
        <v>7660.7</v>
      </c>
      <c r="G716">
        <v>15291.78</v>
      </c>
    </row>
    <row r="717" spans="1:7" x14ac:dyDescent="0.35">
      <c r="A717" s="1">
        <v>41221</v>
      </c>
      <c r="B717">
        <v>2479.13</v>
      </c>
      <c r="C717">
        <v>3407.68</v>
      </c>
      <c r="D717">
        <v>7204.96</v>
      </c>
      <c r="E717">
        <v>7244.8908499999998</v>
      </c>
      <c r="F717">
        <v>7624.1</v>
      </c>
      <c r="G717">
        <v>15194.08</v>
      </c>
    </row>
    <row r="718" spans="1:7" x14ac:dyDescent="0.35">
      <c r="A718" s="1">
        <v>41222</v>
      </c>
      <c r="B718">
        <v>2479.8200000000002</v>
      </c>
      <c r="C718">
        <v>3423.57</v>
      </c>
      <c r="D718">
        <v>7163.5</v>
      </c>
      <c r="E718">
        <v>7218.6760400000003</v>
      </c>
      <c r="F718">
        <v>7636.6</v>
      </c>
      <c r="G718">
        <v>15181</v>
      </c>
    </row>
    <row r="719" spans="1:7" x14ac:dyDescent="0.35">
      <c r="A719" s="1">
        <v>41225</v>
      </c>
      <c r="B719">
        <v>2473.52</v>
      </c>
      <c r="C719">
        <v>3411.65</v>
      </c>
      <c r="D719">
        <v>7168.76</v>
      </c>
      <c r="E719">
        <v>7201.7156699999996</v>
      </c>
      <c r="F719">
        <v>7567.8</v>
      </c>
      <c r="G719">
        <v>15121.7</v>
      </c>
    </row>
    <row r="720" spans="1:7" x14ac:dyDescent="0.35">
      <c r="A720" s="1">
        <v>41226</v>
      </c>
      <c r="B720">
        <v>2493.14</v>
      </c>
      <c r="C720">
        <v>3430.6</v>
      </c>
      <c r="D720">
        <v>7169.12</v>
      </c>
      <c r="E720">
        <v>7228.9428600000001</v>
      </c>
      <c r="F720">
        <v>7693.4</v>
      </c>
      <c r="G720">
        <v>15333.15</v>
      </c>
    </row>
    <row r="721" spans="1:7" x14ac:dyDescent="0.35">
      <c r="A721" s="1">
        <v>41227</v>
      </c>
      <c r="B721">
        <v>2472.84</v>
      </c>
      <c r="C721">
        <v>3400.02</v>
      </c>
      <c r="D721">
        <v>7101.92</v>
      </c>
      <c r="E721">
        <v>7118.1696700000002</v>
      </c>
      <c r="F721">
        <v>7673</v>
      </c>
      <c r="G721">
        <v>15252.93</v>
      </c>
    </row>
    <row r="722" spans="1:7" x14ac:dyDescent="0.35">
      <c r="A722" s="1">
        <v>41228</v>
      </c>
      <c r="B722">
        <v>2461.77</v>
      </c>
      <c r="C722">
        <v>3382.4</v>
      </c>
      <c r="D722">
        <v>7043.42</v>
      </c>
      <c r="E722">
        <v>7049.5136000000002</v>
      </c>
      <c r="F722">
        <v>7695.5</v>
      </c>
      <c r="G722">
        <v>15162.82</v>
      </c>
    </row>
    <row r="723" spans="1:7" x14ac:dyDescent="0.35">
      <c r="A723" s="1">
        <v>41229</v>
      </c>
      <c r="B723">
        <v>2427.3200000000002</v>
      </c>
      <c r="C723">
        <v>3341.52</v>
      </c>
      <c r="D723">
        <v>6950.53</v>
      </c>
      <c r="E723">
        <v>6992.5582700000004</v>
      </c>
      <c r="F723">
        <v>7588.2</v>
      </c>
      <c r="G723">
        <v>14855.79</v>
      </c>
    </row>
    <row r="724" spans="1:7" x14ac:dyDescent="0.35">
      <c r="A724" s="1">
        <v>41232</v>
      </c>
      <c r="B724">
        <v>2495.21</v>
      </c>
      <c r="C724">
        <v>3439.58</v>
      </c>
      <c r="D724">
        <v>7123.84</v>
      </c>
      <c r="E724">
        <v>7130.6179199999997</v>
      </c>
      <c r="F724">
        <v>7763.8</v>
      </c>
      <c r="G724">
        <v>15308.96</v>
      </c>
    </row>
    <row r="725" spans="1:7" x14ac:dyDescent="0.35">
      <c r="A725" s="1">
        <v>41233</v>
      </c>
      <c r="B725">
        <v>2509.62</v>
      </c>
      <c r="C725">
        <v>3462.06</v>
      </c>
      <c r="D725">
        <v>7172.99</v>
      </c>
      <c r="E725">
        <v>7147.6451999999999</v>
      </c>
      <c r="F725">
        <v>7778.7</v>
      </c>
      <c r="G725">
        <v>15269.99</v>
      </c>
    </row>
    <row r="726" spans="1:7" x14ac:dyDescent="0.35">
      <c r="A726" s="1">
        <v>41234</v>
      </c>
      <c r="B726">
        <v>2519.6799999999998</v>
      </c>
      <c r="C726">
        <v>3477.36</v>
      </c>
      <c r="D726">
        <v>7184.71</v>
      </c>
      <c r="E726">
        <v>7148.3366299999998</v>
      </c>
      <c r="F726">
        <v>7805.4</v>
      </c>
      <c r="G726">
        <v>15394.62</v>
      </c>
    </row>
    <row r="727" spans="1:7" x14ac:dyDescent="0.35">
      <c r="A727" s="1">
        <v>41235</v>
      </c>
      <c r="B727">
        <v>2535.09</v>
      </c>
      <c r="C727">
        <v>3498.22</v>
      </c>
      <c r="D727">
        <v>7244.99</v>
      </c>
      <c r="E727">
        <v>7172.6988700000002</v>
      </c>
      <c r="F727">
        <v>7875.6</v>
      </c>
      <c r="G727">
        <v>15553.62</v>
      </c>
    </row>
    <row r="728" spans="1:7" x14ac:dyDescent="0.35">
      <c r="A728" s="1">
        <v>41236</v>
      </c>
      <c r="B728">
        <v>2557.0300000000002</v>
      </c>
      <c r="C728">
        <v>3528.8</v>
      </c>
      <c r="D728">
        <v>7309.13</v>
      </c>
      <c r="E728">
        <v>7192.14516</v>
      </c>
      <c r="F728">
        <v>7909.6</v>
      </c>
      <c r="G728">
        <v>15635.89</v>
      </c>
    </row>
    <row r="729" spans="1:7" x14ac:dyDescent="0.35">
      <c r="A729" s="1">
        <v>41239</v>
      </c>
      <c r="B729">
        <v>2542.52</v>
      </c>
      <c r="C729">
        <v>3500.94</v>
      </c>
      <c r="D729">
        <v>7292.03</v>
      </c>
      <c r="E729">
        <v>7152.5823799999998</v>
      </c>
      <c r="F729">
        <v>7874.8</v>
      </c>
      <c r="G729">
        <v>15520.14</v>
      </c>
    </row>
    <row r="730" spans="1:7" x14ac:dyDescent="0.35">
      <c r="A730" s="1">
        <v>41240</v>
      </c>
      <c r="B730">
        <v>2543.4499999999998</v>
      </c>
      <c r="C730">
        <v>3502.13</v>
      </c>
      <c r="D730">
        <v>7332.33</v>
      </c>
      <c r="E730">
        <v>7183.8590400000003</v>
      </c>
      <c r="F730">
        <v>7863.7</v>
      </c>
      <c r="G730">
        <v>15479.81</v>
      </c>
    </row>
    <row r="731" spans="1:7" x14ac:dyDescent="0.35">
      <c r="A731" s="1">
        <v>41241</v>
      </c>
      <c r="B731">
        <v>2546.84</v>
      </c>
      <c r="C731">
        <v>3515.19</v>
      </c>
      <c r="D731">
        <v>7343.41</v>
      </c>
      <c r="E731">
        <v>7181.3403799999996</v>
      </c>
      <c r="F731">
        <v>7837.6</v>
      </c>
      <c r="G731">
        <v>15453.43</v>
      </c>
    </row>
    <row r="732" spans="1:7" x14ac:dyDescent="0.35">
      <c r="A732" s="1">
        <v>41242</v>
      </c>
      <c r="B732">
        <v>2581.69</v>
      </c>
      <c r="C732">
        <v>3568.88</v>
      </c>
      <c r="D732">
        <v>7400.96</v>
      </c>
      <c r="E732">
        <v>7259.5862299999999</v>
      </c>
      <c r="F732">
        <v>7973.7</v>
      </c>
      <c r="G732">
        <v>15887.99</v>
      </c>
    </row>
    <row r="733" spans="1:7" x14ac:dyDescent="0.35">
      <c r="A733" s="1">
        <v>41243</v>
      </c>
      <c r="B733">
        <v>2575.25</v>
      </c>
      <c r="C733">
        <v>3557.28</v>
      </c>
      <c r="D733">
        <v>7405.5</v>
      </c>
      <c r="E733">
        <v>7234.0300100000004</v>
      </c>
      <c r="F733">
        <v>7934.6</v>
      </c>
      <c r="G733">
        <v>15808.24</v>
      </c>
    </row>
    <row r="734" spans="1:7" x14ac:dyDescent="0.35">
      <c r="A734" s="1">
        <v>41246</v>
      </c>
      <c r="B734">
        <v>2582.36</v>
      </c>
      <c r="C734">
        <v>3566.59</v>
      </c>
      <c r="D734">
        <v>7435.21</v>
      </c>
      <c r="E734">
        <v>7242.0205100000003</v>
      </c>
      <c r="F734">
        <v>7889.2</v>
      </c>
      <c r="G734">
        <v>15876.06</v>
      </c>
    </row>
    <row r="735" spans="1:7" x14ac:dyDescent="0.35">
      <c r="A735" s="1">
        <v>41247</v>
      </c>
      <c r="B735">
        <v>2590.83</v>
      </c>
      <c r="C735">
        <v>3580.48</v>
      </c>
      <c r="D735">
        <v>7435.12</v>
      </c>
      <c r="E735">
        <v>7217.0542999999998</v>
      </c>
      <c r="F735">
        <v>7902.4</v>
      </c>
      <c r="G735">
        <v>16041.54</v>
      </c>
    </row>
    <row r="736" spans="1:7" x14ac:dyDescent="0.35">
      <c r="A736" s="1">
        <v>41248</v>
      </c>
      <c r="B736">
        <v>2592.09</v>
      </c>
      <c r="C736">
        <v>3590.5</v>
      </c>
      <c r="D736">
        <v>7454.55</v>
      </c>
      <c r="E736">
        <v>7251.40978</v>
      </c>
      <c r="F736">
        <v>7883.2</v>
      </c>
      <c r="G736">
        <v>15954.43</v>
      </c>
    </row>
    <row r="737" spans="1:7" x14ac:dyDescent="0.35">
      <c r="A737" s="1">
        <v>41249</v>
      </c>
      <c r="B737">
        <v>2603.41</v>
      </c>
      <c r="C737">
        <v>3601.65</v>
      </c>
      <c r="D737">
        <v>7534.54</v>
      </c>
      <c r="E737">
        <v>7308.2121100000004</v>
      </c>
      <c r="F737">
        <v>7910.8</v>
      </c>
      <c r="G737">
        <v>15835.22</v>
      </c>
    </row>
    <row r="738" spans="1:7" x14ac:dyDescent="0.35">
      <c r="A738" s="1">
        <v>41250</v>
      </c>
      <c r="B738">
        <v>2601.37</v>
      </c>
      <c r="C738">
        <v>3605.61</v>
      </c>
      <c r="D738">
        <v>7517.8</v>
      </c>
      <c r="E738">
        <v>7329.4681899999996</v>
      </c>
      <c r="F738">
        <v>7848.5</v>
      </c>
      <c r="G738">
        <v>15699.22</v>
      </c>
    </row>
    <row r="739" spans="1:7" x14ac:dyDescent="0.35">
      <c r="A739" s="1">
        <v>41253</v>
      </c>
      <c r="B739">
        <v>2596.02</v>
      </c>
      <c r="C739">
        <v>3612.1</v>
      </c>
      <c r="D739">
        <v>7530.92</v>
      </c>
      <c r="E739">
        <v>7356.1502499999997</v>
      </c>
      <c r="F739">
        <v>7804.4</v>
      </c>
      <c r="G739">
        <v>15354.01</v>
      </c>
    </row>
    <row r="740" spans="1:7" x14ac:dyDescent="0.35">
      <c r="A740" s="1">
        <v>41254</v>
      </c>
      <c r="B740">
        <v>2624.03</v>
      </c>
      <c r="C740">
        <v>3646.15</v>
      </c>
      <c r="D740">
        <v>7589.75</v>
      </c>
      <c r="E740">
        <v>7343.8815800000002</v>
      </c>
      <c r="F740">
        <v>7920.9</v>
      </c>
      <c r="G740">
        <v>15585.61</v>
      </c>
    </row>
    <row r="741" spans="1:7" x14ac:dyDescent="0.35">
      <c r="A741" s="1">
        <v>41255</v>
      </c>
      <c r="B741">
        <v>2630.34</v>
      </c>
      <c r="C741">
        <v>3646.66</v>
      </c>
      <c r="D741">
        <v>7614.79</v>
      </c>
      <c r="E741">
        <v>7344.1787199999999</v>
      </c>
      <c r="F741">
        <v>7986.8</v>
      </c>
      <c r="G741">
        <v>15764.98</v>
      </c>
    </row>
    <row r="742" spans="1:7" x14ac:dyDescent="0.35">
      <c r="A742" s="1">
        <v>41256</v>
      </c>
      <c r="B742">
        <v>2627.66</v>
      </c>
      <c r="C742">
        <v>3643.13</v>
      </c>
      <c r="D742">
        <v>7581.98</v>
      </c>
      <c r="E742">
        <v>7305.6243199999999</v>
      </c>
      <c r="F742">
        <v>8017.1</v>
      </c>
      <c r="G742">
        <v>15866.29</v>
      </c>
    </row>
    <row r="743" spans="1:7" x14ac:dyDescent="0.35">
      <c r="A743" s="1">
        <v>41257</v>
      </c>
      <c r="B743">
        <v>2630.54</v>
      </c>
      <c r="C743">
        <v>3643.28</v>
      </c>
      <c r="D743">
        <v>7596.47</v>
      </c>
      <c r="E743">
        <v>7273.1336899999997</v>
      </c>
      <c r="F743">
        <v>8024.1</v>
      </c>
      <c r="G743">
        <v>15908.09</v>
      </c>
    </row>
    <row r="744" spans="1:7" x14ac:dyDescent="0.35">
      <c r="A744" s="1">
        <v>41260</v>
      </c>
      <c r="B744">
        <v>2628.01</v>
      </c>
      <c r="C744">
        <v>3638.1</v>
      </c>
      <c r="D744">
        <v>7604.94</v>
      </c>
      <c r="E744">
        <v>7279.98344</v>
      </c>
      <c r="F744">
        <v>8040.3</v>
      </c>
      <c r="G744">
        <v>16004.73</v>
      </c>
    </row>
    <row r="745" spans="1:7" x14ac:dyDescent="0.35">
      <c r="A745" s="1">
        <v>41261</v>
      </c>
      <c r="B745">
        <v>2643.5</v>
      </c>
      <c r="C745">
        <v>3648.63</v>
      </c>
      <c r="D745">
        <v>7653.58</v>
      </c>
      <c r="E745">
        <v>7292.22847</v>
      </c>
      <c r="F745">
        <v>8168.8</v>
      </c>
      <c r="G745">
        <v>16155.14</v>
      </c>
    </row>
    <row r="746" spans="1:7" x14ac:dyDescent="0.35">
      <c r="A746" s="1">
        <v>41262</v>
      </c>
      <c r="B746">
        <v>2654.69</v>
      </c>
      <c r="C746">
        <v>3664.59</v>
      </c>
      <c r="D746">
        <v>7668.5</v>
      </c>
      <c r="E746">
        <v>7322.6959399999996</v>
      </c>
      <c r="F746">
        <v>8264.2000000000007</v>
      </c>
      <c r="G746">
        <v>16332.5</v>
      </c>
    </row>
    <row r="747" spans="1:7" x14ac:dyDescent="0.35">
      <c r="A747" s="1">
        <v>41263</v>
      </c>
      <c r="B747">
        <v>2658.3</v>
      </c>
      <c r="C747">
        <v>3666.73</v>
      </c>
      <c r="D747">
        <v>7672.1</v>
      </c>
      <c r="E747">
        <v>7324.6179599999996</v>
      </c>
      <c r="F747">
        <v>8264.2000000000007</v>
      </c>
      <c r="G747">
        <v>16399.36</v>
      </c>
    </row>
    <row r="748" spans="1:7" x14ac:dyDescent="0.35">
      <c r="A748" s="1">
        <v>41264</v>
      </c>
      <c r="B748">
        <v>2651.09</v>
      </c>
      <c r="C748">
        <v>3661.4</v>
      </c>
      <c r="D748">
        <v>7636.23</v>
      </c>
      <c r="E748">
        <v>7291.8124600000001</v>
      </c>
      <c r="F748">
        <v>8291</v>
      </c>
      <c r="G748">
        <v>16333.95</v>
      </c>
    </row>
    <row r="749" spans="1:7" x14ac:dyDescent="0.35">
      <c r="A749" s="1">
        <v>41270</v>
      </c>
      <c r="B749">
        <v>2659.95</v>
      </c>
      <c r="C749">
        <v>3674.26</v>
      </c>
      <c r="D749">
        <v>7655.88</v>
      </c>
      <c r="E749">
        <v>7244.7739499999998</v>
      </c>
      <c r="F749">
        <v>8280.9</v>
      </c>
      <c r="G749">
        <v>16408.28</v>
      </c>
    </row>
    <row r="750" spans="1:7" x14ac:dyDescent="0.35">
      <c r="A750" s="1">
        <v>41271</v>
      </c>
      <c r="B750">
        <v>2626.85</v>
      </c>
      <c r="C750">
        <v>3620.25</v>
      </c>
      <c r="D750">
        <v>7612.39</v>
      </c>
      <c r="E750">
        <v>7242.0192999999999</v>
      </c>
      <c r="F750">
        <v>8131</v>
      </c>
      <c r="G750">
        <v>16273.38</v>
      </c>
    </row>
    <row r="751" spans="1:7" x14ac:dyDescent="0.35">
      <c r="A751" s="1">
        <v>41276</v>
      </c>
      <c r="B751">
        <v>2711.25</v>
      </c>
      <c r="C751">
        <v>3733.93</v>
      </c>
      <c r="D751">
        <v>7778.78</v>
      </c>
      <c r="E751">
        <v>7428.8284999999996</v>
      </c>
      <c r="F751">
        <v>8447.6</v>
      </c>
      <c r="G751">
        <v>16893.39</v>
      </c>
    </row>
    <row r="752" spans="1:7" x14ac:dyDescent="0.35">
      <c r="A752" s="1">
        <v>41277</v>
      </c>
      <c r="B752">
        <v>2701.22</v>
      </c>
      <c r="C752">
        <v>3721.17</v>
      </c>
      <c r="D752">
        <v>7756.44</v>
      </c>
      <c r="E752">
        <v>7451.8209900000002</v>
      </c>
      <c r="F752">
        <v>8403.4</v>
      </c>
      <c r="G752">
        <v>16909.830000000002</v>
      </c>
    </row>
    <row r="753" spans="1:7" x14ac:dyDescent="0.35">
      <c r="A753" s="1">
        <v>41278</v>
      </c>
      <c r="B753">
        <v>2709.35</v>
      </c>
      <c r="C753">
        <v>3730.02</v>
      </c>
      <c r="D753">
        <v>7776.37</v>
      </c>
      <c r="E753">
        <v>7488.0437400000001</v>
      </c>
      <c r="F753">
        <v>8435.7999999999993</v>
      </c>
      <c r="G753">
        <v>16959.78</v>
      </c>
    </row>
    <row r="754" spans="1:7" x14ac:dyDescent="0.35">
      <c r="A754" s="1">
        <v>41281</v>
      </c>
      <c r="B754">
        <v>2695.56</v>
      </c>
      <c r="C754">
        <v>3704.64</v>
      </c>
      <c r="D754">
        <v>7732.66</v>
      </c>
      <c r="E754">
        <v>7444.7022299999999</v>
      </c>
      <c r="F754">
        <v>8419</v>
      </c>
      <c r="G754">
        <v>16895.66</v>
      </c>
    </row>
    <row r="755" spans="1:7" x14ac:dyDescent="0.35">
      <c r="A755" s="1">
        <v>41282</v>
      </c>
      <c r="B755">
        <v>2691.45</v>
      </c>
      <c r="C755">
        <v>3705.88</v>
      </c>
      <c r="D755">
        <v>7695.83</v>
      </c>
      <c r="E755">
        <v>7430.6339799999996</v>
      </c>
      <c r="F755">
        <v>8453</v>
      </c>
      <c r="G755">
        <v>16951.14</v>
      </c>
    </row>
    <row r="756" spans="1:7" x14ac:dyDescent="0.35">
      <c r="A756" s="1">
        <v>41283</v>
      </c>
      <c r="B756">
        <v>2706.39</v>
      </c>
      <c r="C756">
        <v>3717.45</v>
      </c>
      <c r="D756">
        <v>7720.47</v>
      </c>
      <c r="E756">
        <v>7479.0009600000003</v>
      </c>
      <c r="F756">
        <v>8606.4</v>
      </c>
      <c r="G756">
        <v>17326.27</v>
      </c>
    </row>
    <row r="757" spans="1:7" x14ac:dyDescent="0.35">
      <c r="A757" s="1">
        <v>41284</v>
      </c>
      <c r="B757">
        <v>2708.27</v>
      </c>
      <c r="C757">
        <v>3703.12</v>
      </c>
      <c r="D757">
        <v>7708.47</v>
      </c>
      <c r="E757">
        <v>7436.3878699999996</v>
      </c>
      <c r="F757">
        <v>8618.9</v>
      </c>
      <c r="G757">
        <v>17451.07</v>
      </c>
    </row>
    <row r="758" spans="1:7" x14ac:dyDescent="0.35">
      <c r="A758" s="1">
        <v>41285</v>
      </c>
      <c r="B758">
        <v>2717.79</v>
      </c>
      <c r="C758">
        <v>3706.02</v>
      </c>
      <c r="D758">
        <v>7715.53</v>
      </c>
      <c r="E758">
        <v>7395.3818300000003</v>
      </c>
      <c r="F758">
        <v>8664.7000000000007</v>
      </c>
      <c r="G758">
        <v>17502.39</v>
      </c>
    </row>
    <row r="759" spans="1:7" x14ac:dyDescent="0.35">
      <c r="A759" s="1">
        <v>41288</v>
      </c>
      <c r="B759">
        <v>2715.16</v>
      </c>
      <c r="C759">
        <v>3708.25</v>
      </c>
      <c r="D759">
        <v>7729.52</v>
      </c>
      <c r="E759">
        <v>7347.5334300000004</v>
      </c>
      <c r="F759">
        <v>8632.1</v>
      </c>
      <c r="G759">
        <v>17391.240000000002</v>
      </c>
    </row>
    <row r="760" spans="1:7" x14ac:dyDescent="0.35">
      <c r="A760" s="1">
        <v>41289</v>
      </c>
      <c r="B760">
        <v>2701.59</v>
      </c>
      <c r="C760">
        <v>3697.35</v>
      </c>
      <c r="D760">
        <v>7675.91</v>
      </c>
      <c r="E760">
        <v>7373.3425999999999</v>
      </c>
      <c r="F760">
        <v>8601</v>
      </c>
      <c r="G760">
        <v>17467.48</v>
      </c>
    </row>
    <row r="761" spans="1:7" x14ac:dyDescent="0.35">
      <c r="A761" s="1">
        <v>41290</v>
      </c>
      <c r="B761">
        <v>2702.54</v>
      </c>
      <c r="C761">
        <v>3708.49</v>
      </c>
      <c r="D761">
        <v>7691.13</v>
      </c>
      <c r="E761">
        <v>7349.2213300000003</v>
      </c>
      <c r="F761">
        <v>8581.1</v>
      </c>
      <c r="G761">
        <v>17339.95</v>
      </c>
    </row>
    <row r="762" spans="1:7" x14ac:dyDescent="0.35">
      <c r="A762" s="1">
        <v>41291</v>
      </c>
      <c r="B762">
        <v>2718.93</v>
      </c>
      <c r="C762">
        <v>3744.11</v>
      </c>
      <c r="D762">
        <v>7735.46</v>
      </c>
      <c r="E762">
        <v>7338.2745500000001</v>
      </c>
      <c r="F762">
        <v>8628.9</v>
      </c>
      <c r="G762">
        <v>17587.349999999999</v>
      </c>
    </row>
    <row r="763" spans="1:7" x14ac:dyDescent="0.35">
      <c r="A763" s="1">
        <v>41292</v>
      </c>
      <c r="B763">
        <v>2709.59</v>
      </c>
      <c r="C763">
        <v>3741.58</v>
      </c>
      <c r="D763">
        <v>7702.23</v>
      </c>
      <c r="E763">
        <v>7332.5306700000001</v>
      </c>
      <c r="F763">
        <v>8604</v>
      </c>
      <c r="G763">
        <v>17554.13</v>
      </c>
    </row>
    <row r="764" spans="1:7" x14ac:dyDescent="0.35">
      <c r="A764" s="1">
        <v>41295</v>
      </c>
      <c r="B764">
        <v>2726.63</v>
      </c>
      <c r="C764">
        <v>3763.03</v>
      </c>
      <c r="D764">
        <v>7748.86</v>
      </c>
      <c r="E764">
        <v>7349.6897399999998</v>
      </c>
      <c r="F764">
        <v>8665.9</v>
      </c>
      <c r="G764">
        <v>17631.990000000002</v>
      </c>
    </row>
    <row r="765" spans="1:7" x14ac:dyDescent="0.35">
      <c r="A765" s="1">
        <v>41296</v>
      </c>
      <c r="B765">
        <v>2716.7</v>
      </c>
      <c r="C765">
        <v>3741.01</v>
      </c>
      <c r="D765">
        <v>7696.21</v>
      </c>
      <c r="E765">
        <v>7361.5063</v>
      </c>
      <c r="F765">
        <v>8632.1</v>
      </c>
      <c r="G765">
        <v>17715.900000000001</v>
      </c>
    </row>
    <row r="766" spans="1:7" x14ac:dyDescent="0.35">
      <c r="A766" s="1">
        <v>41297</v>
      </c>
      <c r="B766">
        <v>2708.28</v>
      </c>
      <c r="C766">
        <v>3726.17</v>
      </c>
      <c r="D766">
        <v>7707.54</v>
      </c>
      <c r="E766">
        <v>7377.3666199999998</v>
      </c>
      <c r="F766">
        <v>8613.2999999999993</v>
      </c>
      <c r="G766">
        <v>17579</v>
      </c>
    </row>
    <row r="767" spans="1:7" x14ac:dyDescent="0.35">
      <c r="A767" s="1">
        <v>41298</v>
      </c>
      <c r="B767">
        <v>2722.96</v>
      </c>
      <c r="C767">
        <v>3752.17</v>
      </c>
      <c r="D767">
        <v>7748.13</v>
      </c>
      <c r="E767">
        <v>7393.9336400000002</v>
      </c>
      <c r="F767">
        <v>8665.6</v>
      </c>
      <c r="G767">
        <v>17756.63</v>
      </c>
    </row>
    <row r="768" spans="1:7" x14ac:dyDescent="0.35">
      <c r="A768" s="1">
        <v>41299</v>
      </c>
      <c r="B768">
        <v>2744.18</v>
      </c>
      <c r="C768">
        <v>3778.16</v>
      </c>
      <c r="D768">
        <v>7857.97</v>
      </c>
      <c r="E768">
        <v>7381.3789800000004</v>
      </c>
      <c r="F768">
        <v>8724.6</v>
      </c>
      <c r="G768">
        <v>17726.89</v>
      </c>
    </row>
    <row r="769" spans="1:7" x14ac:dyDescent="0.35">
      <c r="A769" s="1">
        <v>41302</v>
      </c>
      <c r="B769">
        <v>2744.5</v>
      </c>
      <c r="C769">
        <v>3780.89</v>
      </c>
      <c r="D769">
        <v>7833</v>
      </c>
      <c r="E769">
        <v>7339.2689600000003</v>
      </c>
      <c r="F769">
        <v>8672.5</v>
      </c>
      <c r="G769">
        <v>17897.41</v>
      </c>
    </row>
    <row r="770" spans="1:7" x14ac:dyDescent="0.35">
      <c r="A770" s="1">
        <v>41303</v>
      </c>
      <c r="B770">
        <v>2749.27</v>
      </c>
      <c r="C770">
        <v>3785.82</v>
      </c>
      <c r="D770">
        <v>7848.57</v>
      </c>
      <c r="E770">
        <v>7409.0458799999997</v>
      </c>
      <c r="F770">
        <v>8643</v>
      </c>
      <c r="G770">
        <v>17891.91</v>
      </c>
    </row>
    <row r="771" spans="1:7" x14ac:dyDescent="0.35">
      <c r="A771" s="1">
        <v>41304</v>
      </c>
      <c r="B771">
        <v>2732.12</v>
      </c>
      <c r="C771">
        <v>3765.52</v>
      </c>
      <c r="D771">
        <v>7811.31</v>
      </c>
      <c r="E771">
        <v>7358.6392100000003</v>
      </c>
      <c r="F771">
        <v>8571.9</v>
      </c>
      <c r="G771">
        <v>17289.91</v>
      </c>
    </row>
    <row r="772" spans="1:7" x14ac:dyDescent="0.35">
      <c r="A772" s="1">
        <v>41305</v>
      </c>
      <c r="B772">
        <v>2702.98</v>
      </c>
      <c r="C772">
        <v>3732.6</v>
      </c>
      <c r="D772">
        <v>7776.05</v>
      </c>
      <c r="E772">
        <v>7335.04072</v>
      </c>
      <c r="F772">
        <v>8362.2999999999993</v>
      </c>
      <c r="G772">
        <v>17439.060000000001</v>
      </c>
    </row>
    <row r="773" spans="1:7" x14ac:dyDescent="0.35">
      <c r="A773" s="1">
        <v>41306</v>
      </c>
      <c r="B773">
        <v>2710.08</v>
      </c>
      <c r="C773">
        <v>3773.53</v>
      </c>
      <c r="D773">
        <v>7833.39</v>
      </c>
      <c r="E773">
        <v>7303.2027799999996</v>
      </c>
      <c r="F773">
        <v>8229.7000000000007</v>
      </c>
      <c r="G773">
        <v>17318.939999999999</v>
      </c>
    </row>
    <row r="774" spans="1:7" x14ac:dyDescent="0.35">
      <c r="A774" s="1">
        <v>41309</v>
      </c>
      <c r="B774">
        <v>2625.17</v>
      </c>
      <c r="C774">
        <v>3659.91</v>
      </c>
      <c r="D774">
        <v>7638.23</v>
      </c>
      <c r="E774">
        <v>7263.5957099999996</v>
      </c>
      <c r="F774">
        <v>7919.6</v>
      </c>
      <c r="G774">
        <v>16539</v>
      </c>
    </row>
    <row r="775" spans="1:7" x14ac:dyDescent="0.35">
      <c r="A775" s="1">
        <v>41310</v>
      </c>
      <c r="B775">
        <v>2651.21</v>
      </c>
      <c r="C775">
        <v>3694.7</v>
      </c>
      <c r="D775">
        <v>7664.66</v>
      </c>
      <c r="E775">
        <v>7235.5342600000004</v>
      </c>
      <c r="F775">
        <v>8093.6</v>
      </c>
      <c r="G775">
        <v>16712.259999999998</v>
      </c>
    </row>
    <row r="776" spans="1:7" x14ac:dyDescent="0.35">
      <c r="A776" s="1">
        <v>41311</v>
      </c>
      <c r="B776">
        <v>2617.35</v>
      </c>
      <c r="C776">
        <v>3642.9</v>
      </c>
      <c r="D776">
        <v>7581.18</v>
      </c>
      <c r="E776">
        <v>7291.3024800000003</v>
      </c>
      <c r="F776">
        <v>8056.2</v>
      </c>
      <c r="G776">
        <v>16602.849999999999</v>
      </c>
    </row>
    <row r="777" spans="1:7" x14ac:dyDescent="0.35">
      <c r="A777" s="1">
        <v>41312</v>
      </c>
      <c r="B777">
        <v>2597.92</v>
      </c>
      <c r="C777">
        <v>3601.05</v>
      </c>
      <c r="D777">
        <v>7590.85</v>
      </c>
      <c r="E777">
        <v>7295.5383000000002</v>
      </c>
      <c r="F777">
        <v>8014.6</v>
      </c>
      <c r="G777">
        <v>16400.560000000001</v>
      </c>
    </row>
    <row r="778" spans="1:7" x14ac:dyDescent="0.35">
      <c r="A778" s="1">
        <v>41313</v>
      </c>
      <c r="B778">
        <v>2630.3</v>
      </c>
      <c r="C778">
        <v>3649.5</v>
      </c>
      <c r="D778">
        <v>7652.14</v>
      </c>
      <c r="E778">
        <v>7407.9004400000003</v>
      </c>
      <c r="F778">
        <v>8174.9</v>
      </c>
      <c r="G778">
        <v>16630.5</v>
      </c>
    </row>
    <row r="779" spans="1:7" x14ac:dyDescent="0.35">
      <c r="A779" s="1">
        <v>41316</v>
      </c>
      <c r="B779">
        <v>2622.61</v>
      </c>
      <c r="C779">
        <v>3650.58</v>
      </c>
      <c r="D779">
        <v>7633.74</v>
      </c>
      <c r="E779">
        <v>7338.2946199999997</v>
      </c>
      <c r="F779">
        <v>8078.6</v>
      </c>
      <c r="G779">
        <v>16529.87</v>
      </c>
    </row>
    <row r="780" spans="1:7" x14ac:dyDescent="0.35">
      <c r="A780" s="1">
        <v>41317</v>
      </c>
      <c r="B780">
        <v>2648.83</v>
      </c>
      <c r="C780">
        <v>3686.58</v>
      </c>
      <c r="D780">
        <v>7660.19</v>
      </c>
      <c r="E780">
        <v>7376.4939299999996</v>
      </c>
      <c r="F780">
        <v>8234.7000000000007</v>
      </c>
      <c r="G780">
        <v>16644.45</v>
      </c>
    </row>
    <row r="781" spans="1:7" x14ac:dyDescent="0.35">
      <c r="A781" s="1">
        <v>41318</v>
      </c>
      <c r="B781">
        <v>2656.86</v>
      </c>
      <c r="C781">
        <v>3698.53</v>
      </c>
      <c r="D781">
        <v>7711.89</v>
      </c>
      <c r="E781">
        <v>7355.0696200000002</v>
      </c>
      <c r="F781">
        <v>8306.2000000000007</v>
      </c>
      <c r="G781">
        <v>16712.150000000001</v>
      </c>
    </row>
    <row r="782" spans="1:7" x14ac:dyDescent="0.35">
      <c r="A782" s="1">
        <v>41319</v>
      </c>
      <c r="B782">
        <v>2635.35</v>
      </c>
      <c r="C782">
        <v>3669.6</v>
      </c>
      <c r="D782">
        <v>7631.19</v>
      </c>
      <c r="E782">
        <v>7348.5598600000003</v>
      </c>
      <c r="F782">
        <v>8247.4</v>
      </c>
      <c r="G782">
        <v>16544.95</v>
      </c>
    </row>
    <row r="783" spans="1:7" x14ac:dyDescent="0.35">
      <c r="A783" s="1">
        <v>41320</v>
      </c>
      <c r="B783">
        <v>2615.2600000000002</v>
      </c>
      <c r="C783">
        <v>3660.37</v>
      </c>
      <c r="D783">
        <v>7593.51</v>
      </c>
      <c r="E783">
        <v>7357.0642900000003</v>
      </c>
      <c r="F783">
        <v>8150.2</v>
      </c>
      <c r="G783">
        <v>16489.8</v>
      </c>
    </row>
    <row r="784" spans="1:7" x14ac:dyDescent="0.35">
      <c r="A784" s="1">
        <v>41323</v>
      </c>
      <c r="B784">
        <v>2616.65</v>
      </c>
      <c r="C784">
        <v>3667.04</v>
      </c>
      <c r="D784">
        <v>7628.73</v>
      </c>
      <c r="E784">
        <v>7321.7757899999997</v>
      </c>
      <c r="F784">
        <v>8108.9</v>
      </c>
      <c r="G784">
        <v>16406.03</v>
      </c>
    </row>
    <row r="785" spans="1:7" x14ac:dyDescent="0.35">
      <c r="A785" s="1">
        <v>41324</v>
      </c>
      <c r="B785">
        <v>2662.37</v>
      </c>
      <c r="C785">
        <v>3735.82</v>
      </c>
      <c r="D785">
        <v>7752.45</v>
      </c>
      <c r="E785">
        <v>7346.2454500000003</v>
      </c>
      <c r="F785">
        <v>8225.2999999999993</v>
      </c>
      <c r="G785">
        <v>16664.419999999998</v>
      </c>
    </row>
    <row r="786" spans="1:7" x14ac:dyDescent="0.35">
      <c r="A786" s="1">
        <v>41325</v>
      </c>
      <c r="B786">
        <v>2640.35</v>
      </c>
      <c r="C786">
        <v>3709.88</v>
      </c>
      <c r="D786">
        <v>7728.9</v>
      </c>
      <c r="E786">
        <v>7327.0695900000001</v>
      </c>
      <c r="F786">
        <v>8163</v>
      </c>
      <c r="G786">
        <v>16527.5</v>
      </c>
    </row>
    <row r="787" spans="1:7" x14ac:dyDescent="0.35">
      <c r="A787" s="1">
        <v>41326</v>
      </c>
      <c r="B787">
        <v>2579.7600000000002</v>
      </c>
      <c r="C787">
        <v>3624.8</v>
      </c>
      <c r="D787">
        <v>7583.57</v>
      </c>
      <c r="E787">
        <v>7272.4482799999996</v>
      </c>
      <c r="F787">
        <v>8014.5</v>
      </c>
      <c r="G787">
        <v>16009.55</v>
      </c>
    </row>
    <row r="788" spans="1:7" x14ac:dyDescent="0.35">
      <c r="A788" s="1">
        <v>41327</v>
      </c>
      <c r="B788">
        <v>2630.05</v>
      </c>
      <c r="C788">
        <v>3706.28</v>
      </c>
      <c r="D788">
        <v>7661.91</v>
      </c>
      <c r="E788">
        <v>7329.5258800000001</v>
      </c>
      <c r="F788">
        <v>8179</v>
      </c>
      <c r="G788">
        <v>16233.28</v>
      </c>
    </row>
    <row r="789" spans="1:7" x14ac:dyDescent="0.35">
      <c r="A789" s="1">
        <v>41330</v>
      </c>
      <c r="B789">
        <v>2651.86</v>
      </c>
      <c r="C789">
        <v>3721.33</v>
      </c>
      <c r="D789">
        <v>7773.19</v>
      </c>
      <c r="E789">
        <v>7297.69139</v>
      </c>
      <c r="F789">
        <v>8244.5</v>
      </c>
      <c r="G789">
        <v>16351.99</v>
      </c>
    </row>
    <row r="790" spans="1:7" x14ac:dyDescent="0.35">
      <c r="A790" s="1">
        <v>41331</v>
      </c>
      <c r="B790">
        <v>2570.52</v>
      </c>
      <c r="C790">
        <v>3621.92</v>
      </c>
      <c r="D790">
        <v>7597.11</v>
      </c>
      <c r="E790">
        <v>7274.0370899999998</v>
      </c>
      <c r="F790">
        <v>7980.7</v>
      </c>
      <c r="G790">
        <v>15552.2</v>
      </c>
    </row>
    <row r="791" spans="1:7" x14ac:dyDescent="0.35">
      <c r="A791" s="1">
        <v>41332</v>
      </c>
      <c r="B791">
        <v>2611.89</v>
      </c>
      <c r="C791">
        <v>3691.49</v>
      </c>
      <c r="D791">
        <v>7675.83</v>
      </c>
      <c r="E791">
        <v>7309.6052900000004</v>
      </c>
      <c r="F791">
        <v>8136.7</v>
      </c>
      <c r="G791">
        <v>15827.02</v>
      </c>
    </row>
    <row r="792" spans="1:7" x14ac:dyDescent="0.35">
      <c r="A792" s="1">
        <v>41333</v>
      </c>
      <c r="B792">
        <v>2633.55</v>
      </c>
      <c r="C792">
        <v>3723</v>
      </c>
      <c r="D792">
        <v>7741.7</v>
      </c>
      <c r="E792">
        <v>7382.2929800000002</v>
      </c>
      <c r="F792">
        <v>8230.2999999999993</v>
      </c>
      <c r="G792">
        <v>15921.25</v>
      </c>
    </row>
    <row r="793" spans="1:7" x14ac:dyDescent="0.35">
      <c r="A793" s="1">
        <v>41334</v>
      </c>
      <c r="B793">
        <v>2616.75</v>
      </c>
      <c r="C793">
        <v>3699.91</v>
      </c>
      <c r="D793">
        <v>7708.16</v>
      </c>
      <c r="E793">
        <v>7357.7410200000004</v>
      </c>
      <c r="F793">
        <v>8187.1</v>
      </c>
      <c r="G793">
        <v>15675.37</v>
      </c>
    </row>
    <row r="794" spans="1:7" x14ac:dyDescent="0.35">
      <c r="A794" s="1">
        <v>41337</v>
      </c>
      <c r="B794">
        <v>2619.7800000000002</v>
      </c>
      <c r="C794">
        <v>3709.76</v>
      </c>
      <c r="D794">
        <v>7691.68</v>
      </c>
      <c r="E794">
        <v>7359.7406000000001</v>
      </c>
      <c r="F794">
        <v>8246.2999999999993</v>
      </c>
      <c r="G794">
        <v>15542.17</v>
      </c>
    </row>
    <row r="795" spans="1:7" x14ac:dyDescent="0.35">
      <c r="A795" s="1">
        <v>41338</v>
      </c>
      <c r="B795">
        <v>2683.02</v>
      </c>
      <c r="C795">
        <v>3787.19</v>
      </c>
      <c r="D795">
        <v>7870.31</v>
      </c>
      <c r="E795">
        <v>7458.59292</v>
      </c>
      <c r="F795">
        <v>8423.2999999999993</v>
      </c>
      <c r="G795">
        <v>15974.3</v>
      </c>
    </row>
    <row r="796" spans="1:7" x14ac:dyDescent="0.35">
      <c r="A796" s="1">
        <v>41339</v>
      </c>
      <c r="B796">
        <v>2679.89</v>
      </c>
      <c r="C796">
        <v>3773.76</v>
      </c>
      <c r="D796">
        <v>7919.33</v>
      </c>
      <c r="E796">
        <v>7432.6081899999999</v>
      </c>
      <c r="F796">
        <v>8358.9</v>
      </c>
      <c r="G796">
        <v>15899.7</v>
      </c>
    </row>
    <row r="797" spans="1:7" x14ac:dyDescent="0.35">
      <c r="A797" s="1">
        <v>41340</v>
      </c>
      <c r="B797">
        <v>2690.85</v>
      </c>
      <c r="C797">
        <v>3793.78</v>
      </c>
      <c r="D797">
        <v>7939.77</v>
      </c>
      <c r="E797">
        <v>7387.5557900000003</v>
      </c>
      <c r="F797">
        <v>8389.1</v>
      </c>
      <c r="G797">
        <v>15947.17</v>
      </c>
    </row>
    <row r="798" spans="1:7" x14ac:dyDescent="0.35">
      <c r="A798" s="1">
        <v>41341</v>
      </c>
      <c r="B798">
        <v>2728.78</v>
      </c>
      <c r="C798">
        <v>3840.15</v>
      </c>
      <c r="D798">
        <v>7986.47</v>
      </c>
      <c r="E798">
        <v>7459.8604100000002</v>
      </c>
      <c r="F798">
        <v>8628.1</v>
      </c>
      <c r="G798">
        <v>16204.03</v>
      </c>
    </row>
    <row r="799" spans="1:7" x14ac:dyDescent="0.35">
      <c r="A799" s="1">
        <v>41344</v>
      </c>
      <c r="B799">
        <v>2718.71</v>
      </c>
      <c r="C799">
        <v>3836.27</v>
      </c>
      <c r="D799">
        <v>7984.29</v>
      </c>
      <c r="E799">
        <v>7447.4074799999999</v>
      </c>
      <c r="F799">
        <v>8554.4</v>
      </c>
      <c r="G799">
        <v>16091.98</v>
      </c>
    </row>
    <row r="800" spans="1:7" x14ac:dyDescent="0.35">
      <c r="A800" s="1">
        <v>41345</v>
      </c>
      <c r="B800">
        <v>2711.85</v>
      </c>
      <c r="C800">
        <v>3839.97</v>
      </c>
      <c r="D800">
        <v>7966.12</v>
      </c>
      <c r="E800">
        <v>7449.9930299999996</v>
      </c>
      <c r="F800">
        <v>8532.2999999999993</v>
      </c>
      <c r="G800">
        <v>16023.98</v>
      </c>
    </row>
    <row r="801" spans="1:7" x14ac:dyDescent="0.35">
      <c r="A801" s="1">
        <v>41346</v>
      </c>
      <c r="B801">
        <v>2704.73</v>
      </c>
      <c r="C801">
        <v>3836.04</v>
      </c>
      <c r="D801">
        <v>7970.91</v>
      </c>
      <c r="E801">
        <v>7460.39588</v>
      </c>
      <c r="F801">
        <v>8498.2999999999993</v>
      </c>
      <c r="G801">
        <v>15745.34</v>
      </c>
    </row>
    <row r="802" spans="1:7" x14ac:dyDescent="0.35">
      <c r="A802" s="1">
        <v>41347</v>
      </c>
      <c r="B802">
        <v>2744.7</v>
      </c>
      <c r="C802">
        <v>3871.58</v>
      </c>
      <c r="D802">
        <v>8058.37</v>
      </c>
      <c r="E802">
        <v>7572.9711500000003</v>
      </c>
      <c r="F802">
        <v>8657.9</v>
      </c>
      <c r="G802">
        <v>16131.05</v>
      </c>
    </row>
    <row r="803" spans="1:7" x14ac:dyDescent="0.35">
      <c r="A803" s="1">
        <v>41348</v>
      </c>
      <c r="B803">
        <v>2725.72</v>
      </c>
      <c r="C803">
        <v>3844.03</v>
      </c>
      <c r="D803">
        <v>8042.85</v>
      </c>
      <c r="E803">
        <v>7511.9512800000002</v>
      </c>
      <c r="F803">
        <v>8619.1</v>
      </c>
      <c r="G803">
        <v>16061.15</v>
      </c>
    </row>
    <row r="804" spans="1:7" x14ac:dyDescent="0.35">
      <c r="A804" s="1">
        <v>41351</v>
      </c>
      <c r="B804">
        <v>2705.47</v>
      </c>
      <c r="C804">
        <v>3825.47</v>
      </c>
      <c r="D804">
        <v>8010.7</v>
      </c>
      <c r="E804">
        <v>7519.9533000000001</v>
      </c>
      <c r="F804">
        <v>8507.7999999999993</v>
      </c>
      <c r="G804">
        <v>15924.13</v>
      </c>
    </row>
    <row r="805" spans="1:7" x14ac:dyDescent="0.35">
      <c r="A805" s="1">
        <v>41352</v>
      </c>
      <c r="B805">
        <v>2671.96</v>
      </c>
      <c r="C805">
        <v>3775.75</v>
      </c>
      <c r="D805">
        <v>7947.79</v>
      </c>
      <c r="E805">
        <v>7555.2212</v>
      </c>
      <c r="F805">
        <v>8321</v>
      </c>
      <c r="G805">
        <v>15670.56</v>
      </c>
    </row>
    <row r="806" spans="1:7" x14ac:dyDescent="0.35">
      <c r="A806" s="1">
        <v>41353</v>
      </c>
      <c r="B806">
        <v>2708.9</v>
      </c>
      <c r="C806">
        <v>3829.56</v>
      </c>
      <c r="D806">
        <v>8001.97</v>
      </c>
      <c r="E806">
        <v>7518.2367599999998</v>
      </c>
      <c r="F806">
        <v>8416.2999999999993</v>
      </c>
      <c r="G806">
        <v>16015.98</v>
      </c>
    </row>
    <row r="807" spans="1:7" x14ac:dyDescent="0.35">
      <c r="A807" s="1">
        <v>41354</v>
      </c>
      <c r="B807">
        <v>2683.92</v>
      </c>
      <c r="C807">
        <v>3774.85</v>
      </c>
      <c r="D807">
        <v>7932.51</v>
      </c>
      <c r="E807">
        <v>7506.1628300000002</v>
      </c>
      <c r="F807">
        <v>8351.2000000000007</v>
      </c>
      <c r="G807">
        <v>15935.99</v>
      </c>
    </row>
    <row r="808" spans="1:7" x14ac:dyDescent="0.35">
      <c r="A808" s="1">
        <v>41355</v>
      </c>
      <c r="B808">
        <v>2681.67</v>
      </c>
      <c r="C808">
        <v>3770.29</v>
      </c>
      <c r="D808">
        <v>7911.35</v>
      </c>
      <c r="E808">
        <v>7501.4165400000002</v>
      </c>
      <c r="F808">
        <v>8329.5</v>
      </c>
      <c r="G808">
        <v>16045.51</v>
      </c>
    </row>
    <row r="809" spans="1:7" x14ac:dyDescent="0.35">
      <c r="A809" s="1">
        <v>41358</v>
      </c>
      <c r="B809">
        <v>2649.28</v>
      </c>
      <c r="C809">
        <v>3727.98</v>
      </c>
      <c r="D809">
        <v>7870.9</v>
      </c>
      <c r="E809">
        <v>7519.53449</v>
      </c>
      <c r="F809">
        <v>8140.6</v>
      </c>
      <c r="G809">
        <v>15644.36</v>
      </c>
    </row>
    <row r="810" spans="1:7" x14ac:dyDescent="0.35">
      <c r="A810" s="1">
        <v>41359</v>
      </c>
      <c r="B810">
        <v>2641.12</v>
      </c>
      <c r="C810">
        <v>3748.64</v>
      </c>
      <c r="D810">
        <v>7879.67</v>
      </c>
      <c r="E810">
        <v>7538.94974</v>
      </c>
      <c r="F810">
        <v>7990.5</v>
      </c>
      <c r="G810">
        <v>15495.92</v>
      </c>
    </row>
    <row r="811" spans="1:7" x14ac:dyDescent="0.35">
      <c r="A811" s="1">
        <v>41360</v>
      </c>
      <c r="B811">
        <v>2612.46</v>
      </c>
      <c r="C811">
        <v>3711.64</v>
      </c>
      <c r="D811">
        <v>7789.09</v>
      </c>
      <c r="E811">
        <v>7560.3464199999999</v>
      </c>
      <c r="F811">
        <v>7900.4</v>
      </c>
      <c r="G811">
        <v>15353.85</v>
      </c>
    </row>
    <row r="812" spans="1:7" x14ac:dyDescent="0.35">
      <c r="A812" s="1">
        <v>41361</v>
      </c>
      <c r="B812">
        <v>2624.02</v>
      </c>
      <c r="C812">
        <v>3731.42</v>
      </c>
      <c r="D812">
        <v>7795.31</v>
      </c>
      <c r="E812">
        <v>7595.3766100000003</v>
      </c>
      <c r="F812">
        <v>7920</v>
      </c>
      <c r="G812">
        <v>15338.72</v>
      </c>
    </row>
    <row r="813" spans="1:7" x14ac:dyDescent="0.35">
      <c r="A813" s="1">
        <v>41366</v>
      </c>
      <c r="B813">
        <v>2679.8</v>
      </c>
      <c r="C813">
        <v>3805.37</v>
      </c>
      <c r="D813">
        <v>7943.87</v>
      </c>
      <c r="E813">
        <v>7649.0196400000004</v>
      </c>
      <c r="F813">
        <v>8050.4</v>
      </c>
      <c r="G813">
        <v>15555.03</v>
      </c>
    </row>
    <row r="814" spans="1:7" x14ac:dyDescent="0.35">
      <c r="A814" s="1">
        <v>41367</v>
      </c>
      <c r="B814">
        <v>2639.01</v>
      </c>
      <c r="C814">
        <v>3754.96</v>
      </c>
      <c r="D814">
        <v>7874.75</v>
      </c>
      <c r="E814">
        <v>7572.3816299999999</v>
      </c>
      <c r="F814">
        <v>7904.3</v>
      </c>
      <c r="G814">
        <v>15200.3</v>
      </c>
    </row>
    <row r="815" spans="1:7" x14ac:dyDescent="0.35">
      <c r="A815" s="1">
        <v>41368</v>
      </c>
      <c r="B815">
        <v>2621.4299999999998</v>
      </c>
      <c r="C815">
        <v>3726.16</v>
      </c>
      <c r="D815">
        <v>7817.39</v>
      </c>
      <c r="E815">
        <v>7487.1159200000002</v>
      </c>
      <c r="F815">
        <v>7847.9</v>
      </c>
      <c r="G815">
        <v>15154.02</v>
      </c>
    </row>
    <row r="816" spans="1:7" x14ac:dyDescent="0.35">
      <c r="A816" s="1">
        <v>41369</v>
      </c>
      <c r="B816">
        <v>2585.2800000000002</v>
      </c>
      <c r="C816">
        <v>3663.48</v>
      </c>
      <c r="D816">
        <v>7658.75</v>
      </c>
      <c r="E816">
        <v>7361.3857600000001</v>
      </c>
      <c r="F816">
        <v>7798.4</v>
      </c>
      <c r="G816">
        <v>15250.42</v>
      </c>
    </row>
    <row r="817" spans="1:7" x14ac:dyDescent="0.35">
      <c r="A817" s="1">
        <v>41372</v>
      </c>
      <c r="B817">
        <v>2589.25</v>
      </c>
      <c r="C817">
        <v>3666.78</v>
      </c>
      <c r="D817">
        <v>7662.64</v>
      </c>
      <c r="E817">
        <v>7364.0293899999997</v>
      </c>
      <c r="F817">
        <v>7787.1</v>
      </c>
      <c r="G817">
        <v>15243.39</v>
      </c>
    </row>
    <row r="818" spans="1:7" x14ac:dyDescent="0.35">
      <c r="A818" s="1">
        <v>41373</v>
      </c>
      <c r="B818">
        <v>2595.13</v>
      </c>
      <c r="C818">
        <v>3670.72</v>
      </c>
      <c r="D818">
        <v>7637.51</v>
      </c>
      <c r="E818">
        <v>7394.6886400000003</v>
      </c>
      <c r="F818">
        <v>7872.5</v>
      </c>
      <c r="G818">
        <v>15436.07</v>
      </c>
    </row>
    <row r="819" spans="1:7" x14ac:dyDescent="0.35">
      <c r="A819" s="1">
        <v>41374</v>
      </c>
      <c r="B819">
        <v>2661.62</v>
      </c>
      <c r="C819">
        <v>3743.71</v>
      </c>
      <c r="D819">
        <v>7810.63</v>
      </c>
      <c r="E819">
        <v>7488.6069699999998</v>
      </c>
      <c r="F819">
        <v>8136.4</v>
      </c>
      <c r="G819">
        <v>15928.64</v>
      </c>
    </row>
    <row r="820" spans="1:7" x14ac:dyDescent="0.35">
      <c r="A820" s="1">
        <v>41375</v>
      </c>
      <c r="B820">
        <v>2674.33</v>
      </c>
      <c r="C820">
        <v>3775.66</v>
      </c>
      <c r="D820">
        <v>7871.63</v>
      </c>
      <c r="E820">
        <v>7528.8445599999995</v>
      </c>
      <c r="F820">
        <v>8159.5</v>
      </c>
      <c r="G820">
        <v>16020.91</v>
      </c>
    </row>
    <row r="821" spans="1:7" x14ac:dyDescent="0.35">
      <c r="A821" s="1">
        <v>41376</v>
      </c>
      <c r="B821">
        <v>2633.47</v>
      </c>
      <c r="C821">
        <v>3729.3</v>
      </c>
      <c r="D821">
        <v>7744.77</v>
      </c>
      <c r="E821">
        <v>7487.7022999999999</v>
      </c>
      <c r="F821">
        <v>8040.4</v>
      </c>
      <c r="G821">
        <v>15780.08</v>
      </c>
    </row>
    <row r="822" spans="1:7" x14ac:dyDescent="0.35">
      <c r="A822" s="1">
        <v>41379</v>
      </c>
      <c r="B822">
        <v>2624.71</v>
      </c>
      <c r="C822">
        <v>3710.48</v>
      </c>
      <c r="D822">
        <v>7712.63</v>
      </c>
      <c r="E822">
        <v>7430.2284399999999</v>
      </c>
      <c r="F822">
        <v>8014.1</v>
      </c>
      <c r="G822">
        <v>15628.95</v>
      </c>
    </row>
    <row r="823" spans="1:7" x14ac:dyDescent="0.35">
      <c r="A823" s="1">
        <v>41380</v>
      </c>
      <c r="B823">
        <v>2609.3000000000002</v>
      </c>
      <c r="C823">
        <v>3685.79</v>
      </c>
      <c r="D823">
        <v>7682.58</v>
      </c>
      <c r="E823">
        <v>7346.8887299999997</v>
      </c>
      <c r="F823">
        <v>7948.7</v>
      </c>
      <c r="G823">
        <v>15533.04</v>
      </c>
    </row>
    <row r="824" spans="1:7" x14ac:dyDescent="0.35">
      <c r="A824" s="1">
        <v>41381</v>
      </c>
      <c r="B824">
        <v>2553.4899999999998</v>
      </c>
      <c r="C824">
        <v>3599.23</v>
      </c>
      <c r="D824">
        <v>7503.03</v>
      </c>
      <c r="E824">
        <v>7308.4822599999998</v>
      </c>
      <c r="F824">
        <v>7803</v>
      </c>
      <c r="G824">
        <v>15383.76</v>
      </c>
    </row>
    <row r="825" spans="1:7" x14ac:dyDescent="0.35">
      <c r="A825" s="1">
        <v>41382</v>
      </c>
      <c r="B825">
        <v>2555.5</v>
      </c>
      <c r="C825">
        <v>3599.36</v>
      </c>
      <c r="D825">
        <v>7473.73</v>
      </c>
      <c r="E825">
        <v>7302.8981100000001</v>
      </c>
      <c r="F825">
        <v>7812.5</v>
      </c>
      <c r="G825">
        <v>15480.56</v>
      </c>
    </row>
    <row r="826" spans="1:7" x14ac:dyDescent="0.35">
      <c r="A826" s="1">
        <v>41383</v>
      </c>
      <c r="B826">
        <v>2575.16</v>
      </c>
      <c r="C826">
        <v>3651.96</v>
      </c>
      <c r="D826">
        <v>7459.96</v>
      </c>
      <c r="E826">
        <v>7328.5821900000001</v>
      </c>
      <c r="F826">
        <v>7915.5</v>
      </c>
      <c r="G826">
        <v>15760.78</v>
      </c>
    </row>
    <row r="827" spans="1:7" x14ac:dyDescent="0.35">
      <c r="A827" s="1">
        <v>41386</v>
      </c>
      <c r="B827">
        <v>2583.62</v>
      </c>
      <c r="C827">
        <v>3652.13</v>
      </c>
      <c r="D827">
        <v>7478.11</v>
      </c>
      <c r="E827">
        <v>7350.1737700000003</v>
      </c>
      <c r="F827">
        <v>8027.7</v>
      </c>
      <c r="G827">
        <v>16021.71</v>
      </c>
    </row>
    <row r="828" spans="1:7" x14ac:dyDescent="0.35">
      <c r="A828" s="1">
        <v>41387</v>
      </c>
      <c r="B828">
        <v>2662.88</v>
      </c>
      <c r="C828">
        <v>3783.05</v>
      </c>
      <c r="D828">
        <v>7658.21</v>
      </c>
      <c r="E828">
        <v>7517.38069</v>
      </c>
      <c r="F828">
        <v>8289.2999999999993</v>
      </c>
      <c r="G828">
        <v>16490.77</v>
      </c>
    </row>
    <row r="829" spans="1:7" x14ac:dyDescent="0.35">
      <c r="A829" s="1">
        <v>41388</v>
      </c>
      <c r="B829">
        <v>2702.05</v>
      </c>
      <c r="C829">
        <v>3842.94</v>
      </c>
      <c r="D829">
        <v>7759.03</v>
      </c>
      <c r="E829">
        <v>7546.9083000000001</v>
      </c>
      <c r="F829">
        <v>8389.2999999999993</v>
      </c>
      <c r="G829">
        <v>16563.43</v>
      </c>
    </row>
    <row r="830" spans="1:7" x14ac:dyDescent="0.35">
      <c r="A830" s="1">
        <v>41389</v>
      </c>
      <c r="B830">
        <v>2704.41</v>
      </c>
      <c r="C830">
        <v>3840.47</v>
      </c>
      <c r="D830">
        <v>7832.86</v>
      </c>
      <c r="E830">
        <v>7642.2481100000005</v>
      </c>
      <c r="F830">
        <v>8365.1</v>
      </c>
      <c r="G830">
        <v>16649.75</v>
      </c>
    </row>
    <row r="831" spans="1:7" x14ac:dyDescent="0.35">
      <c r="A831" s="1">
        <v>41390</v>
      </c>
      <c r="B831">
        <v>2683.43</v>
      </c>
      <c r="C831">
        <v>3810.05</v>
      </c>
      <c r="D831">
        <v>7814.76</v>
      </c>
      <c r="E831">
        <v>7639.2407999999996</v>
      </c>
      <c r="F831">
        <v>8297</v>
      </c>
      <c r="G831">
        <v>16565.25</v>
      </c>
    </row>
    <row r="832" spans="1:7" x14ac:dyDescent="0.35">
      <c r="A832" s="1">
        <v>41393</v>
      </c>
      <c r="B832">
        <v>2717.38</v>
      </c>
      <c r="C832">
        <v>3868.68</v>
      </c>
      <c r="D832">
        <v>7873.5</v>
      </c>
      <c r="E832">
        <v>7647.4604399999998</v>
      </c>
      <c r="F832">
        <v>8450.9</v>
      </c>
      <c r="G832">
        <v>16929.68</v>
      </c>
    </row>
    <row r="833" spans="1:7" x14ac:dyDescent="0.35">
      <c r="A833" s="1">
        <v>41394</v>
      </c>
      <c r="B833">
        <v>2712</v>
      </c>
      <c r="C833">
        <v>3856.75</v>
      </c>
      <c r="D833">
        <v>7913.71</v>
      </c>
      <c r="E833">
        <v>7594.1681699999999</v>
      </c>
      <c r="F833">
        <v>8419</v>
      </c>
      <c r="G833">
        <v>16767.66</v>
      </c>
    </row>
    <row r="834" spans="1:7" x14ac:dyDescent="0.35">
      <c r="A834" s="1">
        <v>41396</v>
      </c>
      <c r="B834">
        <v>2718.9</v>
      </c>
      <c r="C834">
        <v>3858.76</v>
      </c>
      <c r="D834">
        <v>7961.71</v>
      </c>
      <c r="E834">
        <v>7676.8203800000001</v>
      </c>
      <c r="F834">
        <v>8406.4</v>
      </c>
      <c r="G834">
        <v>16748.28</v>
      </c>
    </row>
    <row r="835" spans="1:7" x14ac:dyDescent="0.35">
      <c r="A835" s="1">
        <v>41397</v>
      </c>
      <c r="B835">
        <v>2763.68</v>
      </c>
      <c r="C835">
        <v>3912.95</v>
      </c>
      <c r="D835">
        <v>8122.29</v>
      </c>
      <c r="E835">
        <v>7742.9587600000004</v>
      </c>
      <c r="F835">
        <v>8544.7999999999993</v>
      </c>
      <c r="G835">
        <v>16922.29</v>
      </c>
    </row>
    <row r="836" spans="1:7" x14ac:dyDescent="0.35">
      <c r="A836" s="1">
        <v>41401</v>
      </c>
      <c r="B836">
        <v>2769.08</v>
      </c>
      <c r="C836">
        <v>3921.32</v>
      </c>
      <c r="D836">
        <v>8181.78</v>
      </c>
      <c r="E836">
        <v>7760.1064800000004</v>
      </c>
      <c r="F836">
        <v>8544</v>
      </c>
      <c r="G836">
        <v>17121.87</v>
      </c>
    </row>
    <row r="837" spans="1:7" x14ac:dyDescent="0.35">
      <c r="A837" s="1">
        <v>41402</v>
      </c>
      <c r="B837">
        <v>2784.62</v>
      </c>
      <c r="C837">
        <v>3956.28</v>
      </c>
      <c r="D837">
        <v>8249.7099999999991</v>
      </c>
      <c r="E837">
        <v>7777.6136100000003</v>
      </c>
      <c r="F837">
        <v>8597</v>
      </c>
      <c r="G837">
        <v>17255.57</v>
      </c>
    </row>
    <row r="838" spans="1:7" x14ac:dyDescent="0.35">
      <c r="A838" s="1">
        <v>41403</v>
      </c>
      <c r="B838">
        <v>2773.16</v>
      </c>
      <c r="C838">
        <v>3928.58</v>
      </c>
      <c r="D838">
        <v>8262.5499999999993</v>
      </c>
      <c r="E838">
        <v>7794.4368100000002</v>
      </c>
      <c r="F838">
        <v>8572.7000000000007</v>
      </c>
      <c r="G838">
        <v>17090.62</v>
      </c>
    </row>
    <row r="839" spans="1:7" x14ac:dyDescent="0.35">
      <c r="A839" s="1">
        <v>41404</v>
      </c>
      <c r="B839">
        <v>2785.24</v>
      </c>
      <c r="C839">
        <v>3953.83</v>
      </c>
      <c r="D839">
        <v>8278.59</v>
      </c>
      <c r="E839">
        <v>7837.7384000000002</v>
      </c>
      <c r="F839">
        <v>8544.5</v>
      </c>
      <c r="G839">
        <v>17284.03</v>
      </c>
    </row>
    <row r="840" spans="1:7" x14ac:dyDescent="0.35">
      <c r="A840" s="1">
        <v>41407</v>
      </c>
      <c r="B840">
        <v>2777.39</v>
      </c>
      <c r="C840">
        <v>3945.2</v>
      </c>
      <c r="D840">
        <v>8279.2900000000009</v>
      </c>
      <c r="E840">
        <v>7814.90769</v>
      </c>
      <c r="F840">
        <v>8457.7999999999993</v>
      </c>
      <c r="G840">
        <v>17171.52</v>
      </c>
    </row>
    <row r="841" spans="1:7" x14ac:dyDescent="0.35">
      <c r="A841" s="1">
        <v>41408</v>
      </c>
      <c r="B841">
        <v>2795.63</v>
      </c>
      <c r="C841">
        <v>3966.06</v>
      </c>
      <c r="D841">
        <v>8339.11</v>
      </c>
      <c r="E841">
        <v>7865.9529400000001</v>
      </c>
      <c r="F841">
        <v>8474.6</v>
      </c>
      <c r="G841">
        <v>17315.25</v>
      </c>
    </row>
    <row r="842" spans="1:7" x14ac:dyDescent="0.35">
      <c r="A842" s="1">
        <v>41409</v>
      </c>
      <c r="B842">
        <v>2809.58</v>
      </c>
      <c r="C842">
        <v>3982.23</v>
      </c>
      <c r="D842">
        <v>8362.42</v>
      </c>
      <c r="E842">
        <v>7914.5334599999996</v>
      </c>
      <c r="F842">
        <v>8582.5</v>
      </c>
      <c r="G842">
        <v>17492.97</v>
      </c>
    </row>
    <row r="843" spans="1:7" x14ac:dyDescent="0.35">
      <c r="A843" s="1">
        <v>41410</v>
      </c>
      <c r="B843">
        <v>2806.7</v>
      </c>
      <c r="C843">
        <v>3979.07</v>
      </c>
      <c r="D843">
        <v>8369.8700000000008</v>
      </c>
      <c r="E843">
        <v>7935.3458799999999</v>
      </c>
      <c r="F843">
        <v>8542.2999999999993</v>
      </c>
      <c r="G843">
        <v>17544.009999999998</v>
      </c>
    </row>
    <row r="844" spans="1:7" x14ac:dyDescent="0.35">
      <c r="A844" s="1">
        <v>41411</v>
      </c>
      <c r="B844">
        <v>2817.99</v>
      </c>
      <c r="C844">
        <v>4001.27</v>
      </c>
      <c r="D844">
        <v>8398</v>
      </c>
      <c r="E844">
        <v>7955.7258199999997</v>
      </c>
      <c r="F844">
        <v>8582.4</v>
      </c>
      <c r="G844">
        <v>17604.61</v>
      </c>
    </row>
    <row r="845" spans="1:7" x14ac:dyDescent="0.35">
      <c r="A845" s="1">
        <v>41414</v>
      </c>
      <c r="B845">
        <v>2824.5</v>
      </c>
      <c r="C845">
        <v>4022.85</v>
      </c>
      <c r="D845">
        <v>8455.83</v>
      </c>
      <c r="E845">
        <v>7997.18822</v>
      </c>
      <c r="F845">
        <v>8515.2000000000007</v>
      </c>
      <c r="G845">
        <v>17506.87</v>
      </c>
    </row>
    <row r="846" spans="1:7" x14ac:dyDescent="0.35">
      <c r="A846" s="1">
        <v>41415</v>
      </c>
      <c r="B846">
        <v>2821.65</v>
      </c>
      <c r="C846">
        <v>4036.18</v>
      </c>
      <c r="D846">
        <v>8472.2000000000007</v>
      </c>
      <c r="E846">
        <v>7993.5198700000001</v>
      </c>
      <c r="F846">
        <v>8464.5</v>
      </c>
      <c r="G846">
        <v>17427.47</v>
      </c>
    </row>
    <row r="847" spans="1:7" x14ac:dyDescent="0.35">
      <c r="A847" s="1">
        <v>41416</v>
      </c>
      <c r="B847">
        <v>2835.01</v>
      </c>
      <c r="C847">
        <v>4051.11</v>
      </c>
      <c r="D847">
        <v>8530.89</v>
      </c>
      <c r="E847">
        <v>8004.5034100000003</v>
      </c>
      <c r="F847">
        <v>8462.4</v>
      </c>
      <c r="G847">
        <v>17545.46</v>
      </c>
    </row>
    <row r="848" spans="1:7" x14ac:dyDescent="0.35">
      <c r="A848" s="1">
        <v>41417</v>
      </c>
      <c r="B848">
        <v>2776.78</v>
      </c>
      <c r="C848">
        <v>3967.15</v>
      </c>
      <c r="D848">
        <v>8351.98</v>
      </c>
      <c r="E848">
        <v>7827.6791499999999</v>
      </c>
      <c r="F848">
        <v>8343.6</v>
      </c>
      <c r="G848">
        <v>17008.419999999998</v>
      </c>
    </row>
    <row r="849" spans="1:7" x14ac:dyDescent="0.35">
      <c r="A849" s="1">
        <v>41418</v>
      </c>
      <c r="B849">
        <v>2764.29</v>
      </c>
      <c r="C849">
        <v>3956.79</v>
      </c>
      <c r="D849">
        <v>8305.32</v>
      </c>
      <c r="E849">
        <v>7785.4593299999997</v>
      </c>
      <c r="F849">
        <v>8264.6</v>
      </c>
      <c r="G849">
        <v>16896.810000000001</v>
      </c>
    </row>
    <row r="850" spans="1:7" x14ac:dyDescent="0.35">
      <c r="A850" s="1">
        <v>41422</v>
      </c>
      <c r="B850">
        <v>2835.87</v>
      </c>
      <c r="C850">
        <v>4050.56</v>
      </c>
      <c r="D850">
        <v>8480.8700000000008</v>
      </c>
      <c r="E850">
        <v>7910.9998100000003</v>
      </c>
      <c r="F850">
        <v>8511.2999999999993</v>
      </c>
      <c r="G850">
        <v>17519.79</v>
      </c>
    </row>
    <row r="851" spans="1:7" x14ac:dyDescent="0.35">
      <c r="A851" s="1">
        <v>41423</v>
      </c>
      <c r="B851">
        <v>2786.54</v>
      </c>
      <c r="C851">
        <v>3974.12</v>
      </c>
      <c r="D851">
        <v>8336.58</v>
      </c>
      <c r="E851">
        <v>7741.9444199999998</v>
      </c>
      <c r="F851">
        <v>8441.7000000000007</v>
      </c>
      <c r="G851">
        <v>17237.099999999999</v>
      </c>
    </row>
    <row r="852" spans="1:7" x14ac:dyDescent="0.35">
      <c r="A852" s="1">
        <v>41424</v>
      </c>
      <c r="B852">
        <v>2799.2</v>
      </c>
      <c r="C852">
        <v>3996.31</v>
      </c>
      <c r="D852">
        <v>8400.2000000000007</v>
      </c>
      <c r="E852">
        <v>7759.1744600000002</v>
      </c>
      <c r="F852">
        <v>8433.5</v>
      </c>
      <c r="G852">
        <v>17350.96</v>
      </c>
    </row>
    <row r="853" spans="1:7" x14ac:dyDescent="0.35">
      <c r="A853" s="1">
        <v>41425</v>
      </c>
      <c r="B853">
        <v>2769.64</v>
      </c>
      <c r="C853">
        <v>3948.59</v>
      </c>
      <c r="D853">
        <v>8348.84</v>
      </c>
      <c r="E853">
        <v>7701.1647300000004</v>
      </c>
      <c r="F853">
        <v>8320.6</v>
      </c>
      <c r="G853">
        <v>17214.080000000002</v>
      </c>
    </row>
    <row r="854" spans="1:7" x14ac:dyDescent="0.35">
      <c r="A854" s="1">
        <v>41428</v>
      </c>
      <c r="B854">
        <v>2747.74</v>
      </c>
      <c r="C854">
        <v>3920.67</v>
      </c>
      <c r="D854">
        <v>8285.7999999999993</v>
      </c>
      <c r="E854">
        <v>7647.7159300000003</v>
      </c>
      <c r="F854">
        <v>8284.4</v>
      </c>
      <c r="G854">
        <v>17058.05</v>
      </c>
    </row>
    <row r="855" spans="1:7" x14ac:dyDescent="0.35">
      <c r="A855" s="1">
        <v>41429</v>
      </c>
      <c r="B855">
        <v>2755.7</v>
      </c>
      <c r="C855">
        <v>3925.83</v>
      </c>
      <c r="D855">
        <v>8295.9599999999991</v>
      </c>
      <c r="E855">
        <v>7674.5070100000003</v>
      </c>
      <c r="F855">
        <v>8363</v>
      </c>
      <c r="G855">
        <v>17135.48</v>
      </c>
    </row>
    <row r="856" spans="1:7" x14ac:dyDescent="0.35">
      <c r="A856" s="1">
        <v>41430</v>
      </c>
      <c r="B856">
        <v>2709.33</v>
      </c>
      <c r="C856">
        <v>3852.44</v>
      </c>
      <c r="D856">
        <v>8196.18</v>
      </c>
      <c r="E856">
        <v>7553.1968299999999</v>
      </c>
      <c r="F856">
        <v>8290.7000000000007</v>
      </c>
      <c r="G856">
        <v>16971.169999999998</v>
      </c>
    </row>
    <row r="857" spans="1:7" x14ac:dyDescent="0.35">
      <c r="A857" s="1">
        <v>41431</v>
      </c>
      <c r="B857">
        <v>2676.21</v>
      </c>
      <c r="C857">
        <v>3814.28</v>
      </c>
      <c r="D857">
        <v>8098.81</v>
      </c>
      <c r="E857">
        <v>7467.9168300000001</v>
      </c>
      <c r="F857">
        <v>8216.7000000000007</v>
      </c>
      <c r="G857">
        <v>16525.07</v>
      </c>
    </row>
    <row r="858" spans="1:7" x14ac:dyDescent="0.35">
      <c r="A858" s="1">
        <v>41432</v>
      </c>
      <c r="B858">
        <v>2724.08</v>
      </c>
      <c r="C858">
        <v>3872.59</v>
      </c>
      <c r="D858">
        <v>8254.68</v>
      </c>
      <c r="E858">
        <v>7533.6760400000003</v>
      </c>
      <c r="F858">
        <v>8266.6</v>
      </c>
      <c r="G858">
        <v>16691.060000000001</v>
      </c>
    </row>
    <row r="859" spans="1:7" x14ac:dyDescent="0.35">
      <c r="A859" s="1">
        <v>41435</v>
      </c>
      <c r="B859">
        <v>2719.4</v>
      </c>
      <c r="C859">
        <v>3864.36</v>
      </c>
      <c r="D859">
        <v>8307.69</v>
      </c>
      <c r="E859">
        <v>7526.92533</v>
      </c>
      <c r="F859">
        <v>8227.4</v>
      </c>
      <c r="G859">
        <v>16556.34</v>
      </c>
    </row>
    <row r="860" spans="1:7" x14ac:dyDescent="0.35">
      <c r="A860" s="1">
        <v>41436</v>
      </c>
      <c r="B860">
        <v>2683.2</v>
      </c>
      <c r="C860">
        <v>3810.56</v>
      </c>
      <c r="D860">
        <v>8222.4599999999991</v>
      </c>
      <c r="E860">
        <v>7445.4637300000004</v>
      </c>
      <c r="F860">
        <v>8089.3</v>
      </c>
      <c r="G860">
        <v>16286.6</v>
      </c>
    </row>
    <row r="861" spans="1:7" x14ac:dyDescent="0.35">
      <c r="A861" s="1">
        <v>41437</v>
      </c>
      <c r="B861">
        <v>2666.52</v>
      </c>
      <c r="C861">
        <v>3793.7</v>
      </c>
      <c r="D861">
        <v>8143.27</v>
      </c>
      <c r="E861">
        <v>7407.28431</v>
      </c>
      <c r="F861">
        <v>8123.8</v>
      </c>
      <c r="G861">
        <v>16024.03</v>
      </c>
    </row>
    <row r="862" spans="1:7" x14ac:dyDescent="0.35">
      <c r="A862" s="1">
        <v>41438</v>
      </c>
      <c r="B862">
        <v>2661.71</v>
      </c>
      <c r="C862">
        <v>3797.98</v>
      </c>
      <c r="D862">
        <v>8095.39</v>
      </c>
      <c r="E862">
        <v>7422.4990399999997</v>
      </c>
      <c r="F862">
        <v>8071.7</v>
      </c>
      <c r="G862">
        <v>16116.34</v>
      </c>
    </row>
    <row r="863" spans="1:7" x14ac:dyDescent="0.35">
      <c r="A863" s="1">
        <v>41439</v>
      </c>
      <c r="B863">
        <v>2667.32</v>
      </c>
      <c r="C863">
        <v>3805.16</v>
      </c>
      <c r="D863">
        <v>8127.96</v>
      </c>
      <c r="E863">
        <v>7429.7284399999999</v>
      </c>
      <c r="F863">
        <v>8070.9</v>
      </c>
      <c r="G863">
        <v>16152.91</v>
      </c>
    </row>
    <row r="864" spans="1:7" x14ac:dyDescent="0.35">
      <c r="A864" s="1">
        <v>41442</v>
      </c>
      <c r="B864">
        <v>2702.69</v>
      </c>
      <c r="C864">
        <v>3863.66</v>
      </c>
      <c r="D864">
        <v>8215.73</v>
      </c>
      <c r="E864">
        <v>7452.04846</v>
      </c>
      <c r="F864">
        <v>8136.3</v>
      </c>
      <c r="G864">
        <v>16194.14</v>
      </c>
    </row>
    <row r="865" spans="1:7" x14ac:dyDescent="0.35">
      <c r="A865" s="1">
        <v>41443</v>
      </c>
      <c r="B865">
        <v>2700.93</v>
      </c>
      <c r="C865">
        <v>3860.55</v>
      </c>
      <c r="D865">
        <v>8229.51</v>
      </c>
      <c r="E865">
        <v>7441.5749100000003</v>
      </c>
      <c r="F865">
        <v>8180.2</v>
      </c>
      <c r="G865">
        <v>16197.94</v>
      </c>
    </row>
    <row r="866" spans="1:7" x14ac:dyDescent="0.35">
      <c r="A866" s="1">
        <v>41444</v>
      </c>
      <c r="B866">
        <v>2683.98</v>
      </c>
      <c r="C866">
        <v>3839.34</v>
      </c>
      <c r="D866">
        <v>8197.08</v>
      </c>
      <c r="E866">
        <v>7416.1152899999997</v>
      </c>
      <c r="F866">
        <v>8098.3</v>
      </c>
      <c r="G866">
        <v>16045.52</v>
      </c>
    </row>
    <row r="867" spans="1:7" x14ac:dyDescent="0.35">
      <c r="A867" s="1">
        <v>41445</v>
      </c>
      <c r="B867">
        <v>2586.4499999999998</v>
      </c>
      <c r="C867">
        <v>3698.93</v>
      </c>
      <c r="D867">
        <v>7928.48</v>
      </c>
      <c r="E867">
        <v>7203.5420599999998</v>
      </c>
      <c r="F867">
        <v>7822.1</v>
      </c>
      <c r="G867">
        <v>15549.23</v>
      </c>
    </row>
    <row r="868" spans="1:7" x14ac:dyDescent="0.35">
      <c r="A868" s="1">
        <v>41446</v>
      </c>
      <c r="B868">
        <v>2549.48</v>
      </c>
      <c r="C868">
        <v>3658.04</v>
      </c>
      <c r="D868">
        <v>7789.24</v>
      </c>
      <c r="E868">
        <v>7180.9848700000002</v>
      </c>
      <c r="F868">
        <v>7700.2</v>
      </c>
      <c r="G868">
        <v>15254.82</v>
      </c>
    </row>
    <row r="869" spans="1:7" x14ac:dyDescent="0.35">
      <c r="A869" s="1">
        <v>41449</v>
      </c>
      <c r="B869">
        <v>2511.83</v>
      </c>
      <c r="C869">
        <v>3595.63</v>
      </c>
      <c r="D869">
        <v>7692.45</v>
      </c>
      <c r="E869">
        <v>7096.2543800000003</v>
      </c>
      <c r="F869">
        <v>7553.2</v>
      </c>
      <c r="G869">
        <v>15112.38</v>
      </c>
    </row>
    <row r="870" spans="1:7" x14ac:dyDescent="0.35">
      <c r="A870" s="1">
        <v>41450</v>
      </c>
      <c r="B870">
        <v>2543.37</v>
      </c>
      <c r="C870">
        <v>3649.82</v>
      </c>
      <c r="D870">
        <v>7811.3</v>
      </c>
      <c r="E870">
        <v>7185.8969100000004</v>
      </c>
      <c r="F870">
        <v>7607.7</v>
      </c>
      <c r="G870">
        <v>15056.57</v>
      </c>
    </row>
    <row r="871" spans="1:7" x14ac:dyDescent="0.35">
      <c r="A871" s="1">
        <v>41451</v>
      </c>
      <c r="B871">
        <v>2602.81</v>
      </c>
      <c r="C871">
        <v>3726.04</v>
      </c>
      <c r="D871">
        <v>7940.99</v>
      </c>
      <c r="E871">
        <v>7264.7148800000004</v>
      </c>
      <c r="F871">
        <v>7823</v>
      </c>
      <c r="G871">
        <v>15362.88</v>
      </c>
    </row>
    <row r="872" spans="1:7" x14ac:dyDescent="0.35">
      <c r="A872" s="1">
        <v>41452</v>
      </c>
      <c r="B872">
        <v>2619.86</v>
      </c>
      <c r="C872">
        <v>3762.19</v>
      </c>
      <c r="D872">
        <v>7990.75</v>
      </c>
      <c r="E872">
        <v>7304.4043700000002</v>
      </c>
      <c r="F872">
        <v>7844.4</v>
      </c>
      <c r="G872">
        <v>15430.47</v>
      </c>
    </row>
    <row r="873" spans="1:7" x14ac:dyDescent="0.35">
      <c r="A873" s="1">
        <v>41453</v>
      </c>
      <c r="B873">
        <v>2602.59</v>
      </c>
      <c r="C873">
        <v>3738.91</v>
      </c>
      <c r="D873">
        <v>7959.22</v>
      </c>
      <c r="E873">
        <v>7257.3557799999999</v>
      </c>
      <c r="F873">
        <v>7762.7</v>
      </c>
      <c r="G873">
        <v>15239.28</v>
      </c>
    </row>
    <row r="874" spans="1:7" x14ac:dyDescent="0.35">
      <c r="A874" s="1">
        <v>41456</v>
      </c>
      <c r="B874">
        <v>2622.62</v>
      </c>
      <c r="C874">
        <v>3767.48</v>
      </c>
      <c r="D874">
        <v>7983.92</v>
      </c>
      <c r="E874">
        <v>7353.4392600000001</v>
      </c>
      <c r="F874">
        <v>7907.1</v>
      </c>
      <c r="G874">
        <v>15459.57</v>
      </c>
    </row>
    <row r="875" spans="1:7" x14ac:dyDescent="0.35">
      <c r="A875" s="1">
        <v>41457</v>
      </c>
      <c r="B875">
        <v>2603.1999999999998</v>
      </c>
      <c r="C875">
        <v>3742.57</v>
      </c>
      <c r="D875">
        <v>7910.77</v>
      </c>
      <c r="E875">
        <v>7344.5089399999997</v>
      </c>
      <c r="F875">
        <v>7886.6</v>
      </c>
      <c r="G875">
        <v>15365.71</v>
      </c>
    </row>
    <row r="876" spans="1:7" x14ac:dyDescent="0.35">
      <c r="A876" s="1">
        <v>41458</v>
      </c>
      <c r="B876">
        <v>2570.7600000000002</v>
      </c>
      <c r="C876">
        <v>3702.01</v>
      </c>
      <c r="D876">
        <v>7829.32</v>
      </c>
      <c r="E876">
        <v>7312.3057200000003</v>
      </c>
      <c r="F876">
        <v>7763.8</v>
      </c>
      <c r="G876">
        <v>15282.81</v>
      </c>
    </row>
    <row r="877" spans="1:7" x14ac:dyDescent="0.35">
      <c r="A877" s="1">
        <v>41459</v>
      </c>
      <c r="B877">
        <v>2646.54</v>
      </c>
      <c r="C877">
        <v>3809.31</v>
      </c>
      <c r="D877">
        <v>7994.31</v>
      </c>
      <c r="E877">
        <v>7493.6048499999997</v>
      </c>
      <c r="F877">
        <v>8002</v>
      </c>
      <c r="G877">
        <v>15808.15</v>
      </c>
    </row>
    <row r="878" spans="1:7" x14ac:dyDescent="0.35">
      <c r="A878" s="1">
        <v>41460</v>
      </c>
      <c r="B878">
        <v>2596.0100000000002</v>
      </c>
      <c r="C878">
        <v>3753.85</v>
      </c>
      <c r="D878">
        <v>7806</v>
      </c>
      <c r="E878">
        <v>7408.8778700000003</v>
      </c>
      <c r="F878">
        <v>7868.4</v>
      </c>
      <c r="G878">
        <v>15533.69</v>
      </c>
    </row>
    <row r="879" spans="1:7" x14ac:dyDescent="0.35">
      <c r="A879" s="1">
        <v>41463</v>
      </c>
      <c r="B879">
        <v>2650.85</v>
      </c>
      <c r="C879">
        <v>3823.83</v>
      </c>
      <c r="D879">
        <v>7968.54</v>
      </c>
      <c r="E879">
        <v>7495.17382</v>
      </c>
      <c r="F879">
        <v>8017.6</v>
      </c>
      <c r="G879">
        <v>15799.62</v>
      </c>
    </row>
    <row r="880" spans="1:7" x14ac:dyDescent="0.35">
      <c r="A880" s="1">
        <v>41464</v>
      </c>
      <c r="B880">
        <v>2664.14</v>
      </c>
      <c r="C880">
        <v>3843.56</v>
      </c>
      <c r="D880">
        <v>8057.75</v>
      </c>
      <c r="E880">
        <v>7564.9892600000003</v>
      </c>
      <c r="F880">
        <v>8014.8</v>
      </c>
      <c r="G880">
        <v>15790.55</v>
      </c>
    </row>
    <row r="881" spans="1:7" x14ac:dyDescent="0.35">
      <c r="A881" s="1">
        <v>41465</v>
      </c>
      <c r="B881">
        <v>2659.71</v>
      </c>
      <c r="C881">
        <v>3840.53</v>
      </c>
      <c r="D881">
        <v>8066.48</v>
      </c>
      <c r="E881">
        <v>7561.3642900000004</v>
      </c>
      <c r="F881">
        <v>7995</v>
      </c>
      <c r="G881">
        <v>15677.26</v>
      </c>
    </row>
    <row r="882" spans="1:7" x14ac:dyDescent="0.35">
      <c r="A882" s="1">
        <v>41466</v>
      </c>
      <c r="B882">
        <v>2681.32</v>
      </c>
      <c r="C882">
        <v>3868.98</v>
      </c>
      <c r="D882">
        <v>8158.8</v>
      </c>
      <c r="E882">
        <v>7588.5868399999999</v>
      </c>
      <c r="F882">
        <v>8030.7</v>
      </c>
      <c r="G882">
        <v>15677.3</v>
      </c>
    </row>
    <row r="883" spans="1:7" x14ac:dyDescent="0.35">
      <c r="A883" s="1">
        <v>41467</v>
      </c>
      <c r="B883">
        <v>2674.87</v>
      </c>
      <c r="C883">
        <v>3855.09</v>
      </c>
      <c r="D883">
        <v>8212.77</v>
      </c>
      <c r="E883">
        <v>7568.5253700000003</v>
      </c>
      <c r="F883">
        <v>7844.7</v>
      </c>
      <c r="G883">
        <v>15430.57</v>
      </c>
    </row>
    <row r="884" spans="1:7" x14ac:dyDescent="0.35">
      <c r="A884" s="1">
        <v>41470</v>
      </c>
      <c r="B884">
        <v>2686.69</v>
      </c>
      <c r="C884">
        <v>3878.58</v>
      </c>
      <c r="D884">
        <v>8234.81</v>
      </c>
      <c r="E884">
        <v>7611.5467900000003</v>
      </c>
      <c r="F884">
        <v>7855.1</v>
      </c>
      <c r="G884">
        <v>15597.34</v>
      </c>
    </row>
    <row r="885" spans="1:7" x14ac:dyDescent="0.35">
      <c r="A885" s="1">
        <v>41471</v>
      </c>
      <c r="B885">
        <v>2665.61</v>
      </c>
      <c r="C885">
        <v>3851.03</v>
      </c>
      <c r="D885">
        <v>8201.0499999999993</v>
      </c>
      <c r="E885">
        <v>7538.5056000000004</v>
      </c>
      <c r="F885">
        <v>7798.2</v>
      </c>
      <c r="G885">
        <v>15529.95</v>
      </c>
    </row>
    <row r="886" spans="1:7" x14ac:dyDescent="0.35">
      <c r="A886" s="1">
        <v>41472</v>
      </c>
      <c r="B886">
        <v>2681.88</v>
      </c>
      <c r="C886">
        <v>3872.02</v>
      </c>
      <c r="D886">
        <v>8254.7199999999993</v>
      </c>
      <c r="E886">
        <v>7616.3161700000001</v>
      </c>
      <c r="F886">
        <v>7812.7</v>
      </c>
      <c r="G886">
        <v>15695.03</v>
      </c>
    </row>
    <row r="887" spans="1:7" x14ac:dyDescent="0.35">
      <c r="A887" s="1">
        <v>41473</v>
      </c>
      <c r="B887">
        <v>2717.99</v>
      </c>
      <c r="C887">
        <v>3927.79</v>
      </c>
      <c r="D887">
        <v>8337.09</v>
      </c>
      <c r="E887">
        <v>7707.2148500000003</v>
      </c>
      <c r="F887">
        <v>7957.3</v>
      </c>
      <c r="G887">
        <v>16053.61</v>
      </c>
    </row>
    <row r="888" spans="1:7" x14ac:dyDescent="0.35">
      <c r="A888" s="1">
        <v>41474</v>
      </c>
      <c r="B888">
        <v>2716.17</v>
      </c>
      <c r="C888">
        <v>3925.32</v>
      </c>
      <c r="D888">
        <v>8331.57</v>
      </c>
      <c r="E888">
        <v>7704.0724700000001</v>
      </c>
      <c r="F888">
        <v>7943.2</v>
      </c>
      <c r="G888">
        <v>16124.36</v>
      </c>
    </row>
    <row r="889" spans="1:7" x14ac:dyDescent="0.35">
      <c r="A889" s="1">
        <v>41477</v>
      </c>
      <c r="B889">
        <v>2725.4</v>
      </c>
      <c r="C889">
        <v>3939.92</v>
      </c>
      <c r="D889">
        <v>8331.06</v>
      </c>
      <c r="E889">
        <v>7711.1331099999998</v>
      </c>
      <c r="F889">
        <v>7966</v>
      </c>
      <c r="G889">
        <v>16233.55</v>
      </c>
    </row>
    <row r="890" spans="1:7" x14ac:dyDescent="0.35">
      <c r="A890" s="1">
        <v>41478</v>
      </c>
      <c r="B890">
        <v>2722.9</v>
      </c>
      <c r="C890">
        <v>3923.09</v>
      </c>
      <c r="D890">
        <v>8314.23</v>
      </c>
      <c r="E890">
        <v>7677.5385999999999</v>
      </c>
      <c r="F890">
        <v>8073.7</v>
      </c>
      <c r="G890">
        <v>16238.58</v>
      </c>
    </row>
    <row r="891" spans="1:7" x14ac:dyDescent="0.35">
      <c r="A891" s="1">
        <v>41479</v>
      </c>
      <c r="B891">
        <v>2752.25</v>
      </c>
      <c r="C891">
        <v>3962.75</v>
      </c>
      <c r="D891">
        <v>8379.11</v>
      </c>
      <c r="E891">
        <v>7696.2624100000003</v>
      </c>
      <c r="F891">
        <v>8192.5</v>
      </c>
      <c r="G891">
        <v>16442.71</v>
      </c>
    </row>
    <row r="892" spans="1:7" x14ac:dyDescent="0.35">
      <c r="A892" s="1">
        <v>41480</v>
      </c>
      <c r="B892">
        <v>2740.29</v>
      </c>
      <c r="C892">
        <v>3956.02</v>
      </c>
      <c r="D892">
        <v>8298.98</v>
      </c>
      <c r="E892">
        <v>7635.7273699999996</v>
      </c>
      <c r="F892">
        <v>8282.1</v>
      </c>
      <c r="G892">
        <v>16431.97</v>
      </c>
    </row>
    <row r="893" spans="1:7" x14ac:dyDescent="0.35">
      <c r="A893" s="1">
        <v>41481</v>
      </c>
      <c r="B893">
        <v>2741.96</v>
      </c>
      <c r="C893">
        <v>3968.84</v>
      </c>
      <c r="D893">
        <v>8244.91</v>
      </c>
      <c r="E893">
        <v>7591.8091100000001</v>
      </c>
      <c r="F893">
        <v>8353.6</v>
      </c>
      <c r="G893">
        <v>16421.509999999998</v>
      </c>
    </row>
    <row r="894" spans="1:7" x14ac:dyDescent="0.35">
      <c r="A894" s="1">
        <v>41484</v>
      </c>
      <c r="B894">
        <v>2741.73</v>
      </c>
      <c r="C894">
        <v>3968.91</v>
      </c>
      <c r="D894">
        <v>8259.0300000000007</v>
      </c>
      <c r="E894">
        <v>7591.1323000000002</v>
      </c>
      <c r="F894">
        <v>8376.1</v>
      </c>
      <c r="G894">
        <v>16275.71</v>
      </c>
    </row>
    <row r="895" spans="1:7" x14ac:dyDescent="0.35">
      <c r="A895" s="1">
        <v>41485</v>
      </c>
      <c r="B895">
        <v>2759.21</v>
      </c>
      <c r="C895">
        <v>3986.61</v>
      </c>
      <c r="D895">
        <v>8271.02</v>
      </c>
      <c r="E895">
        <v>7552.5767500000002</v>
      </c>
      <c r="F895">
        <v>8456.5</v>
      </c>
      <c r="G895">
        <v>16542.900000000001</v>
      </c>
    </row>
    <row r="896" spans="1:7" x14ac:dyDescent="0.35">
      <c r="A896" s="1">
        <v>41486</v>
      </c>
      <c r="B896">
        <v>2768.15</v>
      </c>
      <c r="C896">
        <v>3992.69</v>
      </c>
      <c r="D896">
        <v>8275.9699999999993</v>
      </c>
      <c r="E896">
        <v>7569.1343500000003</v>
      </c>
      <c r="F896">
        <v>8433.4</v>
      </c>
      <c r="G896">
        <v>16482.349999999999</v>
      </c>
    </row>
    <row r="897" spans="1:7" x14ac:dyDescent="0.35">
      <c r="A897" s="1">
        <v>41487</v>
      </c>
      <c r="B897">
        <v>2808.64</v>
      </c>
      <c r="C897">
        <v>4042.73</v>
      </c>
      <c r="D897">
        <v>8410.73</v>
      </c>
      <c r="E897">
        <v>7648.3235599999998</v>
      </c>
      <c r="F897">
        <v>8540.2000000000007</v>
      </c>
      <c r="G897">
        <v>16818.97</v>
      </c>
    </row>
    <row r="898" spans="1:7" x14ac:dyDescent="0.35">
      <c r="A898" s="1">
        <v>41488</v>
      </c>
      <c r="B898">
        <v>2811</v>
      </c>
      <c r="C898">
        <v>4045.65</v>
      </c>
      <c r="D898">
        <v>8406.94</v>
      </c>
      <c r="E898">
        <v>7651.2842899999996</v>
      </c>
      <c r="F898">
        <v>8574</v>
      </c>
      <c r="G898">
        <v>16779.189999999999</v>
      </c>
    </row>
    <row r="899" spans="1:7" x14ac:dyDescent="0.35">
      <c r="A899" s="1">
        <v>41491</v>
      </c>
      <c r="B899">
        <v>2809.08</v>
      </c>
      <c r="C899">
        <v>4049.97</v>
      </c>
      <c r="D899">
        <v>8398.3799999999992</v>
      </c>
      <c r="E899">
        <v>7655.79234</v>
      </c>
      <c r="F899">
        <v>8560.7999999999993</v>
      </c>
      <c r="G899">
        <v>16757.240000000002</v>
      </c>
    </row>
    <row r="900" spans="1:7" x14ac:dyDescent="0.35">
      <c r="A900" s="1">
        <v>41492</v>
      </c>
      <c r="B900">
        <v>2790.78</v>
      </c>
      <c r="C900">
        <v>4032.57</v>
      </c>
      <c r="D900">
        <v>8299.73</v>
      </c>
      <c r="E900">
        <v>7631.1673899999996</v>
      </c>
      <c r="F900">
        <v>8529.5</v>
      </c>
      <c r="G900">
        <v>16683.169999999998</v>
      </c>
    </row>
    <row r="901" spans="1:7" x14ac:dyDescent="0.35">
      <c r="A901" s="1">
        <v>41493</v>
      </c>
      <c r="B901">
        <v>2794.44</v>
      </c>
      <c r="C901">
        <v>4038.49</v>
      </c>
      <c r="D901">
        <v>8260.48</v>
      </c>
      <c r="E901">
        <v>7573.7761600000003</v>
      </c>
      <c r="F901">
        <v>8574.1</v>
      </c>
      <c r="G901">
        <v>16838.189999999999</v>
      </c>
    </row>
    <row r="902" spans="1:7" x14ac:dyDescent="0.35">
      <c r="A902" s="1">
        <v>41494</v>
      </c>
      <c r="B902">
        <v>2816.88</v>
      </c>
      <c r="C902">
        <v>4064.32</v>
      </c>
      <c r="D902">
        <v>8318.32</v>
      </c>
      <c r="E902">
        <v>7585.8585400000002</v>
      </c>
      <c r="F902">
        <v>8671.7999999999993</v>
      </c>
      <c r="G902">
        <v>17146.5</v>
      </c>
    </row>
    <row r="903" spans="1:7" x14ac:dyDescent="0.35">
      <c r="A903" s="1">
        <v>41495</v>
      </c>
      <c r="B903">
        <v>2825.62</v>
      </c>
      <c r="C903">
        <v>4076.55</v>
      </c>
      <c r="D903">
        <v>8338.31</v>
      </c>
      <c r="E903">
        <v>7656.52747</v>
      </c>
      <c r="F903">
        <v>8735.5</v>
      </c>
      <c r="G903">
        <v>17186.560000000001</v>
      </c>
    </row>
    <row r="904" spans="1:7" x14ac:dyDescent="0.35">
      <c r="A904" s="1">
        <v>41498</v>
      </c>
      <c r="B904">
        <v>2827.15</v>
      </c>
      <c r="C904">
        <v>4071.68</v>
      </c>
      <c r="D904">
        <v>8359.25</v>
      </c>
      <c r="E904">
        <v>7646.8446700000004</v>
      </c>
      <c r="F904">
        <v>8717.7000000000007</v>
      </c>
      <c r="G904">
        <v>17262.86</v>
      </c>
    </row>
    <row r="905" spans="1:7" x14ac:dyDescent="0.35">
      <c r="A905" s="1">
        <v>41499</v>
      </c>
      <c r="B905">
        <v>2841.61</v>
      </c>
      <c r="C905">
        <v>4092.5</v>
      </c>
      <c r="D905">
        <v>8415.76</v>
      </c>
      <c r="E905">
        <v>7714.5120500000003</v>
      </c>
      <c r="F905">
        <v>8758.5</v>
      </c>
      <c r="G905">
        <v>17380.07</v>
      </c>
    </row>
    <row r="906" spans="1:7" x14ac:dyDescent="0.35">
      <c r="A906" s="1">
        <v>41500</v>
      </c>
      <c r="B906">
        <v>2852.08</v>
      </c>
      <c r="C906">
        <v>4114.2</v>
      </c>
      <c r="D906">
        <v>8438.1200000000008</v>
      </c>
      <c r="E906">
        <v>7709.5193900000004</v>
      </c>
      <c r="F906">
        <v>8789.2999999999993</v>
      </c>
      <c r="G906">
        <v>17463.46</v>
      </c>
    </row>
    <row r="907" spans="1:7" x14ac:dyDescent="0.35">
      <c r="A907" s="1">
        <v>41502</v>
      </c>
      <c r="B907">
        <v>2854.27</v>
      </c>
      <c r="C907">
        <v>4123.8900000000003</v>
      </c>
      <c r="D907">
        <v>8391.94</v>
      </c>
      <c r="E907">
        <v>7624.3970099999997</v>
      </c>
      <c r="F907">
        <v>8821.2999999999993</v>
      </c>
      <c r="G907">
        <v>17677.77</v>
      </c>
    </row>
    <row r="908" spans="1:7" x14ac:dyDescent="0.35">
      <c r="A908" s="1">
        <v>41505</v>
      </c>
      <c r="B908">
        <v>2823.35</v>
      </c>
      <c r="C908">
        <v>4083.98</v>
      </c>
      <c r="D908">
        <v>8366.2900000000009</v>
      </c>
      <c r="E908">
        <v>7586.7279399999998</v>
      </c>
      <c r="F908">
        <v>8657.1</v>
      </c>
      <c r="G908">
        <v>17243.25</v>
      </c>
    </row>
    <row r="909" spans="1:7" x14ac:dyDescent="0.35">
      <c r="A909" s="1">
        <v>41506</v>
      </c>
      <c r="B909">
        <v>2787.98</v>
      </c>
      <c r="C909">
        <v>4028.93</v>
      </c>
      <c r="D909">
        <v>8300.0300000000007</v>
      </c>
      <c r="E909">
        <v>7538.3337499999998</v>
      </c>
      <c r="F909">
        <v>8502.4</v>
      </c>
      <c r="G909">
        <v>16999.55</v>
      </c>
    </row>
    <row r="910" spans="1:7" x14ac:dyDescent="0.35">
      <c r="A910" s="1">
        <v>41507</v>
      </c>
      <c r="B910">
        <v>2774.58</v>
      </c>
      <c r="C910">
        <v>4015.09</v>
      </c>
      <c r="D910">
        <v>8285.41</v>
      </c>
      <c r="E910">
        <v>7498.0312899999999</v>
      </c>
      <c r="F910">
        <v>8461.7999999999993</v>
      </c>
      <c r="G910">
        <v>16877.93</v>
      </c>
    </row>
    <row r="911" spans="1:7" x14ac:dyDescent="0.35">
      <c r="A911" s="1">
        <v>41508</v>
      </c>
      <c r="B911">
        <v>2812.32</v>
      </c>
      <c r="C911">
        <v>4059.12</v>
      </c>
      <c r="D911">
        <v>8397.89</v>
      </c>
      <c r="E911">
        <v>7523.6005699999996</v>
      </c>
      <c r="F911">
        <v>8629.7000000000007</v>
      </c>
      <c r="G911">
        <v>17309.84</v>
      </c>
    </row>
    <row r="912" spans="1:7" x14ac:dyDescent="0.35">
      <c r="A912" s="1">
        <v>41509</v>
      </c>
      <c r="B912">
        <v>2826.05</v>
      </c>
      <c r="C912">
        <v>4069.47</v>
      </c>
      <c r="D912">
        <v>8416.99</v>
      </c>
      <c r="E912">
        <v>7550.2730199999996</v>
      </c>
      <c r="F912">
        <v>8686.7999999999993</v>
      </c>
      <c r="G912">
        <v>17342.25</v>
      </c>
    </row>
    <row r="913" spans="1:7" x14ac:dyDescent="0.35">
      <c r="A913" s="1">
        <v>41513</v>
      </c>
      <c r="B913">
        <v>2749.27</v>
      </c>
      <c r="C913">
        <v>3968.73</v>
      </c>
      <c r="D913">
        <v>8242.56</v>
      </c>
      <c r="E913">
        <v>7475.3355099999999</v>
      </c>
      <c r="F913">
        <v>8394</v>
      </c>
      <c r="G913">
        <v>16579.8</v>
      </c>
    </row>
    <row r="914" spans="1:7" x14ac:dyDescent="0.35">
      <c r="A914" s="1">
        <v>41514</v>
      </c>
      <c r="B914">
        <v>2742.61</v>
      </c>
      <c r="C914">
        <v>3960.46</v>
      </c>
      <c r="D914">
        <v>8157.9</v>
      </c>
      <c r="E914">
        <v>7485.7414900000003</v>
      </c>
      <c r="F914">
        <v>8398.1</v>
      </c>
      <c r="G914">
        <v>16743.09</v>
      </c>
    </row>
    <row r="915" spans="1:7" x14ac:dyDescent="0.35">
      <c r="A915" s="1">
        <v>41515</v>
      </c>
      <c r="B915">
        <v>2758.31</v>
      </c>
      <c r="C915">
        <v>3986.35</v>
      </c>
      <c r="D915">
        <v>8194.5499999999993</v>
      </c>
      <c r="E915">
        <v>7587.7147100000002</v>
      </c>
      <c r="F915">
        <v>8432.1</v>
      </c>
      <c r="G915">
        <v>16905.150000000001</v>
      </c>
    </row>
    <row r="916" spans="1:7" x14ac:dyDescent="0.35">
      <c r="A916" s="1">
        <v>41516</v>
      </c>
      <c r="B916">
        <v>2721.37</v>
      </c>
      <c r="C916">
        <v>3933.78</v>
      </c>
      <c r="D916">
        <v>8103.15</v>
      </c>
      <c r="E916">
        <v>7516.8825800000004</v>
      </c>
      <c r="F916">
        <v>8290.5</v>
      </c>
      <c r="G916">
        <v>16682.21</v>
      </c>
    </row>
    <row r="917" spans="1:7" x14ac:dyDescent="0.35">
      <c r="A917" s="1">
        <v>41519</v>
      </c>
      <c r="B917">
        <v>2774.09</v>
      </c>
      <c r="C917">
        <v>4006.01</v>
      </c>
      <c r="D917">
        <v>8243.8700000000008</v>
      </c>
      <c r="E917">
        <v>7659.0109300000004</v>
      </c>
      <c r="F917">
        <v>8429.6</v>
      </c>
      <c r="G917">
        <v>16988.57</v>
      </c>
    </row>
    <row r="918" spans="1:7" x14ac:dyDescent="0.35">
      <c r="A918" s="1">
        <v>41520</v>
      </c>
      <c r="B918">
        <v>2753.35</v>
      </c>
      <c r="C918">
        <v>3974.07</v>
      </c>
      <c r="D918">
        <v>8180.71</v>
      </c>
      <c r="E918">
        <v>7635.7785000000003</v>
      </c>
      <c r="F918">
        <v>8445.2000000000007</v>
      </c>
      <c r="G918">
        <v>16941.03</v>
      </c>
    </row>
    <row r="919" spans="1:7" x14ac:dyDescent="0.35">
      <c r="A919" s="1">
        <v>41521</v>
      </c>
      <c r="B919">
        <v>2758.29</v>
      </c>
      <c r="C919">
        <v>3980.42</v>
      </c>
      <c r="D919">
        <v>8195.92</v>
      </c>
      <c r="E919">
        <v>7660.9668799999999</v>
      </c>
      <c r="F919">
        <v>8490.2999999999993</v>
      </c>
      <c r="G919">
        <v>16712.2</v>
      </c>
    </row>
    <row r="920" spans="1:7" x14ac:dyDescent="0.35">
      <c r="A920" s="1">
        <v>41522</v>
      </c>
      <c r="B920">
        <v>2774.2</v>
      </c>
      <c r="C920">
        <v>4006.8</v>
      </c>
      <c r="D920">
        <v>8234.98</v>
      </c>
      <c r="E920">
        <v>7761.0980600000003</v>
      </c>
      <c r="F920">
        <v>8550</v>
      </c>
      <c r="G920">
        <v>16842.7</v>
      </c>
    </row>
    <row r="921" spans="1:7" x14ac:dyDescent="0.35">
      <c r="A921" s="1">
        <v>41523</v>
      </c>
      <c r="B921">
        <v>2803.42</v>
      </c>
      <c r="C921">
        <v>4049.19</v>
      </c>
      <c r="D921">
        <v>8275.67</v>
      </c>
      <c r="E921">
        <v>7772.3432000000003</v>
      </c>
      <c r="F921">
        <v>8655</v>
      </c>
      <c r="G921">
        <v>17047</v>
      </c>
    </row>
    <row r="922" spans="1:7" x14ac:dyDescent="0.35">
      <c r="A922" s="1">
        <v>41526</v>
      </c>
      <c r="B922">
        <v>2798.31</v>
      </c>
      <c r="C922">
        <v>4040.33</v>
      </c>
      <c r="D922">
        <v>8276.32</v>
      </c>
      <c r="E922">
        <v>7736.10437</v>
      </c>
      <c r="F922">
        <v>8632.5</v>
      </c>
      <c r="G922">
        <v>17244.740000000002</v>
      </c>
    </row>
    <row r="923" spans="1:7" x14ac:dyDescent="0.35">
      <c r="A923" s="1">
        <v>41527</v>
      </c>
      <c r="B923">
        <v>2851.4</v>
      </c>
      <c r="C923">
        <v>4116.6400000000003</v>
      </c>
      <c r="D923">
        <v>8446.5400000000009</v>
      </c>
      <c r="E923">
        <v>7810.9160400000001</v>
      </c>
      <c r="F923">
        <v>8801.6</v>
      </c>
      <c r="G923">
        <v>17332.419999999998</v>
      </c>
    </row>
    <row r="924" spans="1:7" x14ac:dyDescent="0.35">
      <c r="A924" s="1">
        <v>41528</v>
      </c>
      <c r="B924">
        <v>2863.44</v>
      </c>
      <c r="C924">
        <v>4119.1099999999997</v>
      </c>
      <c r="D924">
        <v>8495.73</v>
      </c>
      <c r="E924">
        <v>7832.2122499999996</v>
      </c>
      <c r="F924">
        <v>8875.2000000000007</v>
      </c>
      <c r="G924">
        <v>17562.55</v>
      </c>
    </row>
    <row r="925" spans="1:7" x14ac:dyDescent="0.35">
      <c r="A925" s="1">
        <v>41529</v>
      </c>
      <c r="B925">
        <v>2862.07</v>
      </c>
      <c r="C925">
        <v>4106.63</v>
      </c>
      <c r="D925">
        <v>8494</v>
      </c>
      <c r="E925">
        <v>7827.4765799999996</v>
      </c>
      <c r="F925">
        <v>8924.2000000000007</v>
      </c>
      <c r="G925">
        <v>17522.71</v>
      </c>
    </row>
    <row r="926" spans="1:7" x14ac:dyDescent="0.35">
      <c r="A926" s="1">
        <v>41530</v>
      </c>
      <c r="B926">
        <v>2867.11</v>
      </c>
      <c r="C926">
        <v>4114.5</v>
      </c>
      <c r="D926">
        <v>8509.42</v>
      </c>
      <c r="E926">
        <v>7860.5290699999996</v>
      </c>
      <c r="F926">
        <v>8941.6</v>
      </c>
      <c r="G926">
        <v>17547.91</v>
      </c>
    </row>
    <row r="927" spans="1:7" x14ac:dyDescent="0.35">
      <c r="A927" s="1">
        <v>41533</v>
      </c>
      <c r="B927">
        <v>2894.64</v>
      </c>
      <c r="C927">
        <v>4152.22</v>
      </c>
      <c r="D927">
        <v>8613</v>
      </c>
      <c r="E927">
        <v>7901.8529799999997</v>
      </c>
      <c r="F927">
        <v>8999.5</v>
      </c>
      <c r="G927">
        <v>17731.810000000001</v>
      </c>
    </row>
    <row r="928" spans="1:7" x14ac:dyDescent="0.35">
      <c r="A928" s="1">
        <v>41534</v>
      </c>
      <c r="B928">
        <v>2890.95</v>
      </c>
      <c r="C928">
        <v>4145.51</v>
      </c>
      <c r="D928">
        <v>8596.9500000000007</v>
      </c>
      <c r="E928">
        <v>7827.1362600000002</v>
      </c>
      <c r="F928">
        <v>8992</v>
      </c>
      <c r="G928">
        <v>17751.650000000001</v>
      </c>
    </row>
    <row r="929" spans="1:7" x14ac:dyDescent="0.35">
      <c r="A929" s="1">
        <v>41535</v>
      </c>
      <c r="B929">
        <v>2908.92</v>
      </c>
      <c r="C929">
        <v>4170.3999999999996</v>
      </c>
      <c r="D929">
        <v>8636.06</v>
      </c>
      <c r="E929">
        <v>7840.3382099999999</v>
      </c>
      <c r="F929">
        <v>9062.5</v>
      </c>
      <c r="G929">
        <v>17804.7</v>
      </c>
    </row>
    <row r="930" spans="1:7" x14ac:dyDescent="0.35">
      <c r="A930" s="1">
        <v>41536</v>
      </c>
      <c r="B930">
        <v>2936.2</v>
      </c>
      <c r="C930">
        <v>4206.04</v>
      </c>
      <c r="D930">
        <v>8694.18</v>
      </c>
      <c r="E930">
        <v>7859.77639</v>
      </c>
      <c r="F930">
        <v>9153.7000000000007</v>
      </c>
      <c r="G930">
        <v>18059.23</v>
      </c>
    </row>
    <row r="931" spans="1:7" x14ac:dyDescent="0.35">
      <c r="A931" s="1">
        <v>41537</v>
      </c>
      <c r="B931">
        <v>2927.19</v>
      </c>
      <c r="C931">
        <v>4203.66</v>
      </c>
      <c r="D931">
        <v>8675.73</v>
      </c>
      <c r="E931">
        <v>7809.2134299999998</v>
      </c>
      <c r="F931">
        <v>9171.7999999999993</v>
      </c>
      <c r="G931">
        <v>17970.12</v>
      </c>
    </row>
    <row r="932" spans="1:7" x14ac:dyDescent="0.35">
      <c r="A932" s="1">
        <v>41540</v>
      </c>
      <c r="B932">
        <v>2906.35</v>
      </c>
      <c r="C932">
        <v>4172.08</v>
      </c>
      <c r="D932">
        <v>8635.2900000000009</v>
      </c>
      <c r="E932">
        <v>7793.1540500000001</v>
      </c>
      <c r="F932">
        <v>9109.5</v>
      </c>
      <c r="G932">
        <v>17913.18</v>
      </c>
    </row>
    <row r="933" spans="1:7" x14ac:dyDescent="0.35">
      <c r="A933" s="1">
        <v>41541</v>
      </c>
      <c r="B933">
        <v>2922.93</v>
      </c>
      <c r="C933">
        <v>4195.6099999999997</v>
      </c>
      <c r="D933">
        <v>8664.6</v>
      </c>
      <c r="E933">
        <v>7795.8467499999997</v>
      </c>
      <c r="F933">
        <v>9167.6</v>
      </c>
      <c r="G933">
        <v>18064.580000000002</v>
      </c>
    </row>
    <row r="934" spans="1:7" x14ac:dyDescent="0.35">
      <c r="A934" s="1">
        <v>41542</v>
      </c>
      <c r="B934">
        <v>2927.35</v>
      </c>
      <c r="C934">
        <v>4195.3500000000004</v>
      </c>
      <c r="D934">
        <v>8665.6299999999992</v>
      </c>
      <c r="E934">
        <v>7786.96414</v>
      </c>
      <c r="F934">
        <v>9242.9</v>
      </c>
      <c r="G934">
        <v>18089.240000000002</v>
      </c>
    </row>
    <row r="935" spans="1:7" x14ac:dyDescent="0.35">
      <c r="A935" s="1">
        <v>41543</v>
      </c>
      <c r="B935">
        <v>2922.99</v>
      </c>
      <c r="C935">
        <v>4186.72</v>
      </c>
      <c r="D935">
        <v>8664.1</v>
      </c>
      <c r="E935">
        <v>7804.8311000000003</v>
      </c>
      <c r="F935">
        <v>9272.4</v>
      </c>
      <c r="G935">
        <v>17872.53</v>
      </c>
    </row>
    <row r="936" spans="1:7" x14ac:dyDescent="0.35">
      <c r="A936" s="1">
        <v>41544</v>
      </c>
      <c r="B936">
        <v>2919.34</v>
      </c>
      <c r="C936">
        <v>4186.7700000000004</v>
      </c>
      <c r="D936">
        <v>8661.51</v>
      </c>
      <c r="E936">
        <v>7764.8167700000004</v>
      </c>
      <c r="F936">
        <v>9228.4</v>
      </c>
      <c r="G936">
        <v>17646.16</v>
      </c>
    </row>
    <row r="937" spans="1:7" x14ac:dyDescent="0.35">
      <c r="A937" s="1">
        <v>41547</v>
      </c>
      <c r="B937">
        <v>2893.15</v>
      </c>
      <c r="C937">
        <v>4143.4399999999996</v>
      </c>
      <c r="D937">
        <v>8594.4</v>
      </c>
      <c r="E937">
        <v>7728.7788200000005</v>
      </c>
      <c r="F937">
        <v>9186.1</v>
      </c>
      <c r="G937">
        <v>17434.86</v>
      </c>
    </row>
    <row r="938" spans="1:7" x14ac:dyDescent="0.35">
      <c r="A938" s="1">
        <v>41548</v>
      </c>
      <c r="B938">
        <v>2933.02</v>
      </c>
      <c r="C938">
        <v>4196.6000000000004</v>
      </c>
      <c r="D938">
        <v>8689.14</v>
      </c>
      <c r="E938">
        <v>7738.1605900000004</v>
      </c>
      <c r="F938">
        <v>9341.5</v>
      </c>
      <c r="G938">
        <v>17977.060000000001</v>
      </c>
    </row>
    <row r="939" spans="1:7" x14ac:dyDescent="0.35">
      <c r="A939" s="1">
        <v>41549</v>
      </c>
      <c r="B939">
        <v>2918.31</v>
      </c>
      <c r="C939">
        <v>4158.16</v>
      </c>
      <c r="D939">
        <v>8629.42</v>
      </c>
      <c r="E939">
        <v>7687.2745299999997</v>
      </c>
      <c r="F939">
        <v>9350</v>
      </c>
      <c r="G939">
        <v>18098.439999999999</v>
      </c>
    </row>
    <row r="940" spans="1:7" x14ac:dyDescent="0.35">
      <c r="A940" s="1">
        <v>41550</v>
      </c>
      <c r="B940">
        <v>2902.12</v>
      </c>
      <c r="C940">
        <v>4127.9799999999996</v>
      </c>
      <c r="D940">
        <v>8597.91</v>
      </c>
      <c r="E940">
        <v>7653.2647299999999</v>
      </c>
      <c r="F940">
        <v>9295.7000000000007</v>
      </c>
      <c r="G940">
        <v>18018.22</v>
      </c>
    </row>
    <row r="941" spans="1:7" x14ac:dyDescent="0.35">
      <c r="A941" s="1">
        <v>41551</v>
      </c>
      <c r="B941">
        <v>2928.31</v>
      </c>
      <c r="C941">
        <v>4164.25</v>
      </c>
      <c r="D941">
        <v>8622.9699999999993</v>
      </c>
      <c r="E941">
        <v>7636.83734</v>
      </c>
      <c r="F941">
        <v>9420.9</v>
      </c>
      <c r="G941">
        <v>18304.22</v>
      </c>
    </row>
    <row r="942" spans="1:7" x14ac:dyDescent="0.35">
      <c r="A942" s="1">
        <v>41554</v>
      </c>
      <c r="B942">
        <v>2923.04</v>
      </c>
      <c r="C942">
        <v>4165.58</v>
      </c>
      <c r="D942">
        <v>8591.58</v>
      </c>
      <c r="E942">
        <v>7632.7409900000002</v>
      </c>
      <c r="F942">
        <v>9381.9</v>
      </c>
      <c r="G942">
        <v>18425.82</v>
      </c>
    </row>
    <row r="943" spans="1:7" x14ac:dyDescent="0.35">
      <c r="A943" s="1">
        <v>41555</v>
      </c>
      <c r="B943">
        <v>2903.35</v>
      </c>
      <c r="C943">
        <v>4133.53</v>
      </c>
      <c r="D943">
        <v>8555.89</v>
      </c>
      <c r="E943">
        <v>7540.1366399999997</v>
      </c>
      <c r="F943">
        <v>9318.9</v>
      </c>
      <c r="G943">
        <v>18372.75</v>
      </c>
    </row>
    <row r="944" spans="1:7" x14ac:dyDescent="0.35">
      <c r="A944" s="1">
        <v>41556</v>
      </c>
      <c r="B944">
        <v>2904.73</v>
      </c>
      <c r="C944">
        <v>4127.05</v>
      </c>
      <c r="D944">
        <v>8516.69</v>
      </c>
      <c r="E944">
        <v>7479.6813700000002</v>
      </c>
      <c r="F944">
        <v>9439</v>
      </c>
      <c r="G944">
        <v>18551.57</v>
      </c>
    </row>
    <row r="945" spans="1:7" x14ac:dyDescent="0.35">
      <c r="A945" s="1">
        <v>41557</v>
      </c>
      <c r="B945">
        <v>2969.41</v>
      </c>
      <c r="C945">
        <v>4218.1099999999997</v>
      </c>
      <c r="D945">
        <v>8685.77</v>
      </c>
      <c r="E945">
        <v>7590.8505699999996</v>
      </c>
      <c r="F945">
        <v>9660.5</v>
      </c>
      <c r="G945">
        <v>18836.79</v>
      </c>
    </row>
    <row r="946" spans="1:7" x14ac:dyDescent="0.35">
      <c r="A946" s="1">
        <v>41558</v>
      </c>
      <c r="B946">
        <v>2974.28</v>
      </c>
      <c r="C946">
        <v>4219.9799999999996</v>
      </c>
      <c r="D946">
        <v>8724.83</v>
      </c>
      <c r="E946">
        <v>7636.1878299999998</v>
      </c>
      <c r="F946">
        <v>9668.5</v>
      </c>
      <c r="G946">
        <v>18882.63</v>
      </c>
    </row>
    <row r="947" spans="1:7" x14ac:dyDescent="0.35">
      <c r="A947" s="1">
        <v>41561</v>
      </c>
      <c r="B947">
        <v>2977.69</v>
      </c>
      <c r="C947">
        <v>4222.96</v>
      </c>
      <c r="D947">
        <v>8723.81</v>
      </c>
      <c r="E947">
        <v>7666.7173000000003</v>
      </c>
      <c r="F947">
        <v>9696</v>
      </c>
      <c r="G947">
        <v>18917.669999999998</v>
      </c>
    </row>
    <row r="948" spans="1:7" x14ac:dyDescent="0.35">
      <c r="A948" s="1">
        <v>41562</v>
      </c>
      <c r="B948">
        <v>3004.56</v>
      </c>
      <c r="C948">
        <v>4256.0200000000004</v>
      </c>
      <c r="D948">
        <v>8804.44</v>
      </c>
      <c r="E948">
        <v>7749.9580699999997</v>
      </c>
      <c r="F948">
        <v>9805.2999999999993</v>
      </c>
      <c r="G948">
        <v>18999.22</v>
      </c>
    </row>
    <row r="949" spans="1:7" x14ac:dyDescent="0.35">
      <c r="A949" s="1">
        <v>41563</v>
      </c>
      <c r="B949">
        <v>3015.4</v>
      </c>
      <c r="C949">
        <v>4243.72</v>
      </c>
      <c r="D949">
        <v>8846</v>
      </c>
      <c r="E949">
        <v>7744.8450000000003</v>
      </c>
      <c r="F949">
        <v>9879</v>
      </c>
      <c r="G949">
        <v>19275.04</v>
      </c>
    </row>
    <row r="950" spans="1:7" x14ac:dyDescent="0.35">
      <c r="A950" s="1">
        <v>41564</v>
      </c>
      <c r="B950">
        <v>3010.39</v>
      </c>
      <c r="C950">
        <v>4239.6400000000003</v>
      </c>
      <c r="D950">
        <v>8811.98</v>
      </c>
      <c r="E950">
        <v>7779.0456599999998</v>
      </c>
      <c r="F950">
        <v>9918</v>
      </c>
      <c r="G950">
        <v>19198.099999999999</v>
      </c>
    </row>
    <row r="951" spans="1:7" x14ac:dyDescent="0.35">
      <c r="A951" s="1">
        <v>41565</v>
      </c>
      <c r="B951">
        <v>3033.31</v>
      </c>
      <c r="C951">
        <v>4286.03</v>
      </c>
      <c r="D951">
        <v>8865.1</v>
      </c>
      <c r="E951">
        <v>7822.1124600000003</v>
      </c>
      <c r="F951">
        <v>10001.799999999999</v>
      </c>
      <c r="G951">
        <v>19271.02</v>
      </c>
    </row>
    <row r="952" spans="1:7" x14ac:dyDescent="0.35">
      <c r="A952" s="1">
        <v>41568</v>
      </c>
      <c r="B952">
        <v>3028.65</v>
      </c>
      <c r="C952">
        <v>4276.92</v>
      </c>
      <c r="D952">
        <v>8867.2199999999993</v>
      </c>
      <c r="E952">
        <v>7857.4638599999998</v>
      </c>
      <c r="F952">
        <v>10037.799999999999</v>
      </c>
      <c r="G952">
        <v>19262.689999999999</v>
      </c>
    </row>
    <row r="953" spans="1:7" x14ac:dyDescent="0.35">
      <c r="A953" s="1">
        <v>41569</v>
      </c>
      <c r="B953">
        <v>3045.77</v>
      </c>
      <c r="C953">
        <v>4295.43</v>
      </c>
      <c r="D953">
        <v>8947.4599999999991</v>
      </c>
      <c r="E953">
        <v>7886.9600600000003</v>
      </c>
      <c r="F953">
        <v>10012.9</v>
      </c>
      <c r="G953">
        <v>19371.93</v>
      </c>
    </row>
    <row r="954" spans="1:7" x14ac:dyDescent="0.35">
      <c r="A954" s="1">
        <v>41570</v>
      </c>
      <c r="B954">
        <v>3017.16</v>
      </c>
      <c r="C954">
        <v>4260.66</v>
      </c>
      <c r="D954">
        <v>8919.86</v>
      </c>
      <c r="E954">
        <v>7829.4085100000002</v>
      </c>
      <c r="F954">
        <v>9828.2999999999993</v>
      </c>
      <c r="G954">
        <v>18910.68</v>
      </c>
    </row>
    <row r="955" spans="1:7" x14ac:dyDescent="0.35">
      <c r="A955" s="1">
        <v>41571</v>
      </c>
      <c r="B955">
        <v>3038.96</v>
      </c>
      <c r="C955">
        <v>4275.6899999999996</v>
      </c>
      <c r="D955">
        <v>8980.6299999999992</v>
      </c>
      <c r="E955">
        <v>7876.4606800000001</v>
      </c>
      <c r="F955">
        <v>9915.4</v>
      </c>
      <c r="G955">
        <v>19152.93</v>
      </c>
    </row>
    <row r="956" spans="1:7" x14ac:dyDescent="0.35">
      <c r="A956" s="1">
        <v>41572</v>
      </c>
      <c r="B956">
        <v>3034.5</v>
      </c>
      <c r="C956">
        <v>4272.3100000000004</v>
      </c>
      <c r="D956">
        <v>8985.74</v>
      </c>
      <c r="E956">
        <v>7875.58824</v>
      </c>
      <c r="F956">
        <v>9815.5</v>
      </c>
      <c r="G956">
        <v>18874.75</v>
      </c>
    </row>
    <row r="957" spans="1:7" x14ac:dyDescent="0.35">
      <c r="A957" s="1">
        <v>41575</v>
      </c>
      <c r="B957">
        <v>3022.04</v>
      </c>
      <c r="C957">
        <v>4251.6099999999997</v>
      </c>
      <c r="D957">
        <v>8978.65</v>
      </c>
      <c r="E957">
        <v>7874.3448399999997</v>
      </c>
      <c r="F957">
        <v>9736.2000000000007</v>
      </c>
      <c r="G957">
        <v>18829.419999999998</v>
      </c>
    </row>
    <row r="958" spans="1:7" x14ac:dyDescent="0.35">
      <c r="A958" s="1">
        <v>41576</v>
      </c>
      <c r="B958">
        <v>3050.64</v>
      </c>
      <c r="C958">
        <v>4278.09</v>
      </c>
      <c r="D958">
        <v>9022.0400000000009</v>
      </c>
      <c r="E958">
        <v>7899.4978300000002</v>
      </c>
      <c r="F958">
        <v>9863.9</v>
      </c>
      <c r="G958">
        <v>19256.900000000001</v>
      </c>
    </row>
    <row r="959" spans="1:7" x14ac:dyDescent="0.35">
      <c r="A959" s="1">
        <v>41577</v>
      </c>
      <c r="B959">
        <v>3040.69</v>
      </c>
      <c r="C959">
        <v>4274.1099999999997</v>
      </c>
      <c r="D959">
        <v>9010.27</v>
      </c>
      <c r="E959">
        <v>7908.3010800000002</v>
      </c>
      <c r="F959">
        <v>9778.7000000000007</v>
      </c>
      <c r="G959">
        <v>19166.93</v>
      </c>
    </row>
    <row r="960" spans="1:7" x14ac:dyDescent="0.35">
      <c r="A960" s="1">
        <v>41578</v>
      </c>
      <c r="B960">
        <v>3067.95</v>
      </c>
      <c r="C960">
        <v>4299.8900000000003</v>
      </c>
      <c r="D960">
        <v>9033.92</v>
      </c>
      <c r="E960">
        <v>7945.1564799999996</v>
      </c>
      <c r="F960">
        <v>9907.9</v>
      </c>
      <c r="G960">
        <v>19351.52</v>
      </c>
    </row>
    <row r="961" spans="1:7" x14ac:dyDescent="0.35">
      <c r="A961" s="1">
        <v>41579</v>
      </c>
      <c r="B961">
        <v>3052.14</v>
      </c>
      <c r="C961">
        <v>4273.1899999999996</v>
      </c>
      <c r="D961">
        <v>9007.83</v>
      </c>
      <c r="E961">
        <v>7945.4461300000003</v>
      </c>
      <c r="F961">
        <v>9838.2999999999993</v>
      </c>
      <c r="G961">
        <v>19164.259999999998</v>
      </c>
    </row>
    <row r="962" spans="1:7" x14ac:dyDescent="0.35">
      <c r="A962" s="1">
        <v>41582</v>
      </c>
      <c r="B962">
        <v>3061.18</v>
      </c>
      <c r="C962">
        <v>4288.59</v>
      </c>
      <c r="D962">
        <v>9037.23</v>
      </c>
      <c r="E962">
        <v>7985.0864199999996</v>
      </c>
      <c r="F962">
        <v>9873.7999999999993</v>
      </c>
      <c r="G962">
        <v>19310.689999999999</v>
      </c>
    </row>
    <row r="963" spans="1:7" x14ac:dyDescent="0.35">
      <c r="A963" s="1">
        <v>41583</v>
      </c>
      <c r="B963">
        <v>3035.92</v>
      </c>
      <c r="C963">
        <v>4253.34</v>
      </c>
      <c r="D963">
        <v>9009.11</v>
      </c>
      <c r="E963">
        <v>8031.69</v>
      </c>
      <c r="F963">
        <v>9795.7000000000007</v>
      </c>
      <c r="G963">
        <v>19091.93</v>
      </c>
    </row>
    <row r="964" spans="1:7" x14ac:dyDescent="0.35">
      <c r="A964" s="1">
        <v>41584</v>
      </c>
      <c r="B964">
        <v>3056.4</v>
      </c>
      <c r="C964">
        <v>4286.93</v>
      </c>
      <c r="D964">
        <v>9040.8700000000008</v>
      </c>
      <c r="E964">
        <v>8018.6536100000003</v>
      </c>
      <c r="F964">
        <v>9837.1</v>
      </c>
      <c r="G964">
        <v>19262.509999999998</v>
      </c>
    </row>
    <row r="965" spans="1:7" x14ac:dyDescent="0.35">
      <c r="A965" s="1">
        <v>41585</v>
      </c>
      <c r="B965">
        <v>3042.98</v>
      </c>
      <c r="C965">
        <v>4280.99</v>
      </c>
      <c r="D965">
        <v>9081.0300000000007</v>
      </c>
      <c r="E965">
        <v>8033.1667600000001</v>
      </c>
      <c r="F965">
        <v>9740.4</v>
      </c>
      <c r="G965">
        <v>18863.41</v>
      </c>
    </row>
    <row r="966" spans="1:7" x14ac:dyDescent="0.35">
      <c r="A966" s="1">
        <v>41586</v>
      </c>
      <c r="B966">
        <v>3034.91</v>
      </c>
      <c r="C966">
        <v>4260.4399999999996</v>
      </c>
      <c r="D966">
        <v>9078.2800000000007</v>
      </c>
      <c r="E966">
        <v>8031.33428</v>
      </c>
      <c r="F966">
        <v>9747.2000000000007</v>
      </c>
      <c r="G966">
        <v>18961.71</v>
      </c>
    </row>
    <row r="967" spans="1:7" x14ac:dyDescent="0.35">
      <c r="A967" s="1">
        <v>41589</v>
      </c>
      <c r="B967">
        <v>3052.83</v>
      </c>
      <c r="C967">
        <v>4290.1400000000003</v>
      </c>
      <c r="D967">
        <v>9107.86</v>
      </c>
      <c r="E967">
        <v>8021.0322999999999</v>
      </c>
      <c r="F967">
        <v>9789.5</v>
      </c>
      <c r="G967">
        <v>19107.849999999999</v>
      </c>
    </row>
    <row r="968" spans="1:7" x14ac:dyDescent="0.35">
      <c r="A968" s="1">
        <v>41590</v>
      </c>
      <c r="B968">
        <v>3034.68</v>
      </c>
      <c r="C968">
        <v>4263.78</v>
      </c>
      <c r="D968">
        <v>9076.48</v>
      </c>
      <c r="E968">
        <v>7964.3552200000004</v>
      </c>
      <c r="F968">
        <v>9707.6</v>
      </c>
      <c r="G968">
        <v>19005.02</v>
      </c>
    </row>
    <row r="969" spans="1:7" x14ac:dyDescent="0.35">
      <c r="A969" s="1">
        <v>41591</v>
      </c>
      <c r="B969">
        <v>3021.17</v>
      </c>
      <c r="C969">
        <v>4239.9399999999996</v>
      </c>
      <c r="D969">
        <v>9054.83</v>
      </c>
      <c r="E969">
        <v>7896.9637300000004</v>
      </c>
      <c r="F969">
        <v>9675.2000000000007</v>
      </c>
      <c r="G969">
        <v>18733.02</v>
      </c>
    </row>
    <row r="970" spans="1:7" x14ac:dyDescent="0.35">
      <c r="A970" s="1">
        <v>41592</v>
      </c>
      <c r="B970">
        <v>3053.69</v>
      </c>
      <c r="C970">
        <v>4283.91</v>
      </c>
      <c r="D970">
        <v>9149.66</v>
      </c>
      <c r="E970">
        <v>7952.1507700000002</v>
      </c>
      <c r="F970">
        <v>9708.7000000000007</v>
      </c>
      <c r="G970">
        <v>18760.78</v>
      </c>
    </row>
    <row r="971" spans="1:7" x14ac:dyDescent="0.35">
      <c r="A971" s="1">
        <v>41593</v>
      </c>
      <c r="B971">
        <v>3054.53</v>
      </c>
      <c r="C971">
        <v>4292.2299999999996</v>
      </c>
      <c r="D971">
        <v>9168.69</v>
      </c>
      <c r="E971">
        <v>7995.2870199999998</v>
      </c>
      <c r="F971">
        <v>9695.9</v>
      </c>
      <c r="G971">
        <v>18687.189999999999</v>
      </c>
    </row>
    <row r="972" spans="1:7" x14ac:dyDescent="0.35">
      <c r="A972" s="1">
        <v>41596</v>
      </c>
      <c r="B972">
        <v>3081.3</v>
      </c>
      <c r="C972">
        <v>4320.68</v>
      </c>
      <c r="D972">
        <v>9225.43</v>
      </c>
      <c r="E972">
        <v>8014.5952699999998</v>
      </c>
      <c r="F972">
        <v>9783.1</v>
      </c>
      <c r="G972">
        <v>19105.46</v>
      </c>
    </row>
    <row r="973" spans="1:7" x14ac:dyDescent="0.35">
      <c r="A973" s="1">
        <v>41597</v>
      </c>
      <c r="B973">
        <v>3049.17</v>
      </c>
      <c r="C973">
        <v>4272.29</v>
      </c>
      <c r="D973">
        <v>9193.2900000000009</v>
      </c>
      <c r="E973">
        <v>7977.63868</v>
      </c>
      <c r="F973">
        <v>9629.7999999999993</v>
      </c>
      <c r="G973">
        <v>18766.78</v>
      </c>
    </row>
    <row r="974" spans="1:7" x14ac:dyDescent="0.35">
      <c r="A974" s="1">
        <v>41598</v>
      </c>
      <c r="B974">
        <v>3047.32</v>
      </c>
      <c r="C974">
        <v>4268.37</v>
      </c>
      <c r="D974">
        <v>9202.07</v>
      </c>
      <c r="E974">
        <v>8019.3839900000003</v>
      </c>
      <c r="F974">
        <v>9559.5</v>
      </c>
      <c r="G974">
        <v>18728.25</v>
      </c>
    </row>
    <row r="975" spans="1:7" x14ac:dyDescent="0.35">
      <c r="A975" s="1">
        <v>41599</v>
      </c>
      <c r="B975">
        <v>3044.34</v>
      </c>
      <c r="C975">
        <v>4253.8999999999996</v>
      </c>
      <c r="D975">
        <v>9196.08</v>
      </c>
      <c r="E975">
        <v>8022.1630699999996</v>
      </c>
      <c r="F975">
        <v>9599.2999999999993</v>
      </c>
      <c r="G975">
        <v>18841.849999999999</v>
      </c>
    </row>
    <row r="976" spans="1:7" x14ac:dyDescent="0.35">
      <c r="A976" s="1">
        <v>41600</v>
      </c>
      <c r="B976">
        <v>3055.98</v>
      </c>
      <c r="C976">
        <v>4278.53</v>
      </c>
      <c r="D976">
        <v>9219.0400000000009</v>
      </c>
      <c r="E976">
        <v>7989.5398599999999</v>
      </c>
      <c r="F976">
        <v>9677.4</v>
      </c>
      <c r="G976">
        <v>18822.310000000001</v>
      </c>
    </row>
    <row r="977" spans="1:7" x14ac:dyDescent="0.35">
      <c r="A977" s="1">
        <v>41603</v>
      </c>
      <c r="B977">
        <v>3072.75</v>
      </c>
      <c r="C977">
        <v>4301.97</v>
      </c>
      <c r="D977">
        <v>9299.9500000000007</v>
      </c>
      <c r="E977">
        <v>7999.4615800000001</v>
      </c>
      <c r="F977">
        <v>9689.1</v>
      </c>
      <c r="G977">
        <v>18784.3</v>
      </c>
    </row>
    <row r="978" spans="1:7" x14ac:dyDescent="0.35">
      <c r="A978" s="1">
        <v>41604</v>
      </c>
      <c r="B978">
        <v>3062.62</v>
      </c>
      <c r="C978">
        <v>4277.57</v>
      </c>
      <c r="D978">
        <v>9290.07</v>
      </c>
      <c r="E978">
        <v>7925.0868</v>
      </c>
      <c r="F978">
        <v>9714.6</v>
      </c>
      <c r="G978">
        <v>18774.27</v>
      </c>
    </row>
    <row r="979" spans="1:7" x14ac:dyDescent="0.35">
      <c r="A979" s="1">
        <v>41605</v>
      </c>
      <c r="B979">
        <v>3082.65</v>
      </c>
      <c r="C979">
        <v>4293.0600000000004</v>
      </c>
      <c r="D979">
        <v>9351.1299999999992</v>
      </c>
      <c r="E979">
        <v>7973.4838499999996</v>
      </c>
      <c r="F979">
        <v>9808.4</v>
      </c>
      <c r="G979">
        <v>18924.79</v>
      </c>
    </row>
    <row r="980" spans="1:7" x14ac:dyDescent="0.35">
      <c r="A980" s="1">
        <v>41606</v>
      </c>
      <c r="B980">
        <v>3092.42</v>
      </c>
      <c r="C980">
        <v>4302.42</v>
      </c>
      <c r="D980">
        <v>9387.3700000000008</v>
      </c>
      <c r="E980">
        <v>7993.5866500000002</v>
      </c>
      <c r="F980">
        <v>9859.7999999999993</v>
      </c>
      <c r="G980">
        <v>19099.36</v>
      </c>
    </row>
    <row r="981" spans="1:7" x14ac:dyDescent="0.35">
      <c r="A981" s="1">
        <v>41607</v>
      </c>
      <c r="B981">
        <v>3086.64</v>
      </c>
      <c r="C981">
        <v>4295.21</v>
      </c>
      <c r="D981">
        <v>9405.2999999999993</v>
      </c>
      <c r="E981">
        <v>8009.4675699999998</v>
      </c>
      <c r="F981">
        <v>9837.6</v>
      </c>
      <c r="G981">
        <v>19021.48</v>
      </c>
    </row>
    <row r="982" spans="1:7" x14ac:dyDescent="0.35">
      <c r="A982" s="1">
        <v>41610</v>
      </c>
      <c r="B982">
        <v>3077.23</v>
      </c>
      <c r="C982">
        <v>4285.8100000000004</v>
      </c>
      <c r="D982">
        <v>9401.9599999999991</v>
      </c>
      <c r="E982">
        <v>7961.0222700000004</v>
      </c>
      <c r="F982">
        <v>9745.5</v>
      </c>
      <c r="G982">
        <v>18732.560000000001</v>
      </c>
    </row>
    <row r="983" spans="1:7" x14ac:dyDescent="0.35">
      <c r="A983" s="1">
        <v>41611</v>
      </c>
      <c r="B983">
        <v>3013.88</v>
      </c>
      <c r="C983">
        <v>4172.4399999999996</v>
      </c>
      <c r="D983">
        <v>9223.4</v>
      </c>
      <c r="E983">
        <v>7881.1846599999999</v>
      </c>
      <c r="F983">
        <v>9605</v>
      </c>
      <c r="G983">
        <v>18366.75</v>
      </c>
    </row>
    <row r="984" spans="1:7" x14ac:dyDescent="0.35">
      <c r="A984" s="1">
        <v>41612</v>
      </c>
      <c r="B984">
        <v>2991.76</v>
      </c>
      <c r="C984">
        <v>4148.5200000000004</v>
      </c>
      <c r="D984">
        <v>9140.6299999999992</v>
      </c>
      <c r="E984">
        <v>7848.4550799999997</v>
      </c>
      <c r="F984">
        <v>9540.5</v>
      </c>
      <c r="G984">
        <v>18312.96</v>
      </c>
    </row>
    <row r="985" spans="1:7" x14ac:dyDescent="0.35">
      <c r="A985" s="1">
        <v>41613</v>
      </c>
      <c r="B985">
        <v>2953.17</v>
      </c>
      <c r="C985">
        <v>4099.91</v>
      </c>
      <c r="D985">
        <v>9084.9500000000007</v>
      </c>
      <c r="E985">
        <v>7765.6589000000004</v>
      </c>
      <c r="F985">
        <v>9392.1</v>
      </c>
      <c r="G985">
        <v>17993.12</v>
      </c>
    </row>
    <row r="986" spans="1:7" x14ac:dyDescent="0.35">
      <c r="A986" s="1">
        <v>41614</v>
      </c>
      <c r="B986">
        <v>2979.94</v>
      </c>
      <c r="C986">
        <v>4129.37</v>
      </c>
      <c r="D986">
        <v>9172.41</v>
      </c>
      <c r="E986">
        <v>7817.3239299999996</v>
      </c>
      <c r="F986">
        <v>9400.5</v>
      </c>
      <c r="G986">
        <v>18124.39</v>
      </c>
    </row>
    <row r="987" spans="1:7" x14ac:dyDescent="0.35">
      <c r="A987" s="1">
        <v>41617</v>
      </c>
      <c r="B987">
        <v>2988.67</v>
      </c>
      <c r="C987">
        <v>4134.1000000000004</v>
      </c>
      <c r="D987">
        <v>9195.17</v>
      </c>
      <c r="E987">
        <v>7841.9317099999998</v>
      </c>
      <c r="F987">
        <v>9487.4</v>
      </c>
      <c r="G987">
        <v>18285.52</v>
      </c>
    </row>
    <row r="988" spans="1:7" x14ac:dyDescent="0.35">
      <c r="A988" s="1">
        <v>41618</v>
      </c>
      <c r="B988">
        <v>2960.86</v>
      </c>
      <c r="C988">
        <v>4091.14</v>
      </c>
      <c r="D988">
        <v>9114.44</v>
      </c>
      <c r="E988">
        <v>7786.37518</v>
      </c>
      <c r="F988">
        <v>9438.2999999999993</v>
      </c>
      <c r="G988">
        <v>18236.72</v>
      </c>
    </row>
    <row r="989" spans="1:7" x14ac:dyDescent="0.35">
      <c r="A989" s="1">
        <v>41619</v>
      </c>
      <c r="B989">
        <v>2947.31</v>
      </c>
      <c r="C989">
        <v>4086.86</v>
      </c>
      <c r="D989">
        <v>9077.11</v>
      </c>
      <c r="E989">
        <v>7728.8309799999997</v>
      </c>
      <c r="F989">
        <v>9358.7000000000007</v>
      </c>
      <c r="G989">
        <v>17973.96</v>
      </c>
    </row>
    <row r="990" spans="1:7" x14ac:dyDescent="0.35">
      <c r="A990" s="1">
        <v>41620</v>
      </c>
      <c r="B990">
        <v>2928.12</v>
      </c>
      <c r="C990">
        <v>4069.12</v>
      </c>
      <c r="D990">
        <v>9017</v>
      </c>
      <c r="E990">
        <v>7658.53971</v>
      </c>
      <c r="F990">
        <v>9272.1</v>
      </c>
      <c r="G990">
        <v>17804.87</v>
      </c>
    </row>
    <row r="991" spans="1:7" x14ac:dyDescent="0.35">
      <c r="A991" s="1">
        <v>41621</v>
      </c>
      <c r="B991">
        <v>2921.92</v>
      </c>
      <c r="C991">
        <v>4059.71</v>
      </c>
      <c r="D991">
        <v>9006.4599999999991</v>
      </c>
      <c r="E991">
        <v>7648.3327200000003</v>
      </c>
      <c r="F991">
        <v>9272.7000000000007</v>
      </c>
      <c r="G991">
        <v>17805.73</v>
      </c>
    </row>
    <row r="992" spans="1:7" x14ac:dyDescent="0.35">
      <c r="A992" s="1">
        <v>41624</v>
      </c>
      <c r="B992">
        <v>2978.77</v>
      </c>
      <c r="C992">
        <v>4119.88</v>
      </c>
      <c r="D992">
        <v>9163.56</v>
      </c>
      <c r="E992">
        <v>7735.4449699999996</v>
      </c>
      <c r="F992">
        <v>9429.5</v>
      </c>
      <c r="G992">
        <v>18222.419999999998</v>
      </c>
    </row>
    <row r="993" spans="1:7" x14ac:dyDescent="0.35">
      <c r="A993" s="1">
        <v>41625</v>
      </c>
      <c r="B993">
        <v>2941.76</v>
      </c>
      <c r="C993">
        <v>4068.64</v>
      </c>
      <c r="D993">
        <v>9085.1200000000008</v>
      </c>
      <c r="E993">
        <v>7667.3404799999998</v>
      </c>
      <c r="F993">
        <v>9343.4</v>
      </c>
      <c r="G993">
        <v>17925.21</v>
      </c>
    </row>
    <row r="994" spans="1:7" x14ac:dyDescent="0.35">
      <c r="A994" s="1">
        <v>41626</v>
      </c>
      <c r="B994">
        <v>2975.09</v>
      </c>
      <c r="C994">
        <v>4109.51</v>
      </c>
      <c r="D994">
        <v>9181.75</v>
      </c>
      <c r="E994">
        <v>7732.3523299999997</v>
      </c>
      <c r="F994">
        <v>9443.6</v>
      </c>
      <c r="G994">
        <v>18131.490000000002</v>
      </c>
    </row>
    <row r="995" spans="1:7" x14ac:dyDescent="0.35">
      <c r="A995" s="1">
        <v>41627</v>
      </c>
      <c r="B995">
        <v>3031.05</v>
      </c>
      <c r="C995">
        <v>4177.03</v>
      </c>
      <c r="D995">
        <v>9335.74</v>
      </c>
      <c r="E995">
        <v>7891.52081</v>
      </c>
      <c r="F995">
        <v>9664.2999999999993</v>
      </c>
      <c r="G995">
        <v>18453.990000000002</v>
      </c>
    </row>
    <row r="996" spans="1:7" x14ac:dyDescent="0.35">
      <c r="A996" s="1">
        <v>41628</v>
      </c>
      <c r="B996">
        <v>3049.35</v>
      </c>
      <c r="C996">
        <v>4193.7700000000004</v>
      </c>
      <c r="D996">
        <v>9400.18</v>
      </c>
      <c r="E996">
        <v>7900.0747499999998</v>
      </c>
      <c r="F996">
        <v>9689.9</v>
      </c>
      <c r="G996">
        <v>18565.61</v>
      </c>
    </row>
    <row r="997" spans="1:7" x14ac:dyDescent="0.35">
      <c r="A997" s="1">
        <v>41631</v>
      </c>
      <c r="B997">
        <v>3070.91</v>
      </c>
      <c r="C997">
        <v>4215.29</v>
      </c>
      <c r="D997">
        <v>9488.82</v>
      </c>
      <c r="E997">
        <v>7976.4025300000003</v>
      </c>
      <c r="F997">
        <v>9758.4</v>
      </c>
      <c r="G997">
        <v>18697.150000000001</v>
      </c>
    </row>
    <row r="998" spans="1:7" x14ac:dyDescent="0.35">
      <c r="A998" s="1">
        <v>41635</v>
      </c>
      <c r="B998">
        <v>3111.37</v>
      </c>
      <c r="C998">
        <v>4277.6499999999996</v>
      </c>
      <c r="D998">
        <v>9589.39</v>
      </c>
      <c r="E998">
        <v>8084.5689000000002</v>
      </c>
      <c r="F998">
        <v>9900.1</v>
      </c>
      <c r="G998">
        <v>18956.52</v>
      </c>
    </row>
    <row r="999" spans="1:7" x14ac:dyDescent="0.35">
      <c r="A999" s="1">
        <v>41638</v>
      </c>
      <c r="B999">
        <v>3100.93</v>
      </c>
      <c r="C999">
        <v>4275.71</v>
      </c>
      <c r="D999">
        <v>9552.16</v>
      </c>
      <c r="E999">
        <v>8055.0864300000003</v>
      </c>
      <c r="F999">
        <v>9901.9</v>
      </c>
      <c r="G999">
        <v>18967.71</v>
      </c>
    </row>
    <row r="1000" spans="1:7" x14ac:dyDescent="0.35">
      <c r="A1000" s="1">
        <v>41641</v>
      </c>
      <c r="B1000">
        <v>3059.93</v>
      </c>
      <c r="C1000">
        <v>4227.28</v>
      </c>
      <c r="D1000">
        <v>9400.0400000000009</v>
      </c>
      <c r="E1000">
        <v>8077.7034100000001</v>
      </c>
      <c r="F1000">
        <v>9760.2999999999993</v>
      </c>
      <c r="G1000">
        <v>18929.63</v>
      </c>
    </row>
    <row r="1001" spans="1:7" x14ac:dyDescent="0.35">
      <c r="A1001" s="1">
        <v>41642</v>
      </c>
      <c r="B1001">
        <v>3074.43</v>
      </c>
      <c r="C1001">
        <v>4247.6499999999996</v>
      </c>
      <c r="D1001">
        <v>9435.15</v>
      </c>
      <c r="E1001">
        <v>8126.7707499999997</v>
      </c>
      <c r="F1001">
        <v>9798</v>
      </c>
      <c r="G1001">
        <v>19112.650000000001</v>
      </c>
    </row>
    <row r="1002" spans="1:7" x14ac:dyDescent="0.35">
      <c r="A1002" s="1">
        <v>41645</v>
      </c>
      <c r="B1002">
        <v>3069.16</v>
      </c>
      <c r="C1002">
        <v>4227.54</v>
      </c>
      <c r="D1002">
        <v>9428</v>
      </c>
      <c r="E1002">
        <v>8099.6753099999996</v>
      </c>
      <c r="F1002">
        <v>9888.5</v>
      </c>
      <c r="G1002">
        <v>19233.740000000002</v>
      </c>
    </row>
    <row r="1003" spans="1:7" x14ac:dyDescent="0.35">
      <c r="A1003" s="1">
        <v>41646</v>
      </c>
      <c r="B1003">
        <v>3110.96</v>
      </c>
      <c r="C1003">
        <v>4262.68</v>
      </c>
      <c r="D1003">
        <v>9506.2000000000007</v>
      </c>
      <c r="E1003">
        <v>8140.8401800000001</v>
      </c>
      <c r="F1003">
        <v>10178.700000000001</v>
      </c>
      <c r="G1003">
        <v>19468.75</v>
      </c>
    </row>
    <row r="1004" spans="1:7" x14ac:dyDescent="0.35">
      <c r="A1004" s="1">
        <v>41647</v>
      </c>
      <c r="B1004">
        <v>3110.66</v>
      </c>
      <c r="C1004">
        <v>4260.96</v>
      </c>
      <c r="D1004">
        <v>9497.84</v>
      </c>
      <c r="E1004">
        <v>8145.39059</v>
      </c>
      <c r="F1004">
        <v>10253.6</v>
      </c>
      <c r="G1004">
        <v>19436.3</v>
      </c>
    </row>
    <row r="1005" spans="1:7" x14ac:dyDescent="0.35">
      <c r="A1005" s="1">
        <v>41648</v>
      </c>
      <c r="B1005">
        <v>3090.26</v>
      </c>
      <c r="C1005">
        <v>4225.1400000000003</v>
      </c>
      <c r="D1005">
        <v>9421.61</v>
      </c>
      <c r="E1005">
        <v>8108.1325999999999</v>
      </c>
      <c r="F1005">
        <v>10234.200000000001</v>
      </c>
      <c r="G1005">
        <v>19503</v>
      </c>
    </row>
    <row r="1006" spans="1:7" x14ac:dyDescent="0.35">
      <c r="A1006" s="1">
        <v>41649</v>
      </c>
      <c r="B1006">
        <v>3104.15</v>
      </c>
      <c r="C1006">
        <v>4250.6000000000004</v>
      </c>
      <c r="D1006">
        <v>9473.24</v>
      </c>
      <c r="E1006">
        <v>8125.1227200000003</v>
      </c>
      <c r="F1006">
        <v>10290.6</v>
      </c>
      <c r="G1006">
        <v>19569</v>
      </c>
    </row>
    <row r="1007" spans="1:7" x14ac:dyDescent="0.35">
      <c r="A1007" s="1">
        <v>41652</v>
      </c>
      <c r="B1007">
        <v>3111.94</v>
      </c>
      <c r="C1007">
        <v>4263.2700000000004</v>
      </c>
      <c r="D1007">
        <v>9510.17</v>
      </c>
      <c r="E1007">
        <v>8100.7608300000002</v>
      </c>
      <c r="F1007">
        <v>10365.5</v>
      </c>
      <c r="G1007">
        <v>19697.25</v>
      </c>
    </row>
    <row r="1008" spans="1:7" x14ac:dyDescent="0.35">
      <c r="A1008" s="1">
        <v>41653</v>
      </c>
      <c r="B1008">
        <v>3119.53</v>
      </c>
      <c r="C1008">
        <v>4274.2</v>
      </c>
      <c r="D1008">
        <v>9540.51</v>
      </c>
      <c r="E1008">
        <v>8135.2661699999999</v>
      </c>
      <c r="F1008">
        <v>10382</v>
      </c>
      <c r="G1008">
        <v>19730.38</v>
      </c>
    </row>
    <row r="1009" spans="1:7" x14ac:dyDescent="0.35">
      <c r="A1009" s="1">
        <v>41654</v>
      </c>
      <c r="B1009">
        <v>3168.76</v>
      </c>
      <c r="C1009">
        <v>4332.07</v>
      </c>
      <c r="D1009">
        <v>9733.81</v>
      </c>
      <c r="E1009">
        <v>8206.0063300000002</v>
      </c>
      <c r="F1009">
        <v>10525</v>
      </c>
      <c r="G1009">
        <v>20045.759999999998</v>
      </c>
    </row>
    <row r="1010" spans="1:7" x14ac:dyDescent="0.35">
      <c r="A1010" s="1">
        <v>41655</v>
      </c>
      <c r="B1010">
        <v>3150.2</v>
      </c>
      <c r="C1010">
        <v>4319.2700000000004</v>
      </c>
      <c r="D1010">
        <v>9717.7099999999991</v>
      </c>
      <c r="E1010">
        <v>8194.7491000000009</v>
      </c>
      <c r="F1010">
        <v>10455.5</v>
      </c>
      <c r="G1010">
        <v>19875.689999999999</v>
      </c>
    </row>
    <row r="1011" spans="1:7" x14ac:dyDescent="0.35">
      <c r="A1011" s="1">
        <v>41656</v>
      </c>
      <c r="B1011">
        <v>3154.1</v>
      </c>
      <c r="C1011">
        <v>4327.5</v>
      </c>
      <c r="D1011">
        <v>9742.9599999999991</v>
      </c>
      <c r="E1011">
        <v>8282.2673900000009</v>
      </c>
      <c r="F1011">
        <v>10465.700000000001</v>
      </c>
      <c r="G1011">
        <v>19969.330000000002</v>
      </c>
    </row>
    <row r="1012" spans="1:7" x14ac:dyDescent="0.35">
      <c r="A1012" s="1">
        <v>41659</v>
      </c>
      <c r="B1012">
        <v>3153.17</v>
      </c>
      <c r="C1012">
        <v>4322.8599999999997</v>
      </c>
      <c r="D1012">
        <v>9715.9</v>
      </c>
      <c r="E1012">
        <v>8280.2077300000001</v>
      </c>
      <c r="F1012">
        <v>10454.1</v>
      </c>
      <c r="G1012">
        <v>19973.45</v>
      </c>
    </row>
    <row r="1013" spans="1:7" x14ac:dyDescent="0.35">
      <c r="A1013" s="1">
        <v>41660</v>
      </c>
      <c r="B1013">
        <v>3153.08</v>
      </c>
      <c r="C1013">
        <v>4323.87</v>
      </c>
      <c r="D1013">
        <v>9730.1200000000008</v>
      </c>
      <c r="E1013">
        <v>8309.5522899999996</v>
      </c>
      <c r="F1013">
        <v>10357.4</v>
      </c>
      <c r="G1013">
        <v>19995.75</v>
      </c>
    </row>
    <row r="1014" spans="1:7" x14ac:dyDescent="0.35">
      <c r="A1014" s="1">
        <v>41661</v>
      </c>
      <c r="B1014">
        <v>3151.27</v>
      </c>
      <c r="C1014">
        <v>4324.9799999999996</v>
      </c>
      <c r="D1014">
        <v>9720.11</v>
      </c>
      <c r="E1014">
        <v>8350.1768200000006</v>
      </c>
      <c r="F1014">
        <v>10279.700000000001</v>
      </c>
      <c r="G1014">
        <v>19958.38</v>
      </c>
    </row>
    <row r="1015" spans="1:7" x14ac:dyDescent="0.35">
      <c r="A1015" s="1">
        <v>41662</v>
      </c>
      <c r="B1015">
        <v>3117.08</v>
      </c>
      <c r="C1015">
        <v>4280.96</v>
      </c>
      <c r="D1015">
        <v>9631.0400000000009</v>
      </c>
      <c r="E1015">
        <v>8229.9685900000004</v>
      </c>
      <c r="F1015">
        <v>10241.200000000001</v>
      </c>
      <c r="G1015">
        <v>19814.55</v>
      </c>
    </row>
    <row r="1016" spans="1:7" x14ac:dyDescent="0.35">
      <c r="A1016" s="1">
        <v>41663</v>
      </c>
      <c r="B1016">
        <v>3028.2</v>
      </c>
      <c r="C1016">
        <v>4161.47</v>
      </c>
      <c r="D1016">
        <v>9392.02</v>
      </c>
      <c r="E1016">
        <v>8038.5655500000003</v>
      </c>
      <c r="F1016">
        <v>9868.9</v>
      </c>
      <c r="G1016">
        <v>19358.990000000002</v>
      </c>
    </row>
    <row r="1017" spans="1:7" x14ac:dyDescent="0.35">
      <c r="A1017" s="1">
        <v>41666</v>
      </c>
      <c r="B1017">
        <v>3014.62</v>
      </c>
      <c r="C1017">
        <v>4144.5600000000004</v>
      </c>
      <c r="D1017">
        <v>9349.2199999999993</v>
      </c>
      <c r="E1017">
        <v>7941.3403600000001</v>
      </c>
      <c r="F1017">
        <v>9758.4</v>
      </c>
      <c r="G1017">
        <v>19273.580000000002</v>
      </c>
    </row>
    <row r="1018" spans="1:7" x14ac:dyDescent="0.35">
      <c r="A1018" s="1">
        <v>41667</v>
      </c>
      <c r="B1018">
        <v>3038.6</v>
      </c>
      <c r="C1018">
        <v>4185.29</v>
      </c>
      <c r="D1018">
        <v>9406.91</v>
      </c>
      <c r="E1018">
        <v>7969.7257900000004</v>
      </c>
      <c r="F1018">
        <v>9879.1</v>
      </c>
      <c r="G1018">
        <v>19448.32</v>
      </c>
    </row>
    <row r="1019" spans="1:7" x14ac:dyDescent="0.35">
      <c r="A1019" s="1">
        <v>41668</v>
      </c>
      <c r="B1019">
        <v>3011.45</v>
      </c>
      <c r="C1019">
        <v>4156.9799999999996</v>
      </c>
      <c r="D1019">
        <v>9336.73</v>
      </c>
      <c r="E1019">
        <v>7936.9755999999998</v>
      </c>
      <c r="F1019">
        <v>9896.2000000000007</v>
      </c>
      <c r="G1019">
        <v>19337.419999999998</v>
      </c>
    </row>
    <row r="1020" spans="1:7" x14ac:dyDescent="0.35">
      <c r="A1020" s="1">
        <v>41669</v>
      </c>
      <c r="B1020">
        <v>3027.3</v>
      </c>
      <c r="C1020">
        <v>4180.0200000000004</v>
      </c>
      <c r="D1020">
        <v>9373.48</v>
      </c>
      <c r="E1020">
        <v>7952.0906800000002</v>
      </c>
      <c r="F1020">
        <v>9964.5</v>
      </c>
      <c r="G1020">
        <v>19411.55</v>
      </c>
    </row>
    <row r="1021" spans="1:7" x14ac:dyDescent="0.35">
      <c r="A1021" s="1">
        <v>41670</v>
      </c>
      <c r="B1021">
        <v>3013.96</v>
      </c>
      <c r="C1021">
        <v>4165.72</v>
      </c>
      <c r="D1021">
        <v>9306.48</v>
      </c>
      <c r="E1021">
        <v>7934.4933000000001</v>
      </c>
      <c r="F1021">
        <v>9920.2000000000007</v>
      </c>
      <c r="G1021">
        <v>19418.34</v>
      </c>
    </row>
    <row r="1022" spans="1:7" x14ac:dyDescent="0.35">
      <c r="A1022" s="1">
        <v>41673</v>
      </c>
      <c r="B1022">
        <v>2963.96</v>
      </c>
      <c r="C1022">
        <v>4107.75</v>
      </c>
      <c r="D1022">
        <v>9186.52</v>
      </c>
      <c r="E1022">
        <v>7802.1291899999997</v>
      </c>
      <c r="F1022">
        <v>9725.4</v>
      </c>
      <c r="G1022">
        <v>18907.16</v>
      </c>
    </row>
    <row r="1023" spans="1:7" x14ac:dyDescent="0.35">
      <c r="A1023" s="1">
        <v>41674</v>
      </c>
      <c r="B1023">
        <v>2962.49</v>
      </c>
      <c r="C1023">
        <v>4117.45</v>
      </c>
      <c r="D1023">
        <v>9127.91</v>
      </c>
      <c r="E1023">
        <v>7785.7728100000004</v>
      </c>
      <c r="F1023">
        <v>9754.2999999999993</v>
      </c>
      <c r="G1023">
        <v>19019.71</v>
      </c>
    </row>
    <row r="1024" spans="1:7" x14ac:dyDescent="0.35">
      <c r="A1024" s="1">
        <v>41675</v>
      </c>
      <c r="B1024">
        <v>2962.51</v>
      </c>
      <c r="C1024">
        <v>4117.79</v>
      </c>
      <c r="D1024">
        <v>9116.32</v>
      </c>
      <c r="E1024">
        <v>7788.7889299999997</v>
      </c>
      <c r="F1024">
        <v>9775</v>
      </c>
      <c r="G1024">
        <v>19069.62</v>
      </c>
    </row>
    <row r="1025" spans="1:7" x14ac:dyDescent="0.35">
      <c r="A1025" s="1">
        <v>41676</v>
      </c>
      <c r="B1025">
        <v>3010.79</v>
      </c>
      <c r="C1025">
        <v>4188.1000000000004</v>
      </c>
      <c r="D1025">
        <v>9256.58</v>
      </c>
      <c r="E1025">
        <v>7879.00119</v>
      </c>
      <c r="F1025">
        <v>9964.6</v>
      </c>
      <c r="G1025">
        <v>19504.240000000002</v>
      </c>
    </row>
    <row r="1026" spans="1:7" x14ac:dyDescent="0.35">
      <c r="A1026" s="1">
        <v>41677</v>
      </c>
      <c r="B1026">
        <v>3038.49</v>
      </c>
      <c r="C1026">
        <v>4228.18</v>
      </c>
      <c r="D1026">
        <v>9301.92</v>
      </c>
      <c r="E1026">
        <v>7908.5954499999998</v>
      </c>
      <c r="F1026">
        <v>10072.4</v>
      </c>
      <c r="G1026">
        <v>19692.080000000002</v>
      </c>
    </row>
    <row r="1027" spans="1:7" x14ac:dyDescent="0.35">
      <c r="A1027" s="1">
        <v>41680</v>
      </c>
      <c r="B1027">
        <v>3032.53</v>
      </c>
      <c r="C1027">
        <v>4237.13</v>
      </c>
      <c r="D1027">
        <v>9289.86</v>
      </c>
      <c r="E1027">
        <v>7927.5444100000004</v>
      </c>
      <c r="F1027">
        <v>9982.7000000000007</v>
      </c>
      <c r="G1027">
        <v>19682.82</v>
      </c>
    </row>
    <row r="1028" spans="1:7" x14ac:dyDescent="0.35">
      <c r="A1028" s="1">
        <v>41681</v>
      </c>
      <c r="B1028">
        <v>3077.08</v>
      </c>
      <c r="C1028">
        <v>4283.32</v>
      </c>
      <c r="D1028">
        <v>9478.77</v>
      </c>
      <c r="E1028">
        <v>8045.91093</v>
      </c>
      <c r="F1028">
        <v>10091.200000000001</v>
      </c>
      <c r="G1028">
        <v>19887.39</v>
      </c>
    </row>
    <row r="1029" spans="1:7" x14ac:dyDescent="0.35">
      <c r="A1029" s="1">
        <v>41682</v>
      </c>
      <c r="B1029">
        <v>3094.89</v>
      </c>
      <c r="C1029">
        <v>4305.5</v>
      </c>
      <c r="D1029">
        <v>9540</v>
      </c>
      <c r="E1029">
        <v>8144.6667100000004</v>
      </c>
      <c r="F1029">
        <v>10080.799999999999</v>
      </c>
      <c r="G1029">
        <v>20144.96</v>
      </c>
    </row>
    <row r="1030" spans="1:7" x14ac:dyDescent="0.35">
      <c r="A1030" s="1">
        <v>41683</v>
      </c>
      <c r="B1030">
        <v>3097.95</v>
      </c>
      <c r="C1030">
        <v>4312.8</v>
      </c>
      <c r="D1030">
        <v>9596.77</v>
      </c>
      <c r="E1030">
        <v>8108.7085500000003</v>
      </c>
      <c r="F1030">
        <v>10098.9</v>
      </c>
      <c r="G1030">
        <v>20110.3</v>
      </c>
    </row>
    <row r="1031" spans="1:7" x14ac:dyDescent="0.35">
      <c r="A1031" s="1">
        <v>41684</v>
      </c>
      <c r="B1031">
        <v>3119.06</v>
      </c>
      <c r="C1031">
        <v>4340.1400000000003</v>
      </c>
      <c r="D1031">
        <v>9662.4</v>
      </c>
      <c r="E1031">
        <v>8141.8293899999999</v>
      </c>
      <c r="F1031">
        <v>10132.799999999999</v>
      </c>
      <c r="G1031">
        <v>20436.47</v>
      </c>
    </row>
    <row r="1032" spans="1:7" x14ac:dyDescent="0.35">
      <c r="A1032" s="1">
        <v>41687</v>
      </c>
      <c r="B1032">
        <v>3118.91</v>
      </c>
      <c r="C1032">
        <v>4335.17</v>
      </c>
      <c r="D1032">
        <v>9656.76</v>
      </c>
      <c r="E1032">
        <v>8211.8513500000008</v>
      </c>
      <c r="F1032">
        <v>10118.6</v>
      </c>
      <c r="G1032">
        <v>20459.650000000001</v>
      </c>
    </row>
    <row r="1033" spans="1:7" x14ac:dyDescent="0.35">
      <c r="A1033" s="1">
        <v>41688</v>
      </c>
      <c r="B1033">
        <v>3117.44</v>
      </c>
      <c r="C1033">
        <v>4330.71</v>
      </c>
      <c r="D1033">
        <v>9659.7800000000007</v>
      </c>
      <c r="E1033">
        <v>8250.1959599999991</v>
      </c>
      <c r="F1033">
        <v>10042.700000000001</v>
      </c>
      <c r="G1033">
        <v>20478.53</v>
      </c>
    </row>
    <row r="1034" spans="1:7" x14ac:dyDescent="0.35">
      <c r="A1034" s="1">
        <v>41689</v>
      </c>
      <c r="B1034">
        <v>3120.8</v>
      </c>
      <c r="C1034">
        <v>4341.1000000000004</v>
      </c>
      <c r="D1034">
        <v>9660.0499999999993</v>
      </c>
      <c r="E1034">
        <v>8265.5743199999997</v>
      </c>
      <c r="F1034">
        <v>10053.799999999999</v>
      </c>
      <c r="G1034">
        <v>20438.3</v>
      </c>
    </row>
    <row r="1035" spans="1:7" x14ac:dyDescent="0.35">
      <c r="A1035" s="1">
        <v>41690</v>
      </c>
      <c r="B1035">
        <v>3121.59</v>
      </c>
      <c r="C1035">
        <v>4355.49</v>
      </c>
      <c r="D1035">
        <v>9618.85</v>
      </c>
      <c r="E1035">
        <v>8280.4108799999995</v>
      </c>
      <c r="F1035">
        <v>10062.200000000001</v>
      </c>
      <c r="G1035">
        <v>20452.28</v>
      </c>
    </row>
    <row r="1036" spans="1:7" x14ac:dyDescent="0.35">
      <c r="A1036" s="1">
        <v>41691</v>
      </c>
      <c r="B1036">
        <v>3131.67</v>
      </c>
      <c r="C1036">
        <v>4381.0600000000004</v>
      </c>
      <c r="D1036">
        <v>9656.9500000000007</v>
      </c>
      <c r="E1036">
        <v>8284.3333399999992</v>
      </c>
      <c r="F1036">
        <v>10071</v>
      </c>
      <c r="G1036">
        <v>20391.900000000001</v>
      </c>
    </row>
    <row r="1037" spans="1:7" x14ac:dyDescent="0.35">
      <c r="A1037" s="1">
        <v>41694</v>
      </c>
      <c r="B1037">
        <v>3157.31</v>
      </c>
      <c r="C1037">
        <v>4419.13</v>
      </c>
      <c r="D1037">
        <v>9708.94</v>
      </c>
      <c r="E1037">
        <v>8320.3007500000003</v>
      </c>
      <c r="F1037">
        <v>10193.1</v>
      </c>
      <c r="G1037">
        <v>20477.5</v>
      </c>
    </row>
    <row r="1038" spans="1:7" x14ac:dyDescent="0.35">
      <c r="A1038" s="1">
        <v>41695</v>
      </c>
      <c r="B1038">
        <v>3157.48</v>
      </c>
      <c r="C1038">
        <v>4414.55</v>
      </c>
      <c r="D1038">
        <v>9699.35</v>
      </c>
      <c r="E1038">
        <v>8293.7528399999992</v>
      </c>
      <c r="F1038">
        <v>10242.5</v>
      </c>
      <c r="G1038">
        <v>20473.169999999998</v>
      </c>
    </row>
    <row r="1039" spans="1:7" x14ac:dyDescent="0.35">
      <c r="A1039" s="1">
        <v>41696</v>
      </c>
      <c r="B1039">
        <v>3148.19</v>
      </c>
      <c r="C1039">
        <v>4396.91</v>
      </c>
      <c r="D1039">
        <v>9661.73</v>
      </c>
      <c r="E1039">
        <v>8273.6584700000003</v>
      </c>
      <c r="F1039">
        <v>10224.299999999999</v>
      </c>
      <c r="G1039">
        <v>20398.099999999999</v>
      </c>
    </row>
    <row r="1040" spans="1:7" x14ac:dyDescent="0.35">
      <c r="A1040" s="1">
        <v>41697</v>
      </c>
      <c r="B1040">
        <v>3134.94</v>
      </c>
      <c r="C1040">
        <v>4396.3900000000003</v>
      </c>
      <c r="D1040">
        <v>9588.33</v>
      </c>
      <c r="E1040">
        <v>8286.4659300000003</v>
      </c>
      <c r="F1040">
        <v>10164.1</v>
      </c>
      <c r="G1040">
        <v>20320.98</v>
      </c>
    </row>
    <row r="1041" spans="1:7" x14ac:dyDescent="0.35">
      <c r="A1041" s="1">
        <v>41698</v>
      </c>
      <c r="B1041">
        <v>3149.23</v>
      </c>
      <c r="C1041">
        <v>4408.08</v>
      </c>
      <c r="D1041">
        <v>9692.08</v>
      </c>
      <c r="E1041">
        <v>8249.7582299999995</v>
      </c>
      <c r="F1041">
        <v>10114.200000000001</v>
      </c>
      <c r="G1041">
        <v>20442.41</v>
      </c>
    </row>
    <row r="1042" spans="1:7" x14ac:dyDescent="0.35">
      <c r="A1042" s="1">
        <v>41701</v>
      </c>
      <c r="B1042">
        <v>3053.99</v>
      </c>
      <c r="C1042">
        <v>4290.87</v>
      </c>
      <c r="D1042">
        <v>9358.89</v>
      </c>
      <c r="E1042">
        <v>8133.9232099999999</v>
      </c>
      <c r="F1042">
        <v>9878.7000000000007</v>
      </c>
      <c r="G1042">
        <v>19759.689999999999</v>
      </c>
    </row>
    <row r="1043" spans="1:7" x14ac:dyDescent="0.35">
      <c r="A1043" s="1">
        <v>41702</v>
      </c>
      <c r="B1043">
        <v>3136.33</v>
      </c>
      <c r="C1043">
        <v>4395.8999999999996</v>
      </c>
      <c r="D1043">
        <v>9589.15</v>
      </c>
      <c r="E1043">
        <v>8284.6222400000006</v>
      </c>
      <c r="F1043">
        <v>10126.700000000001</v>
      </c>
      <c r="G1043">
        <v>20475.12</v>
      </c>
    </row>
    <row r="1044" spans="1:7" x14ac:dyDescent="0.35">
      <c r="A1044" s="1">
        <v>41703</v>
      </c>
      <c r="B1044">
        <v>3135.97</v>
      </c>
      <c r="C1044">
        <v>4391.25</v>
      </c>
      <c r="D1044">
        <v>9542.02</v>
      </c>
      <c r="E1044">
        <v>8254.3212899999999</v>
      </c>
      <c r="F1044">
        <v>10215.200000000001</v>
      </c>
      <c r="G1044">
        <v>20756.95</v>
      </c>
    </row>
    <row r="1045" spans="1:7" x14ac:dyDescent="0.35">
      <c r="A1045" s="1">
        <v>41704</v>
      </c>
      <c r="B1045">
        <v>3144.53</v>
      </c>
      <c r="C1045">
        <v>4417.04</v>
      </c>
      <c r="D1045">
        <v>9542.8700000000008</v>
      </c>
      <c r="E1045">
        <v>8210.4530900000009</v>
      </c>
      <c r="F1045">
        <v>10304</v>
      </c>
      <c r="G1045">
        <v>20838.05</v>
      </c>
    </row>
    <row r="1046" spans="1:7" x14ac:dyDescent="0.35">
      <c r="A1046" s="1">
        <v>41705</v>
      </c>
      <c r="B1046">
        <v>3095.31</v>
      </c>
      <c r="C1046">
        <v>4366.42</v>
      </c>
      <c r="D1046">
        <v>9350.75</v>
      </c>
      <c r="E1046">
        <v>8091.9724999999999</v>
      </c>
      <c r="F1046">
        <v>10164.200000000001</v>
      </c>
      <c r="G1046">
        <v>20634.21</v>
      </c>
    </row>
    <row r="1047" spans="1:7" x14ac:dyDescent="0.35">
      <c r="A1047" s="1">
        <v>41708</v>
      </c>
      <c r="B1047">
        <v>3092.79</v>
      </c>
      <c r="C1047">
        <v>4370.84</v>
      </c>
      <c r="D1047">
        <v>9265.5</v>
      </c>
      <c r="E1047">
        <v>8025.0256499999996</v>
      </c>
      <c r="F1047">
        <v>10194.6</v>
      </c>
      <c r="G1047">
        <v>20753.36</v>
      </c>
    </row>
    <row r="1048" spans="1:7" x14ac:dyDescent="0.35">
      <c r="A1048" s="1">
        <v>41709</v>
      </c>
      <c r="B1048">
        <v>3092.55</v>
      </c>
      <c r="C1048">
        <v>4349.72</v>
      </c>
      <c r="D1048">
        <v>9307.7900000000009</v>
      </c>
      <c r="E1048">
        <v>8013.5582299999996</v>
      </c>
      <c r="F1048">
        <v>10163.299999999999</v>
      </c>
      <c r="G1048">
        <v>20833.919999999998</v>
      </c>
    </row>
    <row r="1049" spans="1:7" x14ac:dyDescent="0.35">
      <c r="A1049" s="1">
        <v>41710</v>
      </c>
      <c r="B1049">
        <v>3065.46</v>
      </c>
      <c r="C1049">
        <v>4306.26</v>
      </c>
      <c r="D1049">
        <v>9188.69</v>
      </c>
      <c r="E1049">
        <v>7910.5063600000003</v>
      </c>
      <c r="F1049">
        <v>10070.4</v>
      </c>
      <c r="G1049">
        <v>20781.46</v>
      </c>
    </row>
    <row r="1050" spans="1:7" x14ac:dyDescent="0.35">
      <c r="A1050" s="1">
        <v>41711</v>
      </c>
      <c r="B1050">
        <v>3019.54</v>
      </c>
      <c r="C1050">
        <v>4250.51</v>
      </c>
      <c r="D1050">
        <v>9017.7900000000009</v>
      </c>
      <c r="E1050">
        <v>7865.7656900000002</v>
      </c>
      <c r="F1050">
        <v>9950.2999999999993</v>
      </c>
      <c r="G1050">
        <v>20591.82</v>
      </c>
    </row>
    <row r="1051" spans="1:7" x14ac:dyDescent="0.35">
      <c r="A1051" s="1">
        <v>41712</v>
      </c>
      <c r="B1051">
        <v>3004.64</v>
      </c>
      <c r="C1051">
        <v>4216.37</v>
      </c>
      <c r="D1051">
        <v>9056.41</v>
      </c>
      <c r="E1051">
        <v>7807.6382199999998</v>
      </c>
      <c r="F1051">
        <v>9812</v>
      </c>
      <c r="G1051">
        <v>20346.57</v>
      </c>
    </row>
    <row r="1052" spans="1:7" x14ac:dyDescent="0.35">
      <c r="A1052" s="1">
        <v>41715</v>
      </c>
      <c r="B1052">
        <v>3049.19</v>
      </c>
      <c r="C1052">
        <v>4271.96</v>
      </c>
      <c r="D1052">
        <v>9180.89</v>
      </c>
      <c r="E1052">
        <v>7848.0579699999998</v>
      </c>
      <c r="F1052">
        <v>9975</v>
      </c>
      <c r="G1052">
        <v>20858.84</v>
      </c>
    </row>
    <row r="1053" spans="1:7" x14ac:dyDescent="0.35">
      <c r="A1053" s="1">
        <v>41716</v>
      </c>
      <c r="B1053">
        <v>3073.75</v>
      </c>
      <c r="C1053">
        <v>4313.26</v>
      </c>
      <c r="D1053">
        <v>9242.5499999999993</v>
      </c>
      <c r="E1053">
        <v>7867.3145400000003</v>
      </c>
      <c r="F1053">
        <v>10051.4</v>
      </c>
      <c r="G1053">
        <v>21038.03</v>
      </c>
    </row>
    <row r="1054" spans="1:7" x14ac:dyDescent="0.35">
      <c r="A1054" s="1">
        <v>41717</v>
      </c>
      <c r="B1054">
        <v>3076.36</v>
      </c>
      <c r="C1054">
        <v>4308.0600000000004</v>
      </c>
      <c r="D1054">
        <v>9277.0499999999993</v>
      </c>
      <c r="E1054">
        <v>7862.15499</v>
      </c>
      <c r="F1054">
        <v>10093.299999999999</v>
      </c>
      <c r="G1054">
        <v>20976.99</v>
      </c>
    </row>
    <row r="1055" spans="1:7" x14ac:dyDescent="0.35">
      <c r="A1055" s="1">
        <v>41718</v>
      </c>
      <c r="B1055">
        <v>3088.9</v>
      </c>
      <c r="C1055">
        <v>4327.91</v>
      </c>
      <c r="D1055">
        <v>9296.1200000000008</v>
      </c>
      <c r="E1055">
        <v>7835.0669600000001</v>
      </c>
      <c r="F1055">
        <v>10079.9</v>
      </c>
      <c r="G1055">
        <v>21094.49</v>
      </c>
    </row>
    <row r="1056" spans="1:7" x14ac:dyDescent="0.35">
      <c r="A1056" s="1">
        <v>41719</v>
      </c>
      <c r="B1056">
        <v>3096.49</v>
      </c>
      <c r="C1056">
        <v>4335.28</v>
      </c>
      <c r="D1056">
        <v>9342.94</v>
      </c>
      <c r="E1056">
        <v>7840.4665400000004</v>
      </c>
      <c r="F1056">
        <v>10053.1</v>
      </c>
      <c r="G1056">
        <v>20972.240000000002</v>
      </c>
    </row>
    <row r="1057" spans="1:7" x14ac:dyDescent="0.35">
      <c r="A1057" s="1">
        <v>41722</v>
      </c>
      <c r="B1057">
        <v>3052.91</v>
      </c>
      <c r="C1057">
        <v>4276.34</v>
      </c>
      <c r="D1057">
        <v>9188.77</v>
      </c>
      <c r="E1057">
        <v>7770.3350399999999</v>
      </c>
      <c r="F1057">
        <v>9913.1</v>
      </c>
      <c r="G1057">
        <v>20626.580000000002</v>
      </c>
    </row>
    <row r="1058" spans="1:7" x14ac:dyDescent="0.35">
      <c r="A1058" s="1">
        <v>41723</v>
      </c>
      <c r="B1058">
        <v>3096.64</v>
      </c>
      <c r="C1058">
        <v>4344.12</v>
      </c>
      <c r="D1058">
        <v>9338.4</v>
      </c>
      <c r="E1058">
        <v>7895.1053700000002</v>
      </c>
      <c r="F1058">
        <v>9990.5</v>
      </c>
      <c r="G1058">
        <v>20823.16</v>
      </c>
    </row>
    <row r="1059" spans="1:7" x14ac:dyDescent="0.35">
      <c r="A1059" s="1">
        <v>41724</v>
      </c>
      <c r="B1059">
        <v>3130.17</v>
      </c>
      <c r="C1059">
        <v>4385.1499999999996</v>
      </c>
      <c r="D1059">
        <v>9448.58</v>
      </c>
      <c r="E1059">
        <v>7936.5153700000001</v>
      </c>
      <c r="F1059">
        <v>10140.799999999999</v>
      </c>
      <c r="G1059">
        <v>21108.15</v>
      </c>
    </row>
    <row r="1060" spans="1:7" x14ac:dyDescent="0.35">
      <c r="A1060" s="1">
        <v>41725</v>
      </c>
      <c r="B1060">
        <v>3133.75</v>
      </c>
      <c r="C1060">
        <v>4379.0600000000004</v>
      </c>
      <c r="D1060">
        <v>9451.2099999999991</v>
      </c>
      <c r="E1060">
        <v>7965.3200999999999</v>
      </c>
      <c r="F1060">
        <v>10199</v>
      </c>
      <c r="G1060">
        <v>21173.9</v>
      </c>
    </row>
    <row r="1061" spans="1:7" x14ac:dyDescent="0.35">
      <c r="A1061" s="1">
        <v>41726</v>
      </c>
      <c r="B1061">
        <v>3172.43</v>
      </c>
      <c r="C1061">
        <v>4411.26</v>
      </c>
      <c r="D1061">
        <v>9587.19</v>
      </c>
      <c r="E1061">
        <v>8008.1564600000002</v>
      </c>
      <c r="F1061">
        <v>10328.9</v>
      </c>
      <c r="G1061">
        <v>21498.240000000002</v>
      </c>
    </row>
    <row r="1062" spans="1:7" x14ac:dyDescent="0.35">
      <c r="A1062" s="1">
        <v>41729</v>
      </c>
      <c r="B1062">
        <v>3161.6</v>
      </c>
      <c r="C1062">
        <v>4391.5</v>
      </c>
      <c r="D1062">
        <v>9555.91</v>
      </c>
      <c r="E1062">
        <v>7992.1151600000003</v>
      </c>
      <c r="F1062">
        <v>10340.5</v>
      </c>
      <c r="G1062">
        <v>21691.919999999998</v>
      </c>
    </row>
    <row r="1063" spans="1:7" x14ac:dyDescent="0.35">
      <c r="A1063" s="1">
        <v>41730</v>
      </c>
      <c r="B1063">
        <v>3186.34</v>
      </c>
      <c r="C1063">
        <v>4426.72</v>
      </c>
      <c r="D1063">
        <v>9603.7099999999991</v>
      </c>
      <c r="E1063">
        <v>8024.3070200000002</v>
      </c>
      <c r="F1063">
        <v>10463.1</v>
      </c>
      <c r="G1063">
        <v>21915.41</v>
      </c>
    </row>
    <row r="1064" spans="1:7" x14ac:dyDescent="0.35">
      <c r="A1064" s="1">
        <v>41731</v>
      </c>
      <c r="B1064">
        <v>3187.45</v>
      </c>
      <c r="C1064">
        <v>4430.8599999999997</v>
      </c>
      <c r="D1064">
        <v>9623.36</v>
      </c>
      <c r="E1064">
        <v>8046.8640400000004</v>
      </c>
      <c r="F1064">
        <v>10435.799999999999</v>
      </c>
      <c r="G1064">
        <v>21692.04</v>
      </c>
    </row>
    <row r="1065" spans="1:7" x14ac:dyDescent="0.35">
      <c r="A1065" s="1">
        <v>41732</v>
      </c>
      <c r="B1065">
        <v>3206.76</v>
      </c>
      <c r="C1065">
        <v>4449.33</v>
      </c>
      <c r="D1065">
        <v>9628.82</v>
      </c>
      <c r="E1065">
        <v>8039.4455699999999</v>
      </c>
      <c r="F1065">
        <v>10584.1</v>
      </c>
      <c r="G1065">
        <v>21992.080000000002</v>
      </c>
    </row>
    <row r="1066" spans="1:7" x14ac:dyDescent="0.35">
      <c r="A1066" s="1">
        <v>41733</v>
      </c>
      <c r="B1066">
        <v>3230.33</v>
      </c>
      <c r="C1066">
        <v>4484.55</v>
      </c>
      <c r="D1066">
        <v>9695.77</v>
      </c>
      <c r="E1066">
        <v>8099.14833</v>
      </c>
      <c r="F1066">
        <v>10677.2</v>
      </c>
      <c r="G1066">
        <v>22175.48</v>
      </c>
    </row>
    <row r="1067" spans="1:7" x14ac:dyDescent="0.35">
      <c r="A1067" s="1">
        <v>41736</v>
      </c>
      <c r="B1067">
        <v>3185.97</v>
      </c>
      <c r="C1067">
        <v>4436.08</v>
      </c>
      <c r="D1067">
        <v>9510.85</v>
      </c>
      <c r="E1067">
        <v>8005.3500199999999</v>
      </c>
      <c r="F1067">
        <v>10606.2</v>
      </c>
      <c r="G1067">
        <v>21988.34</v>
      </c>
    </row>
    <row r="1068" spans="1:7" x14ac:dyDescent="0.35">
      <c r="A1068" s="1">
        <v>41737</v>
      </c>
      <c r="B1068">
        <v>3177.66</v>
      </c>
      <c r="C1068">
        <v>4424.83</v>
      </c>
      <c r="D1068">
        <v>9490.7900000000009</v>
      </c>
      <c r="E1068">
        <v>7996.1560799999997</v>
      </c>
      <c r="F1068">
        <v>10480.5</v>
      </c>
      <c r="G1068">
        <v>21667.05</v>
      </c>
    </row>
    <row r="1069" spans="1:7" x14ac:dyDescent="0.35">
      <c r="A1069" s="1">
        <v>41738</v>
      </c>
      <c r="B1069">
        <v>3182.79</v>
      </c>
      <c r="C1069">
        <v>4442.68</v>
      </c>
      <c r="D1069">
        <v>9506.35</v>
      </c>
      <c r="E1069">
        <v>8046.9204900000004</v>
      </c>
      <c r="F1069">
        <v>10485.200000000001</v>
      </c>
      <c r="G1069">
        <v>21717.02</v>
      </c>
    </row>
    <row r="1070" spans="1:7" x14ac:dyDescent="0.35">
      <c r="A1070" s="1">
        <v>41739</v>
      </c>
      <c r="B1070">
        <v>3152.86</v>
      </c>
      <c r="C1070">
        <v>4413.49</v>
      </c>
      <c r="D1070">
        <v>9454.5400000000009</v>
      </c>
      <c r="E1070">
        <v>8026.6105399999997</v>
      </c>
      <c r="F1070">
        <v>10336.1</v>
      </c>
      <c r="G1070">
        <v>21429.09</v>
      </c>
    </row>
    <row r="1071" spans="1:7" x14ac:dyDescent="0.35">
      <c r="A1071" s="1">
        <v>41740</v>
      </c>
      <c r="B1071">
        <v>3116.54</v>
      </c>
      <c r="C1071">
        <v>4365.8599999999997</v>
      </c>
      <c r="D1071">
        <v>9315.2900000000009</v>
      </c>
      <c r="E1071">
        <v>7905.4862999999996</v>
      </c>
      <c r="F1071">
        <v>10205.4</v>
      </c>
      <c r="G1071">
        <v>21198.79</v>
      </c>
    </row>
    <row r="1072" spans="1:7" x14ac:dyDescent="0.35">
      <c r="A1072" s="1">
        <v>41743</v>
      </c>
      <c r="B1072">
        <v>3131.57</v>
      </c>
      <c r="C1072">
        <v>4384.5600000000004</v>
      </c>
      <c r="D1072">
        <v>9339.17</v>
      </c>
      <c r="E1072">
        <v>7967.8350899999996</v>
      </c>
      <c r="F1072">
        <v>10188.200000000001</v>
      </c>
      <c r="G1072">
        <v>21314.560000000001</v>
      </c>
    </row>
    <row r="1073" spans="1:7" x14ac:dyDescent="0.35">
      <c r="A1073" s="1">
        <v>41744</v>
      </c>
      <c r="B1073">
        <v>3091.52</v>
      </c>
      <c r="C1073">
        <v>4345.3500000000004</v>
      </c>
      <c r="D1073">
        <v>9173.7099999999991</v>
      </c>
      <c r="E1073">
        <v>7917.7197200000001</v>
      </c>
      <c r="F1073">
        <v>10103.5</v>
      </c>
      <c r="G1073">
        <v>20817.490000000002</v>
      </c>
    </row>
    <row r="1074" spans="1:7" x14ac:dyDescent="0.35">
      <c r="A1074" s="1">
        <v>41745</v>
      </c>
      <c r="B1074">
        <v>3139.26</v>
      </c>
      <c r="C1074">
        <v>4405.66</v>
      </c>
      <c r="D1074">
        <v>9317.82</v>
      </c>
      <c r="E1074">
        <v>7997.5457999999999</v>
      </c>
      <c r="F1074">
        <v>10267.9</v>
      </c>
      <c r="G1074">
        <v>21534.52</v>
      </c>
    </row>
    <row r="1075" spans="1:7" x14ac:dyDescent="0.35">
      <c r="A1075" s="1">
        <v>41746</v>
      </c>
      <c r="B1075">
        <v>3155.81</v>
      </c>
      <c r="C1075">
        <v>4431.8100000000004</v>
      </c>
      <c r="D1075">
        <v>9409.7099999999991</v>
      </c>
      <c r="E1075">
        <v>8054.4323000000004</v>
      </c>
      <c r="F1075">
        <v>10292.4</v>
      </c>
      <c r="G1075">
        <v>21613.3</v>
      </c>
    </row>
    <row r="1076" spans="1:7" x14ac:dyDescent="0.35">
      <c r="A1076" s="1">
        <v>41751</v>
      </c>
      <c r="B1076">
        <v>3199.69</v>
      </c>
      <c r="C1076">
        <v>4484.21</v>
      </c>
      <c r="D1076">
        <v>9600.09</v>
      </c>
      <c r="E1076">
        <v>8148.8420900000001</v>
      </c>
      <c r="F1076">
        <v>10437.799999999999</v>
      </c>
      <c r="G1076">
        <v>21935.34</v>
      </c>
    </row>
    <row r="1077" spans="1:7" x14ac:dyDescent="0.35">
      <c r="A1077" s="1">
        <v>41752</v>
      </c>
      <c r="B1077">
        <v>3175.97</v>
      </c>
      <c r="C1077">
        <v>4451.08</v>
      </c>
      <c r="D1077">
        <v>9544.19</v>
      </c>
      <c r="E1077">
        <v>8104.4549100000004</v>
      </c>
      <c r="F1077">
        <v>10424.4</v>
      </c>
      <c r="G1077">
        <v>21675.75</v>
      </c>
    </row>
    <row r="1078" spans="1:7" x14ac:dyDescent="0.35">
      <c r="A1078" s="1">
        <v>41753</v>
      </c>
      <c r="B1078">
        <v>3189.81</v>
      </c>
      <c r="C1078">
        <v>4479.54</v>
      </c>
      <c r="D1078">
        <v>9548.68</v>
      </c>
      <c r="E1078">
        <v>8142.6127699999997</v>
      </c>
      <c r="F1078">
        <v>10462</v>
      </c>
      <c r="G1078">
        <v>21819.48</v>
      </c>
    </row>
    <row r="1079" spans="1:7" x14ac:dyDescent="0.35">
      <c r="A1079" s="1">
        <v>41754</v>
      </c>
      <c r="B1079">
        <v>3147.4</v>
      </c>
      <c r="C1079">
        <v>4443.63</v>
      </c>
      <c r="D1079">
        <v>9401.5499999999993</v>
      </c>
      <c r="E1079">
        <v>8115.7841200000003</v>
      </c>
      <c r="F1079">
        <v>10306.200000000001</v>
      </c>
      <c r="G1079">
        <v>21441.57</v>
      </c>
    </row>
    <row r="1080" spans="1:7" x14ac:dyDescent="0.35">
      <c r="A1080" s="1">
        <v>41757</v>
      </c>
      <c r="B1080">
        <v>3165.84</v>
      </c>
      <c r="C1080">
        <v>4460.53</v>
      </c>
      <c r="D1080">
        <v>9446.36</v>
      </c>
      <c r="E1080">
        <v>8130.4823100000003</v>
      </c>
      <c r="F1080">
        <v>10320.9</v>
      </c>
      <c r="G1080">
        <v>21513.82</v>
      </c>
    </row>
    <row r="1081" spans="1:7" x14ac:dyDescent="0.35">
      <c r="A1081" s="1">
        <v>41758</v>
      </c>
      <c r="B1081">
        <v>3208.68</v>
      </c>
      <c r="C1081">
        <v>4497.68</v>
      </c>
      <c r="D1081">
        <v>9584.1200000000008</v>
      </c>
      <c r="E1081">
        <v>8246.3395799999998</v>
      </c>
      <c r="F1081">
        <v>10461</v>
      </c>
      <c r="G1081">
        <v>21976.84</v>
      </c>
    </row>
    <row r="1082" spans="1:7" x14ac:dyDescent="0.35">
      <c r="A1082" s="1">
        <v>41759</v>
      </c>
      <c r="B1082">
        <v>3198.39</v>
      </c>
      <c r="C1082">
        <v>4487.3900000000003</v>
      </c>
      <c r="D1082">
        <v>9603.23</v>
      </c>
      <c r="E1082">
        <v>8250.35671</v>
      </c>
      <c r="F1082">
        <v>10459</v>
      </c>
      <c r="G1082">
        <v>21783.38</v>
      </c>
    </row>
    <row r="1083" spans="1:7" x14ac:dyDescent="0.35">
      <c r="A1083" s="1">
        <v>41761</v>
      </c>
      <c r="B1083">
        <v>3177.89</v>
      </c>
      <c r="C1083">
        <v>4458.17</v>
      </c>
      <c r="D1083">
        <v>9556.02</v>
      </c>
      <c r="E1083">
        <v>8301.1687099999999</v>
      </c>
      <c r="F1083">
        <v>10474.5</v>
      </c>
      <c r="G1083">
        <v>21782</v>
      </c>
    </row>
    <row r="1084" spans="1:7" x14ac:dyDescent="0.35">
      <c r="A1084" s="1">
        <v>41765</v>
      </c>
      <c r="B1084">
        <v>3149.79</v>
      </c>
      <c r="C1084">
        <v>4428.07</v>
      </c>
      <c r="D1084">
        <v>9467.5300000000007</v>
      </c>
      <c r="E1084">
        <v>8291.5579500000003</v>
      </c>
      <c r="F1084">
        <v>10481.4</v>
      </c>
      <c r="G1084">
        <v>21521.65</v>
      </c>
    </row>
    <row r="1085" spans="1:7" x14ac:dyDescent="0.35">
      <c r="A1085" s="1">
        <v>41766</v>
      </c>
      <c r="B1085">
        <v>3159.67</v>
      </c>
      <c r="C1085">
        <v>4446.4399999999996</v>
      </c>
      <c r="D1085">
        <v>9521.2999999999993</v>
      </c>
      <c r="E1085">
        <v>8283.1612499999992</v>
      </c>
      <c r="F1085">
        <v>10413.799999999999</v>
      </c>
      <c r="G1085">
        <v>21240.74</v>
      </c>
    </row>
    <row r="1086" spans="1:7" x14ac:dyDescent="0.35">
      <c r="A1086" s="1">
        <v>41767</v>
      </c>
      <c r="B1086">
        <v>3204.3</v>
      </c>
      <c r="C1086">
        <v>4507.24</v>
      </c>
      <c r="D1086">
        <v>9607.4</v>
      </c>
      <c r="E1086">
        <v>8355.0263500000001</v>
      </c>
      <c r="F1086">
        <v>10591.2</v>
      </c>
      <c r="G1086">
        <v>21729.64</v>
      </c>
    </row>
    <row r="1087" spans="1:7" x14ac:dyDescent="0.35">
      <c r="A1087" s="1">
        <v>41768</v>
      </c>
      <c r="B1087">
        <v>3184.09</v>
      </c>
      <c r="C1087">
        <v>4477.28</v>
      </c>
      <c r="D1087">
        <v>9581.4500000000007</v>
      </c>
      <c r="E1087">
        <v>8344.6039199999996</v>
      </c>
      <c r="F1087">
        <v>10487.2</v>
      </c>
      <c r="G1087">
        <v>21390.11</v>
      </c>
    </row>
    <row r="1088" spans="1:7" x14ac:dyDescent="0.35">
      <c r="A1088" s="1">
        <v>41771</v>
      </c>
      <c r="B1088">
        <v>3206.97</v>
      </c>
      <c r="C1088">
        <v>4493.6499999999996</v>
      </c>
      <c r="D1088">
        <v>9702.4599999999991</v>
      </c>
      <c r="E1088">
        <v>8401.6988299999994</v>
      </c>
      <c r="F1088">
        <v>10567</v>
      </c>
      <c r="G1088">
        <v>21493.67</v>
      </c>
    </row>
    <row r="1089" spans="1:7" x14ac:dyDescent="0.35">
      <c r="A1089" s="1">
        <v>41772</v>
      </c>
      <c r="B1089">
        <v>3211.78</v>
      </c>
      <c r="C1089">
        <v>4505.0200000000004</v>
      </c>
      <c r="D1089">
        <v>9754.43</v>
      </c>
      <c r="E1089">
        <v>8445.8614500000003</v>
      </c>
      <c r="F1089">
        <v>10587.2</v>
      </c>
      <c r="G1089">
        <v>21255.99</v>
      </c>
    </row>
    <row r="1090" spans="1:7" x14ac:dyDescent="0.35">
      <c r="A1090" s="1">
        <v>41773</v>
      </c>
      <c r="B1090">
        <v>3210.42</v>
      </c>
      <c r="C1090">
        <v>4501.04</v>
      </c>
      <c r="D1090">
        <v>9754.39</v>
      </c>
      <c r="E1090">
        <v>8418.4729200000002</v>
      </c>
      <c r="F1090">
        <v>10613.9</v>
      </c>
      <c r="G1090">
        <v>21184.6</v>
      </c>
    </row>
    <row r="1091" spans="1:7" x14ac:dyDescent="0.35">
      <c r="A1091" s="1">
        <v>41774</v>
      </c>
      <c r="B1091">
        <v>3163.22</v>
      </c>
      <c r="C1091">
        <v>4444.93</v>
      </c>
      <c r="D1091">
        <v>9656.0499999999993</v>
      </c>
      <c r="E1091">
        <v>8378.0565000000006</v>
      </c>
      <c r="F1091">
        <v>10365</v>
      </c>
      <c r="G1091">
        <v>20419.62</v>
      </c>
    </row>
    <row r="1092" spans="1:7" x14ac:dyDescent="0.35">
      <c r="A1092" s="1">
        <v>41775</v>
      </c>
      <c r="B1092">
        <v>3172.72</v>
      </c>
      <c r="C1092">
        <v>4456.28</v>
      </c>
      <c r="D1092">
        <v>9629.1</v>
      </c>
      <c r="E1092">
        <v>8420.9080599999998</v>
      </c>
      <c r="F1092">
        <v>10478.700000000001</v>
      </c>
      <c r="G1092">
        <v>20648.59</v>
      </c>
    </row>
    <row r="1093" spans="1:7" x14ac:dyDescent="0.35">
      <c r="A1093" s="1">
        <v>41778</v>
      </c>
      <c r="B1093">
        <v>3169.9</v>
      </c>
      <c r="C1093">
        <v>4469.76</v>
      </c>
      <c r="D1093">
        <v>9659.39</v>
      </c>
      <c r="E1093">
        <v>8394.6833200000001</v>
      </c>
      <c r="F1093">
        <v>10425.5</v>
      </c>
      <c r="G1093">
        <v>20318.46</v>
      </c>
    </row>
    <row r="1094" spans="1:7" x14ac:dyDescent="0.35">
      <c r="A1094" s="1">
        <v>41779</v>
      </c>
      <c r="B1094">
        <v>3163.93</v>
      </c>
      <c r="C1094">
        <v>4452.3500000000004</v>
      </c>
      <c r="D1094">
        <v>9639.08</v>
      </c>
      <c r="E1094">
        <v>8368.2140400000008</v>
      </c>
      <c r="F1094">
        <v>10453.799999999999</v>
      </c>
      <c r="G1094">
        <v>20379.849999999999</v>
      </c>
    </row>
    <row r="1095" spans="1:7" x14ac:dyDescent="0.35">
      <c r="A1095" s="1">
        <v>41780</v>
      </c>
      <c r="B1095">
        <v>3187.08</v>
      </c>
      <c r="C1095">
        <v>4469.03</v>
      </c>
      <c r="D1095">
        <v>9697.8700000000008</v>
      </c>
      <c r="E1095">
        <v>8423.0832800000007</v>
      </c>
      <c r="F1095">
        <v>10531.4</v>
      </c>
      <c r="G1095">
        <v>20597.509999999998</v>
      </c>
    </row>
    <row r="1096" spans="1:7" x14ac:dyDescent="0.35">
      <c r="A1096" s="1">
        <v>41781</v>
      </c>
      <c r="B1096">
        <v>3187.63</v>
      </c>
      <c r="C1096">
        <v>4478.21</v>
      </c>
      <c r="D1096">
        <v>9720.91</v>
      </c>
      <c r="E1096">
        <v>8422.5171699999992</v>
      </c>
      <c r="F1096">
        <v>10520.6</v>
      </c>
      <c r="G1096">
        <v>20372.68</v>
      </c>
    </row>
    <row r="1097" spans="1:7" x14ac:dyDescent="0.35">
      <c r="A1097" s="1">
        <v>41782</v>
      </c>
      <c r="B1097">
        <v>3203.28</v>
      </c>
      <c r="C1097">
        <v>4493.1499999999996</v>
      </c>
      <c r="D1097">
        <v>9768.01</v>
      </c>
      <c r="E1097">
        <v>8412.1598900000008</v>
      </c>
      <c r="F1097">
        <v>10558.9</v>
      </c>
      <c r="G1097">
        <v>20745.96</v>
      </c>
    </row>
    <row r="1098" spans="1:7" x14ac:dyDescent="0.35">
      <c r="A1098" s="1">
        <v>41786</v>
      </c>
      <c r="B1098">
        <v>3244.28</v>
      </c>
      <c r="C1098">
        <v>4529.75</v>
      </c>
      <c r="D1098">
        <v>9940.82</v>
      </c>
      <c r="E1098">
        <v>8438.0374499999998</v>
      </c>
      <c r="F1098">
        <v>10714.2</v>
      </c>
      <c r="G1098">
        <v>21403.55</v>
      </c>
    </row>
    <row r="1099" spans="1:7" x14ac:dyDescent="0.35">
      <c r="A1099" s="1">
        <v>41787</v>
      </c>
      <c r="B1099">
        <v>3246.24</v>
      </c>
      <c r="C1099">
        <v>4531.63</v>
      </c>
      <c r="D1099">
        <v>9939.17</v>
      </c>
      <c r="E1099">
        <v>8421.87932</v>
      </c>
      <c r="F1099">
        <v>10757.2</v>
      </c>
      <c r="G1099">
        <v>21586.01</v>
      </c>
    </row>
    <row r="1100" spans="1:7" x14ac:dyDescent="0.35">
      <c r="A1100" s="1">
        <v>41788</v>
      </c>
      <c r="B1100">
        <v>3244.66</v>
      </c>
      <c r="C1100">
        <v>4530.51</v>
      </c>
      <c r="D1100">
        <v>9938.9</v>
      </c>
      <c r="E1100">
        <v>8440.5433900000007</v>
      </c>
      <c r="F1100">
        <v>10734.8</v>
      </c>
      <c r="G1100">
        <v>21511.35</v>
      </c>
    </row>
    <row r="1101" spans="1:7" x14ac:dyDescent="0.35">
      <c r="A1101" s="1">
        <v>41789</v>
      </c>
      <c r="B1101">
        <v>3244.6</v>
      </c>
      <c r="C1101">
        <v>4519.57</v>
      </c>
      <c r="D1101">
        <v>9943.27</v>
      </c>
      <c r="E1101">
        <v>8414.0156999999999</v>
      </c>
      <c r="F1101">
        <v>10798.7</v>
      </c>
      <c r="G1101">
        <v>21629.71</v>
      </c>
    </row>
    <row r="1102" spans="1:7" x14ac:dyDescent="0.35">
      <c r="A1102" s="1">
        <v>41792</v>
      </c>
      <c r="B1102">
        <v>3247.8</v>
      </c>
      <c r="C1102">
        <v>4515.8900000000003</v>
      </c>
      <c r="D1102">
        <v>9950.1200000000008</v>
      </c>
      <c r="E1102">
        <v>8451.5020199999999</v>
      </c>
      <c r="F1102">
        <v>10827.4</v>
      </c>
      <c r="G1102">
        <v>21796.17</v>
      </c>
    </row>
    <row r="1103" spans="1:7" x14ac:dyDescent="0.35">
      <c r="A1103" s="1">
        <v>41793</v>
      </c>
      <c r="B1103">
        <v>3241.04</v>
      </c>
      <c r="C1103">
        <v>4503.6899999999996</v>
      </c>
      <c r="D1103">
        <v>9919.74</v>
      </c>
      <c r="E1103">
        <v>8402.3357099999994</v>
      </c>
      <c r="F1103">
        <v>10776.7</v>
      </c>
      <c r="G1103">
        <v>21656.65</v>
      </c>
    </row>
    <row r="1104" spans="1:7" x14ac:dyDescent="0.35">
      <c r="A1104" s="1">
        <v>41794</v>
      </c>
      <c r="B1104">
        <v>3237.93</v>
      </c>
      <c r="C1104">
        <v>4501</v>
      </c>
      <c r="D1104">
        <v>9926.67</v>
      </c>
      <c r="E1104">
        <v>8388.9993699999995</v>
      </c>
      <c r="F1104">
        <v>10755.6</v>
      </c>
      <c r="G1104">
        <v>21622.77</v>
      </c>
    </row>
    <row r="1105" spans="1:7" x14ac:dyDescent="0.35">
      <c r="A1105" s="1">
        <v>41795</v>
      </c>
      <c r="B1105">
        <v>3267.05</v>
      </c>
      <c r="C1105">
        <v>4548.7299999999996</v>
      </c>
      <c r="D1105">
        <v>9947.83</v>
      </c>
      <c r="E1105">
        <v>8394.3276000000005</v>
      </c>
      <c r="F1105">
        <v>10876.4</v>
      </c>
      <c r="G1105">
        <v>21951.07</v>
      </c>
    </row>
    <row r="1106" spans="1:7" x14ac:dyDescent="0.35">
      <c r="A1106" s="1">
        <v>41796</v>
      </c>
      <c r="B1106">
        <v>3294.28</v>
      </c>
      <c r="C1106">
        <v>4581.12</v>
      </c>
      <c r="D1106">
        <v>9987.19</v>
      </c>
      <c r="E1106">
        <v>8449.6928499999995</v>
      </c>
      <c r="F1106">
        <v>11064.3</v>
      </c>
      <c r="G1106">
        <v>22290.080000000002</v>
      </c>
    </row>
    <row r="1107" spans="1:7" x14ac:dyDescent="0.35">
      <c r="A1107" s="1">
        <v>41799</v>
      </c>
      <c r="B1107">
        <v>3305.26</v>
      </c>
      <c r="C1107">
        <v>4589.12</v>
      </c>
      <c r="D1107">
        <v>10008.629999999999</v>
      </c>
      <c r="E1107">
        <v>8497.8562500000007</v>
      </c>
      <c r="F1107">
        <v>11164.1</v>
      </c>
      <c r="G1107">
        <v>22472.12</v>
      </c>
    </row>
    <row r="1108" spans="1:7" x14ac:dyDescent="0.35">
      <c r="A1108" s="1">
        <v>41800</v>
      </c>
      <c r="B1108">
        <v>3313.8</v>
      </c>
      <c r="C1108">
        <v>4595</v>
      </c>
      <c r="D1108">
        <v>10028.799999999999</v>
      </c>
      <c r="E1108">
        <v>8502.3773700000002</v>
      </c>
      <c r="F1108">
        <v>11153.5</v>
      </c>
      <c r="G1108">
        <v>22502.97</v>
      </c>
    </row>
    <row r="1109" spans="1:7" x14ac:dyDescent="0.35">
      <c r="A1109" s="1">
        <v>41801</v>
      </c>
      <c r="B1109">
        <v>3289.09</v>
      </c>
      <c r="C1109">
        <v>4555.1099999999997</v>
      </c>
      <c r="D1109">
        <v>9949.81</v>
      </c>
      <c r="E1109">
        <v>8488.9696899999999</v>
      </c>
      <c r="F1109">
        <v>11074.9</v>
      </c>
      <c r="G1109">
        <v>22223.77</v>
      </c>
    </row>
    <row r="1110" spans="1:7" x14ac:dyDescent="0.35">
      <c r="A1110" s="1">
        <v>41802</v>
      </c>
      <c r="B1110">
        <v>3284.28</v>
      </c>
      <c r="C1110">
        <v>4554.3999999999996</v>
      </c>
      <c r="D1110">
        <v>9938.7000000000007</v>
      </c>
      <c r="E1110">
        <v>8492.8920400000006</v>
      </c>
      <c r="F1110">
        <v>11088.5</v>
      </c>
      <c r="G1110">
        <v>22163.49</v>
      </c>
    </row>
    <row r="1111" spans="1:7" x14ac:dyDescent="0.35">
      <c r="A1111" s="1">
        <v>41803</v>
      </c>
      <c r="B1111">
        <v>3282.84</v>
      </c>
      <c r="C1111">
        <v>4543.28</v>
      </c>
      <c r="D1111">
        <v>9912.8700000000008</v>
      </c>
      <c r="E1111">
        <v>8496.4815400000007</v>
      </c>
      <c r="F1111">
        <v>11113.7</v>
      </c>
      <c r="G1111">
        <v>22165.97</v>
      </c>
    </row>
    <row r="1112" spans="1:7" x14ac:dyDescent="0.35">
      <c r="A1112" s="1">
        <v>41806</v>
      </c>
      <c r="B1112">
        <v>3261.42</v>
      </c>
      <c r="C1112">
        <v>4510.05</v>
      </c>
      <c r="D1112">
        <v>9883.98</v>
      </c>
      <c r="E1112">
        <v>8454.9974199999997</v>
      </c>
      <c r="F1112">
        <v>11008.2</v>
      </c>
      <c r="G1112">
        <v>21976.26</v>
      </c>
    </row>
    <row r="1113" spans="1:7" x14ac:dyDescent="0.35">
      <c r="A1113" s="1">
        <v>41807</v>
      </c>
      <c r="B1113">
        <v>3275.33</v>
      </c>
      <c r="C1113">
        <v>4536.07</v>
      </c>
      <c r="D1113">
        <v>9920.32</v>
      </c>
      <c r="E1113">
        <v>8475.3232200000002</v>
      </c>
      <c r="F1113">
        <v>11058.5</v>
      </c>
      <c r="G1113">
        <v>21996.400000000001</v>
      </c>
    </row>
    <row r="1114" spans="1:7" x14ac:dyDescent="0.35">
      <c r="A1114" s="1">
        <v>41808</v>
      </c>
      <c r="B1114">
        <v>3279.2</v>
      </c>
      <c r="C1114">
        <v>4530.37</v>
      </c>
      <c r="D1114">
        <v>9930.33</v>
      </c>
      <c r="E1114">
        <v>8463.3380099999995</v>
      </c>
      <c r="F1114">
        <v>11112.3</v>
      </c>
      <c r="G1114">
        <v>22030.34</v>
      </c>
    </row>
    <row r="1115" spans="1:7" x14ac:dyDescent="0.35">
      <c r="A1115" s="1">
        <v>41809</v>
      </c>
      <c r="B1115">
        <v>3314.8</v>
      </c>
      <c r="C1115">
        <v>4563.04</v>
      </c>
      <c r="D1115">
        <v>10004</v>
      </c>
      <c r="E1115">
        <v>8520.5088599999999</v>
      </c>
      <c r="F1115">
        <v>11187.8</v>
      </c>
      <c r="G1115">
        <v>22216.63</v>
      </c>
    </row>
    <row r="1116" spans="1:7" x14ac:dyDescent="0.35">
      <c r="A1116" s="1">
        <v>41810</v>
      </c>
      <c r="B1116">
        <v>3302.36</v>
      </c>
      <c r="C1116">
        <v>4541.34</v>
      </c>
      <c r="D1116">
        <v>9987.24</v>
      </c>
      <c r="E1116">
        <v>8546.5733199999995</v>
      </c>
      <c r="F1116">
        <v>11155.1</v>
      </c>
      <c r="G1116">
        <v>21988.080000000002</v>
      </c>
    </row>
    <row r="1117" spans="1:7" x14ac:dyDescent="0.35">
      <c r="A1117" s="1">
        <v>41813</v>
      </c>
      <c r="B1117">
        <v>3282.58</v>
      </c>
      <c r="C1117">
        <v>4515.57</v>
      </c>
      <c r="D1117">
        <v>9920.92</v>
      </c>
      <c r="E1117">
        <v>8512.2043300000005</v>
      </c>
      <c r="F1117">
        <v>11118.3</v>
      </c>
      <c r="G1117">
        <v>21694.75</v>
      </c>
    </row>
    <row r="1118" spans="1:7" x14ac:dyDescent="0.35">
      <c r="A1118" s="1">
        <v>41814</v>
      </c>
      <c r="B1118">
        <v>3284.81</v>
      </c>
      <c r="C1118">
        <v>4518.34</v>
      </c>
      <c r="D1118">
        <v>9938.08</v>
      </c>
      <c r="E1118">
        <v>8478.4675900000002</v>
      </c>
      <c r="F1118">
        <v>11105.9</v>
      </c>
      <c r="G1118">
        <v>21641.24</v>
      </c>
    </row>
    <row r="1119" spans="1:7" x14ac:dyDescent="0.35">
      <c r="A1119" s="1">
        <v>41815</v>
      </c>
      <c r="B1119">
        <v>3252.31</v>
      </c>
      <c r="C1119">
        <v>4460.6000000000004</v>
      </c>
      <c r="D1119">
        <v>9867.75</v>
      </c>
      <c r="E1119">
        <v>8383.69758</v>
      </c>
      <c r="F1119">
        <v>10966.7</v>
      </c>
      <c r="G1119">
        <v>21469.1</v>
      </c>
    </row>
    <row r="1120" spans="1:7" x14ac:dyDescent="0.35">
      <c r="A1120" s="1">
        <v>41816</v>
      </c>
      <c r="B1120">
        <v>3233.19</v>
      </c>
      <c r="C1120">
        <v>4439.63</v>
      </c>
      <c r="D1120">
        <v>9804.9</v>
      </c>
      <c r="E1120">
        <v>8421.3739600000008</v>
      </c>
      <c r="F1120">
        <v>10989</v>
      </c>
      <c r="G1120">
        <v>21384.54</v>
      </c>
    </row>
    <row r="1121" spans="1:7" x14ac:dyDescent="0.35">
      <c r="A1121" s="1">
        <v>41817</v>
      </c>
      <c r="B1121">
        <v>3227.85</v>
      </c>
      <c r="C1121">
        <v>4436.99</v>
      </c>
      <c r="D1121">
        <v>9815.17</v>
      </c>
      <c r="E1121">
        <v>8431.7312099999999</v>
      </c>
      <c r="F1121">
        <v>10959.9</v>
      </c>
      <c r="G1121">
        <v>21319.759999999998</v>
      </c>
    </row>
    <row r="1122" spans="1:7" x14ac:dyDescent="0.35">
      <c r="A1122" s="1">
        <v>41820</v>
      </c>
      <c r="B1122">
        <v>3228.24</v>
      </c>
      <c r="C1122">
        <v>4422.84</v>
      </c>
      <c r="D1122">
        <v>9833.07</v>
      </c>
      <c r="E1122">
        <v>8424.7525100000003</v>
      </c>
      <c r="F1122">
        <v>10923.5</v>
      </c>
      <c r="G1122">
        <v>21283.03</v>
      </c>
    </row>
    <row r="1123" spans="1:7" x14ac:dyDescent="0.35">
      <c r="A1123" s="1">
        <v>41821</v>
      </c>
      <c r="B1123">
        <v>3258.71</v>
      </c>
      <c r="C1123">
        <v>4461.12</v>
      </c>
      <c r="D1123">
        <v>9902.41</v>
      </c>
      <c r="E1123">
        <v>8529.1156100000007</v>
      </c>
      <c r="F1123">
        <v>11007.8</v>
      </c>
      <c r="G1123">
        <v>21563.43</v>
      </c>
    </row>
    <row r="1124" spans="1:7" x14ac:dyDescent="0.35">
      <c r="A1124" s="1">
        <v>41822</v>
      </c>
      <c r="B1124">
        <v>3252.25</v>
      </c>
      <c r="C1124">
        <v>4444.72</v>
      </c>
      <c r="D1124">
        <v>9911.27</v>
      </c>
      <c r="E1124">
        <v>8568.3947800000005</v>
      </c>
      <c r="F1124">
        <v>11016.2</v>
      </c>
      <c r="G1124">
        <v>21678.58</v>
      </c>
    </row>
    <row r="1125" spans="1:7" x14ac:dyDescent="0.35">
      <c r="A1125" s="1">
        <v>41823</v>
      </c>
      <c r="B1125">
        <v>3289.75</v>
      </c>
      <c r="C1125">
        <v>4489.88</v>
      </c>
      <c r="D1125">
        <v>10029.43</v>
      </c>
      <c r="E1125">
        <v>8654.3130999999994</v>
      </c>
      <c r="F1125">
        <v>11090</v>
      </c>
      <c r="G1125">
        <v>21884.6</v>
      </c>
    </row>
    <row r="1126" spans="1:7" x14ac:dyDescent="0.35">
      <c r="A1126" s="1">
        <v>41824</v>
      </c>
      <c r="B1126">
        <v>3270.47</v>
      </c>
      <c r="C1126">
        <v>4468.9799999999996</v>
      </c>
      <c r="D1126">
        <v>10009.08</v>
      </c>
      <c r="E1126">
        <v>8668.8111599999993</v>
      </c>
      <c r="F1126">
        <v>11009.4</v>
      </c>
      <c r="G1126">
        <v>21559.19</v>
      </c>
    </row>
    <row r="1127" spans="1:7" x14ac:dyDescent="0.35">
      <c r="A1127" s="1">
        <v>41827</v>
      </c>
      <c r="B1127">
        <v>3230.92</v>
      </c>
      <c r="C1127">
        <v>4405.76</v>
      </c>
      <c r="D1127">
        <v>9906.07</v>
      </c>
      <c r="E1127">
        <v>8590.8221599999997</v>
      </c>
      <c r="F1127">
        <v>10888.5</v>
      </c>
      <c r="G1127">
        <v>21273.22</v>
      </c>
    </row>
    <row r="1128" spans="1:7" x14ac:dyDescent="0.35">
      <c r="A1128" s="1">
        <v>41828</v>
      </c>
      <c r="B1128">
        <v>3184.38</v>
      </c>
      <c r="C1128">
        <v>4342.53</v>
      </c>
      <c r="D1128">
        <v>9772.67</v>
      </c>
      <c r="E1128">
        <v>8482.6126299999996</v>
      </c>
      <c r="F1128">
        <v>10689.1</v>
      </c>
      <c r="G1128">
        <v>20700.53</v>
      </c>
    </row>
    <row r="1129" spans="1:7" x14ac:dyDescent="0.35">
      <c r="A1129" s="1">
        <v>41829</v>
      </c>
      <c r="B1129">
        <v>3203.1</v>
      </c>
      <c r="C1129">
        <v>4359.84</v>
      </c>
      <c r="D1129">
        <v>9808.2000000000007</v>
      </c>
      <c r="E1129">
        <v>8443.5217599999996</v>
      </c>
      <c r="F1129">
        <v>10746.9</v>
      </c>
      <c r="G1129">
        <v>20885.36</v>
      </c>
    </row>
    <row r="1130" spans="1:7" x14ac:dyDescent="0.35">
      <c r="A1130" s="1">
        <v>41830</v>
      </c>
      <c r="B1130">
        <v>3150.59</v>
      </c>
      <c r="C1130">
        <v>4301.26</v>
      </c>
      <c r="D1130">
        <v>9659.1299999999992</v>
      </c>
      <c r="E1130">
        <v>8400.2081099999996</v>
      </c>
      <c r="F1130">
        <v>10533.6</v>
      </c>
      <c r="G1130">
        <v>20488.75</v>
      </c>
    </row>
    <row r="1131" spans="1:7" x14ac:dyDescent="0.35">
      <c r="A1131" s="1">
        <v>41831</v>
      </c>
      <c r="B1131">
        <v>3157.05</v>
      </c>
      <c r="C1131">
        <v>4316.5</v>
      </c>
      <c r="D1131">
        <v>9666.34</v>
      </c>
      <c r="E1131">
        <v>8416.4433700000009</v>
      </c>
      <c r="F1131">
        <v>10538.8</v>
      </c>
      <c r="G1131">
        <v>20614.86</v>
      </c>
    </row>
    <row r="1132" spans="1:7" x14ac:dyDescent="0.35">
      <c r="A1132" s="1">
        <v>41834</v>
      </c>
      <c r="B1132">
        <v>3185.86</v>
      </c>
      <c r="C1132">
        <v>4350.04</v>
      </c>
      <c r="D1132">
        <v>9783.01</v>
      </c>
      <c r="E1132">
        <v>8461.91554</v>
      </c>
      <c r="F1132">
        <v>10606.3</v>
      </c>
      <c r="G1132">
        <v>20697.54</v>
      </c>
    </row>
    <row r="1133" spans="1:7" x14ac:dyDescent="0.35">
      <c r="A1133" s="1">
        <v>41835</v>
      </c>
      <c r="B1133">
        <v>3153.75</v>
      </c>
      <c r="C1133">
        <v>4305.3100000000004</v>
      </c>
      <c r="D1133">
        <v>9719.41</v>
      </c>
      <c r="E1133">
        <v>8478.0759099999996</v>
      </c>
      <c r="F1133">
        <v>10475.9</v>
      </c>
      <c r="G1133">
        <v>20422.95</v>
      </c>
    </row>
    <row r="1134" spans="1:7" x14ac:dyDescent="0.35">
      <c r="A1134" s="1">
        <v>41836</v>
      </c>
      <c r="B1134">
        <v>3202.94</v>
      </c>
      <c r="C1134">
        <v>4369.0600000000004</v>
      </c>
      <c r="D1134">
        <v>9859.27</v>
      </c>
      <c r="E1134">
        <v>8593.1797600000009</v>
      </c>
      <c r="F1134">
        <v>10668.4</v>
      </c>
      <c r="G1134">
        <v>21069.97</v>
      </c>
    </row>
    <row r="1135" spans="1:7" x14ac:dyDescent="0.35">
      <c r="A1135" s="1">
        <v>41837</v>
      </c>
      <c r="B1135">
        <v>3157.82</v>
      </c>
      <c r="C1135">
        <v>4316.12</v>
      </c>
      <c r="D1135">
        <v>9753.8799999999992</v>
      </c>
      <c r="E1135">
        <v>8523.0480599999992</v>
      </c>
      <c r="F1135">
        <v>10543.3</v>
      </c>
      <c r="G1135">
        <v>20603.29</v>
      </c>
    </row>
    <row r="1136" spans="1:7" x14ac:dyDescent="0.35">
      <c r="A1136" s="1">
        <v>41838</v>
      </c>
      <c r="B1136">
        <v>3164.21</v>
      </c>
      <c r="C1136">
        <v>4335.3100000000004</v>
      </c>
      <c r="D1136">
        <v>9720.02</v>
      </c>
      <c r="E1136">
        <v>8524.8064799999993</v>
      </c>
      <c r="F1136">
        <v>10527</v>
      </c>
      <c r="G1136">
        <v>20737.12</v>
      </c>
    </row>
    <row r="1137" spans="1:7" x14ac:dyDescent="0.35">
      <c r="A1137" s="1">
        <v>41841</v>
      </c>
      <c r="B1137">
        <v>3137.06</v>
      </c>
      <c r="C1137">
        <v>4304.74</v>
      </c>
      <c r="D1137">
        <v>9612.0499999999993</v>
      </c>
      <c r="E1137">
        <v>8493.5296099999996</v>
      </c>
      <c r="F1137">
        <v>10482</v>
      </c>
      <c r="G1137">
        <v>20431.2</v>
      </c>
    </row>
    <row r="1138" spans="1:7" x14ac:dyDescent="0.35">
      <c r="A1138" s="1">
        <v>41842</v>
      </c>
      <c r="B1138">
        <v>3189.22</v>
      </c>
      <c r="C1138">
        <v>4369.5200000000004</v>
      </c>
      <c r="D1138">
        <v>9734.33</v>
      </c>
      <c r="E1138">
        <v>8605.8159699999997</v>
      </c>
      <c r="F1138">
        <v>10648.9</v>
      </c>
      <c r="G1138">
        <v>20873.5</v>
      </c>
    </row>
    <row r="1139" spans="1:7" x14ac:dyDescent="0.35">
      <c r="A1139" s="1">
        <v>41843</v>
      </c>
      <c r="B1139">
        <v>3193.13</v>
      </c>
      <c r="C1139">
        <v>4376.32</v>
      </c>
      <c r="D1139">
        <v>9753.56</v>
      </c>
      <c r="E1139">
        <v>8601.8335599999991</v>
      </c>
      <c r="F1139">
        <v>10659.1</v>
      </c>
      <c r="G1139">
        <v>20831.259999999998</v>
      </c>
    </row>
    <row r="1140" spans="1:7" x14ac:dyDescent="0.35">
      <c r="A1140" s="1">
        <v>41844</v>
      </c>
      <c r="B1140">
        <v>3220.07</v>
      </c>
      <c r="C1140">
        <v>4410.6499999999996</v>
      </c>
      <c r="D1140">
        <v>9794.06</v>
      </c>
      <c r="E1140">
        <v>8600.0025000000005</v>
      </c>
      <c r="F1140">
        <v>10860.7</v>
      </c>
      <c r="G1140">
        <v>21255.599999999999</v>
      </c>
    </row>
    <row r="1141" spans="1:7" x14ac:dyDescent="0.35">
      <c r="A1141" s="1">
        <v>41845</v>
      </c>
      <c r="B1141">
        <v>3174.99</v>
      </c>
      <c r="C1141">
        <v>4330.55</v>
      </c>
      <c r="D1141">
        <v>9644.01</v>
      </c>
      <c r="E1141">
        <v>8581.3553100000008</v>
      </c>
      <c r="F1141">
        <v>10888.1</v>
      </c>
      <c r="G1141">
        <v>21063.31</v>
      </c>
    </row>
    <row r="1142" spans="1:7" x14ac:dyDescent="0.35">
      <c r="A1142" s="1">
        <v>41848</v>
      </c>
      <c r="B1142">
        <v>3171.55</v>
      </c>
      <c r="C1142">
        <v>4344.7700000000004</v>
      </c>
      <c r="D1142">
        <v>9598.17</v>
      </c>
      <c r="E1142">
        <v>8579.4013200000009</v>
      </c>
      <c r="F1142">
        <v>10879.8</v>
      </c>
      <c r="G1142">
        <v>20939.080000000002</v>
      </c>
    </row>
    <row r="1143" spans="1:7" x14ac:dyDescent="0.35">
      <c r="A1143" s="1">
        <v>41849</v>
      </c>
      <c r="B1143">
        <v>3190.54</v>
      </c>
      <c r="C1143">
        <v>4365.58</v>
      </c>
      <c r="D1143">
        <v>9653.6299999999992</v>
      </c>
      <c r="E1143">
        <v>8598.6486700000005</v>
      </c>
      <c r="F1143">
        <v>10901.2</v>
      </c>
      <c r="G1143">
        <v>21085.119999999999</v>
      </c>
    </row>
    <row r="1144" spans="1:7" x14ac:dyDescent="0.35">
      <c r="A1144" s="1">
        <v>41850</v>
      </c>
      <c r="B1144">
        <v>3169.23</v>
      </c>
      <c r="C1144">
        <v>4312.3</v>
      </c>
      <c r="D1144">
        <v>9593.68</v>
      </c>
      <c r="E1144">
        <v>8555.5245200000008</v>
      </c>
      <c r="F1144">
        <v>10937.4</v>
      </c>
      <c r="G1144">
        <v>20887.53</v>
      </c>
    </row>
    <row r="1145" spans="1:7" x14ac:dyDescent="0.35">
      <c r="A1145" s="1">
        <v>41851</v>
      </c>
      <c r="B1145">
        <v>3115.51</v>
      </c>
      <c r="C1145">
        <v>4246.1400000000003</v>
      </c>
      <c r="D1145">
        <v>9407.48</v>
      </c>
      <c r="E1145">
        <v>8489.9445199999991</v>
      </c>
      <c r="F1145">
        <v>10707.2</v>
      </c>
      <c r="G1145">
        <v>20570.8</v>
      </c>
    </row>
    <row r="1146" spans="1:7" x14ac:dyDescent="0.35">
      <c r="A1146" s="1">
        <v>41852</v>
      </c>
      <c r="B1146">
        <v>3072.57</v>
      </c>
      <c r="C1146">
        <v>4202.78</v>
      </c>
      <c r="D1146">
        <v>9210.08</v>
      </c>
      <c r="E1146">
        <v>8371.4776399999992</v>
      </c>
      <c r="F1146">
        <v>10514</v>
      </c>
      <c r="G1146">
        <v>20362.41</v>
      </c>
    </row>
    <row r="1147" spans="1:7" x14ac:dyDescent="0.35">
      <c r="A1147" s="1">
        <v>41855</v>
      </c>
      <c r="B1147">
        <v>3070.46</v>
      </c>
      <c r="C1147">
        <v>4217.22</v>
      </c>
      <c r="D1147">
        <v>9154.14</v>
      </c>
      <c r="E1147">
        <v>8385.5954700000002</v>
      </c>
      <c r="F1147">
        <v>10496.2</v>
      </c>
      <c r="G1147">
        <v>20381.39</v>
      </c>
    </row>
    <row r="1148" spans="1:7" x14ac:dyDescent="0.35">
      <c r="A1148" s="1">
        <v>41856</v>
      </c>
      <c r="B1148">
        <v>3072.2</v>
      </c>
      <c r="C1148">
        <v>4232.88</v>
      </c>
      <c r="D1148">
        <v>9189.74</v>
      </c>
      <c r="E1148">
        <v>8434.9502599999996</v>
      </c>
      <c r="F1148">
        <v>10353.799999999999</v>
      </c>
      <c r="G1148">
        <v>20052.2</v>
      </c>
    </row>
    <row r="1149" spans="1:7" x14ac:dyDescent="0.35">
      <c r="A1149" s="1">
        <v>41857</v>
      </c>
      <c r="B1149">
        <v>3050.37</v>
      </c>
      <c r="C1149">
        <v>4207.1400000000003</v>
      </c>
      <c r="D1149">
        <v>9130.0400000000009</v>
      </c>
      <c r="E1149">
        <v>8363.0805400000008</v>
      </c>
      <c r="F1149">
        <v>10246.200000000001</v>
      </c>
      <c r="G1149">
        <v>19509.84</v>
      </c>
    </row>
    <row r="1150" spans="1:7" x14ac:dyDescent="0.35">
      <c r="A1150" s="1">
        <v>41858</v>
      </c>
      <c r="B1150">
        <v>3012.88</v>
      </c>
      <c r="C1150">
        <v>4149.83</v>
      </c>
      <c r="D1150">
        <v>9038.9699999999993</v>
      </c>
      <c r="E1150">
        <v>8318.6164200000003</v>
      </c>
      <c r="F1150">
        <v>10078.6</v>
      </c>
      <c r="G1150">
        <v>19130.650000000001</v>
      </c>
    </row>
    <row r="1151" spans="1:7" x14ac:dyDescent="0.35">
      <c r="A1151" s="1">
        <v>41859</v>
      </c>
      <c r="B1151">
        <v>3006.83</v>
      </c>
      <c r="C1151">
        <v>4147.8100000000004</v>
      </c>
      <c r="D1151">
        <v>9009.32</v>
      </c>
      <c r="E1151">
        <v>8212.1370999999999</v>
      </c>
      <c r="F1151">
        <v>10104.799999999999</v>
      </c>
      <c r="G1151">
        <v>19193.48</v>
      </c>
    </row>
    <row r="1152" spans="1:7" x14ac:dyDescent="0.35">
      <c r="A1152" s="1">
        <v>41862</v>
      </c>
      <c r="B1152">
        <v>3047.56</v>
      </c>
      <c r="C1152">
        <v>4197.7</v>
      </c>
      <c r="D1152">
        <v>9180.74</v>
      </c>
      <c r="E1152">
        <v>8316.0479699999996</v>
      </c>
      <c r="F1152">
        <v>10193.5</v>
      </c>
      <c r="G1152">
        <v>19460.669999999998</v>
      </c>
    </row>
    <row r="1153" spans="1:7" x14ac:dyDescent="0.35">
      <c r="A1153" s="1">
        <v>41863</v>
      </c>
      <c r="B1153">
        <v>3023.77</v>
      </c>
      <c r="C1153">
        <v>4162.16</v>
      </c>
      <c r="D1153">
        <v>9069.4699999999993</v>
      </c>
      <c r="E1153">
        <v>8345.1332500000008</v>
      </c>
      <c r="F1153">
        <v>10241.5</v>
      </c>
      <c r="G1153">
        <v>19416.259999999998</v>
      </c>
    </row>
    <row r="1154" spans="1:7" x14ac:dyDescent="0.35">
      <c r="A1154" s="1">
        <v>41864</v>
      </c>
      <c r="B1154">
        <v>3056.17</v>
      </c>
      <c r="C1154">
        <v>4194.79</v>
      </c>
      <c r="D1154">
        <v>9198.8799999999992</v>
      </c>
      <c r="E1154">
        <v>8313.0089499999995</v>
      </c>
      <c r="F1154">
        <v>10304</v>
      </c>
      <c r="G1154">
        <v>19537.259999999998</v>
      </c>
    </row>
    <row r="1155" spans="1:7" x14ac:dyDescent="0.35">
      <c r="A1155" s="1">
        <v>41865</v>
      </c>
      <c r="B1155">
        <v>3058.16</v>
      </c>
      <c r="C1155">
        <v>4205.43</v>
      </c>
      <c r="D1155">
        <v>9225.1</v>
      </c>
      <c r="E1155">
        <v>8343.9485600000007</v>
      </c>
      <c r="F1155">
        <v>10294.799999999999</v>
      </c>
      <c r="G1155">
        <v>19480.96</v>
      </c>
    </row>
    <row r="1156" spans="1:7" x14ac:dyDescent="0.35">
      <c r="A1156" s="1">
        <v>41869</v>
      </c>
      <c r="B1156">
        <v>3073.45</v>
      </c>
      <c r="C1156">
        <v>4230.6499999999996</v>
      </c>
      <c r="D1156">
        <v>9245.33</v>
      </c>
      <c r="E1156">
        <v>8441.4455199999993</v>
      </c>
      <c r="F1156">
        <v>10353.4</v>
      </c>
      <c r="G1156">
        <v>19639.900000000001</v>
      </c>
    </row>
    <row r="1157" spans="1:7" x14ac:dyDescent="0.35">
      <c r="A1157" s="1">
        <v>41870</v>
      </c>
      <c r="B1157">
        <v>3091.11</v>
      </c>
      <c r="C1157">
        <v>4254.45</v>
      </c>
      <c r="D1157">
        <v>9334.2800000000007</v>
      </c>
      <c r="E1157">
        <v>8459.1210100000008</v>
      </c>
      <c r="F1157">
        <v>10386.5</v>
      </c>
      <c r="G1157">
        <v>19644.37</v>
      </c>
    </row>
    <row r="1158" spans="1:7" x14ac:dyDescent="0.35">
      <c r="A1158" s="1">
        <v>41871</v>
      </c>
      <c r="B1158">
        <v>3083.5</v>
      </c>
      <c r="C1158">
        <v>4240.79</v>
      </c>
      <c r="D1158">
        <v>9314.57</v>
      </c>
      <c r="E1158">
        <v>8451.7205400000003</v>
      </c>
      <c r="F1158">
        <v>10420.9</v>
      </c>
      <c r="G1158">
        <v>19605.97</v>
      </c>
    </row>
    <row r="1159" spans="1:7" x14ac:dyDescent="0.35">
      <c r="A1159" s="1">
        <v>41872</v>
      </c>
      <c r="B1159">
        <v>3124.56</v>
      </c>
      <c r="C1159">
        <v>4292.93</v>
      </c>
      <c r="D1159">
        <v>9401.5300000000007</v>
      </c>
      <c r="E1159">
        <v>8465.0569400000004</v>
      </c>
      <c r="F1159">
        <v>10556.4</v>
      </c>
      <c r="G1159">
        <v>20010.509999999998</v>
      </c>
    </row>
    <row r="1160" spans="1:7" x14ac:dyDescent="0.35">
      <c r="A1160" s="1">
        <v>41873</v>
      </c>
      <c r="B1160">
        <v>3098.5</v>
      </c>
      <c r="C1160">
        <v>4252.8</v>
      </c>
      <c r="D1160">
        <v>9339.17</v>
      </c>
      <c r="E1160">
        <v>8481.3439199999993</v>
      </c>
      <c r="F1160">
        <v>10500.2</v>
      </c>
      <c r="G1160">
        <v>19917.98</v>
      </c>
    </row>
    <row r="1161" spans="1:7" x14ac:dyDescent="0.35">
      <c r="A1161" s="1">
        <v>41877</v>
      </c>
      <c r="B1161">
        <v>3197.54</v>
      </c>
      <c r="C1161">
        <v>4393.41</v>
      </c>
      <c r="D1161">
        <v>9588.15</v>
      </c>
      <c r="E1161">
        <v>8567.5037100000009</v>
      </c>
      <c r="F1161">
        <v>10826.9</v>
      </c>
      <c r="G1161">
        <v>20645.54</v>
      </c>
    </row>
    <row r="1162" spans="1:7" x14ac:dyDescent="0.35">
      <c r="A1162" s="1">
        <v>41878</v>
      </c>
      <c r="B1162">
        <v>3194.45</v>
      </c>
      <c r="C1162">
        <v>4395.26</v>
      </c>
      <c r="D1162">
        <v>9569.7099999999991</v>
      </c>
      <c r="E1162">
        <v>8583.2397099999998</v>
      </c>
      <c r="F1162">
        <v>10837.4</v>
      </c>
      <c r="G1162">
        <v>20763.14</v>
      </c>
    </row>
    <row r="1163" spans="1:7" x14ac:dyDescent="0.35">
      <c r="A1163" s="1">
        <v>41879</v>
      </c>
      <c r="B1163">
        <v>3164.44</v>
      </c>
      <c r="C1163">
        <v>4366.04</v>
      </c>
      <c r="D1163">
        <v>9462.56</v>
      </c>
      <c r="E1163">
        <v>8560.5857799999994</v>
      </c>
      <c r="F1163">
        <v>10722.2</v>
      </c>
      <c r="G1163">
        <v>20341.09</v>
      </c>
    </row>
    <row r="1164" spans="1:7" x14ac:dyDescent="0.35">
      <c r="A1164" s="1">
        <v>41880</v>
      </c>
      <c r="B1164">
        <v>3172.63</v>
      </c>
      <c r="C1164">
        <v>4381.04</v>
      </c>
      <c r="D1164">
        <v>9470.17</v>
      </c>
      <c r="E1164">
        <v>8603.9356399999997</v>
      </c>
      <c r="F1164">
        <v>10728.8</v>
      </c>
      <c r="G1164">
        <v>20450.490000000002</v>
      </c>
    </row>
    <row r="1165" spans="1:7" x14ac:dyDescent="0.35">
      <c r="A1165" s="1">
        <v>41883</v>
      </c>
      <c r="B1165">
        <v>3175.05</v>
      </c>
      <c r="C1165">
        <v>4379.7299999999996</v>
      </c>
      <c r="D1165">
        <v>9479.0300000000007</v>
      </c>
      <c r="E1165">
        <v>8631.5663600000007</v>
      </c>
      <c r="F1165">
        <v>10746.5</v>
      </c>
      <c r="G1165">
        <v>20345.849999999999</v>
      </c>
    </row>
    <row r="1166" spans="1:7" x14ac:dyDescent="0.35">
      <c r="A1166" s="1">
        <v>41884</v>
      </c>
      <c r="B1166">
        <v>3180.29</v>
      </c>
      <c r="C1166">
        <v>4378.33</v>
      </c>
      <c r="D1166">
        <v>9507.02</v>
      </c>
      <c r="E1166">
        <v>8577.9578399999991</v>
      </c>
      <c r="F1166">
        <v>10755</v>
      </c>
      <c r="G1166">
        <v>20446.28</v>
      </c>
    </row>
    <row r="1167" spans="1:7" x14ac:dyDescent="0.35">
      <c r="A1167" s="1">
        <v>41885</v>
      </c>
      <c r="B1167">
        <v>3218.84</v>
      </c>
      <c r="C1167">
        <v>4421.87</v>
      </c>
      <c r="D1167">
        <v>9626.49</v>
      </c>
      <c r="E1167">
        <v>8603.3516400000008</v>
      </c>
      <c r="F1167">
        <v>10886.8</v>
      </c>
      <c r="G1167">
        <v>20831.96</v>
      </c>
    </row>
    <row r="1168" spans="1:7" x14ac:dyDescent="0.35">
      <c r="A1168" s="1">
        <v>41886</v>
      </c>
      <c r="B1168">
        <v>3277.25</v>
      </c>
      <c r="C1168">
        <v>4494.9399999999996</v>
      </c>
      <c r="D1168">
        <v>9724.26</v>
      </c>
      <c r="E1168">
        <v>8686.8436999999994</v>
      </c>
      <c r="F1168">
        <v>11100.1</v>
      </c>
      <c r="G1168">
        <v>21419.39</v>
      </c>
    </row>
    <row r="1169" spans="1:7" x14ac:dyDescent="0.35">
      <c r="A1169" s="1">
        <v>41887</v>
      </c>
      <c r="B1169">
        <v>3275.25</v>
      </c>
      <c r="C1169">
        <v>4486.49</v>
      </c>
      <c r="D1169">
        <v>9747.02</v>
      </c>
      <c r="E1169">
        <v>8631.9952699999994</v>
      </c>
      <c r="F1169">
        <v>11148.9</v>
      </c>
      <c r="G1169">
        <v>21395.13</v>
      </c>
    </row>
    <row r="1170" spans="1:7" x14ac:dyDescent="0.35">
      <c r="A1170" s="1">
        <v>41890</v>
      </c>
      <c r="B1170">
        <v>3267.54</v>
      </c>
      <c r="C1170">
        <v>4474.93</v>
      </c>
      <c r="D1170">
        <v>9758.0300000000007</v>
      </c>
      <c r="E1170">
        <v>8527.3452500000003</v>
      </c>
      <c r="F1170">
        <v>11102.6</v>
      </c>
      <c r="G1170">
        <v>21294.34</v>
      </c>
    </row>
    <row r="1171" spans="1:7" x14ac:dyDescent="0.35">
      <c r="A1171" s="1">
        <v>41891</v>
      </c>
      <c r="B1171">
        <v>3245.43</v>
      </c>
      <c r="C1171">
        <v>4452.37</v>
      </c>
      <c r="D1171">
        <v>9710.7000000000007</v>
      </c>
      <c r="E1171">
        <v>8505.0552800000005</v>
      </c>
      <c r="F1171">
        <v>10951.6</v>
      </c>
      <c r="G1171">
        <v>21149.8</v>
      </c>
    </row>
    <row r="1172" spans="1:7" x14ac:dyDescent="0.35">
      <c r="A1172" s="1">
        <v>41892</v>
      </c>
      <c r="B1172">
        <v>3244.16</v>
      </c>
      <c r="C1172">
        <v>4450.79</v>
      </c>
      <c r="D1172">
        <v>9700.17</v>
      </c>
      <c r="E1172">
        <v>8563.3126200000006</v>
      </c>
      <c r="F1172">
        <v>10937.8</v>
      </c>
      <c r="G1172">
        <v>21140.639999999999</v>
      </c>
    </row>
    <row r="1173" spans="1:7" x14ac:dyDescent="0.35">
      <c r="A1173" s="1">
        <v>41893</v>
      </c>
      <c r="B1173">
        <v>3237.76</v>
      </c>
      <c r="C1173">
        <v>4440.8999999999996</v>
      </c>
      <c r="D1173">
        <v>9691.2800000000007</v>
      </c>
      <c r="E1173">
        <v>8528.4260099999992</v>
      </c>
      <c r="F1173">
        <v>10886.3</v>
      </c>
      <c r="G1173">
        <v>21092.240000000002</v>
      </c>
    </row>
    <row r="1174" spans="1:7" x14ac:dyDescent="0.35">
      <c r="A1174" s="1">
        <v>41894</v>
      </c>
      <c r="B1174">
        <v>3235.07</v>
      </c>
      <c r="C1174">
        <v>4441.7</v>
      </c>
      <c r="D1174">
        <v>9651.1299999999992</v>
      </c>
      <c r="E1174">
        <v>8535.7200699999994</v>
      </c>
      <c r="F1174">
        <v>10888.9</v>
      </c>
      <c r="G1174">
        <v>21071.119999999999</v>
      </c>
    </row>
    <row r="1175" spans="1:7" x14ac:dyDescent="0.35">
      <c r="A1175" s="1">
        <v>41897</v>
      </c>
      <c r="B1175">
        <v>3231.7</v>
      </c>
      <c r="C1175">
        <v>4428.63</v>
      </c>
      <c r="D1175">
        <v>9659.6299999999992</v>
      </c>
      <c r="E1175">
        <v>8535.7793700000002</v>
      </c>
      <c r="F1175">
        <v>10841.3</v>
      </c>
      <c r="G1175">
        <v>20851.72</v>
      </c>
    </row>
    <row r="1176" spans="1:7" x14ac:dyDescent="0.35">
      <c r="A1176" s="1">
        <v>41898</v>
      </c>
      <c r="B1176">
        <v>3221.73</v>
      </c>
      <c r="C1176">
        <v>4409.1499999999996</v>
      </c>
      <c r="D1176">
        <v>9632.93</v>
      </c>
      <c r="E1176">
        <v>8527.3652500000007</v>
      </c>
      <c r="F1176">
        <v>10798.7</v>
      </c>
      <c r="G1176">
        <v>20788.5</v>
      </c>
    </row>
    <row r="1177" spans="1:7" x14ac:dyDescent="0.35">
      <c r="A1177" s="1">
        <v>41899</v>
      </c>
      <c r="B1177">
        <v>3237.44</v>
      </c>
      <c r="C1177">
        <v>4431.41</v>
      </c>
      <c r="D1177">
        <v>9661.5</v>
      </c>
      <c r="E1177">
        <v>8542.2271299999993</v>
      </c>
      <c r="F1177">
        <v>10907.4</v>
      </c>
      <c r="G1177">
        <v>21111.66</v>
      </c>
    </row>
    <row r="1178" spans="1:7" x14ac:dyDescent="0.35">
      <c r="A1178" s="1">
        <v>41900</v>
      </c>
      <c r="B1178">
        <v>3271.37</v>
      </c>
      <c r="C1178">
        <v>4464.7</v>
      </c>
      <c r="D1178">
        <v>9798.1299999999992</v>
      </c>
      <c r="E1178">
        <v>8645.6122699999996</v>
      </c>
      <c r="F1178">
        <v>10991</v>
      </c>
      <c r="G1178">
        <v>21128.720000000001</v>
      </c>
    </row>
    <row r="1179" spans="1:7" x14ac:dyDescent="0.35">
      <c r="A1179" s="1">
        <v>41901</v>
      </c>
      <c r="B1179">
        <v>3273.25</v>
      </c>
      <c r="C1179">
        <v>4461.22</v>
      </c>
      <c r="D1179">
        <v>9799.26</v>
      </c>
      <c r="E1179">
        <v>8685.8048699999999</v>
      </c>
      <c r="F1179">
        <v>11001.9</v>
      </c>
      <c r="G1179">
        <v>20972.35</v>
      </c>
    </row>
    <row r="1180" spans="1:7" x14ac:dyDescent="0.35">
      <c r="A1180" s="1">
        <v>41904</v>
      </c>
      <c r="B1180">
        <v>3257.48</v>
      </c>
      <c r="C1180">
        <v>4442.55</v>
      </c>
      <c r="D1180">
        <v>9749.5400000000009</v>
      </c>
      <c r="E1180">
        <v>8629.0936399999991</v>
      </c>
      <c r="F1180">
        <v>10947.9</v>
      </c>
      <c r="G1180">
        <v>20673</v>
      </c>
    </row>
    <row r="1181" spans="1:7" x14ac:dyDescent="0.35">
      <c r="A1181" s="1">
        <v>41905</v>
      </c>
      <c r="B1181">
        <v>3205.93</v>
      </c>
      <c r="C1181">
        <v>4359.3500000000004</v>
      </c>
      <c r="D1181">
        <v>9595.0300000000007</v>
      </c>
      <c r="E1181">
        <v>8501.1280999999999</v>
      </c>
      <c r="F1181">
        <v>10801.8</v>
      </c>
      <c r="G1181">
        <v>20351.03</v>
      </c>
    </row>
    <row r="1182" spans="1:7" x14ac:dyDescent="0.35">
      <c r="A1182" s="1">
        <v>41906</v>
      </c>
      <c r="B1182">
        <v>3244.01</v>
      </c>
      <c r="C1182">
        <v>4413.72</v>
      </c>
      <c r="D1182">
        <v>9661.9699999999993</v>
      </c>
      <c r="E1182">
        <v>8568.1029899999994</v>
      </c>
      <c r="F1182">
        <v>10856.9</v>
      </c>
      <c r="G1182">
        <v>20691.04</v>
      </c>
    </row>
    <row r="1183" spans="1:7" x14ac:dyDescent="0.35">
      <c r="A1183" s="1">
        <v>41907</v>
      </c>
      <c r="B1183">
        <v>3202.31</v>
      </c>
      <c r="C1183">
        <v>4355.28</v>
      </c>
      <c r="D1183">
        <v>9510.01</v>
      </c>
      <c r="E1183">
        <v>8495.9730099999997</v>
      </c>
      <c r="F1183">
        <v>10783.1</v>
      </c>
      <c r="G1183">
        <v>20411.490000000002</v>
      </c>
    </row>
    <row r="1184" spans="1:7" x14ac:dyDescent="0.35">
      <c r="A1184" s="1">
        <v>41908</v>
      </c>
      <c r="B1184">
        <v>3219.58</v>
      </c>
      <c r="C1184">
        <v>4394.75</v>
      </c>
      <c r="D1184">
        <v>9490.5499999999993</v>
      </c>
      <c r="E1184">
        <v>8511.7851499999997</v>
      </c>
      <c r="F1184">
        <v>10851.4</v>
      </c>
      <c r="G1184">
        <v>20795.37</v>
      </c>
    </row>
    <row r="1185" spans="1:7" x14ac:dyDescent="0.35">
      <c r="A1185" s="1">
        <v>41911</v>
      </c>
      <c r="B1185">
        <v>3186.95</v>
      </c>
      <c r="C1185">
        <v>4358.07</v>
      </c>
      <c r="D1185">
        <v>9422.91</v>
      </c>
      <c r="E1185">
        <v>8513.8459800000001</v>
      </c>
      <c r="F1185">
        <v>10686</v>
      </c>
      <c r="G1185">
        <v>20526.11</v>
      </c>
    </row>
    <row r="1186" spans="1:7" x14ac:dyDescent="0.35">
      <c r="A1186" s="1">
        <v>41912</v>
      </c>
      <c r="B1186">
        <v>3225.93</v>
      </c>
      <c r="C1186">
        <v>4416.24</v>
      </c>
      <c r="D1186">
        <v>9474.2999999999993</v>
      </c>
      <c r="E1186">
        <v>8505.3365799999992</v>
      </c>
      <c r="F1186">
        <v>10825.5</v>
      </c>
      <c r="G1186">
        <v>20892.11</v>
      </c>
    </row>
    <row r="1187" spans="1:7" x14ac:dyDescent="0.35">
      <c r="A1187" s="1">
        <v>41913</v>
      </c>
      <c r="B1187">
        <v>3195.08</v>
      </c>
      <c r="C1187">
        <v>4365.2700000000004</v>
      </c>
      <c r="D1187">
        <v>9382.0300000000007</v>
      </c>
      <c r="E1187">
        <v>8418.8384299999998</v>
      </c>
      <c r="F1187">
        <v>10753.2</v>
      </c>
      <c r="G1187">
        <v>20706.310000000001</v>
      </c>
    </row>
    <row r="1188" spans="1:7" x14ac:dyDescent="0.35">
      <c r="A1188" s="1">
        <v>41914</v>
      </c>
      <c r="B1188">
        <v>3106.42</v>
      </c>
      <c r="C1188">
        <v>4242.67</v>
      </c>
      <c r="D1188">
        <v>9195.68</v>
      </c>
      <c r="E1188">
        <v>8211.5698400000001</v>
      </c>
      <c r="F1188">
        <v>10418.1</v>
      </c>
      <c r="G1188">
        <v>19894.88</v>
      </c>
    </row>
    <row r="1189" spans="1:7" x14ac:dyDescent="0.35">
      <c r="A1189" s="1">
        <v>41918</v>
      </c>
      <c r="B1189">
        <v>3138.67</v>
      </c>
      <c r="C1189">
        <v>4286.5200000000004</v>
      </c>
      <c r="D1189">
        <v>9209.51</v>
      </c>
      <c r="E1189">
        <v>8350.0884399999995</v>
      </c>
      <c r="F1189">
        <v>10645.7</v>
      </c>
      <c r="G1189">
        <v>20119.73</v>
      </c>
    </row>
    <row r="1190" spans="1:7" x14ac:dyDescent="0.35">
      <c r="A1190" s="1">
        <v>41919</v>
      </c>
      <c r="B1190">
        <v>3082.1</v>
      </c>
      <c r="C1190">
        <v>4209.1400000000003</v>
      </c>
      <c r="D1190">
        <v>9086.2099999999991</v>
      </c>
      <c r="E1190">
        <v>8257.0671199999997</v>
      </c>
      <c r="F1190">
        <v>10430.700000000001</v>
      </c>
      <c r="G1190">
        <v>19771.71</v>
      </c>
    </row>
    <row r="1191" spans="1:7" x14ac:dyDescent="0.35">
      <c r="A1191" s="1">
        <v>41920</v>
      </c>
      <c r="B1191">
        <v>3053.31</v>
      </c>
      <c r="C1191">
        <v>4168.12</v>
      </c>
      <c r="D1191">
        <v>8995.33</v>
      </c>
      <c r="E1191">
        <v>8216.0525799999996</v>
      </c>
      <c r="F1191">
        <v>10339</v>
      </c>
      <c r="G1191">
        <v>19645.490000000002</v>
      </c>
    </row>
    <row r="1192" spans="1:7" x14ac:dyDescent="0.35">
      <c r="A1192" s="1">
        <v>41921</v>
      </c>
      <c r="B1192">
        <v>3042.45</v>
      </c>
      <c r="C1192">
        <v>4141.45</v>
      </c>
      <c r="D1192">
        <v>9005.02</v>
      </c>
      <c r="E1192">
        <v>8172.3939899999996</v>
      </c>
      <c r="F1192">
        <v>10273.700000000001</v>
      </c>
      <c r="G1192">
        <v>19382.490000000002</v>
      </c>
    </row>
    <row r="1193" spans="1:7" x14ac:dyDescent="0.35">
      <c r="A1193" s="1">
        <v>41922</v>
      </c>
      <c r="B1193">
        <v>2991.5</v>
      </c>
      <c r="C1193">
        <v>4073.71</v>
      </c>
      <c r="D1193">
        <v>8788.81</v>
      </c>
      <c r="E1193">
        <v>8057.51548</v>
      </c>
      <c r="F1193">
        <v>10150.5</v>
      </c>
      <c r="G1193">
        <v>19200.97</v>
      </c>
    </row>
    <row r="1194" spans="1:7" x14ac:dyDescent="0.35">
      <c r="A1194" s="1">
        <v>41925</v>
      </c>
      <c r="B1194">
        <v>2998.32</v>
      </c>
      <c r="C1194">
        <v>4078.7</v>
      </c>
      <c r="D1194">
        <v>8812.43</v>
      </c>
      <c r="E1194">
        <v>8072.1470399999998</v>
      </c>
      <c r="F1194">
        <v>10187.299999999999</v>
      </c>
      <c r="G1194">
        <v>19139.080000000002</v>
      </c>
    </row>
    <row r="1195" spans="1:7" x14ac:dyDescent="0.35">
      <c r="A1195" s="1">
        <v>41926</v>
      </c>
      <c r="B1195">
        <v>3000.99</v>
      </c>
      <c r="C1195">
        <v>4088.25</v>
      </c>
      <c r="D1195">
        <v>8825.2099999999991</v>
      </c>
      <c r="E1195">
        <v>8039.83025</v>
      </c>
      <c r="F1195">
        <v>10204.9</v>
      </c>
      <c r="G1195">
        <v>19155.849999999999</v>
      </c>
    </row>
    <row r="1196" spans="1:7" x14ac:dyDescent="0.35">
      <c r="A1196" s="1">
        <v>41927</v>
      </c>
      <c r="B1196">
        <v>2892.55</v>
      </c>
      <c r="C1196">
        <v>3939.72</v>
      </c>
      <c r="D1196">
        <v>8571.9500000000007</v>
      </c>
      <c r="E1196">
        <v>7739.9044899999999</v>
      </c>
      <c r="F1196">
        <v>9838.5</v>
      </c>
      <c r="G1196">
        <v>18304.990000000002</v>
      </c>
    </row>
    <row r="1197" spans="1:7" x14ac:dyDescent="0.35">
      <c r="A1197" s="1">
        <v>41928</v>
      </c>
      <c r="B1197">
        <v>2874.65</v>
      </c>
      <c r="C1197">
        <v>3918.62</v>
      </c>
      <c r="D1197">
        <v>8582.9</v>
      </c>
      <c r="E1197">
        <v>7763.1249699999998</v>
      </c>
      <c r="F1197">
        <v>9669.7000000000007</v>
      </c>
      <c r="G1197">
        <v>18083.11</v>
      </c>
    </row>
    <row r="1198" spans="1:7" x14ac:dyDescent="0.35">
      <c r="A1198" s="1">
        <v>41929</v>
      </c>
      <c r="B1198">
        <v>2962.24</v>
      </c>
      <c r="C1198">
        <v>4033.18</v>
      </c>
      <c r="D1198">
        <v>8850.27</v>
      </c>
      <c r="E1198">
        <v>7953.2086600000002</v>
      </c>
      <c r="F1198">
        <v>9956.7999999999993</v>
      </c>
      <c r="G1198">
        <v>18700.98</v>
      </c>
    </row>
    <row r="1199" spans="1:7" x14ac:dyDescent="0.35">
      <c r="A1199" s="1">
        <v>41932</v>
      </c>
      <c r="B1199">
        <v>2927.3</v>
      </c>
      <c r="C1199">
        <v>3991.24</v>
      </c>
      <c r="D1199">
        <v>8717.76</v>
      </c>
      <c r="E1199">
        <v>7907.9206800000002</v>
      </c>
      <c r="F1199">
        <v>9915.2000000000007</v>
      </c>
      <c r="G1199">
        <v>18540.099999999999</v>
      </c>
    </row>
    <row r="1200" spans="1:7" x14ac:dyDescent="0.35">
      <c r="A1200" s="1">
        <v>41933</v>
      </c>
      <c r="B1200">
        <v>2991.46</v>
      </c>
      <c r="C1200">
        <v>4081.24</v>
      </c>
      <c r="D1200">
        <v>8886.9599999999991</v>
      </c>
      <c r="E1200">
        <v>8074.3872000000001</v>
      </c>
      <c r="F1200">
        <v>10152.1</v>
      </c>
      <c r="G1200">
        <v>19057.72</v>
      </c>
    </row>
    <row r="1201" spans="1:7" x14ac:dyDescent="0.35">
      <c r="A1201" s="1">
        <v>41934</v>
      </c>
      <c r="B1201">
        <v>3008.53</v>
      </c>
      <c r="C1201">
        <v>4105.09</v>
      </c>
      <c r="D1201">
        <v>8940.14</v>
      </c>
      <c r="E1201">
        <v>8122.9674699999996</v>
      </c>
      <c r="F1201">
        <v>10249.9</v>
      </c>
      <c r="G1201">
        <v>19266.25</v>
      </c>
    </row>
    <row r="1202" spans="1:7" x14ac:dyDescent="0.35">
      <c r="A1202" s="1">
        <v>41935</v>
      </c>
      <c r="B1202">
        <v>3044.3</v>
      </c>
      <c r="C1202">
        <v>4157.68</v>
      </c>
      <c r="D1202">
        <v>9047.31</v>
      </c>
      <c r="E1202">
        <v>8141.9925800000001</v>
      </c>
      <c r="F1202">
        <v>10333.700000000001</v>
      </c>
      <c r="G1202">
        <v>19434.98</v>
      </c>
    </row>
    <row r="1203" spans="1:7" x14ac:dyDescent="0.35">
      <c r="A1203" s="1">
        <v>41936</v>
      </c>
      <c r="B1203">
        <v>3030.37</v>
      </c>
      <c r="C1203">
        <v>4128.8999999999996</v>
      </c>
      <c r="D1203">
        <v>8987.7999999999993</v>
      </c>
      <c r="E1203">
        <v>8110.5583399999996</v>
      </c>
      <c r="F1203">
        <v>10339.299999999999</v>
      </c>
      <c r="G1203">
        <v>19495.68</v>
      </c>
    </row>
    <row r="1204" spans="1:7" x14ac:dyDescent="0.35">
      <c r="A1204" s="1">
        <v>41939</v>
      </c>
      <c r="B1204">
        <v>2998.84</v>
      </c>
      <c r="C1204">
        <v>4096.74</v>
      </c>
      <c r="D1204">
        <v>8902.61</v>
      </c>
      <c r="E1204">
        <v>8075.4085500000001</v>
      </c>
      <c r="F1204">
        <v>10195.200000000001</v>
      </c>
      <c r="G1204">
        <v>19028.669999999998</v>
      </c>
    </row>
    <row r="1205" spans="1:7" x14ac:dyDescent="0.35">
      <c r="A1205" s="1">
        <v>41940</v>
      </c>
      <c r="B1205">
        <v>3036.15</v>
      </c>
      <c r="C1205">
        <v>4112.67</v>
      </c>
      <c r="D1205">
        <v>9068.19</v>
      </c>
      <c r="E1205">
        <v>8110.8895199999997</v>
      </c>
      <c r="F1205">
        <v>10394.799999999999</v>
      </c>
      <c r="G1205">
        <v>19476.62</v>
      </c>
    </row>
    <row r="1206" spans="1:7" x14ac:dyDescent="0.35">
      <c r="A1206" s="1">
        <v>41941</v>
      </c>
      <c r="B1206">
        <v>3022.42</v>
      </c>
      <c r="C1206">
        <v>4110.6400000000003</v>
      </c>
      <c r="D1206">
        <v>9082.81</v>
      </c>
      <c r="E1206">
        <v>8156.2847400000001</v>
      </c>
      <c r="F1206">
        <v>10247.799999999999</v>
      </c>
      <c r="G1206">
        <v>19157.41</v>
      </c>
    </row>
    <row r="1207" spans="1:7" x14ac:dyDescent="0.35">
      <c r="A1207" s="1">
        <v>41942</v>
      </c>
      <c r="B1207">
        <v>3035.9</v>
      </c>
      <c r="C1207">
        <v>4141.24</v>
      </c>
      <c r="D1207">
        <v>9114.84</v>
      </c>
      <c r="E1207">
        <v>8199.7736399999994</v>
      </c>
      <c r="F1207">
        <v>10263.700000000001</v>
      </c>
      <c r="G1207">
        <v>19194.61</v>
      </c>
    </row>
    <row r="1208" spans="1:7" x14ac:dyDescent="0.35">
      <c r="A1208" s="1">
        <v>41943</v>
      </c>
      <c r="B1208">
        <v>3113.32</v>
      </c>
      <c r="C1208">
        <v>4233.09</v>
      </c>
      <c r="D1208">
        <v>9326.8700000000008</v>
      </c>
      <c r="E1208">
        <v>8355.6173600000002</v>
      </c>
      <c r="F1208">
        <v>10477.799999999999</v>
      </c>
      <c r="G1208">
        <v>19783.990000000002</v>
      </c>
    </row>
    <row r="1209" spans="1:7" x14ac:dyDescent="0.35">
      <c r="A1209" s="1">
        <v>41946</v>
      </c>
      <c r="B1209">
        <v>3082.32</v>
      </c>
      <c r="C1209">
        <v>4194.03</v>
      </c>
      <c r="D1209">
        <v>9251.7000000000007</v>
      </c>
      <c r="E1209">
        <v>8307.3038400000005</v>
      </c>
      <c r="F1209">
        <v>10374.4</v>
      </c>
      <c r="G1209">
        <v>19369.03</v>
      </c>
    </row>
    <row r="1210" spans="1:7" x14ac:dyDescent="0.35">
      <c r="A1210" s="1">
        <v>41947</v>
      </c>
      <c r="B1210">
        <v>3034.24</v>
      </c>
      <c r="C1210">
        <v>4130.1899999999996</v>
      </c>
      <c r="D1210">
        <v>9166.4699999999993</v>
      </c>
      <c r="E1210">
        <v>8227.33266</v>
      </c>
      <c r="F1210">
        <v>10154.4</v>
      </c>
      <c r="G1210">
        <v>18934.63</v>
      </c>
    </row>
    <row r="1211" spans="1:7" x14ac:dyDescent="0.35">
      <c r="A1211" s="1">
        <v>41948</v>
      </c>
      <c r="B1211">
        <v>3091.54</v>
      </c>
      <c r="C1211">
        <v>4208.42</v>
      </c>
      <c r="D1211">
        <v>9315.48</v>
      </c>
      <c r="E1211">
        <v>8364.4667000000009</v>
      </c>
      <c r="F1211">
        <v>10276.9</v>
      </c>
      <c r="G1211">
        <v>19427.849999999999</v>
      </c>
    </row>
    <row r="1212" spans="1:7" x14ac:dyDescent="0.35">
      <c r="A1212" s="1">
        <v>41949</v>
      </c>
      <c r="B1212">
        <v>3102.07</v>
      </c>
      <c r="C1212">
        <v>4227.68</v>
      </c>
      <c r="D1212">
        <v>9377.41</v>
      </c>
      <c r="E1212">
        <v>8369.9157899999991</v>
      </c>
      <c r="F1212">
        <v>10261.799999999999</v>
      </c>
      <c r="G1212">
        <v>19285.759999999998</v>
      </c>
    </row>
    <row r="1213" spans="1:7" x14ac:dyDescent="0.35">
      <c r="A1213" s="1">
        <v>41950</v>
      </c>
      <c r="B1213">
        <v>3064.92</v>
      </c>
      <c r="C1213">
        <v>4189.8900000000003</v>
      </c>
      <c r="D1213">
        <v>9291.83</v>
      </c>
      <c r="E1213">
        <v>8370.55033</v>
      </c>
      <c r="F1213">
        <v>10126.299999999999</v>
      </c>
      <c r="G1213">
        <v>19095.32</v>
      </c>
    </row>
    <row r="1214" spans="1:7" x14ac:dyDescent="0.35">
      <c r="A1214" s="1">
        <v>41953</v>
      </c>
      <c r="B1214">
        <v>3094.6</v>
      </c>
      <c r="C1214">
        <v>4222.82</v>
      </c>
      <c r="D1214">
        <v>9351.8700000000008</v>
      </c>
      <c r="E1214">
        <v>8436.56574</v>
      </c>
      <c r="F1214">
        <v>10273</v>
      </c>
      <c r="G1214">
        <v>19258.54</v>
      </c>
    </row>
    <row r="1215" spans="1:7" x14ac:dyDescent="0.35">
      <c r="A1215" s="1">
        <v>41954</v>
      </c>
      <c r="B1215">
        <v>3104.59</v>
      </c>
      <c r="C1215">
        <v>4244.1000000000004</v>
      </c>
      <c r="D1215">
        <v>9369.0300000000007</v>
      </c>
      <c r="E1215">
        <v>8446.4256299999997</v>
      </c>
      <c r="F1215">
        <v>10338.799999999999</v>
      </c>
      <c r="G1215">
        <v>19255.47</v>
      </c>
    </row>
    <row r="1216" spans="1:7" x14ac:dyDescent="0.35">
      <c r="A1216" s="1">
        <v>41955</v>
      </c>
      <c r="B1216">
        <v>3047.3</v>
      </c>
      <c r="C1216">
        <v>4179.88</v>
      </c>
      <c r="D1216">
        <v>9210.9599999999991</v>
      </c>
      <c r="E1216">
        <v>8394.6761600000009</v>
      </c>
      <c r="F1216">
        <v>10157.299999999999</v>
      </c>
      <c r="G1216">
        <v>18702.240000000002</v>
      </c>
    </row>
    <row r="1217" spans="1:7" x14ac:dyDescent="0.35">
      <c r="A1217" s="1">
        <v>41956</v>
      </c>
      <c r="B1217">
        <v>3056.8</v>
      </c>
      <c r="C1217">
        <v>4187.95</v>
      </c>
      <c r="D1217">
        <v>9248.51</v>
      </c>
      <c r="E1217">
        <v>8361.7848900000008</v>
      </c>
      <c r="F1217">
        <v>10140.4</v>
      </c>
      <c r="G1217">
        <v>18782.55</v>
      </c>
    </row>
    <row r="1218" spans="1:7" x14ac:dyDescent="0.35">
      <c r="A1218" s="1">
        <v>41957</v>
      </c>
      <c r="B1218">
        <v>3059.99</v>
      </c>
      <c r="C1218">
        <v>4202.46</v>
      </c>
      <c r="D1218">
        <v>9252.94</v>
      </c>
      <c r="E1218">
        <v>8326.7364400000006</v>
      </c>
      <c r="F1218">
        <v>10148</v>
      </c>
      <c r="G1218">
        <v>18965.41</v>
      </c>
    </row>
    <row r="1219" spans="1:7" x14ac:dyDescent="0.35">
      <c r="A1219" s="1">
        <v>41960</v>
      </c>
      <c r="B1219">
        <v>3084.79</v>
      </c>
      <c r="C1219">
        <v>4226.1000000000004</v>
      </c>
      <c r="D1219">
        <v>9306.35</v>
      </c>
      <c r="E1219">
        <v>8381.7695100000001</v>
      </c>
      <c r="F1219">
        <v>10309</v>
      </c>
      <c r="G1219">
        <v>19216.740000000002</v>
      </c>
    </row>
    <row r="1220" spans="1:7" x14ac:dyDescent="0.35">
      <c r="A1220" s="1">
        <v>41961</v>
      </c>
      <c r="B1220">
        <v>3120.42</v>
      </c>
      <c r="C1220">
        <v>4262.38</v>
      </c>
      <c r="D1220">
        <v>9456.5300000000007</v>
      </c>
      <c r="E1220">
        <v>8377.3113799999992</v>
      </c>
      <c r="F1220">
        <v>10432.9</v>
      </c>
      <c r="G1220">
        <v>19352.95</v>
      </c>
    </row>
    <row r="1221" spans="1:7" x14ac:dyDescent="0.35">
      <c r="A1221" s="1">
        <v>41962</v>
      </c>
      <c r="B1221">
        <v>3123.12</v>
      </c>
      <c r="C1221">
        <v>4266.1899999999996</v>
      </c>
      <c r="D1221">
        <v>9472.7999999999993</v>
      </c>
      <c r="E1221">
        <v>8369.4160200000006</v>
      </c>
      <c r="F1221">
        <v>10376.799999999999</v>
      </c>
      <c r="G1221">
        <v>19379.919999999998</v>
      </c>
    </row>
    <row r="1222" spans="1:7" x14ac:dyDescent="0.35">
      <c r="A1222" s="1">
        <v>41963</v>
      </c>
      <c r="B1222">
        <v>3102.21</v>
      </c>
      <c r="C1222">
        <v>4234.21</v>
      </c>
      <c r="D1222">
        <v>9483.9699999999993</v>
      </c>
      <c r="E1222">
        <v>8356.2152600000009</v>
      </c>
      <c r="F1222">
        <v>10209.200000000001</v>
      </c>
      <c r="G1222">
        <v>19209.22</v>
      </c>
    </row>
    <row r="1223" spans="1:7" x14ac:dyDescent="0.35">
      <c r="A1223" s="1">
        <v>41964</v>
      </c>
      <c r="B1223">
        <v>3194.22</v>
      </c>
      <c r="C1223">
        <v>4347.2299999999996</v>
      </c>
      <c r="D1223">
        <v>9732.5499999999993</v>
      </c>
      <c r="E1223">
        <v>8528.9106200000006</v>
      </c>
      <c r="F1223">
        <v>10520.8</v>
      </c>
      <c r="G1223">
        <v>19954.509999999998</v>
      </c>
    </row>
    <row r="1224" spans="1:7" x14ac:dyDescent="0.35">
      <c r="A1224" s="1">
        <v>41967</v>
      </c>
      <c r="B1224">
        <v>3211.7</v>
      </c>
      <c r="C1224">
        <v>4368.4399999999996</v>
      </c>
      <c r="D1224">
        <v>9785.5400000000009</v>
      </c>
      <c r="E1224">
        <v>8500.1033100000004</v>
      </c>
      <c r="F1224">
        <v>10642.5</v>
      </c>
      <c r="G1224">
        <v>19925.82</v>
      </c>
    </row>
    <row r="1225" spans="1:7" x14ac:dyDescent="0.35">
      <c r="A1225" s="1">
        <v>41968</v>
      </c>
      <c r="B1225">
        <v>3226.15</v>
      </c>
      <c r="C1225">
        <v>4382.3100000000004</v>
      </c>
      <c r="D1225">
        <v>9861.2099999999991</v>
      </c>
      <c r="E1225">
        <v>8485.2340299999996</v>
      </c>
      <c r="F1225">
        <v>10699.6</v>
      </c>
      <c r="G1225">
        <v>20009.830000000002</v>
      </c>
    </row>
    <row r="1226" spans="1:7" x14ac:dyDescent="0.35">
      <c r="A1226" s="1">
        <v>41969</v>
      </c>
      <c r="B1226">
        <v>3226.08</v>
      </c>
      <c r="C1226">
        <v>4373.42</v>
      </c>
      <c r="D1226">
        <v>9915.56</v>
      </c>
      <c r="E1226">
        <v>8493.6600799999997</v>
      </c>
      <c r="F1226">
        <v>10647</v>
      </c>
      <c r="G1226">
        <v>19938.419999999998</v>
      </c>
    </row>
    <row r="1227" spans="1:7" x14ac:dyDescent="0.35">
      <c r="A1227" s="1">
        <v>41970</v>
      </c>
      <c r="B1227">
        <v>3244.92</v>
      </c>
      <c r="C1227">
        <v>4382.34</v>
      </c>
      <c r="D1227">
        <v>9974.8700000000008</v>
      </c>
      <c r="E1227">
        <v>8475.9727899999998</v>
      </c>
      <c r="F1227">
        <v>10727.6</v>
      </c>
      <c r="G1227">
        <v>20100.53</v>
      </c>
    </row>
    <row r="1228" spans="1:7" x14ac:dyDescent="0.35">
      <c r="A1228" s="1">
        <v>41971</v>
      </c>
      <c r="B1228">
        <v>3250.93</v>
      </c>
      <c r="C1228">
        <v>4390.18</v>
      </c>
      <c r="D1228">
        <v>9980.85</v>
      </c>
      <c r="E1228">
        <v>8446.1191999999992</v>
      </c>
      <c r="F1228">
        <v>10770.7</v>
      </c>
      <c r="G1228">
        <v>20014.82</v>
      </c>
    </row>
    <row r="1229" spans="1:7" x14ac:dyDescent="0.35">
      <c r="A1229" s="1">
        <v>41974</v>
      </c>
      <c r="B1229">
        <v>3232.91</v>
      </c>
      <c r="C1229">
        <v>4377.33</v>
      </c>
      <c r="D1229">
        <v>9963.51</v>
      </c>
      <c r="E1229">
        <v>8391.5866700000006</v>
      </c>
      <c r="F1229">
        <v>10672.8</v>
      </c>
      <c r="G1229">
        <v>19686.45</v>
      </c>
    </row>
    <row r="1230" spans="1:7" x14ac:dyDescent="0.35">
      <c r="A1230" s="1">
        <v>41975</v>
      </c>
      <c r="B1230">
        <v>3238.35</v>
      </c>
      <c r="C1230">
        <v>4388.3</v>
      </c>
      <c r="D1230">
        <v>9934.08</v>
      </c>
      <c r="E1230">
        <v>8513.3573400000005</v>
      </c>
      <c r="F1230">
        <v>10749.2</v>
      </c>
      <c r="G1230">
        <v>19780.580000000002</v>
      </c>
    </row>
    <row r="1231" spans="1:7" x14ac:dyDescent="0.35">
      <c r="A1231" s="1">
        <v>41976</v>
      </c>
      <c r="B1231">
        <v>3247.72</v>
      </c>
      <c r="C1231">
        <v>4391.8599999999997</v>
      </c>
      <c r="D1231">
        <v>9971.7900000000009</v>
      </c>
      <c r="E1231">
        <v>8570.8674699999992</v>
      </c>
      <c r="F1231">
        <v>10875.9</v>
      </c>
      <c r="G1231">
        <v>19978.32</v>
      </c>
    </row>
    <row r="1232" spans="1:7" x14ac:dyDescent="0.35">
      <c r="A1232" s="1">
        <v>41977</v>
      </c>
      <c r="B1232">
        <v>3191.25</v>
      </c>
      <c r="C1232">
        <v>4323.8900000000003</v>
      </c>
      <c r="D1232">
        <v>9851.35</v>
      </c>
      <c r="E1232">
        <v>8460.5353300000006</v>
      </c>
      <c r="F1232">
        <v>10619.9</v>
      </c>
      <c r="G1232">
        <v>19424.38</v>
      </c>
    </row>
    <row r="1233" spans="1:7" x14ac:dyDescent="0.35">
      <c r="A1233" s="1">
        <v>41978</v>
      </c>
      <c r="B1233">
        <v>3277.38</v>
      </c>
      <c r="C1233">
        <v>4419.4799999999996</v>
      </c>
      <c r="D1233">
        <v>10087.120000000001</v>
      </c>
      <c r="E1233">
        <v>8551.2792300000001</v>
      </c>
      <c r="F1233">
        <v>10900.7</v>
      </c>
      <c r="G1233">
        <v>20087.23</v>
      </c>
    </row>
    <row r="1234" spans="1:7" x14ac:dyDescent="0.35">
      <c r="A1234" s="1">
        <v>41981</v>
      </c>
      <c r="B1234">
        <v>3247.99</v>
      </c>
      <c r="C1234">
        <v>4375.4799999999996</v>
      </c>
      <c r="D1234">
        <v>10014.99</v>
      </c>
      <c r="E1234">
        <v>8473.0616200000004</v>
      </c>
      <c r="F1234">
        <v>10805.2</v>
      </c>
      <c r="G1234">
        <v>19951.150000000001</v>
      </c>
    </row>
    <row r="1235" spans="1:7" x14ac:dyDescent="0.35">
      <c r="A1235" s="1">
        <v>41982</v>
      </c>
      <c r="B1235">
        <v>3162.77</v>
      </c>
      <c r="C1235">
        <v>4263.9399999999996</v>
      </c>
      <c r="D1235">
        <v>9793.7099999999991</v>
      </c>
      <c r="E1235">
        <v>8262.7245000000003</v>
      </c>
      <c r="F1235">
        <v>10461.6</v>
      </c>
      <c r="G1235">
        <v>19390</v>
      </c>
    </row>
    <row r="1236" spans="1:7" x14ac:dyDescent="0.35">
      <c r="A1236" s="1">
        <v>41983</v>
      </c>
      <c r="B1236">
        <v>3150.95</v>
      </c>
      <c r="C1236">
        <v>4227.91</v>
      </c>
      <c r="D1236">
        <v>9799.73</v>
      </c>
      <c r="E1236">
        <v>8216.0547399999996</v>
      </c>
      <c r="F1236">
        <v>10396.9</v>
      </c>
      <c r="G1236">
        <v>19217.689999999999</v>
      </c>
    </row>
    <row r="1237" spans="1:7" x14ac:dyDescent="0.35">
      <c r="A1237" s="1">
        <v>41984</v>
      </c>
      <c r="B1237">
        <v>3159.11</v>
      </c>
      <c r="C1237">
        <v>4225.8599999999997</v>
      </c>
      <c r="D1237">
        <v>9862.5300000000007</v>
      </c>
      <c r="E1237">
        <v>8193.0620999999992</v>
      </c>
      <c r="F1237">
        <v>10431.799999999999</v>
      </c>
      <c r="G1237">
        <v>19201.07</v>
      </c>
    </row>
    <row r="1238" spans="1:7" x14ac:dyDescent="0.35">
      <c r="A1238" s="1">
        <v>41985</v>
      </c>
      <c r="B1238">
        <v>3067.32</v>
      </c>
      <c r="C1238">
        <v>4108.93</v>
      </c>
      <c r="D1238">
        <v>9594.73</v>
      </c>
      <c r="E1238">
        <v>7949.1329800000003</v>
      </c>
      <c r="F1238">
        <v>10145</v>
      </c>
      <c r="G1238">
        <v>18600.830000000002</v>
      </c>
    </row>
    <row r="1239" spans="1:7" x14ac:dyDescent="0.35">
      <c r="A1239" s="1">
        <v>41988</v>
      </c>
      <c r="B1239">
        <v>2982.9</v>
      </c>
      <c r="C1239">
        <v>4005.38</v>
      </c>
      <c r="D1239">
        <v>9334.01</v>
      </c>
      <c r="E1239">
        <v>7775.3743599999998</v>
      </c>
      <c r="F1239">
        <v>9903.9</v>
      </c>
      <c r="G1239">
        <v>18078.97</v>
      </c>
    </row>
    <row r="1240" spans="1:7" x14ac:dyDescent="0.35">
      <c r="A1240" s="1">
        <v>41989</v>
      </c>
      <c r="B1240">
        <v>3049.99</v>
      </c>
      <c r="C1240">
        <v>4093.2</v>
      </c>
      <c r="D1240">
        <v>9563.89</v>
      </c>
      <c r="E1240">
        <v>7974.3904199999997</v>
      </c>
      <c r="F1240">
        <v>10081.9</v>
      </c>
      <c r="G1240">
        <v>18670.05</v>
      </c>
    </row>
    <row r="1241" spans="1:7" x14ac:dyDescent="0.35">
      <c r="A1241" s="1">
        <v>41990</v>
      </c>
      <c r="B1241">
        <v>3051.99</v>
      </c>
      <c r="C1241">
        <v>4111.91</v>
      </c>
      <c r="D1241">
        <v>9544.43</v>
      </c>
      <c r="E1241">
        <v>7990.9174199999998</v>
      </c>
      <c r="F1241">
        <v>10049.5</v>
      </c>
      <c r="G1241">
        <v>18569.03</v>
      </c>
    </row>
    <row r="1242" spans="1:7" x14ac:dyDescent="0.35">
      <c r="A1242" s="1">
        <v>41991</v>
      </c>
      <c r="B1242">
        <v>3153.77</v>
      </c>
      <c r="C1242">
        <v>4249.49</v>
      </c>
      <c r="D1242">
        <v>9811.06</v>
      </c>
      <c r="E1242">
        <v>8243.5709900000002</v>
      </c>
      <c r="F1242">
        <v>10391.299999999999</v>
      </c>
      <c r="G1242">
        <v>19060.990000000002</v>
      </c>
    </row>
    <row r="1243" spans="1:7" x14ac:dyDescent="0.35">
      <c r="A1243" s="1">
        <v>41992</v>
      </c>
      <c r="B1243">
        <v>3141.28</v>
      </c>
      <c r="C1243">
        <v>4241.6499999999996</v>
      </c>
      <c r="D1243">
        <v>9786.9599999999991</v>
      </c>
      <c r="E1243">
        <v>8353.2404100000003</v>
      </c>
      <c r="F1243">
        <v>10363.6</v>
      </c>
      <c r="G1243">
        <v>18983.830000000002</v>
      </c>
    </row>
    <row r="1244" spans="1:7" x14ac:dyDescent="0.35">
      <c r="A1244" s="1">
        <v>41995</v>
      </c>
      <c r="B1244">
        <v>3154.91</v>
      </c>
      <c r="C1244">
        <v>4254.43</v>
      </c>
      <c r="D1244">
        <v>9865.76</v>
      </c>
      <c r="E1244">
        <v>8376.5938399999995</v>
      </c>
      <c r="F1244">
        <v>10371</v>
      </c>
      <c r="G1244">
        <v>19074.04</v>
      </c>
    </row>
    <row r="1245" spans="1:7" x14ac:dyDescent="0.35">
      <c r="A1245" s="1">
        <v>41996</v>
      </c>
      <c r="B1245">
        <v>3192.47</v>
      </c>
      <c r="C1245">
        <v>4314.97</v>
      </c>
      <c r="D1245">
        <v>9922.11</v>
      </c>
      <c r="E1245">
        <v>8407.5856399999993</v>
      </c>
      <c r="F1245">
        <v>10477.700000000001</v>
      </c>
      <c r="G1245">
        <v>19352.13</v>
      </c>
    </row>
    <row r="1246" spans="1:7" x14ac:dyDescent="0.35">
      <c r="A1246" s="1">
        <v>42002</v>
      </c>
      <c r="B1246">
        <v>3185.17</v>
      </c>
      <c r="C1246">
        <v>4317.93</v>
      </c>
      <c r="D1246">
        <v>9927.1299999999992</v>
      </c>
      <c r="E1246">
        <v>8459.1967000000004</v>
      </c>
      <c r="F1246">
        <v>10394.200000000001</v>
      </c>
      <c r="G1246">
        <v>19130.02</v>
      </c>
    </row>
    <row r="1247" spans="1:7" x14ac:dyDescent="0.35">
      <c r="A1247" s="1">
        <v>42003</v>
      </c>
      <c r="B1247">
        <v>3135.95</v>
      </c>
      <c r="C1247">
        <v>4245.54</v>
      </c>
      <c r="D1247">
        <v>9805.5499999999993</v>
      </c>
      <c r="E1247">
        <v>8378.5659300000007</v>
      </c>
      <c r="F1247">
        <v>10279.200000000001</v>
      </c>
      <c r="G1247">
        <v>19011.96</v>
      </c>
    </row>
    <row r="1248" spans="1:7" x14ac:dyDescent="0.35">
      <c r="A1248" s="1">
        <v>42006</v>
      </c>
      <c r="B1248">
        <v>3139.44</v>
      </c>
      <c r="C1248">
        <v>4252.29</v>
      </c>
      <c r="D1248">
        <v>9764.73</v>
      </c>
      <c r="E1248">
        <v>8373.6602999999996</v>
      </c>
      <c r="F1248">
        <v>10350.799999999999</v>
      </c>
      <c r="G1248">
        <v>19130.259999999998</v>
      </c>
    </row>
    <row r="1249" spans="1:7" x14ac:dyDescent="0.35">
      <c r="A1249" s="1">
        <v>42009</v>
      </c>
      <c r="B1249">
        <v>3023.14</v>
      </c>
      <c r="C1249">
        <v>4111.3599999999997</v>
      </c>
      <c r="D1249">
        <v>9473.16</v>
      </c>
      <c r="E1249">
        <v>8194.8903900000005</v>
      </c>
      <c r="F1249">
        <v>9993.2999999999993</v>
      </c>
      <c r="G1249">
        <v>18188.439999999999</v>
      </c>
    </row>
    <row r="1250" spans="1:7" x14ac:dyDescent="0.35">
      <c r="A1250" s="1">
        <v>42010</v>
      </c>
      <c r="B1250">
        <v>3007.91</v>
      </c>
      <c r="C1250">
        <v>4083.5</v>
      </c>
      <c r="D1250">
        <v>9469.66</v>
      </c>
      <c r="E1250">
        <v>8102.0541599999997</v>
      </c>
      <c r="F1250">
        <v>9871.1</v>
      </c>
      <c r="G1250">
        <v>18143.259999999998</v>
      </c>
    </row>
    <row r="1251" spans="1:7" x14ac:dyDescent="0.35">
      <c r="A1251" s="1">
        <v>42011</v>
      </c>
      <c r="B1251">
        <v>3026.79</v>
      </c>
      <c r="C1251">
        <v>4112.7299999999996</v>
      </c>
      <c r="D1251">
        <v>9518.18</v>
      </c>
      <c r="E1251">
        <v>8187.8609500000002</v>
      </c>
      <c r="F1251">
        <v>9891.4</v>
      </c>
      <c r="G1251">
        <v>18123.45</v>
      </c>
    </row>
    <row r="1252" spans="1:7" x14ac:dyDescent="0.35">
      <c r="A1252" s="1">
        <v>42012</v>
      </c>
      <c r="B1252">
        <v>3135.08</v>
      </c>
      <c r="C1252">
        <v>4260.1899999999996</v>
      </c>
      <c r="D1252">
        <v>9837.61</v>
      </c>
      <c r="E1252">
        <v>8403.5665100000006</v>
      </c>
      <c r="F1252">
        <v>10115</v>
      </c>
      <c r="G1252">
        <v>18791.830000000002</v>
      </c>
    </row>
    <row r="1253" spans="1:7" x14ac:dyDescent="0.35">
      <c r="A1253" s="1">
        <v>42013</v>
      </c>
      <c r="B1253">
        <v>3042.9</v>
      </c>
      <c r="C1253">
        <v>4179.07</v>
      </c>
      <c r="D1253">
        <v>9648.5</v>
      </c>
      <c r="E1253">
        <v>8321.2393800000009</v>
      </c>
      <c r="F1253">
        <v>9719</v>
      </c>
      <c r="G1253">
        <v>18177.09</v>
      </c>
    </row>
    <row r="1254" spans="1:7" x14ac:dyDescent="0.35">
      <c r="A1254" s="1">
        <v>42016</v>
      </c>
      <c r="B1254">
        <v>3084.18</v>
      </c>
      <c r="C1254">
        <v>4228.24</v>
      </c>
      <c r="D1254">
        <v>9781.9</v>
      </c>
      <c r="E1254">
        <v>8336.5070899999992</v>
      </c>
      <c r="F1254">
        <v>9797.5</v>
      </c>
      <c r="G1254">
        <v>18349.150000000001</v>
      </c>
    </row>
    <row r="1255" spans="1:7" x14ac:dyDescent="0.35">
      <c r="A1255" s="1">
        <v>42017</v>
      </c>
      <c r="B1255">
        <v>3133.86</v>
      </c>
      <c r="C1255">
        <v>4290.28</v>
      </c>
      <c r="D1255">
        <v>9941</v>
      </c>
      <c r="E1255">
        <v>8416.3168600000008</v>
      </c>
      <c r="F1255">
        <v>9966</v>
      </c>
      <c r="G1255">
        <v>18708.93</v>
      </c>
    </row>
    <row r="1256" spans="1:7" x14ac:dyDescent="0.35">
      <c r="A1256" s="1">
        <v>42018</v>
      </c>
      <c r="B1256">
        <v>3089.67</v>
      </c>
      <c r="C1256">
        <v>4223.24</v>
      </c>
      <c r="D1256">
        <v>9817.08</v>
      </c>
      <c r="E1256">
        <v>8248.9607799999994</v>
      </c>
      <c r="F1256">
        <v>9846</v>
      </c>
      <c r="G1256">
        <v>18410.68</v>
      </c>
    </row>
    <row r="1257" spans="1:7" x14ac:dyDescent="0.35">
      <c r="A1257" s="1">
        <v>42019</v>
      </c>
      <c r="B1257">
        <v>3157.36</v>
      </c>
      <c r="C1257">
        <v>4323.2</v>
      </c>
      <c r="D1257">
        <v>10032.61</v>
      </c>
      <c r="E1257">
        <v>8489.1399099999999</v>
      </c>
      <c r="F1257">
        <v>9982.5</v>
      </c>
      <c r="G1257">
        <v>18844.52</v>
      </c>
    </row>
    <row r="1258" spans="1:7" x14ac:dyDescent="0.35">
      <c r="A1258" s="1">
        <v>42020</v>
      </c>
      <c r="B1258">
        <v>3202.24</v>
      </c>
      <c r="C1258">
        <v>4379.62</v>
      </c>
      <c r="D1258">
        <v>10167.77</v>
      </c>
      <c r="E1258">
        <v>8592.2661900000003</v>
      </c>
      <c r="F1258">
        <v>10038.9</v>
      </c>
      <c r="G1258">
        <v>19254.54</v>
      </c>
    </row>
    <row r="1259" spans="1:7" x14ac:dyDescent="0.35">
      <c r="A1259" s="1">
        <v>42023</v>
      </c>
      <c r="B1259">
        <v>3220.9</v>
      </c>
      <c r="C1259">
        <v>4394.93</v>
      </c>
      <c r="D1259">
        <v>10242.35</v>
      </c>
      <c r="E1259">
        <v>8585.7521400000005</v>
      </c>
      <c r="F1259">
        <v>10157.5</v>
      </c>
      <c r="G1259">
        <v>19480.53</v>
      </c>
    </row>
    <row r="1260" spans="1:7" x14ac:dyDescent="0.35">
      <c r="A1260" s="1">
        <v>42024</v>
      </c>
      <c r="B1260">
        <v>3244.92</v>
      </c>
      <c r="C1260">
        <v>4446.0200000000004</v>
      </c>
      <c r="D1260">
        <v>10257.129999999999</v>
      </c>
      <c r="E1260">
        <v>8686.1582299999991</v>
      </c>
      <c r="F1260">
        <v>10283.9</v>
      </c>
      <c r="G1260">
        <v>19658.66</v>
      </c>
    </row>
    <row r="1261" spans="1:7" x14ac:dyDescent="0.35">
      <c r="A1261" s="1">
        <v>42025</v>
      </c>
      <c r="B1261">
        <v>3269.73</v>
      </c>
      <c r="C1261">
        <v>4484.82</v>
      </c>
      <c r="D1261">
        <v>10299.23</v>
      </c>
      <c r="E1261">
        <v>8782.1992499999997</v>
      </c>
      <c r="F1261">
        <v>10335.299999999999</v>
      </c>
      <c r="G1261">
        <v>19981.41</v>
      </c>
    </row>
    <row r="1262" spans="1:7" x14ac:dyDescent="0.35">
      <c r="A1262" s="1">
        <v>42026</v>
      </c>
      <c r="B1262">
        <v>3322.65</v>
      </c>
      <c r="C1262">
        <v>4552.8</v>
      </c>
      <c r="D1262">
        <v>10435.620000000001</v>
      </c>
      <c r="E1262">
        <v>8970.0230599999995</v>
      </c>
      <c r="F1262">
        <v>10510.6</v>
      </c>
      <c r="G1262">
        <v>20469.740000000002</v>
      </c>
    </row>
    <row r="1263" spans="1:7" x14ac:dyDescent="0.35">
      <c r="A1263" s="1">
        <v>42027</v>
      </c>
      <c r="B1263">
        <v>3382.55</v>
      </c>
      <c r="C1263">
        <v>4640.6899999999996</v>
      </c>
      <c r="D1263">
        <v>10649.58</v>
      </c>
      <c r="E1263">
        <v>9117.3203900000008</v>
      </c>
      <c r="F1263">
        <v>10581.5</v>
      </c>
      <c r="G1263">
        <v>20519.75</v>
      </c>
    </row>
    <row r="1264" spans="1:7" x14ac:dyDescent="0.35">
      <c r="A1264" s="1">
        <v>42030</v>
      </c>
      <c r="B1264">
        <v>3414.28</v>
      </c>
      <c r="C1264">
        <v>4675.13</v>
      </c>
      <c r="D1264">
        <v>10798.33</v>
      </c>
      <c r="E1264">
        <v>9168.1224099999999</v>
      </c>
      <c r="F1264">
        <v>10696.1</v>
      </c>
      <c r="G1264">
        <v>20756.72</v>
      </c>
    </row>
    <row r="1265" spans="1:7" x14ac:dyDescent="0.35">
      <c r="A1265" s="1">
        <v>42031</v>
      </c>
      <c r="B1265">
        <v>3372.58</v>
      </c>
      <c r="C1265">
        <v>4624.21</v>
      </c>
      <c r="D1265">
        <v>10628.58</v>
      </c>
      <c r="E1265">
        <v>9119.1456300000009</v>
      </c>
      <c r="F1265">
        <v>10598.9</v>
      </c>
      <c r="G1265">
        <v>20645.82</v>
      </c>
    </row>
    <row r="1266" spans="1:7" x14ac:dyDescent="0.35">
      <c r="A1266" s="1">
        <v>42032</v>
      </c>
      <c r="B1266">
        <v>3358.96</v>
      </c>
      <c r="C1266">
        <v>4610.9399999999996</v>
      </c>
      <c r="D1266">
        <v>10710.97</v>
      </c>
      <c r="E1266">
        <v>9124.2990499999996</v>
      </c>
      <c r="F1266">
        <v>10456.9</v>
      </c>
      <c r="G1266">
        <v>20478.439999999999</v>
      </c>
    </row>
    <row r="1267" spans="1:7" x14ac:dyDescent="0.35">
      <c r="A1267" s="1">
        <v>42033</v>
      </c>
      <c r="B1267">
        <v>3371.83</v>
      </c>
      <c r="C1267">
        <v>4631.43</v>
      </c>
      <c r="D1267">
        <v>10737.87</v>
      </c>
      <c r="E1267">
        <v>9065.5381500000003</v>
      </c>
      <c r="F1267">
        <v>10507.6</v>
      </c>
      <c r="G1267">
        <v>20593.72</v>
      </c>
    </row>
    <row r="1268" spans="1:7" x14ac:dyDescent="0.35">
      <c r="A1268" s="1">
        <v>42034</v>
      </c>
      <c r="B1268">
        <v>3351.44</v>
      </c>
      <c r="C1268">
        <v>4604.25</v>
      </c>
      <c r="D1268">
        <v>10694.32</v>
      </c>
      <c r="E1268">
        <v>8980.8635699999995</v>
      </c>
      <c r="F1268">
        <v>10403.299999999999</v>
      </c>
      <c r="G1268">
        <v>20503.38</v>
      </c>
    </row>
    <row r="1269" spans="1:7" x14ac:dyDescent="0.35">
      <c r="A1269" s="1">
        <v>42037</v>
      </c>
      <c r="B1269">
        <v>3370.11</v>
      </c>
      <c r="C1269">
        <v>4627.67</v>
      </c>
      <c r="D1269">
        <v>10828.01</v>
      </c>
      <c r="E1269">
        <v>8993.3273499999996</v>
      </c>
      <c r="F1269">
        <v>10328.1</v>
      </c>
      <c r="G1269">
        <v>20485.689999999999</v>
      </c>
    </row>
    <row r="1270" spans="1:7" x14ac:dyDescent="0.35">
      <c r="A1270" s="1">
        <v>42038</v>
      </c>
      <c r="B1270">
        <v>3414.18</v>
      </c>
      <c r="C1270">
        <v>4677.8999999999996</v>
      </c>
      <c r="D1270">
        <v>10890.95</v>
      </c>
      <c r="E1270">
        <v>9081.7267900000006</v>
      </c>
      <c r="F1270">
        <v>10598.2</v>
      </c>
      <c r="G1270">
        <v>21011.55</v>
      </c>
    </row>
    <row r="1271" spans="1:7" x14ac:dyDescent="0.35">
      <c r="A1271" s="1">
        <v>42039</v>
      </c>
      <c r="B1271">
        <v>3415.53</v>
      </c>
      <c r="C1271">
        <v>4696.3</v>
      </c>
      <c r="D1271">
        <v>10911.32</v>
      </c>
      <c r="E1271">
        <v>9135.8759599999994</v>
      </c>
      <c r="F1271">
        <v>10577.8</v>
      </c>
      <c r="G1271">
        <v>20941.73</v>
      </c>
    </row>
    <row r="1272" spans="1:7" x14ac:dyDescent="0.35">
      <c r="A1272" s="1">
        <v>42040</v>
      </c>
      <c r="B1272">
        <v>3408.96</v>
      </c>
      <c r="C1272">
        <v>4703.3</v>
      </c>
      <c r="D1272">
        <v>10905.41</v>
      </c>
      <c r="E1272">
        <v>9173.7602800000004</v>
      </c>
      <c r="F1272">
        <v>10535.5</v>
      </c>
      <c r="G1272">
        <v>20819.05</v>
      </c>
    </row>
    <row r="1273" spans="1:7" x14ac:dyDescent="0.35">
      <c r="A1273" s="1">
        <v>42041</v>
      </c>
      <c r="B1273">
        <v>3398.16</v>
      </c>
      <c r="C1273">
        <v>4691.03</v>
      </c>
      <c r="D1273">
        <v>10846.39</v>
      </c>
      <c r="E1273">
        <v>9224.4808499999999</v>
      </c>
      <c r="F1273">
        <v>10573.1</v>
      </c>
      <c r="G1273">
        <v>20760.740000000002</v>
      </c>
    </row>
    <row r="1274" spans="1:7" x14ac:dyDescent="0.35">
      <c r="A1274" s="1">
        <v>42044</v>
      </c>
      <c r="B1274">
        <v>3347.75</v>
      </c>
      <c r="C1274">
        <v>4651.08</v>
      </c>
      <c r="D1274">
        <v>10663.51</v>
      </c>
      <c r="E1274">
        <v>9182.9883000000009</v>
      </c>
      <c r="F1274">
        <v>10364.9</v>
      </c>
      <c r="G1274">
        <v>20366.64</v>
      </c>
    </row>
    <row r="1275" spans="1:7" x14ac:dyDescent="0.35">
      <c r="A1275" s="1">
        <v>42045</v>
      </c>
      <c r="B1275">
        <v>3383.13</v>
      </c>
      <c r="C1275">
        <v>4695.6499999999996</v>
      </c>
      <c r="D1275">
        <v>10753.83</v>
      </c>
      <c r="E1275">
        <v>9211.3430800000006</v>
      </c>
      <c r="F1275">
        <v>10500.1</v>
      </c>
      <c r="G1275">
        <v>20725.63</v>
      </c>
    </row>
    <row r="1276" spans="1:7" x14ac:dyDescent="0.35">
      <c r="A1276" s="1">
        <v>42046</v>
      </c>
      <c r="B1276">
        <v>3374.14</v>
      </c>
      <c r="C1276">
        <v>4679.38</v>
      </c>
      <c r="D1276">
        <v>10752.11</v>
      </c>
      <c r="E1276">
        <v>9196.74179</v>
      </c>
      <c r="F1276">
        <v>10364.799999999999</v>
      </c>
      <c r="G1276">
        <v>20565.759999999998</v>
      </c>
    </row>
    <row r="1277" spans="1:7" x14ac:dyDescent="0.35">
      <c r="A1277" s="1">
        <v>42047</v>
      </c>
      <c r="B1277">
        <v>3417.61</v>
      </c>
      <c r="C1277">
        <v>4726.2</v>
      </c>
      <c r="D1277">
        <v>10919.65</v>
      </c>
      <c r="E1277">
        <v>9215.6700600000004</v>
      </c>
      <c r="F1277">
        <v>10562.2</v>
      </c>
      <c r="G1277">
        <v>21002.91</v>
      </c>
    </row>
    <row r="1278" spans="1:7" x14ac:dyDescent="0.35">
      <c r="A1278" s="1">
        <v>42048</v>
      </c>
      <c r="B1278">
        <v>3447.59</v>
      </c>
      <c r="C1278">
        <v>4759.3599999999997</v>
      </c>
      <c r="D1278">
        <v>10963.4</v>
      </c>
      <c r="E1278">
        <v>9278.7699900000007</v>
      </c>
      <c r="F1278">
        <v>10739.5</v>
      </c>
      <c r="G1278">
        <v>21204.07</v>
      </c>
    </row>
    <row r="1279" spans="1:7" x14ac:dyDescent="0.35">
      <c r="A1279" s="1">
        <v>42051</v>
      </c>
      <c r="B1279">
        <v>3433.3</v>
      </c>
      <c r="C1279">
        <v>4751.95</v>
      </c>
      <c r="D1279">
        <v>10923.23</v>
      </c>
      <c r="E1279">
        <v>9270.5432099999998</v>
      </c>
      <c r="F1279">
        <v>10689.5</v>
      </c>
      <c r="G1279">
        <v>21165.84</v>
      </c>
    </row>
    <row r="1280" spans="1:7" x14ac:dyDescent="0.35">
      <c r="A1280" s="1">
        <v>42052</v>
      </c>
      <c r="B1280">
        <v>3438.44</v>
      </c>
      <c r="C1280">
        <v>4753.99</v>
      </c>
      <c r="D1280">
        <v>10895.62</v>
      </c>
      <c r="E1280">
        <v>9281.4828500000003</v>
      </c>
      <c r="F1280">
        <v>10698</v>
      </c>
      <c r="G1280">
        <v>21266.25</v>
      </c>
    </row>
    <row r="1281" spans="1:7" x14ac:dyDescent="0.35">
      <c r="A1281" s="1">
        <v>42053</v>
      </c>
      <c r="B1281">
        <v>3465.8</v>
      </c>
      <c r="C1281">
        <v>4799.03</v>
      </c>
      <c r="D1281">
        <v>10961</v>
      </c>
      <c r="E1281">
        <v>9376.8399499999996</v>
      </c>
      <c r="F1281">
        <v>10805.3</v>
      </c>
      <c r="G1281">
        <v>21659.33</v>
      </c>
    </row>
    <row r="1282" spans="1:7" x14ac:dyDescent="0.35">
      <c r="A1282" s="1">
        <v>42054</v>
      </c>
      <c r="B1282">
        <v>3488.08</v>
      </c>
      <c r="C1282">
        <v>4833.28</v>
      </c>
      <c r="D1282">
        <v>11001.94</v>
      </c>
      <c r="E1282">
        <v>9348.1397799999995</v>
      </c>
      <c r="F1282">
        <v>10910.4</v>
      </c>
      <c r="G1282">
        <v>21789.98</v>
      </c>
    </row>
    <row r="1283" spans="1:7" x14ac:dyDescent="0.35">
      <c r="A1283" s="1">
        <v>42055</v>
      </c>
      <c r="B1283">
        <v>3490.53</v>
      </c>
      <c r="C1283">
        <v>4830.8999999999996</v>
      </c>
      <c r="D1283">
        <v>11050.64</v>
      </c>
      <c r="E1283">
        <v>9347.9325200000003</v>
      </c>
      <c r="F1283">
        <v>10879.3</v>
      </c>
      <c r="G1283">
        <v>21842.57</v>
      </c>
    </row>
    <row r="1284" spans="1:7" x14ac:dyDescent="0.35">
      <c r="A1284" s="1">
        <v>42058</v>
      </c>
      <c r="B1284">
        <v>3519.58</v>
      </c>
      <c r="C1284">
        <v>4862.3</v>
      </c>
      <c r="D1284">
        <v>11130.92</v>
      </c>
      <c r="E1284">
        <v>9425.8390799999997</v>
      </c>
      <c r="F1284">
        <v>10990.1</v>
      </c>
      <c r="G1284">
        <v>21964.29</v>
      </c>
    </row>
    <row r="1285" spans="1:7" x14ac:dyDescent="0.35">
      <c r="A1285" s="1">
        <v>42059</v>
      </c>
      <c r="B1285">
        <v>3547.1</v>
      </c>
      <c r="C1285">
        <v>4886.4399999999996</v>
      </c>
      <c r="D1285">
        <v>11205.74</v>
      </c>
      <c r="E1285">
        <v>9477.8828300000005</v>
      </c>
      <c r="F1285">
        <v>11064.5</v>
      </c>
      <c r="G1285">
        <v>22149.75</v>
      </c>
    </row>
    <row r="1286" spans="1:7" x14ac:dyDescent="0.35">
      <c r="A1286" s="1">
        <v>42060</v>
      </c>
      <c r="B1286">
        <v>3541.78</v>
      </c>
      <c r="C1286">
        <v>4882.22</v>
      </c>
      <c r="D1286">
        <v>11210.27</v>
      </c>
      <c r="E1286">
        <v>9465.8812300000009</v>
      </c>
      <c r="F1286">
        <v>11049.5</v>
      </c>
      <c r="G1286">
        <v>21937.24</v>
      </c>
    </row>
    <row r="1287" spans="1:7" x14ac:dyDescent="0.35">
      <c r="A1287" s="1">
        <v>42061</v>
      </c>
      <c r="B1287">
        <v>3574.94</v>
      </c>
      <c r="C1287">
        <v>4910.62</v>
      </c>
      <c r="D1287">
        <v>11327.19</v>
      </c>
      <c r="E1287">
        <v>9565.1129799999999</v>
      </c>
      <c r="F1287">
        <v>11139.5</v>
      </c>
      <c r="G1287">
        <v>22165.13</v>
      </c>
    </row>
    <row r="1288" spans="1:7" x14ac:dyDescent="0.35">
      <c r="A1288" s="1">
        <v>42062</v>
      </c>
      <c r="B1288">
        <v>3599</v>
      </c>
      <c r="C1288">
        <v>4951.4799999999996</v>
      </c>
      <c r="D1288">
        <v>11401.66</v>
      </c>
      <c r="E1288">
        <v>9580.7441199999994</v>
      </c>
      <c r="F1288">
        <v>11178.3</v>
      </c>
      <c r="G1288">
        <v>22337.79</v>
      </c>
    </row>
    <row r="1289" spans="1:7" x14ac:dyDescent="0.35">
      <c r="A1289" s="1">
        <v>42065</v>
      </c>
      <c r="B1289">
        <v>3591.09</v>
      </c>
      <c r="C1289">
        <v>4917.32</v>
      </c>
      <c r="D1289">
        <v>11410.36</v>
      </c>
      <c r="E1289">
        <v>9536.7051100000008</v>
      </c>
      <c r="F1289">
        <v>11178.5</v>
      </c>
      <c r="G1289">
        <v>22297.599999999999</v>
      </c>
    </row>
    <row r="1290" spans="1:7" x14ac:dyDescent="0.35">
      <c r="A1290" s="1">
        <v>42066</v>
      </c>
      <c r="B1290">
        <v>3549.11</v>
      </c>
      <c r="C1290">
        <v>4869.25</v>
      </c>
      <c r="D1290">
        <v>11280.36</v>
      </c>
      <c r="E1290">
        <v>9460.6372300000003</v>
      </c>
      <c r="F1290">
        <v>11014.7</v>
      </c>
      <c r="G1290">
        <v>21987.18</v>
      </c>
    </row>
    <row r="1291" spans="1:7" x14ac:dyDescent="0.35">
      <c r="A1291" s="1">
        <v>42067</v>
      </c>
      <c r="B1291">
        <v>3583.44</v>
      </c>
      <c r="C1291">
        <v>4917.3500000000004</v>
      </c>
      <c r="D1291">
        <v>11390.38</v>
      </c>
      <c r="E1291">
        <v>9537.4659200000006</v>
      </c>
      <c r="F1291">
        <v>11051.3</v>
      </c>
      <c r="G1291">
        <v>22131.08</v>
      </c>
    </row>
    <row r="1292" spans="1:7" x14ac:dyDescent="0.35">
      <c r="A1292" s="1">
        <v>42068</v>
      </c>
      <c r="B1292">
        <v>3618.21</v>
      </c>
      <c r="C1292">
        <v>4963.51</v>
      </c>
      <c r="D1292">
        <v>11504.01</v>
      </c>
      <c r="E1292">
        <v>9621.8789099999995</v>
      </c>
      <c r="F1292">
        <v>11124.4</v>
      </c>
      <c r="G1292">
        <v>22400.080000000002</v>
      </c>
    </row>
    <row r="1293" spans="1:7" x14ac:dyDescent="0.35">
      <c r="A1293" s="1">
        <v>42069</v>
      </c>
      <c r="B1293">
        <v>3617.62</v>
      </c>
      <c r="C1293">
        <v>4964.3500000000004</v>
      </c>
      <c r="D1293">
        <v>11550.97</v>
      </c>
      <c r="E1293">
        <v>9587.7667799999999</v>
      </c>
      <c r="F1293">
        <v>11091.9</v>
      </c>
      <c r="G1293">
        <v>22436.13</v>
      </c>
    </row>
    <row r="1294" spans="1:7" x14ac:dyDescent="0.35">
      <c r="A1294" s="1">
        <v>42072</v>
      </c>
      <c r="B1294">
        <v>3610.28</v>
      </c>
      <c r="C1294">
        <v>4937.2</v>
      </c>
      <c r="D1294">
        <v>11582.11</v>
      </c>
      <c r="E1294">
        <v>9573.8698299999996</v>
      </c>
      <c r="F1294">
        <v>11054.2</v>
      </c>
      <c r="G1294">
        <v>22564.35</v>
      </c>
    </row>
    <row r="1295" spans="1:7" x14ac:dyDescent="0.35">
      <c r="A1295" s="1">
        <v>42073</v>
      </c>
      <c r="B1295">
        <v>3567.25</v>
      </c>
      <c r="C1295">
        <v>4881.95</v>
      </c>
      <c r="D1295">
        <v>11500.38</v>
      </c>
      <c r="E1295">
        <v>9440.5052199999991</v>
      </c>
      <c r="F1295">
        <v>10902.2</v>
      </c>
      <c r="G1295">
        <v>22345.77</v>
      </c>
    </row>
    <row r="1296" spans="1:7" x14ac:dyDescent="0.35">
      <c r="A1296" s="1">
        <v>42074</v>
      </c>
      <c r="B1296">
        <v>3649.54</v>
      </c>
      <c r="C1296">
        <v>4997.75</v>
      </c>
      <c r="D1296">
        <v>11805.99</v>
      </c>
      <c r="E1296">
        <v>9517.4590399999997</v>
      </c>
      <c r="F1296">
        <v>11021.8</v>
      </c>
      <c r="G1296">
        <v>22833.040000000001</v>
      </c>
    </row>
    <row r="1297" spans="1:7" x14ac:dyDescent="0.35">
      <c r="A1297" s="1">
        <v>42075</v>
      </c>
      <c r="B1297">
        <v>3641.32</v>
      </c>
      <c r="C1297">
        <v>4987.33</v>
      </c>
      <c r="D1297">
        <v>11799.39</v>
      </c>
      <c r="E1297">
        <v>9470.8512800000008</v>
      </c>
      <c r="F1297">
        <v>11011.8</v>
      </c>
      <c r="G1297">
        <v>22809.01</v>
      </c>
    </row>
    <row r="1298" spans="1:7" x14ac:dyDescent="0.35">
      <c r="A1298" s="1">
        <v>42076</v>
      </c>
      <c r="B1298">
        <v>3656.21</v>
      </c>
      <c r="C1298">
        <v>5010.46</v>
      </c>
      <c r="D1298">
        <v>11901.61</v>
      </c>
      <c r="E1298">
        <v>9461.3535699999993</v>
      </c>
      <c r="F1298">
        <v>11033.8</v>
      </c>
      <c r="G1298">
        <v>22713.59</v>
      </c>
    </row>
    <row r="1299" spans="1:7" x14ac:dyDescent="0.35">
      <c r="A1299" s="1">
        <v>42079</v>
      </c>
      <c r="B1299">
        <v>3706.75</v>
      </c>
      <c r="C1299">
        <v>5061.16</v>
      </c>
      <c r="D1299">
        <v>12167.72</v>
      </c>
      <c r="E1299">
        <v>9533.4220100000002</v>
      </c>
      <c r="F1299">
        <v>11114.7</v>
      </c>
      <c r="G1299">
        <v>22930.92</v>
      </c>
    </row>
    <row r="1300" spans="1:7" x14ac:dyDescent="0.35">
      <c r="A1300" s="1">
        <v>42080</v>
      </c>
      <c r="B1300">
        <v>3672.16</v>
      </c>
      <c r="C1300">
        <v>5028.93</v>
      </c>
      <c r="D1300">
        <v>11980.85</v>
      </c>
      <c r="E1300">
        <v>9521.6704000000009</v>
      </c>
      <c r="F1300">
        <v>11028.1</v>
      </c>
      <c r="G1300">
        <v>22723.06</v>
      </c>
    </row>
    <row r="1301" spans="1:7" x14ac:dyDescent="0.35">
      <c r="A1301" s="1">
        <v>42081</v>
      </c>
      <c r="B1301">
        <v>3668.52</v>
      </c>
      <c r="C1301">
        <v>5033.42</v>
      </c>
      <c r="D1301">
        <v>11922.77</v>
      </c>
      <c r="E1301">
        <v>9608.4068000000007</v>
      </c>
      <c r="F1301">
        <v>11050</v>
      </c>
      <c r="G1301">
        <v>22565.19</v>
      </c>
    </row>
    <row r="1302" spans="1:7" x14ac:dyDescent="0.35">
      <c r="A1302" s="1">
        <v>42082</v>
      </c>
      <c r="B1302">
        <v>3670.73</v>
      </c>
      <c r="C1302">
        <v>5037.18</v>
      </c>
      <c r="D1302">
        <v>11899.4</v>
      </c>
      <c r="E1302">
        <v>9637.9196100000008</v>
      </c>
      <c r="F1302">
        <v>11091</v>
      </c>
      <c r="G1302">
        <v>22805.17</v>
      </c>
    </row>
    <row r="1303" spans="1:7" x14ac:dyDescent="0.35">
      <c r="A1303" s="1">
        <v>42083</v>
      </c>
      <c r="B1303">
        <v>3726.07</v>
      </c>
      <c r="C1303">
        <v>5087.49</v>
      </c>
      <c r="D1303">
        <v>12039.37</v>
      </c>
      <c r="E1303">
        <v>9693.0966800000006</v>
      </c>
      <c r="F1303">
        <v>11419.6</v>
      </c>
      <c r="G1303">
        <v>23176.68</v>
      </c>
    </row>
    <row r="1304" spans="1:7" x14ac:dyDescent="0.35">
      <c r="A1304" s="1">
        <v>42086</v>
      </c>
      <c r="B1304">
        <v>3699.04</v>
      </c>
      <c r="C1304">
        <v>5054.5200000000004</v>
      </c>
      <c r="D1304">
        <v>11895.84</v>
      </c>
      <c r="E1304">
        <v>9618.5352600000006</v>
      </c>
      <c r="F1304">
        <v>11452.8</v>
      </c>
      <c r="G1304">
        <v>23057.119999999999</v>
      </c>
    </row>
    <row r="1305" spans="1:7" x14ac:dyDescent="0.35">
      <c r="A1305" s="1">
        <v>42087</v>
      </c>
      <c r="B1305">
        <v>3731.35</v>
      </c>
      <c r="C1305">
        <v>5088.28</v>
      </c>
      <c r="D1305">
        <v>12005.69</v>
      </c>
      <c r="E1305">
        <v>9555.6358199999995</v>
      </c>
      <c r="F1305">
        <v>11579.3</v>
      </c>
      <c r="G1305">
        <v>23333.200000000001</v>
      </c>
    </row>
    <row r="1306" spans="1:7" x14ac:dyDescent="0.35">
      <c r="A1306" s="1">
        <v>42088</v>
      </c>
      <c r="B1306">
        <v>3684.04</v>
      </c>
      <c r="C1306">
        <v>5020.99</v>
      </c>
      <c r="D1306">
        <v>11865.32</v>
      </c>
      <c r="E1306">
        <v>9484.8769799999991</v>
      </c>
      <c r="F1306">
        <v>11464.7</v>
      </c>
      <c r="G1306">
        <v>23145.1</v>
      </c>
    </row>
    <row r="1307" spans="1:7" x14ac:dyDescent="0.35">
      <c r="A1307" s="1">
        <v>42089</v>
      </c>
      <c r="B1307">
        <v>3669.79</v>
      </c>
      <c r="C1307">
        <v>5006.3500000000004</v>
      </c>
      <c r="D1307">
        <v>11843.68</v>
      </c>
      <c r="E1307">
        <v>9403.5879800000002</v>
      </c>
      <c r="F1307">
        <v>11453.8</v>
      </c>
      <c r="G1307">
        <v>22900.27</v>
      </c>
    </row>
    <row r="1308" spans="1:7" x14ac:dyDescent="0.35">
      <c r="A1308" s="1">
        <v>42090</v>
      </c>
      <c r="B1308">
        <v>3679.03</v>
      </c>
      <c r="C1308">
        <v>5034.0600000000004</v>
      </c>
      <c r="D1308">
        <v>11868.33</v>
      </c>
      <c r="E1308">
        <v>9356.3288900000007</v>
      </c>
      <c r="F1308">
        <v>11427.4</v>
      </c>
      <c r="G1308">
        <v>22984.23</v>
      </c>
    </row>
    <row r="1309" spans="1:7" x14ac:dyDescent="0.35">
      <c r="A1309" s="1">
        <v>42093</v>
      </c>
      <c r="B1309">
        <v>3727.8</v>
      </c>
      <c r="C1309">
        <v>5083.5200000000004</v>
      </c>
      <c r="D1309">
        <v>12086.01</v>
      </c>
      <c r="E1309">
        <v>9435.2720900000004</v>
      </c>
      <c r="F1309">
        <v>11529.1</v>
      </c>
      <c r="G1309">
        <v>23260.57</v>
      </c>
    </row>
    <row r="1310" spans="1:7" x14ac:dyDescent="0.35">
      <c r="A1310" s="1">
        <v>42094</v>
      </c>
      <c r="B1310">
        <v>3697.38</v>
      </c>
      <c r="C1310">
        <v>5033.6400000000003</v>
      </c>
      <c r="D1310">
        <v>11966.17</v>
      </c>
      <c r="E1310">
        <v>9371.0134899999994</v>
      </c>
      <c r="F1310">
        <v>11521.1</v>
      </c>
      <c r="G1310">
        <v>23157.119999999999</v>
      </c>
    </row>
    <row r="1311" spans="1:7" x14ac:dyDescent="0.35">
      <c r="A1311" s="1">
        <v>42095</v>
      </c>
      <c r="B1311">
        <v>3714.89</v>
      </c>
      <c r="C1311">
        <v>5062.22</v>
      </c>
      <c r="D1311">
        <v>12001.38</v>
      </c>
      <c r="E1311">
        <v>9367.1684100000002</v>
      </c>
      <c r="F1311">
        <v>11569.8</v>
      </c>
      <c r="G1311">
        <v>23358.99</v>
      </c>
    </row>
    <row r="1312" spans="1:7" x14ac:dyDescent="0.35">
      <c r="A1312" s="1">
        <v>42096</v>
      </c>
      <c r="B1312">
        <v>3715.27</v>
      </c>
      <c r="C1312">
        <v>5074.1400000000003</v>
      </c>
      <c r="D1312">
        <v>11967.39</v>
      </c>
      <c r="E1312">
        <v>9323.1507600000004</v>
      </c>
      <c r="F1312">
        <v>11634</v>
      </c>
      <c r="G1312">
        <v>23308.53</v>
      </c>
    </row>
    <row r="1313" spans="1:7" x14ac:dyDescent="0.35">
      <c r="A1313" s="1">
        <v>42101</v>
      </c>
      <c r="B1313">
        <v>3768.72</v>
      </c>
      <c r="C1313">
        <v>5151.1899999999996</v>
      </c>
      <c r="D1313">
        <v>12123.52</v>
      </c>
      <c r="E1313">
        <v>9529.3677800000005</v>
      </c>
      <c r="F1313">
        <v>11730.5</v>
      </c>
      <c r="G1313">
        <v>23706.34</v>
      </c>
    </row>
    <row r="1314" spans="1:7" x14ac:dyDescent="0.35">
      <c r="A1314" s="1">
        <v>42102</v>
      </c>
      <c r="B1314">
        <v>3742.63</v>
      </c>
      <c r="C1314">
        <v>5136.8599999999997</v>
      </c>
      <c r="D1314">
        <v>12035.86</v>
      </c>
      <c r="E1314">
        <v>9565.1488100000006</v>
      </c>
      <c r="F1314">
        <v>11655.5</v>
      </c>
      <c r="G1314">
        <v>23578.7</v>
      </c>
    </row>
    <row r="1315" spans="1:7" x14ac:dyDescent="0.35">
      <c r="A1315" s="1">
        <v>42103</v>
      </c>
      <c r="B1315">
        <v>3781.79</v>
      </c>
      <c r="C1315">
        <v>5208.95</v>
      </c>
      <c r="D1315">
        <v>12166.44</v>
      </c>
      <c r="E1315">
        <v>9689.1933100000006</v>
      </c>
      <c r="F1315">
        <v>11734.6</v>
      </c>
      <c r="G1315">
        <v>23803.9</v>
      </c>
    </row>
    <row r="1316" spans="1:7" x14ac:dyDescent="0.35">
      <c r="A1316" s="1">
        <v>42104</v>
      </c>
      <c r="B1316">
        <v>3816.76</v>
      </c>
      <c r="C1316">
        <v>5240.46</v>
      </c>
      <c r="D1316">
        <v>12374.73</v>
      </c>
      <c r="E1316">
        <v>9808.6753800000006</v>
      </c>
      <c r="F1316">
        <v>11749.3</v>
      </c>
      <c r="G1316">
        <v>23877.25</v>
      </c>
    </row>
    <row r="1317" spans="1:7" x14ac:dyDescent="0.35">
      <c r="A1317" s="1">
        <v>42107</v>
      </c>
      <c r="B1317">
        <v>3828.78</v>
      </c>
      <c r="C1317">
        <v>5254.12</v>
      </c>
      <c r="D1317">
        <v>12338.73</v>
      </c>
      <c r="E1317">
        <v>9792.0196899999992</v>
      </c>
      <c r="F1317">
        <v>11866.4</v>
      </c>
      <c r="G1317">
        <v>24008.91</v>
      </c>
    </row>
    <row r="1318" spans="1:7" x14ac:dyDescent="0.35">
      <c r="A1318" s="1">
        <v>42108</v>
      </c>
      <c r="B1318">
        <v>3784.53</v>
      </c>
      <c r="C1318">
        <v>5218.0600000000004</v>
      </c>
      <c r="D1318">
        <v>12227.6</v>
      </c>
      <c r="E1318">
        <v>9812.0361499999999</v>
      </c>
      <c r="F1318">
        <v>11704.7</v>
      </c>
      <c r="G1318">
        <v>23752.91</v>
      </c>
    </row>
    <row r="1319" spans="1:7" x14ac:dyDescent="0.35">
      <c r="A1319" s="1">
        <v>42109</v>
      </c>
      <c r="B1319">
        <v>3803.55</v>
      </c>
      <c r="C1319">
        <v>5254.35</v>
      </c>
      <c r="D1319">
        <v>12231.34</v>
      </c>
      <c r="E1319">
        <v>9888.9776500000007</v>
      </c>
      <c r="F1319">
        <v>11778.4</v>
      </c>
      <c r="G1319">
        <v>24030.54</v>
      </c>
    </row>
    <row r="1320" spans="1:7" x14ac:dyDescent="0.35">
      <c r="A1320" s="1">
        <v>42110</v>
      </c>
      <c r="B1320">
        <v>3751.72</v>
      </c>
      <c r="C1320">
        <v>5224.49</v>
      </c>
      <c r="D1320">
        <v>11998.86</v>
      </c>
      <c r="E1320">
        <v>9818.1709599999995</v>
      </c>
      <c r="F1320">
        <v>11611.7</v>
      </c>
      <c r="G1320">
        <v>23610.81</v>
      </c>
    </row>
    <row r="1321" spans="1:7" x14ac:dyDescent="0.35">
      <c r="A1321" s="1">
        <v>42111</v>
      </c>
      <c r="B1321">
        <v>3674.05</v>
      </c>
      <c r="C1321">
        <v>5143.26</v>
      </c>
      <c r="D1321">
        <v>11688.7</v>
      </c>
      <c r="E1321">
        <v>9694.1068300000006</v>
      </c>
      <c r="F1321">
        <v>11359.4</v>
      </c>
      <c r="G1321">
        <v>23044.080000000002</v>
      </c>
    </row>
    <row r="1322" spans="1:7" x14ac:dyDescent="0.35">
      <c r="A1322" s="1">
        <v>42114</v>
      </c>
      <c r="B1322">
        <v>3718.04</v>
      </c>
      <c r="C1322">
        <v>5187.59</v>
      </c>
      <c r="D1322">
        <v>11891.91</v>
      </c>
      <c r="E1322">
        <v>9780.0820500000009</v>
      </c>
      <c r="F1322">
        <v>11384.6</v>
      </c>
      <c r="G1322">
        <v>23332.98</v>
      </c>
    </row>
    <row r="1323" spans="1:7" x14ac:dyDescent="0.35">
      <c r="A1323" s="1">
        <v>42115</v>
      </c>
      <c r="B1323">
        <v>3719.38</v>
      </c>
      <c r="C1323">
        <v>5192.6400000000003</v>
      </c>
      <c r="D1323">
        <v>11939.58</v>
      </c>
      <c r="E1323">
        <v>9825.3145600000007</v>
      </c>
      <c r="F1323">
        <v>11422.3</v>
      </c>
      <c r="G1323">
        <v>23240.26</v>
      </c>
    </row>
    <row r="1324" spans="1:7" x14ac:dyDescent="0.35">
      <c r="A1324" s="1">
        <v>42116</v>
      </c>
      <c r="B1324">
        <v>3724.49</v>
      </c>
      <c r="C1324">
        <v>5211.09</v>
      </c>
      <c r="D1324">
        <v>11867.37</v>
      </c>
      <c r="E1324">
        <v>9844.6460200000001</v>
      </c>
      <c r="F1324">
        <v>11399.2</v>
      </c>
      <c r="G1324">
        <v>23315.4</v>
      </c>
    </row>
    <row r="1325" spans="1:7" x14ac:dyDescent="0.35">
      <c r="A1325" s="1">
        <v>42117</v>
      </c>
      <c r="B1325">
        <v>3697.88</v>
      </c>
      <c r="C1325">
        <v>5178.91</v>
      </c>
      <c r="D1325">
        <v>11723.58</v>
      </c>
      <c r="E1325">
        <v>9810.2317199999998</v>
      </c>
      <c r="F1325">
        <v>11425.8</v>
      </c>
      <c r="G1325">
        <v>23199.43</v>
      </c>
    </row>
    <row r="1326" spans="1:7" x14ac:dyDescent="0.35">
      <c r="A1326" s="1">
        <v>42118</v>
      </c>
      <c r="B1326">
        <v>3713.96</v>
      </c>
      <c r="C1326">
        <v>5201.45</v>
      </c>
      <c r="D1326">
        <v>11810.85</v>
      </c>
      <c r="E1326">
        <v>9879.9562800000003</v>
      </c>
      <c r="F1326">
        <v>11505.4</v>
      </c>
      <c r="G1326">
        <v>23427.35</v>
      </c>
    </row>
    <row r="1327" spans="1:7" x14ac:dyDescent="0.35">
      <c r="A1327" s="1">
        <v>42121</v>
      </c>
      <c r="B1327">
        <v>3771.45</v>
      </c>
      <c r="C1327">
        <v>5268.91</v>
      </c>
      <c r="D1327">
        <v>12039.16</v>
      </c>
      <c r="E1327">
        <v>9929.4191900000005</v>
      </c>
      <c r="F1327">
        <v>11640.2</v>
      </c>
      <c r="G1327">
        <v>23806.27</v>
      </c>
    </row>
    <row r="1328" spans="1:7" x14ac:dyDescent="0.35">
      <c r="A1328" s="1">
        <v>42122</v>
      </c>
      <c r="B1328">
        <v>3715.42</v>
      </c>
      <c r="C1328">
        <v>5173.38</v>
      </c>
      <c r="D1328">
        <v>11811.66</v>
      </c>
      <c r="E1328">
        <v>9816.7196199999998</v>
      </c>
      <c r="F1328">
        <v>11607.7</v>
      </c>
      <c r="G1328">
        <v>23532.09</v>
      </c>
    </row>
    <row r="1329" spans="1:7" x14ac:dyDescent="0.35">
      <c r="A1329" s="1">
        <v>42123</v>
      </c>
      <c r="B1329">
        <v>3617.11</v>
      </c>
      <c r="C1329">
        <v>5039.3900000000003</v>
      </c>
      <c r="D1329">
        <v>11432.72</v>
      </c>
      <c r="E1329">
        <v>9634.6599000000006</v>
      </c>
      <c r="F1329">
        <v>11378.9</v>
      </c>
      <c r="G1329">
        <v>22995.63</v>
      </c>
    </row>
    <row r="1330" spans="1:7" x14ac:dyDescent="0.35">
      <c r="A1330" s="1">
        <v>42124</v>
      </c>
      <c r="B1330">
        <v>3615.59</v>
      </c>
      <c r="C1330">
        <v>5046.49</v>
      </c>
      <c r="D1330">
        <v>11454.38</v>
      </c>
      <c r="E1330">
        <v>9517.9508100000003</v>
      </c>
      <c r="F1330">
        <v>11385</v>
      </c>
      <c r="G1330">
        <v>23045.52</v>
      </c>
    </row>
    <row r="1331" spans="1:7" x14ac:dyDescent="0.35">
      <c r="A1331" s="1">
        <v>42129</v>
      </c>
      <c r="B1331">
        <v>3546.56</v>
      </c>
      <c r="C1331">
        <v>4974.07</v>
      </c>
      <c r="D1331">
        <v>11327.68</v>
      </c>
      <c r="E1331">
        <v>9402.7317899999998</v>
      </c>
      <c r="F1331">
        <v>11115.6</v>
      </c>
      <c r="G1331">
        <v>22576.35</v>
      </c>
    </row>
    <row r="1332" spans="1:7" x14ac:dyDescent="0.35">
      <c r="A1332" s="1">
        <v>42130</v>
      </c>
      <c r="B1332">
        <v>3558.03</v>
      </c>
      <c r="C1332">
        <v>4981.59</v>
      </c>
      <c r="D1332">
        <v>11350.15</v>
      </c>
      <c r="E1332">
        <v>9327.4509999999991</v>
      </c>
      <c r="F1332">
        <v>11163.6</v>
      </c>
      <c r="G1332">
        <v>22659.85</v>
      </c>
    </row>
    <row r="1333" spans="1:7" x14ac:dyDescent="0.35">
      <c r="A1333" s="1">
        <v>42131</v>
      </c>
      <c r="B1333">
        <v>3556.21</v>
      </c>
      <c r="C1333">
        <v>4967.22</v>
      </c>
      <c r="D1333">
        <v>11407.97</v>
      </c>
      <c r="E1333">
        <v>9298.3299399999996</v>
      </c>
      <c r="F1333">
        <v>11180.3</v>
      </c>
      <c r="G1333">
        <v>22841.919999999998</v>
      </c>
    </row>
    <row r="1334" spans="1:7" x14ac:dyDescent="0.35">
      <c r="A1334" s="1">
        <v>42132</v>
      </c>
      <c r="B1334">
        <v>3649.48</v>
      </c>
      <c r="C1334">
        <v>5090.3900000000003</v>
      </c>
      <c r="D1334">
        <v>11709.73</v>
      </c>
      <c r="E1334">
        <v>9702.6440600000005</v>
      </c>
      <c r="F1334">
        <v>11424.7</v>
      </c>
      <c r="G1334">
        <v>23312.43</v>
      </c>
    </row>
    <row r="1335" spans="1:7" x14ac:dyDescent="0.35">
      <c r="A1335" s="1">
        <v>42135</v>
      </c>
      <c r="B1335">
        <v>3624.41</v>
      </c>
      <c r="C1335">
        <v>5027.87</v>
      </c>
      <c r="D1335">
        <v>11673.35</v>
      </c>
      <c r="E1335">
        <v>9817.0929099999994</v>
      </c>
      <c r="F1335">
        <v>11445.8</v>
      </c>
      <c r="G1335">
        <v>23321.86</v>
      </c>
    </row>
    <row r="1336" spans="1:7" x14ac:dyDescent="0.35">
      <c r="A1336" s="1">
        <v>42136</v>
      </c>
      <c r="B1336">
        <v>3573.1</v>
      </c>
      <c r="C1336">
        <v>4974.6499999999996</v>
      </c>
      <c r="D1336">
        <v>11472.41</v>
      </c>
      <c r="E1336">
        <v>9690.1659899999995</v>
      </c>
      <c r="F1336">
        <v>11322.6</v>
      </c>
      <c r="G1336">
        <v>23104.87</v>
      </c>
    </row>
    <row r="1337" spans="1:7" x14ac:dyDescent="0.35">
      <c r="A1337" s="1">
        <v>42137</v>
      </c>
      <c r="B1337">
        <v>3553.42</v>
      </c>
      <c r="C1337">
        <v>4961.8599999999997</v>
      </c>
      <c r="D1337">
        <v>11351.46</v>
      </c>
      <c r="E1337">
        <v>9622.8937100000003</v>
      </c>
      <c r="F1337">
        <v>11324.6</v>
      </c>
      <c r="G1337">
        <v>23210.97</v>
      </c>
    </row>
    <row r="1338" spans="1:7" x14ac:dyDescent="0.35">
      <c r="A1338" s="1">
        <v>42138</v>
      </c>
      <c r="B1338">
        <v>3602.22</v>
      </c>
      <c r="C1338">
        <v>5029.3100000000004</v>
      </c>
      <c r="D1338">
        <v>11559.82</v>
      </c>
      <c r="E1338">
        <v>9656.4868900000001</v>
      </c>
      <c r="F1338">
        <v>11398.7</v>
      </c>
      <c r="G1338">
        <v>23548.59</v>
      </c>
    </row>
    <row r="1339" spans="1:7" x14ac:dyDescent="0.35">
      <c r="A1339" s="1">
        <v>42139</v>
      </c>
      <c r="B1339">
        <v>3573.07</v>
      </c>
      <c r="C1339">
        <v>4993.82</v>
      </c>
      <c r="D1339">
        <v>11447.03</v>
      </c>
      <c r="E1339">
        <v>9596.8547400000007</v>
      </c>
      <c r="F1339">
        <v>11317.3</v>
      </c>
      <c r="G1339">
        <v>23473.46</v>
      </c>
    </row>
    <row r="1340" spans="1:7" x14ac:dyDescent="0.35">
      <c r="A1340" s="1">
        <v>42142</v>
      </c>
      <c r="B1340">
        <v>3589.22</v>
      </c>
      <c r="C1340">
        <v>5012.3100000000004</v>
      </c>
      <c r="D1340">
        <v>11594.28</v>
      </c>
      <c r="E1340">
        <v>9622.3327900000004</v>
      </c>
      <c r="F1340">
        <v>11345</v>
      </c>
      <c r="G1340">
        <v>23198.1</v>
      </c>
    </row>
    <row r="1341" spans="1:7" x14ac:dyDescent="0.35">
      <c r="A1341" s="1">
        <v>42143</v>
      </c>
      <c r="B1341">
        <v>3670.52</v>
      </c>
      <c r="C1341">
        <v>5117.3</v>
      </c>
      <c r="D1341">
        <v>11853.33</v>
      </c>
      <c r="E1341">
        <v>9729.2572400000008</v>
      </c>
      <c r="F1341">
        <v>11497.7</v>
      </c>
      <c r="G1341">
        <v>23713.26</v>
      </c>
    </row>
    <row r="1342" spans="1:7" x14ac:dyDescent="0.35">
      <c r="A1342" s="1">
        <v>42144</v>
      </c>
      <c r="B1342">
        <v>3683.48</v>
      </c>
      <c r="C1342">
        <v>5133.3</v>
      </c>
      <c r="D1342">
        <v>11848.47</v>
      </c>
      <c r="E1342">
        <v>9817.6144999999997</v>
      </c>
      <c r="F1342">
        <v>11574.1</v>
      </c>
      <c r="G1342">
        <v>23772.61</v>
      </c>
    </row>
    <row r="1343" spans="1:7" x14ac:dyDescent="0.35">
      <c r="A1343" s="1">
        <v>42145</v>
      </c>
      <c r="B1343">
        <v>3688.72</v>
      </c>
      <c r="C1343">
        <v>5146.7</v>
      </c>
      <c r="D1343">
        <v>11864.59</v>
      </c>
      <c r="E1343">
        <v>9875.0564799999993</v>
      </c>
      <c r="F1343">
        <v>11595.4</v>
      </c>
      <c r="G1343">
        <v>23739.69</v>
      </c>
    </row>
    <row r="1344" spans="1:7" x14ac:dyDescent="0.35">
      <c r="A1344" s="1">
        <v>42146</v>
      </c>
      <c r="B1344">
        <v>3679.14</v>
      </c>
      <c r="C1344">
        <v>5142.8900000000003</v>
      </c>
      <c r="D1344">
        <v>11815.01</v>
      </c>
      <c r="E1344">
        <v>9865.8166399999991</v>
      </c>
      <c r="F1344">
        <v>11554.2</v>
      </c>
      <c r="G1344">
        <v>23781.78</v>
      </c>
    </row>
    <row r="1345" spans="1:7" x14ac:dyDescent="0.35">
      <c r="A1345" s="1">
        <v>42150</v>
      </c>
      <c r="B1345">
        <v>3619.3</v>
      </c>
      <c r="C1345">
        <v>5083.54</v>
      </c>
      <c r="D1345">
        <v>11625.13</v>
      </c>
      <c r="E1345">
        <v>9822.7620100000004</v>
      </c>
      <c r="F1345">
        <v>11240.3</v>
      </c>
      <c r="G1345">
        <v>23326.95</v>
      </c>
    </row>
    <row r="1346" spans="1:7" x14ac:dyDescent="0.35">
      <c r="A1346" s="1">
        <v>42151</v>
      </c>
      <c r="B1346">
        <v>3682.87</v>
      </c>
      <c r="C1346">
        <v>5182.53</v>
      </c>
      <c r="D1346">
        <v>11771.13</v>
      </c>
      <c r="E1346">
        <v>9904.3143700000001</v>
      </c>
      <c r="F1346">
        <v>11431.1</v>
      </c>
      <c r="G1346">
        <v>23861.07</v>
      </c>
    </row>
    <row r="1347" spans="1:7" x14ac:dyDescent="0.35">
      <c r="A1347" s="1">
        <v>42152</v>
      </c>
      <c r="B1347">
        <v>3650.71</v>
      </c>
      <c r="C1347">
        <v>5137.83</v>
      </c>
      <c r="D1347">
        <v>11677.57</v>
      </c>
      <c r="E1347">
        <v>9857.2880000000005</v>
      </c>
      <c r="F1347">
        <v>11382.8</v>
      </c>
      <c r="G1347">
        <v>23744.13</v>
      </c>
    </row>
    <row r="1348" spans="1:7" x14ac:dyDescent="0.35">
      <c r="A1348" s="1">
        <v>42153</v>
      </c>
      <c r="B1348">
        <v>3570.78</v>
      </c>
      <c r="C1348">
        <v>5007.8900000000003</v>
      </c>
      <c r="D1348">
        <v>11413.82</v>
      </c>
      <c r="E1348">
        <v>9720.1522399999994</v>
      </c>
      <c r="F1348">
        <v>11217.6</v>
      </c>
      <c r="G1348">
        <v>23495.68</v>
      </c>
    </row>
    <row r="1349" spans="1:7" x14ac:dyDescent="0.35">
      <c r="A1349" s="1">
        <v>42156</v>
      </c>
      <c r="B1349">
        <v>3575.04</v>
      </c>
      <c r="C1349">
        <v>5025.3</v>
      </c>
      <c r="D1349">
        <v>11436.05</v>
      </c>
      <c r="E1349">
        <v>9671.5834300000006</v>
      </c>
      <c r="F1349">
        <v>11238.1</v>
      </c>
      <c r="G1349">
        <v>23435.67</v>
      </c>
    </row>
    <row r="1350" spans="1:7" x14ac:dyDescent="0.35">
      <c r="A1350" s="1">
        <v>42157</v>
      </c>
      <c r="B1350">
        <v>3561.89</v>
      </c>
      <c r="C1350">
        <v>5004.46</v>
      </c>
      <c r="D1350">
        <v>11328.8</v>
      </c>
      <c r="E1350">
        <v>9522.8838699999997</v>
      </c>
      <c r="F1350">
        <v>11271.4</v>
      </c>
      <c r="G1350">
        <v>23576.16</v>
      </c>
    </row>
    <row r="1351" spans="1:7" x14ac:dyDescent="0.35">
      <c r="A1351" s="1">
        <v>42158</v>
      </c>
      <c r="B1351">
        <v>3583.82</v>
      </c>
      <c r="C1351">
        <v>5034.17</v>
      </c>
      <c r="D1351">
        <v>11419.62</v>
      </c>
      <c r="E1351">
        <v>9466.3350800000007</v>
      </c>
      <c r="F1351">
        <v>11267.6</v>
      </c>
      <c r="G1351">
        <v>23608.83</v>
      </c>
    </row>
    <row r="1352" spans="1:7" x14ac:dyDescent="0.35">
      <c r="A1352" s="1">
        <v>42159</v>
      </c>
      <c r="B1352">
        <v>3556.38</v>
      </c>
      <c r="C1352">
        <v>4987.13</v>
      </c>
      <c r="D1352">
        <v>11340.6</v>
      </c>
      <c r="E1352">
        <v>9346.9905799999997</v>
      </c>
      <c r="F1352">
        <v>11146.1</v>
      </c>
      <c r="G1352">
        <v>23336.5</v>
      </c>
    </row>
    <row r="1353" spans="1:7" x14ac:dyDescent="0.35">
      <c r="A1353" s="1">
        <v>42160</v>
      </c>
      <c r="B1353">
        <v>3510.01</v>
      </c>
      <c r="C1353">
        <v>4920.74</v>
      </c>
      <c r="D1353">
        <v>11197.15</v>
      </c>
      <c r="E1353">
        <v>9341.4938299999994</v>
      </c>
      <c r="F1353">
        <v>11062</v>
      </c>
      <c r="G1353">
        <v>22847.34</v>
      </c>
    </row>
    <row r="1354" spans="1:7" x14ac:dyDescent="0.35">
      <c r="A1354" s="1">
        <v>42163</v>
      </c>
      <c r="B1354">
        <v>3468.31</v>
      </c>
      <c r="C1354">
        <v>4857.66</v>
      </c>
      <c r="D1354">
        <v>11064.92</v>
      </c>
      <c r="E1354">
        <v>9252.6611099999991</v>
      </c>
      <c r="F1354">
        <v>10917.3</v>
      </c>
      <c r="G1354">
        <v>22642.29</v>
      </c>
    </row>
    <row r="1355" spans="1:7" x14ac:dyDescent="0.35">
      <c r="A1355" s="1">
        <v>42164</v>
      </c>
      <c r="B1355">
        <v>3456.79</v>
      </c>
      <c r="C1355">
        <v>4850.22</v>
      </c>
      <c r="D1355">
        <v>11001.29</v>
      </c>
      <c r="E1355">
        <v>9210.8168600000008</v>
      </c>
      <c r="F1355">
        <v>10938.1</v>
      </c>
      <c r="G1355">
        <v>22527.46</v>
      </c>
    </row>
    <row r="1356" spans="1:7" x14ac:dyDescent="0.35">
      <c r="A1356" s="1">
        <v>42165</v>
      </c>
      <c r="B1356">
        <v>3526.48</v>
      </c>
      <c r="C1356">
        <v>4934.91</v>
      </c>
      <c r="D1356">
        <v>11265.39</v>
      </c>
      <c r="E1356">
        <v>9369.8688000000002</v>
      </c>
      <c r="F1356">
        <v>11097.5</v>
      </c>
      <c r="G1356">
        <v>23091.49</v>
      </c>
    </row>
    <row r="1357" spans="1:7" x14ac:dyDescent="0.35">
      <c r="A1357" s="1">
        <v>42166</v>
      </c>
      <c r="B1357">
        <v>3551.91</v>
      </c>
      <c r="C1357">
        <v>4971.37</v>
      </c>
      <c r="D1357">
        <v>11332.78</v>
      </c>
      <c r="E1357">
        <v>9438.0239799999999</v>
      </c>
      <c r="F1357">
        <v>11156.7</v>
      </c>
      <c r="G1357">
        <v>23172.34</v>
      </c>
    </row>
    <row r="1358" spans="1:7" x14ac:dyDescent="0.35">
      <c r="A1358" s="1">
        <v>42167</v>
      </c>
      <c r="B1358">
        <v>3502.77</v>
      </c>
      <c r="C1358">
        <v>4901.1899999999996</v>
      </c>
      <c r="D1358">
        <v>11196.49</v>
      </c>
      <c r="E1358">
        <v>9361.3119200000001</v>
      </c>
      <c r="F1358">
        <v>11030.5</v>
      </c>
      <c r="G1358">
        <v>22877.81</v>
      </c>
    </row>
    <row r="1359" spans="1:7" x14ac:dyDescent="0.35">
      <c r="A1359" s="1">
        <v>42170</v>
      </c>
      <c r="B1359">
        <v>3438.07</v>
      </c>
      <c r="C1359">
        <v>4815.3599999999997</v>
      </c>
      <c r="D1359">
        <v>10984.97</v>
      </c>
      <c r="E1359">
        <v>9268.1548199999997</v>
      </c>
      <c r="F1359">
        <v>10842.1</v>
      </c>
      <c r="G1359">
        <v>22328.03</v>
      </c>
    </row>
    <row r="1360" spans="1:7" x14ac:dyDescent="0.35">
      <c r="A1360" s="1">
        <v>42171</v>
      </c>
      <c r="B1360">
        <v>3454.09</v>
      </c>
      <c r="C1360">
        <v>4839.8599999999997</v>
      </c>
      <c r="D1360">
        <v>11044.01</v>
      </c>
      <c r="E1360">
        <v>9332.1840900000007</v>
      </c>
      <c r="F1360">
        <v>10871.4</v>
      </c>
      <c r="G1360">
        <v>22383.48</v>
      </c>
    </row>
    <row r="1361" spans="1:7" x14ac:dyDescent="0.35">
      <c r="A1361" s="1">
        <v>42172</v>
      </c>
      <c r="B1361">
        <v>3428.76</v>
      </c>
      <c r="C1361">
        <v>4790.62</v>
      </c>
      <c r="D1361">
        <v>10978.01</v>
      </c>
      <c r="E1361">
        <v>9322.5251700000008</v>
      </c>
      <c r="F1361">
        <v>10813.4</v>
      </c>
      <c r="G1361">
        <v>22225.06</v>
      </c>
    </row>
    <row r="1362" spans="1:7" x14ac:dyDescent="0.35">
      <c r="A1362" s="1">
        <v>42173</v>
      </c>
      <c r="B1362">
        <v>3450.45</v>
      </c>
      <c r="C1362">
        <v>4803.4799999999996</v>
      </c>
      <c r="D1362">
        <v>11100.3</v>
      </c>
      <c r="E1362">
        <v>9358.8313500000004</v>
      </c>
      <c r="F1362">
        <v>10871.9</v>
      </c>
      <c r="G1362">
        <v>22460.02</v>
      </c>
    </row>
    <row r="1363" spans="1:7" x14ac:dyDescent="0.35">
      <c r="A1363" s="1">
        <v>42174</v>
      </c>
      <c r="B1363">
        <v>3455.8</v>
      </c>
      <c r="C1363">
        <v>4815.37</v>
      </c>
      <c r="D1363">
        <v>11040.1</v>
      </c>
      <c r="E1363">
        <v>9390.6068099999993</v>
      </c>
      <c r="F1363">
        <v>10944.3</v>
      </c>
      <c r="G1363">
        <v>22699.37</v>
      </c>
    </row>
    <row r="1364" spans="1:7" x14ac:dyDescent="0.35">
      <c r="A1364" s="1">
        <v>42177</v>
      </c>
      <c r="B1364">
        <v>3596.07</v>
      </c>
      <c r="C1364">
        <v>4998.6099999999997</v>
      </c>
      <c r="D1364">
        <v>11460.5</v>
      </c>
      <c r="E1364">
        <v>9508.1270800000002</v>
      </c>
      <c r="F1364">
        <v>11368.2</v>
      </c>
      <c r="G1364">
        <v>23485.95</v>
      </c>
    </row>
    <row r="1365" spans="1:7" x14ac:dyDescent="0.35">
      <c r="A1365" s="1">
        <v>42178</v>
      </c>
      <c r="B1365">
        <v>3625.97</v>
      </c>
      <c r="C1365">
        <v>5057.68</v>
      </c>
      <c r="D1365">
        <v>11542.54</v>
      </c>
      <c r="E1365">
        <v>9616.4106699999993</v>
      </c>
      <c r="F1365">
        <v>11402.5</v>
      </c>
      <c r="G1365">
        <v>23567.25</v>
      </c>
    </row>
    <row r="1366" spans="1:7" x14ac:dyDescent="0.35">
      <c r="A1366" s="1">
        <v>42179</v>
      </c>
      <c r="B1366">
        <v>3610.95</v>
      </c>
      <c r="C1366">
        <v>5045.3500000000004</v>
      </c>
      <c r="D1366">
        <v>11471.26</v>
      </c>
      <c r="E1366">
        <v>9598.0190600000005</v>
      </c>
      <c r="F1366">
        <v>11321.9</v>
      </c>
      <c r="G1366">
        <v>23443.07</v>
      </c>
    </row>
    <row r="1367" spans="1:7" x14ac:dyDescent="0.35">
      <c r="A1367" s="1">
        <v>42180</v>
      </c>
      <c r="B1367">
        <v>3610.91</v>
      </c>
      <c r="C1367">
        <v>5041.71</v>
      </c>
      <c r="D1367">
        <v>11473.13</v>
      </c>
      <c r="E1367">
        <v>9560.4732600000007</v>
      </c>
      <c r="F1367">
        <v>11308.4</v>
      </c>
      <c r="G1367">
        <v>23642.62</v>
      </c>
    </row>
    <row r="1368" spans="1:7" x14ac:dyDescent="0.35">
      <c r="A1368" s="1">
        <v>42181</v>
      </c>
      <c r="B1368">
        <v>3621.37</v>
      </c>
      <c r="C1368">
        <v>5059.17</v>
      </c>
      <c r="D1368">
        <v>11492.43</v>
      </c>
      <c r="E1368">
        <v>9525.7681499999999</v>
      </c>
      <c r="F1368">
        <v>11372.3</v>
      </c>
      <c r="G1368">
        <v>23800.47</v>
      </c>
    </row>
    <row r="1369" spans="1:7" x14ac:dyDescent="0.35">
      <c r="A1369" s="1">
        <v>42184</v>
      </c>
      <c r="B1369">
        <v>3468.9</v>
      </c>
      <c r="C1369">
        <v>4869.82</v>
      </c>
      <c r="D1369">
        <v>11083.2</v>
      </c>
      <c r="E1369">
        <v>9291.9328299999997</v>
      </c>
      <c r="F1369">
        <v>10853.9</v>
      </c>
      <c r="G1369">
        <v>22569.95</v>
      </c>
    </row>
    <row r="1370" spans="1:7" x14ac:dyDescent="0.35">
      <c r="A1370" s="1">
        <v>42185</v>
      </c>
      <c r="B1370">
        <v>3424.3</v>
      </c>
      <c r="C1370">
        <v>4790.2</v>
      </c>
      <c r="D1370">
        <v>10944.97</v>
      </c>
      <c r="E1370">
        <v>9194.1549799999993</v>
      </c>
      <c r="F1370">
        <v>10769.5</v>
      </c>
      <c r="G1370">
        <v>22460.71</v>
      </c>
    </row>
    <row r="1371" spans="1:7" x14ac:dyDescent="0.35">
      <c r="A1371" s="1">
        <v>42186</v>
      </c>
      <c r="B1371">
        <v>3496.28</v>
      </c>
      <c r="C1371">
        <v>4883.1899999999996</v>
      </c>
      <c r="D1371">
        <v>11180.5</v>
      </c>
      <c r="E1371">
        <v>9318.0164299999997</v>
      </c>
      <c r="F1371">
        <v>10911.5</v>
      </c>
      <c r="G1371">
        <v>22943.64</v>
      </c>
    </row>
    <row r="1372" spans="1:7" x14ac:dyDescent="0.35">
      <c r="A1372" s="1">
        <v>42187</v>
      </c>
      <c r="B1372">
        <v>3463.25</v>
      </c>
      <c r="C1372">
        <v>4835.5600000000004</v>
      </c>
      <c r="D1372">
        <v>11099.35</v>
      </c>
      <c r="E1372">
        <v>9327.2356</v>
      </c>
      <c r="F1372">
        <v>10846.4</v>
      </c>
      <c r="G1372">
        <v>22616.5</v>
      </c>
    </row>
    <row r="1373" spans="1:7" x14ac:dyDescent="0.35">
      <c r="A1373" s="1">
        <v>42188</v>
      </c>
      <c r="B1373">
        <v>3441.76</v>
      </c>
      <c r="C1373">
        <v>4808.22</v>
      </c>
      <c r="D1373">
        <v>11058.39</v>
      </c>
      <c r="E1373">
        <v>9267.7960800000001</v>
      </c>
      <c r="F1373">
        <v>10779.8</v>
      </c>
      <c r="G1373">
        <v>22508.13</v>
      </c>
    </row>
    <row r="1374" spans="1:7" x14ac:dyDescent="0.35">
      <c r="A1374" s="1">
        <v>42191</v>
      </c>
      <c r="B1374">
        <v>3365.2</v>
      </c>
      <c r="C1374">
        <v>4711.54</v>
      </c>
      <c r="D1374">
        <v>10890.63</v>
      </c>
      <c r="E1374">
        <v>9218.4069799999997</v>
      </c>
      <c r="F1374">
        <v>10540.1</v>
      </c>
      <c r="G1374">
        <v>21600.720000000001</v>
      </c>
    </row>
    <row r="1375" spans="1:7" x14ac:dyDescent="0.35">
      <c r="A1375" s="1">
        <v>42192</v>
      </c>
      <c r="B1375">
        <v>3294.19</v>
      </c>
      <c r="C1375">
        <v>4604.6400000000003</v>
      </c>
      <c r="D1375">
        <v>10676.78</v>
      </c>
      <c r="E1375">
        <v>9070.5979900000002</v>
      </c>
      <c r="F1375">
        <v>10346</v>
      </c>
      <c r="G1375">
        <v>20958.48</v>
      </c>
    </row>
    <row r="1376" spans="1:7" x14ac:dyDescent="0.35">
      <c r="A1376" s="1">
        <v>42193</v>
      </c>
      <c r="B1376">
        <v>3327.5</v>
      </c>
      <c r="C1376">
        <v>4639.0200000000004</v>
      </c>
      <c r="D1376">
        <v>10747.3</v>
      </c>
      <c r="E1376">
        <v>9007.6818600000006</v>
      </c>
      <c r="F1376">
        <v>10430.299999999999</v>
      </c>
      <c r="G1376">
        <v>21512.39</v>
      </c>
    </row>
    <row r="1377" spans="1:7" x14ac:dyDescent="0.35">
      <c r="A1377" s="1">
        <v>42194</v>
      </c>
      <c r="B1377">
        <v>3420.03</v>
      </c>
      <c r="C1377">
        <v>4757.22</v>
      </c>
      <c r="D1377">
        <v>10996.41</v>
      </c>
      <c r="E1377">
        <v>9183.6558600000008</v>
      </c>
      <c r="F1377">
        <v>10706.4</v>
      </c>
      <c r="G1377">
        <v>22268.51</v>
      </c>
    </row>
    <row r="1378" spans="1:7" x14ac:dyDescent="0.35">
      <c r="A1378" s="1">
        <v>42195</v>
      </c>
      <c r="B1378">
        <v>3528.81</v>
      </c>
      <c r="C1378">
        <v>4903.07</v>
      </c>
      <c r="D1378">
        <v>11315.63</v>
      </c>
      <c r="E1378">
        <v>9283.6076200000007</v>
      </c>
      <c r="F1378">
        <v>11036.1</v>
      </c>
      <c r="G1378">
        <v>22937.4</v>
      </c>
    </row>
    <row r="1379" spans="1:7" x14ac:dyDescent="0.35">
      <c r="A1379" s="1">
        <v>42198</v>
      </c>
      <c r="B1379">
        <v>3590.43</v>
      </c>
      <c r="C1379">
        <v>4998.1000000000004</v>
      </c>
      <c r="D1379">
        <v>11484.38</v>
      </c>
      <c r="E1379">
        <v>9482.4067200000009</v>
      </c>
      <c r="F1379">
        <v>11224.2</v>
      </c>
      <c r="G1379">
        <v>23167.040000000001</v>
      </c>
    </row>
    <row r="1380" spans="1:7" x14ac:dyDescent="0.35">
      <c r="A1380" s="1">
        <v>42199</v>
      </c>
      <c r="B1380">
        <v>3607.19</v>
      </c>
      <c r="C1380">
        <v>5032.47</v>
      </c>
      <c r="D1380">
        <v>11516.9</v>
      </c>
      <c r="E1380">
        <v>9560.1447499999995</v>
      </c>
      <c r="F1380">
        <v>11258.3</v>
      </c>
      <c r="G1380">
        <v>23097.51</v>
      </c>
    </row>
    <row r="1381" spans="1:7" x14ac:dyDescent="0.35">
      <c r="A1381" s="1">
        <v>42200</v>
      </c>
      <c r="B1381">
        <v>3623.87</v>
      </c>
      <c r="C1381">
        <v>5047.24</v>
      </c>
      <c r="D1381">
        <v>11539.66</v>
      </c>
      <c r="E1381">
        <v>9641.6922400000003</v>
      </c>
      <c r="F1381">
        <v>11335.7</v>
      </c>
      <c r="G1381">
        <v>23392.75</v>
      </c>
    </row>
    <row r="1382" spans="1:7" x14ac:dyDescent="0.35">
      <c r="A1382" s="1">
        <v>42201</v>
      </c>
      <c r="B1382">
        <v>3676.41</v>
      </c>
      <c r="C1382">
        <v>5121.5</v>
      </c>
      <c r="D1382">
        <v>11716.76</v>
      </c>
      <c r="E1382">
        <v>9753.49316</v>
      </c>
      <c r="F1382">
        <v>11510.6</v>
      </c>
      <c r="G1382">
        <v>23783.14</v>
      </c>
    </row>
    <row r="1383" spans="1:7" x14ac:dyDescent="0.35">
      <c r="A1383" s="1">
        <v>42202</v>
      </c>
      <c r="B1383">
        <v>3670.34</v>
      </c>
      <c r="C1383">
        <v>5124.3900000000003</v>
      </c>
      <c r="D1383">
        <v>11673.42</v>
      </c>
      <c r="E1383">
        <v>9751.6970799999999</v>
      </c>
      <c r="F1383">
        <v>11480.7</v>
      </c>
      <c r="G1383">
        <v>23765.41</v>
      </c>
    </row>
    <row r="1384" spans="1:7" x14ac:dyDescent="0.35">
      <c r="A1384" s="1">
        <v>42205</v>
      </c>
      <c r="B1384">
        <v>3686.58</v>
      </c>
      <c r="C1384">
        <v>5142.49</v>
      </c>
      <c r="D1384">
        <v>11735.72</v>
      </c>
      <c r="E1384">
        <v>9756.9024000000009</v>
      </c>
      <c r="F1384">
        <v>11556.1</v>
      </c>
      <c r="G1384">
        <v>24031.19</v>
      </c>
    </row>
    <row r="1385" spans="1:7" x14ac:dyDescent="0.35">
      <c r="A1385" s="1">
        <v>42206</v>
      </c>
      <c r="B1385">
        <v>3647.96</v>
      </c>
      <c r="C1385">
        <v>5106.57</v>
      </c>
      <c r="D1385">
        <v>11604.8</v>
      </c>
      <c r="E1385">
        <v>9615.0439600000009</v>
      </c>
      <c r="F1385">
        <v>11458.6</v>
      </c>
      <c r="G1385">
        <v>23712.9</v>
      </c>
    </row>
    <row r="1386" spans="1:7" x14ac:dyDescent="0.35">
      <c r="A1386" s="1">
        <v>42207</v>
      </c>
      <c r="B1386">
        <v>3635.58</v>
      </c>
      <c r="C1386">
        <v>5082.57</v>
      </c>
      <c r="D1386">
        <v>11520.67</v>
      </c>
      <c r="E1386">
        <v>9535.9534000000003</v>
      </c>
      <c r="F1386">
        <v>11484.3</v>
      </c>
      <c r="G1386">
        <v>23681.11</v>
      </c>
    </row>
    <row r="1387" spans="1:7" x14ac:dyDescent="0.35">
      <c r="A1387" s="1">
        <v>42208</v>
      </c>
      <c r="B1387">
        <v>3634.64</v>
      </c>
      <c r="C1387">
        <v>5086.74</v>
      </c>
      <c r="D1387">
        <v>11512.11</v>
      </c>
      <c r="E1387">
        <v>9391.3554199999999</v>
      </c>
      <c r="F1387">
        <v>11441.9</v>
      </c>
      <c r="G1387">
        <v>23633.05</v>
      </c>
    </row>
    <row r="1388" spans="1:7" x14ac:dyDescent="0.35">
      <c r="A1388" s="1">
        <v>42209</v>
      </c>
      <c r="B1388">
        <v>3600</v>
      </c>
      <c r="C1388">
        <v>5057.3599999999997</v>
      </c>
      <c r="D1388">
        <v>11347.45</v>
      </c>
      <c r="E1388">
        <v>9295.5249899999999</v>
      </c>
      <c r="F1388">
        <v>11309.3</v>
      </c>
      <c r="G1388">
        <v>23507.7</v>
      </c>
    </row>
    <row r="1389" spans="1:7" x14ac:dyDescent="0.35">
      <c r="A1389" s="1">
        <v>42212</v>
      </c>
      <c r="B1389">
        <v>3513.1</v>
      </c>
      <c r="C1389">
        <v>4927.6000000000004</v>
      </c>
      <c r="D1389">
        <v>11056.4</v>
      </c>
      <c r="E1389">
        <v>9113.5039099999995</v>
      </c>
      <c r="F1389">
        <v>11145.4</v>
      </c>
      <c r="G1389">
        <v>22809.3</v>
      </c>
    </row>
    <row r="1390" spans="1:7" x14ac:dyDescent="0.35">
      <c r="A1390" s="1">
        <v>42213</v>
      </c>
      <c r="B1390">
        <v>3554.11</v>
      </c>
      <c r="C1390">
        <v>4977.32</v>
      </c>
      <c r="D1390">
        <v>11173.91</v>
      </c>
      <c r="E1390">
        <v>9255.0015800000001</v>
      </c>
      <c r="F1390">
        <v>11252.4</v>
      </c>
      <c r="G1390">
        <v>23328.02</v>
      </c>
    </row>
    <row r="1391" spans="1:7" x14ac:dyDescent="0.35">
      <c r="A1391" s="1">
        <v>42214</v>
      </c>
      <c r="B1391">
        <v>3575.53</v>
      </c>
      <c r="C1391">
        <v>5017.4399999999996</v>
      </c>
      <c r="D1391">
        <v>11211.85</v>
      </c>
      <c r="E1391">
        <v>9387.3567700000003</v>
      </c>
      <c r="F1391">
        <v>11282.9</v>
      </c>
      <c r="G1391">
        <v>23248.9</v>
      </c>
    </row>
    <row r="1392" spans="1:7" x14ac:dyDescent="0.35">
      <c r="A1392" s="1">
        <v>42215</v>
      </c>
      <c r="B1392">
        <v>3583.79</v>
      </c>
      <c r="C1392">
        <v>5046.42</v>
      </c>
      <c r="D1392">
        <v>11257.15</v>
      </c>
      <c r="E1392">
        <v>9523.9016699999993</v>
      </c>
      <c r="F1392">
        <v>11168.6</v>
      </c>
      <c r="G1392">
        <v>23396.09</v>
      </c>
    </row>
    <row r="1393" spans="1:7" x14ac:dyDescent="0.35">
      <c r="A1393" s="1">
        <v>42216</v>
      </c>
      <c r="B1393">
        <v>3600.69</v>
      </c>
      <c r="C1393">
        <v>5082.6099999999997</v>
      </c>
      <c r="D1393">
        <v>11308.99</v>
      </c>
      <c r="E1393">
        <v>9509.1679499999991</v>
      </c>
      <c r="F1393">
        <v>11180.7</v>
      </c>
      <c r="G1393">
        <v>23538.03</v>
      </c>
    </row>
    <row r="1394" spans="1:7" x14ac:dyDescent="0.35">
      <c r="A1394" s="1">
        <v>42219</v>
      </c>
      <c r="B1394">
        <v>3635.4</v>
      </c>
      <c r="C1394">
        <v>5120.5200000000004</v>
      </c>
      <c r="D1394">
        <v>11443.72</v>
      </c>
      <c r="E1394">
        <v>9513.3277799999996</v>
      </c>
      <c r="F1394">
        <v>11265.9</v>
      </c>
      <c r="G1394">
        <v>23714.38</v>
      </c>
    </row>
    <row r="1395" spans="1:7" x14ac:dyDescent="0.35">
      <c r="A1395" s="1">
        <v>42220</v>
      </c>
      <c r="B1395">
        <v>3619.31</v>
      </c>
      <c r="C1395">
        <v>5112.1400000000003</v>
      </c>
      <c r="D1395">
        <v>11456.07</v>
      </c>
      <c r="E1395">
        <v>9533.9435400000002</v>
      </c>
      <c r="F1395">
        <v>11150.5</v>
      </c>
      <c r="G1395">
        <v>23473.25</v>
      </c>
    </row>
    <row r="1396" spans="1:7" x14ac:dyDescent="0.35">
      <c r="A1396" s="1">
        <v>42221</v>
      </c>
      <c r="B1396">
        <v>3676.75</v>
      </c>
      <c r="C1396">
        <v>5196.7299999999996</v>
      </c>
      <c r="D1396">
        <v>11636.3</v>
      </c>
      <c r="E1396">
        <v>9691.1025499999996</v>
      </c>
      <c r="F1396">
        <v>11279.5</v>
      </c>
      <c r="G1396">
        <v>23911.81</v>
      </c>
    </row>
    <row r="1397" spans="1:7" x14ac:dyDescent="0.35">
      <c r="A1397" s="1">
        <v>42222</v>
      </c>
      <c r="B1397">
        <v>3668.47</v>
      </c>
      <c r="C1397">
        <v>5192.1099999999997</v>
      </c>
      <c r="D1397">
        <v>11585.1</v>
      </c>
      <c r="E1397">
        <v>9592.9106599999996</v>
      </c>
      <c r="F1397">
        <v>11253.6</v>
      </c>
      <c r="G1397">
        <v>23811.09</v>
      </c>
    </row>
    <row r="1398" spans="1:7" x14ac:dyDescent="0.35">
      <c r="A1398" s="1">
        <v>42223</v>
      </c>
      <c r="B1398">
        <v>3637.8</v>
      </c>
      <c r="C1398">
        <v>5154.75</v>
      </c>
      <c r="D1398">
        <v>11490.83</v>
      </c>
      <c r="E1398">
        <v>9488.8938999999991</v>
      </c>
      <c r="F1398">
        <v>11178.2</v>
      </c>
      <c r="G1398">
        <v>23705</v>
      </c>
    </row>
    <row r="1399" spans="1:7" x14ac:dyDescent="0.35">
      <c r="A1399" s="1">
        <v>42226</v>
      </c>
      <c r="B1399">
        <v>3674.94</v>
      </c>
      <c r="C1399">
        <v>5195.41</v>
      </c>
      <c r="D1399">
        <v>11604.78</v>
      </c>
      <c r="E1399">
        <v>9528.4671999999991</v>
      </c>
      <c r="F1399">
        <v>11311.7</v>
      </c>
      <c r="G1399">
        <v>23966.44</v>
      </c>
    </row>
    <row r="1400" spans="1:7" x14ac:dyDescent="0.35">
      <c r="A1400" s="1">
        <v>42227</v>
      </c>
      <c r="B1400">
        <v>3605.28</v>
      </c>
      <c r="C1400">
        <v>5099.03</v>
      </c>
      <c r="D1400">
        <v>11293.65</v>
      </c>
      <c r="E1400">
        <v>9417.6923800000004</v>
      </c>
      <c r="F1400">
        <v>11152.3</v>
      </c>
      <c r="G1400">
        <v>23698.49</v>
      </c>
    </row>
    <row r="1401" spans="1:7" x14ac:dyDescent="0.35">
      <c r="A1401" s="1">
        <v>42228</v>
      </c>
      <c r="B1401">
        <v>3484.41</v>
      </c>
      <c r="C1401">
        <v>4925.43</v>
      </c>
      <c r="D1401">
        <v>10924.61</v>
      </c>
      <c r="E1401">
        <v>9200.2540300000001</v>
      </c>
      <c r="F1401">
        <v>10880.1</v>
      </c>
      <c r="G1401">
        <v>22997.55</v>
      </c>
    </row>
    <row r="1402" spans="1:7" x14ac:dyDescent="0.35">
      <c r="A1402" s="1">
        <v>42229</v>
      </c>
      <c r="B1402">
        <v>3516.15</v>
      </c>
      <c r="C1402">
        <v>4986.8500000000004</v>
      </c>
      <c r="D1402">
        <v>11014.63</v>
      </c>
      <c r="E1402">
        <v>9202.9739000000009</v>
      </c>
      <c r="F1402">
        <v>10947.9</v>
      </c>
      <c r="G1402">
        <v>23356.01</v>
      </c>
    </row>
    <row r="1403" spans="1:7" x14ac:dyDescent="0.35">
      <c r="A1403" s="1">
        <v>42230</v>
      </c>
      <c r="B1403">
        <v>3491.03</v>
      </c>
      <c r="C1403">
        <v>4956.47</v>
      </c>
      <c r="D1403">
        <v>10985.14</v>
      </c>
      <c r="E1403">
        <v>9203.0281200000009</v>
      </c>
      <c r="F1403">
        <v>10879.3</v>
      </c>
      <c r="G1403">
        <v>23248.52</v>
      </c>
    </row>
    <row r="1404" spans="1:7" x14ac:dyDescent="0.35">
      <c r="A1404" s="1">
        <v>42233</v>
      </c>
      <c r="B1404">
        <v>3497.9</v>
      </c>
      <c r="C1404">
        <v>4984.83</v>
      </c>
      <c r="D1404">
        <v>10940.33</v>
      </c>
      <c r="E1404">
        <v>9216.7728800000004</v>
      </c>
      <c r="F1404">
        <v>10900.3</v>
      </c>
      <c r="G1404">
        <v>23407.99</v>
      </c>
    </row>
    <row r="1405" spans="1:7" x14ac:dyDescent="0.35">
      <c r="A1405" s="1">
        <v>42234</v>
      </c>
      <c r="B1405">
        <v>3495.38</v>
      </c>
      <c r="C1405">
        <v>4971.25</v>
      </c>
      <c r="D1405">
        <v>10915.92</v>
      </c>
      <c r="E1405">
        <v>9260.8120199999994</v>
      </c>
      <c r="F1405">
        <v>10897.9</v>
      </c>
      <c r="G1405">
        <v>23389.72</v>
      </c>
    </row>
    <row r="1406" spans="1:7" x14ac:dyDescent="0.35">
      <c r="A1406" s="1">
        <v>42235</v>
      </c>
      <c r="B1406">
        <v>3429.84</v>
      </c>
      <c r="C1406">
        <v>4884.1000000000004</v>
      </c>
      <c r="D1406">
        <v>10682.15</v>
      </c>
      <c r="E1406">
        <v>9060.2621400000007</v>
      </c>
      <c r="F1406">
        <v>10782.4</v>
      </c>
      <c r="G1406">
        <v>22975.32</v>
      </c>
    </row>
    <row r="1407" spans="1:7" x14ac:dyDescent="0.35">
      <c r="A1407" s="1">
        <v>42236</v>
      </c>
      <c r="B1407">
        <v>3353.48</v>
      </c>
      <c r="C1407">
        <v>4783.55</v>
      </c>
      <c r="D1407">
        <v>10432.19</v>
      </c>
      <c r="E1407">
        <v>8919.8244799999993</v>
      </c>
      <c r="F1407">
        <v>10587</v>
      </c>
      <c r="G1407">
        <v>22378.65</v>
      </c>
    </row>
    <row r="1408" spans="1:7" x14ac:dyDescent="0.35">
      <c r="A1408" s="1">
        <v>42237</v>
      </c>
      <c r="B1408">
        <v>3247.26</v>
      </c>
      <c r="C1408">
        <v>4630.99</v>
      </c>
      <c r="D1408">
        <v>10124.52</v>
      </c>
      <c r="E1408">
        <v>8556.0789600000007</v>
      </c>
      <c r="F1408">
        <v>10271.700000000001</v>
      </c>
      <c r="G1408">
        <v>21746.17</v>
      </c>
    </row>
    <row r="1409" spans="1:7" x14ac:dyDescent="0.35">
      <c r="A1409" s="1">
        <v>42240</v>
      </c>
      <c r="B1409">
        <v>3073.39</v>
      </c>
      <c r="C1409">
        <v>4383.46</v>
      </c>
      <c r="D1409">
        <v>9648.43</v>
      </c>
      <c r="E1409">
        <v>8053.9606800000001</v>
      </c>
      <c r="F1409">
        <v>9756.6</v>
      </c>
      <c r="G1409">
        <v>20450.43</v>
      </c>
    </row>
    <row r="1410" spans="1:7" x14ac:dyDescent="0.35">
      <c r="A1410" s="1">
        <v>42241</v>
      </c>
      <c r="B1410">
        <v>3218.01</v>
      </c>
      <c r="C1410">
        <v>4564.8599999999997</v>
      </c>
      <c r="D1410">
        <v>10128.120000000001</v>
      </c>
      <c r="E1410">
        <v>8356.1859999999997</v>
      </c>
      <c r="F1410">
        <v>10115.4</v>
      </c>
      <c r="G1410">
        <v>21649.69</v>
      </c>
    </row>
    <row r="1411" spans="1:7" x14ac:dyDescent="0.35">
      <c r="A1411" s="1">
        <v>42242</v>
      </c>
      <c r="B1411">
        <v>3170.73</v>
      </c>
      <c r="C1411">
        <v>4501.05</v>
      </c>
      <c r="D1411">
        <v>9997.43</v>
      </c>
      <c r="E1411">
        <v>8133.4976200000001</v>
      </c>
      <c r="F1411">
        <v>9984.5</v>
      </c>
      <c r="G1411">
        <v>21473.81</v>
      </c>
    </row>
    <row r="1412" spans="1:7" x14ac:dyDescent="0.35">
      <c r="A1412" s="1">
        <v>42243</v>
      </c>
      <c r="B1412">
        <v>3280.78</v>
      </c>
      <c r="C1412">
        <v>4658.18</v>
      </c>
      <c r="D1412">
        <v>10315.620000000001</v>
      </c>
      <c r="E1412">
        <v>8490.6199899999992</v>
      </c>
      <c r="F1412">
        <v>10290.200000000001</v>
      </c>
      <c r="G1412">
        <v>22201.24</v>
      </c>
    </row>
    <row r="1413" spans="1:7" x14ac:dyDescent="0.35">
      <c r="A1413" s="1">
        <v>42244</v>
      </c>
      <c r="B1413">
        <v>3286.59</v>
      </c>
      <c r="C1413">
        <v>4675.13</v>
      </c>
      <c r="D1413">
        <v>10298.530000000001</v>
      </c>
      <c r="E1413">
        <v>8597.0626499999998</v>
      </c>
      <c r="F1413">
        <v>10352.9</v>
      </c>
      <c r="G1413">
        <v>21993.74</v>
      </c>
    </row>
    <row r="1414" spans="1:7" x14ac:dyDescent="0.35">
      <c r="A1414" s="1">
        <v>42248</v>
      </c>
      <c r="B1414">
        <v>3188.73</v>
      </c>
      <c r="C1414">
        <v>4541.16</v>
      </c>
      <c r="D1414">
        <v>10015.57</v>
      </c>
      <c r="E1414">
        <v>8235.0131099999999</v>
      </c>
      <c r="F1414">
        <v>9992.7999999999993</v>
      </c>
      <c r="G1414">
        <v>21451.37</v>
      </c>
    </row>
    <row r="1415" spans="1:7" x14ac:dyDescent="0.35">
      <c r="A1415" s="1">
        <v>42249</v>
      </c>
      <c r="B1415">
        <v>3198.86</v>
      </c>
      <c r="C1415">
        <v>4554.92</v>
      </c>
      <c r="D1415">
        <v>10048.049999999999</v>
      </c>
      <c r="E1415">
        <v>8289.7620000000006</v>
      </c>
      <c r="F1415">
        <v>9938.2999999999993</v>
      </c>
      <c r="G1415">
        <v>21612</v>
      </c>
    </row>
    <row r="1416" spans="1:7" x14ac:dyDescent="0.35">
      <c r="A1416" s="1">
        <v>42250</v>
      </c>
      <c r="B1416">
        <v>3270.09</v>
      </c>
      <c r="C1416">
        <v>4653.79</v>
      </c>
      <c r="D1416">
        <v>10317.84</v>
      </c>
      <c r="E1416">
        <v>8499.6847600000001</v>
      </c>
      <c r="F1416">
        <v>10042.4</v>
      </c>
      <c r="G1416">
        <v>22177.37</v>
      </c>
    </row>
    <row r="1417" spans="1:7" x14ac:dyDescent="0.35">
      <c r="A1417" s="1">
        <v>42251</v>
      </c>
      <c r="B1417">
        <v>3180.25</v>
      </c>
      <c r="C1417">
        <v>4523.08</v>
      </c>
      <c r="D1417">
        <v>10038.040000000001</v>
      </c>
      <c r="E1417">
        <v>8241.7750400000004</v>
      </c>
      <c r="F1417">
        <v>9821.7999999999993</v>
      </c>
      <c r="G1417">
        <v>21472.68</v>
      </c>
    </row>
    <row r="1418" spans="1:7" x14ac:dyDescent="0.35">
      <c r="A1418" s="1">
        <v>42254</v>
      </c>
      <c r="B1418">
        <v>3197.97</v>
      </c>
      <c r="C1418">
        <v>4549.6400000000003</v>
      </c>
      <c r="D1418">
        <v>10108.61</v>
      </c>
      <c r="E1418">
        <v>8312.5583000000006</v>
      </c>
      <c r="F1418">
        <v>9805.4</v>
      </c>
      <c r="G1418">
        <v>21622.34</v>
      </c>
    </row>
    <row r="1419" spans="1:7" x14ac:dyDescent="0.35">
      <c r="A1419" s="1">
        <v>42255</v>
      </c>
      <c r="B1419">
        <v>3233.84</v>
      </c>
      <c r="C1419">
        <v>4598.26</v>
      </c>
      <c r="D1419">
        <v>10271.36</v>
      </c>
      <c r="E1419">
        <v>8447.5902399999995</v>
      </c>
      <c r="F1419">
        <v>9866.2000000000007</v>
      </c>
      <c r="G1419">
        <v>21941.31</v>
      </c>
    </row>
    <row r="1420" spans="1:7" x14ac:dyDescent="0.35">
      <c r="A1420" s="1">
        <v>42256</v>
      </c>
      <c r="B1420">
        <v>3269.98</v>
      </c>
      <c r="C1420">
        <v>4664.59</v>
      </c>
      <c r="D1420">
        <v>10303.120000000001</v>
      </c>
      <c r="E1420">
        <v>8575.4937000000009</v>
      </c>
      <c r="F1420">
        <v>10037.799999999999</v>
      </c>
      <c r="G1420">
        <v>22126.57</v>
      </c>
    </row>
    <row r="1421" spans="1:7" x14ac:dyDescent="0.35">
      <c r="A1421" s="1">
        <v>42257</v>
      </c>
      <c r="B1421">
        <v>3221.14</v>
      </c>
      <c r="C1421">
        <v>4596.53</v>
      </c>
      <c r="D1421">
        <v>10210.44</v>
      </c>
      <c r="E1421">
        <v>8438.2092300000004</v>
      </c>
      <c r="F1421">
        <v>9859</v>
      </c>
      <c r="G1421">
        <v>21901.45</v>
      </c>
    </row>
    <row r="1422" spans="1:7" x14ac:dyDescent="0.35">
      <c r="A1422" s="1">
        <v>42258</v>
      </c>
      <c r="B1422">
        <v>3187.94</v>
      </c>
      <c r="C1422">
        <v>4548.72</v>
      </c>
      <c r="D1422">
        <v>10123.56</v>
      </c>
      <c r="E1422">
        <v>8320.5849999999991</v>
      </c>
      <c r="F1422">
        <v>9737.9</v>
      </c>
      <c r="G1422">
        <v>21762.63</v>
      </c>
    </row>
    <row r="1423" spans="1:7" x14ac:dyDescent="0.35">
      <c r="A1423" s="1">
        <v>42261</v>
      </c>
      <c r="B1423">
        <v>3175.62</v>
      </c>
      <c r="C1423">
        <v>4518.1499999999996</v>
      </c>
      <c r="D1423">
        <v>10131.74</v>
      </c>
      <c r="E1423">
        <v>8292.8677399999997</v>
      </c>
      <c r="F1423">
        <v>9696.4</v>
      </c>
      <c r="G1423">
        <v>21553.8</v>
      </c>
    </row>
    <row r="1424" spans="1:7" x14ac:dyDescent="0.35">
      <c r="A1424" s="1">
        <v>42262</v>
      </c>
      <c r="B1424">
        <v>3207.6</v>
      </c>
      <c r="C1424">
        <v>4569.37</v>
      </c>
      <c r="D1424">
        <v>10188.129999999999</v>
      </c>
      <c r="E1424">
        <v>8352.6409600000006</v>
      </c>
      <c r="F1424">
        <v>9782.5</v>
      </c>
      <c r="G1424">
        <v>21903.63</v>
      </c>
    </row>
    <row r="1425" spans="1:7" x14ac:dyDescent="0.35">
      <c r="A1425" s="1">
        <v>42263</v>
      </c>
      <c r="B1425">
        <v>3251.79</v>
      </c>
      <c r="C1425">
        <v>4645.84</v>
      </c>
      <c r="D1425">
        <v>10227.209999999999</v>
      </c>
      <c r="E1425">
        <v>8528.3277400000006</v>
      </c>
      <c r="F1425">
        <v>9976.7999999999993</v>
      </c>
      <c r="G1425">
        <v>22059.21</v>
      </c>
    </row>
    <row r="1426" spans="1:7" x14ac:dyDescent="0.35">
      <c r="A1426" s="1">
        <v>42264</v>
      </c>
      <c r="B1426">
        <v>3255.79</v>
      </c>
      <c r="C1426">
        <v>4655.1400000000003</v>
      </c>
      <c r="D1426">
        <v>10229.58</v>
      </c>
      <c r="E1426">
        <v>8493.9753899999996</v>
      </c>
      <c r="F1426">
        <v>10106.6</v>
      </c>
      <c r="G1426">
        <v>22099.53</v>
      </c>
    </row>
    <row r="1427" spans="1:7" x14ac:dyDescent="0.35">
      <c r="A1427" s="1">
        <v>42265</v>
      </c>
      <c r="B1427">
        <v>3157.3</v>
      </c>
      <c r="C1427">
        <v>4535.8500000000004</v>
      </c>
      <c r="D1427">
        <v>9916.16</v>
      </c>
      <c r="E1427">
        <v>8367.0394899999992</v>
      </c>
      <c r="F1427">
        <v>9847.2000000000007</v>
      </c>
      <c r="G1427">
        <v>21514.9</v>
      </c>
    </row>
    <row r="1428" spans="1:7" x14ac:dyDescent="0.35">
      <c r="A1428" s="1">
        <v>42268</v>
      </c>
      <c r="B1428">
        <v>3184.72</v>
      </c>
      <c r="C1428">
        <v>4585.5</v>
      </c>
      <c r="D1428">
        <v>9948.51</v>
      </c>
      <c r="E1428">
        <v>8446.9409199999991</v>
      </c>
      <c r="F1428">
        <v>9856.7999999999993</v>
      </c>
      <c r="G1428">
        <v>21755.42</v>
      </c>
    </row>
    <row r="1429" spans="1:7" x14ac:dyDescent="0.35">
      <c r="A1429" s="1">
        <v>42269</v>
      </c>
      <c r="B1429">
        <v>3076.05</v>
      </c>
      <c r="C1429">
        <v>4428.51</v>
      </c>
      <c r="D1429">
        <v>9570.66</v>
      </c>
      <c r="E1429">
        <v>8203.1345099999999</v>
      </c>
      <c r="F1429">
        <v>9550.2000000000007</v>
      </c>
      <c r="G1429">
        <v>21031.8</v>
      </c>
    </row>
    <row r="1430" spans="1:7" x14ac:dyDescent="0.35">
      <c r="A1430" s="1">
        <v>42270</v>
      </c>
      <c r="B1430">
        <v>3079.99</v>
      </c>
      <c r="C1430">
        <v>4432.83</v>
      </c>
      <c r="D1430">
        <v>9612.6200000000008</v>
      </c>
      <c r="E1430">
        <v>8239.6705899999997</v>
      </c>
      <c r="F1430">
        <v>9474.6</v>
      </c>
      <c r="G1430">
        <v>21068.880000000001</v>
      </c>
    </row>
    <row r="1431" spans="1:7" x14ac:dyDescent="0.35">
      <c r="A1431" s="1">
        <v>42271</v>
      </c>
      <c r="B1431">
        <v>3019.34</v>
      </c>
      <c r="C1431">
        <v>4347.24</v>
      </c>
      <c r="D1431">
        <v>9427.64</v>
      </c>
      <c r="E1431">
        <v>8077.0111999999999</v>
      </c>
      <c r="F1431">
        <v>9291.4</v>
      </c>
      <c r="G1431">
        <v>20581.830000000002</v>
      </c>
    </row>
    <row r="1432" spans="1:7" x14ac:dyDescent="0.35">
      <c r="A1432" s="1">
        <v>42272</v>
      </c>
      <c r="B1432">
        <v>3113.16</v>
      </c>
      <c r="C1432">
        <v>4480.66</v>
      </c>
      <c r="D1432">
        <v>9688.5300000000007</v>
      </c>
      <c r="E1432">
        <v>8288.6147700000001</v>
      </c>
      <c r="F1432">
        <v>9519.5</v>
      </c>
      <c r="G1432">
        <v>21339.11</v>
      </c>
    </row>
    <row r="1433" spans="1:7" x14ac:dyDescent="0.35">
      <c r="A1433" s="1">
        <v>42275</v>
      </c>
      <c r="B1433">
        <v>3039.44</v>
      </c>
      <c r="C1433">
        <v>4357.05</v>
      </c>
      <c r="D1433">
        <v>9483.5499999999993</v>
      </c>
      <c r="E1433">
        <v>8059.1486999999997</v>
      </c>
      <c r="F1433">
        <v>9394.2000000000007</v>
      </c>
      <c r="G1433">
        <v>20759.490000000002</v>
      </c>
    </row>
    <row r="1434" spans="1:7" x14ac:dyDescent="0.35">
      <c r="A1434" s="1">
        <v>42276</v>
      </c>
      <c r="B1434">
        <v>3029.86</v>
      </c>
      <c r="C1434">
        <v>4343.7299999999996</v>
      </c>
      <c r="D1434">
        <v>9450.4</v>
      </c>
      <c r="E1434">
        <v>7955.7754800000002</v>
      </c>
      <c r="F1434">
        <v>9393.9</v>
      </c>
      <c r="G1434">
        <v>20726.75</v>
      </c>
    </row>
    <row r="1435" spans="1:7" x14ac:dyDescent="0.35">
      <c r="A1435" s="1">
        <v>42277</v>
      </c>
      <c r="B1435">
        <v>3100.67</v>
      </c>
      <c r="C1435">
        <v>4455.29</v>
      </c>
      <c r="D1435">
        <v>9660.44</v>
      </c>
      <c r="E1435">
        <v>8202.85124</v>
      </c>
      <c r="F1435">
        <v>9559.9</v>
      </c>
      <c r="G1435">
        <v>21294.98</v>
      </c>
    </row>
    <row r="1436" spans="1:7" x14ac:dyDescent="0.35">
      <c r="A1436" s="1">
        <v>42278</v>
      </c>
      <c r="B1436">
        <v>3069.05</v>
      </c>
      <c r="C1436">
        <v>4426.54</v>
      </c>
      <c r="D1436">
        <v>9509.25</v>
      </c>
      <c r="E1436">
        <v>8216.4923199999994</v>
      </c>
      <c r="F1436">
        <v>9567.2999999999993</v>
      </c>
      <c r="G1436">
        <v>21142.86</v>
      </c>
    </row>
    <row r="1437" spans="1:7" x14ac:dyDescent="0.35">
      <c r="A1437" s="1">
        <v>42279</v>
      </c>
      <c r="B1437">
        <v>3088.18</v>
      </c>
      <c r="C1437">
        <v>4458.88</v>
      </c>
      <c r="D1437">
        <v>9553.07</v>
      </c>
      <c r="E1437">
        <v>8289.2684499999996</v>
      </c>
      <c r="F1437">
        <v>9603.6</v>
      </c>
      <c r="G1437">
        <v>21395.29</v>
      </c>
    </row>
    <row r="1438" spans="1:7" x14ac:dyDescent="0.35">
      <c r="A1438" s="1">
        <v>42282</v>
      </c>
      <c r="B1438">
        <v>3190.39</v>
      </c>
      <c r="C1438">
        <v>4616.8999999999996</v>
      </c>
      <c r="D1438">
        <v>9814.7900000000009</v>
      </c>
      <c r="E1438">
        <v>8533.1306499999992</v>
      </c>
      <c r="F1438">
        <v>9971.2999999999993</v>
      </c>
      <c r="G1438">
        <v>21980.080000000002</v>
      </c>
    </row>
    <row r="1439" spans="1:7" x14ac:dyDescent="0.35">
      <c r="A1439" s="1">
        <v>42283</v>
      </c>
      <c r="B1439">
        <v>3220.09</v>
      </c>
      <c r="C1439">
        <v>4660.6400000000003</v>
      </c>
      <c r="D1439">
        <v>9902.83</v>
      </c>
      <c r="E1439">
        <v>8552.0831199999993</v>
      </c>
      <c r="F1439">
        <v>10103.299999999999</v>
      </c>
      <c r="G1439">
        <v>22182.65</v>
      </c>
    </row>
    <row r="1440" spans="1:7" x14ac:dyDescent="0.35">
      <c r="A1440" s="1">
        <v>42284</v>
      </c>
      <c r="B1440">
        <v>3226.4</v>
      </c>
      <c r="C1440">
        <v>4667.34</v>
      </c>
      <c r="D1440">
        <v>9970.4</v>
      </c>
      <c r="E1440">
        <v>8632.9457700000003</v>
      </c>
      <c r="F1440">
        <v>10170</v>
      </c>
      <c r="G1440">
        <v>22007.34</v>
      </c>
    </row>
    <row r="1441" spans="1:7" x14ac:dyDescent="0.35">
      <c r="A1441" s="1">
        <v>42285</v>
      </c>
      <c r="B1441">
        <v>3224.96</v>
      </c>
      <c r="C1441">
        <v>4675.91</v>
      </c>
      <c r="D1441">
        <v>9993.07</v>
      </c>
      <c r="E1441">
        <v>8659.2906000000003</v>
      </c>
      <c r="F1441">
        <v>10181.200000000001</v>
      </c>
      <c r="G1441">
        <v>22156.74</v>
      </c>
    </row>
    <row r="1442" spans="1:7" x14ac:dyDescent="0.35">
      <c r="A1442" s="1">
        <v>42286</v>
      </c>
      <c r="B1442">
        <v>3250.31</v>
      </c>
      <c r="C1442">
        <v>4701.3900000000003</v>
      </c>
      <c r="D1442">
        <v>10096.6</v>
      </c>
      <c r="E1442">
        <v>8642.0826400000005</v>
      </c>
      <c r="F1442">
        <v>10309.6</v>
      </c>
      <c r="G1442">
        <v>22257.89</v>
      </c>
    </row>
    <row r="1443" spans="1:7" x14ac:dyDescent="0.35">
      <c r="A1443" s="1">
        <v>42289</v>
      </c>
      <c r="B1443">
        <v>3247.33</v>
      </c>
      <c r="C1443">
        <v>4688.7</v>
      </c>
      <c r="D1443">
        <v>10119.83</v>
      </c>
      <c r="E1443">
        <v>8599.6092499999995</v>
      </c>
      <c r="F1443">
        <v>10246.4</v>
      </c>
      <c r="G1443">
        <v>22091.27</v>
      </c>
    </row>
    <row r="1444" spans="1:7" x14ac:dyDescent="0.35">
      <c r="A1444" s="1">
        <v>42290</v>
      </c>
      <c r="B1444">
        <v>3221.28</v>
      </c>
      <c r="C1444">
        <v>4643.38</v>
      </c>
      <c r="D1444">
        <v>10032.82</v>
      </c>
      <c r="E1444">
        <v>8489.9686700000002</v>
      </c>
      <c r="F1444">
        <v>10115.299999999999</v>
      </c>
      <c r="G1444">
        <v>22048.49</v>
      </c>
    </row>
    <row r="1445" spans="1:7" x14ac:dyDescent="0.35">
      <c r="A1445" s="1">
        <v>42291</v>
      </c>
      <c r="B1445">
        <v>3191.57</v>
      </c>
      <c r="C1445">
        <v>4609.03</v>
      </c>
      <c r="D1445">
        <v>9915.85</v>
      </c>
      <c r="E1445">
        <v>8466.3016599999992</v>
      </c>
      <c r="F1445">
        <v>10037.6</v>
      </c>
      <c r="G1445">
        <v>21838.2</v>
      </c>
    </row>
    <row r="1446" spans="1:7" x14ac:dyDescent="0.35">
      <c r="A1446" s="1">
        <v>42292</v>
      </c>
      <c r="B1446">
        <v>3238.81</v>
      </c>
      <c r="C1446">
        <v>4675.29</v>
      </c>
      <c r="D1446">
        <v>10064.799999999999</v>
      </c>
      <c r="E1446">
        <v>8614.8312999999998</v>
      </c>
      <c r="F1446">
        <v>10101.700000000001</v>
      </c>
      <c r="G1446">
        <v>22217.69</v>
      </c>
    </row>
    <row r="1447" spans="1:7" x14ac:dyDescent="0.35">
      <c r="A1447" s="1">
        <v>42293</v>
      </c>
      <c r="B1447">
        <v>3264.93</v>
      </c>
      <c r="C1447">
        <v>4702.79</v>
      </c>
      <c r="D1447">
        <v>10104.43</v>
      </c>
      <c r="E1447">
        <v>8657.2324000000008</v>
      </c>
      <c r="F1447">
        <v>10231.5</v>
      </c>
      <c r="G1447">
        <v>22337.66</v>
      </c>
    </row>
    <row r="1448" spans="1:7" x14ac:dyDescent="0.35">
      <c r="A1448" s="1">
        <v>42296</v>
      </c>
      <c r="B1448">
        <v>3272.04</v>
      </c>
      <c r="C1448">
        <v>4704.07</v>
      </c>
      <c r="D1448">
        <v>10164.31</v>
      </c>
      <c r="E1448">
        <v>8681.2932400000009</v>
      </c>
      <c r="F1448">
        <v>10207.299999999999</v>
      </c>
      <c r="G1448">
        <v>22419.68</v>
      </c>
    </row>
    <row r="1449" spans="1:7" x14ac:dyDescent="0.35">
      <c r="A1449" s="1">
        <v>42297</v>
      </c>
      <c r="B1449">
        <v>3255.72</v>
      </c>
      <c r="C1449">
        <v>4673.8100000000004</v>
      </c>
      <c r="D1449">
        <v>10147.68</v>
      </c>
      <c r="E1449">
        <v>8640.7121800000004</v>
      </c>
      <c r="F1449">
        <v>10100.6</v>
      </c>
      <c r="G1449">
        <v>22270.11</v>
      </c>
    </row>
    <row r="1450" spans="1:7" x14ac:dyDescent="0.35">
      <c r="A1450" s="1">
        <v>42298</v>
      </c>
      <c r="B1450">
        <v>3272.23</v>
      </c>
      <c r="C1450">
        <v>4695.1000000000004</v>
      </c>
      <c r="D1450">
        <v>10238.1</v>
      </c>
      <c r="E1450">
        <v>8639.6926899999999</v>
      </c>
      <c r="F1450">
        <v>10157.5</v>
      </c>
      <c r="G1450">
        <v>22172.639999999999</v>
      </c>
    </row>
    <row r="1451" spans="1:7" x14ac:dyDescent="0.35">
      <c r="A1451" s="1">
        <v>42299</v>
      </c>
      <c r="B1451">
        <v>3353.11</v>
      </c>
      <c r="C1451">
        <v>4802.18</v>
      </c>
      <c r="D1451">
        <v>10491.97</v>
      </c>
      <c r="E1451">
        <v>8808.9650799999999</v>
      </c>
      <c r="F1451">
        <v>10365.4</v>
      </c>
      <c r="G1451">
        <v>22616.9</v>
      </c>
    </row>
    <row r="1452" spans="1:7" x14ac:dyDescent="0.35">
      <c r="A1452" s="1">
        <v>42300</v>
      </c>
      <c r="B1452">
        <v>3425.81</v>
      </c>
      <c r="C1452">
        <v>4923.6400000000003</v>
      </c>
      <c r="D1452">
        <v>10794.54</v>
      </c>
      <c r="E1452">
        <v>8975.2650200000007</v>
      </c>
      <c r="F1452">
        <v>10476.299999999999</v>
      </c>
      <c r="G1452">
        <v>22736.86</v>
      </c>
    </row>
    <row r="1453" spans="1:7" x14ac:dyDescent="0.35">
      <c r="A1453" s="1">
        <v>42303</v>
      </c>
      <c r="B1453">
        <v>3414.6</v>
      </c>
      <c r="C1453">
        <v>4897.13</v>
      </c>
      <c r="D1453">
        <v>10801.34</v>
      </c>
      <c r="E1453">
        <v>8919.6229700000004</v>
      </c>
      <c r="F1453">
        <v>10478.299999999999</v>
      </c>
      <c r="G1453">
        <v>22629.64</v>
      </c>
    </row>
    <row r="1454" spans="1:7" x14ac:dyDescent="0.35">
      <c r="A1454" s="1">
        <v>42304</v>
      </c>
      <c r="B1454">
        <v>3381.01</v>
      </c>
      <c r="C1454">
        <v>4847.07</v>
      </c>
      <c r="D1454">
        <v>10692.19</v>
      </c>
      <c r="E1454">
        <v>8825.3390199999994</v>
      </c>
      <c r="F1454">
        <v>10322.4</v>
      </c>
      <c r="G1454">
        <v>22369.919999999998</v>
      </c>
    </row>
    <row r="1455" spans="1:7" x14ac:dyDescent="0.35">
      <c r="A1455" s="1">
        <v>42305</v>
      </c>
      <c r="B1455">
        <v>3421.09</v>
      </c>
      <c r="C1455">
        <v>4890.58</v>
      </c>
      <c r="D1455">
        <v>10831.96</v>
      </c>
      <c r="E1455">
        <v>8914.5930000000008</v>
      </c>
      <c r="F1455">
        <v>10421.9</v>
      </c>
      <c r="G1455">
        <v>22686.240000000002</v>
      </c>
    </row>
    <row r="1456" spans="1:7" x14ac:dyDescent="0.35">
      <c r="A1456" s="1">
        <v>42306</v>
      </c>
      <c r="B1456">
        <v>3413.39</v>
      </c>
      <c r="C1456">
        <v>4885.82</v>
      </c>
      <c r="D1456">
        <v>10800.84</v>
      </c>
      <c r="E1456">
        <v>8923.9109700000008</v>
      </c>
      <c r="F1456">
        <v>10397.200000000001</v>
      </c>
      <c r="G1456">
        <v>22442.69</v>
      </c>
    </row>
    <row r="1457" spans="1:7" x14ac:dyDescent="0.35">
      <c r="A1457" s="1">
        <v>42307</v>
      </c>
      <c r="B1457">
        <v>3418.23</v>
      </c>
      <c r="C1457">
        <v>4897.66</v>
      </c>
      <c r="D1457">
        <v>10850.14</v>
      </c>
      <c r="E1457">
        <v>8917.5345899999993</v>
      </c>
      <c r="F1457">
        <v>10360.700000000001</v>
      </c>
      <c r="G1457">
        <v>22442.51</v>
      </c>
    </row>
    <row r="1458" spans="1:7" x14ac:dyDescent="0.35">
      <c r="A1458" s="1">
        <v>42310</v>
      </c>
      <c r="B1458">
        <v>3434.5</v>
      </c>
      <c r="C1458">
        <v>4916.21</v>
      </c>
      <c r="D1458">
        <v>10950.67</v>
      </c>
      <c r="E1458">
        <v>8902.2484000000004</v>
      </c>
      <c r="F1458">
        <v>10418.200000000001</v>
      </c>
      <c r="G1458">
        <v>22482.39</v>
      </c>
    </row>
    <row r="1459" spans="1:7" x14ac:dyDescent="0.35">
      <c r="A1459" s="1">
        <v>42311</v>
      </c>
      <c r="B1459">
        <v>3442.68</v>
      </c>
      <c r="C1459">
        <v>4936.18</v>
      </c>
      <c r="D1459">
        <v>10951.15</v>
      </c>
      <c r="E1459">
        <v>8980.3919499999993</v>
      </c>
      <c r="F1459">
        <v>10465.200000000001</v>
      </c>
      <c r="G1459">
        <v>22459.45</v>
      </c>
    </row>
    <row r="1460" spans="1:7" x14ac:dyDescent="0.35">
      <c r="A1460" s="1">
        <v>42312</v>
      </c>
      <c r="B1460">
        <v>3439.16</v>
      </c>
      <c r="C1460">
        <v>4948.29</v>
      </c>
      <c r="D1460">
        <v>10845.24</v>
      </c>
      <c r="E1460">
        <v>9078.8091999999997</v>
      </c>
      <c r="F1460">
        <v>10473.5</v>
      </c>
      <c r="G1460">
        <v>22312.63</v>
      </c>
    </row>
    <row r="1461" spans="1:7" x14ac:dyDescent="0.35">
      <c r="A1461" s="1">
        <v>42313</v>
      </c>
      <c r="B1461">
        <v>3447.49</v>
      </c>
      <c r="C1461">
        <v>4980.04</v>
      </c>
      <c r="D1461">
        <v>10887.74</v>
      </c>
      <c r="E1461">
        <v>8910.86</v>
      </c>
      <c r="F1461">
        <v>10431.200000000001</v>
      </c>
      <c r="G1461">
        <v>22223.7</v>
      </c>
    </row>
    <row r="1462" spans="1:7" x14ac:dyDescent="0.35">
      <c r="A1462" s="1">
        <v>42314</v>
      </c>
      <c r="B1462">
        <v>3468.21</v>
      </c>
      <c r="C1462">
        <v>4984.1499999999996</v>
      </c>
      <c r="D1462">
        <v>10988.03</v>
      </c>
      <c r="E1462">
        <v>8899.0309699999998</v>
      </c>
      <c r="F1462">
        <v>10453.200000000001</v>
      </c>
      <c r="G1462">
        <v>22529.94</v>
      </c>
    </row>
    <row r="1463" spans="1:7" x14ac:dyDescent="0.35">
      <c r="A1463" s="1">
        <v>42317</v>
      </c>
      <c r="B1463">
        <v>3418.36</v>
      </c>
      <c r="C1463">
        <v>4911.17</v>
      </c>
      <c r="D1463">
        <v>10815.45</v>
      </c>
      <c r="E1463">
        <v>8844.3574499999995</v>
      </c>
      <c r="F1463">
        <v>10325.200000000001</v>
      </c>
      <c r="G1463">
        <v>22107.3</v>
      </c>
    </row>
    <row r="1464" spans="1:7" x14ac:dyDescent="0.35">
      <c r="A1464" s="1">
        <v>42318</v>
      </c>
      <c r="B1464">
        <v>3425.4</v>
      </c>
      <c r="C1464">
        <v>4912.16</v>
      </c>
      <c r="D1464">
        <v>10832.52</v>
      </c>
      <c r="E1464">
        <v>8856.9084999999995</v>
      </c>
      <c r="F1464">
        <v>10336.799999999999</v>
      </c>
      <c r="G1464">
        <v>22444</v>
      </c>
    </row>
    <row r="1465" spans="1:7" x14ac:dyDescent="0.35">
      <c r="A1465" s="1">
        <v>42319</v>
      </c>
      <c r="B1465">
        <v>3448.42</v>
      </c>
      <c r="C1465">
        <v>4952.51</v>
      </c>
      <c r="D1465">
        <v>10907.87</v>
      </c>
      <c r="E1465">
        <v>8919.6149100000002</v>
      </c>
      <c r="F1465">
        <v>10377.200000000001</v>
      </c>
      <c r="G1465">
        <v>22385.11</v>
      </c>
    </row>
    <row r="1466" spans="1:7" x14ac:dyDescent="0.35">
      <c r="A1466" s="1">
        <v>42320</v>
      </c>
      <c r="B1466">
        <v>3387.7</v>
      </c>
      <c r="C1466">
        <v>4856.6499999999996</v>
      </c>
      <c r="D1466">
        <v>10782.63</v>
      </c>
      <c r="E1466">
        <v>8718.5938200000001</v>
      </c>
      <c r="F1466">
        <v>10144</v>
      </c>
      <c r="G1466">
        <v>21859.29</v>
      </c>
    </row>
    <row r="1467" spans="1:7" x14ac:dyDescent="0.35">
      <c r="A1467" s="1">
        <v>42321</v>
      </c>
      <c r="B1467">
        <v>3360.65</v>
      </c>
      <c r="C1467">
        <v>4807.95</v>
      </c>
      <c r="D1467">
        <v>10708.4</v>
      </c>
      <c r="E1467">
        <v>8673.7428400000008</v>
      </c>
      <c r="F1467">
        <v>10111.4</v>
      </c>
      <c r="G1467">
        <v>21842.560000000001</v>
      </c>
    </row>
    <row r="1468" spans="1:7" x14ac:dyDescent="0.35">
      <c r="A1468" s="1">
        <v>42324</v>
      </c>
      <c r="B1468">
        <v>3362.23</v>
      </c>
      <c r="C1468">
        <v>4804.3100000000004</v>
      </c>
      <c r="D1468">
        <v>10713.23</v>
      </c>
      <c r="E1468">
        <v>8743.6767299999992</v>
      </c>
      <c r="F1468">
        <v>10124.5</v>
      </c>
      <c r="G1468">
        <v>21811.360000000001</v>
      </c>
    </row>
    <row r="1469" spans="1:7" x14ac:dyDescent="0.35">
      <c r="A1469" s="1">
        <v>42325</v>
      </c>
      <c r="B1469">
        <v>3451.94</v>
      </c>
      <c r="C1469">
        <v>4937.3100000000004</v>
      </c>
      <c r="D1469">
        <v>10971.04</v>
      </c>
      <c r="E1469">
        <v>8958.9041199999992</v>
      </c>
      <c r="F1469">
        <v>10363.799999999999</v>
      </c>
      <c r="G1469">
        <v>22309.39</v>
      </c>
    </row>
    <row r="1470" spans="1:7" x14ac:dyDescent="0.35">
      <c r="A1470" s="1">
        <v>42326</v>
      </c>
      <c r="B1470">
        <v>3431.92</v>
      </c>
      <c r="C1470">
        <v>4906.72</v>
      </c>
      <c r="D1470">
        <v>10959.95</v>
      </c>
      <c r="E1470">
        <v>8978.2189500000004</v>
      </c>
      <c r="F1470">
        <v>10261.1</v>
      </c>
      <c r="G1470">
        <v>22091.56</v>
      </c>
    </row>
    <row r="1471" spans="1:7" x14ac:dyDescent="0.35">
      <c r="A1471" s="1">
        <v>42327</v>
      </c>
      <c r="B1471">
        <v>3448.93</v>
      </c>
      <c r="C1471">
        <v>4915.1000000000004</v>
      </c>
      <c r="D1471">
        <v>11085.44</v>
      </c>
      <c r="E1471">
        <v>9027.4976000000006</v>
      </c>
      <c r="F1471">
        <v>10354.700000000001</v>
      </c>
      <c r="G1471">
        <v>22191.99</v>
      </c>
    </row>
    <row r="1472" spans="1:7" x14ac:dyDescent="0.35">
      <c r="A1472" s="1">
        <v>42328</v>
      </c>
      <c r="B1472">
        <v>3452.45</v>
      </c>
      <c r="C1472">
        <v>4910.97</v>
      </c>
      <c r="D1472">
        <v>11119.83</v>
      </c>
      <c r="E1472">
        <v>9037.4054699999997</v>
      </c>
      <c r="F1472">
        <v>10290.299999999999</v>
      </c>
      <c r="G1472">
        <v>22140.14</v>
      </c>
    </row>
    <row r="1473" spans="1:7" x14ac:dyDescent="0.35">
      <c r="A1473" s="1">
        <v>42331</v>
      </c>
      <c r="B1473">
        <v>3445.26</v>
      </c>
      <c r="C1473">
        <v>4889.12</v>
      </c>
      <c r="D1473">
        <v>11092.31</v>
      </c>
      <c r="E1473">
        <v>8982.0576899999996</v>
      </c>
      <c r="F1473">
        <v>10277.4</v>
      </c>
      <c r="G1473">
        <v>22294.69</v>
      </c>
    </row>
    <row r="1474" spans="1:7" x14ac:dyDescent="0.35">
      <c r="A1474" s="1">
        <v>42332</v>
      </c>
      <c r="B1474">
        <v>3409.6</v>
      </c>
      <c r="C1474">
        <v>4820.28</v>
      </c>
      <c r="D1474">
        <v>10933.99</v>
      </c>
      <c r="E1474">
        <v>8885.5201799999995</v>
      </c>
      <c r="F1474">
        <v>10207.200000000001</v>
      </c>
      <c r="G1474">
        <v>21948.14</v>
      </c>
    </row>
    <row r="1475" spans="1:7" x14ac:dyDescent="0.35">
      <c r="A1475" s="1">
        <v>42333</v>
      </c>
      <c r="B1475">
        <v>3462.06</v>
      </c>
      <c r="C1475">
        <v>4892.99</v>
      </c>
      <c r="D1475">
        <v>11169.54</v>
      </c>
      <c r="E1475">
        <v>9016.3563300000005</v>
      </c>
      <c r="F1475">
        <v>10227.299999999999</v>
      </c>
      <c r="G1475">
        <v>22359.23</v>
      </c>
    </row>
    <row r="1476" spans="1:7" x14ac:dyDescent="0.35">
      <c r="A1476" s="1">
        <v>42334</v>
      </c>
      <c r="B1476">
        <v>3498.62</v>
      </c>
      <c r="C1476">
        <v>4946.0200000000004</v>
      </c>
      <c r="D1476">
        <v>11320.77</v>
      </c>
      <c r="E1476">
        <v>9100.6030900000005</v>
      </c>
      <c r="F1476">
        <v>10332.299999999999</v>
      </c>
      <c r="G1476">
        <v>22591.53</v>
      </c>
    </row>
    <row r="1477" spans="1:7" x14ac:dyDescent="0.35">
      <c r="A1477" s="1">
        <v>42335</v>
      </c>
      <c r="B1477">
        <v>3488.99</v>
      </c>
      <c r="C1477">
        <v>4930.1400000000003</v>
      </c>
      <c r="D1477">
        <v>11293.76</v>
      </c>
      <c r="E1477">
        <v>9049.7058500000003</v>
      </c>
      <c r="F1477">
        <v>10310.700000000001</v>
      </c>
      <c r="G1477">
        <v>22575.18</v>
      </c>
    </row>
    <row r="1478" spans="1:7" x14ac:dyDescent="0.35">
      <c r="A1478" s="1">
        <v>42338</v>
      </c>
      <c r="B1478">
        <v>3506.45</v>
      </c>
      <c r="C1478">
        <v>4957.6000000000004</v>
      </c>
      <c r="D1478">
        <v>11382.23</v>
      </c>
      <c r="E1478">
        <v>9049.6035200000006</v>
      </c>
      <c r="F1478">
        <v>10386.9</v>
      </c>
      <c r="G1478">
        <v>22717.98</v>
      </c>
    </row>
    <row r="1479" spans="1:7" x14ac:dyDescent="0.35">
      <c r="A1479" s="1">
        <v>42339</v>
      </c>
      <c r="B1479">
        <v>3479.64</v>
      </c>
      <c r="C1479">
        <v>4914.53</v>
      </c>
      <c r="D1479">
        <v>11261.24</v>
      </c>
      <c r="E1479">
        <v>9081.3892300000007</v>
      </c>
      <c r="F1479">
        <v>10379.200000000001</v>
      </c>
      <c r="G1479">
        <v>22581.33</v>
      </c>
    </row>
    <row r="1480" spans="1:7" x14ac:dyDescent="0.35">
      <c r="A1480" s="1">
        <v>42340</v>
      </c>
      <c r="B1480">
        <v>3468.66</v>
      </c>
      <c r="C1480">
        <v>4905.76</v>
      </c>
      <c r="D1480">
        <v>11190.02</v>
      </c>
      <c r="E1480">
        <v>9057.8485400000009</v>
      </c>
      <c r="F1480">
        <v>10342</v>
      </c>
      <c r="G1480">
        <v>22551.91</v>
      </c>
    </row>
    <row r="1481" spans="1:7" x14ac:dyDescent="0.35">
      <c r="A1481" s="1">
        <v>42341</v>
      </c>
      <c r="B1481">
        <v>3343.34</v>
      </c>
      <c r="C1481">
        <v>4730.21</v>
      </c>
      <c r="D1481">
        <v>10789.24</v>
      </c>
      <c r="E1481">
        <v>8691.8707599999998</v>
      </c>
      <c r="F1481">
        <v>10092.9</v>
      </c>
      <c r="G1481">
        <v>21995.71</v>
      </c>
    </row>
    <row r="1482" spans="1:7" x14ac:dyDescent="0.35">
      <c r="A1482" s="1">
        <v>42342</v>
      </c>
      <c r="B1482">
        <v>3330.75</v>
      </c>
      <c r="C1482">
        <v>4714.79</v>
      </c>
      <c r="D1482">
        <v>10752.1</v>
      </c>
      <c r="E1482">
        <v>8666.6831399999992</v>
      </c>
      <c r="F1482">
        <v>10078.700000000001</v>
      </c>
      <c r="G1482">
        <v>22021.360000000001</v>
      </c>
    </row>
    <row r="1483" spans="1:7" x14ac:dyDescent="0.35">
      <c r="A1483" s="1">
        <v>42345</v>
      </c>
      <c r="B1483">
        <v>3360.21</v>
      </c>
      <c r="C1483">
        <v>4756.41</v>
      </c>
      <c r="D1483">
        <v>10886.09</v>
      </c>
      <c r="E1483">
        <v>8638.1379300000008</v>
      </c>
      <c r="F1483">
        <v>10042.4</v>
      </c>
      <c r="G1483">
        <v>22037.17</v>
      </c>
    </row>
    <row r="1484" spans="1:7" x14ac:dyDescent="0.35">
      <c r="A1484" s="1">
        <v>42346</v>
      </c>
      <c r="B1484">
        <v>3297.46</v>
      </c>
      <c r="C1484">
        <v>4681.8599999999997</v>
      </c>
      <c r="D1484">
        <v>10673.6</v>
      </c>
      <c r="E1484">
        <v>8456.5632299999997</v>
      </c>
      <c r="F1484">
        <v>9837.1</v>
      </c>
      <c r="G1484">
        <v>21538.04</v>
      </c>
    </row>
    <row r="1485" spans="1:7" x14ac:dyDescent="0.35">
      <c r="A1485" s="1">
        <v>42347</v>
      </c>
      <c r="B1485">
        <v>3277.21</v>
      </c>
      <c r="C1485">
        <v>4637.45</v>
      </c>
      <c r="D1485">
        <v>10592.49</v>
      </c>
      <c r="E1485">
        <v>8445.8313400000006</v>
      </c>
      <c r="F1485">
        <v>9835.5</v>
      </c>
      <c r="G1485">
        <v>21500.880000000001</v>
      </c>
    </row>
    <row r="1486" spans="1:7" x14ac:dyDescent="0.35">
      <c r="A1486" s="1">
        <v>42348</v>
      </c>
      <c r="B1486">
        <v>3269.97</v>
      </c>
      <c r="C1486">
        <v>4635.0600000000004</v>
      </c>
      <c r="D1486">
        <v>10598.93</v>
      </c>
      <c r="E1486">
        <v>8436.0674600000002</v>
      </c>
      <c r="F1486">
        <v>9778.7000000000007</v>
      </c>
      <c r="G1486">
        <v>21409.63</v>
      </c>
    </row>
    <row r="1487" spans="1:7" x14ac:dyDescent="0.35">
      <c r="A1487" s="1">
        <v>42349</v>
      </c>
      <c r="B1487">
        <v>3203.21</v>
      </c>
      <c r="C1487">
        <v>4549.5600000000004</v>
      </c>
      <c r="D1487">
        <v>10340.06</v>
      </c>
      <c r="E1487">
        <v>8238.8121200000005</v>
      </c>
      <c r="F1487">
        <v>9630.7000000000007</v>
      </c>
      <c r="G1487">
        <v>21015.29</v>
      </c>
    </row>
    <row r="1488" spans="1:7" x14ac:dyDescent="0.35">
      <c r="A1488" s="1">
        <v>42352</v>
      </c>
      <c r="B1488">
        <v>3139.24</v>
      </c>
      <c r="C1488">
        <v>4473.07</v>
      </c>
      <c r="D1488">
        <v>10139.34</v>
      </c>
      <c r="E1488">
        <v>8075.43264</v>
      </c>
      <c r="F1488">
        <v>9428.5</v>
      </c>
      <c r="G1488">
        <v>20506.560000000001</v>
      </c>
    </row>
    <row r="1489" spans="1:7" x14ac:dyDescent="0.35">
      <c r="A1489" s="1">
        <v>42353</v>
      </c>
      <c r="B1489">
        <v>3241.51</v>
      </c>
      <c r="C1489">
        <v>4614.3999999999996</v>
      </c>
      <c r="D1489">
        <v>10450.379999999999</v>
      </c>
      <c r="E1489">
        <v>8294.0174100000004</v>
      </c>
      <c r="F1489">
        <v>9711.6</v>
      </c>
      <c r="G1489">
        <v>21272.68</v>
      </c>
    </row>
    <row r="1490" spans="1:7" x14ac:dyDescent="0.35">
      <c r="A1490" s="1">
        <v>42354</v>
      </c>
      <c r="B1490">
        <v>3246.78</v>
      </c>
      <c r="C1490">
        <v>4624.67</v>
      </c>
      <c r="D1490">
        <v>10469.26</v>
      </c>
      <c r="E1490">
        <v>8327.3405700000003</v>
      </c>
      <c r="F1490">
        <v>9711</v>
      </c>
      <c r="G1490">
        <v>21210.23</v>
      </c>
    </row>
    <row r="1491" spans="1:7" x14ac:dyDescent="0.35">
      <c r="A1491" s="1">
        <v>42355</v>
      </c>
      <c r="B1491">
        <v>3306.47</v>
      </c>
      <c r="C1491">
        <v>4677.54</v>
      </c>
      <c r="D1491">
        <v>10738.12</v>
      </c>
      <c r="E1491">
        <v>8400.5109699999994</v>
      </c>
      <c r="F1491">
        <v>9878.5</v>
      </c>
      <c r="G1491">
        <v>21523.1</v>
      </c>
    </row>
    <row r="1492" spans="1:7" x14ac:dyDescent="0.35">
      <c r="A1492" s="1">
        <v>42356</v>
      </c>
      <c r="B1492">
        <v>3260.72</v>
      </c>
      <c r="C1492">
        <v>4625.26</v>
      </c>
      <c r="D1492">
        <v>10608.19</v>
      </c>
      <c r="E1492">
        <v>8319.9133299999994</v>
      </c>
      <c r="F1492">
        <v>9717.1</v>
      </c>
      <c r="G1492">
        <v>21241.93</v>
      </c>
    </row>
    <row r="1493" spans="1:7" x14ac:dyDescent="0.35">
      <c r="A1493" s="1">
        <v>42359</v>
      </c>
      <c r="B1493">
        <v>3213.01</v>
      </c>
      <c r="C1493">
        <v>4565.17</v>
      </c>
      <c r="D1493">
        <v>10497.77</v>
      </c>
      <c r="E1493">
        <v>8231.53946</v>
      </c>
      <c r="F1493">
        <v>9365.7999999999993</v>
      </c>
      <c r="G1493">
        <v>21099.32</v>
      </c>
    </row>
    <row r="1494" spans="1:7" x14ac:dyDescent="0.35">
      <c r="A1494" s="1">
        <v>42360</v>
      </c>
      <c r="B1494">
        <v>3214.32</v>
      </c>
      <c r="C1494">
        <v>4567.6000000000004</v>
      </c>
      <c r="D1494">
        <v>10488.75</v>
      </c>
      <c r="E1494">
        <v>8217.2584100000004</v>
      </c>
      <c r="F1494">
        <v>9415.6</v>
      </c>
      <c r="G1494">
        <v>21060.13</v>
      </c>
    </row>
    <row r="1495" spans="1:7" x14ac:dyDescent="0.35">
      <c r="A1495" s="1">
        <v>42361</v>
      </c>
      <c r="B1495">
        <v>3286.68</v>
      </c>
      <c r="C1495">
        <v>4674.53</v>
      </c>
      <c r="D1495">
        <v>10727.64</v>
      </c>
      <c r="E1495">
        <v>8533.3156999999992</v>
      </c>
      <c r="F1495">
        <v>9641</v>
      </c>
      <c r="G1495">
        <v>21456.36</v>
      </c>
    </row>
    <row r="1496" spans="1:7" x14ac:dyDescent="0.35">
      <c r="A1496" s="1">
        <v>42367</v>
      </c>
      <c r="B1496">
        <v>3314.28</v>
      </c>
      <c r="C1496">
        <v>4701.3599999999997</v>
      </c>
      <c r="D1496">
        <v>10860.14</v>
      </c>
      <c r="E1496">
        <v>8552.8574800000006</v>
      </c>
      <c r="F1496">
        <v>9670.4</v>
      </c>
      <c r="G1496">
        <v>21661.33</v>
      </c>
    </row>
    <row r="1497" spans="1:7" x14ac:dyDescent="0.35">
      <c r="A1497" s="1">
        <v>42368</v>
      </c>
      <c r="B1497">
        <v>3287.98</v>
      </c>
      <c r="C1497">
        <v>4677.1400000000003</v>
      </c>
      <c r="D1497">
        <v>10743.01</v>
      </c>
      <c r="E1497">
        <v>8525.2557300000008</v>
      </c>
      <c r="F1497">
        <v>9641.9</v>
      </c>
      <c r="G1497">
        <v>21418.37</v>
      </c>
    </row>
    <row r="1498" spans="1:7" x14ac:dyDescent="0.35">
      <c r="A1498" s="1">
        <v>42373</v>
      </c>
      <c r="B1498">
        <v>3164.76</v>
      </c>
      <c r="C1498">
        <v>4522.45</v>
      </c>
      <c r="D1498">
        <v>10283.44</v>
      </c>
      <c r="E1498">
        <v>8278.3454199999996</v>
      </c>
      <c r="F1498">
        <v>9313.2000000000007</v>
      </c>
      <c r="G1498">
        <v>20733.810000000001</v>
      </c>
    </row>
    <row r="1499" spans="1:7" x14ac:dyDescent="0.35">
      <c r="A1499" s="1">
        <v>42374</v>
      </c>
      <c r="B1499">
        <v>3178.01</v>
      </c>
      <c r="C1499">
        <v>4537.63</v>
      </c>
      <c r="D1499">
        <v>10310.1</v>
      </c>
      <c r="E1499">
        <v>8373.7402600000005</v>
      </c>
      <c r="F1499">
        <v>9335.2000000000007</v>
      </c>
      <c r="G1499">
        <v>20983.24</v>
      </c>
    </row>
    <row r="1500" spans="1:7" x14ac:dyDescent="0.35">
      <c r="A1500" s="1">
        <v>42375</v>
      </c>
      <c r="B1500">
        <v>3139.32</v>
      </c>
      <c r="C1500">
        <v>4480.47</v>
      </c>
      <c r="D1500">
        <v>10214.02</v>
      </c>
      <c r="E1500">
        <v>8256.5215200000002</v>
      </c>
      <c r="F1500">
        <v>9197.4</v>
      </c>
      <c r="G1500">
        <v>20422.39</v>
      </c>
    </row>
    <row r="1501" spans="1:7" x14ac:dyDescent="0.35">
      <c r="A1501" s="1">
        <v>42376</v>
      </c>
      <c r="B1501">
        <v>3084.68</v>
      </c>
      <c r="C1501">
        <v>4403.58</v>
      </c>
      <c r="D1501">
        <v>9979.85</v>
      </c>
      <c r="E1501">
        <v>7995.9643699999997</v>
      </c>
      <c r="F1501">
        <v>9059.2999999999993</v>
      </c>
      <c r="G1501">
        <v>20189.48</v>
      </c>
    </row>
    <row r="1502" spans="1:7" x14ac:dyDescent="0.35">
      <c r="A1502" s="1">
        <v>42377</v>
      </c>
      <c r="B1502">
        <v>3033.47</v>
      </c>
      <c r="C1502">
        <v>4333.76</v>
      </c>
      <c r="D1502">
        <v>9849.34</v>
      </c>
      <c r="E1502">
        <v>7883.61535</v>
      </c>
      <c r="F1502">
        <v>8909.2000000000007</v>
      </c>
      <c r="G1502">
        <v>19869.490000000002</v>
      </c>
    </row>
    <row r="1503" spans="1:7" x14ac:dyDescent="0.35">
      <c r="A1503" s="1">
        <v>42380</v>
      </c>
      <c r="B1503">
        <v>3027.49</v>
      </c>
      <c r="C1503">
        <v>4312.74</v>
      </c>
      <c r="D1503">
        <v>9825.07</v>
      </c>
      <c r="E1503">
        <v>7857.1679800000002</v>
      </c>
      <c r="F1503">
        <v>8886.1</v>
      </c>
      <c r="G1503">
        <v>19756.14</v>
      </c>
    </row>
    <row r="1504" spans="1:7" x14ac:dyDescent="0.35">
      <c r="A1504" s="1">
        <v>42381</v>
      </c>
      <c r="B1504">
        <v>3064.66</v>
      </c>
      <c r="C1504">
        <v>4378.75</v>
      </c>
      <c r="D1504">
        <v>9985.43</v>
      </c>
      <c r="E1504">
        <v>7891.9776300000003</v>
      </c>
      <c r="F1504">
        <v>8915.4</v>
      </c>
      <c r="G1504">
        <v>19970.099999999999</v>
      </c>
    </row>
    <row r="1505" spans="1:7" x14ac:dyDescent="0.35">
      <c r="A1505" s="1">
        <v>42382</v>
      </c>
      <c r="B1505">
        <v>3073.02</v>
      </c>
      <c r="C1505">
        <v>4391.9399999999996</v>
      </c>
      <c r="D1505">
        <v>9960.9599999999991</v>
      </c>
      <c r="E1505">
        <v>7943.7479499999999</v>
      </c>
      <c r="F1505">
        <v>8934.5</v>
      </c>
      <c r="G1505">
        <v>20139.87</v>
      </c>
    </row>
    <row r="1506" spans="1:7" x14ac:dyDescent="0.35">
      <c r="A1506" s="1">
        <v>42383</v>
      </c>
      <c r="B1506">
        <v>3024</v>
      </c>
      <c r="C1506">
        <v>4312.8900000000003</v>
      </c>
      <c r="D1506">
        <v>9794.2000000000007</v>
      </c>
      <c r="E1506">
        <v>7854.2829599999995</v>
      </c>
      <c r="F1506">
        <v>8787.7000000000007</v>
      </c>
      <c r="G1506">
        <v>19803.41</v>
      </c>
    </row>
    <row r="1507" spans="1:7" x14ac:dyDescent="0.35">
      <c r="A1507" s="1">
        <v>42384</v>
      </c>
      <c r="B1507">
        <v>2952.48</v>
      </c>
      <c r="C1507">
        <v>4210.16</v>
      </c>
      <c r="D1507">
        <v>9545.27</v>
      </c>
      <c r="E1507">
        <v>7566.9012599999996</v>
      </c>
      <c r="F1507">
        <v>8543.6</v>
      </c>
      <c r="G1507">
        <v>19195.939999999999</v>
      </c>
    </row>
    <row r="1508" spans="1:7" x14ac:dyDescent="0.35">
      <c r="A1508" s="1">
        <v>42387</v>
      </c>
      <c r="B1508">
        <v>2935.39</v>
      </c>
      <c r="C1508">
        <v>4189.57</v>
      </c>
      <c r="D1508">
        <v>9521.85</v>
      </c>
      <c r="E1508">
        <v>7568.23531</v>
      </c>
      <c r="F1508">
        <v>8469.2999999999993</v>
      </c>
      <c r="G1508">
        <v>18686.86</v>
      </c>
    </row>
    <row r="1509" spans="1:7" x14ac:dyDescent="0.35">
      <c r="A1509" s="1">
        <v>42388</v>
      </c>
      <c r="B1509">
        <v>2980.49</v>
      </c>
      <c r="C1509">
        <v>4272.26</v>
      </c>
      <c r="D1509">
        <v>9664.2099999999991</v>
      </c>
      <c r="E1509">
        <v>7628.3316299999997</v>
      </c>
      <c r="F1509">
        <v>8554.9</v>
      </c>
      <c r="G1509">
        <v>18880.52</v>
      </c>
    </row>
    <row r="1510" spans="1:7" x14ac:dyDescent="0.35">
      <c r="A1510" s="1">
        <v>42389</v>
      </c>
      <c r="B1510">
        <v>2882.59</v>
      </c>
      <c r="C1510">
        <v>4124.95</v>
      </c>
      <c r="D1510">
        <v>9391.64</v>
      </c>
      <c r="E1510">
        <v>7366.8758699999998</v>
      </c>
      <c r="F1510">
        <v>8281.4</v>
      </c>
      <c r="G1510">
        <v>17967.91</v>
      </c>
    </row>
    <row r="1511" spans="1:7" x14ac:dyDescent="0.35">
      <c r="A1511" s="1">
        <v>42390</v>
      </c>
      <c r="B1511">
        <v>2943.92</v>
      </c>
      <c r="C1511">
        <v>4206.3999999999996</v>
      </c>
      <c r="D1511">
        <v>9574.16</v>
      </c>
      <c r="E1511">
        <v>7564.3890199999996</v>
      </c>
      <c r="F1511">
        <v>8444.2000000000007</v>
      </c>
      <c r="G1511">
        <v>18723.22</v>
      </c>
    </row>
    <row r="1512" spans="1:7" x14ac:dyDescent="0.35">
      <c r="A1512" s="1">
        <v>42391</v>
      </c>
      <c r="B1512">
        <v>3023.21</v>
      </c>
      <c r="C1512">
        <v>4336.6899999999996</v>
      </c>
      <c r="D1512">
        <v>9764.8799999999992</v>
      </c>
      <c r="E1512">
        <v>7799.9299899999996</v>
      </c>
      <c r="F1512">
        <v>8722.9</v>
      </c>
      <c r="G1512">
        <v>19028.419999999998</v>
      </c>
    </row>
    <row r="1513" spans="1:7" x14ac:dyDescent="0.35">
      <c r="A1513" s="1">
        <v>42394</v>
      </c>
      <c r="B1513">
        <v>3001.78</v>
      </c>
      <c r="C1513">
        <v>4311.33</v>
      </c>
      <c r="D1513">
        <v>9736.15</v>
      </c>
      <c r="E1513">
        <v>7728.9251199999999</v>
      </c>
      <c r="F1513">
        <v>8567.7000000000007</v>
      </c>
      <c r="G1513">
        <v>18641.47</v>
      </c>
    </row>
    <row r="1514" spans="1:7" x14ac:dyDescent="0.35">
      <c r="A1514" s="1">
        <v>42395</v>
      </c>
      <c r="B1514">
        <v>3032.84</v>
      </c>
      <c r="C1514">
        <v>4356.8100000000004</v>
      </c>
      <c r="D1514">
        <v>9822.75</v>
      </c>
      <c r="E1514">
        <v>7823.2536399999999</v>
      </c>
      <c r="F1514">
        <v>8692.5</v>
      </c>
      <c r="G1514">
        <v>18923.830000000002</v>
      </c>
    </row>
    <row r="1515" spans="1:7" x14ac:dyDescent="0.35">
      <c r="A1515" s="1">
        <v>42396</v>
      </c>
      <c r="B1515">
        <v>3043.47</v>
      </c>
      <c r="C1515">
        <v>4380.3599999999997</v>
      </c>
      <c r="D1515">
        <v>9880.82</v>
      </c>
      <c r="E1515">
        <v>7862.0851300000004</v>
      </c>
      <c r="F1515">
        <v>8741</v>
      </c>
      <c r="G1515">
        <v>18848.03</v>
      </c>
    </row>
    <row r="1516" spans="1:7" x14ac:dyDescent="0.35">
      <c r="A1516" s="1">
        <v>42397</v>
      </c>
      <c r="B1516">
        <v>2979.42</v>
      </c>
      <c r="C1516">
        <v>4322.16</v>
      </c>
      <c r="D1516">
        <v>9639.59</v>
      </c>
      <c r="E1516">
        <v>7788.0016999999998</v>
      </c>
      <c r="F1516">
        <v>8590.6</v>
      </c>
      <c r="G1516">
        <v>18189.95</v>
      </c>
    </row>
    <row r="1517" spans="1:7" x14ac:dyDescent="0.35">
      <c r="A1517" s="1">
        <v>42398</v>
      </c>
      <c r="B1517">
        <v>3045.09</v>
      </c>
      <c r="C1517">
        <v>4417.0200000000004</v>
      </c>
      <c r="D1517">
        <v>9798.11</v>
      </c>
      <c r="E1517">
        <v>7980.2402599999996</v>
      </c>
      <c r="F1517">
        <v>8815.7999999999993</v>
      </c>
      <c r="G1517">
        <v>18657.29</v>
      </c>
    </row>
    <row r="1518" spans="1:7" x14ac:dyDescent="0.35">
      <c r="A1518" s="1">
        <v>42401</v>
      </c>
      <c r="B1518">
        <v>3021.01</v>
      </c>
      <c r="C1518">
        <v>4392.33</v>
      </c>
      <c r="D1518">
        <v>9757.8799999999992</v>
      </c>
      <c r="E1518">
        <v>8005.38598</v>
      </c>
      <c r="F1518">
        <v>8788.5</v>
      </c>
      <c r="G1518">
        <v>18485.95</v>
      </c>
    </row>
    <row r="1519" spans="1:7" x14ac:dyDescent="0.35">
      <c r="A1519" s="1">
        <v>42402</v>
      </c>
      <c r="B1519">
        <v>2951.85</v>
      </c>
      <c r="C1519">
        <v>4283.99</v>
      </c>
      <c r="D1519">
        <v>9581.0400000000009</v>
      </c>
      <c r="E1519">
        <v>7821.82989</v>
      </c>
      <c r="F1519">
        <v>8528.7000000000007</v>
      </c>
      <c r="G1519">
        <v>17922.45</v>
      </c>
    </row>
    <row r="1520" spans="1:7" x14ac:dyDescent="0.35">
      <c r="A1520" s="1">
        <v>42403</v>
      </c>
      <c r="B1520">
        <v>2896.63</v>
      </c>
      <c r="C1520">
        <v>4226.96</v>
      </c>
      <c r="D1520">
        <v>9434.82</v>
      </c>
      <c r="E1520">
        <v>7690.1919399999997</v>
      </c>
      <c r="F1520">
        <v>8314.5</v>
      </c>
      <c r="G1520">
        <v>17412.04</v>
      </c>
    </row>
    <row r="1521" spans="1:7" x14ac:dyDescent="0.35">
      <c r="A1521" s="1">
        <v>42404</v>
      </c>
      <c r="B1521">
        <v>2905.3</v>
      </c>
      <c r="C1521">
        <v>4228.53</v>
      </c>
      <c r="D1521">
        <v>9393.36</v>
      </c>
      <c r="E1521">
        <v>7684.66662</v>
      </c>
      <c r="F1521">
        <v>8468.1</v>
      </c>
      <c r="G1521">
        <v>17626.04</v>
      </c>
    </row>
    <row r="1522" spans="1:7" x14ac:dyDescent="0.35">
      <c r="A1522" s="1">
        <v>42405</v>
      </c>
      <c r="B1522">
        <v>2879.39</v>
      </c>
      <c r="C1522">
        <v>4200.67</v>
      </c>
      <c r="D1522">
        <v>9286.23</v>
      </c>
      <c r="E1522">
        <v>7597.3854300000003</v>
      </c>
      <c r="F1522">
        <v>8499.5</v>
      </c>
      <c r="G1522">
        <v>17250.259999999998</v>
      </c>
    </row>
    <row r="1523" spans="1:7" x14ac:dyDescent="0.35">
      <c r="A1523" s="1">
        <v>42408</v>
      </c>
      <c r="B1523">
        <v>2785.17</v>
      </c>
      <c r="C1523">
        <v>4066.31</v>
      </c>
      <c r="D1523">
        <v>8979.36</v>
      </c>
      <c r="E1523">
        <v>7345.46569</v>
      </c>
      <c r="F1523">
        <v>8122.1</v>
      </c>
      <c r="G1523">
        <v>16441.2</v>
      </c>
    </row>
    <row r="1524" spans="1:7" x14ac:dyDescent="0.35">
      <c r="A1524" s="1">
        <v>42409</v>
      </c>
      <c r="B1524">
        <v>2736.5</v>
      </c>
      <c r="C1524">
        <v>3997.54</v>
      </c>
      <c r="D1524">
        <v>8879.4</v>
      </c>
      <c r="E1524">
        <v>7212.1509999999998</v>
      </c>
      <c r="F1524">
        <v>7927.6</v>
      </c>
      <c r="G1524">
        <v>15913.12</v>
      </c>
    </row>
    <row r="1525" spans="1:7" x14ac:dyDescent="0.35">
      <c r="A1525" s="1">
        <v>42410</v>
      </c>
      <c r="B1525">
        <v>2789.05</v>
      </c>
      <c r="C1525">
        <v>4061.2</v>
      </c>
      <c r="D1525">
        <v>9017.2900000000009</v>
      </c>
      <c r="E1525">
        <v>7315.0393000000004</v>
      </c>
      <c r="F1525">
        <v>8143.7</v>
      </c>
      <c r="G1525">
        <v>16714.14</v>
      </c>
    </row>
    <row r="1526" spans="1:7" x14ac:dyDescent="0.35">
      <c r="A1526" s="1">
        <v>42411</v>
      </c>
      <c r="B1526">
        <v>2680.35</v>
      </c>
      <c r="C1526">
        <v>3896.71</v>
      </c>
      <c r="D1526">
        <v>8752.8700000000008</v>
      </c>
      <c r="E1526">
        <v>7064.6459199999999</v>
      </c>
      <c r="F1526">
        <v>7746.3</v>
      </c>
      <c r="G1526">
        <v>15773</v>
      </c>
    </row>
    <row r="1527" spans="1:7" x14ac:dyDescent="0.35">
      <c r="A1527" s="1">
        <v>42412</v>
      </c>
      <c r="B1527">
        <v>2756.16</v>
      </c>
      <c r="C1527">
        <v>3995.06</v>
      </c>
      <c r="D1527">
        <v>8967.51</v>
      </c>
      <c r="E1527">
        <v>7345.8831899999996</v>
      </c>
      <c r="F1527">
        <v>7920.8</v>
      </c>
      <c r="G1527">
        <v>16514.87</v>
      </c>
    </row>
    <row r="1528" spans="1:7" x14ac:dyDescent="0.35">
      <c r="A1528" s="1">
        <v>42415</v>
      </c>
      <c r="B1528">
        <v>2833.87</v>
      </c>
      <c r="C1528">
        <v>4115.25</v>
      </c>
      <c r="D1528">
        <v>9206.84</v>
      </c>
      <c r="E1528">
        <v>7539.2996999999996</v>
      </c>
      <c r="F1528">
        <v>8179.2</v>
      </c>
      <c r="G1528">
        <v>17041.82</v>
      </c>
    </row>
    <row r="1529" spans="1:7" x14ac:dyDescent="0.35">
      <c r="A1529" s="1">
        <v>42416</v>
      </c>
      <c r="B1529">
        <v>2821.26</v>
      </c>
      <c r="C1529">
        <v>4110.66</v>
      </c>
      <c r="D1529">
        <v>9135.11</v>
      </c>
      <c r="E1529">
        <v>7528.6538099999998</v>
      </c>
      <c r="F1529">
        <v>8137.6</v>
      </c>
      <c r="G1529">
        <v>16957.84</v>
      </c>
    </row>
    <row r="1530" spans="1:7" x14ac:dyDescent="0.35">
      <c r="A1530" s="1">
        <v>42417</v>
      </c>
      <c r="B1530">
        <v>2897.72</v>
      </c>
      <c r="C1530">
        <v>4233.47</v>
      </c>
      <c r="D1530">
        <v>9377.2099999999991</v>
      </c>
      <c r="E1530">
        <v>7743.9156400000002</v>
      </c>
      <c r="F1530">
        <v>8364.9</v>
      </c>
      <c r="G1530">
        <v>17377.89</v>
      </c>
    </row>
    <row r="1531" spans="1:7" x14ac:dyDescent="0.35">
      <c r="A1531" s="1">
        <v>42418</v>
      </c>
      <c r="B1531">
        <v>2895.15</v>
      </c>
      <c r="C1531">
        <v>4239.76</v>
      </c>
      <c r="D1531">
        <v>9463.64</v>
      </c>
      <c r="E1531">
        <v>7704.1647400000002</v>
      </c>
      <c r="F1531">
        <v>8295.4</v>
      </c>
      <c r="G1531">
        <v>17112.36</v>
      </c>
    </row>
    <row r="1532" spans="1:7" x14ac:dyDescent="0.35">
      <c r="A1532" s="1">
        <v>42419</v>
      </c>
      <c r="B1532">
        <v>2871.05</v>
      </c>
      <c r="C1532">
        <v>4223.04</v>
      </c>
      <c r="D1532">
        <v>9388.0499999999993</v>
      </c>
      <c r="E1532">
        <v>7673.4388499999995</v>
      </c>
      <c r="F1532">
        <v>8194.2000000000007</v>
      </c>
      <c r="G1532">
        <v>16909.560000000001</v>
      </c>
    </row>
    <row r="1533" spans="1:7" x14ac:dyDescent="0.35">
      <c r="A1533" s="1">
        <v>42422</v>
      </c>
      <c r="B1533">
        <v>2933.91</v>
      </c>
      <c r="C1533">
        <v>4298.7</v>
      </c>
      <c r="D1533">
        <v>9573.59</v>
      </c>
      <c r="E1533">
        <v>7755.2090500000004</v>
      </c>
      <c r="F1533">
        <v>8387</v>
      </c>
      <c r="G1533">
        <v>17504.580000000002</v>
      </c>
    </row>
    <row r="1534" spans="1:7" x14ac:dyDescent="0.35">
      <c r="A1534" s="1">
        <v>42423</v>
      </c>
      <c r="B1534">
        <v>2887.38</v>
      </c>
      <c r="C1534">
        <v>4238.42</v>
      </c>
      <c r="D1534">
        <v>9416.77</v>
      </c>
      <c r="E1534">
        <v>7589.0830900000001</v>
      </c>
      <c r="F1534">
        <v>8267.6</v>
      </c>
      <c r="G1534">
        <v>17163.46</v>
      </c>
    </row>
    <row r="1535" spans="1:7" x14ac:dyDescent="0.35">
      <c r="A1535" s="1">
        <v>42424</v>
      </c>
      <c r="B1535">
        <v>2820.24</v>
      </c>
      <c r="C1535">
        <v>4155.34</v>
      </c>
      <c r="D1535">
        <v>9167.7999999999993</v>
      </c>
      <c r="E1535">
        <v>7411.6789399999998</v>
      </c>
      <c r="F1535">
        <v>8013.7</v>
      </c>
      <c r="G1535">
        <v>16719.36</v>
      </c>
    </row>
    <row r="1536" spans="1:7" x14ac:dyDescent="0.35">
      <c r="A1536" s="1">
        <v>42425</v>
      </c>
      <c r="B1536">
        <v>2877.42</v>
      </c>
      <c r="C1536">
        <v>4248.45</v>
      </c>
      <c r="D1536">
        <v>9331.48</v>
      </c>
      <c r="E1536">
        <v>7597.5647399999998</v>
      </c>
      <c r="F1536">
        <v>8215.6</v>
      </c>
      <c r="G1536">
        <v>17104.54</v>
      </c>
    </row>
    <row r="1537" spans="1:7" x14ac:dyDescent="0.35">
      <c r="A1537" s="1">
        <v>42426</v>
      </c>
      <c r="B1537">
        <v>2929.16</v>
      </c>
      <c r="C1537">
        <v>4314.57</v>
      </c>
      <c r="D1537">
        <v>9513.2999999999993</v>
      </c>
      <c r="E1537">
        <v>7742.6301800000001</v>
      </c>
      <c r="F1537">
        <v>8349.2000000000007</v>
      </c>
      <c r="G1537">
        <v>17483.759999999998</v>
      </c>
    </row>
    <row r="1538" spans="1:7" x14ac:dyDescent="0.35">
      <c r="A1538" s="1">
        <v>42429</v>
      </c>
      <c r="B1538">
        <v>2945.75</v>
      </c>
      <c r="C1538">
        <v>4353.55</v>
      </c>
      <c r="D1538">
        <v>9495.4</v>
      </c>
      <c r="E1538">
        <v>7800.3506399999997</v>
      </c>
      <c r="F1538">
        <v>8461.4</v>
      </c>
      <c r="G1538">
        <v>17623.07</v>
      </c>
    </row>
    <row r="1539" spans="1:7" x14ac:dyDescent="0.35">
      <c r="A1539" s="1">
        <v>42430</v>
      </c>
      <c r="B1539">
        <v>2996.39</v>
      </c>
      <c r="C1539">
        <v>4406.84</v>
      </c>
      <c r="D1539">
        <v>9717.16</v>
      </c>
      <c r="E1539">
        <v>7907.8504700000003</v>
      </c>
      <c r="F1539">
        <v>8611</v>
      </c>
      <c r="G1539">
        <v>18011.91</v>
      </c>
    </row>
    <row r="1540" spans="1:7" x14ac:dyDescent="0.35">
      <c r="A1540" s="1">
        <v>42431</v>
      </c>
      <c r="B1540">
        <v>3022.14</v>
      </c>
      <c r="C1540">
        <v>4424.8900000000003</v>
      </c>
      <c r="D1540">
        <v>9776.6200000000008</v>
      </c>
      <c r="E1540">
        <v>7966.3133600000001</v>
      </c>
      <c r="F1540">
        <v>8764.5</v>
      </c>
      <c r="G1540">
        <v>18206.41</v>
      </c>
    </row>
    <row r="1541" spans="1:7" x14ac:dyDescent="0.35">
      <c r="A1541" s="1">
        <v>42432</v>
      </c>
      <c r="B1541">
        <v>3012.87</v>
      </c>
      <c r="C1541">
        <v>4416.08</v>
      </c>
      <c r="D1541">
        <v>9751.92</v>
      </c>
      <c r="E1541">
        <v>7921.5445099999997</v>
      </c>
      <c r="F1541">
        <v>8767</v>
      </c>
      <c r="G1541">
        <v>18348.5</v>
      </c>
    </row>
    <row r="1542" spans="1:7" x14ac:dyDescent="0.35">
      <c r="A1542" s="1">
        <v>42433</v>
      </c>
      <c r="B1542">
        <v>3037.35</v>
      </c>
      <c r="C1542">
        <v>4456.62</v>
      </c>
      <c r="D1542">
        <v>9824.17</v>
      </c>
      <c r="E1542">
        <v>8016.7569999999996</v>
      </c>
      <c r="F1542">
        <v>8811.6</v>
      </c>
      <c r="G1542">
        <v>18278.98</v>
      </c>
    </row>
    <row r="1543" spans="1:7" x14ac:dyDescent="0.35">
      <c r="A1543" s="1">
        <v>42436</v>
      </c>
      <c r="B1543">
        <v>3021.09</v>
      </c>
      <c r="C1543">
        <v>4442.29</v>
      </c>
      <c r="D1543">
        <v>9778.93</v>
      </c>
      <c r="E1543">
        <v>8008.3424699999996</v>
      </c>
      <c r="F1543">
        <v>8786.7999999999993</v>
      </c>
      <c r="G1543">
        <v>18059.27</v>
      </c>
    </row>
    <row r="1544" spans="1:7" x14ac:dyDescent="0.35">
      <c r="A1544" s="1">
        <v>42437</v>
      </c>
      <c r="B1544">
        <v>3002.01</v>
      </c>
      <c r="C1544">
        <v>4404.0200000000004</v>
      </c>
      <c r="D1544">
        <v>9692.82</v>
      </c>
      <c r="E1544">
        <v>7908.7607699999999</v>
      </c>
      <c r="F1544">
        <v>8740.2999999999993</v>
      </c>
      <c r="G1544">
        <v>18017.560000000001</v>
      </c>
    </row>
    <row r="1545" spans="1:7" x14ac:dyDescent="0.35">
      <c r="A1545" s="1">
        <v>42438</v>
      </c>
      <c r="B1545">
        <v>3016.18</v>
      </c>
      <c r="C1545">
        <v>4425.6499999999996</v>
      </c>
      <c r="D1545">
        <v>9723.09</v>
      </c>
      <c r="E1545">
        <v>7927.4097400000001</v>
      </c>
      <c r="F1545">
        <v>8761.1</v>
      </c>
      <c r="G1545">
        <v>18208.919999999998</v>
      </c>
    </row>
    <row r="1546" spans="1:7" x14ac:dyDescent="0.35">
      <c r="A1546" s="1">
        <v>42439</v>
      </c>
      <c r="B1546">
        <v>2970.78</v>
      </c>
      <c r="C1546">
        <v>4350.3500000000004</v>
      </c>
      <c r="D1546">
        <v>9498.15</v>
      </c>
      <c r="E1546">
        <v>7704.1536699999997</v>
      </c>
      <c r="F1546">
        <v>8766.9</v>
      </c>
      <c r="G1546">
        <v>18118.23</v>
      </c>
    </row>
    <row r="1547" spans="1:7" x14ac:dyDescent="0.35">
      <c r="A1547" s="1">
        <v>42440</v>
      </c>
      <c r="B1547">
        <v>3073.8</v>
      </c>
      <c r="C1547">
        <v>4492.79</v>
      </c>
      <c r="D1547">
        <v>9831.1299999999992</v>
      </c>
      <c r="E1547">
        <v>7926.8013099999998</v>
      </c>
      <c r="F1547">
        <v>9090.6</v>
      </c>
      <c r="G1547">
        <v>18987.75</v>
      </c>
    </row>
    <row r="1548" spans="1:7" x14ac:dyDescent="0.35">
      <c r="A1548" s="1">
        <v>42443</v>
      </c>
      <c r="B1548">
        <v>3091.98</v>
      </c>
      <c r="C1548">
        <v>4506.59</v>
      </c>
      <c r="D1548">
        <v>9990.26</v>
      </c>
      <c r="E1548">
        <v>7971.5174800000004</v>
      </c>
      <c r="F1548">
        <v>9142.7000000000007</v>
      </c>
      <c r="G1548">
        <v>18981.77</v>
      </c>
    </row>
    <row r="1549" spans="1:7" x14ac:dyDescent="0.35">
      <c r="A1549" s="1">
        <v>42444</v>
      </c>
      <c r="B1549">
        <v>3067.21</v>
      </c>
      <c r="C1549">
        <v>4472.63</v>
      </c>
      <c r="D1549">
        <v>9933.85</v>
      </c>
      <c r="E1549">
        <v>7822.6456099999996</v>
      </c>
      <c r="F1549">
        <v>8988.2999999999993</v>
      </c>
      <c r="G1549">
        <v>18765.37</v>
      </c>
    </row>
    <row r="1550" spans="1:7" x14ac:dyDescent="0.35">
      <c r="A1550" s="1">
        <v>42445</v>
      </c>
      <c r="B1550">
        <v>3062.05</v>
      </c>
      <c r="C1550">
        <v>4463</v>
      </c>
      <c r="D1550">
        <v>9983.41</v>
      </c>
      <c r="E1550">
        <v>7867.1608100000003</v>
      </c>
      <c r="F1550">
        <v>8962.7999999999993</v>
      </c>
      <c r="G1550">
        <v>18731.75</v>
      </c>
    </row>
    <row r="1551" spans="1:7" x14ac:dyDescent="0.35">
      <c r="A1551" s="1">
        <v>42446</v>
      </c>
      <c r="B1551">
        <v>3043.1</v>
      </c>
      <c r="C1551">
        <v>4442.8900000000003</v>
      </c>
      <c r="D1551">
        <v>9892.2000000000007</v>
      </c>
      <c r="E1551">
        <v>7930.2889999999998</v>
      </c>
      <c r="F1551">
        <v>8978.7999999999993</v>
      </c>
      <c r="G1551">
        <v>18608.03</v>
      </c>
    </row>
    <row r="1552" spans="1:7" x14ac:dyDescent="0.35">
      <c r="A1552" s="1">
        <v>42447</v>
      </c>
      <c r="B1552">
        <v>3059.77</v>
      </c>
      <c r="C1552">
        <v>4462.51</v>
      </c>
      <c r="D1552">
        <v>9950.7999999999993</v>
      </c>
      <c r="E1552">
        <v>7954.5794800000003</v>
      </c>
      <c r="F1552">
        <v>9051.1</v>
      </c>
      <c r="G1552">
        <v>18611.34</v>
      </c>
    </row>
    <row r="1553" spans="1:7" x14ac:dyDescent="0.35">
      <c r="A1553" s="1">
        <v>42450</v>
      </c>
      <c r="B1553">
        <v>3048.77</v>
      </c>
      <c r="C1553">
        <v>4427.8</v>
      </c>
      <c r="D1553">
        <v>9948.64</v>
      </c>
      <c r="E1553">
        <v>7915.3167599999997</v>
      </c>
      <c r="F1553">
        <v>9021</v>
      </c>
      <c r="G1553">
        <v>18696.93</v>
      </c>
    </row>
    <row r="1554" spans="1:7" x14ac:dyDescent="0.35">
      <c r="A1554" s="1">
        <v>42451</v>
      </c>
      <c r="B1554">
        <v>3051.23</v>
      </c>
      <c r="C1554">
        <v>4431.97</v>
      </c>
      <c r="D1554">
        <v>9990</v>
      </c>
      <c r="E1554">
        <v>7846.7496099999998</v>
      </c>
      <c r="F1554">
        <v>8992</v>
      </c>
      <c r="G1554">
        <v>18698.82</v>
      </c>
    </row>
    <row r="1555" spans="1:7" x14ac:dyDescent="0.35">
      <c r="A1555" s="1">
        <v>42452</v>
      </c>
      <c r="B1555">
        <v>3042.42</v>
      </c>
      <c r="C1555">
        <v>4423.9799999999996</v>
      </c>
      <c r="D1555">
        <v>10022.93</v>
      </c>
      <c r="E1555">
        <v>7822.05296</v>
      </c>
      <c r="F1555">
        <v>8927.1</v>
      </c>
      <c r="G1555">
        <v>18462.88</v>
      </c>
    </row>
    <row r="1556" spans="1:7" x14ac:dyDescent="0.35">
      <c r="A1556" s="1">
        <v>42453</v>
      </c>
      <c r="B1556">
        <v>2986.73</v>
      </c>
      <c r="C1556">
        <v>4329.68</v>
      </c>
      <c r="D1556">
        <v>9851.35</v>
      </c>
      <c r="E1556">
        <v>7741.46191</v>
      </c>
      <c r="F1556">
        <v>8789.7999999999993</v>
      </c>
      <c r="G1556">
        <v>18165.84</v>
      </c>
    </row>
    <row r="1557" spans="1:7" x14ac:dyDescent="0.35">
      <c r="A1557" s="1">
        <v>42458</v>
      </c>
      <c r="B1557">
        <v>3004.87</v>
      </c>
      <c r="C1557">
        <v>4366.67</v>
      </c>
      <c r="D1557">
        <v>9887.94</v>
      </c>
      <c r="E1557">
        <v>7786.7163200000005</v>
      </c>
      <c r="F1557">
        <v>8808.2999999999993</v>
      </c>
      <c r="G1557">
        <v>18171.86</v>
      </c>
    </row>
    <row r="1558" spans="1:7" x14ac:dyDescent="0.35">
      <c r="A1558" s="1">
        <v>42459</v>
      </c>
      <c r="B1558">
        <v>3044.1</v>
      </c>
      <c r="C1558">
        <v>4444.42</v>
      </c>
      <c r="D1558">
        <v>10046.61</v>
      </c>
      <c r="E1558">
        <v>7887.2711900000004</v>
      </c>
      <c r="F1558">
        <v>8870.2000000000007</v>
      </c>
      <c r="G1558">
        <v>18375.32</v>
      </c>
    </row>
    <row r="1559" spans="1:7" x14ac:dyDescent="0.35">
      <c r="A1559" s="1">
        <v>42460</v>
      </c>
      <c r="B1559">
        <v>3004.93</v>
      </c>
      <c r="C1559">
        <v>4385.0600000000004</v>
      </c>
      <c r="D1559">
        <v>9965.51</v>
      </c>
      <c r="E1559">
        <v>7809.6397999999999</v>
      </c>
      <c r="F1559">
        <v>8723.1</v>
      </c>
      <c r="G1559">
        <v>18116.88</v>
      </c>
    </row>
    <row r="1560" spans="1:7" x14ac:dyDescent="0.35">
      <c r="A1560" s="1">
        <v>42461</v>
      </c>
      <c r="B1560">
        <v>2953.28</v>
      </c>
      <c r="C1560">
        <v>4322.24</v>
      </c>
      <c r="D1560">
        <v>9794.64</v>
      </c>
      <c r="E1560">
        <v>7671.7723800000003</v>
      </c>
      <c r="F1560">
        <v>8602.2999999999993</v>
      </c>
      <c r="G1560">
        <v>17776.84</v>
      </c>
    </row>
    <row r="1561" spans="1:7" x14ac:dyDescent="0.35">
      <c r="A1561" s="1">
        <v>42464</v>
      </c>
      <c r="B1561">
        <v>2962.28</v>
      </c>
      <c r="C1561">
        <v>4345.22</v>
      </c>
      <c r="D1561">
        <v>9822.08</v>
      </c>
      <c r="E1561">
        <v>7721.1833100000003</v>
      </c>
      <c r="F1561">
        <v>8597.5</v>
      </c>
      <c r="G1561">
        <v>17639.259999999998</v>
      </c>
    </row>
    <row r="1562" spans="1:7" x14ac:dyDescent="0.35">
      <c r="A1562" s="1">
        <v>42465</v>
      </c>
      <c r="B1562">
        <v>2890.35</v>
      </c>
      <c r="C1562">
        <v>4250.28</v>
      </c>
      <c r="D1562">
        <v>9563.36</v>
      </c>
      <c r="E1562">
        <v>7570.7425199999998</v>
      </c>
      <c r="F1562">
        <v>8387.7000000000007</v>
      </c>
      <c r="G1562">
        <v>17109.3</v>
      </c>
    </row>
    <row r="1563" spans="1:7" x14ac:dyDescent="0.35">
      <c r="A1563" s="1">
        <v>42466</v>
      </c>
      <c r="B1563">
        <v>2909.36</v>
      </c>
      <c r="C1563">
        <v>4284.6400000000003</v>
      </c>
      <c r="D1563">
        <v>9624.51</v>
      </c>
      <c r="E1563">
        <v>7626.0629600000002</v>
      </c>
      <c r="F1563">
        <v>8398.6</v>
      </c>
      <c r="G1563">
        <v>17240.91</v>
      </c>
    </row>
    <row r="1564" spans="1:7" x14ac:dyDescent="0.35">
      <c r="A1564" s="1">
        <v>42467</v>
      </c>
      <c r="B1564">
        <v>2871.57</v>
      </c>
      <c r="C1564">
        <v>4245.91</v>
      </c>
      <c r="D1564">
        <v>9530.6200000000008</v>
      </c>
      <c r="E1564">
        <v>7589.1146699999999</v>
      </c>
      <c r="F1564">
        <v>8292.9</v>
      </c>
      <c r="G1564">
        <v>16818.25</v>
      </c>
    </row>
    <row r="1565" spans="1:7" x14ac:dyDescent="0.35">
      <c r="A1565" s="1">
        <v>42468</v>
      </c>
      <c r="B1565">
        <v>2911.98</v>
      </c>
      <c r="C1565">
        <v>4303.12</v>
      </c>
      <c r="D1565">
        <v>9622.26</v>
      </c>
      <c r="E1565">
        <v>7678.4129000000003</v>
      </c>
      <c r="F1565">
        <v>8427.6</v>
      </c>
      <c r="G1565">
        <v>17504.62</v>
      </c>
    </row>
    <row r="1566" spans="1:7" x14ac:dyDescent="0.35">
      <c r="A1566" s="1">
        <v>42471</v>
      </c>
      <c r="B1566">
        <v>2924.23</v>
      </c>
      <c r="C1566">
        <v>4312.63</v>
      </c>
      <c r="D1566">
        <v>9682.99</v>
      </c>
      <c r="E1566">
        <v>7736.8415199999999</v>
      </c>
      <c r="F1566">
        <v>8497.6</v>
      </c>
      <c r="G1566">
        <v>17722.66</v>
      </c>
    </row>
    <row r="1567" spans="1:7" x14ac:dyDescent="0.35">
      <c r="A1567" s="1">
        <v>42472</v>
      </c>
      <c r="B1567">
        <v>2942.09</v>
      </c>
      <c r="C1567">
        <v>4345.91</v>
      </c>
      <c r="D1567">
        <v>9761.4699999999993</v>
      </c>
      <c r="E1567">
        <v>7816.1571000000004</v>
      </c>
      <c r="F1567">
        <v>8546.2999999999993</v>
      </c>
      <c r="G1567">
        <v>17444.8</v>
      </c>
    </row>
    <row r="1568" spans="1:7" x14ac:dyDescent="0.35">
      <c r="A1568" s="1">
        <v>42473</v>
      </c>
      <c r="B1568">
        <v>3039.19</v>
      </c>
      <c r="C1568">
        <v>4490.3100000000004</v>
      </c>
      <c r="D1568">
        <v>10026.1</v>
      </c>
      <c r="E1568">
        <v>8018.5830900000001</v>
      </c>
      <c r="F1568">
        <v>8820.7000000000007</v>
      </c>
      <c r="G1568">
        <v>18165.59</v>
      </c>
    </row>
    <row r="1569" spans="1:7" x14ac:dyDescent="0.35">
      <c r="A1569" s="1">
        <v>42474</v>
      </c>
      <c r="B1569">
        <v>3060.86</v>
      </c>
      <c r="C1569">
        <v>4511.51</v>
      </c>
      <c r="D1569">
        <v>10093.65</v>
      </c>
      <c r="E1569">
        <v>7999.1762699999999</v>
      </c>
      <c r="F1569">
        <v>8861.5</v>
      </c>
      <c r="G1569">
        <v>18329.09</v>
      </c>
    </row>
    <row r="1570" spans="1:7" x14ac:dyDescent="0.35">
      <c r="A1570" s="1">
        <v>42475</v>
      </c>
      <c r="B1570">
        <v>3054.34</v>
      </c>
      <c r="C1570">
        <v>4495.17</v>
      </c>
      <c r="D1570">
        <v>10051.57</v>
      </c>
      <c r="E1570">
        <v>7988.9250300000003</v>
      </c>
      <c r="F1570">
        <v>8850.9</v>
      </c>
      <c r="G1570">
        <v>18257.349999999999</v>
      </c>
    </row>
    <row r="1571" spans="1:7" x14ac:dyDescent="0.35">
      <c r="A1571" s="1">
        <v>42478</v>
      </c>
      <c r="B1571">
        <v>3064.03</v>
      </c>
      <c r="C1571">
        <v>4506.84</v>
      </c>
      <c r="D1571">
        <v>10120.31</v>
      </c>
      <c r="E1571">
        <v>8009.6428299999998</v>
      </c>
      <c r="F1571">
        <v>8881.6</v>
      </c>
      <c r="G1571">
        <v>18358.25</v>
      </c>
    </row>
    <row r="1572" spans="1:7" x14ac:dyDescent="0.35">
      <c r="A1572" s="1">
        <v>42479</v>
      </c>
      <c r="B1572">
        <v>3112.99</v>
      </c>
      <c r="C1572">
        <v>4566.4799999999996</v>
      </c>
      <c r="D1572">
        <v>10349.59</v>
      </c>
      <c r="E1572">
        <v>8099.5920999999998</v>
      </c>
      <c r="F1572">
        <v>8971.2999999999993</v>
      </c>
      <c r="G1572">
        <v>18447.98</v>
      </c>
    </row>
    <row r="1573" spans="1:7" x14ac:dyDescent="0.35">
      <c r="A1573" s="1">
        <v>42480</v>
      </c>
      <c r="B1573">
        <v>3142.52</v>
      </c>
      <c r="C1573">
        <v>4591.92</v>
      </c>
      <c r="D1573">
        <v>10421.290000000001</v>
      </c>
      <c r="E1573">
        <v>8139.1683000000003</v>
      </c>
      <c r="F1573">
        <v>9147.2000000000007</v>
      </c>
      <c r="G1573">
        <v>18658.36</v>
      </c>
    </row>
    <row r="1574" spans="1:7" x14ac:dyDescent="0.35">
      <c r="A1574" s="1">
        <v>42481</v>
      </c>
      <c r="B1574">
        <v>3151.69</v>
      </c>
      <c r="C1574">
        <v>4582.83</v>
      </c>
      <c r="D1574">
        <v>10435.73</v>
      </c>
      <c r="E1574">
        <v>8094.0020500000001</v>
      </c>
      <c r="F1574">
        <v>9197.2000000000007</v>
      </c>
      <c r="G1574">
        <v>18732.96</v>
      </c>
    </row>
    <row r="1575" spans="1:7" x14ac:dyDescent="0.35">
      <c r="A1575" s="1">
        <v>42482</v>
      </c>
      <c r="B1575">
        <v>3141.12</v>
      </c>
      <c r="C1575">
        <v>4569.66</v>
      </c>
      <c r="D1575">
        <v>10373.49</v>
      </c>
      <c r="E1575">
        <v>8088.9236199999996</v>
      </c>
      <c r="F1575">
        <v>9232.7999999999993</v>
      </c>
      <c r="G1575">
        <v>18687.04</v>
      </c>
    </row>
    <row r="1576" spans="1:7" x14ac:dyDescent="0.35">
      <c r="A1576" s="1">
        <v>42485</v>
      </c>
      <c r="B1576">
        <v>3117.62</v>
      </c>
      <c r="C1576">
        <v>4546.12</v>
      </c>
      <c r="D1576">
        <v>10294.35</v>
      </c>
      <c r="E1576">
        <v>8051.5008799999996</v>
      </c>
      <c r="F1576">
        <v>9140</v>
      </c>
      <c r="G1576">
        <v>18403.23</v>
      </c>
    </row>
    <row r="1577" spans="1:7" x14ac:dyDescent="0.35">
      <c r="A1577" s="1">
        <v>42486</v>
      </c>
      <c r="B1577">
        <v>3121.29</v>
      </c>
      <c r="C1577">
        <v>4533.18</v>
      </c>
      <c r="D1577">
        <v>10259.59</v>
      </c>
      <c r="E1577">
        <v>8113.9579599999997</v>
      </c>
      <c r="F1577">
        <v>9283</v>
      </c>
      <c r="G1577">
        <v>18670.41</v>
      </c>
    </row>
    <row r="1578" spans="1:7" x14ac:dyDescent="0.35">
      <c r="A1578" s="1">
        <v>42487</v>
      </c>
      <c r="B1578">
        <v>3130.43</v>
      </c>
      <c r="C1578">
        <v>4559.3999999999996</v>
      </c>
      <c r="D1578">
        <v>10299.83</v>
      </c>
      <c r="E1578">
        <v>8123.1269899999998</v>
      </c>
      <c r="F1578">
        <v>9332.6</v>
      </c>
      <c r="G1578">
        <v>18750.62</v>
      </c>
    </row>
    <row r="1579" spans="1:7" x14ac:dyDescent="0.35">
      <c r="A1579" s="1">
        <v>42488</v>
      </c>
      <c r="B1579">
        <v>3125.43</v>
      </c>
      <c r="C1579">
        <v>4557.3599999999997</v>
      </c>
      <c r="D1579">
        <v>10321.15</v>
      </c>
      <c r="E1579">
        <v>8140.4315800000004</v>
      </c>
      <c r="F1579">
        <v>9269</v>
      </c>
      <c r="G1579">
        <v>18976.71</v>
      </c>
    </row>
    <row r="1580" spans="1:7" x14ac:dyDescent="0.35">
      <c r="A1580" s="1">
        <v>42489</v>
      </c>
      <c r="B1580">
        <v>3028.21</v>
      </c>
      <c r="C1580">
        <v>4428.96</v>
      </c>
      <c r="D1580">
        <v>10038.969999999999</v>
      </c>
      <c r="E1580">
        <v>7980.2345400000004</v>
      </c>
      <c r="F1580">
        <v>9025.7000000000007</v>
      </c>
      <c r="G1580">
        <v>18600.560000000001</v>
      </c>
    </row>
    <row r="1581" spans="1:7" x14ac:dyDescent="0.35">
      <c r="A1581" s="1">
        <v>42493</v>
      </c>
      <c r="B1581">
        <v>2974.2</v>
      </c>
      <c r="C1581">
        <v>4371.9799999999996</v>
      </c>
      <c r="D1581">
        <v>9926.77</v>
      </c>
      <c r="E1581">
        <v>7815.2973700000002</v>
      </c>
      <c r="F1581">
        <v>8764.9</v>
      </c>
      <c r="G1581">
        <v>17966.810000000001</v>
      </c>
    </row>
    <row r="1582" spans="1:7" x14ac:dyDescent="0.35">
      <c r="A1582" s="1">
        <v>42494</v>
      </c>
      <c r="B1582">
        <v>2938.75</v>
      </c>
      <c r="C1582">
        <v>4324.2299999999996</v>
      </c>
      <c r="D1582">
        <v>9828.25</v>
      </c>
      <c r="E1582">
        <v>7703.6863400000002</v>
      </c>
      <c r="F1582">
        <v>8654.2999999999993</v>
      </c>
      <c r="G1582">
        <v>17935.669999999998</v>
      </c>
    </row>
    <row r="1583" spans="1:7" x14ac:dyDescent="0.35">
      <c r="A1583" s="1">
        <v>42495</v>
      </c>
      <c r="B1583">
        <v>2940.35</v>
      </c>
      <c r="C1583">
        <v>4319.46</v>
      </c>
      <c r="D1583">
        <v>9851.86</v>
      </c>
      <c r="E1583">
        <v>7766.0986700000003</v>
      </c>
      <c r="F1583">
        <v>8689.4</v>
      </c>
      <c r="G1583">
        <v>17923.900000000001</v>
      </c>
    </row>
    <row r="1584" spans="1:7" x14ac:dyDescent="0.35">
      <c r="A1584" s="1">
        <v>42496</v>
      </c>
      <c r="B1584">
        <v>2936.84</v>
      </c>
      <c r="C1584">
        <v>4301.24</v>
      </c>
      <c r="D1584">
        <v>9869.9500000000007</v>
      </c>
      <c r="E1584">
        <v>7754.0370599999997</v>
      </c>
      <c r="F1584">
        <v>8702.1</v>
      </c>
      <c r="G1584">
        <v>17842.8</v>
      </c>
    </row>
    <row r="1585" spans="1:7" x14ac:dyDescent="0.35">
      <c r="A1585" s="1">
        <v>42499</v>
      </c>
      <c r="B1585">
        <v>2955.83</v>
      </c>
      <c r="C1585">
        <v>4322.8100000000004</v>
      </c>
      <c r="D1585">
        <v>9980.49</v>
      </c>
      <c r="E1585">
        <v>7729.5364099999997</v>
      </c>
      <c r="F1585">
        <v>8660.7999999999993</v>
      </c>
      <c r="G1585">
        <v>17685.8</v>
      </c>
    </row>
    <row r="1586" spans="1:7" x14ac:dyDescent="0.35">
      <c r="A1586" s="1">
        <v>42500</v>
      </c>
      <c r="B1586">
        <v>2978.97</v>
      </c>
      <c r="C1586">
        <v>4338.21</v>
      </c>
      <c r="D1586">
        <v>10045.44</v>
      </c>
      <c r="E1586">
        <v>7807.5106400000004</v>
      </c>
      <c r="F1586">
        <v>8775.2000000000007</v>
      </c>
      <c r="G1586">
        <v>17934.72</v>
      </c>
    </row>
    <row r="1587" spans="1:7" x14ac:dyDescent="0.35">
      <c r="A1587" s="1">
        <v>42501</v>
      </c>
      <c r="B1587">
        <v>2956.71</v>
      </c>
      <c r="C1587">
        <v>4316.67</v>
      </c>
      <c r="D1587">
        <v>9975.32</v>
      </c>
      <c r="E1587">
        <v>7798.5254400000003</v>
      </c>
      <c r="F1587">
        <v>8663.9</v>
      </c>
      <c r="G1587">
        <v>17698.080000000002</v>
      </c>
    </row>
    <row r="1588" spans="1:7" x14ac:dyDescent="0.35">
      <c r="A1588" s="1">
        <v>42502</v>
      </c>
      <c r="B1588">
        <v>2935.46</v>
      </c>
      <c r="C1588">
        <v>4293.2700000000004</v>
      </c>
      <c r="D1588">
        <v>9862.1200000000008</v>
      </c>
      <c r="E1588">
        <v>7754.3478100000002</v>
      </c>
      <c r="F1588">
        <v>8663.1</v>
      </c>
      <c r="G1588">
        <v>17651.36</v>
      </c>
    </row>
    <row r="1589" spans="1:7" x14ac:dyDescent="0.35">
      <c r="A1589" s="1">
        <v>42503</v>
      </c>
      <c r="B1589">
        <v>2956.63</v>
      </c>
      <c r="C1589">
        <v>4319.99</v>
      </c>
      <c r="D1589">
        <v>9952.9</v>
      </c>
      <c r="E1589">
        <v>7808.1893899999995</v>
      </c>
      <c r="F1589">
        <v>8721.5</v>
      </c>
      <c r="G1589">
        <v>17729.45</v>
      </c>
    </row>
    <row r="1590" spans="1:7" x14ac:dyDescent="0.35">
      <c r="A1590" s="1">
        <v>42507</v>
      </c>
      <c r="B1590">
        <v>2938.09</v>
      </c>
      <c r="C1590">
        <v>4297.57</v>
      </c>
      <c r="D1590">
        <v>9890.19</v>
      </c>
      <c r="E1590">
        <v>7877.3504400000002</v>
      </c>
      <c r="F1590">
        <v>8698.7000000000007</v>
      </c>
      <c r="G1590">
        <v>17498.88</v>
      </c>
    </row>
    <row r="1591" spans="1:7" x14ac:dyDescent="0.35">
      <c r="A1591" s="1">
        <v>42508</v>
      </c>
      <c r="B1591">
        <v>2956.43</v>
      </c>
      <c r="C1591">
        <v>4319.3</v>
      </c>
      <c r="D1591">
        <v>9943.23</v>
      </c>
      <c r="E1591">
        <v>7984.7683900000002</v>
      </c>
      <c r="F1591">
        <v>8775.1</v>
      </c>
      <c r="G1591">
        <v>17713.62</v>
      </c>
    </row>
    <row r="1592" spans="1:7" x14ac:dyDescent="0.35">
      <c r="A1592" s="1">
        <v>42509</v>
      </c>
      <c r="B1592">
        <v>2919.22</v>
      </c>
      <c r="C1592">
        <v>4282.54</v>
      </c>
      <c r="D1592">
        <v>9795.89</v>
      </c>
      <c r="E1592">
        <v>7895.0633699999998</v>
      </c>
      <c r="F1592">
        <v>8674.7000000000007</v>
      </c>
      <c r="G1592">
        <v>17545.560000000001</v>
      </c>
    </row>
    <row r="1593" spans="1:7" x14ac:dyDescent="0.35">
      <c r="A1593" s="1">
        <v>42510</v>
      </c>
      <c r="B1593">
        <v>2962.16</v>
      </c>
      <c r="C1593">
        <v>4353.8999999999996</v>
      </c>
      <c r="D1593">
        <v>9916.02</v>
      </c>
      <c r="E1593">
        <v>7969.2307899999996</v>
      </c>
      <c r="F1593">
        <v>8771.2000000000007</v>
      </c>
      <c r="G1593">
        <v>17812.349999999999</v>
      </c>
    </row>
    <row r="1594" spans="1:7" x14ac:dyDescent="0.35">
      <c r="A1594" s="1">
        <v>42513</v>
      </c>
      <c r="B1594">
        <v>2932.93</v>
      </c>
      <c r="C1594">
        <v>4325.1000000000004</v>
      </c>
      <c r="D1594">
        <v>9842.2900000000009</v>
      </c>
      <c r="E1594">
        <v>7928.6397999999999</v>
      </c>
      <c r="F1594">
        <v>8714</v>
      </c>
      <c r="G1594">
        <v>17325.080000000002</v>
      </c>
    </row>
    <row r="1595" spans="1:7" x14ac:dyDescent="0.35">
      <c r="A1595" s="1">
        <v>42514</v>
      </c>
      <c r="B1595">
        <v>3010.12</v>
      </c>
      <c r="C1595">
        <v>4431.5200000000004</v>
      </c>
      <c r="D1595">
        <v>10057.31</v>
      </c>
      <c r="E1595">
        <v>8158.83907</v>
      </c>
      <c r="F1595">
        <v>8918.1</v>
      </c>
      <c r="G1595">
        <v>17903.97</v>
      </c>
    </row>
    <row r="1596" spans="1:7" x14ac:dyDescent="0.35">
      <c r="A1596" s="1">
        <v>42515</v>
      </c>
      <c r="B1596">
        <v>3061.6</v>
      </c>
      <c r="C1596">
        <v>4481.6400000000003</v>
      </c>
      <c r="D1596">
        <v>10205.209999999999</v>
      </c>
      <c r="E1596">
        <v>8242.8961299999992</v>
      </c>
      <c r="F1596">
        <v>9125</v>
      </c>
      <c r="G1596">
        <v>18201.39</v>
      </c>
    </row>
    <row r="1597" spans="1:7" x14ac:dyDescent="0.35">
      <c r="A1597" s="1">
        <v>42516</v>
      </c>
      <c r="B1597">
        <v>3071.21</v>
      </c>
      <c r="C1597">
        <v>4512.6400000000003</v>
      </c>
      <c r="D1597">
        <v>10272.709999999999</v>
      </c>
      <c r="E1597">
        <v>8215.5364300000001</v>
      </c>
      <c r="F1597">
        <v>9079.2000000000007</v>
      </c>
      <c r="G1597">
        <v>18216.919999999998</v>
      </c>
    </row>
    <row r="1598" spans="1:7" x14ac:dyDescent="0.35">
      <c r="A1598" s="1">
        <v>42517</v>
      </c>
      <c r="B1598">
        <v>3078.48</v>
      </c>
      <c r="C1598">
        <v>4514.74</v>
      </c>
      <c r="D1598">
        <v>10286.31</v>
      </c>
      <c r="E1598">
        <v>8241.4971000000005</v>
      </c>
      <c r="F1598">
        <v>9107.2999999999993</v>
      </c>
      <c r="G1598">
        <v>18186.14</v>
      </c>
    </row>
    <row r="1599" spans="1:7" x14ac:dyDescent="0.35">
      <c r="A1599" s="1">
        <v>42521</v>
      </c>
      <c r="B1599">
        <v>3063.48</v>
      </c>
      <c r="C1599">
        <v>4505.62</v>
      </c>
      <c r="D1599">
        <v>10262.74</v>
      </c>
      <c r="E1599">
        <v>8119.2132899999997</v>
      </c>
      <c r="F1599">
        <v>9034</v>
      </c>
      <c r="G1599">
        <v>18025.25</v>
      </c>
    </row>
    <row r="1600" spans="1:7" x14ac:dyDescent="0.35">
      <c r="A1600" s="1">
        <v>42522</v>
      </c>
      <c r="B1600">
        <v>3038.77</v>
      </c>
      <c r="C1600">
        <v>4475.3900000000003</v>
      </c>
      <c r="D1600">
        <v>10204.44</v>
      </c>
      <c r="E1600">
        <v>7991.7678999999998</v>
      </c>
      <c r="F1600">
        <v>8916.9</v>
      </c>
      <c r="G1600">
        <v>17810.849999999999</v>
      </c>
    </row>
    <row r="1601" spans="1:7" x14ac:dyDescent="0.35">
      <c r="A1601" s="1">
        <v>42523</v>
      </c>
      <c r="B1601">
        <v>3033.86</v>
      </c>
      <c r="C1601">
        <v>4466</v>
      </c>
      <c r="D1601">
        <v>10208</v>
      </c>
      <c r="E1601">
        <v>8004.2547500000001</v>
      </c>
      <c r="F1601">
        <v>8957.9</v>
      </c>
      <c r="G1601">
        <v>17767.3</v>
      </c>
    </row>
    <row r="1602" spans="1:7" x14ac:dyDescent="0.35">
      <c r="A1602" s="1">
        <v>42524</v>
      </c>
      <c r="B1602">
        <v>2997.55</v>
      </c>
      <c r="C1602">
        <v>4421.78</v>
      </c>
      <c r="D1602">
        <v>10103.26</v>
      </c>
      <c r="E1602">
        <v>7959.68642</v>
      </c>
      <c r="F1602">
        <v>8801.6</v>
      </c>
      <c r="G1602">
        <v>17495.09</v>
      </c>
    </row>
    <row r="1603" spans="1:7" x14ac:dyDescent="0.35">
      <c r="A1603" s="1">
        <v>42527</v>
      </c>
      <c r="B1603">
        <v>3001.9</v>
      </c>
      <c r="C1603">
        <v>4423.38</v>
      </c>
      <c r="D1603">
        <v>10121.08</v>
      </c>
      <c r="E1603">
        <v>7973.2498999999998</v>
      </c>
      <c r="F1603">
        <v>8823.5</v>
      </c>
      <c r="G1603">
        <v>17625</v>
      </c>
    </row>
    <row r="1604" spans="1:7" x14ac:dyDescent="0.35">
      <c r="A1604" s="1">
        <v>42528</v>
      </c>
      <c r="B1604">
        <v>3040.69</v>
      </c>
      <c r="C1604">
        <v>4475.8599999999997</v>
      </c>
      <c r="D1604">
        <v>10287.68</v>
      </c>
      <c r="E1604">
        <v>8056.5359900000003</v>
      </c>
      <c r="F1604">
        <v>8894.5</v>
      </c>
      <c r="G1604">
        <v>17975.490000000002</v>
      </c>
    </row>
    <row r="1605" spans="1:7" x14ac:dyDescent="0.35">
      <c r="A1605" s="1">
        <v>42529</v>
      </c>
      <c r="B1605">
        <v>3019.76</v>
      </c>
      <c r="C1605">
        <v>4448.7299999999996</v>
      </c>
      <c r="D1605">
        <v>10217.030000000001</v>
      </c>
      <c r="E1605">
        <v>8034.5900199999996</v>
      </c>
      <c r="F1605">
        <v>8831.4</v>
      </c>
      <c r="G1605">
        <v>17909.7</v>
      </c>
    </row>
    <row r="1606" spans="1:7" x14ac:dyDescent="0.35">
      <c r="A1606" s="1">
        <v>42530</v>
      </c>
      <c r="B1606">
        <v>2989.03</v>
      </c>
      <c r="C1606">
        <v>4405.6099999999997</v>
      </c>
      <c r="D1606">
        <v>10088.870000000001</v>
      </c>
      <c r="E1606">
        <v>7963.4293600000001</v>
      </c>
      <c r="F1606">
        <v>8769.5</v>
      </c>
      <c r="G1606">
        <v>17763.88</v>
      </c>
    </row>
    <row r="1607" spans="1:7" x14ac:dyDescent="0.35">
      <c r="A1607" s="1">
        <v>42531</v>
      </c>
      <c r="B1607">
        <v>2911.11</v>
      </c>
      <c r="C1607">
        <v>4306.72</v>
      </c>
      <c r="D1607">
        <v>9834.6200000000008</v>
      </c>
      <c r="E1607">
        <v>7774.57449</v>
      </c>
      <c r="F1607">
        <v>8490.5</v>
      </c>
      <c r="G1607">
        <v>17120.16</v>
      </c>
    </row>
    <row r="1608" spans="1:7" x14ac:dyDescent="0.35">
      <c r="A1608" s="1">
        <v>42534</v>
      </c>
      <c r="B1608">
        <v>2853.52</v>
      </c>
      <c r="C1608">
        <v>4227.0200000000004</v>
      </c>
      <c r="D1608">
        <v>9657.44</v>
      </c>
      <c r="E1608">
        <v>7623.1764499999999</v>
      </c>
      <c r="F1608">
        <v>8303.7999999999993</v>
      </c>
      <c r="G1608">
        <v>16621.87</v>
      </c>
    </row>
    <row r="1609" spans="1:7" x14ac:dyDescent="0.35">
      <c r="A1609" s="1">
        <v>42535</v>
      </c>
      <c r="B1609">
        <v>2797.18</v>
      </c>
      <c r="C1609">
        <v>4130.33</v>
      </c>
      <c r="D1609">
        <v>9519.2000000000007</v>
      </c>
      <c r="E1609">
        <v>7474.0125200000002</v>
      </c>
      <c r="F1609">
        <v>8126.7</v>
      </c>
      <c r="G1609">
        <v>16271.35</v>
      </c>
    </row>
    <row r="1610" spans="1:7" x14ac:dyDescent="0.35">
      <c r="A1610" s="1">
        <v>42536</v>
      </c>
      <c r="B1610">
        <v>2830.3</v>
      </c>
      <c r="C1610">
        <v>4171.58</v>
      </c>
      <c r="D1610">
        <v>9606.7099999999991</v>
      </c>
      <c r="E1610">
        <v>7522.4793</v>
      </c>
      <c r="F1610">
        <v>8250.7999999999993</v>
      </c>
      <c r="G1610">
        <v>16513.97</v>
      </c>
    </row>
    <row r="1611" spans="1:7" x14ac:dyDescent="0.35">
      <c r="A1611" s="1">
        <v>42537</v>
      </c>
      <c r="B1611">
        <v>2819.3</v>
      </c>
      <c r="C1611">
        <v>4153.01</v>
      </c>
      <c r="D1611">
        <v>9550.4699999999993</v>
      </c>
      <c r="E1611">
        <v>7527.4341899999999</v>
      </c>
      <c r="F1611">
        <v>8199.9</v>
      </c>
      <c r="G1611">
        <v>16351.9</v>
      </c>
    </row>
    <row r="1612" spans="1:7" x14ac:dyDescent="0.35">
      <c r="A1612" s="1">
        <v>42538</v>
      </c>
      <c r="B1612">
        <v>2849.17</v>
      </c>
      <c r="C1612">
        <v>4193.83</v>
      </c>
      <c r="D1612">
        <v>9631.36</v>
      </c>
      <c r="E1612">
        <v>7649.4082099999996</v>
      </c>
      <c r="F1612">
        <v>8362</v>
      </c>
      <c r="G1612">
        <v>16923.29</v>
      </c>
    </row>
    <row r="1613" spans="1:7" x14ac:dyDescent="0.35">
      <c r="A1613" s="1">
        <v>42541</v>
      </c>
      <c r="B1613">
        <v>2942.88</v>
      </c>
      <c r="C1613">
        <v>4340.76</v>
      </c>
      <c r="D1613">
        <v>9962.02</v>
      </c>
      <c r="E1613">
        <v>8047.9285900000004</v>
      </c>
      <c r="F1613">
        <v>8647.1</v>
      </c>
      <c r="G1613">
        <v>17353.45</v>
      </c>
    </row>
    <row r="1614" spans="1:7" x14ac:dyDescent="0.35">
      <c r="A1614" s="1">
        <v>42542</v>
      </c>
      <c r="B1614">
        <v>2967.34</v>
      </c>
      <c r="C1614">
        <v>4367.24</v>
      </c>
      <c r="D1614">
        <v>10015.540000000001</v>
      </c>
      <c r="E1614">
        <v>8108.5066299999999</v>
      </c>
      <c r="F1614">
        <v>8667.2999999999993</v>
      </c>
      <c r="G1614">
        <v>17431.169999999998</v>
      </c>
    </row>
    <row r="1615" spans="1:7" x14ac:dyDescent="0.35">
      <c r="A1615" s="1">
        <v>42543</v>
      </c>
      <c r="B1615">
        <v>2978.31</v>
      </c>
      <c r="C1615">
        <v>4380.03</v>
      </c>
      <c r="D1615">
        <v>10071.06</v>
      </c>
      <c r="E1615">
        <v>8145.6957400000001</v>
      </c>
      <c r="F1615">
        <v>8702</v>
      </c>
      <c r="G1615">
        <v>17323.27</v>
      </c>
    </row>
    <row r="1616" spans="1:7" x14ac:dyDescent="0.35">
      <c r="A1616" s="1">
        <v>42544</v>
      </c>
      <c r="B1616">
        <v>3037.86</v>
      </c>
      <c r="C1616">
        <v>4465.8999999999996</v>
      </c>
      <c r="D1616">
        <v>10257.030000000001</v>
      </c>
      <c r="E1616">
        <v>8268.0578700000005</v>
      </c>
      <c r="F1616">
        <v>8885.2999999999993</v>
      </c>
      <c r="G1616">
        <v>17966.169999999998</v>
      </c>
    </row>
    <row r="1617" spans="1:7" x14ac:dyDescent="0.35">
      <c r="A1617" s="1">
        <v>42545</v>
      </c>
      <c r="B1617">
        <v>2776.09</v>
      </c>
      <c r="C1617">
        <v>4106.7299999999996</v>
      </c>
      <c r="D1617">
        <v>9557.16</v>
      </c>
      <c r="E1617">
        <v>7563.6841299999996</v>
      </c>
      <c r="F1617">
        <v>7787.7</v>
      </c>
      <c r="G1617">
        <v>15723.81</v>
      </c>
    </row>
    <row r="1618" spans="1:7" x14ac:dyDescent="0.35">
      <c r="A1618" s="1">
        <v>42548</v>
      </c>
      <c r="B1618">
        <v>2697.44</v>
      </c>
      <c r="C1618">
        <v>3984.72</v>
      </c>
      <c r="D1618">
        <v>9268.66</v>
      </c>
      <c r="E1618">
        <v>7161.5139300000001</v>
      </c>
      <c r="F1618">
        <v>7645.5</v>
      </c>
      <c r="G1618">
        <v>15103.58</v>
      </c>
    </row>
    <row r="1619" spans="1:7" x14ac:dyDescent="0.35">
      <c r="A1619" s="1">
        <v>42549</v>
      </c>
      <c r="B1619">
        <v>2758.67</v>
      </c>
      <c r="C1619">
        <v>4088.85</v>
      </c>
      <c r="D1619">
        <v>9447.2800000000007</v>
      </c>
      <c r="E1619">
        <v>7405.3558899999998</v>
      </c>
      <c r="F1619">
        <v>7835</v>
      </c>
      <c r="G1619">
        <v>15601.62</v>
      </c>
    </row>
    <row r="1620" spans="1:7" x14ac:dyDescent="0.35">
      <c r="A1620" s="1">
        <v>42550</v>
      </c>
      <c r="B1620">
        <v>2832.18</v>
      </c>
      <c r="C1620">
        <v>4195.32</v>
      </c>
      <c r="D1620">
        <v>9612.27</v>
      </c>
      <c r="E1620">
        <v>7720.5558000000001</v>
      </c>
      <c r="F1620">
        <v>8105.3</v>
      </c>
      <c r="G1620">
        <v>15946.93</v>
      </c>
    </row>
    <row r="1621" spans="1:7" x14ac:dyDescent="0.35">
      <c r="A1621" s="1">
        <v>42551</v>
      </c>
      <c r="B1621">
        <v>2864.74</v>
      </c>
      <c r="C1621">
        <v>4237.4799999999996</v>
      </c>
      <c r="D1621">
        <v>9680.09</v>
      </c>
      <c r="E1621">
        <v>7793.6828699999996</v>
      </c>
      <c r="F1621">
        <v>8163.3</v>
      </c>
      <c r="G1621">
        <v>16197.78</v>
      </c>
    </row>
    <row r="1622" spans="1:7" x14ac:dyDescent="0.35">
      <c r="A1622" s="1">
        <v>42552</v>
      </c>
      <c r="B1622">
        <v>2883.06</v>
      </c>
      <c r="C1622">
        <v>4273.96</v>
      </c>
      <c r="D1622">
        <v>9776.1200000000008</v>
      </c>
      <c r="E1622">
        <v>7844.7282100000002</v>
      </c>
      <c r="F1622">
        <v>8268.9</v>
      </c>
      <c r="G1622">
        <v>16295.78</v>
      </c>
    </row>
    <row r="1623" spans="1:7" x14ac:dyDescent="0.35">
      <c r="A1623" s="1">
        <v>42555</v>
      </c>
      <c r="B1623">
        <v>2862.21</v>
      </c>
      <c r="C1623">
        <v>4234.8599999999997</v>
      </c>
      <c r="D1623">
        <v>9709.09</v>
      </c>
      <c r="E1623">
        <v>7777.8009000000002</v>
      </c>
      <c r="F1623">
        <v>8255.9</v>
      </c>
      <c r="G1623">
        <v>16012.31</v>
      </c>
    </row>
    <row r="1624" spans="1:7" x14ac:dyDescent="0.35">
      <c r="A1624" s="1">
        <v>42556</v>
      </c>
      <c r="B1624">
        <v>2812.88</v>
      </c>
      <c r="C1624">
        <v>4163.42</v>
      </c>
      <c r="D1624">
        <v>9532.61</v>
      </c>
      <c r="E1624">
        <v>7703.9417999999996</v>
      </c>
      <c r="F1624">
        <v>8067.6</v>
      </c>
      <c r="G1624">
        <v>15780.16</v>
      </c>
    </row>
    <row r="1625" spans="1:7" x14ac:dyDescent="0.35">
      <c r="A1625" s="1">
        <v>42557</v>
      </c>
      <c r="B1625">
        <v>2761.37</v>
      </c>
      <c r="C1625">
        <v>4085.3</v>
      </c>
      <c r="D1625">
        <v>9373.26</v>
      </c>
      <c r="E1625">
        <v>7544.8380299999999</v>
      </c>
      <c r="F1625">
        <v>7926.2</v>
      </c>
      <c r="G1625">
        <v>15423.79</v>
      </c>
    </row>
    <row r="1626" spans="1:7" x14ac:dyDescent="0.35">
      <c r="A1626" s="1">
        <v>42558</v>
      </c>
      <c r="B1626">
        <v>2780.1</v>
      </c>
      <c r="C1626">
        <v>4117.8500000000004</v>
      </c>
      <c r="D1626">
        <v>9418.7800000000007</v>
      </c>
      <c r="E1626">
        <v>7619.8022700000001</v>
      </c>
      <c r="F1626">
        <v>8008.2</v>
      </c>
      <c r="G1626">
        <v>15436.16</v>
      </c>
    </row>
    <row r="1627" spans="1:7" x14ac:dyDescent="0.35">
      <c r="A1627" s="1">
        <v>42559</v>
      </c>
      <c r="B1627">
        <v>2838.01</v>
      </c>
      <c r="C1627">
        <v>4190.68</v>
      </c>
      <c r="D1627">
        <v>9629.66</v>
      </c>
      <c r="E1627">
        <v>7728.1290200000003</v>
      </c>
      <c r="F1627">
        <v>8185.9</v>
      </c>
      <c r="G1627">
        <v>16066.38</v>
      </c>
    </row>
    <row r="1628" spans="1:7" x14ac:dyDescent="0.35">
      <c r="A1628" s="1">
        <v>42562</v>
      </c>
      <c r="B1628">
        <v>2885.32</v>
      </c>
      <c r="C1628">
        <v>4264.53</v>
      </c>
      <c r="D1628">
        <v>9833.41</v>
      </c>
      <c r="E1628">
        <v>7840.7064600000003</v>
      </c>
      <c r="F1628">
        <v>8305.1</v>
      </c>
      <c r="G1628">
        <v>16260.64</v>
      </c>
    </row>
    <row r="1629" spans="1:7" x14ac:dyDescent="0.35">
      <c r="A1629" s="1">
        <v>42563</v>
      </c>
      <c r="B1629">
        <v>2933.44</v>
      </c>
      <c r="C1629">
        <v>4331.38</v>
      </c>
      <c r="D1629">
        <v>9964.07</v>
      </c>
      <c r="E1629">
        <v>7998.5181400000001</v>
      </c>
      <c r="F1629">
        <v>8506</v>
      </c>
      <c r="G1629">
        <v>16721</v>
      </c>
    </row>
    <row r="1630" spans="1:7" x14ac:dyDescent="0.35">
      <c r="A1630" s="1">
        <v>42564</v>
      </c>
      <c r="B1630">
        <v>2926.14</v>
      </c>
      <c r="C1630">
        <v>4335.26</v>
      </c>
      <c r="D1630">
        <v>9930.7099999999991</v>
      </c>
      <c r="E1630">
        <v>7921.13753</v>
      </c>
      <c r="F1630">
        <v>8473.9</v>
      </c>
      <c r="G1630">
        <v>16527.89</v>
      </c>
    </row>
    <row r="1631" spans="1:7" x14ac:dyDescent="0.35">
      <c r="A1631" s="1">
        <v>42565</v>
      </c>
      <c r="B1631">
        <v>2963.07</v>
      </c>
      <c r="C1631">
        <v>4385.5200000000004</v>
      </c>
      <c r="D1631">
        <v>10068.299999999999</v>
      </c>
      <c r="E1631">
        <v>7976.6215099999999</v>
      </c>
      <c r="F1631">
        <v>8552.2999999999993</v>
      </c>
      <c r="G1631">
        <v>16797.52</v>
      </c>
    </row>
    <row r="1632" spans="1:7" x14ac:dyDescent="0.35">
      <c r="A1632" s="1">
        <v>42566</v>
      </c>
      <c r="B1632">
        <v>2958.65</v>
      </c>
      <c r="C1632">
        <v>4372.51</v>
      </c>
      <c r="D1632">
        <v>10066.9</v>
      </c>
      <c r="E1632">
        <v>7945.57168</v>
      </c>
      <c r="F1632">
        <v>8531</v>
      </c>
      <c r="G1632">
        <v>16748.59</v>
      </c>
    </row>
    <row r="1633" spans="1:7" x14ac:dyDescent="0.35">
      <c r="A1633" s="1">
        <v>42569</v>
      </c>
      <c r="B1633">
        <v>2949.17</v>
      </c>
      <c r="C1633">
        <v>4357.74</v>
      </c>
      <c r="D1633">
        <v>10063.129999999999</v>
      </c>
      <c r="E1633">
        <v>8018.0542299999997</v>
      </c>
      <c r="F1633">
        <v>8524.4</v>
      </c>
      <c r="G1633">
        <v>16762.73</v>
      </c>
    </row>
    <row r="1634" spans="1:7" x14ac:dyDescent="0.35">
      <c r="A1634" s="1">
        <v>42570</v>
      </c>
      <c r="B1634">
        <v>2931.1</v>
      </c>
      <c r="C1634">
        <v>4330.13</v>
      </c>
      <c r="D1634">
        <v>9981.24</v>
      </c>
      <c r="E1634">
        <v>7976.7659000000003</v>
      </c>
      <c r="F1634">
        <v>8485.2000000000007</v>
      </c>
      <c r="G1634">
        <v>16673.77</v>
      </c>
    </row>
    <row r="1635" spans="1:7" x14ac:dyDescent="0.35">
      <c r="A1635" s="1">
        <v>42571</v>
      </c>
      <c r="B1635">
        <v>2966.95</v>
      </c>
      <c r="C1635">
        <v>4379.76</v>
      </c>
      <c r="D1635">
        <v>10142.01</v>
      </c>
      <c r="E1635">
        <v>8062.43786</v>
      </c>
      <c r="F1635">
        <v>8575.5</v>
      </c>
      <c r="G1635">
        <v>16763.82</v>
      </c>
    </row>
    <row r="1636" spans="1:7" x14ac:dyDescent="0.35">
      <c r="A1636" s="1">
        <v>42572</v>
      </c>
      <c r="B1636">
        <v>2968.49</v>
      </c>
      <c r="C1636">
        <v>4376.25</v>
      </c>
      <c r="D1636">
        <v>10156.209999999999</v>
      </c>
      <c r="E1636">
        <v>8040.1114600000001</v>
      </c>
      <c r="F1636">
        <v>8583.6</v>
      </c>
      <c r="G1636">
        <v>16805.400000000001</v>
      </c>
    </row>
    <row r="1637" spans="1:7" x14ac:dyDescent="0.35">
      <c r="A1637" s="1">
        <v>42573</v>
      </c>
      <c r="B1637">
        <v>2972.23</v>
      </c>
      <c r="C1637">
        <v>4381.1000000000004</v>
      </c>
      <c r="D1637">
        <v>10147.459999999999</v>
      </c>
      <c r="E1637">
        <v>8044.4179700000004</v>
      </c>
      <c r="F1637">
        <v>8599.9</v>
      </c>
      <c r="G1637">
        <v>16778.669999999998</v>
      </c>
    </row>
    <row r="1638" spans="1:7" x14ac:dyDescent="0.35">
      <c r="A1638" s="1">
        <v>42576</v>
      </c>
      <c r="B1638">
        <v>2973.22</v>
      </c>
      <c r="C1638">
        <v>4388</v>
      </c>
      <c r="D1638">
        <v>10198.24</v>
      </c>
      <c r="E1638">
        <v>8023.20723</v>
      </c>
      <c r="F1638">
        <v>8575.7000000000007</v>
      </c>
      <c r="G1638">
        <v>16692.169999999998</v>
      </c>
    </row>
    <row r="1639" spans="1:7" x14ac:dyDescent="0.35">
      <c r="A1639" s="1">
        <v>42577</v>
      </c>
      <c r="B1639">
        <v>2978.9</v>
      </c>
      <c r="C1639">
        <v>4394.7700000000004</v>
      </c>
      <c r="D1639">
        <v>10247.76</v>
      </c>
      <c r="E1639">
        <v>8040.9314000000004</v>
      </c>
      <c r="F1639">
        <v>8560.2000000000007</v>
      </c>
      <c r="G1639">
        <v>16697.009999999998</v>
      </c>
    </row>
    <row r="1640" spans="1:7" x14ac:dyDescent="0.35">
      <c r="A1640" s="1">
        <v>42578</v>
      </c>
      <c r="B1640">
        <v>2999.48</v>
      </c>
      <c r="C1640">
        <v>4446.96</v>
      </c>
      <c r="D1640">
        <v>10319.549999999999</v>
      </c>
      <c r="E1640">
        <v>8065.3850199999997</v>
      </c>
      <c r="F1640">
        <v>8661.4</v>
      </c>
      <c r="G1640">
        <v>16863.009999999998</v>
      </c>
    </row>
    <row r="1641" spans="1:7" x14ac:dyDescent="0.35">
      <c r="A1641" s="1">
        <v>42579</v>
      </c>
      <c r="B1641">
        <v>2966.1</v>
      </c>
      <c r="C1641">
        <v>4420.58</v>
      </c>
      <c r="D1641">
        <v>10274.93</v>
      </c>
      <c r="E1641">
        <v>7975.3423199999997</v>
      </c>
      <c r="F1641">
        <v>8479.2000000000007</v>
      </c>
      <c r="G1641">
        <v>16522.64</v>
      </c>
    </row>
    <row r="1642" spans="1:7" x14ac:dyDescent="0.35">
      <c r="A1642" s="1">
        <v>42580</v>
      </c>
      <c r="B1642">
        <v>2990.76</v>
      </c>
      <c r="C1642">
        <v>4439.8100000000004</v>
      </c>
      <c r="D1642">
        <v>10337.5</v>
      </c>
      <c r="E1642">
        <v>7972.6413899999998</v>
      </c>
      <c r="F1642">
        <v>8587.2000000000007</v>
      </c>
      <c r="G1642">
        <v>16846.86</v>
      </c>
    </row>
    <row r="1643" spans="1:7" x14ac:dyDescent="0.35">
      <c r="A1643" s="1">
        <v>42583</v>
      </c>
      <c r="B1643">
        <v>2967.31</v>
      </c>
      <c r="C1643">
        <v>4409.17</v>
      </c>
      <c r="D1643">
        <v>10330.52</v>
      </c>
      <c r="E1643">
        <v>7912.77502</v>
      </c>
      <c r="F1643">
        <v>8513.4</v>
      </c>
      <c r="G1643">
        <v>16554.830000000002</v>
      </c>
    </row>
    <row r="1644" spans="1:7" x14ac:dyDescent="0.35">
      <c r="A1644" s="1">
        <v>42584</v>
      </c>
      <c r="B1644">
        <v>2906.98</v>
      </c>
      <c r="C1644">
        <v>4327.99</v>
      </c>
      <c r="D1644">
        <v>10144.34</v>
      </c>
      <c r="E1644">
        <v>7897.14869</v>
      </c>
      <c r="F1644">
        <v>8277.2999999999993</v>
      </c>
      <c r="G1644">
        <v>16098.37</v>
      </c>
    </row>
    <row r="1645" spans="1:7" x14ac:dyDescent="0.35">
      <c r="A1645" s="1">
        <v>42585</v>
      </c>
      <c r="B1645">
        <v>2911.06</v>
      </c>
      <c r="C1645">
        <v>4321.08</v>
      </c>
      <c r="D1645">
        <v>10170.209999999999</v>
      </c>
      <c r="E1645">
        <v>7912.7124400000002</v>
      </c>
      <c r="F1645">
        <v>8263.5</v>
      </c>
      <c r="G1645">
        <v>16129.84</v>
      </c>
    </row>
    <row r="1646" spans="1:7" x14ac:dyDescent="0.35">
      <c r="A1646" s="1">
        <v>42586</v>
      </c>
      <c r="B1646">
        <v>2932.34</v>
      </c>
      <c r="C1646">
        <v>4345.63</v>
      </c>
      <c r="D1646">
        <v>10227.86</v>
      </c>
      <c r="E1646">
        <v>7938.3568800000003</v>
      </c>
      <c r="F1646">
        <v>8385.5</v>
      </c>
      <c r="G1646">
        <v>16236.41</v>
      </c>
    </row>
    <row r="1647" spans="1:7" x14ac:dyDescent="0.35">
      <c r="A1647" s="1">
        <v>42587</v>
      </c>
      <c r="B1647">
        <v>2973.71</v>
      </c>
      <c r="C1647">
        <v>4410.55</v>
      </c>
      <c r="D1647">
        <v>10367.209999999999</v>
      </c>
      <c r="E1647">
        <v>8013.3292000000001</v>
      </c>
      <c r="F1647">
        <v>8539.4</v>
      </c>
      <c r="G1647">
        <v>16626.28</v>
      </c>
    </row>
    <row r="1648" spans="1:7" x14ac:dyDescent="0.35">
      <c r="A1648" s="1">
        <v>42590</v>
      </c>
      <c r="B1648">
        <v>2982.92</v>
      </c>
      <c r="C1648">
        <v>4415.46</v>
      </c>
      <c r="D1648">
        <v>10432.36</v>
      </c>
      <c r="E1648">
        <v>8014.5740699999997</v>
      </c>
      <c r="F1648">
        <v>8562.5</v>
      </c>
      <c r="G1648">
        <v>16743.82</v>
      </c>
    </row>
    <row r="1649" spans="1:7" x14ac:dyDescent="0.35">
      <c r="A1649" s="1">
        <v>42591</v>
      </c>
      <c r="B1649">
        <v>3029.18</v>
      </c>
      <c r="C1649">
        <v>4468.07</v>
      </c>
      <c r="D1649">
        <v>10692.9</v>
      </c>
      <c r="E1649">
        <v>8027.4305800000002</v>
      </c>
      <c r="F1649">
        <v>8665.4</v>
      </c>
      <c r="G1649">
        <v>16796.14</v>
      </c>
    </row>
    <row r="1650" spans="1:7" x14ac:dyDescent="0.35">
      <c r="A1650" s="1">
        <v>42592</v>
      </c>
      <c r="B1650">
        <v>3018.46</v>
      </c>
      <c r="C1650">
        <v>4452.01</v>
      </c>
      <c r="D1650">
        <v>10650.89</v>
      </c>
      <c r="E1650">
        <v>7996.5784999999996</v>
      </c>
      <c r="F1650">
        <v>8658.9</v>
      </c>
      <c r="G1650">
        <v>16791.55</v>
      </c>
    </row>
    <row r="1651" spans="1:7" x14ac:dyDescent="0.35">
      <c r="A1651" s="1">
        <v>42593</v>
      </c>
      <c r="B1651">
        <v>3049.03</v>
      </c>
      <c r="C1651">
        <v>4503.95</v>
      </c>
      <c r="D1651">
        <v>10742.84</v>
      </c>
      <c r="E1651">
        <v>8037.6222200000002</v>
      </c>
      <c r="F1651">
        <v>8719.5</v>
      </c>
      <c r="G1651">
        <v>16969.689999999999</v>
      </c>
    </row>
    <row r="1652" spans="1:7" x14ac:dyDescent="0.35">
      <c r="A1652" s="1">
        <v>42594</v>
      </c>
      <c r="B1652">
        <v>3044.94</v>
      </c>
      <c r="C1652">
        <v>4500.1899999999996</v>
      </c>
      <c r="D1652">
        <v>10713.43</v>
      </c>
      <c r="E1652">
        <v>8001.6022899999998</v>
      </c>
      <c r="F1652">
        <v>8716.4</v>
      </c>
      <c r="G1652">
        <v>16997.830000000002</v>
      </c>
    </row>
    <row r="1653" spans="1:7" x14ac:dyDescent="0.35">
      <c r="A1653" s="1">
        <v>42598</v>
      </c>
      <c r="B1653">
        <v>3016.19</v>
      </c>
      <c r="C1653">
        <v>4460.4399999999996</v>
      </c>
      <c r="D1653">
        <v>10676.65</v>
      </c>
      <c r="E1653">
        <v>7974.8993799999998</v>
      </c>
      <c r="F1653">
        <v>8621.7000000000007</v>
      </c>
      <c r="G1653">
        <v>16792.96</v>
      </c>
    </row>
    <row r="1654" spans="1:7" x14ac:dyDescent="0.35">
      <c r="A1654" s="1">
        <v>42599</v>
      </c>
      <c r="B1654">
        <v>2980.54</v>
      </c>
      <c r="C1654">
        <v>4417.68</v>
      </c>
      <c r="D1654">
        <v>10537.67</v>
      </c>
      <c r="E1654">
        <v>7917.8673799999997</v>
      </c>
      <c r="F1654">
        <v>8487</v>
      </c>
      <c r="G1654">
        <v>16528.36</v>
      </c>
    </row>
    <row r="1655" spans="1:7" x14ac:dyDescent="0.35">
      <c r="A1655" s="1">
        <v>42600</v>
      </c>
      <c r="B1655">
        <v>2995.3</v>
      </c>
      <c r="C1655">
        <v>4437.0600000000004</v>
      </c>
      <c r="D1655">
        <v>10603.03</v>
      </c>
      <c r="E1655">
        <v>7965.0835399999996</v>
      </c>
      <c r="F1655">
        <v>8550.1</v>
      </c>
      <c r="G1655">
        <v>16673.580000000002</v>
      </c>
    </row>
    <row r="1656" spans="1:7" x14ac:dyDescent="0.35">
      <c r="A1656" s="1">
        <v>42601</v>
      </c>
      <c r="B1656">
        <v>2968.2</v>
      </c>
      <c r="C1656">
        <v>4400.5200000000004</v>
      </c>
      <c r="D1656">
        <v>10544.36</v>
      </c>
      <c r="E1656">
        <v>7915.0586400000002</v>
      </c>
      <c r="F1656">
        <v>8450.6</v>
      </c>
      <c r="G1656">
        <v>16310.06</v>
      </c>
    </row>
    <row r="1657" spans="1:7" x14ac:dyDescent="0.35">
      <c r="A1657" s="1">
        <v>42604</v>
      </c>
      <c r="B1657">
        <v>2960.37</v>
      </c>
      <c r="C1657">
        <v>4389.9399999999996</v>
      </c>
      <c r="D1657">
        <v>10494.35</v>
      </c>
      <c r="E1657">
        <v>7920.9857499999998</v>
      </c>
      <c r="F1657">
        <v>8468</v>
      </c>
      <c r="G1657">
        <v>16369.14</v>
      </c>
    </row>
    <row r="1658" spans="1:7" x14ac:dyDescent="0.35">
      <c r="A1658" s="1">
        <v>42605</v>
      </c>
      <c r="B1658">
        <v>2993.73</v>
      </c>
      <c r="C1658">
        <v>4421.45</v>
      </c>
      <c r="D1658">
        <v>10592.88</v>
      </c>
      <c r="E1658">
        <v>8003.3495199999998</v>
      </c>
      <c r="F1658">
        <v>8580.9</v>
      </c>
      <c r="G1658">
        <v>16778.05</v>
      </c>
    </row>
    <row r="1659" spans="1:7" x14ac:dyDescent="0.35">
      <c r="A1659" s="1">
        <v>42606</v>
      </c>
      <c r="B1659">
        <v>3008.59</v>
      </c>
      <c r="C1659">
        <v>4435.47</v>
      </c>
      <c r="D1659">
        <v>10622.97</v>
      </c>
      <c r="E1659">
        <v>8029.5695999999998</v>
      </c>
      <c r="F1659">
        <v>8655.5</v>
      </c>
      <c r="G1659">
        <v>16891.63</v>
      </c>
    </row>
    <row r="1660" spans="1:7" x14ac:dyDescent="0.35">
      <c r="A1660" s="1">
        <v>42607</v>
      </c>
      <c r="B1660">
        <v>2987.69</v>
      </c>
      <c r="C1660">
        <v>4406.6099999999997</v>
      </c>
      <c r="D1660">
        <v>10529.59</v>
      </c>
      <c r="E1660">
        <v>7970.7803100000001</v>
      </c>
      <c r="F1660">
        <v>8599.5</v>
      </c>
      <c r="G1660">
        <v>16710.78</v>
      </c>
    </row>
    <row r="1661" spans="1:7" x14ac:dyDescent="0.35">
      <c r="A1661" s="1">
        <v>42608</v>
      </c>
      <c r="B1661">
        <v>3010.36</v>
      </c>
      <c r="C1661">
        <v>4441.87</v>
      </c>
      <c r="D1661">
        <v>10587.77</v>
      </c>
      <c r="E1661">
        <v>8006.0266799999999</v>
      </c>
      <c r="F1661">
        <v>8659.5</v>
      </c>
      <c r="G1661">
        <v>16843.990000000002</v>
      </c>
    </row>
    <row r="1662" spans="1:7" x14ac:dyDescent="0.35">
      <c r="A1662" s="1">
        <v>42612</v>
      </c>
      <c r="B1662">
        <v>3030.75</v>
      </c>
      <c r="C1662">
        <v>4457.49</v>
      </c>
      <c r="D1662">
        <v>10657.64</v>
      </c>
      <c r="E1662">
        <v>8003.7698099999998</v>
      </c>
      <c r="F1662">
        <v>8685.4</v>
      </c>
      <c r="G1662">
        <v>16891.419999999998</v>
      </c>
    </row>
    <row r="1663" spans="1:7" x14ac:dyDescent="0.35">
      <c r="A1663" s="1">
        <v>42613</v>
      </c>
      <c r="B1663">
        <v>3023.13</v>
      </c>
      <c r="C1663">
        <v>4438.22</v>
      </c>
      <c r="D1663">
        <v>10592.69</v>
      </c>
      <c r="E1663">
        <v>7986.7200999999995</v>
      </c>
      <c r="F1663">
        <v>8716.7999999999993</v>
      </c>
      <c r="G1663">
        <v>16943.38</v>
      </c>
    </row>
    <row r="1664" spans="1:7" x14ac:dyDescent="0.35">
      <c r="A1664" s="1">
        <v>42614</v>
      </c>
      <c r="B1664">
        <v>3017.49</v>
      </c>
      <c r="C1664">
        <v>4439.67</v>
      </c>
      <c r="D1664">
        <v>10534.31</v>
      </c>
      <c r="E1664">
        <v>7997.2094800000004</v>
      </c>
      <c r="F1664">
        <v>8762.7999999999993</v>
      </c>
      <c r="G1664">
        <v>16923.28</v>
      </c>
    </row>
    <row r="1665" spans="1:7" x14ac:dyDescent="0.35">
      <c r="A1665" s="1">
        <v>42615</v>
      </c>
      <c r="B1665">
        <v>3079.74</v>
      </c>
      <c r="C1665">
        <v>4542.17</v>
      </c>
      <c r="D1665">
        <v>10683.82</v>
      </c>
      <c r="E1665">
        <v>8218.7980100000004</v>
      </c>
      <c r="F1665">
        <v>8908.9</v>
      </c>
      <c r="G1665">
        <v>17183.900000000001</v>
      </c>
    </row>
    <row r="1666" spans="1:7" x14ac:dyDescent="0.35">
      <c r="A1666" s="1">
        <v>42618</v>
      </c>
      <c r="B1666">
        <v>3077.66</v>
      </c>
      <c r="C1666">
        <v>4541.08</v>
      </c>
      <c r="D1666">
        <v>10672.22</v>
      </c>
      <c r="E1666">
        <v>8211.7563399999999</v>
      </c>
      <c r="F1666">
        <v>8953.2999999999993</v>
      </c>
      <c r="G1666">
        <v>17190.439999999999</v>
      </c>
    </row>
    <row r="1667" spans="1:7" x14ac:dyDescent="0.35">
      <c r="A1667" s="1">
        <v>42619</v>
      </c>
      <c r="B1667">
        <v>3070.16</v>
      </c>
      <c r="C1667">
        <v>4529.96</v>
      </c>
      <c r="D1667">
        <v>10687.14</v>
      </c>
      <c r="E1667">
        <v>8150.4530800000002</v>
      </c>
      <c r="F1667">
        <v>8899.5</v>
      </c>
      <c r="G1667">
        <v>17052.57</v>
      </c>
    </row>
    <row r="1668" spans="1:7" x14ac:dyDescent="0.35">
      <c r="A1668" s="1">
        <v>42620</v>
      </c>
      <c r="B1668">
        <v>3091.66</v>
      </c>
      <c r="C1668">
        <v>4557.66</v>
      </c>
      <c r="D1668">
        <v>10752.98</v>
      </c>
      <c r="E1668">
        <v>8119.3416699999998</v>
      </c>
      <c r="F1668">
        <v>9015.2999999999993</v>
      </c>
      <c r="G1668">
        <v>17292.84</v>
      </c>
    </row>
    <row r="1669" spans="1:7" x14ac:dyDescent="0.35">
      <c r="A1669" s="1">
        <v>42621</v>
      </c>
      <c r="B1669">
        <v>3083.54</v>
      </c>
      <c r="C1669">
        <v>4542.2</v>
      </c>
      <c r="D1669">
        <v>10675.29</v>
      </c>
      <c r="E1669">
        <v>8109.0632699999996</v>
      </c>
      <c r="F1669">
        <v>9101.1</v>
      </c>
      <c r="G1669">
        <v>17375.73</v>
      </c>
    </row>
    <row r="1670" spans="1:7" x14ac:dyDescent="0.35">
      <c r="A1670" s="1">
        <v>42622</v>
      </c>
      <c r="B1670">
        <v>3053.2</v>
      </c>
      <c r="C1670">
        <v>4491.3999999999996</v>
      </c>
      <c r="D1670">
        <v>10573.44</v>
      </c>
      <c r="E1670">
        <v>8014.5062699999999</v>
      </c>
      <c r="F1670">
        <v>9025.5</v>
      </c>
      <c r="G1670">
        <v>17156.48</v>
      </c>
    </row>
    <row r="1671" spans="1:7" x14ac:dyDescent="0.35">
      <c r="A1671" s="1">
        <v>42625</v>
      </c>
      <c r="B1671">
        <v>3012.88</v>
      </c>
      <c r="C1671">
        <v>4439.8</v>
      </c>
      <c r="D1671">
        <v>10431.77</v>
      </c>
      <c r="E1671">
        <v>7944.34753</v>
      </c>
      <c r="F1671">
        <v>8866.6</v>
      </c>
      <c r="G1671">
        <v>16840.28</v>
      </c>
    </row>
    <row r="1672" spans="1:7" x14ac:dyDescent="0.35">
      <c r="A1672" s="1">
        <v>42626</v>
      </c>
      <c r="B1672">
        <v>2974.8</v>
      </c>
      <c r="C1672">
        <v>4387.18</v>
      </c>
      <c r="D1672">
        <v>10386.6</v>
      </c>
      <c r="E1672">
        <v>7830.8545100000001</v>
      </c>
      <c r="F1672">
        <v>8724.2000000000007</v>
      </c>
      <c r="G1672">
        <v>16547.75</v>
      </c>
    </row>
    <row r="1673" spans="1:7" x14ac:dyDescent="0.35">
      <c r="A1673" s="1">
        <v>42627</v>
      </c>
      <c r="B1673">
        <v>2964.9</v>
      </c>
      <c r="C1673">
        <v>4370.26</v>
      </c>
      <c r="D1673">
        <v>10378.4</v>
      </c>
      <c r="E1673">
        <v>7822.4902700000002</v>
      </c>
      <c r="F1673">
        <v>8702.4</v>
      </c>
      <c r="G1673">
        <v>16539.900000000001</v>
      </c>
    </row>
    <row r="1674" spans="1:7" x14ac:dyDescent="0.35">
      <c r="A1674" s="1">
        <v>42628</v>
      </c>
      <c r="B1674">
        <v>2973.77</v>
      </c>
      <c r="C1674">
        <v>4373.22</v>
      </c>
      <c r="D1674">
        <v>10431.200000000001</v>
      </c>
      <c r="E1674">
        <v>7912.6823599999998</v>
      </c>
      <c r="F1674">
        <v>8720.5</v>
      </c>
      <c r="G1674">
        <v>16595.43</v>
      </c>
    </row>
    <row r="1675" spans="1:7" x14ac:dyDescent="0.35">
      <c r="A1675" s="1">
        <v>42629</v>
      </c>
      <c r="B1675">
        <v>2935.25</v>
      </c>
      <c r="C1675">
        <v>4332.45</v>
      </c>
      <c r="D1675">
        <v>10276.17</v>
      </c>
      <c r="E1675">
        <v>7859.6175800000001</v>
      </c>
      <c r="F1675">
        <v>8633.4</v>
      </c>
      <c r="G1675">
        <v>16192.16</v>
      </c>
    </row>
    <row r="1676" spans="1:7" x14ac:dyDescent="0.35">
      <c r="A1676" s="1">
        <v>42632</v>
      </c>
      <c r="B1676">
        <v>2968.31</v>
      </c>
      <c r="C1676">
        <v>4394.1899999999996</v>
      </c>
      <c r="D1676">
        <v>10373.870000000001</v>
      </c>
      <c r="E1676">
        <v>7954.1201000000001</v>
      </c>
      <c r="F1676">
        <v>8715.5</v>
      </c>
      <c r="G1676">
        <v>16399.259999999998</v>
      </c>
    </row>
    <row r="1677" spans="1:7" x14ac:dyDescent="0.35">
      <c r="A1677" s="1">
        <v>42633</v>
      </c>
      <c r="B1677">
        <v>2964.86</v>
      </c>
      <c r="C1677">
        <v>4388.6000000000004</v>
      </c>
      <c r="D1677">
        <v>10393.86</v>
      </c>
      <c r="E1677">
        <v>7941.8257899999999</v>
      </c>
      <c r="F1677">
        <v>8686.1</v>
      </c>
      <c r="G1677">
        <v>16207.1</v>
      </c>
    </row>
    <row r="1678" spans="1:7" x14ac:dyDescent="0.35">
      <c r="A1678" s="1">
        <v>42634</v>
      </c>
      <c r="B1678">
        <v>2982.18</v>
      </c>
      <c r="C1678">
        <v>4409.55</v>
      </c>
      <c r="D1678">
        <v>10436.49</v>
      </c>
      <c r="E1678">
        <v>7948.2758599999997</v>
      </c>
      <c r="F1678">
        <v>8758.5</v>
      </c>
      <c r="G1678">
        <v>16349.82</v>
      </c>
    </row>
    <row r="1679" spans="1:7" x14ac:dyDescent="0.35">
      <c r="A1679" s="1">
        <v>42635</v>
      </c>
      <c r="B1679">
        <v>3051.69</v>
      </c>
      <c r="C1679">
        <v>4509.82</v>
      </c>
      <c r="D1679">
        <v>10674.18</v>
      </c>
      <c r="E1679">
        <v>8053.8615600000003</v>
      </c>
      <c r="F1679">
        <v>8934.9</v>
      </c>
      <c r="G1679">
        <v>16637.689999999999</v>
      </c>
    </row>
    <row r="1680" spans="1:7" x14ac:dyDescent="0.35">
      <c r="A1680" s="1">
        <v>42636</v>
      </c>
      <c r="B1680">
        <v>3032.31</v>
      </c>
      <c r="C1680">
        <v>4488.6899999999996</v>
      </c>
      <c r="D1680">
        <v>10626.97</v>
      </c>
      <c r="E1680">
        <v>7977.9556300000004</v>
      </c>
      <c r="F1680">
        <v>8823.6</v>
      </c>
      <c r="G1680">
        <v>16452.84</v>
      </c>
    </row>
    <row r="1681" spans="1:7" x14ac:dyDescent="0.35">
      <c r="A1681" s="1">
        <v>42639</v>
      </c>
      <c r="B1681">
        <v>2975.88</v>
      </c>
      <c r="C1681">
        <v>4407.8500000000004</v>
      </c>
      <c r="D1681">
        <v>10393.709999999999</v>
      </c>
      <c r="E1681">
        <v>7862.5882099999999</v>
      </c>
      <c r="F1681">
        <v>8711.4</v>
      </c>
      <c r="G1681">
        <v>16192.48</v>
      </c>
    </row>
    <row r="1682" spans="1:7" x14ac:dyDescent="0.35">
      <c r="A1682" s="1">
        <v>42640</v>
      </c>
      <c r="B1682">
        <v>2970.84</v>
      </c>
      <c r="C1682">
        <v>4398.68</v>
      </c>
      <c r="D1682">
        <v>10361.48</v>
      </c>
      <c r="E1682">
        <v>7901.1205200000004</v>
      </c>
      <c r="F1682">
        <v>8688.2000000000007</v>
      </c>
      <c r="G1682">
        <v>16134.71</v>
      </c>
    </row>
    <row r="1683" spans="1:7" x14ac:dyDescent="0.35">
      <c r="A1683" s="1">
        <v>42641</v>
      </c>
      <c r="B1683">
        <v>2991.11</v>
      </c>
      <c r="C1683">
        <v>4432.45</v>
      </c>
      <c r="D1683">
        <v>10438.34</v>
      </c>
      <c r="E1683">
        <v>7949.2893599999998</v>
      </c>
      <c r="F1683">
        <v>8740.4</v>
      </c>
      <c r="G1683">
        <v>16222.21</v>
      </c>
    </row>
    <row r="1684" spans="1:7" x14ac:dyDescent="0.35">
      <c r="A1684" s="1">
        <v>42642</v>
      </c>
      <c r="B1684">
        <v>2991.58</v>
      </c>
      <c r="C1684">
        <v>4443.84</v>
      </c>
      <c r="D1684">
        <v>10405.540000000001</v>
      </c>
      <c r="E1684">
        <v>8000.8298400000003</v>
      </c>
      <c r="F1684">
        <v>8796.2999999999993</v>
      </c>
      <c r="G1684">
        <v>16338.78</v>
      </c>
    </row>
    <row r="1685" spans="1:7" x14ac:dyDescent="0.35">
      <c r="A1685" s="1">
        <v>42643</v>
      </c>
      <c r="B1685">
        <v>3002.24</v>
      </c>
      <c r="C1685">
        <v>4448.26</v>
      </c>
      <c r="D1685">
        <v>10511.02</v>
      </c>
      <c r="E1685">
        <v>7969.7461800000001</v>
      </c>
      <c r="F1685">
        <v>8779.4</v>
      </c>
      <c r="G1685">
        <v>16401</v>
      </c>
    </row>
    <row r="1686" spans="1:7" x14ac:dyDescent="0.35">
      <c r="A1686" s="1">
        <v>42647</v>
      </c>
      <c r="B1686">
        <v>3029.5</v>
      </c>
      <c r="C1686">
        <v>4503.09</v>
      </c>
      <c r="D1686">
        <v>10619.61</v>
      </c>
      <c r="E1686">
        <v>8048.8470799999996</v>
      </c>
      <c r="F1686">
        <v>8769</v>
      </c>
      <c r="G1686">
        <v>16308.02</v>
      </c>
    </row>
    <row r="1687" spans="1:7" x14ac:dyDescent="0.35">
      <c r="A1687" s="1">
        <v>42648</v>
      </c>
      <c r="B1687">
        <v>3026.28</v>
      </c>
      <c r="C1687">
        <v>4489.95</v>
      </c>
      <c r="D1687">
        <v>10585.78</v>
      </c>
      <c r="E1687">
        <v>8004.8251399999999</v>
      </c>
      <c r="F1687">
        <v>8778.2999999999993</v>
      </c>
      <c r="G1687">
        <v>16476.580000000002</v>
      </c>
    </row>
    <row r="1688" spans="1:7" x14ac:dyDescent="0.35">
      <c r="A1688" s="1">
        <v>42649</v>
      </c>
      <c r="B1688">
        <v>3021.58</v>
      </c>
      <c r="C1688">
        <v>4480.1000000000004</v>
      </c>
      <c r="D1688">
        <v>10568.8</v>
      </c>
      <c r="E1688">
        <v>7930.6956499999997</v>
      </c>
      <c r="F1688">
        <v>8757.4</v>
      </c>
      <c r="G1688">
        <v>16491.62</v>
      </c>
    </row>
    <row r="1689" spans="1:7" x14ac:dyDescent="0.35">
      <c r="A1689" s="1">
        <v>42650</v>
      </c>
      <c r="B1689">
        <v>3000.57</v>
      </c>
      <c r="C1689">
        <v>4449.91</v>
      </c>
      <c r="D1689">
        <v>10490.86</v>
      </c>
      <c r="E1689">
        <v>7859.3391300000003</v>
      </c>
      <c r="F1689">
        <v>8624.2999999999993</v>
      </c>
      <c r="G1689">
        <v>16405.27</v>
      </c>
    </row>
    <row r="1690" spans="1:7" x14ac:dyDescent="0.35">
      <c r="A1690" s="1">
        <v>42653</v>
      </c>
      <c r="B1690">
        <v>3035.76</v>
      </c>
      <c r="C1690">
        <v>4497.26</v>
      </c>
      <c r="D1690">
        <v>10624.08</v>
      </c>
      <c r="E1690">
        <v>7885.3326900000002</v>
      </c>
      <c r="F1690">
        <v>8701.5</v>
      </c>
      <c r="G1690">
        <v>16632.45</v>
      </c>
    </row>
    <row r="1691" spans="1:7" x14ac:dyDescent="0.35">
      <c r="A1691" s="1">
        <v>42654</v>
      </c>
      <c r="B1691">
        <v>3020.69</v>
      </c>
      <c r="C1691">
        <v>4471.74</v>
      </c>
      <c r="D1691">
        <v>10577.16</v>
      </c>
      <c r="E1691">
        <v>7766.5334800000001</v>
      </c>
      <c r="F1691">
        <v>8693.2000000000007</v>
      </c>
      <c r="G1691">
        <v>16474.060000000001</v>
      </c>
    </row>
    <row r="1692" spans="1:7" x14ac:dyDescent="0.35">
      <c r="A1692" s="1">
        <v>42655</v>
      </c>
      <c r="B1692">
        <v>3008.03</v>
      </c>
      <c r="C1692">
        <v>4452.24</v>
      </c>
      <c r="D1692">
        <v>10523.07</v>
      </c>
      <c r="E1692">
        <v>7782.4502499999999</v>
      </c>
      <c r="F1692">
        <v>8686.5</v>
      </c>
      <c r="G1692">
        <v>16470.28</v>
      </c>
    </row>
    <row r="1693" spans="1:7" x14ac:dyDescent="0.35">
      <c r="A1693" s="1">
        <v>42656</v>
      </c>
      <c r="B1693">
        <v>2975.04</v>
      </c>
      <c r="C1693">
        <v>4405.17</v>
      </c>
      <c r="D1693">
        <v>10414.07</v>
      </c>
      <c r="E1693">
        <v>7741.8783700000004</v>
      </c>
      <c r="F1693">
        <v>8608.7000000000007</v>
      </c>
      <c r="G1693">
        <v>16269.26</v>
      </c>
    </row>
    <row r="1694" spans="1:7" x14ac:dyDescent="0.35">
      <c r="A1694" s="1">
        <v>42657</v>
      </c>
      <c r="B1694">
        <v>3025.19</v>
      </c>
      <c r="C1694">
        <v>4470.92</v>
      </c>
      <c r="D1694">
        <v>10580.38</v>
      </c>
      <c r="E1694">
        <v>7787.3049899999996</v>
      </c>
      <c r="F1694">
        <v>8767.9</v>
      </c>
      <c r="G1694">
        <v>16591.37</v>
      </c>
    </row>
    <row r="1695" spans="1:7" x14ac:dyDescent="0.35">
      <c r="A1695" s="1">
        <v>42660</v>
      </c>
      <c r="B1695">
        <v>3008.72</v>
      </c>
      <c r="C1695">
        <v>4450.2299999999996</v>
      </c>
      <c r="D1695">
        <v>10503.57</v>
      </c>
      <c r="E1695">
        <v>7703.5010400000001</v>
      </c>
      <c r="F1695">
        <v>8740.7000000000007</v>
      </c>
      <c r="G1695">
        <v>16630.34</v>
      </c>
    </row>
    <row r="1696" spans="1:7" x14ac:dyDescent="0.35">
      <c r="A1696" s="1">
        <v>42661</v>
      </c>
      <c r="B1696">
        <v>3046.99</v>
      </c>
      <c r="C1696">
        <v>4508.91</v>
      </c>
      <c r="D1696">
        <v>10631.55</v>
      </c>
      <c r="E1696">
        <v>7830.00342</v>
      </c>
      <c r="F1696">
        <v>8865.2999999999993</v>
      </c>
      <c r="G1696">
        <v>16966.61</v>
      </c>
    </row>
    <row r="1697" spans="1:7" x14ac:dyDescent="0.35">
      <c r="A1697" s="1">
        <v>42662</v>
      </c>
      <c r="B1697">
        <v>3055.94</v>
      </c>
      <c r="C1697">
        <v>4520.3</v>
      </c>
      <c r="D1697">
        <v>10645.68</v>
      </c>
      <c r="E1697">
        <v>7859.3262100000002</v>
      </c>
      <c r="F1697">
        <v>8950.1</v>
      </c>
      <c r="G1697">
        <v>17044.34</v>
      </c>
    </row>
    <row r="1698" spans="1:7" x14ac:dyDescent="0.35">
      <c r="A1698" s="1">
        <v>42663</v>
      </c>
      <c r="B1698">
        <v>3076.63</v>
      </c>
      <c r="C1698">
        <v>4540.12</v>
      </c>
      <c r="D1698">
        <v>10701.39</v>
      </c>
      <c r="E1698">
        <v>7880.1435000000001</v>
      </c>
      <c r="F1698">
        <v>9061.2000000000007</v>
      </c>
      <c r="G1698">
        <v>17141.38</v>
      </c>
    </row>
    <row r="1699" spans="1:7" x14ac:dyDescent="0.35">
      <c r="A1699" s="1">
        <v>42664</v>
      </c>
      <c r="B1699">
        <v>3077.65</v>
      </c>
      <c r="C1699">
        <v>4536.07</v>
      </c>
      <c r="D1699">
        <v>10710.73</v>
      </c>
      <c r="E1699">
        <v>7900.4498199999998</v>
      </c>
      <c r="F1699">
        <v>9100.4</v>
      </c>
      <c r="G1699">
        <v>17166.759999999998</v>
      </c>
    </row>
    <row r="1700" spans="1:7" x14ac:dyDescent="0.35">
      <c r="A1700" s="1">
        <v>42667</v>
      </c>
      <c r="B1700">
        <v>3093.86</v>
      </c>
      <c r="C1700">
        <v>4552.58</v>
      </c>
      <c r="D1700">
        <v>10761.17</v>
      </c>
      <c r="E1700">
        <v>7842.5198</v>
      </c>
      <c r="F1700">
        <v>9216.2000000000007</v>
      </c>
      <c r="G1700">
        <v>17305.77</v>
      </c>
    </row>
    <row r="1701" spans="1:7" x14ac:dyDescent="0.35">
      <c r="A1701" s="1">
        <v>42668</v>
      </c>
      <c r="B1701">
        <v>3087.41</v>
      </c>
      <c r="C1701">
        <v>4540.84</v>
      </c>
      <c r="D1701">
        <v>10757.31</v>
      </c>
      <c r="E1701">
        <v>7859.8083500000002</v>
      </c>
      <c r="F1701">
        <v>9139.7000000000007</v>
      </c>
      <c r="G1701">
        <v>17230.03</v>
      </c>
    </row>
    <row r="1702" spans="1:7" x14ac:dyDescent="0.35">
      <c r="A1702" s="1">
        <v>42669</v>
      </c>
      <c r="B1702">
        <v>3080.98</v>
      </c>
      <c r="C1702">
        <v>4534.59</v>
      </c>
      <c r="D1702">
        <v>10709.68</v>
      </c>
      <c r="E1702">
        <v>7795.9685099999997</v>
      </c>
      <c r="F1702">
        <v>9173.2999999999993</v>
      </c>
      <c r="G1702">
        <v>17280.740000000002</v>
      </c>
    </row>
    <row r="1703" spans="1:7" x14ac:dyDescent="0.35">
      <c r="A1703" s="1">
        <v>42670</v>
      </c>
      <c r="B1703">
        <v>3085.17</v>
      </c>
      <c r="C1703">
        <v>4533.57</v>
      </c>
      <c r="D1703">
        <v>10717.08</v>
      </c>
      <c r="E1703">
        <v>7806.33097</v>
      </c>
      <c r="F1703">
        <v>9197.2000000000007</v>
      </c>
      <c r="G1703">
        <v>17426.46</v>
      </c>
    </row>
    <row r="1704" spans="1:7" x14ac:dyDescent="0.35">
      <c r="A1704" s="1">
        <v>42671</v>
      </c>
      <c r="B1704">
        <v>3079.24</v>
      </c>
      <c r="C1704">
        <v>4548.58</v>
      </c>
      <c r="D1704">
        <v>10696.19</v>
      </c>
      <c r="E1704">
        <v>7777.10401</v>
      </c>
      <c r="F1704">
        <v>9201.2999999999993</v>
      </c>
      <c r="G1704">
        <v>17324.23</v>
      </c>
    </row>
    <row r="1705" spans="1:7" x14ac:dyDescent="0.35">
      <c r="A1705" s="1">
        <v>42674</v>
      </c>
      <c r="B1705">
        <v>3055.25</v>
      </c>
      <c r="C1705">
        <v>4509.26</v>
      </c>
      <c r="D1705">
        <v>10665.01</v>
      </c>
      <c r="E1705">
        <v>7756.6544000000004</v>
      </c>
      <c r="F1705">
        <v>9143.2999999999993</v>
      </c>
      <c r="G1705">
        <v>17125.05</v>
      </c>
    </row>
    <row r="1706" spans="1:7" x14ac:dyDescent="0.35">
      <c r="A1706" s="1">
        <v>42675</v>
      </c>
      <c r="B1706">
        <v>3023.15</v>
      </c>
      <c r="C1706">
        <v>4470.28</v>
      </c>
      <c r="D1706">
        <v>10526.16</v>
      </c>
      <c r="E1706">
        <v>7655.4020499999997</v>
      </c>
      <c r="F1706">
        <v>9040.7000000000007</v>
      </c>
      <c r="G1706">
        <v>16898.28</v>
      </c>
    </row>
    <row r="1707" spans="1:7" x14ac:dyDescent="0.35">
      <c r="A1707" s="1">
        <v>42676</v>
      </c>
      <c r="B1707">
        <v>2980.17</v>
      </c>
      <c r="C1707">
        <v>4414.67</v>
      </c>
      <c r="D1707">
        <v>10370.93</v>
      </c>
      <c r="E1707">
        <v>7583.6152899999997</v>
      </c>
      <c r="F1707">
        <v>8873.4</v>
      </c>
      <c r="G1707">
        <v>16474.52</v>
      </c>
    </row>
    <row r="1708" spans="1:7" x14ac:dyDescent="0.35">
      <c r="A1708" s="1">
        <v>42677</v>
      </c>
      <c r="B1708">
        <v>2973.49</v>
      </c>
      <c r="C1708">
        <v>4411.68</v>
      </c>
      <c r="D1708">
        <v>10325.879999999999</v>
      </c>
      <c r="E1708">
        <v>7605.6400599999997</v>
      </c>
      <c r="F1708">
        <v>8879.9</v>
      </c>
      <c r="G1708">
        <v>16419.900000000001</v>
      </c>
    </row>
    <row r="1709" spans="1:7" x14ac:dyDescent="0.35">
      <c r="A1709" s="1">
        <v>42678</v>
      </c>
      <c r="B1709">
        <v>2954.53</v>
      </c>
      <c r="C1709">
        <v>4377.46</v>
      </c>
      <c r="D1709">
        <v>10259.129999999999</v>
      </c>
      <c r="E1709">
        <v>7527.2829499999998</v>
      </c>
      <c r="F1709">
        <v>8791.6</v>
      </c>
      <c r="G1709">
        <v>16318.6</v>
      </c>
    </row>
    <row r="1710" spans="1:7" x14ac:dyDescent="0.35">
      <c r="A1710" s="1">
        <v>42681</v>
      </c>
      <c r="B1710">
        <v>3009.28</v>
      </c>
      <c r="C1710">
        <v>4461.21</v>
      </c>
      <c r="D1710">
        <v>10456.950000000001</v>
      </c>
      <c r="E1710">
        <v>7645.8197600000003</v>
      </c>
      <c r="F1710">
        <v>8918.7999999999993</v>
      </c>
      <c r="G1710">
        <v>16736.75</v>
      </c>
    </row>
    <row r="1711" spans="1:7" x14ac:dyDescent="0.35">
      <c r="A1711" s="1">
        <v>42682</v>
      </c>
      <c r="B1711">
        <v>3023.43</v>
      </c>
      <c r="C1711">
        <v>4476.8900000000003</v>
      </c>
      <c r="D1711">
        <v>10482.32</v>
      </c>
      <c r="E1711">
        <v>7691.77</v>
      </c>
      <c r="F1711">
        <v>8937</v>
      </c>
      <c r="G1711">
        <v>16817.41</v>
      </c>
    </row>
    <row r="1712" spans="1:7" x14ac:dyDescent="0.35">
      <c r="A1712" s="1">
        <v>42683</v>
      </c>
      <c r="B1712">
        <v>3056.29</v>
      </c>
      <c r="C1712">
        <v>4543.4799999999996</v>
      </c>
      <c r="D1712">
        <v>10646.01</v>
      </c>
      <c r="E1712">
        <v>7845.7187400000003</v>
      </c>
      <c r="F1712">
        <v>8901.5</v>
      </c>
      <c r="G1712">
        <v>16799.849999999999</v>
      </c>
    </row>
    <row r="1713" spans="1:7" x14ac:dyDescent="0.35">
      <c r="A1713" s="1">
        <v>42684</v>
      </c>
      <c r="B1713">
        <v>3046.59</v>
      </c>
      <c r="C1713">
        <v>4530.95</v>
      </c>
      <c r="D1713">
        <v>10630.12</v>
      </c>
      <c r="E1713">
        <v>7863.0543699999998</v>
      </c>
      <c r="F1713">
        <v>8756.7999999999993</v>
      </c>
      <c r="G1713">
        <v>16804.88</v>
      </c>
    </row>
    <row r="1714" spans="1:7" x14ac:dyDescent="0.35">
      <c r="A1714" s="1">
        <v>42685</v>
      </c>
      <c r="B1714">
        <v>3030.02</v>
      </c>
      <c r="C1714">
        <v>4489.2700000000004</v>
      </c>
      <c r="D1714">
        <v>10667.95</v>
      </c>
      <c r="E1714">
        <v>7809.4059299999999</v>
      </c>
      <c r="F1714">
        <v>8639.2000000000007</v>
      </c>
      <c r="G1714">
        <v>16812.37</v>
      </c>
    </row>
    <row r="1715" spans="1:7" x14ac:dyDescent="0.35">
      <c r="A1715" s="1">
        <v>42688</v>
      </c>
      <c r="B1715">
        <v>3039.8</v>
      </c>
      <c r="C1715">
        <v>4508.55</v>
      </c>
      <c r="D1715">
        <v>10693.69</v>
      </c>
      <c r="E1715">
        <v>7852.0088999999998</v>
      </c>
      <c r="F1715">
        <v>8658.2000000000007</v>
      </c>
      <c r="G1715">
        <v>16686.330000000002</v>
      </c>
    </row>
    <row r="1716" spans="1:7" x14ac:dyDescent="0.35">
      <c r="A1716" s="1">
        <v>42689</v>
      </c>
      <c r="B1716">
        <v>3049.72</v>
      </c>
      <c r="C1716">
        <v>4536.53</v>
      </c>
      <c r="D1716">
        <v>10735.14</v>
      </c>
      <c r="E1716">
        <v>7873.7052400000002</v>
      </c>
      <c r="F1716">
        <v>8687.1</v>
      </c>
      <c r="G1716">
        <v>16682.37</v>
      </c>
    </row>
    <row r="1717" spans="1:7" x14ac:dyDescent="0.35">
      <c r="A1717" s="1">
        <v>42690</v>
      </c>
      <c r="B1717">
        <v>3026.36</v>
      </c>
      <c r="C1717">
        <v>4501.1400000000003</v>
      </c>
      <c r="D1717">
        <v>10663.87</v>
      </c>
      <c r="E1717">
        <v>7854.6900599999999</v>
      </c>
      <c r="F1717">
        <v>8638.5</v>
      </c>
      <c r="G1717">
        <v>16559.84</v>
      </c>
    </row>
    <row r="1718" spans="1:7" x14ac:dyDescent="0.35">
      <c r="A1718" s="1">
        <v>42691</v>
      </c>
      <c r="B1718">
        <v>3041.79</v>
      </c>
      <c r="C1718">
        <v>4527.7700000000004</v>
      </c>
      <c r="D1718">
        <v>10685.54</v>
      </c>
      <c r="E1718">
        <v>7943.3456299999998</v>
      </c>
      <c r="F1718">
        <v>8718</v>
      </c>
      <c r="G1718">
        <v>16555.310000000001</v>
      </c>
    </row>
    <row r="1719" spans="1:7" x14ac:dyDescent="0.35">
      <c r="A1719" s="1">
        <v>42692</v>
      </c>
      <c r="B1719">
        <v>3020.83</v>
      </c>
      <c r="C1719">
        <v>4504.3500000000004</v>
      </c>
      <c r="D1719">
        <v>10664.56</v>
      </c>
      <c r="E1719">
        <v>7898.4509500000004</v>
      </c>
      <c r="F1719">
        <v>8622.9</v>
      </c>
      <c r="G1719">
        <v>16265.9</v>
      </c>
    </row>
    <row r="1720" spans="1:7" x14ac:dyDescent="0.35">
      <c r="A1720" s="1">
        <v>42695</v>
      </c>
      <c r="B1720">
        <v>3032.97</v>
      </c>
      <c r="C1720">
        <v>4529.58</v>
      </c>
      <c r="D1720">
        <v>10685.13</v>
      </c>
      <c r="E1720">
        <v>7974.2961400000004</v>
      </c>
      <c r="F1720">
        <v>8614.6</v>
      </c>
      <c r="G1720">
        <v>16297.26</v>
      </c>
    </row>
    <row r="1721" spans="1:7" x14ac:dyDescent="0.35">
      <c r="A1721" s="1">
        <v>42696</v>
      </c>
      <c r="B1721">
        <v>3044.33</v>
      </c>
      <c r="C1721">
        <v>4548.3500000000004</v>
      </c>
      <c r="D1721">
        <v>10713.85</v>
      </c>
      <c r="E1721">
        <v>7971.2096600000004</v>
      </c>
      <c r="F1721">
        <v>8651.5</v>
      </c>
      <c r="G1721">
        <v>16519.89</v>
      </c>
    </row>
    <row r="1722" spans="1:7" x14ac:dyDescent="0.35">
      <c r="A1722" s="1">
        <v>42697</v>
      </c>
      <c r="B1722">
        <v>3032.14</v>
      </c>
      <c r="C1722">
        <v>4529.21</v>
      </c>
      <c r="D1722">
        <v>10662.44</v>
      </c>
      <c r="E1722">
        <v>8048.6046900000001</v>
      </c>
      <c r="F1722">
        <v>8627.5</v>
      </c>
      <c r="G1722">
        <v>16532.259999999998</v>
      </c>
    </row>
    <row r="1723" spans="1:7" x14ac:dyDescent="0.35">
      <c r="A1723" s="1">
        <v>42698</v>
      </c>
      <c r="B1723">
        <v>3040.6</v>
      </c>
      <c r="C1723">
        <v>4542.5600000000004</v>
      </c>
      <c r="D1723">
        <v>10689.26</v>
      </c>
      <c r="E1723">
        <v>8062.4027699999997</v>
      </c>
      <c r="F1723">
        <v>8657.2000000000007</v>
      </c>
      <c r="G1723">
        <v>16500.73</v>
      </c>
    </row>
    <row r="1724" spans="1:7" x14ac:dyDescent="0.35">
      <c r="A1724" s="1">
        <v>42699</v>
      </c>
      <c r="B1724">
        <v>3048.38</v>
      </c>
      <c r="C1724">
        <v>4550.2700000000004</v>
      </c>
      <c r="D1724">
        <v>10699.27</v>
      </c>
      <c r="E1724">
        <v>8043.8385699999999</v>
      </c>
      <c r="F1724">
        <v>8674.4</v>
      </c>
      <c r="G1724">
        <v>16515.11</v>
      </c>
    </row>
    <row r="1725" spans="1:7" x14ac:dyDescent="0.35">
      <c r="A1725" s="1">
        <v>42702</v>
      </c>
      <c r="B1725">
        <v>3016.8</v>
      </c>
      <c r="C1725">
        <v>4510.3900000000003</v>
      </c>
      <c r="D1725">
        <v>10582.67</v>
      </c>
      <c r="E1725">
        <v>7973.7195199999996</v>
      </c>
      <c r="F1725">
        <v>8619.2999999999993</v>
      </c>
      <c r="G1725">
        <v>16216.95</v>
      </c>
    </row>
    <row r="1726" spans="1:7" x14ac:dyDescent="0.35">
      <c r="A1726" s="1">
        <v>42703</v>
      </c>
      <c r="B1726">
        <v>3038.42</v>
      </c>
      <c r="C1726">
        <v>4551.46</v>
      </c>
      <c r="D1726">
        <v>10620.49</v>
      </c>
      <c r="E1726">
        <v>7961.0987100000002</v>
      </c>
      <c r="F1726">
        <v>8667</v>
      </c>
      <c r="G1726">
        <v>16561.86</v>
      </c>
    </row>
    <row r="1727" spans="1:7" x14ac:dyDescent="0.35">
      <c r="A1727" s="1">
        <v>42704</v>
      </c>
      <c r="B1727">
        <v>3051.61</v>
      </c>
      <c r="C1727">
        <v>4578.34</v>
      </c>
      <c r="D1727">
        <v>10640.3</v>
      </c>
      <c r="E1727">
        <v>7999.2270399999998</v>
      </c>
      <c r="F1727">
        <v>8688.2000000000007</v>
      </c>
      <c r="G1727">
        <v>16930.41</v>
      </c>
    </row>
    <row r="1728" spans="1:7" x14ac:dyDescent="0.35">
      <c r="A1728" s="1">
        <v>42705</v>
      </c>
      <c r="B1728">
        <v>3030.98</v>
      </c>
      <c r="C1728">
        <v>4560.6099999999997</v>
      </c>
      <c r="D1728">
        <v>10534.05</v>
      </c>
      <c r="E1728">
        <v>7996.7402599999996</v>
      </c>
      <c r="F1728">
        <v>8669.2000000000007</v>
      </c>
      <c r="G1728">
        <v>17098.330000000002</v>
      </c>
    </row>
    <row r="1729" spans="1:7" x14ac:dyDescent="0.35">
      <c r="A1729" s="1">
        <v>42706</v>
      </c>
      <c r="B1729">
        <v>3015.13</v>
      </c>
      <c r="C1729">
        <v>4528.82</v>
      </c>
      <c r="D1729">
        <v>10513.35</v>
      </c>
      <c r="E1729">
        <v>7998.6804599999996</v>
      </c>
      <c r="F1729">
        <v>8607.1</v>
      </c>
      <c r="G1729">
        <v>17086.849999999999</v>
      </c>
    </row>
    <row r="1730" spans="1:7" x14ac:dyDescent="0.35">
      <c r="A1730" s="1">
        <v>42709</v>
      </c>
      <c r="B1730">
        <v>3052.75</v>
      </c>
      <c r="C1730">
        <v>4574.32</v>
      </c>
      <c r="D1730">
        <v>10684.83</v>
      </c>
      <c r="E1730">
        <v>7970.6211199999998</v>
      </c>
      <c r="F1730">
        <v>8664.7000000000007</v>
      </c>
      <c r="G1730">
        <v>17050.21</v>
      </c>
    </row>
    <row r="1731" spans="1:7" x14ac:dyDescent="0.35">
      <c r="A1731" s="1">
        <v>42710</v>
      </c>
      <c r="B1731">
        <v>3100.76</v>
      </c>
      <c r="C1731">
        <v>4631.9399999999996</v>
      </c>
      <c r="D1731">
        <v>10775.32</v>
      </c>
      <c r="E1731">
        <v>8018.4646199999997</v>
      </c>
      <c r="F1731">
        <v>8893.2999999999993</v>
      </c>
      <c r="G1731">
        <v>17757.8</v>
      </c>
    </row>
    <row r="1732" spans="1:7" x14ac:dyDescent="0.35">
      <c r="A1732" s="1">
        <v>42711</v>
      </c>
      <c r="B1732">
        <v>3142.24</v>
      </c>
      <c r="C1732">
        <v>4694.72</v>
      </c>
      <c r="D1732">
        <v>10986.69</v>
      </c>
      <c r="E1732">
        <v>8095.8583799999997</v>
      </c>
      <c r="F1732">
        <v>8960.4</v>
      </c>
      <c r="G1732">
        <v>18130.66</v>
      </c>
    </row>
    <row r="1733" spans="1:7" x14ac:dyDescent="0.35">
      <c r="A1733" s="1">
        <v>42712</v>
      </c>
      <c r="B1733">
        <v>3185.79</v>
      </c>
      <c r="C1733">
        <v>4735.4799999999996</v>
      </c>
      <c r="D1733">
        <v>11179.42</v>
      </c>
      <c r="E1733">
        <v>8212.7988999999998</v>
      </c>
      <c r="F1733">
        <v>9145.4</v>
      </c>
      <c r="G1733">
        <v>18427.86</v>
      </c>
    </row>
    <row r="1734" spans="1:7" x14ac:dyDescent="0.35">
      <c r="A1734" s="1">
        <v>42713</v>
      </c>
      <c r="B1734">
        <v>3197.54</v>
      </c>
      <c r="C1734">
        <v>4764.07</v>
      </c>
      <c r="D1734">
        <v>11203.63</v>
      </c>
      <c r="E1734">
        <v>8298.2067499999994</v>
      </c>
      <c r="F1734">
        <v>9169.6</v>
      </c>
      <c r="G1734">
        <v>18292.650000000001</v>
      </c>
    </row>
    <row r="1735" spans="1:7" x14ac:dyDescent="0.35">
      <c r="A1735" s="1">
        <v>42716</v>
      </c>
      <c r="B1735">
        <v>3199.11</v>
      </c>
      <c r="C1735">
        <v>4760.7700000000004</v>
      </c>
      <c r="D1735">
        <v>11190.21</v>
      </c>
      <c r="E1735">
        <v>8219.6844500000007</v>
      </c>
      <c r="F1735">
        <v>9186.4</v>
      </c>
      <c r="G1735">
        <v>18370.32</v>
      </c>
    </row>
    <row r="1736" spans="1:7" x14ac:dyDescent="0.35">
      <c r="A1736" s="1">
        <v>42717</v>
      </c>
      <c r="B1736">
        <v>3236.71</v>
      </c>
      <c r="C1736">
        <v>4803.87</v>
      </c>
      <c r="D1736">
        <v>11284.65</v>
      </c>
      <c r="E1736">
        <v>8317.81214</v>
      </c>
      <c r="F1736">
        <v>9331.2999999999993</v>
      </c>
      <c r="G1736">
        <v>18827.61</v>
      </c>
    </row>
    <row r="1737" spans="1:7" x14ac:dyDescent="0.35">
      <c r="A1737" s="1">
        <v>42718</v>
      </c>
      <c r="B1737">
        <v>3211.71</v>
      </c>
      <c r="C1737">
        <v>4769.24</v>
      </c>
      <c r="D1737">
        <v>11244.84</v>
      </c>
      <c r="E1737">
        <v>8281.6344100000006</v>
      </c>
      <c r="F1737">
        <v>9218.4</v>
      </c>
      <c r="G1737">
        <v>18606.32</v>
      </c>
    </row>
    <row r="1738" spans="1:7" x14ac:dyDescent="0.35">
      <c r="A1738" s="1">
        <v>42719</v>
      </c>
      <c r="B1738">
        <v>3249.74</v>
      </c>
      <c r="C1738">
        <v>4819.2299999999996</v>
      </c>
      <c r="D1738">
        <v>11366.4</v>
      </c>
      <c r="E1738">
        <v>8362.1130699999994</v>
      </c>
      <c r="F1738">
        <v>9340.7999999999993</v>
      </c>
      <c r="G1738">
        <v>18994.79</v>
      </c>
    </row>
    <row r="1739" spans="1:7" x14ac:dyDescent="0.35">
      <c r="A1739" s="1">
        <v>42720</v>
      </c>
      <c r="B1739">
        <v>3259.24</v>
      </c>
      <c r="C1739">
        <v>4833.2700000000004</v>
      </c>
      <c r="D1739">
        <v>11404.01</v>
      </c>
      <c r="E1739">
        <v>8388.3271199999999</v>
      </c>
      <c r="F1739">
        <v>9412.7999999999993</v>
      </c>
      <c r="G1739">
        <v>19014.75</v>
      </c>
    </row>
    <row r="1740" spans="1:7" x14ac:dyDescent="0.35">
      <c r="A1740" s="1">
        <v>42723</v>
      </c>
      <c r="B1740">
        <v>3257.85</v>
      </c>
      <c r="C1740">
        <v>4822.7700000000004</v>
      </c>
      <c r="D1740">
        <v>11426.7</v>
      </c>
      <c r="E1740">
        <v>8344.1315599999998</v>
      </c>
      <c r="F1740">
        <v>9336.7000000000007</v>
      </c>
      <c r="G1740">
        <v>18968.939999999999</v>
      </c>
    </row>
    <row r="1741" spans="1:7" x14ac:dyDescent="0.35">
      <c r="A1741" s="1">
        <v>42724</v>
      </c>
      <c r="B1741">
        <v>3279.41</v>
      </c>
      <c r="C1741">
        <v>4849.8900000000003</v>
      </c>
      <c r="D1741">
        <v>11464.74</v>
      </c>
      <c r="E1741">
        <v>8371.7308799999992</v>
      </c>
      <c r="F1741">
        <v>9407.9</v>
      </c>
      <c r="G1741">
        <v>19247.240000000002</v>
      </c>
    </row>
    <row r="1742" spans="1:7" x14ac:dyDescent="0.35">
      <c r="A1742" s="1">
        <v>42725</v>
      </c>
      <c r="B1742">
        <v>3270.75</v>
      </c>
      <c r="C1742">
        <v>4833.82</v>
      </c>
      <c r="D1742">
        <v>11468.64</v>
      </c>
      <c r="E1742">
        <v>8342.0601600000009</v>
      </c>
      <c r="F1742">
        <v>9371.7000000000007</v>
      </c>
      <c r="G1742">
        <v>19215.59</v>
      </c>
    </row>
    <row r="1743" spans="1:7" x14ac:dyDescent="0.35">
      <c r="A1743" s="1">
        <v>42726</v>
      </c>
      <c r="B1743">
        <v>3269.51</v>
      </c>
      <c r="C1743">
        <v>4834.63</v>
      </c>
      <c r="D1743">
        <v>11456.1</v>
      </c>
      <c r="E1743">
        <v>8321.9106800000009</v>
      </c>
      <c r="F1743">
        <v>9333.6</v>
      </c>
      <c r="G1743">
        <v>19121.259999999998</v>
      </c>
    </row>
    <row r="1744" spans="1:7" x14ac:dyDescent="0.35">
      <c r="A1744" s="1">
        <v>42727</v>
      </c>
      <c r="B1744">
        <v>3273.97</v>
      </c>
      <c r="C1744">
        <v>4839.68</v>
      </c>
      <c r="D1744">
        <v>11449.93</v>
      </c>
      <c r="E1744">
        <v>8302.1231100000005</v>
      </c>
      <c r="F1744">
        <v>9367.7000000000007</v>
      </c>
      <c r="G1744">
        <v>19345.02</v>
      </c>
    </row>
    <row r="1745" spans="1:7" x14ac:dyDescent="0.35">
      <c r="A1745" s="1">
        <v>42732</v>
      </c>
      <c r="B1745">
        <v>3278.72</v>
      </c>
      <c r="C1745">
        <v>4848.01</v>
      </c>
      <c r="D1745">
        <v>11474.99</v>
      </c>
      <c r="E1745">
        <v>8367.2997099999993</v>
      </c>
      <c r="F1745">
        <v>9344.9</v>
      </c>
      <c r="G1745">
        <v>19239.39</v>
      </c>
    </row>
    <row r="1746" spans="1:7" x14ac:dyDescent="0.35">
      <c r="A1746" s="1">
        <v>42733</v>
      </c>
      <c r="B1746">
        <v>3271.76</v>
      </c>
      <c r="C1746">
        <v>4838.47</v>
      </c>
      <c r="D1746">
        <v>11451.05</v>
      </c>
      <c r="E1746">
        <v>8312.8627500000002</v>
      </c>
      <c r="F1746">
        <v>9327.1</v>
      </c>
      <c r="G1746">
        <v>19203.939999999999</v>
      </c>
    </row>
    <row r="1747" spans="1:7" x14ac:dyDescent="0.35">
      <c r="A1747" s="1">
        <v>42734</v>
      </c>
      <c r="B1747">
        <v>3290.52</v>
      </c>
      <c r="C1747">
        <v>4862.3100000000004</v>
      </c>
      <c r="D1747">
        <v>11481.06</v>
      </c>
      <c r="E1747">
        <v>8360.5040599999993</v>
      </c>
      <c r="F1747">
        <v>9352.1</v>
      </c>
      <c r="G1747">
        <v>19234.580000000002</v>
      </c>
    </row>
    <row r="1748" spans="1:7" x14ac:dyDescent="0.35">
      <c r="A1748" s="1">
        <v>42738</v>
      </c>
      <c r="B1748">
        <v>3315.02</v>
      </c>
      <c r="C1748">
        <v>4899.33</v>
      </c>
      <c r="D1748">
        <v>11584.24</v>
      </c>
      <c r="E1748">
        <v>8439.7172100000007</v>
      </c>
      <c r="F1748">
        <v>9494.7000000000007</v>
      </c>
      <c r="G1748">
        <v>19573.48</v>
      </c>
    </row>
    <row r="1749" spans="1:7" x14ac:dyDescent="0.35">
      <c r="A1749" s="1">
        <v>42739</v>
      </c>
      <c r="B1749">
        <v>3317.52</v>
      </c>
      <c r="C1749">
        <v>4899.3999999999996</v>
      </c>
      <c r="D1749">
        <v>11584.31</v>
      </c>
      <c r="E1749">
        <v>8456.4579400000002</v>
      </c>
      <c r="F1749">
        <v>9462.9</v>
      </c>
      <c r="G1749">
        <v>19626.64</v>
      </c>
    </row>
    <row r="1750" spans="1:7" x14ac:dyDescent="0.35">
      <c r="A1750" s="1">
        <v>42740</v>
      </c>
      <c r="B1750">
        <v>3316.47</v>
      </c>
      <c r="C1750">
        <v>4900.6400000000003</v>
      </c>
      <c r="D1750">
        <v>11584.94</v>
      </c>
      <c r="E1750">
        <v>8430.9642899999999</v>
      </c>
      <c r="F1750">
        <v>9488.2000000000007</v>
      </c>
      <c r="G1750">
        <v>19642.810000000001</v>
      </c>
    </row>
    <row r="1751" spans="1:7" x14ac:dyDescent="0.35">
      <c r="A1751" s="1">
        <v>42741</v>
      </c>
      <c r="B1751">
        <v>3321.17</v>
      </c>
      <c r="C1751">
        <v>4909.84</v>
      </c>
      <c r="D1751">
        <v>11599.01</v>
      </c>
      <c r="E1751">
        <v>8406.7132700000002</v>
      </c>
      <c r="F1751">
        <v>9515.9</v>
      </c>
      <c r="G1751">
        <v>19687.71</v>
      </c>
    </row>
    <row r="1752" spans="1:7" x14ac:dyDescent="0.35">
      <c r="A1752" s="1">
        <v>42744</v>
      </c>
      <c r="B1752">
        <v>3308.97</v>
      </c>
      <c r="C1752">
        <v>4887.57</v>
      </c>
      <c r="D1752">
        <v>11563.99</v>
      </c>
      <c r="E1752">
        <v>8331.8913200000006</v>
      </c>
      <c r="F1752">
        <v>9492.7999999999993</v>
      </c>
      <c r="G1752">
        <v>19360.02</v>
      </c>
    </row>
    <row r="1753" spans="1:7" x14ac:dyDescent="0.35">
      <c r="A1753" s="1">
        <v>42745</v>
      </c>
      <c r="B1753">
        <v>3306.21</v>
      </c>
      <c r="C1753">
        <v>4888.2299999999996</v>
      </c>
      <c r="D1753">
        <v>11583.3</v>
      </c>
      <c r="E1753">
        <v>8376.3317599999991</v>
      </c>
      <c r="F1753">
        <v>9452</v>
      </c>
      <c r="G1753">
        <v>19424.189999999999</v>
      </c>
    </row>
    <row r="1754" spans="1:7" x14ac:dyDescent="0.35">
      <c r="A1754" s="1">
        <v>42746</v>
      </c>
      <c r="B1754">
        <v>3307.94</v>
      </c>
      <c r="C1754">
        <v>4888.71</v>
      </c>
      <c r="D1754">
        <v>11646.17</v>
      </c>
      <c r="E1754">
        <v>8395.2143099999994</v>
      </c>
      <c r="F1754">
        <v>9408.6</v>
      </c>
      <c r="G1754">
        <v>19486.88</v>
      </c>
    </row>
    <row r="1755" spans="1:7" x14ac:dyDescent="0.35">
      <c r="A1755" s="1">
        <v>42747</v>
      </c>
      <c r="B1755">
        <v>3286.7</v>
      </c>
      <c r="C1755">
        <v>4863.97</v>
      </c>
      <c r="D1755">
        <v>11521.04</v>
      </c>
      <c r="E1755">
        <v>8346.2677800000001</v>
      </c>
      <c r="F1755">
        <v>9407.4</v>
      </c>
      <c r="G1755">
        <v>19156.59</v>
      </c>
    </row>
    <row r="1756" spans="1:7" x14ac:dyDescent="0.35">
      <c r="A1756" s="1">
        <v>42748</v>
      </c>
      <c r="B1756">
        <v>3324.34</v>
      </c>
      <c r="C1756">
        <v>4922.49</v>
      </c>
      <c r="D1756">
        <v>11629.18</v>
      </c>
      <c r="E1756">
        <v>8418.7866200000008</v>
      </c>
      <c r="F1756">
        <v>9511.6</v>
      </c>
      <c r="G1756">
        <v>19514.54</v>
      </c>
    </row>
    <row r="1757" spans="1:7" x14ac:dyDescent="0.35">
      <c r="A1757" s="1">
        <v>42751</v>
      </c>
      <c r="B1757">
        <v>3294.53</v>
      </c>
      <c r="C1757">
        <v>4882.18</v>
      </c>
      <c r="D1757">
        <v>11554.71</v>
      </c>
      <c r="E1757">
        <v>8338.7216900000003</v>
      </c>
      <c r="F1757">
        <v>9410</v>
      </c>
      <c r="G1757">
        <v>19247.25</v>
      </c>
    </row>
    <row r="1758" spans="1:7" x14ac:dyDescent="0.35">
      <c r="A1758" s="1">
        <v>42752</v>
      </c>
      <c r="B1758">
        <v>3285.04</v>
      </c>
      <c r="C1758">
        <v>4859.6899999999996</v>
      </c>
      <c r="D1758">
        <v>11540</v>
      </c>
      <c r="E1758">
        <v>8356.8525599999994</v>
      </c>
      <c r="F1758">
        <v>9394.9</v>
      </c>
      <c r="G1758">
        <v>19296.16</v>
      </c>
    </row>
    <row r="1759" spans="1:7" x14ac:dyDescent="0.35">
      <c r="A1759" s="1">
        <v>42753</v>
      </c>
      <c r="B1759">
        <v>3294</v>
      </c>
      <c r="C1759">
        <v>4853.3999999999996</v>
      </c>
      <c r="D1759">
        <v>11599.39</v>
      </c>
      <c r="E1759">
        <v>8351.4068200000002</v>
      </c>
      <c r="F1759">
        <v>9386.2000000000007</v>
      </c>
      <c r="G1759">
        <v>19358.099999999999</v>
      </c>
    </row>
    <row r="1760" spans="1:7" x14ac:dyDescent="0.35">
      <c r="A1760" s="1">
        <v>42754</v>
      </c>
      <c r="B1760">
        <v>3290.33</v>
      </c>
      <c r="C1760">
        <v>4841.1400000000003</v>
      </c>
      <c r="D1760">
        <v>11596.89</v>
      </c>
      <c r="E1760">
        <v>8340.6911999999993</v>
      </c>
      <c r="F1760">
        <v>9379.1</v>
      </c>
      <c r="G1760">
        <v>19490.96</v>
      </c>
    </row>
    <row r="1761" spans="1:7" x14ac:dyDescent="0.35">
      <c r="A1761" s="1">
        <v>42755</v>
      </c>
      <c r="B1761">
        <v>3299.44</v>
      </c>
      <c r="C1761">
        <v>4850.67</v>
      </c>
      <c r="D1761">
        <v>11630.13</v>
      </c>
      <c r="E1761">
        <v>8319.1713600000003</v>
      </c>
      <c r="F1761">
        <v>9380.1</v>
      </c>
      <c r="G1761">
        <v>19479.46</v>
      </c>
    </row>
    <row r="1762" spans="1:7" x14ac:dyDescent="0.35">
      <c r="A1762" s="1">
        <v>42758</v>
      </c>
      <c r="B1762">
        <v>3273.04</v>
      </c>
      <c r="C1762">
        <v>4821.41</v>
      </c>
      <c r="D1762">
        <v>11545.75</v>
      </c>
      <c r="E1762">
        <v>8317.8216499999999</v>
      </c>
      <c r="F1762">
        <v>9304.7999999999993</v>
      </c>
      <c r="G1762">
        <v>19328.41</v>
      </c>
    </row>
    <row r="1763" spans="1:7" x14ac:dyDescent="0.35">
      <c r="A1763" s="1">
        <v>42759</v>
      </c>
      <c r="B1763">
        <v>3281.53</v>
      </c>
      <c r="C1763">
        <v>4830.03</v>
      </c>
      <c r="D1763">
        <v>11594.94</v>
      </c>
      <c r="E1763">
        <v>8326.8856699999997</v>
      </c>
      <c r="F1763">
        <v>9387.2000000000007</v>
      </c>
      <c r="G1763">
        <v>19499.54</v>
      </c>
    </row>
    <row r="1764" spans="1:7" x14ac:dyDescent="0.35">
      <c r="A1764" s="1">
        <v>42760</v>
      </c>
      <c r="B1764">
        <v>3326.15</v>
      </c>
      <c r="C1764">
        <v>4877.67</v>
      </c>
      <c r="D1764">
        <v>11806.05</v>
      </c>
      <c r="E1764">
        <v>8411.4331399999992</v>
      </c>
      <c r="F1764">
        <v>9549.2999999999993</v>
      </c>
      <c r="G1764">
        <v>19582.23</v>
      </c>
    </row>
    <row r="1765" spans="1:7" x14ac:dyDescent="0.35">
      <c r="A1765" s="1">
        <v>42761</v>
      </c>
      <c r="B1765">
        <v>3319.13</v>
      </c>
      <c r="C1765">
        <v>4867.24</v>
      </c>
      <c r="D1765">
        <v>11848.63</v>
      </c>
      <c r="E1765">
        <v>8437.3837899999999</v>
      </c>
      <c r="F1765">
        <v>9512.7999999999993</v>
      </c>
      <c r="G1765">
        <v>19439.650000000001</v>
      </c>
    </row>
    <row r="1766" spans="1:7" x14ac:dyDescent="0.35">
      <c r="A1766" s="1">
        <v>42762</v>
      </c>
      <c r="B1766">
        <v>3303.33</v>
      </c>
      <c r="C1766">
        <v>4839.9799999999996</v>
      </c>
      <c r="D1766">
        <v>11814.27</v>
      </c>
      <c r="E1766">
        <v>8432.0074499999992</v>
      </c>
      <c r="F1766">
        <v>9504.1</v>
      </c>
      <c r="G1766">
        <v>19329.259999999998</v>
      </c>
    </row>
    <row r="1767" spans="1:7" x14ac:dyDescent="0.35">
      <c r="A1767" s="1">
        <v>42765</v>
      </c>
      <c r="B1767">
        <v>3262.72</v>
      </c>
      <c r="C1767">
        <v>4784.6400000000003</v>
      </c>
      <c r="D1767">
        <v>11681.89</v>
      </c>
      <c r="E1767">
        <v>8307.4452399999991</v>
      </c>
      <c r="F1767">
        <v>9361.2999999999993</v>
      </c>
      <c r="G1767">
        <v>18759.400000000001</v>
      </c>
    </row>
    <row r="1768" spans="1:7" x14ac:dyDescent="0.35">
      <c r="A1768" s="1">
        <v>42766</v>
      </c>
      <c r="B1768">
        <v>3230.68</v>
      </c>
      <c r="C1768">
        <v>4748.8999999999996</v>
      </c>
      <c r="D1768">
        <v>11535.31</v>
      </c>
      <c r="E1768">
        <v>8274.8808900000004</v>
      </c>
      <c r="F1768">
        <v>9315.2000000000007</v>
      </c>
      <c r="G1768">
        <v>18590.73</v>
      </c>
    </row>
    <row r="1769" spans="1:7" x14ac:dyDescent="0.35">
      <c r="A1769" s="1">
        <v>42767</v>
      </c>
      <c r="B1769">
        <v>3258.92</v>
      </c>
      <c r="C1769">
        <v>4794.58</v>
      </c>
      <c r="D1769">
        <v>11659.5</v>
      </c>
      <c r="E1769">
        <v>8352.2984699999997</v>
      </c>
      <c r="F1769">
        <v>9330.7999999999993</v>
      </c>
      <c r="G1769">
        <v>18740.650000000001</v>
      </c>
    </row>
    <row r="1770" spans="1:7" x14ac:dyDescent="0.35">
      <c r="A1770" s="1">
        <v>42768</v>
      </c>
      <c r="B1770">
        <v>3253.61</v>
      </c>
      <c r="C1770">
        <v>4794.29</v>
      </c>
      <c r="D1770">
        <v>11627.95</v>
      </c>
      <c r="E1770">
        <v>8312.3413500000006</v>
      </c>
      <c r="F1770">
        <v>9406.4</v>
      </c>
      <c r="G1770">
        <v>18889.189999999999</v>
      </c>
    </row>
    <row r="1771" spans="1:7" x14ac:dyDescent="0.35">
      <c r="A1771" s="1">
        <v>42769</v>
      </c>
      <c r="B1771">
        <v>3273.11</v>
      </c>
      <c r="C1771">
        <v>4825.42</v>
      </c>
      <c r="D1771">
        <v>11651.49</v>
      </c>
      <c r="E1771">
        <v>8340.1344200000003</v>
      </c>
      <c r="F1771">
        <v>9462.7000000000007</v>
      </c>
      <c r="G1771">
        <v>19116.04</v>
      </c>
    </row>
    <row r="1772" spans="1:7" x14ac:dyDescent="0.35">
      <c r="A1772" s="1">
        <v>42772</v>
      </c>
      <c r="B1772">
        <v>3238.31</v>
      </c>
      <c r="C1772">
        <v>4778.08</v>
      </c>
      <c r="D1772">
        <v>11509.84</v>
      </c>
      <c r="E1772">
        <v>8331.9872099999993</v>
      </c>
      <c r="F1772">
        <v>9357.2999999999993</v>
      </c>
      <c r="G1772">
        <v>18693.650000000001</v>
      </c>
    </row>
    <row r="1773" spans="1:7" x14ac:dyDescent="0.35">
      <c r="A1773" s="1">
        <v>42773</v>
      </c>
      <c r="B1773">
        <v>3235.71</v>
      </c>
      <c r="C1773">
        <v>4754.47</v>
      </c>
      <c r="D1773">
        <v>11549.44</v>
      </c>
      <c r="E1773">
        <v>8399.3819100000001</v>
      </c>
      <c r="F1773">
        <v>9331.5</v>
      </c>
      <c r="G1773">
        <v>18662.61</v>
      </c>
    </row>
    <row r="1774" spans="1:7" x14ac:dyDescent="0.35">
      <c r="A1774" s="1">
        <v>42774</v>
      </c>
      <c r="B1774">
        <v>3238.04</v>
      </c>
      <c r="C1774">
        <v>4766.6000000000004</v>
      </c>
      <c r="D1774">
        <v>11543.38</v>
      </c>
      <c r="E1774">
        <v>8425.375</v>
      </c>
      <c r="F1774">
        <v>9329.7000000000007</v>
      </c>
      <c r="G1774">
        <v>18771.78</v>
      </c>
    </row>
    <row r="1775" spans="1:7" x14ac:dyDescent="0.35">
      <c r="A1775" s="1">
        <v>42775</v>
      </c>
      <c r="B1775">
        <v>3277.79</v>
      </c>
      <c r="C1775">
        <v>4826.24</v>
      </c>
      <c r="D1775">
        <v>11642.86</v>
      </c>
      <c r="E1775">
        <v>8488.5740399999995</v>
      </c>
      <c r="F1775">
        <v>9438.4</v>
      </c>
      <c r="G1775">
        <v>18947.439999999999</v>
      </c>
    </row>
    <row r="1776" spans="1:7" x14ac:dyDescent="0.35">
      <c r="A1776" s="1">
        <v>42776</v>
      </c>
      <c r="B1776">
        <v>3270.83</v>
      </c>
      <c r="C1776">
        <v>4828.32</v>
      </c>
      <c r="D1776">
        <v>11666.97</v>
      </c>
      <c r="E1776">
        <v>8528.3827799999999</v>
      </c>
      <c r="F1776">
        <v>9378.1</v>
      </c>
      <c r="G1776">
        <v>18862.11</v>
      </c>
    </row>
    <row r="1777" spans="1:7" x14ac:dyDescent="0.35">
      <c r="A1777" s="1">
        <v>42779</v>
      </c>
      <c r="B1777">
        <v>3305.23</v>
      </c>
      <c r="C1777">
        <v>4888.1899999999996</v>
      </c>
      <c r="D1777">
        <v>11774.43</v>
      </c>
      <c r="E1777">
        <v>8589.6201999999994</v>
      </c>
      <c r="F1777">
        <v>9484.1</v>
      </c>
      <c r="G1777">
        <v>19064.64</v>
      </c>
    </row>
    <row r="1778" spans="1:7" x14ac:dyDescent="0.35">
      <c r="A1778" s="1">
        <v>42780</v>
      </c>
      <c r="B1778">
        <v>3308.89</v>
      </c>
      <c r="C1778">
        <v>4895.82</v>
      </c>
      <c r="D1778">
        <v>11771.81</v>
      </c>
      <c r="E1778">
        <v>8579.1711500000001</v>
      </c>
      <c r="F1778">
        <v>9510.2000000000007</v>
      </c>
      <c r="G1778">
        <v>19187.669999999998</v>
      </c>
    </row>
    <row r="1779" spans="1:7" x14ac:dyDescent="0.35">
      <c r="A1779" s="1">
        <v>42781</v>
      </c>
      <c r="B1779">
        <v>3323.71</v>
      </c>
      <c r="C1779">
        <v>4924.8599999999997</v>
      </c>
      <c r="D1779">
        <v>11793.93</v>
      </c>
      <c r="E1779">
        <v>8589.8530300000002</v>
      </c>
      <c r="F1779">
        <v>9584.1</v>
      </c>
      <c r="G1779">
        <v>19056.16</v>
      </c>
    </row>
    <row r="1780" spans="1:7" x14ac:dyDescent="0.35">
      <c r="A1780" s="1">
        <v>42782</v>
      </c>
      <c r="B1780">
        <v>3311.04</v>
      </c>
      <c r="C1780">
        <v>4899.46</v>
      </c>
      <c r="D1780">
        <v>11757.24</v>
      </c>
      <c r="E1780">
        <v>8520.6250099999997</v>
      </c>
      <c r="F1780">
        <v>9554.7000000000007</v>
      </c>
      <c r="G1780">
        <v>19087.54</v>
      </c>
    </row>
    <row r="1781" spans="1:7" x14ac:dyDescent="0.35">
      <c r="A1781" s="1">
        <v>42783</v>
      </c>
      <c r="B1781">
        <v>3308.81</v>
      </c>
      <c r="C1781">
        <v>4867.58</v>
      </c>
      <c r="D1781">
        <v>11757.02</v>
      </c>
      <c r="E1781">
        <v>8557.8860299999997</v>
      </c>
      <c r="F1781">
        <v>9500.2999999999993</v>
      </c>
      <c r="G1781">
        <v>19006.46</v>
      </c>
    </row>
    <row r="1782" spans="1:7" x14ac:dyDescent="0.35">
      <c r="A1782" s="1">
        <v>42786</v>
      </c>
      <c r="B1782">
        <v>3312.39</v>
      </c>
      <c r="C1782">
        <v>4864.99</v>
      </c>
      <c r="D1782">
        <v>11827.62</v>
      </c>
      <c r="E1782">
        <v>8569.9393199999995</v>
      </c>
      <c r="F1782">
        <v>9526.6</v>
      </c>
      <c r="G1782">
        <v>18978.650000000001</v>
      </c>
    </row>
    <row r="1783" spans="1:7" x14ac:dyDescent="0.35">
      <c r="A1783" s="1">
        <v>42787</v>
      </c>
      <c r="B1783">
        <v>3339.33</v>
      </c>
      <c r="C1783">
        <v>4888.76</v>
      </c>
      <c r="D1783">
        <v>11967.49</v>
      </c>
      <c r="E1783">
        <v>8597.4636399999999</v>
      </c>
      <c r="F1783">
        <v>9561</v>
      </c>
      <c r="G1783">
        <v>19043.580000000002</v>
      </c>
    </row>
    <row r="1784" spans="1:7" x14ac:dyDescent="0.35">
      <c r="A1784" s="1">
        <v>42788</v>
      </c>
      <c r="B1784">
        <v>3339.27</v>
      </c>
      <c r="C1784">
        <v>4895.88</v>
      </c>
      <c r="D1784">
        <v>11998.59</v>
      </c>
      <c r="E1784">
        <v>8610.1053400000001</v>
      </c>
      <c r="F1784">
        <v>9477.2000000000007</v>
      </c>
      <c r="G1784">
        <v>18884.900000000001</v>
      </c>
    </row>
    <row r="1785" spans="1:7" x14ac:dyDescent="0.35">
      <c r="A1785" s="1">
        <v>42789</v>
      </c>
      <c r="B1785">
        <v>3333.96</v>
      </c>
      <c r="C1785">
        <v>4891.29</v>
      </c>
      <c r="D1785">
        <v>11947.83</v>
      </c>
      <c r="E1785">
        <v>8632.4724800000004</v>
      </c>
      <c r="F1785">
        <v>9493.4</v>
      </c>
      <c r="G1785">
        <v>18819.490000000002</v>
      </c>
    </row>
    <row r="1786" spans="1:7" x14ac:dyDescent="0.35">
      <c r="A1786" s="1">
        <v>42790</v>
      </c>
      <c r="B1786">
        <v>3304.09</v>
      </c>
      <c r="C1786">
        <v>4845.24</v>
      </c>
      <c r="D1786">
        <v>11804.03</v>
      </c>
      <c r="E1786">
        <v>8543.8512800000008</v>
      </c>
      <c r="F1786">
        <v>9453.5</v>
      </c>
      <c r="G1786">
        <v>18596.66</v>
      </c>
    </row>
    <row r="1787" spans="1:7" x14ac:dyDescent="0.35">
      <c r="A1787" s="1">
        <v>42793</v>
      </c>
      <c r="B1787">
        <v>3309.3</v>
      </c>
      <c r="C1787">
        <v>4845.18</v>
      </c>
      <c r="D1787">
        <v>11822.67</v>
      </c>
      <c r="E1787">
        <v>8522.4802</v>
      </c>
      <c r="F1787">
        <v>9464.2999999999993</v>
      </c>
      <c r="G1787">
        <v>18914.3</v>
      </c>
    </row>
    <row r="1788" spans="1:7" x14ac:dyDescent="0.35">
      <c r="A1788" s="1">
        <v>42794</v>
      </c>
      <c r="B1788">
        <v>3319.61</v>
      </c>
      <c r="C1788">
        <v>4858.58</v>
      </c>
      <c r="D1788">
        <v>11834.41</v>
      </c>
      <c r="E1788">
        <v>8502.0865799999992</v>
      </c>
      <c r="F1788">
        <v>9555.5</v>
      </c>
      <c r="G1788">
        <v>18913.28</v>
      </c>
    </row>
    <row r="1789" spans="1:7" x14ac:dyDescent="0.35">
      <c r="A1789" s="1">
        <v>42795</v>
      </c>
      <c r="B1789">
        <v>3390.2</v>
      </c>
      <c r="C1789">
        <v>4960.83</v>
      </c>
      <c r="D1789">
        <v>12067.19</v>
      </c>
      <c r="E1789">
        <v>8609.4230499999994</v>
      </c>
      <c r="F1789">
        <v>9751.5</v>
      </c>
      <c r="G1789">
        <v>19364.39</v>
      </c>
    </row>
    <row r="1790" spans="1:7" x14ac:dyDescent="0.35">
      <c r="A1790" s="1">
        <v>42796</v>
      </c>
      <c r="B1790">
        <v>3384.71</v>
      </c>
      <c r="C1790">
        <v>4963.8</v>
      </c>
      <c r="D1790">
        <v>12059.57</v>
      </c>
      <c r="E1790">
        <v>8618.3631000000005</v>
      </c>
      <c r="F1790">
        <v>9716</v>
      </c>
      <c r="G1790">
        <v>19440.62</v>
      </c>
    </row>
    <row r="1791" spans="1:7" x14ac:dyDescent="0.35">
      <c r="A1791" s="1">
        <v>42797</v>
      </c>
      <c r="B1791">
        <v>3403.39</v>
      </c>
      <c r="C1791">
        <v>4995.13</v>
      </c>
      <c r="D1791">
        <v>12027.36</v>
      </c>
      <c r="E1791">
        <v>8558.3865800000003</v>
      </c>
      <c r="F1791">
        <v>9798.5</v>
      </c>
      <c r="G1791">
        <v>19664.45</v>
      </c>
    </row>
    <row r="1792" spans="1:7" x14ac:dyDescent="0.35">
      <c r="A1792" s="1">
        <v>42800</v>
      </c>
      <c r="B1792">
        <v>3387.46</v>
      </c>
      <c r="C1792">
        <v>4972.1899999999996</v>
      </c>
      <c r="D1792">
        <v>11958.4</v>
      </c>
      <c r="E1792">
        <v>8498.0116799999996</v>
      </c>
      <c r="F1792">
        <v>9804.1</v>
      </c>
      <c r="G1792">
        <v>19449.849999999999</v>
      </c>
    </row>
    <row r="1793" spans="1:7" x14ac:dyDescent="0.35">
      <c r="A1793" s="1">
        <v>42801</v>
      </c>
      <c r="B1793">
        <v>3385.12</v>
      </c>
      <c r="C1793">
        <v>4955</v>
      </c>
      <c r="D1793">
        <v>11966.14</v>
      </c>
      <c r="E1793">
        <v>8471.5887399999992</v>
      </c>
      <c r="F1793">
        <v>9801.7000000000007</v>
      </c>
      <c r="G1793">
        <v>19455.05</v>
      </c>
    </row>
    <row r="1794" spans="1:7" x14ac:dyDescent="0.35">
      <c r="A1794" s="1">
        <v>42802</v>
      </c>
      <c r="B1794">
        <v>3389.62</v>
      </c>
      <c r="C1794">
        <v>4960.4799999999996</v>
      </c>
      <c r="D1794">
        <v>11967.31</v>
      </c>
      <c r="E1794">
        <v>8459.4775900000004</v>
      </c>
      <c r="F1794">
        <v>9850.5</v>
      </c>
      <c r="G1794">
        <v>19482.39</v>
      </c>
    </row>
    <row r="1795" spans="1:7" x14ac:dyDescent="0.35">
      <c r="A1795" s="1">
        <v>42803</v>
      </c>
      <c r="B1795">
        <v>3409.89</v>
      </c>
      <c r="C1795">
        <v>4981.51</v>
      </c>
      <c r="D1795">
        <v>11978.39</v>
      </c>
      <c r="E1795">
        <v>8414.2781900000009</v>
      </c>
      <c r="F1795">
        <v>9998.4</v>
      </c>
      <c r="G1795">
        <v>19571.240000000002</v>
      </c>
    </row>
    <row r="1796" spans="1:7" x14ac:dyDescent="0.35">
      <c r="A1796" s="1">
        <v>42804</v>
      </c>
      <c r="B1796">
        <v>3416.27</v>
      </c>
      <c r="C1796">
        <v>4993.32</v>
      </c>
      <c r="D1796">
        <v>11963.18</v>
      </c>
      <c r="E1796">
        <v>8375.4747900000002</v>
      </c>
      <c r="F1796">
        <v>10006.4</v>
      </c>
      <c r="G1796">
        <v>19658.37</v>
      </c>
    </row>
    <row r="1797" spans="1:7" x14ac:dyDescent="0.35">
      <c r="A1797" s="1">
        <v>42807</v>
      </c>
      <c r="B1797">
        <v>3415.49</v>
      </c>
      <c r="C1797">
        <v>4999.6000000000004</v>
      </c>
      <c r="D1797">
        <v>11990.03</v>
      </c>
      <c r="E1797">
        <v>8456.3489800000007</v>
      </c>
      <c r="F1797">
        <v>9995.9</v>
      </c>
      <c r="G1797">
        <v>19706.95</v>
      </c>
    </row>
    <row r="1798" spans="1:7" x14ac:dyDescent="0.35">
      <c r="A1798" s="1">
        <v>42808</v>
      </c>
      <c r="B1798">
        <v>3399.43</v>
      </c>
      <c r="C1798">
        <v>4974.26</v>
      </c>
      <c r="D1798">
        <v>11988.79</v>
      </c>
      <c r="E1798">
        <v>8427.4781299999995</v>
      </c>
      <c r="F1798">
        <v>9905.1</v>
      </c>
      <c r="G1798">
        <v>19537.400000000001</v>
      </c>
    </row>
    <row r="1799" spans="1:7" x14ac:dyDescent="0.35">
      <c r="A1799" s="1">
        <v>42809</v>
      </c>
      <c r="B1799">
        <v>3409.32</v>
      </c>
      <c r="C1799">
        <v>4985.4799999999996</v>
      </c>
      <c r="D1799">
        <v>12009.87</v>
      </c>
      <c r="E1799">
        <v>8457.26001</v>
      </c>
      <c r="F1799">
        <v>9983.2000000000007</v>
      </c>
      <c r="G1799">
        <v>19774.02</v>
      </c>
    </row>
    <row r="1800" spans="1:7" x14ac:dyDescent="0.35">
      <c r="A1800" s="1">
        <v>42810</v>
      </c>
      <c r="B1800">
        <v>3439.96</v>
      </c>
      <c r="C1800">
        <v>5013.38</v>
      </c>
      <c r="D1800">
        <v>12083.18</v>
      </c>
      <c r="E1800">
        <v>8548.9327499999999</v>
      </c>
      <c r="F1800">
        <v>10168</v>
      </c>
      <c r="G1800">
        <v>20109.759999999998</v>
      </c>
    </row>
    <row r="1801" spans="1:7" x14ac:dyDescent="0.35">
      <c r="A1801" s="1">
        <v>42811</v>
      </c>
      <c r="B1801">
        <v>3448.41</v>
      </c>
      <c r="C1801">
        <v>5029.24</v>
      </c>
      <c r="D1801">
        <v>12095.24</v>
      </c>
      <c r="E1801">
        <v>8563.6473299999998</v>
      </c>
      <c r="F1801">
        <v>10245.799999999999</v>
      </c>
      <c r="G1801">
        <v>20074.28</v>
      </c>
    </row>
    <row r="1802" spans="1:7" x14ac:dyDescent="0.35">
      <c r="A1802" s="1">
        <v>42814</v>
      </c>
      <c r="B1802">
        <v>3437.48</v>
      </c>
      <c r="C1802">
        <v>5012.16</v>
      </c>
      <c r="D1802">
        <v>12052.9</v>
      </c>
      <c r="E1802">
        <v>8549.6834899999994</v>
      </c>
      <c r="F1802">
        <v>10214</v>
      </c>
      <c r="G1802">
        <v>19968.55</v>
      </c>
    </row>
    <row r="1803" spans="1:7" x14ac:dyDescent="0.35">
      <c r="A1803" s="1">
        <v>42815</v>
      </c>
      <c r="B1803">
        <v>3429.62</v>
      </c>
      <c r="C1803">
        <v>5002.43</v>
      </c>
      <c r="D1803">
        <v>11962.13</v>
      </c>
      <c r="E1803">
        <v>8517.6173999999992</v>
      </c>
      <c r="F1803">
        <v>10211.9</v>
      </c>
      <c r="G1803">
        <v>19918.84</v>
      </c>
    </row>
    <row r="1804" spans="1:7" x14ac:dyDescent="0.35">
      <c r="A1804" s="1">
        <v>42816</v>
      </c>
      <c r="B1804">
        <v>3420.7</v>
      </c>
      <c r="C1804">
        <v>4994.7</v>
      </c>
      <c r="D1804">
        <v>11904.12</v>
      </c>
      <c r="E1804">
        <v>8455.5087999999996</v>
      </c>
      <c r="F1804">
        <v>10229.299999999999</v>
      </c>
      <c r="G1804">
        <v>19953.439999999999</v>
      </c>
    </row>
    <row r="1805" spans="1:7" x14ac:dyDescent="0.35">
      <c r="A1805" s="1">
        <v>42817</v>
      </c>
      <c r="B1805">
        <v>3452.18</v>
      </c>
      <c r="C1805">
        <v>5032.76</v>
      </c>
      <c r="D1805">
        <v>12039.68</v>
      </c>
      <c r="E1805">
        <v>8521.3788700000005</v>
      </c>
      <c r="F1805">
        <v>10324.9</v>
      </c>
      <c r="G1805">
        <v>20167.490000000002</v>
      </c>
    </row>
    <row r="1806" spans="1:7" x14ac:dyDescent="0.35">
      <c r="A1806" s="1">
        <v>42818</v>
      </c>
      <c r="B1806">
        <v>3444.15</v>
      </c>
      <c r="C1806">
        <v>5020.8999999999996</v>
      </c>
      <c r="D1806">
        <v>12064.27</v>
      </c>
      <c r="E1806">
        <v>8485.8295699999999</v>
      </c>
      <c r="F1806">
        <v>10309.4</v>
      </c>
      <c r="G1806">
        <v>20188.02</v>
      </c>
    </row>
    <row r="1807" spans="1:7" x14ac:dyDescent="0.35">
      <c r="A1807" s="1">
        <v>42821</v>
      </c>
      <c r="B1807">
        <v>3437.14</v>
      </c>
      <c r="C1807">
        <v>5017.43</v>
      </c>
      <c r="D1807">
        <v>11996.07</v>
      </c>
      <c r="E1807">
        <v>8434.1163899999992</v>
      </c>
      <c r="F1807">
        <v>10302.9</v>
      </c>
      <c r="G1807">
        <v>20124.189999999999</v>
      </c>
    </row>
    <row r="1808" spans="1:7" x14ac:dyDescent="0.35">
      <c r="A1808" s="1">
        <v>42822</v>
      </c>
      <c r="B1808">
        <v>3465.07</v>
      </c>
      <c r="C1808">
        <v>5046.2</v>
      </c>
      <c r="D1808">
        <v>12149.42</v>
      </c>
      <c r="E1808">
        <v>8460.5580200000004</v>
      </c>
      <c r="F1808">
        <v>10389</v>
      </c>
      <c r="G1808">
        <v>20330.419999999998</v>
      </c>
    </row>
    <row r="1809" spans="1:7" x14ac:dyDescent="0.35">
      <c r="A1809" s="1">
        <v>42823</v>
      </c>
      <c r="B1809">
        <v>3475.27</v>
      </c>
      <c r="C1809">
        <v>5069.04</v>
      </c>
      <c r="D1809">
        <v>12203</v>
      </c>
      <c r="E1809">
        <v>8511.5677799999994</v>
      </c>
      <c r="F1809">
        <v>10367.6</v>
      </c>
      <c r="G1809">
        <v>20276.8</v>
      </c>
    </row>
    <row r="1810" spans="1:7" x14ac:dyDescent="0.35">
      <c r="A1810" s="1">
        <v>42824</v>
      </c>
      <c r="B1810">
        <v>3481.58</v>
      </c>
      <c r="C1810">
        <v>5089.6400000000003</v>
      </c>
      <c r="D1810">
        <v>12256.43</v>
      </c>
      <c r="E1810">
        <v>8588.8230600000006</v>
      </c>
      <c r="F1810">
        <v>10405.9</v>
      </c>
      <c r="G1810">
        <v>20367.75</v>
      </c>
    </row>
    <row r="1811" spans="1:7" x14ac:dyDescent="0.35">
      <c r="A1811" s="1">
        <v>42825</v>
      </c>
      <c r="B1811">
        <v>3500.93</v>
      </c>
      <c r="C1811">
        <v>5122.51</v>
      </c>
      <c r="D1811">
        <v>12312.87</v>
      </c>
      <c r="E1811">
        <v>8585.9645400000009</v>
      </c>
      <c r="F1811">
        <v>10462.9</v>
      </c>
      <c r="G1811">
        <v>20492.939999999999</v>
      </c>
    </row>
    <row r="1812" spans="1:7" x14ac:dyDescent="0.35">
      <c r="A1812" s="1">
        <v>42828</v>
      </c>
      <c r="B1812">
        <v>3472.94</v>
      </c>
      <c r="C1812">
        <v>5085.91</v>
      </c>
      <c r="D1812">
        <v>12257.2</v>
      </c>
      <c r="E1812">
        <v>8522.5438900000008</v>
      </c>
      <c r="F1812">
        <v>10325.299999999999</v>
      </c>
      <c r="G1812">
        <v>20242.88</v>
      </c>
    </row>
    <row r="1813" spans="1:7" x14ac:dyDescent="0.35">
      <c r="A1813" s="1">
        <v>42829</v>
      </c>
      <c r="B1813">
        <v>3481.66</v>
      </c>
      <c r="C1813">
        <v>5101.13</v>
      </c>
      <c r="D1813">
        <v>12282.34</v>
      </c>
      <c r="E1813">
        <v>8538.11708</v>
      </c>
      <c r="F1813">
        <v>10361.200000000001</v>
      </c>
      <c r="G1813">
        <v>20257.099999999999</v>
      </c>
    </row>
    <row r="1814" spans="1:7" x14ac:dyDescent="0.35">
      <c r="A1814" s="1">
        <v>42830</v>
      </c>
      <c r="B1814">
        <v>3472.58</v>
      </c>
      <c r="C1814">
        <v>5091.8500000000004</v>
      </c>
      <c r="D1814">
        <v>12217.54</v>
      </c>
      <c r="E1814">
        <v>8585.64725</v>
      </c>
      <c r="F1814">
        <v>10402.700000000001</v>
      </c>
      <c r="G1814">
        <v>20253.37</v>
      </c>
    </row>
    <row r="1815" spans="1:7" x14ac:dyDescent="0.35">
      <c r="A1815" s="1">
        <v>42831</v>
      </c>
      <c r="B1815">
        <v>3489.57</v>
      </c>
      <c r="C1815">
        <v>5121.4399999999996</v>
      </c>
      <c r="D1815">
        <v>12230.89</v>
      </c>
      <c r="E1815">
        <v>8556.0588200000002</v>
      </c>
      <c r="F1815">
        <v>10518.9</v>
      </c>
      <c r="G1815">
        <v>20296.97</v>
      </c>
    </row>
    <row r="1816" spans="1:7" x14ac:dyDescent="0.35">
      <c r="A1816" s="1">
        <v>42832</v>
      </c>
      <c r="B1816">
        <v>3495.8</v>
      </c>
      <c r="C1816">
        <v>5135.28</v>
      </c>
      <c r="D1816">
        <v>12225.06</v>
      </c>
      <c r="E1816">
        <v>8587.7863400000006</v>
      </c>
      <c r="F1816">
        <v>10529</v>
      </c>
      <c r="G1816">
        <v>20300.060000000001</v>
      </c>
    </row>
    <row r="1817" spans="1:7" x14ac:dyDescent="0.35">
      <c r="A1817" s="1">
        <v>42835</v>
      </c>
      <c r="B1817">
        <v>3480.44</v>
      </c>
      <c r="C1817">
        <v>5107.45</v>
      </c>
      <c r="D1817">
        <v>12200.52</v>
      </c>
      <c r="E1817">
        <v>8610.0458400000007</v>
      </c>
      <c r="F1817">
        <v>10437.700000000001</v>
      </c>
      <c r="G1817">
        <v>20202.05</v>
      </c>
    </row>
    <row r="1818" spans="1:7" x14ac:dyDescent="0.35">
      <c r="A1818" s="1">
        <v>42836</v>
      </c>
      <c r="B1818">
        <v>3470.04</v>
      </c>
      <c r="C1818">
        <v>5101.8599999999997</v>
      </c>
      <c r="D1818">
        <v>12139.35</v>
      </c>
      <c r="E1818">
        <v>8665.7433099999998</v>
      </c>
      <c r="F1818">
        <v>10416.299999999999</v>
      </c>
      <c r="G1818">
        <v>20109.060000000001</v>
      </c>
    </row>
    <row r="1819" spans="1:7" x14ac:dyDescent="0.35">
      <c r="A1819" s="1">
        <v>42837</v>
      </c>
      <c r="B1819">
        <v>3468.51</v>
      </c>
      <c r="C1819">
        <v>5101.1099999999997</v>
      </c>
      <c r="D1819">
        <v>12154.7</v>
      </c>
      <c r="E1819">
        <v>8658.3884300000009</v>
      </c>
      <c r="F1819">
        <v>10360.5</v>
      </c>
      <c r="G1819">
        <v>20004.93</v>
      </c>
    </row>
    <row r="1820" spans="1:7" x14ac:dyDescent="0.35">
      <c r="A1820" s="1">
        <v>42838</v>
      </c>
      <c r="B1820">
        <v>3448.26</v>
      </c>
      <c r="C1820">
        <v>5071.1000000000004</v>
      </c>
      <c r="D1820">
        <v>12109</v>
      </c>
      <c r="E1820">
        <v>8634.1664899999996</v>
      </c>
      <c r="F1820">
        <v>10326.1</v>
      </c>
      <c r="G1820">
        <v>19773.68</v>
      </c>
    </row>
    <row r="1821" spans="1:7" x14ac:dyDescent="0.35">
      <c r="A1821" s="1">
        <v>42843</v>
      </c>
      <c r="B1821">
        <v>3409.78</v>
      </c>
      <c r="C1821">
        <v>4990.25</v>
      </c>
      <c r="D1821">
        <v>12000.44</v>
      </c>
      <c r="E1821">
        <v>8521.1977000000006</v>
      </c>
      <c r="F1821">
        <v>10264.5</v>
      </c>
      <c r="G1821">
        <v>19442.71</v>
      </c>
    </row>
    <row r="1822" spans="1:7" x14ac:dyDescent="0.35">
      <c r="A1822" s="1">
        <v>42844</v>
      </c>
      <c r="B1822">
        <v>3420.99</v>
      </c>
      <c r="C1822">
        <v>5003.7299999999996</v>
      </c>
      <c r="D1822">
        <v>12016.45</v>
      </c>
      <c r="E1822">
        <v>8492.7257300000001</v>
      </c>
      <c r="F1822">
        <v>10370.299999999999</v>
      </c>
      <c r="G1822">
        <v>19824.61</v>
      </c>
    </row>
    <row r="1823" spans="1:7" x14ac:dyDescent="0.35">
      <c r="A1823" s="1">
        <v>42845</v>
      </c>
      <c r="B1823">
        <v>3440.03</v>
      </c>
      <c r="C1823">
        <v>5077.91</v>
      </c>
      <c r="D1823">
        <v>12027.32</v>
      </c>
      <c r="E1823">
        <v>8492.4327900000008</v>
      </c>
      <c r="F1823">
        <v>10372.5</v>
      </c>
      <c r="G1823">
        <v>19849.439999999999</v>
      </c>
    </row>
    <row r="1824" spans="1:7" x14ac:dyDescent="0.35">
      <c r="A1824" s="1">
        <v>42846</v>
      </c>
      <c r="B1824">
        <v>3440.27</v>
      </c>
      <c r="C1824">
        <v>5059.2</v>
      </c>
      <c r="D1824">
        <v>12048.57</v>
      </c>
      <c r="E1824">
        <v>8514.4390100000001</v>
      </c>
      <c r="F1824">
        <v>10377</v>
      </c>
      <c r="G1824">
        <v>19741.75</v>
      </c>
    </row>
    <row r="1825" spans="1:7" x14ac:dyDescent="0.35">
      <c r="A1825" s="1">
        <v>42849</v>
      </c>
      <c r="B1825">
        <v>3577.38</v>
      </c>
      <c r="C1825">
        <v>5268.85</v>
      </c>
      <c r="D1825">
        <v>12454.98</v>
      </c>
      <c r="E1825">
        <v>8564.5766199999998</v>
      </c>
      <c r="F1825">
        <v>10766.8</v>
      </c>
      <c r="G1825">
        <v>20684.41</v>
      </c>
    </row>
    <row r="1826" spans="1:7" x14ac:dyDescent="0.35">
      <c r="A1826" s="1">
        <v>42850</v>
      </c>
      <c r="B1826">
        <v>3583.16</v>
      </c>
      <c r="C1826">
        <v>5277.88</v>
      </c>
      <c r="D1826">
        <v>12467.04</v>
      </c>
      <c r="E1826">
        <v>8532.2145899999996</v>
      </c>
      <c r="F1826">
        <v>10783.1</v>
      </c>
      <c r="G1826">
        <v>20805.52</v>
      </c>
    </row>
    <row r="1827" spans="1:7" x14ac:dyDescent="0.35">
      <c r="A1827" s="1">
        <v>42851</v>
      </c>
      <c r="B1827">
        <v>3578.71</v>
      </c>
      <c r="C1827">
        <v>5287.88</v>
      </c>
      <c r="D1827">
        <v>12472.8</v>
      </c>
      <c r="E1827">
        <v>8599.68426</v>
      </c>
      <c r="F1827">
        <v>10763.4</v>
      </c>
      <c r="G1827">
        <v>20836.509999999998</v>
      </c>
    </row>
    <row r="1828" spans="1:7" x14ac:dyDescent="0.35">
      <c r="A1828" s="1">
        <v>42852</v>
      </c>
      <c r="B1828">
        <v>3563.29</v>
      </c>
      <c r="C1828">
        <v>5271.7</v>
      </c>
      <c r="D1828">
        <v>12443.79</v>
      </c>
      <c r="E1828">
        <v>8584.6570599999995</v>
      </c>
      <c r="F1828">
        <v>10683.9</v>
      </c>
      <c r="G1828">
        <v>20597.34</v>
      </c>
    </row>
    <row r="1829" spans="1:7" x14ac:dyDescent="0.35">
      <c r="A1829" s="1">
        <v>42853</v>
      </c>
      <c r="B1829">
        <v>3559.59</v>
      </c>
      <c r="C1829">
        <v>5267.33</v>
      </c>
      <c r="D1829">
        <v>12438.01</v>
      </c>
      <c r="E1829">
        <v>8558.0243100000007</v>
      </c>
      <c r="F1829">
        <v>10715.8</v>
      </c>
      <c r="G1829">
        <v>20609.16</v>
      </c>
    </row>
    <row r="1830" spans="1:7" x14ac:dyDescent="0.35">
      <c r="A1830" s="1">
        <v>42857</v>
      </c>
      <c r="B1830">
        <v>3578.21</v>
      </c>
      <c r="C1830">
        <v>5304.15</v>
      </c>
      <c r="D1830">
        <v>12507.9</v>
      </c>
      <c r="E1830">
        <v>8590.2389600000006</v>
      </c>
      <c r="F1830">
        <v>10820.3</v>
      </c>
      <c r="G1830">
        <v>20733.25</v>
      </c>
    </row>
    <row r="1831" spans="1:7" x14ac:dyDescent="0.35">
      <c r="A1831" s="1">
        <v>42858</v>
      </c>
      <c r="B1831">
        <v>3586.25</v>
      </c>
      <c r="C1831">
        <v>5301</v>
      </c>
      <c r="D1831">
        <v>12527.84</v>
      </c>
      <c r="E1831">
        <v>8557.9115500000007</v>
      </c>
      <c r="F1831">
        <v>10837</v>
      </c>
      <c r="G1831">
        <v>20759.310000000001</v>
      </c>
    </row>
    <row r="1832" spans="1:7" x14ac:dyDescent="0.35">
      <c r="A1832" s="1">
        <v>42859</v>
      </c>
      <c r="B1832">
        <v>3627.88</v>
      </c>
      <c r="C1832">
        <v>5372.42</v>
      </c>
      <c r="D1832">
        <v>12647.78</v>
      </c>
      <c r="E1832">
        <v>8534.0532299999995</v>
      </c>
      <c r="F1832">
        <v>11012.9</v>
      </c>
      <c r="G1832">
        <v>21169.919999999998</v>
      </c>
    </row>
    <row r="1833" spans="1:7" x14ac:dyDescent="0.35">
      <c r="A1833" s="1">
        <v>42860</v>
      </c>
      <c r="B1833">
        <v>3658.79</v>
      </c>
      <c r="C1833">
        <v>5432.4</v>
      </c>
      <c r="D1833">
        <v>12716.89</v>
      </c>
      <c r="E1833">
        <v>8604.1945400000004</v>
      </c>
      <c r="F1833">
        <v>11135.4</v>
      </c>
      <c r="G1833">
        <v>21483.86</v>
      </c>
    </row>
    <row r="1834" spans="1:7" x14ac:dyDescent="0.35">
      <c r="A1834" s="1">
        <v>42863</v>
      </c>
      <c r="B1834">
        <v>3642.11</v>
      </c>
      <c r="C1834">
        <v>5382.95</v>
      </c>
      <c r="D1834">
        <v>12694.55</v>
      </c>
      <c r="E1834">
        <v>8639.8852700000007</v>
      </c>
      <c r="F1834">
        <v>11096.3</v>
      </c>
      <c r="G1834">
        <v>21428.1</v>
      </c>
    </row>
    <row r="1835" spans="1:7" x14ac:dyDescent="0.35">
      <c r="A1835" s="1">
        <v>42864</v>
      </c>
      <c r="B1835">
        <v>3649.08</v>
      </c>
      <c r="C1835">
        <v>5398.01</v>
      </c>
      <c r="D1835">
        <v>12749.12</v>
      </c>
      <c r="E1835">
        <v>8723.5912900000003</v>
      </c>
      <c r="F1835">
        <v>11049.2</v>
      </c>
      <c r="G1835">
        <v>21486.95</v>
      </c>
    </row>
    <row r="1836" spans="1:7" x14ac:dyDescent="0.35">
      <c r="A1836" s="1">
        <v>42865</v>
      </c>
      <c r="B1836">
        <v>3645.74</v>
      </c>
      <c r="C1836">
        <v>5400.46</v>
      </c>
      <c r="D1836">
        <v>12757.46</v>
      </c>
      <c r="E1836">
        <v>8793.9262799999997</v>
      </c>
      <c r="F1836">
        <v>11034.8</v>
      </c>
      <c r="G1836">
        <v>21552.81</v>
      </c>
    </row>
    <row r="1837" spans="1:7" x14ac:dyDescent="0.35">
      <c r="A1837" s="1">
        <v>42866</v>
      </c>
      <c r="B1837">
        <v>3623.55</v>
      </c>
      <c r="C1837">
        <v>5383.42</v>
      </c>
      <c r="D1837">
        <v>12711.06</v>
      </c>
      <c r="E1837">
        <v>8752.2083299999995</v>
      </c>
      <c r="F1837">
        <v>10861.4</v>
      </c>
      <c r="G1837">
        <v>21482.52</v>
      </c>
    </row>
    <row r="1838" spans="1:7" x14ac:dyDescent="0.35">
      <c r="A1838" s="1">
        <v>42867</v>
      </c>
      <c r="B1838">
        <v>3637.52</v>
      </c>
      <c r="C1838">
        <v>5405.42</v>
      </c>
      <c r="D1838">
        <v>12770.41</v>
      </c>
      <c r="E1838">
        <v>8765.9836500000001</v>
      </c>
      <c r="F1838">
        <v>10897</v>
      </c>
      <c r="G1838">
        <v>21575.45</v>
      </c>
    </row>
    <row r="1839" spans="1:7" x14ac:dyDescent="0.35">
      <c r="A1839" s="1">
        <v>42870</v>
      </c>
      <c r="B1839">
        <v>3641.88</v>
      </c>
      <c r="C1839">
        <v>5417.4</v>
      </c>
      <c r="D1839">
        <v>12807.04</v>
      </c>
      <c r="E1839">
        <v>8768.0889299999999</v>
      </c>
      <c r="F1839">
        <v>10957.8</v>
      </c>
      <c r="G1839">
        <v>21704.46</v>
      </c>
    </row>
    <row r="1840" spans="1:7" x14ac:dyDescent="0.35">
      <c r="A1840" s="1">
        <v>42871</v>
      </c>
      <c r="B1840">
        <v>3641.89</v>
      </c>
      <c r="C1840">
        <v>5406.1</v>
      </c>
      <c r="D1840">
        <v>12804.53</v>
      </c>
      <c r="E1840">
        <v>8771.6268899999995</v>
      </c>
      <c r="F1840">
        <v>10982.4</v>
      </c>
      <c r="G1840">
        <v>21787.9</v>
      </c>
    </row>
    <row r="1841" spans="1:7" x14ac:dyDescent="0.35">
      <c r="A1841" s="1">
        <v>42872</v>
      </c>
      <c r="B1841">
        <v>3584.83</v>
      </c>
      <c r="C1841">
        <v>5317.89</v>
      </c>
      <c r="D1841">
        <v>12631.61</v>
      </c>
      <c r="E1841">
        <v>8717.4449499999992</v>
      </c>
      <c r="F1841">
        <v>10786.1</v>
      </c>
      <c r="G1841">
        <v>21283.72</v>
      </c>
    </row>
    <row r="1842" spans="1:7" x14ac:dyDescent="0.35">
      <c r="A1842" s="1">
        <v>42873</v>
      </c>
      <c r="B1842">
        <v>3562.22</v>
      </c>
      <c r="C1842">
        <v>5289.73</v>
      </c>
      <c r="D1842">
        <v>12590.06</v>
      </c>
      <c r="E1842">
        <v>8684.9578899999997</v>
      </c>
      <c r="F1842">
        <v>10684.9</v>
      </c>
      <c r="G1842">
        <v>21299.26</v>
      </c>
    </row>
    <row r="1843" spans="1:7" x14ac:dyDescent="0.35">
      <c r="A1843" s="1">
        <v>42874</v>
      </c>
      <c r="B1843">
        <v>3587.01</v>
      </c>
      <c r="C1843">
        <v>5324.4</v>
      </c>
      <c r="D1843">
        <v>12638.69</v>
      </c>
      <c r="E1843">
        <v>8693.6874599999992</v>
      </c>
      <c r="F1843">
        <v>10835.4</v>
      </c>
      <c r="G1843">
        <v>21567.52</v>
      </c>
    </row>
    <row r="1844" spans="1:7" x14ac:dyDescent="0.35">
      <c r="A1844" s="1">
        <v>42877</v>
      </c>
      <c r="B1844">
        <v>3576.53</v>
      </c>
      <c r="C1844">
        <v>5322.88</v>
      </c>
      <c r="D1844">
        <v>12619.46</v>
      </c>
      <c r="E1844">
        <v>8683.4495700000007</v>
      </c>
      <c r="F1844">
        <v>10793.4</v>
      </c>
      <c r="G1844">
        <v>21318.58</v>
      </c>
    </row>
    <row r="1845" spans="1:7" x14ac:dyDescent="0.35">
      <c r="A1845" s="1">
        <v>42878</v>
      </c>
      <c r="B1845">
        <v>3595.03</v>
      </c>
      <c r="C1845">
        <v>5348.16</v>
      </c>
      <c r="D1845">
        <v>12659.15</v>
      </c>
      <c r="E1845">
        <v>8681.1172399999996</v>
      </c>
      <c r="F1845">
        <v>10916.3</v>
      </c>
      <c r="G1845">
        <v>21415.74</v>
      </c>
    </row>
    <row r="1846" spans="1:7" x14ac:dyDescent="0.35">
      <c r="A1846" s="1">
        <v>42879</v>
      </c>
      <c r="B1846">
        <v>3586.62</v>
      </c>
      <c r="C1846">
        <v>5341.34</v>
      </c>
      <c r="D1846">
        <v>12642.87</v>
      </c>
      <c r="E1846">
        <v>8694.1033100000004</v>
      </c>
      <c r="F1846">
        <v>10907.4</v>
      </c>
      <c r="G1846">
        <v>21369.73</v>
      </c>
    </row>
    <row r="1847" spans="1:7" x14ac:dyDescent="0.35">
      <c r="A1847" s="1">
        <v>42880</v>
      </c>
      <c r="B1847">
        <v>3584.55</v>
      </c>
      <c r="C1847">
        <v>5337.16</v>
      </c>
      <c r="D1847">
        <v>12621.72</v>
      </c>
      <c r="E1847">
        <v>8684.4360799999995</v>
      </c>
      <c r="F1847">
        <v>10937.7</v>
      </c>
      <c r="G1847">
        <v>21291.72</v>
      </c>
    </row>
    <row r="1848" spans="1:7" x14ac:dyDescent="0.35">
      <c r="A1848" s="1">
        <v>42881</v>
      </c>
      <c r="B1848">
        <v>3579.02</v>
      </c>
      <c r="C1848">
        <v>5336.64</v>
      </c>
      <c r="D1848">
        <v>12602.18</v>
      </c>
      <c r="E1848">
        <v>8640.91201</v>
      </c>
      <c r="F1848">
        <v>10904.2</v>
      </c>
      <c r="G1848">
        <v>21210.57</v>
      </c>
    </row>
    <row r="1849" spans="1:7" x14ac:dyDescent="0.35">
      <c r="A1849" s="1">
        <v>42885</v>
      </c>
      <c r="B1849">
        <v>3561.22</v>
      </c>
      <c r="C1849">
        <v>5305.94</v>
      </c>
      <c r="D1849">
        <v>12598.68</v>
      </c>
      <c r="E1849">
        <v>8650.6035300000003</v>
      </c>
      <c r="F1849">
        <v>10876.9</v>
      </c>
      <c r="G1849">
        <v>20814.48</v>
      </c>
    </row>
    <row r="1850" spans="1:7" x14ac:dyDescent="0.35">
      <c r="A1850" s="1">
        <v>42886</v>
      </c>
      <c r="B1850">
        <v>3554.59</v>
      </c>
      <c r="C1850">
        <v>5283.63</v>
      </c>
      <c r="D1850">
        <v>12615.06</v>
      </c>
      <c r="E1850">
        <v>8626.1596100000006</v>
      </c>
      <c r="F1850">
        <v>10880</v>
      </c>
      <c r="G1850">
        <v>20731.68</v>
      </c>
    </row>
    <row r="1851" spans="1:7" x14ac:dyDescent="0.35">
      <c r="A1851" s="1">
        <v>42887</v>
      </c>
      <c r="B1851">
        <v>3567.02</v>
      </c>
      <c r="C1851">
        <v>5318.67</v>
      </c>
      <c r="D1851">
        <v>12664.92</v>
      </c>
      <c r="E1851">
        <v>8670.9613200000003</v>
      </c>
      <c r="F1851">
        <v>10881</v>
      </c>
      <c r="G1851">
        <v>20936.07</v>
      </c>
    </row>
    <row r="1852" spans="1:7" x14ac:dyDescent="0.35">
      <c r="A1852" s="1">
        <v>42888</v>
      </c>
      <c r="B1852">
        <v>3591.82</v>
      </c>
      <c r="C1852">
        <v>5343.41</v>
      </c>
      <c r="D1852">
        <v>12822.94</v>
      </c>
      <c r="E1852">
        <v>8628.5416999999998</v>
      </c>
      <c r="F1852">
        <v>10905.9</v>
      </c>
      <c r="G1852">
        <v>20928.240000000002</v>
      </c>
    </row>
    <row r="1853" spans="1:7" x14ac:dyDescent="0.35">
      <c r="A1853" s="1">
        <v>42892</v>
      </c>
      <c r="B1853">
        <v>3554.18</v>
      </c>
      <c r="C1853">
        <v>5269.22</v>
      </c>
      <c r="D1853">
        <v>12690.12</v>
      </c>
      <c r="E1853">
        <v>8602.6136499999993</v>
      </c>
      <c r="F1853">
        <v>10879.7</v>
      </c>
      <c r="G1853">
        <v>20760.009999999998</v>
      </c>
    </row>
    <row r="1854" spans="1:7" x14ac:dyDescent="0.35">
      <c r="A1854" s="1">
        <v>42893</v>
      </c>
      <c r="B1854">
        <v>3548.84</v>
      </c>
      <c r="C1854">
        <v>5265.53</v>
      </c>
      <c r="D1854">
        <v>12672.49</v>
      </c>
      <c r="E1854">
        <v>8581.9902999999995</v>
      </c>
      <c r="F1854">
        <v>10871.7</v>
      </c>
      <c r="G1854">
        <v>20739.91</v>
      </c>
    </row>
    <row r="1855" spans="1:7" x14ac:dyDescent="0.35">
      <c r="A1855" s="1">
        <v>42894</v>
      </c>
      <c r="B1855">
        <v>3563.88</v>
      </c>
      <c r="C1855">
        <v>5264.24</v>
      </c>
      <c r="D1855">
        <v>12713.58</v>
      </c>
      <c r="E1855">
        <v>8596.8463499999998</v>
      </c>
      <c r="F1855">
        <v>10953.1</v>
      </c>
      <c r="G1855">
        <v>21042.41</v>
      </c>
    </row>
    <row r="1856" spans="1:7" x14ac:dyDescent="0.35">
      <c r="A1856" s="1">
        <v>42895</v>
      </c>
      <c r="B1856">
        <v>3586.07</v>
      </c>
      <c r="C1856">
        <v>5299.71</v>
      </c>
      <c r="D1856">
        <v>12815.72</v>
      </c>
      <c r="E1856">
        <v>8563.8671400000003</v>
      </c>
      <c r="F1856">
        <v>10978.3</v>
      </c>
      <c r="G1856">
        <v>21122.42</v>
      </c>
    </row>
    <row r="1857" spans="1:7" x14ac:dyDescent="0.35">
      <c r="A1857" s="1">
        <v>42898</v>
      </c>
      <c r="B1857">
        <v>3543.95</v>
      </c>
      <c r="C1857">
        <v>5240.59</v>
      </c>
      <c r="D1857">
        <v>12690.44</v>
      </c>
      <c r="E1857">
        <v>8485.9042200000004</v>
      </c>
      <c r="F1857">
        <v>10842.4</v>
      </c>
      <c r="G1857">
        <v>20910.23</v>
      </c>
    </row>
    <row r="1858" spans="1:7" x14ac:dyDescent="0.35">
      <c r="A1858" s="1">
        <v>42899</v>
      </c>
      <c r="B1858">
        <v>3557.87</v>
      </c>
      <c r="C1858">
        <v>5261.74</v>
      </c>
      <c r="D1858">
        <v>12764.98</v>
      </c>
      <c r="E1858">
        <v>8532.9055000000008</v>
      </c>
      <c r="F1858">
        <v>10882.1</v>
      </c>
      <c r="G1858">
        <v>21088.78</v>
      </c>
    </row>
    <row r="1859" spans="1:7" x14ac:dyDescent="0.35">
      <c r="A1859" s="1">
        <v>42900</v>
      </c>
      <c r="B1859">
        <v>3547.15</v>
      </c>
      <c r="C1859">
        <v>5243.29</v>
      </c>
      <c r="D1859">
        <v>12805.95</v>
      </c>
      <c r="E1859">
        <v>8483.5401399999992</v>
      </c>
      <c r="F1859">
        <v>10775.8</v>
      </c>
      <c r="G1859">
        <v>20960.55</v>
      </c>
    </row>
    <row r="1860" spans="1:7" x14ac:dyDescent="0.35">
      <c r="A1860" s="1">
        <v>42901</v>
      </c>
      <c r="B1860">
        <v>3525.46</v>
      </c>
      <c r="C1860">
        <v>5216.88</v>
      </c>
      <c r="D1860">
        <v>12691.81</v>
      </c>
      <c r="E1860">
        <v>8490.8678600000003</v>
      </c>
      <c r="F1860">
        <v>10699.6</v>
      </c>
      <c r="G1860">
        <v>20847.509999999998</v>
      </c>
    </row>
    <row r="1861" spans="1:7" x14ac:dyDescent="0.35">
      <c r="A1861" s="1">
        <v>42902</v>
      </c>
      <c r="B1861">
        <v>3543.88</v>
      </c>
      <c r="C1861">
        <v>5263.31</v>
      </c>
      <c r="D1861">
        <v>12752.73</v>
      </c>
      <c r="E1861">
        <v>8528.1400400000002</v>
      </c>
      <c r="F1861">
        <v>10759.4</v>
      </c>
      <c r="G1861">
        <v>20940.73</v>
      </c>
    </row>
    <row r="1862" spans="1:7" x14ac:dyDescent="0.35">
      <c r="A1862" s="1">
        <v>42905</v>
      </c>
      <c r="B1862">
        <v>3579.58</v>
      </c>
      <c r="C1862">
        <v>5310.72</v>
      </c>
      <c r="D1862">
        <v>12888.95</v>
      </c>
      <c r="E1862">
        <v>8592.4755499999992</v>
      </c>
      <c r="F1862">
        <v>10848.9</v>
      </c>
      <c r="G1862">
        <v>21014.25</v>
      </c>
    </row>
    <row r="1863" spans="1:7" x14ac:dyDescent="0.35">
      <c r="A1863" s="1">
        <v>42906</v>
      </c>
      <c r="B1863">
        <v>3560.66</v>
      </c>
      <c r="C1863">
        <v>5293.65</v>
      </c>
      <c r="D1863">
        <v>12814.79</v>
      </c>
      <c r="E1863">
        <v>8480.2664000000004</v>
      </c>
      <c r="F1863">
        <v>10746.1</v>
      </c>
      <c r="G1863">
        <v>20810.02</v>
      </c>
    </row>
    <row r="1864" spans="1:7" x14ac:dyDescent="0.35">
      <c r="A1864" s="1">
        <v>42907</v>
      </c>
      <c r="B1864">
        <v>3554.35</v>
      </c>
      <c r="C1864">
        <v>5274.26</v>
      </c>
      <c r="D1864">
        <v>12774.26</v>
      </c>
      <c r="E1864">
        <v>8458.0222099999992</v>
      </c>
      <c r="F1864">
        <v>10740.7</v>
      </c>
      <c r="G1864">
        <v>21071.91</v>
      </c>
    </row>
    <row r="1865" spans="1:7" x14ac:dyDescent="0.35">
      <c r="A1865" s="1">
        <v>42908</v>
      </c>
      <c r="B1865">
        <v>3555.76</v>
      </c>
      <c r="C1865">
        <v>5281.93</v>
      </c>
      <c r="D1865">
        <v>12794</v>
      </c>
      <c r="E1865">
        <v>8446.8883499999993</v>
      </c>
      <c r="F1865">
        <v>10709.9</v>
      </c>
      <c r="G1865">
        <v>20930.259999999998</v>
      </c>
    </row>
    <row r="1866" spans="1:7" x14ac:dyDescent="0.35">
      <c r="A1866" s="1">
        <v>42909</v>
      </c>
      <c r="B1866">
        <v>3543.68</v>
      </c>
      <c r="C1866">
        <v>5266.12</v>
      </c>
      <c r="D1866">
        <v>12733.41</v>
      </c>
      <c r="E1866">
        <v>8431.9604500000005</v>
      </c>
      <c r="F1866">
        <v>10630.8</v>
      </c>
      <c r="G1866">
        <v>20833.88</v>
      </c>
    </row>
    <row r="1867" spans="1:7" x14ac:dyDescent="0.35">
      <c r="A1867" s="1">
        <v>42912</v>
      </c>
      <c r="B1867">
        <v>3561.76</v>
      </c>
      <c r="C1867">
        <v>5295.75</v>
      </c>
      <c r="D1867">
        <v>12770.83</v>
      </c>
      <c r="E1867">
        <v>8468.5052199999991</v>
      </c>
      <c r="F1867">
        <v>10696.6</v>
      </c>
      <c r="G1867">
        <v>21001.95</v>
      </c>
    </row>
    <row r="1868" spans="1:7" x14ac:dyDescent="0.35">
      <c r="A1868" s="1">
        <v>42913</v>
      </c>
      <c r="B1868">
        <v>3538.32</v>
      </c>
      <c r="C1868">
        <v>5258.58</v>
      </c>
      <c r="D1868">
        <v>12671.02</v>
      </c>
      <c r="E1868">
        <v>8400.4587599999995</v>
      </c>
      <c r="F1868">
        <v>10647.9</v>
      </c>
      <c r="G1868">
        <v>20790.86</v>
      </c>
    </row>
    <row r="1869" spans="1:7" x14ac:dyDescent="0.35">
      <c r="A1869" s="1">
        <v>42914</v>
      </c>
      <c r="B1869">
        <v>3535.7</v>
      </c>
      <c r="C1869">
        <v>5252.9</v>
      </c>
      <c r="D1869">
        <v>12647.27</v>
      </c>
      <c r="E1869">
        <v>8396.1717200000003</v>
      </c>
      <c r="F1869">
        <v>10702.7</v>
      </c>
      <c r="G1869">
        <v>21047.8</v>
      </c>
    </row>
    <row r="1870" spans="1:7" x14ac:dyDescent="0.35">
      <c r="A1870" s="1">
        <v>42915</v>
      </c>
      <c r="B1870">
        <v>3471.33</v>
      </c>
      <c r="C1870">
        <v>5154.3500000000004</v>
      </c>
      <c r="D1870">
        <v>12416.19</v>
      </c>
      <c r="E1870">
        <v>8352.8702099999991</v>
      </c>
      <c r="F1870">
        <v>10531.1</v>
      </c>
      <c r="G1870">
        <v>20704.650000000001</v>
      </c>
    </row>
    <row r="1871" spans="1:7" x14ac:dyDescent="0.35">
      <c r="A1871" s="1">
        <v>42916</v>
      </c>
      <c r="B1871">
        <v>3441.88</v>
      </c>
      <c r="C1871">
        <v>5120.68</v>
      </c>
      <c r="D1871">
        <v>12325.12</v>
      </c>
      <c r="E1871">
        <v>8334.6939199999997</v>
      </c>
      <c r="F1871">
        <v>10444.5</v>
      </c>
      <c r="G1871">
        <v>20584.23</v>
      </c>
    </row>
    <row r="1872" spans="1:7" x14ac:dyDescent="0.35">
      <c r="A1872" s="1">
        <v>42919</v>
      </c>
      <c r="B1872">
        <v>3491.81</v>
      </c>
      <c r="C1872">
        <v>5195.72</v>
      </c>
      <c r="D1872">
        <v>12475.31</v>
      </c>
      <c r="E1872">
        <v>8416.3912199999995</v>
      </c>
      <c r="F1872">
        <v>10604.2</v>
      </c>
      <c r="G1872">
        <v>21013.14</v>
      </c>
    </row>
    <row r="1873" spans="1:7" x14ac:dyDescent="0.35">
      <c r="A1873" s="1">
        <v>42920</v>
      </c>
      <c r="B1873">
        <v>3479.47</v>
      </c>
      <c r="C1873">
        <v>5174.8999999999996</v>
      </c>
      <c r="D1873">
        <v>12437.13</v>
      </c>
      <c r="E1873">
        <v>8378.7254200000007</v>
      </c>
      <c r="F1873">
        <v>10566.7</v>
      </c>
      <c r="G1873">
        <v>21031.05</v>
      </c>
    </row>
    <row r="1874" spans="1:7" x14ac:dyDescent="0.35">
      <c r="A1874" s="1">
        <v>42921</v>
      </c>
      <c r="B1874">
        <v>3478.41</v>
      </c>
      <c r="C1874">
        <v>5180.1000000000004</v>
      </c>
      <c r="D1874">
        <v>12453.68</v>
      </c>
      <c r="E1874">
        <v>8396.90661</v>
      </c>
      <c r="F1874">
        <v>10523.6</v>
      </c>
      <c r="G1874">
        <v>20939.39</v>
      </c>
    </row>
    <row r="1875" spans="1:7" x14ac:dyDescent="0.35">
      <c r="A1875" s="1">
        <v>42922</v>
      </c>
      <c r="B1875">
        <v>3462.06</v>
      </c>
      <c r="C1875">
        <v>5152.3999999999996</v>
      </c>
      <c r="D1875">
        <v>12381.25</v>
      </c>
      <c r="E1875">
        <v>8332.5030100000004</v>
      </c>
      <c r="F1875">
        <v>10498.4</v>
      </c>
      <c r="G1875">
        <v>21084.19</v>
      </c>
    </row>
    <row r="1876" spans="1:7" x14ac:dyDescent="0.35">
      <c r="A1876" s="1">
        <v>42923</v>
      </c>
      <c r="B1876">
        <v>3463.84</v>
      </c>
      <c r="C1876">
        <v>5145.16</v>
      </c>
      <c r="D1876">
        <v>12388.68</v>
      </c>
      <c r="E1876">
        <v>8303.9363599999997</v>
      </c>
      <c r="F1876">
        <v>10488.8</v>
      </c>
      <c r="G1876">
        <v>21015.1</v>
      </c>
    </row>
    <row r="1877" spans="1:7" x14ac:dyDescent="0.35">
      <c r="A1877" s="1">
        <v>42926</v>
      </c>
      <c r="B1877">
        <v>3478.06</v>
      </c>
      <c r="C1877">
        <v>5165.6400000000003</v>
      </c>
      <c r="D1877">
        <v>12445.92</v>
      </c>
      <c r="E1877">
        <v>8328.47019</v>
      </c>
      <c r="F1877">
        <v>10509.5</v>
      </c>
      <c r="G1877">
        <v>21190.67</v>
      </c>
    </row>
    <row r="1878" spans="1:7" x14ac:dyDescent="0.35">
      <c r="A1878" s="1">
        <v>42927</v>
      </c>
      <c r="B1878">
        <v>3464.48</v>
      </c>
      <c r="C1878">
        <v>5140.6000000000004</v>
      </c>
      <c r="D1878">
        <v>12437.02</v>
      </c>
      <c r="E1878">
        <v>8232.5250199999991</v>
      </c>
      <c r="F1878">
        <v>10449.1</v>
      </c>
      <c r="G1878">
        <v>21111.7</v>
      </c>
    </row>
    <row r="1879" spans="1:7" x14ac:dyDescent="0.35">
      <c r="A1879" s="1">
        <v>42928</v>
      </c>
      <c r="B1879">
        <v>3515.23</v>
      </c>
      <c r="C1879">
        <v>5222.13</v>
      </c>
      <c r="D1879">
        <v>12626.58</v>
      </c>
      <c r="E1879">
        <v>8376.7603600000002</v>
      </c>
      <c r="F1879">
        <v>10560.4</v>
      </c>
      <c r="G1879">
        <v>21432.55</v>
      </c>
    </row>
    <row r="1880" spans="1:7" x14ac:dyDescent="0.35">
      <c r="A1880" s="1">
        <v>42929</v>
      </c>
      <c r="B1880">
        <v>3527.83</v>
      </c>
      <c r="C1880">
        <v>5235.3999999999996</v>
      </c>
      <c r="D1880">
        <v>12641.33</v>
      </c>
      <c r="E1880">
        <v>8410.4894299999996</v>
      </c>
      <c r="F1880">
        <v>10658.3</v>
      </c>
      <c r="G1880">
        <v>21521.91</v>
      </c>
    </row>
    <row r="1881" spans="1:7" x14ac:dyDescent="0.35">
      <c r="A1881" s="1">
        <v>42930</v>
      </c>
      <c r="B1881">
        <v>3525.94</v>
      </c>
      <c r="C1881">
        <v>5235.3100000000004</v>
      </c>
      <c r="D1881">
        <v>12631.72</v>
      </c>
      <c r="E1881">
        <v>8422.1434000000008</v>
      </c>
      <c r="F1881">
        <v>10655.1</v>
      </c>
      <c r="G1881">
        <v>21492.29</v>
      </c>
    </row>
    <row r="1882" spans="1:7" x14ac:dyDescent="0.35">
      <c r="A1882" s="1">
        <v>42933</v>
      </c>
      <c r="B1882">
        <v>3516.35</v>
      </c>
      <c r="C1882">
        <v>5230.17</v>
      </c>
      <c r="D1882">
        <v>12587.16</v>
      </c>
      <c r="E1882">
        <v>8429.0392100000008</v>
      </c>
      <c r="F1882">
        <v>10651.2</v>
      </c>
      <c r="G1882">
        <v>21484.84</v>
      </c>
    </row>
    <row r="1883" spans="1:7" x14ac:dyDescent="0.35">
      <c r="A1883" s="1">
        <v>42934</v>
      </c>
      <c r="B1883">
        <v>3478.68</v>
      </c>
      <c r="C1883">
        <v>5173.2700000000004</v>
      </c>
      <c r="D1883">
        <v>12430.39</v>
      </c>
      <c r="E1883">
        <v>8338.7657899999995</v>
      </c>
      <c r="F1883">
        <v>10524.5</v>
      </c>
      <c r="G1883">
        <v>21358.2</v>
      </c>
    </row>
    <row r="1884" spans="1:7" x14ac:dyDescent="0.35">
      <c r="A1884" s="1">
        <v>42935</v>
      </c>
      <c r="B1884">
        <v>3500.28</v>
      </c>
      <c r="C1884">
        <v>5216.07</v>
      </c>
      <c r="D1884">
        <v>12452.05</v>
      </c>
      <c r="E1884">
        <v>8407.4222599999994</v>
      </c>
      <c r="F1884">
        <v>10588.1</v>
      </c>
      <c r="G1884">
        <v>21478.95</v>
      </c>
    </row>
    <row r="1885" spans="1:7" x14ac:dyDescent="0.35">
      <c r="A1885" s="1">
        <v>42936</v>
      </c>
      <c r="B1885">
        <v>3499.49</v>
      </c>
      <c r="C1885">
        <v>5199.22</v>
      </c>
      <c r="D1885">
        <v>12447.25</v>
      </c>
      <c r="E1885">
        <v>8351.5332199999993</v>
      </c>
      <c r="F1885">
        <v>10564.8</v>
      </c>
      <c r="G1885">
        <v>21438.63</v>
      </c>
    </row>
    <row r="1886" spans="1:7" x14ac:dyDescent="0.35">
      <c r="A1886" s="1">
        <v>42937</v>
      </c>
      <c r="B1886">
        <v>3451.71</v>
      </c>
      <c r="C1886">
        <v>5117.66</v>
      </c>
      <c r="D1886">
        <v>12240.06</v>
      </c>
      <c r="E1886">
        <v>8291.7297199999994</v>
      </c>
      <c r="F1886">
        <v>10426.6</v>
      </c>
      <c r="G1886">
        <v>21202.16</v>
      </c>
    </row>
    <row r="1887" spans="1:7" x14ac:dyDescent="0.35">
      <c r="A1887" s="1">
        <v>42940</v>
      </c>
      <c r="B1887">
        <v>3453.17</v>
      </c>
      <c r="C1887">
        <v>5127.7</v>
      </c>
      <c r="D1887">
        <v>12208.95</v>
      </c>
      <c r="E1887">
        <v>8257.63112</v>
      </c>
      <c r="F1887">
        <v>10446.5</v>
      </c>
      <c r="G1887">
        <v>21326.58</v>
      </c>
    </row>
    <row r="1888" spans="1:7" x14ac:dyDescent="0.35">
      <c r="A1888" s="1">
        <v>42941</v>
      </c>
      <c r="B1888">
        <v>3473.54</v>
      </c>
      <c r="C1888">
        <v>5161.08</v>
      </c>
      <c r="D1888">
        <v>12264.31</v>
      </c>
      <c r="E1888">
        <v>8318.4744800000008</v>
      </c>
      <c r="F1888">
        <v>10523.4</v>
      </c>
      <c r="G1888">
        <v>21457.45</v>
      </c>
    </row>
    <row r="1889" spans="1:7" x14ac:dyDescent="0.35">
      <c r="A1889" s="1">
        <v>42942</v>
      </c>
      <c r="B1889">
        <v>3491.19</v>
      </c>
      <c r="C1889">
        <v>5190.17</v>
      </c>
      <c r="D1889">
        <v>12305.11</v>
      </c>
      <c r="E1889">
        <v>8362.4683100000002</v>
      </c>
      <c r="F1889">
        <v>10575.4</v>
      </c>
      <c r="G1889">
        <v>21577.56</v>
      </c>
    </row>
    <row r="1890" spans="1:7" x14ac:dyDescent="0.35">
      <c r="A1890" s="1">
        <v>42943</v>
      </c>
      <c r="B1890">
        <v>3493.14</v>
      </c>
      <c r="C1890">
        <v>5186.95</v>
      </c>
      <c r="D1890">
        <v>12212.04</v>
      </c>
      <c r="E1890">
        <v>8338.9278699999995</v>
      </c>
      <c r="F1890">
        <v>10603.4</v>
      </c>
      <c r="G1890">
        <v>21634.720000000001</v>
      </c>
    </row>
    <row r="1891" spans="1:7" x14ac:dyDescent="0.35">
      <c r="A1891" s="1">
        <v>42944</v>
      </c>
      <c r="B1891">
        <v>3467.73</v>
      </c>
      <c r="C1891">
        <v>5131.3900000000003</v>
      </c>
      <c r="D1891">
        <v>12162.7</v>
      </c>
      <c r="E1891">
        <v>8235.0524800000003</v>
      </c>
      <c r="F1891">
        <v>10536.1</v>
      </c>
      <c r="G1891">
        <v>21430.36</v>
      </c>
    </row>
    <row r="1892" spans="1:7" x14ac:dyDescent="0.35">
      <c r="A1892" s="1">
        <v>42947</v>
      </c>
      <c r="B1892">
        <v>3449.36</v>
      </c>
      <c r="C1892">
        <v>5093.7700000000004</v>
      </c>
      <c r="D1892">
        <v>12118.25</v>
      </c>
      <c r="E1892">
        <v>8232.7220400000006</v>
      </c>
      <c r="F1892">
        <v>10502.2</v>
      </c>
      <c r="G1892">
        <v>21486.91</v>
      </c>
    </row>
    <row r="1893" spans="1:7" x14ac:dyDescent="0.35">
      <c r="A1893" s="1">
        <v>42948</v>
      </c>
      <c r="B1893">
        <v>3477.39</v>
      </c>
      <c r="C1893">
        <v>5127.03</v>
      </c>
      <c r="D1893">
        <v>12251.29</v>
      </c>
      <c r="E1893">
        <v>8307.2044600000008</v>
      </c>
      <c r="F1893">
        <v>10586.7</v>
      </c>
      <c r="G1893">
        <v>21612.81</v>
      </c>
    </row>
    <row r="1894" spans="1:7" x14ac:dyDescent="0.35">
      <c r="A1894" s="1">
        <v>42949</v>
      </c>
      <c r="B1894">
        <v>3459.32</v>
      </c>
      <c r="C1894">
        <v>5107.25</v>
      </c>
      <c r="D1894">
        <v>12181.48</v>
      </c>
      <c r="E1894">
        <v>8266.9793000000009</v>
      </c>
      <c r="F1894">
        <v>10513.9</v>
      </c>
      <c r="G1894">
        <v>21573.61</v>
      </c>
    </row>
    <row r="1895" spans="1:7" x14ac:dyDescent="0.35">
      <c r="A1895" s="1">
        <v>42950</v>
      </c>
      <c r="B1895">
        <v>3466.37</v>
      </c>
      <c r="C1895">
        <v>5130.49</v>
      </c>
      <c r="D1895">
        <v>12154.72</v>
      </c>
      <c r="E1895">
        <v>8272.0620099999996</v>
      </c>
      <c r="F1895">
        <v>10549.1</v>
      </c>
      <c r="G1895">
        <v>21793.72</v>
      </c>
    </row>
    <row r="1896" spans="1:7" x14ac:dyDescent="0.35">
      <c r="A1896" s="1">
        <v>42951</v>
      </c>
      <c r="B1896">
        <v>3507.41</v>
      </c>
      <c r="C1896">
        <v>5203.4399999999996</v>
      </c>
      <c r="D1896">
        <v>12297.72</v>
      </c>
      <c r="E1896">
        <v>8329.7284400000008</v>
      </c>
      <c r="F1896">
        <v>10658.4</v>
      </c>
      <c r="G1896">
        <v>21935.79</v>
      </c>
    </row>
    <row r="1897" spans="1:7" x14ac:dyDescent="0.35">
      <c r="A1897" s="1">
        <v>42954</v>
      </c>
      <c r="B1897">
        <v>3505.8</v>
      </c>
      <c r="C1897">
        <v>5207.8900000000003</v>
      </c>
      <c r="D1897">
        <v>12257.17</v>
      </c>
      <c r="E1897">
        <v>8320.9760399999996</v>
      </c>
      <c r="F1897">
        <v>10676.5</v>
      </c>
      <c r="G1897">
        <v>22031.17</v>
      </c>
    </row>
    <row r="1898" spans="1:7" x14ac:dyDescent="0.35">
      <c r="A1898" s="1">
        <v>42955</v>
      </c>
      <c r="B1898">
        <v>3515.63</v>
      </c>
      <c r="C1898">
        <v>5218.8900000000003</v>
      </c>
      <c r="D1898">
        <v>12292.05</v>
      </c>
      <c r="E1898">
        <v>8332.1750200000006</v>
      </c>
      <c r="F1898">
        <v>10734.7</v>
      </c>
      <c r="G1898">
        <v>22048.3</v>
      </c>
    </row>
    <row r="1899" spans="1:7" x14ac:dyDescent="0.35">
      <c r="A1899" s="1">
        <v>42956</v>
      </c>
      <c r="B1899">
        <v>3468.45</v>
      </c>
      <c r="C1899">
        <v>5145.7</v>
      </c>
      <c r="D1899">
        <v>12154</v>
      </c>
      <c r="E1899">
        <v>8295.49503</v>
      </c>
      <c r="F1899">
        <v>10596</v>
      </c>
      <c r="G1899">
        <v>21848.37</v>
      </c>
    </row>
    <row r="1900" spans="1:7" x14ac:dyDescent="0.35">
      <c r="A1900" s="1">
        <v>42957</v>
      </c>
      <c r="B1900">
        <v>3433.54</v>
      </c>
      <c r="C1900">
        <v>5115.2299999999996</v>
      </c>
      <c r="D1900">
        <v>12014.3</v>
      </c>
      <c r="E1900">
        <v>8157.4076100000002</v>
      </c>
      <c r="F1900">
        <v>10450</v>
      </c>
      <c r="G1900">
        <v>21681.61</v>
      </c>
    </row>
    <row r="1901" spans="1:7" x14ac:dyDescent="0.35">
      <c r="A1901" s="1">
        <v>42958</v>
      </c>
      <c r="B1901">
        <v>3406.34</v>
      </c>
      <c r="C1901">
        <v>5060.92</v>
      </c>
      <c r="D1901">
        <v>12014.06</v>
      </c>
      <c r="E1901">
        <v>8048.3148099999999</v>
      </c>
      <c r="F1901">
        <v>10282.9</v>
      </c>
      <c r="G1901">
        <v>21354.02</v>
      </c>
    </row>
    <row r="1902" spans="1:7" x14ac:dyDescent="0.35">
      <c r="A1902" s="1">
        <v>42961</v>
      </c>
      <c r="B1902">
        <v>3450.66</v>
      </c>
      <c r="C1902">
        <v>5121.67</v>
      </c>
      <c r="D1902">
        <v>12165.12</v>
      </c>
      <c r="E1902">
        <v>8095.3277399999997</v>
      </c>
      <c r="F1902">
        <v>10461.200000000001</v>
      </c>
      <c r="G1902">
        <v>21722.11</v>
      </c>
    </row>
    <row r="1903" spans="1:7" x14ac:dyDescent="0.35">
      <c r="A1903" s="1">
        <v>42963</v>
      </c>
      <c r="B1903">
        <v>3484.57</v>
      </c>
      <c r="C1903">
        <v>5176.6099999999997</v>
      </c>
      <c r="D1903">
        <v>12263.86</v>
      </c>
      <c r="E1903">
        <v>8160.3261300000004</v>
      </c>
      <c r="F1903">
        <v>10544.3</v>
      </c>
      <c r="G1903">
        <v>21984.85</v>
      </c>
    </row>
    <row r="1904" spans="1:7" x14ac:dyDescent="0.35">
      <c r="A1904" s="1">
        <v>42964</v>
      </c>
      <c r="B1904">
        <v>3461.97</v>
      </c>
      <c r="C1904">
        <v>5146.8500000000004</v>
      </c>
      <c r="D1904">
        <v>12203.46</v>
      </c>
      <c r="E1904">
        <v>8102.6830799999998</v>
      </c>
      <c r="F1904">
        <v>10443.799999999999</v>
      </c>
      <c r="G1904">
        <v>21788.86</v>
      </c>
    </row>
    <row r="1905" spans="1:7" x14ac:dyDescent="0.35">
      <c r="A1905" s="1">
        <v>42965</v>
      </c>
      <c r="B1905">
        <v>3446.03</v>
      </c>
      <c r="C1905">
        <v>5114.1499999999996</v>
      </c>
      <c r="D1905">
        <v>12165.19</v>
      </c>
      <c r="E1905">
        <v>8019.0381100000004</v>
      </c>
      <c r="F1905">
        <v>10385.700000000001</v>
      </c>
      <c r="G1905">
        <v>21814.959999999999</v>
      </c>
    </row>
    <row r="1906" spans="1:7" x14ac:dyDescent="0.35">
      <c r="A1906" s="1">
        <v>42968</v>
      </c>
      <c r="B1906">
        <v>3423.53</v>
      </c>
      <c r="C1906">
        <v>5087.59</v>
      </c>
      <c r="D1906">
        <v>12065.99</v>
      </c>
      <c r="E1906">
        <v>7989.8598599999996</v>
      </c>
      <c r="F1906">
        <v>10360.200000000001</v>
      </c>
      <c r="G1906">
        <v>21752.799999999999</v>
      </c>
    </row>
    <row r="1907" spans="1:7" x14ac:dyDescent="0.35">
      <c r="A1907" s="1">
        <v>42969</v>
      </c>
      <c r="B1907">
        <v>3455.59</v>
      </c>
      <c r="C1907">
        <v>5131.8599999999997</v>
      </c>
      <c r="D1907">
        <v>12229.34</v>
      </c>
      <c r="E1907">
        <v>8056.9144500000002</v>
      </c>
      <c r="F1907">
        <v>10409.799999999999</v>
      </c>
      <c r="G1907">
        <v>21729.48</v>
      </c>
    </row>
    <row r="1908" spans="1:7" x14ac:dyDescent="0.35">
      <c r="A1908" s="1">
        <v>42970</v>
      </c>
      <c r="B1908">
        <v>3438.63</v>
      </c>
      <c r="C1908">
        <v>5115.3900000000003</v>
      </c>
      <c r="D1908">
        <v>12174.3</v>
      </c>
      <c r="E1908">
        <v>8001.3637399999998</v>
      </c>
      <c r="F1908">
        <v>10338.1</v>
      </c>
      <c r="G1908">
        <v>21620.28</v>
      </c>
    </row>
    <row r="1909" spans="1:7" x14ac:dyDescent="0.35">
      <c r="A1909" s="1">
        <v>42971</v>
      </c>
      <c r="B1909">
        <v>3444.73</v>
      </c>
      <c r="C1909">
        <v>5113.13</v>
      </c>
      <c r="D1909">
        <v>12180.83</v>
      </c>
      <c r="E1909">
        <v>8028.9166999999998</v>
      </c>
      <c r="F1909">
        <v>10357.4</v>
      </c>
      <c r="G1909">
        <v>21729.87</v>
      </c>
    </row>
    <row r="1910" spans="1:7" x14ac:dyDescent="0.35">
      <c r="A1910" s="1">
        <v>42972</v>
      </c>
      <c r="B1910">
        <v>3438.55</v>
      </c>
      <c r="C1910">
        <v>5104.33</v>
      </c>
      <c r="D1910">
        <v>12167.94</v>
      </c>
      <c r="E1910">
        <v>8021.6210300000002</v>
      </c>
      <c r="F1910">
        <v>10345.299999999999</v>
      </c>
      <c r="G1910">
        <v>21746.5</v>
      </c>
    </row>
    <row r="1911" spans="1:7" x14ac:dyDescent="0.35">
      <c r="A1911" s="1">
        <v>42976</v>
      </c>
      <c r="B1911">
        <v>3388.22</v>
      </c>
      <c r="C1911">
        <v>5031.92</v>
      </c>
      <c r="D1911">
        <v>11945.88</v>
      </c>
      <c r="E1911">
        <v>7893.7215100000003</v>
      </c>
      <c r="F1911">
        <v>10192.6</v>
      </c>
      <c r="G1911">
        <v>21408.62</v>
      </c>
    </row>
    <row r="1912" spans="1:7" x14ac:dyDescent="0.35">
      <c r="A1912" s="1">
        <v>42977</v>
      </c>
      <c r="B1912">
        <v>3403.71</v>
      </c>
      <c r="C1912">
        <v>5056.34</v>
      </c>
      <c r="D1912">
        <v>12002.47</v>
      </c>
      <c r="E1912">
        <v>8001.92436</v>
      </c>
      <c r="F1912">
        <v>10245.799999999999</v>
      </c>
      <c r="G1912">
        <v>21503.46</v>
      </c>
    </row>
    <row r="1913" spans="1:7" x14ac:dyDescent="0.35">
      <c r="A1913" s="1">
        <v>42978</v>
      </c>
      <c r="B1913">
        <v>3421.47</v>
      </c>
      <c r="C1913">
        <v>5085.59</v>
      </c>
      <c r="D1913">
        <v>12055.84</v>
      </c>
      <c r="E1913">
        <v>8064.1708799999997</v>
      </c>
      <c r="F1913">
        <v>10299.5</v>
      </c>
      <c r="G1913">
        <v>21670.02</v>
      </c>
    </row>
    <row r="1914" spans="1:7" x14ac:dyDescent="0.35">
      <c r="A1914" s="1">
        <v>42979</v>
      </c>
      <c r="B1914">
        <v>3443.88</v>
      </c>
      <c r="C1914">
        <v>5123.26</v>
      </c>
      <c r="D1914">
        <v>12142.64</v>
      </c>
      <c r="E1914">
        <v>8127.9005299999999</v>
      </c>
      <c r="F1914">
        <v>10325.5</v>
      </c>
      <c r="G1914">
        <v>21858.560000000001</v>
      </c>
    </row>
    <row r="1915" spans="1:7" x14ac:dyDescent="0.35">
      <c r="A1915" s="1">
        <v>42982</v>
      </c>
      <c r="B1915">
        <v>3429.98</v>
      </c>
      <c r="C1915">
        <v>5103.97</v>
      </c>
      <c r="D1915">
        <v>12102.21</v>
      </c>
      <c r="E1915">
        <v>8053.5605100000002</v>
      </c>
      <c r="F1915">
        <v>10243.200000000001</v>
      </c>
      <c r="G1915">
        <v>21790.62</v>
      </c>
    </row>
    <row r="1916" spans="1:7" x14ac:dyDescent="0.35">
      <c r="A1916" s="1">
        <v>42983</v>
      </c>
      <c r="B1916">
        <v>3420.86</v>
      </c>
      <c r="C1916">
        <v>5086.5600000000004</v>
      </c>
      <c r="D1916">
        <v>12123.71</v>
      </c>
      <c r="E1916">
        <v>8063.5699000000004</v>
      </c>
      <c r="F1916">
        <v>10179.799999999999</v>
      </c>
      <c r="G1916">
        <v>21737.69</v>
      </c>
    </row>
    <row r="1917" spans="1:7" x14ac:dyDescent="0.35">
      <c r="A1917" s="1">
        <v>42984</v>
      </c>
      <c r="B1917">
        <v>3433.8</v>
      </c>
      <c r="C1917">
        <v>5101.41</v>
      </c>
      <c r="D1917">
        <v>12214.54</v>
      </c>
      <c r="E1917">
        <v>8045.33313</v>
      </c>
      <c r="F1917">
        <v>10131</v>
      </c>
      <c r="G1917">
        <v>21814.560000000001</v>
      </c>
    </row>
    <row r="1918" spans="1:7" x14ac:dyDescent="0.35">
      <c r="A1918" s="1">
        <v>42985</v>
      </c>
      <c r="B1918">
        <v>3447.66</v>
      </c>
      <c r="C1918">
        <v>5114.62</v>
      </c>
      <c r="D1918">
        <v>12296.63</v>
      </c>
      <c r="E1918">
        <v>8064.5529699999997</v>
      </c>
      <c r="F1918">
        <v>10124.9</v>
      </c>
      <c r="G1918">
        <v>21722.51</v>
      </c>
    </row>
    <row r="1919" spans="1:7" x14ac:dyDescent="0.35">
      <c r="A1919" s="1">
        <v>42986</v>
      </c>
      <c r="B1919">
        <v>3447.69</v>
      </c>
      <c r="C1919">
        <v>5113.49</v>
      </c>
      <c r="D1919">
        <v>12303.98</v>
      </c>
      <c r="E1919">
        <v>8090.4530800000002</v>
      </c>
      <c r="F1919">
        <v>10129.6</v>
      </c>
      <c r="G1919">
        <v>21776.66</v>
      </c>
    </row>
    <row r="1920" spans="1:7" x14ac:dyDescent="0.35">
      <c r="A1920" s="1">
        <v>42989</v>
      </c>
      <c r="B1920">
        <v>3495.19</v>
      </c>
      <c r="C1920">
        <v>5176.71</v>
      </c>
      <c r="D1920">
        <v>12475.24</v>
      </c>
      <c r="E1920">
        <v>8162.3811699999997</v>
      </c>
      <c r="F1920">
        <v>10322.6</v>
      </c>
      <c r="G1920">
        <v>22134.11</v>
      </c>
    </row>
    <row r="1921" spans="1:7" x14ac:dyDescent="0.35">
      <c r="A1921" s="1">
        <v>42990</v>
      </c>
      <c r="B1921">
        <v>3512.56</v>
      </c>
      <c r="C1921">
        <v>5209.01</v>
      </c>
      <c r="D1921">
        <v>12524.77</v>
      </c>
      <c r="E1921">
        <v>8211.7160500000009</v>
      </c>
      <c r="F1921">
        <v>10336.200000000001</v>
      </c>
      <c r="G1921">
        <v>22233.4</v>
      </c>
    </row>
    <row r="1922" spans="1:7" x14ac:dyDescent="0.35">
      <c r="A1922" s="1">
        <v>42991</v>
      </c>
      <c r="B1922">
        <v>3523.14</v>
      </c>
      <c r="C1922">
        <v>5217.59</v>
      </c>
      <c r="D1922">
        <v>12553.57</v>
      </c>
      <c r="E1922">
        <v>8200.2187900000008</v>
      </c>
      <c r="F1922">
        <v>10371</v>
      </c>
      <c r="G1922">
        <v>22233.3</v>
      </c>
    </row>
    <row r="1923" spans="1:7" x14ac:dyDescent="0.35">
      <c r="A1923" s="1">
        <v>42992</v>
      </c>
      <c r="B1923">
        <v>3526.48</v>
      </c>
      <c r="C1923">
        <v>5225.2</v>
      </c>
      <c r="D1923">
        <v>12540.45</v>
      </c>
      <c r="E1923">
        <v>8218.0567100000007</v>
      </c>
      <c r="F1923">
        <v>10361.1</v>
      </c>
      <c r="G1923">
        <v>22281.14</v>
      </c>
    </row>
    <row r="1924" spans="1:7" x14ac:dyDescent="0.35">
      <c r="A1924" s="1">
        <v>42993</v>
      </c>
      <c r="B1924">
        <v>3515.55</v>
      </c>
      <c r="C1924">
        <v>5213.91</v>
      </c>
      <c r="D1924">
        <v>12518.81</v>
      </c>
      <c r="E1924">
        <v>8198.2719799999995</v>
      </c>
      <c r="F1924">
        <v>10317.4</v>
      </c>
      <c r="G1924">
        <v>22229.49</v>
      </c>
    </row>
    <row r="1925" spans="1:7" x14ac:dyDescent="0.35">
      <c r="A1925" s="1">
        <v>42996</v>
      </c>
      <c r="B1925">
        <v>3526.74</v>
      </c>
      <c r="C1925">
        <v>5229.32</v>
      </c>
      <c r="D1925">
        <v>12559.39</v>
      </c>
      <c r="E1925">
        <v>8195.3433499999992</v>
      </c>
      <c r="F1925">
        <v>10338.4</v>
      </c>
      <c r="G1925">
        <v>22364.74</v>
      </c>
    </row>
    <row r="1926" spans="1:7" x14ac:dyDescent="0.35">
      <c r="A1926" s="1">
        <v>42997</v>
      </c>
      <c r="B1926">
        <v>3531.18</v>
      </c>
      <c r="C1926">
        <v>5237.4399999999996</v>
      </c>
      <c r="D1926">
        <v>12561.79</v>
      </c>
      <c r="E1926">
        <v>8195.7447200000006</v>
      </c>
      <c r="F1926">
        <v>10378.4</v>
      </c>
      <c r="G1926">
        <v>22425.42</v>
      </c>
    </row>
    <row r="1927" spans="1:7" x14ac:dyDescent="0.35">
      <c r="A1927" s="1">
        <v>42998</v>
      </c>
      <c r="B1927">
        <v>3525.55</v>
      </c>
      <c r="C1927">
        <v>5241.66</v>
      </c>
      <c r="D1927">
        <v>12569.17</v>
      </c>
      <c r="E1927">
        <v>8227.8927800000001</v>
      </c>
      <c r="F1927">
        <v>10292.1</v>
      </c>
      <c r="G1927">
        <v>22355.58</v>
      </c>
    </row>
    <row r="1928" spans="1:7" x14ac:dyDescent="0.35">
      <c r="A1928" s="1">
        <v>42999</v>
      </c>
      <c r="B1928">
        <v>3539.59</v>
      </c>
      <c r="C1928">
        <v>5267.29</v>
      </c>
      <c r="D1928">
        <v>12600.03</v>
      </c>
      <c r="E1928">
        <v>8262.8155999999999</v>
      </c>
      <c r="F1928">
        <v>10297</v>
      </c>
      <c r="G1928">
        <v>22491.73</v>
      </c>
    </row>
    <row r="1929" spans="1:7" x14ac:dyDescent="0.35">
      <c r="A1929" s="1">
        <v>43000</v>
      </c>
      <c r="B1929">
        <v>3541.42</v>
      </c>
      <c r="C1929">
        <v>5281.29</v>
      </c>
      <c r="D1929">
        <v>12592.35</v>
      </c>
      <c r="E1929">
        <v>8280.6998100000001</v>
      </c>
      <c r="F1929">
        <v>10305</v>
      </c>
      <c r="G1929">
        <v>22530.83</v>
      </c>
    </row>
    <row r="1930" spans="1:7" x14ac:dyDescent="0.35">
      <c r="A1930" s="1">
        <v>43003</v>
      </c>
      <c r="B1930">
        <v>3537.81</v>
      </c>
      <c r="C1930">
        <v>5267.13</v>
      </c>
      <c r="D1930">
        <v>12594.81</v>
      </c>
      <c r="E1930">
        <v>8293.0819499999998</v>
      </c>
      <c r="F1930">
        <v>10216.5</v>
      </c>
      <c r="G1930">
        <v>22389.57</v>
      </c>
    </row>
    <row r="1931" spans="1:7" x14ac:dyDescent="0.35">
      <c r="A1931" s="1">
        <v>43004</v>
      </c>
      <c r="B1931">
        <v>3536.38</v>
      </c>
      <c r="C1931">
        <v>5268.76</v>
      </c>
      <c r="D1931">
        <v>12605.2</v>
      </c>
      <c r="E1931">
        <v>8306.0651600000001</v>
      </c>
      <c r="F1931">
        <v>10189.6</v>
      </c>
      <c r="G1931">
        <v>22430.65</v>
      </c>
    </row>
    <row r="1932" spans="1:7" x14ac:dyDescent="0.35">
      <c r="A1932" s="1">
        <v>43005</v>
      </c>
      <c r="B1932">
        <v>3555.17</v>
      </c>
      <c r="C1932">
        <v>5281.96</v>
      </c>
      <c r="D1932">
        <v>12657.41</v>
      </c>
      <c r="E1932">
        <v>8340.9610699999994</v>
      </c>
      <c r="F1932">
        <v>10368.9</v>
      </c>
      <c r="G1932">
        <v>22622.19</v>
      </c>
    </row>
    <row r="1933" spans="1:7" x14ac:dyDescent="0.35">
      <c r="A1933" s="1">
        <v>43006</v>
      </c>
      <c r="B1933">
        <v>3563.64</v>
      </c>
      <c r="C1933">
        <v>5293.77</v>
      </c>
      <c r="D1933">
        <v>12704.65</v>
      </c>
      <c r="E1933">
        <v>8351.2710399999996</v>
      </c>
      <c r="F1933">
        <v>10328.5</v>
      </c>
      <c r="G1933">
        <v>22587.67</v>
      </c>
    </row>
    <row r="1934" spans="1:7" x14ac:dyDescent="0.35">
      <c r="A1934" s="1">
        <v>43007</v>
      </c>
      <c r="B1934">
        <v>3594.85</v>
      </c>
      <c r="C1934">
        <v>5329.81</v>
      </c>
      <c r="D1934">
        <v>12828.86</v>
      </c>
      <c r="E1934">
        <v>8367.2049599999991</v>
      </c>
      <c r="F1934">
        <v>10381.5</v>
      </c>
      <c r="G1934">
        <v>22696.32</v>
      </c>
    </row>
    <row r="1935" spans="1:7" x14ac:dyDescent="0.35">
      <c r="A1935" s="1">
        <v>43010</v>
      </c>
      <c r="B1935">
        <v>3602.69</v>
      </c>
      <c r="C1935">
        <v>5350.44</v>
      </c>
      <c r="D1935">
        <v>12902.65</v>
      </c>
      <c r="E1935">
        <v>8408.0493299999998</v>
      </c>
      <c r="F1935">
        <v>10255.700000000001</v>
      </c>
      <c r="G1935">
        <v>22811.19</v>
      </c>
    </row>
    <row r="1936" spans="1:7" x14ac:dyDescent="0.35">
      <c r="A1936" s="1">
        <v>43012</v>
      </c>
      <c r="B1936">
        <v>3594.91</v>
      </c>
      <c r="C1936">
        <v>5363.23</v>
      </c>
      <c r="D1936">
        <v>12970.52</v>
      </c>
      <c r="E1936">
        <v>8426.18289</v>
      </c>
      <c r="F1936">
        <v>9964.9</v>
      </c>
      <c r="G1936">
        <v>22456.38</v>
      </c>
    </row>
    <row r="1937" spans="1:7" x14ac:dyDescent="0.35">
      <c r="A1937" s="1">
        <v>43013</v>
      </c>
      <c r="B1937">
        <v>3613.54</v>
      </c>
      <c r="C1937">
        <v>5379.21</v>
      </c>
      <c r="D1937">
        <v>12968.05</v>
      </c>
      <c r="E1937">
        <v>8421.7218099999991</v>
      </c>
      <c r="F1937">
        <v>10214.700000000001</v>
      </c>
      <c r="G1937">
        <v>22566.03</v>
      </c>
    </row>
    <row r="1938" spans="1:7" x14ac:dyDescent="0.35">
      <c r="A1938" s="1">
        <v>43014</v>
      </c>
      <c r="B1938">
        <v>3603.32</v>
      </c>
      <c r="C1938">
        <v>5359.9</v>
      </c>
      <c r="D1938">
        <v>12955.94</v>
      </c>
      <c r="E1938">
        <v>8376.9249299999992</v>
      </c>
      <c r="F1938">
        <v>10185.5</v>
      </c>
      <c r="G1938">
        <v>22392.31</v>
      </c>
    </row>
    <row r="1939" spans="1:7" x14ac:dyDescent="0.35">
      <c r="A1939" s="1">
        <v>43017</v>
      </c>
      <c r="B1939">
        <v>3610.5</v>
      </c>
      <c r="C1939">
        <v>5365.83</v>
      </c>
      <c r="D1939">
        <v>12976.4</v>
      </c>
      <c r="E1939">
        <v>8399.2522599999993</v>
      </c>
      <c r="F1939">
        <v>10236</v>
      </c>
      <c r="G1939">
        <v>22476.75</v>
      </c>
    </row>
    <row r="1940" spans="1:7" x14ac:dyDescent="0.35">
      <c r="A1940" s="1">
        <v>43018</v>
      </c>
      <c r="B1940">
        <v>3598.79</v>
      </c>
      <c r="C1940">
        <v>5363.65</v>
      </c>
      <c r="D1940">
        <v>12949.25</v>
      </c>
      <c r="E1940">
        <v>8437.5992800000004</v>
      </c>
      <c r="F1940">
        <v>10142.299999999999</v>
      </c>
      <c r="G1940">
        <v>22335.91</v>
      </c>
    </row>
    <row r="1941" spans="1:7" x14ac:dyDescent="0.35">
      <c r="A1941" s="1">
        <v>43019</v>
      </c>
      <c r="B1941">
        <v>3607.39</v>
      </c>
      <c r="C1941">
        <v>5362.41</v>
      </c>
      <c r="D1941">
        <v>12970.68</v>
      </c>
      <c r="E1941">
        <v>8401.9216500000002</v>
      </c>
      <c r="F1941">
        <v>10278.4</v>
      </c>
      <c r="G1941">
        <v>22552.21</v>
      </c>
    </row>
    <row r="1942" spans="1:7" x14ac:dyDescent="0.35">
      <c r="A1942" s="1">
        <v>43020</v>
      </c>
      <c r="B1942">
        <v>3605.54</v>
      </c>
      <c r="C1942">
        <v>5360.81</v>
      </c>
      <c r="D1942">
        <v>12982.89</v>
      </c>
      <c r="E1942">
        <v>8457.7533800000001</v>
      </c>
      <c r="F1942">
        <v>10275.9</v>
      </c>
      <c r="G1942">
        <v>22398.51</v>
      </c>
    </row>
    <row r="1943" spans="1:7" x14ac:dyDescent="0.35">
      <c r="A1943" s="1">
        <v>43021</v>
      </c>
      <c r="B1943">
        <v>3604.55</v>
      </c>
      <c r="C1943">
        <v>5351.74</v>
      </c>
      <c r="D1943">
        <v>12991.87</v>
      </c>
      <c r="E1943">
        <v>8472.6710999999996</v>
      </c>
      <c r="F1943">
        <v>10258</v>
      </c>
      <c r="G1943">
        <v>22413.54</v>
      </c>
    </row>
    <row r="1944" spans="1:7" x14ac:dyDescent="0.35">
      <c r="A1944" s="1">
        <v>43024</v>
      </c>
      <c r="B1944">
        <v>3606.27</v>
      </c>
      <c r="C1944">
        <v>5362.88</v>
      </c>
      <c r="D1944">
        <v>13003.7</v>
      </c>
      <c r="E1944">
        <v>8466.3276999999998</v>
      </c>
      <c r="F1944">
        <v>10181.4</v>
      </c>
      <c r="G1944">
        <v>22428.31</v>
      </c>
    </row>
    <row r="1945" spans="1:7" x14ac:dyDescent="0.35">
      <c r="A1945" s="1">
        <v>43025</v>
      </c>
      <c r="B1945">
        <v>3607.77</v>
      </c>
      <c r="C1945">
        <v>5361.37</v>
      </c>
      <c r="D1945">
        <v>12995.06</v>
      </c>
      <c r="E1945">
        <v>8433.1350600000005</v>
      </c>
      <c r="F1945">
        <v>10216.799999999999</v>
      </c>
      <c r="G1945">
        <v>22337.78</v>
      </c>
    </row>
    <row r="1946" spans="1:7" x14ac:dyDescent="0.35">
      <c r="A1946" s="1">
        <v>43026</v>
      </c>
      <c r="B1946">
        <v>3619.65</v>
      </c>
      <c r="C1946">
        <v>5383.81</v>
      </c>
      <c r="D1946">
        <v>13043.03</v>
      </c>
      <c r="E1946">
        <v>8441.3335200000001</v>
      </c>
      <c r="F1946">
        <v>10273.4</v>
      </c>
      <c r="G1946">
        <v>22354.69</v>
      </c>
    </row>
    <row r="1947" spans="1:7" x14ac:dyDescent="0.35">
      <c r="A1947" s="1">
        <v>43027</v>
      </c>
      <c r="B1947">
        <v>3602.08</v>
      </c>
      <c r="C1947">
        <v>5368.29</v>
      </c>
      <c r="D1947">
        <v>12990.1</v>
      </c>
      <c r="E1947">
        <v>8366.5612600000004</v>
      </c>
      <c r="F1947">
        <v>10197.5</v>
      </c>
      <c r="G1947">
        <v>22133.21</v>
      </c>
    </row>
    <row r="1948" spans="1:7" x14ac:dyDescent="0.35">
      <c r="A1948" s="1">
        <v>43028</v>
      </c>
      <c r="B1948">
        <v>3605.09</v>
      </c>
      <c r="C1948">
        <v>5372.38</v>
      </c>
      <c r="D1948">
        <v>12991.28</v>
      </c>
      <c r="E1948">
        <v>8422.1359599999996</v>
      </c>
      <c r="F1948">
        <v>10222.700000000001</v>
      </c>
      <c r="G1948">
        <v>22346.85</v>
      </c>
    </row>
    <row r="1949" spans="1:7" x14ac:dyDescent="0.35">
      <c r="A1949" s="1">
        <v>43031</v>
      </c>
      <c r="B1949">
        <v>3608.87</v>
      </c>
      <c r="C1949">
        <v>5386.81</v>
      </c>
      <c r="D1949">
        <v>13003.14</v>
      </c>
      <c r="E1949">
        <v>8456.5977000000003</v>
      </c>
      <c r="F1949">
        <v>10161.4</v>
      </c>
      <c r="G1949">
        <v>22379.16</v>
      </c>
    </row>
    <row r="1950" spans="1:7" x14ac:dyDescent="0.35">
      <c r="A1950" s="1">
        <v>43032</v>
      </c>
      <c r="B1950">
        <v>3610.69</v>
      </c>
      <c r="C1950">
        <v>5394.8</v>
      </c>
      <c r="D1950">
        <v>13013.19</v>
      </c>
      <c r="E1950">
        <v>8402.4183799999992</v>
      </c>
      <c r="F1950">
        <v>10205.700000000001</v>
      </c>
      <c r="G1950">
        <v>22629.57</v>
      </c>
    </row>
    <row r="1951" spans="1:7" x14ac:dyDescent="0.35">
      <c r="A1951" s="1">
        <v>43033</v>
      </c>
      <c r="B1951">
        <v>3591.46</v>
      </c>
      <c r="C1951">
        <v>5374.89</v>
      </c>
      <c r="D1951">
        <v>12953.41</v>
      </c>
      <c r="E1951">
        <v>8351.2393900000006</v>
      </c>
      <c r="F1951">
        <v>10153.299999999999</v>
      </c>
      <c r="G1951">
        <v>22446.39</v>
      </c>
    </row>
    <row r="1952" spans="1:7" x14ac:dyDescent="0.35">
      <c r="A1952" s="1">
        <v>43034</v>
      </c>
      <c r="B1952">
        <v>3637.2</v>
      </c>
      <c r="C1952">
        <v>5455.4</v>
      </c>
      <c r="D1952">
        <v>13133.28</v>
      </c>
      <c r="E1952">
        <v>8443.9414500000003</v>
      </c>
      <c r="F1952">
        <v>10347.799999999999</v>
      </c>
      <c r="G1952">
        <v>22807.42</v>
      </c>
    </row>
    <row r="1953" spans="1:7" x14ac:dyDescent="0.35">
      <c r="A1953" s="1">
        <v>43035</v>
      </c>
      <c r="B1953">
        <v>3652.23</v>
      </c>
      <c r="C1953">
        <v>5494.13</v>
      </c>
      <c r="D1953">
        <v>13217.54</v>
      </c>
      <c r="E1953">
        <v>8489.9437699999999</v>
      </c>
      <c r="F1953">
        <v>10197.5</v>
      </c>
      <c r="G1953">
        <v>22665.03</v>
      </c>
    </row>
    <row r="1954" spans="1:7" x14ac:dyDescent="0.35">
      <c r="A1954" s="1">
        <v>43038</v>
      </c>
      <c r="B1954">
        <v>3662.18</v>
      </c>
      <c r="C1954">
        <v>5493.63</v>
      </c>
      <c r="D1954">
        <v>13229.57</v>
      </c>
      <c r="E1954">
        <v>8494.7691400000003</v>
      </c>
      <c r="F1954">
        <v>10446</v>
      </c>
      <c r="G1954">
        <v>22752.89</v>
      </c>
    </row>
    <row r="1955" spans="1:7" x14ac:dyDescent="0.35">
      <c r="A1955" s="1">
        <v>43040</v>
      </c>
      <c r="B1955">
        <v>3697.4</v>
      </c>
      <c r="C1955">
        <v>5514.29</v>
      </c>
      <c r="D1955">
        <v>13465.51</v>
      </c>
      <c r="E1955">
        <v>8540.1896699999998</v>
      </c>
      <c r="F1955">
        <v>10506.7</v>
      </c>
      <c r="G1955">
        <v>22991.99</v>
      </c>
    </row>
    <row r="1956" spans="1:7" x14ac:dyDescent="0.35">
      <c r="A1956" s="1">
        <v>43041</v>
      </c>
      <c r="B1956">
        <v>3688.8</v>
      </c>
      <c r="C1956">
        <v>5510.5</v>
      </c>
      <c r="D1956">
        <v>13440.93</v>
      </c>
      <c r="E1956">
        <v>8462.1398900000004</v>
      </c>
      <c r="F1956">
        <v>10457.799999999999</v>
      </c>
      <c r="G1956">
        <v>23046.05</v>
      </c>
    </row>
    <row r="1957" spans="1:7" x14ac:dyDescent="0.35">
      <c r="A1957" s="1">
        <v>43042</v>
      </c>
      <c r="B1957">
        <v>3689.96</v>
      </c>
      <c r="C1957">
        <v>5517.97</v>
      </c>
      <c r="D1957">
        <v>13478.86</v>
      </c>
      <c r="E1957">
        <v>8511.6652599999998</v>
      </c>
      <c r="F1957">
        <v>10357.799999999999</v>
      </c>
      <c r="G1957">
        <v>23014.13</v>
      </c>
    </row>
    <row r="1958" spans="1:7" x14ac:dyDescent="0.35">
      <c r="A1958" s="1">
        <v>43045</v>
      </c>
      <c r="B1958">
        <v>3682.36</v>
      </c>
      <c r="C1958">
        <v>5507.25</v>
      </c>
      <c r="D1958">
        <v>13468.79</v>
      </c>
      <c r="E1958">
        <v>8565.2003600000007</v>
      </c>
      <c r="F1958">
        <v>10316.5</v>
      </c>
      <c r="G1958">
        <v>23002.85</v>
      </c>
    </row>
    <row r="1959" spans="1:7" x14ac:dyDescent="0.35">
      <c r="A1959" s="1">
        <v>43046</v>
      </c>
      <c r="B1959">
        <v>3658.77</v>
      </c>
      <c r="C1959">
        <v>5480.64</v>
      </c>
      <c r="D1959">
        <v>13379.27</v>
      </c>
      <c r="E1959">
        <v>8532.7602599999991</v>
      </c>
      <c r="F1959">
        <v>10230.700000000001</v>
      </c>
      <c r="G1959">
        <v>22962.59</v>
      </c>
    </row>
    <row r="1960" spans="1:7" x14ac:dyDescent="0.35">
      <c r="A1960" s="1">
        <v>43047</v>
      </c>
      <c r="B1960">
        <v>3655.04</v>
      </c>
      <c r="C1960">
        <v>5471.43</v>
      </c>
      <c r="D1960">
        <v>13382.42</v>
      </c>
      <c r="E1960">
        <v>8514.2857700000004</v>
      </c>
      <c r="F1960">
        <v>10228.700000000001</v>
      </c>
      <c r="G1960">
        <v>22831.3</v>
      </c>
    </row>
    <row r="1961" spans="1:7" x14ac:dyDescent="0.35">
      <c r="A1961" s="1">
        <v>43048</v>
      </c>
      <c r="B1961">
        <v>3612.5</v>
      </c>
      <c r="C1961">
        <v>5407.75</v>
      </c>
      <c r="D1961">
        <v>13182.56</v>
      </c>
      <c r="E1961">
        <v>8451.7607000000007</v>
      </c>
      <c r="F1961">
        <v>10141.1</v>
      </c>
      <c r="G1961">
        <v>22641.31</v>
      </c>
    </row>
    <row r="1962" spans="1:7" x14ac:dyDescent="0.35">
      <c r="A1962" s="1">
        <v>43049</v>
      </c>
      <c r="B1962">
        <v>3593.76</v>
      </c>
      <c r="C1962">
        <v>5380.72</v>
      </c>
      <c r="D1962">
        <v>13127.47</v>
      </c>
      <c r="E1962">
        <v>8412.2397299999993</v>
      </c>
      <c r="F1962">
        <v>10092.700000000001</v>
      </c>
      <c r="G1962">
        <v>22560.79</v>
      </c>
    </row>
    <row r="1963" spans="1:7" x14ac:dyDescent="0.35">
      <c r="A1963" s="1">
        <v>43052</v>
      </c>
      <c r="B1963">
        <v>3574.52</v>
      </c>
      <c r="C1963">
        <v>5341.63</v>
      </c>
      <c r="D1963">
        <v>13074.42</v>
      </c>
      <c r="E1963">
        <v>8337.0706800000007</v>
      </c>
      <c r="F1963">
        <v>10049.9</v>
      </c>
      <c r="G1963">
        <v>22437.64</v>
      </c>
    </row>
    <row r="1964" spans="1:7" x14ac:dyDescent="0.35">
      <c r="A1964" s="1">
        <v>43053</v>
      </c>
      <c r="B1964">
        <v>3556.38</v>
      </c>
      <c r="C1964">
        <v>5315.58</v>
      </c>
      <c r="D1964">
        <v>13033.48</v>
      </c>
      <c r="E1964">
        <v>8293.5529800000004</v>
      </c>
      <c r="F1964">
        <v>9990.4</v>
      </c>
      <c r="G1964">
        <v>22297.08</v>
      </c>
    </row>
    <row r="1965" spans="1:7" x14ac:dyDescent="0.35">
      <c r="A1965" s="1">
        <v>43054</v>
      </c>
      <c r="B1965">
        <v>3545.72</v>
      </c>
      <c r="C1965">
        <v>5301.25</v>
      </c>
      <c r="D1965">
        <v>12976.37</v>
      </c>
      <c r="E1965">
        <v>8234.3517499999998</v>
      </c>
      <c r="F1965">
        <v>10013.9</v>
      </c>
      <c r="G1965">
        <v>22158.880000000001</v>
      </c>
    </row>
    <row r="1966" spans="1:7" x14ac:dyDescent="0.35">
      <c r="A1966" s="1">
        <v>43055</v>
      </c>
      <c r="B1966">
        <v>3564.8</v>
      </c>
      <c r="C1966">
        <v>5336.39</v>
      </c>
      <c r="D1966">
        <v>13047.22</v>
      </c>
      <c r="E1966">
        <v>8277.2880700000005</v>
      </c>
      <c r="F1966">
        <v>10088.700000000001</v>
      </c>
      <c r="G1966">
        <v>22206.6</v>
      </c>
    </row>
    <row r="1967" spans="1:7" x14ac:dyDescent="0.35">
      <c r="A1967" s="1">
        <v>43056</v>
      </c>
      <c r="B1967">
        <v>3547.46</v>
      </c>
      <c r="C1967">
        <v>5319.17</v>
      </c>
      <c r="D1967">
        <v>12993.73</v>
      </c>
      <c r="E1967">
        <v>8259.3323799999998</v>
      </c>
      <c r="F1967">
        <v>10010.4</v>
      </c>
      <c r="G1967">
        <v>22092.95</v>
      </c>
    </row>
    <row r="1968" spans="1:7" x14ac:dyDescent="0.35">
      <c r="A1968" s="1">
        <v>43059</v>
      </c>
      <c r="B1968">
        <v>3561.41</v>
      </c>
      <c r="C1968">
        <v>5340.45</v>
      </c>
      <c r="D1968">
        <v>13058.66</v>
      </c>
      <c r="E1968">
        <v>8324.8585700000003</v>
      </c>
      <c r="F1968">
        <v>10025.5</v>
      </c>
      <c r="G1968">
        <v>22189.25</v>
      </c>
    </row>
    <row r="1969" spans="1:7" x14ac:dyDescent="0.35">
      <c r="A1969" s="1">
        <v>43060</v>
      </c>
      <c r="B1969">
        <v>3579.32</v>
      </c>
      <c r="C1969">
        <v>5366.15</v>
      </c>
      <c r="D1969">
        <v>13167.54</v>
      </c>
      <c r="E1969">
        <v>8355.5079800000003</v>
      </c>
      <c r="F1969">
        <v>9993.4</v>
      </c>
      <c r="G1969">
        <v>22326.44</v>
      </c>
    </row>
    <row r="1970" spans="1:7" x14ac:dyDescent="0.35">
      <c r="A1970" s="1">
        <v>43061</v>
      </c>
      <c r="B1970">
        <v>3562.65</v>
      </c>
      <c r="C1970">
        <v>5352.76</v>
      </c>
      <c r="D1970">
        <v>13015.04</v>
      </c>
      <c r="E1970">
        <v>8358.7415700000001</v>
      </c>
      <c r="F1970">
        <v>10013.9</v>
      </c>
      <c r="G1970">
        <v>22315.24</v>
      </c>
    </row>
    <row r="1971" spans="1:7" x14ac:dyDescent="0.35">
      <c r="A1971" s="1">
        <v>43062</v>
      </c>
      <c r="B1971">
        <v>3572.07</v>
      </c>
      <c r="C1971">
        <v>5379.54</v>
      </c>
      <c r="D1971">
        <v>13008.55</v>
      </c>
      <c r="E1971">
        <v>8328.6672500000004</v>
      </c>
      <c r="F1971">
        <v>10032.799999999999</v>
      </c>
      <c r="G1971">
        <v>22397.78</v>
      </c>
    </row>
    <row r="1972" spans="1:7" x14ac:dyDescent="0.35">
      <c r="A1972" s="1">
        <v>43063</v>
      </c>
      <c r="B1972">
        <v>3581.23</v>
      </c>
      <c r="C1972">
        <v>5390.46</v>
      </c>
      <c r="D1972">
        <v>13059.84</v>
      </c>
      <c r="E1972">
        <v>8281.8008499999996</v>
      </c>
      <c r="F1972">
        <v>10053.5</v>
      </c>
      <c r="G1972">
        <v>22416.31</v>
      </c>
    </row>
    <row r="1973" spans="1:7" x14ac:dyDescent="0.35">
      <c r="A1973" s="1">
        <v>43066</v>
      </c>
      <c r="B1973">
        <v>3564.02</v>
      </c>
      <c r="C1973">
        <v>5360.09</v>
      </c>
      <c r="D1973">
        <v>13000.2</v>
      </c>
      <c r="E1973">
        <v>8269.1987100000006</v>
      </c>
      <c r="F1973">
        <v>10063.1</v>
      </c>
      <c r="G1973">
        <v>22176.7</v>
      </c>
    </row>
    <row r="1974" spans="1:7" x14ac:dyDescent="0.35">
      <c r="A1974" s="1">
        <v>43067</v>
      </c>
      <c r="B1974">
        <v>3583.49</v>
      </c>
      <c r="C1974">
        <v>5390.48</v>
      </c>
      <c r="D1974">
        <v>13059.53</v>
      </c>
      <c r="E1974">
        <v>8378.3036599999996</v>
      </c>
      <c r="F1974">
        <v>10144.4</v>
      </c>
      <c r="G1974">
        <v>22291.77</v>
      </c>
    </row>
    <row r="1975" spans="1:7" x14ac:dyDescent="0.35">
      <c r="A1975" s="1">
        <v>43068</v>
      </c>
      <c r="B1975">
        <v>3589.91</v>
      </c>
      <c r="C1975">
        <v>5398.05</v>
      </c>
      <c r="D1975">
        <v>13061.87</v>
      </c>
      <c r="E1975">
        <v>8378.0370600000006</v>
      </c>
      <c r="F1975">
        <v>10267.700000000001</v>
      </c>
      <c r="G1975">
        <v>22325.94</v>
      </c>
    </row>
    <row r="1976" spans="1:7" x14ac:dyDescent="0.35">
      <c r="A1976" s="1">
        <v>43069</v>
      </c>
      <c r="B1976">
        <v>3569.93</v>
      </c>
      <c r="C1976">
        <v>5372.79</v>
      </c>
      <c r="D1976">
        <v>13023.98</v>
      </c>
      <c r="E1976">
        <v>8323.6048300000002</v>
      </c>
      <c r="F1976">
        <v>10211</v>
      </c>
      <c r="G1976">
        <v>22368.29</v>
      </c>
    </row>
    <row r="1977" spans="1:7" x14ac:dyDescent="0.35">
      <c r="A1977" s="1">
        <v>43070</v>
      </c>
      <c r="B1977">
        <v>3527.55</v>
      </c>
      <c r="C1977">
        <v>5316.89</v>
      </c>
      <c r="D1977">
        <v>12861.49</v>
      </c>
      <c r="E1977">
        <v>8284.0265299999992</v>
      </c>
      <c r="F1977">
        <v>10085</v>
      </c>
      <c r="G1977">
        <v>22106.1</v>
      </c>
    </row>
    <row r="1978" spans="1:7" x14ac:dyDescent="0.35">
      <c r="A1978" s="1">
        <v>43073</v>
      </c>
      <c r="B1978">
        <v>3576.22</v>
      </c>
      <c r="C1978">
        <v>5389.29</v>
      </c>
      <c r="D1978">
        <v>13058.55</v>
      </c>
      <c r="E1978">
        <v>8339.0626699999993</v>
      </c>
      <c r="F1978">
        <v>10208.6</v>
      </c>
      <c r="G1978">
        <v>22362.11</v>
      </c>
    </row>
    <row r="1979" spans="1:7" x14ac:dyDescent="0.35">
      <c r="A1979" s="1">
        <v>43074</v>
      </c>
      <c r="B1979">
        <v>3570.57</v>
      </c>
      <c r="C1979">
        <v>5375.53</v>
      </c>
      <c r="D1979">
        <v>13048.54</v>
      </c>
      <c r="E1979">
        <v>8339.7948099999994</v>
      </c>
      <c r="F1979">
        <v>10211.299999999999</v>
      </c>
      <c r="G1979">
        <v>22416.31</v>
      </c>
    </row>
    <row r="1980" spans="1:7" x14ac:dyDescent="0.35">
      <c r="A1980" s="1">
        <v>43075</v>
      </c>
      <c r="B1980">
        <v>3561.57</v>
      </c>
      <c r="C1980">
        <v>5374.35</v>
      </c>
      <c r="D1980">
        <v>12998.85</v>
      </c>
      <c r="E1980">
        <v>8334.9951099999998</v>
      </c>
      <c r="F1980">
        <v>10184</v>
      </c>
      <c r="G1980">
        <v>22307.279999999999</v>
      </c>
    </row>
    <row r="1981" spans="1:7" x14ac:dyDescent="0.35">
      <c r="A1981" s="1">
        <v>43076</v>
      </c>
      <c r="B1981">
        <v>3573.13</v>
      </c>
      <c r="C1981">
        <v>5383.86</v>
      </c>
      <c r="D1981">
        <v>13045.15</v>
      </c>
      <c r="E1981">
        <v>8332.2633100000003</v>
      </c>
      <c r="F1981">
        <v>10262.6</v>
      </c>
      <c r="G1981">
        <v>22459.51</v>
      </c>
    </row>
    <row r="1982" spans="1:7" x14ac:dyDescent="0.35">
      <c r="A1982" s="1">
        <v>43077</v>
      </c>
      <c r="B1982">
        <v>3591.45</v>
      </c>
      <c r="C1982">
        <v>5399.09</v>
      </c>
      <c r="D1982">
        <v>13153.7</v>
      </c>
      <c r="E1982">
        <v>8426.0702700000002</v>
      </c>
      <c r="F1982">
        <v>10321.1</v>
      </c>
      <c r="G1982">
        <v>22773.8</v>
      </c>
    </row>
    <row r="1983" spans="1:7" x14ac:dyDescent="0.35">
      <c r="A1983" s="1">
        <v>43080</v>
      </c>
      <c r="B1983">
        <v>3582.21</v>
      </c>
      <c r="C1983">
        <v>5386.83</v>
      </c>
      <c r="D1983">
        <v>13123.65</v>
      </c>
      <c r="E1983">
        <v>8438.8917500000007</v>
      </c>
      <c r="F1983">
        <v>10306.9</v>
      </c>
      <c r="G1983">
        <v>22690.98</v>
      </c>
    </row>
    <row r="1984" spans="1:7" x14ac:dyDescent="0.35">
      <c r="A1984" s="1">
        <v>43081</v>
      </c>
      <c r="B1984">
        <v>3600.35</v>
      </c>
      <c r="C1984">
        <v>5427.19</v>
      </c>
      <c r="D1984">
        <v>13183.53</v>
      </c>
      <c r="E1984">
        <v>8518.2496699999992</v>
      </c>
      <c r="F1984">
        <v>10288.299999999999</v>
      </c>
      <c r="G1984">
        <v>22727.32</v>
      </c>
    </row>
    <row r="1985" spans="1:7" x14ac:dyDescent="0.35">
      <c r="A1985" s="1">
        <v>43082</v>
      </c>
      <c r="B1985">
        <v>3581.75</v>
      </c>
      <c r="C1985">
        <v>5399.45</v>
      </c>
      <c r="D1985">
        <v>13125.64</v>
      </c>
      <c r="E1985">
        <v>8509.1729599999999</v>
      </c>
      <c r="F1985">
        <v>10260.5</v>
      </c>
      <c r="G1985">
        <v>22400.19</v>
      </c>
    </row>
    <row r="1986" spans="1:7" x14ac:dyDescent="0.35">
      <c r="A1986" s="1">
        <v>43083</v>
      </c>
      <c r="B1986">
        <v>3556.22</v>
      </c>
      <c r="C1986">
        <v>5357.14</v>
      </c>
      <c r="D1986">
        <v>13068.08</v>
      </c>
      <c r="E1986">
        <v>8486.2317399999993</v>
      </c>
      <c r="F1986">
        <v>10176.5</v>
      </c>
      <c r="G1986">
        <v>22191.74</v>
      </c>
    </row>
    <row r="1987" spans="1:7" x14ac:dyDescent="0.35">
      <c r="A1987" s="1">
        <v>43084</v>
      </c>
      <c r="B1987">
        <v>3560.53</v>
      </c>
      <c r="C1987">
        <v>5349.3</v>
      </c>
      <c r="D1987">
        <v>13103.56</v>
      </c>
      <c r="E1987">
        <v>8481.2480200000009</v>
      </c>
      <c r="F1987">
        <v>10150.4</v>
      </c>
      <c r="G1987">
        <v>22094.04</v>
      </c>
    </row>
    <row r="1988" spans="1:7" x14ac:dyDescent="0.35">
      <c r="A1988" s="1">
        <v>43087</v>
      </c>
      <c r="B1988">
        <v>3609.42</v>
      </c>
      <c r="C1988">
        <v>5420.58</v>
      </c>
      <c r="D1988">
        <v>13312.3</v>
      </c>
      <c r="E1988">
        <v>8561.7620800000004</v>
      </c>
      <c r="F1988">
        <v>10244.1</v>
      </c>
      <c r="G1988">
        <v>22390.53</v>
      </c>
    </row>
    <row r="1989" spans="1:7" x14ac:dyDescent="0.35">
      <c r="A1989" s="1">
        <v>43088</v>
      </c>
      <c r="B1989">
        <v>3582.22</v>
      </c>
      <c r="C1989">
        <v>5382.91</v>
      </c>
      <c r="D1989">
        <v>13215.79</v>
      </c>
      <c r="E1989">
        <v>8527.5194300000003</v>
      </c>
      <c r="F1989">
        <v>10234.299999999999</v>
      </c>
      <c r="G1989">
        <v>22274.97</v>
      </c>
    </row>
    <row r="1990" spans="1:7" x14ac:dyDescent="0.35">
      <c r="A1990" s="1">
        <v>43089</v>
      </c>
      <c r="B1990">
        <v>3552.65</v>
      </c>
      <c r="C1990">
        <v>5352.77</v>
      </c>
      <c r="D1990">
        <v>13069.17</v>
      </c>
      <c r="E1990">
        <v>8487.65236</v>
      </c>
      <c r="F1990">
        <v>10207.700000000001</v>
      </c>
      <c r="G1990">
        <v>22109.65</v>
      </c>
    </row>
    <row r="1991" spans="1:7" x14ac:dyDescent="0.35">
      <c r="A1991" s="1">
        <v>43090</v>
      </c>
      <c r="B1991">
        <v>3570.78</v>
      </c>
      <c r="C1991">
        <v>5385.97</v>
      </c>
      <c r="D1991">
        <v>13109.74</v>
      </c>
      <c r="E1991">
        <v>8566.9714000000004</v>
      </c>
      <c r="F1991">
        <v>10304.6</v>
      </c>
      <c r="G1991">
        <v>22240.25</v>
      </c>
    </row>
    <row r="1992" spans="1:7" x14ac:dyDescent="0.35">
      <c r="A1992" s="1">
        <v>43091</v>
      </c>
      <c r="B1992">
        <v>3553.39</v>
      </c>
      <c r="C1992">
        <v>5364.72</v>
      </c>
      <c r="D1992">
        <v>13072.79</v>
      </c>
      <c r="E1992">
        <v>8572.0894399999997</v>
      </c>
      <c r="F1992">
        <v>10182</v>
      </c>
      <c r="G1992">
        <v>22209.05</v>
      </c>
    </row>
    <row r="1993" spans="1:7" x14ac:dyDescent="0.35">
      <c r="A1993" s="1">
        <v>43096</v>
      </c>
      <c r="B1993">
        <v>3550.17</v>
      </c>
      <c r="C1993">
        <v>5368.84</v>
      </c>
      <c r="D1993">
        <v>13070.02</v>
      </c>
      <c r="E1993">
        <v>8580.7101999999995</v>
      </c>
      <c r="F1993">
        <v>10165.200000000001</v>
      </c>
      <c r="G1993">
        <v>22201.27</v>
      </c>
    </row>
    <row r="1994" spans="1:7" x14ac:dyDescent="0.35">
      <c r="A1994" s="1">
        <v>43097</v>
      </c>
      <c r="B1994">
        <v>3524.31</v>
      </c>
      <c r="C1994">
        <v>5339.42</v>
      </c>
      <c r="D1994">
        <v>12979.94</v>
      </c>
      <c r="E1994">
        <v>8576.2980200000002</v>
      </c>
      <c r="F1994">
        <v>10093.1</v>
      </c>
      <c r="G1994">
        <v>22120.95</v>
      </c>
    </row>
    <row r="1995" spans="1:7" x14ac:dyDescent="0.35">
      <c r="A1995" s="1">
        <v>43098</v>
      </c>
      <c r="B1995">
        <v>3503.96</v>
      </c>
      <c r="C1995">
        <v>5312.56</v>
      </c>
      <c r="D1995">
        <v>12917.64</v>
      </c>
      <c r="E1995">
        <v>8648.2616400000006</v>
      </c>
      <c r="F1995">
        <v>10043.9</v>
      </c>
      <c r="G1995">
        <v>21853.34</v>
      </c>
    </row>
    <row r="1996" spans="1:7" x14ac:dyDescent="0.35">
      <c r="A1996" s="1">
        <v>43102</v>
      </c>
      <c r="B1996">
        <v>3490.19</v>
      </c>
      <c r="C1996">
        <v>5288.6</v>
      </c>
      <c r="D1996">
        <v>12871.39</v>
      </c>
      <c r="E1996">
        <v>8625.3043099999995</v>
      </c>
      <c r="F1996">
        <v>10079.1</v>
      </c>
      <c r="G1996">
        <v>21845.16</v>
      </c>
    </row>
    <row r="1997" spans="1:7" x14ac:dyDescent="0.35">
      <c r="A1997" s="1">
        <v>43103</v>
      </c>
      <c r="B1997">
        <v>3509.88</v>
      </c>
      <c r="C1997">
        <v>5331.28</v>
      </c>
      <c r="D1997">
        <v>12978.21</v>
      </c>
      <c r="E1997">
        <v>8627.2082699999992</v>
      </c>
      <c r="F1997">
        <v>10116</v>
      </c>
      <c r="G1997">
        <v>21904.560000000001</v>
      </c>
    </row>
    <row r="1998" spans="1:7" x14ac:dyDescent="0.35">
      <c r="A1998" s="1">
        <v>43104</v>
      </c>
      <c r="B1998">
        <v>3568.88</v>
      </c>
      <c r="C1998">
        <v>5413.69</v>
      </c>
      <c r="D1998">
        <v>13167.89</v>
      </c>
      <c r="E1998">
        <v>8633.4070800000009</v>
      </c>
      <c r="F1998">
        <v>10314.4</v>
      </c>
      <c r="G1998">
        <v>22512.13</v>
      </c>
    </row>
    <row r="1999" spans="1:7" x14ac:dyDescent="0.35">
      <c r="A1999" s="1">
        <v>43105</v>
      </c>
      <c r="B1999">
        <v>3607.63</v>
      </c>
      <c r="C1999">
        <v>5470.75</v>
      </c>
      <c r="D1999">
        <v>13319.64</v>
      </c>
      <c r="E1999">
        <v>8696.8805599999996</v>
      </c>
      <c r="F1999">
        <v>10411.4</v>
      </c>
      <c r="G1999">
        <v>22762.29</v>
      </c>
    </row>
    <row r="2000" spans="1:7" x14ac:dyDescent="0.35">
      <c r="A2000" s="1">
        <v>43108</v>
      </c>
      <c r="B2000">
        <v>3616.45</v>
      </c>
      <c r="C2000">
        <v>5487.42</v>
      </c>
      <c r="D2000">
        <v>13367.78</v>
      </c>
      <c r="E2000">
        <v>8712.3876299999993</v>
      </c>
      <c r="F2000">
        <v>10398.4</v>
      </c>
      <c r="G2000">
        <v>22845.69</v>
      </c>
    </row>
    <row r="2001" spans="1:7" x14ac:dyDescent="0.35">
      <c r="A2001" s="1">
        <v>43109</v>
      </c>
      <c r="B2001">
        <v>3622.87</v>
      </c>
      <c r="C2001">
        <v>5523.94</v>
      </c>
      <c r="D2001">
        <v>13385.59</v>
      </c>
      <c r="E2001">
        <v>8772.5448799999995</v>
      </c>
      <c r="F2001">
        <v>10426.5</v>
      </c>
      <c r="G2001">
        <v>23004.98</v>
      </c>
    </row>
    <row r="2002" spans="1:7" x14ac:dyDescent="0.35">
      <c r="A2002" s="1">
        <v>43110</v>
      </c>
      <c r="B2002">
        <v>3609.83</v>
      </c>
      <c r="C2002">
        <v>5504.68</v>
      </c>
      <c r="D2002">
        <v>13281.34</v>
      </c>
      <c r="E2002">
        <v>8757.2416099999991</v>
      </c>
      <c r="F2002">
        <v>10428.299999999999</v>
      </c>
      <c r="G2002">
        <v>23157.42</v>
      </c>
    </row>
    <row r="2003" spans="1:7" x14ac:dyDescent="0.35">
      <c r="A2003" s="1">
        <v>43111</v>
      </c>
      <c r="B2003">
        <v>3595.24</v>
      </c>
      <c r="C2003">
        <v>5488.55</v>
      </c>
      <c r="D2003">
        <v>13202.9</v>
      </c>
      <c r="E2003">
        <v>8734.7584599999991</v>
      </c>
      <c r="F2003">
        <v>10435.200000000001</v>
      </c>
      <c r="G2003">
        <v>23305.26</v>
      </c>
    </row>
    <row r="2004" spans="1:7" x14ac:dyDescent="0.35">
      <c r="A2004" s="1">
        <v>43112</v>
      </c>
      <c r="B2004">
        <v>3612.61</v>
      </c>
      <c r="C2004">
        <v>5517.06</v>
      </c>
      <c r="D2004">
        <v>13245.03</v>
      </c>
      <c r="E2004">
        <v>8776.0494600000002</v>
      </c>
      <c r="F2004">
        <v>10462.4</v>
      </c>
      <c r="G2004">
        <v>23429.83</v>
      </c>
    </row>
    <row r="2005" spans="1:7" x14ac:dyDescent="0.35">
      <c r="A2005" s="1">
        <v>43115</v>
      </c>
      <c r="B2005">
        <v>3611.81</v>
      </c>
      <c r="C2005">
        <v>5509.69</v>
      </c>
      <c r="D2005">
        <v>13200.51</v>
      </c>
      <c r="E2005">
        <v>8743.52729</v>
      </c>
      <c r="F2005">
        <v>10467.200000000001</v>
      </c>
      <c r="G2005">
        <v>23543.55</v>
      </c>
    </row>
    <row r="2006" spans="1:7" x14ac:dyDescent="0.35">
      <c r="A2006" s="1">
        <v>43116</v>
      </c>
      <c r="B2006">
        <v>3622.01</v>
      </c>
      <c r="C2006">
        <v>5513.82</v>
      </c>
      <c r="D2006">
        <v>13246.33</v>
      </c>
      <c r="E2006">
        <v>8723.83763</v>
      </c>
      <c r="F2006">
        <v>10520.4</v>
      </c>
      <c r="G2006">
        <v>23495.279999999999</v>
      </c>
    </row>
    <row r="2007" spans="1:7" x14ac:dyDescent="0.35">
      <c r="A2007" s="1">
        <v>43117</v>
      </c>
      <c r="B2007">
        <v>3612.78</v>
      </c>
      <c r="C2007">
        <v>5493.99</v>
      </c>
      <c r="D2007">
        <v>13183.96</v>
      </c>
      <c r="E2007">
        <v>8733.0399500000003</v>
      </c>
      <c r="F2007">
        <v>10474.6</v>
      </c>
      <c r="G2007">
        <v>23514.67</v>
      </c>
    </row>
    <row r="2008" spans="1:7" x14ac:dyDescent="0.35">
      <c r="A2008" s="1">
        <v>43118</v>
      </c>
      <c r="B2008">
        <v>3620.91</v>
      </c>
      <c r="C2008">
        <v>5494.83</v>
      </c>
      <c r="D2008">
        <v>13281.43</v>
      </c>
      <c r="E2008">
        <v>8738.7539400000005</v>
      </c>
      <c r="F2008">
        <v>10432.700000000001</v>
      </c>
      <c r="G2008">
        <v>23630.81</v>
      </c>
    </row>
    <row r="2009" spans="1:7" x14ac:dyDescent="0.35">
      <c r="A2009" s="1">
        <v>43119</v>
      </c>
      <c r="B2009">
        <v>3649.07</v>
      </c>
      <c r="C2009">
        <v>5526.51</v>
      </c>
      <c r="D2009">
        <v>13434.45</v>
      </c>
      <c r="E2009">
        <v>8758.9920199999997</v>
      </c>
      <c r="F2009">
        <v>10479.5</v>
      </c>
      <c r="G2009">
        <v>23749.22</v>
      </c>
    </row>
    <row r="2010" spans="1:7" x14ac:dyDescent="0.35">
      <c r="A2010" s="1">
        <v>43122</v>
      </c>
      <c r="B2010">
        <v>3665.28</v>
      </c>
      <c r="C2010">
        <v>5541.99</v>
      </c>
      <c r="D2010">
        <v>13463.69</v>
      </c>
      <c r="E2010">
        <v>8795.5007800000003</v>
      </c>
      <c r="F2010">
        <v>10584</v>
      </c>
      <c r="G2010">
        <v>23890.18</v>
      </c>
    </row>
    <row r="2011" spans="1:7" x14ac:dyDescent="0.35">
      <c r="A2011" s="1">
        <v>43123</v>
      </c>
      <c r="B2011">
        <v>3672.29</v>
      </c>
      <c r="C2011">
        <v>5535.26</v>
      </c>
      <c r="D2011">
        <v>13559.6</v>
      </c>
      <c r="E2011">
        <v>8801.5677199999991</v>
      </c>
      <c r="F2011">
        <v>10609.5</v>
      </c>
      <c r="G2011">
        <v>23836.6</v>
      </c>
    </row>
    <row r="2012" spans="1:7" x14ac:dyDescent="0.35">
      <c r="A2012" s="1">
        <v>43124</v>
      </c>
      <c r="B2012">
        <v>3643.22</v>
      </c>
      <c r="C2012">
        <v>5495.16</v>
      </c>
      <c r="D2012">
        <v>13414.74</v>
      </c>
      <c r="E2012">
        <v>8755.5268599999999</v>
      </c>
      <c r="F2012">
        <v>10563</v>
      </c>
      <c r="G2012">
        <v>23622.62</v>
      </c>
    </row>
    <row r="2013" spans="1:7" x14ac:dyDescent="0.35">
      <c r="A2013" s="1">
        <v>43125</v>
      </c>
      <c r="B2013">
        <v>3630.15</v>
      </c>
      <c r="C2013">
        <v>5481.21</v>
      </c>
      <c r="D2013">
        <v>13298.36</v>
      </c>
      <c r="E2013">
        <v>8691.2756200000003</v>
      </c>
      <c r="F2013">
        <v>10595.3</v>
      </c>
      <c r="G2013">
        <v>23719.81</v>
      </c>
    </row>
    <row r="2014" spans="1:7" x14ac:dyDescent="0.35">
      <c r="A2014" s="1">
        <v>43126</v>
      </c>
      <c r="B2014">
        <v>3647.41</v>
      </c>
      <c r="C2014">
        <v>5529.15</v>
      </c>
      <c r="D2014">
        <v>13340.17</v>
      </c>
      <c r="E2014">
        <v>8745.8271299999997</v>
      </c>
      <c r="F2014">
        <v>10595.4</v>
      </c>
      <c r="G2014">
        <v>23856.99</v>
      </c>
    </row>
    <row r="2015" spans="1:7" x14ac:dyDescent="0.35">
      <c r="A2015" s="1">
        <v>43129</v>
      </c>
      <c r="B2015">
        <v>3643.04</v>
      </c>
      <c r="C2015">
        <v>5521.59</v>
      </c>
      <c r="D2015">
        <v>13324.48</v>
      </c>
      <c r="E2015">
        <v>8724.4121500000001</v>
      </c>
      <c r="F2015">
        <v>10555.6</v>
      </c>
      <c r="G2015">
        <v>23801.55</v>
      </c>
    </row>
    <row r="2016" spans="1:7" x14ac:dyDescent="0.35">
      <c r="A2016" s="1">
        <v>43130</v>
      </c>
      <c r="B2016">
        <v>3606.75</v>
      </c>
      <c r="C2016">
        <v>5473.78</v>
      </c>
      <c r="D2016">
        <v>13197.71</v>
      </c>
      <c r="E2016">
        <v>8650.3950600000007</v>
      </c>
      <c r="F2016">
        <v>10428.200000000001</v>
      </c>
      <c r="G2016">
        <v>23480.92</v>
      </c>
    </row>
    <row r="2017" spans="1:7" x14ac:dyDescent="0.35">
      <c r="A2017" s="1">
        <v>43131</v>
      </c>
      <c r="B2017">
        <v>3609.29</v>
      </c>
      <c r="C2017">
        <v>5481.93</v>
      </c>
      <c r="D2017">
        <v>13189.48</v>
      </c>
      <c r="E2017">
        <v>8606.9974399999992</v>
      </c>
      <c r="F2017">
        <v>10451.5</v>
      </c>
      <c r="G2017">
        <v>23507.06</v>
      </c>
    </row>
    <row r="2018" spans="1:7" x14ac:dyDescent="0.35">
      <c r="A2018" s="1">
        <v>43132</v>
      </c>
      <c r="B2018">
        <v>3577.35</v>
      </c>
      <c r="C2018">
        <v>5454.55</v>
      </c>
      <c r="D2018">
        <v>13003.9</v>
      </c>
      <c r="E2018">
        <v>8542.0097800000003</v>
      </c>
      <c r="F2018">
        <v>10399</v>
      </c>
      <c r="G2018">
        <v>23541.46</v>
      </c>
    </row>
    <row r="2019" spans="1:7" x14ac:dyDescent="0.35">
      <c r="A2019" s="1">
        <v>43133</v>
      </c>
      <c r="B2019">
        <v>3523.28</v>
      </c>
      <c r="C2019">
        <v>5364.98</v>
      </c>
      <c r="D2019">
        <v>12785.16</v>
      </c>
      <c r="E2019">
        <v>8450.4928299999992</v>
      </c>
      <c r="F2019">
        <v>10211.200000000001</v>
      </c>
      <c r="G2019">
        <v>23202.66</v>
      </c>
    </row>
    <row r="2020" spans="1:7" x14ac:dyDescent="0.35">
      <c r="A2020" s="1">
        <v>43136</v>
      </c>
      <c r="B2020">
        <v>3478.77</v>
      </c>
      <c r="C2020">
        <v>5285.83</v>
      </c>
      <c r="D2020">
        <v>12687.49</v>
      </c>
      <c r="E2020">
        <v>8280.9911800000009</v>
      </c>
      <c r="F2020">
        <v>10064.5</v>
      </c>
      <c r="G2020">
        <v>22821.63</v>
      </c>
    </row>
    <row r="2021" spans="1:7" x14ac:dyDescent="0.35">
      <c r="A2021" s="1">
        <v>43137</v>
      </c>
      <c r="B2021">
        <v>3394.92</v>
      </c>
      <c r="C2021">
        <v>5161.8100000000004</v>
      </c>
      <c r="D2021">
        <v>12392.66</v>
      </c>
      <c r="E2021">
        <v>8043.9447799999998</v>
      </c>
      <c r="F2021">
        <v>9810</v>
      </c>
      <c r="G2021">
        <v>22347.01</v>
      </c>
    </row>
    <row r="2022" spans="1:7" x14ac:dyDescent="0.35">
      <c r="A2022" s="1">
        <v>43138</v>
      </c>
      <c r="B2022">
        <v>3454.52</v>
      </c>
      <c r="C2022">
        <v>5255.9</v>
      </c>
      <c r="D2022">
        <v>12590.43</v>
      </c>
      <c r="E2022">
        <v>8231.0246999999999</v>
      </c>
      <c r="F2022">
        <v>9976.9</v>
      </c>
      <c r="G2022">
        <v>22986.18</v>
      </c>
    </row>
    <row r="2023" spans="1:7" x14ac:dyDescent="0.35">
      <c r="A2023" s="1">
        <v>43139</v>
      </c>
      <c r="B2023">
        <v>3377.3</v>
      </c>
      <c r="C2023">
        <v>5151.68</v>
      </c>
      <c r="D2023">
        <v>12260.29</v>
      </c>
      <c r="E2023">
        <v>8137.1234000000004</v>
      </c>
      <c r="F2023">
        <v>9756.2999999999993</v>
      </c>
      <c r="G2023">
        <v>22466.6</v>
      </c>
    </row>
    <row r="2024" spans="1:7" x14ac:dyDescent="0.35">
      <c r="A2024" s="1">
        <v>43140</v>
      </c>
      <c r="B2024">
        <v>3325.99</v>
      </c>
      <c r="C2024">
        <v>5079.21</v>
      </c>
      <c r="D2024">
        <v>12107.48</v>
      </c>
      <c r="E2024">
        <v>8005.25954</v>
      </c>
      <c r="F2024">
        <v>9639.6</v>
      </c>
      <c r="G2024">
        <v>22166.75</v>
      </c>
    </row>
    <row r="2025" spans="1:7" x14ac:dyDescent="0.35">
      <c r="A2025" s="1">
        <v>43143</v>
      </c>
      <c r="B2025">
        <v>3368.25</v>
      </c>
      <c r="C2025">
        <v>5140.0600000000004</v>
      </c>
      <c r="D2025">
        <v>12282.77</v>
      </c>
      <c r="E2025">
        <v>8078.6507600000004</v>
      </c>
      <c r="F2025">
        <v>9771.1</v>
      </c>
      <c r="G2025">
        <v>22336.78</v>
      </c>
    </row>
    <row r="2026" spans="1:7" x14ac:dyDescent="0.35">
      <c r="A2026" s="1">
        <v>43144</v>
      </c>
      <c r="B2026">
        <v>3340.93</v>
      </c>
      <c r="C2026">
        <v>5109.24</v>
      </c>
      <c r="D2026">
        <v>12196.5</v>
      </c>
      <c r="E2026">
        <v>8045.9505099999997</v>
      </c>
      <c r="F2026">
        <v>9650.7000000000007</v>
      </c>
      <c r="G2026">
        <v>22034.42</v>
      </c>
    </row>
    <row r="2027" spans="1:7" x14ac:dyDescent="0.35">
      <c r="A2027" s="1">
        <v>43145</v>
      </c>
      <c r="B2027">
        <v>3369.83</v>
      </c>
      <c r="C2027">
        <v>5165.26</v>
      </c>
      <c r="D2027">
        <v>12339.16</v>
      </c>
      <c r="E2027">
        <v>8119.6375200000002</v>
      </c>
      <c r="F2027">
        <v>9686.2000000000007</v>
      </c>
      <c r="G2027">
        <v>22433.75</v>
      </c>
    </row>
    <row r="2028" spans="1:7" x14ac:dyDescent="0.35">
      <c r="A2028" s="1">
        <v>43146</v>
      </c>
      <c r="B2028">
        <v>3389.63</v>
      </c>
      <c r="C2028">
        <v>5222.5200000000004</v>
      </c>
      <c r="D2028">
        <v>12346.17</v>
      </c>
      <c r="E2028">
        <v>8147.8625099999999</v>
      </c>
      <c r="F2028">
        <v>9714.9</v>
      </c>
      <c r="G2028">
        <v>22495.64</v>
      </c>
    </row>
    <row r="2029" spans="1:7" x14ac:dyDescent="0.35">
      <c r="A2029" s="1">
        <v>43147</v>
      </c>
      <c r="B2029">
        <v>3426.8</v>
      </c>
      <c r="C2029">
        <v>5281.58</v>
      </c>
      <c r="D2029">
        <v>12451.96</v>
      </c>
      <c r="E2029">
        <v>8234.6087000000007</v>
      </c>
      <c r="F2029">
        <v>9832.1</v>
      </c>
      <c r="G2029">
        <v>22797.88</v>
      </c>
    </row>
    <row r="2030" spans="1:7" x14ac:dyDescent="0.35">
      <c r="A2030" s="1">
        <v>43150</v>
      </c>
      <c r="B2030">
        <v>3407.79</v>
      </c>
      <c r="C2030">
        <v>5256.18</v>
      </c>
      <c r="D2030">
        <v>12385.6</v>
      </c>
      <c r="E2030">
        <v>8182.4464099999996</v>
      </c>
      <c r="F2030">
        <v>9806.2000000000007</v>
      </c>
      <c r="G2030">
        <v>22568.92</v>
      </c>
    </row>
    <row r="2031" spans="1:7" x14ac:dyDescent="0.35">
      <c r="A2031" s="1">
        <v>43151</v>
      </c>
      <c r="B2031">
        <v>3435.08</v>
      </c>
      <c r="C2031">
        <v>5289.86</v>
      </c>
      <c r="D2031">
        <v>12487.9</v>
      </c>
      <c r="E2031">
        <v>8220.7161599999999</v>
      </c>
      <c r="F2031">
        <v>9895.2999999999993</v>
      </c>
      <c r="G2031">
        <v>22673.56</v>
      </c>
    </row>
    <row r="2032" spans="1:7" x14ac:dyDescent="0.35">
      <c r="A2032" s="1">
        <v>43152</v>
      </c>
      <c r="B2032">
        <v>3430.16</v>
      </c>
      <c r="C2032">
        <v>5302.17</v>
      </c>
      <c r="D2032">
        <v>12470.49</v>
      </c>
      <c r="E2032">
        <v>8250.3194800000001</v>
      </c>
      <c r="F2032">
        <v>9823.2999999999993</v>
      </c>
      <c r="G2032">
        <v>22653.01</v>
      </c>
    </row>
    <row r="2033" spans="1:7" x14ac:dyDescent="0.35">
      <c r="A2033" s="1">
        <v>43153</v>
      </c>
      <c r="B2033">
        <v>3431.99</v>
      </c>
      <c r="C2033">
        <v>5309.23</v>
      </c>
      <c r="D2033">
        <v>12461.91</v>
      </c>
      <c r="E2033">
        <v>8207.1469199999992</v>
      </c>
      <c r="F2033">
        <v>9876.5</v>
      </c>
      <c r="G2033">
        <v>22463.51</v>
      </c>
    </row>
    <row r="2034" spans="1:7" x14ac:dyDescent="0.35">
      <c r="A2034" s="1">
        <v>43154</v>
      </c>
      <c r="B2034">
        <v>3441.46</v>
      </c>
      <c r="C2034">
        <v>5317.37</v>
      </c>
      <c r="D2034">
        <v>12483.79</v>
      </c>
      <c r="E2034">
        <v>8231.0532000000003</v>
      </c>
      <c r="F2034">
        <v>9822.4</v>
      </c>
      <c r="G2034">
        <v>22672.15</v>
      </c>
    </row>
    <row r="2035" spans="1:7" x14ac:dyDescent="0.35">
      <c r="A2035" s="1">
        <v>43157</v>
      </c>
      <c r="B2035">
        <v>3463.18</v>
      </c>
      <c r="C2035">
        <v>5344.26</v>
      </c>
      <c r="D2035">
        <v>12527.04</v>
      </c>
      <c r="E2035">
        <v>8271.5529999999999</v>
      </c>
      <c r="F2035">
        <v>9902.4</v>
      </c>
      <c r="G2035">
        <v>22706.21</v>
      </c>
    </row>
    <row r="2036" spans="1:7" x14ac:dyDescent="0.35">
      <c r="A2036" s="1">
        <v>43158</v>
      </c>
      <c r="B2036">
        <v>3458.03</v>
      </c>
      <c r="C2036">
        <v>5343.93</v>
      </c>
      <c r="D2036">
        <v>12490.73</v>
      </c>
      <c r="E2036">
        <v>8278.9707500000004</v>
      </c>
      <c r="F2036">
        <v>9900.2000000000007</v>
      </c>
      <c r="G2036">
        <v>22724.46</v>
      </c>
    </row>
    <row r="2037" spans="1:7" x14ac:dyDescent="0.35">
      <c r="A2037" s="1">
        <v>43159</v>
      </c>
      <c r="B2037">
        <v>3438.96</v>
      </c>
      <c r="C2037">
        <v>5320.49</v>
      </c>
      <c r="D2037">
        <v>12435.85</v>
      </c>
      <c r="E2037">
        <v>8165.4418299999998</v>
      </c>
      <c r="F2037">
        <v>9840.2999999999993</v>
      </c>
      <c r="G2037">
        <v>22607.61</v>
      </c>
    </row>
    <row r="2038" spans="1:7" x14ac:dyDescent="0.35">
      <c r="A2038" s="1">
        <v>43160</v>
      </c>
      <c r="B2038">
        <v>3399.16</v>
      </c>
      <c r="C2038">
        <v>5262.56</v>
      </c>
      <c r="D2038">
        <v>12190.94</v>
      </c>
      <c r="E2038">
        <v>8070.5384400000003</v>
      </c>
      <c r="F2038">
        <v>9738.6</v>
      </c>
      <c r="G2038">
        <v>22448.38</v>
      </c>
    </row>
    <row r="2039" spans="1:7" x14ac:dyDescent="0.35">
      <c r="A2039" s="1">
        <v>43161</v>
      </c>
      <c r="B2039">
        <v>3324.75</v>
      </c>
      <c r="C2039">
        <v>5136.58</v>
      </c>
      <c r="D2039">
        <v>11913.71</v>
      </c>
      <c r="E2039">
        <v>7908.2734600000003</v>
      </c>
      <c r="F2039">
        <v>9531.1</v>
      </c>
      <c r="G2039">
        <v>21912.14</v>
      </c>
    </row>
    <row r="2040" spans="1:7" x14ac:dyDescent="0.35">
      <c r="A2040" s="1">
        <v>43164</v>
      </c>
      <c r="B2040">
        <v>3355.32</v>
      </c>
      <c r="C2040">
        <v>5167.2299999999996</v>
      </c>
      <c r="D2040">
        <v>12090.87</v>
      </c>
      <c r="E2040">
        <v>7988.3135300000004</v>
      </c>
      <c r="F2040">
        <v>9590.7999999999993</v>
      </c>
      <c r="G2040">
        <v>21819.91</v>
      </c>
    </row>
    <row r="2041" spans="1:7" x14ac:dyDescent="0.35">
      <c r="A2041" s="1">
        <v>43165</v>
      </c>
      <c r="B2041">
        <v>3357.86</v>
      </c>
      <c r="C2041">
        <v>5170.2299999999996</v>
      </c>
      <c r="D2041">
        <v>12113.87</v>
      </c>
      <c r="E2041">
        <v>8003.6910600000001</v>
      </c>
      <c r="F2041">
        <v>9586.7999999999993</v>
      </c>
      <c r="G2041">
        <v>22202.5</v>
      </c>
    </row>
    <row r="2042" spans="1:7" x14ac:dyDescent="0.35">
      <c r="A2042" s="1">
        <v>43166</v>
      </c>
      <c r="B2042">
        <v>3377.36</v>
      </c>
      <c r="C2042">
        <v>5187.83</v>
      </c>
      <c r="D2042">
        <v>12245.36</v>
      </c>
      <c r="E2042">
        <v>8015.5571399999999</v>
      </c>
      <c r="F2042">
        <v>9599.2999999999993</v>
      </c>
      <c r="G2042">
        <v>22473.47</v>
      </c>
    </row>
    <row r="2043" spans="1:7" x14ac:dyDescent="0.35">
      <c r="A2043" s="1">
        <v>43167</v>
      </c>
      <c r="B2043">
        <v>3413.28</v>
      </c>
      <c r="C2043">
        <v>5254.1</v>
      </c>
      <c r="D2043">
        <v>12355.57</v>
      </c>
      <c r="E2043">
        <v>8077.9901499999996</v>
      </c>
      <c r="F2043">
        <v>9646.2000000000007</v>
      </c>
      <c r="G2043">
        <v>22731.1</v>
      </c>
    </row>
    <row r="2044" spans="1:7" x14ac:dyDescent="0.35">
      <c r="A2044" s="1">
        <v>43168</v>
      </c>
      <c r="B2044">
        <v>3420.54</v>
      </c>
      <c r="C2044">
        <v>5274.4</v>
      </c>
      <c r="D2044">
        <v>12346.68</v>
      </c>
      <c r="E2044">
        <v>8124.2013699999998</v>
      </c>
      <c r="F2044">
        <v>9686.1</v>
      </c>
      <c r="G2044">
        <v>22745.599999999999</v>
      </c>
    </row>
    <row r="2045" spans="1:7" x14ac:dyDescent="0.35">
      <c r="A2045" s="1">
        <v>43171</v>
      </c>
      <c r="B2045">
        <v>3429.48</v>
      </c>
      <c r="C2045">
        <v>5276.71</v>
      </c>
      <c r="D2045">
        <v>12418.39</v>
      </c>
      <c r="E2045">
        <v>8134.0874400000002</v>
      </c>
      <c r="F2045">
        <v>9727.5</v>
      </c>
      <c r="G2045">
        <v>22764.91</v>
      </c>
    </row>
    <row r="2046" spans="1:7" x14ac:dyDescent="0.35">
      <c r="A2046" s="1">
        <v>43172</v>
      </c>
      <c r="B2046">
        <v>3397.35</v>
      </c>
      <c r="C2046">
        <v>5242.79</v>
      </c>
      <c r="D2046">
        <v>12221.03</v>
      </c>
      <c r="E2046">
        <v>8049.0594300000002</v>
      </c>
      <c r="F2046">
        <v>9691.7000000000007</v>
      </c>
      <c r="G2046">
        <v>22690.98</v>
      </c>
    </row>
    <row r="2047" spans="1:7" x14ac:dyDescent="0.35">
      <c r="A2047" s="1">
        <v>43173</v>
      </c>
      <c r="B2047">
        <v>3390.98</v>
      </c>
      <c r="C2047">
        <v>5233.3599999999997</v>
      </c>
      <c r="D2047">
        <v>12237.74</v>
      </c>
      <c r="E2047">
        <v>8054.32</v>
      </c>
      <c r="F2047">
        <v>9688.5</v>
      </c>
      <c r="G2047">
        <v>22452.34</v>
      </c>
    </row>
    <row r="2048" spans="1:7" x14ac:dyDescent="0.35">
      <c r="A2048" s="1">
        <v>43174</v>
      </c>
      <c r="B2048">
        <v>3414.13</v>
      </c>
      <c r="C2048">
        <v>5267.26</v>
      </c>
      <c r="D2048">
        <v>12345.56</v>
      </c>
      <c r="E2048">
        <v>8083.2386200000001</v>
      </c>
      <c r="F2048">
        <v>9684.2000000000007</v>
      </c>
      <c r="G2048">
        <v>22713.47</v>
      </c>
    </row>
    <row r="2049" spans="1:7" x14ac:dyDescent="0.35">
      <c r="A2049" s="1">
        <v>43175</v>
      </c>
      <c r="B2049">
        <v>3437.4</v>
      </c>
      <c r="C2049">
        <v>5282.75</v>
      </c>
      <c r="D2049">
        <v>12389.58</v>
      </c>
      <c r="E2049">
        <v>8125.4604399999998</v>
      </c>
      <c r="F2049">
        <v>9761</v>
      </c>
      <c r="G2049">
        <v>22857.69</v>
      </c>
    </row>
    <row r="2050" spans="1:7" x14ac:dyDescent="0.35">
      <c r="A2050" s="1">
        <v>43178</v>
      </c>
      <c r="B2050">
        <v>3394.79</v>
      </c>
      <c r="C2050">
        <v>5222.84</v>
      </c>
      <c r="D2050">
        <v>12217.02</v>
      </c>
      <c r="E2050">
        <v>8011.9888000000001</v>
      </c>
      <c r="F2050">
        <v>9664.1</v>
      </c>
      <c r="G2050">
        <v>22633.1</v>
      </c>
    </row>
    <row r="2051" spans="1:7" x14ac:dyDescent="0.35">
      <c r="A2051" s="1">
        <v>43179</v>
      </c>
      <c r="B2051">
        <v>3412.08</v>
      </c>
      <c r="C2051">
        <v>5252.43</v>
      </c>
      <c r="D2051">
        <v>12307.33</v>
      </c>
      <c r="E2051">
        <v>8066.7321899999997</v>
      </c>
      <c r="F2051">
        <v>9681.6</v>
      </c>
      <c r="G2051">
        <v>22798.15</v>
      </c>
    </row>
    <row r="2052" spans="1:7" x14ac:dyDescent="0.35">
      <c r="A2052" s="1">
        <v>43180</v>
      </c>
      <c r="B2052">
        <v>3401.04</v>
      </c>
      <c r="C2052">
        <v>5239.74</v>
      </c>
      <c r="D2052">
        <v>12309.15</v>
      </c>
      <c r="E2052">
        <v>8070.7408500000001</v>
      </c>
      <c r="F2052">
        <v>9630.9</v>
      </c>
      <c r="G2052">
        <v>22820.12</v>
      </c>
    </row>
    <row r="2053" spans="1:7" x14ac:dyDescent="0.35">
      <c r="A2053" s="1">
        <v>43181</v>
      </c>
      <c r="B2053">
        <v>3348.19</v>
      </c>
      <c r="C2053">
        <v>5167.21</v>
      </c>
      <c r="D2053">
        <v>12100.08</v>
      </c>
      <c r="E2053">
        <v>7970.3592099999996</v>
      </c>
      <c r="F2053">
        <v>9487.4</v>
      </c>
      <c r="G2053">
        <v>22397.84</v>
      </c>
    </row>
    <row r="2054" spans="1:7" x14ac:dyDescent="0.35">
      <c r="A2054" s="1">
        <v>43182</v>
      </c>
      <c r="B2054">
        <v>3298.07</v>
      </c>
      <c r="C2054">
        <v>5095.22</v>
      </c>
      <c r="D2054">
        <v>11886.31</v>
      </c>
      <c r="E2054">
        <v>7923.6671200000001</v>
      </c>
      <c r="F2054">
        <v>9393.1</v>
      </c>
      <c r="G2054">
        <v>22289.1</v>
      </c>
    </row>
    <row r="2055" spans="1:7" x14ac:dyDescent="0.35">
      <c r="A2055" s="1">
        <v>43185</v>
      </c>
      <c r="B2055">
        <v>3278.72</v>
      </c>
      <c r="C2055">
        <v>5066.28</v>
      </c>
      <c r="D2055">
        <v>11787.26</v>
      </c>
      <c r="E2055">
        <v>7872.9467400000003</v>
      </c>
      <c r="F2055">
        <v>9381</v>
      </c>
      <c r="G2055">
        <v>22011.759999999998</v>
      </c>
    </row>
    <row r="2056" spans="1:7" x14ac:dyDescent="0.35">
      <c r="A2056" s="1">
        <v>43186</v>
      </c>
      <c r="B2056">
        <v>3316.95</v>
      </c>
      <c r="C2056">
        <v>5115.74</v>
      </c>
      <c r="D2056">
        <v>11970.83</v>
      </c>
      <c r="E2056">
        <v>7989.7682999999997</v>
      </c>
      <c r="F2056">
        <v>9473.6</v>
      </c>
      <c r="G2056">
        <v>22209.75</v>
      </c>
    </row>
    <row r="2057" spans="1:7" x14ac:dyDescent="0.35">
      <c r="A2057" s="1">
        <v>43187</v>
      </c>
      <c r="B2057">
        <v>3331.25</v>
      </c>
      <c r="C2057">
        <v>5130.4399999999996</v>
      </c>
      <c r="D2057">
        <v>11940.71</v>
      </c>
      <c r="E2057">
        <v>8049.0120200000001</v>
      </c>
      <c r="F2057">
        <v>9555</v>
      </c>
      <c r="G2057">
        <v>22331.360000000001</v>
      </c>
    </row>
    <row r="2058" spans="1:7" x14ac:dyDescent="0.35">
      <c r="A2058" s="1">
        <v>43188</v>
      </c>
      <c r="B2058">
        <v>3361.5</v>
      </c>
      <c r="C2058">
        <v>5167.3</v>
      </c>
      <c r="D2058">
        <v>12096.73</v>
      </c>
      <c r="E2058">
        <v>8047.5553099999997</v>
      </c>
      <c r="F2058">
        <v>9600.4</v>
      </c>
      <c r="G2058">
        <v>22411.15</v>
      </c>
    </row>
    <row r="2059" spans="1:7" x14ac:dyDescent="0.35">
      <c r="A2059" s="1">
        <v>43193</v>
      </c>
      <c r="B2059">
        <v>3346.93</v>
      </c>
      <c r="C2059">
        <v>5152.12</v>
      </c>
      <c r="D2059">
        <v>12002.45</v>
      </c>
      <c r="E2059">
        <v>8055.77124</v>
      </c>
      <c r="F2059">
        <v>9549.6</v>
      </c>
      <c r="G2059">
        <v>22510.33</v>
      </c>
    </row>
    <row r="2060" spans="1:7" x14ac:dyDescent="0.35">
      <c r="A2060" s="1">
        <v>43194</v>
      </c>
      <c r="B2060">
        <v>3340.35</v>
      </c>
      <c r="C2060">
        <v>5141.8</v>
      </c>
      <c r="D2060">
        <v>11957.9</v>
      </c>
      <c r="E2060">
        <v>8057.0138900000002</v>
      </c>
      <c r="F2060">
        <v>9513.2999999999993</v>
      </c>
      <c r="G2060">
        <v>22442.78</v>
      </c>
    </row>
    <row r="2061" spans="1:7" x14ac:dyDescent="0.35">
      <c r="A2061" s="1">
        <v>43195</v>
      </c>
      <c r="B2061">
        <v>3429.95</v>
      </c>
      <c r="C2061">
        <v>5276.67</v>
      </c>
      <c r="D2061">
        <v>12305.19</v>
      </c>
      <c r="E2061">
        <v>8230.3535499999998</v>
      </c>
      <c r="F2061">
        <v>9740.9</v>
      </c>
      <c r="G2061">
        <v>22969.5</v>
      </c>
    </row>
    <row r="2062" spans="1:7" x14ac:dyDescent="0.35">
      <c r="A2062" s="1">
        <v>43196</v>
      </c>
      <c r="B2062">
        <v>3408.1</v>
      </c>
      <c r="C2062">
        <v>5258.24</v>
      </c>
      <c r="D2062">
        <v>12241.27</v>
      </c>
      <c r="E2062">
        <v>8242.2262499999997</v>
      </c>
      <c r="F2062">
        <v>9682.7999999999993</v>
      </c>
      <c r="G2062">
        <v>22929.87</v>
      </c>
    </row>
    <row r="2063" spans="1:7" x14ac:dyDescent="0.35">
      <c r="A2063" s="1">
        <v>43199</v>
      </c>
      <c r="B2063">
        <v>3414.85</v>
      </c>
      <c r="C2063">
        <v>5263.39</v>
      </c>
      <c r="D2063">
        <v>12261.75</v>
      </c>
      <c r="E2063">
        <v>8256.0311099999999</v>
      </c>
      <c r="F2063">
        <v>9742.7999999999993</v>
      </c>
      <c r="G2063">
        <v>23053.99</v>
      </c>
    </row>
    <row r="2064" spans="1:7" x14ac:dyDescent="0.35">
      <c r="A2064" s="1">
        <v>43200</v>
      </c>
      <c r="B2064">
        <v>3438.78</v>
      </c>
      <c r="C2064">
        <v>5307.56</v>
      </c>
      <c r="D2064">
        <v>12397.32</v>
      </c>
      <c r="E2064">
        <v>8330.2630100000006</v>
      </c>
      <c r="F2064">
        <v>9763.5</v>
      </c>
      <c r="G2064">
        <v>23173.68</v>
      </c>
    </row>
    <row r="2065" spans="1:7" x14ac:dyDescent="0.35">
      <c r="A2065" s="1">
        <v>43201</v>
      </c>
      <c r="B2065">
        <v>3419.71</v>
      </c>
      <c r="C2065">
        <v>5277.94</v>
      </c>
      <c r="D2065">
        <v>12293.97</v>
      </c>
      <c r="E2065">
        <v>8313.3104399999993</v>
      </c>
      <c r="F2065">
        <v>9735.7999999999993</v>
      </c>
      <c r="G2065">
        <v>23012.86</v>
      </c>
    </row>
    <row r="2066" spans="1:7" x14ac:dyDescent="0.35">
      <c r="A2066" s="1">
        <v>43202</v>
      </c>
      <c r="B2066">
        <v>3443.97</v>
      </c>
      <c r="C2066">
        <v>5309.22</v>
      </c>
      <c r="D2066">
        <v>12415.01</v>
      </c>
      <c r="E2066">
        <v>8372.3368900000005</v>
      </c>
      <c r="F2066">
        <v>9747</v>
      </c>
      <c r="G2066">
        <v>23304.880000000001</v>
      </c>
    </row>
    <row r="2067" spans="1:7" x14ac:dyDescent="0.35">
      <c r="A2067" s="1">
        <v>43203</v>
      </c>
      <c r="B2067">
        <v>3448</v>
      </c>
      <c r="C2067">
        <v>5315.02</v>
      </c>
      <c r="D2067">
        <v>12442.4</v>
      </c>
      <c r="E2067">
        <v>8387.6178899999995</v>
      </c>
      <c r="F2067">
        <v>9767.2999999999993</v>
      </c>
      <c r="G2067">
        <v>23330.32</v>
      </c>
    </row>
    <row r="2068" spans="1:7" x14ac:dyDescent="0.35">
      <c r="A2068" s="1">
        <v>43206</v>
      </c>
      <c r="B2068">
        <v>3441.04</v>
      </c>
      <c r="C2068">
        <v>5312.96</v>
      </c>
      <c r="D2068">
        <v>12391.41</v>
      </c>
      <c r="E2068">
        <v>8327.0786599999992</v>
      </c>
      <c r="F2068">
        <v>9766.1</v>
      </c>
      <c r="G2068">
        <v>23329.31</v>
      </c>
    </row>
    <row r="2069" spans="1:7" x14ac:dyDescent="0.35">
      <c r="A2069" s="1">
        <v>43207</v>
      </c>
      <c r="B2069">
        <v>3477.91</v>
      </c>
      <c r="C2069">
        <v>5353.54</v>
      </c>
      <c r="D2069">
        <v>12585.57</v>
      </c>
      <c r="E2069">
        <v>8356.6007599999994</v>
      </c>
      <c r="F2069">
        <v>9803.9</v>
      </c>
      <c r="G2069">
        <v>23649.040000000001</v>
      </c>
    </row>
    <row r="2070" spans="1:7" x14ac:dyDescent="0.35">
      <c r="A2070" s="1">
        <v>43208</v>
      </c>
      <c r="B2070">
        <v>3490.89</v>
      </c>
      <c r="C2070">
        <v>5380.17</v>
      </c>
      <c r="D2070">
        <v>12590.83</v>
      </c>
      <c r="E2070">
        <v>8394.5658399999993</v>
      </c>
      <c r="F2070">
        <v>9857.2999999999993</v>
      </c>
      <c r="G2070">
        <v>23759.88</v>
      </c>
    </row>
    <row r="2071" spans="1:7" x14ac:dyDescent="0.35">
      <c r="A2071" s="1">
        <v>43209</v>
      </c>
      <c r="B2071">
        <v>3486.6</v>
      </c>
      <c r="C2071">
        <v>5391.64</v>
      </c>
      <c r="D2071">
        <v>12567.42</v>
      </c>
      <c r="E2071">
        <v>8426.0317200000009</v>
      </c>
      <c r="F2071">
        <v>9868</v>
      </c>
      <c r="G2071">
        <v>23792.04</v>
      </c>
    </row>
    <row r="2072" spans="1:7" x14ac:dyDescent="0.35">
      <c r="A2072" s="1">
        <v>43210</v>
      </c>
      <c r="B2072">
        <v>3494.2</v>
      </c>
      <c r="C2072">
        <v>5412.83</v>
      </c>
      <c r="D2072">
        <v>12540.5</v>
      </c>
      <c r="E2072">
        <v>8410.7507800000003</v>
      </c>
      <c r="F2072">
        <v>9884.2000000000007</v>
      </c>
      <c r="G2072">
        <v>23829.34</v>
      </c>
    </row>
    <row r="2073" spans="1:7" x14ac:dyDescent="0.35">
      <c r="A2073" s="1">
        <v>43213</v>
      </c>
      <c r="B2073">
        <v>3513.06</v>
      </c>
      <c r="C2073">
        <v>5438.55</v>
      </c>
      <c r="D2073">
        <v>12572.39</v>
      </c>
      <c r="E2073">
        <v>8444.6916099999999</v>
      </c>
      <c r="F2073">
        <v>9922</v>
      </c>
      <c r="G2073">
        <v>23982.52</v>
      </c>
    </row>
    <row r="2074" spans="1:7" x14ac:dyDescent="0.35">
      <c r="A2074" s="1">
        <v>43214</v>
      </c>
      <c r="B2074">
        <v>3510.88</v>
      </c>
      <c r="C2074">
        <v>5444.16</v>
      </c>
      <c r="D2074">
        <v>12550.82</v>
      </c>
      <c r="E2074">
        <v>8478.4589300000007</v>
      </c>
      <c r="F2074">
        <v>9883.4</v>
      </c>
      <c r="G2074">
        <v>24035.49</v>
      </c>
    </row>
    <row r="2075" spans="1:7" x14ac:dyDescent="0.35">
      <c r="A2075" s="1">
        <v>43215</v>
      </c>
      <c r="B2075">
        <v>3485.83</v>
      </c>
      <c r="C2075">
        <v>5413.3</v>
      </c>
      <c r="D2075">
        <v>12422.3</v>
      </c>
      <c r="E2075">
        <v>8440.9488799999999</v>
      </c>
      <c r="F2075">
        <v>9858</v>
      </c>
      <c r="G2075">
        <v>23801.200000000001</v>
      </c>
    </row>
    <row r="2076" spans="1:7" x14ac:dyDescent="0.35">
      <c r="A2076" s="1">
        <v>43216</v>
      </c>
      <c r="B2076">
        <v>3506.03</v>
      </c>
      <c r="C2076">
        <v>5453.58</v>
      </c>
      <c r="D2076">
        <v>12500.47</v>
      </c>
      <c r="E2076">
        <v>8525.5253100000009</v>
      </c>
      <c r="F2076">
        <v>9902.2999999999993</v>
      </c>
      <c r="G2076">
        <v>24039.63</v>
      </c>
    </row>
    <row r="2077" spans="1:7" x14ac:dyDescent="0.35">
      <c r="A2077" s="1">
        <v>43217</v>
      </c>
      <c r="B2077">
        <v>3518.78</v>
      </c>
      <c r="C2077">
        <v>5483.19</v>
      </c>
      <c r="D2077">
        <v>12580.87</v>
      </c>
      <c r="E2077">
        <v>8534.2207199999993</v>
      </c>
      <c r="F2077">
        <v>9925.4</v>
      </c>
      <c r="G2077">
        <v>23927.61</v>
      </c>
    </row>
    <row r="2078" spans="1:7" x14ac:dyDescent="0.35">
      <c r="A2078" s="1">
        <v>43220</v>
      </c>
      <c r="B2078">
        <v>3536.52</v>
      </c>
      <c r="C2078">
        <v>5520.5</v>
      </c>
      <c r="D2078">
        <v>12612.11</v>
      </c>
      <c r="E2078">
        <v>8541.8985599999996</v>
      </c>
      <c r="F2078">
        <v>9980.6</v>
      </c>
      <c r="G2078">
        <v>23979.37</v>
      </c>
    </row>
    <row r="2079" spans="1:7" x14ac:dyDescent="0.35">
      <c r="A2079" s="1">
        <v>43222</v>
      </c>
      <c r="B2079">
        <v>3553.79</v>
      </c>
      <c r="C2079">
        <v>5529.22</v>
      </c>
      <c r="D2079">
        <v>12802.25</v>
      </c>
      <c r="E2079">
        <v>8573.1648000000005</v>
      </c>
      <c r="F2079">
        <v>10088.9</v>
      </c>
      <c r="G2079">
        <v>24265.61</v>
      </c>
    </row>
    <row r="2080" spans="1:7" x14ac:dyDescent="0.35">
      <c r="A2080" s="1">
        <v>43223</v>
      </c>
      <c r="B2080">
        <v>3529.12</v>
      </c>
      <c r="C2080">
        <v>5501.66</v>
      </c>
      <c r="D2080">
        <v>12690.15</v>
      </c>
      <c r="E2080">
        <v>8500.29493</v>
      </c>
      <c r="F2080">
        <v>10038.799999999999</v>
      </c>
      <c r="G2080">
        <v>24064.46</v>
      </c>
    </row>
    <row r="2081" spans="1:7" x14ac:dyDescent="0.35">
      <c r="A2081" s="1">
        <v>43224</v>
      </c>
      <c r="B2081">
        <v>3550.59</v>
      </c>
      <c r="C2081">
        <v>5516.05</v>
      </c>
      <c r="D2081">
        <v>12819.6</v>
      </c>
      <c r="E2081">
        <v>8568.4592900000007</v>
      </c>
      <c r="F2081">
        <v>10104.1</v>
      </c>
      <c r="G2081">
        <v>24335.02</v>
      </c>
    </row>
    <row r="2082" spans="1:7" x14ac:dyDescent="0.35">
      <c r="A2082" s="1">
        <v>43228</v>
      </c>
      <c r="B2082">
        <v>3557.88</v>
      </c>
      <c r="C2082">
        <v>5521.93</v>
      </c>
      <c r="D2082">
        <v>12912.21</v>
      </c>
      <c r="E2082">
        <v>8626.7381700000005</v>
      </c>
      <c r="F2082">
        <v>10168.1</v>
      </c>
      <c r="G2082">
        <v>24142.54</v>
      </c>
    </row>
    <row r="2083" spans="1:7" x14ac:dyDescent="0.35">
      <c r="A2083" s="1">
        <v>43229</v>
      </c>
      <c r="B2083">
        <v>3569.74</v>
      </c>
      <c r="C2083">
        <v>5534.63</v>
      </c>
      <c r="D2083">
        <v>12943.06</v>
      </c>
      <c r="E2083">
        <v>8763.2598999999991</v>
      </c>
      <c r="F2083">
        <v>10221.200000000001</v>
      </c>
      <c r="G2083">
        <v>24266.560000000001</v>
      </c>
    </row>
    <row r="2084" spans="1:7" x14ac:dyDescent="0.35">
      <c r="A2084" s="1">
        <v>43230</v>
      </c>
      <c r="B2084">
        <v>3569.71</v>
      </c>
      <c r="C2084">
        <v>5545.95</v>
      </c>
      <c r="D2084">
        <v>13022.87</v>
      </c>
      <c r="E2084">
        <v>8727.6797900000001</v>
      </c>
      <c r="F2084">
        <v>10246.6</v>
      </c>
      <c r="G2084">
        <v>24033.9</v>
      </c>
    </row>
    <row r="2085" spans="1:7" x14ac:dyDescent="0.35">
      <c r="A2085" s="1">
        <v>43231</v>
      </c>
      <c r="B2085">
        <v>3565.52</v>
      </c>
      <c r="C2085">
        <v>5541.94</v>
      </c>
      <c r="D2085">
        <v>13001.24</v>
      </c>
      <c r="E2085">
        <v>8754.2316100000007</v>
      </c>
      <c r="F2085">
        <v>10271.4</v>
      </c>
      <c r="G2085">
        <v>24159.34</v>
      </c>
    </row>
    <row r="2086" spans="1:7" x14ac:dyDescent="0.35">
      <c r="A2086" s="1">
        <v>43234</v>
      </c>
      <c r="B2086">
        <v>3565.74</v>
      </c>
      <c r="C2086">
        <v>5540.68</v>
      </c>
      <c r="D2086">
        <v>12977.71</v>
      </c>
      <c r="E2086">
        <v>8746.3220000000001</v>
      </c>
      <c r="F2086">
        <v>10257.799999999999</v>
      </c>
      <c r="G2086">
        <v>24221.47</v>
      </c>
    </row>
    <row r="2087" spans="1:7" x14ac:dyDescent="0.35">
      <c r="A2087" s="1">
        <v>43235</v>
      </c>
      <c r="B2087">
        <v>3564.29</v>
      </c>
      <c r="C2087">
        <v>5553.16</v>
      </c>
      <c r="D2087">
        <v>12970.04</v>
      </c>
      <c r="E2087">
        <v>8798.1833499999993</v>
      </c>
      <c r="F2087">
        <v>10207.6</v>
      </c>
      <c r="G2087">
        <v>24297.17</v>
      </c>
    </row>
    <row r="2088" spans="1:7" x14ac:dyDescent="0.35">
      <c r="A2088" s="1">
        <v>43236</v>
      </c>
      <c r="B2088">
        <v>3562.85</v>
      </c>
      <c r="C2088">
        <v>5567.54</v>
      </c>
      <c r="D2088">
        <v>12996.33</v>
      </c>
      <c r="E2088">
        <v>8837.4021499999999</v>
      </c>
      <c r="F2088">
        <v>10111</v>
      </c>
      <c r="G2088">
        <v>23734.22</v>
      </c>
    </row>
    <row r="2089" spans="1:7" x14ac:dyDescent="0.35">
      <c r="A2089" s="1">
        <v>43237</v>
      </c>
      <c r="B2089">
        <v>3592.18</v>
      </c>
      <c r="C2089">
        <v>5621.92</v>
      </c>
      <c r="D2089">
        <v>13114.61</v>
      </c>
      <c r="E2089">
        <v>8916.0876399999997</v>
      </c>
      <c r="F2089">
        <v>10216.4</v>
      </c>
      <c r="G2089">
        <v>23801.99</v>
      </c>
    </row>
    <row r="2090" spans="1:7" x14ac:dyDescent="0.35">
      <c r="A2090" s="1">
        <v>43238</v>
      </c>
      <c r="B2090">
        <v>3573.76</v>
      </c>
      <c r="C2090">
        <v>5614.51</v>
      </c>
      <c r="D2090">
        <v>13077.72</v>
      </c>
      <c r="E2090">
        <v>8899.66453</v>
      </c>
      <c r="F2090">
        <v>10112.4</v>
      </c>
      <c r="G2090">
        <v>23449.65</v>
      </c>
    </row>
    <row r="2091" spans="1:7" x14ac:dyDescent="0.35">
      <c r="A2091" s="1">
        <v>43242</v>
      </c>
      <c r="B2091">
        <v>3587.25</v>
      </c>
      <c r="C2091">
        <v>5640.1</v>
      </c>
      <c r="D2091">
        <v>13169.92</v>
      </c>
      <c r="E2091">
        <v>8979.1164599999993</v>
      </c>
      <c r="F2091">
        <v>10138.799999999999</v>
      </c>
      <c r="G2091">
        <v>23216.57</v>
      </c>
    </row>
    <row r="2092" spans="1:7" x14ac:dyDescent="0.35">
      <c r="A2092" s="1">
        <v>43243</v>
      </c>
      <c r="B2092">
        <v>3541.82</v>
      </c>
      <c r="C2092">
        <v>5565.85</v>
      </c>
      <c r="D2092">
        <v>12976.84</v>
      </c>
      <c r="E2092">
        <v>8884.1368999999995</v>
      </c>
      <c r="F2092">
        <v>10025</v>
      </c>
      <c r="G2092">
        <v>22911.71</v>
      </c>
    </row>
    <row r="2093" spans="1:7" x14ac:dyDescent="0.35">
      <c r="A2093" s="1">
        <v>43244</v>
      </c>
      <c r="B2093">
        <v>3521.76</v>
      </c>
      <c r="C2093">
        <v>5548.45</v>
      </c>
      <c r="D2093">
        <v>12855.09</v>
      </c>
      <c r="E2093">
        <v>8805.3186499999993</v>
      </c>
      <c r="F2093">
        <v>9996</v>
      </c>
      <c r="G2093">
        <v>22749.08</v>
      </c>
    </row>
    <row r="2094" spans="1:7" x14ac:dyDescent="0.35">
      <c r="A2094" s="1">
        <v>43245</v>
      </c>
      <c r="B2094">
        <v>3515.36</v>
      </c>
      <c r="C2094">
        <v>5542.55</v>
      </c>
      <c r="D2094">
        <v>12938.01</v>
      </c>
      <c r="E2094">
        <v>8828.0712399999993</v>
      </c>
      <c r="F2094">
        <v>9826.5</v>
      </c>
      <c r="G2094">
        <v>22398.15</v>
      </c>
    </row>
    <row r="2095" spans="1:7" x14ac:dyDescent="0.35">
      <c r="A2095" s="1">
        <v>43249</v>
      </c>
      <c r="B2095">
        <v>3428.14</v>
      </c>
      <c r="C2095">
        <v>5438.06</v>
      </c>
      <c r="D2095">
        <v>12666.51</v>
      </c>
      <c r="E2095">
        <v>8755.1259399999999</v>
      </c>
      <c r="F2095">
        <v>9521.2999999999993</v>
      </c>
      <c r="G2095">
        <v>21350.880000000001</v>
      </c>
    </row>
    <row r="2096" spans="1:7" x14ac:dyDescent="0.35">
      <c r="A2096" s="1">
        <v>43250</v>
      </c>
      <c r="B2096">
        <v>3441.19</v>
      </c>
      <c r="C2096">
        <v>5427.35</v>
      </c>
      <c r="D2096">
        <v>12783.76</v>
      </c>
      <c r="E2096">
        <v>8762.8398899999993</v>
      </c>
      <c r="F2096">
        <v>9566.2000000000007</v>
      </c>
      <c r="G2096">
        <v>21797.82</v>
      </c>
    </row>
    <row r="2097" spans="1:7" x14ac:dyDescent="0.35">
      <c r="A2097" s="1">
        <v>43251</v>
      </c>
      <c r="B2097">
        <v>3406.65</v>
      </c>
      <c r="C2097">
        <v>5398.4</v>
      </c>
      <c r="D2097">
        <v>12604.89</v>
      </c>
      <c r="E2097">
        <v>8745.2928300000003</v>
      </c>
      <c r="F2097">
        <v>9465.5</v>
      </c>
      <c r="G2097">
        <v>21784.18</v>
      </c>
    </row>
    <row r="2098" spans="1:7" x14ac:dyDescent="0.35">
      <c r="A2098" s="1">
        <v>43252</v>
      </c>
      <c r="B2098">
        <v>3453.54</v>
      </c>
      <c r="C2098">
        <v>5465.53</v>
      </c>
      <c r="D2098">
        <v>12724.27</v>
      </c>
      <c r="E2098">
        <v>8812.9640799999997</v>
      </c>
      <c r="F2098">
        <v>9632.4</v>
      </c>
      <c r="G2098">
        <v>22109.55</v>
      </c>
    </row>
    <row r="2099" spans="1:7" x14ac:dyDescent="0.35">
      <c r="A2099" s="1">
        <v>43255</v>
      </c>
      <c r="B2099">
        <v>3469.57</v>
      </c>
      <c r="C2099">
        <v>5472.91</v>
      </c>
      <c r="D2099">
        <v>12770.75</v>
      </c>
      <c r="E2099">
        <v>8819.0821300000007</v>
      </c>
      <c r="F2099">
        <v>9750.2999999999993</v>
      </c>
      <c r="G2099">
        <v>22009.95</v>
      </c>
    </row>
    <row r="2100" spans="1:7" x14ac:dyDescent="0.35">
      <c r="A2100" s="1">
        <v>43256</v>
      </c>
      <c r="B2100">
        <v>3456.79</v>
      </c>
      <c r="C2100">
        <v>5460.95</v>
      </c>
      <c r="D2100">
        <v>12787.13</v>
      </c>
      <c r="E2100">
        <v>8780.6024400000006</v>
      </c>
      <c r="F2100">
        <v>9686.4</v>
      </c>
      <c r="G2100">
        <v>21750.15</v>
      </c>
    </row>
    <row r="2101" spans="1:7" x14ac:dyDescent="0.35">
      <c r="A2101" s="1">
        <v>43257</v>
      </c>
      <c r="B2101">
        <v>3460.82</v>
      </c>
      <c r="C2101">
        <v>5457.56</v>
      </c>
      <c r="D2101">
        <v>12830.07</v>
      </c>
      <c r="E2101">
        <v>8782.4228600000006</v>
      </c>
      <c r="F2101">
        <v>9791.6</v>
      </c>
      <c r="G2101">
        <v>21807.59</v>
      </c>
    </row>
    <row r="2102" spans="1:7" x14ac:dyDescent="0.35">
      <c r="A2102" s="1">
        <v>43258</v>
      </c>
      <c r="B2102">
        <v>3459.77</v>
      </c>
      <c r="C2102">
        <v>5448.36</v>
      </c>
      <c r="D2102">
        <v>12811.05</v>
      </c>
      <c r="E2102">
        <v>8751.6190000000006</v>
      </c>
      <c r="F2102">
        <v>9829</v>
      </c>
      <c r="G2102">
        <v>21767.599999999999</v>
      </c>
    </row>
    <row r="2103" spans="1:7" x14ac:dyDescent="0.35">
      <c r="A2103" s="1">
        <v>43259</v>
      </c>
      <c r="B2103">
        <v>3447.3</v>
      </c>
      <c r="C2103">
        <v>5450.22</v>
      </c>
      <c r="D2103">
        <v>12766.55</v>
      </c>
      <c r="E2103">
        <v>8749.0995199999998</v>
      </c>
      <c r="F2103">
        <v>9746.2999999999993</v>
      </c>
      <c r="G2103">
        <v>21355.98</v>
      </c>
    </row>
    <row r="2104" spans="1:7" x14ac:dyDescent="0.35">
      <c r="A2104" s="1">
        <v>43262</v>
      </c>
      <c r="B2104">
        <v>3480.22</v>
      </c>
      <c r="C2104">
        <v>5473.91</v>
      </c>
      <c r="D2104">
        <v>12842.91</v>
      </c>
      <c r="E2104">
        <v>8782.3900099999992</v>
      </c>
      <c r="F2104">
        <v>9898.2999999999993</v>
      </c>
      <c r="G2104">
        <v>22086.2</v>
      </c>
    </row>
    <row r="2105" spans="1:7" x14ac:dyDescent="0.35">
      <c r="A2105" s="1">
        <v>43263</v>
      </c>
      <c r="B2105">
        <v>3475.58</v>
      </c>
      <c r="C2105">
        <v>5453.37</v>
      </c>
      <c r="D2105">
        <v>12842.3</v>
      </c>
      <c r="E2105">
        <v>8764.4415599999993</v>
      </c>
      <c r="F2105">
        <v>9914.4</v>
      </c>
      <c r="G2105">
        <v>22119.759999999998</v>
      </c>
    </row>
    <row r="2106" spans="1:7" x14ac:dyDescent="0.35">
      <c r="A2106" s="1">
        <v>43264</v>
      </c>
      <c r="B2106">
        <v>3479.56</v>
      </c>
      <c r="C2106">
        <v>5452.73</v>
      </c>
      <c r="D2106">
        <v>12890.58</v>
      </c>
      <c r="E2106">
        <v>8745.8113900000008</v>
      </c>
      <c r="F2106">
        <v>9899.1</v>
      </c>
      <c r="G2106">
        <v>22216.18</v>
      </c>
    </row>
    <row r="2107" spans="1:7" x14ac:dyDescent="0.35">
      <c r="A2107" s="1">
        <v>43265</v>
      </c>
      <c r="B2107">
        <v>3527.11</v>
      </c>
      <c r="C2107">
        <v>5528.46</v>
      </c>
      <c r="D2107">
        <v>13107.1</v>
      </c>
      <c r="E2107">
        <v>8877.8585999999996</v>
      </c>
      <c r="F2107">
        <v>9957.7000000000007</v>
      </c>
      <c r="G2107">
        <v>22486.32</v>
      </c>
    </row>
    <row r="2108" spans="1:7" x14ac:dyDescent="0.35">
      <c r="A2108" s="1">
        <v>43266</v>
      </c>
      <c r="B2108">
        <v>3505.02</v>
      </c>
      <c r="C2108">
        <v>5501.88</v>
      </c>
      <c r="D2108">
        <v>13010.55</v>
      </c>
      <c r="E2108">
        <v>8738.3765999999996</v>
      </c>
      <c r="F2108">
        <v>9851</v>
      </c>
      <c r="G2108">
        <v>22190.45</v>
      </c>
    </row>
    <row r="2109" spans="1:7" x14ac:dyDescent="0.35">
      <c r="A2109" s="1">
        <v>43269</v>
      </c>
      <c r="B2109">
        <v>3466.65</v>
      </c>
      <c r="C2109">
        <v>5450.48</v>
      </c>
      <c r="D2109">
        <v>12834.11</v>
      </c>
      <c r="E2109">
        <v>8707.1469699999998</v>
      </c>
      <c r="F2109">
        <v>9769.4</v>
      </c>
      <c r="G2109">
        <v>22099.27</v>
      </c>
    </row>
    <row r="2110" spans="1:7" x14ac:dyDescent="0.35">
      <c r="A2110" s="1">
        <v>43270</v>
      </c>
      <c r="B2110">
        <v>3435.3</v>
      </c>
      <c r="C2110">
        <v>5390.63</v>
      </c>
      <c r="D2110">
        <v>12677.97</v>
      </c>
      <c r="E2110">
        <v>8657.3479700000007</v>
      </c>
      <c r="F2110">
        <v>9755.4</v>
      </c>
      <c r="G2110">
        <v>22084.33</v>
      </c>
    </row>
    <row r="2111" spans="1:7" x14ac:dyDescent="0.35">
      <c r="A2111" s="1">
        <v>43271</v>
      </c>
      <c r="B2111">
        <v>3439.6</v>
      </c>
      <c r="C2111">
        <v>5372.31</v>
      </c>
      <c r="D2111">
        <v>12695.16</v>
      </c>
      <c r="E2111">
        <v>8685.0608699999993</v>
      </c>
      <c r="F2111">
        <v>9788.9</v>
      </c>
      <c r="G2111">
        <v>22120.58</v>
      </c>
    </row>
    <row r="2112" spans="1:7" x14ac:dyDescent="0.35">
      <c r="A2112" s="1">
        <v>43272</v>
      </c>
      <c r="B2112">
        <v>3403.51</v>
      </c>
      <c r="C2112">
        <v>5316.01</v>
      </c>
      <c r="D2112">
        <v>12511.91</v>
      </c>
      <c r="E2112">
        <v>8624.7710100000004</v>
      </c>
      <c r="F2112">
        <v>9702.1</v>
      </c>
      <c r="G2112">
        <v>21673.11</v>
      </c>
    </row>
    <row r="2113" spans="1:7" x14ac:dyDescent="0.35">
      <c r="A2113" s="1">
        <v>43273</v>
      </c>
      <c r="B2113">
        <v>3441.6</v>
      </c>
      <c r="C2113">
        <v>5387.38</v>
      </c>
      <c r="D2113">
        <v>12579.72</v>
      </c>
      <c r="E2113">
        <v>8740.8245499999994</v>
      </c>
      <c r="F2113">
        <v>9792.1</v>
      </c>
      <c r="G2113">
        <v>21888.47</v>
      </c>
    </row>
    <row r="2114" spans="1:7" x14ac:dyDescent="0.35">
      <c r="A2114" s="1">
        <v>43276</v>
      </c>
      <c r="B2114">
        <v>3369.21</v>
      </c>
      <c r="C2114">
        <v>5283.86</v>
      </c>
      <c r="D2114">
        <v>12270.33</v>
      </c>
      <c r="E2114">
        <v>8520.8294100000003</v>
      </c>
      <c r="F2114">
        <v>9617.9</v>
      </c>
      <c r="G2114">
        <v>21355.19</v>
      </c>
    </row>
    <row r="2115" spans="1:7" x14ac:dyDescent="0.35">
      <c r="A2115" s="1">
        <v>43277</v>
      </c>
      <c r="B2115">
        <v>3368.72</v>
      </c>
      <c r="C2115">
        <v>5281.29</v>
      </c>
      <c r="D2115">
        <v>12234.34</v>
      </c>
      <c r="E2115">
        <v>8553.0627700000005</v>
      </c>
      <c r="F2115">
        <v>9637.4</v>
      </c>
      <c r="G2115">
        <v>21419.27</v>
      </c>
    </row>
    <row r="2116" spans="1:7" x14ac:dyDescent="0.35">
      <c r="A2116" s="1">
        <v>43278</v>
      </c>
      <c r="B2116">
        <v>3397.13</v>
      </c>
      <c r="C2116">
        <v>5327.2</v>
      </c>
      <c r="D2116">
        <v>12348.61</v>
      </c>
      <c r="E2116">
        <v>8646.8642199999995</v>
      </c>
      <c r="F2116">
        <v>9658.6</v>
      </c>
      <c r="G2116">
        <v>21557.91</v>
      </c>
    </row>
    <row r="2117" spans="1:7" x14ac:dyDescent="0.35">
      <c r="A2117" s="1">
        <v>43279</v>
      </c>
      <c r="B2117">
        <v>3365.52</v>
      </c>
      <c r="C2117">
        <v>5275.64</v>
      </c>
      <c r="D2117">
        <v>12177.23</v>
      </c>
      <c r="E2117">
        <v>8609.7448700000004</v>
      </c>
      <c r="F2117">
        <v>9589</v>
      </c>
      <c r="G2117">
        <v>21432.34</v>
      </c>
    </row>
    <row r="2118" spans="1:7" x14ac:dyDescent="0.35">
      <c r="A2118" s="1">
        <v>43280</v>
      </c>
      <c r="B2118">
        <v>3395.6</v>
      </c>
      <c r="C2118">
        <v>5323.53</v>
      </c>
      <c r="D2118">
        <v>12306</v>
      </c>
      <c r="E2118">
        <v>8629.07035</v>
      </c>
      <c r="F2118">
        <v>9622.7000000000007</v>
      </c>
      <c r="G2118">
        <v>21626.27</v>
      </c>
    </row>
    <row r="2119" spans="1:7" x14ac:dyDescent="0.35">
      <c r="A2119" s="1">
        <v>43283</v>
      </c>
      <c r="B2119">
        <v>3372.21</v>
      </c>
      <c r="C2119">
        <v>5276.76</v>
      </c>
      <c r="D2119">
        <v>12238.17</v>
      </c>
      <c r="E2119">
        <v>8539.4813300000005</v>
      </c>
      <c r="F2119">
        <v>9558.2999999999993</v>
      </c>
      <c r="G2119">
        <v>21427.200000000001</v>
      </c>
    </row>
    <row r="2120" spans="1:7" x14ac:dyDescent="0.35">
      <c r="A2120" s="1">
        <v>43284</v>
      </c>
      <c r="B2120">
        <v>3406.34</v>
      </c>
      <c r="C2120">
        <v>5316.77</v>
      </c>
      <c r="D2120">
        <v>12349.14</v>
      </c>
      <c r="E2120">
        <v>8581.3953799999999</v>
      </c>
      <c r="F2120">
        <v>9660.9</v>
      </c>
      <c r="G2120">
        <v>21764.16</v>
      </c>
    </row>
    <row r="2121" spans="1:7" x14ac:dyDescent="0.35">
      <c r="A2121" s="1">
        <v>43285</v>
      </c>
      <c r="B2121">
        <v>3412.03</v>
      </c>
      <c r="C2121">
        <v>5320.5</v>
      </c>
      <c r="D2121">
        <v>12317.61</v>
      </c>
      <c r="E2121">
        <v>8583.0949700000001</v>
      </c>
      <c r="F2121">
        <v>9757.5</v>
      </c>
      <c r="G2121">
        <v>21686.61</v>
      </c>
    </row>
    <row r="2122" spans="1:7" x14ac:dyDescent="0.35">
      <c r="A2122" s="1">
        <v>43286</v>
      </c>
      <c r="B2122">
        <v>3440.92</v>
      </c>
      <c r="C2122">
        <v>5366.32</v>
      </c>
      <c r="D2122">
        <v>12464.29</v>
      </c>
      <c r="E2122">
        <v>8593.7574700000005</v>
      </c>
      <c r="F2122">
        <v>9866.2000000000007</v>
      </c>
      <c r="G2122">
        <v>21914.29</v>
      </c>
    </row>
    <row r="2123" spans="1:7" x14ac:dyDescent="0.35">
      <c r="A2123" s="1">
        <v>43287</v>
      </c>
      <c r="B2123">
        <v>3448.49</v>
      </c>
      <c r="C2123">
        <v>5375.77</v>
      </c>
      <c r="D2123">
        <v>12496.17</v>
      </c>
      <c r="E2123">
        <v>8602.1771499999995</v>
      </c>
      <c r="F2123">
        <v>9905</v>
      </c>
      <c r="G2123">
        <v>21925.51</v>
      </c>
    </row>
    <row r="2124" spans="1:7" x14ac:dyDescent="0.35">
      <c r="A2124" s="1">
        <v>43290</v>
      </c>
      <c r="B2124">
        <v>3460.44</v>
      </c>
      <c r="C2124">
        <v>5398.11</v>
      </c>
      <c r="D2124">
        <v>12543.89</v>
      </c>
      <c r="E2124">
        <v>8649.3977900000009</v>
      </c>
      <c r="F2124">
        <v>9927</v>
      </c>
      <c r="G2124">
        <v>22033.439999999999</v>
      </c>
    </row>
    <row r="2125" spans="1:7" x14ac:dyDescent="0.35">
      <c r="A2125" s="1">
        <v>43291</v>
      </c>
      <c r="B2125">
        <v>3473.31</v>
      </c>
      <c r="C2125">
        <v>5434.36</v>
      </c>
      <c r="D2125">
        <v>12609.85</v>
      </c>
      <c r="E2125">
        <v>8687.22595</v>
      </c>
      <c r="F2125">
        <v>9889.2999999999993</v>
      </c>
      <c r="G2125">
        <v>22057.3</v>
      </c>
    </row>
    <row r="2126" spans="1:7" x14ac:dyDescent="0.35">
      <c r="A2126" s="1">
        <v>43292</v>
      </c>
      <c r="B2126">
        <v>3422.35</v>
      </c>
      <c r="C2126">
        <v>5353.93</v>
      </c>
      <c r="D2126">
        <v>12417.13</v>
      </c>
      <c r="E2126">
        <v>8578.9148000000005</v>
      </c>
      <c r="F2126">
        <v>9733.6</v>
      </c>
      <c r="G2126">
        <v>21708.06</v>
      </c>
    </row>
    <row r="2127" spans="1:7" x14ac:dyDescent="0.35">
      <c r="A2127" s="1">
        <v>43293</v>
      </c>
      <c r="B2127">
        <v>3445.49</v>
      </c>
      <c r="C2127">
        <v>5405.9</v>
      </c>
      <c r="D2127">
        <v>12492.97</v>
      </c>
      <c r="E2127">
        <v>8658.6699700000008</v>
      </c>
      <c r="F2127">
        <v>9767.4</v>
      </c>
      <c r="G2127">
        <v>21790.12</v>
      </c>
    </row>
    <row r="2128" spans="1:7" x14ac:dyDescent="0.35">
      <c r="A2128" s="1">
        <v>43294</v>
      </c>
      <c r="B2128">
        <v>3454.54</v>
      </c>
      <c r="C2128">
        <v>5429.2</v>
      </c>
      <c r="D2128">
        <v>12540.73</v>
      </c>
      <c r="E2128">
        <v>8674.5704800000003</v>
      </c>
      <c r="F2128">
        <v>9734.7999999999993</v>
      </c>
      <c r="G2128">
        <v>21892.35</v>
      </c>
    </row>
    <row r="2129" spans="1:7" x14ac:dyDescent="0.35">
      <c r="A2129" s="1">
        <v>43297</v>
      </c>
      <c r="B2129">
        <v>3449.08</v>
      </c>
      <c r="C2129">
        <v>5409.43</v>
      </c>
      <c r="D2129">
        <v>12561.02</v>
      </c>
      <c r="E2129">
        <v>8589.9498999999996</v>
      </c>
      <c r="F2129">
        <v>9716.9</v>
      </c>
      <c r="G2129">
        <v>21822.959999999999</v>
      </c>
    </row>
    <row r="2130" spans="1:7" x14ac:dyDescent="0.35">
      <c r="A2130" s="1">
        <v>43298</v>
      </c>
      <c r="B2130">
        <v>3457.5</v>
      </c>
      <c r="C2130">
        <v>5422.54</v>
      </c>
      <c r="D2130">
        <v>12661.54</v>
      </c>
      <c r="E2130">
        <v>8594.1815600000009</v>
      </c>
      <c r="F2130">
        <v>9719.4</v>
      </c>
      <c r="G2130">
        <v>21977.82</v>
      </c>
    </row>
    <row r="2131" spans="1:7" x14ac:dyDescent="0.35">
      <c r="A2131" s="1">
        <v>43299</v>
      </c>
      <c r="B2131">
        <v>3485.08</v>
      </c>
      <c r="C2131">
        <v>5447.44</v>
      </c>
      <c r="D2131">
        <v>12765.94</v>
      </c>
      <c r="E2131">
        <v>8603.7838400000001</v>
      </c>
      <c r="F2131">
        <v>9753.2000000000007</v>
      </c>
      <c r="G2131">
        <v>21972.22</v>
      </c>
    </row>
    <row r="2132" spans="1:7" x14ac:dyDescent="0.35">
      <c r="A2132" s="1">
        <v>43300</v>
      </c>
      <c r="B2132">
        <v>3471.64</v>
      </c>
      <c r="C2132">
        <v>5417.07</v>
      </c>
      <c r="D2132">
        <v>12686.29</v>
      </c>
      <c r="E2132">
        <v>8599.5321999999996</v>
      </c>
      <c r="F2132">
        <v>9721.1</v>
      </c>
      <c r="G2132">
        <v>21885.4</v>
      </c>
    </row>
    <row r="2133" spans="1:7" x14ac:dyDescent="0.35">
      <c r="A2133" s="1">
        <v>43301</v>
      </c>
      <c r="B2133">
        <v>3460.03</v>
      </c>
      <c r="C2133">
        <v>5398.32</v>
      </c>
      <c r="D2133">
        <v>12561.42</v>
      </c>
      <c r="E2133">
        <v>8603.4713499999998</v>
      </c>
      <c r="F2133">
        <v>9724.7999999999993</v>
      </c>
      <c r="G2133">
        <v>21794.6</v>
      </c>
    </row>
    <row r="2134" spans="1:7" x14ac:dyDescent="0.35">
      <c r="A2134" s="1">
        <v>43304</v>
      </c>
      <c r="B2134">
        <v>3454.05</v>
      </c>
      <c r="C2134">
        <v>5378.25</v>
      </c>
      <c r="D2134">
        <v>12548.57</v>
      </c>
      <c r="E2134">
        <v>8576.5265199999994</v>
      </c>
      <c r="F2134">
        <v>9726.1</v>
      </c>
      <c r="G2134">
        <v>21605.21</v>
      </c>
    </row>
    <row r="2135" spans="1:7" x14ac:dyDescent="0.35">
      <c r="A2135" s="1">
        <v>43305</v>
      </c>
      <c r="B2135">
        <v>3483.31</v>
      </c>
      <c r="C2135">
        <v>5434.19</v>
      </c>
      <c r="D2135">
        <v>12689.39</v>
      </c>
      <c r="E2135">
        <v>8669.8766400000004</v>
      </c>
      <c r="F2135">
        <v>9773.1</v>
      </c>
      <c r="G2135">
        <v>21874.69</v>
      </c>
    </row>
    <row r="2136" spans="1:7" x14ac:dyDescent="0.35">
      <c r="A2136" s="1">
        <v>43306</v>
      </c>
      <c r="B2136">
        <v>3468.45</v>
      </c>
      <c r="C2136">
        <v>5426.41</v>
      </c>
      <c r="D2136">
        <v>12579.33</v>
      </c>
      <c r="E2136">
        <v>8623.4932200000003</v>
      </c>
      <c r="F2136">
        <v>9703.1</v>
      </c>
      <c r="G2136">
        <v>21561.46</v>
      </c>
    </row>
    <row r="2137" spans="1:7" x14ac:dyDescent="0.35">
      <c r="A2137" s="1">
        <v>43307</v>
      </c>
      <c r="B2137">
        <v>3509.26</v>
      </c>
      <c r="C2137">
        <v>5480.55</v>
      </c>
      <c r="D2137">
        <v>12809.23</v>
      </c>
      <c r="E2137">
        <v>8627.0618300000006</v>
      </c>
      <c r="F2137">
        <v>9780</v>
      </c>
      <c r="G2137">
        <v>21862.87</v>
      </c>
    </row>
    <row r="2138" spans="1:7" x14ac:dyDescent="0.35">
      <c r="A2138" s="1">
        <v>43308</v>
      </c>
      <c r="B2138">
        <v>3527.18</v>
      </c>
      <c r="C2138">
        <v>5511.76</v>
      </c>
      <c r="D2138">
        <v>12860.4</v>
      </c>
      <c r="E2138">
        <v>8662.4873900000002</v>
      </c>
      <c r="F2138">
        <v>9867.9</v>
      </c>
      <c r="G2138">
        <v>21955.08</v>
      </c>
    </row>
    <row r="2139" spans="1:7" x14ac:dyDescent="0.35">
      <c r="A2139" s="1">
        <v>43311</v>
      </c>
      <c r="B2139">
        <v>3512.31</v>
      </c>
      <c r="C2139">
        <v>5491.22</v>
      </c>
      <c r="D2139">
        <v>12798.2</v>
      </c>
      <c r="E2139">
        <v>8636.17857</v>
      </c>
      <c r="F2139">
        <v>9854.1</v>
      </c>
      <c r="G2139">
        <v>21941.01</v>
      </c>
    </row>
    <row r="2140" spans="1:7" x14ac:dyDescent="0.35">
      <c r="A2140" s="1">
        <v>43312</v>
      </c>
      <c r="B2140">
        <v>3525.49</v>
      </c>
      <c r="C2140">
        <v>5511.3</v>
      </c>
      <c r="D2140">
        <v>12805.5</v>
      </c>
      <c r="E2140">
        <v>8690.1300699999993</v>
      </c>
      <c r="F2140">
        <v>9870.7000000000007</v>
      </c>
      <c r="G2140">
        <v>22215.69</v>
      </c>
    </row>
    <row r="2141" spans="1:7" x14ac:dyDescent="0.35">
      <c r="A2141" s="1">
        <v>43313</v>
      </c>
      <c r="B2141">
        <v>3509.23</v>
      </c>
      <c r="C2141">
        <v>5498.37</v>
      </c>
      <c r="D2141">
        <v>12737.05</v>
      </c>
      <c r="E2141">
        <v>8603.9487000000008</v>
      </c>
      <c r="F2141">
        <v>9799.2999999999993</v>
      </c>
      <c r="G2141">
        <v>21791.45</v>
      </c>
    </row>
    <row r="2142" spans="1:7" x14ac:dyDescent="0.35">
      <c r="A2142" s="1">
        <v>43314</v>
      </c>
      <c r="B2142">
        <v>3469.21</v>
      </c>
      <c r="C2142">
        <v>5460.98</v>
      </c>
      <c r="D2142">
        <v>12546.33</v>
      </c>
      <c r="E2142">
        <v>8505.8723100000007</v>
      </c>
      <c r="F2142">
        <v>9698.2000000000007</v>
      </c>
      <c r="G2142">
        <v>21414.720000000001</v>
      </c>
    </row>
    <row r="2143" spans="1:7" x14ac:dyDescent="0.35">
      <c r="A2143" s="1">
        <v>43315</v>
      </c>
      <c r="B2143">
        <v>3482.4</v>
      </c>
      <c r="C2143">
        <v>5478.98</v>
      </c>
      <c r="D2143">
        <v>12615.76</v>
      </c>
      <c r="E2143">
        <v>8600.3865499999993</v>
      </c>
      <c r="F2143">
        <v>9739.7999999999993</v>
      </c>
      <c r="G2143">
        <v>21586.85</v>
      </c>
    </row>
    <row r="2144" spans="1:7" x14ac:dyDescent="0.35">
      <c r="A2144" s="1">
        <v>43318</v>
      </c>
      <c r="B2144">
        <v>3483.3</v>
      </c>
      <c r="C2144">
        <v>5477.18</v>
      </c>
      <c r="D2144">
        <v>12598.21</v>
      </c>
      <c r="E2144">
        <v>8579.1648999999998</v>
      </c>
      <c r="F2144">
        <v>9722.7000000000007</v>
      </c>
      <c r="G2144">
        <v>21580.18</v>
      </c>
    </row>
    <row r="2145" spans="1:7" x14ac:dyDescent="0.35">
      <c r="A2145" s="1">
        <v>43319</v>
      </c>
      <c r="B2145">
        <v>3504.37</v>
      </c>
      <c r="C2145">
        <v>5521.31</v>
      </c>
      <c r="D2145">
        <v>12648.19</v>
      </c>
      <c r="E2145">
        <v>8621.9542799999999</v>
      </c>
      <c r="F2145">
        <v>9772.7999999999993</v>
      </c>
      <c r="G2145">
        <v>21853.81</v>
      </c>
    </row>
    <row r="2146" spans="1:7" x14ac:dyDescent="0.35">
      <c r="A2146" s="1">
        <v>43320</v>
      </c>
      <c r="B2146">
        <v>3493.6</v>
      </c>
      <c r="C2146">
        <v>5501.9</v>
      </c>
      <c r="D2146">
        <v>12633.54</v>
      </c>
      <c r="E2146">
        <v>8639.1572799999994</v>
      </c>
      <c r="F2146">
        <v>9747.1</v>
      </c>
      <c r="G2146">
        <v>21790.3</v>
      </c>
    </row>
    <row r="2147" spans="1:7" x14ac:dyDescent="0.35">
      <c r="A2147" s="1">
        <v>43321</v>
      </c>
      <c r="B2147">
        <v>3494.13</v>
      </c>
      <c r="C2147">
        <v>5502.25</v>
      </c>
      <c r="D2147">
        <v>12676.11</v>
      </c>
      <c r="E2147">
        <v>8607.2512499999993</v>
      </c>
      <c r="F2147">
        <v>9754.6</v>
      </c>
      <c r="G2147">
        <v>21634.25</v>
      </c>
    </row>
    <row r="2148" spans="1:7" x14ac:dyDescent="0.35">
      <c r="A2148" s="1">
        <v>43322</v>
      </c>
      <c r="B2148">
        <v>3426.28</v>
      </c>
      <c r="C2148">
        <v>5414.68</v>
      </c>
      <c r="D2148">
        <v>12424.35</v>
      </c>
      <c r="E2148">
        <v>8572.7688600000001</v>
      </c>
      <c r="F2148">
        <v>9602.1</v>
      </c>
      <c r="G2148">
        <v>21090.78</v>
      </c>
    </row>
    <row r="2149" spans="1:7" x14ac:dyDescent="0.35">
      <c r="A2149" s="1">
        <v>43325</v>
      </c>
      <c r="B2149">
        <v>3409.68</v>
      </c>
      <c r="C2149">
        <v>5412.32</v>
      </c>
      <c r="D2149">
        <v>12358.74</v>
      </c>
      <c r="E2149">
        <v>8549.2950400000009</v>
      </c>
      <c r="F2149">
        <v>9530.4</v>
      </c>
      <c r="G2149">
        <v>20969.259999999998</v>
      </c>
    </row>
    <row r="2150" spans="1:7" x14ac:dyDescent="0.35">
      <c r="A2150" s="1">
        <v>43326</v>
      </c>
      <c r="B2150">
        <v>3409.44</v>
      </c>
      <c r="C2150">
        <v>5403.41</v>
      </c>
      <c r="D2150">
        <v>12358.87</v>
      </c>
      <c r="E2150">
        <v>8531.7209800000001</v>
      </c>
      <c r="F2150">
        <v>9507</v>
      </c>
      <c r="G2150">
        <v>20906.349999999999</v>
      </c>
    </row>
    <row r="2151" spans="1:7" x14ac:dyDescent="0.35">
      <c r="A2151" s="1">
        <v>43328</v>
      </c>
      <c r="B2151">
        <v>3377.56</v>
      </c>
      <c r="C2151">
        <v>5349.02</v>
      </c>
      <c r="D2151">
        <v>12237.17</v>
      </c>
      <c r="E2151">
        <v>8448.7296999999999</v>
      </c>
      <c r="F2151">
        <v>9427.4</v>
      </c>
      <c r="G2151">
        <v>20524.13</v>
      </c>
    </row>
    <row r="2152" spans="1:7" x14ac:dyDescent="0.35">
      <c r="A2152" s="1">
        <v>43329</v>
      </c>
      <c r="B2152">
        <v>3372.94</v>
      </c>
      <c r="C2152">
        <v>5344.93</v>
      </c>
      <c r="D2152">
        <v>12210.55</v>
      </c>
      <c r="E2152">
        <v>8433.1047500000004</v>
      </c>
      <c r="F2152">
        <v>9417.2999999999993</v>
      </c>
      <c r="G2152">
        <v>20415.27</v>
      </c>
    </row>
    <row r="2153" spans="1:7" x14ac:dyDescent="0.35">
      <c r="A2153" s="1">
        <v>43332</v>
      </c>
      <c r="B2153">
        <v>3393.67</v>
      </c>
      <c r="C2153">
        <v>5379.65</v>
      </c>
      <c r="D2153">
        <v>12331.3</v>
      </c>
      <c r="E2153">
        <v>8471.0220499999996</v>
      </c>
      <c r="F2153">
        <v>9468.6</v>
      </c>
      <c r="G2153">
        <v>20470.97</v>
      </c>
    </row>
    <row r="2154" spans="1:7" x14ac:dyDescent="0.35">
      <c r="A2154" s="1">
        <v>43333</v>
      </c>
      <c r="B2154">
        <v>3411.66</v>
      </c>
      <c r="C2154">
        <v>5408.6</v>
      </c>
      <c r="D2154">
        <v>12384.49</v>
      </c>
      <c r="E2154">
        <v>8429.6782000000003</v>
      </c>
      <c r="F2154">
        <v>9549</v>
      </c>
      <c r="G2154">
        <v>20783.79</v>
      </c>
    </row>
    <row r="2155" spans="1:7" x14ac:dyDescent="0.35">
      <c r="A2155" s="1">
        <v>43334</v>
      </c>
      <c r="B2155">
        <v>3420.18</v>
      </c>
      <c r="C2155">
        <v>5420.61</v>
      </c>
      <c r="D2155">
        <v>12385.7</v>
      </c>
      <c r="E2155">
        <v>8436.2264200000009</v>
      </c>
      <c r="F2155">
        <v>9580.2000000000007</v>
      </c>
      <c r="G2155">
        <v>20699.7</v>
      </c>
    </row>
    <row r="2156" spans="1:7" x14ac:dyDescent="0.35">
      <c r="A2156" s="1">
        <v>43335</v>
      </c>
      <c r="B2156">
        <v>3419.26</v>
      </c>
      <c r="C2156">
        <v>5419.33</v>
      </c>
      <c r="D2156">
        <v>12365.58</v>
      </c>
      <c r="E2156">
        <v>8387.9415200000003</v>
      </c>
      <c r="F2156">
        <v>9567.2999999999993</v>
      </c>
      <c r="G2156">
        <v>20608.509999999998</v>
      </c>
    </row>
    <row r="2157" spans="1:7" x14ac:dyDescent="0.35">
      <c r="A2157" s="1">
        <v>43336</v>
      </c>
      <c r="B2157">
        <v>3427.44</v>
      </c>
      <c r="C2157">
        <v>5432.5</v>
      </c>
      <c r="D2157">
        <v>12394.52</v>
      </c>
      <c r="E2157">
        <v>8377.3506500000003</v>
      </c>
      <c r="F2157">
        <v>9589.5</v>
      </c>
      <c r="G2157">
        <v>20741.96</v>
      </c>
    </row>
    <row r="2158" spans="1:7" x14ac:dyDescent="0.35">
      <c r="A2158" s="1">
        <v>43340</v>
      </c>
      <c r="B2158">
        <v>3447.57</v>
      </c>
      <c r="C2158">
        <v>5484.99</v>
      </c>
      <c r="D2158">
        <v>12527.42</v>
      </c>
      <c r="E2158">
        <v>8377.7719199999992</v>
      </c>
      <c r="F2158">
        <v>9606.5</v>
      </c>
      <c r="G2158">
        <v>20620.05</v>
      </c>
    </row>
    <row r="2159" spans="1:7" x14ac:dyDescent="0.35">
      <c r="A2159" s="1">
        <v>43341</v>
      </c>
      <c r="B2159">
        <v>3456.13</v>
      </c>
      <c r="C2159">
        <v>5501.33</v>
      </c>
      <c r="D2159">
        <v>12561.68</v>
      </c>
      <c r="E2159">
        <v>8403.2076899999993</v>
      </c>
      <c r="F2159">
        <v>9569.5</v>
      </c>
      <c r="G2159">
        <v>20760.07</v>
      </c>
    </row>
    <row r="2160" spans="1:7" x14ac:dyDescent="0.35">
      <c r="A2160" s="1">
        <v>43342</v>
      </c>
      <c r="B2160">
        <v>3430.99</v>
      </c>
      <c r="C2160">
        <v>5478.06</v>
      </c>
      <c r="D2160">
        <v>12494.24</v>
      </c>
      <c r="E2160">
        <v>8387.7527900000005</v>
      </c>
      <c r="F2160">
        <v>9467.6</v>
      </c>
      <c r="G2160">
        <v>20495.099999999999</v>
      </c>
    </row>
    <row r="2161" spans="1:7" x14ac:dyDescent="0.35">
      <c r="A2161" s="1">
        <v>43343</v>
      </c>
      <c r="B2161">
        <v>3392.9</v>
      </c>
      <c r="C2161">
        <v>5406.85</v>
      </c>
      <c r="D2161">
        <v>12364.06</v>
      </c>
      <c r="E2161">
        <v>8306.7469400000009</v>
      </c>
      <c r="F2161">
        <v>9399.1</v>
      </c>
      <c r="G2161">
        <v>20269.47</v>
      </c>
    </row>
    <row r="2162" spans="1:7" x14ac:dyDescent="0.35">
      <c r="A2162" s="1">
        <v>43346</v>
      </c>
      <c r="B2162">
        <v>3394.99</v>
      </c>
      <c r="C2162">
        <v>5413.8</v>
      </c>
      <c r="D2162">
        <v>12346.41</v>
      </c>
      <c r="E2162">
        <v>8321.1459599999998</v>
      </c>
      <c r="F2162">
        <v>9376.1</v>
      </c>
      <c r="G2162">
        <v>20395.79</v>
      </c>
    </row>
    <row r="2163" spans="1:7" x14ac:dyDescent="0.35">
      <c r="A2163" s="1">
        <v>43347</v>
      </c>
      <c r="B2163">
        <v>3359.36</v>
      </c>
      <c r="C2163">
        <v>5342.7</v>
      </c>
      <c r="D2163">
        <v>12210.21</v>
      </c>
      <c r="E2163">
        <v>8278.3534099999997</v>
      </c>
      <c r="F2163">
        <v>9376.2999999999993</v>
      </c>
      <c r="G2163">
        <v>20601</v>
      </c>
    </row>
    <row r="2164" spans="1:7" x14ac:dyDescent="0.35">
      <c r="A2164" s="1">
        <v>43348</v>
      </c>
      <c r="B2164">
        <v>3315.62</v>
      </c>
      <c r="C2164">
        <v>5260.22</v>
      </c>
      <c r="D2164">
        <v>12040.46</v>
      </c>
      <c r="E2164">
        <v>8197.7852000000003</v>
      </c>
      <c r="F2164">
        <v>9301.2999999999993</v>
      </c>
      <c r="G2164">
        <v>20581.78</v>
      </c>
    </row>
    <row r="2165" spans="1:7" x14ac:dyDescent="0.35">
      <c r="A2165" s="1">
        <v>43349</v>
      </c>
      <c r="B2165">
        <v>3295.95</v>
      </c>
      <c r="C2165">
        <v>5243.84</v>
      </c>
      <c r="D2165">
        <v>11955.25</v>
      </c>
      <c r="E2165">
        <v>8143.7202200000002</v>
      </c>
      <c r="F2165">
        <v>9208.7000000000007</v>
      </c>
      <c r="G2165">
        <v>20527.22</v>
      </c>
    </row>
    <row r="2166" spans="1:7" x14ac:dyDescent="0.35">
      <c r="A2166" s="1">
        <v>43350</v>
      </c>
      <c r="B2166">
        <v>3293.36</v>
      </c>
      <c r="C2166">
        <v>5252.22</v>
      </c>
      <c r="D2166">
        <v>11959.63</v>
      </c>
      <c r="E2166">
        <v>8138.2324699999999</v>
      </c>
      <c r="F2166">
        <v>9171.2000000000007</v>
      </c>
      <c r="G2166">
        <v>20447.689999999999</v>
      </c>
    </row>
    <row r="2167" spans="1:7" x14ac:dyDescent="0.35">
      <c r="A2167" s="1">
        <v>43353</v>
      </c>
      <c r="B2167">
        <v>3309.28</v>
      </c>
      <c r="C2167">
        <v>5269.63</v>
      </c>
      <c r="D2167">
        <v>11986.34</v>
      </c>
      <c r="E2167">
        <v>8175.3296899999996</v>
      </c>
      <c r="F2167">
        <v>9270.7999999999993</v>
      </c>
      <c r="G2167">
        <v>20918.900000000001</v>
      </c>
    </row>
    <row r="2168" spans="1:7" x14ac:dyDescent="0.35">
      <c r="A2168" s="1">
        <v>43354</v>
      </c>
      <c r="B2168">
        <v>3311.66</v>
      </c>
      <c r="C2168">
        <v>5283.79</v>
      </c>
      <c r="D2168">
        <v>11970.27</v>
      </c>
      <c r="E2168">
        <v>8164.2159799999999</v>
      </c>
      <c r="F2168">
        <v>9284.1</v>
      </c>
      <c r="G2168">
        <v>20853.84</v>
      </c>
    </row>
    <row r="2169" spans="1:7" x14ac:dyDescent="0.35">
      <c r="A2169" s="1">
        <v>43355</v>
      </c>
      <c r="B2169">
        <v>3326.6</v>
      </c>
      <c r="C2169">
        <v>5332.13</v>
      </c>
      <c r="D2169">
        <v>12032.3</v>
      </c>
      <c r="E2169">
        <v>8212.6724799999993</v>
      </c>
      <c r="F2169">
        <v>9306.7999999999993</v>
      </c>
      <c r="G2169">
        <v>20963</v>
      </c>
    </row>
    <row r="2170" spans="1:7" x14ac:dyDescent="0.35">
      <c r="A2170" s="1">
        <v>43356</v>
      </c>
      <c r="B2170">
        <v>3333.68</v>
      </c>
      <c r="C2170">
        <v>5328.12</v>
      </c>
      <c r="D2170">
        <v>12055.55</v>
      </c>
      <c r="E2170">
        <v>8173.1399199999996</v>
      </c>
      <c r="F2170">
        <v>9329.2000000000007</v>
      </c>
      <c r="G2170">
        <v>20846.18</v>
      </c>
    </row>
    <row r="2171" spans="1:7" x14ac:dyDescent="0.35">
      <c r="A2171" s="1">
        <v>43357</v>
      </c>
      <c r="B2171">
        <v>3344.63</v>
      </c>
      <c r="C2171">
        <v>5352.57</v>
      </c>
      <c r="D2171">
        <v>12124.33</v>
      </c>
      <c r="E2171">
        <v>8204.6498499999998</v>
      </c>
      <c r="F2171">
        <v>9365.2999999999993</v>
      </c>
      <c r="G2171">
        <v>20885.43</v>
      </c>
    </row>
    <row r="2172" spans="1:7" x14ac:dyDescent="0.35">
      <c r="A2172" s="1">
        <v>43360</v>
      </c>
      <c r="B2172">
        <v>3346.11</v>
      </c>
      <c r="C2172">
        <v>5348.87</v>
      </c>
      <c r="D2172">
        <v>12096.41</v>
      </c>
      <c r="E2172">
        <v>8215.4868200000001</v>
      </c>
      <c r="F2172">
        <v>9404.6</v>
      </c>
      <c r="G2172">
        <v>21111.4</v>
      </c>
    </row>
    <row r="2173" spans="1:7" x14ac:dyDescent="0.35">
      <c r="A2173" s="1">
        <v>43361</v>
      </c>
      <c r="B2173">
        <v>3358.46</v>
      </c>
      <c r="C2173">
        <v>5363.79</v>
      </c>
      <c r="D2173">
        <v>12157.67</v>
      </c>
      <c r="E2173">
        <v>8223.7945600000003</v>
      </c>
      <c r="F2173">
        <v>9447.5</v>
      </c>
      <c r="G2173">
        <v>21228.23</v>
      </c>
    </row>
    <row r="2174" spans="1:7" x14ac:dyDescent="0.35">
      <c r="A2174" s="1">
        <v>43362</v>
      </c>
      <c r="B2174">
        <v>3368.56</v>
      </c>
      <c r="C2174">
        <v>5393.74</v>
      </c>
      <c r="D2174">
        <v>12219.02</v>
      </c>
      <c r="E2174">
        <v>8259.1972499999993</v>
      </c>
      <c r="F2174">
        <v>9486.2999999999993</v>
      </c>
      <c r="G2174">
        <v>21280.78</v>
      </c>
    </row>
    <row r="2175" spans="1:7" x14ac:dyDescent="0.35">
      <c r="A2175" s="1">
        <v>43363</v>
      </c>
      <c r="B2175">
        <v>3403.12</v>
      </c>
      <c r="C2175">
        <v>5451.59</v>
      </c>
      <c r="D2175">
        <v>12326.48</v>
      </c>
      <c r="E2175">
        <v>8299.04349</v>
      </c>
      <c r="F2175">
        <v>9583.7000000000007</v>
      </c>
      <c r="G2175">
        <v>21388.38</v>
      </c>
    </row>
    <row r="2176" spans="1:7" x14ac:dyDescent="0.35">
      <c r="A2176" s="1">
        <v>43364</v>
      </c>
      <c r="B2176">
        <v>3430.81</v>
      </c>
      <c r="C2176">
        <v>5494.17</v>
      </c>
      <c r="D2176">
        <v>12430.88</v>
      </c>
      <c r="E2176">
        <v>8345.6548399999992</v>
      </c>
      <c r="F2176">
        <v>9590.4</v>
      </c>
      <c r="G2176">
        <v>21536.74</v>
      </c>
    </row>
    <row r="2177" spans="1:7" x14ac:dyDescent="0.35">
      <c r="A2177" s="1">
        <v>43367</v>
      </c>
      <c r="B2177">
        <v>3410.44</v>
      </c>
      <c r="C2177">
        <v>5476.17</v>
      </c>
      <c r="D2177">
        <v>12350.82</v>
      </c>
      <c r="E2177">
        <v>8319.9466900000007</v>
      </c>
      <c r="F2177">
        <v>9512.7999999999993</v>
      </c>
      <c r="G2177">
        <v>21339.87</v>
      </c>
    </row>
    <row r="2178" spans="1:7" x14ac:dyDescent="0.35">
      <c r="A2178" s="1">
        <v>43368</v>
      </c>
      <c r="B2178">
        <v>3419.78</v>
      </c>
      <c r="C2178">
        <v>5479.1</v>
      </c>
      <c r="D2178">
        <v>12374.66</v>
      </c>
      <c r="E2178">
        <v>8397.7794599999997</v>
      </c>
      <c r="F2178">
        <v>9493.6</v>
      </c>
      <c r="G2178">
        <v>21668.99</v>
      </c>
    </row>
    <row r="2179" spans="1:7" x14ac:dyDescent="0.35">
      <c r="A2179" s="1">
        <v>43369</v>
      </c>
      <c r="B2179">
        <v>3433.15</v>
      </c>
      <c r="C2179">
        <v>5512.73</v>
      </c>
      <c r="D2179">
        <v>12385.89</v>
      </c>
      <c r="E2179">
        <v>8423.5812399999995</v>
      </c>
      <c r="F2179">
        <v>9524.7999999999993</v>
      </c>
      <c r="G2179">
        <v>21646.34</v>
      </c>
    </row>
    <row r="2180" spans="1:7" x14ac:dyDescent="0.35">
      <c r="A2180" s="1">
        <v>43370</v>
      </c>
      <c r="B2180">
        <v>3449.79</v>
      </c>
      <c r="C2180">
        <v>5540.41</v>
      </c>
      <c r="D2180">
        <v>12435.59</v>
      </c>
      <c r="E2180">
        <v>8468.5007700000006</v>
      </c>
      <c r="F2180">
        <v>9527.5</v>
      </c>
      <c r="G2180">
        <v>21511.07</v>
      </c>
    </row>
    <row r="2181" spans="1:7" x14ac:dyDescent="0.35">
      <c r="A2181" s="1">
        <v>43371</v>
      </c>
      <c r="B2181">
        <v>3399.2</v>
      </c>
      <c r="C2181">
        <v>5493.49</v>
      </c>
      <c r="D2181">
        <v>12246.73</v>
      </c>
      <c r="E2181">
        <v>8433.6170500000007</v>
      </c>
      <c r="F2181">
        <v>9389.2000000000007</v>
      </c>
      <c r="G2181">
        <v>20711.7</v>
      </c>
    </row>
    <row r="2182" spans="1:7" x14ac:dyDescent="0.35">
      <c r="A2182" s="1">
        <v>43374</v>
      </c>
      <c r="B2182">
        <v>3414.16</v>
      </c>
      <c r="C2182">
        <v>5506.82</v>
      </c>
      <c r="D2182">
        <v>12339.03</v>
      </c>
      <c r="E2182">
        <v>8445.5059600000004</v>
      </c>
      <c r="F2182">
        <v>9407</v>
      </c>
      <c r="G2182">
        <v>20609.990000000002</v>
      </c>
    </row>
    <row r="2183" spans="1:7" x14ac:dyDescent="0.35">
      <c r="A2183" s="1">
        <v>43375</v>
      </c>
      <c r="B2183">
        <v>3388.99</v>
      </c>
      <c r="C2183">
        <v>5467.89</v>
      </c>
      <c r="D2183">
        <v>12287.58</v>
      </c>
      <c r="E2183">
        <v>8399.8903599999994</v>
      </c>
      <c r="F2183">
        <v>9305.5</v>
      </c>
      <c r="G2183">
        <v>20562.310000000001</v>
      </c>
    </row>
    <row r="2184" spans="1:7" x14ac:dyDescent="0.35">
      <c r="A2184" s="1">
        <v>43377</v>
      </c>
      <c r="B2184">
        <v>3375.08</v>
      </c>
      <c r="C2184">
        <v>5410.85</v>
      </c>
      <c r="D2184">
        <v>12244.14</v>
      </c>
      <c r="E2184">
        <v>8389.4822100000001</v>
      </c>
      <c r="F2184">
        <v>9314.5</v>
      </c>
      <c r="G2184">
        <v>20612.93</v>
      </c>
    </row>
    <row r="2185" spans="1:7" x14ac:dyDescent="0.35">
      <c r="A2185" s="1">
        <v>43378</v>
      </c>
      <c r="B2185">
        <v>3345.51</v>
      </c>
      <c r="C2185">
        <v>5359.36</v>
      </c>
      <c r="D2185">
        <v>12111.9</v>
      </c>
      <c r="E2185">
        <v>8323.5440600000002</v>
      </c>
      <c r="F2185">
        <v>9253.9</v>
      </c>
      <c r="G2185">
        <v>20345.96</v>
      </c>
    </row>
    <row r="2186" spans="1:7" x14ac:dyDescent="0.35">
      <c r="A2186" s="1">
        <v>43381</v>
      </c>
      <c r="B2186">
        <v>3309.72</v>
      </c>
      <c r="C2186">
        <v>5300.25</v>
      </c>
      <c r="D2186">
        <v>11947.16</v>
      </c>
      <c r="E2186">
        <v>8237.6791300000004</v>
      </c>
      <c r="F2186">
        <v>9199.2000000000007</v>
      </c>
      <c r="G2186">
        <v>19851.47</v>
      </c>
    </row>
    <row r="2187" spans="1:7" x14ac:dyDescent="0.35">
      <c r="A2187" s="1">
        <v>43382</v>
      </c>
      <c r="B2187">
        <v>3321.79</v>
      </c>
      <c r="C2187">
        <v>5318.55</v>
      </c>
      <c r="D2187">
        <v>11977.22</v>
      </c>
      <c r="E2187">
        <v>8278.4663999999993</v>
      </c>
      <c r="F2187">
        <v>9260.5</v>
      </c>
      <c r="G2187">
        <v>20062.25</v>
      </c>
    </row>
    <row r="2188" spans="1:7" x14ac:dyDescent="0.35">
      <c r="A2188" s="1">
        <v>43383</v>
      </c>
      <c r="B2188">
        <v>3266.9</v>
      </c>
      <c r="C2188">
        <v>5206.22</v>
      </c>
      <c r="D2188">
        <v>11712.5</v>
      </c>
      <c r="E2188">
        <v>8181.1570400000001</v>
      </c>
      <c r="F2188">
        <v>9162.9</v>
      </c>
      <c r="G2188">
        <v>19719.04</v>
      </c>
    </row>
    <row r="2189" spans="1:7" x14ac:dyDescent="0.35">
      <c r="A2189" s="1">
        <v>43384</v>
      </c>
      <c r="B2189">
        <v>3209.19</v>
      </c>
      <c r="C2189">
        <v>5106.37</v>
      </c>
      <c r="D2189">
        <v>11539.35</v>
      </c>
      <c r="E2189">
        <v>7990.0189300000002</v>
      </c>
      <c r="F2189">
        <v>9007.9</v>
      </c>
      <c r="G2189">
        <v>19356.61</v>
      </c>
    </row>
    <row r="2190" spans="1:7" x14ac:dyDescent="0.35">
      <c r="A2190" s="1">
        <v>43385</v>
      </c>
      <c r="B2190">
        <v>3194.41</v>
      </c>
      <c r="C2190">
        <v>5095.9799999999996</v>
      </c>
      <c r="D2190">
        <v>11523.81</v>
      </c>
      <c r="E2190">
        <v>7960.3206700000001</v>
      </c>
      <c r="F2190">
        <v>8902</v>
      </c>
      <c r="G2190">
        <v>19255.98</v>
      </c>
    </row>
    <row r="2191" spans="1:7" x14ac:dyDescent="0.35">
      <c r="A2191" s="1">
        <v>43388</v>
      </c>
      <c r="B2191">
        <v>3210.37</v>
      </c>
      <c r="C2191">
        <v>5095.07</v>
      </c>
      <c r="D2191">
        <v>11614.16</v>
      </c>
      <c r="E2191">
        <v>7984.3298299999997</v>
      </c>
      <c r="F2191">
        <v>8923.7000000000007</v>
      </c>
      <c r="G2191">
        <v>19287.64</v>
      </c>
    </row>
    <row r="2192" spans="1:7" x14ac:dyDescent="0.35">
      <c r="A2192" s="1">
        <v>43389</v>
      </c>
      <c r="B2192">
        <v>3257.34</v>
      </c>
      <c r="C2192">
        <v>5173.05</v>
      </c>
      <c r="D2192">
        <v>11776.55</v>
      </c>
      <c r="E2192">
        <v>8034.89624</v>
      </c>
      <c r="F2192">
        <v>9074.7000000000007</v>
      </c>
      <c r="G2192">
        <v>19717.830000000002</v>
      </c>
    </row>
    <row r="2193" spans="1:7" x14ac:dyDescent="0.35">
      <c r="A2193" s="1">
        <v>43390</v>
      </c>
      <c r="B2193">
        <v>3243.08</v>
      </c>
      <c r="C2193">
        <v>5144.95</v>
      </c>
      <c r="D2193">
        <v>11715.03</v>
      </c>
      <c r="E2193">
        <v>8042.2929599999998</v>
      </c>
      <c r="F2193">
        <v>8997.2000000000007</v>
      </c>
      <c r="G2193">
        <v>19454.990000000002</v>
      </c>
    </row>
    <row r="2194" spans="1:7" x14ac:dyDescent="0.35">
      <c r="A2194" s="1">
        <v>43391</v>
      </c>
      <c r="B2194">
        <v>3211.59</v>
      </c>
      <c r="C2194">
        <v>5116.79</v>
      </c>
      <c r="D2194">
        <v>11589.21</v>
      </c>
      <c r="E2194">
        <v>7989.2809100000004</v>
      </c>
      <c r="F2194">
        <v>8889.6</v>
      </c>
      <c r="G2194">
        <v>19087.53</v>
      </c>
    </row>
    <row r="2195" spans="1:7" x14ac:dyDescent="0.35">
      <c r="A2195" s="1">
        <v>43392</v>
      </c>
      <c r="B2195">
        <v>3210.82</v>
      </c>
      <c r="C2195">
        <v>5084.66</v>
      </c>
      <c r="D2195">
        <v>11553.83</v>
      </c>
      <c r="E2195">
        <v>7997.7288399999998</v>
      </c>
      <c r="F2195">
        <v>8892.1</v>
      </c>
      <c r="G2195">
        <v>19080.16</v>
      </c>
    </row>
    <row r="2196" spans="1:7" x14ac:dyDescent="0.35">
      <c r="A2196" s="1">
        <v>43395</v>
      </c>
      <c r="B2196">
        <v>3190.09</v>
      </c>
      <c r="C2196">
        <v>5053.3100000000004</v>
      </c>
      <c r="D2196">
        <v>11524.34</v>
      </c>
      <c r="E2196">
        <v>7965.1372199999996</v>
      </c>
      <c r="F2196">
        <v>8806.5</v>
      </c>
      <c r="G2196">
        <v>18966.22</v>
      </c>
    </row>
    <row r="2197" spans="1:7" x14ac:dyDescent="0.35">
      <c r="A2197" s="1">
        <v>43396</v>
      </c>
      <c r="B2197">
        <v>3140.94</v>
      </c>
      <c r="C2197">
        <v>4967.6899999999996</v>
      </c>
      <c r="D2197">
        <v>11274.28</v>
      </c>
      <c r="E2197">
        <v>7872.3139799999999</v>
      </c>
      <c r="F2197">
        <v>8726.1</v>
      </c>
      <c r="G2197">
        <v>18802.47</v>
      </c>
    </row>
    <row r="2198" spans="1:7" x14ac:dyDescent="0.35">
      <c r="A2198" s="1">
        <v>43397</v>
      </c>
      <c r="B2198">
        <v>3130.33</v>
      </c>
      <c r="C2198">
        <v>4953.09</v>
      </c>
      <c r="D2198">
        <v>11191.63</v>
      </c>
      <c r="E2198">
        <v>7874.2240300000003</v>
      </c>
      <c r="F2198">
        <v>8677.4</v>
      </c>
      <c r="G2198">
        <v>18485.46</v>
      </c>
    </row>
    <row r="2199" spans="1:7" x14ac:dyDescent="0.35">
      <c r="A2199" s="1">
        <v>43398</v>
      </c>
      <c r="B2199">
        <v>3164.4</v>
      </c>
      <c r="C2199">
        <v>5032.3</v>
      </c>
      <c r="D2199">
        <v>11307.12</v>
      </c>
      <c r="E2199">
        <v>7897.7817699999996</v>
      </c>
      <c r="F2199">
        <v>8785.2000000000007</v>
      </c>
      <c r="G2199">
        <v>18815.32</v>
      </c>
    </row>
    <row r="2200" spans="1:7" x14ac:dyDescent="0.35">
      <c r="A2200" s="1">
        <v>43399</v>
      </c>
      <c r="B2200">
        <v>3134.89</v>
      </c>
      <c r="C2200">
        <v>4967.37</v>
      </c>
      <c r="D2200">
        <v>11200.62</v>
      </c>
      <c r="E2200">
        <v>7813.39894</v>
      </c>
      <c r="F2200">
        <v>8730.4</v>
      </c>
      <c r="G2200">
        <v>18683.27</v>
      </c>
    </row>
    <row r="2201" spans="1:7" x14ac:dyDescent="0.35">
      <c r="A2201" s="1">
        <v>43402</v>
      </c>
      <c r="B2201">
        <v>3154.93</v>
      </c>
      <c r="C2201">
        <v>4989.3500000000004</v>
      </c>
      <c r="D2201">
        <v>11335.48</v>
      </c>
      <c r="E2201">
        <v>7899.9825499999997</v>
      </c>
      <c r="F2201">
        <v>8821.2000000000007</v>
      </c>
      <c r="G2201">
        <v>19039.849999999999</v>
      </c>
    </row>
    <row r="2202" spans="1:7" x14ac:dyDescent="0.35">
      <c r="A2202" s="1">
        <v>43403</v>
      </c>
      <c r="B2202">
        <v>3147.13</v>
      </c>
      <c r="C2202">
        <v>4978.53</v>
      </c>
      <c r="D2202">
        <v>11287.39</v>
      </c>
      <c r="E2202">
        <v>7880.2263899999998</v>
      </c>
      <c r="F2202">
        <v>8806.1</v>
      </c>
      <c r="G2202">
        <v>18998.8</v>
      </c>
    </row>
    <row r="2203" spans="1:7" x14ac:dyDescent="0.35">
      <c r="A2203" s="1">
        <v>43404</v>
      </c>
      <c r="B2203">
        <v>3197.51</v>
      </c>
      <c r="C2203">
        <v>5093.4399999999996</v>
      </c>
      <c r="D2203">
        <v>11447.51</v>
      </c>
      <c r="E2203">
        <v>8041.02135</v>
      </c>
      <c r="F2203">
        <v>8893.5</v>
      </c>
      <c r="G2203">
        <v>19050.22</v>
      </c>
    </row>
    <row r="2204" spans="1:7" x14ac:dyDescent="0.35">
      <c r="A2204" s="1">
        <v>43405</v>
      </c>
      <c r="B2204">
        <v>3204.21</v>
      </c>
      <c r="C2204">
        <v>5085.78</v>
      </c>
      <c r="D2204">
        <v>11468.54</v>
      </c>
      <c r="E2204">
        <v>8107.2582599999996</v>
      </c>
      <c r="F2204">
        <v>8954.7999999999993</v>
      </c>
      <c r="G2204">
        <v>19185.14</v>
      </c>
    </row>
    <row r="2205" spans="1:7" x14ac:dyDescent="0.35">
      <c r="A2205" s="1">
        <v>43406</v>
      </c>
      <c r="B2205">
        <v>3214.41</v>
      </c>
      <c r="C2205">
        <v>5102.13</v>
      </c>
      <c r="D2205">
        <v>11518.99</v>
      </c>
      <c r="E2205">
        <v>8076.93887</v>
      </c>
      <c r="F2205">
        <v>8993</v>
      </c>
      <c r="G2205">
        <v>19390.34</v>
      </c>
    </row>
    <row r="2206" spans="1:7" x14ac:dyDescent="0.35">
      <c r="A2206" s="1">
        <v>43409</v>
      </c>
      <c r="B2206">
        <v>3217.37</v>
      </c>
      <c r="C2206">
        <v>5101.3900000000003</v>
      </c>
      <c r="D2206">
        <v>11494.96</v>
      </c>
      <c r="E2206">
        <v>8115.0228399999996</v>
      </c>
      <c r="F2206">
        <v>9010.7000000000007</v>
      </c>
      <c r="G2206">
        <v>19281.03</v>
      </c>
    </row>
    <row r="2207" spans="1:7" x14ac:dyDescent="0.35">
      <c r="A2207" s="1">
        <v>43410</v>
      </c>
      <c r="B2207">
        <v>3207.42</v>
      </c>
      <c r="C2207">
        <v>5075.1899999999996</v>
      </c>
      <c r="D2207">
        <v>11484.34</v>
      </c>
      <c r="E2207">
        <v>8072.2272300000004</v>
      </c>
      <c r="F2207">
        <v>8988.9</v>
      </c>
      <c r="G2207">
        <v>19268.29</v>
      </c>
    </row>
    <row r="2208" spans="1:7" x14ac:dyDescent="0.35">
      <c r="A2208" s="1">
        <v>43411</v>
      </c>
      <c r="B2208">
        <v>3246.16</v>
      </c>
      <c r="C2208">
        <v>5137.9399999999996</v>
      </c>
      <c r="D2208">
        <v>11579.1</v>
      </c>
      <c r="E2208">
        <v>8165.2535399999997</v>
      </c>
      <c r="F2208">
        <v>9167.9</v>
      </c>
      <c r="G2208">
        <v>19540.939999999999</v>
      </c>
    </row>
    <row r="2209" spans="1:7" x14ac:dyDescent="0.35">
      <c r="A2209" s="1">
        <v>43412</v>
      </c>
      <c r="B2209">
        <v>3237.6</v>
      </c>
      <c r="C2209">
        <v>5131.45</v>
      </c>
      <c r="D2209">
        <v>11527.32</v>
      </c>
      <c r="E2209">
        <v>8204.9189700000006</v>
      </c>
      <c r="F2209">
        <v>9177</v>
      </c>
      <c r="G2209">
        <v>19429.14</v>
      </c>
    </row>
    <row r="2210" spans="1:7" x14ac:dyDescent="0.35">
      <c r="A2210" s="1">
        <v>43413</v>
      </c>
      <c r="B2210">
        <v>3229.49</v>
      </c>
      <c r="C2210">
        <v>5106.75</v>
      </c>
      <c r="D2210">
        <v>11529.16</v>
      </c>
      <c r="E2210">
        <v>8136.1535299999996</v>
      </c>
      <c r="F2210">
        <v>9134.7999999999993</v>
      </c>
      <c r="G2210">
        <v>19258.11</v>
      </c>
    </row>
    <row r="2211" spans="1:7" x14ac:dyDescent="0.35">
      <c r="A2211" s="1">
        <v>43416</v>
      </c>
      <c r="B2211">
        <v>3194.08</v>
      </c>
      <c r="C2211">
        <v>5059.09</v>
      </c>
      <c r="D2211">
        <v>11325.44</v>
      </c>
      <c r="E2211">
        <v>8059.7668299999996</v>
      </c>
      <c r="F2211">
        <v>9076.2999999999993</v>
      </c>
      <c r="G2211">
        <v>19055.919999999998</v>
      </c>
    </row>
    <row r="2212" spans="1:7" x14ac:dyDescent="0.35">
      <c r="A2212" s="1">
        <v>43417</v>
      </c>
      <c r="B2212">
        <v>3224.82</v>
      </c>
      <c r="C2212">
        <v>5101.8500000000004</v>
      </c>
      <c r="D2212">
        <v>11472.22</v>
      </c>
      <c r="E2212">
        <v>8121.29864</v>
      </c>
      <c r="F2212">
        <v>9145.4</v>
      </c>
      <c r="G2212">
        <v>19226.52</v>
      </c>
    </row>
    <row r="2213" spans="1:7" x14ac:dyDescent="0.35">
      <c r="A2213" s="1">
        <v>43418</v>
      </c>
      <c r="B2213">
        <v>3205.36</v>
      </c>
      <c r="C2213">
        <v>5068.8500000000004</v>
      </c>
      <c r="D2213">
        <v>11412.53</v>
      </c>
      <c r="E2213">
        <v>8066.4672200000005</v>
      </c>
      <c r="F2213">
        <v>9106.6</v>
      </c>
      <c r="G2213">
        <v>19077.47</v>
      </c>
    </row>
    <row r="2214" spans="1:7" x14ac:dyDescent="0.35">
      <c r="A2214" s="1">
        <v>43419</v>
      </c>
      <c r="B2214">
        <v>3190.31</v>
      </c>
      <c r="C2214">
        <v>5033.62</v>
      </c>
      <c r="D2214">
        <v>11353.67</v>
      </c>
      <c r="E2214">
        <v>7928.7241199999999</v>
      </c>
      <c r="F2214">
        <v>9073.5</v>
      </c>
      <c r="G2214">
        <v>18905.36</v>
      </c>
    </row>
    <row r="2215" spans="1:7" x14ac:dyDescent="0.35">
      <c r="A2215" s="1">
        <v>43420</v>
      </c>
      <c r="B2215">
        <v>3180.74</v>
      </c>
      <c r="C2215">
        <v>5025.2</v>
      </c>
      <c r="D2215">
        <v>11341</v>
      </c>
      <c r="E2215">
        <v>7879.2447899999997</v>
      </c>
      <c r="F2215">
        <v>9056.7999999999993</v>
      </c>
      <c r="G2215">
        <v>18878.310000000001</v>
      </c>
    </row>
    <row r="2216" spans="1:7" x14ac:dyDescent="0.35">
      <c r="A2216" s="1">
        <v>43423</v>
      </c>
      <c r="B2216">
        <v>3160.33</v>
      </c>
      <c r="C2216">
        <v>4985.45</v>
      </c>
      <c r="D2216">
        <v>11244.54</v>
      </c>
      <c r="E2216">
        <v>7858.1293699999997</v>
      </c>
      <c r="F2216">
        <v>9006.2999999999993</v>
      </c>
      <c r="G2216">
        <v>18823.13</v>
      </c>
    </row>
    <row r="2217" spans="1:7" x14ac:dyDescent="0.35">
      <c r="A2217" s="1">
        <v>43424</v>
      </c>
      <c r="B2217">
        <v>3116.07</v>
      </c>
      <c r="C2217">
        <v>4924.8900000000003</v>
      </c>
      <c r="D2217">
        <v>11066.41</v>
      </c>
      <c r="E2217">
        <v>7815.1885000000002</v>
      </c>
      <c r="F2217">
        <v>8866.5</v>
      </c>
      <c r="G2217">
        <v>18471.38</v>
      </c>
    </row>
    <row r="2218" spans="1:7" x14ac:dyDescent="0.35">
      <c r="A2218" s="1">
        <v>43425</v>
      </c>
      <c r="B2218">
        <v>3153.91</v>
      </c>
      <c r="C2218">
        <v>4975.5</v>
      </c>
      <c r="D2218">
        <v>11244.17</v>
      </c>
      <c r="E2218">
        <v>7909.5463799999998</v>
      </c>
      <c r="F2218">
        <v>8960.6</v>
      </c>
      <c r="G2218">
        <v>18731.55</v>
      </c>
    </row>
    <row r="2219" spans="1:7" x14ac:dyDescent="0.35">
      <c r="A2219" s="1">
        <v>43426</v>
      </c>
      <c r="B2219">
        <v>3126.67</v>
      </c>
      <c r="C2219">
        <v>4938.1400000000003</v>
      </c>
      <c r="D2219">
        <v>11138.49</v>
      </c>
      <c r="E2219">
        <v>7854.1549199999999</v>
      </c>
      <c r="F2219">
        <v>8906.2000000000007</v>
      </c>
      <c r="G2219">
        <v>18603.04</v>
      </c>
    </row>
    <row r="2220" spans="1:7" x14ac:dyDescent="0.35">
      <c r="A2220" s="1">
        <v>43427</v>
      </c>
      <c r="B2220">
        <v>3137.21</v>
      </c>
      <c r="C2220">
        <v>4946.95</v>
      </c>
      <c r="D2220">
        <v>11192.69</v>
      </c>
      <c r="E2220">
        <v>7857.0078299999996</v>
      </c>
      <c r="F2220">
        <v>8916.7000000000007</v>
      </c>
      <c r="G2220">
        <v>18714.900000000001</v>
      </c>
    </row>
    <row r="2221" spans="1:7" x14ac:dyDescent="0.35">
      <c r="A2221" s="1">
        <v>43430</v>
      </c>
      <c r="B2221">
        <v>3172.71</v>
      </c>
      <c r="C2221">
        <v>4994.9799999999996</v>
      </c>
      <c r="D2221">
        <v>11354.72</v>
      </c>
      <c r="E2221">
        <v>7954.3596399999997</v>
      </c>
      <c r="F2221">
        <v>9091.2000000000007</v>
      </c>
      <c r="G2221">
        <v>19233.45</v>
      </c>
    </row>
    <row r="2222" spans="1:7" x14ac:dyDescent="0.35">
      <c r="A2222" s="1">
        <v>43431</v>
      </c>
      <c r="B2222">
        <v>3166.42</v>
      </c>
      <c r="C2222">
        <v>4983.1499999999996</v>
      </c>
      <c r="D2222">
        <v>11309.11</v>
      </c>
      <c r="E2222">
        <v>7918.4390599999997</v>
      </c>
      <c r="F2222">
        <v>9085.6</v>
      </c>
      <c r="G2222">
        <v>19150.38</v>
      </c>
    </row>
    <row r="2223" spans="1:7" x14ac:dyDescent="0.35">
      <c r="A2223" s="1">
        <v>43432</v>
      </c>
      <c r="B2223">
        <v>3168.29</v>
      </c>
      <c r="C2223">
        <v>4983.24</v>
      </c>
      <c r="D2223">
        <v>11298.88</v>
      </c>
      <c r="E2223">
        <v>7906.63598</v>
      </c>
      <c r="F2223">
        <v>9102.7000000000007</v>
      </c>
      <c r="G2223">
        <v>19115.16</v>
      </c>
    </row>
    <row r="2224" spans="1:7" x14ac:dyDescent="0.35">
      <c r="A2224" s="1">
        <v>43433</v>
      </c>
      <c r="B2224">
        <v>3174.16</v>
      </c>
      <c r="C2224">
        <v>5006.25</v>
      </c>
      <c r="D2224">
        <v>11298.23</v>
      </c>
      <c r="E2224">
        <v>7909.1481599999997</v>
      </c>
      <c r="F2224">
        <v>9098.9</v>
      </c>
      <c r="G2224">
        <v>19159.599999999999</v>
      </c>
    </row>
    <row r="2225" spans="1:7" x14ac:dyDescent="0.35">
      <c r="A2225" s="1">
        <v>43434</v>
      </c>
      <c r="B2225">
        <v>3173.13</v>
      </c>
      <c r="C2225">
        <v>5003.92</v>
      </c>
      <c r="D2225">
        <v>11257.24</v>
      </c>
      <c r="E2225">
        <v>7867.9611999999997</v>
      </c>
      <c r="F2225">
        <v>9077.2000000000007</v>
      </c>
      <c r="G2225">
        <v>19188.97</v>
      </c>
    </row>
    <row r="2226" spans="1:7" x14ac:dyDescent="0.35">
      <c r="A2226" s="1">
        <v>43437</v>
      </c>
      <c r="B2226">
        <v>3214.99</v>
      </c>
      <c r="C2226">
        <v>5053.9799999999996</v>
      </c>
      <c r="D2226">
        <v>11465.46</v>
      </c>
      <c r="E2226">
        <v>7925.8491899999999</v>
      </c>
      <c r="F2226">
        <v>9179.6</v>
      </c>
      <c r="G2226">
        <v>19622.36</v>
      </c>
    </row>
    <row r="2227" spans="1:7" x14ac:dyDescent="0.35">
      <c r="A2227" s="1">
        <v>43438</v>
      </c>
      <c r="B2227">
        <v>3189.25</v>
      </c>
      <c r="C2227">
        <v>5012.66</v>
      </c>
      <c r="D2227">
        <v>11335.32</v>
      </c>
      <c r="E2227">
        <v>7872.8216700000003</v>
      </c>
      <c r="F2227">
        <v>9061.7000000000007</v>
      </c>
      <c r="G2227">
        <v>19353.43</v>
      </c>
    </row>
    <row r="2228" spans="1:7" x14ac:dyDescent="0.35">
      <c r="A2228" s="1">
        <v>43439</v>
      </c>
      <c r="B2228">
        <v>3150.27</v>
      </c>
      <c r="C2228">
        <v>4944.37</v>
      </c>
      <c r="D2228">
        <v>11200.24</v>
      </c>
      <c r="E2228">
        <v>7775.0253899999998</v>
      </c>
      <c r="F2228">
        <v>9012.2000000000007</v>
      </c>
      <c r="G2228">
        <v>19328.7</v>
      </c>
    </row>
    <row r="2229" spans="1:7" x14ac:dyDescent="0.35">
      <c r="A2229" s="1">
        <v>43440</v>
      </c>
      <c r="B2229">
        <v>3045.94</v>
      </c>
      <c r="C2229">
        <v>4780.46</v>
      </c>
      <c r="D2229">
        <v>10810.98</v>
      </c>
      <c r="E2229">
        <v>7533.0042800000001</v>
      </c>
      <c r="F2229">
        <v>8764.5</v>
      </c>
      <c r="G2229">
        <v>18643.830000000002</v>
      </c>
    </row>
    <row r="2230" spans="1:7" x14ac:dyDescent="0.35">
      <c r="A2230" s="1">
        <v>43441</v>
      </c>
      <c r="B2230">
        <v>3058.53</v>
      </c>
      <c r="C2230">
        <v>4813.13</v>
      </c>
      <c r="D2230">
        <v>10788.09</v>
      </c>
      <c r="E2230">
        <v>7572.80548</v>
      </c>
      <c r="F2230">
        <v>8815.5</v>
      </c>
      <c r="G2230">
        <v>18741.98</v>
      </c>
    </row>
    <row r="2231" spans="1:7" x14ac:dyDescent="0.35">
      <c r="A2231" s="1">
        <v>43444</v>
      </c>
      <c r="B2231">
        <v>3016.99</v>
      </c>
      <c r="C2231">
        <v>4742.38</v>
      </c>
      <c r="D2231">
        <v>10622.07</v>
      </c>
      <c r="E2231">
        <v>7433.3368899999996</v>
      </c>
      <c r="F2231">
        <v>8660</v>
      </c>
      <c r="G2231">
        <v>18410.13</v>
      </c>
    </row>
    <row r="2232" spans="1:7" x14ac:dyDescent="0.35">
      <c r="A2232" s="1">
        <v>43445</v>
      </c>
      <c r="B2232">
        <v>3055.32</v>
      </c>
      <c r="C2232">
        <v>4806.2</v>
      </c>
      <c r="D2232">
        <v>10780.51</v>
      </c>
      <c r="E2232">
        <v>7526.7833799999999</v>
      </c>
      <c r="F2232">
        <v>8735.5</v>
      </c>
      <c r="G2232">
        <v>18591.009999999998</v>
      </c>
    </row>
    <row r="2233" spans="1:7" x14ac:dyDescent="0.35">
      <c r="A2233" s="1">
        <v>43446</v>
      </c>
      <c r="B2233">
        <v>3107.97</v>
      </c>
      <c r="C2233">
        <v>4909.45</v>
      </c>
      <c r="D2233">
        <v>10929.43</v>
      </c>
      <c r="E2233">
        <v>7650.03107</v>
      </c>
      <c r="F2233">
        <v>8853.4</v>
      </c>
      <c r="G2233">
        <v>18945.8</v>
      </c>
    </row>
    <row r="2234" spans="1:7" x14ac:dyDescent="0.35">
      <c r="A2234" s="1">
        <v>43447</v>
      </c>
      <c r="B2234">
        <v>3112.17</v>
      </c>
      <c r="C2234">
        <v>4896.92</v>
      </c>
      <c r="D2234">
        <v>10924.7</v>
      </c>
      <c r="E2234">
        <v>7648.3952600000002</v>
      </c>
      <c r="F2234">
        <v>8926.2999999999993</v>
      </c>
      <c r="G2234">
        <v>19048.830000000002</v>
      </c>
    </row>
    <row r="2235" spans="1:7" x14ac:dyDescent="0.35">
      <c r="A2235" s="1">
        <v>43448</v>
      </c>
      <c r="B2235">
        <v>3092.6</v>
      </c>
      <c r="C2235">
        <v>4853.7</v>
      </c>
      <c r="D2235">
        <v>10865.77</v>
      </c>
      <c r="E2235">
        <v>7612.0034900000001</v>
      </c>
      <c r="F2235">
        <v>8886.1</v>
      </c>
      <c r="G2235">
        <v>18910.79</v>
      </c>
    </row>
    <row r="2236" spans="1:7" x14ac:dyDescent="0.35">
      <c r="A2236" s="1">
        <v>43451</v>
      </c>
      <c r="B2236">
        <v>3063.65</v>
      </c>
      <c r="C2236">
        <v>4799.87</v>
      </c>
      <c r="D2236">
        <v>10772.2</v>
      </c>
      <c r="E2236">
        <v>7527.4797500000004</v>
      </c>
      <c r="F2236">
        <v>8812.5</v>
      </c>
      <c r="G2236">
        <v>18693.45</v>
      </c>
    </row>
    <row r="2237" spans="1:7" x14ac:dyDescent="0.35">
      <c r="A2237" s="1">
        <v>43452</v>
      </c>
      <c r="B2237">
        <v>3040.13</v>
      </c>
      <c r="C2237">
        <v>4754.08</v>
      </c>
      <c r="D2237">
        <v>10740.89</v>
      </c>
      <c r="E2237">
        <v>7452.5692300000001</v>
      </c>
      <c r="F2237">
        <v>8700.7999999999993</v>
      </c>
      <c r="G2237">
        <v>18644.849999999999</v>
      </c>
    </row>
    <row r="2238" spans="1:7" x14ac:dyDescent="0.35">
      <c r="A2238" s="1">
        <v>43453</v>
      </c>
      <c r="B2238">
        <v>3051.38</v>
      </c>
      <c r="C2238">
        <v>4777.45</v>
      </c>
      <c r="D2238">
        <v>10766.21</v>
      </c>
      <c r="E2238">
        <v>7493.75972</v>
      </c>
      <c r="F2238">
        <v>8769.1</v>
      </c>
      <c r="G2238">
        <v>18941.900000000001</v>
      </c>
    </row>
    <row r="2239" spans="1:7" x14ac:dyDescent="0.35">
      <c r="A2239" s="1">
        <v>43454</v>
      </c>
      <c r="B2239">
        <v>3000.06</v>
      </c>
      <c r="C2239">
        <v>4692.46</v>
      </c>
      <c r="D2239">
        <v>10611.1</v>
      </c>
      <c r="E2239">
        <v>7425.3544499999998</v>
      </c>
      <c r="F2239">
        <v>8596.5</v>
      </c>
      <c r="G2239">
        <v>18576.900000000001</v>
      </c>
    </row>
    <row r="2240" spans="1:7" x14ac:dyDescent="0.35">
      <c r="A2240" s="1">
        <v>43455</v>
      </c>
      <c r="B2240">
        <v>3000.61</v>
      </c>
      <c r="C2240">
        <v>4694.38</v>
      </c>
      <c r="D2240">
        <v>10633.82</v>
      </c>
      <c r="E2240">
        <v>7460.8174600000002</v>
      </c>
      <c r="F2240">
        <v>8556.7999999999993</v>
      </c>
      <c r="G2240">
        <v>18397.189999999999</v>
      </c>
    </row>
    <row r="2241" spans="1:7" x14ac:dyDescent="0.35">
      <c r="A2241" s="1">
        <v>43461</v>
      </c>
      <c r="B2241">
        <v>2937.36</v>
      </c>
      <c r="C2241">
        <v>4598.6099999999997</v>
      </c>
      <c r="D2241">
        <v>10381.51</v>
      </c>
      <c r="E2241">
        <v>7276.7738600000002</v>
      </c>
      <c r="F2241">
        <v>8363.9</v>
      </c>
      <c r="G2241">
        <v>18064.62</v>
      </c>
    </row>
    <row r="2242" spans="1:7" x14ac:dyDescent="0.35">
      <c r="A2242" s="1">
        <v>43462</v>
      </c>
      <c r="B2242">
        <v>2986.53</v>
      </c>
      <c r="C2242">
        <v>4678.74</v>
      </c>
      <c r="D2242">
        <v>10558.96</v>
      </c>
      <c r="E2242">
        <v>7474.4065199999995</v>
      </c>
      <c r="F2242">
        <v>8493.7000000000007</v>
      </c>
      <c r="G2242">
        <v>18324.03</v>
      </c>
    </row>
    <row r="2243" spans="1:7" x14ac:dyDescent="0.35">
      <c r="A2243" s="1">
        <v>43467</v>
      </c>
      <c r="B2243">
        <v>2993.18</v>
      </c>
      <c r="C2243">
        <v>4689.3900000000003</v>
      </c>
      <c r="D2243">
        <v>10580.19</v>
      </c>
      <c r="E2243">
        <v>7478.0549600000004</v>
      </c>
      <c r="F2243">
        <v>8550</v>
      </c>
      <c r="G2243">
        <v>18330.990000000002</v>
      </c>
    </row>
    <row r="2244" spans="1:7" x14ac:dyDescent="0.35">
      <c r="A2244" s="1">
        <v>43468</v>
      </c>
      <c r="B2244">
        <v>2954.66</v>
      </c>
      <c r="C2244">
        <v>4611.49</v>
      </c>
      <c r="D2244">
        <v>10416.66</v>
      </c>
      <c r="E2244">
        <v>7423.0459099999998</v>
      </c>
      <c r="F2244">
        <v>8523.2999999999993</v>
      </c>
      <c r="G2244">
        <v>18218.400000000001</v>
      </c>
    </row>
    <row r="2245" spans="1:7" x14ac:dyDescent="0.35">
      <c r="A2245" s="1">
        <v>43469</v>
      </c>
      <c r="B2245">
        <v>3041.85</v>
      </c>
      <c r="C2245">
        <v>4737.12</v>
      </c>
      <c r="D2245">
        <v>10767.69</v>
      </c>
      <c r="E2245">
        <v>7628.7048000000004</v>
      </c>
      <c r="F2245">
        <v>8737.7999999999993</v>
      </c>
      <c r="G2245">
        <v>18831.79</v>
      </c>
    </row>
    <row r="2246" spans="1:7" x14ac:dyDescent="0.35">
      <c r="A2246" s="1">
        <v>43472</v>
      </c>
      <c r="B2246">
        <v>3033.64</v>
      </c>
      <c r="C2246">
        <v>4719.17</v>
      </c>
      <c r="D2246">
        <v>10747.81</v>
      </c>
      <c r="E2246">
        <v>7585.8558800000001</v>
      </c>
      <c r="F2246">
        <v>8776.2999999999993</v>
      </c>
      <c r="G2246">
        <v>18953.27</v>
      </c>
    </row>
    <row r="2247" spans="1:7" x14ac:dyDescent="0.35">
      <c r="A2247" s="1">
        <v>43473</v>
      </c>
      <c r="B2247">
        <v>3054.94</v>
      </c>
      <c r="C2247">
        <v>4773.2700000000004</v>
      </c>
      <c r="D2247">
        <v>10803.98</v>
      </c>
      <c r="E2247">
        <v>7622.4025099999999</v>
      </c>
      <c r="F2247">
        <v>8847.2999999999993</v>
      </c>
      <c r="G2247">
        <v>19000.14</v>
      </c>
    </row>
    <row r="2248" spans="1:7" x14ac:dyDescent="0.35">
      <c r="A2248" s="1">
        <v>43474</v>
      </c>
      <c r="B2248">
        <v>3070.24</v>
      </c>
      <c r="C2248">
        <v>4813.58</v>
      </c>
      <c r="D2248">
        <v>10893.32</v>
      </c>
      <c r="E2248">
        <v>7651.0105700000004</v>
      </c>
      <c r="F2248">
        <v>8823.6</v>
      </c>
      <c r="G2248">
        <v>19179.16</v>
      </c>
    </row>
    <row r="2249" spans="1:7" x14ac:dyDescent="0.35">
      <c r="A2249" s="1">
        <v>43475</v>
      </c>
      <c r="B2249">
        <v>3075.73</v>
      </c>
      <c r="C2249">
        <v>4805.66</v>
      </c>
      <c r="D2249">
        <v>10921.59</v>
      </c>
      <c r="E2249">
        <v>7694.1191900000003</v>
      </c>
      <c r="F2249">
        <v>8856.7999999999993</v>
      </c>
      <c r="G2249">
        <v>19300.740000000002</v>
      </c>
    </row>
    <row r="2250" spans="1:7" x14ac:dyDescent="0.35">
      <c r="A2250" s="1">
        <v>43476</v>
      </c>
      <c r="B2250">
        <v>3070.04</v>
      </c>
      <c r="C2250">
        <v>4781.34</v>
      </c>
      <c r="D2250">
        <v>10887.46</v>
      </c>
      <c r="E2250">
        <v>7747.78323</v>
      </c>
      <c r="F2250">
        <v>8877.1</v>
      </c>
      <c r="G2250">
        <v>19290.09</v>
      </c>
    </row>
    <row r="2251" spans="1:7" x14ac:dyDescent="0.35">
      <c r="A2251" s="1">
        <v>43479</v>
      </c>
      <c r="B2251">
        <v>3055.18</v>
      </c>
      <c r="C2251">
        <v>4762.75</v>
      </c>
      <c r="D2251">
        <v>10855.91</v>
      </c>
      <c r="E2251">
        <v>7698.9812499999998</v>
      </c>
      <c r="F2251">
        <v>8818.6</v>
      </c>
      <c r="G2251">
        <v>19171.48</v>
      </c>
    </row>
    <row r="2252" spans="1:7" x14ac:dyDescent="0.35">
      <c r="A2252" s="1">
        <v>43480</v>
      </c>
      <c r="B2252">
        <v>3068.05</v>
      </c>
      <c r="C2252">
        <v>4786.17</v>
      </c>
      <c r="D2252">
        <v>10891.79</v>
      </c>
      <c r="E2252">
        <v>7706.8041800000001</v>
      </c>
      <c r="F2252">
        <v>8850.1</v>
      </c>
      <c r="G2252">
        <v>19165.48</v>
      </c>
    </row>
    <row r="2253" spans="1:7" x14ac:dyDescent="0.35">
      <c r="A2253" s="1">
        <v>43481</v>
      </c>
      <c r="B2253">
        <v>3077.22</v>
      </c>
      <c r="C2253">
        <v>4810.74</v>
      </c>
      <c r="D2253">
        <v>10931.24</v>
      </c>
      <c r="E2253">
        <v>7737.3707100000001</v>
      </c>
      <c r="F2253">
        <v>8912.7000000000007</v>
      </c>
      <c r="G2253">
        <v>19477.77</v>
      </c>
    </row>
    <row r="2254" spans="1:7" x14ac:dyDescent="0.35">
      <c r="A2254" s="1">
        <v>43482</v>
      </c>
      <c r="B2254">
        <v>3069.35</v>
      </c>
      <c r="C2254">
        <v>4794.37</v>
      </c>
      <c r="D2254">
        <v>10918.62</v>
      </c>
      <c r="E2254">
        <v>7780.2962200000002</v>
      </c>
      <c r="F2254">
        <v>8908.6</v>
      </c>
      <c r="G2254">
        <v>19470.38</v>
      </c>
    </row>
    <row r="2255" spans="1:7" x14ac:dyDescent="0.35">
      <c r="A2255" s="1">
        <v>43483</v>
      </c>
      <c r="B2255">
        <v>3134.92</v>
      </c>
      <c r="C2255">
        <v>4875.93</v>
      </c>
      <c r="D2255">
        <v>11205.54</v>
      </c>
      <c r="E2255">
        <v>7906.3980199999996</v>
      </c>
      <c r="F2255">
        <v>9069.1</v>
      </c>
      <c r="G2255">
        <v>19708.060000000001</v>
      </c>
    </row>
    <row r="2256" spans="1:7" x14ac:dyDescent="0.35">
      <c r="A2256" s="1">
        <v>43486</v>
      </c>
      <c r="B2256">
        <v>3125.07</v>
      </c>
      <c r="C2256">
        <v>4867.78</v>
      </c>
      <c r="D2256">
        <v>11136.2</v>
      </c>
      <c r="E2256">
        <v>7907.5236299999997</v>
      </c>
      <c r="F2256">
        <v>9053.7999999999993</v>
      </c>
      <c r="G2256">
        <v>19638.64</v>
      </c>
    </row>
    <row r="2257" spans="1:7" x14ac:dyDescent="0.35">
      <c r="A2257" s="1">
        <v>43487</v>
      </c>
      <c r="B2257">
        <v>3112.8</v>
      </c>
      <c r="C2257">
        <v>4847.53</v>
      </c>
      <c r="D2257">
        <v>11090.11</v>
      </c>
      <c r="E2257">
        <v>7869.6121000000003</v>
      </c>
      <c r="F2257">
        <v>9037.5</v>
      </c>
      <c r="G2257">
        <v>19437.27</v>
      </c>
    </row>
    <row r="2258" spans="1:7" x14ac:dyDescent="0.35">
      <c r="A2258" s="1">
        <v>43488</v>
      </c>
      <c r="B2258">
        <v>3112.13</v>
      </c>
      <c r="C2258">
        <v>4840.38</v>
      </c>
      <c r="D2258">
        <v>11071.54</v>
      </c>
      <c r="E2258">
        <v>7847.7196599999997</v>
      </c>
      <c r="F2258">
        <v>9128.7999999999993</v>
      </c>
      <c r="G2258">
        <v>19400.150000000001</v>
      </c>
    </row>
    <row r="2259" spans="1:7" x14ac:dyDescent="0.35">
      <c r="A2259" s="1">
        <v>43489</v>
      </c>
      <c r="B2259">
        <v>3126.31</v>
      </c>
      <c r="C2259">
        <v>4871.96</v>
      </c>
      <c r="D2259">
        <v>11130.18</v>
      </c>
      <c r="E2259">
        <v>7855.7635300000002</v>
      </c>
      <c r="F2259">
        <v>9150</v>
      </c>
      <c r="G2259">
        <v>19564.48</v>
      </c>
    </row>
    <row r="2260" spans="1:7" x14ac:dyDescent="0.35">
      <c r="A2260" s="1">
        <v>43490</v>
      </c>
      <c r="B2260">
        <v>3163.24</v>
      </c>
      <c r="C2260">
        <v>4925.82</v>
      </c>
      <c r="D2260">
        <v>11281.79</v>
      </c>
      <c r="E2260">
        <v>7865.8848600000001</v>
      </c>
      <c r="F2260">
        <v>9185.2000000000007</v>
      </c>
      <c r="G2260">
        <v>19810.52</v>
      </c>
    </row>
    <row r="2261" spans="1:7" x14ac:dyDescent="0.35">
      <c r="A2261" s="1">
        <v>43493</v>
      </c>
      <c r="B2261">
        <v>3137.27</v>
      </c>
      <c r="C2261">
        <v>4888.58</v>
      </c>
      <c r="D2261">
        <v>11210.31</v>
      </c>
      <c r="E2261">
        <v>7770.2282400000004</v>
      </c>
      <c r="F2261">
        <v>9062.4</v>
      </c>
      <c r="G2261">
        <v>19608.13</v>
      </c>
    </row>
    <row r="2262" spans="1:7" x14ac:dyDescent="0.35">
      <c r="A2262" s="1">
        <v>43494</v>
      </c>
      <c r="B2262">
        <v>3153.42</v>
      </c>
      <c r="C2262">
        <v>4928.18</v>
      </c>
      <c r="D2262">
        <v>11218.83</v>
      </c>
      <c r="E2262">
        <v>7855.9099100000003</v>
      </c>
      <c r="F2262">
        <v>9119.1</v>
      </c>
      <c r="G2262">
        <v>19701.599999999999</v>
      </c>
    </row>
    <row r="2263" spans="1:7" x14ac:dyDescent="0.35">
      <c r="A2263" s="1">
        <v>43495</v>
      </c>
      <c r="B2263">
        <v>3161.74</v>
      </c>
      <c r="C2263">
        <v>4974.76</v>
      </c>
      <c r="D2263">
        <v>11181.66</v>
      </c>
      <c r="E2263">
        <v>7940.4125599999998</v>
      </c>
      <c r="F2263">
        <v>9071.5</v>
      </c>
      <c r="G2263">
        <v>19771.55</v>
      </c>
    </row>
    <row r="2264" spans="1:7" x14ac:dyDescent="0.35">
      <c r="A2264" s="1">
        <v>43496</v>
      </c>
      <c r="B2264">
        <v>3159.43</v>
      </c>
      <c r="C2264">
        <v>4992.72</v>
      </c>
      <c r="D2264">
        <v>11173.1</v>
      </c>
      <c r="E2264">
        <v>7986.4846900000002</v>
      </c>
      <c r="F2264">
        <v>9056.7000000000007</v>
      </c>
      <c r="G2264">
        <v>19730.78</v>
      </c>
    </row>
    <row r="2265" spans="1:7" x14ac:dyDescent="0.35">
      <c r="A2265" s="1">
        <v>43497</v>
      </c>
      <c r="B2265">
        <v>3171.12</v>
      </c>
      <c r="C2265">
        <v>5019.26</v>
      </c>
      <c r="D2265">
        <v>11180.66</v>
      </c>
      <c r="E2265">
        <v>8009.3799499999996</v>
      </c>
      <c r="F2265">
        <v>9019.4</v>
      </c>
      <c r="G2265">
        <v>19576.77</v>
      </c>
    </row>
    <row r="2266" spans="1:7" x14ac:dyDescent="0.35">
      <c r="A2266" s="1">
        <v>43500</v>
      </c>
      <c r="B2266">
        <v>3165.2</v>
      </c>
      <c r="C2266">
        <v>5000.1899999999996</v>
      </c>
      <c r="D2266">
        <v>11176.58</v>
      </c>
      <c r="E2266">
        <v>8026.6985999999997</v>
      </c>
      <c r="F2266">
        <v>8975.2000000000007</v>
      </c>
      <c r="G2266">
        <v>19605.599999999999</v>
      </c>
    </row>
    <row r="2267" spans="1:7" x14ac:dyDescent="0.35">
      <c r="A2267" s="1">
        <v>43501</v>
      </c>
      <c r="B2267">
        <v>3215.04</v>
      </c>
      <c r="C2267">
        <v>5083.34</v>
      </c>
      <c r="D2267">
        <v>11367.98</v>
      </c>
      <c r="E2267">
        <v>8144.2924000000003</v>
      </c>
      <c r="F2267">
        <v>9092</v>
      </c>
      <c r="G2267">
        <v>19833.490000000002</v>
      </c>
    </row>
    <row r="2268" spans="1:7" x14ac:dyDescent="0.35">
      <c r="A2268" s="1">
        <v>43502</v>
      </c>
      <c r="B2268">
        <v>3212.75</v>
      </c>
      <c r="C2268">
        <v>5079.05</v>
      </c>
      <c r="D2268">
        <v>11324.72</v>
      </c>
      <c r="E2268">
        <v>8166.83032</v>
      </c>
      <c r="F2268">
        <v>9100.9</v>
      </c>
      <c r="G2268">
        <v>19996.47</v>
      </c>
    </row>
    <row r="2269" spans="1:7" x14ac:dyDescent="0.35">
      <c r="A2269" s="1">
        <v>43503</v>
      </c>
      <c r="B2269">
        <v>3150.76</v>
      </c>
      <c r="C2269">
        <v>4985.5600000000004</v>
      </c>
      <c r="D2269">
        <v>11022.02</v>
      </c>
      <c r="E2269">
        <v>8103.0197500000004</v>
      </c>
      <c r="F2269">
        <v>8938.2999999999993</v>
      </c>
      <c r="G2269">
        <v>19478.32</v>
      </c>
    </row>
    <row r="2270" spans="1:7" x14ac:dyDescent="0.35">
      <c r="A2270" s="1">
        <v>43504</v>
      </c>
      <c r="B2270">
        <v>3135.62</v>
      </c>
      <c r="C2270">
        <v>4961.6400000000003</v>
      </c>
      <c r="D2270">
        <v>10906.78</v>
      </c>
      <c r="E2270">
        <v>8069.7579299999998</v>
      </c>
      <c r="F2270">
        <v>8856.7999999999993</v>
      </c>
      <c r="G2270">
        <v>19351.900000000001</v>
      </c>
    </row>
    <row r="2271" spans="1:7" x14ac:dyDescent="0.35">
      <c r="A2271" s="1">
        <v>43507</v>
      </c>
      <c r="B2271">
        <v>3165.61</v>
      </c>
      <c r="C2271">
        <v>5014.47</v>
      </c>
      <c r="D2271">
        <v>11014.59</v>
      </c>
      <c r="E2271">
        <v>8128.4883900000004</v>
      </c>
      <c r="F2271">
        <v>8936.4</v>
      </c>
      <c r="G2271">
        <v>19586.560000000001</v>
      </c>
    </row>
    <row r="2272" spans="1:7" x14ac:dyDescent="0.35">
      <c r="A2272" s="1">
        <v>43508</v>
      </c>
      <c r="B2272">
        <v>3190.75</v>
      </c>
      <c r="C2272">
        <v>5056.3500000000004</v>
      </c>
      <c r="D2272">
        <v>11126.08</v>
      </c>
      <c r="E2272">
        <v>8121.8234499999999</v>
      </c>
      <c r="F2272">
        <v>8983.1</v>
      </c>
      <c r="G2272">
        <v>19805.28</v>
      </c>
    </row>
    <row r="2273" spans="1:7" x14ac:dyDescent="0.35">
      <c r="A2273" s="1">
        <v>43509</v>
      </c>
      <c r="B2273">
        <v>3202.37</v>
      </c>
      <c r="C2273">
        <v>5074.2700000000004</v>
      </c>
      <c r="D2273">
        <v>11167.22</v>
      </c>
      <c r="E2273">
        <v>8197.7871799999994</v>
      </c>
      <c r="F2273">
        <v>8982.4</v>
      </c>
      <c r="G2273">
        <v>19989.900000000001</v>
      </c>
    </row>
    <row r="2274" spans="1:7" x14ac:dyDescent="0.35">
      <c r="A2274" s="1">
        <v>43510</v>
      </c>
      <c r="B2274">
        <v>3182.66</v>
      </c>
      <c r="C2274">
        <v>5062.5200000000004</v>
      </c>
      <c r="D2274">
        <v>11089.79</v>
      </c>
      <c r="E2274">
        <v>8157.7155899999998</v>
      </c>
      <c r="F2274">
        <v>8952.5</v>
      </c>
      <c r="G2274">
        <v>19834.96</v>
      </c>
    </row>
    <row r="2275" spans="1:7" x14ac:dyDescent="0.35">
      <c r="A2275" s="1">
        <v>43511</v>
      </c>
      <c r="B2275">
        <v>3241.25</v>
      </c>
      <c r="C2275">
        <v>5153.1899999999996</v>
      </c>
      <c r="D2275">
        <v>11299.8</v>
      </c>
      <c r="E2275">
        <v>8261.2290400000002</v>
      </c>
      <c r="F2275">
        <v>9123.2000000000007</v>
      </c>
      <c r="G2275">
        <v>20212.34</v>
      </c>
    </row>
    <row r="2276" spans="1:7" x14ac:dyDescent="0.35">
      <c r="A2276" s="1">
        <v>43514</v>
      </c>
      <c r="B2276">
        <v>3244.79</v>
      </c>
      <c r="C2276">
        <v>5168.54</v>
      </c>
      <c r="D2276">
        <v>11299.2</v>
      </c>
      <c r="E2276">
        <v>8250.2757700000002</v>
      </c>
      <c r="F2276">
        <v>9155.5</v>
      </c>
      <c r="G2276">
        <v>20329.830000000002</v>
      </c>
    </row>
    <row r="2277" spans="1:7" x14ac:dyDescent="0.35">
      <c r="A2277" s="1">
        <v>43515</v>
      </c>
      <c r="B2277">
        <v>3239.41</v>
      </c>
      <c r="C2277">
        <v>5160.5200000000004</v>
      </c>
      <c r="D2277">
        <v>11309.21</v>
      </c>
      <c r="E2277">
        <v>8262.8779799999993</v>
      </c>
      <c r="F2277">
        <v>9136.4</v>
      </c>
      <c r="G2277">
        <v>20228.189999999999</v>
      </c>
    </row>
    <row r="2278" spans="1:7" x14ac:dyDescent="0.35">
      <c r="A2278" s="1">
        <v>43516</v>
      </c>
      <c r="B2278">
        <v>3259.49</v>
      </c>
      <c r="C2278">
        <v>5195.95</v>
      </c>
      <c r="D2278">
        <v>11401.97</v>
      </c>
      <c r="E2278">
        <v>8323.1523799999995</v>
      </c>
      <c r="F2278">
        <v>9181.1</v>
      </c>
      <c r="G2278">
        <v>20304.21</v>
      </c>
    </row>
    <row r="2279" spans="1:7" x14ac:dyDescent="0.35">
      <c r="A2279" s="1">
        <v>43517</v>
      </c>
      <c r="B2279">
        <v>3263.7</v>
      </c>
      <c r="C2279">
        <v>5196.1099999999997</v>
      </c>
      <c r="D2279">
        <v>11423.28</v>
      </c>
      <c r="E2279">
        <v>8247.9709999999995</v>
      </c>
      <c r="F2279">
        <v>9191.2000000000007</v>
      </c>
      <c r="G2279">
        <v>20209.72</v>
      </c>
    </row>
    <row r="2280" spans="1:7" x14ac:dyDescent="0.35">
      <c r="A2280" s="1">
        <v>43518</v>
      </c>
      <c r="B2280">
        <v>3270.55</v>
      </c>
      <c r="C2280">
        <v>5215.8500000000004</v>
      </c>
      <c r="D2280">
        <v>11457.7</v>
      </c>
      <c r="E2280">
        <v>8268.1072399999994</v>
      </c>
      <c r="F2280">
        <v>9204.6</v>
      </c>
      <c r="G2280">
        <v>20262.509999999998</v>
      </c>
    </row>
    <row r="2281" spans="1:7" x14ac:dyDescent="0.35">
      <c r="A2281" s="1">
        <v>43521</v>
      </c>
      <c r="B2281">
        <v>3280.01</v>
      </c>
      <c r="C2281">
        <v>5231.8500000000004</v>
      </c>
      <c r="D2281">
        <v>11505.39</v>
      </c>
      <c r="E2281">
        <v>8282.0647200000003</v>
      </c>
      <c r="F2281">
        <v>9204.2999999999993</v>
      </c>
      <c r="G2281">
        <v>20436.96</v>
      </c>
    </row>
    <row r="2282" spans="1:7" x14ac:dyDescent="0.35">
      <c r="A2282" s="1">
        <v>43522</v>
      </c>
      <c r="B2282">
        <v>3289.32</v>
      </c>
      <c r="C2282">
        <v>5238.72</v>
      </c>
      <c r="D2282">
        <v>11540.79</v>
      </c>
      <c r="E2282">
        <v>8327.4729599999991</v>
      </c>
      <c r="F2282">
        <v>9227.2000000000007</v>
      </c>
      <c r="G2282">
        <v>20459.59</v>
      </c>
    </row>
    <row r="2283" spans="1:7" x14ac:dyDescent="0.35">
      <c r="A2283" s="1">
        <v>43523</v>
      </c>
      <c r="B2283">
        <v>3282.77</v>
      </c>
      <c r="C2283">
        <v>5225.3500000000004</v>
      </c>
      <c r="D2283">
        <v>11487.33</v>
      </c>
      <c r="E2283">
        <v>8315.5927900000006</v>
      </c>
      <c r="F2283">
        <v>9211.7000000000007</v>
      </c>
      <c r="G2283">
        <v>20498.79</v>
      </c>
    </row>
    <row r="2284" spans="1:7" x14ac:dyDescent="0.35">
      <c r="A2284" s="1">
        <v>43524</v>
      </c>
      <c r="B2284">
        <v>3298.26</v>
      </c>
      <c r="C2284">
        <v>5240.53</v>
      </c>
      <c r="D2284">
        <v>11515.64</v>
      </c>
      <c r="E2284">
        <v>8245.7712300000003</v>
      </c>
      <c r="F2284">
        <v>9277.7000000000007</v>
      </c>
      <c r="G2284">
        <v>20659.46</v>
      </c>
    </row>
    <row r="2285" spans="1:7" x14ac:dyDescent="0.35">
      <c r="A2285" s="1">
        <v>43525</v>
      </c>
      <c r="B2285">
        <v>3312.1</v>
      </c>
      <c r="C2285">
        <v>5265.19</v>
      </c>
      <c r="D2285">
        <v>11601.68</v>
      </c>
      <c r="E2285">
        <v>8257.3136500000001</v>
      </c>
      <c r="F2285">
        <v>9267.7000000000007</v>
      </c>
      <c r="G2285">
        <v>20694.53</v>
      </c>
    </row>
    <row r="2286" spans="1:7" x14ac:dyDescent="0.35">
      <c r="A2286" s="1">
        <v>43528</v>
      </c>
      <c r="B2286">
        <v>3317.12</v>
      </c>
      <c r="C2286">
        <v>5286.57</v>
      </c>
      <c r="D2286">
        <v>11592.66</v>
      </c>
      <c r="E2286">
        <v>8299.1112799999992</v>
      </c>
      <c r="F2286">
        <v>9259.7999999999993</v>
      </c>
      <c r="G2286">
        <v>20718.3</v>
      </c>
    </row>
    <row r="2287" spans="1:7" x14ac:dyDescent="0.35">
      <c r="A2287" s="1">
        <v>43529</v>
      </c>
      <c r="B2287">
        <v>3327.19</v>
      </c>
      <c r="C2287">
        <v>5297.52</v>
      </c>
      <c r="D2287">
        <v>11620.74</v>
      </c>
      <c r="E2287">
        <v>8362.9699400000009</v>
      </c>
      <c r="F2287">
        <v>9258.2000000000007</v>
      </c>
      <c r="G2287">
        <v>20715.97</v>
      </c>
    </row>
    <row r="2288" spans="1:7" x14ac:dyDescent="0.35">
      <c r="A2288" s="1">
        <v>43530</v>
      </c>
      <c r="B2288">
        <v>3324.67</v>
      </c>
      <c r="C2288">
        <v>5288.81</v>
      </c>
      <c r="D2288">
        <v>11587.63</v>
      </c>
      <c r="E2288">
        <v>8377.7272699999994</v>
      </c>
      <c r="F2288">
        <v>9296.7000000000007</v>
      </c>
      <c r="G2288">
        <v>20851.560000000001</v>
      </c>
    </row>
    <row r="2289" spans="1:7" x14ac:dyDescent="0.35">
      <c r="A2289" s="1">
        <v>43531</v>
      </c>
      <c r="B2289">
        <v>3308.85</v>
      </c>
      <c r="C2289">
        <v>5267.92</v>
      </c>
      <c r="D2289">
        <v>11517.8</v>
      </c>
      <c r="E2289">
        <v>8371.6235099999994</v>
      </c>
      <c r="F2289">
        <v>9249.9</v>
      </c>
      <c r="G2289">
        <v>20697.560000000001</v>
      </c>
    </row>
    <row r="2290" spans="1:7" x14ac:dyDescent="0.35">
      <c r="A2290" s="1">
        <v>43532</v>
      </c>
      <c r="B2290">
        <v>3283.6</v>
      </c>
      <c r="C2290">
        <v>5231.22</v>
      </c>
      <c r="D2290">
        <v>11457.84</v>
      </c>
      <c r="E2290">
        <v>8223.0492099999992</v>
      </c>
      <c r="F2290">
        <v>9129.2999999999993</v>
      </c>
      <c r="G2290">
        <v>20484.39</v>
      </c>
    </row>
    <row r="2291" spans="1:7" x14ac:dyDescent="0.35">
      <c r="A2291" s="1">
        <v>43535</v>
      </c>
      <c r="B2291">
        <v>3304.44</v>
      </c>
      <c r="C2291">
        <v>5265.96</v>
      </c>
      <c r="D2291">
        <v>11543.48</v>
      </c>
      <c r="E2291">
        <v>8337.6623299999992</v>
      </c>
      <c r="F2291">
        <v>9171.9</v>
      </c>
      <c r="G2291">
        <v>20638.22</v>
      </c>
    </row>
    <row r="2292" spans="1:7" x14ac:dyDescent="0.35">
      <c r="A2292" s="1">
        <v>43536</v>
      </c>
      <c r="B2292">
        <v>3303.95</v>
      </c>
      <c r="C2292">
        <v>5270.25</v>
      </c>
      <c r="D2292">
        <v>11524.17</v>
      </c>
      <c r="E2292">
        <v>8279.8788999999997</v>
      </c>
      <c r="F2292">
        <v>9161.7000000000007</v>
      </c>
      <c r="G2292">
        <v>20631.189999999999</v>
      </c>
    </row>
    <row r="2293" spans="1:7" x14ac:dyDescent="0.35">
      <c r="A2293" s="1">
        <v>43537</v>
      </c>
      <c r="B2293">
        <v>3323.45</v>
      </c>
      <c r="C2293">
        <v>5306.38</v>
      </c>
      <c r="D2293">
        <v>11572.41</v>
      </c>
      <c r="E2293">
        <v>8362.6281099999997</v>
      </c>
      <c r="F2293">
        <v>9192.7000000000007</v>
      </c>
      <c r="G2293">
        <v>20749.2</v>
      </c>
    </row>
    <row r="2294" spans="1:7" x14ac:dyDescent="0.35">
      <c r="A2294" s="1">
        <v>43538</v>
      </c>
      <c r="B2294">
        <v>3342.03</v>
      </c>
      <c r="C2294">
        <v>5349.78</v>
      </c>
      <c r="D2294">
        <v>11587.47</v>
      </c>
      <c r="E2294">
        <v>8431.2267400000001</v>
      </c>
      <c r="F2294">
        <v>9209.7999999999993</v>
      </c>
      <c r="G2294">
        <v>20877.43</v>
      </c>
    </row>
    <row r="2295" spans="1:7" x14ac:dyDescent="0.35">
      <c r="A2295" s="1">
        <v>43539</v>
      </c>
      <c r="B2295">
        <v>3386.08</v>
      </c>
      <c r="C2295">
        <v>5405.32</v>
      </c>
      <c r="D2295">
        <v>11685.69</v>
      </c>
      <c r="E2295">
        <v>8483.0123500000009</v>
      </c>
      <c r="F2295">
        <v>9342.2000000000007</v>
      </c>
      <c r="G2295">
        <v>21045.41</v>
      </c>
    </row>
    <row r="2296" spans="1:7" x14ac:dyDescent="0.35">
      <c r="A2296" s="1">
        <v>43542</v>
      </c>
      <c r="B2296">
        <v>3387.94</v>
      </c>
      <c r="C2296">
        <v>5412.83</v>
      </c>
      <c r="D2296">
        <v>11657.06</v>
      </c>
      <c r="E2296">
        <v>8527.3199600000007</v>
      </c>
      <c r="F2296">
        <v>9409.1</v>
      </c>
      <c r="G2296">
        <v>21234.61</v>
      </c>
    </row>
    <row r="2297" spans="1:7" x14ac:dyDescent="0.35">
      <c r="A2297" s="1">
        <v>43543</v>
      </c>
      <c r="B2297">
        <v>3409</v>
      </c>
      <c r="C2297">
        <v>5425.9</v>
      </c>
      <c r="D2297">
        <v>11788.41</v>
      </c>
      <c r="E2297">
        <v>8559.2880000000005</v>
      </c>
      <c r="F2297">
        <v>9492.2999999999993</v>
      </c>
      <c r="G2297">
        <v>21430.35</v>
      </c>
    </row>
    <row r="2298" spans="1:7" x14ac:dyDescent="0.35">
      <c r="A2298" s="1">
        <v>43544</v>
      </c>
      <c r="B2298">
        <v>3372.38</v>
      </c>
      <c r="C2298">
        <v>5382.66</v>
      </c>
      <c r="D2298">
        <v>11603.89</v>
      </c>
      <c r="E2298">
        <v>8462.5272800000002</v>
      </c>
      <c r="F2298">
        <v>9405.6</v>
      </c>
      <c r="G2298">
        <v>21330.21</v>
      </c>
    </row>
    <row r="2299" spans="1:7" x14ac:dyDescent="0.35">
      <c r="A2299" s="1">
        <v>43545</v>
      </c>
      <c r="B2299">
        <v>3367.4</v>
      </c>
      <c r="C2299">
        <v>5378.85</v>
      </c>
      <c r="D2299">
        <v>11549.96</v>
      </c>
      <c r="E2299">
        <v>8461.8782599999995</v>
      </c>
      <c r="F2299">
        <v>9355.6</v>
      </c>
      <c r="G2299">
        <v>21373.06</v>
      </c>
    </row>
    <row r="2300" spans="1:7" x14ac:dyDescent="0.35">
      <c r="A2300" s="1">
        <v>43546</v>
      </c>
      <c r="B2300">
        <v>3305.73</v>
      </c>
      <c r="C2300">
        <v>5269.92</v>
      </c>
      <c r="D2300">
        <v>11364.17</v>
      </c>
      <c r="E2300">
        <v>8422.3595299999997</v>
      </c>
      <c r="F2300">
        <v>9199.4</v>
      </c>
      <c r="G2300">
        <v>21078.76</v>
      </c>
    </row>
    <row r="2301" spans="1:7" x14ac:dyDescent="0.35">
      <c r="A2301" s="1">
        <v>43549</v>
      </c>
      <c r="B2301">
        <v>3300.48</v>
      </c>
      <c r="C2301">
        <v>5260.64</v>
      </c>
      <c r="D2301">
        <v>11346.65</v>
      </c>
      <c r="E2301">
        <v>8361.0530299999991</v>
      </c>
      <c r="F2301">
        <v>9179.9</v>
      </c>
      <c r="G2301">
        <v>21059.599999999999</v>
      </c>
    </row>
    <row r="2302" spans="1:7" x14ac:dyDescent="0.35">
      <c r="A2302" s="1">
        <v>43550</v>
      </c>
      <c r="B2302">
        <v>3319.53</v>
      </c>
      <c r="C2302">
        <v>5307.38</v>
      </c>
      <c r="D2302">
        <v>11419.48</v>
      </c>
      <c r="E2302">
        <v>8432.9829300000001</v>
      </c>
      <c r="F2302">
        <v>9183.1</v>
      </c>
      <c r="G2302">
        <v>21139.4</v>
      </c>
    </row>
    <row r="2303" spans="1:7" x14ac:dyDescent="0.35">
      <c r="A2303" s="1">
        <v>43551</v>
      </c>
      <c r="B2303">
        <v>3322.04</v>
      </c>
      <c r="C2303">
        <v>5301.24</v>
      </c>
      <c r="D2303">
        <v>11419.04</v>
      </c>
      <c r="E2303">
        <v>8450.3285599999999</v>
      </c>
      <c r="F2303">
        <v>9229.9</v>
      </c>
      <c r="G2303">
        <v>21194.19</v>
      </c>
    </row>
    <row r="2304" spans="1:7" x14ac:dyDescent="0.35">
      <c r="A2304" s="1">
        <v>43552</v>
      </c>
      <c r="B2304">
        <v>3320.29</v>
      </c>
      <c r="C2304">
        <v>5296.54</v>
      </c>
      <c r="D2304">
        <v>11428.16</v>
      </c>
      <c r="E2304">
        <v>8417.1928599999992</v>
      </c>
      <c r="F2304">
        <v>9174.7000000000007</v>
      </c>
      <c r="G2304">
        <v>21080.97</v>
      </c>
    </row>
    <row r="2305" spans="1:7" x14ac:dyDescent="0.35">
      <c r="A2305" s="1">
        <v>43553</v>
      </c>
      <c r="B2305">
        <v>3351.71</v>
      </c>
      <c r="C2305">
        <v>5350.53</v>
      </c>
      <c r="D2305">
        <v>11526.04</v>
      </c>
      <c r="E2305">
        <v>8428.7065000000002</v>
      </c>
      <c r="F2305">
        <v>9240.2999999999993</v>
      </c>
      <c r="G2305">
        <v>21286.13</v>
      </c>
    </row>
    <row r="2306" spans="1:7" x14ac:dyDescent="0.35">
      <c r="A2306" s="1">
        <v>43556</v>
      </c>
      <c r="B2306">
        <v>3385.38</v>
      </c>
      <c r="C2306">
        <v>5405.53</v>
      </c>
      <c r="D2306">
        <v>11681.99</v>
      </c>
      <c r="E2306">
        <v>8566.5454399999999</v>
      </c>
      <c r="F2306">
        <v>9341.7000000000007</v>
      </c>
      <c r="G2306">
        <v>21520.25</v>
      </c>
    </row>
    <row r="2307" spans="1:7" x14ac:dyDescent="0.35">
      <c r="A2307" s="1">
        <v>43557</v>
      </c>
      <c r="B2307">
        <v>3395.7</v>
      </c>
      <c r="C2307">
        <v>5423.47</v>
      </c>
      <c r="D2307">
        <v>11754.79</v>
      </c>
      <c r="E2307">
        <v>8632.1046900000001</v>
      </c>
      <c r="F2307">
        <v>9363.5</v>
      </c>
      <c r="G2307">
        <v>21522.92</v>
      </c>
    </row>
    <row r="2308" spans="1:7" x14ac:dyDescent="0.35">
      <c r="A2308" s="1">
        <v>43558</v>
      </c>
      <c r="B2308">
        <v>3435.56</v>
      </c>
      <c r="C2308">
        <v>5468.91</v>
      </c>
      <c r="D2308">
        <v>11954.4</v>
      </c>
      <c r="E2308">
        <v>8688.9672399999999</v>
      </c>
      <c r="F2308">
        <v>9487.7999999999993</v>
      </c>
      <c r="G2308">
        <v>21755.88</v>
      </c>
    </row>
    <row r="2309" spans="1:7" x14ac:dyDescent="0.35">
      <c r="A2309" s="1">
        <v>43559</v>
      </c>
      <c r="B2309">
        <v>3441.93</v>
      </c>
      <c r="C2309">
        <v>5463.8</v>
      </c>
      <c r="D2309">
        <v>11988.01</v>
      </c>
      <c r="E2309">
        <v>8631.0882500000007</v>
      </c>
      <c r="F2309">
        <v>9534.1</v>
      </c>
      <c r="G2309">
        <v>21705.599999999999</v>
      </c>
    </row>
    <row r="2310" spans="1:7" x14ac:dyDescent="0.35">
      <c r="A2310" s="1">
        <v>43560</v>
      </c>
      <c r="B2310">
        <v>3447.47</v>
      </c>
      <c r="C2310">
        <v>5476.2</v>
      </c>
      <c r="D2310">
        <v>12009.75</v>
      </c>
      <c r="E2310">
        <v>8642.0876499999995</v>
      </c>
      <c r="F2310">
        <v>9510.2999999999993</v>
      </c>
      <c r="G2310">
        <v>21758.61</v>
      </c>
    </row>
    <row r="2311" spans="1:7" x14ac:dyDescent="0.35">
      <c r="A2311" s="1">
        <v>43563</v>
      </c>
      <c r="B2311">
        <v>3438.06</v>
      </c>
      <c r="C2311">
        <v>5471.78</v>
      </c>
      <c r="D2311">
        <v>11963.4</v>
      </c>
      <c r="E2311">
        <v>8637.1022900000007</v>
      </c>
      <c r="F2311">
        <v>9437.7000000000007</v>
      </c>
      <c r="G2311">
        <v>21771.96</v>
      </c>
    </row>
    <row r="2312" spans="1:7" x14ac:dyDescent="0.35">
      <c r="A2312" s="1">
        <v>43564</v>
      </c>
      <c r="B2312">
        <v>3417.22</v>
      </c>
      <c r="C2312">
        <v>5436.42</v>
      </c>
      <c r="D2312">
        <v>11850.57</v>
      </c>
      <c r="E2312">
        <v>8588.4920099999999</v>
      </c>
      <c r="F2312">
        <v>9407.7999999999993</v>
      </c>
      <c r="G2312">
        <v>21671.78</v>
      </c>
    </row>
    <row r="2313" spans="1:7" x14ac:dyDescent="0.35">
      <c r="A2313" s="1">
        <v>43565</v>
      </c>
      <c r="B2313">
        <v>3424.65</v>
      </c>
      <c r="C2313">
        <v>5449.88</v>
      </c>
      <c r="D2313">
        <v>11905.91</v>
      </c>
      <c r="E2313">
        <v>8631.0310200000004</v>
      </c>
      <c r="F2313">
        <v>9406.5</v>
      </c>
      <c r="G2313">
        <v>21671.759999999998</v>
      </c>
    </row>
    <row r="2314" spans="1:7" x14ac:dyDescent="0.35">
      <c r="A2314" s="1">
        <v>43566</v>
      </c>
      <c r="B2314">
        <v>3435.34</v>
      </c>
      <c r="C2314">
        <v>5485.72</v>
      </c>
      <c r="D2314">
        <v>11935.2</v>
      </c>
      <c r="E2314">
        <v>8609.9087400000008</v>
      </c>
      <c r="F2314">
        <v>9445.4</v>
      </c>
      <c r="G2314">
        <v>21684.84</v>
      </c>
    </row>
    <row r="2315" spans="1:7" x14ac:dyDescent="0.35">
      <c r="A2315" s="1">
        <v>43567</v>
      </c>
      <c r="B2315">
        <v>3447.83</v>
      </c>
      <c r="C2315">
        <v>5502.7</v>
      </c>
      <c r="D2315">
        <v>11999.93</v>
      </c>
      <c r="E2315">
        <v>8614.5890099999997</v>
      </c>
      <c r="F2315">
        <v>9468.5</v>
      </c>
      <c r="G2315">
        <v>21858.31</v>
      </c>
    </row>
    <row r="2316" spans="1:7" x14ac:dyDescent="0.35">
      <c r="A2316" s="1">
        <v>43570</v>
      </c>
      <c r="B2316">
        <v>3450.46</v>
      </c>
      <c r="C2316">
        <v>5508.73</v>
      </c>
      <c r="D2316">
        <v>12020.28</v>
      </c>
      <c r="E2316">
        <v>8621.4284900000002</v>
      </c>
      <c r="F2316">
        <v>9497.1</v>
      </c>
      <c r="G2316">
        <v>21892.42</v>
      </c>
    </row>
    <row r="2317" spans="1:7" x14ac:dyDescent="0.35">
      <c r="A2317" s="1">
        <v>43571</v>
      </c>
      <c r="B2317">
        <v>3463.36</v>
      </c>
      <c r="C2317">
        <v>5528.67</v>
      </c>
      <c r="D2317">
        <v>12101.32</v>
      </c>
      <c r="E2317">
        <v>8640.3222100000003</v>
      </c>
      <c r="F2317">
        <v>9497.2999999999993</v>
      </c>
      <c r="G2317">
        <v>21918.93</v>
      </c>
    </row>
    <row r="2318" spans="1:7" x14ac:dyDescent="0.35">
      <c r="A2318" s="1">
        <v>43572</v>
      </c>
      <c r="B2318">
        <v>3477.73</v>
      </c>
      <c r="C2318">
        <v>5563.09</v>
      </c>
      <c r="D2318">
        <v>12153.07</v>
      </c>
      <c r="E2318">
        <v>8622.8398400000005</v>
      </c>
      <c r="F2318">
        <v>9549.7999999999993</v>
      </c>
      <c r="G2318">
        <v>22000.880000000001</v>
      </c>
    </row>
    <row r="2319" spans="1:7" x14ac:dyDescent="0.35">
      <c r="A2319" s="1">
        <v>43573</v>
      </c>
      <c r="B2319">
        <v>3499.23</v>
      </c>
      <c r="C2319">
        <v>5580.38</v>
      </c>
      <c r="D2319">
        <v>12222.39</v>
      </c>
      <c r="E2319">
        <v>8623.0367100000003</v>
      </c>
      <c r="F2319">
        <v>9581.9</v>
      </c>
      <c r="G2319">
        <v>21956.59</v>
      </c>
    </row>
    <row r="2320" spans="1:7" x14ac:dyDescent="0.35">
      <c r="A2320" s="1">
        <v>43578</v>
      </c>
      <c r="B2320">
        <v>3503.85</v>
      </c>
      <c r="C2320">
        <v>5591.69</v>
      </c>
      <c r="D2320">
        <v>12235.51</v>
      </c>
      <c r="E2320">
        <v>8685.6774800000003</v>
      </c>
      <c r="F2320">
        <v>9527.2000000000007</v>
      </c>
      <c r="G2320">
        <v>21896.84</v>
      </c>
    </row>
    <row r="2321" spans="1:7" x14ac:dyDescent="0.35">
      <c r="A2321" s="1">
        <v>43579</v>
      </c>
      <c r="B2321">
        <v>3502.63</v>
      </c>
      <c r="C2321">
        <v>5576.06</v>
      </c>
      <c r="D2321">
        <v>12313.16</v>
      </c>
      <c r="E2321">
        <v>8652.2048099999993</v>
      </c>
      <c r="F2321">
        <v>9456.4</v>
      </c>
      <c r="G2321">
        <v>21724.44</v>
      </c>
    </row>
    <row r="2322" spans="1:7" x14ac:dyDescent="0.35">
      <c r="A2322" s="1">
        <v>43580</v>
      </c>
      <c r="B2322">
        <v>3491.92</v>
      </c>
      <c r="C2322">
        <v>5557.67</v>
      </c>
      <c r="D2322">
        <v>12282.6</v>
      </c>
      <c r="E2322">
        <v>8612.2964200000006</v>
      </c>
      <c r="F2322">
        <v>9501.2000000000007</v>
      </c>
      <c r="G2322">
        <v>21719.88</v>
      </c>
    </row>
    <row r="2323" spans="1:7" x14ac:dyDescent="0.35">
      <c r="A2323" s="1">
        <v>43581</v>
      </c>
      <c r="B2323">
        <v>3500.41</v>
      </c>
      <c r="C2323">
        <v>5569.36</v>
      </c>
      <c r="D2323">
        <v>12315.18</v>
      </c>
      <c r="E2323">
        <v>8606.0002899999999</v>
      </c>
      <c r="F2323">
        <v>9506</v>
      </c>
      <c r="G2323">
        <v>21737.97</v>
      </c>
    </row>
    <row r="2324" spans="1:7" x14ac:dyDescent="0.35">
      <c r="A2324" s="1">
        <v>43584</v>
      </c>
      <c r="B2324">
        <v>3501.94</v>
      </c>
      <c r="C2324">
        <v>5580.98</v>
      </c>
      <c r="D2324">
        <v>12328.02</v>
      </c>
      <c r="E2324">
        <v>8606.5697</v>
      </c>
      <c r="F2324">
        <v>9517.2000000000007</v>
      </c>
      <c r="G2324">
        <v>21788.54</v>
      </c>
    </row>
    <row r="2325" spans="1:7" x14ac:dyDescent="0.35">
      <c r="A2325" s="1">
        <v>43585</v>
      </c>
      <c r="B2325">
        <v>3514.62</v>
      </c>
      <c r="C2325">
        <v>5586.41</v>
      </c>
      <c r="D2325">
        <v>12344.08</v>
      </c>
      <c r="E2325">
        <v>8625.1604900000002</v>
      </c>
      <c r="F2325">
        <v>9570.6</v>
      </c>
      <c r="G2325">
        <v>21881.33</v>
      </c>
    </row>
    <row r="2326" spans="1:7" x14ac:dyDescent="0.35">
      <c r="A2326" s="1">
        <v>43587</v>
      </c>
      <c r="B2326">
        <v>3488.93</v>
      </c>
      <c r="C2326">
        <v>5538.86</v>
      </c>
      <c r="D2326">
        <v>12345.42</v>
      </c>
      <c r="E2326">
        <v>8565.3481300000003</v>
      </c>
      <c r="F2326">
        <v>9418.2000000000007</v>
      </c>
      <c r="G2326">
        <v>21710.38</v>
      </c>
    </row>
    <row r="2327" spans="1:7" x14ac:dyDescent="0.35">
      <c r="A2327" s="1">
        <v>43588</v>
      </c>
      <c r="B2327">
        <v>3502.48</v>
      </c>
      <c r="C2327">
        <v>5548.84</v>
      </c>
      <c r="D2327">
        <v>12412.75</v>
      </c>
      <c r="E2327">
        <v>8666.7804599999999</v>
      </c>
      <c r="F2327">
        <v>9409.6</v>
      </c>
      <c r="G2327">
        <v>21763.48</v>
      </c>
    </row>
    <row r="2328" spans="1:7" x14ac:dyDescent="0.35">
      <c r="A2328" s="1">
        <v>43592</v>
      </c>
      <c r="B2328">
        <v>3401.16</v>
      </c>
      <c r="C2328">
        <v>5395.75</v>
      </c>
      <c r="D2328">
        <v>12092.74</v>
      </c>
      <c r="E2328">
        <v>8483.8673199999994</v>
      </c>
      <c r="F2328">
        <v>9235.1</v>
      </c>
      <c r="G2328">
        <v>21219.14</v>
      </c>
    </row>
    <row r="2329" spans="1:7" x14ac:dyDescent="0.35">
      <c r="A2329" s="1">
        <v>43593</v>
      </c>
      <c r="B2329">
        <v>3417.26</v>
      </c>
      <c r="C2329">
        <v>5417.59</v>
      </c>
      <c r="D2329">
        <v>12179.93</v>
      </c>
      <c r="E2329">
        <v>8451.7495799999997</v>
      </c>
      <c r="F2329">
        <v>9227</v>
      </c>
      <c r="G2329">
        <v>21203.86</v>
      </c>
    </row>
    <row r="2330" spans="1:7" x14ac:dyDescent="0.35">
      <c r="A2330" s="1">
        <v>43594</v>
      </c>
      <c r="B2330">
        <v>3350.71</v>
      </c>
      <c r="C2330">
        <v>5313.16</v>
      </c>
      <c r="D2330">
        <v>11973.92</v>
      </c>
      <c r="E2330">
        <v>8367.3043500000003</v>
      </c>
      <c r="F2330">
        <v>9095.2000000000007</v>
      </c>
      <c r="G2330">
        <v>20817.16</v>
      </c>
    </row>
    <row r="2331" spans="1:7" x14ac:dyDescent="0.35">
      <c r="A2331" s="1">
        <v>43595</v>
      </c>
      <c r="B2331">
        <v>3361.05</v>
      </c>
      <c r="C2331">
        <v>5327.44</v>
      </c>
      <c r="D2331">
        <v>12059.83</v>
      </c>
      <c r="E2331">
        <v>8350.7394199999999</v>
      </c>
      <c r="F2331">
        <v>9117.5</v>
      </c>
      <c r="G2331">
        <v>20874.78</v>
      </c>
    </row>
    <row r="2332" spans="1:7" x14ac:dyDescent="0.35">
      <c r="A2332" s="1">
        <v>43598</v>
      </c>
      <c r="B2332">
        <v>3320.78</v>
      </c>
      <c r="C2332">
        <v>5262.57</v>
      </c>
      <c r="D2332">
        <v>11876.65</v>
      </c>
      <c r="E2332">
        <v>8255.9259999999995</v>
      </c>
      <c r="F2332">
        <v>9046.7999999999993</v>
      </c>
      <c r="G2332">
        <v>20593.72</v>
      </c>
    </row>
    <row r="2333" spans="1:7" x14ac:dyDescent="0.35">
      <c r="A2333" s="1">
        <v>43599</v>
      </c>
      <c r="B2333">
        <v>3364.38</v>
      </c>
      <c r="C2333">
        <v>5341.35</v>
      </c>
      <c r="D2333">
        <v>11991.62</v>
      </c>
      <c r="E2333">
        <v>8344.31286</v>
      </c>
      <c r="F2333">
        <v>9127.6</v>
      </c>
      <c r="G2333">
        <v>20892.66</v>
      </c>
    </row>
    <row r="2334" spans="1:7" x14ac:dyDescent="0.35">
      <c r="A2334" s="1">
        <v>43600</v>
      </c>
      <c r="B2334">
        <v>3385.78</v>
      </c>
      <c r="C2334">
        <v>5374.26</v>
      </c>
      <c r="D2334">
        <v>12099.57</v>
      </c>
      <c r="E2334">
        <v>8376.5808300000008</v>
      </c>
      <c r="F2334">
        <v>9177.1</v>
      </c>
      <c r="G2334">
        <v>20863.14</v>
      </c>
    </row>
    <row r="2335" spans="1:7" x14ac:dyDescent="0.35">
      <c r="A2335" s="1">
        <v>43601</v>
      </c>
      <c r="B2335">
        <v>3438.56</v>
      </c>
      <c r="C2335">
        <v>5448.11</v>
      </c>
      <c r="D2335">
        <v>12310.37</v>
      </c>
      <c r="E2335">
        <v>8418.0156100000004</v>
      </c>
      <c r="F2335">
        <v>9304.2999999999993</v>
      </c>
      <c r="G2335">
        <v>21151.8</v>
      </c>
    </row>
    <row r="2336" spans="1:7" x14ac:dyDescent="0.35">
      <c r="A2336" s="1">
        <v>43602</v>
      </c>
      <c r="B2336">
        <v>3425.64</v>
      </c>
      <c r="C2336">
        <v>5438.23</v>
      </c>
      <c r="D2336">
        <v>12238.94</v>
      </c>
      <c r="E2336">
        <v>8380.0861000000004</v>
      </c>
      <c r="F2336">
        <v>9280.1</v>
      </c>
      <c r="G2336">
        <v>21105.279999999999</v>
      </c>
    </row>
    <row r="2337" spans="1:7" x14ac:dyDescent="0.35">
      <c r="A2337" s="1">
        <v>43605</v>
      </c>
      <c r="B2337">
        <v>3369.78</v>
      </c>
      <c r="C2337">
        <v>5358.59</v>
      </c>
      <c r="D2337">
        <v>12041.29</v>
      </c>
      <c r="E2337">
        <v>8328.8257699999995</v>
      </c>
      <c r="F2337">
        <v>9199.7000000000007</v>
      </c>
      <c r="G2337">
        <v>20539.87</v>
      </c>
    </row>
    <row r="2338" spans="1:7" x14ac:dyDescent="0.35">
      <c r="A2338" s="1">
        <v>43606</v>
      </c>
      <c r="B2338">
        <v>3386.51</v>
      </c>
      <c r="C2338">
        <v>5385.46</v>
      </c>
      <c r="D2338">
        <v>12143.47</v>
      </c>
      <c r="E2338">
        <v>8359.95982</v>
      </c>
      <c r="F2338">
        <v>9239.1</v>
      </c>
      <c r="G2338">
        <v>20698.61</v>
      </c>
    </row>
    <row r="2339" spans="1:7" x14ac:dyDescent="0.35">
      <c r="A2339" s="1">
        <v>43607</v>
      </c>
      <c r="B2339">
        <v>3386.72</v>
      </c>
      <c r="C2339">
        <v>5378.98</v>
      </c>
      <c r="D2339">
        <v>12168.74</v>
      </c>
      <c r="E2339">
        <v>8332.0658100000001</v>
      </c>
      <c r="F2339">
        <v>9232.2000000000007</v>
      </c>
      <c r="G2339">
        <v>20573.310000000001</v>
      </c>
    </row>
    <row r="2340" spans="1:7" x14ac:dyDescent="0.35">
      <c r="A2340" s="1">
        <v>43608</v>
      </c>
      <c r="B2340">
        <v>3327.2</v>
      </c>
      <c r="C2340">
        <v>5281.37</v>
      </c>
      <c r="D2340">
        <v>11952.41</v>
      </c>
      <c r="E2340">
        <v>8198.4551200000005</v>
      </c>
      <c r="F2340">
        <v>9114</v>
      </c>
      <c r="G2340">
        <v>20136.39</v>
      </c>
    </row>
    <row r="2341" spans="1:7" x14ac:dyDescent="0.35">
      <c r="A2341" s="1">
        <v>43609</v>
      </c>
      <c r="B2341">
        <v>3350.7</v>
      </c>
      <c r="C2341">
        <v>5316.51</v>
      </c>
      <c r="D2341">
        <v>12011.04</v>
      </c>
      <c r="E2341">
        <v>8257.8366100000003</v>
      </c>
      <c r="F2341">
        <v>9174.6</v>
      </c>
      <c r="G2341">
        <v>20376.03</v>
      </c>
    </row>
    <row r="2342" spans="1:7" x14ac:dyDescent="0.35">
      <c r="A2342" s="1">
        <v>43613</v>
      </c>
      <c r="B2342">
        <v>3348.86</v>
      </c>
      <c r="C2342">
        <v>5312.69</v>
      </c>
      <c r="D2342">
        <v>12027.05</v>
      </c>
      <c r="E2342">
        <v>8246.1729200000009</v>
      </c>
      <c r="F2342">
        <v>9191.7999999999993</v>
      </c>
      <c r="G2342">
        <v>20260.98</v>
      </c>
    </row>
    <row r="2343" spans="1:7" x14ac:dyDescent="0.35">
      <c r="A2343" s="1">
        <v>43614</v>
      </c>
      <c r="B2343">
        <v>3297.81</v>
      </c>
      <c r="C2343">
        <v>5222.12</v>
      </c>
      <c r="D2343">
        <v>11837.81</v>
      </c>
      <c r="E2343">
        <v>8143.6411600000001</v>
      </c>
      <c r="F2343">
        <v>9080.5</v>
      </c>
      <c r="G2343">
        <v>19999.939999999999</v>
      </c>
    </row>
    <row r="2344" spans="1:7" x14ac:dyDescent="0.35">
      <c r="A2344" s="1">
        <v>43615</v>
      </c>
      <c r="B2344">
        <v>3318.15</v>
      </c>
      <c r="C2344">
        <v>5248.91</v>
      </c>
      <c r="D2344">
        <v>11902.08</v>
      </c>
      <c r="E2344">
        <v>8174.8773300000003</v>
      </c>
      <c r="F2344">
        <v>9157.7999999999993</v>
      </c>
      <c r="G2344">
        <v>19947.919999999998</v>
      </c>
    </row>
    <row r="2345" spans="1:7" x14ac:dyDescent="0.35">
      <c r="A2345" s="1">
        <v>43616</v>
      </c>
      <c r="B2345">
        <v>3280.43</v>
      </c>
      <c r="C2345">
        <v>5207.63</v>
      </c>
      <c r="D2345">
        <v>11726.84</v>
      </c>
      <c r="E2345">
        <v>8102.3180300000004</v>
      </c>
      <c r="F2345">
        <v>9004.2000000000007</v>
      </c>
      <c r="G2345">
        <v>19802.11</v>
      </c>
    </row>
    <row r="2346" spans="1:7" x14ac:dyDescent="0.35">
      <c r="A2346" s="1">
        <v>43619</v>
      </c>
      <c r="B2346">
        <v>3300.22</v>
      </c>
      <c r="C2346">
        <v>5241.46</v>
      </c>
      <c r="D2346">
        <v>11792.81</v>
      </c>
      <c r="E2346">
        <v>8093.7899399999997</v>
      </c>
      <c r="F2346">
        <v>9022.7999999999993</v>
      </c>
      <c r="G2346">
        <v>19874.240000000002</v>
      </c>
    </row>
    <row r="2347" spans="1:7" x14ac:dyDescent="0.35">
      <c r="A2347" s="1">
        <v>43620</v>
      </c>
      <c r="B2347">
        <v>3333.49</v>
      </c>
      <c r="C2347">
        <v>5268.26</v>
      </c>
      <c r="D2347">
        <v>11971.17</v>
      </c>
      <c r="E2347">
        <v>8140.0543799999996</v>
      </c>
      <c r="F2347">
        <v>9117.6</v>
      </c>
      <c r="G2347">
        <v>20229.419999999998</v>
      </c>
    </row>
    <row r="2348" spans="1:7" x14ac:dyDescent="0.35">
      <c r="A2348" s="1">
        <v>43621</v>
      </c>
      <c r="B2348">
        <v>3339.95</v>
      </c>
      <c r="C2348">
        <v>5292</v>
      </c>
      <c r="D2348">
        <v>11980.81</v>
      </c>
      <c r="E2348">
        <v>8155.9245199999996</v>
      </c>
      <c r="F2348">
        <v>9150.5</v>
      </c>
      <c r="G2348">
        <v>20155.73</v>
      </c>
    </row>
    <row r="2349" spans="1:7" x14ac:dyDescent="0.35">
      <c r="A2349" s="1">
        <v>43622</v>
      </c>
      <c r="B2349">
        <v>3338.41</v>
      </c>
      <c r="C2349">
        <v>5278.43</v>
      </c>
      <c r="D2349">
        <v>11953.14</v>
      </c>
      <c r="E2349">
        <v>8170.7866400000003</v>
      </c>
      <c r="F2349">
        <v>9169.2000000000007</v>
      </c>
      <c r="G2349">
        <v>20177.810000000001</v>
      </c>
    </row>
    <row r="2350" spans="1:7" x14ac:dyDescent="0.35">
      <c r="A2350" s="1">
        <v>43623</v>
      </c>
      <c r="B2350">
        <v>3378.38</v>
      </c>
      <c r="C2350">
        <v>5364.05</v>
      </c>
      <c r="D2350">
        <v>12045.38</v>
      </c>
      <c r="E2350">
        <v>8241.6436699999995</v>
      </c>
      <c r="F2350">
        <v>9236.1</v>
      </c>
      <c r="G2350">
        <v>20360.59</v>
      </c>
    </row>
    <row r="2351" spans="1:7" x14ac:dyDescent="0.35">
      <c r="A2351" s="1">
        <v>43627</v>
      </c>
      <c r="B2351">
        <v>3401.1</v>
      </c>
      <c r="C2351">
        <v>5408.45</v>
      </c>
      <c r="D2351">
        <v>12155.81</v>
      </c>
      <c r="E2351">
        <v>8311.4196400000001</v>
      </c>
      <c r="F2351">
        <v>9282.1</v>
      </c>
      <c r="G2351">
        <v>20609.7</v>
      </c>
    </row>
    <row r="2352" spans="1:7" x14ac:dyDescent="0.35">
      <c r="A2352" s="1">
        <v>43628</v>
      </c>
      <c r="B2352">
        <v>3386.63</v>
      </c>
      <c r="C2352">
        <v>5374.92</v>
      </c>
      <c r="D2352">
        <v>12115.68</v>
      </c>
      <c r="E2352">
        <v>8275.4474800000007</v>
      </c>
      <c r="F2352">
        <v>9238.5</v>
      </c>
      <c r="G2352">
        <v>20463.25</v>
      </c>
    </row>
    <row r="2353" spans="1:7" x14ac:dyDescent="0.35">
      <c r="A2353" s="1">
        <v>43629</v>
      </c>
      <c r="B2353">
        <v>3390.5</v>
      </c>
      <c r="C2353">
        <v>5375.63</v>
      </c>
      <c r="D2353">
        <v>12169.05</v>
      </c>
      <c r="E2353">
        <v>8285.3936699999995</v>
      </c>
      <c r="F2353">
        <v>9247.1</v>
      </c>
      <c r="G2353">
        <v>20630.75</v>
      </c>
    </row>
    <row r="2354" spans="1:7" x14ac:dyDescent="0.35">
      <c r="A2354" s="1">
        <v>43630</v>
      </c>
      <c r="B2354">
        <v>3379.19</v>
      </c>
      <c r="C2354">
        <v>5367.62</v>
      </c>
      <c r="D2354">
        <v>12096.4</v>
      </c>
      <c r="E2354">
        <v>8254.7457300000005</v>
      </c>
      <c r="F2354">
        <v>9194.2000000000007</v>
      </c>
      <c r="G2354">
        <v>20612.45</v>
      </c>
    </row>
    <row r="2355" spans="1:7" x14ac:dyDescent="0.35">
      <c r="A2355" s="1">
        <v>43633</v>
      </c>
      <c r="B2355">
        <v>3383.21</v>
      </c>
      <c r="C2355">
        <v>5390.95</v>
      </c>
      <c r="D2355">
        <v>12085.82</v>
      </c>
      <c r="E2355">
        <v>8230.2778400000007</v>
      </c>
      <c r="F2355">
        <v>9131.7000000000007</v>
      </c>
      <c r="G2355">
        <v>20626.419999999998</v>
      </c>
    </row>
    <row r="2356" spans="1:7" x14ac:dyDescent="0.35">
      <c r="A2356" s="1">
        <v>43634</v>
      </c>
      <c r="B2356">
        <v>3452.89</v>
      </c>
      <c r="C2356">
        <v>5509.73</v>
      </c>
      <c r="D2356">
        <v>12331.75</v>
      </c>
      <c r="E2356">
        <v>8341.4410399999997</v>
      </c>
      <c r="F2356">
        <v>9240.7000000000007</v>
      </c>
      <c r="G2356">
        <v>21133.78</v>
      </c>
    </row>
    <row r="2357" spans="1:7" x14ac:dyDescent="0.35">
      <c r="A2357" s="1">
        <v>43635</v>
      </c>
      <c r="B2357">
        <v>3454.7</v>
      </c>
      <c r="C2357">
        <v>5518.45</v>
      </c>
      <c r="D2357">
        <v>12308.53</v>
      </c>
      <c r="E2357">
        <v>8340.2875000000004</v>
      </c>
      <c r="F2357">
        <v>9231.2000000000007</v>
      </c>
      <c r="G2357">
        <v>21221.38</v>
      </c>
    </row>
    <row r="2358" spans="1:7" x14ac:dyDescent="0.35">
      <c r="A2358" s="1">
        <v>43636</v>
      </c>
      <c r="B2358">
        <v>3468.08</v>
      </c>
      <c r="C2358">
        <v>5535.57</v>
      </c>
      <c r="D2358">
        <v>12355.39</v>
      </c>
      <c r="E2358">
        <v>8352.8237499999996</v>
      </c>
      <c r="F2358">
        <v>9208.5</v>
      </c>
      <c r="G2358">
        <v>21361.439999999999</v>
      </c>
    </row>
    <row r="2359" spans="1:7" x14ac:dyDescent="0.35">
      <c r="A2359" s="1">
        <v>43637</v>
      </c>
      <c r="B2359">
        <v>3466.92</v>
      </c>
      <c r="C2359">
        <v>5528.33</v>
      </c>
      <c r="D2359">
        <v>12339.92</v>
      </c>
      <c r="E2359">
        <v>8299.0648999999994</v>
      </c>
      <c r="F2359">
        <v>9227.2000000000007</v>
      </c>
      <c r="G2359">
        <v>21388.63</v>
      </c>
    </row>
    <row r="2360" spans="1:7" x14ac:dyDescent="0.35">
      <c r="A2360" s="1">
        <v>43640</v>
      </c>
      <c r="B2360">
        <v>3455.57</v>
      </c>
      <c r="C2360">
        <v>5521.71</v>
      </c>
      <c r="D2360">
        <v>12274.57</v>
      </c>
      <c r="E2360">
        <v>8294.5280999999995</v>
      </c>
      <c r="F2360">
        <v>9192.5</v>
      </c>
      <c r="G2360">
        <v>21284.1</v>
      </c>
    </row>
    <row r="2361" spans="1:7" x14ac:dyDescent="0.35">
      <c r="A2361" s="1">
        <v>43641</v>
      </c>
      <c r="B2361">
        <v>3444.36</v>
      </c>
      <c r="C2361">
        <v>5514.57</v>
      </c>
      <c r="D2361">
        <v>12228.44</v>
      </c>
      <c r="E2361">
        <v>8291.1998600000006</v>
      </c>
      <c r="F2361">
        <v>9159.7999999999993</v>
      </c>
      <c r="G2361">
        <v>21128.41</v>
      </c>
    </row>
    <row r="2362" spans="1:7" x14ac:dyDescent="0.35">
      <c r="A2362" s="1">
        <v>43642</v>
      </c>
      <c r="B2362">
        <v>3442.95</v>
      </c>
      <c r="C2362">
        <v>5500.72</v>
      </c>
      <c r="D2362">
        <v>12245.32</v>
      </c>
      <c r="E2362">
        <v>8273.1547200000005</v>
      </c>
      <c r="F2362">
        <v>9157.4</v>
      </c>
      <c r="G2362">
        <v>21057.14</v>
      </c>
    </row>
    <row r="2363" spans="1:7" x14ac:dyDescent="0.35">
      <c r="A2363" s="1">
        <v>43643</v>
      </c>
      <c r="B2363">
        <v>3442.38</v>
      </c>
      <c r="C2363">
        <v>5493.61</v>
      </c>
      <c r="D2363">
        <v>12271.03</v>
      </c>
      <c r="E2363">
        <v>8256.7956799999993</v>
      </c>
      <c r="F2363">
        <v>9147.7999999999993</v>
      </c>
      <c r="G2363">
        <v>21110.87</v>
      </c>
    </row>
    <row r="2364" spans="1:7" x14ac:dyDescent="0.35">
      <c r="A2364" s="1">
        <v>43644</v>
      </c>
      <c r="B2364">
        <v>3473.69</v>
      </c>
      <c r="C2364">
        <v>5538.97</v>
      </c>
      <c r="D2364">
        <v>12398.8</v>
      </c>
      <c r="E2364">
        <v>8299.0028000000002</v>
      </c>
      <c r="F2364">
        <v>9198.7999999999993</v>
      </c>
      <c r="G2364">
        <v>21234.79</v>
      </c>
    </row>
    <row r="2365" spans="1:7" x14ac:dyDescent="0.35">
      <c r="A2365" s="1">
        <v>43647</v>
      </c>
      <c r="B2365">
        <v>3497.59</v>
      </c>
      <c r="C2365">
        <v>5567.91</v>
      </c>
      <c r="D2365">
        <v>12521.38</v>
      </c>
      <c r="E2365">
        <v>8387.7202500000003</v>
      </c>
      <c r="F2365">
        <v>9264.6</v>
      </c>
      <c r="G2365">
        <v>21254.04</v>
      </c>
    </row>
    <row r="2366" spans="1:7" x14ac:dyDescent="0.35">
      <c r="A2366" s="1">
        <v>43648</v>
      </c>
      <c r="B2366">
        <v>3507.98</v>
      </c>
      <c r="C2366">
        <v>5576.82</v>
      </c>
      <c r="D2366">
        <v>12526.72</v>
      </c>
      <c r="E2366">
        <v>8433.6412700000001</v>
      </c>
      <c r="F2366">
        <v>9281.5</v>
      </c>
      <c r="G2366">
        <v>21392.87</v>
      </c>
    </row>
    <row r="2367" spans="1:7" x14ac:dyDescent="0.35">
      <c r="A2367" s="1">
        <v>43649</v>
      </c>
      <c r="B2367">
        <v>3540.63</v>
      </c>
      <c r="C2367">
        <v>5618.81</v>
      </c>
      <c r="D2367">
        <v>12616.24</v>
      </c>
      <c r="E2367">
        <v>8482.1557499999999</v>
      </c>
      <c r="F2367">
        <v>9394.4</v>
      </c>
      <c r="G2367">
        <v>21905.34</v>
      </c>
    </row>
    <row r="2368" spans="1:7" x14ac:dyDescent="0.35">
      <c r="A2368" s="1">
        <v>43650</v>
      </c>
      <c r="B2368">
        <v>3544.15</v>
      </c>
      <c r="C2368">
        <v>5620.73</v>
      </c>
      <c r="D2368">
        <v>12629.9</v>
      </c>
      <c r="E2368">
        <v>8481.1494700000003</v>
      </c>
      <c r="F2368">
        <v>9401</v>
      </c>
      <c r="G2368">
        <v>22120.7</v>
      </c>
    </row>
    <row r="2369" spans="1:7" x14ac:dyDescent="0.35">
      <c r="A2369" s="1">
        <v>43651</v>
      </c>
      <c r="B2369">
        <v>3527.98</v>
      </c>
      <c r="C2369">
        <v>5593.72</v>
      </c>
      <c r="D2369">
        <v>12568.53</v>
      </c>
      <c r="E2369">
        <v>8422.9730400000008</v>
      </c>
      <c r="F2369">
        <v>9335</v>
      </c>
      <c r="G2369">
        <v>21985.79</v>
      </c>
    </row>
    <row r="2370" spans="1:7" x14ac:dyDescent="0.35">
      <c r="A2370" s="1">
        <v>43654</v>
      </c>
      <c r="B2370">
        <v>3523.76</v>
      </c>
      <c r="C2370">
        <v>5589.19</v>
      </c>
      <c r="D2370">
        <v>12543.51</v>
      </c>
      <c r="E2370">
        <v>8425.6988500000007</v>
      </c>
      <c r="F2370">
        <v>9284.7000000000007</v>
      </c>
      <c r="G2370">
        <v>21976</v>
      </c>
    </row>
    <row r="2371" spans="1:7" x14ac:dyDescent="0.35">
      <c r="A2371" s="1">
        <v>43655</v>
      </c>
      <c r="B2371">
        <v>3509.75</v>
      </c>
      <c r="C2371">
        <v>5572.1</v>
      </c>
      <c r="D2371">
        <v>12436.55</v>
      </c>
      <c r="E2371">
        <v>8382.2973899999997</v>
      </c>
      <c r="F2371">
        <v>9273.9</v>
      </c>
      <c r="G2371">
        <v>21886.17</v>
      </c>
    </row>
    <row r="2372" spans="1:7" x14ac:dyDescent="0.35">
      <c r="A2372" s="1">
        <v>43656</v>
      </c>
      <c r="B2372">
        <v>3501.52</v>
      </c>
      <c r="C2372">
        <v>5567.59</v>
      </c>
      <c r="D2372">
        <v>12373.41</v>
      </c>
      <c r="E2372">
        <v>8369.4399099999991</v>
      </c>
      <c r="F2372">
        <v>9252.9</v>
      </c>
      <c r="G2372">
        <v>22044.959999999999</v>
      </c>
    </row>
    <row r="2373" spans="1:7" x14ac:dyDescent="0.35">
      <c r="A2373" s="1">
        <v>43657</v>
      </c>
      <c r="B2373">
        <v>3496.73</v>
      </c>
      <c r="C2373">
        <v>5551.95</v>
      </c>
      <c r="D2373">
        <v>12332.12</v>
      </c>
      <c r="E2373">
        <v>8355.2919999999995</v>
      </c>
      <c r="F2373">
        <v>9280.2999999999993</v>
      </c>
      <c r="G2373">
        <v>22169.42</v>
      </c>
    </row>
    <row r="2374" spans="1:7" x14ac:dyDescent="0.35">
      <c r="A2374" s="1">
        <v>43658</v>
      </c>
      <c r="B2374">
        <v>3497.63</v>
      </c>
      <c r="C2374">
        <v>5572.86</v>
      </c>
      <c r="D2374">
        <v>12323.32</v>
      </c>
      <c r="E2374">
        <v>8371.2748499999998</v>
      </c>
      <c r="F2374">
        <v>9293.2000000000007</v>
      </c>
      <c r="G2374">
        <v>22182.7</v>
      </c>
    </row>
    <row r="2375" spans="1:7" x14ac:dyDescent="0.35">
      <c r="A2375" s="1">
        <v>43661</v>
      </c>
      <c r="B2375">
        <v>3502.22</v>
      </c>
      <c r="C2375">
        <v>5578.21</v>
      </c>
      <c r="D2375">
        <v>12387.34</v>
      </c>
      <c r="E2375">
        <v>8369.9156800000001</v>
      </c>
      <c r="F2375">
        <v>9323.6</v>
      </c>
      <c r="G2375">
        <v>22178.05</v>
      </c>
    </row>
    <row r="2376" spans="1:7" x14ac:dyDescent="0.35">
      <c r="A2376" s="1">
        <v>43662</v>
      </c>
      <c r="B2376">
        <v>3521.36</v>
      </c>
      <c r="C2376">
        <v>5614.38</v>
      </c>
      <c r="D2376">
        <v>12430.97</v>
      </c>
      <c r="E2376">
        <v>8391.4803900000006</v>
      </c>
      <c r="F2376">
        <v>9377.1</v>
      </c>
      <c r="G2376">
        <v>22204.080000000002</v>
      </c>
    </row>
    <row r="2377" spans="1:7" x14ac:dyDescent="0.35">
      <c r="A2377" s="1">
        <v>43663</v>
      </c>
      <c r="B2377">
        <v>3501.58</v>
      </c>
      <c r="C2377">
        <v>5571.71</v>
      </c>
      <c r="D2377">
        <v>12341.03</v>
      </c>
      <c r="E2377">
        <v>8357.14401</v>
      </c>
      <c r="F2377">
        <v>9284.2000000000007</v>
      </c>
      <c r="G2377">
        <v>22079.38</v>
      </c>
    </row>
    <row r="2378" spans="1:7" x14ac:dyDescent="0.35">
      <c r="A2378" s="1">
        <v>43664</v>
      </c>
      <c r="B2378">
        <v>3482.83</v>
      </c>
      <c r="C2378">
        <v>5550.55</v>
      </c>
      <c r="D2378">
        <v>12227.85</v>
      </c>
      <c r="E2378">
        <v>8330.9221400000006</v>
      </c>
      <c r="F2378">
        <v>9225.7000000000007</v>
      </c>
      <c r="G2378">
        <v>22090.81</v>
      </c>
    </row>
    <row r="2379" spans="1:7" x14ac:dyDescent="0.35">
      <c r="A2379" s="1">
        <v>43665</v>
      </c>
      <c r="B2379">
        <v>3480.18</v>
      </c>
      <c r="C2379">
        <v>5552.34</v>
      </c>
      <c r="D2379">
        <v>12260.07</v>
      </c>
      <c r="E2379">
        <v>8360.6087900000002</v>
      </c>
      <c r="F2379">
        <v>9170.5</v>
      </c>
      <c r="G2379">
        <v>21641.46</v>
      </c>
    </row>
    <row r="2380" spans="1:7" x14ac:dyDescent="0.35">
      <c r="A2380" s="1">
        <v>43668</v>
      </c>
      <c r="B2380">
        <v>3489.92</v>
      </c>
      <c r="C2380">
        <v>5567.02</v>
      </c>
      <c r="D2380">
        <v>12289.4</v>
      </c>
      <c r="E2380">
        <v>8361.0127799999991</v>
      </c>
      <c r="F2380">
        <v>9163.5</v>
      </c>
      <c r="G2380">
        <v>21735.7</v>
      </c>
    </row>
    <row r="2381" spans="1:7" x14ac:dyDescent="0.35">
      <c r="A2381" s="1">
        <v>43669</v>
      </c>
      <c r="B2381">
        <v>3532.87</v>
      </c>
      <c r="C2381">
        <v>5618.16</v>
      </c>
      <c r="D2381">
        <v>12490.74</v>
      </c>
      <c r="E2381">
        <v>8429.7176500000005</v>
      </c>
      <c r="F2381">
        <v>9281.6</v>
      </c>
      <c r="G2381">
        <v>21954.66</v>
      </c>
    </row>
    <row r="2382" spans="1:7" x14ac:dyDescent="0.35">
      <c r="A2382" s="1">
        <v>43670</v>
      </c>
      <c r="B2382">
        <v>3532.9</v>
      </c>
      <c r="C2382">
        <v>5605.87</v>
      </c>
      <c r="D2382">
        <v>12522.89</v>
      </c>
      <c r="E2382">
        <v>8413.4813799999993</v>
      </c>
      <c r="F2382">
        <v>9329.7000000000007</v>
      </c>
      <c r="G2382">
        <v>22080.32</v>
      </c>
    </row>
    <row r="2383" spans="1:7" x14ac:dyDescent="0.35">
      <c r="A2383" s="1">
        <v>43671</v>
      </c>
      <c r="B2383">
        <v>3510.15</v>
      </c>
      <c r="C2383">
        <v>5578.05</v>
      </c>
      <c r="D2383">
        <v>12362.1</v>
      </c>
      <c r="E2383">
        <v>8370.1938399999999</v>
      </c>
      <c r="F2383">
        <v>9289.9</v>
      </c>
      <c r="G2383">
        <v>21903.29</v>
      </c>
    </row>
    <row r="2384" spans="1:7" x14ac:dyDescent="0.35">
      <c r="A2384" s="1">
        <v>43672</v>
      </c>
      <c r="B2384">
        <v>3524.47</v>
      </c>
      <c r="C2384">
        <v>5610.05</v>
      </c>
      <c r="D2384">
        <v>12419.9</v>
      </c>
      <c r="E2384">
        <v>8404.9640299999992</v>
      </c>
      <c r="F2384">
        <v>9225.5</v>
      </c>
      <c r="G2384">
        <v>21837.74</v>
      </c>
    </row>
    <row r="2385" spans="1:7" x14ac:dyDescent="0.35">
      <c r="A2385" s="1">
        <v>43675</v>
      </c>
      <c r="B2385">
        <v>3523.58</v>
      </c>
      <c r="C2385">
        <v>5601.1</v>
      </c>
      <c r="D2385">
        <v>12417.47</v>
      </c>
      <c r="E2385">
        <v>8430.4309699999994</v>
      </c>
      <c r="F2385">
        <v>9215.4</v>
      </c>
      <c r="G2385">
        <v>21709.3</v>
      </c>
    </row>
    <row r="2386" spans="1:7" x14ac:dyDescent="0.35">
      <c r="A2386" s="1">
        <v>43676</v>
      </c>
      <c r="B2386">
        <v>3462.85</v>
      </c>
      <c r="C2386">
        <v>5511.07</v>
      </c>
      <c r="D2386">
        <v>12147.24</v>
      </c>
      <c r="E2386">
        <v>8342.0555800000002</v>
      </c>
      <c r="F2386">
        <v>8986.6</v>
      </c>
      <c r="G2386">
        <v>21278.240000000002</v>
      </c>
    </row>
    <row r="2387" spans="1:7" x14ac:dyDescent="0.35">
      <c r="A2387" s="1">
        <v>43677</v>
      </c>
      <c r="B2387">
        <v>3466.85</v>
      </c>
      <c r="C2387">
        <v>5518.9</v>
      </c>
      <c r="D2387">
        <v>12189.04</v>
      </c>
      <c r="E2387">
        <v>8327.1864600000008</v>
      </c>
      <c r="F2387">
        <v>8971</v>
      </c>
      <c r="G2387">
        <v>21398.19</v>
      </c>
    </row>
    <row r="2388" spans="1:7" x14ac:dyDescent="0.35">
      <c r="A2388" s="1">
        <v>43678</v>
      </c>
      <c r="B2388">
        <v>3490.03</v>
      </c>
      <c r="C2388">
        <v>5557.41</v>
      </c>
      <c r="D2388">
        <v>12253.15</v>
      </c>
      <c r="E2388">
        <v>8322.9351399999996</v>
      </c>
      <c r="F2388">
        <v>9038.2000000000007</v>
      </c>
      <c r="G2388">
        <v>21566.91</v>
      </c>
    </row>
    <row r="2389" spans="1:7" x14ac:dyDescent="0.35">
      <c r="A2389" s="1">
        <v>43679</v>
      </c>
      <c r="B2389">
        <v>3376.12</v>
      </c>
      <c r="C2389">
        <v>5359</v>
      </c>
      <c r="D2389">
        <v>11872.44</v>
      </c>
      <c r="E2389">
        <v>8094.8489099999997</v>
      </c>
      <c r="F2389">
        <v>8897.6</v>
      </c>
      <c r="G2389">
        <v>21046.86</v>
      </c>
    </row>
    <row r="2390" spans="1:7" x14ac:dyDescent="0.35">
      <c r="A2390" s="1">
        <v>43682</v>
      </c>
      <c r="B2390">
        <v>3310.93</v>
      </c>
      <c r="C2390">
        <v>5241.55</v>
      </c>
      <c r="D2390">
        <v>11658.51</v>
      </c>
      <c r="E2390">
        <v>7832.1199500000002</v>
      </c>
      <c r="F2390">
        <v>8777.2000000000007</v>
      </c>
      <c r="G2390">
        <v>20773.3</v>
      </c>
    </row>
    <row r="2391" spans="1:7" x14ac:dyDescent="0.35">
      <c r="A2391" s="1">
        <v>43683</v>
      </c>
      <c r="B2391">
        <v>3291.66</v>
      </c>
      <c r="C2391">
        <v>5234.6499999999996</v>
      </c>
      <c r="D2391">
        <v>11567.96</v>
      </c>
      <c r="E2391">
        <v>7781.3925300000001</v>
      </c>
      <c r="F2391">
        <v>8699.4</v>
      </c>
      <c r="G2391">
        <v>20631.740000000002</v>
      </c>
    </row>
    <row r="2392" spans="1:7" x14ac:dyDescent="0.35">
      <c r="A2392" s="1">
        <v>43684</v>
      </c>
      <c r="B2392">
        <v>3309.99</v>
      </c>
      <c r="C2392">
        <v>5266.51</v>
      </c>
      <c r="D2392">
        <v>11650.15</v>
      </c>
      <c r="E2392">
        <v>7793.7292699999998</v>
      </c>
      <c r="F2392">
        <v>8746.1</v>
      </c>
      <c r="G2392">
        <v>20538.849999999999</v>
      </c>
    </row>
    <row r="2393" spans="1:7" x14ac:dyDescent="0.35">
      <c r="A2393" s="1">
        <v>43685</v>
      </c>
      <c r="B2393">
        <v>3375.38</v>
      </c>
      <c r="C2393">
        <v>5387.96</v>
      </c>
      <c r="D2393">
        <v>11845.41</v>
      </c>
      <c r="E2393">
        <v>7892.5706600000003</v>
      </c>
      <c r="F2393">
        <v>8869</v>
      </c>
      <c r="G2393">
        <v>20841.150000000001</v>
      </c>
    </row>
    <row r="2394" spans="1:7" x14ac:dyDescent="0.35">
      <c r="A2394" s="1">
        <v>43686</v>
      </c>
      <c r="B2394">
        <v>3333.74</v>
      </c>
      <c r="C2394">
        <v>5327.92</v>
      </c>
      <c r="D2394">
        <v>11693.8</v>
      </c>
      <c r="E2394">
        <v>7810.9425700000002</v>
      </c>
      <c r="F2394">
        <v>8757.7999999999993</v>
      </c>
      <c r="G2394">
        <v>20324.23</v>
      </c>
    </row>
    <row r="2395" spans="1:7" x14ac:dyDescent="0.35">
      <c r="A2395" s="1">
        <v>43689</v>
      </c>
      <c r="B2395">
        <v>3326.55</v>
      </c>
      <c r="C2395">
        <v>5310.31</v>
      </c>
      <c r="D2395">
        <v>11679.68</v>
      </c>
      <c r="E2395">
        <v>7784.9022599999998</v>
      </c>
      <c r="F2395">
        <v>8676.4</v>
      </c>
      <c r="G2395">
        <v>20263.830000000002</v>
      </c>
    </row>
    <row r="2396" spans="1:7" x14ac:dyDescent="0.35">
      <c r="A2396" s="1">
        <v>43690</v>
      </c>
      <c r="B2396">
        <v>3357.16</v>
      </c>
      <c r="C2396">
        <v>5363.07</v>
      </c>
      <c r="D2396">
        <v>11750.13</v>
      </c>
      <c r="E2396">
        <v>7822.9298600000002</v>
      </c>
      <c r="F2396">
        <v>8695.1</v>
      </c>
      <c r="G2396">
        <v>20539.43</v>
      </c>
    </row>
    <row r="2397" spans="1:7" x14ac:dyDescent="0.35">
      <c r="A2397" s="1">
        <v>43691</v>
      </c>
      <c r="B2397">
        <v>3288.7</v>
      </c>
      <c r="C2397">
        <v>5251.3</v>
      </c>
      <c r="D2397">
        <v>11492.66</v>
      </c>
      <c r="E2397">
        <v>7735.4121299999997</v>
      </c>
      <c r="F2397">
        <v>8522.7000000000007</v>
      </c>
      <c r="G2397">
        <v>20020.28</v>
      </c>
    </row>
    <row r="2398" spans="1:7" x14ac:dyDescent="0.35">
      <c r="A2398" s="1">
        <v>43693</v>
      </c>
      <c r="B2398">
        <v>3329.08</v>
      </c>
      <c r="C2398">
        <v>5300.79</v>
      </c>
      <c r="D2398">
        <v>11562.74</v>
      </c>
      <c r="E2398">
        <v>7799.15942</v>
      </c>
      <c r="F2398">
        <v>8670.4</v>
      </c>
      <c r="G2398">
        <v>20322.59</v>
      </c>
    </row>
    <row r="2399" spans="1:7" x14ac:dyDescent="0.35">
      <c r="A2399" s="1">
        <v>43696</v>
      </c>
      <c r="B2399">
        <v>3369.19</v>
      </c>
      <c r="C2399">
        <v>5371.56</v>
      </c>
      <c r="D2399">
        <v>11715.37</v>
      </c>
      <c r="E2399">
        <v>7865.58338</v>
      </c>
      <c r="F2399">
        <v>8733.2999999999993</v>
      </c>
      <c r="G2399">
        <v>20715.490000000002</v>
      </c>
    </row>
    <row r="2400" spans="1:7" x14ac:dyDescent="0.35">
      <c r="A2400" s="1">
        <v>43697</v>
      </c>
      <c r="B2400">
        <v>3350.23</v>
      </c>
      <c r="C2400">
        <v>5344.64</v>
      </c>
      <c r="D2400">
        <v>11651.18</v>
      </c>
      <c r="E2400">
        <v>7813.17011</v>
      </c>
      <c r="F2400">
        <v>8618.2999999999993</v>
      </c>
      <c r="G2400">
        <v>20485.43</v>
      </c>
    </row>
    <row r="2401" spans="1:7" x14ac:dyDescent="0.35">
      <c r="A2401" s="1">
        <v>43698</v>
      </c>
      <c r="B2401">
        <v>3394.89</v>
      </c>
      <c r="C2401">
        <v>5435.48</v>
      </c>
      <c r="D2401">
        <v>11802.85</v>
      </c>
      <c r="E2401">
        <v>7879.4030199999997</v>
      </c>
      <c r="F2401">
        <v>8701.5</v>
      </c>
      <c r="G2401">
        <v>20847.07</v>
      </c>
    </row>
    <row r="2402" spans="1:7" x14ac:dyDescent="0.35">
      <c r="A2402" s="1">
        <v>43699</v>
      </c>
      <c r="B2402">
        <v>3373.67</v>
      </c>
      <c r="C2402">
        <v>5388.25</v>
      </c>
      <c r="D2402">
        <v>11747.04</v>
      </c>
      <c r="E2402">
        <v>7882.0355300000001</v>
      </c>
      <c r="F2402">
        <v>8716.4</v>
      </c>
      <c r="G2402">
        <v>20816.990000000002</v>
      </c>
    </row>
    <row r="2403" spans="1:7" x14ac:dyDescent="0.35">
      <c r="A2403" s="1">
        <v>43700</v>
      </c>
      <c r="B2403">
        <v>3334.25</v>
      </c>
      <c r="C2403">
        <v>5326.87</v>
      </c>
      <c r="D2403">
        <v>11611.51</v>
      </c>
      <c r="E2403">
        <v>7814.0959400000002</v>
      </c>
      <c r="F2403">
        <v>8649.5</v>
      </c>
      <c r="G2403">
        <v>20473.86</v>
      </c>
    </row>
    <row r="2404" spans="1:7" x14ac:dyDescent="0.35">
      <c r="A2404" s="1">
        <v>43704</v>
      </c>
      <c r="B2404">
        <v>3370.47</v>
      </c>
      <c r="C2404">
        <v>5387.09</v>
      </c>
      <c r="D2404">
        <v>11730.02</v>
      </c>
      <c r="E2404">
        <v>7856.2282800000003</v>
      </c>
      <c r="F2404">
        <v>8728.9</v>
      </c>
      <c r="G2404">
        <v>20991.3</v>
      </c>
    </row>
    <row r="2405" spans="1:7" x14ac:dyDescent="0.35">
      <c r="A2405" s="1">
        <v>43705</v>
      </c>
      <c r="B2405">
        <v>3365.38</v>
      </c>
      <c r="C2405">
        <v>5368.8</v>
      </c>
      <c r="D2405">
        <v>11701.02</v>
      </c>
      <c r="E2405">
        <v>7857.0698499999999</v>
      </c>
      <c r="F2405">
        <v>8747.1</v>
      </c>
      <c r="G2405">
        <v>20990.71</v>
      </c>
    </row>
    <row r="2406" spans="1:7" x14ac:dyDescent="0.35">
      <c r="A2406" s="1">
        <v>43706</v>
      </c>
      <c r="B2406">
        <v>3411.33</v>
      </c>
      <c r="C2406">
        <v>5449.97</v>
      </c>
      <c r="D2406">
        <v>11838.88</v>
      </c>
      <c r="E2406">
        <v>7928.5565299999998</v>
      </c>
      <c r="F2406">
        <v>8794.2999999999993</v>
      </c>
      <c r="G2406">
        <v>21398.17</v>
      </c>
    </row>
    <row r="2407" spans="1:7" x14ac:dyDescent="0.35">
      <c r="A2407" s="1">
        <v>43707</v>
      </c>
      <c r="B2407">
        <v>3426.76</v>
      </c>
      <c r="C2407">
        <v>5480.48</v>
      </c>
      <c r="D2407">
        <v>11939.28</v>
      </c>
      <c r="E2407">
        <v>7979.8463700000002</v>
      </c>
      <c r="F2407">
        <v>8812.9</v>
      </c>
      <c r="G2407">
        <v>21322.9</v>
      </c>
    </row>
    <row r="2408" spans="1:7" x14ac:dyDescent="0.35">
      <c r="A2408" s="1">
        <v>43710</v>
      </c>
      <c r="B2408">
        <v>3432.54</v>
      </c>
      <c r="C2408">
        <v>5493.04</v>
      </c>
      <c r="D2408">
        <v>11953.78</v>
      </c>
      <c r="E2408">
        <v>8013.8499499999998</v>
      </c>
      <c r="F2408">
        <v>8815.5</v>
      </c>
      <c r="G2408">
        <v>21451.98</v>
      </c>
    </row>
    <row r="2409" spans="1:7" x14ac:dyDescent="0.35">
      <c r="A2409" s="1">
        <v>43711</v>
      </c>
      <c r="B2409">
        <v>3420.74</v>
      </c>
      <c r="C2409">
        <v>5466.07</v>
      </c>
      <c r="D2409">
        <v>11910.86</v>
      </c>
      <c r="E2409">
        <v>8011.5727900000002</v>
      </c>
      <c r="F2409">
        <v>8809.2000000000007</v>
      </c>
      <c r="G2409">
        <v>21399.23</v>
      </c>
    </row>
    <row r="2410" spans="1:7" x14ac:dyDescent="0.35">
      <c r="A2410" s="1">
        <v>43712</v>
      </c>
      <c r="B2410">
        <v>3450.83</v>
      </c>
      <c r="C2410">
        <v>5532.07</v>
      </c>
      <c r="D2410">
        <v>12025.04</v>
      </c>
      <c r="E2410">
        <v>8095.0355600000003</v>
      </c>
      <c r="F2410">
        <v>8856.6</v>
      </c>
      <c r="G2410">
        <v>21737.8</v>
      </c>
    </row>
    <row r="2411" spans="1:7" x14ac:dyDescent="0.35">
      <c r="A2411" s="1">
        <v>43713</v>
      </c>
      <c r="B2411">
        <v>3484.7</v>
      </c>
      <c r="C2411">
        <v>5593.37</v>
      </c>
      <c r="D2411">
        <v>12126.78</v>
      </c>
      <c r="E2411">
        <v>8110.8350399999999</v>
      </c>
      <c r="F2411">
        <v>8992.7000000000007</v>
      </c>
      <c r="G2411">
        <v>21955.07</v>
      </c>
    </row>
    <row r="2412" spans="1:7" x14ac:dyDescent="0.35">
      <c r="A2412" s="1">
        <v>43714</v>
      </c>
      <c r="B2412">
        <v>3495.19</v>
      </c>
      <c r="C2412">
        <v>5603.99</v>
      </c>
      <c r="D2412">
        <v>12191.73</v>
      </c>
      <c r="E2412">
        <v>8109.8936299999996</v>
      </c>
      <c r="F2412">
        <v>8990.1</v>
      </c>
      <c r="G2412">
        <v>21947.33</v>
      </c>
    </row>
    <row r="2413" spans="1:7" x14ac:dyDescent="0.35">
      <c r="A2413" s="1">
        <v>43717</v>
      </c>
      <c r="B2413">
        <v>3495.02</v>
      </c>
      <c r="C2413">
        <v>5588.95</v>
      </c>
      <c r="D2413">
        <v>12226.1</v>
      </c>
      <c r="E2413">
        <v>8078.4612900000002</v>
      </c>
      <c r="F2413">
        <v>9010.6</v>
      </c>
      <c r="G2413">
        <v>21989.73</v>
      </c>
    </row>
    <row r="2414" spans="1:7" x14ac:dyDescent="0.35">
      <c r="A2414" s="1">
        <v>43718</v>
      </c>
      <c r="B2414">
        <v>3498.99</v>
      </c>
      <c r="C2414">
        <v>5593.21</v>
      </c>
      <c r="D2414">
        <v>12268.71</v>
      </c>
      <c r="E2414">
        <v>8126.9912800000002</v>
      </c>
      <c r="F2414">
        <v>9078.2000000000007</v>
      </c>
      <c r="G2414">
        <v>21869.01</v>
      </c>
    </row>
    <row r="2415" spans="1:7" x14ac:dyDescent="0.35">
      <c r="A2415" s="1">
        <v>43719</v>
      </c>
      <c r="B2415">
        <v>3516.82</v>
      </c>
      <c r="C2415">
        <v>5618.06</v>
      </c>
      <c r="D2415">
        <v>12359.07</v>
      </c>
      <c r="E2415">
        <v>8212.0335699999996</v>
      </c>
      <c r="F2415">
        <v>9059.5</v>
      </c>
      <c r="G2415">
        <v>21891.57</v>
      </c>
    </row>
    <row r="2416" spans="1:7" x14ac:dyDescent="0.35">
      <c r="A2416" s="1">
        <v>43720</v>
      </c>
      <c r="B2416">
        <v>3538.86</v>
      </c>
      <c r="C2416">
        <v>5642.86</v>
      </c>
      <c r="D2416">
        <v>12410.25</v>
      </c>
      <c r="E2416">
        <v>8194.7352599999995</v>
      </c>
      <c r="F2416">
        <v>9082.2999999999993</v>
      </c>
      <c r="G2416">
        <v>22083.17</v>
      </c>
    </row>
    <row r="2417" spans="1:7" x14ac:dyDescent="0.35">
      <c r="A2417" s="1">
        <v>43721</v>
      </c>
      <c r="B2417">
        <v>3550.11</v>
      </c>
      <c r="C2417">
        <v>5655.46</v>
      </c>
      <c r="D2417">
        <v>12468.53</v>
      </c>
      <c r="E2417">
        <v>8292.7161300000007</v>
      </c>
      <c r="F2417">
        <v>9137.9</v>
      </c>
      <c r="G2417">
        <v>22181.41</v>
      </c>
    </row>
    <row r="2418" spans="1:7" x14ac:dyDescent="0.35">
      <c r="A2418" s="1">
        <v>43724</v>
      </c>
      <c r="B2418">
        <v>3518.45</v>
      </c>
      <c r="C2418">
        <v>5602.23</v>
      </c>
      <c r="D2418">
        <v>12380.31</v>
      </c>
      <c r="E2418">
        <v>8268.2759800000003</v>
      </c>
      <c r="F2418">
        <v>9052</v>
      </c>
      <c r="G2418">
        <v>21969.24</v>
      </c>
    </row>
    <row r="2419" spans="1:7" x14ac:dyDescent="0.35">
      <c r="A2419" s="1">
        <v>43725</v>
      </c>
      <c r="B2419">
        <v>3521.26</v>
      </c>
      <c r="C2419">
        <v>5615.51</v>
      </c>
      <c r="D2419">
        <v>12372.61</v>
      </c>
      <c r="E2419">
        <v>8268.0181799999991</v>
      </c>
      <c r="F2419">
        <v>9004.2000000000007</v>
      </c>
      <c r="G2419">
        <v>21801.93</v>
      </c>
    </row>
    <row r="2420" spans="1:7" x14ac:dyDescent="0.35">
      <c r="A2420" s="1">
        <v>43726</v>
      </c>
      <c r="B2420">
        <v>3528.04</v>
      </c>
      <c r="C2420">
        <v>5620.65</v>
      </c>
      <c r="D2420">
        <v>12389.62</v>
      </c>
      <c r="E2420">
        <v>8250.2060899999997</v>
      </c>
      <c r="F2420">
        <v>9031.7000000000007</v>
      </c>
      <c r="G2420">
        <v>21947.7</v>
      </c>
    </row>
    <row r="2421" spans="1:7" x14ac:dyDescent="0.35">
      <c r="A2421" s="1">
        <v>43727</v>
      </c>
      <c r="B2421">
        <v>3552.65</v>
      </c>
      <c r="C2421">
        <v>5659.08</v>
      </c>
      <c r="D2421">
        <v>12457.7</v>
      </c>
      <c r="E2421">
        <v>8319.5149099999999</v>
      </c>
      <c r="F2421">
        <v>9136</v>
      </c>
      <c r="G2421">
        <v>22128.240000000002</v>
      </c>
    </row>
    <row r="2422" spans="1:7" x14ac:dyDescent="0.35">
      <c r="A2422" s="1">
        <v>43728</v>
      </c>
      <c r="B2422">
        <v>3571.39</v>
      </c>
      <c r="C2422">
        <v>5690.78</v>
      </c>
      <c r="D2422">
        <v>12468.01</v>
      </c>
      <c r="E2422">
        <v>8331.1825399999998</v>
      </c>
      <c r="F2422">
        <v>9179</v>
      </c>
      <c r="G2422">
        <v>22123.25</v>
      </c>
    </row>
    <row r="2423" spans="1:7" x14ac:dyDescent="0.35">
      <c r="A2423" s="1">
        <v>43731</v>
      </c>
      <c r="B2423">
        <v>3536.97</v>
      </c>
      <c r="C2423">
        <v>5630.76</v>
      </c>
      <c r="D2423">
        <v>12342.33</v>
      </c>
      <c r="E2423">
        <v>8289.5992100000003</v>
      </c>
      <c r="F2423">
        <v>9093.6</v>
      </c>
      <c r="G2423">
        <v>21899.88</v>
      </c>
    </row>
    <row r="2424" spans="1:7" x14ac:dyDescent="0.35">
      <c r="A2424" s="1">
        <v>43732</v>
      </c>
      <c r="B2424">
        <v>3532.05</v>
      </c>
      <c r="C2424">
        <v>5628.33</v>
      </c>
      <c r="D2424">
        <v>12307.15</v>
      </c>
      <c r="E2424">
        <v>8267.2396800000006</v>
      </c>
      <c r="F2424">
        <v>9118.2000000000007</v>
      </c>
      <c r="G2424">
        <v>21901.01</v>
      </c>
    </row>
    <row r="2425" spans="1:7" x14ac:dyDescent="0.35">
      <c r="A2425" s="1">
        <v>43733</v>
      </c>
      <c r="B2425">
        <v>3513.03</v>
      </c>
      <c r="C2425">
        <v>5583.8</v>
      </c>
      <c r="D2425">
        <v>12234.18</v>
      </c>
      <c r="E2425">
        <v>8230.6338699999997</v>
      </c>
      <c r="F2425">
        <v>9085.2999999999993</v>
      </c>
      <c r="G2425">
        <v>21788.22</v>
      </c>
    </row>
    <row r="2426" spans="1:7" x14ac:dyDescent="0.35">
      <c r="A2426" s="1">
        <v>43734</v>
      </c>
      <c r="B2426">
        <v>3532.18</v>
      </c>
      <c r="C2426">
        <v>5620.57</v>
      </c>
      <c r="D2426">
        <v>12288.54</v>
      </c>
      <c r="E2426">
        <v>8299.7366700000002</v>
      </c>
      <c r="F2426">
        <v>9129.7000000000007</v>
      </c>
      <c r="G2426">
        <v>21947.67</v>
      </c>
    </row>
    <row r="2427" spans="1:7" x14ac:dyDescent="0.35">
      <c r="A2427" s="1">
        <v>43735</v>
      </c>
      <c r="B2427">
        <v>3545.88</v>
      </c>
      <c r="C2427">
        <v>5640.58</v>
      </c>
      <c r="D2427">
        <v>12380.94</v>
      </c>
      <c r="E2427">
        <v>8353.8076899999996</v>
      </c>
      <c r="F2427">
        <v>9184.1</v>
      </c>
      <c r="G2427">
        <v>22017.4</v>
      </c>
    </row>
    <row r="2428" spans="1:7" x14ac:dyDescent="0.35">
      <c r="A2428" s="1">
        <v>43738</v>
      </c>
      <c r="B2428">
        <v>3569.45</v>
      </c>
      <c r="C2428">
        <v>5677.79</v>
      </c>
      <c r="D2428">
        <v>12428.08</v>
      </c>
      <c r="E2428">
        <v>8350.6283500000009</v>
      </c>
      <c r="F2428">
        <v>9244.6</v>
      </c>
      <c r="G2428">
        <v>22107.7</v>
      </c>
    </row>
    <row r="2429" spans="1:7" x14ac:dyDescent="0.35">
      <c r="A2429" s="1">
        <v>43739</v>
      </c>
      <c r="B2429">
        <v>3518.25</v>
      </c>
      <c r="C2429">
        <v>5597.63</v>
      </c>
      <c r="D2429">
        <v>12263.83</v>
      </c>
      <c r="E2429">
        <v>8288.9396400000005</v>
      </c>
      <c r="F2429">
        <v>9165.9</v>
      </c>
      <c r="G2429">
        <v>21927.57</v>
      </c>
    </row>
    <row r="2430" spans="1:7" x14ac:dyDescent="0.35">
      <c r="A2430" s="1">
        <v>43740</v>
      </c>
      <c r="B2430">
        <v>3413.31</v>
      </c>
      <c r="C2430">
        <v>5422.77</v>
      </c>
      <c r="D2430">
        <v>11925.25</v>
      </c>
      <c r="E2430">
        <v>8000.6702699999996</v>
      </c>
      <c r="F2430">
        <v>8912.2000000000007</v>
      </c>
      <c r="G2430">
        <v>21298.240000000002</v>
      </c>
    </row>
    <row r="2431" spans="1:7" x14ac:dyDescent="0.35">
      <c r="A2431" s="1">
        <v>43742</v>
      </c>
      <c r="B2431">
        <v>3446.71</v>
      </c>
      <c r="C2431">
        <v>5488.32</v>
      </c>
      <c r="D2431">
        <v>12012.81</v>
      </c>
      <c r="E2431">
        <v>8031.5622700000004</v>
      </c>
      <c r="F2431">
        <v>8961.7999999999993</v>
      </c>
      <c r="G2431">
        <v>21470.44</v>
      </c>
    </row>
    <row r="2432" spans="1:7" x14ac:dyDescent="0.35">
      <c r="A2432" s="1">
        <v>43745</v>
      </c>
      <c r="B2432">
        <v>3471.24</v>
      </c>
      <c r="C2432">
        <v>5521.61</v>
      </c>
      <c r="D2432">
        <v>12097.43</v>
      </c>
      <c r="E2432">
        <v>8071.4822999999997</v>
      </c>
      <c r="F2432">
        <v>9044.1</v>
      </c>
      <c r="G2432">
        <v>21652.15</v>
      </c>
    </row>
    <row r="2433" spans="1:7" x14ac:dyDescent="0.35">
      <c r="A2433" s="1">
        <v>43746</v>
      </c>
      <c r="B2433">
        <v>3432.76</v>
      </c>
      <c r="C2433">
        <v>5456.62</v>
      </c>
      <c r="D2433">
        <v>11970.2</v>
      </c>
      <c r="E2433">
        <v>7966.1806999999999</v>
      </c>
      <c r="F2433">
        <v>8940.1</v>
      </c>
      <c r="G2433">
        <v>21405.73</v>
      </c>
    </row>
    <row r="2434" spans="1:7" x14ac:dyDescent="0.35">
      <c r="A2434" s="1">
        <v>43747</v>
      </c>
      <c r="B2434">
        <v>3462.11</v>
      </c>
      <c r="C2434">
        <v>5499.14</v>
      </c>
      <c r="D2434">
        <v>12094.26</v>
      </c>
      <c r="E2434">
        <v>7969.8167800000001</v>
      </c>
      <c r="F2434">
        <v>8991.9</v>
      </c>
      <c r="G2434">
        <v>21533.64</v>
      </c>
    </row>
    <row r="2435" spans="1:7" x14ac:dyDescent="0.35">
      <c r="A2435" s="1">
        <v>43748</v>
      </c>
      <c r="B2435">
        <v>3493.96</v>
      </c>
      <c r="C2435">
        <v>5569.05</v>
      </c>
      <c r="D2435">
        <v>12164.2</v>
      </c>
      <c r="E2435">
        <v>8085.87806</v>
      </c>
      <c r="F2435">
        <v>9104.4</v>
      </c>
      <c r="G2435">
        <v>21756.39</v>
      </c>
    </row>
    <row r="2436" spans="1:7" x14ac:dyDescent="0.35">
      <c r="A2436" s="1">
        <v>43749</v>
      </c>
      <c r="B2436">
        <v>3569.92</v>
      </c>
      <c r="C2436">
        <v>5665.48</v>
      </c>
      <c r="D2436">
        <v>12511.65</v>
      </c>
      <c r="E2436">
        <v>8306.8285500000002</v>
      </c>
      <c r="F2436">
        <v>9273.7999999999993</v>
      </c>
      <c r="G2436">
        <v>22165.34</v>
      </c>
    </row>
    <row r="2437" spans="1:7" x14ac:dyDescent="0.35">
      <c r="A2437" s="1">
        <v>43752</v>
      </c>
      <c r="B2437">
        <v>3556.26</v>
      </c>
      <c r="C2437">
        <v>5643.08</v>
      </c>
      <c r="D2437">
        <v>12486.56</v>
      </c>
      <c r="E2437">
        <v>8220.58626</v>
      </c>
      <c r="F2437">
        <v>9246.5</v>
      </c>
      <c r="G2437">
        <v>22097.94</v>
      </c>
    </row>
    <row r="2438" spans="1:7" x14ac:dyDescent="0.35">
      <c r="A2438" s="1">
        <v>43753</v>
      </c>
      <c r="B2438">
        <v>3598.65</v>
      </c>
      <c r="C2438">
        <v>5702.05</v>
      </c>
      <c r="D2438">
        <v>12629.79</v>
      </c>
      <c r="E2438">
        <v>8345.4304499999998</v>
      </c>
      <c r="F2438">
        <v>9356.1</v>
      </c>
      <c r="G2438">
        <v>22365.34</v>
      </c>
    </row>
    <row r="2439" spans="1:7" x14ac:dyDescent="0.35">
      <c r="A2439" s="1">
        <v>43754</v>
      </c>
      <c r="B2439">
        <v>3599.25</v>
      </c>
      <c r="C2439">
        <v>5696.9</v>
      </c>
      <c r="D2439">
        <v>12670.11</v>
      </c>
      <c r="E2439">
        <v>8310.3197999999993</v>
      </c>
      <c r="F2439">
        <v>9386.7000000000007</v>
      </c>
      <c r="G2439">
        <v>22428.09</v>
      </c>
    </row>
    <row r="2440" spans="1:7" x14ac:dyDescent="0.35">
      <c r="A2440" s="1">
        <v>43755</v>
      </c>
      <c r="B2440">
        <v>3588.62</v>
      </c>
      <c r="C2440">
        <v>5673.07</v>
      </c>
      <c r="D2440">
        <v>12654.95</v>
      </c>
      <c r="E2440">
        <v>8294.5919200000008</v>
      </c>
      <c r="F2440">
        <v>9340</v>
      </c>
      <c r="G2440">
        <v>22375.67</v>
      </c>
    </row>
    <row r="2441" spans="1:7" x14ac:dyDescent="0.35">
      <c r="A2441" s="1">
        <v>43756</v>
      </c>
      <c r="B2441">
        <v>3579.41</v>
      </c>
      <c r="C2441">
        <v>5636.25</v>
      </c>
      <c r="D2441">
        <v>12633.6</v>
      </c>
      <c r="E2441">
        <v>8286.1507500000007</v>
      </c>
      <c r="F2441">
        <v>9329.7999999999993</v>
      </c>
      <c r="G2441">
        <v>22321.77</v>
      </c>
    </row>
    <row r="2442" spans="1:7" x14ac:dyDescent="0.35">
      <c r="A2442" s="1">
        <v>43759</v>
      </c>
      <c r="B2442">
        <v>3600.08</v>
      </c>
      <c r="C2442">
        <v>5648.35</v>
      </c>
      <c r="D2442">
        <v>12747.96</v>
      </c>
      <c r="E2442">
        <v>8335.3113900000008</v>
      </c>
      <c r="F2442">
        <v>9402.2999999999993</v>
      </c>
      <c r="G2442">
        <v>22478.19</v>
      </c>
    </row>
    <row r="2443" spans="1:7" x14ac:dyDescent="0.35">
      <c r="A2443" s="1">
        <v>43760</v>
      </c>
      <c r="B2443">
        <v>3604.82</v>
      </c>
      <c r="C2443">
        <v>5657.69</v>
      </c>
      <c r="D2443">
        <v>12754.69</v>
      </c>
      <c r="E2443">
        <v>8383.6052</v>
      </c>
      <c r="F2443">
        <v>9380.2000000000007</v>
      </c>
      <c r="G2443">
        <v>22487.08</v>
      </c>
    </row>
    <row r="2444" spans="1:7" x14ac:dyDescent="0.35">
      <c r="A2444" s="1">
        <v>43761</v>
      </c>
      <c r="B2444">
        <v>3606.89</v>
      </c>
      <c r="C2444">
        <v>5653.44</v>
      </c>
      <c r="D2444">
        <v>12798.19</v>
      </c>
      <c r="E2444">
        <v>8405.9012199999997</v>
      </c>
      <c r="F2444">
        <v>9385</v>
      </c>
      <c r="G2444">
        <v>22351.07</v>
      </c>
    </row>
    <row r="2445" spans="1:7" x14ac:dyDescent="0.35">
      <c r="A2445" s="1">
        <v>43762</v>
      </c>
      <c r="B2445">
        <v>3621.37</v>
      </c>
      <c r="C2445">
        <v>5684.33</v>
      </c>
      <c r="D2445">
        <v>12872.1</v>
      </c>
      <c r="E2445">
        <v>8478.9178699999993</v>
      </c>
      <c r="F2445">
        <v>9391.7999999999993</v>
      </c>
      <c r="G2445">
        <v>22527.42</v>
      </c>
    </row>
    <row r="2446" spans="1:7" x14ac:dyDescent="0.35">
      <c r="A2446" s="1">
        <v>43763</v>
      </c>
      <c r="B2446">
        <v>3624.68</v>
      </c>
      <c r="C2446">
        <v>5722.15</v>
      </c>
      <c r="D2446">
        <v>12894.51</v>
      </c>
      <c r="E2446">
        <v>8477.9715099999994</v>
      </c>
      <c r="F2446">
        <v>9430.2000000000007</v>
      </c>
      <c r="G2446">
        <v>22608.99</v>
      </c>
    </row>
    <row r="2447" spans="1:7" x14ac:dyDescent="0.35">
      <c r="A2447" s="1">
        <v>43766</v>
      </c>
      <c r="B2447">
        <v>3625.69</v>
      </c>
      <c r="C2447">
        <v>5730.57</v>
      </c>
      <c r="D2447">
        <v>12941.71</v>
      </c>
      <c r="E2447">
        <v>8494.8284899999999</v>
      </c>
      <c r="F2447">
        <v>9433</v>
      </c>
      <c r="G2447">
        <v>22695.64</v>
      </c>
    </row>
    <row r="2448" spans="1:7" x14ac:dyDescent="0.35">
      <c r="A2448" s="1">
        <v>43767</v>
      </c>
      <c r="B2448">
        <v>3622.09</v>
      </c>
      <c r="C2448">
        <v>5740.14</v>
      </c>
      <c r="D2448">
        <v>12939.62</v>
      </c>
      <c r="E2448">
        <v>8456.6605</v>
      </c>
      <c r="F2448">
        <v>9400.1</v>
      </c>
      <c r="G2448">
        <v>22680.74</v>
      </c>
    </row>
    <row r="2449" spans="1:7" x14ac:dyDescent="0.35">
      <c r="A2449" s="1">
        <v>43768</v>
      </c>
      <c r="B2449">
        <v>3620.29</v>
      </c>
      <c r="C2449">
        <v>5765.87</v>
      </c>
      <c r="D2449">
        <v>12910.23</v>
      </c>
      <c r="E2449">
        <v>8484.7662400000008</v>
      </c>
      <c r="F2449">
        <v>9284.5</v>
      </c>
      <c r="G2449">
        <v>22646.080000000002</v>
      </c>
    </row>
    <row r="2450" spans="1:7" x14ac:dyDescent="0.35">
      <c r="A2450" s="1">
        <v>43769</v>
      </c>
      <c r="B2450">
        <v>3604.41</v>
      </c>
      <c r="C2450">
        <v>5729.86</v>
      </c>
      <c r="D2450">
        <v>12866.79</v>
      </c>
      <c r="E2450">
        <v>8413.0891900000006</v>
      </c>
      <c r="F2450">
        <v>9257.5</v>
      </c>
      <c r="G2450">
        <v>22693.77</v>
      </c>
    </row>
    <row r="2451" spans="1:7" x14ac:dyDescent="0.35">
      <c r="A2451" s="1">
        <v>43770</v>
      </c>
      <c r="B2451">
        <v>3623.74</v>
      </c>
      <c r="C2451">
        <v>5761.89</v>
      </c>
      <c r="D2451">
        <v>12961.05</v>
      </c>
      <c r="E2451">
        <v>8463.6630999999998</v>
      </c>
      <c r="F2451">
        <v>9328</v>
      </c>
      <c r="G2451">
        <v>22934.32</v>
      </c>
    </row>
    <row r="2452" spans="1:7" x14ac:dyDescent="0.35">
      <c r="A2452" s="1">
        <v>43773</v>
      </c>
      <c r="B2452">
        <v>3665.21</v>
      </c>
      <c r="C2452">
        <v>5824.3</v>
      </c>
      <c r="D2452">
        <v>13136.28</v>
      </c>
      <c r="E2452">
        <v>8533.2556299999997</v>
      </c>
      <c r="F2452">
        <v>9416.4</v>
      </c>
      <c r="G2452">
        <v>23311.43</v>
      </c>
    </row>
    <row r="2453" spans="1:7" x14ac:dyDescent="0.35">
      <c r="A2453" s="1">
        <v>43774</v>
      </c>
      <c r="B2453">
        <v>3676.52</v>
      </c>
      <c r="C2453">
        <v>5846.89</v>
      </c>
      <c r="D2453">
        <v>13148.5</v>
      </c>
      <c r="E2453">
        <v>8591.6134500000007</v>
      </c>
      <c r="F2453">
        <v>9407.9</v>
      </c>
      <c r="G2453">
        <v>23364.82</v>
      </c>
    </row>
    <row r="2454" spans="1:7" x14ac:dyDescent="0.35">
      <c r="A2454" s="1">
        <v>43775</v>
      </c>
      <c r="B2454">
        <v>3688.74</v>
      </c>
      <c r="C2454">
        <v>5866.74</v>
      </c>
      <c r="D2454">
        <v>13179.89</v>
      </c>
      <c r="E2454">
        <v>8594.4447600000003</v>
      </c>
      <c r="F2454">
        <v>9398.4</v>
      </c>
      <c r="G2454">
        <v>23373.22</v>
      </c>
    </row>
    <row r="2455" spans="1:7" x14ac:dyDescent="0.35">
      <c r="A2455" s="1">
        <v>43776</v>
      </c>
      <c r="B2455">
        <v>3706.68</v>
      </c>
      <c r="C2455">
        <v>5890.99</v>
      </c>
      <c r="D2455">
        <v>13289.46</v>
      </c>
      <c r="E2455">
        <v>8596.4264199999998</v>
      </c>
      <c r="F2455">
        <v>9447.2999999999993</v>
      </c>
      <c r="G2455">
        <v>23503.03</v>
      </c>
    </row>
    <row r="2456" spans="1:7" x14ac:dyDescent="0.35">
      <c r="A2456" s="1">
        <v>43777</v>
      </c>
      <c r="B2456">
        <v>3699.65</v>
      </c>
      <c r="C2456">
        <v>5889.7</v>
      </c>
      <c r="D2456">
        <v>13228.56</v>
      </c>
      <c r="E2456">
        <v>8529.40121</v>
      </c>
      <c r="F2456">
        <v>9393.7000000000007</v>
      </c>
      <c r="G2456">
        <v>23534.49</v>
      </c>
    </row>
    <row r="2457" spans="1:7" x14ac:dyDescent="0.35">
      <c r="A2457" s="1">
        <v>43780</v>
      </c>
      <c r="B2457">
        <v>3696.82</v>
      </c>
      <c r="C2457">
        <v>5893.82</v>
      </c>
      <c r="D2457">
        <v>13198.37</v>
      </c>
      <c r="E2457">
        <v>8536.13256</v>
      </c>
      <c r="F2457">
        <v>9388.5</v>
      </c>
      <c r="G2457">
        <v>23489.93</v>
      </c>
    </row>
    <row r="2458" spans="1:7" x14ac:dyDescent="0.35">
      <c r="A2458" s="1">
        <v>43781</v>
      </c>
      <c r="B2458">
        <v>3712.2</v>
      </c>
      <c r="C2458">
        <v>5919.75</v>
      </c>
      <c r="D2458">
        <v>13283.51</v>
      </c>
      <c r="E2458">
        <v>8600.9288500000002</v>
      </c>
      <c r="F2458">
        <v>9306.7000000000007</v>
      </c>
      <c r="G2458">
        <v>23782.15</v>
      </c>
    </row>
    <row r="2459" spans="1:7" x14ac:dyDescent="0.35">
      <c r="A2459" s="1">
        <v>43782</v>
      </c>
      <c r="B2459">
        <v>3699.5</v>
      </c>
      <c r="C2459">
        <v>5907.09</v>
      </c>
      <c r="D2459">
        <v>13230.07</v>
      </c>
      <c r="E2459">
        <v>8581.6471000000001</v>
      </c>
      <c r="F2459">
        <v>9194.5</v>
      </c>
      <c r="G2459">
        <v>23578.43</v>
      </c>
    </row>
    <row r="2460" spans="1:7" x14ac:dyDescent="0.35">
      <c r="A2460" s="1">
        <v>43783</v>
      </c>
      <c r="B2460">
        <v>3688.81</v>
      </c>
      <c r="C2460">
        <v>5901.08</v>
      </c>
      <c r="D2460">
        <v>13180.23</v>
      </c>
      <c r="E2460">
        <v>8524.5467499999995</v>
      </c>
      <c r="F2460">
        <v>9173.2999999999993</v>
      </c>
      <c r="G2460">
        <v>23481.35</v>
      </c>
    </row>
    <row r="2461" spans="1:7" x14ac:dyDescent="0.35">
      <c r="A2461" s="1">
        <v>43784</v>
      </c>
      <c r="B2461">
        <v>3711.61</v>
      </c>
      <c r="C2461">
        <v>5939.27</v>
      </c>
      <c r="D2461">
        <v>13241.75</v>
      </c>
      <c r="E2461">
        <v>8528.4650299999994</v>
      </c>
      <c r="F2461">
        <v>9261.4</v>
      </c>
      <c r="G2461">
        <v>23588.59</v>
      </c>
    </row>
    <row r="2462" spans="1:7" x14ac:dyDescent="0.35">
      <c r="A2462" s="1">
        <v>43787</v>
      </c>
      <c r="B2462">
        <v>3704.92</v>
      </c>
      <c r="C2462">
        <v>5929.79</v>
      </c>
      <c r="D2462">
        <v>13207.01</v>
      </c>
      <c r="E2462">
        <v>8550.7079900000008</v>
      </c>
      <c r="F2462">
        <v>9258</v>
      </c>
      <c r="G2462">
        <v>23463.98</v>
      </c>
    </row>
    <row r="2463" spans="1:7" x14ac:dyDescent="0.35">
      <c r="A2463" s="1">
        <v>43788</v>
      </c>
      <c r="B2463">
        <v>3696.56</v>
      </c>
      <c r="C2463">
        <v>5909.05</v>
      </c>
      <c r="D2463">
        <v>13221.12</v>
      </c>
      <c r="E2463">
        <v>8543.88256</v>
      </c>
      <c r="F2463">
        <v>9259.2000000000007</v>
      </c>
      <c r="G2463">
        <v>23329.21</v>
      </c>
    </row>
    <row r="2464" spans="1:7" x14ac:dyDescent="0.35">
      <c r="A2464" s="1">
        <v>43789</v>
      </c>
      <c r="B2464">
        <v>3683.88</v>
      </c>
      <c r="C2464">
        <v>5894.03</v>
      </c>
      <c r="D2464">
        <v>13158.14</v>
      </c>
      <c r="E2464">
        <v>8479.7954100000006</v>
      </c>
      <c r="F2464">
        <v>9225.4</v>
      </c>
      <c r="G2464">
        <v>23351.78</v>
      </c>
    </row>
    <row r="2465" spans="1:7" x14ac:dyDescent="0.35">
      <c r="A2465" s="1">
        <v>43790</v>
      </c>
      <c r="B2465">
        <v>3679.66</v>
      </c>
      <c r="C2465">
        <v>5881.21</v>
      </c>
      <c r="D2465">
        <v>13137.7</v>
      </c>
      <c r="E2465">
        <v>8443.1211399999993</v>
      </c>
      <c r="F2465">
        <v>9214</v>
      </c>
      <c r="G2465">
        <v>23279.78</v>
      </c>
    </row>
    <row r="2466" spans="1:7" x14ac:dyDescent="0.35">
      <c r="A2466" s="1">
        <v>43791</v>
      </c>
      <c r="B2466">
        <v>3687.32</v>
      </c>
      <c r="C2466">
        <v>5893.13</v>
      </c>
      <c r="D2466">
        <v>13163.88</v>
      </c>
      <c r="E2466">
        <v>8525.7908800000005</v>
      </c>
      <c r="F2466">
        <v>9254.7000000000007</v>
      </c>
      <c r="G2466">
        <v>23259.8</v>
      </c>
    </row>
    <row r="2467" spans="1:7" x14ac:dyDescent="0.35">
      <c r="A2467" s="1">
        <v>43794</v>
      </c>
      <c r="B2467">
        <v>3707.68</v>
      </c>
      <c r="C2467">
        <v>5924.86</v>
      </c>
      <c r="D2467">
        <v>13246.45</v>
      </c>
      <c r="E2467">
        <v>8661.7101399999992</v>
      </c>
      <c r="F2467">
        <v>9319.9</v>
      </c>
      <c r="G2467">
        <v>23467.25</v>
      </c>
    </row>
    <row r="2468" spans="1:7" x14ac:dyDescent="0.35">
      <c r="A2468" s="1">
        <v>43795</v>
      </c>
      <c r="B2468">
        <v>3705.55</v>
      </c>
      <c r="C2468">
        <v>5929.62</v>
      </c>
      <c r="D2468">
        <v>13236.42</v>
      </c>
      <c r="E2468">
        <v>8640.5795500000004</v>
      </c>
      <c r="F2468">
        <v>9324.7999999999993</v>
      </c>
      <c r="G2468">
        <v>23546.58</v>
      </c>
    </row>
    <row r="2469" spans="1:7" x14ac:dyDescent="0.35">
      <c r="A2469" s="1">
        <v>43796</v>
      </c>
      <c r="B2469">
        <v>3712.85</v>
      </c>
      <c r="C2469">
        <v>5926.84</v>
      </c>
      <c r="D2469">
        <v>13287.07</v>
      </c>
      <c r="E2469">
        <v>8702.2986799999999</v>
      </c>
      <c r="F2469">
        <v>9362.7000000000007</v>
      </c>
      <c r="G2469">
        <v>23485.03</v>
      </c>
    </row>
    <row r="2470" spans="1:7" x14ac:dyDescent="0.35">
      <c r="A2470" s="1">
        <v>43797</v>
      </c>
      <c r="B2470">
        <v>3704.48</v>
      </c>
      <c r="C2470">
        <v>5912.72</v>
      </c>
      <c r="D2470">
        <v>13245.58</v>
      </c>
      <c r="E2470">
        <v>8693.8238299999994</v>
      </c>
      <c r="F2470">
        <v>9359</v>
      </c>
      <c r="G2470">
        <v>23342.42</v>
      </c>
    </row>
    <row r="2471" spans="1:7" x14ac:dyDescent="0.35">
      <c r="A2471" s="1">
        <v>43798</v>
      </c>
      <c r="B2471">
        <v>3703.58</v>
      </c>
      <c r="C2471">
        <v>5905.17</v>
      </c>
      <c r="D2471">
        <v>13236.38</v>
      </c>
      <c r="E2471">
        <v>8624.3033699999996</v>
      </c>
      <c r="F2471">
        <v>9352</v>
      </c>
      <c r="G2471">
        <v>23259.33</v>
      </c>
    </row>
    <row r="2472" spans="1:7" x14ac:dyDescent="0.35">
      <c r="A2472" s="1">
        <v>43801</v>
      </c>
      <c r="B2472">
        <v>3626.66</v>
      </c>
      <c r="C2472">
        <v>5786.74</v>
      </c>
      <c r="D2472">
        <v>12964.68</v>
      </c>
      <c r="E2472">
        <v>8508.9253200000003</v>
      </c>
      <c r="F2472">
        <v>9156.2999999999993</v>
      </c>
      <c r="G2472">
        <v>22728.59</v>
      </c>
    </row>
    <row r="2473" spans="1:7" x14ac:dyDescent="0.35">
      <c r="A2473" s="1">
        <v>43802</v>
      </c>
      <c r="B2473">
        <v>3610.99</v>
      </c>
      <c r="C2473">
        <v>5727.22</v>
      </c>
      <c r="D2473">
        <v>12989.29</v>
      </c>
      <c r="E2473">
        <v>8398.37212</v>
      </c>
      <c r="F2473">
        <v>9135.7000000000007</v>
      </c>
      <c r="G2473">
        <v>22736.52</v>
      </c>
    </row>
    <row r="2474" spans="1:7" x14ac:dyDescent="0.35">
      <c r="A2474" s="1">
        <v>43803</v>
      </c>
      <c r="B2474">
        <v>3660.02</v>
      </c>
      <c r="C2474">
        <v>5799.68</v>
      </c>
      <c r="D2474">
        <v>13140.57</v>
      </c>
      <c r="E2474">
        <v>8494.7331200000008</v>
      </c>
      <c r="F2474">
        <v>9270.7999999999993</v>
      </c>
      <c r="G2474">
        <v>23034.2</v>
      </c>
    </row>
    <row r="2475" spans="1:7" x14ac:dyDescent="0.35">
      <c r="A2475" s="1">
        <v>43804</v>
      </c>
      <c r="B2475">
        <v>3648.13</v>
      </c>
      <c r="C2475">
        <v>5801.55</v>
      </c>
      <c r="D2475">
        <v>13054.8</v>
      </c>
      <c r="E2475">
        <v>8457.4363200000007</v>
      </c>
      <c r="F2475">
        <v>9243.4</v>
      </c>
      <c r="G2475">
        <v>22969.4</v>
      </c>
    </row>
    <row r="2476" spans="1:7" x14ac:dyDescent="0.35">
      <c r="A2476" s="1">
        <v>43805</v>
      </c>
      <c r="B2476">
        <v>3692.34</v>
      </c>
      <c r="C2476">
        <v>5871.91</v>
      </c>
      <c r="D2476">
        <v>13166.58</v>
      </c>
      <c r="E2476">
        <v>8600.4934200000007</v>
      </c>
      <c r="F2476">
        <v>9382.7000000000007</v>
      </c>
      <c r="G2476">
        <v>23182.720000000001</v>
      </c>
    </row>
    <row r="2477" spans="1:7" x14ac:dyDescent="0.35">
      <c r="A2477" s="1">
        <v>43808</v>
      </c>
      <c r="B2477">
        <v>3672.18</v>
      </c>
      <c r="C2477">
        <v>5837.25</v>
      </c>
      <c r="D2477">
        <v>13105.61</v>
      </c>
      <c r="E2477">
        <v>8601.90985</v>
      </c>
      <c r="F2477">
        <v>9354.6</v>
      </c>
      <c r="G2477">
        <v>22956.9</v>
      </c>
    </row>
    <row r="2478" spans="1:7" x14ac:dyDescent="0.35">
      <c r="A2478" s="1">
        <v>43809</v>
      </c>
      <c r="B2478">
        <v>3671.78</v>
      </c>
      <c r="C2478">
        <v>5848.03</v>
      </c>
      <c r="D2478">
        <v>13070.72</v>
      </c>
      <c r="E2478">
        <v>8577.5230499999998</v>
      </c>
      <c r="F2478">
        <v>9321.1</v>
      </c>
      <c r="G2478">
        <v>23122.82</v>
      </c>
    </row>
    <row r="2479" spans="1:7" x14ac:dyDescent="0.35">
      <c r="A2479" s="1">
        <v>43810</v>
      </c>
      <c r="B2479">
        <v>3687.45</v>
      </c>
      <c r="C2479">
        <v>5860.88</v>
      </c>
      <c r="D2479">
        <v>13146.74</v>
      </c>
      <c r="E2479">
        <v>8569.4595200000003</v>
      </c>
      <c r="F2479">
        <v>9392.5</v>
      </c>
      <c r="G2479">
        <v>23155.64</v>
      </c>
    </row>
    <row r="2480" spans="1:7" x14ac:dyDescent="0.35">
      <c r="A2480" s="1">
        <v>43811</v>
      </c>
      <c r="B2480">
        <v>3706.35</v>
      </c>
      <c r="C2480">
        <v>5884.26</v>
      </c>
      <c r="D2480">
        <v>13221.64</v>
      </c>
      <c r="E2480">
        <v>8582.1708600000002</v>
      </c>
      <c r="F2480">
        <v>9468.5</v>
      </c>
      <c r="G2480">
        <v>23390.95</v>
      </c>
    </row>
    <row r="2481" spans="1:7" x14ac:dyDescent="0.35">
      <c r="A2481" s="1">
        <v>43812</v>
      </c>
      <c r="B2481">
        <v>3731.07</v>
      </c>
      <c r="C2481">
        <v>5919.02</v>
      </c>
      <c r="D2481">
        <v>13282.72</v>
      </c>
      <c r="E2481">
        <v>8812.7498799999994</v>
      </c>
      <c r="F2481">
        <v>9563.7000000000007</v>
      </c>
      <c r="G2481">
        <v>23329.33</v>
      </c>
    </row>
    <row r="2482" spans="1:7" x14ac:dyDescent="0.35">
      <c r="A2482" s="1">
        <v>43815</v>
      </c>
      <c r="B2482">
        <v>3772.74</v>
      </c>
      <c r="C2482">
        <v>5991.66</v>
      </c>
      <c r="D2482">
        <v>13407.66</v>
      </c>
      <c r="E2482">
        <v>8992.0901300000005</v>
      </c>
      <c r="F2482">
        <v>9680.6</v>
      </c>
      <c r="G2482">
        <v>23524.76</v>
      </c>
    </row>
    <row r="2483" spans="1:7" x14ac:dyDescent="0.35">
      <c r="A2483" s="1">
        <v>43816</v>
      </c>
      <c r="B2483">
        <v>3745.28</v>
      </c>
      <c r="C2483">
        <v>5968.26</v>
      </c>
      <c r="D2483">
        <v>13287.83</v>
      </c>
      <c r="E2483">
        <v>8860.6933000000008</v>
      </c>
      <c r="F2483">
        <v>9615.9</v>
      </c>
      <c r="G2483">
        <v>23630.77</v>
      </c>
    </row>
    <row r="2484" spans="1:7" x14ac:dyDescent="0.35">
      <c r="A2484" s="1">
        <v>43817</v>
      </c>
      <c r="B2484">
        <v>3739</v>
      </c>
      <c r="C2484">
        <v>5959.6</v>
      </c>
      <c r="D2484">
        <v>13222.16</v>
      </c>
      <c r="E2484">
        <v>8873.50533</v>
      </c>
      <c r="F2484">
        <v>9621.7999999999993</v>
      </c>
      <c r="G2484">
        <v>23628.87</v>
      </c>
    </row>
    <row r="2485" spans="1:7" x14ac:dyDescent="0.35">
      <c r="A2485" s="1">
        <v>43818</v>
      </c>
      <c r="B2485">
        <v>3739.17</v>
      </c>
      <c r="C2485">
        <v>5972.28</v>
      </c>
      <c r="D2485">
        <v>13211.96</v>
      </c>
      <c r="E2485">
        <v>8876.8574399999998</v>
      </c>
      <c r="F2485">
        <v>9617.2000000000007</v>
      </c>
      <c r="G2485">
        <v>23708.94</v>
      </c>
    </row>
    <row r="2486" spans="1:7" x14ac:dyDescent="0.35">
      <c r="A2486" s="1">
        <v>43819</v>
      </c>
      <c r="B2486">
        <v>3776.56</v>
      </c>
      <c r="C2486">
        <v>6021.53</v>
      </c>
      <c r="D2486">
        <v>13318.9</v>
      </c>
      <c r="E2486">
        <v>8919.6379099999995</v>
      </c>
      <c r="F2486">
        <v>9675.5</v>
      </c>
      <c r="G2486">
        <v>24003.64</v>
      </c>
    </row>
    <row r="2487" spans="1:7" x14ac:dyDescent="0.35">
      <c r="A2487" s="1">
        <v>43822</v>
      </c>
      <c r="B2487">
        <v>3776.66</v>
      </c>
      <c r="C2487">
        <v>6029.37</v>
      </c>
      <c r="D2487">
        <v>13300.98</v>
      </c>
      <c r="E2487">
        <v>8890.4078100000006</v>
      </c>
      <c r="F2487">
        <v>9659.6</v>
      </c>
      <c r="G2487">
        <v>23898.42</v>
      </c>
    </row>
    <row r="2488" spans="1:7" x14ac:dyDescent="0.35">
      <c r="A2488" s="1">
        <v>43826</v>
      </c>
      <c r="B2488">
        <v>3782.27</v>
      </c>
      <c r="C2488">
        <v>6037.39</v>
      </c>
      <c r="D2488">
        <v>13337.11</v>
      </c>
      <c r="E2488">
        <v>8949.8100599999998</v>
      </c>
      <c r="F2488">
        <v>9700.5</v>
      </c>
      <c r="G2488">
        <v>23757.599999999999</v>
      </c>
    </row>
    <row r="2489" spans="1:7" x14ac:dyDescent="0.35">
      <c r="A2489" s="1">
        <v>43829</v>
      </c>
      <c r="B2489">
        <v>3748.47</v>
      </c>
      <c r="C2489">
        <v>5982.22</v>
      </c>
      <c r="D2489">
        <v>13249.01</v>
      </c>
      <c r="E2489">
        <v>8878.2899799999996</v>
      </c>
      <c r="F2489">
        <v>9612.6</v>
      </c>
      <c r="G2489">
        <v>23506.37</v>
      </c>
    </row>
    <row r="2490" spans="1:7" x14ac:dyDescent="0.35">
      <c r="A2490" s="1">
        <v>43832</v>
      </c>
      <c r="B2490">
        <v>3793.24</v>
      </c>
      <c r="C2490">
        <v>6041.5</v>
      </c>
      <c r="D2490">
        <v>13385.93</v>
      </c>
      <c r="E2490">
        <v>8942.0304799999994</v>
      </c>
      <c r="F2490">
        <v>9691.2000000000007</v>
      </c>
      <c r="G2490">
        <v>23836.26</v>
      </c>
    </row>
    <row r="2491" spans="1:7" x14ac:dyDescent="0.35">
      <c r="A2491" s="1">
        <v>43833</v>
      </c>
      <c r="B2491">
        <v>3773.37</v>
      </c>
      <c r="C2491">
        <v>6044.16</v>
      </c>
      <c r="D2491">
        <v>13219.14</v>
      </c>
      <c r="E2491">
        <v>8929.6429599999992</v>
      </c>
      <c r="F2491">
        <v>9646.6</v>
      </c>
      <c r="G2491">
        <v>23702.35</v>
      </c>
    </row>
    <row r="2492" spans="1:7" x14ac:dyDescent="0.35">
      <c r="A2492" s="1">
        <v>43836</v>
      </c>
      <c r="B2492">
        <v>3752.52</v>
      </c>
      <c r="C2492">
        <v>6013.59</v>
      </c>
      <c r="D2492">
        <v>13126.99</v>
      </c>
      <c r="E2492">
        <v>8904.9999499999994</v>
      </c>
      <c r="F2492">
        <v>9600.9</v>
      </c>
      <c r="G2492">
        <v>23581.29</v>
      </c>
    </row>
    <row r="2493" spans="1:7" x14ac:dyDescent="0.35">
      <c r="A2493" s="1">
        <v>43837</v>
      </c>
      <c r="B2493">
        <v>3759.25</v>
      </c>
      <c r="C2493">
        <v>6012.35</v>
      </c>
      <c r="D2493">
        <v>13226.83</v>
      </c>
      <c r="E2493">
        <v>8923.0461099999993</v>
      </c>
      <c r="F2493">
        <v>9579.7999999999993</v>
      </c>
      <c r="G2493">
        <v>23723.38</v>
      </c>
    </row>
    <row r="2494" spans="1:7" x14ac:dyDescent="0.35">
      <c r="A2494" s="1">
        <v>43838</v>
      </c>
      <c r="B2494">
        <v>3772.56</v>
      </c>
      <c r="C2494">
        <v>6031</v>
      </c>
      <c r="D2494">
        <v>13320.18</v>
      </c>
      <c r="E2494">
        <v>8928.7153799999996</v>
      </c>
      <c r="F2494">
        <v>9591.4</v>
      </c>
      <c r="G2494">
        <v>23832.02</v>
      </c>
    </row>
    <row r="2495" spans="1:7" x14ac:dyDescent="0.35">
      <c r="A2495" s="1">
        <v>43839</v>
      </c>
      <c r="B2495">
        <v>3795.88</v>
      </c>
      <c r="C2495">
        <v>6042.55</v>
      </c>
      <c r="D2495">
        <v>13495.06</v>
      </c>
      <c r="E2495">
        <v>8936.4291099999991</v>
      </c>
      <c r="F2495">
        <v>9581.7999999999993</v>
      </c>
      <c r="G2495">
        <v>24016.7</v>
      </c>
    </row>
    <row r="2496" spans="1:7" x14ac:dyDescent="0.35">
      <c r="A2496" s="1">
        <v>43840</v>
      </c>
      <c r="B2496">
        <v>3789.52</v>
      </c>
      <c r="C2496">
        <v>6037.11</v>
      </c>
      <c r="D2496">
        <v>13483.31</v>
      </c>
      <c r="E2496">
        <v>8911.3915400000005</v>
      </c>
      <c r="F2496">
        <v>9573.6</v>
      </c>
      <c r="G2496">
        <v>24021.4</v>
      </c>
    </row>
    <row r="2497" spans="1:7" x14ac:dyDescent="0.35">
      <c r="A2497" s="1">
        <v>43843</v>
      </c>
      <c r="B2497">
        <v>3779.68</v>
      </c>
      <c r="C2497">
        <v>6036.14</v>
      </c>
      <c r="D2497">
        <v>13451.52</v>
      </c>
      <c r="E2497">
        <v>8886.0603200000005</v>
      </c>
      <c r="F2497">
        <v>9543.9</v>
      </c>
      <c r="G2497">
        <v>23896.59</v>
      </c>
    </row>
    <row r="2498" spans="1:7" x14ac:dyDescent="0.35">
      <c r="A2498" s="1">
        <v>43844</v>
      </c>
      <c r="B2498">
        <v>3774.88</v>
      </c>
      <c r="C2498">
        <v>6040.89</v>
      </c>
      <c r="D2498">
        <v>13456.49</v>
      </c>
      <c r="E2498">
        <v>8917.2798199999997</v>
      </c>
      <c r="F2498">
        <v>9528.2999999999993</v>
      </c>
      <c r="G2498">
        <v>23928.21</v>
      </c>
    </row>
    <row r="2499" spans="1:7" x14ac:dyDescent="0.35">
      <c r="A2499" s="1">
        <v>43845</v>
      </c>
      <c r="B2499">
        <v>3768.96</v>
      </c>
      <c r="C2499">
        <v>6032.61</v>
      </c>
      <c r="D2499">
        <v>13432.3</v>
      </c>
      <c r="E2499">
        <v>8927.1027400000003</v>
      </c>
      <c r="F2499">
        <v>9511.7000000000007</v>
      </c>
      <c r="G2499">
        <v>23763.86</v>
      </c>
    </row>
    <row r="2500" spans="1:7" x14ac:dyDescent="0.35">
      <c r="A2500" s="1">
        <v>43846</v>
      </c>
      <c r="B2500">
        <v>3774.14</v>
      </c>
      <c r="C2500">
        <v>6039.03</v>
      </c>
      <c r="D2500">
        <v>13429.43</v>
      </c>
      <c r="E2500">
        <v>8934.9488899999997</v>
      </c>
      <c r="F2500">
        <v>9572.5</v>
      </c>
      <c r="G2500">
        <v>23940.41</v>
      </c>
    </row>
    <row r="2501" spans="1:7" x14ac:dyDescent="0.35">
      <c r="A2501" s="1">
        <v>43847</v>
      </c>
      <c r="B2501">
        <v>3808.26</v>
      </c>
      <c r="C2501">
        <v>6100.72</v>
      </c>
      <c r="D2501">
        <v>13526.13</v>
      </c>
      <c r="E2501">
        <v>9012.1241900000005</v>
      </c>
      <c r="F2501">
        <v>9681.2999999999993</v>
      </c>
      <c r="G2501">
        <v>24141.07</v>
      </c>
    </row>
    <row r="2502" spans="1:7" x14ac:dyDescent="0.35">
      <c r="A2502" s="1">
        <v>43850</v>
      </c>
      <c r="B2502">
        <v>3799.03</v>
      </c>
      <c r="C2502">
        <v>6078.54</v>
      </c>
      <c r="D2502">
        <v>13548.94</v>
      </c>
      <c r="E2502">
        <v>8974.0815600000005</v>
      </c>
      <c r="F2502">
        <v>9658.7999999999993</v>
      </c>
      <c r="G2502">
        <v>24002.45</v>
      </c>
    </row>
    <row r="2503" spans="1:7" x14ac:dyDescent="0.35">
      <c r="A2503" s="1">
        <v>43851</v>
      </c>
      <c r="B2503">
        <v>3789.12</v>
      </c>
      <c r="C2503">
        <v>6045.99</v>
      </c>
      <c r="D2503">
        <v>13555.87</v>
      </c>
      <c r="E2503">
        <v>8951.4237499999999</v>
      </c>
      <c r="F2503">
        <v>9611.2999999999993</v>
      </c>
      <c r="G2503">
        <v>23845.279999999999</v>
      </c>
    </row>
    <row r="2504" spans="1:7" x14ac:dyDescent="0.35">
      <c r="A2504" s="1">
        <v>43852</v>
      </c>
      <c r="B2504">
        <v>3769.79</v>
      </c>
      <c r="C2504">
        <v>6010.98</v>
      </c>
      <c r="D2504">
        <v>13515.75</v>
      </c>
      <c r="E2504">
        <v>8967.3225399999992</v>
      </c>
      <c r="F2504">
        <v>9573.7000000000007</v>
      </c>
      <c r="G2504">
        <v>23706.29</v>
      </c>
    </row>
    <row r="2505" spans="1:7" x14ac:dyDescent="0.35">
      <c r="A2505" s="1">
        <v>43853</v>
      </c>
      <c r="B2505">
        <v>3736.85</v>
      </c>
      <c r="C2505">
        <v>5971.79</v>
      </c>
      <c r="D2505">
        <v>13388.42</v>
      </c>
      <c r="E2505">
        <v>8906.4839100000008</v>
      </c>
      <c r="F2505">
        <v>9518.5</v>
      </c>
      <c r="G2505">
        <v>23707.05</v>
      </c>
    </row>
    <row r="2506" spans="1:7" x14ac:dyDescent="0.35">
      <c r="A2506" s="1">
        <v>43854</v>
      </c>
      <c r="B2506">
        <v>3779.16</v>
      </c>
      <c r="C2506">
        <v>6024.26</v>
      </c>
      <c r="D2506">
        <v>13576.68</v>
      </c>
      <c r="E2506">
        <v>8997.64509</v>
      </c>
      <c r="F2506">
        <v>9562</v>
      </c>
      <c r="G2506">
        <v>23969.13</v>
      </c>
    </row>
    <row r="2507" spans="1:7" x14ac:dyDescent="0.35">
      <c r="A2507" s="1">
        <v>43857</v>
      </c>
      <c r="B2507">
        <v>3677.84</v>
      </c>
      <c r="C2507">
        <v>5863.02</v>
      </c>
      <c r="D2507">
        <v>13204.77</v>
      </c>
      <c r="E2507">
        <v>8786.7951799999992</v>
      </c>
      <c r="F2507">
        <v>9366.2999999999993</v>
      </c>
      <c r="G2507">
        <v>23416.13</v>
      </c>
    </row>
    <row r="2508" spans="1:7" x14ac:dyDescent="0.35">
      <c r="A2508" s="1">
        <v>43858</v>
      </c>
      <c r="B2508">
        <v>3719.22</v>
      </c>
      <c r="C2508">
        <v>5925.82</v>
      </c>
      <c r="D2508">
        <v>13323.69</v>
      </c>
      <c r="E2508">
        <v>8832.9084700000003</v>
      </c>
      <c r="F2508">
        <v>9484.2000000000007</v>
      </c>
      <c r="G2508">
        <v>24027.63</v>
      </c>
    </row>
    <row r="2509" spans="1:7" x14ac:dyDescent="0.35">
      <c r="A2509" s="1">
        <v>43859</v>
      </c>
      <c r="B2509">
        <v>3736.36</v>
      </c>
      <c r="C2509">
        <v>5954.89</v>
      </c>
      <c r="D2509">
        <v>13345</v>
      </c>
      <c r="E2509">
        <v>8848.3610000000008</v>
      </c>
      <c r="F2509">
        <v>9546.7000000000007</v>
      </c>
      <c r="G2509">
        <v>24164.73</v>
      </c>
    </row>
    <row r="2510" spans="1:7" x14ac:dyDescent="0.35">
      <c r="A2510" s="1">
        <v>43860</v>
      </c>
      <c r="B2510">
        <v>3690.78</v>
      </c>
      <c r="C2510">
        <v>5871.77</v>
      </c>
      <c r="D2510">
        <v>13157.12</v>
      </c>
      <c r="E2510">
        <v>8757.6341900000007</v>
      </c>
      <c r="F2510">
        <v>9477.9</v>
      </c>
      <c r="G2510">
        <v>23781.1</v>
      </c>
    </row>
    <row r="2511" spans="1:7" x14ac:dyDescent="0.35">
      <c r="A2511" s="1">
        <v>43861</v>
      </c>
      <c r="B2511">
        <v>3640.91</v>
      </c>
      <c r="C2511">
        <v>5806.34</v>
      </c>
      <c r="D2511">
        <v>12981.97</v>
      </c>
      <c r="E2511">
        <v>8675.1049299999995</v>
      </c>
      <c r="F2511">
        <v>9367.9</v>
      </c>
      <c r="G2511">
        <v>23237.03</v>
      </c>
    </row>
    <row r="2512" spans="1:7" x14ac:dyDescent="0.35">
      <c r="A2512" s="1">
        <v>43864</v>
      </c>
      <c r="B2512">
        <v>3661.27</v>
      </c>
      <c r="C2512">
        <v>5832.51</v>
      </c>
      <c r="D2512">
        <v>13045.19</v>
      </c>
      <c r="E2512">
        <v>8615.4861700000001</v>
      </c>
      <c r="F2512">
        <v>9404.7000000000007</v>
      </c>
      <c r="G2512">
        <v>23460.01</v>
      </c>
    </row>
    <row r="2513" spans="1:7" x14ac:dyDescent="0.35">
      <c r="A2513" s="1">
        <v>43865</v>
      </c>
      <c r="B2513">
        <v>3732.28</v>
      </c>
      <c r="C2513">
        <v>5935.05</v>
      </c>
      <c r="D2513">
        <v>13281.74</v>
      </c>
      <c r="E2513">
        <v>8784.6094300000004</v>
      </c>
      <c r="F2513">
        <v>9562.9</v>
      </c>
      <c r="G2513">
        <v>23844.85</v>
      </c>
    </row>
    <row r="2514" spans="1:7" x14ac:dyDescent="0.35">
      <c r="A2514" s="1">
        <v>43866</v>
      </c>
      <c r="B2514">
        <v>3777.84</v>
      </c>
      <c r="C2514">
        <v>5985.4</v>
      </c>
      <c r="D2514">
        <v>13478.33</v>
      </c>
      <c r="E2514">
        <v>8844.8477299999995</v>
      </c>
      <c r="F2514">
        <v>9717.7999999999993</v>
      </c>
      <c r="G2514">
        <v>24236.63</v>
      </c>
    </row>
    <row r="2515" spans="1:7" x14ac:dyDescent="0.35">
      <c r="A2515" s="1">
        <v>43867</v>
      </c>
      <c r="B2515">
        <v>3805.52</v>
      </c>
      <c r="C2515">
        <v>6038.18</v>
      </c>
      <c r="D2515">
        <v>13574.82</v>
      </c>
      <c r="E2515">
        <v>8844.3693700000003</v>
      </c>
      <c r="F2515">
        <v>9811.2999999999993</v>
      </c>
      <c r="G2515">
        <v>24490.35</v>
      </c>
    </row>
    <row r="2516" spans="1:7" x14ac:dyDescent="0.35">
      <c r="A2516" s="1">
        <v>43868</v>
      </c>
      <c r="B2516">
        <v>3798.49</v>
      </c>
      <c r="C2516">
        <v>6029.75</v>
      </c>
      <c r="D2516">
        <v>13513.81</v>
      </c>
      <c r="E2516">
        <v>8802.6954900000001</v>
      </c>
      <c r="F2516">
        <v>9811</v>
      </c>
      <c r="G2516">
        <v>24478.32</v>
      </c>
    </row>
    <row r="2517" spans="1:7" x14ac:dyDescent="0.35">
      <c r="A2517" s="1">
        <v>43871</v>
      </c>
      <c r="B2517">
        <v>3793.18</v>
      </c>
      <c r="C2517">
        <v>6015.67</v>
      </c>
      <c r="D2517">
        <v>13494.03</v>
      </c>
      <c r="E2517">
        <v>8812.0275700000002</v>
      </c>
      <c r="F2517">
        <v>9816</v>
      </c>
      <c r="G2517">
        <v>24507.7</v>
      </c>
    </row>
    <row r="2518" spans="1:7" x14ac:dyDescent="0.35">
      <c r="A2518" s="1">
        <v>43872</v>
      </c>
      <c r="B2518">
        <v>3825.84</v>
      </c>
      <c r="C2518">
        <v>6054.76</v>
      </c>
      <c r="D2518">
        <v>13627.84</v>
      </c>
      <c r="E2518">
        <v>8892.6247399999993</v>
      </c>
      <c r="F2518">
        <v>9882.6</v>
      </c>
      <c r="G2518">
        <v>24688.89</v>
      </c>
    </row>
    <row r="2519" spans="1:7" x14ac:dyDescent="0.35">
      <c r="A2519" s="1">
        <v>43873</v>
      </c>
      <c r="B2519">
        <v>3854.43</v>
      </c>
      <c r="C2519">
        <v>6104.73</v>
      </c>
      <c r="D2519">
        <v>13749.78</v>
      </c>
      <c r="E2519">
        <v>8979.7445900000002</v>
      </c>
      <c r="F2519">
        <v>9940.4</v>
      </c>
      <c r="G2519">
        <v>24861.279999999999</v>
      </c>
    </row>
    <row r="2520" spans="1:7" x14ac:dyDescent="0.35">
      <c r="A2520" s="1">
        <v>43874</v>
      </c>
      <c r="B2520">
        <v>3846.74</v>
      </c>
      <c r="C2520">
        <v>6093.14</v>
      </c>
      <c r="D2520">
        <v>13745.43</v>
      </c>
      <c r="E2520">
        <v>8973.7782399999996</v>
      </c>
      <c r="F2520">
        <v>9909.7999999999993</v>
      </c>
      <c r="G2520">
        <v>24892.15</v>
      </c>
    </row>
    <row r="2521" spans="1:7" x14ac:dyDescent="0.35">
      <c r="A2521" s="1">
        <v>43875</v>
      </c>
      <c r="B2521">
        <v>3840.97</v>
      </c>
      <c r="C2521">
        <v>6069.35</v>
      </c>
      <c r="D2521">
        <v>13744.21</v>
      </c>
      <c r="E2521">
        <v>8910.3619999999992</v>
      </c>
      <c r="F2521">
        <v>9956.7999999999993</v>
      </c>
      <c r="G2521">
        <v>24867.01</v>
      </c>
    </row>
    <row r="2522" spans="1:7" x14ac:dyDescent="0.35">
      <c r="A2522" s="1">
        <v>43878</v>
      </c>
      <c r="B2522">
        <v>3853.27</v>
      </c>
      <c r="C2522">
        <v>6085.95</v>
      </c>
      <c r="D2522">
        <v>13783.89</v>
      </c>
      <c r="E2522">
        <v>8929.2327399999995</v>
      </c>
      <c r="F2522">
        <v>10022.200000000001</v>
      </c>
      <c r="G2522">
        <v>25120.54</v>
      </c>
    </row>
    <row r="2523" spans="1:7" x14ac:dyDescent="0.35">
      <c r="A2523" s="1">
        <v>43879</v>
      </c>
      <c r="B2523">
        <v>3836.54</v>
      </c>
      <c r="C2523">
        <v>6056.82</v>
      </c>
      <c r="D2523">
        <v>13681.19</v>
      </c>
      <c r="E2523">
        <v>8885.1960400000007</v>
      </c>
      <c r="F2523">
        <v>10005.799999999999</v>
      </c>
      <c r="G2523">
        <v>25223.51</v>
      </c>
    </row>
    <row r="2524" spans="1:7" x14ac:dyDescent="0.35">
      <c r="A2524" s="1">
        <v>43880</v>
      </c>
      <c r="B2524">
        <v>3865.18</v>
      </c>
      <c r="C2524">
        <v>6111.24</v>
      </c>
      <c r="D2524">
        <v>13789</v>
      </c>
      <c r="E2524">
        <v>8926.0363600000001</v>
      </c>
      <c r="F2524">
        <v>10083.6</v>
      </c>
      <c r="G2524">
        <v>25477.55</v>
      </c>
    </row>
    <row r="2525" spans="1:7" x14ac:dyDescent="0.35">
      <c r="A2525" s="1">
        <v>43881</v>
      </c>
      <c r="B2525">
        <v>3822.98</v>
      </c>
      <c r="C2525">
        <v>6062.3</v>
      </c>
      <c r="D2525">
        <v>13664</v>
      </c>
      <c r="E2525">
        <v>8873.2558100000006</v>
      </c>
      <c r="F2525">
        <v>9931</v>
      </c>
      <c r="G2525">
        <v>25080.16</v>
      </c>
    </row>
    <row r="2526" spans="1:7" x14ac:dyDescent="0.35">
      <c r="A2526" s="1">
        <v>43882</v>
      </c>
      <c r="B2526">
        <v>3800.38</v>
      </c>
      <c r="C2526">
        <v>6029.72</v>
      </c>
      <c r="D2526">
        <v>13579.33</v>
      </c>
      <c r="E2526">
        <v>8846.7911299999996</v>
      </c>
      <c r="F2526">
        <v>9886.2000000000007</v>
      </c>
      <c r="G2526">
        <v>24773.15</v>
      </c>
    </row>
    <row r="2527" spans="1:7" x14ac:dyDescent="0.35">
      <c r="A2527" s="1">
        <v>43885</v>
      </c>
      <c r="B2527">
        <v>3647.98</v>
      </c>
      <c r="C2527">
        <v>5791.87</v>
      </c>
      <c r="D2527">
        <v>13035.24</v>
      </c>
      <c r="E2527">
        <v>8516.9634499999993</v>
      </c>
      <c r="F2527">
        <v>9483.5</v>
      </c>
      <c r="G2527">
        <v>23427.19</v>
      </c>
    </row>
    <row r="2528" spans="1:7" x14ac:dyDescent="0.35">
      <c r="A2528" s="1">
        <v>43886</v>
      </c>
      <c r="B2528">
        <v>3572.51</v>
      </c>
      <c r="C2528">
        <v>5679.68</v>
      </c>
      <c r="D2528">
        <v>12790.49</v>
      </c>
      <c r="E2528">
        <v>8390.7612399999998</v>
      </c>
      <c r="F2528">
        <v>9250.7999999999993</v>
      </c>
      <c r="G2528">
        <v>23090.44</v>
      </c>
    </row>
    <row r="2529" spans="1:7" x14ac:dyDescent="0.35">
      <c r="A2529" s="1">
        <v>43887</v>
      </c>
      <c r="B2529">
        <v>3577.68</v>
      </c>
      <c r="C2529">
        <v>5684.55</v>
      </c>
      <c r="D2529">
        <v>12774.88</v>
      </c>
      <c r="E2529">
        <v>8355.9336999999996</v>
      </c>
      <c r="F2529">
        <v>9316.7999999999993</v>
      </c>
      <c r="G2529">
        <v>23422.54</v>
      </c>
    </row>
    <row r="2530" spans="1:7" x14ac:dyDescent="0.35">
      <c r="A2530" s="1">
        <v>43888</v>
      </c>
      <c r="B2530">
        <v>3455.92</v>
      </c>
      <c r="C2530">
        <v>5495.6</v>
      </c>
      <c r="D2530">
        <v>12367.46</v>
      </c>
      <c r="E2530">
        <v>7974.9378500000003</v>
      </c>
      <c r="F2530">
        <v>8985.9</v>
      </c>
      <c r="G2530">
        <v>22799.37</v>
      </c>
    </row>
    <row r="2531" spans="1:7" x14ac:dyDescent="0.35">
      <c r="A2531" s="1">
        <v>43889</v>
      </c>
      <c r="B2531">
        <v>3329.49</v>
      </c>
      <c r="C2531">
        <v>5309.9</v>
      </c>
      <c r="D2531">
        <v>11890.35</v>
      </c>
      <c r="E2531">
        <v>7633.4118900000003</v>
      </c>
      <c r="F2531">
        <v>8723.2000000000007</v>
      </c>
      <c r="G2531">
        <v>21984.21</v>
      </c>
    </row>
    <row r="2532" spans="1:7" x14ac:dyDescent="0.35">
      <c r="A2532" s="1">
        <v>43892</v>
      </c>
      <c r="B2532">
        <v>3338.83</v>
      </c>
      <c r="C2532">
        <v>5333.52</v>
      </c>
      <c r="D2532">
        <v>11857.87</v>
      </c>
      <c r="E2532">
        <v>7624.55152</v>
      </c>
      <c r="F2532">
        <v>8741.5</v>
      </c>
      <c r="G2532">
        <v>21655.09</v>
      </c>
    </row>
    <row r="2533" spans="1:7" x14ac:dyDescent="0.35">
      <c r="A2533" s="1">
        <v>43893</v>
      </c>
      <c r="B2533">
        <v>3371.97</v>
      </c>
      <c r="C2533">
        <v>5393.17</v>
      </c>
      <c r="D2533">
        <v>11985.39</v>
      </c>
      <c r="E2533">
        <v>7712.7753599999996</v>
      </c>
      <c r="F2533">
        <v>8811.6</v>
      </c>
      <c r="G2533">
        <v>21748.2</v>
      </c>
    </row>
    <row r="2534" spans="1:7" x14ac:dyDescent="0.35">
      <c r="A2534" s="1">
        <v>43894</v>
      </c>
      <c r="B2534">
        <v>3420.56</v>
      </c>
      <c r="C2534">
        <v>5464.89</v>
      </c>
      <c r="D2534">
        <v>12127.69</v>
      </c>
      <c r="E2534">
        <v>7868.1954999999998</v>
      </c>
      <c r="F2534">
        <v>8910</v>
      </c>
      <c r="G2534">
        <v>21946.03</v>
      </c>
    </row>
    <row r="2535" spans="1:7" x14ac:dyDescent="0.35">
      <c r="A2535" s="1">
        <v>43895</v>
      </c>
      <c r="B2535">
        <v>3363.58</v>
      </c>
      <c r="C2535">
        <v>5361.1</v>
      </c>
      <c r="D2535">
        <v>11944.72</v>
      </c>
      <c r="E2535">
        <v>7736.8966300000002</v>
      </c>
      <c r="F2535">
        <v>8683</v>
      </c>
      <c r="G2535">
        <v>21554.880000000001</v>
      </c>
    </row>
    <row r="2536" spans="1:7" x14ac:dyDescent="0.35">
      <c r="A2536" s="1">
        <v>43896</v>
      </c>
      <c r="B2536">
        <v>3232.07</v>
      </c>
      <c r="C2536">
        <v>5139.1099999999997</v>
      </c>
      <c r="D2536">
        <v>11541.87</v>
      </c>
      <c r="E2536">
        <v>7433.2187199999998</v>
      </c>
      <c r="F2536">
        <v>8375.6</v>
      </c>
      <c r="G2536">
        <v>20799.89</v>
      </c>
    </row>
    <row r="2537" spans="1:7" x14ac:dyDescent="0.35">
      <c r="A2537" s="1">
        <v>43899</v>
      </c>
      <c r="B2537">
        <v>2959.07</v>
      </c>
      <c r="C2537">
        <v>4707.91</v>
      </c>
      <c r="D2537">
        <v>10625.02</v>
      </c>
      <c r="E2537">
        <v>6828.6546399999997</v>
      </c>
      <c r="F2537">
        <v>7708.7</v>
      </c>
      <c r="G2537">
        <v>18475.91</v>
      </c>
    </row>
    <row r="2538" spans="1:7" x14ac:dyDescent="0.35">
      <c r="A2538" s="1">
        <v>43900</v>
      </c>
      <c r="B2538">
        <v>2910.02</v>
      </c>
      <c r="C2538">
        <v>4636.6099999999997</v>
      </c>
      <c r="D2538">
        <v>10475.49</v>
      </c>
      <c r="E2538">
        <v>6808.2302</v>
      </c>
      <c r="F2538">
        <v>7461.5</v>
      </c>
      <c r="G2538">
        <v>17870.18</v>
      </c>
    </row>
    <row r="2539" spans="1:7" x14ac:dyDescent="0.35">
      <c r="A2539" s="1">
        <v>43901</v>
      </c>
      <c r="B2539">
        <v>2905.56</v>
      </c>
      <c r="C2539">
        <v>4610.25</v>
      </c>
      <c r="D2539">
        <v>10438.68</v>
      </c>
      <c r="E2539">
        <v>6691.4738100000004</v>
      </c>
      <c r="F2539">
        <v>7436.4</v>
      </c>
      <c r="G2539">
        <v>17928.64</v>
      </c>
    </row>
    <row r="2540" spans="1:7" x14ac:dyDescent="0.35">
      <c r="A2540" s="1">
        <v>43902</v>
      </c>
      <c r="B2540">
        <v>2545.23</v>
      </c>
      <c r="C2540">
        <v>4044.26</v>
      </c>
      <c r="D2540">
        <v>9161.1299999999992</v>
      </c>
      <c r="E2540">
        <v>5909.3719899999996</v>
      </c>
      <c r="F2540">
        <v>6390.9</v>
      </c>
      <c r="G2540">
        <v>14894.44</v>
      </c>
    </row>
    <row r="2541" spans="1:7" x14ac:dyDescent="0.35">
      <c r="A2541" s="1">
        <v>43903</v>
      </c>
      <c r="B2541">
        <v>2586.02</v>
      </c>
      <c r="C2541">
        <v>4118.3599999999997</v>
      </c>
      <c r="D2541">
        <v>9232.08</v>
      </c>
      <c r="E2541">
        <v>5979.6702699999996</v>
      </c>
      <c r="F2541">
        <v>6629.6</v>
      </c>
      <c r="G2541">
        <v>15954.29</v>
      </c>
    </row>
    <row r="2542" spans="1:7" x14ac:dyDescent="0.35">
      <c r="A2542" s="1">
        <v>43906</v>
      </c>
      <c r="B2542">
        <v>2450.37</v>
      </c>
      <c r="C2542">
        <v>3881.46</v>
      </c>
      <c r="D2542">
        <v>8742.25</v>
      </c>
      <c r="E2542">
        <v>5647.7698499999997</v>
      </c>
      <c r="F2542">
        <v>6107.2</v>
      </c>
      <c r="G2542">
        <v>14980.34</v>
      </c>
    </row>
    <row r="2543" spans="1:7" x14ac:dyDescent="0.35">
      <c r="A2543" s="1">
        <v>43907</v>
      </c>
      <c r="B2543">
        <v>2530.5</v>
      </c>
      <c r="C2543">
        <v>3991.78</v>
      </c>
      <c r="D2543">
        <v>8939.1</v>
      </c>
      <c r="E2543">
        <v>5825.4501399999999</v>
      </c>
      <c r="F2543">
        <v>6498.5</v>
      </c>
      <c r="G2543">
        <v>15314.77</v>
      </c>
    </row>
    <row r="2544" spans="1:7" x14ac:dyDescent="0.35">
      <c r="A2544" s="1">
        <v>43908</v>
      </c>
      <c r="B2544">
        <v>2385.8200000000002</v>
      </c>
      <c r="C2544">
        <v>3754.84</v>
      </c>
      <c r="D2544">
        <v>8441.7099999999991</v>
      </c>
      <c r="E2544">
        <v>5451.0389599999999</v>
      </c>
      <c r="F2544">
        <v>6274.8</v>
      </c>
      <c r="G2544">
        <v>15120.48</v>
      </c>
    </row>
    <row r="2545" spans="1:7" x14ac:dyDescent="0.35">
      <c r="A2545" s="1">
        <v>43909</v>
      </c>
      <c r="B2545">
        <v>2454.08</v>
      </c>
      <c r="C2545">
        <v>3855.5</v>
      </c>
      <c r="D2545">
        <v>8610.43</v>
      </c>
      <c r="E2545">
        <v>5571.5886899999996</v>
      </c>
      <c r="F2545">
        <v>6395.8</v>
      </c>
      <c r="G2545">
        <v>15466.97</v>
      </c>
    </row>
    <row r="2546" spans="1:7" x14ac:dyDescent="0.35">
      <c r="A2546" s="1">
        <v>43910</v>
      </c>
      <c r="B2546">
        <v>2548.5</v>
      </c>
      <c r="C2546">
        <v>4048.8</v>
      </c>
      <c r="D2546">
        <v>8928.9500000000007</v>
      </c>
      <c r="E2546">
        <v>5657.9355999999998</v>
      </c>
      <c r="F2546">
        <v>6443.3</v>
      </c>
      <c r="G2546">
        <v>15731.85</v>
      </c>
    </row>
    <row r="2547" spans="1:7" x14ac:dyDescent="0.35">
      <c r="A2547" s="1">
        <v>43913</v>
      </c>
      <c r="B2547">
        <v>2485.54</v>
      </c>
      <c r="C2547">
        <v>3914.31</v>
      </c>
      <c r="D2547">
        <v>8741.15</v>
      </c>
      <c r="E2547">
        <v>5368.2807899999998</v>
      </c>
      <c r="F2547">
        <v>6230.2</v>
      </c>
      <c r="G2547">
        <v>15559.8</v>
      </c>
    </row>
    <row r="2548" spans="1:7" x14ac:dyDescent="0.35">
      <c r="A2548" s="1">
        <v>43914</v>
      </c>
      <c r="B2548">
        <v>2715.11</v>
      </c>
      <c r="C2548">
        <v>4242.7</v>
      </c>
      <c r="D2548">
        <v>9700.57</v>
      </c>
      <c r="E2548">
        <v>5935.0725300000004</v>
      </c>
      <c r="F2548">
        <v>6717.3</v>
      </c>
      <c r="G2548">
        <v>16948.599999999999</v>
      </c>
    </row>
    <row r="2549" spans="1:7" x14ac:dyDescent="0.35">
      <c r="A2549" s="1">
        <v>43915</v>
      </c>
      <c r="B2549">
        <v>2800.14</v>
      </c>
      <c r="C2549">
        <v>4432.3</v>
      </c>
      <c r="D2549">
        <v>9874.26</v>
      </c>
      <c r="E2549">
        <v>6184.1695600000003</v>
      </c>
      <c r="F2549">
        <v>6942.4</v>
      </c>
      <c r="G2549">
        <v>17243.68</v>
      </c>
    </row>
    <row r="2550" spans="1:7" x14ac:dyDescent="0.35">
      <c r="A2550" s="1">
        <v>43916</v>
      </c>
      <c r="B2550">
        <v>2847.78</v>
      </c>
      <c r="C2550">
        <v>4543.58</v>
      </c>
      <c r="D2550">
        <v>10000.959999999999</v>
      </c>
      <c r="E2550">
        <v>6407.6430099999998</v>
      </c>
      <c r="F2550">
        <v>7033.2</v>
      </c>
      <c r="G2550">
        <v>17369.38</v>
      </c>
    </row>
    <row r="2551" spans="1:7" x14ac:dyDescent="0.35">
      <c r="A2551" s="1">
        <v>43917</v>
      </c>
      <c r="B2551">
        <v>2728.65</v>
      </c>
      <c r="C2551">
        <v>4351.49</v>
      </c>
      <c r="D2551">
        <v>9632.52</v>
      </c>
      <c r="E2551">
        <v>6163.2479999999996</v>
      </c>
      <c r="F2551">
        <v>6777.9</v>
      </c>
      <c r="G2551">
        <v>16822.59</v>
      </c>
    </row>
    <row r="2552" spans="1:7" x14ac:dyDescent="0.35">
      <c r="A2552" s="1">
        <v>43920</v>
      </c>
      <c r="B2552">
        <v>2765.62</v>
      </c>
      <c r="C2552">
        <v>4378.51</v>
      </c>
      <c r="D2552">
        <v>9815.9699999999993</v>
      </c>
      <c r="E2552">
        <v>6253.9062999999996</v>
      </c>
      <c r="F2552">
        <v>6659.9</v>
      </c>
      <c r="G2552">
        <v>16872.41</v>
      </c>
    </row>
    <row r="2553" spans="1:7" x14ac:dyDescent="0.35">
      <c r="A2553" s="1">
        <v>43921</v>
      </c>
      <c r="B2553">
        <v>2786.9</v>
      </c>
      <c r="C2553">
        <v>4396.12</v>
      </c>
      <c r="D2553">
        <v>9935.84</v>
      </c>
      <c r="E2553">
        <v>6409.7128899999998</v>
      </c>
      <c r="F2553">
        <v>6785.4</v>
      </c>
      <c r="G2553">
        <v>17050.939999999999</v>
      </c>
    </row>
    <row r="2554" spans="1:7" x14ac:dyDescent="0.35">
      <c r="A2554" s="1">
        <v>43922</v>
      </c>
      <c r="B2554">
        <v>2680.3</v>
      </c>
      <c r="C2554">
        <v>4207.24</v>
      </c>
      <c r="D2554">
        <v>9544.75</v>
      </c>
      <c r="E2554">
        <v>6188.50299</v>
      </c>
      <c r="F2554">
        <v>6579.4</v>
      </c>
      <c r="G2554">
        <v>16544.97</v>
      </c>
    </row>
    <row r="2555" spans="1:7" x14ac:dyDescent="0.35">
      <c r="A2555" s="1">
        <v>43923</v>
      </c>
      <c r="B2555">
        <v>2688.49</v>
      </c>
      <c r="C2555">
        <v>4220.96</v>
      </c>
      <c r="D2555">
        <v>9570.82</v>
      </c>
      <c r="E2555">
        <v>6250.5442300000004</v>
      </c>
      <c r="F2555">
        <v>6574.1</v>
      </c>
      <c r="G2555">
        <v>16834.03</v>
      </c>
    </row>
    <row r="2556" spans="1:7" x14ac:dyDescent="0.35">
      <c r="A2556" s="1">
        <v>43924</v>
      </c>
      <c r="B2556">
        <v>2662.99</v>
      </c>
      <c r="C2556">
        <v>4154.58</v>
      </c>
      <c r="D2556">
        <v>9525.77</v>
      </c>
      <c r="E2556">
        <v>6138.4368700000005</v>
      </c>
      <c r="F2556">
        <v>6581.6</v>
      </c>
      <c r="G2556">
        <v>16384.349999999999</v>
      </c>
    </row>
    <row r="2557" spans="1:7" x14ac:dyDescent="0.35">
      <c r="A2557" s="1">
        <v>43927</v>
      </c>
      <c r="B2557">
        <v>2795.97</v>
      </c>
      <c r="C2557">
        <v>4346.1400000000003</v>
      </c>
      <c r="D2557">
        <v>10075.17</v>
      </c>
      <c r="E2557">
        <v>6359.6455599999999</v>
      </c>
      <c r="F2557">
        <v>6844.3</v>
      </c>
      <c r="G2557">
        <v>17039.310000000001</v>
      </c>
    </row>
    <row r="2558" spans="1:7" x14ac:dyDescent="0.35">
      <c r="A2558" s="1">
        <v>43928</v>
      </c>
      <c r="B2558">
        <v>2857.67</v>
      </c>
      <c r="C2558">
        <v>4438.2700000000004</v>
      </c>
      <c r="D2558">
        <v>10356.700000000001</v>
      </c>
      <c r="E2558">
        <v>6459.3891400000002</v>
      </c>
      <c r="F2558">
        <v>7002</v>
      </c>
      <c r="G2558">
        <v>17411.72</v>
      </c>
    </row>
    <row r="2559" spans="1:7" x14ac:dyDescent="0.35">
      <c r="A2559" s="1">
        <v>43929</v>
      </c>
      <c r="B2559">
        <v>2851.27</v>
      </c>
      <c r="C2559">
        <v>4442.75</v>
      </c>
      <c r="D2559">
        <v>10332.89</v>
      </c>
      <c r="E2559">
        <v>6483.6081000000004</v>
      </c>
      <c r="F2559">
        <v>6951.8</v>
      </c>
      <c r="G2559">
        <v>17380.82</v>
      </c>
    </row>
    <row r="2560" spans="1:7" x14ac:dyDescent="0.35">
      <c r="A2560" s="1">
        <v>43930</v>
      </c>
      <c r="B2560">
        <v>2892.79</v>
      </c>
      <c r="C2560">
        <v>4506.8500000000004</v>
      </c>
      <c r="D2560">
        <v>10564.74</v>
      </c>
      <c r="E2560">
        <v>6650.9943599999997</v>
      </c>
      <c r="F2560">
        <v>7070.6</v>
      </c>
      <c r="G2560">
        <v>17621.62</v>
      </c>
    </row>
    <row r="2561" spans="1:7" x14ac:dyDescent="0.35">
      <c r="A2561" s="1">
        <v>43935</v>
      </c>
      <c r="B2561">
        <v>2917.74</v>
      </c>
      <c r="C2561">
        <v>4523.91</v>
      </c>
      <c r="D2561">
        <v>10696.56</v>
      </c>
      <c r="E2561">
        <v>6658.5540499999997</v>
      </c>
      <c r="F2561">
        <v>7108.6</v>
      </c>
      <c r="G2561">
        <v>17558.43</v>
      </c>
    </row>
    <row r="2562" spans="1:7" x14ac:dyDescent="0.35">
      <c r="A2562" s="1">
        <v>43936</v>
      </c>
      <c r="B2562">
        <v>2808.2</v>
      </c>
      <c r="C2562">
        <v>4353.72</v>
      </c>
      <c r="D2562">
        <v>10279.76</v>
      </c>
      <c r="E2562">
        <v>6429.3243000000002</v>
      </c>
      <c r="F2562">
        <v>6839.5</v>
      </c>
      <c r="G2562">
        <v>16719.07</v>
      </c>
    </row>
    <row r="2563" spans="1:7" x14ac:dyDescent="0.35">
      <c r="A2563" s="1">
        <v>43937</v>
      </c>
      <c r="B2563">
        <v>2812.35</v>
      </c>
      <c r="C2563">
        <v>4350.16</v>
      </c>
      <c r="D2563">
        <v>10301.540000000001</v>
      </c>
      <c r="E2563">
        <v>6462.2522399999998</v>
      </c>
      <c r="F2563">
        <v>6763.4</v>
      </c>
      <c r="G2563">
        <v>16768.14</v>
      </c>
    </row>
    <row r="2564" spans="1:7" x14ac:dyDescent="0.35">
      <c r="A2564" s="1">
        <v>43938</v>
      </c>
      <c r="B2564">
        <v>2888.3</v>
      </c>
      <c r="C2564">
        <v>4499.01</v>
      </c>
      <c r="D2564">
        <v>10625.78</v>
      </c>
      <c r="E2564">
        <v>6655.5099</v>
      </c>
      <c r="F2564">
        <v>6875.8</v>
      </c>
      <c r="G2564">
        <v>17055.47</v>
      </c>
    </row>
    <row r="2565" spans="1:7" x14ac:dyDescent="0.35">
      <c r="A2565" s="1">
        <v>43941</v>
      </c>
      <c r="B2565">
        <v>2909.5</v>
      </c>
      <c r="C2565">
        <v>4528.3</v>
      </c>
      <c r="D2565">
        <v>10675.9</v>
      </c>
      <c r="E2565">
        <v>6665.7705599999999</v>
      </c>
      <c r="F2565">
        <v>6831.5</v>
      </c>
      <c r="G2565">
        <v>17064.14</v>
      </c>
    </row>
    <row r="2566" spans="1:7" x14ac:dyDescent="0.35">
      <c r="A2566" s="1">
        <v>43942</v>
      </c>
      <c r="B2566">
        <v>2791.34</v>
      </c>
      <c r="C2566">
        <v>4357.46</v>
      </c>
      <c r="D2566">
        <v>10249.85</v>
      </c>
      <c r="E2566">
        <v>6382.8327300000001</v>
      </c>
      <c r="F2566">
        <v>6634.9</v>
      </c>
      <c r="G2566">
        <v>16450.849999999999</v>
      </c>
    </row>
    <row r="2567" spans="1:7" x14ac:dyDescent="0.35">
      <c r="A2567" s="1">
        <v>43943</v>
      </c>
      <c r="B2567">
        <v>2834.9</v>
      </c>
      <c r="C2567">
        <v>4411.8</v>
      </c>
      <c r="D2567">
        <v>10415.030000000001</v>
      </c>
      <c r="E2567">
        <v>6567.7196100000001</v>
      </c>
      <c r="F2567">
        <v>6719.8</v>
      </c>
      <c r="G2567">
        <v>16765.28</v>
      </c>
    </row>
    <row r="2568" spans="1:7" x14ac:dyDescent="0.35">
      <c r="A2568" s="1">
        <v>43944</v>
      </c>
      <c r="B2568">
        <v>2852.46</v>
      </c>
      <c r="C2568">
        <v>4451</v>
      </c>
      <c r="D2568">
        <v>10513.79</v>
      </c>
      <c r="E2568">
        <v>6660.1374299999998</v>
      </c>
      <c r="F2568">
        <v>6746.5</v>
      </c>
      <c r="G2568">
        <v>17011.11</v>
      </c>
    </row>
    <row r="2569" spans="1:7" x14ac:dyDescent="0.35">
      <c r="A2569" s="1">
        <v>43945</v>
      </c>
      <c r="B2569">
        <v>2809.07</v>
      </c>
      <c r="C2569">
        <v>4393.32</v>
      </c>
      <c r="D2569">
        <v>10336.09</v>
      </c>
      <c r="E2569">
        <v>6574.96738</v>
      </c>
      <c r="F2569">
        <v>6613.9</v>
      </c>
      <c r="G2569">
        <v>16858.89</v>
      </c>
    </row>
    <row r="2570" spans="1:7" x14ac:dyDescent="0.35">
      <c r="A2570" s="1">
        <v>43948</v>
      </c>
      <c r="B2570">
        <v>2882.09</v>
      </c>
      <c r="C2570">
        <v>4505.26</v>
      </c>
      <c r="D2570">
        <v>10659.99</v>
      </c>
      <c r="E2570">
        <v>6701.03406</v>
      </c>
      <c r="F2570">
        <v>6731.8</v>
      </c>
      <c r="G2570">
        <v>17380.21</v>
      </c>
    </row>
    <row r="2571" spans="1:7" x14ac:dyDescent="0.35">
      <c r="A2571" s="1">
        <v>43949</v>
      </c>
      <c r="B2571">
        <v>2932.06</v>
      </c>
      <c r="C2571">
        <v>4569.79</v>
      </c>
      <c r="D2571">
        <v>10795.63</v>
      </c>
      <c r="E2571">
        <v>6836.4326099999998</v>
      </c>
      <c r="F2571">
        <v>6836.4</v>
      </c>
      <c r="G2571">
        <v>17677.150000000001</v>
      </c>
    </row>
    <row r="2572" spans="1:7" x14ac:dyDescent="0.35">
      <c r="A2572" s="1">
        <v>43950</v>
      </c>
      <c r="B2572">
        <v>2996.08</v>
      </c>
      <c r="C2572">
        <v>4671.1099999999997</v>
      </c>
      <c r="D2572">
        <v>11107.74</v>
      </c>
      <c r="E2572">
        <v>7009.8759</v>
      </c>
      <c r="F2572">
        <v>7055.7</v>
      </c>
      <c r="G2572">
        <v>18067.29</v>
      </c>
    </row>
    <row r="2573" spans="1:7" x14ac:dyDescent="0.35">
      <c r="A2573" s="1">
        <v>43951</v>
      </c>
      <c r="B2573">
        <v>2927.93</v>
      </c>
      <c r="C2573">
        <v>4572.18</v>
      </c>
      <c r="D2573">
        <v>10861.64</v>
      </c>
      <c r="E2573">
        <v>6788.7925599999999</v>
      </c>
      <c r="F2573">
        <v>6922.3</v>
      </c>
      <c r="G2573">
        <v>17690.490000000002</v>
      </c>
    </row>
    <row r="2574" spans="1:7" x14ac:dyDescent="0.35">
      <c r="A2574" s="1">
        <v>43955</v>
      </c>
      <c r="B2574">
        <v>2816.48</v>
      </c>
      <c r="C2574">
        <v>4378.2299999999996</v>
      </c>
      <c r="D2574">
        <v>10466.799999999999</v>
      </c>
      <c r="E2574">
        <v>6563.0042899999999</v>
      </c>
      <c r="F2574">
        <v>6673.3</v>
      </c>
      <c r="G2574">
        <v>17035.61</v>
      </c>
    </row>
    <row r="2575" spans="1:7" x14ac:dyDescent="0.35">
      <c r="A2575" s="1">
        <v>43956</v>
      </c>
      <c r="B2575">
        <v>2875.91</v>
      </c>
      <c r="C2575">
        <v>4483.13</v>
      </c>
      <c r="D2575">
        <v>10729.46</v>
      </c>
      <c r="E2575">
        <v>6713.8822499999997</v>
      </c>
      <c r="F2575">
        <v>6747.7</v>
      </c>
      <c r="G2575">
        <v>17387.38</v>
      </c>
    </row>
    <row r="2576" spans="1:7" x14ac:dyDescent="0.35">
      <c r="A2576" s="1">
        <v>43957</v>
      </c>
      <c r="B2576">
        <v>2843.76</v>
      </c>
      <c r="C2576">
        <v>4433.38</v>
      </c>
      <c r="D2576">
        <v>10606.2</v>
      </c>
      <c r="E2576">
        <v>6693.8804600000003</v>
      </c>
      <c r="F2576">
        <v>6671.7</v>
      </c>
      <c r="G2576">
        <v>17159.310000000001</v>
      </c>
    </row>
    <row r="2577" spans="1:7" x14ac:dyDescent="0.35">
      <c r="A2577" s="1">
        <v>43958</v>
      </c>
      <c r="B2577">
        <v>2880.6</v>
      </c>
      <c r="C2577">
        <v>4501.4399999999996</v>
      </c>
      <c r="D2577">
        <v>10759.27</v>
      </c>
      <c r="E2577">
        <v>6783.0360600000004</v>
      </c>
      <c r="F2577">
        <v>6730.9</v>
      </c>
      <c r="G2577">
        <v>17245.04</v>
      </c>
    </row>
    <row r="2578" spans="1:7" x14ac:dyDescent="0.35">
      <c r="A2578" s="1">
        <v>43962</v>
      </c>
      <c r="B2578">
        <v>2883.75</v>
      </c>
      <c r="C2578">
        <v>4490.22</v>
      </c>
      <c r="D2578">
        <v>10824.99</v>
      </c>
      <c r="E2578">
        <v>6783.8663100000003</v>
      </c>
      <c r="F2578">
        <v>6672.2</v>
      </c>
      <c r="G2578">
        <v>17381.36</v>
      </c>
    </row>
    <row r="2579" spans="1:7" x14ac:dyDescent="0.35">
      <c r="A2579" s="1">
        <v>43963</v>
      </c>
      <c r="B2579">
        <v>2884.2</v>
      </c>
      <c r="C2579">
        <v>4472.5</v>
      </c>
      <c r="D2579">
        <v>10819.5</v>
      </c>
      <c r="E2579">
        <v>6790.8683799999999</v>
      </c>
      <c r="F2579">
        <v>6762.7</v>
      </c>
      <c r="G2579">
        <v>17559.32</v>
      </c>
    </row>
    <row r="2580" spans="1:7" x14ac:dyDescent="0.35">
      <c r="A2580" s="1">
        <v>43964</v>
      </c>
      <c r="B2580">
        <v>2810.55</v>
      </c>
      <c r="C2580">
        <v>4344.95</v>
      </c>
      <c r="D2580">
        <v>10542.66</v>
      </c>
      <c r="E2580">
        <v>6670.5617599999996</v>
      </c>
      <c r="F2580">
        <v>6631.4</v>
      </c>
      <c r="G2580">
        <v>17183.439999999999</v>
      </c>
    </row>
    <row r="2581" spans="1:7" x14ac:dyDescent="0.35">
      <c r="A2581" s="1">
        <v>43965</v>
      </c>
      <c r="B2581">
        <v>2760.23</v>
      </c>
      <c r="C2581">
        <v>4273.13</v>
      </c>
      <c r="D2581">
        <v>10337.02</v>
      </c>
      <c r="E2581">
        <v>6495.0438999999997</v>
      </c>
      <c r="F2581">
        <v>6545.6</v>
      </c>
      <c r="G2581">
        <v>16867.759999999998</v>
      </c>
    </row>
    <row r="2582" spans="1:7" x14ac:dyDescent="0.35">
      <c r="A2582" s="1">
        <v>43966</v>
      </c>
      <c r="B2582">
        <v>2770.7</v>
      </c>
      <c r="C2582">
        <v>4277.63</v>
      </c>
      <c r="D2582">
        <v>10465.17</v>
      </c>
      <c r="E2582">
        <v>6503.8782899999997</v>
      </c>
      <c r="F2582">
        <v>6474.9</v>
      </c>
      <c r="G2582">
        <v>16852.349999999999</v>
      </c>
    </row>
    <row r="2583" spans="1:7" x14ac:dyDescent="0.35">
      <c r="A2583" s="1">
        <v>43969</v>
      </c>
      <c r="B2583">
        <v>2911.88</v>
      </c>
      <c r="C2583">
        <v>4498.34</v>
      </c>
      <c r="D2583">
        <v>11058.87</v>
      </c>
      <c r="E2583">
        <v>6753.3070100000004</v>
      </c>
      <c r="F2583">
        <v>6779.3</v>
      </c>
      <c r="G2583">
        <v>17401.45</v>
      </c>
    </row>
    <row r="2584" spans="1:7" x14ac:dyDescent="0.35">
      <c r="A2584" s="1">
        <v>43970</v>
      </c>
      <c r="B2584">
        <v>2902.58</v>
      </c>
      <c r="C2584">
        <v>4458.16</v>
      </c>
      <c r="D2584">
        <v>11075.29</v>
      </c>
      <c r="E2584">
        <v>6727.1768000000002</v>
      </c>
      <c r="F2584">
        <v>6609.1</v>
      </c>
      <c r="G2584">
        <v>17034.54</v>
      </c>
    </row>
    <row r="2585" spans="1:7" x14ac:dyDescent="0.35">
      <c r="A2585" s="1">
        <v>43971</v>
      </c>
      <c r="B2585">
        <v>2942.39</v>
      </c>
      <c r="C2585">
        <v>4496.9799999999996</v>
      </c>
      <c r="D2585">
        <v>11223.71</v>
      </c>
      <c r="E2585">
        <v>6759.7758400000002</v>
      </c>
      <c r="F2585">
        <v>6683.6</v>
      </c>
      <c r="G2585">
        <v>17213.11</v>
      </c>
    </row>
    <row r="2586" spans="1:7" x14ac:dyDescent="0.35">
      <c r="A2586" s="1">
        <v>43972</v>
      </c>
      <c r="B2586">
        <v>2904.98</v>
      </c>
      <c r="C2586">
        <v>4445.45</v>
      </c>
      <c r="D2586">
        <v>11065.93</v>
      </c>
      <c r="E2586">
        <v>6715.3361500000001</v>
      </c>
      <c r="F2586">
        <v>6686.1</v>
      </c>
      <c r="G2586">
        <v>17087.060000000001</v>
      </c>
    </row>
    <row r="2587" spans="1:7" x14ac:dyDescent="0.35">
      <c r="A2587" s="1">
        <v>43973</v>
      </c>
      <c r="B2587">
        <v>2905.47</v>
      </c>
      <c r="C2587">
        <v>4444.5600000000004</v>
      </c>
      <c r="D2587">
        <v>11073.87</v>
      </c>
      <c r="E2587">
        <v>6698.4041399999996</v>
      </c>
      <c r="F2587">
        <v>6697.5</v>
      </c>
      <c r="G2587">
        <v>17316.29</v>
      </c>
    </row>
    <row r="2588" spans="1:7" x14ac:dyDescent="0.35">
      <c r="A2588" s="1">
        <v>43977</v>
      </c>
      <c r="B2588">
        <v>2999.22</v>
      </c>
      <c r="C2588">
        <v>4606.24</v>
      </c>
      <c r="D2588">
        <v>11504.65</v>
      </c>
      <c r="E2588">
        <v>6819.0433300000004</v>
      </c>
      <c r="F2588">
        <v>7003.9</v>
      </c>
      <c r="G2588">
        <v>17860.46</v>
      </c>
    </row>
    <row r="2589" spans="1:7" x14ac:dyDescent="0.35">
      <c r="A2589" s="1">
        <v>43978</v>
      </c>
      <c r="B2589">
        <v>3051.08</v>
      </c>
      <c r="C2589">
        <v>4688.74</v>
      </c>
      <c r="D2589">
        <v>11657.69</v>
      </c>
      <c r="E2589">
        <v>6851.8884500000004</v>
      </c>
      <c r="F2589">
        <v>7174.5</v>
      </c>
      <c r="G2589">
        <v>17910.25</v>
      </c>
    </row>
    <row r="2590" spans="1:7" x14ac:dyDescent="0.35">
      <c r="A2590" s="1">
        <v>43979</v>
      </c>
      <c r="B2590">
        <v>3094.47</v>
      </c>
      <c r="C2590">
        <v>4771.3900000000003</v>
      </c>
      <c r="D2590">
        <v>11781.13</v>
      </c>
      <c r="E2590">
        <v>6923.6086500000001</v>
      </c>
      <c r="F2590">
        <v>7224.1</v>
      </c>
      <c r="G2590">
        <v>18351.16</v>
      </c>
    </row>
    <row r="2591" spans="1:7" x14ac:dyDescent="0.35">
      <c r="A2591" s="1">
        <v>43980</v>
      </c>
      <c r="B2591">
        <v>3050.2</v>
      </c>
      <c r="C2591">
        <v>4695.4399999999996</v>
      </c>
      <c r="D2591">
        <v>11586.85</v>
      </c>
      <c r="E2591">
        <v>6744.0513799999999</v>
      </c>
      <c r="F2591">
        <v>7096.5</v>
      </c>
      <c r="G2591">
        <v>18197.560000000001</v>
      </c>
    </row>
    <row r="2592" spans="1:7" x14ac:dyDescent="0.35">
      <c r="A2592" s="1">
        <v>43984</v>
      </c>
      <c r="B2592">
        <v>3159.02</v>
      </c>
      <c r="C2592">
        <v>4858.97</v>
      </c>
      <c r="D2592">
        <v>12021.28</v>
      </c>
      <c r="E2592">
        <v>6979.9834799999999</v>
      </c>
      <c r="F2592">
        <v>7408.1</v>
      </c>
      <c r="G2592">
        <v>18971.09</v>
      </c>
    </row>
    <row r="2593" spans="1:7" x14ac:dyDescent="0.35">
      <c r="A2593" s="1">
        <v>43985</v>
      </c>
      <c r="B2593">
        <v>3269.59</v>
      </c>
      <c r="C2593">
        <v>5022.38</v>
      </c>
      <c r="D2593">
        <v>12487.36</v>
      </c>
      <c r="E2593">
        <v>7152.0251600000001</v>
      </c>
      <c r="F2593">
        <v>7626.4</v>
      </c>
      <c r="G2593">
        <v>19641.810000000001</v>
      </c>
    </row>
    <row r="2594" spans="1:7" x14ac:dyDescent="0.35">
      <c r="A2594" s="1">
        <v>43986</v>
      </c>
      <c r="B2594">
        <v>3261.67</v>
      </c>
      <c r="C2594">
        <v>5011.9799999999996</v>
      </c>
      <c r="D2594">
        <v>12430.56</v>
      </c>
      <c r="E2594">
        <v>7053.4456200000004</v>
      </c>
      <c r="F2594">
        <v>7566.8</v>
      </c>
      <c r="G2594">
        <v>19634.03</v>
      </c>
    </row>
    <row r="2595" spans="1:7" x14ac:dyDescent="0.35">
      <c r="A2595" s="1">
        <v>43987</v>
      </c>
      <c r="B2595">
        <v>3384.29</v>
      </c>
      <c r="C2595">
        <v>5197.79</v>
      </c>
      <c r="D2595">
        <v>12847.68</v>
      </c>
      <c r="E2595">
        <v>7281.9877800000004</v>
      </c>
      <c r="F2595">
        <v>7872.6</v>
      </c>
      <c r="G2595">
        <v>20187.509999999998</v>
      </c>
    </row>
    <row r="2596" spans="1:7" x14ac:dyDescent="0.35">
      <c r="A2596" s="1">
        <v>43990</v>
      </c>
      <c r="B2596">
        <v>3366.29</v>
      </c>
      <c r="C2596">
        <v>5175.5200000000004</v>
      </c>
      <c r="D2596">
        <v>12819.59</v>
      </c>
      <c r="E2596">
        <v>7279.1557700000003</v>
      </c>
      <c r="F2596">
        <v>7896.1</v>
      </c>
      <c r="G2596">
        <v>20231.38</v>
      </c>
    </row>
    <row r="2597" spans="1:7" x14ac:dyDescent="0.35">
      <c r="A2597" s="1">
        <v>43991</v>
      </c>
      <c r="B2597">
        <v>3320.71</v>
      </c>
      <c r="C2597">
        <v>5095.1099999999997</v>
      </c>
      <c r="D2597">
        <v>12617.99</v>
      </c>
      <c r="E2597">
        <v>7118.2593399999996</v>
      </c>
      <c r="F2597">
        <v>7752.3</v>
      </c>
      <c r="G2597">
        <v>19930.2</v>
      </c>
    </row>
    <row r="2598" spans="1:7" x14ac:dyDescent="0.35">
      <c r="A2598" s="1">
        <v>43992</v>
      </c>
      <c r="B2598">
        <v>3293.71</v>
      </c>
      <c r="C2598">
        <v>5053.42</v>
      </c>
      <c r="D2598">
        <v>12530.16</v>
      </c>
      <c r="E2598">
        <v>7112.53478</v>
      </c>
      <c r="F2598">
        <v>7663.9</v>
      </c>
      <c r="G2598">
        <v>19758.009999999998</v>
      </c>
    </row>
    <row r="2599" spans="1:7" x14ac:dyDescent="0.35">
      <c r="A2599" s="1">
        <v>43993</v>
      </c>
      <c r="B2599">
        <v>3144.57</v>
      </c>
      <c r="C2599">
        <v>4815.6000000000004</v>
      </c>
      <c r="D2599">
        <v>11970.29</v>
      </c>
      <c r="E2599">
        <v>6752.72084</v>
      </c>
      <c r="F2599">
        <v>7278</v>
      </c>
      <c r="G2599">
        <v>18806.86</v>
      </c>
    </row>
    <row r="2600" spans="1:7" x14ac:dyDescent="0.35">
      <c r="A2600" s="1">
        <v>43994</v>
      </c>
      <c r="B2600">
        <v>3153.74</v>
      </c>
      <c r="C2600">
        <v>4839.26</v>
      </c>
      <c r="D2600">
        <v>11949.28</v>
      </c>
      <c r="E2600">
        <v>6794.1590200000001</v>
      </c>
      <c r="F2600">
        <v>7292.7</v>
      </c>
      <c r="G2600">
        <v>18888.16</v>
      </c>
    </row>
    <row r="2601" spans="1:7" x14ac:dyDescent="0.35">
      <c r="A2601" s="1">
        <v>43997</v>
      </c>
      <c r="B2601">
        <v>3136.4</v>
      </c>
      <c r="C2601">
        <v>4815.72</v>
      </c>
      <c r="D2601">
        <v>11911.35</v>
      </c>
      <c r="E2601">
        <v>6752.0505800000001</v>
      </c>
      <c r="F2601">
        <v>7259.3</v>
      </c>
      <c r="G2601">
        <v>18969.29</v>
      </c>
    </row>
    <row r="2602" spans="1:7" x14ac:dyDescent="0.35">
      <c r="A2602" s="1">
        <v>43998</v>
      </c>
      <c r="B2602">
        <v>3242.65</v>
      </c>
      <c r="C2602">
        <v>4952.46</v>
      </c>
      <c r="D2602">
        <v>12315.66</v>
      </c>
      <c r="E2602">
        <v>6976.8773899999997</v>
      </c>
      <c r="F2602">
        <v>7495.3</v>
      </c>
      <c r="G2602">
        <v>19625.63</v>
      </c>
    </row>
    <row r="2603" spans="1:7" x14ac:dyDescent="0.35">
      <c r="A2603" s="1">
        <v>43999</v>
      </c>
      <c r="B2603">
        <v>3267.26</v>
      </c>
      <c r="C2603">
        <v>4995.97</v>
      </c>
      <c r="D2603">
        <v>12382.14</v>
      </c>
      <c r="E2603">
        <v>6983.1948599999996</v>
      </c>
      <c r="F2603">
        <v>7478.7</v>
      </c>
      <c r="G2603">
        <v>19585.89</v>
      </c>
    </row>
    <row r="2604" spans="1:7" x14ac:dyDescent="0.35">
      <c r="A2604" s="1">
        <v>44000</v>
      </c>
      <c r="B2604">
        <v>3249.9</v>
      </c>
      <c r="C2604">
        <v>4958.75</v>
      </c>
      <c r="D2604">
        <v>12281.53</v>
      </c>
      <c r="E2604">
        <v>6901.3004099999998</v>
      </c>
      <c r="F2604">
        <v>7390.2</v>
      </c>
      <c r="G2604">
        <v>19485.759999999998</v>
      </c>
    </row>
    <row r="2605" spans="1:7" x14ac:dyDescent="0.35">
      <c r="A2605" s="1">
        <v>44001</v>
      </c>
      <c r="B2605">
        <v>3269.1</v>
      </c>
      <c r="C2605">
        <v>4979.45</v>
      </c>
      <c r="D2605">
        <v>12330.76</v>
      </c>
      <c r="E2605">
        <v>6953.1740200000004</v>
      </c>
      <c r="F2605">
        <v>7414.2</v>
      </c>
      <c r="G2605">
        <v>19618.93</v>
      </c>
    </row>
    <row r="2606" spans="1:7" x14ac:dyDescent="0.35">
      <c r="A2606" s="1">
        <v>44004</v>
      </c>
      <c r="B2606">
        <v>3241.69</v>
      </c>
      <c r="C2606">
        <v>4948.7</v>
      </c>
      <c r="D2606">
        <v>12262.97</v>
      </c>
      <c r="E2606">
        <v>6911.7257499999996</v>
      </c>
      <c r="F2606">
        <v>7345.7</v>
      </c>
      <c r="G2606">
        <v>19478.73</v>
      </c>
    </row>
    <row r="2607" spans="1:7" x14ac:dyDescent="0.35">
      <c r="A2607" s="1">
        <v>44005</v>
      </c>
      <c r="B2607">
        <v>3298.83</v>
      </c>
      <c r="C2607">
        <v>5017.68</v>
      </c>
      <c r="D2607">
        <v>12523.76</v>
      </c>
      <c r="E2607">
        <v>6994.6610600000004</v>
      </c>
      <c r="F2607">
        <v>7438.4</v>
      </c>
      <c r="G2607">
        <v>19841.580000000002</v>
      </c>
    </row>
    <row r="2608" spans="1:7" x14ac:dyDescent="0.35">
      <c r="A2608" s="1">
        <v>44006</v>
      </c>
      <c r="B2608">
        <v>3196.12</v>
      </c>
      <c r="C2608">
        <v>4871.3599999999997</v>
      </c>
      <c r="D2608">
        <v>12093.94</v>
      </c>
      <c r="E2608">
        <v>6758.9726099999998</v>
      </c>
      <c r="F2608">
        <v>7195.5</v>
      </c>
      <c r="G2608">
        <v>19162.98</v>
      </c>
    </row>
    <row r="2609" spans="1:7" x14ac:dyDescent="0.35">
      <c r="A2609" s="1">
        <v>44007</v>
      </c>
      <c r="B2609">
        <v>3218.91</v>
      </c>
      <c r="C2609">
        <v>4918.58</v>
      </c>
      <c r="D2609">
        <v>12177.87</v>
      </c>
      <c r="E2609">
        <v>6800.3454899999997</v>
      </c>
      <c r="F2609">
        <v>7270.3</v>
      </c>
      <c r="G2609">
        <v>19234.75</v>
      </c>
    </row>
    <row r="2610" spans="1:7" x14ac:dyDescent="0.35">
      <c r="A2610" s="1">
        <v>44008</v>
      </c>
      <c r="B2610">
        <v>3204.17</v>
      </c>
      <c r="C2610">
        <v>4909.6400000000003</v>
      </c>
      <c r="D2610">
        <v>12089.39</v>
      </c>
      <c r="E2610">
        <v>6772.4876599999998</v>
      </c>
      <c r="F2610">
        <v>7178.4</v>
      </c>
      <c r="G2610">
        <v>19124.36</v>
      </c>
    </row>
    <row r="2611" spans="1:7" x14ac:dyDescent="0.35">
      <c r="A2611" s="1">
        <v>44011</v>
      </c>
      <c r="B2611">
        <v>3232.02</v>
      </c>
      <c r="C2611">
        <v>4945.46</v>
      </c>
      <c r="D2611">
        <v>12232.12</v>
      </c>
      <c r="E2611">
        <v>6810.8049499999997</v>
      </c>
      <c r="F2611">
        <v>7278.1</v>
      </c>
      <c r="G2611">
        <v>19447.02</v>
      </c>
    </row>
    <row r="2612" spans="1:7" x14ac:dyDescent="0.35">
      <c r="A2612" s="1">
        <v>44012</v>
      </c>
      <c r="B2612">
        <v>3234.07</v>
      </c>
      <c r="C2612">
        <v>4935.99</v>
      </c>
      <c r="D2612">
        <v>12310.93</v>
      </c>
      <c r="E2612">
        <v>6793.1345199999996</v>
      </c>
      <c r="F2612">
        <v>7231.4</v>
      </c>
      <c r="G2612">
        <v>19375.52</v>
      </c>
    </row>
    <row r="2613" spans="1:7" x14ac:dyDescent="0.35">
      <c r="A2613" s="1">
        <v>44013</v>
      </c>
      <c r="B2613">
        <v>3228.45</v>
      </c>
      <c r="C2613">
        <v>4926.9399999999996</v>
      </c>
      <c r="D2613">
        <v>12260.57</v>
      </c>
      <c r="E2613">
        <v>6823.28647</v>
      </c>
      <c r="F2613">
        <v>7227.4</v>
      </c>
      <c r="G2613">
        <v>19330.88</v>
      </c>
    </row>
    <row r="2614" spans="1:7" x14ac:dyDescent="0.35">
      <c r="A2614" s="1">
        <v>44014</v>
      </c>
      <c r="B2614">
        <v>3320.09</v>
      </c>
      <c r="C2614">
        <v>5049.38</v>
      </c>
      <c r="D2614">
        <v>12608.46</v>
      </c>
      <c r="E2614">
        <v>6925.0267999999996</v>
      </c>
      <c r="F2614">
        <v>7498.6</v>
      </c>
      <c r="G2614">
        <v>19886.88</v>
      </c>
    </row>
    <row r="2615" spans="1:7" x14ac:dyDescent="0.35">
      <c r="A2615" s="1">
        <v>44015</v>
      </c>
      <c r="B2615">
        <v>3294.38</v>
      </c>
      <c r="C2615">
        <v>5007.1400000000003</v>
      </c>
      <c r="D2615">
        <v>12528.18</v>
      </c>
      <c r="E2615">
        <v>6829.3340799999996</v>
      </c>
      <c r="F2615">
        <v>7403.5</v>
      </c>
      <c r="G2615">
        <v>19726.650000000001</v>
      </c>
    </row>
    <row r="2616" spans="1:7" x14ac:dyDescent="0.35">
      <c r="A2616" s="1">
        <v>44018</v>
      </c>
      <c r="B2616">
        <v>3350.03</v>
      </c>
      <c r="C2616">
        <v>5081.51</v>
      </c>
      <c r="D2616">
        <v>12733.45</v>
      </c>
      <c r="E2616">
        <v>6940.8296499999997</v>
      </c>
      <c r="F2616">
        <v>7556.2</v>
      </c>
      <c r="G2616">
        <v>20031.86</v>
      </c>
    </row>
    <row r="2617" spans="1:7" x14ac:dyDescent="0.35">
      <c r="A2617" s="1">
        <v>44019</v>
      </c>
      <c r="B2617">
        <v>3321.56</v>
      </c>
      <c r="C2617">
        <v>5043.7299999999996</v>
      </c>
      <c r="D2617">
        <v>12616.8</v>
      </c>
      <c r="E2617">
        <v>6886.1952199999996</v>
      </c>
      <c r="F2617">
        <v>7447.4</v>
      </c>
      <c r="G2617">
        <v>20012.68</v>
      </c>
    </row>
    <row r="2618" spans="1:7" x14ac:dyDescent="0.35">
      <c r="A2618" s="1">
        <v>44020</v>
      </c>
      <c r="B2618">
        <v>3286.09</v>
      </c>
      <c r="C2618">
        <v>4981.13</v>
      </c>
      <c r="D2618">
        <v>12494.81</v>
      </c>
      <c r="E2618">
        <v>6844.2205800000002</v>
      </c>
      <c r="F2618">
        <v>7326.4</v>
      </c>
      <c r="G2618">
        <v>19899.53</v>
      </c>
    </row>
    <row r="2619" spans="1:7" x14ac:dyDescent="0.35">
      <c r="A2619" s="1">
        <v>44021</v>
      </c>
      <c r="B2619">
        <v>3261.17</v>
      </c>
      <c r="C2619">
        <v>4921.01</v>
      </c>
      <c r="D2619">
        <v>12489.46</v>
      </c>
      <c r="E2619">
        <v>6756.3287799999998</v>
      </c>
      <c r="F2619">
        <v>7236.9</v>
      </c>
      <c r="G2619">
        <v>19505.95</v>
      </c>
    </row>
    <row r="2620" spans="1:7" x14ac:dyDescent="0.35">
      <c r="A2620" s="1">
        <v>44022</v>
      </c>
      <c r="B2620">
        <v>3296.22</v>
      </c>
      <c r="C2620">
        <v>4970.4799999999996</v>
      </c>
      <c r="D2620">
        <v>12633.71</v>
      </c>
      <c r="E2620">
        <v>6811.2161100000003</v>
      </c>
      <c r="F2620">
        <v>7321.1</v>
      </c>
      <c r="G2620">
        <v>19767.599999999999</v>
      </c>
    </row>
    <row r="2621" spans="1:7" x14ac:dyDescent="0.35">
      <c r="A2621" s="1">
        <v>44025</v>
      </c>
      <c r="B2621">
        <v>3350</v>
      </c>
      <c r="C2621">
        <v>5056.2299999999996</v>
      </c>
      <c r="D2621">
        <v>12799.97</v>
      </c>
      <c r="E2621">
        <v>6853.6802299999999</v>
      </c>
      <c r="F2621">
        <v>7426.9</v>
      </c>
      <c r="G2621">
        <v>20003.25</v>
      </c>
    </row>
    <row r="2622" spans="1:7" x14ac:dyDescent="0.35">
      <c r="A2622" s="1">
        <v>44026</v>
      </c>
      <c r="B2622">
        <v>3321.39</v>
      </c>
      <c r="C2622">
        <v>5007.46</v>
      </c>
      <c r="D2622">
        <v>12697.36</v>
      </c>
      <c r="E2622">
        <v>6800.2721199999996</v>
      </c>
      <c r="F2622">
        <v>7352</v>
      </c>
      <c r="G2622">
        <v>19879.75</v>
      </c>
    </row>
    <row r="2623" spans="1:7" x14ac:dyDescent="0.35">
      <c r="A2623" s="1">
        <v>44027</v>
      </c>
      <c r="B2623">
        <v>3378.21</v>
      </c>
      <c r="C2623">
        <v>5108.9799999999996</v>
      </c>
      <c r="D2623">
        <v>12930.98</v>
      </c>
      <c r="E2623">
        <v>6943.0431200000003</v>
      </c>
      <c r="F2623">
        <v>7487.6</v>
      </c>
      <c r="G2623">
        <v>20281.38</v>
      </c>
    </row>
    <row r="2624" spans="1:7" x14ac:dyDescent="0.35">
      <c r="A2624" s="1">
        <v>44028</v>
      </c>
      <c r="B2624">
        <v>3365.35</v>
      </c>
      <c r="C2624">
        <v>5085.28</v>
      </c>
      <c r="D2624">
        <v>12874.97</v>
      </c>
      <c r="E2624">
        <v>6896.6329800000003</v>
      </c>
      <c r="F2624">
        <v>7474.7</v>
      </c>
      <c r="G2624">
        <v>20356.09</v>
      </c>
    </row>
    <row r="2625" spans="1:7" x14ac:dyDescent="0.35">
      <c r="A2625" s="1">
        <v>44029</v>
      </c>
      <c r="B2625">
        <v>3365.6</v>
      </c>
      <c r="C2625">
        <v>5069.42</v>
      </c>
      <c r="D2625">
        <v>12919.61</v>
      </c>
      <c r="E2625">
        <v>6907.5030299999999</v>
      </c>
      <c r="F2625">
        <v>7440.4</v>
      </c>
      <c r="G2625">
        <v>20419.39</v>
      </c>
    </row>
    <row r="2626" spans="1:7" x14ac:dyDescent="0.35">
      <c r="A2626" s="1">
        <v>44032</v>
      </c>
      <c r="B2626">
        <v>3388.34</v>
      </c>
      <c r="C2626">
        <v>5093.18</v>
      </c>
      <c r="D2626">
        <v>13046.92</v>
      </c>
      <c r="E2626">
        <v>6924.9488199999996</v>
      </c>
      <c r="F2626">
        <v>7478</v>
      </c>
      <c r="G2626">
        <v>20621.48</v>
      </c>
    </row>
    <row r="2627" spans="1:7" x14ac:dyDescent="0.35">
      <c r="A2627" s="1">
        <v>44033</v>
      </c>
      <c r="B2627">
        <v>3405.35</v>
      </c>
      <c r="C2627">
        <v>5104.28</v>
      </c>
      <c r="D2627">
        <v>13171.83</v>
      </c>
      <c r="E2627">
        <v>6937.7535099999996</v>
      </c>
      <c r="F2627">
        <v>7494.5</v>
      </c>
      <c r="G2627">
        <v>20723.419999999998</v>
      </c>
    </row>
    <row r="2628" spans="1:7" x14ac:dyDescent="0.35">
      <c r="A2628" s="1">
        <v>44034</v>
      </c>
      <c r="B2628">
        <v>3370.76</v>
      </c>
      <c r="C2628">
        <v>5037.12</v>
      </c>
      <c r="D2628">
        <v>13104.25</v>
      </c>
      <c r="E2628">
        <v>6829.0431600000002</v>
      </c>
      <c r="F2628">
        <v>7390.1</v>
      </c>
      <c r="G2628">
        <v>20598.78</v>
      </c>
    </row>
    <row r="2629" spans="1:7" x14ac:dyDescent="0.35">
      <c r="A2629" s="1">
        <v>44035</v>
      </c>
      <c r="B2629">
        <v>3371.74</v>
      </c>
      <c r="C2629">
        <v>5033.76</v>
      </c>
      <c r="D2629">
        <v>13103.39</v>
      </c>
      <c r="E2629">
        <v>6812.8057500000004</v>
      </c>
      <c r="F2629">
        <v>7384.9</v>
      </c>
      <c r="G2629">
        <v>20454.46</v>
      </c>
    </row>
    <row r="2630" spans="1:7" x14ac:dyDescent="0.35">
      <c r="A2630" s="1">
        <v>44036</v>
      </c>
      <c r="B2630">
        <v>3310.89</v>
      </c>
      <c r="C2630">
        <v>4956.43</v>
      </c>
      <c r="D2630">
        <v>12838.06</v>
      </c>
      <c r="E2630">
        <v>6729.0965800000004</v>
      </c>
      <c r="F2630">
        <v>7294.7</v>
      </c>
      <c r="G2630">
        <v>20075.27</v>
      </c>
    </row>
    <row r="2631" spans="1:7" x14ac:dyDescent="0.35">
      <c r="A2631" s="1">
        <v>44039</v>
      </c>
      <c r="B2631">
        <v>3302.84</v>
      </c>
      <c r="C2631">
        <v>4939.62</v>
      </c>
      <c r="D2631">
        <v>12838.66</v>
      </c>
      <c r="E2631">
        <v>6691.1979799999999</v>
      </c>
      <c r="F2631">
        <v>7170.6</v>
      </c>
      <c r="G2631">
        <v>20019.96</v>
      </c>
    </row>
    <row r="2632" spans="1:7" x14ac:dyDescent="0.35">
      <c r="A2632" s="1">
        <v>44040</v>
      </c>
      <c r="B2632">
        <v>3303.56</v>
      </c>
      <c r="C2632">
        <v>4928.9399999999996</v>
      </c>
      <c r="D2632">
        <v>12835.28</v>
      </c>
      <c r="E2632">
        <v>6762.8170799999998</v>
      </c>
      <c r="F2632">
        <v>7246.4</v>
      </c>
      <c r="G2632">
        <v>19902.63</v>
      </c>
    </row>
    <row r="2633" spans="1:7" x14ac:dyDescent="0.35">
      <c r="A2633" s="1">
        <v>44041</v>
      </c>
      <c r="B2633">
        <v>3300.16</v>
      </c>
      <c r="C2633">
        <v>4958.74</v>
      </c>
      <c r="D2633">
        <v>12822.26</v>
      </c>
      <c r="E2633">
        <v>6756.3752400000003</v>
      </c>
      <c r="F2633">
        <v>7206.2</v>
      </c>
      <c r="G2633">
        <v>19880.57</v>
      </c>
    </row>
    <row r="2634" spans="1:7" x14ac:dyDescent="0.35">
      <c r="A2634" s="1">
        <v>44042</v>
      </c>
      <c r="B2634">
        <v>3208.2</v>
      </c>
      <c r="C2634">
        <v>4852.9399999999996</v>
      </c>
      <c r="D2634">
        <v>12379.65</v>
      </c>
      <c r="E2634">
        <v>6627.3525399999999</v>
      </c>
      <c r="F2634">
        <v>6996.6</v>
      </c>
      <c r="G2634">
        <v>19228.47</v>
      </c>
    </row>
    <row r="2635" spans="1:7" x14ac:dyDescent="0.35">
      <c r="A2635" s="1">
        <v>44043</v>
      </c>
      <c r="B2635">
        <v>3174.32</v>
      </c>
      <c r="C2635">
        <v>4783.6899999999996</v>
      </c>
      <c r="D2635">
        <v>12313.36</v>
      </c>
      <c r="E2635">
        <v>6552.0107099999996</v>
      </c>
      <c r="F2635">
        <v>6877.4</v>
      </c>
      <c r="G2635">
        <v>19091.93</v>
      </c>
    </row>
    <row r="2636" spans="1:7" x14ac:dyDescent="0.35">
      <c r="A2636" s="1">
        <v>44046</v>
      </c>
      <c r="B2636">
        <v>3248.28</v>
      </c>
      <c r="C2636">
        <v>4875.93</v>
      </c>
      <c r="D2636">
        <v>12646.98</v>
      </c>
      <c r="E2636">
        <v>6704.9923699999999</v>
      </c>
      <c r="F2636">
        <v>6975</v>
      </c>
      <c r="G2636">
        <v>19379.79</v>
      </c>
    </row>
    <row r="2637" spans="1:7" x14ac:dyDescent="0.35">
      <c r="A2637" s="1">
        <v>44047</v>
      </c>
      <c r="B2637">
        <v>3254.29</v>
      </c>
      <c r="C2637">
        <v>4889.5200000000004</v>
      </c>
      <c r="D2637">
        <v>12600.87</v>
      </c>
      <c r="E2637">
        <v>6695.5629099999996</v>
      </c>
      <c r="F2637">
        <v>7021.6</v>
      </c>
      <c r="G2637">
        <v>19613.95</v>
      </c>
    </row>
    <row r="2638" spans="1:7" x14ac:dyDescent="0.35">
      <c r="A2638" s="1">
        <v>44048</v>
      </c>
      <c r="B2638">
        <v>3268.38</v>
      </c>
      <c r="C2638">
        <v>4933.34</v>
      </c>
      <c r="D2638">
        <v>12660.25</v>
      </c>
      <c r="E2638">
        <v>6749.4870199999996</v>
      </c>
      <c r="F2638">
        <v>7039.7</v>
      </c>
      <c r="G2638">
        <v>19740.2</v>
      </c>
    </row>
    <row r="2639" spans="1:7" x14ac:dyDescent="0.35">
      <c r="A2639" s="1">
        <v>44049</v>
      </c>
      <c r="B2639">
        <v>3240.39</v>
      </c>
      <c r="C2639">
        <v>4885.13</v>
      </c>
      <c r="D2639">
        <v>12591.68</v>
      </c>
      <c r="E2639">
        <v>6675.7999499999996</v>
      </c>
      <c r="F2639">
        <v>6957.9</v>
      </c>
      <c r="G2639">
        <v>19475.150000000001</v>
      </c>
    </row>
    <row r="2640" spans="1:7" x14ac:dyDescent="0.35">
      <c r="A2640" s="1">
        <v>44050</v>
      </c>
      <c r="B2640">
        <v>3252.65</v>
      </c>
      <c r="C2640">
        <v>4889.5200000000004</v>
      </c>
      <c r="D2640">
        <v>12674.88</v>
      </c>
      <c r="E2640">
        <v>6684.6538799999998</v>
      </c>
      <c r="F2640">
        <v>6950.5</v>
      </c>
      <c r="G2640">
        <v>19516.43</v>
      </c>
    </row>
    <row r="2641" spans="1:7" x14ac:dyDescent="0.35">
      <c r="A2641" s="1">
        <v>44053</v>
      </c>
      <c r="B2641">
        <v>3259.71</v>
      </c>
      <c r="C2641">
        <v>4909.51</v>
      </c>
      <c r="D2641">
        <v>12687.53</v>
      </c>
      <c r="E2641">
        <v>6736.3200999999999</v>
      </c>
      <c r="F2641">
        <v>7053.9</v>
      </c>
      <c r="G2641">
        <v>19651.57</v>
      </c>
    </row>
    <row r="2642" spans="1:7" x14ac:dyDescent="0.35">
      <c r="A2642" s="1">
        <v>44054</v>
      </c>
      <c r="B2642">
        <v>3332.12</v>
      </c>
      <c r="C2642">
        <v>5027.99</v>
      </c>
      <c r="D2642">
        <v>12946.89</v>
      </c>
      <c r="E2642">
        <v>6843.9648800000004</v>
      </c>
      <c r="F2642">
        <v>7263.5</v>
      </c>
      <c r="G2642">
        <v>20209.11</v>
      </c>
    </row>
    <row r="2643" spans="1:7" x14ac:dyDescent="0.35">
      <c r="A2643" s="1">
        <v>44055</v>
      </c>
      <c r="B2643">
        <v>3363.18</v>
      </c>
      <c r="C2643">
        <v>5073.3100000000004</v>
      </c>
      <c r="D2643">
        <v>13058.63</v>
      </c>
      <c r="E2643">
        <v>6946.9034300000003</v>
      </c>
      <c r="F2643">
        <v>7296</v>
      </c>
      <c r="G2643">
        <v>20437.36</v>
      </c>
    </row>
    <row r="2644" spans="1:7" x14ac:dyDescent="0.35">
      <c r="A2644" s="1">
        <v>44056</v>
      </c>
      <c r="B2644">
        <v>3342.85</v>
      </c>
      <c r="C2644">
        <v>5042.38</v>
      </c>
      <c r="D2644">
        <v>12993.71</v>
      </c>
      <c r="E2644">
        <v>6846.7385599999998</v>
      </c>
      <c r="F2644">
        <v>7250.5</v>
      </c>
      <c r="G2644">
        <v>20257.310000000001</v>
      </c>
    </row>
    <row r="2645" spans="1:7" x14ac:dyDescent="0.35">
      <c r="A2645" s="1">
        <v>44057</v>
      </c>
      <c r="B2645">
        <v>3305.05</v>
      </c>
      <c r="C2645">
        <v>4962.93</v>
      </c>
      <c r="D2645">
        <v>12901.34</v>
      </c>
      <c r="E2645">
        <v>6735.8053200000004</v>
      </c>
      <c r="F2645">
        <v>7154.3</v>
      </c>
      <c r="G2645">
        <v>20028.11</v>
      </c>
    </row>
    <row r="2646" spans="1:7" x14ac:dyDescent="0.35">
      <c r="A2646" s="1">
        <v>44060</v>
      </c>
      <c r="B2646">
        <v>3305.85</v>
      </c>
      <c r="C2646">
        <v>4971.9399999999996</v>
      </c>
      <c r="D2646">
        <v>12920.66</v>
      </c>
      <c r="E2646">
        <v>6765.06963</v>
      </c>
      <c r="F2646">
        <v>7090.1</v>
      </c>
      <c r="G2646">
        <v>19950.32</v>
      </c>
    </row>
    <row r="2647" spans="1:7" x14ac:dyDescent="0.35">
      <c r="A2647" s="1">
        <v>44061</v>
      </c>
      <c r="B2647">
        <v>3289.64</v>
      </c>
      <c r="C2647">
        <v>4938.0600000000004</v>
      </c>
      <c r="D2647">
        <v>12881.76</v>
      </c>
      <c r="E2647">
        <v>6737.9411600000003</v>
      </c>
      <c r="F2647">
        <v>7043.5</v>
      </c>
      <c r="G2647">
        <v>19845.61</v>
      </c>
    </row>
    <row r="2648" spans="1:7" x14ac:dyDescent="0.35">
      <c r="A2648" s="1">
        <v>44062</v>
      </c>
      <c r="B2648">
        <v>3317.62</v>
      </c>
      <c r="C2648">
        <v>4977.2299999999996</v>
      </c>
      <c r="D2648">
        <v>12977.33</v>
      </c>
      <c r="E2648">
        <v>6774.2226600000004</v>
      </c>
      <c r="F2648">
        <v>7094.3</v>
      </c>
      <c r="G2648">
        <v>20055.400000000001</v>
      </c>
    </row>
    <row r="2649" spans="1:7" x14ac:dyDescent="0.35">
      <c r="A2649" s="1">
        <v>44063</v>
      </c>
      <c r="B2649">
        <v>3273.98</v>
      </c>
      <c r="C2649">
        <v>4911.24</v>
      </c>
      <c r="D2649">
        <v>12830</v>
      </c>
      <c r="E2649">
        <v>6690.0563499999998</v>
      </c>
      <c r="F2649">
        <v>6993.3</v>
      </c>
      <c r="G2649">
        <v>19766.96</v>
      </c>
    </row>
    <row r="2650" spans="1:7" x14ac:dyDescent="0.35">
      <c r="A2650" s="1">
        <v>44064</v>
      </c>
      <c r="B2650">
        <v>3259.75</v>
      </c>
      <c r="C2650">
        <v>4896.33</v>
      </c>
      <c r="D2650">
        <v>12764.8</v>
      </c>
      <c r="E2650">
        <v>6667.1806200000001</v>
      </c>
      <c r="F2650">
        <v>6982.1</v>
      </c>
      <c r="G2650">
        <v>19695.43</v>
      </c>
    </row>
    <row r="2651" spans="1:7" x14ac:dyDescent="0.35">
      <c r="A2651" s="1">
        <v>44067</v>
      </c>
      <c r="B2651">
        <v>3331.74</v>
      </c>
      <c r="C2651">
        <v>5007.8900000000003</v>
      </c>
      <c r="D2651">
        <v>13066.54</v>
      </c>
      <c r="E2651">
        <v>6761.2471500000001</v>
      </c>
      <c r="F2651">
        <v>7109.1</v>
      </c>
      <c r="G2651">
        <v>20113.36</v>
      </c>
    </row>
    <row r="2652" spans="1:7" x14ac:dyDescent="0.35">
      <c r="A2652" s="1">
        <v>44068</v>
      </c>
      <c r="B2652">
        <v>3329.71</v>
      </c>
      <c r="C2652">
        <v>5008.2700000000004</v>
      </c>
      <c r="D2652">
        <v>13061.62</v>
      </c>
      <c r="E2652">
        <v>6707.0506500000001</v>
      </c>
      <c r="F2652">
        <v>7108.4</v>
      </c>
      <c r="G2652">
        <v>20030.05</v>
      </c>
    </row>
    <row r="2653" spans="1:7" x14ac:dyDescent="0.35">
      <c r="A2653" s="1">
        <v>44069</v>
      </c>
      <c r="B2653">
        <v>3356.76</v>
      </c>
      <c r="C2653">
        <v>5048.43</v>
      </c>
      <c r="D2653">
        <v>13190.15</v>
      </c>
      <c r="E2653">
        <v>6751.7375300000003</v>
      </c>
      <c r="F2653">
        <v>7123</v>
      </c>
      <c r="G2653">
        <v>20137.29</v>
      </c>
    </row>
    <row r="2654" spans="1:7" x14ac:dyDescent="0.35">
      <c r="A2654" s="1">
        <v>44070</v>
      </c>
      <c r="B2654">
        <v>3331.04</v>
      </c>
      <c r="C2654">
        <v>5015.97</v>
      </c>
      <c r="D2654">
        <v>13096.36</v>
      </c>
      <c r="E2654">
        <v>6704.91381</v>
      </c>
      <c r="F2654">
        <v>7090.7</v>
      </c>
      <c r="G2654">
        <v>19847.38</v>
      </c>
    </row>
    <row r="2655" spans="1:7" x14ac:dyDescent="0.35">
      <c r="A2655" s="1">
        <v>44071</v>
      </c>
      <c r="B2655">
        <v>3315.54</v>
      </c>
      <c r="C2655">
        <v>5002.9399999999996</v>
      </c>
      <c r="D2655">
        <v>13033.2</v>
      </c>
      <c r="E2655">
        <v>6684.8765599999997</v>
      </c>
      <c r="F2655">
        <v>7133</v>
      </c>
      <c r="G2655">
        <v>19841.009999999998</v>
      </c>
    </row>
    <row r="2656" spans="1:7" x14ac:dyDescent="0.35">
      <c r="A2656" s="1">
        <v>44075</v>
      </c>
      <c r="B2656">
        <v>3277.58</v>
      </c>
      <c r="C2656">
        <v>4938.1000000000004</v>
      </c>
      <c r="D2656">
        <v>12974.25</v>
      </c>
      <c r="E2656">
        <v>6578.2280499999997</v>
      </c>
      <c r="F2656">
        <v>6956.9</v>
      </c>
      <c r="G2656">
        <v>19595.02</v>
      </c>
    </row>
    <row r="2657" spans="1:7" x14ac:dyDescent="0.35">
      <c r="A2657" s="1">
        <v>44076</v>
      </c>
      <c r="B2657">
        <v>3337.77</v>
      </c>
      <c r="C2657">
        <v>5031.74</v>
      </c>
      <c r="D2657">
        <v>13243.43</v>
      </c>
      <c r="E2657">
        <v>6683.0673200000001</v>
      </c>
      <c r="F2657">
        <v>6996.9</v>
      </c>
      <c r="G2657">
        <v>19858.21</v>
      </c>
    </row>
    <row r="2658" spans="1:7" x14ac:dyDescent="0.35">
      <c r="A2658" s="1">
        <v>44077</v>
      </c>
      <c r="B2658">
        <v>3304.22</v>
      </c>
      <c r="C2658">
        <v>5009.5200000000004</v>
      </c>
      <c r="D2658">
        <v>13057.77</v>
      </c>
      <c r="E2658">
        <v>6557.4330499999996</v>
      </c>
      <c r="F2658">
        <v>7006</v>
      </c>
      <c r="G2658">
        <v>19551.48</v>
      </c>
    </row>
    <row r="2659" spans="1:7" x14ac:dyDescent="0.35">
      <c r="A2659" s="1">
        <v>44078</v>
      </c>
      <c r="B2659">
        <v>3260.59</v>
      </c>
      <c r="C2659">
        <v>4965.07</v>
      </c>
      <c r="D2659">
        <v>12842.66</v>
      </c>
      <c r="E2659">
        <v>6489.9716600000002</v>
      </c>
      <c r="F2659">
        <v>6989.7</v>
      </c>
      <c r="G2659">
        <v>19391.25</v>
      </c>
    </row>
    <row r="2660" spans="1:7" x14ac:dyDescent="0.35">
      <c r="A2660" s="1">
        <v>44081</v>
      </c>
      <c r="B2660">
        <v>3314.07</v>
      </c>
      <c r="C2660">
        <v>5053.72</v>
      </c>
      <c r="D2660">
        <v>13100.28</v>
      </c>
      <c r="E2660">
        <v>6619.77891</v>
      </c>
      <c r="F2660">
        <v>7080.7</v>
      </c>
      <c r="G2660">
        <v>19738.009999999998</v>
      </c>
    </row>
    <row r="2661" spans="1:7" x14ac:dyDescent="0.35">
      <c r="A2661" s="1">
        <v>44082</v>
      </c>
      <c r="B2661">
        <v>3267.37</v>
      </c>
      <c r="C2661">
        <v>4973.5200000000004</v>
      </c>
      <c r="D2661">
        <v>12968.33</v>
      </c>
      <c r="E2661">
        <v>6558.2200300000004</v>
      </c>
      <c r="F2661">
        <v>6955</v>
      </c>
      <c r="G2661">
        <v>19380.18</v>
      </c>
    </row>
    <row r="2662" spans="1:7" x14ac:dyDescent="0.35">
      <c r="A2662" s="1">
        <v>44083</v>
      </c>
      <c r="B2662">
        <v>3324.83</v>
      </c>
      <c r="C2662">
        <v>5042.9799999999996</v>
      </c>
      <c r="D2662">
        <v>13237.21</v>
      </c>
      <c r="E2662">
        <v>6628.6925600000004</v>
      </c>
      <c r="F2662">
        <v>7020.9</v>
      </c>
      <c r="G2662">
        <v>19771.32</v>
      </c>
    </row>
    <row r="2663" spans="1:7" x14ac:dyDescent="0.35">
      <c r="A2663" s="1">
        <v>44084</v>
      </c>
      <c r="B2663">
        <v>3312.77</v>
      </c>
      <c r="C2663">
        <v>5023.93</v>
      </c>
      <c r="D2663">
        <v>13208.89</v>
      </c>
      <c r="E2663">
        <v>6495.41201</v>
      </c>
      <c r="F2663">
        <v>6999.2</v>
      </c>
      <c r="G2663">
        <v>19820.22</v>
      </c>
    </row>
    <row r="2664" spans="1:7" x14ac:dyDescent="0.35">
      <c r="A2664" s="1">
        <v>44085</v>
      </c>
      <c r="B2664">
        <v>3315.81</v>
      </c>
      <c r="C2664">
        <v>5034.1400000000003</v>
      </c>
      <c r="D2664">
        <v>13202.84</v>
      </c>
      <c r="E2664">
        <v>6517.2255599999999</v>
      </c>
      <c r="F2664">
        <v>6943.2</v>
      </c>
      <c r="G2664">
        <v>19820.75</v>
      </c>
    </row>
    <row r="2665" spans="1:7" x14ac:dyDescent="0.35">
      <c r="A2665" s="1">
        <v>44088</v>
      </c>
      <c r="B2665">
        <v>3316.79</v>
      </c>
      <c r="C2665">
        <v>5051.88</v>
      </c>
      <c r="D2665">
        <v>13193.66</v>
      </c>
      <c r="E2665">
        <v>6534.5736100000004</v>
      </c>
      <c r="F2665">
        <v>6951.1</v>
      </c>
      <c r="G2665">
        <v>19793.8</v>
      </c>
    </row>
    <row r="2666" spans="1:7" x14ac:dyDescent="0.35">
      <c r="A2666" s="1">
        <v>44089</v>
      </c>
      <c r="B2666">
        <v>3332.26</v>
      </c>
      <c r="C2666">
        <v>5067.93</v>
      </c>
      <c r="D2666">
        <v>13217.67</v>
      </c>
      <c r="E2666">
        <v>6641.2492400000001</v>
      </c>
      <c r="F2666">
        <v>7036</v>
      </c>
      <c r="G2666">
        <v>19956.95</v>
      </c>
    </row>
    <row r="2667" spans="1:7" x14ac:dyDescent="0.35">
      <c r="A2667" s="1">
        <v>44090</v>
      </c>
      <c r="B2667">
        <v>3338.84</v>
      </c>
      <c r="C2667">
        <v>5074.42</v>
      </c>
      <c r="D2667">
        <v>13255.37</v>
      </c>
      <c r="E2667">
        <v>6667.16741</v>
      </c>
      <c r="F2667">
        <v>7110.8</v>
      </c>
      <c r="G2667">
        <v>19963.990000000002</v>
      </c>
    </row>
    <row r="2668" spans="1:7" x14ac:dyDescent="0.35">
      <c r="A2668" s="1">
        <v>44091</v>
      </c>
      <c r="B2668">
        <v>3316.57</v>
      </c>
      <c r="C2668">
        <v>5039.5</v>
      </c>
      <c r="D2668">
        <v>13208.12</v>
      </c>
      <c r="E2668">
        <v>6621.0340900000001</v>
      </c>
      <c r="F2668">
        <v>7086.2</v>
      </c>
      <c r="G2668">
        <v>19739.73</v>
      </c>
    </row>
    <row r="2669" spans="1:7" x14ac:dyDescent="0.35">
      <c r="A2669" s="1">
        <v>44092</v>
      </c>
      <c r="B2669">
        <v>3283.69</v>
      </c>
      <c r="C2669">
        <v>4978.18</v>
      </c>
      <c r="D2669">
        <v>13116.25</v>
      </c>
      <c r="E2669">
        <v>6556.32096</v>
      </c>
      <c r="F2669">
        <v>6929.8</v>
      </c>
      <c r="G2669">
        <v>19524.939999999999</v>
      </c>
    </row>
    <row r="2670" spans="1:7" x14ac:dyDescent="0.35">
      <c r="A2670" s="1">
        <v>44095</v>
      </c>
      <c r="B2670">
        <v>3160.95</v>
      </c>
      <c r="C2670">
        <v>4792.04</v>
      </c>
      <c r="D2670">
        <v>12542.44</v>
      </c>
      <c r="E2670">
        <v>6322.8744699999997</v>
      </c>
      <c r="F2670">
        <v>6692.3</v>
      </c>
      <c r="G2670">
        <v>18793.349999999999</v>
      </c>
    </row>
    <row r="2671" spans="1:7" x14ac:dyDescent="0.35">
      <c r="A2671" s="1">
        <v>44096</v>
      </c>
      <c r="B2671">
        <v>3164.13</v>
      </c>
      <c r="C2671">
        <v>4772.84</v>
      </c>
      <c r="D2671">
        <v>12594.39</v>
      </c>
      <c r="E2671">
        <v>6336.0014199999996</v>
      </c>
      <c r="F2671">
        <v>6648.6</v>
      </c>
      <c r="G2671">
        <v>18895.59</v>
      </c>
    </row>
    <row r="2672" spans="1:7" x14ac:dyDescent="0.35">
      <c r="A2672" s="1">
        <v>44097</v>
      </c>
      <c r="B2672">
        <v>3180.11</v>
      </c>
      <c r="C2672">
        <v>4802.26</v>
      </c>
      <c r="D2672">
        <v>12642.97</v>
      </c>
      <c r="E2672">
        <v>6442.6727000000001</v>
      </c>
      <c r="F2672">
        <v>6654.2</v>
      </c>
      <c r="G2672">
        <v>18929.89</v>
      </c>
    </row>
    <row r="2673" spans="1:7" x14ac:dyDescent="0.35">
      <c r="A2673" s="1">
        <v>44098</v>
      </c>
      <c r="B2673">
        <v>3159.64</v>
      </c>
      <c r="C2673">
        <v>4762.62</v>
      </c>
      <c r="D2673">
        <v>12606.57</v>
      </c>
      <c r="E2673">
        <v>6366.4657900000002</v>
      </c>
      <c r="F2673">
        <v>6643.4</v>
      </c>
      <c r="G2673">
        <v>18906.830000000002</v>
      </c>
    </row>
    <row r="2674" spans="1:7" x14ac:dyDescent="0.35">
      <c r="A2674" s="1">
        <v>44099</v>
      </c>
      <c r="B2674">
        <v>3137.06</v>
      </c>
      <c r="C2674">
        <v>4729.66</v>
      </c>
      <c r="D2674">
        <v>12469.2</v>
      </c>
      <c r="E2674">
        <v>6387.7646100000002</v>
      </c>
      <c r="F2674">
        <v>6628.3</v>
      </c>
      <c r="G2674">
        <v>18698.36</v>
      </c>
    </row>
    <row r="2675" spans="1:7" x14ac:dyDescent="0.35">
      <c r="A2675" s="1">
        <v>44102</v>
      </c>
      <c r="B2675">
        <v>3223.19</v>
      </c>
      <c r="C2675">
        <v>4843.2700000000004</v>
      </c>
      <c r="D2675">
        <v>12870.87</v>
      </c>
      <c r="E2675">
        <v>6536.1836300000004</v>
      </c>
      <c r="F2675">
        <v>6791.5</v>
      </c>
      <c r="G2675">
        <v>19160.099999999999</v>
      </c>
    </row>
    <row r="2676" spans="1:7" x14ac:dyDescent="0.35">
      <c r="A2676" s="1">
        <v>44103</v>
      </c>
      <c r="B2676">
        <v>3214.3</v>
      </c>
      <c r="C2676">
        <v>4832.07</v>
      </c>
      <c r="D2676">
        <v>12825.82</v>
      </c>
      <c r="E2676">
        <v>6458.2096600000004</v>
      </c>
      <c r="F2676">
        <v>6713.6</v>
      </c>
      <c r="G2676">
        <v>19061.18</v>
      </c>
    </row>
    <row r="2677" spans="1:7" x14ac:dyDescent="0.35">
      <c r="A2677" s="1">
        <v>44104</v>
      </c>
      <c r="B2677">
        <v>3193.61</v>
      </c>
      <c r="C2677">
        <v>4803.4399999999996</v>
      </c>
      <c r="D2677">
        <v>12760.73</v>
      </c>
      <c r="E2677">
        <v>6461.1173099999996</v>
      </c>
      <c r="F2677">
        <v>6716.6</v>
      </c>
      <c r="G2677">
        <v>19015.27</v>
      </c>
    </row>
    <row r="2678" spans="1:7" x14ac:dyDescent="0.35">
      <c r="A2678" s="1">
        <v>44105</v>
      </c>
      <c r="B2678">
        <v>3194.09</v>
      </c>
      <c r="C2678">
        <v>4824.04</v>
      </c>
      <c r="D2678">
        <v>12730.77</v>
      </c>
      <c r="E2678">
        <v>6454.6299099999997</v>
      </c>
      <c r="F2678">
        <v>6730.7</v>
      </c>
      <c r="G2678">
        <v>19061.5</v>
      </c>
    </row>
    <row r="2679" spans="1:7" x14ac:dyDescent="0.35">
      <c r="A2679" s="1">
        <v>44106</v>
      </c>
      <c r="B2679">
        <v>3190.93</v>
      </c>
      <c r="C2679">
        <v>4824.88</v>
      </c>
      <c r="D2679">
        <v>12689.04</v>
      </c>
      <c r="E2679">
        <v>6513.0836099999997</v>
      </c>
      <c r="F2679">
        <v>6754.5</v>
      </c>
      <c r="G2679">
        <v>19064.310000000001</v>
      </c>
    </row>
    <row r="2680" spans="1:7" x14ac:dyDescent="0.35">
      <c r="A2680" s="1">
        <v>44109</v>
      </c>
      <c r="B2680">
        <v>3220.22</v>
      </c>
      <c r="C2680">
        <v>4871.87</v>
      </c>
      <c r="D2680">
        <v>12828.31</v>
      </c>
      <c r="E2680">
        <v>6543.9397900000004</v>
      </c>
      <c r="F2680">
        <v>6837.9</v>
      </c>
      <c r="G2680">
        <v>19265.509999999998</v>
      </c>
    </row>
    <row r="2681" spans="1:7" x14ac:dyDescent="0.35">
      <c r="A2681" s="1">
        <v>44110</v>
      </c>
      <c r="B2681">
        <v>3233.3</v>
      </c>
      <c r="C2681">
        <v>4895.46</v>
      </c>
      <c r="D2681">
        <v>12906.02</v>
      </c>
      <c r="E2681">
        <v>6542.8633099999997</v>
      </c>
      <c r="F2681">
        <v>6936.2</v>
      </c>
      <c r="G2681">
        <v>19429.810000000001</v>
      </c>
    </row>
    <row r="2682" spans="1:7" x14ac:dyDescent="0.35">
      <c r="A2682" s="1">
        <v>44111</v>
      </c>
      <c r="B2682">
        <v>3233.43</v>
      </c>
      <c r="C2682">
        <v>4882</v>
      </c>
      <c r="D2682">
        <v>12928.57</v>
      </c>
      <c r="E2682">
        <v>6525.6204299999999</v>
      </c>
      <c r="F2682">
        <v>6910.1</v>
      </c>
      <c r="G2682">
        <v>19435.080000000002</v>
      </c>
    </row>
    <row r="2683" spans="1:7" x14ac:dyDescent="0.35">
      <c r="A2683" s="1">
        <v>44112</v>
      </c>
      <c r="B2683">
        <v>3255.76</v>
      </c>
      <c r="C2683">
        <v>4911.9399999999996</v>
      </c>
      <c r="D2683">
        <v>13042.21</v>
      </c>
      <c r="E2683">
        <v>6580.1556899999996</v>
      </c>
      <c r="F2683">
        <v>6992.8</v>
      </c>
      <c r="G2683">
        <v>19582.43</v>
      </c>
    </row>
    <row r="2684" spans="1:7" x14ac:dyDescent="0.35">
      <c r="A2684" s="1">
        <v>44113</v>
      </c>
      <c r="B2684">
        <v>3273.12</v>
      </c>
      <c r="C2684">
        <v>4946.8100000000004</v>
      </c>
      <c r="D2684">
        <v>13051.23</v>
      </c>
      <c r="E2684">
        <v>6625.7957399999996</v>
      </c>
      <c r="F2684">
        <v>6950.9</v>
      </c>
      <c r="G2684">
        <v>19595.38</v>
      </c>
    </row>
    <row r="2685" spans="1:7" x14ac:dyDescent="0.35">
      <c r="A2685" s="1">
        <v>44116</v>
      </c>
      <c r="B2685">
        <v>3298.12</v>
      </c>
      <c r="C2685">
        <v>4979.29</v>
      </c>
      <c r="D2685">
        <v>13138.41</v>
      </c>
      <c r="E2685">
        <v>6637.5435600000001</v>
      </c>
      <c r="F2685">
        <v>6951</v>
      </c>
      <c r="G2685">
        <v>19718.77</v>
      </c>
    </row>
    <row r="2686" spans="1:7" x14ac:dyDescent="0.35">
      <c r="A2686" s="1">
        <v>44117</v>
      </c>
      <c r="B2686">
        <v>3279.19</v>
      </c>
      <c r="C2686">
        <v>4947.6099999999997</v>
      </c>
      <c r="D2686">
        <v>13018.99</v>
      </c>
      <c r="E2686">
        <v>6591.8621400000002</v>
      </c>
      <c r="F2686">
        <v>6875.2</v>
      </c>
      <c r="G2686">
        <v>19558.689999999999</v>
      </c>
    </row>
    <row r="2687" spans="1:7" x14ac:dyDescent="0.35">
      <c r="A2687" s="1">
        <v>44118</v>
      </c>
      <c r="B2687">
        <v>3273.28</v>
      </c>
      <c r="C2687">
        <v>4941.66</v>
      </c>
      <c r="D2687">
        <v>13028.06</v>
      </c>
      <c r="E2687">
        <v>6573.9716600000002</v>
      </c>
      <c r="F2687">
        <v>6916.6</v>
      </c>
      <c r="G2687">
        <v>19607.73</v>
      </c>
    </row>
    <row r="2688" spans="1:7" x14ac:dyDescent="0.35">
      <c r="A2688" s="1">
        <v>44119</v>
      </c>
      <c r="B2688">
        <v>3192.69</v>
      </c>
      <c r="C2688">
        <v>4837.42</v>
      </c>
      <c r="D2688">
        <v>12703.75</v>
      </c>
      <c r="E2688">
        <v>6443.34645</v>
      </c>
      <c r="F2688">
        <v>6816.8</v>
      </c>
      <c r="G2688">
        <v>19065.439999999999</v>
      </c>
    </row>
    <row r="2689" spans="1:7" x14ac:dyDescent="0.35">
      <c r="A2689" s="1">
        <v>44120</v>
      </c>
      <c r="B2689">
        <v>3245.47</v>
      </c>
      <c r="C2689">
        <v>4935.8599999999997</v>
      </c>
      <c r="D2689">
        <v>12908.99</v>
      </c>
      <c r="E2689">
        <v>6528.2576900000004</v>
      </c>
      <c r="F2689">
        <v>6849.7</v>
      </c>
      <c r="G2689">
        <v>19389.68</v>
      </c>
    </row>
    <row r="2690" spans="1:7" x14ac:dyDescent="0.35">
      <c r="A2690" s="1">
        <v>44123</v>
      </c>
      <c r="B2690">
        <v>3242.51</v>
      </c>
      <c r="C2690">
        <v>4942.62</v>
      </c>
      <c r="D2690">
        <v>12854.66</v>
      </c>
      <c r="E2690">
        <v>6484.0032499999998</v>
      </c>
      <c r="F2690">
        <v>6860.2</v>
      </c>
      <c r="G2690">
        <v>19374.21</v>
      </c>
    </row>
    <row r="2691" spans="1:7" x14ac:dyDescent="0.35">
      <c r="A2691" s="1">
        <v>44124</v>
      </c>
      <c r="B2691">
        <v>3227.87</v>
      </c>
      <c r="C2691">
        <v>4929.28</v>
      </c>
      <c r="D2691">
        <v>12736.95</v>
      </c>
      <c r="E2691">
        <v>6443.4350899999999</v>
      </c>
      <c r="F2691">
        <v>6927.3</v>
      </c>
      <c r="G2691">
        <v>19482.13</v>
      </c>
    </row>
    <row r="2692" spans="1:7" x14ac:dyDescent="0.35">
      <c r="A2692" s="1">
        <v>44125</v>
      </c>
      <c r="B2692">
        <v>3180.7</v>
      </c>
      <c r="C2692">
        <v>4853.95</v>
      </c>
      <c r="D2692">
        <v>12557.64</v>
      </c>
      <c r="E2692">
        <v>6400.6577799999995</v>
      </c>
      <c r="F2692">
        <v>6811.5</v>
      </c>
      <c r="G2692">
        <v>19085.95</v>
      </c>
    </row>
    <row r="2693" spans="1:7" x14ac:dyDescent="0.35">
      <c r="A2693" s="1">
        <v>44126</v>
      </c>
      <c r="B2693">
        <v>3171.41</v>
      </c>
      <c r="C2693">
        <v>4851.38</v>
      </c>
      <c r="D2693">
        <v>12543.06</v>
      </c>
      <c r="E2693">
        <v>6409.1416300000001</v>
      </c>
      <c r="F2693">
        <v>6796.6</v>
      </c>
      <c r="G2693">
        <v>19076.95</v>
      </c>
    </row>
    <row r="2694" spans="1:7" x14ac:dyDescent="0.35">
      <c r="A2694" s="1">
        <v>44127</v>
      </c>
      <c r="B2694">
        <v>3198.86</v>
      </c>
      <c r="C2694">
        <v>4909.6400000000003</v>
      </c>
      <c r="D2694">
        <v>12645.75</v>
      </c>
      <c r="E2694">
        <v>6448.6337000000003</v>
      </c>
      <c r="F2694">
        <v>6893.4</v>
      </c>
      <c r="G2694">
        <v>19285.41</v>
      </c>
    </row>
    <row r="2695" spans="1:7" x14ac:dyDescent="0.35">
      <c r="A2695" s="1">
        <v>44130</v>
      </c>
      <c r="B2695">
        <v>3105.25</v>
      </c>
      <c r="C2695">
        <v>4816.12</v>
      </c>
      <c r="D2695">
        <v>12177.18</v>
      </c>
      <c r="E2695">
        <v>6383.6616599999998</v>
      </c>
      <c r="F2695">
        <v>6796.9</v>
      </c>
      <c r="G2695">
        <v>18945.14</v>
      </c>
    </row>
    <row r="2696" spans="1:7" x14ac:dyDescent="0.35">
      <c r="A2696" s="1">
        <v>44131</v>
      </c>
      <c r="B2696">
        <v>3070.6</v>
      </c>
      <c r="C2696">
        <v>4730.66</v>
      </c>
      <c r="D2696">
        <v>12063.57</v>
      </c>
      <c r="E2696">
        <v>6329.7466700000004</v>
      </c>
      <c r="F2696">
        <v>6651.3</v>
      </c>
      <c r="G2696">
        <v>18654.95</v>
      </c>
    </row>
    <row r="2697" spans="1:7" x14ac:dyDescent="0.35">
      <c r="A2697" s="1">
        <v>44132</v>
      </c>
      <c r="B2697">
        <v>2963.54</v>
      </c>
      <c r="C2697">
        <v>4571.12</v>
      </c>
      <c r="D2697">
        <v>11560.51</v>
      </c>
      <c r="E2697">
        <v>6171.4383500000004</v>
      </c>
      <c r="F2697">
        <v>6474.4</v>
      </c>
      <c r="G2697">
        <v>17897.79</v>
      </c>
    </row>
    <row r="2698" spans="1:7" x14ac:dyDescent="0.35">
      <c r="A2698" s="1">
        <v>44133</v>
      </c>
      <c r="B2698">
        <v>2960.03</v>
      </c>
      <c r="C2698">
        <v>4569.67</v>
      </c>
      <c r="D2698">
        <v>11598.07</v>
      </c>
      <c r="E2698">
        <v>6179.2816499999999</v>
      </c>
      <c r="F2698">
        <v>6411.8</v>
      </c>
      <c r="G2698">
        <v>17872.28</v>
      </c>
    </row>
    <row r="2699" spans="1:7" x14ac:dyDescent="0.35">
      <c r="A2699" s="1">
        <v>44134</v>
      </c>
      <c r="B2699">
        <v>2958.21</v>
      </c>
      <c r="C2699">
        <v>4594.24</v>
      </c>
      <c r="D2699">
        <v>11556.48</v>
      </c>
      <c r="E2699">
        <v>6197.9244699999999</v>
      </c>
      <c r="F2699">
        <v>6452.2</v>
      </c>
      <c r="G2699">
        <v>17943.11</v>
      </c>
    </row>
    <row r="2700" spans="1:7" x14ac:dyDescent="0.35">
      <c r="A2700" s="1">
        <v>44137</v>
      </c>
      <c r="B2700">
        <v>3019.54</v>
      </c>
      <c r="C2700">
        <v>4691.1400000000003</v>
      </c>
      <c r="D2700">
        <v>11788.28</v>
      </c>
      <c r="E2700">
        <v>6276.00515</v>
      </c>
      <c r="F2700">
        <v>6585.6</v>
      </c>
      <c r="G2700">
        <v>18400.03</v>
      </c>
    </row>
    <row r="2701" spans="1:7" x14ac:dyDescent="0.35">
      <c r="A2701" s="1">
        <v>44138</v>
      </c>
      <c r="B2701">
        <v>3098.72</v>
      </c>
      <c r="C2701">
        <v>4805.6099999999997</v>
      </c>
      <c r="D2701">
        <v>12088.98</v>
      </c>
      <c r="E2701">
        <v>6444.5147399999996</v>
      </c>
      <c r="F2701">
        <v>6751.6</v>
      </c>
      <c r="G2701">
        <v>18986.240000000002</v>
      </c>
    </row>
    <row r="2702" spans="1:7" x14ac:dyDescent="0.35">
      <c r="A2702" s="1">
        <v>44139</v>
      </c>
      <c r="B2702">
        <v>3161.07</v>
      </c>
      <c r="C2702">
        <v>4922.8500000000004</v>
      </c>
      <c r="D2702">
        <v>12324.22</v>
      </c>
      <c r="E2702">
        <v>6527.0789800000002</v>
      </c>
      <c r="F2702">
        <v>6781.9</v>
      </c>
      <c r="G2702">
        <v>19358.28</v>
      </c>
    </row>
    <row r="2703" spans="1:7" x14ac:dyDescent="0.35">
      <c r="A2703" s="1">
        <v>44140</v>
      </c>
      <c r="B2703">
        <v>3215.56</v>
      </c>
      <c r="C2703">
        <v>4983.99</v>
      </c>
      <c r="D2703">
        <v>12568.09</v>
      </c>
      <c r="E2703">
        <v>6555.19427</v>
      </c>
      <c r="F2703">
        <v>6924.2</v>
      </c>
      <c r="G2703">
        <v>19731.38</v>
      </c>
    </row>
    <row r="2704" spans="1:7" x14ac:dyDescent="0.35">
      <c r="A2704" s="1">
        <v>44141</v>
      </c>
      <c r="B2704">
        <v>3204.05</v>
      </c>
      <c r="C2704">
        <v>4960.88</v>
      </c>
      <c r="D2704">
        <v>12480.02</v>
      </c>
      <c r="E2704">
        <v>6543.2541899999997</v>
      </c>
      <c r="F2704">
        <v>6870.4</v>
      </c>
      <c r="G2704">
        <v>19681.68</v>
      </c>
    </row>
    <row r="2705" spans="1:7" x14ac:dyDescent="0.35">
      <c r="A2705" s="1">
        <v>44144</v>
      </c>
      <c r="B2705">
        <v>3407.91</v>
      </c>
      <c r="C2705">
        <v>5336.32</v>
      </c>
      <c r="D2705">
        <v>13095.97</v>
      </c>
      <c r="E2705">
        <v>6878.2500099999997</v>
      </c>
      <c r="F2705">
        <v>7459.4</v>
      </c>
      <c r="G2705">
        <v>20750.18</v>
      </c>
    </row>
    <row r="2706" spans="1:7" x14ac:dyDescent="0.35">
      <c r="A2706" s="1">
        <v>44145</v>
      </c>
      <c r="B2706">
        <v>3442.62</v>
      </c>
      <c r="C2706">
        <v>5418.97</v>
      </c>
      <c r="D2706">
        <v>13163.11</v>
      </c>
      <c r="E2706">
        <v>7051.7261799999997</v>
      </c>
      <c r="F2706">
        <v>7711.4</v>
      </c>
      <c r="G2706">
        <v>20851.580000000002</v>
      </c>
    </row>
    <row r="2707" spans="1:7" x14ac:dyDescent="0.35">
      <c r="A2707" s="1">
        <v>44146</v>
      </c>
      <c r="B2707">
        <v>3467.3</v>
      </c>
      <c r="C2707">
        <v>5445.21</v>
      </c>
      <c r="D2707">
        <v>13216.18</v>
      </c>
      <c r="E2707">
        <v>7156.7556400000003</v>
      </c>
      <c r="F2707">
        <v>7793.7</v>
      </c>
      <c r="G2707">
        <v>20993.02</v>
      </c>
    </row>
    <row r="2708" spans="1:7" x14ac:dyDescent="0.35">
      <c r="A2708" s="1">
        <v>44147</v>
      </c>
      <c r="B2708">
        <v>3428.2</v>
      </c>
      <c r="C2708">
        <v>5362.57</v>
      </c>
      <c r="D2708">
        <v>13052.95</v>
      </c>
      <c r="E2708">
        <v>7045.8929699999999</v>
      </c>
      <c r="F2708">
        <v>7726</v>
      </c>
      <c r="G2708">
        <v>20817.73</v>
      </c>
    </row>
    <row r="2709" spans="1:7" x14ac:dyDescent="0.35">
      <c r="A2709" s="1">
        <v>44148</v>
      </c>
      <c r="B2709">
        <v>3432.07</v>
      </c>
      <c r="C2709">
        <v>5380.16</v>
      </c>
      <c r="D2709">
        <v>13076.72</v>
      </c>
      <c r="E2709">
        <v>7043.8484099999996</v>
      </c>
      <c r="F2709">
        <v>7783.7</v>
      </c>
      <c r="G2709">
        <v>20903.580000000002</v>
      </c>
    </row>
    <row r="2710" spans="1:7" x14ac:dyDescent="0.35">
      <c r="A2710" s="1">
        <v>44151</v>
      </c>
      <c r="B2710">
        <v>3466.21</v>
      </c>
      <c r="C2710">
        <v>5471.48</v>
      </c>
      <c r="D2710">
        <v>13138.61</v>
      </c>
      <c r="E2710">
        <v>7156.0348000000004</v>
      </c>
      <c r="F2710">
        <v>7986.2</v>
      </c>
      <c r="G2710">
        <v>21317.01</v>
      </c>
    </row>
    <row r="2711" spans="1:7" x14ac:dyDescent="0.35">
      <c r="A2711" s="1">
        <v>44152</v>
      </c>
      <c r="B2711">
        <v>3468.48</v>
      </c>
      <c r="C2711">
        <v>5483</v>
      </c>
      <c r="D2711">
        <v>13133.47</v>
      </c>
      <c r="E2711">
        <v>7105.2600400000001</v>
      </c>
      <c r="F2711">
        <v>7934.3</v>
      </c>
      <c r="G2711">
        <v>21435.11</v>
      </c>
    </row>
    <row r="2712" spans="1:7" x14ac:dyDescent="0.35">
      <c r="A2712" s="1">
        <v>44153</v>
      </c>
      <c r="B2712">
        <v>3482.17</v>
      </c>
      <c r="C2712">
        <v>5511.45</v>
      </c>
      <c r="D2712">
        <v>13201.89</v>
      </c>
      <c r="E2712">
        <v>7148.5639700000002</v>
      </c>
      <c r="F2712">
        <v>7981.5</v>
      </c>
      <c r="G2712">
        <v>21622.66</v>
      </c>
    </row>
    <row r="2713" spans="1:7" x14ac:dyDescent="0.35">
      <c r="A2713" s="1">
        <v>44154</v>
      </c>
      <c r="B2713">
        <v>3451.97</v>
      </c>
      <c r="C2713">
        <v>5474.66</v>
      </c>
      <c r="D2713">
        <v>13086.16</v>
      </c>
      <c r="E2713">
        <v>7077.6174700000001</v>
      </c>
      <c r="F2713">
        <v>7930.2</v>
      </c>
      <c r="G2713">
        <v>21536.240000000002</v>
      </c>
    </row>
    <row r="2714" spans="1:7" x14ac:dyDescent="0.35">
      <c r="A2714" s="1">
        <v>44155</v>
      </c>
      <c r="B2714">
        <v>3467.6</v>
      </c>
      <c r="C2714">
        <v>5495.89</v>
      </c>
      <c r="D2714">
        <v>13137.25</v>
      </c>
      <c r="E2714">
        <v>7114.4384300000002</v>
      </c>
      <c r="F2714">
        <v>7977.9</v>
      </c>
      <c r="G2714">
        <v>21706.959999999999</v>
      </c>
    </row>
    <row r="2715" spans="1:7" x14ac:dyDescent="0.35">
      <c r="A2715" s="1">
        <v>44158</v>
      </c>
      <c r="B2715">
        <v>3463.04</v>
      </c>
      <c r="C2715">
        <v>5492.15</v>
      </c>
      <c r="D2715">
        <v>13126.97</v>
      </c>
      <c r="E2715">
        <v>7120.6889700000002</v>
      </c>
      <c r="F2715">
        <v>7981.2</v>
      </c>
      <c r="G2715">
        <v>21701.79</v>
      </c>
    </row>
    <row r="2716" spans="1:7" x14ac:dyDescent="0.35">
      <c r="A2716" s="1">
        <v>44159</v>
      </c>
      <c r="B2716">
        <v>3507.98</v>
      </c>
      <c r="C2716">
        <v>5558.42</v>
      </c>
      <c r="D2716">
        <v>13292.44</v>
      </c>
      <c r="E2716">
        <v>7228.5390600000001</v>
      </c>
      <c r="F2716">
        <v>8143.2</v>
      </c>
      <c r="G2716">
        <v>22145.06</v>
      </c>
    </row>
    <row r="2717" spans="1:7" x14ac:dyDescent="0.35">
      <c r="A2717" s="1">
        <v>44160</v>
      </c>
      <c r="B2717">
        <v>3511.9</v>
      </c>
      <c r="C2717">
        <v>5571.29</v>
      </c>
      <c r="D2717">
        <v>13289.8</v>
      </c>
      <c r="E2717">
        <v>7176.8357900000001</v>
      </c>
      <c r="F2717">
        <v>8164.7</v>
      </c>
      <c r="G2717">
        <v>22303.58</v>
      </c>
    </row>
    <row r="2718" spans="1:7" x14ac:dyDescent="0.35">
      <c r="A2718" s="1">
        <v>44161</v>
      </c>
      <c r="B2718">
        <v>3510.94</v>
      </c>
      <c r="C2718">
        <v>5566.79</v>
      </c>
      <c r="D2718">
        <v>13286.57</v>
      </c>
      <c r="E2718">
        <v>7132.5918899999997</v>
      </c>
      <c r="F2718">
        <v>8104.6</v>
      </c>
      <c r="G2718">
        <v>22201.439999999999</v>
      </c>
    </row>
    <row r="2719" spans="1:7" x14ac:dyDescent="0.35">
      <c r="A2719" s="1">
        <v>44162</v>
      </c>
      <c r="B2719">
        <v>3527.79</v>
      </c>
      <c r="C2719">
        <v>5598.18</v>
      </c>
      <c r="D2719">
        <v>13335.68</v>
      </c>
      <c r="E2719">
        <v>7091.8343100000002</v>
      </c>
      <c r="F2719">
        <v>8190.7</v>
      </c>
      <c r="G2719">
        <v>22352.46</v>
      </c>
    </row>
    <row r="2720" spans="1:7" x14ac:dyDescent="0.35">
      <c r="A2720" s="1">
        <v>44165</v>
      </c>
      <c r="B2720">
        <v>3492.54</v>
      </c>
      <c r="C2720">
        <v>5518.55</v>
      </c>
      <c r="D2720">
        <v>13291.16</v>
      </c>
      <c r="E2720">
        <v>6999.5344699999996</v>
      </c>
      <c r="F2720">
        <v>8076.9</v>
      </c>
      <c r="G2720">
        <v>22060.98</v>
      </c>
    </row>
    <row r="2721" spans="1:7" x14ac:dyDescent="0.35">
      <c r="A2721" s="1">
        <v>44166</v>
      </c>
      <c r="B2721">
        <v>3525.24</v>
      </c>
      <c r="C2721">
        <v>5581.64</v>
      </c>
      <c r="D2721">
        <v>13382.3</v>
      </c>
      <c r="E2721">
        <v>7113.0503799999997</v>
      </c>
      <c r="F2721">
        <v>8140.8</v>
      </c>
      <c r="G2721">
        <v>22099.919999999998</v>
      </c>
    </row>
    <row r="2722" spans="1:7" x14ac:dyDescent="0.35">
      <c r="A2722" s="1">
        <v>44167</v>
      </c>
      <c r="B2722">
        <v>3521.32</v>
      </c>
      <c r="C2722">
        <v>5583.01</v>
      </c>
      <c r="D2722">
        <v>13313.24</v>
      </c>
      <c r="E2722">
        <v>7136.29234</v>
      </c>
      <c r="F2722">
        <v>8220.7999999999993</v>
      </c>
      <c r="G2722">
        <v>21972.2</v>
      </c>
    </row>
    <row r="2723" spans="1:7" x14ac:dyDescent="0.35">
      <c r="A2723" s="1">
        <v>44168</v>
      </c>
      <c r="B2723">
        <v>3517.1</v>
      </c>
      <c r="C2723">
        <v>5574.36</v>
      </c>
      <c r="D2723">
        <v>13252.86</v>
      </c>
      <c r="E2723">
        <v>7206.3050599999997</v>
      </c>
      <c r="F2723">
        <v>8200.7000000000007</v>
      </c>
      <c r="G2723">
        <v>22007.4</v>
      </c>
    </row>
    <row r="2724" spans="1:7" x14ac:dyDescent="0.35">
      <c r="A2724" s="1">
        <v>44169</v>
      </c>
      <c r="B2724">
        <v>3539.27</v>
      </c>
      <c r="C2724">
        <v>5609.15</v>
      </c>
      <c r="D2724">
        <v>13298.96</v>
      </c>
      <c r="E2724">
        <v>7267.0659400000004</v>
      </c>
      <c r="F2724">
        <v>8322.9</v>
      </c>
      <c r="G2724">
        <v>22178.799999999999</v>
      </c>
    </row>
    <row r="2725" spans="1:7" x14ac:dyDescent="0.35">
      <c r="A2725" s="1">
        <v>44172</v>
      </c>
      <c r="B2725">
        <v>3530.08</v>
      </c>
      <c r="C2725">
        <v>5573.38</v>
      </c>
      <c r="D2725">
        <v>13271</v>
      </c>
      <c r="E2725">
        <v>7220.4922100000003</v>
      </c>
      <c r="F2725">
        <v>8275.6</v>
      </c>
      <c r="G2725">
        <v>22107.18</v>
      </c>
    </row>
    <row r="2726" spans="1:7" x14ac:dyDescent="0.35">
      <c r="A2726" s="1">
        <v>44173</v>
      </c>
      <c r="B2726">
        <v>3525.87</v>
      </c>
      <c r="C2726">
        <v>5560.67</v>
      </c>
      <c r="D2726">
        <v>13278.49</v>
      </c>
      <c r="E2726">
        <v>7233.9209899999996</v>
      </c>
      <c r="F2726">
        <v>8227.6</v>
      </c>
      <c r="G2726">
        <v>22053.42</v>
      </c>
    </row>
    <row r="2727" spans="1:7" x14ac:dyDescent="0.35">
      <c r="A2727" s="1">
        <v>44174</v>
      </c>
      <c r="B2727">
        <v>3529.02</v>
      </c>
      <c r="C2727">
        <v>5546.82</v>
      </c>
      <c r="D2727">
        <v>13340.26</v>
      </c>
      <c r="E2727">
        <v>7270.6363099999999</v>
      </c>
      <c r="F2727">
        <v>8235.2999999999993</v>
      </c>
      <c r="G2727">
        <v>21969.59</v>
      </c>
    </row>
    <row r="2728" spans="1:7" x14ac:dyDescent="0.35">
      <c r="A2728" s="1">
        <v>44175</v>
      </c>
      <c r="B2728">
        <v>3522.31</v>
      </c>
      <c r="C2728">
        <v>5549.65</v>
      </c>
      <c r="D2728">
        <v>13295.73</v>
      </c>
      <c r="E2728">
        <v>7247.7562399999997</v>
      </c>
      <c r="F2728">
        <v>8182.3</v>
      </c>
      <c r="G2728">
        <v>21915.51</v>
      </c>
    </row>
    <row r="2729" spans="1:7" x14ac:dyDescent="0.35">
      <c r="A2729" s="1">
        <v>44176</v>
      </c>
      <c r="B2729">
        <v>3485.84</v>
      </c>
      <c r="C2729">
        <v>5507.55</v>
      </c>
      <c r="D2729">
        <v>13114.3</v>
      </c>
      <c r="E2729">
        <v>7145.9367400000001</v>
      </c>
      <c r="F2729">
        <v>8063.1</v>
      </c>
      <c r="G2729">
        <v>21702.16</v>
      </c>
    </row>
    <row r="2730" spans="1:7" x14ac:dyDescent="0.35">
      <c r="A2730" s="1">
        <v>44179</v>
      </c>
      <c r="B2730">
        <v>3503.96</v>
      </c>
      <c r="C2730">
        <v>5527.84</v>
      </c>
      <c r="D2730">
        <v>13223.16</v>
      </c>
      <c r="E2730">
        <v>7164.16788</v>
      </c>
      <c r="F2730">
        <v>8140.8</v>
      </c>
      <c r="G2730">
        <v>21759.73</v>
      </c>
    </row>
    <row r="2731" spans="1:7" x14ac:dyDescent="0.35">
      <c r="A2731" s="1">
        <v>44180</v>
      </c>
      <c r="B2731">
        <v>3521.5</v>
      </c>
      <c r="C2731">
        <v>5530.31</v>
      </c>
      <c r="D2731">
        <v>13362.87</v>
      </c>
      <c r="E2731">
        <v>7192.9847499999996</v>
      </c>
      <c r="F2731">
        <v>8152.4</v>
      </c>
      <c r="G2731">
        <v>21935.05</v>
      </c>
    </row>
    <row r="2732" spans="1:7" x14ac:dyDescent="0.35">
      <c r="A2732" s="1">
        <v>44181</v>
      </c>
      <c r="B2732">
        <v>3543</v>
      </c>
      <c r="C2732">
        <v>5547.68</v>
      </c>
      <c r="D2732">
        <v>13565.98</v>
      </c>
      <c r="E2732">
        <v>7273.95255</v>
      </c>
      <c r="F2732">
        <v>8139.5</v>
      </c>
      <c r="G2732">
        <v>21986.52</v>
      </c>
    </row>
    <row r="2733" spans="1:7" x14ac:dyDescent="0.35">
      <c r="A2733" s="1">
        <v>44182</v>
      </c>
      <c r="B2733">
        <v>3560.87</v>
      </c>
      <c r="C2733">
        <v>5549.46</v>
      </c>
      <c r="D2733">
        <v>13667.25</v>
      </c>
      <c r="E2733">
        <v>7271.35599</v>
      </c>
      <c r="F2733">
        <v>8153.4</v>
      </c>
      <c r="G2733">
        <v>22012.07</v>
      </c>
    </row>
    <row r="2734" spans="1:7" x14ac:dyDescent="0.35">
      <c r="A2734" s="1">
        <v>44183</v>
      </c>
      <c r="B2734">
        <v>3545.74</v>
      </c>
      <c r="C2734">
        <v>5527.84</v>
      </c>
      <c r="D2734">
        <v>13630.51</v>
      </c>
      <c r="E2734">
        <v>7206.8018499999998</v>
      </c>
      <c r="F2734">
        <v>8037.4</v>
      </c>
      <c r="G2734">
        <v>21976.12</v>
      </c>
    </row>
    <row r="2735" spans="1:7" x14ac:dyDescent="0.35">
      <c r="A2735" s="1">
        <v>44186</v>
      </c>
      <c r="B2735">
        <v>3448.68</v>
      </c>
      <c r="C2735">
        <v>5393.34</v>
      </c>
      <c r="D2735">
        <v>13246.3</v>
      </c>
      <c r="E2735">
        <v>7004.15056</v>
      </c>
      <c r="F2735">
        <v>7789.8</v>
      </c>
      <c r="G2735">
        <v>21410.51</v>
      </c>
    </row>
    <row r="2736" spans="1:7" x14ac:dyDescent="0.35">
      <c r="A2736" s="1">
        <v>44187</v>
      </c>
      <c r="B2736">
        <v>3497.49</v>
      </c>
      <c r="C2736">
        <v>5466.86</v>
      </c>
      <c r="D2736">
        <v>13418.11</v>
      </c>
      <c r="E2736">
        <v>7079.6598000000004</v>
      </c>
      <c r="F2736">
        <v>7934.2</v>
      </c>
      <c r="G2736">
        <v>21844.33</v>
      </c>
    </row>
    <row r="2737" spans="1:7" x14ac:dyDescent="0.35">
      <c r="A2737" s="1">
        <v>44188</v>
      </c>
      <c r="B2737">
        <v>3539.26</v>
      </c>
      <c r="C2737">
        <v>5527.59</v>
      </c>
      <c r="D2737">
        <v>13587.23</v>
      </c>
      <c r="E2737">
        <v>7186.5263999999997</v>
      </c>
      <c r="F2737">
        <v>8073.6</v>
      </c>
      <c r="G2737">
        <v>22130.18</v>
      </c>
    </row>
    <row r="2738" spans="1:7" x14ac:dyDescent="0.35">
      <c r="A2738" s="1">
        <v>44194</v>
      </c>
      <c r="B2738">
        <v>3581.37</v>
      </c>
      <c r="C2738">
        <v>5611.79</v>
      </c>
      <c r="D2738">
        <v>13761.38</v>
      </c>
      <c r="E2738">
        <v>7275.7513900000004</v>
      </c>
      <c r="F2738">
        <v>8174.8</v>
      </c>
      <c r="G2738">
        <v>22259.35</v>
      </c>
    </row>
    <row r="2739" spans="1:7" x14ac:dyDescent="0.35">
      <c r="A2739" s="1">
        <v>44195</v>
      </c>
      <c r="B2739">
        <v>3571.59</v>
      </c>
      <c r="C2739">
        <v>5599.41</v>
      </c>
      <c r="D2739">
        <v>13718.78</v>
      </c>
      <c r="E2739">
        <v>7254.6664600000004</v>
      </c>
      <c r="F2739">
        <v>8154.4</v>
      </c>
      <c r="G2739">
        <v>22232.9</v>
      </c>
    </row>
    <row r="2740" spans="1:7" x14ac:dyDescent="0.35">
      <c r="A2740" s="1">
        <v>44200</v>
      </c>
      <c r="B2740">
        <v>3564.39</v>
      </c>
      <c r="C2740">
        <v>5588.96</v>
      </c>
      <c r="D2740">
        <v>13726.74</v>
      </c>
      <c r="E2740">
        <v>7276.1057799999999</v>
      </c>
      <c r="F2740">
        <v>8099.2</v>
      </c>
      <c r="G2740">
        <v>22315.87</v>
      </c>
    </row>
    <row r="2741" spans="1:7" x14ac:dyDescent="0.35">
      <c r="A2741" s="1">
        <v>44201</v>
      </c>
      <c r="B2741">
        <v>3547.85</v>
      </c>
      <c r="C2741">
        <v>5564.6</v>
      </c>
      <c r="D2741">
        <v>13651.22</v>
      </c>
      <c r="E2741">
        <v>7328.8458700000001</v>
      </c>
      <c r="F2741">
        <v>8091.5</v>
      </c>
      <c r="G2741">
        <v>22200.6</v>
      </c>
    </row>
    <row r="2742" spans="1:7" x14ac:dyDescent="0.35">
      <c r="A2742" s="1">
        <v>44202</v>
      </c>
      <c r="B2742">
        <v>3611.08</v>
      </c>
      <c r="C2742">
        <v>5630.6</v>
      </c>
      <c r="D2742">
        <v>13891.97</v>
      </c>
      <c r="E2742">
        <v>7568.37997</v>
      </c>
      <c r="F2742">
        <v>8350.2999999999993</v>
      </c>
      <c r="G2742">
        <v>22734.32</v>
      </c>
    </row>
    <row r="2743" spans="1:7" x14ac:dyDescent="0.35">
      <c r="A2743" s="1">
        <v>44203</v>
      </c>
      <c r="B2743">
        <v>3622.42</v>
      </c>
      <c r="C2743">
        <v>5669.85</v>
      </c>
      <c r="D2743">
        <v>13968.24</v>
      </c>
      <c r="E2743">
        <v>7573.6257999999998</v>
      </c>
      <c r="F2743">
        <v>8385.7999999999993</v>
      </c>
      <c r="G2743">
        <v>22746.080000000002</v>
      </c>
    </row>
    <row r="2744" spans="1:7" x14ac:dyDescent="0.35">
      <c r="A2744" s="1">
        <v>44204</v>
      </c>
      <c r="B2744">
        <v>3645.05</v>
      </c>
      <c r="C2744">
        <v>5706.88</v>
      </c>
      <c r="D2744">
        <v>14049.53</v>
      </c>
      <c r="E2744">
        <v>7632.5840900000003</v>
      </c>
      <c r="F2744">
        <v>8407.7000000000007</v>
      </c>
      <c r="G2744">
        <v>22793.94</v>
      </c>
    </row>
    <row r="2745" spans="1:7" x14ac:dyDescent="0.35">
      <c r="A2745" s="1">
        <v>44207</v>
      </c>
      <c r="B2745">
        <v>3620.62</v>
      </c>
      <c r="C2745">
        <v>5662.43</v>
      </c>
      <c r="D2745">
        <v>13936.66</v>
      </c>
      <c r="E2745">
        <v>7557.8401000000003</v>
      </c>
      <c r="F2745">
        <v>8357.5</v>
      </c>
      <c r="G2745">
        <v>22722.01</v>
      </c>
    </row>
    <row r="2746" spans="1:7" x14ac:dyDescent="0.35">
      <c r="A2746" s="1">
        <v>44208</v>
      </c>
      <c r="B2746">
        <v>3612.13</v>
      </c>
      <c r="C2746">
        <v>5650.97</v>
      </c>
      <c r="D2746">
        <v>13925.06</v>
      </c>
      <c r="E2746">
        <v>7557.9461700000002</v>
      </c>
      <c r="F2746">
        <v>8345.9</v>
      </c>
      <c r="G2746">
        <v>22646.07</v>
      </c>
    </row>
    <row r="2747" spans="1:7" x14ac:dyDescent="0.35">
      <c r="A2747" s="1">
        <v>44209</v>
      </c>
      <c r="B2747">
        <v>3616.51</v>
      </c>
      <c r="C2747">
        <v>5662.67</v>
      </c>
      <c r="D2747">
        <v>13939.71</v>
      </c>
      <c r="E2747">
        <v>7563.4108299999998</v>
      </c>
      <c r="F2747">
        <v>8361.1</v>
      </c>
      <c r="G2747">
        <v>22743.65</v>
      </c>
    </row>
    <row r="2748" spans="1:7" x14ac:dyDescent="0.35">
      <c r="A2748" s="1">
        <v>44210</v>
      </c>
      <c r="B2748">
        <v>3641.37</v>
      </c>
      <c r="C2748">
        <v>5681.14</v>
      </c>
      <c r="D2748">
        <v>13988.7</v>
      </c>
      <c r="E2748">
        <v>7653.4629699999996</v>
      </c>
      <c r="F2748">
        <v>8372.4</v>
      </c>
      <c r="G2748">
        <v>22637.72</v>
      </c>
    </row>
    <row r="2749" spans="1:7" x14ac:dyDescent="0.35">
      <c r="A2749" s="1">
        <v>44211</v>
      </c>
      <c r="B2749">
        <v>3599.55</v>
      </c>
      <c r="C2749">
        <v>5611.69</v>
      </c>
      <c r="D2749">
        <v>13787.73</v>
      </c>
      <c r="E2749">
        <v>7577.8129900000004</v>
      </c>
      <c r="F2749">
        <v>8230.7000000000007</v>
      </c>
      <c r="G2749">
        <v>22381.35</v>
      </c>
    </row>
    <row r="2750" spans="1:7" x14ac:dyDescent="0.35">
      <c r="A2750" s="1">
        <v>44214</v>
      </c>
      <c r="B2750">
        <v>3602.67</v>
      </c>
      <c r="C2750">
        <v>5617.27</v>
      </c>
      <c r="D2750">
        <v>13848.35</v>
      </c>
      <c r="E2750">
        <v>7558.8528100000003</v>
      </c>
      <c r="F2750">
        <v>8254.5</v>
      </c>
      <c r="G2750">
        <v>22498.89</v>
      </c>
    </row>
    <row r="2751" spans="1:7" x14ac:dyDescent="0.35">
      <c r="A2751" s="1">
        <v>44215</v>
      </c>
      <c r="B2751">
        <v>3595.42</v>
      </c>
      <c r="C2751">
        <v>5598.61</v>
      </c>
      <c r="D2751">
        <v>13815.06</v>
      </c>
      <c r="E2751">
        <v>7545.9074099999998</v>
      </c>
      <c r="F2751">
        <v>8199</v>
      </c>
      <c r="G2751">
        <v>22441.72</v>
      </c>
    </row>
    <row r="2752" spans="1:7" x14ac:dyDescent="0.35">
      <c r="A2752" s="1">
        <v>44216</v>
      </c>
      <c r="B2752">
        <v>3624.04</v>
      </c>
      <c r="C2752">
        <v>5628.44</v>
      </c>
      <c r="D2752">
        <v>13921.37</v>
      </c>
      <c r="E2752">
        <v>7594.9781400000002</v>
      </c>
      <c r="F2752">
        <v>8204.1</v>
      </c>
      <c r="G2752">
        <v>22650.78</v>
      </c>
    </row>
    <row r="2753" spans="1:7" x14ac:dyDescent="0.35">
      <c r="A2753" s="1">
        <v>44217</v>
      </c>
      <c r="B2753">
        <v>3618.35</v>
      </c>
      <c r="C2753">
        <v>5590.79</v>
      </c>
      <c r="D2753">
        <v>13906.67</v>
      </c>
      <c r="E2753">
        <v>7578.2704899999999</v>
      </c>
      <c r="F2753">
        <v>8122.1</v>
      </c>
      <c r="G2753">
        <v>22428.93</v>
      </c>
    </row>
    <row r="2754" spans="1:7" x14ac:dyDescent="0.35">
      <c r="A2754" s="1">
        <v>44218</v>
      </c>
      <c r="B2754">
        <v>3602.41</v>
      </c>
      <c r="C2754">
        <v>5559.57</v>
      </c>
      <c r="D2754">
        <v>13873.97</v>
      </c>
      <c r="E2754">
        <v>7527.0701499999996</v>
      </c>
      <c r="F2754">
        <v>8036.4</v>
      </c>
      <c r="G2754">
        <v>22088.36</v>
      </c>
    </row>
    <row r="2755" spans="1:7" x14ac:dyDescent="0.35">
      <c r="A2755" s="1">
        <v>44221</v>
      </c>
      <c r="B2755">
        <v>3553.14</v>
      </c>
      <c r="C2755">
        <v>5472.36</v>
      </c>
      <c r="D2755">
        <v>13643.95</v>
      </c>
      <c r="E2755">
        <v>7472.4643500000002</v>
      </c>
      <c r="F2755">
        <v>7897.3</v>
      </c>
      <c r="G2755">
        <v>21735.95</v>
      </c>
    </row>
    <row r="2756" spans="1:7" x14ac:dyDescent="0.35">
      <c r="A2756" s="1">
        <v>44222</v>
      </c>
      <c r="B2756">
        <v>3592.83</v>
      </c>
      <c r="C2756">
        <v>5523.52</v>
      </c>
      <c r="D2756">
        <v>13870.99</v>
      </c>
      <c r="E2756">
        <v>7516.0701900000004</v>
      </c>
      <c r="F2756">
        <v>7964.9</v>
      </c>
      <c r="G2756">
        <v>21987</v>
      </c>
    </row>
    <row r="2757" spans="1:7" x14ac:dyDescent="0.35">
      <c r="A2757" s="1">
        <v>44223</v>
      </c>
      <c r="B2757">
        <v>3536.38</v>
      </c>
      <c r="C2757">
        <v>5459.62</v>
      </c>
      <c r="D2757">
        <v>13620.46</v>
      </c>
      <c r="E2757">
        <v>7431.78287</v>
      </c>
      <c r="F2757">
        <v>7852.7</v>
      </c>
      <c r="G2757">
        <v>21662.73</v>
      </c>
    </row>
    <row r="2758" spans="1:7" x14ac:dyDescent="0.35">
      <c r="A2758" s="1">
        <v>44224</v>
      </c>
      <c r="B2758">
        <v>3557.04</v>
      </c>
      <c r="C2758">
        <v>5510.52</v>
      </c>
      <c r="D2758">
        <v>13665.93</v>
      </c>
      <c r="E2758">
        <v>7387.8709200000003</v>
      </c>
      <c r="F2758">
        <v>7932.5</v>
      </c>
      <c r="G2758">
        <v>21916.5</v>
      </c>
    </row>
    <row r="2759" spans="1:7" x14ac:dyDescent="0.35">
      <c r="A2759" s="1">
        <v>44225</v>
      </c>
      <c r="B2759">
        <v>3481.44</v>
      </c>
      <c r="C2759">
        <v>5399.21</v>
      </c>
      <c r="D2759">
        <v>13432.87</v>
      </c>
      <c r="E2759">
        <v>7238.7608600000003</v>
      </c>
      <c r="F2759">
        <v>7757.5</v>
      </c>
      <c r="G2759">
        <v>21572.53</v>
      </c>
    </row>
    <row r="2760" spans="1:7" x14ac:dyDescent="0.35">
      <c r="A2760" s="1">
        <v>44228</v>
      </c>
      <c r="B2760">
        <v>3530.85</v>
      </c>
      <c r="C2760">
        <v>5461.68</v>
      </c>
      <c r="D2760">
        <v>13622.02</v>
      </c>
      <c r="E2760">
        <v>7326.8235199999999</v>
      </c>
      <c r="F2760">
        <v>7798.2</v>
      </c>
      <c r="G2760">
        <v>21825.51</v>
      </c>
    </row>
    <row r="2761" spans="1:7" x14ac:dyDescent="0.35">
      <c r="A2761" s="1">
        <v>44229</v>
      </c>
      <c r="B2761">
        <v>3590.46</v>
      </c>
      <c r="C2761">
        <v>5563.11</v>
      </c>
      <c r="D2761">
        <v>13835.16</v>
      </c>
      <c r="E2761">
        <v>7399.34458</v>
      </c>
      <c r="F2761">
        <v>7950.9</v>
      </c>
      <c r="G2761">
        <v>22066.87</v>
      </c>
    </row>
    <row r="2762" spans="1:7" x14ac:dyDescent="0.35">
      <c r="A2762" s="1">
        <v>44230</v>
      </c>
      <c r="B2762">
        <v>3609.75</v>
      </c>
      <c r="C2762">
        <v>5563.05</v>
      </c>
      <c r="D2762">
        <v>13933.63</v>
      </c>
      <c r="E2762">
        <v>7390.3554999999997</v>
      </c>
      <c r="F2762">
        <v>8012.8</v>
      </c>
      <c r="G2762">
        <v>22527.9</v>
      </c>
    </row>
    <row r="2763" spans="1:7" x14ac:dyDescent="0.35">
      <c r="A2763" s="1">
        <v>44231</v>
      </c>
      <c r="B2763">
        <v>3642.12</v>
      </c>
      <c r="C2763">
        <v>5608.54</v>
      </c>
      <c r="D2763">
        <v>14060.29</v>
      </c>
      <c r="E2763">
        <v>7427.5407699999996</v>
      </c>
      <c r="F2763">
        <v>8122.6</v>
      </c>
      <c r="G2763">
        <v>22900.55</v>
      </c>
    </row>
    <row r="2764" spans="1:7" x14ac:dyDescent="0.35">
      <c r="A2764" s="1">
        <v>44232</v>
      </c>
      <c r="B2764">
        <v>3655.77</v>
      </c>
      <c r="C2764">
        <v>5659.26</v>
      </c>
      <c r="D2764">
        <v>14056.72</v>
      </c>
      <c r="E2764">
        <v>7403.0544</v>
      </c>
      <c r="F2764">
        <v>8214.7000000000007</v>
      </c>
      <c r="G2764">
        <v>23083.42</v>
      </c>
    </row>
    <row r="2765" spans="1:7" x14ac:dyDescent="0.35">
      <c r="A2765" s="1">
        <v>44235</v>
      </c>
      <c r="B2765">
        <v>3665.51</v>
      </c>
      <c r="C2765">
        <v>5686.03</v>
      </c>
      <c r="D2765">
        <v>14059.91</v>
      </c>
      <c r="E2765">
        <v>7441.3836899999997</v>
      </c>
      <c r="F2765">
        <v>8219</v>
      </c>
      <c r="G2765">
        <v>23425.919999999998</v>
      </c>
    </row>
    <row r="2766" spans="1:7" x14ac:dyDescent="0.35">
      <c r="A2766" s="1">
        <v>44236</v>
      </c>
      <c r="B2766">
        <v>3661.13</v>
      </c>
      <c r="C2766">
        <v>5691.54</v>
      </c>
      <c r="D2766">
        <v>14011.8</v>
      </c>
      <c r="E2766">
        <v>7445.0611200000003</v>
      </c>
      <c r="F2766">
        <v>8101</v>
      </c>
      <c r="G2766">
        <v>23300.49</v>
      </c>
    </row>
    <row r="2767" spans="1:7" x14ac:dyDescent="0.35">
      <c r="A2767" s="1">
        <v>44237</v>
      </c>
      <c r="B2767">
        <v>3648.37</v>
      </c>
      <c r="C2767">
        <v>5670.8</v>
      </c>
      <c r="D2767">
        <v>13932.97</v>
      </c>
      <c r="E2767">
        <v>7445.6611199999998</v>
      </c>
      <c r="F2767">
        <v>8065.4</v>
      </c>
      <c r="G2767">
        <v>23264.68</v>
      </c>
    </row>
    <row r="2768" spans="1:7" x14ac:dyDescent="0.35">
      <c r="A2768" s="1">
        <v>44238</v>
      </c>
      <c r="B2768">
        <v>3671.68</v>
      </c>
      <c r="C2768">
        <v>5669.82</v>
      </c>
      <c r="D2768">
        <v>14040.91</v>
      </c>
      <c r="E2768">
        <v>7435.3221700000004</v>
      </c>
      <c r="F2768">
        <v>8037.6</v>
      </c>
      <c r="G2768">
        <v>23307.24</v>
      </c>
    </row>
    <row r="2769" spans="1:7" x14ac:dyDescent="0.35">
      <c r="A2769" s="1">
        <v>44239</v>
      </c>
      <c r="B2769">
        <v>3695.61</v>
      </c>
      <c r="C2769">
        <v>5703.67</v>
      </c>
      <c r="D2769">
        <v>14049.89</v>
      </c>
      <c r="E2769">
        <v>7533.4405399999996</v>
      </c>
      <c r="F2769">
        <v>8055</v>
      </c>
      <c r="G2769">
        <v>23410.6</v>
      </c>
    </row>
    <row r="2770" spans="1:7" x14ac:dyDescent="0.35">
      <c r="A2770" s="1">
        <v>44242</v>
      </c>
      <c r="B2770">
        <v>3734.2</v>
      </c>
      <c r="C2770">
        <v>5786.25</v>
      </c>
      <c r="D2770">
        <v>14109.48</v>
      </c>
      <c r="E2770">
        <v>7748.0011800000002</v>
      </c>
      <c r="F2770">
        <v>8203.5</v>
      </c>
      <c r="G2770">
        <v>23604.31</v>
      </c>
    </row>
    <row r="2771" spans="1:7" x14ac:dyDescent="0.35">
      <c r="A2771" s="1">
        <v>44243</v>
      </c>
      <c r="B2771">
        <v>3726.4</v>
      </c>
      <c r="C2771">
        <v>5786.53</v>
      </c>
      <c r="D2771">
        <v>14064.6</v>
      </c>
      <c r="E2771">
        <v>7754.3058199999996</v>
      </c>
      <c r="F2771">
        <v>8153.7</v>
      </c>
      <c r="G2771">
        <v>23440.81</v>
      </c>
    </row>
    <row r="2772" spans="1:7" x14ac:dyDescent="0.35">
      <c r="A2772" s="1">
        <v>44244</v>
      </c>
      <c r="B2772">
        <v>3699.85</v>
      </c>
      <c r="C2772">
        <v>5765.84</v>
      </c>
      <c r="D2772">
        <v>13909.27</v>
      </c>
      <c r="E2772">
        <v>7719.9029</v>
      </c>
      <c r="F2772">
        <v>8122.7</v>
      </c>
      <c r="G2772">
        <v>23178.560000000001</v>
      </c>
    </row>
    <row r="2773" spans="1:7" x14ac:dyDescent="0.35">
      <c r="A2773" s="1">
        <v>44245</v>
      </c>
      <c r="B2773">
        <v>3681.04</v>
      </c>
      <c r="C2773">
        <v>5728.33</v>
      </c>
      <c r="D2773">
        <v>13886.93</v>
      </c>
      <c r="E2773">
        <v>7647.8962600000004</v>
      </c>
      <c r="F2773">
        <v>8058.1</v>
      </c>
      <c r="G2773">
        <v>22921.83</v>
      </c>
    </row>
    <row r="2774" spans="1:7" x14ac:dyDescent="0.35">
      <c r="A2774" s="1">
        <v>44246</v>
      </c>
      <c r="B2774">
        <v>3713.46</v>
      </c>
      <c r="C2774">
        <v>5773.55</v>
      </c>
      <c r="D2774">
        <v>13993.23</v>
      </c>
      <c r="E2774">
        <v>7659.6546900000003</v>
      </c>
      <c r="F2774">
        <v>8151.6</v>
      </c>
      <c r="G2774">
        <v>23136.31</v>
      </c>
    </row>
    <row r="2775" spans="1:7" x14ac:dyDescent="0.35">
      <c r="A2775" s="1">
        <v>44249</v>
      </c>
      <c r="B2775">
        <v>3699.85</v>
      </c>
      <c r="C2775">
        <v>5767.44</v>
      </c>
      <c r="D2775">
        <v>13950.04</v>
      </c>
      <c r="E2775">
        <v>7654.2181399999999</v>
      </c>
      <c r="F2775">
        <v>8112.2</v>
      </c>
      <c r="G2775">
        <v>23009.18</v>
      </c>
    </row>
    <row r="2776" spans="1:7" x14ac:dyDescent="0.35">
      <c r="A2776" s="1">
        <v>44250</v>
      </c>
      <c r="B2776">
        <v>3689.1</v>
      </c>
      <c r="C2776">
        <v>5779.84</v>
      </c>
      <c r="D2776">
        <v>13864.81</v>
      </c>
      <c r="E2776">
        <v>7687.5305799999996</v>
      </c>
      <c r="F2776">
        <v>8252.1</v>
      </c>
      <c r="G2776">
        <v>22939.38</v>
      </c>
    </row>
    <row r="2777" spans="1:7" x14ac:dyDescent="0.35">
      <c r="A2777" s="1">
        <v>44251</v>
      </c>
      <c r="B2777">
        <v>3705.99</v>
      </c>
      <c r="C2777">
        <v>5797.98</v>
      </c>
      <c r="D2777">
        <v>13976</v>
      </c>
      <c r="E2777">
        <v>7733.3335500000003</v>
      </c>
      <c r="F2777">
        <v>8269.6</v>
      </c>
      <c r="G2777">
        <v>23098.15</v>
      </c>
    </row>
    <row r="2778" spans="1:7" x14ac:dyDescent="0.35">
      <c r="A2778" s="1">
        <v>44252</v>
      </c>
      <c r="B2778">
        <v>3685.28</v>
      </c>
      <c r="C2778">
        <v>5783.89</v>
      </c>
      <c r="D2778">
        <v>13879.33</v>
      </c>
      <c r="E2778">
        <v>7660.6744799999997</v>
      </c>
      <c r="F2778">
        <v>8317.7999999999993</v>
      </c>
      <c r="G2778">
        <v>23063.55</v>
      </c>
    </row>
    <row r="2779" spans="1:7" x14ac:dyDescent="0.35">
      <c r="A2779" s="1">
        <v>44253</v>
      </c>
      <c r="B2779">
        <v>3636.44</v>
      </c>
      <c r="C2779">
        <v>5703.22</v>
      </c>
      <c r="D2779">
        <v>13786.29</v>
      </c>
      <c r="E2779">
        <v>7484.3900100000001</v>
      </c>
      <c r="F2779">
        <v>8225</v>
      </c>
      <c r="G2779">
        <v>22848.58</v>
      </c>
    </row>
    <row r="2780" spans="1:7" x14ac:dyDescent="0.35">
      <c r="A2780" s="1">
        <v>44256</v>
      </c>
      <c r="B2780">
        <v>3706.62</v>
      </c>
      <c r="C2780">
        <v>5792.79</v>
      </c>
      <c r="D2780">
        <v>14012.82</v>
      </c>
      <c r="E2780">
        <v>7616.1239999999998</v>
      </c>
      <c r="F2780">
        <v>8378.1</v>
      </c>
      <c r="G2780">
        <v>23264.86</v>
      </c>
    </row>
    <row r="2781" spans="1:7" x14ac:dyDescent="0.35">
      <c r="A2781" s="1">
        <v>44257</v>
      </c>
      <c r="B2781">
        <v>3707.72</v>
      </c>
      <c r="C2781">
        <v>5809.73</v>
      </c>
      <c r="D2781">
        <v>14039.8</v>
      </c>
      <c r="E2781">
        <v>7647.4221900000002</v>
      </c>
      <c r="F2781">
        <v>8355.7999999999993</v>
      </c>
      <c r="G2781">
        <v>23083.55</v>
      </c>
    </row>
    <row r="2782" spans="1:7" x14ac:dyDescent="0.35">
      <c r="A2782" s="1">
        <v>44258</v>
      </c>
      <c r="B2782">
        <v>3712.78</v>
      </c>
      <c r="C2782">
        <v>5830.06</v>
      </c>
      <c r="D2782">
        <v>14080.03</v>
      </c>
      <c r="E2782">
        <v>7726.8427000000001</v>
      </c>
      <c r="F2782">
        <v>8329.2999999999993</v>
      </c>
      <c r="G2782">
        <v>23046.77</v>
      </c>
    </row>
    <row r="2783" spans="1:7" x14ac:dyDescent="0.35">
      <c r="A2783" s="1">
        <v>44259</v>
      </c>
      <c r="B2783">
        <v>3704.85</v>
      </c>
      <c r="C2783">
        <v>5830.65</v>
      </c>
      <c r="D2783">
        <v>14056.34</v>
      </c>
      <c r="E2783">
        <v>7721.0983100000003</v>
      </c>
      <c r="F2783">
        <v>8354</v>
      </c>
      <c r="G2783">
        <v>23093.1</v>
      </c>
    </row>
    <row r="2784" spans="1:7" x14ac:dyDescent="0.35">
      <c r="A2784" s="1">
        <v>44260</v>
      </c>
      <c r="B2784">
        <v>3669.54</v>
      </c>
      <c r="C2784">
        <v>5782.65</v>
      </c>
      <c r="D2784">
        <v>13920.69</v>
      </c>
      <c r="E2784">
        <v>7695.34411</v>
      </c>
      <c r="F2784">
        <v>8286.7999999999993</v>
      </c>
      <c r="G2784">
        <v>22965.63</v>
      </c>
    </row>
    <row r="2785" spans="1:7" x14ac:dyDescent="0.35">
      <c r="A2785" s="1">
        <v>44263</v>
      </c>
      <c r="B2785">
        <v>3763.24</v>
      </c>
      <c r="C2785">
        <v>5902.99</v>
      </c>
      <c r="D2785">
        <v>14380.91</v>
      </c>
      <c r="E2785">
        <v>7842.2906400000002</v>
      </c>
      <c r="F2785">
        <v>8444.2000000000007</v>
      </c>
      <c r="G2785">
        <v>23681.57</v>
      </c>
    </row>
    <row r="2786" spans="1:7" x14ac:dyDescent="0.35">
      <c r="A2786" s="1">
        <v>44264</v>
      </c>
      <c r="B2786">
        <v>3786.05</v>
      </c>
      <c r="C2786">
        <v>5924.97</v>
      </c>
      <c r="D2786">
        <v>14437.94</v>
      </c>
      <c r="E2786">
        <v>7865.0868799999998</v>
      </c>
      <c r="F2786">
        <v>8496.4</v>
      </c>
      <c r="G2786">
        <v>23816.5</v>
      </c>
    </row>
    <row r="2787" spans="1:7" x14ac:dyDescent="0.35">
      <c r="A2787" s="1">
        <v>44265</v>
      </c>
      <c r="B2787">
        <v>3819.92</v>
      </c>
      <c r="C2787">
        <v>5990.55</v>
      </c>
      <c r="D2787">
        <v>14540.25</v>
      </c>
      <c r="E2787">
        <v>7853.4991600000003</v>
      </c>
      <c r="F2787">
        <v>8525.2000000000007</v>
      </c>
      <c r="G2787">
        <v>23925.96</v>
      </c>
    </row>
    <row r="2788" spans="1:7" x14ac:dyDescent="0.35">
      <c r="A2788" s="1">
        <v>44266</v>
      </c>
      <c r="B2788">
        <v>3845.64</v>
      </c>
      <c r="C2788">
        <v>6033.76</v>
      </c>
      <c r="D2788">
        <v>14569.39</v>
      </c>
      <c r="E2788">
        <v>7861.2872699999998</v>
      </c>
      <c r="F2788">
        <v>8593</v>
      </c>
      <c r="G2788">
        <v>24121.37</v>
      </c>
    </row>
    <row r="2789" spans="1:7" x14ac:dyDescent="0.35">
      <c r="A2789" s="1">
        <v>44267</v>
      </c>
      <c r="B2789">
        <v>3833.36</v>
      </c>
      <c r="C2789">
        <v>6046.55</v>
      </c>
      <c r="D2789">
        <v>14502.39</v>
      </c>
      <c r="E2789">
        <v>7878.5725899999998</v>
      </c>
      <c r="F2789">
        <v>8644.5</v>
      </c>
      <c r="G2789">
        <v>24113.22</v>
      </c>
    </row>
    <row r="2790" spans="1:7" x14ac:dyDescent="0.35">
      <c r="A2790" s="1">
        <v>44270</v>
      </c>
      <c r="B2790">
        <v>3829.84</v>
      </c>
      <c r="C2790">
        <v>6035.97</v>
      </c>
      <c r="D2790">
        <v>14461.42</v>
      </c>
      <c r="E2790">
        <v>7861.6349799999998</v>
      </c>
      <c r="F2790">
        <v>8635.4</v>
      </c>
      <c r="G2790">
        <v>24139.45</v>
      </c>
    </row>
    <row r="2791" spans="1:7" x14ac:dyDescent="0.35">
      <c r="A2791" s="1">
        <v>44271</v>
      </c>
      <c r="B2791">
        <v>3850.96</v>
      </c>
      <c r="C2791">
        <v>6055.43</v>
      </c>
      <c r="D2791">
        <v>14557.58</v>
      </c>
      <c r="E2791">
        <v>7941.0697899999996</v>
      </c>
      <c r="F2791">
        <v>8657.7000000000007</v>
      </c>
      <c r="G2791">
        <v>24261.119999999999</v>
      </c>
    </row>
    <row r="2792" spans="1:7" x14ac:dyDescent="0.35">
      <c r="A2792" s="1">
        <v>44272</v>
      </c>
      <c r="B2792">
        <v>3849.74</v>
      </c>
      <c r="C2792">
        <v>6054.82</v>
      </c>
      <c r="D2792">
        <v>14596.61</v>
      </c>
      <c r="E2792">
        <v>7870.0941300000004</v>
      </c>
      <c r="F2792">
        <v>8599.5</v>
      </c>
      <c r="G2792">
        <v>24281.05</v>
      </c>
    </row>
    <row r="2793" spans="1:7" x14ac:dyDescent="0.35">
      <c r="A2793" s="1">
        <v>44273</v>
      </c>
      <c r="B2793">
        <v>3867.54</v>
      </c>
      <c r="C2793">
        <v>6062.79</v>
      </c>
      <c r="D2793">
        <v>14775.52</v>
      </c>
      <c r="E2793">
        <v>7928.2870300000004</v>
      </c>
      <c r="F2793">
        <v>8624.6</v>
      </c>
      <c r="G2793">
        <v>24360.49</v>
      </c>
    </row>
    <row r="2794" spans="1:7" x14ac:dyDescent="0.35">
      <c r="A2794" s="1">
        <v>44274</v>
      </c>
      <c r="B2794">
        <v>3837.02</v>
      </c>
      <c r="C2794">
        <v>5997.96</v>
      </c>
      <c r="D2794">
        <v>14621</v>
      </c>
      <c r="E2794">
        <v>7819.5989200000004</v>
      </c>
      <c r="F2794">
        <v>8493</v>
      </c>
      <c r="G2794">
        <v>24199.42</v>
      </c>
    </row>
    <row r="2795" spans="1:7" x14ac:dyDescent="0.35">
      <c r="A2795" s="1">
        <v>44277</v>
      </c>
      <c r="B2795">
        <v>3833.84</v>
      </c>
      <c r="C2795">
        <v>5968.48</v>
      </c>
      <c r="D2795">
        <v>14657.21</v>
      </c>
      <c r="E2795">
        <v>7809.19247</v>
      </c>
      <c r="F2795">
        <v>8343.5</v>
      </c>
      <c r="G2795">
        <v>24262.84</v>
      </c>
    </row>
    <row r="2796" spans="1:7" x14ac:dyDescent="0.35">
      <c r="A2796" s="1">
        <v>44278</v>
      </c>
      <c r="B2796">
        <v>3827.02</v>
      </c>
      <c r="C2796">
        <v>5945.3</v>
      </c>
      <c r="D2796">
        <v>14662.02</v>
      </c>
      <c r="E2796">
        <v>7774.3825900000002</v>
      </c>
      <c r="F2796">
        <v>8390.2999999999993</v>
      </c>
      <c r="G2796">
        <v>24113.86</v>
      </c>
    </row>
    <row r="2797" spans="1:7" x14ac:dyDescent="0.35">
      <c r="A2797" s="1">
        <v>44279</v>
      </c>
      <c r="B2797">
        <v>3832.55</v>
      </c>
      <c r="C2797">
        <v>5947.29</v>
      </c>
      <c r="D2797">
        <v>14610.39</v>
      </c>
      <c r="E2797">
        <v>7783.3652300000003</v>
      </c>
      <c r="F2797">
        <v>8443.7000000000007</v>
      </c>
      <c r="G2797">
        <v>24208.66</v>
      </c>
    </row>
    <row r="2798" spans="1:7" x14ac:dyDescent="0.35">
      <c r="A2798" s="1">
        <v>44280</v>
      </c>
      <c r="B2798">
        <v>3832.57</v>
      </c>
      <c r="C2798">
        <v>5952.41</v>
      </c>
      <c r="D2798">
        <v>14621.36</v>
      </c>
      <c r="E2798">
        <v>7787.5851000000002</v>
      </c>
      <c r="F2798">
        <v>8409.5</v>
      </c>
      <c r="G2798">
        <v>24218.55</v>
      </c>
    </row>
    <row r="2799" spans="1:7" x14ac:dyDescent="0.35">
      <c r="A2799" s="1">
        <v>44281</v>
      </c>
      <c r="B2799">
        <v>3866.68</v>
      </c>
      <c r="C2799">
        <v>5988.81</v>
      </c>
      <c r="D2799">
        <v>14748.94</v>
      </c>
      <c r="E2799">
        <v>7885.7470599999997</v>
      </c>
      <c r="F2799">
        <v>8498.2000000000007</v>
      </c>
      <c r="G2799">
        <v>24393.26</v>
      </c>
    </row>
    <row r="2800" spans="1:7" x14ac:dyDescent="0.35">
      <c r="A2800" s="1">
        <v>44284</v>
      </c>
      <c r="B2800">
        <v>3882.87</v>
      </c>
      <c r="C2800">
        <v>6015.51</v>
      </c>
      <c r="D2800">
        <v>14817.72</v>
      </c>
      <c r="E2800">
        <v>7882.7034400000002</v>
      </c>
      <c r="F2800">
        <v>8492.1</v>
      </c>
      <c r="G2800">
        <v>24421.4</v>
      </c>
    </row>
    <row r="2801" spans="1:7" x14ac:dyDescent="0.35">
      <c r="A2801" s="1">
        <v>44285</v>
      </c>
      <c r="B2801">
        <v>3926.2</v>
      </c>
      <c r="C2801">
        <v>6088.04</v>
      </c>
      <c r="D2801">
        <v>15008.61</v>
      </c>
      <c r="E2801">
        <v>7928.5470500000001</v>
      </c>
      <c r="F2801">
        <v>8595.2000000000007</v>
      </c>
      <c r="G2801">
        <v>24636.39</v>
      </c>
    </row>
    <row r="2802" spans="1:7" x14ac:dyDescent="0.35">
      <c r="A2802" s="1">
        <v>44286</v>
      </c>
      <c r="B2802">
        <v>3919.21</v>
      </c>
      <c r="C2802">
        <v>6067.23</v>
      </c>
      <c r="D2802">
        <v>15008.34</v>
      </c>
      <c r="E2802">
        <v>7884.9441699999998</v>
      </c>
      <c r="F2802">
        <v>8580</v>
      </c>
      <c r="G2802">
        <v>24648.560000000001</v>
      </c>
    </row>
    <row r="2803" spans="1:7" x14ac:dyDescent="0.35">
      <c r="A2803" s="1">
        <v>44287</v>
      </c>
      <c r="B2803">
        <v>3945.96</v>
      </c>
      <c r="C2803">
        <v>6102.96</v>
      </c>
      <c r="D2803">
        <v>15107.17</v>
      </c>
      <c r="E2803">
        <v>7908.1583899999996</v>
      </c>
      <c r="F2803">
        <v>8577.6</v>
      </c>
      <c r="G2803">
        <v>24710</v>
      </c>
    </row>
    <row r="2804" spans="1:7" x14ac:dyDescent="0.35">
      <c r="A2804" s="1">
        <v>44292</v>
      </c>
      <c r="B2804">
        <v>3970.42</v>
      </c>
      <c r="C2804">
        <v>6131.34</v>
      </c>
      <c r="D2804">
        <v>15212.68</v>
      </c>
      <c r="E2804">
        <v>7955.0529800000004</v>
      </c>
      <c r="F2804">
        <v>8634.6</v>
      </c>
      <c r="G2804">
        <v>24761.119999999999</v>
      </c>
    </row>
    <row r="2805" spans="1:7" x14ac:dyDescent="0.35">
      <c r="A2805" s="1">
        <v>44293</v>
      </c>
      <c r="B2805">
        <v>3956.77</v>
      </c>
      <c r="C2805">
        <v>6130.66</v>
      </c>
      <c r="D2805">
        <v>15176.36</v>
      </c>
      <c r="E2805">
        <v>7963.1431899999998</v>
      </c>
      <c r="F2805">
        <v>8597.4</v>
      </c>
      <c r="G2805">
        <v>24740.73</v>
      </c>
    </row>
    <row r="2806" spans="1:7" x14ac:dyDescent="0.35">
      <c r="A2806" s="1">
        <v>44294</v>
      </c>
      <c r="B2806">
        <v>3977.83</v>
      </c>
      <c r="C2806">
        <v>6165.72</v>
      </c>
      <c r="D2806">
        <v>15202.68</v>
      </c>
      <c r="E2806">
        <v>8000.8474100000003</v>
      </c>
      <c r="F2806">
        <v>8637.7999999999993</v>
      </c>
      <c r="G2806">
        <v>24576.51</v>
      </c>
    </row>
    <row r="2807" spans="1:7" x14ac:dyDescent="0.35">
      <c r="A2807" s="1">
        <v>44295</v>
      </c>
      <c r="B2807">
        <v>3978.84</v>
      </c>
      <c r="C2807">
        <v>6169.41</v>
      </c>
      <c r="D2807">
        <v>15234.16</v>
      </c>
      <c r="E2807">
        <v>7977.5210299999999</v>
      </c>
      <c r="F2807">
        <v>8565.7999999999993</v>
      </c>
      <c r="G2807">
        <v>24429.41</v>
      </c>
    </row>
    <row r="2808" spans="1:7" x14ac:dyDescent="0.35">
      <c r="A2808" s="1">
        <v>44298</v>
      </c>
      <c r="B2808">
        <v>3961.9</v>
      </c>
      <c r="C2808">
        <v>6161.68</v>
      </c>
      <c r="D2808">
        <v>15215</v>
      </c>
      <c r="E2808">
        <v>7945.3823599999996</v>
      </c>
      <c r="F2808">
        <v>8532.6</v>
      </c>
      <c r="G2808">
        <v>24457.18</v>
      </c>
    </row>
    <row r="2809" spans="1:7" x14ac:dyDescent="0.35">
      <c r="A2809" s="1">
        <v>44299</v>
      </c>
      <c r="B2809">
        <v>3966.99</v>
      </c>
      <c r="C2809">
        <v>6184.1</v>
      </c>
      <c r="D2809">
        <v>15234.36</v>
      </c>
      <c r="E2809">
        <v>7928.8541699999996</v>
      </c>
      <c r="F2809">
        <v>8525.1</v>
      </c>
      <c r="G2809">
        <v>24600.35</v>
      </c>
    </row>
    <row r="2810" spans="1:7" x14ac:dyDescent="0.35">
      <c r="A2810" s="1">
        <v>44300</v>
      </c>
      <c r="B2810">
        <v>3976.28</v>
      </c>
      <c r="C2810">
        <v>6208.58</v>
      </c>
      <c r="D2810">
        <v>15209.15</v>
      </c>
      <c r="E2810">
        <v>7988.1890400000002</v>
      </c>
      <c r="F2810">
        <v>8588.4</v>
      </c>
      <c r="G2810">
        <v>24574.74</v>
      </c>
    </row>
    <row r="2811" spans="1:7" x14ac:dyDescent="0.35">
      <c r="A2811" s="1">
        <v>44301</v>
      </c>
      <c r="B2811">
        <v>3993.43</v>
      </c>
      <c r="C2811">
        <v>6234.14</v>
      </c>
      <c r="D2811">
        <v>15255.33</v>
      </c>
      <c r="E2811">
        <v>8042.8965399999997</v>
      </c>
      <c r="F2811">
        <v>8571.6</v>
      </c>
      <c r="G2811">
        <v>24528.69</v>
      </c>
    </row>
    <row r="2812" spans="1:7" x14ac:dyDescent="0.35">
      <c r="A2812" s="1">
        <v>44302</v>
      </c>
      <c r="B2812">
        <v>4032.99</v>
      </c>
      <c r="C2812">
        <v>6287.07</v>
      </c>
      <c r="D2812">
        <v>15459.75</v>
      </c>
      <c r="E2812">
        <v>8100.4942600000004</v>
      </c>
      <c r="F2812">
        <v>8613.5</v>
      </c>
      <c r="G2812">
        <v>24744.38</v>
      </c>
    </row>
    <row r="2813" spans="1:7" x14ac:dyDescent="0.35">
      <c r="A2813" s="1">
        <v>44305</v>
      </c>
      <c r="B2813">
        <v>4019.91</v>
      </c>
      <c r="C2813">
        <v>6296.69</v>
      </c>
      <c r="D2813">
        <v>15368.39</v>
      </c>
      <c r="E2813">
        <v>8132.83925</v>
      </c>
      <c r="F2813">
        <v>8711.4</v>
      </c>
      <c r="G2813">
        <v>24691.46</v>
      </c>
    </row>
    <row r="2814" spans="1:7" x14ac:dyDescent="0.35">
      <c r="A2814" s="1">
        <v>44306</v>
      </c>
      <c r="B2814">
        <v>3940.46</v>
      </c>
      <c r="C2814">
        <v>6165.11</v>
      </c>
      <c r="D2814">
        <v>15129.51</v>
      </c>
      <c r="E2814">
        <v>7949.0097900000001</v>
      </c>
      <c r="F2814">
        <v>8459.4</v>
      </c>
      <c r="G2814">
        <v>24088.65</v>
      </c>
    </row>
    <row r="2815" spans="1:7" x14ac:dyDescent="0.35">
      <c r="A2815" s="1">
        <v>44307</v>
      </c>
      <c r="B2815">
        <v>3976.41</v>
      </c>
      <c r="C2815">
        <v>6210.55</v>
      </c>
      <c r="D2815">
        <v>15195.97</v>
      </c>
      <c r="E2815">
        <v>7985.6492900000003</v>
      </c>
      <c r="F2815">
        <v>8519.7999999999993</v>
      </c>
      <c r="G2815">
        <v>24161.38</v>
      </c>
    </row>
    <row r="2816" spans="1:7" x14ac:dyDescent="0.35">
      <c r="A2816" s="1">
        <v>44308</v>
      </c>
      <c r="B2816">
        <v>4014.8</v>
      </c>
      <c r="C2816">
        <v>6267.28</v>
      </c>
      <c r="D2816">
        <v>15320.52</v>
      </c>
      <c r="E2816">
        <v>7997.8396499999999</v>
      </c>
      <c r="F2816">
        <v>8656.7999999999993</v>
      </c>
      <c r="G2816">
        <v>24398.41</v>
      </c>
    </row>
    <row r="2817" spans="1:7" x14ac:dyDescent="0.35">
      <c r="A2817" s="1">
        <v>44309</v>
      </c>
      <c r="B2817">
        <v>4013.34</v>
      </c>
      <c r="C2817">
        <v>6257.94</v>
      </c>
      <c r="D2817">
        <v>15279.62</v>
      </c>
      <c r="E2817">
        <v>7960.6431499999999</v>
      </c>
      <c r="F2817">
        <v>8618.6</v>
      </c>
      <c r="G2817">
        <v>24386.09</v>
      </c>
    </row>
    <row r="2818" spans="1:7" x14ac:dyDescent="0.35">
      <c r="A2818" s="1">
        <v>44312</v>
      </c>
      <c r="B2818">
        <v>4020.83</v>
      </c>
      <c r="C2818">
        <v>6275.52</v>
      </c>
      <c r="D2818">
        <v>15296.34</v>
      </c>
      <c r="E2818">
        <v>7998.74658</v>
      </c>
      <c r="F2818">
        <v>8701.9</v>
      </c>
      <c r="G2818">
        <v>24513.84</v>
      </c>
    </row>
    <row r="2819" spans="1:7" x14ac:dyDescent="0.35">
      <c r="A2819" s="1">
        <v>44313</v>
      </c>
      <c r="B2819">
        <v>4011.91</v>
      </c>
      <c r="C2819">
        <v>6273.76</v>
      </c>
      <c r="D2819">
        <v>15249.27</v>
      </c>
      <c r="E2819">
        <v>8000.7251100000003</v>
      </c>
      <c r="F2819">
        <v>8756.7000000000007</v>
      </c>
      <c r="G2819">
        <v>24473.06</v>
      </c>
    </row>
    <row r="2820" spans="1:7" x14ac:dyDescent="0.35">
      <c r="A2820" s="1">
        <v>44314</v>
      </c>
      <c r="B2820">
        <v>4015.03</v>
      </c>
      <c r="C2820">
        <v>6306.98</v>
      </c>
      <c r="D2820">
        <v>15292.18</v>
      </c>
      <c r="E2820">
        <v>8014.8443399999996</v>
      </c>
      <c r="F2820">
        <v>8799.6</v>
      </c>
      <c r="G2820">
        <v>24459.57</v>
      </c>
    </row>
    <row r="2821" spans="1:7" x14ac:dyDescent="0.35">
      <c r="A2821" s="1">
        <v>44315</v>
      </c>
      <c r="B2821">
        <v>3996.9</v>
      </c>
      <c r="C2821">
        <v>6302.57</v>
      </c>
      <c r="D2821">
        <v>15154.2</v>
      </c>
      <c r="E2821">
        <v>8009.3211899999997</v>
      </c>
      <c r="F2821">
        <v>8823.2000000000007</v>
      </c>
      <c r="G2821">
        <v>24278.2</v>
      </c>
    </row>
    <row r="2822" spans="1:7" x14ac:dyDescent="0.35">
      <c r="A2822" s="1">
        <v>44316</v>
      </c>
      <c r="B2822">
        <v>3974.74</v>
      </c>
      <c r="C2822">
        <v>6269.48</v>
      </c>
      <c r="D2822">
        <v>15135.91</v>
      </c>
      <c r="E2822">
        <v>8014.6730100000004</v>
      </c>
      <c r="F2822">
        <v>8815</v>
      </c>
      <c r="G2822">
        <v>24141.16</v>
      </c>
    </row>
    <row r="2823" spans="1:7" x14ac:dyDescent="0.35">
      <c r="A2823" s="1">
        <v>44320</v>
      </c>
      <c r="B2823">
        <v>3924.8</v>
      </c>
      <c r="C2823">
        <v>6251.75</v>
      </c>
      <c r="D2823">
        <v>14856.48</v>
      </c>
      <c r="E2823">
        <v>8000.4147899999998</v>
      </c>
      <c r="F2823">
        <v>8830.4</v>
      </c>
      <c r="G2823">
        <v>23977.53</v>
      </c>
    </row>
    <row r="2824" spans="1:7" x14ac:dyDescent="0.35">
      <c r="A2824" s="1">
        <v>44321</v>
      </c>
      <c r="B2824">
        <v>4002.79</v>
      </c>
      <c r="C2824">
        <v>6339.47</v>
      </c>
      <c r="D2824">
        <v>15170.78</v>
      </c>
      <c r="E2824">
        <v>8159.1085999999996</v>
      </c>
      <c r="F2824">
        <v>8967.7999999999993</v>
      </c>
      <c r="G2824">
        <v>24463.89</v>
      </c>
    </row>
    <row r="2825" spans="1:7" x14ac:dyDescent="0.35">
      <c r="A2825" s="1">
        <v>44322</v>
      </c>
      <c r="B2825">
        <v>3999.44</v>
      </c>
      <c r="C2825">
        <v>6357.09</v>
      </c>
      <c r="D2825">
        <v>15196.74</v>
      </c>
      <c r="E2825">
        <v>8154.9188999999997</v>
      </c>
      <c r="F2825">
        <v>8982.2000000000007</v>
      </c>
      <c r="G2825">
        <v>24495.07</v>
      </c>
    </row>
    <row r="2826" spans="1:7" x14ac:dyDescent="0.35">
      <c r="A2826" s="1">
        <v>44323</v>
      </c>
      <c r="B2826">
        <v>4034.25</v>
      </c>
      <c r="C2826">
        <v>6385.51</v>
      </c>
      <c r="D2826">
        <v>15399.65</v>
      </c>
      <c r="E2826">
        <v>8204.0659400000004</v>
      </c>
      <c r="F2826">
        <v>9059.2000000000007</v>
      </c>
      <c r="G2826">
        <v>24612.04</v>
      </c>
    </row>
    <row r="2827" spans="1:7" x14ac:dyDescent="0.35">
      <c r="A2827" s="1">
        <v>44326</v>
      </c>
      <c r="B2827">
        <v>4023.35</v>
      </c>
      <c r="C2827">
        <v>6385.99</v>
      </c>
      <c r="D2827">
        <v>15400.41</v>
      </c>
      <c r="E2827">
        <v>8285.4743400000007</v>
      </c>
      <c r="F2827">
        <v>9144.2999999999993</v>
      </c>
      <c r="G2827">
        <v>24802.9</v>
      </c>
    </row>
    <row r="2828" spans="1:7" x14ac:dyDescent="0.35">
      <c r="A2828" s="1">
        <v>44327</v>
      </c>
      <c r="B2828">
        <v>3946.06</v>
      </c>
      <c r="C2828">
        <v>6267.39</v>
      </c>
      <c r="D2828">
        <v>15119.75</v>
      </c>
      <c r="E2828">
        <v>8090.9469200000003</v>
      </c>
      <c r="F2828">
        <v>8987.2000000000007</v>
      </c>
      <c r="G2828">
        <v>24396.01</v>
      </c>
    </row>
    <row r="2829" spans="1:7" x14ac:dyDescent="0.35">
      <c r="A2829" s="1">
        <v>44328</v>
      </c>
      <c r="B2829">
        <v>3947.43</v>
      </c>
      <c r="C2829">
        <v>6279.35</v>
      </c>
      <c r="D2829">
        <v>15150.22</v>
      </c>
      <c r="E2829">
        <v>8161.0383300000003</v>
      </c>
      <c r="F2829">
        <v>9007.7000000000007</v>
      </c>
      <c r="G2829">
        <v>24452.93</v>
      </c>
    </row>
    <row r="2830" spans="1:7" x14ac:dyDescent="0.35">
      <c r="A2830" s="1">
        <v>44329</v>
      </c>
      <c r="B2830">
        <v>3952.45</v>
      </c>
      <c r="C2830">
        <v>6288.33</v>
      </c>
      <c r="D2830">
        <v>15199.68</v>
      </c>
      <c r="E2830">
        <v>8091.4125199999999</v>
      </c>
      <c r="F2830">
        <v>8966.2000000000007</v>
      </c>
      <c r="G2830">
        <v>24486.01</v>
      </c>
    </row>
    <row r="2831" spans="1:7" x14ac:dyDescent="0.35">
      <c r="A2831" s="1">
        <v>44330</v>
      </c>
      <c r="B2831">
        <v>4017.44</v>
      </c>
      <c r="C2831">
        <v>6385.14</v>
      </c>
      <c r="D2831">
        <v>15416.64</v>
      </c>
      <c r="E2831">
        <v>8181.0801799999999</v>
      </c>
      <c r="F2831">
        <v>9145.6</v>
      </c>
      <c r="G2831">
        <v>24766.09</v>
      </c>
    </row>
    <row r="2832" spans="1:7" x14ac:dyDescent="0.35">
      <c r="A2832" s="1">
        <v>44333</v>
      </c>
      <c r="B2832">
        <v>4006.84</v>
      </c>
      <c r="C2832">
        <v>6367.35</v>
      </c>
      <c r="D2832">
        <v>15396.62</v>
      </c>
      <c r="E2832">
        <v>8180.1140299999997</v>
      </c>
      <c r="F2832">
        <v>9155.6</v>
      </c>
      <c r="G2832">
        <v>24862.68</v>
      </c>
    </row>
    <row r="2833" spans="1:7" x14ac:dyDescent="0.35">
      <c r="A2833" s="1">
        <v>44334</v>
      </c>
      <c r="B2833">
        <v>4005.34</v>
      </c>
      <c r="C2833">
        <v>6353.67</v>
      </c>
      <c r="D2833">
        <v>15386.58</v>
      </c>
      <c r="E2833">
        <v>8171.9708899999996</v>
      </c>
      <c r="F2833">
        <v>9183.9</v>
      </c>
      <c r="G2833">
        <v>24880.45</v>
      </c>
    </row>
    <row r="2834" spans="1:7" x14ac:dyDescent="0.35">
      <c r="A2834" s="1">
        <v>44335</v>
      </c>
      <c r="B2834">
        <v>3936.74</v>
      </c>
      <c r="C2834">
        <v>6262.55</v>
      </c>
      <c r="D2834">
        <v>15113.56</v>
      </c>
      <c r="E2834">
        <v>8058.3843699999998</v>
      </c>
      <c r="F2834">
        <v>9070.7000000000007</v>
      </c>
      <c r="G2834">
        <v>24486.69</v>
      </c>
    </row>
    <row r="2835" spans="1:7" x14ac:dyDescent="0.35">
      <c r="A2835" s="1">
        <v>44336</v>
      </c>
      <c r="B2835">
        <v>3999.91</v>
      </c>
      <c r="C2835">
        <v>6343.58</v>
      </c>
      <c r="D2835">
        <v>15370.26</v>
      </c>
      <c r="E2835">
        <v>8147.0471600000001</v>
      </c>
      <c r="F2835">
        <v>9124.2999999999993</v>
      </c>
      <c r="G2835">
        <v>24702.11</v>
      </c>
    </row>
    <row r="2836" spans="1:7" x14ac:dyDescent="0.35">
      <c r="A2836" s="1">
        <v>44337</v>
      </c>
      <c r="B2836">
        <v>4025.78</v>
      </c>
      <c r="C2836">
        <v>6386.41</v>
      </c>
      <c r="D2836">
        <v>15437.51</v>
      </c>
      <c r="E2836">
        <v>8161.5698199999997</v>
      </c>
      <c r="F2836">
        <v>9204</v>
      </c>
      <c r="G2836">
        <v>24975</v>
      </c>
    </row>
    <row r="2837" spans="1:7" x14ac:dyDescent="0.35">
      <c r="A2837" s="1">
        <v>44341</v>
      </c>
      <c r="B2837">
        <v>4036.04</v>
      </c>
      <c r="C2837">
        <v>6390.27</v>
      </c>
      <c r="D2837">
        <v>15465.09</v>
      </c>
      <c r="E2837">
        <v>8121.5898999999999</v>
      </c>
      <c r="F2837">
        <v>9208.7000000000007</v>
      </c>
      <c r="G2837">
        <v>24892.9</v>
      </c>
    </row>
    <row r="2838" spans="1:7" x14ac:dyDescent="0.35">
      <c r="A2838" s="1">
        <v>44342</v>
      </c>
      <c r="B2838">
        <v>4031.67</v>
      </c>
      <c r="C2838">
        <v>6391.6</v>
      </c>
      <c r="D2838">
        <v>15450.72</v>
      </c>
      <c r="E2838">
        <v>8133.95946</v>
      </c>
      <c r="F2838">
        <v>9196.9</v>
      </c>
      <c r="G2838">
        <v>24778.04</v>
      </c>
    </row>
    <row r="2839" spans="1:7" x14ac:dyDescent="0.35">
      <c r="A2839" s="1">
        <v>44343</v>
      </c>
      <c r="B2839">
        <v>4039.21</v>
      </c>
      <c r="C2839">
        <v>6435.71</v>
      </c>
      <c r="D2839">
        <v>15406.73</v>
      </c>
      <c r="E2839">
        <v>8165.8091000000004</v>
      </c>
      <c r="F2839">
        <v>9186.1</v>
      </c>
      <c r="G2839">
        <v>25056.19</v>
      </c>
    </row>
    <row r="2840" spans="1:7" x14ac:dyDescent="0.35">
      <c r="A2840" s="1">
        <v>44344</v>
      </c>
      <c r="B2840">
        <v>4070.56</v>
      </c>
      <c r="C2840">
        <v>6484.11</v>
      </c>
      <c r="D2840">
        <v>15519.98</v>
      </c>
      <c r="E2840">
        <v>8171.4608799999996</v>
      </c>
      <c r="F2840">
        <v>9224.6</v>
      </c>
      <c r="G2840">
        <v>25169.39</v>
      </c>
    </row>
    <row r="2841" spans="1:7" x14ac:dyDescent="0.35">
      <c r="A2841" s="1">
        <v>44348</v>
      </c>
      <c r="B2841">
        <v>4071.75</v>
      </c>
      <c r="C2841">
        <v>6489.4</v>
      </c>
      <c r="D2841">
        <v>15567.36</v>
      </c>
      <c r="E2841">
        <v>8196.3863399999991</v>
      </c>
      <c r="F2841">
        <v>9189.7000000000007</v>
      </c>
      <c r="G2841">
        <v>25321.82</v>
      </c>
    </row>
    <row r="2842" spans="1:7" x14ac:dyDescent="0.35">
      <c r="A2842" s="1">
        <v>44349</v>
      </c>
      <c r="B2842">
        <v>4088.5</v>
      </c>
      <c r="C2842">
        <v>6521.52</v>
      </c>
      <c r="D2842">
        <v>15602.71</v>
      </c>
      <c r="E2842">
        <v>8250.56502</v>
      </c>
      <c r="F2842">
        <v>9180.7000000000007</v>
      </c>
      <c r="G2842">
        <v>25379.69</v>
      </c>
    </row>
    <row r="2843" spans="1:7" x14ac:dyDescent="0.35">
      <c r="A2843" s="1">
        <v>44350</v>
      </c>
      <c r="B2843">
        <v>4079.24</v>
      </c>
      <c r="C2843">
        <v>6507.92</v>
      </c>
      <c r="D2843">
        <v>15632.67</v>
      </c>
      <c r="E2843">
        <v>8217.84411</v>
      </c>
      <c r="F2843">
        <v>9142.4</v>
      </c>
      <c r="G2843">
        <v>25452.33</v>
      </c>
    </row>
    <row r="2844" spans="1:7" x14ac:dyDescent="0.35">
      <c r="A2844" s="1">
        <v>44351</v>
      </c>
      <c r="B2844">
        <v>4089.38</v>
      </c>
      <c r="C2844">
        <v>6515.66</v>
      </c>
      <c r="D2844">
        <v>15692.9</v>
      </c>
      <c r="E2844">
        <v>8233.3593099999998</v>
      </c>
      <c r="F2844">
        <v>9088.2999999999993</v>
      </c>
      <c r="G2844">
        <v>25570.46</v>
      </c>
    </row>
    <row r="2845" spans="1:7" x14ac:dyDescent="0.35">
      <c r="A2845" s="1">
        <v>44354</v>
      </c>
      <c r="B2845">
        <v>4097.6499999999996</v>
      </c>
      <c r="C2845">
        <v>6543.56</v>
      </c>
      <c r="D2845">
        <v>15677.15</v>
      </c>
      <c r="E2845">
        <v>8229.1906199999994</v>
      </c>
      <c r="F2845">
        <v>9163.6</v>
      </c>
      <c r="G2845">
        <v>25824.71</v>
      </c>
    </row>
    <row r="2846" spans="1:7" x14ac:dyDescent="0.35">
      <c r="A2846" s="1">
        <v>44355</v>
      </c>
      <c r="B2846">
        <v>4096.01</v>
      </c>
      <c r="C2846">
        <v>6551.01</v>
      </c>
      <c r="D2846">
        <v>15640.6</v>
      </c>
      <c r="E2846">
        <v>8242.8422800000008</v>
      </c>
      <c r="F2846">
        <v>9153.6</v>
      </c>
      <c r="G2846">
        <v>25809.16</v>
      </c>
    </row>
    <row r="2847" spans="1:7" x14ac:dyDescent="0.35">
      <c r="A2847" s="1">
        <v>44356</v>
      </c>
      <c r="B2847">
        <v>4096.8500000000004</v>
      </c>
      <c r="C2847">
        <v>6563.45</v>
      </c>
      <c r="D2847">
        <v>15581.14</v>
      </c>
      <c r="E2847">
        <v>8208.0630000000001</v>
      </c>
      <c r="F2847">
        <v>9156.1</v>
      </c>
      <c r="G2847">
        <v>25741.75</v>
      </c>
    </row>
    <row r="2848" spans="1:7" x14ac:dyDescent="0.35">
      <c r="A2848" s="1">
        <v>44357</v>
      </c>
      <c r="B2848">
        <v>4096.07</v>
      </c>
      <c r="C2848">
        <v>6546.49</v>
      </c>
      <c r="D2848">
        <v>15571.22</v>
      </c>
      <c r="E2848">
        <v>8245.9684600000001</v>
      </c>
      <c r="F2848">
        <v>9133.7999999999993</v>
      </c>
      <c r="G2848">
        <v>25638.19</v>
      </c>
    </row>
    <row r="2849" spans="1:7" x14ac:dyDescent="0.35">
      <c r="A2849" s="1">
        <v>44358</v>
      </c>
      <c r="B2849">
        <v>4126.7</v>
      </c>
      <c r="C2849">
        <v>6600.66</v>
      </c>
      <c r="D2849">
        <v>15693.27</v>
      </c>
      <c r="E2849">
        <v>8318.2538100000002</v>
      </c>
      <c r="F2849">
        <v>9205</v>
      </c>
      <c r="G2849">
        <v>25717.42</v>
      </c>
    </row>
    <row r="2850" spans="1:7" x14ac:dyDescent="0.35">
      <c r="A2850" s="1">
        <v>44361</v>
      </c>
      <c r="B2850">
        <v>4132.67</v>
      </c>
      <c r="C2850">
        <v>6616.35</v>
      </c>
      <c r="D2850">
        <v>15673.64</v>
      </c>
      <c r="E2850">
        <v>8320.4994900000002</v>
      </c>
      <c r="F2850">
        <v>9281.1</v>
      </c>
      <c r="G2850">
        <v>25757.83</v>
      </c>
    </row>
    <row r="2851" spans="1:7" x14ac:dyDescent="0.35">
      <c r="A2851" s="1">
        <v>44362</v>
      </c>
      <c r="B2851">
        <v>4143.5200000000004</v>
      </c>
      <c r="C2851">
        <v>6639.52</v>
      </c>
      <c r="D2851">
        <v>15729.52</v>
      </c>
      <c r="E2851">
        <v>8328.4537600000003</v>
      </c>
      <c r="F2851">
        <v>9230.7000000000007</v>
      </c>
      <c r="G2851">
        <v>25736.75</v>
      </c>
    </row>
    <row r="2852" spans="1:7" x14ac:dyDescent="0.35">
      <c r="A2852" s="1">
        <v>44363</v>
      </c>
      <c r="B2852">
        <v>4151.76</v>
      </c>
      <c r="C2852">
        <v>6652.65</v>
      </c>
      <c r="D2852">
        <v>15710.57</v>
      </c>
      <c r="E2852">
        <v>8361.8872599999995</v>
      </c>
      <c r="F2852">
        <v>9202.2000000000007</v>
      </c>
      <c r="G2852">
        <v>25767.54</v>
      </c>
    </row>
    <row r="2853" spans="1:7" x14ac:dyDescent="0.35">
      <c r="A2853" s="1">
        <v>44364</v>
      </c>
      <c r="B2853">
        <v>4158.1400000000003</v>
      </c>
      <c r="C2853">
        <v>6666.26</v>
      </c>
      <c r="D2853">
        <v>15727.67</v>
      </c>
      <c r="E2853">
        <v>8356.0913999999993</v>
      </c>
      <c r="F2853">
        <v>9195.9</v>
      </c>
      <c r="G2853">
        <v>25713.599999999999</v>
      </c>
    </row>
    <row r="2854" spans="1:7" x14ac:dyDescent="0.35">
      <c r="A2854" s="1">
        <v>44365</v>
      </c>
      <c r="B2854">
        <v>4083.37</v>
      </c>
      <c r="C2854">
        <v>6569.16</v>
      </c>
      <c r="D2854">
        <v>15448.04</v>
      </c>
      <c r="E2854">
        <v>8165.6758300000001</v>
      </c>
      <c r="F2854">
        <v>9030.6</v>
      </c>
      <c r="G2854">
        <v>25218.16</v>
      </c>
    </row>
    <row r="2855" spans="1:7" x14ac:dyDescent="0.35">
      <c r="A2855" s="1">
        <v>44368</v>
      </c>
      <c r="B2855">
        <v>4112.33</v>
      </c>
      <c r="C2855">
        <v>6602.54</v>
      </c>
      <c r="D2855">
        <v>15603.24</v>
      </c>
      <c r="E2855">
        <v>8252.6701200000007</v>
      </c>
      <c r="F2855">
        <v>9051.7000000000007</v>
      </c>
      <c r="G2855">
        <v>25397.72</v>
      </c>
    </row>
    <row r="2856" spans="1:7" x14ac:dyDescent="0.35">
      <c r="A2856" s="1">
        <v>44369</v>
      </c>
      <c r="B2856">
        <v>4123.13</v>
      </c>
      <c r="C2856">
        <v>6611.5</v>
      </c>
      <c r="D2856">
        <v>15636.33</v>
      </c>
      <c r="E2856">
        <v>8280.4901000000009</v>
      </c>
      <c r="F2856">
        <v>9053.2999999999993</v>
      </c>
      <c r="G2856">
        <v>25315.57</v>
      </c>
    </row>
    <row r="2857" spans="1:7" x14ac:dyDescent="0.35">
      <c r="A2857" s="1">
        <v>44370</v>
      </c>
      <c r="B2857">
        <v>4075.94</v>
      </c>
      <c r="C2857">
        <v>6551.07</v>
      </c>
      <c r="D2857">
        <v>15456.39</v>
      </c>
      <c r="E2857">
        <v>8275.3937499999993</v>
      </c>
      <c r="F2857">
        <v>8954.1</v>
      </c>
      <c r="G2857">
        <v>25077.14</v>
      </c>
    </row>
    <row r="2858" spans="1:7" x14ac:dyDescent="0.35">
      <c r="A2858" s="1">
        <v>44371</v>
      </c>
      <c r="B2858">
        <v>4122.43</v>
      </c>
      <c r="C2858">
        <v>6631.15</v>
      </c>
      <c r="D2858">
        <v>15589.23</v>
      </c>
      <c r="E2858">
        <v>8295.6604800000005</v>
      </c>
      <c r="F2858">
        <v>9074.1</v>
      </c>
      <c r="G2858">
        <v>25422.22</v>
      </c>
    </row>
    <row r="2859" spans="1:7" x14ac:dyDescent="0.35">
      <c r="A2859" s="1">
        <v>44372</v>
      </c>
      <c r="B2859">
        <v>4120.66</v>
      </c>
      <c r="C2859">
        <v>6622.87</v>
      </c>
      <c r="D2859">
        <v>15607.97</v>
      </c>
      <c r="E2859">
        <v>8310.7686300000005</v>
      </c>
      <c r="F2859">
        <v>9095</v>
      </c>
      <c r="G2859">
        <v>25510.5</v>
      </c>
    </row>
    <row r="2860" spans="1:7" x14ac:dyDescent="0.35">
      <c r="A2860" s="1">
        <v>44375</v>
      </c>
      <c r="B2860">
        <v>4089.91</v>
      </c>
      <c r="C2860">
        <v>6558.02</v>
      </c>
      <c r="D2860">
        <v>15554.18</v>
      </c>
      <c r="E2860">
        <v>8236.86895</v>
      </c>
      <c r="F2860">
        <v>8913.7000000000007</v>
      </c>
      <c r="G2860">
        <v>25227.1</v>
      </c>
    </row>
    <row r="2861" spans="1:7" x14ac:dyDescent="0.35">
      <c r="A2861" s="1">
        <v>44376</v>
      </c>
      <c r="B2861">
        <v>4107.51</v>
      </c>
      <c r="C2861">
        <v>6567.43</v>
      </c>
      <c r="D2861">
        <v>15690.59</v>
      </c>
      <c r="E2861">
        <v>8246.3668099999995</v>
      </c>
      <c r="F2861">
        <v>8915.1</v>
      </c>
      <c r="G2861">
        <v>25357.360000000001</v>
      </c>
    </row>
    <row r="2862" spans="1:7" x14ac:dyDescent="0.35">
      <c r="A2862" s="1">
        <v>44377</v>
      </c>
      <c r="B2862">
        <v>4064.3</v>
      </c>
      <c r="C2862">
        <v>6507.83</v>
      </c>
      <c r="D2862">
        <v>15531.04</v>
      </c>
      <c r="E2862">
        <v>8196.2263500000008</v>
      </c>
      <c r="F2862">
        <v>8821.2000000000007</v>
      </c>
      <c r="G2862">
        <v>25102.04</v>
      </c>
    </row>
    <row r="2863" spans="1:7" x14ac:dyDescent="0.35">
      <c r="A2863" s="1">
        <v>44378</v>
      </c>
      <c r="B2863">
        <v>4078.89</v>
      </c>
      <c r="C2863">
        <v>6553.82</v>
      </c>
      <c r="D2863">
        <v>15603.81</v>
      </c>
      <c r="E2863">
        <v>8277.9097399999991</v>
      </c>
      <c r="F2863">
        <v>8932.2999999999993</v>
      </c>
      <c r="G2863">
        <v>25286.06</v>
      </c>
    </row>
    <row r="2864" spans="1:7" x14ac:dyDescent="0.35">
      <c r="A2864" s="1">
        <v>44379</v>
      </c>
      <c r="B2864">
        <v>4084.31</v>
      </c>
      <c r="C2864">
        <v>6552.86</v>
      </c>
      <c r="D2864">
        <v>15650.09</v>
      </c>
      <c r="E2864">
        <v>8302.0617299999994</v>
      </c>
      <c r="F2864">
        <v>8907.6</v>
      </c>
      <c r="G2864">
        <v>25282.41</v>
      </c>
    </row>
    <row r="2865" spans="1:7" x14ac:dyDescent="0.35">
      <c r="A2865" s="1">
        <v>44382</v>
      </c>
      <c r="B2865">
        <v>4087.37</v>
      </c>
      <c r="C2865">
        <v>6567.54</v>
      </c>
      <c r="D2865">
        <v>15661.97</v>
      </c>
      <c r="E2865">
        <v>8365.70255</v>
      </c>
      <c r="F2865">
        <v>8946.4</v>
      </c>
      <c r="G2865">
        <v>25441.34</v>
      </c>
    </row>
    <row r="2866" spans="1:7" x14ac:dyDescent="0.35">
      <c r="A2866" s="1">
        <v>44383</v>
      </c>
      <c r="B2866">
        <v>4052.67</v>
      </c>
      <c r="C2866">
        <v>6507.48</v>
      </c>
      <c r="D2866">
        <v>15511.38</v>
      </c>
      <c r="E2866">
        <v>8281.2548000000006</v>
      </c>
      <c r="F2866">
        <v>8860.7999999999993</v>
      </c>
      <c r="G2866">
        <v>25227.919999999998</v>
      </c>
    </row>
    <row r="2867" spans="1:7" x14ac:dyDescent="0.35">
      <c r="A2867" s="1">
        <v>44384</v>
      </c>
      <c r="B2867">
        <v>4078.53</v>
      </c>
      <c r="C2867">
        <v>6527.72</v>
      </c>
      <c r="D2867">
        <v>15692.71</v>
      </c>
      <c r="E2867">
        <v>8361.2392299999992</v>
      </c>
      <c r="F2867">
        <v>8854.5</v>
      </c>
      <c r="G2867">
        <v>25284.99</v>
      </c>
    </row>
    <row r="2868" spans="1:7" x14ac:dyDescent="0.35">
      <c r="A2868" s="1">
        <v>44385</v>
      </c>
      <c r="B2868">
        <v>3991.66</v>
      </c>
      <c r="C2868">
        <v>6396.73</v>
      </c>
      <c r="D2868">
        <v>15420.64</v>
      </c>
      <c r="E2868">
        <v>8175.0342099999998</v>
      </c>
      <c r="F2868">
        <v>8650.1</v>
      </c>
      <c r="G2868">
        <v>24641.47</v>
      </c>
    </row>
    <row r="2869" spans="1:7" x14ac:dyDescent="0.35">
      <c r="A2869" s="1">
        <v>44386</v>
      </c>
      <c r="B2869">
        <v>4068.09</v>
      </c>
      <c r="C2869">
        <v>6529.42</v>
      </c>
      <c r="D2869">
        <v>15687.93</v>
      </c>
      <c r="E2869">
        <v>8316.0610899999992</v>
      </c>
      <c r="F2869">
        <v>8776.6</v>
      </c>
      <c r="G2869">
        <v>25051.82</v>
      </c>
    </row>
    <row r="2870" spans="1:7" x14ac:dyDescent="0.35">
      <c r="A2870" s="1">
        <v>44389</v>
      </c>
      <c r="B2870">
        <v>4093.38</v>
      </c>
      <c r="C2870">
        <v>6559.25</v>
      </c>
      <c r="D2870">
        <v>15790.51</v>
      </c>
      <c r="E2870">
        <v>8341.6326900000004</v>
      </c>
      <c r="F2870">
        <v>8816.7000000000007</v>
      </c>
      <c r="G2870">
        <v>25283.200000000001</v>
      </c>
    </row>
    <row r="2871" spans="1:7" x14ac:dyDescent="0.35">
      <c r="A2871" s="1">
        <v>44390</v>
      </c>
      <c r="B2871">
        <v>4094.56</v>
      </c>
      <c r="C2871">
        <v>6558.47</v>
      </c>
      <c r="D2871">
        <v>15789.64</v>
      </c>
      <c r="E2871">
        <v>8354.8266899999999</v>
      </c>
      <c r="F2871">
        <v>8694.7999999999993</v>
      </c>
      <c r="G2871">
        <v>25156.65</v>
      </c>
    </row>
    <row r="2872" spans="1:7" x14ac:dyDescent="0.35">
      <c r="A2872" s="1">
        <v>44391</v>
      </c>
      <c r="B2872">
        <v>4099.5</v>
      </c>
      <c r="C2872">
        <v>6558.38</v>
      </c>
      <c r="D2872">
        <v>15788.98</v>
      </c>
      <c r="E2872">
        <v>8302.3194700000004</v>
      </c>
      <c r="F2872">
        <v>8658.2999999999993</v>
      </c>
      <c r="G2872">
        <v>25194.33</v>
      </c>
    </row>
    <row r="2873" spans="1:7" x14ac:dyDescent="0.35">
      <c r="A2873" s="1">
        <v>44392</v>
      </c>
      <c r="B2873">
        <v>4056.39</v>
      </c>
      <c r="C2873">
        <v>6493.36</v>
      </c>
      <c r="D2873">
        <v>15629.66</v>
      </c>
      <c r="E2873">
        <v>8213.8599099999992</v>
      </c>
      <c r="F2873">
        <v>8527</v>
      </c>
      <c r="G2873">
        <v>24875.5</v>
      </c>
    </row>
    <row r="2874" spans="1:7" x14ac:dyDescent="0.35">
      <c r="A2874" s="1">
        <v>44393</v>
      </c>
      <c r="B2874">
        <v>4035.77</v>
      </c>
      <c r="C2874">
        <v>6460.08</v>
      </c>
      <c r="D2874">
        <v>15540.31</v>
      </c>
      <c r="E2874">
        <v>8175.21497</v>
      </c>
      <c r="F2874">
        <v>8506.2000000000007</v>
      </c>
      <c r="G2874">
        <v>24792.78</v>
      </c>
    </row>
    <row r="2875" spans="1:7" x14ac:dyDescent="0.35">
      <c r="A2875" s="1">
        <v>44396</v>
      </c>
      <c r="B2875">
        <v>3928.53</v>
      </c>
      <c r="C2875">
        <v>6295.97</v>
      </c>
      <c r="D2875">
        <v>15133.2</v>
      </c>
      <c r="E2875">
        <v>7929.7238200000002</v>
      </c>
      <c r="F2875">
        <v>8301.7000000000007</v>
      </c>
      <c r="G2875">
        <v>23965.919999999998</v>
      </c>
    </row>
    <row r="2876" spans="1:7" x14ac:dyDescent="0.35">
      <c r="A2876" s="1">
        <v>44397</v>
      </c>
      <c r="B2876">
        <v>3956.34</v>
      </c>
      <c r="C2876">
        <v>6346.85</v>
      </c>
      <c r="D2876">
        <v>15216.27</v>
      </c>
      <c r="E2876">
        <v>7963.1348200000002</v>
      </c>
      <c r="F2876">
        <v>8358</v>
      </c>
      <c r="G2876">
        <v>24107.33</v>
      </c>
    </row>
    <row r="2877" spans="1:7" x14ac:dyDescent="0.35">
      <c r="A2877" s="1">
        <v>44398</v>
      </c>
      <c r="B2877">
        <v>4026.68</v>
      </c>
      <c r="C2877">
        <v>6464.48</v>
      </c>
      <c r="D2877">
        <v>15422.5</v>
      </c>
      <c r="E2877">
        <v>8128.7576900000004</v>
      </c>
      <c r="F2877">
        <v>8567</v>
      </c>
      <c r="G2877">
        <v>24675.61</v>
      </c>
    </row>
    <row r="2878" spans="1:7" x14ac:dyDescent="0.35">
      <c r="A2878" s="1">
        <v>44399</v>
      </c>
      <c r="B2878">
        <v>4059.05</v>
      </c>
      <c r="C2878">
        <v>6481.59</v>
      </c>
      <c r="D2878">
        <v>15514.54</v>
      </c>
      <c r="E2878">
        <v>8154.8599700000004</v>
      </c>
      <c r="F2878">
        <v>8621.7999999999993</v>
      </c>
      <c r="G2878">
        <v>24805.21</v>
      </c>
    </row>
    <row r="2879" spans="1:7" x14ac:dyDescent="0.35">
      <c r="A2879" s="1">
        <v>44400</v>
      </c>
      <c r="B2879">
        <v>4109.1000000000004</v>
      </c>
      <c r="C2879">
        <v>6568.82</v>
      </c>
      <c r="D2879">
        <v>15669.29</v>
      </c>
      <c r="E2879">
        <v>8216.5595900000008</v>
      </c>
      <c r="F2879">
        <v>8717.2000000000007</v>
      </c>
      <c r="G2879">
        <v>25124.91</v>
      </c>
    </row>
    <row r="2880" spans="1:7" x14ac:dyDescent="0.35">
      <c r="A2880" s="1">
        <v>44403</v>
      </c>
      <c r="B2880">
        <v>4102.59</v>
      </c>
      <c r="C2880">
        <v>6578.6</v>
      </c>
      <c r="D2880">
        <v>15618.98</v>
      </c>
      <c r="E2880">
        <v>8224.48747</v>
      </c>
      <c r="F2880">
        <v>8775.2000000000007</v>
      </c>
      <c r="G2880">
        <v>25296.400000000001</v>
      </c>
    </row>
    <row r="2881" spans="1:7" x14ac:dyDescent="0.35">
      <c r="A2881" s="1">
        <v>44404</v>
      </c>
      <c r="B2881">
        <v>4064.83</v>
      </c>
      <c r="C2881">
        <v>6531.92</v>
      </c>
      <c r="D2881">
        <v>15519.13</v>
      </c>
      <c r="E2881">
        <v>8207.2128100000009</v>
      </c>
      <c r="F2881">
        <v>8699.2000000000007</v>
      </c>
      <c r="G2881">
        <v>25086.55</v>
      </c>
    </row>
    <row r="2882" spans="1:7" x14ac:dyDescent="0.35">
      <c r="A2882" s="1">
        <v>44405</v>
      </c>
      <c r="B2882">
        <v>4103.03</v>
      </c>
      <c r="C2882">
        <v>6609.31</v>
      </c>
      <c r="D2882">
        <v>15570.36</v>
      </c>
      <c r="E2882">
        <v>8246.6486800000002</v>
      </c>
      <c r="F2882">
        <v>8733.7000000000007</v>
      </c>
      <c r="G2882">
        <v>25261.67</v>
      </c>
    </row>
    <row r="2883" spans="1:7" x14ac:dyDescent="0.35">
      <c r="A2883" s="1">
        <v>44406</v>
      </c>
      <c r="B2883">
        <v>4116.7700000000004</v>
      </c>
      <c r="C2883">
        <v>6633.77</v>
      </c>
      <c r="D2883">
        <v>15640.47</v>
      </c>
      <c r="E2883">
        <v>8317.2179500000002</v>
      </c>
      <c r="F2883">
        <v>8786.2999999999993</v>
      </c>
      <c r="G2883">
        <v>25516.46</v>
      </c>
    </row>
    <row r="2884" spans="1:7" x14ac:dyDescent="0.35">
      <c r="A2884" s="1">
        <v>44407</v>
      </c>
      <c r="B2884">
        <v>4089.3</v>
      </c>
      <c r="C2884">
        <v>6612.76</v>
      </c>
      <c r="D2884">
        <v>15544.39</v>
      </c>
      <c r="E2884">
        <v>8242.0050300000003</v>
      </c>
      <c r="F2884">
        <v>8675.7000000000007</v>
      </c>
      <c r="G2884">
        <v>25363.02</v>
      </c>
    </row>
    <row r="2885" spans="1:7" x14ac:dyDescent="0.35">
      <c r="A2885" s="1">
        <v>44410</v>
      </c>
      <c r="B2885">
        <v>4116.62</v>
      </c>
      <c r="C2885">
        <v>6675.9</v>
      </c>
      <c r="D2885">
        <v>15568.73</v>
      </c>
      <c r="E2885">
        <v>8289.8483099999994</v>
      </c>
      <c r="F2885">
        <v>8758.7000000000007</v>
      </c>
      <c r="G2885">
        <v>25351.599999999999</v>
      </c>
    </row>
    <row r="2886" spans="1:7" x14ac:dyDescent="0.35">
      <c r="A2886" s="1">
        <v>44411</v>
      </c>
      <c r="B2886">
        <v>4117.95</v>
      </c>
      <c r="C2886">
        <v>6723.81</v>
      </c>
      <c r="D2886">
        <v>15555.08</v>
      </c>
      <c r="E2886">
        <v>8332.5164499999992</v>
      </c>
      <c r="F2886">
        <v>8772.7999999999993</v>
      </c>
      <c r="G2886">
        <v>25356.15</v>
      </c>
    </row>
    <row r="2887" spans="1:7" x14ac:dyDescent="0.35">
      <c r="A2887" s="1">
        <v>44412</v>
      </c>
      <c r="B2887">
        <v>4144.8999999999996</v>
      </c>
      <c r="C2887">
        <v>6746.23</v>
      </c>
      <c r="D2887">
        <v>15692.13</v>
      </c>
      <c r="E2887">
        <v>8363.52477</v>
      </c>
      <c r="F2887">
        <v>8792.9</v>
      </c>
      <c r="G2887">
        <v>25490.22</v>
      </c>
    </row>
    <row r="2888" spans="1:7" x14ac:dyDescent="0.35">
      <c r="A2888" s="1">
        <v>44413</v>
      </c>
      <c r="B2888">
        <v>4161.08</v>
      </c>
      <c r="C2888">
        <v>6781.19</v>
      </c>
      <c r="D2888">
        <v>15744.67</v>
      </c>
      <c r="E2888">
        <v>8378.6392699999997</v>
      </c>
      <c r="F2888">
        <v>8836.5</v>
      </c>
      <c r="G2888">
        <v>25665.55</v>
      </c>
    </row>
    <row r="2889" spans="1:7" x14ac:dyDescent="0.35">
      <c r="A2889" s="1">
        <v>44414</v>
      </c>
      <c r="B2889">
        <v>4174.54</v>
      </c>
      <c r="C2889">
        <v>6816.96</v>
      </c>
      <c r="D2889">
        <v>15761.45</v>
      </c>
      <c r="E2889">
        <v>8401.3971299999994</v>
      </c>
      <c r="F2889">
        <v>8879</v>
      </c>
      <c r="G2889">
        <v>26000.28</v>
      </c>
    </row>
    <row r="2890" spans="1:7" x14ac:dyDescent="0.35">
      <c r="A2890" s="1">
        <v>44417</v>
      </c>
      <c r="B2890">
        <v>4177.1499999999996</v>
      </c>
      <c r="C2890">
        <v>6813.18</v>
      </c>
      <c r="D2890">
        <v>15745.41</v>
      </c>
      <c r="E2890">
        <v>8411.5219199999992</v>
      </c>
      <c r="F2890">
        <v>8865.9</v>
      </c>
      <c r="G2890">
        <v>26139.43</v>
      </c>
    </row>
    <row r="2891" spans="1:7" x14ac:dyDescent="0.35">
      <c r="A2891" s="1">
        <v>44418</v>
      </c>
      <c r="B2891">
        <v>4187.82</v>
      </c>
      <c r="C2891">
        <v>6820.21</v>
      </c>
      <c r="D2891">
        <v>15770.71</v>
      </c>
      <c r="E2891">
        <v>8454.9902999999995</v>
      </c>
      <c r="F2891">
        <v>8899</v>
      </c>
      <c r="G2891">
        <v>26201.21</v>
      </c>
    </row>
    <row r="2892" spans="1:7" x14ac:dyDescent="0.35">
      <c r="A2892" s="1">
        <v>44419</v>
      </c>
      <c r="B2892">
        <v>4206.33</v>
      </c>
      <c r="C2892">
        <v>6857.99</v>
      </c>
      <c r="D2892">
        <v>15826.09</v>
      </c>
      <c r="E2892">
        <v>8529.8197999999993</v>
      </c>
      <c r="F2892">
        <v>8975.7999999999993</v>
      </c>
      <c r="G2892">
        <v>26457.06</v>
      </c>
    </row>
    <row r="2893" spans="1:7" x14ac:dyDescent="0.35">
      <c r="A2893" s="1">
        <v>44420</v>
      </c>
      <c r="B2893">
        <v>4226.33</v>
      </c>
      <c r="C2893">
        <v>6882.47</v>
      </c>
      <c r="D2893">
        <v>15937.51</v>
      </c>
      <c r="E2893">
        <v>8467.2737199999992</v>
      </c>
      <c r="F2893">
        <v>8979.4</v>
      </c>
      <c r="G2893">
        <v>26557.84</v>
      </c>
    </row>
    <row r="2894" spans="1:7" x14ac:dyDescent="0.35">
      <c r="A2894" s="1">
        <v>44421</v>
      </c>
      <c r="B2894">
        <v>4229.7</v>
      </c>
      <c r="C2894">
        <v>6896.04</v>
      </c>
      <c r="D2894">
        <v>15977.44</v>
      </c>
      <c r="E2894">
        <v>8483.2077599999993</v>
      </c>
      <c r="F2894">
        <v>8999.7999999999993</v>
      </c>
      <c r="G2894">
        <v>26652.560000000001</v>
      </c>
    </row>
    <row r="2895" spans="1:7" x14ac:dyDescent="0.35">
      <c r="A2895" s="1">
        <v>44424</v>
      </c>
      <c r="B2895">
        <v>4202.4399999999996</v>
      </c>
      <c r="C2895">
        <v>6838.77</v>
      </c>
      <c r="D2895">
        <v>15925.73</v>
      </c>
      <c r="E2895">
        <v>8412.2299000000003</v>
      </c>
      <c r="F2895">
        <v>8926.6</v>
      </c>
      <c r="G2895">
        <v>26448.76</v>
      </c>
    </row>
    <row r="2896" spans="1:7" x14ac:dyDescent="0.35">
      <c r="A2896" s="1">
        <v>44425</v>
      </c>
      <c r="B2896">
        <v>4196.3999999999996</v>
      </c>
      <c r="C2896">
        <v>6819.84</v>
      </c>
      <c r="D2896">
        <v>15921.95</v>
      </c>
      <c r="E2896">
        <v>8418.7459999999992</v>
      </c>
      <c r="F2896">
        <v>8865.7000000000007</v>
      </c>
      <c r="G2896">
        <v>26224.79</v>
      </c>
    </row>
    <row r="2897" spans="1:7" x14ac:dyDescent="0.35">
      <c r="A2897" s="1">
        <v>44426</v>
      </c>
      <c r="B2897">
        <v>4189.42</v>
      </c>
      <c r="C2897">
        <v>6770.11</v>
      </c>
      <c r="D2897">
        <v>15965.97</v>
      </c>
      <c r="E2897">
        <v>8425.5902800000003</v>
      </c>
      <c r="F2897">
        <v>8970.2000000000007</v>
      </c>
      <c r="G2897">
        <v>26357.21</v>
      </c>
    </row>
    <row r="2898" spans="1:7" x14ac:dyDescent="0.35">
      <c r="A2898" s="1">
        <v>44427</v>
      </c>
      <c r="B2898">
        <v>4124.71</v>
      </c>
      <c r="C2898">
        <v>6605.89</v>
      </c>
      <c r="D2898">
        <v>15765.81</v>
      </c>
      <c r="E2898">
        <v>8246.2075999999997</v>
      </c>
      <c r="F2898">
        <v>8902.2000000000007</v>
      </c>
      <c r="G2898">
        <v>25928.78</v>
      </c>
    </row>
    <row r="2899" spans="1:7" x14ac:dyDescent="0.35">
      <c r="A2899" s="1">
        <v>44428</v>
      </c>
      <c r="B2899">
        <v>4147.5</v>
      </c>
      <c r="C2899">
        <v>6626.11</v>
      </c>
      <c r="D2899">
        <v>15808.04</v>
      </c>
      <c r="E2899">
        <v>8253.7726399999992</v>
      </c>
      <c r="F2899">
        <v>8915.2999999999993</v>
      </c>
      <c r="G2899">
        <v>25918.27</v>
      </c>
    </row>
    <row r="2900" spans="1:7" x14ac:dyDescent="0.35">
      <c r="A2900" s="1">
        <v>44431</v>
      </c>
      <c r="B2900">
        <v>4176.42</v>
      </c>
      <c r="C2900">
        <v>6683.1</v>
      </c>
      <c r="D2900">
        <v>15852.79</v>
      </c>
      <c r="E2900">
        <v>8309.9048000000003</v>
      </c>
      <c r="F2900">
        <v>8968.1</v>
      </c>
      <c r="G2900">
        <v>26046.03</v>
      </c>
    </row>
    <row r="2901" spans="1:7" x14ac:dyDescent="0.35">
      <c r="A2901" s="1">
        <v>44432</v>
      </c>
      <c r="B2901">
        <v>4178.08</v>
      </c>
      <c r="C2901">
        <v>6664.31</v>
      </c>
      <c r="D2901">
        <v>15905.85</v>
      </c>
      <c r="E2901">
        <v>8323.1148400000002</v>
      </c>
      <c r="F2901">
        <v>8948.6</v>
      </c>
      <c r="G2901">
        <v>26027.91</v>
      </c>
    </row>
    <row r="2902" spans="1:7" x14ac:dyDescent="0.35">
      <c r="A2902" s="1">
        <v>44433</v>
      </c>
      <c r="B2902">
        <v>4181.12</v>
      </c>
      <c r="C2902">
        <v>6676.48</v>
      </c>
      <c r="D2902">
        <v>15860.66</v>
      </c>
      <c r="E2902">
        <v>8352.7507299999997</v>
      </c>
      <c r="F2902">
        <v>8977.4</v>
      </c>
      <c r="G2902">
        <v>26060.27</v>
      </c>
    </row>
    <row r="2903" spans="1:7" x14ac:dyDescent="0.35">
      <c r="A2903" s="1">
        <v>44434</v>
      </c>
      <c r="B2903">
        <v>4169.87</v>
      </c>
      <c r="C2903">
        <v>6666.03</v>
      </c>
      <c r="D2903">
        <v>15793.62</v>
      </c>
      <c r="E2903">
        <v>8307.1216700000004</v>
      </c>
      <c r="F2903">
        <v>8892.7000000000007</v>
      </c>
      <c r="G2903">
        <v>25861.52</v>
      </c>
    </row>
    <row r="2904" spans="1:7" x14ac:dyDescent="0.35">
      <c r="A2904" s="1">
        <v>44435</v>
      </c>
      <c r="B2904">
        <v>4190.9799999999996</v>
      </c>
      <c r="C2904">
        <v>6681.92</v>
      </c>
      <c r="D2904">
        <v>15851.75</v>
      </c>
      <c r="E2904">
        <v>8345.5030700000007</v>
      </c>
      <c r="F2904">
        <v>8922.2000000000007</v>
      </c>
      <c r="G2904">
        <v>26006.63</v>
      </c>
    </row>
    <row r="2905" spans="1:7" x14ac:dyDescent="0.35">
      <c r="A2905" s="1">
        <v>44439</v>
      </c>
      <c r="B2905">
        <v>4196.41</v>
      </c>
      <c r="C2905">
        <v>6680.18</v>
      </c>
      <c r="D2905">
        <v>15835.09</v>
      </c>
      <c r="E2905">
        <v>8292.5480100000004</v>
      </c>
      <c r="F2905">
        <v>8846.6</v>
      </c>
      <c r="G2905">
        <v>26009.29</v>
      </c>
    </row>
    <row r="2906" spans="1:7" x14ac:dyDescent="0.35">
      <c r="A2906" s="1">
        <v>44440</v>
      </c>
      <c r="B2906">
        <v>4227.2700000000004</v>
      </c>
      <c r="C2906">
        <v>6758.69</v>
      </c>
      <c r="D2906">
        <v>15824.29</v>
      </c>
      <c r="E2906">
        <v>8318.1460599999991</v>
      </c>
      <c r="F2906">
        <v>8991.5</v>
      </c>
      <c r="G2906">
        <v>26181.66</v>
      </c>
    </row>
    <row r="2907" spans="1:7" x14ac:dyDescent="0.35">
      <c r="A2907" s="1">
        <v>44441</v>
      </c>
      <c r="B2907">
        <v>4232.1000000000004</v>
      </c>
      <c r="C2907">
        <v>6763.08</v>
      </c>
      <c r="D2907">
        <v>15840.59</v>
      </c>
      <c r="E2907">
        <v>8351.5436000000009</v>
      </c>
      <c r="F2907">
        <v>8981.4</v>
      </c>
      <c r="G2907">
        <v>26233.38</v>
      </c>
    </row>
    <row r="2908" spans="1:7" x14ac:dyDescent="0.35">
      <c r="A2908" s="1">
        <v>44442</v>
      </c>
      <c r="B2908">
        <v>4201.9799999999996</v>
      </c>
      <c r="C2908">
        <v>6689.99</v>
      </c>
      <c r="D2908">
        <v>15781.2</v>
      </c>
      <c r="E2908">
        <v>8329.4758500000007</v>
      </c>
      <c r="F2908">
        <v>8864</v>
      </c>
      <c r="G2908">
        <v>26064.78</v>
      </c>
    </row>
    <row r="2909" spans="1:7" x14ac:dyDescent="0.35">
      <c r="A2909" s="1">
        <v>44445</v>
      </c>
      <c r="B2909">
        <v>4246.13</v>
      </c>
      <c r="C2909">
        <v>6743.5</v>
      </c>
      <c r="D2909">
        <v>15932.12</v>
      </c>
      <c r="E2909">
        <v>8374.4481300000007</v>
      </c>
      <c r="F2909">
        <v>8882.2999999999993</v>
      </c>
      <c r="G2909">
        <v>26263.43</v>
      </c>
    </row>
    <row r="2910" spans="1:7" x14ac:dyDescent="0.35">
      <c r="A2910" s="1">
        <v>44446</v>
      </c>
      <c r="B2910">
        <v>4225.01</v>
      </c>
      <c r="C2910">
        <v>6726.07</v>
      </c>
      <c r="D2910">
        <v>15843.09</v>
      </c>
      <c r="E2910">
        <v>8323.3273399999998</v>
      </c>
      <c r="F2910">
        <v>8894.5</v>
      </c>
      <c r="G2910">
        <v>26073.73</v>
      </c>
    </row>
    <row r="2911" spans="1:7" x14ac:dyDescent="0.35">
      <c r="A2911" s="1">
        <v>44447</v>
      </c>
      <c r="B2911">
        <v>4177.1499999999996</v>
      </c>
      <c r="C2911">
        <v>6668.89</v>
      </c>
      <c r="D2911">
        <v>15610.28</v>
      </c>
      <c r="E2911">
        <v>8267.4120999999996</v>
      </c>
      <c r="F2911">
        <v>8838.7000000000007</v>
      </c>
      <c r="G2911">
        <v>25876.89</v>
      </c>
    </row>
    <row r="2912" spans="1:7" x14ac:dyDescent="0.35">
      <c r="A2912" s="1">
        <v>44448</v>
      </c>
      <c r="B2912">
        <v>4177.1099999999997</v>
      </c>
      <c r="C2912">
        <v>6684.72</v>
      </c>
      <c r="D2912">
        <v>15623.15</v>
      </c>
      <c r="E2912">
        <v>8226.3757600000008</v>
      </c>
      <c r="F2912">
        <v>8800.6</v>
      </c>
      <c r="G2912">
        <v>25909.83</v>
      </c>
    </row>
    <row r="2913" spans="1:7" x14ac:dyDescent="0.35">
      <c r="A2913" s="1">
        <v>44449</v>
      </c>
      <c r="B2913">
        <v>4170.3500000000004</v>
      </c>
      <c r="C2913">
        <v>6663.77</v>
      </c>
      <c r="D2913">
        <v>15609.81</v>
      </c>
      <c r="E2913">
        <v>8239.4903799999993</v>
      </c>
      <c r="F2913">
        <v>8695.2999999999993</v>
      </c>
      <c r="G2913">
        <v>25686.47</v>
      </c>
    </row>
    <row r="2914" spans="1:7" x14ac:dyDescent="0.35">
      <c r="A2914" s="1">
        <v>44452</v>
      </c>
      <c r="B2914">
        <v>4189.53</v>
      </c>
      <c r="C2914">
        <v>6676.93</v>
      </c>
      <c r="D2914">
        <v>15701.42</v>
      </c>
      <c r="E2914">
        <v>8283.1199699999997</v>
      </c>
      <c r="F2914">
        <v>8816.1</v>
      </c>
      <c r="G2914">
        <v>25925.73</v>
      </c>
    </row>
    <row r="2915" spans="1:7" x14ac:dyDescent="0.35">
      <c r="A2915" s="1">
        <v>44453</v>
      </c>
      <c r="B2915">
        <v>4191.67</v>
      </c>
      <c r="C2915">
        <v>6652.97</v>
      </c>
      <c r="D2915">
        <v>15722.99</v>
      </c>
      <c r="E2915">
        <v>8240.1198600000007</v>
      </c>
      <c r="F2915">
        <v>8780</v>
      </c>
      <c r="G2915">
        <v>26027.07</v>
      </c>
    </row>
    <row r="2916" spans="1:7" x14ac:dyDescent="0.35">
      <c r="A2916" s="1">
        <v>44454</v>
      </c>
      <c r="B2916">
        <v>4145.9399999999996</v>
      </c>
      <c r="C2916">
        <v>6583.62</v>
      </c>
      <c r="D2916">
        <v>15616</v>
      </c>
      <c r="E2916">
        <v>8218.9941699999999</v>
      </c>
      <c r="F2916">
        <v>8635.4</v>
      </c>
      <c r="G2916">
        <v>25762.1</v>
      </c>
    </row>
    <row r="2917" spans="1:7" x14ac:dyDescent="0.35">
      <c r="A2917" s="1">
        <v>44455</v>
      </c>
      <c r="B2917">
        <v>4169.87</v>
      </c>
      <c r="C2917">
        <v>6622.59</v>
      </c>
      <c r="D2917">
        <v>15651.75</v>
      </c>
      <c r="E2917">
        <v>8236.3738799999992</v>
      </c>
      <c r="F2917">
        <v>8733.7000000000007</v>
      </c>
      <c r="G2917">
        <v>25963.93</v>
      </c>
    </row>
    <row r="2918" spans="1:7" x14ac:dyDescent="0.35">
      <c r="A2918" s="1">
        <v>44456</v>
      </c>
      <c r="B2918">
        <v>4130.84</v>
      </c>
      <c r="C2918">
        <v>6570.19</v>
      </c>
      <c r="D2918">
        <v>15490.17</v>
      </c>
      <c r="E2918">
        <v>8163.8375500000002</v>
      </c>
      <c r="F2918">
        <v>8760.9</v>
      </c>
      <c r="G2918">
        <v>25709.56</v>
      </c>
    </row>
    <row r="2919" spans="1:7" x14ac:dyDescent="0.35">
      <c r="A2919" s="1">
        <v>44459</v>
      </c>
      <c r="B2919">
        <v>4043.63</v>
      </c>
      <c r="C2919">
        <v>6455.81</v>
      </c>
      <c r="D2919">
        <v>15132.06</v>
      </c>
      <c r="E2919">
        <v>8035.9109399999998</v>
      </c>
      <c r="F2919">
        <v>8655.4</v>
      </c>
      <c r="G2919">
        <v>25048.26</v>
      </c>
    </row>
    <row r="2920" spans="1:7" x14ac:dyDescent="0.35">
      <c r="A2920" s="1">
        <v>44460</v>
      </c>
      <c r="B2920">
        <v>4097.51</v>
      </c>
      <c r="C2920">
        <v>6552.73</v>
      </c>
      <c r="D2920">
        <v>15348.53</v>
      </c>
      <c r="E2920">
        <v>8132.1750300000003</v>
      </c>
      <c r="F2920">
        <v>8756</v>
      </c>
      <c r="G2920">
        <v>25353.360000000001</v>
      </c>
    </row>
    <row r="2921" spans="1:7" x14ac:dyDescent="0.35">
      <c r="A2921" s="1">
        <v>44461</v>
      </c>
      <c r="B2921">
        <v>4150.1899999999996</v>
      </c>
      <c r="C2921">
        <v>6637</v>
      </c>
      <c r="D2921">
        <v>15506.74</v>
      </c>
      <c r="E2921">
        <v>8241.0950699999994</v>
      </c>
      <c r="F2921">
        <v>8808.4</v>
      </c>
      <c r="G2921">
        <v>25717.46</v>
      </c>
    </row>
    <row r="2922" spans="1:7" x14ac:dyDescent="0.35">
      <c r="A2922" s="1">
        <v>44462</v>
      </c>
      <c r="B2922">
        <v>4194.92</v>
      </c>
      <c r="C2922">
        <v>6701.98</v>
      </c>
      <c r="D2922">
        <v>15643.97</v>
      </c>
      <c r="E2922">
        <v>8284.3937999999998</v>
      </c>
      <c r="F2922">
        <v>8876.9</v>
      </c>
      <c r="G2922">
        <v>26081.13</v>
      </c>
    </row>
    <row r="2923" spans="1:7" x14ac:dyDescent="0.35">
      <c r="A2923" s="1">
        <v>44463</v>
      </c>
      <c r="B2923">
        <v>4158.51</v>
      </c>
      <c r="C2923">
        <v>6638.46</v>
      </c>
      <c r="D2923">
        <v>15531.75</v>
      </c>
      <c r="E2923">
        <v>8233.5478299999995</v>
      </c>
      <c r="F2923">
        <v>8873.1</v>
      </c>
      <c r="G2923">
        <v>25968.84</v>
      </c>
    </row>
    <row r="2924" spans="1:7" x14ac:dyDescent="0.35">
      <c r="A2924" s="1">
        <v>44466</v>
      </c>
      <c r="B2924">
        <v>4165.4799999999996</v>
      </c>
      <c r="C2924">
        <v>6650.91</v>
      </c>
      <c r="D2924">
        <v>15573.88</v>
      </c>
      <c r="E2924">
        <v>8273.0268699999997</v>
      </c>
      <c r="F2924">
        <v>9002.9</v>
      </c>
      <c r="G2924">
        <v>26132.240000000002</v>
      </c>
    </row>
    <row r="2925" spans="1:7" x14ac:dyDescent="0.35">
      <c r="A2925" s="1">
        <v>44467</v>
      </c>
      <c r="B2925">
        <v>4058.82</v>
      </c>
      <c r="C2925">
        <v>6506.5</v>
      </c>
      <c r="D2925">
        <v>15248.56</v>
      </c>
      <c r="E2925">
        <v>8139.8898300000001</v>
      </c>
      <c r="F2925">
        <v>8769.4</v>
      </c>
      <c r="G2925">
        <v>25573.25</v>
      </c>
    </row>
    <row r="2926" spans="1:7" x14ac:dyDescent="0.35">
      <c r="A2926" s="1">
        <v>44468</v>
      </c>
      <c r="B2926">
        <v>4080.22</v>
      </c>
      <c r="C2926">
        <v>6560.8</v>
      </c>
      <c r="D2926">
        <v>15365.27</v>
      </c>
      <c r="E2926">
        <v>8225.7605399999993</v>
      </c>
      <c r="F2926">
        <v>8879.4</v>
      </c>
      <c r="G2926">
        <v>25736.85</v>
      </c>
    </row>
    <row r="2927" spans="1:7" x14ac:dyDescent="0.35">
      <c r="A2927" s="1">
        <v>44469</v>
      </c>
      <c r="B2927">
        <v>4048.08</v>
      </c>
      <c r="C2927">
        <v>6520.01</v>
      </c>
      <c r="D2927">
        <v>15260.69</v>
      </c>
      <c r="E2927">
        <v>8243.9114699999991</v>
      </c>
      <c r="F2927">
        <v>8796.2999999999993</v>
      </c>
      <c r="G2927">
        <v>25683.81</v>
      </c>
    </row>
    <row r="2928" spans="1:7" x14ac:dyDescent="0.35">
      <c r="A2928" s="1">
        <v>44470</v>
      </c>
      <c r="B2928">
        <v>4035.3</v>
      </c>
      <c r="C2928">
        <v>6517.69</v>
      </c>
      <c r="D2928">
        <v>15156.44</v>
      </c>
      <c r="E2928">
        <v>8217.1334200000001</v>
      </c>
      <c r="F2928">
        <v>8799.5</v>
      </c>
      <c r="G2928">
        <v>25615.31</v>
      </c>
    </row>
    <row r="2929" spans="1:7" x14ac:dyDescent="0.35">
      <c r="A2929" s="1">
        <v>44473</v>
      </c>
      <c r="B2929">
        <v>3996.41</v>
      </c>
      <c r="C2929">
        <v>6477.66</v>
      </c>
      <c r="D2929">
        <v>15036.55</v>
      </c>
      <c r="E2929">
        <v>8211.1906400000007</v>
      </c>
      <c r="F2929">
        <v>8791.7000000000007</v>
      </c>
      <c r="G2929">
        <v>25460.799999999999</v>
      </c>
    </row>
    <row r="2930" spans="1:7" x14ac:dyDescent="0.35">
      <c r="A2930" s="1">
        <v>44474</v>
      </c>
      <c r="B2930">
        <v>4065.43</v>
      </c>
      <c r="C2930">
        <v>6576.28</v>
      </c>
      <c r="D2930">
        <v>15194.49</v>
      </c>
      <c r="E2930">
        <v>8319.3277199999993</v>
      </c>
      <c r="F2930">
        <v>8927.4</v>
      </c>
      <c r="G2930">
        <v>25956.02</v>
      </c>
    </row>
    <row r="2931" spans="1:7" x14ac:dyDescent="0.35">
      <c r="A2931" s="1">
        <v>44475</v>
      </c>
      <c r="B2931">
        <v>4012.65</v>
      </c>
      <c r="C2931">
        <v>6493.12</v>
      </c>
      <c r="D2931">
        <v>14973.33</v>
      </c>
      <c r="E2931">
        <v>8214.6774700000005</v>
      </c>
      <c r="F2931">
        <v>8775</v>
      </c>
      <c r="G2931">
        <v>25605.73</v>
      </c>
    </row>
    <row r="2932" spans="1:7" x14ac:dyDescent="0.35">
      <c r="A2932" s="1">
        <v>44476</v>
      </c>
      <c r="B2932">
        <v>4098.34</v>
      </c>
      <c r="C2932">
        <v>6600.19</v>
      </c>
      <c r="D2932">
        <v>15250.86</v>
      </c>
      <c r="E2932">
        <v>8343.4632099999999</v>
      </c>
      <c r="F2932">
        <v>8962.7999999999993</v>
      </c>
      <c r="G2932">
        <v>25992.29</v>
      </c>
    </row>
    <row r="2933" spans="1:7" x14ac:dyDescent="0.35">
      <c r="A2933" s="1">
        <v>44477</v>
      </c>
      <c r="B2933">
        <v>4073.29</v>
      </c>
      <c r="C2933">
        <v>6559.99</v>
      </c>
      <c r="D2933">
        <v>15206.13</v>
      </c>
      <c r="E2933">
        <v>8355.2494200000001</v>
      </c>
      <c r="F2933">
        <v>8955</v>
      </c>
      <c r="G2933">
        <v>26051.01</v>
      </c>
    </row>
    <row r="2934" spans="1:7" x14ac:dyDescent="0.35">
      <c r="A2934" s="1">
        <v>44480</v>
      </c>
      <c r="B2934">
        <v>4072.52</v>
      </c>
      <c r="C2934">
        <v>6570.54</v>
      </c>
      <c r="D2934">
        <v>15199.14</v>
      </c>
      <c r="E2934">
        <v>8412.0581600000005</v>
      </c>
      <c r="F2934">
        <v>8899</v>
      </c>
      <c r="G2934">
        <v>25930.46</v>
      </c>
    </row>
    <row r="2935" spans="1:7" x14ac:dyDescent="0.35">
      <c r="A2935" s="1">
        <v>44481</v>
      </c>
      <c r="B2935">
        <v>4055.09</v>
      </c>
      <c r="C2935">
        <v>6548.11</v>
      </c>
      <c r="D2935">
        <v>15146.87</v>
      </c>
      <c r="E2935">
        <v>8403.7504300000001</v>
      </c>
      <c r="F2935">
        <v>8935.9</v>
      </c>
      <c r="G2935">
        <v>25990.02</v>
      </c>
    </row>
    <row r="2936" spans="1:7" x14ac:dyDescent="0.35">
      <c r="A2936" s="1">
        <v>44482</v>
      </c>
      <c r="B2936">
        <v>4083.28</v>
      </c>
      <c r="C2936">
        <v>6597.38</v>
      </c>
      <c r="D2936">
        <v>15249.38</v>
      </c>
      <c r="E2936">
        <v>8414.9860499999995</v>
      </c>
      <c r="F2936">
        <v>8881.4</v>
      </c>
      <c r="G2936">
        <v>25958.69</v>
      </c>
    </row>
    <row r="2937" spans="1:7" x14ac:dyDescent="0.35">
      <c r="A2937" s="1">
        <v>44483</v>
      </c>
      <c r="B2937">
        <v>4149.0600000000004</v>
      </c>
      <c r="C2937">
        <v>6685.21</v>
      </c>
      <c r="D2937">
        <v>15462.72</v>
      </c>
      <c r="E2937">
        <v>8512.0392900000006</v>
      </c>
      <c r="F2937">
        <v>8925</v>
      </c>
      <c r="G2937">
        <v>26277.57</v>
      </c>
    </row>
    <row r="2938" spans="1:7" x14ac:dyDescent="0.35">
      <c r="A2938" s="1">
        <v>44484</v>
      </c>
      <c r="B2938">
        <v>4182.91</v>
      </c>
      <c r="C2938">
        <v>6727.52</v>
      </c>
      <c r="D2938">
        <v>15587.36</v>
      </c>
      <c r="E2938">
        <v>8583.5088199999991</v>
      </c>
      <c r="F2938">
        <v>8997</v>
      </c>
      <c r="G2938">
        <v>26489.18</v>
      </c>
    </row>
    <row r="2939" spans="1:7" x14ac:dyDescent="0.35">
      <c r="A2939" s="1">
        <v>44487</v>
      </c>
      <c r="B2939">
        <v>4151.3999999999996</v>
      </c>
      <c r="C2939">
        <v>6673.1</v>
      </c>
      <c r="D2939">
        <v>15474.47</v>
      </c>
      <c r="E2939">
        <v>8512.3212299999996</v>
      </c>
      <c r="F2939">
        <v>8936</v>
      </c>
      <c r="G2939">
        <v>26268.62</v>
      </c>
    </row>
    <row r="2940" spans="1:7" x14ac:dyDescent="0.35">
      <c r="A2940" s="1">
        <v>44488</v>
      </c>
      <c r="B2940">
        <v>4166.83</v>
      </c>
      <c r="C2940">
        <v>6669.85</v>
      </c>
      <c r="D2940">
        <v>15515.83</v>
      </c>
      <c r="E2940">
        <v>8557.9461499999998</v>
      </c>
      <c r="F2940">
        <v>8996.2999999999993</v>
      </c>
      <c r="G2940">
        <v>26332.99</v>
      </c>
    </row>
    <row r="2941" spans="1:7" x14ac:dyDescent="0.35">
      <c r="A2941" s="1">
        <v>44489</v>
      </c>
      <c r="B2941">
        <v>4172.17</v>
      </c>
      <c r="C2941">
        <v>6705.61</v>
      </c>
      <c r="D2941">
        <v>15522.92</v>
      </c>
      <c r="E2941">
        <v>8570.3048199999994</v>
      </c>
      <c r="F2941">
        <v>9017.9</v>
      </c>
      <c r="G2941">
        <v>26581.77</v>
      </c>
    </row>
    <row r="2942" spans="1:7" x14ac:dyDescent="0.35">
      <c r="A2942" s="1">
        <v>44490</v>
      </c>
      <c r="B2942">
        <v>4155.7299999999996</v>
      </c>
      <c r="C2942">
        <v>6686.17</v>
      </c>
      <c r="D2942">
        <v>15472.56</v>
      </c>
      <c r="E2942">
        <v>8526.8949599999996</v>
      </c>
      <c r="F2942">
        <v>8944.2999999999993</v>
      </c>
      <c r="G2942">
        <v>26525.15</v>
      </c>
    </row>
    <row r="2943" spans="1:7" x14ac:dyDescent="0.35">
      <c r="A2943" s="1">
        <v>44491</v>
      </c>
      <c r="B2943">
        <v>4188.8100000000004</v>
      </c>
      <c r="C2943">
        <v>6733.69</v>
      </c>
      <c r="D2943">
        <v>15542.98</v>
      </c>
      <c r="E2943">
        <v>8519.4794700000002</v>
      </c>
      <c r="F2943">
        <v>8906.4</v>
      </c>
      <c r="G2943">
        <v>26571.73</v>
      </c>
    </row>
    <row r="2944" spans="1:7" x14ac:dyDescent="0.35">
      <c r="A2944" s="1">
        <v>44494</v>
      </c>
      <c r="B2944">
        <v>4188.3100000000004</v>
      </c>
      <c r="C2944">
        <v>6712.87</v>
      </c>
      <c r="D2944">
        <v>15599.23</v>
      </c>
      <c r="E2944">
        <v>8562.7072499999995</v>
      </c>
      <c r="F2944">
        <v>8920.9</v>
      </c>
      <c r="G2944">
        <v>26815.79</v>
      </c>
    </row>
    <row r="2945" spans="1:7" x14ac:dyDescent="0.35">
      <c r="A2945" s="1">
        <v>44495</v>
      </c>
      <c r="B2945">
        <v>4223.97</v>
      </c>
      <c r="C2945">
        <v>6766.51</v>
      </c>
      <c r="D2945">
        <v>15757.06</v>
      </c>
      <c r="E2945">
        <v>8642.4485399999994</v>
      </c>
      <c r="F2945">
        <v>9001.6</v>
      </c>
      <c r="G2945">
        <v>26970.95</v>
      </c>
    </row>
    <row r="2946" spans="1:7" x14ac:dyDescent="0.35">
      <c r="A2946" s="1">
        <v>44496</v>
      </c>
      <c r="B2946">
        <v>4220.88</v>
      </c>
      <c r="C2946">
        <v>6753.52</v>
      </c>
      <c r="D2946">
        <v>15705.81</v>
      </c>
      <c r="E2946">
        <v>8589.7110799999991</v>
      </c>
      <c r="F2946">
        <v>8972.2999999999993</v>
      </c>
      <c r="G2946">
        <v>26806.19</v>
      </c>
    </row>
    <row r="2947" spans="1:7" x14ac:dyDescent="0.35">
      <c r="A2947" s="1">
        <v>44497</v>
      </c>
      <c r="B2947">
        <v>4233.87</v>
      </c>
      <c r="C2947">
        <v>6804.22</v>
      </c>
      <c r="D2947">
        <v>15696.33</v>
      </c>
      <c r="E2947">
        <v>8561.7991299999994</v>
      </c>
      <c r="F2947">
        <v>9025.7999999999993</v>
      </c>
      <c r="G2947">
        <v>26890.35</v>
      </c>
    </row>
    <row r="2948" spans="1:7" x14ac:dyDescent="0.35">
      <c r="A2948" s="1">
        <v>44498</v>
      </c>
      <c r="B2948">
        <v>4250.5600000000004</v>
      </c>
      <c r="C2948">
        <v>6830.34</v>
      </c>
      <c r="D2948">
        <v>15688.77</v>
      </c>
      <c r="E2948">
        <v>8576.0719800000006</v>
      </c>
      <c r="F2948">
        <v>9057.7000000000007</v>
      </c>
      <c r="G2948">
        <v>26875.96</v>
      </c>
    </row>
    <row r="2949" spans="1:7" x14ac:dyDescent="0.35">
      <c r="A2949" s="1">
        <v>44501</v>
      </c>
      <c r="B2949">
        <v>4280.47</v>
      </c>
      <c r="C2949">
        <v>6893.29</v>
      </c>
      <c r="D2949">
        <v>15806.29</v>
      </c>
      <c r="E2949">
        <v>8587.4201499999999</v>
      </c>
      <c r="F2949">
        <v>9182.6</v>
      </c>
      <c r="G2949">
        <v>27206</v>
      </c>
    </row>
    <row r="2950" spans="1:7" x14ac:dyDescent="0.35">
      <c r="A2950" s="1">
        <v>44502</v>
      </c>
      <c r="B2950">
        <v>4296.22</v>
      </c>
      <c r="C2950">
        <v>6927.03</v>
      </c>
      <c r="D2950">
        <v>15954.45</v>
      </c>
      <c r="E2950">
        <v>8553.5385800000004</v>
      </c>
      <c r="F2950">
        <v>9105.7000000000007</v>
      </c>
      <c r="G2950">
        <v>27189.63</v>
      </c>
    </row>
    <row r="2951" spans="1:7" x14ac:dyDescent="0.35">
      <c r="A2951" s="1">
        <v>44503</v>
      </c>
      <c r="B2951">
        <v>4309.6099999999997</v>
      </c>
      <c r="C2951">
        <v>6950.65</v>
      </c>
      <c r="D2951">
        <v>15959.98</v>
      </c>
      <c r="E2951">
        <v>8547.35743</v>
      </c>
      <c r="F2951">
        <v>9030.7999999999993</v>
      </c>
      <c r="G2951">
        <v>27377.87</v>
      </c>
    </row>
    <row r="2952" spans="1:7" x14ac:dyDescent="0.35">
      <c r="A2952" s="1">
        <v>44504</v>
      </c>
      <c r="B2952">
        <v>4333.34</v>
      </c>
      <c r="C2952">
        <v>6987.79</v>
      </c>
      <c r="D2952">
        <v>16029.65</v>
      </c>
      <c r="E2952">
        <v>8506.1527399999995</v>
      </c>
      <c r="F2952">
        <v>9039.4</v>
      </c>
      <c r="G2952">
        <v>27522.05</v>
      </c>
    </row>
    <row r="2953" spans="1:7" x14ac:dyDescent="0.35">
      <c r="A2953" s="1">
        <v>44505</v>
      </c>
      <c r="B2953">
        <v>4363.04</v>
      </c>
      <c r="C2953">
        <v>7040.79</v>
      </c>
      <c r="D2953">
        <v>16054.36</v>
      </c>
      <c r="E2953">
        <v>8526.8692800000008</v>
      </c>
      <c r="F2953">
        <v>9130.6</v>
      </c>
      <c r="G2953">
        <v>27795.93</v>
      </c>
    </row>
    <row r="2954" spans="1:7" x14ac:dyDescent="0.35">
      <c r="A2954" s="1">
        <v>44508</v>
      </c>
      <c r="B2954">
        <v>4352.53</v>
      </c>
      <c r="C2954">
        <v>7047.48</v>
      </c>
      <c r="D2954">
        <v>16046.52</v>
      </c>
      <c r="E2954">
        <v>8542.9676500000005</v>
      </c>
      <c r="F2954">
        <v>9070.7999999999993</v>
      </c>
      <c r="G2954">
        <v>27711.09</v>
      </c>
    </row>
    <row r="2955" spans="1:7" x14ac:dyDescent="0.35">
      <c r="A2955" s="1">
        <v>44509</v>
      </c>
      <c r="B2955">
        <v>4344.63</v>
      </c>
      <c r="C2955">
        <v>7043.27</v>
      </c>
      <c r="D2955">
        <v>16040.47</v>
      </c>
      <c r="E2955">
        <v>8512.1077100000002</v>
      </c>
      <c r="F2955">
        <v>9074.9</v>
      </c>
      <c r="G2955">
        <v>27441.27</v>
      </c>
    </row>
    <row r="2956" spans="1:7" x14ac:dyDescent="0.35">
      <c r="A2956" s="1">
        <v>44510</v>
      </c>
      <c r="B2956">
        <v>4348.82</v>
      </c>
      <c r="C2956">
        <v>7045.16</v>
      </c>
      <c r="D2956">
        <v>16067.83</v>
      </c>
      <c r="E2956">
        <v>8581.5739099999992</v>
      </c>
      <c r="F2956">
        <v>9141.7999999999993</v>
      </c>
      <c r="G2956">
        <v>27561</v>
      </c>
    </row>
    <row r="2957" spans="1:7" x14ac:dyDescent="0.35">
      <c r="A2957" s="1">
        <v>44511</v>
      </c>
      <c r="B2957">
        <v>4358</v>
      </c>
      <c r="C2957">
        <v>7059.55</v>
      </c>
      <c r="D2957">
        <v>16083.11</v>
      </c>
      <c r="E2957">
        <v>8621.6475900000005</v>
      </c>
      <c r="F2957">
        <v>9092.2000000000007</v>
      </c>
      <c r="G2957">
        <v>27633.200000000001</v>
      </c>
    </row>
    <row r="2958" spans="1:7" x14ac:dyDescent="0.35">
      <c r="A2958" s="1">
        <v>44512</v>
      </c>
      <c r="B2958">
        <v>4370.33</v>
      </c>
      <c r="C2958">
        <v>7091.4</v>
      </c>
      <c r="D2958">
        <v>16094.07</v>
      </c>
      <c r="E2958">
        <v>8614.17137</v>
      </c>
      <c r="F2958">
        <v>9080.7999999999993</v>
      </c>
      <c r="G2958">
        <v>27732.39</v>
      </c>
    </row>
    <row r="2959" spans="1:7" x14ac:dyDescent="0.35">
      <c r="A2959" s="1">
        <v>44515</v>
      </c>
      <c r="B2959">
        <v>4386.1899999999996</v>
      </c>
      <c r="C2959">
        <v>7128.63</v>
      </c>
      <c r="D2959">
        <v>16148.64</v>
      </c>
      <c r="E2959">
        <v>8667.1365499999993</v>
      </c>
      <c r="F2959">
        <v>9095.7000000000007</v>
      </c>
      <c r="G2959">
        <v>27868.13</v>
      </c>
    </row>
    <row r="2960" spans="1:7" x14ac:dyDescent="0.35">
      <c r="A2960" s="1">
        <v>44516</v>
      </c>
      <c r="B2960">
        <v>4401.49</v>
      </c>
      <c r="C2960">
        <v>7152.6</v>
      </c>
      <c r="D2960">
        <v>16247.86</v>
      </c>
      <c r="E2960">
        <v>8685.9004399999994</v>
      </c>
      <c r="F2960">
        <v>9040.2000000000007</v>
      </c>
      <c r="G2960">
        <v>27804.93</v>
      </c>
    </row>
    <row r="2961" spans="1:7" x14ac:dyDescent="0.35">
      <c r="A2961" s="1">
        <v>44517</v>
      </c>
      <c r="B2961">
        <v>4400.8100000000004</v>
      </c>
      <c r="C2961">
        <v>7156.85</v>
      </c>
      <c r="D2961">
        <v>16251.13</v>
      </c>
      <c r="E2961">
        <v>8690.3064900000008</v>
      </c>
      <c r="F2961">
        <v>8993.4</v>
      </c>
      <c r="G2961">
        <v>27824.94</v>
      </c>
    </row>
    <row r="2962" spans="1:7" x14ac:dyDescent="0.35">
      <c r="A2962" s="1">
        <v>44518</v>
      </c>
      <c r="B2962">
        <v>4383.7</v>
      </c>
      <c r="C2962">
        <v>7141.98</v>
      </c>
      <c r="D2962">
        <v>16221.73</v>
      </c>
      <c r="E2962">
        <v>8613.9796000000006</v>
      </c>
      <c r="F2962">
        <v>8903.2000000000007</v>
      </c>
      <c r="G2962">
        <v>27661.82</v>
      </c>
    </row>
    <row r="2963" spans="1:7" x14ac:dyDescent="0.35">
      <c r="A2963" s="1">
        <v>44519</v>
      </c>
      <c r="B2963">
        <v>4356.47</v>
      </c>
      <c r="C2963">
        <v>7112.29</v>
      </c>
      <c r="D2963">
        <v>16159.97</v>
      </c>
      <c r="E2963">
        <v>8603.3243000000002</v>
      </c>
      <c r="F2963">
        <v>8753.2000000000007</v>
      </c>
      <c r="G2963">
        <v>27337.46</v>
      </c>
    </row>
    <row r="2964" spans="1:7" x14ac:dyDescent="0.35">
      <c r="A2964" s="1">
        <v>44522</v>
      </c>
      <c r="B2964">
        <v>4338.6899999999996</v>
      </c>
      <c r="C2964">
        <v>7105</v>
      </c>
      <c r="D2964">
        <v>16115.69</v>
      </c>
      <c r="E2964">
        <v>8639.7253899999996</v>
      </c>
      <c r="F2964">
        <v>8821.2999999999993</v>
      </c>
      <c r="G2964">
        <v>27382.87</v>
      </c>
    </row>
    <row r="2965" spans="1:7" x14ac:dyDescent="0.35">
      <c r="A2965" s="1">
        <v>44523</v>
      </c>
      <c r="B2965">
        <v>4283.82</v>
      </c>
      <c r="C2965">
        <v>7044.62</v>
      </c>
      <c r="D2965">
        <v>15937</v>
      </c>
      <c r="E2965">
        <v>8635.5706499999997</v>
      </c>
      <c r="F2965">
        <v>8815.1</v>
      </c>
      <c r="G2965">
        <v>26939.4</v>
      </c>
    </row>
    <row r="2966" spans="1:7" x14ac:dyDescent="0.35">
      <c r="A2966" s="1">
        <v>44524</v>
      </c>
      <c r="B2966">
        <v>4276.25</v>
      </c>
      <c r="C2966">
        <v>7042.23</v>
      </c>
      <c r="D2966">
        <v>15878.39</v>
      </c>
      <c r="E2966">
        <v>8670.5646099999994</v>
      </c>
      <c r="F2966">
        <v>8792</v>
      </c>
      <c r="G2966">
        <v>27109.3</v>
      </c>
    </row>
    <row r="2967" spans="1:7" x14ac:dyDescent="0.35">
      <c r="A2967" s="1">
        <v>44525</v>
      </c>
      <c r="B2967">
        <v>4293.24</v>
      </c>
      <c r="C2967">
        <v>7075.87</v>
      </c>
      <c r="D2967">
        <v>15917.98</v>
      </c>
      <c r="E2967">
        <v>8689.6235699999997</v>
      </c>
      <c r="F2967">
        <v>8840.9</v>
      </c>
      <c r="G2967">
        <v>27098.83</v>
      </c>
    </row>
    <row r="2968" spans="1:7" x14ac:dyDescent="0.35">
      <c r="A2968" s="1">
        <v>44526</v>
      </c>
      <c r="B2968">
        <v>4089.58</v>
      </c>
      <c r="C2968">
        <v>6739.73</v>
      </c>
      <c r="D2968">
        <v>15257.04</v>
      </c>
      <c r="E2968">
        <v>8309.0141600000006</v>
      </c>
      <c r="F2968">
        <v>8402.7000000000007</v>
      </c>
      <c r="G2968">
        <v>25852.99</v>
      </c>
    </row>
    <row r="2969" spans="1:7" x14ac:dyDescent="0.35">
      <c r="A2969" s="1">
        <v>44529</v>
      </c>
      <c r="B2969">
        <v>4109.51</v>
      </c>
      <c r="C2969">
        <v>6776.25</v>
      </c>
      <c r="D2969">
        <v>15280.86</v>
      </c>
      <c r="E2969">
        <v>8392.7444899999991</v>
      </c>
      <c r="F2969">
        <v>8455.2000000000007</v>
      </c>
      <c r="G2969">
        <v>26041.55</v>
      </c>
    </row>
    <row r="2970" spans="1:7" x14ac:dyDescent="0.35">
      <c r="A2970" s="1">
        <v>44530</v>
      </c>
      <c r="B2970">
        <v>4063.06</v>
      </c>
      <c r="C2970">
        <v>6721.16</v>
      </c>
      <c r="D2970">
        <v>15100.13</v>
      </c>
      <c r="E2970">
        <v>8278.3613100000002</v>
      </c>
      <c r="F2970">
        <v>8305.1</v>
      </c>
      <c r="G2970">
        <v>25814.34</v>
      </c>
    </row>
    <row r="2971" spans="1:7" x14ac:dyDescent="0.35">
      <c r="A2971" s="1">
        <v>44531</v>
      </c>
      <c r="B2971">
        <v>4179.1499999999996</v>
      </c>
      <c r="C2971">
        <v>6881.87</v>
      </c>
      <c r="D2971">
        <v>15472.67</v>
      </c>
      <c r="E2971">
        <v>8421.4897600000004</v>
      </c>
      <c r="F2971">
        <v>8452.6</v>
      </c>
      <c r="G2971">
        <v>26371.919999999998</v>
      </c>
    </row>
    <row r="2972" spans="1:7" x14ac:dyDescent="0.35">
      <c r="A2972" s="1">
        <v>44532</v>
      </c>
      <c r="B2972">
        <v>4108.0200000000004</v>
      </c>
      <c r="C2972">
        <v>6795.75</v>
      </c>
      <c r="D2972">
        <v>15263.11</v>
      </c>
      <c r="E2972">
        <v>8390.0514399999993</v>
      </c>
      <c r="F2972">
        <v>8300.7999999999993</v>
      </c>
      <c r="G2972">
        <v>26005.4</v>
      </c>
    </row>
    <row r="2973" spans="1:7" x14ac:dyDescent="0.35">
      <c r="A2973" s="1">
        <v>44533</v>
      </c>
      <c r="B2973">
        <v>4080.15</v>
      </c>
      <c r="C2973">
        <v>6765.52</v>
      </c>
      <c r="D2973">
        <v>15169.98</v>
      </c>
      <c r="E2973">
        <v>8335.0853000000006</v>
      </c>
      <c r="F2973">
        <v>8241.7000000000007</v>
      </c>
      <c r="G2973">
        <v>25938.52</v>
      </c>
    </row>
    <row r="2974" spans="1:7" x14ac:dyDescent="0.35">
      <c r="A2974" s="1">
        <v>44536</v>
      </c>
      <c r="B2974">
        <v>4137.1099999999997</v>
      </c>
      <c r="C2974">
        <v>6865.78</v>
      </c>
      <c r="D2974">
        <v>15380.79</v>
      </c>
      <c r="E2974">
        <v>8498.6824300000007</v>
      </c>
      <c r="F2974">
        <v>8439.7000000000007</v>
      </c>
      <c r="G2974">
        <v>26498.07</v>
      </c>
    </row>
    <row r="2975" spans="1:7" x14ac:dyDescent="0.35">
      <c r="A2975" s="1">
        <v>44537</v>
      </c>
      <c r="B2975">
        <v>4276.2</v>
      </c>
      <c r="C2975">
        <v>7065.39</v>
      </c>
      <c r="D2975">
        <v>15813.94</v>
      </c>
      <c r="E2975">
        <v>8634.3700900000003</v>
      </c>
      <c r="F2975">
        <v>8559.5</v>
      </c>
      <c r="G2975">
        <v>27137.98</v>
      </c>
    </row>
    <row r="2976" spans="1:7" x14ac:dyDescent="0.35">
      <c r="A2976" s="1">
        <v>44538</v>
      </c>
      <c r="B2976">
        <v>4233.09</v>
      </c>
      <c r="C2976">
        <v>7014.57</v>
      </c>
      <c r="D2976">
        <v>15687.09</v>
      </c>
      <c r="E2976">
        <v>8557.6289400000005</v>
      </c>
      <c r="F2976">
        <v>8478.4</v>
      </c>
      <c r="G2976">
        <v>26751.93</v>
      </c>
    </row>
    <row r="2977" spans="1:7" x14ac:dyDescent="0.35">
      <c r="A2977" s="1">
        <v>44539</v>
      </c>
      <c r="B2977">
        <v>4208.3</v>
      </c>
      <c r="C2977">
        <v>7008.23</v>
      </c>
      <c r="D2977">
        <v>15639.26</v>
      </c>
      <c r="E2977">
        <v>8567.6250799999998</v>
      </c>
      <c r="F2977">
        <v>8399.6</v>
      </c>
      <c r="G2977">
        <v>26817.38</v>
      </c>
    </row>
    <row r="2978" spans="1:7" x14ac:dyDescent="0.35">
      <c r="A2978" s="1">
        <v>44540</v>
      </c>
      <c r="B2978">
        <v>4199.16</v>
      </c>
      <c r="C2978">
        <v>6991.68</v>
      </c>
      <c r="D2978">
        <v>15623.31</v>
      </c>
      <c r="E2978">
        <v>8547.3396100000009</v>
      </c>
      <c r="F2978">
        <v>8360.2000000000007</v>
      </c>
      <c r="G2978">
        <v>26721.98</v>
      </c>
    </row>
    <row r="2979" spans="1:7" x14ac:dyDescent="0.35">
      <c r="A2979" s="1">
        <v>44543</v>
      </c>
      <c r="B2979">
        <v>4183.04</v>
      </c>
      <c r="C2979">
        <v>6942.91</v>
      </c>
      <c r="D2979">
        <v>15621.72</v>
      </c>
      <c r="E2979">
        <v>8460.9064699999999</v>
      </c>
      <c r="F2979">
        <v>8322.7000000000007</v>
      </c>
      <c r="G2979">
        <v>26551.02</v>
      </c>
    </row>
    <row r="2980" spans="1:7" x14ac:dyDescent="0.35">
      <c r="A2980" s="1">
        <v>44544</v>
      </c>
      <c r="B2980">
        <v>4144.51</v>
      </c>
      <c r="C2980">
        <v>6895.31</v>
      </c>
      <c r="D2980">
        <v>15453.56</v>
      </c>
      <c r="E2980">
        <v>8471.2712800000008</v>
      </c>
      <c r="F2980">
        <v>8378.5</v>
      </c>
      <c r="G2980">
        <v>26556.67</v>
      </c>
    </row>
    <row r="2981" spans="1:7" x14ac:dyDescent="0.35">
      <c r="A2981" s="1">
        <v>44545</v>
      </c>
      <c r="B2981">
        <v>4159.68</v>
      </c>
      <c r="C2981">
        <v>6927.63</v>
      </c>
      <c r="D2981">
        <v>15476.35</v>
      </c>
      <c r="E2981">
        <v>8413.8498199999995</v>
      </c>
      <c r="F2981">
        <v>8275</v>
      </c>
      <c r="G2981">
        <v>26666.080000000002</v>
      </c>
    </row>
    <row r="2982" spans="1:7" x14ac:dyDescent="0.35">
      <c r="A2982" s="1">
        <v>44546</v>
      </c>
      <c r="B2982">
        <v>4201.87</v>
      </c>
      <c r="C2982">
        <v>7005.07</v>
      </c>
      <c r="D2982">
        <v>15636.4</v>
      </c>
      <c r="E2982">
        <v>8544.2714799999994</v>
      </c>
      <c r="F2982">
        <v>8380</v>
      </c>
      <c r="G2982">
        <v>26782.44</v>
      </c>
    </row>
    <row r="2983" spans="1:7" x14ac:dyDescent="0.35">
      <c r="A2983" s="1">
        <v>44547</v>
      </c>
      <c r="B2983">
        <v>4161.3500000000004</v>
      </c>
      <c r="C2983">
        <v>6926.63</v>
      </c>
      <c r="D2983">
        <v>15531.69</v>
      </c>
      <c r="E2983">
        <v>8555.7693600000002</v>
      </c>
      <c r="F2983">
        <v>8311.6</v>
      </c>
      <c r="G2983">
        <v>26611.41</v>
      </c>
    </row>
    <row r="2984" spans="1:7" x14ac:dyDescent="0.35">
      <c r="A2984" s="1">
        <v>44550</v>
      </c>
      <c r="B2984">
        <v>4107.13</v>
      </c>
      <c r="C2984">
        <v>6870.1</v>
      </c>
      <c r="D2984">
        <v>15239.67</v>
      </c>
      <c r="E2984">
        <v>8427.25756</v>
      </c>
      <c r="F2984">
        <v>8242.4</v>
      </c>
      <c r="G2984">
        <v>26177.759999999998</v>
      </c>
    </row>
    <row r="2985" spans="1:7" x14ac:dyDescent="0.35">
      <c r="A2985" s="1">
        <v>44551</v>
      </c>
      <c r="B2985">
        <v>4174.99</v>
      </c>
      <c r="C2985">
        <v>6964.99</v>
      </c>
      <c r="D2985">
        <v>15447.44</v>
      </c>
      <c r="E2985">
        <v>8581.1116600000005</v>
      </c>
      <c r="F2985">
        <v>8387.5</v>
      </c>
      <c r="G2985">
        <v>26653.3</v>
      </c>
    </row>
    <row r="2986" spans="1:7" x14ac:dyDescent="0.35">
      <c r="A2986" s="1">
        <v>44552</v>
      </c>
      <c r="B2986">
        <v>4217.0600000000004</v>
      </c>
      <c r="C2986">
        <v>7051.67</v>
      </c>
      <c r="D2986">
        <v>15593.47</v>
      </c>
      <c r="E2986">
        <v>8655.8877799999991</v>
      </c>
      <c r="F2986">
        <v>8459.1</v>
      </c>
      <c r="G2986">
        <v>26827.93</v>
      </c>
    </row>
    <row r="2987" spans="1:7" x14ac:dyDescent="0.35">
      <c r="A2987" s="1">
        <v>44553</v>
      </c>
      <c r="B2987">
        <v>4265.8599999999997</v>
      </c>
      <c r="C2987">
        <v>7106.15</v>
      </c>
      <c r="D2987">
        <v>15756.31</v>
      </c>
      <c r="E2987">
        <v>8726.7774599999993</v>
      </c>
      <c r="F2987">
        <v>8563.7000000000007</v>
      </c>
      <c r="G2987">
        <v>27016.22</v>
      </c>
    </row>
    <row r="2988" spans="1:7" x14ac:dyDescent="0.35">
      <c r="A2988" s="1">
        <v>44559</v>
      </c>
      <c r="B2988">
        <v>4284.83</v>
      </c>
      <c r="C2988">
        <v>7161.52</v>
      </c>
      <c r="D2988">
        <v>15852.25</v>
      </c>
      <c r="E2988">
        <v>8823.9321400000008</v>
      </c>
      <c r="F2988">
        <v>8673.7000000000007</v>
      </c>
      <c r="G2988">
        <v>27344.25</v>
      </c>
    </row>
    <row r="2989" spans="1:7" x14ac:dyDescent="0.35">
      <c r="A2989" s="1">
        <v>44560</v>
      </c>
      <c r="B2989">
        <v>4306.07</v>
      </c>
      <c r="C2989">
        <v>7173.23</v>
      </c>
      <c r="D2989">
        <v>15884.86</v>
      </c>
      <c r="E2989">
        <v>8823.4196100000008</v>
      </c>
      <c r="F2989">
        <v>8713.7999999999993</v>
      </c>
      <c r="G2989">
        <v>27346.83</v>
      </c>
    </row>
    <row r="2990" spans="1:7" x14ac:dyDescent="0.35">
      <c r="A2990" s="1">
        <v>44565</v>
      </c>
      <c r="B2990">
        <v>4367.62</v>
      </c>
      <c r="C2990">
        <v>7317.41</v>
      </c>
      <c r="D2990">
        <v>16152.61</v>
      </c>
      <c r="E2990">
        <v>8995.0159700000004</v>
      </c>
      <c r="F2990">
        <v>8795.7999999999993</v>
      </c>
      <c r="G2990">
        <v>27954.84</v>
      </c>
    </row>
    <row r="2991" spans="1:7" x14ac:dyDescent="0.35">
      <c r="A2991" s="1">
        <v>44566</v>
      </c>
      <c r="B2991">
        <v>4392.1499999999996</v>
      </c>
      <c r="C2991">
        <v>7376.37</v>
      </c>
      <c r="D2991">
        <v>16271.75</v>
      </c>
      <c r="E2991">
        <v>9006.8553400000001</v>
      </c>
      <c r="F2991">
        <v>8790.7999999999993</v>
      </c>
      <c r="G2991">
        <v>28162.67</v>
      </c>
    </row>
    <row r="2992" spans="1:7" x14ac:dyDescent="0.35">
      <c r="A2992" s="1">
        <v>44567</v>
      </c>
      <c r="B2992">
        <v>4324.8100000000004</v>
      </c>
      <c r="C2992">
        <v>7249.66</v>
      </c>
      <c r="D2992">
        <v>16052.03</v>
      </c>
      <c r="E2992">
        <v>8924.4826900000007</v>
      </c>
      <c r="F2992">
        <v>8789.9</v>
      </c>
      <c r="G2992">
        <v>27655.69</v>
      </c>
    </row>
    <row r="2993" spans="1:7" x14ac:dyDescent="0.35">
      <c r="A2993" s="1">
        <v>44568</v>
      </c>
      <c r="B2993">
        <v>4305.83</v>
      </c>
      <c r="C2993">
        <v>7219.48</v>
      </c>
      <c r="D2993">
        <v>15947.74</v>
      </c>
      <c r="E2993">
        <v>8950.4360699999997</v>
      </c>
      <c r="F2993">
        <v>8751.7999999999993</v>
      </c>
      <c r="G2993">
        <v>27618.47</v>
      </c>
    </row>
    <row r="2994" spans="1:7" x14ac:dyDescent="0.35">
      <c r="A2994" s="1">
        <v>44571</v>
      </c>
      <c r="B2994">
        <v>4239.5200000000004</v>
      </c>
      <c r="C2994">
        <v>7115.77</v>
      </c>
      <c r="D2994">
        <v>15768.27</v>
      </c>
      <c r="E2994">
        <v>8913.4015099999997</v>
      </c>
      <c r="F2994">
        <v>8706.9</v>
      </c>
      <c r="G2994">
        <v>27353.71</v>
      </c>
    </row>
    <row r="2995" spans="1:7" x14ac:dyDescent="0.35">
      <c r="A2995" s="1">
        <v>44572</v>
      </c>
      <c r="B2995">
        <v>4281.54</v>
      </c>
      <c r="C2995">
        <v>7183.38</v>
      </c>
      <c r="D2995">
        <v>15941.81</v>
      </c>
      <c r="E2995">
        <v>8984.4975599999998</v>
      </c>
      <c r="F2995">
        <v>8755.9</v>
      </c>
      <c r="G2995">
        <v>27535.48</v>
      </c>
    </row>
    <row r="2996" spans="1:7" x14ac:dyDescent="0.35">
      <c r="A2996" s="1">
        <v>44573</v>
      </c>
      <c r="B2996">
        <v>4316.3900000000003</v>
      </c>
      <c r="C2996">
        <v>7237.19</v>
      </c>
      <c r="D2996">
        <v>16010.32</v>
      </c>
      <c r="E2996">
        <v>9045.0389799999994</v>
      </c>
      <c r="F2996">
        <v>8770.2999999999993</v>
      </c>
      <c r="G2996">
        <v>27714.26</v>
      </c>
    </row>
    <row r="2997" spans="1:7" x14ac:dyDescent="0.35">
      <c r="A2997" s="1">
        <v>44574</v>
      </c>
      <c r="B2997">
        <v>4315.8999999999996</v>
      </c>
      <c r="C2997">
        <v>7201.14</v>
      </c>
      <c r="D2997">
        <v>16031.59</v>
      </c>
      <c r="E2997">
        <v>9050.0894399999997</v>
      </c>
      <c r="F2997">
        <v>8816.9</v>
      </c>
      <c r="G2997">
        <v>27844.45</v>
      </c>
    </row>
    <row r="2998" spans="1:7" x14ac:dyDescent="0.35">
      <c r="A2998" s="1">
        <v>44575</v>
      </c>
      <c r="B2998">
        <v>4272.1899999999996</v>
      </c>
      <c r="C2998">
        <v>7143</v>
      </c>
      <c r="D2998">
        <v>15883.24</v>
      </c>
      <c r="E2998">
        <v>9034.0751799999998</v>
      </c>
      <c r="F2998">
        <v>8806.6</v>
      </c>
      <c r="G2998">
        <v>27543.96</v>
      </c>
    </row>
    <row r="2999" spans="1:7" x14ac:dyDescent="0.35">
      <c r="A2999" s="1">
        <v>44578</v>
      </c>
      <c r="B2999">
        <v>4302.1400000000003</v>
      </c>
      <c r="C2999">
        <v>7201.64</v>
      </c>
      <c r="D2999">
        <v>15933.72</v>
      </c>
      <c r="E2999">
        <v>9104.5303800000002</v>
      </c>
      <c r="F2999">
        <v>8838.7000000000007</v>
      </c>
      <c r="G2999">
        <v>27688.560000000001</v>
      </c>
    </row>
    <row r="3000" spans="1:7" x14ac:dyDescent="0.35">
      <c r="A3000" s="1">
        <v>44579</v>
      </c>
      <c r="B3000">
        <v>4257.82</v>
      </c>
      <c r="C3000">
        <v>7133.83</v>
      </c>
      <c r="D3000">
        <v>15772.56</v>
      </c>
      <c r="E3000">
        <v>9069.1794000000009</v>
      </c>
      <c r="F3000">
        <v>8781.6</v>
      </c>
      <c r="G3000">
        <v>27483.279999999999</v>
      </c>
    </row>
    <row r="3001" spans="1:7" x14ac:dyDescent="0.35">
      <c r="A3001" s="1">
        <v>44580</v>
      </c>
      <c r="B3001">
        <v>4268.28</v>
      </c>
      <c r="C3001">
        <v>7172.98</v>
      </c>
      <c r="D3001">
        <v>15809.72</v>
      </c>
      <c r="E3001">
        <v>9116.4234099999994</v>
      </c>
      <c r="F3001">
        <v>8774.9</v>
      </c>
      <c r="G3001">
        <v>27370.85</v>
      </c>
    </row>
    <row r="3002" spans="1:7" x14ac:dyDescent="0.35">
      <c r="A3002" s="1">
        <v>44581</v>
      </c>
      <c r="B3002">
        <v>4299.6099999999997</v>
      </c>
      <c r="C3002">
        <v>7194.16</v>
      </c>
      <c r="D3002">
        <v>15912.33</v>
      </c>
      <c r="E3002">
        <v>9125.1815399999996</v>
      </c>
      <c r="F3002">
        <v>8814.6</v>
      </c>
      <c r="G3002">
        <v>27570</v>
      </c>
    </row>
    <row r="3003" spans="1:7" x14ac:dyDescent="0.35">
      <c r="A3003" s="1">
        <v>44582</v>
      </c>
      <c r="B3003">
        <v>4229.5600000000004</v>
      </c>
      <c r="C3003">
        <v>7068.59</v>
      </c>
      <c r="D3003">
        <v>15603.88</v>
      </c>
      <c r="E3003">
        <v>8954.5144</v>
      </c>
      <c r="F3003">
        <v>8694.7000000000007</v>
      </c>
      <c r="G3003">
        <v>27061.4</v>
      </c>
    </row>
    <row r="3004" spans="1:7" x14ac:dyDescent="0.35">
      <c r="A3004" s="1">
        <v>44585</v>
      </c>
      <c r="B3004">
        <v>4054.36</v>
      </c>
      <c r="C3004">
        <v>6787.79</v>
      </c>
      <c r="D3004">
        <v>15011.13</v>
      </c>
      <c r="E3004">
        <v>8667.9423000000006</v>
      </c>
      <c r="F3004">
        <v>8417.7999999999993</v>
      </c>
      <c r="G3004">
        <v>25972.9</v>
      </c>
    </row>
    <row r="3005" spans="1:7" x14ac:dyDescent="0.35">
      <c r="A3005" s="1">
        <v>44586</v>
      </c>
      <c r="B3005">
        <v>4078.26</v>
      </c>
      <c r="C3005">
        <v>6837.96</v>
      </c>
      <c r="D3005">
        <v>15123.87</v>
      </c>
      <c r="E3005">
        <v>8814.6675300000006</v>
      </c>
      <c r="F3005">
        <v>8479.5</v>
      </c>
      <c r="G3005">
        <v>26028.89</v>
      </c>
    </row>
    <row r="3006" spans="1:7" x14ac:dyDescent="0.35">
      <c r="A3006" s="1">
        <v>44587</v>
      </c>
      <c r="B3006">
        <v>4164.6000000000004</v>
      </c>
      <c r="C3006">
        <v>6981.96</v>
      </c>
      <c r="D3006">
        <v>15459.39</v>
      </c>
      <c r="E3006">
        <v>8948.1188099999999</v>
      </c>
      <c r="F3006">
        <v>8620.2000000000007</v>
      </c>
      <c r="G3006">
        <v>26619.25</v>
      </c>
    </row>
    <row r="3007" spans="1:7" x14ac:dyDescent="0.35">
      <c r="A3007" s="1">
        <v>44588</v>
      </c>
      <c r="B3007">
        <v>4184.97</v>
      </c>
      <c r="C3007">
        <v>7023.8</v>
      </c>
      <c r="D3007">
        <v>15524.27</v>
      </c>
      <c r="E3007">
        <v>9069.3767499999994</v>
      </c>
      <c r="F3007">
        <v>8706</v>
      </c>
      <c r="G3007">
        <v>26882.47</v>
      </c>
    </row>
    <row r="3008" spans="1:7" x14ac:dyDescent="0.35">
      <c r="A3008" s="1">
        <v>44589</v>
      </c>
      <c r="B3008">
        <v>4136.91</v>
      </c>
      <c r="C3008">
        <v>6965.88</v>
      </c>
      <c r="D3008">
        <v>15318.95</v>
      </c>
      <c r="E3008">
        <v>8964.5064299999995</v>
      </c>
      <c r="F3008">
        <v>8609.7999999999993</v>
      </c>
      <c r="G3008">
        <v>26565.41</v>
      </c>
    </row>
    <row r="3009" spans="1:7" x14ac:dyDescent="0.35">
      <c r="A3009" s="1">
        <v>44592</v>
      </c>
      <c r="B3009">
        <v>4174.6000000000004</v>
      </c>
      <c r="C3009">
        <v>6999.2</v>
      </c>
      <c r="D3009">
        <v>15471.2</v>
      </c>
      <c r="E3009">
        <v>8940.0784100000001</v>
      </c>
      <c r="F3009">
        <v>8612.7999999999993</v>
      </c>
      <c r="G3009">
        <v>26814.05</v>
      </c>
    </row>
    <row r="3010" spans="1:7" x14ac:dyDescent="0.35">
      <c r="A3010" s="1">
        <v>44593</v>
      </c>
      <c r="B3010">
        <v>4224.45</v>
      </c>
      <c r="C3010">
        <v>7099.49</v>
      </c>
      <c r="D3010">
        <v>15619.39</v>
      </c>
      <c r="E3010">
        <v>9050.9777400000003</v>
      </c>
      <c r="F3010">
        <v>8726.7000000000007</v>
      </c>
      <c r="G3010">
        <v>27224.89</v>
      </c>
    </row>
    <row r="3011" spans="1:7" x14ac:dyDescent="0.35">
      <c r="A3011" s="1">
        <v>44594</v>
      </c>
      <c r="B3011">
        <v>4222.05</v>
      </c>
      <c r="C3011">
        <v>7115.27</v>
      </c>
      <c r="D3011">
        <v>15613.77</v>
      </c>
      <c r="E3011">
        <v>9102.8179600000003</v>
      </c>
      <c r="F3011">
        <v>8713.2000000000007</v>
      </c>
      <c r="G3011">
        <v>27388.73</v>
      </c>
    </row>
    <row r="3012" spans="1:7" x14ac:dyDescent="0.35">
      <c r="A3012" s="1">
        <v>44595</v>
      </c>
      <c r="B3012">
        <v>4141.0200000000004</v>
      </c>
      <c r="C3012">
        <v>7005.63</v>
      </c>
      <c r="D3012">
        <v>15368.47</v>
      </c>
      <c r="E3012">
        <v>8952.5039099999995</v>
      </c>
      <c r="F3012">
        <v>8689.4</v>
      </c>
      <c r="G3012">
        <v>27088.959999999999</v>
      </c>
    </row>
    <row r="3013" spans="1:7" x14ac:dyDescent="0.35">
      <c r="A3013" s="1">
        <v>44596</v>
      </c>
      <c r="B3013">
        <v>4086.58</v>
      </c>
      <c r="C3013">
        <v>6951.38</v>
      </c>
      <c r="D3013">
        <v>15099.56</v>
      </c>
      <c r="E3013">
        <v>8882.0040200000003</v>
      </c>
      <c r="F3013">
        <v>8589.2999999999993</v>
      </c>
      <c r="G3013">
        <v>26603.59</v>
      </c>
    </row>
    <row r="3014" spans="1:7" x14ac:dyDescent="0.35">
      <c r="A3014" s="1">
        <v>44599</v>
      </c>
      <c r="B3014">
        <v>4120.5600000000004</v>
      </c>
      <c r="C3014">
        <v>7009.25</v>
      </c>
      <c r="D3014">
        <v>15206.64</v>
      </c>
      <c r="E3014">
        <v>8964.9351100000003</v>
      </c>
      <c r="F3014">
        <v>8558.4</v>
      </c>
      <c r="G3014">
        <v>26328.93</v>
      </c>
    </row>
    <row r="3015" spans="1:7" x14ac:dyDescent="0.35">
      <c r="A3015" s="1">
        <v>44600</v>
      </c>
      <c r="B3015">
        <v>4129.25</v>
      </c>
      <c r="C3015">
        <v>7028.41</v>
      </c>
      <c r="D3015">
        <v>15242.38</v>
      </c>
      <c r="E3015">
        <v>8973.6797200000001</v>
      </c>
      <c r="F3015">
        <v>8674.6</v>
      </c>
      <c r="G3015">
        <v>26411.73</v>
      </c>
    </row>
    <row r="3016" spans="1:7" x14ac:dyDescent="0.35">
      <c r="A3016" s="1">
        <v>44601</v>
      </c>
      <c r="B3016">
        <v>4204.09</v>
      </c>
      <c r="C3016">
        <v>7130.88</v>
      </c>
      <c r="D3016">
        <v>15482.01</v>
      </c>
      <c r="E3016">
        <v>9047.4089299999996</v>
      </c>
      <c r="F3016">
        <v>8846.4</v>
      </c>
      <c r="G3016">
        <v>27128.99</v>
      </c>
    </row>
    <row r="3017" spans="1:7" x14ac:dyDescent="0.35">
      <c r="A3017" s="1">
        <v>44602</v>
      </c>
      <c r="B3017">
        <v>4197.07</v>
      </c>
      <c r="C3017">
        <v>7101.55</v>
      </c>
      <c r="D3017">
        <v>15490.44</v>
      </c>
      <c r="E3017">
        <v>9109.1765200000009</v>
      </c>
      <c r="F3017">
        <v>8886.2000000000007</v>
      </c>
      <c r="G3017">
        <v>27190.2</v>
      </c>
    </row>
    <row r="3018" spans="1:7" x14ac:dyDescent="0.35">
      <c r="A3018" s="1">
        <v>44603</v>
      </c>
      <c r="B3018">
        <v>4155.2299999999996</v>
      </c>
      <c r="C3018">
        <v>7011.6</v>
      </c>
      <c r="D3018">
        <v>15425.12</v>
      </c>
      <c r="E3018">
        <v>9142.5404099999996</v>
      </c>
      <c r="F3018">
        <v>8798.1</v>
      </c>
      <c r="G3018">
        <v>26966.1</v>
      </c>
    </row>
    <row r="3019" spans="1:7" x14ac:dyDescent="0.35">
      <c r="A3019" s="1">
        <v>44606</v>
      </c>
      <c r="B3019">
        <v>4064.45</v>
      </c>
      <c r="C3019">
        <v>6852.2</v>
      </c>
      <c r="D3019">
        <v>15113.97</v>
      </c>
      <c r="E3019">
        <v>9010.6051499999994</v>
      </c>
      <c r="F3019">
        <v>8573.7999999999993</v>
      </c>
      <c r="G3019">
        <v>26415.41</v>
      </c>
    </row>
    <row r="3020" spans="1:7" x14ac:dyDescent="0.35">
      <c r="A3020" s="1">
        <v>44607</v>
      </c>
      <c r="B3020">
        <v>4143.71</v>
      </c>
      <c r="C3020">
        <v>6979.97</v>
      </c>
      <c r="D3020">
        <v>15412.71</v>
      </c>
      <c r="E3020">
        <v>9064.5220000000008</v>
      </c>
      <c r="F3020">
        <v>8718</v>
      </c>
      <c r="G3020">
        <v>26967.98</v>
      </c>
    </row>
    <row r="3021" spans="1:7" x14ac:dyDescent="0.35">
      <c r="A3021" s="1">
        <v>44608</v>
      </c>
      <c r="B3021">
        <v>4137.22</v>
      </c>
      <c r="C3021">
        <v>6964.98</v>
      </c>
      <c r="D3021">
        <v>15370.3</v>
      </c>
      <c r="E3021">
        <v>9078.4119699999992</v>
      </c>
      <c r="F3021">
        <v>8737.2000000000007</v>
      </c>
      <c r="G3021">
        <v>26969.32</v>
      </c>
    </row>
    <row r="3022" spans="1:7" x14ac:dyDescent="0.35">
      <c r="A3022" s="1">
        <v>44609</v>
      </c>
      <c r="B3022">
        <v>4113.1899999999996</v>
      </c>
      <c r="C3022">
        <v>6946.82</v>
      </c>
      <c r="D3022">
        <v>15267.63</v>
      </c>
      <c r="E3022">
        <v>9040.3317999999999</v>
      </c>
      <c r="F3022">
        <v>8671.1</v>
      </c>
      <c r="G3022">
        <v>26669.27</v>
      </c>
    </row>
    <row r="3023" spans="1:7" x14ac:dyDescent="0.35">
      <c r="A3023" s="1">
        <v>44610</v>
      </c>
      <c r="B3023">
        <v>4074.28</v>
      </c>
      <c r="C3023">
        <v>6929.63</v>
      </c>
      <c r="D3023">
        <v>15042.51</v>
      </c>
      <c r="E3023">
        <v>9014.0876599999992</v>
      </c>
      <c r="F3023">
        <v>8590</v>
      </c>
      <c r="G3023">
        <v>26506.79</v>
      </c>
    </row>
    <row r="3024" spans="1:7" x14ac:dyDescent="0.35">
      <c r="A3024" s="1">
        <v>44613</v>
      </c>
      <c r="B3024">
        <v>3985.71</v>
      </c>
      <c r="C3024">
        <v>6788.34</v>
      </c>
      <c r="D3024">
        <v>14731.12</v>
      </c>
      <c r="E3024">
        <v>8989.6468999999997</v>
      </c>
      <c r="F3024">
        <v>8488.9</v>
      </c>
      <c r="G3024">
        <v>26050.03</v>
      </c>
    </row>
    <row r="3025" spans="1:7" x14ac:dyDescent="0.35">
      <c r="A3025" s="1">
        <v>44614</v>
      </c>
      <c r="B3025">
        <v>3985.47</v>
      </c>
      <c r="C3025">
        <v>6787.6</v>
      </c>
      <c r="D3025">
        <v>14693</v>
      </c>
      <c r="E3025">
        <v>8988.5557399999998</v>
      </c>
      <c r="F3025">
        <v>8493.2000000000007</v>
      </c>
      <c r="G3025">
        <v>26043.96</v>
      </c>
    </row>
    <row r="3026" spans="1:7" x14ac:dyDescent="0.35">
      <c r="A3026" s="1">
        <v>44615</v>
      </c>
      <c r="B3026">
        <v>3973.41</v>
      </c>
      <c r="C3026">
        <v>6780.67</v>
      </c>
      <c r="D3026">
        <v>14631.36</v>
      </c>
      <c r="E3026">
        <v>8982.3052700000007</v>
      </c>
      <c r="F3026">
        <v>8440.1</v>
      </c>
      <c r="G3026">
        <v>25955.08</v>
      </c>
    </row>
    <row r="3027" spans="1:7" x14ac:dyDescent="0.35">
      <c r="A3027" s="1">
        <v>44616</v>
      </c>
      <c r="B3027">
        <v>3829.29</v>
      </c>
      <c r="C3027">
        <v>6521.05</v>
      </c>
      <c r="D3027">
        <v>14052.1</v>
      </c>
      <c r="E3027">
        <v>8627.9444600000006</v>
      </c>
      <c r="F3027">
        <v>8198.5</v>
      </c>
      <c r="G3027">
        <v>24879.88</v>
      </c>
    </row>
    <row r="3028" spans="1:7" x14ac:dyDescent="0.35">
      <c r="A3028" s="1">
        <v>44617</v>
      </c>
      <c r="B3028">
        <v>3970.69</v>
      </c>
      <c r="C3028">
        <v>6752.43</v>
      </c>
      <c r="D3028">
        <v>14567.23</v>
      </c>
      <c r="E3028">
        <v>8917.2611500000003</v>
      </c>
      <c r="F3028">
        <v>8486.6</v>
      </c>
      <c r="G3028">
        <v>25773.03</v>
      </c>
    </row>
    <row r="3029" spans="1:7" x14ac:dyDescent="0.35">
      <c r="A3029" s="1">
        <v>44620</v>
      </c>
      <c r="B3029">
        <v>3924.23</v>
      </c>
      <c r="C3029">
        <v>6658.83</v>
      </c>
      <c r="D3029">
        <v>14461.02</v>
      </c>
      <c r="E3029">
        <v>8913.2910100000008</v>
      </c>
      <c r="F3029">
        <v>8479.2000000000007</v>
      </c>
      <c r="G3029">
        <v>25415.89</v>
      </c>
    </row>
    <row r="3030" spans="1:7" x14ac:dyDescent="0.35">
      <c r="A3030" s="1">
        <v>44621</v>
      </c>
      <c r="B3030">
        <v>3765.85</v>
      </c>
      <c r="C3030">
        <v>6396.49</v>
      </c>
      <c r="D3030">
        <v>13904.85</v>
      </c>
      <c r="E3030">
        <v>8784.4947900000006</v>
      </c>
      <c r="F3030">
        <v>8188.2</v>
      </c>
      <c r="G3030">
        <v>24363.56</v>
      </c>
    </row>
    <row r="3031" spans="1:7" x14ac:dyDescent="0.35">
      <c r="A3031" s="1">
        <v>44622</v>
      </c>
      <c r="B3031">
        <v>3820.59</v>
      </c>
      <c r="C3031">
        <v>6498.02</v>
      </c>
      <c r="D3031">
        <v>14000.11</v>
      </c>
      <c r="E3031">
        <v>8939.1598699999995</v>
      </c>
      <c r="F3031">
        <v>8321</v>
      </c>
      <c r="G3031">
        <v>24534.33</v>
      </c>
    </row>
    <row r="3032" spans="1:7" x14ac:dyDescent="0.35">
      <c r="A3032" s="1">
        <v>44623</v>
      </c>
      <c r="B3032">
        <v>3741.78</v>
      </c>
      <c r="C3032">
        <v>6378.37</v>
      </c>
      <c r="D3032">
        <v>13698.4</v>
      </c>
      <c r="E3032">
        <v>8734.3069300000006</v>
      </c>
      <c r="F3032">
        <v>8011.4</v>
      </c>
      <c r="G3032">
        <v>23958.83</v>
      </c>
    </row>
    <row r="3033" spans="1:7" x14ac:dyDescent="0.35">
      <c r="A3033" s="1">
        <v>44624</v>
      </c>
      <c r="B3033">
        <v>3556.01</v>
      </c>
      <c r="C3033">
        <v>6061.66</v>
      </c>
      <c r="D3033">
        <v>13094.54</v>
      </c>
      <c r="E3033">
        <v>8459.2612000000008</v>
      </c>
      <c r="F3033">
        <v>7720.9</v>
      </c>
      <c r="G3033">
        <v>22464.86</v>
      </c>
    </row>
    <row r="3034" spans="1:7" x14ac:dyDescent="0.35">
      <c r="A3034" s="1">
        <v>44627</v>
      </c>
      <c r="B3034">
        <v>3512.22</v>
      </c>
      <c r="C3034">
        <v>5982.27</v>
      </c>
      <c r="D3034">
        <v>12834.65</v>
      </c>
      <c r="E3034">
        <v>8391.0530400000007</v>
      </c>
      <c r="F3034">
        <v>7644.6</v>
      </c>
      <c r="G3034">
        <v>22160.28</v>
      </c>
    </row>
    <row r="3035" spans="1:7" x14ac:dyDescent="0.35">
      <c r="A3035" s="1">
        <v>44628</v>
      </c>
      <c r="B3035">
        <v>3505.29</v>
      </c>
      <c r="C3035">
        <v>5962.96</v>
      </c>
      <c r="D3035">
        <v>12831.51</v>
      </c>
      <c r="E3035">
        <v>8358.4593600000007</v>
      </c>
      <c r="F3035">
        <v>7783.4</v>
      </c>
      <c r="G3035">
        <v>22338.13</v>
      </c>
    </row>
    <row r="3036" spans="1:7" x14ac:dyDescent="0.35">
      <c r="A3036" s="1">
        <v>44629</v>
      </c>
      <c r="B3036">
        <v>3766.02</v>
      </c>
      <c r="C3036">
        <v>6387.83</v>
      </c>
      <c r="D3036">
        <v>13847.93</v>
      </c>
      <c r="E3036">
        <v>8545.6248699999996</v>
      </c>
      <c r="F3036">
        <v>8163.1</v>
      </c>
      <c r="G3036">
        <v>23889.49</v>
      </c>
    </row>
    <row r="3037" spans="1:7" x14ac:dyDescent="0.35">
      <c r="A3037" s="1">
        <v>44630</v>
      </c>
      <c r="B3037">
        <v>3651.39</v>
      </c>
      <c r="C3037">
        <v>6207.2</v>
      </c>
      <c r="D3037">
        <v>13442.1</v>
      </c>
      <c r="E3037">
        <v>8460.7716899999996</v>
      </c>
      <c r="F3037">
        <v>8069.3</v>
      </c>
      <c r="G3037">
        <v>22886.69</v>
      </c>
    </row>
    <row r="3038" spans="1:7" x14ac:dyDescent="0.35">
      <c r="A3038" s="1">
        <v>44631</v>
      </c>
      <c r="B3038">
        <v>3686.78</v>
      </c>
      <c r="C3038">
        <v>6260.25</v>
      </c>
      <c r="D3038">
        <v>13628.11</v>
      </c>
      <c r="E3038">
        <v>8549.9278599999998</v>
      </c>
      <c r="F3038">
        <v>8142.1</v>
      </c>
      <c r="G3038">
        <v>23041.200000000001</v>
      </c>
    </row>
    <row r="3039" spans="1:7" x14ac:dyDescent="0.35">
      <c r="A3039" s="1">
        <v>44634</v>
      </c>
      <c r="B3039">
        <v>3741.1</v>
      </c>
      <c r="C3039">
        <v>6369.94</v>
      </c>
      <c r="D3039">
        <v>13929.11</v>
      </c>
      <c r="E3039">
        <v>8538.4358699999993</v>
      </c>
      <c r="F3039">
        <v>8234.4</v>
      </c>
      <c r="G3039">
        <v>23426.7</v>
      </c>
    </row>
    <row r="3040" spans="1:7" x14ac:dyDescent="0.35">
      <c r="A3040" s="1">
        <v>44635</v>
      </c>
      <c r="B3040">
        <v>3738.11</v>
      </c>
      <c r="C3040">
        <v>6355</v>
      </c>
      <c r="D3040">
        <v>13917.27</v>
      </c>
      <c r="E3040">
        <v>8555.9955599999994</v>
      </c>
      <c r="F3040">
        <v>8236.1</v>
      </c>
      <c r="G3040">
        <v>23499.86</v>
      </c>
    </row>
    <row r="3041" spans="1:7" x14ac:dyDescent="0.35">
      <c r="A3041" s="1">
        <v>44636</v>
      </c>
      <c r="B3041">
        <v>3889.69</v>
      </c>
      <c r="C3041">
        <v>6588.64</v>
      </c>
      <c r="D3041">
        <v>14440.74</v>
      </c>
      <c r="E3041">
        <v>8689.0749699999997</v>
      </c>
      <c r="F3041">
        <v>8380.4</v>
      </c>
      <c r="G3041">
        <v>24284.85</v>
      </c>
    </row>
    <row r="3042" spans="1:7" x14ac:dyDescent="0.35">
      <c r="A3042" s="1">
        <v>44637</v>
      </c>
      <c r="B3042">
        <v>3885.32</v>
      </c>
      <c r="C3042">
        <v>6612.52</v>
      </c>
      <c r="D3042">
        <v>14388.06</v>
      </c>
      <c r="E3042">
        <v>8740.67965</v>
      </c>
      <c r="F3042">
        <v>8412</v>
      </c>
      <c r="G3042">
        <v>24123.58</v>
      </c>
    </row>
    <row r="3043" spans="1:7" x14ac:dyDescent="0.35">
      <c r="A3043" s="1">
        <v>44638</v>
      </c>
      <c r="B3043">
        <v>3902.44</v>
      </c>
      <c r="C3043">
        <v>6620.24</v>
      </c>
      <c r="D3043">
        <v>14413.09</v>
      </c>
      <c r="E3043">
        <v>8830.9055000000008</v>
      </c>
      <c r="F3043">
        <v>8417.6</v>
      </c>
      <c r="G3043">
        <v>24222.16</v>
      </c>
    </row>
    <row r="3044" spans="1:7" x14ac:dyDescent="0.35">
      <c r="A3044" s="1">
        <v>44641</v>
      </c>
      <c r="B3044">
        <v>3881.8</v>
      </c>
      <c r="C3044">
        <v>6582.33</v>
      </c>
      <c r="D3044">
        <v>14326.97</v>
      </c>
      <c r="E3044">
        <v>8890.2522900000004</v>
      </c>
      <c r="F3044">
        <v>8389.2000000000007</v>
      </c>
      <c r="G3044">
        <v>24294.71</v>
      </c>
    </row>
    <row r="3045" spans="1:7" x14ac:dyDescent="0.35">
      <c r="A3045" s="1">
        <v>44642</v>
      </c>
      <c r="B3045">
        <v>3926.12</v>
      </c>
      <c r="C3045">
        <v>6659.41</v>
      </c>
      <c r="D3045">
        <v>14473.2</v>
      </c>
      <c r="E3045">
        <v>8988.6141200000002</v>
      </c>
      <c r="F3045">
        <v>8487.2000000000007</v>
      </c>
      <c r="G3045">
        <v>24533.84</v>
      </c>
    </row>
    <row r="3046" spans="1:7" x14ac:dyDescent="0.35">
      <c r="A3046" s="1">
        <v>44643</v>
      </c>
      <c r="B3046">
        <v>3869.22</v>
      </c>
      <c r="C3046">
        <v>6581.43</v>
      </c>
      <c r="D3046">
        <v>14283.65</v>
      </c>
      <c r="E3046">
        <v>8953.2983000000004</v>
      </c>
      <c r="F3046">
        <v>8328.4</v>
      </c>
      <c r="G3046">
        <v>24298.66</v>
      </c>
    </row>
    <row r="3047" spans="1:7" x14ac:dyDescent="0.35">
      <c r="A3047" s="1">
        <v>44644</v>
      </c>
      <c r="B3047">
        <v>3863.39</v>
      </c>
      <c r="C3047">
        <v>6555.77</v>
      </c>
      <c r="D3047">
        <v>14273.79</v>
      </c>
      <c r="E3047">
        <v>8946.0489300000008</v>
      </c>
      <c r="F3047">
        <v>8305.1</v>
      </c>
      <c r="G3047">
        <v>24401.48</v>
      </c>
    </row>
    <row r="3048" spans="1:7" x14ac:dyDescent="0.35">
      <c r="A3048" s="1">
        <v>44645</v>
      </c>
      <c r="B3048">
        <v>3867.73</v>
      </c>
      <c r="C3048">
        <v>6553.68</v>
      </c>
      <c r="D3048">
        <v>14305.76</v>
      </c>
      <c r="E3048">
        <v>8983.9689999999991</v>
      </c>
      <c r="F3048">
        <v>8330.6</v>
      </c>
      <c r="G3048">
        <v>24558.74</v>
      </c>
    </row>
    <row r="3049" spans="1:7" x14ac:dyDescent="0.35">
      <c r="A3049" s="1">
        <v>44648</v>
      </c>
      <c r="B3049">
        <v>3887.1</v>
      </c>
      <c r="C3049">
        <v>6589.11</v>
      </c>
      <c r="D3049">
        <v>14417.37</v>
      </c>
      <c r="E3049">
        <v>8897.8899899999997</v>
      </c>
      <c r="F3049">
        <v>8365.6</v>
      </c>
      <c r="G3049">
        <v>24712.6</v>
      </c>
    </row>
    <row r="3050" spans="1:7" x14ac:dyDescent="0.35">
      <c r="A3050" s="1">
        <v>44649</v>
      </c>
      <c r="B3050">
        <v>4002.18</v>
      </c>
      <c r="C3050">
        <v>6792.16</v>
      </c>
      <c r="D3050">
        <v>14820.33</v>
      </c>
      <c r="E3050">
        <v>8901.8459800000001</v>
      </c>
      <c r="F3050">
        <v>8614.6</v>
      </c>
      <c r="G3050">
        <v>25307.98</v>
      </c>
    </row>
    <row r="3051" spans="1:7" x14ac:dyDescent="0.35">
      <c r="A3051" s="1">
        <v>44650</v>
      </c>
      <c r="B3051">
        <v>3959.14</v>
      </c>
      <c r="C3051">
        <v>6741.59</v>
      </c>
      <c r="D3051">
        <v>14606.05</v>
      </c>
      <c r="E3051">
        <v>8928.4834599999995</v>
      </c>
      <c r="F3051">
        <v>8550.6</v>
      </c>
      <c r="G3051">
        <v>25300.25</v>
      </c>
    </row>
    <row r="3052" spans="1:7" x14ac:dyDescent="0.35">
      <c r="A3052" s="1">
        <v>44651</v>
      </c>
      <c r="B3052">
        <v>3902.52</v>
      </c>
      <c r="C3052">
        <v>6659.87</v>
      </c>
      <c r="D3052">
        <v>14414.75</v>
      </c>
      <c r="E3052">
        <v>8910.7128200000006</v>
      </c>
      <c r="F3052">
        <v>8445.1</v>
      </c>
      <c r="G3052">
        <v>25021.26</v>
      </c>
    </row>
    <row r="3053" spans="1:7" x14ac:dyDescent="0.35">
      <c r="A3053" s="1">
        <v>44652</v>
      </c>
      <c r="B3053">
        <v>3918.68</v>
      </c>
      <c r="C3053">
        <v>6684.31</v>
      </c>
      <c r="D3053">
        <v>14446.48</v>
      </c>
      <c r="E3053">
        <v>8947.8423500000008</v>
      </c>
      <c r="F3053">
        <v>8503.7000000000007</v>
      </c>
      <c r="G3053">
        <v>25163.3</v>
      </c>
    </row>
    <row r="3054" spans="1:7" x14ac:dyDescent="0.35">
      <c r="A3054" s="1">
        <v>44655</v>
      </c>
      <c r="B3054">
        <v>3951.12</v>
      </c>
      <c r="C3054">
        <v>6731.37</v>
      </c>
      <c r="D3054">
        <v>14518.16</v>
      </c>
      <c r="E3054">
        <v>9025.2471700000006</v>
      </c>
      <c r="F3054">
        <v>8520.7999999999993</v>
      </c>
      <c r="G3054">
        <v>25175.86</v>
      </c>
    </row>
    <row r="3055" spans="1:7" x14ac:dyDescent="0.35">
      <c r="A3055" s="1">
        <v>44656</v>
      </c>
      <c r="B3055">
        <v>3917.85</v>
      </c>
      <c r="C3055">
        <v>6645.51</v>
      </c>
      <c r="D3055">
        <v>14424.36</v>
      </c>
      <c r="E3055">
        <v>9128.2322000000004</v>
      </c>
      <c r="F3055">
        <v>8623.2999999999993</v>
      </c>
      <c r="G3055">
        <v>24960.38</v>
      </c>
    </row>
    <row r="3056" spans="1:7" x14ac:dyDescent="0.35">
      <c r="A3056" s="1">
        <v>44657</v>
      </c>
      <c r="B3056">
        <v>3824.69</v>
      </c>
      <c r="C3056">
        <v>6498.83</v>
      </c>
      <c r="D3056">
        <v>14151.69</v>
      </c>
      <c r="E3056">
        <v>9095.7797200000005</v>
      </c>
      <c r="F3056">
        <v>8482.1</v>
      </c>
      <c r="G3056">
        <v>24447.360000000001</v>
      </c>
    </row>
    <row r="3057" spans="1:7" x14ac:dyDescent="0.35">
      <c r="A3057" s="1">
        <v>44658</v>
      </c>
      <c r="B3057">
        <v>3802.01</v>
      </c>
      <c r="C3057">
        <v>6461.68</v>
      </c>
      <c r="D3057">
        <v>14078.15</v>
      </c>
      <c r="E3057">
        <v>9063.2828699999991</v>
      </c>
      <c r="F3057">
        <v>8467.4</v>
      </c>
      <c r="G3057">
        <v>24302.71</v>
      </c>
    </row>
    <row r="3058" spans="1:7" x14ac:dyDescent="0.35">
      <c r="A3058" s="1">
        <v>44659</v>
      </c>
      <c r="B3058">
        <v>3858.37</v>
      </c>
      <c r="C3058">
        <v>6548.22</v>
      </c>
      <c r="D3058">
        <v>14283.67</v>
      </c>
      <c r="E3058">
        <v>9193.3136400000003</v>
      </c>
      <c r="F3058">
        <v>8606.4</v>
      </c>
      <c r="G3058">
        <v>24819.15</v>
      </c>
    </row>
    <row r="3059" spans="1:7" x14ac:dyDescent="0.35">
      <c r="A3059" s="1">
        <v>44662</v>
      </c>
      <c r="B3059">
        <v>3839.62</v>
      </c>
      <c r="C3059">
        <v>6555.81</v>
      </c>
      <c r="D3059">
        <v>14192.78</v>
      </c>
      <c r="E3059">
        <v>9121.9422500000001</v>
      </c>
      <c r="F3059">
        <v>8585</v>
      </c>
      <c r="G3059">
        <v>24749.49</v>
      </c>
    </row>
    <row r="3060" spans="1:7" x14ac:dyDescent="0.35">
      <c r="A3060" s="1">
        <v>44663</v>
      </c>
      <c r="B3060">
        <v>3831.47</v>
      </c>
      <c r="C3060">
        <v>6537.41</v>
      </c>
      <c r="D3060">
        <v>14124.95</v>
      </c>
      <c r="E3060">
        <v>9100.0983699999997</v>
      </c>
      <c r="F3060">
        <v>8578</v>
      </c>
      <c r="G3060">
        <v>24667.27</v>
      </c>
    </row>
    <row r="3061" spans="1:7" x14ac:dyDescent="0.35">
      <c r="A3061" s="1">
        <v>44664</v>
      </c>
      <c r="B3061">
        <v>3827.96</v>
      </c>
      <c r="C3061">
        <v>6542.14</v>
      </c>
      <c r="D3061">
        <v>14076.44</v>
      </c>
      <c r="E3061">
        <v>9121.7602599999991</v>
      </c>
      <c r="F3061">
        <v>8617.7999999999993</v>
      </c>
      <c r="G3061">
        <v>24722.16</v>
      </c>
    </row>
    <row r="3062" spans="1:7" x14ac:dyDescent="0.35">
      <c r="A3062" s="1">
        <v>44665</v>
      </c>
      <c r="B3062">
        <v>3848.68</v>
      </c>
      <c r="C3062">
        <v>6589.35</v>
      </c>
      <c r="D3062">
        <v>14163.85</v>
      </c>
      <c r="E3062">
        <v>9194.4409799999994</v>
      </c>
      <c r="F3062">
        <v>8699</v>
      </c>
      <c r="G3062">
        <v>24862.35</v>
      </c>
    </row>
    <row r="3063" spans="1:7" x14ac:dyDescent="0.35">
      <c r="A3063" s="1">
        <v>44670</v>
      </c>
      <c r="B3063">
        <v>3830.76</v>
      </c>
      <c r="C3063">
        <v>6534.79</v>
      </c>
      <c r="D3063">
        <v>14153.46</v>
      </c>
      <c r="E3063">
        <v>9158.0074999999997</v>
      </c>
      <c r="F3063">
        <v>8694</v>
      </c>
      <c r="G3063">
        <v>24624.41</v>
      </c>
    </row>
    <row r="3064" spans="1:7" x14ac:dyDescent="0.35">
      <c r="A3064" s="1">
        <v>44671</v>
      </c>
      <c r="B3064">
        <v>3896.81</v>
      </c>
      <c r="C3064">
        <v>6624.91</v>
      </c>
      <c r="D3064">
        <v>14362.03</v>
      </c>
      <c r="E3064">
        <v>9182.7861499999999</v>
      </c>
      <c r="F3064">
        <v>8769.5</v>
      </c>
      <c r="G3064">
        <v>24878.23</v>
      </c>
    </row>
    <row r="3065" spans="1:7" x14ac:dyDescent="0.35">
      <c r="A3065" s="1">
        <v>44672</v>
      </c>
      <c r="B3065">
        <v>3928.03</v>
      </c>
      <c r="C3065">
        <v>6715.1</v>
      </c>
      <c r="D3065">
        <v>14502.41</v>
      </c>
      <c r="E3065">
        <v>9169.1560499999996</v>
      </c>
      <c r="F3065">
        <v>8814.6</v>
      </c>
      <c r="G3065">
        <v>24805.62</v>
      </c>
    </row>
    <row r="3066" spans="1:7" x14ac:dyDescent="0.35">
      <c r="A3066" s="1">
        <v>44673</v>
      </c>
      <c r="B3066">
        <v>3840.01</v>
      </c>
      <c r="C3066">
        <v>6581.42</v>
      </c>
      <c r="D3066">
        <v>14142.09</v>
      </c>
      <c r="E3066">
        <v>8957.7703099999999</v>
      </c>
      <c r="F3066">
        <v>8652.2999999999993</v>
      </c>
      <c r="G3066">
        <v>24279.63</v>
      </c>
    </row>
    <row r="3067" spans="1:7" x14ac:dyDescent="0.35">
      <c r="A3067" s="1">
        <v>44676</v>
      </c>
      <c r="B3067">
        <v>3757.59</v>
      </c>
      <c r="C3067">
        <v>6449.38</v>
      </c>
      <c r="D3067">
        <v>13924.17</v>
      </c>
      <c r="E3067">
        <v>8768.4810300000008</v>
      </c>
      <c r="F3067">
        <v>8574.6</v>
      </c>
      <c r="G3067">
        <v>23908.55</v>
      </c>
    </row>
    <row r="3068" spans="1:7" x14ac:dyDescent="0.35">
      <c r="A3068" s="1">
        <v>44677</v>
      </c>
      <c r="B3068">
        <v>3721.36</v>
      </c>
      <c r="C3068">
        <v>6414.57</v>
      </c>
      <c r="D3068">
        <v>13756.4</v>
      </c>
      <c r="E3068">
        <v>8739.5279399999999</v>
      </c>
      <c r="F3068">
        <v>8439.2999999999993</v>
      </c>
      <c r="G3068">
        <v>23681.759999999998</v>
      </c>
    </row>
    <row r="3069" spans="1:7" x14ac:dyDescent="0.35">
      <c r="A3069" s="1">
        <v>44678</v>
      </c>
      <c r="B3069">
        <v>3734.64</v>
      </c>
      <c r="C3069">
        <v>6445.26</v>
      </c>
      <c r="D3069">
        <v>13793.94</v>
      </c>
      <c r="E3069">
        <v>8834.3880399999998</v>
      </c>
      <c r="F3069">
        <v>8477.7000000000007</v>
      </c>
      <c r="G3069">
        <v>23830.11</v>
      </c>
    </row>
    <row r="3070" spans="1:7" x14ac:dyDescent="0.35">
      <c r="A3070" s="1">
        <v>44679</v>
      </c>
      <c r="B3070">
        <v>3777.02</v>
      </c>
      <c r="C3070">
        <v>6508.14</v>
      </c>
      <c r="D3070">
        <v>13979.84</v>
      </c>
      <c r="E3070">
        <v>8902.7436699999998</v>
      </c>
      <c r="F3070">
        <v>8512.2000000000007</v>
      </c>
      <c r="G3070">
        <v>24055.56</v>
      </c>
    </row>
    <row r="3071" spans="1:7" x14ac:dyDescent="0.35">
      <c r="A3071" s="1">
        <v>44680</v>
      </c>
      <c r="B3071">
        <v>3802.86</v>
      </c>
      <c r="C3071">
        <v>6533.77</v>
      </c>
      <c r="D3071">
        <v>14097.88</v>
      </c>
      <c r="E3071">
        <v>8995.6725700000006</v>
      </c>
      <c r="F3071">
        <v>8584.2000000000007</v>
      </c>
      <c r="G3071">
        <v>24252.16</v>
      </c>
    </row>
    <row r="3072" spans="1:7" x14ac:dyDescent="0.35">
      <c r="A3072" s="1">
        <v>44684</v>
      </c>
      <c r="B3072">
        <v>3761.19</v>
      </c>
      <c r="C3072">
        <v>6476.18</v>
      </c>
      <c r="D3072">
        <v>14039.47</v>
      </c>
      <c r="E3072">
        <v>8979.2591300000004</v>
      </c>
      <c r="F3072">
        <v>8590.2000000000007</v>
      </c>
      <c r="G3072">
        <v>24242.25</v>
      </c>
    </row>
    <row r="3073" spans="1:7" x14ac:dyDescent="0.35">
      <c r="A3073" s="1">
        <v>44685</v>
      </c>
      <c r="B3073">
        <v>3724.99</v>
      </c>
      <c r="C3073">
        <v>6395.68</v>
      </c>
      <c r="D3073">
        <v>13970.82</v>
      </c>
      <c r="E3073">
        <v>8875.0748199999998</v>
      </c>
      <c r="F3073">
        <v>8500.5</v>
      </c>
      <c r="G3073">
        <v>23902.06</v>
      </c>
    </row>
    <row r="3074" spans="1:7" x14ac:dyDescent="0.35">
      <c r="A3074" s="1">
        <v>44686</v>
      </c>
      <c r="B3074">
        <v>3696.63</v>
      </c>
      <c r="C3074">
        <v>6368.4</v>
      </c>
      <c r="D3074">
        <v>13902.52</v>
      </c>
      <c r="E3074">
        <v>8807.4726699999992</v>
      </c>
      <c r="F3074">
        <v>8434.7000000000007</v>
      </c>
      <c r="G3074">
        <v>23759.71</v>
      </c>
    </row>
    <row r="3075" spans="1:7" x14ac:dyDescent="0.35">
      <c r="A3075" s="1">
        <v>44687</v>
      </c>
      <c r="B3075">
        <v>3629.17</v>
      </c>
      <c r="C3075">
        <v>6258.36</v>
      </c>
      <c r="D3075">
        <v>13674.29</v>
      </c>
      <c r="E3075">
        <v>8637.7873600000003</v>
      </c>
      <c r="F3075">
        <v>8322</v>
      </c>
      <c r="G3075">
        <v>23475.72</v>
      </c>
    </row>
    <row r="3076" spans="1:7" x14ac:dyDescent="0.35">
      <c r="A3076" s="1">
        <v>44690</v>
      </c>
      <c r="B3076">
        <v>3526.86</v>
      </c>
      <c r="C3076">
        <v>6086.02</v>
      </c>
      <c r="D3076">
        <v>13380.67</v>
      </c>
      <c r="E3076">
        <v>8427.3056400000005</v>
      </c>
      <c r="F3076">
        <v>8139.2</v>
      </c>
      <c r="G3076">
        <v>22832.560000000001</v>
      </c>
    </row>
    <row r="3077" spans="1:7" x14ac:dyDescent="0.35">
      <c r="A3077" s="1">
        <v>44691</v>
      </c>
      <c r="B3077">
        <v>3554.8</v>
      </c>
      <c r="C3077">
        <v>6116.91</v>
      </c>
      <c r="D3077">
        <v>13534.74</v>
      </c>
      <c r="E3077">
        <v>8464.4046099999996</v>
      </c>
      <c r="F3077">
        <v>8139.2</v>
      </c>
      <c r="G3077">
        <v>23069.78</v>
      </c>
    </row>
    <row r="3078" spans="1:7" x14ac:dyDescent="0.35">
      <c r="A3078" s="1">
        <v>44692</v>
      </c>
      <c r="B3078">
        <v>3647.87</v>
      </c>
      <c r="C3078">
        <v>6269.73</v>
      </c>
      <c r="D3078">
        <v>13828.64</v>
      </c>
      <c r="E3078">
        <v>8574.9445799999994</v>
      </c>
      <c r="F3078">
        <v>8312.6</v>
      </c>
      <c r="G3078">
        <v>23724.2</v>
      </c>
    </row>
    <row r="3079" spans="1:7" x14ac:dyDescent="0.35">
      <c r="A3079" s="1">
        <v>44693</v>
      </c>
      <c r="B3079">
        <v>3613.43</v>
      </c>
      <c r="C3079">
        <v>6206.26</v>
      </c>
      <c r="D3079">
        <v>13739.64</v>
      </c>
      <c r="E3079">
        <v>8514.0839199999991</v>
      </c>
      <c r="F3079">
        <v>8200.4</v>
      </c>
      <c r="G3079">
        <v>23566.23</v>
      </c>
    </row>
    <row r="3080" spans="1:7" x14ac:dyDescent="0.35">
      <c r="A3080" s="1">
        <v>44694</v>
      </c>
      <c r="B3080">
        <v>3703.42</v>
      </c>
      <c r="C3080">
        <v>6362.68</v>
      </c>
      <c r="D3080">
        <v>14027.93</v>
      </c>
      <c r="E3080">
        <v>8720.19247</v>
      </c>
      <c r="F3080">
        <v>8338.1</v>
      </c>
      <c r="G3080">
        <v>24048.29</v>
      </c>
    </row>
    <row r="3081" spans="1:7" x14ac:dyDescent="0.35">
      <c r="A3081" s="1">
        <v>44697</v>
      </c>
      <c r="B3081">
        <v>3685.34</v>
      </c>
      <c r="C3081">
        <v>6347.77</v>
      </c>
      <c r="D3081">
        <v>13964.38</v>
      </c>
      <c r="E3081">
        <v>8790.20478</v>
      </c>
      <c r="F3081">
        <v>8353.7000000000007</v>
      </c>
      <c r="G3081">
        <v>24033.05</v>
      </c>
    </row>
    <row r="3082" spans="1:7" x14ac:dyDescent="0.35">
      <c r="A3082" s="1">
        <v>44698</v>
      </c>
      <c r="B3082">
        <v>3741.51</v>
      </c>
      <c r="C3082">
        <v>6430.19</v>
      </c>
      <c r="D3082">
        <v>14185.94</v>
      </c>
      <c r="E3082">
        <v>8900.3629299999993</v>
      </c>
      <c r="F3082">
        <v>8475.7000000000007</v>
      </c>
      <c r="G3082">
        <v>24301.65</v>
      </c>
    </row>
    <row r="3083" spans="1:7" x14ac:dyDescent="0.35">
      <c r="A3083" s="1">
        <v>44699</v>
      </c>
      <c r="B3083">
        <v>3690.74</v>
      </c>
      <c r="C3083">
        <v>6352.94</v>
      </c>
      <c r="D3083">
        <v>14007.76</v>
      </c>
      <c r="E3083">
        <v>8782.8614899999993</v>
      </c>
      <c r="F3083">
        <v>8476.4</v>
      </c>
      <c r="G3083">
        <v>24085.82</v>
      </c>
    </row>
    <row r="3084" spans="1:7" x14ac:dyDescent="0.35">
      <c r="A3084" s="1">
        <v>44700</v>
      </c>
      <c r="B3084">
        <v>3640.55</v>
      </c>
      <c r="C3084">
        <v>6272.71</v>
      </c>
      <c r="D3084">
        <v>13882.3</v>
      </c>
      <c r="E3084">
        <v>8616.7230500000005</v>
      </c>
      <c r="F3084">
        <v>8406</v>
      </c>
      <c r="G3084">
        <v>24065.05</v>
      </c>
    </row>
    <row r="3085" spans="1:7" x14ac:dyDescent="0.35">
      <c r="A3085" s="1">
        <v>44701</v>
      </c>
      <c r="B3085">
        <v>3657.03</v>
      </c>
      <c r="C3085">
        <v>6285.24</v>
      </c>
      <c r="D3085">
        <v>13981.91</v>
      </c>
      <c r="E3085">
        <v>8737.1154200000001</v>
      </c>
      <c r="F3085">
        <v>8484.5</v>
      </c>
      <c r="G3085">
        <v>24095</v>
      </c>
    </row>
    <row r="3086" spans="1:7" x14ac:dyDescent="0.35">
      <c r="A3086" s="1">
        <v>44704</v>
      </c>
      <c r="B3086">
        <v>3708.39</v>
      </c>
      <c r="C3086">
        <v>6358.74</v>
      </c>
      <c r="D3086">
        <v>14175.4</v>
      </c>
      <c r="E3086">
        <v>8844.1429200000002</v>
      </c>
      <c r="F3086">
        <v>8625.7999999999993</v>
      </c>
      <c r="G3086">
        <v>24136.560000000001</v>
      </c>
    </row>
    <row r="3087" spans="1:7" x14ac:dyDescent="0.35">
      <c r="A3087" s="1">
        <v>44705</v>
      </c>
      <c r="B3087">
        <v>3647.56</v>
      </c>
      <c r="C3087">
        <v>6253.14</v>
      </c>
      <c r="D3087">
        <v>13919.75</v>
      </c>
      <c r="E3087">
        <v>8742.5521599999993</v>
      </c>
      <c r="F3087">
        <v>8631.2000000000007</v>
      </c>
      <c r="G3087">
        <v>23876.080000000002</v>
      </c>
    </row>
    <row r="3088" spans="1:7" x14ac:dyDescent="0.35">
      <c r="A3088" s="1">
        <v>44706</v>
      </c>
      <c r="B3088">
        <v>3677.1</v>
      </c>
      <c r="C3088">
        <v>6298.64</v>
      </c>
      <c r="D3088">
        <v>14007.93</v>
      </c>
      <c r="E3088">
        <v>8847.9683700000005</v>
      </c>
      <c r="F3088">
        <v>8760.2000000000007</v>
      </c>
      <c r="G3088">
        <v>24250.45</v>
      </c>
    </row>
    <row r="3089" spans="1:7" x14ac:dyDescent="0.35">
      <c r="A3089" s="1">
        <v>44707</v>
      </c>
      <c r="B3089">
        <v>3740.31</v>
      </c>
      <c r="C3089">
        <v>6410.58</v>
      </c>
      <c r="D3089">
        <v>14231.29</v>
      </c>
      <c r="E3089">
        <v>8885.5659400000004</v>
      </c>
      <c r="F3089">
        <v>8888.7999999999993</v>
      </c>
      <c r="G3089">
        <v>24546.5</v>
      </c>
    </row>
    <row r="3090" spans="1:7" x14ac:dyDescent="0.35">
      <c r="A3090" s="1">
        <v>44708</v>
      </c>
      <c r="B3090">
        <v>3808.86</v>
      </c>
      <c r="C3090">
        <v>6515.75</v>
      </c>
      <c r="D3090">
        <v>14462.19</v>
      </c>
      <c r="E3090">
        <v>8929.0284100000008</v>
      </c>
      <c r="F3090">
        <v>8933.6</v>
      </c>
      <c r="G3090">
        <v>24636.26</v>
      </c>
    </row>
    <row r="3091" spans="1:7" x14ac:dyDescent="0.35">
      <c r="A3091" s="1">
        <v>44711</v>
      </c>
      <c r="B3091">
        <v>3841.62</v>
      </c>
      <c r="C3091">
        <v>6562.39</v>
      </c>
      <c r="D3091">
        <v>14575.98</v>
      </c>
      <c r="E3091">
        <v>8916.9997500000009</v>
      </c>
      <c r="F3091">
        <v>8930.7999999999993</v>
      </c>
      <c r="G3091">
        <v>24808.65</v>
      </c>
    </row>
    <row r="3092" spans="1:7" x14ac:dyDescent="0.35">
      <c r="A3092" s="1">
        <v>44712</v>
      </c>
      <c r="B3092">
        <v>3789.21</v>
      </c>
      <c r="C3092">
        <v>6468.8</v>
      </c>
      <c r="D3092">
        <v>14388.35</v>
      </c>
      <c r="E3092">
        <v>8946.0183699999998</v>
      </c>
      <c r="F3092">
        <v>8851.5</v>
      </c>
      <c r="G3092">
        <v>24505.08</v>
      </c>
    </row>
    <row r="3093" spans="1:7" x14ac:dyDescent="0.35">
      <c r="A3093" s="1">
        <v>44713</v>
      </c>
      <c r="B3093">
        <v>3759.54</v>
      </c>
      <c r="C3093">
        <v>6418.89</v>
      </c>
      <c r="D3093">
        <v>14340.47</v>
      </c>
      <c r="E3093">
        <v>8829.3905900000009</v>
      </c>
      <c r="F3093">
        <v>8747.2000000000007</v>
      </c>
      <c r="G3093">
        <v>24283.56</v>
      </c>
    </row>
    <row r="3094" spans="1:7" x14ac:dyDescent="0.35">
      <c r="A3094" s="1">
        <v>44718</v>
      </c>
      <c r="B3094">
        <v>3838.42</v>
      </c>
      <c r="C3094">
        <v>6548.78</v>
      </c>
      <c r="D3094">
        <v>14653.81</v>
      </c>
      <c r="E3094">
        <v>8915.7161799999994</v>
      </c>
      <c r="F3094">
        <v>8836.2999999999993</v>
      </c>
      <c r="G3094">
        <v>24565.67</v>
      </c>
    </row>
    <row r="3095" spans="1:7" x14ac:dyDescent="0.35">
      <c r="A3095" s="1">
        <v>44719</v>
      </c>
      <c r="B3095">
        <v>3806.74</v>
      </c>
      <c r="C3095">
        <v>6500.35</v>
      </c>
      <c r="D3095">
        <v>14556.62</v>
      </c>
      <c r="E3095">
        <v>8942.4657000000007</v>
      </c>
      <c r="F3095">
        <v>8841.6</v>
      </c>
      <c r="G3095">
        <v>24366.19</v>
      </c>
    </row>
    <row r="3096" spans="1:7" x14ac:dyDescent="0.35">
      <c r="A3096" s="1">
        <v>44720</v>
      </c>
      <c r="B3096">
        <v>3788.93</v>
      </c>
      <c r="C3096">
        <v>6448.63</v>
      </c>
      <c r="D3096">
        <v>14445.99</v>
      </c>
      <c r="E3096">
        <v>8880.3209999999999</v>
      </c>
      <c r="F3096">
        <v>8842.7000000000007</v>
      </c>
      <c r="G3096">
        <v>24236.67</v>
      </c>
    </row>
    <row r="3097" spans="1:7" x14ac:dyDescent="0.35">
      <c r="A3097" s="1">
        <v>44721</v>
      </c>
      <c r="B3097">
        <v>3724.45</v>
      </c>
      <c r="C3097">
        <v>6358.46</v>
      </c>
      <c r="D3097">
        <v>14198.8</v>
      </c>
      <c r="E3097">
        <v>8783.7746999999999</v>
      </c>
      <c r="F3097">
        <v>8711.2000000000007</v>
      </c>
      <c r="G3097">
        <v>23776.97</v>
      </c>
    </row>
    <row r="3098" spans="1:7" x14ac:dyDescent="0.35">
      <c r="A3098" s="1">
        <v>44722</v>
      </c>
      <c r="B3098">
        <v>3599.2</v>
      </c>
      <c r="C3098">
        <v>6187.23</v>
      </c>
      <c r="D3098">
        <v>13761.83</v>
      </c>
      <c r="E3098">
        <v>8565.7496200000005</v>
      </c>
      <c r="F3098">
        <v>8390.6</v>
      </c>
      <c r="G3098">
        <v>22547.48</v>
      </c>
    </row>
    <row r="3099" spans="1:7" x14ac:dyDescent="0.35">
      <c r="A3099" s="1">
        <v>44725</v>
      </c>
      <c r="B3099">
        <v>3502.5</v>
      </c>
      <c r="C3099">
        <v>6022.32</v>
      </c>
      <c r="D3099">
        <v>13427.03</v>
      </c>
      <c r="E3099">
        <v>8405.0523099999991</v>
      </c>
      <c r="F3099">
        <v>8183.3</v>
      </c>
      <c r="G3099">
        <v>21918.04</v>
      </c>
    </row>
    <row r="3100" spans="1:7" x14ac:dyDescent="0.35">
      <c r="A3100" s="1">
        <v>44726</v>
      </c>
      <c r="B3100">
        <v>3475.18</v>
      </c>
      <c r="C3100">
        <v>5949.84</v>
      </c>
      <c r="D3100">
        <v>13304.39</v>
      </c>
      <c r="E3100">
        <v>8273.8563099999992</v>
      </c>
      <c r="F3100">
        <v>8066.4</v>
      </c>
      <c r="G3100">
        <v>21846.89</v>
      </c>
    </row>
    <row r="3101" spans="1:7" x14ac:dyDescent="0.35">
      <c r="A3101" s="1">
        <v>44727</v>
      </c>
      <c r="B3101">
        <v>3532.32</v>
      </c>
      <c r="C3101">
        <v>6030.13</v>
      </c>
      <c r="D3101">
        <v>13485.29</v>
      </c>
      <c r="E3101">
        <v>8451.7836900000002</v>
      </c>
      <c r="F3101">
        <v>8174.7</v>
      </c>
      <c r="G3101">
        <v>22473.56</v>
      </c>
    </row>
    <row r="3102" spans="1:7" x14ac:dyDescent="0.35">
      <c r="A3102" s="1">
        <v>44728</v>
      </c>
      <c r="B3102">
        <v>3427.91</v>
      </c>
      <c r="C3102">
        <v>5886.24</v>
      </c>
      <c r="D3102">
        <v>13038.49</v>
      </c>
      <c r="E3102">
        <v>8259.1716300000007</v>
      </c>
      <c r="F3102">
        <v>8078.1</v>
      </c>
      <c r="G3102">
        <v>21726.639999999999</v>
      </c>
    </row>
    <row r="3103" spans="1:7" x14ac:dyDescent="0.35">
      <c r="A3103" s="1">
        <v>44729</v>
      </c>
      <c r="B3103">
        <v>3438.46</v>
      </c>
      <c r="C3103">
        <v>5882.65</v>
      </c>
      <c r="D3103">
        <v>13126.26</v>
      </c>
      <c r="E3103">
        <v>8169.7622499999998</v>
      </c>
      <c r="F3103">
        <v>8145.9</v>
      </c>
      <c r="G3103">
        <v>21788.87</v>
      </c>
    </row>
    <row r="3104" spans="1:7" x14ac:dyDescent="0.35">
      <c r="A3104" s="1">
        <v>44732</v>
      </c>
      <c r="B3104">
        <v>3469.83</v>
      </c>
      <c r="C3104">
        <v>5920.09</v>
      </c>
      <c r="D3104">
        <v>13265.6</v>
      </c>
      <c r="E3104">
        <v>8293.3250700000008</v>
      </c>
      <c r="F3104">
        <v>8286</v>
      </c>
      <c r="G3104">
        <v>22004.05</v>
      </c>
    </row>
    <row r="3105" spans="1:7" x14ac:dyDescent="0.35">
      <c r="A3105" s="1">
        <v>44733</v>
      </c>
      <c r="B3105">
        <v>3494</v>
      </c>
      <c r="C3105">
        <v>5964.66</v>
      </c>
      <c r="D3105">
        <v>13292.4</v>
      </c>
      <c r="E3105">
        <v>8332.0635700000003</v>
      </c>
      <c r="F3105">
        <v>8235.6</v>
      </c>
      <c r="G3105">
        <v>22089.41</v>
      </c>
    </row>
    <row r="3106" spans="1:7" x14ac:dyDescent="0.35">
      <c r="A3106" s="1">
        <v>44734</v>
      </c>
      <c r="B3106">
        <v>3464.64</v>
      </c>
      <c r="C3106">
        <v>5916.63</v>
      </c>
      <c r="D3106">
        <v>13144.28</v>
      </c>
      <c r="E3106">
        <v>8222.15445</v>
      </c>
      <c r="F3106">
        <v>8145.4</v>
      </c>
      <c r="G3106">
        <v>21788.57</v>
      </c>
    </row>
    <row r="3107" spans="1:7" x14ac:dyDescent="0.35">
      <c r="A3107" s="1">
        <v>44735</v>
      </c>
      <c r="B3107">
        <v>3436.29</v>
      </c>
      <c r="C3107">
        <v>5883.33</v>
      </c>
      <c r="D3107">
        <v>12912.59</v>
      </c>
      <c r="E3107">
        <v>8168.8136500000001</v>
      </c>
      <c r="F3107">
        <v>8106.4</v>
      </c>
      <c r="G3107">
        <v>21615</v>
      </c>
    </row>
    <row r="3108" spans="1:7" x14ac:dyDescent="0.35">
      <c r="A3108" s="1">
        <v>44736</v>
      </c>
      <c r="B3108">
        <v>3533.17</v>
      </c>
      <c r="C3108">
        <v>6073.35</v>
      </c>
      <c r="D3108">
        <v>13118.13</v>
      </c>
      <c r="E3108">
        <v>8385.7864699999991</v>
      </c>
      <c r="F3108">
        <v>8244.1</v>
      </c>
      <c r="G3108">
        <v>22119.200000000001</v>
      </c>
    </row>
    <row r="3109" spans="1:7" x14ac:dyDescent="0.35">
      <c r="A3109" s="1">
        <v>44739</v>
      </c>
      <c r="B3109">
        <v>3538.88</v>
      </c>
      <c r="C3109">
        <v>6047.31</v>
      </c>
      <c r="D3109">
        <v>13186.07</v>
      </c>
      <c r="E3109">
        <v>8417.8157300000003</v>
      </c>
      <c r="F3109">
        <v>8242.6</v>
      </c>
      <c r="G3109">
        <v>21928.81</v>
      </c>
    </row>
    <row r="3110" spans="1:7" x14ac:dyDescent="0.35">
      <c r="A3110" s="1">
        <v>44740</v>
      </c>
      <c r="B3110">
        <v>3549.29</v>
      </c>
      <c r="C3110">
        <v>6086.02</v>
      </c>
      <c r="D3110">
        <v>13231.82</v>
      </c>
      <c r="E3110">
        <v>8486.3310399999991</v>
      </c>
      <c r="F3110">
        <v>8317.5</v>
      </c>
      <c r="G3110">
        <v>22101.23</v>
      </c>
    </row>
    <row r="3111" spans="1:7" x14ac:dyDescent="0.35">
      <c r="A3111" s="1">
        <v>44741</v>
      </c>
      <c r="B3111">
        <v>3514.32</v>
      </c>
      <c r="C3111">
        <v>6031.48</v>
      </c>
      <c r="D3111">
        <v>13003.35</v>
      </c>
      <c r="E3111">
        <v>8485.5392499999998</v>
      </c>
      <c r="F3111">
        <v>8188</v>
      </c>
      <c r="G3111">
        <v>21833.5</v>
      </c>
    </row>
    <row r="3112" spans="1:7" x14ac:dyDescent="0.35">
      <c r="A3112" s="1">
        <v>44742</v>
      </c>
      <c r="B3112">
        <v>3454.86</v>
      </c>
      <c r="C3112">
        <v>5922.86</v>
      </c>
      <c r="D3112">
        <v>12783.77</v>
      </c>
      <c r="E3112">
        <v>8327.79954</v>
      </c>
      <c r="F3112">
        <v>8098.7</v>
      </c>
      <c r="G3112">
        <v>21293.86</v>
      </c>
    </row>
    <row r="3113" spans="1:7" x14ac:dyDescent="0.35">
      <c r="A3113" s="1">
        <v>44743</v>
      </c>
      <c r="B3113">
        <v>3448.31</v>
      </c>
      <c r="C3113">
        <v>5931.06</v>
      </c>
      <c r="D3113">
        <v>12813.03</v>
      </c>
      <c r="E3113">
        <v>8301.6302500000002</v>
      </c>
      <c r="F3113">
        <v>8176.1</v>
      </c>
      <c r="G3113">
        <v>21354.65</v>
      </c>
    </row>
    <row r="3114" spans="1:7" x14ac:dyDescent="0.35">
      <c r="A3114" s="1">
        <v>44746</v>
      </c>
      <c r="B3114">
        <v>3452.42</v>
      </c>
      <c r="C3114">
        <v>5954.65</v>
      </c>
      <c r="D3114">
        <v>12773.38</v>
      </c>
      <c r="E3114">
        <v>8403.9742999999999</v>
      </c>
      <c r="F3114">
        <v>8161.8</v>
      </c>
      <c r="G3114">
        <v>21343.93</v>
      </c>
    </row>
    <row r="3115" spans="1:7" x14ac:dyDescent="0.35">
      <c r="A3115" s="1">
        <v>44747</v>
      </c>
      <c r="B3115">
        <v>3359.83</v>
      </c>
      <c r="C3115">
        <v>5794.96</v>
      </c>
      <c r="D3115">
        <v>12401.2</v>
      </c>
      <c r="E3115">
        <v>8176.8379000000004</v>
      </c>
      <c r="F3115">
        <v>7959.4</v>
      </c>
      <c r="G3115">
        <v>20705.060000000001</v>
      </c>
    </row>
    <row r="3116" spans="1:7" x14ac:dyDescent="0.35">
      <c r="A3116" s="1">
        <v>44748</v>
      </c>
      <c r="B3116">
        <v>3421.84</v>
      </c>
      <c r="C3116">
        <v>5912.38</v>
      </c>
      <c r="D3116">
        <v>12594.52</v>
      </c>
      <c r="E3116">
        <v>8320.6952600000004</v>
      </c>
      <c r="F3116">
        <v>7948.6</v>
      </c>
      <c r="G3116">
        <v>20920.990000000002</v>
      </c>
    </row>
    <row r="3117" spans="1:7" x14ac:dyDescent="0.35">
      <c r="A3117" s="1">
        <v>44749</v>
      </c>
      <c r="B3117">
        <v>3488.5</v>
      </c>
      <c r="C3117">
        <v>6006.7</v>
      </c>
      <c r="D3117">
        <v>12843.22</v>
      </c>
      <c r="E3117">
        <v>8500.88357</v>
      </c>
      <c r="F3117">
        <v>8122.5</v>
      </c>
      <c r="G3117">
        <v>21558.07</v>
      </c>
    </row>
    <row r="3118" spans="1:7" x14ac:dyDescent="0.35">
      <c r="A3118" s="1">
        <v>44750</v>
      </c>
      <c r="B3118">
        <v>3506.55</v>
      </c>
      <c r="C3118">
        <v>6033.13</v>
      </c>
      <c r="D3118">
        <v>13015.23</v>
      </c>
      <c r="E3118">
        <v>8507.0924099999993</v>
      </c>
      <c r="F3118">
        <v>8100.3</v>
      </c>
      <c r="G3118">
        <v>21774.18</v>
      </c>
    </row>
    <row r="3119" spans="1:7" x14ac:dyDescent="0.35">
      <c r="A3119" s="1">
        <v>44753</v>
      </c>
      <c r="B3119">
        <v>3471.69</v>
      </c>
      <c r="C3119">
        <v>5996.3</v>
      </c>
      <c r="D3119">
        <v>12832.44</v>
      </c>
      <c r="E3119">
        <v>8498.0401000000002</v>
      </c>
      <c r="F3119">
        <v>8065.2</v>
      </c>
      <c r="G3119">
        <v>21567.7</v>
      </c>
    </row>
    <row r="3120" spans="1:7" x14ac:dyDescent="0.35">
      <c r="A3120" s="1">
        <v>44754</v>
      </c>
      <c r="B3120">
        <v>3487.05</v>
      </c>
      <c r="C3120">
        <v>6044.2</v>
      </c>
      <c r="D3120">
        <v>12905.48</v>
      </c>
      <c r="E3120">
        <v>8534.7487999999994</v>
      </c>
      <c r="F3120">
        <v>8014.8</v>
      </c>
      <c r="G3120">
        <v>21485.7</v>
      </c>
    </row>
    <row r="3121" spans="1:7" x14ac:dyDescent="0.35">
      <c r="A3121" s="1">
        <v>44755</v>
      </c>
      <c r="B3121">
        <v>3453.97</v>
      </c>
      <c r="C3121">
        <v>6000.24</v>
      </c>
      <c r="D3121">
        <v>12756.32</v>
      </c>
      <c r="E3121">
        <v>8462.4323700000004</v>
      </c>
      <c r="F3121">
        <v>7944.9</v>
      </c>
      <c r="G3121">
        <v>21286.33</v>
      </c>
    </row>
    <row r="3122" spans="1:7" x14ac:dyDescent="0.35">
      <c r="A3122" s="1">
        <v>44756</v>
      </c>
      <c r="B3122">
        <v>3396.61</v>
      </c>
      <c r="C3122">
        <v>5915.41</v>
      </c>
      <c r="D3122">
        <v>12519.66</v>
      </c>
      <c r="E3122">
        <v>8300.3665099999998</v>
      </c>
      <c r="F3122">
        <v>7804.3</v>
      </c>
      <c r="G3122">
        <v>20554.330000000002</v>
      </c>
    </row>
    <row r="3123" spans="1:7" x14ac:dyDescent="0.35">
      <c r="A3123" s="1">
        <v>44757</v>
      </c>
      <c r="B3123">
        <v>3477.2</v>
      </c>
      <c r="C3123">
        <v>6036</v>
      </c>
      <c r="D3123">
        <v>12864.72</v>
      </c>
      <c r="E3123">
        <v>8418.8139599999995</v>
      </c>
      <c r="F3123">
        <v>7945.9</v>
      </c>
      <c r="G3123">
        <v>20933.259999999998</v>
      </c>
    </row>
    <row r="3124" spans="1:7" x14ac:dyDescent="0.35">
      <c r="A3124" s="1">
        <v>44760</v>
      </c>
      <c r="B3124">
        <v>3511.86</v>
      </c>
      <c r="C3124">
        <v>6091.91</v>
      </c>
      <c r="D3124">
        <v>12959.81</v>
      </c>
      <c r="E3124">
        <v>8509.1713899999995</v>
      </c>
      <c r="F3124">
        <v>7963.1</v>
      </c>
      <c r="G3124">
        <v>21169.119999999999</v>
      </c>
    </row>
    <row r="3125" spans="1:7" x14ac:dyDescent="0.35">
      <c r="A3125" s="1">
        <v>44761</v>
      </c>
      <c r="B3125">
        <v>3587.44</v>
      </c>
      <c r="C3125">
        <v>6201.22</v>
      </c>
      <c r="D3125">
        <v>13308.41</v>
      </c>
      <c r="E3125">
        <v>8555.1928800000005</v>
      </c>
      <c r="F3125">
        <v>8125.1</v>
      </c>
      <c r="G3125">
        <v>21696.2</v>
      </c>
    </row>
    <row r="3126" spans="1:7" x14ac:dyDescent="0.35">
      <c r="A3126" s="1">
        <v>44762</v>
      </c>
      <c r="B3126">
        <v>3585.24</v>
      </c>
      <c r="C3126">
        <v>6184.66</v>
      </c>
      <c r="D3126">
        <v>13281.98</v>
      </c>
      <c r="E3126">
        <v>8533.8356700000004</v>
      </c>
      <c r="F3126">
        <v>8028.9</v>
      </c>
      <c r="G3126">
        <v>21348.42</v>
      </c>
    </row>
    <row r="3127" spans="1:7" x14ac:dyDescent="0.35">
      <c r="A3127" s="1">
        <v>44763</v>
      </c>
      <c r="B3127">
        <v>3596.51</v>
      </c>
      <c r="C3127">
        <v>6201.11</v>
      </c>
      <c r="D3127">
        <v>13246.64</v>
      </c>
      <c r="E3127">
        <v>8534.3876999999993</v>
      </c>
      <c r="F3127">
        <v>8012.7</v>
      </c>
      <c r="G3127">
        <v>21196.59</v>
      </c>
    </row>
    <row r="3128" spans="1:7" x14ac:dyDescent="0.35">
      <c r="A3128" s="1">
        <v>44764</v>
      </c>
      <c r="B3128">
        <v>3596.49</v>
      </c>
      <c r="C3128">
        <v>6216.82</v>
      </c>
      <c r="D3128">
        <v>13253.68</v>
      </c>
      <c r="E3128">
        <v>8549.3080699999991</v>
      </c>
      <c r="F3128">
        <v>8051.6</v>
      </c>
      <c r="G3128">
        <v>21211.98</v>
      </c>
    </row>
    <row r="3129" spans="1:7" x14ac:dyDescent="0.35">
      <c r="A3129" s="1">
        <v>44767</v>
      </c>
      <c r="B3129">
        <v>3604.16</v>
      </c>
      <c r="C3129">
        <v>6237.55</v>
      </c>
      <c r="D3129">
        <v>13210.32</v>
      </c>
      <c r="E3129">
        <v>8614.4429400000008</v>
      </c>
      <c r="F3129">
        <v>8085.6</v>
      </c>
      <c r="G3129">
        <v>21382.71</v>
      </c>
    </row>
    <row r="3130" spans="1:7" x14ac:dyDescent="0.35">
      <c r="A3130" s="1">
        <v>44768</v>
      </c>
      <c r="B3130">
        <v>3575.36</v>
      </c>
      <c r="C3130">
        <v>6211.45</v>
      </c>
      <c r="D3130">
        <v>13096.93</v>
      </c>
      <c r="E3130">
        <v>8675.6213100000004</v>
      </c>
      <c r="F3130">
        <v>8069.6</v>
      </c>
      <c r="G3130">
        <v>21159.98</v>
      </c>
    </row>
    <row r="3131" spans="1:7" x14ac:dyDescent="0.35">
      <c r="A3131" s="1">
        <v>44769</v>
      </c>
      <c r="B3131">
        <v>3607.78</v>
      </c>
      <c r="C3131">
        <v>6257.94</v>
      </c>
      <c r="D3131">
        <v>13166.38</v>
      </c>
      <c r="E3131">
        <v>8749.4155800000008</v>
      </c>
      <c r="F3131">
        <v>8124.4</v>
      </c>
      <c r="G3131">
        <v>21480.7</v>
      </c>
    </row>
    <row r="3132" spans="1:7" x14ac:dyDescent="0.35">
      <c r="A3132" s="1">
        <v>44770</v>
      </c>
      <c r="B3132">
        <v>3652.2</v>
      </c>
      <c r="C3132">
        <v>6339.21</v>
      </c>
      <c r="D3132">
        <v>13282.11</v>
      </c>
      <c r="E3132">
        <v>8771.2032400000007</v>
      </c>
      <c r="F3132">
        <v>8084.9</v>
      </c>
      <c r="G3132">
        <v>21932.06</v>
      </c>
    </row>
    <row r="3133" spans="1:7" x14ac:dyDescent="0.35">
      <c r="A3133" s="1">
        <v>44771</v>
      </c>
      <c r="B3133">
        <v>3708.1</v>
      </c>
      <c r="C3133">
        <v>6448.5</v>
      </c>
      <c r="D3133">
        <v>13484.05</v>
      </c>
      <c r="E3133">
        <v>8859.0487099999991</v>
      </c>
      <c r="F3133">
        <v>8156.2</v>
      </c>
      <c r="G3133">
        <v>22405.48</v>
      </c>
    </row>
    <row r="3134" spans="1:7" x14ac:dyDescent="0.35">
      <c r="A3134" s="1">
        <v>44774</v>
      </c>
      <c r="B3134">
        <v>3706.62</v>
      </c>
      <c r="C3134">
        <v>6436.86</v>
      </c>
      <c r="D3134">
        <v>13479.63</v>
      </c>
      <c r="E3134">
        <v>8858.7266199999995</v>
      </c>
      <c r="F3134">
        <v>8085.1</v>
      </c>
      <c r="G3134">
        <v>22429.47</v>
      </c>
    </row>
    <row r="3135" spans="1:7" x14ac:dyDescent="0.35">
      <c r="A3135" s="1">
        <v>44775</v>
      </c>
      <c r="B3135">
        <v>3684.63</v>
      </c>
      <c r="C3135">
        <v>6409.8</v>
      </c>
      <c r="D3135">
        <v>13449.2</v>
      </c>
      <c r="E3135">
        <v>8876.3972099999992</v>
      </c>
      <c r="F3135">
        <v>8096.9</v>
      </c>
      <c r="G3135">
        <v>22351.02</v>
      </c>
    </row>
    <row r="3136" spans="1:7" x14ac:dyDescent="0.35">
      <c r="A3136" s="1">
        <v>44776</v>
      </c>
      <c r="B3136">
        <v>3732.54</v>
      </c>
      <c r="C3136">
        <v>6472.06</v>
      </c>
      <c r="D3136">
        <v>13587.56</v>
      </c>
      <c r="E3136">
        <v>8907.6741099999999</v>
      </c>
      <c r="F3136">
        <v>8142.1</v>
      </c>
      <c r="G3136">
        <v>22574.9</v>
      </c>
    </row>
    <row r="3137" spans="1:7" x14ac:dyDescent="0.35">
      <c r="A3137" s="1">
        <v>44777</v>
      </c>
      <c r="B3137">
        <v>3754.6</v>
      </c>
      <c r="C3137">
        <v>6513.39</v>
      </c>
      <c r="D3137">
        <v>13662.68</v>
      </c>
      <c r="E3137">
        <v>8836.9773100000002</v>
      </c>
      <c r="F3137">
        <v>8161.1</v>
      </c>
      <c r="G3137">
        <v>22645.84</v>
      </c>
    </row>
    <row r="3138" spans="1:7" x14ac:dyDescent="0.35">
      <c r="A3138" s="1">
        <v>44778</v>
      </c>
      <c r="B3138">
        <v>3725.39</v>
      </c>
      <c r="C3138">
        <v>6472.35</v>
      </c>
      <c r="D3138">
        <v>13573.93</v>
      </c>
      <c r="E3138">
        <v>8824.2344799999992</v>
      </c>
      <c r="F3138">
        <v>8168</v>
      </c>
      <c r="G3138">
        <v>22586.880000000001</v>
      </c>
    </row>
    <row r="3139" spans="1:7" x14ac:dyDescent="0.35">
      <c r="A3139" s="1">
        <v>44781</v>
      </c>
      <c r="B3139">
        <v>3757.22</v>
      </c>
      <c r="C3139">
        <v>6524.44</v>
      </c>
      <c r="D3139">
        <v>13687.69</v>
      </c>
      <c r="E3139">
        <v>8862.7483800000009</v>
      </c>
      <c r="F3139">
        <v>8272.5</v>
      </c>
      <c r="G3139">
        <v>22727.94</v>
      </c>
    </row>
    <row r="3140" spans="1:7" x14ac:dyDescent="0.35">
      <c r="A3140" s="1">
        <v>44782</v>
      </c>
      <c r="B3140">
        <v>3715.37</v>
      </c>
      <c r="C3140">
        <v>6490</v>
      </c>
      <c r="D3140">
        <v>13534.97</v>
      </c>
      <c r="E3140">
        <v>8854.8949400000001</v>
      </c>
      <c r="F3140">
        <v>8311.9</v>
      </c>
      <c r="G3140">
        <v>22488.49</v>
      </c>
    </row>
    <row r="3141" spans="1:7" x14ac:dyDescent="0.35">
      <c r="A3141" s="1">
        <v>44783</v>
      </c>
      <c r="B3141">
        <v>3749.35</v>
      </c>
      <c r="C3141">
        <v>6523.44</v>
      </c>
      <c r="D3141">
        <v>13700.93</v>
      </c>
      <c r="E3141">
        <v>8905.2865199999997</v>
      </c>
      <c r="F3141">
        <v>8352.7999999999993</v>
      </c>
      <c r="G3141">
        <v>22702.44</v>
      </c>
    </row>
    <row r="3142" spans="1:7" x14ac:dyDescent="0.35">
      <c r="A3142" s="1">
        <v>44784</v>
      </c>
      <c r="B3142">
        <v>3757.05</v>
      </c>
      <c r="C3142">
        <v>6544.67</v>
      </c>
      <c r="D3142">
        <v>13694.51</v>
      </c>
      <c r="E3142">
        <v>8834.7806199999995</v>
      </c>
      <c r="F3142">
        <v>8380</v>
      </c>
      <c r="G3142">
        <v>22858.18</v>
      </c>
    </row>
    <row r="3143" spans="1:7" x14ac:dyDescent="0.35">
      <c r="A3143" s="1">
        <v>44785</v>
      </c>
      <c r="B3143">
        <v>3776.81</v>
      </c>
      <c r="C3143">
        <v>6553.86</v>
      </c>
      <c r="D3143">
        <v>13795.85</v>
      </c>
      <c r="E3143">
        <v>8869.8737299999993</v>
      </c>
      <c r="F3143">
        <v>8400.4</v>
      </c>
      <c r="G3143">
        <v>22970.73</v>
      </c>
    </row>
    <row r="3144" spans="1:7" x14ac:dyDescent="0.35">
      <c r="A3144" s="1">
        <v>44789</v>
      </c>
      <c r="B3144">
        <v>3805.22</v>
      </c>
      <c r="C3144">
        <v>6592.58</v>
      </c>
      <c r="D3144">
        <v>13910.12</v>
      </c>
      <c r="E3144">
        <v>8956.3915899999993</v>
      </c>
      <c r="F3144">
        <v>8511.9</v>
      </c>
      <c r="G3144">
        <v>22997.83</v>
      </c>
    </row>
    <row r="3145" spans="1:7" x14ac:dyDescent="0.35">
      <c r="A3145" s="1">
        <v>44790</v>
      </c>
      <c r="B3145">
        <v>3756.06</v>
      </c>
      <c r="C3145">
        <v>6528.32</v>
      </c>
      <c r="D3145">
        <v>13626.71</v>
      </c>
      <c r="E3145">
        <v>8902.0787</v>
      </c>
      <c r="F3145">
        <v>8434.7999999999993</v>
      </c>
      <c r="G3145">
        <v>22757.81</v>
      </c>
    </row>
    <row r="3146" spans="1:7" x14ac:dyDescent="0.35">
      <c r="A3146" s="1">
        <v>44791</v>
      </c>
      <c r="B3146">
        <v>3777.38</v>
      </c>
      <c r="C3146">
        <v>6557.4</v>
      </c>
      <c r="D3146">
        <v>13697.41</v>
      </c>
      <c r="E3146">
        <v>8922.4046999999991</v>
      </c>
      <c r="F3146">
        <v>8430.2999999999993</v>
      </c>
      <c r="G3146">
        <v>22985.7</v>
      </c>
    </row>
    <row r="3147" spans="1:7" x14ac:dyDescent="0.35">
      <c r="A3147" s="1">
        <v>44792</v>
      </c>
      <c r="B3147">
        <v>3730.32</v>
      </c>
      <c r="C3147">
        <v>6495.83</v>
      </c>
      <c r="D3147">
        <v>13544.52</v>
      </c>
      <c r="E3147">
        <v>8896.2859000000008</v>
      </c>
      <c r="F3147">
        <v>8338.1</v>
      </c>
      <c r="G3147">
        <v>22534.57</v>
      </c>
    </row>
    <row r="3148" spans="1:7" x14ac:dyDescent="0.35">
      <c r="A3148" s="1">
        <v>44795</v>
      </c>
      <c r="B3148">
        <v>3658.22</v>
      </c>
      <c r="C3148">
        <v>6378.74</v>
      </c>
      <c r="D3148">
        <v>13230.57</v>
      </c>
      <c r="E3148">
        <v>8931.7737899999993</v>
      </c>
      <c r="F3148">
        <v>8284.7999999999993</v>
      </c>
      <c r="G3148">
        <v>22165.66</v>
      </c>
    </row>
    <row r="3149" spans="1:7" x14ac:dyDescent="0.35">
      <c r="A3149" s="1">
        <v>44796</v>
      </c>
      <c r="B3149">
        <v>3652.52</v>
      </c>
      <c r="C3149">
        <v>6362.02</v>
      </c>
      <c r="D3149">
        <v>13194.23</v>
      </c>
      <c r="E3149">
        <v>8891.3333399999992</v>
      </c>
      <c r="F3149">
        <v>8226.2999999999993</v>
      </c>
      <c r="G3149">
        <v>22380.06</v>
      </c>
    </row>
    <row r="3150" spans="1:7" x14ac:dyDescent="0.35">
      <c r="A3150" s="1">
        <v>44797</v>
      </c>
      <c r="B3150">
        <v>3667.46</v>
      </c>
      <c r="C3150">
        <v>6386.76</v>
      </c>
      <c r="D3150">
        <v>13220.06</v>
      </c>
      <c r="E3150">
        <v>8846.7542799999992</v>
      </c>
      <c r="F3150">
        <v>8199.4</v>
      </c>
      <c r="G3150">
        <v>22431.47</v>
      </c>
    </row>
    <row r="3151" spans="1:7" x14ac:dyDescent="0.35">
      <c r="A3151" s="1">
        <v>44798</v>
      </c>
      <c r="B3151">
        <v>3674.54</v>
      </c>
      <c r="C3151">
        <v>6381.56</v>
      </c>
      <c r="D3151">
        <v>13271.96</v>
      </c>
      <c r="E3151">
        <v>8876.4186900000004</v>
      </c>
      <c r="F3151">
        <v>8187.5</v>
      </c>
      <c r="G3151">
        <v>22454.43</v>
      </c>
    </row>
    <row r="3152" spans="1:7" x14ac:dyDescent="0.35">
      <c r="A3152" s="1">
        <v>44799</v>
      </c>
      <c r="B3152">
        <v>3603.68</v>
      </c>
      <c r="C3152">
        <v>6274.26</v>
      </c>
      <c r="D3152">
        <v>12971.47</v>
      </c>
      <c r="E3152">
        <v>8747.5552800000005</v>
      </c>
      <c r="F3152">
        <v>8063.9</v>
      </c>
      <c r="G3152">
        <v>21895.25</v>
      </c>
    </row>
    <row r="3153" spans="1:7" x14ac:dyDescent="0.35">
      <c r="A3153" s="1">
        <v>44803</v>
      </c>
      <c r="B3153">
        <v>3561.92</v>
      </c>
      <c r="C3153">
        <v>6210.22</v>
      </c>
      <c r="D3153">
        <v>12961.14</v>
      </c>
      <c r="E3153">
        <v>8556.4995099999996</v>
      </c>
      <c r="F3153">
        <v>7979.8</v>
      </c>
      <c r="G3153">
        <v>21825.22</v>
      </c>
    </row>
    <row r="3154" spans="1:7" x14ac:dyDescent="0.35">
      <c r="A3154" s="1">
        <v>44804</v>
      </c>
      <c r="B3154">
        <v>3517.25</v>
      </c>
      <c r="C3154">
        <v>6125.1</v>
      </c>
      <c r="D3154">
        <v>12834.96</v>
      </c>
      <c r="E3154">
        <v>8422.3437200000008</v>
      </c>
      <c r="F3154">
        <v>7886.1</v>
      </c>
      <c r="G3154">
        <v>21559.32</v>
      </c>
    </row>
    <row r="3155" spans="1:7" x14ac:dyDescent="0.35">
      <c r="A3155" s="1">
        <v>44805</v>
      </c>
      <c r="B3155">
        <v>3456.7</v>
      </c>
      <c r="C3155">
        <v>6034.31</v>
      </c>
      <c r="D3155">
        <v>12630.23</v>
      </c>
      <c r="E3155">
        <v>8297.3532300000006</v>
      </c>
      <c r="F3155">
        <v>7806</v>
      </c>
      <c r="G3155">
        <v>21302.16</v>
      </c>
    </row>
    <row r="3156" spans="1:7" x14ac:dyDescent="0.35">
      <c r="A3156" s="1">
        <v>44806</v>
      </c>
      <c r="B3156">
        <v>3544.38</v>
      </c>
      <c r="C3156">
        <v>6167.51</v>
      </c>
      <c r="D3156">
        <v>13050.27</v>
      </c>
      <c r="E3156">
        <v>8416.0916300000008</v>
      </c>
      <c r="F3156">
        <v>7932.2</v>
      </c>
      <c r="G3156">
        <v>21921.26</v>
      </c>
    </row>
    <row r="3157" spans="1:7" x14ac:dyDescent="0.35">
      <c r="A3157" s="1">
        <v>44809</v>
      </c>
      <c r="B3157">
        <v>3490.01</v>
      </c>
      <c r="C3157">
        <v>6093.22</v>
      </c>
      <c r="D3157">
        <v>12760.78</v>
      </c>
      <c r="E3157">
        <v>8452.2151200000008</v>
      </c>
      <c r="F3157">
        <v>7862.7</v>
      </c>
      <c r="G3157">
        <v>21480.19</v>
      </c>
    </row>
    <row r="3158" spans="1:7" x14ac:dyDescent="0.35">
      <c r="A3158" s="1">
        <v>44810</v>
      </c>
      <c r="B3158">
        <v>3500.14</v>
      </c>
      <c r="C3158">
        <v>6104.61</v>
      </c>
      <c r="D3158">
        <v>12871.44</v>
      </c>
      <c r="E3158">
        <v>8494.7091700000001</v>
      </c>
      <c r="F3158">
        <v>7842.2</v>
      </c>
      <c r="G3158">
        <v>21480.61</v>
      </c>
    </row>
    <row r="3159" spans="1:7" x14ac:dyDescent="0.35">
      <c r="A3159" s="1">
        <v>44811</v>
      </c>
      <c r="B3159">
        <v>3502.09</v>
      </c>
      <c r="C3159">
        <v>6105.92</v>
      </c>
      <c r="D3159">
        <v>12915.97</v>
      </c>
      <c r="E3159">
        <v>8342.4100899999994</v>
      </c>
      <c r="F3159">
        <v>7855.9</v>
      </c>
      <c r="G3159">
        <v>21489.360000000001</v>
      </c>
    </row>
    <row r="3160" spans="1:7" x14ac:dyDescent="0.35">
      <c r="A3160" s="1">
        <v>44812</v>
      </c>
      <c r="B3160">
        <v>3512.38</v>
      </c>
      <c r="C3160">
        <v>6125.9</v>
      </c>
      <c r="D3160">
        <v>12904.32</v>
      </c>
      <c r="E3160">
        <v>8364.2263899999998</v>
      </c>
      <c r="F3160">
        <v>7916.8</v>
      </c>
      <c r="G3160">
        <v>21678.080000000002</v>
      </c>
    </row>
    <row r="3161" spans="1:7" x14ac:dyDescent="0.35">
      <c r="A3161" s="1">
        <v>44813</v>
      </c>
      <c r="B3161">
        <v>3570.04</v>
      </c>
      <c r="C3161">
        <v>6212.33</v>
      </c>
      <c r="D3161">
        <v>13088.21</v>
      </c>
      <c r="E3161">
        <v>8482.1725800000004</v>
      </c>
      <c r="F3161">
        <v>8033.1</v>
      </c>
      <c r="G3161">
        <v>22094.560000000001</v>
      </c>
    </row>
    <row r="3162" spans="1:7" x14ac:dyDescent="0.35">
      <c r="A3162" s="1">
        <v>44816</v>
      </c>
      <c r="B3162">
        <v>3646.51</v>
      </c>
      <c r="C3162">
        <v>6333.59</v>
      </c>
      <c r="D3162">
        <v>13402.27</v>
      </c>
      <c r="E3162">
        <v>8625.9570500000009</v>
      </c>
      <c r="F3162">
        <v>8194.2999999999993</v>
      </c>
      <c r="G3162">
        <v>22610.400000000001</v>
      </c>
    </row>
    <row r="3163" spans="1:7" x14ac:dyDescent="0.35">
      <c r="A3163" s="1">
        <v>44817</v>
      </c>
      <c r="B3163">
        <v>3586.18</v>
      </c>
      <c r="C3163">
        <v>6245.69</v>
      </c>
      <c r="D3163">
        <v>13188.95</v>
      </c>
      <c r="E3163">
        <v>8513.1677</v>
      </c>
      <c r="F3163">
        <v>8064</v>
      </c>
      <c r="G3163">
        <v>22303.86</v>
      </c>
    </row>
    <row r="3164" spans="1:7" x14ac:dyDescent="0.35">
      <c r="A3164" s="1">
        <v>44818</v>
      </c>
      <c r="B3164">
        <v>3567.56</v>
      </c>
      <c r="C3164">
        <v>6222.41</v>
      </c>
      <c r="D3164">
        <v>13028</v>
      </c>
      <c r="E3164">
        <v>8418.72307</v>
      </c>
      <c r="F3164">
        <v>8055.6</v>
      </c>
      <c r="G3164">
        <v>22413.46</v>
      </c>
    </row>
    <row r="3165" spans="1:7" x14ac:dyDescent="0.35">
      <c r="A3165" s="1">
        <v>44819</v>
      </c>
      <c r="B3165">
        <v>3541.79</v>
      </c>
      <c r="C3165">
        <v>6157.84</v>
      </c>
      <c r="D3165">
        <v>12956.66</v>
      </c>
      <c r="E3165">
        <v>8355.53125</v>
      </c>
      <c r="F3165">
        <v>8085.5</v>
      </c>
      <c r="G3165">
        <v>22365.82</v>
      </c>
    </row>
    <row r="3166" spans="1:7" x14ac:dyDescent="0.35">
      <c r="A3166" s="1">
        <v>44820</v>
      </c>
      <c r="B3166">
        <v>3500.41</v>
      </c>
      <c r="C3166">
        <v>6077.3</v>
      </c>
      <c r="D3166">
        <v>12741.26</v>
      </c>
      <c r="E3166">
        <v>8241.8748799999994</v>
      </c>
      <c r="F3166">
        <v>7984.7</v>
      </c>
      <c r="G3166">
        <v>22110.89</v>
      </c>
    </row>
    <row r="3167" spans="1:7" x14ac:dyDescent="0.35">
      <c r="A3167" s="1">
        <v>44824</v>
      </c>
      <c r="B3167">
        <v>3467.09</v>
      </c>
      <c r="C3167">
        <v>5979.47</v>
      </c>
      <c r="D3167">
        <v>12670.83</v>
      </c>
      <c r="E3167">
        <v>8204.5332099999996</v>
      </c>
      <c r="F3167">
        <v>7873.1</v>
      </c>
      <c r="G3167">
        <v>21773.75</v>
      </c>
    </row>
    <row r="3168" spans="1:7" x14ac:dyDescent="0.35">
      <c r="A3168" s="1">
        <v>44825</v>
      </c>
      <c r="B3168">
        <v>3491.87</v>
      </c>
      <c r="C3168">
        <v>6031.33</v>
      </c>
      <c r="D3168">
        <v>12767.15</v>
      </c>
      <c r="E3168">
        <v>8296.5206600000001</v>
      </c>
      <c r="F3168">
        <v>7872.2</v>
      </c>
      <c r="G3168">
        <v>22035.81</v>
      </c>
    </row>
    <row r="3169" spans="1:7" x14ac:dyDescent="0.35">
      <c r="A3169" s="1">
        <v>44826</v>
      </c>
      <c r="B3169">
        <v>3427.14</v>
      </c>
      <c r="C3169">
        <v>5918.5</v>
      </c>
      <c r="D3169">
        <v>12531.63</v>
      </c>
      <c r="E3169">
        <v>8195.6131399999995</v>
      </c>
      <c r="F3169">
        <v>7774.7</v>
      </c>
      <c r="G3169">
        <v>21799.11</v>
      </c>
    </row>
    <row r="3170" spans="1:7" x14ac:dyDescent="0.35">
      <c r="A3170" s="1">
        <v>44827</v>
      </c>
      <c r="B3170">
        <v>3348.6</v>
      </c>
      <c r="C3170">
        <v>5783.41</v>
      </c>
      <c r="D3170">
        <v>12284.19</v>
      </c>
      <c r="E3170">
        <v>7878.3007699999998</v>
      </c>
      <c r="F3170">
        <v>7583.5</v>
      </c>
      <c r="G3170">
        <v>21066.55</v>
      </c>
    </row>
    <row r="3171" spans="1:7" x14ac:dyDescent="0.35">
      <c r="A3171" s="1">
        <v>44830</v>
      </c>
      <c r="B3171">
        <v>3342.56</v>
      </c>
      <c r="C3171">
        <v>5769.39</v>
      </c>
      <c r="D3171">
        <v>12227.92</v>
      </c>
      <c r="E3171">
        <v>7793.6777099999999</v>
      </c>
      <c r="F3171">
        <v>7508.5</v>
      </c>
      <c r="G3171">
        <v>21207.25</v>
      </c>
    </row>
    <row r="3172" spans="1:7" x14ac:dyDescent="0.35">
      <c r="A3172" s="1">
        <v>44831</v>
      </c>
      <c r="B3172">
        <v>3328.65</v>
      </c>
      <c r="C3172">
        <v>5753.82</v>
      </c>
      <c r="D3172">
        <v>12139.68</v>
      </c>
      <c r="E3172">
        <v>7782.0374499999998</v>
      </c>
      <c r="F3172">
        <v>7445.7</v>
      </c>
      <c r="G3172">
        <v>20961.38</v>
      </c>
    </row>
    <row r="3173" spans="1:7" x14ac:dyDescent="0.35">
      <c r="A3173" s="1">
        <v>44832</v>
      </c>
      <c r="B3173">
        <v>3335.3</v>
      </c>
      <c r="C3173">
        <v>5765.01</v>
      </c>
      <c r="D3173">
        <v>12183.28</v>
      </c>
      <c r="E3173">
        <v>7842.2532300000003</v>
      </c>
      <c r="F3173">
        <v>7442.2</v>
      </c>
      <c r="G3173">
        <v>20852.669999999998</v>
      </c>
    </row>
    <row r="3174" spans="1:7" x14ac:dyDescent="0.35">
      <c r="A3174" s="1">
        <v>44833</v>
      </c>
      <c r="B3174">
        <v>3279.04</v>
      </c>
      <c r="C3174">
        <v>5676.87</v>
      </c>
      <c r="D3174">
        <v>11975.55</v>
      </c>
      <c r="E3174">
        <v>7785.4322199999997</v>
      </c>
      <c r="F3174">
        <v>7300.1</v>
      </c>
      <c r="G3174">
        <v>20352.98</v>
      </c>
    </row>
    <row r="3175" spans="1:7" x14ac:dyDescent="0.35">
      <c r="A3175" s="1">
        <v>44834</v>
      </c>
      <c r="B3175">
        <v>3318.2</v>
      </c>
      <c r="C3175">
        <v>5762.34</v>
      </c>
      <c r="D3175">
        <v>12114.36</v>
      </c>
      <c r="E3175">
        <v>7837.3958400000001</v>
      </c>
      <c r="F3175">
        <v>7366.8</v>
      </c>
      <c r="G3175">
        <v>20648.849999999999</v>
      </c>
    </row>
    <row r="3176" spans="1:7" x14ac:dyDescent="0.35">
      <c r="A3176" s="1">
        <v>44837</v>
      </c>
      <c r="B3176">
        <v>3342.17</v>
      </c>
      <c r="C3176">
        <v>5794.15</v>
      </c>
      <c r="D3176">
        <v>12209.48</v>
      </c>
      <c r="E3176">
        <v>7942.8199199999999</v>
      </c>
      <c r="F3176">
        <v>7462</v>
      </c>
      <c r="G3176">
        <v>20972.57</v>
      </c>
    </row>
    <row r="3177" spans="1:7" x14ac:dyDescent="0.35">
      <c r="A3177" s="1">
        <v>44838</v>
      </c>
      <c r="B3177">
        <v>3484.48</v>
      </c>
      <c r="C3177">
        <v>6039.69</v>
      </c>
      <c r="D3177">
        <v>12670.48</v>
      </c>
      <c r="E3177">
        <v>8141.9658300000001</v>
      </c>
      <c r="F3177">
        <v>7696.6</v>
      </c>
      <c r="G3177">
        <v>21690.65</v>
      </c>
    </row>
    <row r="3178" spans="1:7" x14ac:dyDescent="0.35">
      <c r="A3178" s="1">
        <v>44839</v>
      </c>
      <c r="B3178">
        <v>3447.72</v>
      </c>
      <c r="C3178">
        <v>5985.46</v>
      </c>
      <c r="D3178">
        <v>12517.18</v>
      </c>
      <c r="E3178">
        <v>8073.72325</v>
      </c>
      <c r="F3178">
        <v>7579.9</v>
      </c>
      <c r="G3178">
        <v>21360.720000000001</v>
      </c>
    </row>
    <row r="3179" spans="1:7" x14ac:dyDescent="0.35">
      <c r="A3179" s="1">
        <v>44840</v>
      </c>
      <c r="B3179">
        <v>3433.45</v>
      </c>
      <c r="C3179">
        <v>5936.42</v>
      </c>
      <c r="D3179">
        <v>12470.78</v>
      </c>
      <c r="E3179">
        <v>7954.4605600000004</v>
      </c>
      <c r="F3179">
        <v>7511.1</v>
      </c>
      <c r="G3179">
        <v>21140.55</v>
      </c>
    </row>
    <row r="3180" spans="1:7" x14ac:dyDescent="0.35">
      <c r="A3180" s="1">
        <v>44841</v>
      </c>
      <c r="B3180">
        <v>3375.46</v>
      </c>
      <c r="C3180">
        <v>5866.94</v>
      </c>
      <c r="D3180">
        <v>12273</v>
      </c>
      <c r="E3180">
        <v>7948.6852600000002</v>
      </c>
      <c r="F3180">
        <v>7436.9</v>
      </c>
      <c r="G3180">
        <v>20901.560000000001</v>
      </c>
    </row>
    <row r="3181" spans="1:7" x14ac:dyDescent="0.35">
      <c r="A3181" s="1">
        <v>44844</v>
      </c>
      <c r="B3181">
        <v>3356.88</v>
      </c>
      <c r="C3181">
        <v>5840.55</v>
      </c>
      <c r="D3181">
        <v>12272.94</v>
      </c>
      <c r="E3181">
        <v>7917.90254</v>
      </c>
      <c r="F3181">
        <v>7413.5</v>
      </c>
      <c r="G3181">
        <v>20912.96</v>
      </c>
    </row>
    <row r="3182" spans="1:7" x14ac:dyDescent="0.35">
      <c r="A3182" s="1">
        <v>44845</v>
      </c>
      <c r="B3182">
        <v>3340.35</v>
      </c>
      <c r="C3182">
        <v>5833.2</v>
      </c>
      <c r="D3182">
        <v>12220.25</v>
      </c>
      <c r="E3182">
        <v>7870.2444699999996</v>
      </c>
      <c r="F3182">
        <v>7355.9</v>
      </c>
      <c r="G3182">
        <v>20730.5</v>
      </c>
    </row>
    <row r="3183" spans="1:7" x14ac:dyDescent="0.35">
      <c r="A3183" s="1">
        <v>44846</v>
      </c>
      <c r="B3183">
        <v>3331.53</v>
      </c>
      <c r="C3183">
        <v>5818.47</v>
      </c>
      <c r="D3183">
        <v>12172.26</v>
      </c>
      <c r="E3183">
        <v>7798.1926299999996</v>
      </c>
      <c r="F3183">
        <v>7261.1</v>
      </c>
      <c r="G3183">
        <v>20466.77</v>
      </c>
    </row>
    <row r="3184" spans="1:7" x14ac:dyDescent="0.35">
      <c r="A3184" s="1">
        <v>44847</v>
      </c>
      <c r="B3184">
        <v>3362.4</v>
      </c>
      <c r="C3184">
        <v>5879.19</v>
      </c>
      <c r="D3184">
        <v>12355.58</v>
      </c>
      <c r="E3184">
        <v>7939.3052500000003</v>
      </c>
      <c r="F3184">
        <v>7348.8</v>
      </c>
      <c r="G3184">
        <v>20785.82</v>
      </c>
    </row>
    <row r="3185" spans="1:7" x14ac:dyDescent="0.35">
      <c r="A3185" s="1">
        <v>44848</v>
      </c>
      <c r="B3185">
        <v>3381.73</v>
      </c>
      <c r="C3185">
        <v>5931.92</v>
      </c>
      <c r="D3185">
        <v>12437.81</v>
      </c>
      <c r="E3185">
        <v>7877.2335000000003</v>
      </c>
      <c r="F3185">
        <v>7382.5</v>
      </c>
      <c r="G3185">
        <v>20930.810000000001</v>
      </c>
    </row>
    <row r="3186" spans="1:7" x14ac:dyDescent="0.35">
      <c r="A3186" s="1">
        <v>44851</v>
      </c>
      <c r="B3186">
        <v>3441.64</v>
      </c>
      <c r="C3186">
        <v>6040.66</v>
      </c>
      <c r="D3186">
        <v>12649.03</v>
      </c>
      <c r="E3186">
        <v>8011.1325900000002</v>
      </c>
      <c r="F3186">
        <v>7557.1</v>
      </c>
      <c r="G3186">
        <v>21319.73</v>
      </c>
    </row>
    <row r="3187" spans="1:7" x14ac:dyDescent="0.35">
      <c r="A3187" s="1">
        <v>44852</v>
      </c>
      <c r="B3187">
        <v>3463.83</v>
      </c>
      <c r="C3187">
        <v>6067</v>
      </c>
      <c r="D3187">
        <v>12765.61</v>
      </c>
      <c r="E3187">
        <v>7962.1894899999998</v>
      </c>
      <c r="F3187">
        <v>7611.3</v>
      </c>
      <c r="G3187">
        <v>21518.78</v>
      </c>
    </row>
    <row r="3188" spans="1:7" x14ac:dyDescent="0.35">
      <c r="A3188" s="1">
        <v>44853</v>
      </c>
      <c r="B3188">
        <v>3471.24</v>
      </c>
      <c r="C3188">
        <v>6040.72</v>
      </c>
      <c r="D3188">
        <v>12741.41</v>
      </c>
      <c r="E3188">
        <v>7937.5730100000001</v>
      </c>
      <c r="F3188">
        <v>7583.6</v>
      </c>
      <c r="G3188">
        <v>21472.11</v>
      </c>
    </row>
    <row r="3189" spans="1:7" x14ac:dyDescent="0.35">
      <c r="A3189" s="1">
        <v>44854</v>
      </c>
      <c r="B3189">
        <v>3492.85</v>
      </c>
      <c r="C3189">
        <v>6086.9</v>
      </c>
      <c r="D3189">
        <v>12767.41</v>
      </c>
      <c r="E3189">
        <v>7972.4275299999999</v>
      </c>
      <c r="F3189">
        <v>7644.4</v>
      </c>
      <c r="G3189">
        <v>21701.5</v>
      </c>
    </row>
    <row r="3190" spans="1:7" x14ac:dyDescent="0.35">
      <c r="A3190" s="1">
        <v>44855</v>
      </c>
      <c r="B3190">
        <v>3476.63</v>
      </c>
      <c r="C3190">
        <v>6035.39</v>
      </c>
      <c r="D3190">
        <v>12730.9</v>
      </c>
      <c r="E3190">
        <v>7976.3349699999999</v>
      </c>
      <c r="F3190">
        <v>7545.6</v>
      </c>
      <c r="G3190">
        <v>21567.55</v>
      </c>
    </row>
    <row r="3191" spans="1:7" x14ac:dyDescent="0.35">
      <c r="A3191" s="1">
        <v>44858</v>
      </c>
      <c r="B3191">
        <v>3527.79</v>
      </c>
      <c r="C3191">
        <v>6131.36</v>
      </c>
      <c r="D3191">
        <v>12931.45</v>
      </c>
      <c r="E3191">
        <v>8011.6236699999999</v>
      </c>
      <c r="F3191">
        <v>7680.5</v>
      </c>
      <c r="G3191">
        <v>21982.95</v>
      </c>
    </row>
    <row r="3192" spans="1:7" x14ac:dyDescent="0.35">
      <c r="A3192" s="1">
        <v>44859</v>
      </c>
      <c r="B3192">
        <v>3585.58</v>
      </c>
      <c r="C3192">
        <v>6250.55</v>
      </c>
      <c r="D3192">
        <v>13052.96</v>
      </c>
      <c r="E3192">
        <v>8081.6370900000002</v>
      </c>
      <c r="F3192">
        <v>7794.9</v>
      </c>
      <c r="G3192">
        <v>22289.85</v>
      </c>
    </row>
    <row r="3193" spans="1:7" x14ac:dyDescent="0.35">
      <c r="A3193" s="1">
        <v>44860</v>
      </c>
      <c r="B3193">
        <v>3605.31</v>
      </c>
      <c r="C3193">
        <v>6276.31</v>
      </c>
      <c r="D3193">
        <v>13195.81</v>
      </c>
      <c r="E3193">
        <v>8131.0072200000004</v>
      </c>
      <c r="F3193">
        <v>7870.6</v>
      </c>
      <c r="G3193">
        <v>22389.78</v>
      </c>
    </row>
    <row r="3194" spans="1:7" x14ac:dyDescent="0.35">
      <c r="A3194" s="1">
        <v>44861</v>
      </c>
      <c r="B3194">
        <v>3604.51</v>
      </c>
      <c r="C3194">
        <v>6244.03</v>
      </c>
      <c r="D3194">
        <v>13211.23</v>
      </c>
      <c r="E3194">
        <v>8204.4311899999993</v>
      </c>
      <c r="F3194">
        <v>7921.1</v>
      </c>
      <c r="G3194">
        <v>22590.41</v>
      </c>
    </row>
    <row r="3195" spans="1:7" x14ac:dyDescent="0.35">
      <c r="A3195" s="1">
        <v>44862</v>
      </c>
      <c r="B3195">
        <v>3613.02</v>
      </c>
      <c r="C3195">
        <v>6273.05</v>
      </c>
      <c r="D3195">
        <v>13243.33</v>
      </c>
      <c r="E3195">
        <v>8217.6725700000006</v>
      </c>
      <c r="F3195">
        <v>7916.5</v>
      </c>
      <c r="G3195">
        <v>22529.200000000001</v>
      </c>
    </row>
    <row r="3196" spans="1:7" x14ac:dyDescent="0.35">
      <c r="A3196" s="1">
        <v>44865</v>
      </c>
      <c r="B3196">
        <v>3617.54</v>
      </c>
      <c r="C3196">
        <v>6266.77</v>
      </c>
      <c r="D3196">
        <v>13253.74</v>
      </c>
      <c r="E3196">
        <v>8228.9946400000008</v>
      </c>
      <c r="F3196">
        <v>7956.5</v>
      </c>
      <c r="G3196">
        <v>22652.11</v>
      </c>
    </row>
    <row r="3197" spans="1:7" x14ac:dyDescent="0.35">
      <c r="A3197" s="1">
        <v>44866</v>
      </c>
      <c r="B3197">
        <v>3651.02</v>
      </c>
      <c r="C3197">
        <v>6328.25</v>
      </c>
      <c r="D3197">
        <v>13338.74</v>
      </c>
      <c r="E3197">
        <v>8352.5838700000004</v>
      </c>
      <c r="F3197">
        <v>7999</v>
      </c>
      <c r="G3197">
        <v>22795.64</v>
      </c>
    </row>
    <row r="3198" spans="1:7" x14ac:dyDescent="0.35">
      <c r="A3198" s="1">
        <v>44867</v>
      </c>
      <c r="B3198">
        <v>3622.01</v>
      </c>
      <c r="C3198">
        <v>6276.88</v>
      </c>
      <c r="D3198">
        <v>13256.74</v>
      </c>
      <c r="E3198">
        <v>8296.0241100000003</v>
      </c>
      <c r="F3198">
        <v>7968.6</v>
      </c>
      <c r="G3198">
        <v>22802.97</v>
      </c>
    </row>
    <row r="3199" spans="1:7" x14ac:dyDescent="0.35">
      <c r="A3199" s="1">
        <v>44868</v>
      </c>
      <c r="B3199">
        <v>3593.18</v>
      </c>
      <c r="C3199">
        <v>6243.28</v>
      </c>
      <c r="D3199">
        <v>13130.19</v>
      </c>
      <c r="E3199">
        <v>8243.2869100000007</v>
      </c>
      <c r="F3199">
        <v>7868.9</v>
      </c>
      <c r="G3199">
        <v>22706.02</v>
      </c>
    </row>
    <row r="3200" spans="1:7" x14ac:dyDescent="0.35">
      <c r="A3200" s="1">
        <v>44869</v>
      </c>
      <c r="B3200">
        <v>3688.33</v>
      </c>
      <c r="C3200">
        <v>6416.44</v>
      </c>
      <c r="D3200">
        <v>13459.85</v>
      </c>
      <c r="E3200">
        <v>8377.0776700000006</v>
      </c>
      <c r="F3200">
        <v>7942.7</v>
      </c>
      <c r="G3200">
        <v>23282.46</v>
      </c>
    </row>
    <row r="3201" spans="1:7" x14ac:dyDescent="0.35">
      <c r="A3201" s="1">
        <v>44872</v>
      </c>
      <c r="B3201">
        <v>3708.8</v>
      </c>
      <c r="C3201">
        <v>6416.61</v>
      </c>
      <c r="D3201">
        <v>13533.52</v>
      </c>
      <c r="E3201">
        <v>8389.6712100000004</v>
      </c>
      <c r="F3201">
        <v>7962.3</v>
      </c>
      <c r="G3201">
        <v>23493</v>
      </c>
    </row>
    <row r="3202" spans="1:7" x14ac:dyDescent="0.35">
      <c r="A3202" s="1">
        <v>44873</v>
      </c>
      <c r="B3202">
        <v>3739.28</v>
      </c>
      <c r="C3202">
        <v>6441.5</v>
      </c>
      <c r="D3202">
        <v>13688.75</v>
      </c>
      <c r="E3202">
        <v>8385.2586200000005</v>
      </c>
      <c r="F3202">
        <v>7998.9</v>
      </c>
      <c r="G3202">
        <v>23694.17</v>
      </c>
    </row>
    <row r="3203" spans="1:7" x14ac:dyDescent="0.35">
      <c r="A3203" s="1">
        <v>44874</v>
      </c>
      <c r="B3203">
        <v>3728.03</v>
      </c>
      <c r="C3203">
        <v>6430.57</v>
      </c>
      <c r="D3203">
        <v>13666.32</v>
      </c>
      <c r="E3203">
        <v>8280.0467499999995</v>
      </c>
      <c r="F3203">
        <v>8040.4</v>
      </c>
      <c r="G3203">
        <v>23780.07</v>
      </c>
    </row>
    <row r="3204" spans="1:7" x14ac:dyDescent="0.35">
      <c r="A3204" s="1">
        <v>44875</v>
      </c>
      <c r="B3204">
        <v>3846.56</v>
      </c>
      <c r="C3204">
        <v>6556.83</v>
      </c>
      <c r="D3204">
        <v>14146.09</v>
      </c>
      <c r="E3204">
        <v>8466.7710700000007</v>
      </c>
      <c r="F3204">
        <v>8133.2</v>
      </c>
      <c r="G3204">
        <v>24394.28</v>
      </c>
    </row>
    <row r="3205" spans="1:7" x14ac:dyDescent="0.35">
      <c r="A3205" s="1">
        <v>44876</v>
      </c>
      <c r="B3205">
        <v>3868.5</v>
      </c>
      <c r="C3205">
        <v>6594.62</v>
      </c>
      <c r="D3205">
        <v>14224.86</v>
      </c>
      <c r="E3205">
        <v>8349.0189499999997</v>
      </c>
      <c r="F3205">
        <v>8098.1</v>
      </c>
      <c r="G3205">
        <v>24455.57</v>
      </c>
    </row>
    <row r="3206" spans="1:7" x14ac:dyDescent="0.35">
      <c r="A3206" s="1">
        <v>44879</v>
      </c>
      <c r="B3206">
        <v>3887.51</v>
      </c>
      <c r="C3206">
        <v>6609.17</v>
      </c>
      <c r="D3206">
        <v>14313.3</v>
      </c>
      <c r="E3206">
        <v>8401.2024799999999</v>
      </c>
      <c r="F3206">
        <v>8166.5</v>
      </c>
      <c r="G3206">
        <v>24596.69</v>
      </c>
    </row>
    <row r="3207" spans="1:7" x14ac:dyDescent="0.35">
      <c r="A3207" s="1">
        <v>44880</v>
      </c>
      <c r="B3207">
        <v>3915.09</v>
      </c>
      <c r="C3207">
        <v>6641.66</v>
      </c>
      <c r="D3207">
        <v>14378.51</v>
      </c>
      <c r="E3207">
        <v>8438.8426099999997</v>
      </c>
      <c r="F3207">
        <v>8188.4</v>
      </c>
      <c r="G3207">
        <v>24699.75</v>
      </c>
    </row>
    <row r="3208" spans="1:7" x14ac:dyDescent="0.35">
      <c r="A3208" s="1">
        <v>44881</v>
      </c>
      <c r="B3208">
        <v>3882.78</v>
      </c>
      <c r="C3208">
        <v>6607.22</v>
      </c>
      <c r="D3208">
        <v>14234.03</v>
      </c>
      <c r="E3208">
        <v>8420.8787599999996</v>
      </c>
      <c r="F3208">
        <v>8101.4</v>
      </c>
      <c r="G3208">
        <v>24531.27</v>
      </c>
    </row>
    <row r="3209" spans="1:7" x14ac:dyDescent="0.35">
      <c r="A3209" s="1">
        <v>44882</v>
      </c>
      <c r="B3209">
        <v>3878.42</v>
      </c>
      <c r="C3209">
        <v>6576.12</v>
      </c>
      <c r="D3209">
        <v>14266.38</v>
      </c>
      <c r="E3209">
        <v>8402.0283999999992</v>
      </c>
      <c r="F3209">
        <v>8040.7</v>
      </c>
      <c r="G3209">
        <v>24339.67</v>
      </c>
    </row>
    <row r="3210" spans="1:7" x14ac:dyDescent="0.35">
      <c r="A3210" s="1">
        <v>44883</v>
      </c>
      <c r="B3210">
        <v>3924.84</v>
      </c>
      <c r="C3210">
        <v>6644.46</v>
      </c>
      <c r="D3210">
        <v>14431.86</v>
      </c>
      <c r="E3210">
        <v>8490.5247299999992</v>
      </c>
      <c r="F3210">
        <v>8127.8</v>
      </c>
      <c r="G3210">
        <v>24675.18</v>
      </c>
    </row>
    <row r="3211" spans="1:7" x14ac:dyDescent="0.35">
      <c r="A3211" s="1">
        <v>44886</v>
      </c>
      <c r="B3211">
        <v>3909.28</v>
      </c>
      <c r="C3211">
        <v>6634.45</v>
      </c>
      <c r="D3211">
        <v>14379.93</v>
      </c>
      <c r="E3211">
        <v>8501.4357500000006</v>
      </c>
      <c r="F3211">
        <v>8188.4</v>
      </c>
      <c r="G3211">
        <v>24356.05</v>
      </c>
    </row>
    <row r="3212" spans="1:7" x14ac:dyDescent="0.35">
      <c r="A3212" s="1">
        <v>44887</v>
      </c>
      <c r="B3212">
        <v>3929.9</v>
      </c>
      <c r="C3212">
        <v>6657.53</v>
      </c>
      <c r="D3212">
        <v>14422.35</v>
      </c>
      <c r="E3212">
        <v>8600.8784799999994</v>
      </c>
      <c r="F3212">
        <v>8325</v>
      </c>
      <c r="G3212">
        <v>24590.5</v>
      </c>
    </row>
    <row r="3213" spans="1:7" x14ac:dyDescent="0.35">
      <c r="A3213" s="1">
        <v>44888</v>
      </c>
      <c r="B3213">
        <v>3946.44</v>
      </c>
      <c r="C3213">
        <v>6679.09</v>
      </c>
      <c r="D3213">
        <v>14427.59</v>
      </c>
      <c r="E3213">
        <v>8665.2679700000008</v>
      </c>
      <c r="F3213">
        <v>8331.2000000000007</v>
      </c>
      <c r="G3213">
        <v>24581.14</v>
      </c>
    </row>
    <row r="3214" spans="1:7" x14ac:dyDescent="0.35">
      <c r="A3214" s="1">
        <v>44889</v>
      </c>
      <c r="B3214">
        <v>3961.99</v>
      </c>
      <c r="C3214">
        <v>6707.32</v>
      </c>
      <c r="D3214">
        <v>14539.56</v>
      </c>
      <c r="E3214">
        <v>8696.8064599999998</v>
      </c>
      <c r="F3214">
        <v>8388.1</v>
      </c>
      <c r="G3214">
        <v>24730.89</v>
      </c>
    </row>
    <row r="3215" spans="1:7" x14ac:dyDescent="0.35">
      <c r="A3215" s="1">
        <v>44890</v>
      </c>
      <c r="B3215">
        <v>3962.41</v>
      </c>
      <c r="C3215">
        <v>6712.48</v>
      </c>
      <c r="D3215">
        <v>14541.38</v>
      </c>
      <c r="E3215">
        <v>8701.83295</v>
      </c>
      <c r="F3215">
        <v>8416.6</v>
      </c>
      <c r="G3215">
        <v>24718.81</v>
      </c>
    </row>
    <row r="3216" spans="1:7" x14ac:dyDescent="0.35">
      <c r="A3216" s="1">
        <v>44893</v>
      </c>
      <c r="B3216">
        <v>3935.51</v>
      </c>
      <c r="C3216">
        <v>6665.2</v>
      </c>
      <c r="D3216">
        <v>14383.36</v>
      </c>
      <c r="E3216">
        <v>8649.5384799999993</v>
      </c>
      <c r="F3216">
        <v>8323.2000000000007</v>
      </c>
      <c r="G3216">
        <v>24440.880000000001</v>
      </c>
    </row>
    <row r="3217" spans="1:7" x14ac:dyDescent="0.35">
      <c r="A3217" s="1">
        <v>44894</v>
      </c>
      <c r="B3217">
        <v>3934.44</v>
      </c>
      <c r="C3217">
        <v>6668.97</v>
      </c>
      <c r="D3217">
        <v>14355.45</v>
      </c>
      <c r="E3217">
        <v>8696.9199200000003</v>
      </c>
      <c r="F3217">
        <v>8322.1</v>
      </c>
      <c r="G3217">
        <v>24465.95</v>
      </c>
    </row>
    <row r="3218" spans="1:7" x14ac:dyDescent="0.35">
      <c r="A3218" s="1">
        <v>44895</v>
      </c>
      <c r="B3218">
        <v>3964.72</v>
      </c>
      <c r="C3218">
        <v>6738.55</v>
      </c>
      <c r="D3218">
        <v>14397.04</v>
      </c>
      <c r="E3218">
        <v>8768.2924000000003</v>
      </c>
      <c r="F3218">
        <v>8363.2000000000007</v>
      </c>
      <c r="G3218">
        <v>24610.29</v>
      </c>
    </row>
    <row r="3219" spans="1:7" x14ac:dyDescent="0.35">
      <c r="A3219" s="1">
        <v>44896</v>
      </c>
      <c r="B3219">
        <v>3984.5</v>
      </c>
      <c r="C3219">
        <v>6753.97</v>
      </c>
      <c r="D3219">
        <v>14490.3</v>
      </c>
      <c r="E3219">
        <v>8818.7178700000004</v>
      </c>
      <c r="F3219">
        <v>8407.9</v>
      </c>
      <c r="G3219">
        <v>24685.67</v>
      </c>
    </row>
    <row r="3220" spans="1:7" x14ac:dyDescent="0.35">
      <c r="A3220" s="1">
        <v>44897</v>
      </c>
      <c r="B3220">
        <v>3977.9</v>
      </c>
      <c r="C3220">
        <v>6742.25</v>
      </c>
      <c r="D3220">
        <v>14529.39</v>
      </c>
      <c r="E3220">
        <v>8813.2087900000006</v>
      </c>
      <c r="F3220">
        <v>8382.6</v>
      </c>
      <c r="G3220">
        <v>24621.72</v>
      </c>
    </row>
    <row r="3221" spans="1:7" x14ac:dyDescent="0.35">
      <c r="A3221" s="1">
        <v>44900</v>
      </c>
      <c r="B3221">
        <v>3956.53</v>
      </c>
      <c r="C3221">
        <v>6696.96</v>
      </c>
      <c r="D3221">
        <v>14447.61</v>
      </c>
      <c r="E3221">
        <v>8783.9706800000004</v>
      </c>
      <c r="F3221">
        <v>8370.1</v>
      </c>
      <c r="G3221">
        <v>24547.84</v>
      </c>
    </row>
    <row r="3222" spans="1:7" x14ac:dyDescent="0.35">
      <c r="A3222" s="1">
        <v>44901</v>
      </c>
      <c r="B3222">
        <v>3939.19</v>
      </c>
      <c r="C3222">
        <v>6687.79</v>
      </c>
      <c r="D3222">
        <v>14343.19</v>
      </c>
      <c r="E3222">
        <v>8736.9246899999998</v>
      </c>
      <c r="F3222">
        <v>8331.9</v>
      </c>
      <c r="G3222">
        <v>24265.45</v>
      </c>
    </row>
    <row r="3223" spans="1:7" x14ac:dyDescent="0.35">
      <c r="A3223" s="1">
        <v>44902</v>
      </c>
      <c r="B3223">
        <v>3920.9</v>
      </c>
      <c r="C3223">
        <v>6660.59</v>
      </c>
      <c r="D3223">
        <v>14261.19</v>
      </c>
      <c r="E3223">
        <v>8703.9226600000002</v>
      </c>
      <c r="F3223">
        <v>8290.5</v>
      </c>
      <c r="G3223">
        <v>24241.35</v>
      </c>
    </row>
    <row r="3224" spans="1:7" x14ac:dyDescent="0.35">
      <c r="A3224" s="1">
        <v>44903</v>
      </c>
      <c r="B3224">
        <v>3921.27</v>
      </c>
      <c r="C3224">
        <v>6647.31</v>
      </c>
      <c r="D3224">
        <v>14264.56</v>
      </c>
      <c r="E3224">
        <v>8669.8148500000007</v>
      </c>
      <c r="F3224">
        <v>8225.2000000000007</v>
      </c>
      <c r="G3224">
        <v>24207.42</v>
      </c>
    </row>
    <row r="3225" spans="1:7" x14ac:dyDescent="0.35">
      <c r="A3225" s="1">
        <v>44904</v>
      </c>
      <c r="B3225">
        <v>3942.62</v>
      </c>
      <c r="C3225">
        <v>6677.64</v>
      </c>
      <c r="D3225">
        <v>14370.72</v>
      </c>
      <c r="E3225">
        <v>8710.9190999999992</v>
      </c>
      <c r="F3225">
        <v>8289.2000000000007</v>
      </c>
      <c r="G3225">
        <v>24277.49</v>
      </c>
    </row>
    <row r="3226" spans="1:7" x14ac:dyDescent="0.35">
      <c r="A3226" s="1">
        <v>44907</v>
      </c>
      <c r="B3226">
        <v>3921.82</v>
      </c>
      <c r="C3226">
        <v>6650.55</v>
      </c>
      <c r="D3226">
        <v>14306.63</v>
      </c>
      <c r="E3226">
        <v>8681.5458099999996</v>
      </c>
      <c r="F3226">
        <v>8258.9</v>
      </c>
      <c r="G3226">
        <v>24303.68</v>
      </c>
    </row>
    <row r="3227" spans="1:7" x14ac:dyDescent="0.35">
      <c r="A3227" s="1">
        <v>44908</v>
      </c>
      <c r="B3227">
        <v>3986.83</v>
      </c>
      <c r="C3227">
        <v>6744.98</v>
      </c>
      <c r="D3227">
        <v>14497.89</v>
      </c>
      <c r="E3227">
        <v>8741.2379299999993</v>
      </c>
      <c r="F3227">
        <v>8327.7000000000007</v>
      </c>
      <c r="G3227">
        <v>24636.94</v>
      </c>
    </row>
    <row r="3228" spans="1:7" x14ac:dyDescent="0.35">
      <c r="A3228" s="1">
        <v>44909</v>
      </c>
      <c r="B3228">
        <v>3975.26</v>
      </c>
      <c r="C3228">
        <v>6730.79</v>
      </c>
      <c r="D3228">
        <v>14460.2</v>
      </c>
      <c r="E3228">
        <v>8739.3874099999994</v>
      </c>
      <c r="F3228">
        <v>8360.6</v>
      </c>
      <c r="G3228">
        <v>24573.93</v>
      </c>
    </row>
    <row r="3229" spans="1:7" x14ac:dyDescent="0.35">
      <c r="A3229" s="1">
        <v>44910</v>
      </c>
      <c r="B3229">
        <v>3835.7</v>
      </c>
      <c r="C3229">
        <v>6522.77</v>
      </c>
      <c r="D3229">
        <v>13986.23</v>
      </c>
      <c r="E3229">
        <v>8519.1811500000003</v>
      </c>
      <c r="F3229">
        <v>8218.7999999999993</v>
      </c>
      <c r="G3229">
        <v>23726.05</v>
      </c>
    </row>
    <row r="3230" spans="1:7" x14ac:dyDescent="0.35">
      <c r="A3230" s="1">
        <v>44911</v>
      </c>
      <c r="B3230">
        <v>3804.02</v>
      </c>
      <c r="C3230">
        <v>6452.63</v>
      </c>
      <c r="D3230">
        <v>13893.07</v>
      </c>
      <c r="E3230">
        <v>8421.0487099999991</v>
      </c>
      <c r="F3230">
        <v>8112.5</v>
      </c>
      <c r="G3230">
        <v>23688.16</v>
      </c>
    </row>
    <row r="3231" spans="1:7" x14ac:dyDescent="0.35">
      <c r="A3231" s="1">
        <v>44914</v>
      </c>
      <c r="B3231">
        <v>3811.24</v>
      </c>
      <c r="C3231">
        <v>6473.29</v>
      </c>
      <c r="D3231">
        <v>13942.87</v>
      </c>
      <c r="E3231">
        <v>8439.3521999999994</v>
      </c>
      <c r="F3231">
        <v>8136.8</v>
      </c>
      <c r="G3231">
        <v>23683.54</v>
      </c>
    </row>
    <row r="3232" spans="1:7" x14ac:dyDescent="0.35">
      <c r="A3232" s="1">
        <v>44915</v>
      </c>
      <c r="B3232">
        <v>3802.49</v>
      </c>
      <c r="C3232">
        <v>6450.43</v>
      </c>
      <c r="D3232">
        <v>13884.66</v>
      </c>
      <c r="E3232">
        <v>8431.6004400000002</v>
      </c>
      <c r="F3232">
        <v>8185.2</v>
      </c>
      <c r="G3232">
        <v>23718.25</v>
      </c>
    </row>
    <row r="3233" spans="1:7" x14ac:dyDescent="0.35">
      <c r="A3233" s="1">
        <v>44916</v>
      </c>
      <c r="B3233">
        <v>3872.15</v>
      </c>
      <c r="C3233">
        <v>6580.24</v>
      </c>
      <c r="D3233">
        <v>14097.82</v>
      </c>
      <c r="E3233">
        <v>8535.5301500000005</v>
      </c>
      <c r="F3233">
        <v>8302.2999999999993</v>
      </c>
      <c r="G3233">
        <v>24111.97</v>
      </c>
    </row>
    <row r="3234" spans="1:7" x14ac:dyDescent="0.35">
      <c r="A3234" s="1">
        <v>44917</v>
      </c>
      <c r="B3234">
        <v>3823.29</v>
      </c>
      <c r="C3234">
        <v>6517.97</v>
      </c>
      <c r="D3234">
        <v>13914.07</v>
      </c>
      <c r="E3234">
        <v>8482.5899700000009</v>
      </c>
      <c r="F3234">
        <v>8272.1</v>
      </c>
      <c r="G3234">
        <v>23813.3</v>
      </c>
    </row>
    <row r="3235" spans="1:7" x14ac:dyDescent="0.35">
      <c r="A3235" s="1">
        <v>44918</v>
      </c>
      <c r="B3235">
        <v>3817.01</v>
      </c>
      <c r="C3235">
        <v>6504.9</v>
      </c>
      <c r="D3235">
        <v>13940.93</v>
      </c>
      <c r="E3235">
        <v>8480.5752300000004</v>
      </c>
      <c r="F3235">
        <v>8269.1</v>
      </c>
      <c r="G3235">
        <v>23877.55</v>
      </c>
    </row>
    <row r="3236" spans="1:7" x14ac:dyDescent="0.35">
      <c r="A3236" s="1">
        <v>44923</v>
      </c>
      <c r="B3236">
        <v>3808.82</v>
      </c>
      <c r="C3236">
        <v>6510.49</v>
      </c>
      <c r="D3236">
        <v>13925.6</v>
      </c>
      <c r="E3236">
        <v>8495.2635599999994</v>
      </c>
      <c r="F3236">
        <v>8258.5</v>
      </c>
      <c r="G3236">
        <v>23770.44</v>
      </c>
    </row>
    <row r="3237" spans="1:7" x14ac:dyDescent="0.35">
      <c r="A3237" s="1">
        <v>44924</v>
      </c>
      <c r="B3237">
        <v>3850.07</v>
      </c>
      <c r="C3237">
        <v>6573.47</v>
      </c>
      <c r="D3237">
        <v>14071.72</v>
      </c>
      <c r="E3237">
        <v>8488.2061099999992</v>
      </c>
      <c r="F3237">
        <v>8318.2999999999993</v>
      </c>
      <c r="G3237">
        <v>24056.55</v>
      </c>
    </row>
    <row r="3238" spans="1:7" x14ac:dyDescent="0.35">
      <c r="A3238" s="1">
        <v>44925</v>
      </c>
      <c r="B3238">
        <v>3793.62</v>
      </c>
      <c r="C3238">
        <v>6473.76</v>
      </c>
      <c r="D3238">
        <v>13923.59</v>
      </c>
      <c r="E3238">
        <v>8416.6885000000002</v>
      </c>
      <c r="F3238">
        <v>8229.1</v>
      </c>
      <c r="G3238">
        <v>23706.959999999999</v>
      </c>
    </row>
    <row r="3239" spans="1:7" x14ac:dyDescent="0.35">
      <c r="A3239" s="1">
        <v>44929</v>
      </c>
      <c r="B3239">
        <v>3882.29</v>
      </c>
      <c r="C3239">
        <v>6623.89</v>
      </c>
      <c r="D3239">
        <v>14181.67</v>
      </c>
      <c r="E3239">
        <v>8570.5183799999995</v>
      </c>
      <c r="F3239">
        <v>8397.4</v>
      </c>
      <c r="G3239">
        <v>24436.47</v>
      </c>
    </row>
    <row r="3240" spans="1:7" x14ac:dyDescent="0.35">
      <c r="A3240" s="1">
        <v>44930</v>
      </c>
      <c r="B3240">
        <v>3973.97</v>
      </c>
      <c r="C3240">
        <v>6776.43</v>
      </c>
      <c r="D3240">
        <v>14490.78</v>
      </c>
      <c r="E3240">
        <v>8628.5380000000005</v>
      </c>
      <c r="F3240">
        <v>8559.7999999999993</v>
      </c>
      <c r="G3240">
        <v>24860.560000000001</v>
      </c>
    </row>
    <row r="3241" spans="1:7" x14ac:dyDescent="0.35">
      <c r="A3241" s="1">
        <v>44931</v>
      </c>
      <c r="B3241">
        <v>3959.48</v>
      </c>
      <c r="C3241">
        <v>6761.5</v>
      </c>
      <c r="D3241">
        <v>14436.31</v>
      </c>
      <c r="E3241">
        <v>8631.6703799999996</v>
      </c>
      <c r="F3241">
        <v>8607.6</v>
      </c>
      <c r="G3241">
        <v>24832.7</v>
      </c>
    </row>
    <row r="3242" spans="1:7" x14ac:dyDescent="0.35">
      <c r="A3242" s="1">
        <v>44932</v>
      </c>
      <c r="B3242">
        <v>4017.83</v>
      </c>
      <c r="C3242">
        <v>6860.95</v>
      </c>
      <c r="D3242">
        <v>14610.02</v>
      </c>
      <c r="E3242">
        <v>8746.7885600000009</v>
      </c>
      <c r="F3242">
        <v>8701.1</v>
      </c>
      <c r="G3242">
        <v>25180.35</v>
      </c>
    </row>
    <row r="3243" spans="1:7" x14ac:dyDescent="0.35">
      <c r="A3243" s="1">
        <v>44935</v>
      </c>
      <c r="B3243">
        <v>4068.62</v>
      </c>
      <c r="C3243">
        <v>6907.36</v>
      </c>
      <c r="D3243">
        <v>14792.83</v>
      </c>
      <c r="E3243">
        <v>8763.3156600000002</v>
      </c>
      <c r="F3243">
        <v>8694.9</v>
      </c>
      <c r="G3243">
        <v>25385.09</v>
      </c>
    </row>
    <row r="3244" spans="1:7" x14ac:dyDescent="0.35">
      <c r="A3244" s="1">
        <v>44936</v>
      </c>
      <c r="B3244">
        <v>4057.46</v>
      </c>
      <c r="C3244">
        <v>6869.14</v>
      </c>
      <c r="D3244">
        <v>14774.6</v>
      </c>
      <c r="E3244">
        <v>8708.8093000000008</v>
      </c>
      <c r="F3244">
        <v>8712.7000000000007</v>
      </c>
      <c r="G3244">
        <v>25364.61</v>
      </c>
    </row>
    <row r="3245" spans="1:7" x14ac:dyDescent="0.35">
      <c r="A3245" s="1">
        <v>44937</v>
      </c>
      <c r="B3245">
        <v>4099.76</v>
      </c>
      <c r="C3245">
        <v>6924.19</v>
      </c>
      <c r="D3245">
        <v>14947.91</v>
      </c>
      <c r="E3245">
        <v>8712.6158500000001</v>
      </c>
      <c r="F3245">
        <v>8726.2999999999993</v>
      </c>
      <c r="G3245">
        <v>25546.86</v>
      </c>
    </row>
    <row r="3246" spans="1:7" x14ac:dyDescent="0.35">
      <c r="A3246" s="1">
        <v>44938</v>
      </c>
      <c r="B3246">
        <v>4126.68</v>
      </c>
      <c r="C3246">
        <v>6975.68</v>
      </c>
      <c r="D3246">
        <v>15058.3</v>
      </c>
      <c r="E3246">
        <v>8785.4470600000004</v>
      </c>
      <c r="F3246">
        <v>8828.1</v>
      </c>
      <c r="G3246">
        <v>25733.96</v>
      </c>
    </row>
    <row r="3247" spans="1:7" x14ac:dyDescent="0.35">
      <c r="A3247" s="1">
        <v>44939</v>
      </c>
      <c r="B3247">
        <v>4150.8</v>
      </c>
      <c r="C3247">
        <v>7023.5</v>
      </c>
      <c r="D3247">
        <v>15086.52</v>
      </c>
      <c r="E3247">
        <v>8844.5004300000001</v>
      </c>
      <c r="F3247">
        <v>8881.7000000000007</v>
      </c>
      <c r="G3247">
        <v>25783.48</v>
      </c>
    </row>
    <row r="3248" spans="1:7" x14ac:dyDescent="0.35">
      <c r="A3248" s="1">
        <v>44942</v>
      </c>
      <c r="B3248">
        <v>4157</v>
      </c>
      <c r="C3248">
        <v>7043.31</v>
      </c>
      <c r="D3248">
        <v>15134.04</v>
      </c>
      <c r="E3248">
        <v>8860.9315100000003</v>
      </c>
      <c r="F3248">
        <v>8871.1</v>
      </c>
      <c r="G3248">
        <v>25901.33</v>
      </c>
    </row>
    <row r="3249" spans="1:7" x14ac:dyDescent="0.35">
      <c r="A3249" s="1">
        <v>44943</v>
      </c>
      <c r="B3249">
        <v>4174.33</v>
      </c>
      <c r="C3249">
        <v>7077.16</v>
      </c>
      <c r="D3249">
        <v>15187.07</v>
      </c>
      <c r="E3249">
        <v>8928.70802</v>
      </c>
      <c r="F3249">
        <v>8890.4</v>
      </c>
      <c r="G3249">
        <v>25981.19</v>
      </c>
    </row>
    <row r="3250" spans="1:7" x14ac:dyDescent="0.35">
      <c r="A3250" s="1">
        <v>44944</v>
      </c>
      <c r="B3250">
        <v>4174.34</v>
      </c>
      <c r="C3250">
        <v>7083.39</v>
      </c>
      <c r="D3250">
        <v>15181.8</v>
      </c>
      <c r="E3250">
        <v>8954.9668600000005</v>
      </c>
      <c r="F3250">
        <v>8933.2999999999993</v>
      </c>
      <c r="G3250">
        <v>26052.39</v>
      </c>
    </row>
    <row r="3251" spans="1:7" x14ac:dyDescent="0.35">
      <c r="A3251" s="1">
        <v>44945</v>
      </c>
      <c r="B3251">
        <v>4094.28</v>
      </c>
      <c r="C3251">
        <v>6951.87</v>
      </c>
      <c r="D3251">
        <v>14920.36</v>
      </c>
      <c r="E3251">
        <v>8862.5387499999997</v>
      </c>
      <c r="F3251">
        <v>8793.1</v>
      </c>
      <c r="G3251">
        <v>25596.28</v>
      </c>
    </row>
    <row r="3252" spans="1:7" x14ac:dyDescent="0.35">
      <c r="A3252" s="1">
        <v>44946</v>
      </c>
      <c r="B3252">
        <v>4119.8999999999996</v>
      </c>
      <c r="C3252">
        <v>6995.99</v>
      </c>
      <c r="D3252">
        <v>15033.56</v>
      </c>
      <c r="E3252">
        <v>8876.2724400000006</v>
      </c>
      <c r="F3252">
        <v>8918.2000000000007</v>
      </c>
      <c r="G3252">
        <v>25775.52</v>
      </c>
    </row>
    <row r="3253" spans="1:7" x14ac:dyDescent="0.35">
      <c r="A3253" s="1">
        <v>44949</v>
      </c>
      <c r="B3253">
        <v>4150.82</v>
      </c>
      <c r="C3253">
        <v>7032.02</v>
      </c>
      <c r="D3253">
        <v>15102.95</v>
      </c>
      <c r="E3253">
        <v>8863.9034499999998</v>
      </c>
      <c r="F3253">
        <v>8944.1</v>
      </c>
      <c r="G3253">
        <v>25821.45</v>
      </c>
    </row>
    <row r="3254" spans="1:7" x14ac:dyDescent="0.35">
      <c r="A3254" s="1">
        <v>44950</v>
      </c>
      <c r="B3254">
        <v>4153.0200000000004</v>
      </c>
      <c r="C3254">
        <v>7050.48</v>
      </c>
      <c r="D3254">
        <v>15093.11</v>
      </c>
      <c r="E3254">
        <v>8785.1175500000008</v>
      </c>
      <c r="F3254">
        <v>8967.1</v>
      </c>
      <c r="G3254">
        <v>25884.31</v>
      </c>
    </row>
    <row r="3255" spans="1:7" x14ac:dyDescent="0.35">
      <c r="A3255" s="1">
        <v>44951</v>
      </c>
      <c r="B3255">
        <v>4148.1099999999997</v>
      </c>
      <c r="C3255">
        <v>7043.88</v>
      </c>
      <c r="D3255">
        <v>15081.64</v>
      </c>
      <c r="E3255">
        <v>8798.6953200000007</v>
      </c>
      <c r="F3255">
        <v>8957.5</v>
      </c>
      <c r="G3255">
        <v>25875.3</v>
      </c>
    </row>
    <row r="3256" spans="1:7" x14ac:dyDescent="0.35">
      <c r="A3256" s="1">
        <v>44952</v>
      </c>
      <c r="B3256">
        <v>4173.9799999999996</v>
      </c>
      <c r="C3256">
        <v>7095.99</v>
      </c>
      <c r="D3256">
        <v>15132.85</v>
      </c>
      <c r="E3256">
        <v>8839.7364199999993</v>
      </c>
      <c r="F3256">
        <v>9035.6</v>
      </c>
      <c r="G3256">
        <v>26217.56</v>
      </c>
    </row>
    <row r="3257" spans="1:7" x14ac:dyDescent="0.35">
      <c r="A3257" s="1">
        <v>44953</v>
      </c>
      <c r="B3257">
        <v>4178.01</v>
      </c>
      <c r="C3257">
        <v>7097.21</v>
      </c>
      <c r="D3257">
        <v>15150.03</v>
      </c>
      <c r="E3257">
        <v>8854.85772</v>
      </c>
      <c r="F3257">
        <v>9060.2000000000007</v>
      </c>
      <c r="G3257">
        <v>26435.75</v>
      </c>
    </row>
    <row r="3258" spans="1:7" x14ac:dyDescent="0.35">
      <c r="A3258" s="1">
        <v>44956</v>
      </c>
      <c r="B3258">
        <v>4158.63</v>
      </c>
      <c r="C3258">
        <v>7082.01</v>
      </c>
      <c r="D3258">
        <v>15126.08</v>
      </c>
      <c r="E3258">
        <v>8863.9112000000005</v>
      </c>
      <c r="F3258">
        <v>9049.2999999999993</v>
      </c>
      <c r="G3258">
        <v>26335.98</v>
      </c>
    </row>
    <row r="3259" spans="1:7" x14ac:dyDescent="0.35">
      <c r="A3259" s="1">
        <v>44957</v>
      </c>
      <c r="B3259">
        <v>4163.45</v>
      </c>
      <c r="C3259">
        <v>7082.42</v>
      </c>
      <c r="D3259">
        <v>15128.27</v>
      </c>
      <c r="E3259">
        <v>8816.7486599999993</v>
      </c>
      <c r="F3259">
        <v>9034</v>
      </c>
      <c r="G3259">
        <v>26599.74</v>
      </c>
    </row>
    <row r="3260" spans="1:7" x14ac:dyDescent="0.35">
      <c r="A3260" s="1">
        <v>44958</v>
      </c>
      <c r="B3260">
        <v>4171.4399999999996</v>
      </c>
      <c r="C3260">
        <v>7077.11</v>
      </c>
      <c r="D3260">
        <v>15180.74</v>
      </c>
      <c r="E3260">
        <v>8752.9496899999995</v>
      </c>
      <c r="F3260">
        <v>9098.1</v>
      </c>
      <c r="G3260">
        <v>26703.87</v>
      </c>
    </row>
    <row r="3261" spans="1:7" x14ac:dyDescent="0.35">
      <c r="A3261" s="1">
        <v>44959</v>
      </c>
      <c r="B3261">
        <v>4241.12</v>
      </c>
      <c r="C3261">
        <v>7166.27</v>
      </c>
      <c r="D3261">
        <v>15509.19</v>
      </c>
      <c r="E3261">
        <v>8777.1600600000002</v>
      </c>
      <c r="F3261">
        <v>9229.7000000000007</v>
      </c>
      <c r="G3261">
        <v>27100.62</v>
      </c>
    </row>
    <row r="3262" spans="1:7" x14ac:dyDescent="0.35">
      <c r="A3262" s="1">
        <v>44960</v>
      </c>
      <c r="B3262">
        <v>4257.9799999999996</v>
      </c>
      <c r="C3262">
        <v>7233.94</v>
      </c>
      <c r="D3262">
        <v>15476.43</v>
      </c>
      <c r="E3262">
        <v>8814.2480400000004</v>
      </c>
      <c r="F3262">
        <v>9225.6</v>
      </c>
      <c r="G3262">
        <v>26950.74</v>
      </c>
    </row>
    <row r="3263" spans="1:7" x14ac:dyDescent="0.35">
      <c r="A3263" s="1">
        <v>44963</v>
      </c>
      <c r="B3263">
        <v>4205.45</v>
      </c>
      <c r="C3263">
        <v>7137.1</v>
      </c>
      <c r="D3263">
        <v>15345.91</v>
      </c>
      <c r="E3263">
        <v>8786.9467499999992</v>
      </c>
      <c r="F3263">
        <v>9159.2000000000007</v>
      </c>
      <c r="G3263">
        <v>27022.33</v>
      </c>
    </row>
    <row r="3264" spans="1:7" x14ac:dyDescent="0.35">
      <c r="A3264" s="1">
        <v>44964</v>
      </c>
      <c r="B3264">
        <v>4209.3100000000004</v>
      </c>
      <c r="C3264">
        <v>7132.35</v>
      </c>
      <c r="D3264">
        <v>15320.88</v>
      </c>
      <c r="E3264">
        <v>8832.3594799999992</v>
      </c>
      <c r="F3264">
        <v>9172.4</v>
      </c>
      <c r="G3264">
        <v>27118.74</v>
      </c>
    </row>
    <row r="3265" spans="1:7" x14ac:dyDescent="0.35">
      <c r="A3265" s="1">
        <v>44965</v>
      </c>
      <c r="B3265">
        <v>4209.1499999999996</v>
      </c>
      <c r="C3265">
        <v>7119.83</v>
      </c>
      <c r="D3265">
        <v>15412.05</v>
      </c>
      <c r="E3265">
        <v>8881.8413799999998</v>
      </c>
      <c r="F3265">
        <v>9227.2999999999993</v>
      </c>
      <c r="G3265">
        <v>27160.73</v>
      </c>
    </row>
    <row r="3266" spans="1:7" x14ac:dyDescent="0.35">
      <c r="A3266" s="1">
        <v>44966</v>
      </c>
      <c r="B3266">
        <v>4250.1400000000003</v>
      </c>
      <c r="C3266">
        <v>7188.36</v>
      </c>
      <c r="D3266">
        <v>15523.42</v>
      </c>
      <c r="E3266">
        <v>8936.3832299999995</v>
      </c>
      <c r="F3266">
        <v>9243.5</v>
      </c>
      <c r="G3266">
        <v>27503.75</v>
      </c>
    </row>
    <row r="3267" spans="1:7" x14ac:dyDescent="0.35">
      <c r="A3267" s="1">
        <v>44967</v>
      </c>
      <c r="B3267">
        <v>4197.9399999999996</v>
      </c>
      <c r="C3267">
        <v>7129.73</v>
      </c>
      <c r="D3267">
        <v>15307.98</v>
      </c>
      <c r="E3267">
        <v>8902.8534</v>
      </c>
      <c r="F3267">
        <v>9117.4</v>
      </c>
      <c r="G3267">
        <v>27268.17</v>
      </c>
    </row>
    <row r="3268" spans="1:7" x14ac:dyDescent="0.35">
      <c r="A3268" s="1">
        <v>44970</v>
      </c>
      <c r="B3268">
        <v>4241.3599999999997</v>
      </c>
      <c r="C3268">
        <v>7208.59</v>
      </c>
      <c r="D3268">
        <v>15397.34</v>
      </c>
      <c r="E3268">
        <v>8998.3323400000008</v>
      </c>
      <c r="F3268">
        <v>9210.2999999999993</v>
      </c>
      <c r="G3268">
        <v>27438.61</v>
      </c>
    </row>
    <row r="3269" spans="1:7" x14ac:dyDescent="0.35">
      <c r="A3269" s="1">
        <v>44971</v>
      </c>
      <c r="B3269">
        <v>4238.76</v>
      </c>
      <c r="C3269">
        <v>7213.81</v>
      </c>
      <c r="D3269">
        <v>15380.56</v>
      </c>
      <c r="E3269">
        <v>9023.7050999999992</v>
      </c>
      <c r="F3269">
        <v>9263.2000000000007</v>
      </c>
      <c r="G3269">
        <v>27498.26</v>
      </c>
    </row>
    <row r="3270" spans="1:7" x14ac:dyDescent="0.35">
      <c r="A3270" s="1">
        <v>44972</v>
      </c>
      <c r="B3270">
        <v>4280.04</v>
      </c>
      <c r="C3270">
        <v>7300.86</v>
      </c>
      <c r="D3270">
        <v>15506.34</v>
      </c>
      <c r="E3270">
        <v>9001.0264499999994</v>
      </c>
      <c r="F3270">
        <v>9294.7999999999993</v>
      </c>
      <c r="G3270">
        <v>27533.69</v>
      </c>
    </row>
    <row r="3271" spans="1:7" x14ac:dyDescent="0.35">
      <c r="A3271" s="1">
        <v>44973</v>
      </c>
      <c r="B3271">
        <v>4297.24</v>
      </c>
      <c r="C3271">
        <v>7366.16</v>
      </c>
      <c r="D3271">
        <v>15533.64</v>
      </c>
      <c r="E3271">
        <v>9004.6360199999999</v>
      </c>
      <c r="F3271">
        <v>9327.2999999999993</v>
      </c>
      <c r="G3271">
        <v>27853.74</v>
      </c>
    </row>
    <row r="3272" spans="1:7" x14ac:dyDescent="0.35">
      <c r="A3272" s="1">
        <v>44974</v>
      </c>
      <c r="B3272">
        <v>4274.92</v>
      </c>
      <c r="C3272">
        <v>7347.72</v>
      </c>
      <c r="D3272">
        <v>15482</v>
      </c>
      <c r="E3272">
        <v>9009.4959500000004</v>
      </c>
      <c r="F3272">
        <v>9333</v>
      </c>
      <c r="G3272">
        <v>27751.14</v>
      </c>
    </row>
    <row r="3273" spans="1:7" x14ac:dyDescent="0.35">
      <c r="A3273" s="1">
        <v>44977</v>
      </c>
      <c r="B3273">
        <v>4271.18</v>
      </c>
      <c r="C3273">
        <v>7335.61</v>
      </c>
      <c r="D3273">
        <v>15477.55</v>
      </c>
      <c r="E3273">
        <v>9026.7860000000001</v>
      </c>
      <c r="F3273">
        <v>9281.2999999999993</v>
      </c>
      <c r="G3273">
        <v>27597.01</v>
      </c>
    </row>
    <row r="3274" spans="1:7" x14ac:dyDescent="0.35">
      <c r="A3274" s="1">
        <v>44978</v>
      </c>
      <c r="B3274">
        <v>4250.3999999999996</v>
      </c>
      <c r="C3274">
        <v>7308.65</v>
      </c>
      <c r="D3274">
        <v>15397.62</v>
      </c>
      <c r="E3274">
        <v>9075.5231199999998</v>
      </c>
      <c r="F3274">
        <v>9252.1</v>
      </c>
      <c r="G3274">
        <v>27409.34</v>
      </c>
    </row>
    <row r="3275" spans="1:7" x14ac:dyDescent="0.35">
      <c r="A3275" s="1">
        <v>44979</v>
      </c>
      <c r="B3275">
        <v>4242.88</v>
      </c>
      <c r="C3275">
        <v>7299.26</v>
      </c>
      <c r="D3275">
        <v>15399.89</v>
      </c>
      <c r="E3275">
        <v>9009.6374300000007</v>
      </c>
      <c r="F3275">
        <v>9172.7000000000007</v>
      </c>
      <c r="G3275">
        <v>27101.53</v>
      </c>
    </row>
    <row r="3276" spans="1:7" x14ac:dyDescent="0.35">
      <c r="A3276" s="1">
        <v>44980</v>
      </c>
      <c r="B3276">
        <v>4258.16</v>
      </c>
      <c r="C3276">
        <v>7317.43</v>
      </c>
      <c r="D3276">
        <v>15475.69</v>
      </c>
      <c r="E3276">
        <v>8964.0748500000009</v>
      </c>
      <c r="F3276">
        <v>9231.6</v>
      </c>
      <c r="G3276">
        <v>27277.62</v>
      </c>
    </row>
    <row r="3277" spans="1:7" x14ac:dyDescent="0.35">
      <c r="A3277" s="1">
        <v>44981</v>
      </c>
      <c r="B3277">
        <v>4178.82</v>
      </c>
      <c r="C3277">
        <v>7187.27</v>
      </c>
      <c r="D3277">
        <v>15209.74</v>
      </c>
      <c r="E3277">
        <v>8923.71976</v>
      </c>
      <c r="F3277">
        <v>9201.5</v>
      </c>
      <c r="G3277">
        <v>26986.35</v>
      </c>
    </row>
    <row r="3278" spans="1:7" x14ac:dyDescent="0.35">
      <c r="A3278" s="1">
        <v>44984</v>
      </c>
      <c r="B3278">
        <v>4248.01</v>
      </c>
      <c r="C3278">
        <v>7295.55</v>
      </c>
      <c r="D3278">
        <v>15381.43</v>
      </c>
      <c r="E3278">
        <v>9026.4589699999997</v>
      </c>
      <c r="F3278">
        <v>9314.2999999999993</v>
      </c>
      <c r="G3278">
        <v>27444.31</v>
      </c>
    </row>
    <row r="3279" spans="1:7" x14ac:dyDescent="0.35">
      <c r="A3279" s="1">
        <v>44985</v>
      </c>
      <c r="B3279">
        <v>4238.38</v>
      </c>
      <c r="C3279">
        <v>7267.93</v>
      </c>
      <c r="D3279">
        <v>15365.14</v>
      </c>
      <c r="E3279">
        <v>8985.7616400000006</v>
      </c>
      <c r="F3279">
        <v>9394.6</v>
      </c>
      <c r="G3279">
        <v>27478.37</v>
      </c>
    </row>
    <row r="3280" spans="1:7" x14ac:dyDescent="0.35">
      <c r="A3280" s="1">
        <v>44986</v>
      </c>
      <c r="B3280">
        <v>4215.75</v>
      </c>
      <c r="C3280">
        <v>7234.25</v>
      </c>
      <c r="D3280">
        <v>15305.02</v>
      </c>
      <c r="E3280">
        <v>8922.7569999999996</v>
      </c>
      <c r="F3280">
        <v>9322.9</v>
      </c>
      <c r="G3280">
        <v>27315.08</v>
      </c>
    </row>
    <row r="3281" spans="1:7" x14ac:dyDescent="0.35">
      <c r="A3281" s="1">
        <v>44987</v>
      </c>
      <c r="B3281">
        <v>4240.59</v>
      </c>
      <c r="C3281">
        <v>7284.22</v>
      </c>
      <c r="D3281">
        <v>15327.64</v>
      </c>
      <c r="E3281">
        <v>8960.6969100000006</v>
      </c>
      <c r="F3281">
        <v>9327.2999999999993</v>
      </c>
      <c r="G3281">
        <v>27397.599999999999</v>
      </c>
    </row>
    <row r="3282" spans="1:7" x14ac:dyDescent="0.35">
      <c r="A3282" s="1">
        <v>44988</v>
      </c>
      <c r="B3282">
        <v>4294.8</v>
      </c>
      <c r="C3282">
        <v>7348.12</v>
      </c>
      <c r="D3282">
        <v>15578.39</v>
      </c>
      <c r="E3282">
        <v>8983.0391600000003</v>
      </c>
      <c r="F3282">
        <v>9464.2000000000007</v>
      </c>
      <c r="G3282">
        <v>27825.08</v>
      </c>
    </row>
    <row r="3283" spans="1:7" x14ac:dyDescent="0.35">
      <c r="A3283" s="1">
        <v>44991</v>
      </c>
      <c r="B3283">
        <v>4313.78</v>
      </c>
      <c r="C3283">
        <v>7373.21</v>
      </c>
      <c r="D3283">
        <v>15653.58</v>
      </c>
      <c r="E3283">
        <v>8936.1348999999991</v>
      </c>
      <c r="F3283">
        <v>9511</v>
      </c>
      <c r="G3283">
        <v>27949.29</v>
      </c>
    </row>
    <row r="3284" spans="1:7" x14ac:dyDescent="0.35">
      <c r="A3284" s="1">
        <v>44992</v>
      </c>
      <c r="B3284">
        <v>4278.96</v>
      </c>
      <c r="C3284">
        <v>7339.27</v>
      </c>
      <c r="D3284">
        <v>15559.53</v>
      </c>
      <c r="E3284">
        <v>8881.0294300000005</v>
      </c>
      <c r="F3284">
        <v>9411.1</v>
      </c>
      <c r="G3284">
        <v>27761.57</v>
      </c>
    </row>
    <row r="3285" spans="1:7" x14ac:dyDescent="0.35">
      <c r="A3285" s="1">
        <v>44993</v>
      </c>
      <c r="B3285">
        <v>4288.45</v>
      </c>
      <c r="C3285">
        <v>7324.76</v>
      </c>
      <c r="D3285">
        <v>15631.87</v>
      </c>
      <c r="E3285">
        <v>8897.0017599999992</v>
      </c>
      <c r="F3285">
        <v>9466.1</v>
      </c>
      <c r="G3285">
        <v>27911.52</v>
      </c>
    </row>
    <row r="3286" spans="1:7" x14ac:dyDescent="0.35">
      <c r="A3286" s="1">
        <v>44994</v>
      </c>
      <c r="B3286">
        <v>4286.12</v>
      </c>
      <c r="C3286">
        <v>7315.88</v>
      </c>
      <c r="D3286">
        <v>15633.21</v>
      </c>
      <c r="E3286">
        <v>8884.2546600000005</v>
      </c>
      <c r="F3286">
        <v>9423.2000000000007</v>
      </c>
      <c r="G3286">
        <v>27710.53</v>
      </c>
    </row>
    <row r="3287" spans="1:7" x14ac:dyDescent="0.35">
      <c r="A3287" s="1">
        <v>44995</v>
      </c>
      <c r="B3287">
        <v>4229.53</v>
      </c>
      <c r="C3287">
        <v>7220.67</v>
      </c>
      <c r="D3287">
        <v>15427.97</v>
      </c>
      <c r="E3287">
        <v>8758.5622800000001</v>
      </c>
      <c r="F3287">
        <v>9285</v>
      </c>
      <c r="G3287">
        <v>27281.96</v>
      </c>
    </row>
    <row r="3288" spans="1:7" x14ac:dyDescent="0.35">
      <c r="A3288" s="1">
        <v>44998</v>
      </c>
      <c r="B3288">
        <v>4096.54</v>
      </c>
      <c r="C3288">
        <v>7011.5</v>
      </c>
      <c r="D3288">
        <v>14959.47</v>
      </c>
      <c r="E3288">
        <v>8558.8163800000002</v>
      </c>
      <c r="F3288">
        <v>8958.9</v>
      </c>
      <c r="G3288">
        <v>26183.54</v>
      </c>
    </row>
    <row r="3289" spans="1:7" x14ac:dyDescent="0.35">
      <c r="A3289" s="1">
        <v>44999</v>
      </c>
      <c r="B3289">
        <v>4179.47</v>
      </c>
      <c r="C3289">
        <v>7141.57</v>
      </c>
      <c r="D3289">
        <v>15232.83</v>
      </c>
      <c r="E3289">
        <v>8658.9016699999993</v>
      </c>
      <c r="F3289">
        <v>9159</v>
      </c>
      <c r="G3289">
        <v>26800.98</v>
      </c>
    </row>
    <row r="3290" spans="1:7" x14ac:dyDescent="0.35">
      <c r="A3290" s="1">
        <v>45000</v>
      </c>
      <c r="B3290">
        <v>4034.92</v>
      </c>
      <c r="C3290">
        <v>6885.71</v>
      </c>
      <c r="D3290">
        <v>14735.26</v>
      </c>
      <c r="E3290">
        <v>8387.2965000000004</v>
      </c>
      <c r="F3290">
        <v>8759.1</v>
      </c>
      <c r="G3290">
        <v>25565.84</v>
      </c>
    </row>
    <row r="3291" spans="1:7" x14ac:dyDescent="0.35">
      <c r="A3291" s="1">
        <v>45001</v>
      </c>
      <c r="B3291">
        <v>4116.9799999999996</v>
      </c>
      <c r="C3291">
        <v>7025.72</v>
      </c>
      <c r="D3291">
        <v>14967.1</v>
      </c>
      <c r="E3291">
        <v>8469.2053599999999</v>
      </c>
      <c r="F3291">
        <v>8890.2000000000007</v>
      </c>
      <c r="G3291">
        <v>25918.76</v>
      </c>
    </row>
    <row r="3292" spans="1:7" x14ac:dyDescent="0.35">
      <c r="A3292" s="1">
        <v>45002</v>
      </c>
      <c r="B3292">
        <v>4064.99</v>
      </c>
      <c r="C3292">
        <v>6925.4</v>
      </c>
      <c r="D3292">
        <v>14768.2</v>
      </c>
      <c r="E3292">
        <v>8374.5759400000006</v>
      </c>
      <c r="F3292">
        <v>8719.2999999999993</v>
      </c>
      <c r="G3292">
        <v>25494.54</v>
      </c>
    </row>
    <row r="3293" spans="1:7" x14ac:dyDescent="0.35">
      <c r="A3293" s="1">
        <v>45005</v>
      </c>
      <c r="B3293">
        <v>4119.42</v>
      </c>
      <c r="C3293">
        <v>7013.14</v>
      </c>
      <c r="D3293">
        <v>14933.38</v>
      </c>
      <c r="E3293">
        <v>8476.1507799999999</v>
      </c>
      <c r="F3293">
        <v>8833.1</v>
      </c>
      <c r="G3293">
        <v>25899.57</v>
      </c>
    </row>
    <row r="3294" spans="1:7" x14ac:dyDescent="0.35">
      <c r="A3294" s="1">
        <v>45006</v>
      </c>
      <c r="B3294">
        <v>4181.6000000000004</v>
      </c>
      <c r="C3294">
        <v>7112.91</v>
      </c>
      <c r="D3294">
        <v>15195.34</v>
      </c>
      <c r="E3294">
        <v>8543.7098299999998</v>
      </c>
      <c r="F3294">
        <v>9049.4</v>
      </c>
      <c r="G3294">
        <v>26554.33</v>
      </c>
    </row>
    <row r="3295" spans="1:7" x14ac:dyDescent="0.35">
      <c r="A3295" s="1">
        <v>45007</v>
      </c>
      <c r="B3295">
        <v>4195.7</v>
      </c>
      <c r="C3295">
        <v>7131.12</v>
      </c>
      <c r="D3295">
        <v>15216.19</v>
      </c>
      <c r="E3295">
        <v>8584.6308000000008</v>
      </c>
      <c r="F3295">
        <v>9009.2999999999993</v>
      </c>
      <c r="G3295">
        <v>26523.33</v>
      </c>
    </row>
    <row r="3296" spans="1:7" x14ac:dyDescent="0.35">
      <c r="A3296" s="1">
        <v>45008</v>
      </c>
      <c r="B3296">
        <v>4207.1400000000003</v>
      </c>
      <c r="C3296">
        <v>7139.25</v>
      </c>
      <c r="D3296">
        <v>15210.39</v>
      </c>
      <c r="E3296">
        <v>8486.9886800000004</v>
      </c>
      <c r="F3296">
        <v>8970</v>
      </c>
      <c r="G3296">
        <v>26482.21</v>
      </c>
    </row>
    <row r="3297" spans="1:7" x14ac:dyDescent="0.35">
      <c r="A3297" s="1">
        <v>45009</v>
      </c>
      <c r="B3297">
        <v>4130.62</v>
      </c>
      <c r="C3297">
        <v>7015.1</v>
      </c>
      <c r="D3297">
        <v>14957.23</v>
      </c>
      <c r="E3297">
        <v>8414.9087600000003</v>
      </c>
      <c r="F3297">
        <v>8792.5</v>
      </c>
      <c r="G3297">
        <v>25892.18</v>
      </c>
    </row>
    <row r="3298" spans="1:7" x14ac:dyDescent="0.35">
      <c r="A3298" s="1">
        <v>45012</v>
      </c>
      <c r="B3298">
        <v>4164.62</v>
      </c>
      <c r="C3298">
        <v>7078.27</v>
      </c>
      <c r="D3298">
        <v>15127.68</v>
      </c>
      <c r="E3298">
        <v>8504.8420800000004</v>
      </c>
      <c r="F3298">
        <v>8906.1</v>
      </c>
      <c r="G3298">
        <v>26206.67</v>
      </c>
    </row>
    <row r="3299" spans="1:7" x14ac:dyDescent="0.35">
      <c r="A3299" s="1">
        <v>45013</v>
      </c>
      <c r="B3299">
        <v>4168.21</v>
      </c>
      <c r="C3299">
        <v>7088.34</v>
      </c>
      <c r="D3299">
        <v>15142.02</v>
      </c>
      <c r="E3299">
        <v>8521.0830100000003</v>
      </c>
      <c r="F3299">
        <v>8944.2999999999993</v>
      </c>
      <c r="G3299">
        <v>26329.46</v>
      </c>
    </row>
    <row r="3300" spans="1:7" x14ac:dyDescent="0.35">
      <c r="A3300" s="1">
        <v>45014</v>
      </c>
      <c r="B3300">
        <v>4231.2700000000004</v>
      </c>
      <c r="C3300">
        <v>7186.99</v>
      </c>
      <c r="D3300">
        <v>15328.78</v>
      </c>
      <c r="E3300">
        <v>8598.8732400000008</v>
      </c>
      <c r="F3300">
        <v>9070.7000000000007</v>
      </c>
      <c r="G3300">
        <v>26739.01</v>
      </c>
    </row>
    <row r="3301" spans="1:7" x14ac:dyDescent="0.35">
      <c r="A3301" s="1">
        <v>45015</v>
      </c>
      <c r="B3301">
        <v>4285.42</v>
      </c>
      <c r="C3301">
        <v>7263.37</v>
      </c>
      <c r="D3301">
        <v>15522.4</v>
      </c>
      <c r="E3301">
        <v>8655.3549700000003</v>
      </c>
      <c r="F3301">
        <v>9207.1</v>
      </c>
      <c r="G3301">
        <v>27021.040000000001</v>
      </c>
    </row>
    <row r="3302" spans="1:7" x14ac:dyDescent="0.35">
      <c r="A3302" s="1">
        <v>45016</v>
      </c>
      <c r="B3302">
        <v>4315.05</v>
      </c>
      <c r="C3302">
        <v>7322.39</v>
      </c>
      <c r="D3302">
        <v>15628.84</v>
      </c>
      <c r="E3302">
        <v>8670.2296000000006</v>
      </c>
      <c r="F3302">
        <v>9232.5</v>
      </c>
      <c r="G3302">
        <v>27113.95</v>
      </c>
    </row>
    <row r="3303" spans="1:7" x14ac:dyDescent="0.35">
      <c r="A3303" s="1">
        <v>45019</v>
      </c>
      <c r="B3303">
        <v>4311.05</v>
      </c>
      <c r="C3303">
        <v>7345.96</v>
      </c>
      <c r="D3303">
        <v>15580.92</v>
      </c>
      <c r="E3303">
        <v>8735.6213599999992</v>
      </c>
      <c r="F3303">
        <v>9157.4</v>
      </c>
      <c r="G3303">
        <v>27179.37</v>
      </c>
    </row>
    <row r="3304" spans="1:7" x14ac:dyDescent="0.35">
      <c r="A3304" s="1">
        <v>45020</v>
      </c>
      <c r="B3304">
        <v>4315.32</v>
      </c>
      <c r="C3304">
        <v>7344.96</v>
      </c>
      <c r="D3304">
        <v>15603.47</v>
      </c>
      <c r="E3304">
        <v>8714.2054499999995</v>
      </c>
      <c r="F3304">
        <v>9183.2000000000007</v>
      </c>
      <c r="G3304">
        <v>27026.560000000001</v>
      </c>
    </row>
    <row r="3305" spans="1:7" x14ac:dyDescent="0.35">
      <c r="A3305" s="1">
        <v>45021</v>
      </c>
      <c r="B3305">
        <v>4298.3599999999997</v>
      </c>
      <c r="C3305">
        <v>7316.3</v>
      </c>
      <c r="D3305">
        <v>15520.17</v>
      </c>
      <c r="E3305">
        <v>8756.4401999999991</v>
      </c>
      <c r="F3305">
        <v>9254.6</v>
      </c>
      <c r="G3305">
        <v>26867.39</v>
      </c>
    </row>
    <row r="3306" spans="1:7" x14ac:dyDescent="0.35">
      <c r="A3306" s="1">
        <v>45022</v>
      </c>
      <c r="B3306">
        <v>4309.45</v>
      </c>
      <c r="C3306">
        <v>7324.75</v>
      </c>
      <c r="D3306">
        <v>15597.89</v>
      </c>
      <c r="E3306">
        <v>8824.1322700000001</v>
      </c>
      <c r="F3306">
        <v>9312.2999999999993</v>
      </c>
      <c r="G3306">
        <v>27213.86</v>
      </c>
    </row>
    <row r="3307" spans="1:7" x14ac:dyDescent="0.35">
      <c r="A3307" s="1">
        <v>45027</v>
      </c>
      <c r="B3307">
        <v>4333.29</v>
      </c>
      <c r="C3307">
        <v>7390.28</v>
      </c>
      <c r="D3307">
        <v>15655.17</v>
      </c>
      <c r="E3307">
        <v>8864.3911800000005</v>
      </c>
      <c r="F3307">
        <v>9237.7000000000007</v>
      </c>
      <c r="G3307">
        <v>27525.51</v>
      </c>
    </row>
    <row r="3308" spans="1:7" x14ac:dyDescent="0.35">
      <c r="A3308" s="1">
        <v>45028</v>
      </c>
      <c r="B3308">
        <v>4334.03</v>
      </c>
      <c r="C3308">
        <v>7396.94</v>
      </c>
      <c r="D3308">
        <v>15703.6</v>
      </c>
      <c r="E3308">
        <v>8883.7124899999999</v>
      </c>
      <c r="F3308">
        <v>9278.7000000000007</v>
      </c>
      <c r="G3308">
        <v>27629.34</v>
      </c>
    </row>
    <row r="3309" spans="1:7" x14ac:dyDescent="0.35">
      <c r="A3309" s="1">
        <v>45029</v>
      </c>
      <c r="B3309">
        <v>4363.24</v>
      </c>
      <c r="C3309">
        <v>7480.83</v>
      </c>
      <c r="D3309">
        <v>15729.46</v>
      </c>
      <c r="E3309">
        <v>8888.3599900000008</v>
      </c>
      <c r="F3309">
        <v>9310</v>
      </c>
      <c r="G3309">
        <v>27626.61</v>
      </c>
    </row>
    <row r="3310" spans="1:7" x14ac:dyDescent="0.35">
      <c r="A3310" s="1">
        <v>45030</v>
      </c>
      <c r="B3310">
        <v>4390.75</v>
      </c>
      <c r="C3310">
        <v>7519.61</v>
      </c>
      <c r="D3310">
        <v>15807.5</v>
      </c>
      <c r="E3310">
        <v>8895.1579099999999</v>
      </c>
      <c r="F3310">
        <v>9362.9</v>
      </c>
      <c r="G3310">
        <v>27872.240000000002</v>
      </c>
    </row>
    <row r="3311" spans="1:7" x14ac:dyDescent="0.35">
      <c r="A3311" s="1">
        <v>45033</v>
      </c>
      <c r="B3311">
        <v>4367.6099999999997</v>
      </c>
      <c r="C3311">
        <v>7498.18</v>
      </c>
      <c r="D3311">
        <v>15789.53</v>
      </c>
      <c r="E3311">
        <v>8922.2164200000007</v>
      </c>
      <c r="F3311">
        <v>9378.5</v>
      </c>
      <c r="G3311">
        <v>27700.21</v>
      </c>
    </row>
    <row r="3312" spans="1:7" x14ac:dyDescent="0.35">
      <c r="A3312" s="1">
        <v>45034</v>
      </c>
      <c r="B3312">
        <v>4393.95</v>
      </c>
      <c r="C3312">
        <v>7533.63</v>
      </c>
      <c r="D3312">
        <v>15882.67</v>
      </c>
      <c r="E3312">
        <v>8961.3883100000003</v>
      </c>
      <c r="F3312">
        <v>9421.9</v>
      </c>
      <c r="G3312">
        <v>27891.43</v>
      </c>
    </row>
    <row r="3313" spans="1:7" x14ac:dyDescent="0.35">
      <c r="A3313" s="1">
        <v>45035</v>
      </c>
      <c r="B3313">
        <v>4393.57</v>
      </c>
      <c r="C3313">
        <v>7549.44</v>
      </c>
      <c r="D3313">
        <v>15895.2</v>
      </c>
      <c r="E3313">
        <v>8969.1304099999998</v>
      </c>
      <c r="F3313">
        <v>9494.7999999999993</v>
      </c>
      <c r="G3313">
        <v>27933.61</v>
      </c>
    </row>
    <row r="3314" spans="1:7" x14ac:dyDescent="0.35">
      <c r="A3314" s="1">
        <v>45036</v>
      </c>
      <c r="B3314">
        <v>4384.8599999999997</v>
      </c>
      <c r="C3314">
        <v>7538.71</v>
      </c>
      <c r="D3314">
        <v>15795.97</v>
      </c>
      <c r="E3314">
        <v>8970.5108</v>
      </c>
      <c r="F3314">
        <v>9450.9</v>
      </c>
      <c r="G3314">
        <v>27627.119999999999</v>
      </c>
    </row>
    <row r="3315" spans="1:7" x14ac:dyDescent="0.35">
      <c r="A3315" s="1">
        <v>45037</v>
      </c>
      <c r="B3315">
        <v>4408.59</v>
      </c>
      <c r="C3315">
        <v>7577</v>
      </c>
      <c r="D3315">
        <v>15881.66</v>
      </c>
      <c r="E3315">
        <v>8960.0724900000005</v>
      </c>
      <c r="F3315">
        <v>9415.6</v>
      </c>
      <c r="G3315">
        <v>27745.81</v>
      </c>
    </row>
    <row r="3316" spans="1:7" x14ac:dyDescent="0.35">
      <c r="A3316" s="1">
        <v>45040</v>
      </c>
      <c r="B3316">
        <v>4401.8</v>
      </c>
      <c r="C3316">
        <v>7573.86</v>
      </c>
      <c r="D3316">
        <v>15863.95</v>
      </c>
      <c r="E3316">
        <v>8940.4848299999994</v>
      </c>
      <c r="F3316">
        <v>9406.4</v>
      </c>
      <c r="G3316">
        <v>27537.07</v>
      </c>
    </row>
    <row r="3317" spans="1:7" x14ac:dyDescent="0.35">
      <c r="A3317" s="1">
        <v>45041</v>
      </c>
      <c r="B3317">
        <v>4377.8500000000004</v>
      </c>
      <c r="C3317">
        <v>7531.61</v>
      </c>
      <c r="D3317">
        <v>15872.13</v>
      </c>
      <c r="E3317">
        <v>8921.4088300000003</v>
      </c>
      <c r="F3317">
        <v>9290.2999999999993</v>
      </c>
      <c r="G3317">
        <v>27253.48</v>
      </c>
    </row>
    <row r="3318" spans="1:7" x14ac:dyDescent="0.35">
      <c r="A3318" s="1">
        <v>45042</v>
      </c>
      <c r="B3318">
        <v>4347.71</v>
      </c>
      <c r="C3318">
        <v>7466.66</v>
      </c>
      <c r="D3318">
        <v>15795.73</v>
      </c>
      <c r="E3318">
        <v>8867.5586899999998</v>
      </c>
      <c r="F3318">
        <v>9293.7000000000007</v>
      </c>
      <c r="G3318">
        <v>27107.51</v>
      </c>
    </row>
    <row r="3319" spans="1:7" x14ac:dyDescent="0.35">
      <c r="A3319" s="1">
        <v>45043</v>
      </c>
      <c r="B3319">
        <v>4358.05</v>
      </c>
      <c r="C3319">
        <v>7483.84</v>
      </c>
      <c r="D3319">
        <v>15800.45</v>
      </c>
      <c r="E3319">
        <v>8868.06034</v>
      </c>
      <c r="F3319">
        <v>9314.6</v>
      </c>
      <c r="G3319">
        <v>27158</v>
      </c>
    </row>
    <row r="3320" spans="1:7" x14ac:dyDescent="0.35">
      <c r="A3320" s="1">
        <v>45044</v>
      </c>
      <c r="B3320">
        <v>4359.3100000000004</v>
      </c>
      <c r="C3320">
        <v>7491.5</v>
      </c>
      <c r="D3320">
        <v>15922.38</v>
      </c>
      <c r="E3320">
        <v>8972.2072100000005</v>
      </c>
      <c r="F3320">
        <v>9241</v>
      </c>
      <c r="G3320">
        <v>27077.439999999999</v>
      </c>
    </row>
    <row r="3321" spans="1:7" x14ac:dyDescent="0.35">
      <c r="A3321" s="1">
        <v>45048</v>
      </c>
      <c r="B3321">
        <v>4294.8500000000004</v>
      </c>
      <c r="C3321">
        <v>7383.2</v>
      </c>
      <c r="D3321">
        <v>15726.94</v>
      </c>
      <c r="E3321">
        <v>8818.1492199999993</v>
      </c>
      <c r="F3321">
        <v>9082</v>
      </c>
      <c r="G3321">
        <v>26630.09</v>
      </c>
    </row>
    <row r="3322" spans="1:7" x14ac:dyDescent="0.35">
      <c r="A3322" s="1">
        <v>45049</v>
      </c>
      <c r="B3322">
        <v>4310.18</v>
      </c>
      <c r="C3322">
        <v>7403.83</v>
      </c>
      <c r="D3322">
        <v>15815.06</v>
      </c>
      <c r="E3322">
        <v>8848.72199</v>
      </c>
      <c r="F3322">
        <v>9076.7000000000007</v>
      </c>
      <c r="G3322">
        <v>26835.31</v>
      </c>
    </row>
    <row r="3323" spans="1:7" x14ac:dyDescent="0.35">
      <c r="A3323" s="1">
        <v>45050</v>
      </c>
      <c r="B3323">
        <v>4287.03</v>
      </c>
      <c r="C3323">
        <v>7340.77</v>
      </c>
      <c r="D3323">
        <v>15734.24</v>
      </c>
      <c r="E3323">
        <v>8800.2225299999991</v>
      </c>
      <c r="F3323">
        <v>9043.6</v>
      </c>
      <c r="G3323">
        <v>26670.29</v>
      </c>
    </row>
    <row r="3324" spans="1:7" x14ac:dyDescent="0.35">
      <c r="A3324" s="1">
        <v>45051</v>
      </c>
      <c r="B3324">
        <v>4340.43</v>
      </c>
      <c r="C3324">
        <v>7432.93</v>
      </c>
      <c r="D3324">
        <v>15961.02</v>
      </c>
      <c r="E3324">
        <v>8917.0750399999997</v>
      </c>
      <c r="F3324">
        <v>9147.2999999999993</v>
      </c>
      <c r="G3324">
        <v>27348.57</v>
      </c>
    </row>
    <row r="3325" spans="1:7" x14ac:dyDescent="0.35">
      <c r="A3325" s="1">
        <v>45055</v>
      </c>
      <c r="B3325">
        <v>4323.09</v>
      </c>
      <c r="C3325">
        <v>7397.17</v>
      </c>
      <c r="D3325">
        <v>15955.48</v>
      </c>
      <c r="E3325">
        <v>8938.4484799999991</v>
      </c>
      <c r="F3325">
        <v>9183.2000000000007</v>
      </c>
      <c r="G3325">
        <v>27383.53</v>
      </c>
    </row>
    <row r="3326" spans="1:7" x14ac:dyDescent="0.35">
      <c r="A3326" s="1">
        <v>45056</v>
      </c>
      <c r="B3326">
        <v>4306.76</v>
      </c>
      <c r="C3326">
        <v>7361.2</v>
      </c>
      <c r="D3326">
        <v>15896.23</v>
      </c>
      <c r="E3326">
        <v>8905.70507</v>
      </c>
      <c r="F3326">
        <v>9167.7000000000007</v>
      </c>
      <c r="G3326">
        <v>27264.77</v>
      </c>
    </row>
    <row r="3327" spans="1:7" x14ac:dyDescent="0.35">
      <c r="A3327" s="1">
        <v>45057</v>
      </c>
      <c r="B3327">
        <v>4309.75</v>
      </c>
      <c r="C3327">
        <v>7381.78</v>
      </c>
      <c r="D3327">
        <v>15834.91</v>
      </c>
      <c r="E3327">
        <v>8854.2560699999995</v>
      </c>
      <c r="F3327">
        <v>9182.7999999999993</v>
      </c>
      <c r="G3327">
        <v>27098.89</v>
      </c>
    </row>
    <row r="3328" spans="1:7" x14ac:dyDescent="0.35">
      <c r="A3328" s="1">
        <v>45058</v>
      </c>
      <c r="B3328">
        <v>4317.88</v>
      </c>
      <c r="C3328">
        <v>7414.85</v>
      </c>
      <c r="D3328">
        <v>15913.82</v>
      </c>
      <c r="E3328">
        <v>8897.9476799999993</v>
      </c>
      <c r="F3328">
        <v>9234.1</v>
      </c>
      <c r="G3328">
        <v>27347.32</v>
      </c>
    </row>
    <row r="3329" spans="1:7" x14ac:dyDescent="0.35">
      <c r="A3329" s="1">
        <v>45061</v>
      </c>
      <c r="B3329">
        <v>4316.41</v>
      </c>
      <c r="C3329">
        <v>7418.21</v>
      </c>
      <c r="D3329">
        <v>15917.24</v>
      </c>
      <c r="E3329">
        <v>8960.1906500000005</v>
      </c>
      <c r="F3329">
        <v>9201.5</v>
      </c>
      <c r="G3329">
        <v>27245.46</v>
      </c>
    </row>
    <row r="3330" spans="1:7" x14ac:dyDescent="0.35">
      <c r="A3330" s="1">
        <v>45062</v>
      </c>
      <c r="B3330">
        <v>4315.51</v>
      </c>
      <c r="C3330">
        <v>7406.01</v>
      </c>
      <c r="D3330">
        <v>15897.93</v>
      </c>
      <c r="E3330">
        <v>8905.1471199999996</v>
      </c>
      <c r="F3330">
        <v>9191.4</v>
      </c>
      <c r="G3330">
        <v>27198.87</v>
      </c>
    </row>
    <row r="3331" spans="1:7" x14ac:dyDescent="0.35">
      <c r="A3331" s="1">
        <v>45063</v>
      </c>
      <c r="B3331">
        <v>4323.2299999999996</v>
      </c>
      <c r="C3331">
        <v>7399.44</v>
      </c>
      <c r="D3331">
        <v>15951.3</v>
      </c>
      <c r="E3331">
        <v>8907.1451699999998</v>
      </c>
      <c r="F3331">
        <v>9211.6</v>
      </c>
      <c r="G3331">
        <v>27196.46</v>
      </c>
    </row>
    <row r="3332" spans="1:7" x14ac:dyDescent="0.35">
      <c r="A3332" s="1">
        <v>45064</v>
      </c>
      <c r="B3332">
        <v>4367.45</v>
      </c>
      <c r="C3332">
        <v>7446.89</v>
      </c>
      <c r="D3332">
        <v>16163.36</v>
      </c>
      <c r="E3332">
        <v>8916.9888300000002</v>
      </c>
      <c r="F3332">
        <v>9213.1</v>
      </c>
      <c r="G3332">
        <v>27235.65</v>
      </c>
    </row>
    <row r="3333" spans="1:7" x14ac:dyDescent="0.35">
      <c r="A3333" s="1">
        <v>45065</v>
      </c>
      <c r="B3333">
        <v>4395.3</v>
      </c>
      <c r="C3333">
        <v>7491.96</v>
      </c>
      <c r="D3333">
        <v>16275.38</v>
      </c>
      <c r="E3333">
        <v>8936.7801799999997</v>
      </c>
      <c r="F3333">
        <v>9251.5</v>
      </c>
      <c r="G3333">
        <v>27520.33</v>
      </c>
    </row>
    <row r="3334" spans="1:7" x14ac:dyDescent="0.35">
      <c r="A3334" s="1">
        <v>45068</v>
      </c>
      <c r="B3334">
        <v>4385.63</v>
      </c>
      <c r="C3334">
        <v>7478.16</v>
      </c>
      <c r="D3334">
        <v>16223.99</v>
      </c>
      <c r="E3334">
        <v>8929.0903600000001</v>
      </c>
      <c r="F3334">
        <v>9305</v>
      </c>
      <c r="G3334">
        <v>27310.7</v>
      </c>
    </row>
    <row r="3335" spans="1:7" x14ac:dyDescent="0.35">
      <c r="A3335" s="1">
        <v>45069</v>
      </c>
      <c r="B3335">
        <v>4342.38</v>
      </c>
      <c r="C3335">
        <v>7378.71</v>
      </c>
      <c r="D3335">
        <v>16152.86</v>
      </c>
      <c r="E3335">
        <v>8951.8702699999994</v>
      </c>
      <c r="F3335">
        <v>9267</v>
      </c>
      <c r="G3335">
        <v>27174.97</v>
      </c>
    </row>
    <row r="3336" spans="1:7" x14ac:dyDescent="0.35">
      <c r="A3336" s="1">
        <v>45070</v>
      </c>
      <c r="B3336">
        <v>4263.74</v>
      </c>
      <c r="C3336">
        <v>7253.46</v>
      </c>
      <c r="D3336">
        <v>15842.13</v>
      </c>
      <c r="E3336">
        <v>8773.0086599999995</v>
      </c>
      <c r="F3336">
        <v>9163.5</v>
      </c>
      <c r="G3336">
        <v>26524.54</v>
      </c>
    </row>
    <row r="3337" spans="1:7" x14ac:dyDescent="0.35">
      <c r="A3337" s="1">
        <v>45071</v>
      </c>
      <c r="B3337">
        <v>4269.6400000000003</v>
      </c>
      <c r="C3337">
        <v>7229.27</v>
      </c>
      <c r="D3337">
        <v>15793.8</v>
      </c>
      <c r="E3337">
        <v>8698.7621400000007</v>
      </c>
      <c r="F3337">
        <v>9116.1</v>
      </c>
      <c r="G3337">
        <v>26408</v>
      </c>
    </row>
    <row r="3338" spans="1:7" x14ac:dyDescent="0.35">
      <c r="A3338" s="1">
        <v>45072</v>
      </c>
      <c r="B3338">
        <v>4337.5</v>
      </c>
      <c r="C3338">
        <v>7319.18</v>
      </c>
      <c r="D3338">
        <v>15983.97</v>
      </c>
      <c r="E3338">
        <v>8782.6638800000001</v>
      </c>
      <c r="F3338">
        <v>9191.1</v>
      </c>
      <c r="G3338">
        <v>26713.4</v>
      </c>
    </row>
    <row r="3339" spans="1:7" x14ac:dyDescent="0.35">
      <c r="A3339" s="1">
        <v>45076</v>
      </c>
      <c r="B3339">
        <v>4291.58</v>
      </c>
      <c r="C3339">
        <v>7209.75</v>
      </c>
      <c r="D3339">
        <v>15908.91</v>
      </c>
      <c r="E3339">
        <v>8698.6870500000005</v>
      </c>
      <c r="F3339">
        <v>9167.5</v>
      </c>
      <c r="G3339">
        <v>26575.759999999998</v>
      </c>
    </row>
    <row r="3340" spans="1:7" x14ac:dyDescent="0.35">
      <c r="A3340" s="1">
        <v>45077</v>
      </c>
      <c r="B3340">
        <v>4218.04</v>
      </c>
      <c r="C3340">
        <v>7098.7</v>
      </c>
      <c r="D3340">
        <v>15664.02</v>
      </c>
      <c r="E3340">
        <v>8670.3643699999993</v>
      </c>
      <c r="F3340">
        <v>9050.2000000000007</v>
      </c>
      <c r="G3340">
        <v>26051.33</v>
      </c>
    </row>
    <row r="3341" spans="1:7" x14ac:dyDescent="0.35">
      <c r="A3341" s="1">
        <v>45078</v>
      </c>
      <c r="B3341">
        <v>4257.6099999999997</v>
      </c>
      <c r="C3341">
        <v>7137.43</v>
      </c>
      <c r="D3341">
        <v>15853.66</v>
      </c>
      <c r="E3341">
        <v>8724.4938600000005</v>
      </c>
      <c r="F3341">
        <v>9167.5</v>
      </c>
      <c r="G3341">
        <v>26575.69</v>
      </c>
    </row>
    <row r="3342" spans="1:7" x14ac:dyDescent="0.35">
      <c r="A3342" s="1">
        <v>45079</v>
      </c>
      <c r="B3342">
        <v>4323.5200000000004</v>
      </c>
      <c r="C3342">
        <v>7270.69</v>
      </c>
      <c r="D3342">
        <v>16051.23</v>
      </c>
      <c r="E3342">
        <v>8843.1966400000001</v>
      </c>
      <c r="F3342">
        <v>9317.2999999999993</v>
      </c>
      <c r="G3342">
        <v>27068.33</v>
      </c>
    </row>
    <row r="3343" spans="1:7" x14ac:dyDescent="0.35">
      <c r="A3343" s="1">
        <v>45082</v>
      </c>
      <c r="B3343">
        <v>4293.24</v>
      </c>
      <c r="C3343">
        <v>7200.91</v>
      </c>
      <c r="D3343">
        <v>15963.89</v>
      </c>
      <c r="E3343">
        <v>8823.14</v>
      </c>
      <c r="F3343">
        <v>9289.1</v>
      </c>
      <c r="G3343">
        <v>26856.85</v>
      </c>
    </row>
    <row r="3344" spans="1:7" x14ac:dyDescent="0.35">
      <c r="A3344" s="1">
        <v>45083</v>
      </c>
      <c r="B3344">
        <v>4295.22</v>
      </c>
      <c r="C3344">
        <v>7209</v>
      </c>
      <c r="D3344">
        <v>15992.44</v>
      </c>
      <c r="E3344">
        <v>8869.2364099999995</v>
      </c>
      <c r="F3344">
        <v>9310.7999999999993</v>
      </c>
      <c r="G3344">
        <v>27036.67</v>
      </c>
    </row>
    <row r="3345" spans="1:7" x14ac:dyDescent="0.35">
      <c r="A3345" s="1">
        <v>45084</v>
      </c>
      <c r="B3345">
        <v>4291.91</v>
      </c>
      <c r="C3345">
        <v>7202.79</v>
      </c>
      <c r="D3345">
        <v>15960.56</v>
      </c>
      <c r="E3345">
        <v>8865.7106100000001</v>
      </c>
      <c r="F3345">
        <v>9359.7999999999993</v>
      </c>
      <c r="G3345">
        <v>27055.5</v>
      </c>
    </row>
    <row r="3346" spans="1:7" x14ac:dyDescent="0.35">
      <c r="A3346" s="1">
        <v>45085</v>
      </c>
      <c r="B3346">
        <v>4297.68</v>
      </c>
      <c r="C3346">
        <v>7222.15</v>
      </c>
      <c r="D3346">
        <v>15989.96</v>
      </c>
      <c r="E3346">
        <v>8846.2805700000008</v>
      </c>
      <c r="F3346">
        <v>9338.2999999999993</v>
      </c>
      <c r="G3346">
        <v>27275.040000000001</v>
      </c>
    </row>
    <row r="3347" spans="1:7" x14ac:dyDescent="0.35">
      <c r="A3347" s="1">
        <v>45086</v>
      </c>
      <c r="B3347">
        <v>4289.79</v>
      </c>
      <c r="C3347">
        <v>7213.14</v>
      </c>
      <c r="D3347">
        <v>15949.84</v>
      </c>
      <c r="E3347">
        <v>8852.7738700000009</v>
      </c>
      <c r="F3347">
        <v>9309.7000000000007</v>
      </c>
      <c r="G3347">
        <v>27162.02</v>
      </c>
    </row>
    <row r="3348" spans="1:7" x14ac:dyDescent="0.35">
      <c r="A3348" s="1">
        <v>45089</v>
      </c>
      <c r="B3348">
        <v>4316.49</v>
      </c>
      <c r="C3348">
        <v>7250.35</v>
      </c>
      <c r="D3348">
        <v>16097.87</v>
      </c>
      <c r="E3348">
        <v>8800.4253000000008</v>
      </c>
      <c r="F3348">
        <v>9344.4</v>
      </c>
      <c r="G3348">
        <v>27410.47</v>
      </c>
    </row>
    <row r="3349" spans="1:7" x14ac:dyDescent="0.35">
      <c r="A3349" s="1">
        <v>45090</v>
      </c>
      <c r="B3349">
        <v>4347.55</v>
      </c>
      <c r="C3349">
        <v>7290.8</v>
      </c>
      <c r="D3349">
        <v>16230.68</v>
      </c>
      <c r="E3349">
        <v>8875.1072000000004</v>
      </c>
      <c r="F3349">
        <v>9333.7000000000007</v>
      </c>
      <c r="G3349">
        <v>27566.03</v>
      </c>
    </row>
    <row r="3350" spans="1:7" x14ac:dyDescent="0.35">
      <c r="A3350" s="1">
        <v>45091</v>
      </c>
      <c r="B3350">
        <v>4375.9799999999996</v>
      </c>
      <c r="C3350">
        <v>7328.53</v>
      </c>
      <c r="D3350">
        <v>16310.79</v>
      </c>
      <c r="E3350">
        <v>8885.7286199999999</v>
      </c>
      <c r="F3350">
        <v>9432.7999999999993</v>
      </c>
      <c r="G3350">
        <v>27809.09</v>
      </c>
    </row>
    <row r="3351" spans="1:7" x14ac:dyDescent="0.35">
      <c r="A3351" s="1">
        <v>45092</v>
      </c>
      <c r="B3351">
        <v>4365.12</v>
      </c>
      <c r="C3351">
        <v>7290.91</v>
      </c>
      <c r="D3351">
        <v>16290.12</v>
      </c>
      <c r="E3351">
        <v>8903.8188300000002</v>
      </c>
      <c r="F3351">
        <v>9430.7999999999993</v>
      </c>
      <c r="G3351">
        <v>27731.78</v>
      </c>
    </row>
    <row r="3352" spans="1:7" x14ac:dyDescent="0.35">
      <c r="A3352" s="1">
        <v>45093</v>
      </c>
      <c r="B3352">
        <v>4394.82</v>
      </c>
      <c r="C3352">
        <v>7388.65</v>
      </c>
      <c r="D3352">
        <v>16357.63</v>
      </c>
      <c r="E3352">
        <v>8965.9017199999998</v>
      </c>
      <c r="F3352">
        <v>9495</v>
      </c>
      <c r="G3352">
        <v>27861.8</v>
      </c>
    </row>
    <row r="3353" spans="1:7" x14ac:dyDescent="0.35">
      <c r="A3353" s="1">
        <v>45096</v>
      </c>
      <c r="B3353">
        <v>4362.38</v>
      </c>
      <c r="C3353">
        <v>7314.05</v>
      </c>
      <c r="D3353">
        <v>16201.2</v>
      </c>
      <c r="E3353">
        <v>8880.1065899999994</v>
      </c>
      <c r="F3353">
        <v>9431.9</v>
      </c>
      <c r="G3353">
        <v>27754.18</v>
      </c>
    </row>
    <row r="3354" spans="1:7" x14ac:dyDescent="0.35">
      <c r="A3354" s="1">
        <v>45097</v>
      </c>
      <c r="B3354">
        <v>4343.1400000000003</v>
      </c>
      <c r="C3354">
        <v>7294.17</v>
      </c>
      <c r="D3354">
        <v>16111.32</v>
      </c>
      <c r="E3354">
        <v>8845.3091199999999</v>
      </c>
      <c r="F3354">
        <v>9439.7999999999993</v>
      </c>
      <c r="G3354">
        <v>27576.11</v>
      </c>
    </row>
    <row r="3355" spans="1:7" x14ac:dyDescent="0.35">
      <c r="A3355" s="1">
        <v>45098</v>
      </c>
      <c r="B3355">
        <v>4322.75</v>
      </c>
      <c r="C3355">
        <v>7260.97</v>
      </c>
      <c r="D3355">
        <v>16023.13</v>
      </c>
      <c r="E3355">
        <v>8789.0711900000006</v>
      </c>
      <c r="F3355">
        <v>9436.4</v>
      </c>
      <c r="G3355">
        <v>27609.37</v>
      </c>
    </row>
    <row r="3356" spans="1:7" x14ac:dyDescent="0.35">
      <c r="A3356" s="1">
        <v>45099</v>
      </c>
      <c r="B3356">
        <v>4304.47</v>
      </c>
      <c r="C3356">
        <v>7203.28</v>
      </c>
      <c r="D3356">
        <v>15988.16</v>
      </c>
      <c r="E3356">
        <v>8719.6118700000006</v>
      </c>
      <c r="F3356">
        <v>9364.7000000000007</v>
      </c>
      <c r="G3356">
        <v>27410.080000000002</v>
      </c>
    </row>
    <row r="3357" spans="1:7" x14ac:dyDescent="0.35">
      <c r="A3357" s="1">
        <v>45100</v>
      </c>
      <c r="B3357">
        <v>4271.6099999999997</v>
      </c>
      <c r="C3357">
        <v>7163.42</v>
      </c>
      <c r="D3357">
        <v>15829.94</v>
      </c>
      <c r="E3357">
        <v>8704.6010600000009</v>
      </c>
      <c r="F3357">
        <v>9265.7999999999993</v>
      </c>
      <c r="G3357">
        <v>27209.66</v>
      </c>
    </row>
    <row r="3358" spans="1:7" x14ac:dyDescent="0.35">
      <c r="A3358" s="1">
        <v>45103</v>
      </c>
      <c r="B3358">
        <v>4280.57</v>
      </c>
      <c r="C3358">
        <v>7184.35</v>
      </c>
      <c r="D3358">
        <v>15813.06</v>
      </c>
      <c r="E3358">
        <v>8692.3132100000003</v>
      </c>
      <c r="F3358">
        <v>9274</v>
      </c>
      <c r="G3358">
        <v>27242.91</v>
      </c>
    </row>
    <row r="3359" spans="1:7" x14ac:dyDescent="0.35">
      <c r="A3359" s="1">
        <v>45104</v>
      </c>
      <c r="B3359">
        <v>4305.26</v>
      </c>
      <c r="C3359">
        <v>7215.58</v>
      </c>
      <c r="D3359">
        <v>15846.86</v>
      </c>
      <c r="E3359">
        <v>8680.8664100000005</v>
      </c>
      <c r="F3359">
        <v>9393</v>
      </c>
      <c r="G3359">
        <v>27401.09</v>
      </c>
    </row>
    <row r="3360" spans="1:7" x14ac:dyDescent="0.35">
      <c r="A3360" s="1">
        <v>45105</v>
      </c>
      <c r="B3360">
        <v>4344.75</v>
      </c>
      <c r="C3360">
        <v>7286.32</v>
      </c>
      <c r="D3360">
        <v>15949</v>
      </c>
      <c r="E3360">
        <v>8694.5465600000007</v>
      </c>
      <c r="F3360">
        <v>9481.2999999999993</v>
      </c>
      <c r="G3360">
        <v>27637.46</v>
      </c>
    </row>
    <row r="3361" spans="1:7" x14ac:dyDescent="0.35">
      <c r="A3361" s="1">
        <v>45106</v>
      </c>
      <c r="B3361">
        <v>4354.6899999999996</v>
      </c>
      <c r="C3361">
        <v>7312.73</v>
      </c>
      <c r="D3361">
        <v>15946.72</v>
      </c>
      <c r="E3361">
        <v>8676.5352399999992</v>
      </c>
      <c r="F3361">
        <v>9510.6</v>
      </c>
      <c r="G3361">
        <v>27928.44</v>
      </c>
    </row>
    <row r="3362" spans="1:7" x14ac:dyDescent="0.35">
      <c r="A3362" s="1">
        <v>45107</v>
      </c>
      <c r="B3362">
        <v>4399.09</v>
      </c>
      <c r="C3362">
        <v>7400.06</v>
      </c>
      <c r="D3362">
        <v>16147.9</v>
      </c>
      <c r="E3362">
        <v>8771.8387500000008</v>
      </c>
      <c r="F3362">
        <v>9593</v>
      </c>
      <c r="G3362">
        <v>28230.83</v>
      </c>
    </row>
    <row r="3363" spans="1:7" x14ac:dyDescent="0.35">
      <c r="A3363" s="1">
        <v>45110</v>
      </c>
      <c r="B3363">
        <v>4398.1499999999996</v>
      </c>
      <c r="C3363">
        <v>7386.7</v>
      </c>
      <c r="D3363">
        <v>16081.04</v>
      </c>
      <c r="E3363">
        <v>8755.3701199999996</v>
      </c>
      <c r="F3363">
        <v>9644.7999999999993</v>
      </c>
      <c r="G3363">
        <v>28446.9</v>
      </c>
    </row>
    <row r="3364" spans="1:7" x14ac:dyDescent="0.35">
      <c r="A3364" s="1">
        <v>45111</v>
      </c>
      <c r="B3364">
        <v>4390.99</v>
      </c>
      <c r="C3364">
        <v>7369.93</v>
      </c>
      <c r="D3364">
        <v>16039.17</v>
      </c>
      <c r="E3364">
        <v>8778.64329</v>
      </c>
      <c r="F3364">
        <v>9588.4</v>
      </c>
      <c r="G3364">
        <v>28386.880000000001</v>
      </c>
    </row>
    <row r="3365" spans="1:7" x14ac:dyDescent="0.35">
      <c r="A3365" s="1">
        <v>45112</v>
      </c>
      <c r="B3365">
        <v>4350.71</v>
      </c>
      <c r="C3365">
        <v>7310.81</v>
      </c>
      <c r="D3365">
        <v>15937.58</v>
      </c>
      <c r="E3365">
        <v>8707.6886799999993</v>
      </c>
      <c r="F3365">
        <v>9486.2999999999993</v>
      </c>
      <c r="G3365">
        <v>28220.18</v>
      </c>
    </row>
    <row r="3366" spans="1:7" x14ac:dyDescent="0.35">
      <c r="A3366" s="1">
        <v>45113</v>
      </c>
      <c r="B3366">
        <v>4223.09</v>
      </c>
      <c r="C3366">
        <v>7082.29</v>
      </c>
      <c r="D3366">
        <v>15528.54</v>
      </c>
      <c r="E3366">
        <v>8521.9280299999991</v>
      </c>
      <c r="F3366">
        <v>9285</v>
      </c>
      <c r="G3366">
        <v>27506.91</v>
      </c>
    </row>
    <row r="3367" spans="1:7" x14ac:dyDescent="0.35">
      <c r="A3367" s="1">
        <v>45114</v>
      </c>
      <c r="B3367">
        <v>4236.6000000000004</v>
      </c>
      <c r="C3367">
        <v>7111.88</v>
      </c>
      <c r="D3367">
        <v>15603.4</v>
      </c>
      <c r="E3367">
        <v>8498.3979299999992</v>
      </c>
      <c r="F3367">
        <v>9248.7999999999993</v>
      </c>
      <c r="G3367">
        <v>27778.32</v>
      </c>
    </row>
    <row r="3368" spans="1:7" x14ac:dyDescent="0.35">
      <c r="A3368" s="1">
        <v>45117</v>
      </c>
      <c r="B3368">
        <v>4256.51</v>
      </c>
      <c r="C3368">
        <v>7143.69</v>
      </c>
      <c r="D3368">
        <v>15673.16</v>
      </c>
      <c r="E3368">
        <v>8502.9671799999996</v>
      </c>
      <c r="F3368">
        <v>9252.9</v>
      </c>
      <c r="G3368">
        <v>27872</v>
      </c>
    </row>
    <row r="3369" spans="1:7" x14ac:dyDescent="0.35">
      <c r="A3369" s="1">
        <v>45118</v>
      </c>
      <c r="B3369">
        <v>4286.5600000000004</v>
      </c>
      <c r="C3369">
        <v>7220.01</v>
      </c>
      <c r="D3369">
        <v>15790.34</v>
      </c>
      <c r="E3369">
        <v>8553.3041900000007</v>
      </c>
      <c r="F3369">
        <v>9331.1</v>
      </c>
      <c r="G3369">
        <v>28061.59</v>
      </c>
    </row>
    <row r="3370" spans="1:7" x14ac:dyDescent="0.35">
      <c r="A3370" s="1">
        <v>45119</v>
      </c>
      <c r="B3370">
        <v>4360.46</v>
      </c>
      <c r="C3370">
        <v>7333.01</v>
      </c>
      <c r="D3370">
        <v>16023</v>
      </c>
      <c r="E3370">
        <v>8657.9020400000009</v>
      </c>
      <c r="F3370">
        <v>9453.7000000000007</v>
      </c>
      <c r="G3370">
        <v>28552.18</v>
      </c>
    </row>
    <row r="3371" spans="1:7" x14ac:dyDescent="0.35">
      <c r="A3371" s="1">
        <v>45120</v>
      </c>
      <c r="B3371">
        <v>4391.76</v>
      </c>
      <c r="C3371">
        <v>7369.8</v>
      </c>
      <c r="D3371">
        <v>16141.03</v>
      </c>
      <c r="E3371">
        <v>8707.0242699999999</v>
      </c>
      <c r="F3371">
        <v>9478.7000000000007</v>
      </c>
      <c r="G3371">
        <v>28774.77</v>
      </c>
    </row>
    <row r="3372" spans="1:7" x14ac:dyDescent="0.35">
      <c r="A3372" s="1">
        <v>45121</v>
      </c>
      <c r="B3372">
        <v>4400.1099999999997</v>
      </c>
      <c r="C3372">
        <v>7374.54</v>
      </c>
      <c r="D3372">
        <v>16105.07</v>
      </c>
      <c r="E3372">
        <v>8674.2162499999995</v>
      </c>
      <c r="F3372">
        <v>9438.2999999999993</v>
      </c>
      <c r="G3372">
        <v>28663.3</v>
      </c>
    </row>
    <row r="3373" spans="1:7" x14ac:dyDescent="0.35">
      <c r="A3373" s="1">
        <v>45124</v>
      </c>
      <c r="B3373">
        <v>4356.79</v>
      </c>
      <c r="C3373">
        <v>7291.66</v>
      </c>
      <c r="D3373">
        <v>16068.65</v>
      </c>
      <c r="E3373">
        <v>8620.9331000000002</v>
      </c>
      <c r="F3373">
        <v>9438</v>
      </c>
      <c r="G3373">
        <v>28608.54</v>
      </c>
    </row>
    <row r="3374" spans="1:7" x14ac:dyDescent="0.35">
      <c r="A3374" s="1">
        <v>45125</v>
      </c>
      <c r="B3374">
        <v>4369.7299999999996</v>
      </c>
      <c r="C3374">
        <v>7319.18</v>
      </c>
      <c r="D3374">
        <v>16125.49</v>
      </c>
      <c r="E3374">
        <v>8663.2946200000006</v>
      </c>
      <c r="F3374">
        <v>9455.7000000000007</v>
      </c>
      <c r="G3374">
        <v>28706.76</v>
      </c>
    </row>
    <row r="3375" spans="1:7" x14ac:dyDescent="0.35">
      <c r="A3375" s="1">
        <v>45126</v>
      </c>
      <c r="B3375">
        <v>4362.28</v>
      </c>
      <c r="C3375">
        <v>7326.94</v>
      </c>
      <c r="D3375">
        <v>16108.93</v>
      </c>
      <c r="E3375">
        <v>8752.3296800000007</v>
      </c>
      <c r="F3375">
        <v>9451.7999999999993</v>
      </c>
      <c r="G3375">
        <v>28712.31</v>
      </c>
    </row>
    <row r="3376" spans="1:7" x14ac:dyDescent="0.35">
      <c r="A3376" s="1">
        <v>45127</v>
      </c>
      <c r="B3376">
        <v>4373.7299999999996</v>
      </c>
      <c r="C3376">
        <v>7384.91</v>
      </c>
      <c r="D3376">
        <v>16204.22</v>
      </c>
      <c r="E3376">
        <v>8834.4732700000004</v>
      </c>
      <c r="F3376">
        <v>9519.6</v>
      </c>
      <c r="G3376">
        <v>28815.75</v>
      </c>
    </row>
    <row r="3377" spans="1:7" x14ac:dyDescent="0.35">
      <c r="A3377" s="1">
        <v>45128</v>
      </c>
      <c r="B3377">
        <v>4391.41</v>
      </c>
      <c r="C3377">
        <v>7432.77</v>
      </c>
      <c r="D3377">
        <v>16177.22</v>
      </c>
      <c r="E3377">
        <v>8859.0348900000008</v>
      </c>
      <c r="F3377">
        <v>9571.5</v>
      </c>
      <c r="G3377">
        <v>28855.09</v>
      </c>
    </row>
    <row r="3378" spans="1:7" x14ac:dyDescent="0.35">
      <c r="A3378" s="1">
        <v>45131</v>
      </c>
      <c r="B3378">
        <v>4383.03</v>
      </c>
      <c r="C3378">
        <v>7427.31</v>
      </c>
      <c r="D3378">
        <v>16190.95</v>
      </c>
      <c r="E3378">
        <v>8891.1448199999995</v>
      </c>
      <c r="F3378">
        <v>9543.5</v>
      </c>
      <c r="G3378">
        <v>28908.42</v>
      </c>
    </row>
    <row r="3379" spans="1:7" x14ac:dyDescent="0.35">
      <c r="A3379" s="1">
        <v>45132</v>
      </c>
      <c r="B3379">
        <v>4391.3</v>
      </c>
      <c r="C3379">
        <v>7415.45</v>
      </c>
      <c r="D3379">
        <v>16211.59</v>
      </c>
      <c r="E3379">
        <v>8970.7480899999991</v>
      </c>
      <c r="F3379">
        <v>9519.2000000000007</v>
      </c>
      <c r="G3379">
        <v>28966.41</v>
      </c>
    </row>
    <row r="3380" spans="1:7" x14ac:dyDescent="0.35">
      <c r="A3380" s="1">
        <v>45133</v>
      </c>
      <c r="B3380">
        <v>4346.1499999999996</v>
      </c>
      <c r="C3380">
        <v>7315.07</v>
      </c>
      <c r="D3380">
        <v>16131.46</v>
      </c>
      <c r="E3380">
        <v>8954.7538199999999</v>
      </c>
      <c r="F3380">
        <v>9600.5</v>
      </c>
      <c r="G3380">
        <v>28980.45</v>
      </c>
    </row>
    <row r="3381" spans="1:7" x14ac:dyDescent="0.35">
      <c r="A3381" s="1">
        <v>45134</v>
      </c>
      <c r="B3381">
        <v>4447.4399999999996</v>
      </c>
      <c r="C3381">
        <v>7465.24</v>
      </c>
      <c r="D3381">
        <v>16406.03</v>
      </c>
      <c r="E3381">
        <v>8988.4195799999998</v>
      </c>
      <c r="F3381">
        <v>9694.7000000000007</v>
      </c>
      <c r="G3381">
        <v>29597.81</v>
      </c>
    </row>
    <row r="3382" spans="1:7" x14ac:dyDescent="0.35">
      <c r="A3382" s="1">
        <v>45135</v>
      </c>
      <c r="B3382">
        <v>4466.5</v>
      </c>
      <c r="C3382">
        <v>7476.47</v>
      </c>
      <c r="D3382">
        <v>16469.75</v>
      </c>
      <c r="E3382">
        <v>8983.1614100000006</v>
      </c>
      <c r="F3382">
        <v>9685.1</v>
      </c>
      <c r="G3382">
        <v>29500.2</v>
      </c>
    </row>
    <row r="3383" spans="1:7" x14ac:dyDescent="0.35">
      <c r="A3383" s="1">
        <v>45138</v>
      </c>
      <c r="B3383">
        <v>4471.3100000000004</v>
      </c>
      <c r="C3383">
        <v>7497.78</v>
      </c>
      <c r="D3383">
        <v>16446.830000000002</v>
      </c>
      <c r="E3383">
        <v>8994.1867700000003</v>
      </c>
      <c r="F3383">
        <v>9641.5</v>
      </c>
      <c r="G3383">
        <v>29644.71</v>
      </c>
    </row>
    <row r="3384" spans="1:7" x14ac:dyDescent="0.35">
      <c r="A3384" s="1">
        <v>45139</v>
      </c>
      <c r="B3384">
        <v>4407.54</v>
      </c>
      <c r="C3384">
        <v>7406.08</v>
      </c>
      <c r="D3384">
        <v>16240.4</v>
      </c>
      <c r="E3384">
        <v>8916.2660799999994</v>
      </c>
      <c r="F3384">
        <v>9502.9</v>
      </c>
      <c r="G3384">
        <v>29356.16</v>
      </c>
    </row>
    <row r="3385" spans="1:7" x14ac:dyDescent="0.35">
      <c r="A3385" s="1">
        <v>45140</v>
      </c>
      <c r="B3385">
        <v>4336.5</v>
      </c>
      <c r="C3385">
        <v>7312.84</v>
      </c>
      <c r="D3385">
        <v>16020.02</v>
      </c>
      <c r="E3385">
        <v>8787.2617499999997</v>
      </c>
      <c r="F3385">
        <v>9328.7000000000007</v>
      </c>
      <c r="G3385">
        <v>28974.54</v>
      </c>
    </row>
    <row r="3386" spans="1:7" x14ac:dyDescent="0.35">
      <c r="A3386" s="1">
        <v>45141</v>
      </c>
      <c r="B3386">
        <v>4304.63</v>
      </c>
      <c r="C3386">
        <v>7260.53</v>
      </c>
      <c r="D3386">
        <v>15893.38</v>
      </c>
      <c r="E3386">
        <v>8741.5231399999993</v>
      </c>
      <c r="F3386">
        <v>9307.1</v>
      </c>
      <c r="G3386">
        <v>28702.74</v>
      </c>
    </row>
    <row r="3387" spans="1:7" x14ac:dyDescent="0.35">
      <c r="A3387" s="1">
        <v>45142</v>
      </c>
      <c r="B3387">
        <v>4332.91</v>
      </c>
      <c r="C3387">
        <v>7315.07</v>
      </c>
      <c r="D3387">
        <v>15951.86</v>
      </c>
      <c r="E3387">
        <v>8762.7131900000004</v>
      </c>
      <c r="F3387">
        <v>9368.4</v>
      </c>
      <c r="G3387">
        <v>28586.37</v>
      </c>
    </row>
    <row r="3388" spans="1:7" x14ac:dyDescent="0.35">
      <c r="A3388" s="1">
        <v>45145</v>
      </c>
      <c r="B3388">
        <v>4337.5</v>
      </c>
      <c r="C3388">
        <v>7319.76</v>
      </c>
      <c r="D3388">
        <v>15950.76</v>
      </c>
      <c r="E3388">
        <v>8772.7124600000006</v>
      </c>
      <c r="F3388">
        <v>9358.6</v>
      </c>
      <c r="G3388">
        <v>28547.61</v>
      </c>
    </row>
    <row r="3389" spans="1:7" x14ac:dyDescent="0.35">
      <c r="A3389" s="1">
        <v>45146</v>
      </c>
      <c r="B3389">
        <v>4288.8500000000004</v>
      </c>
      <c r="C3389">
        <v>7269.47</v>
      </c>
      <c r="D3389">
        <v>15774.93</v>
      </c>
      <c r="E3389">
        <v>8754.7167399999998</v>
      </c>
      <c r="F3389">
        <v>9301.7999999999993</v>
      </c>
      <c r="G3389">
        <v>27942.25</v>
      </c>
    </row>
    <row r="3390" spans="1:7" x14ac:dyDescent="0.35">
      <c r="A3390" s="1">
        <v>45147</v>
      </c>
      <c r="B3390">
        <v>4317.33</v>
      </c>
      <c r="C3390">
        <v>7322.04</v>
      </c>
      <c r="D3390">
        <v>15852.58</v>
      </c>
      <c r="E3390">
        <v>8793.3337499999998</v>
      </c>
      <c r="F3390">
        <v>9354.4</v>
      </c>
      <c r="G3390">
        <v>28308.09</v>
      </c>
    </row>
    <row r="3391" spans="1:7" x14ac:dyDescent="0.35">
      <c r="A3391" s="1">
        <v>45148</v>
      </c>
      <c r="B3391">
        <v>4384.04</v>
      </c>
      <c r="C3391">
        <v>7433.62</v>
      </c>
      <c r="D3391">
        <v>15996.52</v>
      </c>
      <c r="E3391">
        <v>8796.7054900000003</v>
      </c>
      <c r="F3391">
        <v>9502.2000000000007</v>
      </c>
      <c r="G3391">
        <v>28575.05</v>
      </c>
    </row>
    <row r="3392" spans="1:7" x14ac:dyDescent="0.35">
      <c r="A3392" s="1">
        <v>45149</v>
      </c>
      <c r="B3392">
        <v>4321.33</v>
      </c>
      <c r="C3392">
        <v>7340.19</v>
      </c>
      <c r="D3392">
        <v>15832.17</v>
      </c>
      <c r="E3392">
        <v>8722.8569100000004</v>
      </c>
      <c r="F3392">
        <v>9434.2999999999993</v>
      </c>
      <c r="G3392">
        <v>28274.74</v>
      </c>
    </row>
    <row r="3393" spans="1:7" x14ac:dyDescent="0.35">
      <c r="A3393" s="1">
        <v>45152</v>
      </c>
      <c r="B3393">
        <v>4330.2299999999996</v>
      </c>
      <c r="C3393">
        <v>7348.84</v>
      </c>
      <c r="D3393">
        <v>15904.25</v>
      </c>
      <c r="E3393">
        <v>8722.3905200000008</v>
      </c>
      <c r="F3393">
        <v>9429.6</v>
      </c>
      <c r="G3393">
        <v>28435.49</v>
      </c>
    </row>
    <row r="3394" spans="1:7" x14ac:dyDescent="0.35">
      <c r="A3394" s="1">
        <v>45154</v>
      </c>
      <c r="B3394">
        <v>4284.2700000000004</v>
      </c>
      <c r="C3394">
        <v>7260.25</v>
      </c>
      <c r="D3394">
        <v>15789.45</v>
      </c>
      <c r="E3394">
        <v>8604.3127600000007</v>
      </c>
      <c r="F3394">
        <v>9350.5</v>
      </c>
      <c r="G3394">
        <v>28169.96</v>
      </c>
    </row>
    <row r="3395" spans="1:7" x14ac:dyDescent="0.35">
      <c r="A3395" s="1">
        <v>45155</v>
      </c>
      <c r="B3395">
        <v>4227.83</v>
      </c>
      <c r="C3395">
        <v>7191.74</v>
      </c>
      <c r="D3395">
        <v>15676.9</v>
      </c>
      <c r="E3395">
        <v>8574.9475600000005</v>
      </c>
      <c r="F3395">
        <v>9278</v>
      </c>
      <c r="G3395">
        <v>27879.35</v>
      </c>
    </row>
    <row r="3396" spans="1:7" x14ac:dyDescent="0.35">
      <c r="A3396" s="1">
        <v>45156</v>
      </c>
      <c r="B3396">
        <v>4212.95</v>
      </c>
      <c r="C3396">
        <v>7164.11</v>
      </c>
      <c r="D3396">
        <v>15574.26</v>
      </c>
      <c r="E3396">
        <v>8512.7996299999995</v>
      </c>
      <c r="F3396">
        <v>9267.7000000000007</v>
      </c>
      <c r="G3396">
        <v>27761.98</v>
      </c>
    </row>
    <row r="3397" spans="1:7" x14ac:dyDescent="0.35">
      <c r="A3397" s="1">
        <v>45159</v>
      </c>
      <c r="B3397">
        <v>4224.87</v>
      </c>
      <c r="C3397">
        <v>7198.06</v>
      </c>
      <c r="D3397">
        <v>15603.28</v>
      </c>
      <c r="E3397">
        <v>8492.7545200000004</v>
      </c>
      <c r="F3397">
        <v>9262.7999999999993</v>
      </c>
      <c r="G3397">
        <v>27986.92</v>
      </c>
    </row>
    <row r="3398" spans="1:7" x14ac:dyDescent="0.35">
      <c r="A3398" s="1">
        <v>45160</v>
      </c>
      <c r="B3398">
        <v>4260.37</v>
      </c>
      <c r="C3398">
        <v>7240.88</v>
      </c>
      <c r="D3398">
        <v>15705.62</v>
      </c>
      <c r="E3398">
        <v>8533.9289000000008</v>
      </c>
      <c r="F3398">
        <v>9314</v>
      </c>
      <c r="G3398">
        <v>28164.99</v>
      </c>
    </row>
    <row r="3399" spans="1:7" x14ac:dyDescent="0.35">
      <c r="A3399" s="1">
        <v>45161</v>
      </c>
      <c r="B3399">
        <v>4266.67</v>
      </c>
      <c r="C3399">
        <v>7246.62</v>
      </c>
      <c r="D3399">
        <v>15728.41</v>
      </c>
      <c r="E3399">
        <v>8572.6283800000001</v>
      </c>
      <c r="F3399">
        <v>9315.6</v>
      </c>
      <c r="G3399">
        <v>28233.8</v>
      </c>
    </row>
    <row r="3400" spans="1:7" x14ac:dyDescent="0.35">
      <c r="A3400" s="1">
        <v>45162</v>
      </c>
      <c r="B3400">
        <v>4232.22</v>
      </c>
      <c r="C3400">
        <v>7214.46</v>
      </c>
      <c r="D3400">
        <v>15621.49</v>
      </c>
      <c r="E3400">
        <v>8555.5628099999994</v>
      </c>
      <c r="F3400">
        <v>9324.7000000000007</v>
      </c>
      <c r="G3400">
        <v>28072.12</v>
      </c>
    </row>
    <row r="3401" spans="1:7" x14ac:dyDescent="0.35">
      <c r="A3401" s="1">
        <v>45163</v>
      </c>
      <c r="B3401">
        <v>4236.25</v>
      </c>
      <c r="C3401">
        <v>7229.6</v>
      </c>
      <c r="D3401">
        <v>15631.82</v>
      </c>
      <c r="E3401">
        <v>8552.6133300000001</v>
      </c>
      <c r="F3401">
        <v>9338.9</v>
      </c>
      <c r="G3401">
        <v>28208.45</v>
      </c>
    </row>
    <row r="3402" spans="1:7" x14ac:dyDescent="0.35">
      <c r="A3402" s="1">
        <v>45167</v>
      </c>
      <c r="B3402">
        <v>4326.47</v>
      </c>
      <c r="C3402">
        <v>7373.43</v>
      </c>
      <c r="D3402">
        <v>15930.88</v>
      </c>
      <c r="E3402">
        <v>8672.3901100000003</v>
      </c>
      <c r="F3402">
        <v>9581.2000000000007</v>
      </c>
      <c r="G3402">
        <v>28889.759999999998</v>
      </c>
    </row>
    <row r="3403" spans="1:7" x14ac:dyDescent="0.35">
      <c r="A3403" s="1">
        <v>45168</v>
      </c>
      <c r="B3403">
        <v>4315.3100000000004</v>
      </c>
      <c r="C3403">
        <v>7364.4</v>
      </c>
      <c r="D3403">
        <v>15891.93</v>
      </c>
      <c r="E3403">
        <v>8698.0768599999992</v>
      </c>
      <c r="F3403">
        <v>9551.1</v>
      </c>
      <c r="G3403">
        <v>28916.7</v>
      </c>
    </row>
    <row r="3404" spans="1:7" x14ac:dyDescent="0.35">
      <c r="A3404" s="1">
        <v>45169</v>
      </c>
      <c r="B3404">
        <v>4297.1099999999997</v>
      </c>
      <c r="C3404">
        <v>7316.7</v>
      </c>
      <c r="D3404">
        <v>15947.08</v>
      </c>
      <c r="E3404">
        <v>8690.9957699999995</v>
      </c>
      <c r="F3404">
        <v>9505.9</v>
      </c>
      <c r="G3404">
        <v>28831.52</v>
      </c>
    </row>
    <row r="3405" spans="1:7" x14ac:dyDescent="0.35">
      <c r="A3405" s="1">
        <v>45170</v>
      </c>
      <c r="B3405">
        <v>4282.6400000000003</v>
      </c>
      <c r="C3405">
        <v>7296.77</v>
      </c>
      <c r="D3405">
        <v>15840.34</v>
      </c>
      <c r="E3405">
        <v>8713.9367600000005</v>
      </c>
      <c r="F3405">
        <v>9449.6</v>
      </c>
      <c r="G3405">
        <v>28650.49</v>
      </c>
    </row>
    <row r="3406" spans="1:7" x14ac:dyDescent="0.35">
      <c r="A3406" s="1">
        <v>45173</v>
      </c>
      <c r="B3406">
        <v>4279.87</v>
      </c>
      <c r="C3406">
        <v>7279.51</v>
      </c>
      <c r="D3406">
        <v>15824.85</v>
      </c>
      <c r="E3406">
        <v>8719.7430100000001</v>
      </c>
      <c r="F3406">
        <v>9416.2999999999993</v>
      </c>
      <c r="G3406">
        <v>28647.33</v>
      </c>
    </row>
    <row r="3407" spans="1:7" x14ac:dyDescent="0.35">
      <c r="A3407" s="1">
        <v>45174</v>
      </c>
      <c r="B3407">
        <v>4269.16</v>
      </c>
      <c r="C3407">
        <v>7254.72</v>
      </c>
      <c r="D3407">
        <v>15771.71</v>
      </c>
      <c r="E3407">
        <v>8718.2521500000003</v>
      </c>
      <c r="F3407">
        <v>9392</v>
      </c>
      <c r="G3407">
        <v>28652.18</v>
      </c>
    </row>
    <row r="3408" spans="1:7" x14ac:dyDescent="0.35">
      <c r="A3408" s="1">
        <v>45175</v>
      </c>
      <c r="B3408">
        <v>4238.26</v>
      </c>
      <c r="C3408">
        <v>7194.09</v>
      </c>
      <c r="D3408">
        <v>15741.37</v>
      </c>
      <c r="E3408">
        <v>8659.7894099999994</v>
      </c>
      <c r="F3408">
        <v>9314.4</v>
      </c>
      <c r="G3408">
        <v>28211.46</v>
      </c>
    </row>
    <row r="3409" spans="1:7" x14ac:dyDescent="0.35">
      <c r="A3409" s="1">
        <v>45176</v>
      </c>
      <c r="B3409">
        <v>4221.0200000000004</v>
      </c>
      <c r="C3409">
        <v>7196.1</v>
      </c>
      <c r="D3409">
        <v>15718.66</v>
      </c>
      <c r="E3409">
        <v>8672.9686999999994</v>
      </c>
      <c r="F3409">
        <v>9310</v>
      </c>
      <c r="G3409">
        <v>28155.58</v>
      </c>
    </row>
    <row r="3410" spans="1:7" x14ac:dyDescent="0.35">
      <c r="A3410" s="1">
        <v>45177</v>
      </c>
      <c r="B3410">
        <v>4237.1899999999996</v>
      </c>
      <c r="C3410">
        <v>7240.77</v>
      </c>
      <c r="D3410">
        <v>15744.75</v>
      </c>
      <c r="E3410">
        <v>8705.57719</v>
      </c>
      <c r="F3410">
        <v>9364.6</v>
      </c>
      <c r="G3410">
        <v>28233.200000000001</v>
      </c>
    </row>
    <row r="3411" spans="1:7" x14ac:dyDescent="0.35">
      <c r="A3411" s="1">
        <v>45180</v>
      </c>
      <c r="B3411">
        <v>4254.33</v>
      </c>
      <c r="C3411">
        <v>7278.27</v>
      </c>
      <c r="D3411">
        <v>15800.99</v>
      </c>
      <c r="E3411">
        <v>8731.8208699999996</v>
      </c>
      <c r="F3411">
        <v>9435.2000000000007</v>
      </c>
      <c r="G3411">
        <v>28525.1</v>
      </c>
    </row>
    <row r="3412" spans="1:7" x14ac:dyDescent="0.35">
      <c r="A3412" s="1">
        <v>45181</v>
      </c>
      <c r="B3412">
        <v>4242.2700000000004</v>
      </c>
      <c r="C3412">
        <v>7252.88</v>
      </c>
      <c r="D3412">
        <v>15715.53</v>
      </c>
      <c r="E3412">
        <v>8759.5373799999998</v>
      </c>
      <c r="F3412">
        <v>9455.4</v>
      </c>
      <c r="G3412">
        <v>28584.58</v>
      </c>
    </row>
    <row r="3413" spans="1:7" x14ac:dyDescent="0.35">
      <c r="A3413" s="1">
        <v>45182</v>
      </c>
      <c r="B3413">
        <v>4223.4799999999996</v>
      </c>
      <c r="C3413">
        <v>7222.57</v>
      </c>
      <c r="D3413">
        <v>15654.03</v>
      </c>
      <c r="E3413">
        <v>8754.9804499999991</v>
      </c>
      <c r="F3413">
        <v>9424.1</v>
      </c>
      <c r="G3413">
        <v>28481.77</v>
      </c>
    </row>
    <row r="3414" spans="1:7" x14ac:dyDescent="0.35">
      <c r="A3414" s="1">
        <v>45183</v>
      </c>
      <c r="B3414">
        <v>4279.75</v>
      </c>
      <c r="C3414">
        <v>7308.67</v>
      </c>
      <c r="D3414">
        <v>15805.29</v>
      </c>
      <c r="E3414">
        <v>8944.8413099999998</v>
      </c>
      <c r="F3414">
        <v>9549</v>
      </c>
      <c r="G3414">
        <v>28872.73</v>
      </c>
    </row>
    <row r="3415" spans="1:7" x14ac:dyDescent="0.35">
      <c r="A3415" s="1">
        <v>45184</v>
      </c>
      <c r="B3415">
        <v>4295.05</v>
      </c>
      <c r="C3415">
        <v>7378.82</v>
      </c>
      <c r="D3415">
        <v>15893.53</v>
      </c>
      <c r="E3415">
        <v>8959.9992500000008</v>
      </c>
      <c r="F3415">
        <v>9549.7000000000007</v>
      </c>
      <c r="G3415">
        <v>28895.39</v>
      </c>
    </row>
    <row r="3416" spans="1:7" x14ac:dyDescent="0.35">
      <c r="A3416" s="1">
        <v>45187</v>
      </c>
      <c r="B3416">
        <v>4245.88</v>
      </c>
      <c r="C3416">
        <v>7276.14</v>
      </c>
      <c r="D3416">
        <v>15727.12</v>
      </c>
      <c r="E3416">
        <v>8871.8847100000003</v>
      </c>
      <c r="F3416">
        <v>9482.1</v>
      </c>
      <c r="G3416">
        <v>28585.86</v>
      </c>
    </row>
    <row r="3417" spans="1:7" x14ac:dyDescent="0.35">
      <c r="A3417" s="1">
        <v>45188</v>
      </c>
      <c r="B3417">
        <v>4242.7</v>
      </c>
      <c r="C3417">
        <v>7282.12</v>
      </c>
      <c r="D3417">
        <v>15664.48</v>
      </c>
      <c r="E3417">
        <v>8880.3834700000007</v>
      </c>
      <c r="F3417">
        <v>9527.2000000000007</v>
      </c>
      <c r="G3417">
        <v>28757.63</v>
      </c>
    </row>
    <row r="3418" spans="1:7" x14ac:dyDescent="0.35">
      <c r="A3418" s="1">
        <v>45189</v>
      </c>
      <c r="B3418">
        <v>4275.9799999999996</v>
      </c>
      <c r="C3418">
        <v>7330.79</v>
      </c>
      <c r="D3418">
        <v>15781.59</v>
      </c>
      <c r="E3418">
        <v>8943.0738799999999</v>
      </c>
      <c r="F3418">
        <v>9645.7999999999993</v>
      </c>
      <c r="G3418">
        <v>29229.3</v>
      </c>
    </row>
    <row r="3419" spans="1:7" x14ac:dyDescent="0.35">
      <c r="A3419" s="1">
        <v>45190</v>
      </c>
      <c r="B3419">
        <v>4212.59</v>
      </c>
      <c r="C3419">
        <v>7213.9</v>
      </c>
      <c r="D3419">
        <v>15571.86</v>
      </c>
      <c r="E3419">
        <v>8861.1101899999994</v>
      </c>
      <c r="F3419">
        <v>9548.9</v>
      </c>
      <c r="G3419">
        <v>28708.55</v>
      </c>
    </row>
    <row r="3420" spans="1:7" x14ac:dyDescent="0.35">
      <c r="A3420" s="1">
        <v>45191</v>
      </c>
      <c r="B3420">
        <v>4207.16</v>
      </c>
      <c r="C3420">
        <v>7184.82</v>
      </c>
      <c r="D3420">
        <v>15557.29</v>
      </c>
      <c r="E3420">
        <v>8834.7658900000006</v>
      </c>
      <c r="F3420">
        <v>9502</v>
      </c>
      <c r="G3420">
        <v>28575.9</v>
      </c>
    </row>
    <row r="3421" spans="1:7" x14ac:dyDescent="0.35">
      <c r="A3421" s="1">
        <v>45194</v>
      </c>
      <c r="B3421">
        <v>4167.37</v>
      </c>
      <c r="C3421">
        <v>7123.88</v>
      </c>
      <c r="D3421">
        <v>15405.49</v>
      </c>
      <c r="E3421">
        <v>8792.5362100000002</v>
      </c>
      <c r="F3421">
        <v>9386</v>
      </c>
      <c r="G3421">
        <v>28382.19</v>
      </c>
    </row>
    <row r="3422" spans="1:7" x14ac:dyDescent="0.35">
      <c r="A3422" s="1">
        <v>45195</v>
      </c>
      <c r="B3422">
        <v>4129.18</v>
      </c>
      <c r="C3422">
        <v>7074.02</v>
      </c>
      <c r="D3422">
        <v>15255.87</v>
      </c>
      <c r="E3422">
        <v>8781.5912700000008</v>
      </c>
      <c r="F3422">
        <v>9366.9</v>
      </c>
      <c r="G3422">
        <v>28098.880000000001</v>
      </c>
    </row>
    <row r="3423" spans="1:7" x14ac:dyDescent="0.35">
      <c r="A3423" s="1">
        <v>45196</v>
      </c>
      <c r="B3423">
        <v>4131.68</v>
      </c>
      <c r="C3423">
        <v>7071.79</v>
      </c>
      <c r="D3423">
        <v>15217.45</v>
      </c>
      <c r="E3423">
        <v>8765.8566599999995</v>
      </c>
      <c r="F3423">
        <v>9331.9</v>
      </c>
      <c r="G3423">
        <v>28012.3</v>
      </c>
    </row>
    <row r="3424" spans="1:7" x14ac:dyDescent="0.35">
      <c r="A3424" s="1">
        <v>45197</v>
      </c>
      <c r="B3424">
        <v>4161.5600000000004</v>
      </c>
      <c r="C3424">
        <v>7116.24</v>
      </c>
      <c r="D3424">
        <v>15323.5</v>
      </c>
      <c r="E3424">
        <v>8784.1039999999994</v>
      </c>
      <c r="F3424">
        <v>9426.7999999999993</v>
      </c>
      <c r="G3424">
        <v>28163.03</v>
      </c>
    </row>
    <row r="3425" spans="1:7" x14ac:dyDescent="0.35">
      <c r="A3425" s="1">
        <v>45198</v>
      </c>
      <c r="B3425">
        <v>4174.66</v>
      </c>
      <c r="C3425">
        <v>7135.06</v>
      </c>
      <c r="D3425">
        <v>15386.58</v>
      </c>
      <c r="E3425">
        <v>8778.9964500000006</v>
      </c>
      <c r="F3425">
        <v>9428</v>
      </c>
      <c r="G3425">
        <v>28243.26</v>
      </c>
    </row>
    <row r="3426" spans="1:7" x14ac:dyDescent="0.35">
      <c r="A3426" s="1">
        <v>45201</v>
      </c>
      <c r="B3426">
        <v>4137.63</v>
      </c>
      <c r="C3426">
        <v>7068.16</v>
      </c>
      <c r="D3426">
        <v>15247.21</v>
      </c>
      <c r="E3426">
        <v>8670.0159899999999</v>
      </c>
      <c r="F3426">
        <v>9319</v>
      </c>
      <c r="G3426">
        <v>27849.65</v>
      </c>
    </row>
    <row r="3427" spans="1:7" x14ac:dyDescent="0.35">
      <c r="A3427" s="1">
        <v>45202</v>
      </c>
      <c r="B3427">
        <v>4095.59</v>
      </c>
      <c r="C3427">
        <v>6997.05</v>
      </c>
      <c r="D3427">
        <v>15085.21</v>
      </c>
      <c r="E3427">
        <v>8621.8870200000001</v>
      </c>
      <c r="F3427">
        <v>9165.5</v>
      </c>
      <c r="G3427">
        <v>27482.21</v>
      </c>
    </row>
    <row r="3428" spans="1:7" x14ac:dyDescent="0.35">
      <c r="A3428" s="1">
        <v>45203</v>
      </c>
      <c r="B3428">
        <v>4099.8500000000004</v>
      </c>
      <c r="C3428">
        <v>6996.73</v>
      </c>
      <c r="D3428">
        <v>15099.92</v>
      </c>
      <c r="E3428">
        <v>8568.8824600000007</v>
      </c>
      <c r="F3428">
        <v>9102.9</v>
      </c>
      <c r="G3428">
        <v>27435.59</v>
      </c>
    </row>
    <row r="3429" spans="1:7" x14ac:dyDescent="0.35">
      <c r="A3429" s="1">
        <v>45204</v>
      </c>
      <c r="B3429">
        <v>4099.8100000000004</v>
      </c>
      <c r="C3429">
        <v>6998.25</v>
      </c>
      <c r="D3429">
        <v>15070.22</v>
      </c>
      <c r="E3429">
        <v>8614.2518199999995</v>
      </c>
      <c r="F3429">
        <v>9157.7000000000007</v>
      </c>
      <c r="G3429">
        <v>27490.81</v>
      </c>
    </row>
    <row r="3430" spans="1:7" x14ac:dyDescent="0.35">
      <c r="A3430" s="1">
        <v>45205</v>
      </c>
      <c r="B3430">
        <v>4144.43</v>
      </c>
      <c r="C3430">
        <v>7060.15</v>
      </c>
      <c r="D3430">
        <v>15229.77</v>
      </c>
      <c r="E3430">
        <v>8667.0471400000006</v>
      </c>
      <c r="F3430">
        <v>9235.7999999999993</v>
      </c>
      <c r="G3430">
        <v>27810.61</v>
      </c>
    </row>
    <row r="3431" spans="1:7" x14ac:dyDescent="0.35">
      <c r="A3431" s="1">
        <v>45208</v>
      </c>
      <c r="B3431">
        <v>4112.57</v>
      </c>
      <c r="C3431">
        <v>7021.4</v>
      </c>
      <c r="D3431">
        <v>15128.11</v>
      </c>
      <c r="E3431">
        <v>8674.0677300000007</v>
      </c>
      <c r="F3431">
        <v>9151.2999999999993</v>
      </c>
      <c r="G3431">
        <v>27682.06</v>
      </c>
    </row>
    <row r="3432" spans="1:7" x14ac:dyDescent="0.35">
      <c r="A3432" s="1">
        <v>45209</v>
      </c>
      <c r="B3432">
        <v>4205.2299999999996</v>
      </c>
      <c r="C3432">
        <v>7162.43</v>
      </c>
      <c r="D3432">
        <v>15423.52</v>
      </c>
      <c r="E3432">
        <v>8830.9625199999991</v>
      </c>
      <c r="F3432">
        <v>9352.1</v>
      </c>
      <c r="G3432">
        <v>28318.22</v>
      </c>
    </row>
    <row r="3433" spans="1:7" x14ac:dyDescent="0.35">
      <c r="A3433" s="1">
        <v>45210</v>
      </c>
      <c r="B3433">
        <v>4200.8</v>
      </c>
      <c r="C3433">
        <v>7131.21</v>
      </c>
      <c r="D3433">
        <v>15460.01</v>
      </c>
      <c r="E3433">
        <v>8834.1198199999999</v>
      </c>
      <c r="F3433">
        <v>9360.4</v>
      </c>
      <c r="G3433">
        <v>28419.06</v>
      </c>
    </row>
    <row r="3434" spans="1:7" x14ac:dyDescent="0.35">
      <c r="A3434" s="1">
        <v>45211</v>
      </c>
      <c r="B3434">
        <v>4198.2299999999996</v>
      </c>
      <c r="C3434">
        <v>7104.53</v>
      </c>
      <c r="D3434">
        <v>15425.03</v>
      </c>
      <c r="E3434">
        <v>8841.9718200000007</v>
      </c>
      <c r="F3434">
        <v>9336</v>
      </c>
      <c r="G3434">
        <v>28493.35</v>
      </c>
    </row>
    <row r="3435" spans="1:7" x14ac:dyDescent="0.35">
      <c r="A3435" s="1">
        <v>45212</v>
      </c>
      <c r="B3435">
        <v>4136.12</v>
      </c>
      <c r="C3435">
        <v>7003.53</v>
      </c>
      <c r="D3435">
        <v>15186.66</v>
      </c>
      <c r="E3435">
        <v>8776.8907799999997</v>
      </c>
      <c r="F3435">
        <v>9232.9</v>
      </c>
      <c r="G3435">
        <v>28237.02</v>
      </c>
    </row>
    <row r="3436" spans="1:7" x14ac:dyDescent="0.35">
      <c r="A3436" s="1">
        <v>45215</v>
      </c>
      <c r="B3436">
        <v>4149.8599999999997</v>
      </c>
      <c r="C3436">
        <v>7022.19</v>
      </c>
      <c r="D3436">
        <v>15237.99</v>
      </c>
      <c r="E3436">
        <v>8826.5559900000007</v>
      </c>
      <c r="F3436">
        <v>9287.1</v>
      </c>
      <c r="G3436">
        <v>28391.599999999999</v>
      </c>
    </row>
    <row r="3437" spans="1:7" x14ac:dyDescent="0.35">
      <c r="A3437" s="1">
        <v>45216</v>
      </c>
      <c r="B3437">
        <v>4152.32</v>
      </c>
      <c r="C3437">
        <v>7029.7</v>
      </c>
      <c r="D3437">
        <v>15251.69</v>
      </c>
      <c r="E3437">
        <v>8844.6276300000009</v>
      </c>
      <c r="F3437">
        <v>9298.5</v>
      </c>
      <c r="G3437">
        <v>28367.360000000001</v>
      </c>
    </row>
    <row r="3438" spans="1:7" x14ac:dyDescent="0.35">
      <c r="A3438" s="1">
        <v>45217</v>
      </c>
      <c r="B3438">
        <v>4105.8599999999997</v>
      </c>
      <c r="C3438">
        <v>6965.99</v>
      </c>
      <c r="D3438">
        <v>15094.91</v>
      </c>
      <c r="E3438">
        <v>8751.7285800000009</v>
      </c>
      <c r="F3438">
        <v>9212.7000000000007</v>
      </c>
      <c r="G3438">
        <v>28135.79</v>
      </c>
    </row>
    <row r="3439" spans="1:7" x14ac:dyDescent="0.35">
      <c r="A3439" s="1">
        <v>45218</v>
      </c>
      <c r="B3439">
        <v>4090.33</v>
      </c>
      <c r="C3439">
        <v>6921.37</v>
      </c>
      <c r="D3439">
        <v>15045.23</v>
      </c>
      <c r="E3439">
        <v>8615.5778300000002</v>
      </c>
      <c r="F3439">
        <v>9146.7999999999993</v>
      </c>
      <c r="G3439">
        <v>27746.82</v>
      </c>
    </row>
    <row r="3440" spans="1:7" x14ac:dyDescent="0.35">
      <c r="A3440" s="1">
        <v>45219</v>
      </c>
      <c r="B3440">
        <v>4024.68</v>
      </c>
      <c r="C3440">
        <v>6816.22</v>
      </c>
      <c r="D3440">
        <v>14798.47</v>
      </c>
      <c r="E3440">
        <v>8495.3361199999999</v>
      </c>
      <c r="F3440">
        <v>9029.1</v>
      </c>
      <c r="G3440">
        <v>27357</v>
      </c>
    </row>
    <row r="3441" spans="1:7" x14ac:dyDescent="0.35">
      <c r="A3441" s="1">
        <v>45222</v>
      </c>
      <c r="B3441">
        <v>4041.75</v>
      </c>
      <c r="C3441">
        <v>6850.47</v>
      </c>
      <c r="D3441">
        <v>14800.72</v>
      </c>
      <c r="E3441">
        <v>8459.7909299999992</v>
      </c>
      <c r="F3441">
        <v>8995.5</v>
      </c>
      <c r="G3441">
        <v>27558.78</v>
      </c>
    </row>
    <row r="3442" spans="1:7" x14ac:dyDescent="0.35">
      <c r="A3442" s="1">
        <v>45223</v>
      </c>
      <c r="B3442">
        <v>4065.37</v>
      </c>
      <c r="C3442">
        <v>6893.65</v>
      </c>
      <c r="D3442">
        <v>14879.94</v>
      </c>
      <c r="E3442">
        <v>8486.9521399999994</v>
      </c>
      <c r="F3442">
        <v>8975.7999999999993</v>
      </c>
      <c r="G3442">
        <v>27572.74</v>
      </c>
    </row>
    <row r="3443" spans="1:7" x14ac:dyDescent="0.35">
      <c r="A3443" s="1">
        <v>45224</v>
      </c>
      <c r="B3443">
        <v>4073.35</v>
      </c>
      <c r="C3443">
        <v>6915.07</v>
      </c>
      <c r="D3443">
        <v>14892.18</v>
      </c>
      <c r="E3443">
        <v>8502.4776500000007</v>
      </c>
      <c r="F3443">
        <v>8984.7999999999993</v>
      </c>
      <c r="G3443">
        <v>27428.6</v>
      </c>
    </row>
    <row r="3444" spans="1:7" x14ac:dyDescent="0.35">
      <c r="A3444" s="1">
        <v>45225</v>
      </c>
      <c r="B3444">
        <v>4049.4</v>
      </c>
      <c r="C3444">
        <v>6888.96</v>
      </c>
      <c r="D3444">
        <v>14731.05</v>
      </c>
      <c r="E3444">
        <v>8455.4154999999992</v>
      </c>
      <c r="F3444">
        <v>8962.7999999999993</v>
      </c>
      <c r="G3444">
        <v>27507.9</v>
      </c>
    </row>
    <row r="3445" spans="1:7" x14ac:dyDescent="0.35">
      <c r="A3445" s="1">
        <v>45226</v>
      </c>
      <c r="B3445">
        <v>4014.36</v>
      </c>
      <c r="C3445">
        <v>6795.38</v>
      </c>
      <c r="D3445">
        <v>14687.41</v>
      </c>
      <c r="E3445">
        <v>8358.4814299999998</v>
      </c>
      <c r="F3445">
        <v>8918.2999999999993</v>
      </c>
      <c r="G3445">
        <v>27287.45</v>
      </c>
    </row>
    <row r="3446" spans="1:7" x14ac:dyDescent="0.35">
      <c r="A3446" s="1">
        <v>45229</v>
      </c>
      <c r="B3446">
        <v>4028.32</v>
      </c>
      <c r="C3446">
        <v>6825.07</v>
      </c>
      <c r="D3446">
        <v>14716.54</v>
      </c>
      <c r="E3446">
        <v>8393.5939500000004</v>
      </c>
      <c r="F3446">
        <v>9013.9</v>
      </c>
      <c r="G3446">
        <v>27339.91</v>
      </c>
    </row>
    <row r="3447" spans="1:7" x14ac:dyDescent="0.35">
      <c r="A3447" s="1">
        <v>45230</v>
      </c>
      <c r="B3447">
        <v>4061.12</v>
      </c>
      <c r="C3447">
        <v>6885.65</v>
      </c>
      <c r="D3447">
        <v>14810.34</v>
      </c>
      <c r="E3447">
        <v>8410.8042100000002</v>
      </c>
      <c r="F3447">
        <v>9017.2999999999993</v>
      </c>
      <c r="G3447">
        <v>27741.91</v>
      </c>
    </row>
    <row r="3448" spans="1:7" x14ac:dyDescent="0.35">
      <c r="A3448" s="1">
        <v>45231</v>
      </c>
      <c r="B3448">
        <v>4091.71</v>
      </c>
      <c r="C3448">
        <v>6932.63</v>
      </c>
      <c r="D3448">
        <v>14923.27</v>
      </c>
      <c r="E3448">
        <v>8443.6202599999997</v>
      </c>
      <c r="F3448">
        <v>9075</v>
      </c>
      <c r="G3448">
        <v>27985.439999999999</v>
      </c>
    </row>
    <row r="3449" spans="1:7" x14ac:dyDescent="0.35">
      <c r="A3449" s="1">
        <v>45232</v>
      </c>
      <c r="B3449">
        <v>4169.62</v>
      </c>
      <c r="C3449">
        <v>7060.69</v>
      </c>
      <c r="D3449">
        <v>15143.6</v>
      </c>
      <c r="E3449">
        <v>8548.6556799999998</v>
      </c>
      <c r="F3449">
        <v>9260.4</v>
      </c>
      <c r="G3449">
        <v>28479.39</v>
      </c>
    </row>
    <row r="3450" spans="1:7" x14ac:dyDescent="0.35">
      <c r="A3450" s="1">
        <v>45233</v>
      </c>
      <c r="B3450">
        <v>4174.67</v>
      </c>
      <c r="C3450">
        <v>7047.5</v>
      </c>
      <c r="D3450">
        <v>15189.25</v>
      </c>
      <c r="E3450">
        <v>8555.5712299999996</v>
      </c>
      <c r="F3450">
        <v>9293.9</v>
      </c>
      <c r="G3450">
        <v>28674.83</v>
      </c>
    </row>
    <row r="3451" spans="1:7" x14ac:dyDescent="0.35">
      <c r="A3451" s="1">
        <v>45236</v>
      </c>
      <c r="B3451">
        <v>4158.6400000000003</v>
      </c>
      <c r="C3451">
        <v>7013.73</v>
      </c>
      <c r="D3451">
        <v>15135.97</v>
      </c>
      <c r="E3451">
        <v>8547.4207299999998</v>
      </c>
      <c r="F3451">
        <v>9241.5</v>
      </c>
      <c r="G3451">
        <v>28592.6</v>
      </c>
    </row>
    <row r="3452" spans="1:7" x14ac:dyDescent="0.35">
      <c r="A3452" s="1">
        <v>45237</v>
      </c>
      <c r="B3452">
        <v>4153.37</v>
      </c>
      <c r="C3452">
        <v>6986.23</v>
      </c>
      <c r="D3452">
        <v>15152.64</v>
      </c>
      <c r="E3452">
        <v>8517.0001799999991</v>
      </c>
      <c r="F3452">
        <v>9235.9</v>
      </c>
      <c r="G3452">
        <v>28395.9</v>
      </c>
    </row>
    <row r="3453" spans="1:7" x14ac:dyDescent="0.35">
      <c r="A3453" s="1">
        <v>45238</v>
      </c>
      <c r="B3453">
        <v>4178.49</v>
      </c>
      <c r="C3453">
        <v>7034.16</v>
      </c>
      <c r="D3453">
        <v>15229.6</v>
      </c>
      <c r="E3453">
        <v>8496.6326300000001</v>
      </c>
      <c r="F3453">
        <v>9283.7999999999993</v>
      </c>
      <c r="G3453">
        <v>28433.33</v>
      </c>
    </row>
    <row r="3454" spans="1:7" x14ac:dyDescent="0.35">
      <c r="A3454" s="1">
        <v>45239</v>
      </c>
      <c r="B3454">
        <v>4229.2</v>
      </c>
      <c r="C3454">
        <v>7113.66</v>
      </c>
      <c r="D3454">
        <v>15352.54</v>
      </c>
      <c r="E3454">
        <v>8543.5501100000001</v>
      </c>
      <c r="F3454">
        <v>9405.2000000000007</v>
      </c>
      <c r="G3454">
        <v>28644.09</v>
      </c>
    </row>
    <row r="3455" spans="1:7" x14ac:dyDescent="0.35">
      <c r="A3455" s="1">
        <v>45240</v>
      </c>
      <c r="B3455">
        <v>4197.3599999999997</v>
      </c>
      <c r="C3455">
        <v>7045.04</v>
      </c>
      <c r="D3455">
        <v>15234.39</v>
      </c>
      <c r="E3455">
        <v>8420.6235899999992</v>
      </c>
      <c r="F3455">
        <v>9371.7000000000007</v>
      </c>
      <c r="G3455">
        <v>28504.43</v>
      </c>
    </row>
    <row r="3456" spans="1:7" x14ac:dyDescent="0.35">
      <c r="A3456" s="1">
        <v>45243</v>
      </c>
      <c r="B3456">
        <v>4232.1899999999996</v>
      </c>
      <c r="C3456">
        <v>7087.06</v>
      </c>
      <c r="D3456">
        <v>15345</v>
      </c>
      <c r="E3456">
        <v>8517.2103999999999</v>
      </c>
      <c r="F3456">
        <v>9461.7000000000007</v>
      </c>
      <c r="G3456">
        <v>28925.26</v>
      </c>
    </row>
    <row r="3457" spans="1:7" x14ac:dyDescent="0.35">
      <c r="A3457" s="1">
        <v>45244</v>
      </c>
      <c r="B3457">
        <v>4291.72</v>
      </c>
      <c r="C3457">
        <v>7185.68</v>
      </c>
      <c r="D3457">
        <v>15614.43</v>
      </c>
      <c r="E3457">
        <v>8549.0473399999992</v>
      </c>
      <c r="F3457">
        <v>9623.2999999999993</v>
      </c>
      <c r="G3457">
        <v>29344.43</v>
      </c>
    </row>
    <row r="3458" spans="1:7" x14ac:dyDescent="0.35">
      <c r="A3458" s="1">
        <v>45245</v>
      </c>
      <c r="B3458">
        <v>4315.53</v>
      </c>
      <c r="C3458">
        <v>7209.61</v>
      </c>
      <c r="D3458">
        <v>15748.17</v>
      </c>
      <c r="E3458">
        <v>8569.1803</v>
      </c>
      <c r="F3458">
        <v>9640.7000000000007</v>
      </c>
      <c r="G3458">
        <v>29466.93</v>
      </c>
    </row>
    <row r="3459" spans="1:7" x14ac:dyDescent="0.35">
      <c r="A3459" s="1">
        <v>45246</v>
      </c>
      <c r="B3459">
        <v>4302.45</v>
      </c>
      <c r="C3459">
        <v>7168.4</v>
      </c>
      <c r="D3459">
        <v>15786.61</v>
      </c>
      <c r="E3459">
        <v>8478.9412799999991</v>
      </c>
      <c r="F3459">
        <v>9667.4</v>
      </c>
      <c r="G3459">
        <v>29258.1</v>
      </c>
    </row>
    <row r="3460" spans="1:7" x14ac:dyDescent="0.35">
      <c r="A3460" s="1">
        <v>45247</v>
      </c>
      <c r="B3460">
        <v>4340.7700000000004</v>
      </c>
      <c r="C3460">
        <v>7233.91</v>
      </c>
      <c r="D3460">
        <v>15919.16</v>
      </c>
      <c r="E3460">
        <v>8569.5916400000006</v>
      </c>
      <c r="F3460">
        <v>9761.4</v>
      </c>
      <c r="G3460">
        <v>29498.43</v>
      </c>
    </row>
    <row r="3461" spans="1:7" x14ac:dyDescent="0.35">
      <c r="A3461" s="1">
        <v>45250</v>
      </c>
      <c r="B3461">
        <v>4342.41</v>
      </c>
      <c r="C3461">
        <v>7246.93</v>
      </c>
      <c r="D3461">
        <v>15901.33</v>
      </c>
      <c r="E3461">
        <v>8567.5622899999998</v>
      </c>
      <c r="F3461">
        <v>9839</v>
      </c>
      <c r="G3461">
        <v>29541.9</v>
      </c>
    </row>
    <row r="3462" spans="1:7" x14ac:dyDescent="0.35">
      <c r="A3462" s="1">
        <v>45251</v>
      </c>
      <c r="B3462">
        <v>4331.8999999999996</v>
      </c>
      <c r="C3462">
        <v>7229.45</v>
      </c>
      <c r="D3462">
        <v>15900.53</v>
      </c>
      <c r="E3462">
        <v>8595.9645199999995</v>
      </c>
      <c r="F3462">
        <v>9827.5</v>
      </c>
      <c r="G3462">
        <v>29153.42</v>
      </c>
    </row>
    <row r="3463" spans="1:7" x14ac:dyDescent="0.35">
      <c r="A3463" s="1">
        <v>45252</v>
      </c>
      <c r="B3463">
        <v>4352.0200000000004</v>
      </c>
      <c r="C3463">
        <v>7260.73</v>
      </c>
      <c r="D3463">
        <v>15957.82</v>
      </c>
      <c r="E3463">
        <v>8568.0683200000003</v>
      </c>
      <c r="F3463">
        <v>9887.4</v>
      </c>
      <c r="G3463">
        <v>29154.91</v>
      </c>
    </row>
    <row r="3464" spans="1:7" x14ac:dyDescent="0.35">
      <c r="A3464" s="1">
        <v>45253</v>
      </c>
      <c r="B3464">
        <v>4361.32</v>
      </c>
      <c r="C3464">
        <v>7277.93</v>
      </c>
      <c r="D3464">
        <v>15994.73</v>
      </c>
      <c r="E3464">
        <v>8599.3237300000001</v>
      </c>
      <c r="F3464">
        <v>9905.5</v>
      </c>
      <c r="G3464">
        <v>29235.71</v>
      </c>
    </row>
    <row r="3465" spans="1:7" x14ac:dyDescent="0.35">
      <c r="A3465" s="1">
        <v>45254</v>
      </c>
      <c r="B3465">
        <v>4372.1000000000004</v>
      </c>
      <c r="C3465">
        <v>7292.8</v>
      </c>
      <c r="D3465">
        <v>16029.49</v>
      </c>
      <c r="E3465">
        <v>8629.1221600000008</v>
      </c>
      <c r="F3465">
        <v>9939</v>
      </c>
      <c r="G3465">
        <v>29432.3</v>
      </c>
    </row>
    <row r="3466" spans="1:7" x14ac:dyDescent="0.35">
      <c r="A3466" s="1">
        <v>45257</v>
      </c>
      <c r="B3466">
        <v>4354.41</v>
      </c>
      <c r="C3466">
        <v>7265.49</v>
      </c>
      <c r="D3466">
        <v>15966.37</v>
      </c>
      <c r="E3466">
        <v>8600.2069499999998</v>
      </c>
      <c r="F3466">
        <v>9936.1</v>
      </c>
      <c r="G3466">
        <v>29342.29</v>
      </c>
    </row>
    <row r="3467" spans="1:7" x14ac:dyDescent="0.35">
      <c r="A3467" s="1">
        <v>45258</v>
      </c>
      <c r="B3467">
        <v>4348.0200000000004</v>
      </c>
      <c r="C3467">
        <v>7250.13</v>
      </c>
      <c r="D3467">
        <v>15992.67</v>
      </c>
      <c r="E3467">
        <v>8612.1694800000005</v>
      </c>
      <c r="F3467">
        <v>10003.4</v>
      </c>
      <c r="G3467">
        <v>29376.74</v>
      </c>
    </row>
    <row r="3468" spans="1:7" x14ac:dyDescent="0.35">
      <c r="A3468" s="1">
        <v>45259</v>
      </c>
      <c r="B3468">
        <v>4370.53</v>
      </c>
      <c r="C3468">
        <v>7267.64</v>
      </c>
      <c r="D3468">
        <v>16166.45</v>
      </c>
      <c r="E3468">
        <v>8588.1099699999995</v>
      </c>
      <c r="F3468">
        <v>10062.6</v>
      </c>
      <c r="G3468">
        <v>29688.45</v>
      </c>
    </row>
    <row r="3469" spans="1:7" x14ac:dyDescent="0.35">
      <c r="A3469" s="1">
        <v>45260</v>
      </c>
      <c r="B3469">
        <v>4382.47</v>
      </c>
      <c r="C3469">
        <v>7310.77</v>
      </c>
      <c r="D3469">
        <v>16215.43</v>
      </c>
      <c r="E3469">
        <v>8637.8627199999992</v>
      </c>
      <c r="F3469">
        <v>10058.200000000001</v>
      </c>
      <c r="G3469">
        <v>29737.38</v>
      </c>
    </row>
    <row r="3470" spans="1:7" x14ac:dyDescent="0.35">
      <c r="A3470" s="1">
        <v>45261</v>
      </c>
      <c r="B3470">
        <v>4418.51</v>
      </c>
      <c r="C3470">
        <v>7346.15</v>
      </c>
      <c r="D3470">
        <v>16397.52</v>
      </c>
      <c r="E3470">
        <v>8783.7803899999999</v>
      </c>
      <c r="F3470">
        <v>10140.799999999999</v>
      </c>
      <c r="G3470">
        <v>29928.45</v>
      </c>
    </row>
    <row r="3471" spans="1:7" x14ac:dyDescent="0.35">
      <c r="A3471" s="1">
        <v>45264</v>
      </c>
      <c r="B3471">
        <v>4414.95</v>
      </c>
      <c r="C3471">
        <v>7332.59</v>
      </c>
      <c r="D3471">
        <v>16404.759999999998</v>
      </c>
      <c r="E3471">
        <v>8759.3368900000005</v>
      </c>
      <c r="F3471">
        <v>10178.299999999999</v>
      </c>
      <c r="G3471">
        <v>29914.09</v>
      </c>
    </row>
    <row r="3472" spans="1:7" x14ac:dyDescent="0.35">
      <c r="A3472" s="1">
        <v>45265</v>
      </c>
      <c r="B3472">
        <v>4452.7700000000004</v>
      </c>
      <c r="C3472">
        <v>7386.99</v>
      </c>
      <c r="D3472">
        <v>16533.11</v>
      </c>
      <c r="E3472">
        <v>8741.1540800000002</v>
      </c>
      <c r="F3472">
        <v>10238.4</v>
      </c>
      <c r="G3472">
        <v>30082.880000000001</v>
      </c>
    </row>
    <row r="3473" spans="1:7" x14ac:dyDescent="0.35">
      <c r="A3473" s="1">
        <v>45266</v>
      </c>
      <c r="B3473">
        <v>4483.26</v>
      </c>
      <c r="C3473">
        <v>7435.99</v>
      </c>
      <c r="D3473">
        <v>16656.439999999999</v>
      </c>
      <c r="E3473">
        <v>8769.3373900000006</v>
      </c>
      <c r="F3473">
        <v>10258.1</v>
      </c>
      <c r="G3473">
        <v>30326.29</v>
      </c>
    </row>
    <row r="3474" spans="1:7" x14ac:dyDescent="0.35">
      <c r="A3474" s="1">
        <v>45267</v>
      </c>
      <c r="B3474">
        <v>4473.7700000000004</v>
      </c>
      <c r="C3474">
        <v>7428.52</v>
      </c>
      <c r="D3474">
        <v>16628.990000000002</v>
      </c>
      <c r="E3474">
        <v>8756.7424800000008</v>
      </c>
      <c r="F3474">
        <v>10146</v>
      </c>
      <c r="G3474">
        <v>30121.77</v>
      </c>
    </row>
    <row r="3475" spans="1:7" x14ac:dyDescent="0.35">
      <c r="A3475" s="1">
        <v>45268</v>
      </c>
      <c r="B3475">
        <v>4523.3100000000004</v>
      </c>
      <c r="C3475">
        <v>7526.55</v>
      </c>
      <c r="D3475">
        <v>16759.22</v>
      </c>
      <c r="E3475">
        <v>8811.6754000000001</v>
      </c>
      <c r="F3475">
        <v>10223.4</v>
      </c>
      <c r="G3475">
        <v>30403.9</v>
      </c>
    </row>
    <row r="3476" spans="1:7" x14ac:dyDescent="0.35">
      <c r="A3476" s="1">
        <v>45271</v>
      </c>
      <c r="B3476">
        <v>4540.1899999999996</v>
      </c>
      <c r="C3476">
        <v>7551.53</v>
      </c>
      <c r="D3476">
        <v>16794.43</v>
      </c>
      <c r="E3476">
        <v>8806.8191999999999</v>
      </c>
      <c r="F3476">
        <v>10198</v>
      </c>
      <c r="G3476">
        <v>30426.58</v>
      </c>
    </row>
    <row r="3477" spans="1:7" x14ac:dyDescent="0.35">
      <c r="A3477" s="1">
        <v>45272</v>
      </c>
      <c r="B3477">
        <v>4536.6099999999997</v>
      </c>
      <c r="C3477">
        <v>7543.55</v>
      </c>
      <c r="D3477">
        <v>16791.740000000002</v>
      </c>
      <c r="E3477">
        <v>8771.2318899999991</v>
      </c>
      <c r="F3477">
        <v>10118.700000000001</v>
      </c>
      <c r="G3477">
        <v>30342.15</v>
      </c>
    </row>
    <row r="3478" spans="1:7" x14ac:dyDescent="0.35">
      <c r="A3478" s="1">
        <v>45273</v>
      </c>
      <c r="B3478">
        <v>4530.1899999999996</v>
      </c>
      <c r="C3478">
        <v>7531.22</v>
      </c>
      <c r="D3478">
        <v>16766.05</v>
      </c>
      <c r="E3478">
        <v>8755.1824500000002</v>
      </c>
      <c r="F3478">
        <v>10096.1</v>
      </c>
      <c r="G3478">
        <v>30295.69</v>
      </c>
    </row>
    <row r="3479" spans="1:7" x14ac:dyDescent="0.35">
      <c r="A3479" s="1">
        <v>45274</v>
      </c>
      <c r="B3479">
        <v>4539.16</v>
      </c>
      <c r="C3479">
        <v>7575.85</v>
      </c>
      <c r="D3479">
        <v>16752.23</v>
      </c>
      <c r="E3479">
        <v>8885.4666400000006</v>
      </c>
      <c r="F3479">
        <v>10171.700000000001</v>
      </c>
      <c r="G3479">
        <v>30359.06</v>
      </c>
    </row>
    <row r="3480" spans="1:7" x14ac:dyDescent="0.35">
      <c r="A3480" s="1">
        <v>45275</v>
      </c>
      <c r="B3480">
        <v>4549.4399999999996</v>
      </c>
      <c r="C3480">
        <v>7596.91</v>
      </c>
      <c r="D3480">
        <v>16751.439999999999</v>
      </c>
      <c r="E3480">
        <v>8823.5774700000002</v>
      </c>
      <c r="F3480">
        <v>10095.6</v>
      </c>
      <c r="G3480">
        <v>30373.89</v>
      </c>
    </row>
    <row r="3481" spans="1:7" x14ac:dyDescent="0.35">
      <c r="A3481" s="1">
        <v>45278</v>
      </c>
      <c r="B3481">
        <v>4521.13</v>
      </c>
      <c r="C3481">
        <v>7568.86</v>
      </c>
      <c r="D3481">
        <v>16650.55</v>
      </c>
      <c r="E3481">
        <v>8816.4362600000004</v>
      </c>
      <c r="F3481">
        <v>10054.9</v>
      </c>
      <c r="G3481">
        <v>30241.02</v>
      </c>
    </row>
    <row r="3482" spans="1:7" x14ac:dyDescent="0.35">
      <c r="A3482" s="1">
        <v>45279</v>
      </c>
      <c r="B3482">
        <v>4535.3999999999996</v>
      </c>
      <c r="C3482">
        <v>7574.67</v>
      </c>
      <c r="D3482">
        <v>16744.41</v>
      </c>
      <c r="E3482">
        <v>8863.5945400000001</v>
      </c>
      <c r="F3482">
        <v>10106.700000000001</v>
      </c>
      <c r="G3482">
        <v>30363.53</v>
      </c>
    </row>
    <row r="3483" spans="1:7" x14ac:dyDescent="0.35">
      <c r="A3483" s="1">
        <v>45280</v>
      </c>
      <c r="B3483">
        <v>4533.82</v>
      </c>
      <c r="C3483">
        <v>7583.43</v>
      </c>
      <c r="D3483">
        <v>16733.05</v>
      </c>
      <c r="E3483">
        <v>8921.1229800000001</v>
      </c>
      <c r="F3483">
        <v>10101</v>
      </c>
      <c r="G3483">
        <v>30361.21</v>
      </c>
    </row>
    <row r="3484" spans="1:7" x14ac:dyDescent="0.35">
      <c r="A3484" s="1">
        <v>45281</v>
      </c>
      <c r="B3484">
        <v>4524.8599999999997</v>
      </c>
      <c r="C3484">
        <v>7571.4</v>
      </c>
      <c r="D3484">
        <v>16687.419999999998</v>
      </c>
      <c r="E3484">
        <v>8870.0219099999995</v>
      </c>
      <c r="F3484">
        <v>10104.299999999999</v>
      </c>
      <c r="G3484">
        <v>30274.26</v>
      </c>
    </row>
    <row r="3485" spans="1:7" x14ac:dyDescent="0.35">
      <c r="A3485" s="1">
        <v>45282</v>
      </c>
      <c r="B3485">
        <v>4521.47</v>
      </c>
      <c r="C3485">
        <v>7568.82</v>
      </c>
      <c r="D3485">
        <v>16706.18</v>
      </c>
      <c r="E3485">
        <v>8880.5060400000002</v>
      </c>
      <c r="F3485">
        <v>10111.9</v>
      </c>
      <c r="G3485">
        <v>30353.29</v>
      </c>
    </row>
    <row r="3486" spans="1:7" x14ac:dyDescent="0.35">
      <c r="A3486" s="1">
        <v>45287</v>
      </c>
      <c r="B3486">
        <v>4528.38</v>
      </c>
      <c r="C3486">
        <v>7571.82</v>
      </c>
      <c r="D3486">
        <v>16742.07</v>
      </c>
      <c r="E3486">
        <v>8897.0833399999992</v>
      </c>
      <c r="F3486">
        <v>10121.799999999999</v>
      </c>
      <c r="G3486">
        <v>30421.51</v>
      </c>
    </row>
    <row r="3487" spans="1:7" x14ac:dyDescent="0.35">
      <c r="A3487" s="1">
        <v>45288</v>
      </c>
      <c r="B3487">
        <v>4514.38</v>
      </c>
      <c r="C3487">
        <v>7535.16</v>
      </c>
      <c r="D3487">
        <v>16701.55</v>
      </c>
      <c r="E3487">
        <v>8883.8707699999995</v>
      </c>
      <c r="F3487">
        <v>10086.200000000001</v>
      </c>
      <c r="G3487">
        <v>30331.17</v>
      </c>
    </row>
    <row r="3488" spans="1:7" x14ac:dyDescent="0.35">
      <c r="A3488" s="1">
        <v>45289</v>
      </c>
      <c r="B3488">
        <v>4521.4399999999996</v>
      </c>
      <c r="C3488">
        <v>7543.18</v>
      </c>
      <c r="D3488">
        <v>16751.64</v>
      </c>
      <c r="E3488">
        <v>8920.7648300000001</v>
      </c>
      <c r="F3488">
        <v>10102.1</v>
      </c>
      <c r="G3488">
        <v>30351.62</v>
      </c>
    </row>
    <row r="3489" spans="1:7" x14ac:dyDescent="0.35">
      <c r="A3489" s="1">
        <v>45293</v>
      </c>
      <c r="B3489">
        <v>4512.8100000000004</v>
      </c>
      <c r="C3489">
        <v>7530.86</v>
      </c>
      <c r="D3489">
        <v>16769.36</v>
      </c>
      <c r="E3489">
        <v>8907.4935800000003</v>
      </c>
      <c r="F3489">
        <v>10182.1</v>
      </c>
      <c r="G3489">
        <v>30524.63</v>
      </c>
    </row>
    <row r="3490" spans="1:7" x14ac:dyDescent="0.35">
      <c r="A3490" s="1">
        <v>45294</v>
      </c>
      <c r="B3490">
        <v>4448.13</v>
      </c>
      <c r="C3490">
        <v>7411.86</v>
      </c>
      <c r="D3490">
        <v>16538.39</v>
      </c>
      <c r="E3490">
        <v>8906.4878399999998</v>
      </c>
      <c r="F3490">
        <v>10053.4</v>
      </c>
      <c r="G3490">
        <v>30100.84</v>
      </c>
    </row>
    <row r="3491" spans="1:7" x14ac:dyDescent="0.35">
      <c r="A3491" s="1">
        <v>45295</v>
      </c>
      <c r="B3491">
        <v>4474.01</v>
      </c>
      <c r="C3491">
        <v>7450.63</v>
      </c>
      <c r="D3491">
        <v>16617.29</v>
      </c>
      <c r="E3491">
        <v>8945.3604400000004</v>
      </c>
      <c r="F3491">
        <v>10182.4</v>
      </c>
      <c r="G3491">
        <v>30403.96</v>
      </c>
    </row>
    <row r="3492" spans="1:7" x14ac:dyDescent="0.35">
      <c r="A3492" s="1">
        <v>45296</v>
      </c>
      <c r="B3492">
        <v>4463.51</v>
      </c>
      <c r="C3492">
        <v>7420.69</v>
      </c>
      <c r="D3492">
        <v>16594.21</v>
      </c>
      <c r="E3492">
        <v>8938.6623099999997</v>
      </c>
      <c r="F3492">
        <v>10164.5</v>
      </c>
      <c r="G3492">
        <v>30440.95</v>
      </c>
    </row>
    <row r="3493" spans="1:7" x14ac:dyDescent="0.35">
      <c r="A3493" s="1">
        <v>45299</v>
      </c>
      <c r="B3493">
        <v>4485.4799999999996</v>
      </c>
      <c r="C3493">
        <v>7450.24</v>
      </c>
      <c r="D3493">
        <v>16716.47</v>
      </c>
      <c r="E3493">
        <v>8950.2410799999998</v>
      </c>
      <c r="F3493">
        <v>10209</v>
      </c>
      <c r="G3493">
        <v>30569.919999999998</v>
      </c>
    </row>
    <row r="3494" spans="1:7" x14ac:dyDescent="0.35">
      <c r="A3494" s="1">
        <v>45300</v>
      </c>
      <c r="B3494">
        <v>4467.17</v>
      </c>
      <c r="C3494">
        <v>7426.62</v>
      </c>
      <c r="D3494">
        <v>16688.36</v>
      </c>
      <c r="E3494">
        <v>8932.7616199999993</v>
      </c>
      <c r="F3494">
        <v>10060.299999999999</v>
      </c>
      <c r="G3494">
        <v>30408.78</v>
      </c>
    </row>
    <row r="3495" spans="1:7" x14ac:dyDescent="0.35">
      <c r="A3495" s="1">
        <v>45301</v>
      </c>
      <c r="B3495">
        <v>4468.9799999999996</v>
      </c>
      <c r="C3495">
        <v>7426.08</v>
      </c>
      <c r="D3495">
        <v>16689.810000000001</v>
      </c>
      <c r="E3495">
        <v>8884.6094499999999</v>
      </c>
      <c r="F3495">
        <v>10067.1</v>
      </c>
      <c r="G3495">
        <v>30450.78</v>
      </c>
    </row>
    <row r="3496" spans="1:7" x14ac:dyDescent="0.35">
      <c r="A3496" s="1">
        <v>45302</v>
      </c>
      <c r="B3496">
        <v>4442.28</v>
      </c>
      <c r="C3496">
        <v>7387.62</v>
      </c>
      <c r="D3496">
        <v>16547.03</v>
      </c>
      <c r="E3496">
        <v>8801.1872299999995</v>
      </c>
      <c r="F3496">
        <v>10004.9</v>
      </c>
      <c r="G3496">
        <v>30249.16</v>
      </c>
    </row>
    <row r="3497" spans="1:7" x14ac:dyDescent="0.35">
      <c r="A3497" s="1">
        <v>45303</v>
      </c>
      <c r="B3497">
        <v>4480.0200000000004</v>
      </c>
      <c r="C3497">
        <v>7465.14</v>
      </c>
      <c r="D3497">
        <v>16704.560000000001</v>
      </c>
      <c r="E3497">
        <v>8871.3797400000003</v>
      </c>
      <c r="F3497">
        <v>10094.799999999999</v>
      </c>
      <c r="G3497">
        <v>30470.55</v>
      </c>
    </row>
    <row r="3498" spans="1:7" x14ac:dyDescent="0.35">
      <c r="A3498" s="1">
        <v>45306</v>
      </c>
      <c r="B3498">
        <v>4454.68</v>
      </c>
      <c r="C3498">
        <v>7411.68</v>
      </c>
      <c r="D3498">
        <v>16622.22</v>
      </c>
      <c r="E3498">
        <v>8830.4356399999997</v>
      </c>
      <c r="F3498">
        <v>10076.9</v>
      </c>
      <c r="G3498">
        <v>30327.72</v>
      </c>
    </row>
    <row r="3499" spans="1:7" x14ac:dyDescent="0.35">
      <c r="A3499" s="1">
        <v>45307</v>
      </c>
      <c r="B3499">
        <v>4446.51</v>
      </c>
      <c r="C3499">
        <v>7398</v>
      </c>
      <c r="D3499">
        <v>16571.68</v>
      </c>
      <c r="E3499">
        <v>8784.3176399999993</v>
      </c>
      <c r="F3499">
        <v>9994.1</v>
      </c>
      <c r="G3499">
        <v>30337.62</v>
      </c>
    </row>
    <row r="3500" spans="1:7" x14ac:dyDescent="0.35">
      <c r="A3500" s="1">
        <v>45308</v>
      </c>
      <c r="B3500">
        <v>4403.08</v>
      </c>
      <c r="C3500">
        <v>7318.69</v>
      </c>
      <c r="D3500">
        <v>16431.689999999999</v>
      </c>
      <c r="E3500">
        <v>8687.9093499999999</v>
      </c>
      <c r="F3500">
        <v>9867.7999999999993</v>
      </c>
      <c r="G3500">
        <v>30098.86</v>
      </c>
    </row>
    <row r="3501" spans="1:7" x14ac:dyDescent="0.35">
      <c r="A3501" s="1">
        <v>45309</v>
      </c>
      <c r="B3501">
        <v>4453.05</v>
      </c>
      <c r="C3501">
        <v>7401.35</v>
      </c>
      <c r="D3501">
        <v>16567.349999999999</v>
      </c>
      <c r="E3501">
        <v>8709.8269099999998</v>
      </c>
      <c r="F3501">
        <v>9880.2999999999993</v>
      </c>
      <c r="G3501">
        <v>30350.53</v>
      </c>
    </row>
    <row r="3502" spans="1:7" x14ac:dyDescent="0.35">
      <c r="A3502" s="1">
        <v>45310</v>
      </c>
      <c r="B3502">
        <v>4448.83</v>
      </c>
      <c r="C3502">
        <v>7371.64</v>
      </c>
      <c r="D3502">
        <v>16555.13</v>
      </c>
      <c r="E3502">
        <v>8693.9364399999995</v>
      </c>
      <c r="F3502">
        <v>9858.2999999999993</v>
      </c>
      <c r="G3502">
        <v>30283.61</v>
      </c>
    </row>
    <row r="3503" spans="1:7" x14ac:dyDescent="0.35">
      <c r="A3503" s="1">
        <v>45313</v>
      </c>
      <c r="B3503">
        <v>4480.32</v>
      </c>
      <c r="C3503">
        <v>7413.25</v>
      </c>
      <c r="D3503">
        <v>16683.36</v>
      </c>
      <c r="E3503">
        <v>8741.8464499999991</v>
      </c>
      <c r="F3503">
        <v>9968.1</v>
      </c>
      <c r="G3503">
        <v>30182.32</v>
      </c>
    </row>
    <row r="3504" spans="1:7" x14ac:dyDescent="0.35">
      <c r="A3504" s="1">
        <v>45314</v>
      </c>
      <c r="B3504">
        <v>4465.91</v>
      </c>
      <c r="C3504">
        <v>7388.04</v>
      </c>
      <c r="D3504">
        <v>16627.09</v>
      </c>
      <c r="E3504">
        <v>8747.6338899999992</v>
      </c>
      <c r="F3504">
        <v>9859.2000000000007</v>
      </c>
      <c r="G3504">
        <v>30077.46</v>
      </c>
    </row>
    <row r="3505" spans="1:7" x14ac:dyDescent="0.35">
      <c r="A3505" s="1">
        <v>45315</v>
      </c>
      <c r="B3505">
        <v>4564.1099999999997</v>
      </c>
      <c r="C3505">
        <v>7455.64</v>
      </c>
      <c r="D3505">
        <v>16889.919999999998</v>
      </c>
      <c r="E3505">
        <v>8799.8842000000004</v>
      </c>
      <c r="F3505">
        <v>9974</v>
      </c>
      <c r="G3505">
        <v>30338.35</v>
      </c>
    </row>
    <row r="3506" spans="1:7" x14ac:dyDescent="0.35">
      <c r="A3506" s="1">
        <v>45316</v>
      </c>
      <c r="B3506">
        <v>4582.26</v>
      </c>
      <c r="C3506">
        <v>7464.2</v>
      </c>
      <c r="D3506">
        <v>16906.919999999998</v>
      </c>
      <c r="E3506">
        <v>8816.4120399999993</v>
      </c>
      <c r="F3506">
        <v>9916.6</v>
      </c>
      <c r="G3506">
        <v>30157.8</v>
      </c>
    </row>
    <row r="3507" spans="1:7" x14ac:dyDescent="0.35">
      <c r="A3507" s="1">
        <v>45317</v>
      </c>
      <c r="B3507">
        <v>4635.47</v>
      </c>
      <c r="C3507">
        <v>7634.14</v>
      </c>
      <c r="D3507">
        <v>16961.39</v>
      </c>
      <c r="E3507">
        <v>8934.5452100000002</v>
      </c>
      <c r="F3507">
        <v>9936.6</v>
      </c>
      <c r="G3507">
        <v>30379.33</v>
      </c>
    </row>
    <row r="3508" spans="1:7" x14ac:dyDescent="0.35">
      <c r="A3508" s="1">
        <v>45320</v>
      </c>
      <c r="B3508">
        <v>4639.3599999999997</v>
      </c>
      <c r="C3508">
        <v>7640.81</v>
      </c>
      <c r="D3508">
        <v>16941.71</v>
      </c>
      <c r="E3508">
        <v>8953.5739400000002</v>
      </c>
      <c r="F3508">
        <v>9890.2999999999993</v>
      </c>
      <c r="G3508">
        <v>30233.61</v>
      </c>
    </row>
    <row r="3509" spans="1:7" x14ac:dyDescent="0.35">
      <c r="A3509" s="1">
        <v>45321</v>
      </c>
      <c r="B3509">
        <v>4662.7</v>
      </c>
      <c r="C3509">
        <v>7677.47</v>
      </c>
      <c r="D3509">
        <v>16972.34</v>
      </c>
      <c r="E3509">
        <v>8969.1371099999997</v>
      </c>
      <c r="F3509">
        <v>10039.299999999999</v>
      </c>
      <c r="G3509">
        <v>30623.27</v>
      </c>
    </row>
    <row r="3510" spans="1:7" x14ac:dyDescent="0.35">
      <c r="A3510" s="1">
        <v>45322</v>
      </c>
      <c r="B3510">
        <v>4648.3999999999996</v>
      </c>
      <c r="C3510">
        <v>7656.75</v>
      </c>
      <c r="D3510">
        <v>16903.759999999998</v>
      </c>
      <c r="E3510">
        <v>8944.2939399999996</v>
      </c>
      <c r="F3510">
        <v>10077.700000000001</v>
      </c>
      <c r="G3510">
        <v>30744.240000000002</v>
      </c>
    </row>
    <row r="3511" spans="1:7" x14ac:dyDescent="0.35">
      <c r="A3511" s="1">
        <v>45323</v>
      </c>
      <c r="B3511">
        <v>4638.6000000000004</v>
      </c>
      <c r="C3511">
        <v>7588.75</v>
      </c>
      <c r="D3511">
        <v>16859.04</v>
      </c>
      <c r="E3511">
        <v>8928.8560600000001</v>
      </c>
      <c r="F3511">
        <v>10014</v>
      </c>
      <c r="G3511">
        <v>30689.11</v>
      </c>
    </row>
    <row r="3512" spans="1:7" x14ac:dyDescent="0.35">
      <c r="A3512" s="1">
        <v>45324</v>
      </c>
      <c r="B3512">
        <v>4654.55</v>
      </c>
      <c r="C3512">
        <v>7592.26</v>
      </c>
      <c r="D3512">
        <v>16918.21</v>
      </c>
      <c r="E3512">
        <v>8911.3964400000004</v>
      </c>
      <c r="F3512">
        <v>10062.5</v>
      </c>
      <c r="G3512">
        <v>30717.95</v>
      </c>
    </row>
    <row r="3513" spans="1:7" x14ac:dyDescent="0.35">
      <c r="A3513" s="1">
        <v>45327</v>
      </c>
      <c r="B3513">
        <v>4655.2700000000004</v>
      </c>
      <c r="C3513">
        <v>7589.96</v>
      </c>
      <c r="D3513">
        <v>16904.060000000001</v>
      </c>
      <c r="E3513">
        <v>8886.7504399999998</v>
      </c>
      <c r="F3513">
        <v>9941.2999999999993</v>
      </c>
      <c r="G3513">
        <v>30952.79</v>
      </c>
    </row>
    <row r="3514" spans="1:7" x14ac:dyDescent="0.35">
      <c r="A3514" s="1">
        <v>45328</v>
      </c>
      <c r="B3514">
        <v>4690.87</v>
      </c>
      <c r="C3514">
        <v>7638.97</v>
      </c>
      <c r="D3514">
        <v>17033.240000000002</v>
      </c>
      <c r="E3514">
        <v>8998.4485999999997</v>
      </c>
      <c r="F3514">
        <v>10003</v>
      </c>
      <c r="G3514">
        <v>31116.75</v>
      </c>
    </row>
    <row r="3515" spans="1:7" x14ac:dyDescent="0.35">
      <c r="A3515" s="1">
        <v>45329</v>
      </c>
      <c r="B3515">
        <v>4678.8500000000004</v>
      </c>
      <c r="C3515">
        <v>7611.26</v>
      </c>
      <c r="D3515">
        <v>16921.96</v>
      </c>
      <c r="E3515">
        <v>8945.4446100000005</v>
      </c>
      <c r="F3515">
        <v>9888.2000000000007</v>
      </c>
      <c r="G3515">
        <v>30976.02</v>
      </c>
    </row>
    <row r="3516" spans="1:7" x14ac:dyDescent="0.35">
      <c r="A3516" s="1">
        <v>45330</v>
      </c>
      <c r="B3516">
        <v>4710.78</v>
      </c>
      <c r="C3516">
        <v>7665.63</v>
      </c>
      <c r="D3516">
        <v>16963.830000000002</v>
      </c>
      <c r="E3516">
        <v>8895.5881499999996</v>
      </c>
      <c r="F3516">
        <v>9905.4</v>
      </c>
      <c r="G3516">
        <v>31064.15</v>
      </c>
    </row>
    <row r="3517" spans="1:7" x14ac:dyDescent="0.35">
      <c r="A3517" s="1">
        <v>45331</v>
      </c>
      <c r="B3517">
        <v>4715.87</v>
      </c>
      <c r="C3517">
        <v>7647.52</v>
      </c>
      <c r="D3517">
        <v>16926.5</v>
      </c>
      <c r="E3517">
        <v>8867.2061400000002</v>
      </c>
      <c r="F3517">
        <v>9896.6</v>
      </c>
      <c r="G3517">
        <v>31156.06</v>
      </c>
    </row>
    <row r="3518" spans="1:7" x14ac:dyDescent="0.35">
      <c r="A3518" s="1">
        <v>45334</v>
      </c>
      <c r="B3518">
        <v>4746.3500000000004</v>
      </c>
      <c r="C3518">
        <v>7689.8</v>
      </c>
      <c r="D3518">
        <v>17037.349999999999</v>
      </c>
      <c r="E3518">
        <v>8878.8204000000005</v>
      </c>
      <c r="F3518">
        <v>9984.7000000000007</v>
      </c>
      <c r="G3518">
        <v>31456.73</v>
      </c>
    </row>
    <row r="3519" spans="1:7" x14ac:dyDescent="0.35">
      <c r="A3519" s="1">
        <v>45335</v>
      </c>
      <c r="B3519">
        <v>4689.28</v>
      </c>
      <c r="C3519">
        <v>7625.31</v>
      </c>
      <c r="D3519">
        <v>16880.830000000002</v>
      </c>
      <c r="E3519">
        <v>8833.8523600000008</v>
      </c>
      <c r="F3519">
        <v>9925.4</v>
      </c>
      <c r="G3519">
        <v>31134.17</v>
      </c>
    </row>
    <row r="3520" spans="1:7" x14ac:dyDescent="0.35">
      <c r="A3520" s="1">
        <v>45336</v>
      </c>
      <c r="B3520">
        <v>4709.22</v>
      </c>
      <c r="C3520">
        <v>7677.35</v>
      </c>
      <c r="D3520">
        <v>16945.48</v>
      </c>
      <c r="E3520">
        <v>8861.1851299999998</v>
      </c>
      <c r="F3520">
        <v>9916.6</v>
      </c>
      <c r="G3520">
        <v>31329.38</v>
      </c>
    </row>
    <row r="3521" spans="1:7" x14ac:dyDescent="0.35">
      <c r="A3521" s="1">
        <v>45337</v>
      </c>
      <c r="B3521">
        <v>4743.17</v>
      </c>
      <c r="C3521">
        <v>7743.42</v>
      </c>
      <c r="D3521">
        <v>17046.689999999999</v>
      </c>
      <c r="E3521">
        <v>8885.9050499999994</v>
      </c>
      <c r="F3521">
        <v>9927.2999999999993</v>
      </c>
      <c r="G3521">
        <v>31694.44</v>
      </c>
    </row>
    <row r="3522" spans="1:7" x14ac:dyDescent="0.35">
      <c r="A3522" s="1">
        <v>45338</v>
      </c>
      <c r="B3522">
        <v>4765.6499999999996</v>
      </c>
      <c r="C3522">
        <v>7768.18</v>
      </c>
      <c r="D3522">
        <v>17117.439999999999</v>
      </c>
      <c r="E3522">
        <v>9021.0836600000002</v>
      </c>
      <c r="F3522">
        <v>9886.4</v>
      </c>
      <c r="G3522">
        <v>31732.39</v>
      </c>
    </row>
    <row r="3523" spans="1:7" x14ac:dyDescent="0.35">
      <c r="A3523" s="1">
        <v>45341</v>
      </c>
      <c r="B3523">
        <v>4763.07</v>
      </c>
      <c r="C3523">
        <v>7768.55</v>
      </c>
      <c r="D3523">
        <v>17092.259999999998</v>
      </c>
      <c r="E3523">
        <v>9030.2100499999997</v>
      </c>
      <c r="F3523">
        <v>9944.7999999999993</v>
      </c>
      <c r="G3523">
        <v>31676.05</v>
      </c>
    </row>
    <row r="3524" spans="1:7" x14ac:dyDescent="0.35">
      <c r="A3524" s="1">
        <v>45342</v>
      </c>
      <c r="B3524">
        <v>4760.28</v>
      </c>
      <c r="C3524">
        <v>7795.22</v>
      </c>
      <c r="D3524">
        <v>17068.43</v>
      </c>
      <c r="E3524">
        <v>9020.7379199999996</v>
      </c>
      <c r="F3524">
        <v>10038.200000000001</v>
      </c>
      <c r="G3524">
        <v>31701.48</v>
      </c>
    </row>
    <row r="3525" spans="1:7" x14ac:dyDescent="0.35">
      <c r="A3525" s="1">
        <v>45343</v>
      </c>
      <c r="B3525">
        <v>4775.3100000000004</v>
      </c>
      <c r="C3525">
        <v>7812.09</v>
      </c>
      <c r="D3525">
        <v>17118.12</v>
      </c>
      <c r="E3525">
        <v>8944.3214399999997</v>
      </c>
      <c r="F3525">
        <v>10107.200000000001</v>
      </c>
      <c r="G3525">
        <v>32018.400000000001</v>
      </c>
    </row>
    <row r="3526" spans="1:7" x14ac:dyDescent="0.35">
      <c r="A3526" s="1">
        <v>45344</v>
      </c>
      <c r="B3526">
        <v>4855.3599999999997</v>
      </c>
      <c r="C3526">
        <v>7911.6</v>
      </c>
      <c r="D3526">
        <v>17370.45</v>
      </c>
      <c r="E3526">
        <v>8989.1487899999993</v>
      </c>
      <c r="F3526">
        <v>10138.9</v>
      </c>
      <c r="G3526">
        <v>32356.26</v>
      </c>
    </row>
    <row r="3527" spans="1:7" x14ac:dyDescent="0.35">
      <c r="A3527" s="1">
        <v>45345</v>
      </c>
      <c r="B3527">
        <v>4872.57</v>
      </c>
      <c r="C3527">
        <v>7966.68</v>
      </c>
      <c r="D3527">
        <v>17419.330000000002</v>
      </c>
      <c r="E3527">
        <v>9025.4242799999993</v>
      </c>
      <c r="F3527">
        <v>10130.6</v>
      </c>
      <c r="G3527">
        <v>32700.92</v>
      </c>
    </row>
    <row r="3528" spans="1:7" x14ac:dyDescent="0.35">
      <c r="A3528" s="1">
        <v>45348</v>
      </c>
      <c r="B3528">
        <v>4864.29</v>
      </c>
      <c r="C3528">
        <v>7929.82</v>
      </c>
      <c r="D3528">
        <v>17423.23</v>
      </c>
      <c r="E3528">
        <v>8981.6677500000005</v>
      </c>
      <c r="F3528">
        <v>10138.4</v>
      </c>
      <c r="G3528">
        <v>32557.81</v>
      </c>
    </row>
    <row r="3529" spans="1:7" x14ac:dyDescent="0.35">
      <c r="A3529" s="1">
        <v>45349</v>
      </c>
      <c r="B3529">
        <v>4885.74</v>
      </c>
      <c r="C3529">
        <v>7948.4</v>
      </c>
      <c r="D3529">
        <v>17556.490000000002</v>
      </c>
      <c r="E3529">
        <v>8982.28658</v>
      </c>
      <c r="F3529">
        <v>10113.799999999999</v>
      </c>
      <c r="G3529">
        <v>32706.44</v>
      </c>
    </row>
    <row r="3530" spans="1:7" x14ac:dyDescent="0.35">
      <c r="A3530" s="1">
        <v>45350</v>
      </c>
      <c r="B3530">
        <v>4883.7700000000004</v>
      </c>
      <c r="C3530">
        <v>7954.39</v>
      </c>
      <c r="D3530">
        <v>17601.22</v>
      </c>
      <c r="E3530">
        <v>8906.8321500000002</v>
      </c>
      <c r="F3530">
        <v>10068.6</v>
      </c>
      <c r="G3530">
        <v>32617.96</v>
      </c>
    </row>
    <row r="3531" spans="1:7" x14ac:dyDescent="0.35">
      <c r="A3531" s="1">
        <v>45351</v>
      </c>
      <c r="B3531">
        <v>4877.7700000000004</v>
      </c>
      <c r="C3531">
        <v>7927.43</v>
      </c>
      <c r="D3531">
        <v>17678.189999999999</v>
      </c>
      <c r="E3531">
        <v>8914.4066999999995</v>
      </c>
      <c r="F3531">
        <v>10001.299999999999</v>
      </c>
      <c r="G3531">
        <v>32580.94</v>
      </c>
    </row>
    <row r="3532" spans="1:7" x14ac:dyDescent="0.35">
      <c r="A3532" s="1">
        <v>45352</v>
      </c>
      <c r="B3532">
        <v>4894.8599999999997</v>
      </c>
      <c r="C3532">
        <v>7934.17</v>
      </c>
      <c r="D3532">
        <v>17735.07</v>
      </c>
      <c r="E3532">
        <v>8971.1865699999998</v>
      </c>
      <c r="F3532">
        <v>10064.700000000001</v>
      </c>
      <c r="G3532">
        <v>32934.29</v>
      </c>
    </row>
    <row r="3533" spans="1:7" x14ac:dyDescent="0.35">
      <c r="A3533" s="1">
        <v>45355</v>
      </c>
      <c r="B3533">
        <v>4912.92</v>
      </c>
      <c r="C3533">
        <v>7956.41</v>
      </c>
      <c r="D3533">
        <v>17716.169999999998</v>
      </c>
      <c r="E3533">
        <v>8933.6553399999993</v>
      </c>
      <c r="F3533">
        <v>10069.799999999999</v>
      </c>
      <c r="G3533">
        <v>32912.339999999997</v>
      </c>
    </row>
    <row r="3534" spans="1:7" x14ac:dyDescent="0.35">
      <c r="A3534" s="1">
        <v>45356</v>
      </c>
      <c r="B3534">
        <v>4893.07</v>
      </c>
      <c r="C3534">
        <v>7932.82</v>
      </c>
      <c r="D3534">
        <v>17698.400000000001</v>
      </c>
      <c r="E3534">
        <v>8949.3867200000004</v>
      </c>
      <c r="F3534">
        <v>10117.1</v>
      </c>
      <c r="G3534">
        <v>33146.160000000003</v>
      </c>
    </row>
    <row r="3535" spans="1:7" x14ac:dyDescent="0.35">
      <c r="A3535" s="1">
        <v>45357</v>
      </c>
      <c r="B3535">
        <v>4915.49</v>
      </c>
      <c r="C3535">
        <v>7954.74</v>
      </c>
      <c r="D3535">
        <v>17716.71</v>
      </c>
      <c r="E3535">
        <v>8976.8048699999999</v>
      </c>
      <c r="F3535">
        <v>10197.200000000001</v>
      </c>
      <c r="G3535">
        <v>33363.839999999997</v>
      </c>
    </row>
    <row r="3536" spans="1:7" x14ac:dyDescent="0.35">
      <c r="A3536" s="1">
        <v>45358</v>
      </c>
      <c r="B3536">
        <v>4974.22</v>
      </c>
      <c r="C3536">
        <v>8016.22</v>
      </c>
      <c r="D3536">
        <v>17842.849999999999</v>
      </c>
      <c r="E3536">
        <v>8997.16086</v>
      </c>
      <c r="F3536">
        <v>10319.6</v>
      </c>
      <c r="G3536">
        <v>33418.68</v>
      </c>
    </row>
    <row r="3537" spans="1:7" x14ac:dyDescent="0.35">
      <c r="A3537" s="1">
        <v>45359</v>
      </c>
      <c r="B3537">
        <v>4961.1099999999997</v>
      </c>
      <c r="C3537">
        <v>8028.01</v>
      </c>
      <c r="D3537">
        <v>17814.509999999998</v>
      </c>
      <c r="E3537">
        <v>8997.1660400000001</v>
      </c>
      <c r="F3537">
        <v>10305.700000000001</v>
      </c>
      <c r="G3537">
        <v>33403.800000000003</v>
      </c>
    </row>
    <row r="3538" spans="1:7" x14ac:dyDescent="0.35">
      <c r="A3538" s="1">
        <v>45362</v>
      </c>
      <c r="B3538">
        <v>4930.42</v>
      </c>
      <c r="C3538">
        <v>8019.73</v>
      </c>
      <c r="D3538">
        <v>17746.27</v>
      </c>
      <c r="E3538">
        <v>8991.7773099999995</v>
      </c>
      <c r="F3538">
        <v>10325.700000000001</v>
      </c>
      <c r="G3538">
        <v>33315.07</v>
      </c>
    </row>
    <row r="3539" spans="1:7" x14ac:dyDescent="0.35">
      <c r="A3539" s="1">
        <v>45363</v>
      </c>
      <c r="B3539">
        <v>4983.2</v>
      </c>
      <c r="C3539">
        <v>8087.48</v>
      </c>
      <c r="D3539">
        <v>17965.11</v>
      </c>
      <c r="E3539">
        <v>9071.1606400000001</v>
      </c>
      <c r="F3539">
        <v>10388.9</v>
      </c>
      <c r="G3539">
        <v>33753.120000000003</v>
      </c>
    </row>
    <row r="3540" spans="1:7" x14ac:dyDescent="0.35">
      <c r="A3540" s="1">
        <v>45364</v>
      </c>
      <c r="B3540">
        <v>5000.55</v>
      </c>
      <c r="C3540">
        <v>8137.58</v>
      </c>
      <c r="D3540">
        <v>17961.38</v>
      </c>
      <c r="E3540">
        <v>9084.4374499999994</v>
      </c>
      <c r="F3540">
        <v>10560.5</v>
      </c>
      <c r="G3540">
        <v>33885.43</v>
      </c>
    </row>
    <row r="3541" spans="1:7" x14ac:dyDescent="0.35">
      <c r="A3541" s="1">
        <v>45365</v>
      </c>
      <c r="B3541">
        <v>4993.12</v>
      </c>
      <c r="C3541">
        <v>8161.42</v>
      </c>
      <c r="D3541">
        <v>17942.04</v>
      </c>
      <c r="E3541">
        <v>9068.8808300000001</v>
      </c>
      <c r="F3541">
        <v>10490.5</v>
      </c>
      <c r="G3541">
        <v>33786.18</v>
      </c>
    </row>
    <row r="3542" spans="1:7" x14ac:dyDescent="0.35">
      <c r="A3542" s="1">
        <v>45366</v>
      </c>
      <c r="B3542">
        <v>4986.0200000000004</v>
      </c>
      <c r="C3542">
        <v>8164.35</v>
      </c>
      <c r="D3542">
        <v>17936.650000000001</v>
      </c>
      <c r="E3542">
        <v>9037.3327100000006</v>
      </c>
      <c r="F3542">
        <v>10597.9</v>
      </c>
      <c r="G3542">
        <v>33940.03</v>
      </c>
    </row>
    <row r="3543" spans="1:7" x14ac:dyDescent="0.35">
      <c r="A3543" s="1">
        <v>45369</v>
      </c>
      <c r="B3543">
        <v>4982.76</v>
      </c>
      <c r="C3543">
        <v>8148.14</v>
      </c>
      <c r="D3543">
        <v>17932.68</v>
      </c>
      <c r="E3543">
        <v>9041.2594300000001</v>
      </c>
      <c r="F3543">
        <v>10596.7</v>
      </c>
      <c r="G3543">
        <v>33940.959999999999</v>
      </c>
    </row>
    <row r="3544" spans="1:7" x14ac:dyDescent="0.35">
      <c r="A3544" s="1">
        <v>45370</v>
      </c>
      <c r="B3544">
        <v>5007.92</v>
      </c>
      <c r="C3544">
        <v>8201.0499999999993</v>
      </c>
      <c r="D3544">
        <v>17987.490000000002</v>
      </c>
      <c r="E3544">
        <v>9067.4299499999997</v>
      </c>
      <c r="F3544">
        <v>10701.4</v>
      </c>
      <c r="G3544">
        <v>34262.36</v>
      </c>
    </row>
    <row r="3545" spans="1:7" x14ac:dyDescent="0.35">
      <c r="A3545" s="1">
        <v>45371</v>
      </c>
      <c r="B3545">
        <v>5000.3100000000004</v>
      </c>
      <c r="C3545">
        <v>8161.41</v>
      </c>
      <c r="D3545">
        <v>18015.13</v>
      </c>
      <c r="E3545">
        <v>9059.2299000000003</v>
      </c>
      <c r="F3545">
        <v>10752.5</v>
      </c>
      <c r="G3545">
        <v>34293.29</v>
      </c>
    </row>
    <row r="3546" spans="1:7" x14ac:dyDescent="0.35">
      <c r="A3546" s="1">
        <v>45372</v>
      </c>
      <c r="B3546">
        <v>5052.3100000000004</v>
      </c>
      <c r="C3546">
        <v>8179.72</v>
      </c>
      <c r="D3546">
        <v>18179.25</v>
      </c>
      <c r="E3546">
        <v>9187.8387199999997</v>
      </c>
      <c r="F3546">
        <v>10867.5</v>
      </c>
      <c r="G3546">
        <v>34327.949999999997</v>
      </c>
    </row>
    <row r="3547" spans="1:7" x14ac:dyDescent="0.35">
      <c r="A3547" s="1">
        <v>45373</v>
      </c>
      <c r="B3547">
        <v>5031.1499999999996</v>
      </c>
      <c r="C3547">
        <v>8151.92</v>
      </c>
      <c r="D3547">
        <v>18205.939999999999</v>
      </c>
      <c r="E3547">
        <v>9241.7309499999992</v>
      </c>
      <c r="F3547">
        <v>10943.2</v>
      </c>
      <c r="G3547">
        <v>34343.61</v>
      </c>
    </row>
    <row r="3548" spans="1:7" x14ac:dyDescent="0.35">
      <c r="A3548" s="1">
        <v>45376</v>
      </c>
      <c r="B3548">
        <v>5044.1899999999996</v>
      </c>
      <c r="C3548">
        <v>8151.6</v>
      </c>
      <c r="D3548">
        <v>18261.310000000001</v>
      </c>
      <c r="E3548">
        <v>9234.8514200000009</v>
      </c>
      <c r="F3548">
        <v>10952.2</v>
      </c>
      <c r="G3548">
        <v>34639.410000000003</v>
      </c>
    </row>
    <row r="3549" spans="1:7" x14ac:dyDescent="0.35">
      <c r="A3549" s="1">
        <v>45377</v>
      </c>
      <c r="B3549">
        <v>5064.18</v>
      </c>
      <c r="C3549">
        <v>8184.75</v>
      </c>
      <c r="D3549">
        <v>18384.349999999999</v>
      </c>
      <c r="E3549">
        <v>9246.0744099999993</v>
      </c>
      <c r="F3549">
        <v>10991.5</v>
      </c>
      <c r="G3549">
        <v>34688.17</v>
      </c>
    </row>
    <row r="3550" spans="1:7" x14ac:dyDescent="0.35">
      <c r="A3550" s="1">
        <v>45378</v>
      </c>
      <c r="B3550">
        <v>5081.74</v>
      </c>
      <c r="C3550">
        <v>8204.81</v>
      </c>
      <c r="D3550">
        <v>18477.09</v>
      </c>
      <c r="E3550">
        <v>9258.2533899999999</v>
      </c>
      <c r="F3550">
        <v>11111.3</v>
      </c>
      <c r="G3550">
        <v>34759.69</v>
      </c>
    </row>
    <row r="3551" spans="1:7" x14ac:dyDescent="0.35">
      <c r="A3551" s="1">
        <v>45379</v>
      </c>
      <c r="B3551">
        <v>5083.42</v>
      </c>
      <c r="C3551">
        <v>8205.81</v>
      </c>
      <c r="D3551">
        <v>18492.490000000002</v>
      </c>
      <c r="E3551">
        <v>9299.9099200000001</v>
      </c>
      <c r="F3551">
        <v>11074.6</v>
      </c>
      <c r="G3551">
        <v>34750.35</v>
      </c>
    </row>
    <row r="3552" spans="1:7" x14ac:dyDescent="0.35">
      <c r="A3552" s="1">
        <v>45384</v>
      </c>
      <c r="B3552">
        <v>5042</v>
      </c>
      <c r="C3552">
        <v>8130.05</v>
      </c>
      <c r="D3552">
        <v>18283.13</v>
      </c>
      <c r="E3552">
        <v>9264.4828600000001</v>
      </c>
      <c r="F3552">
        <v>10975.6</v>
      </c>
      <c r="G3552">
        <v>34325.230000000003</v>
      </c>
    </row>
    <row r="3553" spans="1:7" x14ac:dyDescent="0.35">
      <c r="A3553" s="1">
        <v>45385</v>
      </c>
      <c r="B3553">
        <v>5069.25</v>
      </c>
      <c r="C3553">
        <v>8153.23</v>
      </c>
      <c r="D3553">
        <v>18367.72</v>
      </c>
      <c r="E3553">
        <v>9267.5529700000006</v>
      </c>
      <c r="F3553">
        <v>11032.3</v>
      </c>
      <c r="G3553">
        <v>34480.870000000003</v>
      </c>
    </row>
    <row r="3554" spans="1:7" x14ac:dyDescent="0.35">
      <c r="A3554" s="1">
        <v>45386</v>
      </c>
      <c r="B3554">
        <v>5070.76</v>
      </c>
      <c r="C3554">
        <v>8151.55</v>
      </c>
      <c r="D3554">
        <v>18403.13</v>
      </c>
      <c r="E3554">
        <v>9303.1239299999997</v>
      </c>
      <c r="F3554">
        <v>11090.9</v>
      </c>
      <c r="G3554">
        <v>34454.58</v>
      </c>
    </row>
    <row r="3555" spans="1:7" x14ac:dyDescent="0.35">
      <c r="A3555" s="1">
        <v>45387</v>
      </c>
      <c r="B3555">
        <v>5014.75</v>
      </c>
      <c r="C3555">
        <v>8061.31</v>
      </c>
      <c r="D3555">
        <v>18175.04</v>
      </c>
      <c r="E3555">
        <v>9224.5761000000002</v>
      </c>
      <c r="F3555">
        <v>10916</v>
      </c>
      <c r="G3555">
        <v>34010.879999999997</v>
      </c>
    </row>
    <row r="3556" spans="1:7" x14ac:dyDescent="0.35">
      <c r="A3556" s="1">
        <v>45390</v>
      </c>
      <c r="B3556">
        <v>5046.05</v>
      </c>
      <c r="C3556">
        <v>8119.3</v>
      </c>
      <c r="D3556">
        <v>18318.97</v>
      </c>
      <c r="E3556">
        <v>9259.81646</v>
      </c>
      <c r="F3556">
        <v>10911.8</v>
      </c>
      <c r="G3556">
        <v>34315.96</v>
      </c>
    </row>
    <row r="3557" spans="1:7" x14ac:dyDescent="0.35">
      <c r="A3557" s="1">
        <v>45391</v>
      </c>
      <c r="B3557">
        <v>4990.8999999999996</v>
      </c>
      <c r="C3557">
        <v>8049.17</v>
      </c>
      <c r="D3557">
        <v>18076.689999999999</v>
      </c>
      <c r="E3557">
        <v>9261.5190500000008</v>
      </c>
      <c r="F3557">
        <v>10816</v>
      </c>
      <c r="G3557">
        <v>33946.29</v>
      </c>
    </row>
    <row r="3558" spans="1:7" x14ac:dyDescent="0.35">
      <c r="A3558" s="1">
        <v>45392</v>
      </c>
      <c r="B3558">
        <v>5000.83</v>
      </c>
      <c r="C3558">
        <v>8045.38</v>
      </c>
      <c r="D3558">
        <v>18097.3</v>
      </c>
      <c r="E3558">
        <v>9294.50504</v>
      </c>
      <c r="F3558">
        <v>10775</v>
      </c>
      <c r="G3558">
        <v>34039.629999999997</v>
      </c>
    </row>
    <row r="3559" spans="1:7" x14ac:dyDescent="0.35">
      <c r="A3559" s="1">
        <v>45393</v>
      </c>
      <c r="B3559">
        <v>4966.68</v>
      </c>
      <c r="C3559">
        <v>8023.74</v>
      </c>
      <c r="D3559">
        <v>17954.48</v>
      </c>
      <c r="E3559">
        <v>9268.5837499999998</v>
      </c>
      <c r="F3559">
        <v>10649.8</v>
      </c>
      <c r="G3559">
        <v>33713.94</v>
      </c>
    </row>
    <row r="3560" spans="1:7" x14ac:dyDescent="0.35">
      <c r="A3560" s="1">
        <v>45394</v>
      </c>
      <c r="B3560">
        <v>4955.01</v>
      </c>
      <c r="C3560">
        <v>8010.83</v>
      </c>
      <c r="D3560">
        <v>17930.32</v>
      </c>
      <c r="E3560">
        <v>9353.2207699999999</v>
      </c>
      <c r="F3560">
        <v>10686</v>
      </c>
      <c r="G3560">
        <v>33764.15</v>
      </c>
    </row>
    <row r="3561" spans="1:7" x14ac:dyDescent="0.35">
      <c r="A3561" s="1">
        <v>45397</v>
      </c>
      <c r="B3561">
        <v>4984.4799999999996</v>
      </c>
      <c r="C3561">
        <v>8045.11</v>
      </c>
      <c r="D3561">
        <v>18026.580000000002</v>
      </c>
      <c r="E3561">
        <v>9330.0651300000009</v>
      </c>
      <c r="F3561">
        <v>10687.2</v>
      </c>
      <c r="G3561">
        <v>33954.28</v>
      </c>
    </row>
    <row r="3562" spans="1:7" x14ac:dyDescent="0.35">
      <c r="A3562" s="1">
        <v>45398</v>
      </c>
      <c r="B3562">
        <v>4916.99</v>
      </c>
      <c r="C3562">
        <v>7932.61</v>
      </c>
      <c r="D3562">
        <v>17766.23</v>
      </c>
      <c r="E3562">
        <v>9152.5813300000009</v>
      </c>
      <c r="F3562">
        <v>10526.9</v>
      </c>
      <c r="G3562">
        <v>33393.85</v>
      </c>
    </row>
    <row r="3563" spans="1:7" x14ac:dyDescent="0.35">
      <c r="A3563" s="1">
        <v>45399</v>
      </c>
      <c r="B3563">
        <v>4914.13</v>
      </c>
      <c r="C3563">
        <v>7981.51</v>
      </c>
      <c r="D3563">
        <v>17770.02</v>
      </c>
      <c r="E3563">
        <v>9158.9359399999994</v>
      </c>
      <c r="F3563">
        <v>10633.9</v>
      </c>
      <c r="G3563">
        <v>33632.71</v>
      </c>
    </row>
    <row r="3564" spans="1:7" x14ac:dyDescent="0.35">
      <c r="A3564" s="1">
        <v>45400</v>
      </c>
      <c r="B3564">
        <v>4936.57</v>
      </c>
      <c r="C3564">
        <v>8023.26</v>
      </c>
      <c r="D3564">
        <v>17837.400000000001</v>
      </c>
      <c r="E3564">
        <v>9205.0497899999991</v>
      </c>
      <c r="F3564">
        <v>10765</v>
      </c>
      <c r="G3564">
        <v>33881.5</v>
      </c>
    </row>
    <row r="3565" spans="1:7" x14ac:dyDescent="0.35">
      <c r="A3565" s="1">
        <v>45401</v>
      </c>
      <c r="B3565">
        <v>4918.09</v>
      </c>
      <c r="C3565">
        <v>8022.41</v>
      </c>
      <c r="D3565">
        <v>17737.36</v>
      </c>
      <c r="E3565">
        <v>9182.4274000000005</v>
      </c>
      <c r="F3565">
        <v>10729.5</v>
      </c>
      <c r="G3565">
        <v>33922.160000000003</v>
      </c>
    </row>
    <row r="3566" spans="1:7" x14ac:dyDescent="0.35">
      <c r="A3566" s="1">
        <v>45404</v>
      </c>
      <c r="B3566">
        <v>4936.8500000000004</v>
      </c>
      <c r="C3566">
        <v>8040.36</v>
      </c>
      <c r="D3566">
        <v>17860.8</v>
      </c>
      <c r="E3566">
        <v>9303.2888399999993</v>
      </c>
      <c r="F3566">
        <v>10890.2</v>
      </c>
      <c r="G3566">
        <v>33724.82</v>
      </c>
    </row>
    <row r="3567" spans="1:7" x14ac:dyDescent="0.35">
      <c r="A3567" s="1">
        <v>45405</v>
      </c>
      <c r="B3567">
        <v>5008.17</v>
      </c>
      <c r="C3567">
        <v>8105.78</v>
      </c>
      <c r="D3567">
        <v>18137.650000000001</v>
      </c>
      <c r="E3567">
        <v>9356.7906999999996</v>
      </c>
      <c r="F3567">
        <v>11075.4</v>
      </c>
      <c r="G3567">
        <v>34363.75</v>
      </c>
    </row>
    <row r="3568" spans="1:7" x14ac:dyDescent="0.35">
      <c r="A3568" s="1">
        <v>45406</v>
      </c>
      <c r="B3568">
        <v>4989.88</v>
      </c>
      <c r="C3568">
        <v>8091.86</v>
      </c>
      <c r="D3568">
        <v>18088.7</v>
      </c>
      <c r="E3568">
        <v>9360.2627900000007</v>
      </c>
      <c r="F3568">
        <v>11027.8</v>
      </c>
      <c r="G3568">
        <v>34271.120000000003</v>
      </c>
    </row>
    <row r="3569" spans="1:7" x14ac:dyDescent="0.35">
      <c r="A3569" s="1">
        <v>45407</v>
      </c>
      <c r="B3569">
        <v>4939.01</v>
      </c>
      <c r="C3569">
        <v>8016.65</v>
      </c>
      <c r="D3569">
        <v>17917.28</v>
      </c>
      <c r="E3569">
        <v>9421.9488299999994</v>
      </c>
      <c r="F3569">
        <v>10983.7</v>
      </c>
      <c r="G3569">
        <v>33939.75</v>
      </c>
    </row>
    <row r="3570" spans="1:7" x14ac:dyDescent="0.35">
      <c r="A3570" s="1">
        <v>45408</v>
      </c>
      <c r="B3570">
        <v>5006.8500000000004</v>
      </c>
      <c r="C3570">
        <v>8088.24</v>
      </c>
      <c r="D3570">
        <v>18161.009999999998</v>
      </c>
      <c r="E3570">
        <v>9504.45975</v>
      </c>
      <c r="F3570">
        <v>11154.6</v>
      </c>
      <c r="G3570">
        <v>34249.769999999997</v>
      </c>
    </row>
    <row r="3571" spans="1:7" x14ac:dyDescent="0.35">
      <c r="A3571" s="1">
        <v>45411</v>
      </c>
      <c r="B3571">
        <v>4981.09</v>
      </c>
      <c r="C3571">
        <v>8065.15</v>
      </c>
      <c r="D3571">
        <v>18118.32</v>
      </c>
      <c r="E3571">
        <v>9542.3399100000006</v>
      </c>
      <c r="F3571">
        <v>11100.8</v>
      </c>
      <c r="G3571">
        <v>34296.31</v>
      </c>
    </row>
    <row r="3572" spans="1:7" x14ac:dyDescent="0.35">
      <c r="A3572" s="1">
        <v>45412</v>
      </c>
      <c r="B3572">
        <v>4921.22</v>
      </c>
      <c r="C3572">
        <v>7984.93</v>
      </c>
      <c r="D3572">
        <v>17932.169999999998</v>
      </c>
      <c r="E3572">
        <v>9538.2183600000008</v>
      </c>
      <c r="F3572">
        <v>10854.4</v>
      </c>
      <c r="G3572">
        <v>33746.660000000003</v>
      </c>
    </row>
    <row r="3573" spans="1:7" x14ac:dyDescent="0.35">
      <c r="A3573" s="1">
        <v>45414</v>
      </c>
      <c r="B3573">
        <v>4890.6099999999997</v>
      </c>
      <c r="C3573">
        <v>7914.65</v>
      </c>
      <c r="D3573">
        <v>17896.5</v>
      </c>
      <c r="E3573">
        <v>9543.9609400000008</v>
      </c>
      <c r="F3573">
        <v>10872</v>
      </c>
      <c r="G3573">
        <v>33736.400000000001</v>
      </c>
    </row>
    <row r="3574" spans="1:7" x14ac:dyDescent="0.35">
      <c r="A3574" s="1">
        <v>45415</v>
      </c>
      <c r="B3574">
        <v>4921.4799999999996</v>
      </c>
      <c r="C3574">
        <v>7957.57</v>
      </c>
      <c r="D3574">
        <v>18001.599999999999</v>
      </c>
      <c r="E3574">
        <v>9570.9592200000006</v>
      </c>
      <c r="F3574">
        <v>10854.7</v>
      </c>
      <c r="G3574">
        <v>33629.21</v>
      </c>
    </row>
    <row r="3575" spans="1:7" x14ac:dyDescent="0.35">
      <c r="A3575" s="1">
        <v>45419</v>
      </c>
      <c r="B3575">
        <v>5016.1000000000004</v>
      </c>
      <c r="C3575">
        <v>8075.68</v>
      </c>
      <c r="D3575">
        <v>18430.05</v>
      </c>
      <c r="E3575">
        <v>9669.9483799999998</v>
      </c>
      <c r="F3575">
        <v>11080.9</v>
      </c>
      <c r="G3575">
        <v>34242.49</v>
      </c>
    </row>
    <row r="3576" spans="1:7" x14ac:dyDescent="0.35">
      <c r="A3576" s="1">
        <v>45420</v>
      </c>
      <c r="B3576">
        <v>5038.17</v>
      </c>
      <c r="C3576">
        <v>8131.41</v>
      </c>
      <c r="D3576">
        <v>18498.38</v>
      </c>
      <c r="E3576">
        <v>9716.0726699999996</v>
      </c>
      <c r="F3576">
        <v>11153</v>
      </c>
      <c r="G3576">
        <v>34151.410000000003</v>
      </c>
    </row>
    <row r="3577" spans="1:7" x14ac:dyDescent="0.35">
      <c r="A3577" s="1">
        <v>45421</v>
      </c>
      <c r="B3577">
        <v>5054.41</v>
      </c>
      <c r="C3577">
        <v>8187.65</v>
      </c>
      <c r="D3577">
        <v>18686.599999999999</v>
      </c>
      <c r="E3577">
        <v>9733.1304700000001</v>
      </c>
      <c r="F3577">
        <v>11050.1</v>
      </c>
      <c r="G3577">
        <v>34339.32</v>
      </c>
    </row>
    <row r="3578" spans="1:7" x14ac:dyDescent="0.35">
      <c r="A3578" s="1">
        <v>45422</v>
      </c>
      <c r="B3578">
        <v>5085.08</v>
      </c>
      <c r="C3578">
        <v>8219.14</v>
      </c>
      <c r="D3578">
        <v>18772.849999999999</v>
      </c>
      <c r="E3578">
        <v>9810.4288799999995</v>
      </c>
      <c r="F3578">
        <v>11105.5</v>
      </c>
      <c r="G3578">
        <v>34657.35</v>
      </c>
    </row>
    <row r="3579" spans="1:7" x14ac:dyDescent="0.35">
      <c r="A3579" s="1">
        <v>45425</v>
      </c>
      <c r="B3579">
        <v>5078.96</v>
      </c>
      <c r="C3579">
        <v>8209.2800000000007</v>
      </c>
      <c r="D3579">
        <v>18742.22</v>
      </c>
      <c r="E3579">
        <v>9792.5411700000004</v>
      </c>
      <c r="F3579">
        <v>11152</v>
      </c>
      <c r="G3579">
        <v>34815.910000000003</v>
      </c>
    </row>
    <row r="3580" spans="1:7" x14ac:dyDescent="0.35">
      <c r="A3580" s="1">
        <v>45426</v>
      </c>
      <c r="B3580">
        <v>5080.29</v>
      </c>
      <c r="C3580">
        <v>8225.7999999999993</v>
      </c>
      <c r="D3580">
        <v>18716.419999999998</v>
      </c>
      <c r="E3580">
        <v>9805.6777299999994</v>
      </c>
      <c r="F3580">
        <v>11239.3</v>
      </c>
      <c r="G3580">
        <v>35151.42</v>
      </c>
    </row>
    <row r="3581" spans="1:7" x14ac:dyDescent="0.35">
      <c r="A3581" s="1">
        <v>45427</v>
      </c>
      <c r="B3581">
        <v>5100.8999999999996</v>
      </c>
      <c r="C3581">
        <v>8239.99</v>
      </c>
      <c r="D3581">
        <v>18869.36</v>
      </c>
      <c r="E3581">
        <v>9845.6649400000006</v>
      </c>
      <c r="F3581">
        <v>11362.8</v>
      </c>
      <c r="G3581">
        <v>35366.199999999997</v>
      </c>
    </row>
    <row r="3582" spans="1:7" x14ac:dyDescent="0.35">
      <c r="A3582" s="1">
        <v>45428</v>
      </c>
      <c r="B3582">
        <v>5072.45</v>
      </c>
      <c r="C3582">
        <v>8188.49</v>
      </c>
      <c r="D3582">
        <v>18738.810000000001</v>
      </c>
      <c r="E3582">
        <v>9835.6489899999997</v>
      </c>
      <c r="F3582">
        <v>11299.3</v>
      </c>
      <c r="G3582">
        <v>35410.129999999997</v>
      </c>
    </row>
    <row r="3583" spans="1:7" x14ac:dyDescent="0.35">
      <c r="A3583" s="1">
        <v>45429</v>
      </c>
      <c r="B3583">
        <v>5064.1400000000003</v>
      </c>
      <c r="C3583">
        <v>8167.5</v>
      </c>
      <c r="D3583">
        <v>18704.419999999998</v>
      </c>
      <c r="E3583">
        <v>9839.5180999999993</v>
      </c>
      <c r="F3583">
        <v>11327.7</v>
      </c>
      <c r="G3583">
        <v>35398.82</v>
      </c>
    </row>
    <row r="3584" spans="1:7" x14ac:dyDescent="0.35">
      <c r="A3584" s="1">
        <v>45432</v>
      </c>
      <c r="B3584">
        <v>5074.34</v>
      </c>
      <c r="C3584">
        <v>8195.9699999999993</v>
      </c>
      <c r="D3584">
        <v>18768.96</v>
      </c>
      <c r="E3584">
        <v>9860.0198400000008</v>
      </c>
      <c r="F3584">
        <v>11339.5</v>
      </c>
      <c r="G3584">
        <v>34825.01</v>
      </c>
    </row>
    <row r="3585" spans="1:7" x14ac:dyDescent="0.35">
      <c r="A3585" s="1">
        <v>45433</v>
      </c>
      <c r="B3585">
        <v>5046.99</v>
      </c>
      <c r="C3585">
        <v>8141.46</v>
      </c>
      <c r="D3585">
        <v>18726.759999999998</v>
      </c>
      <c r="E3585">
        <v>9854.0857400000004</v>
      </c>
      <c r="F3585">
        <v>11334.9</v>
      </c>
      <c r="G3585">
        <v>34603.61</v>
      </c>
    </row>
    <row r="3586" spans="1:7" x14ac:dyDescent="0.35">
      <c r="A3586" s="1">
        <v>45434</v>
      </c>
      <c r="B3586">
        <v>5025.17</v>
      </c>
      <c r="C3586">
        <v>8092.11</v>
      </c>
      <c r="D3586">
        <v>18680.2</v>
      </c>
      <c r="E3586">
        <v>9837.8202999999994</v>
      </c>
      <c r="F3586">
        <v>11329</v>
      </c>
      <c r="G3586">
        <v>34460.519999999997</v>
      </c>
    </row>
    <row r="3587" spans="1:7" x14ac:dyDescent="0.35">
      <c r="A3587" s="1">
        <v>45435</v>
      </c>
      <c r="B3587">
        <v>5037.6000000000004</v>
      </c>
      <c r="C3587">
        <v>8102.33</v>
      </c>
      <c r="D3587">
        <v>18691.32</v>
      </c>
      <c r="E3587">
        <v>9799.2504900000004</v>
      </c>
      <c r="F3587">
        <v>11311.1</v>
      </c>
      <c r="G3587">
        <v>34467.67</v>
      </c>
    </row>
    <row r="3588" spans="1:7" x14ac:dyDescent="0.35">
      <c r="A3588" s="1">
        <v>45436</v>
      </c>
      <c r="B3588">
        <v>5035.41</v>
      </c>
      <c r="C3588">
        <v>8094.97</v>
      </c>
      <c r="D3588">
        <v>18693.37</v>
      </c>
      <c r="E3588">
        <v>9764.5608100000009</v>
      </c>
      <c r="F3588">
        <v>11246</v>
      </c>
      <c r="G3588">
        <v>34490.71</v>
      </c>
    </row>
    <row r="3589" spans="1:7" x14ac:dyDescent="0.35">
      <c r="A3589" s="1">
        <v>45440</v>
      </c>
      <c r="B3589">
        <v>5030.3500000000004</v>
      </c>
      <c r="C3589">
        <v>8057.8</v>
      </c>
      <c r="D3589">
        <v>18677.87</v>
      </c>
      <c r="E3589">
        <v>9697.8076199999996</v>
      </c>
      <c r="F3589">
        <v>11276</v>
      </c>
      <c r="G3589">
        <v>34659.550000000003</v>
      </c>
    </row>
    <row r="3590" spans="1:7" x14ac:dyDescent="0.35">
      <c r="A3590" s="1">
        <v>45441</v>
      </c>
      <c r="B3590">
        <v>4963.2</v>
      </c>
      <c r="C3590">
        <v>7935.03</v>
      </c>
      <c r="D3590">
        <v>18473.29</v>
      </c>
      <c r="E3590">
        <v>9621.31113</v>
      </c>
      <c r="F3590">
        <v>11145.1</v>
      </c>
      <c r="G3590">
        <v>34150.54</v>
      </c>
    </row>
    <row r="3591" spans="1:7" x14ac:dyDescent="0.35">
      <c r="A3591" s="1">
        <v>45442</v>
      </c>
      <c r="B3591">
        <v>4982.18</v>
      </c>
      <c r="C3591">
        <v>7978.51</v>
      </c>
      <c r="D3591">
        <v>18496.79</v>
      </c>
      <c r="E3591">
        <v>9674.5210399999996</v>
      </c>
      <c r="F3591">
        <v>11338.2</v>
      </c>
      <c r="G3591">
        <v>34447.57</v>
      </c>
    </row>
    <row r="3592" spans="1:7" x14ac:dyDescent="0.35">
      <c r="A3592" s="1">
        <v>45443</v>
      </c>
      <c r="B3592">
        <v>4983.67</v>
      </c>
      <c r="C3592">
        <v>7992.87</v>
      </c>
      <c r="D3592">
        <v>18497.939999999999</v>
      </c>
      <c r="E3592">
        <v>9711.9560600000004</v>
      </c>
      <c r="F3592">
        <v>11322</v>
      </c>
      <c r="G3592">
        <v>34492.410000000003</v>
      </c>
    </row>
    <row r="3593" spans="1:7" x14ac:dyDescent="0.35">
      <c r="A3593" s="1">
        <v>45446</v>
      </c>
      <c r="B3593">
        <v>5003.54</v>
      </c>
      <c r="C3593">
        <v>7998.02</v>
      </c>
      <c r="D3593">
        <v>18608.16</v>
      </c>
      <c r="E3593">
        <v>9700.4760900000001</v>
      </c>
      <c r="F3593">
        <v>11397.2</v>
      </c>
      <c r="G3593">
        <v>34670.06</v>
      </c>
    </row>
    <row r="3594" spans="1:7" x14ac:dyDescent="0.35">
      <c r="A3594" s="1">
        <v>45447</v>
      </c>
      <c r="B3594">
        <v>4953.37</v>
      </c>
      <c r="C3594">
        <v>7937.9</v>
      </c>
      <c r="D3594">
        <v>18405.64</v>
      </c>
      <c r="E3594">
        <v>9674.9168599999994</v>
      </c>
      <c r="F3594">
        <v>11286.4</v>
      </c>
      <c r="G3594">
        <v>34276.019999999997</v>
      </c>
    </row>
    <row r="3595" spans="1:7" x14ac:dyDescent="0.35">
      <c r="A3595" s="1">
        <v>45448</v>
      </c>
      <c r="B3595">
        <v>5035.66</v>
      </c>
      <c r="C3595">
        <v>8006.57</v>
      </c>
      <c r="D3595">
        <v>18575.939999999999</v>
      </c>
      <c r="E3595">
        <v>9699.8828300000005</v>
      </c>
      <c r="F3595">
        <v>11353.1</v>
      </c>
      <c r="G3595">
        <v>34507.839999999997</v>
      </c>
    </row>
    <row r="3596" spans="1:7" x14ac:dyDescent="0.35">
      <c r="A3596" s="1">
        <v>45449</v>
      </c>
      <c r="B3596">
        <v>5069.09</v>
      </c>
      <c r="C3596">
        <v>8040.12</v>
      </c>
      <c r="D3596">
        <v>18652.669999999998</v>
      </c>
      <c r="E3596">
        <v>9729.6783599999999</v>
      </c>
      <c r="F3596">
        <v>11444</v>
      </c>
      <c r="G3596">
        <v>34834.300000000003</v>
      </c>
    </row>
    <row r="3597" spans="1:7" x14ac:dyDescent="0.35">
      <c r="A3597" s="1">
        <v>45450</v>
      </c>
      <c r="B3597">
        <v>5051.3100000000004</v>
      </c>
      <c r="C3597">
        <v>8001.8</v>
      </c>
      <c r="D3597">
        <v>18557.27</v>
      </c>
      <c r="E3597">
        <v>9709.7721299999994</v>
      </c>
      <c r="F3597">
        <v>11404.9</v>
      </c>
      <c r="G3597">
        <v>34660.379999999997</v>
      </c>
    </row>
    <row r="3598" spans="1:7" x14ac:dyDescent="0.35">
      <c r="A3598" s="1">
        <v>45453</v>
      </c>
      <c r="B3598">
        <v>5016.4799999999996</v>
      </c>
      <c r="C3598">
        <v>7893.98</v>
      </c>
      <c r="D3598">
        <v>18494.89</v>
      </c>
      <c r="E3598">
        <v>9739.6617000000006</v>
      </c>
      <c r="F3598">
        <v>11357.2</v>
      </c>
      <c r="G3598">
        <v>34542.01</v>
      </c>
    </row>
    <row r="3599" spans="1:7" x14ac:dyDescent="0.35">
      <c r="A3599" s="1">
        <v>45454</v>
      </c>
      <c r="B3599">
        <v>4965.09</v>
      </c>
      <c r="C3599">
        <v>7789.21</v>
      </c>
      <c r="D3599">
        <v>18369.939999999999</v>
      </c>
      <c r="E3599">
        <v>9659.4461699999993</v>
      </c>
      <c r="F3599">
        <v>11175.5</v>
      </c>
      <c r="G3599">
        <v>33874.480000000003</v>
      </c>
    </row>
    <row r="3600" spans="1:7" x14ac:dyDescent="0.35">
      <c r="A3600" s="1">
        <v>45455</v>
      </c>
      <c r="B3600">
        <v>5034.43</v>
      </c>
      <c r="C3600">
        <v>7864.7</v>
      </c>
      <c r="D3600">
        <v>18630.86</v>
      </c>
      <c r="E3600">
        <v>9732.2073099999998</v>
      </c>
      <c r="F3600">
        <v>11245.4</v>
      </c>
      <c r="G3600">
        <v>34358.83</v>
      </c>
    </row>
    <row r="3601" spans="1:7" x14ac:dyDescent="0.35">
      <c r="A3601" s="1">
        <v>45456</v>
      </c>
      <c r="B3601">
        <v>4935.5</v>
      </c>
      <c r="C3601">
        <v>7708.02</v>
      </c>
      <c r="D3601">
        <v>18265.68</v>
      </c>
      <c r="E3601">
        <v>9692.9797699999999</v>
      </c>
      <c r="F3601">
        <v>11066.1</v>
      </c>
      <c r="G3601">
        <v>33609.85</v>
      </c>
    </row>
    <row r="3602" spans="1:7" x14ac:dyDescent="0.35">
      <c r="A3602" s="1">
        <v>45457</v>
      </c>
      <c r="B3602">
        <v>4839.1400000000003</v>
      </c>
      <c r="C3602">
        <v>7503.27</v>
      </c>
      <c r="D3602">
        <v>18002.02</v>
      </c>
      <c r="E3602">
        <v>9658.8368200000004</v>
      </c>
      <c r="F3602">
        <v>10992.3</v>
      </c>
      <c r="G3602">
        <v>32665.21</v>
      </c>
    </row>
    <row r="3603" spans="1:7" x14ac:dyDescent="0.35">
      <c r="A3603" s="1">
        <v>45460</v>
      </c>
      <c r="B3603">
        <v>4880.42</v>
      </c>
      <c r="C3603">
        <v>7571.57</v>
      </c>
      <c r="D3603">
        <v>18068.21</v>
      </c>
      <c r="E3603">
        <v>9638.4835800000001</v>
      </c>
      <c r="F3603">
        <v>10959.5</v>
      </c>
      <c r="G3603">
        <v>32908.050000000003</v>
      </c>
    </row>
    <row r="3604" spans="1:7" x14ac:dyDescent="0.35">
      <c r="A3604" s="1">
        <v>45461</v>
      </c>
      <c r="B3604">
        <v>4915.47</v>
      </c>
      <c r="C3604">
        <v>7628.8</v>
      </c>
      <c r="D3604">
        <v>18131.97</v>
      </c>
      <c r="E3604">
        <v>9688.5897700000005</v>
      </c>
      <c r="F3604">
        <v>11067.7</v>
      </c>
      <c r="G3604">
        <v>33315.68</v>
      </c>
    </row>
    <row r="3605" spans="1:7" x14ac:dyDescent="0.35">
      <c r="A3605" s="1">
        <v>45462</v>
      </c>
      <c r="B3605">
        <v>4885.45</v>
      </c>
      <c r="C3605">
        <v>7570.2</v>
      </c>
      <c r="D3605">
        <v>18067.91</v>
      </c>
      <c r="E3605">
        <v>9712.2177599999995</v>
      </c>
      <c r="F3605">
        <v>11056.4</v>
      </c>
      <c r="G3605">
        <v>33220.31</v>
      </c>
    </row>
    <row r="3606" spans="1:7" x14ac:dyDescent="0.35">
      <c r="A3606" s="1">
        <v>45463</v>
      </c>
      <c r="B3606">
        <v>4947.7299999999996</v>
      </c>
      <c r="C3606">
        <v>7671.34</v>
      </c>
      <c r="D3606">
        <v>18254.18</v>
      </c>
      <c r="E3606">
        <v>9783.70795</v>
      </c>
      <c r="F3606">
        <v>11160.5</v>
      </c>
      <c r="G3606">
        <v>33675.15</v>
      </c>
    </row>
    <row r="3607" spans="1:7" x14ac:dyDescent="0.35">
      <c r="A3607" s="1">
        <v>45464</v>
      </c>
      <c r="B3607">
        <v>4907.3</v>
      </c>
      <c r="C3607">
        <v>7628.57</v>
      </c>
      <c r="D3607">
        <v>18163.52</v>
      </c>
      <c r="E3607">
        <v>9737.7986400000009</v>
      </c>
      <c r="F3607">
        <v>11032.3</v>
      </c>
      <c r="G3607">
        <v>33308.769999999997</v>
      </c>
    </row>
    <row r="3608" spans="1:7" x14ac:dyDescent="0.35">
      <c r="A3608" s="1">
        <v>45467</v>
      </c>
      <c r="B3608">
        <v>4950.9799999999996</v>
      </c>
      <c r="C3608">
        <v>7706.89</v>
      </c>
      <c r="D3608">
        <v>18325.580000000002</v>
      </c>
      <c r="E3608">
        <v>9788.4092099999998</v>
      </c>
      <c r="F3608">
        <v>11172.1</v>
      </c>
      <c r="G3608">
        <v>33834.910000000003</v>
      </c>
    </row>
    <row r="3609" spans="1:7" x14ac:dyDescent="0.35">
      <c r="A3609" s="1">
        <v>45468</v>
      </c>
      <c r="B3609">
        <v>4935.97</v>
      </c>
      <c r="C3609">
        <v>7662.3</v>
      </c>
      <c r="D3609">
        <v>18177.62</v>
      </c>
      <c r="E3609">
        <v>9768.6809400000002</v>
      </c>
      <c r="F3609">
        <v>11118.9</v>
      </c>
      <c r="G3609">
        <v>33707.21</v>
      </c>
    </row>
    <row r="3610" spans="1:7" x14ac:dyDescent="0.35">
      <c r="A3610" s="1">
        <v>45469</v>
      </c>
      <c r="B3610">
        <v>4915.9399999999996</v>
      </c>
      <c r="C3610">
        <v>7609.15</v>
      </c>
      <c r="D3610">
        <v>18155.240000000002</v>
      </c>
      <c r="E3610">
        <v>9722.2445800000005</v>
      </c>
      <c r="F3610">
        <v>11030.5</v>
      </c>
      <c r="G3610">
        <v>33541.980000000003</v>
      </c>
    </row>
    <row r="3611" spans="1:7" x14ac:dyDescent="0.35">
      <c r="A3611" s="1">
        <v>45470</v>
      </c>
      <c r="B3611">
        <v>4902.6000000000004</v>
      </c>
      <c r="C3611">
        <v>7530.72</v>
      </c>
      <c r="D3611">
        <v>18210.55</v>
      </c>
      <c r="E3611">
        <v>9664.8110300000008</v>
      </c>
      <c r="F3611">
        <v>10951.5</v>
      </c>
      <c r="G3611">
        <v>33186.89</v>
      </c>
    </row>
    <row r="3612" spans="1:7" x14ac:dyDescent="0.35">
      <c r="A3612" s="1">
        <v>45471</v>
      </c>
      <c r="B3612">
        <v>4894.0200000000004</v>
      </c>
      <c r="C3612">
        <v>7479.4</v>
      </c>
      <c r="D3612">
        <v>18235.45</v>
      </c>
      <c r="E3612">
        <v>9631.4674400000004</v>
      </c>
      <c r="F3612">
        <v>10943.7</v>
      </c>
      <c r="G3612">
        <v>33154.050000000003</v>
      </c>
    </row>
    <row r="3613" spans="1:7" x14ac:dyDescent="0.35">
      <c r="A3613" s="1">
        <v>45474</v>
      </c>
      <c r="B3613">
        <v>4929.99</v>
      </c>
      <c r="C3613">
        <v>7561.13</v>
      </c>
      <c r="D3613">
        <v>18290.66</v>
      </c>
      <c r="E3613">
        <v>9625.6807800000006</v>
      </c>
      <c r="F3613">
        <v>11057</v>
      </c>
      <c r="G3613">
        <v>33716.54</v>
      </c>
    </row>
    <row r="3614" spans="1:7" x14ac:dyDescent="0.35">
      <c r="A3614" s="1">
        <v>45475</v>
      </c>
      <c r="B3614">
        <v>4906.33</v>
      </c>
      <c r="C3614">
        <v>7538.29</v>
      </c>
      <c r="D3614">
        <v>18164.060000000001</v>
      </c>
      <c r="E3614">
        <v>9586.2245199999998</v>
      </c>
      <c r="F3614">
        <v>10912.8</v>
      </c>
      <c r="G3614">
        <v>33481.4</v>
      </c>
    </row>
    <row r="3615" spans="1:7" x14ac:dyDescent="0.35">
      <c r="A3615" s="1">
        <v>45476</v>
      </c>
      <c r="B3615">
        <v>4965.8</v>
      </c>
      <c r="C3615">
        <v>7632.08</v>
      </c>
      <c r="D3615">
        <v>18374.53</v>
      </c>
      <c r="E3615">
        <v>9653.0626599999996</v>
      </c>
      <c r="F3615">
        <v>11056.8</v>
      </c>
      <c r="G3615">
        <v>33844.949999999997</v>
      </c>
    </row>
    <row r="3616" spans="1:7" x14ac:dyDescent="0.35">
      <c r="A3616" s="1">
        <v>45477</v>
      </c>
      <c r="B3616">
        <v>4987.4799999999996</v>
      </c>
      <c r="C3616">
        <v>7695.78</v>
      </c>
      <c r="D3616">
        <v>18450.48</v>
      </c>
      <c r="E3616">
        <v>9726.8515399999997</v>
      </c>
      <c r="F3616">
        <v>11066.3</v>
      </c>
      <c r="G3616">
        <v>34106.01</v>
      </c>
    </row>
    <row r="3617" spans="1:7" x14ac:dyDescent="0.35">
      <c r="A3617" s="1">
        <v>45478</v>
      </c>
      <c r="B3617">
        <v>4979.3900000000003</v>
      </c>
      <c r="C3617">
        <v>7675.62</v>
      </c>
      <c r="D3617">
        <v>18475.45</v>
      </c>
      <c r="E3617">
        <v>9698.3092699999997</v>
      </c>
      <c r="F3617">
        <v>11023.5</v>
      </c>
      <c r="G3617">
        <v>33987.67</v>
      </c>
    </row>
    <row r="3618" spans="1:7" x14ac:dyDescent="0.35">
      <c r="A3618" s="1">
        <v>45481</v>
      </c>
      <c r="B3618">
        <v>4969.83</v>
      </c>
      <c r="C3618">
        <v>7627.45</v>
      </c>
      <c r="D3618">
        <v>18472.05</v>
      </c>
      <c r="E3618">
        <v>9697.9999299999999</v>
      </c>
      <c r="F3618">
        <v>11022.1</v>
      </c>
      <c r="G3618">
        <v>34046.54</v>
      </c>
    </row>
    <row r="3619" spans="1:7" x14ac:dyDescent="0.35">
      <c r="A3619" s="1">
        <v>45482</v>
      </c>
      <c r="B3619">
        <v>4903.62</v>
      </c>
      <c r="C3619">
        <v>7508.66</v>
      </c>
      <c r="D3619">
        <v>18236.189999999999</v>
      </c>
      <c r="E3619">
        <v>9625.4570999999996</v>
      </c>
      <c r="F3619">
        <v>10898.8</v>
      </c>
      <c r="G3619">
        <v>33864.47</v>
      </c>
    </row>
    <row r="3620" spans="1:7" x14ac:dyDescent="0.35">
      <c r="A3620" s="1">
        <v>45483</v>
      </c>
      <c r="B3620">
        <v>4958.8599999999997</v>
      </c>
      <c r="C3620">
        <v>7573.55</v>
      </c>
      <c r="D3620">
        <v>18407.22</v>
      </c>
      <c r="E3620">
        <v>9721.4213999999993</v>
      </c>
      <c r="F3620">
        <v>11071.6</v>
      </c>
      <c r="G3620">
        <v>34306.400000000001</v>
      </c>
    </row>
    <row r="3621" spans="1:7" x14ac:dyDescent="0.35">
      <c r="A3621" s="1">
        <v>45484</v>
      </c>
      <c r="B3621">
        <v>4976.13</v>
      </c>
      <c r="C3621">
        <v>7627.13</v>
      </c>
      <c r="D3621">
        <v>18534.560000000001</v>
      </c>
      <c r="E3621">
        <v>9770.0876700000008</v>
      </c>
      <c r="F3621">
        <v>11170</v>
      </c>
      <c r="G3621">
        <v>34318.11</v>
      </c>
    </row>
    <row r="3622" spans="1:7" x14ac:dyDescent="0.35">
      <c r="A3622" s="1">
        <v>45485</v>
      </c>
      <c r="B3622">
        <v>5043.0200000000004</v>
      </c>
      <c r="C3622">
        <v>7724.32</v>
      </c>
      <c r="D3622">
        <v>18748.18</v>
      </c>
      <c r="E3622">
        <v>9828.5687500000004</v>
      </c>
      <c r="F3622">
        <v>11250.6</v>
      </c>
      <c r="G3622">
        <v>34580.519999999997</v>
      </c>
    </row>
    <row r="3623" spans="1:7" x14ac:dyDescent="0.35">
      <c r="A3623" s="1">
        <v>45488</v>
      </c>
      <c r="B3623">
        <v>4983.1099999999997</v>
      </c>
      <c r="C3623">
        <v>7632.71</v>
      </c>
      <c r="D3623">
        <v>18590.89</v>
      </c>
      <c r="E3623">
        <v>9736.8670399999992</v>
      </c>
      <c r="F3623">
        <v>11143</v>
      </c>
      <c r="G3623">
        <v>34375.919999999998</v>
      </c>
    </row>
    <row r="3624" spans="1:7" x14ac:dyDescent="0.35">
      <c r="A3624" s="1">
        <v>45489</v>
      </c>
      <c r="B3624">
        <v>4947.83</v>
      </c>
      <c r="C3624">
        <v>7580.03</v>
      </c>
      <c r="D3624">
        <v>18518.03</v>
      </c>
      <c r="E3624">
        <v>9714.0489899999993</v>
      </c>
      <c r="F3624">
        <v>11090.5</v>
      </c>
      <c r="G3624">
        <v>34369.19</v>
      </c>
    </row>
    <row r="3625" spans="1:7" x14ac:dyDescent="0.35">
      <c r="A3625" s="1">
        <v>45490</v>
      </c>
      <c r="B3625">
        <v>4891.46</v>
      </c>
      <c r="C3625">
        <v>7570.81</v>
      </c>
      <c r="D3625">
        <v>18437.3</v>
      </c>
      <c r="E3625">
        <v>9741.0548799999997</v>
      </c>
      <c r="F3625">
        <v>11105.2</v>
      </c>
      <c r="G3625">
        <v>34379.64</v>
      </c>
    </row>
    <row r="3626" spans="1:7" x14ac:dyDescent="0.35">
      <c r="A3626" s="1">
        <v>45491</v>
      </c>
      <c r="B3626">
        <v>4870.12</v>
      </c>
      <c r="C3626">
        <v>7586.55</v>
      </c>
      <c r="D3626">
        <v>18354.759999999998</v>
      </c>
      <c r="E3626">
        <v>9750.2595299999994</v>
      </c>
      <c r="F3626">
        <v>11147.5</v>
      </c>
      <c r="G3626">
        <v>34529.129999999997</v>
      </c>
    </row>
    <row r="3627" spans="1:7" x14ac:dyDescent="0.35">
      <c r="A3627" s="1">
        <v>45492</v>
      </c>
      <c r="B3627">
        <v>4827.24</v>
      </c>
      <c r="C3627">
        <v>7534.52</v>
      </c>
      <c r="D3627">
        <v>18171.93</v>
      </c>
      <c r="E3627">
        <v>9675.9731800000009</v>
      </c>
      <c r="F3627">
        <v>11087.5</v>
      </c>
      <c r="G3627">
        <v>34215.839999999997</v>
      </c>
    </row>
    <row r="3628" spans="1:7" x14ac:dyDescent="0.35">
      <c r="A3628" s="1">
        <v>45495</v>
      </c>
      <c r="B3628">
        <v>4897.4399999999996</v>
      </c>
      <c r="C3628">
        <v>7622.02</v>
      </c>
      <c r="D3628">
        <v>18407.07</v>
      </c>
      <c r="E3628">
        <v>9729.1787700000004</v>
      </c>
      <c r="F3628">
        <v>11143.8</v>
      </c>
      <c r="G3628">
        <v>34615.050000000003</v>
      </c>
    </row>
    <row r="3629" spans="1:7" x14ac:dyDescent="0.35">
      <c r="A3629" s="1">
        <v>45496</v>
      </c>
      <c r="B3629">
        <v>4916.8</v>
      </c>
      <c r="C3629">
        <v>7598.63</v>
      </c>
      <c r="D3629">
        <v>18557.7</v>
      </c>
      <c r="E3629">
        <v>9715.3549000000003</v>
      </c>
      <c r="F3629">
        <v>11212.7</v>
      </c>
      <c r="G3629">
        <v>34637.75</v>
      </c>
    </row>
    <row r="3630" spans="1:7" x14ac:dyDescent="0.35">
      <c r="A3630" s="1">
        <v>45497</v>
      </c>
      <c r="B3630">
        <v>4861.87</v>
      </c>
      <c r="C3630">
        <v>7513.73</v>
      </c>
      <c r="D3630">
        <v>18387.46</v>
      </c>
      <c r="E3630">
        <v>9712.8925400000007</v>
      </c>
      <c r="F3630">
        <v>11210.1</v>
      </c>
      <c r="G3630">
        <v>34471.65</v>
      </c>
    </row>
    <row r="3631" spans="1:7" x14ac:dyDescent="0.35">
      <c r="A3631" s="1">
        <v>45498</v>
      </c>
      <c r="B3631">
        <v>4811.28</v>
      </c>
      <c r="C3631">
        <v>7427.02</v>
      </c>
      <c r="D3631">
        <v>18298.72</v>
      </c>
      <c r="E3631">
        <v>9709.5145499999999</v>
      </c>
      <c r="F3631">
        <v>11145.6</v>
      </c>
      <c r="G3631">
        <v>33771.07</v>
      </c>
    </row>
    <row r="3632" spans="1:7" x14ac:dyDescent="0.35">
      <c r="A3632" s="1">
        <v>45499</v>
      </c>
      <c r="B3632">
        <v>4862.5</v>
      </c>
      <c r="C3632">
        <v>7517.68</v>
      </c>
      <c r="D3632">
        <v>18417.55</v>
      </c>
      <c r="E3632">
        <v>9817.7846800000007</v>
      </c>
      <c r="F3632">
        <v>11165.9</v>
      </c>
      <c r="G3632">
        <v>33812.44</v>
      </c>
    </row>
    <row r="3633" spans="1:7" x14ac:dyDescent="0.35">
      <c r="A3633" s="1">
        <v>45502</v>
      </c>
      <c r="B3633">
        <v>4815.3900000000003</v>
      </c>
      <c r="C3633">
        <v>7443.84</v>
      </c>
      <c r="D3633">
        <v>18320.669999999998</v>
      </c>
      <c r="E3633">
        <v>9849.36859</v>
      </c>
      <c r="F3633">
        <v>11117.8</v>
      </c>
      <c r="G3633">
        <v>33640.83</v>
      </c>
    </row>
    <row r="3634" spans="1:7" x14ac:dyDescent="0.35">
      <c r="A3634" s="1">
        <v>45503</v>
      </c>
      <c r="B3634">
        <v>4841</v>
      </c>
      <c r="C3634">
        <v>7474.94</v>
      </c>
      <c r="D3634">
        <v>18411.18</v>
      </c>
      <c r="E3634">
        <v>9820.0275500000007</v>
      </c>
      <c r="F3634">
        <v>11202.6</v>
      </c>
      <c r="G3634">
        <v>33908.019999999997</v>
      </c>
    </row>
    <row r="3635" spans="1:7" x14ac:dyDescent="0.35">
      <c r="A3635" s="1">
        <v>45504</v>
      </c>
      <c r="B3635">
        <v>4872.9399999999996</v>
      </c>
      <c r="C3635">
        <v>7531.49</v>
      </c>
      <c r="D3635">
        <v>18508.650000000001</v>
      </c>
      <c r="E3635">
        <v>9937.9923500000004</v>
      </c>
      <c r="F3635">
        <v>11065</v>
      </c>
      <c r="G3635">
        <v>33763.86</v>
      </c>
    </row>
    <row r="3636" spans="1:7" x14ac:dyDescent="0.35">
      <c r="A3636" s="1">
        <v>45505</v>
      </c>
      <c r="B3636">
        <v>4765.72</v>
      </c>
      <c r="C3636">
        <v>7370.45</v>
      </c>
      <c r="D3636">
        <v>18083.05</v>
      </c>
      <c r="E3636">
        <v>9794.7314499999993</v>
      </c>
      <c r="F3636">
        <v>10854.3</v>
      </c>
      <c r="G3636">
        <v>32857.43</v>
      </c>
    </row>
    <row r="3637" spans="1:7" x14ac:dyDescent="0.35">
      <c r="A3637" s="1">
        <v>45506</v>
      </c>
      <c r="B3637">
        <v>4638.7</v>
      </c>
      <c r="C3637">
        <v>7251.8</v>
      </c>
      <c r="D3637">
        <v>17661.22</v>
      </c>
      <c r="E3637">
        <v>9580.8619999999992</v>
      </c>
      <c r="F3637">
        <v>10672.9</v>
      </c>
      <c r="G3637">
        <v>32018.82</v>
      </c>
    </row>
    <row r="3638" spans="1:7" x14ac:dyDescent="0.35">
      <c r="A3638" s="1">
        <v>45509</v>
      </c>
      <c r="B3638">
        <v>4571.6000000000004</v>
      </c>
      <c r="C3638">
        <v>7148.99</v>
      </c>
      <c r="D3638">
        <v>17339</v>
      </c>
      <c r="E3638">
        <v>9327.8343199999999</v>
      </c>
      <c r="F3638">
        <v>10423.4</v>
      </c>
      <c r="G3638">
        <v>31293.52</v>
      </c>
    </row>
    <row r="3639" spans="1:7" x14ac:dyDescent="0.35">
      <c r="A3639" s="1">
        <v>45510</v>
      </c>
      <c r="B3639">
        <v>4575.22</v>
      </c>
      <c r="C3639">
        <v>7130.04</v>
      </c>
      <c r="D3639">
        <v>17354.32</v>
      </c>
      <c r="E3639">
        <v>9331.9085300000006</v>
      </c>
      <c r="F3639">
        <v>10390.5</v>
      </c>
      <c r="G3639">
        <v>31107.13</v>
      </c>
    </row>
    <row r="3640" spans="1:7" x14ac:dyDescent="0.35">
      <c r="A3640" s="1">
        <v>45511</v>
      </c>
      <c r="B3640">
        <v>4668.0600000000004</v>
      </c>
      <c r="C3640">
        <v>7266.01</v>
      </c>
      <c r="D3640">
        <v>17615.150000000001</v>
      </c>
      <c r="E3640">
        <v>9502.3540599999997</v>
      </c>
      <c r="F3640">
        <v>10599</v>
      </c>
      <c r="G3640">
        <v>31831.64</v>
      </c>
    </row>
    <row r="3641" spans="1:7" x14ac:dyDescent="0.35">
      <c r="A3641" s="1">
        <v>45512</v>
      </c>
      <c r="B3641">
        <v>4668.74</v>
      </c>
      <c r="C3641">
        <v>7247.45</v>
      </c>
      <c r="D3641">
        <v>17680.400000000001</v>
      </c>
      <c r="E3641">
        <v>9513.5399899999993</v>
      </c>
      <c r="F3641">
        <v>10558</v>
      </c>
      <c r="G3641">
        <v>31741.91</v>
      </c>
    </row>
    <row r="3642" spans="1:7" x14ac:dyDescent="0.35">
      <c r="A3642" s="1">
        <v>45513</v>
      </c>
      <c r="B3642">
        <v>4675.28</v>
      </c>
      <c r="C3642">
        <v>7269.71</v>
      </c>
      <c r="D3642">
        <v>17722.88</v>
      </c>
      <c r="E3642">
        <v>9543.7878700000001</v>
      </c>
      <c r="F3642">
        <v>10638.5</v>
      </c>
      <c r="G3642">
        <v>31782.23</v>
      </c>
    </row>
    <row r="3643" spans="1:7" x14ac:dyDescent="0.35">
      <c r="A3643" s="1">
        <v>45516</v>
      </c>
      <c r="B3643">
        <v>4671.88</v>
      </c>
      <c r="C3643">
        <v>7250.67</v>
      </c>
      <c r="D3643">
        <v>17726.47</v>
      </c>
      <c r="E3643">
        <v>9589.5238900000004</v>
      </c>
      <c r="F3643">
        <v>10646.2</v>
      </c>
      <c r="G3643">
        <v>31928.32</v>
      </c>
    </row>
    <row r="3644" spans="1:7" x14ac:dyDescent="0.35">
      <c r="A3644" s="1">
        <v>45517</v>
      </c>
      <c r="B3644">
        <v>4694.92</v>
      </c>
      <c r="C3644">
        <v>7275.87</v>
      </c>
      <c r="D3644">
        <v>17812.05</v>
      </c>
      <c r="E3644">
        <v>9641.0435099999995</v>
      </c>
      <c r="F3644">
        <v>10723.8</v>
      </c>
      <c r="G3644">
        <v>32006.45</v>
      </c>
    </row>
    <row r="3645" spans="1:7" x14ac:dyDescent="0.35">
      <c r="A3645" s="1">
        <v>45518</v>
      </c>
      <c r="B3645">
        <v>4727.6000000000004</v>
      </c>
      <c r="C3645">
        <v>7333.36</v>
      </c>
      <c r="D3645">
        <v>17885.599999999999</v>
      </c>
      <c r="E3645">
        <v>9648.9489799999992</v>
      </c>
      <c r="F3645">
        <v>10753</v>
      </c>
      <c r="G3645">
        <v>32328.03</v>
      </c>
    </row>
    <row r="3646" spans="1:7" x14ac:dyDescent="0.35">
      <c r="A3646" s="1">
        <v>45520</v>
      </c>
      <c r="B3646">
        <v>4840.5200000000004</v>
      </c>
      <c r="C3646">
        <v>7449.7</v>
      </c>
      <c r="D3646">
        <v>18322.400000000001</v>
      </c>
      <c r="E3646">
        <v>9759.3355699999993</v>
      </c>
      <c r="F3646">
        <v>10949.7</v>
      </c>
      <c r="G3646">
        <v>33040.81</v>
      </c>
    </row>
    <row r="3647" spans="1:7" x14ac:dyDescent="0.35">
      <c r="A3647" s="1">
        <v>45523</v>
      </c>
      <c r="B3647">
        <v>4871.41</v>
      </c>
      <c r="C3647">
        <v>7502.01</v>
      </c>
      <c r="D3647">
        <v>18421.689999999999</v>
      </c>
      <c r="E3647">
        <v>9796.8028799999993</v>
      </c>
      <c r="F3647">
        <v>11102.5</v>
      </c>
      <c r="G3647">
        <v>33266.32</v>
      </c>
    </row>
    <row r="3648" spans="1:7" x14ac:dyDescent="0.35">
      <c r="A3648" s="1">
        <v>45524</v>
      </c>
      <c r="B3648">
        <v>4857.58</v>
      </c>
      <c r="C3648">
        <v>7485.73</v>
      </c>
      <c r="D3648">
        <v>18357.52</v>
      </c>
      <c r="E3648">
        <v>9695.00612</v>
      </c>
      <c r="F3648">
        <v>11087.8</v>
      </c>
      <c r="G3648">
        <v>33075.620000000003</v>
      </c>
    </row>
    <row r="3649" spans="1:7" x14ac:dyDescent="0.35">
      <c r="A3649" s="1">
        <v>45525</v>
      </c>
      <c r="B3649">
        <v>4885.28</v>
      </c>
      <c r="C3649">
        <v>7524.72</v>
      </c>
      <c r="D3649">
        <v>18448.95</v>
      </c>
      <c r="E3649">
        <v>9727.4192800000001</v>
      </c>
      <c r="F3649">
        <v>11114.9</v>
      </c>
      <c r="G3649">
        <v>33312.410000000003</v>
      </c>
    </row>
    <row r="3650" spans="1:7" x14ac:dyDescent="0.35">
      <c r="A3650" s="1">
        <v>45526</v>
      </c>
      <c r="B3650">
        <v>4885</v>
      </c>
      <c r="C3650">
        <v>7524.11</v>
      </c>
      <c r="D3650">
        <v>18493.39</v>
      </c>
      <c r="E3650">
        <v>9762.0853299999999</v>
      </c>
      <c r="F3650">
        <v>11156.3</v>
      </c>
      <c r="G3650">
        <v>33310.93</v>
      </c>
    </row>
    <row r="3651" spans="1:7" x14ac:dyDescent="0.35">
      <c r="A3651" s="1">
        <v>45527</v>
      </c>
      <c r="B3651">
        <v>4909.2</v>
      </c>
      <c r="C3651">
        <v>7577.04</v>
      </c>
      <c r="D3651">
        <v>18633.099999999999</v>
      </c>
      <c r="E3651">
        <v>9831.0136000000002</v>
      </c>
      <c r="F3651">
        <v>11278.1</v>
      </c>
      <c r="G3651">
        <v>33650.17</v>
      </c>
    </row>
    <row r="3652" spans="1:7" x14ac:dyDescent="0.35">
      <c r="A3652" s="1">
        <v>45531</v>
      </c>
      <c r="B3652">
        <v>4898.78</v>
      </c>
      <c r="C3652">
        <v>7565.78</v>
      </c>
      <c r="D3652">
        <v>18681.810000000001</v>
      </c>
      <c r="E3652">
        <v>9890.3342499999999</v>
      </c>
      <c r="F3652">
        <v>11326.9</v>
      </c>
      <c r="G3652">
        <v>33778.800000000003</v>
      </c>
    </row>
    <row r="3653" spans="1:7" x14ac:dyDescent="0.35">
      <c r="A3653" s="1">
        <v>45532</v>
      </c>
      <c r="B3653">
        <v>4913.03</v>
      </c>
      <c r="C3653">
        <v>7577.67</v>
      </c>
      <c r="D3653">
        <v>18782.29</v>
      </c>
      <c r="E3653">
        <v>9898.5160699999997</v>
      </c>
      <c r="F3653">
        <v>11332</v>
      </c>
      <c r="G3653">
        <v>33880.050000000003</v>
      </c>
    </row>
    <row r="3654" spans="1:7" x14ac:dyDescent="0.35">
      <c r="A3654" s="1">
        <v>45533</v>
      </c>
      <c r="B3654">
        <v>4966.2700000000004</v>
      </c>
      <c r="C3654">
        <v>7640.95</v>
      </c>
      <c r="D3654">
        <v>18912.57</v>
      </c>
      <c r="E3654">
        <v>9968.3084400000007</v>
      </c>
      <c r="F3654">
        <v>11358.6</v>
      </c>
      <c r="G3654">
        <v>34192.06</v>
      </c>
    </row>
    <row r="3655" spans="1:7" x14ac:dyDescent="0.35">
      <c r="A3655" s="1">
        <v>45534</v>
      </c>
      <c r="B3655">
        <v>4957.9799999999996</v>
      </c>
      <c r="C3655">
        <v>7630.95</v>
      </c>
      <c r="D3655">
        <v>18906.919999999998</v>
      </c>
      <c r="E3655">
        <v>9945.0686900000001</v>
      </c>
      <c r="F3655">
        <v>11401.9</v>
      </c>
      <c r="G3655">
        <v>34372.67</v>
      </c>
    </row>
    <row r="3656" spans="1:7" x14ac:dyDescent="0.35">
      <c r="A3656" s="1">
        <v>45537</v>
      </c>
      <c r="B3656">
        <v>4973.07</v>
      </c>
      <c r="C3656">
        <v>7646.42</v>
      </c>
      <c r="D3656">
        <v>18930.849999999999</v>
      </c>
      <c r="E3656">
        <v>9932.9102899999998</v>
      </c>
      <c r="F3656">
        <v>11395.3</v>
      </c>
      <c r="G3656">
        <v>34320.6</v>
      </c>
    </row>
    <row r="3657" spans="1:7" x14ac:dyDescent="0.35">
      <c r="A3657" s="1">
        <v>45538</v>
      </c>
      <c r="B3657">
        <v>4912.5200000000004</v>
      </c>
      <c r="C3657">
        <v>7575.1</v>
      </c>
      <c r="D3657">
        <v>18747.11</v>
      </c>
      <c r="E3657">
        <v>9850.0517600000003</v>
      </c>
      <c r="F3657">
        <v>11279.2</v>
      </c>
      <c r="G3657">
        <v>33863.43</v>
      </c>
    </row>
    <row r="3658" spans="1:7" x14ac:dyDescent="0.35">
      <c r="A3658" s="1">
        <v>45539</v>
      </c>
      <c r="B3658">
        <v>4848.18</v>
      </c>
      <c r="C3658">
        <v>7500.97</v>
      </c>
      <c r="D3658">
        <v>18591.849999999999</v>
      </c>
      <c r="E3658">
        <v>9810.8714099999997</v>
      </c>
      <c r="F3658">
        <v>11213.9</v>
      </c>
      <c r="G3658">
        <v>33682.26</v>
      </c>
    </row>
    <row r="3659" spans="1:7" x14ac:dyDescent="0.35">
      <c r="A3659" s="1">
        <v>45540</v>
      </c>
      <c r="B3659">
        <v>4815.1499999999996</v>
      </c>
      <c r="C3659">
        <v>7431.96</v>
      </c>
      <c r="D3659">
        <v>18576.5</v>
      </c>
      <c r="E3659">
        <v>9780.0239500000007</v>
      </c>
      <c r="F3659">
        <v>11273.5</v>
      </c>
      <c r="G3659">
        <v>33684.800000000003</v>
      </c>
    </row>
    <row r="3660" spans="1:7" x14ac:dyDescent="0.35">
      <c r="A3660" s="1">
        <v>45541</v>
      </c>
      <c r="B3660">
        <v>4738.0600000000004</v>
      </c>
      <c r="C3660">
        <v>7352.3</v>
      </c>
      <c r="D3660">
        <v>18301.900000000001</v>
      </c>
      <c r="E3660">
        <v>9690.4293899999993</v>
      </c>
      <c r="F3660">
        <v>11173</v>
      </c>
      <c r="G3660">
        <v>33291.39</v>
      </c>
    </row>
    <row r="3661" spans="1:7" x14ac:dyDescent="0.35">
      <c r="A3661" s="1">
        <v>45544</v>
      </c>
      <c r="B3661">
        <v>4778.66</v>
      </c>
      <c r="C3661">
        <v>7425.26</v>
      </c>
      <c r="D3661">
        <v>18443.560000000001</v>
      </c>
      <c r="E3661">
        <v>9803.8909800000001</v>
      </c>
      <c r="F3661">
        <v>11272.8</v>
      </c>
      <c r="G3661">
        <v>33590.339999999997</v>
      </c>
    </row>
    <row r="3662" spans="1:7" x14ac:dyDescent="0.35">
      <c r="A3662" s="1">
        <v>45545</v>
      </c>
      <c r="B3662">
        <v>4747.2</v>
      </c>
      <c r="C3662">
        <v>7407.55</v>
      </c>
      <c r="D3662">
        <v>18265.919999999998</v>
      </c>
      <c r="E3662">
        <v>9724.8341899999996</v>
      </c>
      <c r="F3662">
        <v>11203.5</v>
      </c>
      <c r="G3662">
        <v>33213.29</v>
      </c>
    </row>
    <row r="3663" spans="1:7" x14ac:dyDescent="0.35">
      <c r="A3663" s="1">
        <v>45546</v>
      </c>
      <c r="B3663">
        <v>4763.58</v>
      </c>
      <c r="C3663">
        <v>7396.83</v>
      </c>
      <c r="D3663">
        <v>18330.27</v>
      </c>
      <c r="E3663">
        <v>9697.2036800000005</v>
      </c>
      <c r="F3663">
        <v>11278.9</v>
      </c>
      <c r="G3663">
        <v>33174.42</v>
      </c>
    </row>
    <row r="3664" spans="1:7" x14ac:dyDescent="0.35">
      <c r="A3664" s="1">
        <v>45547</v>
      </c>
      <c r="B3664">
        <v>4814.08</v>
      </c>
      <c r="C3664">
        <v>7435.07</v>
      </c>
      <c r="D3664">
        <v>18518.39</v>
      </c>
      <c r="E3664">
        <v>9767.4071399999993</v>
      </c>
      <c r="F3664">
        <v>11400.2</v>
      </c>
      <c r="G3664">
        <v>33453.78</v>
      </c>
    </row>
    <row r="3665" spans="1:7" x14ac:dyDescent="0.35">
      <c r="A3665" s="1">
        <v>45548</v>
      </c>
      <c r="B3665">
        <v>4843.99</v>
      </c>
      <c r="C3665">
        <v>7465.25</v>
      </c>
      <c r="D3665">
        <v>18699.400000000001</v>
      </c>
      <c r="E3665">
        <v>9800.9694</v>
      </c>
      <c r="F3665">
        <v>11540.2</v>
      </c>
      <c r="G3665">
        <v>33568.47</v>
      </c>
    </row>
    <row r="3666" spans="1:7" x14ac:dyDescent="0.35">
      <c r="A3666" s="1">
        <v>45551</v>
      </c>
      <c r="B3666">
        <v>4827.63</v>
      </c>
      <c r="C3666">
        <v>7449.44</v>
      </c>
      <c r="D3666">
        <v>18633.11</v>
      </c>
      <c r="E3666">
        <v>9824.1851999999999</v>
      </c>
      <c r="F3666">
        <v>11581</v>
      </c>
      <c r="G3666">
        <v>33569.980000000003</v>
      </c>
    </row>
    <row r="3667" spans="1:7" x14ac:dyDescent="0.35">
      <c r="A3667" s="1">
        <v>45552</v>
      </c>
      <c r="B3667">
        <v>4860.78</v>
      </c>
      <c r="C3667">
        <v>7487.42</v>
      </c>
      <c r="D3667">
        <v>18726.080000000002</v>
      </c>
      <c r="E3667">
        <v>9833.7204700000002</v>
      </c>
      <c r="F3667">
        <v>11703.4</v>
      </c>
      <c r="G3667">
        <v>33780.28</v>
      </c>
    </row>
    <row r="3668" spans="1:7" x14ac:dyDescent="0.35">
      <c r="A3668" s="1">
        <v>45553</v>
      </c>
      <c r="B3668">
        <v>4835.3</v>
      </c>
      <c r="C3668">
        <v>7444.9</v>
      </c>
      <c r="D3668">
        <v>18711.490000000002</v>
      </c>
      <c r="E3668">
        <v>9802.1724599999998</v>
      </c>
      <c r="F3668">
        <v>11684.7</v>
      </c>
      <c r="G3668">
        <v>33655.49</v>
      </c>
    </row>
    <row r="3669" spans="1:7" x14ac:dyDescent="0.35">
      <c r="A3669" s="1">
        <v>45554</v>
      </c>
      <c r="B3669">
        <v>4943.38</v>
      </c>
      <c r="C3669">
        <v>7615.41</v>
      </c>
      <c r="D3669">
        <v>19002.38</v>
      </c>
      <c r="E3669">
        <v>9915.1784100000004</v>
      </c>
      <c r="F3669">
        <v>11778.1</v>
      </c>
      <c r="G3669">
        <v>34044.86</v>
      </c>
    </row>
    <row r="3670" spans="1:7" x14ac:dyDescent="0.35">
      <c r="A3670" s="1">
        <v>45555</v>
      </c>
      <c r="B3670">
        <v>4871.54</v>
      </c>
      <c r="C3670">
        <v>7500.26</v>
      </c>
      <c r="D3670">
        <v>18720.009999999998</v>
      </c>
      <c r="E3670">
        <v>9815.0032900000006</v>
      </c>
      <c r="F3670">
        <v>11753.3</v>
      </c>
      <c r="G3670">
        <v>33762.25</v>
      </c>
    </row>
    <row r="3671" spans="1:7" x14ac:dyDescent="0.35">
      <c r="A3671" s="1">
        <v>45558</v>
      </c>
      <c r="B3671">
        <v>4885.57</v>
      </c>
      <c r="C3671">
        <v>7508.08</v>
      </c>
      <c r="D3671">
        <v>18846.79</v>
      </c>
      <c r="E3671">
        <v>9906.4548799999993</v>
      </c>
      <c r="F3671">
        <v>11797.9</v>
      </c>
      <c r="G3671">
        <v>33679.800000000003</v>
      </c>
    </row>
    <row r="3672" spans="1:7" x14ac:dyDescent="0.35">
      <c r="A3672" s="1">
        <v>45559</v>
      </c>
      <c r="B3672">
        <v>4940.72</v>
      </c>
      <c r="C3672">
        <v>7604.01</v>
      </c>
      <c r="D3672">
        <v>18996.63</v>
      </c>
      <c r="E3672">
        <v>9939.4604500000005</v>
      </c>
      <c r="F3672">
        <v>11837</v>
      </c>
      <c r="G3672">
        <v>33881.26</v>
      </c>
    </row>
    <row r="3673" spans="1:7" x14ac:dyDescent="0.35">
      <c r="A3673" s="1">
        <v>45560</v>
      </c>
      <c r="B3673">
        <v>4916.8900000000003</v>
      </c>
      <c r="C3673">
        <v>7565.62</v>
      </c>
      <c r="D3673">
        <v>18918.5</v>
      </c>
      <c r="E3673">
        <v>9900.9049900000009</v>
      </c>
      <c r="F3673">
        <v>11792.6</v>
      </c>
      <c r="G3673">
        <v>33840.54</v>
      </c>
    </row>
    <row r="3674" spans="1:7" x14ac:dyDescent="0.35">
      <c r="A3674" s="1">
        <v>45561</v>
      </c>
      <c r="B3674">
        <v>5032.59</v>
      </c>
      <c r="C3674">
        <v>7742.09</v>
      </c>
      <c r="D3674">
        <v>19238.36</v>
      </c>
      <c r="E3674">
        <v>9947.2327999999998</v>
      </c>
      <c r="F3674">
        <v>11953.2</v>
      </c>
      <c r="G3674">
        <v>34409.339999999997</v>
      </c>
    </row>
    <row r="3675" spans="1:7" x14ac:dyDescent="0.35">
      <c r="A3675" s="1">
        <v>45562</v>
      </c>
      <c r="B3675">
        <v>5067.45</v>
      </c>
      <c r="C3675">
        <v>7791.79</v>
      </c>
      <c r="D3675">
        <v>19473.63</v>
      </c>
      <c r="E3675">
        <v>9985.3596699999998</v>
      </c>
      <c r="F3675">
        <v>11967.9</v>
      </c>
      <c r="G3675">
        <v>34727.4</v>
      </c>
    </row>
    <row r="3676" spans="1:7" x14ac:dyDescent="0.35">
      <c r="A3676" s="1">
        <v>45565</v>
      </c>
      <c r="B3676">
        <v>5000.45</v>
      </c>
      <c r="C3676">
        <v>7635.75</v>
      </c>
      <c r="D3676">
        <v>19324.93</v>
      </c>
      <c r="E3676">
        <v>9902.3684900000007</v>
      </c>
      <c r="F3676">
        <v>11877.3</v>
      </c>
      <c r="G3676">
        <v>34125.26</v>
      </c>
    </row>
    <row r="3677" spans="1:7" x14ac:dyDescent="0.35">
      <c r="A3677" s="1">
        <v>45566</v>
      </c>
      <c r="B3677">
        <v>4954.1499999999996</v>
      </c>
      <c r="C3677">
        <v>7574.07</v>
      </c>
      <c r="D3677">
        <v>19213.14</v>
      </c>
      <c r="E3677">
        <v>9924.64228</v>
      </c>
      <c r="F3677">
        <v>11673.5</v>
      </c>
      <c r="G3677">
        <v>33771.08</v>
      </c>
    </row>
    <row r="3678" spans="1:7" x14ac:dyDescent="0.35">
      <c r="A3678" s="1">
        <v>45567</v>
      </c>
      <c r="B3678">
        <v>4963.29</v>
      </c>
      <c r="C3678">
        <v>7577.59</v>
      </c>
      <c r="D3678">
        <v>19164.75</v>
      </c>
      <c r="E3678">
        <v>9959.9894100000001</v>
      </c>
      <c r="F3678">
        <v>11609.8</v>
      </c>
      <c r="G3678">
        <v>33675.26</v>
      </c>
    </row>
    <row r="3679" spans="1:7" x14ac:dyDescent="0.35">
      <c r="A3679" s="1">
        <v>45568</v>
      </c>
      <c r="B3679">
        <v>4921.33</v>
      </c>
      <c r="C3679">
        <v>7477.78</v>
      </c>
      <c r="D3679">
        <v>19015.41</v>
      </c>
      <c r="E3679">
        <v>9855.6731600000003</v>
      </c>
      <c r="F3679">
        <v>11618</v>
      </c>
      <c r="G3679">
        <v>33170.03</v>
      </c>
    </row>
    <row r="3680" spans="1:7" x14ac:dyDescent="0.35">
      <c r="A3680" s="1">
        <v>45569</v>
      </c>
      <c r="B3680">
        <v>4954.9399999999996</v>
      </c>
      <c r="C3680">
        <v>7541.36</v>
      </c>
      <c r="D3680">
        <v>19120.93</v>
      </c>
      <c r="E3680">
        <v>9908.8013200000005</v>
      </c>
      <c r="F3680">
        <v>11659.2</v>
      </c>
      <c r="G3680">
        <v>33594.120000000003</v>
      </c>
    </row>
    <row r="3681" spans="1:7" x14ac:dyDescent="0.35">
      <c r="A3681" s="1">
        <v>45572</v>
      </c>
      <c r="B3681">
        <v>4969.71</v>
      </c>
      <c r="C3681">
        <v>7576.02</v>
      </c>
      <c r="D3681">
        <v>19104.099999999999</v>
      </c>
      <c r="E3681">
        <v>9895.7015499999998</v>
      </c>
      <c r="F3681">
        <v>11717.5</v>
      </c>
      <c r="G3681">
        <v>33814.519999999997</v>
      </c>
    </row>
    <row r="3682" spans="1:7" x14ac:dyDescent="0.35">
      <c r="A3682" s="1">
        <v>45573</v>
      </c>
      <c r="B3682">
        <v>4949</v>
      </c>
      <c r="C3682">
        <v>7521.32</v>
      </c>
      <c r="D3682">
        <v>19066.47</v>
      </c>
      <c r="E3682">
        <v>9766.6457399999999</v>
      </c>
      <c r="F3682">
        <v>11734.7</v>
      </c>
      <c r="G3682">
        <v>33733.9</v>
      </c>
    </row>
    <row r="3683" spans="1:7" x14ac:dyDescent="0.35">
      <c r="A3683" s="1">
        <v>45574</v>
      </c>
      <c r="B3683">
        <v>4982.57</v>
      </c>
      <c r="C3683">
        <v>7560.09</v>
      </c>
      <c r="D3683">
        <v>19254.93</v>
      </c>
      <c r="E3683">
        <v>9845.4756300000008</v>
      </c>
      <c r="F3683">
        <v>11741.5</v>
      </c>
      <c r="G3683">
        <v>33933.03</v>
      </c>
    </row>
    <row r="3684" spans="1:7" x14ac:dyDescent="0.35">
      <c r="A3684" s="1">
        <v>45575</v>
      </c>
      <c r="B3684">
        <v>4970.34</v>
      </c>
      <c r="C3684">
        <v>7541.59</v>
      </c>
      <c r="D3684">
        <v>19210.900000000001</v>
      </c>
      <c r="E3684">
        <v>9845.8472899999997</v>
      </c>
      <c r="F3684">
        <v>11656.7</v>
      </c>
      <c r="G3684">
        <v>34077.42</v>
      </c>
    </row>
    <row r="3685" spans="1:7" x14ac:dyDescent="0.35">
      <c r="A3685" s="1">
        <v>45576</v>
      </c>
      <c r="B3685">
        <v>5003.92</v>
      </c>
      <c r="C3685">
        <v>7577.89</v>
      </c>
      <c r="D3685">
        <v>19373.830000000002</v>
      </c>
      <c r="E3685">
        <v>9858.3797599999998</v>
      </c>
      <c r="F3685">
        <v>11720</v>
      </c>
      <c r="G3685">
        <v>34308.01</v>
      </c>
    </row>
    <row r="3686" spans="1:7" x14ac:dyDescent="0.35">
      <c r="A3686" s="1">
        <v>45579</v>
      </c>
      <c r="B3686">
        <v>5041.01</v>
      </c>
      <c r="C3686">
        <v>7602.06</v>
      </c>
      <c r="D3686">
        <v>19508.29</v>
      </c>
      <c r="E3686">
        <v>9928.0680900000007</v>
      </c>
      <c r="F3686">
        <v>11850.9</v>
      </c>
      <c r="G3686">
        <v>34680.550000000003</v>
      </c>
    </row>
    <row r="3687" spans="1:7" x14ac:dyDescent="0.35">
      <c r="A3687" s="1">
        <v>45580</v>
      </c>
      <c r="B3687">
        <v>4946.7299999999996</v>
      </c>
      <c r="C3687">
        <v>7521.97</v>
      </c>
      <c r="D3687">
        <v>19486.189999999999</v>
      </c>
      <c r="E3687">
        <v>9900.6510199999993</v>
      </c>
      <c r="F3687">
        <v>11930.2</v>
      </c>
      <c r="G3687">
        <v>34578.449999999997</v>
      </c>
    </row>
    <row r="3688" spans="1:7" x14ac:dyDescent="0.35">
      <c r="A3688" s="1">
        <v>45581</v>
      </c>
      <c r="B3688">
        <v>4908.71</v>
      </c>
      <c r="C3688">
        <v>7492</v>
      </c>
      <c r="D3688">
        <v>19432.810000000001</v>
      </c>
      <c r="E3688">
        <v>9966.0679299999993</v>
      </c>
      <c r="F3688">
        <v>11996.7</v>
      </c>
      <c r="G3688">
        <v>34660</v>
      </c>
    </row>
    <row r="3689" spans="1:7" x14ac:dyDescent="0.35">
      <c r="A3689" s="1">
        <v>45582</v>
      </c>
      <c r="B3689">
        <v>4947.3</v>
      </c>
      <c r="C3689">
        <v>7583.73</v>
      </c>
      <c r="D3689">
        <v>19583.39</v>
      </c>
      <c r="E3689">
        <v>10077.648160000001</v>
      </c>
      <c r="F3689">
        <v>11904.5</v>
      </c>
      <c r="G3689">
        <v>35038.730000000003</v>
      </c>
    </row>
    <row r="3690" spans="1:7" x14ac:dyDescent="0.35">
      <c r="A3690" s="1">
        <v>45583</v>
      </c>
      <c r="B3690">
        <v>4986.2700000000004</v>
      </c>
      <c r="C3690">
        <v>7613.05</v>
      </c>
      <c r="D3690">
        <v>19657.37</v>
      </c>
      <c r="E3690">
        <v>10032.66891</v>
      </c>
      <c r="F3690">
        <v>11925.2</v>
      </c>
      <c r="G3690">
        <v>35204.26</v>
      </c>
    </row>
    <row r="3691" spans="1:7" x14ac:dyDescent="0.35">
      <c r="A3691" s="1">
        <v>45586</v>
      </c>
      <c r="B3691">
        <v>4941.22</v>
      </c>
      <c r="C3691">
        <v>7536.23</v>
      </c>
      <c r="D3691">
        <v>19461.189999999999</v>
      </c>
      <c r="E3691">
        <v>9985.1171900000008</v>
      </c>
      <c r="F3691">
        <v>11841.1</v>
      </c>
      <c r="G3691">
        <v>34955.949999999997</v>
      </c>
    </row>
    <row r="3692" spans="1:7" x14ac:dyDescent="0.35">
      <c r="A3692" s="1">
        <v>45587</v>
      </c>
      <c r="B3692">
        <v>4939.3100000000004</v>
      </c>
      <c r="C3692">
        <v>7535.1</v>
      </c>
      <c r="D3692">
        <v>19421.91</v>
      </c>
      <c r="E3692">
        <v>9971.9982</v>
      </c>
      <c r="F3692">
        <v>11832.7</v>
      </c>
      <c r="G3692">
        <v>34733.519999999997</v>
      </c>
    </row>
    <row r="3693" spans="1:7" x14ac:dyDescent="0.35">
      <c r="A3693" s="1">
        <v>45588</v>
      </c>
      <c r="B3693">
        <v>4922.55</v>
      </c>
      <c r="C3693">
        <v>7497.48</v>
      </c>
      <c r="D3693">
        <v>19377.62</v>
      </c>
      <c r="E3693">
        <v>9911.4412499999999</v>
      </c>
      <c r="F3693">
        <v>11865.2</v>
      </c>
      <c r="G3693">
        <v>34697.230000000003</v>
      </c>
    </row>
    <row r="3694" spans="1:7" x14ac:dyDescent="0.35">
      <c r="A3694" s="1">
        <v>45589</v>
      </c>
      <c r="B3694">
        <v>4935.45</v>
      </c>
      <c r="C3694">
        <v>7503.28</v>
      </c>
      <c r="D3694">
        <v>19443</v>
      </c>
      <c r="E3694">
        <v>9913.1592600000004</v>
      </c>
      <c r="F3694">
        <v>11839.8</v>
      </c>
      <c r="G3694">
        <v>34698.81</v>
      </c>
    </row>
    <row r="3695" spans="1:7" x14ac:dyDescent="0.35">
      <c r="A3695" s="1">
        <v>45590</v>
      </c>
      <c r="B3695">
        <v>4943.09</v>
      </c>
      <c r="C3695">
        <v>7497.54</v>
      </c>
      <c r="D3695">
        <v>19463.59</v>
      </c>
      <c r="E3695">
        <v>9907.0057099999995</v>
      </c>
      <c r="F3695">
        <v>11812.5</v>
      </c>
      <c r="G3695">
        <v>34776.1</v>
      </c>
    </row>
    <row r="3696" spans="1:7" x14ac:dyDescent="0.35">
      <c r="A3696" s="1">
        <v>45593</v>
      </c>
      <c r="B3696">
        <v>4969.83</v>
      </c>
      <c r="C3696">
        <v>7556.94</v>
      </c>
      <c r="D3696">
        <v>19531.62</v>
      </c>
      <c r="E3696">
        <v>9941.3648499999999</v>
      </c>
      <c r="F3696">
        <v>11904</v>
      </c>
      <c r="G3696">
        <v>35016.44</v>
      </c>
    </row>
    <row r="3697" spans="1:7" x14ac:dyDescent="0.35">
      <c r="A3697" s="1">
        <v>45594</v>
      </c>
      <c r="B3697">
        <v>4950.0200000000004</v>
      </c>
      <c r="C3697">
        <v>7511.11</v>
      </c>
      <c r="D3697">
        <v>19478.07</v>
      </c>
      <c r="E3697">
        <v>9887.7207500000004</v>
      </c>
      <c r="F3697">
        <v>11795.3</v>
      </c>
      <c r="G3697">
        <v>34925.589999999997</v>
      </c>
    </row>
    <row r="3698" spans="1:7" x14ac:dyDescent="0.35">
      <c r="A3698" s="1">
        <v>45595</v>
      </c>
      <c r="B3698">
        <v>4885.75</v>
      </c>
      <c r="C3698">
        <v>7428.36</v>
      </c>
      <c r="D3698">
        <v>19257.34</v>
      </c>
      <c r="E3698">
        <v>9745.5989499999996</v>
      </c>
      <c r="F3698">
        <v>11715</v>
      </c>
      <c r="G3698">
        <v>34502.699999999997</v>
      </c>
    </row>
    <row r="3699" spans="1:7" x14ac:dyDescent="0.35">
      <c r="A3699" s="1">
        <v>45596</v>
      </c>
      <c r="B3699">
        <v>4827.63</v>
      </c>
      <c r="C3699">
        <v>7350.37</v>
      </c>
      <c r="D3699">
        <v>19077.54</v>
      </c>
      <c r="E3699">
        <v>9601.9044400000002</v>
      </c>
      <c r="F3699">
        <v>11672.6</v>
      </c>
      <c r="G3699">
        <v>34281.24</v>
      </c>
    </row>
    <row r="3700" spans="1:7" x14ac:dyDescent="0.35">
      <c r="A3700" s="1">
        <v>45597</v>
      </c>
      <c r="B3700">
        <v>4877.75</v>
      </c>
      <c r="C3700">
        <v>7409.11</v>
      </c>
      <c r="D3700">
        <v>19254.97</v>
      </c>
      <c r="E3700">
        <v>9755.8319699999993</v>
      </c>
      <c r="F3700">
        <v>11843</v>
      </c>
      <c r="G3700">
        <v>34676.17</v>
      </c>
    </row>
    <row r="3701" spans="1:7" x14ac:dyDescent="0.35">
      <c r="A3701" s="1">
        <v>45600</v>
      </c>
      <c r="B3701">
        <v>4852.1000000000004</v>
      </c>
      <c r="C3701">
        <v>7371.71</v>
      </c>
      <c r="D3701">
        <v>19147.849999999999</v>
      </c>
      <c r="E3701">
        <v>9737.8100300000006</v>
      </c>
      <c r="F3701">
        <v>11805.1</v>
      </c>
      <c r="G3701">
        <v>34540.730000000003</v>
      </c>
    </row>
    <row r="3702" spans="1:7" x14ac:dyDescent="0.35">
      <c r="A3702" s="1">
        <v>45601</v>
      </c>
      <c r="B3702">
        <v>4870.33</v>
      </c>
      <c r="C3702">
        <v>7407.15</v>
      </c>
      <c r="D3702">
        <v>19256.27</v>
      </c>
      <c r="E3702">
        <v>9745.55638</v>
      </c>
      <c r="F3702">
        <v>11839.2</v>
      </c>
      <c r="G3702">
        <v>34472.06</v>
      </c>
    </row>
    <row r="3703" spans="1:7" x14ac:dyDescent="0.35">
      <c r="A3703" s="1">
        <v>45602</v>
      </c>
      <c r="B3703">
        <v>4800.63</v>
      </c>
      <c r="C3703">
        <v>7369.61</v>
      </c>
      <c r="D3703">
        <v>19039.310000000001</v>
      </c>
      <c r="E3703">
        <v>9813.4152300000005</v>
      </c>
      <c r="F3703">
        <v>11495.3</v>
      </c>
      <c r="G3703">
        <v>33940.720000000001</v>
      </c>
    </row>
    <row r="3704" spans="1:7" x14ac:dyDescent="0.35">
      <c r="A3704" s="1">
        <v>45603</v>
      </c>
      <c r="B3704">
        <v>4851.96</v>
      </c>
      <c r="C3704">
        <v>7425.6</v>
      </c>
      <c r="D3704">
        <v>19362.52</v>
      </c>
      <c r="E3704">
        <v>9786.9701600000008</v>
      </c>
      <c r="F3704">
        <v>11570.1</v>
      </c>
      <c r="G3704">
        <v>33981.230000000003</v>
      </c>
    </row>
    <row r="3705" spans="1:7" x14ac:dyDescent="0.35">
      <c r="A3705" s="1">
        <v>45604</v>
      </c>
      <c r="B3705">
        <v>4802.76</v>
      </c>
      <c r="C3705">
        <v>7338.67</v>
      </c>
      <c r="D3705">
        <v>19215.48</v>
      </c>
      <c r="E3705">
        <v>9721.6933300000001</v>
      </c>
      <c r="F3705">
        <v>11551.6</v>
      </c>
      <c r="G3705">
        <v>33816.58</v>
      </c>
    </row>
    <row r="3706" spans="1:7" x14ac:dyDescent="0.35">
      <c r="A3706" s="1">
        <v>45607</v>
      </c>
      <c r="B3706">
        <v>4854.03</v>
      </c>
      <c r="C3706">
        <v>7426.88</v>
      </c>
      <c r="D3706">
        <v>19448.599999999999</v>
      </c>
      <c r="E3706">
        <v>9815.2356199999995</v>
      </c>
      <c r="F3706">
        <v>11597.3</v>
      </c>
      <c r="G3706">
        <v>34343.83</v>
      </c>
    </row>
    <row r="3707" spans="1:7" x14ac:dyDescent="0.35">
      <c r="A3707" s="1">
        <v>45608</v>
      </c>
      <c r="B3707">
        <v>4744.6899999999996</v>
      </c>
      <c r="C3707">
        <v>7226.98</v>
      </c>
      <c r="D3707">
        <v>19033.64</v>
      </c>
      <c r="E3707">
        <v>9634.4045800000004</v>
      </c>
      <c r="F3707">
        <v>11382.6</v>
      </c>
      <c r="G3707">
        <v>33607.14</v>
      </c>
    </row>
    <row r="3708" spans="1:7" x14ac:dyDescent="0.35">
      <c r="A3708" s="1">
        <v>45609</v>
      </c>
      <c r="B3708">
        <v>4740.34</v>
      </c>
      <c r="C3708">
        <v>7216.83</v>
      </c>
      <c r="D3708">
        <v>19003.11</v>
      </c>
      <c r="E3708">
        <v>9657.0625700000001</v>
      </c>
      <c r="F3708">
        <v>11377.1</v>
      </c>
      <c r="G3708">
        <v>33707.519999999997</v>
      </c>
    </row>
    <row r="3709" spans="1:7" x14ac:dyDescent="0.35">
      <c r="A3709" s="1">
        <v>45610</v>
      </c>
      <c r="B3709">
        <v>4833.53</v>
      </c>
      <c r="C3709">
        <v>7311.8</v>
      </c>
      <c r="D3709">
        <v>19263.7</v>
      </c>
      <c r="E3709">
        <v>9710.0413499999995</v>
      </c>
      <c r="F3709">
        <v>11524.3</v>
      </c>
      <c r="G3709">
        <v>34358.160000000003</v>
      </c>
    </row>
    <row r="3710" spans="1:7" x14ac:dyDescent="0.35">
      <c r="A3710" s="1">
        <v>45611</v>
      </c>
      <c r="B3710">
        <v>4794.8500000000004</v>
      </c>
      <c r="C3710">
        <v>7269.63</v>
      </c>
      <c r="D3710">
        <v>19210.810000000001</v>
      </c>
      <c r="E3710">
        <v>9652.0242199999993</v>
      </c>
      <c r="F3710">
        <v>11635.9</v>
      </c>
      <c r="G3710">
        <v>34191.79</v>
      </c>
    </row>
    <row r="3711" spans="1:7" x14ac:dyDescent="0.35">
      <c r="A3711" s="1">
        <v>45614</v>
      </c>
      <c r="B3711">
        <v>4790.33</v>
      </c>
      <c r="C3711">
        <v>7278.23</v>
      </c>
      <c r="D3711">
        <v>19189.189999999999</v>
      </c>
      <c r="E3711">
        <v>9698.1066100000007</v>
      </c>
      <c r="F3711">
        <v>11674.8</v>
      </c>
      <c r="G3711">
        <v>33758.43</v>
      </c>
    </row>
    <row r="3712" spans="1:7" x14ac:dyDescent="0.35">
      <c r="A3712" s="1">
        <v>45615</v>
      </c>
      <c r="B3712">
        <v>4751.2299999999996</v>
      </c>
      <c r="C3712">
        <v>7229.64</v>
      </c>
      <c r="D3712">
        <v>19060.310000000001</v>
      </c>
      <c r="E3712">
        <v>9699.6864299999997</v>
      </c>
      <c r="F3712">
        <v>11588.4</v>
      </c>
      <c r="G3712">
        <v>33324.730000000003</v>
      </c>
    </row>
    <row r="3713" spans="1:7" x14ac:dyDescent="0.35">
      <c r="A3713" s="1">
        <v>45616</v>
      </c>
      <c r="B3713">
        <v>4729.71</v>
      </c>
      <c r="C3713">
        <v>7198.45</v>
      </c>
      <c r="D3713">
        <v>19004.78</v>
      </c>
      <c r="E3713">
        <v>9714.0596100000002</v>
      </c>
      <c r="F3713">
        <v>11589.5</v>
      </c>
      <c r="G3713">
        <v>33227.699999999997</v>
      </c>
    </row>
    <row r="3714" spans="1:7" x14ac:dyDescent="0.35">
      <c r="A3714" s="1">
        <v>45617</v>
      </c>
      <c r="B3714">
        <v>4755.83</v>
      </c>
      <c r="C3714">
        <v>7213.32</v>
      </c>
      <c r="D3714">
        <v>19146.169999999998</v>
      </c>
      <c r="E3714">
        <v>9790.3129300000001</v>
      </c>
      <c r="F3714">
        <v>11611.7</v>
      </c>
      <c r="G3714">
        <v>33294.959999999999</v>
      </c>
    </row>
    <row r="3715" spans="1:7" x14ac:dyDescent="0.35">
      <c r="A3715" s="1">
        <v>45618</v>
      </c>
      <c r="B3715">
        <v>4789.08</v>
      </c>
      <c r="C3715">
        <v>7255.01</v>
      </c>
      <c r="D3715">
        <v>19322.59</v>
      </c>
      <c r="E3715">
        <v>9936.0651099999995</v>
      </c>
      <c r="F3715">
        <v>11656.6</v>
      </c>
      <c r="G3715">
        <v>33494.83</v>
      </c>
    </row>
    <row r="3716" spans="1:7" x14ac:dyDescent="0.35">
      <c r="A3716" s="1">
        <v>45621</v>
      </c>
      <c r="B3716">
        <v>4799.87</v>
      </c>
      <c r="C3716">
        <v>7257.47</v>
      </c>
      <c r="D3716">
        <v>19405.2</v>
      </c>
      <c r="E3716">
        <v>9926.9264500000008</v>
      </c>
      <c r="F3716">
        <v>11711.8</v>
      </c>
      <c r="G3716">
        <v>33427.72</v>
      </c>
    </row>
    <row r="3717" spans="1:7" x14ac:dyDescent="0.35">
      <c r="A3717" s="1">
        <v>45622</v>
      </c>
      <c r="B3717">
        <v>4761.99</v>
      </c>
      <c r="C3717">
        <v>7194.51</v>
      </c>
      <c r="D3717">
        <v>19295.98</v>
      </c>
      <c r="E3717">
        <v>9889.0347199999997</v>
      </c>
      <c r="F3717">
        <v>11617.9</v>
      </c>
      <c r="G3717">
        <v>33167.64</v>
      </c>
    </row>
    <row r="3718" spans="1:7" x14ac:dyDescent="0.35">
      <c r="A3718" s="1">
        <v>45623</v>
      </c>
      <c r="B3718">
        <v>4733.1499999999996</v>
      </c>
      <c r="C3718">
        <v>7143.03</v>
      </c>
      <c r="D3718">
        <v>19261.75</v>
      </c>
      <c r="E3718">
        <v>9917.0249899999999</v>
      </c>
      <c r="F3718">
        <v>11579.5</v>
      </c>
      <c r="G3718">
        <v>33089.72</v>
      </c>
    </row>
    <row r="3719" spans="1:7" x14ac:dyDescent="0.35">
      <c r="A3719" s="1">
        <v>45624</v>
      </c>
      <c r="B3719">
        <v>4758.6499999999996</v>
      </c>
      <c r="C3719">
        <v>7179.25</v>
      </c>
      <c r="D3719">
        <v>19425.73</v>
      </c>
      <c r="E3719">
        <v>9956.6113299999997</v>
      </c>
      <c r="F3719">
        <v>11610.8</v>
      </c>
      <c r="G3719">
        <v>33260.129999999997</v>
      </c>
    </row>
    <row r="3720" spans="1:7" x14ac:dyDescent="0.35">
      <c r="A3720" s="1">
        <v>45625</v>
      </c>
      <c r="B3720">
        <v>4804.3999999999996</v>
      </c>
      <c r="C3720">
        <v>7235.11</v>
      </c>
      <c r="D3720">
        <v>19626.45</v>
      </c>
      <c r="E3720">
        <v>9978.0095799999999</v>
      </c>
      <c r="F3720">
        <v>11641.3</v>
      </c>
      <c r="G3720">
        <v>33414.559999999998</v>
      </c>
    </row>
    <row r="3721" spans="1:7" x14ac:dyDescent="0.35">
      <c r="A3721" s="1">
        <v>45628</v>
      </c>
      <c r="B3721">
        <v>4846.7299999999996</v>
      </c>
      <c r="C3721">
        <v>7236.89</v>
      </c>
      <c r="D3721">
        <v>19933.62</v>
      </c>
      <c r="E3721">
        <v>10021.7564</v>
      </c>
      <c r="F3721">
        <v>11735.3</v>
      </c>
      <c r="G3721">
        <v>33483.17</v>
      </c>
    </row>
    <row r="3722" spans="1:7" x14ac:dyDescent="0.35">
      <c r="A3722" s="1">
        <v>45629</v>
      </c>
      <c r="B3722">
        <v>4878.51</v>
      </c>
      <c r="C3722">
        <v>7255.42</v>
      </c>
      <c r="D3722">
        <v>20016.75</v>
      </c>
      <c r="E3722">
        <v>10076.705449999999</v>
      </c>
      <c r="F3722">
        <v>11873.6</v>
      </c>
      <c r="G3722">
        <v>33829.339999999997</v>
      </c>
    </row>
    <row r="3723" spans="1:7" x14ac:dyDescent="0.35">
      <c r="A3723" s="1">
        <v>45630</v>
      </c>
      <c r="B3723">
        <v>4919.0200000000004</v>
      </c>
      <c r="C3723">
        <v>7303.28</v>
      </c>
      <c r="D3723">
        <v>20232.14</v>
      </c>
      <c r="E3723">
        <v>10060.405790000001</v>
      </c>
      <c r="F3723">
        <v>11931.6</v>
      </c>
      <c r="G3723">
        <v>34083.910000000003</v>
      </c>
    </row>
    <row r="3724" spans="1:7" x14ac:dyDescent="0.35">
      <c r="A3724" s="1">
        <v>45631</v>
      </c>
      <c r="B3724">
        <v>4951.58</v>
      </c>
      <c r="C3724">
        <v>7330.54</v>
      </c>
      <c r="D3724">
        <v>20358.8</v>
      </c>
      <c r="E3724">
        <v>10070.926079999999</v>
      </c>
      <c r="F3724">
        <v>12118.7</v>
      </c>
      <c r="G3724">
        <v>34626.28</v>
      </c>
    </row>
    <row r="3725" spans="1:7" x14ac:dyDescent="0.35">
      <c r="A3725" s="1">
        <v>45632</v>
      </c>
      <c r="B3725">
        <v>4977.78</v>
      </c>
      <c r="C3725">
        <v>7426.88</v>
      </c>
      <c r="D3725">
        <v>20384.61</v>
      </c>
      <c r="E3725">
        <v>10022.935079999999</v>
      </c>
      <c r="F3725">
        <v>12072</v>
      </c>
      <c r="G3725">
        <v>34749.5</v>
      </c>
    </row>
    <row r="3726" spans="1:7" x14ac:dyDescent="0.35">
      <c r="A3726" s="1">
        <v>45635</v>
      </c>
      <c r="B3726">
        <v>4985.46</v>
      </c>
      <c r="C3726">
        <v>7480.14</v>
      </c>
      <c r="D3726">
        <v>20345.96</v>
      </c>
      <c r="E3726">
        <v>10094.105579999999</v>
      </c>
      <c r="F3726">
        <v>12011.5</v>
      </c>
      <c r="G3726">
        <v>34559.83</v>
      </c>
    </row>
    <row r="3727" spans="1:7" x14ac:dyDescent="0.35">
      <c r="A3727" s="1">
        <v>45636</v>
      </c>
      <c r="B3727">
        <v>4951.74</v>
      </c>
      <c r="C3727">
        <v>7394.78</v>
      </c>
      <c r="D3727">
        <v>20329.16</v>
      </c>
      <c r="E3727">
        <v>10042.00462</v>
      </c>
      <c r="F3727">
        <v>11965.5</v>
      </c>
      <c r="G3727">
        <v>34524.699999999997</v>
      </c>
    </row>
    <row r="3728" spans="1:7" x14ac:dyDescent="0.35">
      <c r="A3728" s="1">
        <v>45637</v>
      </c>
      <c r="B3728">
        <v>4959.3500000000004</v>
      </c>
      <c r="C3728">
        <v>7423.4</v>
      </c>
      <c r="D3728">
        <v>20399.16</v>
      </c>
      <c r="E3728">
        <v>10086.53162</v>
      </c>
      <c r="F3728">
        <v>11789.3</v>
      </c>
      <c r="G3728">
        <v>34731.31</v>
      </c>
    </row>
    <row r="3729" spans="1:7" x14ac:dyDescent="0.35">
      <c r="A3729" s="1">
        <v>45638</v>
      </c>
      <c r="B3729">
        <v>4965.53</v>
      </c>
      <c r="C3729">
        <v>7420.94</v>
      </c>
      <c r="D3729">
        <v>20426.27</v>
      </c>
      <c r="E3729">
        <v>10054.688819999999</v>
      </c>
      <c r="F3729">
        <v>11764.8</v>
      </c>
      <c r="G3729">
        <v>34857.370000000003</v>
      </c>
    </row>
    <row r="3730" spans="1:7" x14ac:dyDescent="0.35">
      <c r="A3730" s="1">
        <v>45639</v>
      </c>
      <c r="B3730">
        <v>4967.95</v>
      </c>
      <c r="C3730">
        <v>7409.57</v>
      </c>
      <c r="D3730">
        <v>20405.919999999998</v>
      </c>
      <c r="E3730">
        <v>9980.7988700000005</v>
      </c>
      <c r="F3730">
        <v>11752.1</v>
      </c>
      <c r="G3730">
        <v>34888.79</v>
      </c>
    </row>
    <row r="3731" spans="1:7" x14ac:dyDescent="0.35">
      <c r="A3731" s="1">
        <v>45642</v>
      </c>
      <c r="B3731">
        <v>4947.03</v>
      </c>
      <c r="C3731">
        <v>7357.08</v>
      </c>
      <c r="D3731">
        <v>20313.810000000001</v>
      </c>
      <c r="E3731">
        <v>9969.3254799999995</v>
      </c>
      <c r="F3731">
        <v>11778.6</v>
      </c>
      <c r="G3731">
        <v>34740.25</v>
      </c>
    </row>
    <row r="3732" spans="1:7" x14ac:dyDescent="0.35">
      <c r="A3732" s="1">
        <v>45643</v>
      </c>
      <c r="B3732">
        <v>4942.58</v>
      </c>
      <c r="C3732">
        <v>7365.7</v>
      </c>
      <c r="D3732">
        <v>20246.37</v>
      </c>
      <c r="E3732">
        <v>9927.8994299999995</v>
      </c>
      <c r="F3732">
        <v>11588.1</v>
      </c>
      <c r="G3732">
        <v>34315.24</v>
      </c>
    </row>
    <row r="3733" spans="1:7" x14ac:dyDescent="0.35">
      <c r="A3733" s="1">
        <v>45644</v>
      </c>
      <c r="B3733">
        <v>4957.28</v>
      </c>
      <c r="C3733">
        <v>7384.62</v>
      </c>
      <c r="D3733">
        <v>20242.57</v>
      </c>
      <c r="E3733">
        <v>9944.6007200000004</v>
      </c>
      <c r="F3733">
        <v>11617.9</v>
      </c>
      <c r="G3733">
        <v>34400.99</v>
      </c>
    </row>
    <row r="3734" spans="1:7" x14ac:dyDescent="0.35">
      <c r="A3734" s="1">
        <v>45645</v>
      </c>
      <c r="B3734">
        <v>4879</v>
      </c>
      <c r="C3734">
        <v>7294.37</v>
      </c>
      <c r="D3734">
        <v>19969.86</v>
      </c>
      <c r="E3734">
        <v>9785.5195100000001</v>
      </c>
      <c r="F3734">
        <v>11439.9</v>
      </c>
      <c r="G3734">
        <v>33787</v>
      </c>
    </row>
    <row r="3735" spans="1:7" x14ac:dyDescent="0.35">
      <c r="A3735" s="1">
        <v>45646</v>
      </c>
      <c r="B3735">
        <v>4862.28</v>
      </c>
      <c r="C3735">
        <v>7274.48</v>
      </c>
      <c r="D3735">
        <v>19884.75</v>
      </c>
      <c r="E3735">
        <v>9770.6802599999992</v>
      </c>
      <c r="F3735">
        <v>11467.3</v>
      </c>
      <c r="G3735">
        <v>33766.29</v>
      </c>
    </row>
    <row r="3736" spans="1:7" x14ac:dyDescent="0.35">
      <c r="A3736" s="1">
        <v>45649</v>
      </c>
      <c r="B3736">
        <v>4852.93</v>
      </c>
      <c r="C3736">
        <v>7272.32</v>
      </c>
      <c r="D3736">
        <v>19848.77</v>
      </c>
      <c r="E3736">
        <v>9757.0837800000008</v>
      </c>
      <c r="F3736">
        <v>11435.7</v>
      </c>
      <c r="G3736">
        <v>33739.9</v>
      </c>
    </row>
    <row r="3737" spans="1:7" x14ac:dyDescent="0.35">
      <c r="A3737" s="1">
        <v>45653</v>
      </c>
      <c r="B3737">
        <v>4898.88</v>
      </c>
      <c r="C3737">
        <v>7355.37</v>
      </c>
      <c r="D3737">
        <v>19984.32</v>
      </c>
      <c r="E3737">
        <v>9822.5925299999999</v>
      </c>
      <c r="F3737">
        <v>11531.6</v>
      </c>
      <c r="G3737">
        <v>34160.97</v>
      </c>
    </row>
    <row r="3738" spans="1:7" x14ac:dyDescent="0.35">
      <c r="A3738" s="1">
        <v>45656</v>
      </c>
      <c r="B3738">
        <v>4869.28</v>
      </c>
      <c r="C3738">
        <v>7313.56</v>
      </c>
      <c r="D3738">
        <v>19909.14</v>
      </c>
      <c r="E3738">
        <v>9801.6231000000007</v>
      </c>
      <c r="F3738">
        <v>11536.8</v>
      </c>
      <c r="G3738">
        <v>34186.18</v>
      </c>
    </row>
    <row r="3739" spans="1:7" x14ac:dyDescent="0.35">
      <c r="A3739" s="1">
        <v>45659</v>
      </c>
      <c r="B3739">
        <v>4917.88</v>
      </c>
      <c r="C3739">
        <v>7393.76</v>
      </c>
      <c r="D3739">
        <v>20024.66</v>
      </c>
      <c r="E3739">
        <v>9955.5609800000002</v>
      </c>
      <c r="F3739">
        <v>11676.9</v>
      </c>
      <c r="G3739">
        <v>34374.769999999997</v>
      </c>
    </row>
    <row r="3740" spans="1:7" x14ac:dyDescent="0.35">
      <c r="A3740" s="1">
        <v>45660</v>
      </c>
      <c r="B3740">
        <v>4871.45</v>
      </c>
      <c r="C3740">
        <v>7282.22</v>
      </c>
      <c r="D3740">
        <v>19906.080000000002</v>
      </c>
      <c r="E3740">
        <v>9917.0114200000007</v>
      </c>
      <c r="F3740">
        <v>11651.6</v>
      </c>
      <c r="G3740">
        <v>34127.620000000003</v>
      </c>
    </row>
    <row r="3741" spans="1:7" x14ac:dyDescent="0.35">
      <c r="A3741" s="1">
        <v>45663</v>
      </c>
      <c r="B3741">
        <v>4986.6400000000003</v>
      </c>
      <c r="C3741">
        <v>7445.69</v>
      </c>
      <c r="D3741">
        <v>20216.189999999999</v>
      </c>
      <c r="E3741">
        <v>9941.2056100000009</v>
      </c>
      <c r="F3741">
        <v>11808.2</v>
      </c>
      <c r="G3741">
        <v>34780.81</v>
      </c>
    </row>
    <row r="3742" spans="1:7" x14ac:dyDescent="0.35">
      <c r="A3742" s="1">
        <v>45664</v>
      </c>
      <c r="B3742">
        <v>5011.82</v>
      </c>
      <c r="C3742">
        <v>7489.35</v>
      </c>
      <c r="D3742">
        <v>20340.57</v>
      </c>
      <c r="E3742">
        <v>9941.7382099999995</v>
      </c>
      <c r="F3742">
        <v>11811.9</v>
      </c>
      <c r="G3742">
        <v>34938.9</v>
      </c>
    </row>
    <row r="3743" spans="1:7" x14ac:dyDescent="0.35">
      <c r="A3743" s="1">
        <v>45665</v>
      </c>
      <c r="B3743">
        <v>4996.3900000000003</v>
      </c>
      <c r="C3743">
        <v>7452.42</v>
      </c>
      <c r="D3743">
        <v>20329.939999999999</v>
      </c>
      <c r="E3743">
        <v>9884.2631799999999</v>
      </c>
      <c r="F3743">
        <v>11798.1</v>
      </c>
      <c r="G3743">
        <v>35108.74</v>
      </c>
    </row>
    <row r="3744" spans="1:7" x14ac:dyDescent="0.35">
      <c r="A3744" s="1">
        <v>45666</v>
      </c>
      <c r="B3744">
        <v>5017.91</v>
      </c>
      <c r="C3744">
        <v>7490.28</v>
      </c>
      <c r="D3744">
        <v>20317.099999999999</v>
      </c>
      <c r="E3744">
        <v>9938.8663400000005</v>
      </c>
      <c r="F3744">
        <v>11899.3</v>
      </c>
      <c r="G3744">
        <v>35315.51</v>
      </c>
    </row>
    <row r="3745" spans="1:7" x14ac:dyDescent="0.35">
      <c r="A3745" s="1">
        <v>45667</v>
      </c>
      <c r="B3745">
        <v>4977.26</v>
      </c>
      <c r="C3745">
        <v>7431.04</v>
      </c>
      <c r="D3745">
        <v>20214.79</v>
      </c>
      <c r="E3745">
        <v>9840.21911</v>
      </c>
      <c r="F3745">
        <v>11720.9</v>
      </c>
      <c r="G3745">
        <v>35090.230000000003</v>
      </c>
    </row>
    <row r="3746" spans="1:7" x14ac:dyDescent="0.35">
      <c r="A3746" s="1">
        <v>45670</v>
      </c>
      <c r="B3746">
        <v>4954.21</v>
      </c>
      <c r="C3746">
        <v>7408.64</v>
      </c>
      <c r="D3746">
        <v>20132.849999999999</v>
      </c>
      <c r="E3746">
        <v>9798.5211500000005</v>
      </c>
      <c r="F3746">
        <v>11688.2</v>
      </c>
      <c r="G3746">
        <v>34799.269999999997</v>
      </c>
    </row>
    <row r="3747" spans="1:7" x14ac:dyDescent="0.35">
      <c r="A3747" s="1">
        <v>45671</v>
      </c>
      <c r="B3747">
        <v>4980.47</v>
      </c>
      <c r="C3747">
        <v>7423.67</v>
      </c>
      <c r="D3747">
        <v>20271.330000000002</v>
      </c>
      <c r="E3747">
        <v>9714.61571</v>
      </c>
      <c r="F3747">
        <v>11752.1</v>
      </c>
      <c r="G3747">
        <v>35124.589999999997</v>
      </c>
    </row>
    <row r="3748" spans="1:7" x14ac:dyDescent="0.35">
      <c r="A3748" s="1">
        <v>45672</v>
      </c>
      <c r="B3748">
        <v>5032.3100000000004</v>
      </c>
      <c r="C3748">
        <v>7474.59</v>
      </c>
      <c r="D3748">
        <v>20574.68</v>
      </c>
      <c r="E3748">
        <v>9857.8945100000001</v>
      </c>
      <c r="F3748">
        <v>11898.5</v>
      </c>
      <c r="G3748">
        <v>35646.959999999999</v>
      </c>
    </row>
    <row r="3749" spans="1:7" x14ac:dyDescent="0.35">
      <c r="A3749" s="1">
        <v>45673</v>
      </c>
      <c r="B3749">
        <v>5106.93</v>
      </c>
      <c r="C3749">
        <v>7634.74</v>
      </c>
      <c r="D3749">
        <v>20655.39</v>
      </c>
      <c r="E3749">
        <v>9972.9707999999991</v>
      </c>
      <c r="F3749">
        <v>11840.6</v>
      </c>
      <c r="G3749">
        <v>35819.79</v>
      </c>
    </row>
    <row r="3750" spans="1:7" x14ac:dyDescent="0.35">
      <c r="A3750" s="1">
        <v>45674</v>
      </c>
      <c r="B3750">
        <v>5148.3</v>
      </c>
      <c r="C3750">
        <v>7709.75</v>
      </c>
      <c r="D3750">
        <v>20903.39</v>
      </c>
      <c r="E3750">
        <v>10070.42535</v>
      </c>
      <c r="F3750">
        <v>11916.3</v>
      </c>
      <c r="G3750">
        <v>36267.629999999997</v>
      </c>
    </row>
    <row r="3751" spans="1:7" x14ac:dyDescent="0.35">
      <c r="A3751" s="1">
        <v>45677</v>
      </c>
      <c r="B3751">
        <v>5164.4399999999996</v>
      </c>
      <c r="C3751">
        <v>7733.5</v>
      </c>
      <c r="D3751">
        <v>20990.31</v>
      </c>
      <c r="E3751">
        <v>10075.99386</v>
      </c>
      <c r="F3751">
        <v>11943.6</v>
      </c>
      <c r="G3751">
        <v>36143.83</v>
      </c>
    </row>
    <row r="3752" spans="1:7" x14ac:dyDescent="0.35">
      <c r="A3752" s="1">
        <v>45678</v>
      </c>
      <c r="B3752">
        <v>5165.96</v>
      </c>
      <c r="C3752">
        <v>7770.95</v>
      </c>
      <c r="D3752">
        <v>21042</v>
      </c>
      <c r="E3752">
        <v>10110.951209999999</v>
      </c>
      <c r="F3752">
        <v>11927.4</v>
      </c>
      <c r="G3752">
        <v>36059.17</v>
      </c>
    </row>
    <row r="3753" spans="1:7" x14ac:dyDescent="0.35">
      <c r="A3753" s="1">
        <v>45679</v>
      </c>
      <c r="B3753">
        <v>5205.83</v>
      </c>
      <c r="C3753">
        <v>7837.4</v>
      </c>
      <c r="D3753">
        <v>21254.27</v>
      </c>
      <c r="E3753">
        <v>10107.81337</v>
      </c>
      <c r="F3753">
        <v>11882.7</v>
      </c>
      <c r="G3753">
        <v>35854.07</v>
      </c>
    </row>
    <row r="3754" spans="1:7" x14ac:dyDescent="0.35">
      <c r="A3754" s="1">
        <v>45680</v>
      </c>
      <c r="B3754">
        <v>5217.5</v>
      </c>
      <c r="C3754">
        <v>7892.61</v>
      </c>
      <c r="D3754">
        <v>21411.53</v>
      </c>
      <c r="E3754">
        <v>10154.14473</v>
      </c>
      <c r="F3754">
        <v>11991.5</v>
      </c>
      <c r="G3754">
        <v>36112.839999999997</v>
      </c>
    </row>
    <row r="3755" spans="1:7" x14ac:dyDescent="0.35">
      <c r="A3755" s="1">
        <v>45681</v>
      </c>
      <c r="B3755">
        <v>5219.37</v>
      </c>
      <c r="C3755">
        <v>7927.62</v>
      </c>
      <c r="D3755">
        <v>21394.93</v>
      </c>
      <c r="E3755">
        <v>10101.545690000001</v>
      </c>
      <c r="F3755">
        <v>11982.6</v>
      </c>
      <c r="G3755">
        <v>36200.720000000001</v>
      </c>
    </row>
    <row r="3756" spans="1:7" x14ac:dyDescent="0.35">
      <c r="A3756" s="1">
        <v>45684</v>
      </c>
      <c r="B3756">
        <v>5188.45</v>
      </c>
      <c r="C3756">
        <v>7906.58</v>
      </c>
      <c r="D3756">
        <v>21282.18</v>
      </c>
      <c r="E3756">
        <v>10113.81278</v>
      </c>
      <c r="F3756">
        <v>11997.1</v>
      </c>
      <c r="G3756">
        <v>36191.17</v>
      </c>
    </row>
    <row r="3757" spans="1:7" x14ac:dyDescent="0.35">
      <c r="A3757" s="1">
        <v>45685</v>
      </c>
      <c r="B3757">
        <v>5195.71</v>
      </c>
      <c r="C3757">
        <v>7897.37</v>
      </c>
      <c r="D3757">
        <v>21430.58</v>
      </c>
      <c r="E3757">
        <v>10171.41065</v>
      </c>
      <c r="F3757">
        <v>12154.2</v>
      </c>
      <c r="G3757">
        <v>36147.06</v>
      </c>
    </row>
    <row r="3758" spans="1:7" x14ac:dyDescent="0.35">
      <c r="A3758" s="1">
        <v>45686</v>
      </c>
      <c r="B3758">
        <v>5230.66</v>
      </c>
      <c r="C3758">
        <v>7872.48</v>
      </c>
      <c r="D3758">
        <v>21637.53</v>
      </c>
      <c r="E3758">
        <v>10217.471649999999</v>
      </c>
      <c r="F3758">
        <v>12286.5</v>
      </c>
      <c r="G3758">
        <v>36371.67</v>
      </c>
    </row>
    <row r="3759" spans="1:7" x14ac:dyDescent="0.35">
      <c r="A3759" s="1">
        <v>45687</v>
      </c>
      <c r="B3759">
        <v>5282.21</v>
      </c>
      <c r="C3759">
        <v>7941.64</v>
      </c>
      <c r="D3759">
        <v>21727.200000000001</v>
      </c>
      <c r="E3759">
        <v>10330.269899999999</v>
      </c>
      <c r="F3759">
        <v>12419.6</v>
      </c>
      <c r="G3759">
        <v>36429.72</v>
      </c>
    </row>
    <row r="3760" spans="1:7" x14ac:dyDescent="0.35">
      <c r="A3760" s="1">
        <v>45688</v>
      </c>
      <c r="B3760">
        <v>5286.87</v>
      </c>
      <c r="C3760">
        <v>7950.17</v>
      </c>
      <c r="D3760">
        <v>21732.05</v>
      </c>
      <c r="E3760">
        <v>10367.13031</v>
      </c>
      <c r="F3760">
        <v>12368.9</v>
      </c>
      <c r="G3760">
        <v>36471.75</v>
      </c>
    </row>
    <row r="3761" spans="1:7" x14ac:dyDescent="0.35">
      <c r="A3761" s="1">
        <v>45691</v>
      </c>
      <c r="B3761">
        <v>5217.91</v>
      </c>
      <c r="C3761">
        <v>7854.92</v>
      </c>
      <c r="D3761">
        <v>21428.240000000002</v>
      </c>
      <c r="E3761">
        <v>10348.700650000001</v>
      </c>
      <c r="F3761">
        <v>12205.8</v>
      </c>
      <c r="G3761">
        <v>36218.980000000003</v>
      </c>
    </row>
    <row r="3762" spans="1:7" x14ac:dyDescent="0.35">
      <c r="A3762" s="1">
        <v>45692</v>
      </c>
      <c r="B3762">
        <v>5264.59</v>
      </c>
      <c r="C3762">
        <v>7906.4</v>
      </c>
      <c r="D3762">
        <v>21505.7</v>
      </c>
      <c r="E3762">
        <v>10310.19774</v>
      </c>
      <c r="F3762">
        <v>12372.8</v>
      </c>
      <c r="G3762">
        <v>36719.35</v>
      </c>
    </row>
    <row r="3763" spans="1:7" x14ac:dyDescent="0.35">
      <c r="A3763" s="1">
        <v>45693</v>
      </c>
      <c r="B3763">
        <v>5271.12</v>
      </c>
      <c r="C3763">
        <v>7891.68</v>
      </c>
      <c r="D3763">
        <v>21585.93</v>
      </c>
      <c r="E3763">
        <v>10352.085859999999</v>
      </c>
      <c r="F3763">
        <v>12536.7</v>
      </c>
      <c r="G3763">
        <v>36581.480000000003</v>
      </c>
    </row>
    <row r="3764" spans="1:7" x14ac:dyDescent="0.35">
      <c r="A3764" s="1">
        <v>45694</v>
      </c>
      <c r="B3764">
        <v>5356.63</v>
      </c>
      <c r="C3764">
        <v>8007.62</v>
      </c>
      <c r="D3764">
        <v>21902.42</v>
      </c>
      <c r="E3764">
        <v>10461.973</v>
      </c>
      <c r="F3764">
        <v>12731</v>
      </c>
      <c r="G3764">
        <v>37121.769999999997</v>
      </c>
    </row>
    <row r="3765" spans="1:7" x14ac:dyDescent="0.35">
      <c r="A3765" s="1">
        <v>45695</v>
      </c>
      <c r="B3765">
        <v>5325.4</v>
      </c>
      <c r="C3765">
        <v>7973.03</v>
      </c>
      <c r="D3765">
        <v>21787</v>
      </c>
      <c r="E3765">
        <v>10454.62833</v>
      </c>
      <c r="F3765">
        <v>12688.9</v>
      </c>
      <c r="G3765">
        <v>37055.699999999997</v>
      </c>
    </row>
    <row r="3766" spans="1:7" x14ac:dyDescent="0.35">
      <c r="A3766" s="1">
        <v>45698</v>
      </c>
      <c r="B3766">
        <v>5358.3</v>
      </c>
      <c r="C3766">
        <v>8006.22</v>
      </c>
      <c r="D3766">
        <v>21911.74</v>
      </c>
      <c r="E3766">
        <v>10526.12141</v>
      </c>
      <c r="F3766">
        <v>12708.8</v>
      </c>
      <c r="G3766">
        <v>37242.17</v>
      </c>
    </row>
    <row r="3767" spans="1:7" x14ac:dyDescent="0.35">
      <c r="A3767" s="1">
        <v>45699</v>
      </c>
      <c r="B3767">
        <v>5390.91</v>
      </c>
      <c r="C3767">
        <v>8028.9</v>
      </c>
      <c r="D3767">
        <v>22037.83</v>
      </c>
      <c r="E3767">
        <v>10540.333790000001</v>
      </c>
      <c r="F3767">
        <v>12774.8</v>
      </c>
      <c r="G3767">
        <v>37582.050000000003</v>
      </c>
    </row>
    <row r="3768" spans="1:7" x14ac:dyDescent="0.35">
      <c r="A3768" s="1">
        <v>45700</v>
      </c>
      <c r="B3768">
        <v>5405.65</v>
      </c>
      <c r="C3768">
        <v>8042.19</v>
      </c>
      <c r="D3768">
        <v>22148.03</v>
      </c>
      <c r="E3768">
        <v>10540.88206</v>
      </c>
      <c r="F3768">
        <v>12911.5</v>
      </c>
      <c r="G3768">
        <v>37531.19</v>
      </c>
    </row>
    <row r="3769" spans="1:7" x14ac:dyDescent="0.35">
      <c r="A3769" s="1">
        <v>45701</v>
      </c>
      <c r="B3769">
        <v>5500.5</v>
      </c>
      <c r="C3769">
        <v>8164.11</v>
      </c>
      <c r="D3769">
        <v>22612.02</v>
      </c>
      <c r="E3769">
        <v>10526.743130000001</v>
      </c>
      <c r="F3769">
        <v>12936.3</v>
      </c>
      <c r="G3769">
        <v>37908.050000000003</v>
      </c>
    </row>
    <row r="3770" spans="1:7" x14ac:dyDescent="0.35">
      <c r="A3770" s="1">
        <v>45702</v>
      </c>
      <c r="B3770">
        <v>5493.4</v>
      </c>
      <c r="C3770">
        <v>8178.54</v>
      </c>
      <c r="D3770">
        <v>22513.42</v>
      </c>
      <c r="E3770">
        <v>10479.45067</v>
      </c>
      <c r="F3770">
        <v>12956</v>
      </c>
      <c r="G3770">
        <v>37977.589999999997</v>
      </c>
    </row>
    <row r="3771" spans="1:7" x14ac:dyDescent="0.35">
      <c r="A3771" s="1">
        <v>45705</v>
      </c>
      <c r="B3771">
        <v>5519.83</v>
      </c>
      <c r="C3771">
        <v>8189.13</v>
      </c>
      <c r="D3771">
        <v>22798.09</v>
      </c>
      <c r="E3771">
        <v>10557.91188</v>
      </c>
      <c r="F3771">
        <v>13016.9</v>
      </c>
      <c r="G3771">
        <v>38327.72</v>
      </c>
    </row>
    <row r="3772" spans="1:7" x14ac:dyDescent="0.35">
      <c r="A3772" s="1">
        <v>45706</v>
      </c>
      <c r="B3772">
        <v>5533.84</v>
      </c>
      <c r="C3772">
        <v>8206.56</v>
      </c>
      <c r="D3772">
        <v>22844.5</v>
      </c>
      <c r="E3772">
        <v>10574.458930000001</v>
      </c>
      <c r="F3772">
        <v>13143.9</v>
      </c>
      <c r="G3772">
        <v>38554.15</v>
      </c>
    </row>
    <row r="3773" spans="1:7" x14ac:dyDescent="0.35">
      <c r="A3773" s="1">
        <v>45707</v>
      </c>
      <c r="B3773">
        <v>5461.17</v>
      </c>
      <c r="C3773">
        <v>8110.54</v>
      </c>
      <c r="D3773">
        <v>22433.63</v>
      </c>
      <c r="E3773">
        <v>10522.828020000001</v>
      </c>
      <c r="F3773">
        <v>12929.4</v>
      </c>
      <c r="G3773">
        <v>38348.160000000003</v>
      </c>
    </row>
    <row r="3774" spans="1:7" x14ac:dyDescent="0.35">
      <c r="A3774" s="1">
        <v>45708</v>
      </c>
      <c r="B3774">
        <v>5461.03</v>
      </c>
      <c r="C3774">
        <v>8122.58</v>
      </c>
      <c r="D3774">
        <v>22314.65</v>
      </c>
      <c r="E3774">
        <v>10450.239240000001</v>
      </c>
      <c r="F3774">
        <v>12967.1</v>
      </c>
      <c r="G3774">
        <v>38249.03</v>
      </c>
    </row>
    <row r="3775" spans="1:7" x14ac:dyDescent="0.35">
      <c r="A3775" s="1">
        <v>45709</v>
      </c>
      <c r="B3775">
        <v>5474.85</v>
      </c>
      <c r="C3775">
        <v>8154.51</v>
      </c>
      <c r="D3775">
        <v>22287.56</v>
      </c>
      <c r="E3775">
        <v>10465.23307</v>
      </c>
      <c r="F3775">
        <v>12952</v>
      </c>
      <c r="G3775">
        <v>38421.050000000003</v>
      </c>
    </row>
    <row r="3776" spans="1:7" x14ac:dyDescent="0.35">
      <c r="A3776" s="1">
        <v>45712</v>
      </c>
      <c r="B3776">
        <v>5453.76</v>
      </c>
      <c r="C3776">
        <v>8090.99</v>
      </c>
      <c r="D3776">
        <v>22425.93</v>
      </c>
      <c r="E3776">
        <v>10450.63565</v>
      </c>
      <c r="F3776">
        <v>13012.9</v>
      </c>
      <c r="G3776">
        <v>38472.559999999998</v>
      </c>
    </row>
    <row r="3777" spans="1:7" x14ac:dyDescent="0.35">
      <c r="A3777" s="1">
        <v>45713</v>
      </c>
      <c r="B3777">
        <v>5447.9</v>
      </c>
      <c r="C3777">
        <v>8051.07</v>
      </c>
      <c r="D3777">
        <v>22410.27</v>
      </c>
      <c r="E3777">
        <v>10452.425080000001</v>
      </c>
      <c r="F3777">
        <v>13116.8</v>
      </c>
      <c r="G3777">
        <v>38714.519999999997</v>
      </c>
    </row>
    <row r="3778" spans="1:7" x14ac:dyDescent="0.35">
      <c r="A3778" s="1">
        <v>45714</v>
      </c>
      <c r="B3778">
        <v>5527.99</v>
      </c>
      <c r="C3778">
        <v>8143.92</v>
      </c>
      <c r="D3778">
        <v>22794.11</v>
      </c>
      <c r="E3778">
        <v>10555.472229999999</v>
      </c>
      <c r="F3778">
        <v>13332</v>
      </c>
      <c r="G3778">
        <v>39224.71</v>
      </c>
    </row>
    <row r="3779" spans="1:7" x14ac:dyDescent="0.35">
      <c r="A3779" s="1">
        <v>45715</v>
      </c>
      <c r="B3779">
        <v>5472.56</v>
      </c>
      <c r="C3779">
        <v>8102.52</v>
      </c>
      <c r="D3779">
        <v>22550.89</v>
      </c>
      <c r="E3779">
        <v>10612.28757</v>
      </c>
      <c r="F3779">
        <v>13270.6</v>
      </c>
      <c r="G3779">
        <v>38622.839999999997</v>
      </c>
    </row>
    <row r="3780" spans="1:7" x14ac:dyDescent="0.35">
      <c r="A3780" s="1">
        <v>45716</v>
      </c>
      <c r="B3780">
        <v>5463.54</v>
      </c>
      <c r="C3780">
        <v>8111.63</v>
      </c>
      <c r="D3780">
        <v>22551.43</v>
      </c>
      <c r="E3780">
        <v>10667.945229999999</v>
      </c>
      <c r="F3780">
        <v>13347.3</v>
      </c>
      <c r="G3780">
        <v>38655.089999999997</v>
      </c>
    </row>
    <row r="3781" spans="1:7" x14ac:dyDescent="0.35">
      <c r="A3781" s="1">
        <v>45719</v>
      </c>
      <c r="B3781">
        <v>5540.69</v>
      </c>
      <c r="C3781">
        <v>8199.7099999999991</v>
      </c>
      <c r="D3781">
        <v>23147.02</v>
      </c>
      <c r="E3781">
        <v>10752.795539999999</v>
      </c>
      <c r="F3781">
        <v>13373.1</v>
      </c>
      <c r="G3781">
        <v>39069.4</v>
      </c>
    </row>
    <row r="3782" spans="1:7" x14ac:dyDescent="0.35">
      <c r="A3782" s="1">
        <v>45720</v>
      </c>
      <c r="B3782">
        <v>5387.31</v>
      </c>
      <c r="C3782">
        <v>8047.92</v>
      </c>
      <c r="D3782">
        <v>22326.81</v>
      </c>
      <c r="E3782">
        <v>10588.569149999999</v>
      </c>
      <c r="F3782">
        <v>13031.7</v>
      </c>
      <c r="G3782">
        <v>37736.160000000003</v>
      </c>
    </row>
    <row r="3783" spans="1:7" x14ac:dyDescent="0.35">
      <c r="A3783" s="1">
        <v>45721</v>
      </c>
      <c r="B3783">
        <v>5489.12</v>
      </c>
      <c r="C3783">
        <v>8173.75</v>
      </c>
      <c r="D3783">
        <v>23081.03</v>
      </c>
      <c r="E3783">
        <v>10456.67308</v>
      </c>
      <c r="F3783">
        <v>13214</v>
      </c>
      <c r="G3783">
        <v>38519.4</v>
      </c>
    </row>
    <row r="3784" spans="1:7" x14ac:dyDescent="0.35">
      <c r="A3784" s="1">
        <v>45722</v>
      </c>
      <c r="B3784">
        <v>5520.47</v>
      </c>
      <c r="C3784">
        <v>8197.67</v>
      </c>
      <c r="D3784">
        <v>23419.48</v>
      </c>
      <c r="E3784">
        <v>10364.401400000001</v>
      </c>
      <c r="F3784">
        <v>13234.2</v>
      </c>
      <c r="G3784">
        <v>38779.67</v>
      </c>
    </row>
    <row r="3785" spans="1:7" x14ac:dyDescent="0.35">
      <c r="A3785" s="1">
        <v>45723</v>
      </c>
      <c r="B3785">
        <v>5468.41</v>
      </c>
      <c r="C3785">
        <v>8120.8</v>
      </c>
      <c r="D3785">
        <v>23008.94</v>
      </c>
      <c r="E3785">
        <v>10332.923640000001</v>
      </c>
      <c r="F3785">
        <v>13257.1</v>
      </c>
      <c r="G3785">
        <v>38592.81</v>
      </c>
    </row>
    <row r="3786" spans="1:7" x14ac:dyDescent="0.35">
      <c r="A3786" s="1">
        <v>45726</v>
      </c>
      <c r="B3786">
        <v>5386.98</v>
      </c>
      <c r="C3786">
        <v>8047.6</v>
      </c>
      <c r="D3786">
        <v>22620.95</v>
      </c>
      <c r="E3786">
        <v>10226.558929999999</v>
      </c>
      <c r="F3786">
        <v>13082.7</v>
      </c>
      <c r="G3786">
        <v>38225.82</v>
      </c>
    </row>
    <row r="3787" spans="1:7" x14ac:dyDescent="0.35">
      <c r="A3787" s="1">
        <v>45727</v>
      </c>
      <c r="B3787">
        <v>5309.9</v>
      </c>
      <c r="C3787">
        <v>7941.91</v>
      </c>
      <c r="D3787">
        <v>22328.77</v>
      </c>
      <c r="E3787">
        <v>10062.47215</v>
      </c>
      <c r="F3787">
        <v>12877.3</v>
      </c>
      <c r="G3787">
        <v>37698.31</v>
      </c>
    </row>
    <row r="3788" spans="1:7" x14ac:dyDescent="0.35">
      <c r="A3788" s="1">
        <v>45728</v>
      </c>
      <c r="B3788">
        <v>5359.42</v>
      </c>
      <c r="C3788">
        <v>7988.96</v>
      </c>
      <c r="D3788">
        <v>22676.41</v>
      </c>
      <c r="E3788">
        <v>10154.09902</v>
      </c>
      <c r="F3788">
        <v>12804</v>
      </c>
      <c r="G3788">
        <v>38307.11</v>
      </c>
    </row>
    <row r="3789" spans="1:7" x14ac:dyDescent="0.35">
      <c r="A3789" s="1">
        <v>45729</v>
      </c>
      <c r="B3789">
        <v>5328.39</v>
      </c>
      <c r="C3789">
        <v>7938.21</v>
      </c>
      <c r="D3789">
        <v>22567.14</v>
      </c>
      <c r="E3789">
        <v>10183.39257</v>
      </c>
      <c r="F3789">
        <v>12821.3</v>
      </c>
      <c r="G3789">
        <v>37999.730000000003</v>
      </c>
    </row>
    <row r="3790" spans="1:7" x14ac:dyDescent="0.35">
      <c r="A3790" s="1">
        <v>45730</v>
      </c>
      <c r="B3790">
        <v>5404.18</v>
      </c>
      <c r="C3790">
        <v>8028.28</v>
      </c>
      <c r="D3790">
        <v>22986.82</v>
      </c>
      <c r="E3790">
        <v>10255.353999999999</v>
      </c>
      <c r="F3790">
        <v>13005.2</v>
      </c>
      <c r="G3790">
        <v>38655.300000000003</v>
      </c>
    </row>
    <row r="3791" spans="1:7" x14ac:dyDescent="0.35">
      <c r="A3791" s="1">
        <v>45733</v>
      </c>
      <c r="B3791">
        <v>5445.55</v>
      </c>
      <c r="C3791">
        <v>8073.98</v>
      </c>
      <c r="D3791">
        <v>23154.57</v>
      </c>
      <c r="E3791">
        <v>10332.201520000001</v>
      </c>
      <c r="F3791">
        <v>13147.2</v>
      </c>
      <c r="G3791">
        <v>39022.400000000001</v>
      </c>
    </row>
    <row r="3792" spans="1:7" x14ac:dyDescent="0.35">
      <c r="A3792" s="1">
        <v>45734</v>
      </c>
      <c r="B3792">
        <v>5485.01</v>
      </c>
      <c r="C3792">
        <v>8114.57</v>
      </c>
      <c r="D3792">
        <v>23380.7</v>
      </c>
      <c r="E3792">
        <v>10338.95125</v>
      </c>
      <c r="F3792">
        <v>13354.7</v>
      </c>
      <c r="G3792">
        <v>39533.71</v>
      </c>
    </row>
    <row r="3793" spans="1:7" x14ac:dyDescent="0.35">
      <c r="A3793" s="1">
        <v>45735</v>
      </c>
      <c r="B3793">
        <v>5507.36</v>
      </c>
      <c r="C3793">
        <v>8171.47</v>
      </c>
      <c r="D3793">
        <v>23288.06</v>
      </c>
      <c r="E3793">
        <v>10384.714529999999</v>
      </c>
      <c r="F3793">
        <v>13408.1</v>
      </c>
      <c r="G3793">
        <v>39712.660000000003</v>
      </c>
    </row>
    <row r="3794" spans="1:7" x14ac:dyDescent="0.35">
      <c r="A3794" s="1">
        <v>45736</v>
      </c>
      <c r="B3794">
        <v>5450.93</v>
      </c>
      <c r="C3794">
        <v>8094.2</v>
      </c>
      <c r="D3794">
        <v>22999.15</v>
      </c>
      <c r="E3794">
        <v>10400.66338</v>
      </c>
      <c r="F3794">
        <v>13306.3</v>
      </c>
      <c r="G3794">
        <v>39188.17</v>
      </c>
    </row>
    <row r="3795" spans="1:7" x14ac:dyDescent="0.35">
      <c r="A3795" s="1">
        <v>45737</v>
      </c>
      <c r="B3795">
        <v>5423.83</v>
      </c>
      <c r="C3795">
        <v>8042.95</v>
      </c>
      <c r="D3795">
        <v>22891.68</v>
      </c>
      <c r="E3795">
        <v>10324.5373</v>
      </c>
      <c r="F3795">
        <v>13350.2</v>
      </c>
      <c r="G3795">
        <v>39035.71</v>
      </c>
    </row>
    <row r="3796" spans="1:7" x14ac:dyDescent="0.35">
      <c r="A3796" s="1">
        <v>45740</v>
      </c>
      <c r="B3796">
        <v>5415.79</v>
      </c>
      <c r="C3796">
        <v>8022.33</v>
      </c>
      <c r="D3796">
        <v>22852.66</v>
      </c>
      <c r="E3796">
        <v>10337.907590000001</v>
      </c>
      <c r="F3796">
        <v>13323.3</v>
      </c>
      <c r="G3796">
        <v>38972.81</v>
      </c>
    </row>
    <row r="3797" spans="1:7" x14ac:dyDescent="0.35">
      <c r="A3797" s="1">
        <v>45741</v>
      </c>
      <c r="B3797">
        <v>5475.08</v>
      </c>
      <c r="C3797">
        <v>8108.59</v>
      </c>
      <c r="D3797">
        <v>23109.79</v>
      </c>
      <c r="E3797">
        <v>10386.141</v>
      </c>
      <c r="F3797">
        <v>13484.3</v>
      </c>
      <c r="G3797">
        <v>39384.949999999997</v>
      </c>
    </row>
    <row r="3798" spans="1:7" x14ac:dyDescent="0.35">
      <c r="A3798" s="1">
        <v>45742</v>
      </c>
      <c r="B3798">
        <v>5411.69</v>
      </c>
      <c r="C3798">
        <v>8030.68</v>
      </c>
      <c r="D3798">
        <v>22839.03</v>
      </c>
      <c r="E3798">
        <v>10407.797490000001</v>
      </c>
      <c r="F3798">
        <v>13432.2</v>
      </c>
      <c r="G3798">
        <v>39058.1</v>
      </c>
    </row>
    <row r="3799" spans="1:7" x14ac:dyDescent="0.35">
      <c r="A3799" s="1">
        <v>45743</v>
      </c>
      <c r="B3799">
        <v>5381.08</v>
      </c>
      <c r="C3799">
        <v>7990.11</v>
      </c>
      <c r="D3799">
        <v>22678.74</v>
      </c>
      <c r="E3799">
        <v>10400.95032</v>
      </c>
      <c r="F3799">
        <v>13422.6</v>
      </c>
      <c r="G3799">
        <v>39098.86</v>
      </c>
    </row>
    <row r="3800" spans="1:7" x14ac:dyDescent="0.35">
      <c r="A3800" s="1">
        <v>45744</v>
      </c>
      <c r="B3800">
        <v>5331.4</v>
      </c>
      <c r="C3800">
        <v>7916.08</v>
      </c>
      <c r="D3800">
        <v>22461.52</v>
      </c>
      <c r="E3800">
        <v>10355.40841</v>
      </c>
      <c r="F3800">
        <v>13309.3</v>
      </c>
      <c r="G3800">
        <v>38739.300000000003</v>
      </c>
    </row>
    <row r="3801" spans="1:7" x14ac:dyDescent="0.35">
      <c r="A3801" s="1">
        <v>45747</v>
      </c>
      <c r="B3801">
        <v>5248.39</v>
      </c>
      <c r="C3801">
        <v>7790.71</v>
      </c>
      <c r="D3801">
        <v>22163.49</v>
      </c>
      <c r="E3801">
        <v>10245.86836</v>
      </c>
      <c r="F3801">
        <v>13135.4</v>
      </c>
      <c r="G3801">
        <v>38051.99</v>
      </c>
    </row>
    <row r="3802" spans="1:7" x14ac:dyDescent="0.35">
      <c r="A3802" s="1">
        <v>45748</v>
      </c>
      <c r="B3802">
        <v>5320.3</v>
      </c>
      <c r="C3802">
        <v>7876.36</v>
      </c>
      <c r="D3802">
        <v>22539.98</v>
      </c>
      <c r="E3802">
        <v>10335.375889999999</v>
      </c>
      <c r="F3802">
        <v>13297</v>
      </c>
      <c r="G3802">
        <v>38557.379999999997</v>
      </c>
    </row>
    <row r="3803" spans="1:7" x14ac:dyDescent="0.35">
      <c r="A3803" s="1">
        <v>45749</v>
      </c>
      <c r="B3803">
        <v>5303.95</v>
      </c>
      <c r="C3803">
        <v>7858.83</v>
      </c>
      <c r="D3803">
        <v>22390.84</v>
      </c>
      <c r="E3803">
        <v>10289.402330000001</v>
      </c>
      <c r="F3803">
        <v>13350.2</v>
      </c>
      <c r="G3803">
        <v>38454.199999999997</v>
      </c>
    </row>
    <row r="3804" spans="1:7" x14ac:dyDescent="0.35">
      <c r="A3804" s="1">
        <v>45750</v>
      </c>
      <c r="B3804">
        <v>5113.28</v>
      </c>
      <c r="C3804">
        <v>7598.98</v>
      </c>
      <c r="D3804">
        <v>21717.39</v>
      </c>
      <c r="E3804">
        <v>10060.826859999999</v>
      </c>
      <c r="F3804">
        <v>13191.2</v>
      </c>
      <c r="G3804">
        <v>37070.83</v>
      </c>
    </row>
    <row r="3805" spans="1:7" x14ac:dyDescent="0.35">
      <c r="A3805" s="1">
        <v>45751</v>
      </c>
      <c r="B3805">
        <v>4878.3100000000004</v>
      </c>
      <c r="C3805">
        <v>7274.95</v>
      </c>
      <c r="D3805">
        <v>20641.72</v>
      </c>
      <c r="E3805">
        <v>9467.59339</v>
      </c>
      <c r="F3805">
        <v>12422</v>
      </c>
      <c r="G3805">
        <v>34649.22</v>
      </c>
    </row>
    <row r="3806" spans="1:7" x14ac:dyDescent="0.35">
      <c r="A3806" s="1">
        <v>45754</v>
      </c>
      <c r="B3806">
        <v>4656.41</v>
      </c>
      <c r="C3806">
        <v>6927.12</v>
      </c>
      <c r="D3806">
        <v>19789.62</v>
      </c>
      <c r="E3806">
        <v>8968.8509300000005</v>
      </c>
      <c r="F3806">
        <v>11785.8</v>
      </c>
      <c r="G3806">
        <v>32853.980000000003</v>
      </c>
    </row>
    <row r="3807" spans="1:7" x14ac:dyDescent="0.35">
      <c r="A3807" s="1">
        <v>45755</v>
      </c>
      <c r="B3807">
        <v>4773.6499999999996</v>
      </c>
      <c r="C3807">
        <v>7100.42</v>
      </c>
      <c r="D3807">
        <v>20280.259999999998</v>
      </c>
      <c r="E3807">
        <v>9244.3915500000003</v>
      </c>
      <c r="F3807">
        <v>12065.6</v>
      </c>
      <c r="G3807">
        <v>33657.050000000003</v>
      </c>
    </row>
    <row r="3808" spans="1:7" x14ac:dyDescent="0.35">
      <c r="A3808" s="1">
        <v>45756</v>
      </c>
      <c r="B3808">
        <v>4622.1400000000003</v>
      </c>
      <c r="C3808">
        <v>6863.02</v>
      </c>
      <c r="D3808">
        <v>19670.88</v>
      </c>
      <c r="E3808">
        <v>8895.5138100000004</v>
      </c>
      <c r="F3808">
        <v>11797.6</v>
      </c>
      <c r="G3808">
        <v>32730.57</v>
      </c>
    </row>
    <row r="3809" spans="1:7" x14ac:dyDescent="0.35">
      <c r="A3809" s="1">
        <v>45757</v>
      </c>
      <c r="B3809">
        <v>4818.92</v>
      </c>
      <c r="C3809">
        <v>7126.02</v>
      </c>
      <c r="D3809">
        <v>20562.73</v>
      </c>
      <c r="E3809">
        <v>9154.9737000000005</v>
      </c>
      <c r="F3809">
        <v>12307.6</v>
      </c>
      <c r="G3809">
        <v>34277.089999999997</v>
      </c>
    </row>
    <row r="3810" spans="1:7" x14ac:dyDescent="0.35">
      <c r="A3810" s="1">
        <v>45758</v>
      </c>
      <c r="B3810">
        <v>4787.2299999999996</v>
      </c>
      <c r="C3810">
        <v>7104.8</v>
      </c>
      <c r="D3810">
        <v>20374.099999999999</v>
      </c>
      <c r="E3810">
        <v>9193.3940500000008</v>
      </c>
      <c r="F3810">
        <v>12286</v>
      </c>
      <c r="G3810">
        <v>34027.83</v>
      </c>
    </row>
    <row r="3811" spans="1:7" x14ac:dyDescent="0.35">
      <c r="A3811" s="1">
        <v>45761</v>
      </c>
      <c r="B3811">
        <v>4911.3900000000003</v>
      </c>
      <c r="C3811">
        <v>7273.12</v>
      </c>
      <c r="D3811">
        <v>20954.830000000002</v>
      </c>
      <c r="E3811">
        <v>9452.3744399999996</v>
      </c>
      <c r="F3811">
        <v>12609.8</v>
      </c>
      <c r="G3811">
        <v>35007.14</v>
      </c>
    </row>
    <row r="3812" spans="1:7" x14ac:dyDescent="0.35">
      <c r="A3812" s="1">
        <v>45762</v>
      </c>
      <c r="B3812">
        <v>4970.43</v>
      </c>
      <c r="C3812">
        <v>7335.4</v>
      </c>
      <c r="D3812">
        <v>21253.7</v>
      </c>
      <c r="E3812">
        <v>9667.14329</v>
      </c>
      <c r="F3812">
        <v>12879.3</v>
      </c>
      <c r="G3812">
        <v>35843.82</v>
      </c>
    </row>
    <row r="3813" spans="1:7" x14ac:dyDescent="0.35">
      <c r="A3813" s="1">
        <v>45763</v>
      </c>
      <c r="B3813">
        <v>4966.5</v>
      </c>
      <c r="C3813">
        <v>7329.97</v>
      </c>
      <c r="D3813">
        <v>21311.02</v>
      </c>
      <c r="E3813">
        <v>9628.0694899999999</v>
      </c>
      <c r="F3813">
        <v>12942.1</v>
      </c>
      <c r="G3813">
        <v>36067.57</v>
      </c>
    </row>
    <row r="3814" spans="1:7" x14ac:dyDescent="0.35">
      <c r="A3814" s="1">
        <v>45764</v>
      </c>
      <c r="B3814">
        <v>4935.34</v>
      </c>
      <c r="C3814">
        <v>7285.86</v>
      </c>
      <c r="D3814">
        <v>21205.86</v>
      </c>
      <c r="E3814">
        <v>9665.9942100000007</v>
      </c>
      <c r="F3814">
        <v>12918</v>
      </c>
      <c r="G3814">
        <v>35980.43</v>
      </c>
    </row>
    <row r="3815" spans="1:7" x14ac:dyDescent="0.35">
      <c r="A3815" s="1">
        <v>45769</v>
      </c>
      <c r="B3815">
        <v>4961.45</v>
      </c>
      <c r="C3815">
        <v>7326.47</v>
      </c>
      <c r="D3815">
        <v>21293.53</v>
      </c>
      <c r="E3815">
        <v>9721.3132399999995</v>
      </c>
      <c r="F3815">
        <v>13010.6</v>
      </c>
      <c r="G3815">
        <v>35947.89</v>
      </c>
    </row>
    <row r="3816" spans="1:7" x14ac:dyDescent="0.35">
      <c r="A3816" s="1">
        <v>45770</v>
      </c>
      <c r="B3816">
        <v>5098.74</v>
      </c>
      <c r="C3816">
        <v>7482.36</v>
      </c>
      <c r="D3816">
        <v>21961.97</v>
      </c>
      <c r="E3816">
        <v>9826.6816600000002</v>
      </c>
      <c r="F3816">
        <v>13208.3</v>
      </c>
      <c r="G3816">
        <v>36457.68</v>
      </c>
    </row>
    <row r="3817" spans="1:7" x14ac:dyDescent="0.35">
      <c r="A3817" s="1">
        <v>45771</v>
      </c>
      <c r="B3817">
        <v>5114.9799999999996</v>
      </c>
      <c r="C3817">
        <v>7502.78</v>
      </c>
      <c r="D3817">
        <v>22064.51</v>
      </c>
      <c r="E3817">
        <v>9847.34339</v>
      </c>
      <c r="F3817">
        <v>13179.7</v>
      </c>
      <c r="G3817">
        <v>36808.69</v>
      </c>
    </row>
    <row r="3818" spans="1:7" x14ac:dyDescent="0.35">
      <c r="A3818" s="1">
        <v>45772</v>
      </c>
      <c r="B3818">
        <v>5154.12</v>
      </c>
      <c r="C3818">
        <v>7536.26</v>
      </c>
      <c r="D3818">
        <v>22242.45</v>
      </c>
      <c r="E3818">
        <v>9858.6259200000004</v>
      </c>
      <c r="F3818">
        <v>13355.3</v>
      </c>
      <c r="G3818">
        <v>37348.379999999997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680F-9087-44E3-BC9B-D61E3D533DE9}">
  <dimension ref="A1:Z3819"/>
  <sheetViews>
    <sheetView topLeftCell="A49" zoomScale="81" workbookViewId="0">
      <selection activeCell="J18" sqref="J18"/>
    </sheetView>
  </sheetViews>
  <sheetFormatPr baseColWidth="10" defaultRowHeight="14.5" x14ac:dyDescent="0.35"/>
  <cols>
    <col min="1" max="1" width="10.6328125" style="1" bestFit="1" customWidth="1"/>
    <col min="2" max="2" width="10.90625" style="1"/>
    <col min="3" max="3" width="10.6328125" customWidth="1"/>
    <col min="4" max="4" width="21.7265625" bestFit="1" customWidth="1"/>
    <col min="5" max="5" width="15.453125" bestFit="1" customWidth="1"/>
    <col min="7" max="7" width="10.6328125" customWidth="1"/>
    <col min="8" max="8" width="20.7265625" bestFit="1" customWidth="1"/>
    <col min="9" max="9" width="14.6328125" bestFit="1" customWidth="1"/>
    <col min="10" max="11" width="11.6328125" customWidth="1"/>
    <col min="12" max="12" width="20.54296875" bestFit="1" customWidth="1"/>
    <col min="13" max="13" width="15" bestFit="1" customWidth="1"/>
    <col min="14" max="14" width="11.6328125" customWidth="1"/>
    <col min="15" max="15" width="12" bestFit="1" customWidth="1"/>
    <col min="16" max="16" width="20.453125" bestFit="1" customWidth="1"/>
    <col min="17" max="17" width="14.81640625" bestFit="1" customWidth="1"/>
    <col min="18" max="19" width="11.6328125" customWidth="1"/>
    <col min="20" max="20" width="20.90625" bestFit="1" customWidth="1"/>
    <col min="21" max="21" width="15.26953125" bestFit="1" customWidth="1"/>
    <col min="22" max="22" width="11.6328125" customWidth="1"/>
    <col min="23" max="23" width="14" bestFit="1" customWidth="1"/>
    <col min="24" max="24" width="24.7265625" bestFit="1" customWidth="1"/>
    <col min="25" max="25" width="24.7265625" customWidth="1"/>
    <col min="26" max="26" width="19.08984375" bestFit="1" customWidth="1"/>
  </cols>
  <sheetData>
    <row r="1" spans="1:26" x14ac:dyDescent="0.35">
      <c r="A1" s="1" t="s">
        <v>394</v>
      </c>
      <c r="B1" s="1" t="s">
        <v>395</v>
      </c>
      <c r="C1" t="s">
        <v>396</v>
      </c>
      <c r="D1" t="s">
        <v>397</v>
      </c>
      <c r="E1" t="s">
        <v>398</v>
      </c>
      <c r="F1" t="s">
        <v>411</v>
      </c>
      <c r="G1" t="s">
        <v>412</v>
      </c>
      <c r="H1" t="s">
        <v>413</v>
      </c>
      <c r="I1" t="s">
        <v>414</v>
      </c>
      <c r="J1" t="s">
        <v>415</v>
      </c>
      <c r="K1" t="s">
        <v>416</v>
      </c>
      <c r="L1" t="s">
        <v>417</v>
      </c>
      <c r="M1" t="s">
        <v>418</v>
      </c>
      <c r="N1" t="s">
        <v>419</v>
      </c>
      <c r="O1" t="s">
        <v>420</v>
      </c>
      <c r="P1" t="s">
        <v>421</v>
      </c>
      <c r="Q1" t="s">
        <v>422</v>
      </c>
      <c r="R1" t="s">
        <v>423</v>
      </c>
      <c r="S1" t="s">
        <v>424</v>
      </c>
      <c r="T1" t="s">
        <v>425</v>
      </c>
      <c r="U1" t="s">
        <v>426</v>
      </c>
      <c r="V1" t="s">
        <v>427</v>
      </c>
      <c r="W1" t="s">
        <v>428</v>
      </c>
      <c r="X1" t="s">
        <v>429</v>
      </c>
      <c r="Y1" t="s">
        <v>430</v>
      </c>
      <c r="Z1" t="s">
        <v>431</v>
      </c>
    </row>
    <row r="2" spans="1:26" x14ac:dyDescent="0.35">
      <c r="A2" s="1" t="s">
        <v>8</v>
      </c>
      <c r="C2" t="s">
        <v>1</v>
      </c>
      <c r="D2" t="s">
        <v>399</v>
      </c>
      <c r="E2" t="s">
        <v>400</v>
      </c>
      <c r="G2" t="s">
        <v>10</v>
      </c>
      <c r="H2" t="s">
        <v>401</v>
      </c>
      <c r="I2" t="s">
        <v>402</v>
      </c>
      <c r="K2" t="s">
        <v>11</v>
      </c>
      <c r="L2" t="s">
        <v>403</v>
      </c>
      <c r="M2" t="s">
        <v>404</v>
      </c>
      <c r="O2" t="s">
        <v>12</v>
      </c>
      <c r="P2" t="s">
        <v>380</v>
      </c>
      <c r="Q2" t="s">
        <v>405</v>
      </c>
      <c r="S2" t="s">
        <v>13</v>
      </c>
      <c r="T2" t="s">
        <v>406</v>
      </c>
      <c r="U2" t="s">
        <v>407</v>
      </c>
      <c r="W2" t="s">
        <v>14</v>
      </c>
      <c r="X2" t="s">
        <v>408</v>
      </c>
      <c r="Y2" t="s">
        <v>409</v>
      </c>
      <c r="Z2" t="s">
        <v>410</v>
      </c>
    </row>
    <row r="3" spans="1:26" x14ac:dyDescent="0.35">
      <c r="A3" s="1">
        <v>40182</v>
      </c>
      <c r="C3">
        <v>3017.8</v>
      </c>
      <c r="E3" t="str">
        <f>_xlfn.CONCAT(YEAR(A3),"-",TEXT(MONTH(A3),"00"))</f>
        <v>2010-01</v>
      </c>
      <c r="G3">
        <v>4013.97</v>
      </c>
      <c r="I3" t="str">
        <f>_xlfn.CONCAT(YEAR(A3),"-",TEXT(MONTH(A3),"00"))</f>
        <v>2010-01</v>
      </c>
      <c r="K3">
        <v>6048.3</v>
      </c>
      <c r="M3" t="str">
        <f>_xlfn.CONCAT(YEAR(A3),"-",TEXT(MONTH(A3),"00"))</f>
        <v>2010-01</v>
      </c>
      <c r="O3">
        <v>6153.2072699999999</v>
      </c>
      <c r="Q3" t="str">
        <f>_xlfn.CONCAT(YEAR(A3),"-",TEXT(MONTH(A3),"00"))</f>
        <v>2010-01</v>
      </c>
      <c r="S3">
        <v>12145.1</v>
      </c>
      <c r="U3" t="str">
        <f>_xlfn.CONCAT(YEAR(A3),"-",TEXT(MONTH(A3),"00"))</f>
        <v>2010-01</v>
      </c>
      <c r="W3">
        <v>23545.02</v>
      </c>
      <c r="Z3" t="str">
        <f>_xlfn.CONCAT(YEAR(A3),"-",TEXT(MONTH(A3),"00"))</f>
        <v>2010-01</v>
      </c>
    </row>
    <row r="4" spans="1:26" x14ac:dyDescent="0.35">
      <c r="A4" s="1">
        <v>40183</v>
      </c>
      <c r="C4">
        <v>3012.36</v>
      </c>
      <c r="D4">
        <f>LN(C4/C3)</f>
        <v>-1.8042643895909041E-3</v>
      </c>
      <c r="E4" t="str">
        <f t="shared" ref="E4:E67" si="0">_xlfn.CONCAT(YEAR(A4),"-",TEXT(MONTH(A4),"00"))</f>
        <v>2010-01</v>
      </c>
      <c r="G4">
        <v>4012.91</v>
      </c>
      <c r="H4">
        <f>LN(G4/G3)</f>
        <v>-2.6411258326067781E-4</v>
      </c>
      <c r="I4" t="str">
        <f t="shared" ref="I4:I67" si="1">_xlfn.CONCAT(YEAR(A4),"-",TEXT(MONTH(A4),"00"))</f>
        <v>2010-01</v>
      </c>
      <c r="K4">
        <v>6031.86</v>
      </c>
      <c r="L4">
        <f>LN(K4/K3)</f>
        <v>-2.7218199344007433E-3</v>
      </c>
      <c r="M4" t="str">
        <f t="shared" ref="M4:M67" si="2">_xlfn.CONCAT(YEAR(A4),"-",TEXT(MONTH(A4),"00"))</f>
        <v>2010-01</v>
      </c>
      <c r="O4">
        <v>6141.4835700000003</v>
      </c>
      <c r="P4">
        <f>LN(O4/O3)</f>
        <v>-1.9071164465894301E-3</v>
      </c>
      <c r="Q4" t="str">
        <f t="shared" ref="Q4:Q67" si="3">_xlfn.CONCAT(YEAR(A4),"-",TEXT(MONTH(A4),"00"))</f>
        <v>2010-01</v>
      </c>
      <c r="S4">
        <v>12204.4</v>
      </c>
      <c r="T4">
        <f>LN(S4/S3)</f>
        <v>4.8707461949432469E-3</v>
      </c>
      <c r="U4" t="str">
        <f t="shared" ref="U4:U67" si="4">_xlfn.CONCAT(YEAR(A4),"-",TEXT(MONTH(A4),"00"))</f>
        <v>2010-01</v>
      </c>
      <c r="W4">
        <v>23555.73</v>
      </c>
      <c r="X4">
        <f>LN(W4/W3)</f>
        <v>4.5476983634368479E-4</v>
      </c>
      <c r="Y4">
        <f>(W4-W3)/W3</f>
        <v>4.5487325982305923E-4</v>
      </c>
      <c r="Z4" t="str">
        <f t="shared" ref="Z4:Z67" si="5">_xlfn.CONCAT(YEAR(A4),"-",TEXT(MONTH(A4),"00"))</f>
        <v>2010-01</v>
      </c>
    </row>
    <row r="5" spans="1:26" x14ac:dyDescent="0.35">
      <c r="A5" s="1">
        <v>40184</v>
      </c>
      <c r="C5">
        <v>3009.66</v>
      </c>
      <c r="D5">
        <f t="shared" ref="D5:D68" si="6">LN(C5/C4)</f>
        <v>-8.9670913777099544E-4</v>
      </c>
      <c r="E5" t="str">
        <f t="shared" si="0"/>
        <v>2010-01</v>
      </c>
      <c r="G5">
        <v>4017.67</v>
      </c>
      <c r="H5">
        <f t="shared" ref="H5:H68" si="7">LN(G5/G4)</f>
        <v>1.1854686853129521E-3</v>
      </c>
      <c r="I5" t="str">
        <f t="shared" si="1"/>
        <v>2010-01</v>
      </c>
      <c r="K5">
        <v>6034.33</v>
      </c>
      <c r="L5">
        <f t="shared" ref="L5:L68" si="8">LN(K5/K4)</f>
        <v>4.0940844367632186E-4</v>
      </c>
      <c r="M5" t="str">
        <f t="shared" si="2"/>
        <v>2010-01</v>
      </c>
      <c r="O5">
        <v>6140.8205399999997</v>
      </c>
      <c r="P5">
        <f t="shared" ref="P5:P68" si="9">LN(O5/O4)</f>
        <v>-1.0796508451619848E-4</v>
      </c>
      <c r="Q5" t="str">
        <f t="shared" si="3"/>
        <v>2010-01</v>
      </c>
      <c r="S5">
        <v>12222.5</v>
      </c>
      <c r="T5">
        <f t="shared" ref="T5:T68" si="10">LN(S5/S4)</f>
        <v>1.4819730143954529E-3</v>
      </c>
      <c r="U5" t="str">
        <f t="shared" si="4"/>
        <v>2010-01</v>
      </c>
      <c r="W5">
        <v>23622.29</v>
      </c>
      <c r="X5">
        <f t="shared" ref="X5:X68" si="11">LN(W5/W4)</f>
        <v>2.8216548367689248E-3</v>
      </c>
      <c r="Y5">
        <f t="shared" ref="Y5:Y68" si="12">(W5-W4)/W4</f>
        <v>2.8256394516324185E-3</v>
      </c>
      <c r="Z5" t="str">
        <f t="shared" si="5"/>
        <v>2010-01</v>
      </c>
    </row>
    <row r="6" spans="1:26" x14ac:dyDescent="0.35">
      <c r="A6" s="1">
        <v>40185</v>
      </c>
      <c r="C6">
        <v>3007.34</v>
      </c>
      <c r="D6">
        <f t="shared" si="6"/>
        <v>-7.7114845104513433E-4</v>
      </c>
      <c r="E6" t="str">
        <f t="shared" si="0"/>
        <v>2010-01</v>
      </c>
      <c r="G6">
        <v>4024.8</v>
      </c>
      <c r="H6">
        <f t="shared" si="7"/>
        <v>1.7730875882570056E-3</v>
      </c>
      <c r="I6" t="str">
        <f t="shared" si="1"/>
        <v>2010-01</v>
      </c>
      <c r="K6">
        <v>6019.36</v>
      </c>
      <c r="L6">
        <f t="shared" si="8"/>
        <v>-2.4838879540952557E-3</v>
      </c>
      <c r="M6" t="str">
        <f t="shared" si="2"/>
        <v>2010-01</v>
      </c>
      <c r="O6">
        <v>6151.3890600000004</v>
      </c>
      <c r="P6">
        <f t="shared" si="9"/>
        <v>1.7195480630470493E-3</v>
      </c>
      <c r="Q6" t="str">
        <f t="shared" si="3"/>
        <v>2010-01</v>
      </c>
      <c r="S6">
        <v>12166.3</v>
      </c>
      <c r="T6">
        <f t="shared" si="10"/>
        <v>-4.6086809907569769E-3</v>
      </c>
      <c r="U6" t="str">
        <f t="shared" si="4"/>
        <v>2010-01</v>
      </c>
      <c r="W6">
        <v>23709.01</v>
      </c>
      <c r="X6">
        <f t="shared" si="11"/>
        <v>3.6643868660997643E-3</v>
      </c>
      <c r="Y6">
        <f t="shared" si="12"/>
        <v>3.6711089399036894E-3</v>
      </c>
      <c r="Z6" t="str">
        <f t="shared" si="5"/>
        <v>2010-01</v>
      </c>
    </row>
    <row r="7" spans="1:26" x14ac:dyDescent="0.35">
      <c r="A7" s="1">
        <v>40186</v>
      </c>
      <c r="C7">
        <v>3017.85</v>
      </c>
      <c r="D7">
        <f t="shared" si="6"/>
        <v>3.488690202210867E-3</v>
      </c>
      <c r="E7" t="str">
        <f t="shared" si="0"/>
        <v>2010-01</v>
      </c>
      <c r="G7">
        <v>4045.14</v>
      </c>
      <c r="H7">
        <f t="shared" si="7"/>
        <v>5.0409403469570705E-3</v>
      </c>
      <c r="I7" t="str">
        <f t="shared" si="1"/>
        <v>2010-01</v>
      </c>
      <c r="K7">
        <v>6037.61</v>
      </c>
      <c r="L7">
        <f t="shared" si="8"/>
        <v>3.0272968975977974E-3</v>
      </c>
      <c r="M7" t="str">
        <f t="shared" si="2"/>
        <v>2010-01</v>
      </c>
      <c r="O7">
        <v>6154.06873</v>
      </c>
      <c r="P7">
        <f t="shared" si="9"/>
        <v>4.3552545351611504E-4</v>
      </c>
      <c r="Q7" t="str">
        <f t="shared" si="3"/>
        <v>2010-01</v>
      </c>
      <c r="S7">
        <v>12163</v>
      </c>
      <c r="T7">
        <f t="shared" si="10"/>
        <v>-2.7127784360724531E-4</v>
      </c>
      <c r="U7" t="str">
        <f t="shared" si="4"/>
        <v>2010-01</v>
      </c>
      <c r="W7">
        <v>23811.13</v>
      </c>
      <c r="X7">
        <f t="shared" si="11"/>
        <v>4.2979737518279125E-3</v>
      </c>
      <c r="Y7">
        <f t="shared" si="12"/>
        <v>4.3072232876869435E-3</v>
      </c>
      <c r="Z7" t="str">
        <f t="shared" si="5"/>
        <v>2010-01</v>
      </c>
    </row>
    <row r="8" spans="1:26" x14ac:dyDescent="0.35">
      <c r="A8" s="1">
        <v>40189</v>
      </c>
      <c r="C8">
        <v>3010.24</v>
      </c>
      <c r="D8">
        <f t="shared" si="6"/>
        <v>-2.5248475197683405E-3</v>
      </c>
      <c r="E8" t="str">
        <f t="shared" si="0"/>
        <v>2010-01</v>
      </c>
      <c r="G8">
        <v>4043.09</v>
      </c>
      <c r="H8">
        <f t="shared" si="7"/>
        <v>-5.0690943355877541E-4</v>
      </c>
      <c r="I8" t="str">
        <f t="shared" si="1"/>
        <v>2010-01</v>
      </c>
      <c r="K8">
        <v>6040.5</v>
      </c>
      <c r="L8">
        <f t="shared" si="8"/>
        <v>4.7855170306506701E-4</v>
      </c>
      <c r="M8" t="str">
        <f t="shared" si="2"/>
        <v>2010-01</v>
      </c>
      <c r="O8">
        <v>6151.4179299999996</v>
      </c>
      <c r="P8">
        <f t="shared" si="9"/>
        <v>-4.3083221561963952E-4</v>
      </c>
      <c r="Q8" t="str">
        <f t="shared" si="3"/>
        <v>2010-01</v>
      </c>
      <c r="S8">
        <v>12074.5</v>
      </c>
      <c r="T8">
        <f t="shared" si="10"/>
        <v>-7.3027658224872113E-3</v>
      </c>
      <c r="U8" t="str">
        <f t="shared" si="4"/>
        <v>2010-01</v>
      </c>
      <c r="W8">
        <v>23774.76</v>
      </c>
      <c r="X8">
        <f t="shared" si="11"/>
        <v>-1.5286046801665468E-3</v>
      </c>
      <c r="Y8">
        <f t="shared" si="12"/>
        <v>-1.5274369591028489E-3</v>
      </c>
      <c r="Z8" t="str">
        <f t="shared" si="5"/>
        <v>2010-01</v>
      </c>
    </row>
    <row r="9" spans="1:26" x14ac:dyDescent="0.35">
      <c r="A9" s="1">
        <v>40190</v>
      </c>
      <c r="C9">
        <v>2976.89</v>
      </c>
      <c r="D9">
        <f t="shared" si="6"/>
        <v>-1.1140678400090089E-2</v>
      </c>
      <c r="E9" t="str">
        <f t="shared" si="0"/>
        <v>2010-01</v>
      </c>
      <c r="G9">
        <v>4000.05</v>
      </c>
      <c r="H9">
        <f t="shared" si="7"/>
        <v>-1.0702390066603793E-2</v>
      </c>
      <c r="I9" t="str">
        <f t="shared" si="1"/>
        <v>2010-01</v>
      </c>
      <c r="K9">
        <v>5943</v>
      </c>
      <c r="L9">
        <f t="shared" si="8"/>
        <v>-1.6272733592957955E-2</v>
      </c>
      <c r="M9" t="str">
        <f t="shared" si="2"/>
        <v>2010-01</v>
      </c>
      <c r="O9">
        <v>6128.6718099999998</v>
      </c>
      <c r="P9">
        <f t="shared" si="9"/>
        <v>-3.7045569690575776E-3</v>
      </c>
      <c r="Q9" t="str">
        <f t="shared" si="3"/>
        <v>2010-01</v>
      </c>
      <c r="S9">
        <v>11966.1</v>
      </c>
      <c r="T9">
        <f t="shared" si="10"/>
        <v>-9.0181388693590658E-3</v>
      </c>
      <c r="U9" t="str">
        <f t="shared" si="4"/>
        <v>2010-01</v>
      </c>
      <c r="W9">
        <v>23583.35</v>
      </c>
      <c r="X9">
        <f t="shared" si="11"/>
        <v>-8.0835591745103338E-3</v>
      </c>
      <c r="Y9">
        <f t="shared" si="12"/>
        <v>-8.0509750676768087E-3</v>
      </c>
      <c r="Z9" t="str">
        <f t="shared" si="5"/>
        <v>2010-01</v>
      </c>
    </row>
    <row r="10" spans="1:26" x14ac:dyDescent="0.35">
      <c r="A10" s="1">
        <v>40191</v>
      </c>
      <c r="C10">
        <v>2978.41</v>
      </c>
      <c r="D10">
        <f t="shared" si="6"/>
        <v>5.1046967676069495E-4</v>
      </c>
      <c r="E10" t="str">
        <f t="shared" si="0"/>
        <v>2010-01</v>
      </c>
      <c r="G10">
        <v>4000.86</v>
      </c>
      <c r="H10">
        <f t="shared" si="7"/>
        <v>2.0247696893650361E-4</v>
      </c>
      <c r="I10" t="str">
        <f t="shared" si="1"/>
        <v>2010-01</v>
      </c>
      <c r="K10">
        <v>5963.14</v>
      </c>
      <c r="L10">
        <f t="shared" si="8"/>
        <v>3.3831315958814329E-3</v>
      </c>
      <c r="M10" t="str">
        <f t="shared" si="2"/>
        <v>2010-01</v>
      </c>
      <c r="O10">
        <v>6141.8151500000004</v>
      </c>
      <c r="P10">
        <f t="shared" si="9"/>
        <v>2.1422695072212195E-3</v>
      </c>
      <c r="Q10" t="str">
        <f t="shared" si="3"/>
        <v>2010-01</v>
      </c>
      <c r="S10">
        <v>11958.3</v>
      </c>
      <c r="T10">
        <f t="shared" si="10"/>
        <v>-6.5205399310867016E-4</v>
      </c>
      <c r="U10" t="str">
        <f t="shared" si="4"/>
        <v>2010-01</v>
      </c>
      <c r="W10">
        <v>23658.400000000001</v>
      </c>
      <c r="X10">
        <f t="shared" si="11"/>
        <v>3.1772770118111298E-3</v>
      </c>
      <c r="Y10">
        <f t="shared" si="12"/>
        <v>3.1823299064807553E-3</v>
      </c>
      <c r="Z10" t="str">
        <f t="shared" si="5"/>
        <v>2010-01</v>
      </c>
    </row>
    <row r="11" spans="1:26" x14ac:dyDescent="0.35">
      <c r="A11" s="1">
        <v>40192</v>
      </c>
      <c r="C11">
        <v>2989.71</v>
      </c>
      <c r="D11">
        <f t="shared" si="6"/>
        <v>3.7867916540887821E-3</v>
      </c>
      <c r="E11" t="str">
        <f t="shared" si="0"/>
        <v>2010-01</v>
      </c>
      <c r="G11">
        <v>4015.77</v>
      </c>
      <c r="H11">
        <f t="shared" si="7"/>
        <v>3.7197718223489482E-3</v>
      </c>
      <c r="I11" t="str">
        <f t="shared" si="1"/>
        <v>2010-01</v>
      </c>
      <c r="K11">
        <v>5988.88</v>
      </c>
      <c r="L11">
        <f t="shared" si="8"/>
        <v>4.3072283671700441E-3</v>
      </c>
      <c r="M11" t="str">
        <f t="shared" si="2"/>
        <v>2010-01</v>
      </c>
      <c r="O11">
        <v>6191.6871700000002</v>
      </c>
      <c r="P11">
        <f t="shared" si="9"/>
        <v>8.0872878645181102E-3</v>
      </c>
      <c r="Q11" t="str">
        <f t="shared" si="3"/>
        <v>2010-01</v>
      </c>
      <c r="S11">
        <v>11999.8</v>
      </c>
      <c r="T11">
        <f t="shared" si="10"/>
        <v>3.4643850310986076E-3</v>
      </c>
      <c r="U11" t="str">
        <f t="shared" si="4"/>
        <v>2010-01</v>
      </c>
      <c r="W11">
        <v>23805.99</v>
      </c>
      <c r="X11">
        <f t="shared" si="11"/>
        <v>6.2189981028511355E-3</v>
      </c>
      <c r="Y11">
        <f t="shared" si="12"/>
        <v>6.2383762215534495E-3</v>
      </c>
      <c r="Z11" t="str">
        <f t="shared" si="5"/>
        <v>2010-01</v>
      </c>
    </row>
    <row r="12" spans="1:26" x14ac:dyDescent="0.35">
      <c r="A12" s="1">
        <v>40193</v>
      </c>
      <c r="C12">
        <v>2940.25</v>
      </c>
      <c r="D12">
        <f t="shared" si="6"/>
        <v>-1.6681780983200008E-2</v>
      </c>
      <c r="E12" t="str">
        <f t="shared" si="0"/>
        <v>2010-01</v>
      </c>
      <c r="G12">
        <v>3954.38</v>
      </c>
      <c r="H12">
        <f t="shared" si="7"/>
        <v>-1.5405284492522469E-2</v>
      </c>
      <c r="I12" t="str">
        <f t="shared" si="1"/>
        <v>2010-01</v>
      </c>
      <c r="K12">
        <v>5875.97</v>
      </c>
      <c r="L12">
        <f t="shared" si="8"/>
        <v>-1.9033263562932324E-2</v>
      </c>
      <c r="M12" t="str">
        <f t="shared" si="2"/>
        <v>2010-01</v>
      </c>
      <c r="O12">
        <v>6163.2782399999996</v>
      </c>
      <c r="P12">
        <f t="shared" si="9"/>
        <v>-4.598795565250619E-3</v>
      </c>
      <c r="Q12" t="str">
        <f t="shared" si="3"/>
        <v>2010-01</v>
      </c>
      <c r="S12">
        <v>11845</v>
      </c>
      <c r="T12">
        <f t="shared" si="10"/>
        <v>-1.2984145371694325E-2</v>
      </c>
      <c r="U12" t="str">
        <f t="shared" si="4"/>
        <v>2010-01</v>
      </c>
      <c r="W12">
        <v>23472.11</v>
      </c>
      <c r="X12">
        <f t="shared" si="11"/>
        <v>-1.4124321858884901E-2</v>
      </c>
      <c r="Y12">
        <f t="shared" si="12"/>
        <v>-1.402504159667382E-2</v>
      </c>
      <c r="Z12" t="str">
        <f t="shared" si="5"/>
        <v>2010-01</v>
      </c>
    </row>
    <row r="13" spans="1:26" x14ac:dyDescent="0.35">
      <c r="A13" s="1">
        <v>40196</v>
      </c>
      <c r="C13">
        <v>2957.87</v>
      </c>
      <c r="D13">
        <f t="shared" si="6"/>
        <v>5.9748029599020801E-3</v>
      </c>
      <c r="E13" t="str">
        <f t="shared" si="0"/>
        <v>2010-01</v>
      </c>
      <c r="G13">
        <v>3977.46</v>
      </c>
      <c r="H13">
        <f t="shared" si="7"/>
        <v>5.8195992705116851E-3</v>
      </c>
      <c r="I13" t="str">
        <f t="shared" si="1"/>
        <v>2010-01</v>
      </c>
      <c r="K13">
        <v>5918.55</v>
      </c>
      <c r="L13">
        <f t="shared" si="8"/>
        <v>7.2203336779920755E-3</v>
      </c>
      <c r="M13" t="str">
        <f t="shared" si="2"/>
        <v>2010-01</v>
      </c>
      <c r="O13">
        <v>6232.52214</v>
      </c>
      <c r="P13">
        <f t="shared" si="9"/>
        <v>1.1172270950749363E-2</v>
      </c>
      <c r="Q13" t="str">
        <f t="shared" si="3"/>
        <v>2010-01</v>
      </c>
      <c r="S13">
        <v>11870.7</v>
      </c>
      <c r="T13">
        <f t="shared" si="10"/>
        <v>2.1673414708567821E-3</v>
      </c>
      <c r="U13" t="str">
        <f t="shared" si="4"/>
        <v>2010-01</v>
      </c>
      <c r="W13">
        <v>23509.759999999998</v>
      </c>
      <c r="X13">
        <f t="shared" si="11"/>
        <v>1.6027462533778061E-3</v>
      </c>
      <c r="Y13">
        <f t="shared" si="12"/>
        <v>1.6040313376171898E-3</v>
      </c>
      <c r="Z13" t="str">
        <f t="shared" si="5"/>
        <v>2010-01</v>
      </c>
    </row>
    <row r="14" spans="1:26" x14ac:dyDescent="0.35">
      <c r="A14" s="1">
        <v>40197</v>
      </c>
      <c r="C14">
        <v>2984.82</v>
      </c>
      <c r="D14">
        <f t="shared" si="6"/>
        <v>9.0700288099076539E-3</v>
      </c>
      <c r="E14" t="str">
        <f t="shared" si="0"/>
        <v>2010-01</v>
      </c>
      <c r="G14">
        <v>4009.67</v>
      </c>
      <c r="H14">
        <f t="shared" si="7"/>
        <v>8.0655190567387684E-3</v>
      </c>
      <c r="I14" t="str">
        <f t="shared" si="1"/>
        <v>2010-01</v>
      </c>
      <c r="K14">
        <v>5976.48</v>
      </c>
      <c r="L14">
        <f t="shared" si="8"/>
        <v>9.7402794274401312E-3</v>
      </c>
      <c r="M14" t="str">
        <f t="shared" si="2"/>
        <v>2010-01</v>
      </c>
      <c r="O14">
        <v>6316.5449699999999</v>
      </c>
      <c r="P14">
        <f t="shared" si="9"/>
        <v>1.3391287955837284E-2</v>
      </c>
      <c r="Q14" t="str">
        <f t="shared" si="3"/>
        <v>2010-01</v>
      </c>
      <c r="S14">
        <v>12022.6</v>
      </c>
      <c r="T14">
        <f t="shared" si="10"/>
        <v>1.2715032791058255E-2</v>
      </c>
      <c r="U14" t="str">
        <f t="shared" si="4"/>
        <v>2010-01</v>
      </c>
      <c r="W14">
        <v>23705.67</v>
      </c>
      <c r="X14">
        <f t="shared" si="11"/>
        <v>8.2986059560444733E-3</v>
      </c>
      <c r="Y14">
        <f t="shared" si="12"/>
        <v>8.3331348342135288E-3</v>
      </c>
      <c r="Z14" t="str">
        <f t="shared" si="5"/>
        <v>2010-01</v>
      </c>
    </row>
    <row r="15" spans="1:26" x14ac:dyDescent="0.35">
      <c r="A15" s="1">
        <v>40198</v>
      </c>
      <c r="C15">
        <v>2914.6</v>
      </c>
      <c r="D15">
        <f t="shared" si="6"/>
        <v>-2.3806854401359545E-2</v>
      </c>
      <c r="E15" t="str">
        <f t="shared" si="0"/>
        <v>2010-01</v>
      </c>
      <c r="G15">
        <v>3928.95</v>
      </c>
      <c r="H15">
        <f t="shared" si="7"/>
        <v>-2.0336729056880932E-2</v>
      </c>
      <c r="I15" t="str">
        <f t="shared" si="1"/>
        <v>2010-01</v>
      </c>
      <c r="K15">
        <v>5851.53</v>
      </c>
      <c r="L15">
        <f t="shared" si="8"/>
        <v>-2.1128600379992767E-2</v>
      </c>
      <c r="M15" t="str">
        <f t="shared" si="2"/>
        <v>2010-01</v>
      </c>
      <c r="O15">
        <v>6251.0472099999997</v>
      </c>
      <c r="P15">
        <f t="shared" si="9"/>
        <v>-1.0423373398900433E-2</v>
      </c>
      <c r="Q15" t="str">
        <f t="shared" si="3"/>
        <v>2010-01</v>
      </c>
      <c r="S15">
        <v>11709</v>
      </c>
      <c r="T15">
        <f t="shared" si="10"/>
        <v>-2.6430435006076274E-2</v>
      </c>
      <c r="U15" t="str">
        <f t="shared" si="4"/>
        <v>2010-01</v>
      </c>
      <c r="W15">
        <v>23126.02</v>
      </c>
      <c r="X15">
        <f t="shared" si="11"/>
        <v>-2.4755869500105197E-2</v>
      </c>
      <c r="Y15">
        <f t="shared" si="12"/>
        <v>-2.4451956008836616E-2</v>
      </c>
      <c r="Z15" t="str">
        <f t="shared" si="5"/>
        <v>2010-01</v>
      </c>
    </row>
    <row r="16" spans="1:26" x14ac:dyDescent="0.35">
      <c r="A16" s="1">
        <v>40199</v>
      </c>
      <c r="C16">
        <v>2863.25</v>
      </c>
      <c r="D16">
        <f t="shared" si="6"/>
        <v>-1.7775245821770657E-2</v>
      </c>
      <c r="E16" t="str">
        <f t="shared" si="0"/>
        <v>2010-01</v>
      </c>
      <c r="G16">
        <v>3862.16</v>
      </c>
      <c r="H16">
        <f t="shared" si="7"/>
        <v>-1.7145602151508774E-2</v>
      </c>
      <c r="I16" t="str">
        <f t="shared" si="1"/>
        <v>2010-01</v>
      </c>
      <c r="K16">
        <v>5746.97</v>
      </c>
      <c r="L16">
        <f t="shared" si="8"/>
        <v>-1.8030406112945121E-2</v>
      </c>
      <c r="M16" t="str">
        <f t="shared" si="2"/>
        <v>2010-01</v>
      </c>
      <c r="O16">
        <v>6133.8514999999998</v>
      </c>
      <c r="P16">
        <f t="shared" si="9"/>
        <v>-1.8926147238837492E-2</v>
      </c>
      <c r="Q16" t="str">
        <f t="shared" si="3"/>
        <v>2010-01</v>
      </c>
      <c r="S16">
        <v>11444</v>
      </c>
      <c r="T16">
        <f t="shared" si="10"/>
        <v>-2.2892201678723797E-2</v>
      </c>
      <c r="U16" t="str">
        <f t="shared" si="4"/>
        <v>2010-01</v>
      </c>
      <c r="W16">
        <v>22876.46</v>
      </c>
      <c r="X16">
        <f t="shared" si="11"/>
        <v>-1.0849956272403399E-2</v>
      </c>
      <c r="Y16">
        <f t="shared" si="12"/>
        <v>-1.0791307799612787E-2</v>
      </c>
      <c r="Z16" t="str">
        <f t="shared" si="5"/>
        <v>2010-01</v>
      </c>
    </row>
    <row r="17" spans="1:26" x14ac:dyDescent="0.35">
      <c r="A17" s="1">
        <v>40200</v>
      </c>
      <c r="C17">
        <v>2836.8</v>
      </c>
      <c r="D17">
        <f t="shared" si="6"/>
        <v>-9.2806869578820773E-3</v>
      </c>
      <c r="E17" t="str">
        <f t="shared" si="0"/>
        <v>2010-01</v>
      </c>
      <c r="G17">
        <v>3820.78</v>
      </c>
      <c r="H17">
        <f t="shared" si="7"/>
        <v>-1.0772022202861666E-2</v>
      </c>
      <c r="I17" t="str">
        <f t="shared" si="1"/>
        <v>2010-01</v>
      </c>
      <c r="K17">
        <v>5695.32</v>
      </c>
      <c r="L17">
        <f t="shared" si="8"/>
        <v>-9.0279744365353212E-3</v>
      </c>
      <c r="M17" t="str">
        <f t="shared" si="2"/>
        <v>2010-01</v>
      </c>
      <c r="O17">
        <v>6044.0224399999997</v>
      </c>
      <c r="P17">
        <f t="shared" si="9"/>
        <v>-1.475309889733714E-2</v>
      </c>
      <c r="Q17" t="str">
        <f t="shared" si="3"/>
        <v>2010-01</v>
      </c>
      <c r="S17">
        <v>11373.4</v>
      </c>
      <c r="T17">
        <f t="shared" si="10"/>
        <v>-6.1882795849619024E-3</v>
      </c>
      <c r="U17" t="str">
        <f t="shared" si="4"/>
        <v>2010-01</v>
      </c>
      <c r="W17">
        <v>22567.81</v>
      </c>
      <c r="X17">
        <f t="shared" si="11"/>
        <v>-1.3583879597558839E-2</v>
      </c>
      <c r="Y17">
        <f t="shared" si="12"/>
        <v>-1.3492035043883443E-2</v>
      </c>
      <c r="Z17" t="str">
        <f t="shared" si="5"/>
        <v>2010-01</v>
      </c>
    </row>
    <row r="18" spans="1:26" x14ac:dyDescent="0.35">
      <c r="A18" s="1">
        <v>40203</v>
      </c>
      <c r="C18">
        <v>2807.3</v>
      </c>
      <c r="D18">
        <f t="shared" si="6"/>
        <v>-1.0453489000885311E-2</v>
      </c>
      <c r="E18" t="str">
        <f t="shared" si="0"/>
        <v>2010-01</v>
      </c>
      <c r="G18">
        <v>3781.85</v>
      </c>
      <c r="H18">
        <f t="shared" si="7"/>
        <v>-1.0241282361535963E-2</v>
      </c>
      <c r="I18" t="str">
        <f t="shared" si="1"/>
        <v>2010-01</v>
      </c>
      <c r="K18">
        <v>5631.37</v>
      </c>
      <c r="L18">
        <f t="shared" si="8"/>
        <v>-1.129203315720049E-2</v>
      </c>
      <c r="M18" t="str">
        <f t="shared" si="2"/>
        <v>2010-01</v>
      </c>
      <c r="O18">
        <v>6033.50234</v>
      </c>
      <c r="P18">
        <f t="shared" si="9"/>
        <v>-1.7420958105654064E-3</v>
      </c>
      <c r="Q18" t="str">
        <f t="shared" si="3"/>
        <v>2010-01</v>
      </c>
      <c r="S18">
        <v>11249.3</v>
      </c>
      <c r="T18">
        <f t="shared" si="10"/>
        <v>-1.0971391110577869E-2</v>
      </c>
      <c r="U18" t="str">
        <f t="shared" si="4"/>
        <v>2010-01</v>
      </c>
      <c r="W18">
        <v>22373.09</v>
      </c>
      <c r="X18">
        <f t="shared" si="11"/>
        <v>-8.6656572751125614E-3</v>
      </c>
      <c r="Y18">
        <f t="shared" si="12"/>
        <v>-8.6282186884771347E-3</v>
      </c>
      <c r="Z18" t="str">
        <f t="shared" si="5"/>
        <v>2010-01</v>
      </c>
    </row>
    <row r="19" spans="1:26" x14ac:dyDescent="0.35">
      <c r="A19" s="1">
        <v>40204</v>
      </c>
      <c r="C19">
        <v>2827.74</v>
      </c>
      <c r="D19">
        <f t="shared" si="6"/>
        <v>7.254638705664597E-3</v>
      </c>
      <c r="E19" t="str">
        <f t="shared" si="0"/>
        <v>2010-01</v>
      </c>
      <c r="G19">
        <v>3807.04</v>
      </c>
      <c r="H19">
        <f t="shared" si="7"/>
        <v>6.6386764110315175E-3</v>
      </c>
      <c r="I19" t="str">
        <f t="shared" si="1"/>
        <v>2010-01</v>
      </c>
      <c r="K19">
        <v>5668.93</v>
      </c>
      <c r="L19">
        <f t="shared" si="8"/>
        <v>6.6476356057650048E-3</v>
      </c>
      <c r="M19" t="str">
        <f t="shared" si="2"/>
        <v>2010-01</v>
      </c>
      <c r="O19">
        <v>6044.6911700000001</v>
      </c>
      <c r="P19">
        <f t="shared" si="9"/>
        <v>1.8527328927655585E-3</v>
      </c>
      <c r="Q19" t="str">
        <f t="shared" si="3"/>
        <v>2010-01</v>
      </c>
      <c r="S19">
        <v>11347.3</v>
      </c>
      <c r="T19">
        <f t="shared" si="10"/>
        <v>8.6739256732978002E-3</v>
      </c>
      <c r="U19" t="str">
        <f t="shared" si="4"/>
        <v>2010-01</v>
      </c>
      <c r="W19">
        <v>22407.71</v>
      </c>
      <c r="X19">
        <f t="shared" si="11"/>
        <v>1.5461986787754986E-3</v>
      </c>
      <c r="Y19">
        <f t="shared" si="12"/>
        <v>1.5473946602815696E-3</v>
      </c>
      <c r="Z19" t="str">
        <f t="shared" si="5"/>
        <v>2010-01</v>
      </c>
    </row>
    <row r="20" spans="1:26" x14ac:dyDescent="0.35">
      <c r="A20" s="1">
        <v>40205</v>
      </c>
      <c r="C20">
        <v>2787.4</v>
      </c>
      <c r="D20">
        <f t="shared" si="6"/>
        <v>-1.4368544339313524E-2</v>
      </c>
      <c r="E20" t="str">
        <f t="shared" si="0"/>
        <v>2010-01</v>
      </c>
      <c r="G20">
        <v>3759.8</v>
      </c>
      <c r="H20">
        <f t="shared" si="7"/>
        <v>-1.2486219808300055E-2</v>
      </c>
      <c r="I20" t="str">
        <f t="shared" si="1"/>
        <v>2010-01</v>
      </c>
      <c r="K20">
        <v>5643.2</v>
      </c>
      <c r="L20">
        <f t="shared" si="8"/>
        <v>-4.5491069095159051E-3</v>
      </c>
      <c r="M20" t="str">
        <f t="shared" si="2"/>
        <v>2010-01</v>
      </c>
      <c r="O20">
        <v>6013.0403500000002</v>
      </c>
      <c r="P20">
        <f t="shared" si="9"/>
        <v>-5.2498917632138424E-3</v>
      </c>
      <c r="Q20" t="str">
        <f t="shared" si="3"/>
        <v>2010-01</v>
      </c>
      <c r="S20">
        <v>11042.2</v>
      </c>
      <c r="T20">
        <f t="shared" si="10"/>
        <v>-2.7255533807051268E-2</v>
      </c>
      <c r="U20" t="str">
        <f t="shared" si="4"/>
        <v>2010-01</v>
      </c>
      <c r="W20">
        <v>21997.59</v>
      </c>
      <c r="X20">
        <f t="shared" si="11"/>
        <v>-1.8472194164334915E-2</v>
      </c>
      <c r="Y20">
        <f t="shared" si="12"/>
        <v>-1.8302628871937336E-2</v>
      </c>
      <c r="Z20" t="str">
        <f t="shared" si="5"/>
        <v>2010-01</v>
      </c>
    </row>
    <row r="21" spans="1:26" x14ac:dyDescent="0.35">
      <c r="A21" s="1">
        <v>40206</v>
      </c>
      <c r="C21">
        <v>2737.33</v>
      </c>
      <c r="D21">
        <f t="shared" si="6"/>
        <v>-1.8126268945587189E-2</v>
      </c>
      <c r="E21" t="str">
        <f t="shared" si="0"/>
        <v>2010-01</v>
      </c>
      <c r="G21">
        <v>3688.79</v>
      </c>
      <c r="H21">
        <f t="shared" si="7"/>
        <v>-1.9067273499736428E-2</v>
      </c>
      <c r="I21" t="str">
        <f t="shared" si="1"/>
        <v>2010-01</v>
      </c>
      <c r="K21">
        <v>5540.33</v>
      </c>
      <c r="L21">
        <f t="shared" si="8"/>
        <v>-1.8397214727485033E-2</v>
      </c>
      <c r="M21" t="str">
        <f t="shared" si="2"/>
        <v>2010-01</v>
      </c>
      <c r="O21">
        <v>5942.2930399999996</v>
      </c>
      <c r="P21">
        <f t="shared" si="9"/>
        <v>-1.1835409942824903E-2</v>
      </c>
      <c r="Q21" t="str">
        <f t="shared" si="3"/>
        <v>2010-01</v>
      </c>
      <c r="S21">
        <v>10829.3</v>
      </c>
      <c r="T21">
        <f t="shared" si="10"/>
        <v>-1.9468872707012121E-2</v>
      </c>
      <c r="U21" t="str">
        <f t="shared" si="4"/>
        <v>2010-01</v>
      </c>
      <c r="W21">
        <v>21603.13</v>
      </c>
      <c r="X21">
        <f t="shared" si="11"/>
        <v>-1.8094690303766366E-2</v>
      </c>
      <c r="Y21">
        <f t="shared" si="12"/>
        <v>-1.7931964365187236E-2</v>
      </c>
      <c r="Z21" t="str">
        <f t="shared" si="5"/>
        <v>2010-01</v>
      </c>
    </row>
    <row r="22" spans="1:26" x14ac:dyDescent="0.35">
      <c r="A22" s="1">
        <v>40207</v>
      </c>
      <c r="C22">
        <v>2776.83</v>
      </c>
      <c r="D22">
        <f t="shared" si="6"/>
        <v>1.4326996552332504E-2</v>
      </c>
      <c r="E22" t="str">
        <f t="shared" si="0"/>
        <v>2010-01</v>
      </c>
      <c r="G22">
        <v>3739.46</v>
      </c>
      <c r="H22">
        <f t="shared" si="7"/>
        <v>1.3642724977193576E-2</v>
      </c>
      <c r="I22" t="str">
        <f t="shared" si="1"/>
        <v>2010-01</v>
      </c>
      <c r="K22">
        <v>5608.79</v>
      </c>
      <c r="L22">
        <f t="shared" si="8"/>
        <v>1.2280944224300067E-2</v>
      </c>
      <c r="M22" t="str">
        <f t="shared" si="2"/>
        <v>2010-01</v>
      </c>
      <c r="O22">
        <v>5981.6100699999997</v>
      </c>
      <c r="P22">
        <f t="shared" si="9"/>
        <v>6.5946816454458303E-3</v>
      </c>
      <c r="Q22" t="str">
        <f t="shared" si="3"/>
        <v>2010-01</v>
      </c>
      <c r="S22">
        <v>10947.7</v>
      </c>
      <c r="T22">
        <f t="shared" si="10"/>
        <v>1.0873964886171462E-2</v>
      </c>
      <c r="U22" t="str">
        <f t="shared" si="4"/>
        <v>2010-01</v>
      </c>
      <c r="W22">
        <v>21896.29</v>
      </c>
      <c r="X22">
        <f t="shared" si="11"/>
        <v>1.3479004479414745E-2</v>
      </c>
      <c r="Y22">
        <f t="shared" si="12"/>
        <v>1.3570255791637594E-2</v>
      </c>
      <c r="Z22" t="str">
        <f t="shared" si="5"/>
        <v>2010-01</v>
      </c>
    </row>
    <row r="23" spans="1:26" x14ac:dyDescent="0.35">
      <c r="A23" s="1">
        <v>40210</v>
      </c>
      <c r="C23">
        <v>2793.29</v>
      </c>
      <c r="D23">
        <f t="shared" si="6"/>
        <v>5.9101232690430853E-3</v>
      </c>
      <c r="E23" t="str">
        <f t="shared" si="0"/>
        <v>2010-02</v>
      </c>
      <c r="G23">
        <v>3762.01</v>
      </c>
      <c r="H23">
        <f t="shared" si="7"/>
        <v>6.0121730606774743E-3</v>
      </c>
      <c r="I23" t="str">
        <f t="shared" si="1"/>
        <v>2010-02</v>
      </c>
      <c r="K23">
        <v>5654.48</v>
      </c>
      <c r="L23">
        <f t="shared" si="8"/>
        <v>8.1131413205994644E-3</v>
      </c>
      <c r="M23" t="str">
        <f t="shared" si="2"/>
        <v>2010-02</v>
      </c>
      <c r="O23">
        <v>6014.8729400000002</v>
      </c>
      <c r="P23">
        <f t="shared" si="9"/>
        <v>5.5454511483001767E-3</v>
      </c>
      <c r="Q23" t="str">
        <f t="shared" si="3"/>
        <v>2010-02</v>
      </c>
      <c r="S23">
        <v>10995.2</v>
      </c>
      <c r="T23">
        <f t="shared" si="10"/>
        <v>4.3294253899599754E-3</v>
      </c>
      <c r="U23" t="str">
        <f t="shared" si="4"/>
        <v>2010-02</v>
      </c>
      <c r="W23">
        <v>22012</v>
      </c>
      <c r="X23">
        <f t="shared" si="11"/>
        <v>5.2705431186350479E-3</v>
      </c>
      <c r="Y23">
        <f t="shared" si="12"/>
        <v>5.2844568646103571E-3</v>
      </c>
      <c r="Z23" t="str">
        <f t="shared" si="5"/>
        <v>2010-02</v>
      </c>
    </row>
    <row r="24" spans="1:26" x14ac:dyDescent="0.35">
      <c r="A24" s="1">
        <v>40211</v>
      </c>
      <c r="C24">
        <v>2830.01</v>
      </c>
      <c r="D24">
        <f t="shared" si="6"/>
        <v>1.3060132638747448E-2</v>
      </c>
      <c r="E24" t="str">
        <f t="shared" si="0"/>
        <v>2010-02</v>
      </c>
      <c r="G24">
        <v>3812.13</v>
      </c>
      <c r="H24">
        <f t="shared" si="7"/>
        <v>1.3234699007767034E-2</v>
      </c>
      <c r="I24" t="str">
        <f t="shared" si="1"/>
        <v>2010-02</v>
      </c>
      <c r="K24">
        <v>5709.66</v>
      </c>
      <c r="L24">
        <f t="shared" si="8"/>
        <v>9.7113259195065384E-3</v>
      </c>
      <c r="M24" t="str">
        <f t="shared" si="2"/>
        <v>2010-02</v>
      </c>
      <c r="O24">
        <v>6046.0173800000002</v>
      </c>
      <c r="P24">
        <f t="shared" si="9"/>
        <v>5.1645456344814487E-3</v>
      </c>
      <c r="Q24" t="str">
        <f t="shared" si="3"/>
        <v>2010-02</v>
      </c>
      <c r="S24">
        <v>11140.9</v>
      </c>
      <c r="T24">
        <f t="shared" si="10"/>
        <v>1.3164207254256172E-2</v>
      </c>
      <c r="U24" t="str">
        <f t="shared" si="4"/>
        <v>2010-02</v>
      </c>
      <c r="W24">
        <v>22413.74</v>
      </c>
      <c r="X24">
        <f t="shared" si="11"/>
        <v>1.8086404472120569E-2</v>
      </c>
      <c r="Y24">
        <f t="shared" si="12"/>
        <v>1.8250954025077305E-2</v>
      </c>
      <c r="Z24" t="str">
        <f t="shared" si="5"/>
        <v>2010-02</v>
      </c>
    </row>
    <row r="25" spans="1:26" x14ac:dyDescent="0.35">
      <c r="A25" s="1">
        <v>40212</v>
      </c>
      <c r="C25">
        <v>2804.61</v>
      </c>
      <c r="D25">
        <f t="shared" si="6"/>
        <v>-9.015753342903254E-3</v>
      </c>
      <c r="E25" t="str">
        <f t="shared" si="0"/>
        <v>2010-02</v>
      </c>
      <c r="G25">
        <v>3793.47</v>
      </c>
      <c r="H25">
        <f t="shared" si="7"/>
        <v>-4.9069205430398071E-3</v>
      </c>
      <c r="I25" t="str">
        <f t="shared" si="1"/>
        <v>2010-02</v>
      </c>
      <c r="K25">
        <v>5672.09</v>
      </c>
      <c r="L25">
        <f t="shared" si="8"/>
        <v>-6.6018207137313331E-3</v>
      </c>
      <c r="M25" t="str">
        <f t="shared" si="2"/>
        <v>2010-02</v>
      </c>
      <c r="O25">
        <v>6009.4797500000004</v>
      </c>
      <c r="P25">
        <f t="shared" si="9"/>
        <v>-6.0615902406560554E-3</v>
      </c>
      <c r="Q25" t="str">
        <f t="shared" si="3"/>
        <v>2010-02</v>
      </c>
      <c r="S25">
        <v>10888.4</v>
      </c>
      <c r="T25">
        <f t="shared" si="10"/>
        <v>-2.2925018814720758E-2</v>
      </c>
      <c r="U25" t="str">
        <f t="shared" si="4"/>
        <v>2010-02</v>
      </c>
      <c r="W25">
        <v>22169.25</v>
      </c>
      <c r="X25">
        <f t="shared" si="11"/>
        <v>-1.0967970112966715E-2</v>
      </c>
      <c r="Y25">
        <f t="shared" si="12"/>
        <v>-1.0908041228282365E-2</v>
      </c>
      <c r="Z25" t="str">
        <f t="shared" si="5"/>
        <v>2010-02</v>
      </c>
    </row>
    <row r="26" spans="1:26" x14ac:dyDescent="0.35">
      <c r="A26" s="1">
        <v>40213</v>
      </c>
      <c r="C26">
        <v>2707.45</v>
      </c>
      <c r="D26">
        <f t="shared" si="6"/>
        <v>-3.5257259373100563E-2</v>
      </c>
      <c r="E26" t="str">
        <f t="shared" si="0"/>
        <v>2010-02</v>
      </c>
      <c r="G26">
        <v>3689.25</v>
      </c>
      <c r="H26">
        <f t="shared" si="7"/>
        <v>-2.7857982139164031E-2</v>
      </c>
      <c r="I26" t="str">
        <f t="shared" si="1"/>
        <v>2010-02</v>
      </c>
      <c r="K26">
        <v>5533.24</v>
      </c>
      <c r="L26">
        <f t="shared" si="8"/>
        <v>-2.4784117440589219E-2</v>
      </c>
      <c r="M26" t="str">
        <f t="shared" si="2"/>
        <v>2010-02</v>
      </c>
      <c r="O26">
        <v>5896.49719</v>
      </c>
      <c r="P26">
        <f t="shared" si="9"/>
        <v>-1.8979702746445427E-2</v>
      </c>
      <c r="Q26" t="str">
        <f t="shared" si="3"/>
        <v>2010-02</v>
      </c>
      <c r="S26">
        <v>10241.700000000001</v>
      </c>
      <c r="T26">
        <f t="shared" si="10"/>
        <v>-6.1230380909932304E-2</v>
      </c>
      <c r="U26" t="str">
        <f t="shared" si="4"/>
        <v>2010-02</v>
      </c>
      <c r="W26">
        <v>21404.82</v>
      </c>
      <c r="X26">
        <f t="shared" si="11"/>
        <v>-3.5090063245289974E-2</v>
      </c>
      <c r="Y26">
        <f t="shared" si="12"/>
        <v>-3.4481545383808668E-2</v>
      </c>
      <c r="Z26" t="str">
        <f t="shared" si="5"/>
        <v>2010-02</v>
      </c>
    </row>
    <row r="27" spans="1:26" x14ac:dyDescent="0.35">
      <c r="A27" s="1">
        <v>40214</v>
      </c>
      <c r="C27">
        <v>2631.64</v>
      </c>
      <c r="D27">
        <f t="shared" si="6"/>
        <v>-2.8400006509214325E-2</v>
      </c>
      <c r="E27" t="str">
        <f t="shared" si="0"/>
        <v>2010-02</v>
      </c>
      <c r="G27">
        <v>3563.76</v>
      </c>
      <c r="H27">
        <f t="shared" si="7"/>
        <v>-3.4607018087643139E-2</v>
      </c>
      <c r="I27" t="str">
        <f t="shared" si="1"/>
        <v>2010-02</v>
      </c>
      <c r="K27">
        <v>5434.34</v>
      </c>
      <c r="L27">
        <f t="shared" si="8"/>
        <v>-1.8035461025516366E-2</v>
      </c>
      <c r="M27" t="str">
        <f t="shared" si="2"/>
        <v>2010-02</v>
      </c>
      <c r="O27">
        <v>5802.0495899999996</v>
      </c>
      <c r="P27">
        <f t="shared" si="9"/>
        <v>-1.6147245278459413E-2</v>
      </c>
      <c r="Q27" t="str">
        <f t="shared" si="3"/>
        <v>2010-02</v>
      </c>
      <c r="S27">
        <v>10103.299999999999</v>
      </c>
      <c r="T27">
        <f t="shared" si="10"/>
        <v>-1.3605518302307962E-2</v>
      </c>
      <c r="U27" t="str">
        <f t="shared" si="4"/>
        <v>2010-02</v>
      </c>
      <c r="W27">
        <v>20815.88</v>
      </c>
      <c r="X27">
        <f t="shared" si="11"/>
        <v>-2.789997335415385E-2</v>
      </c>
      <c r="Y27">
        <f t="shared" si="12"/>
        <v>-2.7514363587266732E-2</v>
      </c>
      <c r="Z27" t="str">
        <f t="shared" si="5"/>
        <v>2010-02</v>
      </c>
    </row>
    <row r="28" spans="1:26" x14ac:dyDescent="0.35">
      <c r="A28" s="1">
        <v>40217</v>
      </c>
      <c r="C28">
        <v>2664.29</v>
      </c>
      <c r="D28">
        <f t="shared" si="6"/>
        <v>1.2330379619716312E-2</v>
      </c>
      <c r="E28" t="str">
        <f t="shared" si="0"/>
        <v>2010-02</v>
      </c>
      <c r="G28">
        <v>3607.27</v>
      </c>
      <c r="H28">
        <f t="shared" si="7"/>
        <v>1.2135086295849886E-2</v>
      </c>
      <c r="I28" t="str">
        <f t="shared" si="1"/>
        <v>2010-02</v>
      </c>
      <c r="K28">
        <v>5484.85</v>
      </c>
      <c r="L28">
        <f t="shared" si="8"/>
        <v>9.2516679856667026E-3</v>
      </c>
      <c r="M28" t="str">
        <f t="shared" si="2"/>
        <v>2010-02</v>
      </c>
      <c r="O28">
        <v>5818.1589999999997</v>
      </c>
      <c r="P28">
        <f t="shared" si="9"/>
        <v>2.7726559631838076E-3</v>
      </c>
      <c r="Q28" t="str">
        <f t="shared" si="3"/>
        <v>2010-02</v>
      </c>
      <c r="S28">
        <v>10206.299999999999</v>
      </c>
      <c r="T28">
        <f t="shared" si="10"/>
        <v>1.0143073528624489E-2</v>
      </c>
      <c r="U28" t="str">
        <f t="shared" si="4"/>
        <v>2010-02</v>
      </c>
      <c r="W28">
        <v>20938.240000000002</v>
      </c>
      <c r="X28">
        <f t="shared" si="11"/>
        <v>5.8609952870857995E-3</v>
      </c>
      <c r="Y28">
        <f t="shared" si="12"/>
        <v>5.8782045246225751E-3</v>
      </c>
      <c r="Z28" t="str">
        <f t="shared" si="5"/>
        <v>2010-02</v>
      </c>
    </row>
    <row r="29" spans="1:26" x14ac:dyDescent="0.35">
      <c r="A29" s="1">
        <v>40218</v>
      </c>
      <c r="C29">
        <v>2668.43</v>
      </c>
      <c r="D29">
        <f t="shared" si="6"/>
        <v>1.5526788699687783E-3</v>
      </c>
      <c r="E29" t="str">
        <f t="shared" si="0"/>
        <v>2010-02</v>
      </c>
      <c r="G29">
        <v>3612.76</v>
      </c>
      <c r="H29">
        <f t="shared" si="7"/>
        <v>1.5207695973780417E-3</v>
      </c>
      <c r="I29" t="str">
        <f t="shared" si="1"/>
        <v>2010-02</v>
      </c>
      <c r="K29">
        <v>5498.26</v>
      </c>
      <c r="L29">
        <f t="shared" si="8"/>
        <v>2.4419325061279858E-3</v>
      </c>
      <c r="M29" t="str">
        <f t="shared" si="2"/>
        <v>2010-02</v>
      </c>
      <c r="O29">
        <v>5822.2915800000001</v>
      </c>
      <c r="P29">
        <f t="shared" si="9"/>
        <v>7.1003783663188937E-4</v>
      </c>
      <c r="Q29" t="str">
        <f t="shared" si="3"/>
        <v>2010-02</v>
      </c>
      <c r="S29">
        <v>10275.4</v>
      </c>
      <c r="T29">
        <f t="shared" si="10"/>
        <v>6.7475123813470171E-3</v>
      </c>
      <c r="U29" t="str">
        <f t="shared" si="4"/>
        <v>2010-02</v>
      </c>
      <c r="W29">
        <v>20818.97</v>
      </c>
      <c r="X29">
        <f t="shared" si="11"/>
        <v>-5.7125619431119302E-3</v>
      </c>
      <c r="Y29">
        <f t="shared" si="12"/>
        <v>-5.6962762868321519E-3</v>
      </c>
      <c r="Z29" t="str">
        <f t="shared" si="5"/>
        <v>2010-02</v>
      </c>
    </row>
    <row r="30" spans="1:26" x14ac:dyDescent="0.35">
      <c r="A30" s="1">
        <v>40219</v>
      </c>
      <c r="C30">
        <v>2700.17</v>
      </c>
      <c r="D30">
        <f t="shared" si="6"/>
        <v>1.1824449508887447E-2</v>
      </c>
      <c r="E30" t="str">
        <f t="shared" si="0"/>
        <v>2010-02</v>
      </c>
      <c r="G30">
        <v>3635.61</v>
      </c>
      <c r="H30">
        <f t="shared" si="7"/>
        <v>6.3048866693101871E-3</v>
      </c>
      <c r="I30" t="str">
        <f t="shared" si="1"/>
        <v>2010-02</v>
      </c>
      <c r="K30">
        <v>5536.37</v>
      </c>
      <c r="L30">
        <f t="shared" si="8"/>
        <v>6.9073727935780411E-3</v>
      </c>
      <c r="M30" t="str">
        <f t="shared" si="2"/>
        <v>2010-02</v>
      </c>
      <c r="O30">
        <v>5831.5691299999999</v>
      </c>
      <c r="P30">
        <f t="shared" si="9"/>
        <v>1.5921851463289156E-3</v>
      </c>
      <c r="Q30" t="str">
        <f t="shared" si="3"/>
        <v>2010-02</v>
      </c>
      <c r="S30">
        <v>10455</v>
      </c>
      <c r="T30">
        <f t="shared" si="10"/>
        <v>1.7327643815640288E-2</v>
      </c>
      <c r="U30" t="str">
        <f t="shared" si="4"/>
        <v>2010-02</v>
      </c>
      <c r="W30">
        <v>21241.63</v>
      </c>
      <c r="X30">
        <f t="shared" si="11"/>
        <v>2.0098345124259141E-2</v>
      </c>
      <c r="Y30">
        <f t="shared" si="12"/>
        <v>2.0301676788044742E-2</v>
      </c>
      <c r="Z30" t="str">
        <f t="shared" si="5"/>
        <v>2010-02</v>
      </c>
    </row>
    <row r="31" spans="1:26" x14ac:dyDescent="0.35">
      <c r="A31" s="1">
        <v>40220</v>
      </c>
      <c r="C31">
        <v>2680.25</v>
      </c>
      <c r="D31">
        <f t="shared" si="6"/>
        <v>-7.404660236950196E-3</v>
      </c>
      <c r="E31" t="str">
        <f t="shared" si="0"/>
        <v>2010-02</v>
      </c>
      <c r="G31">
        <v>3616.75</v>
      </c>
      <c r="H31">
        <f t="shared" si="7"/>
        <v>-5.2010773087542731E-3</v>
      </c>
      <c r="I31" t="str">
        <f t="shared" si="1"/>
        <v>2010-02</v>
      </c>
      <c r="K31">
        <v>5503.93</v>
      </c>
      <c r="L31">
        <f t="shared" si="8"/>
        <v>-5.8766688151955185E-3</v>
      </c>
      <c r="M31" t="str">
        <f t="shared" si="2"/>
        <v>2010-02</v>
      </c>
      <c r="O31">
        <v>5916.9473900000003</v>
      </c>
      <c r="P31">
        <f t="shared" si="9"/>
        <v>1.4534560663391566E-2</v>
      </c>
      <c r="Q31" t="str">
        <f t="shared" si="3"/>
        <v>2010-02</v>
      </c>
      <c r="S31">
        <v>10281.700000000001</v>
      </c>
      <c r="T31">
        <f t="shared" si="10"/>
        <v>-1.6714716875825576E-2</v>
      </c>
      <c r="U31" t="str">
        <f t="shared" si="4"/>
        <v>2010-02</v>
      </c>
      <c r="W31">
        <v>21076.45</v>
      </c>
      <c r="X31">
        <f t="shared" si="11"/>
        <v>-7.8066320062947408E-3</v>
      </c>
      <c r="Y31">
        <f t="shared" si="12"/>
        <v>-7.7762393940578141E-3</v>
      </c>
      <c r="Z31" t="str">
        <f t="shared" si="5"/>
        <v>2010-02</v>
      </c>
    </row>
    <row r="32" spans="1:26" x14ac:dyDescent="0.35">
      <c r="A32" s="1">
        <v>40221</v>
      </c>
      <c r="C32">
        <v>2674.46</v>
      </c>
      <c r="D32">
        <f t="shared" si="6"/>
        <v>-2.1625829434418829E-3</v>
      </c>
      <c r="E32" t="str">
        <f t="shared" si="0"/>
        <v>2010-02</v>
      </c>
      <c r="G32">
        <v>3599.07</v>
      </c>
      <c r="H32">
        <f t="shared" si="7"/>
        <v>-4.9003537726349192E-3</v>
      </c>
      <c r="I32" t="str">
        <f t="shared" si="1"/>
        <v>2010-02</v>
      </c>
      <c r="K32">
        <v>5500.39</v>
      </c>
      <c r="L32">
        <f t="shared" si="8"/>
        <v>-6.4338371150840751E-4</v>
      </c>
      <c r="M32" t="str">
        <f t="shared" si="2"/>
        <v>2010-02</v>
      </c>
      <c r="O32">
        <v>5912.5534900000002</v>
      </c>
      <c r="P32">
        <f t="shared" si="9"/>
        <v>-7.4287161337399253E-4</v>
      </c>
      <c r="Q32" t="str">
        <f t="shared" si="3"/>
        <v>2010-02</v>
      </c>
      <c r="S32">
        <v>10224.9</v>
      </c>
      <c r="T32">
        <f t="shared" si="10"/>
        <v>-5.5396940748302249E-3</v>
      </c>
      <c r="U32" t="str">
        <f t="shared" si="4"/>
        <v>2010-02</v>
      </c>
      <c r="W32">
        <v>21035.91</v>
      </c>
      <c r="X32">
        <f t="shared" si="11"/>
        <v>-1.9253260811352311E-3</v>
      </c>
      <c r="Y32">
        <f t="shared" si="12"/>
        <v>-1.9234738297958561E-3</v>
      </c>
      <c r="Z32" t="str">
        <f t="shared" si="5"/>
        <v>2010-02</v>
      </c>
    </row>
    <row r="33" spans="1:26" x14ac:dyDescent="0.35">
      <c r="A33" s="1">
        <v>40224</v>
      </c>
      <c r="C33">
        <v>2683.83</v>
      </c>
      <c r="D33">
        <f t="shared" si="6"/>
        <v>3.4973879916669805E-3</v>
      </c>
      <c r="E33" t="str">
        <f t="shared" si="0"/>
        <v>2010-02</v>
      </c>
      <c r="G33">
        <v>3609.22</v>
      </c>
      <c r="H33">
        <f t="shared" si="7"/>
        <v>2.8162037621422783E-3</v>
      </c>
      <c r="I33" t="str">
        <f t="shared" si="1"/>
        <v>2010-02</v>
      </c>
      <c r="K33">
        <v>5511.1</v>
      </c>
      <c r="L33">
        <f t="shared" si="8"/>
        <v>1.9452414481941445E-3</v>
      </c>
      <c r="M33" t="str">
        <f t="shared" si="2"/>
        <v>2010-02</v>
      </c>
      <c r="O33">
        <v>5946.3691699999999</v>
      </c>
      <c r="P33">
        <f t="shared" si="9"/>
        <v>5.703009054381457E-3</v>
      </c>
      <c r="Q33" t="str">
        <f t="shared" si="3"/>
        <v>2010-02</v>
      </c>
      <c r="S33">
        <v>10293.6</v>
      </c>
      <c r="T33">
        <f t="shared" si="10"/>
        <v>6.6964209587022485E-3</v>
      </c>
      <c r="U33" t="str">
        <f t="shared" si="4"/>
        <v>2010-02</v>
      </c>
      <c r="W33">
        <v>21122.47</v>
      </c>
      <c r="X33">
        <f t="shared" si="11"/>
        <v>4.1064254194044863E-3</v>
      </c>
      <c r="Y33">
        <f t="shared" si="12"/>
        <v>4.1148683370484714E-3</v>
      </c>
      <c r="Z33" t="str">
        <f t="shared" si="5"/>
        <v>2010-02</v>
      </c>
    </row>
    <row r="34" spans="1:26" x14ac:dyDescent="0.35">
      <c r="A34" s="1">
        <v>40225</v>
      </c>
      <c r="C34">
        <v>2720.77</v>
      </c>
      <c r="D34">
        <f t="shared" si="6"/>
        <v>1.3670049678848811E-2</v>
      </c>
      <c r="E34" t="str">
        <f t="shared" si="0"/>
        <v>2010-02</v>
      </c>
      <c r="G34">
        <v>3669.04</v>
      </c>
      <c r="H34">
        <f t="shared" si="7"/>
        <v>1.6438364949822308E-2</v>
      </c>
      <c r="I34" t="str">
        <f t="shared" si="1"/>
        <v>2010-02</v>
      </c>
      <c r="K34">
        <v>5592.12</v>
      </c>
      <c r="L34">
        <f t="shared" si="8"/>
        <v>1.4594223665133221E-2</v>
      </c>
      <c r="M34" t="str">
        <f t="shared" si="2"/>
        <v>2010-02</v>
      </c>
      <c r="O34">
        <v>6013.7987999999996</v>
      </c>
      <c r="P34">
        <f t="shared" si="9"/>
        <v>1.1275818969692371E-2</v>
      </c>
      <c r="Q34" t="str">
        <f t="shared" si="3"/>
        <v>2010-02</v>
      </c>
      <c r="S34">
        <v>10393.9</v>
      </c>
      <c r="T34">
        <f t="shared" si="10"/>
        <v>9.6967527161703447E-3</v>
      </c>
      <c r="U34" t="str">
        <f t="shared" si="4"/>
        <v>2010-02</v>
      </c>
      <c r="W34">
        <v>21289.200000000001</v>
      </c>
      <c r="X34">
        <f t="shared" si="11"/>
        <v>7.8624991150363054E-3</v>
      </c>
      <c r="Y34">
        <f t="shared" si="12"/>
        <v>7.8934897291841125E-3</v>
      </c>
      <c r="Z34" t="str">
        <f t="shared" si="5"/>
        <v>2010-02</v>
      </c>
    </row>
    <row r="35" spans="1:26" x14ac:dyDescent="0.35">
      <c r="A35" s="1">
        <v>40226</v>
      </c>
      <c r="C35">
        <v>2762.25</v>
      </c>
      <c r="D35">
        <f t="shared" si="6"/>
        <v>1.5130636529861109E-2</v>
      </c>
      <c r="E35" t="str">
        <f t="shared" si="0"/>
        <v>2010-02</v>
      </c>
      <c r="G35">
        <v>3725.21</v>
      </c>
      <c r="H35">
        <f t="shared" si="7"/>
        <v>1.5193178614498926E-2</v>
      </c>
      <c r="I35" t="str">
        <f t="shared" si="1"/>
        <v>2010-02</v>
      </c>
      <c r="K35">
        <v>5648.34</v>
      </c>
      <c r="L35">
        <f t="shared" si="8"/>
        <v>1.0003232750648216E-2</v>
      </c>
      <c r="M35" t="str">
        <f t="shared" si="2"/>
        <v>2010-02</v>
      </c>
      <c r="O35">
        <v>6083.0947500000002</v>
      </c>
      <c r="P35">
        <f t="shared" si="9"/>
        <v>1.1456942677553728E-2</v>
      </c>
      <c r="Q35" t="str">
        <f t="shared" si="3"/>
        <v>2010-02</v>
      </c>
      <c r="S35">
        <v>10498.6</v>
      </c>
      <c r="T35">
        <f t="shared" si="10"/>
        <v>1.0022819335651544E-2</v>
      </c>
      <c r="U35" t="str">
        <f t="shared" si="4"/>
        <v>2010-02</v>
      </c>
      <c r="W35">
        <v>21650.81</v>
      </c>
      <c r="X35">
        <f t="shared" si="11"/>
        <v>1.6842965271088212E-2</v>
      </c>
      <c r="Y35">
        <f t="shared" si="12"/>
        <v>1.6985607725983155E-2</v>
      </c>
      <c r="Z35" t="str">
        <f t="shared" si="5"/>
        <v>2010-02</v>
      </c>
    </row>
    <row r="36" spans="1:26" x14ac:dyDescent="0.35">
      <c r="A36" s="1">
        <v>40227</v>
      </c>
      <c r="C36">
        <v>2778.3</v>
      </c>
      <c r="D36">
        <f t="shared" si="6"/>
        <v>5.7936648510486929E-3</v>
      </c>
      <c r="E36" t="str">
        <f t="shared" si="0"/>
        <v>2010-02</v>
      </c>
      <c r="G36">
        <v>3747.83</v>
      </c>
      <c r="H36">
        <f t="shared" si="7"/>
        <v>6.0537797420882992E-3</v>
      </c>
      <c r="I36" t="str">
        <f t="shared" si="1"/>
        <v>2010-02</v>
      </c>
      <c r="K36">
        <v>5680.41</v>
      </c>
      <c r="L36">
        <f t="shared" si="8"/>
        <v>5.6617165471977452E-3</v>
      </c>
      <c r="M36" t="str">
        <f t="shared" si="2"/>
        <v>2010-02</v>
      </c>
      <c r="O36">
        <v>6112.1205200000004</v>
      </c>
      <c r="P36">
        <f t="shared" si="9"/>
        <v>4.7601988429814392E-3</v>
      </c>
      <c r="Q36" t="str">
        <f t="shared" si="3"/>
        <v>2010-02</v>
      </c>
      <c r="S36">
        <v>10574.2</v>
      </c>
      <c r="T36">
        <f t="shared" si="10"/>
        <v>7.1751570120586975E-3</v>
      </c>
      <c r="U36" t="str">
        <f t="shared" si="4"/>
        <v>2010-02</v>
      </c>
      <c r="W36">
        <v>21686.12</v>
      </c>
      <c r="X36">
        <f t="shared" si="11"/>
        <v>1.6295574150583061E-3</v>
      </c>
      <c r="Y36">
        <f t="shared" si="12"/>
        <v>1.6308858652400381E-3</v>
      </c>
      <c r="Z36" t="str">
        <f t="shared" si="5"/>
        <v>2010-02</v>
      </c>
    </row>
    <row r="37" spans="1:26" x14ac:dyDescent="0.35">
      <c r="A37" s="1">
        <v>40228</v>
      </c>
      <c r="C37">
        <v>2793.37</v>
      </c>
      <c r="D37">
        <f t="shared" si="6"/>
        <v>5.4095223691811266E-3</v>
      </c>
      <c r="E37" t="str">
        <f t="shared" si="0"/>
        <v>2010-02</v>
      </c>
      <c r="G37">
        <v>3769.54</v>
      </c>
      <c r="H37">
        <f t="shared" si="7"/>
        <v>5.7759722767733264E-3</v>
      </c>
      <c r="I37" t="str">
        <f t="shared" si="1"/>
        <v>2010-02</v>
      </c>
      <c r="K37">
        <v>5722.05</v>
      </c>
      <c r="L37">
        <f t="shared" si="8"/>
        <v>7.3037195665889738E-3</v>
      </c>
      <c r="M37" t="str">
        <f t="shared" si="2"/>
        <v>2010-02</v>
      </c>
      <c r="O37">
        <v>6100.6169799999998</v>
      </c>
      <c r="P37">
        <f t="shared" si="9"/>
        <v>-1.883859929373511E-3</v>
      </c>
      <c r="Q37" t="str">
        <f t="shared" si="3"/>
        <v>2010-02</v>
      </c>
      <c r="S37">
        <v>10676.7</v>
      </c>
      <c r="T37">
        <f t="shared" si="10"/>
        <v>9.6467250686160591E-3</v>
      </c>
      <c r="U37" t="str">
        <f t="shared" si="4"/>
        <v>2010-02</v>
      </c>
      <c r="W37">
        <v>21772.33</v>
      </c>
      <c r="X37">
        <f t="shared" si="11"/>
        <v>3.9674729809647015E-3</v>
      </c>
      <c r="Y37">
        <f t="shared" si="12"/>
        <v>3.9753538207850355E-3</v>
      </c>
      <c r="Z37" t="str">
        <f t="shared" si="5"/>
        <v>2010-02</v>
      </c>
    </row>
    <row r="38" spans="1:26" x14ac:dyDescent="0.35">
      <c r="A38" s="1">
        <v>40231</v>
      </c>
      <c r="C38">
        <v>2778.12</v>
      </c>
      <c r="D38">
        <f t="shared" si="6"/>
        <v>-5.4743122878925191E-3</v>
      </c>
      <c r="E38" t="str">
        <f t="shared" si="0"/>
        <v>2010-02</v>
      </c>
      <c r="G38">
        <v>3756.7</v>
      </c>
      <c r="H38">
        <f t="shared" si="7"/>
        <v>-3.4120656415801477E-3</v>
      </c>
      <c r="I38" t="str">
        <f t="shared" si="1"/>
        <v>2010-02</v>
      </c>
      <c r="K38">
        <v>5688.44</v>
      </c>
      <c r="L38">
        <f t="shared" si="8"/>
        <v>-5.8910874471853518E-3</v>
      </c>
      <c r="M38" t="str">
        <f t="shared" si="2"/>
        <v>2010-02</v>
      </c>
      <c r="O38">
        <v>6092.2959700000001</v>
      </c>
      <c r="P38">
        <f t="shared" si="9"/>
        <v>-1.364893085993895E-3</v>
      </c>
      <c r="Q38" t="str">
        <f t="shared" si="3"/>
        <v>2010-02</v>
      </c>
      <c r="S38">
        <v>10570.5</v>
      </c>
      <c r="T38">
        <f t="shared" si="10"/>
        <v>-9.9966945680901344E-3</v>
      </c>
      <c r="U38" t="str">
        <f t="shared" si="4"/>
        <v>2010-02</v>
      </c>
      <c r="W38">
        <v>21704.78</v>
      </c>
      <c r="X38">
        <f t="shared" si="11"/>
        <v>-3.1073847527734793E-3</v>
      </c>
      <c r="Y38">
        <f t="shared" si="12"/>
        <v>-3.1025618296251665E-3</v>
      </c>
      <c r="Z38" t="str">
        <f t="shared" si="5"/>
        <v>2010-02</v>
      </c>
    </row>
    <row r="39" spans="1:26" x14ac:dyDescent="0.35">
      <c r="A39" s="1">
        <v>40232</v>
      </c>
      <c r="C39">
        <v>2730.57</v>
      </c>
      <c r="D39">
        <f t="shared" si="6"/>
        <v>-1.7264061331675906E-2</v>
      </c>
      <c r="E39" t="str">
        <f t="shared" si="0"/>
        <v>2010-02</v>
      </c>
      <c r="G39">
        <v>3707.06</v>
      </c>
      <c r="H39">
        <f t="shared" si="7"/>
        <v>-1.330180282624208E-2</v>
      </c>
      <c r="I39" t="str">
        <f t="shared" si="1"/>
        <v>2010-02</v>
      </c>
      <c r="K39">
        <v>5604.07</v>
      </c>
      <c r="L39">
        <f t="shared" si="8"/>
        <v>-1.4942925871431459E-2</v>
      </c>
      <c r="M39" t="str">
        <f t="shared" si="2"/>
        <v>2010-02</v>
      </c>
      <c r="O39">
        <v>6063.94337</v>
      </c>
      <c r="P39">
        <f t="shared" si="9"/>
        <v>-4.6647076646829568E-3</v>
      </c>
      <c r="Q39" t="str">
        <f t="shared" si="3"/>
        <v>2010-02</v>
      </c>
      <c r="S39">
        <v>10312.9</v>
      </c>
      <c r="T39">
        <f t="shared" si="10"/>
        <v>-2.4671563665692925E-2</v>
      </c>
      <c r="U39" t="str">
        <f t="shared" si="4"/>
        <v>2010-02</v>
      </c>
      <c r="W39">
        <v>21224.07</v>
      </c>
      <c r="X39">
        <f t="shared" si="11"/>
        <v>-2.2396597803770131E-2</v>
      </c>
      <c r="Y39">
        <f t="shared" si="12"/>
        <v>-2.2147655954126193E-2</v>
      </c>
      <c r="Z39" t="str">
        <f t="shared" si="5"/>
        <v>2010-02</v>
      </c>
    </row>
    <row r="40" spans="1:26" x14ac:dyDescent="0.35">
      <c r="A40" s="1">
        <v>40233</v>
      </c>
      <c r="C40">
        <v>2734.95</v>
      </c>
      <c r="D40">
        <f t="shared" si="6"/>
        <v>1.6027755593774362E-3</v>
      </c>
      <c r="E40" t="str">
        <f t="shared" si="0"/>
        <v>2010-02</v>
      </c>
      <c r="G40">
        <v>3715.68</v>
      </c>
      <c r="H40">
        <f t="shared" si="7"/>
        <v>2.3225935099454751E-3</v>
      </c>
      <c r="I40" t="str">
        <f t="shared" si="1"/>
        <v>2010-02</v>
      </c>
      <c r="K40">
        <v>5615.51</v>
      </c>
      <c r="L40">
        <f t="shared" si="8"/>
        <v>2.0392927301452423E-3</v>
      </c>
      <c r="M40" t="str">
        <f t="shared" si="2"/>
        <v>2010-02</v>
      </c>
      <c r="O40">
        <v>6080.1057000000001</v>
      </c>
      <c r="P40">
        <f t="shared" si="9"/>
        <v>2.6617711192338609E-3</v>
      </c>
      <c r="Q40" t="str">
        <f t="shared" si="3"/>
        <v>2010-02</v>
      </c>
      <c r="S40">
        <v>10254</v>
      </c>
      <c r="T40">
        <f t="shared" si="10"/>
        <v>-5.7276654258481023E-3</v>
      </c>
      <c r="U40" t="str">
        <f t="shared" si="4"/>
        <v>2010-02</v>
      </c>
      <c r="W40">
        <v>21346.31</v>
      </c>
      <c r="X40">
        <f t="shared" si="11"/>
        <v>5.742976030477116E-3</v>
      </c>
      <c r="Y40">
        <f t="shared" si="12"/>
        <v>5.7594985316200709E-3</v>
      </c>
      <c r="Z40" t="str">
        <f t="shared" si="5"/>
        <v>2010-02</v>
      </c>
    </row>
    <row r="41" spans="1:26" x14ac:dyDescent="0.35">
      <c r="A41" s="1">
        <v>40234</v>
      </c>
      <c r="C41">
        <v>2684.42</v>
      </c>
      <c r="D41">
        <f t="shared" si="6"/>
        <v>-1.8648464442515743E-2</v>
      </c>
      <c r="E41" t="str">
        <f t="shared" si="0"/>
        <v>2010-02</v>
      </c>
      <c r="G41">
        <v>3640.77</v>
      </c>
      <c r="H41">
        <f t="shared" si="7"/>
        <v>-2.036650540329361E-2</v>
      </c>
      <c r="I41" t="str">
        <f t="shared" si="1"/>
        <v>2010-02</v>
      </c>
      <c r="K41">
        <v>5532.33</v>
      </c>
      <c r="L41">
        <f t="shared" si="8"/>
        <v>-1.4923347252931448E-2</v>
      </c>
      <c r="M41" t="str">
        <f t="shared" si="2"/>
        <v>2010-02</v>
      </c>
      <c r="O41">
        <v>5947.16921</v>
      </c>
      <c r="P41">
        <f t="shared" si="9"/>
        <v>-2.2106737374190558E-2</v>
      </c>
      <c r="Q41" t="str">
        <f t="shared" si="3"/>
        <v>2010-02</v>
      </c>
      <c r="S41">
        <v>10126.200000000001</v>
      </c>
      <c r="T41">
        <f t="shared" si="10"/>
        <v>-1.2541748873152129E-2</v>
      </c>
      <c r="U41" t="str">
        <f t="shared" si="4"/>
        <v>2010-02</v>
      </c>
      <c r="W41">
        <v>20843.23</v>
      </c>
      <c r="X41">
        <f t="shared" si="11"/>
        <v>-2.3849695735045532E-2</v>
      </c>
      <c r="Y41">
        <f t="shared" si="12"/>
        <v>-2.3567539307730551E-2</v>
      </c>
      <c r="Z41" t="str">
        <f t="shared" si="5"/>
        <v>2010-02</v>
      </c>
    </row>
    <row r="42" spans="1:26" x14ac:dyDescent="0.35">
      <c r="A42" s="1">
        <v>40235</v>
      </c>
      <c r="C42">
        <v>2728.47</v>
      </c>
      <c r="D42">
        <f t="shared" si="6"/>
        <v>1.6276322802806654E-2</v>
      </c>
      <c r="E42" t="str">
        <f t="shared" si="0"/>
        <v>2010-02</v>
      </c>
      <c r="G42">
        <v>3708.8</v>
      </c>
      <c r="H42">
        <f t="shared" si="7"/>
        <v>1.8513176424213362E-2</v>
      </c>
      <c r="I42" t="str">
        <f t="shared" si="1"/>
        <v>2010-02</v>
      </c>
      <c r="K42">
        <v>5598.46</v>
      </c>
      <c r="L42">
        <f t="shared" si="8"/>
        <v>1.1882494969906711E-2</v>
      </c>
      <c r="M42" t="str">
        <f t="shared" si="2"/>
        <v>2010-02</v>
      </c>
      <c r="O42">
        <v>5997.7552400000004</v>
      </c>
      <c r="P42">
        <f t="shared" si="9"/>
        <v>8.4699292373554592E-3</v>
      </c>
      <c r="Q42" t="str">
        <f t="shared" si="3"/>
        <v>2010-02</v>
      </c>
      <c r="S42">
        <v>10333.6</v>
      </c>
      <c r="T42">
        <f t="shared" si="10"/>
        <v>2.0274597447312106E-2</v>
      </c>
      <c r="U42" t="str">
        <f t="shared" si="4"/>
        <v>2010-02</v>
      </c>
      <c r="W42">
        <v>21068.32</v>
      </c>
      <c r="X42">
        <f t="shared" si="11"/>
        <v>1.0741295139421141E-2</v>
      </c>
      <c r="Y42">
        <f t="shared" si="12"/>
        <v>1.0799189952804827E-2</v>
      </c>
      <c r="Z42" t="str">
        <f t="shared" si="5"/>
        <v>2010-02</v>
      </c>
    </row>
    <row r="43" spans="1:26" x14ac:dyDescent="0.35">
      <c r="A43" s="1">
        <v>40238</v>
      </c>
      <c r="C43">
        <v>2772.7</v>
      </c>
      <c r="D43">
        <f t="shared" si="6"/>
        <v>1.6080562169570236E-2</v>
      </c>
      <c r="E43" t="str">
        <f t="shared" si="0"/>
        <v>2010-03</v>
      </c>
      <c r="G43">
        <v>3769.54</v>
      </c>
      <c r="H43">
        <f t="shared" si="7"/>
        <v>1.6244603936957203E-2</v>
      </c>
      <c r="I43" t="str">
        <f t="shared" si="1"/>
        <v>2010-03</v>
      </c>
      <c r="K43">
        <v>5713.51</v>
      </c>
      <c r="L43">
        <f t="shared" si="8"/>
        <v>2.0341985922088055E-2</v>
      </c>
      <c r="M43" t="str">
        <f t="shared" si="2"/>
        <v>2010-03</v>
      </c>
      <c r="O43">
        <v>5993.77657</v>
      </c>
      <c r="P43">
        <f t="shared" si="9"/>
        <v>-6.6357996777010589E-4</v>
      </c>
      <c r="Q43" t="str">
        <f t="shared" si="3"/>
        <v>2010-03</v>
      </c>
      <c r="S43">
        <v>10434.9</v>
      </c>
      <c r="T43">
        <f t="shared" si="10"/>
        <v>9.7552354138920813E-3</v>
      </c>
      <c r="U43" t="str">
        <f t="shared" si="4"/>
        <v>2010-03</v>
      </c>
      <c r="W43">
        <v>21320.799999999999</v>
      </c>
      <c r="X43">
        <f t="shared" si="11"/>
        <v>1.1912631627927552E-2</v>
      </c>
      <c r="Y43">
        <f t="shared" si="12"/>
        <v>1.1983869620358889E-2</v>
      </c>
      <c r="Z43" t="str">
        <f t="shared" si="5"/>
        <v>2010-03</v>
      </c>
    </row>
    <row r="44" spans="1:26" x14ac:dyDescent="0.35">
      <c r="A44" s="1">
        <v>40239</v>
      </c>
      <c r="C44">
        <v>2796.33</v>
      </c>
      <c r="D44">
        <f t="shared" si="6"/>
        <v>8.4862684570986419E-3</v>
      </c>
      <c r="E44" t="str">
        <f t="shared" si="0"/>
        <v>2010-03</v>
      </c>
      <c r="G44">
        <v>3811.92</v>
      </c>
      <c r="H44">
        <f t="shared" si="7"/>
        <v>1.1180021112619549E-2</v>
      </c>
      <c r="I44" t="str">
        <f t="shared" si="1"/>
        <v>2010-03</v>
      </c>
      <c r="K44">
        <v>5776.56</v>
      </c>
      <c r="L44">
        <f t="shared" si="8"/>
        <v>1.0974803955725077E-2</v>
      </c>
      <c r="M44" t="str">
        <f t="shared" si="2"/>
        <v>2010-03</v>
      </c>
      <c r="O44">
        <v>6042.4311500000003</v>
      </c>
      <c r="P44">
        <f t="shared" si="9"/>
        <v>8.08474664936654E-3</v>
      </c>
      <c r="Q44" t="str">
        <f t="shared" si="3"/>
        <v>2010-03</v>
      </c>
      <c r="S44">
        <v>10521.5</v>
      </c>
      <c r="T44">
        <f t="shared" si="10"/>
        <v>8.2648253469802101E-3</v>
      </c>
      <c r="U44" t="str">
        <f t="shared" si="4"/>
        <v>2010-03</v>
      </c>
      <c r="W44">
        <v>21431.41</v>
      </c>
      <c r="X44">
        <f t="shared" si="11"/>
        <v>5.1744808888607172E-3</v>
      </c>
      <c r="Y44">
        <f t="shared" si="12"/>
        <v>5.1878916363363751E-3</v>
      </c>
      <c r="Z44" t="str">
        <f t="shared" si="5"/>
        <v>2010-03</v>
      </c>
    </row>
    <row r="45" spans="1:26" x14ac:dyDescent="0.35">
      <c r="A45" s="1">
        <v>40240</v>
      </c>
      <c r="C45">
        <v>2822.59</v>
      </c>
      <c r="D45">
        <f t="shared" si="6"/>
        <v>9.3470600004988014E-3</v>
      </c>
      <c r="E45" t="str">
        <f t="shared" si="0"/>
        <v>2010-03</v>
      </c>
      <c r="G45">
        <v>3842.52</v>
      </c>
      <c r="H45">
        <f t="shared" si="7"/>
        <v>7.9954021488933321E-3</v>
      </c>
      <c r="I45" t="str">
        <f t="shared" si="1"/>
        <v>2010-03</v>
      </c>
      <c r="K45">
        <v>5817.88</v>
      </c>
      <c r="L45">
        <f t="shared" si="8"/>
        <v>7.1275844162640946E-3</v>
      </c>
      <c r="M45" t="str">
        <f t="shared" si="2"/>
        <v>2010-03</v>
      </c>
      <c r="O45">
        <v>6100.8531999999996</v>
      </c>
      <c r="P45">
        <f t="shared" si="9"/>
        <v>9.6221910108455488E-3</v>
      </c>
      <c r="Q45" t="str">
        <f t="shared" si="3"/>
        <v>2010-03</v>
      </c>
      <c r="S45">
        <v>10664.5</v>
      </c>
      <c r="T45">
        <f t="shared" si="10"/>
        <v>1.3499685802398905E-2</v>
      </c>
      <c r="U45" t="str">
        <f t="shared" si="4"/>
        <v>2010-03</v>
      </c>
      <c r="W45">
        <v>21745.06</v>
      </c>
      <c r="X45">
        <f t="shared" si="11"/>
        <v>1.4529002366121348E-2</v>
      </c>
      <c r="Y45">
        <f t="shared" si="12"/>
        <v>1.4635061342207604E-2</v>
      </c>
      <c r="Z45" t="str">
        <f t="shared" si="5"/>
        <v>2010-03</v>
      </c>
    </row>
    <row r="46" spans="1:26" x14ac:dyDescent="0.35">
      <c r="A46" s="1">
        <v>40241</v>
      </c>
      <c r="C46">
        <v>2816.1</v>
      </c>
      <c r="D46">
        <f t="shared" si="6"/>
        <v>-2.301954129725814E-3</v>
      </c>
      <c r="E46" t="str">
        <f t="shared" si="0"/>
        <v>2010-03</v>
      </c>
      <c r="G46">
        <v>3828.41</v>
      </c>
      <c r="H46">
        <f t="shared" si="7"/>
        <v>-3.6788279683064194E-3</v>
      </c>
      <c r="I46" t="str">
        <f t="shared" si="1"/>
        <v>2010-03</v>
      </c>
      <c r="K46">
        <v>5795.32</v>
      </c>
      <c r="L46">
        <f t="shared" si="8"/>
        <v>-3.8852389313447353E-3</v>
      </c>
      <c r="M46" t="str">
        <f t="shared" si="2"/>
        <v>2010-03</v>
      </c>
      <c r="O46">
        <v>6119.5882199999996</v>
      </c>
      <c r="P46">
        <f t="shared" si="9"/>
        <v>3.0661796958296899E-3</v>
      </c>
      <c r="Q46" t="str">
        <f t="shared" si="3"/>
        <v>2010-03</v>
      </c>
      <c r="S46">
        <v>10745.3</v>
      </c>
      <c r="T46">
        <f t="shared" si="10"/>
        <v>7.5479811685521224E-3</v>
      </c>
      <c r="U46" t="str">
        <f t="shared" si="4"/>
        <v>2010-03</v>
      </c>
      <c r="W46">
        <v>21844.560000000001</v>
      </c>
      <c r="X46">
        <f t="shared" si="11"/>
        <v>4.5653149908484059E-3</v>
      </c>
      <c r="Y46">
        <f t="shared" si="12"/>
        <v>4.5757519179068715E-3</v>
      </c>
      <c r="Z46" t="str">
        <f t="shared" si="5"/>
        <v>2010-03</v>
      </c>
    </row>
    <row r="47" spans="1:26" x14ac:dyDescent="0.35">
      <c r="A47" s="1">
        <v>40242</v>
      </c>
      <c r="C47">
        <v>2877.44</v>
      </c>
      <c r="D47">
        <f t="shared" si="6"/>
        <v>2.1548060934051604E-2</v>
      </c>
      <c r="E47" t="str">
        <f t="shared" si="0"/>
        <v>2010-03</v>
      </c>
      <c r="G47">
        <v>3910.42</v>
      </c>
      <c r="H47">
        <f t="shared" si="7"/>
        <v>2.1195211714830759E-2</v>
      </c>
      <c r="I47" t="str">
        <f t="shared" si="1"/>
        <v>2010-03</v>
      </c>
      <c r="K47">
        <v>5877.36</v>
      </c>
      <c r="L47">
        <f t="shared" si="8"/>
        <v>1.405698621278067E-2</v>
      </c>
      <c r="M47" t="str">
        <f t="shared" si="2"/>
        <v>2010-03</v>
      </c>
      <c r="O47">
        <v>6219.3954599999997</v>
      </c>
      <c r="P47">
        <f t="shared" si="9"/>
        <v>1.6177899154686287E-2</v>
      </c>
      <c r="Q47" t="str">
        <f t="shared" si="3"/>
        <v>2010-03</v>
      </c>
      <c r="S47">
        <v>11019.8</v>
      </c>
      <c r="T47">
        <f t="shared" si="10"/>
        <v>2.5225205072257732E-2</v>
      </c>
      <c r="U47" t="str">
        <f t="shared" si="4"/>
        <v>2010-03</v>
      </c>
      <c r="W47">
        <v>22278.12</v>
      </c>
      <c r="X47">
        <f t="shared" si="11"/>
        <v>1.9653110596781678E-2</v>
      </c>
      <c r="Y47">
        <f t="shared" si="12"/>
        <v>1.9847504367219923E-2</v>
      </c>
      <c r="Z47" t="str">
        <f t="shared" si="5"/>
        <v>2010-03</v>
      </c>
    </row>
    <row r="48" spans="1:26" x14ac:dyDescent="0.35">
      <c r="A48" s="1">
        <v>40245</v>
      </c>
      <c r="C48">
        <v>2879.29</v>
      </c>
      <c r="D48">
        <f t="shared" si="6"/>
        <v>6.4272601413855365E-4</v>
      </c>
      <c r="E48" t="str">
        <f t="shared" si="0"/>
        <v>2010-03</v>
      </c>
      <c r="G48">
        <v>3903.54</v>
      </c>
      <c r="H48">
        <f t="shared" si="7"/>
        <v>-1.7609513685449523E-3</v>
      </c>
      <c r="I48" t="str">
        <f t="shared" si="1"/>
        <v>2010-03</v>
      </c>
      <c r="K48">
        <v>5875.91</v>
      </c>
      <c r="L48">
        <f t="shared" si="8"/>
        <v>-2.4673984471663095E-4</v>
      </c>
      <c r="M48" t="str">
        <f t="shared" si="2"/>
        <v>2010-03</v>
      </c>
      <c r="O48">
        <v>6200.3195100000003</v>
      </c>
      <c r="P48">
        <f t="shared" si="9"/>
        <v>-3.0718845073151738E-3</v>
      </c>
      <c r="Q48" t="str">
        <f t="shared" si="3"/>
        <v>2010-03</v>
      </c>
      <c r="S48">
        <v>11078.3</v>
      </c>
      <c r="T48">
        <f t="shared" si="10"/>
        <v>5.2945852049742451E-3</v>
      </c>
      <c r="U48" t="str">
        <f t="shared" si="4"/>
        <v>2010-03</v>
      </c>
      <c r="W48">
        <v>22398.21</v>
      </c>
      <c r="X48">
        <f t="shared" si="11"/>
        <v>5.3760140652508673E-3</v>
      </c>
      <c r="Y48">
        <f t="shared" si="12"/>
        <v>5.3904907595434511E-3</v>
      </c>
      <c r="Z48" t="str">
        <f t="shared" si="5"/>
        <v>2010-03</v>
      </c>
    </row>
    <row r="49" spans="1:26" x14ac:dyDescent="0.35">
      <c r="A49" s="1">
        <v>40246</v>
      </c>
      <c r="C49">
        <v>2880.71</v>
      </c>
      <c r="D49">
        <f t="shared" si="6"/>
        <v>4.9305556554415475E-4</v>
      </c>
      <c r="E49" t="str">
        <f t="shared" si="0"/>
        <v>2010-03</v>
      </c>
      <c r="G49">
        <v>3910.01</v>
      </c>
      <c r="H49">
        <f t="shared" si="7"/>
        <v>1.6560977990160034E-3</v>
      </c>
      <c r="I49" t="str">
        <f t="shared" si="1"/>
        <v>2010-03</v>
      </c>
      <c r="K49">
        <v>5885.89</v>
      </c>
      <c r="L49">
        <f t="shared" si="8"/>
        <v>1.697019571000528E-3</v>
      </c>
      <c r="M49" t="str">
        <f t="shared" si="2"/>
        <v>2010-03</v>
      </c>
      <c r="O49">
        <v>6177.6446400000004</v>
      </c>
      <c r="P49">
        <f t="shared" si="9"/>
        <v>-3.6637519852364903E-3</v>
      </c>
      <c r="Q49" t="str">
        <f t="shared" si="3"/>
        <v>2010-03</v>
      </c>
      <c r="S49">
        <v>11002.8</v>
      </c>
      <c r="T49">
        <f t="shared" si="10"/>
        <v>-6.8384540830057029E-3</v>
      </c>
      <c r="U49" t="str">
        <f t="shared" si="4"/>
        <v>2010-03</v>
      </c>
      <c r="W49">
        <v>22355.8</v>
      </c>
      <c r="X49">
        <f t="shared" si="11"/>
        <v>-1.8952497304542937E-3</v>
      </c>
      <c r="Y49">
        <f t="shared" si="12"/>
        <v>-1.8934548787603945E-3</v>
      </c>
      <c r="Z49" t="str">
        <f t="shared" si="5"/>
        <v>2010-03</v>
      </c>
    </row>
    <row r="50" spans="1:26" x14ac:dyDescent="0.35">
      <c r="A50" s="1">
        <v>40247</v>
      </c>
      <c r="C50">
        <v>2909.4</v>
      </c>
      <c r="D50">
        <f t="shared" si="6"/>
        <v>9.9100828145714508E-3</v>
      </c>
      <c r="E50" t="str">
        <f t="shared" si="0"/>
        <v>2010-03</v>
      </c>
      <c r="G50">
        <v>3943.55</v>
      </c>
      <c r="H50">
        <f t="shared" si="7"/>
        <v>8.5414013289455849E-3</v>
      </c>
      <c r="I50" t="str">
        <f t="shared" si="1"/>
        <v>2010-03</v>
      </c>
      <c r="K50">
        <v>5936.72</v>
      </c>
      <c r="L50">
        <f t="shared" si="8"/>
        <v>8.5988310866535328E-3</v>
      </c>
      <c r="M50" t="str">
        <f t="shared" si="2"/>
        <v>2010-03</v>
      </c>
      <c r="O50">
        <v>6184.0451999999996</v>
      </c>
      <c r="P50">
        <f t="shared" si="9"/>
        <v>1.0355478344495287E-3</v>
      </c>
      <c r="Q50" t="str">
        <f t="shared" si="3"/>
        <v>2010-03</v>
      </c>
      <c r="S50">
        <v>11121</v>
      </c>
      <c r="T50">
        <f t="shared" si="10"/>
        <v>1.0685426974986523E-2</v>
      </c>
      <c r="U50" t="str">
        <f t="shared" si="4"/>
        <v>2010-03</v>
      </c>
      <c r="W50">
        <v>22638.65</v>
      </c>
      <c r="X50">
        <f t="shared" si="11"/>
        <v>1.257282735861626E-2</v>
      </c>
      <c r="Y50">
        <f t="shared" si="12"/>
        <v>1.2652197639986143E-2</v>
      </c>
      <c r="Z50" t="str">
        <f t="shared" si="5"/>
        <v>2010-03</v>
      </c>
    </row>
    <row r="51" spans="1:26" x14ac:dyDescent="0.35">
      <c r="A51" s="1">
        <v>40248</v>
      </c>
      <c r="C51">
        <v>2895.74</v>
      </c>
      <c r="D51">
        <f t="shared" si="6"/>
        <v>-4.7061828696556909E-3</v>
      </c>
      <c r="E51" t="str">
        <f t="shared" si="0"/>
        <v>2010-03</v>
      </c>
      <c r="G51">
        <v>3928.95</v>
      </c>
      <c r="H51">
        <f t="shared" si="7"/>
        <v>-3.7091182568076107E-3</v>
      </c>
      <c r="I51" t="str">
        <f t="shared" si="1"/>
        <v>2010-03</v>
      </c>
      <c r="K51">
        <v>5928.63</v>
      </c>
      <c r="L51">
        <f t="shared" si="8"/>
        <v>-1.3636346595107198E-3</v>
      </c>
      <c r="M51" t="str">
        <f t="shared" si="2"/>
        <v>2010-03</v>
      </c>
      <c r="O51">
        <v>6178.9859999999999</v>
      </c>
      <c r="P51">
        <f t="shared" si="9"/>
        <v>-8.1844010591929973E-4</v>
      </c>
      <c r="Q51" t="str">
        <f t="shared" si="3"/>
        <v>2010-03</v>
      </c>
      <c r="S51">
        <v>11045.4</v>
      </c>
      <c r="T51">
        <f t="shared" si="10"/>
        <v>-6.8211611382705808E-3</v>
      </c>
      <c r="U51" t="str">
        <f t="shared" si="4"/>
        <v>2010-03</v>
      </c>
      <c r="W51">
        <v>22540.85</v>
      </c>
      <c r="X51">
        <f t="shared" si="11"/>
        <v>-4.3294039447725197E-3</v>
      </c>
      <c r="Y51">
        <f t="shared" si="12"/>
        <v>-4.3200455857572298E-3</v>
      </c>
      <c r="Z51" t="str">
        <f t="shared" si="5"/>
        <v>2010-03</v>
      </c>
    </row>
    <row r="52" spans="1:26" x14ac:dyDescent="0.35">
      <c r="A52" s="1">
        <v>40249</v>
      </c>
      <c r="C52">
        <v>2898.36</v>
      </c>
      <c r="D52">
        <f t="shared" si="6"/>
        <v>9.0436829829362603E-4</v>
      </c>
      <c r="E52" t="str">
        <f t="shared" si="0"/>
        <v>2010-03</v>
      </c>
      <c r="G52">
        <v>3927.4</v>
      </c>
      <c r="H52">
        <f t="shared" si="7"/>
        <v>-3.9458527690616253E-4</v>
      </c>
      <c r="I52" t="str">
        <f t="shared" si="1"/>
        <v>2010-03</v>
      </c>
      <c r="K52">
        <v>5945.11</v>
      </c>
      <c r="L52">
        <f t="shared" si="8"/>
        <v>2.7758752646083111E-3</v>
      </c>
      <c r="M52" t="str">
        <f t="shared" si="2"/>
        <v>2010-03</v>
      </c>
      <c r="O52">
        <v>6202.2832099999996</v>
      </c>
      <c r="P52">
        <f t="shared" si="9"/>
        <v>3.763303600029729E-3</v>
      </c>
      <c r="Q52" t="str">
        <f t="shared" si="3"/>
        <v>2010-03</v>
      </c>
      <c r="S52">
        <v>11077</v>
      </c>
      <c r="T52">
        <f t="shared" si="10"/>
        <v>2.856834836361532E-3</v>
      </c>
      <c r="U52" t="str">
        <f t="shared" si="4"/>
        <v>2010-03</v>
      </c>
      <c r="W52">
        <v>22565.19</v>
      </c>
      <c r="X52">
        <f t="shared" si="11"/>
        <v>1.0792347261030445E-3</v>
      </c>
      <c r="Y52">
        <f t="shared" si="12"/>
        <v>1.0798173094626045E-3</v>
      </c>
      <c r="Z52" t="str">
        <f t="shared" si="5"/>
        <v>2010-03</v>
      </c>
    </row>
    <row r="53" spans="1:26" x14ac:dyDescent="0.35">
      <c r="A53" s="1">
        <v>40252</v>
      </c>
      <c r="C53">
        <v>2870.55</v>
      </c>
      <c r="D53">
        <f t="shared" si="6"/>
        <v>-9.6414107438156649E-3</v>
      </c>
      <c r="E53" t="str">
        <f t="shared" si="0"/>
        <v>2010-03</v>
      </c>
      <c r="G53">
        <v>3890.91</v>
      </c>
      <c r="H53">
        <f t="shared" si="7"/>
        <v>-9.3345658997797693E-3</v>
      </c>
      <c r="I53" t="str">
        <f t="shared" si="1"/>
        <v>2010-03</v>
      </c>
      <c r="K53">
        <v>5903.56</v>
      </c>
      <c r="L53">
        <f t="shared" si="8"/>
        <v>-7.0134741394852415E-3</v>
      </c>
      <c r="M53" t="str">
        <f t="shared" si="2"/>
        <v>2010-03</v>
      </c>
      <c r="O53">
        <v>6157.6537799999996</v>
      </c>
      <c r="P53">
        <f t="shared" si="9"/>
        <v>-7.221658815375293E-3</v>
      </c>
      <c r="Q53" t="str">
        <f t="shared" si="3"/>
        <v>2010-03</v>
      </c>
      <c r="S53">
        <v>10957.8</v>
      </c>
      <c r="T53">
        <f t="shared" si="10"/>
        <v>-1.0819355090881893E-2</v>
      </c>
      <c r="U53" t="str">
        <f t="shared" si="4"/>
        <v>2010-03</v>
      </c>
      <c r="W53">
        <v>22373.23</v>
      </c>
      <c r="X53">
        <f t="shared" si="11"/>
        <v>-8.5432984765582178E-3</v>
      </c>
      <c r="Y53">
        <f t="shared" si="12"/>
        <v>-8.5069082068442211E-3</v>
      </c>
      <c r="Z53" t="str">
        <f t="shared" si="5"/>
        <v>2010-03</v>
      </c>
    </row>
    <row r="54" spans="1:26" x14ac:dyDescent="0.35">
      <c r="A54" s="1">
        <v>40253</v>
      </c>
      <c r="C54">
        <v>2905.93</v>
      </c>
      <c r="D54">
        <f t="shared" si="6"/>
        <v>1.2249827722322188E-2</v>
      </c>
      <c r="E54" t="str">
        <f t="shared" si="0"/>
        <v>2010-03</v>
      </c>
      <c r="G54">
        <v>3938.95</v>
      </c>
      <c r="H54">
        <f t="shared" si="7"/>
        <v>1.2271126896941504E-2</v>
      </c>
      <c r="I54" t="str">
        <f t="shared" si="1"/>
        <v>2010-03</v>
      </c>
      <c r="K54">
        <v>5970.99</v>
      </c>
      <c r="L54">
        <f t="shared" si="8"/>
        <v>1.1357184026373741E-2</v>
      </c>
      <c r="M54" t="str">
        <f t="shared" si="2"/>
        <v>2010-03</v>
      </c>
      <c r="O54">
        <v>6214.8985599999996</v>
      </c>
      <c r="P54">
        <f t="shared" si="9"/>
        <v>9.2535779052432317E-3</v>
      </c>
      <c r="Q54" t="str">
        <f t="shared" si="3"/>
        <v>2010-03</v>
      </c>
      <c r="S54">
        <v>11059.3</v>
      </c>
      <c r="T54">
        <f t="shared" si="10"/>
        <v>9.2201715080655108E-3</v>
      </c>
      <c r="U54" t="str">
        <f t="shared" si="4"/>
        <v>2010-03</v>
      </c>
      <c r="W54">
        <v>22619.85</v>
      </c>
      <c r="X54">
        <f t="shared" si="11"/>
        <v>1.0962684479640919E-2</v>
      </c>
      <c r="Y54">
        <f t="shared" si="12"/>
        <v>1.1022994891662892E-2</v>
      </c>
      <c r="Z54" t="str">
        <f t="shared" si="5"/>
        <v>2010-03</v>
      </c>
    </row>
    <row r="55" spans="1:26" x14ac:dyDescent="0.35">
      <c r="A55" s="1">
        <v>40254</v>
      </c>
      <c r="C55">
        <v>2931.31</v>
      </c>
      <c r="D55">
        <f t="shared" si="6"/>
        <v>8.695945321750392E-3</v>
      </c>
      <c r="E55" t="str">
        <f t="shared" si="0"/>
        <v>2010-03</v>
      </c>
      <c r="G55">
        <v>3957.89</v>
      </c>
      <c r="H55">
        <f t="shared" si="7"/>
        <v>4.7968646489722766E-3</v>
      </c>
      <c r="I55" t="str">
        <f t="shared" si="1"/>
        <v>2010-03</v>
      </c>
      <c r="K55">
        <v>6024.28</v>
      </c>
      <c r="L55">
        <f t="shared" si="8"/>
        <v>8.8852273589817028E-3</v>
      </c>
      <c r="M55" t="str">
        <f t="shared" si="2"/>
        <v>2010-03</v>
      </c>
      <c r="O55">
        <v>6292.8446199999998</v>
      </c>
      <c r="P55">
        <f t="shared" si="9"/>
        <v>1.2463810286163805E-2</v>
      </c>
      <c r="Q55" t="str">
        <f t="shared" si="3"/>
        <v>2010-03</v>
      </c>
      <c r="S55">
        <v>11166.8</v>
      </c>
      <c r="T55">
        <f t="shared" si="10"/>
        <v>9.6733874381540793E-3</v>
      </c>
      <c r="U55" t="str">
        <f t="shared" si="4"/>
        <v>2010-03</v>
      </c>
      <c r="W55">
        <v>22902.58</v>
      </c>
      <c r="X55">
        <f t="shared" si="11"/>
        <v>1.2421728603315875E-2</v>
      </c>
      <c r="Y55">
        <f t="shared" si="12"/>
        <v>1.2499198712635284E-2</v>
      </c>
      <c r="Z55" t="str">
        <f t="shared" si="5"/>
        <v>2010-03</v>
      </c>
    </row>
    <row r="56" spans="1:26" x14ac:dyDescent="0.35">
      <c r="A56" s="1">
        <v>40255</v>
      </c>
      <c r="C56">
        <v>2913.74</v>
      </c>
      <c r="D56">
        <f t="shared" si="6"/>
        <v>-6.0119427276108754E-3</v>
      </c>
      <c r="E56" t="str">
        <f t="shared" si="0"/>
        <v>2010-03</v>
      </c>
      <c r="G56">
        <v>3938.18</v>
      </c>
      <c r="H56">
        <f t="shared" si="7"/>
        <v>-4.9923673263311983E-3</v>
      </c>
      <c r="I56" t="str">
        <f t="shared" si="1"/>
        <v>2010-03</v>
      </c>
      <c r="K56">
        <v>6012.31</v>
      </c>
      <c r="L56">
        <f t="shared" si="8"/>
        <v>-1.9889360601260614E-3</v>
      </c>
      <c r="M56" t="str">
        <f t="shared" si="2"/>
        <v>2010-03</v>
      </c>
      <c r="O56">
        <v>6318.92317</v>
      </c>
      <c r="P56">
        <f t="shared" si="9"/>
        <v>4.1355958344639404E-3</v>
      </c>
      <c r="Q56" t="str">
        <f t="shared" si="3"/>
        <v>2010-03</v>
      </c>
      <c r="S56">
        <v>11073.5</v>
      </c>
      <c r="T56">
        <f t="shared" si="10"/>
        <v>-8.3902238123707753E-3</v>
      </c>
      <c r="U56" t="str">
        <f t="shared" si="4"/>
        <v>2010-03</v>
      </c>
      <c r="W56">
        <v>22785.15</v>
      </c>
      <c r="X56">
        <f t="shared" si="11"/>
        <v>-5.1405599969193251E-3</v>
      </c>
      <c r="Y56">
        <f t="shared" si="12"/>
        <v>-5.1273699295014043E-3</v>
      </c>
      <c r="Z56" t="str">
        <f t="shared" si="5"/>
        <v>2010-03</v>
      </c>
    </row>
    <row r="57" spans="1:26" x14ac:dyDescent="0.35">
      <c r="A57" s="1">
        <v>40256</v>
      </c>
      <c r="C57">
        <v>2897.95</v>
      </c>
      <c r="D57">
        <f t="shared" si="6"/>
        <v>-5.4338888869802024E-3</v>
      </c>
      <c r="E57" t="str">
        <f t="shared" si="0"/>
        <v>2010-03</v>
      </c>
      <c r="G57">
        <v>3925.44</v>
      </c>
      <c r="H57">
        <f t="shared" si="7"/>
        <v>-3.2402407915454673E-3</v>
      </c>
      <c r="I57" t="str">
        <f t="shared" si="1"/>
        <v>2010-03</v>
      </c>
      <c r="K57">
        <v>5982.43</v>
      </c>
      <c r="L57">
        <f t="shared" si="8"/>
        <v>-4.9821941630079211E-3</v>
      </c>
      <c r="M57" t="str">
        <f t="shared" si="2"/>
        <v>2010-03</v>
      </c>
      <c r="O57">
        <v>6271.3286500000004</v>
      </c>
      <c r="P57">
        <f t="shared" si="9"/>
        <v>-7.5605710509466595E-3</v>
      </c>
      <c r="Q57" t="str">
        <f t="shared" si="3"/>
        <v>2010-03</v>
      </c>
      <c r="S57">
        <v>10990.8</v>
      </c>
      <c r="T57">
        <f t="shared" si="10"/>
        <v>-7.4963073629578129E-3</v>
      </c>
      <c r="U57" t="str">
        <f t="shared" si="4"/>
        <v>2010-03</v>
      </c>
      <c r="W57">
        <v>22687.3</v>
      </c>
      <c r="X57">
        <f t="shared" si="11"/>
        <v>-4.3037114134327203E-3</v>
      </c>
      <c r="Y57">
        <f t="shared" si="12"/>
        <v>-4.2944637186940696E-3</v>
      </c>
      <c r="Z57" t="str">
        <f t="shared" si="5"/>
        <v>2010-03</v>
      </c>
    </row>
    <row r="58" spans="1:26" x14ac:dyDescent="0.35">
      <c r="A58" s="1">
        <v>40259</v>
      </c>
      <c r="C58">
        <v>2890.75</v>
      </c>
      <c r="D58">
        <f>LN(C58/C57)</f>
        <v>-2.4876064445940975E-3</v>
      </c>
      <c r="E58" t="str">
        <f t="shared" si="0"/>
        <v>2010-03</v>
      </c>
      <c r="G58">
        <v>3928</v>
      </c>
      <c r="H58">
        <f t="shared" si="7"/>
        <v>6.5194362996939326E-4</v>
      </c>
      <c r="I58" t="str">
        <f t="shared" si="1"/>
        <v>2010-03</v>
      </c>
      <c r="K58">
        <v>5987.5</v>
      </c>
      <c r="L58">
        <f t="shared" si="8"/>
        <v>8.4712279907955639E-4</v>
      </c>
      <c r="M58" t="str">
        <f t="shared" si="2"/>
        <v>2010-03</v>
      </c>
      <c r="O58">
        <v>6279.80573</v>
      </c>
      <c r="P58">
        <f t="shared" si="9"/>
        <v>1.3508071911817528E-3</v>
      </c>
      <c r="Q58" t="str">
        <f t="shared" si="3"/>
        <v>2010-03</v>
      </c>
      <c r="S58">
        <v>10861.9</v>
      </c>
      <c r="T58">
        <f t="shared" si="10"/>
        <v>-1.1797306052190558E-2</v>
      </c>
      <c r="U58" t="str">
        <f t="shared" si="4"/>
        <v>2010-03</v>
      </c>
      <c r="W58">
        <v>22622.81</v>
      </c>
      <c r="X58">
        <f t="shared" si="11"/>
        <v>-2.8466072383312719E-3</v>
      </c>
      <c r="Y58">
        <f t="shared" si="12"/>
        <v>-2.84255949363732E-3</v>
      </c>
      <c r="Z58" t="str">
        <f t="shared" si="5"/>
        <v>2010-03</v>
      </c>
    </row>
    <row r="59" spans="1:26" x14ac:dyDescent="0.35">
      <c r="A59" s="1">
        <v>40260</v>
      </c>
      <c r="C59">
        <v>2910.52</v>
      </c>
      <c r="D59">
        <f t="shared" si="6"/>
        <v>6.8157753506433256E-3</v>
      </c>
      <c r="E59" t="str">
        <f t="shared" si="0"/>
        <v>2010-03</v>
      </c>
      <c r="G59">
        <v>3952.55</v>
      </c>
      <c r="H59">
        <f t="shared" si="7"/>
        <v>6.2305497506361628E-3</v>
      </c>
      <c r="I59" t="str">
        <f t="shared" si="1"/>
        <v>2010-03</v>
      </c>
      <c r="K59">
        <v>6017.27</v>
      </c>
      <c r="L59">
        <f t="shared" si="8"/>
        <v>4.9597053546537578E-3</v>
      </c>
      <c r="M59" t="str">
        <f t="shared" si="2"/>
        <v>2010-03</v>
      </c>
      <c r="O59">
        <v>6320.1951300000001</v>
      </c>
      <c r="P59">
        <f t="shared" si="9"/>
        <v>6.4110373938997146E-3</v>
      </c>
      <c r="Q59" t="str">
        <f t="shared" si="3"/>
        <v>2010-03</v>
      </c>
      <c r="S59">
        <v>10996.2</v>
      </c>
      <c r="T59">
        <f t="shared" si="10"/>
        <v>1.2288505407134494E-2</v>
      </c>
      <c r="U59" t="str">
        <f t="shared" si="4"/>
        <v>2010-03</v>
      </c>
      <c r="W59">
        <v>22765.89</v>
      </c>
      <c r="X59">
        <f t="shared" si="11"/>
        <v>6.3046738037973752E-3</v>
      </c>
      <c r="Y59">
        <f t="shared" si="12"/>
        <v>6.3245900929194071E-3</v>
      </c>
      <c r="Z59" t="str">
        <f t="shared" si="5"/>
        <v>2010-03</v>
      </c>
    </row>
    <row r="60" spans="1:26" x14ac:dyDescent="0.35">
      <c r="A60" s="1">
        <v>40261</v>
      </c>
      <c r="C60">
        <v>2903.94</v>
      </c>
      <c r="D60">
        <f t="shared" si="6"/>
        <v>-2.2633237854972009E-3</v>
      </c>
      <c r="E60" t="str">
        <f t="shared" si="0"/>
        <v>2010-03</v>
      </c>
      <c r="G60">
        <v>3949.81</v>
      </c>
      <c r="H60">
        <f t="shared" si="7"/>
        <v>-6.9346375255089244E-4</v>
      </c>
      <c r="I60" t="str">
        <f t="shared" si="1"/>
        <v>2010-03</v>
      </c>
      <c r="K60">
        <v>6039</v>
      </c>
      <c r="L60">
        <f t="shared" si="8"/>
        <v>3.6047672340766943E-3</v>
      </c>
      <c r="M60" t="str">
        <f t="shared" si="2"/>
        <v>2010-03</v>
      </c>
      <c r="O60">
        <v>6337.3565099999996</v>
      </c>
      <c r="P60">
        <f t="shared" si="9"/>
        <v>2.7116445587191838E-3</v>
      </c>
      <c r="Q60" t="str">
        <f t="shared" si="3"/>
        <v>2010-03</v>
      </c>
      <c r="S60">
        <v>10866.3</v>
      </c>
      <c r="T60">
        <f t="shared" si="10"/>
        <v>-1.188350176577042E-2</v>
      </c>
      <c r="U60" t="str">
        <f t="shared" si="4"/>
        <v>2010-03</v>
      </c>
      <c r="W60">
        <v>22798.7</v>
      </c>
      <c r="X60">
        <f t="shared" si="11"/>
        <v>1.4401536662912752E-3</v>
      </c>
      <c r="Y60">
        <f t="shared" si="12"/>
        <v>1.4411911855851589E-3</v>
      </c>
      <c r="Z60" t="str">
        <f t="shared" si="5"/>
        <v>2010-03</v>
      </c>
    </row>
    <row r="61" spans="1:26" x14ac:dyDescent="0.35">
      <c r="A61" s="1">
        <v>40262</v>
      </c>
      <c r="C61">
        <v>2948.09</v>
      </c>
      <c r="D61">
        <f t="shared" si="6"/>
        <v>1.5089067441324508E-2</v>
      </c>
      <c r="E61" t="str">
        <f t="shared" si="0"/>
        <v>2010-03</v>
      </c>
      <c r="G61">
        <v>4000.48</v>
      </c>
      <c r="H61">
        <f t="shared" si="7"/>
        <v>1.2746877430161948E-2</v>
      </c>
      <c r="I61" t="str">
        <f t="shared" si="1"/>
        <v>2010-03</v>
      </c>
      <c r="K61">
        <v>6132.95</v>
      </c>
      <c r="L61">
        <f t="shared" si="8"/>
        <v>1.543743866785963E-2</v>
      </c>
      <c r="M61" t="str">
        <f t="shared" si="2"/>
        <v>2010-03</v>
      </c>
      <c r="O61">
        <v>6381.2298499999997</v>
      </c>
      <c r="P61">
        <f t="shared" si="9"/>
        <v>6.8991179964502025E-3</v>
      </c>
      <c r="Q61" t="str">
        <f t="shared" si="3"/>
        <v>2010-03</v>
      </c>
      <c r="S61">
        <v>11091.4</v>
      </c>
      <c r="T61">
        <f t="shared" si="10"/>
        <v>2.0503776446442835E-2</v>
      </c>
      <c r="U61" t="str">
        <f t="shared" si="4"/>
        <v>2010-03</v>
      </c>
      <c r="W61">
        <v>23034.46</v>
      </c>
      <c r="X61">
        <f t="shared" si="11"/>
        <v>1.0287838734757974E-2</v>
      </c>
      <c r="Y61">
        <f t="shared" si="12"/>
        <v>1.0340940492220977E-2</v>
      </c>
      <c r="Z61" t="str">
        <f t="shared" si="5"/>
        <v>2010-03</v>
      </c>
    </row>
    <row r="62" spans="1:26" x14ac:dyDescent="0.35">
      <c r="A62" s="1">
        <v>40263</v>
      </c>
      <c r="C62">
        <v>2940.94</v>
      </c>
      <c r="D62">
        <f t="shared" si="6"/>
        <v>-2.4282448937279462E-3</v>
      </c>
      <c r="E62" t="str">
        <f t="shared" si="0"/>
        <v>2010-03</v>
      </c>
      <c r="G62">
        <v>3988.93</v>
      </c>
      <c r="H62">
        <f t="shared" si="7"/>
        <v>-2.8913294088782513E-3</v>
      </c>
      <c r="I62" t="str">
        <f t="shared" si="1"/>
        <v>2010-03</v>
      </c>
      <c r="K62">
        <v>6120.05</v>
      </c>
      <c r="L62">
        <f t="shared" si="8"/>
        <v>-2.1056075681222669E-3</v>
      </c>
      <c r="M62" t="str">
        <f t="shared" si="2"/>
        <v>2010-03</v>
      </c>
      <c r="O62">
        <v>6340.6644100000003</v>
      </c>
      <c r="P62">
        <f t="shared" si="9"/>
        <v>-6.3772857489820646E-3</v>
      </c>
      <c r="Q62" t="str">
        <f t="shared" si="3"/>
        <v>2010-03</v>
      </c>
      <c r="S62">
        <v>11071.1</v>
      </c>
      <c r="T62">
        <f t="shared" si="10"/>
        <v>-1.8319238061715744E-3</v>
      </c>
      <c r="U62" t="str">
        <f t="shared" si="4"/>
        <v>2010-03</v>
      </c>
      <c r="W62">
        <v>23063.87</v>
      </c>
      <c r="X62">
        <f t="shared" si="11"/>
        <v>1.2759683047167739E-3</v>
      </c>
      <c r="Y62">
        <f t="shared" si="12"/>
        <v>1.2767826986176301E-3</v>
      </c>
      <c r="Z62" t="str">
        <f t="shared" si="5"/>
        <v>2010-03</v>
      </c>
    </row>
    <row r="63" spans="1:26" x14ac:dyDescent="0.35">
      <c r="A63" s="1">
        <v>40266</v>
      </c>
      <c r="C63">
        <v>2947.49</v>
      </c>
      <c r="D63">
        <f t="shared" si="6"/>
        <v>2.2247025782739988E-3</v>
      </c>
      <c r="E63" t="str">
        <f t="shared" si="0"/>
        <v>2010-03</v>
      </c>
      <c r="G63">
        <v>4000.66</v>
      </c>
      <c r="H63">
        <f t="shared" si="7"/>
        <v>2.9363229972994586E-3</v>
      </c>
      <c r="I63" t="str">
        <f t="shared" si="1"/>
        <v>2010-03</v>
      </c>
      <c r="K63">
        <v>6156.85</v>
      </c>
      <c r="L63">
        <f t="shared" si="8"/>
        <v>5.995016692589371E-3</v>
      </c>
      <c r="M63" t="str">
        <f t="shared" si="2"/>
        <v>2010-03</v>
      </c>
      <c r="O63">
        <v>6358.6811699999998</v>
      </c>
      <c r="P63">
        <f t="shared" si="9"/>
        <v>2.8374331534306288E-3</v>
      </c>
      <c r="Q63" t="str">
        <f t="shared" si="3"/>
        <v>2010-03</v>
      </c>
      <c r="S63">
        <v>11091</v>
      </c>
      <c r="T63">
        <f t="shared" si="10"/>
        <v>1.7958591783547653E-3</v>
      </c>
      <c r="U63" t="str">
        <f t="shared" si="4"/>
        <v>2010-03</v>
      </c>
      <c r="W63">
        <v>23104.97</v>
      </c>
      <c r="X63">
        <f t="shared" si="11"/>
        <v>1.7804220706831634E-3</v>
      </c>
      <c r="Y63">
        <f t="shared" si="12"/>
        <v>1.7820079631042918E-3</v>
      </c>
      <c r="Z63" t="str">
        <f t="shared" si="5"/>
        <v>2010-03</v>
      </c>
    </row>
    <row r="64" spans="1:26" x14ac:dyDescent="0.35">
      <c r="A64" s="1">
        <v>40267</v>
      </c>
      <c r="C64">
        <v>2939.68</v>
      </c>
      <c r="D64">
        <f t="shared" si="6"/>
        <v>-2.6532288286633451E-3</v>
      </c>
      <c r="E64" t="str">
        <f t="shared" si="0"/>
        <v>2010-03</v>
      </c>
      <c r="G64">
        <v>3987.41</v>
      </c>
      <c r="H64">
        <f t="shared" si="7"/>
        <v>-3.317450185558474E-3</v>
      </c>
      <c r="I64" t="str">
        <f t="shared" si="1"/>
        <v>2010-03</v>
      </c>
      <c r="K64">
        <v>6142.45</v>
      </c>
      <c r="L64">
        <f t="shared" si="8"/>
        <v>-2.3415977461637544E-3</v>
      </c>
      <c r="M64" t="str">
        <f t="shared" si="2"/>
        <v>2010-03</v>
      </c>
      <c r="O64">
        <v>6368.7872399999997</v>
      </c>
      <c r="P64">
        <f t="shared" si="9"/>
        <v>1.5880726313171644E-3</v>
      </c>
      <c r="Q64" t="str">
        <f t="shared" si="3"/>
        <v>2010-03</v>
      </c>
      <c r="S64">
        <v>10980.7</v>
      </c>
      <c r="T64">
        <f t="shared" si="10"/>
        <v>-9.9947822964429299E-3</v>
      </c>
      <c r="U64" t="str">
        <f t="shared" si="4"/>
        <v>2010-03</v>
      </c>
      <c r="W64">
        <v>23003.34</v>
      </c>
      <c r="X64">
        <f t="shared" si="11"/>
        <v>-4.4083231237020985E-3</v>
      </c>
      <c r="Y64">
        <f t="shared" si="12"/>
        <v>-4.3986207296525821E-3</v>
      </c>
      <c r="Z64" t="str">
        <f t="shared" si="5"/>
        <v>2010-03</v>
      </c>
    </row>
    <row r="65" spans="1:26" x14ac:dyDescent="0.35">
      <c r="A65" s="1">
        <v>40268</v>
      </c>
      <c r="C65">
        <v>2931.16</v>
      </c>
      <c r="D65">
        <f t="shared" si="6"/>
        <v>-2.9024827729345272E-3</v>
      </c>
      <c r="E65" t="str">
        <f t="shared" si="0"/>
        <v>2010-03</v>
      </c>
      <c r="G65">
        <v>3974.01</v>
      </c>
      <c r="H65">
        <f t="shared" si="7"/>
        <v>-3.3662368405540529E-3</v>
      </c>
      <c r="I65" t="str">
        <f t="shared" si="1"/>
        <v>2010-03</v>
      </c>
      <c r="K65">
        <v>6153.55</v>
      </c>
      <c r="L65">
        <f t="shared" si="8"/>
        <v>1.8054656823728434E-3</v>
      </c>
      <c r="M65" t="str">
        <f t="shared" si="2"/>
        <v>2010-03</v>
      </c>
      <c r="O65">
        <v>6375.4829900000004</v>
      </c>
      <c r="P65">
        <f t="shared" si="9"/>
        <v>1.050786038785163E-3</v>
      </c>
      <c r="Q65" t="str">
        <f t="shared" si="3"/>
        <v>2010-03</v>
      </c>
      <c r="S65">
        <v>10871.3</v>
      </c>
      <c r="T65">
        <f t="shared" si="10"/>
        <v>-1.0012897127789949E-2</v>
      </c>
      <c r="U65" t="str">
        <f t="shared" si="4"/>
        <v>2010-03</v>
      </c>
      <c r="W65">
        <v>22847.97</v>
      </c>
      <c r="X65">
        <f t="shared" si="11"/>
        <v>-6.7771496463275302E-3</v>
      </c>
      <c r="Y65">
        <f t="shared" si="12"/>
        <v>-6.7542365586909982E-3</v>
      </c>
      <c r="Z65" t="str">
        <f t="shared" si="5"/>
        <v>2010-03</v>
      </c>
    </row>
    <row r="66" spans="1:26" x14ac:dyDescent="0.35">
      <c r="A66" s="1">
        <v>40269</v>
      </c>
      <c r="C66">
        <v>2978.5</v>
      </c>
      <c r="D66">
        <f t="shared" si="6"/>
        <v>1.6021568970252111E-2</v>
      </c>
      <c r="E66" t="str">
        <f t="shared" si="0"/>
        <v>2010-04</v>
      </c>
      <c r="G66">
        <v>4034.23</v>
      </c>
      <c r="H66">
        <f t="shared" si="7"/>
        <v>1.5039792793290856E-2</v>
      </c>
      <c r="I66" t="str">
        <f t="shared" si="1"/>
        <v>2010-04</v>
      </c>
      <c r="K66">
        <v>6235.56</v>
      </c>
      <c r="L66">
        <f t="shared" si="8"/>
        <v>1.3239239601861904E-2</v>
      </c>
      <c r="M66" t="str">
        <f t="shared" si="2"/>
        <v>2010-04</v>
      </c>
      <c r="O66">
        <v>6468.7190300000002</v>
      </c>
      <c r="P66">
        <f t="shared" si="9"/>
        <v>1.4518251509468193E-2</v>
      </c>
      <c r="Q66" t="str">
        <f t="shared" si="3"/>
        <v>2010-04</v>
      </c>
      <c r="S66">
        <v>11067.9</v>
      </c>
      <c r="T66">
        <f t="shared" si="10"/>
        <v>1.7922737629474012E-2</v>
      </c>
      <c r="U66" t="str">
        <f t="shared" si="4"/>
        <v>2010-04</v>
      </c>
      <c r="W66">
        <v>23206.66</v>
      </c>
      <c r="X66">
        <f t="shared" si="11"/>
        <v>1.557703331026818E-2</v>
      </c>
      <c r="Y66">
        <f t="shared" si="12"/>
        <v>1.5698987700001298E-2</v>
      </c>
      <c r="Z66" t="str">
        <f t="shared" si="5"/>
        <v>2010-04</v>
      </c>
    </row>
    <row r="67" spans="1:26" x14ac:dyDescent="0.35">
      <c r="A67" s="1">
        <v>40274</v>
      </c>
      <c r="C67">
        <v>2989.49</v>
      </c>
      <c r="D67">
        <f t="shared" si="6"/>
        <v>3.6829862056454413E-3</v>
      </c>
      <c r="E67" t="str">
        <f t="shared" si="0"/>
        <v>2010-04</v>
      </c>
      <c r="G67">
        <v>4053.94</v>
      </c>
      <c r="H67">
        <f t="shared" si="7"/>
        <v>4.8737944468821735E-3</v>
      </c>
      <c r="I67" t="str">
        <f t="shared" si="1"/>
        <v>2010-04</v>
      </c>
      <c r="K67">
        <v>6252.21</v>
      </c>
      <c r="L67">
        <f t="shared" si="8"/>
        <v>2.6666105904016406E-3</v>
      </c>
      <c r="M67" t="str">
        <f t="shared" si="2"/>
        <v>2010-04</v>
      </c>
      <c r="O67">
        <v>6582.4081299999998</v>
      </c>
      <c r="P67">
        <f t="shared" si="9"/>
        <v>1.7422552766219925E-2</v>
      </c>
      <c r="Q67" t="str">
        <f t="shared" si="3"/>
        <v>2010-04</v>
      </c>
      <c r="S67">
        <v>11160.6</v>
      </c>
      <c r="T67">
        <f t="shared" si="10"/>
        <v>8.3406921209773811E-3</v>
      </c>
      <c r="U67" t="str">
        <f t="shared" si="4"/>
        <v>2010-04</v>
      </c>
      <c r="W67">
        <v>23346.66</v>
      </c>
      <c r="X67">
        <f t="shared" si="11"/>
        <v>6.0146267570169885E-3</v>
      </c>
      <c r="Y67">
        <f t="shared" si="12"/>
        <v>6.0327509430482453E-3</v>
      </c>
      <c r="Z67" t="str">
        <f t="shared" si="5"/>
        <v>2010-04</v>
      </c>
    </row>
    <row r="68" spans="1:26" x14ac:dyDescent="0.35">
      <c r="A68" s="1">
        <v>40275</v>
      </c>
      <c r="C68">
        <v>2974.62</v>
      </c>
      <c r="D68">
        <f t="shared" si="6"/>
        <v>-4.9865045454051777E-3</v>
      </c>
      <c r="E68" t="str">
        <f t="shared" ref="E68:E131" si="13">_xlfn.CONCAT(YEAR(A68),"-",TEXT(MONTH(A68),"00"))</f>
        <v>2010-04</v>
      </c>
      <c r="G68">
        <v>4026.97</v>
      </c>
      <c r="H68">
        <f t="shared" si="7"/>
        <v>-6.6750155958081757E-3</v>
      </c>
      <c r="I68" t="str">
        <f t="shared" ref="I68:I131" si="14">_xlfn.CONCAT(YEAR(A68),"-",TEXT(MONTH(A68),"00"))</f>
        <v>2010-04</v>
      </c>
      <c r="K68">
        <v>6222.41</v>
      </c>
      <c r="L68">
        <f t="shared" si="8"/>
        <v>-4.7777097315689241E-3</v>
      </c>
      <c r="M68" t="str">
        <f t="shared" ref="M68:M131" si="15">_xlfn.CONCAT(YEAR(A68),"-",TEXT(MONTH(A68),"00"))</f>
        <v>2010-04</v>
      </c>
      <c r="O68">
        <v>6577.9383600000001</v>
      </c>
      <c r="P68">
        <f t="shared" si="9"/>
        <v>-6.7927849396149785E-4</v>
      </c>
      <c r="Q68" t="str">
        <f t="shared" ref="Q68:Q131" si="16">_xlfn.CONCAT(YEAR(A68),"-",TEXT(MONTH(A68),"00"))</f>
        <v>2010-04</v>
      </c>
      <c r="S68">
        <v>11191.3</v>
      </c>
      <c r="T68">
        <f t="shared" si="10"/>
        <v>2.746971783589475E-3</v>
      </c>
      <c r="U68" t="str">
        <f t="shared" ref="U68:U131" si="17">_xlfn.CONCAT(YEAR(A68),"-",TEXT(MONTH(A68),"00"))</f>
        <v>2010-04</v>
      </c>
      <c r="W68">
        <v>23151.3</v>
      </c>
      <c r="X68">
        <f t="shared" si="11"/>
        <v>-8.4029987352460499E-3</v>
      </c>
      <c r="Y68">
        <f t="shared" si="12"/>
        <v>-8.3677922238127676E-3</v>
      </c>
      <c r="Z68" t="str">
        <f t="shared" ref="Z68:Z131" si="18">_xlfn.CONCAT(YEAR(A68),"-",TEXT(MONTH(A68),"00"))</f>
        <v>2010-04</v>
      </c>
    </row>
    <row r="69" spans="1:26" x14ac:dyDescent="0.35">
      <c r="A69" s="1">
        <v>40276</v>
      </c>
      <c r="C69">
        <v>2942.31</v>
      </c>
      <c r="D69">
        <f t="shared" ref="D69:D132" si="19">LN(C69/C68)</f>
        <v>-1.0921312622419351E-2</v>
      </c>
      <c r="E69" t="str">
        <f t="shared" si="13"/>
        <v>2010-04</v>
      </c>
      <c r="G69">
        <v>3978.46</v>
      </c>
      <c r="H69">
        <f t="shared" ref="H69:H132" si="20">LN(G69/G68)</f>
        <v>-1.2119422382697436E-2</v>
      </c>
      <c r="I69" t="str">
        <f t="shared" si="14"/>
        <v>2010-04</v>
      </c>
      <c r="K69">
        <v>6171.83</v>
      </c>
      <c r="L69">
        <f t="shared" ref="L69:L132" si="21">LN(K69/K68)</f>
        <v>-8.1619011393654767E-3</v>
      </c>
      <c r="M69" t="str">
        <f t="shared" si="15"/>
        <v>2010-04</v>
      </c>
      <c r="O69">
        <v>6527.0272000000004</v>
      </c>
      <c r="P69">
        <f t="shared" ref="P69:P132" si="22">LN(O69/O68)</f>
        <v>-7.7697901441521168E-3</v>
      </c>
      <c r="Q69" t="str">
        <f t="shared" si="16"/>
        <v>2010-04</v>
      </c>
      <c r="S69">
        <v>11076.3</v>
      </c>
      <c r="T69">
        <f t="shared" ref="T69:T132" si="23">LN(S69/S68)</f>
        <v>-1.0329000200039297E-2</v>
      </c>
      <c r="U69" t="str">
        <f t="shared" si="17"/>
        <v>2010-04</v>
      </c>
      <c r="W69">
        <v>22820.01</v>
      </c>
      <c r="X69">
        <f t="shared" ref="X69:X132" si="24">LN(W69/W68)</f>
        <v>-1.4413151817212788E-2</v>
      </c>
      <c r="Y69">
        <f t="shared" ref="Y69:Y132" si="25">(W69-W68)/W68</f>
        <v>-1.4309779580412369E-2</v>
      </c>
      <c r="Z69" t="str">
        <f t="shared" si="18"/>
        <v>2010-04</v>
      </c>
    </row>
    <row r="70" spans="1:26" x14ac:dyDescent="0.35">
      <c r="A70" s="1">
        <v>40277</v>
      </c>
      <c r="C70">
        <v>2993.54</v>
      </c>
      <c r="D70">
        <f t="shared" si="19"/>
        <v>1.7261646454519809E-2</v>
      </c>
      <c r="E70" t="str">
        <f t="shared" si="13"/>
        <v>2010-04</v>
      </c>
      <c r="G70">
        <v>4050.54</v>
      </c>
      <c r="H70">
        <f t="shared" si="20"/>
        <v>1.795539581923955E-2</v>
      </c>
      <c r="I70" t="str">
        <f t="shared" si="14"/>
        <v>2010-04</v>
      </c>
      <c r="K70">
        <v>6249.7</v>
      </c>
      <c r="L70">
        <f t="shared" si="21"/>
        <v>1.2538072220644188E-2</v>
      </c>
      <c r="M70" t="str">
        <f t="shared" si="15"/>
        <v>2010-04</v>
      </c>
      <c r="O70">
        <v>6585.6713</v>
      </c>
      <c r="P70">
        <f t="shared" si="22"/>
        <v>8.944686861582573E-3</v>
      </c>
      <c r="Q70" t="str">
        <f t="shared" si="16"/>
        <v>2010-04</v>
      </c>
      <c r="S70">
        <v>11394.2</v>
      </c>
      <c r="T70">
        <f t="shared" si="23"/>
        <v>2.8296763469898682E-2</v>
      </c>
      <c r="U70" t="str">
        <f t="shared" si="17"/>
        <v>2010-04</v>
      </c>
      <c r="W70">
        <v>23103.87</v>
      </c>
      <c r="X70">
        <f t="shared" si="24"/>
        <v>1.2362353317355418E-2</v>
      </c>
      <c r="Y70">
        <f t="shared" si="25"/>
        <v>1.24390830678865E-2</v>
      </c>
      <c r="Z70" t="str">
        <f t="shared" si="18"/>
        <v>2010-04</v>
      </c>
    </row>
    <row r="71" spans="1:26" x14ac:dyDescent="0.35">
      <c r="A71" s="1">
        <v>40280</v>
      </c>
      <c r="C71">
        <v>3002.23</v>
      </c>
      <c r="D71">
        <f t="shared" si="19"/>
        <v>2.8987122871068798E-3</v>
      </c>
      <c r="E71" t="str">
        <f t="shared" si="13"/>
        <v>2010-04</v>
      </c>
      <c r="G71">
        <v>4050.5</v>
      </c>
      <c r="H71">
        <f t="shared" si="20"/>
        <v>-9.8752752733379269E-6</v>
      </c>
      <c r="I71" t="str">
        <f t="shared" si="14"/>
        <v>2010-04</v>
      </c>
      <c r="K71">
        <v>6250.69</v>
      </c>
      <c r="L71">
        <f t="shared" si="21"/>
        <v>1.5839505840538418E-4</v>
      </c>
      <c r="M71" t="str">
        <f t="shared" si="15"/>
        <v>2010-04</v>
      </c>
      <c r="O71">
        <v>6538.5838700000004</v>
      </c>
      <c r="P71">
        <f t="shared" si="22"/>
        <v>-7.1756654278498358E-3</v>
      </c>
      <c r="Q71" t="str">
        <f t="shared" si="16"/>
        <v>2010-04</v>
      </c>
      <c r="S71">
        <v>11460.8</v>
      </c>
      <c r="T71">
        <f t="shared" si="23"/>
        <v>5.8280628757777196E-3</v>
      </c>
      <c r="U71" t="str">
        <f t="shared" si="17"/>
        <v>2010-04</v>
      </c>
      <c r="W71">
        <v>23291.65</v>
      </c>
      <c r="X71">
        <f t="shared" si="24"/>
        <v>8.0947912801076216E-3</v>
      </c>
      <c r="Y71">
        <f t="shared" si="25"/>
        <v>8.1276426849702012E-3</v>
      </c>
      <c r="Z71" t="str">
        <f t="shared" si="18"/>
        <v>2010-04</v>
      </c>
    </row>
    <row r="72" spans="1:26" x14ac:dyDescent="0.35">
      <c r="A72" s="1">
        <v>40281</v>
      </c>
      <c r="C72">
        <v>2988.24</v>
      </c>
      <c r="D72">
        <f t="shared" si="19"/>
        <v>-4.6707605359230511E-3</v>
      </c>
      <c r="E72" t="str">
        <f t="shared" si="13"/>
        <v>2010-04</v>
      </c>
      <c r="G72">
        <v>4031.99</v>
      </c>
      <c r="H72">
        <f t="shared" si="20"/>
        <v>-4.5802796811471522E-3</v>
      </c>
      <c r="I72" t="str">
        <f t="shared" si="14"/>
        <v>2010-04</v>
      </c>
      <c r="K72">
        <v>6230.83</v>
      </c>
      <c r="L72">
        <f t="shared" si="21"/>
        <v>-3.1823074049177709E-3</v>
      </c>
      <c r="M72" t="str">
        <f t="shared" si="15"/>
        <v>2010-04</v>
      </c>
      <c r="O72">
        <v>6518.8243300000004</v>
      </c>
      <c r="P72">
        <f t="shared" si="22"/>
        <v>-3.026566188423575E-3</v>
      </c>
      <c r="Q72" t="str">
        <f t="shared" si="16"/>
        <v>2010-04</v>
      </c>
      <c r="S72">
        <v>11461</v>
      </c>
      <c r="T72">
        <f t="shared" si="23"/>
        <v>1.7450636512553823E-5</v>
      </c>
      <c r="U72" t="str">
        <f t="shared" si="17"/>
        <v>2010-04</v>
      </c>
      <c r="W72">
        <v>23195.56</v>
      </c>
      <c r="X72">
        <f t="shared" si="24"/>
        <v>-4.1340461968289045E-3</v>
      </c>
      <c r="Y72">
        <f t="shared" si="25"/>
        <v>-4.1255127910646153E-3</v>
      </c>
      <c r="Z72" t="str">
        <f t="shared" si="18"/>
        <v>2010-04</v>
      </c>
    </row>
    <row r="73" spans="1:26" x14ac:dyDescent="0.35">
      <c r="A73" s="1">
        <v>40282</v>
      </c>
      <c r="C73">
        <v>3008.03</v>
      </c>
      <c r="D73">
        <f t="shared" si="19"/>
        <v>6.6007941119850802E-3</v>
      </c>
      <c r="E73" t="str">
        <f t="shared" si="13"/>
        <v>2010-04</v>
      </c>
      <c r="G73">
        <v>4057.7</v>
      </c>
      <c r="H73">
        <f t="shared" si="20"/>
        <v>6.3562600201776268E-3</v>
      </c>
      <c r="I73" t="str">
        <f t="shared" si="14"/>
        <v>2010-04</v>
      </c>
      <c r="K73">
        <v>6278.4</v>
      </c>
      <c r="L73">
        <f t="shared" si="21"/>
        <v>7.6056206990914787E-3</v>
      </c>
      <c r="M73" t="str">
        <f t="shared" si="15"/>
        <v>2010-04</v>
      </c>
      <c r="O73">
        <v>6566.22685</v>
      </c>
      <c r="P73">
        <f t="shared" si="22"/>
        <v>7.2453254806560154E-3</v>
      </c>
      <c r="Q73" t="str">
        <f t="shared" si="16"/>
        <v>2010-04</v>
      </c>
      <c r="S73">
        <v>11503.7</v>
      </c>
      <c r="T73">
        <f t="shared" si="23"/>
        <v>3.7187552381422184E-3</v>
      </c>
      <c r="U73" t="str">
        <f t="shared" si="17"/>
        <v>2010-04</v>
      </c>
      <c r="W73">
        <v>23480.42</v>
      </c>
      <c r="X73">
        <f t="shared" si="24"/>
        <v>1.2206001317236665E-2</v>
      </c>
      <c r="Y73">
        <f t="shared" si="25"/>
        <v>1.2280798566622101E-2</v>
      </c>
      <c r="Z73" t="str">
        <f t="shared" si="18"/>
        <v>2010-04</v>
      </c>
    </row>
    <row r="74" spans="1:26" x14ac:dyDescent="0.35">
      <c r="A74" s="1">
        <v>40283</v>
      </c>
      <c r="C74">
        <v>3012.65</v>
      </c>
      <c r="D74">
        <f t="shared" si="19"/>
        <v>1.5347106661721067E-3</v>
      </c>
      <c r="E74" t="str">
        <f t="shared" si="13"/>
        <v>2010-04</v>
      </c>
      <c r="G74">
        <v>4065.65</v>
      </c>
      <c r="H74">
        <f t="shared" si="20"/>
        <v>1.9573211884525423E-3</v>
      </c>
      <c r="I74" t="str">
        <f t="shared" si="14"/>
        <v>2010-04</v>
      </c>
      <c r="K74">
        <v>6291.45</v>
      </c>
      <c r="L74">
        <f t="shared" si="21"/>
        <v>2.0763978390636786E-3</v>
      </c>
      <c r="M74" t="str">
        <f t="shared" si="15"/>
        <v>2010-04</v>
      </c>
      <c r="O74">
        <v>6650.5309800000005</v>
      </c>
      <c r="P74">
        <f t="shared" si="22"/>
        <v>1.2757330421330119E-2</v>
      </c>
      <c r="Q74" t="str">
        <f t="shared" si="16"/>
        <v>2010-04</v>
      </c>
      <c r="S74">
        <v>11523.5</v>
      </c>
      <c r="T74">
        <f t="shared" si="23"/>
        <v>1.7197058157039254E-3</v>
      </c>
      <c r="U74" t="str">
        <f t="shared" si="17"/>
        <v>2010-04</v>
      </c>
      <c r="W74">
        <v>23539.24</v>
      </c>
      <c r="X74">
        <f t="shared" si="24"/>
        <v>2.5019334756066006E-3</v>
      </c>
      <c r="Y74">
        <f t="shared" si="25"/>
        <v>2.5050659230117412E-3</v>
      </c>
      <c r="Z74" t="str">
        <f t="shared" si="18"/>
        <v>2010-04</v>
      </c>
    </row>
    <row r="75" spans="1:26" x14ac:dyDescent="0.35">
      <c r="A75" s="1">
        <v>40284</v>
      </c>
      <c r="C75">
        <v>2949.65</v>
      </c>
      <c r="D75">
        <f t="shared" si="19"/>
        <v>-2.1133570863119108E-2</v>
      </c>
      <c r="E75" t="str">
        <f t="shared" si="13"/>
        <v>2010-04</v>
      </c>
      <c r="G75">
        <v>3986.63</v>
      </c>
      <c r="H75">
        <f t="shared" si="20"/>
        <v>-1.9627369328226219E-2</v>
      </c>
      <c r="I75" t="str">
        <f t="shared" si="14"/>
        <v>2010-04</v>
      </c>
      <c r="K75">
        <v>6180.9</v>
      </c>
      <c r="L75">
        <f t="shared" si="21"/>
        <v>-1.7727676853529925E-2</v>
      </c>
      <c r="M75" t="str">
        <f t="shared" si="15"/>
        <v>2010-04</v>
      </c>
      <c r="O75">
        <v>6550.6075199999996</v>
      </c>
      <c r="P75">
        <f t="shared" si="22"/>
        <v>-1.5138901605655635E-2</v>
      </c>
      <c r="Q75" t="str">
        <f t="shared" si="16"/>
        <v>2010-04</v>
      </c>
      <c r="S75">
        <v>11259.7</v>
      </c>
      <c r="T75">
        <f t="shared" si="23"/>
        <v>-2.3158449195808627E-2</v>
      </c>
      <c r="U75" t="str">
        <f t="shared" si="17"/>
        <v>2010-04</v>
      </c>
      <c r="W75">
        <v>23007.22</v>
      </c>
      <c r="X75">
        <f t="shared" si="24"/>
        <v>-2.2860736127168595E-2</v>
      </c>
      <c r="Y75">
        <f t="shared" si="25"/>
        <v>-2.2601409391297272E-2</v>
      </c>
      <c r="Z75" t="str">
        <f t="shared" si="18"/>
        <v>2010-04</v>
      </c>
    </row>
    <row r="76" spans="1:26" x14ac:dyDescent="0.35">
      <c r="A76" s="1">
        <v>40287</v>
      </c>
      <c r="C76">
        <v>2940.19</v>
      </c>
      <c r="D76">
        <f t="shared" si="19"/>
        <v>-3.2123141323976007E-3</v>
      </c>
      <c r="E76" t="str">
        <f t="shared" si="13"/>
        <v>2010-04</v>
      </c>
      <c r="G76">
        <v>3970.47</v>
      </c>
      <c r="H76">
        <f t="shared" si="20"/>
        <v>-4.0617868865422549E-3</v>
      </c>
      <c r="I76" t="str">
        <f t="shared" si="14"/>
        <v>2010-04</v>
      </c>
      <c r="K76">
        <v>6162.44</v>
      </c>
      <c r="L76">
        <f t="shared" si="21"/>
        <v>-2.9910889212921097E-3</v>
      </c>
      <c r="M76" t="str">
        <f t="shared" si="15"/>
        <v>2010-04</v>
      </c>
      <c r="O76">
        <v>6509.9744799999999</v>
      </c>
      <c r="P76">
        <f t="shared" si="22"/>
        <v>-6.2222604011708885E-3</v>
      </c>
      <c r="Q76" t="str">
        <f t="shared" si="16"/>
        <v>2010-04</v>
      </c>
      <c r="S76">
        <v>11199.5</v>
      </c>
      <c r="T76">
        <f t="shared" si="23"/>
        <v>-5.3608449252156272E-3</v>
      </c>
      <c r="U76" t="str">
        <f t="shared" si="17"/>
        <v>2010-04</v>
      </c>
      <c r="W76">
        <v>22785.78</v>
      </c>
      <c r="X76">
        <f t="shared" si="24"/>
        <v>-9.6714225342709667E-3</v>
      </c>
      <c r="Y76">
        <f t="shared" si="25"/>
        <v>-9.6248047352093091E-3</v>
      </c>
      <c r="Z76" t="str">
        <f t="shared" si="18"/>
        <v>2010-04</v>
      </c>
    </row>
    <row r="77" spans="1:26" x14ac:dyDescent="0.35">
      <c r="A77" s="1">
        <v>40288</v>
      </c>
      <c r="C77">
        <v>2983.91</v>
      </c>
      <c r="D77">
        <f t="shared" si="19"/>
        <v>1.4760315915987523E-2</v>
      </c>
      <c r="E77" t="str">
        <f t="shared" si="13"/>
        <v>2010-04</v>
      </c>
      <c r="G77">
        <v>4026.65</v>
      </c>
      <c r="H77">
        <f t="shared" si="20"/>
        <v>1.4050289156022135E-2</v>
      </c>
      <c r="I77" t="str">
        <f t="shared" si="14"/>
        <v>2010-04</v>
      </c>
      <c r="K77">
        <v>6264.23</v>
      </c>
      <c r="L77">
        <f t="shared" si="21"/>
        <v>1.6382872753562882E-2</v>
      </c>
      <c r="M77" t="str">
        <f t="shared" si="15"/>
        <v>2010-04</v>
      </c>
      <c r="O77">
        <v>6610.3004499999997</v>
      </c>
      <c r="P77">
        <f t="shared" si="22"/>
        <v>1.5293570598484513E-2</v>
      </c>
      <c r="Q77" t="str">
        <f t="shared" si="16"/>
        <v>2010-04</v>
      </c>
      <c r="S77">
        <v>11305.6</v>
      </c>
      <c r="T77">
        <f t="shared" si="23"/>
        <v>9.4290437353050753E-3</v>
      </c>
      <c r="U77" t="str">
        <f t="shared" si="17"/>
        <v>2010-04</v>
      </c>
      <c r="W77">
        <v>23271.68</v>
      </c>
      <c r="X77">
        <f t="shared" si="24"/>
        <v>2.110051349069527E-2</v>
      </c>
      <c r="Y77">
        <f t="shared" si="25"/>
        <v>2.1324703389570227E-2</v>
      </c>
      <c r="Z77" t="str">
        <f t="shared" si="18"/>
        <v>2010-04</v>
      </c>
    </row>
    <row r="78" spans="1:26" x14ac:dyDescent="0.35">
      <c r="A78" s="1">
        <v>40289</v>
      </c>
      <c r="C78">
        <v>2947.64</v>
      </c>
      <c r="D78">
        <f t="shared" si="19"/>
        <v>-1.2229670847798389E-2</v>
      </c>
      <c r="E78" t="str">
        <f t="shared" si="13"/>
        <v>2010-04</v>
      </c>
      <c r="G78">
        <v>3977.67</v>
      </c>
      <c r="H78">
        <f t="shared" si="20"/>
        <v>-1.2238544025852706E-2</v>
      </c>
      <c r="I78" t="str">
        <f t="shared" si="14"/>
        <v>2010-04</v>
      </c>
      <c r="K78">
        <v>6230.38</v>
      </c>
      <c r="L78">
        <f t="shared" si="21"/>
        <v>-5.4183496428348663E-3</v>
      </c>
      <c r="M78" t="str">
        <f t="shared" si="15"/>
        <v>2010-04</v>
      </c>
      <c r="O78">
        <v>6579.4256100000002</v>
      </c>
      <c r="P78">
        <f t="shared" si="22"/>
        <v>-4.6816584745178443E-3</v>
      </c>
      <c r="Q78" t="str">
        <f t="shared" si="16"/>
        <v>2010-04</v>
      </c>
      <c r="S78">
        <v>11064.7</v>
      </c>
      <c r="T78">
        <f t="shared" si="23"/>
        <v>-2.1538317564172283E-2</v>
      </c>
      <c r="U78" t="str">
        <f t="shared" si="17"/>
        <v>2010-04</v>
      </c>
      <c r="W78">
        <v>23045.05</v>
      </c>
      <c r="X78">
        <f t="shared" si="24"/>
        <v>-9.7861748305029927E-3</v>
      </c>
      <c r="Y78">
        <f t="shared" si="25"/>
        <v>-9.7384460425719594E-3</v>
      </c>
      <c r="Z78" t="str">
        <f t="shared" si="18"/>
        <v>2010-04</v>
      </c>
    </row>
    <row r="79" spans="1:26" x14ac:dyDescent="0.35">
      <c r="A79" s="1">
        <v>40290</v>
      </c>
      <c r="C79">
        <v>2897.59</v>
      </c>
      <c r="D79">
        <f t="shared" si="19"/>
        <v>-1.7125493171873802E-2</v>
      </c>
      <c r="E79" t="str">
        <f t="shared" si="13"/>
        <v>2010-04</v>
      </c>
      <c r="G79">
        <v>3924.65</v>
      </c>
      <c r="H79">
        <f t="shared" si="20"/>
        <v>-1.3419045447500185E-2</v>
      </c>
      <c r="I79" t="str">
        <f t="shared" si="14"/>
        <v>2010-04</v>
      </c>
      <c r="K79">
        <v>6168.72</v>
      </c>
      <c r="L79">
        <f t="shared" si="21"/>
        <v>-9.9459651578771915E-3</v>
      </c>
      <c r="M79" t="str">
        <f t="shared" si="15"/>
        <v>2010-04</v>
      </c>
      <c r="O79">
        <v>6536.8864800000001</v>
      </c>
      <c r="P79">
        <f t="shared" si="22"/>
        <v>-6.4864694981790266E-3</v>
      </c>
      <c r="Q79" t="str">
        <f t="shared" si="16"/>
        <v>2010-04</v>
      </c>
      <c r="S79">
        <v>10821.9</v>
      </c>
      <c r="T79">
        <f t="shared" si="23"/>
        <v>-2.2188001876814988E-2</v>
      </c>
      <c r="U79" t="str">
        <f t="shared" si="17"/>
        <v>2010-04</v>
      </c>
      <c r="W79">
        <v>22616.5</v>
      </c>
      <c r="X79">
        <f t="shared" si="24"/>
        <v>-1.8771267449300379E-2</v>
      </c>
      <c r="Y79">
        <f t="shared" si="25"/>
        <v>-1.8596184430061957E-2</v>
      </c>
      <c r="Z79" t="str">
        <f t="shared" si="18"/>
        <v>2010-04</v>
      </c>
    </row>
    <row r="80" spans="1:26" x14ac:dyDescent="0.35">
      <c r="A80" s="1">
        <v>40291</v>
      </c>
      <c r="C80">
        <v>2918.11</v>
      </c>
      <c r="D80">
        <f t="shared" si="19"/>
        <v>7.056789433768253E-3</v>
      </c>
      <c r="E80" t="str">
        <f t="shared" si="13"/>
        <v>2010-04</v>
      </c>
      <c r="G80">
        <v>3951.3</v>
      </c>
      <c r="H80">
        <f t="shared" si="20"/>
        <v>6.7674634071809639E-3</v>
      </c>
      <c r="I80" t="str">
        <f t="shared" si="14"/>
        <v>2010-04</v>
      </c>
      <c r="K80">
        <v>6259.53</v>
      </c>
      <c r="L80">
        <f t="shared" si="21"/>
        <v>1.4613741455223175E-2</v>
      </c>
      <c r="M80" t="str">
        <f t="shared" si="15"/>
        <v>2010-04</v>
      </c>
      <c r="O80">
        <v>6575.2613000000001</v>
      </c>
      <c r="P80">
        <f t="shared" si="22"/>
        <v>5.8533400033310284E-3</v>
      </c>
      <c r="Q80" t="str">
        <f t="shared" si="16"/>
        <v>2010-04</v>
      </c>
      <c r="S80">
        <v>10918.2</v>
      </c>
      <c r="T80">
        <f t="shared" si="23"/>
        <v>8.8592628234132158E-3</v>
      </c>
      <c r="U80" t="str">
        <f t="shared" si="17"/>
        <v>2010-04</v>
      </c>
      <c r="W80">
        <v>22726</v>
      </c>
      <c r="X80">
        <f t="shared" si="24"/>
        <v>4.8299151069590499E-3</v>
      </c>
      <c r="Y80">
        <f t="shared" si="25"/>
        <v>4.8415979484005044E-3</v>
      </c>
      <c r="Z80" t="str">
        <f t="shared" si="18"/>
        <v>2010-04</v>
      </c>
    </row>
    <row r="81" spans="1:26" x14ac:dyDescent="0.35">
      <c r="A81" s="1">
        <v>40294</v>
      </c>
      <c r="C81">
        <v>2947.04</v>
      </c>
      <c r="D81">
        <f t="shared" si="19"/>
        <v>9.8651303458018313E-3</v>
      </c>
      <c r="E81" t="str">
        <f t="shared" si="13"/>
        <v>2010-04</v>
      </c>
      <c r="G81">
        <v>3997.39</v>
      </c>
      <c r="H81">
        <f t="shared" si="20"/>
        <v>1.1597009458144692E-2</v>
      </c>
      <c r="I81" t="str">
        <f t="shared" si="14"/>
        <v>2010-04</v>
      </c>
      <c r="K81">
        <v>6332.1</v>
      </c>
      <c r="L81">
        <f t="shared" si="21"/>
        <v>1.1526832271376748E-2</v>
      </c>
      <c r="M81" t="str">
        <f t="shared" si="15"/>
        <v>2010-04</v>
      </c>
      <c r="O81">
        <v>6661.7851000000001</v>
      </c>
      <c r="P81">
        <f t="shared" si="22"/>
        <v>1.3073162951869862E-2</v>
      </c>
      <c r="Q81" t="str">
        <f t="shared" si="16"/>
        <v>2010-04</v>
      </c>
      <c r="S81">
        <v>10939.3</v>
      </c>
      <c r="T81">
        <f t="shared" si="23"/>
        <v>1.9306880067971532E-3</v>
      </c>
      <c r="U81" t="str">
        <f t="shared" si="17"/>
        <v>2010-04</v>
      </c>
      <c r="W81">
        <v>22783.27</v>
      </c>
      <c r="X81">
        <f t="shared" si="24"/>
        <v>2.5168511923654561E-3</v>
      </c>
      <c r="Y81">
        <f t="shared" si="25"/>
        <v>2.5200211211828054E-3</v>
      </c>
      <c r="Z81" t="str">
        <f t="shared" si="18"/>
        <v>2010-04</v>
      </c>
    </row>
    <row r="82" spans="1:26" x14ac:dyDescent="0.35">
      <c r="A82" s="1">
        <v>40295</v>
      </c>
      <c r="C82">
        <v>2838.78</v>
      </c>
      <c r="D82">
        <f t="shared" si="19"/>
        <v>-3.7426894375161571E-2</v>
      </c>
      <c r="E82" t="str">
        <f t="shared" si="13"/>
        <v>2010-04</v>
      </c>
      <c r="G82">
        <v>3844.6</v>
      </c>
      <c r="H82">
        <f t="shared" si="20"/>
        <v>-3.8972081812495389E-2</v>
      </c>
      <c r="I82" t="str">
        <f t="shared" si="14"/>
        <v>2010-04</v>
      </c>
      <c r="K82">
        <v>6159.51</v>
      </c>
      <c r="L82">
        <f t="shared" si="21"/>
        <v>-2.7634705765569232E-2</v>
      </c>
      <c r="M82" t="str">
        <f t="shared" si="15"/>
        <v>2010-04</v>
      </c>
      <c r="O82">
        <v>6467.3572199999999</v>
      </c>
      <c r="P82">
        <f t="shared" si="22"/>
        <v>-2.9619923373066803E-2</v>
      </c>
      <c r="Q82" t="str">
        <f t="shared" si="16"/>
        <v>2010-04</v>
      </c>
      <c r="S82">
        <v>10480.9</v>
      </c>
      <c r="T82">
        <f t="shared" si="23"/>
        <v>-4.280725650371324E-2</v>
      </c>
      <c r="U82" t="str">
        <f t="shared" si="17"/>
        <v>2010-04</v>
      </c>
      <c r="W82">
        <v>22036.47</v>
      </c>
      <c r="X82">
        <f t="shared" si="24"/>
        <v>-3.3327686570369157E-2</v>
      </c>
      <c r="Y82">
        <f t="shared" si="25"/>
        <v>-3.2778437862519265E-2</v>
      </c>
      <c r="Z82" t="str">
        <f t="shared" si="18"/>
        <v>2010-04</v>
      </c>
    </row>
    <row r="83" spans="1:26" x14ac:dyDescent="0.35">
      <c r="A83" s="1">
        <v>40296</v>
      </c>
      <c r="C83">
        <v>2788.54</v>
      </c>
      <c r="D83">
        <f t="shared" si="19"/>
        <v>-1.785622103917674E-2</v>
      </c>
      <c r="E83" t="str">
        <f t="shared" si="13"/>
        <v>2010-04</v>
      </c>
      <c r="G83">
        <v>3787</v>
      </c>
      <c r="H83">
        <f t="shared" si="20"/>
        <v>-1.5095417416965158E-2</v>
      </c>
      <c r="I83" t="str">
        <f t="shared" si="14"/>
        <v>2010-04</v>
      </c>
      <c r="K83">
        <v>6084.34</v>
      </c>
      <c r="L83">
        <f t="shared" si="21"/>
        <v>-1.2278971804744125E-2</v>
      </c>
      <c r="M83" t="str">
        <f t="shared" si="15"/>
        <v>2010-04</v>
      </c>
      <c r="O83">
        <v>6447.4598699999997</v>
      </c>
      <c r="P83">
        <f t="shared" si="22"/>
        <v>-3.0813236617103089E-3</v>
      </c>
      <c r="Q83" t="str">
        <f t="shared" si="16"/>
        <v>2010-04</v>
      </c>
      <c r="S83">
        <v>10167</v>
      </c>
      <c r="T83">
        <f t="shared" si="23"/>
        <v>-3.0407371775174948E-2</v>
      </c>
      <c r="U83" t="str">
        <f t="shared" si="17"/>
        <v>2010-04</v>
      </c>
      <c r="W83">
        <v>21501.24</v>
      </c>
      <c r="X83">
        <f t="shared" si="24"/>
        <v>-2.4588200228697017E-2</v>
      </c>
      <c r="Y83">
        <f t="shared" si="25"/>
        <v>-2.4288372865526989E-2</v>
      </c>
      <c r="Z83" t="str">
        <f t="shared" si="18"/>
        <v>2010-04</v>
      </c>
    </row>
    <row r="84" spans="1:26" x14ac:dyDescent="0.35">
      <c r="A84" s="1">
        <v>40297</v>
      </c>
      <c r="C84">
        <v>2828.12</v>
      </c>
      <c r="D84">
        <f t="shared" si="19"/>
        <v>1.4094018574472551E-2</v>
      </c>
      <c r="E84" t="str">
        <f t="shared" si="13"/>
        <v>2010-04</v>
      </c>
      <c r="G84">
        <v>3840.62</v>
      </c>
      <c r="H84">
        <f t="shared" si="20"/>
        <v>1.4059662980317191E-2</v>
      </c>
      <c r="I84" t="str">
        <f t="shared" si="14"/>
        <v>2010-04</v>
      </c>
      <c r="K84">
        <v>6144.91</v>
      </c>
      <c r="L84">
        <f t="shared" si="21"/>
        <v>9.9058397348099764E-3</v>
      </c>
      <c r="M84" t="str">
        <f t="shared" si="15"/>
        <v>2010-04</v>
      </c>
      <c r="O84">
        <v>6501.0494600000002</v>
      </c>
      <c r="P84">
        <f t="shared" si="22"/>
        <v>8.2773846175711908E-3</v>
      </c>
      <c r="Q84" t="str">
        <f t="shared" si="16"/>
        <v>2010-04</v>
      </c>
      <c r="S84">
        <v>10441</v>
      </c>
      <c r="T84">
        <f t="shared" si="23"/>
        <v>2.6593182014949333E-2</v>
      </c>
      <c r="U84" t="str">
        <f t="shared" si="17"/>
        <v>2010-04</v>
      </c>
      <c r="W84">
        <v>21695.7</v>
      </c>
      <c r="X84">
        <f t="shared" si="24"/>
        <v>9.0034763396403816E-3</v>
      </c>
      <c r="Y84">
        <f t="shared" si="25"/>
        <v>9.0441295478771982E-3</v>
      </c>
      <c r="Z84" t="str">
        <f t="shared" si="18"/>
        <v>2010-04</v>
      </c>
    </row>
    <row r="85" spans="1:26" x14ac:dyDescent="0.35">
      <c r="A85" s="1">
        <v>40298</v>
      </c>
      <c r="C85">
        <v>2816.86</v>
      </c>
      <c r="D85">
        <f t="shared" si="19"/>
        <v>-3.9893905501146923E-3</v>
      </c>
      <c r="E85" t="str">
        <f t="shared" si="13"/>
        <v>2010-04</v>
      </c>
      <c r="G85">
        <v>3816.99</v>
      </c>
      <c r="H85">
        <f t="shared" si="20"/>
        <v>-6.1716579988418214E-3</v>
      </c>
      <c r="I85" t="str">
        <f t="shared" si="14"/>
        <v>2010-04</v>
      </c>
      <c r="K85">
        <v>6135.7</v>
      </c>
      <c r="L85">
        <f t="shared" si="21"/>
        <v>-1.4999257735086298E-3</v>
      </c>
      <c r="M85" t="str">
        <f t="shared" si="15"/>
        <v>2010-04</v>
      </c>
      <c r="O85">
        <v>6394.3171899999998</v>
      </c>
      <c r="P85">
        <f t="shared" si="22"/>
        <v>-1.6553962401968703E-2</v>
      </c>
      <c r="Q85" t="str">
        <f t="shared" si="16"/>
        <v>2010-04</v>
      </c>
      <c r="S85">
        <v>10492.2</v>
      </c>
      <c r="T85">
        <f t="shared" si="23"/>
        <v>4.8917606575584922E-3</v>
      </c>
      <c r="U85" t="str">
        <f t="shared" si="17"/>
        <v>2010-04</v>
      </c>
      <c r="W85">
        <v>21562.48</v>
      </c>
      <c r="X85">
        <f t="shared" si="24"/>
        <v>-6.1593169738405054E-3</v>
      </c>
      <c r="Y85">
        <f t="shared" si="25"/>
        <v>-6.1403872656794279E-3</v>
      </c>
      <c r="Z85" t="str">
        <f t="shared" si="18"/>
        <v>2010-04</v>
      </c>
    </row>
    <row r="86" spans="1:26" x14ac:dyDescent="0.35">
      <c r="A86" s="1">
        <v>40302</v>
      </c>
      <c r="C86">
        <v>2708.12</v>
      </c>
      <c r="D86">
        <f t="shared" si="19"/>
        <v>-3.9368122184211825E-2</v>
      </c>
      <c r="E86" t="str">
        <f t="shared" si="13"/>
        <v>2010-05</v>
      </c>
      <c r="G86">
        <v>3689.29</v>
      </c>
      <c r="H86">
        <f t="shared" si="20"/>
        <v>-3.402812628636568E-2</v>
      </c>
      <c r="I86" t="str">
        <f t="shared" si="14"/>
        <v>2010-05</v>
      </c>
      <c r="K86">
        <v>6006.86</v>
      </c>
      <c r="L86">
        <f t="shared" si="21"/>
        <v>-2.1222021629934161E-2</v>
      </c>
      <c r="M86" t="str">
        <f t="shared" si="15"/>
        <v>2010-05</v>
      </c>
      <c r="O86">
        <v>6295.3949199999997</v>
      </c>
      <c r="P86">
        <f t="shared" si="22"/>
        <v>-1.5591255818830757E-2</v>
      </c>
      <c r="Q86" t="str">
        <f t="shared" si="16"/>
        <v>2010-05</v>
      </c>
      <c r="S86">
        <v>9859.1</v>
      </c>
      <c r="T86">
        <f t="shared" si="23"/>
        <v>-6.223723740753441E-2</v>
      </c>
      <c r="U86" t="str">
        <f t="shared" si="17"/>
        <v>2010-05</v>
      </c>
      <c r="W86">
        <v>20613.25</v>
      </c>
      <c r="X86">
        <f t="shared" si="24"/>
        <v>-4.5020694342846355E-2</v>
      </c>
      <c r="Y86">
        <f t="shared" si="25"/>
        <v>-4.402230170184504E-2</v>
      </c>
      <c r="Z86" t="str">
        <f t="shared" si="18"/>
        <v>2010-05</v>
      </c>
    </row>
    <row r="87" spans="1:26" x14ac:dyDescent="0.35">
      <c r="A87" s="1">
        <v>40303</v>
      </c>
      <c r="C87">
        <v>2679.3</v>
      </c>
      <c r="D87">
        <f t="shared" si="19"/>
        <v>-1.069910083865038E-2</v>
      </c>
      <c r="E87" t="str">
        <f t="shared" si="13"/>
        <v>2010-05</v>
      </c>
      <c r="G87">
        <v>3636.03</v>
      </c>
      <c r="H87">
        <f t="shared" si="20"/>
        <v>-1.4541600508490396E-2</v>
      </c>
      <c r="I87" t="str">
        <f t="shared" si="14"/>
        <v>2010-05</v>
      </c>
      <c r="K87">
        <v>5958.45</v>
      </c>
      <c r="L87">
        <f t="shared" si="21"/>
        <v>-8.0917693137504045E-3</v>
      </c>
      <c r="M87" t="str">
        <f t="shared" si="15"/>
        <v>2010-05</v>
      </c>
      <c r="O87">
        <v>6270.7270500000004</v>
      </c>
      <c r="P87">
        <f t="shared" si="22"/>
        <v>-3.9260961727471807E-3</v>
      </c>
      <c r="Q87" t="str">
        <f t="shared" si="16"/>
        <v>2010-05</v>
      </c>
      <c r="S87">
        <v>9635.2000000000007</v>
      </c>
      <c r="T87">
        <f t="shared" si="23"/>
        <v>-2.2971827252719648E-2</v>
      </c>
      <c r="U87" t="str">
        <f t="shared" si="17"/>
        <v>2010-05</v>
      </c>
      <c r="W87">
        <v>20351.95</v>
      </c>
      <c r="X87">
        <f t="shared" si="24"/>
        <v>-1.2757342518382548E-2</v>
      </c>
      <c r="Y87">
        <f t="shared" si="25"/>
        <v>-1.2676312565946625E-2</v>
      </c>
      <c r="Z87" t="str">
        <f t="shared" si="18"/>
        <v>2010-05</v>
      </c>
    </row>
    <row r="88" spans="1:26" x14ac:dyDescent="0.35">
      <c r="A88" s="1">
        <v>40304</v>
      </c>
      <c r="C88">
        <v>2611.41</v>
      </c>
      <c r="D88">
        <f t="shared" si="19"/>
        <v>-2.5665261027784221E-2</v>
      </c>
      <c r="E88" t="str">
        <f t="shared" si="13"/>
        <v>2010-05</v>
      </c>
      <c r="G88">
        <v>3556.11</v>
      </c>
      <c r="H88">
        <f t="shared" si="20"/>
        <v>-2.2225176299758027E-2</v>
      </c>
      <c r="I88" t="str">
        <f t="shared" si="14"/>
        <v>2010-05</v>
      </c>
      <c r="K88">
        <v>5908.26</v>
      </c>
      <c r="L88">
        <f t="shared" si="21"/>
        <v>-8.4590083144669374E-3</v>
      </c>
      <c r="M88" t="str">
        <f t="shared" si="15"/>
        <v>2010-05</v>
      </c>
      <c r="O88">
        <v>6176.6634100000001</v>
      </c>
      <c r="P88">
        <f t="shared" si="22"/>
        <v>-1.5114080484225734E-2</v>
      </c>
      <c r="Q88" t="str">
        <f t="shared" si="16"/>
        <v>2010-05</v>
      </c>
      <c r="S88">
        <v>9352.6</v>
      </c>
      <c r="T88">
        <f t="shared" si="23"/>
        <v>-2.9768679794021528E-2</v>
      </c>
      <c r="U88" t="str">
        <f t="shared" si="17"/>
        <v>2010-05</v>
      </c>
      <c r="W88">
        <v>19483.93</v>
      </c>
      <c r="X88">
        <f t="shared" si="24"/>
        <v>-4.3586707147284125E-2</v>
      </c>
      <c r="Y88">
        <f t="shared" si="25"/>
        <v>-4.2650458555568406E-2</v>
      </c>
      <c r="Z88" t="str">
        <f t="shared" si="18"/>
        <v>2010-05</v>
      </c>
    </row>
    <row r="89" spans="1:26" x14ac:dyDescent="0.35">
      <c r="A89" s="1">
        <v>40305</v>
      </c>
      <c r="C89">
        <v>2500.1799999999998</v>
      </c>
      <c r="D89">
        <f t="shared" si="19"/>
        <v>-4.3527576065749432E-2</v>
      </c>
      <c r="E89" t="str">
        <f t="shared" si="13"/>
        <v>2010-05</v>
      </c>
      <c r="G89">
        <v>3392.59</v>
      </c>
      <c r="H89">
        <f t="shared" si="20"/>
        <v>-4.707360932319523E-2</v>
      </c>
      <c r="I89" t="str">
        <f t="shared" si="14"/>
        <v>2010-05</v>
      </c>
      <c r="K89">
        <v>5715.09</v>
      </c>
      <c r="L89">
        <f t="shared" si="21"/>
        <v>-3.3241326671109975E-2</v>
      </c>
      <c r="M89" t="str">
        <f t="shared" si="15"/>
        <v>2010-05</v>
      </c>
      <c r="O89">
        <v>5959.7194499999996</v>
      </c>
      <c r="P89">
        <f t="shared" si="22"/>
        <v>-3.5754816554237685E-2</v>
      </c>
      <c r="Q89" t="str">
        <f t="shared" si="16"/>
        <v>2010-05</v>
      </c>
      <c r="S89">
        <v>9046.1</v>
      </c>
      <c r="T89">
        <f t="shared" si="23"/>
        <v>-3.3320653906934124E-2</v>
      </c>
      <c r="U89" t="str">
        <f t="shared" si="17"/>
        <v>2010-05</v>
      </c>
      <c r="W89">
        <v>18846.18</v>
      </c>
      <c r="X89">
        <f t="shared" si="24"/>
        <v>-3.3279782409074012E-2</v>
      </c>
      <c r="Y89">
        <f t="shared" si="25"/>
        <v>-3.2732102814986501E-2</v>
      </c>
      <c r="Z89" t="str">
        <f t="shared" si="18"/>
        <v>2010-05</v>
      </c>
    </row>
    <row r="90" spans="1:26" x14ac:dyDescent="0.35">
      <c r="A90" s="1">
        <v>40308</v>
      </c>
      <c r="C90">
        <v>2758.89</v>
      </c>
      <c r="D90">
        <f t="shared" si="19"/>
        <v>9.8465695640117937E-2</v>
      </c>
      <c r="E90" t="str">
        <f t="shared" si="13"/>
        <v>2010-05</v>
      </c>
      <c r="G90">
        <v>3720.29</v>
      </c>
      <c r="H90">
        <f t="shared" si="20"/>
        <v>9.2207980752490426E-2</v>
      </c>
      <c r="I90" t="str">
        <f t="shared" si="14"/>
        <v>2010-05</v>
      </c>
      <c r="K90">
        <v>6017.91</v>
      </c>
      <c r="L90">
        <f t="shared" si="21"/>
        <v>5.1629977807157001E-2</v>
      </c>
      <c r="M90" t="str">
        <f t="shared" si="15"/>
        <v>2010-05</v>
      </c>
      <c r="O90">
        <v>6247.0520399999996</v>
      </c>
      <c r="P90">
        <f t="shared" si="22"/>
        <v>4.7086271053647419E-2</v>
      </c>
      <c r="Q90" t="str">
        <f t="shared" si="16"/>
        <v>2010-05</v>
      </c>
      <c r="S90">
        <v>10351.9</v>
      </c>
      <c r="T90">
        <f t="shared" si="23"/>
        <v>0.13483635213847681</v>
      </c>
      <c r="U90" t="str">
        <f t="shared" si="17"/>
        <v>2010-05</v>
      </c>
      <c r="W90">
        <v>20971.21</v>
      </c>
      <c r="X90">
        <f t="shared" si="24"/>
        <v>0.10684030389013521</v>
      </c>
      <c r="Y90">
        <f t="shared" si="25"/>
        <v>0.11275653739909089</v>
      </c>
      <c r="Z90" t="str">
        <f t="shared" si="18"/>
        <v>2010-05</v>
      </c>
    </row>
    <row r="91" spans="1:26" x14ac:dyDescent="0.35">
      <c r="A91" s="1">
        <v>40309</v>
      </c>
      <c r="C91">
        <v>2730.48</v>
      </c>
      <c r="D91">
        <f t="shared" si="19"/>
        <v>-1.0351007004963579E-2</v>
      </c>
      <c r="E91" t="str">
        <f t="shared" si="13"/>
        <v>2010-05</v>
      </c>
      <c r="G91">
        <v>3693.2</v>
      </c>
      <c r="H91">
        <f t="shared" si="20"/>
        <v>-7.3083313194785508E-3</v>
      </c>
      <c r="I91" t="str">
        <f t="shared" si="14"/>
        <v>2010-05</v>
      </c>
      <c r="K91">
        <v>6037.71</v>
      </c>
      <c r="L91">
        <f t="shared" si="21"/>
        <v>3.2847780210577622E-3</v>
      </c>
      <c r="M91" t="str">
        <f t="shared" si="15"/>
        <v>2010-05</v>
      </c>
      <c r="O91">
        <v>6275.7135500000004</v>
      </c>
      <c r="P91">
        <f t="shared" si="22"/>
        <v>4.5775128250817214E-3</v>
      </c>
      <c r="Q91" t="str">
        <f t="shared" si="16"/>
        <v>2010-05</v>
      </c>
      <c r="S91">
        <v>10008.6</v>
      </c>
      <c r="T91">
        <f t="shared" si="23"/>
        <v>-3.3725354336871079E-2</v>
      </c>
      <c r="U91" t="str">
        <f t="shared" si="17"/>
        <v>2010-05</v>
      </c>
      <c r="W91">
        <v>20874.650000000001</v>
      </c>
      <c r="X91">
        <f t="shared" si="24"/>
        <v>-4.6150405981700039E-3</v>
      </c>
      <c r="Y91">
        <f t="shared" si="25"/>
        <v>-4.6044076617418675E-3</v>
      </c>
      <c r="Z91" t="str">
        <f t="shared" si="18"/>
        <v>2010-05</v>
      </c>
    </row>
    <row r="92" spans="1:26" x14ac:dyDescent="0.35">
      <c r="A92" s="1">
        <v>40310</v>
      </c>
      <c r="C92">
        <v>2764.31</v>
      </c>
      <c r="D92">
        <f t="shared" si="19"/>
        <v>1.231363799416701E-2</v>
      </c>
      <c r="E92" t="str">
        <f t="shared" si="13"/>
        <v>2010-05</v>
      </c>
      <c r="G92">
        <v>3733.87</v>
      </c>
      <c r="H92">
        <f t="shared" si="20"/>
        <v>1.0951938385562203E-2</v>
      </c>
      <c r="I92" t="str">
        <f t="shared" si="14"/>
        <v>2010-05</v>
      </c>
      <c r="K92">
        <v>6183.49</v>
      </c>
      <c r="L92">
        <f t="shared" si="21"/>
        <v>2.385803600909777E-2</v>
      </c>
      <c r="M92" t="str">
        <f t="shared" si="15"/>
        <v>2010-05</v>
      </c>
      <c r="O92">
        <v>6328.6163999999999</v>
      </c>
      <c r="P92">
        <f t="shared" si="22"/>
        <v>8.3944423649284176E-3</v>
      </c>
      <c r="Q92" t="str">
        <f t="shared" si="16"/>
        <v>2010-05</v>
      </c>
      <c r="S92">
        <v>10089.799999999999</v>
      </c>
      <c r="T92">
        <f t="shared" si="23"/>
        <v>8.0802891575891753E-3</v>
      </c>
      <c r="U92" t="str">
        <f t="shared" si="17"/>
        <v>2010-05</v>
      </c>
      <c r="W92">
        <v>21029.48</v>
      </c>
      <c r="X92">
        <f t="shared" si="24"/>
        <v>7.3897586985322119E-3</v>
      </c>
      <c r="Y92">
        <f t="shared" si="25"/>
        <v>7.4171303470955486E-3</v>
      </c>
      <c r="Z92" t="str">
        <f t="shared" si="18"/>
        <v>2010-05</v>
      </c>
    </row>
    <row r="93" spans="1:26" x14ac:dyDescent="0.35">
      <c r="A93" s="1">
        <v>40311</v>
      </c>
      <c r="C93">
        <v>2764.05</v>
      </c>
      <c r="D93">
        <f t="shared" si="19"/>
        <v>-9.4060444758090793E-5</v>
      </c>
      <c r="E93" t="str">
        <f t="shared" si="13"/>
        <v>2010-05</v>
      </c>
      <c r="G93">
        <v>3731.54</v>
      </c>
      <c r="H93">
        <f t="shared" si="20"/>
        <v>-6.2421222026797819E-4</v>
      </c>
      <c r="I93" t="str">
        <f t="shared" si="14"/>
        <v>2010-05</v>
      </c>
      <c r="K93">
        <v>6251.97</v>
      </c>
      <c r="L93">
        <f t="shared" si="21"/>
        <v>1.1013777091642578E-2</v>
      </c>
      <c r="M93" t="str">
        <f t="shared" si="15"/>
        <v>2010-05</v>
      </c>
      <c r="O93">
        <v>6340.3595100000002</v>
      </c>
      <c r="P93">
        <f t="shared" si="22"/>
        <v>1.8538378234461775E-3</v>
      </c>
      <c r="Q93" t="str">
        <f t="shared" si="16"/>
        <v>2010-05</v>
      </c>
      <c r="S93">
        <v>9977.5</v>
      </c>
      <c r="T93">
        <f t="shared" si="23"/>
        <v>-1.1192454622764999E-2</v>
      </c>
      <c r="U93" t="str">
        <f t="shared" si="17"/>
        <v>2010-05</v>
      </c>
      <c r="W93">
        <v>20878.830000000002</v>
      </c>
      <c r="X93">
        <f t="shared" si="24"/>
        <v>-7.1895358661376299E-3</v>
      </c>
      <c r="Y93">
        <f t="shared" si="25"/>
        <v>-7.163752979151069E-3</v>
      </c>
      <c r="Z93" t="str">
        <f t="shared" si="18"/>
        <v>2010-05</v>
      </c>
    </row>
    <row r="94" spans="1:26" x14ac:dyDescent="0.35">
      <c r="A94" s="1">
        <v>40312</v>
      </c>
      <c r="C94">
        <v>2633.92</v>
      </c>
      <c r="D94">
        <f t="shared" si="19"/>
        <v>-4.8223764664700464E-2</v>
      </c>
      <c r="E94" t="str">
        <f t="shared" si="13"/>
        <v>2010-05</v>
      </c>
      <c r="G94">
        <v>3560.36</v>
      </c>
      <c r="H94">
        <f t="shared" si="20"/>
        <v>-4.695935373483142E-2</v>
      </c>
      <c r="I94" t="str">
        <f t="shared" si="14"/>
        <v>2010-05</v>
      </c>
      <c r="K94">
        <v>6056.71</v>
      </c>
      <c r="L94">
        <f t="shared" si="21"/>
        <v>-3.1729865718327609E-2</v>
      </c>
      <c r="M94" t="str">
        <f t="shared" si="15"/>
        <v>2010-05</v>
      </c>
      <c r="O94">
        <v>6176.6921499999999</v>
      </c>
      <c r="P94">
        <f t="shared" si="22"/>
        <v>-2.6152594526095016E-2</v>
      </c>
      <c r="Q94" t="str">
        <f t="shared" si="16"/>
        <v>2010-05</v>
      </c>
      <c r="S94">
        <v>9314.7000000000007</v>
      </c>
      <c r="T94">
        <f t="shared" si="23"/>
        <v>-6.8738760524990825E-2</v>
      </c>
      <c r="U94" t="str">
        <f t="shared" si="17"/>
        <v>2010-05</v>
      </c>
      <c r="W94">
        <v>19781.169999999998</v>
      </c>
      <c r="X94">
        <f t="shared" si="24"/>
        <v>-5.4005251859224841E-2</v>
      </c>
      <c r="Y94">
        <f t="shared" si="25"/>
        <v>-5.2572869265184084E-2</v>
      </c>
      <c r="Z94" t="str">
        <f t="shared" si="18"/>
        <v>2010-05</v>
      </c>
    </row>
    <row r="95" spans="1:26" x14ac:dyDescent="0.35">
      <c r="A95" s="1">
        <v>40315</v>
      </c>
      <c r="C95">
        <v>2635.34</v>
      </c>
      <c r="D95">
        <f t="shared" si="19"/>
        <v>5.3897512530224397E-4</v>
      </c>
      <c r="E95" t="str">
        <f t="shared" si="13"/>
        <v>2010-05</v>
      </c>
      <c r="G95">
        <v>3543.55</v>
      </c>
      <c r="H95">
        <f t="shared" si="20"/>
        <v>-4.7326138352935783E-3</v>
      </c>
      <c r="I95" t="str">
        <f t="shared" si="14"/>
        <v>2010-05</v>
      </c>
      <c r="K95">
        <v>6066.92</v>
      </c>
      <c r="L95">
        <f t="shared" si="21"/>
        <v>1.6843144196485161E-3</v>
      </c>
      <c r="M95" t="str">
        <f t="shared" si="15"/>
        <v>2010-05</v>
      </c>
      <c r="O95">
        <v>6160.7724200000002</v>
      </c>
      <c r="P95">
        <f t="shared" si="22"/>
        <v>-2.5807148211436019E-3</v>
      </c>
      <c r="Q95" t="str">
        <f t="shared" si="16"/>
        <v>2010-05</v>
      </c>
      <c r="S95">
        <v>9286.1</v>
      </c>
      <c r="T95">
        <f t="shared" si="23"/>
        <v>-3.0751389765966805E-3</v>
      </c>
      <c r="U95" t="str">
        <f t="shared" si="17"/>
        <v>2010-05</v>
      </c>
      <c r="W95">
        <v>19826.830000000002</v>
      </c>
      <c r="X95">
        <f t="shared" si="24"/>
        <v>2.3055958506621394E-3</v>
      </c>
      <c r="Y95">
        <f t="shared" si="25"/>
        <v>2.308255780623871E-3</v>
      </c>
      <c r="Z95" t="str">
        <f t="shared" si="18"/>
        <v>2010-05</v>
      </c>
    </row>
    <row r="96" spans="1:26" x14ac:dyDescent="0.35">
      <c r="A96" s="1">
        <v>40316</v>
      </c>
      <c r="C96">
        <v>2698.21</v>
      </c>
      <c r="D96">
        <f t="shared" si="19"/>
        <v>2.3576384262754185E-2</v>
      </c>
      <c r="E96" t="str">
        <f t="shared" si="13"/>
        <v>2010-05</v>
      </c>
      <c r="G96">
        <v>3617.32</v>
      </c>
      <c r="H96">
        <f t="shared" si="20"/>
        <v>2.0604370653771791E-2</v>
      </c>
      <c r="I96" t="str">
        <f t="shared" si="14"/>
        <v>2010-05</v>
      </c>
      <c r="K96">
        <v>6155.93</v>
      </c>
      <c r="L96">
        <f t="shared" si="21"/>
        <v>1.4564782107292278E-2</v>
      </c>
      <c r="M96" t="str">
        <f t="shared" si="15"/>
        <v>2010-05</v>
      </c>
      <c r="O96">
        <v>6210.4698500000004</v>
      </c>
      <c r="P96">
        <f t="shared" si="22"/>
        <v>8.0343907671957294E-3</v>
      </c>
      <c r="Q96" t="str">
        <f t="shared" si="16"/>
        <v>2010-05</v>
      </c>
      <c r="S96">
        <v>9627.6</v>
      </c>
      <c r="T96">
        <f t="shared" si="23"/>
        <v>3.6115315126309201E-2</v>
      </c>
      <c r="U96" t="str">
        <f t="shared" si="17"/>
        <v>2010-05</v>
      </c>
      <c r="W96">
        <v>20314.21</v>
      </c>
      <c r="X96">
        <f t="shared" si="24"/>
        <v>2.4284570208888277E-2</v>
      </c>
      <c r="Y96">
        <f t="shared" si="25"/>
        <v>2.4581841877899663E-2</v>
      </c>
      <c r="Z96" t="str">
        <f t="shared" si="18"/>
        <v>2010-05</v>
      </c>
    </row>
    <row r="97" spans="1:26" x14ac:dyDescent="0.35">
      <c r="A97" s="1">
        <v>40317</v>
      </c>
      <c r="C97">
        <v>2619.48</v>
      </c>
      <c r="D97">
        <f t="shared" si="19"/>
        <v>-2.9612765398064171E-2</v>
      </c>
      <c r="E97" t="str">
        <f t="shared" si="13"/>
        <v>2010-05</v>
      </c>
      <c r="G97">
        <v>3511.67</v>
      </c>
      <c r="H97">
        <f t="shared" si="20"/>
        <v>-2.9641712360788594E-2</v>
      </c>
      <c r="I97" t="str">
        <f t="shared" si="14"/>
        <v>2010-05</v>
      </c>
      <c r="K97">
        <v>5988.67</v>
      </c>
      <c r="L97">
        <f t="shared" si="21"/>
        <v>-2.7546494146164835E-2</v>
      </c>
      <c r="M97" t="str">
        <f t="shared" si="15"/>
        <v>2010-05</v>
      </c>
      <c r="O97">
        <v>6019.9194699999998</v>
      </c>
      <c r="P97">
        <f t="shared" si="22"/>
        <v>-3.1162671153896052E-2</v>
      </c>
      <c r="Q97" t="str">
        <f t="shared" si="16"/>
        <v>2010-05</v>
      </c>
      <c r="S97">
        <v>9376.5</v>
      </c>
      <c r="T97">
        <f t="shared" si="23"/>
        <v>-2.642741450763389E-2</v>
      </c>
      <c r="U97" t="str">
        <f t="shared" si="17"/>
        <v>2010-05</v>
      </c>
      <c r="W97">
        <v>19612.66</v>
      </c>
      <c r="X97">
        <f t="shared" si="24"/>
        <v>-3.5145365073680629E-2</v>
      </c>
      <c r="Y97">
        <f t="shared" si="25"/>
        <v>-3.4534938843302262E-2</v>
      </c>
      <c r="Z97" t="str">
        <f t="shared" si="18"/>
        <v>2010-05</v>
      </c>
    </row>
    <row r="98" spans="1:26" x14ac:dyDescent="0.35">
      <c r="A98" s="1">
        <v>40318</v>
      </c>
      <c r="C98">
        <v>2569.58</v>
      </c>
      <c r="D98">
        <f t="shared" si="19"/>
        <v>-1.9233363364696932E-2</v>
      </c>
      <c r="E98" t="str">
        <f t="shared" si="13"/>
        <v>2010-05</v>
      </c>
      <c r="G98">
        <v>3432.52</v>
      </c>
      <c r="H98">
        <f t="shared" si="20"/>
        <v>-2.2797022504518493E-2</v>
      </c>
      <c r="I98" t="str">
        <f t="shared" si="14"/>
        <v>2010-05</v>
      </c>
      <c r="K98">
        <v>5867.88</v>
      </c>
      <c r="L98">
        <f t="shared" si="21"/>
        <v>-2.0375940571791727E-2</v>
      </c>
      <c r="M98" t="str">
        <f t="shared" si="15"/>
        <v>2010-05</v>
      </c>
      <c r="O98">
        <v>5886.8692600000004</v>
      </c>
      <c r="P98">
        <f t="shared" si="22"/>
        <v>-2.2349560610804526E-2</v>
      </c>
      <c r="Q98" t="str">
        <f t="shared" si="16"/>
        <v>2010-05</v>
      </c>
      <c r="S98">
        <v>9270.5</v>
      </c>
      <c r="T98">
        <f t="shared" si="23"/>
        <v>-1.1369243502068723E-2</v>
      </c>
      <c r="U98" t="str">
        <f t="shared" si="17"/>
        <v>2010-05</v>
      </c>
      <c r="W98">
        <v>19282.05</v>
      </c>
      <c r="X98">
        <f t="shared" si="24"/>
        <v>-1.7000664757504828E-2</v>
      </c>
      <c r="Y98">
        <f t="shared" si="25"/>
        <v>-1.6856968917015876E-2</v>
      </c>
      <c r="Z98" t="str">
        <f t="shared" si="18"/>
        <v>2010-05</v>
      </c>
    </row>
    <row r="99" spans="1:26" x14ac:dyDescent="0.35">
      <c r="A99" s="1">
        <v>40319</v>
      </c>
      <c r="C99">
        <v>2574.1799999999998</v>
      </c>
      <c r="D99">
        <f t="shared" si="19"/>
        <v>1.7885753714340939E-3</v>
      </c>
      <c r="E99" t="str">
        <f t="shared" si="13"/>
        <v>2010-05</v>
      </c>
      <c r="G99">
        <v>3430.74</v>
      </c>
      <c r="H99">
        <f t="shared" si="20"/>
        <v>-5.1870395115732404E-4</v>
      </c>
      <c r="I99" t="str">
        <f t="shared" si="14"/>
        <v>2010-05</v>
      </c>
      <c r="K99">
        <v>5829.25</v>
      </c>
      <c r="L99">
        <f t="shared" si="21"/>
        <v>-6.6050630269174878E-3</v>
      </c>
      <c r="M99" t="str">
        <f t="shared" si="15"/>
        <v>2010-05</v>
      </c>
      <c r="O99">
        <v>5821.3609500000002</v>
      </c>
      <c r="P99">
        <f t="shared" si="22"/>
        <v>-1.1190246930866756E-2</v>
      </c>
      <c r="Q99" t="str">
        <f t="shared" si="16"/>
        <v>2010-05</v>
      </c>
      <c r="S99">
        <v>9407.2999999999993</v>
      </c>
      <c r="T99">
        <f t="shared" si="23"/>
        <v>1.4648668070423754E-2</v>
      </c>
      <c r="U99" t="str">
        <f t="shared" si="17"/>
        <v>2010-05</v>
      </c>
      <c r="W99">
        <v>19535.91</v>
      </c>
      <c r="X99">
        <f t="shared" si="24"/>
        <v>1.3079699147300781E-2</v>
      </c>
      <c r="Y99">
        <f t="shared" si="25"/>
        <v>1.3165612577500867E-2</v>
      </c>
      <c r="Z99" t="str">
        <f t="shared" si="18"/>
        <v>2010-05</v>
      </c>
    </row>
    <row r="100" spans="1:26" x14ac:dyDescent="0.35">
      <c r="A100" s="1">
        <v>40322</v>
      </c>
      <c r="C100">
        <v>2558.27</v>
      </c>
      <c r="D100">
        <f t="shared" si="19"/>
        <v>-6.1997880004735174E-3</v>
      </c>
      <c r="E100" t="str">
        <f t="shared" si="13"/>
        <v>2010-05</v>
      </c>
      <c r="G100">
        <v>3430.93</v>
      </c>
      <c r="H100">
        <f t="shared" si="20"/>
        <v>5.5380104274565967E-5</v>
      </c>
      <c r="I100" t="str">
        <f t="shared" si="14"/>
        <v>2010-05</v>
      </c>
      <c r="K100">
        <v>5805.68</v>
      </c>
      <c r="L100">
        <f t="shared" si="21"/>
        <v>-4.0515984613007615E-3</v>
      </c>
      <c r="M100" t="str">
        <f t="shared" si="15"/>
        <v>2010-05</v>
      </c>
      <c r="O100">
        <v>5898.6182399999998</v>
      </c>
      <c r="P100">
        <f t="shared" si="22"/>
        <v>1.3184052260023013E-2</v>
      </c>
      <c r="Q100" t="str">
        <f t="shared" si="16"/>
        <v>2010-05</v>
      </c>
      <c r="S100">
        <v>9287.9</v>
      </c>
      <c r="T100">
        <f t="shared" si="23"/>
        <v>-1.2773505869098353E-2</v>
      </c>
      <c r="U100" t="str">
        <f t="shared" si="17"/>
        <v>2010-05</v>
      </c>
      <c r="W100">
        <v>19030.490000000002</v>
      </c>
      <c r="X100">
        <f t="shared" si="24"/>
        <v>-2.6211880683910883E-2</v>
      </c>
      <c r="Y100">
        <f t="shared" si="25"/>
        <v>-2.5871331307320635E-2</v>
      </c>
      <c r="Z100" t="str">
        <f t="shared" si="18"/>
        <v>2010-05</v>
      </c>
    </row>
    <row r="101" spans="1:26" x14ac:dyDescent="0.35">
      <c r="A101" s="1">
        <v>40323</v>
      </c>
      <c r="C101">
        <v>2488.5</v>
      </c>
      <c r="D101">
        <f t="shared" si="19"/>
        <v>-2.7651129481926228E-2</v>
      </c>
      <c r="E101" t="str">
        <f t="shared" si="13"/>
        <v>2010-05</v>
      </c>
      <c r="G101">
        <v>3331.29</v>
      </c>
      <c r="H101">
        <f t="shared" si="20"/>
        <v>-2.947174508846848E-2</v>
      </c>
      <c r="I101" t="str">
        <f t="shared" si="14"/>
        <v>2010-05</v>
      </c>
      <c r="K101">
        <v>5670.04</v>
      </c>
      <c r="L101">
        <f t="shared" si="21"/>
        <v>-2.3640576297166673E-2</v>
      </c>
      <c r="M101" t="str">
        <f t="shared" si="15"/>
        <v>2010-05</v>
      </c>
      <c r="O101">
        <v>5773.4421300000004</v>
      </c>
      <c r="P101">
        <f t="shared" si="22"/>
        <v>-2.1449667896353344E-2</v>
      </c>
      <c r="Q101" t="str">
        <f t="shared" si="16"/>
        <v>2010-05</v>
      </c>
      <c r="S101">
        <v>9004.4</v>
      </c>
      <c r="T101">
        <f t="shared" si="23"/>
        <v>-3.0999130999224956E-2</v>
      </c>
      <c r="U101" t="str">
        <f t="shared" si="17"/>
        <v>2010-05</v>
      </c>
      <c r="W101">
        <v>18382.71</v>
      </c>
      <c r="X101">
        <f t="shared" si="24"/>
        <v>-3.4631880862622859E-2</v>
      </c>
      <c r="Y101">
        <f t="shared" si="25"/>
        <v>-3.403906047610978E-2</v>
      </c>
      <c r="Z101" t="str">
        <f t="shared" si="18"/>
        <v>2010-05</v>
      </c>
    </row>
    <row r="102" spans="1:26" x14ac:dyDescent="0.35">
      <c r="A102" s="1">
        <v>40324</v>
      </c>
      <c r="C102">
        <v>2530.34</v>
      </c>
      <c r="D102">
        <f t="shared" si="19"/>
        <v>1.667356174556462E-2</v>
      </c>
      <c r="E102" t="str">
        <f t="shared" si="13"/>
        <v>2010-05</v>
      </c>
      <c r="G102">
        <v>3408.59</v>
      </c>
      <c r="H102">
        <f t="shared" si="20"/>
        <v>2.2939099684282985E-2</v>
      </c>
      <c r="I102" t="str">
        <f t="shared" si="14"/>
        <v>2010-05</v>
      </c>
      <c r="K102">
        <v>5758.02</v>
      </c>
      <c r="L102">
        <f t="shared" si="21"/>
        <v>1.5397493223727604E-2</v>
      </c>
      <c r="M102" t="str">
        <f t="shared" si="15"/>
        <v>2010-05</v>
      </c>
      <c r="O102">
        <v>5941.8121199999996</v>
      </c>
      <c r="P102">
        <f t="shared" si="22"/>
        <v>2.874569858017581E-2</v>
      </c>
      <c r="Q102" t="str">
        <f t="shared" si="16"/>
        <v>2010-05</v>
      </c>
      <c r="S102">
        <v>9042.6</v>
      </c>
      <c r="T102">
        <f t="shared" si="23"/>
        <v>4.2333969136772853E-3</v>
      </c>
      <c r="U102" t="str">
        <f t="shared" si="17"/>
        <v>2010-05</v>
      </c>
      <c r="W102">
        <v>18778.41</v>
      </c>
      <c r="X102">
        <f t="shared" si="24"/>
        <v>2.1297256727534741E-2</v>
      </c>
      <c r="Y102">
        <f t="shared" si="25"/>
        <v>2.1525661885543577E-2</v>
      </c>
      <c r="Z102" t="str">
        <f t="shared" si="18"/>
        <v>2010-05</v>
      </c>
    </row>
    <row r="103" spans="1:26" x14ac:dyDescent="0.35">
      <c r="A103" s="1">
        <v>40325</v>
      </c>
      <c r="C103">
        <v>2619.36</v>
      </c>
      <c r="D103">
        <f t="shared" si="19"/>
        <v>3.4576332061858152E-2</v>
      </c>
      <c r="E103" t="str">
        <f t="shared" si="13"/>
        <v>2010-05</v>
      </c>
      <c r="G103">
        <v>3525.31</v>
      </c>
      <c r="H103">
        <f t="shared" si="20"/>
        <v>3.366965961095976E-2</v>
      </c>
      <c r="I103" t="str">
        <f t="shared" si="14"/>
        <v>2010-05</v>
      </c>
      <c r="K103">
        <v>5937.14</v>
      </c>
      <c r="L103">
        <f t="shared" si="21"/>
        <v>3.0633870331418265E-2</v>
      </c>
      <c r="M103" t="str">
        <f t="shared" si="15"/>
        <v>2010-05</v>
      </c>
      <c r="O103">
        <v>6118.9427400000004</v>
      </c>
      <c r="P103">
        <f t="shared" si="22"/>
        <v>2.9375169141409148E-2</v>
      </c>
      <c r="Q103" t="str">
        <f t="shared" si="16"/>
        <v>2010-05</v>
      </c>
      <c r="S103">
        <v>9334.9</v>
      </c>
      <c r="T103">
        <f t="shared" si="23"/>
        <v>3.1813320891968914E-2</v>
      </c>
      <c r="U103" t="str">
        <f t="shared" si="17"/>
        <v>2010-05</v>
      </c>
      <c r="W103">
        <v>19631.87</v>
      </c>
      <c r="X103">
        <f t="shared" si="24"/>
        <v>4.4446460445608876E-2</v>
      </c>
      <c r="Y103">
        <f t="shared" si="25"/>
        <v>4.5449002338323594E-2</v>
      </c>
      <c r="Z103" t="str">
        <f t="shared" si="18"/>
        <v>2010-05</v>
      </c>
    </row>
    <row r="104" spans="1:26" x14ac:dyDescent="0.35">
      <c r="A104" s="1">
        <v>40326</v>
      </c>
      <c r="C104">
        <v>2614.06</v>
      </c>
      <c r="D104">
        <f t="shared" si="19"/>
        <v>-2.0254448570553541E-3</v>
      </c>
      <c r="E104" t="str">
        <f t="shared" si="13"/>
        <v>2010-05</v>
      </c>
      <c r="G104">
        <v>3515.06</v>
      </c>
      <c r="H104">
        <f t="shared" si="20"/>
        <v>-2.9117808416385836E-3</v>
      </c>
      <c r="I104" t="str">
        <f t="shared" si="14"/>
        <v>2010-05</v>
      </c>
      <c r="K104">
        <v>5946.18</v>
      </c>
      <c r="L104">
        <f t="shared" si="21"/>
        <v>1.521460626129339E-3</v>
      </c>
      <c r="M104" t="str">
        <f t="shared" si="15"/>
        <v>2010-05</v>
      </c>
      <c r="O104">
        <v>6099.7516699999996</v>
      </c>
      <c r="P104">
        <f t="shared" si="22"/>
        <v>-3.1412661838950457E-3</v>
      </c>
      <c r="Q104" t="str">
        <f t="shared" si="16"/>
        <v>2010-05</v>
      </c>
      <c r="S104">
        <v>9425.5</v>
      </c>
      <c r="T104">
        <f t="shared" si="23"/>
        <v>9.6587177613123576E-3</v>
      </c>
      <c r="U104" t="str">
        <f t="shared" si="17"/>
        <v>2010-05</v>
      </c>
      <c r="W104">
        <v>19475.88</v>
      </c>
      <c r="X104">
        <f t="shared" si="24"/>
        <v>-7.9774892327190792E-3</v>
      </c>
      <c r="Y104">
        <f t="shared" si="25"/>
        <v>-7.9457535120188733E-3</v>
      </c>
      <c r="Z104" t="str">
        <f t="shared" si="18"/>
        <v>2010-05</v>
      </c>
    </row>
    <row r="105" spans="1:26" x14ac:dyDescent="0.35">
      <c r="A105" s="1">
        <v>40330</v>
      </c>
      <c r="C105">
        <v>2606.58</v>
      </c>
      <c r="D105">
        <f t="shared" si="19"/>
        <v>-2.8655510123003426E-3</v>
      </c>
      <c r="E105" t="str">
        <f t="shared" si="13"/>
        <v>2010-06</v>
      </c>
      <c r="G105">
        <v>3503.08</v>
      </c>
      <c r="H105">
        <f t="shared" si="20"/>
        <v>-3.4140132958472708E-3</v>
      </c>
      <c r="I105" t="str">
        <f t="shared" si="14"/>
        <v>2010-06</v>
      </c>
      <c r="K105">
        <v>5981.27</v>
      </c>
      <c r="L105">
        <f t="shared" si="21"/>
        <v>5.8839234264178655E-3</v>
      </c>
      <c r="M105" t="str">
        <f t="shared" si="15"/>
        <v>2010-06</v>
      </c>
      <c r="O105">
        <v>6170.6398099999997</v>
      </c>
      <c r="P105">
        <f t="shared" si="22"/>
        <v>1.1554468947193785E-2</v>
      </c>
      <c r="Q105" t="str">
        <f t="shared" si="16"/>
        <v>2010-06</v>
      </c>
      <c r="S105">
        <v>9299.7000000000007</v>
      </c>
      <c r="T105">
        <f t="shared" si="23"/>
        <v>-1.3436640750438192E-2</v>
      </c>
      <c r="U105" t="str">
        <f t="shared" si="17"/>
        <v>2010-06</v>
      </c>
      <c r="W105">
        <v>19279.18</v>
      </c>
      <c r="X105">
        <f t="shared" si="24"/>
        <v>-1.0151019714427331E-2</v>
      </c>
      <c r="Y105">
        <f t="shared" si="25"/>
        <v>-1.0099672004551308E-2</v>
      </c>
      <c r="Z105" t="str">
        <f t="shared" si="18"/>
        <v>2010-06</v>
      </c>
    </row>
    <row r="106" spans="1:26" x14ac:dyDescent="0.35">
      <c r="A106" s="1">
        <v>40331</v>
      </c>
      <c r="C106">
        <v>2601.98</v>
      </c>
      <c r="D106">
        <f t="shared" si="19"/>
        <v>-1.766323588846536E-3</v>
      </c>
      <c r="E106" t="str">
        <f t="shared" si="13"/>
        <v>2010-06</v>
      </c>
      <c r="G106">
        <v>3501.5</v>
      </c>
      <c r="H106">
        <f t="shared" si="20"/>
        <v>-4.5113340894014807E-4</v>
      </c>
      <c r="I106" t="str">
        <f t="shared" si="14"/>
        <v>2010-06</v>
      </c>
      <c r="K106">
        <v>5981.2</v>
      </c>
      <c r="L106">
        <f t="shared" si="21"/>
        <v>-1.1703268639624324E-5</v>
      </c>
      <c r="M106" t="str">
        <f t="shared" si="15"/>
        <v>2010-06</v>
      </c>
      <c r="O106">
        <v>6161.7453699999996</v>
      </c>
      <c r="P106">
        <f t="shared" si="22"/>
        <v>-1.4424527635779811E-3</v>
      </c>
      <c r="Q106" t="str">
        <f t="shared" si="16"/>
        <v>2010-06</v>
      </c>
      <c r="S106">
        <v>9268</v>
      </c>
      <c r="T106">
        <f t="shared" si="23"/>
        <v>-3.4145350042618871E-3</v>
      </c>
      <c r="U106" t="str">
        <f t="shared" si="17"/>
        <v>2010-06</v>
      </c>
      <c r="W106">
        <v>19183.13</v>
      </c>
      <c r="X106">
        <f t="shared" si="24"/>
        <v>-4.9945101927009209E-3</v>
      </c>
      <c r="Y106">
        <f t="shared" si="25"/>
        <v>-4.9820583655528538E-3</v>
      </c>
      <c r="Z106" t="str">
        <f t="shared" si="18"/>
        <v>2010-06</v>
      </c>
    </row>
    <row r="107" spans="1:26" x14ac:dyDescent="0.35">
      <c r="A107" s="1">
        <v>40332</v>
      </c>
      <c r="C107">
        <v>2634.16</v>
      </c>
      <c r="D107">
        <f t="shared" si="19"/>
        <v>1.2291651925961636E-2</v>
      </c>
      <c r="E107" t="str">
        <f t="shared" si="13"/>
        <v>2010-06</v>
      </c>
      <c r="G107">
        <v>3557.34</v>
      </c>
      <c r="H107">
        <f t="shared" si="20"/>
        <v>1.5821626452935264E-2</v>
      </c>
      <c r="I107" t="str">
        <f t="shared" si="14"/>
        <v>2010-06</v>
      </c>
      <c r="K107">
        <v>6054.63</v>
      </c>
      <c r="L107">
        <f t="shared" si="21"/>
        <v>1.2202051886890181E-2</v>
      </c>
      <c r="M107" t="str">
        <f t="shared" si="15"/>
        <v>2010-06</v>
      </c>
      <c r="O107">
        <v>6249.0505199999998</v>
      </c>
      <c r="P107">
        <f t="shared" si="22"/>
        <v>1.4069458709636279E-2</v>
      </c>
      <c r="Q107" t="str">
        <f t="shared" si="16"/>
        <v>2010-06</v>
      </c>
      <c r="S107">
        <v>9276.2000000000007</v>
      </c>
      <c r="T107">
        <f t="shared" si="23"/>
        <v>8.8437360840013142E-4</v>
      </c>
      <c r="U107" t="str">
        <f t="shared" si="17"/>
        <v>2010-06</v>
      </c>
      <c r="W107">
        <v>19473.349999999999</v>
      </c>
      <c r="X107">
        <f t="shared" si="24"/>
        <v>1.5015617197502969E-2</v>
      </c>
      <c r="Y107">
        <f t="shared" si="25"/>
        <v>1.5128917960728907E-2</v>
      </c>
      <c r="Z107" t="str">
        <f t="shared" si="18"/>
        <v>2010-06</v>
      </c>
    </row>
    <row r="108" spans="1:26" x14ac:dyDescent="0.35">
      <c r="A108" s="1">
        <v>40333</v>
      </c>
      <c r="C108">
        <v>2553.59</v>
      </c>
      <c r="D108">
        <f t="shared" si="19"/>
        <v>-3.1064133366069311E-2</v>
      </c>
      <c r="E108" t="str">
        <f t="shared" si="13"/>
        <v>2010-06</v>
      </c>
      <c r="G108">
        <v>3455.61</v>
      </c>
      <c r="H108">
        <f t="shared" si="20"/>
        <v>-2.9014077214510572E-2</v>
      </c>
      <c r="I108" t="str">
        <f t="shared" si="14"/>
        <v>2010-06</v>
      </c>
      <c r="K108">
        <v>5938.88</v>
      </c>
      <c r="L108">
        <f t="shared" si="21"/>
        <v>-1.9302705206639001E-2</v>
      </c>
      <c r="M108" t="str">
        <f t="shared" si="15"/>
        <v>2010-06</v>
      </c>
      <c r="O108">
        <v>6184.0370999999996</v>
      </c>
      <c r="P108">
        <f t="shared" si="22"/>
        <v>-1.0458224787490079E-2</v>
      </c>
      <c r="Q108" t="str">
        <f t="shared" si="16"/>
        <v>2010-06</v>
      </c>
      <c r="S108">
        <v>8923.4</v>
      </c>
      <c r="T108">
        <f t="shared" si="23"/>
        <v>-3.8774940292604254E-2</v>
      </c>
      <c r="U108" t="str">
        <f t="shared" si="17"/>
        <v>2010-06</v>
      </c>
      <c r="W108">
        <v>18734.73</v>
      </c>
      <c r="X108">
        <f t="shared" si="24"/>
        <v>-3.8667843549815686E-2</v>
      </c>
      <c r="Y108">
        <f t="shared" si="25"/>
        <v>-3.7929786092274778E-2</v>
      </c>
      <c r="Z108" t="str">
        <f t="shared" si="18"/>
        <v>2010-06</v>
      </c>
    </row>
    <row r="109" spans="1:26" x14ac:dyDescent="0.35">
      <c r="A109" s="1">
        <v>40336</v>
      </c>
      <c r="C109">
        <v>2529.9699999999998</v>
      </c>
      <c r="D109">
        <f t="shared" si="19"/>
        <v>-9.2927672639689894E-3</v>
      </c>
      <c r="E109" t="str">
        <f t="shared" si="13"/>
        <v>2010-06</v>
      </c>
      <c r="G109">
        <v>3413.72</v>
      </c>
      <c r="H109">
        <f t="shared" si="20"/>
        <v>-1.2196391574444444E-2</v>
      </c>
      <c r="I109" t="str">
        <f t="shared" si="14"/>
        <v>2010-06</v>
      </c>
      <c r="K109">
        <v>5904.95</v>
      </c>
      <c r="L109">
        <f t="shared" si="21"/>
        <v>-5.7295811948337811E-3</v>
      </c>
      <c r="M109" t="str">
        <f t="shared" si="15"/>
        <v>2010-06</v>
      </c>
      <c r="O109">
        <v>6142.92713</v>
      </c>
      <c r="P109">
        <f t="shared" si="22"/>
        <v>-6.669950791133728E-3</v>
      </c>
      <c r="Q109" t="str">
        <f t="shared" si="16"/>
        <v>2010-06</v>
      </c>
      <c r="S109">
        <v>8795.2999999999993</v>
      </c>
      <c r="T109">
        <f t="shared" si="23"/>
        <v>-1.4459551988209553E-2</v>
      </c>
      <c r="U109" t="str">
        <f t="shared" si="17"/>
        <v>2010-06</v>
      </c>
      <c r="W109">
        <v>18631.18</v>
      </c>
      <c r="X109">
        <f t="shared" si="24"/>
        <v>-5.5424993038741162E-3</v>
      </c>
      <c r="Y109">
        <f t="shared" si="25"/>
        <v>-5.5271679922795401E-3</v>
      </c>
      <c r="Z109" t="str">
        <f t="shared" si="18"/>
        <v>2010-06</v>
      </c>
    </row>
    <row r="110" spans="1:26" x14ac:dyDescent="0.35">
      <c r="A110" s="1">
        <v>40337</v>
      </c>
      <c r="C110">
        <v>2510.84</v>
      </c>
      <c r="D110">
        <f t="shared" si="19"/>
        <v>-7.5900864499619282E-3</v>
      </c>
      <c r="E110" t="str">
        <f t="shared" si="13"/>
        <v>2010-06</v>
      </c>
      <c r="G110">
        <v>3380.36</v>
      </c>
      <c r="H110">
        <f t="shared" si="20"/>
        <v>-9.8203930784161991E-3</v>
      </c>
      <c r="I110" t="str">
        <f t="shared" si="14"/>
        <v>2010-06</v>
      </c>
      <c r="K110">
        <v>5868.55</v>
      </c>
      <c r="L110">
        <f t="shared" si="21"/>
        <v>-6.1833976264703428E-3</v>
      </c>
      <c r="M110" t="str">
        <f t="shared" si="15"/>
        <v>2010-06</v>
      </c>
      <c r="O110">
        <v>6059.2315399999998</v>
      </c>
      <c r="P110">
        <f t="shared" si="22"/>
        <v>-1.3718376369683309E-2</v>
      </c>
      <c r="Q110" t="str">
        <f t="shared" si="16"/>
        <v>2010-06</v>
      </c>
      <c r="S110">
        <v>8669.7999999999993</v>
      </c>
      <c r="T110">
        <f t="shared" si="23"/>
        <v>-1.4371765422087018E-2</v>
      </c>
      <c r="U110" t="str">
        <f t="shared" si="17"/>
        <v>2010-06</v>
      </c>
      <c r="W110">
        <v>18542.8</v>
      </c>
      <c r="X110">
        <f t="shared" si="24"/>
        <v>-4.7549477628767841E-3</v>
      </c>
      <c r="Y110">
        <f t="shared" si="25"/>
        <v>-4.7436608953378701E-3</v>
      </c>
      <c r="Z110" t="str">
        <f t="shared" si="18"/>
        <v>2010-06</v>
      </c>
    </row>
    <row r="111" spans="1:26" x14ac:dyDescent="0.35">
      <c r="A111" s="1">
        <v>40338</v>
      </c>
      <c r="C111">
        <v>2556.6799999999998</v>
      </c>
      <c r="D111">
        <f t="shared" si="19"/>
        <v>1.8092183309661766E-2</v>
      </c>
      <c r="E111" t="str">
        <f t="shared" si="13"/>
        <v>2010-06</v>
      </c>
      <c r="G111">
        <v>3446.77</v>
      </c>
      <c r="H111">
        <f t="shared" si="20"/>
        <v>1.945534792140325E-2</v>
      </c>
      <c r="I111" t="str">
        <f t="shared" si="14"/>
        <v>2010-06</v>
      </c>
      <c r="K111">
        <v>5984.75</v>
      </c>
      <c r="L111">
        <f t="shared" si="21"/>
        <v>1.9606982456598879E-2</v>
      </c>
      <c r="M111" t="str">
        <f t="shared" si="15"/>
        <v>2010-06</v>
      </c>
      <c r="O111">
        <v>6158.8369499999999</v>
      </c>
      <c r="P111">
        <f t="shared" si="22"/>
        <v>1.6304969441518227E-2</v>
      </c>
      <c r="Q111" t="str">
        <f t="shared" si="16"/>
        <v>2010-06</v>
      </c>
      <c r="S111">
        <v>8868.7000000000007</v>
      </c>
      <c r="T111">
        <f t="shared" si="23"/>
        <v>2.2682501661614698E-2</v>
      </c>
      <c r="U111" t="str">
        <f t="shared" si="17"/>
        <v>2010-06</v>
      </c>
      <c r="W111">
        <v>18912.91</v>
      </c>
      <c r="X111">
        <f t="shared" si="24"/>
        <v>1.9763184117536605E-2</v>
      </c>
      <c r="Y111">
        <f t="shared" si="25"/>
        <v>1.9959768751213441E-2</v>
      </c>
      <c r="Z111" t="str">
        <f t="shared" si="18"/>
        <v>2010-06</v>
      </c>
    </row>
    <row r="112" spans="1:26" x14ac:dyDescent="0.35">
      <c r="A112" s="1">
        <v>40339</v>
      </c>
      <c r="C112">
        <v>2608.7399999999998</v>
      </c>
      <c r="D112">
        <f t="shared" si="19"/>
        <v>2.0157804327137041E-2</v>
      </c>
      <c r="E112" t="str">
        <f t="shared" si="13"/>
        <v>2010-06</v>
      </c>
      <c r="G112">
        <v>3516.64</v>
      </c>
      <c r="H112">
        <f t="shared" si="20"/>
        <v>2.0068427666423749E-2</v>
      </c>
      <c r="I112" t="str">
        <f t="shared" si="14"/>
        <v>2010-06</v>
      </c>
      <c r="K112">
        <v>6056.59</v>
      </c>
      <c r="L112">
        <f t="shared" si="21"/>
        <v>1.1932368388908769E-2</v>
      </c>
      <c r="M112" t="str">
        <f t="shared" si="15"/>
        <v>2010-06</v>
      </c>
      <c r="O112">
        <v>6225.43408</v>
      </c>
      <c r="P112">
        <f t="shared" si="22"/>
        <v>1.0755218745539722E-2</v>
      </c>
      <c r="Q112" t="str">
        <f t="shared" si="16"/>
        <v>2010-06</v>
      </c>
      <c r="S112">
        <v>9198.2000000000007</v>
      </c>
      <c r="T112">
        <f t="shared" si="23"/>
        <v>3.6479588601454331E-2</v>
      </c>
      <c r="U112" t="str">
        <f t="shared" si="17"/>
        <v>2010-06</v>
      </c>
      <c r="W112">
        <v>19391.09</v>
      </c>
      <c r="X112">
        <f t="shared" si="24"/>
        <v>2.496892455479546E-2</v>
      </c>
      <c r="Y112">
        <f t="shared" si="25"/>
        <v>2.5283258895643257E-2</v>
      </c>
      <c r="Z112" t="str">
        <f t="shared" si="18"/>
        <v>2010-06</v>
      </c>
    </row>
    <row r="113" spans="1:26" x14ac:dyDescent="0.35">
      <c r="A113" s="1">
        <v>40340</v>
      </c>
      <c r="C113">
        <v>2638.31</v>
      </c>
      <c r="D113">
        <f t="shared" si="19"/>
        <v>1.1271214510154061E-2</v>
      </c>
      <c r="E113" t="str">
        <f t="shared" si="13"/>
        <v>2010-06</v>
      </c>
      <c r="G113">
        <v>3555.52</v>
      </c>
      <c r="H113">
        <f t="shared" si="20"/>
        <v>1.0995337126680223E-2</v>
      </c>
      <c r="I113" t="str">
        <f t="shared" si="14"/>
        <v>2010-06</v>
      </c>
      <c r="K113">
        <v>6047.83</v>
      </c>
      <c r="L113">
        <f t="shared" si="21"/>
        <v>-1.4474054154329642E-3</v>
      </c>
      <c r="M113" t="str">
        <f t="shared" si="15"/>
        <v>2010-06</v>
      </c>
      <c r="O113">
        <v>6214.7399800000003</v>
      </c>
      <c r="P113">
        <f t="shared" si="22"/>
        <v>-1.7192850490164865E-3</v>
      </c>
      <c r="Q113" t="str">
        <f t="shared" si="16"/>
        <v>2010-06</v>
      </c>
      <c r="S113">
        <v>9561.7000000000007</v>
      </c>
      <c r="T113">
        <f t="shared" si="23"/>
        <v>3.8757722783533108E-2</v>
      </c>
      <c r="U113" t="str">
        <f t="shared" si="17"/>
        <v>2010-06</v>
      </c>
      <c r="W113">
        <v>19660.27</v>
      </c>
      <c r="X113">
        <f t="shared" si="24"/>
        <v>1.3786165875528559E-2</v>
      </c>
      <c r="Y113">
        <f t="shared" si="25"/>
        <v>1.3881633265587457E-2</v>
      </c>
      <c r="Z113" t="str">
        <f t="shared" si="18"/>
        <v>2010-06</v>
      </c>
    </row>
    <row r="114" spans="1:26" x14ac:dyDescent="0.35">
      <c r="A114" s="1">
        <v>40343</v>
      </c>
      <c r="C114">
        <v>2683.46</v>
      </c>
      <c r="D114">
        <f t="shared" si="19"/>
        <v>1.6968445958580314E-2</v>
      </c>
      <c r="E114" t="str">
        <f t="shared" si="13"/>
        <v>2010-06</v>
      </c>
      <c r="G114">
        <v>3626.04</v>
      </c>
      <c r="H114">
        <f t="shared" si="20"/>
        <v>1.9639818297909447E-2</v>
      </c>
      <c r="I114" t="str">
        <f t="shared" si="14"/>
        <v>2010-06</v>
      </c>
      <c r="K114">
        <v>6125</v>
      </c>
      <c r="L114">
        <f t="shared" si="21"/>
        <v>1.2679226414217549E-2</v>
      </c>
      <c r="M114" t="str">
        <f t="shared" si="15"/>
        <v>2010-06</v>
      </c>
      <c r="O114">
        <v>6259.3699399999996</v>
      </c>
      <c r="P114">
        <f t="shared" si="22"/>
        <v>7.1556448867816456E-3</v>
      </c>
      <c r="Q114" t="str">
        <f t="shared" si="16"/>
        <v>2010-06</v>
      </c>
      <c r="S114">
        <v>9584</v>
      </c>
      <c r="T114">
        <f t="shared" si="23"/>
        <v>2.3295058508621957E-3</v>
      </c>
      <c r="U114" t="str">
        <f t="shared" si="17"/>
        <v>2010-06</v>
      </c>
      <c r="W114">
        <v>20188.54</v>
      </c>
      <c r="X114">
        <f t="shared" si="24"/>
        <v>2.6515268590092688E-2</v>
      </c>
      <c r="Y114">
        <f t="shared" si="25"/>
        <v>2.6869925997964443E-2</v>
      </c>
      <c r="Z114" t="str">
        <f t="shared" si="18"/>
        <v>2010-06</v>
      </c>
    </row>
    <row r="115" spans="1:26" x14ac:dyDescent="0.35">
      <c r="A115" s="1">
        <v>40344</v>
      </c>
      <c r="C115">
        <v>2716.3</v>
      </c>
      <c r="D115">
        <f t="shared" si="19"/>
        <v>1.2163653533142313E-2</v>
      </c>
      <c r="E115" t="str">
        <f t="shared" si="13"/>
        <v>2010-06</v>
      </c>
      <c r="G115">
        <v>3661.51</v>
      </c>
      <c r="H115">
        <f t="shared" si="20"/>
        <v>9.7344869249669837E-3</v>
      </c>
      <c r="I115" t="str">
        <f t="shared" si="14"/>
        <v>2010-06</v>
      </c>
      <c r="K115">
        <v>6175.05</v>
      </c>
      <c r="L115">
        <f t="shared" si="21"/>
        <v>8.1382232164601675E-3</v>
      </c>
      <c r="M115" t="str">
        <f t="shared" si="15"/>
        <v>2010-06</v>
      </c>
      <c r="O115">
        <v>6268.9160099999999</v>
      </c>
      <c r="P115">
        <f t="shared" si="22"/>
        <v>1.5239230467016019E-3</v>
      </c>
      <c r="Q115" t="str">
        <f t="shared" si="16"/>
        <v>2010-06</v>
      </c>
      <c r="S115">
        <v>9742</v>
      </c>
      <c r="T115">
        <f t="shared" si="23"/>
        <v>1.6351394011257372E-2</v>
      </c>
      <c r="U115" t="str">
        <f t="shared" si="17"/>
        <v>2010-06</v>
      </c>
      <c r="W115">
        <v>20582.72</v>
      </c>
      <c r="X115">
        <f t="shared" si="24"/>
        <v>1.9336772141387688E-2</v>
      </c>
      <c r="Y115">
        <f t="shared" si="25"/>
        <v>1.9524938405649953E-2</v>
      </c>
      <c r="Z115" t="str">
        <f t="shared" si="18"/>
        <v>2010-06</v>
      </c>
    </row>
    <row r="116" spans="1:26" x14ac:dyDescent="0.35">
      <c r="A116" s="1">
        <v>40345</v>
      </c>
      <c r="C116">
        <v>2718.73</v>
      </c>
      <c r="D116">
        <f t="shared" si="19"/>
        <v>8.9419935563086713E-4</v>
      </c>
      <c r="E116" t="str">
        <f t="shared" si="13"/>
        <v>2010-06</v>
      </c>
      <c r="G116">
        <v>3675.93</v>
      </c>
      <c r="H116">
        <f t="shared" si="20"/>
        <v>3.9305312383158897E-3</v>
      </c>
      <c r="I116" t="str">
        <f t="shared" si="14"/>
        <v>2010-06</v>
      </c>
      <c r="K116">
        <v>6190.91</v>
      </c>
      <c r="L116">
        <f t="shared" si="21"/>
        <v>2.5651075527125321E-3</v>
      </c>
      <c r="M116" t="str">
        <f t="shared" si="15"/>
        <v>2010-06</v>
      </c>
      <c r="O116">
        <v>6306.8572199999999</v>
      </c>
      <c r="P116">
        <f t="shared" si="22"/>
        <v>6.0340345559069608E-3</v>
      </c>
      <c r="Q116" t="str">
        <f t="shared" si="16"/>
        <v>2010-06</v>
      </c>
      <c r="S116">
        <v>9683.2999999999993</v>
      </c>
      <c r="T116">
        <f t="shared" si="23"/>
        <v>-6.0436831012570837E-3</v>
      </c>
      <c r="U116" t="str">
        <f t="shared" si="17"/>
        <v>2010-06</v>
      </c>
      <c r="W116">
        <v>20562.63</v>
      </c>
      <c r="X116">
        <f t="shared" si="24"/>
        <v>-9.7653813111467402E-4</v>
      </c>
      <c r="Y116">
        <f t="shared" si="25"/>
        <v>-9.7606147292486828E-4</v>
      </c>
      <c r="Z116" t="str">
        <f t="shared" si="18"/>
        <v>2010-06</v>
      </c>
    </row>
    <row r="117" spans="1:26" x14ac:dyDescent="0.35">
      <c r="A117" s="1">
        <v>40346</v>
      </c>
      <c r="C117">
        <v>2728.12</v>
      </c>
      <c r="D117">
        <f t="shared" si="19"/>
        <v>3.4478677775945858E-3</v>
      </c>
      <c r="E117" t="str">
        <f t="shared" si="13"/>
        <v>2010-06</v>
      </c>
      <c r="G117">
        <v>3683.08</v>
      </c>
      <c r="H117">
        <f t="shared" si="20"/>
        <v>1.9431967750755828E-3</v>
      </c>
      <c r="I117" t="str">
        <f t="shared" si="14"/>
        <v>2010-06</v>
      </c>
      <c r="K117">
        <v>6223.54</v>
      </c>
      <c r="L117">
        <f t="shared" si="21"/>
        <v>5.2567894898236014E-3</v>
      </c>
      <c r="M117" t="str">
        <f t="shared" si="15"/>
        <v>2010-06</v>
      </c>
      <c r="O117">
        <v>6295.7342600000002</v>
      </c>
      <c r="P117">
        <f t="shared" si="22"/>
        <v>-1.7651866135319372E-3</v>
      </c>
      <c r="Q117" t="str">
        <f t="shared" si="16"/>
        <v>2010-06</v>
      </c>
      <c r="S117">
        <v>9755.1</v>
      </c>
      <c r="T117">
        <f t="shared" si="23"/>
        <v>7.3874728926927539E-3</v>
      </c>
      <c r="U117" t="str">
        <f t="shared" si="17"/>
        <v>2010-06</v>
      </c>
      <c r="W117">
        <v>20568.91</v>
      </c>
      <c r="X117">
        <f t="shared" si="24"/>
        <v>3.0536177584396707E-4</v>
      </c>
      <c r="Y117">
        <f t="shared" si="25"/>
        <v>3.0540840349696686E-4</v>
      </c>
      <c r="Z117" t="str">
        <f t="shared" si="18"/>
        <v>2010-06</v>
      </c>
    </row>
    <row r="118" spans="1:26" x14ac:dyDescent="0.35">
      <c r="A118" s="1">
        <v>40347</v>
      </c>
      <c r="C118">
        <v>2737.02</v>
      </c>
      <c r="D118">
        <f t="shared" si="19"/>
        <v>3.2570100190237191E-3</v>
      </c>
      <c r="E118" t="str">
        <f t="shared" si="13"/>
        <v>2010-06</v>
      </c>
      <c r="G118">
        <v>3687.21</v>
      </c>
      <c r="H118">
        <f t="shared" si="20"/>
        <v>1.1207158557601047E-3</v>
      </c>
      <c r="I118" t="str">
        <f t="shared" si="14"/>
        <v>2010-06</v>
      </c>
      <c r="K118">
        <v>6216.98</v>
      </c>
      <c r="L118">
        <f t="shared" si="21"/>
        <v>-1.0546183934456474E-3</v>
      </c>
      <c r="M118" t="str">
        <f t="shared" si="15"/>
        <v>2010-06</v>
      </c>
      <c r="O118">
        <v>6288.1793200000002</v>
      </c>
      <c r="P118">
        <f t="shared" si="22"/>
        <v>-1.200729941391746E-3</v>
      </c>
      <c r="Q118" t="str">
        <f t="shared" si="16"/>
        <v>2010-06</v>
      </c>
      <c r="S118">
        <v>9971.7999999999993</v>
      </c>
      <c r="T118">
        <f t="shared" si="23"/>
        <v>2.1970884127157059E-2</v>
      </c>
      <c r="U118" t="str">
        <f t="shared" si="17"/>
        <v>2010-06</v>
      </c>
      <c r="W118">
        <v>20752.310000000001</v>
      </c>
      <c r="X118">
        <f t="shared" si="24"/>
        <v>8.8768533118112371E-3</v>
      </c>
      <c r="Y118">
        <f t="shared" si="25"/>
        <v>8.9163694138387241E-3</v>
      </c>
      <c r="Z118" t="str">
        <f t="shared" si="18"/>
        <v>2010-06</v>
      </c>
    </row>
    <row r="119" spans="1:26" x14ac:dyDescent="0.35">
      <c r="A119" s="1">
        <v>40350</v>
      </c>
      <c r="C119">
        <v>2768.27</v>
      </c>
      <c r="D119">
        <f t="shared" si="19"/>
        <v>1.1352839048402327E-2</v>
      </c>
      <c r="E119" t="str">
        <f t="shared" si="13"/>
        <v>2010-06</v>
      </c>
      <c r="G119">
        <v>3736.15</v>
      </c>
      <c r="H119">
        <f t="shared" si="20"/>
        <v>1.3185594948009685E-2</v>
      </c>
      <c r="I119" t="str">
        <f t="shared" si="14"/>
        <v>2010-06</v>
      </c>
      <c r="K119">
        <v>6292.97</v>
      </c>
      <c r="L119">
        <f t="shared" si="21"/>
        <v>1.2148879035439356E-2</v>
      </c>
      <c r="M119" t="str">
        <f t="shared" si="15"/>
        <v>2010-06</v>
      </c>
      <c r="O119">
        <v>6352.9224800000002</v>
      </c>
      <c r="P119">
        <f t="shared" si="22"/>
        <v>1.0243367568724959E-2</v>
      </c>
      <c r="Q119" t="str">
        <f t="shared" si="16"/>
        <v>2010-06</v>
      </c>
      <c r="S119">
        <v>10071.9</v>
      </c>
      <c r="T119">
        <f t="shared" si="23"/>
        <v>9.9882588751200874E-3</v>
      </c>
      <c r="U119" t="str">
        <f t="shared" si="17"/>
        <v>2010-06</v>
      </c>
      <c r="W119">
        <v>20810.439999999999</v>
      </c>
      <c r="X119">
        <f t="shared" si="24"/>
        <v>2.7972180812303924E-3</v>
      </c>
      <c r="Y119">
        <f t="shared" si="25"/>
        <v>2.8011339460521445E-3</v>
      </c>
      <c r="Z119" t="str">
        <f t="shared" si="18"/>
        <v>2010-06</v>
      </c>
    </row>
    <row r="120" spans="1:26" x14ac:dyDescent="0.35">
      <c r="A120" s="1">
        <v>40351</v>
      </c>
      <c r="C120">
        <v>2745.97</v>
      </c>
      <c r="D120">
        <f t="shared" si="19"/>
        <v>-8.0881940466713213E-3</v>
      </c>
      <c r="E120" t="str">
        <f t="shared" si="13"/>
        <v>2010-06</v>
      </c>
      <c r="G120">
        <v>3705.32</v>
      </c>
      <c r="H120">
        <f t="shared" si="20"/>
        <v>-8.2860446645678393E-3</v>
      </c>
      <c r="I120" t="str">
        <f t="shared" si="14"/>
        <v>2010-06</v>
      </c>
      <c r="K120">
        <v>6269.04</v>
      </c>
      <c r="L120">
        <f t="shared" si="21"/>
        <v>-3.8099044573383237E-3</v>
      </c>
      <c r="M120" t="str">
        <f t="shared" si="15"/>
        <v>2010-06</v>
      </c>
      <c r="O120">
        <v>6329.4600700000001</v>
      </c>
      <c r="P120">
        <f t="shared" si="22"/>
        <v>-3.7000045810413984E-3</v>
      </c>
      <c r="Q120" t="str">
        <f t="shared" si="16"/>
        <v>2010-06</v>
      </c>
      <c r="S120">
        <v>10016.1</v>
      </c>
      <c r="T120">
        <f t="shared" si="23"/>
        <v>-5.555569844601994E-3</v>
      </c>
      <c r="U120" t="str">
        <f t="shared" si="17"/>
        <v>2010-06</v>
      </c>
      <c r="W120">
        <v>20609.03</v>
      </c>
      <c r="X120">
        <f t="shared" si="24"/>
        <v>-9.7254545999240875E-3</v>
      </c>
      <c r="Y120">
        <f t="shared" si="25"/>
        <v>-9.6783153071246866E-3</v>
      </c>
      <c r="Z120" t="str">
        <f t="shared" si="18"/>
        <v>2010-06</v>
      </c>
    </row>
    <row r="121" spans="1:26" x14ac:dyDescent="0.35">
      <c r="A121" s="1">
        <v>40352</v>
      </c>
      <c r="C121">
        <v>2704.8</v>
      </c>
      <c r="D121">
        <f t="shared" si="19"/>
        <v>-1.5106409892770284E-2</v>
      </c>
      <c r="E121" t="str">
        <f t="shared" si="13"/>
        <v>2010-06</v>
      </c>
      <c r="G121">
        <v>3641.79</v>
      </c>
      <c r="H121">
        <f t="shared" si="20"/>
        <v>-1.7294305772027882E-2</v>
      </c>
      <c r="I121" t="str">
        <f t="shared" si="14"/>
        <v>2010-06</v>
      </c>
      <c r="K121">
        <v>6204.52</v>
      </c>
      <c r="L121">
        <f t="shared" si="21"/>
        <v>-1.0345174180261896E-2</v>
      </c>
      <c r="M121" t="str">
        <f t="shared" si="15"/>
        <v>2010-06</v>
      </c>
      <c r="O121">
        <v>6294.5111299999999</v>
      </c>
      <c r="P121">
        <f t="shared" si="22"/>
        <v>-5.5369310867127717E-3</v>
      </c>
      <c r="Q121" t="str">
        <f t="shared" si="16"/>
        <v>2010-06</v>
      </c>
      <c r="S121">
        <v>9886</v>
      </c>
      <c r="T121">
        <f t="shared" si="23"/>
        <v>-1.3074183448694283E-2</v>
      </c>
      <c r="U121" t="str">
        <f t="shared" si="17"/>
        <v>2010-06</v>
      </c>
      <c r="W121">
        <v>20358.919999999998</v>
      </c>
      <c r="X121">
        <f t="shared" si="24"/>
        <v>-1.2210184174281354E-2</v>
      </c>
      <c r="Y121">
        <f t="shared" si="25"/>
        <v>-1.213594235148382E-2</v>
      </c>
      <c r="Z121" t="str">
        <f t="shared" si="18"/>
        <v>2010-06</v>
      </c>
    </row>
    <row r="122" spans="1:26" x14ac:dyDescent="0.35">
      <c r="A122" s="1">
        <v>40353</v>
      </c>
      <c r="C122">
        <v>2645.32</v>
      </c>
      <c r="D122">
        <f t="shared" si="19"/>
        <v>-2.2235931432360335E-2</v>
      </c>
      <c r="E122" t="str">
        <f t="shared" si="13"/>
        <v>2010-06</v>
      </c>
      <c r="G122">
        <v>3555.36</v>
      </c>
      <c r="H122">
        <f t="shared" si="20"/>
        <v>-2.4018995065997053E-2</v>
      </c>
      <c r="I122" t="str">
        <f t="shared" si="14"/>
        <v>2010-06</v>
      </c>
      <c r="K122">
        <v>6115.48</v>
      </c>
      <c r="L122">
        <f t="shared" si="21"/>
        <v>-1.4454797132793845E-2</v>
      </c>
      <c r="M122" t="str">
        <f t="shared" si="15"/>
        <v>2010-06</v>
      </c>
      <c r="O122">
        <v>6172.1161599999996</v>
      </c>
      <c r="P122">
        <f t="shared" si="22"/>
        <v>-1.9636249629559427E-2</v>
      </c>
      <c r="Q122" t="str">
        <f t="shared" si="16"/>
        <v>2010-06</v>
      </c>
      <c r="S122">
        <v>9586.5</v>
      </c>
      <c r="T122">
        <f t="shared" si="23"/>
        <v>-3.0763756108458488E-2</v>
      </c>
      <c r="U122" t="str">
        <f t="shared" si="17"/>
        <v>2010-06</v>
      </c>
      <c r="W122">
        <v>19942.39</v>
      </c>
      <c r="X122">
        <f t="shared" si="24"/>
        <v>-2.0671528158892699E-2</v>
      </c>
      <c r="Y122">
        <f t="shared" si="25"/>
        <v>-2.0459336742813413E-2</v>
      </c>
      <c r="Z122" t="str">
        <f t="shared" si="18"/>
        <v>2010-06</v>
      </c>
    </row>
    <row r="123" spans="1:26" x14ac:dyDescent="0.35">
      <c r="A123" s="1">
        <v>40354</v>
      </c>
      <c r="C123">
        <v>2629.25</v>
      </c>
      <c r="D123">
        <f t="shared" si="19"/>
        <v>-6.0934065611782159E-3</v>
      </c>
      <c r="E123" t="str">
        <f t="shared" si="13"/>
        <v>2010-06</v>
      </c>
      <c r="G123">
        <v>3519.73</v>
      </c>
      <c r="H123">
        <f t="shared" si="20"/>
        <v>-1.0072041828344688E-2</v>
      </c>
      <c r="I123" t="str">
        <f t="shared" si="14"/>
        <v>2010-06</v>
      </c>
      <c r="K123">
        <v>6070.6</v>
      </c>
      <c r="L123">
        <f t="shared" si="21"/>
        <v>-7.3658145875220658E-3</v>
      </c>
      <c r="M123" t="str">
        <f t="shared" si="15"/>
        <v>2010-06</v>
      </c>
      <c r="O123">
        <v>6127.6228600000004</v>
      </c>
      <c r="P123">
        <f t="shared" si="22"/>
        <v>-7.23486799268109E-3</v>
      </c>
      <c r="Q123" t="str">
        <f t="shared" si="16"/>
        <v>2010-06</v>
      </c>
      <c r="S123">
        <v>9535</v>
      </c>
      <c r="T123">
        <f t="shared" si="23"/>
        <v>-5.3866197239267636E-3</v>
      </c>
      <c r="U123" t="str">
        <f t="shared" si="17"/>
        <v>2010-06</v>
      </c>
      <c r="W123">
        <v>19961.740000000002</v>
      </c>
      <c r="X123">
        <f t="shared" si="24"/>
        <v>9.6982450270962045E-4</v>
      </c>
      <c r="Y123">
        <f t="shared" si="25"/>
        <v>9.7029493455910666E-4</v>
      </c>
      <c r="Z123" t="str">
        <f t="shared" si="18"/>
        <v>2010-06</v>
      </c>
    </row>
    <row r="124" spans="1:26" x14ac:dyDescent="0.35">
      <c r="A124" s="1">
        <v>40357</v>
      </c>
      <c r="C124">
        <v>2668.67</v>
      </c>
      <c r="D124">
        <f t="shared" si="19"/>
        <v>1.4881586546694052E-2</v>
      </c>
      <c r="E124" t="str">
        <f t="shared" si="13"/>
        <v>2010-06</v>
      </c>
      <c r="G124">
        <v>3576.45</v>
      </c>
      <c r="H124">
        <f t="shared" si="20"/>
        <v>1.5986406197781675E-2</v>
      </c>
      <c r="I124" t="str">
        <f t="shared" si="14"/>
        <v>2010-06</v>
      </c>
      <c r="K124">
        <v>6157.22</v>
      </c>
      <c r="L124">
        <f t="shared" si="21"/>
        <v>1.4167930004357123E-2</v>
      </c>
      <c r="M124" t="str">
        <f t="shared" si="15"/>
        <v>2010-06</v>
      </c>
      <c r="O124">
        <v>6223.5097500000002</v>
      </c>
      <c r="P124">
        <f t="shared" si="22"/>
        <v>1.5527129289517034E-2</v>
      </c>
      <c r="Q124" t="str">
        <f t="shared" si="16"/>
        <v>2010-06</v>
      </c>
      <c r="S124">
        <v>9688.5</v>
      </c>
      <c r="T124">
        <f t="shared" si="23"/>
        <v>1.5970376106117557E-2</v>
      </c>
      <c r="U124" t="str">
        <f t="shared" si="17"/>
        <v>2010-06</v>
      </c>
      <c r="W124">
        <v>20130.61</v>
      </c>
      <c r="X124">
        <f t="shared" si="24"/>
        <v>8.4241007903229134E-3</v>
      </c>
      <c r="Y124">
        <f t="shared" si="25"/>
        <v>8.4596833742949743E-3</v>
      </c>
      <c r="Z124" t="str">
        <f t="shared" si="18"/>
        <v>2010-06</v>
      </c>
    </row>
    <row r="125" spans="1:26" x14ac:dyDescent="0.35">
      <c r="A125" s="1">
        <v>40358</v>
      </c>
      <c r="C125">
        <v>2556.34</v>
      </c>
      <c r="D125">
        <f t="shared" si="19"/>
        <v>-4.3003672951539902E-2</v>
      </c>
      <c r="E125" t="str">
        <f t="shared" si="13"/>
        <v>2010-06</v>
      </c>
      <c r="G125">
        <v>3432.99</v>
      </c>
      <c r="H125">
        <f t="shared" si="20"/>
        <v>-4.0939086753241698E-2</v>
      </c>
      <c r="I125" t="str">
        <f t="shared" si="14"/>
        <v>2010-06</v>
      </c>
      <c r="K125">
        <v>5952.03</v>
      </c>
      <c r="L125">
        <f t="shared" si="21"/>
        <v>-3.3893039137552747E-2</v>
      </c>
      <c r="M125" t="str">
        <f t="shared" si="15"/>
        <v>2010-06</v>
      </c>
      <c r="O125">
        <v>6073.1354099999999</v>
      </c>
      <c r="P125">
        <f t="shared" si="22"/>
        <v>-2.4459002380842237E-2</v>
      </c>
      <c r="Q125" t="str">
        <f t="shared" si="16"/>
        <v>2010-06</v>
      </c>
      <c r="S125">
        <v>9160.4</v>
      </c>
      <c r="T125">
        <f t="shared" si="23"/>
        <v>-5.6049769303615167E-2</v>
      </c>
      <c r="U125" t="str">
        <f t="shared" si="17"/>
        <v>2010-06</v>
      </c>
      <c r="W125">
        <v>19236.259999999998</v>
      </c>
      <c r="X125">
        <f t="shared" si="24"/>
        <v>-4.5444502575244225E-2</v>
      </c>
      <c r="Y125">
        <f t="shared" si="25"/>
        <v>-4.4427367079288814E-2</v>
      </c>
      <c r="Z125" t="str">
        <f t="shared" si="18"/>
        <v>2010-06</v>
      </c>
    </row>
    <row r="126" spans="1:26" x14ac:dyDescent="0.35">
      <c r="A126" s="1">
        <v>40359</v>
      </c>
      <c r="C126">
        <v>2573.3200000000002</v>
      </c>
      <c r="D126">
        <f t="shared" si="19"/>
        <v>6.6203459948468903E-3</v>
      </c>
      <c r="E126" t="str">
        <f t="shared" si="13"/>
        <v>2010-06</v>
      </c>
      <c r="G126">
        <v>3442.89</v>
      </c>
      <c r="H126">
        <f t="shared" si="20"/>
        <v>2.8796333970741144E-3</v>
      </c>
      <c r="I126" t="str">
        <f t="shared" si="14"/>
        <v>2010-06</v>
      </c>
      <c r="K126">
        <v>5965.52</v>
      </c>
      <c r="L126">
        <f t="shared" si="21"/>
        <v>2.2638890982748759E-3</v>
      </c>
      <c r="M126" t="str">
        <f t="shared" si="15"/>
        <v>2010-06</v>
      </c>
      <c r="O126">
        <v>6002.37626</v>
      </c>
      <c r="P126">
        <f t="shared" si="22"/>
        <v>-1.171957956246252E-2</v>
      </c>
      <c r="Q126" t="str">
        <f t="shared" si="16"/>
        <v>2010-06</v>
      </c>
      <c r="S126">
        <v>9263.4</v>
      </c>
      <c r="T126">
        <f t="shared" si="23"/>
        <v>1.1181306038913909E-2</v>
      </c>
      <c r="U126" t="str">
        <f t="shared" si="17"/>
        <v>2010-06</v>
      </c>
      <c r="W126">
        <v>19311.75</v>
      </c>
      <c r="X126">
        <f t="shared" si="24"/>
        <v>3.9166793047801518E-3</v>
      </c>
      <c r="Y126">
        <f t="shared" si="25"/>
        <v>3.9243595168708262E-3</v>
      </c>
      <c r="Z126" t="str">
        <f t="shared" si="18"/>
        <v>2010-06</v>
      </c>
    </row>
    <row r="127" spans="1:26" x14ac:dyDescent="0.35">
      <c r="A127" s="1">
        <v>40360</v>
      </c>
      <c r="C127">
        <v>2518.65</v>
      </c>
      <c r="D127">
        <f t="shared" si="19"/>
        <v>-2.1473850316550708E-2</v>
      </c>
      <c r="E127" t="str">
        <f t="shared" si="13"/>
        <v>2010-07</v>
      </c>
      <c r="G127">
        <v>3339.9</v>
      </c>
      <c r="H127">
        <f t="shared" si="20"/>
        <v>-3.0370368543586879E-2</v>
      </c>
      <c r="I127" t="str">
        <f t="shared" si="14"/>
        <v>2010-07</v>
      </c>
      <c r="K127">
        <v>5857.43</v>
      </c>
      <c r="L127">
        <f t="shared" si="21"/>
        <v>-1.8285286101361417E-2</v>
      </c>
      <c r="M127" t="str">
        <f t="shared" si="15"/>
        <v>2010-07</v>
      </c>
      <c r="O127">
        <v>5834.20136</v>
      </c>
      <c r="P127">
        <f t="shared" si="22"/>
        <v>-2.8418048394442542E-2</v>
      </c>
      <c r="Q127" t="str">
        <f t="shared" si="16"/>
        <v>2010-07</v>
      </c>
      <c r="S127">
        <v>9178.2000000000007</v>
      </c>
      <c r="T127">
        <f t="shared" si="23"/>
        <v>-9.2400449186611135E-3</v>
      </c>
      <c r="U127" t="str">
        <f t="shared" si="17"/>
        <v>2010-07</v>
      </c>
      <c r="W127">
        <v>18943.759999999998</v>
      </c>
      <c r="X127">
        <f t="shared" si="24"/>
        <v>-1.9239129249986893E-2</v>
      </c>
      <c r="Y127">
        <f t="shared" si="25"/>
        <v>-1.9055238391135015E-2</v>
      </c>
      <c r="Z127" t="str">
        <f t="shared" si="18"/>
        <v>2010-07</v>
      </c>
    </row>
    <row r="128" spans="1:26" x14ac:dyDescent="0.35">
      <c r="A128" s="1">
        <v>40361</v>
      </c>
      <c r="C128">
        <v>2522.36</v>
      </c>
      <c r="D128">
        <f t="shared" si="19"/>
        <v>1.4719275184265452E-3</v>
      </c>
      <c r="E128" t="str">
        <f t="shared" si="13"/>
        <v>2010-07</v>
      </c>
      <c r="G128">
        <v>3348.37</v>
      </c>
      <c r="H128">
        <f t="shared" si="20"/>
        <v>2.5327938399471862E-3</v>
      </c>
      <c r="I128" t="str">
        <f t="shared" si="14"/>
        <v>2010-07</v>
      </c>
      <c r="K128">
        <v>5834.15</v>
      </c>
      <c r="L128">
        <f t="shared" si="21"/>
        <v>-3.9823583753091198E-3</v>
      </c>
      <c r="M128" t="str">
        <f t="shared" si="15"/>
        <v>2010-07</v>
      </c>
      <c r="O128">
        <v>5858.2389199999998</v>
      </c>
      <c r="P128">
        <f t="shared" si="22"/>
        <v>4.1116470622997048E-3</v>
      </c>
      <c r="Q128" t="str">
        <f t="shared" si="16"/>
        <v>2010-07</v>
      </c>
      <c r="S128">
        <v>9250.7999999999993</v>
      </c>
      <c r="T128">
        <f t="shared" si="23"/>
        <v>7.8789272959418413E-3</v>
      </c>
      <c r="U128" t="str">
        <f t="shared" si="17"/>
        <v>2010-07</v>
      </c>
      <c r="W128">
        <v>19073.849999999999</v>
      </c>
      <c r="X128">
        <f t="shared" si="24"/>
        <v>6.8436973151633851E-3</v>
      </c>
      <c r="Y128">
        <f t="shared" si="25"/>
        <v>6.8671689252820011E-3</v>
      </c>
      <c r="Z128" t="str">
        <f t="shared" si="18"/>
        <v>2010-07</v>
      </c>
    </row>
    <row r="129" spans="1:26" x14ac:dyDescent="0.35">
      <c r="A129" s="1">
        <v>40364</v>
      </c>
      <c r="C129">
        <v>2507.83</v>
      </c>
      <c r="D129">
        <f t="shared" si="19"/>
        <v>-5.7771338306797735E-3</v>
      </c>
      <c r="E129" t="str">
        <f t="shared" si="13"/>
        <v>2010-07</v>
      </c>
      <c r="G129">
        <v>3332.46</v>
      </c>
      <c r="H129">
        <f t="shared" si="20"/>
        <v>-4.7628902626414759E-3</v>
      </c>
      <c r="I129" t="str">
        <f t="shared" si="14"/>
        <v>2010-07</v>
      </c>
      <c r="K129">
        <v>5816.2</v>
      </c>
      <c r="L129">
        <f t="shared" si="21"/>
        <v>-3.0814549268443404E-3</v>
      </c>
      <c r="M129" t="str">
        <f t="shared" si="15"/>
        <v>2010-07</v>
      </c>
      <c r="O129">
        <v>5823.7320099999997</v>
      </c>
      <c r="P129">
        <f t="shared" si="22"/>
        <v>-5.9077377555954115E-3</v>
      </c>
      <c r="Q129" t="str">
        <f t="shared" si="16"/>
        <v>2010-07</v>
      </c>
      <c r="S129">
        <v>9281.5</v>
      </c>
      <c r="T129">
        <f t="shared" si="23"/>
        <v>3.313137396061218E-3</v>
      </c>
      <c r="U129" t="str">
        <f t="shared" si="17"/>
        <v>2010-07</v>
      </c>
      <c r="W129">
        <v>18848.560000000001</v>
      </c>
      <c r="X129">
        <f t="shared" si="24"/>
        <v>-1.1881768614573818E-2</v>
      </c>
      <c r="Y129">
        <f t="shared" si="25"/>
        <v>-1.1811459144325727E-2</v>
      </c>
      <c r="Z129" t="str">
        <f t="shared" si="18"/>
        <v>2010-07</v>
      </c>
    </row>
    <row r="130" spans="1:26" x14ac:dyDescent="0.35">
      <c r="A130" s="1">
        <v>40365</v>
      </c>
      <c r="C130">
        <v>2578.69</v>
      </c>
      <c r="D130">
        <f t="shared" si="19"/>
        <v>2.7863680666677191E-2</v>
      </c>
      <c r="E130" t="str">
        <f t="shared" si="13"/>
        <v>2010-07</v>
      </c>
      <c r="G130">
        <v>3423.36</v>
      </c>
      <c r="H130">
        <f t="shared" si="20"/>
        <v>2.6911754922753609E-2</v>
      </c>
      <c r="I130" t="str">
        <f t="shared" si="14"/>
        <v>2010-07</v>
      </c>
      <c r="K130">
        <v>5940.98</v>
      </c>
      <c r="L130">
        <f t="shared" si="21"/>
        <v>2.1226975395882197E-2</v>
      </c>
      <c r="M130" t="str">
        <f t="shared" si="15"/>
        <v>2010-07</v>
      </c>
      <c r="O130">
        <v>5958.5500099999999</v>
      </c>
      <c r="P130">
        <f t="shared" si="22"/>
        <v>2.2885869496255588E-2</v>
      </c>
      <c r="Q130" t="str">
        <f t="shared" si="16"/>
        <v>2010-07</v>
      </c>
      <c r="S130">
        <v>9615</v>
      </c>
      <c r="T130">
        <f t="shared" si="23"/>
        <v>3.5301207373602178E-2</v>
      </c>
      <c r="U130" t="str">
        <f t="shared" si="17"/>
        <v>2010-07</v>
      </c>
      <c r="W130">
        <v>19356.66</v>
      </c>
      <c r="X130">
        <f t="shared" si="24"/>
        <v>2.660002790085856E-2</v>
      </c>
      <c r="Y130">
        <f t="shared" si="25"/>
        <v>2.6956966473831345E-2</v>
      </c>
      <c r="Z130" t="str">
        <f t="shared" si="18"/>
        <v>2010-07</v>
      </c>
    </row>
    <row r="131" spans="1:26" x14ac:dyDescent="0.35">
      <c r="A131" s="1">
        <v>40366</v>
      </c>
      <c r="C131">
        <v>2634.39</v>
      </c>
      <c r="D131">
        <f t="shared" si="19"/>
        <v>2.1370138096175727E-2</v>
      </c>
      <c r="E131" t="str">
        <f t="shared" si="13"/>
        <v>2010-07</v>
      </c>
      <c r="G131">
        <v>3483.44</v>
      </c>
      <c r="H131">
        <f t="shared" si="20"/>
        <v>1.7397786362741984E-2</v>
      </c>
      <c r="I131" t="str">
        <f t="shared" si="14"/>
        <v>2010-07</v>
      </c>
      <c r="K131">
        <v>5992.86</v>
      </c>
      <c r="L131">
        <f t="shared" si="21"/>
        <v>8.6946576845223431E-3</v>
      </c>
      <c r="M131" t="str">
        <f t="shared" si="15"/>
        <v>2010-07</v>
      </c>
      <c r="O131">
        <v>6042.2872799999996</v>
      </c>
      <c r="P131">
        <f t="shared" si="22"/>
        <v>1.3955464438515638E-2</v>
      </c>
      <c r="Q131" t="str">
        <f t="shared" si="16"/>
        <v>2010-07</v>
      </c>
      <c r="S131">
        <v>9987.4</v>
      </c>
      <c r="T131">
        <f t="shared" si="23"/>
        <v>3.7999919485879913E-2</v>
      </c>
      <c r="U131" t="str">
        <f t="shared" si="17"/>
        <v>2010-07</v>
      </c>
      <c r="W131">
        <v>20013.07</v>
      </c>
      <c r="X131">
        <f t="shared" si="24"/>
        <v>3.3349013811975976E-2</v>
      </c>
      <c r="Y131">
        <f t="shared" si="25"/>
        <v>3.3911325610926669E-2</v>
      </c>
      <c r="Z131" t="str">
        <f t="shared" si="18"/>
        <v>2010-07</v>
      </c>
    </row>
    <row r="132" spans="1:26" x14ac:dyDescent="0.35">
      <c r="A132" s="1">
        <v>40367</v>
      </c>
      <c r="C132">
        <v>2666.42</v>
      </c>
      <c r="D132">
        <f t="shared" si="19"/>
        <v>1.2085092591286777E-2</v>
      </c>
      <c r="E132" t="str">
        <f t="shared" ref="E132:E195" si="26">_xlfn.CONCAT(YEAR(A132),"-",TEXT(MONTH(A132),"00"))</f>
        <v>2010-07</v>
      </c>
      <c r="G132">
        <v>3538.25</v>
      </c>
      <c r="H132">
        <f t="shared" si="20"/>
        <v>1.5611943348375701E-2</v>
      </c>
      <c r="I132" t="str">
        <f t="shared" ref="I132:I195" si="27">_xlfn.CONCAT(YEAR(A132),"-",TEXT(MONTH(A132),"00"))</f>
        <v>2010-07</v>
      </c>
      <c r="K132">
        <v>6035.66</v>
      </c>
      <c r="L132">
        <f t="shared" si="21"/>
        <v>7.1164500087489016E-3</v>
      </c>
      <c r="M132" t="str">
        <f t="shared" ref="M132:M195" si="28">_xlfn.CONCAT(YEAR(A132),"-",TEXT(MONTH(A132),"00"))</f>
        <v>2010-07</v>
      </c>
      <c r="O132">
        <v>6099.9919799999998</v>
      </c>
      <c r="P132">
        <f t="shared" si="22"/>
        <v>9.5048274203422545E-3</v>
      </c>
      <c r="Q132" t="str">
        <f t="shared" ref="Q132:Q195" si="29">_xlfn.CONCAT(YEAR(A132),"-",TEXT(MONTH(A132),"00"))</f>
        <v>2010-07</v>
      </c>
      <c r="S132">
        <v>10080.5</v>
      </c>
      <c r="T132">
        <f t="shared" si="23"/>
        <v>9.2785660610059644E-3</v>
      </c>
      <c r="U132" t="str">
        <f t="shared" ref="U132:U195" si="30">_xlfn.CONCAT(YEAR(A132),"-",TEXT(MONTH(A132),"00"))</f>
        <v>2010-07</v>
      </c>
      <c r="W132">
        <v>20243.73</v>
      </c>
      <c r="X132">
        <f t="shared" si="24"/>
        <v>1.145955586191889E-2</v>
      </c>
      <c r="Y132">
        <f t="shared" si="25"/>
        <v>1.1525468106592334E-2</v>
      </c>
      <c r="Z132" t="str">
        <f t="shared" ref="Z132:Z195" si="31">_xlfn.CONCAT(YEAR(A132),"-",TEXT(MONTH(A132),"00"))</f>
        <v>2010-07</v>
      </c>
    </row>
    <row r="133" spans="1:26" x14ac:dyDescent="0.35">
      <c r="A133" s="1">
        <v>40368</v>
      </c>
      <c r="C133">
        <v>2681.2</v>
      </c>
      <c r="D133">
        <f t="shared" ref="D133:D196" si="32">LN(C133/C132)</f>
        <v>5.5277067683280655E-3</v>
      </c>
      <c r="E133" t="str">
        <f t="shared" si="26"/>
        <v>2010-07</v>
      </c>
      <c r="G133">
        <v>3554.48</v>
      </c>
      <c r="H133">
        <f t="shared" ref="H133:H196" si="33">LN(G133/G132)</f>
        <v>4.5765250693420526E-3</v>
      </c>
      <c r="I133" t="str">
        <f t="shared" si="27"/>
        <v>2010-07</v>
      </c>
      <c r="K133">
        <v>6065.24</v>
      </c>
      <c r="L133">
        <f t="shared" ref="L133:L196" si="34">LN(K133/K132)</f>
        <v>4.8889022993070458E-3</v>
      </c>
      <c r="M133" t="str">
        <f t="shared" si="28"/>
        <v>2010-07</v>
      </c>
      <c r="O133">
        <v>6112.6914999999999</v>
      </c>
      <c r="P133">
        <f t="shared" ref="P133:P196" si="35">LN(O133/O132)</f>
        <v>2.0797271292908332E-3</v>
      </c>
      <c r="Q133" t="str">
        <f t="shared" si="29"/>
        <v>2010-07</v>
      </c>
      <c r="S133">
        <v>10127.299999999999</v>
      </c>
      <c r="T133">
        <f t="shared" ref="T133:T196" si="36">LN(S133/S132)</f>
        <v>4.6318831017626745E-3</v>
      </c>
      <c r="U133" t="str">
        <f t="shared" si="30"/>
        <v>2010-07</v>
      </c>
      <c r="W133">
        <v>20478.98</v>
      </c>
      <c r="X133">
        <f t="shared" ref="X133:X196" si="37">LN(W133/W132)</f>
        <v>1.1553878265744744E-2</v>
      </c>
      <c r="Y133">
        <f t="shared" ref="Y133:Y196" si="38">(W133-W132)/W132</f>
        <v>1.1620882120044083E-2</v>
      </c>
      <c r="Z133" t="str">
        <f t="shared" si="31"/>
        <v>2010-07</v>
      </c>
    </row>
    <row r="134" spans="1:26" x14ac:dyDescent="0.35">
      <c r="A134" s="1">
        <v>40371</v>
      </c>
      <c r="C134">
        <v>2686.09</v>
      </c>
      <c r="D134">
        <f t="shared" si="32"/>
        <v>1.8221491117465087E-3</v>
      </c>
      <c r="E134" t="str">
        <f t="shared" si="26"/>
        <v>2010-07</v>
      </c>
      <c r="G134">
        <v>3567.66</v>
      </c>
      <c r="H134">
        <f t="shared" si="33"/>
        <v>3.7011389962675945E-3</v>
      </c>
      <c r="I134" t="str">
        <f t="shared" si="27"/>
        <v>2010-07</v>
      </c>
      <c r="K134">
        <v>6077.19</v>
      </c>
      <c r="L134">
        <f t="shared" si="34"/>
        <v>1.9683051675953634E-3</v>
      </c>
      <c r="M134" t="str">
        <f t="shared" si="28"/>
        <v>2010-07</v>
      </c>
      <c r="O134">
        <v>6170.1335799999997</v>
      </c>
      <c r="P134">
        <f t="shared" si="35"/>
        <v>9.353304048309417E-3</v>
      </c>
      <c r="Q134" t="str">
        <f t="shared" si="29"/>
        <v>2010-07</v>
      </c>
      <c r="S134">
        <v>10058.200000000001</v>
      </c>
      <c r="T134">
        <f t="shared" si="36"/>
        <v>-6.8465254683956148E-3</v>
      </c>
      <c r="U134" t="str">
        <f t="shared" si="30"/>
        <v>2010-07</v>
      </c>
      <c r="W134">
        <v>20517.919999999998</v>
      </c>
      <c r="X134">
        <f t="shared" si="37"/>
        <v>1.8996563989086743E-3</v>
      </c>
      <c r="Y134">
        <f t="shared" si="38"/>
        <v>1.9014618892151216E-3</v>
      </c>
      <c r="Z134" t="str">
        <f t="shared" si="31"/>
        <v>2010-07</v>
      </c>
    </row>
    <row r="135" spans="1:26" x14ac:dyDescent="0.35">
      <c r="A135" s="1">
        <v>40372</v>
      </c>
      <c r="C135">
        <v>2737.59</v>
      </c>
      <c r="D135">
        <f t="shared" si="32"/>
        <v>1.8991366701108819E-2</v>
      </c>
      <c r="E135" t="str">
        <f t="shared" si="26"/>
        <v>2010-07</v>
      </c>
      <c r="G135">
        <v>3637.76</v>
      </c>
      <c r="H135">
        <f t="shared" si="33"/>
        <v>1.9458188909014004E-2</v>
      </c>
      <c r="I135" t="str">
        <f t="shared" si="27"/>
        <v>2010-07</v>
      </c>
      <c r="K135">
        <v>6191.13</v>
      </c>
      <c r="L135">
        <f t="shared" si="34"/>
        <v>1.8575204448377944E-2</v>
      </c>
      <c r="M135" t="str">
        <f t="shared" si="28"/>
        <v>2010-07</v>
      </c>
      <c r="O135">
        <v>6285.6509100000003</v>
      </c>
      <c r="P135">
        <f t="shared" si="35"/>
        <v>1.8548914710216198E-2</v>
      </c>
      <c r="Q135" t="str">
        <f t="shared" si="29"/>
        <v>2010-07</v>
      </c>
      <c r="S135">
        <v>10259.5</v>
      </c>
      <c r="T135">
        <f t="shared" si="36"/>
        <v>1.9815883390669357E-2</v>
      </c>
      <c r="U135" t="str">
        <f t="shared" si="30"/>
        <v>2010-07</v>
      </c>
      <c r="W135">
        <v>20851.849999999999</v>
      </c>
      <c r="X135">
        <f t="shared" si="37"/>
        <v>1.6144022682989517E-2</v>
      </c>
      <c r="Y135">
        <f t="shared" si="38"/>
        <v>1.6275041524676979E-2</v>
      </c>
      <c r="Z135" t="str">
        <f t="shared" si="31"/>
        <v>2010-07</v>
      </c>
    </row>
    <row r="136" spans="1:26" x14ac:dyDescent="0.35">
      <c r="A136" s="1">
        <v>40373</v>
      </c>
      <c r="C136">
        <v>2738.96</v>
      </c>
      <c r="D136">
        <f t="shared" si="32"/>
        <v>5.0031498975735449E-4</v>
      </c>
      <c r="E136" t="str">
        <f t="shared" si="26"/>
        <v>2010-07</v>
      </c>
      <c r="G136">
        <v>3632.98</v>
      </c>
      <c r="H136">
        <f t="shared" si="33"/>
        <v>-1.314859474733271E-3</v>
      </c>
      <c r="I136" t="str">
        <f t="shared" si="27"/>
        <v>2010-07</v>
      </c>
      <c r="K136">
        <v>6209.76</v>
      </c>
      <c r="L136">
        <f t="shared" si="34"/>
        <v>3.0046253157017489E-3</v>
      </c>
      <c r="M136" t="str">
        <f t="shared" si="28"/>
        <v>2010-07</v>
      </c>
      <c r="O136">
        <v>6284.4538000000002</v>
      </c>
      <c r="P136">
        <f t="shared" si="35"/>
        <v>-1.9046937654653763E-4</v>
      </c>
      <c r="Q136" t="str">
        <f t="shared" si="29"/>
        <v>2010-07</v>
      </c>
      <c r="S136">
        <v>10278.5</v>
      </c>
      <c r="T136">
        <f t="shared" si="36"/>
        <v>1.8502293719254135E-3</v>
      </c>
      <c r="U136" t="str">
        <f t="shared" si="30"/>
        <v>2010-07</v>
      </c>
      <c r="W136">
        <v>20804.37</v>
      </c>
      <c r="X136">
        <f t="shared" si="37"/>
        <v>-2.2796125313984134E-3</v>
      </c>
      <c r="Y136">
        <f t="shared" si="38"/>
        <v>-2.277016188012074E-3</v>
      </c>
      <c r="Z136" t="str">
        <f t="shared" si="31"/>
        <v>2010-07</v>
      </c>
    </row>
    <row r="137" spans="1:26" x14ac:dyDescent="0.35">
      <c r="A137" s="1">
        <v>40374</v>
      </c>
      <c r="C137">
        <v>2702.81</v>
      </c>
      <c r="D137">
        <f t="shared" si="32"/>
        <v>-1.3286313748435221E-2</v>
      </c>
      <c r="E137" t="str">
        <f t="shared" si="26"/>
        <v>2010-07</v>
      </c>
      <c r="G137">
        <v>3581.82</v>
      </c>
      <c r="H137">
        <f t="shared" si="33"/>
        <v>-1.418219701209952E-2</v>
      </c>
      <c r="I137" t="str">
        <f t="shared" si="27"/>
        <v>2010-07</v>
      </c>
      <c r="K137">
        <v>6149.36</v>
      </c>
      <c r="L137">
        <f t="shared" si="34"/>
        <v>-9.7742364929305006E-3</v>
      </c>
      <c r="M137" t="str">
        <f t="shared" si="28"/>
        <v>2010-07</v>
      </c>
      <c r="O137">
        <v>6214.8619200000003</v>
      </c>
      <c r="P137">
        <f t="shared" si="35"/>
        <v>-1.1135425436116033E-2</v>
      </c>
      <c r="Q137" t="str">
        <f t="shared" si="29"/>
        <v>2010-07</v>
      </c>
      <c r="S137">
        <v>10160.200000000001</v>
      </c>
      <c r="T137">
        <f t="shared" si="36"/>
        <v>-1.1576207987632498E-2</v>
      </c>
      <c r="U137" t="str">
        <f t="shared" si="30"/>
        <v>2010-07</v>
      </c>
      <c r="W137">
        <v>20480.080000000002</v>
      </c>
      <c r="X137">
        <f t="shared" si="37"/>
        <v>-1.5710354380334527E-2</v>
      </c>
      <c r="Y137">
        <f t="shared" si="38"/>
        <v>-1.5587590491805196E-2</v>
      </c>
      <c r="Z137" t="str">
        <f t="shared" si="31"/>
        <v>2010-07</v>
      </c>
    </row>
    <row r="138" spans="1:26" x14ac:dyDescent="0.35">
      <c r="A138" s="1">
        <v>40375</v>
      </c>
      <c r="C138">
        <v>2645.61</v>
      </c>
      <c r="D138">
        <f t="shared" si="32"/>
        <v>-2.1390310016639307E-2</v>
      </c>
      <c r="E138" t="str">
        <f t="shared" si="26"/>
        <v>2010-07</v>
      </c>
      <c r="G138">
        <v>3500.16</v>
      </c>
      <c r="H138">
        <f t="shared" si="33"/>
        <v>-2.3062369383385906E-2</v>
      </c>
      <c r="I138" t="str">
        <f t="shared" si="27"/>
        <v>2010-07</v>
      </c>
      <c r="K138">
        <v>6040.27</v>
      </c>
      <c r="L138">
        <f t="shared" si="34"/>
        <v>-1.7899298428259412E-2</v>
      </c>
      <c r="M138" t="str">
        <f t="shared" si="28"/>
        <v>2010-07</v>
      </c>
      <c r="O138">
        <v>6110.1839600000003</v>
      </c>
      <c r="P138">
        <f t="shared" si="35"/>
        <v>-1.6986626749549909E-2</v>
      </c>
      <c r="Q138" t="str">
        <f t="shared" si="29"/>
        <v>2010-07</v>
      </c>
      <c r="S138">
        <v>9991.7000000000007</v>
      </c>
      <c r="T138">
        <f t="shared" si="36"/>
        <v>-1.6723378642626806E-2</v>
      </c>
      <c r="U138" t="str">
        <f t="shared" si="30"/>
        <v>2010-07</v>
      </c>
      <c r="W138">
        <v>20161.02</v>
      </c>
      <c r="X138">
        <f t="shared" si="37"/>
        <v>-1.5701669252310535E-2</v>
      </c>
      <c r="Y138">
        <f t="shared" si="38"/>
        <v>-1.5579040706872301E-2</v>
      </c>
      <c r="Z138" t="str">
        <f t="shared" si="31"/>
        <v>2010-07</v>
      </c>
    </row>
    <row r="139" spans="1:26" x14ac:dyDescent="0.35">
      <c r="A139" s="1">
        <v>40378</v>
      </c>
      <c r="C139">
        <v>2634.6</v>
      </c>
      <c r="D139">
        <f t="shared" si="32"/>
        <v>-4.170294725613837E-3</v>
      </c>
      <c r="E139" t="str">
        <f t="shared" si="26"/>
        <v>2010-07</v>
      </c>
      <c r="G139">
        <v>3486.33</v>
      </c>
      <c r="H139">
        <f t="shared" si="33"/>
        <v>-3.9590747470030999E-3</v>
      </c>
      <c r="I139" t="str">
        <f t="shared" si="27"/>
        <v>2010-07</v>
      </c>
      <c r="K139">
        <v>6009.11</v>
      </c>
      <c r="L139">
        <f t="shared" si="34"/>
        <v>-5.1720618756127103E-3</v>
      </c>
      <c r="M139" t="str">
        <f t="shared" si="28"/>
        <v>2010-07</v>
      </c>
      <c r="O139">
        <v>6051.7518899999995</v>
      </c>
      <c r="P139">
        <f t="shared" si="35"/>
        <v>-9.6090820290091559E-3</v>
      </c>
      <c r="Q139" t="str">
        <f t="shared" si="29"/>
        <v>2010-07</v>
      </c>
      <c r="S139">
        <v>9929.7999999999993</v>
      </c>
      <c r="T139">
        <f t="shared" si="36"/>
        <v>-6.2144114859909666E-3</v>
      </c>
      <c r="U139" t="str">
        <f t="shared" si="30"/>
        <v>2010-07</v>
      </c>
      <c r="W139">
        <v>20117.54</v>
      </c>
      <c r="X139">
        <f t="shared" si="37"/>
        <v>-2.1589658065649625E-3</v>
      </c>
      <c r="Y139">
        <f t="shared" si="38"/>
        <v>-2.1566369161877506E-3</v>
      </c>
      <c r="Z139" t="str">
        <f t="shared" si="31"/>
        <v>2010-07</v>
      </c>
    </row>
    <row r="140" spans="1:26" x14ac:dyDescent="0.35">
      <c r="A140" s="1">
        <v>40379</v>
      </c>
      <c r="C140">
        <v>2627.28</v>
      </c>
      <c r="D140">
        <f t="shared" si="32"/>
        <v>-2.7822773313150436E-3</v>
      </c>
      <c r="E140" t="str">
        <f t="shared" si="26"/>
        <v>2010-07</v>
      </c>
      <c r="G140">
        <v>3468.02</v>
      </c>
      <c r="H140">
        <f t="shared" si="33"/>
        <v>-5.2657810748593945E-3</v>
      </c>
      <c r="I140" t="str">
        <f t="shared" si="27"/>
        <v>2010-07</v>
      </c>
      <c r="K140">
        <v>5967.49</v>
      </c>
      <c r="L140">
        <f t="shared" si="34"/>
        <v>-6.9502475729291396E-3</v>
      </c>
      <c r="M140" t="str">
        <f t="shared" si="28"/>
        <v>2010-07</v>
      </c>
      <c r="O140">
        <v>6088.3936999999996</v>
      </c>
      <c r="P140">
        <f t="shared" si="35"/>
        <v>6.03648794732664E-3</v>
      </c>
      <c r="Q140" t="str">
        <f t="shared" si="29"/>
        <v>2010-07</v>
      </c>
      <c r="S140">
        <v>10061.299999999999</v>
      </c>
      <c r="T140">
        <f t="shared" si="36"/>
        <v>1.315604410755397E-2</v>
      </c>
      <c r="U140" t="str">
        <f t="shared" si="30"/>
        <v>2010-07</v>
      </c>
      <c r="W140">
        <v>19985.32</v>
      </c>
      <c r="X140">
        <f t="shared" si="37"/>
        <v>-6.5940673106995073E-3</v>
      </c>
      <c r="Y140">
        <f t="shared" si="38"/>
        <v>-6.5723741570789052E-3</v>
      </c>
      <c r="Z140" t="str">
        <f t="shared" si="31"/>
        <v>2010-07</v>
      </c>
    </row>
    <row r="141" spans="1:26" x14ac:dyDescent="0.35">
      <c r="A141" s="1">
        <v>40380</v>
      </c>
      <c r="C141">
        <v>2639.52</v>
      </c>
      <c r="D141">
        <f t="shared" si="32"/>
        <v>4.6479919632026008E-3</v>
      </c>
      <c r="E141" t="str">
        <f t="shared" si="26"/>
        <v>2010-07</v>
      </c>
      <c r="G141">
        <v>3493.92</v>
      </c>
      <c r="H141">
        <f t="shared" si="33"/>
        <v>7.4404891415667616E-3</v>
      </c>
      <c r="I141" t="str">
        <f t="shared" si="27"/>
        <v>2010-07</v>
      </c>
      <c r="K141">
        <v>5990.38</v>
      </c>
      <c r="L141">
        <f t="shared" si="34"/>
        <v>3.8284456944613736E-3</v>
      </c>
      <c r="M141" t="str">
        <f t="shared" si="28"/>
        <v>2010-07</v>
      </c>
      <c r="O141">
        <v>6184.44578</v>
      </c>
      <c r="P141">
        <f t="shared" si="35"/>
        <v>1.5653108047284602E-2</v>
      </c>
      <c r="Q141" t="str">
        <f t="shared" si="29"/>
        <v>2010-07</v>
      </c>
      <c r="S141">
        <v>10040.799999999999</v>
      </c>
      <c r="T141">
        <f t="shared" si="36"/>
        <v>-2.03958861079511E-3</v>
      </c>
      <c r="U141" t="str">
        <f t="shared" si="30"/>
        <v>2010-07</v>
      </c>
      <c r="W141">
        <v>20137.919999999998</v>
      </c>
      <c r="X141">
        <f t="shared" si="37"/>
        <v>7.6066008522945022E-3</v>
      </c>
      <c r="Y141">
        <f t="shared" si="38"/>
        <v>7.6356045337276834E-3</v>
      </c>
      <c r="Z141" t="str">
        <f t="shared" si="31"/>
        <v>2010-07</v>
      </c>
    </row>
    <row r="142" spans="1:26" x14ac:dyDescent="0.35">
      <c r="A142" s="1">
        <v>40381</v>
      </c>
      <c r="C142">
        <v>2714.21</v>
      </c>
      <c r="D142">
        <f t="shared" si="32"/>
        <v>2.7903852539742365E-2</v>
      </c>
      <c r="E142" t="str">
        <f t="shared" si="26"/>
        <v>2010-07</v>
      </c>
      <c r="G142">
        <v>3600.57</v>
      </c>
      <c r="H142">
        <f t="shared" si="33"/>
        <v>3.0067851206077936E-2</v>
      </c>
      <c r="I142" t="str">
        <f t="shared" si="27"/>
        <v>2010-07</v>
      </c>
      <c r="K142">
        <v>6142.15</v>
      </c>
      <c r="L142">
        <f t="shared" si="34"/>
        <v>2.5019994552497721E-2</v>
      </c>
      <c r="M142" t="str">
        <f t="shared" si="28"/>
        <v>2010-07</v>
      </c>
      <c r="O142">
        <v>6289.4373900000001</v>
      </c>
      <c r="P142">
        <f t="shared" si="35"/>
        <v>1.6834226845351321E-2</v>
      </c>
      <c r="Q142" t="str">
        <f t="shared" si="29"/>
        <v>2010-07</v>
      </c>
      <c r="S142">
        <v>10302.9</v>
      </c>
      <c r="T142">
        <f t="shared" si="36"/>
        <v>2.5768616640829287E-2</v>
      </c>
      <c r="U142" t="str">
        <f t="shared" si="30"/>
        <v>2010-07</v>
      </c>
      <c r="W142">
        <v>20694.259999999998</v>
      </c>
      <c r="X142">
        <f t="shared" si="37"/>
        <v>2.7251762235655414E-2</v>
      </c>
      <c r="Y142">
        <f t="shared" si="38"/>
        <v>2.7626487740541238E-2</v>
      </c>
      <c r="Z142" t="str">
        <f t="shared" si="31"/>
        <v>2010-07</v>
      </c>
    </row>
    <row r="143" spans="1:26" x14ac:dyDescent="0.35">
      <c r="A143" s="1">
        <v>40382</v>
      </c>
      <c r="C143">
        <v>2719.13</v>
      </c>
      <c r="D143">
        <f t="shared" si="32"/>
        <v>1.8110412176475911E-3</v>
      </c>
      <c r="E143" t="str">
        <f t="shared" si="26"/>
        <v>2010-07</v>
      </c>
      <c r="G143">
        <v>3607.05</v>
      </c>
      <c r="H143">
        <f t="shared" si="33"/>
        <v>1.7980974984540014E-3</v>
      </c>
      <c r="I143" t="str">
        <f t="shared" si="27"/>
        <v>2010-07</v>
      </c>
      <c r="K143">
        <v>6166.34</v>
      </c>
      <c r="L143">
        <f t="shared" si="34"/>
        <v>3.9306253072870908E-3</v>
      </c>
      <c r="M143" t="str">
        <f t="shared" si="28"/>
        <v>2010-07</v>
      </c>
      <c r="O143">
        <v>6368.1156300000002</v>
      </c>
      <c r="P143">
        <f t="shared" si="35"/>
        <v>1.2431984793755084E-2</v>
      </c>
      <c r="Q143" t="str">
        <f t="shared" si="29"/>
        <v>2010-07</v>
      </c>
      <c r="S143">
        <v>10388.200000000001</v>
      </c>
      <c r="T143">
        <f t="shared" si="36"/>
        <v>8.2451375944498032E-3</v>
      </c>
      <c r="U143" t="str">
        <f t="shared" si="30"/>
        <v>2010-07</v>
      </c>
      <c r="W143">
        <v>20604.080000000002</v>
      </c>
      <c r="X143">
        <f t="shared" si="37"/>
        <v>-4.3672526950364089E-3</v>
      </c>
      <c r="Y143">
        <f t="shared" si="38"/>
        <v>-4.357730114534014E-3</v>
      </c>
      <c r="Z143" t="str">
        <f t="shared" si="31"/>
        <v>2010-07</v>
      </c>
    </row>
    <row r="144" spans="1:26" x14ac:dyDescent="0.35">
      <c r="A144" s="1">
        <v>40385</v>
      </c>
      <c r="C144">
        <v>2743.12</v>
      </c>
      <c r="D144">
        <f t="shared" si="32"/>
        <v>8.7839825171679414E-3</v>
      </c>
      <c r="E144" t="str">
        <f t="shared" si="26"/>
        <v>2010-07</v>
      </c>
      <c r="G144">
        <v>3636.18</v>
      </c>
      <c r="H144">
        <f t="shared" si="33"/>
        <v>8.0434162799454933E-3</v>
      </c>
      <c r="I144" t="str">
        <f t="shared" si="27"/>
        <v>2010-07</v>
      </c>
      <c r="K144">
        <v>6194.21</v>
      </c>
      <c r="L144">
        <f t="shared" si="34"/>
        <v>4.5095157140614328E-3</v>
      </c>
      <c r="M144" t="str">
        <f t="shared" si="28"/>
        <v>2010-07</v>
      </c>
      <c r="O144">
        <v>6379.1676799999996</v>
      </c>
      <c r="P144">
        <f t="shared" si="35"/>
        <v>1.7340248114896253E-3</v>
      </c>
      <c r="Q144" t="str">
        <f t="shared" si="29"/>
        <v>2010-07</v>
      </c>
      <c r="S144">
        <v>10506.7</v>
      </c>
      <c r="T144">
        <f t="shared" si="36"/>
        <v>1.1342602305990358E-2</v>
      </c>
      <c r="U144" t="str">
        <f t="shared" si="30"/>
        <v>2010-07</v>
      </c>
      <c r="W144">
        <v>20819.96</v>
      </c>
      <c r="X144">
        <f t="shared" si="37"/>
        <v>1.0423027518373987E-2</v>
      </c>
      <c r="Y144">
        <f t="shared" si="38"/>
        <v>1.047753648791877E-2</v>
      </c>
      <c r="Z144" t="str">
        <f t="shared" si="31"/>
        <v>2010-07</v>
      </c>
    </row>
    <row r="145" spans="1:26" x14ac:dyDescent="0.35">
      <c r="A145" s="1">
        <v>40386</v>
      </c>
      <c r="C145">
        <v>2769.31</v>
      </c>
      <c r="D145">
        <f t="shared" si="32"/>
        <v>9.5022329763590988E-3</v>
      </c>
      <c r="E145" t="str">
        <f t="shared" si="26"/>
        <v>2010-07</v>
      </c>
      <c r="G145">
        <v>3666.4</v>
      </c>
      <c r="H145">
        <f t="shared" si="33"/>
        <v>8.2765741723795378E-3</v>
      </c>
      <c r="I145" t="str">
        <f t="shared" si="27"/>
        <v>2010-07</v>
      </c>
      <c r="K145">
        <v>6207.31</v>
      </c>
      <c r="L145">
        <f t="shared" si="34"/>
        <v>2.1126450422854787E-3</v>
      </c>
      <c r="M145" t="str">
        <f t="shared" si="28"/>
        <v>2010-07</v>
      </c>
      <c r="O145">
        <v>6432.19247</v>
      </c>
      <c r="P145">
        <f t="shared" si="35"/>
        <v>8.2778240812603245E-3</v>
      </c>
      <c r="Q145" t="str">
        <f t="shared" si="29"/>
        <v>2010-07</v>
      </c>
      <c r="S145">
        <v>10645</v>
      </c>
      <c r="T145">
        <f t="shared" si="36"/>
        <v>1.307714944007413E-2</v>
      </c>
      <c r="U145" t="str">
        <f t="shared" si="30"/>
        <v>2010-07</v>
      </c>
      <c r="W145">
        <v>21158.080000000002</v>
      </c>
      <c r="X145">
        <f t="shared" si="37"/>
        <v>1.6109723677760465E-2</v>
      </c>
      <c r="Y145">
        <f t="shared" si="38"/>
        <v>1.6240184899490806E-2</v>
      </c>
      <c r="Z145" t="str">
        <f t="shared" si="31"/>
        <v>2010-07</v>
      </c>
    </row>
    <row r="146" spans="1:26" x14ac:dyDescent="0.35">
      <c r="A146" s="1">
        <v>40387</v>
      </c>
      <c r="C146">
        <v>2766.11</v>
      </c>
      <c r="D146">
        <f t="shared" si="32"/>
        <v>-1.1561906256340687E-3</v>
      </c>
      <c r="E146" t="str">
        <f t="shared" si="26"/>
        <v>2010-07</v>
      </c>
      <c r="G146">
        <v>3670.36</v>
      </c>
      <c r="H146">
        <f t="shared" si="33"/>
        <v>1.0794956859846738E-3</v>
      </c>
      <c r="I146" t="str">
        <f t="shared" si="27"/>
        <v>2010-07</v>
      </c>
      <c r="K146">
        <v>6178.94</v>
      </c>
      <c r="L146">
        <f t="shared" si="34"/>
        <v>-4.5808940738404401E-3</v>
      </c>
      <c r="M146" t="str">
        <f t="shared" si="28"/>
        <v>2010-07</v>
      </c>
      <c r="O146">
        <v>6387.4631300000001</v>
      </c>
      <c r="P146">
        <f t="shared" si="35"/>
        <v>-6.9782719455514482E-3</v>
      </c>
      <c r="Q146" t="str">
        <f t="shared" si="29"/>
        <v>2010-07</v>
      </c>
      <c r="S146">
        <v>10643.9</v>
      </c>
      <c r="T146">
        <f t="shared" si="36"/>
        <v>-1.0334023843221972E-4</v>
      </c>
      <c r="U146" t="str">
        <f t="shared" si="30"/>
        <v>2010-07</v>
      </c>
      <c r="W146">
        <v>21082.06</v>
      </c>
      <c r="X146">
        <f t="shared" si="37"/>
        <v>-3.5994237744146644E-3</v>
      </c>
      <c r="Y146">
        <f t="shared" si="38"/>
        <v>-3.5929536139385253E-3</v>
      </c>
      <c r="Z146" t="str">
        <f t="shared" si="31"/>
        <v>2010-07</v>
      </c>
    </row>
    <row r="147" spans="1:26" x14ac:dyDescent="0.35">
      <c r="A147" s="1">
        <v>40388</v>
      </c>
      <c r="C147">
        <v>2752.93</v>
      </c>
      <c r="D147">
        <f t="shared" si="32"/>
        <v>-4.7762020406762655E-3</v>
      </c>
      <c r="E147" t="str">
        <f t="shared" si="26"/>
        <v>2010-07</v>
      </c>
      <c r="G147">
        <v>3651.91</v>
      </c>
      <c r="H147">
        <f t="shared" si="33"/>
        <v>-5.039431500377221E-3</v>
      </c>
      <c r="I147" t="str">
        <f t="shared" si="27"/>
        <v>2010-07</v>
      </c>
      <c r="K147">
        <v>6134.7</v>
      </c>
      <c r="L147">
        <f t="shared" si="34"/>
        <v>-7.1855585108441143E-3</v>
      </c>
      <c r="M147" t="str">
        <f t="shared" si="28"/>
        <v>2010-07</v>
      </c>
      <c r="O147">
        <v>6338.6293999999998</v>
      </c>
      <c r="P147">
        <f t="shared" si="35"/>
        <v>-7.6746211888839575E-3</v>
      </c>
      <c r="Q147" t="str">
        <f t="shared" si="29"/>
        <v>2010-07</v>
      </c>
      <c r="S147">
        <v>10659.5</v>
      </c>
      <c r="T147">
        <f t="shared" si="36"/>
        <v>1.4645552154491704E-3</v>
      </c>
      <c r="U147" t="str">
        <f t="shared" si="30"/>
        <v>2010-07</v>
      </c>
      <c r="W147">
        <v>21096.97</v>
      </c>
      <c r="X147">
        <f t="shared" si="37"/>
        <v>7.0698641581082603E-4</v>
      </c>
      <c r="Y147">
        <f t="shared" si="38"/>
        <v>7.0723638961277279E-4</v>
      </c>
      <c r="Z147" t="str">
        <f t="shared" si="31"/>
        <v>2010-07</v>
      </c>
    </row>
    <row r="148" spans="1:26" x14ac:dyDescent="0.35">
      <c r="A148" s="1">
        <v>40389</v>
      </c>
      <c r="C148">
        <v>2742.14</v>
      </c>
      <c r="D148">
        <f t="shared" si="32"/>
        <v>-3.927161571183775E-3</v>
      </c>
      <c r="E148" t="str">
        <f t="shared" si="26"/>
        <v>2010-07</v>
      </c>
      <c r="G148">
        <v>3643.14</v>
      </c>
      <c r="H148">
        <f t="shared" si="33"/>
        <v>-2.4043712448709627E-3</v>
      </c>
      <c r="I148" t="str">
        <f t="shared" si="27"/>
        <v>2010-07</v>
      </c>
      <c r="K148">
        <v>6147.97</v>
      </c>
      <c r="L148">
        <f t="shared" si="34"/>
        <v>2.1607688170487381E-3</v>
      </c>
      <c r="M148" t="str">
        <f t="shared" si="28"/>
        <v>2010-07</v>
      </c>
      <c r="O148">
        <v>6324.6952700000002</v>
      </c>
      <c r="P148">
        <f t="shared" si="35"/>
        <v>-2.2007073161004792E-3</v>
      </c>
      <c r="Q148" t="str">
        <f t="shared" si="29"/>
        <v>2010-07</v>
      </c>
      <c r="S148">
        <v>10499.8</v>
      </c>
      <c r="T148">
        <f t="shared" si="36"/>
        <v>-1.5095303959437862E-2</v>
      </c>
      <c r="U148" t="str">
        <f t="shared" si="30"/>
        <v>2010-07</v>
      </c>
      <c r="W148">
        <v>21021.56</v>
      </c>
      <c r="X148">
        <f t="shared" si="37"/>
        <v>-3.5808505462394751E-3</v>
      </c>
      <c r="Y148">
        <f t="shared" si="38"/>
        <v>-3.5744469466468336E-3</v>
      </c>
      <c r="Z148" t="str">
        <f t="shared" si="31"/>
        <v>2010-07</v>
      </c>
    </row>
    <row r="149" spans="1:26" x14ac:dyDescent="0.35">
      <c r="A149" s="1">
        <v>40392</v>
      </c>
      <c r="C149">
        <v>2822.17</v>
      </c>
      <c r="D149">
        <f t="shared" si="32"/>
        <v>2.8767455121163587E-2</v>
      </c>
      <c r="E149" t="str">
        <f t="shared" si="26"/>
        <v>2010-08</v>
      </c>
      <c r="G149">
        <v>3752.03</v>
      </c>
      <c r="H149">
        <f t="shared" si="33"/>
        <v>2.945107969410633E-2</v>
      </c>
      <c r="I149" t="str">
        <f t="shared" si="27"/>
        <v>2010-08</v>
      </c>
      <c r="K149">
        <v>6292.13</v>
      </c>
      <c r="L149">
        <f t="shared" si="34"/>
        <v>2.3177700110827343E-2</v>
      </c>
      <c r="M149" t="str">
        <f t="shared" si="28"/>
        <v>2010-08</v>
      </c>
      <c r="O149">
        <v>6510.71479</v>
      </c>
      <c r="P149">
        <f t="shared" si="35"/>
        <v>2.8987394167326718E-2</v>
      </c>
      <c r="Q149" t="str">
        <f t="shared" si="29"/>
        <v>2010-08</v>
      </c>
      <c r="S149">
        <v>10835.4</v>
      </c>
      <c r="T149">
        <f t="shared" si="36"/>
        <v>3.1462342341193793E-2</v>
      </c>
      <c r="U149" t="str">
        <f t="shared" si="30"/>
        <v>2010-08</v>
      </c>
      <c r="W149">
        <v>21547.84</v>
      </c>
      <c r="X149">
        <f t="shared" si="37"/>
        <v>2.4727001779323542E-2</v>
      </c>
      <c r="Y149">
        <f t="shared" si="38"/>
        <v>2.5035249524773557E-2</v>
      </c>
      <c r="Z149" t="str">
        <f t="shared" si="31"/>
        <v>2010-08</v>
      </c>
    </row>
    <row r="150" spans="1:26" x14ac:dyDescent="0.35">
      <c r="A150" s="1">
        <v>40393</v>
      </c>
      <c r="C150">
        <v>2818.97</v>
      </c>
      <c r="D150">
        <f t="shared" si="32"/>
        <v>-1.1345225763721319E-3</v>
      </c>
      <c r="E150" t="str">
        <f t="shared" si="26"/>
        <v>2010-08</v>
      </c>
      <c r="G150">
        <v>3747.51</v>
      </c>
      <c r="H150">
        <f t="shared" si="33"/>
        <v>-1.2054074109343145E-3</v>
      </c>
      <c r="I150" t="str">
        <f t="shared" si="27"/>
        <v>2010-08</v>
      </c>
      <c r="K150">
        <v>6307.91</v>
      </c>
      <c r="L150">
        <f t="shared" si="34"/>
        <v>2.5047552626886564E-3</v>
      </c>
      <c r="M150" t="str">
        <f t="shared" si="28"/>
        <v>2010-08</v>
      </c>
      <c r="O150">
        <v>6498.2936300000001</v>
      </c>
      <c r="P150">
        <f t="shared" si="35"/>
        <v>-1.9096249881054043E-3</v>
      </c>
      <c r="Q150" t="str">
        <f t="shared" si="29"/>
        <v>2010-08</v>
      </c>
      <c r="S150">
        <v>10871.4</v>
      </c>
      <c r="T150">
        <f t="shared" si="36"/>
        <v>3.316935983764157E-3</v>
      </c>
      <c r="U150" t="str">
        <f t="shared" si="30"/>
        <v>2010-08</v>
      </c>
      <c r="W150">
        <v>21498.32</v>
      </c>
      <c r="X150">
        <f t="shared" si="37"/>
        <v>-2.300786961950027E-3</v>
      </c>
      <c r="Y150">
        <f t="shared" si="38"/>
        <v>-2.2981421803763362E-3</v>
      </c>
      <c r="Z150" t="str">
        <f t="shared" si="31"/>
        <v>2010-08</v>
      </c>
    </row>
    <row r="151" spans="1:26" x14ac:dyDescent="0.35">
      <c r="A151" s="1">
        <v>40394</v>
      </c>
      <c r="C151">
        <v>2825.08</v>
      </c>
      <c r="D151">
        <f t="shared" si="32"/>
        <v>2.1651127778200443E-3</v>
      </c>
      <c r="E151" t="str">
        <f t="shared" si="26"/>
        <v>2010-08</v>
      </c>
      <c r="G151">
        <v>3760.72</v>
      </c>
      <c r="H151">
        <f t="shared" si="33"/>
        <v>3.5188089950715967E-3</v>
      </c>
      <c r="I151" t="str">
        <f t="shared" si="27"/>
        <v>2010-08</v>
      </c>
      <c r="K151">
        <v>6331.33</v>
      </c>
      <c r="L151">
        <f t="shared" si="34"/>
        <v>3.7059232681593795E-3</v>
      </c>
      <c r="M151" t="str">
        <f t="shared" si="28"/>
        <v>2010-08</v>
      </c>
      <c r="O151">
        <v>6501.3849799999998</v>
      </c>
      <c r="P151">
        <f t="shared" si="35"/>
        <v>4.7560407468732655E-4</v>
      </c>
      <c r="Q151" t="str">
        <f t="shared" si="29"/>
        <v>2010-08</v>
      </c>
      <c r="S151">
        <v>10843.3</v>
      </c>
      <c r="T151">
        <f t="shared" si="36"/>
        <v>-2.5881099610140209E-3</v>
      </c>
      <c r="U151" t="str">
        <f t="shared" si="30"/>
        <v>2010-08</v>
      </c>
      <c r="W151">
        <v>21466.44</v>
      </c>
      <c r="X151">
        <f t="shared" si="37"/>
        <v>-1.4840071654405886E-3</v>
      </c>
      <c r="Y151">
        <f t="shared" si="38"/>
        <v>-1.4829065713042237E-3</v>
      </c>
      <c r="Z151" t="str">
        <f t="shared" si="31"/>
        <v>2010-08</v>
      </c>
    </row>
    <row r="152" spans="1:26" x14ac:dyDescent="0.35">
      <c r="A152" s="1">
        <v>40395</v>
      </c>
      <c r="C152">
        <v>2819.34</v>
      </c>
      <c r="D152">
        <f t="shared" si="32"/>
        <v>-2.0338677769131262E-3</v>
      </c>
      <c r="E152" t="str">
        <f t="shared" si="26"/>
        <v>2010-08</v>
      </c>
      <c r="G152">
        <v>3764.19</v>
      </c>
      <c r="H152">
        <f t="shared" si="33"/>
        <v>9.2227023205871837E-4</v>
      </c>
      <c r="I152" t="str">
        <f t="shared" si="27"/>
        <v>2010-08</v>
      </c>
      <c r="K152">
        <v>6333.58</v>
      </c>
      <c r="L152">
        <f t="shared" si="34"/>
        <v>3.5531243785729219E-4</v>
      </c>
      <c r="M152" t="str">
        <f t="shared" si="28"/>
        <v>2010-08</v>
      </c>
      <c r="O152">
        <v>6468.7005900000004</v>
      </c>
      <c r="P152">
        <f t="shared" si="35"/>
        <v>-5.0399758751359857E-3</v>
      </c>
      <c r="Q152" t="str">
        <f t="shared" si="29"/>
        <v>2010-08</v>
      </c>
      <c r="S152">
        <v>10840</v>
      </c>
      <c r="T152">
        <f t="shared" si="36"/>
        <v>-3.0438171546554456E-4</v>
      </c>
      <c r="U152" t="str">
        <f t="shared" si="30"/>
        <v>2010-08</v>
      </c>
      <c r="W152">
        <v>21302.97</v>
      </c>
      <c r="X152">
        <f t="shared" si="37"/>
        <v>-7.6442857655243798E-3</v>
      </c>
      <c r="Y152">
        <f t="shared" si="38"/>
        <v>-7.6151425201382962E-3</v>
      </c>
      <c r="Z152" t="str">
        <f t="shared" si="31"/>
        <v>2010-08</v>
      </c>
    </row>
    <row r="153" spans="1:26" x14ac:dyDescent="0.35">
      <c r="A153" s="1">
        <v>40396</v>
      </c>
      <c r="C153">
        <v>2779.34</v>
      </c>
      <c r="D153">
        <f t="shared" si="32"/>
        <v>-1.4289325560227443E-2</v>
      </c>
      <c r="E153" t="str">
        <f t="shared" si="26"/>
        <v>2010-08</v>
      </c>
      <c r="G153">
        <v>3716.05</v>
      </c>
      <c r="H153">
        <f t="shared" si="33"/>
        <v>-1.2871422474436229E-2</v>
      </c>
      <c r="I153" t="str">
        <f t="shared" si="27"/>
        <v>2010-08</v>
      </c>
      <c r="K153">
        <v>6259.63</v>
      </c>
      <c r="L153">
        <f t="shared" si="34"/>
        <v>-1.1744559174420277E-2</v>
      </c>
      <c r="M153" t="str">
        <f t="shared" si="28"/>
        <v>2010-08</v>
      </c>
      <c r="O153">
        <v>6408.4346299999997</v>
      </c>
      <c r="P153">
        <f t="shared" si="35"/>
        <v>-9.360218554826466E-3</v>
      </c>
      <c r="Q153" t="str">
        <f t="shared" si="29"/>
        <v>2010-08</v>
      </c>
      <c r="S153">
        <v>10651.1</v>
      </c>
      <c r="T153">
        <f t="shared" si="36"/>
        <v>-1.7579822804760913E-2</v>
      </c>
      <c r="U153" t="str">
        <f t="shared" si="30"/>
        <v>2010-08</v>
      </c>
      <c r="W153">
        <v>21084.47</v>
      </c>
      <c r="X153">
        <f t="shared" si="37"/>
        <v>-1.030974908497361E-2</v>
      </c>
      <c r="Y153">
        <f t="shared" si="38"/>
        <v>-1.0256785790901456E-2</v>
      </c>
      <c r="Z153" t="str">
        <f t="shared" si="31"/>
        <v>2010-08</v>
      </c>
    </row>
    <row r="154" spans="1:26" x14ac:dyDescent="0.35">
      <c r="A154" s="1">
        <v>40399</v>
      </c>
      <c r="C154">
        <v>2827.27</v>
      </c>
      <c r="D154">
        <f t="shared" si="32"/>
        <v>1.7098092311756623E-2</v>
      </c>
      <c r="E154" t="str">
        <f t="shared" si="26"/>
        <v>2010-08</v>
      </c>
      <c r="G154">
        <v>3777.37</v>
      </c>
      <c r="H154">
        <f t="shared" si="33"/>
        <v>1.6366724088023282E-2</v>
      </c>
      <c r="I154" t="str">
        <f t="shared" si="27"/>
        <v>2010-08</v>
      </c>
      <c r="K154">
        <v>6351.6</v>
      </c>
      <c r="L154">
        <f t="shared" si="34"/>
        <v>1.4585671735902753E-2</v>
      </c>
      <c r="M154" t="str">
        <f t="shared" si="28"/>
        <v>2010-08</v>
      </c>
      <c r="O154">
        <v>6513.9732400000003</v>
      </c>
      <c r="P154">
        <f t="shared" si="35"/>
        <v>1.6334565149913063E-2</v>
      </c>
      <c r="Q154" t="str">
        <f t="shared" si="29"/>
        <v>2010-08</v>
      </c>
      <c r="S154">
        <v>10812.6</v>
      </c>
      <c r="T154">
        <f t="shared" si="36"/>
        <v>1.5048947563404233E-2</v>
      </c>
      <c r="U154" t="str">
        <f t="shared" si="30"/>
        <v>2010-08</v>
      </c>
      <c r="W154">
        <v>21341.62</v>
      </c>
      <c r="X154">
        <f t="shared" si="37"/>
        <v>1.2122406239504739E-2</v>
      </c>
      <c r="Y154">
        <f t="shared" si="38"/>
        <v>1.2196180411459135E-2</v>
      </c>
      <c r="Z154" t="str">
        <f t="shared" si="31"/>
        <v>2010-08</v>
      </c>
    </row>
    <row r="155" spans="1:26" x14ac:dyDescent="0.35">
      <c r="A155" s="1">
        <v>40400</v>
      </c>
      <c r="C155">
        <v>2800.02</v>
      </c>
      <c r="D155">
        <f t="shared" si="32"/>
        <v>-9.6850217433365488E-3</v>
      </c>
      <c r="E155" t="str">
        <f t="shared" si="26"/>
        <v>2010-08</v>
      </c>
      <c r="G155">
        <v>3730.58</v>
      </c>
      <c r="H155">
        <f t="shared" si="33"/>
        <v>-1.2464282731373526E-2</v>
      </c>
      <c r="I155" t="str">
        <f t="shared" si="27"/>
        <v>2010-08</v>
      </c>
      <c r="K155">
        <v>6286.25</v>
      </c>
      <c r="L155">
        <f t="shared" si="34"/>
        <v>-1.0342041165767717E-2</v>
      </c>
      <c r="M155" t="str">
        <f t="shared" si="28"/>
        <v>2010-08</v>
      </c>
      <c r="O155">
        <v>6473.2517399999997</v>
      </c>
      <c r="P155">
        <f t="shared" si="35"/>
        <v>-6.2710291864676746E-3</v>
      </c>
      <c r="Q155" t="str">
        <f t="shared" si="29"/>
        <v>2010-08</v>
      </c>
      <c r="S155">
        <v>10718.5</v>
      </c>
      <c r="T155">
        <f t="shared" si="36"/>
        <v>-8.7409002910901219E-3</v>
      </c>
      <c r="U155" t="str">
        <f t="shared" si="30"/>
        <v>2010-08</v>
      </c>
      <c r="W155">
        <v>21259.89</v>
      </c>
      <c r="X155">
        <f t="shared" si="37"/>
        <v>-3.8369579045784705E-3</v>
      </c>
      <c r="Y155">
        <f t="shared" si="38"/>
        <v>-3.8296061873465824E-3</v>
      </c>
      <c r="Z155" t="str">
        <f t="shared" si="31"/>
        <v>2010-08</v>
      </c>
    </row>
    <row r="156" spans="1:26" x14ac:dyDescent="0.35">
      <c r="A156" s="1">
        <v>40401</v>
      </c>
      <c r="C156">
        <v>2724.16</v>
      </c>
      <c r="D156">
        <f t="shared" si="32"/>
        <v>-2.7466436299235921E-2</v>
      </c>
      <c r="E156" t="str">
        <f t="shared" si="26"/>
        <v>2010-08</v>
      </c>
      <c r="G156">
        <v>3628.29</v>
      </c>
      <c r="H156">
        <f t="shared" si="33"/>
        <v>-2.7802254639829393E-2</v>
      </c>
      <c r="I156" t="str">
        <f t="shared" si="27"/>
        <v>2010-08</v>
      </c>
      <c r="K156">
        <v>6154.07</v>
      </c>
      <c r="L156">
        <f t="shared" si="34"/>
        <v>-2.1251056953246861E-2</v>
      </c>
      <c r="M156" t="str">
        <f t="shared" si="28"/>
        <v>2010-08</v>
      </c>
      <c r="O156">
        <v>6373.71994</v>
      </c>
      <c r="P156">
        <f t="shared" si="35"/>
        <v>-1.5495292426979806E-2</v>
      </c>
      <c r="Q156" t="str">
        <f t="shared" si="29"/>
        <v>2010-08</v>
      </c>
      <c r="S156">
        <v>10374.799999999999</v>
      </c>
      <c r="T156">
        <f t="shared" si="36"/>
        <v>-3.2591431656530973E-2</v>
      </c>
      <c r="U156" t="str">
        <f t="shared" si="30"/>
        <v>2010-08</v>
      </c>
      <c r="W156">
        <v>20579.240000000002</v>
      </c>
      <c r="X156">
        <f t="shared" si="37"/>
        <v>-3.2539398197996589E-2</v>
      </c>
      <c r="Y156">
        <f t="shared" si="38"/>
        <v>-3.2015687757556498E-2</v>
      </c>
      <c r="Z156" t="str">
        <f t="shared" si="31"/>
        <v>2010-08</v>
      </c>
    </row>
    <row r="157" spans="1:26" x14ac:dyDescent="0.35">
      <c r="A157" s="1">
        <v>40402</v>
      </c>
      <c r="C157">
        <v>2720.85</v>
      </c>
      <c r="D157">
        <f t="shared" si="32"/>
        <v>-1.215792223604068E-3</v>
      </c>
      <c r="E157" t="str">
        <f t="shared" si="26"/>
        <v>2010-08</v>
      </c>
      <c r="G157">
        <v>3621.07</v>
      </c>
      <c r="H157">
        <f t="shared" si="33"/>
        <v>-1.9919006332181333E-3</v>
      </c>
      <c r="I157" t="str">
        <f t="shared" si="27"/>
        <v>2010-08</v>
      </c>
      <c r="K157">
        <v>6135.17</v>
      </c>
      <c r="L157">
        <f t="shared" si="34"/>
        <v>-3.075863910376207E-3</v>
      </c>
      <c r="M157" t="str">
        <f t="shared" si="28"/>
        <v>2010-08</v>
      </c>
      <c r="O157">
        <v>6384.6058999999996</v>
      </c>
      <c r="P157">
        <f t="shared" si="35"/>
        <v>1.7064876345484474E-3</v>
      </c>
      <c r="Q157" t="str">
        <f t="shared" si="29"/>
        <v>2010-08</v>
      </c>
      <c r="S157">
        <v>10342.4</v>
      </c>
      <c r="T157">
        <f t="shared" si="36"/>
        <v>-3.1278383579925965E-3</v>
      </c>
      <c r="U157" t="str">
        <f t="shared" si="30"/>
        <v>2010-08</v>
      </c>
      <c r="W157">
        <v>20539.400000000001</v>
      </c>
      <c r="X157">
        <f t="shared" si="37"/>
        <v>-1.9378078879519866E-3</v>
      </c>
      <c r="Y157">
        <f t="shared" si="38"/>
        <v>-1.9359315504362718E-3</v>
      </c>
      <c r="Z157" t="str">
        <f t="shared" si="31"/>
        <v>2010-08</v>
      </c>
    </row>
    <row r="158" spans="1:26" x14ac:dyDescent="0.35">
      <c r="A158" s="1">
        <v>40403</v>
      </c>
      <c r="C158">
        <v>2708.73</v>
      </c>
      <c r="D158">
        <f t="shared" si="32"/>
        <v>-4.4644411282420285E-3</v>
      </c>
      <c r="E158" t="str">
        <f t="shared" si="26"/>
        <v>2010-08</v>
      </c>
      <c r="G158">
        <v>3610.91</v>
      </c>
      <c r="H158">
        <f t="shared" si="33"/>
        <v>-2.8097441320763424E-3</v>
      </c>
      <c r="I158" t="str">
        <f t="shared" si="27"/>
        <v>2010-08</v>
      </c>
      <c r="K158">
        <v>6110.41</v>
      </c>
      <c r="L158">
        <f t="shared" si="34"/>
        <v>-4.0439135985670949E-3</v>
      </c>
      <c r="M158" t="str">
        <f t="shared" si="28"/>
        <v>2010-08</v>
      </c>
      <c r="O158">
        <v>6433.0510100000001</v>
      </c>
      <c r="P158">
        <f t="shared" si="35"/>
        <v>7.5591570320317145E-3</v>
      </c>
      <c r="Q158" t="str">
        <f t="shared" si="29"/>
        <v>2010-08</v>
      </c>
      <c r="S158">
        <v>10275.799999999999</v>
      </c>
      <c r="T158">
        <f t="shared" si="36"/>
        <v>-6.4603342322982465E-3</v>
      </c>
      <c r="U158" t="str">
        <f t="shared" si="30"/>
        <v>2010-08</v>
      </c>
      <c r="W158">
        <v>20473.150000000001</v>
      </c>
      <c r="X158">
        <f t="shared" si="37"/>
        <v>-3.230721212117575E-3</v>
      </c>
      <c r="Y158">
        <f t="shared" si="38"/>
        <v>-3.2255080479468728E-3</v>
      </c>
      <c r="Z158" t="str">
        <f t="shared" si="31"/>
        <v>2010-08</v>
      </c>
    </row>
    <row r="159" spans="1:26" x14ac:dyDescent="0.35">
      <c r="A159" s="1">
        <v>40406</v>
      </c>
      <c r="C159">
        <v>2698.29</v>
      </c>
      <c r="D159">
        <f t="shared" si="32"/>
        <v>-3.8616513250338256E-3</v>
      </c>
      <c r="E159" t="str">
        <f t="shared" si="26"/>
        <v>2010-08</v>
      </c>
      <c r="G159">
        <v>3597.6</v>
      </c>
      <c r="H159">
        <f t="shared" si="33"/>
        <v>-3.6928616665453818E-3</v>
      </c>
      <c r="I159" t="str">
        <f t="shared" si="27"/>
        <v>2010-08</v>
      </c>
      <c r="K159">
        <v>6110.57</v>
      </c>
      <c r="L159">
        <f t="shared" si="34"/>
        <v>2.6184479478630613E-5</v>
      </c>
      <c r="M159" t="str">
        <f t="shared" si="28"/>
        <v>2010-08</v>
      </c>
      <c r="O159">
        <v>6445.8266199999998</v>
      </c>
      <c r="P159">
        <f t="shared" si="35"/>
        <v>1.9839639070348674E-3</v>
      </c>
      <c r="Q159" t="str">
        <f t="shared" si="29"/>
        <v>2010-08</v>
      </c>
      <c r="S159">
        <v>10258.299999999999</v>
      </c>
      <c r="T159">
        <f t="shared" si="36"/>
        <v>-1.7044822258425053E-3</v>
      </c>
      <c r="U159" t="str">
        <f t="shared" si="30"/>
        <v>2010-08</v>
      </c>
      <c r="W159">
        <v>20409.060000000001</v>
      </c>
      <c r="X159">
        <f t="shared" si="37"/>
        <v>-3.1353516604253986E-3</v>
      </c>
      <c r="Y159">
        <f t="shared" si="38"/>
        <v>-3.1304415783599566E-3</v>
      </c>
      <c r="Z159" t="str">
        <f t="shared" si="31"/>
        <v>2010-08</v>
      </c>
    </row>
    <row r="160" spans="1:26" x14ac:dyDescent="0.35">
      <c r="A160" s="1">
        <v>40407</v>
      </c>
      <c r="C160">
        <v>2737.69</v>
      </c>
      <c r="D160">
        <f t="shared" si="32"/>
        <v>1.4496260090125912E-2</v>
      </c>
      <c r="E160" t="str">
        <f t="shared" si="26"/>
        <v>2010-08</v>
      </c>
      <c r="G160">
        <v>3663.13</v>
      </c>
      <c r="H160">
        <f t="shared" si="33"/>
        <v>1.8051016728050359E-2</v>
      </c>
      <c r="I160" t="str">
        <f t="shared" si="27"/>
        <v>2010-08</v>
      </c>
      <c r="K160">
        <v>6206.4</v>
      </c>
      <c r="L160">
        <f t="shared" si="34"/>
        <v>1.5560959182239714E-2</v>
      </c>
      <c r="M160" t="str">
        <f t="shared" si="28"/>
        <v>2010-08</v>
      </c>
      <c r="O160">
        <v>6474.3566799999999</v>
      </c>
      <c r="P160">
        <f t="shared" si="35"/>
        <v>4.4163624786119505E-3</v>
      </c>
      <c r="Q160" t="str">
        <f t="shared" si="29"/>
        <v>2010-08</v>
      </c>
      <c r="S160">
        <v>10369.5</v>
      </c>
      <c r="T160">
        <f t="shared" si="36"/>
        <v>1.0781671064903501E-2</v>
      </c>
      <c r="U160" t="str">
        <f t="shared" si="30"/>
        <v>2010-08</v>
      </c>
      <c r="W160">
        <v>20668.57</v>
      </c>
      <c r="X160">
        <f t="shared" si="37"/>
        <v>1.2635269004350819E-2</v>
      </c>
      <c r="Y160">
        <f t="shared" si="38"/>
        <v>1.2715431283949304E-2</v>
      </c>
      <c r="Z160" t="str">
        <f t="shared" si="31"/>
        <v>2010-08</v>
      </c>
    </row>
    <row r="161" spans="1:26" x14ac:dyDescent="0.35">
      <c r="A161" s="1">
        <v>40408</v>
      </c>
      <c r="C161">
        <v>2728.66</v>
      </c>
      <c r="D161">
        <f t="shared" si="32"/>
        <v>-3.3038529233841642E-3</v>
      </c>
      <c r="E161" t="str">
        <f t="shared" si="26"/>
        <v>2010-08</v>
      </c>
      <c r="G161">
        <v>3647.93</v>
      </c>
      <c r="H161">
        <f t="shared" si="33"/>
        <v>-4.158089770920712E-3</v>
      </c>
      <c r="I161" t="str">
        <f t="shared" si="27"/>
        <v>2010-08</v>
      </c>
      <c r="K161">
        <v>6186.31</v>
      </c>
      <c r="L161">
        <f t="shared" si="34"/>
        <v>-3.2422315375645354E-3</v>
      </c>
      <c r="M161" t="str">
        <f t="shared" si="28"/>
        <v>2010-08</v>
      </c>
      <c r="O161">
        <v>6432.2268599999998</v>
      </c>
      <c r="P161">
        <f t="shared" si="35"/>
        <v>-6.5284464324046601E-3</v>
      </c>
      <c r="Q161" t="str">
        <f t="shared" si="29"/>
        <v>2010-08</v>
      </c>
      <c r="S161">
        <v>10391</v>
      </c>
      <c r="T161">
        <f t="shared" si="36"/>
        <v>2.0712417992174094E-3</v>
      </c>
      <c r="U161" t="str">
        <f t="shared" si="30"/>
        <v>2010-08</v>
      </c>
      <c r="W161">
        <v>20536.77</v>
      </c>
      <c r="X161">
        <f t="shared" si="37"/>
        <v>-6.3972509141108184E-3</v>
      </c>
      <c r="Y161">
        <f t="shared" si="38"/>
        <v>-6.3768320691755297E-3</v>
      </c>
      <c r="Z161" t="str">
        <f t="shared" si="31"/>
        <v>2010-08</v>
      </c>
    </row>
    <row r="162" spans="1:26" x14ac:dyDescent="0.35">
      <c r="A162" s="1">
        <v>40409</v>
      </c>
      <c r="C162">
        <v>2675.02</v>
      </c>
      <c r="D162">
        <f t="shared" si="32"/>
        <v>-1.9853789247882916E-2</v>
      </c>
      <c r="E162" t="str">
        <f t="shared" si="26"/>
        <v>2010-08</v>
      </c>
      <c r="G162">
        <v>3572.4</v>
      </c>
      <c r="H162">
        <f t="shared" si="33"/>
        <v>-2.0922244603896224E-2</v>
      </c>
      <c r="I162" t="str">
        <f t="shared" si="27"/>
        <v>2010-08</v>
      </c>
      <c r="K162">
        <v>6075.13</v>
      </c>
      <c r="L162">
        <f t="shared" si="34"/>
        <v>-1.8135397991393281E-2</v>
      </c>
      <c r="M162" t="str">
        <f t="shared" si="28"/>
        <v>2010-08</v>
      </c>
      <c r="O162">
        <v>6344.3381600000002</v>
      </c>
      <c r="P162">
        <f t="shared" si="35"/>
        <v>-1.3758014955913462E-2</v>
      </c>
      <c r="Q162" t="str">
        <f t="shared" si="29"/>
        <v>2010-08</v>
      </c>
      <c r="S162">
        <v>10238</v>
      </c>
      <c r="T162">
        <f t="shared" si="36"/>
        <v>-1.4833758835118201E-2</v>
      </c>
      <c r="U162" t="str">
        <f t="shared" si="30"/>
        <v>2010-08</v>
      </c>
      <c r="W162">
        <v>20115.689999999999</v>
      </c>
      <c r="X162">
        <f t="shared" si="37"/>
        <v>-2.0716830423856782E-2</v>
      </c>
      <c r="Y162">
        <f t="shared" si="38"/>
        <v>-2.0503711148345222E-2</v>
      </c>
      <c r="Z162" t="str">
        <f t="shared" si="31"/>
        <v>2010-08</v>
      </c>
    </row>
    <row r="163" spans="1:26" x14ac:dyDescent="0.35">
      <c r="A163" s="1">
        <v>40410</v>
      </c>
      <c r="C163">
        <v>2643.98</v>
      </c>
      <c r="D163">
        <f t="shared" si="32"/>
        <v>-1.1671499291224029E-2</v>
      </c>
      <c r="E163" t="str">
        <f t="shared" si="26"/>
        <v>2010-08</v>
      </c>
      <c r="G163">
        <v>3526.12</v>
      </c>
      <c r="H163">
        <f t="shared" si="33"/>
        <v>-1.3039522532553E-2</v>
      </c>
      <c r="I163" t="str">
        <f t="shared" si="27"/>
        <v>2010-08</v>
      </c>
      <c r="K163">
        <v>6005.16</v>
      </c>
      <c r="L163">
        <f t="shared" si="34"/>
        <v>-1.1584288534670757E-2</v>
      </c>
      <c r="M163" t="str">
        <f t="shared" si="28"/>
        <v>2010-08</v>
      </c>
      <c r="O163">
        <v>6350.6952300000003</v>
      </c>
      <c r="P163">
        <f t="shared" si="35"/>
        <v>1.0015051297713876E-3</v>
      </c>
      <c r="Q163" t="str">
        <f t="shared" si="29"/>
        <v>2010-08</v>
      </c>
      <c r="S163">
        <v>10094.299999999999</v>
      </c>
      <c r="T163">
        <f t="shared" si="36"/>
        <v>-1.4135379932855496E-2</v>
      </c>
      <c r="U163" t="str">
        <f t="shared" si="30"/>
        <v>2010-08</v>
      </c>
      <c r="W163">
        <v>19870.46</v>
      </c>
      <c r="X163">
        <f t="shared" si="37"/>
        <v>-1.2265900798695311E-2</v>
      </c>
      <c r="Y163">
        <f t="shared" si="38"/>
        <v>-1.2190981268850314E-2</v>
      </c>
      <c r="Z163" t="str">
        <f t="shared" si="31"/>
        <v>2010-08</v>
      </c>
    </row>
    <row r="164" spans="1:26" x14ac:dyDescent="0.35">
      <c r="A164" s="1">
        <v>40413</v>
      </c>
      <c r="C164">
        <v>2660.84</v>
      </c>
      <c r="D164">
        <f t="shared" si="32"/>
        <v>6.3565047519806919E-3</v>
      </c>
      <c r="E164" t="str">
        <f t="shared" si="26"/>
        <v>2010-08</v>
      </c>
      <c r="G164">
        <v>3553.23</v>
      </c>
      <c r="H164">
        <f t="shared" si="33"/>
        <v>7.6589326762745435E-3</v>
      </c>
      <c r="I164" t="str">
        <f t="shared" si="27"/>
        <v>2010-08</v>
      </c>
      <c r="K164">
        <v>6010.91</v>
      </c>
      <c r="L164">
        <f t="shared" si="34"/>
        <v>9.5705175467374753E-4</v>
      </c>
      <c r="M164" t="str">
        <f t="shared" si="28"/>
        <v>2010-08</v>
      </c>
      <c r="O164">
        <v>6412.4620699999996</v>
      </c>
      <c r="P164">
        <f t="shared" si="35"/>
        <v>9.6790035187266244E-3</v>
      </c>
      <c r="Q164" t="str">
        <f t="shared" si="29"/>
        <v>2010-08</v>
      </c>
      <c r="S164">
        <v>10221.200000000001</v>
      </c>
      <c r="T164">
        <f t="shared" si="36"/>
        <v>1.2493086609951638E-2</v>
      </c>
      <c r="U164" t="str">
        <f t="shared" si="30"/>
        <v>2010-08</v>
      </c>
      <c r="W164">
        <v>20010.34</v>
      </c>
      <c r="X164">
        <f t="shared" si="37"/>
        <v>7.0149331816709137E-3</v>
      </c>
      <c r="Y164">
        <f t="shared" si="38"/>
        <v>7.0395954597931316E-3</v>
      </c>
      <c r="Z164" t="str">
        <f t="shared" si="31"/>
        <v>2010-08</v>
      </c>
    </row>
    <row r="165" spans="1:26" x14ac:dyDescent="0.35">
      <c r="A165" s="1">
        <v>40414</v>
      </c>
      <c r="C165">
        <v>2614.54</v>
      </c>
      <c r="D165">
        <f t="shared" si="32"/>
        <v>-1.7553688594867788E-2</v>
      </c>
      <c r="E165" t="str">
        <f t="shared" si="26"/>
        <v>2010-08</v>
      </c>
      <c r="G165">
        <v>3491.11</v>
      </c>
      <c r="H165">
        <f t="shared" si="33"/>
        <v>-1.7637311748729196E-2</v>
      </c>
      <c r="I165" t="str">
        <f t="shared" si="27"/>
        <v>2010-08</v>
      </c>
      <c r="K165">
        <v>5935.44</v>
      </c>
      <c r="L165">
        <f t="shared" si="34"/>
        <v>-1.2634989602435167E-2</v>
      </c>
      <c r="M165" t="str">
        <f t="shared" si="28"/>
        <v>2010-08</v>
      </c>
      <c r="O165">
        <v>6291.1378599999998</v>
      </c>
      <c r="P165">
        <f t="shared" si="35"/>
        <v>-1.9101341276684166E-2</v>
      </c>
      <c r="Q165" t="str">
        <f t="shared" si="29"/>
        <v>2010-08</v>
      </c>
      <c r="S165">
        <v>10052.299999999999</v>
      </c>
      <c r="T165">
        <f t="shared" si="36"/>
        <v>-1.6662530669485726E-2</v>
      </c>
      <c r="U165" t="str">
        <f t="shared" si="30"/>
        <v>2010-08</v>
      </c>
      <c r="W165">
        <v>19694.88</v>
      </c>
      <c r="X165">
        <f t="shared" si="37"/>
        <v>-1.5890436468212567E-2</v>
      </c>
      <c r="Y165">
        <f t="shared" si="38"/>
        <v>-1.5764849572770835E-2</v>
      </c>
      <c r="Z165" t="str">
        <f t="shared" si="31"/>
        <v>2010-08</v>
      </c>
    </row>
    <row r="166" spans="1:26" x14ac:dyDescent="0.35">
      <c r="A166" s="1">
        <v>40415</v>
      </c>
      <c r="C166">
        <v>2587.4</v>
      </c>
      <c r="D166">
        <f t="shared" si="32"/>
        <v>-1.043466331975848E-2</v>
      </c>
      <c r="E166" t="str">
        <f t="shared" si="26"/>
        <v>2010-08</v>
      </c>
      <c r="G166">
        <v>3450.19</v>
      </c>
      <c r="H166">
        <f t="shared" si="33"/>
        <v>-1.1790435231982298E-2</v>
      </c>
      <c r="I166" t="str">
        <f t="shared" si="27"/>
        <v>2010-08</v>
      </c>
      <c r="K166">
        <v>5899.5</v>
      </c>
      <c r="L166">
        <f t="shared" si="34"/>
        <v>-6.0735602343388196E-3</v>
      </c>
      <c r="M166" t="str">
        <f t="shared" si="28"/>
        <v>2010-08</v>
      </c>
      <c r="O166">
        <v>6236.9778100000003</v>
      </c>
      <c r="P166">
        <f t="shared" si="35"/>
        <v>-8.6462144555312249E-3</v>
      </c>
      <c r="Q166" t="str">
        <f t="shared" si="29"/>
        <v>2010-08</v>
      </c>
      <c r="S166">
        <v>9894</v>
      </c>
      <c r="T166">
        <f t="shared" si="36"/>
        <v>-1.5872951237485028E-2</v>
      </c>
      <c r="U166" t="str">
        <f t="shared" si="30"/>
        <v>2010-08</v>
      </c>
      <c r="W166">
        <v>19465.45</v>
      </c>
      <c r="X166">
        <f t="shared" si="37"/>
        <v>-1.1717604274458027E-2</v>
      </c>
      <c r="Y166">
        <f t="shared" si="38"/>
        <v>-1.1649220508071148E-2</v>
      </c>
      <c r="Z166" t="str">
        <f t="shared" si="31"/>
        <v>2010-08</v>
      </c>
    </row>
    <row r="167" spans="1:26" x14ac:dyDescent="0.35">
      <c r="A167" s="1">
        <v>40416</v>
      </c>
      <c r="C167">
        <v>2606.89</v>
      </c>
      <c r="D167">
        <f t="shared" si="32"/>
        <v>7.5044294666773695E-3</v>
      </c>
      <c r="E167" t="str">
        <f t="shared" si="26"/>
        <v>2010-08</v>
      </c>
      <c r="G167">
        <v>3475.03</v>
      </c>
      <c r="H167">
        <f t="shared" si="33"/>
        <v>7.1738100824117372E-3</v>
      </c>
      <c r="I167" t="str">
        <f t="shared" si="27"/>
        <v>2010-08</v>
      </c>
      <c r="K167">
        <v>5912.58</v>
      </c>
      <c r="L167">
        <f t="shared" si="34"/>
        <v>2.2146828240671959E-3</v>
      </c>
      <c r="M167" t="str">
        <f t="shared" si="28"/>
        <v>2010-08</v>
      </c>
      <c r="O167">
        <v>6304.0625700000001</v>
      </c>
      <c r="P167">
        <f t="shared" si="35"/>
        <v>1.0698538213051341E-2</v>
      </c>
      <c r="Q167" t="str">
        <f t="shared" si="29"/>
        <v>2010-08</v>
      </c>
      <c r="S167">
        <v>10004.4</v>
      </c>
      <c r="T167">
        <f t="shared" si="36"/>
        <v>1.1096483416914094E-2</v>
      </c>
      <c r="U167" t="str">
        <f t="shared" si="30"/>
        <v>2010-08</v>
      </c>
      <c r="W167">
        <v>19735.47</v>
      </c>
      <c r="X167">
        <f t="shared" si="37"/>
        <v>1.3776425174477981E-2</v>
      </c>
      <c r="Y167">
        <f t="shared" si="38"/>
        <v>1.3871757395796163E-2</v>
      </c>
      <c r="Z167" t="str">
        <f t="shared" si="31"/>
        <v>2010-08</v>
      </c>
    </row>
    <row r="168" spans="1:26" x14ac:dyDescent="0.35">
      <c r="A168" s="1">
        <v>40417</v>
      </c>
      <c r="C168">
        <v>2630.35</v>
      </c>
      <c r="D168">
        <f t="shared" si="32"/>
        <v>8.9589772149025419E-3</v>
      </c>
      <c r="E168" t="str">
        <f t="shared" si="26"/>
        <v>2010-08</v>
      </c>
      <c r="G168">
        <v>3507.44</v>
      </c>
      <c r="H168">
        <f t="shared" si="33"/>
        <v>9.2833145741526811E-3</v>
      </c>
      <c r="I168" t="str">
        <f t="shared" si="27"/>
        <v>2010-08</v>
      </c>
      <c r="K168">
        <v>5951.17</v>
      </c>
      <c r="L168">
        <f t="shared" si="34"/>
        <v>6.505554500250396E-3</v>
      </c>
      <c r="M168" t="str">
        <f t="shared" si="28"/>
        <v>2010-08</v>
      </c>
      <c r="O168">
        <v>6332.3871399999998</v>
      </c>
      <c r="P168">
        <f t="shared" si="35"/>
        <v>4.483002439344322E-3</v>
      </c>
      <c r="Q168" t="str">
        <f t="shared" si="29"/>
        <v>2010-08</v>
      </c>
      <c r="S168">
        <v>10148.200000000001</v>
      </c>
      <c r="T168">
        <f t="shared" si="36"/>
        <v>1.427135363730799E-2</v>
      </c>
      <c r="U168" t="str">
        <f t="shared" si="30"/>
        <v>2010-08</v>
      </c>
      <c r="W168">
        <v>19817.46</v>
      </c>
      <c r="X168">
        <f t="shared" si="37"/>
        <v>4.1458429217288715E-3</v>
      </c>
      <c r="Y168">
        <f t="shared" si="38"/>
        <v>4.1544488172816736E-3</v>
      </c>
      <c r="Z168" t="str">
        <f t="shared" si="31"/>
        <v>2010-08</v>
      </c>
    </row>
    <row r="169" spans="1:26" x14ac:dyDescent="0.35">
      <c r="A169" s="1">
        <v>40421</v>
      </c>
      <c r="C169">
        <v>2622.95</v>
      </c>
      <c r="D169">
        <f t="shared" si="32"/>
        <v>-2.8172786227776609E-3</v>
      </c>
      <c r="E169" t="str">
        <f t="shared" si="26"/>
        <v>2010-08</v>
      </c>
      <c r="G169">
        <v>3490.79</v>
      </c>
      <c r="H169">
        <f t="shared" si="33"/>
        <v>-4.7583550171066899E-3</v>
      </c>
      <c r="I169" t="str">
        <f t="shared" si="27"/>
        <v>2010-08</v>
      </c>
      <c r="K169">
        <v>5925.22</v>
      </c>
      <c r="L169">
        <f t="shared" si="34"/>
        <v>-4.3700217486026807E-3</v>
      </c>
      <c r="M169" t="str">
        <f t="shared" si="28"/>
        <v>2010-08</v>
      </c>
      <c r="O169">
        <v>6316.4669899999999</v>
      </c>
      <c r="P169">
        <f t="shared" si="35"/>
        <v>-2.5172491109372737E-3</v>
      </c>
      <c r="Q169" t="str">
        <f t="shared" si="29"/>
        <v>2010-08</v>
      </c>
      <c r="S169">
        <v>10187</v>
      </c>
      <c r="T169">
        <f t="shared" si="36"/>
        <v>3.8160477481903954E-3</v>
      </c>
      <c r="U169" t="str">
        <f t="shared" si="30"/>
        <v>2010-08</v>
      </c>
      <c r="W169">
        <v>19734.57</v>
      </c>
      <c r="X169">
        <f t="shared" si="37"/>
        <v>-4.1914471319174154E-3</v>
      </c>
      <c r="Y169">
        <f t="shared" si="38"/>
        <v>-4.1826752772554819E-3</v>
      </c>
      <c r="Z169" t="str">
        <f t="shared" si="31"/>
        <v>2010-08</v>
      </c>
    </row>
    <row r="170" spans="1:26" x14ac:dyDescent="0.35">
      <c r="A170" s="1">
        <v>40422</v>
      </c>
      <c r="C170">
        <v>2715.27</v>
      </c>
      <c r="D170">
        <f t="shared" si="32"/>
        <v>3.4591757394667966E-2</v>
      </c>
      <c r="E170" t="str">
        <f t="shared" si="26"/>
        <v>2010-09</v>
      </c>
      <c r="G170">
        <v>3623.84</v>
      </c>
      <c r="H170">
        <f t="shared" si="33"/>
        <v>3.7406165465651141E-2</v>
      </c>
      <c r="I170" t="str">
        <f t="shared" si="27"/>
        <v>2010-09</v>
      </c>
      <c r="K170">
        <v>6083.9</v>
      </c>
      <c r="L170">
        <f t="shared" si="34"/>
        <v>2.6428120573515179E-2</v>
      </c>
      <c r="M170" t="str">
        <f t="shared" si="28"/>
        <v>2010-09</v>
      </c>
      <c r="O170">
        <v>6479.8687799999998</v>
      </c>
      <c r="P170">
        <f t="shared" si="35"/>
        <v>2.5540228880258597E-2</v>
      </c>
      <c r="Q170" t="str">
        <f t="shared" si="29"/>
        <v>2010-09</v>
      </c>
      <c r="S170">
        <v>10544.8</v>
      </c>
      <c r="T170">
        <f t="shared" si="36"/>
        <v>3.4520449808189635E-2</v>
      </c>
      <c r="U170" t="str">
        <f t="shared" si="30"/>
        <v>2010-09</v>
      </c>
      <c r="W170">
        <v>20369.96</v>
      </c>
      <c r="X170">
        <f t="shared" si="37"/>
        <v>3.1689346387565119E-2</v>
      </c>
      <c r="Y170">
        <f t="shared" si="38"/>
        <v>3.2196799828929611E-2</v>
      </c>
      <c r="Z170" t="str">
        <f t="shared" si="31"/>
        <v>2010-09</v>
      </c>
    </row>
    <row r="171" spans="1:26" x14ac:dyDescent="0.35">
      <c r="A171" s="1">
        <v>40423</v>
      </c>
      <c r="C171">
        <v>2715.19</v>
      </c>
      <c r="D171">
        <f t="shared" si="32"/>
        <v>-2.9463434038997976E-5</v>
      </c>
      <c r="E171" t="str">
        <f t="shared" si="26"/>
        <v>2010-09</v>
      </c>
      <c r="G171">
        <v>3631.43</v>
      </c>
      <c r="H171">
        <f t="shared" si="33"/>
        <v>2.092273001235127E-3</v>
      </c>
      <c r="I171" t="str">
        <f t="shared" si="27"/>
        <v>2010-09</v>
      </c>
      <c r="K171">
        <v>6083.85</v>
      </c>
      <c r="L171">
        <f t="shared" si="34"/>
        <v>-8.2184463026284853E-6</v>
      </c>
      <c r="M171" t="str">
        <f t="shared" si="28"/>
        <v>2010-09</v>
      </c>
      <c r="O171">
        <v>6455.4801500000003</v>
      </c>
      <c r="P171">
        <f t="shared" si="35"/>
        <v>-3.7708544286147684E-3</v>
      </c>
      <c r="Q171" t="str">
        <f t="shared" si="29"/>
        <v>2010-09</v>
      </c>
      <c r="S171">
        <v>10537.6</v>
      </c>
      <c r="T171">
        <f t="shared" si="36"/>
        <v>-6.8303421621070375E-4</v>
      </c>
      <c r="U171" t="str">
        <f t="shared" si="30"/>
        <v>2010-09</v>
      </c>
      <c r="W171">
        <v>20412.28</v>
      </c>
      <c r="X171">
        <f t="shared" si="37"/>
        <v>2.0754139640472851E-3</v>
      </c>
      <c r="Y171">
        <f t="shared" si="38"/>
        <v>2.0775691263016575E-3</v>
      </c>
      <c r="Z171" t="str">
        <f t="shared" si="31"/>
        <v>2010-09</v>
      </c>
    </row>
    <row r="172" spans="1:26" x14ac:dyDescent="0.35">
      <c r="A172" s="1">
        <v>40424</v>
      </c>
      <c r="C172">
        <v>2746.23</v>
      </c>
      <c r="D172">
        <f t="shared" si="32"/>
        <v>1.136712951089839E-2</v>
      </c>
      <c r="E172" t="str">
        <f t="shared" si="26"/>
        <v>2010-09</v>
      </c>
      <c r="G172">
        <v>3672.2</v>
      </c>
      <c r="H172">
        <f t="shared" si="33"/>
        <v>1.1164427409001507E-2</v>
      </c>
      <c r="I172" t="str">
        <f t="shared" si="27"/>
        <v>2010-09</v>
      </c>
      <c r="K172">
        <v>6134.62</v>
      </c>
      <c r="L172">
        <f t="shared" si="34"/>
        <v>8.3104172934673967E-3</v>
      </c>
      <c r="M172" t="str">
        <f t="shared" si="28"/>
        <v>2010-09</v>
      </c>
      <c r="O172">
        <v>6503.4149799999996</v>
      </c>
      <c r="P172">
        <f t="shared" si="35"/>
        <v>7.3980147449584244E-3</v>
      </c>
      <c r="Q172" t="str">
        <f t="shared" si="29"/>
        <v>2010-09</v>
      </c>
      <c r="S172">
        <v>10599.4</v>
      </c>
      <c r="T172">
        <f t="shared" si="36"/>
        <v>5.8475825424743975E-3</v>
      </c>
      <c r="U172" t="str">
        <f t="shared" si="30"/>
        <v>2010-09</v>
      </c>
      <c r="W172">
        <v>20639.86</v>
      </c>
      <c r="X172">
        <f t="shared" si="37"/>
        <v>1.1087477115854514E-2</v>
      </c>
      <c r="Y172">
        <f t="shared" si="38"/>
        <v>1.1149170989228139E-2</v>
      </c>
      <c r="Z172" t="str">
        <f t="shared" si="31"/>
        <v>2010-09</v>
      </c>
    </row>
    <row r="173" spans="1:26" x14ac:dyDescent="0.35">
      <c r="A173" s="1">
        <v>40427</v>
      </c>
      <c r="C173">
        <v>2753.6</v>
      </c>
      <c r="D173">
        <f t="shared" si="32"/>
        <v>2.6800844431439665E-3</v>
      </c>
      <c r="E173" t="str">
        <f t="shared" si="26"/>
        <v>2010-09</v>
      </c>
      <c r="G173">
        <v>3684.73</v>
      </c>
      <c r="H173">
        <f t="shared" si="33"/>
        <v>3.4063154374033883E-3</v>
      </c>
      <c r="I173" t="str">
        <f t="shared" si="27"/>
        <v>2010-09</v>
      </c>
      <c r="K173">
        <v>6155.04</v>
      </c>
      <c r="L173">
        <f t="shared" si="34"/>
        <v>3.3231218425469841E-3</v>
      </c>
      <c r="M173" t="str">
        <f t="shared" si="28"/>
        <v>2010-09</v>
      </c>
      <c r="O173">
        <v>6511.7360900000003</v>
      </c>
      <c r="P173">
        <f t="shared" si="35"/>
        <v>1.2786806836147886E-3</v>
      </c>
      <c r="Q173" t="str">
        <f t="shared" si="29"/>
        <v>2010-09</v>
      </c>
      <c r="S173">
        <v>10622.7</v>
      </c>
      <c r="T173">
        <f t="shared" si="36"/>
        <v>2.1958250467232722E-3</v>
      </c>
      <c r="U173" t="str">
        <f t="shared" si="30"/>
        <v>2010-09</v>
      </c>
      <c r="W173">
        <v>20660.91</v>
      </c>
      <c r="X173">
        <f t="shared" si="37"/>
        <v>1.0193515434562947E-3</v>
      </c>
      <c r="Y173">
        <f t="shared" si="38"/>
        <v>1.0198712588166427E-3</v>
      </c>
      <c r="Z173" t="str">
        <f t="shared" si="31"/>
        <v>2010-09</v>
      </c>
    </row>
    <row r="174" spans="1:26" x14ac:dyDescent="0.35">
      <c r="A174" s="1">
        <v>40428</v>
      </c>
      <c r="C174">
        <v>2727.16</v>
      </c>
      <c r="D174">
        <f t="shared" si="32"/>
        <v>-9.6483717989321767E-3</v>
      </c>
      <c r="E174" t="str">
        <f t="shared" si="26"/>
        <v>2010-09</v>
      </c>
      <c r="G174">
        <v>3643.81</v>
      </c>
      <c r="H174">
        <f t="shared" si="33"/>
        <v>-1.116741540994394E-2</v>
      </c>
      <c r="I174" t="str">
        <f t="shared" si="27"/>
        <v>2010-09</v>
      </c>
      <c r="K174">
        <v>6117.89</v>
      </c>
      <c r="L174">
        <f t="shared" si="34"/>
        <v>-6.0539925616424021E-3</v>
      </c>
      <c r="M174" t="str">
        <f t="shared" si="28"/>
        <v>2010-09</v>
      </c>
      <c r="O174">
        <v>6511.3007100000004</v>
      </c>
      <c r="P174">
        <f t="shared" si="35"/>
        <v>-6.6863053041863775E-5</v>
      </c>
      <c r="Q174" t="str">
        <f t="shared" si="29"/>
        <v>2010-09</v>
      </c>
      <c r="S174">
        <v>10479.1</v>
      </c>
      <c r="T174">
        <f t="shared" si="36"/>
        <v>-1.3610423446519741E-2</v>
      </c>
      <c r="U174" t="str">
        <f t="shared" si="30"/>
        <v>2010-09</v>
      </c>
      <c r="W174">
        <v>20395.45</v>
      </c>
      <c r="X174">
        <f t="shared" si="37"/>
        <v>-1.2931672430538011E-2</v>
      </c>
      <c r="Y174">
        <f t="shared" si="38"/>
        <v>-1.2848417615680971E-2</v>
      </c>
      <c r="Z174" t="str">
        <f t="shared" si="31"/>
        <v>2010-09</v>
      </c>
    </row>
    <row r="175" spans="1:26" x14ac:dyDescent="0.35">
      <c r="A175" s="1">
        <v>40429</v>
      </c>
      <c r="C175">
        <v>2752.89</v>
      </c>
      <c r="D175">
        <f t="shared" si="32"/>
        <v>9.3904942747981314E-3</v>
      </c>
      <c r="E175" t="str">
        <f t="shared" si="26"/>
        <v>2010-09</v>
      </c>
      <c r="G175">
        <v>3677.21</v>
      </c>
      <c r="H175">
        <f t="shared" si="33"/>
        <v>9.1244749308150783E-3</v>
      </c>
      <c r="I175" t="str">
        <f t="shared" si="27"/>
        <v>2010-09</v>
      </c>
      <c r="K175">
        <v>6164.44</v>
      </c>
      <c r="L175">
        <f t="shared" si="34"/>
        <v>7.5800312944819797E-3</v>
      </c>
      <c r="M175" t="str">
        <f t="shared" si="28"/>
        <v>2010-09</v>
      </c>
      <c r="O175">
        <v>6597.8793599999999</v>
      </c>
      <c r="P175">
        <f t="shared" si="35"/>
        <v>1.3209050204578823E-2</v>
      </c>
      <c r="Q175" t="str">
        <f t="shared" si="29"/>
        <v>2010-09</v>
      </c>
      <c r="S175">
        <v>10586.2</v>
      </c>
      <c r="T175">
        <f t="shared" si="36"/>
        <v>1.016846879212702E-2</v>
      </c>
      <c r="U175" t="str">
        <f t="shared" si="30"/>
        <v>2010-09</v>
      </c>
      <c r="W175">
        <v>20580.259999999998</v>
      </c>
      <c r="X175">
        <f t="shared" si="37"/>
        <v>9.0205271934388157E-3</v>
      </c>
      <c r="Y175">
        <f t="shared" si="38"/>
        <v>9.0613347584876849E-3</v>
      </c>
      <c r="Z175" t="str">
        <f t="shared" si="31"/>
        <v>2010-09</v>
      </c>
    </row>
    <row r="176" spans="1:26" x14ac:dyDescent="0.35">
      <c r="A176" s="1">
        <v>40430</v>
      </c>
      <c r="C176">
        <v>2782.43</v>
      </c>
      <c r="D176">
        <f t="shared" si="32"/>
        <v>1.0673377667406113E-2</v>
      </c>
      <c r="E176" t="str">
        <f t="shared" si="26"/>
        <v>2010-09</v>
      </c>
      <c r="G176">
        <v>3722.15</v>
      </c>
      <c r="H176">
        <f t="shared" si="33"/>
        <v>1.2147145857262554E-2</v>
      </c>
      <c r="I176" t="str">
        <f t="shared" si="27"/>
        <v>2010-09</v>
      </c>
      <c r="K176">
        <v>6221.52</v>
      </c>
      <c r="L176">
        <f t="shared" si="34"/>
        <v>9.21695275760827E-3</v>
      </c>
      <c r="M176" t="str">
        <f t="shared" si="28"/>
        <v>2010-09</v>
      </c>
      <c r="O176">
        <v>6680.8120399999998</v>
      </c>
      <c r="P176">
        <f t="shared" si="35"/>
        <v>1.2491254723993423E-2</v>
      </c>
      <c r="Q176" t="str">
        <f t="shared" si="29"/>
        <v>2010-09</v>
      </c>
      <c r="S176">
        <v>10712.9</v>
      </c>
      <c r="T176">
        <f t="shared" si="36"/>
        <v>1.1897356648674152E-2</v>
      </c>
      <c r="U176" t="str">
        <f t="shared" si="30"/>
        <v>2010-09</v>
      </c>
      <c r="W176">
        <v>20858.47</v>
      </c>
      <c r="X176">
        <f t="shared" si="37"/>
        <v>1.3427736814719858E-2</v>
      </c>
      <c r="Y176">
        <f t="shared" si="38"/>
        <v>1.3518293743616591E-2</v>
      </c>
      <c r="Z176" t="str">
        <f t="shared" si="31"/>
        <v>2010-09</v>
      </c>
    </row>
    <row r="177" spans="1:26" x14ac:dyDescent="0.35">
      <c r="A177" s="1">
        <v>40431</v>
      </c>
      <c r="C177">
        <v>2780.4</v>
      </c>
      <c r="D177">
        <f t="shared" si="32"/>
        <v>-7.2984437421606352E-4</v>
      </c>
      <c r="E177" t="str">
        <f t="shared" si="26"/>
        <v>2010-09</v>
      </c>
      <c r="G177">
        <v>3725.82</v>
      </c>
      <c r="H177">
        <f t="shared" si="33"/>
        <v>9.8550351224033629E-4</v>
      </c>
      <c r="I177" t="str">
        <f t="shared" si="27"/>
        <v>2010-09</v>
      </c>
      <c r="K177">
        <v>6214.77</v>
      </c>
      <c r="L177">
        <f t="shared" si="34"/>
        <v>-1.0855328498836261E-3</v>
      </c>
      <c r="M177" t="str">
        <f t="shared" si="28"/>
        <v>2010-09</v>
      </c>
      <c r="O177">
        <v>6647.0400099999997</v>
      </c>
      <c r="P177">
        <f t="shared" si="35"/>
        <v>-5.0678987365016387E-3</v>
      </c>
      <c r="Q177" t="str">
        <f t="shared" si="29"/>
        <v>2010-09</v>
      </c>
      <c r="S177">
        <v>10689.6</v>
      </c>
      <c r="T177">
        <f t="shared" si="36"/>
        <v>-2.1773165943111965E-3</v>
      </c>
      <c r="U177" t="str">
        <f t="shared" si="30"/>
        <v>2010-09</v>
      </c>
      <c r="W177">
        <v>20833.189999999999</v>
      </c>
      <c r="X177">
        <f t="shared" si="37"/>
        <v>-1.2127127151193981E-3</v>
      </c>
      <c r="Y177">
        <f t="shared" si="38"/>
        <v>-1.2119776762151047E-3</v>
      </c>
      <c r="Z177" t="str">
        <f t="shared" si="31"/>
        <v>2010-09</v>
      </c>
    </row>
    <row r="178" spans="1:26" x14ac:dyDescent="0.35">
      <c r="A178" s="1">
        <v>40434</v>
      </c>
      <c r="C178">
        <v>2805.06</v>
      </c>
      <c r="D178">
        <f t="shared" si="32"/>
        <v>8.8301268760266061E-3</v>
      </c>
      <c r="E178" t="str">
        <f t="shared" si="26"/>
        <v>2010-09</v>
      </c>
      <c r="G178">
        <v>3767.15</v>
      </c>
      <c r="H178">
        <f t="shared" si="33"/>
        <v>1.1031785568403906E-2</v>
      </c>
      <c r="I178" t="str">
        <f t="shared" si="27"/>
        <v>2010-09</v>
      </c>
      <c r="K178">
        <v>6261.68</v>
      </c>
      <c r="L178">
        <f t="shared" si="34"/>
        <v>7.5198026767435665E-3</v>
      </c>
      <c r="M178" t="str">
        <f t="shared" si="28"/>
        <v>2010-09</v>
      </c>
      <c r="O178">
        <v>6682.0114100000001</v>
      </c>
      <c r="P178">
        <f t="shared" si="35"/>
        <v>5.2474072075531716E-3</v>
      </c>
      <c r="Q178" t="str">
        <f t="shared" si="29"/>
        <v>2010-09</v>
      </c>
      <c r="S178">
        <v>10765.2</v>
      </c>
      <c r="T178">
        <f t="shared" si="36"/>
        <v>7.0474031820253399E-3</v>
      </c>
      <c r="U178" t="str">
        <f t="shared" si="30"/>
        <v>2010-09</v>
      </c>
      <c r="W178">
        <v>21001.62</v>
      </c>
      <c r="X178">
        <f t="shared" si="37"/>
        <v>8.0521895546298312E-3</v>
      </c>
      <c r="Y178">
        <f t="shared" si="38"/>
        <v>8.0846956227058984E-3</v>
      </c>
      <c r="Z178" t="str">
        <f t="shared" si="31"/>
        <v>2010-09</v>
      </c>
    </row>
    <row r="179" spans="1:26" x14ac:dyDescent="0.35">
      <c r="A179" s="1">
        <v>40435</v>
      </c>
      <c r="C179">
        <v>2806.47</v>
      </c>
      <c r="D179">
        <f t="shared" si="32"/>
        <v>5.0253675189255195E-4</v>
      </c>
      <c r="E179" t="str">
        <f t="shared" si="26"/>
        <v>2010-09</v>
      </c>
      <c r="G179">
        <v>3774.4</v>
      </c>
      <c r="H179">
        <f t="shared" si="33"/>
        <v>1.9226822691428098E-3</v>
      </c>
      <c r="I179" t="str">
        <f t="shared" si="27"/>
        <v>2010-09</v>
      </c>
      <c r="K179">
        <v>6275.41</v>
      </c>
      <c r="L179">
        <f t="shared" si="34"/>
        <v>2.1903018147033477E-3</v>
      </c>
      <c r="M179" t="str">
        <f t="shared" si="28"/>
        <v>2010-09</v>
      </c>
      <c r="O179">
        <v>6663.34674</v>
      </c>
      <c r="P179">
        <f t="shared" si="35"/>
        <v>-2.797179657512085E-3</v>
      </c>
      <c r="Q179" t="str">
        <f t="shared" si="29"/>
        <v>2010-09</v>
      </c>
      <c r="S179">
        <v>10806.6</v>
      </c>
      <c r="T179">
        <f t="shared" si="36"/>
        <v>3.8383492178285369E-3</v>
      </c>
      <c r="U179" t="str">
        <f t="shared" si="30"/>
        <v>2010-09</v>
      </c>
      <c r="W179">
        <v>21003.94</v>
      </c>
      <c r="X179">
        <f t="shared" si="37"/>
        <v>1.1046156758089968E-4</v>
      </c>
      <c r="Y179">
        <f t="shared" si="38"/>
        <v>1.1046766868459238E-4</v>
      </c>
      <c r="Z179" t="str">
        <f t="shared" si="31"/>
        <v>2010-09</v>
      </c>
    </row>
    <row r="180" spans="1:26" x14ac:dyDescent="0.35">
      <c r="A180" s="1">
        <v>40436</v>
      </c>
      <c r="C180">
        <v>2794.36</v>
      </c>
      <c r="D180">
        <f t="shared" si="32"/>
        <v>-4.3243658070505238E-3</v>
      </c>
      <c r="E180" t="str">
        <f t="shared" si="26"/>
        <v>2010-09</v>
      </c>
      <c r="G180">
        <v>3755.64</v>
      </c>
      <c r="H180">
        <f t="shared" si="33"/>
        <v>-4.9827195642077292E-3</v>
      </c>
      <c r="I180" t="str">
        <f t="shared" si="27"/>
        <v>2010-09</v>
      </c>
      <c r="K180">
        <v>6261.87</v>
      </c>
      <c r="L180">
        <f t="shared" si="34"/>
        <v>-2.1599589806005357E-3</v>
      </c>
      <c r="M180" t="str">
        <f t="shared" si="28"/>
        <v>2010-09</v>
      </c>
      <c r="O180">
        <v>6674.27826</v>
      </c>
      <c r="P180">
        <f t="shared" si="35"/>
        <v>1.6392007494183572E-3</v>
      </c>
      <c r="Q180" t="str">
        <f t="shared" si="29"/>
        <v>2010-09</v>
      </c>
      <c r="S180">
        <v>10751.8</v>
      </c>
      <c r="T180">
        <f t="shared" si="36"/>
        <v>-5.0838761716166065E-3</v>
      </c>
      <c r="U180" t="str">
        <f t="shared" si="30"/>
        <v>2010-09</v>
      </c>
      <c r="W180">
        <v>20872.79</v>
      </c>
      <c r="X180">
        <f t="shared" si="37"/>
        <v>-6.2636423037836257E-3</v>
      </c>
      <c r="Y180">
        <f t="shared" si="38"/>
        <v>-6.2440665894112164E-3</v>
      </c>
      <c r="Z180" t="str">
        <f t="shared" si="31"/>
        <v>2010-09</v>
      </c>
    </row>
    <row r="181" spans="1:26" x14ac:dyDescent="0.35">
      <c r="A181" s="1">
        <v>40437</v>
      </c>
      <c r="C181">
        <v>2784.61</v>
      </c>
      <c r="D181">
        <f t="shared" si="32"/>
        <v>-3.4952723984008004E-3</v>
      </c>
      <c r="E181" t="str">
        <f t="shared" si="26"/>
        <v>2010-09</v>
      </c>
      <c r="G181">
        <v>3736.3</v>
      </c>
      <c r="H181">
        <f t="shared" si="33"/>
        <v>-5.1628931784575395E-3</v>
      </c>
      <c r="I181" t="str">
        <f t="shared" si="27"/>
        <v>2010-09</v>
      </c>
      <c r="K181">
        <v>6249.65</v>
      </c>
      <c r="L181">
        <f t="shared" si="34"/>
        <v>-1.9534003679375239E-3</v>
      </c>
      <c r="M181" t="str">
        <f t="shared" si="28"/>
        <v>2010-09</v>
      </c>
      <c r="O181">
        <v>6622.4038499999997</v>
      </c>
      <c r="P181">
        <f t="shared" si="35"/>
        <v>-7.8026492252024288E-3</v>
      </c>
      <c r="Q181" t="str">
        <f t="shared" si="29"/>
        <v>2010-09</v>
      </c>
      <c r="S181">
        <v>10716.8</v>
      </c>
      <c r="T181">
        <f t="shared" si="36"/>
        <v>-3.2605787995648164E-3</v>
      </c>
      <c r="U181" t="str">
        <f t="shared" si="30"/>
        <v>2010-09</v>
      </c>
      <c r="W181">
        <v>20684.36</v>
      </c>
      <c r="X181">
        <f t="shared" si="37"/>
        <v>-9.0685377291916253E-3</v>
      </c>
      <c r="Y181">
        <f t="shared" si="38"/>
        <v>-9.027542556601216E-3</v>
      </c>
      <c r="Z181" t="str">
        <f t="shared" si="31"/>
        <v>2010-09</v>
      </c>
    </row>
    <row r="182" spans="1:26" x14ac:dyDescent="0.35">
      <c r="A182" s="1">
        <v>40438</v>
      </c>
      <c r="C182">
        <v>2757.37</v>
      </c>
      <c r="D182">
        <f t="shared" si="32"/>
        <v>-9.8305007847735645E-3</v>
      </c>
      <c r="E182" t="str">
        <f t="shared" si="26"/>
        <v>2010-09</v>
      </c>
      <c r="G182">
        <v>3722.02</v>
      </c>
      <c r="H182">
        <f t="shared" si="33"/>
        <v>-3.8292852678545874E-3</v>
      </c>
      <c r="I182" t="str">
        <f t="shared" si="27"/>
        <v>2010-09</v>
      </c>
      <c r="K182">
        <v>6209.76</v>
      </c>
      <c r="L182">
        <f t="shared" si="34"/>
        <v>-6.403214324687022E-3</v>
      </c>
      <c r="M182" t="str">
        <f t="shared" si="28"/>
        <v>2010-09</v>
      </c>
      <c r="O182">
        <v>6598.2375899999997</v>
      </c>
      <c r="P182">
        <f t="shared" si="35"/>
        <v>-3.6558418175400725E-3</v>
      </c>
      <c r="Q182" t="str">
        <f t="shared" si="29"/>
        <v>2010-09</v>
      </c>
      <c r="S182">
        <v>10588.6</v>
      </c>
      <c r="T182">
        <f t="shared" si="36"/>
        <v>-1.2034652932505817E-2</v>
      </c>
      <c r="U182" t="str">
        <f t="shared" si="30"/>
        <v>2010-09</v>
      </c>
      <c r="W182">
        <v>20517.96</v>
      </c>
      <c r="X182">
        <f t="shared" si="37"/>
        <v>-8.077258983942957E-3</v>
      </c>
      <c r="Y182">
        <f t="shared" si="38"/>
        <v>-8.0447255801002031E-3</v>
      </c>
      <c r="Z182" t="str">
        <f t="shared" si="31"/>
        <v>2010-09</v>
      </c>
    </row>
    <row r="183" spans="1:26" x14ac:dyDescent="0.35">
      <c r="A183" s="1">
        <v>40441</v>
      </c>
      <c r="C183">
        <v>2802.67</v>
      </c>
      <c r="D183">
        <f t="shared" si="32"/>
        <v>1.6295207367427324E-2</v>
      </c>
      <c r="E183" t="str">
        <f t="shared" si="26"/>
        <v>2010-09</v>
      </c>
      <c r="G183">
        <v>3788.01</v>
      </c>
      <c r="H183">
        <f t="shared" si="33"/>
        <v>1.7574283575116395E-2</v>
      </c>
      <c r="I183" t="str">
        <f t="shared" si="27"/>
        <v>2010-09</v>
      </c>
      <c r="K183">
        <v>6294.58</v>
      </c>
      <c r="L183">
        <f t="shared" si="34"/>
        <v>1.356669779614812E-2</v>
      </c>
      <c r="M183" t="str">
        <f t="shared" si="28"/>
        <v>2010-09</v>
      </c>
      <c r="O183">
        <v>6669.3027000000002</v>
      </c>
      <c r="P183">
        <f t="shared" si="35"/>
        <v>1.0712730179070925E-2</v>
      </c>
      <c r="Q183" t="str">
        <f t="shared" si="29"/>
        <v>2010-09</v>
      </c>
      <c r="S183">
        <v>10743.1</v>
      </c>
      <c r="T183">
        <f t="shared" si="36"/>
        <v>1.4485737342696717E-2</v>
      </c>
      <c r="U183" t="str">
        <f t="shared" si="30"/>
        <v>2010-09</v>
      </c>
      <c r="W183">
        <v>20753.54</v>
      </c>
      <c r="X183">
        <f t="shared" si="37"/>
        <v>1.1416234379538421E-2</v>
      </c>
      <c r="Y183">
        <f t="shared" si="38"/>
        <v>1.1481648273025278E-2</v>
      </c>
      <c r="Z183" t="str">
        <f t="shared" si="31"/>
        <v>2010-09</v>
      </c>
    </row>
    <row r="184" spans="1:26" x14ac:dyDescent="0.35">
      <c r="A184" s="1">
        <v>40442</v>
      </c>
      <c r="C184">
        <v>2794.55</v>
      </c>
      <c r="D184">
        <f t="shared" si="32"/>
        <v>-2.9014423933409876E-3</v>
      </c>
      <c r="E184" t="str">
        <f t="shared" si="26"/>
        <v>2010-09</v>
      </c>
      <c r="G184">
        <v>3784.4</v>
      </c>
      <c r="H184">
        <f t="shared" si="33"/>
        <v>-9.5346138771783696E-4</v>
      </c>
      <c r="I184" t="str">
        <f t="shared" si="27"/>
        <v>2010-09</v>
      </c>
      <c r="K184">
        <v>6275.98</v>
      </c>
      <c r="L184">
        <f t="shared" si="34"/>
        <v>-2.9592975291527477E-3</v>
      </c>
      <c r="M184" t="str">
        <f t="shared" si="28"/>
        <v>2010-09</v>
      </c>
      <c r="O184">
        <v>6603.2487600000004</v>
      </c>
      <c r="P184">
        <f t="shared" si="35"/>
        <v>-9.9535474464862699E-3</v>
      </c>
      <c r="Q184" t="str">
        <f t="shared" si="29"/>
        <v>2010-09</v>
      </c>
      <c r="S184">
        <v>10762.5</v>
      </c>
      <c r="T184">
        <f t="shared" si="36"/>
        <v>1.8041817259100736E-3</v>
      </c>
      <c r="U184" t="str">
        <f t="shared" si="30"/>
        <v>2010-09</v>
      </c>
      <c r="W184">
        <v>20740.73</v>
      </c>
      <c r="X184">
        <f t="shared" si="37"/>
        <v>-6.1743466782081507E-4</v>
      </c>
      <c r="Y184">
        <f t="shared" si="38"/>
        <v>-6.1724409426060852E-4</v>
      </c>
      <c r="Z184" t="str">
        <f t="shared" si="31"/>
        <v>2010-09</v>
      </c>
    </row>
    <row r="185" spans="1:26" x14ac:dyDescent="0.35">
      <c r="A185" s="1">
        <v>40443</v>
      </c>
      <c r="C185">
        <v>2752.77</v>
      </c>
      <c r="D185">
        <f t="shared" si="32"/>
        <v>-1.5063414408993453E-2</v>
      </c>
      <c r="E185" t="str">
        <f t="shared" si="26"/>
        <v>2010-09</v>
      </c>
      <c r="G185">
        <v>3735.05</v>
      </c>
      <c r="H185">
        <f t="shared" si="33"/>
        <v>-1.312614847211817E-2</v>
      </c>
      <c r="I185" t="str">
        <f t="shared" si="27"/>
        <v>2010-09</v>
      </c>
      <c r="K185">
        <v>6208.33</v>
      </c>
      <c r="L185">
        <f t="shared" si="34"/>
        <v>-1.0837709437942251E-2</v>
      </c>
      <c r="M185" t="str">
        <f t="shared" si="28"/>
        <v>2010-09</v>
      </c>
      <c r="O185">
        <v>6497.3048200000003</v>
      </c>
      <c r="P185">
        <f t="shared" si="35"/>
        <v>-1.6174316450981208E-2</v>
      </c>
      <c r="Q185" t="str">
        <f t="shared" si="29"/>
        <v>2010-09</v>
      </c>
      <c r="S185">
        <v>10555.2</v>
      </c>
      <c r="T185">
        <f t="shared" si="36"/>
        <v>-1.9449240267379764E-2</v>
      </c>
      <c r="U185" t="str">
        <f t="shared" si="30"/>
        <v>2010-09</v>
      </c>
      <c r="W185">
        <v>20365.3</v>
      </c>
      <c r="X185">
        <f t="shared" si="37"/>
        <v>-1.826692771931961E-2</v>
      </c>
      <c r="Y185">
        <f t="shared" si="38"/>
        <v>-1.8101098659497536E-2</v>
      </c>
      <c r="Z185" t="str">
        <f t="shared" si="31"/>
        <v>2010-09</v>
      </c>
    </row>
    <row r="186" spans="1:26" x14ac:dyDescent="0.35">
      <c r="A186" s="1">
        <v>40444</v>
      </c>
      <c r="C186">
        <v>2738.61</v>
      </c>
      <c r="D186">
        <f t="shared" si="32"/>
        <v>-5.1571850368846359E-3</v>
      </c>
      <c r="E186" t="str">
        <f t="shared" si="26"/>
        <v>2010-09</v>
      </c>
      <c r="G186">
        <v>3710.61</v>
      </c>
      <c r="H186">
        <f t="shared" si="33"/>
        <v>-6.5649217870814977E-3</v>
      </c>
      <c r="I186" t="str">
        <f t="shared" si="27"/>
        <v>2010-09</v>
      </c>
      <c r="K186">
        <v>6184.71</v>
      </c>
      <c r="L186">
        <f t="shared" si="34"/>
        <v>-3.8118215707919913E-3</v>
      </c>
      <c r="M186" t="str">
        <f t="shared" si="28"/>
        <v>2010-09</v>
      </c>
      <c r="O186">
        <v>6526.0009</v>
      </c>
      <c r="P186">
        <f t="shared" si="35"/>
        <v>4.406888244560864E-3</v>
      </c>
      <c r="Q186" t="str">
        <f t="shared" si="29"/>
        <v>2010-09</v>
      </c>
      <c r="S186">
        <v>10501.5</v>
      </c>
      <c r="T186">
        <f t="shared" si="36"/>
        <v>-5.1005253832445713E-3</v>
      </c>
      <c r="U186" t="str">
        <f t="shared" si="30"/>
        <v>2010-09</v>
      </c>
      <c r="W186">
        <v>20262.8</v>
      </c>
      <c r="X186">
        <f t="shared" si="37"/>
        <v>-5.0457795205687212E-3</v>
      </c>
      <c r="Y186">
        <f t="shared" si="38"/>
        <v>-5.0330709589350518E-3</v>
      </c>
      <c r="Z186" t="str">
        <f t="shared" si="31"/>
        <v>2010-09</v>
      </c>
    </row>
    <row r="187" spans="1:26" x14ac:dyDescent="0.35">
      <c r="A187" s="1">
        <v>40445</v>
      </c>
      <c r="C187">
        <v>2792.75</v>
      </c>
      <c r="D187">
        <f t="shared" si="32"/>
        <v>1.9576281058724419E-2</v>
      </c>
      <c r="E187" t="str">
        <f t="shared" si="26"/>
        <v>2010-09</v>
      </c>
      <c r="G187">
        <v>3782.48</v>
      </c>
      <c r="H187">
        <f t="shared" si="33"/>
        <v>1.9183595569180711E-2</v>
      </c>
      <c r="I187" t="str">
        <f t="shared" si="27"/>
        <v>2010-09</v>
      </c>
      <c r="K187">
        <v>6298.3</v>
      </c>
      <c r="L187">
        <f t="shared" si="34"/>
        <v>1.8199638600113945E-2</v>
      </c>
      <c r="M187" t="str">
        <f t="shared" si="28"/>
        <v>2010-09</v>
      </c>
      <c r="O187">
        <v>6574.5676999999996</v>
      </c>
      <c r="P187">
        <f t="shared" si="35"/>
        <v>7.4144907718168059E-3</v>
      </c>
      <c r="Q187" t="str">
        <f t="shared" si="29"/>
        <v>2010-09</v>
      </c>
      <c r="S187">
        <v>10727.6</v>
      </c>
      <c r="T187">
        <f t="shared" si="36"/>
        <v>2.130175557327162E-2</v>
      </c>
      <c r="U187" t="str">
        <f t="shared" si="30"/>
        <v>2010-09</v>
      </c>
      <c r="W187">
        <v>20607.72</v>
      </c>
      <c r="X187">
        <f t="shared" si="37"/>
        <v>1.6879070245417533E-2</v>
      </c>
      <c r="Y187">
        <f t="shared" si="38"/>
        <v>1.7022326628106772E-2</v>
      </c>
      <c r="Z187" t="str">
        <f t="shared" si="31"/>
        <v>2010-09</v>
      </c>
    </row>
    <row r="188" spans="1:26" x14ac:dyDescent="0.35">
      <c r="A188" s="1">
        <v>40448</v>
      </c>
      <c r="C188">
        <v>2776.33</v>
      </c>
      <c r="D188">
        <f t="shared" si="32"/>
        <v>-5.8968618087723466E-3</v>
      </c>
      <c r="E188" t="str">
        <f t="shared" si="26"/>
        <v>2010-09</v>
      </c>
      <c r="G188">
        <v>3766.16</v>
      </c>
      <c r="H188">
        <f t="shared" si="33"/>
        <v>-4.323964430006216E-3</v>
      </c>
      <c r="I188" t="str">
        <f t="shared" si="27"/>
        <v>2010-09</v>
      </c>
      <c r="K188">
        <v>6278.89</v>
      </c>
      <c r="L188">
        <f t="shared" si="34"/>
        <v>-3.0865424485924838E-3</v>
      </c>
      <c r="M188" t="str">
        <f t="shared" si="28"/>
        <v>2010-09</v>
      </c>
      <c r="O188">
        <v>6549.2543500000002</v>
      </c>
      <c r="P188">
        <f t="shared" si="35"/>
        <v>-3.8576233805607918E-3</v>
      </c>
      <c r="Q188" t="str">
        <f t="shared" si="29"/>
        <v>2010-09</v>
      </c>
      <c r="S188">
        <v>10613</v>
      </c>
      <c r="T188">
        <f t="shared" si="36"/>
        <v>-1.0740194896811038E-2</v>
      </c>
      <c r="U188" t="str">
        <f t="shared" si="30"/>
        <v>2010-09</v>
      </c>
      <c r="W188">
        <v>20593.939999999999</v>
      </c>
      <c r="X188">
        <f t="shared" si="37"/>
        <v>-6.6890511274573649E-4</v>
      </c>
      <c r="Y188">
        <f t="shared" si="38"/>
        <v>-6.6868144559429537E-4</v>
      </c>
      <c r="Z188" t="str">
        <f t="shared" si="31"/>
        <v>2010-09</v>
      </c>
    </row>
    <row r="189" spans="1:26" x14ac:dyDescent="0.35">
      <c r="A189" s="1">
        <v>40449</v>
      </c>
      <c r="C189">
        <v>2774.62</v>
      </c>
      <c r="D189">
        <f t="shared" si="32"/>
        <v>-6.1611077530587203E-4</v>
      </c>
      <c r="E189" t="str">
        <f t="shared" si="26"/>
        <v>2010-09</v>
      </c>
      <c r="G189">
        <v>3762.35</v>
      </c>
      <c r="H189">
        <f t="shared" si="33"/>
        <v>-1.0121525574818243E-3</v>
      </c>
      <c r="I189" t="str">
        <f t="shared" si="27"/>
        <v>2010-09</v>
      </c>
      <c r="K189">
        <v>6276.09</v>
      </c>
      <c r="L189">
        <f t="shared" si="34"/>
        <v>-4.4603815321441864E-4</v>
      </c>
      <c r="M189" t="str">
        <f t="shared" si="28"/>
        <v>2010-09</v>
      </c>
      <c r="O189">
        <v>6490.5808900000002</v>
      </c>
      <c r="P189">
        <f t="shared" si="35"/>
        <v>-8.9991713687320885E-3</v>
      </c>
      <c r="Q189" t="str">
        <f t="shared" si="29"/>
        <v>2010-09</v>
      </c>
      <c r="S189">
        <v>10590.7</v>
      </c>
      <c r="T189">
        <f t="shared" si="36"/>
        <v>-2.1034072564565754E-3</v>
      </c>
      <c r="U189" t="str">
        <f t="shared" si="30"/>
        <v>2010-09</v>
      </c>
      <c r="W189">
        <v>20541.59</v>
      </c>
      <c r="X189">
        <f t="shared" si="37"/>
        <v>-2.5452463241138665E-3</v>
      </c>
      <c r="Y189">
        <f t="shared" si="38"/>
        <v>-2.5420099310767413E-3</v>
      </c>
      <c r="Z189" t="str">
        <f t="shared" si="31"/>
        <v>2010-09</v>
      </c>
    </row>
    <row r="190" spans="1:26" x14ac:dyDescent="0.35">
      <c r="A190" s="1">
        <v>40450</v>
      </c>
      <c r="C190">
        <v>2752.71</v>
      </c>
      <c r="D190">
        <f t="shared" si="32"/>
        <v>-7.9279199023757248E-3</v>
      </c>
      <c r="E190" t="str">
        <f t="shared" si="26"/>
        <v>2010-09</v>
      </c>
      <c r="G190">
        <v>3737.12</v>
      </c>
      <c r="H190">
        <f t="shared" si="33"/>
        <v>-6.7285008636157563E-3</v>
      </c>
      <c r="I190" t="str">
        <f t="shared" si="27"/>
        <v>2010-09</v>
      </c>
      <c r="K190">
        <v>6246.92</v>
      </c>
      <c r="L190">
        <f t="shared" si="34"/>
        <v>-4.6586328296497068E-3</v>
      </c>
      <c r="M190" t="str">
        <f t="shared" si="28"/>
        <v>2010-09</v>
      </c>
      <c r="O190">
        <v>6453.8972599999997</v>
      </c>
      <c r="P190">
        <f t="shared" si="35"/>
        <v>-5.6678574105180459E-3</v>
      </c>
      <c r="Q190" t="str">
        <f t="shared" si="29"/>
        <v>2010-09</v>
      </c>
      <c r="S190">
        <v>10486.8</v>
      </c>
      <c r="T190">
        <f t="shared" si="36"/>
        <v>-9.8589340838671161E-3</v>
      </c>
      <c r="U190" t="str">
        <f t="shared" si="30"/>
        <v>2010-09</v>
      </c>
      <c r="W190">
        <v>20372.45</v>
      </c>
      <c r="X190">
        <f t="shared" si="37"/>
        <v>-8.2681135159020785E-3</v>
      </c>
      <c r="Y190">
        <f t="shared" si="38"/>
        <v>-8.2340266746634225E-3</v>
      </c>
      <c r="Z190" t="str">
        <f t="shared" si="31"/>
        <v>2010-09</v>
      </c>
    </row>
    <row r="191" spans="1:26" x14ac:dyDescent="0.35">
      <c r="A191" s="1">
        <v>40451</v>
      </c>
      <c r="C191">
        <v>2747.9</v>
      </c>
      <c r="D191">
        <f t="shared" si="32"/>
        <v>-1.7488973862919597E-3</v>
      </c>
      <c r="E191" t="str">
        <f t="shared" si="26"/>
        <v>2010-09</v>
      </c>
      <c r="G191">
        <v>3715.18</v>
      </c>
      <c r="H191">
        <f t="shared" si="33"/>
        <v>-5.8881320903511995E-3</v>
      </c>
      <c r="I191" t="str">
        <f t="shared" si="27"/>
        <v>2010-09</v>
      </c>
      <c r="K191">
        <v>6229.02</v>
      </c>
      <c r="L191">
        <f t="shared" si="34"/>
        <v>-2.8695252273804217E-3</v>
      </c>
      <c r="M191" t="str">
        <f t="shared" si="28"/>
        <v>2010-09</v>
      </c>
      <c r="O191">
        <v>6407.3932000000004</v>
      </c>
      <c r="P191">
        <f t="shared" si="35"/>
        <v>-7.231663543072986E-3</v>
      </c>
      <c r="Q191" t="str">
        <f t="shared" si="29"/>
        <v>2010-09</v>
      </c>
      <c r="S191">
        <v>10514.5</v>
      </c>
      <c r="T191">
        <f t="shared" si="36"/>
        <v>2.6379334672597737E-3</v>
      </c>
      <c r="U191" t="str">
        <f t="shared" si="30"/>
        <v>2010-09</v>
      </c>
      <c r="W191">
        <v>20505.2</v>
      </c>
      <c r="X191">
        <f t="shared" si="37"/>
        <v>6.4950145947042731E-3</v>
      </c>
      <c r="Y191">
        <f t="shared" si="38"/>
        <v>6.5161529418405733E-3</v>
      </c>
      <c r="Z191" t="str">
        <f t="shared" si="31"/>
        <v>2010-09</v>
      </c>
    </row>
    <row r="192" spans="1:26" x14ac:dyDescent="0.35">
      <c r="A192" s="1">
        <v>40452</v>
      </c>
      <c r="C192">
        <v>2732.91</v>
      </c>
      <c r="D192">
        <f t="shared" si="32"/>
        <v>-5.4700080376011533E-3</v>
      </c>
      <c r="E192" t="str">
        <f t="shared" si="26"/>
        <v>2010-10</v>
      </c>
      <c r="G192">
        <v>3692.09</v>
      </c>
      <c r="H192">
        <f t="shared" si="33"/>
        <v>-6.2344358417682471E-3</v>
      </c>
      <c r="I192" t="str">
        <f t="shared" si="27"/>
        <v>2010-10</v>
      </c>
      <c r="K192">
        <v>6211.34</v>
      </c>
      <c r="L192">
        <f t="shared" si="34"/>
        <v>-2.842363388696503E-3</v>
      </c>
      <c r="M192" t="str">
        <f t="shared" si="28"/>
        <v>2010-10</v>
      </c>
      <c r="O192">
        <v>6439.0387799999999</v>
      </c>
      <c r="P192">
        <f t="shared" si="35"/>
        <v>4.9267600622872453E-3</v>
      </c>
      <c r="Q192" t="str">
        <f t="shared" si="29"/>
        <v>2010-10</v>
      </c>
      <c r="S192">
        <v>10450.1</v>
      </c>
      <c r="T192">
        <f t="shared" si="36"/>
        <v>-6.1437091635973013E-3</v>
      </c>
      <c r="U192" t="str">
        <f t="shared" si="30"/>
        <v>2010-10</v>
      </c>
      <c r="W192">
        <v>20391.27</v>
      </c>
      <c r="X192">
        <f t="shared" si="37"/>
        <v>-5.5716444343176606E-3</v>
      </c>
      <c r="Y192">
        <f t="shared" si="38"/>
        <v>-5.556151610323249E-3</v>
      </c>
      <c r="Z192" t="str">
        <f t="shared" si="31"/>
        <v>2010-10</v>
      </c>
    </row>
    <row r="193" spans="1:26" x14ac:dyDescent="0.35">
      <c r="A193" s="1">
        <v>40455</v>
      </c>
      <c r="C193">
        <v>2701.02</v>
      </c>
      <c r="D193">
        <f t="shared" si="32"/>
        <v>-1.1737496110470706E-2</v>
      </c>
      <c r="E193" t="str">
        <f t="shared" si="26"/>
        <v>2010-10</v>
      </c>
      <c r="G193">
        <v>3649.81</v>
      </c>
      <c r="H193">
        <f t="shared" si="33"/>
        <v>-1.1517581929928283E-2</v>
      </c>
      <c r="I193" t="str">
        <f t="shared" si="27"/>
        <v>2010-10</v>
      </c>
      <c r="K193">
        <v>6134.21</v>
      </c>
      <c r="L193">
        <f t="shared" si="34"/>
        <v>-1.2495353151169784E-2</v>
      </c>
      <c r="M193" t="str">
        <f t="shared" si="28"/>
        <v>2010-10</v>
      </c>
      <c r="O193">
        <v>6428.4654700000001</v>
      </c>
      <c r="P193">
        <f t="shared" si="35"/>
        <v>-1.6434130775134759E-3</v>
      </c>
      <c r="Q193" t="str">
        <f t="shared" si="29"/>
        <v>2010-10</v>
      </c>
      <c r="S193">
        <v>10383</v>
      </c>
      <c r="T193">
        <f t="shared" si="36"/>
        <v>-6.4416944217073994E-3</v>
      </c>
      <c r="U193" t="str">
        <f t="shared" si="30"/>
        <v>2010-10</v>
      </c>
      <c r="W193">
        <v>20090.97</v>
      </c>
      <c r="X193">
        <f t="shared" si="37"/>
        <v>-1.4836407691748037E-2</v>
      </c>
      <c r="Y193">
        <f t="shared" si="38"/>
        <v>-1.4726890478131046E-2</v>
      </c>
      <c r="Z193" t="str">
        <f t="shared" si="31"/>
        <v>2010-10</v>
      </c>
    </row>
    <row r="194" spans="1:26" x14ac:dyDescent="0.35">
      <c r="A194" s="1">
        <v>40456</v>
      </c>
      <c r="C194">
        <v>2758.56</v>
      </c>
      <c r="D194">
        <f t="shared" si="32"/>
        <v>2.1079324997401047E-2</v>
      </c>
      <c r="E194" t="str">
        <f t="shared" si="26"/>
        <v>2010-10</v>
      </c>
      <c r="G194">
        <v>3731.93</v>
      </c>
      <c r="H194">
        <f t="shared" si="33"/>
        <v>2.2250414665385521E-2</v>
      </c>
      <c r="I194" t="str">
        <f t="shared" si="27"/>
        <v>2010-10</v>
      </c>
      <c r="K194">
        <v>6215.83</v>
      </c>
      <c r="L194">
        <f t="shared" si="34"/>
        <v>1.3217963398776778E-2</v>
      </c>
      <c r="M194" t="str">
        <f t="shared" si="28"/>
        <v>2010-10</v>
      </c>
      <c r="O194">
        <v>6479.7587700000004</v>
      </c>
      <c r="P194">
        <f t="shared" si="35"/>
        <v>7.9474246846701173E-3</v>
      </c>
      <c r="Q194" t="str">
        <f t="shared" si="29"/>
        <v>2010-10</v>
      </c>
      <c r="S194">
        <v>10651.2</v>
      </c>
      <c r="T194">
        <f t="shared" si="36"/>
        <v>2.550270854298534E-2</v>
      </c>
      <c r="U194" t="str">
        <f t="shared" si="30"/>
        <v>2010-10</v>
      </c>
      <c r="W194">
        <v>20510.02</v>
      </c>
      <c r="X194">
        <f t="shared" si="37"/>
        <v>2.064308682889986E-2</v>
      </c>
      <c r="Y194">
        <f t="shared" si="38"/>
        <v>2.0857629074156163E-2</v>
      </c>
      <c r="Z194" t="str">
        <f t="shared" si="31"/>
        <v>2010-10</v>
      </c>
    </row>
    <row r="195" spans="1:26" x14ac:dyDescent="0.35">
      <c r="A195" s="1">
        <v>40457</v>
      </c>
      <c r="C195">
        <v>2780</v>
      </c>
      <c r="D195">
        <f t="shared" si="32"/>
        <v>7.7421232571417706E-3</v>
      </c>
      <c r="E195" t="str">
        <f t="shared" si="26"/>
        <v>2010-10</v>
      </c>
      <c r="G195">
        <v>3764.91</v>
      </c>
      <c r="H195">
        <f t="shared" si="33"/>
        <v>8.7984304733052451E-3</v>
      </c>
      <c r="I195" t="str">
        <f t="shared" si="27"/>
        <v>2010-10</v>
      </c>
      <c r="K195">
        <v>6270.73</v>
      </c>
      <c r="L195">
        <f t="shared" si="34"/>
        <v>8.7935113858857022E-3</v>
      </c>
      <c r="M195" t="str">
        <f t="shared" si="28"/>
        <v>2010-10</v>
      </c>
      <c r="O195">
        <v>6491.2685700000002</v>
      </c>
      <c r="P195">
        <f t="shared" si="35"/>
        <v>1.7746941270235907E-3</v>
      </c>
      <c r="Q195" t="str">
        <f t="shared" si="29"/>
        <v>2010-10</v>
      </c>
      <c r="S195">
        <v>10700.2</v>
      </c>
      <c r="T195">
        <f t="shared" si="36"/>
        <v>4.5898710176579365E-3</v>
      </c>
      <c r="U195" t="str">
        <f t="shared" si="30"/>
        <v>2010-10</v>
      </c>
      <c r="W195">
        <v>20568.310000000001</v>
      </c>
      <c r="X195">
        <f t="shared" si="37"/>
        <v>2.8379945885501361E-3</v>
      </c>
      <c r="Y195">
        <f t="shared" si="38"/>
        <v>2.8420255075324585E-3</v>
      </c>
      <c r="Z195" t="str">
        <f t="shared" si="31"/>
        <v>2010-10</v>
      </c>
    </row>
    <row r="196" spans="1:26" x14ac:dyDescent="0.35">
      <c r="A196" s="1">
        <v>40458</v>
      </c>
      <c r="C196">
        <v>2786.88</v>
      </c>
      <c r="D196">
        <f t="shared" si="32"/>
        <v>2.4717628196920124E-3</v>
      </c>
      <c r="E196" t="str">
        <f t="shared" ref="E196:E259" si="39">_xlfn.CONCAT(YEAR(A196),"-",TEXT(MONTH(A196),"00"))</f>
        <v>2010-10</v>
      </c>
      <c r="G196">
        <v>3770.47</v>
      </c>
      <c r="H196">
        <f t="shared" si="33"/>
        <v>1.4757055407967126E-3</v>
      </c>
      <c r="I196" t="str">
        <f t="shared" ref="I196:I259" si="40">_xlfn.CONCAT(YEAR(A196),"-",TEXT(MONTH(A196),"00"))</f>
        <v>2010-10</v>
      </c>
      <c r="K196">
        <v>6276.25</v>
      </c>
      <c r="L196">
        <f t="shared" si="34"/>
        <v>8.7989306687952847E-4</v>
      </c>
      <c r="M196" t="str">
        <f t="shared" ref="M196:M259" si="41">_xlfn.CONCAT(YEAR(A196),"-",TEXT(MONTH(A196),"00"))</f>
        <v>2010-10</v>
      </c>
      <c r="O196">
        <v>6473.5687699999999</v>
      </c>
      <c r="P196">
        <f t="shared" si="35"/>
        <v>-2.7304331758613138E-3</v>
      </c>
      <c r="Q196" t="str">
        <f t="shared" ref="Q196:Q259" si="42">_xlfn.CONCAT(YEAR(A196),"-",TEXT(MONTH(A196),"00"))</f>
        <v>2010-10</v>
      </c>
      <c r="S196">
        <v>10740.3</v>
      </c>
      <c r="T196">
        <f t="shared" si="36"/>
        <v>3.740588769534424E-3</v>
      </c>
      <c r="U196" t="str">
        <f t="shared" ref="U196:U259" si="43">_xlfn.CONCAT(YEAR(A196),"-",TEXT(MONTH(A196),"00"))</f>
        <v>2010-10</v>
      </c>
      <c r="W196">
        <v>20691.900000000001</v>
      </c>
      <c r="X196">
        <f t="shared" si="37"/>
        <v>5.9907775375282737E-3</v>
      </c>
      <c r="Y196">
        <f t="shared" si="38"/>
        <v>6.0087581332642368E-3</v>
      </c>
      <c r="Z196" t="str">
        <f t="shared" ref="Z196:Z259" si="44">_xlfn.CONCAT(YEAR(A196),"-",TEXT(MONTH(A196),"00"))</f>
        <v>2010-10</v>
      </c>
    </row>
    <row r="197" spans="1:26" x14ac:dyDescent="0.35">
      <c r="A197" s="1">
        <v>40459</v>
      </c>
      <c r="C197">
        <v>2785.43</v>
      </c>
      <c r="D197">
        <f t="shared" ref="D197:D260" si="45">LN(C197/C196)</f>
        <v>-5.2043049748760905E-4</v>
      </c>
      <c r="E197" t="str">
        <f t="shared" si="39"/>
        <v>2010-10</v>
      </c>
      <c r="G197">
        <v>3763.18</v>
      </c>
      <c r="H197">
        <f t="shared" ref="H197:H260" si="46">LN(G197/G196)</f>
        <v>-1.9353174823260378E-3</v>
      </c>
      <c r="I197" t="str">
        <f t="shared" si="40"/>
        <v>2010-10</v>
      </c>
      <c r="K197">
        <v>6291.67</v>
      </c>
      <c r="L197">
        <f t="shared" ref="L197:L260" si="47">LN(K197/K196)</f>
        <v>2.4538679013846529E-3</v>
      </c>
      <c r="M197" t="str">
        <f t="shared" si="41"/>
        <v>2010-10</v>
      </c>
      <c r="O197">
        <v>6485.5330899999999</v>
      </c>
      <c r="P197">
        <f t="shared" ref="P197:P260" si="48">LN(O197/O196)</f>
        <v>1.8464741659696025E-3</v>
      </c>
      <c r="Q197" t="str">
        <f t="shared" si="42"/>
        <v>2010-10</v>
      </c>
      <c r="S197">
        <v>10720.8</v>
      </c>
      <c r="T197">
        <f t="shared" ref="T197:T260" si="49">LN(S197/S196)</f>
        <v>-1.8172419276130545E-3</v>
      </c>
      <c r="U197" t="str">
        <f t="shared" si="43"/>
        <v>2010-10</v>
      </c>
      <c r="W197">
        <v>20750.740000000002</v>
      </c>
      <c r="X197">
        <f t="shared" ref="X197:X260" si="50">LN(W197/W196)</f>
        <v>2.8395893474394314E-3</v>
      </c>
      <c r="Y197">
        <f t="shared" ref="Y197:Y260" si="51">(W197-W196)/W196</f>
        <v>2.8436248000425356E-3</v>
      </c>
      <c r="Z197" t="str">
        <f t="shared" si="44"/>
        <v>2010-10</v>
      </c>
    </row>
    <row r="198" spans="1:26" x14ac:dyDescent="0.35">
      <c r="A198" s="1">
        <v>40462</v>
      </c>
      <c r="C198">
        <v>2789.72</v>
      </c>
      <c r="D198">
        <f t="shared" si="45"/>
        <v>1.5389723493415008E-3</v>
      </c>
      <c r="E198" t="str">
        <f t="shared" si="39"/>
        <v>2010-10</v>
      </c>
      <c r="G198">
        <v>3768.49</v>
      </c>
      <c r="H198">
        <f t="shared" si="46"/>
        <v>1.4100460800304034E-3</v>
      </c>
      <c r="I198" t="str">
        <f t="shared" si="40"/>
        <v>2010-10</v>
      </c>
      <c r="K198">
        <v>6309.51</v>
      </c>
      <c r="L198">
        <f t="shared" si="47"/>
        <v>2.8314827530505939E-3</v>
      </c>
      <c r="M198" t="str">
        <f t="shared" si="41"/>
        <v>2010-10</v>
      </c>
      <c r="O198">
        <v>6493.3622699999996</v>
      </c>
      <c r="P198">
        <f t="shared" si="48"/>
        <v>1.2064479653259414E-3</v>
      </c>
      <c r="Q198" t="str">
        <f t="shared" si="42"/>
        <v>2010-10</v>
      </c>
      <c r="S198">
        <v>10700.8</v>
      </c>
      <c r="T198">
        <f t="shared" si="49"/>
        <v>-1.8672746957455048E-3</v>
      </c>
      <c r="U198" t="str">
        <f t="shared" si="43"/>
        <v>2010-10</v>
      </c>
      <c r="W198">
        <v>20837.71</v>
      </c>
      <c r="X198">
        <f t="shared" si="50"/>
        <v>4.1824173191202683E-3</v>
      </c>
      <c r="Y198">
        <f t="shared" si="51"/>
        <v>4.1911758327653629E-3</v>
      </c>
      <c r="Z198" t="str">
        <f t="shared" si="44"/>
        <v>2010-10</v>
      </c>
    </row>
    <row r="199" spans="1:26" x14ac:dyDescent="0.35">
      <c r="A199" s="1">
        <v>40463</v>
      </c>
      <c r="C199">
        <v>2775.75</v>
      </c>
      <c r="D199">
        <f t="shared" si="45"/>
        <v>-5.020251421853617E-3</v>
      </c>
      <c r="E199" t="str">
        <f t="shared" si="39"/>
        <v>2010-10</v>
      </c>
      <c r="G199">
        <v>3748.86</v>
      </c>
      <c r="H199">
        <f t="shared" si="46"/>
        <v>-5.2225969572209886E-3</v>
      </c>
      <c r="I199" t="str">
        <f t="shared" si="40"/>
        <v>2010-10</v>
      </c>
      <c r="K199">
        <v>6304.57</v>
      </c>
      <c r="L199">
        <f t="shared" si="47"/>
        <v>-7.8325177144131957E-4</v>
      </c>
      <c r="M199" t="str">
        <f t="shared" si="41"/>
        <v>2010-10</v>
      </c>
      <c r="O199">
        <v>6447.1167299999997</v>
      </c>
      <c r="P199">
        <f t="shared" si="48"/>
        <v>-7.1474536414245426E-3</v>
      </c>
      <c r="Q199" t="str">
        <f t="shared" si="42"/>
        <v>2010-10</v>
      </c>
      <c r="S199">
        <v>10648.2</v>
      </c>
      <c r="T199">
        <f t="shared" si="49"/>
        <v>-4.9276412416988163E-3</v>
      </c>
      <c r="U199" t="str">
        <f t="shared" si="43"/>
        <v>2010-10</v>
      </c>
      <c r="W199">
        <v>20750.22</v>
      </c>
      <c r="X199">
        <f t="shared" si="50"/>
        <v>-4.207476980392125E-3</v>
      </c>
      <c r="Y199">
        <f t="shared" si="51"/>
        <v>-4.1986379501393369E-3</v>
      </c>
      <c r="Z199" t="str">
        <f t="shared" si="44"/>
        <v>2010-10</v>
      </c>
    </row>
    <row r="200" spans="1:26" x14ac:dyDescent="0.35">
      <c r="A200" s="1">
        <v>40464</v>
      </c>
      <c r="C200">
        <v>2840.55</v>
      </c>
      <c r="D200">
        <f t="shared" si="45"/>
        <v>2.3076714442648878E-2</v>
      </c>
      <c r="E200" t="str">
        <f t="shared" si="39"/>
        <v>2010-10</v>
      </c>
      <c r="G200">
        <v>3828.34</v>
      </c>
      <c r="H200">
        <f t="shared" si="46"/>
        <v>2.097949510831168E-2</v>
      </c>
      <c r="I200" t="str">
        <f t="shared" si="40"/>
        <v>2010-10</v>
      </c>
      <c r="K200">
        <v>6434.52</v>
      </c>
      <c r="L200">
        <f t="shared" si="47"/>
        <v>2.0402478941598634E-2</v>
      </c>
      <c r="M200" t="str">
        <f t="shared" si="41"/>
        <v>2010-10</v>
      </c>
      <c r="O200">
        <v>6541.3240100000003</v>
      </c>
      <c r="P200">
        <f t="shared" si="48"/>
        <v>1.4506580731078144E-2</v>
      </c>
      <c r="Q200" t="str">
        <f t="shared" si="42"/>
        <v>2010-10</v>
      </c>
      <c r="S200">
        <v>10866.1</v>
      </c>
      <c r="T200">
        <f t="shared" si="49"/>
        <v>2.0256987319136721E-2</v>
      </c>
      <c r="U200" t="str">
        <f t="shared" si="43"/>
        <v>2010-10</v>
      </c>
      <c r="W200">
        <v>21145.26</v>
      </c>
      <c r="X200">
        <f t="shared" si="50"/>
        <v>1.8858917869791179E-2</v>
      </c>
      <c r="Y200">
        <f t="shared" si="51"/>
        <v>1.9037870441855422E-2</v>
      </c>
      <c r="Z200" t="str">
        <f t="shared" si="44"/>
        <v>2010-10</v>
      </c>
    </row>
    <row r="201" spans="1:26" x14ac:dyDescent="0.35">
      <c r="A201" s="1">
        <v>40465</v>
      </c>
      <c r="C201">
        <v>2836.11</v>
      </c>
      <c r="D201">
        <f t="shared" si="45"/>
        <v>-1.5643004532253945E-3</v>
      </c>
      <c r="E201" t="str">
        <f t="shared" si="39"/>
        <v>2010-10</v>
      </c>
      <c r="G201">
        <v>3819.17</v>
      </c>
      <c r="H201">
        <f t="shared" si="46"/>
        <v>-2.3981673498642163E-3</v>
      </c>
      <c r="I201" t="str">
        <f t="shared" si="40"/>
        <v>2010-10</v>
      </c>
      <c r="K201">
        <v>6455.27</v>
      </c>
      <c r="L201">
        <f t="shared" si="47"/>
        <v>3.2196052727457834E-3</v>
      </c>
      <c r="M201" t="str">
        <f t="shared" si="41"/>
        <v>2010-10</v>
      </c>
      <c r="O201">
        <v>6513.3056399999996</v>
      </c>
      <c r="P201">
        <f t="shared" si="48"/>
        <v>-4.2924868452158399E-3</v>
      </c>
      <c r="Q201" t="str">
        <f t="shared" si="42"/>
        <v>2010-10</v>
      </c>
      <c r="S201">
        <v>10849.7</v>
      </c>
      <c r="T201">
        <f t="shared" si="49"/>
        <v>-1.5104212709525174E-3</v>
      </c>
      <c r="U201" t="str">
        <f t="shared" si="43"/>
        <v>2010-10</v>
      </c>
      <c r="W201">
        <v>21094.86</v>
      </c>
      <c r="X201">
        <f t="shared" si="50"/>
        <v>-2.3863579894069231E-3</v>
      </c>
      <c r="Y201">
        <f t="shared" si="51"/>
        <v>-2.3835129007634724E-3</v>
      </c>
      <c r="Z201" t="str">
        <f t="shared" si="44"/>
        <v>2010-10</v>
      </c>
    </row>
    <row r="202" spans="1:26" x14ac:dyDescent="0.35">
      <c r="A202" s="1">
        <v>40466</v>
      </c>
      <c r="C202">
        <v>2841.65</v>
      </c>
      <c r="D202">
        <f t="shared" si="45"/>
        <v>1.9514744399702919E-3</v>
      </c>
      <c r="E202" t="str">
        <f t="shared" si="39"/>
        <v>2010-10</v>
      </c>
      <c r="G202">
        <v>3827.37</v>
      </c>
      <c r="H202">
        <f t="shared" si="46"/>
        <v>2.1447617205520566E-3</v>
      </c>
      <c r="I202" t="str">
        <f t="shared" si="40"/>
        <v>2010-10</v>
      </c>
      <c r="K202">
        <v>6492.3</v>
      </c>
      <c r="L202">
        <f t="shared" si="47"/>
        <v>5.7200078414329936E-3</v>
      </c>
      <c r="M202" t="str">
        <f t="shared" si="41"/>
        <v>2010-10</v>
      </c>
      <c r="O202">
        <v>6520.6956499999997</v>
      </c>
      <c r="P202">
        <f t="shared" si="48"/>
        <v>1.1339588860633776E-3</v>
      </c>
      <c r="Q202" t="str">
        <f t="shared" si="42"/>
        <v>2010-10</v>
      </c>
      <c r="S202">
        <v>10868.2</v>
      </c>
      <c r="T202">
        <f t="shared" si="49"/>
        <v>1.7036642101348467E-3</v>
      </c>
      <c r="U202" t="str">
        <f t="shared" si="43"/>
        <v>2010-10</v>
      </c>
      <c r="W202">
        <v>21062.18</v>
      </c>
      <c r="X202">
        <f t="shared" si="50"/>
        <v>-1.5503937916957215E-3</v>
      </c>
      <c r="Y202">
        <f t="shared" si="51"/>
        <v>-1.5491925521193453E-3</v>
      </c>
      <c r="Z202" t="str">
        <f t="shared" si="44"/>
        <v>2010-10</v>
      </c>
    </row>
    <row r="203" spans="1:26" x14ac:dyDescent="0.35">
      <c r="A203" s="1">
        <v>40469</v>
      </c>
      <c r="C203">
        <v>2850.72</v>
      </c>
      <c r="D203">
        <f t="shared" si="45"/>
        <v>3.186724571890961E-3</v>
      </c>
      <c r="E203" t="str">
        <f t="shared" si="39"/>
        <v>2010-10</v>
      </c>
      <c r="G203">
        <v>3834.5</v>
      </c>
      <c r="H203">
        <f t="shared" si="46"/>
        <v>1.8611649788248575E-3</v>
      </c>
      <c r="I203" t="str">
        <f t="shared" si="40"/>
        <v>2010-10</v>
      </c>
      <c r="K203">
        <v>6516.63</v>
      </c>
      <c r="L203">
        <f t="shared" si="47"/>
        <v>3.7405118434206057E-3</v>
      </c>
      <c r="M203" t="str">
        <f t="shared" si="41"/>
        <v>2010-10</v>
      </c>
      <c r="O203">
        <v>6538.8949199999997</v>
      </c>
      <c r="P203">
        <f t="shared" si="48"/>
        <v>2.7871136822318278E-3</v>
      </c>
      <c r="Q203" t="str">
        <f t="shared" si="42"/>
        <v>2010-10</v>
      </c>
      <c r="S203">
        <v>10897.7</v>
      </c>
      <c r="T203">
        <f t="shared" si="49"/>
        <v>2.7106637504619338E-3</v>
      </c>
      <c r="U203" t="str">
        <f t="shared" si="43"/>
        <v>2010-10</v>
      </c>
      <c r="W203">
        <v>21258.59</v>
      </c>
      <c r="X203">
        <f t="shared" si="50"/>
        <v>9.2820338646391332E-3</v>
      </c>
      <c r="Y203">
        <f t="shared" si="51"/>
        <v>9.325245534887644E-3</v>
      </c>
      <c r="Z203" t="str">
        <f t="shared" si="44"/>
        <v>2010-10</v>
      </c>
    </row>
    <row r="204" spans="1:26" x14ac:dyDescent="0.35">
      <c r="A204" s="1">
        <v>40470</v>
      </c>
      <c r="C204">
        <v>2837.33</v>
      </c>
      <c r="D204">
        <f t="shared" si="45"/>
        <v>-4.7081248350640094E-3</v>
      </c>
      <c r="E204" t="str">
        <f t="shared" si="39"/>
        <v>2010-10</v>
      </c>
      <c r="G204">
        <v>3807.17</v>
      </c>
      <c r="H204">
        <f t="shared" si="46"/>
        <v>-7.1529172357410898E-3</v>
      </c>
      <c r="I204" t="str">
        <f t="shared" si="40"/>
        <v>2010-10</v>
      </c>
      <c r="K204">
        <v>6490.69</v>
      </c>
      <c r="L204">
        <f t="shared" si="47"/>
        <v>-3.9885286728649624E-3</v>
      </c>
      <c r="M204" t="str">
        <f t="shared" si="41"/>
        <v>2010-10</v>
      </c>
      <c r="O204">
        <v>6496.7852199999998</v>
      </c>
      <c r="P204">
        <f t="shared" si="48"/>
        <v>-6.460705697246545E-3</v>
      </c>
      <c r="Q204" t="str">
        <f t="shared" si="42"/>
        <v>2010-10</v>
      </c>
      <c r="S204">
        <v>10895.3</v>
      </c>
      <c r="T204">
        <f t="shared" si="49"/>
        <v>-2.2025421095794401E-4</v>
      </c>
      <c r="U204" t="str">
        <f t="shared" si="43"/>
        <v>2010-10</v>
      </c>
      <c r="W204">
        <v>21233.48</v>
      </c>
      <c r="X204">
        <f t="shared" si="50"/>
        <v>-1.1818677189803708E-3</v>
      </c>
      <c r="Y204">
        <f t="shared" si="51"/>
        <v>-1.181169588387592E-3</v>
      </c>
      <c r="Z204" t="str">
        <f t="shared" si="44"/>
        <v>2010-10</v>
      </c>
    </row>
    <row r="205" spans="1:26" x14ac:dyDescent="0.35">
      <c r="A205" s="1">
        <v>40471</v>
      </c>
      <c r="C205">
        <v>2851.52</v>
      </c>
      <c r="D205">
        <f t="shared" si="45"/>
        <v>4.988716323759166E-3</v>
      </c>
      <c r="E205" t="str">
        <f t="shared" si="39"/>
        <v>2010-10</v>
      </c>
      <c r="G205">
        <v>3828.15</v>
      </c>
      <c r="H205">
        <f t="shared" si="46"/>
        <v>5.4955267889399981E-3</v>
      </c>
      <c r="I205" t="str">
        <f t="shared" si="40"/>
        <v>2010-10</v>
      </c>
      <c r="K205">
        <v>6524.55</v>
      </c>
      <c r="L205">
        <f t="shared" si="47"/>
        <v>5.2031428371798229E-3</v>
      </c>
      <c r="M205" t="str">
        <f t="shared" si="41"/>
        <v>2010-10</v>
      </c>
      <c r="O205">
        <v>6509.0099300000002</v>
      </c>
      <c r="P205">
        <f t="shared" si="48"/>
        <v>1.8798871517136694E-3</v>
      </c>
      <c r="Q205" t="str">
        <f t="shared" si="42"/>
        <v>2010-10</v>
      </c>
      <c r="S205">
        <v>10896.9</v>
      </c>
      <c r="T205">
        <f t="shared" si="49"/>
        <v>1.4684153071972735E-4</v>
      </c>
      <c r="U205" t="str">
        <f t="shared" si="43"/>
        <v>2010-10</v>
      </c>
      <c r="W205">
        <v>21425.79</v>
      </c>
      <c r="X205">
        <f t="shared" si="50"/>
        <v>9.0161553517053451E-3</v>
      </c>
      <c r="Y205">
        <f t="shared" si="51"/>
        <v>9.0569233116757734E-3</v>
      </c>
      <c r="Z205" t="str">
        <f t="shared" si="44"/>
        <v>2010-10</v>
      </c>
    </row>
    <row r="206" spans="1:26" x14ac:dyDescent="0.35">
      <c r="A206" s="1">
        <v>40472</v>
      </c>
      <c r="C206">
        <v>2882.29</v>
      </c>
      <c r="D206">
        <f t="shared" si="45"/>
        <v>1.0732931639073814E-2</v>
      </c>
      <c r="E206" t="str">
        <f t="shared" si="39"/>
        <v>2010-10</v>
      </c>
      <c r="G206">
        <v>3878.27</v>
      </c>
      <c r="H206">
        <f t="shared" si="46"/>
        <v>1.300752013815683E-2</v>
      </c>
      <c r="I206" t="str">
        <f t="shared" si="40"/>
        <v>2010-10</v>
      </c>
      <c r="K206">
        <v>6611.01</v>
      </c>
      <c r="L206">
        <f t="shared" si="47"/>
        <v>1.3164455667476404E-2</v>
      </c>
      <c r="M206" t="str">
        <f t="shared" si="41"/>
        <v>2010-10</v>
      </c>
      <c r="O206">
        <v>6492.3610099999996</v>
      </c>
      <c r="P206">
        <f t="shared" si="48"/>
        <v>-2.5611036216418009E-3</v>
      </c>
      <c r="Q206" t="str">
        <f t="shared" si="42"/>
        <v>2010-10</v>
      </c>
      <c r="S206">
        <v>10892.3</v>
      </c>
      <c r="T206">
        <f t="shared" si="49"/>
        <v>-4.2222753183589131E-4</v>
      </c>
      <c r="U206" t="str">
        <f t="shared" si="43"/>
        <v>2010-10</v>
      </c>
      <c r="W206">
        <v>21616.43</v>
      </c>
      <c r="X206">
        <f t="shared" si="50"/>
        <v>8.8583370758877188E-3</v>
      </c>
      <c r="Y206">
        <f t="shared" si="51"/>
        <v>8.8976882532685805E-3</v>
      </c>
      <c r="Z206" t="str">
        <f t="shared" si="44"/>
        <v>2010-10</v>
      </c>
    </row>
    <row r="207" spans="1:26" x14ac:dyDescent="0.35">
      <c r="A207" s="1">
        <v>40473</v>
      </c>
      <c r="C207">
        <v>2873.74</v>
      </c>
      <c r="D207">
        <f t="shared" si="45"/>
        <v>-2.9707997659065861E-3</v>
      </c>
      <c r="E207" t="str">
        <f t="shared" si="39"/>
        <v>2010-10</v>
      </c>
      <c r="G207">
        <v>3868.54</v>
      </c>
      <c r="H207">
        <f t="shared" si="46"/>
        <v>-2.5120030351814451E-3</v>
      </c>
      <c r="I207" t="str">
        <f t="shared" si="40"/>
        <v>2010-10</v>
      </c>
      <c r="K207">
        <v>6605.84</v>
      </c>
      <c r="L207">
        <f t="shared" si="47"/>
        <v>-7.8233471117412521E-4</v>
      </c>
      <c r="M207" t="str">
        <f t="shared" si="41"/>
        <v>2010-10</v>
      </c>
      <c r="O207">
        <v>6467.9586600000002</v>
      </c>
      <c r="P207">
        <f t="shared" si="48"/>
        <v>-3.7657063186532346E-3</v>
      </c>
      <c r="Q207" t="str">
        <f t="shared" si="42"/>
        <v>2010-10</v>
      </c>
      <c r="S207">
        <v>10924.8</v>
      </c>
      <c r="T207">
        <f t="shared" si="49"/>
        <v>2.9793165947856358E-3</v>
      </c>
      <c r="U207" t="str">
        <f t="shared" si="43"/>
        <v>2010-10</v>
      </c>
      <c r="W207">
        <v>21536.21</v>
      </c>
      <c r="X207">
        <f t="shared" si="50"/>
        <v>-3.7179691628926904E-3</v>
      </c>
      <c r="Y207">
        <f t="shared" si="51"/>
        <v>-3.7110660733525916E-3</v>
      </c>
      <c r="Z207" t="str">
        <f t="shared" si="44"/>
        <v>2010-10</v>
      </c>
    </row>
    <row r="208" spans="1:26" x14ac:dyDescent="0.35">
      <c r="A208" s="1">
        <v>40476</v>
      </c>
      <c r="C208">
        <v>2871.48</v>
      </c>
      <c r="D208">
        <f t="shared" si="45"/>
        <v>-7.8674101829721811E-4</v>
      </c>
      <c r="E208" t="str">
        <f t="shared" si="39"/>
        <v>2010-10</v>
      </c>
      <c r="G208">
        <v>3870</v>
      </c>
      <c r="H208">
        <f t="shared" si="46"/>
        <v>3.7733216273953124E-4</v>
      </c>
      <c r="I208" t="str">
        <f t="shared" si="40"/>
        <v>2010-10</v>
      </c>
      <c r="K208">
        <v>6639.21</v>
      </c>
      <c r="L208">
        <f t="shared" si="47"/>
        <v>5.0388742369463337E-3</v>
      </c>
      <c r="M208" t="str">
        <f t="shared" si="41"/>
        <v>2010-10</v>
      </c>
      <c r="O208">
        <v>6480.8140800000001</v>
      </c>
      <c r="P208">
        <f t="shared" si="48"/>
        <v>1.9855818743142579E-3</v>
      </c>
      <c r="Q208" t="str">
        <f t="shared" si="42"/>
        <v>2010-10</v>
      </c>
      <c r="S208">
        <v>10870.3</v>
      </c>
      <c r="T208">
        <f t="shared" si="49"/>
        <v>-5.0011345296100485E-3</v>
      </c>
      <c r="U208" t="str">
        <f t="shared" si="43"/>
        <v>2010-10</v>
      </c>
      <c r="W208">
        <v>21435.03</v>
      </c>
      <c r="X208">
        <f t="shared" si="50"/>
        <v>-4.7092049001015756E-3</v>
      </c>
      <c r="Y208">
        <f t="shared" si="51"/>
        <v>-4.6981339799342737E-3</v>
      </c>
      <c r="Z208" t="str">
        <f t="shared" si="44"/>
        <v>2010-10</v>
      </c>
    </row>
    <row r="209" spans="1:26" x14ac:dyDescent="0.35">
      <c r="A209" s="1">
        <v>40477</v>
      </c>
      <c r="C209">
        <v>2856.31</v>
      </c>
      <c r="D209">
        <f t="shared" si="45"/>
        <v>-5.2969942927934633E-3</v>
      </c>
      <c r="E209" t="str">
        <f t="shared" si="39"/>
        <v>2010-10</v>
      </c>
      <c r="G209">
        <v>3852.66</v>
      </c>
      <c r="H209">
        <f t="shared" si="46"/>
        <v>-4.4906882188950354E-3</v>
      </c>
      <c r="I209" t="str">
        <f t="shared" si="40"/>
        <v>2010-10</v>
      </c>
      <c r="K209">
        <v>6613.8</v>
      </c>
      <c r="L209">
        <f t="shared" si="47"/>
        <v>-3.8346052913460263E-3</v>
      </c>
      <c r="M209" t="str">
        <f t="shared" si="41"/>
        <v>2010-10</v>
      </c>
      <c r="O209">
        <v>6520.3936700000004</v>
      </c>
      <c r="P209">
        <f t="shared" si="48"/>
        <v>6.0886208471171658E-3</v>
      </c>
      <c r="Q209" t="str">
        <f t="shared" si="42"/>
        <v>2010-10</v>
      </c>
      <c r="S209">
        <v>10797.8</v>
      </c>
      <c r="T209">
        <f t="shared" si="49"/>
        <v>-6.6918899722669036E-3</v>
      </c>
      <c r="U209" t="str">
        <f t="shared" si="43"/>
        <v>2010-10</v>
      </c>
      <c r="W209">
        <v>21363.52</v>
      </c>
      <c r="X209">
        <f t="shared" si="50"/>
        <v>-3.3417051066430038E-3</v>
      </c>
      <c r="Y209">
        <f t="shared" si="51"/>
        <v>-3.3361278244069827E-3</v>
      </c>
      <c r="Z209" t="str">
        <f t="shared" si="44"/>
        <v>2010-10</v>
      </c>
    </row>
    <row r="210" spans="1:26" x14ac:dyDescent="0.35">
      <c r="A210" s="1">
        <v>40478</v>
      </c>
      <c r="C210">
        <v>2829.42</v>
      </c>
      <c r="D210">
        <f t="shared" si="45"/>
        <v>-9.4588383501201731E-3</v>
      </c>
      <c r="E210" t="str">
        <f t="shared" si="39"/>
        <v>2010-10</v>
      </c>
      <c r="G210">
        <v>3815.77</v>
      </c>
      <c r="H210">
        <f t="shared" si="46"/>
        <v>-9.6213395899052631E-3</v>
      </c>
      <c r="I210" t="str">
        <f t="shared" si="40"/>
        <v>2010-10</v>
      </c>
      <c r="K210">
        <v>6568</v>
      </c>
      <c r="L210">
        <f t="shared" si="47"/>
        <v>-6.9490030650606128E-3</v>
      </c>
      <c r="M210" t="str">
        <f t="shared" si="41"/>
        <v>2010-10</v>
      </c>
      <c r="O210">
        <v>6459.3879699999998</v>
      </c>
      <c r="P210">
        <f t="shared" si="48"/>
        <v>-9.4001811300047974E-3</v>
      </c>
      <c r="Q210" t="str">
        <f t="shared" si="42"/>
        <v>2010-10</v>
      </c>
      <c r="S210">
        <v>10700.1</v>
      </c>
      <c r="T210">
        <f t="shared" si="49"/>
        <v>-9.0893224574714552E-3</v>
      </c>
      <c r="U210" t="str">
        <f t="shared" si="43"/>
        <v>2010-10</v>
      </c>
      <c r="W210">
        <v>21250.82</v>
      </c>
      <c r="X210">
        <f t="shared" si="50"/>
        <v>-5.2893116612307677E-3</v>
      </c>
      <c r="Y210">
        <f t="shared" si="51"/>
        <v>-5.2753478827459481E-3</v>
      </c>
      <c r="Z210" t="str">
        <f t="shared" si="44"/>
        <v>2010-10</v>
      </c>
    </row>
    <row r="211" spans="1:26" x14ac:dyDescent="0.35">
      <c r="A211" s="1">
        <v>40479</v>
      </c>
      <c r="C211">
        <v>2845.53</v>
      </c>
      <c r="D211">
        <f t="shared" si="45"/>
        <v>5.6775983138631584E-3</v>
      </c>
      <c r="E211" t="str">
        <f t="shared" si="39"/>
        <v>2010-10</v>
      </c>
      <c r="G211">
        <v>3834.84</v>
      </c>
      <c r="H211">
        <f t="shared" si="46"/>
        <v>4.9852337251111573E-3</v>
      </c>
      <c r="I211" t="str">
        <f t="shared" si="40"/>
        <v>2010-10</v>
      </c>
      <c r="K211">
        <v>6595.28</v>
      </c>
      <c r="L211">
        <f t="shared" si="47"/>
        <v>4.1448695242715253E-3</v>
      </c>
      <c r="M211" t="str">
        <f t="shared" si="41"/>
        <v>2010-10</v>
      </c>
      <c r="O211">
        <v>6493.9108200000001</v>
      </c>
      <c r="P211">
        <f t="shared" si="48"/>
        <v>5.3303690898592691E-3</v>
      </c>
      <c r="Q211" t="str">
        <f t="shared" si="42"/>
        <v>2010-10</v>
      </c>
      <c r="S211">
        <v>10753.5</v>
      </c>
      <c r="T211">
        <f t="shared" si="49"/>
        <v>4.9781957603182011E-3</v>
      </c>
      <c r="U211" t="str">
        <f t="shared" si="43"/>
        <v>2010-10</v>
      </c>
      <c r="W211">
        <v>21509.62</v>
      </c>
      <c r="X211">
        <f t="shared" si="50"/>
        <v>1.2104794060609764E-2</v>
      </c>
      <c r="Y211">
        <f t="shared" si="51"/>
        <v>1.2178353588237973E-2</v>
      </c>
      <c r="Z211" t="str">
        <f t="shared" si="44"/>
        <v>2010-10</v>
      </c>
    </row>
    <row r="212" spans="1:26" x14ac:dyDescent="0.35">
      <c r="A212" s="1">
        <v>40480</v>
      </c>
      <c r="C212">
        <v>2844.99</v>
      </c>
      <c r="D212">
        <f t="shared" si="45"/>
        <v>-1.8978933440928113E-4</v>
      </c>
      <c r="E212" t="str">
        <f t="shared" si="39"/>
        <v>2010-10</v>
      </c>
      <c r="G212">
        <v>3833.5</v>
      </c>
      <c r="H212">
        <f t="shared" si="46"/>
        <v>-3.4948894118922526E-4</v>
      </c>
      <c r="I212" t="str">
        <f t="shared" si="40"/>
        <v>2010-10</v>
      </c>
      <c r="K212">
        <v>6601.37</v>
      </c>
      <c r="L212">
        <f t="shared" si="47"/>
        <v>9.2296157469025266E-4</v>
      </c>
      <c r="M212" t="str">
        <f t="shared" si="41"/>
        <v>2010-10</v>
      </c>
      <c r="O212">
        <v>6531.9802900000004</v>
      </c>
      <c r="P212">
        <f t="shared" si="48"/>
        <v>5.8452167410813372E-3</v>
      </c>
      <c r="Q212" t="str">
        <f t="shared" si="42"/>
        <v>2010-10</v>
      </c>
      <c r="S212">
        <v>10812.9</v>
      </c>
      <c r="T212">
        <f t="shared" si="49"/>
        <v>5.5085828144819391E-3</v>
      </c>
      <c r="U212" t="str">
        <f t="shared" si="43"/>
        <v>2010-10</v>
      </c>
      <c r="W212">
        <v>21450.61</v>
      </c>
      <c r="X212">
        <f t="shared" si="50"/>
        <v>-2.7471937237173107E-3</v>
      </c>
      <c r="Y212">
        <f t="shared" si="51"/>
        <v>-2.7434236402130024E-3</v>
      </c>
      <c r="Z212" t="str">
        <f t="shared" si="44"/>
        <v>2010-10</v>
      </c>
    </row>
    <row r="213" spans="1:26" x14ac:dyDescent="0.35">
      <c r="A213" s="1">
        <v>40483</v>
      </c>
      <c r="C213">
        <v>2836.73</v>
      </c>
      <c r="D213">
        <f t="shared" si="45"/>
        <v>-2.9075722911909869E-3</v>
      </c>
      <c r="E213" t="str">
        <f t="shared" si="39"/>
        <v>2010-11</v>
      </c>
      <c r="G213">
        <v>3841.11</v>
      </c>
      <c r="H213">
        <f t="shared" si="46"/>
        <v>1.983163312308273E-3</v>
      </c>
      <c r="I213" t="str">
        <f t="shared" si="40"/>
        <v>2010-11</v>
      </c>
      <c r="K213">
        <v>6604.86</v>
      </c>
      <c r="L213">
        <f t="shared" si="47"/>
        <v>5.2853843697187844E-4</v>
      </c>
      <c r="M213" t="str">
        <f t="shared" si="41"/>
        <v>2010-11</v>
      </c>
      <c r="O213">
        <v>6570.8729400000002</v>
      </c>
      <c r="P213">
        <f t="shared" si="48"/>
        <v>5.936533599187865E-3</v>
      </c>
      <c r="Q213" t="str">
        <f t="shared" si="42"/>
        <v>2010-11</v>
      </c>
      <c r="S213">
        <v>10649.5</v>
      </c>
      <c r="T213">
        <f t="shared" si="49"/>
        <v>-1.5226923096863597E-2</v>
      </c>
      <c r="U213" t="str">
        <f t="shared" si="43"/>
        <v>2010-11</v>
      </c>
      <c r="W213">
        <v>21184.93</v>
      </c>
      <c r="X213">
        <f t="shared" si="50"/>
        <v>-1.2463003349729196E-2</v>
      </c>
      <c r="Y213">
        <f t="shared" si="51"/>
        <v>-1.2385661759735517E-2</v>
      </c>
      <c r="Z213" t="str">
        <f t="shared" si="44"/>
        <v>2010-11</v>
      </c>
    </row>
    <row r="214" spans="1:26" x14ac:dyDescent="0.35">
      <c r="A214" s="1">
        <v>40484</v>
      </c>
      <c r="C214">
        <v>2861.01</v>
      </c>
      <c r="D214">
        <f t="shared" si="45"/>
        <v>8.522729000797695E-3</v>
      </c>
      <c r="E214" t="str">
        <f t="shared" si="39"/>
        <v>2010-11</v>
      </c>
      <c r="G214">
        <v>3865.72</v>
      </c>
      <c r="H214">
        <f t="shared" si="46"/>
        <v>6.3865645537158023E-3</v>
      </c>
      <c r="I214" t="str">
        <f t="shared" si="40"/>
        <v>2010-11</v>
      </c>
      <c r="K214">
        <v>6654.31</v>
      </c>
      <c r="L214">
        <f t="shared" si="47"/>
        <v>7.4590233431977059E-3</v>
      </c>
      <c r="M214" t="str">
        <f t="shared" si="41"/>
        <v>2010-11</v>
      </c>
      <c r="O214">
        <v>6573.2983599999998</v>
      </c>
      <c r="P214">
        <f t="shared" si="48"/>
        <v>3.6904875509768628E-4</v>
      </c>
      <c r="Q214" t="str">
        <f t="shared" si="42"/>
        <v>2010-11</v>
      </c>
      <c r="S214">
        <v>10762.1</v>
      </c>
      <c r="T214">
        <f t="shared" si="49"/>
        <v>1.0517760280708537E-2</v>
      </c>
      <c r="U214" t="str">
        <f t="shared" si="43"/>
        <v>2010-11</v>
      </c>
      <c r="W214">
        <v>21397.82</v>
      </c>
      <c r="X214">
        <f t="shared" si="50"/>
        <v>9.9989678315357162E-3</v>
      </c>
      <c r="Y214">
        <f t="shared" si="51"/>
        <v>1.004912454277637E-2</v>
      </c>
      <c r="Z214" t="str">
        <f t="shared" si="44"/>
        <v>2010-11</v>
      </c>
    </row>
    <row r="215" spans="1:26" x14ac:dyDescent="0.35">
      <c r="A215" s="1">
        <v>40485</v>
      </c>
      <c r="C215">
        <v>2830.43</v>
      </c>
      <c r="D215">
        <f t="shared" si="45"/>
        <v>-1.0746065767430021E-2</v>
      </c>
      <c r="E215" t="str">
        <f t="shared" si="39"/>
        <v>2010-11</v>
      </c>
      <c r="G215">
        <v>3842.94</v>
      </c>
      <c r="H215">
        <f t="shared" si="46"/>
        <v>-5.910253224508449E-3</v>
      </c>
      <c r="I215" t="str">
        <f t="shared" si="40"/>
        <v>2010-11</v>
      </c>
      <c r="K215">
        <v>6617.8</v>
      </c>
      <c r="L215">
        <f t="shared" si="47"/>
        <v>-5.5017765969460671E-3</v>
      </c>
      <c r="M215" t="str">
        <f t="shared" si="41"/>
        <v>2010-11</v>
      </c>
      <c r="O215">
        <v>6583.8214900000003</v>
      </c>
      <c r="P215">
        <f t="shared" si="48"/>
        <v>1.5996103043542124E-3</v>
      </c>
      <c r="Q215" t="str">
        <f t="shared" si="42"/>
        <v>2010-11</v>
      </c>
      <c r="S215">
        <v>10569.5</v>
      </c>
      <c r="T215">
        <f t="shared" si="49"/>
        <v>-1.8058207903622881E-2</v>
      </c>
      <c r="U215" t="str">
        <f t="shared" si="43"/>
        <v>2010-11</v>
      </c>
      <c r="W215">
        <v>21180.81</v>
      </c>
      <c r="X215">
        <f t="shared" si="50"/>
        <v>-1.0193464611858124E-2</v>
      </c>
      <c r="Y215">
        <f t="shared" si="51"/>
        <v>-1.0141687330765396E-2</v>
      </c>
      <c r="Z215" t="str">
        <f t="shared" si="44"/>
        <v>2010-11</v>
      </c>
    </row>
    <row r="216" spans="1:26" x14ac:dyDescent="0.35">
      <c r="A216" s="1">
        <v>40486</v>
      </c>
      <c r="C216">
        <v>2884.21</v>
      </c>
      <c r="D216">
        <f t="shared" si="45"/>
        <v>1.8822388729955977E-2</v>
      </c>
      <c r="E216" t="str">
        <f t="shared" si="39"/>
        <v>2010-11</v>
      </c>
      <c r="G216">
        <v>3916.78</v>
      </c>
      <c r="H216">
        <f t="shared" si="46"/>
        <v>1.9032189015300502E-2</v>
      </c>
      <c r="I216" t="str">
        <f t="shared" si="40"/>
        <v>2010-11</v>
      </c>
      <c r="K216">
        <v>6734.69</v>
      </c>
      <c r="L216">
        <f t="shared" si="47"/>
        <v>1.7508792159845479E-2</v>
      </c>
      <c r="M216" t="str">
        <f t="shared" si="41"/>
        <v>2010-11</v>
      </c>
      <c r="O216">
        <v>6715.8523800000003</v>
      </c>
      <c r="P216">
        <f t="shared" si="48"/>
        <v>1.9855408318514789E-2</v>
      </c>
      <c r="Q216" t="str">
        <f t="shared" si="42"/>
        <v>2010-11</v>
      </c>
      <c r="S216">
        <v>10602.8</v>
      </c>
      <c r="T216">
        <f t="shared" si="49"/>
        <v>3.145622106096019E-3</v>
      </c>
      <c r="U216" t="str">
        <f t="shared" si="43"/>
        <v>2010-11</v>
      </c>
      <c r="W216">
        <v>21469.19</v>
      </c>
      <c r="X216">
        <f t="shared" si="50"/>
        <v>1.3523301049936825E-2</v>
      </c>
      <c r="Y216">
        <f t="shared" si="51"/>
        <v>1.361515447237369E-2</v>
      </c>
      <c r="Z216" t="str">
        <f t="shared" si="44"/>
        <v>2010-11</v>
      </c>
    </row>
    <row r="217" spans="1:26" x14ac:dyDescent="0.35">
      <c r="A217" s="1">
        <v>40487</v>
      </c>
      <c r="C217">
        <v>2875.94</v>
      </c>
      <c r="D217">
        <f t="shared" si="45"/>
        <v>-2.8714549733437626E-3</v>
      </c>
      <c r="E217" t="str">
        <f t="shared" si="39"/>
        <v>2010-11</v>
      </c>
      <c r="G217">
        <v>3916.73</v>
      </c>
      <c r="H217">
        <f t="shared" si="46"/>
        <v>-1.2765669540439376E-5</v>
      </c>
      <c r="I217" t="str">
        <f t="shared" si="40"/>
        <v>2010-11</v>
      </c>
      <c r="K217">
        <v>6754.2</v>
      </c>
      <c r="L217">
        <f t="shared" si="47"/>
        <v>2.8927530145184061E-3</v>
      </c>
      <c r="M217" t="str">
        <f t="shared" si="41"/>
        <v>2010-11</v>
      </c>
      <c r="O217">
        <v>6769.4522399999996</v>
      </c>
      <c r="P217">
        <f t="shared" si="48"/>
        <v>7.9494151259193787E-3</v>
      </c>
      <c r="Q217" t="str">
        <f t="shared" si="42"/>
        <v>2010-11</v>
      </c>
      <c r="S217">
        <v>10428.1</v>
      </c>
      <c r="T217">
        <f t="shared" si="49"/>
        <v>-1.6614031587872356E-2</v>
      </c>
      <c r="U217" t="str">
        <f t="shared" si="43"/>
        <v>2010-11</v>
      </c>
      <c r="W217">
        <v>21194.74</v>
      </c>
      <c r="X217">
        <f t="shared" si="50"/>
        <v>-1.2865846432745159E-2</v>
      </c>
      <c r="Y217">
        <f t="shared" si="51"/>
        <v>-1.2783435239056392E-2</v>
      </c>
      <c r="Z217" t="str">
        <f t="shared" si="44"/>
        <v>2010-11</v>
      </c>
    </row>
    <row r="218" spans="1:26" x14ac:dyDescent="0.35">
      <c r="A218" s="1">
        <v>40490</v>
      </c>
      <c r="C218">
        <v>2867.96</v>
      </c>
      <c r="D218">
        <f t="shared" si="45"/>
        <v>-2.7786016936981752E-3</v>
      </c>
      <c r="E218" t="str">
        <f t="shared" si="39"/>
        <v>2010-11</v>
      </c>
      <c r="G218">
        <v>3913.7</v>
      </c>
      <c r="H218">
        <f t="shared" si="46"/>
        <v>-7.7390389831192891E-4</v>
      </c>
      <c r="I218" t="str">
        <f t="shared" si="40"/>
        <v>2010-11</v>
      </c>
      <c r="K218">
        <v>6750.5</v>
      </c>
      <c r="L218">
        <f t="shared" si="47"/>
        <v>-5.4795739151243473E-4</v>
      </c>
      <c r="M218" t="str">
        <f t="shared" si="41"/>
        <v>2010-11</v>
      </c>
      <c r="O218">
        <v>6772.7764999999999</v>
      </c>
      <c r="P218">
        <f t="shared" si="48"/>
        <v>4.909472629053953E-4</v>
      </c>
      <c r="Q218" t="str">
        <f t="shared" si="42"/>
        <v>2010-11</v>
      </c>
      <c r="S218">
        <v>10291.799999999999</v>
      </c>
      <c r="T218">
        <f t="shared" si="49"/>
        <v>-1.3156623930130038E-2</v>
      </c>
      <c r="U218" t="str">
        <f t="shared" si="43"/>
        <v>2010-11</v>
      </c>
      <c r="W218">
        <v>21228.98</v>
      </c>
      <c r="X218">
        <f t="shared" si="50"/>
        <v>1.614191656680977E-3</v>
      </c>
      <c r="Y218">
        <f t="shared" si="51"/>
        <v>1.6154951653097873E-3</v>
      </c>
      <c r="Z218" t="str">
        <f t="shared" si="44"/>
        <v>2010-11</v>
      </c>
    </row>
    <row r="219" spans="1:26" x14ac:dyDescent="0.35">
      <c r="A219" s="1">
        <v>40491</v>
      </c>
      <c r="C219">
        <v>2890.64</v>
      </c>
      <c r="D219">
        <f t="shared" si="45"/>
        <v>7.8769552556595037E-3</v>
      </c>
      <c r="E219" t="str">
        <f t="shared" si="39"/>
        <v>2010-11</v>
      </c>
      <c r="G219">
        <v>3945.71</v>
      </c>
      <c r="H219">
        <f t="shared" si="46"/>
        <v>8.1456946500246055E-3</v>
      </c>
      <c r="I219" t="str">
        <f t="shared" si="40"/>
        <v>2010-11</v>
      </c>
      <c r="K219">
        <v>6787.81</v>
      </c>
      <c r="L219">
        <f t="shared" si="47"/>
        <v>5.5117801934758915E-3</v>
      </c>
      <c r="M219" t="str">
        <f t="shared" si="41"/>
        <v>2010-11</v>
      </c>
      <c r="O219">
        <v>6804.1911600000003</v>
      </c>
      <c r="P219">
        <f t="shared" si="48"/>
        <v>4.6276483599428497E-3</v>
      </c>
      <c r="Q219" t="str">
        <f t="shared" si="42"/>
        <v>2010-11</v>
      </c>
      <c r="S219">
        <v>10409.799999999999</v>
      </c>
      <c r="T219">
        <f t="shared" si="49"/>
        <v>1.1400208484752284E-2</v>
      </c>
      <c r="U219" t="str">
        <f t="shared" si="43"/>
        <v>2010-11</v>
      </c>
      <c r="W219">
        <v>21578.48</v>
      </c>
      <c r="X219">
        <f t="shared" si="50"/>
        <v>1.6329292418851719E-2</v>
      </c>
      <c r="Y219">
        <f t="shared" si="51"/>
        <v>1.6463343976017689E-2</v>
      </c>
      <c r="Z219" t="str">
        <f t="shared" si="44"/>
        <v>2010-11</v>
      </c>
    </row>
    <row r="220" spans="1:26" x14ac:dyDescent="0.35">
      <c r="A220" s="1">
        <v>40492</v>
      </c>
      <c r="C220">
        <v>2845.93</v>
      </c>
      <c r="D220">
        <f t="shared" si="45"/>
        <v>-1.5588027453306438E-2</v>
      </c>
      <c r="E220" t="str">
        <f t="shared" si="39"/>
        <v>2010-11</v>
      </c>
      <c r="G220">
        <v>3888.45</v>
      </c>
      <c r="H220">
        <f t="shared" si="46"/>
        <v>-1.461829211430985E-2</v>
      </c>
      <c r="I220" t="str">
        <f t="shared" si="40"/>
        <v>2010-11</v>
      </c>
      <c r="K220">
        <v>6719.84</v>
      </c>
      <c r="L220">
        <f t="shared" si="47"/>
        <v>-1.0064011680842234E-2</v>
      </c>
      <c r="M220" t="str">
        <f t="shared" si="41"/>
        <v>2010-11</v>
      </c>
      <c r="O220">
        <v>6810.7060600000004</v>
      </c>
      <c r="P220">
        <f t="shared" si="48"/>
        <v>9.5702529251231701E-4</v>
      </c>
      <c r="Q220" t="str">
        <f t="shared" si="42"/>
        <v>2010-11</v>
      </c>
      <c r="S220">
        <v>10235.4</v>
      </c>
      <c r="T220">
        <f t="shared" si="49"/>
        <v>-1.6895370214057778E-2</v>
      </c>
      <c r="U220" t="str">
        <f t="shared" si="43"/>
        <v>2010-11</v>
      </c>
      <c r="W220">
        <v>21058.01</v>
      </c>
      <c r="X220">
        <f t="shared" si="50"/>
        <v>-2.4415511447417475E-2</v>
      </c>
      <c r="Y220">
        <f t="shared" si="51"/>
        <v>-2.4119863864368631E-2</v>
      </c>
      <c r="Z220" t="str">
        <f t="shared" si="44"/>
        <v>2010-11</v>
      </c>
    </row>
    <row r="221" spans="1:26" x14ac:dyDescent="0.35">
      <c r="A221" s="1">
        <v>40493</v>
      </c>
      <c r="C221">
        <v>2831.22</v>
      </c>
      <c r="D221">
        <f t="shared" si="45"/>
        <v>-5.1821892744932053E-3</v>
      </c>
      <c r="E221" t="str">
        <f t="shared" si="39"/>
        <v>2010-11</v>
      </c>
      <c r="G221">
        <v>3867.35</v>
      </c>
      <c r="H221">
        <f t="shared" si="46"/>
        <v>-5.4411026732212146E-3</v>
      </c>
      <c r="I221" t="str">
        <f t="shared" si="40"/>
        <v>2010-11</v>
      </c>
      <c r="K221">
        <v>6723.41</v>
      </c>
      <c r="L221">
        <f t="shared" si="47"/>
        <v>5.3112157907085589E-4</v>
      </c>
      <c r="M221" t="str">
        <f t="shared" si="41"/>
        <v>2010-11</v>
      </c>
      <c r="O221">
        <v>6861.8180499999999</v>
      </c>
      <c r="P221">
        <f t="shared" si="48"/>
        <v>7.4766338220327308E-3</v>
      </c>
      <c r="Q221" t="str">
        <f t="shared" si="42"/>
        <v>2010-11</v>
      </c>
      <c r="S221">
        <v>10149.5</v>
      </c>
      <c r="T221">
        <f t="shared" si="49"/>
        <v>-8.4278567417063223E-3</v>
      </c>
      <c r="U221" t="str">
        <f t="shared" si="43"/>
        <v>2010-11</v>
      </c>
      <c r="W221">
        <v>20855.96</v>
      </c>
      <c r="X221">
        <f t="shared" si="50"/>
        <v>-9.6412515973096323E-3</v>
      </c>
      <c r="Y221">
        <f t="shared" si="51"/>
        <v>-9.5949237368582931E-3</v>
      </c>
      <c r="Z221" t="str">
        <f t="shared" si="44"/>
        <v>2010-11</v>
      </c>
    </row>
    <row r="222" spans="1:26" x14ac:dyDescent="0.35">
      <c r="A222" s="1">
        <v>40494</v>
      </c>
      <c r="C222">
        <v>2822.43</v>
      </c>
      <c r="D222">
        <f t="shared" si="45"/>
        <v>-3.1094981410329996E-3</v>
      </c>
      <c r="E222" t="str">
        <f t="shared" si="39"/>
        <v>2010-11</v>
      </c>
      <c r="G222">
        <v>3831.12</v>
      </c>
      <c r="H222">
        <f t="shared" si="46"/>
        <v>-9.412329326073169E-3</v>
      </c>
      <c r="I222" t="str">
        <f t="shared" si="40"/>
        <v>2010-11</v>
      </c>
      <c r="K222">
        <v>6734.61</v>
      </c>
      <c r="L222">
        <f t="shared" si="47"/>
        <v>1.6644354200180181E-3</v>
      </c>
      <c r="M222" t="str">
        <f t="shared" si="41"/>
        <v>2010-11</v>
      </c>
      <c r="O222">
        <v>6840.6289299999999</v>
      </c>
      <c r="P222">
        <f t="shared" si="48"/>
        <v>-3.09275225375804E-3</v>
      </c>
      <c r="Q222" t="str">
        <f t="shared" si="42"/>
        <v>2010-11</v>
      </c>
      <c r="S222">
        <v>10226.799999999999</v>
      </c>
      <c r="T222">
        <f t="shared" si="49"/>
        <v>7.5872823649167503E-3</v>
      </c>
      <c r="U222" t="str">
        <f t="shared" si="43"/>
        <v>2010-11</v>
      </c>
      <c r="W222">
        <v>20829.830000000002</v>
      </c>
      <c r="X222">
        <f t="shared" si="50"/>
        <v>-1.2536647822829229E-3</v>
      </c>
      <c r="Y222">
        <f t="shared" si="51"/>
        <v>-1.2528792728791858E-3</v>
      </c>
      <c r="Z222" t="str">
        <f t="shared" si="44"/>
        <v>2010-11</v>
      </c>
    </row>
    <row r="223" spans="1:26" x14ac:dyDescent="0.35">
      <c r="A223" s="1">
        <v>40497</v>
      </c>
      <c r="C223">
        <v>2848.45</v>
      </c>
      <c r="D223">
        <f t="shared" si="45"/>
        <v>9.1767706605882932E-3</v>
      </c>
      <c r="E223" t="str">
        <f t="shared" si="39"/>
        <v>2010-11</v>
      </c>
      <c r="G223">
        <v>3864.24</v>
      </c>
      <c r="H223">
        <f t="shared" si="46"/>
        <v>8.6078375804594584E-3</v>
      </c>
      <c r="I223" t="str">
        <f t="shared" si="40"/>
        <v>2010-11</v>
      </c>
      <c r="K223">
        <v>6790.17</v>
      </c>
      <c r="L223">
        <f t="shared" si="47"/>
        <v>8.216076349153955E-3</v>
      </c>
      <c r="M223" t="str">
        <f t="shared" si="41"/>
        <v>2010-11</v>
      </c>
      <c r="O223">
        <v>6868.7935500000003</v>
      </c>
      <c r="P223">
        <f t="shared" si="48"/>
        <v>4.1088032212331475E-3</v>
      </c>
      <c r="Q223" t="str">
        <f t="shared" si="42"/>
        <v>2010-11</v>
      </c>
      <c r="S223">
        <v>10349.700000000001</v>
      </c>
      <c r="T223">
        <f t="shared" si="49"/>
        <v>1.1945808228441617E-2</v>
      </c>
      <c r="U223" t="str">
        <f t="shared" si="43"/>
        <v>2010-11</v>
      </c>
      <c r="W223">
        <v>20993.27</v>
      </c>
      <c r="X223">
        <f t="shared" si="50"/>
        <v>7.8158162357101924E-3</v>
      </c>
      <c r="Y223">
        <f t="shared" si="51"/>
        <v>7.8464394572590693E-3</v>
      </c>
      <c r="Z223" t="str">
        <f t="shared" si="44"/>
        <v>2010-11</v>
      </c>
    </row>
    <row r="224" spans="1:26" x14ac:dyDescent="0.35">
      <c r="A224" s="1">
        <v>40498</v>
      </c>
      <c r="C224">
        <v>2781.77</v>
      </c>
      <c r="D224">
        <f t="shared" si="45"/>
        <v>-2.3687570937604707E-2</v>
      </c>
      <c r="E224" t="str">
        <f t="shared" si="39"/>
        <v>2010-11</v>
      </c>
      <c r="G224">
        <v>3762.47</v>
      </c>
      <c r="H224">
        <f t="shared" si="46"/>
        <v>-2.6689369601376391E-2</v>
      </c>
      <c r="I224" t="str">
        <f t="shared" si="40"/>
        <v>2010-11</v>
      </c>
      <c r="K224">
        <v>6663.24</v>
      </c>
      <c r="L224">
        <f t="shared" si="47"/>
        <v>-1.8870125333441835E-2</v>
      </c>
      <c r="M224" t="str">
        <f t="shared" si="41"/>
        <v>2010-11</v>
      </c>
      <c r="O224">
        <v>6685.9762099999998</v>
      </c>
      <c r="P224">
        <f t="shared" si="48"/>
        <v>-2.6976249648764831E-2</v>
      </c>
      <c r="Q224" t="str">
        <f t="shared" si="42"/>
        <v>2010-11</v>
      </c>
      <c r="S224">
        <v>10095.4</v>
      </c>
      <c r="T224">
        <f t="shared" si="49"/>
        <v>-2.4877659228208469E-2</v>
      </c>
      <c r="U224" t="str">
        <f t="shared" si="43"/>
        <v>2010-11</v>
      </c>
      <c r="W224">
        <v>20563.07</v>
      </c>
      <c r="X224">
        <f t="shared" si="50"/>
        <v>-2.0705161663348317E-2</v>
      </c>
      <c r="Y224">
        <f t="shared" si="51"/>
        <v>-2.0492281574047335E-2</v>
      </c>
      <c r="Z224" t="str">
        <f t="shared" si="44"/>
        <v>2010-11</v>
      </c>
    </row>
    <row r="225" spans="1:26" x14ac:dyDescent="0.35">
      <c r="A225" s="1">
        <v>40499</v>
      </c>
      <c r="C225">
        <v>2802.7</v>
      </c>
      <c r="D225">
        <f t="shared" si="45"/>
        <v>7.4958225221086966E-3</v>
      </c>
      <c r="E225" t="str">
        <f t="shared" si="39"/>
        <v>2010-11</v>
      </c>
      <c r="G225">
        <v>3792.35</v>
      </c>
      <c r="H225">
        <f t="shared" si="46"/>
        <v>7.9102230902111607E-3</v>
      </c>
      <c r="I225" t="str">
        <f t="shared" si="40"/>
        <v>2010-11</v>
      </c>
      <c r="K225">
        <v>6700.07</v>
      </c>
      <c r="L225">
        <f t="shared" si="47"/>
        <v>5.512121360938706E-3</v>
      </c>
      <c r="M225" t="str">
        <f t="shared" si="41"/>
        <v>2010-11</v>
      </c>
      <c r="O225">
        <v>6690.0516699999998</v>
      </c>
      <c r="P225">
        <f t="shared" si="48"/>
        <v>6.093677678715865E-4</v>
      </c>
      <c r="Q225" t="str">
        <f t="shared" si="42"/>
        <v>2010-11</v>
      </c>
      <c r="S225">
        <v>10189.299999999999</v>
      </c>
      <c r="T225">
        <f t="shared" si="49"/>
        <v>9.2582755203797773E-3</v>
      </c>
      <c r="U225" t="str">
        <f t="shared" si="43"/>
        <v>2010-11</v>
      </c>
      <c r="W225">
        <v>20639.080000000002</v>
      </c>
      <c r="X225">
        <f t="shared" si="50"/>
        <v>3.6896174703866815E-3</v>
      </c>
      <c r="Y225">
        <f t="shared" si="51"/>
        <v>3.6964324879505852E-3</v>
      </c>
      <c r="Z225" t="str">
        <f t="shared" si="44"/>
        <v>2010-11</v>
      </c>
    </row>
    <row r="226" spans="1:26" x14ac:dyDescent="0.35">
      <c r="A226" s="1">
        <v>40500</v>
      </c>
      <c r="C226">
        <v>2855.23</v>
      </c>
      <c r="D226">
        <f t="shared" si="45"/>
        <v>1.8569162012834498E-2</v>
      </c>
      <c r="E226" t="str">
        <f t="shared" si="39"/>
        <v>2010-11</v>
      </c>
      <c r="G226">
        <v>3867.97</v>
      </c>
      <c r="H226">
        <f t="shared" si="46"/>
        <v>1.9743941903254545E-2</v>
      </c>
      <c r="I226" t="str">
        <f t="shared" si="40"/>
        <v>2010-11</v>
      </c>
      <c r="K226">
        <v>6832.11</v>
      </c>
      <c r="L226">
        <f t="shared" si="47"/>
        <v>1.951558295569298E-2</v>
      </c>
      <c r="M226" t="str">
        <f t="shared" si="41"/>
        <v>2010-11</v>
      </c>
      <c r="O226">
        <v>6791.0291299999999</v>
      </c>
      <c r="P226">
        <f t="shared" si="48"/>
        <v>1.4980898045090622E-2</v>
      </c>
      <c r="Q226" t="str">
        <f t="shared" si="42"/>
        <v>2010-11</v>
      </c>
      <c r="S226">
        <v>10325.299999999999</v>
      </c>
      <c r="T226">
        <f t="shared" si="49"/>
        <v>1.325904403884544E-2</v>
      </c>
      <c r="U226" t="str">
        <f t="shared" si="43"/>
        <v>2010-11</v>
      </c>
      <c r="W226">
        <v>20880.38</v>
      </c>
      <c r="X226">
        <f t="shared" si="50"/>
        <v>1.1623596106033598E-2</v>
      </c>
      <c r="Y226">
        <f t="shared" si="51"/>
        <v>1.1691412601724458E-2</v>
      </c>
      <c r="Z226" t="str">
        <f t="shared" si="44"/>
        <v>2010-11</v>
      </c>
    </row>
    <row r="227" spans="1:26" x14ac:dyDescent="0.35">
      <c r="A227" s="1">
        <v>40501</v>
      </c>
      <c r="C227">
        <v>2845.75</v>
      </c>
      <c r="D227">
        <f t="shared" si="45"/>
        <v>-3.3257470602833647E-3</v>
      </c>
      <c r="E227" t="str">
        <f t="shared" si="39"/>
        <v>2010-11</v>
      </c>
      <c r="G227">
        <v>3860.16</v>
      </c>
      <c r="H227">
        <f t="shared" si="46"/>
        <v>-2.0211882198631435E-3</v>
      </c>
      <c r="I227" t="str">
        <f t="shared" si="40"/>
        <v>2010-11</v>
      </c>
      <c r="K227">
        <v>6843.55</v>
      </c>
      <c r="L227">
        <f t="shared" si="47"/>
        <v>1.6730457862302809E-3</v>
      </c>
      <c r="M227" t="str">
        <f t="shared" si="41"/>
        <v>2010-11</v>
      </c>
      <c r="O227">
        <v>6704.7523799999999</v>
      </c>
      <c r="P227">
        <f t="shared" si="48"/>
        <v>-1.2785910220345248E-2</v>
      </c>
      <c r="Q227" t="str">
        <f t="shared" si="42"/>
        <v>2010-11</v>
      </c>
      <c r="S227">
        <v>10271.700000000001</v>
      </c>
      <c r="T227">
        <f t="shared" si="49"/>
        <v>-5.2046532014239366E-3</v>
      </c>
      <c r="U227" t="str">
        <f t="shared" si="43"/>
        <v>2010-11</v>
      </c>
      <c r="W227">
        <v>20773.12</v>
      </c>
      <c r="X227">
        <f t="shared" si="50"/>
        <v>-5.1501188172798093E-3</v>
      </c>
      <c r="Y227">
        <f t="shared" si="51"/>
        <v>-5.136879692802623E-3</v>
      </c>
      <c r="Z227" t="str">
        <f t="shared" si="44"/>
        <v>2010-11</v>
      </c>
    </row>
    <row r="228" spans="1:26" x14ac:dyDescent="0.35">
      <c r="A228" s="1">
        <v>40504</v>
      </c>
      <c r="C228">
        <v>2811.43</v>
      </c>
      <c r="D228">
        <f t="shared" si="45"/>
        <v>-1.2133402524442763E-2</v>
      </c>
      <c r="E228" t="str">
        <f t="shared" si="39"/>
        <v>2010-11</v>
      </c>
      <c r="G228">
        <v>3818.89</v>
      </c>
      <c r="H228">
        <f t="shared" si="46"/>
        <v>-1.0748828917989898E-2</v>
      </c>
      <c r="I228" t="str">
        <f t="shared" si="40"/>
        <v>2010-11</v>
      </c>
      <c r="K228">
        <v>6822.05</v>
      </c>
      <c r="L228">
        <f t="shared" si="47"/>
        <v>-3.1465896468996124E-3</v>
      </c>
      <c r="M228" t="str">
        <f t="shared" si="41"/>
        <v>2010-11</v>
      </c>
      <c r="O228">
        <v>6648.67821</v>
      </c>
      <c r="P228">
        <f t="shared" si="48"/>
        <v>-8.3985159051529045E-3</v>
      </c>
      <c r="Q228" t="str">
        <f t="shared" si="42"/>
        <v>2010-11</v>
      </c>
      <c r="S228">
        <v>9996.4</v>
      </c>
      <c r="T228">
        <f t="shared" si="49"/>
        <v>-2.716751273514726E-2</v>
      </c>
      <c r="U228" t="str">
        <f t="shared" si="43"/>
        <v>2010-11</v>
      </c>
      <c r="W228">
        <v>20372.2</v>
      </c>
      <c r="X228">
        <f t="shared" si="50"/>
        <v>-1.9488616894676326E-2</v>
      </c>
      <c r="Y228">
        <f t="shared" si="51"/>
        <v>-1.92999414628134E-2</v>
      </c>
      <c r="Z228" t="str">
        <f t="shared" si="44"/>
        <v>2010-11</v>
      </c>
    </row>
    <row r="229" spans="1:26" x14ac:dyDescent="0.35">
      <c r="A229" s="1">
        <v>40505</v>
      </c>
      <c r="C229">
        <v>2739.37</v>
      </c>
      <c r="D229">
        <f t="shared" si="45"/>
        <v>-2.5965283743333525E-2</v>
      </c>
      <c r="E229" t="str">
        <f t="shared" si="39"/>
        <v>2010-11</v>
      </c>
      <c r="G229">
        <v>3724.42</v>
      </c>
      <c r="H229">
        <f t="shared" si="46"/>
        <v>-2.5048669466590515E-2</v>
      </c>
      <c r="I229" t="str">
        <f t="shared" si="40"/>
        <v>2010-11</v>
      </c>
      <c r="K229">
        <v>6705</v>
      </c>
      <c r="L229">
        <f t="shared" si="47"/>
        <v>-1.7306496464918664E-2</v>
      </c>
      <c r="M229" t="str">
        <f t="shared" si="41"/>
        <v>2010-11</v>
      </c>
      <c r="O229">
        <v>6588.9358700000003</v>
      </c>
      <c r="P229">
        <f t="shared" si="48"/>
        <v>-9.0262105015950327E-3</v>
      </c>
      <c r="Q229" t="str">
        <f t="shared" si="42"/>
        <v>2010-11</v>
      </c>
      <c r="S229">
        <v>9691.7999999999993</v>
      </c>
      <c r="T229">
        <f t="shared" si="49"/>
        <v>-3.0944861012859239E-2</v>
      </c>
      <c r="U229" t="str">
        <f t="shared" si="43"/>
        <v>2010-11</v>
      </c>
      <c r="W229">
        <v>19950.96</v>
      </c>
      <c r="X229">
        <f t="shared" si="50"/>
        <v>-2.0893963891714568E-2</v>
      </c>
      <c r="Y229">
        <f t="shared" si="51"/>
        <v>-2.0677197357182906E-2</v>
      </c>
      <c r="Z229" t="str">
        <f t="shared" si="44"/>
        <v>2010-11</v>
      </c>
    </row>
    <row r="230" spans="1:26" x14ac:dyDescent="0.35">
      <c r="A230" s="1">
        <v>40506</v>
      </c>
      <c r="C230">
        <v>2758.02</v>
      </c>
      <c r="D230">
        <f t="shared" si="45"/>
        <v>6.7850640210215096E-3</v>
      </c>
      <c r="E230" t="str">
        <f t="shared" si="39"/>
        <v>2010-11</v>
      </c>
      <c r="G230">
        <v>3747.61</v>
      </c>
      <c r="H230">
        <f t="shared" si="46"/>
        <v>6.2071684554610967E-3</v>
      </c>
      <c r="I230" t="str">
        <f t="shared" si="40"/>
        <v>2010-11</v>
      </c>
      <c r="K230">
        <v>6823.8</v>
      </c>
      <c r="L230">
        <f t="shared" si="47"/>
        <v>1.7562984702674984E-2</v>
      </c>
      <c r="M230" t="str">
        <f t="shared" si="41"/>
        <v>2010-11</v>
      </c>
      <c r="O230">
        <v>6679.2788600000003</v>
      </c>
      <c r="P230">
        <f t="shared" si="48"/>
        <v>1.3618167634992776E-2</v>
      </c>
      <c r="Q230" t="str">
        <f t="shared" si="42"/>
        <v>2010-11</v>
      </c>
      <c r="S230">
        <v>9742.6</v>
      </c>
      <c r="T230">
        <f t="shared" si="49"/>
        <v>5.2278553182957977E-3</v>
      </c>
      <c r="U230" t="str">
        <f t="shared" si="43"/>
        <v>2010-11</v>
      </c>
      <c r="W230">
        <v>19941.189999999999</v>
      </c>
      <c r="X230">
        <f t="shared" si="50"/>
        <v>-4.8982068879911982E-4</v>
      </c>
      <c r="Y230">
        <f t="shared" si="51"/>
        <v>-4.8970074622977722E-4</v>
      </c>
      <c r="Z230" t="str">
        <f t="shared" si="44"/>
        <v>2010-11</v>
      </c>
    </row>
    <row r="231" spans="1:26" x14ac:dyDescent="0.35">
      <c r="A231" s="1">
        <v>40507</v>
      </c>
      <c r="C231">
        <v>2765.05</v>
      </c>
      <c r="D231">
        <f t="shared" si="45"/>
        <v>2.5456870170053963E-3</v>
      </c>
      <c r="E231" t="str">
        <f t="shared" si="39"/>
        <v>2010-11</v>
      </c>
      <c r="G231">
        <v>3760.42</v>
      </c>
      <c r="H231">
        <f t="shared" si="46"/>
        <v>3.4123498254821634E-3</v>
      </c>
      <c r="I231" t="str">
        <f t="shared" si="40"/>
        <v>2010-11</v>
      </c>
      <c r="K231">
        <v>6879.66</v>
      </c>
      <c r="L231">
        <f t="shared" si="47"/>
        <v>8.1527306831448883E-3</v>
      </c>
      <c r="M231" t="str">
        <f t="shared" si="41"/>
        <v>2010-11</v>
      </c>
      <c r="O231">
        <v>6719.8373899999997</v>
      </c>
      <c r="P231">
        <f t="shared" si="48"/>
        <v>6.0539296944532662E-3</v>
      </c>
      <c r="Q231" t="str">
        <f t="shared" si="42"/>
        <v>2010-11</v>
      </c>
      <c r="S231">
        <v>9721.7999999999993</v>
      </c>
      <c r="T231">
        <f t="shared" si="49"/>
        <v>-2.1372359710529372E-3</v>
      </c>
      <c r="U231" t="str">
        <f t="shared" si="43"/>
        <v>2010-11</v>
      </c>
      <c r="W231">
        <v>19945.939999999999</v>
      </c>
      <c r="X231">
        <f t="shared" si="50"/>
        <v>2.3817206314192719E-4</v>
      </c>
      <c r="Y231">
        <f t="shared" si="51"/>
        <v>2.3820042835959139E-4</v>
      </c>
      <c r="Z231" t="str">
        <f t="shared" si="44"/>
        <v>2010-11</v>
      </c>
    </row>
    <row r="232" spans="1:26" x14ac:dyDescent="0.35">
      <c r="A232" s="1">
        <v>40508</v>
      </c>
      <c r="C232">
        <v>2736.96</v>
      </c>
      <c r="D232">
        <f t="shared" si="45"/>
        <v>-1.0210902583159712E-2</v>
      </c>
      <c r="E232" t="str">
        <f t="shared" si="39"/>
        <v>2010-11</v>
      </c>
      <c r="G232">
        <v>3728.65</v>
      </c>
      <c r="H232">
        <f t="shared" si="46"/>
        <v>-8.4844154430035491E-3</v>
      </c>
      <c r="I232" t="str">
        <f t="shared" si="40"/>
        <v>2010-11</v>
      </c>
      <c r="K232">
        <v>6848.98</v>
      </c>
      <c r="L232">
        <f t="shared" si="47"/>
        <v>-4.4694960422832835E-3</v>
      </c>
      <c r="M232" t="str">
        <f t="shared" si="41"/>
        <v>2010-11</v>
      </c>
      <c r="O232">
        <v>6681.7474099999999</v>
      </c>
      <c r="P232">
        <f t="shared" si="48"/>
        <v>-5.6844146619694719E-3</v>
      </c>
      <c r="Q232" t="str">
        <f t="shared" si="42"/>
        <v>2010-11</v>
      </c>
      <c r="S232">
        <v>9547.2000000000007</v>
      </c>
      <c r="T232">
        <f t="shared" si="49"/>
        <v>-1.8122868727192484E-2</v>
      </c>
      <c r="U232" t="str">
        <f t="shared" si="43"/>
        <v>2010-11</v>
      </c>
      <c r="W232">
        <v>19844.310000000001</v>
      </c>
      <c r="X232">
        <f t="shared" si="50"/>
        <v>-5.1082976860064109E-3</v>
      </c>
      <c r="Y232">
        <f t="shared" si="51"/>
        <v>-5.0952725216258238E-3</v>
      </c>
      <c r="Z232" t="str">
        <f t="shared" si="44"/>
        <v>2010-11</v>
      </c>
    </row>
    <row r="233" spans="1:26" x14ac:dyDescent="0.35">
      <c r="A233" s="1">
        <v>40511</v>
      </c>
      <c r="C233">
        <v>2669.96</v>
      </c>
      <c r="D233">
        <f t="shared" si="45"/>
        <v>-2.4784324383750334E-2</v>
      </c>
      <c r="E233" t="str">
        <f t="shared" si="39"/>
        <v>2010-11</v>
      </c>
      <c r="G233">
        <v>3636.96</v>
      </c>
      <c r="H233">
        <f t="shared" si="46"/>
        <v>-2.4898069979205122E-2</v>
      </c>
      <c r="I233" t="str">
        <f t="shared" si="40"/>
        <v>2010-11</v>
      </c>
      <c r="K233">
        <v>6697.97</v>
      </c>
      <c r="L233">
        <f t="shared" si="47"/>
        <v>-2.2295240664135973E-2</v>
      </c>
      <c r="M233" t="str">
        <f t="shared" si="41"/>
        <v>2010-11</v>
      </c>
      <c r="O233">
        <v>6589.6350899999998</v>
      </c>
      <c r="P233">
        <f t="shared" si="48"/>
        <v>-1.3881567975257227E-2</v>
      </c>
      <c r="Q233" t="str">
        <f t="shared" si="42"/>
        <v>2010-11</v>
      </c>
      <c r="S233">
        <v>9324.7000000000007</v>
      </c>
      <c r="T233">
        <f t="shared" si="49"/>
        <v>-2.3581124355087017E-2</v>
      </c>
      <c r="U233" t="str">
        <f t="shared" si="43"/>
        <v>2010-11</v>
      </c>
      <c r="W233">
        <v>19314.38</v>
      </c>
      <c r="X233">
        <f t="shared" si="50"/>
        <v>-2.7067419968776128E-2</v>
      </c>
      <c r="Y233">
        <f t="shared" si="51"/>
        <v>-2.6704380248040886E-2</v>
      </c>
      <c r="Z233" t="str">
        <f t="shared" si="44"/>
        <v>2010-11</v>
      </c>
    </row>
    <row r="234" spans="1:26" x14ac:dyDescent="0.35">
      <c r="A234" s="1">
        <v>40512</v>
      </c>
      <c r="C234">
        <v>2650.99</v>
      </c>
      <c r="D234">
        <f t="shared" si="45"/>
        <v>-7.1303358882042131E-3</v>
      </c>
      <c r="E234" t="str">
        <f t="shared" si="39"/>
        <v>2010-11</v>
      </c>
      <c r="G234">
        <v>3610.44</v>
      </c>
      <c r="H234">
        <f t="shared" si="46"/>
        <v>-7.3185192949459851E-3</v>
      </c>
      <c r="I234" t="str">
        <f t="shared" si="40"/>
        <v>2010-11</v>
      </c>
      <c r="K234">
        <v>6688.49</v>
      </c>
      <c r="L234">
        <f t="shared" si="47"/>
        <v>-1.4163567641919811E-3</v>
      </c>
      <c r="M234" t="str">
        <f t="shared" si="41"/>
        <v>2010-11</v>
      </c>
      <c r="O234">
        <v>6606.4501200000004</v>
      </c>
      <c r="P234">
        <f t="shared" si="48"/>
        <v>2.5484890152280329E-3</v>
      </c>
      <c r="Q234" t="str">
        <f t="shared" si="42"/>
        <v>2010-11</v>
      </c>
      <c r="S234">
        <v>9267.2000000000007</v>
      </c>
      <c r="T234">
        <f t="shared" si="49"/>
        <v>-6.1855091014425424E-3</v>
      </c>
      <c r="U234" t="str">
        <f t="shared" si="43"/>
        <v>2010-11</v>
      </c>
      <c r="W234">
        <v>19105.71</v>
      </c>
      <c r="X234">
        <f t="shared" si="50"/>
        <v>-1.0862652943782629E-2</v>
      </c>
      <c r="Y234">
        <f t="shared" si="51"/>
        <v>-1.0803867377570591E-2</v>
      </c>
      <c r="Z234" t="str">
        <f t="shared" si="44"/>
        <v>2010-11</v>
      </c>
    </row>
    <row r="235" spans="1:26" x14ac:dyDescent="0.35">
      <c r="A235" s="1">
        <v>40513</v>
      </c>
      <c r="C235">
        <v>2721.87</v>
      </c>
      <c r="D235">
        <f t="shared" si="45"/>
        <v>2.638598894971694E-2</v>
      </c>
      <c r="E235" t="str">
        <f t="shared" si="39"/>
        <v>2010-12</v>
      </c>
      <c r="G235">
        <v>3669.29</v>
      </c>
      <c r="H235">
        <f t="shared" si="46"/>
        <v>1.6168534286031166E-2</v>
      </c>
      <c r="I235" t="str">
        <f t="shared" si="40"/>
        <v>2010-12</v>
      </c>
      <c r="K235">
        <v>6866.63</v>
      </c>
      <c r="L235">
        <f t="shared" si="47"/>
        <v>2.6285308658493229E-2</v>
      </c>
      <c r="M235" t="str">
        <f t="shared" si="41"/>
        <v>2010-12</v>
      </c>
      <c r="O235">
        <v>6701.4625999999998</v>
      </c>
      <c r="P235">
        <f t="shared" si="48"/>
        <v>1.4279338377112372E-2</v>
      </c>
      <c r="Q235" t="str">
        <f t="shared" si="42"/>
        <v>2010-12</v>
      </c>
      <c r="S235">
        <v>9678.4</v>
      </c>
      <c r="T235">
        <f t="shared" si="49"/>
        <v>4.3415314041361931E-2</v>
      </c>
      <c r="U235" t="str">
        <f t="shared" si="43"/>
        <v>2010-12</v>
      </c>
      <c r="W235">
        <v>19566.060000000001</v>
      </c>
      <c r="X235">
        <f t="shared" si="50"/>
        <v>2.3809189319882934E-2</v>
      </c>
      <c r="Y235">
        <f t="shared" si="51"/>
        <v>2.4094891003789035E-2</v>
      </c>
      <c r="Z235" t="str">
        <f t="shared" si="44"/>
        <v>2010-12</v>
      </c>
    </row>
    <row r="236" spans="1:26" x14ac:dyDescent="0.35">
      <c r="A236" s="1">
        <v>40514</v>
      </c>
      <c r="C236">
        <v>2781.39</v>
      </c>
      <c r="D236">
        <f t="shared" si="45"/>
        <v>2.1631658656154518E-2</v>
      </c>
      <c r="E236" t="str">
        <f t="shared" si="39"/>
        <v>2010-12</v>
      </c>
      <c r="G236">
        <v>3747.04</v>
      </c>
      <c r="H236">
        <f t="shared" si="46"/>
        <v>2.0968012101281745E-2</v>
      </c>
      <c r="I236" t="str">
        <f t="shared" si="40"/>
        <v>2010-12</v>
      </c>
      <c r="K236">
        <v>6957.61</v>
      </c>
      <c r="L236">
        <f t="shared" si="47"/>
        <v>1.31625772622639E-2</v>
      </c>
      <c r="M236" t="str">
        <f t="shared" si="41"/>
        <v>2010-12</v>
      </c>
      <c r="O236">
        <v>6811.5215600000001</v>
      </c>
      <c r="P236">
        <f t="shared" si="48"/>
        <v>1.6289724373502075E-2</v>
      </c>
      <c r="Q236" t="str">
        <f t="shared" si="42"/>
        <v>2010-12</v>
      </c>
      <c r="S236">
        <v>9947.6</v>
      </c>
      <c r="T236">
        <f t="shared" si="49"/>
        <v>2.7434717674984913E-2</v>
      </c>
      <c r="U236" t="str">
        <f t="shared" si="43"/>
        <v>2010-12</v>
      </c>
      <c r="W236">
        <v>20054.09</v>
      </c>
      <c r="X236">
        <f t="shared" si="50"/>
        <v>2.4636690399839459E-2</v>
      </c>
      <c r="Y236">
        <f t="shared" si="51"/>
        <v>2.4942681357411702E-2</v>
      </c>
      <c r="Z236" t="str">
        <f t="shared" si="44"/>
        <v>2010-12</v>
      </c>
    </row>
    <row r="237" spans="1:26" x14ac:dyDescent="0.35">
      <c r="A237" s="1">
        <v>40515</v>
      </c>
      <c r="C237">
        <v>2782.39</v>
      </c>
      <c r="D237">
        <f t="shared" si="45"/>
        <v>3.5946784767477237E-4</v>
      </c>
      <c r="E237" t="str">
        <f t="shared" si="39"/>
        <v>2010-12</v>
      </c>
      <c r="G237">
        <v>3750.55</v>
      </c>
      <c r="H237">
        <f t="shared" si="46"/>
        <v>9.3630093307938973E-4</v>
      </c>
      <c r="I237" t="str">
        <f t="shared" si="40"/>
        <v>2010-12</v>
      </c>
      <c r="K237">
        <v>6947.72</v>
      </c>
      <c r="L237">
        <f t="shared" si="47"/>
        <v>-1.4224763695144223E-3</v>
      </c>
      <c r="M237" t="str">
        <f t="shared" si="41"/>
        <v>2010-12</v>
      </c>
      <c r="O237">
        <v>6763.3963800000001</v>
      </c>
      <c r="P237">
        <f t="shared" si="48"/>
        <v>-7.0903384946518584E-3</v>
      </c>
      <c r="Q237" t="str">
        <f t="shared" si="42"/>
        <v>2010-12</v>
      </c>
      <c r="S237">
        <v>10014.799999999999</v>
      </c>
      <c r="T237">
        <f t="shared" si="49"/>
        <v>6.7326828279473463E-3</v>
      </c>
      <c r="U237" t="str">
        <f t="shared" si="43"/>
        <v>2010-12</v>
      </c>
      <c r="W237">
        <v>20120.8</v>
      </c>
      <c r="X237">
        <f t="shared" si="50"/>
        <v>3.3209828981054265E-3</v>
      </c>
      <c r="Y237">
        <f t="shared" si="51"/>
        <v>3.3265034713616587E-3</v>
      </c>
      <c r="Z237" t="str">
        <f t="shared" si="44"/>
        <v>2010-12</v>
      </c>
    </row>
    <row r="238" spans="1:26" x14ac:dyDescent="0.35">
      <c r="A238" s="1">
        <v>40518</v>
      </c>
      <c r="C238">
        <v>2769.96</v>
      </c>
      <c r="D238">
        <f t="shared" si="45"/>
        <v>-4.4773909301014788E-3</v>
      </c>
      <c r="E238" t="str">
        <f t="shared" si="39"/>
        <v>2010-12</v>
      </c>
      <c r="G238">
        <v>3749.23</v>
      </c>
      <c r="H238">
        <f t="shared" si="46"/>
        <v>-3.5201032927105426E-4</v>
      </c>
      <c r="I238" t="str">
        <f t="shared" si="40"/>
        <v>2010-12</v>
      </c>
      <c r="K238">
        <v>6954.38</v>
      </c>
      <c r="L238">
        <f t="shared" si="47"/>
        <v>9.5812870134672217E-4</v>
      </c>
      <c r="M238" t="str">
        <f t="shared" si="41"/>
        <v>2010-12</v>
      </c>
      <c r="O238">
        <v>6812.6363600000004</v>
      </c>
      <c r="P238">
        <f t="shared" si="48"/>
        <v>7.2539889762499579E-3</v>
      </c>
      <c r="Q238" t="str">
        <f t="shared" si="42"/>
        <v>2010-12</v>
      </c>
      <c r="S238">
        <v>9889.9</v>
      </c>
      <c r="T238">
        <f t="shared" si="49"/>
        <v>-1.2549964513400942E-2</v>
      </c>
      <c r="U238" t="str">
        <f t="shared" si="43"/>
        <v>2010-12</v>
      </c>
      <c r="W238">
        <v>19930.29</v>
      </c>
      <c r="X238">
        <f t="shared" si="50"/>
        <v>-9.5134208253966485E-3</v>
      </c>
      <c r="Y238">
        <f t="shared" si="51"/>
        <v>-9.4683113991490594E-3</v>
      </c>
      <c r="Z238" t="str">
        <f t="shared" si="44"/>
        <v>2010-12</v>
      </c>
    </row>
    <row r="239" spans="1:26" x14ac:dyDescent="0.35">
      <c r="A239" s="1">
        <v>40519</v>
      </c>
      <c r="C239">
        <v>2802.74</v>
      </c>
      <c r="D239">
        <f t="shared" si="45"/>
        <v>1.176463045907078E-2</v>
      </c>
      <c r="E239" t="str">
        <f t="shared" si="39"/>
        <v>2010-12</v>
      </c>
      <c r="G239">
        <v>3810.5</v>
      </c>
      <c r="H239">
        <f t="shared" si="46"/>
        <v>1.6209928558823968E-2</v>
      </c>
      <c r="I239" t="str">
        <f t="shared" si="40"/>
        <v>2010-12</v>
      </c>
      <c r="K239">
        <v>7001.91</v>
      </c>
      <c r="L239">
        <f t="shared" si="47"/>
        <v>6.8112920779906036E-3</v>
      </c>
      <c r="M239" t="str">
        <f t="shared" si="41"/>
        <v>2010-12</v>
      </c>
      <c r="O239">
        <v>6885.3342700000003</v>
      </c>
      <c r="P239">
        <f t="shared" si="48"/>
        <v>1.0614505538291684E-2</v>
      </c>
      <c r="Q239" t="str">
        <f t="shared" si="42"/>
        <v>2010-12</v>
      </c>
      <c r="S239">
        <v>9924.7000000000007</v>
      </c>
      <c r="T239">
        <f t="shared" si="49"/>
        <v>3.5125650561225502E-3</v>
      </c>
      <c r="U239" t="str">
        <f t="shared" si="43"/>
        <v>2010-12</v>
      </c>
      <c r="W239">
        <v>20112.439999999999</v>
      </c>
      <c r="X239">
        <f t="shared" si="50"/>
        <v>9.0978440475723305E-3</v>
      </c>
      <c r="Y239">
        <f t="shared" si="51"/>
        <v>9.139355222628362E-3</v>
      </c>
      <c r="Z239" t="str">
        <f t="shared" si="44"/>
        <v>2010-12</v>
      </c>
    </row>
    <row r="240" spans="1:26" x14ac:dyDescent="0.35">
      <c r="A240" s="1">
        <v>40520</v>
      </c>
      <c r="C240">
        <v>2818.95</v>
      </c>
      <c r="D240">
        <f t="shared" si="45"/>
        <v>5.7669650677415639E-3</v>
      </c>
      <c r="E240" t="str">
        <f t="shared" si="39"/>
        <v>2010-12</v>
      </c>
      <c r="G240">
        <v>3831.98</v>
      </c>
      <c r="H240">
        <f t="shared" si="46"/>
        <v>5.6212267642782292E-3</v>
      </c>
      <c r="I240" t="str">
        <f t="shared" si="40"/>
        <v>2010-12</v>
      </c>
      <c r="K240">
        <v>6975.87</v>
      </c>
      <c r="L240">
        <f t="shared" si="47"/>
        <v>-3.7259178674925284E-3</v>
      </c>
      <c r="M240" t="str">
        <f t="shared" si="41"/>
        <v>2010-12</v>
      </c>
      <c r="O240">
        <v>6911.4580800000003</v>
      </c>
      <c r="P240">
        <f t="shared" si="48"/>
        <v>3.786944176195435E-3</v>
      </c>
      <c r="Q240" t="str">
        <f t="shared" si="42"/>
        <v>2010-12</v>
      </c>
      <c r="S240">
        <v>10078.4</v>
      </c>
      <c r="T240">
        <f t="shared" si="49"/>
        <v>1.5367920469361052E-2</v>
      </c>
      <c r="U240" t="str">
        <f t="shared" si="43"/>
        <v>2010-12</v>
      </c>
      <c r="W240">
        <v>20393.95</v>
      </c>
      <c r="X240">
        <f t="shared" si="50"/>
        <v>1.3899759142886861E-2</v>
      </c>
      <c r="Y240">
        <f t="shared" si="51"/>
        <v>1.3996809934548073E-2</v>
      </c>
      <c r="Z240" t="str">
        <f t="shared" si="44"/>
        <v>2010-12</v>
      </c>
    </row>
    <row r="241" spans="1:26" x14ac:dyDescent="0.35">
      <c r="A241" s="1">
        <v>40521</v>
      </c>
      <c r="C241">
        <v>2840.71</v>
      </c>
      <c r="D241">
        <f t="shared" si="45"/>
        <v>7.6895457397395785E-3</v>
      </c>
      <c r="E241" t="str">
        <f t="shared" si="39"/>
        <v>2010-12</v>
      </c>
      <c r="G241">
        <v>3858.05</v>
      </c>
      <c r="H241">
        <f t="shared" si="46"/>
        <v>6.7802335941874207E-3</v>
      </c>
      <c r="I241" t="str">
        <f t="shared" si="40"/>
        <v>2010-12</v>
      </c>
      <c r="K241">
        <v>6964.16</v>
      </c>
      <c r="L241">
        <f t="shared" si="47"/>
        <v>-1.6800541683726386E-3</v>
      </c>
      <c r="M241" t="str">
        <f t="shared" si="41"/>
        <v>2010-12</v>
      </c>
      <c r="O241">
        <v>6924.5712800000001</v>
      </c>
      <c r="P241">
        <f t="shared" si="48"/>
        <v>1.8955154813703201E-3</v>
      </c>
      <c r="Q241" t="str">
        <f t="shared" si="42"/>
        <v>2010-12</v>
      </c>
      <c r="S241">
        <v>10185.5</v>
      </c>
      <c r="T241">
        <f t="shared" si="49"/>
        <v>1.0570620389947806E-2</v>
      </c>
      <c r="U241" t="str">
        <f t="shared" si="43"/>
        <v>2010-12</v>
      </c>
      <c r="W241">
        <v>20533.560000000001</v>
      </c>
      <c r="X241">
        <f t="shared" si="50"/>
        <v>6.8223325339267227E-3</v>
      </c>
      <c r="Y241">
        <f t="shared" si="51"/>
        <v>6.8456576582761348E-3</v>
      </c>
      <c r="Z241" t="str">
        <f t="shared" si="44"/>
        <v>2010-12</v>
      </c>
    </row>
    <row r="242" spans="1:26" x14ac:dyDescent="0.35">
      <c r="A242" s="1">
        <v>40522</v>
      </c>
      <c r="C242">
        <v>2839.53</v>
      </c>
      <c r="D242">
        <f t="shared" si="45"/>
        <v>-4.1547540842431846E-4</v>
      </c>
      <c r="E242" t="str">
        <f t="shared" si="39"/>
        <v>2010-12</v>
      </c>
      <c r="G242">
        <v>3857.35</v>
      </c>
      <c r="H242">
        <f t="shared" si="46"/>
        <v>-1.8145527177361971E-4</v>
      </c>
      <c r="I242" t="str">
        <f t="shared" si="40"/>
        <v>2010-12</v>
      </c>
      <c r="K242">
        <v>7006.17</v>
      </c>
      <c r="L242">
        <f t="shared" si="47"/>
        <v>6.0141924531279768E-3</v>
      </c>
      <c r="M242" t="str">
        <f t="shared" si="41"/>
        <v>2010-12</v>
      </c>
      <c r="O242">
        <v>6941.43923</v>
      </c>
      <c r="P242">
        <f t="shared" si="48"/>
        <v>2.4329937307626523E-3</v>
      </c>
      <c r="Q242" t="str">
        <f t="shared" si="42"/>
        <v>2010-12</v>
      </c>
      <c r="S242">
        <v>10121.9</v>
      </c>
      <c r="T242">
        <f t="shared" si="49"/>
        <v>-6.2637470028516114E-3</v>
      </c>
      <c r="U242" t="str">
        <f t="shared" si="43"/>
        <v>2010-12</v>
      </c>
      <c r="W242">
        <v>20487.34</v>
      </c>
      <c r="X242">
        <f t="shared" si="50"/>
        <v>-2.2534863720463207E-3</v>
      </c>
      <c r="Y242">
        <f t="shared" si="51"/>
        <v>-2.2509491778338079E-3</v>
      </c>
      <c r="Z242" t="str">
        <f t="shared" si="44"/>
        <v>2010-12</v>
      </c>
    </row>
    <row r="243" spans="1:26" x14ac:dyDescent="0.35">
      <c r="A243" s="1">
        <v>40525</v>
      </c>
      <c r="C243">
        <v>2855.37</v>
      </c>
      <c r="D243">
        <f t="shared" si="45"/>
        <v>5.5628863889829201E-3</v>
      </c>
      <c r="E243" t="str">
        <f t="shared" si="39"/>
        <v>2010-12</v>
      </c>
      <c r="G243">
        <v>3892.44</v>
      </c>
      <c r="H243">
        <f t="shared" si="46"/>
        <v>9.0557911382994297E-3</v>
      </c>
      <c r="I243" t="str">
        <f t="shared" si="40"/>
        <v>2010-12</v>
      </c>
      <c r="K243">
        <v>7029.39</v>
      </c>
      <c r="L243">
        <f t="shared" si="47"/>
        <v>3.3087416795530636E-3</v>
      </c>
      <c r="M243" t="str">
        <f t="shared" si="41"/>
        <v>2010-12</v>
      </c>
      <c r="O243">
        <v>6956.5201800000004</v>
      </c>
      <c r="P243">
        <f t="shared" si="48"/>
        <v>2.170240317200926E-3</v>
      </c>
      <c r="Q243" t="str">
        <f t="shared" si="42"/>
        <v>2010-12</v>
      </c>
      <c r="S243">
        <v>10151.200000000001</v>
      </c>
      <c r="T243">
        <f t="shared" si="49"/>
        <v>2.8905318279442223E-3</v>
      </c>
      <c r="U243" t="str">
        <f t="shared" si="43"/>
        <v>2010-12</v>
      </c>
      <c r="W243">
        <v>20634.599999999999</v>
      </c>
      <c r="X243">
        <f t="shared" si="50"/>
        <v>7.162144076405412E-3</v>
      </c>
      <c r="Y243">
        <f t="shared" si="51"/>
        <v>7.187853572010734E-3</v>
      </c>
      <c r="Z243" t="str">
        <f t="shared" si="44"/>
        <v>2010-12</v>
      </c>
    </row>
    <row r="244" spans="1:26" x14ac:dyDescent="0.35">
      <c r="A244" s="1">
        <v>40526</v>
      </c>
      <c r="C244">
        <v>2861.67</v>
      </c>
      <c r="D244">
        <f t="shared" si="45"/>
        <v>2.203938594134887E-3</v>
      </c>
      <c r="E244" t="str">
        <f t="shared" si="39"/>
        <v>2010-12</v>
      </c>
      <c r="G244">
        <v>3902.87</v>
      </c>
      <c r="H244">
        <f t="shared" si="46"/>
        <v>2.6759695827207677E-3</v>
      </c>
      <c r="I244" t="str">
        <f t="shared" si="40"/>
        <v>2010-12</v>
      </c>
      <c r="K244">
        <v>7027.4</v>
      </c>
      <c r="L244">
        <f t="shared" si="47"/>
        <v>-2.831371903962652E-4</v>
      </c>
      <c r="M244" t="str">
        <f t="shared" si="41"/>
        <v>2010-12</v>
      </c>
      <c r="O244">
        <v>6941.4547899999998</v>
      </c>
      <c r="P244">
        <f t="shared" si="48"/>
        <v>-2.1679987096545825E-3</v>
      </c>
      <c r="Q244" t="str">
        <f t="shared" si="42"/>
        <v>2010-12</v>
      </c>
      <c r="S244">
        <v>10162.700000000001</v>
      </c>
      <c r="T244">
        <f t="shared" si="49"/>
        <v>1.1322297765106158E-3</v>
      </c>
      <c r="U244" t="str">
        <f t="shared" si="43"/>
        <v>2010-12</v>
      </c>
      <c r="W244">
        <v>20708.580000000002</v>
      </c>
      <c r="X244">
        <f t="shared" si="50"/>
        <v>3.5788286707212681E-3</v>
      </c>
      <c r="Y244">
        <f t="shared" si="51"/>
        <v>3.5852403245036591E-3</v>
      </c>
      <c r="Z244" t="str">
        <f t="shared" si="44"/>
        <v>2010-12</v>
      </c>
    </row>
    <row r="245" spans="1:26" x14ac:dyDescent="0.35">
      <c r="A245" s="1">
        <v>40527</v>
      </c>
      <c r="C245">
        <v>2841.99</v>
      </c>
      <c r="D245">
        <f t="shared" si="45"/>
        <v>-6.9008594831358764E-3</v>
      </c>
      <c r="E245" t="str">
        <f t="shared" si="39"/>
        <v>2010-12</v>
      </c>
      <c r="G245">
        <v>3880.19</v>
      </c>
      <c r="H245">
        <f t="shared" si="46"/>
        <v>-5.8280584233461582E-3</v>
      </c>
      <c r="I245" t="str">
        <f t="shared" si="40"/>
        <v>2010-12</v>
      </c>
      <c r="K245">
        <v>7016.37</v>
      </c>
      <c r="L245">
        <f t="shared" si="47"/>
        <v>-1.5708036044414586E-3</v>
      </c>
      <c r="M245" t="str">
        <f t="shared" si="41"/>
        <v>2010-12</v>
      </c>
      <c r="O245">
        <v>6896.8837400000002</v>
      </c>
      <c r="P245">
        <f t="shared" si="48"/>
        <v>-6.441698767238279E-3</v>
      </c>
      <c r="Q245" t="str">
        <f t="shared" si="42"/>
        <v>2010-12</v>
      </c>
      <c r="S245">
        <v>10009.799999999999</v>
      </c>
      <c r="T245">
        <f t="shared" si="49"/>
        <v>-1.5159541769532592E-2</v>
      </c>
      <c r="U245" t="str">
        <f t="shared" si="43"/>
        <v>2010-12</v>
      </c>
      <c r="W245">
        <v>20410.27</v>
      </c>
      <c r="X245">
        <f t="shared" si="50"/>
        <v>-1.4509901602894421E-2</v>
      </c>
      <c r="Y245">
        <f t="shared" si="51"/>
        <v>-1.4405140284848178E-2</v>
      </c>
      <c r="Z245" t="str">
        <f t="shared" si="44"/>
        <v>2010-12</v>
      </c>
    </row>
    <row r="246" spans="1:26" x14ac:dyDescent="0.35">
      <c r="A246" s="1">
        <v>40528</v>
      </c>
      <c r="C246">
        <v>2845.78</v>
      </c>
      <c r="D246">
        <f t="shared" si="45"/>
        <v>1.3326841841127496E-3</v>
      </c>
      <c r="E246" t="str">
        <f t="shared" si="39"/>
        <v>2010-12</v>
      </c>
      <c r="G246">
        <v>3888.36</v>
      </c>
      <c r="H246">
        <f t="shared" si="46"/>
        <v>2.1033533959545722E-3</v>
      </c>
      <c r="I246" t="str">
        <f t="shared" si="40"/>
        <v>2010-12</v>
      </c>
      <c r="K246">
        <v>7024.4</v>
      </c>
      <c r="L246">
        <f t="shared" si="47"/>
        <v>1.1438120381537119E-3</v>
      </c>
      <c r="M246" t="str">
        <f t="shared" si="41"/>
        <v>2010-12</v>
      </c>
      <c r="O246">
        <v>6939.74827</v>
      </c>
      <c r="P246">
        <f t="shared" si="48"/>
        <v>6.1958238238027704E-3</v>
      </c>
      <c r="Q246" t="str">
        <f t="shared" si="42"/>
        <v>2010-12</v>
      </c>
      <c r="S246">
        <v>10010.299999999999</v>
      </c>
      <c r="T246">
        <f t="shared" si="49"/>
        <v>4.9949800460953027E-5</v>
      </c>
      <c r="U246" t="str">
        <f t="shared" si="43"/>
        <v>2010-12</v>
      </c>
      <c r="W246">
        <v>20366.62</v>
      </c>
      <c r="X246">
        <f t="shared" si="50"/>
        <v>-2.1409193625414619E-3</v>
      </c>
      <c r="Y246">
        <f t="shared" si="51"/>
        <v>-2.1386292293047301E-3</v>
      </c>
      <c r="Z246" t="str">
        <f t="shared" si="44"/>
        <v>2010-12</v>
      </c>
    </row>
    <row r="247" spans="1:26" x14ac:dyDescent="0.35">
      <c r="A247" s="1">
        <v>40529</v>
      </c>
      <c r="C247">
        <v>2821.77</v>
      </c>
      <c r="D247">
        <f t="shared" si="45"/>
        <v>-8.4728475753878957E-3</v>
      </c>
      <c r="E247" t="str">
        <f t="shared" si="39"/>
        <v>2010-12</v>
      </c>
      <c r="G247">
        <v>3867.35</v>
      </c>
      <c r="H247">
        <f t="shared" si="46"/>
        <v>-5.4179569360863523E-3</v>
      </c>
      <c r="I247" t="str">
        <f t="shared" si="40"/>
        <v>2010-12</v>
      </c>
      <c r="K247">
        <v>6982.45</v>
      </c>
      <c r="L247">
        <f t="shared" si="47"/>
        <v>-5.9899442670465729E-3</v>
      </c>
      <c r="M247" t="str">
        <f t="shared" si="41"/>
        <v>2010-12</v>
      </c>
      <c r="O247">
        <v>6909.8839699999999</v>
      </c>
      <c r="P247">
        <f t="shared" si="48"/>
        <v>-4.3126554943318744E-3</v>
      </c>
      <c r="Q247" t="str">
        <f t="shared" si="42"/>
        <v>2010-12</v>
      </c>
      <c r="S247">
        <v>9898.1</v>
      </c>
      <c r="T247">
        <f t="shared" si="49"/>
        <v>-1.1271743378226451E-2</v>
      </c>
      <c r="U247" t="str">
        <f t="shared" si="43"/>
        <v>2010-12</v>
      </c>
      <c r="W247">
        <v>20069.18</v>
      </c>
      <c r="X247">
        <f t="shared" si="50"/>
        <v>-1.4711981208040646E-2</v>
      </c>
      <c r="Y247">
        <f t="shared" si="51"/>
        <v>-1.4604288782331025E-2</v>
      </c>
      <c r="Z247" t="str">
        <f t="shared" si="44"/>
        <v>2010-12</v>
      </c>
    </row>
    <row r="248" spans="1:26" x14ac:dyDescent="0.35">
      <c r="A248" s="1">
        <v>40532</v>
      </c>
      <c r="C248">
        <v>2839.22</v>
      </c>
      <c r="D248">
        <f t="shared" si="45"/>
        <v>6.1650189345483029E-3</v>
      </c>
      <c r="E248" t="str">
        <f t="shared" si="39"/>
        <v>2010-12</v>
      </c>
      <c r="G248">
        <v>3885.08</v>
      </c>
      <c r="H248">
        <f t="shared" si="46"/>
        <v>4.5740576599207156E-3</v>
      </c>
      <c r="I248" t="str">
        <f t="shared" si="40"/>
        <v>2010-12</v>
      </c>
      <c r="K248">
        <v>7018.6</v>
      </c>
      <c r="L248">
        <f t="shared" si="47"/>
        <v>5.1639098969270859E-3</v>
      </c>
      <c r="M248" t="str">
        <f t="shared" si="41"/>
        <v>2010-12</v>
      </c>
      <c r="O248">
        <v>6962.8934499999996</v>
      </c>
      <c r="P248">
        <f t="shared" si="48"/>
        <v>7.6422674988759496E-3</v>
      </c>
      <c r="Q248" t="str">
        <f t="shared" si="42"/>
        <v>2010-12</v>
      </c>
      <c r="S248">
        <v>9996.1</v>
      </c>
      <c r="T248">
        <f t="shared" si="49"/>
        <v>9.8521973944866708E-3</v>
      </c>
      <c r="U248" t="str">
        <f t="shared" si="43"/>
        <v>2010-12</v>
      </c>
      <c r="W248">
        <v>20373.66</v>
      </c>
      <c r="X248">
        <f t="shared" si="50"/>
        <v>1.5057585119946672E-2</v>
      </c>
      <c r="Y248">
        <f t="shared" si="51"/>
        <v>1.517152170641748E-2</v>
      </c>
      <c r="Z248" t="str">
        <f t="shared" si="44"/>
        <v>2010-12</v>
      </c>
    </row>
    <row r="249" spans="1:26" x14ac:dyDescent="0.35">
      <c r="A249" s="1">
        <v>40533</v>
      </c>
      <c r="C249">
        <v>2876.99</v>
      </c>
      <c r="D249">
        <f t="shared" si="45"/>
        <v>1.3215242157325542E-2</v>
      </c>
      <c r="E249" t="str">
        <f t="shared" si="39"/>
        <v>2010-12</v>
      </c>
      <c r="G249">
        <v>3927.49</v>
      </c>
      <c r="H249">
        <f t="shared" si="46"/>
        <v>1.085696936725792E-2</v>
      </c>
      <c r="I249" t="str">
        <f t="shared" si="40"/>
        <v>2010-12</v>
      </c>
      <c r="K249">
        <v>7077.99</v>
      </c>
      <c r="L249">
        <f t="shared" si="47"/>
        <v>8.4262011443479914E-3</v>
      </c>
      <c r="M249" t="str">
        <f t="shared" si="41"/>
        <v>2010-12</v>
      </c>
      <c r="O249">
        <v>7017.4080899999999</v>
      </c>
      <c r="P249">
        <f t="shared" si="48"/>
        <v>7.7988183801665466E-3</v>
      </c>
      <c r="Q249" t="str">
        <f t="shared" si="42"/>
        <v>2010-12</v>
      </c>
      <c r="S249">
        <v>10203.4</v>
      </c>
      <c r="T249">
        <f t="shared" si="49"/>
        <v>2.0525981156078829E-2</v>
      </c>
      <c r="U249" t="str">
        <f t="shared" si="43"/>
        <v>2010-12</v>
      </c>
      <c r="W249">
        <v>20736.599999999999</v>
      </c>
      <c r="X249">
        <f t="shared" si="50"/>
        <v>1.7657364843409615E-2</v>
      </c>
      <c r="Y249">
        <f t="shared" si="51"/>
        <v>1.7814177717700143E-2</v>
      </c>
      <c r="Z249" t="str">
        <f t="shared" si="44"/>
        <v>2010-12</v>
      </c>
    </row>
    <row r="250" spans="1:26" x14ac:dyDescent="0.35">
      <c r="A250" s="1">
        <v>40534</v>
      </c>
      <c r="C250">
        <v>2869.63</v>
      </c>
      <c r="D250">
        <f t="shared" si="45"/>
        <v>-2.5615071204550793E-3</v>
      </c>
      <c r="E250" t="str">
        <f t="shared" si="39"/>
        <v>2010-12</v>
      </c>
      <c r="G250">
        <v>3919.71</v>
      </c>
      <c r="H250">
        <f t="shared" si="46"/>
        <v>-1.9828735215384375E-3</v>
      </c>
      <c r="I250" t="str">
        <f t="shared" si="40"/>
        <v>2010-12</v>
      </c>
      <c r="K250">
        <v>7067.92</v>
      </c>
      <c r="L250">
        <f t="shared" si="47"/>
        <v>-1.423733319525464E-3</v>
      </c>
      <c r="M250" t="str">
        <f t="shared" si="41"/>
        <v>2010-12</v>
      </c>
      <c r="O250">
        <v>7027.7546300000004</v>
      </c>
      <c r="P250">
        <f t="shared" si="48"/>
        <v>1.4733245997724184E-3</v>
      </c>
      <c r="Q250" t="str">
        <f t="shared" si="42"/>
        <v>2010-12</v>
      </c>
      <c r="S250">
        <v>10183.5</v>
      </c>
      <c r="T250">
        <f t="shared" si="49"/>
        <v>-1.9522346526713477E-3</v>
      </c>
      <c r="U250" t="str">
        <f t="shared" si="43"/>
        <v>2010-12</v>
      </c>
      <c r="W250">
        <v>20733.37</v>
      </c>
      <c r="X250">
        <f t="shared" si="50"/>
        <v>-1.557753722286316E-4</v>
      </c>
      <c r="Y250">
        <f t="shared" si="51"/>
        <v>-1.5576323987536835E-4</v>
      </c>
      <c r="Z250" t="str">
        <f t="shared" si="44"/>
        <v>2010-12</v>
      </c>
    </row>
    <row r="251" spans="1:26" x14ac:dyDescent="0.35">
      <c r="A251" s="1">
        <v>40535</v>
      </c>
      <c r="C251">
        <v>2864.52</v>
      </c>
      <c r="D251">
        <f t="shared" si="45"/>
        <v>-1.782304736606666E-3</v>
      </c>
      <c r="E251" t="str">
        <f t="shared" si="39"/>
        <v>2010-12</v>
      </c>
      <c r="G251">
        <v>3911.32</v>
      </c>
      <c r="H251">
        <f t="shared" si="46"/>
        <v>-2.1427585413829994E-3</v>
      </c>
      <c r="I251" t="str">
        <f t="shared" si="40"/>
        <v>2010-12</v>
      </c>
      <c r="K251">
        <v>7057.69</v>
      </c>
      <c r="L251">
        <f t="shared" si="47"/>
        <v>-1.4484332766528389E-3</v>
      </c>
      <c r="M251" t="str">
        <f t="shared" si="41"/>
        <v>2010-12</v>
      </c>
      <c r="O251">
        <v>7047.2340199999999</v>
      </c>
      <c r="P251">
        <f t="shared" si="48"/>
        <v>2.7679457399513354E-3</v>
      </c>
      <c r="Q251" t="str">
        <f t="shared" si="42"/>
        <v>2010-12</v>
      </c>
      <c r="S251">
        <v>10106.9</v>
      </c>
      <c r="T251">
        <f t="shared" si="49"/>
        <v>-7.5504045168753925E-3</v>
      </c>
      <c r="U251" t="str">
        <f t="shared" si="43"/>
        <v>2010-12</v>
      </c>
      <c r="W251">
        <v>20774.16</v>
      </c>
      <c r="X251">
        <f t="shared" si="50"/>
        <v>1.9654271468649565E-3</v>
      </c>
      <c r="Y251">
        <f t="shared" si="51"/>
        <v>1.9673598647977088E-3</v>
      </c>
      <c r="Z251" t="str">
        <f t="shared" si="44"/>
        <v>2010-12</v>
      </c>
    </row>
    <row r="252" spans="1:26" x14ac:dyDescent="0.35">
      <c r="A252" s="1">
        <v>40541</v>
      </c>
      <c r="C252">
        <v>2841.23</v>
      </c>
      <c r="D252">
        <f t="shared" si="45"/>
        <v>-8.1637398588768721E-3</v>
      </c>
      <c r="E252" t="str">
        <f t="shared" si="39"/>
        <v>2010-12</v>
      </c>
      <c r="G252">
        <v>3890.65</v>
      </c>
      <c r="H252">
        <f t="shared" si="46"/>
        <v>-5.2986741453241899E-3</v>
      </c>
      <c r="I252" t="str">
        <f t="shared" si="40"/>
        <v>2010-12</v>
      </c>
      <c r="K252">
        <v>6995.47</v>
      </c>
      <c r="L252">
        <f t="shared" si="47"/>
        <v>-8.855005786764545E-3</v>
      </c>
      <c r="M252" t="str">
        <f t="shared" si="41"/>
        <v>2010-12</v>
      </c>
      <c r="O252">
        <v>7040.2331199999999</v>
      </c>
      <c r="P252">
        <f t="shared" si="48"/>
        <v>-9.9391899292617216E-4</v>
      </c>
      <c r="Q252" t="str">
        <f t="shared" si="42"/>
        <v>2010-12</v>
      </c>
      <c r="S252">
        <v>9981.5</v>
      </c>
      <c r="T252">
        <f t="shared" si="49"/>
        <v>-1.2484979280227617E-2</v>
      </c>
      <c r="U252" t="str">
        <f t="shared" si="43"/>
        <v>2010-12</v>
      </c>
      <c r="W252">
        <v>20471.009999999998</v>
      </c>
      <c r="X252">
        <f t="shared" si="50"/>
        <v>-1.4700167756785209E-2</v>
      </c>
      <c r="Y252">
        <f t="shared" si="51"/>
        <v>-1.4592647789369171E-2</v>
      </c>
      <c r="Z252" t="str">
        <f t="shared" si="44"/>
        <v>2010-12</v>
      </c>
    </row>
    <row r="253" spans="1:26" x14ac:dyDescent="0.35">
      <c r="A253" s="1">
        <v>40542</v>
      </c>
      <c r="C253">
        <v>2807.04</v>
      </c>
      <c r="D253">
        <f t="shared" si="45"/>
        <v>-1.2106509637262669E-2</v>
      </c>
      <c r="E253" t="str">
        <f t="shared" si="39"/>
        <v>2010-12</v>
      </c>
      <c r="G253">
        <v>3850.76</v>
      </c>
      <c r="H253">
        <f t="shared" si="46"/>
        <v>-1.0305707371435753E-2</v>
      </c>
      <c r="I253" t="str">
        <f t="shared" si="40"/>
        <v>2010-12</v>
      </c>
      <c r="K253">
        <v>6914.19</v>
      </c>
      <c r="L253">
        <f t="shared" si="47"/>
        <v>-1.1686975114596822E-2</v>
      </c>
      <c r="M253" t="str">
        <f t="shared" si="41"/>
        <v>2010-12</v>
      </c>
      <c r="O253">
        <v>6930.3873899999999</v>
      </c>
      <c r="P253">
        <f t="shared" si="48"/>
        <v>-1.5725571185728988E-2</v>
      </c>
      <c r="Q253" t="str">
        <f t="shared" si="42"/>
        <v>2010-12</v>
      </c>
      <c r="S253">
        <v>9859.1</v>
      </c>
      <c r="T253">
        <f t="shared" si="49"/>
        <v>-1.2338493072573889E-2</v>
      </c>
      <c r="U253" t="str">
        <f t="shared" si="43"/>
        <v>2010-12</v>
      </c>
      <c r="W253">
        <v>20173.29</v>
      </c>
      <c r="X253">
        <f t="shared" si="50"/>
        <v>-1.4650286754778797E-2</v>
      </c>
      <c r="Y253">
        <f t="shared" si="51"/>
        <v>-1.4543493457332957E-2</v>
      </c>
      <c r="Z253" t="str">
        <f t="shared" si="44"/>
        <v>2010-12</v>
      </c>
    </row>
    <row r="254" spans="1:26" x14ac:dyDescent="0.35">
      <c r="A254" s="1">
        <v>40547</v>
      </c>
      <c r="C254">
        <v>2844.17</v>
      </c>
      <c r="D254">
        <f t="shared" si="45"/>
        <v>1.3140737752103709E-2</v>
      </c>
      <c r="E254" t="str">
        <f t="shared" si="39"/>
        <v>2011-01</v>
      </c>
      <c r="G254">
        <v>3916.03</v>
      </c>
      <c r="H254">
        <f t="shared" si="46"/>
        <v>1.6807854101600583E-2</v>
      </c>
      <c r="I254" t="str">
        <f t="shared" si="40"/>
        <v>2011-01</v>
      </c>
      <c r="K254">
        <v>6975.35</v>
      </c>
      <c r="L254">
        <f t="shared" si="47"/>
        <v>8.8066840637132122E-3</v>
      </c>
      <c r="M254" t="str">
        <f t="shared" si="41"/>
        <v>2011-01</v>
      </c>
      <c r="O254">
        <v>7041.0249000000003</v>
      </c>
      <c r="P254">
        <f t="shared" si="48"/>
        <v>1.5838029887886115E-2</v>
      </c>
      <c r="Q254" t="str">
        <f t="shared" si="42"/>
        <v>2011-01</v>
      </c>
      <c r="S254">
        <v>9888.4</v>
      </c>
      <c r="T254">
        <f t="shared" si="49"/>
        <v>2.9674664135676838E-3</v>
      </c>
      <c r="U254" t="str">
        <f t="shared" si="43"/>
        <v>2011-01</v>
      </c>
      <c r="W254">
        <v>20547.03</v>
      </c>
      <c r="X254">
        <f t="shared" si="50"/>
        <v>1.8356952750467923E-2</v>
      </c>
      <c r="Y254">
        <f t="shared" si="51"/>
        <v>1.8526477337112487E-2</v>
      </c>
      <c r="Z254" t="str">
        <f t="shared" si="44"/>
        <v>2011-01</v>
      </c>
    </row>
    <row r="255" spans="1:26" x14ac:dyDescent="0.35">
      <c r="A255" s="1">
        <v>40548</v>
      </c>
      <c r="C255">
        <v>2833.74</v>
      </c>
      <c r="D255">
        <f t="shared" si="45"/>
        <v>-3.6738911788155764E-3</v>
      </c>
      <c r="E255" t="str">
        <f t="shared" si="39"/>
        <v>2011-01</v>
      </c>
      <c r="G255">
        <v>3904.61</v>
      </c>
      <c r="H255">
        <f t="shared" si="46"/>
        <v>-2.9204791722807952E-3</v>
      </c>
      <c r="I255" t="str">
        <f t="shared" si="40"/>
        <v>2011-01</v>
      </c>
      <c r="K255">
        <v>6939.82</v>
      </c>
      <c r="L255">
        <f t="shared" si="47"/>
        <v>-5.1066680770343138E-3</v>
      </c>
      <c r="M255" t="str">
        <f t="shared" si="41"/>
        <v>2011-01</v>
      </c>
      <c r="O255">
        <v>7106.10862</v>
      </c>
      <c r="P255">
        <f t="shared" si="48"/>
        <v>9.2010411958612943E-3</v>
      </c>
      <c r="Q255" t="str">
        <f t="shared" si="42"/>
        <v>2011-01</v>
      </c>
      <c r="S255">
        <v>9801.4</v>
      </c>
      <c r="T255">
        <f t="shared" si="49"/>
        <v>-8.8371203552915778E-3</v>
      </c>
      <c r="U255" t="str">
        <f t="shared" si="43"/>
        <v>2011-01</v>
      </c>
      <c r="W255">
        <v>20551.580000000002</v>
      </c>
      <c r="X255">
        <f t="shared" si="50"/>
        <v>2.2141868148779672E-4</v>
      </c>
      <c r="Y255">
        <f t="shared" si="51"/>
        <v>2.2144319641344325E-4</v>
      </c>
      <c r="Z255" t="str">
        <f t="shared" si="44"/>
        <v>2011-01</v>
      </c>
    </row>
    <row r="256" spans="1:26" x14ac:dyDescent="0.35">
      <c r="A256" s="1">
        <v>40549</v>
      </c>
      <c r="C256">
        <v>2836.23</v>
      </c>
      <c r="D256">
        <f t="shared" si="45"/>
        <v>8.783115819208597E-4</v>
      </c>
      <c r="E256" t="str">
        <f t="shared" si="39"/>
        <v>2011-01</v>
      </c>
      <c r="G256">
        <v>3904.42</v>
      </c>
      <c r="H256">
        <f t="shared" si="46"/>
        <v>-4.8661613551839062E-5</v>
      </c>
      <c r="I256" t="str">
        <f t="shared" si="40"/>
        <v>2011-01</v>
      </c>
      <c r="K256">
        <v>6981.39</v>
      </c>
      <c r="L256">
        <f t="shared" si="47"/>
        <v>5.9721997666796747E-3</v>
      </c>
      <c r="M256" t="str">
        <f t="shared" si="41"/>
        <v>2011-01</v>
      </c>
      <c r="O256">
        <v>7159.3726900000001</v>
      </c>
      <c r="P256">
        <f t="shared" si="48"/>
        <v>7.4675808497194143E-3</v>
      </c>
      <c r="Q256" t="str">
        <f t="shared" si="42"/>
        <v>2011-01</v>
      </c>
      <c r="S256">
        <v>9702.7000000000007</v>
      </c>
      <c r="T256">
        <f t="shared" si="49"/>
        <v>-1.0121035323789766E-2</v>
      </c>
      <c r="U256" t="str">
        <f t="shared" si="43"/>
        <v>2011-01</v>
      </c>
      <c r="W256">
        <v>20637.39</v>
      </c>
      <c r="X256">
        <f t="shared" si="50"/>
        <v>4.1666554976105283E-3</v>
      </c>
      <c r="Y256">
        <f t="shared" si="51"/>
        <v>4.1753480754276638E-3</v>
      </c>
      <c r="Z256" t="str">
        <f t="shared" si="44"/>
        <v>2011-01</v>
      </c>
    </row>
    <row r="257" spans="1:26" x14ac:dyDescent="0.35">
      <c r="A257" s="1">
        <v>40550</v>
      </c>
      <c r="C257">
        <v>2808.25</v>
      </c>
      <c r="D257">
        <f t="shared" si="45"/>
        <v>-9.9141919829445705E-3</v>
      </c>
      <c r="E257" t="str">
        <f t="shared" si="39"/>
        <v>2011-01</v>
      </c>
      <c r="G257">
        <v>3865.58</v>
      </c>
      <c r="H257">
        <f t="shared" si="46"/>
        <v>-9.9975092676742351E-3</v>
      </c>
      <c r="I257" t="str">
        <f t="shared" si="40"/>
        <v>2011-01</v>
      </c>
      <c r="K257">
        <v>6947.84</v>
      </c>
      <c r="L257">
        <f t="shared" si="47"/>
        <v>-4.8172174454611276E-3</v>
      </c>
      <c r="M257" t="str">
        <f t="shared" si="41"/>
        <v>2011-01</v>
      </c>
      <c r="O257">
        <v>7197.4011499999997</v>
      </c>
      <c r="P257">
        <f t="shared" si="48"/>
        <v>5.2976454686800194E-3</v>
      </c>
      <c r="Q257" t="str">
        <f t="shared" si="42"/>
        <v>2011-01</v>
      </c>
      <c r="S257">
        <v>9560.7000000000007</v>
      </c>
      <c r="T257">
        <f t="shared" si="49"/>
        <v>-1.474325115243354E-2</v>
      </c>
      <c r="U257" t="str">
        <f t="shared" si="43"/>
        <v>2011-01</v>
      </c>
      <c r="W257">
        <v>20542.060000000001</v>
      </c>
      <c r="X257">
        <f t="shared" si="50"/>
        <v>-4.6299875446285379E-3</v>
      </c>
      <c r="Y257">
        <f t="shared" si="51"/>
        <v>-4.6192856751749185E-3</v>
      </c>
      <c r="Z257" t="str">
        <f t="shared" si="44"/>
        <v>2011-01</v>
      </c>
    </row>
    <row r="258" spans="1:26" x14ac:dyDescent="0.35">
      <c r="A258" s="1">
        <v>40553</v>
      </c>
      <c r="C258">
        <v>2760.88</v>
      </c>
      <c r="D258">
        <f t="shared" si="45"/>
        <v>-1.7012044049628663E-2</v>
      </c>
      <c r="E258" t="str">
        <f t="shared" si="39"/>
        <v>2011-01</v>
      </c>
      <c r="G258">
        <v>3802.03</v>
      </c>
      <c r="H258">
        <f t="shared" si="46"/>
        <v>-1.6576600844849878E-2</v>
      </c>
      <c r="I258" t="str">
        <f t="shared" si="40"/>
        <v>2011-01</v>
      </c>
      <c r="K258">
        <v>6857.06</v>
      </c>
      <c r="L258">
        <f t="shared" si="47"/>
        <v>-1.3152041457908246E-2</v>
      </c>
      <c r="M258" t="str">
        <f t="shared" si="41"/>
        <v>2011-01</v>
      </c>
      <c r="O258">
        <v>7166.7991099999999</v>
      </c>
      <c r="P258">
        <f t="shared" si="48"/>
        <v>-4.2608827146262537E-3</v>
      </c>
      <c r="Q258" t="str">
        <f t="shared" si="42"/>
        <v>2011-01</v>
      </c>
      <c r="S258">
        <v>9437.7999999999993</v>
      </c>
      <c r="T258">
        <f t="shared" si="49"/>
        <v>-1.2938043990667173E-2</v>
      </c>
      <c r="U258" t="str">
        <f t="shared" si="43"/>
        <v>2011-01</v>
      </c>
      <c r="W258">
        <v>20058.18</v>
      </c>
      <c r="X258">
        <f t="shared" si="50"/>
        <v>-2.3837440983223008E-2</v>
      </c>
      <c r="Y258">
        <f t="shared" si="51"/>
        <v>-2.3555573296933266E-2</v>
      </c>
      <c r="Z258" t="str">
        <f t="shared" si="44"/>
        <v>2011-01</v>
      </c>
    </row>
    <row r="259" spans="1:26" x14ac:dyDescent="0.35">
      <c r="A259" s="1">
        <v>40554</v>
      </c>
      <c r="C259">
        <v>2796.6</v>
      </c>
      <c r="D259">
        <f t="shared" si="45"/>
        <v>1.2854924134700157E-2</v>
      </c>
      <c r="E259" t="str">
        <f t="shared" si="39"/>
        <v>2011-01</v>
      </c>
      <c r="G259">
        <v>3861.92</v>
      </c>
      <c r="H259">
        <f t="shared" si="46"/>
        <v>1.5629334517142341E-2</v>
      </c>
      <c r="I259" t="str">
        <f t="shared" si="40"/>
        <v>2011-01</v>
      </c>
      <c r="K259">
        <v>6941.57</v>
      </c>
      <c r="L259">
        <f t="shared" si="47"/>
        <v>1.2249195271366552E-2</v>
      </c>
      <c r="M259" t="str">
        <f t="shared" si="41"/>
        <v>2011-01</v>
      </c>
      <c r="O259">
        <v>7242.43354</v>
      </c>
      <c r="P259">
        <f t="shared" si="48"/>
        <v>1.049814747003476E-2</v>
      </c>
      <c r="Q259" t="str">
        <f t="shared" si="42"/>
        <v>2011-01</v>
      </c>
      <c r="S259">
        <v>9582.1</v>
      </c>
      <c r="T259">
        <f t="shared" si="49"/>
        <v>1.5173872491697033E-2</v>
      </c>
      <c r="U259" t="str">
        <f t="shared" si="43"/>
        <v>2011-01</v>
      </c>
      <c r="W259">
        <v>20339.05</v>
      </c>
      <c r="X259">
        <f t="shared" si="50"/>
        <v>1.3905632930399481E-2</v>
      </c>
      <c r="Y259">
        <f t="shared" si="51"/>
        <v>1.4002765953840228E-2</v>
      </c>
      <c r="Z259" t="str">
        <f t="shared" si="44"/>
        <v>2011-01</v>
      </c>
    </row>
    <row r="260" spans="1:26" x14ac:dyDescent="0.35">
      <c r="A260" s="1">
        <v>40555</v>
      </c>
      <c r="C260">
        <v>2879.11</v>
      </c>
      <c r="D260">
        <f t="shared" si="45"/>
        <v>2.9076824986540562E-2</v>
      </c>
      <c r="E260" t="str">
        <f t="shared" ref="E260:E323" si="52">_xlfn.CONCAT(YEAR(A260),"-",TEXT(MONTH(A260),"00"))</f>
        <v>2011-01</v>
      </c>
      <c r="G260">
        <v>3945.07</v>
      </c>
      <c r="H260">
        <f t="shared" si="46"/>
        <v>2.1302228983983831E-2</v>
      </c>
      <c r="I260" t="str">
        <f t="shared" ref="I260:I323" si="53">_xlfn.CONCAT(YEAR(A260),"-",TEXT(MONTH(A260),"00"))</f>
        <v>2011-01</v>
      </c>
      <c r="K260">
        <v>7068.78</v>
      </c>
      <c r="L260">
        <f t="shared" si="47"/>
        <v>1.8159931187510945E-2</v>
      </c>
      <c r="M260" t="str">
        <f t="shared" ref="M260:M323" si="54">_xlfn.CONCAT(YEAR(A260),"-",TEXT(MONTH(A260),"00"))</f>
        <v>2011-01</v>
      </c>
      <c r="O260">
        <v>7280.9359400000003</v>
      </c>
      <c r="P260">
        <f t="shared" si="48"/>
        <v>5.3021429019728655E-3</v>
      </c>
      <c r="Q260" t="str">
        <f t="shared" ref="Q260:Q323" si="55">_xlfn.CONCAT(YEAR(A260),"-",TEXT(MONTH(A260),"00"))</f>
        <v>2011-01</v>
      </c>
      <c r="S260">
        <v>10101.200000000001</v>
      </c>
      <c r="T260">
        <f t="shared" si="49"/>
        <v>5.2757454029749518E-2</v>
      </c>
      <c r="U260" t="str">
        <f t="shared" ref="U260:U323" si="56">_xlfn.CONCAT(YEAR(A260),"-",TEXT(MONTH(A260),"00"))</f>
        <v>2011-01</v>
      </c>
      <c r="W260">
        <v>21116.39</v>
      </c>
      <c r="X260">
        <f t="shared" si="50"/>
        <v>3.7506832666275809E-2</v>
      </c>
      <c r="Y260">
        <f t="shared" si="51"/>
        <v>3.8219090862159251E-2</v>
      </c>
      <c r="Z260" t="str">
        <f t="shared" ref="Z260:Z323" si="57">_xlfn.CONCAT(YEAR(A260),"-",TEXT(MONTH(A260),"00"))</f>
        <v>2011-01</v>
      </c>
    </row>
    <row r="261" spans="1:26" x14ac:dyDescent="0.35">
      <c r="A261" s="1">
        <v>40556</v>
      </c>
      <c r="C261">
        <v>2915.62</v>
      </c>
      <c r="D261">
        <f t="shared" ref="D261:D324" si="58">LN(C261/C260)</f>
        <v>1.2601271542769464E-2</v>
      </c>
      <c r="E261" t="str">
        <f t="shared" si="52"/>
        <v>2011-01</v>
      </c>
      <c r="G261">
        <v>3974.83</v>
      </c>
      <c r="H261">
        <f t="shared" ref="H261:H324" si="59">LN(G261/G260)</f>
        <v>7.5152817760147225E-3</v>
      </c>
      <c r="I261" t="str">
        <f t="shared" si="53"/>
        <v>2011-01</v>
      </c>
      <c r="K261">
        <v>7075.11</v>
      </c>
      <c r="L261">
        <f t="shared" ref="L261:L324" si="60">LN(K261/K260)</f>
        <v>8.9508620649935919E-4</v>
      </c>
      <c r="M261" t="str">
        <f t="shared" si="54"/>
        <v>2011-01</v>
      </c>
      <c r="O261">
        <v>7155.5846000000001</v>
      </c>
      <c r="P261">
        <f t="shared" ref="P261:P324" si="61">LN(O261/O260)</f>
        <v>-1.736630235980758E-2</v>
      </c>
      <c r="Q261" t="str">
        <f t="shared" si="55"/>
        <v>2011-01</v>
      </c>
      <c r="S261">
        <v>10370.799999999999</v>
      </c>
      <c r="T261">
        <f t="shared" ref="T261:T324" si="62">LN(S261/S260)</f>
        <v>2.6339936207380007E-2</v>
      </c>
      <c r="U261" t="str">
        <f t="shared" si="56"/>
        <v>2011-01</v>
      </c>
      <c r="W261">
        <v>21308.13</v>
      </c>
      <c r="X261">
        <f t="shared" ref="X261:X324" si="63">LN(W261/W260)</f>
        <v>9.0391738331762408E-3</v>
      </c>
      <c r="Y261">
        <f t="shared" ref="Y261:Y324" si="64">(W261-W260)/W260</f>
        <v>9.0801505370947215E-3</v>
      </c>
      <c r="Z261" t="str">
        <f t="shared" si="57"/>
        <v>2011-01</v>
      </c>
    </row>
    <row r="262" spans="1:26" x14ac:dyDescent="0.35">
      <c r="A262" s="1">
        <v>40557</v>
      </c>
      <c r="C262">
        <v>2920.4</v>
      </c>
      <c r="D262">
        <f t="shared" si="58"/>
        <v>1.6381030458704608E-3</v>
      </c>
      <c r="E262" t="str">
        <f t="shared" si="52"/>
        <v>2011-01</v>
      </c>
      <c r="G262">
        <v>3983.28</v>
      </c>
      <c r="H262">
        <f t="shared" si="59"/>
        <v>2.1236206022850999E-3</v>
      </c>
      <c r="I262" t="str">
        <f t="shared" si="53"/>
        <v>2011-01</v>
      </c>
      <c r="K262">
        <v>7075.7</v>
      </c>
      <c r="L262">
        <f t="shared" si="60"/>
        <v>8.3387452780678991E-5</v>
      </c>
      <c r="M262" t="str">
        <f t="shared" si="54"/>
        <v>2011-01</v>
      </c>
      <c r="O262">
        <v>7141.5100199999997</v>
      </c>
      <c r="P262">
        <f t="shared" si="61"/>
        <v>-1.9688733859175912E-3</v>
      </c>
      <c r="Q262" t="str">
        <f t="shared" si="55"/>
        <v>2011-01</v>
      </c>
      <c r="S262">
        <v>10385.1</v>
      </c>
      <c r="T262">
        <f t="shared" si="62"/>
        <v>1.3779216764948912E-3</v>
      </c>
      <c r="U262" t="str">
        <f t="shared" si="56"/>
        <v>2011-01</v>
      </c>
      <c r="W262">
        <v>21460.09</v>
      </c>
      <c r="X262">
        <f t="shared" si="63"/>
        <v>7.1062410117063513E-3</v>
      </c>
      <c r="Y262">
        <f t="shared" si="64"/>
        <v>7.1315502580470043E-3</v>
      </c>
      <c r="Z262" t="str">
        <f t="shared" si="57"/>
        <v>2011-01</v>
      </c>
    </row>
    <row r="263" spans="1:26" x14ac:dyDescent="0.35">
      <c r="A263" s="1">
        <v>40560</v>
      </c>
      <c r="C263">
        <v>2910.63</v>
      </c>
      <c r="D263">
        <f t="shared" si="58"/>
        <v>-3.3510406026588326E-3</v>
      </c>
      <c r="E263" t="str">
        <f t="shared" si="52"/>
        <v>2011-01</v>
      </c>
      <c r="G263">
        <v>3975.41</v>
      </c>
      <c r="H263">
        <f t="shared" si="59"/>
        <v>-1.9777130570968735E-3</v>
      </c>
      <c r="I263" t="str">
        <f t="shared" si="53"/>
        <v>2011-01</v>
      </c>
      <c r="K263">
        <v>7078.06</v>
      </c>
      <c r="L263">
        <f t="shared" si="60"/>
        <v>3.3348029384014258E-4</v>
      </c>
      <c r="M263" t="str">
        <f t="shared" si="54"/>
        <v>2011-01</v>
      </c>
      <c r="O263">
        <v>7153.12536</v>
      </c>
      <c r="P263">
        <f t="shared" si="61"/>
        <v>1.625133100302699E-3</v>
      </c>
      <c r="Q263" t="str">
        <f t="shared" si="55"/>
        <v>2011-01</v>
      </c>
      <c r="S263">
        <v>10280</v>
      </c>
      <c r="T263">
        <f t="shared" si="62"/>
        <v>-1.0171826527685349E-2</v>
      </c>
      <c r="U263" t="str">
        <f t="shared" si="56"/>
        <v>2011-01</v>
      </c>
      <c r="W263">
        <v>21344.14</v>
      </c>
      <c r="X263">
        <f t="shared" si="63"/>
        <v>-5.4177021106882528E-3</v>
      </c>
      <c r="Y263">
        <f t="shared" si="64"/>
        <v>-5.4030528296945971E-3</v>
      </c>
      <c r="Z263" t="str">
        <f t="shared" si="57"/>
        <v>2011-01</v>
      </c>
    </row>
    <row r="264" spans="1:26" x14ac:dyDescent="0.35">
      <c r="A264" s="1">
        <v>40561</v>
      </c>
      <c r="C264">
        <v>2945.62</v>
      </c>
      <c r="D264">
        <f t="shared" si="58"/>
        <v>1.1949768664649727E-2</v>
      </c>
      <c r="E264" t="str">
        <f t="shared" si="52"/>
        <v>2011-01</v>
      </c>
      <c r="G264">
        <v>4012.68</v>
      </c>
      <c r="H264">
        <f t="shared" si="59"/>
        <v>9.3314598217078409E-3</v>
      </c>
      <c r="I264" t="str">
        <f t="shared" si="53"/>
        <v>2011-01</v>
      </c>
      <c r="K264">
        <v>7143.45</v>
      </c>
      <c r="L264">
        <f t="shared" si="60"/>
        <v>9.1959940702852957E-3</v>
      </c>
      <c r="M264" t="str">
        <f t="shared" si="54"/>
        <v>2011-01</v>
      </c>
      <c r="O264">
        <v>7235.0765600000004</v>
      </c>
      <c r="P264">
        <f t="shared" si="61"/>
        <v>1.1391567434585149E-2</v>
      </c>
      <c r="Q264" t="str">
        <f t="shared" si="55"/>
        <v>2011-01</v>
      </c>
      <c r="S264">
        <v>10583.4</v>
      </c>
      <c r="T264">
        <f t="shared" si="62"/>
        <v>2.9086475836330412E-2</v>
      </c>
      <c r="U264" t="str">
        <f t="shared" si="56"/>
        <v>2011-01</v>
      </c>
      <c r="W264">
        <v>21590.86</v>
      </c>
      <c r="X264">
        <f t="shared" si="63"/>
        <v>1.1492848057438535E-2</v>
      </c>
      <c r="Y264">
        <f t="shared" si="64"/>
        <v>1.1559144570828395E-2</v>
      </c>
      <c r="Z264" t="str">
        <f t="shared" si="57"/>
        <v>2011-01</v>
      </c>
    </row>
    <row r="265" spans="1:26" x14ac:dyDescent="0.35">
      <c r="A265" s="1">
        <v>40562</v>
      </c>
      <c r="C265">
        <v>2923.76</v>
      </c>
      <c r="D265">
        <f t="shared" si="58"/>
        <v>-7.4488620863111333E-3</v>
      </c>
      <c r="E265" t="str">
        <f t="shared" si="52"/>
        <v>2011-01</v>
      </c>
      <c r="G265">
        <v>3976.71</v>
      </c>
      <c r="H265">
        <f t="shared" si="59"/>
        <v>-9.0045029821277274E-3</v>
      </c>
      <c r="I265" t="str">
        <f t="shared" si="53"/>
        <v>2011-01</v>
      </c>
      <c r="K265">
        <v>7082.76</v>
      </c>
      <c r="L265">
        <f t="shared" si="60"/>
        <v>-8.5321906785915703E-3</v>
      </c>
      <c r="M265" t="str">
        <f t="shared" si="54"/>
        <v>2011-01</v>
      </c>
      <c r="O265">
        <v>7088.2420499999998</v>
      </c>
      <c r="P265">
        <f t="shared" si="61"/>
        <v>-2.0503579934959718E-2</v>
      </c>
      <c r="Q265" t="str">
        <f t="shared" si="55"/>
        <v>2011-01</v>
      </c>
      <c r="S265">
        <v>10556.5</v>
      </c>
      <c r="T265">
        <f t="shared" si="62"/>
        <v>-2.5449519173487063E-3</v>
      </c>
      <c r="U265" t="str">
        <f t="shared" si="56"/>
        <v>2011-01</v>
      </c>
      <c r="W265">
        <v>21712.14</v>
      </c>
      <c r="X265">
        <f t="shared" si="63"/>
        <v>5.6014741293576613E-3</v>
      </c>
      <c r="Y265">
        <f t="shared" si="64"/>
        <v>5.6171917190884863E-3</v>
      </c>
      <c r="Z265" t="str">
        <f t="shared" si="57"/>
        <v>2011-01</v>
      </c>
    </row>
    <row r="266" spans="1:26" x14ac:dyDescent="0.35">
      <c r="A266" s="1">
        <v>40563</v>
      </c>
      <c r="C266">
        <v>2927.42</v>
      </c>
      <c r="D266">
        <f t="shared" si="58"/>
        <v>1.2510298699913423E-3</v>
      </c>
      <c r="E266" t="str">
        <f t="shared" si="52"/>
        <v>2011-01</v>
      </c>
      <c r="G266">
        <v>3964.84</v>
      </c>
      <c r="H266">
        <f t="shared" si="59"/>
        <v>-2.9893430978491643E-3</v>
      </c>
      <c r="I266" t="str">
        <f t="shared" si="53"/>
        <v>2011-01</v>
      </c>
      <c r="K266">
        <v>7024.27</v>
      </c>
      <c r="L266">
        <f t="shared" si="60"/>
        <v>-8.2923670203647829E-3</v>
      </c>
      <c r="M266" t="str">
        <f t="shared" si="54"/>
        <v>2011-01</v>
      </c>
      <c r="O266">
        <v>6926.1291199999996</v>
      </c>
      <c r="P266">
        <f t="shared" si="61"/>
        <v>-2.3136273384352889E-2</v>
      </c>
      <c r="Q266" t="str">
        <f t="shared" si="55"/>
        <v>2011-01</v>
      </c>
      <c r="S266">
        <v>10636.9</v>
      </c>
      <c r="T266">
        <f t="shared" si="62"/>
        <v>7.5873041323962394E-3</v>
      </c>
      <c r="U266" t="str">
        <f t="shared" si="56"/>
        <v>2011-01</v>
      </c>
      <c r="W266">
        <v>21792.28</v>
      </c>
      <c r="X266">
        <f t="shared" si="63"/>
        <v>3.68422751750526E-3</v>
      </c>
      <c r="Y266">
        <f t="shared" si="64"/>
        <v>3.6910226260515738E-3</v>
      </c>
      <c r="Z266" t="str">
        <f t="shared" si="57"/>
        <v>2011-01</v>
      </c>
    </row>
    <row r="267" spans="1:26" x14ac:dyDescent="0.35">
      <c r="A267" s="1">
        <v>40564</v>
      </c>
      <c r="C267">
        <v>2970.56</v>
      </c>
      <c r="D267">
        <f t="shared" si="58"/>
        <v>1.4628998183966071E-2</v>
      </c>
      <c r="E267" t="str">
        <f t="shared" si="52"/>
        <v>2011-01</v>
      </c>
      <c r="G267">
        <v>4017.45</v>
      </c>
      <c r="H267">
        <f t="shared" si="59"/>
        <v>1.3181871818298385E-2</v>
      </c>
      <c r="I267" t="str">
        <f t="shared" si="53"/>
        <v>2011-01</v>
      </c>
      <c r="K267">
        <v>7062.42</v>
      </c>
      <c r="L267">
        <f t="shared" si="60"/>
        <v>5.4164737452080279E-3</v>
      </c>
      <c r="M267" t="str">
        <f t="shared" si="54"/>
        <v>2011-01</v>
      </c>
      <c r="O267">
        <v>6939.8033400000004</v>
      </c>
      <c r="P267">
        <f t="shared" si="61"/>
        <v>1.9723483396956046E-3</v>
      </c>
      <c r="Q267" t="str">
        <f t="shared" si="55"/>
        <v>2011-01</v>
      </c>
      <c r="S267">
        <v>10829.1</v>
      </c>
      <c r="T267">
        <f t="shared" si="62"/>
        <v>1.7907866988224098E-2</v>
      </c>
      <c r="U267" t="str">
        <f t="shared" si="56"/>
        <v>2011-01</v>
      </c>
      <c r="W267">
        <v>22093.85</v>
      </c>
      <c r="X267">
        <f t="shared" si="63"/>
        <v>1.374351061711274E-2</v>
      </c>
      <c r="Y267">
        <f t="shared" si="64"/>
        <v>1.3838386804868501E-2</v>
      </c>
      <c r="Z267" t="str">
        <f t="shared" si="57"/>
        <v>2011-01</v>
      </c>
    </row>
    <row r="268" spans="1:26" x14ac:dyDescent="0.35">
      <c r="A268" s="1">
        <v>40567</v>
      </c>
      <c r="C268">
        <v>2979.06</v>
      </c>
      <c r="D268">
        <f t="shared" si="58"/>
        <v>2.8573272857959167E-3</v>
      </c>
      <c r="E268" t="str">
        <f t="shared" si="52"/>
        <v>2011-01</v>
      </c>
      <c r="G268">
        <v>4033.21</v>
      </c>
      <c r="H268">
        <f t="shared" si="59"/>
        <v>3.9152119532883467E-3</v>
      </c>
      <c r="I268" t="str">
        <f t="shared" si="53"/>
        <v>2011-01</v>
      </c>
      <c r="K268">
        <v>7067.77</v>
      </c>
      <c r="L268">
        <f t="shared" si="60"/>
        <v>7.572439232097748E-4</v>
      </c>
      <c r="M268" t="str">
        <f t="shared" si="54"/>
        <v>2011-01</v>
      </c>
      <c r="O268">
        <v>6968.1859700000005</v>
      </c>
      <c r="P268">
        <f t="shared" si="61"/>
        <v>4.0814914030390973E-3</v>
      </c>
      <c r="Q268" t="str">
        <f t="shared" si="55"/>
        <v>2011-01</v>
      </c>
      <c r="S268">
        <v>10815.4</v>
      </c>
      <c r="T268">
        <f t="shared" si="62"/>
        <v>-1.2659106774982132E-3</v>
      </c>
      <c r="U268" t="str">
        <f t="shared" si="56"/>
        <v>2011-01</v>
      </c>
      <c r="W268">
        <v>22156.85</v>
      </c>
      <c r="X268">
        <f t="shared" si="63"/>
        <v>2.8474145071506521E-3</v>
      </c>
      <c r="Y268">
        <f t="shared" si="64"/>
        <v>2.8514722422755654E-3</v>
      </c>
      <c r="Z268" t="str">
        <f t="shared" si="57"/>
        <v>2011-01</v>
      </c>
    </row>
    <row r="269" spans="1:26" x14ac:dyDescent="0.35">
      <c r="A269" s="1">
        <v>40568</v>
      </c>
      <c r="C269">
        <v>2957.78</v>
      </c>
      <c r="D269">
        <f t="shared" si="58"/>
        <v>-7.1688275699617375E-3</v>
      </c>
      <c r="E269" t="str">
        <f t="shared" si="52"/>
        <v>2011-01</v>
      </c>
      <c r="G269">
        <v>4019.62</v>
      </c>
      <c r="H269">
        <f t="shared" si="59"/>
        <v>-3.3752141549039474E-3</v>
      </c>
      <c r="I269" t="str">
        <f t="shared" si="53"/>
        <v>2011-01</v>
      </c>
      <c r="K269">
        <v>7059.01</v>
      </c>
      <c r="L269">
        <f t="shared" si="60"/>
        <v>-1.2401978544022529E-3</v>
      </c>
      <c r="M269" t="str">
        <f t="shared" si="54"/>
        <v>2011-01</v>
      </c>
      <c r="O269">
        <v>6860.7609899999998</v>
      </c>
      <c r="P269">
        <f t="shared" si="61"/>
        <v>-1.5536561272222605E-2</v>
      </c>
      <c r="Q269" t="str">
        <f t="shared" si="55"/>
        <v>2011-01</v>
      </c>
      <c r="S269">
        <v>10664.4</v>
      </c>
      <c r="T269">
        <f t="shared" si="62"/>
        <v>-1.4059952838829977E-2</v>
      </c>
      <c r="U269" t="str">
        <f t="shared" si="56"/>
        <v>2011-01</v>
      </c>
      <c r="W269">
        <v>21940.13</v>
      </c>
      <c r="X269">
        <f t="shared" si="63"/>
        <v>-9.8293236804423978E-3</v>
      </c>
      <c r="Y269">
        <f t="shared" si="64"/>
        <v>-9.7811737679317032E-3</v>
      </c>
      <c r="Z269" t="str">
        <f t="shared" si="57"/>
        <v>2011-01</v>
      </c>
    </row>
    <row r="270" spans="1:26" x14ac:dyDescent="0.35">
      <c r="A270" s="1">
        <v>40569</v>
      </c>
      <c r="C270">
        <v>2967.78</v>
      </c>
      <c r="D270">
        <f t="shared" si="58"/>
        <v>3.3752116233321228E-3</v>
      </c>
      <c r="E270" t="str">
        <f t="shared" si="52"/>
        <v>2011-01</v>
      </c>
      <c r="G270">
        <v>4049.07</v>
      </c>
      <c r="H270">
        <f t="shared" si="59"/>
        <v>7.2998543201452121E-3</v>
      </c>
      <c r="I270" t="str">
        <f t="shared" si="53"/>
        <v>2011-01</v>
      </c>
      <c r="K270">
        <v>7127.35</v>
      </c>
      <c r="L270">
        <f t="shared" si="60"/>
        <v>9.6346812923714942E-3</v>
      </c>
      <c r="M270" t="str">
        <f t="shared" si="54"/>
        <v>2011-01</v>
      </c>
      <c r="O270">
        <v>6925.4701999999997</v>
      </c>
      <c r="P270">
        <f t="shared" si="61"/>
        <v>9.3875816131106637E-3</v>
      </c>
      <c r="Q270" t="str">
        <f t="shared" si="55"/>
        <v>2011-01</v>
      </c>
      <c r="S270">
        <v>10670.7</v>
      </c>
      <c r="T270">
        <f t="shared" si="62"/>
        <v>5.9057611008247622E-4</v>
      </c>
      <c r="U270" t="str">
        <f t="shared" si="56"/>
        <v>2011-01</v>
      </c>
      <c r="W270">
        <v>22007</v>
      </c>
      <c r="X270">
        <f t="shared" si="63"/>
        <v>3.0432044871842546E-3</v>
      </c>
      <c r="Y270">
        <f t="shared" si="64"/>
        <v>3.0478397347690729E-3</v>
      </c>
      <c r="Z270" t="str">
        <f t="shared" si="57"/>
        <v>2011-01</v>
      </c>
    </row>
    <row r="271" spans="1:26" x14ac:dyDescent="0.35">
      <c r="A271" s="1">
        <v>40570</v>
      </c>
      <c r="C271">
        <v>2989.75</v>
      </c>
      <c r="D271">
        <f t="shared" si="58"/>
        <v>7.3755732981826529E-3</v>
      </c>
      <c r="E271" t="str">
        <f t="shared" si="52"/>
        <v>2011-01</v>
      </c>
      <c r="G271">
        <v>4059.57</v>
      </c>
      <c r="H271">
        <f t="shared" si="59"/>
        <v>2.5898315546930401E-3</v>
      </c>
      <c r="I271" t="str">
        <f t="shared" si="53"/>
        <v>2011-01</v>
      </c>
      <c r="K271">
        <v>7155.58</v>
      </c>
      <c r="L271">
        <f t="shared" si="60"/>
        <v>3.9529755813677873E-3</v>
      </c>
      <c r="M271" t="str">
        <f t="shared" si="54"/>
        <v>2011-01</v>
      </c>
      <c r="O271">
        <v>6927.1896800000004</v>
      </c>
      <c r="P271">
        <f t="shared" si="61"/>
        <v>2.4825268558185325E-4</v>
      </c>
      <c r="Q271" t="str">
        <f t="shared" si="55"/>
        <v>2011-01</v>
      </c>
      <c r="S271">
        <v>10828.7</v>
      </c>
      <c r="T271">
        <f t="shared" si="62"/>
        <v>1.4698349213073359E-2</v>
      </c>
      <c r="U271" t="str">
        <f t="shared" si="56"/>
        <v>2011-01</v>
      </c>
      <c r="W271">
        <v>22311.52</v>
      </c>
      <c r="X271">
        <f t="shared" si="63"/>
        <v>1.3742552439252159E-2</v>
      </c>
      <c r="Y271">
        <f t="shared" si="64"/>
        <v>1.3837415367837527E-2</v>
      </c>
      <c r="Z271" t="str">
        <f t="shared" si="57"/>
        <v>2011-01</v>
      </c>
    </row>
    <row r="272" spans="1:26" x14ac:dyDescent="0.35">
      <c r="A272" s="1">
        <v>40571</v>
      </c>
      <c r="C272">
        <v>2954.13</v>
      </c>
      <c r="D272">
        <f t="shared" si="58"/>
        <v>-1.1985580601344014E-2</v>
      </c>
      <c r="E272" t="str">
        <f t="shared" si="52"/>
        <v>2011-01</v>
      </c>
      <c r="G272">
        <v>4002.32</v>
      </c>
      <c r="H272">
        <f t="shared" si="59"/>
        <v>-1.4202863689691411E-2</v>
      </c>
      <c r="I272" t="str">
        <f t="shared" si="53"/>
        <v>2011-01</v>
      </c>
      <c r="K272">
        <v>7102.8</v>
      </c>
      <c r="L272">
        <f t="shared" si="60"/>
        <v>-7.4033994147792393E-3</v>
      </c>
      <c r="M272" t="str">
        <f t="shared" si="54"/>
        <v>2011-01</v>
      </c>
      <c r="O272">
        <v>6845.2527899999995</v>
      </c>
      <c r="P272">
        <f t="shared" si="61"/>
        <v>-1.1898812706148473E-2</v>
      </c>
      <c r="Q272" t="str">
        <f t="shared" si="55"/>
        <v>2011-01</v>
      </c>
      <c r="S272">
        <v>10747</v>
      </c>
      <c r="T272">
        <f t="shared" si="62"/>
        <v>-7.5733710144323526E-3</v>
      </c>
      <c r="U272" t="str">
        <f t="shared" si="56"/>
        <v>2011-01</v>
      </c>
      <c r="W272">
        <v>22025.11</v>
      </c>
      <c r="X272">
        <f t="shared" si="63"/>
        <v>-1.2919970872247387E-2</v>
      </c>
      <c r="Y272">
        <f t="shared" si="64"/>
        <v>-1.2836866336314149E-2</v>
      </c>
      <c r="Z272" t="str">
        <f t="shared" si="57"/>
        <v>2011-01</v>
      </c>
    </row>
    <row r="273" spans="1:26" x14ac:dyDescent="0.35">
      <c r="A273" s="1">
        <v>40574</v>
      </c>
      <c r="C273">
        <v>2953.63</v>
      </c>
      <c r="D273">
        <f t="shared" si="58"/>
        <v>-1.6926889419804678E-4</v>
      </c>
      <c r="E273" t="str">
        <f t="shared" si="52"/>
        <v>2011-01</v>
      </c>
      <c r="G273">
        <v>4005.5</v>
      </c>
      <c r="H273">
        <f t="shared" si="59"/>
        <v>7.9422368813479713E-4</v>
      </c>
      <c r="I273" t="str">
        <f t="shared" si="53"/>
        <v>2011-01</v>
      </c>
      <c r="K273">
        <v>7077.48</v>
      </c>
      <c r="L273">
        <f t="shared" si="60"/>
        <v>-3.5711603592056274E-3</v>
      </c>
      <c r="M273" t="str">
        <f t="shared" si="54"/>
        <v>2011-01</v>
      </c>
      <c r="O273">
        <v>6862.8544199999997</v>
      </c>
      <c r="P273">
        <f t="shared" si="61"/>
        <v>2.5680627389085657E-3</v>
      </c>
      <c r="Q273" t="str">
        <f t="shared" si="55"/>
        <v>2011-01</v>
      </c>
      <c r="S273">
        <v>10806</v>
      </c>
      <c r="T273">
        <f t="shared" si="62"/>
        <v>5.4748895628576998E-3</v>
      </c>
      <c r="U273" t="str">
        <f t="shared" si="56"/>
        <v>2011-01</v>
      </c>
      <c r="W273">
        <v>22050.45</v>
      </c>
      <c r="X273">
        <f t="shared" si="63"/>
        <v>1.1498437134739774E-3</v>
      </c>
      <c r="Y273">
        <f t="shared" si="64"/>
        <v>1.150505037205269E-3</v>
      </c>
      <c r="Z273" t="str">
        <f t="shared" si="57"/>
        <v>2011-01</v>
      </c>
    </row>
    <row r="274" spans="1:26" x14ac:dyDescent="0.35">
      <c r="A274" s="1">
        <v>40575</v>
      </c>
      <c r="C274">
        <v>3006.81</v>
      </c>
      <c r="D274">
        <f t="shared" si="58"/>
        <v>1.7844793739273619E-2</v>
      </c>
      <c r="E274" t="str">
        <f t="shared" si="52"/>
        <v>2011-02</v>
      </c>
      <c r="G274">
        <v>4072.62</v>
      </c>
      <c r="H274">
        <f t="shared" si="59"/>
        <v>1.6618110316935029E-2</v>
      </c>
      <c r="I274" t="str">
        <f t="shared" si="53"/>
        <v>2011-02</v>
      </c>
      <c r="K274">
        <v>7184.27</v>
      </c>
      <c r="L274">
        <f t="shared" si="60"/>
        <v>1.4976001669249653E-2</v>
      </c>
      <c r="M274" t="str">
        <f t="shared" si="54"/>
        <v>2011-02</v>
      </c>
      <c r="O274">
        <v>6955.6029200000003</v>
      </c>
      <c r="P274">
        <f t="shared" si="61"/>
        <v>1.3424058927628263E-2</v>
      </c>
      <c r="Q274" t="str">
        <f t="shared" si="55"/>
        <v>2011-02</v>
      </c>
      <c r="S274">
        <v>10967.9</v>
      </c>
      <c r="T274">
        <f t="shared" si="62"/>
        <v>1.487128936404423E-2</v>
      </c>
      <c r="U274" t="str">
        <f t="shared" si="56"/>
        <v>2011-02</v>
      </c>
      <c r="W274">
        <v>22525.59</v>
      </c>
      <c r="X274">
        <f t="shared" si="63"/>
        <v>2.1318986422248241E-2</v>
      </c>
      <c r="Y274">
        <f t="shared" si="64"/>
        <v>2.1547859567491792E-2</v>
      </c>
      <c r="Z274" t="str">
        <f t="shared" si="57"/>
        <v>2011-02</v>
      </c>
    </row>
    <row r="275" spans="1:26" x14ac:dyDescent="0.35">
      <c r="A275" s="1">
        <v>40576</v>
      </c>
      <c r="C275">
        <v>3012.7</v>
      </c>
      <c r="D275">
        <f t="shared" si="58"/>
        <v>1.9569705440345784E-3</v>
      </c>
      <c r="E275" t="str">
        <f t="shared" si="52"/>
        <v>2011-02</v>
      </c>
      <c r="G275">
        <v>4066.53</v>
      </c>
      <c r="H275">
        <f t="shared" si="59"/>
        <v>-1.4964710409583744E-3</v>
      </c>
      <c r="I275" t="str">
        <f t="shared" si="53"/>
        <v>2011-02</v>
      </c>
      <c r="K275">
        <v>7183.67</v>
      </c>
      <c r="L275">
        <f t="shared" si="60"/>
        <v>-8.3519279778338962E-5</v>
      </c>
      <c r="M275" t="str">
        <f t="shared" si="54"/>
        <v>2011-02</v>
      </c>
      <c r="O275">
        <v>7036.2004500000003</v>
      </c>
      <c r="P275">
        <f t="shared" si="61"/>
        <v>1.1520805336597613E-2</v>
      </c>
      <c r="Q275" t="str">
        <f t="shared" si="55"/>
        <v>2011-02</v>
      </c>
      <c r="S275">
        <v>11010.2</v>
      </c>
      <c r="T275">
        <f t="shared" si="62"/>
        <v>3.8492910879522795E-3</v>
      </c>
      <c r="U275" t="str">
        <f t="shared" si="56"/>
        <v>2011-02</v>
      </c>
      <c r="W275">
        <v>22653.59</v>
      </c>
      <c r="X275">
        <f t="shared" si="63"/>
        <v>5.6663419955426102E-3</v>
      </c>
      <c r="Y275">
        <f t="shared" si="64"/>
        <v>5.6824260762981128E-3</v>
      </c>
      <c r="Z275" t="str">
        <f t="shared" si="57"/>
        <v>2011-02</v>
      </c>
    </row>
    <row r="276" spans="1:26" x14ac:dyDescent="0.35">
      <c r="A276" s="1">
        <v>40577</v>
      </c>
      <c r="C276">
        <v>2995.49</v>
      </c>
      <c r="D276">
        <f t="shared" si="58"/>
        <v>-5.7288624591201867E-3</v>
      </c>
      <c r="E276" t="str">
        <f t="shared" si="52"/>
        <v>2011-02</v>
      </c>
      <c r="G276">
        <v>4036.59</v>
      </c>
      <c r="H276">
        <f t="shared" si="59"/>
        <v>-7.3897798006065524E-3</v>
      </c>
      <c r="I276" t="str">
        <f t="shared" si="53"/>
        <v>2011-02</v>
      </c>
      <c r="K276">
        <v>7193.68</v>
      </c>
      <c r="L276">
        <f t="shared" si="60"/>
        <v>1.3924682389204806E-3</v>
      </c>
      <c r="M276" t="str">
        <f t="shared" si="54"/>
        <v>2011-02</v>
      </c>
      <c r="O276">
        <v>7080.1468500000001</v>
      </c>
      <c r="P276">
        <f t="shared" si="61"/>
        <v>6.22633334803921E-3</v>
      </c>
      <c r="Q276" t="str">
        <f t="shared" si="55"/>
        <v>2011-02</v>
      </c>
      <c r="S276">
        <v>10860.7</v>
      </c>
      <c r="T276">
        <f t="shared" si="62"/>
        <v>-1.3671346723410908E-2</v>
      </c>
      <c r="U276" t="str">
        <f t="shared" si="56"/>
        <v>2011-02</v>
      </c>
      <c r="W276">
        <v>22443.86</v>
      </c>
      <c r="X276">
        <f t="shared" si="63"/>
        <v>-9.3012581436787162E-3</v>
      </c>
      <c r="Y276">
        <f t="shared" si="64"/>
        <v>-9.258135244788997E-3</v>
      </c>
      <c r="Z276" t="str">
        <f t="shared" si="57"/>
        <v>2011-02</v>
      </c>
    </row>
    <row r="277" spans="1:26" x14ac:dyDescent="0.35">
      <c r="A277" s="1">
        <v>40578</v>
      </c>
      <c r="C277">
        <v>3003.19</v>
      </c>
      <c r="D277">
        <f t="shared" si="58"/>
        <v>2.567232867571725E-3</v>
      </c>
      <c r="E277" t="str">
        <f t="shared" si="52"/>
        <v>2011-02</v>
      </c>
      <c r="G277">
        <v>4047.21</v>
      </c>
      <c r="H277">
        <f t="shared" si="59"/>
        <v>2.6274786881725094E-3</v>
      </c>
      <c r="I277" t="str">
        <f t="shared" si="53"/>
        <v>2011-02</v>
      </c>
      <c r="K277">
        <v>7216.21</v>
      </c>
      <c r="L277">
        <f t="shared" si="60"/>
        <v>3.1270215607041136E-3</v>
      </c>
      <c r="M277" t="str">
        <f t="shared" si="54"/>
        <v>2011-02</v>
      </c>
      <c r="O277">
        <v>7108.0877099999998</v>
      </c>
      <c r="P277">
        <f t="shared" si="61"/>
        <v>3.9386008176553232E-3</v>
      </c>
      <c r="Q277" t="str">
        <f t="shared" si="55"/>
        <v>2011-02</v>
      </c>
      <c r="S277">
        <v>10854.7</v>
      </c>
      <c r="T277">
        <f t="shared" si="62"/>
        <v>-5.5260323573920792E-4</v>
      </c>
      <c r="U277" t="str">
        <f t="shared" si="56"/>
        <v>2011-02</v>
      </c>
      <c r="W277">
        <v>22618.05</v>
      </c>
      <c r="X277">
        <f t="shared" si="63"/>
        <v>7.7311799534058815E-3</v>
      </c>
      <c r="Y277">
        <f t="shared" si="64"/>
        <v>7.7611426911413052E-3</v>
      </c>
      <c r="Z277" t="str">
        <f t="shared" si="57"/>
        <v>2011-02</v>
      </c>
    </row>
    <row r="278" spans="1:26" x14ac:dyDescent="0.35">
      <c r="A278" s="1">
        <v>40581</v>
      </c>
      <c r="C278">
        <v>3031.18</v>
      </c>
      <c r="D278">
        <f t="shared" si="58"/>
        <v>9.2769255905113084E-3</v>
      </c>
      <c r="E278" t="str">
        <f t="shared" si="52"/>
        <v>2011-02</v>
      </c>
      <c r="G278">
        <v>4090.8</v>
      </c>
      <c r="H278">
        <f t="shared" si="59"/>
        <v>1.0712795113143605E-2</v>
      </c>
      <c r="I278" t="str">
        <f t="shared" si="53"/>
        <v>2011-02</v>
      </c>
      <c r="K278">
        <v>7283.62</v>
      </c>
      <c r="L278">
        <f t="shared" si="60"/>
        <v>9.2981070342351996E-3</v>
      </c>
      <c r="M278" t="str">
        <f t="shared" si="54"/>
        <v>2011-02</v>
      </c>
      <c r="O278">
        <v>7190.2891900000004</v>
      </c>
      <c r="P278">
        <f t="shared" si="61"/>
        <v>1.1498142230974824E-2</v>
      </c>
      <c r="Q278" t="str">
        <f t="shared" si="55"/>
        <v>2011-02</v>
      </c>
      <c r="S278">
        <v>10922.6</v>
      </c>
      <c r="T278">
        <f t="shared" si="62"/>
        <v>6.2358712999610591E-3</v>
      </c>
      <c r="U278" t="str">
        <f t="shared" si="56"/>
        <v>2011-02</v>
      </c>
      <c r="W278">
        <v>22793.01</v>
      </c>
      <c r="X278">
        <f t="shared" si="63"/>
        <v>7.705649932699129E-3</v>
      </c>
      <c r="Y278">
        <f t="shared" si="64"/>
        <v>7.7354148567183789E-3</v>
      </c>
      <c r="Z278" t="str">
        <f t="shared" si="57"/>
        <v>2011-02</v>
      </c>
    </row>
    <row r="279" spans="1:26" x14ac:dyDescent="0.35">
      <c r="A279" s="1">
        <v>40582</v>
      </c>
      <c r="C279">
        <v>3042.5</v>
      </c>
      <c r="D279">
        <f t="shared" si="58"/>
        <v>3.7275632260364883E-3</v>
      </c>
      <c r="E279" t="str">
        <f t="shared" si="52"/>
        <v>2011-02</v>
      </c>
      <c r="G279">
        <v>4108.2700000000004</v>
      </c>
      <c r="H279">
        <f t="shared" si="59"/>
        <v>4.2614653705975005E-3</v>
      </c>
      <c r="I279" t="str">
        <f t="shared" si="53"/>
        <v>2011-02</v>
      </c>
      <c r="K279">
        <v>7323.24</v>
      </c>
      <c r="L279">
        <f t="shared" si="60"/>
        <v>5.4248616287290224E-3</v>
      </c>
      <c r="M279" t="str">
        <f t="shared" si="54"/>
        <v>2011-02</v>
      </c>
      <c r="O279">
        <v>7176.31333</v>
      </c>
      <c r="P279">
        <f t="shared" si="61"/>
        <v>-1.9456046604202555E-3</v>
      </c>
      <c r="Q279" t="str">
        <f t="shared" si="55"/>
        <v>2011-02</v>
      </c>
      <c r="S279">
        <v>10965.1</v>
      </c>
      <c r="T279">
        <f t="shared" si="62"/>
        <v>3.8834645406244923E-3</v>
      </c>
      <c r="U279" t="str">
        <f t="shared" si="56"/>
        <v>2011-02</v>
      </c>
      <c r="W279">
        <v>22734.17</v>
      </c>
      <c r="X279">
        <f t="shared" si="63"/>
        <v>-2.5848309849583972E-3</v>
      </c>
      <c r="Y279">
        <f t="shared" si="64"/>
        <v>-2.5814931858495279E-3</v>
      </c>
      <c r="Z279" t="str">
        <f t="shared" si="57"/>
        <v>2011-02</v>
      </c>
    </row>
    <row r="280" spans="1:26" x14ac:dyDescent="0.35">
      <c r="A280" s="1">
        <v>40583</v>
      </c>
      <c r="C280">
        <v>3031.62</v>
      </c>
      <c r="D280">
        <f t="shared" si="58"/>
        <v>-3.5824157691609813E-3</v>
      </c>
      <c r="E280" t="str">
        <f t="shared" si="52"/>
        <v>2011-02</v>
      </c>
      <c r="G280">
        <v>4090.74</v>
      </c>
      <c r="H280">
        <f t="shared" si="59"/>
        <v>-4.2761325359481949E-3</v>
      </c>
      <c r="I280" t="str">
        <f t="shared" si="53"/>
        <v>2011-02</v>
      </c>
      <c r="K280">
        <v>7320.9</v>
      </c>
      <c r="L280">
        <f t="shared" si="60"/>
        <v>-3.1958176033776203E-4</v>
      </c>
      <c r="M280" t="str">
        <f t="shared" si="54"/>
        <v>2011-02</v>
      </c>
      <c r="O280">
        <v>7106.9928099999997</v>
      </c>
      <c r="P280">
        <f t="shared" si="61"/>
        <v>-9.7065852385399953E-3</v>
      </c>
      <c r="Q280" t="str">
        <f t="shared" si="55"/>
        <v>2011-02</v>
      </c>
      <c r="S280">
        <v>10935.6</v>
      </c>
      <c r="T280">
        <f t="shared" si="62"/>
        <v>-2.6939794473613684E-3</v>
      </c>
      <c r="U280" t="str">
        <f t="shared" si="56"/>
        <v>2011-02</v>
      </c>
      <c r="W280">
        <v>22683.46</v>
      </c>
      <c r="X280">
        <f t="shared" si="63"/>
        <v>-2.2330544800444638E-3</v>
      </c>
      <c r="Y280">
        <f t="shared" si="64"/>
        <v>-2.2305630687198667E-3</v>
      </c>
      <c r="Z280" t="str">
        <f t="shared" si="57"/>
        <v>2011-02</v>
      </c>
    </row>
    <row r="281" spans="1:26" x14ac:dyDescent="0.35">
      <c r="A281" s="1">
        <v>40584</v>
      </c>
      <c r="C281">
        <v>3025.68</v>
      </c>
      <c r="D281">
        <f t="shared" si="58"/>
        <v>-1.9612705013976389E-3</v>
      </c>
      <c r="E281" t="str">
        <f t="shared" si="52"/>
        <v>2011-02</v>
      </c>
      <c r="G281">
        <v>4095.14</v>
      </c>
      <c r="H281">
        <f t="shared" si="59"/>
        <v>1.0750219704532455E-3</v>
      </c>
      <c r="I281" t="str">
        <f t="shared" si="53"/>
        <v>2011-02</v>
      </c>
      <c r="K281">
        <v>7340.28</v>
      </c>
      <c r="L281">
        <f t="shared" si="60"/>
        <v>2.6437178027454095E-3</v>
      </c>
      <c r="M281" t="str">
        <f t="shared" si="54"/>
        <v>2011-02</v>
      </c>
      <c r="O281">
        <v>7121.4252999999999</v>
      </c>
      <c r="P281">
        <f t="shared" si="61"/>
        <v>2.0286858086744301E-3</v>
      </c>
      <c r="Q281" t="str">
        <f t="shared" si="55"/>
        <v>2011-02</v>
      </c>
      <c r="S281">
        <v>10791.9</v>
      </c>
      <c r="T281">
        <f t="shared" si="62"/>
        <v>-1.3227669568474647E-2</v>
      </c>
      <c r="U281" t="str">
        <f t="shared" si="56"/>
        <v>2011-02</v>
      </c>
      <c r="W281">
        <v>22596.79</v>
      </c>
      <c r="X281">
        <f t="shared" si="63"/>
        <v>-3.8281637510631478E-3</v>
      </c>
      <c r="Y281">
        <f t="shared" si="64"/>
        <v>-3.8208456734553837E-3</v>
      </c>
      <c r="Z281" t="str">
        <f t="shared" si="57"/>
        <v>2011-02</v>
      </c>
    </row>
    <row r="282" spans="1:26" x14ac:dyDescent="0.35">
      <c r="A282" s="1">
        <v>40585</v>
      </c>
      <c r="C282">
        <v>3024.37</v>
      </c>
      <c r="D282">
        <f t="shared" si="58"/>
        <v>-4.3305427904652942E-4</v>
      </c>
      <c r="E282" t="str">
        <f t="shared" si="52"/>
        <v>2011-02</v>
      </c>
      <c r="G282">
        <v>4101.3100000000004</v>
      </c>
      <c r="H282">
        <f t="shared" si="59"/>
        <v>1.5055301174096097E-3</v>
      </c>
      <c r="I282" t="str">
        <f t="shared" si="53"/>
        <v>2011-02</v>
      </c>
      <c r="K282">
        <v>7371.2</v>
      </c>
      <c r="L282">
        <f t="shared" si="60"/>
        <v>4.2035261617103846E-3</v>
      </c>
      <c r="M282" t="str">
        <f t="shared" si="54"/>
        <v>2011-02</v>
      </c>
      <c r="O282">
        <v>7177.1893600000003</v>
      </c>
      <c r="P282">
        <f t="shared" si="61"/>
        <v>7.7999644087082673E-3</v>
      </c>
      <c r="Q282" t="str">
        <f t="shared" si="55"/>
        <v>2011-02</v>
      </c>
      <c r="S282">
        <v>10803.6</v>
      </c>
      <c r="T282">
        <f t="shared" si="62"/>
        <v>1.0835591808244914E-3</v>
      </c>
      <c r="U282" t="str">
        <f t="shared" si="56"/>
        <v>2011-02</v>
      </c>
      <c r="W282">
        <v>22695.19</v>
      </c>
      <c r="X282">
        <f t="shared" si="63"/>
        <v>4.3451469694381828E-3</v>
      </c>
      <c r="Y282">
        <f t="shared" si="64"/>
        <v>4.3546008083448053E-3</v>
      </c>
      <c r="Z282" t="str">
        <f t="shared" si="57"/>
        <v>2011-02</v>
      </c>
    </row>
    <row r="283" spans="1:26" x14ac:dyDescent="0.35">
      <c r="A283" s="1">
        <v>40588</v>
      </c>
      <c r="C283">
        <v>3018.38</v>
      </c>
      <c r="D283">
        <f t="shared" si="58"/>
        <v>-1.9825417109627665E-3</v>
      </c>
      <c r="E283" t="str">
        <f t="shared" si="52"/>
        <v>2011-02</v>
      </c>
      <c r="G283">
        <v>4096.62</v>
      </c>
      <c r="H283">
        <f t="shared" si="59"/>
        <v>-1.1441914023831528E-3</v>
      </c>
      <c r="I283" t="str">
        <f t="shared" si="53"/>
        <v>2011-02</v>
      </c>
      <c r="K283">
        <v>7396.63</v>
      </c>
      <c r="L283">
        <f t="shared" si="60"/>
        <v>3.4439758766679311E-3</v>
      </c>
      <c r="M283" t="str">
        <f t="shared" si="54"/>
        <v>2011-02</v>
      </c>
      <c r="O283">
        <v>7197.9284799999996</v>
      </c>
      <c r="P283">
        <f t="shared" si="61"/>
        <v>2.885421131113858E-3</v>
      </c>
      <c r="Q283" t="str">
        <f t="shared" si="55"/>
        <v>2011-02</v>
      </c>
      <c r="S283">
        <v>10774.7</v>
      </c>
      <c r="T283">
        <f t="shared" si="62"/>
        <v>-2.6786185454631033E-3</v>
      </c>
      <c r="U283" t="str">
        <f t="shared" si="56"/>
        <v>2011-02</v>
      </c>
      <c r="W283">
        <v>22637.29</v>
      </c>
      <c r="X283">
        <f t="shared" si="63"/>
        <v>-2.5544612377011774E-3</v>
      </c>
      <c r="Y283">
        <f t="shared" si="64"/>
        <v>-2.5512013779130211E-3</v>
      </c>
      <c r="Z283" t="str">
        <f t="shared" si="57"/>
        <v>2011-02</v>
      </c>
    </row>
    <row r="284" spans="1:26" x14ac:dyDescent="0.35">
      <c r="A284" s="1">
        <v>40589</v>
      </c>
      <c r="C284">
        <v>3030.46</v>
      </c>
      <c r="D284">
        <f t="shared" si="58"/>
        <v>3.9941595610602596E-3</v>
      </c>
      <c r="E284" t="str">
        <f t="shared" si="52"/>
        <v>2011-02</v>
      </c>
      <c r="G284">
        <v>4110.34</v>
      </c>
      <c r="H284">
        <f t="shared" si="59"/>
        <v>3.3435066775916581E-3</v>
      </c>
      <c r="I284" t="str">
        <f t="shared" si="53"/>
        <v>2011-02</v>
      </c>
      <c r="K284">
        <v>7400.04</v>
      </c>
      <c r="L284">
        <f t="shared" si="60"/>
        <v>4.6091452473676233E-4</v>
      </c>
      <c r="M284" t="str">
        <f t="shared" si="54"/>
        <v>2011-02</v>
      </c>
      <c r="O284">
        <v>7208.9469900000004</v>
      </c>
      <c r="P284">
        <f t="shared" si="61"/>
        <v>1.5296185729249232E-3</v>
      </c>
      <c r="Q284" t="str">
        <f t="shared" si="55"/>
        <v>2011-02</v>
      </c>
      <c r="S284">
        <v>10826.2</v>
      </c>
      <c r="T284">
        <f t="shared" si="62"/>
        <v>4.7683288732800026E-3</v>
      </c>
      <c r="U284" t="str">
        <f t="shared" si="56"/>
        <v>2011-02</v>
      </c>
      <c r="W284">
        <v>22823.82</v>
      </c>
      <c r="X284">
        <f t="shared" si="63"/>
        <v>8.2061809210047729E-3</v>
      </c>
      <c r="Y284">
        <f t="shared" si="64"/>
        <v>8.2399439155481438E-3</v>
      </c>
      <c r="Z284" t="str">
        <f t="shared" si="57"/>
        <v>2011-02</v>
      </c>
    </row>
    <row r="285" spans="1:26" x14ac:dyDescent="0.35">
      <c r="A285" s="1">
        <v>40590</v>
      </c>
      <c r="C285">
        <v>3061.92</v>
      </c>
      <c r="D285">
        <f t="shared" si="58"/>
        <v>1.0327746999580356E-2</v>
      </c>
      <c r="E285" t="str">
        <f t="shared" si="52"/>
        <v>2011-02</v>
      </c>
      <c r="G285">
        <v>4151.26</v>
      </c>
      <c r="H285">
        <f t="shared" si="59"/>
        <v>9.906152471454455E-3</v>
      </c>
      <c r="I285" t="str">
        <f t="shared" si="53"/>
        <v>2011-02</v>
      </c>
      <c r="K285">
        <v>7414.3</v>
      </c>
      <c r="L285">
        <f t="shared" si="60"/>
        <v>1.9251622960266954E-3</v>
      </c>
      <c r="M285" t="str">
        <f t="shared" si="54"/>
        <v>2011-02</v>
      </c>
      <c r="O285">
        <v>7215.3658999999998</v>
      </c>
      <c r="P285">
        <f t="shared" si="61"/>
        <v>8.9001264360579087E-4</v>
      </c>
      <c r="Q285" t="str">
        <f t="shared" si="55"/>
        <v>2011-02</v>
      </c>
      <c r="S285">
        <v>11047.8</v>
      </c>
      <c r="T285">
        <f t="shared" si="62"/>
        <v>2.0262190870980905E-2</v>
      </c>
      <c r="U285" t="str">
        <f t="shared" si="56"/>
        <v>2011-02</v>
      </c>
      <c r="W285">
        <v>23167.58</v>
      </c>
      <c r="X285">
        <f t="shared" si="63"/>
        <v>1.4949160141175328E-2</v>
      </c>
      <c r="Y285">
        <f t="shared" si="64"/>
        <v>1.5061457722677538E-2</v>
      </c>
      <c r="Z285" t="str">
        <f t="shared" si="57"/>
        <v>2011-02</v>
      </c>
    </row>
    <row r="286" spans="1:26" x14ac:dyDescent="0.35">
      <c r="A286" s="1">
        <v>40591</v>
      </c>
      <c r="C286">
        <v>3064.54</v>
      </c>
      <c r="D286">
        <f t="shared" si="58"/>
        <v>8.5530637912312136E-4</v>
      </c>
      <c r="E286" t="str">
        <f t="shared" si="52"/>
        <v>2011-02</v>
      </c>
      <c r="G286">
        <v>4152.3100000000004</v>
      </c>
      <c r="H286">
        <f t="shared" si="59"/>
        <v>2.5290327066481544E-4</v>
      </c>
      <c r="I286" t="str">
        <f t="shared" si="53"/>
        <v>2011-02</v>
      </c>
      <c r="K286">
        <v>7405.51</v>
      </c>
      <c r="L286">
        <f t="shared" si="60"/>
        <v>-1.1862501652539984E-3</v>
      </c>
      <c r="M286" t="str">
        <f t="shared" si="54"/>
        <v>2011-02</v>
      </c>
      <c r="O286">
        <v>7238.2235000000001</v>
      </c>
      <c r="P286">
        <f t="shared" si="61"/>
        <v>3.1628986299388068E-3</v>
      </c>
      <c r="Q286" t="str">
        <f t="shared" si="55"/>
        <v>2011-02</v>
      </c>
      <c r="S286">
        <v>11113</v>
      </c>
      <c r="T286">
        <f t="shared" si="62"/>
        <v>5.884281084417204E-3</v>
      </c>
      <c r="U286" t="str">
        <f t="shared" si="56"/>
        <v>2011-02</v>
      </c>
      <c r="W286">
        <v>23178.38</v>
      </c>
      <c r="X286">
        <f t="shared" si="63"/>
        <v>4.6606004905247347E-4</v>
      </c>
      <c r="Y286">
        <f t="shared" si="64"/>
        <v>4.6616867191132057E-4</v>
      </c>
      <c r="Z286" t="str">
        <f t="shared" si="57"/>
        <v>2011-02</v>
      </c>
    </row>
    <row r="287" spans="1:26" x14ac:dyDescent="0.35">
      <c r="A287" s="1">
        <v>40592</v>
      </c>
      <c r="C287">
        <v>3068</v>
      </c>
      <c r="D287">
        <f t="shared" si="58"/>
        <v>1.1284069462688612E-3</v>
      </c>
      <c r="E287" t="str">
        <f t="shared" si="52"/>
        <v>2011-02</v>
      </c>
      <c r="G287">
        <v>4157.1400000000003</v>
      </c>
      <c r="H287">
        <f t="shared" si="59"/>
        <v>1.1625319471133193E-3</v>
      </c>
      <c r="I287" t="str">
        <f t="shared" si="53"/>
        <v>2011-02</v>
      </c>
      <c r="K287">
        <v>7426.81</v>
      </c>
      <c r="L287">
        <f t="shared" si="60"/>
        <v>2.8721082935082307E-3</v>
      </c>
      <c r="M287" t="str">
        <f t="shared" si="54"/>
        <v>2011-02</v>
      </c>
      <c r="O287">
        <v>7223.4949999999999</v>
      </c>
      <c r="P287">
        <f t="shared" si="61"/>
        <v>-2.0368955587553059E-3</v>
      </c>
      <c r="Q287" t="str">
        <f t="shared" si="55"/>
        <v>2011-02</v>
      </c>
      <c r="S287">
        <v>11068.1</v>
      </c>
      <c r="T287">
        <f t="shared" si="62"/>
        <v>-4.0484972636284523E-3</v>
      </c>
      <c r="U287" t="str">
        <f t="shared" si="56"/>
        <v>2011-02</v>
      </c>
      <c r="W287">
        <v>23059.03</v>
      </c>
      <c r="X287">
        <f t="shared" si="63"/>
        <v>-5.1624978592057285E-3</v>
      </c>
      <c r="Y287">
        <f t="shared" si="64"/>
        <v>-5.1491950688530505E-3</v>
      </c>
      <c r="Z287" t="str">
        <f t="shared" si="57"/>
        <v>2011-02</v>
      </c>
    </row>
    <row r="288" spans="1:26" x14ac:dyDescent="0.35">
      <c r="A288" s="1">
        <v>40595</v>
      </c>
      <c r="C288">
        <v>3012.34</v>
      </c>
      <c r="D288">
        <f t="shared" si="58"/>
        <v>-1.830869813192532E-2</v>
      </c>
      <c r="E288" t="str">
        <f t="shared" si="52"/>
        <v>2011-02</v>
      </c>
      <c r="G288">
        <v>4097.41</v>
      </c>
      <c r="H288">
        <f t="shared" si="59"/>
        <v>-1.4472271054620674E-2</v>
      </c>
      <c r="I288" t="str">
        <f t="shared" si="53"/>
        <v>2011-02</v>
      </c>
      <c r="K288">
        <v>7321.81</v>
      </c>
      <c r="L288">
        <f t="shared" si="60"/>
        <v>-1.4238860858052205E-2</v>
      </c>
      <c r="M288" t="str">
        <f t="shared" si="54"/>
        <v>2011-02</v>
      </c>
      <c r="O288">
        <v>7131.3882299999996</v>
      </c>
      <c r="P288">
        <f t="shared" si="61"/>
        <v>-1.2832989662933321E-2</v>
      </c>
      <c r="Q288" t="str">
        <f t="shared" si="55"/>
        <v>2011-02</v>
      </c>
      <c r="S288">
        <v>10810.5</v>
      </c>
      <c r="T288">
        <f t="shared" si="62"/>
        <v>-2.3549212889412564E-2</v>
      </c>
      <c r="U288" t="str">
        <f t="shared" si="56"/>
        <v>2011-02</v>
      </c>
      <c r="W288">
        <v>22230.2</v>
      </c>
      <c r="X288">
        <f t="shared" si="63"/>
        <v>-3.6605724989055545E-2</v>
      </c>
      <c r="Y288">
        <f t="shared" si="64"/>
        <v>-3.5943836319220636E-2</v>
      </c>
      <c r="Z288" t="str">
        <f t="shared" si="57"/>
        <v>2011-02</v>
      </c>
    </row>
    <row r="289" spans="1:26" x14ac:dyDescent="0.35">
      <c r="A289" s="1">
        <v>40596</v>
      </c>
      <c r="C289">
        <v>2983.33</v>
      </c>
      <c r="D289">
        <f t="shared" si="58"/>
        <v>-9.6770590734900734E-3</v>
      </c>
      <c r="E289" t="str">
        <f t="shared" si="52"/>
        <v>2011-02</v>
      </c>
      <c r="G289">
        <v>4050.27</v>
      </c>
      <c r="H289">
        <f t="shared" si="59"/>
        <v>-1.1571521219062436E-2</v>
      </c>
      <c r="I289" t="str">
        <f t="shared" si="53"/>
        <v>2011-02</v>
      </c>
      <c r="K289">
        <v>7318.35</v>
      </c>
      <c r="L289">
        <f t="shared" si="60"/>
        <v>-4.7267243860980412E-4</v>
      </c>
      <c r="M289" t="str">
        <f t="shared" si="54"/>
        <v>2011-02</v>
      </c>
      <c r="O289">
        <v>7081.6914699999998</v>
      </c>
      <c r="P289">
        <f t="shared" si="61"/>
        <v>-6.9931307751960421E-3</v>
      </c>
      <c r="Q289" t="str">
        <f t="shared" si="55"/>
        <v>2011-02</v>
      </c>
      <c r="S289">
        <v>10701.9</v>
      </c>
      <c r="T289">
        <f t="shared" si="62"/>
        <v>-1.0096588252852911E-2</v>
      </c>
      <c r="U289" t="str">
        <f t="shared" si="56"/>
        <v>2011-02</v>
      </c>
      <c r="W289">
        <v>21993.96</v>
      </c>
      <c r="X289">
        <f t="shared" si="63"/>
        <v>-1.06838545774683E-2</v>
      </c>
      <c r="Y289">
        <f t="shared" si="64"/>
        <v>-1.0626984912416515E-2</v>
      </c>
      <c r="Z289" t="str">
        <f t="shared" si="57"/>
        <v>2011-02</v>
      </c>
    </row>
    <row r="290" spans="1:26" x14ac:dyDescent="0.35">
      <c r="A290" s="1">
        <v>40597</v>
      </c>
      <c r="C290">
        <v>2954.92</v>
      </c>
      <c r="D290">
        <f t="shared" si="58"/>
        <v>-9.5685485660437723E-3</v>
      </c>
      <c r="E290" t="str">
        <f t="shared" si="52"/>
        <v>2011-02</v>
      </c>
      <c r="G290">
        <v>4013.12</v>
      </c>
      <c r="H290">
        <f t="shared" si="59"/>
        <v>-9.2145519094431628E-3</v>
      </c>
      <c r="I290" t="str">
        <f t="shared" si="53"/>
        <v>2011-02</v>
      </c>
      <c r="K290">
        <v>7194.6</v>
      </c>
      <c r="L290">
        <f t="shared" si="60"/>
        <v>-1.7054148097233691E-2</v>
      </c>
      <c r="M290" t="str">
        <f t="shared" si="54"/>
        <v>2011-02</v>
      </c>
      <c r="O290">
        <v>6981.3339999999998</v>
      </c>
      <c r="P290">
        <f t="shared" si="61"/>
        <v>-1.4272771371528832E-2</v>
      </c>
      <c r="Q290" t="str">
        <f t="shared" si="55"/>
        <v>2011-02</v>
      </c>
      <c r="S290">
        <v>10633.4</v>
      </c>
      <c r="T290">
        <f t="shared" si="62"/>
        <v>-6.4213051021035786E-3</v>
      </c>
      <c r="U290" t="str">
        <f t="shared" si="56"/>
        <v>2011-02</v>
      </c>
      <c r="W290">
        <v>21929.79</v>
      </c>
      <c r="X290">
        <f t="shared" si="63"/>
        <v>-2.9218837487128744E-3</v>
      </c>
      <c r="Y290">
        <f t="shared" si="64"/>
        <v>-2.9176192009078062E-3</v>
      </c>
      <c r="Z290" t="str">
        <f t="shared" si="57"/>
        <v>2011-02</v>
      </c>
    </row>
    <row r="291" spans="1:26" x14ac:dyDescent="0.35">
      <c r="A291" s="1">
        <v>40598</v>
      </c>
      <c r="C291">
        <v>2949.13</v>
      </c>
      <c r="D291">
        <f t="shared" si="58"/>
        <v>-1.9613661321150012E-3</v>
      </c>
      <c r="E291" t="str">
        <f t="shared" si="52"/>
        <v>2011-02</v>
      </c>
      <c r="G291">
        <v>4009.64</v>
      </c>
      <c r="H291">
        <f t="shared" si="59"/>
        <v>-8.6753192623415659E-4</v>
      </c>
      <c r="I291" t="str">
        <f t="shared" si="53"/>
        <v>2011-02</v>
      </c>
      <c r="K291">
        <v>7130.5</v>
      </c>
      <c r="L291">
        <f t="shared" si="60"/>
        <v>-8.9493864366208924E-3</v>
      </c>
      <c r="M291" t="str">
        <f t="shared" si="54"/>
        <v>2011-02</v>
      </c>
      <c r="O291">
        <v>6922.7407300000004</v>
      </c>
      <c r="P291">
        <f t="shared" si="61"/>
        <v>-8.4282655248005892E-3</v>
      </c>
      <c r="Q291" t="str">
        <f t="shared" si="55"/>
        <v>2011-02</v>
      </c>
      <c r="S291">
        <v>10647.6</v>
      </c>
      <c r="T291">
        <f t="shared" si="62"/>
        <v>1.3345239516436092E-3</v>
      </c>
      <c r="U291" t="str">
        <f t="shared" si="56"/>
        <v>2011-02</v>
      </c>
      <c r="W291">
        <v>21948.73</v>
      </c>
      <c r="X291">
        <f t="shared" si="63"/>
        <v>8.632926168105899E-4</v>
      </c>
      <c r="Y291">
        <f t="shared" si="64"/>
        <v>8.6366536113654938E-4</v>
      </c>
      <c r="Z291" t="str">
        <f t="shared" si="57"/>
        <v>2011-02</v>
      </c>
    </row>
    <row r="292" spans="1:26" x14ac:dyDescent="0.35">
      <c r="A292" s="1">
        <v>40599</v>
      </c>
      <c r="C292">
        <v>2985.02</v>
      </c>
      <c r="D292">
        <f t="shared" si="58"/>
        <v>1.2096235388187875E-2</v>
      </c>
      <c r="E292" t="str">
        <f t="shared" si="52"/>
        <v>2011-02</v>
      </c>
      <c r="G292">
        <v>4070.38</v>
      </c>
      <c r="H292">
        <f t="shared" si="59"/>
        <v>1.5034899462213763E-2</v>
      </c>
      <c r="I292" t="str">
        <f t="shared" si="53"/>
        <v>2011-02</v>
      </c>
      <c r="K292">
        <v>7185.17</v>
      </c>
      <c r="L292">
        <f t="shared" si="60"/>
        <v>7.6378214600193346E-3</v>
      </c>
      <c r="M292" t="str">
        <f t="shared" si="54"/>
        <v>2011-02</v>
      </c>
      <c r="O292">
        <v>7021.3167700000004</v>
      </c>
      <c r="P292">
        <f t="shared" si="61"/>
        <v>1.4139024054604862E-2</v>
      </c>
      <c r="Q292" t="str">
        <f t="shared" si="55"/>
        <v>2011-02</v>
      </c>
      <c r="S292">
        <v>10822.7</v>
      </c>
      <c r="T292">
        <f t="shared" si="62"/>
        <v>1.6311265534569932E-2</v>
      </c>
      <c r="U292" t="str">
        <f t="shared" si="56"/>
        <v>2011-02</v>
      </c>
      <c r="W292">
        <v>22349.71</v>
      </c>
      <c r="X292">
        <f t="shared" si="63"/>
        <v>1.8104066506532221E-2</v>
      </c>
      <c r="Y292">
        <f t="shared" si="64"/>
        <v>1.8268938567288385E-2</v>
      </c>
      <c r="Z292" t="str">
        <f t="shared" si="57"/>
        <v>2011-02</v>
      </c>
    </row>
    <row r="293" spans="1:26" x14ac:dyDescent="0.35">
      <c r="A293" s="1">
        <v>40602</v>
      </c>
      <c r="C293">
        <v>3013.09</v>
      </c>
      <c r="D293">
        <f t="shared" si="58"/>
        <v>9.3596832733271757E-3</v>
      </c>
      <c r="E293" t="str">
        <f t="shared" si="52"/>
        <v>2011-02</v>
      </c>
      <c r="G293">
        <v>4110.3500000000004</v>
      </c>
      <c r="H293">
        <f t="shared" si="59"/>
        <v>9.7718218437180676E-3</v>
      </c>
      <c r="I293" t="str">
        <f t="shared" si="53"/>
        <v>2011-02</v>
      </c>
      <c r="K293">
        <v>7272.32</v>
      </c>
      <c r="L293">
        <f t="shared" si="60"/>
        <v>1.2056180652748568E-2</v>
      </c>
      <c r="M293" t="str">
        <f t="shared" si="54"/>
        <v>2011-02</v>
      </c>
      <c r="O293">
        <v>7062.2580099999996</v>
      </c>
      <c r="P293">
        <f t="shared" si="61"/>
        <v>5.8140572927593715E-3</v>
      </c>
      <c r="Q293" t="str">
        <f t="shared" si="55"/>
        <v>2011-02</v>
      </c>
      <c r="S293">
        <v>10850.8</v>
      </c>
      <c r="T293">
        <f t="shared" si="62"/>
        <v>2.5930298055140068E-3</v>
      </c>
      <c r="U293" t="str">
        <f t="shared" si="56"/>
        <v>2011-02</v>
      </c>
      <c r="W293">
        <v>22466.57</v>
      </c>
      <c r="X293">
        <f t="shared" si="63"/>
        <v>5.2150809863741078E-3</v>
      </c>
      <c r="Y293">
        <f t="shared" si="64"/>
        <v>5.2287031912271161E-3</v>
      </c>
      <c r="Z293" t="str">
        <f t="shared" si="57"/>
        <v>2011-02</v>
      </c>
    </row>
    <row r="294" spans="1:26" x14ac:dyDescent="0.35">
      <c r="A294" s="1">
        <v>40603</v>
      </c>
      <c r="C294">
        <v>2983.27</v>
      </c>
      <c r="D294">
        <f t="shared" si="58"/>
        <v>-9.9461159199151512E-3</v>
      </c>
      <c r="E294" t="str">
        <f t="shared" si="52"/>
        <v>2011-03</v>
      </c>
      <c r="G294">
        <v>4067.15</v>
      </c>
      <c r="H294">
        <f t="shared" si="59"/>
        <v>-1.0565674565521694E-2</v>
      </c>
      <c r="I294" t="str">
        <f t="shared" si="53"/>
        <v>2011-03</v>
      </c>
      <c r="K294">
        <v>7223.3</v>
      </c>
      <c r="L294">
        <f t="shared" si="60"/>
        <v>-6.7634481126076021E-3</v>
      </c>
      <c r="M294" t="str">
        <f t="shared" si="54"/>
        <v>2011-03</v>
      </c>
      <c r="O294">
        <v>6997.7902199999999</v>
      </c>
      <c r="P294">
        <f t="shared" si="61"/>
        <v>-9.1704154548878855E-3</v>
      </c>
      <c r="Q294" t="str">
        <f t="shared" si="55"/>
        <v>2011-03</v>
      </c>
      <c r="S294">
        <v>10761.9</v>
      </c>
      <c r="T294">
        <f t="shared" si="62"/>
        <v>-8.2266909163503463E-3</v>
      </c>
      <c r="U294" t="str">
        <f t="shared" si="56"/>
        <v>2011-03</v>
      </c>
      <c r="W294">
        <v>22227.23</v>
      </c>
      <c r="X294">
        <f t="shared" si="63"/>
        <v>-1.071031274595198E-2</v>
      </c>
      <c r="Y294">
        <f t="shared" si="64"/>
        <v>-1.065316156404828E-2</v>
      </c>
      <c r="Z294" t="str">
        <f t="shared" si="57"/>
        <v>2011-03</v>
      </c>
    </row>
    <row r="295" spans="1:26" x14ac:dyDescent="0.35">
      <c r="A295" s="1">
        <v>40604</v>
      </c>
      <c r="C295">
        <v>2958.8</v>
      </c>
      <c r="D295">
        <f t="shared" si="58"/>
        <v>-8.2362336114599286E-3</v>
      </c>
      <c r="E295" t="str">
        <f t="shared" si="52"/>
        <v>2011-03</v>
      </c>
      <c r="G295">
        <v>4034.32</v>
      </c>
      <c r="H295">
        <f t="shared" si="59"/>
        <v>-8.1047463505389897E-3</v>
      </c>
      <c r="I295" t="str">
        <f t="shared" si="53"/>
        <v>2011-03</v>
      </c>
      <c r="K295">
        <v>7181.12</v>
      </c>
      <c r="L295">
        <f t="shared" si="60"/>
        <v>-5.8565524417702975E-3</v>
      </c>
      <c r="M295" t="str">
        <f t="shared" si="54"/>
        <v>2011-03</v>
      </c>
      <c r="O295">
        <v>6964.3403699999999</v>
      </c>
      <c r="P295">
        <f t="shared" si="61"/>
        <v>-4.7915200021008105E-3</v>
      </c>
      <c r="Q295" t="str">
        <f t="shared" si="55"/>
        <v>2011-03</v>
      </c>
      <c r="S295">
        <v>10643.8</v>
      </c>
      <c r="T295">
        <f t="shared" si="62"/>
        <v>-1.1034556060577386E-2</v>
      </c>
      <c r="U295" t="str">
        <f t="shared" si="56"/>
        <v>2011-03</v>
      </c>
      <c r="W295">
        <v>22238.75</v>
      </c>
      <c r="X295">
        <f t="shared" si="63"/>
        <v>5.181489425281694E-4</v>
      </c>
      <c r="Y295">
        <f t="shared" si="64"/>
        <v>5.182832048798E-4</v>
      </c>
      <c r="Z295" t="str">
        <f t="shared" si="57"/>
        <v>2011-03</v>
      </c>
    </row>
    <row r="296" spans="1:26" x14ac:dyDescent="0.35">
      <c r="A296" s="1">
        <v>40605</v>
      </c>
      <c r="C296">
        <v>2969.24</v>
      </c>
      <c r="D296">
        <f t="shared" si="58"/>
        <v>3.5222470811306435E-3</v>
      </c>
      <c r="E296" t="str">
        <f t="shared" si="52"/>
        <v>2011-03</v>
      </c>
      <c r="G296">
        <v>4060.76</v>
      </c>
      <c r="H296">
        <f t="shared" si="59"/>
        <v>6.5323860964248285E-3</v>
      </c>
      <c r="I296" t="str">
        <f t="shared" si="53"/>
        <v>2011-03</v>
      </c>
      <c r="K296">
        <v>7225.96</v>
      </c>
      <c r="L296">
        <f t="shared" si="60"/>
        <v>6.2247373910407884E-3</v>
      </c>
      <c r="M296" t="str">
        <f t="shared" si="54"/>
        <v>2011-03</v>
      </c>
      <c r="O296">
        <v>7006.5128699999996</v>
      </c>
      <c r="P296">
        <f t="shared" si="61"/>
        <v>6.0372301344682215E-3</v>
      </c>
      <c r="Q296" t="str">
        <f t="shared" si="55"/>
        <v>2011-03</v>
      </c>
      <c r="S296">
        <v>10566.9</v>
      </c>
      <c r="T296">
        <f t="shared" si="62"/>
        <v>-7.2510890200630099E-3</v>
      </c>
      <c r="U296" t="str">
        <f t="shared" si="56"/>
        <v>2011-03</v>
      </c>
      <c r="W296">
        <v>22154.23</v>
      </c>
      <c r="X296">
        <f t="shared" si="63"/>
        <v>-3.8078138536502912E-3</v>
      </c>
      <c r="Y296">
        <f t="shared" si="64"/>
        <v>-3.800573323590599E-3</v>
      </c>
      <c r="Z296" t="str">
        <f t="shared" si="57"/>
        <v>2011-03</v>
      </c>
    </row>
    <row r="297" spans="1:26" x14ac:dyDescent="0.35">
      <c r="A297" s="1">
        <v>40606</v>
      </c>
      <c r="C297">
        <v>2949.18</v>
      </c>
      <c r="D297">
        <f t="shared" si="58"/>
        <v>-6.7788622024100428E-3</v>
      </c>
      <c r="E297" t="str">
        <f t="shared" si="52"/>
        <v>2011-03</v>
      </c>
      <c r="G297">
        <v>4020.21</v>
      </c>
      <c r="H297">
        <f t="shared" si="59"/>
        <v>-1.0036008141108528E-2</v>
      </c>
      <c r="I297" t="str">
        <f t="shared" si="53"/>
        <v>2011-03</v>
      </c>
      <c r="K297">
        <v>7178.9</v>
      </c>
      <c r="L297">
        <f t="shared" si="60"/>
        <v>-6.5339291634320812E-3</v>
      </c>
      <c r="M297" t="str">
        <f t="shared" si="54"/>
        <v>2011-03</v>
      </c>
      <c r="O297">
        <v>6962.85869</v>
      </c>
      <c r="P297">
        <f t="shared" si="61"/>
        <v>-6.2500051510680638E-3</v>
      </c>
      <c r="Q297" t="str">
        <f t="shared" si="55"/>
        <v>2011-03</v>
      </c>
      <c r="S297">
        <v>10498.7</v>
      </c>
      <c r="T297">
        <f t="shared" si="62"/>
        <v>-6.4750340156120006E-3</v>
      </c>
      <c r="U297" t="str">
        <f t="shared" si="56"/>
        <v>2011-03</v>
      </c>
      <c r="W297">
        <v>22138.44</v>
      </c>
      <c r="X297">
        <f t="shared" si="63"/>
        <v>-7.1298481978630151E-4</v>
      </c>
      <c r="Y297">
        <f t="shared" si="64"/>
        <v>-7.1273070650620105E-4</v>
      </c>
      <c r="Z297" t="str">
        <f t="shared" si="57"/>
        <v>2011-03</v>
      </c>
    </row>
    <row r="298" spans="1:26" x14ac:dyDescent="0.35">
      <c r="A298" s="1">
        <v>40609</v>
      </c>
      <c r="C298">
        <v>2931.42</v>
      </c>
      <c r="D298">
        <f t="shared" si="58"/>
        <v>-6.0402183439236794E-3</v>
      </c>
      <c r="E298" t="str">
        <f t="shared" si="52"/>
        <v>2011-03</v>
      </c>
      <c r="G298">
        <v>3990.41</v>
      </c>
      <c r="H298">
        <f t="shared" si="59"/>
        <v>-7.4401575576260879E-3</v>
      </c>
      <c r="I298" t="str">
        <f t="shared" si="53"/>
        <v>2011-03</v>
      </c>
      <c r="K298">
        <v>7161.93</v>
      </c>
      <c r="L298">
        <f t="shared" si="60"/>
        <v>-2.3666702584058878E-3</v>
      </c>
      <c r="M298" t="str">
        <f t="shared" si="54"/>
        <v>2011-03</v>
      </c>
      <c r="O298">
        <v>6927.3431399999999</v>
      </c>
      <c r="P298">
        <f t="shared" si="61"/>
        <v>-5.1137669316473388E-3</v>
      </c>
      <c r="Q298" t="str">
        <f t="shared" si="55"/>
        <v>2011-03</v>
      </c>
      <c r="S298">
        <v>10495.7</v>
      </c>
      <c r="T298">
        <f t="shared" si="62"/>
        <v>-2.8579049845850777E-4</v>
      </c>
      <c r="U298" t="str">
        <f t="shared" si="56"/>
        <v>2011-03</v>
      </c>
      <c r="W298">
        <v>22145.79</v>
      </c>
      <c r="X298">
        <f t="shared" si="63"/>
        <v>3.319466124844591E-4</v>
      </c>
      <c r="Y298">
        <f t="shared" si="64"/>
        <v>3.3200171285791518E-4</v>
      </c>
      <c r="Z298" t="str">
        <f t="shared" si="57"/>
        <v>2011-03</v>
      </c>
    </row>
    <row r="299" spans="1:26" x14ac:dyDescent="0.35">
      <c r="A299" s="1">
        <v>40610</v>
      </c>
      <c r="C299">
        <v>2945.42</v>
      </c>
      <c r="D299">
        <f t="shared" si="58"/>
        <v>4.7644742697008635E-3</v>
      </c>
      <c r="E299" t="str">
        <f t="shared" si="52"/>
        <v>2011-03</v>
      </c>
      <c r="G299">
        <v>4015.91</v>
      </c>
      <c r="H299">
        <f t="shared" si="59"/>
        <v>6.3699892648716207E-3</v>
      </c>
      <c r="I299" t="str">
        <f t="shared" si="53"/>
        <v>2011-03</v>
      </c>
      <c r="K299">
        <v>7164.75</v>
      </c>
      <c r="L299">
        <f t="shared" si="60"/>
        <v>3.9367111381275209E-4</v>
      </c>
      <c r="M299" t="str">
        <f t="shared" si="54"/>
        <v>2011-03</v>
      </c>
      <c r="O299">
        <v>6940.0523300000004</v>
      </c>
      <c r="P299">
        <f t="shared" si="61"/>
        <v>1.8329604266060218E-3</v>
      </c>
      <c r="Q299" t="str">
        <f t="shared" si="55"/>
        <v>2011-03</v>
      </c>
      <c r="S299">
        <v>10568.7</v>
      </c>
      <c r="T299">
        <f t="shared" si="62"/>
        <v>6.9311532489398755E-3</v>
      </c>
      <c r="U299" t="str">
        <f t="shared" si="56"/>
        <v>2011-03</v>
      </c>
      <c r="W299">
        <v>22353.45</v>
      </c>
      <c r="X299">
        <f t="shared" si="63"/>
        <v>9.3332608571371975E-3</v>
      </c>
      <c r="Y299">
        <f t="shared" si="64"/>
        <v>9.3769515560293785E-3</v>
      </c>
      <c r="Z299" t="str">
        <f t="shared" si="57"/>
        <v>2011-03</v>
      </c>
    </row>
    <row r="300" spans="1:26" x14ac:dyDescent="0.35">
      <c r="A300" s="1">
        <v>40611</v>
      </c>
      <c r="C300">
        <v>2935.11</v>
      </c>
      <c r="D300">
        <f t="shared" si="58"/>
        <v>-3.5064902530415657E-3</v>
      </c>
      <c r="E300" t="str">
        <f t="shared" si="52"/>
        <v>2011-03</v>
      </c>
      <c r="G300">
        <v>3993.81</v>
      </c>
      <c r="H300">
        <f t="shared" si="59"/>
        <v>-5.5183092747114488E-3</v>
      </c>
      <c r="I300" t="str">
        <f t="shared" si="53"/>
        <v>2011-03</v>
      </c>
      <c r="K300">
        <v>7131.8</v>
      </c>
      <c r="L300">
        <f t="shared" si="60"/>
        <v>-4.609511853187807E-3</v>
      </c>
      <c r="M300" t="str">
        <f t="shared" si="54"/>
        <v>2011-03</v>
      </c>
      <c r="O300">
        <v>6918.4494999999997</v>
      </c>
      <c r="P300">
        <f t="shared" si="61"/>
        <v>-3.1176310055171406E-3</v>
      </c>
      <c r="Q300" t="str">
        <f t="shared" si="55"/>
        <v>2011-03</v>
      </c>
      <c r="S300">
        <v>10559.5</v>
      </c>
      <c r="T300">
        <f t="shared" si="62"/>
        <v>-8.7087405282587204E-4</v>
      </c>
      <c r="U300" t="str">
        <f t="shared" si="56"/>
        <v>2011-03</v>
      </c>
      <c r="W300">
        <v>22441.24</v>
      </c>
      <c r="X300">
        <f t="shared" si="63"/>
        <v>3.91966603179255E-3</v>
      </c>
      <c r="Y300">
        <f t="shared" si="64"/>
        <v>3.9273579693515264E-3</v>
      </c>
      <c r="Z300" t="str">
        <f t="shared" si="57"/>
        <v>2011-03</v>
      </c>
    </row>
    <row r="301" spans="1:26" x14ac:dyDescent="0.35">
      <c r="A301" s="1">
        <v>40612</v>
      </c>
      <c r="C301">
        <v>2909.73</v>
      </c>
      <c r="D301">
        <f t="shared" si="58"/>
        <v>-8.6846379094409655E-3</v>
      </c>
      <c r="E301" t="str">
        <f t="shared" si="52"/>
        <v>2011-03</v>
      </c>
      <c r="G301">
        <v>3963.99</v>
      </c>
      <c r="H301">
        <f t="shared" si="59"/>
        <v>-7.4945687448146016E-3</v>
      </c>
      <c r="I301" t="str">
        <f t="shared" si="53"/>
        <v>2011-03</v>
      </c>
      <c r="K301">
        <v>7063.09</v>
      </c>
      <c r="L301">
        <f t="shared" si="60"/>
        <v>-9.6810241765910732E-3</v>
      </c>
      <c r="M301" t="str">
        <f t="shared" si="54"/>
        <v>2011-03</v>
      </c>
      <c r="O301">
        <v>6793.1405699999996</v>
      </c>
      <c r="P301">
        <f t="shared" si="61"/>
        <v>-1.8278320474716395E-2</v>
      </c>
      <c r="Q301" t="str">
        <f t="shared" si="55"/>
        <v>2011-03</v>
      </c>
      <c r="S301">
        <v>10435.6</v>
      </c>
      <c r="T301">
        <f t="shared" si="62"/>
        <v>-1.180289099401243E-2</v>
      </c>
      <c r="U301" t="str">
        <f t="shared" si="56"/>
        <v>2011-03</v>
      </c>
      <c r="W301">
        <v>22084.46</v>
      </c>
      <c r="X301">
        <f t="shared" si="63"/>
        <v>-1.6026143830097744E-2</v>
      </c>
      <c r="Y301">
        <f t="shared" si="64"/>
        <v>-1.5898408465842461E-2</v>
      </c>
      <c r="Z301" t="str">
        <f t="shared" si="57"/>
        <v>2011-03</v>
      </c>
    </row>
    <row r="302" spans="1:26" x14ac:dyDescent="0.35">
      <c r="A302" s="1">
        <v>40613</v>
      </c>
      <c r="C302">
        <v>2883.84</v>
      </c>
      <c r="D302">
        <f t="shared" si="58"/>
        <v>-8.9375539919576367E-3</v>
      </c>
      <c r="E302" t="str">
        <f t="shared" si="52"/>
        <v>2011-03</v>
      </c>
      <c r="G302">
        <v>3928.68</v>
      </c>
      <c r="H302">
        <f t="shared" si="59"/>
        <v>-8.9476021612490634E-3</v>
      </c>
      <c r="I302" t="str">
        <f t="shared" si="53"/>
        <v>2011-03</v>
      </c>
      <c r="K302">
        <v>6981.49</v>
      </c>
      <c r="L302">
        <f t="shared" si="60"/>
        <v>-1.1620271764168359E-2</v>
      </c>
      <c r="M302" t="str">
        <f t="shared" si="54"/>
        <v>2011-03</v>
      </c>
      <c r="O302">
        <v>6744.6758600000003</v>
      </c>
      <c r="P302">
        <f t="shared" si="61"/>
        <v>-7.1599311889244902E-3</v>
      </c>
      <c r="Q302" t="str">
        <f t="shared" si="55"/>
        <v>2011-03</v>
      </c>
      <c r="S302">
        <v>10398.4</v>
      </c>
      <c r="T302">
        <f t="shared" si="62"/>
        <v>-3.5710895203323375E-3</v>
      </c>
      <c r="U302" t="str">
        <f t="shared" si="56"/>
        <v>2011-03</v>
      </c>
      <c r="W302">
        <v>21863.02</v>
      </c>
      <c r="X302">
        <f t="shared" si="63"/>
        <v>-1.0077568682855441E-2</v>
      </c>
      <c r="Y302">
        <f t="shared" si="64"/>
        <v>-1.0026960133958389E-2</v>
      </c>
      <c r="Z302" t="str">
        <f t="shared" si="57"/>
        <v>2011-03</v>
      </c>
    </row>
    <row r="303" spans="1:26" x14ac:dyDescent="0.35">
      <c r="A303" s="1">
        <v>40616</v>
      </c>
      <c r="C303">
        <v>2852.11</v>
      </c>
      <c r="D303">
        <f t="shared" si="58"/>
        <v>-1.1063668148399923E-2</v>
      </c>
      <c r="E303" t="str">
        <f t="shared" si="52"/>
        <v>2011-03</v>
      </c>
      <c r="G303">
        <v>3878.04</v>
      </c>
      <c r="H303">
        <f t="shared" si="59"/>
        <v>-1.2973620236554195E-2</v>
      </c>
      <c r="I303" t="str">
        <f t="shared" si="53"/>
        <v>2011-03</v>
      </c>
      <c r="K303">
        <v>6866.63</v>
      </c>
      <c r="L303">
        <f t="shared" si="60"/>
        <v>-1.658891373479952E-2</v>
      </c>
      <c r="M303" t="str">
        <f t="shared" si="54"/>
        <v>2011-03</v>
      </c>
      <c r="O303">
        <v>6676.4086100000004</v>
      </c>
      <c r="P303">
        <f t="shared" si="61"/>
        <v>-1.0173222428495424E-2</v>
      </c>
      <c r="Q303" t="str">
        <f t="shared" si="55"/>
        <v>2011-03</v>
      </c>
      <c r="S303">
        <v>10415.9</v>
      </c>
      <c r="T303">
        <f t="shared" si="62"/>
        <v>1.6815366477406367E-3</v>
      </c>
      <c r="U303" t="str">
        <f t="shared" si="56"/>
        <v>2011-03</v>
      </c>
      <c r="W303">
        <v>21804.32</v>
      </c>
      <c r="X303">
        <f t="shared" si="63"/>
        <v>-2.6885097813321088E-3</v>
      </c>
      <c r="Y303">
        <f t="shared" si="64"/>
        <v>-2.6848989755304037E-3</v>
      </c>
      <c r="Z303" t="str">
        <f t="shared" si="57"/>
        <v>2011-03</v>
      </c>
    </row>
    <row r="304" spans="1:26" x14ac:dyDescent="0.35">
      <c r="A304" s="1">
        <v>40617</v>
      </c>
      <c r="C304">
        <v>2784.2</v>
      </c>
      <c r="D304">
        <f t="shared" si="58"/>
        <v>-2.4098492260903614E-2</v>
      </c>
      <c r="E304" t="str">
        <f t="shared" si="52"/>
        <v>2011-03</v>
      </c>
      <c r="G304">
        <v>3780.85</v>
      </c>
      <c r="H304">
        <f t="shared" si="59"/>
        <v>-2.5381019285010398E-2</v>
      </c>
      <c r="I304" t="str">
        <f t="shared" si="53"/>
        <v>2011-03</v>
      </c>
      <c r="K304">
        <v>6647.66</v>
      </c>
      <c r="L304">
        <f t="shared" si="60"/>
        <v>-3.2408534263017381E-2</v>
      </c>
      <c r="M304" t="str">
        <f t="shared" si="54"/>
        <v>2011-03</v>
      </c>
      <c r="O304">
        <v>6559.1272900000004</v>
      </c>
      <c r="P304">
        <f t="shared" si="61"/>
        <v>-1.7722650693379315E-2</v>
      </c>
      <c r="Q304" t="str">
        <f t="shared" si="55"/>
        <v>2011-03</v>
      </c>
      <c r="S304">
        <v>10329.700000000001</v>
      </c>
      <c r="T304">
        <f t="shared" si="62"/>
        <v>-8.310243722187886E-3</v>
      </c>
      <c r="U304" t="str">
        <f t="shared" si="56"/>
        <v>2011-03</v>
      </c>
      <c r="W304">
        <v>21365.4</v>
      </c>
      <c r="X304">
        <f t="shared" si="63"/>
        <v>-2.0335324170590002E-2</v>
      </c>
      <c r="Y304">
        <f t="shared" si="64"/>
        <v>-2.0129955898647526E-2</v>
      </c>
      <c r="Z304" t="str">
        <f t="shared" si="57"/>
        <v>2011-03</v>
      </c>
    </row>
    <row r="305" spans="1:26" x14ac:dyDescent="0.35">
      <c r="A305" s="1">
        <v>40618</v>
      </c>
      <c r="C305">
        <v>2721.24</v>
      </c>
      <c r="D305">
        <f t="shared" si="58"/>
        <v>-2.2872920194271559E-2</v>
      </c>
      <c r="E305" t="str">
        <f t="shared" si="52"/>
        <v>2011-03</v>
      </c>
      <c r="G305">
        <v>3696.56</v>
      </c>
      <c r="H305">
        <f t="shared" si="59"/>
        <v>-2.2546194623715089E-2</v>
      </c>
      <c r="I305" t="str">
        <f t="shared" si="53"/>
        <v>2011-03</v>
      </c>
      <c r="K305">
        <v>6513.84</v>
      </c>
      <c r="L305">
        <f t="shared" si="60"/>
        <v>-2.0335768972757691E-2</v>
      </c>
      <c r="M305" t="str">
        <f t="shared" si="54"/>
        <v>2011-03</v>
      </c>
      <c r="O305">
        <v>6446.6298699999998</v>
      </c>
      <c r="P305">
        <f t="shared" si="61"/>
        <v>-1.7300065563683725E-2</v>
      </c>
      <c r="Q305" t="str">
        <f t="shared" si="55"/>
        <v>2011-03</v>
      </c>
      <c r="S305">
        <v>10092.6</v>
      </c>
      <c r="T305">
        <f t="shared" si="62"/>
        <v>-2.3220759039845495E-2</v>
      </c>
      <c r="U305" t="str">
        <f t="shared" si="56"/>
        <v>2011-03</v>
      </c>
      <c r="W305">
        <v>20836.77</v>
      </c>
      <c r="X305">
        <f t="shared" si="63"/>
        <v>-2.5053576660109232E-2</v>
      </c>
      <c r="Y305">
        <f t="shared" si="64"/>
        <v>-2.4742340419556901E-2</v>
      </c>
      <c r="Z305" t="str">
        <f t="shared" si="57"/>
        <v>2011-03</v>
      </c>
    </row>
    <row r="306" spans="1:26" x14ac:dyDescent="0.35">
      <c r="A306" s="1">
        <v>40619</v>
      </c>
      <c r="C306">
        <v>2786.16</v>
      </c>
      <c r="D306">
        <f t="shared" si="58"/>
        <v>2.3576644937694759E-2</v>
      </c>
      <c r="E306" t="str">
        <f t="shared" si="52"/>
        <v>2011-03</v>
      </c>
      <c r="G306">
        <v>3786.21</v>
      </c>
      <c r="H306">
        <f t="shared" si="59"/>
        <v>2.39628613070599E-2</v>
      </c>
      <c r="I306" t="str">
        <f t="shared" si="53"/>
        <v>2011-03</v>
      </c>
      <c r="K306">
        <v>6656.88</v>
      </c>
      <c r="L306">
        <f t="shared" si="60"/>
        <v>2.172176224662533E-2</v>
      </c>
      <c r="M306" t="str">
        <f t="shared" si="54"/>
        <v>2011-03</v>
      </c>
      <c r="O306">
        <v>6557.64156</v>
      </c>
      <c r="P306">
        <f t="shared" si="61"/>
        <v>1.7073526539729704E-2</v>
      </c>
      <c r="Q306" t="str">
        <f t="shared" si="55"/>
        <v>2011-03</v>
      </c>
      <c r="S306">
        <v>10325.6</v>
      </c>
      <c r="T306">
        <f t="shared" si="62"/>
        <v>2.2823766495186418E-2</v>
      </c>
      <c r="U306" t="str">
        <f t="shared" si="56"/>
        <v>2011-03</v>
      </c>
      <c r="W306">
        <v>21140.59</v>
      </c>
      <c r="X306">
        <f t="shared" si="63"/>
        <v>1.4475674759712199E-2</v>
      </c>
      <c r="Y306">
        <f t="shared" si="64"/>
        <v>1.4580954725708433E-2</v>
      </c>
      <c r="Z306" t="str">
        <f t="shared" si="57"/>
        <v>2011-03</v>
      </c>
    </row>
    <row r="307" spans="1:26" x14ac:dyDescent="0.35">
      <c r="A307" s="1">
        <v>40620</v>
      </c>
      <c r="C307">
        <v>2792.61</v>
      </c>
      <c r="D307">
        <f t="shared" si="58"/>
        <v>2.3123386961513182E-3</v>
      </c>
      <c r="E307" t="str">
        <f t="shared" si="52"/>
        <v>2011-03</v>
      </c>
      <c r="G307">
        <v>3810.22</v>
      </c>
      <c r="H307">
        <f t="shared" si="59"/>
        <v>6.3214114929599453E-3</v>
      </c>
      <c r="I307" t="str">
        <f t="shared" si="53"/>
        <v>2011-03</v>
      </c>
      <c r="K307">
        <v>6664.4</v>
      </c>
      <c r="L307">
        <f t="shared" si="60"/>
        <v>1.1290207545827772E-3</v>
      </c>
      <c r="M307" t="str">
        <f t="shared" si="54"/>
        <v>2011-03</v>
      </c>
      <c r="O307">
        <v>6554.55537</v>
      </c>
      <c r="P307">
        <f t="shared" si="61"/>
        <v>-4.7073576967541039E-4</v>
      </c>
      <c r="Q307" t="str">
        <f t="shared" si="55"/>
        <v>2011-03</v>
      </c>
      <c r="S307">
        <v>10328.4</v>
      </c>
      <c r="T307">
        <f t="shared" si="62"/>
        <v>2.7113392245113447E-4</v>
      </c>
      <c r="U307" t="str">
        <f t="shared" si="56"/>
        <v>2011-03</v>
      </c>
      <c r="W307">
        <v>21197.1</v>
      </c>
      <c r="X307">
        <f t="shared" si="63"/>
        <v>2.669490638642046E-3</v>
      </c>
      <c r="Y307">
        <f t="shared" si="64"/>
        <v>2.6730569014392883E-3</v>
      </c>
      <c r="Z307" t="str">
        <f t="shared" si="57"/>
        <v>2011-03</v>
      </c>
    </row>
    <row r="308" spans="1:26" x14ac:dyDescent="0.35">
      <c r="A308" s="1">
        <v>40623</v>
      </c>
      <c r="C308">
        <v>2860.81</v>
      </c>
      <c r="D308">
        <f t="shared" si="58"/>
        <v>2.4128159104771243E-2</v>
      </c>
      <c r="E308" t="str">
        <f t="shared" si="52"/>
        <v>2011-03</v>
      </c>
      <c r="G308">
        <v>3904.45</v>
      </c>
      <c r="H308">
        <f t="shared" si="59"/>
        <v>2.4429998047916946E-2</v>
      </c>
      <c r="I308" t="str">
        <f t="shared" si="53"/>
        <v>2011-03</v>
      </c>
      <c r="K308">
        <v>6816.12</v>
      </c>
      <c r="L308">
        <f t="shared" si="60"/>
        <v>2.2510467933063494E-2</v>
      </c>
      <c r="M308" t="str">
        <f t="shared" si="54"/>
        <v>2011-03</v>
      </c>
      <c r="O308">
        <v>6632.6066799999999</v>
      </c>
      <c r="P308">
        <f t="shared" si="61"/>
        <v>1.1837607081678088E-2</v>
      </c>
      <c r="Q308" t="str">
        <f t="shared" si="55"/>
        <v>2011-03</v>
      </c>
      <c r="S308">
        <v>10574.4</v>
      </c>
      <c r="T308">
        <f t="shared" si="62"/>
        <v>2.3538603272759244E-2</v>
      </c>
      <c r="U308" t="str">
        <f t="shared" si="56"/>
        <v>2011-03</v>
      </c>
      <c r="W308">
        <v>21527.11</v>
      </c>
      <c r="X308">
        <f t="shared" si="63"/>
        <v>1.544869119309264E-2</v>
      </c>
      <c r="Y308">
        <f t="shared" si="64"/>
        <v>1.5568639106292938E-2</v>
      </c>
      <c r="Z308" t="str">
        <f t="shared" si="57"/>
        <v>2011-03</v>
      </c>
    </row>
    <row r="309" spans="1:26" x14ac:dyDescent="0.35">
      <c r="A309" s="1">
        <v>40624</v>
      </c>
      <c r="C309">
        <v>2854.79</v>
      </c>
      <c r="D309">
        <f t="shared" si="58"/>
        <v>-2.1065162803908456E-3</v>
      </c>
      <c r="E309" t="str">
        <f t="shared" si="52"/>
        <v>2011-03</v>
      </c>
      <c r="G309">
        <v>3892.71</v>
      </c>
      <c r="H309">
        <f t="shared" si="59"/>
        <v>-3.0113551271947875E-3</v>
      </c>
      <c r="I309" t="str">
        <f t="shared" si="53"/>
        <v>2011-03</v>
      </c>
      <c r="K309">
        <v>6780.97</v>
      </c>
      <c r="L309">
        <f t="shared" si="60"/>
        <v>-5.1702354401564907E-3</v>
      </c>
      <c r="M309" t="str">
        <f t="shared" si="54"/>
        <v>2011-03</v>
      </c>
      <c r="O309">
        <v>6639.3974200000002</v>
      </c>
      <c r="P309">
        <f t="shared" si="61"/>
        <v>1.0233180371897964E-3</v>
      </c>
      <c r="Q309" t="str">
        <f t="shared" si="55"/>
        <v>2011-03</v>
      </c>
      <c r="S309">
        <v>10576.1</v>
      </c>
      <c r="T309">
        <f t="shared" si="62"/>
        <v>1.6075270122804393E-4</v>
      </c>
      <c r="U309" t="str">
        <f t="shared" si="56"/>
        <v>2011-03</v>
      </c>
      <c r="W309">
        <v>21556.82</v>
      </c>
      <c r="X309">
        <f t="shared" si="63"/>
        <v>1.3791687392164772E-3</v>
      </c>
      <c r="Y309">
        <f t="shared" si="64"/>
        <v>1.3801202297939262E-3</v>
      </c>
      <c r="Z309" t="str">
        <f t="shared" si="57"/>
        <v>2011-03</v>
      </c>
    </row>
    <row r="310" spans="1:26" x14ac:dyDescent="0.35">
      <c r="A310" s="1">
        <v>40625</v>
      </c>
      <c r="C310">
        <v>2866.23</v>
      </c>
      <c r="D310">
        <f t="shared" si="58"/>
        <v>3.9992921709524603E-3</v>
      </c>
      <c r="E310" t="str">
        <f t="shared" si="52"/>
        <v>2011-03</v>
      </c>
      <c r="G310">
        <v>3913.73</v>
      </c>
      <c r="H310">
        <f t="shared" si="59"/>
        <v>5.3853102825496104E-3</v>
      </c>
      <c r="I310" t="str">
        <f t="shared" si="53"/>
        <v>2011-03</v>
      </c>
      <c r="K310">
        <v>6804.45</v>
      </c>
      <c r="L310">
        <f t="shared" si="60"/>
        <v>3.4566503470768472E-3</v>
      </c>
      <c r="M310" t="str">
        <f t="shared" si="54"/>
        <v>2011-03</v>
      </c>
      <c r="O310">
        <v>6666.6572100000003</v>
      </c>
      <c r="P310">
        <f t="shared" si="61"/>
        <v>4.0973570145631157E-3</v>
      </c>
      <c r="Q310" t="str">
        <f t="shared" si="55"/>
        <v>2011-03</v>
      </c>
      <c r="S310">
        <v>10638</v>
      </c>
      <c r="T310">
        <f t="shared" si="62"/>
        <v>5.8357578848465671E-3</v>
      </c>
      <c r="U310" t="str">
        <f t="shared" si="56"/>
        <v>2011-03</v>
      </c>
      <c r="W310">
        <v>21698.38</v>
      </c>
      <c r="X310">
        <f t="shared" si="63"/>
        <v>6.5453635812522497E-3</v>
      </c>
      <c r="Y310">
        <f t="shared" si="64"/>
        <v>6.5668312858761782E-3</v>
      </c>
      <c r="Z310" t="str">
        <f t="shared" si="57"/>
        <v>2011-03</v>
      </c>
    </row>
    <row r="311" spans="1:26" x14ac:dyDescent="0.35">
      <c r="A311" s="1">
        <v>40626</v>
      </c>
      <c r="C311">
        <v>2909.78</v>
      </c>
      <c r="D311">
        <f t="shared" si="58"/>
        <v>1.5079899543665341E-2</v>
      </c>
      <c r="E311" t="str">
        <f t="shared" si="52"/>
        <v>2011-03</v>
      </c>
      <c r="G311">
        <v>3968.84</v>
      </c>
      <c r="H311">
        <f t="shared" si="59"/>
        <v>1.3982977110112841E-2</v>
      </c>
      <c r="I311" t="str">
        <f t="shared" si="53"/>
        <v>2011-03</v>
      </c>
      <c r="K311">
        <v>6933.58</v>
      </c>
      <c r="L311">
        <f t="shared" si="60"/>
        <v>1.8799464416635315E-2</v>
      </c>
      <c r="M311" t="str">
        <f t="shared" si="54"/>
        <v>2011-03</v>
      </c>
      <c r="O311">
        <v>6683.7488499999999</v>
      </c>
      <c r="P311">
        <f t="shared" si="61"/>
        <v>2.5604688368156417E-3</v>
      </c>
      <c r="Q311" t="str">
        <f t="shared" si="55"/>
        <v>2011-03</v>
      </c>
      <c r="S311">
        <v>10755.6</v>
      </c>
      <c r="T311">
        <f t="shared" si="62"/>
        <v>1.0994052849053467E-2</v>
      </c>
      <c r="U311" t="str">
        <f t="shared" si="56"/>
        <v>2011-03</v>
      </c>
      <c r="W311">
        <v>22023.91</v>
      </c>
      <c r="X311">
        <f t="shared" si="63"/>
        <v>1.4891077999055371E-2</v>
      </c>
      <c r="Y311">
        <f t="shared" si="64"/>
        <v>1.5002502490969318E-2</v>
      </c>
      <c r="Z311" t="str">
        <f t="shared" si="57"/>
        <v>2011-03</v>
      </c>
    </row>
    <row r="312" spans="1:26" x14ac:dyDescent="0.35">
      <c r="A312" s="1">
        <v>40627</v>
      </c>
      <c r="C312">
        <v>2911.33</v>
      </c>
      <c r="D312">
        <f t="shared" si="58"/>
        <v>5.3254449293422266E-4</v>
      </c>
      <c r="E312" t="str">
        <f t="shared" si="52"/>
        <v>2011-03</v>
      </c>
      <c r="G312">
        <v>3972.38</v>
      </c>
      <c r="H312">
        <f t="shared" si="59"/>
        <v>8.9155072759205688E-4</v>
      </c>
      <c r="I312" t="str">
        <f t="shared" si="53"/>
        <v>2011-03</v>
      </c>
      <c r="K312">
        <v>6946.36</v>
      </c>
      <c r="L312">
        <f t="shared" si="60"/>
        <v>1.8415070398822969E-3</v>
      </c>
      <c r="M312" t="str">
        <f t="shared" si="54"/>
        <v>2011-03</v>
      </c>
      <c r="O312">
        <v>6717.67868</v>
      </c>
      <c r="P312">
        <f t="shared" si="61"/>
        <v>5.0636251133094048E-3</v>
      </c>
      <c r="Q312" t="str">
        <f t="shared" si="55"/>
        <v>2011-03</v>
      </c>
      <c r="S312">
        <v>10710.4</v>
      </c>
      <c r="T312">
        <f t="shared" si="62"/>
        <v>-4.211317134308867E-3</v>
      </c>
      <c r="U312" t="str">
        <f t="shared" si="56"/>
        <v>2011-03</v>
      </c>
      <c r="W312">
        <v>21984.99</v>
      </c>
      <c r="X312">
        <f t="shared" si="63"/>
        <v>-1.7687336037256736E-3</v>
      </c>
      <c r="Y312">
        <f t="shared" si="64"/>
        <v>-1.7671703162607483E-3</v>
      </c>
      <c r="Z312" t="str">
        <f t="shared" si="57"/>
        <v>2011-03</v>
      </c>
    </row>
    <row r="313" spans="1:26" x14ac:dyDescent="0.35">
      <c r="A313" s="1">
        <v>40630</v>
      </c>
      <c r="C313">
        <v>2914.76</v>
      </c>
      <c r="D313">
        <f t="shared" si="58"/>
        <v>1.1774622075128921E-3</v>
      </c>
      <c r="E313" t="str">
        <f t="shared" si="52"/>
        <v>2011-03</v>
      </c>
      <c r="G313">
        <v>3976.95</v>
      </c>
      <c r="H313">
        <f t="shared" si="59"/>
        <v>1.1497825611621003E-3</v>
      </c>
      <c r="I313" t="str">
        <f t="shared" si="53"/>
        <v>2011-03</v>
      </c>
      <c r="K313">
        <v>6938.63</v>
      </c>
      <c r="L313">
        <f t="shared" si="60"/>
        <v>-1.1134326778188567E-3</v>
      </c>
      <c r="M313" t="str">
        <f t="shared" si="54"/>
        <v>2011-03</v>
      </c>
      <c r="O313">
        <v>6708.25792</v>
      </c>
      <c r="P313">
        <f t="shared" si="61"/>
        <v>-1.4033675008021528E-3</v>
      </c>
      <c r="Q313" t="str">
        <f t="shared" si="55"/>
        <v>2011-03</v>
      </c>
      <c r="S313">
        <v>10751</v>
      </c>
      <c r="T313">
        <f t="shared" si="62"/>
        <v>3.7835414682206229E-3</v>
      </c>
      <c r="U313" t="str">
        <f t="shared" si="56"/>
        <v>2011-03</v>
      </c>
      <c r="W313">
        <v>22009.95</v>
      </c>
      <c r="X313">
        <f t="shared" si="63"/>
        <v>1.1346760640191308E-3</v>
      </c>
      <c r="Y313">
        <f t="shared" si="64"/>
        <v>1.1353200524539299E-3</v>
      </c>
      <c r="Z313" t="str">
        <f t="shared" si="57"/>
        <v>2011-03</v>
      </c>
    </row>
    <row r="314" spans="1:26" x14ac:dyDescent="0.35">
      <c r="A314" s="1">
        <v>40631</v>
      </c>
      <c r="C314">
        <v>2910.93</v>
      </c>
      <c r="D314">
        <f t="shared" si="58"/>
        <v>-1.3148658963311338E-3</v>
      </c>
      <c r="E314" t="str">
        <f t="shared" si="52"/>
        <v>2011-03</v>
      </c>
      <c r="G314">
        <v>3987.8</v>
      </c>
      <c r="H314">
        <f t="shared" si="59"/>
        <v>2.724506534811667E-3</v>
      </c>
      <c r="I314" t="str">
        <f t="shared" si="53"/>
        <v>2011-03</v>
      </c>
      <c r="K314">
        <v>6934.44</v>
      </c>
      <c r="L314">
        <f t="shared" si="60"/>
        <v>-6.0404800486153494E-4</v>
      </c>
      <c r="M314" t="str">
        <f t="shared" si="54"/>
        <v>2011-03</v>
      </c>
      <c r="O314">
        <v>6734.7254899999998</v>
      </c>
      <c r="P314">
        <f t="shared" si="61"/>
        <v>3.9377574743815827E-3</v>
      </c>
      <c r="Q314" t="str">
        <f t="shared" si="55"/>
        <v>2011-03</v>
      </c>
      <c r="S314">
        <v>10735</v>
      </c>
      <c r="T314">
        <f t="shared" si="62"/>
        <v>-1.4893421723466444E-3</v>
      </c>
      <c r="U314" t="str">
        <f t="shared" si="56"/>
        <v>2011-03</v>
      </c>
      <c r="W314">
        <v>21780.78</v>
      </c>
      <c r="X314">
        <f t="shared" si="63"/>
        <v>-1.0466694305373564E-2</v>
      </c>
      <c r="Y314">
        <f t="shared" si="64"/>
        <v>-1.0412109068853035E-2</v>
      </c>
      <c r="Z314" t="str">
        <f t="shared" si="57"/>
        <v>2011-03</v>
      </c>
    </row>
    <row r="315" spans="1:26" x14ac:dyDescent="0.35">
      <c r="A315" s="1">
        <v>40632</v>
      </c>
      <c r="C315">
        <v>2936.44</v>
      </c>
      <c r="D315">
        <f t="shared" si="58"/>
        <v>8.7253455290168796E-3</v>
      </c>
      <c r="E315" t="str">
        <f t="shared" si="52"/>
        <v>2011-03</v>
      </c>
      <c r="G315">
        <v>4024.44</v>
      </c>
      <c r="H315">
        <f t="shared" si="59"/>
        <v>9.1460703655452755E-3</v>
      </c>
      <c r="I315" t="str">
        <f t="shared" si="53"/>
        <v>2011-03</v>
      </c>
      <c r="K315">
        <v>7057.15</v>
      </c>
      <c r="L315">
        <f t="shared" si="60"/>
        <v>1.7540986597202397E-2</v>
      </c>
      <c r="M315" t="str">
        <f t="shared" si="54"/>
        <v>2011-03</v>
      </c>
      <c r="O315">
        <v>6760.1591500000004</v>
      </c>
      <c r="P315">
        <f t="shared" si="61"/>
        <v>3.7693823685717022E-3</v>
      </c>
      <c r="Q315" t="str">
        <f t="shared" si="55"/>
        <v>2011-03</v>
      </c>
      <c r="S315">
        <v>10732.3</v>
      </c>
      <c r="T315">
        <f t="shared" si="62"/>
        <v>-2.5154537498781824E-4</v>
      </c>
      <c r="U315" t="str">
        <f t="shared" si="56"/>
        <v>2011-03</v>
      </c>
      <c r="W315">
        <v>22001.19</v>
      </c>
      <c r="X315">
        <f t="shared" si="63"/>
        <v>1.006861326881392E-2</v>
      </c>
      <c r="Y315">
        <f t="shared" si="64"/>
        <v>1.0119472305399524E-2</v>
      </c>
      <c r="Z315" t="str">
        <f t="shared" si="57"/>
        <v>2011-03</v>
      </c>
    </row>
    <row r="316" spans="1:26" x14ac:dyDescent="0.35">
      <c r="A316" s="1">
        <v>40633</v>
      </c>
      <c r="C316">
        <v>2910.91</v>
      </c>
      <c r="D316">
        <f t="shared" si="58"/>
        <v>-8.732216209076939E-3</v>
      </c>
      <c r="E316" t="str">
        <f t="shared" si="52"/>
        <v>2011-03</v>
      </c>
      <c r="G316">
        <v>3989.18</v>
      </c>
      <c r="H316">
        <f t="shared" si="59"/>
        <v>-8.8000747597480264E-3</v>
      </c>
      <c r="I316" t="str">
        <f t="shared" si="53"/>
        <v>2011-03</v>
      </c>
      <c r="K316">
        <v>7041.31</v>
      </c>
      <c r="L316">
        <f t="shared" si="60"/>
        <v>-2.247054879045834E-3</v>
      </c>
      <c r="M316" t="str">
        <f t="shared" si="54"/>
        <v>2011-03</v>
      </c>
      <c r="O316">
        <v>6689.0994099999998</v>
      </c>
      <c r="P316">
        <f t="shared" si="61"/>
        <v>-1.0567184938054044E-2</v>
      </c>
      <c r="Q316" t="str">
        <f t="shared" si="55"/>
        <v>2011-03</v>
      </c>
      <c r="S316">
        <v>10576.5</v>
      </c>
      <c r="T316">
        <f t="shared" si="62"/>
        <v>-1.46233271106887E-2</v>
      </c>
      <c r="U316" t="str">
        <f t="shared" si="56"/>
        <v>2011-03</v>
      </c>
      <c r="W316">
        <v>21727.439999999999</v>
      </c>
      <c r="X316">
        <f t="shared" si="63"/>
        <v>-1.2520564956271506E-2</v>
      </c>
      <c r="Y316">
        <f t="shared" si="64"/>
        <v>-1.2442508791569912E-2</v>
      </c>
      <c r="Z316" t="str">
        <f t="shared" si="57"/>
        <v>2011-03</v>
      </c>
    </row>
    <row r="317" spans="1:26" x14ac:dyDescent="0.35">
      <c r="A317" s="1">
        <v>40634</v>
      </c>
      <c r="C317">
        <v>2962.92</v>
      </c>
      <c r="D317">
        <f t="shared" si="58"/>
        <v>1.7709521489467816E-2</v>
      </c>
      <c r="E317" t="str">
        <f t="shared" si="52"/>
        <v>2011-04</v>
      </c>
      <c r="G317">
        <v>4054.76</v>
      </c>
      <c r="H317">
        <f t="shared" si="59"/>
        <v>1.630580362945637E-2</v>
      </c>
      <c r="I317" t="str">
        <f t="shared" si="53"/>
        <v>2011-04</v>
      </c>
      <c r="K317">
        <v>7179.81</v>
      </c>
      <c r="L317">
        <f t="shared" si="60"/>
        <v>1.9478687909699931E-2</v>
      </c>
      <c r="M317" t="str">
        <f t="shared" si="54"/>
        <v>2011-04</v>
      </c>
      <c r="O317">
        <v>6812.8493699999999</v>
      </c>
      <c r="P317">
        <f t="shared" si="61"/>
        <v>1.8331194605027325E-2</v>
      </c>
      <c r="Q317" t="str">
        <f t="shared" si="55"/>
        <v>2011-04</v>
      </c>
      <c r="S317">
        <v>10729.9</v>
      </c>
      <c r="T317">
        <f t="shared" si="62"/>
        <v>1.4399678089618678E-2</v>
      </c>
      <c r="U317" t="str">
        <f t="shared" si="56"/>
        <v>2011-04</v>
      </c>
      <c r="W317">
        <v>21967.77</v>
      </c>
      <c r="X317">
        <f t="shared" si="63"/>
        <v>1.1000401348315004E-2</v>
      </c>
      <c r="Y317">
        <f t="shared" si="64"/>
        <v>1.1061128232318293E-2</v>
      </c>
      <c r="Z317" t="str">
        <f t="shared" si="57"/>
        <v>2011-04</v>
      </c>
    </row>
    <row r="318" spans="1:26" x14ac:dyDescent="0.35">
      <c r="A318" s="1">
        <v>40637</v>
      </c>
      <c r="C318">
        <v>2955.84</v>
      </c>
      <c r="D318">
        <f t="shared" si="58"/>
        <v>-2.3923941423183532E-3</v>
      </c>
      <c r="E318" t="str">
        <f t="shared" si="52"/>
        <v>2011-04</v>
      </c>
      <c r="G318">
        <v>4042.92</v>
      </c>
      <c r="H318">
        <f t="shared" si="59"/>
        <v>-2.9242964497210354E-3</v>
      </c>
      <c r="I318" t="str">
        <f t="shared" si="53"/>
        <v>2011-04</v>
      </c>
      <c r="K318">
        <v>7175.33</v>
      </c>
      <c r="L318">
        <f t="shared" si="60"/>
        <v>-6.2416669505771895E-4</v>
      </c>
      <c r="M318" t="str">
        <f t="shared" si="54"/>
        <v>2011-04</v>
      </c>
      <c r="O318">
        <v>6822.0092599999998</v>
      </c>
      <c r="P318">
        <f t="shared" si="61"/>
        <v>1.3435990246123035E-3</v>
      </c>
      <c r="Q318" t="str">
        <f t="shared" si="55"/>
        <v>2011-04</v>
      </c>
      <c r="S318">
        <v>10756.1</v>
      </c>
      <c r="T318">
        <f t="shared" si="62"/>
        <v>2.4387985651953782E-3</v>
      </c>
      <c r="U318" t="str">
        <f t="shared" si="56"/>
        <v>2011-04</v>
      </c>
      <c r="W318">
        <v>22007.81</v>
      </c>
      <c r="X318">
        <f t="shared" si="63"/>
        <v>1.8210111641351876E-3</v>
      </c>
      <c r="Y318">
        <f t="shared" si="64"/>
        <v>1.8226702118604153E-3</v>
      </c>
      <c r="Z318" t="str">
        <f t="shared" si="57"/>
        <v>2011-04</v>
      </c>
    </row>
    <row r="319" spans="1:26" x14ac:dyDescent="0.35">
      <c r="A319" s="1">
        <v>40638</v>
      </c>
      <c r="C319">
        <v>2950.96</v>
      </c>
      <c r="D319">
        <f t="shared" si="58"/>
        <v>-1.6523332803830924E-3</v>
      </c>
      <c r="E319" t="str">
        <f t="shared" si="52"/>
        <v>2011-04</v>
      </c>
      <c r="G319">
        <v>4041.74</v>
      </c>
      <c r="H319">
        <f t="shared" si="59"/>
        <v>-2.919108554669399E-4</v>
      </c>
      <c r="I319" t="str">
        <f t="shared" si="53"/>
        <v>2011-04</v>
      </c>
      <c r="K319">
        <v>7175.31</v>
      </c>
      <c r="L319">
        <f t="shared" si="60"/>
        <v>-2.7873321328170857E-6</v>
      </c>
      <c r="M319" t="str">
        <f t="shared" si="54"/>
        <v>2011-04</v>
      </c>
      <c r="O319">
        <v>6876.6751700000004</v>
      </c>
      <c r="P319">
        <f t="shared" si="61"/>
        <v>7.9812335942647823E-3</v>
      </c>
      <c r="Q319" t="str">
        <f t="shared" si="55"/>
        <v>2011-04</v>
      </c>
      <c r="S319">
        <v>10678.6</v>
      </c>
      <c r="T319">
        <f t="shared" si="62"/>
        <v>-7.2312967026947278E-3</v>
      </c>
      <c r="U319" t="str">
        <f t="shared" si="56"/>
        <v>2011-04</v>
      </c>
      <c r="W319">
        <v>22058.98</v>
      </c>
      <c r="X319">
        <f t="shared" si="63"/>
        <v>2.3223848616454909E-3</v>
      </c>
      <c r="Y319">
        <f t="shared" si="64"/>
        <v>2.3250836862004102E-3</v>
      </c>
      <c r="Z319" t="str">
        <f t="shared" si="57"/>
        <v>2011-04</v>
      </c>
    </row>
    <row r="320" spans="1:26" x14ac:dyDescent="0.35">
      <c r="A320" s="1">
        <v>40639</v>
      </c>
      <c r="C320">
        <v>2971.48</v>
      </c>
      <c r="D320">
        <f t="shared" si="58"/>
        <v>6.9296040527651584E-3</v>
      </c>
      <c r="E320" t="str">
        <f t="shared" si="52"/>
        <v>2011-04</v>
      </c>
      <c r="G320">
        <v>4048.16</v>
      </c>
      <c r="H320">
        <f t="shared" si="59"/>
        <v>1.5871645750167554E-3</v>
      </c>
      <c r="I320" t="str">
        <f t="shared" si="53"/>
        <v>2011-04</v>
      </c>
      <c r="K320">
        <v>7215.11</v>
      </c>
      <c r="L320">
        <f t="shared" si="60"/>
        <v>5.531471837596981E-3</v>
      </c>
      <c r="M320" t="str">
        <f t="shared" si="54"/>
        <v>2011-04</v>
      </c>
      <c r="O320">
        <v>6881.7340700000004</v>
      </c>
      <c r="P320">
        <f t="shared" si="61"/>
        <v>7.3539028237056914E-4</v>
      </c>
      <c r="Q320" t="str">
        <f t="shared" si="55"/>
        <v>2011-04</v>
      </c>
      <c r="S320">
        <v>10845.1</v>
      </c>
      <c r="T320">
        <f t="shared" si="62"/>
        <v>1.5471626278235012E-2</v>
      </c>
      <c r="U320" t="str">
        <f t="shared" si="56"/>
        <v>2011-04</v>
      </c>
      <c r="W320">
        <v>22326.52</v>
      </c>
      <c r="X320">
        <f t="shared" si="63"/>
        <v>1.2055434328889699E-2</v>
      </c>
      <c r="Y320">
        <f t="shared" si="64"/>
        <v>1.2128393969258819E-2</v>
      </c>
      <c r="Z320" t="str">
        <f t="shared" si="57"/>
        <v>2011-04</v>
      </c>
    </row>
    <row r="321" spans="1:26" x14ac:dyDescent="0.35">
      <c r="A321" s="1">
        <v>40640</v>
      </c>
      <c r="C321">
        <v>2963.69</v>
      </c>
      <c r="D321">
        <f t="shared" si="58"/>
        <v>-2.6250316244593509E-3</v>
      </c>
      <c r="E321" t="str">
        <f t="shared" si="52"/>
        <v>2011-04</v>
      </c>
      <c r="G321">
        <v>4028.3</v>
      </c>
      <c r="H321">
        <f t="shared" si="59"/>
        <v>-4.9180061633715983E-3</v>
      </c>
      <c r="I321" t="str">
        <f t="shared" si="53"/>
        <v>2011-04</v>
      </c>
      <c r="K321">
        <v>7178.78</v>
      </c>
      <c r="L321">
        <f t="shared" si="60"/>
        <v>-5.0479859367013099E-3</v>
      </c>
      <c r="M321" t="str">
        <f t="shared" si="54"/>
        <v>2011-04</v>
      </c>
      <c r="O321">
        <v>6855.1826199999996</v>
      </c>
      <c r="P321">
        <f t="shared" si="61"/>
        <v>-3.865712177483157E-3</v>
      </c>
      <c r="Q321" t="str">
        <f t="shared" si="55"/>
        <v>2011-04</v>
      </c>
      <c r="S321">
        <v>10849.1</v>
      </c>
      <c r="T321">
        <f t="shared" si="62"/>
        <v>3.6876216180628627E-4</v>
      </c>
      <c r="U321" t="str">
        <f t="shared" si="56"/>
        <v>2011-04</v>
      </c>
      <c r="W321">
        <v>22243.99</v>
      </c>
      <c r="X321">
        <f t="shared" si="63"/>
        <v>-3.7033497854753036E-3</v>
      </c>
      <c r="Y321">
        <f t="shared" si="64"/>
        <v>-3.6965008429436755E-3</v>
      </c>
      <c r="Z321" t="str">
        <f t="shared" si="57"/>
        <v>2011-04</v>
      </c>
    </row>
    <row r="322" spans="1:26" x14ac:dyDescent="0.35">
      <c r="A322" s="1">
        <v>40641</v>
      </c>
      <c r="C322">
        <v>2984.66</v>
      </c>
      <c r="D322">
        <f t="shared" si="58"/>
        <v>7.0507239395412348E-3</v>
      </c>
      <c r="E322" t="str">
        <f t="shared" si="52"/>
        <v>2011-04</v>
      </c>
      <c r="G322">
        <v>4061.91</v>
      </c>
      <c r="H322">
        <f t="shared" si="59"/>
        <v>8.3088556072430046E-3</v>
      </c>
      <c r="I322" t="str">
        <f t="shared" si="53"/>
        <v>2011-04</v>
      </c>
      <c r="K322">
        <v>7217.02</v>
      </c>
      <c r="L322">
        <f t="shared" si="60"/>
        <v>5.3126731327218426E-3</v>
      </c>
      <c r="M322" t="str">
        <f t="shared" si="54"/>
        <v>2011-04</v>
      </c>
      <c r="O322">
        <v>6864.0511200000001</v>
      </c>
      <c r="P322">
        <f t="shared" si="61"/>
        <v>1.29285664248651E-3</v>
      </c>
      <c r="Q322" t="str">
        <f t="shared" si="55"/>
        <v>2011-04</v>
      </c>
      <c r="S322">
        <v>10913.2</v>
      </c>
      <c r="T322">
        <f t="shared" si="62"/>
        <v>5.8909384920331209E-3</v>
      </c>
      <c r="U322" t="str">
        <f t="shared" si="56"/>
        <v>2011-04</v>
      </c>
      <c r="W322">
        <v>22389.15</v>
      </c>
      <c r="X322">
        <f t="shared" si="63"/>
        <v>6.5046067477440295E-3</v>
      </c>
      <c r="Y322">
        <f t="shared" si="64"/>
        <v>6.5258076451212149E-3</v>
      </c>
      <c r="Z322" t="str">
        <f t="shared" si="57"/>
        <v>2011-04</v>
      </c>
    </row>
    <row r="323" spans="1:26" x14ac:dyDescent="0.35">
      <c r="A323" s="1">
        <v>40644</v>
      </c>
      <c r="C323">
        <v>2974.58</v>
      </c>
      <c r="D323">
        <f t="shared" si="58"/>
        <v>-3.3829849489033091E-3</v>
      </c>
      <c r="E323" t="str">
        <f t="shared" si="52"/>
        <v>2011-04</v>
      </c>
      <c r="G323">
        <v>4038.7</v>
      </c>
      <c r="H323">
        <f t="shared" si="59"/>
        <v>-5.7304483277688702E-3</v>
      </c>
      <c r="I323" t="str">
        <f t="shared" si="53"/>
        <v>2011-04</v>
      </c>
      <c r="K323">
        <v>7204.86</v>
      </c>
      <c r="L323">
        <f t="shared" si="60"/>
        <v>-1.686327008908056E-3</v>
      </c>
      <c r="M323" t="str">
        <f t="shared" si="54"/>
        <v>2011-04</v>
      </c>
      <c r="O323">
        <v>6863.3600900000001</v>
      </c>
      <c r="P323">
        <f t="shared" si="61"/>
        <v>-1.0067885197176583E-4</v>
      </c>
      <c r="Q323" t="str">
        <f t="shared" si="55"/>
        <v>2011-04</v>
      </c>
      <c r="S323">
        <v>10878.3</v>
      </c>
      <c r="T323">
        <f t="shared" si="62"/>
        <v>-3.2030865097683004E-3</v>
      </c>
      <c r="U323" t="str">
        <f t="shared" si="56"/>
        <v>2011-04</v>
      </c>
      <c r="W323">
        <v>22365.93</v>
      </c>
      <c r="X323">
        <f t="shared" si="63"/>
        <v>-1.0376476629442438E-3</v>
      </c>
      <c r="Y323">
        <f t="shared" si="64"/>
        <v>-1.0371094927677542E-3</v>
      </c>
      <c r="Z323" t="str">
        <f t="shared" si="57"/>
        <v>2011-04</v>
      </c>
    </row>
    <row r="324" spans="1:26" x14ac:dyDescent="0.35">
      <c r="A324" s="1">
        <v>40645</v>
      </c>
      <c r="C324">
        <v>2932.33</v>
      </c>
      <c r="D324">
        <f t="shared" si="58"/>
        <v>-1.4305523710052379E-2</v>
      </c>
      <c r="E324" t="str">
        <f t="shared" ref="E324:E387" si="65">_xlfn.CONCAT(YEAR(A324),"-",TEXT(MONTH(A324),"00"))</f>
        <v>2011-04</v>
      </c>
      <c r="G324">
        <v>3976.6</v>
      </c>
      <c r="H324">
        <f t="shared" si="59"/>
        <v>-1.5495675170003177E-2</v>
      </c>
      <c r="I324" t="str">
        <f t="shared" ref="I324:I387" si="66">_xlfn.CONCAT(YEAR(A324),"-",TEXT(MONTH(A324),"00"))</f>
        <v>2011-04</v>
      </c>
      <c r="K324">
        <v>7102.91</v>
      </c>
      <c r="L324">
        <f t="shared" si="60"/>
        <v>-1.425123907909448E-2</v>
      </c>
      <c r="M324" t="str">
        <f t="shared" ref="M324:M387" si="67">_xlfn.CONCAT(YEAR(A324),"-",TEXT(MONTH(A324),"00"))</f>
        <v>2011-04</v>
      </c>
      <c r="O324">
        <v>6701.1242499999998</v>
      </c>
      <c r="P324">
        <f t="shared" si="61"/>
        <v>-2.3921820030615916E-2</v>
      </c>
      <c r="Q324" t="str">
        <f t="shared" ref="Q324:Q387" si="68">_xlfn.CONCAT(YEAR(A324),"-",TEXT(MONTH(A324),"00"))</f>
        <v>2011-04</v>
      </c>
      <c r="S324">
        <v>10784.5</v>
      </c>
      <c r="T324">
        <f t="shared" si="62"/>
        <v>-8.6600611392018516E-3</v>
      </c>
      <c r="U324" t="str">
        <f t="shared" ref="U324:U387" si="69">_xlfn.CONCAT(YEAR(A324),"-",TEXT(MONTH(A324),"00"))</f>
        <v>2011-04</v>
      </c>
      <c r="W324">
        <v>22018.55</v>
      </c>
      <c r="X324">
        <f t="shared" si="63"/>
        <v>-1.5653538952181027E-2</v>
      </c>
      <c r="Y324">
        <f t="shared" si="64"/>
        <v>-1.553165909041122E-2</v>
      </c>
      <c r="Z324" t="str">
        <f t="shared" ref="Z324:Z387" si="70">_xlfn.CONCAT(YEAR(A324),"-",TEXT(MONTH(A324),"00"))</f>
        <v>2011-04</v>
      </c>
    </row>
    <row r="325" spans="1:26" x14ac:dyDescent="0.35">
      <c r="A325" s="1">
        <v>40646</v>
      </c>
      <c r="C325">
        <v>2949.98</v>
      </c>
      <c r="D325">
        <f t="shared" ref="D325:D388" si="71">LN(C325/C324)</f>
        <v>6.0010618171130918E-3</v>
      </c>
      <c r="E325" t="str">
        <f t="shared" si="65"/>
        <v>2011-04</v>
      </c>
      <c r="G325">
        <v>4006.23</v>
      </c>
      <c r="H325">
        <f t="shared" ref="H325:H388" si="72">LN(G325/G324)</f>
        <v>7.4234666328503399E-3</v>
      </c>
      <c r="I325" t="str">
        <f t="shared" si="66"/>
        <v>2011-04</v>
      </c>
      <c r="K325">
        <v>7177.97</v>
      </c>
      <c r="L325">
        <f t="shared" ref="L325:L388" si="73">LN(K325/K324)</f>
        <v>1.0512054046633799E-2</v>
      </c>
      <c r="M325" t="str">
        <f t="shared" si="67"/>
        <v>2011-04</v>
      </c>
      <c r="O325">
        <v>6767.4642800000001</v>
      </c>
      <c r="P325">
        <f t="shared" ref="P325:P388" si="74">LN(O325/O324)</f>
        <v>9.8511534968880911E-3</v>
      </c>
      <c r="Q325" t="str">
        <f t="shared" si="68"/>
        <v>2011-04</v>
      </c>
      <c r="S325">
        <v>10786</v>
      </c>
      <c r="T325">
        <f t="shared" ref="T325:T388" si="75">LN(S325/S324)</f>
        <v>1.3907883474348917E-4</v>
      </c>
      <c r="U325" t="str">
        <f t="shared" si="69"/>
        <v>2011-04</v>
      </c>
      <c r="W325">
        <v>22096.959999999999</v>
      </c>
      <c r="X325">
        <f t="shared" ref="X325:X388" si="76">LN(W325/W324)</f>
        <v>3.5547626024460301E-3</v>
      </c>
      <c r="Y325">
        <f t="shared" ref="Y325:Y388" si="77">(W325-W324)/W324</f>
        <v>3.5610882642135772E-3</v>
      </c>
      <c r="Z325" t="str">
        <f t="shared" si="70"/>
        <v>2011-04</v>
      </c>
    </row>
    <row r="326" spans="1:26" x14ac:dyDescent="0.35">
      <c r="A326" s="1">
        <v>40647</v>
      </c>
      <c r="C326">
        <v>2917.72</v>
      </c>
      <c r="D326">
        <f t="shared" si="71"/>
        <v>-1.0995901305558596E-2</v>
      </c>
      <c r="E326" t="str">
        <f t="shared" si="65"/>
        <v>2011-04</v>
      </c>
      <c r="G326">
        <v>3970.39</v>
      </c>
      <c r="H326">
        <f t="shared" si="72"/>
        <v>-8.9863228246924616E-3</v>
      </c>
      <c r="I326" t="str">
        <f t="shared" si="66"/>
        <v>2011-04</v>
      </c>
      <c r="K326">
        <v>7146.56</v>
      </c>
      <c r="L326">
        <f t="shared" si="73"/>
        <v>-4.3854912295397301E-3</v>
      </c>
      <c r="M326" t="str">
        <f t="shared" si="67"/>
        <v>2011-04</v>
      </c>
      <c r="O326">
        <v>6730.83896</v>
      </c>
      <c r="P326">
        <f t="shared" si="74"/>
        <v>-5.4266687048777542E-3</v>
      </c>
      <c r="Q326" t="str">
        <f t="shared" si="68"/>
        <v>2011-04</v>
      </c>
      <c r="S326">
        <v>10622.7</v>
      </c>
      <c r="T326">
        <f t="shared" si="75"/>
        <v>-1.5255776125929519E-2</v>
      </c>
      <c r="U326" t="str">
        <f t="shared" si="69"/>
        <v>2011-04</v>
      </c>
      <c r="W326">
        <v>21833.72</v>
      </c>
      <c r="X326">
        <f t="shared" si="76"/>
        <v>-1.1984478760907847E-2</v>
      </c>
      <c r="Y326">
        <f t="shared" si="77"/>
        <v>-1.1912950921755662E-2</v>
      </c>
      <c r="Z326" t="str">
        <f t="shared" si="70"/>
        <v>2011-04</v>
      </c>
    </row>
    <row r="327" spans="1:26" x14ac:dyDescent="0.35">
      <c r="A327" s="1">
        <v>40648</v>
      </c>
      <c r="C327">
        <v>2919.05</v>
      </c>
      <c r="D327">
        <f t="shared" si="71"/>
        <v>4.5573151692449292E-4</v>
      </c>
      <c r="E327" t="str">
        <f t="shared" si="65"/>
        <v>2011-04</v>
      </c>
      <c r="G327">
        <v>3974.48</v>
      </c>
      <c r="H327">
        <f t="shared" si="72"/>
        <v>1.0295952888608622E-3</v>
      </c>
      <c r="I327" t="str">
        <f t="shared" si="66"/>
        <v>2011-04</v>
      </c>
      <c r="K327">
        <v>7178.29</v>
      </c>
      <c r="L327">
        <f t="shared" si="73"/>
        <v>4.430071085303377E-3</v>
      </c>
      <c r="M327" t="str">
        <f t="shared" si="67"/>
        <v>2011-04</v>
      </c>
      <c r="O327">
        <v>6773.6934499999998</v>
      </c>
      <c r="P327">
        <f t="shared" si="74"/>
        <v>6.3467038397756921E-3</v>
      </c>
      <c r="Q327" t="str">
        <f t="shared" si="68"/>
        <v>2011-04</v>
      </c>
      <c r="S327">
        <v>10558.6</v>
      </c>
      <c r="T327">
        <f t="shared" si="75"/>
        <v>-6.0525270575086526E-3</v>
      </c>
      <c r="U327" t="str">
        <f t="shared" si="69"/>
        <v>2011-04</v>
      </c>
      <c r="W327">
        <v>21821.26</v>
      </c>
      <c r="X327">
        <f t="shared" si="76"/>
        <v>-5.7083981430532268E-4</v>
      </c>
      <c r="Y327">
        <f t="shared" si="77"/>
        <v>-5.7067691625626617E-4</v>
      </c>
      <c r="Z327" t="str">
        <f t="shared" si="70"/>
        <v>2011-04</v>
      </c>
    </row>
    <row r="328" spans="1:26" x14ac:dyDescent="0.35">
      <c r="A328" s="1">
        <v>40651</v>
      </c>
      <c r="C328">
        <v>2847.96</v>
      </c>
      <c r="D328">
        <f t="shared" si="71"/>
        <v>-2.465527237181727E-2</v>
      </c>
      <c r="E328" t="str">
        <f t="shared" si="65"/>
        <v>2011-04</v>
      </c>
      <c r="G328">
        <v>3881.24</v>
      </c>
      <c r="H328">
        <f t="shared" si="72"/>
        <v>-2.3739231732062827E-2</v>
      </c>
      <c r="I328" t="str">
        <f t="shared" si="66"/>
        <v>2011-04</v>
      </c>
      <c r="K328">
        <v>7026.85</v>
      </c>
      <c r="L328">
        <f t="shared" si="73"/>
        <v>-2.1322667388996665E-2</v>
      </c>
      <c r="M328" t="str">
        <f t="shared" si="67"/>
        <v>2011-04</v>
      </c>
      <c r="O328">
        <v>6698.3557899999996</v>
      </c>
      <c r="P328">
        <f t="shared" si="74"/>
        <v>-1.1184407656871878E-2</v>
      </c>
      <c r="Q328" t="str">
        <f t="shared" si="68"/>
        <v>2011-04</v>
      </c>
      <c r="S328">
        <v>10344.9</v>
      </c>
      <c r="T328">
        <f t="shared" si="75"/>
        <v>-2.0447049086370024E-2</v>
      </c>
      <c r="U328" t="str">
        <f t="shared" si="69"/>
        <v>2011-04</v>
      </c>
      <c r="W328">
        <v>21184.67</v>
      </c>
      <c r="X328">
        <f t="shared" si="76"/>
        <v>-2.9606917027677693E-2</v>
      </c>
      <c r="Y328">
        <f t="shared" si="77"/>
        <v>-2.9172925853044242E-2</v>
      </c>
      <c r="Z328" t="str">
        <f t="shared" si="70"/>
        <v>2011-04</v>
      </c>
    </row>
    <row r="329" spans="1:26" x14ac:dyDescent="0.35">
      <c r="A329" s="1">
        <v>40652</v>
      </c>
      <c r="C329">
        <v>2857.61</v>
      </c>
      <c r="D329">
        <f t="shared" si="71"/>
        <v>3.3826626267315224E-3</v>
      </c>
      <c r="E329" t="str">
        <f t="shared" si="65"/>
        <v>2011-04</v>
      </c>
      <c r="G329">
        <v>3908.58</v>
      </c>
      <c r="H329">
        <f t="shared" si="72"/>
        <v>7.0194464722884353E-3</v>
      </c>
      <c r="I329" t="str">
        <f t="shared" si="66"/>
        <v>2011-04</v>
      </c>
      <c r="K329">
        <v>7039.31</v>
      </c>
      <c r="L329">
        <f t="shared" si="73"/>
        <v>1.7716282566076992E-3</v>
      </c>
      <c r="M329" t="str">
        <f t="shared" si="67"/>
        <v>2011-04</v>
      </c>
      <c r="O329">
        <v>6721.1548000000003</v>
      </c>
      <c r="P329">
        <f t="shared" si="74"/>
        <v>3.3978932067496707E-3</v>
      </c>
      <c r="Q329" t="str">
        <f t="shared" si="68"/>
        <v>2011-04</v>
      </c>
      <c r="S329">
        <v>10376.5</v>
      </c>
      <c r="T329">
        <f t="shared" si="75"/>
        <v>3.0499893343508919E-3</v>
      </c>
      <c r="U329" t="str">
        <f t="shared" si="69"/>
        <v>2011-04</v>
      </c>
      <c r="W329">
        <v>21249.9</v>
      </c>
      <c r="X329">
        <f t="shared" si="76"/>
        <v>3.0743825790413969E-3</v>
      </c>
      <c r="Y329">
        <f t="shared" si="77"/>
        <v>3.0791133399766532E-3</v>
      </c>
      <c r="Z329" t="str">
        <f t="shared" si="70"/>
        <v>2011-04</v>
      </c>
    </row>
    <row r="330" spans="1:26" x14ac:dyDescent="0.35">
      <c r="A330" s="1">
        <v>40653</v>
      </c>
      <c r="C330">
        <v>2921.43</v>
      </c>
      <c r="D330">
        <f t="shared" si="71"/>
        <v>2.2087611296923385E-2</v>
      </c>
      <c r="E330" t="str">
        <f t="shared" si="65"/>
        <v>2011-04</v>
      </c>
      <c r="G330">
        <v>4004.62</v>
      </c>
      <c r="H330">
        <f t="shared" si="72"/>
        <v>2.4274557941457789E-2</v>
      </c>
      <c r="I330" t="str">
        <f t="shared" si="66"/>
        <v>2011-04</v>
      </c>
      <c r="K330">
        <v>7249.19</v>
      </c>
      <c r="L330">
        <f t="shared" si="73"/>
        <v>2.9379584484158811E-2</v>
      </c>
      <c r="M330" t="str">
        <f t="shared" si="67"/>
        <v>2011-04</v>
      </c>
      <c r="O330">
        <v>6812.4323599999998</v>
      </c>
      <c r="P330">
        <f t="shared" si="74"/>
        <v>1.3489246123280169E-2</v>
      </c>
      <c r="Q330" t="str">
        <f t="shared" si="68"/>
        <v>2011-04</v>
      </c>
      <c r="S330">
        <v>10535.4</v>
      </c>
      <c r="T330">
        <f t="shared" si="75"/>
        <v>1.5197381231624887E-2</v>
      </c>
      <c r="U330" t="str">
        <f t="shared" si="69"/>
        <v>2011-04</v>
      </c>
      <c r="W330">
        <v>21502.45</v>
      </c>
      <c r="X330">
        <f t="shared" si="76"/>
        <v>1.1814692652783329E-2</v>
      </c>
      <c r="Y330">
        <f t="shared" si="77"/>
        <v>1.188476181064378E-2</v>
      </c>
      <c r="Z330" t="str">
        <f t="shared" si="70"/>
        <v>2011-04</v>
      </c>
    </row>
    <row r="331" spans="1:26" x14ac:dyDescent="0.35">
      <c r="A331" s="1">
        <v>40654</v>
      </c>
      <c r="C331">
        <v>2936.3</v>
      </c>
      <c r="D331">
        <f t="shared" si="71"/>
        <v>5.0770629378447387E-3</v>
      </c>
      <c r="E331" t="str">
        <f t="shared" si="65"/>
        <v>2011-04</v>
      </c>
      <c r="G331">
        <v>4021.88</v>
      </c>
      <c r="H331">
        <f t="shared" si="72"/>
        <v>4.300760382279111E-3</v>
      </c>
      <c r="I331" t="str">
        <f t="shared" si="66"/>
        <v>2011-04</v>
      </c>
      <c r="K331">
        <v>7295.49</v>
      </c>
      <c r="L331">
        <f t="shared" si="73"/>
        <v>6.3666105259840662E-3</v>
      </c>
      <c r="M331" t="str">
        <f t="shared" si="67"/>
        <v>2011-04</v>
      </c>
      <c r="O331">
        <v>6834.0396499999997</v>
      </c>
      <c r="P331">
        <f t="shared" si="74"/>
        <v>3.1667244165252671E-3</v>
      </c>
      <c r="Q331" t="str">
        <f t="shared" si="68"/>
        <v>2011-04</v>
      </c>
      <c r="S331">
        <v>10584.1</v>
      </c>
      <c r="T331">
        <f t="shared" si="75"/>
        <v>4.611859780551477E-3</v>
      </c>
      <c r="U331" t="str">
        <f t="shared" si="69"/>
        <v>2011-04</v>
      </c>
      <c r="W331">
        <v>21810.7</v>
      </c>
      <c r="X331">
        <f t="shared" si="76"/>
        <v>1.4233792937805344E-2</v>
      </c>
      <c r="Y331">
        <f t="shared" si="77"/>
        <v>1.4335575713465208E-2</v>
      </c>
      <c r="Z331" t="str">
        <f t="shared" si="70"/>
        <v>2011-04</v>
      </c>
    </row>
    <row r="332" spans="1:26" x14ac:dyDescent="0.35">
      <c r="A332" s="1">
        <v>40659</v>
      </c>
      <c r="C332">
        <v>2955.36</v>
      </c>
      <c r="D332">
        <f t="shared" si="71"/>
        <v>6.4701854800950408E-3</v>
      </c>
      <c r="E332" t="str">
        <f t="shared" si="65"/>
        <v>2011-04</v>
      </c>
      <c r="G332">
        <v>4045.29</v>
      </c>
      <c r="H332">
        <f t="shared" si="72"/>
        <v>5.8037863864796781E-3</v>
      </c>
      <c r="I332" t="str">
        <f t="shared" si="66"/>
        <v>2011-04</v>
      </c>
      <c r="K332">
        <v>7356.51</v>
      </c>
      <c r="L332">
        <f t="shared" si="73"/>
        <v>8.3292864839892029E-3</v>
      </c>
      <c r="M332" t="str">
        <f t="shared" si="67"/>
        <v>2011-04</v>
      </c>
      <c r="O332">
        <v>6833.7327299999997</v>
      </c>
      <c r="P332">
        <f t="shared" si="74"/>
        <v>-4.4911488356463623E-5</v>
      </c>
      <c r="Q332" t="str">
        <f t="shared" si="68"/>
        <v>2011-04</v>
      </c>
      <c r="S332">
        <v>10650.6</v>
      </c>
      <c r="T332">
        <f t="shared" si="75"/>
        <v>6.2633536049217483E-3</v>
      </c>
      <c r="U332" t="str">
        <f t="shared" si="69"/>
        <v>2011-04</v>
      </c>
      <c r="W332">
        <v>21932.78</v>
      </c>
      <c r="X332">
        <f t="shared" si="76"/>
        <v>5.5816463138163384E-3</v>
      </c>
      <c r="Y332">
        <f t="shared" si="77"/>
        <v>5.5972527245800501E-3</v>
      </c>
      <c r="Z332" t="str">
        <f t="shared" si="70"/>
        <v>2011-04</v>
      </c>
    </row>
    <row r="333" spans="1:26" x14ac:dyDescent="0.35">
      <c r="A333" s="1">
        <v>40660</v>
      </c>
      <c r="C333">
        <v>2977.59</v>
      </c>
      <c r="D333">
        <f t="shared" si="71"/>
        <v>7.4937776418799052E-3</v>
      </c>
      <c r="E333" t="str">
        <f t="shared" si="65"/>
        <v>2011-04</v>
      </c>
      <c r="G333">
        <v>4067.72</v>
      </c>
      <c r="H333">
        <f t="shared" si="72"/>
        <v>5.5294045362842738E-3</v>
      </c>
      <c r="I333" t="str">
        <f t="shared" si="66"/>
        <v>2011-04</v>
      </c>
      <c r="K333">
        <v>7404.95</v>
      </c>
      <c r="L333">
        <f t="shared" si="73"/>
        <v>6.5630600054835102E-3</v>
      </c>
      <c r="M333" t="str">
        <f t="shared" si="67"/>
        <v>2011-04</v>
      </c>
      <c r="O333">
        <v>6838.4051600000003</v>
      </c>
      <c r="P333">
        <f t="shared" si="74"/>
        <v>6.8349664397678641E-4</v>
      </c>
      <c r="Q333" t="str">
        <f t="shared" si="68"/>
        <v>2011-04</v>
      </c>
      <c r="S333">
        <v>10740.9</v>
      </c>
      <c r="T333">
        <f t="shared" si="75"/>
        <v>8.4426558557939187E-3</v>
      </c>
      <c r="U333" t="str">
        <f t="shared" si="69"/>
        <v>2011-04</v>
      </c>
      <c r="W333">
        <v>22238.16</v>
      </c>
      <c r="X333">
        <f t="shared" si="76"/>
        <v>1.3827410765395806E-2</v>
      </c>
      <c r="Y333">
        <f t="shared" si="77"/>
        <v>1.3923451564279632E-2</v>
      </c>
      <c r="Z333" t="str">
        <f t="shared" si="70"/>
        <v>2011-04</v>
      </c>
    </row>
    <row r="334" spans="1:26" x14ac:dyDescent="0.35">
      <c r="A334" s="1">
        <v>40661</v>
      </c>
      <c r="C334">
        <v>3005.33</v>
      </c>
      <c r="D334">
        <f t="shared" si="71"/>
        <v>9.2731304386898181E-3</v>
      </c>
      <c r="E334" t="str">
        <f t="shared" si="65"/>
        <v>2011-04</v>
      </c>
      <c r="G334">
        <v>4104.8999999999996</v>
      </c>
      <c r="H334">
        <f t="shared" si="72"/>
        <v>9.0987361461480204E-3</v>
      </c>
      <c r="I334" t="str">
        <f t="shared" si="66"/>
        <v>2011-04</v>
      </c>
      <c r="K334">
        <v>7475.22</v>
      </c>
      <c r="L334">
        <f t="shared" si="73"/>
        <v>9.4448547792781688E-3</v>
      </c>
      <c r="M334" t="str">
        <f t="shared" si="67"/>
        <v>2011-04</v>
      </c>
      <c r="O334">
        <v>6825.5607099999997</v>
      </c>
      <c r="P334">
        <f t="shared" si="74"/>
        <v>-1.8800476970616267E-3</v>
      </c>
      <c r="Q334" t="str">
        <f t="shared" si="68"/>
        <v>2011-04</v>
      </c>
      <c r="S334">
        <v>10867.8</v>
      </c>
      <c r="T334">
        <f t="shared" si="75"/>
        <v>1.1745404292318962E-2</v>
      </c>
      <c r="U334" t="str">
        <f t="shared" si="69"/>
        <v>2011-04</v>
      </c>
      <c r="W334">
        <v>22380.19</v>
      </c>
      <c r="X334">
        <f t="shared" si="76"/>
        <v>6.3664604239072956E-3</v>
      </c>
      <c r="Y334">
        <f t="shared" si="77"/>
        <v>6.386769408979827E-3</v>
      </c>
      <c r="Z334" t="str">
        <f t="shared" si="70"/>
        <v>2011-04</v>
      </c>
    </row>
    <row r="335" spans="1:26" x14ac:dyDescent="0.35">
      <c r="A335" s="1">
        <v>40666</v>
      </c>
      <c r="C335">
        <v>3000.39</v>
      </c>
      <c r="D335">
        <f t="shared" si="71"/>
        <v>-1.6450987106005933E-3</v>
      </c>
      <c r="E335" t="str">
        <f t="shared" si="65"/>
        <v>2011-05</v>
      </c>
      <c r="G335">
        <v>4096.84</v>
      </c>
      <c r="H335">
        <f t="shared" si="72"/>
        <v>-1.9654372351744246E-3</v>
      </c>
      <c r="I335" t="str">
        <f t="shared" si="66"/>
        <v>2011-05</v>
      </c>
      <c r="K335">
        <v>7500.7</v>
      </c>
      <c r="L335">
        <f t="shared" si="73"/>
        <v>3.4027992385326049E-3</v>
      </c>
      <c r="M335" t="str">
        <f t="shared" si="67"/>
        <v>2011-05</v>
      </c>
      <c r="O335">
        <v>6769.76908</v>
      </c>
      <c r="P335">
        <f t="shared" si="74"/>
        <v>-8.2075159711286049E-3</v>
      </c>
      <c r="Q335" t="str">
        <f t="shared" si="68"/>
        <v>2011-05</v>
      </c>
      <c r="S335">
        <v>10825.6</v>
      </c>
      <c r="T335">
        <f t="shared" si="75"/>
        <v>-3.8905891405365215E-3</v>
      </c>
      <c r="U335" t="str">
        <f t="shared" si="69"/>
        <v>2011-05</v>
      </c>
      <c r="W335">
        <v>22315.68</v>
      </c>
      <c r="X335">
        <f t="shared" si="76"/>
        <v>-2.8866221776014155E-3</v>
      </c>
      <c r="Y335">
        <f t="shared" si="77"/>
        <v>-2.8824598897506412E-3</v>
      </c>
      <c r="Z335" t="str">
        <f t="shared" si="70"/>
        <v>2011-05</v>
      </c>
    </row>
    <row r="336" spans="1:26" x14ac:dyDescent="0.35">
      <c r="A336" s="1">
        <v>40667</v>
      </c>
      <c r="C336">
        <v>2952.02</v>
      </c>
      <c r="D336">
        <f t="shared" si="71"/>
        <v>-1.6252598435815842E-2</v>
      </c>
      <c r="E336" t="str">
        <f t="shared" si="65"/>
        <v>2011-05</v>
      </c>
      <c r="G336">
        <v>4043.13</v>
      </c>
      <c r="H336">
        <f t="shared" si="72"/>
        <v>-1.3196800354032487E-2</v>
      </c>
      <c r="I336" t="str">
        <f t="shared" si="66"/>
        <v>2011-05</v>
      </c>
      <c r="K336">
        <v>7373.93</v>
      </c>
      <c r="L336">
        <f t="shared" si="73"/>
        <v>-1.7045542566002495E-2</v>
      </c>
      <c r="M336" t="str">
        <f t="shared" si="67"/>
        <v>2011-05</v>
      </c>
      <c r="O336">
        <v>6656.6683499999999</v>
      </c>
      <c r="P336">
        <f t="shared" si="74"/>
        <v>-1.6847865397786179E-2</v>
      </c>
      <c r="Q336" t="str">
        <f t="shared" si="68"/>
        <v>2011-05</v>
      </c>
      <c r="S336">
        <v>10712.6</v>
      </c>
      <c r="T336">
        <f t="shared" si="75"/>
        <v>-1.0493080834775742E-2</v>
      </c>
      <c r="U336" t="str">
        <f t="shared" si="69"/>
        <v>2011-05</v>
      </c>
      <c r="W336">
        <v>21915.32</v>
      </c>
      <c r="X336">
        <f t="shared" si="76"/>
        <v>-1.8103634758076297E-2</v>
      </c>
      <c r="Y336">
        <f t="shared" si="77"/>
        <v>-1.7940748388577028E-2</v>
      </c>
      <c r="Z336" t="str">
        <f t="shared" si="70"/>
        <v>2011-05</v>
      </c>
    </row>
    <row r="337" spans="1:26" x14ac:dyDescent="0.35">
      <c r="A337" s="1">
        <v>40668</v>
      </c>
      <c r="C337">
        <v>2926.54</v>
      </c>
      <c r="D337">
        <f t="shared" si="71"/>
        <v>-8.6688439229569078E-3</v>
      </c>
      <c r="E337" t="str">
        <f t="shared" si="65"/>
        <v>2011-05</v>
      </c>
      <c r="G337">
        <v>4004.87</v>
      </c>
      <c r="H337">
        <f t="shared" si="72"/>
        <v>-9.5080239147440331E-3</v>
      </c>
      <c r="I337" t="str">
        <f t="shared" si="66"/>
        <v>2011-05</v>
      </c>
      <c r="K337">
        <v>7376.96</v>
      </c>
      <c r="L337">
        <f t="shared" si="73"/>
        <v>4.1082267478314535E-4</v>
      </c>
      <c r="M337" t="str">
        <f t="shared" si="67"/>
        <v>2011-05</v>
      </c>
      <c r="O337">
        <v>6670.5372900000002</v>
      </c>
      <c r="P337">
        <f t="shared" si="74"/>
        <v>2.081298267782809E-3</v>
      </c>
      <c r="Q337" t="str">
        <f t="shared" si="68"/>
        <v>2011-05</v>
      </c>
      <c r="S337">
        <v>10627.3</v>
      </c>
      <c r="T337">
        <f t="shared" si="75"/>
        <v>-7.9944567971379169E-3</v>
      </c>
      <c r="U337" t="str">
        <f t="shared" si="69"/>
        <v>2011-05</v>
      </c>
      <c r="W337">
        <v>21741.02</v>
      </c>
      <c r="X337">
        <f t="shared" si="76"/>
        <v>-7.9851369193131867E-3</v>
      </c>
      <c r="Y337">
        <f t="shared" si="77"/>
        <v>-7.9533404029692133E-3</v>
      </c>
      <c r="Z337" t="str">
        <f t="shared" si="70"/>
        <v>2011-05</v>
      </c>
    </row>
    <row r="338" spans="1:26" x14ac:dyDescent="0.35">
      <c r="A338" s="1">
        <v>40669</v>
      </c>
      <c r="C338">
        <v>2952.9</v>
      </c>
      <c r="D338">
        <f t="shared" si="71"/>
        <v>8.9669004610692382E-3</v>
      </c>
      <c r="E338" t="str">
        <f t="shared" si="65"/>
        <v>2011-05</v>
      </c>
      <c r="G338">
        <v>4058.01</v>
      </c>
      <c r="H338">
        <f t="shared" si="72"/>
        <v>1.3181585100912933E-2</v>
      </c>
      <c r="I338" t="str">
        <f t="shared" si="66"/>
        <v>2011-05</v>
      </c>
      <c r="K338">
        <v>7492.25</v>
      </c>
      <c r="L338">
        <f t="shared" si="73"/>
        <v>1.5507523322872941E-2</v>
      </c>
      <c r="M338" t="str">
        <f t="shared" si="67"/>
        <v>2011-05</v>
      </c>
      <c r="O338">
        <v>6800.9517299999998</v>
      </c>
      <c r="P338">
        <f t="shared" si="74"/>
        <v>1.9362152775966455E-2</v>
      </c>
      <c r="Q338" t="str">
        <f t="shared" si="68"/>
        <v>2011-05</v>
      </c>
      <c r="S338">
        <v>10610.5</v>
      </c>
      <c r="T338">
        <f t="shared" si="75"/>
        <v>-1.5820851033713208E-3</v>
      </c>
      <c r="U338" t="str">
        <f t="shared" si="69"/>
        <v>2011-05</v>
      </c>
      <c r="W338">
        <v>21953.759999999998</v>
      </c>
      <c r="X338">
        <f t="shared" si="76"/>
        <v>9.737624541032849E-3</v>
      </c>
      <c r="Y338">
        <f t="shared" si="77"/>
        <v>9.7851894713310572E-3</v>
      </c>
      <c r="Z338" t="str">
        <f t="shared" si="70"/>
        <v>2011-05</v>
      </c>
    </row>
    <row r="339" spans="1:26" x14ac:dyDescent="0.35">
      <c r="A339" s="1">
        <v>40672</v>
      </c>
      <c r="C339">
        <v>2902.4</v>
      </c>
      <c r="D339">
        <f t="shared" si="71"/>
        <v>-1.7249757382457896E-2</v>
      </c>
      <c r="E339" t="str">
        <f t="shared" si="65"/>
        <v>2011-05</v>
      </c>
      <c r="G339">
        <v>4007.26</v>
      </c>
      <c r="H339">
        <f t="shared" si="72"/>
        <v>-1.2584989671011425E-2</v>
      </c>
      <c r="I339" t="str">
        <f t="shared" si="66"/>
        <v>2011-05</v>
      </c>
      <c r="K339">
        <v>7410.52</v>
      </c>
      <c r="L339">
        <f t="shared" si="73"/>
        <v>-1.0968540667556004E-2</v>
      </c>
      <c r="M339" t="str">
        <f t="shared" si="67"/>
        <v>2011-05</v>
      </c>
      <c r="O339">
        <v>6786.0694599999997</v>
      </c>
      <c r="P339">
        <f t="shared" si="74"/>
        <v>-2.1906605934512362E-3</v>
      </c>
      <c r="Q339" t="str">
        <f t="shared" si="68"/>
        <v>2011-05</v>
      </c>
      <c r="S339">
        <v>10396.299999999999</v>
      </c>
      <c r="T339">
        <f t="shared" si="75"/>
        <v>-2.0394103253296561E-2</v>
      </c>
      <c r="U339" t="str">
        <f t="shared" si="69"/>
        <v>2011-05</v>
      </c>
      <c r="W339">
        <v>21666.400000000001</v>
      </c>
      <c r="X339">
        <f t="shared" si="76"/>
        <v>-1.3175749797271187E-2</v>
      </c>
      <c r="Y339">
        <f t="shared" si="77"/>
        <v>-1.308932957270176E-2</v>
      </c>
      <c r="Z339" t="str">
        <f t="shared" si="70"/>
        <v>2011-05</v>
      </c>
    </row>
    <row r="340" spans="1:26" x14ac:dyDescent="0.35">
      <c r="A340" s="1">
        <v>40673</v>
      </c>
      <c r="C340">
        <v>2939.02</v>
      </c>
      <c r="D340">
        <f t="shared" si="71"/>
        <v>1.253821151067221E-2</v>
      </c>
      <c r="E340" t="str">
        <f t="shared" si="65"/>
        <v>2011-05</v>
      </c>
      <c r="G340">
        <v>4052.51</v>
      </c>
      <c r="H340">
        <f t="shared" si="72"/>
        <v>1.1228726239546589E-2</v>
      </c>
      <c r="I340" t="str">
        <f t="shared" si="66"/>
        <v>2011-05</v>
      </c>
      <c r="K340">
        <v>7501.52</v>
      </c>
      <c r="L340">
        <f t="shared" si="73"/>
        <v>1.2205054390405657E-2</v>
      </c>
      <c r="M340" t="str">
        <f t="shared" si="67"/>
        <v>2011-05</v>
      </c>
      <c r="O340">
        <v>6846.0890799999997</v>
      </c>
      <c r="P340">
        <f t="shared" si="74"/>
        <v>8.8056499119365337E-3</v>
      </c>
      <c r="Q340" t="str">
        <f t="shared" si="68"/>
        <v>2011-05</v>
      </c>
      <c r="S340">
        <v>10474.4</v>
      </c>
      <c r="T340">
        <f t="shared" si="75"/>
        <v>7.4842113157356747E-3</v>
      </c>
      <c r="U340" t="str">
        <f t="shared" si="69"/>
        <v>2011-05</v>
      </c>
      <c r="W340">
        <v>21984.32</v>
      </c>
      <c r="X340">
        <f t="shared" si="76"/>
        <v>1.4566798515278041E-2</v>
      </c>
      <c r="Y340">
        <f t="shared" si="77"/>
        <v>1.4673411365062873E-2</v>
      </c>
      <c r="Z340" t="str">
        <f t="shared" si="70"/>
        <v>2011-05</v>
      </c>
    </row>
    <row r="341" spans="1:26" x14ac:dyDescent="0.35">
      <c r="A341" s="1">
        <v>40674</v>
      </c>
      <c r="C341">
        <v>2942.43</v>
      </c>
      <c r="D341">
        <f t="shared" si="71"/>
        <v>1.1595781251550418E-3</v>
      </c>
      <c r="E341" t="str">
        <f t="shared" si="65"/>
        <v>2011-05</v>
      </c>
      <c r="G341">
        <v>4058.08</v>
      </c>
      <c r="H341">
        <f t="shared" si="72"/>
        <v>1.3735131169662325E-3</v>
      </c>
      <c r="I341" t="str">
        <f t="shared" si="66"/>
        <v>2011-05</v>
      </c>
      <c r="K341">
        <v>7495.05</v>
      </c>
      <c r="L341">
        <f t="shared" si="73"/>
        <v>-8.6286402843166595E-4</v>
      </c>
      <c r="M341" t="str">
        <f t="shared" si="67"/>
        <v>2011-05</v>
      </c>
      <c r="O341">
        <v>6875.4050200000001</v>
      </c>
      <c r="P341">
        <f t="shared" si="74"/>
        <v>4.273001816255507E-3</v>
      </c>
      <c r="Q341" t="str">
        <f t="shared" si="68"/>
        <v>2011-05</v>
      </c>
      <c r="S341">
        <v>10531.5</v>
      </c>
      <c r="T341">
        <f t="shared" si="75"/>
        <v>5.4365812118697364E-3</v>
      </c>
      <c r="U341" t="str">
        <f t="shared" si="69"/>
        <v>2011-05</v>
      </c>
      <c r="W341">
        <v>22031.16</v>
      </c>
      <c r="X341">
        <f t="shared" si="76"/>
        <v>2.1283429230574422E-3</v>
      </c>
      <c r="Y341">
        <f t="shared" si="77"/>
        <v>2.1306094525552822E-3</v>
      </c>
      <c r="Z341" t="str">
        <f t="shared" si="70"/>
        <v>2011-05</v>
      </c>
    </row>
    <row r="342" spans="1:26" x14ac:dyDescent="0.35">
      <c r="A342" s="1">
        <v>40675</v>
      </c>
      <c r="C342">
        <v>2917.05</v>
      </c>
      <c r="D342">
        <f t="shared" si="71"/>
        <v>-8.6629389376436591E-3</v>
      </c>
      <c r="E342" t="str">
        <f t="shared" si="65"/>
        <v>2011-05</v>
      </c>
      <c r="G342">
        <v>4023.29</v>
      </c>
      <c r="H342">
        <f t="shared" si="72"/>
        <v>-8.6099794762579222E-3</v>
      </c>
      <c r="I342" t="str">
        <f t="shared" si="66"/>
        <v>2011-05</v>
      </c>
      <c r="K342">
        <v>7443.95</v>
      </c>
      <c r="L342">
        <f t="shared" si="73"/>
        <v>-6.8411807078535437E-3</v>
      </c>
      <c r="M342" t="str">
        <f t="shared" si="67"/>
        <v>2011-05</v>
      </c>
      <c r="O342">
        <v>6802.5346799999998</v>
      </c>
      <c r="P342">
        <f t="shared" si="74"/>
        <v>-1.0655264029433309E-2</v>
      </c>
      <c r="Q342" t="str">
        <f t="shared" si="68"/>
        <v>2011-05</v>
      </c>
      <c r="S342">
        <v>10487.6</v>
      </c>
      <c r="T342">
        <f t="shared" si="75"/>
        <v>-4.1771592345051147E-3</v>
      </c>
      <c r="U342" t="str">
        <f t="shared" si="69"/>
        <v>2011-05</v>
      </c>
      <c r="W342">
        <v>21787.69</v>
      </c>
      <c r="X342">
        <f t="shared" si="76"/>
        <v>-1.1112683493027532E-2</v>
      </c>
      <c r="Y342">
        <f t="shared" si="77"/>
        <v>-1.1051165712563531E-2</v>
      </c>
      <c r="Z342" t="str">
        <f t="shared" si="70"/>
        <v>2011-05</v>
      </c>
    </row>
    <row r="343" spans="1:26" x14ac:dyDescent="0.35">
      <c r="A343" s="1">
        <v>40676</v>
      </c>
      <c r="C343">
        <v>2894.6</v>
      </c>
      <c r="D343">
        <f t="shared" si="71"/>
        <v>-7.7258994154968163E-3</v>
      </c>
      <c r="E343" t="str">
        <f t="shared" si="65"/>
        <v>2011-05</v>
      </c>
      <c r="G343">
        <v>4018.85</v>
      </c>
      <c r="H343">
        <f t="shared" si="72"/>
        <v>-1.1041838244825698E-3</v>
      </c>
      <c r="I343" t="str">
        <f t="shared" si="66"/>
        <v>2011-05</v>
      </c>
      <c r="K343">
        <v>7403.31</v>
      </c>
      <c r="L343">
        <f t="shared" si="73"/>
        <v>-5.4744244387254374E-3</v>
      </c>
      <c r="M343" t="str">
        <f t="shared" si="67"/>
        <v>2011-05</v>
      </c>
      <c r="O343">
        <v>6791.85214</v>
      </c>
      <c r="P343">
        <f t="shared" si="74"/>
        <v>-1.5716107449688494E-3</v>
      </c>
      <c r="Q343" t="str">
        <f t="shared" si="68"/>
        <v>2011-05</v>
      </c>
      <c r="S343">
        <v>10356.5</v>
      </c>
      <c r="T343">
        <f t="shared" si="75"/>
        <v>-1.2579264995330495E-2</v>
      </c>
      <c r="U343" t="str">
        <f t="shared" si="69"/>
        <v>2011-05</v>
      </c>
      <c r="W343">
        <v>21764.31</v>
      </c>
      <c r="X343">
        <f t="shared" si="76"/>
        <v>-1.0736591773478279E-3</v>
      </c>
      <c r="Y343">
        <f t="shared" si="77"/>
        <v>-1.0730830115536518E-3</v>
      </c>
      <c r="Z343" t="str">
        <f t="shared" si="70"/>
        <v>2011-05</v>
      </c>
    </row>
    <row r="344" spans="1:26" x14ac:dyDescent="0.35">
      <c r="A344" s="1">
        <v>40679</v>
      </c>
      <c r="C344">
        <v>2881.31</v>
      </c>
      <c r="D344">
        <f t="shared" si="71"/>
        <v>-4.6018803803572822E-3</v>
      </c>
      <c r="E344" t="str">
        <f t="shared" si="65"/>
        <v>2011-05</v>
      </c>
      <c r="G344">
        <v>3989.82</v>
      </c>
      <c r="H344">
        <f t="shared" si="72"/>
        <v>-7.2496749512551773E-3</v>
      </c>
      <c r="I344" t="str">
        <f t="shared" si="66"/>
        <v>2011-05</v>
      </c>
      <c r="K344">
        <v>7387.54</v>
      </c>
      <c r="L344">
        <f t="shared" si="73"/>
        <v>-2.1324002306409703E-3</v>
      </c>
      <c r="M344" t="str">
        <f t="shared" si="67"/>
        <v>2011-05</v>
      </c>
      <c r="O344">
        <v>6767.1900800000003</v>
      </c>
      <c r="P344">
        <f t="shared" si="74"/>
        <v>-3.637732930709544E-3</v>
      </c>
      <c r="Q344" t="str">
        <f t="shared" si="68"/>
        <v>2011-05</v>
      </c>
      <c r="S344">
        <v>10363.9</v>
      </c>
      <c r="T344">
        <f t="shared" si="75"/>
        <v>7.1427195561989977E-4</v>
      </c>
      <c r="U344" t="str">
        <f t="shared" si="69"/>
        <v>2011-05</v>
      </c>
      <c r="W344">
        <v>21685.34</v>
      </c>
      <c r="X344">
        <f t="shared" si="76"/>
        <v>-3.6350160222133393E-3</v>
      </c>
      <c r="Y344">
        <f t="shared" si="77"/>
        <v>-3.6284173493210288E-3</v>
      </c>
      <c r="Z344" t="str">
        <f t="shared" si="70"/>
        <v>2011-05</v>
      </c>
    </row>
    <row r="345" spans="1:26" x14ac:dyDescent="0.35">
      <c r="A345" s="1">
        <v>40680</v>
      </c>
      <c r="C345">
        <v>2849.6</v>
      </c>
      <c r="D345">
        <f t="shared" si="71"/>
        <v>-1.1066418287749683E-2</v>
      </c>
      <c r="E345" t="str">
        <f t="shared" si="65"/>
        <v>2011-05</v>
      </c>
      <c r="G345">
        <v>3941.58</v>
      </c>
      <c r="H345">
        <f t="shared" si="72"/>
        <v>-1.2164458949053306E-2</v>
      </c>
      <c r="I345" t="str">
        <f t="shared" si="66"/>
        <v>2011-05</v>
      </c>
      <c r="K345">
        <v>7256.65</v>
      </c>
      <c r="L345">
        <f t="shared" si="73"/>
        <v>-1.7876507432087733E-2</v>
      </c>
      <c r="M345" t="str">
        <f t="shared" si="67"/>
        <v>2011-05</v>
      </c>
      <c r="O345">
        <v>6705.1990800000003</v>
      </c>
      <c r="P345">
        <f t="shared" si="74"/>
        <v>-9.202738544247099E-3</v>
      </c>
      <c r="Q345" t="str">
        <f t="shared" si="68"/>
        <v>2011-05</v>
      </c>
      <c r="S345">
        <v>10306.4</v>
      </c>
      <c r="T345">
        <f t="shared" si="75"/>
        <v>-5.56355237388263E-3</v>
      </c>
      <c r="U345" t="str">
        <f t="shared" si="69"/>
        <v>2011-05</v>
      </c>
      <c r="W345">
        <v>21408.94</v>
      </c>
      <c r="X345">
        <f t="shared" si="76"/>
        <v>-1.2827864404239355E-2</v>
      </c>
      <c r="Y345">
        <f t="shared" si="77"/>
        <v>-1.2745938039246858E-2</v>
      </c>
      <c r="Z345" t="str">
        <f t="shared" si="70"/>
        <v>2011-05</v>
      </c>
    </row>
    <row r="346" spans="1:26" x14ac:dyDescent="0.35">
      <c r="A346" s="1">
        <v>40681</v>
      </c>
      <c r="C346">
        <v>2867.3</v>
      </c>
      <c r="D346">
        <f t="shared" si="71"/>
        <v>6.192186869160495E-3</v>
      </c>
      <c r="E346" t="str">
        <f t="shared" si="65"/>
        <v>2011-05</v>
      </c>
      <c r="G346">
        <v>3978</v>
      </c>
      <c r="H346">
        <f t="shared" si="72"/>
        <v>9.1975222786285747E-3</v>
      </c>
      <c r="I346" t="str">
        <f t="shared" si="66"/>
        <v>2011-05</v>
      </c>
      <c r="K346">
        <v>7303.53</v>
      </c>
      <c r="L346">
        <f t="shared" si="73"/>
        <v>6.4395030828486152E-3</v>
      </c>
      <c r="M346" t="str">
        <f t="shared" si="67"/>
        <v>2011-05</v>
      </c>
      <c r="O346">
        <v>6718.96569</v>
      </c>
      <c r="P346">
        <f t="shared" si="74"/>
        <v>2.0510199422976915E-3</v>
      </c>
      <c r="Q346" t="str">
        <f t="shared" si="68"/>
        <v>2011-05</v>
      </c>
      <c r="S346">
        <v>10343.700000000001</v>
      </c>
      <c r="T346">
        <f t="shared" si="75"/>
        <v>3.6125772336175282E-3</v>
      </c>
      <c r="U346" t="str">
        <f t="shared" si="69"/>
        <v>2011-05</v>
      </c>
      <c r="W346">
        <v>21444.04</v>
      </c>
      <c r="X346">
        <f t="shared" si="76"/>
        <v>1.6381594861984185E-3</v>
      </c>
      <c r="Y346">
        <f t="shared" si="77"/>
        <v>1.6395020024345991E-3</v>
      </c>
      <c r="Z346" t="str">
        <f t="shared" si="70"/>
        <v>2011-05</v>
      </c>
    </row>
    <row r="347" spans="1:26" x14ac:dyDescent="0.35">
      <c r="A347" s="1">
        <v>40682</v>
      </c>
      <c r="C347">
        <v>2890.6</v>
      </c>
      <c r="D347">
        <f t="shared" si="71"/>
        <v>8.0932726101839193E-3</v>
      </c>
      <c r="E347" t="str">
        <f t="shared" si="65"/>
        <v>2011-05</v>
      </c>
      <c r="G347">
        <v>4027.74</v>
      </c>
      <c r="H347">
        <f t="shared" si="72"/>
        <v>1.2426244178352978E-2</v>
      </c>
      <c r="I347" t="str">
        <f t="shared" si="66"/>
        <v>2011-05</v>
      </c>
      <c r="K347">
        <v>7358.23</v>
      </c>
      <c r="L347">
        <f t="shared" si="73"/>
        <v>7.461621768275699E-3</v>
      </c>
      <c r="M347" t="str">
        <f t="shared" si="67"/>
        <v>2011-05</v>
      </c>
      <c r="O347">
        <v>6740.8233600000003</v>
      </c>
      <c r="P347">
        <f t="shared" si="74"/>
        <v>3.2478501903201564E-3</v>
      </c>
      <c r="Q347" t="str">
        <f t="shared" si="68"/>
        <v>2011-05</v>
      </c>
      <c r="S347">
        <v>10376.799999999999</v>
      </c>
      <c r="T347">
        <f t="shared" si="75"/>
        <v>3.1949063155307096E-3</v>
      </c>
      <c r="U347" t="str">
        <f t="shared" si="69"/>
        <v>2011-05</v>
      </c>
      <c r="W347">
        <v>21559.72</v>
      </c>
      <c r="X347">
        <f t="shared" si="76"/>
        <v>5.3800076562922905E-3</v>
      </c>
      <c r="Y347">
        <f t="shared" si="77"/>
        <v>5.39450588601776E-3</v>
      </c>
      <c r="Z347" t="str">
        <f t="shared" si="70"/>
        <v>2011-05</v>
      </c>
    </row>
    <row r="348" spans="1:26" x14ac:dyDescent="0.35">
      <c r="A348" s="1">
        <v>40683</v>
      </c>
      <c r="C348">
        <v>2853.98</v>
      </c>
      <c r="D348">
        <f t="shared" si="71"/>
        <v>-1.2749581710993284E-2</v>
      </c>
      <c r="E348" t="str">
        <f t="shared" si="65"/>
        <v>2011-05</v>
      </c>
      <c r="G348">
        <v>3990.85</v>
      </c>
      <c r="H348">
        <f t="shared" si="72"/>
        <v>-9.201183815126043E-3</v>
      </c>
      <c r="I348" t="str">
        <f t="shared" si="66"/>
        <v>2011-05</v>
      </c>
      <c r="K348">
        <v>7266.82</v>
      </c>
      <c r="L348">
        <f t="shared" si="73"/>
        <v>-1.2500632866458521E-2</v>
      </c>
      <c r="M348" t="str">
        <f t="shared" si="67"/>
        <v>2011-05</v>
      </c>
      <c r="O348">
        <v>6806.7152599999999</v>
      </c>
      <c r="P348">
        <f t="shared" si="74"/>
        <v>9.7275854216103391E-3</v>
      </c>
      <c r="Q348" t="str">
        <f t="shared" si="68"/>
        <v>2011-05</v>
      </c>
      <c r="S348">
        <v>10226.6</v>
      </c>
      <c r="T348">
        <f t="shared" si="75"/>
        <v>-1.4580376139452584E-2</v>
      </c>
      <c r="U348" t="str">
        <f t="shared" si="69"/>
        <v>2011-05</v>
      </c>
      <c r="W348">
        <v>21236.87</v>
      </c>
      <c r="X348">
        <f t="shared" si="76"/>
        <v>-1.508793689396179E-2</v>
      </c>
      <c r="Y348">
        <f t="shared" si="77"/>
        <v>-1.4974684272337589E-2</v>
      </c>
      <c r="Z348" t="str">
        <f t="shared" si="70"/>
        <v>2011-05</v>
      </c>
    </row>
    <row r="349" spans="1:26" x14ac:dyDescent="0.35">
      <c r="A349" s="1">
        <v>40686</v>
      </c>
      <c r="C349">
        <v>2794.26</v>
      </c>
      <c r="D349">
        <f t="shared" si="71"/>
        <v>-2.1147198266583758E-2</v>
      </c>
      <c r="E349" t="str">
        <f t="shared" si="65"/>
        <v>2011-05</v>
      </c>
      <c r="G349">
        <v>3906.98</v>
      </c>
      <c r="H349">
        <f t="shared" si="72"/>
        <v>-2.123954375232482E-2</v>
      </c>
      <c r="I349" t="str">
        <f t="shared" si="66"/>
        <v>2011-05</v>
      </c>
      <c r="K349">
        <v>7121.52</v>
      </c>
      <c r="L349">
        <f t="shared" si="73"/>
        <v>-2.0197596036075849E-2</v>
      </c>
      <c r="M349" t="str">
        <f t="shared" si="67"/>
        <v>2011-05</v>
      </c>
      <c r="O349">
        <v>6695.0015000000003</v>
      </c>
      <c r="P349">
        <f t="shared" si="74"/>
        <v>-1.6548459931352989E-2</v>
      </c>
      <c r="Q349" t="str">
        <f t="shared" si="68"/>
        <v>2011-05</v>
      </c>
      <c r="S349">
        <v>10082.700000000001</v>
      </c>
      <c r="T349">
        <f t="shared" si="75"/>
        <v>-1.4171084986113629E-2</v>
      </c>
      <c r="U349" t="str">
        <f t="shared" si="69"/>
        <v>2011-05</v>
      </c>
      <c r="W349">
        <v>20532.64</v>
      </c>
      <c r="X349">
        <f t="shared" si="76"/>
        <v>-3.3723006982009633E-2</v>
      </c>
      <c r="Y349">
        <f t="shared" si="77"/>
        <v>-3.3160724720733309E-2</v>
      </c>
      <c r="Z349" t="str">
        <f t="shared" si="70"/>
        <v>2011-05</v>
      </c>
    </row>
    <row r="350" spans="1:26" x14ac:dyDescent="0.35">
      <c r="A350" s="1">
        <v>40687</v>
      </c>
      <c r="C350">
        <v>2801.27</v>
      </c>
      <c r="D350">
        <f t="shared" si="71"/>
        <v>2.5055727222751296E-3</v>
      </c>
      <c r="E350" t="str">
        <f t="shared" si="65"/>
        <v>2011-05</v>
      </c>
      <c r="G350">
        <v>3916.88</v>
      </c>
      <c r="H350">
        <f t="shared" si="72"/>
        <v>2.5307214811497729E-3</v>
      </c>
      <c r="I350" t="str">
        <f t="shared" si="66"/>
        <v>2011-05</v>
      </c>
      <c r="K350">
        <v>7150.66</v>
      </c>
      <c r="L350">
        <f t="shared" si="73"/>
        <v>4.0834743524634136E-3</v>
      </c>
      <c r="M350" t="str">
        <f t="shared" si="67"/>
        <v>2011-05</v>
      </c>
      <c r="O350">
        <v>6727.0464199999997</v>
      </c>
      <c r="P350">
        <f t="shared" si="74"/>
        <v>4.774976378774721E-3</v>
      </c>
      <c r="Q350" t="str">
        <f t="shared" si="68"/>
        <v>2011-05</v>
      </c>
      <c r="S350">
        <v>10115.9</v>
      </c>
      <c r="T350">
        <f t="shared" si="75"/>
        <v>3.2873595099283839E-3</v>
      </c>
      <c r="U350" t="str">
        <f t="shared" si="69"/>
        <v>2011-05</v>
      </c>
      <c r="W350">
        <v>20582.150000000001</v>
      </c>
      <c r="X350">
        <f t="shared" si="76"/>
        <v>2.4083802413219836E-3</v>
      </c>
      <c r="Y350">
        <f t="shared" si="77"/>
        <v>2.4112827186373522E-3</v>
      </c>
      <c r="Z350" t="str">
        <f t="shared" si="70"/>
        <v>2011-05</v>
      </c>
    </row>
    <row r="351" spans="1:26" x14ac:dyDescent="0.35">
      <c r="A351" s="1">
        <v>40688</v>
      </c>
      <c r="C351">
        <v>2816.84</v>
      </c>
      <c r="D351">
        <f t="shared" si="71"/>
        <v>5.5428034917952788E-3</v>
      </c>
      <c r="E351" t="str">
        <f t="shared" si="65"/>
        <v>2011-05</v>
      </c>
      <c r="G351">
        <v>3928.99</v>
      </c>
      <c r="H351">
        <f t="shared" si="72"/>
        <v>3.086976872361476E-3</v>
      </c>
      <c r="I351" t="str">
        <f t="shared" si="66"/>
        <v>2011-05</v>
      </c>
      <c r="K351">
        <v>7170.94</v>
      </c>
      <c r="L351">
        <f t="shared" si="73"/>
        <v>2.8320876934162663E-3</v>
      </c>
      <c r="M351" t="str">
        <f t="shared" si="67"/>
        <v>2011-05</v>
      </c>
      <c r="O351">
        <v>6772.8222900000001</v>
      </c>
      <c r="P351">
        <f t="shared" si="74"/>
        <v>6.7817023150231462E-3</v>
      </c>
      <c r="Q351" t="str">
        <f t="shared" si="68"/>
        <v>2011-05</v>
      </c>
      <c r="S351">
        <v>10217.4</v>
      </c>
      <c r="T351">
        <f t="shared" si="75"/>
        <v>9.9837058497883775E-3</v>
      </c>
      <c r="U351" t="str">
        <f t="shared" si="69"/>
        <v>2011-05</v>
      </c>
      <c r="W351">
        <v>20815.73</v>
      </c>
      <c r="X351">
        <f t="shared" si="76"/>
        <v>1.1284755585501282E-2</v>
      </c>
      <c r="Y351">
        <f t="shared" si="77"/>
        <v>1.1348668627912929E-2</v>
      </c>
      <c r="Z351" t="str">
        <f t="shared" si="70"/>
        <v>2011-05</v>
      </c>
    </row>
    <row r="352" spans="1:26" x14ac:dyDescent="0.35">
      <c r="A352" s="1">
        <v>40689</v>
      </c>
      <c r="C352">
        <v>2799.82</v>
      </c>
      <c r="D352">
        <f t="shared" si="71"/>
        <v>-6.0605598686404062E-3</v>
      </c>
      <c r="E352" t="str">
        <f t="shared" si="65"/>
        <v>2011-05</v>
      </c>
      <c r="G352">
        <v>3917.22</v>
      </c>
      <c r="H352">
        <f t="shared" si="72"/>
        <v>-3.0001768569894289E-3</v>
      </c>
      <c r="I352" t="str">
        <f t="shared" si="66"/>
        <v>2011-05</v>
      </c>
      <c r="K352">
        <v>7114.09</v>
      </c>
      <c r="L352">
        <f t="shared" si="73"/>
        <v>-7.9594232748222311E-3</v>
      </c>
      <c r="M352" t="str">
        <f t="shared" si="67"/>
        <v>2011-05</v>
      </c>
      <c r="O352">
        <v>6815.7885500000002</v>
      </c>
      <c r="P352">
        <f t="shared" si="74"/>
        <v>6.3238845672019201E-3</v>
      </c>
      <c r="Q352" t="str">
        <f t="shared" si="68"/>
        <v>2011-05</v>
      </c>
      <c r="S352">
        <v>10203.200000000001</v>
      </c>
      <c r="T352">
        <f t="shared" si="75"/>
        <v>-1.3907526996067064E-3</v>
      </c>
      <c r="U352" t="str">
        <f t="shared" si="69"/>
        <v>2011-05</v>
      </c>
      <c r="W352">
        <v>20668.349999999999</v>
      </c>
      <c r="X352">
        <f t="shared" si="76"/>
        <v>-7.105406221446741E-3</v>
      </c>
      <c r="Y352">
        <f t="shared" si="77"/>
        <v>-7.080222504807711E-3</v>
      </c>
      <c r="Z352" t="str">
        <f t="shared" si="70"/>
        <v>2011-05</v>
      </c>
    </row>
    <row r="353" spans="1:26" x14ac:dyDescent="0.35">
      <c r="A353" s="1">
        <v>40690</v>
      </c>
      <c r="C353">
        <v>2819.4</v>
      </c>
      <c r="D353">
        <f t="shared" si="71"/>
        <v>6.9689669542304239E-3</v>
      </c>
      <c r="E353" t="str">
        <f t="shared" si="65"/>
        <v>2011-05</v>
      </c>
      <c r="G353">
        <v>3950.98</v>
      </c>
      <c r="H353">
        <f t="shared" si="72"/>
        <v>8.5814308676193038E-3</v>
      </c>
      <c r="I353" t="str">
        <f t="shared" si="66"/>
        <v>2011-05</v>
      </c>
      <c r="K353">
        <v>7163.47</v>
      </c>
      <c r="L353">
        <f t="shared" si="73"/>
        <v>6.9171758888177219E-3</v>
      </c>
      <c r="M353" t="str">
        <f t="shared" si="67"/>
        <v>2011-05</v>
      </c>
      <c r="O353">
        <v>6838.0577999999996</v>
      </c>
      <c r="P353">
        <f t="shared" si="74"/>
        <v>3.2619774934438245E-3</v>
      </c>
      <c r="Q353" t="str">
        <f t="shared" si="68"/>
        <v>2011-05</v>
      </c>
      <c r="S353">
        <v>10261.200000000001</v>
      </c>
      <c r="T353">
        <f t="shared" si="75"/>
        <v>5.6683953889026771E-3</v>
      </c>
      <c r="U353" t="str">
        <f t="shared" si="69"/>
        <v>2011-05</v>
      </c>
      <c r="W353">
        <v>20830.87</v>
      </c>
      <c r="X353">
        <f t="shared" si="76"/>
        <v>7.8324764104637078E-3</v>
      </c>
      <c r="Y353">
        <f t="shared" si="77"/>
        <v>7.863230494935515E-3</v>
      </c>
      <c r="Z353" t="str">
        <f t="shared" si="70"/>
        <v>2011-05</v>
      </c>
    </row>
    <row r="354" spans="1:26" x14ac:dyDescent="0.35">
      <c r="A354" s="1">
        <v>40694</v>
      </c>
      <c r="C354">
        <v>2861.92</v>
      </c>
      <c r="D354">
        <f t="shared" si="71"/>
        <v>1.4968631908110557E-2</v>
      </c>
      <c r="E354" t="str">
        <f t="shared" si="65"/>
        <v>2011-05</v>
      </c>
      <c r="G354">
        <v>4006.94</v>
      </c>
      <c r="H354">
        <f t="shared" si="72"/>
        <v>1.4064208339218096E-2</v>
      </c>
      <c r="I354" t="str">
        <f t="shared" si="66"/>
        <v>2011-05</v>
      </c>
      <c r="K354">
        <v>7293.69</v>
      </c>
      <c r="L354">
        <f t="shared" si="73"/>
        <v>1.8015090352270884E-2</v>
      </c>
      <c r="M354" t="str">
        <f t="shared" si="67"/>
        <v>2011-05</v>
      </c>
      <c r="O354">
        <v>6851.77808</v>
      </c>
      <c r="P354">
        <f t="shared" si="74"/>
        <v>2.0044483679805261E-3</v>
      </c>
      <c r="Q354" t="str">
        <f t="shared" si="68"/>
        <v>2011-05</v>
      </c>
      <c r="S354">
        <v>10476</v>
      </c>
      <c r="T354">
        <f t="shared" si="75"/>
        <v>2.071713467769255E-2</v>
      </c>
      <c r="U354" t="str">
        <f t="shared" si="69"/>
        <v>2011-05</v>
      </c>
      <c r="W354">
        <v>21109.75</v>
      </c>
      <c r="X354">
        <f t="shared" si="76"/>
        <v>1.3298997978192752E-2</v>
      </c>
      <c r="Y354">
        <f t="shared" si="77"/>
        <v>1.3387822976188754E-2</v>
      </c>
      <c r="Z354" t="str">
        <f t="shared" si="70"/>
        <v>2011-05</v>
      </c>
    </row>
    <row r="355" spans="1:26" x14ac:dyDescent="0.35">
      <c r="A355" s="1">
        <v>40695</v>
      </c>
      <c r="C355">
        <v>2827.66</v>
      </c>
      <c r="D355">
        <f t="shared" si="71"/>
        <v>-1.204321376457947E-2</v>
      </c>
      <c r="E355" t="str">
        <f t="shared" si="65"/>
        <v>2011-06</v>
      </c>
      <c r="G355">
        <v>3964.81</v>
      </c>
      <c r="H355">
        <f t="shared" si="72"/>
        <v>-1.0569923101217533E-2</v>
      </c>
      <c r="I355" t="str">
        <f t="shared" si="66"/>
        <v>2011-06</v>
      </c>
      <c r="K355">
        <v>7217.43</v>
      </c>
      <c r="L355">
        <f t="shared" si="73"/>
        <v>-1.0510656939009539E-2</v>
      </c>
      <c r="M355" t="str">
        <f t="shared" si="67"/>
        <v>2011-06</v>
      </c>
      <c r="O355">
        <v>6742.8980300000003</v>
      </c>
      <c r="P355">
        <f t="shared" si="74"/>
        <v>-1.6018385024333368E-2</v>
      </c>
      <c r="Q355" t="str">
        <f t="shared" si="68"/>
        <v>2011-06</v>
      </c>
      <c r="S355">
        <v>10339.299999999999</v>
      </c>
      <c r="T355">
        <f t="shared" si="75"/>
        <v>-1.313475811600069E-2</v>
      </c>
      <c r="U355" t="str">
        <f t="shared" si="69"/>
        <v>2011-06</v>
      </c>
      <c r="W355">
        <v>20866.29</v>
      </c>
      <c r="X355">
        <f t="shared" si="76"/>
        <v>-1.1600080904729936E-2</v>
      </c>
      <c r="Y355">
        <f t="shared" si="77"/>
        <v>-1.1533059368301336E-2</v>
      </c>
      <c r="Z355" t="str">
        <f t="shared" si="70"/>
        <v>2011-06</v>
      </c>
    </row>
    <row r="356" spans="1:26" x14ac:dyDescent="0.35">
      <c r="A356" s="1">
        <v>40696</v>
      </c>
      <c r="C356">
        <v>2782.57</v>
      </c>
      <c r="D356">
        <f t="shared" si="71"/>
        <v>-1.6074553414389837E-2</v>
      </c>
      <c r="E356" t="str">
        <f t="shared" si="65"/>
        <v>2011-06</v>
      </c>
      <c r="G356">
        <v>3889.87</v>
      </c>
      <c r="H356">
        <f t="shared" si="72"/>
        <v>-1.9082196596033701E-2</v>
      </c>
      <c r="I356" t="str">
        <f t="shared" si="66"/>
        <v>2011-06</v>
      </c>
      <c r="K356">
        <v>7074.12</v>
      </c>
      <c r="L356">
        <f t="shared" si="73"/>
        <v>-2.0055879690980424E-2</v>
      </c>
      <c r="M356" t="str">
        <f t="shared" si="67"/>
        <v>2011-06</v>
      </c>
      <c r="O356">
        <v>6612.2562399999997</v>
      </c>
      <c r="P356">
        <f t="shared" si="74"/>
        <v>-1.9564874300124768E-2</v>
      </c>
      <c r="Q356" t="str">
        <f t="shared" si="68"/>
        <v>2011-06</v>
      </c>
      <c r="S356">
        <v>10261</v>
      </c>
      <c r="T356">
        <f t="shared" si="75"/>
        <v>-7.6018676493926698E-3</v>
      </c>
      <c r="U356" t="str">
        <f t="shared" si="69"/>
        <v>2011-06</v>
      </c>
      <c r="W356">
        <v>20700.93</v>
      </c>
      <c r="X356">
        <f t="shared" si="76"/>
        <v>-7.9563113584652147E-3</v>
      </c>
      <c r="Y356">
        <f t="shared" si="77"/>
        <v>-7.9247436894627921E-3</v>
      </c>
      <c r="Z356" t="str">
        <f t="shared" si="70"/>
        <v>2011-06</v>
      </c>
    </row>
    <row r="357" spans="1:26" x14ac:dyDescent="0.35">
      <c r="A357" s="1">
        <v>40697</v>
      </c>
      <c r="C357">
        <v>2789.11</v>
      </c>
      <c r="D357">
        <f t="shared" si="71"/>
        <v>2.347587443494841E-3</v>
      </c>
      <c r="E357" t="str">
        <f t="shared" si="65"/>
        <v>2011-06</v>
      </c>
      <c r="G357">
        <v>3890.68</v>
      </c>
      <c r="H357">
        <f t="shared" si="72"/>
        <v>2.0821150250968382E-4</v>
      </c>
      <c r="I357" t="str">
        <f t="shared" si="66"/>
        <v>2011-06</v>
      </c>
      <c r="K357">
        <v>7109.03</v>
      </c>
      <c r="L357">
        <f t="shared" si="73"/>
        <v>4.9227527734315192E-3</v>
      </c>
      <c r="M357" t="str">
        <f t="shared" si="67"/>
        <v>2011-06</v>
      </c>
      <c r="O357">
        <v>6573.3793100000003</v>
      </c>
      <c r="P357">
        <f t="shared" si="74"/>
        <v>-5.896878085047982E-3</v>
      </c>
      <c r="Q357" t="str">
        <f t="shared" si="68"/>
        <v>2011-06</v>
      </c>
      <c r="S357">
        <v>10285.700000000001</v>
      </c>
      <c r="T357">
        <f t="shared" si="75"/>
        <v>2.4042801908165565E-3</v>
      </c>
      <c r="U357" t="str">
        <f t="shared" si="69"/>
        <v>2011-06</v>
      </c>
      <c r="W357">
        <v>20809.919999999998</v>
      </c>
      <c r="X357">
        <f t="shared" si="76"/>
        <v>5.2511692941875745E-3</v>
      </c>
      <c r="Y357">
        <f t="shared" si="77"/>
        <v>5.26498084868641E-3</v>
      </c>
      <c r="Z357" t="str">
        <f t="shared" si="70"/>
        <v>2011-06</v>
      </c>
    </row>
    <row r="358" spans="1:26" x14ac:dyDescent="0.35">
      <c r="A358" s="1">
        <v>40700</v>
      </c>
      <c r="C358">
        <v>2765.33</v>
      </c>
      <c r="D358">
        <f t="shared" si="71"/>
        <v>-8.5625716691271406E-3</v>
      </c>
      <c r="E358" t="str">
        <f t="shared" si="65"/>
        <v>2011-06</v>
      </c>
      <c r="G358">
        <v>3863.4</v>
      </c>
      <c r="H358">
        <f t="shared" si="72"/>
        <v>-7.0363247612445909E-3</v>
      </c>
      <c r="I358" t="str">
        <f t="shared" si="66"/>
        <v>2011-06</v>
      </c>
      <c r="K358">
        <v>7084.57</v>
      </c>
      <c r="L358">
        <f t="shared" si="73"/>
        <v>-3.4466272423972935E-3</v>
      </c>
      <c r="M358" t="str">
        <f t="shared" si="67"/>
        <v>2011-06</v>
      </c>
      <c r="O358">
        <v>6567.3976700000003</v>
      </c>
      <c r="P358">
        <f t="shared" si="74"/>
        <v>-9.1039371906911264E-4</v>
      </c>
      <c r="Q358" t="str">
        <f t="shared" si="68"/>
        <v>2011-06</v>
      </c>
      <c r="S358">
        <v>10157.700000000001</v>
      </c>
      <c r="T358">
        <f t="shared" si="75"/>
        <v>-1.2522542500665146E-2</v>
      </c>
      <c r="U358" t="str">
        <f t="shared" si="69"/>
        <v>2011-06</v>
      </c>
      <c r="W358">
        <v>20525.04</v>
      </c>
      <c r="X358">
        <f t="shared" si="76"/>
        <v>-1.3784191913063805E-2</v>
      </c>
      <c r="Y358">
        <f t="shared" si="77"/>
        <v>-1.368962494810155E-2</v>
      </c>
      <c r="Z358" t="str">
        <f t="shared" si="70"/>
        <v>2011-06</v>
      </c>
    </row>
    <row r="359" spans="1:26" x14ac:dyDescent="0.35">
      <c r="A359" s="1">
        <v>40701</v>
      </c>
      <c r="C359">
        <v>2774.5</v>
      </c>
      <c r="D359">
        <f t="shared" si="71"/>
        <v>3.310573925621695E-3</v>
      </c>
      <c r="E359" t="str">
        <f t="shared" si="65"/>
        <v>2011-06</v>
      </c>
      <c r="G359">
        <v>3871.92</v>
      </c>
      <c r="H359">
        <f t="shared" si="72"/>
        <v>2.202883253805374E-3</v>
      </c>
      <c r="I359" t="str">
        <f t="shared" si="66"/>
        <v>2011-06</v>
      </c>
      <c r="K359">
        <v>7103.25</v>
      </c>
      <c r="L359">
        <f t="shared" si="73"/>
        <v>2.6332460933253905E-3</v>
      </c>
      <c r="M359" t="str">
        <f t="shared" si="67"/>
        <v>2011-06</v>
      </c>
      <c r="O359">
        <v>6565.4195399999999</v>
      </c>
      <c r="P359">
        <f t="shared" si="74"/>
        <v>-3.0124991208340833E-4</v>
      </c>
      <c r="Q359" t="str">
        <f t="shared" si="68"/>
        <v>2011-06</v>
      </c>
      <c r="S359">
        <v>10168.1</v>
      </c>
      <c r="T359">
        <f t="shared" si="75"/>
        <v>1.0233300443355281E-3</v>
      </c>
      <c r="U359" t="str">
        <f t="shared" si="69"/>
        <v>2011-06</v>
      </c>
      <c r="W359">
        <v>20574.490000000002</v>
      </c>
      <c r="X359">
        <f t="shared" si="76"/>
        <v>2.4063547131492388E-3</v>
      </c>
      <c r="Y359">
        <f t="shared" si="77"/>
        <v>2.4092523083999217E-3</v>
      </c>
      <c r="Z359" t="str">
        <f t="shared" si="70"/>
        <v>2011-06</v>
      </c>
    </row>
    <row r="360" spans="1:26" x14ac:dyDescent="0.35">
      <c r="A360" s="1">
        <v>40702</v>
      </c>
      <c r="C360">
        <v>2752.06</v>
      </c>
      <c r="D360">
        <f t="shared" si="71"/>
        <v>-8.1208286248075547E-3</v>
      </c>
      <c r="E360" t="str">
        <f t="shared" si="65"/>
        <v>2011-06</v>
      </c>
      <c r="G360">
        <v>3837.98</v>
      </c>
      <c r="H360">
        <f t="shared" si="72"/>
        <v>-8.8043215193511094E-3</v>
      </c>
      <c r="I360" t="str">
        <f t="shared" si="66"/>
        <v>2011-06</v>
      </c>
      <c r="K360">
        <v>7060.23</v>
      </c>
      <c r="L360">
        <f t="shared" si="73"/>
        <v>-6.0747969139983912E-3</v>
      </c>
      <c r="M360" t="str">
        <f t="shared" si="67"/>
        <v>2011-06</v>
      </c>
      <c r="O360">
        <v>6524.4116100000001</v>
      </c>
      <c r="P360">
        <f t="shared" si="74"/>
        <v>-6.2656368425432788E-3</v>
      </c>
      <c r="Q360" t="str">
        <f t="shared" si="68"/>
        <v>2011-06</v>
      </c>
      <c r="S360">
        <v>10082.5</v>
      </c>
      <c r="T360">
        <f t="shared" si="75"/>
        <v>-8.4541208491728179E-3</v>
      </c>
      <c r="U360" t="str">
        <f t="shared" si="69"/>
        <v>2011-06</v>
      </c>
      <c r="W360">
        <v>20277.28</v>
      </c>
      <c r="X360">
        <f t="shared" si="76"/>
        <v>-1.4550911452801279E-2</v>
      </c>
      <c r="Y360">
        <f t="shared" si="77"/>
        <v>-1.444555855333487E-2</v>
      </c>
      <c r="Z360" t="str">
        <f t="shared" si="70"/>
        <v>2011-06</v>
      </c>
    </row>
    <row r="361" spans="1:26" x14ac:dyDescent="0.35">
      <c r="A361" s="1">
        <v>40703</v>
      </c>
      <c r="C361">
        <v>2778.12</v>
      </c>
      <c r="D361">
        <f t="shared" si="71"/>
        <v>9.4247177844731383E-3</v>
      </c>
      <c r="E361" t="str">
        <f t="shared" si="65"/>
        <v>2011-06</v>
      </c>
      <c r="G361">
        <v>3878.65</v>
      </c>
      <c r="H361">
        <f t="shared" si="72"/>
        <v>1.0540968421821827E-2</v>
      </c>
      <c r="I361" t="str">
        <f t="shared" si="66"/>
        <v>2011-06</v>
      </c>
      <c r="K361">
        <v>7159.66</v>
      </c>
      <c r="L361">
        <f t="shared" si="73"/>
        <v>1.3984864933352404E-2</v>
      </c>
      <c r="M361" t="str">
        <f t="shared" si="67"/>
        <v>2011-06</v>
      </c>
      <c r="O361">
        <v>6600.8788199999999</v>
      </c>
      <c r="P361">
        <f t="shared" si="74"/>
        <v>1.1652020283425242E-2</v>
      </c>
      <c r="Q361" t="str">
        <f t="shared" si="68"/>
        <v>2011-06</v>
      </c>
      <c r="S361">
        <v>10121.700000000001</v>
      </c>
      <c r="T361">
        <f t="shared" si="75"/>
        <v>3.8803861758926811E-3</v>
      </c>
      <c r="U361" t="str">
        <f t="shared" si="69"/>
        <v>2011-06</v>
      </c>
      <c r="W361">
        <v>20389.59</v>
      </c>
      <c r="X361">
        <f t="shared" si="76"/>
        <v>5.523429048354447E-3</v>
      </c>
      <c r="Y361">
        <f t="shared" si="77"/>
        <v>5.5387113064474776E-3</v>
      </c>
      <c r="Z361" t="str">
        <f t="shared" si="70"/>
        <v>2011-06</v>
      </c>
    </row>
    <row r="362" spans="1:26" x14ac:dyDescent="0.35">
      <c r="A362" s="1">
        <v>40704</v>
      </c>
      <c r="C362">
        <v>2732.54</v>
      </c>
      <c r="D362">
        <f t="shared" si="71"/>
        <v>-1.6542860372739263E-2</v>
      </c>
      <c r="E362" t="str">
        <f t="shared" si="65"/>
        <v>2011-06</v>
      </c>
      <c r="G362">
        <v>3805.09</v>
      </c>
      <c r="H362">
        <f t="shared" si="72"/>
        <v>-1.9147510824370492E-2</v>
      </c>
      <c r="I362" t="str">
        <f t="shared" si="66"/>
        <v>2011-06</v>
      </c>
      <c r="K362">
        <v>7069.9</v>
      </c>
      <c r="L362">
        <f t="shared" si="73"/>
        <v>-1.2616158274657131E-2</v>
      </c>
      <c r="M362" t="str">
        <f t="shared" si="67"/>
        <v>2011-06</v>
      </c>
      <c r="O362">
        <v>6516.6575700000003</v>
      </c>
      <c r="P362">
        <f t="shared" si="74"/>
        <v>-1.2841192859192285E-2</v>
      </c>
      <c r="Q362" t="str">
        <f t="shared" si="68"/>
        <v>2011-06</v>
      </c>
      <c r="S362">
        <v>9950.7999999999993</v>
      </c>
      <c r="T362">
        <f t="shared" si="75"/>
        <v>-1.7028683992795619E-2</v>
      </c>
      <c r="U362" t="str">
        <f t="shared" si="69"/>
        <v>2011-06</v>
      </c>
      <c r="W362">
        <v>20117.490000000002</v>
      </c>
      <c r="X362">
        <f t="shared" si="76"/>
        <v>-1.3434890529799477E-2</v>
      </c>
      <c r="Y362">
        <f t="shared" si="77"/>
        <v>-1.3345045192178879E-2</v>
      </c>
      <c r="Z362" t="str">
        <f t="shared" si="70"/>
        <v>2011-06</v>
      </c>
    </row>
    <row r="363" spans="1:26" x14ac:dyDescent="0.35">
      <c r="A363" s="1">
        <v>40707</v>
      </c>
      <c r="C363">
        <v>2733.95</v>
      </c>
      <c r="D363">
        <f t="shared" si="71"/>
        <v>5.1587034139610505E-4</v>
      </c>
      <c r="E363" t="str">
        <f t="shared" si="65"/>
        <v>2011-06</v>
      </c>
      <c r="G363">
        <v>3807.61</v>
      </c>
      <c r="H363">
        <f t="shared" si="72"/>
        <v>6.6205159589775061E-4</v>
      </c>
      <c r="I363" t="str">
        <f t="shared" si="66"/>
        <v>2011-06</v>
      </c>
      <c r="K363">
        <v>7085.14</v>
      </c>
      <c r="L363">
        <f t="shared" si="73"/>
        <v>2.1532974669936358E-3</v>
      </c>
      <c r="M363" t="str">
        <f t="shared" si="67"/>
        <v>2011-06</v>
      </c>
      <c r="O363">
        <v>6550.1153899999999</v>
      </c>
      <c r="P363">
        <f t="shared" si="74"/>
        <v>5.1210644315174102E-3</v>
      </c>
      <c r="Q363" t="str">
        <f t="shared" si="68"/>
        <v>2011-06</v>
      </c>
      <c r="S363">
        <v>9946.2000000000007</v>
      </c>
      <c r="T363">
        <f t="shared" si="75"/>
        <v>-4.6238127174490765E-4</v>
      </c>
      <c r="U363" t="str">
        <f t="shared" si="69"/>
        <v>2011-06</v>
      </c>
      <c r="W363">
        <v>20081.12</v>
      </c>
      <c r="X363">
        <f t="shared" si="76"/>
        <v>-1.8095157978846995E-3</v>
      </c>
      <c r="Y363">
        <f t="shared" si="77"/>
        <v>-1.8078796112239955E-3</v>
      </c>
      <c r="Z363" t="str">
        <f t="shared" si="70"/>
        <v>2011-06</v>
      </c>
    </row>
    <row r="364" spans="1:26" x14ac:dyDescent="0.35">
      <c r="A364" s="1">
        <v>40708</v>
      </c>
      <c r="C364">
        <v>2779.94</v>
      </c>
      <c r="D364">
        <f t="shared" si="71"/>
        <v>1.6681894823680803E-2</v>
      </c>
      <c r="E364" t="str">
        <f t="shared" si="65"/>
        <v>2011-06</v>
      </c>
      <c r="G364">
        <v>3864.58</v>
      </c>
      <c r="H364">
        <f t="shared" si="72"/>
        <v>1.4851312887674963E-2</v>
      </c>
      <c r="I364" t="str">
        <f t="shared" si="66"/>
        <v>2011-06</v>
      </c>
      <c r="K364">
        <v>7204.79</v>
      </c>
      <c r="L364">
        <f t="shared" si="73"/>
        <v>1.6746449596753255E-2</v>
      </c>
      <c r="M364" t="str">
        <f t="shared" si="67"/>
        <v>2011-06</v>
      </c>
      <c r="O364">
        <v>6570.2242299999998</v>
      </c>
      <c r="P364">
        <f t="shared" si="74"/>
        <v>3.0652950041967801E-3</v>
      </c>
      <c r="Q364" t="str">
        <f t="shared" si="68"/>
        <v>2011-06</v>
      </c>
      <c r="S364">
        <v>10132.6</v>
      </c>
      <c r="T364">
        <f t="shared" si="75"/>
        <v>1.8567380027554859E-2</v>
      </c>
      <c r="U364" t="str">
        <f t="shared" si="69"/>
        <v>2011-06</v>
      </c>
      <c r="W364">
        <v>20358.91</v>
      </c>
      <c r="X364">
        <f t="shared" si="76"/>
        <v>1.3738583742939067E-2</v>
      </c>
      <c r="Y364">
        <f t="shared" si="77"/>
        <v>1.3833391763009279E-2</v>
      </c>
      <c r="Z364" t="str">
        <f t="shared" si="70"/>
        <v>2011-06</v>
      </c>
    </row>
    <row r="365" spans="1:26" x14ac:dyDescent="0.35">
      <c r="A365" s="1">
        <v>40709</v>
      </c>
      <c r="C365">
        <v>2731.5</v>
      </c>
      <c r="D365">
        <f t="shared" si="71"/>
        <v>-1.7578435882186955E-2</v>
      </c>
      <c r="E365" t="str">
        <f t="shared" si="65"/>
        <v>2011-06</v>
      </c>
      <c r="G365">
        <v>3806.85</v>
      </c>
      <c r="H365">
        <f t="shared" si="72"/>
        <v>-1.5050933084648679E-2</v>
      </c>
      <c r="I365" t="str">
        <f t="shared" si="66"/>
        <v>2011-06</v>
      </c>
      <c r="K365">
        <v>7115.08</v>
      </c>
      <c r="L365">
        <f t="shared" si="73"/>
        <v>-1.2529607271003993E-2</v>
      </c>
      <c r="M365" t="str">
        <f t="shared" si="67"/>
        <v>2011-06</v>
      </c>
      <c r="O365">
        <v>6546.6282799999999</v>
      </c>
      <c r="P365">
        <f t="shared" si="74"/>
        <v>-3.5978105928451609E-3</v>
      </c>
      <c r="Q365" t="str">
        <f t="shared" si="68"/>
        <v>2011-06</v>
      </c>
      <c r="S365">
        <v>9933.1</v>
      </c>
      <c r="T365">
        <f t="shared" si="75"/>
        <v>-1.9885334069822763E-2</v>
      </c>
      <c r="U365" t="str">
        <f t="shared" si="69"/>
        <v>2011-06</v>
      </c>
      <c r="W365">
        <v>19918.52</v>
      </c>
      <c r="X365">
        <f t="shared" si="76"/>
        <v>-2.1868701695900258E-2</v>
      </c>
      <c r="Y365">
        <f t="shared" si="77"/>
        <v>-2.163131523249523E-2</v>
      </c>
      <c r="Z365" t="str">
        <f t="shared" si="70"/>
        <v>2011-06</v>
      </c>
    </row>
    <row r="366" spans="1:26" x14ac:dyDescent="0.35">
      <c r="A366" s="1">
        <v>40710</v>
      </c>
      <c r="C366">
        <v>2730.62</v>
      </c>
      <c r="D366">
        <f t="shared" si="71"/>
        <v>-3.2221921437611847E-4</v>
      </c>
      <c r="E366" t="str">
        <f t="shared" si="65"/>
        <v>2011-06</v>
      </c>
      <c r="G366">
        <v>3792.31</v>
      </c>
      <c r="H366">
        <f t="shared" si="72"/>
        <v>-3.826743414693236E-3</v>
      </c>
      <c r="I366" t="str">
        <f t="shared" si="66"/>
        <v>2011-06</v>
      </c>
      <c r="K366">
        <v>7110.2</v>
      </c>
      <c r="L366">
        <f t="shared" si="73"/>
        <v>-6.8610251487954315E-4</v>
      </c>
      <c r="M366" t="str">
        <f t="shared" si="67"/>
        <v>2011-06</v>
      </c>
      <c r="O366">
        <v>6490.2778600000001</v>
      </c>
      <c r="P366">
        <f t="shared" si="74"/>
        <v>-8.6448073383848315E-3</v>
      </c>
      <c r="Q366" t="str">
        <f t="shared" si="68"/>
        <v>2011-06</v>
      </c>
      <c r="S366">
        <v>9918.5</v>
      </c>
      <c r="T366">
        <f t="shared" si="75"/>
        <v>-1.4709144484441367E-3</v>
      </c>
      <c r="U366" t="str">
        <f t="shared" si="69"/>
        <v>2011-06</v>
      </c>
      <c r="W366">
        <v>19852.439999999999</v>
      </c>
      <c r="X366">
        <f t="shared" si="76"/>
        <v>-3.32303071424681E-3</v>
      </c>
      <c r="Y366">
        <f t="shared" si="77"/>
        <v>-3.3175155583849477E-3</v>
      </c>
      <c r="Z366" t="str">
        <f t="shared" si="70"/>
        <v>2011-06</v>
      </c>
    </row>
    <row r="367" spans="1:26" x14ac:dyDescent="0.35">
      <c r="A367" s="1">
        <v>40711</v>
      </c>
      <c r="C367">
        <v>2770.12</v>
      </c>
      <c r="D367">
        <f t="shared" si="71"/>
        <v>1.4361950921286523E-2</v>
      </c>
      <c r="E367" t="str">
        <f t="shared" si="65"/>
        <v>2011-06</v>
      </c>
      <c r="G367">
        <v>3823.74</v>
      </c>
      <c r="H367">
        <f t="shared" si="72"/>
        <v>8.2536691396274849E-3</v>
      </c>
      <c r="I367" t="str">
        <f t="shared" si="66"/>
        <v>2011-06</v>
      </c>
      <c r="K367">
        <v>7164.05</v>
      </c>
      <c r="L367">
        <f t="shared" si="73"/>
        <v>7.5450907005165224E-3</v>
      </c>
      <c r="M367" t="str">
        <f t="shared" si="67"/>
        <v>2011-06</v>
      </c>
      <c r="O367">
        <v>6462.1921899999998</v>
      </c>
      <c r="P367">
        <f t="shared" si="74"/>
        <v>-4.3367348327328862E-3</v>
      </c>
      <c r="Q367" t="str">
        <f t="shared" si="68"/>
        <v>2011-06</v>
      </c>
      <c r="S367">
        <v>10135.200000000001</v>
      </c>
      <c r="T367">
        <f t="shared" si="75"/>
        <v>2.1612813119680222E-2</v>
      </c>
      <c r="U367" t="str">
        <f t="shared" si="69"/>
        <v>2011-06</v>
      </c>
      <c r="W367">
        <v>20096.84</v>
      </c>
      <c r="X367">
        <f t="shared" si="76"/>
        <v>1.2235667281998985E-2</v>
      </c>
      <c r="Y367">
        <f t="shared" si="77"/>
        <v>1.2310829298564885E-2</v>
      </c>
      <c r="Z367" t="str">
        <f t="shared" si="70"/>
        <v>2011-06</v>
      </c>
    </row>
    <row r="368" spans="1:26" x14ac:dyDescent="0.35">
      <c r="A368" s="1">
        <v>40714</v>
      </c>
      <c r="C368">
        <v>2748.01</v>
      </c>
      <c r="D368">
        <f t="shared" si="71"/>
        <v>-8.0136271968746006E-3</v>
      </c>
      <c r="E368" t="str">
        <f t="shared" si="65"/>
        <v>2011-06</v>
      </c>
      <c r="G368">
        <v>3799.66</v>
      </c>
      <c r="H368">
        <f t="shared" si="72"/>
        <v>-6.317412200699187E-3</v>
      </c>
      <c r="I368" t="str">
        <f t="shared" si="66"/>
        <v>2011-06</v>
      </c>
      <c r="K368">
        <v>7150.21</v>
      </c>
      <c r="L368">
        <f t="shared" si="73"/>
        <v>-1.9337366112816394E-3</v>
      </c>
      <c r="M368" t="str">
        <f t="shared" si="67"/>
        <v>2011-06</v>
      </c>
      <c r="O368">
        <v>6442.4783699999998</v>
      </c>
      <c r="P368">
        <f t="shared" si="74"/>
        <v>-3.0553023796831154E-3</v>
      </c>
      <c r="Q368" t="str">
        <f t="shared" si="68"/>
        <v>2011-06</v>
      </c>
      <c r="S368">
        <v>10038.1</v>
      </c>
      <c r="T368">
        <f t="shared" si="75"/>
        <v>-9.6266599787330591E-3</v>
      </c>
      <c r="U368" t="str">
        <f t="shared" si="69"/>
        <v>2011-06</v>
      </c>
      <c r="W368">
        <v>19692.52</v>
      </c>
      <c r="X368">
        <f t="shared" si="76"/>
        <v>-2.0323720565368013E-2</v>
      </c>
      <c r="Y368">
        <f t="shared" si="77"/>
        <v>-2.0118585807519972E-2</v>
      </c>
      <c r="Z368" t="str">
        <f t="shared" si="70"/>
        <v>2011-06</v>
      </c>
    </row>
    <row r="369" spans="1:26" x14ac:dyDescent="0.35">
      <c r="A369" s="1">
        <v>40715</v>
      </c>
      <c r="C369">
        <v>2801.99</v>
      </c>
      <c r="D369">
        <f t="shared" si="71"/>
        <v>1.9452865665403708E-2</v>
      </c>
      <c r="E369" t="str">
        <f t="shared" si="65"/>
        <v>2011-06</v>
      </c>
      <c r="G369">
        <v>3877.07</v>
      </c>
      <c r="H369">
        <f t="shared" si="72"/>
        <v>2.0168124677995957E-2</v>
      </c>
      <c r="I369" t="str">
        <f t="shared" si="66"/>
        <v>2011-06</v>
      </c>
      <c r="K369">
        <v>7285.51</v>
      </c>
      <c r="L369">
        <f t="shared" si="73"/>
        <v>1.8745717156241556E-2</v>
      </c>
      <c r="M369" t="str">
        <f t="shared" si="67"/>
        <v>2011-06</v>
      </c>
      <c r="O369">
        <v>6508.5553600000003</v>
      </c>
      <c r="P369">
        <f t="shared" si="74"/>
        <v>1.0204214541881074E-2</v>
      </c>
      <c r="Q369" t="str">
        <f t="shared" si="68"/>
        <v>2011-06</v>
      </c>
      <c r="S369">
        <v>10231.9</v>
      </c>
      <c r="T369">
        <f t="shared" si="75"/>
        <v>1.9122437641449812E-2</v>
      </c>
      <c r="U369" t="str">
        <f t="shared" si="69"/>
        <v>2011-06</v>
      </c>
      <c r="W369">
        <v>20102.34</v>
      </c>
      <c r="X369">
        <f t="shared" si="76"/>
        <v>2.0597357989530326E-2</v>
      </c>
      <c r="Y369">
        <f t="shared" si="77"/>
        <v>2.0810947506972176E-2</v>
      </c>
      <c r="Z369" t="str">
        <f t="shared" si="70"/>
        <v>2011-06</v>
      </c>
    </row>
    <row r="370" spans="1:26" x14ac:dyDescent="0.35">
      <c r="A370" s="1">
        <v>40716</v>
      </c>
      <c r="C370">
        <v>2795.07</v>
      </c>
      <c r="D370">
        <f t="shared" si="71"/>
        <v>-2.4727280129069914E-3</v>
      </c>
      <c r="E370" t="str">
        <f t="shared" si="65"/>
        <v>2011-06</v>
      </c>
      <c r="G370">
        <v>3871.37</v>
      </c>
      <c r="H370">
        <f t="shared" si="72"/>
        <v>-1.4712641585128922E-3</v>
      </c>
      <c r="I370" t="str">
        <f t="shared" si="66"/>
        <v>2011-06</v>
      </c>
      <c r="K370">
        <v>7278.19</v>
      </c>
      <c r="L370">
        <f t="shared" si="73"/>
        <v>-1.0052391379126485E-3</v>
      </c>
      <c r="M370" t="str">
        <f t="shared" si="67"/>
        <v>2011-06</v>
      </c>
      <c r="O370">
        <v>6460.6225899999999</v>
      </c>
      <c r="P370">
        <f t="shared" si="74"/>
        <v>-7.3918313766942094E-3</v>
      </c>
      <c r="Q370" t="str">
        <f t="shared" si="68"/>
        <v>2011-06</v>
      </c>
      <c r="S370">
        <v>10226.200000000001</v>
      </c>
      <c r="T370">
        <f t="shared" si="75"/>
        <v>-5.5723651243201741E-4</v>
      </c>
      <c r="U370" t="str">
        <f t="shared" si="69"/>
        <v>2011-06</v>
      </c>
      <c r="W370">
        <v>20014.11</v>
      </c>
      <c r="X370">
        <f t="shared" si="76"/>
        <v>-4.3987013935851173E-3</v>
      </c>
      <c r="Y370">
        <f t="shared" si="77"/>
        <v>-4.3890412757917521E-3</v>
      </c>
      <c r="Z370" t="str">
        <f t="shared" si="70"/>
        <v>2011-06</v>
      </c>
    </row>
    <row r="371" spans="1:26" x14ac:dyDescent="0.35">
      <c r="A371" s="1">
        <v>40717</v>
      </c>
      <c r="C371">
        <v>2730.86</v>
      </c>
      <c r="D371">
        <f t="shared" si="71"/>
        <v>-2.3240573112132578E-2</v>
      </c>
      <c r="E371" t="str">
        <f t="shared" si="65"/>
        <v>2011-06</v>
      </c>
      <c r="G371">
        <v>3787.79</v>
      </c>
      <c r="H371">
        <f t="shared" si="72"/>
        <v>-2.1825714003503794E-2</v>
      </c>
      <c r="I371" t="str">
        <f t="shared" si="66"/>
        <v>2011-06</v>
      </c>
      <c r="K371">
        <v>7149.44</v>
      </c>
      <c r="L371">
        <f t="shared" si="73"/>
        <v>-1.7848172962015636E-2</v>
      </c>
      <c r="M371" t="str">
        <f t="shared" si="67"/>
        <v>2011-06</v>
      </c>
      <c r="O371">
        <v>6389.8765999999996</v>
      </c>
      <c r="P371">
        <f t="shared" si="74"/>
        <v>-1.1010732532742122E-2</v>
      </c>
      <c r="Q371" t="str">
        <f t="shared" si="68"/>
        <v>2011-06</v>
      </c>
      <c r="S371">
        <v>9942.6</v>
      </c>
      <c r="T371">
        <f t="shared" si="75"/>
        <v>-2.8124498574325169E-2</v>
      </c>
      <c r="U371" t="str">
        <f t="shared" si="69"/>
        <v>2011-06</v>
      </c>
      <c r="W371">
        <v>19468.310000000001</v>
      </c>
      <c r="X371">
        <f t="shared" si="76"/>
        <v>-2.7649509394545448E-2</v>
      </c>
      <c r="Y371">
        <f t="shared" si="77"/>
        <v>-2.7270760478482394E-2</v>
      </c>
      <c r="Z371" t="str">
        <f t="shared" si="70"/>
        <v>2011-06</v>
      </c>
    </row>
    <row r="372" spans="1:26" x14ac:dyDescent="0.35">
      <c r="A372" s="1">
        <v>40718</v>
      </c>
      <c r="C372">
        <v>2715.88</v>
      </c>
      <c r="D372">
        <f t="shared" si="71"/>
        <v>-5.5005518051685119E-3</v>
      </c>
      <c r="E372" t="str">
        <f t="shared" si="65"/>
        <v>2011-06</v>
      </c>
      <c r="G372">
        <v>3784.8</v>
      </c>
      <c r="H372">
        <f t="shared" si="72"/>
        <v>-7.8969022629848484E-4</v>
      </c>
      <c r="I372" t="str">
        <f t="shared" si="66"/>
        <v>2011-06</v>
      </c>
      <c r="K372">
        <v>7121.38</v>
      </c>
      <c r="L372">
        <f t="shared" si="73"/>
        <v>-3.9325050924013246E-3</v>
      </c>
      <c r="M372" t="str">
        <f t="shared" si="67"/>
        <v>2011-06</v>
      </c>
      <c r="O372">
        <v>6422.4970000000003</v>
      </c>
      <c r="P372">
        <f t="shared" si="74"/>
        <v>5.0920261150931836E-3</v>
      </c>
      <c r="Q372" t="str">
        <f t="shared" si="68"/>
        <v>2011-06</v>
      </c>
      <c r="S372">
        <v>9812.7000000000007</v>
      </c>
      <c r="T372">
        <f t="shared" si="75"/>
        <v>-1.3151090815247604E-2</v>
      </c>
      <c r="U372" t="str">
        <f t="shared" si="69"/>
        <v>2011-06</v>
      </c>
      <c r="W372">
        <v>19154.36</v>
      </c>
      <c r="X372">
        <f t="shared" si="76"/>
        <v>-1.6257649458746214E-2</v>
      </c>
      <c r="Y372">
        <f t="shared" si="77"/>
        <v>-1.6126207154087885E-2</v>
      </c>
      <c r="Z372" t="str">
        <f t="shared" si="70"/>
        <v>2011-06</v>
      </c>
    </row>
    <row r="373" spans="1:26" x14ac:dyDescent="0.35">
      <c r="A373" s="1">
        <v>40721</v>
      </c>
      <c r="C373">
        <v>2723.93</v>
      </c>
      <c r="D373">
        <f t="shared" si="71"/>
        <v>2.9596643545414855E-3</v>
      </c>
      <c r="E373" t="str">
        <f t="shared" si="65"/>
        <v>2011-06</v>
      </c>
      <c r="G373">
        <v>3796.55</v>
      </c>
      <c r="H373">
        <f t="shared" si="72"/>
        <v>3.0997142746492013E-3</v>
      </c>
      <c r="I373" t="str">
        <f t="shared" si="66"/>
        <v>2011-06</v>
      </c>
      <c r="K373">
        <v>7107.9</v>
      </c>
      <c r="L373">
        <f t="shared" si="73"/>
        <v>-1.8946853294865978E-3</v>
      </c>
      <c r="M373" t="str">
        <f t="shared" si="67"/>
        <v>2011-06</v>
      </c>
      <c r="O373">
        <v>6405.6823299999996</v>
      </c>
      <c r="P373">
        <f t="shared" si="74"/>
        <v>-2.6215223839925095E-3</v>
      </c>
      <c r="Q373" t="str">
        <f t="shared" si="68"/>
        <v>2011-06</v>
      </c>
      <c r="S373">
        <v>9872.2000000000007</v>
      </c>
      <c r="T373">
        <f t="shared" si="75"/>
        <v>6.0452612106831789E-3</v>
      </c>
      <c r="U373" t="str">
        <f t="shared" si="69"/>
        <v>2011-06</v>
      </c>
      <c r="W373">
        <v>19297.11</v>
      </c>
      <c r="X373">
        <f t="shared" si="76"/>
        <v>7.4249778133426529E-3</v>
      </c>
      <c r="Y373">
        <f t="shared" si="77"/>
        <v>7.4526113114716441E-3</v>
      </c>
      <c r="Z373" t="str">
        <f t="shared" si="70"/>
        <v>2011-06</v>
      </c>
    </row>
    <row r="374" spans="1:26" x14ac:dyDescent="0.35">
      <c r="A374" s="1">
        <v>40722</v>
      </c>
      <c r="C374">
        <v>2750.49</v>
      </c>
      <c r="D374">
        <f t="shared" si="71"/>
        <v>9.7033871707586424E-3</v>
      </c>
      <c r="E374" t="str">
        <f t="shared" si="65"/>
        <v>2011-06</v>
      </c>
      <c r="G374">
        <v>3851.89</v>
      </c>
      <c r="H374">
        <f t="shared" si="72"/>
        <v>1.4471177324704104E-2</v>
      </c>
      <c r="I374" t="str">
        <f t="shared" si="66"/>
        <v>2011-06</v>
      </c>
      <c r="K374">
        <v>7170.43</v>
      </c>
      <c r="L374">
        <f t="shared" si="73"/>
        <v>8.7587833808675623E-3</v>
      </c>
      <c r="M374" t="str">
        <f t="shared" si="67"/>
        <v>2011-06</v>
      </c>
      <c r="O374">
        <v>6429.3380399999996</v>
      </c>
      <c r="P374">
        <f t="shared" si="74"/>
        <v>3.6861237619016003E-3</v>
      </c>
      <c r="Q374" t="str">
        <f t="shared" si="68"/>
        <v>2011-06</v>
      </c>
      <c r="S374">
        <v>9936.7000000000007</v>
      </c>
      <c r="T374">
        <f t="shared" si="75"/>
        <v>6.5122473181425441E-3</v>
      </c>
      <c r="U374" t="str">
        <f t="shared" si="69"/>
        <v>2011-06</v>
      </c>
      <c r="W374">
        <v>19454.68</v>
      </c>
      <c r="X374">
        <f t="shared" si="76"/>
        <v>8.1323143215120235E-3</v>
      </c>
      <c r="Y374">
        <f t="shared" si="77"/>
        <v>8.1654714099675917E-3</v>
      </c>
      <c r="Z374" t="str">
        <f t="shared" si="70"/>
        <v>2011-06</v>
      </c>
    </row>
    <row r="375" spans="1:26" x14ac:dyDescent="0.35">
      <c r="A375" s="1">
        <v>40723</v>
      </c>
      <c r="C375">
        <v>2802.55</v>
      </c>
      <c r="D375">
        <f t="shared" si="71"/>
        <v>1.8750639394061071E-2</v>
      </c>
      <c r="E375" t="str">
        <f t="shared" si="65"/>
        <v>2011-06</v>
      </c>
      <c r="G375">
        <v>3924.23</v>
      </c>
      <c r="H375">
        <f t="shared" si="72"/>
        <v>1.8606216710779781E-2</v>
      </c>
      <c r="I375" t="str">
        <f t="shared" si="66"/>
        <v>2011-06</v>
      </c>
      <c r="K375">
        <v>7294.14</v>
      </c>
      <c r="L375">
        <f t="shared" si="73"/>
        <v>1.7105661140982765E-2</v>
      </c>
      <c r="M375" t="str">
        <f t="shared" si="67"/>
        <v>2011-06</v>
      </c>
      <c r="O375">
        <v>6519.8300600000002</v>
      </c>
      <c r="P375">
        <f t="shared" si="74"/>
        <v>1.3976726909823236E-2</v>
      </c>
      <c r="Q375" t="str">
        <f t="shared" si="68"/>
        <v>2011-06</v>
      </c>
      <c r="S375">
        <v>10143.6</v>
      </c>
      <c r="T375">
        <f t="shared" si="75"/>
        <v>2.0607991145501044E-2</v>
      </c>
      <c r="U375" t="str">
        <f t="shared" si="69"/>
        <v>2011-06</v>
      </c>
      <c r="W375">
        <v>19864.669999999998</v>
      </c>
      <c r="X375">
        <f t="shared" si="76"/>
        <v>2.0855118909272233E-2</v>
      </c>
      <c r="Y375">
        <f t="shared" si="77"/>
        <v>2.1074106590290766E-2</v>
      </c>
      <c r="Z375" t="str">
        <f t="shared" si="70"/>
        <v>2011-06</v>
      </c>
    </row>
    <row r="376" spans="1:26" x14ac:dyDescent="0.35">
      <c r="A376" s="1">
        <v>40724</v>
      </c>
      <c r="C376">
        <v>2848.53</v>
      </c>
      <c r="D376">
        <f t="shared" si="71"/>
        <v>1.6273354723498813E-2</v>
      </c>
      <c r="E376" t="str">
        <f t="shared" si="65"/>
        <v>2011-06</v>
      </c>
      <c r="G376">
        <v>3982.21</v>
      </c>
      <c r="H376">
        <f t="shared" si="72"/>
        <v>1.466678792443755E-2</v>
      </c>
      <c r="I376" t="str">
        <f t="shared" si="66"/>
        <v>2011-06</v>
      </c>
      <c r="K376">
        <v>7376.24</v>
      </c>
      <c r="L376">
        <f t="shared" si="73"/>
        <v>1.1192737625644827E-2</v>
      </c>
      <c r="M376" t="str">
        <f t="shared" si="67"/>
        <v>2011-06</v>
      </c>
      <c r="O376">
        <v>6583.7162399999997</v>
      </c>
      <c r="P376">
        <f t="shared" si="74"/>
        <v>9.7510528438910695E-3</v>
      </c>
      <c r="Q376" t="str">
        <f t="shared" si="68"/>
        <v>2011-06</v>
      </c>
      <c r="S376">
        <v>10359.9</v>
      </c>
      <c r="T376">
        <f t="shared" si="75"/>
        <v>2.1099619534353495E-2</v>
      </c>
      <c r="U376" t="str">
        <f t="shared" si="69"/>
        <v>2011-06</v>
      </c>
      <c r="W376">
        <v>20186.939999999999</v>
      </c>
      <c r="X376">
        <f t="shared" si="76"/>
        <v>1.6093083663346656E-2</v>
      </c>
      <c r="Y376">
        <f t="shared" si="77"/>
        <v>1.6223274788858835E-2</v>
      </c>
      <c r="Z376" t="str">
        <f t="shared" si="70"/>
        <v>2011-06</v>
      </c>
    </row>
    <row r="377" spans="1:26" x14ac:dyDescent="0.35">
      <c r="A377" s="1">
        <v>40725</v>
      </c>
      <c r="C377">
        <v>2875.67</v>
      </c>
      <c r="D377">
        <f t="shared" si="71"/>
        <v>9.4826188354347023E-3</v>
      </c>
      <c r="E377" t="str">
        <f t="shared" si="65"/>
        <v>2011-07</v>
      </c>
      <c r="G377">
        <v>4007.35</v>
      </c>
      <c r="H377">
        <f t="shared" si="72"/>
        <v>6.293233412596886E-3</v>
      </c>
      <c r="I377" t="str">
        <f t="shared" si="66"/>
        <v>2011-07</v>
      </c>
      <c r="K377">
        <v>7419.44</v>
      </c>
      <c r="L377">
        <f t="shared" si="73"/>
        <v>5.8395589471447618E-3</v>
      </c>
      <c r="M377" t="str">
        <f t="shared" si="67"/>
        <v>2011-07</v>
      </c>
      <c r="O377">
        <v>6635.7509300000002</v>
      </c>
      <c r="P377">
        <f t="shared" si="74"/>
        <v>7.8724744457181525E-3</v>
      </c>
      <c r="Q377" t="str">
        <f t="shared" si="68"/>
        <v>2011-07</v>
      </c>
      <c r="S377">
        <v>10492</v>
      </c>
      <c r="T377">
        <f t="shared" si="75"/>
        <v>1.2670477729528569E-2</v>
      </c>
      <c r="U377" t="str">
        <f t="shared" si="69"/>
        <v>2011-07</v>
      </c>
      <c r="W377">
        <v>20516.990000000002</v>
      </c>
      <c r="X377">
        <f t="shared" si="76"/>
        <v>1.621746272322222E-2</v>
      </c>
      <c r="Y377">
        <f t="shared" si="77"/>
        <v>1.6349679545290319E-2</v>
      </c>
      <c r="Z377" t="str">
        <f t="shared" si="70"/>
        <v>2011-07</v>
      </c>
    </row>
    <row r="378" spans="1:26" x14ac:dyDescent="0.35">
      <c r="A378" s="1">
        <v>40728</v>
      </c>
      <c r="C378">
        <v>2870.19</v>
      </c>
      <c r="D378">
        <f t="shared" si="71"/>
        <v>-1.9074609063009706E-3</v>
      </c>
      <c r="E378" t="str">
        <f t="shared" si="65"/>
        <v>2011-07</v>
      </c>
      <c r="G378">
        <v>4003.11</v>
      </c>
      <c r="H378">
        <f t="shared" si="72"/>
        <v>-1.0586159586263605E-3</v>
      </c>
      <c r="I378" t="str">
        <f t="shared" si="66"/>
        <v>2011-07</v>
      </c>
      <c r="K378">
        <v>7442.96</v>
      </c>
      <c r="L378">
        <f t="shared" si="73"/>
        <v>3.1650365532096994E-3</v>
      </c>
      <c r="M378" t="str">
        <f t="shared" si="67"/>
        <v>2011-07</v>
      </c>
      <c r="O378">
        <v>6664.8945999999996</v>
      </c>
      <c r="P378">
        <f t="shared" si="74"/>
        <v>4.3823010808315679E-3</v>
      </c>
      <c r="Q378" t="str">
        <f t="shared" si="68"/>
        <v>2011-07</v>
      </c>
      <c r="S378">
        <v>10468</v>
      </c>
      <c r="T378">
        <f t="shared" si="75"/>
        <v>-2.2900773367278224E-3</v>
      </c>
      <c r="U378" t="str">
        <f t="shared" si="69"/>
        <v>2011-07</v>
      </c>
      <c r="W378">
        <v>20476.150000000001</v>
      </c>
      <c r="X378">
        <f t="shared" si="76"/>
        <v>-1.9925291652125557E-3</v>
      </c>
      <c r="Y378">
        <f t="shared" si="77"/>
        <v>-1.9905453967662967E-3</v>
      </c>
      <c r="Z378" t="str">
        <f t="shared" si="70"/>
        <v>2011-07</v>
      </c>
    </row>
    <row r="379" spans="1:26" x14ac:dyDescent="0.35">
      <c r="A379" s="1">
        <v>40729</v>
      </c>
      <c r="C379">
        <v>2850.51</v>
      </c>
      <c r="D379">
        <f t="shared" si="71"/>
        <v>-6.8803040310506519E-3</v>
      </c>
      <c r="E379" t="str">
        <f t="shared" si="65"/>
        <v>2011-07</v>
      </c>
      <c r="G379">
        <v>3978.83</v>
      </c>
      <c r="H379">
        <f t="shared" si="72"/>
        <v>-6.0837527938482966E-3</v>
      </c>
      <c r="I379" t="str">
        <f t="shared" si="66"/>
        <v>2011-07</v>
      </c>
      <c r="K379">
        <v>7439.44</v>
      </c>
      <c r="L379">
        <f t="shared" si="73"/>
        <v>-4.7304199129701751E-4</v>
      </c>
      <c r="M379" t="str">
        <f t="shared" si="67"/>
        <v>2011-07</v>
      </c>
      <c r="O379">
        <v>6690.4989400000004</v>
      </c>
      <c r="P379">
        <f t="shared" si="74"/>
        <v>3.834311777152306E-3</v>
      </c>
      <c r="Q379" t="str">
        <f t="shared" si="68"/>
        <v>2011-07</v>
      </c>
      <c r="S379">
        <v>10330.1</v>
      </c>
      <c r="T379">
        <f t="shared" si="75"/>
        <v>-1.3261021041097948E-2</v>
      </c>
      <c r="U379" t="str">
        <f t="shared" si="69"/>
        <v>2011-07</v>
      </c>
      <c r="W379">
        <v>20277.52</v>
      </c>
      <c r="X379">
        <f t="shared" si="76"/>
        <v>-9.7479109412880512E-3</v>
      </c>
      <c r="Y379">
        <f t="shared" si="77"/>
        <v>-9.7005540592348168E-3</v>
      </c>
      <c r="Z379" t="str">
        <f t="shared" si="70"/>
        <v>2011-07</v>
      </c>
    </row>
    <row r="380" spans="1:26" x14ac:dyDescent="0.35">
      <c r="A380" s="1">
        <v>40730</v>
      </c>
      <c r="C380">
        <v>2832.63</v>
      </c>
      <c r="D380">
        <f t="shared" si="71"/>
        <v>-6.2923169212467066E-3</v>
      </c>
      <c r="E380" t="str">
        <f t="shared" si="65"/>
        <v>2011-07</v>
      </c>
      <c r="G380">
        <v>3961.34</v>
      </c>
      <c r="H380">
        <f t="shared" si="72"/>
        <v>-4.40545436361985E-3</v>
      </c>
      <c r="I380" t="str">
        <f t="shared" si="66"/>
        <v>2011-07</v>
      </c>
      <c r="K380">
        <v>7431.19</v>
      </c>
      <c r="L380">
        <f t="shared" si="73"/>
        <v>-1.1095697823713031E-3</v>
      </c>
      <c r="M380" t="str">
        <f t="shared" si="67"/>
        <v>2011-07</v>
      </c>
      <c r="O380">
        <v>6701.55735</v>
      </c>
      <c r="P380">
        <f t="shared" si="74"/>
        <v>1.6514883560728839E-3</v>
      </c>
      <c r="Q380" t="str">
        <f t="shared" si="68"/>
        <v>2011-07</v>
      </c>
      <c r="S380">
        <v>10204.5</v>
      </c>
      <c r="T380">
        <f t="shared" si="75"/>
        <v>-1.223316415571327E-2</v>
      </c>
      <c r="U380" t="str">
        <f t="shared" si="69"/>
        <v>2011-07</v>
      </c>
      <c r="W380">
        <v>19783.21</v>
      </c>
      <c r="X380">
        <f t="shared" si="76"/>
        <v>-2.4679285112498148E-2</v>
      </c>
      <c r="Y380">
        <f t="shared" si="77"/>
        <v>-2.437724139835647E-2</v>
      </c>
      <c r="Z380" t="str">
        <f t="shared" si="70"/>
        <v>2011-07</v>
      </c>
    </row>
    <row r="381" spans="1:26" x14ac:dyDescent="0.35">
      <c r="A381" s="1">
        <v>40731</v>
      </c>
      <c r="C381">
        <v>2844.51</v>
      </c>
      <c r="D381">
        <f t="shared" si="71"/>
        <v>4.185212040159275E-3</v>
      </c>
      <c r="E381" t="str">
        <f t="shared" si="65"/>
        <v>2011-07</v>
      </c>
      <c r="G381">
        <v>3979.96</v>
      </c>
      <c r="H381">
        <f t="shared" si="72"/>
        <v>4.6894171287118654E-3</v>
      </c>
      <c r="I381" t="str">
        <f t="shared" si="66"/>
        <v>2011-07</v>
      </c>
      <c r="K381">
        <v>7471.44</v>
      </c>
      <c r="L381">
        <f t="shared" si="73"/>
        <v>5.4017442385199382E-3</v>
      </c>
      <c r="M381" t="str">
        <f t="shared" si="67"/>
        <v>2011-07</v>
      </c>
      <c r="O381">
        <v>6739.9389000000001</v>
      </c>
      <c r="P381">
        <f t="shared" si="74"/>
        <v>5.7109199158595575E-3</v>
      </c>
      <c r="Q381" t="str">
        <f t="shared" si="68"/>
        <v>2011-07</v>
      </c>
      <c r="S381">
        <v>10196.200000000001</v>
      </c>
      <c r="T381">
        <f t="shared" si="75"/>
        <v>-8.1369761409699293E-4</v>
      </c>
      <c r="U381" t="str">
        <f t="shared" si="69"/>
        <v>2011-07</v>
      </c>
      <c r="W381">
        <v>19735.63</v>
      </c>
      <c r="X381">
        <f t="shared" si="76"/>
        <v>-2.4079665794981718E-3</v>
      </c>
      <c r="Y381">
        <f t="shared" si="77"/>
        <v>-2.4050697535939877E-3</v>
      </c>
      <c r="Z381" t="str">
        <f t="shared" si="70"/>
        <v>2011-07</v>
      </c>
    </row>
    <row r="382" spans="1:26" x14ac:dyDescent="0.35">
      <c r="A382" s="1">
        <v>40732</v>
      </c>
      <c r="C382">
        <v>2790.09</v>
      </c>
      <c r="D382">
        <f t="shared" si="71"/>
        <v>-1.9316967381212115E-2</v>
      </c>
      <c r="E382" t="str">
        <f t="shared" si="65"/>
        <v>2011-07</v>
      </c>
      <c r="G382">
        <v>3913.55</v>
      </c>
      <c r="H382">
        <f t="shared" si="72"/>
        <v>-1.682687852623525E-2</v>
      </c>
      <c r="I382" t="str">
        <f t="shared" si="66"/>
        <v>2011-07</v>
      </c>
      <c r="K382">
        <v>7402.73</v>
      </c>
      <c r="L382">
        <f t="shared" si="73"/>
        <v>-9.2389005559145847E-3</v>
      </c>
      <c r="M382" t="str">
        <f t="shared" si="67"/>
        <v>2011-07</v>
      </c>
      <c r="O382">
        <v>6733.1548700000003</v>
      </c>
      <c r="P382">
        <f t="shared" si="74"/>
        <v>-1.0070486688720679E-3</v>
      </c>
      <c r="Q382" t="str">
        <f t="shared" si="68"/>
        <v>2011-07</v>
      </c>
      <c r="S382">
        <v>9938.2000000000007</v>
      </c>
      <c r="T382">
        <f t="shared" si="75"/>
        <v>-2.5629184105766471E-2</v>
      </c>
      <c r="U382" t="str">
        <f t="shared" si="69"/>
        <v>2011-07</v>
      </c>
      <c r="W382">
        <v>19049.88</v>
      </c>
      <c r="X382">
        <f t="shared" si="76"/>
        <v>-3.5364829244489665E-2</v>
      </c>
      <c r="Y382">
        <f t="shared" si="77"/>
        <v>-3.474680058351317E-2</v>
      </c>
      <c r="Z382" t="str">
        <f t="shared" si="70"/>
        <v>2011-07</v>
      </c>
    </row>
    <row r="383" spans="1:26" x14ac:dyDescent="0.35">
      <c r="A383" s="1">
        <v>40735</v>
      </c>
      <c r="C383">
        <v>2709.14</v>
      </c>
      <c r="D383">
        <f t="shared" si="71"/>
        <v>-2.9442612023332773E-2</v>
      </c>
      <c r="E383" t="str">
        <f t="shared" si="65"/>
        <v>2011-07</v>
      </c>
      <c r="G383">
        <v>3807.51</v>
      </c>
      <c r="H383">
        <f t="shared" si="72"/>
        <v>-2.7469458289347246E-2</v>
      </c>
      <c r="I383" t="str">
        <f t="shared" si="66"/>
        <v>2011-07</v>
      </c>
      <c r="K383">
        <v>7230.25</v>
      </c>
      <c r="L383">
        <f t="shared" si="73"/>
        <v>-2.3575237375716398E-2</v>
      </c>
      <c r="M383" t="str">
        <f t="shared" si="67"/>
        <v>2011-07</v>
      </c>
      <c r="O383">
        <v>6720.1648999999998</v>
      </c>
      <c r="P383">
        <f t="shared" si="74"/>
        <v>-1.9311180078889606E-3</v>
      </c>
      <c r="Q383" t="str">
        <f t="shared" si="68"/>
        <v>2011-07</v>
      </c>
      <c r="S383">
        <v>9670.6</v>
      </c>
      <c r="T383">
        <f t="shared" si="75"/>
        <v>-2.7295562641089045E-2</v>
      </c>
      <c r="U383" t="str">
        <f t="shared" si="69"/>
        <v>2011-07</v>
      </c>
      <c r="W383">
        <v>18295.189999999999</v>
      </c>
      <c r="X383">
        <f t="shared" si="76"/>
        <v>-4.042261857183993E-2</v>
      </c>
      <c r="Y383">
        <f t="shared" si="77"/>
        <v>-3.9616522518777141E-2</v>
      </c>
      <c r="Z383" t="str">
        <f t="shared" si="70"/>
        <v>2011-07</v>
      </c>
    </row>
    <row r="384" spans="1:26" x14ac:dyDescent="0.35">
      <c r="A384" s="1">
        <v>40736</v>
      </c>
      <c r="C384">
        <v>2693.53</v>
      </c>
      <c r="D384">
        <f t="shared" si="71"/>
        <v>-5.7786403531188916E-3</v>
      </c>
      <c r="E384" t="str">
        <f t="shared" si="65"/>
        <v>2011-07</v>
      </c>
      <c r="G384">
        <v>3774.12</v>
      </c>
      <c r="H384">
        <f t="shared" si="72"/>
        <v>-8.8081892357582733E-3</v>
      </c>
      <c r="I384" t="str">
        <f t="shared" si="66"/>
        <v>2011-07</v>
      </c>
      <c r="K384">
        <v>7174.14</v>
      </c>
      <c r="L384">
        <f t="shared" si="73"/>
        <v>-7.7907198848261626E-3</v>
      </c>
      <c r="M384" t="str">
        <f t="shared" si="67"/>
        <v>2011-07</v>
      </c>
      <c r="O384">
        <v>6675.4235600000002</v>
      </c>
      <c r="P384">
        <f t="shared" si="74"/>
        <v>-6.6800359696675207E-3</v>
      </c>
      <c r="Q384" t="str">
        <f t="shared" si="68"/>
        <v>2011-07</v>
      </c>
      <c r="S384">
        <v>9603.4</v>
      </c>
      <c r="T384">
        <f t="shared" si="75"/>
        <v>-6.9731526718880971E-3</v>
      </c>
      <c r="U384" t="str">
        <f t="shared" si="69"/>
        <v>2011-07</v>
      </c>
      <c r="W384">
        <v>18510.53</v>
      </c>
      <c r="X384">
        <f t="shared" si="76"/>
        <v>1.1701575578312E-2</v>
      </c>
      <c r="Y384">
        <f t="shared" si="77"/>
        <v>1.1770306840213202E-2</v>
      </c>
      <c r="Z384" t="str">
        <f t="shared" si="70"/>
        <v>2011-07</v>
      </c>
    </row>
    <row r="385" spans="1:26" x14ac:dyDescent="0.35">
      <c r="A385" s="1">
        <v>40737</v>
      </c>
      <c r="C385">
        <v>2715.05</v>
      </c>
      <c r="D385">
        <f t="shared" si="71"/>
        <v>7.9577684215253984E-3</v>
      </c>
      <c r="E385" t="str">
        <f t="shared" si="65"/>
        <v>2011-07</v>
      </c>
      <c r="G385">
        <v>3793.27</v>
      </c>
      <c r="H385">
        <f t="shared" si="72"/>
        <v>5.0612009896302754E-3</v>
      </c>
      <c r="I385" t="str">
        <f t="shared" si="66"/>
        <v>2011-07</v>
      </c>
      <c r="K385">
        <v>7267.87</v>
      </c>
      <c r="L385">
        <f t="shared" si="73"/>
        <v>1.2980369913001961E-2</v>
      </c>
      <c r="M385" t="str">
        <f t="shared" si="67"/>
        <v>2011-07</v>
      </c>
      <c r="O385">
        <v>6722.4773999999998</v>
      </c>
      <c r="P385">
        <f t="shared" si="74"/>
        <v>7.0240903558816126E-3</v>
      </c>
      <c r="Q385" t="str">
        <f t="shared" si="68"/>
        <v>2011-07</v>
      </c>
      <c r="S385">
        <v>9666.9</v>
      </c>
      <c r="T385">
        <f t="shared" si="75"/>
        <v>6.5904765198361321E-3</v>
      </c>
      <c r="U385" t="str">
        <f t="shared" si="69"/>
        <v>2011-07</v>
      </c>
      <c r="W385">
        <v>18842.650000000001</v>
      </c>
      <c r="X385">
        <f t="shared" si="76"/>
        <v>1.7783158084137791E-2</v>
      </c>
      <c r="Y385">
        <f t="shared" si="77"/>
        <v>1.7942219914827001E-2</v>
      </c>
      <c r="Z385" t="str">
        <f t="shared" si="70"/>
        <v>2011-07</v>
      </c>
    </row>
    <row r="386" spans="1:26" x14ac:dyDescent="0.35">
      <c r="A386" s="1">
        <v>40738</v>
      </c>
      <c r="C386">
        <v>2695.29</v>
      </c>
      <c r="D386">
        <f t="shared" si="71"/>
        <v>-7.304564171771776E-3</v>
      </c>
      <c r="E386" t="str">
        <f t="shared" si="65"/>
        <v>2011-07</v>
      </c>
      <c r="G386">
        <v>3751.23</v>
      </c>
      <c r="H386">
        <f t="shared" si="72"/>
        <v>-1.1144657730796323E-2</v>
      </c>
      <c r="I386" t="str">
        <f t="shared" si="66"/>
        <v>2011-07</v>
      </c>
      <c r="K386">
        <v>7214.74</v>
      </c>
      <c r="L386">
        <f t="shared" si="73"/>
        <v>-7.3371082071654768E-3</v>
      </c>
      <c r="M386" t="str">
        <f t="shared" si="67"/>
        <v>2011-07</v>
      </c>
      <c r="O386">
        <v>6661.2861400000002</v>
      </c>
      <c r="P386">
        <f t="shared" si="74"/>
        <v>-9.1441672883980762E-3</v>
      </c>
      <c r="Q386" t="str">
        <f t="shared" si="68"/>
        <v>2011-07</v>
      </c>
      <c r="S386">
        <v>9598.6</v>
      </c>
      <c r="T386">
        <f t="shared" si="75"/>
        <v>-7.0904244523408337E-3</v>
      </c>
      <c r="U386" t="str">
        <f t="shared" si="69"/>
        <v>2011-07</v>
      </c>
      <c r="W386">
        <v>18640.349999999999</v>
      </c>
      <c r="X386">
        <f t="shared" si="76"/>
        <v>-1.079433152568428E-2</v>
      </c>
      <c r="Y386">
        <f t="shared" si="77"/>
        <v>-1.0736281786266948E-2</v>
      </c>
      <c r="Z386" t="str">
        <f t="shared" si="70"/>
        <v>2011-07</v>
      </c>
    </row>
    <row r="387" spans="1:26" x14ac:dyDescent="0.35">
      <c r="A387" s="1">
        <v>40739</v>
      </c>
      <c r="C387">
        <v>2675.38</v>
      </c>
      <c r="D387">
        <f t="shared" si="71"/>
        <v>-7.4143789170847919E-3</v>
      </c>
      <c r="E387" t="str">
        <f t="shared" si="65"/>
        <v>2011-07</v>
      </c>
      <c r="G387">
        <v>3726.59</v>
      </c>
      <c r="H387">
        <f t="shared" si="72"/>
        <v>-6.5901798056564329E-3</v>
      </c>
      <c r="I387" t="str">
        <f t="shared" si="66"/>
        <v>2011-07</v>
      </c>
      <c r="K387">
        <v>7220.12</v>
      </c>
      <c r="L387">
        <f t="shared" si="73"/>
        <v>7.4541772474622219E-4</v>
      </c>
      <c r="M387" t="str">
        <f t="shared" si="67"/>
        <v>2011-07</v>
      </c>
      <c r="O387">
        <v>6668.9096900000004</v>
      </c>
      <c r="P387">
        <f t="shared" si="74"/>
        <v>1.1438017758134251E-3</v>
      </c>
      <c r="Q387" t="str">
        <f t="shared" si="68"/>
        <v>2011-07</v>
      </c>
      <c r="S387">
        <v>9484.2000000000007</v>
      </c>
      <c r="T387">
        <f t="shared" si="75"/>
        <v>-1.1989998376474914E-2</v>
      </c>
      <c r="U387" t="str">
        <f t="shared" si="69"/>
        <v>2011-07</v>
      </c>
      <c r="W387">
        <v>18450.45</v>
      </c>
      <c r="X387">
        <f t="shared" si="76"/>
        <v>-1.0239825472195511E-2</v>
      </c>
      <c r="Y387">
        <f t="shared" si="77"/>
        <v>-1.0187576950003505E-2</v>
      </c>
      <c r="Z387" t="str">
        <f t="shared" si="70"/>
        <v>2011-07</v>
      </c>
    </row>
    <row r="388" spans="1:26" x14ac:dyDescent="0.35">
      <c r="A388" s="1">
        <v>40742</v>
      </c>
      <c r="C388">
        <v>2622.36</v>
      </c>
      <c r="D388">
        <f t="shared" si="71"/>
        <v>-2.0016750645803216E-2</v>
      </c>
      <c r="E388" t="str">
        <f t="shared" ref="E388:E451" si="78">_xlfn.CONCAT(YEAR(A388),"-",TEXT(MONTH(A388),"00"))</f>
        <v>2011-07</v>
      </c>
      <c r="G388">
        <v>3650.71</v>
      </c>
      <c r="H388">
        <f t="shared" si="72"/>
        <v>-2.0571937170746041E-2</v>
      </c>
      <c r="I388" t="str">
        <f t="shared" ref="I388:I451" si="79">_xlfn.CONCAT(YEAR(A388),"-",TEXT(MONTH(A388),"00"))</f>
        <v>2011-07</v>
      </c>
      <c r="K388">
        <v>7107.92</v>
      </c>
      <c r="L388">
        <f t="shared" si="73"/>
        <v>-1.5661917960192312E-2</v>
      </c>
      <c r="M388" t="str">
        <f t="shared" ref="M388:M451" si="80">_xlfn.CONCAT(YEAR(A388),"-",TEXT(MONTH(A388),"00"))</f>
        <v>2011-07</v>
      </c>
      <c r="O388">
        <v>6556.9926299999997</v>
      </c>
      <c r="P388">
        <f t="shared" si="74"/>
        <v>-1.6924324506873693E-2</v>
      </c>
      <c r="Q388" t="str">
        <f t="shared" ref="Q388:Q451" si="81">_xlfn.CONCAT(YEAR(A388),"-",TEXT(MONTH(A388),"00"))</f>
        <v>2011-07</v>
      </c>
      <c r="S388">
        <v>9347.7999999999993</v>
      </c>
      <c r="T388">
        <f t="shared" si="75"/>
        <v>-1.4486234632323246E-2</v>
      </c>
      <c r="U388" t="str">
        <f t="shared" ref="U388:U451" si="82">_xlfn.CONCAT(YEAR(A388),"-",TEXT(MONTH(A388),"00"))</f>
        <v>2011-07</v>
      </c>
      <c r="W388">
        <v>17885.740000000002</v>
      </c>
      <c r="X388">
        <f t="shared" si="76"/>
        <v>-3.1085013123669538E-2</v>
      </c>
      <c r="Y388">
        <f t="shared" si="77"/>
        <v>-3.0606841567549795E-2</v>
      </c>
      <c r="Z388" t="str">
        <f t="shared" ref="Z388:Z451" si="83">_xlfn.CONCAT(YEAR(A388),"-",TEXT(MONTH(A388),"00"))</f>
        <v>2011-07</v>
      </c>
    </row>
    <row r="389" spans="1:26" x14ac:dyDescent="0.35">
      <c r="A389" s="1">
        <v>40743</v>
      </c>
      <c r="C389">
        <v>2657.45</v>
      </c>
      <c r="D389">
        <f t="shared" ref="D389:D452" si="84">LN(C389/C388)</f>
        <v>1.3292340693596616E-2</v>
      </c>
      <c r="E389" t="str">
        <f t="shared" si="78"/>
        <v>2011-07</v>
      </c>
      <c r="G389">
        <v>3694.95</v>
      </c>
      <c r="H389">
        <f t="shared" ref="H389:H452" si="85">LN(G389/G388)</f>
        <v>1.2045353283203348E-2</v>
      </c>
      <c r="I389" t="str">
        <f t="shared" si="79"/>
        <v>2011-07</v>
      </c>
      <c r="K389">
        <v>7192.67</v>
      </c>
      <c r="L389">
        <f t="shared" ref="L389:L452" si="86">LN(K389/K388)</f>
        <v>1.1852796590872816E-2</v>
      </c>
      <c r="M389" t="str">
        <f t="shared" si="80"/>
        <v>2011-07</v>
      </c>
      <c r="O389">
        <v>6596.2791200000001</v>
      </c>
      <c r="P389">
        <f t="shared" ref="P389:P452" si="87">LN(O389/O388)</f>
        <v>5.9736630662993234E-3</v>
      </c>
      <c r="Q389" t="str">
        <f t="shared" si="81"/>
        <v>2011-07</v>
      </c>
      <c r="S389">
        <v>9443.7999999999993</v>
      </c>
      <c r="T389">
        <f t="shared" ref="T389:T452" si="88">LN(S389/S388)</f>
        <v>1.0217420034901187E-2</v>
      </c>
      <c r="U389" t="str">
        <f t="shared" si="82"/>
        <v>2011-07</v>
      </c>
      <c r="W389">
        <v>18229.47</v>
      </c>
      <c r="X389">
        <f t="shared" ref="X389:X452" si="89">LN(W389/W388)</f>
        <v>1.9035768001948387E-2</v>
      </c>
      <c r="Y389">
        <f t="shared" ref="Y389:Y452" si="90">(W389-W388)/W388</f>
        <v>1.9218103360554246E-2</v>
      </c>
      <c r="Z389" t="str">
        <f t="shared" si="83"/>
        <v>2011-07</v>
      </c>
    </row>
    <row r="390" spans="1:26" x14ac:dyDescent="0.35">
      <c r="A390" s="1">
        <v>40744</v>
      </c>
      <c r="C390">
        <v>2705.75</v>
      </c>
      <c r="D390">
        <f t="shared" si="84"/>
        <v>1.8012121811597875E-2</v>
      </c>
      <c r="E390" t="str">
        <f t="shared" si="78"/>
        <v>2011-07</v>
      </c>
      <c r="G390">
        <v>3754.6</v>
      </c>
      <c r="H390">
        <f t="shared" si="85"/>
        <v>1.6014732399244704E-2</v>
      </c>
      <c r="I390" t="str">
        <f t="shared" si="79"/>
        <v>2011-07</v>
      </c>
      <c r="K390">
        <v>7221.36</v>
      </c>
      <c r="L390">
        <f t="shared" si="86"/>
        <v>3.9808489212112101E-3</v>
      </c>
      <c r="M390" t="str">
        <f t="shared" si="80"/>
        <v>2011-07</v>
      </c>
      <c r="O390">
        <v>6657.9886299999998</v>
      </c>
      <c r="P390">
        <f t="shared" si="87"/>
        <v>9.3117110738184499E-3</v>
      </c>
      <c r="Q390" t="str">
        <f t="shared" si="81"/>
        <v>2011-07</v>
      </c>
      <c r="S390">
        <v>9732.7999999999993</v>
      </c>
      <c r="T390">
        <f t="shared" si="88"/>
        <v>3.0143183052458097E-2</v>
      </c>
      <c r="U390" t="str">
        <f t="shared" si="82"/>
        <v>2011-07</v>
      </c>
      <c r="W390">
        <v>18784.11</v>
      </c>
      <c r="X390">
        <f t="shared" si="89"/>
        <v>2.9971784364959276E-2</v>
      </c>
      <c r="Y390">
        <f t="shared" si="90"/>
        <v>3.0425459434640686E-2</v>
      </c>
      <c r="Z390" t="str">
        <f t="shared" si="83"/>
        <v>2011-07</v>
      </c>
    </row>
    <row r="391" spans="1:26" x14ac:dyDescent="0.35">
      <c r="A391" s="1">
        <v>40745</v>
      </c>
      <c r="C391">
        <v>2763.34</v>
      </c>
      <c r="D391">
        <f t="shared" si="84"/>
        <v>2.1060954828300223E-2</v>
      </c>
      <c r="E391" t="str">
        <f t="shared" si="78"/>
        <v>2011-07</v>
      </c>
      <c r="G391">
        <v>3816.75</v>
      </c>
      <c r="H391">
        <f t="shared" si="85"/>
        <v>1.6417520246790072E-2</v>
      </c>
      <c r="I391" t="str">
        <f t="shared" si="79"/>
        <v>2011-07</v>
      </c>
      <c r="K391">
        <v>7290.14</v>
      </c>
      <c r="L391">
        <f t="shared" si="86"/>
        <v>9.4794494086169398E-3</v>
      </c>
      <c r="M391" t="str">
        <f t="shared" si="80"/>
        <v>2011-07</v>
      </c>
      <c r="O391">
        <v>6688.2656699999998</v>
      </c>
      <c r="P391">
        <f t="shared" si="87"/>
        <v>4.5371669472762804E-3</v>
      </c>
      <c r="Q391" t="str">
        <f t="shared" si="81"/>
        <v>2011-07</v>
      </c>
      <c r="S391">
        <v>10017.6</v>
      </c>
      <c r="T391">
        <f t="shared" si="88"/>
        <v>2.8841921424605139E-2</v>
      </c>
      <c r="U391" t="str">
        <f t="shared" si="82"/>
        <v>2011-07</v>
      </c>
      <c r="W391">
        <v>19490.759999999998</v>
      </c>
      <c r="X391">
        <f t="shared" si="89"/>
        <v>3.6929207439049774E-2</v>
      </c>
      <c r="Y391">
        <f t="shared" si="90"/>
        <v>3.7619562491914595E-2</v>
      </c>
      <c r="Z391" t="str">
        <f t="shared" si="83"/>
        <v>2011-07</v>
      </c>
    </row>
    <row r="392" spans="1:26" x14ac:dyDescent="0.35">
      <c r="A392" s="1">
        <v>40746</v>
      </c>
      <c r="C392">
        <v>2772.6</v>
      </c>
      <c r="D392">
        <f t="shared" si="84"/>
        <v>3.3454151007195959E-3</v>
      </c>
      <c r="E392" t="str">
        <f t="shared" si="78"/>
        <v>2011-07</v>
      </c>
      <c r="G392">
        <v>3842.7</v>
      </c>
      <c r="H392">
        <f t="shared" si="85"/>
        <v>6.7759693681483301E-3</v>
      </c>
      <c r="I392" t="str">
        <f t="shared" si="79"/>
        <v>2011-07</v>
      </c>
      <c r="K392">
        <v>7326.39</v>
      </c>
      <c r="L392">
        <f t="shared" si="86"/>
        <v>4.9601477671828613E-3</v>
      </c>
      <c r="M392" t="str">
        <f t="shared" si="80"/>
        <v>2011-07</v>
      </c>
      <c r="O392">
        <v>6739.0261899999996</v>
      </c>
      <c r="P392">
        <f t="shared" si="87"/>
        <v>7.5608339111968804E-3</v>
      </c>
      <c r="Q392" t="str">
        <f t="shared" si="81"/>
        <v>2011-07</v>
      </c>
      <c r="S392">
        <v>10059.299999999999</v>
      </c>
      <c r="T392">
        <f t="shared" si="88"/>
        <v>4.1540337367390904E-3</v>
      </c>
      <c r="U392" t="str">
        <f t="shared" si="82"/>
        <v>2011-07</v>
      </c>
      <c r="W392">
        <v>19461.14</v>
      </c>
      <c r="X392">
        <f t="shared" si="89"/>
        <v>-1.5208503672077213E-3</v>
      </c>
      <c r="Y392">
        <f t="shared" si="90"/>
        <v>-1.5196944603493648E-3</v>
      </c>
      <c r="Z392" t="str">
        <f t="shared" si="83"/>
        <v>2011-07</v>
      </c>
    </row>
    <row r="393" spans="1:26" x14ac:dyDescent="0.35">
      <c r="A393" s="1">
        <v>40749</v>
      </c>
      <c r="C393">
        <v>2742.7</v>
      </c>
      <c r="D393">
        <f t="shared" si="84"/>
        <v>-1.0842671451613063E-2</v>
      </c>
      <c r="E393" t="str">
        <f t="shared" si="78"/>
        <v>2011-07</v>
      </c>
      <c r="G393">
        <v>3812.97</v>
      </c>
      <c r="H393">
        <f t="shared" si="85"/>
        <v>-7.7668314992014624E-3</v>
      </c>
      <c r="I393" t="str">
        <f t="shared" si="79"/>
        <v>2011-07</v>
      </c>
      <c r="K393">
        <v>7344.54</v>
      </c>
      <c r="L393">
        <f t="shared" si="86"/>
        <v>2.4742820338766978E-3</v>
      </c>
      <c r="M393" t="str">
        <f t="shared" si="80"/>
        <v>2011-07</v>
      </c>
      <c r="O393">
        <v>6713.8930200000004</v>
      </c>
      <c r="P393">
        <f t="shared" si="87"/>
        <v>-3.7364677284405993E-3</v>
      </c>
      <c r="Q393" t="str">
        <f t="shared" si="81"/>
        <v>2011-07</v>
      </c>
      <c r="S393">
        <v>9866.2000000000007</v>
      </c>
      <c r="T393">
        <f t="shared" si="88"/>
        <v>-1.9382805499592735E-2</v>
      </c>
      <c r="U393" t="str">
        <f t="shared" si="82"/>
        <v>2011-07</v>
      </c>
      <c r="W393">
        <v>18979.43</v>
      </c>
      <c r="X393">
        <f t="shared" si="89"/>
        <v>-2.5063895629481033E-2</v>
      </c>
      <c r="Y393">
        <f t="shared" si="90"/>
        <v>-2.4752404021552651E-2</v>
      </c>
      <c r="Z393" t="str">
        <f t="shared" si="83"/>
        <v>2011-07</v>
      </c>
    </row>
    <row r="394" spans="1:26" x14ac:dyDescent="0.35">
      <c r="A394" s="1">
        <v>40750</v>
      </c>
      <c r="C394">
        <v>2739.65</v>
      </c>
      <c r="D394">
        <f t="shared" si="84"/>
        <v>-1.1126616559184511E-3</v>
      </c>
      <c r="E394" t="str">
        <f t="shared" si="78"/>
        <v>2011-07</v>
      </c>
      <c r="G394">
        <v>3787.88</v>
      </c>
      <c r="H394">
        <f t="shared" si="85"/>
        <v>-6.6019171880917103E-3</v>
      </c>
      <c r="I394" t="str">
        <f t="shared" si="79"/>
        <v>2011-07</v>
      </c>
      <c r="K394">
        <v>7349.45</v>
      </c>
      <c r="L394">
        <f t="shared" si="86"/>
        <v>6.6830046607404691E-4</v>
      </c>
      <c r="M394" t="str">
        <f t="shared" si="80"/>
        <v>2011-07</v>
      </c>
      <c r="O394">
        <v>6702.3372499999996</v>
      </c>
      <c r="P394">
        <f t="shared" si="87"/>
        <v>-1.7226557125405062E-3</v>
      </c>
      <c r="Q394" t="str">
        <f t="shared" si="81"/>
        <v>2011-07</v>
      </c>
      <c r="S394">
        <v>9833.4</v>
      </c>
      <c r="T394">
        <f t="shared" si="88"/>
        <v>-3.3300199303558072E-3</v>
      </c>
      <c r="U394" t="str">
        <f t="shared" si="82"/>
        <v>2011-07</v>
      </c>
      <c r="W394">
        <v>19029.86</v>
      </c>
      <c r="X394">
        <f t="shared" si="89"/>
        <v>2.6535633573515518E-3</v>
      </c>
      <c r="Y394">
        <f t="shared" si="90"/>
        <v>2.6570871727970907E-3</v>
      </c>
      <c r="Z394" t="str">
        <f t="shared" si="83"/>
        <v>2011-07</v>
      </c>
    </row>
    <row r="395" spans="1:26" x14ac:dyDescent="0.35">
      <c r="A395" s="1">
        <v>40751</v>
      </c>
      <c r="C395">
        <v>2693.71</v>
      </c>
      <c r="D395">
        <f t="shared" si="84"/>
        <v>-1.6910749442871673E-2</v>
      </c>
      <c r="E395" t="str">
        <f t="shared" si="78"/>
        <v>2011-07</v>
      </c>
      <c r="G395">
        <v>3734.07</v>
      </c>
      <c r="H395">
        <f t="shared" si="85"/>
        <v>-1.4307704239571627E-2</v>
      </c>
      <c r="I395" t="str">
        <f t="shared" si="79"/>
        <v>2011-07</v>
      </c>
      <c r="K395">
        <v>7252.68</v>
      </c>
      <c r="L395">
        <f t="shared" si="86"/>
        <v>-1.3254424759516962E-2</v>
      </c>
      <c r="M395" t="str">
        <f t="shared" si="80"/>
        <v>2011-07</v>
      </c>
      <c r="O395">
        <v>6658.63339</v>
      </c>
      <c r="P395">
        <f t="shared" si="87"/>
        <v>-6.5420420489524225E-3</v>
      </c>
      <c r="Q395" t="str">
        <f t="shared" si="81"/>
        <v>2011-07</v>
      </c>
      <c r="S395">
        <v>9643.2999999999993</v>
      </c>
      <c r="T395">
        <f t="shared" si="88"/>
        <v>-1.9521380621165891E-2</v>
      </c>
      <c r="U395" t="str">
        <f t="shared" si="82"/>
        <v>2011-07</v>
      </c>
      <c r="W395">
        <v>18494.27</v>
      </c>
      <c r="X395">
        <f t="shared" si="89"/>
        <v>-2.8548370097562059E-2</v>
      </c>
      <c r="Y395">
        <f t="shared" si="90"/>
        <v>-2.814471572570687E-2</v>
      </c>
      <c r="Z395" t="str">
        <f t="shared" si="83"/>
        <v>2011-07</v>
      </c>
    </row>
    <row r="396" spans="1:26" x14ac:dyDescent="0.35">
      <c r="A396" s="1">
        <v>40752</v>
      </c>
      <c r="C396">
        <v>2692.76</v>
      </c>
      <c r="D396">
        <f t="shared" si="84"/>
        <v>-3.5273565427821615E-4</v>
      </c>
      <c r="E396" t="str">
        <f t="shared" si="78"/>
        <v>2011-07</v>
      </c>
      <c r="G396">
        <v>3712.66</v>
      </c>
      <c r="H396">
        <f t="shared" si="85"/>
        <v>-5.7501907529592198E-3</v>
      </c>
      <c r="I396" t="str">
        <f t="shared" si="79"/>
        <v>2011-07</v>
      </c>
      <c r="K396">
        <v>7190.06</v>
      </c>
      <c r="L396">
        <f t="shared" si="86"/>
        <v>-8.6715391117149904E-3</v>
      </c>
      <c r="M396" t="str">
        <f t="shared" si="80"/>
        <v>2011-07</v>
      </c>
      <c r="O396">
        <v>6704.4408000000003</v>
      </c>
      <c r="P396">
        <f t="shared" si="87"/>
        <v>6.855846008325347E-3</v>
      </c>
      <c r="Q396" t="str">
        <f t="shared" si="81"/>
        <v>2011-07</v>
      </c>
      <c r="S396">
        <v>9657</v>
      </c>
      <c r="T396">
        <f t="shared" si="88"/>
        <v>1.4196672902472161E-3</v>
      </c>
      <c r="U396" t="str">
        <f t="shared" si="82"/>
        <v>2011-07</v>
      </c>
      <c r="W396">
        <v>18558.02</v>
      </c>
      <c r="X396">
        <f t="shared" si="89"/>
        <v>3.4410862543555452E-3</v>
      </c>
      <c r="Y396">
        <f t="shared" si="90"/>
        <v>3.4470135885330969E-3</v>
      </c>
      <c r="Z396" t="str">
        <f t="shared" si="83"/>
        <v>2011-07</v>
      </c>
    </row>
    <row r="397" spans="1:26" x14ac:dyDescent="0.35">
      <c r="A397" s="1">
        <v>40753</v>
      </c>
      <c r="C397">
        <v>2670.37</v>
      </c>
      <c r="D397">
        <f t="shared" si="84"/>
        <v>-8.3496503271479269E-3</v>
      </c>
      <c r="E397" t="str">
        <f t="shared" si="78"/>
        <v>2011-07</v>
      </c>
      <c r="G397">
        <v>3671.28</v>
      </c>
      <c r="H397">
        <f t="shared" si="85"/>
        <v>-1.1208225742256186E-2</v>
      </c>
      <c r="I397" t="str">
        <f t="shared" si="79"/>
        <v>2011-07</v>
      </c>
      <c r="K397">
        <v>7158.77</v>
      </c>
      <c r="L397">
        <f t="shared" si="86"/>
        <v>-4.3613381157831636E-3</v>
      </c>
      <c r="M397" t="str">
        <f t="shared" si="80"/>
        <v>2011-07</v>
      </c>
      <c r="O397">
        <v>6644.4873600000001</v>
      </c>
      <c r="P397">
        <f t="shared" si="87"/>
        <v>-8.9825703458192799E-3</v>
      </c>
      <c r="Q397" t="str">
        <f t="shared" si="81"/>
        <v>2011-07</v>
      </c>
      <c r="S397">
        <v>9630.7000000000007</v>
      </c>
      <c r="T397">
        <f t="shared" si="88"/>
        <v>-2.7271283045591987E-3</v>
      </c>
      <c r="U397" t="str">
        <f t="shared" si="82"/>
        <v>2011-07</v>
      </c>
      <c r="W397">
        <v>18433.68</v>
      </c>
      <c r="X397">
        <f t="shared" si="89"/>
        <v>-6.7226144394605279E-3</v>
      </c>
      <c r="Y397">
        <f t="shared" si="90"/>
        <v>-6.700068218484523E-3</v>
      </c>
      <c r="Z397" t="str">
        <f t="shared" si="83"/>
        <v>2011-07</v>
      </c>
    </row>
    <row r="398" spans="1:26" x14ac:dyDescent="0.35">
      <c r="A398" s="1">
        <v>40756</v>
      </c>
      <c r="C398">
        <v>2593.34</v>
      </c>
      <c r="D398">
        <f t="shared" si="84"/>
        <v>-2.9270419377335651E-2</v>
      </c>
      <c r="E398" t="str">
        <f t="shared" si="78"/>
        <v>2011-08</v>
      </c>
      <c r="G398">
        <v>3588.05</v>
      </c>
      <c r="H398">
        <f t="shared" si="85"/>
        <v>-2.2931495661506547E-2</v>
      </c>
      <c r="I398" t="str">
        <f t="shared" si="79"/>
        <v>2011-08</v>
      </c>
      <c r="K398">
        <v>6953.98</v>
      </c>
      <c r="L398">
        <f t="shared" si="86"/>
        <v>-2.9024020966890097E-2</v>
      </c>
      <c r="M398" t="str">
        <f t="shared" si="80"/>
        <v>2011-08</v>
      </c>
      <c r="O398">
        <v>6606.1847500000003</v>
      </c>
      <c r="P398">
        <f t="shared" si="87"/>
        <v>-5.7812488851585794E-3</v>
      </c>
      <c r="Q398" t="str">
        <f t="shared" si="81"/>
        <v>2011-08</v>
      </c>
      <c r="S398">
        <v>9318.2000000000007</v>
      </c>
      <c r="T398">
        <f t="shared" si="88"/>
        <v>-3.2986435682520597E-2</v>
      </c>
      <c r="U398" t="str">
        <f t="shared" si="82"/>
        <v>2011-08</v>
      </c>
      <c r="W398">
        <v>17720.439999999999</v>
      </c>
      <c r="X398">
        <f t="shared" si="89"/>
        <v>-3.9460650624852649E-2</v>
      </c>
      <c r="Y398">
        <f t="shared" si="90"/>
        <v>-3.8692219893152184E-2</v>
      </c>
      <c r="Z398" t="str">
        <f t="shared" si="83"/>
        <v>2011-08</v>
      </c>
    </row>
    <row r="399" spans="1:26" x14ac:dyDescent="0.35">
      <c r="A399" s="1">
        <v>40757</v>
      </c>
      <c r="C399">
        <v>2544.89</v>
      </c>
      <c r="D399">
        <f t="shared" si="84"/>
        <v>-1.8859193148514759E-2</v>
      </c>
      <c r="E399" t="str">
        <f t="shared" si="78"/>
        <v>2011-08</v>
      </c>
      <c r="G399">
        <v>3522.79</v>
      </c>
      <c r="H399">
        <f t="shared" si="85"/>
        <v>-1.8355590145410695E-2</v>
      </c>
      <c r="I399" t="str">
        <f t="shared" si="79"/>
        <v>2011-08</v>
      </c>
      <c r="K399">
        <v>6796.75</v>
      </c>
      <c r="L399">
        <f t="shared" si="86"/>
        <v>-2.2869600783666778E-2</v>
      </c>
      <c r="M399" t="str">
        <f t="shared" si="80"/>
        <v>2011-08</v>
      </c>
      <c r="O399">
        <v>6556.2980100000004</v>
      </c>
      <c r="P399">
        <f t="shared" si="87"/>
        <v>-7.5801776579636588E-3</v>
      </c>
      <c r="Q399" t="str">
        <f t="shared" si="81"/>
        <v>2011-08</v>
      </c>
      <c r="S399">
        <v>9114.9</v>
      </c>
      <c r="T399">
        <f t="shared" si="88"/>
        <v>-2.2059039854299047E-2</v>
      </c>
      <c r="U399" t="str">
        <f t="shared" si="82"/>
        <v>2011-08</v>
      </c>
      <c r="W399">
        <v>17272.79</v>
      </c>
      <c r="X399">
        <f t="shared" si="89"/>
        <v>-2.5586344633963524E-2</v>
      </c>
      <c r="Y399">
        <f t="shared" si="90"/>
        <v>-2.5261788082011388E-2</v>
      </c>
      <c r="Z399" t="str">
        <f t="shared" si="83"/>
        <v>2011-08</v>
      </c>
    </row>
    <row r="400" spans="1:26" x14ac:dyDescent="0.35">
      <c r="A400" s="1">
        <v>40758</v>
      </c>
      <c r="C400">
        <v>2497.83</v>
      </c>
      <c r="D400">
        <f t="shared" si="84"/>
        <v>-1.8665072120436704E-2</v>
      </c>
      <c r="E400" t="str">
        <f t="shared" si="78"/>
        <v>2011-08</v>
      </c>
      <c r="G400">
        <v>3454.94</v>
      </c>
      <c r="H400">
        <f t="shared" si="85"/>
        <v>-1.9448198361259945E-2</v>
      </c>
      <c r="I400" t="str">
        <f t="shared" si="79"/>
        <v>2011-08</v>
      </c>
      <c r="K400">
        <v>6640.59</v>
      </c>
      <c r="L400">
        <f t="shared" si="86"/>
        <v>-2.3243741792681499E-2</v>
      </c>
      <c r="M400" t="str">
        <f t="shared" si="80"/>
        <v>2011-08</v>
      </c>
      <c r="O400">
        <v>6407.6219499999997</v>
      </c>
      <c r="P400">
        <f t="shared" si="87"/>
        <v>-2.2937904460361667E-2</v>
      </c>
      <c r="Q400" t="str">
        <f t="shared" si="81"/>
        <v>2011-08</v>
      </c>
      <c r="S400">
        <v>9037.7000000000007</v>
      </c>
      <c r="T400">
        <f t="shared" si="88"/>
        <v>-8.5057198895526279E-3</v>
      </c>
      <c r="U400" t="str">
        <f t="shared" si="82"/>
        <v>2011-08</v>
      </c>
      <c r="W400">
        <v>17006.02</v>
      </c>
      <c r="X400">
        <f t="shared" si="89"/>
        <v>-1.5565031916049792E-2</v>
      </c>
      <c r="Y400">
        <f t="shared" si="90"/>
        <v>-1.5444522859364377E-2</v>
      </c>
      <c r="Z400" t="str">
        <f t="shared" si="83"/>
        <v>2011-08</v>
      </c>
    </row>
    <row r="401" spans="1:26" x14ac:dyDescent="0.35">
      <c r="A401" s="1">
        <v>40759</v>
      </c>
      <c r="C401">
        <v>2412.29</v>
      </c>
      <c r="D401">
        <f t="shared" si="84"/>
        <v>-3.4845851133920684E-2</v>
      </c>
      <c r="E401" t="str">
        <f t="shared" si="78"/>
        <v>2011-08</v>
      </c>
      <c r="G401">
        <v>3320.35</v>
      </c>
      <c r="H401">
        <f t="shared" si="85"/>
        <v>-3.9734891874136799E-2</v>
      </c>
      <c r="I401" t="str">
        <f t="shared" si="79"/>
        <v>2011-08</v>
      </c>
      <c r="K401">
        <v>6414.76</v>
      </c>
      <c r="L401">
        <f t="shared" si="86"/>
        <v>-3.4599229909765362E-2</v>
      </c>
      <c r="M401" t="str">
        <f t="shared" si="80"/>
        <v>2011-08</v>
      </c>
      <c r="O401">
        <v>6204.9286499999998</v>
      </c>
      <c r="P401">
        <f t="shared" si="87"/>
        <v>-3.2144291659739144E-2</v>
      </c>
      <c r="Q401" t="str">
        <f t="shared" si="81"/>
        <v>2011-08</v>
      </c>
      <c r="S401">
        <v>8686.5</v>
      </c>
      <c r="T401">
        <f t="shared" si="88"/>
        <v>-3.963462090203209E-2</v>
      </c>
      <c r="U401" t="str">
        <f t="shared" si="82"/>
        <v>2011-08</v>
      </c>
      <c r="W401">
        <v>16128.07</v>
      </c>
      <c r="X401">
        <f t="shared" si="89"/>
        <v>-5.3006166861102183E-2</v>
      </c>
      <c r="Y401">
        <f t="shared" si="90"/>
        <v>-5.1625836027477369E-2</v>
      </c>
      <c r="Z401" t="str">
        <f t="shared" si="83"/>
        <v>2011-08</v>
      </c>
    </row>
    <row r="402" spans="1:26" x14ac:dyDescent="0.35">
      <c r="A402" s="1">
        <v>40760</v>
      </c>
      <c r="C402">
        <v>2375.15</v>
      </c>
      <c r="D402">
        <f t="shared" si="84"/>
        <v>-1.5515910423136043E-2</v>
      </c>
      <c r="E402" t="str">
        <f t="shared" si="78"/>
        <v>2011-08</v>
      </c>
      <c r="G402">
        <v>3278.56</v>
      </c>
      <c r="H402">
        <f t="shared" si="85"/>
        <v>-1.2665897452283328E-2</v>
      </c>
      <c r="I402" t="str">
        <f t="shared" si="79"/>
        <v>2011-08</v>
      </c>
      <c r="K402">
        <v>6236.16</v>
      </c>
      <c r="L402">
        <f t="shared" si="86"/>
        <v>-2.8236976713733052E-2</v>
      </c>
      <c r="M402" t="str">
        <f t="shared" si="80"/>
        <v>2011-08</v>
      </c>
      <c r="O402">
        <v>6028.9738399999997</v>
      </c>
      <c r="P402">
        <f t="shared" si="87"/>
        <v>-2.8767099329337895E-2</v>
      </c>
      <c r="Q402" t="str">
        <f t="shared" si="81"/>
        <v>2011-08</v>
      </c>
      <c r="S402">
        <v>8671.2000000000007</v>
      </c>
      <c r="T402">
        <f t="shared" si="88"/>
        <v>-1.7629068324139269E-3</v>
      </c>
      <c r="U402" t="str">
        <f t="shared" si="82"/>
        <v>2011-08</v>
      </c>
      <c r="W402">
        <v>16015.87</v>
      </c>
      <c r="X402">
        <f t="shared" si="89"/>
        <v>-6.9811265005110699E-3</v>
      </c>
      <c r="Y402">
        <f t="shared" si="90"/>
        <v>-6.9568150435854329E-3</v>
      </c>
      <c r="Z402" t="str">
        <f t="shared" si="83"/>
        <v>2011-08</v>
      </c>
    </row>
    <row r="403" spans="1:26" x14ac:dyDescent="0.35">
      <c r="A403" s="1">
        <v>40763</v>
      </c>
      <c r="C403">
        <v>2286.91</v>
      </c>
      <c r="D403">
        <f t="shared" si="84"/>
        <v>-3.7859031984679839E-2</v>
      </c>
      <c r="E403" t="str">
        <f t="shared" si="78"/>
        <v>2011-08</v>
      </c>
      <c r="G403">
        <v>3125.19</v>
      </c>
      <c r="H403">
        <f t="shared" si="85"/>
        <v>-4.7909220266265609E-2</v>
      </c>
      <c r="I403" t="str">
        <f t="shared" si="79"/>
        <v>2011-08</v>
      </c>
      <c r="K403">
        <v>5923.27</v>
      </c>
      <c r="L403">
        <f t="shared" si="86"/>
        <v>-5.1475947075660881E-2</v>
      </c>
      <c r="M403" t="str">
        <f t="shared" si="80"/>
        <v>2011-08</v>
      </c>
      <c r="O403">
        <v>5833.01836</v>
      </c>
      <c r="P403">
        <f t="shared" si="87"/>
        <v>-3.304222509484199E-2</v>
      </c>
      <c r="Q403" t="str">
        <f t="shared" si="81"/>
        <v>2011-08</v>
      </c>
      <c r="S403">
        <v>8459.4</v>
      </c>
      <c r="T403">
        <f t="shared" si="88"/>
        <v>-2.4728940402169868E-2</v>
      </c>
      <c r="U403" t="str">
        <f t="shared" si="82"/>
        <v>2011-08</v>
      </c>
      <c r="W403">
        <v>15639.75</v>
      </c>
      <c r="X403">
        <f t="shared" si="89"/>
        <v>-2.3764355322128242E-2</v>
      </c>
      <c r="Y403">
        <f t="shared" si="90"/>
        <v>-2.3484206602576118E-2</v>
      </c>
      <c r="Z403" t="str">
        <f t="shared" si="83"/>
        <v>2011-08</v>
      </c>
    </row>
    <row r="404" spans="1:26" x14ac:dyDescent="0.35">
      <c r="A404" s="1">
        <v>40764</v>
      </c>
      <c r="C404">
        <v>2294.2399999999998</v>
      </c>
      <c r="D404">
        <f t="shared" si="84"/>
        <v>3.2000725823061195E-3</v>
      </c>
      <c r="E404" t="str">
        <f t="shared" si="78"/>
        <v>2011-08</v>
      </c>
      <c r="G404">
        <v>3176.19</v>
      </c>
      <c r="H404">
        <f t="shared" si="85"/>
        <v>1.6187283932986685E-2</v>
      </c>
      <c r="I404" t="str">
        <f t="shared" si="79"/>
        <v>2011-08</v>
      </c>
      <c r="K404">
        <v>5917.08</v>
      </c>
      <c r="L404">
        <f t="shared" si="86"/>
        <v>-1.0455772952532572E-3</v>
      </c>
      <c r="M404" t="str">
        <f t="shared" si="80"/>
        <v>2011-08</v>
      </c>
      <c r="O404">
        <v>5885.2350100000003</v>
      </c>
      <c r="P404">
        <f t="shared" si="87"/>
        <v>8.9120782697499432E-3</v>
      </c>
      <c r="Q404" t="str">
        <f t="shared" si="81"/>
        <v>2011-08</v>
      </c>
      <c r="S404">
        <v>8428.9</v>
      </c>
      <c r="T404">
        <f t="shared" si="88"/>
        <v>-3.6119719757991709E-3</v>
      </c>
      <c r="U404" t="str">
        <f t="shared" si="82"/>
        <v>2011-08</v>
      </c>
      <c r="W404">
        <v>15721.45</v>
      </c>
      <c r="X404">
        <f t="shared" si="89"/>
        <v>5.2102715983614913E-3</v>
      </c>
      <c r="Y404">
        <f t="shared" si="90"/>
        <v>5.2238686679774759E-3</v>
      </c>
      <c r="Z404" t="str">
        <f t="shared" si="83"/>
        <v>2011-08</v>
      </c>
    </row>
    <row r="405" spans="1:26" x14ac:dyDescent="0.35">
      <c r="A405" s="1">
        <v>40765</v>
      </c>
      <c r="C405">
        <v>2153.77</v>
      </c>
      <c r="D405">
        <f t="shared" si="84"/>
        <v>-6.3181839038860349E-2</v>
      </c>
      <c r="E405" t="str">
        <f t="shared" si="78"/>
        <v>2011-08</v>
      </c>
      <c r="G405">
        <v>3002.99</v>
      </c>
      <c r="H405">
        <f t="shared" si="85"/>
        <v>-5.6073906280787608E-2</v>
      </c>
      <c r="I405" t="str">
        <f t="shared" si="79"/>
        <v>2011-08</v>
      </c>
      <c r="K405">
        <v>5613.42</v>
      </c>
      <c r="L405">
        <f t="shared" si="86"/>
        <v>-5.2682924511394558E-2</v>
      </c>
      <c r="M405" t="str">
        <f t="shared" si="80"/>
        <v>2011-08</v>
      </c>
      <c r="O405">
        <v>5699.4819100000004</v>
      </c>
      <c r="P405">
        <f t="shared" si="87"/>
        <v>-3.2071395917700543E-2</v>
      </c>
      <c r="Q405" t="str">
        <f t="shared" si="81"/>
        <v>2011-08</v>
      </c>
      <c r="S405">
        <v>7966</v>
      </c>
      <c r="T405">
        <f t="shared" si="88"/>
        <v>-5.6483792381981701E-2</v>
      </c>
      <c r="U405" t="str">
        <f t="shared" si="82"/>
        <v>2011-08</v>
      </c>
      <c r="W405">
        <v>14676.04</v>
      </c>
      <c r="X405">
        <f t="shared" si="89"/>
        <v>-6.8809789905423857E-2</v>
      </c>
      <c r="Y405">
        <f t="shared" si="90"/>
        <v>-6.6495774880815692E-2</v>
      </c>
      <c r="Z405" t="str">
        <f t="shared" si="83"/>
        <v>2011-08</v>
      </c>
    </row>
    <row r="406" spans="1:26" x14ac:dyDescent="0.35">
      <c r="A406" s="1">
        <v>40766</v>
      </c>
      <c r="C406">
        <v>2215.4499999999998</v>
      </c>
      <c r="D406">
        <f t="shared" si="84"/>
        <v>2.8235748187994476E-2</v>
      </c>
      <c r="E406" t="str">
        <f t="shared" si="78"/>
        <v>2011-08</v>
      </c>
      <c r="G406">
        <v>3089.66</v>
      </c>
      <c r="H406">
        <f t="shared" si="85"/>
        <v>2.8452593500871388E-2</v>
      </c>
      <c r="I406" t="str">
        <f t="shared" si="79"/>
        <v>2011-08</v>
      </c>
      <c r="K406">
        <v>5797.66</v>
      </c>
      <c r="L406">
        <f t="shared" si="86"/>
        <v>3.2294228412546533E-2</v>
      </c>
      <c r="M406" t="str">
        <f t="shared" si="80"/>
        <v>2011-08</v>
      </c>
      <c r="O406">
        <v>5889.6361699999998</v>
      </c>
      <c r="P406">
        <f t="shared" si="87"/>
        <v>3.2818947230607312E-2</v>
      </c>
      <c r="Q406" t="str">
        <f t="shared" si="81"/>
        <v>2011-08</v>
      </c>
      <c r="S406">
        <v>8249.4</v>
      </c>
      <c r="T406">
        <f t="shared" si="88"/>
        <v>3.4957985669653448E-2</v>
      </c>
      <c r="U406" t="str">
        <f t="shared" si="82"/>
        <v>2011-08</v>
      </c>
      <c r="W406">
        <v>15277.19</v>
      </c>
      <c r="X406">
        <f t="shared" si="89"/>
        <v>4.0144634275424307E-2</v>
      </c>
      <c r="Y406">
        <f t="shared" si="90"/>
        <v>4.0961321991490864E-2</v>
      </c>
      <c r="Z406" t="str">
        <f t="shared" si="83"/>
        <v>2011-08</v>
      </c>
    </row>
    <row r="407" spans="1:26" x14ac:dyDescent="0.35">
      <c r="A407" s="1">
        <v>40767</v>
      </c>
      <c r="C407">
        <v>2307.33</v>
      </c>
      <c r="D407">
        <f t="shared" si="84"/>
        <v>4.063546874110234E-2</v>
      </c>
      <c r="E407" t="str">
        <f t="shared" si="78"/>
        <v>2011-08</v>
      </c>
      <c r="G407">
        <v>3213.88</v>
      </c>
      <c r="H407">
        <f t="shared" si="85"/>
        <v>3.9417877472953819E-2</v>
      </c>
      <c r="I407" t="str">
        <f t="shared" si="79"/>
        <v>2011-08</v>
      </c>
      <c r="K407">
        <v>5997.74</v>
      </c>
      <c r="L407">
        <f t="shared" si="86"/>
        <v>3.3928343735321401E-2</v>
      </c>
      <c r="M407" t="str">
        <f t="shared" si="80"/>
        <v>2011-08</v>
      </c>
      <c r="O407">
        <v>6082.0631000000003</v>
      </c>
      <c r="P407">
        <f t="shared" si="87"/>
        <v>3.2149739120401255E-2</v>
      </c>
      <c r="Q407" t="str">
        <f t="shared" si="81"/>
        <v>2011-08</v>
      </c>
      <c r="S407">
        <v>8647.2999999999993</v>
      </c>
      <c r="T407">
        <f t="shared" si="88"/>
        <v>4.7106663060925785E-2</v>
      </c>
      <c r="U407" t="str">
        <f t="shared" si="82"/>
        <v>2011-08</v>
      </c>
      <c r="W407">
        <v>15888.61</v>
      </c>
      <c r="X407">
        <f t="shared" si="89"/>
        <v>3.9241634019050002E-2</v>
      </c>
      <c r="Y407">
        <f t="shared" si="90"/>
        <v>4.0021757927995921E-2</v>
      </c>
      <c r="Z407" t="str">
        <f t="shared" si="83"/>
        <v>2011-08</v>
      </c>
    </row>
    <row r="408" spans="1:26" x14ac:dyDescent="0.35">
      <c r="A408" s="1">
        <v>40771</v>
      </c>
      <c r="C408">
        <v>2323.67</v>
      </c>
      <c r="D408">
        <f t="shared" si="84"/>
        <v>7.0568204747114066E-3</v>
      </c>
      <c r="E408" t="str">
        <f t="shared" si="78"/>
        <v>2011-08</v>
      </c>
      <c r="G408">
        <v>3230.9</v>
      </c>
      <c r="H408">
        <f t="shared" si="85"/>
        <v>5.2818062270249318E-3</v>
      </c>
      <c r="I408" t="str">
        <f t="shared" si="79"/>
        <v>2011-08</v>
      </c>
      <c r="K408">
        <v>5994.9</v>
      </c>
      <c r="L408">
        <f t="shared" si="86"/>
        <v>-4.736238314647993E-4</v>
      </c>
      <c r="M408" t="str">
        <f t="shared" si="80"/>
        <v>2011-08</v>
      </c>
      <c r="O408">
        <v>6114.13256</v>
      </c>
      <c r="P408">
        <f t="shared" si="87"/>
        <v>5.2589405425459146E-3</v>
      </c>
      <c r="Q408" t="str">
        <f t="shared" si="81"/>
        <v>2011-08</v>
      </c>
      <c r="S408">
        <v>8674.2999999999993</v>
      </c>
      <c r="T408">
        <f t="shared" si="88"/>
        <v>3.1174974444942161E-3</v>
      </c>
      <c r="U408" t="str">
        <f t="shared" si="82"/>
        <v>2011-08</v>
      </c>
      <c r="W408">
        <v>15750.6</v>
      </c>
      <c r="X408">
        <f t="shared" si="89"/>
        <v>-8.7240405379572887E-3</v>
      </c>
      <c r="Y408">
        <f t="shared" si="90"/>
        <v>-8.6860965181976401E-3</v>
      </c>
      <c r="Z408" t="str">
        <f t="shared" si="83"/>
        <v>2011-08</v>
      </c>
    </row>
    <row r="409" spans="1:26" x14ac:dyDescent="0.35">
      <c r="A409" s="1">
        <v>40772</v>
      </c>
      <c r="C409">
        <v>2331.12</v>
      </c>
      <c r="D409">
        <f t="shared" si="84"/>
        <v>3.2010064305077212E-3</v>
      </c>
      <c r="E409" t="str">
        <f t="shared" si="78"/>
        <v>2011-08</v>
      </c>
      <c r="G409">
        <v>3254.34</v>
      </c>
      <c r="H409">
        <f t="shared" si="85"/>
        <v>7.2287539308080791E-3</v>
      </c>
      <c r="I409" t="str">
        <f t="shared" si="79"/>
        <v>2011-08</v>
      </c>
      <c r="K409">
        <v>5948.94</v>
      </c>
      <c r="L409">
        <f t="shared" si="86"/>
        <v>-7.6960553470027176E-3</v>
      </c>
      <c r="M409" t="str">
        <f t="shared" si="80"/>
        <v>2011-08</v>
      </c>
      <c r="O409">
        <v>6113.6713900000004</v>
      </c>
      <c r="P409">
        <f t="shared" si="87"/>
        <v>-7.5429734088680792E-5</v>
      </c>
      <c r="Q409" t="str">
        <f t="shared" si="81"/>
        <v>2011-08</v>
      </c>
      <c r="S409">
        <v>8728.2000000000007</v>
      </c>
      <c r="T409">
        <f t="shared" si="88"/>
        <v>6.194532090808523E-3</v>
      </c>
      <c r="U409" t="str">
        <f t="shared" si="82"/>
        <v>2011-08</v>
      </c>
      <c r="W409">
        <v>15950.75</v>
      </c>
      <c r="X409">
        <f t="shared" si="89"/>
        <v>1.2627390284798177E-2</v>
      </c>
      <c r="Y409">
        <f t="shared" si="90"/>
        <v>1.2707452414511169E-2</v>
      </c>
      <c r="Z409" t="str">
        <f t="shared" si="83"/>
        <v>2011-08</v>
      </c>
    </row>
    <row r="410" spans="1:26" x14ac:dyDescent="0.35">
      <c r="A410" s="1">
        <v>40773</v>
      </c>
      <c r="C410">
        <v>2206.61</v>
      </c>
      <c r="D410">
        <f t="shared" si="84"/>
        <v>-5.4891437587279268E-2</v>
      </c>
      <c r="E410" t="str">
        <f t="shared" si="78"/>
        <v>2011-08</v>
      </c>
      <c r="G410">
        <v>3076.04</v>
      </c>
      <c r="H410">
        <f t="shared" si="85"/>
        <v>-5.6346434663959041E-2</v>
      </c>
      <c r="I410" t="str">
        <f t="shared" si="79"/>
        <v>2011-08</v>
      </c>
      <c r="K410">
        <v>5602.8</v>
      </c>
      <c r="L410">
        <f t="shared" si="86"/>
        <v>-5.9946579643458765E-2</v>
      </c>
      <c r="M410" t="str">
        <f t="shared" si="80"/>
        <v>2011-08</v>
      </c>
      <c r="O410">
        <v>5855.35329</v>
      </c>
      <c r="P410">
        <f t="shared" si="87"/>
        <v>-4.3171139776749634E-2</v>
      </c>
      <c r="Q410" t="str">
        <f t="shared" si="81"/>
        <v>2011-08</v>
      </c>
      <c r="S410">
        <v>8317.7000000000007</v>
      </c>
      <c r="T410">
        <f t="shared" si="88"/>
        <v>-4.8173388717127494E-2</v>
      </c>
      <c r="U410" t="str">
        <f t="shared" si="82"/>
        <v>2011-08</v>
      </c>
      <c r="W410">
        <v>14970.42</v>
      </c>
      <c r="X410">
        <f t="shared" si="89"/>
        <v>-6.3429595918734191E-2</v>
      </c>
      <c r="Y410">
        <f t="shared" si="90"/>
        <v>-6.1459805965236737E-2</v>
      </c>
      <c r="Z410" t="str">
        <f t="shared" si="83"/>
        <v>2011-08</v>
      </c>
    </row>
    <row r="411" spans="1:26" x14ac:dyDescent="0.35">
      <c r="A411" s="1">
        <v>40774</v>
      </c>
      <c r="C411">
        <v>2159.0700000000002</v>
      </c>
      <c r="D411">
        <f t="shared" si="84"/>
        <v>-2.1779827767907198E-2</v>
      </c>
      <c r="E411" t="str">
        <f t="shared" si="78"/>
        <v>2011-08</v>
      </c>
      <c r="G411">
        <v>3016.99</v>
      </c>
      <c r="H411">
        <f t="shared" si="85"/>
        <v>-1.938340983946538E-2</v>
      </c>
      <c r="I411" t="str">
        <f t="shared" si="79"/>
        <v>2011-08</v>
      </c>
      <c r="K411">
        <v>5480</v>
      </c>
      <c r="L411">
        <f t="shared" si="86"/>
        <v>-2.2161371822830463E-2</v>
      </c>
      <c r="M411" t="str">
        <f t="shared" si="80"/>
        <v>2011-08</v>
      </c>
      <c r="O411">
        <v>5790.223</v>
      </c>
      <c r="P411">
        <f t="shared" si="87"/>
        <v>-1.1185529586031197E-2</v>
      </c>
      <c r="Q411" t="str">
        <f t="shared" si="81"/>
        <v>2011-08</v>
      </c>
      <c r="S411">
        <v>8141.9</v>
      </c>
      <c r="T411">
        <f t="shared" si="88"/>
        <v>-2.1362206297440074E-2</v>
      </c>
      <c r="U411" t="str">
        <f t="shared" si="82"/>
        <v>2011-08</v>
      </c>
      <c r="W411">
        <v>14602.33</v>
      </c>
      <c r="X411">
        <f t="shared" si="89"/>
        <v>-2.4895149127785753E-2</v>
      </c>
      <c r="Y411">
        <f t="shared" si="90"/>
        <v>-2.4587820515389693E-2</v>
      </c>
      <c r="Z411" t="str">
        <f t="shared" si="83"/>
        <v>2011-08</v>
      </c>
    </row>
    <row r="412" spans="1:26" x14ac:dyDescent="0.35">
      <c r="A412" s="1">
        <v>40777</v>
      </c>
      <c r="C412">
        <v>2183.39</v>
      </c>
      <c r="D412">
        <f t="shared" si="84"/>
        <v>1.1201141415858464E-2</v>
      </c>
      <c r="E412" t="str">
        <f t="shared" si="78"/>
        <v>2011-08</v>
      </c>
      <c r="G412">
        <v>3051.36</v>
      </c>
      <c r="H412">
        <f t="shared" si="85"/>
        <v>1.1327747253518931E-2</v>
      </c>
      <c r="I412" t="str">
        <f t="shared" si="79"/>
        <v>2011-08</v>
      </c>
      <c r="K412">
        <v>5473.78</v>
      </c>
      <c r="L412">
        <f t="shared" si="86"/>
        <v>-1.1356811381151939E-3</v>
      </c>
      <c r="M412" t="str">
        <f t="shared" si="80"/>
        <v>2011-08</v>
      </c>
      <c r="O412">
        <v>5835.8485700000001</v>
      </c>
      <c r="P412">
        <f t="shared" si="87"/>
        <v>7.8488772333525098E-3</v>
      </c>
      <c r="Q412" t="str">
        <f t="shared" si="81"/>
        <v>2011-08</v>
      </c>
      <c r="S412">
        <v>8293.9</v>
      </c>
      <c r="T412">
        <f t="shared" si="88"/>
        <v>1.8496736832128879E-2</v>
      </c>
      <c r="U412" t="str">
        <f t="shared" si="82"/>
        <v>2011-08</v>
      </c>
      <c r="W412">
        <v>14861.64</v>
      </c>
      <c r="X412">
        <f t="shared" si="89"/>
        <v>1.7602291569267063E-2</v>
      </c>
      <c r="Y412">
        <f t="shared" si="90"/>
        <v>1.7758124901984786E-2</v>
      </c>
      <c r="Z412" t="str">
        <f t="shared" si="83"/>
        <v>2011-08</v>
      </c>
    </row>
    <row r="413" spans="1:26" x14ac:dyDescent="0.35">
      <c r="A413" s="1">
        <v>40778</v>
      </c>
      <c r="C413">
        <v>2199.98</v>
      </c>
      <c r="D413">
        <f t="shared" si="84"/>
        <v>7.5695545731370205E-3</v>
      </c>
      <c r="E413" t="str">
        <f t="shared" si="78"/>
        <v>2011-08</v>
      </c>
      <c r="G413">
        <v>3084.37</v>
      </c>
      <c r="H413">
        <f t="shared" si="85"/>
        <v>1.0760029690362603E-2</v>
      </c>
      <c r="I413" t="str">
        <f t="shared" si="79"/>
        <v>2011-08</v>
      </c>
      <c r="K413">
        <v>5532.38</v>
      </c>
      <c r="L413">
        <f t="shared" si="86"/>
        <v>1.0648682872470745E-2</v>
      </c>
      <c r="M413" t="str">
        <f t="shared" si="80"/>
        <v>2011-08</v>
      </c>
      <c r="O413">
        <v>5868.7990600000003</v>
      </c>
      <c r="P413">
        <f t="shared" si="87"/>
        <v>5.630340713843154E-3</v>
      </c>
      <c r="Q413" t="str">
        <f t="shared" si="81"/>
        <v>2011-08</v>
      </c>
      <c r="S413">
        <v>8279.7999999999993</v>
      </c>
      <c r="T413">
        <f t="shared" si="88"/>
        <v>-1.701491326826287E-3</v>
      </c>
      <c r="U413" t="str">
        <f t="shared" si="82"/>
        <v>2011-08</v>
      </c>
      <c r="W413">
        <v>14707.32</v>
      </c>
      <c r="X413">
        <f t="shared" si="89"/>
        <v>-1.0438067563844505E-2</v>
      </c>
      <c r="Y413">
        <f t="shared" si="90"/>
        <v>-1.0383779986596346E-2</v>
      </c>
      <c r="Z413" t="str">
        <f t="shared" si="83"/>
        <v>2011-08</v>
      </c>
    </row>
    <row r="414" spans="1:26" x14ac:dyDescent="0.35">
      <c r="A414" s="1">
        <v>40779</v>
      </c>
      <c r="C414">
        <v>2238.6999999999998</v>
      </c>
      <c r="D414">
        <f t="shared" si="84"/>
        <v>1.7447070837841902E-2</v>
      </c>
      <c r="E414" t="str">
        <f t="shared" si="78"/>
        <v>2011-08</v>
      </c>
      <c r="G414">
        <v>3139.55</v>
      </c>
      <c r="H414">
        <f t="shared" si="85"/>
        <v>1.7732054983656761E-2</v>
      </c>
      <c r="I414" t="str">
        <f t="shared" si="79"/>
        <v>2011-08</v>
      </c>
      <c r="K414">
        <v>5681.08</v>
      </c>
      <c r="L414">
        <f t="shared" si="86"/>
        <v>2.652325280937122E-2</v>
      </c>
      <c r="M414" t="str">
        <f t="shared" si="80"/>
        <v>2011-08</v>
      </c>
      <c r="O414">
        <v>5919.2522900000004</v>
      </c>
      <c r="P414">
        <f t="shared" si="87"/>
        <v>8.5601150833224029E-3</v>
      </c>
      <c r="Q414" t="str">
        <f t="shared" si="81"/>
        <v>2011-08</v>
      </c>
      <c r="S414">
        <v>8369.1</v>
      </c>
      <c r="T414">
        <f t="shared" si="88"/>
        <v>1.0727538322164555E-2</v>
      </c>
      <c r="U414" t="str">
        <f t="shared" si="82"/>
        <v>2011-08</v>
      </c>
      <c r="W414">
        <v>14981.35</v>
      </c>
      <c r="X414">
        <f t="shared" si="89"/>
        <v>1.8460765160876531E-2</v>
      </c>
      <c r="Y414">
        <f t="shared" si="90"/>
        <v>1.8632218514318084E-2</v>
      </c>
      <c r="Z414" t="str">
        <f t="shared" si="83"/>
        <v>2011-08</v>
      </c>
    </row>
    <row r="415" spans="1:26" x14ac:dyDescent="0.35">
      <c r="A415" s="1">
        <v>40780</v>
      </c>
      <c r="C415">
        <v>2216.6999999999998</v>
      </c>
      <c r="D415">
        <f t="shared" si="84"/>
        <v>-9.8757367711241918E-3</v>
      </c>
      <c r="E415" t="str">
        <f t="shared" si="78"/>
        <v>2011-08</v>
      </c>
      <c r="G415">
        <v>3119</v>
      </c>
      <c r="H415">
        <f t="shared" si="85"/>
        <v>-6.5670399224244842E-3</v>
      </c>
      <c r="I415" t="str">
        <f t="shared" si="79"/>
        <v>2011-08</v>
      </c>
      <c r="K415">
        <v>5584.14</v>
      </c>
      <c r="L415">
        <f t="shared" si="86"/>
        <v>-1.7210918724629959E-2</v>
      </c>
      <c r="M415" t="str">
        <f t="shared" si="80"/>
        <v>2011-08</v>
      </c>
      <c r="O415">
        <v>5815.6037399999996</v>
      </c>
      <c r="P415">
        <f t="shared" si="87"/>
        <v>-1.7665533381432799E-2</v>
      </c>
      <c r="Q415" t="str">
        <f t="shared" si="81"/>
        <v>2011-08</v>
      </c>
      <c r="S415">
        <v>8299.1</v>
      </c>
      <c r="T415">
        <f t="shared" si="88"/>
        <v>-8.3992766499839475E-3</v>
      </c>
      <c r="U415" t="str">
        <f t="shared" si="82"/>
        <v>2011-08</v>
      </c>
      <c r="W415">
        <v>14944.61</v>
      </c>
      <c r="X415">
        <f t="shared" si="89"/>
        <v>-2.4553944774818159E-3</v>
      </c>
      <c r="Y415">
        <f t="shared" si="90"/>
        <v>-2.4523824621946475E-3</v>
      </c>
      <c r="Z415" t="str">
        <f t="shared" si="83"/>
        <v>2011-08</v>
      </c>
    </row>
    <row r="416" spans="1:26" x14ac:dyDescent="0.35">
      <c r="A416" s="1">
        <v>40781</v>
      </c>
      <c r="C416">
        <v>2190.44</v>
      </c>
      <c r="D416">
        <f t="shared" si="84"/>
        <v>-1.1917166590518315E-2</v>
      </c>
      <c r="E416" t="str">
        <f t="shared" si="78"/>
        <v>2011-08</v>
      </c>
      <c r="G416">
        <v>3087.64</v>
      </c>
      <c r="H416">
        <f t="shared" si="85"/>
        <v>-1.0105392570029986E-2</v>
      </c>
      <c r="I416" t="str">
        <f t="shared" si="79"/>
        <v>2011-08</v>
      </c>
      <c r="K416">
        <v>5537.48</v>
      </c>
      <c r="L416">
        <f t="shared" si="86"/>
        <v>-8.3909131524384558E-3</v>
      </c>
      <c r="M416" t="str">
        <f t="shared" si="80"/>
        <v>2011-08</v>
      </c>
      <c r="O416">
        <v>5791.5822200000002</v>
      </c>
      <c r="P416">
        <f t="shared" si="87"/>
        <v>-4.1390832157793215E-3</v>
      </c>
      <c r="Q416" t="str">
        <f t="shared" si="81"/>
        <v>2011-08</v>
      </c>
      <c r="S416">
        <v>8185.5</v>
      </c>
      <c r="T416">
        <f t="shared" si="88"/>
        <v>-1.3782778875990789E-2</v>
      </c>
      <c r="U416" t="str">
        <f t="shared" si="82"/>
        <v>2011-08</v>
      </c>
      <c r="W416">
        <v>14800.01</v>
      </c>
      <c r="X416">
        <f t="shared" si="89"/>
        <v>-9.7228432657107903E-3</v>
      </c>
      <c r="Y416">
        <f t="shared" si="90"/>
        <v>-9.6757292428507908E-3</v>
      </c>
      <c r="Z416" t="str">
        <f t="shared" si="83"/>
        <v>2011-08</v>
      </c>
    </row>
    <row r="417" spans="1:26" x14ac:dyDescent="0.35">
      <c r="A417" s="1">
        <v>40785</v>
      </c>
      <c r="C417">
        <v>2239.14</v>
      </c>
      <c r="D417">
        <f t="shared" si="84"/>
        <v>2.1989426686020351E-2</v>
      </c>
      <c r="E417" t="str">
        <f t="shared" si="78"/>
        <v>2011-08</v>
      </c>
      <c r="G417">
        <v>3159.74</v>
      </c>
      <c r="H417">
        <f t="shared" si="85"/>
        <v>2.3082700677111836E-2</v>
      </c>
      <c r="I417" t="str">
        <f t="shared" si="79"/>
        <v>2011-08</v>
      </c>
      <c r="K417">
        <v>5643.92</v>
      </c>
      <c r="L417">
        <f t="shared" si="86"/>
        <v>1.9039335919091498E-2</v>
      </c>
      <c r="M417" t="str">
        <f t="shared" si="80"/>
        <v>2011-08</v>
      </c>
      <c r="O417">
        <v>5950.3963299999996</v>
      </c>
      <c r="P417">
        <f t="shared" si="87"/>
        <v>2.7052305466196847E-2</v>
      </c>
      <c r="Q417" t="str">
        <f t="shared" si="81"/>
        <v>2011-08</v>
      </c>
      <c r="S417">
        <v>8444.7999999999993</v>
      </c>
      <c r="T417">
        <f t="shared" si="88"/>
        <v>3.1186571014608474E-2</v>
      </c>
      <c r="U417" t="str">
        <f t="shared" si="82"/>
        <v>2011-08</v>
      </c>
      <c r="W417">
        <v>15106.28</v>
      </c>
      <c r="X417">
        <f t="shared" si="89"/>
        <v>2.0482694955142041E-2</v>
      </c>
      <c r="Y417">
        <f t="shared" si="90"/>
        <v>2.0693904936550749E-2</v>
      </c>
      <c r="Z417" t="str">
        <f t="shared" si="83"/>
        <v>2011-08</v>
      </c>
    </row>
    <row r="418" spans="1:26" x14ac:dyDescent="0.35">
      <c r="A418" s="1">
        <v>40786</v>
      </c>
      <c r="C418">
        <v>2302.08</v>
      </c>
      <c r="D418">
        <f t="shared" si="84"/>
        <v>2.7721198508990772E-2</v>
      </c>
      <c r="E418" t="str">
        <f t="shared" si="78"/>
        <v>2011-08</v>
      </c>
      <c r="G418">
        <v>3256.76</v>
      </c>
      <c r="H418">
        <f t="shared" si="85"/>
        <v>3.0243090403863766E-2</v>
      </c>
      <c r="I418" t="str">
        <f t="shared" si="79"/>
        <v>2011-08</v>
      </c>
      <c r="K418">
        <v>5784.85</v>
      </c>
      <c r="L418">
        <f t="shared" si="86"/>
        <v>2.4663571636747483E-2</v>
      </c>
      <c r="M418" t="str">
        <f t="shared" si="80"/>
        <v>2011-08</v>
      </c>
      <c r="O418">
        <v>6092.7117099999996</v>
      </c>
      <c r="P418">
        <f t="shared" si="87"/>
        <v>2.3635427772166942E-2</v>
      </c>
      <c r="Q418" t="str">
        <f t="shared" si="81"/>
        <v>2011-08</v>
      </c>
      <c r="S418">
        <v>8718.6</v>
      </c>
      <c r="T418">
        <f t="shared" si="88"/>
        <v>3.1907807245700325E-2</v>
      </c>
      <c r="U418" t="str">
        <f t="shared" si="82"/>
        <v>2011-08</v>
      </c>
      <c r="W418">
        <v>15563.2</v>
      </c>
      <c r="X418">
        <f t="shared" si="89"/>
        <v>2.9798601732379984E-2</v>
      </c>
      <c r="Y418">
        <f t="shared" si="90"/>
        <v>3.0247023092382773E-2</v>
      </c>
      <c r="Z418" t="str">
        <f t="shared" si="83"/>
        <v>2011-08</v>
      </c>
    </row>
    <row r="419" spans="1:26" x14ac:dyDescent="0.35">
      <c r="A419" s="1">
        <v>40787</v>
      </c>
      <c r="C419">
        <v>2305.75</v>
      </c>
      <c r="D419">
        <f t="shared" si="84"/>
        <v>1.5929410486238687E-3</v>
      </c>
      <c r="E419" t="str">
        <f t="shared" si="78"/>
        <v>2011-09</v>
      </c>
      <c r="G419">
        <v>3265.83</v>
      </c>
      <c r="H419">
        <f t="shared" si="85"/>
        <v>2.7811056178691927E-3</v>
      </c>
      <c r="I419" t="str">
        <f t="shared" si="79"/>
        <v>2011-09</v>
      </c>
      <c r="K419">
        <v>5730.63</v>
      </c>
      <c r="L419">
        <f t="shared" si="86"/>
        <v>-9.4169588555935886E-3</v>
      </c>
      <c r="M419" t="str">
        <f t="shared" si="80"/>
        <v>2011-09</v>
      </c>
      <c r="O419">
        <v>6135.93019</v>
      </c>
      <c r="P419">
        <f t="shared" si="87"/>
        <v>7.0684316862053634E-3</v>
      </c>
      <c r="Q419" t="str">
        <f t="shared" si="81"/>
        <v>2011-09</v>
      </c>
      <c r="S419">
        <v>8761.1</v>
      </c>
      <c r="T419">
        <f t="shared" si="88"/>
        <v>4.8627932686377074E-3</v>
      </c>
      <c r="U419" t="str">
        <f t="shared" si="82"/>
        <v>2011-09</v>
      </c>
      <c r="W419">
        <v>15670.82</v>
      </c>
      <c r="X419">
        <f t="shared" si="89"/>
        <v>6.8912311574010031E-3</v>
      </c>
      <c r="Y419">
        <f t="shared" si="90"/>
        <v>6.9150303279530544E-3</v>
      </c>
      <c r="Z419" t="str">
        <f t="shared" si="83"/>
        <v>2011-09</v>
      </c>
    </row>
    <row r="420" spans="1:26" x14ac:dyDescent="0.35">
      <c r="A420" s="1">
        <v>40788</v>
      </c>
      <c r="C420">
        <v>2220.7199999999998</v>
      </c>
      <c r="D420">
        <f t="shared" si="84"/>
        <v>-3.7574535506943868E-2</v>
      </c>
      <c r="E420" t="str">
        <f t="shared" si="78"/>
        <v>2011-09</v>
      </c>
      <c r="G420">
        <v>3148.53</v>
      </c>
      <c r="H420">
        <f t="shared" si="85"/>
        <v>-3.6578264506383143E-2</v>
      </c>
      <c r="I420" t="str">
        <f t="shared" si="79"/>
        <v>2011-09</v>
      </c>
      <c r="K420">
        <v>5538.33</v>
      </c>
      <c r="L420">
        <f t="shared" si="86"/>
        <v>-3.4132461054345191E-2</v>
      </c>
      <c r="M420" t="str">
        <f t="shared" si="80"/>
        <v>2011-09</v>
      </c>
      <c r="O420">
        <v>6041.3275000000003</v>
      </c>
      <c r="P420">
        <f t="shared" si="87"/>
        <v>-1.5537914315789408E-2</v>
      </c>
      <c r="Q420" t="str">
        <f t="shared" si="81"/>
        <v>2011-09</v>
      </c>
      <c r="S420">
        <v>8463.5</v>
      </c>
      <c r="T420">
        <f t="shared" si="88"/>
        <v>-3.4558668194190928E-2</v>
      </c>
      <c r="U420" t="str">
        <f t="shared" si="82"/>
        <v>2011-09</v>
      </c>
      <c r="W420">
        <v>15060.79</v>
      </c>
      <c r="X420">
        <f t="shared" si="89"/>
        <v>-3.9705706455194764E-2</v>
      </c>
      <c r="Y420">
        <f t="shared" si="90"/>
        <v>-3.8927765107377846E-2</v>
      </c>
      <c r="Z420" t="str">
        <f t="shared" si="83"/>
        <v>2011-09</v>
      </c>
    </row>
    <row r="421" spans="1:26" x14ac:dyDescent="0.35">
      <c r="A421" s="1">
        <v>40791</v>
      </c>
      <c r="C421">
        <v>2107.27</v>
      </c>
      <c r="D421">
        <f t="shared" si="84"/>
        <v>-5.2438196733504229E-2</v>
      </c>
      <c r="E421" t="str">
        <f t="shared" si="78"/>
        <v>2011-09</v>
      </c>
      <c r="G421">
        <v>2999.54</v>
      </c>
      <c r="H421">
        <f t="shared" si="85"/>
        <v>-4.8476733670078848E-2</v>
      </c>
      <c r="I421" t="str">
        <f t="shared" si="79"/>
        <v>2011-09</v>
      </c>
      <c r="K421">
        <v>5246.18</v>
      </c>
      <c r="L421">
        <f t="shared" si="86"/>
        <v>-5.419281855978645E-2</v>
      </c>
      <c r="M421" t="str">
        <f t="shared" si="80"/>
        <v>2011-09</v>
      </c>
      <c r="O421">
        <v>5823.7735599999996</v>
      </c>
      <c r="P421">
        <f t="shared" si="87"/>
        <v>-3.6675342921788444E-2</v>
      </c>
      <c r="Q421" t="str">
        <f t="shared" si="81"/>
        <v>2011-09</v>
      </c>
      <c r="S421">
        <v>8066.5</v>
      </c>
      <c r="T421">
        <f t="shared" si="88"/>
        <v>-4.8043116522953309E-2</v>
      </c>
      <c r="U421" t="str">
        <f t="shared" si="82"/>
        <v>2011-09</v>
      </c>
      <c r="W421">
        <v>14333.91</v>
      </c>
      <c r="X421">
        <f t="shared" si="89"/>
        <v>-4.9466619060960559E-2</v>
      </c>
      <c r="Y421">
        <f t="shared" si="90"/>
        <v>-4.8263072521428224E-2</v>
      </c>
      <c r="Z421" t="str">
        <f t="shared" si="83"/>
        <v>2011-09</v>
      </c>
    </row>
    <row r="422" spans="1:26" x14ac:dyDescent="0.35">
      <c r="A422" s="1">
        <v>40792</v>
      </c>
      <c r="C422">
        <v>2080.1</v>
      </c>
      <c r="D422">
        <f t="shared" si="84"/>
        <v>-1.2977301412597845E-2</v>
      </c>
      <c r="E422" t="str">
        <f t="shared" si="78"/>
        <v>2011-09</v>
      </c>
      <c r="G422">
        <v>2965.64</v>
      </c>
      <c r="H422">
        <f t="shared" si="85"/>
        <v>-1.1366082818911927E-2</v>
      </c>
      <c r="I422" t="str">
        <f t="shared" si="79"/>
        <v>2011-09</v>
      </c>
      <c r="K422">
        <v>5193.97</v>
      </c>
      <c r="L422">
        <f t="shared" si="86"/>
        <v>-1.0001855384083892E-2</v>
      </c>
      <c r="M422" t="str">
        <f t="shared" si="80"/>
        <v>2011-09</v>
      </c>
      <c r="O422">
        <v>5879.0482899999997</v>
      </c>
      <c r="P422">
        <f t="shared" si="87"/>
        <v>9.4464637243397778E-3</v>
      </c>
      <c r="Q422" t="str">
        <f t="shared" si="81"/>
        <v>2011-09</v>
      </c>
      <c r="S422">
        <v>7936.4</v>
      </c>
      <c r="T422">
        <f t="shared" si="88"/>
        <v>-1.6259911185883377E-2</v>
      </c>
      <c r="U422" t="str">
        <f t="shared" si="82"/>
        <v>2011-09</v>
      </c>
      <c r="W422">
        <v>14049.71</v>
      </c>
      <c r="X422">
        <f t="shared" si="89"/>
        <v>-2.0026303776944341E-2</v>
      </c>
      <c r="Y422">
        <f t="shared" si="90"/>
        <v>-1.9827109281417333E-2</v>
      </c>
      <c r="Z422" t="str">
        <f t="shared" si="83"/>
        <v>2011-09</v>
      </c>
    </row>
    <row r="423" spans="1:26" x14ac:dyDescent="0.35">
      <c r="A423" s="1">
        <v>40793</v>
      </c>
      <c r="C423">
        <v>2151.16</v>
      </c>
      <c r="D423">
        <f t="shared" si="84"/>
        <v>3.359126204603298E-2</v>
      </c>
      <c r="E423" t="str">
        <f t="shared" si="78"/>
        <v>2011-09</v>
      </c>
      <c r="G423">
        <v>3073.18</v>
      </c>
      <c r="H423">
        <f t="shared" si="85"/>
        <v>3.5619995356531167E-2</v>
      </c>
      <c r="I423" t="str">
        <f t="shared" si="79"/>
        <v>2011-09</v>
      </c>
      <c r="K423">
        <v>5405.53</v>
      </c>
      <c r="L423">
        <f t="shared" si="86"/>
        <v>3.9924166309552533E-2</v>
      </c>
      <c r="M423" t="str">
        <f t="shared" si="80"/>
        <v>2011-09</v>
      </c>
      <c r="O423">
        <v>6035.7032600000002</v>
      </c>
      <c r="P423">
        <f t="shared" si="87"/>
        <v>2.6297484632285859E-2</v>
      </c>
      <c r="Q423" t="str">
        <f t="shared" si="81"/>
        <v>2011-09</v>
      </c>
      <c r="S423">
        <v>8156.6</v>
      </c>
      <c r="T423">
        <f t="shared" si="88"/>
        <v>2.7367643541495023E-2</v>
      </c>
      <c r="U423" t="str">
        <f t="shared" si="82"/>
        <v>2011-09</v>
      </c>
      <c r="W423">
        <v>14645.96</v>
      </c>
      <c r="X423">
        <f t="shared" si="89"/>
        <v>4.1562774516683026E-2</v>
      </c>
      <c r="Y423">
        <f t="shared" si="90"/>
        <v>4.2438598376763649E-2</v>
      </c>
      <c r="Z423" t="str">
        <f t="shared" si="83"/>
        <v>2011-09</v>
      </c>
    </row>
    <row r="424" spans="1:26" x14ac:dyDescent="0.35">
      <c r="A424" s="1">
        <v>40794</v>
      </c>
      <c r="C424">
        <v>2163.4</v>
      </c>
      <c r="D424">
        <f t="shared" si="84"/>
        <v>5.6738266873740369E-3</v>
      </c>
      <c r="E424" t="str">
        <f t="shared" si="78"/>
        <v>2011-09</v>
      </c>
      <c r="G424">
        <v>3085.83</v>
      </c>
      <c r="H424">
        <f t="shared" si="85"/>
        <v>4.1078088160603834E-3</v>
      </c>
      <c r="I424" t="str">
        <f t="shared" si="79"/>
        <v>2011-09</v>
      </c>
      <c r="K424">
        <v>5408.46</v>
      </c>
      <c r="L424">
        <f t="shared" si="86"/>
        <v>5.4189065676926685E-4</v>
      </c>
      <c r="M424" t="str">
        <f t="shared" si="80"/>
        <v>2011-09</v>
      </c>
      <c r="O424">
        <v>6134.23063</v>
      </c>
      <c r="P424">
        <f t="shared" si="87"/>
        <v>1.6192285615193716E-2</v>
      </c>
      <c r="Q424" t="str">
        <f t="shared" si="81"/>
        <v>2011-09</v>
      </c>
      <c r="S424">
        <v>8277.7999999999993</v>
      </c>
      <c r="T424">
        <f t="shared" si="88"/>
        <v>1.4749817129776039E-2</v>
      </c>
      <c r="U424" t="str">
        <f t="shared" si="82"/>
        <v>2011-09</v>
      </c>
      <c r="W424">
        <v>14747.6</v>
      </c>
      <c r="X424">
        <f t="shared" si="89"/>
        <v>6.915828168387303E-3</v>
      </c>
      <c r="Y424">
        <f t="shared" si="90"/>
        <v>6.9397977326171338E-3</v>
      </c>
      <c r="Z424" t="str">
        <f t="shared" si="83"/>
        <v>2011-09</v>
      </c>
    </row>
    <row r="425" spans="1:26" x14ac:dyDescent="0.35">
      <c r="A425" s="1">
        <v>40795</v>
      </c>
      <c r="C425">
        <v>2073.67</v>
      </c>
      <c r="D425">
        <f t="shared" si="84"/>
        <v>-4.2361073891963162E-2</v>
      </c>
      <c r="E425" t="str">
        <f t="shared" si="78"/>
        <v>2011-09</v>
      </c>
      <c r="G425">
        <v>2974.59</v>
      </c>
      <c r="H425">
        <f t="shared" si="85"/>
        <v>-3.6714450557532904E-2</v>
      </c>
      <c r="I425" t="str">
        <f t="shared" si="79"/>
        <v>2011-09</v>
      </c>
      <c r="K425">
        <v>5189.93</v>
      </c>
      <c r="L425">
        <f t="shared" si="86"/>
        <v>-4.1244184684009061E-2</v>
      </c>
      <c r="M425" t="str">
        <f t="shared" si="80"/>
        <v>2011-09</v>
      </c>
      <c r="O425">
        <v>6050.73171</v>
      </c>
      <c r="P425">
        <f t="shared" si="87"/>
        <v>-1.3705455084541632E-2</v>
      </c>
      <c r="Q425" t="str">
        <f t="shared" si="81"/>
        <v>2011-09</v>
      </c>
      <c r="S425">
        <v>7910.2</v>
      </c>
      <c r="T425">
        <f t="shared" si="88"/>
        <v>-4.5424166699469949E-2</v>
      </c>
      <c r="U425" t="str">
        <f t="shared" si="82"/>
        <v>2011-09</v>
      </c>
      <c r="W425">
        <v>14020.18</v>
      </c>
      <c r="X425">
        <f t="shared" si="89"/>
        <v>-5.0582637356671428E-2</v>
      </c>
      <c r="Y425">
        <f t="shared" si="90"/>
        <v>-4.9324635872955602E-2</v>
      </c>
      <c r="Z425" t="str">
        <f t="shared" si="83"/>
        <v>2011-09</v>
      </c>
    </row>
    <row r="426" spans="1:26" x14ac:dyDescent="0.35">
      <c r="A426" s="1">
        <v>40798</v>
      </c>
      <c r="C426">
        <v>1995.01</v>
      </c>
      <c r="D426">
        <f t="shared" si="84"/>
        <v>-3.8670921461496699E-2</v>
      </c>
      <c r="E426" t="str">
        <f t="shared" si="78"/>
        <v>2011-09</v>
      </c>
      <c r="G426">
        <v>2854.81</v>
      </c>
      <c r="H426">
        <f t="shared" si="85"/>
        <v>-4.1100923393170057E-2</v>
      </c>
      <c r="I426" t="str">
        <f t="shared" si="79"/>
        <v>2011-09</v>
      </c>
      <c r="K426">
        <v>5072.33</v>
      </c>
      <c r="L426">
        <f t="shared" si="86"/>
        <v>-2.2919931501028931E-2</v>
      </c>
      <c r="M426" t="str">
        <f t="shared" si="80"/>
        <v>2011-09</v>
      </c>
      <c r="O426">
        <v>5963.13141</v>
      </c>
      <c r="P426">
        <f t="shared" si="87"/>
        <v>-1.4583461068161725E-2</v>
      </c>
      <c r="Q426" t="str">
        <f t="shared" si="81"/>
        <v>2011-09</v>
      </c>
      <c r="S426">
        <v>7640.7</v>
      </c>
      <c r="T426">
        <f t="shared" si="88"/>
        <v>-3.4663843892035098E-2</v>
      </c>
      <c r="U426" t="str">
        <f t="shared" si="82"/>
        <v>2011-09</v>
      </c>
      <c r="W426">
        <v>13474.14</v>
      </c>
      <c r="X426">
        <f t="shared" si="89"/>
        <v>-3.972542745977535E-2</v>
      </c>
      <c r="Y426">
        <f t="shared" si="90"/>
        <v>-3.8946718230436474E-2</v>
      </c>
      <c r="Z426" t="str">
        <f t="shared" si="83"/>
        <v>2011-09</v>
      </c>
    </row>
    <row r="427" spans="1:26" x14ac:dyDescent="0.35">
      <c r="A427" s="1">
        <v>40799</v>
      </c>
      <c r="C427">
        <v>2036.64</v>
      </c>
      <c r="D427">
        <f t="shared" si="84"/>
        <v>2.0652328279394915E-2</v>
      </c>
      <c r="E427" t="str">
        <f t="shared" si="78"/>
        <v>2011-09</v>
      </c>
      <c r="G427">
        <v>2894.93</v>
      </c>
      <c r="H427">
        <f t="shared" si="85"/>
        <v>1.3955640131596714E-2</v>
      </c>
      <c r="I427" t="str">
        <f t="shared" si="79"/>
        <v>2011-09</v>
      </c>
      <c r="K427">
        <v>5166.3599999999997</v>
      </c>
      <c r="L427">
        <f t="shared" si="86"/>
        <v>1.8368100546917131E-2</v>
      </c>
      <c r="M427" t="str">
        <f t="shared" si="80"/>
        <v>2011-09</v>
      </c>
      <c r="O427">
        <v>5971.3335900000002</v>
      </c>
      <c r="P427">
        <f t="shared" si="87"/>
        <v>1.3745369049053056E-3</v>
      </c>
      <c r="Q427" t="str">
        <f t="shared" si="81"/>
        <v>2011-09</v>
      </c>
      <c r="S427">
        <v>7834.2</v>
      </c>
      <c r="T427">
        <f t="shared" si="88"/>
        <v>2.5009542641966618E-2</v>
      </c>
      <c r="U427" t="str">
        <f t="shared" si="82"/>
        <v>2011-09</v>
      </c>
      <c r="W427">
        <v>13769.44</v>
      </c>
      <c r="X427">
        <f t="shared" si="89"/>
        <v>2.167935092852976E-2</v>
      </c>
      <c r="Y427">
        <f t="shared" si="90"/>
        <v>2.1916055495935258E-2</v>
      </c>
      <c r="Z427" t="str">
        <f t="shared" si="83"/>
        <v>2011-09</v>
      </c>
    </row>
    <row r="428" spans="1:26" x14ac:dyDescent="0.35">
      <c r="A428" s="1">
        <v>40800</v>
      </c>
      <c r="C428">
        <v>2083.38</v>
      </c>
      <c r="D428">
        <f t="shared" si="84"/>
        <v>2.2690183689336913E-2</v>
      </c>
      <c r="E428" t="str">
        <f t="shared" si="78"/>
        <v>2011-09</v>
      </c>
      <c r="G428">
        <v>2949.14</v>
      </c>
      <c r="H428">
        <f t="shared" si="85"/>
        <v>1.855267131361053E-2</v>
      </c>
      <c r="I428" t="str">
        <f t="shared" si="79"/>
        <v>2011-09</v>
      </c>
      <c r="K428">
        <v>5340.19</v>
      </c>
      <c r="L428">
        <f t="shared" si="86"/>
        <v>3.309285420666274E-2</v>
      </c>
      <c r="M428" t="str">
        <f t="shared" si="80"/>
        <v>2011-09</v>
      </c>
      <c r="O428">
        <v>6007.2234399999998</v>
      </c>
      <c r="P428">
        <f t="shared" si="87"/>
        <v>5.9923674121751171E-3</v>
      </c>
      <c r="Q428" t="str">
        <f t="shared" si="81"/>
        <v>2011-09</v>
      </c>
      <c r="S428">
        <v>8045.7</v>
      </c>
      <c r="T428">
        <f t="shared" si="88"/>
        <v>2.6639022564804733E-2</v>
      </c>
      <c r="U428" t="str">
        <f t="shared" si="82"/>
        <v>2011-09</v>
      </c>
      <c r="W428">
        <v>14140.08</v>
      </c>
      <c r="X428">
        <f t="shared" si="89"/>
        <v>2.656167436655622E-2</v>
      </c>
      <c r="Y428">
        <f t="shared" si="90"/>
        <v>2.6917579799904674E-2</v>
      </c>
      <c r="Z428" t="str">
        <f t="shared" si="83"/>
        <v>2011-09</v>
      </c>
    </row>
    <row r="429" spans="1:26" x14ac:dyDescent="0.35">
      <c r="A429" s="1">
        <v>40801</v>
      </c>
      <c r="C429">
        <v>2155.62</v>
      </c>
      <c r="D429">
        <f t="shared" si="84"/>
        <v>3.4086810364051659E-2</v>
      </c>
      <c r="E429" t="str">
        <f t="shared" si="78"/>
        <v>2011-09</v>
      </c>
      <c r="G429">
        <v>3045.62</v>
      </c>
      <c r="H429">
        <f t="shared" si="85"/>
        <v>3.2190890488924602E-2</v>
      </c>
      <c r="I429" t="str">
        <f t="shared" si="79"/>
        <v>2011-09</v>
      </c>
      <c r="K429">
        <v>5508.24</v>
      </c>
      <c r="L429">
        <f t="shared" si="86"/>
        <v>3.0983920038406772E-2</v>
      </c>
      <c r="M429" t="str">
        <f t="shared" si="80"/>
        <v>2011-09</v>
      </c>
      <c r="O429">
        <v>6086.1889700000002</v>
      </c>
      <c r="P429">
        <f t="shared" si="87"/>
        <v>1.305944916323639E-2</v>
      </c>
      <c r="Q429" t="str">
        <f t="shared" si="81"/>
        <v>2011-09</v>
      </c>
      <c r="S429">
        <v>8337.9</v>
      </c>
      <c r="T429">
        <f t="shared" si="88"/>
        <v>3.5673598878208583E-2</v>
      </c>
      <c r="U429" t="str">
        <f t="shared" si="82"/>
        <v>2011-09</v>
      </c>
      <c r="W429">
        <v>14642.72</v>
      </c>
      <c r="X429">
        <f t="shared" si="89"/>
        <v>3.492996546458127E-2</v>
      </c>
      <c r="Y429">
        <f t="shared" si="90"/>
        <v>3.5547182194160108E-2</v>
      </c>
      <c r="Z429" t="str">
        <f t="shared" si="83"/>
        <v>2011-09</v>
      </c>
    </row>
    <row r="430" spans="1:26" x14ac:dyDescent="0.35">
      <c r="A430" s="1">
        <v>40802</v>
      </c>
      <c r="C430">
        <v>2159.2800000000002</v>
      </c>
      <c r="D430">
        <f t="shared" si="84"/>
        <v>1.6964476014601449E-3</v>
      </c>
      <c r="E430" t="str">
        <f t="shared" si="78"/>
        <v>2011-09</v>
      </c>
      <c r="G430">
        <v>3031.08</v>
      </c>
      <c r="H430">
        <f t="shared" si="85"/>
        <v>-4.7855012583786728E-3</v>
      </c>
      <c r="I430" t="str">
        <f t="shared" si="79"/>
        <v>2011-09</v>
      </c>
      <c r="K430">
        <v>5573.51</v>
      </c>
      <c r="L430">
        <f t="shared" si="86"/>
        <v>1.1779864148767513E-2</v>
      </c>
      <c r="M430" t="str">
        <f t="shared" si="80"/>
        <v>2011-09</v>
      </c>
      <c r="O430">
        <v>6144.6641099999997</v>
      </c>
      <c r="P430">
        <f t="shared" si="87"/>
        <v>9.5619798808456308E-3</v>
      </c>
      <c r="Q430" t="str">
        <f t="shared" si="81"/>
        <v>2011-09</v>
      </c>
      <c r="S430">
        <v>8388.4</v>
      </c>
      <c r="T430">
        <f t="shared" si="88"/>
        <v>6.0384129719031863E-3</v>
      </c>
      <c r="U430" t="str">
        <f t="shared" si="82"/>
        <v>2011-09</v>
      </c>
      <c r="W430">
        <v>14547.38</v>
      </c>
      <c r="X430">
        <f t="shared" si="89"/>
        <v>-6.5323749509719363E-3</v>
      </c>
      <c r="Y430">
        <f t="shared" si="90"/>
        <v>-6.5110853721166663E-3</v>
      </c>
      <c r="Z430" t="str">
        <f t="shared" si="83"/>
        <v>2011-09</v>
      </c>
    </row>
    <row r="431" spans="1:26" x14ac:dyDescent="0.35">
      <c r="A431" s="1">
        <v>40805</v>
      </c>
      <c r="C431">
        <v>2096.1</v>
      </c>
      <c r="D431">
        <f t="shared" si="84"/>
        <v>-2.9696357550458522E-2</v>
      </c>
      <c r="E431" t="str">
        <f t="shared" si="78"/>
        <v>2011-09</v>
      </c>
      <c r="G431">
        <v>2940</v>
      </c>
      <c r="H431">
        <f t="shared" si="85"/>
        <v>-3.0509410306158471E-2</v>
      </c>
      <c r="I431" t="str">
        <f t="shared" si="79"/>
        <v>2011-09</v>
      </c>
      <c r="K431">
        <v>5415.91</v>
      </c>
      <c r="L431">
        <f t="shared" si="86"/>
        <v>-2.8684099008585016E-2</v>
      </c>
      <c r="M431" t="str">
        <f t="shared" si="80"/>
        <v>2011-09</v>
      </c>
      <c r="O431">
        <v>6042.4966299999996</v>
      </c>
      <c r="P431">
        <f t="shared" si="87"/>
        <v>-1.6766804945123379E-2</v>
      </c>
      <c r="Q431" t="str">
        <f t="shared" si="81"/>
        <v>2011-09</v>
      </c>
      <c r="S431">
        <v>8222.7000000000007</v>
      </c>
      <c r="T431">
        <f t="shared" si="88"/>
        <v>-1.9951176786979212E-2</v>
      </c>
      <c r="U431" t="str">
        <f t="shared" si="82"/>
        <v>2011-09</v>
      </c>
      <c r="W431">
        <v>14086.72</v>
      </c>
      <c r="X431">
        <f t="shared" si="89"/>
        <v>-3.2178399075892025E-2</v>
      </c>
      <c r="Y431">
        <f t="shared" si="90"/>
        <v>-3.1666183189000351E-2</v>
      </c>
      <c r="Z431" t="str">
        <f t="shared" si="83"/>
        <v>2011-09</v>
      </c>
    </row>
    <row r="432" spans="1:26" x14ac:dyDescent="0.35">
      <c r="A432" s="1">
        <v>40806</v>
      </c>
      <c r="C432">
        <v>2140.41</v>
      </c>
      <c r="D432">
        <f t="shared" si="84"/>
        <v>2.0918924223641815E-2</v>
      </c>
      <c r="E432" t="str">
        <f t="shared" si="78"/>
        <v>2011-09</v>
      </c>
      <c r="G432">
        <v>2984.05</v>
      </c>
      <c r="H432">
        <f t="shared" si="85"/>
        <v>1.4871856882715022E-2</v>
      </c>
      <c r="I432" t="str">
        <f t="shared" si="79"/>
        <v>2011-09</v>
      </c>
      <c r="K432">
        <v>5571.68</v>
      </c>
      <c r="L432">
        <f t="shared" si="86"/>
        <v>2.8355706219149169E-2</v>
      </c>
      <c r="M432" t="str">
        <f t="shared" si="80"/>
        <v>2011-09</v>
      </c>
      <c r="O432">
        <v>6163.4032399999996</v>
      </c>
      <c r="P432">
        <f t="shared" si="87"/>
        <v>1.9811823134646044E-2</v>
      </c>
      <c r="Q432" t="str">
        <f t="shared" si="81"/>
        <v>2011-09</v>
      </c>
      <c r="S432">
        <v>8362.2000000000007</v>
      </c>
      <c r="T432">
        <f t="shared" si="88"/>
        <v>1.6822928083534149E-2</v>
      </c>
      <c r="U432" t="str">
        <f t="shared" si="82"/>
        <v>2011-09</v>
      </c>
      <c r="W432">
        <v>14356.13</v>
      </c>
      <c r="X432">
        <f t="shared" si="89"/>
        <v>1.8944519092793079E-2</v>
      </c>
      <c r="Y432">
        <f t="shared" si="90"/>
        <v>1.9125105063492416E-2</v>
      </c>
      <c r="Z432" t="str">
        <f t="shared" si="83"/>
        <v>2011-09</v>
      </c>
    </row>
    <row r="433" spans="1:26" x14ac:dyDescent="0.35">
      <c r="A433" s="1">
        <v>40807</v>
      </c>
      <c r="C433">
        <v>2098.4899999999998</v>
      </c>
      <c r="D433">
        <f t="shared" si="84"/>
        <v>-1.9779360996418794E-2</v>
      </c>
      <c r="E433" t="str">
        <f t="shared" si="78"/>
        <v>2011-09</v>
      </c>
      <c r="G433">
        <v>2935.82</v>
      </c>
      <c r="H433">
        <f t="shared" si="85"/>
        <v>-1.6294637262349657E-2</v>
      </c>
      <c r="I433" t="str">
        <f t="shared" si="79"/>
        <v>2011-09</v>
      </c>
      <c r="K433">
        <v>5433.8</v>
      </c>
      <c r="L433">
        <f t="shared" si="86"/>
        <v>-2.5057919234353385E-2</v>
      </c>
      <c r="M433" t="str">
        <f t="shared" si="80"/>
        <v>2011-09</v>
      </c>
      <c r="O433">
        <v>6021.1901900000003</v>
      </c>
      <c r="P433">
        <f t="shared" si="87"/>
        <v>-2.3344153254270094E-2</v>
      </c>
      <c r="Q433" t="str">
        <f t="shared" si="81"/>
        <v>2011-09</v>
      </c>
      <c r="S433">
        <v>8210.2999999999993</v>
      </c>
      <c r="T433">
        <f t="shared" si="88"/>
        <v>-1.8332086770746398E-2</v>
      </c>
      <c r="U433" t="str">
        <f t="shared" si="82"/>
        <v>2011-09</v>
      </c>
      <c r="W433">
        <v>14119.76</v>
      </c>
      <c r="X433">
        <f t="shared" si="89"/>
        <v>-1.6601793938056521E-2</v>
      </c>
      <c r="Y433">
        <f t="shared" si="90"/>
        <v>-1.6464743632162635E-2</v>
      </c>
      <c r="Z433" t="str">
        <f t="shared" si="83"/>
        <v>2011-09</v>
      </c>
    </row>
    <row r="434" spans="1:26" x14ac:dyDescent="0.35">
      <c r="A434" s="1">
        <v>40808</v>
      </c>
      <c r="C434">
        <v>1995.75</v>
      </c>
      <c r="D434">
        <f t="shared" si="84"/>
        <v>-5.0198118927829369E-2</v>
      </c>
      <c r="E434" t="str">
        <f t="shared" si="78"/>
        <v>2011-09</v>
      </c>
      <c r="G434">
        <v>2781.68</v>
      </c>
      <c r="H434">
        <f t="shared" si="85"/>
        <v>-5.3931739247359847E-2</v>
      </c>
      <c r="I434" t="str">
        <f t="shared" si="79"/>
        <v>2011-09</v>
      </c>
      <c r="K434">
        <v>5164.21</v>
      </c>
      <c r="L434">
        <f t="shared" si="86"/>
        <v>-5.0886566719039412E-2</v>
      </c>
      <c r="M434" t="str">
        <f t="shared" si="80"/>
        <v>2011-09</v>
      </c>
      <c r="O434">
        <v>5747.0096999999996</v>
      </c>
      <c r="P434">
        <f t="shared" si="87"/>
        <v>-4.6605278398232031E-2</v>
      </c>
      <c r="Q434" t="str">
        <f t="shared" si="81"/>
        <v>2011-09</v>
      </c>
      <c r="S434">
        <v>7830.8</v>
      </c>
      <c r="T434">
        <f t="shared" si="88"/>
        <v>-4.7324787680384936E-2</v>
      </c>
      <c r="U434" t="str">
        <f t="shared" si="82"/>
        <v>2011-09</v>
      </c>
      <c r="W434">
        <v>13481.59</v>
      </c>
      <c r="X434">
        <f t="shared" si="89"/>
        <v>-4.625018370293936E-2</v>
      </c>
      <c r="Y434">
        <f t="shared" si="90"/>
        <v>-4.519694385740268E-2</v>
      </c>
      <c r="Z434" t="str">
        <f t="shared" si="83"/>
        <v>2011-09</v>
      </c>
    </row>
    <row r="435" spans="1:26" x14ac:dyDescent="0.35">
      <c r="A435" s="1">
        <v>40809</v>
      </c>
      <c r="C435">
        <v>2026.03</v>
      </c>
      <c r="D435">
        <f t="shared" si="84"/>
        <v>1.5058293675558415E-2</v>
      </c>
      <c r="E435" t="str">
        <f t="shared" si="78"/>
        <v>2011-09</v>
      </c>
      <c r="G435">
        <v>2810.11</v>
      </c>
      <c r="H435">
        <f t="shared" si="85"/>
        <v>1.016856676335102E-2</v>
      </c>
      <c r="I435" t="str">
        <f t="shared" si="79"/>
        <v>2011-09</v>
      </c>
      <c r="K435">
        <v>5196.5600000000004</v>
      </c>
      <c r="L435">
        <f t="shared" si="86"/>
        <v>6.2447299049018775E-3</v>
      </c>
      <c r="M435" t="str">
        <f t="shared" si="80"/>
        <v>2011-09</v>
      </c>
      <c r="O435">
        <v>5808.9641300000003</v>
      </c>
      <c r="P435">
        <f t="shared" si="87"/>
        <v>1.0722596729002647E-2</v>
      </c>
      <c r="Q435" t="str">
        <f t="shared" si="81"/>
        <v>2011-09</v>
      </c>
      <c r="S435">
        <v>7996.9</v>
      </c>
      <c r="T435">
        <f t="shared" si="88"/>
        <v>2.0989290662059464E-2</v>
      </c>
      <c r="U435" t="str">
        <f t="shared" si="82"/>
        <v>2011-09</v>
      </c>
      <c r="W435">
        <v>13664.91</v>
      </c>
      <c r="X435">
        <f t="shared" si="89"/>
        <v>1.3506182138732916E-2</v>
      </c>
      <c r="Y435">
        <f t="shared" si="90"/>
        <v>1.3597802633072189E-2</v>
      </c>
      <c r="Z435" t="str">
        <f t="shared" si="83"/>
        <v>2011-09</v>
      </c>
    </row>
    <row r="436" spans="1:26" x14ac:dyDescent="0.35">
      <c r="A436" s="1">
        <v>40812</v>
      </c>
      <c r="C436">
        <v>2083.35</v>
      </c>
      <c r="D436">
        <f t="shared" si="84"/>
        <v>2.789896182887102E-2</v>
      </c>
      <c r="E436" t="str">
        <f t="shared" si="78"/>
        <v>2011-09</v>
      </c>
      <c r="G436">
        <v>2859.34</v>
      </c>
      <c r="H436">
        <f t="shared" si="85"/>
        <v>1.7367200482729179E-2</v>
      </c>
      <c r="I436" t="str">
        <f t="shared" si="79"/>
        <v>2011-09</v>
      </c>
      <c r="K436">
        <v>5345.56</v>
      </c>
      <c r="L436">
        <f t="shared" si="86"/>
        <v>2.8269441590051222E-2</v>
      </c>
      <c r="M436" t="str">
        <f t="shared" si="80"/>
        <v>2011-09</v>
      </c>
      <c r="O436">
        <v>5866.3297599999996</v>
      </c>
      <c r="P436">
        <f t="shared" si="87"/>
        <v>9.8269203639451252E-3</v>
      </c>
      <c r="Q436" t="str">
        <f t="shared" si="81"/>
        <v>2011-09</v>
      </c>
      <c r="S436">
        <v>8201.7000000000007</v>
      </c>
      <c r="T436">
        <f t="shared" si="88"/>
        <v>2.5287483273853557E-2</v>
      </c>
      <c r="U436" t="str">
        <f t="shared" si="82"/>
        <v>2011-09</v>
      </c>
      <c r="W436">
        <v>14118.98</v>
      </c>
      <c r="X436">
        <f t="shared" si="89"/>
        <v>3.2688758306171427E-2</v>
      </c>
      <c r="Y436">
        <f t="shared" si="90"/>
        <v>3.3228905276361111E-2</v>
      </c>
      <c r="Z436" t="str">
        <f t="shared" si="83"/>
        <v>2011-09</v>
      </c>
    </row>
    <row r="437" spans="1:26" x14ac:dyDescent="0.35">
      <c r="A437" s="1">
        <v>40813</v>
      </c>
      <c r="C437">
        <v>2194.0300000000002</v>
      </c>
      <c r="D437">
        <f t="shared" si="84"/>
        <v>5.176286036677831E-2</v>
      </c>
      <c r="E437" t="str">
        <f t="shared" si="78"/>
        <v>2011-09</v>
      </c>
      <c r="G437">
        <v>3023.38</v>
      </c>
      <c r="H437">
        <f t="shared" si="85"/>
        <v>5.5784581871787309E-2</v>
      </c>
      <c r="I437" t="str">
        <f t="shared" si="79"/>
        <v>2011-09</v>
      </c>
      <c r="K437">
        <v>5628.44</v>
      </c>
      <c r="L437">
        <f t="shared" si="86"/>
        <v>5.1566006919371285E-2</v>
      </c>
      <c r="M437" t="str">
        <f t="shared" si="80"/>
        <v>2011-09</v>
      </c>
      <c r="O437">
        <v>6092.6743399999996</v>
      </c>
      <c r="P437">
        <f t="shared" si="87"/>
        <v>3.7857937164422255E-2</v>
      </c>
      <c r="Q437" t="str">
        <f t="shared" si="81"/>
        <v>2011-09</v>
      </c>
      <c r="S437">
        <v>8531.9</v>
      </c>
      <c r="T437">
        <f t="shared" si="88"/>
        <v>3.9470630102913129E-2</v>
      </c>
      <c r="U437" t="str">
        <f t="shared" si="82"/>
        <v>2011-09</v>
      </c>
      <c r="W437">
        <v>14811.16</v>
      </c>
      <c r="X437">
        <f t="shared" si="89"/>
        <v>4.7860959172733218E-2</v>
      </c>
      <c r="Y437">
        <f t="shared" si="90"/>
        <v>4.9024787909608222E-2</v>
      </c>
      <c r="Z437" t="str">
        <f t="shared" si="83"/>
        <v>2011-09</v>
      </c>
    </row>
    <row r="438" spans="1:26" x14ac:dyDescent="0.35">
      <c r="A438" s="1">
        <v>40814</v>
      </c>
      <c r="C438">
        <v>2176.64</v>
      </c>
      <c r="D438">
        <f t="shared" si="84"/>
        <v>-7.9576320183400492E-3</v>
      </c>
      <c r="E438" t="str">
        <f t="shared" si="78"/>
        <v>2011-09</v>
      </c>
      <c r="G438">
        <v>2995.62</v>
      </c>
      <c r="H438">
        <f t="shared" si="85"/>
        <v>-9.2241890118695373E-3</v>
      </c>
      <c r="I438" t="str">
        <f t="shared" si="79"/>
        <v>2011-09</v>
      </c>
      <c r="K438">
        <v>5578.42</v>
      </c>
      <c r="L438">
        <f t="shared" si="86"/>
        <v>-8.9267345464878727E-3</v>
      </c>
      <c r="M438" t="str">
        <f t="shared" si="80"/>
        <v>2011-09</v>
      </c>
      <c r="O438">
        <v>5992.6849400000001</v>
      </c>
      <c r="P438">
        <f t="shared" si="87"/>
        <v>-1.654757285777712E-2</v>
      </c>
      <c r="Q438" t="str">
        <f t="shared" si="81"/>
        <v>2011-09</v>
      </c>
      <c r="S438">
        <v>8480.2000000000007</v>
      </c>
      <c r="T438">
        <f t="shared" si="88"/>
        <v>-6.0780455277240882E-3</v>
      </c>
      <c r="U438" t="str">
        <f t="shared" si="82"/>
        <v>2011-09</v>
      </c>
      <c r="W438">
        <v>14741.22</v>
      </c>
      <c r="X438">
        <f t="shared" si="89"/>
        <v>-4.7332993538014272E-3</v>
      </c>
      <c r="Y438">
        <f t="shared" si="90"/>
        <v>-4.7221149457571526E-3</v>
      </c>
      <c r="Z438" t="str">
        <f t="shared" si="83"/>
        <v>2011-09</v>
      </c>
    </row>
    <row r="439" spans="1:26" x14ac:dyDescent="0.35">
      <c r="A439" s="1">
        <v>40815</v>
      </c>
      <c r="C439">
        <v>2212.44</v>
      </c>
      <c r="D439">
        <f t="shared" si="84"/>
        <v>1.6313575491523787E-2</v>
      </c>
      <c r="E439" t="str">
        <f t="shared" si="78"/>
        <v>2011-09</v>
      </c>
      <c r="G439">
        <v>3027.65</v>
      </c>
      <c r="H439">
        <f t="shared" si="85"/>
        <v>1.0635519218055027E-2</v>
      </c>
      <c r="I439" t="str">
        <f t="shared" si="79"/>
        <v>2011-09</v>
      </c>
      <c r="K439">
        <v>5639.58</v>
      </c>
      <c r="L439">
        <f t="shared" si="86"/>
        <v>1.0904012476317193E-2</v>
      </c>
      <c r="M439" t="str">
        <f t="shared" si="80"/>
        <v>2011-09</v>
      </c>
      <c r="O439">
        <v>5980.2293900000004</v>
      </c>
      <c r="P439">
        <f t="shared" si="87"/>
        <v>-2.0806220023002102E-3</v>
      </c>
      <c r="Q439" t="str">
        <f t="shared" si="81"/>
        <v>2011-09</v>
      </c>
      <c r="S439">
        <v>8592.5</v>
      </c>
      <c r="T439">
        <f t="shared" si="88"/>
        <v>1.3155695310499352E-2</v>
      </c>
      <c r="U439" t="str">
        <f t="shared" si="82"/>
        <v>2011-09</v>
      </c>
      <c r="W439">
        <v>15046.02</v>
      </c>
      <c r="X439">
        <f t="shared" si="89"/>
        <v>2.0465853079691086E-2</v>
      </c>
      <c r="Y439">
        <f t="shared" si="90"/>
        <v>2.0676714681688566E-2</v>
      </c>
      <c r="Z439" t="str">
        <f t="shared" si="83"/>
        <v>2011-09</v>
      </c>
    </row>
    <row r="440" spans="1:26" x14ac:dyDescent="0.35">
      <c r="A440" s="1">
        <v>40816</v>
      </c>
      <c r="C440">
        <v>2179.66</v>
      </c>
      <c r="D440">
        <f t="shared" si="84"/>
        <v>-1.4927077553457992E-2</v>
      </c>
      <c r="E440" t="str">
        <f t="shared" si="78"/>
        <v>2011-09</v>
      </c>
      <c r="G440">
        <v>2981.96</v>
      </c>
      <c r="H440">
        <f t="shared" si="85"/>
        <v>-1.520593861129887E-2</v>
      </c>
      <c r="I440" t="str">
        <f t="shared" si="79"/>
        <v>2011-09</v>
      </c>
      <c r="K440">
        <v>5502.02</v>
      </c>
      <c r="L440">
        <f t="shared" si="86"/>
        <v>-2.4694297114396517E-2</v>
      </c>
      <c r="M440" t="str">
        <f t="shared" si="80"/>
        <v>2011-09</v>
      </c>
      <c r="O440">
        <v>5967.0202300000001</v>
      </c>
      <c r="P440">
        <f t="shared" si="87"/>
        <v>-2.2112479110169784E-3</v>
      </c>
      <c r="Q440" t="str">
        <f t="shared" si="81"/>
        <v>2011-09</v>
      </c>
      <c r="S440">
        <v>8546.6</v>
      </c>
      <c r="T440">
        <f t="shared" si="88"/>
        <v>-5.3561866999273658E-3</v>
      </c>
      <c r="U440" t="str">
        <f t="shared" si="82"/>
        <v>2011-09</v>
      </c>
      <c r="W440">
        <v>14836.33</v>
      </c>
      <c r="X440">
        <f t="shared" si="89"/>
        <v>-1.4034601821888436E-2</v>
      </c>
      <c r="Y440">
        <f t="shared" si="90"/>
        <v>-1.3936575918415668E-2</v>
      </c>
      <c r="Z440" t="str">
        <f t="shared" si="83"/>
        <v>2011-09</v>
      </c>
    </row>
    <row r="441" spans="1:26" x14ac:dyDescent="0.35">
      <c r="A441" s="1">
        <v>40819</v>
      </c>
      <c r="C441">
        <v>2138.2399999999998</v>
      </c>
      <c r="D441">
        <f t="shared" si="84"/>
        <v>-1.9185840588504765E-2</v>
      </c>
      <c r="E441" t="str">
        <f t="shared" si="78"/>
        <v>2011-10</v>
      </c>
      <c r="G441">
        <v>2926.83</v>
      </c>
      <c r="H441">
        <f t="shared" si="85"/>
        <v>-1.8660876358643018E-2</v>
      </c>
      <c r="I441" t="str">
        <f t="shared" si="79"/>
        <v>2011-10</v>
      </c>
      <c r="K441">
        <v>5376.7</v>
      </c>
      <c r="L441">
        <f t="shared" si="86"/>
        <v>-2.3040494459766633E-2</v>
      </c>
      <c r="M441" t="str">
        <f t="shared" si="80"/>
        <v>2011-10</v>
      </c>
      <c r="O441">
        <v>5920.5877700000001</v>
      </c>
      <c r="P441">
        <f t="shared" si="87"/>
        <v>-7.8119494071771734E-3</v>
      </c>
      <c r="Q441" t="str">
        <f t="shared" si="81"/>
        <v>2011-10</v>
      </c>
      <c r="S441">
        <v>8353.7999999999993</v>
      </c>
      <c r="T441">
        <f t="shared" si="88"/>
        <v>-2.2817017880766843E-2</v>
      </c>
      <c r="U441" t="str">
        <f t="shared" si="82"/>
        <v>2011-10</v>
      </c>
      <c r="W441">
        <v>14642.52</v>
      </c>
      <c r="X441">
        <f t="shared" si="89"/>
        <v>-1.3149277704363008E-2</v>
      </c>
      <c r="Y441">
        <f t="shared" si="90"/>
        <v>-1.3063203635939581E-2</v>
      </c>
      <c r="Z441" t="str">
        <f t="shared" si="83"/>
        <v>2011-10</v>
      </c>
    </row>
    <row r="442" spans="1:26" x14ac:dyDescent="0.35">
      <c r="A442" s="1">
        <v>40820</v>
      </c>
      <c r="C442">
        <v>2091.09</v>
      </c>
      <c r="D442">
        <f t="shared" si="84"/>
        <v>-2.2297599619080035E-2</v>
      </c>
      <c r="E442" t="str">
        <f t="shared" si="78"/>
        <v>2011-10</v>
      </c>
      <c r="G442">
        <v>2850.55</v>
      </c>
      <c r="H442">
        <f t="shared" si="85"/>
        <v>-2.6407967959726195E-2</v>
      </c>
      <c r="I442" t="str">
        <f t="shared" si="79"/>
        <v>2011-10</v>
      </c>
      <c r="K442">
        <v>5216.71</v>
      </c>
      <c r="L442">
        <f t="shared" si="86"/>
        <v>-3.0207868084995329E-2</v>
      </c>
      <c r="M442" t="str">
        <f t="shared" si="80"/>
        <v>2011-10</v>
      </c>
      <c r="O442">
        <v>5733.3750499999996</v>
      </c>
      <c r="P442">
        <f t="shared" si="87"/>
        <v>-3.2131358152793756E-2</v>
      </c>
      <c r="Q442" t="str">
        <f t="shared" si="81"/>
        <v>2011-10</v>
      </c>
      <c r="S442">
        <v>8225.4</v>
      </c>
      <c r="T442">
        <f t="shared" si="88"/>
        <v>-1.5489597473385157E-2</v>
      </c>
      <c r="U442" t="str">
        <f t="shared" si="82"/>
        <v>2011-10</v>
      </c>
      <c r="W442">
        <v>14243.97</v>
      </c>
      <c r="X442">
        <f t="shared" si="89"/>
        <v>-2.7595965604484896E-2</v>
      </c>
      <c r="Y442">
        <f t="shared" si="90"/>
        <v>-2.7218675473893911E-2</v>
      </c>
      <c r="Z442" t="str">
        <f t="shared" si="83"/>
        <v>2011-10</v>
      </c>
    </row>
    <row r="443" spans="1:26" x14ac:dyDescent="0.35">
      <c r="A443" s="1">
        <v>40821</v>
      </c>
      <c r="C443">
        <v>2179.42</v>
      </c>
      <c r="D443">
        <f t="shared" si="84"/>
        <v>4.137332522908372E-2</v>
      </c>
      <c r="E443" t="str">
        <f t="shared" si="78"/>
        <v>2011-10</v>
      </c>
      <c r="G443">
        <v>2973.9</v>
      </c>
      <c r="H443">
        <f t="shared" si="85"/>
        <v>4.2362264606843801E-2</v>
      </c>
      <c r="I443" t="str">
        <f t="shared" si="79"/>
        <v>2011-10</v>
      </c>
      <c r="K443">
        <v>5473.03</v>
      </c>
      <c r="L443">
        <f t="shared" si="86"/>
        <v>4.7965458608353211E-2</v>
      </c>
      <c r="M443" t="str">
        <f t="shared" si="80"/>
        <v>2011-10</v>
      </c>
      <c r="O443">
        <v>5908.6432699999996</v>
      </c>
      <c r="P443">
        <f t="shared" si="87"/>
        <v>3.0111868632454634E-2</v>
      </c>
      <c r="Q443" t="str">
        <f t="shared" si="81"/>
        <v>2011-10</v>
      </c>
      <c r="S443">
        <v>8477.2999999999993</v>
      </c>
      <c r="T443">
        <f t="shared" si="88"/>
        <v>3.016507519078368E-2</v>
      </c>
      <c r="U443" t="str">
        <f t="shared" si="82"/>
        <v>2011-10</v>
      </c>
      <c r="W443">
        <v>14805.48</v>
      </c>
      <c r="X443">
        <f t="shared" si="89"/>
        <v>3.8663723243864224E-2</v>
      </c>
      <c r="Y443">
        <f t="shared" si="90"/>
        <v>3.9420891787893424E-2</v>
      </c>
      <c r="Z443" t="str">
        <f t="shared" si="83"/>
        <v>2011-10</v>
      </c>
    </row>
    <row r="444" spans="1:26" x14ac:dyDescent="0.35">
      <c r="A444" s="1">
        <v>40822</v>
      </c>
      <c r="C444">
        <v>2248.7800000000002</v>
      </c>
      <c r="D444">
        <f t="shared" si="84"/>
        <v>3.1329060582273714E-2</v>
      </c>
      <c r="E444" t="str">
        <f t="shared" si="78"/>
        <v>2011-10</v>
      </c>
      <c r="G444">
        <v>3075.37</v>
      </c>
      <c r="H444">
        <f t="shared" si="85"/>
        <v>3.3550996498412124E-2</v>
      </c>
      <c r="I444" t="str">
        <f t="shared" si="79"/>
        <v>2011-10</v>
      </c>
      <c r="K444">
        <v>5645.25</v>
      </c>
      <c r="L444">
        <f t="shared" si="86"/>
        <v>3.0982089999443505E-2</v>
      </c>
      <c r="M444" t="str">
        <f t="shared" si="80"/>
        <v>2011-10</v>
      </c>
      <c r="O444">
        <v>6080.0511500000002</v>
      </c>
      <c r="P444">
        <f t="shared" si="87"/>
        <v>2.8596868851563602E-2</v>
      </c>
      <c r="Q444" t="str">
        <f t="shared" si="81"/>
        <v>2011-10</v>
      </c>
      <c r="S444">
        <v>8704.7999999999993</v>
      </c>
      <c r="T444">
        <f t="shared" si="88"/>
        <v>2.6482594776108894E-2</v>
      </c>
      <c r="U444" t="str">
        <f t="shared" si="82"/>
        <v>2011-10</v>
      </c>
      <c r="W444">
        <v>15331.53</v>
      </c>
      <c r="X444">
        <f t="shared" si="89"/>
        <v>3.4914109701668562E-2</v>
      </c>
      <c r="Y444">
        <f t="shared" si="90"/>
        <v>3.5530762933724612E-2</v>
      </c>
      <c r="Z444" t="str">
        <f t="shared" si="83"/>
        <v>2011-10</v>
      </c>
    </row>
    <row r="445" spans="1:26" x14ac:dyDescent="0.35">
      <c r="A445" s="1">
        <v>40823</v>
      </c>
      <c r="C445">
        <v>2269.19</v>
      </c>
      <c r="D445">
        <f t="shared" si="84"/>
        <v>9.0350926826729735E-3</v>
      </c>
      <c r="E445" t="str">
        <f t="shared" si="78"/>
        <v>2011-10</v>
      </c>
      <c r="G445">
        <v>3095.56</v>
      </c>
      <c r="H445">
        <f t="shared" si="85"/>
        <v>6.5436075413525356E-3</v>
      </c>
      <c r="I445" t="str">
        <f t="shared" si="79"/>
        <v>2011-10</v>
      </c>
      <c r="K445">
        <v>5675.7</v>
      </c>
      <c r="L445">
        <f t="shared" si="86"/>
        <v>5.3794201777322467E-3</v>
      </c>
      <c r="M445" t="str">
        <f t="shared" si="80"/>
        <v>2011-10</v>
      </c>
      <c r="O445">
        <v>6161.9552000000003</v>
      </c>
      <c r="P445">
        <f t="shared" si="87"/>
        <v>1.3381021009647489E-2</v>
      </c>
      <c r="Q445" t="str">
        <f t="shared" si="81"/>
        <v>2011-10</v>
      </c>
      <c r="S445">
        <v>8798.4</v>
      </c>
      <c r="T445">
        <f t="shared" si="88"/>
        <v>1.069528911674795E-2</v>
      </c>
      <c r="U445" t="str">
        <f t="shared" si="82"/>
        <v>2011-10</v>
      </c>
      <c r="W445">
        <v>15529</v>
      </c>
      <c r="X445">
        <f t="shared" si="89"/>
        <v>1.2797751378163913E-2</v>
      </c>
      <c r="Y445">
        <f t="shared" si="90"/>
        <v>1.2879993060053324E-2</v>
      </c>
      <c r="Z445" t="str">
        <f t="shared" si="83"/>
        <v>2011-10</v>
      </c>
    </row>
    <row r="446" spans="1:26" x14ac:dyDescent="0.35">
      <c r="A446" s="1">
        <v>40826</v>
      </c>
      <c r="C446">
        <v>2320.8000000000002</v>
      </c>
      <c r="D446">
        <f t="shared" si="84"/>
        <v>2.2489014203907153E-2</v>
      </c>
      <c r="E446" t="str">
        <f t="shared" si="78"/>
        <v>2011-10</v>
      </c>
      <c r="G446">
        <v>3161.47</v>
      </c>
      <c r="H446">
        <f t="shared" si="85"/>
        <v>2.1068282540384568E-2</v>
      </c>
      <c r="I446" t="str">
        <f t="shared" si="79"/>
        <v>2011-10</v>
      </c>
      <c r="K446">
        <v>5847.29</v>
      </c>
      <c r="L446">
        <f t="shared" si="86"/>
        <v>2.9784402269730555E-2</v>
      </c>
      <c r="M446" t="str">
        <f t="shared" si="80"/>
        <v>2011-10</v>
      </c>
      <c r="O446">
        <v>6195.3534900000004</v>
      </c>
      <c r="P446">
        <f t="shared" si="87"/>
        <v>5.4054442046202154E-3</v>
      </c>
      <c r="Q446" t="str">
        <f t="shared" si="81"/>
        <v>2011-10</v>
      </c>
      <c r="S446">
        <v>8892.4</v>
      </c>
      <c r="T446">
        <f t="shared" si="88"/>
        <v>1.0627092574286193E-2</v>
      </c>
      <c r="U446" t="str">
        <f t="shared" si="82"/>
        <v>2011-10</v>
      </c>
      <c r="W446">
        <v>16098.16</v>
      </c>
      <c r="X446">
        <f t="shared" si="89"/>
        <v>3.5995736157969596E-2</v>
      </c>
      <c r="Y446">
        <f t="shared" si="90"/>
        <v>3.6651426363577815E-2</v>
      </c>
      <c r="Z446" t="str">
        <f t="shared" si="83"/>
        <v>2011-10</v>
      </c>
    </row>
    <row r="447" spans="1:26" x14ac:dyDescent="0.35">
      <c r="A447" s="1">
        <v>40827</v>
      </c>
      <c r="C447">
        <v>2315.9699999999998</v>
      </c>
      <c r="D447">
        <f t="shared" si="84"/>
        <v>-2.0833475660797943E-3</v>
      </c>
      <c r="E447" t="str">
        <f t="shared" si="78"/>
        <v>2011-10</v>
      </c>
      <c r="G447">
        <v>3153.52</v>
      </c>
      <c r="H447">
        <f t="shared" si="85"/>
        <v>-2.5178200440107252E-3</v>
      </c>
      <c r="I447" t="str">
        <f t="shared" si="79"/>
        <v>2011-10</v>
      </c>
      <c r="K447">
        <v>5865.01</v>
      </c>
      <c r="L447">
        <f t="shared" si="86"/>
        <v>3.0258810857464193E-3</v>
      </c>
      <c r="M447" t="str">
        <f t="shared" si="80"/>
        <v>2011-10</v>
      </c>
      <c r="O447">
        <v>6169.3961499999996</v>
      </c>
      <c r="P447">
        <f t="shared" si="87"/>
        <v>-4.1986095776734966E-3</v>
      </c>
      <c r="Q447" t="str">
        <f t="shared" si="81"/>
        <v>2011-10</v>
      </c>
      <c r="S447">
        <v>8845.5</v>
      </c>
      <c r="T447">
        <f t="shared" si="88"/>
        <v>-5.2881242191679303E-3</v>
      </c>
      <c r="U447" t="str">
        <f t="shared" si="82"/>
        <v>2011-10</v>
      </c>
      <c r="W447">
        <v>16036.14</v>
      </c>
      <c r="X447">
        <f t="shared" si="89"/>
        <v>-3.8600546461731874E-3</v>
      </c>
      <c r="Y447">
        <f t="shared" si="90"/>
        <v>-3.8526142118105694E-3</v>
      </c>
      <c r="Z447" t="str">
        <f t="shared" si="83"/>
        <v>2011-10</v>
      </c>
    </row>
    <row r="448" spans="1:26" x14ac:dyDescent="0.35">
      <c r="A448" s="1">
        <v>40828</v>
      </c>
      <c r="C448">
        <v>2372.15</v>
      </c>
      <c r="D448">
        <f t="shared" si="84"/>
        <v>2.3968110651108137E-2</v>
      </c>
      <c r="E448" t="str">
        <f t="shared" si="78"/>
        <v>2011-10</v>
      </c>
      <c r="G448">
        <v>3229.76</v>
      </c>
      <c r="H448">
        <f t="shared" si="85"/>
        <v>2.38885418073949E-2</v>
      </c>
      <c r="I448" t="str">
        <f t="shared" si="79"/>
        <v>2011-10</v>
      </c>
      <c r="K448">
        <v>5994.47</v>
      </c>
      <c r="L448">
        <f t="shared" si="86"/>
        <v>2.1833190431686453E-2</v>
      </c>
      <c r="M448" t="str">
        <f t="shared" si="80"/>
        <v>2011-10</v>
      </c>
      <c r="O448">
        <v>6210.5315799999998</v>
      </c>
      <c r="P448">
        <f t="shared" si="87"/>
        <v>6.6455285177539443E-3</v>
      </c>
      <c r="Q448" t="str">
        <f t="shared" si="81"/>
        <v>2011-10</v>
      </c>
      <c r="S448">
        <v>9026.5</v>
      </c>
      <c r="T448">
        <f t="shared" si="88"/>
        <v>2.0255840268044167E-2</v>
      </c>
      <c r="U448" t="str">
        <f t="shared" si="82"/>
        <v>2011-10</v>
      </c>
      <c r="W448">
        <v>16505.98</v>
      </c>
      <c r="X448">
        <f t="shared" si="89"/>
        <v>2.8877814390308763E-2</v>
      </c>
      <c r="Y448">
        <f t="shared" si="90"/>
        <v>2.9298821287417058E-2</v>
      </c>
      <c r="Z448" t="str">
        <f t="shared" si="83"/>
        <v>2011-10</v>
      </c>
    </row>
    <row r="449" spans="1:26" x14ac:dyDescent="0.35">
      <c r="A449" s="1">
        <v>40829</v>
      </c>
      <c r="C449">
        <v>2332.52</v>
      </c>
      <c r="D449">
        <f t="shared" si="84"/>
        <v>-1.6847488716594947E-2</v>
      </c>
      <c r="E449" t="str">
        <f t="shared" si="78"/>
        <v>2011-10</v>
      </c>
      <c r="G449">
        <v>3186.94</v>
      </c>
      <c r="H449">
        <f t="shared" si="85"/>
        <v>-1.3346622292964246E-2</v>
      </c>
      <c r="I449" t="str">
        <f t="shared" si="79"/>
        <v>2011-10</v>
      </c>
      <c r="K449">
        <v>5914.84</v>
      </c>
      <c r="L449">
        <f t="shared" si="86"/>
        <v>-1.3372930374217721E-2</v>
      </c>
      <c r="M449" t="str">
        <f t="shared" si="80"/>
        <v>2011-10</v>
      </c>
      <c r="O449">
        <v>6184.5015800000001</v>
      </c>
      <c r="P449">
        <f t="shared" si="87"/>
        <v>-4.2000756156857499E-3</v>
      </c>
      <c r="Q449" t="str">
        <f t="shared" si="81"/>
        <v>2011-10</v>
      </c>
      <c r="S449">
        <v>8943.5</v>
      </c>
      <c r="T449">
        <f t="shared" si="88"/>
        <v>-9.237683943412258E-3</v>
      </c>
      <c r="U449" t="str">
        <f t="shared" si="82"/>
        <v>2011-10</v>
      </c>
      <c r="W449">
        <v>15894.39</v>
      </c>
      <c r="X449">
        <f t="shared" si="89"/>
        <v>-3.7756522710866838E-2</v>
      </c>
      <c r="Y449">
        <f t="shared" si="90"/>
        <v>-3.7052631834038341E-2</v>
      </c>
      <c r="Z449" t="str">
        <f t="shared" si="83"/>
        <v>2011-10</v>
      </c>
    </row>
    <row r="450" spans="1:26" x14ac:dyDescent="0.35">
      <c r="A450" s="1">
        <v>40830</v>
      </c>
      <c r="C450">
        <v>2355.48</v>
      </c>
      <c r="D450">
        <f t="shared" si="84"/>
        <v>9.7953001621297279E-3</v>
      </c>
      <c r="E450" t="str">
        <f t="shared" si="78"/>
        <v>2011-10</v>
      </c>
      <c r="G450">
        <v>3217.89</v>
      </c>
      <c r="H450">
        <f t="shared" si="85"/>
        <v>9.6646564883677462E-3</v>
      </c>
      <c r="I450" t="str">
        <f t="shared" si="79"/>
        <v>2011-10</v>
      </c>
      <c r="K450">
        <v>5967.2</v>
      </c>
      <c r="L450">
        <f t="shared" si="86"/>
        <v>8.8133584675244413E-3</v>
      </c>
      <c r="M450" t="str">
        <f t="shared" si="80"/>
        <v>2011-10</v>
      </c>
      <c r="O450">
        <v>6234.91885</v>
      </c>
      <c r="P450">
        <f t="shared" si="87"/>
        <v>8.1191465004352183E-3</v>
      </c>
      <c r="Q450" t="str">
        <f t="shared" si="81"/>
        <v>2011-10</v>
      </c>
      <c r="S450">
        <v>8975.5</v>
      </c>
      <c r="T450">
        <f t="shared" si="88"/>
        <v>3.5716316778243991E-3</v>
      </c>
      <c r="U450" t="str">
        <f t="shared" si="82"/>
        <v>2011-10</v>
      </c>
      <c r="W450">
        <v>16289.65</v>
      </c>
      <c r="X450">
        <f t="shared" si="89"/>
        <v>2.4563720030873155E-2</v>
      </c>
      <c r="Y450">
        <f t="shared" si="90"/>
        <v>2.4867893640460579E-2</v>
      </c>
      <c r="Z450" t="str">
        <f t="shared" si="83"/>
        <v>2011-10</v>
      </c>
    </row>
    <row r="451" spans="1:26" x14ac:dyDescent="0.35">
      <c r="A451" s="1">
        <v>40833</v>
      </c>
      <c r="C451">
        <v>2315.89</v>
      </c>
      <c r="D451">
        <f t="shared" si="84"/>
        <v>-1.6950465455037887E-2</v>
      </c>
      <c r="E451" t="str">
        <f t="shared" si="78"/>
        <v>2011-10</v>
      </c>
      <c r="G451">
        <v>3166.06</v>
      </c>
      <c r="H451">
        <f t="shared" si="85"/>
        <v>-1.6237952626334835E-2</v>
      </c>
      <c r="I451" t="str">
        <f t="shared" si="79"/>
        <v>2011-10</v>
      </c>
      <c r="K451">
        <v>5859.43</v>
      </c>
      <c r="L451">
        <f t="shared" si="86"/>
        <v>-1.8225476425465174E-2</v>
      </c>
      <c r="M451" t="str">
        <f t="shared" si="80"/>
        <v>2011-10</v>
      </c>
      <c r="O451">
        <v>6229.4451600000002</v>
      </c>
      <c r="P451">
        <f t="shared" si="87"/>
        <v>-8.7829436744238138E-4</v>
      </c>
      <c r="Q451" t="str">
        <f t="shared" si="81"/>
        <v>2011-10</v>
      </c>
      <c r="S451">
        <v>8864.2999999999993</v>
      </c>
      <c r="T451">
        <f t="shared" si="88"/>
        <v>-1.2466668931437993E-2</v>
      </c>
      <c r="U451" t="str">
        <f t="shared" si="82"/>
        <v>2011-10</v>
      </c>
      <c r="W451">
        <v>15914.6</v>
      </c>
      <c r="X451">
        <f t="shared" si="89"/>
        <v>-2.32930099127945E-2</v>
      </c>
      <c r="Y451">
        <f t="shared" si="90"/>
        <v>-2.3023821874625868E-2</v>
      </c>
      <c r="Z451" t="str">
        <f t="shared" si="83"/>
        <v>2011-10</v>
      </c>
    </row>
    <row r="452" spans="1:26" x14ac:dyDescent="0.35">
      <c r="A452" s="1">
        <v>40834</v>
      </c>
      <c r="C452">
        <v>2306.81</v>
      </c>
      <c r="D452">
        <f t="shared" si="84"/>
        <v>-3.9284451413210634E-3</v>
      </c>
      <c r="E452" t="str">
        <f t="shared" ref="E452:E515" si="91">_xlfn.CONCAT(YEAR(A452),"-",TEXT(MONTH(A452),"00"))</f>
        <v>2011-10</v>
      </c>
      <c r="G452">
        <v>3141.1</v>
      </c>
      <c r="H452">
        <f t="shared" si="85"/>
        <v>-7.914855593115503E-3</v>
      </c>
      <c r="I452" t="str">
        <f t="shared" ref="I452:I515" si="92">_xlfn.CONCAT(YEAR(A452),"-",TEXT(MONTH(A452),"00"))</f>
        <v>2011-10</v>
      </c>
      <c r="K452">
        <v>5877.41</v>
      </c>
      <c r="L452">
        <f t="shared" si="86"/>
        <v>3.0638594485746661E-3</v>
      </c>
      <c r="M452" t="str">
        <f t="shared" ref="M452:M515" si="93">_xlfn.CONCAT(YEAR(A452),"-",TEXT(MONTH(A452),"00"))</f>
        <v>2011-10</v>
      </c>
      <c r="O452">
        <v>6184.1572500000002</v>
      </c>
      <c r="P452">
        <f t="shared" si="87"/>
        <v>-7.296529956242955E-3</v>
      </c>
      <c r="Q452" t="str">
        <f t="shared" ref="Q452:Q515" si="94">_xlfn.CONCAT(YEAR(A452),"-",TEXT(MONTH(A452),"00"))</f>
        <v>2011-10</v>
      </c>
      <c r="S452">
        <v>8811.2999999999993</v>
      </c>
      <c r="T452">
        <f t="shared" si="88"/>
        <v>-5.9969855439339038E-3</v>
      </c>
      <c r="U452" t="str">
        <f t="shared" ref="U452:U515" si="95">_xlfn.CONCAT(YEAR(A452),"-",TEXT(MONTH(A452),"00"))</f>
        <v>2011-10</v>
      </c>
      <c r="W452">
        <v>15970.14</v>
      </c>
      <c r="X452">
        <f t="shared" si="89"/>
        <v>3.4838017291963777E-3</v>
      </c>
      <c r="Y452">
        <f t="shared" si="90"/>
        <v>3.4898772196598755E-3</v>
      </c>
      <c r="Z452" t="str">
        <f t="shared" ref="Z452:Z515" si="96">_xlfn.CONCAT(YEAR(A452),"-",TEXT(MONTH(A452),"00"))</f>
        <v>2011-10</v>
      </c>
    </row>
    <row r="453" spans="1:26" x14ac:dyDescent="0.35">
      <c r="A453" s="1">
        <v>40835</v>
      </c>
      <c r="C453">
        <v>2330.08</v>
      </c>
      <c r="D453">
        <f t="shared" ref="D453:D516" si="97">LN(C453/C452)</f>
        <v>1.0036983992871833E-2</v>
      </c>
      <c r="E453" t="str">
        <f t="shared" si="91"/>
        <v>2011-10</v>
      </c>
      <c r="G453">
        <v>3157.34</v>
      </c>
      <c r="H453">
        <f t="shared" ref="H453:H516" si="98">LN(G453/G452)</f>
        <v>5.1568439134867432E-3</v>
      </c>
      <c r="I453" t="str">
        <f t="shared" si="92"/>
        <v>2011-10</v>
      </c>
      <c r="K453">
        <v>5913.53</v>
      </c>
      <c r="L453">
        <f t="shared" ref="L453:L516" si="99">LN(K453/K452)</f>
        <v>6.1267571519759943E-3</v>
      </c>
      <c r="M453" t="str">
        <f t="shared" si="93"/>
        <v>2011-10</v>
      </c>
      <c r="O453">
        <v>6246.7533700000004</v>
      </c>
      <c r="P453">
        <f t="shared" ref="P453:P516" si="100">LN(O453/O452)</f>
        <v>1.0071128494759185E-2</v>
      </c>
      <c r="Q453" t="str">
        <f t="shared" si="94"/>
        <v>2011-10</v>
      </c>
      <c r="S453">
        <v>8849.5</v>
      </c>
      <c r="T453">
        <f t="shared" ref="T453:T516" si="101">LN(S453/S452)</f>
        <v>4.3259715950555548E-3</v>
      </c>
      <c r="U453" t="str">
        <f t="shared" si="95"/>
        <v>2011-10</v>
      </c>
      <c r="W453">
        <v>16293.19</v>
      </c>
      <c r="X453">
        <f t="shared" ref="X453:X516" si="102">LN(W453/W452)</f>
        <v>2.0026500476960484E-2</v>
      </c>
      <c r="Y453">
        <f t="shared" ref="Y453:Y516" si="103">(W453-W452)/W452</f>
        <v>2.0228376207096561E-2</v>
      </c>
      <c r="Z453" t="str">
        <f t="shared" si="96"/>
        <v>2011-10</v>
      </c>
    </row>
    <row r="454" spans="1:26" x14ac:dyDescent="0.35">
      <c r="A454" s="1">
        <v>40836</v>
      </c>
      <c r="C454">
        <v>2271.77</v>
      </c>
      <c r="D454">
        <f t="shared" si="97"/>
        <v>-2.5343338411939101E-2</v>
      </c>
      <c r="E454" t="str">
        <f t="shared" si="91"/>
        <v>2011-10</v>
      </c>
      <c r="G454">
        <v>3084.07</v>
      </c>
      <c r="H454">
        <f t="shared" si="98"/>
        <v>-2.3479747719234098E-2</v>
      </c>
      <c r="I454" t="str">
        <f t="shared" si="92"/>
        <v>2011-10</v>
      </c>
      <c r="K454">
        <v>5766.48</v>
      </c>
      <c r="L454">
        <f t="shared" si="99"/>
        <v>-2.5181103464392708E-2</v>
      </c>
      <c r="M454" t="str">
        <f t="shared" si="93"/>
        <v>2011-10</v>
      </c>
      <c r="O454">
        <v>6184.8399900000004</v>
      </c>
      <c r="P454">
        <f t="shared" si="100"/>
        <v>-9.9607331268168602E-3</v>
      </c>
      <c r="Q454" t="str">
        <f t="shared" si="94"/>
        <v>2011-10</v>
      </c>
      <c r="S454">
        <v>8608.2000000000007</v>
      </c>
      <c r="T454">
        <f t="shared" si="101"/>
        <v>-2.7645722898409091E-2</v>
      </c>
      <c r="U454" t="str">
        <f t="shared" si="95"/>
        <v>2011-10</v>
      </c>
      <c r="W454">
        <v>15677.86</v>
      </c>
      <c r="X454">
        <f t="shared" si="102"/>
        <v>-3.8497703086287999E-2</v>
      </c>
      <c r="Y454">
        <f t="shared" si="103"/>
        <v>-3.7766085094447427E-2</v>
      </c>
      <c r="Z454" t="str">
        <f t="shared" si="96"/>
        <v>2011-10</v>
      </c>
    </row>
    <row r="455" spans="1:26" x14ac:dyDescent="0.35">
      <c r="A455" s="1">
        <v>40837</v>
      </c>
      <c r="C455">
        <v>2337.5100000000002</v>
      </c>
      <c r="D455">
        <f t="shared" si="97"/>
        <v>2.8526996906226402E-2</v>
      </c>
      <c r="E455" t="str">
        <f t="shared" si="91"/>
        <v>2011-10</v>
      </c>
      <c r="G455">
        <v>3171.34</v>
      </c>
      <c r="H455">
        <f t="shared" si="98"/>
        <v>2.7904058266437434E-2</v>
      </c>
      <c r="I455" t="str">
        <f t="shared" si="92"/>
        <v>2011-10</v>
      </c>
      <c r="K455">
        <v>5970.96</v>
      </c>
      <c r="L455">
        <f t="shared" si="99"/>
        <v>3.4845876127521547E-2</v>
      </c>
      <c r="M455" t="str">
        <f t="shared" si="93"/>
        <v>2011-10</v>
      </c>
      <c r="O455">
        <v>6309.8084500000004</v>
      </c>
      <c r="P455">
        <f t="shared" si="100"/>
        <v>2.0004184660499337E-2</v>
      </c>
      <c r="Q455" t="str">
        <f t="shared" si="94"/>
        <v>2011-10</v>
      </c>
      <c r="S455">
        <v>8853</v>
      </c>
      <c r="T455">
        <f t="shared" si="101"/>
        <v>2.8041147278649675E-2</v>
      </c>
      <c r="U455" t="str">
        <f t="shared" si="95"/>
        <v>2011-10</v>
      </c>
      <c r="W455">
        <v>16116.48</v>
      </c>
      <c r="X455">
        <f t="shared" si="102"/>
        <v>2.7592824934851174E-2</v>
      </c>
      <c r="Y455">
        <f t="shared" si="103"/>
        <v>2.7977032579701501E-2</v>
      </c>
      <c r="Z455" t="str">
        <f t="shared" si="96"/>
        <v>2011-10</v>
      </c>
    </row>
    <row r="456" spans="1:26" x14ac:dyDescent="0.35">
      <c r="A456" s="1">
        <v>40840</v>
      </c>
      <c r="C456">
        <v>2369.0700000000002</v>
      </c>
      <c r="D456">
        <f t="shared" si="97"/>
        <v>1.341121282631434E-2</v>
      </c>
      <c r="E456" t="str">
        <f t="shared" si="91"/>
        <v>2011-10</v>
      </c>
      <c r="G456">
        <v>3220.46</v>
      </c>
      <c r="H456">
        <f t="shared" si="98"/>
        <v>1.5369994991063455E-2</v>
      </c>
      <c r="I456" t="str">
        <f t="shared" si="92"/>
        <v>2011-10</v>
      </c>
      <c r="K456">
        <v>6055.27</v>
      </c>
      <c r="L456">
        <f t="shared" si="99"/>
        <v>1.4021248760768391E-2</v>
      </c>
      <c r="M456" t="str">
        <f t="shared" si="93"/>
        <v>2011-10</v>
      </c>
      <c r="O456">
        <v>6371.4413599999998</v>
      </c>
      <c r="P456">
        <f t="shared" si="100"/>
        <v>9.7203976280890187E-3</v>
      </c>
      <c r="Q456" t="str">
        <f t="shared" si="94"/>
        <v>2011-10</v>
      </c>
      <c r="S456">
        <v>8957.1</v>
      </c>
      <c r="T456">
        <f t="shared" si="101"/>
        <v>1.1690129254207818E-2</v>
      </c>
      <c r="U456" t="str">
        <f t="shared" si="95"/>
        <v>2011-10</v>
      </c>
      <c r="W456">
        <v>16232.26</v>
      </c>
      <c r="X456">
        <f t="shared" si="102"/>
        <v>7.1582691868720977E-3</v>
      </c>
      <c r="Y456">
        <f t="shared" si="103"/>
        <v>7.1839508379001283E-3</v>
      </c>
      <c r="Z456" t="str">
        <f t="shared" si="96"/>
        <v>2011-10</v>
      </c>
    </row>
    <row r="457" spans="1:26" x14ac:dyDescent="0.35">
      <c r="A457" s="1">
        <v>40841</v>
      </c>
      <c r="C457">
        <v>2343.96</v>
      </c>
      <c r="D457">
        <f t="shared" si="97"/>
        <v>-1.065566634999123E-2</v>
      </c>
      <c r="E457" t="str">
        <f t="shared" si="91"/>
        <v>2011-10</v>
      </c>
      <c r="G457">
        <v>3174.29</v>
      </c>
      <c r="H457">
        <f t="shared" si="98"/>
        <v>-1.444022120579143E-2</v>
      </c>
      <c r="I457" t="str">
        <f t="shared" si="92"/>
        <v>2011-10</v>
      </c>
      <c r="K457">
        <v>6046.75</v>
      </c>
      <c r="L457">
        <f t="shared" si="99"/>
        <v>-1.4080296359796436E-3</v>
      </c>
      <c r="M457" t="str">
        <f t="shared" si="93"/>
        <v>2011-10</v>
      </c>
      <c r="O457">
        <v>6352.5050700000002</v>
      </c>
      <c r="P457">
        <f t="shared" si="100"/>
        <v>-2.9764828207350614E-3</v>
      </c>
      <c r="Q457" t="str">
        <f t="shared" si="94"/>
        <v>2011-10</v>
      </c>
      <c r="S457">
        <v>8879.6</v>
      </c>
      <c r="T457">
        <f t="shared" si="101"/>
        <v>-8.6900029386446555E-3</v>
      </c>
      <c r="U457" t="str">
        <f t="shared" si="95"/>
        <v>2011-10</v>
      </c>
      <c r="W457">
        <v>16060.49</v>
      </c>
      <c r="X457">
        <f t="shared" si="102"/>
        <v>-1.0638401499479115E-2</v>
      </c>
      <c r="Y457">
        <f t="shared" si="103"/>
        <v>-1.0582013841572303E-2</v>
      </c>
      <c r="Z457" t="str">
        <f t="shared" si="96"/>
        <v>2011-10</v>
      </c>
    </row>
    <row r="458" spans="1:26" x14ac:dyDescent="0.35">
      <c r="A458" s="1">
        <v>40842</v>
      </c>
      <c r="C458">
        <v>2335.06</v>
      </c>
      <c r="D458">
        <f t="shared" si="97"/>
        <v>-3.8042200005403734E-3</v>
      </c>
      <c r="E458" t="str">
        <f t="shared" si="91"/>
        <v>2011-10</v>
      </c>
      <c r="G458">
        <v>3169.62</v>
      </c>
      <c r="H458">
        <f t="shared" si="98"/>
        <v>-1.4722784035583699E-3</v>
      </c>
      <c r="I458" t="str">
        <f t="shared" si="92"/>
        <v>2011-10</v>
      </c>
      <c r="K458">
        <v>6016.07</v>
      </c>
      <c r="L458">
        <f t="shared" si="99"/>
        <v>-5.086715403676269E-3</v>
      </c>
      <c r="M458" t="str">
        <f t="shared" si="93"/>
        <v>2011-10</v>
      </c>
      <c r="O458">
        <v>6386.8283000000001</v>
      </c>
      <c r="P458">
        <f t="shared" si="100"/>
        <v>5.3885571647151534E-3</v>
      </c>
      <c r="Q458" t="str">
        <f t="shared" si="94"/>
        <v>2011-10</v>
      </c>
      <c r="S458">
        <v>8832.5</v>
      </c>
      <c r="T458">
        <f t="shared" si="101"/>
        <v>-5.3184106933119963E-3</v>
      </c>
      <c r="U458" t="str">
        <f t="shared" si="95"/>
        <v>2011-10</v>
      </c>
      <c r="W458">
        <v>16071.92</v>
      </c>
      <c r="X458">
        <f t="shared" si="102"/>
        <v>7.1143126096626205E-4</v>
      </c>
      <c r="Y458">
        <f t="shared" si="103"/>
        <v>7.1168438820984239E-4</v>
      </c>
      <c r="Z458" t="str">
        <f t="shared" si="96"/>
        <v>2011-10</v>
      </c>
    </row>
    <row r="459" spans="1:26" x14ac:dyDescent="0.35">
      <c r="A459" s="1">
        <v>40843</v>
      </c>
      <c r="C459">
        <v>2476.92</v>
      </c>
      <c r="D459">
        <f t="shared" si="97"/>
        <v>5.8978266129826221E-2</v>
      </c>
      <c r="E459" t="str">
        <f t="shared" si="91"/>
        <v>2011-10</v>
      </c>
      <c r="G459">
        <v>3368.62</v>
      </c>
      <c r="H459">
        <f t="shared" si="98"/>
        <v>6.0891458062396327E-2</v>
      </c>
      <c r="I459" t="str">
        <f t="shared" si="92"/>
        <v>2011-10</v>
      </c>
      <c r="K459">
        <v>6337.84</v>
      </c>
      <c r="L459">
        <f t="shared" si="99"/>
        <v>5.2103794175294399E-2</v>
      </c>
      <c r="M459" t="str">
        <f t="shared" si="93"/>
        <v>2011-10</v>
      </c>
      <c r="O459">
        <v>6482.8331399999997</v>
      </c>
      <c r="P459">
        <f t="shared" si="100"/>
        <v>1.4919836289849586E-2</v>
      </c>
      <c r="Q459" t="str">
        <f t="shared" si="94"/>
        <v>2011-10</v>
      </c>
      <c r="S459">
        <v>9270.5</v>
      </c>
      <c r="T459">
        <f t="shared" si="101"/>
        <v>4.8399215304607751E-2</v>
      </c>
      <c r="U459" t="str">
        <f t="shared" si="95"/>
        <v>2011-10</v>
      </c>
      <c r="W459">
        <v>16954.68</v>
      </c>
      <c r="X459">
        <f t="shared" si="102"/>
        <v>5.3470252011400446E-2</v>
      </c>
      <c r="Y459">
        <f t="shared" si="103"/>
        <v>5.4925609385810793E-2</v>
      </c>
      <c r="Z459" t="str">
        <f t="shared" si="96"/>
        <v>2011-10</v>
      </c>
    </row>
    <row r="460" spans="1:26" x14ac:dyDescent="0.35">
      <c r="A460" s="1">
        <v>40844</v>
      </c>
      <c r="C460">
        <v>2462.36</v>
      </c>
      <c r="D460">
        <f t="shared" si="97"/>
        <v>-5.8956131959820033E-3</v>
      </c>
      <c r="E460" t="str">
        <f t="shared" si="91"/>
        <v>2011-10</v>
      </c>
      <c r="G460">
        <v>3348.63</v>
      </c>
      <c r="H460">
        <f t="shared" si="98"/>
        <v>-5.9518579810091529E-3</v>
      </c>
      <c r="I460" t="str">
        <f t="shared" si="92"/>
        <v>2011-10</v>
      </c>
      <c r="K460">
        <v>6346.19</v>
      </c>
      <c r="L460">
        <f t="shared" si="99"/>
        <v>1.3166164391305423E-3</v>
      </c>
      <c r="M460" t="str">
        <f t="shared" si="93"/>
        <v>2011-10</v>
      </c>
      <c r="O460">
        <v>6492.2269299999998</v>
      </c>
      <c r="P460">
        <f t="shared" si="100"/>
        <v>1.4479765936497913E-3</v>
      </c>
      <c r="Q460" t="str">
        <f t="shared" si="94"/>
        <v>2011-10</v>
      </c>
      <c r="S460">
        <v>9224.4</v>
      </c>
      <c r="T460">
        <f t="shared" si="101"/>
        <v>-4.9851683948214272E-3</v>
      </c>
      <c r="U460" t="str">
        <f t="shared" si="95"/>
        <v>2011-10</v>
      </c>
      <c r="W460">
        <v>16653.55</v>
      </c>
      <c r="X460">
        <f t="shared" si="102"/>
        <v>-1.7920494997889762E-2</v>
      </c>
      <c r="Y460">
        <f t="shared" si="103"/>
        <v>-1.7760877822524578E-2</v>
      </c>
      <c r="Z460" t="str">
        <f t="shared" si="96"/>
        <v>2011-10</v>
      </c>
    </row>
    <row r="461" spans="1:26" x14ac:dyDescent="0.35">
      <c r="A461" s="1">
        <v>40847</v>
      </c>
      <c r="C461">
        <v>2385.2199999999998</v>
      </c>
      <c r="D461">
        <f t="shared" si="97"/>
        <v>-3.1828876383301452E-2</v>
      </c>
      <c r="E461" t="str">
        <f t="shared" si="91"/>
        <v>2011-10</v>
      </c>
      <c r="G461">
        <v>3242.84</v>
      </c>
      <c r="H461">
        <f t="shared" si="98"/>
        <v>-3.2101817893642824E-2</v>
      </c>
      <c r="I461" t="str">
        <f t="shared" si="92"/>
        <v>2011-10</v>
      </c>
      <c r="K461">
        <v>6141.34</v>
      </c>
      <c r="L461">
        <f t="shared" si="99"/>
        <v>-3.2811673442283432E-2</v>
      </c>
      <c r="M461" t="str">
        <f t="shared" si="93"/>
        <v>2011-10</v>
      </c>
      <c r="O461">
        <v>6412.0697200000004</v>
      </c>
      <c r="P461">
        <f t="shared" si="100"/>
        <v>-1.242349632042046E-2</v>
      </c>
      <c r="Q461" t="str">
        <f t="shared" si="94"/>
        <v>2011-10</v>
      </c>
      <c r="S461">
        <v>8954.9</v>
      </c>
      <c r="T461">
        <f t="shared" si="101"/>
        <v>-2.9651278656465541E-2</v>
      </c>
      <c r="U461" t="str">
        <f t="shared" si="95"/>
        <v>2011-10</v>
      </c>
      <c r="W461">
        <v>16017.73</v>
      </c>
      <c r="X461">
        <f t="shared" si="102"/>
        <v>-3.8927173190491701E-2</v>
      </c>
      <c r="Y461">
        <f t="shared" si="103"/>
        <v>-3.8179247067442058E-2</v>
      </c>
      <c r="Z461" t="str">
        <f t="shared" si="96"/>
        <v>2011-10</v>
      </c>
    </row>
    <row r="462" spans="1:26" x14ac:dyDescent="0.35">
      <c r="A462" s="1">
        <v>40848</v>
      </c>
      <c r="C462">
        <v>2259.73</v>
      </c>
      <c r="D462">
        <f t="shared" si="97"/>
        <v>-5.4046026152092884E-2</v>
      </c>
      <c r="E462" t="str">
        <f t="shared" si="91"/>
        <v>2011-11</v>
      </c>
      <c r="G462">
        <v>3068.33</v>
      </c>
      <c r="H462">
        <f t="shared" si="98"/>
        <v>-5.5316049424222635E-2</v>
      </c>
      <c r="I462" t="str">
        <f t="shared" si="92"/>
        <v>2011-11</v>
      </c>
      <c r="K462">
        <v>5834.51</v>
      </c>
      <c r="L462">
        <f t="shared" si="99"/>
        <v>-5.1252673184802568E-2</v>
      </c>
      <c r="M462" t="str">
        <f t="shared" si="93"/>
        <v>2011-11</v>
      </c>
      <c r="O462">
        <v>6307.9968900000003</v>
      </c>
      <c r="P462">
        <f t="shared" si="100"/>
        <v>-1.6363931974697418E-2</v>
      </c>
      <c r="Q462" t="str">
        <f t="shared" si="94"/>
        <v>2011-11</v>
      </c>
      <c r="S462">
        <v>8579.6</v>
      </c>
      <c r="T462">
        <f t="shared" si="101"/>
        <v>-4.2813576137981209E-2</v>
      </c>
      <c r="U462" t="str">
        <f t="shared" si="95"/>
        <v>2011-11</v>
      </c>
      <c r="W462">
        <v>14928.24</v>
      </c>
      <c r="X462">
        <f t="shared" si="102"/>
        <v>-7.0441512576297827E-2</v>
      </c>
      <c r="Y462">
        <f t="shared" si="103"/>
        <v>-6.8017752827647854E-2</v>
      </c>
      <c r="Z462" t="str">
        <f t="shared" si="96"/>
        <v>2011-11</v>
      </c>
    </row>
    <row r="463" spans="1:26" x14ac:dyDescent="0.35">
      <c r="A463" s="1">
        <v>40849</v>
      </c>
      <c r="C463">
        <v>2291.89</v>
      </c>
      <c r="D463">
        <f t="shared" si="97"/>
        <v>1.4131467560940723E-2</v>
      </c>
      <c r="E463" t="str">
        <f t="shared" si="91"/>
        <v>2011-11</v>
      </c>
      <c r="G463">
        <v>3110.59</v>
      </c>
      <c r="H463">
        <f t="shared" si="98"/>
        <v>1.3678979159056935E-2</v>
      </c>
      <c r="I463" t="str">
        <f t="shared" si="92"/>
        <v>2011-11</v>
      </c>
      <c r="K463">
        <v>5965.63</v>
      </c>
      <c r="L463">
        <f t="shared" si="99"/>
        <v>2.2224379861291648E-2</v>
      </c>
      <c r="M463" t="str">
        <f t="shared" si="93"/>
        <v>2011-11</v>
      </c>
      <c r="O463">
        <v>6363.34321</v>
      </c>
      <c r="P463">
        <f t="shared" si="100"/>
        <v>8.7357251139316694E-3</v>
      </c>
      <c r="Q463" t="str">
        <f t="shared" si="94"/>
        <v>2011-11</v>
      </c>
      <c r="S463">
        <v>8574.5</v>
      </c>
      <c r="T463">
        <f t="shared" si="101"/>
        <v>-5.9461005243804986E-4</v>
      </c>
      <c r="U463" t="str">
        <f t="shared" si="95"/>
        <v>2011-11</v>
      </c>
      <c r="W463">
        <v>15273.31</v>
      </c>
      <c r="X463">
        <f t="shared" si="102"/>
        <v>2.2852139492748998E-2</v>
      </c>
      <c r="Y463">
        <f t="shared" si="103"/>
        <v>2.3115250022775605E-2</v>
      </c>
      <c r="Z463" t="str">
        <f t="shared" si="96"/>
        <v>2011-11</v>
      </c>
    </row>
    <row r="464" spans="1:26" x14ac:dyDescent="0.35">
      <c r="A464" s="1">
        <v>40850</v>
      </c>
      <c r="C464">
        <v>2347.94</v>
      </c>
      <c r="D464">
        <f t="shared" si="97"/>
        <v>2.4161543295063977E-2</v>
      </c>
      <c r="E464" t="str">
        <f t="shared" si="91"/>
        <v>2011-11</v>
      </c>
      <c r="G464">
        <v>3195.47</v>
      </c>
      <c r="H464">
        <f t="shared" si="98"/>
        <v>2.6921763052677773E-2</v>
      </c>
      <c r="I464" t="str">
        <f t="shared" si="92"/>
        <v>2011-11</v>
      </c>
      <c r="K464">
        <v>6133.18</v>
      </c>
      <c r="L464">
        <f t="shared" si="99"/>
        <v>2.769870956755156E-2</v>
      </c>
      <c r="M464" t="str">
        <f t="shared" si="93"/>
        <v>2011-11</v>
      </c>
      <c r="O464">
        <v>6428.6755999999996</v>
      </c>
      <c r="P464">
        <f t="shared" si="100"/>
        <v>1.0214643838288726E-2</v>
      </c>
      <c r="Q464" t="str">
        <f t="shared" si="94"/>
        <v>2011-11</v>
      </c>
      <c r="S464">
        <v>8712.6</v>
      </c>
      <c r="T464">
        <f t="shared" si="101"/>
        <v>1.5977571468545046E-2</v>
      </c>
      <c r="U464" t="str">
        <f t="shared" si="95"/>
        <v>2011-11</v>
      </c>
      <c r="W464">
        <v>15766.16</v>
      </c>
      <c r="X464">
        <f t="shared" si="102"/>
        <v>3.1759010367954907E-2</v>
      </c>
      <c r="Y464">
        <f t="shared" si="103"/>
        <v>3.2268709271271283E-2</v>
      </c>
      <c r="Z464" t="str">
        <f t="shared" si="96"/>
        <v>2011-11</v>
      </c>
    </row>
    <row r="465" spans="1:26" x14ac:dyDescent="0.35">
      <c r="A465" s="1">
        <v>40851</v>
      </c>
      <c r="C465">
        <v>2291.4699999999998</v>
      </c>
      <c r="D465">
        <f t="shared" si="97"/>
        <v>-2.4344814956541803E-2</v>
      </c>
      <c r="E465" t="str">
        <f t="shared" si="91"/>
        <v>2011-11</v>
      </c>
      <c r="G465">
        <v>3123.55</v>
      </c>
      <c r="H465">
        <f t="shared" si="98"/>
        <v>-2.2764006354916391E-2</v>
      </c>
      <c r="I465" t="str">
        <f t="shared" si="92"/>
        <v>2011-11</v>
      </c>
      <c r="K465">
        <v>5966.16</v>
      </c>
      <c r="L465">
        <f t="shared" si="99"/>
        <v>-2.7609871262427536E-2</v>
      </c>
      <c r="M465" t="str">
        <f t="shared" si="93"/>
        <v>2011-11</v>
      </c>
      <c r="O465">
        <v>6431.9249200000004</v>
      </c>
      <c r="P465">
        <f t="shared" si="100"/>
        <v>5.0531389480424032E-4</v>
      </c>
      <c r="Q465" t="str">
        <f t="shared" si="94"/>
        <v>2011-11</v>
      </c>
      <c r="S465">
        <v>8596.4</v>
      </c>
      <c r="T465">
        <f t="shared" si="101"/>
        <v>-1.342674281369583E-2</v>
      </c>
      <c r="U465" t="str">
        <f t="shared" si="95"/>
        <v>2011-11</v>
      </c>
      <c r="W465">
        <v>15346.55</v>
      </c>
      <c r="X465">
        <f t="shared" si="102"/>
        <v>-2.6975177935340804E-2</v>
      </c>
      <c r="Y465">
        <f t="shared" si="103"/>
        <v>-2.6614597340125976E-2</v>
      </c>
      <c r="Z465" t="str">
        <f t="shared" si="96"/>
        <v>2011-11</v>
      </c>
    </row>
    <row r="466" spans="1:26" x14ac:dyDescent="0.35">
      <c r="A466" s="1">
        <v>40854</v>
      </c>
      <c r="C466">
        <v>2275.92</v>
      </c>
      <c r="D466">
        <f t="shared" si="97"/>
        <v>-6.8091667586714765E-3</v>
      </c>
      <c r="E466" t="str">
        <f t="shared" si="91"/>
        <v>2011-11</v>
      </c>
      <c r="G466">
        <v>3103.6</v>
      </c>
      <c r="H466">
        <f t="shared" si="98"/>
        <v>-6.4074474693970708E-3</v>
      </c>
      <c r="I466" t="str">
        <f t="shared" si="92"/>
        <v>2011-11</v>
      </c>
      <c r="K466">
        <v>5928.68</v>
      </c>
      <c r="L466">
        <f t="shared" si="99"/>
        <v>-6.3019131052317124E-3</v>
      </c>
      <c r="M466" t="str">
        <f t="shared" si="93"/>
        <v>2011-11</v>
      </c>
      <c r="O466">
        <v>6425.6153199999999</v>
      </c>
      <c r="P466">
        <f t="shared" si="100"/>
        <v>-9.8146307749576427E-4</v>
      </c>
      <c r="Q466" t="str">
        <f t="shared" si="94"/>
        <v>2011-11</v>
      </c>
      <c r="S466">
        <v>8476.4</v>
      </c>
      <c r="T466">
        <f t="shared" si="101"/>
        <v>-1.4057679604640121E-2</v>
      </c>
      <c r="U466" t="str">
        <f t="shared" si="95"/>
        <v>2011-11</v>
      </c>
      <c r="W466">
        <v>15548.94</v>
      </c>
      <c r="X466">
        <f t="shared" si="102"/>
        <v>1.3101776027648771E-2</v>
      </c>
      <c r="Y466">
        <f t="shared" si="103"/>
        <v>1.3187980360406817E-2</v>
      </c>
      <c r="Z466" t="str">
        <f t="shared" si="96"/>
        <v>2011-11</v>
      </c>
    </row>
    <row r="467" spans="1:26" x14ac:dyDescent="0.35">
      <c r="A467" s="1">
        <v>40855</v>
      </c>
      <c r="C467">
        <v>2303.1999999999998</v>
      </c>
      <c r="D467">
        <f t="shared" si="97"/>
        <v>1.191509405438438E-2</v>
      </c>
      <c r="E467" t="str">
        <f t="shared" si="91"/>
        <v>2011-11</v>
      </c>
      <c r="G467">
        <v>3143.3</v>
      </c>
      <c r="H467">
        <f t="shared" si="98"/>
        <v>1.2710475429501173E-2</v>
      </c>
      <c r="I467" t="str">
        <f t="shared" si="92"/>
        <v>2011-11</v>
      </c>
      <c r="K467">
        <v>5961.44</v>
      </c>
      <c r="L467">
        <f t="shared" si="99"/>
        <v>5.510471365673641E-3</v>
      </c>
      <c r="M467" t="str">
        <f t="shared" si="93"/>
        <v>2011-11</v>
      </c>
      <c r="O467">
        <v>6496.8458300000002</v>
      </c>
      <c r="P467">
        <f t="shared" si="100"/>
        <v>1.1024406357802713E-2</v>
      </c>
      <c r="Q467" t="str">
        <f t="shared" si="94"/>
        <v>2011-11</v>
      </c>
      <c r="S467">
        <v>8518.5</v>
      </c>
      <c r="T467">
        <f t="shared" si="101"/>
        <v>4.9544376391861458E-3</v>
      </c>
      <c r="U467" t="str">
        <f t="shared" si="95"/>
        <v>2011-11</v>
      </c>
      <c r="W467">
        <v>15664.06</v>
      </c>
      <c r="X467">
        <f t="shared" si="102"/>
        <v>7.3764471208605893E-3</v>
      </c>
      <c r="Y467">
        <f t="shared" si="103"/>
        <v>7.4037201249730839E-3</v>
      </c>
      <c r="Z467" t="str">
        <f t="shared" si="96"/>
        <v>2011-11</v>
      </c>
    </row>
    <row r="468" spans="1:26" x14ac:dyDescent="0.35">
      <c r="A468" s="1">
        <v>40856</v>
      </c>
      <c r="C468">
        <v>2249.39</v>
      </c>
      <c r="D468">
        <f t="shared" si="97"/>
        <v>-2.3640391967872335E-2</v>
      </c>
      <c r="E468" t="str">
        <f t="shared" si="91"/>
        <v>2011-11</v>
      </c>
      <c r="G468">
        <v>3075.16</v>
      </c>
      <c r="H468">
        <f t="shared" si="98"/>
        <v>-2.1916271041996501E-2</v>
      </c>
      <c r="I468" t="str">
        <f t="shared" si="92"/>
        <v>2011-11</v>
      </c>
      <c r="K468">
        <v>5829.54</v>
      </c>
      <c r="L468">
        <f t="shared" si="99"/>
        <v>-2.2373967612728841E-2</v>
      </c>
      <c r="M468" t="str">
        <f t="shared" si="93"/>
        <v>2011-11</v>
      </c>
      <c r="O468">
        <v>6406.7655999999997</v>
      </c>
      <c r="P468">
        <f t="shared" si="100"/>
        <v>-1.3962245200806305E-2</v>
      </c>
      <c r="Q468" t="str">
        <f t="shared" si="94"/>
        <v>2011-11</v>
      </c>
      <c r="S468">
        <v>8340.6</v>
      </c>
      <c r="T468">
        <f t="shared" si="101"/>
        <v>-2.1105112774494915E-2</v>
      </c>
      <c r="U468" t="str">
        <f t="shared" si="95"/>
        <v>2011-11</v>
      </c>
      <c r="W468">
        <v>15071.77</v>
      </c>
      <c r="X468">
        <f t="shared" si="102"/>
        <v>-3.8545458587396768E-2</v>
      </c>
      <c r="Y468">
        <f t="shared" si="103"/>
        <v>-3.7812035960025629E-2</v>
      </c>
      <c r="Z468" t="str">
        <f t="shared" si="96"/>
        <v>2011-11</v>
      </c>
    </row>
    <row r="469" spans="1:26" x14ac:dyDescent="0.35">
      <c r="A469" s="1">
        <v>40857</v>
      </c>
      <c r="C469">
        <v>2254.92</v>
      </c>
      <c r="D469">
        <f t="shared" si="97"/>
        <v>2.4554272589678364E-3</v>
      </c>
      <c r="E469" t="str">
        <f t="shared" si="91"/>
        <v>2011-11</v>
      </c>
      <c r="G469">
        <v>3064.84</v>
      </c>
      <c r="H469">
        <f t="shared" si="98"/>
        <v>-3.3615666834234557E-3</v>
      </c>
      <c r="I469" t="str">
        <f t="shared" si="92"/>
        <v>2011-11</v>
      </c>
      <c r="K469">
        <v>5867.81</v>
      </c>
      <c r="L469">
        <f t="shared" si="99"/>
        <v>6.5433857321416352E-3</v>
      </c>
      <c r="M469" t="str">
        <f t="shared" si="93"/>
        <v>2011-11</v>
      </c>
      <c r="O469">
        <v>6379.1547899999996</v>
      </c>
      <c r="P469">
        <f t="shared" si="100"/>
        <v>-4.3189464781857693E-3</v>
      </c>
      <c r="Q469" t="str">
        <f t="shared" si="94"/>
        <v>2011-11</v>
      </c>
      <c r="S469">
        <v>8310.9</v>
      </c>
      <c r="T469">
        <f t="shared" si="101"/>
        <v>-3.5672499768841731E-3</v>
      </c>
      <c r="U469" t="str">
        <f t="shared" si="95"/>
        <v>2011-11</v>
      </c>
      <c r="W469">
        <v>15218.34</v>
      </c>
      <c r="X469">
        <f t="shared" si="102"/>
        <v>9.6778218355719897E-3</v>
      </c>
      <c r="Y469">
        <f t="shared" si="103"/>
        <v>9.7248033907098973E-3</v>
      </c>
      <c r="Z469" t="str">
        <f t="shared" si="96"/>
        <v>2011-11</v>
      </c>
    </row>
    <row r="470" spans="1:26" x14ac:dyDescent="0.35">
      <c r="A470" s="1">
        <v>40858</v>
      </c>
      <c r="C470">
        <v>2324.81</v>
      </c>
      <c r="D470">
        <f t="shared" si="97"/>
        <v>3.0523819662991239E-2</v>
      </c>
      <c r="E470" t="str">
        <f t="shared" si="91"/>
        <v>2011-11</v>
      </c>
      <c r="G470">
        <v>3149.38</v>
      </c>
      <c r="H470">
        <f t="shared" si="98"/>
        <v>2.7210242326317555E-2</v>
      </c>
      <c r="I470" t="str">
        <f t="shared" si="92"/>
        <v>2011-11</v>
      </c>
      <c r="K470">
        <v>6057.03</v>
      </c>
      <c r="L470">
        <f t="shared" si="99"/>
        <v>3.1738100181795265E-2</v>
      </c>
      <c r="M470" t="str">
        <f t="shared" si="93"/>
        <v>2011-11</v>
      </c>
      <c r="O470">
        <v>6478.3494499999997</v>
      </c>
      <c r="P470">
        <f t="shared" si="100"/>
        <v>1.5430152888481629E-2</v>
      </c>
      <c r="Q470" t="str">
        <f t="shared" si="94"/>
        <v>2011-11</v>
      </c>
      <c r="S470">
        <v>8556.1</v>
      </c>
      <c r="T470">
        <f t="shared" si="101"/>
        <v>2.9076572604312682E-2</v>
      </c>
      <c r="U470" t="str">
        <f t="shared" si="95"/>
        <v>2011-11</v>
      </c>
      <c r="W470">
        <v>15778.85</v>
      </c>
      <c r="X470">
        <f t="shared" si="102"/>
        <v>3.6169156234279784E-2</v>
      </c>
      <c r="Y470">
        <f t="shared" si="103"/>
        <v>3.6831218122344501E-2</v>
      </c>
      <c r="Z470" t="str">
        <f t="shared" si="96"/>
        <v>2011-11</v>
      </c>
    </row>
    <row r="471" spans="1:26" x14ac:dyDescent="0.35">
      <c r="A471" s="1">
        <v>40861</v>
      </c>
      <c r="C471">
        <v>2288.3200000000002</v>
      </c>
      <c r="D471">
        <f t="shared" si="97"/>
        <v>-1.5820391392021634E-2</v>
      </c>
      <c r="E471" t="str">
        <f t="shared" si="91"/>
        <v>2011-11</v>
      </c>
      <c r="G471">
        <v>3108.95</v>
      </c>
      <c r="H471">
        <f t="shared" si="98"/>
        <v>-1.2920559462350328E-2</v>
      </c>
      <c r="I471" t="str">
        <f t="shared" si="92"/>
        <v>2011-11</v>
      </c>
      <c r="K471">
        <v>5985.02</v>
      </c>
      <c r="L471">
        <f t="shared" si="99"/>
        <v>-1.1959900241642457E-2</v>
      </c>
      <c r="M471" t="str">
        <f t="shared" si="93"/>
        <v>2011-11</v>
      </c>
      <c r="O471">
        <v>6442.0539600000002</v>
      </c>
      <c r="P471">
        <f t="shared" si="100"/>
        <v>-5.6183362581764991E-3</v>
      </c>
      <c r="Q471" t="str">
        <f t="shared" si="94"/>
        <v>2011-11</v>
      </c>
      <c r="S471">
        <v>8372.2000000000007</v>
      </c>
      <c r="T471">
        <f t="shared" si="101"/>
        <v>-2.1727785403657395E-2</v>
      </c>
      <c r="U471" t="str">
        <f t="shared" si="95"/>
        <v>2011-11</v>
      </c>
      <c r="W471">
        <v>15464.45</v>
      </c>
      <c r="X471">
        <f t="shared" si="102"/>
        <v>-2.0126594375058853E-2</v>
      </c>
      <c r="Y471">
        <f t="shared" si="103"/>
        <v>-1.992540647765836E-2</v>
      </c>
      <c r="Z471" t="str">
        <f t="shared" si="96"/>
        <v>2011-11</v>
      </c>
    </row>
    <row r="472" spans="1:26" x14ac:dyDescent="0.35">
      <c r="A472" s="1">
        <v>40862</v>
      </c>
      <c r="C472">
        <v>2254</v>
      </c>
      <c r="D472">
        <f t="shared" si="97"/>
        <v>-1.5111508260309537E-2</v>
      </c>
      <c r="E472" t="str">
        <f t="shared" si="91"/>
        <v>2011-11</v>
      </c>
      <c r="G472">
        <v>3049.13</v>
      </c>
      <c r="H472">
        <f t="shared" si="98"/>
        <v>-1.9428744578374822E-2</v>
      </c>
      <c r="I472" t="str">
        <f t="shared" si="92"/>
        <v>2011-11</v>
      </c>
      <c r="K472">
        <v>5933.14</v>
      </c>
      <c r="L472">
        <f t="shared" si="99"/>
        <v>-8.7060968625173128E-3</v>
      </c>
      <c r="M472" t="str">
        <f t="shared" si="93"/>
        <v>2011-11</v>
      </c>
      <c r="O472">
        <v>6452.0192900000002</v>
      </c>
      <c r="P472">
        <f t="shared" si="100"/>
        <v>1.5457228745223905E-3</v>
      </c>
      <c r="Q472" t="str">
        <f t="shared" si="94"/>
        <v>2011-11</v>
      </c>
      <c r="S472">
        <v>8237.6</v>
      </c>
      <c r="T472">
        <f t="shared" si="101"/>
        <v>-1.6207654092331963E-2</v>
      </c>
      <c r="U472" t="str">
        <f t="shared" si="95"/>
        <v>2011-11</v>
      </c>
      <c r="W472">
        <v>15297.6</v>
      </c>
      <c r="X472">
        <f t="shared" si="102"/>
        <v>-1.0847887978393764E-2</v>
      </c>
      <c r="Y472">
        <f t="shared" si="103"/>
        <v>-1.0789261823084581E-2</v>
      </c>
      <c r="Z472" t="str">
        <f t="shared" si="96"/>
        <v>2011-11</v>
      </c>
    </row>
    <row r="473" spans="1:26" x14ac:dyDescent="0.35">
      <c r="A473" s="1">
        <v>40863</v>
      </c>
      <c r="C473">
        <v>2267.96</v>
      </c>
      <c r="D473">
        <f t="shared" si="97"/>
        <v>6.1743334080896954E-3</v>
      </c>
      <c r="E473" t="str">
        <f t="shared" si="91"/>
        <v>2011-11</v>
      </c>
      <c r="G473">
        <v>3064.9</v>
      </c>
      <c r="H473">
        <f t="shared" si="98"/>
        <v>5.1586384011844191E-3</v>
      </c>
      <c r="I473" t="str">
        <f t="shared" si="92"/>
        <v>2011-11</v>
      </c>
      <c r="K473">
        <v>5913.36</v>
      </c>
      <c r="L473">
        <f t="shared" si="99"/>
        <v>-3.3393860433688972E-3</v>
      </c>
      <c r="M473" t="str">
        <f t="shared" si="93"/>
        <v>2011-11</v>
      </c>
      <c r="O473">
        <v>6424.4739200000004</v>
      </c>
      <c r="P473">
        <f t="shared" si="100"/>
        <v>-4.2784027558282521E-3</v>
      </c>
      <c r="Q473" t="str">
        <f t="shared" si="94"/>
        <v>2011-11</v>
      </c>
      <c r="S473">
        <v>8304.1</v>
      </c>
      <c r="T473">
        <f t="shared" si="101"/>
        <v>8.0403293798298348E-3</v>
      </c>
      <c r="U473" t="str">
        <f t="shared" si="95"/>
        <v>2011-11</v>
      </c>
      <c r="W473">
        <v>15419.2</v>
      </c>
      <c r="X473">
        <f t="shared" si="102"/>
        <v>7.9175327658413067E-3</v>
      </c>
      <c r="Y473">
        <f t="shared" si="103"/>
        <v>7.9489593138793255E-3</v>
      </c>
      <c r="Z473" t="str">
        <f t="shared" si="96"/>
        <v>2011-11</v>
      </c>
    </row>
    <row r="474" spans="1:26" x14ac:dyDescent="0.35">
      <c r="A474" s="1">
        <v>40864</v>
      </c>
      <c r="C474">
        <v>2242.7800000000002</v>
      </c>
      <c r="D474">
        <f t="shared" si="97"/>
        <v>-1.1164581222701935E-2</v>
      </c>
      <c r="E474" t="str">
        <f t="shared" si="91"/>
        <v>2011-11</v>
      </c>
      <c r="G474">
        <v>3010.29</v>
      </c>
      <c r="H474">
        <f t="shared" si="98"/>
        <v>-1.7978522793711569E-2</v>
      </c>
      <c r="I474" t="str">
        <f t="shared" si="92"/>
        <v>2011-11</v>
      </c>
      <c r="K474">
        <v>5850.17</v>
      </c>
      <c r="L474">
        <f t="shared" si="99"/>
        <v>-1.074347713542282E-2</v>
      </c>
      <c r="M474" t="str">
        <f t="shared" si="93"/>
        <v>2011-11</v>
      </c>
      <c r="O474">
        <v>6344.5746399999998</v>
      </c>
      <c r="P474">
        <f t="shared" si="100"/>
        <v>-1.2514686967197026E-2</v>
      </c>
      <c r="Q474" t="str">
        <f t="shared" si="94"/>
        <v>2011-11</v>
      </c>
      <c r="S474">
        <v>8270.6</v>
      </c>
      <c r="T474">
        <f t="shared" si="101"/>
        <v>-4.0423109457904073E-3</v>
      </c>
      <c r="U474" t="str">
        <f t="shared" si="95"/>
        <v>2011-11</v>
      </c>
      <c r="W474">
        <v>15198.31</v>
      </c>
      <c r="X474">
        <f t="shared" si="102"/>
        <v>-1.4429248654604153E-2</v>
      </c>
      <c r="Y474">
        <f t="shared" si="103"/>
        <v>-1.432564594790918E-2</v>
      </c>
      <c r="Z474" t="str">
        <f t="shared" si="96"/>
        <v>2011-11</v>
      </c>
    </row>
    <row r="475" spans="1:26" x14ac:dyDescent="0.35">
      <c r="A475" s="1">
        <v>40865</v>
      </c>
      <c r="C475">
        <v>2236.6799999999998</v>
      </c>
      <c r="D475">
        <f t="shared" si="97"/>
        <v>-2.7235442533969398E-3</v>
      </c>
      <c r="E475" t="str">
        <f t="shared" si="91"/>
        <v>2011-11</v>
      </c>
      <c r="G475">
        <v>2997.01</v>
      </c>
      <c r="H475">
        <f t="shared" si="98"/>
        <v>-4.4212946358405877E-3</v>
      </c>
      <c r="I475" t="str">
        <f t="shared" si="92"/>
        <v>2011-11</v>
      </c>
      <c r="K475">
        <v>5800.24</v>
      </c>
      <c r="L475">
        <f t="shared" si="99"/>
        <v>-8.5714246439779554E-3</v>
      </c>
      <c r="M475" t="str">
        <f t="shared" si="93"/>
        <v>2011-11</v>
      </c>
      <c r="O475">
        <v>6267.3458199999995</v>
      </c>
      <c r="P475">
        <f t="shared" si="100"/>
        <v>-1.2247109478576542E-2</v>
      </c>
      <c r="Q475" t="str">
        <f t="shared" si="94"/>
        <v>2011-11</v>
      </c>
      <c r="S475">
        <v>8310.1</v>
      </c>
      <c r="T475">
        <f t="shared" si="101"/>
        <v>4.7645846948532172E-3</v>
      </c>
      <c r="U475" t="str">
        <f t="shared" si="95"/>
        <v>2011-11</v>
      </c>
      <c r="W475">
        <v>15232.56</v>
      </c>
      <c r="X475">
        <f t="shared" si="102"/>
        <v>2.2510046188048195E-3</v>
      </c>
      <c r="Y475">
        <f t="shared" si="103"/>
        <v>2.2535400317535304E-3</v>
      </c>
      <c r="Z475" t="str">
        <f t="shared" si="96"/>
        <v>2011-11</v>
      </c>
    </row>
    <row r="476" spans="1:26" x14ac:dyDescent="0.35">
      <c r="A476" s="1">
        <v>40868</v>
      </c>
      <c r="C476">
        <v>2160.2800000000002</v>
      </c>
      <c r="D476">
        <f t="shared" si="97"/>
        <v>-3.4754780625066456E-2</v>
      </c>
      <c r="E476" t="str">
        <f t="shared" si="91"/>
        <v>2011-11</v>
      </c>
      <c r="G476">
        <v>2894.94</v>
      </c>
      <c r="H476">
        <f t="shared" si="98"/>
        <v>-3.4650739577379158E-2</v>
      </c>
      <c r="I476" t="str">
        <f t="shared" si="92"/>
        <v>2011-11</v>
      </c>
      <c r="K476">
        <v>5606</v>
      </c>
      <c r="L476">
        <f t="shared" si="99"/>
        <v>-3.4061843264021827E-2</v>
      </c>
      <c r="M476" t="str">
        <f t="shared" si="93"/>
        <v>2011-11</v>
      </c>
      <c r="O476">
        <v>6051.5964000000004</v>
      </c>
      <c r="P476">
        <f t="shared" si="100"/>
        <v>-3.5030845823136557E-2</v>
      </c>
      <c r="Q476" t="str">
        <f t="shared" si="94"/>
        <v>2011-11</v>
      </c>
      <c r="S476">
        <v>8021</v>
      </c>
      <c r="T476">
        <f t="shared" si="101"/>
        <v>-3.5408540104509188E-2</v>
      </c>
      <c r="U476" t="str">
        <f t="shared" si="95"/>
        <v>2011-11</v>
      </c>
      <c r="W476">
        <v>14509.94</v>
      </c>
      <c r="X476">
        <f t="shared" si="102"/>
        <v>-4.860131027079527E-2</v>
      </c>
      <c r="Y476">
        <f t="shared" si="103"/>
        <v>-4.7439169778421948E-2</v>
      </c>
      <c r="Z476" t="str">
        <f t="shared" si="96"/>
        <v>2011-11</v>
      </c>
    </row>
    <row r="477" spans="1:26" x14ac:dyDescent="0.35">
      <c r="A477" s="1">
        <v>40869</v>
      </c>
      <c r="C477">
        <v>2136.81</v>
      </c>
      <c r="D477">
        <f t="shared" si="97"/>
        <v>-1.0923780226675272E-2</v>
      </c>
      <c r="E477" t="str">
        <f t="shared" si="91"/>
        <v>2011-11</v>
      </c>
      <c r="G477">
        <v>2870.68</v>
      </c>
      <c r="H477">
        <f t="shared" si="98"/>
        <v>-8.4154499165240322E-3</v>
      </c>
      <c r="I477" t="str">
        <f t="shared" si="92"/>
        <v>2011-11</v>
      </c>
      <c r="K477">
        <v>5537.39</v>
      </c>
      <c r="L477">
        <f t="shared" si="99"/>
        <v>-1.2314182128464876E-2</v>
      </c>
      <c r="M477" t="str">
        <f t="shared" si="93"/>
        <v>2011-11</v>
      </c>
      <c r="O477">
        <v>6027.7740199999998</v>
      </c>
      <c r="P477">
        <f t="shared" si="100"/>
        <v>-3.9443133303513683E-3</v>
      </c>
      <c r="Q477" t="str">
        <f t="shared" si="94"/>
        <v>2011-11</v>
      </c>
      <c r="S477">
        <v>7904.9</v>
      </c>
      <c r="T477">
        <f t="shared" si="101"/>
        <v>-1.4580282024745749E-2</v>
      </c>
      <c r="U477" t="str">
        <f t="shared" si="95"/>
        <v>2011-11</v>
      </c>
      <c r="W477">
        <v>14286.06</v>
      </c>
      <c r="X477">
        <f t="shared" si="102"/>
        <v>-1.5549695168328563E-2</v>
      </c>
      <c r="Y477">
        <f t="shared" si="103"/>
        <v>-1.5429422864601854E-2</v>
      </c>
      <c r="Z477" t="str">
        <f t="shared" si="96"/>
        <v>2011-11</v>
      </c>
    </row>
    <row r="478" spans="1:26" x14ac:dyDescent="0.35">
      <c r="A478" s="1">
        <v>40870</v>
      </c>
      <c r="C478">
        <v>2096.79</v>
      </c>
      <c r="D478">
        <f t="shared" si="97"/>
        <v>-1.8906458854218468E-2</v>
      </c>
      <c r="E478" t="str">
        <f t="shared" si="91"/>
        <v>2011-11</v>
      </c>
      <c r="G478">
        <v>2822.43</v>
      </c>
      <c r="H478">
        <f t="shared" si="98"/>
        <v>-1.695071947951397E-2</v>
      </c>
      <c r="I478" t="str">
        <f t="shared" si="92"/>
        <v>2011-11</v>
      </c>
      <c r="K478">
        <v>5457.77</v>
      </c>
      <c r="L478">
        <f t="shared" si="99"/>
        <v>-1.4482989193912594E-2</v>
      </c>
      <c r="M478" t="str">
        <f t="shared" si="93"/>
        <v>2011-11</v>
      </c>
      <c r="O478">
        <v>5971.28287</v>
      </c>
      <c r="P478">
        <f t="shared" si="100"/>
        <v>-9.4160012570641723E-3</v>
      </c>
      <c r="Q478" t="str">
        <f t="shared" si="94"/>
        <v>2011-11</v>
      </c>
      <c r="S478">
        <v>7739.3</v>
      </c>
      <c r="T478">
        <f t="shared" si="101"/>
        <v>-2.1171576124769678E-2</v>
      </c>
      <c r="U478" t="str">
        <f t="shared" si="95"/>
        <v>2011-11</v>
      </c>
      <c r="W478">
        <v>13915.78</v>
      </c>
      <c r="X478">
        <f t="shared" si="102"/>
        <v>-2.6260788615790492E-2</v>
      </c>
      <c r="Y478">
        <f t="shared" si="103"/>
        <v>-2.5918972760859107E-2</v>
      </c>
      <c r="Z478" t="str">
        <f t="shared" si="96"/>
        <v>2011-11</v>
      </c>
    </row>
    <row r="479" spans="1:26" x14ac:dyDescent="0.35">
      <c r="A479" s="1">
        <v>40871</v>
      </c>
      <c r="C479">
        <v>2090.25</v>
      </c>
      <c r="D479">
        <f t="shared" si="97"/>
        <v>-3.123927795585076E-3</v>
      </c>
      <c r="E479" t="str">
        <f t="shared" si="91"/>
        <v>2011-11</v>
      </c>
      <c r="G479">
        <v>2822.25</v>
      </c>
      <c r="H479">
        <f t="shared" si="98"/>
        <v>-6.3776866026310662E-5</v>
      </c>
      <c r="I479" t="str">
        <f t="shared" si="92"/>
        <v>2011-11</v>
      </c>
      <c r="K479">
        <v>5428.11</v>
      </c>
      <c r="L479">
        <f t="shared" si="99"/>
        <v>-5.4492743618514E-3</v>
      </c>
      <c r="M479" t="str">
        <f t="shared" si="93"/>
        <v>2011-11</v>
      </c>
      <c r="O479">
        <v>5954.7462100000002</v>
      </c>
      <c r="P479">
        <f t="shared" si="100"/>
        <v>-2.773206485954742E-3</v>
      </c>
      <c r="Q479" t="str">
        <f t="shared" si="94"/>
        <v>2011-11</v>
      </c>
      <c r="S479">
        <v>7721.8</v>
      </c>
      <c r="T479">
        <f t="shared" si="101"/>
        <v>-2.2637467545389054E-3</v>
      </c>
      <c r="U479" t="str">
        <f t="shared" si="95"/>
        <v>2011-11</v>
      </c>
      <c r="W479">
        <v>13920.58</v>
      </c>
      <c r="X479">
        <f t="shared" si="102"/>
        <v>3.4487268073647378E-4</v>
      </c>
      <c r="Y479">
        <f t="shared" si="103"/>
        <v>3.4493215615648368E-4</v>
      </c>
      <c r="Z479" t="str">
        <f t="shared" si="96"/>
        <v>2011-11</v>
      </c>
    </row>
    <row r="480" spans="1:26" x14ac:dyDescent="0.35">
      <c r="A480" s="1">
        <v>40872</v>
      </c>
      <c r="C480">
        <v>2111.2600000000002</v>
      </c>
      <c r="D480">
        <f t="shared" si="97"/>
        <v>1.0001249611116718E-2</v>
      </c>
      <c r="E480" t="str">
        <f t="shared" si="91"/>
        <v>2011-11</v>
      </c>
      <c r="G480">
        <v>2856.97</v>
      </c>
      <c r="H480">
        <f t="shared" si="98"/>
        <v>1.2227183508959615E-2</v>
      </c>
      <c r="I480" t="str">
        <f t="shared" si="92"/>
        <v>2011-11</v>
      </c>
      <c r="K480">
        <v>5492.87</v>
      </c>
      <c r="L480">
        <f t="shared" si="99"/>
        <v>1.1859880537443105E-2</v>
      </c>
      <c r="M480" t="str">
        <f t="shared" si="93"/>
        <v>2011-11</v>
      </c>
      <c r="O480">
        <v>6020.8094099999998</v>
      </c>
      <c r="P480">
        <f t="shared" si="100"/>
        <v>1.1033119840043565E-2</v>
      </c>
      <c r="Q480" t="str">
        <f t="shared" si="94"/>
        <v>2011-11</v>
      </c>
      <c r="S480">
        <v>7763.5</v>
      </c>
      <c r="T480">
        <f t="shared" si="101"/>
        <v>5.3857659583541823E-3</v>
      </c>
      <c r="U480" t="str">
        <f t="shared" si="95"/>
        <v>2011-11</v>
      </c>
      <c r="W480">
        <v>13937.4</v>
      </c>
      <c r="X480">
        <f t="shared" si="102"/>
        <v>1.2075536017966194E-3</v>
      </c>
      <c r="Y480">
        <f t="shared" si="103"/>
        <v>1.2082829882088038E-3</v>
      </c>
      <c r="Z480" t="str">
        <f t="shared" si="96"/>
        <v>2011-11</v>
      </c>
    </row>
    <row r="481" spans="1:26" x14ac:dyDescent="0.35">
      <c r="A481" s="1">
        <v>40875</v>
      </c>
      <c r="C481">
        <v>2221.7600000000002</v>
      </c>
      <c r="D481">
        <f t="shared" si="97"/>
        <v>5.101474892362455E-2</v>
      </c>
      <c r="E481" t="str">
        <f t="shared" si="91"/>
        <v>2011-11</v>
      </c>
      <c r="G481">
        <v>3012.93</v>
      </c>
      <c r="H481">
        <f t="shared" si="98"/>
        <v>5.3151404551323091E-2</v>
      </c>
      <c r="I481" t="str">
        <f t="shared" si="92"/>
        <v>2011-11</v>
      </c>
      <c r="K481">
        <v>5745.33</v>
      </c>
      <c r="L481">
        <f t="shared" si="99"/>
        <v>4.4936463308486149E-2</v>
      </c>
      <c r="M481" t="str">
        <f t="shared" si="93"/>
        <v>2011-11</v>
      </c>
      <c r="O481">
        <v>6189.5070699999997</v>
      </c>
      <c r="P481">
        <f t="shared" si="100"/>
        <v>2.763374647508202E-2</v>
      </c>
      <c r="Q481" t="str">
        <f t="shared" si="94"/>
        <v>2011-11</v>
      </c>
      <c r="S481">
        <v>8119.9</v>
      </c>
      <c r="T481">
        <f t="shared" si="101"/>
        <v>4.4884575387729504E-2</v>
      </c>
      <c r="U481" t="str">
        <f t="shared" si="95"/>
        <v>2011-11</v>
      </c>
      <c r="W481">
        <v>14578.23</v>
      </c>
      <c r="X481">
        <f t="shared" si="102"/>
        <v>4.4953445727375412E-2</v>
      </c>
      <c r="Y481">
        <f t="shared" si="103"/>
        <v>4.5979163976064399E-2</v>
      </c>
      <c r="Z481" t="str">
        <f t="shared" si="96"/>
        <v>2011-11</v>
      </c>
    </row>
    <row r="482" spans="1:26" x14ac:dyDescent="0.35">
      <c r="A482" s="1">
        <v>40876</v>
      </c>
      <c r="C482">
        <v>2234.17</v>
      </c>
      <c r="D482">
        <f t="shared" si="97"/>
        <v>5.57011985658725E-3</v>
      </c>
      <c r="E482" t="str">
        <f t="shared" si="91"/>
        <v>2011-11</v>
      </c>
      <c r="G482">
        <v>3026.76</v>
      </c>
      <c r="H482">
        <f t="shared" si="98"/>
        <v>4.5797132542451137E-3</v>
      </c>
      <c r="I482" t="str">
        <f t="shared" si="92"/>
        <v>2011-11</v>
      </c>
      <c r="K482">
        <v>5799.91</v>
      </c>
      <c r="L482">
        <f t="shared" si="99"/>
        <v>9.4550492863037013E-3</v>
      </c>
      <c r="M482" t="str">
        <f t="shared" si="93"/>
        <v>2011-11</v>
      </c>
      <c r="O482">
        <v>6247.8533399999997</v>
      </c>
      <c r="P482">
        <f t="shared" si="100"/>
        <v>9.3824889043677244E-3</v>
      </c>
      <c r="Q482" t="str">
        <f t="shared" si="94"/>
        <v>2011-11</v>
      </c>
      <c r="S482">
        <v>8128</v>
      </c>
      <c r="T482">
        <f t="shared" si="101"/>
        <v>9.9705200930917432E-4</v>
      </c>
      <c r="U482" t="str">
        <f t="shared" si="95"/>
        <v>2011-11</v>
      </c>
      <c r="W482">
        <v>14627.37</v>
      </c>
      <c r="X482">
        <f t="shared" si="102"/>
        <v>3.3651112369999987E-3</v>
      </c>
      <c r="Y482">
        <f t="shared" si="103"/>
        <v>3.370779580237192E-3</v>
      </c>
      <c r="Z482" t="str">
        <f t="shared" si="96"/>
        <v>2011-11</v>
      </c>
    </row>
    <row r="483" spans="1:26" x14ac:dyDescent="0.35">
      <c r="A483" s="1">
        <v>40877</v>
      </c>
      <c r="C483">
        <v>2330.4299999999998</v>
      </c>
      <c r="D483">
        <f t="shared" si="97"/>
        <v>4.2183005467335805E-2</v>
      </c>
      <c r="E483" t="str">
        <f t="shared" si="91"/>
        <v>2011-11</v>
      </c>
      <c r="G483">
        <v>3154.62</v>
      </c>
      <c r="H483">
        <f t="shared" si="98"/>
        <v>4.1375304525104593E-2</v>
      </c>
      <c r="I483" t="str">
        <f t="shared" si="92"/>
        <v>2011-11</v>
      </c>
      <c r="K483">
        <v>6088.84</v>
      </c>
      <c r="L483">
        <f t="shared" si="99"/>
        <v>4.8615187197835398E-2</v>
      </c>
      <c r="M483" t="str">
        <f t="shared" si="93"/>
        <v>2011-11</v>
      </c>
      <c r="O483">
        <v>6432.2694099999999</v>
      </c>
      <c r="P483">
        <f t="shared" si="100"/>
        <v>2.9089477732069314E-2</v>
      </c>
      <c r="Q483" t="str">
        <f t="shared" si="94"/>
        <v>2011-11</v>
      </c>
      <c r="S483">
        <v>8449.5</v>
      </c>
      <c r="T483">
        <f t="shared" si="101"/>
        <v>3.8792377184615326E-2</v>
      </c>
      <c r="U483" t="str">
        <f t="shared" si="95"/>
        <v>2011-11</v>
      </c>
      <c r="W483">
        <v>15268.66</v>
      </c>
      <c r="X483">
        <f t="shared" si="102"/>
        <v>4.2907930343319828E-2</v>
      </c>
      <c r="Y483">
        <f t="shared" si="103"/>
        <v>4.3841784271540202E-2</v>
      </c>
      <c r="Z483" t="str">
        <f t="shared" si="96"/>
        <v>2011-11</v>
      </c>
    </row>
    <row r="484" spans="1:26" x14ac:dyDescent="0.35">
      <c r="A484" s="1">
        <v>40878</v>
      </c>
      <c r="C484">
        <v>2313.84</v>
      </c>
      <c r="D484">
        <f t="shared" si="97"/>
        <v>-7.1443178645970483E-3</v>
      </c>
      <c r="E484" t="str">
        <f t="shared" si="91"/>
        <v>2011-12</v>
      </c>
      <c r="G484">
        <v>3129.95</v>
      </c>
      <c r="H484">
        <f t="shared" si="98"/>
        <v>-7.8510150155771414E-3</v>
      </c>
      <c r="I484" t="str">
        <f t="shared" si="92"/>
        <v>2011-12</v>
      </c>
      <c r="K484">
        <v>6035.88</v>
      </c>
      <c r="L484">
        <f t="shared" si="99"/>
        <v>-8.7359273961633704E-3</v>
      </c>
      <c r="M484" t="str">
        <f t="shared" si="93"/>
        <v>2011-12</v>
      </c>
      <c r="O484">
        <v>6405.99935</v>
      </c>
      <c r="P484">
        <f t="shared" si="100"/>
        <v>-4.0924671629737428E-3</v>
      </c>
      <c r="Q484" t="str">
        <f t="shared" si="94"/>
        <v>2011-12</v>
      </c>
      <c r="S484">
        <v>8421</v>
      </c>
      <c r="T484">
        <f t="shared" si="101"/>
        <v>-3.378681972886142E-3</v>
      </c>
      <c r="U484" t="str">
        <f t="shared" si="95"/>
        <v>2011-12</v>
      </c>
      <c r="W484">
        <v>15244.62</v>
      </c>
      <c r="X484">
        <f t="shared" si="102"/>
        <v>-1.5757076901588263E-3</v>
      </c>
      <c r="Y484">
        <f t="shared" si="103"/>
        <v>-1.5744669145818333E-3</v>
      </c>
      <c r="Z484" t="str">
        <f t="shared" si="96"/>
        <v>2011-12</v>
      </c>
    </row>
    <row r="485" spans="1:26" x14ac:dyDescent="0.35">
      <c r="A485" s="1">
        <v>40879</v>
      </c>
      <c r="C485">
        <v>2342.5</v>
      </c>
      <c r="D485">
        <f t="shared" si="97"/>
        <v>1.2310253088342448E-2</v>
      </c>
      <c r="E485" t="str">
        <f t="shared" si="91"/>
        <v>2011-12</v>
      </c>
      <c r="G485">
        <v>3164.95</v>
      </c>
      <c r="H485">
        <f t="shared" si="98"/>
        <v>1.1120227699468917E-2</v>
      </c>
      <c r="I485" t="str">
        <f t="shared" si="92"/>
        <v>2011-12</v>
      </c>
      <c r="K485">
        <v>6080.68</v>
      </c>
      <c r="L485">
        <f t="shared" si="99"/>
        <v>7.394871837204121E-3</v>
      </c>
      <c r="M485" t="str">
        <f t="shared" si="93"/>
        <v>2011-12</v>
      </c>
      <c r="O485">
        <v>6462.6781799999999</v>
      </c>
      <c r="P485">
        <f t="shared" si="100"/>
        <v>8.8088611081848216E-3</v>
      </c>
      <c r="Q485" t="str">
        <f t="shared" si="94"/>
        <v>2011-12</v>
      </c>
      <c r="S485">
        <v>8558.6</v>
      </c>
      <c r="T485">
        <f t="shared" si="101"/>
        <v>1.620803932793758E-2</v>
      </c>
      <c r="U485" t="str">
        <f t="shared" si="95"/>
        <v>2011-12</v>
      </c>
      <c r="W485">
        <v>15476.09</v>
      </c>
      <c r="X485">
        <f t="shared" si="102"/>
        <v>1.5069598353305205E-2</v>
      </c>
      <c r="Y485">
        <f t="shared" si="103"/>
        <v>1.5183717272060526E-2</v>
      </c>
      <c r="Z485" t="str">
        <f t="shared" si="96"/>
        <v>2011-12</v>
      </c>
    </row>
    <row r="486" spans="1:26" x14ac:dyDescent="0.35">
      <c r="A486" s="1">
        <v>40882</v>
      </c>
      <c r="C486">
        <v>2369.39</v>
      </c>
      <c r="D486">
        <f t="shared" si="97"/>
        <v>1.1413802921417153E-2</v>
      </c>
      <c r="E486" t="str">
        <f t="shared" si="91"/>
        <v>2011-12</v>
      </c>
      <c r="G486">
        <v>3201.28</v>
      </c>
      <c r="H486">
        <f t="shared" si="98"/>
        <v>1.1413472143964321E-2</v>
      </c>
      <c r="I486" t="str">
        <f t="shared" si="92"/>
        <v>2011-12</v>
      </c>
      <c r="K486">
        <v>6106.09</v>
      </c>
      <c r="L486">
        <f t="shared" si="99"/>
        <v>4.1701019749754917E-3</v>
      </c>
      <c r="M486" t="str">
        <f t="shared" si="93"/>
        <v>2011-12</v>
      </c>
      <c r="O486">
        <v>6486.4333299999998</v>
      </c>
      <c r="P486">
        <f t="shared" si="100"/>
        <v>3.6690048780829211E-3</v>
      </c>
      <c r="Q486" t="str">
        <f t="shared" si="94"/>
        <v>2011-12</v>
      </c>
      <c r="S486">
        <v>8705.7999999999993</v>
      </c>
      <c r="T486">
        <f t="shared" si="101"/>
        <v>1.705284482790587E-2</v>
      </c>
      <c r="U486" t="str">
        <f t="shared" si="95"/>
        <v>2011-12</v>
      </c>
      <c r="W486">
        <v>15926.47</v>
      </c>
      <c r="X486">
        <f t="shared" si="102"/>
        <v>2.8686252612894793E-2</v>
      </c>
      <c r="Y486">
        <f t="shared" si="103"/>
        <v>2.9101665860045992E-2</v>
      </c>
      <c r="Z486" t="str">
        <f t="shared" si="96"/>
        <v>2011-12</v>
      </c>
    </row>
    <row r="487" spans="1:26" x14ac:dyDescent="0.35">
      <c r="A487" s="1">
        <v>40883</v>
      </c>
      <c r="C487">
        <v>2356.71</v>
      </c>
      <c r="D487">
        <f t="shared" si="97"/>
        <v>-5.3659594274935432E-3</v>
      </c>
      <c r="E487" t="str">
        <f t="shared" si="91"/>
        <v>2011-12</v>
      </c>
      <c r="G487">
        <v>3179.63</v>
      </c>
      <c r="H487">
        <f t="shared" si="98"/>
        <v>-6.7858920056227141E-3</v>
      </c>
      <c r="I487" t="str">
        <f t="shared" si="92"/>
        <v>2011-12</v>
      </c>
      <c r="K487">
        <v>6028.82</v>
      </c>
      <c r="L487">
        <f t="shared" si="99"/>
        <v>-1.2735330440336401E-2</v>
      </c>
      <c r="M487" t="str">
        <f t="shared" si="93"/>
        <v>2011-12</v>
      </c>
      <c r="O487">
        <v>6474.4631399999998</v>
      </c>
      <c r="P487">
        <f t="shared" si="100"/>
        <v>-1.847124299017305E-3</v>
      </c>
      <c r="Q487" t="str">
        <f t="shared" si="94"/>
        <v>2011-12</v>
      </c>
      <c r="S487">
        <v>8712.7999999999993</v>
      </c>
      <c r="T487">
        <f t="shared" si="101"/>
        <v>8.0373857564099973E-4</v>
      </c>
      <c r="U487" t="str">
        <f t="shared" si="95"/>
        <v>2011-12</v>
      </c>
      <c r="W487">
        <v>15848.21</v>
      </c>
      <c r="X487">
        <f t="shared" si="102"/>
        <v>-4.9259446985920547E-3</v>
      </c>
      <c r="Y487">
        <f t="shared" si="103"/>
        <v>-4.9138321297814407E-3</v>
      </c>
      <c r="Z487" t="str">
        <f t="shared" si="96"/>
        <v>2011-12</v>
      </c>
    </row>
    <row r="488" spans="1:26" x14ac:dyDescent="0.35">
      <c r="A488" s="1">
        <v>40884</v>
      </c>
      <c r="C488">
        <v>2344.92</v>
      </c>
      <c r="D488">
        <f t="shared" si="97"/>
        <v>-5.0152924466483921E-3</v>
      </c>
      <c r="E488" t="str">
        <f t="shared" si="91"/>
        <v>2011-12</v>
      </c>
      <c r="G488">
        <v>3175.98</v>
      </c>
      <c r="H488">
        <f t="shared" si="98"/>
        <v>-1.1485916855426535E-3</v>
      </c>
      <c r="I488" t="str">
        <f t="shared" si="92"/>
        <v>2011-12</v>
      </c>
      <c r="K488">
        <v>5994.73</v>
      </c>
      <c r="L488">
        <f t="shared" si="99"/>
        <v>-5.6705534301346233E-3</v>
      </c>
      <c r="M488" t="str">
        <f t="shared" si="93"/>
        <v>2011-12</v>
      </c>
      <c r="O488">
        <v>6488.1988099999999</v>
      </c>
      <c r="P488">
        <f t="shared" si="100"/>
        <v>2.1192676618265595E-3</v>
      </c>
      <c r="Q488" t="str">
        <f t="shared" si="94"/>
        <v>2011-12</v>
      </c>
      <c r="S488">
        <v>8644.2999999999993</v>
      </c>
      <c r="T488">
        <f t="shared" si="101"/>
        <v>-7.893064582386684E-3</v>
      </c>
      <c r="U488" t="str">
        <f t="shared" si="95"/>
        <v>2011-12</v>
      </c>
      <c r="W488">
        <v>15650.93</v>
      </c>
      <c r="X488">
        <f t="shared" si="102"/>
        <v>-1.2526220051150351E-2</v>
      </c>
      <c r="Y488">
        <f t="shared" si="103"/>
        <v>-1.2448093507090002E-2</v>
      </c>
      <c r="Z488" t="str">
        <f t="shared" si="96"/>
        <v>2011-12</v>
      </c>
    </row>
    <row r="489" spans="1:26" x14ac:dyDescent="0.35">
      <c r="A489" s="1">
        <v>40885</v>
      </c>
      <c r="C489">
        <v>2288.0500000000002</v>
      </c>
      <c r="D489">
        <f t="shared" si="97"/>
        <v>-2.4551359752087276E-2</v>
      </c>
      <c r="E489" t="str">
        <f t="shared" si="91"/>
        <v>2011-12</v>
      </c>
      <c r="G489">
        <v>3095.49</v>
      </c>
      <c r="H489">
        <f t="shared" si="98"/>
        <v>-2.5670032659792022E-2</v>
      </c>
      <c r="I489" t="str">
        <f t="shared" si="92"/>
        <v>2011-12</v>
      </c>
      <c r="K489">
        <v>5874.44</v>
      </c>
      <c r="L489">
        <f t="shared" si="99"/>
        <v>-2.0270013595853748E-2</v>
      </c>
      <c r="M489" t="str">
        <f t="shared" si="93"/>
        <v>2011-12</v>
      </c>
      <c r="O489">
        <v>6426.45363</v>
      </c>
      <c r="P489">
        <f t="shared" si="100"/>
        <v>-9.5621079627307461E-3</v>
      </c>
      <c r="Q489" t="str">
        <f t="shared" si="94"/>
        <v>2011-12</v>
      </c>
      <c r="S489">
        <v>8461.2000000000007</v>
      </c>
      <c r="T489">
        <f t="shared" si="101"/>
        <v>-2.1409136666094654E-2</v>
      </c>
      <c r="U489" t="str">
        <f t="shared" si="95"/>
        <v>2011-12</v>
      </c>
      <c r="W489">
        <v>14979.07</v>
      </c>
      <c r="X489">
        <f t="shared" si="102"/>
        <v>-4.3876446755877395E-2</v>
      </c>
      <c r="Y489">
        <f t="shared" si="103"/>
        <v>-4.2927800456586319E-2</v>
      </c>
      <c r="Z489" t="str">
        <f t="shared" si="96"/>
        <v>2011-12</v>
      </c>
    </row>
    <row r="490" spans="1:26" x14ac:dyDescent="0.35">
      <c r="A490" s="1">
        <v>40886</v>
      </c>
      <c r="C490">
        <v>2342.59</v>
      </c>
      <c r="D490">
        <f t="shared" si="97"/>
        <v>2.3557228457692505E-2</v>
      </c>
      <c r="E490" t="str">
        <f t="shared" si="91"/>
        <v>2011-12</v>
      </c>
      <c r="G490">
        <v>3172.35</v>
      </c>
      <c r="H490">
        <f t="shared" si="98"/>
        <v>2.4526424688680989E-2</v>
      </c>
      <c r="I490" t="str">
        <f t="shared" si="92"/>
        <v>2011-12</v>
      </c>
      <c r="K490">
        <v>5986.71</v>
      </c>
      <c r="L490">
        <f t="shared" si="99"/>
        <v>1.8931276148969452E-2</v>
      </c>
      <c r="M490" t="str">
        <f t="shared" si="93"/>
        <v>2011-12</v>
      </c>
      <c r="O490">
        <v>6468.8035</v>
      </c>
      <c r="P490">
        <f t="shared" si="100"/>
        <v>6.5683098569098014E-3</v>
      </c>
      <c r="Q490" t="str">
        <f t="shared" si="94"/>
        <v>2011-12</v>
      </c>
      <c r="S490">
        <v>8649.7000000000007</v>
      </c>
      <c r="T490">
        <f t="shared" si="101"/>
        <v>2.2033630730567754E-2</v>
      </c>
      <c r="U490" t="str">
        <f t="shared" si="95"/>
        <v>2011-12</v>
      </c>
      <c r="W490">
        <v>15483.91</v>
      </c>
      <c r="X490">
        <f t="shared" si="102"/>
        <v>3.3147526862124514E-2</v>
      </c>
      <c r="Y490">
        <f t="shared" si="103"/>
        <v>3.3703026956947268E-2</v>
      </c>
      <c r="Z490" t="str">
        <f t="shared" si="96"/>
        <v>2011-12</v>
      </c>
    </row>
    <row r="491" spans="1:26" x14ac:dyDescent="0.35">
      <c r="A491" s="1">
        <v>40889</v>
      </c>
      <c r="C491">
        <v>2269.46</v>
      </c>
      <c r="D491">
        <f t="shared" si="97"/>
        <v>-3.1715237151799053E-2</v>
      </c>
      <c r="E491" t="str">
        <f t="shared" si="91"/>
        <v>2011-12</v>
      </c>
      <c r="G491">
        <v>3089.59</v>
      </c>
      <c r="H491">
        <f t="shared" si="98"/>
        <v>-2.6434242142796986E-2</v>
      </c>
      <c r="I491" t="str">
        <f t="shared" si="92"/>
        <v>2011-12</v>
      </c>
      <c r="K491">
        <v>5785.43</v>
      </c>
      <c r="L491">
        <f t="shared" si="99"/>
        <v>-3.4199324439589118E-2</v>
      </c>
      <c r="M491" t="str">
        <f t="shared" si="93"/>
        <v>2011-12</v>
      </c>
      <c r="O491">
        <v>6409.5861000000004</v>
      </c>
      <c r="P491">
        <f t="shared" si="100"/>
        <v>-9.1964630978990398E-3</v>
      </c>
      <c r="Q491" t="str">
        <f t="shared" si="94"/>
        <v>2011-12</v>
      </c>
      <c r="S491">
        <v>8381</v>
      </c>
      <c r="T491">
        <f t="shared" si="101"/>
        <v>-3.1557399144656773E-2</v>
      </c>
      <c r="U491" t="str">
        <f t="shared" si="95"/>
        <v>2011-12</v>
      </c>
      <c r="W491">
        <v>14896.73</v>
      </c>
      <c r="X491">
        <f t="shared" si="102"/>
        <v>-3.8659694468328565E-2</v>
      </c>
      <c r="Y491">
        <f t="shared" si="103"/>
        <v>-3.7921946071760963E-2</v>
      </c>
      <c r="Z491" t="str">
        <f t="shared" si="96"/>
        <v>2011-12</v>
      </c>
    </row>
    <row r="492" spans="1:26" x14ac:dyDescent="0.35">
      <c r="A492" s="1">
        <v>40890</v>
      </c>
      <c r="C492">
        <v>2260.98</v>
      </c>
      <c r="D492">
        <f t="shared" si="97"/>
        <v>-3.743570118332192E-3</v>
      </c>
      <c r="E492" t="str">
        <f t="shared" si="91"/>
        <v>2011-12</v>
      </c>
      <c r="G492">
        <v>3078.72</v>
      </c>
      <c r="H492">
        <f t="shared" si="98"/>
        <v>-3.5244698311718546E-3</v>
      </c>
      <c r="I492" t="str">
        <f t="shared" si="92"/>
        <v>2011-12</v>
      </c>
      <c r="K492">
        <v>5774.26</v>
      </c>
      <c r="L492">
        <f t="shared" si="99"/>
        <v>-1.9325783782317683E-3</v>
      </c>
      <c r="M492" t="str">
        <f t="shared" si="93"/>
        <v>2011-12</v>
      </c>
      <c r="O492">
        <v>6515.3305</v>
      </c>
      <c r="P492">
        <f t="shared" si="100"/>
        <v>1.6363240511911105E-2</v>
      </c>
      <c r="Q492" t="str">
        <f t="shared" si="94"/>
        <v>2011-12</v>
      </c>
      <c r="S492">
        <v>8327.7999999999993</v>
      </c>
      <c r="T492">
        <f t="shared" si="101"/>
        <v>-6.3679234623117958E-3</v>
      </c>
      <c r="U492" t="str">
        <f t="shared" si="95"/>
        <v>2011-12</v>
      </c>
      <c r="W492">
        <v>14851.25</v>
      </c>
      <c r="X492">
        <f t="shared" si="102"/>
        <v>-3.0576889882576509E-3</v>
      </c>
      <c r="Y492">
        <f t="shared" si="103"/>
        <v>-3.0530190182677381E-3</v>
      </c>
      <c r="Z492" t="str">
        <f t="shared" si="96"/>
        <v>2011-12</v>
      </c>
    </row>
    <row r="493" spans="1:26" x14ac:dyDescent="0.35">
      <c r="A493" s="1">
        <v>40891</v>
      </c>
      <c r="C493">
        <v>2205.91</v>
      </c>
      <c r="D493">
        <f t="shared" si="97"/>
        <v>-2.4658225438248565E-2</v>
      </c>
      <c r="E493" t="str">
        <f t="shared" si="91"/>
        <v>2011-12</v>
      </c>
      <c r="G493">
        <v>2976.17</v>
      </c>
      <c r="H493">
        <f t="shared" si="98"/>
        <v>-3.3876687195497107E-2</v>
      </c>
      <c r="I493" t="str">
        <f t="shared" si="92"/>
        <v>2011-12</v>
      </c>
      <c r="K493">
        <v>5675.14</v>
      </c>
      <c r="L493">
        <f t="shared" si="99"/>
        <v>-1.731487700257521E-2</v>
      </c>
      <c r="M493" t="str">
        <f t="shared" si="93"/>
        <v>2011-12</v>
      </c>
      <c r="O493">
        <v>6389.0279499999997</v>
      </c>
      <c r="P493">
        <f t="shared" si="100"/>
        <v>-1.9575802059690731E-2</v>
      </c>
      <c r="Q493" t="str">
        <f t="shared" si="94"/>
        <v>2011-12</v>
      </c>
      <c r="S493">
        <v>8182</v>
      </c>
      <c r="T493">
        <f t="shared" si="101"/>
        <v>-1.7662696147250592E-2</v>
      </c>
      <c r="U493" t="str">
        <f t="shared" si="95"/>
        <v>2011-12</v>
      </c>
      <c r="W493">
        <v>14430.02</v>
      </c>
      <c r="X493">
        <f t="shared" si="102"/>
        <v>-2.877327800415504E-2</v>
      </c>
      <c r="Y493">
        <f t="shared" si="103"/>
        <v>-2.8363269085093817E-2</v>
      </c>
      <c r="Z493" t="str">
        <f t="shared" si="96"/>
        <v>2011-12</v>
      </c>
    </row>
    <row r="494" spans="1:26" x14ac:dyDescent="0.35">
      <c r="A494" s="1">
        <v>40892</v>
      </c>
      <c r="C494">
        <v>2224.89</v>
      </c>
      <c r="D494">
        <f t="shared" si="97"/>
        <v>8.5673540189073211E-3</v>
      </c>
      <c r="E494" t="str">
        <f t="shared" si="91"/>
        <v>2011-12</v>
      </c>
      <c r="G494">
        <v>2998.73</v>
      </c>
      <c r="H494">
        <f t="shared" si="98"/>
        <v>7.5516267086585334E-3</v>
      </c>
      <c r="I494" t="str">
        <f t="shared" si="92"/>
        <v>2011-12</v>
      </c>
      <c r="K494">
        <v>5730.62</v>
      </c>
      <c r="L494">
        <f t="shared" si="99"/>
        <v>9.7284946497659293E-3</v>
      </c>
      <c r="M494" t="str">
        <f t="shared" si="93"/>
        <v>2011-12</v>
      </c>
      <c r="O494">
        <v>6433.0235199999997</v>
      </c>
      <c r="P494">
        <f t="shared" si="100"/>
        <v>6.8625122530025081E-3</v>
      </c>
      <c r="Q494" t="str">
        <f t="shared" si="94"/>
        <v>2011-12</v>
      </c>
      <c r="S494">
        <v>8250.4</v>
      </c>
      <c r="T494">
        <f t="shared" si="101"/>
        <v>8.3250645125154121E-3</v>
      </c>
      <c r="U494" t="str">
        <f t="shared" si="95"/>
        <v>2011-12</v>
      </c>
      <c r="W494">
        <v>14627.69</v>
      </c>
      <c r="X494">
        <f t="shared" si="102"/>
        <v>1.3605549042299672E-2</v>
      </c>
      <c r="Y494">
        <f t="shared" si="103"/>
        <v>1.369852571236908E-2</v>
      </c>
      <c r="Z494" t="str">
        <f t="shared" si="96"/>
        <v>2011-12</v>
      </c>
    </row>
    <row r="495" spans="1:26" x14ac:dyDescent="0.35">
      <c r="A495" s="1">
        <v>40893</v>
      </c>
      <c r="C495">
        <v>2202.7199999999998</v>
      </c>
      <c r="D495">
        <f t="shared" si="97"/>
        <v>-1.001451586135213E-2</v>
      </c>
      <c r="E495" t="str">
        <f t="shared" si="91"/>
        <v>2011-12</v>
      </c>
      <c r="G495">
        <v>2972.3</v>
      </c>
      <c r="H495">
        <f t="shared" si="98"/>
        <v>-8.8528018162107539E-3</v>
      </c>
      <c r="I495" t="str">
        <f t="shared" si="92"/>
        <v>2011-12</v>
      </c>
      <c r="K495">
        <v>5701.78</v>
      </c>
      <c r="L495">
        <f t="shared" si="99"/>
        <v>-5.0453205236778119E-3</v>
      </c>
      <c r="M495" t="str">
        <f t="shared" si="93"/>
        <v>2011-12</v>
      </c>
      <c r="O495">
        <v>6417.0290999999997</v>
      </c>
      <c r="P495">
        <f t="shared" si="100"/>
        <v>-2.4893949827110673E-3</v>
      </c>
      <c r="Q495" t="str">
        <f t="shared" si="94"/>
        <v>2011-12</v>
      </c>
      <c r="S495">
        <v>8203.4</v>
      </c>
      <c r="T495">
        <f t="shared" si="101"/>
        <v>-5.7129815401568062E-3</v>
      </c>
      <c r="U495" t="str">
        <f t="shared" si="95"/>
        <v>2011-12</v>
      </c>
      <c r="W495">
        <v>14572.22</v>
      </c>
      <c r="X495">
        <f t="shared" si="102"/>
        <v>-3.7993313489936963E-3</v>
      </c>
      <c r="Y495">
        <f t="shared" si="103"/>
        <v>-3.7921230214751039E-3</v>
      </c>
      <c r="Z495" t="str">
        <f t="shared" si="96"/>
        <v>2011-12</v>
      </c>
    </row>
    <row r="496" spans="1:26" x14ac:dyDescent="0.35">
      <c r="A496" s="1">
        <v>40896</v>
      </c>
      <c r="C496">
        <v>2202.9499999999998</v>
      </c>
      <c r="D496">
        <f t="shared" si="97"/>
        <v>1.0441090694909033E-4</v>
      </c>
      <c r="E496" t="str">
        <f t="shared" si="91"/>
        <v>2011-12</v>
      </c>
      <c r="G496">
        <v>2974.2</v>
      </c>
      <c r="H496">
        <f t="shared" si="98"/>
        <v>6.3903138473276689E-4</v>
      </c>
      <c r="I496" t="str">
        <f t="shared" si="92"/>
        <v>2011-12</v>
      </c>
      <c r="K496">
        <v>5670.71</v>
      </c>
      <c r="L496">
        <f t="shared" si="99"/>
        <v>-5.4640764340019082E-3</v>
      </c>
      <c r="M496" t="str">
        <f t="shared" si="93"/>
        <v>2011-12</v>
      </c>
      <c r="O496">
        <v>6398.4946799999998</v>
      </c>
      <c r="P496">
        <f t="shared" si="100"/>
        <v>-2.892497137157491E-3</v>
      </c>
      <c r="Q496" t="str">
        <f t="shared" si="94"/>
        <v>2011-12</v>
      </c>
      <c r="S496">
        <v>8253</v>
      </c>
      <c r="T496">
        <f t="shared" si="101"/>
        <v>6.0280681309817707E-3</v>
      </c>
      <c r="U496" t="str">
        <f t="shared" si="95"/>
        <v>2011-12</v>
      </c>
      <c r="W496">
        <v>14548.2</v>
      </c>
      <c r="X496">
        <f t="shared" si="102"/>
        <v>-1.6497018550945674E-3</v>
      </c>
      <c r="Y496">
        <f t="shared" si="103"/>
        <v>-1.6483418449624435E-3</v>
      </c>
      <c r="Z496" t="str">
        <f t="shared" si="96"/>
        <v>2011-12</v>
      </c>
    </row>
    <row r="497" spans="1:26" x14ac:dyDescent="0.35">
      <c r="A497" s="1">
        <v>40897</v>
      </c>
      <c r="C497">
        <v>2262.39</v>
      </c>
      <c r="D497">
        <f t="shared" si="97"/>
        <v>2.6624405386037338E-2</v>
      </c>
      <c r="E497" t="str">
        <f t="shared" si="91"/>
        <v>2011-12</v>
      </c>
      <c r="G497">
        <v>3055.39</v>
      </c>
      <c r="H497">
        <f t="shared" si="98"/>
        <v>2.6932148777790647E-2</v>
      </c>
      <c r="I497" t="str">
        <f t="shared" si="92"/>
        <v>2011-12</v>
      </c>
      <c r="K497">
        <v>5847.03</v>
      </c>
      <c r="L497">
        <f t="shared" si="99"/>
        <v>3.0619509657909733E-2</v>
      </c>
      <c r="M497" t="str">
        <f t="shared" si="93"/>
        <v>2011-12</v>
      </c>
      <c r="O497">
        <v>6487.2036399999997</v>
      </c>
      <c r="P497">
        <f t="shared" si="100"/>
        <v>1.3768809302700047E-2</v>
      </c>
      <c r="Q497" t="str">
        <f t="shared" si="94"/>
        <v>2011-12</v>
      </c>
      <c r="S497">
        <v>8454.4</v>
      </c>
      <c r="T497">
        <f t="shared" si="101"/>
        <v>2.4110245295267153E-2</v>
      </c>
      <c r="U497" t="str">
        <f t="shared" si="95"/>
        <v>2011-12</v>
      </c>
      <c r="W497">
        <v>14965.18</v>
      </c>
      <c r="X497">
        <f t="shared" si="102"/>
        <v>2.8258894673395454E-2</v>
      </c>
      <c r="Y497">
        <f t="shared" si="103"/>
        <v>2.8661965054096007E-2</v>
      </c>
      <c r="Z497" t="str">
        <f t="shared" si="96"/>
        <v>2011-12</v>
      </c>
    </row>
    <row r="498" spans="1:26" x14ac:dyDescent="0.35">
      <c r="A498" s="1">
        <v>40898</v>
      </c>
      <c r="C498">
        <v>2244.35</v>
      </c>
      <c r="D498">
        <f t="shared" si="97"/>
        <v>-8.0058296478181332E-3</v>
      </c>
      <c r="E498" t="str">
        <f t="shared" si="91"/>
        <v>2011-12</v>
      </c>
      <c r="G498">
        <v>3030.47</v>
      </c>
      <c r="H498">
        <f t="shared" si="98"/>
        <v>-8.1895210465748533E-3</v>
      </c>
      <c r="I498" t="str">
        <f t="shared" si="92"/>
        <v>2011-12</v>
      </c>
      <c r="K498">
        <v>5791.53</v>
      </c>
      <c r="L498">
        <f t="shared" si="99"/>
        <v>-9.5373346346695771E-3</v>
      </c>
      <c r="M498" t="str">
        <f t="shared" si="93"/>
        <v>2011-12</v>
      </c>
      <c r="O498">
        <v>6469.2548999999999</v>
      </c>
      <c r="P498">
        <f t="shared" si="100"/>
        <v>-2.7706261593549992E-3</v>
      </c>
      <c r="Q498" t="str">
        <f t="shared" si="94"/>
        <v>2011-12</v>
      </c>
      <c r="S498">
        <v>8378.4</v>
      </c>
      <c r="T498">
        <f t="shared" si="101"/>
        <v>-9.0300504290154737E-3</v>
      </c>
      <c r="U498" t="str">
        <f t="shared" si="95"/>
        <v>2011-12</v>
      </c>
      <c r="W498">
        <v>14819.86</v>
      </c>
      <c r="X498">
        <f t="shared" si="102"/>
        <v>-9.7579961681484601E-3</v>
      </c>
      <c r="Y498">
        <f t="shared" si="103"/>
        <v>-9.7105414034445101E-3</v>
      </c>
      <c r="Z498" t="str">
        <f t="shared" si="96"/>
        <v>2011-12</v>
      </c>
    </row>
    <row r="499" spans="1:26" x14ac:dyDescent="0.35">
      <c r="A499" s="1">
        <v>40899</v>
      </c>
      <c r="C499">
        <v>2273.02</v>
      </c>
      <c r="D499">
        <f t="shared" si="97"/>
        <v>1.2693396798158185E-2</v>
      </c>
      <c r="E499" t="str">
        <f t="shared" si="91"/>
        <v>2011-12</v>
      </c>
      <c r="G499">
        <v>3071.8</v>
      </c>
      <c r="H499">
        <f t="shared" si="98"/>
        <v>1.3545985995729076E-2</v>
      </c>
      <c r="I499" t="str">
        <f t="shared" si="92"/>
        <v>2011-12</v>
      </c>
      <c r="K499">
        <v>5852.18</v>
      </c>
      <c r="L499">
        <f t="shared" si="99"/>
        <v>1.0417736017780238E-2</v>
      </c>
      <c r="M499" t="str">
        <f t="shared" si="93"/>
        <v>2011-12</v>
      </c>
      <c r="O499">
        <v>6552.6295399999999</v>
      </c>
      <c r="P499">
        <f t="shared" si="100"/>
        <v>1.2805485979971568E-2</v>
      </c>
      <c r="Q499" t="str">
        <f t="shared" si="94"/>
        <v>2011-12</v>
      </c>
      <c r="S499">
        <v>8462.9</v>
      </c>
      <c r="T499">
        <f t="shared" si="101"/>
        <v>1.0034939000510451E-2</v>
      </c>
      <c r="U499" t="str">
        <f t="shared" si="95"/>
        <v>2011-12</v>
      </c>
      <c r="W499">
        <v>15027.44</v>
      </c>
      <c r="X499">
        <f t="shared" si="102"/>
        <v>1.3909690113459371E-2</v>
      </c>
      <c r="Y499">
        <f t="shared" si="103"/>
        <v>1.4006879957030628E-2</v>
      </c>
      <c r="Z499" t="str">
        <f t="shared" si="96"/>
        <v>2011-12</v>
      </c>
    </row>
    <row r="500" spans="1:26" x14ac:dyDescent="0.35">
      <c r="A500" s="1">
        <v>40900</v>
      </c>
      <c r="C500">
        <v>2290.37</v>
      </c>
      <c r="D500">
        <f t="shared" si="97"/>
        <v>7.6040327913693773E-3</v>
      </c>
      <c r="E500" t="str">
        <f t="shared" si="91"/>
        <v>2011-12</v>
      </c>
      <c r="G500">
        <v>3102.09</v>
      </c>
      <c r="H500">
        <f t="shared" si="98"/>
        <v>9.8123688737235069E-3</v>
      </c>
      <c r="I500" t="str">
        <f t="shared" si="92"/>
        <v>2011-12</v>
      </c>
      <c r="K500">
        <v>5878.93</v>
      </c>
      <c r="L500">
        <f t="shared" si="99"/>
        <v>4.5605311625555624E-3</v>
      </c>
      <c r="M500" t="str">
        <f t="shared" si="93"/>
        <v>2011-12</v>
      </c>
      <c r="O500">
        <v>6599.5328600000003</v>
      </c>
      <c r="P500">
        <f t="shared" si="100"/>
        <v>7.132442165949728E-3</v>
      </c>
      <c r="Q500" t="str">
        <f t="shared" si="94"/>
        <v>2011-12</v>
      </c>
      <c r="S500">
        <v>8542.7000000000007</v>
      </c>
      <c r="T500">
        <f t="shared" si="101"/>
        <v>9.3852126059503424E-3</v>
      </c>
      <c r="U500" t="str">
        <f t="shared" si="95"/>
        <v>2011-12</v>
      </c>
      <c r="W500">
        <v>15073.99</v>
      </c>
      <c r="X500">
        <f t="shared" si="102"/>
        <v>3.0928787840120557E-3</v>
      </c>
      <c r="Y500">
        <f t="shared" si="103"/>
        <v>3.0976666684411499E-3</v>
      </c>
      <c r="Z500" t="str">
        <f t="shared" si="96"/>
        <v>2011-12</v>
      </c>
    </row>
    <row r="501" spans="1:26" x14ac:dyDescent="0.35">
      <c r="A501" s="1">
        <v>40905</v>
      </c>
      <c r="C501">
        <v>2255.0300000000002</v>
      </c>
      <c r="D501">
        <f t="shared" si="97"/>
        <v>-1.5550099931642957E-2</v>
      </c>
      <c r="E501" t="str">
        <f t="shared" si="91"/>
        <v>2011-12</v>
      </c>
      <c r="G501">
        <v>3071.08</v>
      </c>
      <c r="H501">
        <f t="shared" si="98"/>
        <v>-1.0046786607196205E-2</v>
      </c>
      <c r="I501" t="str">
        <f t="shared" si="92"/>
        <v>2011-12</v>
      </c>
      <c r="K501">
        <v>5771.27</v>
      </c>
      <c r="L501">
        <f t="shared" si="99"/>
        <v>-1.8482612275548232E-2</v>
      </c>
      <c r="M501" t="str">
        <f t="shared" si="93"/>
        <v>2011-12</v>
      </c>
      <c r="O501">
        <v>6589.4691599999996</v>
      </c>
      <c r="P501">
        <f t="shared" si="100"/>
        <v>-1.52607482171224E-3</v>
      </c>
      <c r="Q501" t="str">
        <f t="shared" si="94"/>
        <v>2011-12</v>
      </c>
      <c r="S501">
        <v>8358.4</v>
      </c>
      <c r="T501">
        <f t="shared" si="101"/>
        <v>-2.1810095863394292E-2</v>
      </c>
      <c r="U501" t="str">
        <f t="shared" si="95"/>
        <v>2011-12</v>
      </c>
      <c r="W501">
        <v>14796.55</v>
      </c>
      <c r="X501">
        <f t="shared" si="102"/>
        <v>-1.8576696539091619E-2</v>
      </c>
      <c r="Y501">
        <f t="shared" si="103"/>
        <v>-1.8405213218265402E-2</v>
      </c>
      <c r="Z501" t="str">
        <f t="shared" si="96"/>
        <v>2011-12</v>
      </c>
    </row>
    <row r="502" spans="1:26" x14ac:dyDescent="0.35">
      <c r="A502" s="1">
        <v>40906</v>
      </c>
      <c r="C502">
        <v>2292.2800000000002</v>
      </c>
      <c r="D502">
        <f t="shared" si="97"/>
        <v>1.6383678804390404E-2</v>
      </c>
      <c r="E502" t="str">
        <f t="shared" si="91"/>
        <v>2011-12</v>
      </c>
      <c r="G502">
        <v>3127.56</v>
      </c>
      <c r="H502">
        <f t="shared" si="98"/>
        <v>1.822385656126612E-2</v>
      </c>
      <c r="I502" t="str">
        <f t="shared" si="92"/>
        <v>2011-12</v>
      </c>
      <c r="K502">
        <v>5848.78</v>
      </c>
      <c r="L502">
        <f t="shared" si="99"/>
        <v>1.334093219945192E-2</v>
      </c>
      <c r="M502" t="str">
        <f t="shared" si="93"/>
        <v>2011-12</v>
      </c>
      <c r="O502">
        <v>6623.6046399999996</v>
      </c>
      <c r="P502">
        <f t="shared" si="100"/>
        <v>5.1669363934884506E-3</v>
      </c>
      <c r="Q502" t="str">
        <f t="shared" si="94"/>
        <v>2011-12</v>
      </c>
      <c r="S502">
        <v>8487.9</v>
      </c>
      <c r="T502">
        <f t="shared" si="101"/>
        <v>1.5374598684056062E-2</v>
      </c>
      <c r="U502" t="str">
        <f t="shared" si="95"/>
        <v>2011-12</v>
      </c>
      <c r="W502">
        <v>14908.53</v>
      </c>
      <c r="X502">
        <f t="shared" si="102"/>
        <v>7.5394868788418255E-3</v>
      </c>
      <c r="Y502">
        <f t="shared" si="103"/>
        <v>7.5679803738034467E-3</v>
      </c>
      <c r="Z502" t="str">
        <f t="shared" si="96"/>
        <v>2011-12</v>
      </c>
    </row>
    <row r="503" spans="1:26" x14ac:dyDescent="0.35">
      <c r="A503" s="1">
        <v>40907</v>
      </c>
      <c r="C503">
        <v>2316.5500000000002</v>
      </c>
      <c r="D503">
        <f t="shared" si="97"/>
        <v>1.053205448832888E-2</v>
      </c>
      <c r="E503" t="str">
        <f t="shared" si="91"/>
        <v>2011-12</v>
      </c>
      <c r="G503">
        <v>3159.81</v>
      </c>
      <c r="H503">
        <f t="shared" si="98"/>
        <v>1.0258751381682535E-2</v>
      </c>
      <c r="I503" t="str">
        <f t="shared" si="92"/>
        <v>2011-12</v>
      </c>
      <c r="K503">
        <v>5898.35</v>
      </c>
      <c r="L503">
        <f t="shared" si="99"/>
        <v>8.4395582960233636E-3</v>
      </c>
      <c r="M503" t="str">
        <f t="shared" si="93"/>
        <v>2011-12</v>
      </c>
      <c r="O503">
        <v>6668.24773</v>
      </c>
      <c r="P503">
        <f t="shared" si="100"/>
        <v>6.717386956671882E-3</v>
      </c>
      <c r="Q503" t="str">
        <f t="shared" si="94"/>
        <v>2011-12</v>
      </c>
      <c r="S503">
        <v>8566.2999999999993</v>
      </c>
      <c r="T503">
        <f t="shared" si="101"/>
        <v>9.1942808567099851E-3</v>
      </c>
      <c r="U503" t="str">
        <f t="shared" si="95"/>
        <v>2011-12</v>
      </c>
      <c r="W503">
        <v>15089.74</v>
      </c>
      <c r="X503">
        <f t="shared" si="102"/>
        <v>1.2081510310823471E-2</v>
      </c>
      <c r="Y503">
        <f t="shared" si="103"/>
        <v>1.2154786555079483E-2</v>
      </c>
      <c r="Z503" t="str">
        <f t="shared" si="96"/>
        <v>2011-12</v>
      </c>
    </row>
    <row r="504" spans="1:26" x14ac:dyDescent="0.35">
      <c r="A504" s="1">
        <v>40911</v>
      </c>
      <c r="C504">
        <v>2389.91</v>
      </c>
      <c r="D504">
        <f t="shared" si="97"/>
        <v>3.1176698402346551E-2</v>
      </c>
      <c r="E504" t="str">
        <f t="shared" si="91"/>
        <v>2012-01</v>
      </c>
      <c r="G504">
        <v>3245.4</v>
      </c>
      <c r="H504">
        <f t="shared" si="98"/>
        <v>2.6726709914432399E-2</v>
      </c>
      <c r="I504" t="str">
        <f t="shared" si="92"/>
        <v>2012-01</v>
      </c>
      <c r="K504">
        <v>6166.57</v>
      </c>
      <c r="L504">
        <f t="shared" si="99"/>
        <v>4.4470116835338865E-2</v>
      </c>
      <c r="M504" t="str">
        <f t="shared" si="93"/>
        <v>2012-01</v>
      </c>
      <c r="O504">
        <v>6835.1744699999999</v>
      </c>
      <c r="P504">
        <f t="shared" si="100"/>
        <v>2.4724879551393995E-2</v>
      </c>
      <c r="Q504" t="str">
        <f t="shared" si="94"/>
        <v>2012-01</v>
      </c>
      <c r="S504">
        <v>8732.4</v>
      </c>
      <c r="T504">
        <f t="shared" si="101"/>
        <v>1.9204345398272652E-2</v>
      </c>
      <c r="U504" t="str">
        <f t="shared" si="95"/>
        <v>2012-01</v>
      </c>
      <c r="W504">
        <v>15645.56</v>
      </c>
      <c r="X504">
        <f t="shared" si="102"/>
        <v>3.6172127985985521E-2</v>
      </c>
      <c r="Y504">
        <f t="shared" si="103"/>
        <v>3.6834299331863884E-2</v>
      </c>
      <c r="Z504" t="str">
        <f t="shared" si="96"/>
        <v>2012-01</v>
      </c>
    </row>
    <row r="505" spans="1:26" x14ac:dyDescent="0.35">
      <c r="A505" s="1">
        <v>40912</v>
      </c>
      <c r="C505">
        <v>2349.89</v>
      </c>
      <c r="D505">
        <f t="shared" si="97"/>
        <v>-1.6887189780737836E-2</v>
      </c>
      <c r="E505" t="str">
        <f t="shared" si="91"/>
        <v>2012-01</v>
      </c>
      <c r="G505">
        <v>3193.65</v>
      </c>
      <c r="H505">
        <f t="shared" si="98"/>
        <v>-1.607414579822496E-2</v>
      </c>
      <c r="I505" t="str">
        <f t="shared" si="92"/>
        <v>2012-01</v>
      </c>
      <c r="K505">
        <v>6111.55</v>
      </c>
      <c r="L505">
        <f t="shared" si="99"/>
        <v>-8.962344118361408E-3</v>
      </c>
      <c r="M505" t="str">
        <f t="shared" si="93"/>
        <v>2012-01</v>
      </c>
      <c r="O505">
        <v>6839.8596500000003</v>
      </c>
      <c r="P505">
        <f t="shared" si="100"/>
        <v>6.8521659868676021E-4</v>
      </c>
      <c r="Q505" t="str">
        <f t="shared" si="94"/>
        <v>2012-01</v>
      </c>
      <c r="S505">
        <v>8581.7999999999993</v>
      </c>
      <c r="T505">
        <f t="shared" si="101"/>
        <v>-1.7396564452131693E-2</v>
      </c>
      <c r="U505" t="str">
        <f t="shared" si="95"/>
        <v>2012-01</v>
      </c>
      <c r="W505">
        <v>15327.03</v>
      </c>
      <c r="X505">
        <f t="shared" si="102"/>
        <v>-2.0569234318637469E-2</v>
      </c>
      <c r="Y505">
        <f t="shared" si="103"/>
        <v>-2.0359130641536567E-2</v>
      </c>
      <c r="Z505" t="str">
        <f t="shared" si="96"/>
        <v>2012-01</v>
      </c>
    </row>
    <row r="506" spans="1:26" x14ac:dyDescent="0.35">
      <c r="A506" s="1">
        <v>40913</v>
      </c>
      <c r="C506">
        <v>2315.75</v>
      </c>
      <c r="D506">
        <f t="shared" si="97"/>
        <v>-1.4634909397876901E-2</v>
      </c>
      <c r="E506" t="str">
        <f t="shared" si="91"/>
        <v>2012-01</v>
      </c>
      <c r="G506">
        <v>3144.91</v>
      </c>
      <c r="H506">
        <f t="shared" si="98"/>
        <v>-1.5379190434286637E-2</v>
      </c>
      <c r="I506" t="str">
        <f t="shared" si="92"/>
        <v>2012-01</v>
      </c>
      <c r="K506">
        <v>6095.99</v>
      </c>
      <c r="L506">
        <f t="shared" si="99"/>
        <v>-2.5492455362154365E-3</v>
      </c>
      <c r="M506" t="str">
        <f t="shared" si="93"/>
        <v>2012-01</v>
      </c>
      <c r="O506">
        <v>6810.6513800000002</v>
      </c>
      <c r="P506">
        <f t="shared" si="100"/>
        <v>-4.2794463169411774E-3</v>
      </c>
      <c r="Q506" t="str">
        <f t="shared" si="94"/>
        <v>2012-01</v>
      </c>
      <c r="S506">
        <v>8329.6</v>
      </c>
      <c r="T506">
        <f t="shared" si="101"/>
        <v>-2.9828245888662997E-2</v>
      </c>
      <c r="U506" t="str">
        <f t="shared" si="95"/>
        <v>2012-01</v>
      </c>
      <c r="W506">
        <v>14767.22</v>
      </c>
      <c r="X506">
        <f t="shared" si="102"/>
        <v>-3.7208076880830485E-2</v>
      </c>
      <c r="Y506">
        <f t="shared" si="103"/>
        <v>-3.6524362515112277E-2</v>
      </c>
      <c r="Z506" t="str">
        <f t="shared" si="96"/>
        <v>2012-01</v>
      </c>
    </row>
    <row r="507" spans="1:26" x14ac:dyDescent="0.35">
      <c r="A507" s="1">
        <v>40914</v>
      </c>
      <c r="C507">
        <v>2298.65</v>
      </c>
      <c r="D507">
        <f t="shared" si="97"/>
        <v>-7.4116150650495307E-3</v>
      </c>
      <c r="E507" t="str">
        <f t="shared" si="91"/>
        <v>2012-01</v>
      </c>
      <c r="G507">
        <v>3137.36</v>
      </c>
      <c r="H507">
        <f t="shared" si="98"/>
        <v>-2.4035909423989325E-3</v>
      </c>
      <c r="I507" t="str">
        <f t="shared" si="92"/>
        <v>2012-01</v>
      </c>
      <c r="K507">
        <v>6057.92</v>
      </c>
      <c r="L507">
        <f t="shared" si="99"/>
        <v>-6.2646711236440155E-3</v>
      </c>
      <c r="M507" t="str">
        <f t="shared" si="93"/>
        <v>2012-01</v>
      </c>
      <c r="O507">
        <v>6848.3661300000003</v>
      </c>
      <c r="P507">
        <f t="shared" si="100"/>
        <v>5.5223365544003989E-3</v>
      </c>
      <c r="Q507" t="str">
        <f t="shared" si="94"/>
        <v>2012-01</v>
      </c>
      <c r="S507">
        <v>8289.1</v>
      </c>
      <c r="T507">
        <f t="shared" si="101"/>
        <v>-4.8740371000464116E-3</v>
      </c>
      <c r="U507" t="str">
        <f t="shared" si="95"/>
        <v>2012-01</v>
      </c>
      <c r="W507">
        <v>14645.64</v>
      </c>
      <c r="X507">
        <f t="shared" si="102"/>
        <v>-8.2671792175706329E-3</v>
      </c>
      <c r="Y507">
        <f t="shared" si="103"/>
        <v>-8.2331000689364643E-3</v>
      </c>
      <c r="Z507" t="str">
        <f t="shared" si="96"/>
        <v>2012-01</v>
      </c>
    </row>
    <row r="508" spans="1:26" x14ac:dyDescent="0.35">
      <c r="A508" s="1">
        <v>40917</v>
      </c>
      <c r="C508">
        <v>2286.4499999999998</v>
      </c>
      <c r="D508">
        <f t="shared" si="97"/>
        <v>-5.3215976931271555E-3</v>
      </c>
      <c r="E508" t="str">
        <f t="shared" si="91"/>
        <v>2012-01</v>
      </c>
      <c r="G508">
        <v>3127.69</v>
      </c>
      <c r="H508">
        <f t="shared" si="98"/>
        <v>-3.0869690358701018E-3</v>
      </c>
      <c r="I508" t="str">
        <f t="shared" si="92"/>
        <v>2012-01</v>
      </c>
      <c r="K508">
        <v>6017.23</v>
      </c>
      <c r="L508">
        <f t="shared" si="99"/>
        <v>-6.7394863026670471E-3</v>
      </c>
      <c r="M508" t="str">
        <f t="shared" si="93"/>
        <v>2012-01</v>
      </c>
      <c r="O508">
        <v>6796.13051</v>
      </c>
      <c r="P508">
        <f t="shared" si="100"/>
        <v>-7.6566950867645008E-3</v>
      </c>
      <c r="Q508" t="str">
        <f t="shared" si="94"/>
        <v>2012-01</v>
      </c>
      <c r="S508">
        <v>8278.9</v>
      </c>
      <c r="T508">
        <f t="shared" si="101"/>
        <v>-1.2312893878154683E-3</v>
      </c>
      <c r="U508" t="str">
        <f t="shared" si="95"/>
        <v>2012-01</v>
      </c>
      <c r="W508">
        <v>14401.55</v>
      </c>
      <c r="X508">
        <f t="shared" si="102"/>
        <v>-1.6806840568461327E-2</v>
      </c>
      <c r="Y508">
        <f t="shared" si="103"/>
        <v>-1.6666393547840868E-2</v>
      </c>
      <c r="Z508" t="str">
        <f t="shared" si="96"/>
        <v>2012-01</v>
      </c>
    </row>
    <row r="509" spans="1:26" x14ac:dyDescent="0.35">
      <c r="A509" s="1">
        <v>40918</v>
      </c>
      <c r="C509">
        <v>2347.4699999999998</v>
      </c>
      <c r="D509">
        <f t="shared" si="97"/>
        <v>2.633775607208275E-2</v>
      </c>
      <c r="E509" t="str">
        <f t="shared" si="91"/>
        <v>2012-01</v>
      </c>
      <c r="G509">
        <v>3210.79</v>
      </c>
      <c r="H509">
        <f t="shared" si="98"/>
        <v>2.6222299869315221E-2</v>
      </c>
      <c r="I509" t="str">
        <f t="shared" si="92"/>
        <v>2012-01</v>
      </c>
      <c r="K509">
        <v>6162.98</v>
      </c>
      <c r="L509">
        <f t="shared" si="99"/>
        <v>2.3933406265293809E-2</v>
      </c>
      <c r="M509" t="str">
        <f t="shared" si="93"/>
        <v>2012-01</v>
      </c>
      <c r="O509">
        <v>6901.7540099999997</v>
      </c>
      <c r="P509">
        <f t="shared" si="100"/>
        <v>1.542217607780068E-2</v>
      </c>
      <c r="Q509" t="str">
        <f t="shared" si="94"/>
        <v>2012-01</v>
      </c>
      <c r="S509">
        <v>8472.9</v>
      </c>
      <c r="T509">
        <f t="shared" si="101"/>
        <v>2.3162725621224928E-2</v>
      </c>
      <c r="U509" t="str">
        <f t="shared" si="95"/>
        <v>2012-01</v>
      </c>
      <c r="W509">
        <v>14844.81</v>
      </c>
      <c r="X509">
        <f t="shared" si="102"/>
        <v>3.0314469533425807E-2</v>
      </c>
      <c r="Y509">
        <f t="shared" si="103"/>
        <v>3.077863146675186E-2</v>
      </c>
      <c r="Z509" t="str">
        <f t="shared" si="96"/>
        <v>2012-01</v>
      </c>
    </row>
    <row r="510" spans="1:26" x14ac:dyDescent="0.35">
      <c r="A510" s="1">
        <v>40919</v>
      </c>
      <c r="C510">
        <v>2339.5100000000002</v>
      </c>
      <c r="D510">
        <f t="shared" si="97"/>
        <v>-3.3966467332967282E-3</v>
      </c>
      <c r="E510" t="str">
        <f t="shared" si="91"/>
        <v>2012-01</v>
      </c>
      <c r="G510">
        <v>3204.83</v>
      </c>
      <c r="H510">
        <f t="shared" si="98"/>
        <v>-1.8579659376683248E-3</v>
      </c>
      <c r="I510" t="str">
        <f t="shared" si="92"/>
        <v>2012-01</v>
      </c>
      <c r="K510">
        <v>6152.34</v>
      </c>
      <c r="L510">
        <f t="shared" si="99"/>
        <v>-1.7279295458593319E-3</v>
      </c>
      <c r="M510" t="str">
        <f t="shared" si="93"/>
        <v>2012-01</v>
      </c>
      <c r="O510">
        <v>6846.6956499999997</v>
      </c>
      <c r="P510">
        <f t="shared" si="100"/>
        <v>-8.0094346197412611E-3</v>
      </c>
      <c r="Q510" t="str">
        <f t="shared" si="94"/>
        <v>2012-01</v>
      </c>
      <c r="S510">
        <v>8426.7999999999993</v>
      </c>
      <c r="T510">
        <f t="shared" si="101"/>
        <v>-5.4557316812941141E-3</v>
      </c>
      <c r="U510" t="str">
        <f t="shared" si="95"/>
        <v>2012-01</v>
      </c>
      <c r="W510">
        <v>14882.44</v>
      </c>
      <c r="X510">
        <f t="shared" si="102"/>
        <v>2.5316852449456173E-3</v>
      </c>
      <c r="Y510">
        <f t="shared" si="103"/>
        <v>2.5348926661911482E-3</v>
      </c>
      <c r="Z510" t="str">
        <f t="shared" si="96"/>
        <v>2012-01</v>
      </c>
    </row>
    <row r="511" spans="1:26" x14ac:dyDescent="0.35">
      <c r="A511" s="1">
        <v>40920</v>
      </c>
      <c r="C511">
        <v>2345.85</v>
      </c>
      <c r="D511">
        <f t="shared" si="97"/>
        <v>2.7063038355878899E-3</v>
      </c>
      <c r="E511" t="str">
        <f t="shared" si="91"/>
        <v>2012-01</v>
      </c>
      <c r="G511">
        <v>3199.98</v>
      </c>
      <c r="H511">
        <f t="shared" si="98"/>
        <v>-1.5144870580158481E-3</v>
      </c>
      <c r="I511" t="str">
        <f t="shared" si="92"/>
        <v>2012-01</v>
      </c>
      <c r="K511">
        <v>6179.21</v>
      </c>
      <c r="L511">
        <f t="shared" si="99"/>
        <v>4.3579343270433247E-3</v>
      </c>
      <c r="M511" t="str">
        <f t="shared" si="93"/>
        <v>2012-01</v>
      </c>
      <c r="O511">
        <v>6767.1963500000002</v>
      </c>
      <c r="P511">
        <f t="shared" si="100"/>
        <v>-1.1679276385680898E-2</v>
      </c>
      <c r="Q511" t="str">
        <f t="shared" si="94"/>
        <v>2012-01</v>
      </c>
      <c r="S511">
        <v>8427</v>
      </c>
      <c r="T511">
        <f t="shared" si="101"/>
        <v>2.3733520038199682E-5</v>
      </c>
      <c r="U511" t="str">
        <f t="shared" si="95"/>
        <v>2012-01</v>
      </c>
      <c r="W511">
        <v>15192.79</v>
      </c>
      <c r="X511">
        <f t="shared" si="102"/>
        <v>2.0638978754597005E-2</v>
      </c>
      <c r="Y511">
        <f t="shared" si="103"/>
        <v>2.0853435323777578E-2</v>
      </c>
      <c r="Z511" t="str">
        <f t="shared" si="96"/>
        <v>2012-01</v>
      </c>
    </row>
    <row r="512" spans="1:26" x14ac:dyDescent="0.35">
      <c r="A512" s="1">
        <v>40921</v>
      </c>
      <c r="C512">
        <v>2338.0100000000002</v>
      </c>
      <c r="D512">
        <f t="shared" si="97"/>
        <v>-3.3476693675017484E-3</v>
      </c>
      <c r="E512" t="str">
        <f t="shared" si="91"/>
        <v>2012-01</v>
      </c>
      <c r="G512">
        <v>3196.49</v>
      </c>
      <c r="H512">
        <f t="shared" si="98"/>
        <v>-1.0912269881099509E-3</v>
      </c>
      <c r="I512" t="str">
        <f t="shared" si="92"/>
        <v>2012-01</v>
      </c>
      <c r="K512">
        <v>6143.08</v>
      </c>
      <c r="L512">
        <f t="shared" si="99"/>
        <v>-5.8641865332720007E-3</v>
      </c>
      <c r="M512" t="str">
        <f t="shared" si="93"/>
        <v>2012-01</v>
      </c>
      <c r="O512">
        <v>6800.1584499999999</v>
      </c>
      <c r="P512">
        <f t="shared" si="100"/>
        <v>4.8590407400072953E-3</v>
      </c>
      <c r="Q512" t="str">
        <f t="shared" si="94"/>
        <v>2012-01</v>
      </c>
      <c r="S512">
        <v>8450.6</v>
      </c>
      <c r="T512">
        <f t="shared" si="101"/>
        <v>2.7966079752251376E-3</v>
      </c>
      <c r="U512" t="str">
        <f t="shared" si="95"/>
        <v>2012-01</v>
      </c>
      <c r="W512">
        <v>15011.09</v>
      </c>
      <c r="X512">
        <f t="shared" si="102"/>
        <v>-1.203171194787305E-2</v>
      </c>
      <c r="Y512">
        <f t="shared" si="103"/>
        <v>-1.195962031990179E-2</v>
      </c>
      <c r="Z512" t="str">
        <f t="shared" si="96"/>
        <v>2012-01</v>
      </c>
    </row>
    <row r="513" spans="1:26" x14ac:dyDescent="0.35">
      <c r="A513" s="1">
        <v>40924</v>
      </c>
      <c r="C513">
        <v>2361.56</v>
      </c>
      <c r="D513">
        <f t="shared" si="97"/>
        <v>1.0022277410500158E-2</v>
      </c>
      <c r="E513" t="str">
        <f t="shared" si="91"/>
        <v>2012-01</v>
      </c>
      <c r="G513">
        <v>3225</v>
      </c>
      <c r="H513">
        <f t="shared" si="98"/>
        <v>8.879617449696238E-3</v>
      </c>
      <c r="I513" t="str">
        <f t="shared" si="92"/>
        <v>2012-01</v>
      </c>
      <c r="K513">
        <v>6220.01</v>
      </c>
      <c r="L513">
        <f t="shared" si="99"/>
        <v>1.2445269416890477E-2</v>
      </c>
      <c r="M513" t="str">
        <f t="shared" si="93"/>
        <v>2012-01</v>
      </c>
      <c r="O513">
        <v>6841.3373300000003</v>
      </c>
      <c r="P513">
        <f t="shared" si="100"/>
        <v>6.0373152243781278E-3</v>
      </c>
      <c r="Q513" t="str">
        <f t="shared" si="94"/>
        <v>2012-01</v>
      </c>
      <c r="S513">
        <v>8449.6</v>
      </c>
      <c r="T513">
        <f t="shared" si="101"/>
        <v>-1.1834179490976545E-4</v>
      </c>
      <c r="U513" t="str">
        <f t="shared" si="95"/>
        <v>2012-01</v>
      </c>
      <c r="W513">
        <v>15220.98</v>
      </c>
      <c r="X513">
        <f t="shared" si="102"/>
        <v>1.3885478059261941E-2</v>
      </c>
      <c r="Y513">
        <f t="shared" si="103"/>
        <v>1.3982329064711451E-2</v>
      </c>
      <c r="Z513" t="str">
        <f t="shared" si="96"/>
        <v>2012-01</v>
      </c>
    </row>
    <row r="514" spans="1:26" x14ac:dyDescent="0.35">
      <c r="A514" s="1">
        <v>40925</v>
      </c>
      <c r="C514">
        <v>2396.63</v>
      </c>
      <c r="D514">
        <f t="shared" si="97"/>
        <v>1.4741166310193081E-2</v>
      </c>
      <c r="E514" t="str">
        <f t="shared" si="91"/>
        <v>2012-01</v>
      </c>
      <c r="G514">
        <v>3269.99</v>
      </c>
      <c r="H514">
        <f t="shared" si="98"/>
        <v>1.3853976552774592E-2</v>
      </c>
      <c r="I514" t="str">
        <f t="shared" si="92"/>
        <v>2012-01</v>
      </c>
      <c r="K514">
        <v>6332.93</v>
      </c>
      <c r="L514">
        <f t="shared" si="99"/>
        <v>1.7991489793041476E-2</v>
      </c>
      <c r="M514" t="str">
        <f t="shared" si="93"/>
        <v>2012-01</v>
      </c>
      <c r="O514">
        <v>6864.6686900000004</v>
      </c>
      <c r="P514">
        <f t="shared" si="100"/>
        <v>3.404548706896228E-3</v>
      </c>
      <c r="Q514" t="str">
        <f t="shared" si="94"/>
        <v>2012-01</v>
      </c>
      <c r="S514">
        <v>8535.2999999999993</v>
      </c>
      <c r="T514">
        <f t="shared" si="101"/>
        <v>1.0091402043032794E-2</v>
      </c>
      <c r="U514" t="str">
        <f t="shared" si="95"/>
        <v>2012-01</v>
      </c>
      <c r="W514">
        <v>15325.98</v>
      </c>
      <c r="X514">
        <f t="shared" si="102"/>
        <v>6.8746882528661095E-3</v>
      </c>
      <c r="Y514">
        <f t="shared" si="103"/>
        <v>6.8983731665109606E-3</v>
      </c>
      <c r="Z514" t="str">
        <f t="shared" si="96"/>
        <v>2012-01</v>
      </c>
    </row>
    <row r="515" spans="1:26" x14ac:dyDescent="0.35">
      <c r="A515" s="1">
        <v>40926</v>
      </c>
      <c r="C515">
        <v>2390.64</v>
      </c>
      <c r="D515">
        <f t="shared" si="97"/>
        <v>-2.5024713985059527E-3</v>
      </c>
      <c r="E515" t="str">
        <f t="shared" si="91"/>
        <v>2012-01</v>
      </c>
      <c r="G515">
        <v>3264.93</v>
      </c>
      <c r="H515">
        <f t="shared" si="98"/>
        <v>-1.5486038118997022E-3</v>
      </c>
      <c r="I515" t="str">
        <f t="shared" si="92"/>
        <v>2012-01</v>
      </c>
      <c r="K515">
        <v>6354.57</v>
      </c>
      <c r="L515">
        <f t="shared" si="99"/>
        <v>3.4112348349989662E-3</v>
      </c>
      <c r="M515" t="str">
        <f t="shared" si="93"/>
        <v>2012-01</v>
      </c>
      <c r="O515">
        <v>6845.50659</v>
      </c>
      <c r="P515">
        <f t="shared" si="100"/>
        <v>-2.7953125450276696E-3</v>
      </c>
      <c r="Q515" t="str">
        <f t="shared" si="94"/>
        <v>2012-01</v>
      </c>
      <c r="S515">
        <v>8420.7000000000007</v>
      </c>
      <c r="T515">
        <f t="shared" si="101"/>
        <v>-1.3517544822960147E-2</v>
      </c>
      <c r="U515" t="str">
        <f t="shared" si="95"/>
        <v>2012-01</v>
      </c>
      <c r="W515">
        <v>15278</v>
      </c>
      <c r="X515">
        <f t="shared" si="102"/>
        <v>-3.1355424562499834E-3</v>
      </c>
      <c r="Y515">
        <f t="shared" si="103"/>
        <v>-3.1306317768912371E-3</v>
      </c>
      <c r="Z515" t="str">
        <f t="shared" si="96"/>
        <v>2012-01</v>
      </c>
    </row>
    <row r="516" spans="1:26" x14ac:dyDescent="0.35">
      <c r="A516" s="1">
        <v>40927</v>
      </c>
      <c r="C516">
        <v>2435.04</v>
      </c>
      <c r="D516">
        <f t="shared" si="97"/>
        <v>1.8402070981469766E-2</v>
      </c>
      <c r="E516" t="str">
        <f t="shared" ref="E516:E579" si="104">_xlfn.CONCAT(YEAR(A516),"-",TEXT(MONTH(A516),"00"))</f>
        <v>2012-01</v>
      </c>
      <c r="G516">
        <v>3328.94</v>
      </c>
      <c r="H516">
        <f t="shared" si="98"/>
        <v>1.9415612011393663E-2</v>
      </c>
      <c r="I516" t="str">
        <f t="shared" ref="I516:I579" si="105">_xlfn.CONCAT(YEAR(A516),"-",TEXT(MONTH(A516),"00"))</f>
        <v>2012-01</v>
      </c>
      <c r="K516">
        <v>6416.26</v>
      </c>
      <c r="L516">
        <f t="shared" si="99"/>
        <v>9.661154339045689E-3</v>
      </c>
      <c r="M516" t="str">
        <f t="shared" ref="M516:M579" si="106">_xlfn.CONCAT(YEAR(A516),"-",TEXT(MONTH(A516),"00"))</f>
        <v>2012-01</v>
      </c>
      <c r="O516">
        <v>6866.1170700000002</v>
      </c>
      <c r="P516">
        <f t="shared" si="100"/>
        <v>3.0062808072507151E-3</v>
      </c>
      <c r="Q516" t="str">
        <f t="shared" ref="Q516:Q579" si="107">_xlfn.CONCAT(YEAR(A516),"-",TEXT(MONTH(A516),"00"))</f>
        <v>2012-01</v>
      </c>
      <c r="S516">
        <v>8603.7999999999993</v>
      </c>
      <c r="T516">
        <f t="shared" si="101"/>
        <v>2.1511005942385551E-2</v>
      </c>
      <c r="U516" t="str">
        <f t="shared" ref="U516:U579" si="108">_xlfn.CONCAT(YEAR(A516),"-",TEXT(MONTH(A516),"00"))</f>
        <v>2012-01</v>
      </c>
      <c r="W516">
        <v>15651.99</v>
      </c>
      <c r="X516">
        <f t="shared" si="102"/>
        <v>2.4184180332806202E-2</v>
      </c>
      <c r="Y516">
        <f t="shared" si="103"/>
        <v>2.4478989396517853E-2</v>
      </c>
      <c r="Z516" t="str">
        <f t="shared" ref="Z516:Z579" si="109">_xlfn.CONCAT(YEAR(A516),"-",TEXT(MONTH(A516),"00"))</f>
        <v>2012-01</v>
      </c>
    </row>
    <row r="517" spans="1:26" x14ac:dyDescent="0.35">
      <c r="A517" s="1">
        <v>40928</v>
      </c>
      <c r="C517">
        <v>2426.96</v>
      </c>
      <c r="D517">
        <f t="shared" ref="D517:D580" si="110">LN(C517/C516)</f>
        <v>-3.3237381482806331E-3</v>
      </c>
      <c r="E517" t="str">
        <f t="shared" si="104"/>
        <v>2012-01</v>
      </c>
      <c r="G517">
        <v>3321.5</v>
      </c>
      <c r="H517">
        <f t="shared" ref="H517:H580" si="111">LN(G517/G516)</f>
        <v>-2.2374468768455533E-3</v>
      </c>
      <c r="I517" t="str">
        <f t="shared" si="105"/>
        <v>2012-01</v>
      </c>
      <c r="K517">
        <v>6404.39</v>
      </c>
      <c r="L517">
        <f t="shared" ref="L517:L580" si="112">LN(K517/K516)</f>
        <v>-1.851700715899765E-3</v>
      </c>
      <c r="M517" t="str">
        <f t="shared" si="106"/>
        <v>2012-01</v>
      </c>
      <c r="O517">
        <v>6884.8036199999997</v>
      </c>
      <c r="P517">
        <f t="shared" ref="P517:P580" si="113">LN(O517/O516)</f>
        <v>2.7178633233445508E-3</v>
      </c>
      <c r="Q517" t="str">
        <f t="shared" si="107"/>
        <v>2012-01</v>
      </c>
      <c r="S517">
        <v>8561.9</v>
      </c>
      <c r="T517">
        <f t="shared" ref="T517:T580" si="114">LN(S517/S516)</f>
        <v>-4.8818379925737523E-3</v>
      </c>
      <c r="U517" t="str">
        <f t="shared" si="108"/>
        <v>2012-01</v>
      </c>
      <c r="W517">
        <v>15632.06</v>
      </c>
      <c r="X517">
        <f t="shared" ref="X517:X580" si="115">LN(W517/W516)</f>
        <v>-1.2741318784630982E-3</v>
      </c>
      <c r="Y517">
        <f t="shared" ref="Y517:Y580" si="116">(W517-W516)/W516</f>
        <v>-1.2733205170716497E-3</v>
      </c>
      <c r="Z517" t="str">
        <f t="shared" si="109"/>
        <v>2012-01</v>
      </c>
    </row>
    <row r="518" spans="1:26" x14ac:dyDescent="0.35">
      <c r="A518" s="1">
        <v>40931</v>
      </c>
      <c r="C518">
        <v>2441.44</v>
      </c>
      <c r="D518">
        <f t="shared" si="110"/>
        <v>5.948583805216537E-3</v>
      </c>
      <c r="E518" t="str">
        <f t="shared" si="104"/>
        <v>2012-01</v>
      </c>
      <c r="G518">
        <v>3338.42</v>
      </c>
      <c r="H518">
        <f t="shared" si="111"/>
        <v>5.081153047943091E-3</v>
      </c>
      <c r="I518" t="str">
        <f t="shared" si="105"/>
        <v>2012-01</v>
      </c>
      <c r="K518">
        <v>6436.62</v>
      </c>
      <c r="L518">
        <f t="shared" si="112"/>
        <v>5.0198648985402272E-3</v>
      </c>
      <c r="M518" t="str">
        <f t="shared" si="106"/>
        <v>2012-01</v>
      </c>
      <c r="O518">
        <v>6921.2056599999996</v>
      </c>
      <c r="P518">
        <f t="shared" si="113"/>
        <v>5.2733738792697113E-3</v>
      </c>
      <c r="Q518" t="str">
        <f t="shared" si="107"/>
        <v>2012-01</v>
      </c>
      <c r="S518">
        <v>8619.6</v>
      </c>
      <c r="T518">
        <f t="shared" si="114"/>
        <v>6.7165517462032245E-3</v>
      </c>
      <c r="U518" t="str">
        <f t="shared" si="108"/>
        <v>2012-01</v>
      </c>
      <c r="W518">
        <v>15907.52</v>
      </c>
      <c r="X518">
        <f t="shared" si="115"/>
        <v>1.7468019819092729E-2</v>
      </c>
      <c r="Y518">
        <f t="shared" si="116"/>
        <v>1.7621477911420564E-2</v>
      </c>
      <c r="Z518" t="str">
        <f t="shared" si="109"/>
        <v>2012-01</v>
      </c>
    </row>
    <row r="519" spans="1:26" x14ac:dyDescent="0.35">
      <c r="A519" s="1">
        <v>40932</v>
      </c>
      <c r="C519">
        <v>2432.0700000000002</v>
      </c>
      <c r="D519">
        <f t="shared" si="110"/>
        <v>-3.8452825768505346E-3</v>
      </c>
      <c r="E519" t="str">
        <f t="shared" si="104"/>
        <v>2012-01</v>
      </c>
      <c r="G519">
        <v>3322.65</v>
      </c>
      <c r="H519">
        <f t="shared" si="111"/>
        <v>-4.7349838580589927E-3</v>
      </c>
      <c r="I519" t="str">
        <f t="shared" si="105"/>
        <v>2012-01</v>
      </c>
      <c r="K519">
        <v>6419.22</v>
      </c>
      <c r="L519">
        <f t="shared" si="112"/>
        <v>-2.7069426229525445E-3</v>
      </c>
      <c r="M519" t="str">
        <f t="shared" si="106"/>
        <v>2012-01</v>
      </c>
      <c r="O519">
        <v>6891.0606600000001</v>
      </c>
      <c r="P519">
        <f t="shared" si="113"/>
        <v>-4.3649676547163731E-3</v>
      </c>
      <c r="Q519" t="str">
        <f t="shared" si="107"/>
        <v>2012-01</v>
      </c>
      <c r="S519">
        <v>8591.4</v>
      </c>
      <c r="T519">
        <f t="shared" si="114"/>
        <v>-3.2769769607407162E-3</v>
      </c>
      <c r="U519" t="str">
        <f t="shared" si="108"/>
        <v>2012-01</v>
      </c>
      <c r="W519">
        <v>15929.25</v>
      </c>
      <c r="X519">
        <f t="shared" si="115"/>
        <v>1.3650884417249771E-3</v>
      </c>
      <c r="Y519">
        <f t="shared" si="116"/>
        <v>1.3660205990625542E-3</v>
      </c>
      <c r="Z519" t="str">
        <f t="shared" si="109"/>
        <v>2012-01</v>
      </c>
    </row>
    <row r="520" spans="1:26" x14ac:dyDescent="0.35">
      <c r="A520" s="1">
        <v>40933</v>
      </c>
      <c r="C520">
        <v>2421.12</v>
      </c>
      <c r="D520">
        <f t="shared" si="110"/>
        <v>-4.5125035619653139E-3</v>
      </c>
      <c r="E520" t="str">
        <f t="shared" si="104"/>
        <v>2012-01</v>
      </c>
      <c r="G520">
        <v>3312.48</v>
      </c>
      <c r="H520">
        <f t="shared" si="111"/>
        <v>-3.0655037547785125E-3</v>
      </c>
      <c r="I520" t="str">
        <f t="shared" si="105"/>
        <v>2012-01</v>
      </c>
      <c r="K520">
        <v>6421.85</v>
      </c>
      <c r="L520">
        <f t="shared" si="112"/>
        <v>4.0962319133437794E-4</v>
      </c>
      <c r="M520" t="str">
        <f t="shared" si="106"/>
        <v>2012-01</v>
      </c>
      <c r="O520">
        <v>6848.4765500000003</v>
      </c>
      <c r="P520">
        <f t="shared" si="113"/>
        <v>-6.1987890431616857E-3</v>
      </c>
      <c r="Q520" t="str">
        <f t="shared" si="107"/>
        <v>2012-01</v>
      </c>
      <c r="S520">
        <v>8555.4</v>
      </c>
      <c r="T520">
        <f t="shared" si="114"/>
        <v>-4.1990403918871072E-3</v>
      </c>
      <c r="U520" t="str">
        <f t="shared" si="108"/>
        <v>2012-01</v>
      </c>
      <c r="W520">
        <v>15840.24</v>
      </c>
      <c r="X520">
        <f t="shared" si="115"/>
        <v>-5.6035040476804946E-3</v>
      </c>
      <c r="Y520">
        <f t="shared" si="116"/>
        <v>-5.5878337021517156E-3</v>
      </c>
      <c r="Z520" t="str">
        <f t="shared" si="109"/>
        <v>2012-01</v>
      </c>
    </row>
    <row r="521" spans="1:26" x14ac:dyDescent="0.35">
      <c r="A521" s="1">
        <v>40934</v>
      </c>
      <c r="C521">
        <v>2460.4</v>
      </c>
      <c r="D521">
        <f t="shared" si="110"/>
        <v>1.6093695329603631E-2</v>
      </c>
      <c r="E521" t="str">
        <f t="shared" si="104"/>
        <v>2012-01</v>
      </c>
      <c r="G521">
        <v>3363.23</v>
      </c>
      <c r="H521">
        <f t="shared" si="111"/>
        <v>1.5204668178564851E-2</v>
      </c>
      <c r="I521" t="str">
        <f t="shared" si="105"/>
        <v>2012-01</v>
      </c>
      <c r="K521">
        <v>6539.85</v>
      </c>
      <c r="L521">
        <f t="shared" si="112"/>
        <v>1.8207991241315565E-2</v>
      </c>
      <c r="M521" t="str">
        <f t="shared" si="106"/>
        <v>2012-01</v>
      </c>
      <c r="O521">
        <v>6923.5626400000001</v>
      </c>
      <c r="P521">
        <f t="shared" si="113"/>
        <v>1.0904243439396291E-2</v>
      </c>
      <c r="Q521" t="str">
        <f t="shared" si="107"/>
        <v>2012-01</v>
      </c>
      <c r="S521">
        <v>8713.7999999999993</v>
      </c>
      <c r="T521">
        <f t="shared" si="114"/>
        <v>1.8345313325684922E-2</v>
      </c>
      <c r="U521" t="str">
        <f t="shared" si="108"/>
        <v>2012-01</v>
      </c>
      <c r="W521">
        <v>16111.04</v>
      </c>
      <c r="X521">
        <f t="shared" si="115"/>
        <v>1.6951213494862605E-2</v>
      </c>
      <c r="Y521">
        <f t="shared" si="116"/>
        <v>1.709570057019345E-2</v>
      </c>
      <c r="Z521" t="str">
        <f t="shared" si="109"/>
        <v>2012-01</v>
      </c>
    </row>
    <row r="522" spans="1:26" x14ac:dyDescent="0.35">
      <c r="A522" s="1">
        <v>40935</v>
      </c>
      <c r="C522">
        <v>2436.62</v>
      </c>
      <c r="D522">
        <f t="shared" si="110"/>
        <v>-9.7121052886829772E-3</v>
      </c>
      <c r="E522" t="str">
        <f t="shared" si="104"/>
        <v>2012-01</v>
      </c>
      <c r="G522">
        <v>3318.76</v>
      </c>
      <c r="H522">
        <f t="shared" si="111"/>
        <v>-1.3310602550582749E-2</v>
      </c>
      <c r="I522" t="str">
        <f t="shared" si="105"/>
        <v>2012-01</v>
      </c>
      <c r="K522">
        <v>6511.98</v>
      </c>
      <c r="L522">
        <f t="shared" si="112"/>
        <v>-4.2706719838102539E-3</v>
      </c>
      <c r="M522" t="str">
        <f t="shared" si="106"/>
        <v>2012-01</v>
      </c>
      <c r="O522">
        <v>6838.0117200000004</v>
      </c>
      <c r="P522">
        <f t="shared" si="113"/>
        <v>-1.2433464351715492E-2</v>
      </c>
      <c r="Q522" t="str">
        <f t="shared" si="107"/>
        <v>2012-01</v>
      </c>
      <c r="S522">
        <v>8657.2999999999993</v>
      </c>
      <c r="T522">
        <f t="shared" si="114"/>
        <v>-6.5050801892815495E-3</v>
      </c>
      <c r="U522" t="str">
        <f t="shared" si="108"/>
        <v>2012-01</v>
      </c>
      <c r="W522">
        <v>15946.87</v>
      </c>
      <c r="X522">
        <f t="shared" si="115"/>
        <v>-1.0242179552414929E-2</v>
      </c>
      <c r="Y522">
        <f t="shared" si="116"/>
        <v>-1.0189907045106961E-2</v>
      </c>
      <c r="Z522" t="str">
        <f t="shared" si="109"/>
        <v>2012-01</v>
      </c>
    </row>
    <row r="523" spans="1:26" x14ac:dyDescent="0.35">
      <c r="A523" s="1">
        <v>40938</v>
      </c>
      <c r="C523">
        <v>2404.62</v>
      </c>
      <c r="D523">
        <f t="shared" si="110"/>
        <v>-1.3219946147644967E-2</v>
      </c>
      <c r="E523" t="str">
        <f t="shared" si="104"/>
        <v>2012-01</v>
      </c>
      <c r="G523">
        <v>3265.64</v>
      </c>
      <c r="H523">
        <f t="shared" si="111"/>
        <v>-1.6135457290221183E-2</v>
      </c>
      <c r="I523" t="str">
        <f t="shared" si="105"/>
        <v>2012-01</v>
      </c>
      <c r="K523">
        <v>6444.45</v>
      </c>
      <c r="L523">
        <f t="shared" si="112"/>
        <v>-1.0424262163657725E-2</v>
      </c>
      <c r="M523" t="str">
        <f t="shared" si="106"/>
        <v>2012-01</v>
      </c>
      <c r="O523">
        <v>6775.5897400000003</v>
      </c>
      <c r="P523">
        <f t="shared" si="113"/>
        <v>-9.1705956951852012E-3</v>
      </c>
      <c r="Q523" t="str">
        <f t="shared" si="107"/>
        <v>2012-01</v>
      </c>
      <c r="S523">
        <v>8517</v>
      </c>
      <c r="T523">
        <f t="shared" si="114"/>
        <v>-1.6338729511450864E-2</v>
      </c>
      <c r="U523" t="str">
        <f t="shared" si="108"/>
        <v>2012-01</v>
      </c>
      <c r="W523">
        <v>15753.14</v>
      </c>
      <c r="X523">
        <f t="shared" si="115"/>
        <v>-1.2222861248665229E-2</v>
      </c>
      <c r="Y523">
        <f t="shared" si="116"/>
        <v>-1.2148465498245196E-2</v>
      </c>
      <c r="Z523" t="str">
        <f t="shared" si="109"/>
        <v>2012-01</v>
      </c>
    </row>
    <row r="524" spans="1:26" x14ac:dyDescent="0.35">
      <c r="A524" s="1">
        <v>40939</v>
      </c>
      <c r="C524">
        <v>2416.66</v>
      </c>
      <c r="D524">
        <f t="shared" si="110"/>
        <v>4.9945346582306125E-3</v>
      </c>
      <c r="E524" t="str">
        <f t="shared" si="104"/>
        <v>2012-01</v>
      </c>
      <c r="G524">
        <v>3298.55</v>
      </c>
      <c r="H524">
        <f t="shared" si="111"/>
        <v>1.0027216075211528E-2</v>
      </c>
      <c r="I524" t="str">
        <f t="shared" si="105"/>
        <v>2012-01</v>
      </c>
      <c r="K524">
        <v>6458.91</v>
      </c>
      <c r="L524">
        <f t="shared" si="112"/>
        <v>2.2412776289441661E-3</v>
      </c>
      <c r="M524" t="str">
        <f t="shared" si="106"/>
        <v>2012-01</v>
      </c>
      <c r="O524">
        <v>6845.6641300000001</v>
      </c>
      <c r="P524">
        <f t="shared" si="113"/>
        <v>1.0289068667160992E-2</v>
      </c>
      <c r="Q524" t="str">
        <f t="shared" si="107"/>
        <v>2012-01</v>
      </c>
      <c r="S524">
        <v>8509.2000000000007</v>
      </c>
      <c r="T524">
        <f t="shared" si="114"/>
        <v>-9.1623504312945405E-4</v>
      </c>
      <c r="U524" t="str">
        <f t="shared" si="108"/>
        <v>2012-01</v>
      </c>
      <c r="W524">
        <v>15828.05</v>
      </c>
      <c r="X524">
        <f t="shared" si="115"/>
        <v>4.7439719965648346E-3</v>
      </c>
      <c r="Y524">
        <f t="shared" si="116"/>
        <v>4.7552424469026406E-3</v>
      </c>
      <c r="Z524" t="str">
        <f t="shared" si="109"/>
        <v>2012-01</v>
      </c>
    </row>
    <row r="525" spans="1:26" x14ac:dyDescent="0.35">
      <c r="A525" s="1">
        <v>40940</v>
      </c>
      <c r="C525">
        <v>2470.79</v>
      </c>
      <c r="D525">
        <f t="shared" si="110"/>
        <v>2.2151515985299099E-2</v>
      </c>
      <c r="E525" t="str">
        <f t="shared" si="104"/>
        <v>2012-02</v>
      </c>
      <c r="G525">
        <v>3367.46</v>
      </c>
      <c r="H525">
        <f t="shared" si="111"/>
        <v>2.0675773012639804E-2</v>
      </c>
      <c r="I525" t="str">
        <f t="shared" si="105"/>
        <v>2012-02</v>
      </c>
      <c r="K525">
        <v>6616.64</v>
      </c>
      <c r="L525">
        <f t="shared" si="112"/>
        <v>2.412711532253008E-2</v>
      </c>
      <c r="M525" t="str">
        <f t="shared" si="106"/>
        <v>2012-02</v>
      </c>
      <c r="O525">
        <v>6959.9324299999998</v>
      </c>
      <c r="P525">
        <f t="shared" si="113"/>
        <v>1.6554287826804223E-2</v>
      </c>
      <c r="Q525" t="str">
        <f t="shared" si="107"/>
        <v>2012-02</v>
      </c>
      <c r="S525">
        <v>8696.6</v>
      </c>
      <c r="T525">
        <f t="shared" si="114"/>
        <v>2.1784213563004251E-2</v>
      </c>
      <c r="U525" t="str">
        <f t="shared" si="108"/>
        <v>2012-02</v>
      </c>
      <c r="W525">
        <v>16264.55</v>
      </c>
      <c r="X525">
        <f t="shared" si="115"/>
        <v>2.7204210296450919E-2</v>
      </c>
      <c r="Y525">
        <f t="shared" si="116"/>
        <v>2.7577623270080648E-2</v>
      </c>
      <c r="Z525" t="str">
        <f t="shared" si="109"/>
        <v>2012-02</v>
      </c>
    </row>
    <row r="526" spans="1:26" x14ac:dyDescent="0.35">
      <c r="A526" s="1">
        <v>40941</v>
      </c>
      <c r="C526">
        <v>2478.15</v>
      </c>
      <c r="D526">
        <f t="shared" si="110"/>
        <v>2.9743765032947569E-3</v>
      </c>
      <c r="E526" t="str">
        <f t="shared" si="104"/>
        <v>2012-02</v>
      </c>
      <c r="G526">
        <v>3376.66</v>
      </c>
      <c r="H526">
        <f t="shared" si="111"/>
        <v>2.7283042729942357E-3</v>
      </c>
      <c r="I526" t="str">
        <f t="shared" si="105"/>
        <v>2012-02</v>
      </c>
      <c r="K526">
        <v>6655.63</v>
      </c>
      <c r="L526">
        <f t="shared" si="112"/>
        <v>5.8754248012091396E-3</v>
      </c>
      <c r="M526" t="str">
        <f t="shared" si="106"/>
        <v>2012-02</v>
      </c>
      <c r="O526">
        <v>6967.9770900000003</v>
      </c>
      <c r="P526">
        <f t="shared" si="113"/>
        <v>1.1551856914422244E-3</v>
      </c>
      <c r="Q526" t="str">
        <f t="shared" si="107"/>
        <v>2012-02</v>
      </c>
      <c r="S526">
        <v>8772.2999999999993</v>
      </c>
      <c r="T526">
        <f t="shared" si="114"/>
        <v>8.6668850184277967E-3</v>
      </c>
      <c r="U526" t="str">
        <f t="shared" si="108"/>
        <v>2012-02</v>
      </c>
      <c r="W526">
        <v>16276.5</v>
      </c>
      <c r="X526">
        <f t="shared" si="115"/>
        <v>7.344569727885295E-4</v>
      </c>
      <c r="Y526">
        <f t="shared" si="116"/>
        <v>7.3472675235409081E-4</v>
      </c>
      <c r="Z526" t="str">
        <f t="shared" si="109"/>
        <v>2012-02</v>
      </c>
    </row>
    <row r="527" spans="1:26" x14ac:dyDescent="0.35">
      <c r="A527" s="1">
        <v>40942</v>
      </c>
      <c r="C527">
        <v>2515.15</v>
      </c>
      <c r="D527">
        <f t="shared" si="110"/>
        <v>1.4820129857724918E-2</v>
      </c>
      <c r="E527" t="str">
        <f t="shared" si="104"/>
        <v>2012-02</v>
      </c>
      <c r="G527">
        <v>3427.92</v>
      </c>
      <c r="H527">
        <f t="shared" si="111"/>
        <v>1.5066607983474782E-2</v>
      </c>
      <c r="I527" t="str">
        <f t="shared" si="105"/>
        <v>2012-02</v>
      </c>
      <c r="K527">
        <v>6766.67</v>
      </c>
      <c r="L527">
        <f t="shared" si="112"/>
        <v>1.6545976958870827E-2</v>
      </c>
      <c r="M527" t="str">
        <f t="shared" si="106"/>
        <v>2012-02</v>
      </c>
      <c r="O527">
        <v>7102.4827599999999</v>
      </c>
      <c r="P527">
        <f t="shared" si="113"/>
        <v>1.9119455771623082E-2</v>
      </c>
      <c r="Q527" t="str">
        <f t="shared" si="107"/>
        <v>2012-02</v>
      </c>
      <c r="S527">
        <v>8861.2000000000007</v>
      </c>
      <c r="T527">
        <f t="shared" si="114"/>
        <v>1.0083165929136906E-2</v>
      </c>
      <c r="U527" t="str">
        <f t="shared" si="108"/>
        <v>2012-02</v>
      </c>
      <c r="W527">
        <v>16439.62</v>
      </c>
      <c r="X527">
        <f t="shared" si="115"/>
        <v>9.9719252594268788E-3</v>
      </c>
      <c r="Y527">
        <f t="shared" si="116"/>
        <v>1.0021810585813841E-2</v>
      </c>
      <c r="Z527" t="str">
        <f t="shared" si="109"/>
        <v>2012-02</v>
      </c>
    </row>
    <row r="528" spans="1:26" x14ac:dyDescent="0.35">
      <c r="A528" s="1">
        <v>40945</v>
      </c>
      <c r="C528">
        <v>2507.89</v>
      </c>
      <c r="D528">
        <f t="shared" si="110"/>
        <v>-2.8906817606089066E-3</v>
      </c>
      <c r="E528" t="str">
        <f t="shared" si="104"/>
        <v>2012-02</v>
      </c>
      <c r="G528">
        <v>3405.27</v>
      </c>
      <c r="H528">
        <f t="shared" si="111"/>
        <v>-6.6294316283794976E-3</v>
      </c>
      <c r="I528" t="str">
        <f t="shared" si="105"/>
        <v>2012-02</v>
      </c>
      <c r="K528">
        <v>6764.83</v>
      </c>
      <c r="L528">
        <f t="shared" si="112"/>
        <v>-2.71958025546418E-4</v>
      </c>
      <c r="M528" t="str">
        <f t="shared" si="106"/>
        <v>2012-02</v>
      </c>
      <c r="O528">
        <v>7100.8909400000002</v>
      </c>
      <c r="P528">
        <f t="shared" si="113"/>
        <v>-2.2414674714420731E-4</v>
      </c>
      <c r="Q528" t="str">
        <f t="shared" si="107"/>
        <v>2012-02</v>
      </c>
      <c r="S528">
        <v>8835.2999999999993</v>
      </c>
      <c r="T528">
        <f t="shared" si="114"/>
        <v>-2.927134573825413E-3</v>
      </c>
      <c r="U528" t="str">
        <f t="shared" si="108"/>
        <v>2012-02</v>
      </c>
      <c r="W528">
        <v>16389.82</v>
      </c>
      <c r="X528">
        <f t="shared" si="115"/>
        <v>-3.0338646165137947E-3</v>
      </c>
      <c r="Y528">
        <f t="shared" si="116"/>
        <v>-3.0292670998477624E-3</v>
      </c>
      <c r="Z528" t="str">
        <f t="shared" si="109"/>
        <v>2012-02</v>
      </c>
    </row>
    <row r="529" spans="1:26" x14ac:dyDescent="0.35">
      <c r="A529" s="1">
        <v>40946</v>
      </c>
      <c r="C529">
        <v>2514.12</v>
      </c>
      <c r="D529">
        <f t="shared" si="110"/>
        <v>2.4810795660951219E-3</v>
      </c>
      <c r="E529" t="str">
        <f t="shared" si="104"/>
        <v>2012-02</v>
      </c>
      <c r="G529">
        <v>3411.54</v>
      </c>
      <c r="H529">
        <f t="shared" si="111"/>
        <v>1.8395706402701965E-3</v>
      </c>
      <c r="I529" t="str">
        <f t="shared" si="105"/>
        <v>2012-02</v>
      </c>
      <c r="K529">
        <v>6754.2</v>
      </c>
      <c r="L529">
        <f t="shared" si="112"/>
        <v>-1.5725983581254342E-3</v>
      </c>
      <c r="M529" t="str">
        <f t="shared" si="106"/>
        <v>2012-02</v>
      </c>
      <c r="O529">
        <v>7063.1583600000004</v>
      </c>
      <c r="P529">
        <f t="shared" si="113"/>
        <v>-5.3279494388178833E-3</v>
      </c>
      <c r="Q529" t="str">
        <f t="shared" si="107"/>
        <v>2012-02</v>
      </c>
      <c r="S529">
        <v>8846.9</v>
      </c>
      <c r="T529">
        <f t="shared" si="114"/>
        <v>1.3120541181644331E-3</v>
      </c>
      <c r="U529" t="str">
        <f t="shared" si="108"/>
        <v>2012-02</v>
      </c>
      <c r="W529">
        <v>16491.71</v>
      </c>
      <c r="X529">
        <f t="shared" si="115"/>
        <v>6.1974200176114248E-3</v>
      </c>
      <c r="Y529">
        <f t="shared" si="116"/>
        <v>6.2166637583572866E-3</v>
      </c>
      <c r="Z529" t="str">
        <f t="shared" si="109"/>
        <v>2012-02</v>
      </c>
    </row>
    <row r="530" spans="1:26" x14ac:dyDescent="0.35">
      <c r="A530" s="1">
        <v>40947</v>
      </c>
      <c r="C530">
        <v>2512.92</v>
      </c>
      <c r="D530">
        <f t="shared" si="110"/>
        <v>-4.7741813185990734E-4</v>
      </c>
      <c r="E530" t="str">
        <f t="shared" si="104"/>
        <v>2012-02</v>
      </c>
      <c r="G530">
        <v>3410</v>
      </c>
      <c r="H530">
        <f t="shared" si="111"/>
        <v>-4.5151095681100317E-4</v>
      </c>
      <c r="I530" t="str">
        <f t="shared" si="105"/>
        <v>2012-02</v>
      </c>
      <c r="K530">
        <v>6748.76</v>
      </c>
      <c r="L530">
        <f t="shared" si="112"/>
        <v>-8.0574930153358881E-4</v>
      </c>
      <c r="M530" t="str">
        <f t="shared" si="106"/>
        <v>2012-02</v>
      </c>
      <c r="O530">
        <v>7007.4659799999999</v>
      </c>
      <c r="P530">
        <f t="shared" si="113"/>
        <v>-7.916161996380457E-3</v>
      </c>
      <c r="Q530" t="str">
        <f t="shared" si="107"/>
        <v>2012-02</v>
      </c>
      <c r="S530">
        <v>8849.2999999999993</v>
      </c>
      <c r="T530">
        <f t="shared" si="114"/>
        <v>2.7124467566077301E-4</v>
      </c>
      <c r="U530" t="str">
        <f t="shared" si="108"/>
        <v>2012-02</v>
      </c>
      <c r="W530">
        <v>16669.22</v>
      </c>
      <c r="X530">
        <f t="shared" si="115"/>
        <v>1.0706074619355556E-2</v>
      </c>
      <c r="Y530">
        <f t="shared" si="116"/>
        <v>1.0763589706586038E-2</v>
      </c>
      <c r="Z530" t="str">
        <f t="shared" si="109"/>
        <v>2012-02</v>
      </c>
    </row>
    <row r="531" spans="1:26" x14ac:dyDescent="0.35">
      <c r="A531" s="1">
        <v>40948</v>
      </c>
      <c r="C531">
        <v>2522.34</v>
      </c>
      <c r="D531">
        <f t="shared" si="110"/>
        <v>3.7416185022298271E-3</v>
      </c>
      <c r="E531" t="str">
        <f t="shared" si="104"/>
        <v>2012-02</v>
      </c>
      <c r="G531">
        <v>3424.71</v>
      </c>
      <c r="H531">
        <f t="shared" si="111"/>
        <v>4.3045053010798652E-3</v>
      </c>
      <c r="I531" t="str">
        <f t="shared" si="105"/>
        <v>2012-02</v>
      </c>
      <c r="K531">
        <v>6788.8</v>
      </c>
      <c r="L531">
        <f t="shared" si="112"/>
        <v>5.9154111607806811E-3</v>
      </c>
      <c r="M531" t="str">
        <f t="shared" si="106"/>
        <v>2012-02</v>
      </c>
      <c r="O531">
        <v>7019.8523400000004</v>
      </c>
      <c r="P531">
        <f t="shared" si="113"/>
        <v>1.7660343818724472E-3</v>
      </c>
      <c r="Q531" t="str">
        <f t="shared" si="107"/>
        <v>2012-02</v>
      </c>
      <c r="S531">
        <v>8902.1</v>
      </c>
      <c r="T531">
        <f t="shared" si="114"/>
        <v>5.9488441148746705E-3</v>
      </c>
      <c r="U531" t="str">
        <f t="shared" si="108"/>
        <v>2012-02</v>
      </c>
      <c r="W531">
        <v>16653.830000000002</v>
      </c>
      <c r="X531">
        <f t="shared" si="115"/>
        <v>-9.2368502248271213E-4</v>
      </c>
      <c r="Y531">
        <f t="shared" si="116"/>
        <v>-9.2325855678906488E-4</v>
      </c>
      <c r="Z531" t="str">
        <f t="shared" si="109"/>
        <v>2012-02</v>
      </c>
    </row>
    <row r="532" spans="1:26" x14ac:dyDescent="0.35">
      <c r="A532" s="1">
        <v>40949</v>
      </c>
      <c r="C532">
        <v>2480.7600000000002</v>
      </c>
      <c r="D532">
        <f t="shared" si="110"/>
        <v>-1.6622077253064402E-2</v>
      </c>
      <c r="E532" t="str">
        <f t="shared" si="104"/>
        <v>2012-02</v>
      </c>
      <c r="G532">
        <v>3373.14</v>
      </c>
      <c r="H532">
        <f t="shared" si="111"/>
        <v>-1.517273530066989E-2</v>
      </c>
      <c r="I532" t="str">
        <f t="shared" si="105"/>
        <v>2012-02</v>
      </c>
      <c r="K532">
        <v>6692.96</v>
      </c>
      <c r="L532">
        <f t="shared" si="112"/>
        <v>-1.4217967758523615E-2</v>
      </c>
      <c r="M532" t="str">
        <f t="shared" si="106"/>
        <v>2012-02</v>
      </c>
      <c r="O532">
        <v>6983.9230399999997</v>
      </c>
      <c r="P532">
        <f t="shared" si="113"/>
        <v>-5.1313846249591627E-3</v>
      </c>
      <c r="Q532" t="str">
        <f t="shared" si="107"/>
        <v>2012-02</v>
      </c>
      <c r="S532">
        <v>8797.1</v>
      </c>
      <c r="T532">
        <f t="shared" si="114"/>
        <v>-1.1865082243678309E-2</v>
      </c>
      <c r="U532" t="str">
        <f t="shared" si="108"/>
        <v>2012-02</v>
      </c>
      <c r="W532">
        <v>16361.04</v>
      </c>
      <c r="X532">
        <f t="shared" si="115"/>
        <v>-1.7737321167346189E-2</v>
      </c>
      <c r="Y532">
        <f t="shared" si="116"/>
        <v>-1.7580940840635509E-2</v>
      </c>
      <c r="Z532" t="str">
        <f t="shared" si="109"/>
        <v>2012-02</v>
      </c>
    </row>
    <row r="533" spans="1:26" x14ac:dyDescent="0.35">
      <c r="A533" s="1">
        <v>40952</v>
      </c>
      <c r="C533">
        <v>2491.54</v>
      </c>
      <c r="D533">
        <f t="shared" si="110"/>
        <v>4.3360283529500733E-3</v>
      </c>
      <c r="E533" t="str">
        <f t="shared" si="104"/>
        <v>2012-02</v>
      </c>
      <c r="G533">
        <v>3384.55</v>
      </c>
      <c r="H533">
        <f t="shared" si="111"/>
        <v>3.3768967924723446E-3</v>
      </c>
      <c r="I533" t="str">
        <f t="shared" si="105"/>
        <v>2012-02</v>
      </c>
      <c r="K533">
        <v>6738.47</v>
      </c>
      <c r="L533">
        <f t="shared" si="112"/>
        <v>6.776668480383375E-3</v>
      </c>
      <c r="M533" t="str">
        <f t="shared" si="106"/>
        <v>2012-02</v>
      </c>
      <c r="O533">
        <v>7055.1855599999999</v>
      </c>
      <c r="P533">
        <f t="shared" si="113"/>
        <v>1.0152087868919758E-2</v>
      </c>
      <c r="Q533" t="str">
        <f t="shared" si="107"/>
        <v>2012-02</v>
      </c>
      <c r="S533">
        <v>8788.2999999999993</v>
      </c>
      <c r="T533">
        <f t="shared" si="114"/>
        <v>-1.0008303177127455E-3</v>
      </c>
      <c r="U533" t="str">
        <f t="shared" si="108"/>
        <v>2012-02</v>
      </c>
      <c r="W533">
        <v>16369.28</v>
      </c>
      <c r="X533">
        <f t="shared" si="115"/>
        <v>5.0350868394110596E-4</v>
      </c>
      <c r="Y533">
        <f t="shared" si="116"/>
        <v>5.0363546571610251E-4</v>
      </c>
      <c r="Z533" t="str">
        <f t="shared" si="109"/>
        <v>2012-02</v>
      </c>
    </row>
    <row r="534" spans="1:26" x14ac:dyDescent="0.35">
      <c r="A534" s="1">
        <v>40953</v>
      </c>
      <c r="C534">
        <v>2488.29</v>
      </c>
      <c r="D534">
        <f t="shared" si="110"/>
        <v>-1.3052656261051808E-3</v>
      </c>
      <c r="E534" t="str">
        <f t="shared" si="104"/>
        <v>2012-02</v>
      </c>
      <c r="G534">
        <v>3375.64</v>
      </c>
      <c r="H534">
        <f t="shared" si="111"/>
        <v>-2.6360221116106092E-3</v>
      </c>
      <c r="I534" t="str">
        <f t="shared" si="105"/>
        <v>2012-02</v>
      </c>
      <c r="K534">
        <v>6728.19</v>
      </c>
      <c r="L534">
        <f t="shared" si="112"/>
        <v>-1.5267337256333511E-3</v>
      </c>
      <c r="M534" t="str">
        <f t="shared" si="106"/>
        <v>2012-02</v>
      </c>
      <c r="O534">
        <v>7050.34015</v>
      </c>
      <c r="P534">
        <f t="shared" si="113"/>
        <v>-6.8702298520514926E-4</v>
      </c>
      <c r="Q534" t="str">
        <f t="shared" si="107"/>
        <v>2012-02</v>
      </c>
      <c r="S534">
        <v>8771.9</v>
      </c>
      <c r="T534">
        <f t="shared" si="114"/>
        <v>-1.8678608180053289E-3</v>
      </c>
      <c r="U534" t="str">
        <f t="shared" si="108"/>
        <v>2012-02</v>
      </c>
      <c r="W534">
        <v>16445.91</v>
      </c>
      <c r="X534">
        <f t="shared" si="115"/>
        <v>4.6704065581944353E-3</v>
      </c>
      <c r="Y534">
        <f t="shared" si="116"/>
        <v>4.6813299057746702E-3</v>
      </c>
      <c r="Z534" t="str">
        <f t="shared" si="109"/>
        <v>2012-02</v>
      </c>
    </row>
    <row r="535" spans="1:26" x14ac:dyDescent="0.35">
      <c r="A535" s="1">
        <v>40954</v>
      </c>
      <c r="C535">
        <v>2493.96</v>
      </c>
      <c r="D535">
        <f t="shared" si="110"/>
        <v>2.2760810669105133E-3</v>
      </c>
      <c r="E535" t="str">
        <f t="shared" si="104"/>
        <v>2012-02</v>
      </c>
      <c r="G535">
        <v>3390.35</v>
      </c>
      <c r="H535">
        <f t="shared" si="111"/>
        <v>4.3482249240382803E-3</v>
      </c>
      <c r="I535" t="str">
        <f t="shared" si="105"/>
        <v>2012-02</v>
      </c>
      <c r="K535">
        <v>6757.94</v>
      </c>
      <c r="L535">
        <f t="shared" si="112"/>
        <v>4.4119474241547541E-3</v>
      </c>
      <c r="M535" t="str">
        <f t="shared" si="106"/>
        <v>2012-02</v>
      </c>
      <c r="O535">
        <v>7083.5844399999996</v>
      </c>
      <c r="P535">
        <f t="shared" si="113"/>
        <v>4.7041925396889804E-3</v>
      </c>
      <c r="Q535" t="str">
        <f t="shared" si="107"/>
        <v>2012-02</v>
      </c>
      <c r="S535">
        <v>8741.6</v>
      </c>
      <c r="T535">
        <f t="shared" si="114"/>
        <v>-3.4601913074628989E-3</v>
      </c>
      <c r="U535" t="str">
        <f t="shared" si="108"/>
        <v>2012-02</v>
      </c>
      <c r="W535">
        <v>16513.21</v>
      </c>
      <c r="X535">
        <f t="shared" si="115"/>
        <v>4.0838525746395805E-3</v>
      </c>
      <c r="Y535">
        <f t="shared" si="116"/>
        <v>4.0922028638122956E-3</v>
      </c>
      <c r="Z535" t="str">
        <f t="shared" si="109"/>
        <v>2012-02</v>
      </c>
    </row>
    <row r="536" spans="1:26" x14ac:dyDescent="0.35">
      <c r="A536" s="1">
        <v>40955</v>
      </c>
      <c r="C536">
        <v>2489.35</v>
      </c>
      <c r="D536">
        <f t="shared" si="110"/>
        <v>-1.8501764148974315E-3</v>
      </c>
      <c r="E536" t="str">
        <f t="shared" si="104"/>
        <v>2012-02</v>
      </c>
      <c r="G536">
        <v>3393.25</v>
      </c>
      <c r="H536">
        <f t="shared" si="111"/>
        <v>8.5500329520199795E-4</v>
      </c>
      <c r="I536" t="str">
        <f t="shared" si="105"/>
        <v>2012-02</v>
      </c>
      <c r="K536">
        <v>6751.96</v>
      </c>
      <c r="L536">
        <f t="shared" si="112"/>
        <v>-8.8527678081271348E-4</v>
      </c>
      <c r="M536" t="str">
        <f t="shared" si="106"/>
        <v>2012-02</v>
      </c>
      <c r="O536">
        <v>7089.0444100000004</v>
      </c>
      <c r="P536">
        <f t="shared" si="113"/>
        <v>7.7049506169989579E-4</v>
      </c>
      <c r="Q536" t="str">
        <f t="shared" si="107"/>
        <v>2012-02</v>
      </c>
      <c r="S536">
        <v>8558.1</v>
      </c>
      <c r="T536">
        <f t="shared" si="114"/>
        <v>-2.1215036374917711E-2</v>
      </c>
      <c r="U536" t="str">
        <f t="shared" si="108"/>
        <v>2012-02</v>
      </c>
      <c r="W536">
        <v>16369.66</v>
      </c>
      <c r="X536">
        <f t="shared" si="115"/>
        <v>-8.731045186382692E-3</v>
      </c>
      <c r="Y536">
        <f t="shared" si="116"/>
        <v>-8.6930402992512826E-3</v>
      </c>
      <c r="Z536" t="str">
        <f t="shared" si="109"/>
        <v>2012-02</v>
      </c>
    </row>
    <row r="537" spans="1:26" x14ac:dyDescent="0.35">
      <c r="A537" s="1">
        <v>40956</v>
      </c>
      <c r="C537">
        <v>2520.31</v>
      </c>
      <c r="D537">
        <f t="shared" si="110"/>
        <v>1.236027760856823E-2</v>
      </c>
      <c r="E537" t="str">
        <f t="shared" si="104"/>
        <v>2012-02</v>
      </c>
      <c r="G537">
        <v>3439.62</v>
      </c>
      <c r="H537">
        <f t="shared" si="111"/>
        <v>1.3572835971370217E-2</v>
      </c>
      <c r="I537" t="str">
        <f t="shared" si="105"/>
        <v>2012-02</v>
      </c>
      <c r="K537">
        <v>6848.03</v>
      </c>
      <c r="L537">
        <f t="shared" si="112"/>
        <v>1.4128186565474699E-2</v>
      </c>
      <c r="M537" t="str">
        <f t="shared" si="106"/>
        <v>2012-02</v>
      </c>
      <c r="O537">
        <v>7108.7111999999997</v>
      </c>
      <c r="P537">
        <f t="shared" si="113"/>
        <v>2.7704100731214764E-3</v>
      </c>
      <c r="Q537" t="str">
        <f t="shared" si="107"/>
        <v>2012-02</v>
      </c>
      <c r="S537">
        <v>8657</v>
      </c>
      <c r="T537">
        <f t="shared" si="114"/>
        <v>1.1490039334155837E-2</v>
      </c>
      <c r="U537" t="str">
        <f t="shared" si="108"/>
        <v>2012-02</v>
      </c>
      <c r="W537">
        <v>16547.21</v>
      </c>
      <c r="X537">
        <f t="shared" si="115"/>
        <v>1.0787886084754996E-2</v>
      </c>
      <c r="Y537">
        <f t="shared" si="116"/>
        <v>1.0846285139703529E-2</v>
      </c>
      <c r="Z537" t="str">
        <f t="shared" si="109"/>
        <v>2012-02</v>
      </c>
    </row>
    <row r="538" spans="1:26" x14ac:dyDescent="0.35">
      <c r="A538" s="1">
        <v>40959</v>
      </c>
      <c r="C538">
        <v>2550.2800000000002</v>
      </c>
      <c r="D538">
        <f t="shared" si="110"/>
        <v>1.1821247233378334E-2</v>
      </c>
      <c r="E538" t="str">
        <f t="shared" si="104"/>
        <v>2012-02</v>
      </c>
      <c r="G538">
        <v>3472.54</v>
      </c>
      <c r="H538">
        <f t="shared" si="111"/>
        <v>9.5253144911839217E-3</v>
      </c>
      <c r="I538" t="str">
        <f t="shared" si="105"/>
        <v>2012-02</v>
      </c>
      <c r="K538">
        <v>6948.25</v>
      </c>
      <c r="L538">
        <f t="shared" si="112"/>
        <v>1.4528809638002875E-2</v>
      </c>
      <c r="M538" t="str">
        <f t="shared" si="106"/>
        <v>2012-02</v>
      </c>
      <c r="O538">
        <v>7115.9779099999996</v>
      </c>
      <c r="P538">
        <f t="shared" si="113"/>
        <v>1.0217039649776571E-3</v>
      </c>
      <c r="Q538" t="str">
        <f t="shared" si="107"/>
        <v>2012-02</v>
      </c>
      <c r="S538">
        <v>8818.1</v>
      </c>
      <c r="T538">
        <f t="shared" si="114"/>
        <v>1.8438185077815899E-2</v>
      </c>
      <c r="U538" t="str">
        <f t="shared" si="108"/>
        <v>2012-02</v>
      </c>
      <c r="W538">
        <v>16724.22</v>
      </c>
      <c r="X538">
        <f t="shared" si="115"/>
        <v>1.064046060403033E-2</v>
      </c>
      <c r="Y538">
        <f t="shared" si="116"/>
        <v>1.0697271624642585E-2</v>
      </c>
      <c r="Z538" t="str">
        <f t="shared" si="109"/>
        <v>2012-02</v>
      </c>
    </row>
    <row r="539" spans="1:26" x14ac:dyDescent="0.35">
      <c r="A539" s="1">
        <v>40960</v>
      </c>
      <c r="C539">
        <v>2541.6</v>
      </c>
      <c r="D539">
        <f t="shared" si="110"/>
        <v>-3.4093530907248148E-3</v>
      </c>
      <c r="E539" t="str">
        <f t="shared" si="104"/>
        <v>2012-02</v>
      </c>
      <c r="G539">
        <v>3465.24</v>
      </c>
      <c r="H539">
        <f t="shared" si="111"/>
        <v>-2.1044203460057016E-3</v>
      </c>
      <c r="I539" t="str">
        <f t="shared" si="105"/>
        <v>2012-02</v>
      </c>
      <c r="K539">
        <v>6908.18</v>
      </c>
      <c r="L539">
        <f t="shared" si="112"/>
        <v>-5.7836126182063711E-3</v>
      </c>
      <c r="M539" t="str">
        <f t="shared" si="106"/>
        <v>2012-02</v>
      </c>
      <c r="O539">
        <v>7069.4433900000004</v>
      </c>
      <c r="P539">
        <f t="shared" si="113"/>
        <v>-6.5609171474573782E-3</v>
      </c>
      <c r="Q539" t="str">
        <f t="shared" si="107"/>
        <v>2012-02</v>
      </c>
      <c r="S539">
        <v>8767.1</v>
      </c>
      <c r="T539">
        <f t="shared" si="114"/>
        <v>-5.8003483596541262E-3</v>
      </c>
      <c r="U539" t="str">
        <f t="shared" si="108"/>
        <v>2012-02</v>
      </c>
      <c r="W539">
        <v>16710.86</v>
      </c>
      <c r="X539">
        <f t="shared" si="115"/>
        <v>-7.9916068458868493E-4</v>
      </c>
      <c r="Y539">
        <f t="shared" si="116"/>
        <v>-7.9884144073688222E-4</v>
      </c>
      <c r="Z539" t="str">
        <f t="shared" si="109"/>
        <v>2012-02</v>
      </c>
    </row>
    <row r="540" spans="1:26" x14ac:dyDescent="0.35">
      <c r="A540" s="1">
        <v>40961</v>
      </c>
      <c r="C540">
        <v>2519</v>
      </c>
      <c r="D540">
        <f t="shared" si="110"/>
        <v>-8.9318066026961764E-3</v>
      </c>
      <c r="E540" t="str">
        <f t="shared" si="104"/>
        <v>2012-02</v>
      </c>
      <c r="G540">
        <v>3447.37</v>
      </c>
      <c r="H540">
        <f t="shared" si="111"/>
        <v>-5.1702728225576011E-3</v>
      </c>
      <c r="I540" t="str">
        <f t="shared" si="105"/>
        <v>2012-02</v>
      </c>
      <c r="K540">
        <v>6843.87</v>
      </c>
      <c r="L540">
        <f t="shared" si="112"/>
        <v>-9.3528555811365471E-3</v>
      </c>
      <c r="M540" t="str">
        <f t="shared" si="106"/>
        <v>2012-02</v>
      </c>
      <c r="O540">
        <v>6997.1188499999998</v>
      </c>
      <c r="P540">
        <f t="shared" si="113"/>
        <v>-1.0283276908669302E-2</v>
      </c>
      <c r="Q540" t="str">
        <f t="shared" si="107"/>
        <v>2012-02</v>
      </c>
      <c r="S540">
        <v>8657</v>
      </c>
      <c r="T540">
        <f t="shared" si="114"/>
        <v>-1.2637836718161936E-2</v>
      </c>
      <c r="U540" t="str">
        <f t="shared" si="108"/>
        <v>2012-02</v>
      </c>
      <c r="W540">
        <v>16557.62</v>
      </c>
      <c r="X540">
        <f t="shared" si="115"/>
        <v>-9.2123886492057327E-3</v>
      </c>
      <c r="Y540">
        <f t="shared" si="116"/>
        <v>-9.1700846036650175E-3</v>
      </c>
      <c r="Z540" t="str">
        <f t="shared" si="109"/>
        <v>2012-02</v>
      </c>
    </row>
    <row r="541" spans="1:26" x14ac:dyDescent="0.35">
      <c r="A541" s="1">
        <v>40962</v>
      </c>
      <c r="C541">
        <v>2508.08</v>
      </c>
      <c r="D541">
        <f t="shared" si="110"/>
        <v>-4.3444771818922315E-3</v>
      </c>
      <c r="E541" t="str">
        <f t="shared" si="104"/>
        <v>2012-02</v>
      </c>
      <c r="G541">
        <v>3447.31</v>
      </c>
      <c r="H541">
        <f t="shared" si="111"/>
        <v>-1.7404723642458267E-5</v>
      </c>
      <c r="I541" t="str">
        <f t="shared" si="105"/>
        <v>2012-02</v>
      </c>
      <c r="K541">
        <v>6809.46</v>
      </c>
      <c r="L541">
        <f t="shared" si="112"/>
        <v>-5.0405392464174395E-3</v>
      </c>
      <c r="M541" t="str">
        <f t="shared" si="106"/>
        <v>2012-02</v>
      </c>
      <c r="O541">
        <v>7003.2763500000001</v>
      </c>
      <c r="P541">
        <f t="shared" si="113"/>
        <v>8.7961808349811584E-4</v>
      </c>
      <c r="Q541" t="str">
        <f t="shared" si="107"/>
        <v>2012-02</v>
      </c>
      <c r="S541">
        <v>8527.7000000000007</v>
      </c>
      <c r="T541">
        <f t="shared" si="114"/>
        <v>-1.5048553665314336E-2</v>
      </c>
      <c r="U541" t="str">
        <f t="shared" si="108"/>
        <v>2012-02</v>
      </c>
      <c r="W541">
        <v>16312.3</v>
      </c>
      <c r="X541">
        <f t="shared" si="115"/>
        <v>-1.4926994350316572E-2</v>
      </c>
      <c r="Y541">
        <f t="shared" si="116"/>
        <v>-1.4816139034474745E-2</v>
      </c>
      <c r="Z541" t="str">
        <f t="shared" si="109"/>
        <v>2012-02</v>
      </c>
    </row>
    <row r="542" spans="1:26" x14ac:dyDescent="0.35">
      <c r="A542" s="1">
        <v>40963</v>
      </c>
      <c r="C542">
        <v>2523.69</v>
      </c>
      <c r="D542">
        <f t="shared" si="110"/>
        <v>6.2045960281030595E-3</v>
      </c>
      <c r="E542" t="str">
        <f t="shared" si="104"/>
        <v>2012-02</v>
      </c>
      <c r="G542">
        <v>3467.03</v>
      </c>
      <c r="H542">
        <f t="shared" si="111"/>
        <v>5.7041029132969216E-3</v>
      </c>
      <c r="I542" t="str">
        <f t="shared" si="105"/>
        <v>2012-02</v>
      </c>
      <c r="K542">
        <v>6864.43</v>
      </c>
      <c r="L542">
        <f t="shared" si="112"/>
        <v>8.0401840479387716E-3</v>
      </c>
      <c r="M542" t="str">
        <f t="shared" si="106"/>
        <v>2012-02</v>
      </c>
      <c r="O542">
        <v>6996.6908000000003</v>
      </c>
      <c r="P542">
        <f t="shared" si="113"/>
        <v>-9.4079513404238669E-4</v>
      </c>
      <c r="Q542" t="str">
        <f t="shared" si="107"/>
        <v>2012-02</v>
      </c>
      <c r="S542">
        <v>8527.7000000000007</v>
      </c>
      <c r="T542">
        <f t="shared" si="114"/>
        <v>0</v>
      </c>
      <c r="U542" t="str">
        <f t="shared" si="108"/>
        <v>2012-02</v>
      </c>
      <c r="W542">
        <v>16487.53</v>
      </c>
      <c r="X542">
        <f t="shared" si="115"/>
        <v>1.0684913130697698E-2</v>
      </c>
      <c r="Y542">
        <f t="shared" si="116"/>
        <v>1.0742200670659537E-2</v>
      </c>
      <c r="Z542" t="str">
        <f t="shared" si="109"/>
        <v>2012-02</v>
      </c>
    </row>
    <row r="543" spans="1:26" x14ac:dyDescent="0.35">
      <c r="A543" s="1">
        <v>40966</v>
      </c>
      <c r="C543">
        <v>2513.06</v>
      </c>
      <c r="D543">
        <f t="shared" si="110"/>
        <v>-4.2209820946495537E-3</v>
      </c>
      <c r="E543" t="str">
        <f t="shared" si="104"/>
        <v>2012-02</v>
      </c>
      <c r="G543">
        <v>3441.45</v>
      </c>
      <c r="H543">
        <f t="shared" si="111"/>
        <v>-7.4054254774391752E-3</v>
      </c>
      <c r="I543" t="str">
        <f t="shared" si="105"/>
        <v>2012-02</v>
      </c>
      <c r="K543">
        <v>6849.6</v>
      </c>
      <c r="L543">
        <f t="shared" si="112"/>
        <v>-2.1627495026030402E-3</v>
      </c>
      <c r="M543" t="str">
        <f t="shared" si="106"/>
        <v>2012-02</v>
      </c>
      <c r="O543">
        <v>6988.2975699999997</v>
      </c>
      <c r="P543">
        <f t="shared" si="113"/>
        <v>-1.2003200554288802E-3</v>
      </c>
      <c r="Q543" t="str">
        <f t="shared" si="107"/>
        <v>2012-02</v>
      </c>
      <c r="S543">
        <v>8537.2000000000007</v>
      </c>
      <c r="T543">
        <f t="shared" si="114"/>
        <v>1.1133966189537266E-3</v>
      </c>
      <c r="U543" t="str">
        <f t="shared" si="108"/>
        <v>2012-02</v>
      </c>
      <c r="W543">
        <v>16308.6</v>
      </c>
      <c r="X543">
        <f t="shared" si="115"/>
        <v>-1.0911761563197585E-2</v>
      </c>
      <c r="Y543">
        <f t="shared" si="116"/>
        <v>-1.0852444241193101E-2</v>
      </c>
      <c r="Z543" t="str">
        <f t="shared" si="109"/>
        <v>2012-02</v>
      </c>
    </row>
    <row r="544" spans="1:26" x14ac:dyDescent="0.35">
      <c r="A544" s="1">
        <v>40967</v>
      </c>
      <c r="C544">
        <v>2519.7199999999998</v>
      </c>
      <c r="D544">
        <f t="shared" si="110"/>
        <v>2.6466501168893736E-3</v>
      </c>
      <c r="E544" t="str">
        <f t="shared" si="104"/>
        <v>2012-02</v>
      </c>
      <c r="G544">
        <v>3453.99</v>
      </c>
      <c r="H544">
        <f t="shared" si="111"/>
        <v>3.6371903241743018E-3</v>
      </c>
      <c r="I544" t="str">
        <f t="shared" si="105"/>
        <v>2012-02</v>
      </c>
      <c r="K544">
        <v>6887.63</v>
      </c>
      <c r="L544">
        <f t="shared" si="112"/>
        <v>5.5367926655017011E-3</v>
      </c>
      <c r="M544" t="str">
        <f t="shared" si="106"/>
        <v>2012-02</v>
      </c>
      <c r="O544">
        <v>6998.3005300000004</v>
      </c>
      <c r="P544">
        <f t="shared" si="113"/>
        <v>1.4303637859525067E-3</v>
      </c>
      <c r="Q544" t="str">
        <f t="shared" si="107"/>
        <v>2012-02</v>
      </c>
      <c r="S544">
        <v>8526.7000000000007</v>
      </c>
      <c r="T544">
        <f t="shared" si="114"/>
        <v>-1.2306684081864684E-3</v>
      </c>
      <c r="U544" t="str">
        <f t="shared" si="108"/>
        <v>2012-02</v>
      </c>
      <c r="W544">
        <v>16345.3</v>
      </c>
      <c r="X544">
        <f t="shared" si="115"/>
        <v>2.2478182056535987E-3</v>
      </c>
      <c r="Y544">
        <f t="shared" si="116"/>
        <v>2.2503464429809369E-3</v>
      </c>
      <c r="Z544" t="str">
        <f t="shared" si="109"/>
        <v>2012-02</v>
      </c>
    </row>
    <row r="545" spans="1:26" x14ac:dyDescent="0.35">
      <c r="A545" s="1">
        <v>40968</v>
      </c>
      <c r="C545">
        <v>2512.11</v>
      </c>
      <c r="D545">
        <f t="shared" si="110"/>
        <v>-3.0247467828001993E-3</v>
      </c>
      <c r="E545" t="str">
        <f t="shared" si="104"/>
        <v>2012-02</v>
      </c>
      <c r="G545">
        <v>3452.45</v>
      </c>
      <c r="H545">
        <f t="shared" si="111"/>
        <v>-4.4596058910900753E-4</v>
      </c>
      <c r="I545" t="str">
        <f t="shared" si="105"/>
        <v>2012-02</v>
      </c>
      <c r="K545">
        <v>6856.08</v>
      </c>
      <c r="L545">
        <f t="shared" si="112"/>
        <v>-4.5911992352101411E-3</v>
      </c>
      <c r="M545" t="str">
        <f t="shared" si="106"/>
        <v>2012-02</v>
      </c>
      <c r="O545">
        <v>7005.63411</v>
      </c>
      <c r="P545">
        <f t="shared" si="113"/>
        <v>1.0473600254376834E-3</v>
      </c>
      <c r="Q545" t="str">
        <f t="shared" si="107"/>
        <v>2012-02</v>
      </c>
      <c r="S545">
        <v>8465.9</v>
      </c>
      <c r="T545">
        <f t="shared" si="114"/>
        <v>-7.1560867038165405E-3</v>
      </c>
      <c r="U545" t="str">
        <f t="shared" si="108"/>
        <v>2012-02</v>
      </c>
      <c r="W545">
        <v>16351.41</v>
      </c>
      <c r="X545">
        <f t="shared" si="115"/>
        <v>3.73737912537442E-4</v>
      </c>
      <c r="Y545">
        <f t="shared" si="116"/>
        <v>3.7380776125250578E-4</v>
      </c>
      <c r="Z545" t="str">
        <f t="shared" si="109"/>
        <v>2012-02</v>
      </c>
    </row>
    <row r="546" spans="1:26" x14ac:dyDescent="0.35">
      <c r="A546" s="1">
        <v>40969</v>
      </c>
      <c r="C546">
        <v>2548.66</v>
      </c>
      <c r="D546">
        <f t="shared" si="110"/>
        <v>1.4444693399770767E-2</v>
      </c>
      <c r="E546" t="str">
        <f t="shared" si="104"/>
        <v>2012-03</v>
      </c>
      <c r="G546">
        <v>3499.73</v>
      </c>
      <c r="H546">
        <f t="shared" si="111"/>
        <v>1.3601698725353091E-2</v>
      </c>
      <c r="I546" t="str">
        <f t="shared" si="105"/>
        <v>2012-03</v>
      </c>
      <c r="K546">
        <v>6941.77</v>
      </c>
      <c r="L546">
        <f t="shared" si="112"/>
        <v>1.2420935389547524E-2</v>
      </c>
      <c r="M546" t="str">
        <f t="shared" si="106"/>
        <v>2012-03</v>
      </c>
      <c r="O546">
        <v>7103.0693799999999</v>
      </c>
      <c r="P546">
        <f t="shared" si="113"/>
        <v>1.3812299495758837E-2</v>
      </c>
      <c r="Q546" t="str">
        <f t="shared" si="107"/>
        <v>2012-03</v>
      </c>
      <c r="S546">
        <v>8547.7000000000007</v>
      </c>
      <c r="T546">
        <f t="shared" si="114"/>
        <v>9.6159108368794356E-3</v>
      </c>
      <c r="U546" t="str">
        <f t="shared" si="108"/>
        <v>2012-03</v>
      </c>
      <c r="W546">
        <v>16830.599999999999</v>
      </c>
      <c r="X546">
        <f t="shared" si="115"/>
        <v>2.888452603408798E-2</v>
      </c>
      <c r="Y546">
        <f t="shared" si="116"/>
        <v>2.9305729597630951E-2</v>
      </c>
      <c r="Z546" t="str">
        <f t="shared" si="109"/>
        <v>2012-03</v>
      </c>
    </row>
    <row r="547" spans="1:26" x14ac:dyDescent="0.35">
      <c r="A547" s="1">
        <v>40970</v>
      </c>
      <c r="C547">
        <v>2546.16</v>
      </c>
      <c r="D547">
        <f t="shared" si="110"/>
        <v>-9.8138901890579516E-4</v>
      </c>
      <c r="E547" t="str">
        <f t="shared" si="104"/>
        <v>2012-03</v>
      </c>
      <c r="G547">
        <v>3501.17</v>
      </c>
      <c r="H547">
        <f t="shared" si="111"/>
        <v>4.1137568607101392E-4</v>
      </c>
      <c r="I547" t="str">
        <f t="shared" si="105"/>
        <v>2012-03</v>
      </c>
      <c r="K547">
        <v>6921.37</v>
      </c>
      <c r="L547">
        <f t="shared" si="112"/>
        <v>-2.9430583150289779E-3</v>
      </c>
      <c r="M547" t="str">
        <f t="shared" si="106"/>
        <v>2012-03</v>
      </c>
      <c r="O547">
        <v>7096.3985899999998</v>
      </c>
      <c r="P547">
        <f t="shared" si="113"/>
        <v>-9.3958315971425725E-4</v>
      </c>
      <c r="Q547" t="str">
        <f t="shared" si="107"/>
        <v>2012-03</v>
      </c>
      <c r="S547">
        <v>8563.4</v>
      </c>
      <c r="T547">
        <f t="shared" si="114"/>
        <v>1.8350666416270436E-3</v>
      </c>
      <c r="U547" t="str">
        <f t="shared" si="108"/>
        <v>2012-03</v>
      </c>
      <c r="W547">
        <v>16902.509999999998</v>
      </c>
      <c r="X547">
        <f t="shared" si="115"/>
        <v>4.2634734198460098E-3</v>
      </c>
      <c r="Y547">
        <f t="shared" si="116"/>
        <v>4.2725749527645993E-3</v>
      </c>
      <c r="Z547" t="str">
        <f t="shared" si="109"/>
        <v>2012-03</v>
      </c>
    </row>
    <row r="548" spans="1:26" x14ac:dyDescent="0.35">
      <c r="A548" s="1">
        <v>40973</v>
      </c>
      <c r="C548">
        <v>2529.86</v>
      </c>
      <c r="D548">
        <f t="shared" si="110"/>
        <v>-6.4223765970303536E-3</v>
      </c>
      <c r="E548" t="str">
        <f t="shared" si="104"/>
        <v>2012-03</v>
      </c>
      <c r="G548">
        <v>3487.54</v>
      </c>
      <c r="H548">
        <f t="shared" si="111"/>
        <v>-3.9005817328734644E-3</v>
      </c>
      <c r="I548" t="str">
        <f t="shared" si="105"/>
        <v>2012-03</v>
      </c>
      <c r="K548">
        <v>6866.46</v>
      </c>
      <c r="L548">
        <f t="shared" si="112"/>
        <v>-7.9650373262342439E-3</v>
      </c>
      <c r="M548" t="str">
        <f t="shared" si="106"/>
        <v>2012-03</v>
      </c>
      <c r="O548">
        <v>7046.8528100000003</v>
      </c>
      <c r="P548">
        <f t="shared" si="113"/>
        <v>-7.0063072875188471E-3</v>
      </c>
      <c r="Q548" t="str">
        <f t="shared" si="107"/>
        <v>2012-03</v>
      </c>
      <c r="S548">
        <v>8453.5</v>
      </c>
      <c r="T548">
        <f t="shared" si="114"/>
        <v>-1.2916750758895448E-2</v>
      </c>
      <c r="U548" t="str">
        <f t="shared" si="108"/>
        <v>2012-03</v>
      </c>
      <c r="W548">
        <v>16787.150000000001</v>
      </c>
      <c r="X548">
        <f t="shared" si="115"/>
        <v>-6.8484188248297065E-3</v>
      </c>
      <c r="Y548">
        <f t="shared" si="116"/>
        <v>-6.825021845867682E-3</v>
      </c>
      <c r="Z548" t="str">
        <f t="shared" si="109"/>
        <v>2012-03</v>
      </c>
    </row>
    <row r="549" spans="1:26" x14ac:dyDescent="0.35">
      <c r="A549" s="1">
        <v>40974</v>
      </c>
      <c r="C549">
        <v>2443.52</v>
      </c>
      <c r="D549">
        <f t="shared" si="110"/>
        <v>-3.4724342564821882E-2</v>
      </c>
      <c r="E549" t="str">
        <f t="shared" si="104"/>
        <v>2012-03</v>
      </c>
      <c r="G549">
        <v>3362.56</v>
      </c>
      <c r="H549">
        <f t="shared" si="111"/>
        <v>-3.6494027980830963E-2</v>
      </c>
      <c r="I549" t="str">
        <f t="shared" si="105"/>
        <v>2012-03</v>
      </c>
      <c r="K549">
        <v>6633.11</v>
      </c>
      <c r="L549">
        <f t="shared" si="112"/>
        <v>-3.4574915433283532E-2</v>
      </c>
      <c r="M549" t="str">
        <f t="shared" si="106"/>
        <v>2012-03</v>
      </c>
      <c r="O549">
        <v>6907.9691499999999</v>
      </c>
      <c r="P549">
        <f t="shared" si="113"/>
        <v>-1.9905412786773956E-2</v>
      </c>
      <c r="Q549" t="str">
        <f t="shared" si="107"/>
        <v>2012-03</v>
      </c>
      <c r="S549">
        <v>8166.6</v>
      </c>
      <c r="T549">
        <f t="shared" si="114"/>
        <v>-3.4527891210938175E-2</v>
      </c>
      <c r="U549" t="str">
        <f t="shared" si="108"/>
        <v>2012-03</v>
      </c>
      <c r="W549">
        <v>16218.06</v>
      </c>
      <c r="X549">
        <f t="shared" si="115"/>
        <v>-3.4488276677581607E-2</v>
      </c>
      <c r="Y549">
        <f t="shared" si="116"/>
        <v>-3.3900334482029525E-2</v>
      </c>
      <c r="Z549" t="str">
        <f t="shared" si="109"/>
        <v>2012-03</v>
      </c>
    </row>
    <row r="550" spans="1:26" x14ac:dyDescent="0.35">
      <c r="A550" s="1">
        <v>40975</v>
      </c>
      <c r="C550">
        <v>2460.77</v>
      </c>
      <c r="D550">
        <f t="shared" si="110"/>
        <v>7.0346864223915593E-3</v>
      </c>
      <c r="E550" t="str">
        <f t="shared" si="104"/>
        <v>2012-03</v>
      </c>
      <c r="G550">
        <v>3392.33</v>
      </c>
      <c r="H550">
        <f t="shared" si="111"/>
        <v>8.8144122984321147E-3</v>
      </c>
      <c r="I550" t="str">
        <f t="shared" si="105"/>
        <v>2012-03</v>
      </c>
      <c r="K550">
        <v>6671.11</v>
      </c>
      <c r="L550">
        <f t="shared" si="112"/>
        <v>5.7124887195613159E-3</v>
      </c>
      <c r="M550" t="str">
        <f t="shared" si="106"/>
        <v>2012-03</v>
      </c>
      <c r="O550">
        <v>6935.3269399999999</v>
      </c>
      <c r="P550">
        <f t="shared" si="113"/>
        <v>3.9525016929532588E-3</v>
      </c>
      <c r="Q550" t="str">
        <f t="shared" si="107"/>
        <v>2012-03</v>
      </c>
      <c r="S550">
        <v>8161.8</v>
      </c>
      <c r="T550">
        <f t="shared" si="114"/>
        <v>-5.8793269864363046E-4</v>
      </c>
      <c r="U550" t="str">
        <f t="shared" si="108"/>
        <v>2012-03</v>
      </c>
      <c r="W550">
        <v>16398.89</v>
      </c>
      <c r="X550">
        <f t="shared" si="115"/>
        <v>1.1088213504163877E-2</v>
      </c>
      <c r="Y550">
        <f t="shared" si="116"/>
        <v>1.1149915587930982E-2</v>
      </c>
      <c r="Z550" t="str">
        <f t="shared" si="109"/>
        <v>2012-03</v>
      </c>
    </row>
    <row r="551" spans="1:26" x14ac:dyDescent="0.35">
      <c r="A551" s="1">
        <v>40976</v>
      </c>
      <c r="C551">
        <v>2514.2199999999998</v>
      </c>
      <c r="D551">
        <f t="shared" si="110"/>
        <v>2.1488307186067784E-2</v>
      </c>
      <c r="E551" t="str">
        <f t="shared" si="104"/>
        <v>2012-03</v>
      </c>
      <c r="G551">
        <v>3478.36</v>
      </c>
      <c r="H551">
        <f t="shared" si="111"/>
        <v>2.5043917405253861E-2</v>
      </c>
      <c r="I551" t="str">
        <f t="shared" si="105"/>
        <v>2012-03</v>
      </c>
      <c r="K551">
        <v>6834.54</v>
      </c>
      <c r="L551">
        <f t="shared" si="112"/>
        <v>2.4202904379347724E-2</v>
      </c>
      <c r="M551" t="str">
        <f t="shared" si="106"/>
        <v>2012-03</v>
      </c>
      <c r="O551">
        <v>6989.43894</v>
      </c>
      <c r="P551">
        <f t="shared" si="113"/>
        <v>7.7720907991006586E-3</v>
      </c>
      <c r="Q551" t="str">
        <f t="shared" si="107"/>
        <v>2012-03</v>
      </c>
      <c r="S551">
        <v>8307.4</v>
      </c>
      <c r="T551">
        <f t="shared" si="114"/>
        <v>1.7681950973182273E-2</v>
      </c>
      <c r="U551" t="str">
        <f t="shared" si="108"/>
        <v>2012-03</v>
      </c>
      <c r="W551">
        <v>16664.25</v>
      </c>
      <c r="X551">
        <f t="shared" si="115"/>
        <v>1.6052056633789277E-2</v>
      </c>
      <c r="Y551">
        <f t="shared" si="116"/>
        <v>1.6181583021777728E-2</v>
      </c>
      <c r="Z551" t="str">
        <f t="shared" si="109"/>
        <v>2012-03</v>
      </c>
    </row>
    <row r="552" spans="1:26" x14ac:dyDescent="0.35">
      <c r="A552" s="1">
        <v>40977</v>
      </c>
      <c r="C552">
        <v>2515.9499999999998</v>
      </c>
      <c r="D552">
        <f t="shared" si="110"/>
        <v>6.8784954314094046E-4</v>
      </c>
      <c r="E552" t="str">
        <f t="shared" si="104"/>
        <v>2012-03</v>
      </c>
      <c r="G552">
        <v>3487.48</v>
      </c>
      <c r="H552">
        <f t="shared" si="111"/>
        <v>2.6184940254004021E-3</v>
      </c>
      <c r="I552" t="str">
        <f t="shared" si="105"/>
        <v>2012-03</v>
      </c>
      <c r="K552">
        <v>6880.21</v>
      </c>
      <c r="L552">
        <f t="shared" si="112"/>
        <v>6.6600074824951947E-3</v>
      </c>
      <c r="M552" t="str">
        <f t="shared" si="106"/>
        <v>2012-03</v>
      </c>
      <c r="O552">
        <v>7036.4436800000003</v>
      </c>
      <c r="P552">
        <f t="shared" si="113"/>
        <v>6.7025965133994158E-3</v>
      </c>
      <c r="Q552" t="str">
        <f t="shared" si="107"/>
        <v>2012-03</v>
      </c>
      <c r="S552">
        <v>8282.7000000000007</v>
      </c>
      <c r="T552">
        <f t="shared" si="114"/>
        <v>-2.9776816595909654E-3</v>
      </c>
      <c r="U552" t="str">
        <f t="shared" si="108"/>
        <v>2012-03</v>
      </c>
      <c r="W552">
        <v>16479.2</v>
      </c>
      <c r="X552">
        <f t="shared" si="115"/>
        <v>-1.1166726632797802E-2</v>
      </c>
      <c r="Y552">
        <f t="shared" si="116"/>
        <v>-1.1104610168474385E-2</v>
      </c>
      <c r="Z552" t="str">
        <f t="shared" si="109"/>
        <v>2012-03</v>
      </c>
    </row>
    <row r="553" spans="1:26" x14ac:dyDescent="0.35">
      <c r="A553" s="1">
        <v>40980</v>
      </c>
      <c r="C553">
        <v>2514.9699999999998</v>
      </c>
      <c r="D553">
        <f t="shared" si="110"/>
        <v>-3.8959077560184348E-4</v>
      </c>
      <c r="E553" t="str">
        <f t="shared" si="104"/>
        <v>2012-03</v>
      </c>
      <c r="G553">
        <v>3490.06</v>
      </c>
      <c r="H553">
        <f t="shared" si="111"/>
        <v>7.3951567961780284E-4</v>
      </c>
      <c r="I553" t="str">
        <f t="shared" si="105"/>
        <v>2012-03</v>
      </c>
      <c r="K553">
        <v>6901.35</v>
      </c>
      <c r="L553">
        <f t="shared" si="112"/>
        <v>3.067869904495142E-3</v>
      </c>
      <c r="M553" t="str">
        <f t="shared" si="106"/>
        <v>2012-03</v>
      </c>
      <c r="O553">
        <v>7007.3886700000003</v>
      </c>
      <c r="P553">
        <f t="shared" si="113"/>
        <v>-4.1377667762460199E-3</v>
      </c>
      <c r="Q553" t="str">
        <f t="shared" si="107"/>
        <v>2012-03</v>
      </c>
      <c r="S553">
        <v>8180.2</v>
      </c>
      <c r="T553">
        <f t="shared" si="114"/>
        <v>-1.2452402005380716E-2</v>
      </c>
      <c r="U553" t="str">
        <f t="shared" si="108"/>
        <v>2012-03</v>
      </c>
      <c r="W553">
        <v>16457.189999999999</v>
      </c>
      <c r="X553">
        <f t="shared" si="115"/>
        <v>-1.3365158280143588E-3</v>
      </c>
      <c r="Y553">
        <f t="shared" si="116"/>
        <v>-1.3356230884995653E-3</v>
      </c>
      <c r="Z553" t="str">
        <f t="shared" si="109"/>
        <v>2012-03</v>
      </c>
    </row>
    <row r="554" spans="1:26" x14ac:dyDescent="0.35">
      <c r="A554" s="1">
        <v>40981</v>
      </c>
      <c r="C554">
        <v>2556.8200000000002</v>
      </c>
      <c r="D554">
        <f t="shared" si="110"/>
        <v>1.6503423785937357E-2</v>
      </c>
      <c r="E554" t="str">
        <f t="shared" si="104"/>
        <v>2012-03</v>
      </c>
      <c r="G554">
        <v>3550.16</v>
      </c>
      <c r="H554">
        <f t="shared" si="111"/>
        <v>1.7073744850585788E-2</v>
      </c>
      <c r="I554" t="str">
        <f t="shared" si="105"/>
        <v>2012-03</v>
      </c>
      <c r="K554">
        <v>6995.91</v>
      </c>
      <c r="L554">
        <f t="shared" si="112"/>
        <v>1.3608647939874334E-2</v>
      </c>
      <c r="M554" t="str">
        <f t="shared" si="106"/>
        <v>2012-03</v>
      </c>
      <c r="O554">
        <v>7142.0042000000003</v>
      </c>
      <c r="P554">
        <f t="shared" si="113"/>
        <v>1.9028320575695971E-2</v>
      </c>
      <c r="Q554" t="str">
        <f t="shared" si="107"/>
        <v>2012-03</v>
      </c>
      <c r="S554">
        <v>8376.7999999999993</v>
      </c>
      <c r="T554">
        <f t="shared" si="114"/>
        <v>2.3749379797602287E-2</v>
      </c>
      <c r="U554" t="str">
        <f t="shared" si="108"/>
        <v>2012-03</v>
      </c>
      <c r="W554">
        <v>16799.009999999998</v>
      </c>
      <c r="X554">
        <f t="shared" si="115"/>
        <v>2.055749231572019E-2</v>
      </c>
      <c r="Y554">
        <f t="shared" si="116"/>
        <v>2.0770253001879405E-2</v>
      </c>
      <c r="Z554" t="str">
        <f t="shared" si="109"/>
        <v>2012-03</v>
      </c>
    </row>
    <row r="555" spans="1:26" x14ac:dyDescent="0.35">
      <c r="A555" s="1">
        <v>40982</v>
      </c>
      <c r="C555">
        <v>2574.79</v>
      </c>
      <c r="D555">
        <f t="shared" si="110"/>
        <v>7.0036785549099593E-3</v>
      </c>
      <c r="E555" t="str">
        <f t="shared" si="104"/>
        <v>2012-03</v>
      </c>
      <c r="G555">
        <v>3564.51</v>
      </c>
      <c r="H555">
        <f t="shared" si="111"/>
        <v>4.033924119950752E-3</v>
      </c>
      <c r="I555" t="str">
        <f t="shared" si="105"/>
        <v>2012-03</v>
      </c>
      <c r="K555">
        <v>7079.42</v>
      </c>
      <c r="L555">
        <f t="shared" si="112"/>
        <v>1.1866290866362338E-2</v>
      </c>
      <c r="M555" t="str">
        <f t="shared" si="106"/>
        <v>2012-03</v>
      </c>
      <c r="O555">
        <v>7154.3371399999996</v>
      </c>
      <c r="P555">
        <f t="shared" si="113"/>
        <v>1.7253285670847339E-3</v>
      </c>
      <c r="Q555" t="str">
        <f t="shared" si="107"/>
        <v>2012-03</v>
      </c>
      <c r="S555">
        <v>8391.1</v>
      </c>
      <c r="T555">
        <f t="shared" si="114"/>
        <v>1.7056403564916969E-3</v>
      </c>
      <c r="U555" t="str">
        <f t="shared" si="108"/>
        <v>2012-03</v>
      </c>
      <c r="W555">
        <v>16850.32</v>
      </c>
      <c r="X555">
        <f t="shared" si="115"/>
        <v>3.0496916145368274E-3</v>
      </c>
      <c r="Y555">
        <f t="shared" si="116"/>
        <v>3.0543466549517689E-3</v>
      </c>
      <c r="Z555" t="str">
        <f t="shared" si="109"/>
        <v>2012-03</v>
      </c>
    </row>
    <row r="556" spans="1:26" x14ac:dyDescent="0.35">
      <c r="A556" s="1">
        <v>40983</v>
      </c>
      <c r="C556">
        <v>2593.9699999999998</v>
      </c>
      <c r="D556">
        <f t="shared" si="110"/>
        <v>7.4215432850461378E-3</v>
      </c>
      <c r="E556" t="str">
        <f t="shared" si="104"/>
        <v>2012-03</v>
      </c>
      <c r="G556">
        <v>3580.21</v>
      </c>
      <c r="H556">
        <f t="shared" si="111"/>
        <v>4.3948608959318526E-3</v>
      </c>
      <c r="I556" t="str">
        <f t="shared" si="105"/>
        <v>2012-03</v>
      </c>
      <c r="K556">
        <v>7144.45</v>
      </c>
      <c r="L556">
        <f t="shared" si="112"/>
        <v>9.1438480660556501E-3</v>
      </c>
      <c r="M556" t="str">
        <f t="shared" si="106"/>
        <v>2012-03</v>
      </c>
      <c r="O556">
        <v>7130.5871299999999</v>
      </c>
      <c r="P556">
        <f t="shared" si="113"/>
        <v>-3.3251883502506473E-3</v>
      </c>
      <c r="Q556" t="str">
        <f t="shared" si="107"/>
        <v>2012-03</v>
      </c>
      <c r="S556">
        <v>8426.7000000000007</v>
      </c>
      <c r="T556">
        <f t="shared" si="114"/>
        <v>4.2336159513190778E-3</v>
      </c>
      <c r="U556" t="str">
        <f t="shared" si="108"/>
        <v>2012-03</v>
      </c>
      <c r="W556">
        <v>16993.310000000001</v>
      </c>
      <c r="X556">
        <f t="shared" si="115"/>
        <v>8.4500894754668734E-3</v>
      </c>
      <c r="Y556">
        <f t="shared" si="116"/>
        <v>8.4858922560522056E-3</v>
      </c>
      <c r="Z556" t="str">
        <f t="shared" si="109"/>
        <v>2012-03</v>
      </c>
    </row>
    <row r="557" spans="1:26" x14ac:dyDescent="0.35">
      <c r="A557" s="1">
        <v>40984</v>
      </c>
      <c r="C557">
        <v>2608.3000000000002</v>
      </c>
      <c r="D557">
        <f t="shared" si="110"/>
        <v>5.5091474467042359E-3</v>
      </c>
      <c r="E557" t="str">
        <f t="shared" si="104"/>
        <v>2012-03</v>
      </c>
      <c r="G557">
        <v>3594.83</v>
      </c>
      <c r="H557">
        <f t="shared" si="111"/>
        <v>4.0752442449397269E-3</v>
      </c>
      <c r="I557" t="str">
        <f t="shared" si="105"/>
        <v>2012-03</v>
      </c>
      <c r="K557">
        <v>7157.82</v>
      </c>
      <c r="L557">
        <f t="shared" si="112"/>
        <v>1.8696338266027215E-3</v>
      </c>
      <c r="M557" t="str">
        <f t="shared" si="106"/>
        <v>2012-03</v>
      </c>
      <c r="O557">
        <v>7169.2056400000001</v>
      </c>
      <c r="P557">
        <f t="shared" si="113"/>
        <v>5.4012816141647468E-3</v>
      </c>
      <c r="Q557" t="str">
        <f t="shared" si="107"/>
        <v>2012-03</v>
      </c>
      <c r="S557">
        <v>8486.2999999999993</v>
      </c>
      <c r="T557">
        <f t="shared" si="114"/>
        <v>7.0478622013666944E-3</v>
      </c>
      <c r="U557" t="str">
        <f t="shared" si="108"/>
        <v>2012-03</v>
      </c>
      <c r="W557">
        <v>17081.689999999999</v>
      </c>
      <c r="X557">
        <f t="shared" si="115"/>
        <v>5.1873924099773124E-3</v>
      </c>
      <c r="Y557">
        <f t="shared" si="116"/>
        <v>5.2008702248118452E-3</v>
      </c>
      <c r="Z557" t="str">
        <f t="shared" si="109"/>
        <v>2012-03</v>
      </c>
    </row>
    <row r="558" spans="1:26" x14ac:dyDescent="0.35">
      <c r="A558" s="1">
        <v>40987</v>
      </c>
      <c r="C558">
        <v>2608.42</v>
      </c>
      <c r="D558">
        <f t="shared" si="110"/>
        <v>4.6005919436292161E-5</v>
      </c>
      <c r="E558" t="str">
        <f t="shared" si="104"/>
        <v>2012-03</v>
      </c>
      <c r="G558">
        <v>3577.88</v>
      </c>
      <c r="H558">
        <f t="shared" si="111"/>
        <v>-4.726255920481909E-3</v>
      </c>
      <c r="I558" t="str">
        <f t="shared" si="105"/>
        <v>2012-03</v>
      </c>
      <c r="K558">
        <v>7154.22</v>
      </c>
      <c r="L558">
        <f t="shared" si="112"/>
        <v>-5.0307294780114814E-4</v>
      </c>
      <c r="M558" t="str">
        <f t="shared" si="106"/>
        <v>2012-03</v>
      </c>
      <c r="O558">
        <v>7159.0041000000001</v>
      </c>
      <c r="P558">
        <f t="shared" si="113"/>
        <v>-1.4239799540819765E-3</v>
      </c>
      <c r="Q558" t="str">
        <f t="shared" si="107"/>
        <v>2012-03</v>
      </c>
      <c r="S558">
        <v>8591.7999999999993</v>
      </c>
      <c r="T558">
        <f t="shared" si="114"/>
        <v>1.2355161527880234E-2</v>
      </c>
      <c r="U558" t="str">
        <f t="shared" si="108"/>
        <v>2012-03</v>
      </c>
      <c r="W558">
        <v>17133.419999999998</v>
      </c>
      <c r="X558">
        <f t="shared" si="115"/>
        <v>3.023812544565766E-3</v>
      </c>
      <c r="Y558">
        <f t="shared" si="116"/>
        <v>3.0283888772129437E-3</v>
      </c>
      <c r="Z558" t="str">
        <f t="shared" si="109"/>
        <v>2012-03</v>
      </c>
    </row>
    <row r="559" spans="1:26" x14ac:dyDescent="0.35">
      <c r="A559" s="1">
        <v>40988</v>
      </c>
      <c r="C559">
        <v>2576.61</v>
      </c>
      <c r="D559">
        <f t="shared" si="110"/>
        <v>-1.2270092591814359E-2</v>
      </c>
      <c r="E559" t="str">
        <f t="shared" si="104"/>
        <v>2012-03</v>
      </c>
      <c r="G559">
        <v>3530.83</v>
      </c>
      <c r="H559">
        <f t="shared" si="111"/>
        <v>-1.3237475448733644E-2</v>
      </c>
      <c r="I559" t="str">
        <f t="shared" si="105"/>
        <v>2012-03</v>
      </c>
      <c r="K559">
        <v>7054.94</v>
      </c>
      <c r="L559">
        <f t="shared" si="112"/>
        <v>-1.3974311728879274E-2</v>
      </c>
      <c r="M559" t="str">
        <f t="shared" si="106"/>
        <v>2012-03</v>
      </c>
      <c r="O559">
        <v>7063.3691200000003</v>
      </c>
      <c r="P559">
        <f t="shared" si="113"/>
        <v>-1.3448728979484809E-2</v>
      </c>
      <c r="Q559" t="str">
        <f t="shared" si="107"/>
        <v>2012-03</v>
      </c>
      <c r="S559">
        <v>8567.5</v>
      </c>
      <c r="T559">
        <f t="shared" si="114"/>
        <v>-2.832285261545899E-3</v>
      </c>
      <c r="U559" t="str">
        <f t="shared" si="108"/>
        <v>2012-03</v>
      </c>
      <c r="W559">
        <v>16953.62</v>
      </c>
      <c r="X559">
        <f t="shared" si="115"/>
        <v>-1.0549561800662742E-2</v>
      </c>
      <c r="Y559">
        <f t="shared" si="116"/>
        <v>-1.0494110341076054E-2</v>
      </c>
      <c r="Z559" t="str">
        <f t="shared" si="109"/>
        <v>2012-03</v>
      </c>
    </row>
    <row r="560" spans="1:26" x14ac:dyDescent="0.35">
      <c r="A560" s="1">
        <v>40989</v>
      </c>
      <c r="C560">
        <v>2567.58</v>
      </c>
      <c r="D560">
        <f t="shared" si="110"/>
        <v>-3.5107604014979325E-3</v>
      </c>
      <c r="E560" t="str">
        <f t="shared" si="104"/>
        <v>2012-03</v>
      </c>
      <c r="G560">
        <v>3527.37</v>
      </c>
      <c r="H560">
        <f t="shared" si="111"/>
        <v>-9.8042001562800352E-4</v>
      </c>
      <c r="I560" t="str">
        <f t="shared" si="105"/>
        <v>2012-03</v>
      </c>
      <c r="K560">
        <v>7071.32</v>
      </c>
      <c r="L560">
        <f t="shared" si="112"/>
        <v>2.3190862041601022E-3</v>
      </c>
      <c r="M560" t="str">
        <f t="shared" si="106"/>
        <v>2012-03</v>
      </c>
      <c r="O560">
        <v>7076.7685600000004</v>
      </c>
      <c r="P560">
        <f t="shared" si="113"/>
        <v>1.8952352960124124E-3</v>
      </c>
      <c r="Q560" t="str">
        <f t="shared" si="107"/>
        <v>2012-03</v>
      </c>
      <c r="S560">
        <v>8490.9</v>
      </c>
      <c r="T560">
        <f t="shared" si="114"/>
        <v>-8.9809729945852287E-3</v>
      </c>
      <c r="U560" t="str">
        <f t="shared" si="108"/>
        <v>2012-03</v>
      </c>
      <c r="W560">
        <v>16734.75</v>
      </c>
      <c r="X560">
        <f t="shared" si="115"/>
        <v>-1.2993984544726857E-2</v>
      </c>
      <c r="Y560">
        <f t="shared" si="116"/>
        <v>-1.2909927201388199E-2</v>
      </c>
      <c r="Z560" t="str">
        <f t="shared" si="109"/>
        <v>2012-03</v>
      </c>
    </row>
    <row r="561" spans="1:26" x14ac:dyDescent="0.35">
      <c r="A561" s="1">
        <v>40990</v>
      </c>
      <c r="C561">
        <v>2530.2199999999998</v>
      </c>
      <c r="D561">
        <f t="shared" si="110"/>
        <v>-1.465756556918783E-2</v>
      </c>
      <c r="E561" t="str">
        <f t="shared" si="104"/>
        <v>2012-03</v>
      </c>
      <c r="G561">
        <v>3472.46</v>
      </c>
      <c r="H561">
        <f t="shared" si="111"/>
        <v>-1.5689274268654536E-2</v>
      </c>
      <c r="I561" t="str">
        <f t="shared" si="105"/>
        <v>2012-03</v>
      </c>
      <c r="K561">
        <v>6981.26</v>
      </c>
      <c r="L561">
        <f t="shared" si="112"/>
        <v>-1.2817750623526735E-2</v>
      </c>
      <c r="M561" t="str">
        <f t="shared" si="106"/>
        <v>2012-03</v>
      </c>
      <c r="O561">
        <v>7012.7402499999998</v>
      </c>
      <c r="P561">
        <f t="shared" si="113"/>
        <v>-9.0888549245966756E-3</v>
      </c>
      <c r="Q561" t="str">
        <f t="shared" si="107"/>
        <v>2012-03</v>
      </c>
      <c r="S561">
        <v>8353.6</v>
      </c>
      <c r="T561">
        <f t="shared" si="114"/>
        <v>-1.6302418097890719E-2</v>
      </c>
      <c r="U561" t="str">
        <f t="shared" si="108"/>
        <v>2012-03</v>
      </c>
      <c r="W561">
        <v>16450.68</v>
      </c>
      <c r="X561">
        <f t="shared" si="115"/>
        <v>-1.7120582057552274E-2</v>
      </c>
      <c r="Y561">
        <f t="shared" si="116"/>
        <v>-1.6974857706269868E-2</v>
      </c>
      <c r="Z561" t="str">
        <f t="shared" si="109"/>
        <v>2012-03</v>
      </c>
    </row>
    <row r="562" spans="1:26" x14ac:dyDescent="0.35">
      <c r="A562" s="1">
        <v>40991</v>
      </c>
      <c r="C562">
        <v>2525.4299999999998</v>
      </c>
      <c r="D562">
        <f t="shared" si="110"/>
        <v>-1.894910222535828E-3</v>
      </c>
      <c r="E562" t="str">
        <f t="shared" si="104"/>
        <v>2012-03</v>
      </c>
      <c r="G562">
        <v>3476.18</v>
      </c>
      <c r="H562">
        <f t="shared" si="111"/>
        <v>1.0707132202537491E-3</v>
      </c>
      <c r="I562" t="str">
        <f t="shared" si="105"/>
        <v>2012-03</v>
      </c>
      <c r="K562">
        <v>6995.62</v>
      </c>
      <c r="L562">
        <f t="shared" si="112"/>
        <v>2.0548226861332492E-3</v>
      </c>
      <c r="M562" t="str">
        <f t="shared" si="106"/>
        <v>2012-03</v>
      </c>
      <c r="O562">
        <v>7005.2966500000002</v>
      </c>
      <c r="P562">
        <f t="shared" si="113"/>
        <v>-1.0620032965679002E-3</v>
      </c>
      <c r="Q562" t="str">
        <f t="shared" si="107"/>
        <v>2012-03</v>
      </c>
      <c r="S562">
        <v>8281.7999999999993</v>
      </c>
      <c r="T562">
        <f t="shared" si="114"/>
        <v>-8.6322475987004946E-3</v>
      </c>
      <c r="U562" t="str">
        <f t="shared" si="108"/>
        <v>2012-03</v>
      </c>
      <c r="W562">
        <v>16485.240000000002</v>
      </c>
      <c r="X562">
        <f t="shared" si="115"/>
        <v>2.0986213644026753E-3</v>
      </c>
      <c r="Y562">
        <f t="shared" si="116"/>
        <v>2.1008250114889662E-3</v>
      </c>
      <c r="Z562" t="str">
        <f t="shared" si="109"/>
        <v>2012-03</v>
      </c>
    </row>
    <row r="563" spans="1:26" x14ac:dyDescent="0.35">
      <c r="A563" s="1">
        <v>40994</v>
      </c>
      <c r="C563">
        <v>2539.87</v>
      </c>
      <c r="D563">
        <f t="shared" si="110"/>
        <v>5.701553360152779E-3</v>
      </c>
      <c r="E563" t="str">
        <f t="shared" si="104"/>
        <v>2012-03</v>
      </c>
      <c r="G563">
        <v>3501.98</v>
      </c>
      <c r="H563">
        <f t="shared" si="111"/>
        <v>7.3945331032823297E-3</v>
      </c>
      <c r="I563" t="str">
        <f t="shared" si="105"/>
        <v>2012-03</v>
      </c>
      <c r="K563">
        <v>7079.23</v>
      </c>
      <c r="L563">
        <f t="shared" si="112"/>
        <v>1.1880905800285885E-2</v>
      </c>
      <c r="M563" t="str">
        <f t="shared" si="106"/>
        <v>2012-03</v>
      </c>
      <c r="O563">
        <v>7060.3874100000003</v>
      </c>
      <c r="P563">
        <f t="shared" si="113"/>
        <v>7.8333967223762745E-3</v>
      </c>
      <c r="Q563" t="str">
        <f t="shared" si="107"/>
        <v>2012-03</v>
      </c>
      <c r="S563">
        <v>8224.7000000000007</v>
      </c>
      <c r="T563">
        <f t="shared" si="114"/>
        <v>-6.9185142533470202E-3</v>
      </c>
      <c r="U563" t="str">
        <f t="shared" si="108"/>
        <v>2012-03</v>
      </c>
      <c r="W563">
        <v>16619.11</v>
      </c>
      <c r="X563">
        <f t="shared" si="115"/>
        <v>8.0878029461857858E-3</v>
      </c>
      <c r="Y563">
        <f t="shared" si="116"/>
        <v>8.1205975769839539E-3</v>
      </c>
      <c r="Z563" t="str">
        <f t="shared" si="109"/>
        <v>2012-03</v>
      </c>
    </row>
    <row r="564" spans="1:26" x14ac:dyDescent="0.35">
      <c r="A564" s="1">
        <v>40995</v>
      </c>
      <c r="C564">
        <v>2525.21</v>
      </c>
      <c r="D564">
        <f t="shared" si="110"/>
        <v>-5.7886710324235174E-3</v>
      </c>
      <c r="E564" t="str">
        <f t="shared" si="104"/>
        <v>2012-03</v>
      </c>
      <c r="G564">
        <v>3469.59</v>
      </c>
      <c r="H564">
        <f t="shared" si="111"/>
        <v>-9.2920914668329895E-3</v>
      </c>
      <c r="I564" t="str">
        <f t="shared" si="105"/>
        <v>2012-03</v>
      </c>
      <c r="K564">
        <v>7078.9</v>
      </c>
      <c r="L564">
        <f t="shared" si="112"/>
        <v>-4.6616325752028361E-5</v>
      </c>
      <c r="M564" t="str">
        <f t="shared" si="106"/>
        <v>2012-03</v>
      </c>
      <c r="O564">
        <v>7026.0335400000004</v>
      </c>
      <c r="P564">
        <f t="shared" si="113"/>
        <v>-4.8775964073727879E-3</v>
      </c>
      <c r="Q564" t="str">
        <f t="shared" si="107"/>
        <v>2012-03</v>
      </c>
      <c r="S564">
        <v>8140.3</v>
      </c>
      <c r="T564">
        <f t="shared" si="114"/>
        <v>-1.0314787449929681E-2</v>
      </c>
      <c r="U564" t="str">
        <f t="shared" si="108"/>
        <v>2012-03</v>
      </c>
      <c r="W564">
        <v>16498.73</v>
      </c>
      <c r="X564">
        <f t="shared" si="115"/>
        <v>-7.2698298063753808E-3</v>
      </c>
      <c r="Y564">
        <f t="shared" si="116"/>
        <v>-7.2434685130552123E-3</v>
      </c>
      <c r="Z564" t="str">
        <f t="shared" si="109"/>
        <v>2012-03</v>
      </c>
    </row>
    <row r="565" spans="1:26" x14ac:dyDescent="0.35">
      <c r="A565" s="1">
        <v>40996</v>
      </c>
      <c r="C565">
        <v>2496.6799999999998</v>
      </c>
      <c r="D565">
        <f t="shared" si="110"/>
        <v>-1.1362378285165361E-2</v>
      </c>
      <c r="E565" t="str">
        <f t="shared" si="104"/>
        <v>2012-03</v>
      </c>
      <c r="G565">
        <v>3430.15</v>
      </c>
      <c r="H565">
        <f t="shared" si="111"/>
        <v>-1.143243935817837E-2</v>
      </c>
      <c r="I565" t="str">
        <f t="shared" si="105"/>
        <v>2012-03</v>
      </c>
      <c r="K565">
        <v>6998.8</v>
      </c>
      <c r="L565">
        <f t="shared" si="112"/>
        <v>-1.1379822614923651E-2</v>
      </c>
      <c r="M565" t="str">
        <f t="shared" si="106"/>
        <v>2012-03</v>
      </c>
      <c r="O565">
        <v>6926.6072000000004</v>
      </c>
      <c r="P565">
        <f t="shared" si="113"/>
        <v>-1.4252215741872574E-2</v>
      </c>
      <c r="Q565" t="str">
        <f t="shared" si="107"/>
        <v>2012-03</v>
      </c>
      <c r="S565">
        <v>7980.8</v>
      </c>
      <c r="T565">
        <f t="shared" si="114"/>
        <v>-1.9788377308648179E-2</v>
      </c>
      <c r="U565" t="str">
        <f t="shared" si="108"/>
        <v>2012-03</v>
      </c>
      <c r="W565">
        <v>16451.71</v>
      </c>
      <c r="X565">
        <f t="shared" si="115"/>
        <v>-2.8539850706530557E-3</v>
      </c>
      <c r="Y565">
        <f t="shared" si="116"/>
        <v>-2.8499163268930661E-3</v>
      </c>
      <c r="Z565" t="str">
        <f t="shared" si="109"/>
        <v>2012-03</v>
      </c>
    </row>
    <row r="566" spans="1:26" x14ac:dyDescent="0.35">
      <c r="A566" s="1">
        <v>40997</v>
      </c>
      <c r="C566">
        <v>2452.7399999999998</v>
      </c>
      <c r="D566">
        <f t="shared" si="110"/>
        <v>-1.7756082304010237E-2</v>
      </c>
      <c r="E566" t="str">
        <f t="shared" si="104"/>
        <v>2012-03</v>
      </c>
      <c r="G566">
        <v>3381.12</v>
      </c>
      <c r="H566">
        <f t="shared" si="111"/>
        <v>-1.4396976446308654E-2</v>
      </c>
      <c r="I566" t="str">
        <f t="shared" si="105"/>
        <v>2012-03</v>
      </c>
      <c r="K566">
        <v>6875.15</v>
      </c>
      <c r="L566">
        <f t="shared" si="112"/>
        <v>-1.7825244291887674E-2</v>
      </c>
      <c r="M566" t="str">
        <f t="shared" si="106"/>
        <v>2012-03</v>
      </c>
      <c r="O566">
        <v>6886.62932</v>
      </c>
      <c r="P566">
        <f t="shared" si="113"/>
        <v>-5.7883598190751522E-3</v>
      </c>
      <c r="Q566" t="str">
        <f t="shared" si="107"/>
        <v>2012-03</v>
      </c>
      <c r="S566">
        <v>7911</v>
      </c>
      <c r="T566">
        <f t="shared" si="114"/>
        <v>-8.7844610242662716E-3</v>
      </c>
      <c r="U566" t="str">
        <f t="shared" si="108"/>
        <v>2012-03</v>
      </c>
      <c r="W566">
        <v>15908.85</v>
      </c>
      <c r="X566">
        <f t="shared" si="115"/>
        <v>-3.3553865023246462E-2</v>
      </c>
      <c r="Y566">
        <f t="shared" si="116"/>
        <v>-3.2997177800970161E-2</v>
      </c>
      <c r="Z566" t="str">
        <f t="shared" si="109"/>
        <v>2012-03</v>
      </c>
    </row>
    <row r="567" spans="1:26" x14ac:dyDescent="0.35">
      <c r="A567" s="1">
        <v>40998</v>
      </c>
      <c r="C567">
        <v>2477.2800000000002</v>
      </c>
      <c r="D567">
        <f t="shared" si="110"/>
        <v>9.9554170897031731E-3</v>
      </c>
      <c r="E567" t="str">
        <f t="shared" si="104"/>
        <v>2012-03</v>
      </c>
      <c r="G567">
        <v>3423.81</v>
      </c>
      <c r="H567">
        <f t="shared" si="111"/>
        <v>1.2546950531867477E-2</v>
      </c>
      <c r="I567" t="str">
        <f t="shared" si="105"/>
        <v>2012-03</v>
      </c>
      <c r="K567">
        <v>6946.83</v>
      </c>
      <c r="L567">
        <f t="shared" si="112"/>
        <v>1.0371978920210237E-2</v>
      </c>
      <c r="M567" t="str">
        <f t="shared" si="106"/>
        <v>2012-03</v>
      </c>
      <c r="O567">
        <v>6918.9381899999998</v>
      </c>
      <c r="P567">
        <f t="shared" si="113"/>
        <v>4.6805651359087897E-3</v>
      </c>
      <c r="Q567" t="str">
        <f t="shared" si="107"/>
        <v>2012-03</v>
      </c>
      <c r="S567">
        <v>8008</v>
      </c>
      <c r="T567">
        <f t="shared" si="114"/>
        <v>1.2186845973660087E-2</v>
      </c>
      <c r="U567" t="str">
        <f t="shared" si="108"/>
        <v>2012-03</v>
      </c>
      <c r="W567">
        <v>15980.07</v>
      </c>
      <c r="X567">
        <f t="shared" si="115"/>
        <v>4.4667626507823481E-3</v>
      </c>
      <c r="Y567">
        <f t="shared" si="116"/>
        <v>4.4767535051244648E-3</v>
      </c>
      <c r="Z567" t="str">
        <f t="shared" si="109"/>
        <v>2012-03</v>
      </c>
    </row>
    <row r="568" spans="1:26" x14ac:dyDescent="0.35">
      <c r="A568" s="1">
        <v>41001</v>
      </c>
      <c r="C568">
        <v>2501.1799999999998</v>
      </c>
      <c r="D568">
        <f t="shared" si="110"/>
        <v>9.6014364308041316E-3</v>
      </c>
      <c r="E568" t="str">
        <f t="shared" si="104"/>
        <v>2012-04</v>
      </c>
      <c r="G568">
        <v>3462.91</v>
      </c>
      <c r="H568">
        <f t="shared" si="111"/>
        <v>1.1355309970082092E-2</v>
      </c>
      <c r="I568" t="str">
        <f t="shared" si="105"/>
        <v>2012-04</v>
      </c>
      <c r="K568">
        <v>7056.65</v>
      </c>
      <c r="L568">
        <f t="shared" si="112"/>
        <v>1.568499422644239E-2</v>
      </c>
      <c r="M568" t="str">
        <f t="shared" si="106"/>
        <v>2012-04</v>
      </c>
      <c r="O568">
        <v>7060.0936300000003</v>
      </c>
      <c r="P568">
        <f t="shared" si="113"/>
        <v>2.019599635197418E-2</v>
      </c>
      <c r="Q568" t="str">
        <f t="shared" si="107"/>
        <v>2012-04</v>
      </c>
      <c r="S568">
        <v>8042.8</v>
      </c>
      <c r="T568">
        <f t="shared" si="114"/>
        <v>4.3362392564356526E-3</v>
      </c>
      <c r="U568" t="str">
        <f t="shared" si="108"/>
        <v>2012-04</v>
      </c>
      <c r="W568">
        <v>15948.86</v>
      </c>
      <c r="X568">
        <f t="shared" si="115"/>
        <v>-1.9549674818490586E-3</v>
      </c>
      <c r="Y568">
        <f t="shared" si="116"/>
        <v>-1.9530577775941612E-3</v>
      </c>
      <c r="Z568" t="str">
        <f t="shared" si="109"/>
        <v>2012-04</v>
      </c>
    </row>
    <row r="569" spans="1:26" x14ac:dyDescent="0.35">
      <c r="A569" s="1">
        <v>41002</v>
      </c>
      <c r="C569">
        <v>2458.98</v>
      </c>
      <c r="D569">
        <f t="shared" si="110"/>
        <v>-1.7015990703770568E-2</v>
      </c>
      <c r="E569" t="str">
        <f t="shared" si="104"/>
        <v>2012-04</v>
      </c>
      <c r="G569">
        <v>3406.78</v>
      </c>
      <c r="H569">
        <f t="shared" si="111"/>
        <v>-1.6341712399870003E-2</v>
      </c>
      <c r="I569" t="str">
        <f t="shared" si="105"/>
        <v>2012-04</v>
      </c>
      <c r="K569">
        <v>6982.28</v>
      </c>
      <c r="L569">
        <f t="shared" si="112"/>
        <v>-1.059492364204258E-2</v>
      </c>
      <c r="M569" t="str">
        <f t="shared" si="106"/>
        <v>2012-04</v>
      </c>
      <c r="O569">
        <v>6993.74442</v>
      </c>
      <c r="P569">
        <f t="shared" si="113"/>
        <v>-9.4422182343186136E-3</v>
      </c>
      <c r="Q569" t="str">
        <f t="shared" si="107"/>
        <v>2012-04</v>
      </c>
      <c r="S569">
        <v>7824.5</v>
      </c>
      <c r="T569">
        <f t="shared" si="114"/>
        <v>-2.7517444648265513E-2</v>
      </c>
      <c r="U569" t="str">
        <f t="shared" si="108"/>
        <v>2012-04</v>
      </c>
      <c r="W569">
        <v>15624.23</v>
      </c>
      <c r="X569">
        <f t="shared" si="115"/>
        <v>-2.0564438914113692E-2</v>
      </c>
      <c r="Y569">
        <f t="shared" si="116"/>
        <v>-2.0354432856016104E-2</v>
      </c>
      <c r="Z569" t="str">
        <f t="shared" si="109"/>
        <v>2012-04</v>
      </c>
    </row>
    <row r="570" spans="1:26" x14ac:dyDescent="0.35">
      <c r="A570" s="1">
        <v>41003</v>
      </c>
      <c r="C570">
        <v>2398.46</v>
      </c>
      <c r="D570">
        <f t="shared" si="110"/>
        <v>-2.4919765082353915E-2</v>
      </c>
      <c r="E570" t="str">
        <f t="shared" si="104"/>
        <v>2012-04</v>
      </c>
      <c r="G570">
        <v>3313.47</v>
      </c>
      <c r="H570">
        <f t="shared" si="111"/>
        <v>-2.7771585021210687E-2</v>
      </c>
      <c r="I570" t="str">
        <f t="shared" si="105"/>
        <v>2012-04</v>
      </c>
      <c r="K570">
        <v>6784.06</v>
      </c>
      <c r="L570">
        <f t="shared" si="112"/>
        <v>-2.8799768210936414E-2</v>
      </c>
      <c r="M570" t="str">
        <f t="shared" si="106"/>
        <v>2012-04</v>
      </c>
      <c r="O570">
        <v>6894.8054099999999</v>
      </c>
      <c r="P570">
        <f t="shared" si="113"/>
        <v>-1.4247806275459858E-2</v>
      </c>
      <c r="Q570" t="str">
        <f t="shared" si="107"/>
        <v>2012-04</v>
      </c>
      <c r="S570">
        <v>7660.7</v>
      </c>
      <c r="T570">
        <f t="shared" si="114"/>
        <v>-2.1156473231825446E-2</v>
      </c>
      <c r="U570" t="str">
        <f t="shared" si="108"/>
        <v>2012-04</v>
      </c>
      <c r="W570">
        <v>15245.92</v>
      </c>
      <c r="X570">
        <f t="shared" si="115"/>
        <v>-2.451098813382558E-2</v>
      </c>
      <c r="Y570">
        <f t="shared" si="116"/>
        <v>-2.4213033218276964E-2</v>
      </c>
      <c r="Z570" t="str">
        <f t="shared" si="109"/>
        <v>2012-04</v>
      </c>
    </row>
    <row r="571" spans="1:26" x14ac:dyDescent="0.35">
      <c r="A571" s="1">
        <v>41004</v>
      </c>
      <c r="C571">
        <v>2392.54</v>
      </c>
      <c r="D571">
        <f t="shared" si="110"/>
        <v>-2.4713016125861068E-3</v>
      </c>
      <c r="E571" t="str">
        <f t="shared" si="104"/>
        <v>2012-04</v>
      </c>
      <c r="G571">
        <v>3319.81</v>
      </c>
      <c r="H571">
        <f t="shared" si="111"/>
        <v>1.9115737404693065E-3</v>
      </c>
      <c r="I571" t="str">
        <f t="shared" si="105"/>
        <v>2012-04</v>
      </c>
      <c r="K571">
        <v>6775.26</v>
      </c>
      <c r="L571">
        <f t="shared" si="112"/>
        <v>-1.2980003769398716E-3</v>
      </c>
      <c r="M571" t="str">
        <f t="shared" si="106"/>
        <v>2012-04</v>
      </c>
      <c r="O571">
        <v>6934.3031000000001</v>
      </c>
      <c r="P571">
        <f t="shared" si="113"/>
        <v>5.7122695034546979E-3</v>
      </c>
      <c r="Q571" t="str">
        <f t="shared" si="107"/>
        <v>2012-04</v>
      </c>
      <c r="S571">
        <v>7660.5</v>
      </c>
      <c r="T571">
        <f t="shared" si="114"/>
        <v>-2.6107615592961066E-5</v>
      </c>
      <c r="U571" t="str">
        <f t="shared" si="108"/>
        <v>2012-04</v>
      </c>
      <c r="W571">
        <v>15216.02</v>
      </c>
      <c r="X571">
        <f t="shared" si="115"/>
        <v>-1.9631060662812401E-3</v>
      </c>
      <c r="Y571">
        <f t="shared" si="116"/>
        <v>-1.9611804338471954E-3</v>
      </c>
      <c r="Z571" t="str">
        <f t="shared" si="109"/>
        <v>2012-04</v>
      </c>
    </row>
    <row r="572" spans="1:26" x14ac:dyDescent="0.35">
      <c r="A572" s="1">
        <v>41009</v>
      </c>
      <c r="C572">
        <v>2321.5300000000002</v>
      </c>
      <c r="D572">
        <f t="shared" si="110"/>
        <v>-3.0129112044838865E-2</v>
      </c>
      <c r="E572" t="str">
        <f t="shared" si="104"/>
        <v>2012-04</v>
      </c>
      <c r="G572">
        <v>3217.6</v>
      </c>
      <c r="H572">
        <f t="shared" si="111"/>
        <v>-3.1271812338847065E-2</v>
      </c>
      <c r="I572" t="str">
        <f t="shared" si="105"/>
        <v>2012-04</v>
      </c>
      <c r="K572">
        <v>6606.43</v>
      </c>
      <c r="L572">
        <f t="shared" si="112"/>
        <v>-2.5234325222693716E-2</v>
      </c>
      <c r="M572" t="str">
        <f t="shared" si="106"/>
        <v>2012-04</v>
      </c>
      <c r="O572">
        <v>6776.6427899999999</v>
      </c>
      <c r="P572">
        <f t="shared" si="113"/>
        <v>-2.2998742849094488E-2</v>
      </c>
      <c r="Q572" t="str">
        <f t="shared" si="107"/>
        <v>2012-04</v>
      </c>
      <c r="S572">
        <v>7433.6</v>
      </c>
      <c r="T572">
        <f t="shared" si="114"/>
        <v>-3.0066992179718244E-2</v>
      </c>
      <c r="U572" t="str">
        <f t="shared" si="108"/>
        <v>2012-04</v>
      </c>
      <c r="W572">
        <v>14458.88</v>
      </c>
      <c r="X572">
        <f t="shared" si="115"/>
        <v>-5.1040061525647239E-2</v>
      </c>
      <c r="Y572">
        <f t="shared" si="116"/>
        <v>-4.9759398318351397E-2</v>
      </c>
      <c r="Z572" t="str">
        <f t="shared" si="109"/>
        <v>2012-04</v>
      </c>
    </row>
    <row r="573" spans="1:26" x14ac:dyDescent="0.35">
      <c r="A573" s="1">
        <v>41010</v>
      </c>
      <c r="C573">
        <v>2341.36</v>
      </c>
      <c r="D573">
        <f t="shared" si="110"/>
        <v>8.5055060478412877E-3</v>
      </c>
      <c r="E573" t="str">
        <f t="shared" si="104"/>
        <v>2012-04</v>
      </c>
      <c r="G573">
        <v>3237.69</v>
      </c>
      <c r="H573">
        <f t="shared" si="111"/>
        <v>6.2243725260631997E-3</v>
      </c>
      <c r="I573" t="str">
        <f t="shared" si="105"/>
        <v>2012-04</v>
      </c>
      <c r="K573">
        <v>6674.73</v>
      </c>
      <c r="L573">
        <f t="shared" si="112"/>
        <v>1.0285336839530106E-2</v>
      </c>
      <c r="M573" t="str">
        <f t="shared" si="106"/>
        <v>2012-04</v>
      </c>
      <c r="O573">
        <v>6834.3610699999999</v>
      </c>
      <c r="P573">
        <f t="shared" si="113"/>
        <v>8.4811710535857166E-3</v>
      </c>
      <c r="Q573" t="str">
        <f t="shared" si="107"/>
        <v>2012-04</v>
      </c>
      <c r="S573">
        <v>7576.7</v>
      </c>
      <c r="T573">
        <f t="shared" si="114"/>
        <v>1.9067485064774767E-2</v>
      </c>
      <c r="U573" t="str">
        <f t="shared" si="108"/>
        <v>2012-04</v>
      </c>
      <c r="W573">
        <v>14689.84</v>
      </c>
      <c r="X573">
        <f t="shared" si="115"/>
        <v>1.584733968095417E-2</v>
      </c>
      <c r="Y573">
        <f t="shared" si="116"/>
        <v>1.5973574716713946E-2</v>
      </c>
      <c r="Z573" t="str">
        <f t="shared" si="109"/>
        <v>2012-04</v>
      </c>
    </row>
    <row r="574" spans="1:26" x14ac:dyDescent="0.35">
      <c r="A574" s="1">
        <v>41011</v>
      </c>
      <c r="C574">
        <v>2352.2399999999998</v>
      </c>
      <c r="D574">
        <f t="shared" si="110"/>
        <v>4.6361085254110323E-3</v>
      </c>
      <c r="E574" t="str">
        <f t="shared" si="104"/>
        <v>2012-04</v>
      </c>
      <c r="G574">
        <v>3269.79</v>
      </c>
      <c r="H574">
        <f t="shared" si="111"/>
        <v>9.8656501011579051E-3</v>
      </c>
      <c r="I574" t="str">
        <f t="shared" si="105"/>
        <v>2012-04</v>
      </c>
      <c r="K574">
        <v>6743.24</v>
      </c>
      <c r="L574">
        <f t="shared" si="112"/>
        <v>1.0211767555299074E-2</v>
      </c>
      <c r="M574" t="str">
        <f t="shared" si="106"/>
        <v>2012-04</v>
      </c>
      <c r="O574">
        <v>6915.6500500000002</v>
      </c>
      <c r="P574">
        <f t="shared" si="113"/>
        <v>1.1823979827942852E-2</v>
      </c>
      <c r="Q574" t="str">
        <f t="shared" si="107"/>
        <v>2012-04</v>
      </c>
      <c r="S574">
        <v>7520</v>
      </c>
      <c r="T574">
        <f t="shared" si="114"/>
        <v>-7.5116106969793806E-3</v>
      </c>
      <c r="U574" t="str">
        <f t="shared" si="108"/>
        <v>2012-04</v>
      </c>
      <c r="W574">
        <v>14869.91</v>
      </c>
      <c r="X574">
        <f t="shared" si="115"/>
        <v>1.2183609635774709E-2</v>
      </c>
      <c r="Y574">
        <f t="shared" si="116"/>
        <v>1.2258132151201083E-2</v>
      </c>
      <c r="Z574" t="str">
        <f t="shared" si="109"/>
        <v>2012-04</v>
      </c>
    </row>
    <row r="575" spans="1:26" x14ac:dyDescent="0.35">
      <c r="A575" s="1">
        <v>41012</v>
      </c>
      <c r="C575">
        <v>2291.5100000000002</v>
      </c>
      <c r="D575">
        <f t="shared" si="110"/>
        <v>-2.6157076735635051E-2</v>
      </c>
      <c r="E575" t="str">
        <f t="shared" si="104"/>
        <v>2012-04</v>
      </c>
      <c r="G575">
        <v>3189.09</v>
      </c>
      <c r="H575">
        <f t="shared" si="111"/>
        <v>-2.4990153020614136E-2</v>
      </c>
      <c r="I575" t="str">
        <f t="shared" si="105"/>
        <v>2012-04</v>
      </c>
      <c r="K575">
        <v>6583.9</v>
      </c>
      <c r="L575">
        <f t="shared" si="112"/>
        <v>-2.3913246661243118E-2</v>
      </c>
      <c r="M575" t="str">
        <f t="shared" si="106"/>
        <v>2012-04</v>
      </c>
      <c r="O575">
        <v>6852.64419</v>
      </c>
      <c r="P575">
        <f t="shared" si="113"/>
        <v>-9.1523755540654748E-3</v>
      </c>
      <c r="Q575" t="str">
        <f t="shared" si="107"/>
        <v>2012-04</v>
      </c>
      <c r="S575">
        <v>7250.6</v>
      </c>
      <c r="T575">
        <f t="shared" si="114"/>
        <v>-3.648191389878104E-2</v>
      </c>
      <c r="U575" t="str">
        <f t="shared" si="108"/>
        <v>2012-04</v>
      </c>
      <c r="W575">
        <v>14359.5</v>
      </c>
      <c r="X575">
        <f t="shared" si="115"/>
        <v>-3.4927963926760355E-2</v>
      </c>
      <c r="Y575">
        <f t="shared" si="116"/>
        <v>-3.4325022814529468E-2</v>
      </c>
      <c r="Z575" t="str">
        <f t="shared" si="109"/>
        <v>2012-04</v>
      </c>
    </row>
    <row r="576" spans="1:26" x14ac:dyDescent="0.35">
      <c r="A576" s="1">
        <v>41015</v>
      </c>
      <c r="C576">
        <v>2301.19</v>
      </c>
      <c r="D576">
        <f t="shared" si="110"/>
        <v>4.2153915274587587E-3</v>
      </c>
      <c r="E576" t="str">
        <f t="shared" si="104"/>
        <v>2012-04</v>
      </c>
      <c r="G576">
        <v>3205.28</v>
      </c>
      <c r="H576">
        <f t="shared" si="111"/>
        <v>5.0638404083479301E-3</v>
      </c>
      <c r="I576" t="str">
        <f t="shared" si="105"/>
        <v>2012-04</v>
      </c>
      <c r="K576">
        <v>6625.19</v>
      </c>
      <c r="L576">
        <f t="shared" si="112"/>
        <v>6.2517757822608214E-3</v>
      </c>
      <c r="M576" t="str">
        <f t="shared" si="106"/>
        <v>2012-04</v>
      </c>
      <c r="O576">
        <v>6877.2677400000002</v>
      </c>
      <c r="P576">
        <f t="shared" si="113"/>
        <v>3.5868513250578108E-3</v>
      </c>
      <c r="Q576" t="str">
        <f t="shared" si="107"/>
        <v>2012-04</v>
      </c>
      <c r="S576">
        <v>7209.1</v>
      </c>
      <c r="T576">
        <f t="shared" si="114"/>
        <v>-5.7401071872828138E-3</v>
      </c>
      <c r="U576" t="str">
        <f t="shared" si="108"/>
        <v>2012-04</v>
      </c>
      <c r="W576">
        <v>14411.24</v>
      </c>
      <c r="X576">
        <f t="shared" si="115"/>
        <v>3.5967135900718266E-3</v>
      </c>
      <c r="Y576">
        <f t="shared" si="116"/>
        <v>3.6031895260976903E-3</v>
      </c>
      <c r="Z576" t="str">
        <f t="shared" si="109"/>
        <v>2012-04</v>
      </c>
    </row>
    <row r="577" spans="1:26" x14ac:dyDescent="0.35">
      <c r="A577" s="1">
        <v>41016</v>
      </c>
      <c r="C577">
        <v>2367.0500000000002</v>
      </c>
      <c r="D577">
        <f t="shared" si="110"/>
        <v>2.8218073655404803E-2</v>
      </c>
      <c r="E577" t="str">
        <f t="shared" si="104"/>
        <v>2012-04</v>
      </c>
      <c r="G577">
        <v>3292.51</v>
      </c>
      <c r="H577">
        <f t="shared" si="111"/>
        <v>2.6850741785252142E-2</v>
      </c>
      <c r="I577" t="str">
        <f t="shared" si="105"/>
        <v>2012-04</v>
      </c>
      <c r="K577">
        <v>6801</v>
      </c>
      <c r="L577">
        <f t="shared" si="112"/>
        <v>2.6190609487174377E-2</v>
      </c>
      <c r="M577" t="str">
        <f t="shared" si="106"/>
        <v>2012-04</v>
      </c>
      <c r="O577">
        <v>7000.84177</v>
      </c>
      <c r="P577">
        <f t="shared" si="113"/>
        <v>1.780895242868755E-2</v>
      </c>
      <c r="Q577" t="str">
        <f t="shared" si="107"/>
        <v>2012-04</v>
      </c>
      <c r="S577">
        <v>7373.3</v>
      </c>
      <c r="T577">
        <f t="shared" si="114"/>
        <v>2.2521250304460991E-2</v>
      </c>
      <c r="U577" t="str">
        <f t="shared" si="108"/>
        <v>2012-04</v>
      </c>
      <c r="W577">
        <v>14942.05</v>
      </c>
      <c r="X577">
        <f t="shared" si="115"/>
        <v>3.6170928157811019E-2</v>
      </c>
      <c r="Y577">
        <f t="shared" si="116"/>
        <v>3.6833055309605525E-2</v>
      </c>
      <c r="Z577" t="str">
        <f t="shared" si="109"/>
        <v>2012-04</v>
      </c>
    </row>
    <row r="578" spans="1:26" x14ac:dyDescent="0.35">
      <c r="A578" s="1">
        <v>41017</v>
      </c>
      <c r="C578">
        <v>2327.84</v>
      </c>
      <c r="D578">
        <f t="shared" si="110"/>
        <v>-1.6703655109183726E-2</v>
      </c>
      <c r="E578" t="str">
        <f t="shared" si="104"/>
        <v>2012-04</v>
      </c>
      <c r="G578">
        <v>3240.29</v>
      </c>
      <c r="H578">
        <f t="shared" si="111"/>
        <v>-1.5987359864818539E-2</v>
      </c>
      <c r="I578" t="str">
        <f t="shared" si="105"/>
        <v>2012-04</v>
      </c>
      <c r="K578">
        <v>6732.03</v>
      </c>
      <c r="L578">
        <f t="shared" si="112"/>
        <v>-1.0192927546885751E-2</v>
      </c>
      <c r="M578" t="str">
        <f t="shared" si="106"/>
        <v>2012-04</v>
      </c>
      <c r="O578">
        <v>7017.34872</v>
      </c>
      <c r="P578">
        <f t="shared" si="113"/>
        <v>2.3550768041378741E-3</v>
      </c>
      <c r="Q578" t="str">
        <f t="shared" si="107"/>
        <v>2012-04</v>
      </c>
      <c r="S578">
        <v>7079.2</v>
      </c>
      <c r="T578">
        <f t="shared" si="114"/>
        <v>-4.0704460209142167E-2</v>
      </c>
      <c r="U578" t="str">
        <f t="shared" si="108"/>
        <v>2012-04</v>
      </c>
      <c r="W578">
        <v>14580.15</v>
      </c>
      <c r="X578">
        <f t="shared" si="115"/>
        <v>-2.4518371226829542E-2</v>
      </c>
      <c r="Y578">
        <f t="shared" si="116"/>
        <v>-2.4220237517609676E-2</v>
      </c>
      <c r="Z578" t="str">
        <f t="shared" si="109"/>
        <v>2012-04</v>
      </c>
    </row>
    <row r="579" spans="1:26" x14ac:dyDescent="0.35">
      <c r="A579" s="1">
        <v>41018</v>
      </c>
      <c r="C579">
        <v>2284.67</v>
      </c>
      <c r="D579">
        <f t="shared" si="110"/>
        <v>-1.8719205199655913E-2</v>
      </c>
      <c r="E579" t="str">
        <f t="shared" si="104"/>
        <v>2012-04</v>
      </c>
      <c r="G579">
        <v>3174.02</v>
      </c>
      <c r="H579">
        <f t="shared" si="111"/>
        <v>-2.0663908690046692E-2</v>
      </c>
      <c r="I579" t="str">
        <f t="shared" si="105"/>
        <v>2012-04</v>
      </c>
      <c r="K579">
        <v>6671.22</v>
      </c>
      <c r="L579">
        <f t="shared" si="112"/>
        <v>-9.0739808990849061E-3</v>
      </c>
      <c r="M579" t="str">
        <f t="shared" si="106"/>
        <v>2012-04</v>
      </c>
      <c r="O579">
        <v>7026.6124</v>
      </c>
      <c r="P579">
        <f t="shared" si="113"/>
        <v>1.3192405282789613E-3</v>
      </c>
      <c r="Q579" t="str">
        <f t="shared" si="107"/>
        <v>2012-04</v>
      </c>
      <c r="S579">
        <v>6908.1</v>
      </c>
      <c r="T579">
        <f t="shared" si="114"/>
        <v>-2.4466270821457008E-2</v>
      </c>
      <c r="U579" t="str">
        <f t="shared" si="108"/>
        <v>2012-04</v>
      </c>
      <c r="W579">
        <v>14287.27</v>
      </c>
      <c r="X579">
        <f t="shared" si="115"/>
        <v>-2.0292083589830388E-2</v>
      </c>
      <c r="Y579">
        <f t="shared" si="116"/>
        <v>-2.008758483280345E-2</v>
      </c>
      <c r="Z579" t="str">
        <f t="shared" si="109"/>
        <v>2012-04</v>
      </c>
    </row>
    <row r="580" spans="1:26" x14ac:dyDescent="0.35">
      <c r="A580" s="1">
        <v>41019</v>
      </c>
      <c r="C580">
        <v>2311.27</v>
      </c>
      <c r="D580">
        <f t="shared" si="110"/>
        <v>1.1575563222594188E-2</v>
      </c>
      <c r="E580" t="str">
        <f t="shared" ref="E580:E643" si="117">_xlfn.CONCAT(YEAR(A580),"-",TEXT(MONTH(A580),"00"))</f>
        <v>2012-04</v>
      </c>
      <c r="G580">
        <v>3188.58</v>
      </c>
      <c r="H580">
        <f t="shared" si="111"/>
        <v>4.5767533446344506E-3</v>
      </c>
      <c r="I580" t="str">
        <f t="shared" ref="I580:I643" si="118">_xlfn.CONCAT(YEAR(A580),"-",TEXT(MONTH(A580),"00"))</f>
        <v>2012-04</v>
      </c>
      <c r="K580">
        <v>6750.12</v>
      </c>
      <c r="L580">
        <f t="shared" si="112"/>
        <v>1.1757530756662374E-2</v>
      </c>
      <c r="M580" t="str">
        <f t="shared" ref="M580:M643" si="119">_xlfn.CONCAT(YEAR(A580),"-",TEXT(MONTH(A580),"00"))</f>
        <v>2012-04</v>
      </c>
      <c r="O580">
        <v>7044.3647099999998</v>
      </c>
      <c r="P580">
        <f t="shared" si="113"/>
        <v>2.5232532581091973E-3</v>
      </c>
      <c r="Q580" t="str">
        <f t="shared" ref="Q580:Q643" si="120">_xlfn.CONCAT(YEAR(A580),"-",TEXT(MONTH(A580),"00"))</f>
        <v>2012-04</v>
      </c>
      <c r="S580">
        <v>7040.6</v>
      </c>
      <c r="T580">
        <f t="shared" si="114"/>
        <v>1.8998757661494361E-2</v>
      </c>
      <c r="U580" t="str">
        <f t="shared" ref="U580:U643" si="121">_xlfn.CONCAT(YEAR(A580),"-",TEXT(MONTH(A580),"00"))</f>
        <v>2012-04</v>
      </c>
      <c r="W580">
        <v>14401.78</v>
      </c>
      <c r="X580">
        <f t="shared" si="115"/>
        <v>7.9828790502386778E-3</v>
      </c>
      <c r="Y580">
        <f t="shared" si="116"/>
        <v>8.0148271853195344E-3</v>
      </c>
      <c r="Z580" t="str">
        <f t="shared" ref="Z580:Z643" si="122">_xlfn.CONCAT(YEAR(A580),"-",TEXT(MONTH(A580),"00"))</f>
        <v>2012-04</v>
      </c>
    </row>
    <row r="581" spans="1:26" x14ac:dyDescent="0.35">
      <c r="A581" s="1">
        <v>41022</v>
      </c>
      <c r="C581">
        <v>2244.83</v>
      </c>
      <c r="D581">
        <f t="shared" ref="D581:D644" si="123">LN(C581/C580)</f>
        <v>-2.9167362511591306E-2</v>
      </c>
      <c r="E581" t="str">
        <f t="shared" si="117"/>
        <v>2012-04</v>
      </c>
      <c r="G581">
        <v>3098.37</v>
      </c>
      <c r="H581">
        <f t="shared" ref="H581:H644" si="124">LN(G581/G580)</f>
        <v>-2.8699509871427543E-2</v>
      </c>
      <c r="I581" t="str">
        <f t="shared" si="118"/>
        <v>2012-04</v>
      </c>
      <c r="K581">
        <v>6523</v>
      </c>
      <c r="L581">
        <f t="shared" ref="L581:L644" si="125">LN(K581/K580)</f>
        <v>-3.4225889690234469E-2</v>
      </c>
      <c r="M581" t="str">
        <f t="shared" si="119"/>
        <v>2012-04</v>
      </c>
      <c r="O581">
        <v>6952.5721999999996</v>
      </c>
      <c r="P581">
        <f t="shared" ref="P581:P644" si="126">LN(O581/O580)</f>
        <v>-1.3116273447439694E-2</v>
      </c>
      <c r="Q581" t="str">
        <f t="shared" si="120"/>
        <v>2012-04</v>
      </c>
      <c r="S581">
        <v>6846.6</v>
      </c>
      <c r="T581">
        <f t="shared" ref="T581:T644" si="127">LN(S581/S580)</f>
        <v>-2.7941215124488723E-2</v>
      </c>
      <c r="U581" t="str">
        <f t="shared" si="121"/>
        <v>2012-04</v>
      </c>
      <c r="W581">
        <v>13849.55</v>
      </c>
      <c r="X581">
        <f t="shared" ref="X581:X644" si="128">LN(W581/W580)</f>
        <v>-3.909906892306713E-2</v>
      </c>
      <c r="Y581">
        <f t="shared" ref="Y581:Y644" si="129">(W581-W580)/W580</f>
        <v>-3.8344565741179309E-2</v>
      </c>
      <c r="Z581" t="str">
        <f t="shared" si="122"/>
        <v>2012-04</v>
      </c>
    </row>
    <row r="582" spans="1:26" x14ac:dyDescent="0.35">
      <c r="A582" s="1">
        <v>41023</v>
      </c>
      <c r="C582">
        <v>2284.08</v>
      </c>
      <c r="D582">
        <f t="shared" si="123"/>
        <v>1.7333522953771989E-2</v>
      </c>
      <c r="E582" t="str">
        <f t="shared" si="117"/>
        <v>2012-04</v>
      </c>
      <c r="G582">
        <v>3169.32</v>
      </c>
      <c r="H582">
        <f t="shared" si="124"/>
        <v>2.2640887082596543E-2</v>
      </c>
      <c r="I582" t="str">
        <f t="shared" si="118"/>
        <v>2012-04</v>
      </c>
      <c r="K582">
        <v>6590.41</v>
      </c>
      <c r="L582">
        <f t="shared" si="125"/>
        <v>1.0281169243151166E-2</v>
      </c>
      <c r="M582" t="str">
        <f t="shared" si="119"/>
        <v>2012-04</v>
      </c>
      <c r="O582">
        <v>6978.7462299999997</v>
      </c>
      <c r="P582">
        <f t="shared" si="126"/>
        <v>3.7575856051838791E-3</v>
      </c>
      <c r="Q582" t="str">
        <f t="shared" si="120"/>
        <v>2012-04</v>
      </c>
      <c r="S582">
        <v>6999.9</v>
      </c>
      <c r="T582">
        <f t="shared" si="127"/>
        <v>2.2143684552433741E-2</v>
      </c>
      <c r="U582" t="str">
        <f t="shared" si="121"/>
        <v>2012-04</v>
      </c>
      <c r="W582">
        <v>14192.77</v>
      </c>
      <c r="X582">
        <f t="shared" si="128"/>
        <v>2.4479938883477128E-2</v>
      </c>
      <c r="Y582">
        <f t="shared" si="129"/>
        <v>2.4782032629219086E-2</v>
      </c>
      <c r="Z582" t="str">
        <f t="shared" si="122"/>
        <v>2012-04</v>
      </c>
    </row>
    <row r="583" spans="1:26" x14ac:dyDescent="0.35">
      <c r="A583" s="1">
        <v>41024</v>
      </c>
      <c r="C583">
        <v>2322.91</v>
      </c>
      <c r="D583">
        <f t="shared" si="123"/>
        <v>1.6857392582946672E-2</v>
      </c>
      <c r="E583" t="str">
        <f t="shared" si="117"/>
        <v>2012-04</v>
      </c>
      <c r="G583">
        <v>3233.46</v>
      </c>
      <c r="H583">
        <f t="shared" si="124"/>
        <v>2.0035717494233239E-2</v>
      </c>
      <c r="I583" t="str">
        <f t="shared" si="118"/>
        <v>2012-04</v>
      </c>
      <c r="K583">
        <v>6704.5</v>
      </c>
      <c r="L583">
        <f t="shared" si="125"/>
        <v>1.7163380680449578E-2</v>
      </c>
      <c r="M583" t="str">
        <f t="shared" si="119"/>
        <v>2012-04</v>
      </c>
      <c r="O583">
        <v>6995.5788000000002</v>
      </c>
      <c r="P583">
        <f t="shared" si="126"/>
        <v>2.4090720810765842E-3</v>
      </c>
      <c r="Q583" t="str">
        <f t="shared" si="120"/>
        <v>2012-04</v>
      </c>
      <c r="S583">
        <v>7118.9</v>
      </c>
      <c r="T583">
        <f t="shared" si="127"/>
        <v>1.6857355867389658E-2</v>
      </c>
      <c r="U583" t="str">
        <f t="shared" si="121"/>
        <v>2012-04</v>
      </c>
      <c r="W583">
        <v>14606.43</v>
      </c>
      <c r="X583">
        <f t="shared" si="128"/>
        <v>2.8729162706501294E-2</v>
      </c>
      <c r="Y583">
        <f t="shared" si="129"/>
        <v>2.9145825656302457E-2</v>
      </c>
      <c r="Z583" t="str">
        <f t="shared" si="122"/>
        <v>2012-04</v>
      </c>
    </row>
    <row r="584" spans="1:26" x14ac:dyDescent="0.35">
      <c r="A584" s="1">
        <v>41025</v>
      </c>
      <c r="C584">
        <v>2322.69</v>
      </c>
      <c r="D584">
        <f t="shared" si="123"/>
        <v>-9.4713277150082573E-5</v>
      </c>
      <c r="E584" t="str">
        <f t="shared" si="117"/>
        <v>2012-04</v>
      </c>
      <c r="G584">
        <v>3229.32</v>
      </c>
      <c r="H584">
        <f t="shared" si="124"/>
        <v>-1.2811825766288608E-3</v>
      </c>
      <c r="I584" t="str">
        <f t="shared" si="118"/>
        <v>2012-04</v>
      </c>
      <c r="K584">
        <v>6739.9</v>
      </c>
      <c r="L584">
        <f t="shared" si="125"/>
        <v>5.2661452813373049E-3</v>
      </c>
      <c r="M584" t="str">
        <f t="shared" si="119"/>
        <v>2012-04</v>
      </c>
      <c r="O584">
        <v>7030.0742899999996</v>
      </c>
      <c r="P584">
        <f t="shared" si="126"/>
        <v>4.91892382229681E-3</v>
      </c>
      <c r="Q584" t="str">
        <f t="shared" si="120"/>
        <v>2012-04</v>
      </c>
      <c r="S584">
        <v>7027.1</v>
      </c>
      <c r="T584">
        <f t="shared" si="127"/>
        <v>-1.2979116173607303E-2</v>
      </c>
      <c r="U584" t="str">
        <f t="shared" si="121"/>
        <v>2012-04</v>
      </c>
      <c r="W584">
        <v>14509.96</v>
      </c>
      <c r="X584">
        <f t="shared" si="128"/>
        <v>-6.6265325479605607E-3</v>
      </c>
      <c r="Y584">
        <f t="shared" si="129"/>
        <v>-6.6046254971270299E-3</v>
      </c>
      <c r="Z584" t="str">
        <f t="shared" si="122"/>
        <v>2012-04</v>
      </c>
    </row>
    <row r="585" spans="1:26" x14ac:dyDescent="0.35">
      <c r="A585" s="1">
        <v>41026</v>
      </c>
      <c r="C585">
        <v>2344.02</v>
      </c>
      <c r="D585">
        <f t="shared" si="123"/>
        <v>9.1414073457163868E-3</v>
      </c>
      <c r="E585" t="str">
        <f t="shared" si="117"/>
        <v>2012-04</v>
      </c>
      <c r="G585">
        <v>3266.27</v>
      </c>
      <c r="H585">
        <f t="shared" si="124"/>
        <v>1.1377072308941954E-2</v>
      </c>
      <c r="I585" t="str">
        <f t="shared" si="118"/>
        <v>2012-04</v>
      </c>
      <c r="K585">
        <v>6801.32</v>
      </c>
      <c r="L585">
        <f t="shared" si="125"/>
        <v>9.0716229718302444E-3</v>
      </c>
      <c r="M585" t="str">
        <f t="shared" si="119"/>
        <v>2012-04</v>
      </c>
      <c r="O585">
        <v>7084.9786700000004</v>
      </c>
      <c r="P585">
        <f t="shared" si="126"/>
        <v>7.7795892180627388E-3</v>
      </c>
      <c r="Q585" t="str">
        <f t="shared" si="120"/>
        <v>2012-04</v>
      </c>
      <c r="S585">
        <v>7145.8</v>
      </c>
      <c r="T585">
        <f t="shared" si="127"/>
        <v>1.675066859136895E-2</v>
      </c>
      <c r="U585" t="str">
        <f t="shared" si="121"/>
        <v>2012-04</v>
      </c>
      <c r="W585">
        <v>14778.9</v>
      </c>
      <c r="X585">
        <f t="shared" si="128"/>
        <v>1.8365177679081204E-2</v>
      </c>
      <c r="Y585">
        <f t="shared" si="129"/>
        <v>1.8534854679130786E-2</v>
      </c>
      <c r="Z585" t="str">
        <f t="shared" si="122"/>
        <v>2012-04</v>
      </c>
    </row>
    <row r="586" spans="1:26" x14ac:dyDescent="0.35">
      <c r="A586" s="1">
        <v>41029</v>
      </c>
      <c r="C586">
        <v>2306.4299999999998</v>
      </c>
      <c r="D586">
        <f t="shared" si="123"/>
        <v>-1.6166529560033081E-2</v>
      </c>
      <c r="E586" t="str">
        <f t="shared" si="117"/>
        <v>2012-04</v>
      </c>
      <c r="G586">
        <v>3212.8</v>
      </c>
      <c r="H586">
        <f t="shared" si="124"/>
        <v>-1.6505829988723703E-2</v>
      </c>
      <c r="I586" t="str">
        <f t="shared" si="118"/>
        <v>2012-04</v>
      </c>
      <c r="K586">
        <v>6761.19</v>
      </c>
      <c r="L586">
        <f t="shared" si="125"/>
        <v>-5.9178009253270198E-3</v>
      </c>
      <c r="M586" t="str">
        <f t="shared" si="119"/>
        <v>2012-04</v>
      </c>
      <c r="O586">
        <v>7041.1308900000004</v>
      </c>
      <c r="P586">
        <f t="shared" si="126"/>
        <v>-6.2080674991927508E-3</v>
      </c>
      <c r="Q586" t="str">
        <f t="shared" si="120"/>
        <v>2012-04</v>
      </c>
      <c r="S586">
        <v>7011</v>
      </c>
      <c r="T586">
        <f t="shared" si="127"/>
        <v>-1.9044427299306468E-2</v>
      </c>
      <c r="U586" t="str">
        <f t="shared" si="121"/>
        <v>2012-04</v>
      </c>
      <c r="W586">
        <v>14592.34</v>
      </c>
      <c r="X586">
        <f t="shared" si="128"/>
        <v>-1.2703754352752974E-2</v>
      </c>
      <c r="Y586">
        <f t="shared" si="129"/>
        <v>-1.2623402282984491E-2</v>
      </c>
      <c r="Z586" t="str">
        <f t="shared" si="122"/>
        <v>2012-04</v>
      </c>
    </row>
    <row r="587" spans="1:26" x14ac:dyDescent="0.35">
      <c r="A587" s="1">
        <v>41031</v>
      </c>
      <c r="C587">
        <v>2290.31</v>
      </c>
      <c r="D587">
        <f t="shared" si="123"/>
        <v>-7.0136949582040925E-3</v>
      </c>
      <c r="E587" t="str">
        <f t="shared" si="117"/>
        <v>2012-05</v>
      </c>
      <c r="G587">
        <v>3226.33</v>
      </c>
      <c r="H587">
        <f t="shared" si="124"/>
        <v>4.2024372585067003E-3</v>
      </c>
      <c r="I587" t="str">
        <f t="shared" si="118"/>
        <v>2012-05</v>
      </c>
      <c r="K587">
        <v>6710.77</v>
      </c>
      <c r="L587">
        <f t="shared" si="125"/>
        <v>-7.4852115671969893E-3</v>
      </c>
      <c r="M587" t="str">
        <f t="shared" si="119"/>
        <v>2012-05</v>
      </c>
      <c r="O587">
        <v>7082.2960000000003</v>
      </c>
      <c r="P587">
        <f t="shared" si="126"/>
        <v>5.8293538659003981E-3</v>
      </c>
      <c r="Q587" t="str">
        <f t="shared" si="120"/>
        <v>2012-05</v>
      </c>
      <c r="S587">
        <v>6831.9</v>
      </c>
      <c r="T587">
        <f t="shared" si="127"/>
        <v>-2.5877524848025798E-2</v>
      </c>
      <c r="U587" t="str">
        <f t="shared" si="121"/>
        <v>2012-05</v>
      </c>
      <c r="W587">
        <v>14213.17</v>
      </c>
      <c r="X587">
        <f t="shared" si="128"/>
        <v>-2.6327733932893428E-2</v>
      </c>
      <c r="Y587">
        <f t="shared" si="129"/>
        <v>-2.5984180741402685E-2</v>
      </c>
      <c r="Z587" t="str">
        <f t="shared" si="122"/>
        <v>2012-05</v>
      </c>
    </row>
    <row r="588" spans="1:26" x14ac:dyDescent="0.35">
      <c r="A588" s="1">
        <v>41032</v>
      </c>
      <c r="C588">
        <v>2287.1</v>
      </c>
      <c r="D588">
        <f t="shared" si="123"/>
        <v>-1.4025400941598829E-3</v>
      </c>
      <c r="E588" t="str">
        <f t="shared" si="117"/>
        <v>2012-05</v>
      </c>
      <c r="G588">
        <v>3223.36</v>
      </c>
      <c r="H588">
        <f t="shared" si="124"/>
        <v>-9.2097456154574282E-4</v>
      </c>
      <c r="I588" t="str">
        <f t="shared" si="118"/>
        <v>2012-05</v>
      </c>
      <c r="K588">
        <v>6694.44</v>
      </c>
      <c r="L588">
        <f t="shared" si="125"/>
        <v>-2.4363673642936409E-3</v>
      </c>
      <c r="M588" t="str">
        <f t="shared" si="119"/>
        <v>2012-05</v>
      </c>
      <c r="O588">
        <v>7099.2832799999996</v>
      </c>
      <c r="P588">
        <f t="shared" si="126"/>
        <v>2.3956835538825874E-3</v>
      </c>
      <c r="Q588" t="str">
        <f t="shared" si="120"/>
        <v>2012-05</v>
      </c>
      <c r="S588">
        <v>6851.9</v>
      </c>
      <c r="T588">
        <f t="shared" si="127"/>
        <v>2.9231666995284192E-3</v>
      </c>
      <c r="U588" t="str">
        <f t="shared" si="121"/>
        <v>2012-05</v>
      </c>
      <c r="W588">
        <v>14118.13</v>
      </c>
      <c r="X588">
        <f t="shared" si="128"/>
        <v>-6.7092125322109342E-3</v>
      </c>
      <c r="Y588">
        <f t="shared" si="129"/>
        <v>-6.686756015723507E-3</v>
      </c>
      <c r="Z588" t="str">
        <f t="shared" si="122"/>
        <v>2012-05</v>
      </c>
    </row>
    <row r="589" spans="1:26" x14ac:dyDescent="0.35">
      <c r="A589" s="1">
        <v>41033</v>
      </c>
      <c r="C589">
        <v>2248.34</v>
      </c>
      <c r="D589">
        <f t="shared" si="123"/>
        <v>-1.7092473342585564E-2</v>
      </c>
      <c r="E589" t="str">
        <f t="shared" si="117"/>
        <v>2012-05</v>
      </c>
      <c r="G589">
        <v>3161.97</v>
      </c>
      <c r="H589">
        <f t="shared" si="124"/>
        <v>-1.92290426959414E-2</v>
      </c>
      <c r="I589" t="str">
        <f t="shared" si="118"/>
        <v>2012-05</v>
      </c>
      <c r="K589">
        <v>6561.47</v>
      </c>
      <c r="L589">
        <f t="shared" si="125"/>
        <v>-2.006266791543368E-2</v>
      </c>
      <c r="M589" t="str">
        <f t="shared" si="119"/>
        <v>2012-05</v>
      </c>
      <c r="O589">
        <v>6978.0882499999998</v>
      </c>
      <c r="P589">
        <f t="shared" si="126"/>
        <v>-1.7218842898120201E-2</v>
      </c>
      <c r="Q589" t="str">
        <f t="shared" si="120"/>
        <v>2012-05</v>
      </c>
      <c r="S589">
        <v>6876</v>
      </c>
      <c r="T589">
        <f t="shared" si="127"/>
        <v>3.511101444269628E-3</v>
      </c>
      <c r="U589" t="str">
        <f t="shared" si="121"/>
        <v>2012-05</v>
      </c>
      <c r="W589">
        <v>13918.57</v>
      </c>
      <c r="X589">
        <f t="shared" si="128"/>
        <v>-1.4235867289876797E-2</v>
      </c>
      <c r="Y589">
        <f t="shared" si="129"/>
        <v>-1.4135016464645069E-2</v>
      </c>
      <c r="Z589" t="str">
        <f t="shared" si="122"/>
        <v>2012-05</v>
      </c>
    </row>
    <row r="590" spans="1:26" x14ac:dyDescent="0.35">
      <c r="A590" s="1">
        <v>41037</v>
      </c>
      <c r="C590">
        <v>2236.11</v>
      </c>
      <c r="D590">
        <f t="shared" si="123"/>
        <v>-5.4544170727165008E-3</v>
      </c>
      <c r="E590" t="str">
        <f t="shared" si="117"/>
        <v>2012-05</v>
      </c>
      <c r="G590">
        <v>3124.8</v>
      </c>
      <c r="H590">
        <f t="shared" si="124"/>
        <v>-1.1824969935960423E-2</v>
      </c>
      <c r="I590" t="str">
        <f t="shared" si="118"/>
        <v>2012-05</v>
      </c>
      <c r="K590">
        <v>6444.74</v>
      </c>
      <c r="L590">
        <f t="shared" si="125"/>
        <v>-1.7950368990942968E-2</v>
      </c>
      <c r="M590" t="str">
        <f t="shared" si="119"/>
        <v>2012-05</v>
      </c>
      <c r="O590">
        <v>6897.7178899999999</v>
      </c>
      <c r="P590">
        <f t="shared" si="126"/>
        <v>-1.15843732580624E-2</v>
      </c>
      <c r="Q590" t="str">
        <f t="shared" si="120"/>
        <v>2012-05</v>
      </c>
      <c r="S590">
        <v>7006.9</v>
      </c>
      <c r="T590">
        <f t="shared" si="127"/>
        <v>1.885829032311305E-2</v>
      </c>
      <c r="U590" t="str">
        <f t="shared" si="121"/>
        <v>2012-05</v>
      </c>
      <c r="W590">
        <v>13936.7</v>
      </c>
      <c r="X590">
        <f t="shared" si="128"/>
        <v>1.301728725666948E-3</v>
      </c>
      <c r="Y590">
        <f t="shared" si="129"/>
        <v>1.3025763422536236E-3</v>
      </c>
      <c r="Z590" t="str">
        <f t="shared" si="122"/>
        <v>2012-05</v>
      </c>
    </row>
    <row r="591" spans="1:26" x14ac:dyDescent="0.35">
      <c r="A591" s="1">
        <v>41038</v>
      </c>
      <c r="C591">
        <v>2225.63</v>
      </c>
      <c r="D591">
        <f t="shared" si="123"/>
        <v>-4.6977274665376025E-3</v>
      </c>
      <c r="E591" t="str">
        <f t="shared" si="117"/>
        <v>2012-05</v>
      </c>
      <c r="G591">
        <v>3118.65</v>
      </c>
      <c r="H591">
        <f t="shared" si="124"/>
        <v>-1.9700652649073721E-3</v>
      </c>
      <c r="I591" t="str">
        <f t="shared" si="118"/>
        <v>2012-05</v>
      </c>
      <c r="K591">
        <v>6475.31</v>
      </c>
      <c r="L591">
        <f t="shared" si="125"/>
        <v>4.7321886599044887E-3</v>
      </c>
      <c r="M591" t="str">
        <f t="shared" si="119"/>
        <v>2012-05</v>
      </c>
      <c r="O591">
        <v>6887.90337</v>
      </c>
      <c r="P591">
        <f t="shared" si="126"/>
        <v>-1.4238780353938931E-3</v>
      </c>
      <c r="Q591" t="str">
        <f t="shared" si="120"/>
        <v>2012-05</v>
      </c>
      <c r="S591">
        <v>6812.7</v>
      </c>
      <c r="T591">
        <f t="shared" si="127"/>
        <v>-2.8106860487120102E-2</v>
      </c>
      <c r="U591" t="str">
        <f t="shared" si="121"/>
        <v>2012-05</v>
      </c>
      <c r="W591">
        <v>13771.82</v>
      </c>
      <c r="X591">
        <f t="shared" si="128"/>
        <v>-1.1901173076038435E-2</v>
      </c>
      <c r="Y591">
        <f t="shared" si="129"/>
        <v>-1.1830634224744811E-2</v>
      </c>
      <c r="Z591" t="str">
        <f t="shared" si="122"/>
        <v>2012-05</v>
      </c>
    </row>
    <row r="592" spans="1:26" x14ac:dyDescent="0.35">
      <c r="A592" s="1">
        <v>41039</v>
      </c>
      <c r="C592">
        <v>2247.38</v>
      </c>
      <c r="D592">
        <f t="shared" si="123"/>
        <v>9.7250716723535115E-3</v>
      </c>
      <c r="E592" t="str">
        <f t="shared" si="117"/>
        <v>2012-05</v>
      </c>
      <c r="G592">
        <v>3130.17</v>
      </c>
      <c r="H592">
        <f t="shared" si="124"/>
        <v>3.6871003008304253E-3</v>
      </c>
      <c r="I592" t="str">
        <f t="shared" si="118"/>
        <v>2012-05</v>
      </c>
      <c r="K592">
        <v>6518</v>
      </c>
      <c r="L592">
        <f t="shared" si="125"/>
        <v>6.5710975279323017E-3</v>
      </c>
      <c r="M592" t="str">
        <f t="shared" si="119"/>
        <v>2012-05</v>
      </c>
      <c r="O592">
        <v>6911.2267199999997</v>
      </c>
      <c r="P592">
        <f t="shared" si="126"/>
        <v>3.3804119618985689E-3</v>
      </c>
      <c r="Q592" t="str">
        <f t="shared" si="120"/>
        <v>2012-05</v>
      </c>
      <c r="S592">
        <v>7045.7</v>
      </c>
      <c r="T592">
        <f t="shared" si="127"/>
        <v>3.3628984307158528E-2</v>
      </c>
      <c r="U592" t="str">
        <f t="shared" si="121"/>
        <v>2012-05</v>
      </c>
      <c r="W592">
        <v>14004.94</v>
      </c>
      <c r="X592">
        <f t="shared" si="128"/>
        <v>1.6785649124906137E-2</v>
      </c>
      <c r="Y592">
        <f t="shared" si="129"/>
        <v>1.6927319700664169E-2</v>
      </c>
      <c r="Z592" t="str">
        <f t="shared" si="122"/>
        <v>2012-05</v>
      </c>
    </row>
    <row r="593" spans="1:26" x14ac:dyDescent="0.35">
      <c r="A593" s="1">
        <v>41040</v>
      </c>
      <c r="C593">
        <v>2254.54</v>
      </c>
      <c r="D593">
        <f t="shared" si="123"/>
        <v>3.1808677351103502E-3</v>
      </c>
      <c r="E593" t="str">
        <f t="shared" si="117"/>
        <v>2012-05</v>
      </c>
      <c r="G593">
        <v>3129.77</v>
      </c>
      <c r="H593">
        <f t="shared" si="124"/>
        <v>-1.2779675221945888E-4</v>
      </c>
      <c r="I593" t="str">
        <f t="shared" si="118"/>
        <v>2012-05</v>
      </c>
      <c r="K593">
        <v>6579.93</v>
      </c>
      <c r="L593">
        <f t="shared" si="125"/>
        <v>9.4565265673966867E-3</v>
      </c>
      <c r="M593" t="str">
        <f t="shared" si="119"/>
        <v>2012-05</v>
      </c>
      <c r="O593">
        <v>6929.5502399999996</v>
      </c>
      <c r="P593">
        <f t="shared" si="126"/>
        <v>2.647760419507394E-3</v>
      </c>
      <c r="Q593" t="str">
        <f t="shared" si="120"/>
        <v>2012-05</v>
      </c>
      <c r="S593">
        <v>6995.6</v>
      </c>
      <c r="T593">
        <f t="shared" si="127"/>
        <v>-7.1361216708551922E-3</v>
      </c>
      <c r="U593" t="str">
        <f t="shared" si="121"/>
        <v>2012-05</v>
      </c>
      <c r="W593">
        <v>14045.35</v>
      </c>
      <c r="X593">
        <f t="shared" si="128"/>
        <v>2.881255627357116E-3</v>
      </c>
      <c r="Y593">
        <f t="shared" si="129"/>
        <v>2.8854104337469387E-3</v>
      </c>
      <c r="Z593" t="str">
        <f t="shared" si="122"/>
        <v>2012-05</v>
      </c>
    </row>
    <row r="594" spans="1:26" x14ac:dyDescent="0.35">
      <c r="A594" s="1">
        <v>41043</v>
      </c>
      <c r="C594">
        <v>2201.9499999999998</v>
      </c>
      <c r="D594">
        <f t="shared" si="123"/>
        <v>-2.3602629602447949E-2</v>
      </c>
      <c r="E594" t="str">
        <f t="shared" si="117"/>
        <v>2012-05</v>
      </c>
      <c r="G594">
        <v>3057.99</v>
      </c>
      <c r="H594">
        <f t="shared" si="124"/>
        <v>-2.3201682033641063E-2</v>
      </c>
      <c r="I594" t="str">
        <f t="shared" si="118"/>
        <v>2012-05</v>
      </c>
      <c r="K594">
        <v>6451.97</v>
      </c>
      <c r="L594">
        <f t="shared" si="125"/>
        <v>-1.963859645163071E-2</v>
      </c>
      <c r="M594" t="str">
        <f t="shared" si="119"/>
        <v>2012-05</v>
      </c>
      <c r="O594">
        <v>6852.9605000000001</v>
      </c>
      <c r="P594">
        <f t="shared" si="126"/>
        <v>-1.1114161974734148E-2</v>
      </c>
      <c r="Q594" t="str">
        <f t="shared" si="120"/>
        <v>2012-05</v>
      </c>
      <c r="S594">
        <v>6809.4</v>
      </c>
      <c r="T594">
        <f t="shared" si="127"/>
        <v>-2.6977369439888016E-2</v>
      </c>
      <c r="U594" t="str">
        <f t="shared" si="121"/>
        <v>2012-05</v>
      </c>
      <c r="W594">
        <v>13660.87</v>
      </c>
      <c r="X594">
        <f t="shared" si="128"/>
        <v>-2.7755838426799292E-2</v>
      </c>
      <c r="Y594">
        <f t="shared" si="129"/>
        <v>-2.7374184338588896E-2</v>
      </c>
      <c r="Z594" t="str">
        <f t="shared" si="122"/>
        <v>2012-05</v>
      </c>
    </row>
    <row r="595" spans="1:26" x14ac:dyDescent="0.35">
      <c r="A595" s="1">
        <v>41044</v>
      </c>
      <c r="C595">
        <v>2178.67</v>
      </c>
      <c r="D595">
        <f t="shared" si="123"/>
        <v>-1.0628732536170924E-2</v>
      </c>
      <c r="E595" t="str">
        <f t="shared" si="117"/>
        <v>2012-05</v>
      </c>
      <c r="G595">
        <v>3039.27</v>
      </c>
      <c r="H595">
        <f t="shared" si="124"/>
        <v>-6.1404823873609351E-3</v>
      </c>
      <c r="I595" t="str">
        <f t="shared" si="118"/>
        <v>2012-05</v>
      </c>
      <c r="K595">
        <v>6401.06</v>
      </c>
      <c r="L595">
        <f t="shared" si="125"/>
        <v>-7.9219088798155261E-3</v>
      </c>
      <c r="M595" t="str">
        <f t="shared" si="119"/>
        <v>2012-05</v>
      </c>
      <c r="O595">
        <v>6822.04342</v>
      </c>
      <c r="P595">
        <f t="shared" si="126"/>
        <v>-4.5217000094203794E-3</v>
      </c>
      <c r="Q595" t="str">
        <f t="shared" si="120"/>
        <v>2012-05</v>
      </c>
      <c r="S595">
        <v>6700.7</v>
      </c>
      <c r="T595">
        <f t="shared" si="127"/>
        <v>-1.6092012001556095E-2</v>
      </c>
      <c r="U595" t="str">
        <f t="shared" si="121"/>
        <v>2012-05</v>
      </c>
      <c r="W595">
        <v>13311.36</v>
      </c>
      <c r="X595">
        <f t="shared" si="128"/>
        <v>-2.5917735719188928E-2</v>
      </c>
      <c r="Y595">
        <f t="shared" si="129"/>
        <v>-2.558475411888117E-2</v>
      </c>
      <c r="Z595" t="str">
        <f t="shared" si="122"/>
        <v>2012-05</v>
      </c>
    </row>
    <row r="596" spans="1:26" x14ac:dyDescent="0.35">
      <c r="A596" s="1">
        <v>41045</v>
      </c>
      <c r="C596">
        <v>2175.34</v>
      </c>
      <c r="D596">
        <f t="shared" si="123"/>
        <v>-1.5296247134392914E-3</v>
      </c>
      <c r="E596" t="str">
        <f t="shared" si="117"/>
        <v>2012-05</v>
      </c>
      <c r="G596">
        <v>3048.67</v>
      </c>
      <c r="H596">
        <f t="shared" si="124"/>
        <v>3.0880749383297951E-3</v>
      </c>
      <c r="I596" t="str">
        <f t="shared" si="118"/>
        <v>2012-05</v>
      </c>
      <c r="K596">
        <v>6384.26</v>
      </c>
      <c r="L596">
        <f t="shared" si="125"/>
        <v>-2.6280155160841607E-3</v>
      </c>
      <c r="M596" t="str">
        <f t="shared" si="119"/>
        <v>2012-05</v>
      </c>
      <c r="O596">
        <v>6762.50047</v>
      </c>
      <c r="P596">
        <f t="shared" si="126"/>
        <v>-8.7663350051110003E-3</v>
      </c>
      <c r="Q596" t="str">
        <f t="shared" si="120"/>
        <v>2012-05</v>
      </c>
      <c r="S596">
        <v>6611.5</v>
      </c>
      <c r="T596">
        <f t="shared" si="127"/>
        <v>-1.3401441536714558E-2</v>
      </c>
      <c r="U596" t="str">
        <f t="shared" si="121"/>
        <v>2012-05</v>
      </c>
      <c r="W596">
        <v>13283.55</v>
      </c>
      <c r="X596">
        <f t="shared" si="128"/>
        <v>-2.091378398079173E-3</v>
      </c>
      <c r="Y596">
        <f t="shared" si="129"/>
        <v>-2.0891929900476967E-3</v>
      </c>
      <c r="Z596" t="str">
        <f t="shared" si="122"/>
        <v>2012-05</v>
      </c>
    </row>
    <row r="597" spans="1:26" x14ac:dyDescent="0.35">
      <c r="A597" s="1">
        <v>41046</v>
      </c>
      <c r="C597">
        <v>2146.91</v>
      </c>
      <c r="D597">
        <f t="shared" si="123"/>
        <v>-1.3155375101406292E-2</v>
      </c>
      <c r="E597" t="str">
        <f t="shared" si="117"/>
        <v>2012-05</v>
      </c>
      <c r="G597">
        <v>3011.99</v>
      </c>
      <c r="H597">
        <f t="shared" si="124"/>
        <v>-1.210444006229386E-2</v>
      </c>
      <c r="I597" t="str">
        <f t="shared" si="118"/>
        <v>2012-05</v>
      </c>
      <c r="K597">
        <v>6308.96</v>
      </c>
      <c r="L597">
        <f t="shared" si="125"/>
        <v>-1.1864740915655841E-2</v>
      </c>
      <c r="M597" t="str">
        <f t="shared" si="119"/>
        <v>2012-05</v>
      </c>
      <c r="O597">
        <v>6644.9500799999996</v>
      </c>
      <c r="P597">
        <f t="shared" si="126"/>
        <v>-1.7535533951881371E-2</v>
      </c>
      <c r="Q597" t="str">
        <f t="shared" si="120"/>
        <v>2012-05</v>
      </c>
      <c r="S597">
        <v>6537.9</v>
      </c>
      <c r="T597">
        <f t="shared" si="127"/>
        <v>-1.11945440270025E-2</v>
      </c>
      <c r="U597" t="str">
        <f t="shared" si="121"/>
        <v>2012-05</v>
      </c>
      <c r="W597">
        <v>13089.26</v>
      </c>
      <c r="X597">
        <f t="shared" si="128"/>
        <v>-1.4734380981723395E-2</v>
      </c>
      <c r="Y597">
        <f t="shared" si="129"/>
        <v>-1.4626361176040973E-2</v>
      </c>
      <c r="Z597" t="str">
        <f t="shared" si="122"/>
        <v>2012-05</v>
      </c>
    </row>
    <row r="598" spans="1:26" x14ac:dyDescent="0.35">
      <c r="A598" s="1">
        <v>41047</v>
      </c>
      <c r="C598">
        <v>2144.69</v>
      </c>
      <c r="D598">
        <f t="shared" si="123"/>
        <v>-1.0345792702094177E-3</v>
      </c>
      <c r="E598" t="str">
        <f t="shared" si="117"/>
        <v>2012-05</v>
      </c>
      <c r="G598">
        <v>3008</v>
      </c>
      <c r="H598">
        <f t="shared" si="124"/>
        <v>-1.325583791421444E-3</v>
      </c>
      <c r="I598" t="str">
        <f t="shared" si="118"/>
        <v>2012-05</v>
      </c>
      <c r="K598">
        <v>6271.22</v>
      </c>
      <c r="L598">
        <f t="shared" si="125"/>
        <v>-5.9999321499964973E-3</v>
      </c>
      <c r="M598" t="str">
        <f t="shared" si="119"/>
        <v>2012-05</v>
      </c>
      <c r="O598">
        <v>6537.4594299999999</v>
      </c>
      <c r="P598">
        <f t="shared" si="126"/>
        <v>-1.6308556085992375E-2</v>
      </c>
      <c r="Q598" t="str">
        <f t="shared" si="120"/>
        <v>2012-05</v>
      </c>
      <c r="S598">
        <v>6566.7</v>
      </c>
      <c r="T598">
        <f t="shared" si="127"/>
        <v>4.3954102173433792E-3</v>
      </c>
      <c r="U598" t="str">
        <f t="shared" si="121"/>
        <v>2012-05</v>
      </c>
      <c r="W598">
        <v>13048.9</v>
      </c>
      <c r="X598">
        <f t="shared" si="128"/>
        <v>-3.0882075919799121E-3</v>
      </c>
      <c r="Y598">
        <f t="shared" si="129"/>
        <v>-3.0834439838463429E-3</v>
      </c>
      <c r="Z598" t="str">
        <f t="shared" si="122"/>
        <v>2012-05</v>
      </c>
    </row>
    <row r="599" spans="1:26" x14ac:dyDescent="0.35">
      <c r="A599" s="1">
        <v>41050</v>
      </c>
      <c r="C599">
        <v>2150.16</v>
      </c>
      <c r="D599">
        <f t="shared" si="123"/>
        <v>2.5472381841688423E-3</v>
      </c>
      <c r="E599" t="str">
        <f t="shared" si="117"/>
        <v>2012-05</v>
      </c>
      <c r="G599">
        <v>3027.15</v>
      </c>
      <c r="H599">
        <f t="shared" si="124"/>
        <v>6.3461767381037962E-3</v>
      </c>
      <c r="I599" t="str">
        <f t="shared" si="118"/>
        <v>2012-05</v>
      </c>
      <c r="K599">
        <v>6331.04</v>
      </c>
      <c r="L599">
        <f t="shared" si="125"/>
        <v>9.4936065896477351E-3</v>
      </c>
      <c r="M599" t="str">
        <f t="shared" si="119"/>
        <v>2012-05</v>
      </c>
      <c r="O599">
        <v>6558.18318</v>
      </c>
      <c r="P599">
        <f t="shared" si="126"/>
        <v>3.1649866931410839E-3</v>
      </c>
      <c r="Q599" t="str">
        <f t="shared" si="120"/>
        <v>2012-05</v>
      </c>
      <c r="S599">
        <v>6524</v>
      </c>
      <c r="T599">
        <f t="shared" si="127"/>
        <v>-6.523738446314124E-3</v>
      </c>
      <c r="U599" t="str">
        <f t="shared" si="121"/>
        <v>2012-05</v>
      </c>
      <c r="W599">
        <v>13012.04</v>
      </c>
      <c r="X599">
        <f t="shared" si="128"/>
        <v>-2.828756336421487E-3</v>
      </c>
      <c r="Y599">
        <f t="shared" si="129"/>
        <v>-2.8247591751027873E-3</v>
      </c>
      <c r="Z599" t="str">
        <f t="shared" si="122"/>
        <v>2012-05</v>
      </c>
    </row>
    <row r="600" spans="1:26" x14ac:dyDescent="0.35">
      <c r="A600" s="1">
        <v>41051</v>
      </c>
      <c r="C600">
        <v>2192.85</v>
      </c>
      <c r="D600">
        <f t="shared" si="123"/>
        <v>1.9659809668301907E-2</v>
      </c>
      <c r="E600" t="str">
        <f t="shared" si="117"/>
        <v>2012-05</v>
      </c>
      <c r="G600">
        <v>3084.09</v>
      </c>
      <c r="H600">
        <f t="shared" si="124"/>
        <v>1.8635055328951513E-2</v>
      </c>
      <c r="I600" t="str">
        <f t="shared" si="118"/>
        <v>2012-05</v>
      </c>
      <c r="K600">
        <v>6435.6</v>
      </c>
      <c r="L600">
        <f t="shared" si="125"/>
        <v>1.6380557135511481E-2</v>
      </c>
      <c r="M600" t="str">
        <f t="shared" si="119"/>
        <v>2012-05</v>
      </c>
      <c r="O600">
        <v>6695.9774100000004</v>
      </c>
      <c r="P600">
        <f t="shared" si="126"/>
        <v>2.0793349196780508E-2</v>
      </c>
      <c r="Q600" t="str">
        <f t="shared" si="120"/>
        <v>2012-05</v>
      </c>
      <c r="S600">
        <v>6661.3</v>
      </c>
      <c r="T600">
        <f t="shared" si="127"/>
        <v>2.0826975940622206E-2</v>
      </c>
      <c r="U600" t="str">
        <f t="shared" si="121"/>
        <v>2012-05</v>
      </c>
      <c r="W600">
        <v>13456.03</v>
      </c>
      <c r="X600">
        <f t="shared" si="128"/>
        <v>3.3552250024971322E-2</v>
      </c>
      <c r="Y600">
        <f t="shared" si="129"/>
        <v>3.4121475187595472E-2</v>
      </c>
      <c r="Z600" t="str">
        <f t="shared" si="122"/>
        <v>2012-05</v>
      </c>
    </row>
    <row r="601" spans="1:26" x14ac:dyDescent="0.35">
      <c r="A601" s="1">
        <v>41052</v>
      </c>
      <c r="C601">
        <v>2134.0500000000002</v>
      </c>
      <c r="D601">
        <f t="shared" si="123"/>
        <v>-2.71804848604488E-2</v>
      </c>
      <c r="E601" t="str">
        <f t="shared" si="117"/>
        <v>2012-05</v>
      </c>
      <c r="G601">
        <v>3003.27</v>
      </c>
      <c r="H601">
        <f t="shared" si="124"/>
        <v>-2.6554943105215157E-2</v>
      </c>
      <c r="I601" t="str">
        <f t="shared" si="118"/>
        <v>2012-05</v>
      </c>
      <c r="K601">
        <v>6285.75</v>
      </c>
      <c r="L601">
        <f t="shared" si="125"/>
        <v>-2.3559910129754575E-2</v>
      </c>
      <c r="M601" t="str">
        <f t="shared" si="119"/>
        <v>2012-05</v>
      </c>
      <c r="O601">
        <v>6578.4002</v>
      </c>
      <c r="P601">
        <f t="shared" si="126"/>
        <v>-1.7715374448491777E-2</v>
      </c>
      <c r="Q601" t="str">
        <f t="shared" si="120"/>
        <v>2012-05</v>
      </c>
      <c r="S601">
        <v>6440.5</v>
      </c>
      <c r="T601">
        <f t="shared" si="127"/>
        <v>-3.3708483845384052E-2</v>
      </c>
      <c r="U601" t="str">
        <f t="shared" si="121"/>
        <v>2012-05</v>
      </c>
      <c r="W601">
        <v>12960.87</v>
      </c>
      <c r="X601">
        <f t="shared" si="128"/>
        <v>-3.7492514416145289E-2</v>
      </c>
      <c r="Y601">
        <f t="shared" si="129"/>
        <v>-3.679837217961017E-2</v>
      </c>
      <c r="Z601" t="str">
        <f t="shared" si="122"/>
        <v>2012-05</v>
      </c>
    </row>
    <row r="602" spans="1:26" x14ac:dyDescent="0.35">
      <c r="A602" s="1">
        <v>41053</v>
      </c>
      <c r="C602">
        <v>2156.52</v>
      </c>
      <c r="D602">
        <f t="shared" si="123"/>
        <v>1.0474228566645274E-2</v>
      </c>
      <c r="E602" t="str">
        <f t="shared" si="117"/>
        <v>2012-05</v>
      </c>
      <c r="G602">
        <v>3038.25</v>
      </c>
      <c r="H602">
        <f t="shared" si="124"/>
        <v>1.1579996719339158E-2</v>
      </c>
      <c r="I602" t="str">
        <f t="shared" si="118"/>
        <v>2012-05</v>
      </c>
      <c r="K602">
        <v>6315.89</v>
      </c>
      <c r="L602">
        <f t="shared" si="125"/>
        <v>4.783513490615318E-3</v>
      </c>
      <c r="M602" t="str">
        <f t="shared" si="119"/>
        <v>2012-05</v>
      </c>
      <c r="O602">
        <v>6681.9117900000001</v>
      </c>
      <c r="P602">
        <f t="shared" si="126"/>
        <v>1.5612557632967348E-2</v>
      </c>
      <c r="Q602" t="str">
        <f t="shared" si="120"/>
        <v>2012-05</v>
      </c>
      <c r="S602">
        <v>6534.4</v>
      </c>
      <c r="T602">
        <f t="shared" si="127"/>
        <v>1.4474352694149012E-2</v>
      </c>
      <c r="U602" t="str">
        <f t="shared" si="121"/>
        <v>2012-05</v>
      </c>
      <c r="W602">
        <v>13107.8</v>
      </c>
      <c r="X602">
        <f t="shared" si="128"/>
        <v>1.127265456170343E-2</v>
      </c>
      <c r="Y602">
        <f t="shared" si="129"/>
        <v>1.1336430347654013E-2</v>
      </c>
      <c r="Z602" t="str">
        <f t="shared" si="122"/>
        <v>2012-05</v>
      </c>
    </row>
    <row r="603" spans="1:26" x14ac:dyDescent="0.35">
      <c r="A603" s="1">
        <v>41054</v>
      </c>
      <c r="C603">
        <v>2161.87</v>
      </c>
      <c r="D603">
        <f t="shared" si="123"/>
        <v>2.4777765496577747E-3</v>
      </c>
      <c r="E603" t="str">
        <f t="shared" si="117"/>
        <v>2012-05</v>
      </c>
      <c r="G603">
        <v>3047.94</v>
      </c>
      <c r="H603">
        <f t="shared" si="124"/>
        <v>3.1842608225043307E-3</v>
      </c>
      <c r="I603" t="str">
        <f t="shared" si="118"/>
        <v>2012-05</v>
      </c>
      <c r="K603">
        <v>6339.94</v>
      </c>
      <c r="L603">
        <f t="shared" si="125"/>
        <v>3.8006245263523348E-3</v>
      </c>
      <c r="M603" t="str">
        <f t="shared" si="119"/>
        <v>2012-05</v>
      </c>
      <c r="O603">
        <v>6689.9470099999999</v>
      </c>
      <c r="P603">
        <f t="shared" si="126"/>
        <v>1.2018106214430927E-3</v>
      </c>
      <c r="Q603" t="str">
        <f t="shared" si="120"/>
        <v>2012-05</v>
      </c>
      <c r="S603">
        <v>6543</v>
      </c>
      <c r="T603">
        <f t="shared" si="127"/>
        <v>1.3152463394470971E-3</v>
      </c>
      <c r="U603" t="str">
        <f t="shared" si="121"/>
        <v>2012-05</v>
      </c>
      <c r="W603">
        <v>13154.8</v>
      </c>
      <c r="X603">
        <f t="shared" si="128"/>
        <v>3.5792381695789947E-3</v>
      </c>
      <c r="Y603">
        <f t="shared" si="129"/>
        <v>3.5856512915973695E-3</v>
      </c>
      <c r="Z603" t="str">
        <f t="shared" si="122"/>
        <v>2012-05</v>
      </c>
    </row>
    <row r="604" spans="1:26" x14ac:dyDescent="0.35">
      <c r="A604" s="1">
        <v>41057</v>
      </c>
      <c r="C604">
        <v>2147.92</v>
      </c>
      <c r="D604">
        <f t="shared" si="123"/>
        <v>-6.4736558942650397E-3</v>
      </c>
      <c r="E604" t="str">
        <f t="shared" si="117"/>
        <v>2012-05</v>
      </c>
      <c r="G604">
        <v>3042.97</v>
      </c>
      <c r="H604">
        <f t="shared" si="124"/>
        <v>-1.6319404171203139E-3</v>
      </c>
      <c r="I604" t="str">
        <f t="shared" si="118"/>
        <v>2012-05</v>
      </c>
      <c r="K604">
        <v>6323.19</v>
      </c>
      <c r="L604">
        <f t="shared" si="125"/>
        <v>-2.6454770295821963E-3</v>
      </c>
      <c r="M604" t="str">
        <f t="shared" si="119"/>
        <v>2012-05</v>
      </c>
      <c r="O604">
        <v>6701.0886700000001</v>
      </c>
      <c r="P604">
        <f t="shared" si="126"/>
        <v>1.6640479253789058E-3</v>
      </c>
      <c r="Q604" t="str">
        <f t="shared" si="120"/>
        <v>2012-05</v>
      </c>
      <c r="S604">
        <v>6401.2</v>
      </c>
      <c r="T604">
        <f t="shared" si="127"/>
        <v>-2.191030309790357E-2</v>
      </c>
      <c r="U604" t="str">
        <f t="shared" si="121"/>
        <v>2012-05</v>
      </c>
      <c r="W604">
        <v>13057.26</v>
      </c>
      <c r="X604">
        <f t="shared" si="128"/>
        <v>-7.4424101137907312E-3</v>
      </c>
      <c r="Y604">
        <f t="shared" si="129"/>
        <v>-7.4147839571866592E-3</v>
      </c>
      <c r="Z604" t="str">
        <f t="shared" si="122"/>
        <v>2012-05</v>
      </c>
    </row>
    <row r="605" spans="1:26" x14ac:dyDescent="0.35">
      <c r="A605" s="1">
        <v>41058</v>
      </c>
      <c r="C605">
        <v>2160.31</v>
      </c>
      <c r="D605">
        <f t="shared" si="123"/>
        <v>5.7517979116081521E-3</v>
      </c>
      <c r="E605" t="str">
        <f t="shared" si="117"/>
        <v>2012-05</v>
      </c>
      <c r="G605">
        <v>3084.7</v>
      </c>
      <c r="H605">
        <f t="shared" si="124"/>
        <v>1.3620395722041994E-2</v>
      </c>
      <c r="I605" t="str">
        <f t="shared" si="118"/>
        <v>2012-05</v>
      </c>
      <c r="K605">
        <v>6396.84</v>
      </c>
      <c r="L605">
        <f t="shared" si="125"/>
        <v>1.1580290778582868E-2</v>
      </c>
      <c r="M605" t="str">
        <f t="shared" si="119"/>
        <v>2012-05</v>
      </c>
      <c r="O605">
        <v>6750.3707000000004</v>
      </c>
      <c r="P605">
        <f t="shared" si="126"/>
        <v>7.3274206381234875E-3</v>
      </c>
      <c r="Q605" t="str">
        <f t="shared" si="120"/>
        <v>2012-05</v>
      </c>
      <c r="S605">
        <v>6251.7</v>
      </c>
      <c r="T605">
        <f t="shared" si="127"/>
        <v>-2.3632046026681532E-2</v>
      </c>
      <c r="U605" t="str">
        <f t="shared" si="121"/>
        <v>2012-05</v>
      </c>
      <c r="W605">
        <v>13107.13</v>
      </c>
      <c r="X605">
        <f t="shared" si="128"/>
        <v>3.8120560342972346E-3</v>
      </c>
      <c r="Y605">
        <f t="shared" si="129"/>
        <v>3.8193311613614941E-3</v>
      </c>
      <c r="Z605" t="str">
        <f t="shared" si="122"/>
        <v>2012-05</v>
      </c>
    </row>
    <row r="606" spans="1:26" x14ac:dyDescent="0.35">
      <c r="A606" s="1">
        <v>41059</v>
      </c>
      <c r="C606">
        <v>2116.1799999999998</v>
      </c>
      <c r="D606">
        <f t="shared" si="123"/>
        <v>-2.0639153376091849E-2</v>
      </c>
      <c r="E606" t="str">
        <f t="shared" si="117"/>
        <v>2012-05</v>
      </c>
      <c r="G606">
        <v>3015.58</v>
      </c>
      <c r="H606">
        <f t="shared" si="124"/>
        <v>-2.2662224742115909E-2</v>
      </c>
      <c r="I606" t="str">
        <f t="shared" si="118"/>
        <v>2012-05</v>
      </c>
      <c r="K606">
        <v>6280.8</v>
      </c>
      <c r="L606">
        <f t="shared" si="125"/>
        <v>-1.8306757529047715E-2</v>
      </c>
      <c r="M606" t="str">
        <f t="shared" si="119"/>
        <v>2012-05</v>
      </c>
      <c r="O606">
        <v>6628.6453899999997</v>
      </c>
      <c r="P606">
        <f t="shared" si="126"/>
        <v>-1.8196953806206013E-2</v>
      </c>
      <c r="Q606" t="str">
        <f t="shared" si="120"/>
        <v>2012-05</v>
      </c>
      <c r="S606">
        <v>6090.4</v>
      </c>
      <c r="T606">
        <f t="shared" si="127"/>
        <v>-2.6139665753150861E-2</v>
      </c>
      <c r="U606" t="str">
        <f t="shared" si="121"/>
        <v>2012-05</v>
      </c>
      <c r="W606">
        <v>12872.58</v>
      </c>
      <c r="X606">
        <f t="shared" si="128"/>
        <v>-1.8056889234617037E-2</v>
      </c>
      <c r="Y606">
        <f t="shared" si="129"/>
        <v>-1.7894840441805282E-2</v>
      </c>
      <c r="Z606" t="str">
        <f t="shared" si="122"/>
        <v>2012-05</v>
      </c>
    </row>
    <row r="607" spans="1:26" x14ac:dyDescent="0.35">
      <c r="A607" s="1">
        <v>41060</v>
      </c>
      <c r="C607">
        <v>2118.94</v>
      </c>
      <c r="D607">
        <f t="shared" si="123"/>
        <v>1.3033871015357887E-3</v>
      </c>
      <c r="E607" t="str">
        <f t="shared" si="117"/>
        <v>2012-05</v>
      </c>
      <c r="G607">
        <v>3017.01</v>
      </c>
      <c r="H607">
        <f t="shared" si="124"/>
        <v>4.7409156822683993E-4</v>
      </c>
      <c r="I607" t="str">
        <f t="shared" si="118"/>
        <v>2012-05</v>
      </c>
      <c r="K607">
        <v>6264.38</v>
      </c>
      <c r="L607">
        <f t="shared" si="125"/>
        <v>-2.6177399410113886E-3</v>
      </c>
      <c r="M607" t="str">
        <f t="shared" si="119"/>
        <v>2012-05</v>
      </c>
      <c r="O607">
        <v>6634.2913099999996</v>
      </c>
      <c r="P607">
        <f t="shared" si="126"/>
        <v>8.5138313915628918E-4</v>
      </c>
      <c r="Q607" t="str">
        <f t="shared" si="120"/>
        <v>2012-05</v>
      </c>
      <c r="S607">
        <v>6089.8</v>
      </c>
      <c r="T607">
        <f t="shared" si="127"/>
        <v>-9.8520549824272644E-5</v>
      </c>
      <c r="U607" t="str">
        <f t="shared" si="121"/>
        <v>2012-05</v>
      </c>
      <c r="W607">
        <v>12873.84</v>
      </c>
      <c r="X607">
        <f t="shared" si="128"/>
        <v>9.7877685597073415E-5</v>
      </c>
      <c r="Y607">
        <f t="shared" si="129"/>
        <v>9.7882475774104205E-5</v>
      </c>
      <c r="Z607" t="str">
        <f t="shared" si="122"/>
        <v>2012-05</v>
      </c>
    </row>
    <row r="608" spans="1:26" x14ac:dyDescent="0.35">
      <c r="A608" s="1">
        <v>41061</v>
      </c>
      <c r="C608">
        <v>2068.66</v>
      </c>
      <c r="D608">
        <f t="shared" si="123"/>
        <v>-2.4014908977074548E-2</v>
      </c>
      <c r="E608" t="str">
        <f t="shared" si="117"/>
        <v>2012-06</v>
      </c>
      <c r="G608">
        <v>2950.47</v>
      </c>
      <c r="H608">
        <f t="shared" si="124"/>
        <v>-2.2301795027090034E-2</v>
      </c>
      <c r="I608" t="str">
        <f t="shared" si="118"/>
        <v>2012-06</v>
      </c>
      <c r="K608">
        <v>6050.29</v>
      </c>
      <c r="L608">
        <f t="shared" si="125"/>
        <v>-3.477341618264166E-2</v>
      </c>
      <c r="M608" t="str">
        <f t="shared" si="119"/>
        <v>2012-06</v>
      </c>
      <c r="O608">
        <v>6522.9924000000001</v>
      </c>
      <c r="P608">
        <f t="shared" si="126"/>
        <v>-1.691862352273963E-2</v>
      </c>
      <c r="Q608" t="str">
        <f t="shared" si="120"/>
        <v>2012-06</v>
      </c>
      <c r="S608">
        <v>6065</v>
      </c>
      <c r="T608">
        <f t="shared" si="127"/>
        <v>-4.0806980640279555E-3</v>
      </c>
      <c r="U608" t="str">
        <f t="shared" si="121"/>
        <v>2012-06</v>
      </c>
      <c r="W608">
        <v>12739.98</v>
      </c>
      <c r="X608">
        <f t="shared" si="128"/>
        <v>-1.045226511936255E-2</v>
      </c>
      <c r="Y608">
        <f t="shared" si="129"/>
        <v>-1.0397830018083228E-2</v>
      </c>
      <c r="Z608" t="str">
        <f t="shared" si="122"/>
        <v>2012-06</v>
      </c>
    </row>
    <row r="609" spans="1:26" x14ac:dyDescent="0.35">
      <c r="A609" s="1">
        <v>41066</v>
      </c>
      <c r="C609">
        <v>2137.73</v>
      </c>
      <c r="D609">
        <f t="shared" si="123"/>
        <v>3.2843463714078716E-2</v>
      </c>
      <c r="E609" t="str">
        <f t="shared" si="117"/>
        <v>2012-06</v>
      </c>
      <c r="G609">
        <v>3058.44</v>
      </c>
      <c r="H609">
        <f t="shared" si="124"/>
        <v>3.5940502353299306E-2</v>
      </c>
      <c r="I609" t="str">
        <f t="shared" si="118"/>
        <v>2012-06</v>
      </c>
      <c r="K609">
        <v>6093.99</v>
      </c>
      <c r="L609">
        <f t="shared" si="125"/>
        <v>7.1968348255955026E-3</v>
      </c>
      <c r="M609" t="str">
        <f t="shared" si="119"/>
        <v>2012-06</v>
      </c>
      <c r="O609">
        <v>6635.5007999999998</v>
      </c>
      <c r="P609">
        <f t="shared" si="126"/>
        <v>1.7100915753593564E-2</v>
      </c>
      <c r="Q609" t="str">
        <f t="shared" si="120"/>
        <v>2012-06</v>
      </c>
      <c r="S609">
        <v>6418.9</v>
      </c>
      <c r="T609">
        <f t="shared" si="127"/>
        <v>5.6712221061693477E-2</v>
      </c>
      <c r="U609" t="str">
        <f t="shared" si="121"/>
        <v>2012-06</v>
      </c>
      <c r="W609">
        <v>13427.15</v>
      </c>
      <c r="X609">
        <f t="shared" si="128"/>
        <v>5.2533696264169157E-2</v>
      </c>
      <c r="Y609">
        <f t="shared" si="129"/>
        <v>5.3938075256005122E-2</v>
      </c>
      <c r="Z609" t="str">
        <f t="shared" si="122"/>
        <v>2012-06</v>
      </c>
    </row>
    <row r="610" spans="1:26" x14ac:dyDescent="0.35">
      <c r="A610" s="1">
        <v>41067</v>
      </c>
      <c r="C610">
        <v>2143.08</v>
      </c>
      <c r="D610">
        <f t="shared" si="123"/>
        <v>2.4995282600286189E-3</v>
      </c>
      <c r="E610" t="str">
        <f t="shared" si="117"/>
        <v>2012-06</v>
      </c>
      <c r="G610">
        <v>3071.16</v>
      </c>
      <c r="H610">
        <f t="shared" si="124"/>
        <v>4.1503583460576858E-3</v>
      </c>
      <c r="I610" t="str">
        <f t="shared" si="118"/>
        <v>2012-06</v>
      </c>
      <c r="K610">
        <v>6144.22</v>
      </c>
      <c r="L610">
        <f t="shared" si="125"/>
        <v>8.2087628921207988E-3</v>
      </c>
      <c r="M610" t="str">
        <f t="shared" si="119"/>
        <v>2012-06</v>
      </c>
      <c r="O610">
        <v>6740.1552700000002</v>
      </c>
      <c r="P610">
        <f t="shared" si="126"/>
        <v>1.5648818292059514E-2</v>
      </c>
      <c r="Q610" t="str">
        <f t="shared" si="120"/>
        <v>2012-06</v>
      </c>
      <c r="S610">
        <v>6438.1</v>
      </c>
      <c r="T610">
        <f t="shared" si="127"/>
        <v>2.9867020724308915E-3</v>
      </c>
      <c r="U610" t="str">
        <f t="shared" si="121"/>
        <v>2012-06</v>
      </c>
      <c r="W610">
        <v>13545.32</v>
      </c>
      <c r="X610">
        <f t="shared" si="128"/>
        <v>8.7623236636095239E-3</v>
      </c>
      <c r="Y610">
        <f t="shared" si="129"/>
        <v>8.8008251937306183E-3</v>
      </c>
      <c r="Z610" t="str">
        <f t="shared" si="122"/>
        <v>2012-06</v>
      </c>
    </row>
    <row r="611" spans="1:26" x14ac:dyDescent="0.35">
      <c r="A611" s="1">
        <v>41068</v>
      </c>
      <c r="C611">
        <v>2143.9</v>
      </c>
      <c r="D611">
        <f t="shared" si="123"/>
        <v>3.8255369047701009E-4</v>
      </c>
      <c r="E611" t="str">
        <f t="shared" si="117"/>
        <v>2012-06</v>
      </c>
      <c r="G611">
        <v>3051.69</v>
      </c>
      <c r="H611">
        <f t="shared" si="124"/>
        <v>-6.3598048704130898E-3</v>
      </c>
      <c r="I611" t="str">
        <f t="shared" si="118"/>
        <v>2012-06</v>
      </c>
      <c r="K611">
        <v>6130.82</v>
      </c>
      <c r="L611">
        <f t="shared" si="125"/>
        <v>-2.1832931416748344E-3</v>
      </c>
      <c r="M611" t="str">
        <f t="shared" si="119"/>
        <v>2012-06</v>
      </c>
      <c r="O611">
        <v>6716.4049000000005</v>
      </c>
      <c r="P611">
        <f t="shared" si="126"/>
        <v>-3.5299354904420126E-3</v>
      </c>
      <c r="Q611" t="str">
        <f t="shared" si="120"/>
        <v>2012-06</v>
      </c>
      <c r="S611">
        <v>6552</v>
      </c>
      <c r="T611">
        <f t="shared" si="127"/>
        <v>1.7536881020630547E-2</v>
      </c>
      <c r="U611" t="str">
        <f t="shared" si="121"/>
        <v>2012-06</v>
      </c>
      <c r="W611">
        <v>13445.46</v>
      </c>
      <c r="X611">
        <f t="shared" si="128"/>
        <v>-7.3995976140367025E-3</v>
      </c>
      <c r="Y611">
        <f t="shared" si="129"/>
        <v>-7.372287993196217E-3</v>
      </c>
      <c r="Z611" t="str">
        <f t="shared" si="122"/>
        <v>2012-06</v>
      </c>
    </row>
    <row r="612" spans="1:26" x14ac:dyDescent="0.35">
      <c r="A612" s="1">
        <v>41071</v>
      </c>
      <c r="C612">
        <v>2137.6999999999998</v>
      </c>
      <c r="D612">
        <f t="shared" si="123"/>
        <v>-2.8961156266507481E-3</v>
      </c>
      <c r="E612" t="str">
        <f t="shared" si="117"/>
        <v>2012-06</v>
      </c>
      <c r="G612">
        <v>3042.76</v>
      </c>
      <c r="H612">
        <f t="shared" si="124"/>
        <v>-2.9305372563360283E-3</v>
      </c>
      <c r="I612" t="str">
        <f t="shared" si="118"/>
        <v>2012-06</v>
      </c>
      <c r="K612">
        <v>6141.05</v>
      </c>
      <c r="L612">
        <f t="shared" si="125"/>
        <v>1.6672279562366043E-3</v>
      </c>
      <c r="M612" t="str">
        <f t="shared" si="119"/>
        <v>2012-06</v>
      </c>
      <c r="O612">
        <v>6735.6866799999998</v>
      </c>
      <c r="P612">
        <f t="shared" si="126"/>
        <v>2.8667353460105926E-3</v>
      </c>
      <c r="Q612" t="str">
        <f t="shared" si="120"/>
        <v>2012-06</v>
      </c>
      <c r="S612">
        <v>6516.4</v>
      </c>
      <c r="T612">
        <f t="shared" si="127"/>
        <v>-5.4482703408911832E-3</v>
      </c>
      <c r="U612" t="str">
        <f t="shared" si="121"/>
        <v>2012-06</v>
      </c>
      <c r="W612">
        <v>13070.75</v>
      </c>
      <c r="X612">
        <f t="shared" si="128"/>
        <v>-2.8264593287462114E-2</v>
      </c>
      <c r="Y612">
        <f t="shared" si="129"/>
        <v>-2.7868886598152769E-2</v>
      </c>
      <c r="Z612" t="str">
        <f t="shared" si="122"/>
        <v>2012-06</v>
      </c>
    </row>
    <row r="613" spans="1:26" x14ac:dyDescent="0.35">
      <c r="A613" s="1">
        <v>41072</v>
      </c>
      <c r="C613">
        <v>2143.38</v>
      </c>
      <c r="D613">
        <f t="shared" si="123"/>
        <v>2.6535375806402092E-3</v>
      </c>
      <c r="E613" t="str">
        <f t="shared" si="117"/>
        <v>2012-06</v>
      </c>
      <c r="G613">
        <v>3046.91</v>
      </c>
      <c r="H613">
        <f t="shared" si="124"/>
        <v>1.3629640497577462E-3</v>
      </c>
      <c r="I613" t="str">
        <f t="shared" si="118"/>
        <v>2012-06</v>
      </c>
      <c r="K613">
        <v>6161.24</v>
      </c>
      <c r="L613">
        <f t="shared" si="125"/>
        <v>3.282318678328205E-3</v>
      </c>
      <c r="M613" t="str">
        <f t="shared" si="119"/>
        <v>2012-06</v>
      </c>
      <c r="O613">
        <v>6823.2131099999997</v>
      </c>
      <c r="P613">
        <f t="shared" si="126"/>
        <v>1.2910729800354083E-2</v>
      </c>
      <c r="Q613" t="str">
        <f t="shared" si="120"/>
        <v>2012-06</v>
      </c>
      <c r="S613">
        <v>6522.5</v>
      </c>
      <c r="T613">
        <f t="shared" si="127"/>
        <v>9.3566181886938296E-4</v>
      </c>
      <c r="U613" t="str">
        <f t="shared" si="121"/>
        <v>2012-06</v>
      </c>
      <c r="W613">
        <v>12979.69</v>
      </c>
      <c r="X613">
        <f t="shared" si="128"/>
        <v>-6.9910812163735368E-3</v>
      </c>
      <c r="Y613">
        <f t="shared" si="129"/>
        <v>-6.9667004571275165E-3</v>
      </c>
      <c r="Z613" t="str">
        <f t="shared" si="122"/>
        <v>2012-06</v>
      </c>
    </row>
    <row r="614" spans="1:26" x14ac:dyDescent="0.35">
      <c r="A614" s="1">
        <v>41073</v>
      </c>
      <c r="C614">
        <v>2143.5</v>
      </c>
      <c r="D614">
        <f t="shared" si="123"/>
        <v>5.5984772156633458E-5</v>
      </c>
      <c r="E614" t="str">
        <f t="shared" si="117"/>
        <v>2012-06</v>
      </c>
      <c r="G614">
        <v>3030.04</v>
      </c>
      <c r="H614">
        <f t="shared" si="124"/>
        <v>-5.5521415633118737E-3</v>
      </c>
      <c r="I614" t="str">
        <f t="shared" si="118"/>
        <v>2012-06</v>
      </c>
      <c r="K614">
        <v>6152.49</v>
      </c>
      <c r="L614">
        <f t="shared" si="125"/>
        <v>-1.4211780626556152E-3</v>
      </c>
      <c r="M614" t="str">
        <f t="shared" si="119"/>
        <v>2012-06</v>
      </c>
      <c r="O614">
        <v>6778.8103600000004</v>
      </c>
      <c r="P614">
        <f t="shared" si="126"/>
        <v>-6.5288679767715142E-3</v>
      </c>
      <c r="Q614" t="str">
        <f t="shared" si="120"/>
        <v>2012-06</v>
      </c>
      <c r="S614">
        <v>6615.3</v>
      </c>
      <c r="T614">
        <f t="shared" si="127"/>
        <v>1.4127409983748406E-2</v>
      </c>
      <c r="U614" t="str">
        <f t="shared" si="121"/>
        <v>2012-06</v>
      </c>
      <c r="W614">
        <v>12894.8</v>
      </c>
      <c r="X614">
        <f t="shared" si="128"/>
        <v>-6.5616987685036135E-3</v>
      </c>
      <c r="Y614">
        <f t="shared" si="129"/>
        <v>-6.5402178326293796E-3</v>
      </c>
      <c r="Z614" t="str">
        <f t="shared" si="122"/>
        <v>2012-06</v>
      </c>
    </row>
    <row r="615" spans="1:26" x14ac:dyDescent="0.35">
      <c r="A615" s="1">
        <v>41074</v>
      </c>
      <c r="C615">
        <v>2148.21</v>
      </c>
      <c r="D615">
        <f t="shared" si="123"/>
        <v>2.1949301751303667E-3</v>
      </c>
      <c r="E615" t="str">
        <f t="shared" si="117"/>
        <v>2012-06</v>
      </c>
      <c r="G615">
        <v>3032.45</v>
      </c>
      <c r="H615">
        <f t="shared" si="124"/>
        <v>7.9505289969911467E-4</v>
      </c>
      <c r="I615" t="str">
        <f t="shared" si="118"/>
        <v>2012-06</v>
      </c>
      <c r="K615">
        <v>6138.61</v>
      </c>
      <c r="L615">
        <f t="shared" si="125"/>
        <v>-2.2585457607846469E-3</v>
      </c>
      <c r="M615" t="str">
        <f t="shared" si="119"/>
        <v>2012-06</v>
      </c>
      <c r="O615">
        <v>6738.6588400000001</v>
      </c>
      <c r="P615">
        <f t="shared" si="126"/>
        <v>-5.940703469168529E-3</v>
      </c>
      <c r="Q615" t="str">
        <f t="shared" si="120"/>
        <v>2012-06</v>
      </c>
      <c r="S615">
        <v>6696</v>
      </c>
      <c r="T615">
        <f t="shared" si="127"/>
        <v>1.2125185174679179E-2</v>
      </c>
      <c r="U615" t="str">
        <f t="shared" si="121"/>
        <v>2012-06</v>
      </c>
      <c r="W615">
        <v>13084.62</v>
      </c>
      <c r="X615">
        <f t="shared" si="128"/>
        <v>1.4613365348428184E-2</v>
      </c>
      <c r="Y615">
        <f t="shared" si="129"/>
        <v>1.4720662592673135E-2</v>
      </c>
      <c r="Z615" t="str">
        <f t="shared" si="122"/>
        <v>2012-06</v>
      </c>
    </row>
    <row r="616" spans="1:26" x14ac:dyDescent="0.35">
      <c r="A616" s="1">
        <v>41075</v>
      </c>
      <c r="C616">
        <v>2181.23</v>
      </c>
      <c r="D616">
        <f t="shared" si="123"/>
        <v>1.5254000641097904E-2</v>
      </c>
      <c r="E616" t="str">
        <f t="shared" si="117"/>
        <v>2012-06</v>
      </c>
      <c r="G616">
        <v>3087.62</v>
      </c>
      <c r="H616">
        <f t="shared" si="124"/>
        <v>1.802969394160556E-2</v>
      </c>
      <c r="I616" t="str">
        <f t="shared" si="118"/>
        <v>2012-06</v>
      </c>
      <c r="K616">
        <v>6229.41</v>
      </c>
      <c r="L616">
        <f t="shared" si="125"/>
        <v>1.4683293099563795E-2</v>
      </c>
      <c r="M616" t="str">
        <f t="shared" si="119"/>
        <v>2012-06</v>
      </c>
      <c r="O616">
        <v>6785.4155499999997</v>
      </c>
      <c r="P616">
        <f t="shared" si="126"/>
        <v>6.914616844825177E-3</v>
      </c>
      <c r="Q616" t="str">
        <f t="shared" si="120"/>
        <v>2012-06</v>
      </c>
      <c r="S616">
        <v>6719</v>
      </c>
      <c r="T616">
        <f t="shared" si="127"/>
        <v>3.4290007508388015E-3</v>
      </c>
      <c r="U616" t="str">
        <f t="shared" si="121"/>
        <v>2012-06</v>
      </c>
      <c r="W616">
        <v>13390.69</v>
      </c>
      <c r="X616">
        <f t="shared" si="128"/>
        <v>2.312219469478051E-2</v>
      </c>
      <c r="Y616">
        <f t="shared" si="129"/>
        <v>2.3391584929482071E-2</v>
      </c>
      <c r="Z616" t="str">
        <f t="shared" si="122"/>
        <v>2012-06</v>
      </c>
    </row>
    <row r="617" spans="1:26" x14ac:dyDescent="0.35">
      <c r="A617" s="1">
        <v>41078</v>
      </c>
      <c r="C617">
        <v>2155.64</v>
      </c>
      <c r="D617">
        <f t="shared" si="123"/>
        <v>-1.1801274648658332E-2</v>
      </c>
      <c r="E617" t="str">
        <f t="shared" si="117"/>
        <v>2012-06</v>
      </c>
      <c r="G617">
        <v>3066.19</v>
      </c>
      <c r="H617">
        <f t="shared" si="124"/>
        <v>-6.9648190725393475E-3</v>
      </c>
      <c r="I617" t="str">
        <f t="shared" si="118"/>
        <v>2012-06</v>
      </c>
      <c r="K617">
        <v>6248.2</v>
      </c>
      <c r="L617">
        <f t="shared" si="125"/>
        <v>3.0117970033600922E-3</v>
      </c>
      <c r="M617" t="str">
        <f t="shared" si="119"/>
        <v>2012-06</v>
      </c>
      <c r="O617">
        <v>6842.1175599999997</v>
      </c>
      <c r="P617">
        <f t="shared" si="126"/>
        <v>8.3217317126343705E-3</v>
      </c>
      <c r="Q617" t="str">
        <f t="shared" si="120"/>
        <v>2012-06</v>
      </c>
      <c r="S617">
        <v>6519.9</v>
      </c>
      <c r="T617">
        <f t="shared" si="127"/>
        <v>-3.0080295540383727E-2</v>
      </c>
      <c r="U617" t="str">
        <f t="shared" si="121"/>
        <v>2012-06</v>
      </c>
      <c r="W617">
        <v>13009.63</v>
      </c>
      <c r="X617">
        <f t="shared" si="128"/>
        <v>-2.8869836910483365E-2</v>
      </c>
      <c r="Y617">
        <f t="shared" si="129"/>
        <v>-2.8457084735738134E-2</v>
      </c>
      <c r="Z617" t="str">
        <f t="shared" si="122"/>
        <v>2012-06</v>
      </c>
    </row>
    <row r="618" spans="1:26" x14ac:dyDescent="0.35">
      <c r="A618" s="1">
        <v>41079</v>
      </c>
      <c r="C618">
        <v>2198.0100000000002</v>
      </c>
      <c r="D618">
        <f t="shared" si="123"/>
        <v>1.9464742338152582E-2</v>
      </c>
      <c r="E618" t="str">
        <f t="shared" si="117"/>
        <v>2012-06</v>
      </c>
      <c r="G618">
        <v>3117.92</v>
      </c>
      <c r="H618">
        <f t="shared" si="124"/>
        <v>1.673036431064882E-2</v>
      </c>
      <c r="I618" t="str">
        <f t="shared" si="118"/>
        <v>2012-06</v>
      </c>
      <c r="K618">
        <v>6363.36</v>
      </c>
      <c r="L618">
        <f t="shared" si="125"/>
        <v>1.8263117468166383E-2</v>
      </c>
      <c r="M618" t="str">
        <f t="shared" si="119"/>
        <v>2012-06</v>
      </c>
      <c r="O618">
        <v>6923.9081800000004</v>
      </c>
      <c r="P618">
        <f t="shared" si="126"/>
        <v>1.1883107586997907E-2</v>
      </c>
      <c r="Q618" t="str">
        <f t="shared" si="120"/>
        <v>2012-06</v>
      </c>
      <c r="S618">
        <v>6693.9</v>
      </c>
      <c r="T618">
        <f t="shared" si="127"/>
        <v>2.6337625528800902E-2</v>
      </c>
      <c r="U618" t="str">
        <f t="shared" si="121"/>
        <v>2012-06</v>
      </c>
      <c r="W618">
        <v>13445.46</v>
      </c>
      <c r="X618">
        <f t="shared" si="128"/>
        <v>3.2951650139613972E-2</v>
      </c>
      <c r="Y618">
        <f t="shared" si="129"/>
        <v>3.3500568425082033E-2</v>
      </c>
      <c r="Z618" t="str">
        <f t="shared" si="122"/>
        <v>2012-06</v>
      </c>
    </row>
    <row r="619" spans="1:26" x14ac:dyDescent="0.35">
      <c r="A619" s="1">
        <v>41080</v>
      </c>
      <c r="C619">
        <v>2207.4899999999998</v>
      </c>
      <c r="D619">
        <f t="shared" si="123"/>
        <v>4.3037179127752463E-3</v>
      </c>
      <c r="E619" t="str">
        <f t="shared" si="117"/>
        <v>2012-06</v>
      </c>
      <c r="G619">
        <v>3126.52</v>
      </c>
      <c r="H619">
        <f t="shared" si="124"/>
        <v>2.7544521005417812E-3</v>
      </c>
      <c r="I619" t="str">
        <f t="shared" si="118"/>
        <v>2012-06</v>
      </c>
      <c r="K619">
        <v>6392.13</v>
      </c>
      <c r="L619">
        <f t="shared" si="125"/>
        <v>4.5110064430518102E-3</v>
      </c>
      <c r="M619" t="str">
        <f t="shared" si="119"/>
        <v>2012-06</v>
      </c>
      <c r="O619">
        <v>6959.20075</v>
      </c>
      <c r="P619">
        <f t="shared" si="126"/>
        <v>5.0842568769023681E-3</v>
      </c>
      <c r="Q619" t="str">
        <f t="shared" si="120"/>
        <v>2012-06</v>
      </c>
      <c r="S619">
        <v>6796.1</v>
      </c>
      <c r="T619">
        <f t="shared" si="127"/>
        <v>1.5152254312961154E-2</v>
      </c>
      <c r="U619" t="str">
        <f t="shared" si="121"/>
        <v>2012-06</v>
      </c>
      <c r="W619">
        <v>13732.16</v>
      </c>
      <c r="X619">
        <f t="shared" si="128"/>
        <v>2.1099024546413516E-2</v>
      </c>
      <c r="Y619">
        <f t="shared" si="129"/>
        <v>2.1323182695125398E-2</v>
      </c>
      <c r="Z619" t="str">
        <f t="shared" si="122"/>
        <v>2012-06</v>
      </c>
    </row>
    <row r="620" spans="1:26" x14ac:dyDescent="0.35">
      <c r="A620" s="1">
        <v>41081</v>
      </c>
      <c r="C620">
        <v>2199.42</v>
      </c>
      <c r="D620">
        <f t="shared" si="123"/>
        <v>-3.6624342319337574E-3</v>
      </c>
      <c r="E620" t="str">
        <f t="shared" si="117"/>
        <v>2012-06</v>
      </c>
      <c r="G620">
        <v>3114.22</v>
      </c>
      <c r="H620">
        <f t="shared" si="124"/>
        <v>-3.9418453345578808E-3</v>
      </c>
      <c r="I620" t="str">
        <f t="shared" si="118"/>
        <v>2012-06</v>
      </c>
      <c r="K620">
        <v>6343.13</v>
      </c>
      <c r="L620">
        <f t="shared" si="125"/>
        <v>-7.6952087039284392E-3</v>
      </c>
      <c r="M620" t="str">
        <f t="shared" si="119"/>
        <v>2012-06</v>
      </c>
      <c r="O620">
        <v>6914.7604300000003</v>
      </c>
      <c r="P620">
        <f t="shared" si="126"/>
        <v>-6.4063134403184287E-3</v>
      </c>
      <c r="Q620" t="str">
        <f t="shared" si="120"/>
        <v>2012-06</v>
      </c>
      <c r="S620">
        <v>6773.5</v>
      </c>
      <c r="T620">
        <f t="shared" si="127"/>
        <v>-3.3309782007373877E-3</v>
      </c>
      <c r="U620" t="str">
        <f t="shared" si="121"/>
        <v>2012-06</v>
      </c>
      <c r="W620">
        <v>13751.63</v>
      </c>
      <c r="X620">
        <f t="shared" si="128"/>
        <v>1.4168353969407443E-3</v>
      </c>
      <c r="Y620">
        <f t="shared" si="129"/>
        <v>1.4178395824108769E-3</v>
      </c>
      <c r="Z620" t="str">
        <f t="shared" si="122"/>
        <v>2012-06</v>
      </c>
    </row>
    <row r="621" spans="1:26" x14ac:dyDescent="0.35">
      <c r="A621" s="1">
        <v>41082</v>
      </c>
      <c r="C621">
        <v>2186.81</v>
      </c>
      <c r="D621">
        <f t="shared" si="123"/>
        <v>-5.7498283223102404E-3</v>
      </c>
      <c r="E621" t="str">
        <f t="shared" si="117"/>
        <v>2012-06</v>
      </c>
      <c r="G621">
        <v>3090.9</v>
      </c>
      <c r="H621">
        <f t="shared" si="124"/>
        <v>-7.5164089626762786E-3</v>
      </c>
      <c r="I621" t="str">
        <f t="shared" si="118"/>
        <v>2012-06</v>
      </c>
      <c r="K621">
        <v>6263.25</v>
      </c>
      <c r="L621">
        <f t="shared" si="125"/>
        <v>-1.2673117756323989E-2</v>
      </c>
      <c r="M621" t="str">
        <f t="shared" si="119"/>
        <v>2012-06</v>
      </c>
      <c r="O621">
        <v>6842.29529</v>
      </c>
      <c r="P621">
        <f t="shared" si="126"/>
        <v>-1.0535075484556653E-2</v>
      </c>
      <c r="Q621" t="str">
        <f t="shared" si="120"/>
        <v>2012-06</v>
      </c>
      <c r="S621">
        <v>6876.3</v>
      </c>
      <c r="T621">
        <f t="shared" si="127"/>
        <v>1.5062776547639309E-2</v>
      </c>
      <c r="U621" t="str">
        <f t="shared" si="121"/>
        <v>2012-06</v>
      </c>
      <c r="W621">
        <v>13662.8</v>
      </c>
      <c r="X621">
        <f t="shared" si="128"/>
        <v>-6.4805513655849774E-3</v>
      </c>
      <c r="Y621">
        <f t="shared" si="129"/>
        <v>-6.4595978803967192E-3</v>
      </c>
      <c r="Z621" t="str">
        <f t="shared" si="122"/>
        <v>2012-06</v>
      </c>
    </row>
    <row r="622" spans="1:26" x14ac:dyDescent="0.35">
      <c r="A622" s="1">
        <v>41085</v>
      </c>
      <c r="C622">
        <v>2130.71</v>
      </c>
      <c r="D622">
        <f t="shared" si="123"/>
        <v>-2.5988603408694175E-2</v>
      </c>
      <c r="E622" t="str">
        <f t="shared" si="117"/>
        <v>2012-06</v>
      </c>
      <c r="G622">
        <v>3021.64</v>
      </c>
      <c r="H622">
        <f t="shared" si="124"/>
        <v>-2.2662580288914502E-2</v>
      </c>
      <c r="I622" t="str">
        <f t="shared" si="118"/>
        <v>2012-06</v>
      </c>
      <c r="K622">
        <v>6132.39</v>
      </c>
      <c r="L622">
        <f t="shared" si="125"/>
        <v>-2.111465994940883E-2</v>
      </c>
      <c r="M622" t="str">
        <f t="shared" si="119"/>
        <v>2012-06</v>
      </c>
      <c r="O622">
        <v>6790.4161100000001</v>
      </c>
      <c r="P622">
        <f t="shared" si="126"/>
        <v>-7.6110215956510397E-3</v>
      </c>
      <c r="Q622" t="str">
        <f t="shared" si="120"/>
        <v>2012-06</v>
      </c>
      <c r="S622">
        <v>6624</v>
      </c>
      <c r="T622">
        <f t="shared" si="127"/>
        <v>-3.7381299503334804E-2</v>
      </c>
      <c r="U622" t="str">
        <f t="shared" si="121"/>
        <v>2012-06</v>
      </c>
      <c r="W622">
        <v>13113.78</v>
      </c>
      <c r="X622">
        <f t="shared" si="128"/>
        <v>-4.1013225439491881E-2</v>
      </c>
      <c r="Y622">
        <f t="shared" si="129"/>
        <v>-4.0183564130339217E-2</v>
      </c>
      <c r="Z622" t="str">
        <f t="shared" si="122"/>
        <v>2012-06</v>
      </c>
    </row>
    <row r="623" spans="1:26" x14ac:dyDescent="0.35">
      <c r="A623" s="1">
        <v>41086</v>
      </c>
      <c r="C623">
        <v>2127.9499999999998</v>
      </c>
      <c r="D623">
        <f t="shared" si="123"/>
        <v>-1.2961825486987554E-3</v>
      </c>
      <c r="E623" t="str">
        <f t="shared" si="117"/>
        <v>2012-06</v>
      </c>
      <c r="G623">
        <v>3012.71</v>
      </c>
      <c r="H623">
        <f t="shared" si="124"/>
        <v>-2.959724417335934E-3</v>
      </c>
      <c r="I623" t="str">
        <f t="shared" si="118"/>
        <v>2012-06</v>
      </c>
      <c r="K623">
        <v>6136.69</v>
      </c>
      <c r="L623">
        <f t="shared" si="125"/>
        <v>7.0094908111435999E-4</v>
      </c>
      <c r="M623" t="str">
        <f t="shared" si="119"/>
        <v>2012-06</v>
      </c>
      <c r="O623">
        <v>6814.0401599999996</v>
      </c>
      <c r="P623">
        <f t="shared" si="126"/>
        <v>3.4729905079019237E-3</v>
      </c>
      <c r="Q623" t="str">
        <f t="shared" si="120"/>
        <v>2012-06</v>
      </c>
      <c r="S623">
        <v>6528.4</v>
      </c>
      <c r="T623">
        <f t="shared" si="127"/>
        <v>-1.4537526788554887E-2</v>
      </c>
      <c r="U623" t="str">
        <f t="shared" si="121"/>
        <v>2012-06</v>
      </c>
      <c r="W623">
        <v>12968.18</v>
      </c>
      <c r="X623">
        <f t="shared" si="128"/>
        <v>-1.1164921078257832E-2</v>
      </c>
      <c r="Y623">
        <f t="shared" si="129"/>
        <v>-1.110282466230182E-2</v>
      </c>
      <c r="Z623" t="str">
        <f t="shared" si="122"/>
        <v>2012-06</v>
      </c>
    </row>
    <row r="624" spans="1:26" x14ac:dyDescent="0.35">
      <c r="A624" s="1">
        <v>41087</v>
      </c>
      <c r="C624">
        <v>2165.61</v>
      </c>
      <c r="D624">
        <f t="shared" si="123"/>
        <v>1.7543002002461644E-2</v>
      </c>
      <c r="E624" t="str">
        <f t="shared" si="117"/>
        <v>2012-06</v>
      </c>
      <c r="G624">
        <v>3063.12</v>
      </c>
      <c r="H624">
        <f t="shared" si="124"/>
        <v>1.6593998429663269E-2</v>
      </c>
      <c r="I624" t="str">
        <f t="shared" si="118"/>
        <v>2012-06</v>
      </c>
      <c r="K624">
        <v>6228.99</v>
      </c>
      <c r="L624">
        <f t="shared" si="125"/>
        <v>1.4928692025578703E-2</v>
      </c>
      <c r="M624" t="str">
        <f t="shared" si="119"/>
        <v>2012-06</v>
      </c>
      <c r="O624">
        <v>6893.9407199999996</v>
      </c>
      <c r="P624">
        <f t="shared" si="126"/>
        <v>1.1657656306582396E-2</v>
      </c>
      <c r="Q624" t="str">
        <f t="shared" si="120"/>
        <v>2012-06</v>
      </c>
      <c r="S624">
        <v>6666.9</v>
      </c>
      <c r="T624">
        <f t="shared" si="127"/>
        <v>2.0993093978991923E-2</v>
      </c>
      <c r="U624" t="str">
        <f t="shared" si="121"/>
        <v>2012-06</v>
      </c>
      <c r="W624">
        <v>13302.77</v>
      </c>
      <c r="X624">
        <f t="shared" si="128"/>
        <v>2.5473619561239422E-2</v>
      </c>
      <c r="Y624">
        <f t="shared" si="129"/>
        <v>2.5800844837132131E-2</v>
      </c>
      <c r="Z624" t="str">
        <f t="shared" si="122"/>
        <v>2012-06</v>
      </c>
    </row>
    <row r="625" spans="1:26" x14ac:dyDescent="0.35">
      <c r="A625" s="1">
        <v>41088</v>
      </c>
      <c r="C625">
        <v>2157.62</v>
      </c>
      <c r="D625">
        <f t="shared" si="123"/>
        <v>-3.6963146060269921E-3</v>
      </c>
      <c r="E625" t="str">
        <f t="shared" si="117"/>
        <v>2012-06</v>
      </c>
      <c r="G625">
        <v>3051.68</v>
      </c>
      <c r="H625">
        <f t="shared" si="124"/>
        <v>-3.7417457144285401E-3</v>
      </c>
      <c r="I625" t="str">
        <f t="shared" si="118"/>
        <v>2012-06</v>
      </c>
      <c r="K625">
        <v>6149.91</v>
      </c>
      <c r="L625">
        <f t="shared" si="125"/>
        <v>-1.2776753311590687E-2</v>
      </c>
      <c r="M625" t="str">
        <f t="shared" si="119"/>
        <v>2012-06</v>
      </c>
      <c r="O625">
        <v>6850.74107</v>
      </c>
      <c r="P625">
        <f t="shared" si="126"/>
        <v>-6.286037452179415E-3</v>
      </c>
      <c r="Q625" t="str">
        <f t="shared" si="120"/>
        <v>2012-06</v>
      </c>
      <c r="S625">
        <v>6721.7</v>
      </c>
      <c r="T625">
        <f t="shared" si="127"/>
        <v>8.1861144590578225E-3</v>
      </c>
      <c r="U625" t="str">
        <f t="shared" si="121"/>
        <v>2012-06</v>
      </c>
      <c r="W625">
        <v>13391.3</v>
      </c>
      <c r="X625">
        <f t="shared" si="128"/>
        <v>6.6329581499738948E-3</v>
      </c>
      <c r="Y625">
        <f t="shared" si="129"/>
        <v>6.6550049350623088E-3</v>
      </c>
      <c r="Z625" t="str">
        <f t="shared" si="122"/>
        <v>2012-06</v>
      </c>
    </row>
    <row r="626" spans="1:26" x14ac:dyDescent="0.35">
      <c r="A626" s="1">
        <v>41089</v>
      </c>
      <c r="C626">
        <v>2264.7199999999998</v>
      </c>
      <c r="D626">
        <f t="shared" si="123"/>
        <v>4.8445368625136223E-2</v>
      </c>
      <c r="E626" t="str">
        <f t="shared" si="117"/>
        <v>2012-06</v>
      </c>
      <c r="G626">
        <v>3196.65</v>
      </c>
      <c r="H626">
        <f t="shared" si="124"/>
        <v>4.6411127803328234E-2</v>
      </c>
      <c r="I626" t="str">
        <f t="shared" si="118"/>
        <v>2012-06</v>
      </c>
      <c r="K626">
        <v>6416.28</v>
      </c>
      <c r="L626">
        <f t="shared" si="125"/>
        <v>4.2401062944727778E-2</v>
      </c>
      <c r="M626" t="str">
        <f t="shared" si="119"/>
        <v>2012-06</v>
      </c>
      <c r="O626">
        <v>6905.9184500000001</v>
      </c>
      <c r="P626">
        <f t="shared" si="126"/>
        <v>8.0219585018476355E-3</v>
      </c>
      <c r="Q626" t="str">
        <f t="shared" si="120"/>
        <v>2012-06</v>
      </c>
      <c r="S626">
        <v>7102.2</v>
      </c>
      <c r="T626">
        <f t="shared" si="127"/>
        <v>5.506349647331233E-2</v>
      </c>
      <c r="U626" t="str">
        <f t="shared" si="121"/>
        <v>2012-06</v>
      </c>
      <c r="W626">
        <v>14274.37</v>
      </c>
      <c r="X626">
        <f t="shared" si="128"/>
        <v>6.3860379099307807E-2</v>
      </c>
      <c r="Y626">
        <f t="shared" si="129"/>
        <v>6.5943560371285959E-2</v>
      </c>
      <c r="Z626" t="str">
        <f t="shared" si="122"/>
        <v>2012-06</v>
      </c>
    </row>
    <row r="627" spans="1:26" x14ac:dyDescent="0.35">
      <c r="A627" s="1">
        <v>41092</v>
      </c>
      <c r="C627">
        <v>2292.08</v>
      </c>
      <c r="D627">
        <f t="shared" si="123"/>
        <v>1.2008571272997395E-2</v>
      </c>
      <c r="E627" t="str">
        <f t="shared" si="117"/>
        <v>2012-07</v>
      </c>
      <c r="G627">
        <v>3240.2</v>
      </c>
      <c r="H627">
        <f t="shared" si="124"/>
        <v>1.3531669844873024E-2</v>
      </c>
      <c r="I627" t="str">
        <f t="shared" si="118"/>
        <v>2012-07</v>
      </c>
      <c r="K627">
        <v>6496.08</v>
      </c>
      <c r="L627">
        <f t="shared" si="125"/>
        <v>1.2360407544747836E-2</v>
      </c>
      <c r="M627" t="str">
        <f t="shared" si="119"/>
        <v>2012-07</v>
      </c>
      <c r="O627">
        <v>7024.8186500000002</v>
      </c>
      <c r="P627">
        <f t="shared" si="126"/>
        <v>1.7070609614156042E-2</v>
      </c>
      <c r="Q627" t="str">
        <f t="shared" si="120"/>
        <v>2012-07</v>
      </c>
      <c r="S627">
        <v>7124</v>
      </c>
      <c r="T627">
        <f t="shared" si="127"/>
        <v>3.0647702216493643E-3</v>
      </c>
      <c r="U627" t="str">
        <f t="shared" si="121"/>
        <v>2012-07</v>
      </c>
      <c r="W627">
        <v>14308.79</v>
      </c>
      <c r="X627">
        <f t="shared" si="128"/>
        <v>2.4084122705551971E-3</v>
      </c>
      <c r="Y627">
        <f t="shared" si="129"/>
        <v>2.4113148251026189E-3</v>
      </c>
      <c r="Z627" t="str">
        <f t="shared" si="122"/>
        <v>2012-07</v>
      </c>
    </row>
    <row r="628" spans="1:26" x14ac:dyDescent="0.35">
      <c r="A628" s="1">
        <v>41093</v>
      </c>
      <c r="C628">
        <v>2320.4299999999998</v>
      </c>
      <c r="D628">
        <f t="shared" si="123"/>
        <v>1.2292811074250487E-2</v>
      </c>
      <c r="E628" t="str">
        <f t="shared" si="117"/>
        <v>2012-07</v>
      </c>
      <c r="G628">
        <v>3271.2</v>
      </c>
      <c r="H628">
        <f t="shared" si="124"/>
        <v>9.5218337741146564E-3</v>
      </c>
      <c r="I628" t="str">
        <f t="shared" si="118"/>
        <v>2012-07</v>
      </c>
      <c r="K628">
        <v>6578.21</v>
      </c>
      <c r="L628">
        <f t="shared" si="125"/>
        <v>1.2563753799947721E-2</v>
      </c>
      <c r="M628" t="str">
        <f t="shared" si="119"/>
        <v>2012-07</v>
      </c>
      <c r="O628">
        <v>7078.54504</v>
      </c>
      <c r="P628">
        <f t="shared" si="126"/>
        <v>7.6189838221919336E-3</v>
      </c>
      <c r="Q628" t="str">
        <f t="shared" si="120"/>
        <v>2012-07</v>
      </c>
      <c r="S628">
        <v>7219.5</v>
      </c>
      <c r="T628">
        <f t="shared" si="127"/>
        <v>1.3316333001721544E-2</v>
      </c>
      <c r="U628" t="str">
        <f t="shared" si="121"/>
        <v>2012-07</v>
      </c>
      <c r="W628">
        <v>14494.41</v>
      </c>
      <c r="X628">
        <f t="shared" si="128"/>
        <v>1.2889024115362873E-2</v>
      </c>
      <c r="Y628">
        <f t="shared" si="129"/>
        <v>1.2972445608608343E-2</v>
      </c>
      <c r="Z628" t="str">
        <f t="shared" si="122"/>
        <v>2012-07</v>
      </c>
    </row>
    <row r="629" spans="1:26" x14ac:dyDescent="0.35">
      <c r="A629" s="1">
        <v>41094</v>
      </c>
      <c r="C629">
        <v>2312.41</v>
      </c>
      <c r="D629">
        <f t="shared" si="123"/>
        <v>-3.4622426034107731E-3</v>
      </c>
      <c r="E629" t="str">
        <f t="shared" si="117"/>
        <v>2012-07</v>
      </c>
      <c r="G629">
        <v>3267.75</v>
      </c>
      <c r="H629">
        <f t="shared" si="124"/>
        <v>-1.0552153847713597E-3</v>
      </c>
      <c r="I629" t="str">
        <f t="shared" si="118"/>
        <v>2012-07</v>
      </c>
      <c r="K629">
        <v>6564.8</v>
      </c>
      <c r="L629">
        <f t="shared" si="125"/>
        <v>-2.0406291486434855E-3</v>
      </c>
      <c r="M629" t="str">
        <f t="shared" si="119"/>
        <v>2012-07</v>
      </c>
      <c r="O629">
        <v>7072.1641</v>
      </c>
      <c r="P629">
        <f t="shared" si="126"/>
        <v>-9.0185451052101229E-4</v>
      </c>
      <c r="Q629" t="str">
        <f t="shared" si="120"/>
        <v>2012-07</v>
      </c>
      <c r="S629">
        <v>7168.5</v>
      </c>
      <c r="T629">
        <f t="shared" si="127"/>
        <v>-7.0892707249511746E-3</v>
      </c>
      <c r="U629" t="str">
        <f t="shared" si="121"/>
        <v>2012-07</v>
      </c>
      <c r="W629">
        <v>14381.2</v>
      </c>
      <c r="X629">
        <f t="shared" si="128"/>
        <v>-7.8412598080175241E-3</v>
      </c>
      <c r="Y629">
        <f t="shared" si="129"/>
        <v>-7.8105973268314558E-3</v>
      </c>
      <c r="Z629" t="str">
        <f t="shared" si="122"/>
        <v>2012-07</v>
      </c>
    </row>
    <row r="630" spans="1:26" x14ac:dyDescent="0.35">
      <c r="A630" s="1">
        <v>41095</v>
      </c>
      <c r="C630">
        <v>2284.92</v>
      </c>
      <c r="D630">
        <f t="shared" si="123"/>
        <v>-1.1959257935811728E-2</v>
      </c>
      <c r="E630" t="str">
        <f t="shared" si="117"/>
        <v>2012-07</v>
      </c>
      <c r="G630">
        <v>3229.36</v>
      </c>
      <c r="H630">
        <f t="shared" si="124"/>
        <v>-1.1817699496621321E-2</v>
      </c>
      <c r="I630" t="str">
        <f t="shared" si="118"/>
        <v>2012-07</v>
      </c>
      <c r="K630">
        <v>6535.56</v>
      </c>
      <c r="L630">
        <f t="shared" si="125"/>
        <v>-4.4640068755837569E-3</v>
      </c>
      <c r="M630" t="str">
        <f t="shared" si="119"/>
        <v>2012-07</v>
      </c>
      <c r="O630">
        <v>7133.5870199999999</v>
      </c>
      <c r="P630">
        <f t="shared" si="126"/>
        <v>8.6476670270801692E-3</v>
      </c>
      <c r="Q630" t="str">
        <f t="shared" si="120"/>
        <v>2012-07</v>
      </c>
      <c r="S630">
        <v>6954.2</v>
      </c>
      <c r="T630">
        <f t="shared" si="127"/>
        <v>-3.0350634106434678E-2</v>
      </c>
      <c r="U630" t="str">
        <f t="shared" si="121"/>
        <v>2012-07</v>
      </c>
      <c r="W630">
        <v>14088.74</v>
      </c>
      <c r="X630">
        <f t="shared" si="128"/>
        <v>-2.0545901258533224E-2</v>
      </c>
      <c r="Y630">
        <f t="shared" si="129"/>
        <v>-2.0336272355575398E-2</v>
      </c>
      <c r="Z630" t="str">
        <f t="shared" si="122"/>
        <v>2012-07</v>
      </c>
    </row>
    <row r="631" spans="1:26" x14ac:dyDescent="0.35">
      <c r="A631" s="1">
        <v>41096</v>
      </c>
      <c r="C631">
        <v>2235.5100000000002</v>
      </c>
      <c r="D631">
        <f t="shared" si="123"/>
        <v>-2.1861622838259792E-2</v>
      </c>
      <c r="E631" t="str">
        <f t="shared" si="117"/>
        <v>2012-07</v>
      </c>
      <c r="G631">
        <v>3168.79</v>
      </c>
      <c r="H631">
        <f t="shared" si="124"/>
        <v>-1.8934163635057736E-2</v>
      </c>
      <c r="I631" t="str">
        <f t="shared" si="118"/>
        <v>2012-07</v>
      </c>
      <c r="K631">
        <v>6410.11</v>
      </c>
      <c r="L631">
        <f t="shared" si="125"/>
        <v>-1.9381604358437693E-2</v>
      </c>
      <c r="M631" t="str">
        <f t="shared" si="119"/>
        <v>2012-07</v>
      </c>
      <c r="O631">
        <v>7136.1494199999997</v>
      </c>
      <c r="P631">
        <f t="shared" si="126"/>
        <v>3.5913768110800489E-4</v>
      </c>
      <c r="Q631" t="str">
        <f t="shared" si="120"/>
        <v>2012-07</v>
      </c>
      <c r="S631">
        <v>6738.9</v>
      </c>
      <c r="T631">
        <f t="shared" si="127"/>
        <v>-3.1449086740653782E-2</v>
      </c>
      <c r="U631" t="str">
        <f t="shared" si="121"/>
        <v>2012-07</v>
      </c>
      <c r="W631">
        <v>13732.07</v>
      </c>
      <c r="X631">
        <f t="shared" si="128"/>
        <v>-2.5641923622979981E-2</v>
      </c>
      <c r="Y631">
        <f t="shared" si="129"/>
        <v>-2.5315961540918499E-2</v>
      </c>
      <c r="Z631" t="str">
        <f t="shared" si="122"/>
        <v>2012-07</v>
      </c>
    </row>
    <row r="632" spans="1:26" x14ac:dyDescent="0.35">
      <c r="A632" s="1">
        <v>41099</v>
      </c>
      <c r="C632">
        <v>2227.91</v>
      </c>
      <c r="D632">
        <f t="shared" si="123"/>
        <v>-3.4054636780232682E-3</v>
      </c>
      <c r="E632" t="str">
        <f t="shared" si="117"/>
        <v>2012-07</v>
      </c>
      <c r="G632">
        <v>3156.8</v>
      </c>
      <c r="H632">
        <f t="shared" si="124"/>
        <v>-3.7909552656312196E-3</v>
      </c>
      <c r="I632" t="str">
        <f t="shared" si="118"/>
        <v>2012-07</v>
      </c>
      <c r="K632">
        <v>6387.57</v>
      </c>
      <c r="L632">
        <f t="shared" si="125"/>
        <v>-3.5225170978791802E-3</v>
      </c>
      <c r="M632" t="str">
        <f t="shared" si="119"/>
        <v>2012-07</v>
      </c>
      <c r="O632">
        <v>7091.6518800000003</v>
      </c>
      <c r="P632">
        <f t="shared" si="126"/>
        <v>-6.2550332470640412E-3</v>
      </c>
      <c r="Q632" t="str">
        <f t="shared" si="120"/>
        <v>2012-07</v>
      </c>
      <c r="S632">
        <v>6688.3</v>
      </c>
      <c r="T632">
        <f t="shared" si="127"/>
        <v>-7.5369756213872503E-3</v>
      </c>
      <c r="U632" t="str">
        <f t="shared" si="121"/>
        <v>2012-07</v>
      </c>
      <c r="W632">
        <v>13812.65</v>
      </c>
      <c r="X632">
        <f t="shared" si="128"/>
        <v>5.8508657827695031E-3</v>
      </c>
      <c r="Y632">
        <f t="shared" si="129"/>
        <v>5.8680155286129423E-3</v>
      </c>
      <c r="Z632" t="str">
        <f t="shared" si="122"/>
        <v>2012-07</v>
      </c>
    </row>
    <row r="633" spans="1:26" x14ac:dyDescent="0.35">
      <c r="A633" s="1">
        <v>41100</v>
      </c>
      <c r="C633">
        <v>2241.85</v>
      </c>
      <c r="D633">
        <f t="shared" si="123"/>
        <v>6.237491586180902E-3</v>
      </c>
      <c r="E633" t="str">
        <f t="shared" si="117"/>
        <v>2012-07</v>
      </c>
      <c r="G633">
        <v>3175.41</v>
      </c>
      <c r="H633">
        <f t="shared" si="124"/>
        <v>5.8779015796496768E-3</v>
      </c>
      <c r="I633" t="str">
        <f t="shared" si="118"/>
        <v>2012-07</v>
      </c>
      <c r="K633">
        <v>6438.33</v>
      </c>
      <c r="L633">
        <f t="shared" si="125"/>
        <v>7.9152753437845506E-3</v>
      </c>
      <c r="M633" t="str">
        <f t="shared" si="119"/>
        <v>2012-07</v>
      </c>
      <c r="O633">
        <v>7166.9710800000003</v>
      </c>
      <c r="P633">
        <f t="shared" si="126"/>
        <v>1.056482112971186E-2</v>
      </c>
      <c r="Q633" t="str">
        <f t="shared" si="120"/>
        <v>2012-07</v>
      </c>
      <c r="S633">
        <v>6726.9</v>
      </c>
      <c r="T633">
        <f t="shared" si="127"/>
        <v>5.7546822297478584E-3</v>
      </c>
      <c r="U633" t="str">
        <f t="shared" si="121"/>
        <v>2012-07</v>
      </c>
      <c r="W633">
        <v>13868.27</v>
      </c>
      <c r="X633">
        <f t="shared" si="128"/>
        <v>4.0186579675408453E-3</v>
      </c>
      <c r="Y633">
        <f t="shared" si="129"/>
        <v>4.0267436009745272E-3</v>
      </c>
      <c r="Z633" t="str">
        <f t="shared" si="122"/>
        <v>2012-07</v>
      </c>
    </row>
    <row r="634" spans="1:26" x14ac:dyDescent="0.35">
      <c r="A634" s="1">
        <v>41101</v>
      </c>
      <c r="C634">
        <v>2246.23</v>
      </c>
      <c r="D634">
        <f t="shared" si="123"/>
        <v>1.9518374853075204E-3</v>
      </c>
      <c r="E634" t="str">
        <f t="shared" si="117"/>
        <v>2012-07</v>
      </c>
      <c r="G634">
        <v>3157.25</v>
      </c>
      <c r="H634">
        <f t="shared" si="124"/>
        <v>-5.7353623217212277E-3</v>
      </c>
      <c r="I634" t="str">
        <f t="shared" si="118"/>
        <v>2012-07</v>
      </c>
      <c r="K634">
        <v>6453.85</v>
      </c>
      <c r="L634">
        <f t="shared" si="125"/>
        <v>2.4076622413342331E-3</v>
      </c>
      <c r="M634" t="str">
        <f t="shared" si="119"/>
        <v>2012-07</v>
      </c>
      <c r="O634">
        <v>7179.2915700000003</v>
      </c>
      <c r="P634">
        <f t="shared" si="126"/>
        <v>1.7175892188064884E-3</v>
      </c>
      <c r="Q634" t="str">
        <f t="shared" si="120"/>
        <v>2012-07</v>
      </c>
      <c r="S634">
        <v>6805.9</v>
      </c>
      <c r="T634">
        <f t="shared" si="127"/>
        <v>1.1675469587300901E-2</v>
      </c>
      <c r="U634" t="str">
        <f t="shared" si="121"/>
        <v>2012-07</v>
      </c>
      <c r="W634">
        <v>13861.42</v>
      </c>
      <c r="X634">
        <f t="shared" si="128"/>
        <v>-4.94055298803179E-4</v>
      </c>
      <c r="Y634">
        <f t="shared" si="129"/>
        <v>-4.9393327358065303E-4</v>
      </c>
      <c r="Z634" t="str">
        <f t="shared" si="122"/>
        <v>2012-07</v>
      </c>
    </row>
    <row r="635" spans="1:26" x14ac:dyDescent="0.35">
      <c r="A635" s="1">
        <v>41102</v>
      </c>
      <c r="C635">
        <v>2228.0100000000002</v>
      </c>
      <c r="D635">
        <f t="shared" si="123"/>
        <v>-8.1444449622507277E-3</v>
      </c>
      <c r="E635" t="str">
        <f t="shared" si="117"/>
        <v>2012-07</v>
      </c>
      <c r="G635">
        <v>3135.18</v>
      </c>
      <c r="H635">
        <f t="shared" si="124"/>
        <v>-7.014806839566708E-3</v>
      </c>
      <c r="I635" t="str">
        <f t="shared" si="118"/>
        <v>2012-07</v>
      </c>
      <c r="K635">
        <v>6419.35</v>
      </c>
      <c r="L635">
        <f t="shared" si="125"/>
        <v>-5.3599854887849191E-3</v>
      </c>
      <c r="M635" t="str">
        <f t="shared" si="119"/>
        <v>2012-07</v>
      </c>
      <c r="O635">
        <v>7090.5420199999999</v>
      </c>
      <c r="P635">
        <f t="shared" si="126"/>
        <v>-1.2438924920254215E-2</v>
      </c>
      <c r="Q635" t="str">
        <f t="shared" si="120"/>
        <v>2012-07</v>
      </c>
      <c r="S635">
        <v>6630.1</v>
      </c>
      <c r="T635">
        <f t="shared" si="127"/>
        <v>-2.6169996012474498E-2</v>
      </c>
      <c r="U635" t="str">
        <f t="shared" si="121"/>
        <v>2012-07</v>
      </c>
      <c r="W635">
        <v>13583.82</v>
      </c>
      <c r="X635">
        <f t="shared" si="128"/>
        <v>-2.0230063018444062E-2</v>
      </c>
      <c r="Y635">
        <f t="shared" si="129"/>
        <v>-2.0026808220225661E-2</v>
      </c>
      <c r="Z635" t="str">
        <f t="shared" si="122"/>
        <v>2012-07</v>
      </c>
    </row>
    <row r="636" spans="1:26" x14ac:dyDescent="0.35">
      <c r="A636" s="1">
        <v>41103</v>
      </c>
      <c r="C636">
        <v>2259.09</v>
      </c>
      <c r="D636">
        <f t="shared" si="123"/>
        <v>1.3853266944392978E-2</v>
      </c>
      <c r="E636" t="str">
        <f t="shared" si="117"/>
        <v>2012-07</v>
      </c>
      <c r="G636">
        <v>3180.81</v>
      </c>
      <c r="H636">
        <f t="shared" si="124"/>
        <v>1.4449292633779191E-2</v>
      </c>
      <c r="I636" t="str">
        <f t="shared" si="118"/>
        <v>2012-07</v>
      </c>
      <c r="K636">
        <v>6557.1</v>
      </c>
      <c r="L636">
        <f t="shared" si="125"/>
        <v>2.1231565571896434E-2</v>
      </c>
      <c r="M636" t="str">
        <f t="shared" si="119"/>
        <v>2012-07</v>
      </c>
      <c r="O636">
        <v>7203.1001900000001</v>
      </c>
      <c r="P636">
        <f t="shared" si="126"/>
        <v>1.574972915161223E-2</v>
      </c>
      <c r="Q636" t="str">
        <f t="shared" si="120"/>
        <v>2012-07</v>
      </c>
      <c r="S636">
        <v>6664.6</v>
      </c>
      <c r="T636">
        <f t="shared" si="127"/>
        <v>5.1900497856646388E-3</v>
      </c>
      <c r="U636" t="str">
        <f t="shared" si="121"/>
        <v>2012-07</v>
      </c>
      <c r="W636">
        <v>13714.68</v>
      </c>
      <c r="X636">
        <f t="shared" si="128"/>
        <v>9.5874134014442038E-3</v>
      </c>
      <c r="Y636">
        <f t="shared" si="129"/>
        <v>9.6335198787970231E-3</v>
      </c>
      <c r="Z636" t="str">
        <f t="shared" si="122"/>
        <v>2012-07</v>
      </c>
    </row>
    <row r="637" spans="1:26" x14ac:dyDescent="0.35">
      <c r="A637" s="1">
        <v>41106</v>
      </c>
      <c r="C637">
        <v>2251.96</v>
      </c>
      <c r="D637">
        <f t="shared" si="123"/>
        <v>-3.1611291993441501E-3</v>
      </c>
      <c r="E637" t="str">
        <f t="shared" si="117"/>
        <v>2012-07</v>
      </c>
      <c r="G637">
        <v>3179.9</v>
      </c>
      <c r="H637">
        <f t="shared" si="124"/>
        <v>-2.8613158160279236E-4</v>
      </c>
      <c r="I637" t="str">
        <f t="shared" si="118"/>
        <v>2012-07</v>
      </c>
      <c r="K637">
        <v>6565.72</v>
      </c>
      <c r="L637">
        <f t="shared" si="125"/>
        <v>1.3137422047676121E-3</v>
      </c>
      <c r="M637" t="str">
        <f t="shared" si="119"/>
        <v>2012-07</v>
      </c>
      <c r="O637">
        <v>7216.00756</v>
      </c>
      <c r="P637">
        <f t="shared" si="126"/>
        <v>1.7903151389639285E-3</v>
      </c>
      <c r="Q637" t="str">
        <f t="shared" si="120"/>
        <v>2012-07</v>
      </c>
      <c r="S637">
        <v>6532.1</v>
      </c>
      <c r="T637">
        <f t="shared" si="127"/>
        <v>-2.0081452588130214E-2</v>
      </c>
      <c r="U637" t="str">
        <f t="shared" si="121"/>
        <v>2012-07</v>
      </c>
      <c r="W637">
        <v>13664.81</v>
      </c>
      <c r="X637">
        <f t="shared" si="128"/>
        <v>-3.6428768505323019E-3</v>
      </c>
      <c r="Y637">
        <f t="shared" si="129"/>
        <v>-3.6362496244900207E-3</v>
      </c>
      <c r="Z637" t="str">
        <f t="shared" si="122"/>
        <v>2012-07</v>
      </c>
    </row>
    <row r="638" spans="1:26" x14ac:dyDescent="0.35">
      <c r="A638" s="1">
        <v>41107</v>
      </c>
      <c r="C638">
        <v>2250.75</v>
      </c>
      <c r="D638">
        <f t="shared" si="123"/>
        <v>-5.3745412390606752E-4</v>
      </c>
      <c r="E638" t="str">
        <f t="shared" si="117"/>
        <v>2012-07</v>
      </c>
      <c r="G638">
        <v>3176.97</v>
      </c>
      <c r="H638">
        <f t="shared" si="124"/>
        <v>-9.2183738459000427E-4</v>
      </c>
      <c r="I638" t="str">
        <f t="shared" si="118"/>
        <v>2012-07</v>
      </c>
      <c r="K638">
        <v>6577.64</v>
      </c>
      <c r="L638">
        <f t="shared" si="125"/>
        <v>1.8138441415433452E-3</v>
      </c>
      <c r="M638" t="str">
        <f t="shared" si="119"/>
        <v>2012-07</v>
      </c>
      <c r="O638">
        <v>7179.2158900000004</v>
      </c>
      <c r="P638">
        <f t="shared" si="126"/>
        <v>-5.111660855948069E-3</v>
      </c>
      <c r="Q638" t="str">
        <f t="shared" si="120"/>
        <v>2012-07</v>
      </c>
      <c r="S638">
        <v>6558.2</v>
      </c>
      <c r="T638">
        <f t="shared" si="127"/>
        <v>3.9876908223860042E-3</v>
      </c>
      <c r="U638" t="str">
        <f t="shared" si="121"/>
        <v>2012-07</v>
      </c>
      <c r="W638">
        <v>13536.73</v>
      </c>
      <c r="X638">
        <f t="shared" si="128"/>
        <v>-9.4171834789868805E-3</v>
      </c>
      <c r="Y638">
        <f t="shared" si="129"/>
        <v>-9.3729806707886845E-3</v>
      </c>
      <c r="Z638" t="str">
        <f t="shared" si="122"/>
        <v>2012-07</v>
      </c>
    </row>
    <row r="639" spans="1:26" x14ac:dyDescent="0.35">
      <c r="A639" s="1">
        <v>41108</v>
      </c>
      <c r="C639">
        <v>2284.6999999999998</v>
      </c>
      <c r="D639">
        <f t="shared" si="123"/>
        <v>1.4971230691850893E-2</v>
      </c>
      <c r="E639" t="str">
        <f t="shared" si="117"/>
        <v>2012-07</v>
      </c>
      <c r="G639">
        <v>3235.4</v>
      </c>
      <c r="H639">
        <f t="shared" si="124"/>
        <v>1.8224655541294373E-2</v>
      </c>
      <c r="I639" t="str">
        <f t="shared" si="118"/>
        <v>2012-07</v>
      </c>
      <c r="K639">
        <v>6684.42</v>
      </c>
      <c r="L639">
        <f t="shared" si="125"/>
        <v>1.610342699535959E-2</v>
      </c>
      <c r="M639" t="str">
        <f t="shared" si="119"/>
        <v>2012-07</v>
      </c>
      <c r="O639">
        <v>7254.84969</v>
      </c>
      <c r="P639">
        <f t="shared" si="126"/>
        <v>1.0479998420431052E-2</v>
      </c>
      <c r="Q639" t="str">
        <f t="shared" si="120"/>
        <v>2012-07</v>
      </c>
      <c r="S639">
        <v>6591.2</v>
      </c>
      <c r="T639">
        <f t="shared" si="127"/>
        <v>5.019250959038545E-3</v>
      </c>
      <c r="U639" t="str">
        <f t="shared" si="121"/>
        <v>2012-07</v>
      </c>
      <c r="W639">
        <v>13594.39</v>
      </c>
      <c r="X639">
        <f t="shared" si="128"/>
        <v>4.2504759707469499E-3</v>
      </c>
      <c r="Y639">
        <f t="shared" si="129"/>
        <v>4.2595220559174824E-3</v>
      </c>
      <c r="Z639" t="str">
        <f t="shared" si="122"/>
        <v>2012-07</v>
      </c>
    </row>
    <row r="640" spans="1:26" x14ac:dyDescent="0.35">
      <c r="A640" s="1">
        <v>41109</v>
      </c>
      <c r="C640">
        <v>2302.4499999999998</v>
      </c>
      <c r="D640">
        <f t="shared" si="123"/>
        <v>7.7390486866377763E-3</v>
      </c>
      <c r="E640" t="str">
        <f t="shared" si="117"/>
        <v>2012-07</v>
      </c>
      <c r="G640">
        <v>3263.64</v>
      </c>
      <c r="H640">
        <f t="shared" si="124"/>
        <v>8.6905689879134187E-3</v>
      </c>
      <c r="I640" t="str">
        <f t="shared" si="118"/>
        <v>2012-07</v>
      </c>
      <c r="K640">
        <v>6758.39</v>
      </c>
      <c r="L640">
        <f t="shared" si="125"/>
        <v>1.1005250624664946E-2</v>
      </c>
      <c r="M640" t="str">
        <f t="shared" si="119"/>
        <v>2012-07</v>
      </c>
      <c r="O640">
        <v>7315.9688100000003</v>
      </c>
      <c r="P640">
        <f t="shared" si="126"/>
        <v>8.3892992648231472E-3</v>
      </c>
      <c r="Q640" t="str">
        <f t="shared" si="120"/>
        <v>2012-07</v>
      </c>
      <c r="S640">
        <v>6632.6</v>
      </c>
      <c r="T640">
        <f t="shared" si="127"/>
        <v>6.261458167867595E-3</v>
      </c>
      <c r="U640" t="str">
        <f t="shared" si="121"/>
        <v>2012-07</v>
      </c>
      <c r="W640">
        <v>13666.49</v>
      </c>
      <c r="X640">
        <f t="shared" si="128"/>
        <v>5.2896434829001046E-3</v>
      </c>
      <c r="Y640">
        <f t="shared" si="129"/>
        <v>5.3036583473035836E-3</v>
      </c>
      <c r="Z640" t="str">
        <f t="shared" si="122"/>
        <v>2012-07</v>
      </c>
    </row>
    <row r="641" spans="1:26" x14ac:dyDescent="0.35">
      <c r="A641" s="1">
        <v>41110</v>
      </c>
      <c r="C641">
        <v>2237.33</v>
      </c>
      <c r="D641">
        <f t="shared" si="123"/>
        <v>-2.8690582758143904E-2</v>
      </c>
      <c r="E641" t="str">
        <f t="shared" si="117"/>
        <v>2012-07</v>
      </c>
      <c r="G641">
        <v>3193.89</v>
      </c>
      <c r="H641">
        <f t="shared" si="124"/>
        <v>-2.1603527275806781E-2</v>
      </c>
      <c r="I641" t="str">
        <f t="shared" si="118"/>
        <v>2012-07</v>
      </c>
      <c r="K641">
        <v>6630.02</v>
      </c>
      <c r="L641">
        <f t="shared" si="125"/>
        <v>-1.9176875223976531E-2</v>
      </c>
      <c r="M641" t="str">
        <f t="shared" si="119"/>
        <v>2012-07</v>
      </c>
      <c r="O641">
        <v>7256.3471099999997</v>
      </c>
      <c r="P641">
        <f t="shared" si="126"/>
        <v>-8.1829179406702115E-3</v>
      </c>
      <c r="Q641" t="str">
        <f t="shared" si="120"/>
        <v>2012-07</v>
      </c>
      <c r="S641">
        <v>6246.3</v>
      </c>
      <c r="T641">
        <f t="shared" si="127"/>
        <v>-6.0007595739989587E-2</v>
      </c>
      <c r="U641" t="str">
        <f t="shared" si="121"/>
        <v>2012-07</v>
      </c>
      <c r="W641">
        <v>13067.22</v>
      </c>
      <c r="X641">
        <f t="shared" si="128"/>
        <v>-4.484004695290128E-2</v>
      </c>
      <c r="Y641">
        <f t="shared" si="129"/>
        <v>-4.3849591226423207E-2</v>
      </c>
      <c r="Z641" t="str">
        <f t="shared" si="122"/>
        <v>2012-07</v>
      </c>
    </row>
    <row r="642" spans="1:26" x14ac:dyDescent="0.35">
      <c r="A642" s="1">
        <v>41113</v>
      </c>
      <c r="C642">
        <v>2179.31</v>
      </c>
      <c r="D642">
        <f t="shared" si="123"/>
        <v>-2.6274877688316857E-2</v>
      </c>
      <c r="E642" t="str">
        <f t="shared" si="117"/>
        <v>2012-07</v>
      </c>
      <c r="G642">
        <v>3101.53</v>
      </c>
      <c r="H642">
        <f t="shared" si="124"/>
        <v>-2.9344071502311404E-2</v>
      </c>
      <c r="I642" t="str">
        <f t="shared" si="118"/>
        <v>2012-07</v>
      </c>
      <c r="K642">
        <v>6419.33</v>
      </c>
      <c r="L642">
        <f t="shared" si="125"/>
        <v>-3.2294069899346717E-2</v>
      </c>
      <c r="M642" t="str">
        <f t="shared" si="119"/>
        <v>2012-07</v>
      </c>
      <c r="O642">
        <v>7078.4285200000004</v>
      </c>
      <c r="P642">
        <f t="shared" si="126"/>
        <v>-2.4824626703465885E-2</v>
      </c>
      <c r="Q642" t="str">
        <f t="shared" si="120"/>
        <v>2012-07</v>
      </c>
      <c r="S642">
        <v>6177.4</v>
      </c>
      <c r="T642">
        <f t="shared" si="127"/>
        <v>-1.1091817475744061E-2</v>
      </c>
      <c r="U642" t="str">
        <f t="shared" si="121"/>
        <v>2012-07</v>
      </c>
      <c r="W642">
        <v>12706.36</v>
      </c>
      <c r="X642">
        <f t="shared" si="128"/>
        <v>-2.8004148656518509E-2</v>
      </c>
      <c r="Y642">
        <f t="shared" si="129"/>
        <v>-2.7615667295721569E-2</v>
      </c>
      <c r="Z642" t="str">
        <f t="shared" si="122"/>
        <v>2012-07</v>
      </c>
    </row>
    <row r="643" spans="1:26" x14ac:dyDescent="0.35">
      <c r="A643" s="1">
        <v>41114</v>
      </c>
      <c r="C643">
        <v>2151.54</v>
      </c>
      <c r="D643">
        <f t="shared" si="123"/>
        <v>-1.2824448134559881E-2</v>
      </c>
      <c r="E643" t="str">
        <f t="shared" si="117"/>
        <v>2012-07</v>
      </c>
      <c r="G643">
        <v>3074.68</v>
      </c>
      <c r="H643">
        <f t="shared" si="124"/>
        <v>-8.6947073205631414E-3</v>
      </c>
      <c r="I643" t="str">
        <f t="shared" si="118"/>
        <v>2012-07</v>
      </c>
      <c r="K643">
        <v>6390.41</v>
      </c>
      <c r="L643">
        <f t="shared" si="125"/>
        <v>-4.5153217997209926E-3</v>
      </c>
      <c r="M643" t="str">
        <f t="shared" si="119"/>
        <v>2012-07</v>
      </c>
      <c r="O643">
        <v>7073.30645</v>
      </c>
      <c r="P643">
        <f t="shared" si="126"/>
        <v>-7.238787660343841E-4</v>
      </c>
      <c r="Q643" t="str">
        <f t="shared" si="120"/>
        <v>2012-07</v>
      </c>
      <c r="S643">
        <v>5956.3</v>
      </c>
      <c r="T643">
        <f t="shared" si="127"/>
        <v>-3.6447988042689165E-2</v>
      </c>
      <c r="U643" t="str">
        <f t="shared" si="121"/>
        <v>2012-07</v>
      </c>
      <c r="W643">
        <v>12362.51</v>
      </c>
      <c r="X643">
        <f t="shared" si="128"/>
        <v>-2.743414966757772E-2</v>
      </c>
      <c r="Y643">
        <f t="shared" si="129"/>
        <v>-2.7061251215926539E-2</v>
      </c>
      <c r="Z643" t="str">
        <f t="shared" si="122"/>
        <v>2012-07</v>
      </c>
    </row>
    <row r="644" spans="1:26" x14ac:dyDescent="0.35">
      <c r="A644" s="1">
        <v>41115</v>
      </c>
      <c r="C644">
        <v>2159.09</v>
      </c>
      <c r="D644">
        <f t="shared" si="123"/>
        <v>3.5029718256422565E-3</v>
      </c>
      <c r="E644" t="str">
        <f t="shared" ref="E644:E707" si="130">_xlfn.CONCAT(YEAR(A644),"-",TEXT(MONTH(A644),"00"))</f>
        <v>2012-07</v>
      </c>
      <c r="G644">
        <v>3081.74</v>
      </c>
      <c r="H644">
        <f t="shared" si="124"/>
        <v>2.2935417319901456E-3</v>
      </c>
      <c r="I644" t="str">
        <f t="shared" ref="I644:I707" si="131">_xlfn.CONCAT(YEAR(A644),"-",TEXT(MONTH(A644),"00"))</f>
        <v>2012-07</v>
      </c>
      <c r="K644">
        <v>6406.52</v>
      </c>
      <c r="L644">
        <f t="shared" si="125"/>
        <v>2.5177927066074189E-3</v>
      </c>
      <c r="M644" t="str">
        <f t="shared" ref="M644:M707" si="132">_xlfn.CONCAT(YEAR(A644),"-",TEXT(MONTH(A644),"00"))</f>
        <v>2012-07</v>
      </c>
      <c r="O644">
        <v>7020.0387799999999</v>
      </c>
      <c r="P644">
        <f t="shared" si="126"/>
        <v>-7.5593016117643857E-3</v>
      </c>
      <c r="Q644" t="str">
        <f t="shared" ref="Q644:Q707" si="133">_xlfn.CONCAT(YEAR(A644),"-",TEXT(MONTH(A644),"00"))</f>
        <v>2012-07</v>
      </c>
      <c r="S644">
        <v>6004.9</v>
      </c>
      <c r="T644">
        <f t="shared" si="127"/>
        <v>8.1263196752574107E-3</v>
      </c>
      <c r="U644" t="str">
        <f t="shared" ref="U644:U707" si="134">_xlfn.CONCAT(YEAR(A644),"-",TEXT(MONTH(A644),"00"))</f>
        <v>2012-07</v>
      </c>
      <c r="W644">
        <v>12506.74</v>
      </c>
      <c r="X644">
        <f t="shared" si="128"/>
        <v>1.1599193145789423E-2</v>
      </c>
      <c r="Y644">
        <f t="shared" si="129"/>
        <v>1.1666724637634232E-2</v>
      </c>
      <c r="Z644" t="str">
        <f t="shared" ref="Z644:Z707" si="135">_xlfn.CONCAT(YEAR(A644),"-",TEXT(MONTH(A644),"00"))</f>
        <v>2012-07</v>
      </c>
    </row>
    <row r="645" spans="1:26" x14ac:dyDescent="0.35">
      <c r="A645" s="1">
        <v>41116</v>
      </c>
      <c r="C645">
        <v>2251.0500000000002</v>
      </c>
      <c r="D645">
        <f t="shared" ref="D645:D708" si="136">LN(C645/C644)</f>
        <v>4.1709937398411875E-2</v>
      </c>
      <c r="E645" t="str">
        <f t="shared" si="130"/>
        <v>2012-07</v>
      </c>
      <c r="G645">
        <v>3207.12</v>
      </c>
      <c r="H645">
        <f t="shared" ref="H645:H708" si="137">LN(G645/G644)</f>
        <v>3.9878965624099358E-2</v>
      </c>
      <c r="I645" t="str">
        <f t="shared" si="131"/>
        <v>2012-07</v>
      </c>
      <c r="K645">
        <v>6582.96</v>
      </c>
      <c r="L645">
        <f t="shared" ref="L645:L708" si="138">LN(K645/K644)</f>
        <v>2.7168270418240496E-2</v>
      </c>
      <c r="M645" t="str">
        <f t="shared" si="132"/>
        <v>2012-07</v>
      </c>
      <c r="O645">
        <v>7115.4352399999998</v>
      </c>
      <c r="P645">
        <f t="shared" ref="P645:P708" si="139">LN(O645/O644)</f>
        <v>1.3497659603357869E-2</v>
      </c>
      <c r="Q645" t="str">
        <f t="shared" si="133"/>
        <v>2012-07</v>
      </c>
      <c r="S645">
        <v>6368.8</v>
      </c>
      <c r="T645">
        <f t="shared" ref="T645:T708" si="140">LN(S645/S644)</f>
        <v>5.8835266188286099E-2</v>
      </c>
      <c r="U645" t="str">
        <f t="shared" si="134"/>
        <v>2012-07</v>
      </c>
      <c r="W645">
        <v>13210.04</v>
      </c>
      <c r="X645">
        <f t="shared" ref="X645:X708" si="141">LN(W645/W644)</f>
        <v>5.470944754656433E-2</v>
      </c>
      <c r="Y645">
        <f t="shared" ref="Y645:Y708" si="142">(W645-W644)/W644</f>
        <v>5.6233678800390915E-2</v>
      </c>
      <c r="Z645" t="str">
        <f t="shared" si="135"/>
        <v>2012-07</v>
      </c>
    </row>
    <row r="646" spans="1:26" x14ac:dyDescent="0.35">
      <c r="A646" s="1">
        <v>41117</v>
      </c>
      <c r="C646">
        <v>2301.23</v>
      </c>
      <c r="D646">
        <f t="shared" si="136"/>
        <v>2.2046988570569928E-2</v>
      </c>
      <c r="E646" t="str">
        <f t="shared" si="130"/>
        <v>2012-07</v>
      </c>
      <c r="G646">
        <v>3280.19</v>
      </c>
      <c r="H646">
        <f t="shared" si="137"/>
        <v>2.2528009388848635E-2</v>
      </c>
      <c r="I646" t="str">
        <f t="shared" si="131"/>
        <v>2012-07</v>
      </c>
      <c r="K646">
        <v>6689.4</v>
      </c>
      <c r="L646">
        <f t="shared" si="138"/>
        <v>1.6039691809190328E-2</v>
      </c>
      <c r="M646" t="str">
        <f t="shared" si="132"/>
        <v>2012-07</v>
      </c>
      <c r="O646">
        <v>7161.0755900000004</v>
      </c>
      <c r="P646">
        <f t="shared" si="139"/>
        <v>6.3937899150451286E-3</v>
      </c>
      <c r="Q646" t="str">
        <f t="shared" si="133"/>
        <v>2012-07</v>
      </c>
      <c r="S646">
        <v>6617.6</v>
      </c>
      <c r="T646">
        <f t="shared" si="140"/>
        <v>3.8321697659632253E-2</v>
      </c>
      <c r="U646" t="str">
        <f t="shared" si="134"/>
        <v>2012-07</v>
      </c>
      <c r="W646">
        <v>13596.88</v>
      </c>
      <c r="X646">
        <f t="shared" si="141"/>
        <v>2.8863208119662462E-2</v>
      </c>
      <c r="Y646">
        <f t="shared" si="142"/>
        <v>2.9283787180053832E-2</v>
      </c>
      <c r="Z646" t="str">
        <f t="shared" si="135"/>
        <v>2012-07</v>
      </c>
    </row>
    <row r="647" spans="1:26" x14ac:dyDescent="0.35">
      <c r="A647" s="1">
        <v>41120</v>
      </c>
      <c r="C647">
        <v>2340.31</v>
      </c>
      <c r="D647">
        <f t="shared" si="136"/>
        <v>1.6839636629028289E-2</v>
      </c>
      <c r="E647" t="str">
        <f t="shared" si="130"/>
        <v>2012-07</v>
      </c>
      <c r="G647">
        <v>3320.71</v>
      </c>
      <c r="H647">
        <f t="shared" si="137"/>
        <v>1.2277267938646282E-2</v>
      </c>
      <c r="I647" t="str">
        <f t="shared" si="131"/>
        <v>2012-07</v>
      </c>
      <c r="K647">
        <v>6774.06</v>
      </c>
      <c r="L647">
        <f t="shared" si="138"/>
        <v>1.2576427732835422E-2</v>
      </c>
      <c r="M647" t="str">
        <f t="shared" si="132"/>
        <v>2012-07</v>
      </c>
      <c r="O647">
        <v>7286.2862500000001</v>
      </c>
      <c r="P647">
        <f t="shared" si="139"/>
        <v>1.7333793732236081E-2</v>
      </c>
      <c r="Q647" t="str">
        <f t="shared" si="133"/>
        <v>2012-07</v>
      </c>
      <c r="S647">
        <v>6801.8</v>
      </c>
      <c r="T647">
        <f t="shared" si="140"/>
        <v>2.7454516584129656E-2</v>
      </c>
      <c r="U647" t="str">
        <f t="shared" si="134"/>
        <v>2012-07</v>
      </c>
      <c r="W647">
        <v>13978.04</v>
      </c>
      <c r="X647">
        <f t="shared" si="141"/>
        <v>2.7647172032166281E-2</v>
      </c>
      <c r="Y647">
        <f t="shared" si="142"/>
        <v>2.8032901665676367E-2</v>
      </c>
      <c r="Z647" t="str">
        <f t="shared" si="135"/>
        <v>2012-07</v>
      </c>
    </row>
    <row r="648" spans="1:26" x14ac:dyDescent="0.35">
      <c r="A648" s="1">
        <v>41121</v>
      </c>
      <c r="C648">
        <v>2325.7199999999998</v>
      </c>
      <c r="D648">
        <f t="shared" si="136"/>
        <v>-6.2537307090501431E-3</v>
      </c>
      <c r="E648" t="str">
        <f t="shared" si="130"/>
        <v>2012-07</v>
      </c>
      <c r="G648">
        <v>3291.66</v>
      </c>
      <c r="H648">
        <f t="shared" si="137"/>
        <v>-8.7866186857036756E-3</v>
      </c>
      <c r="I648" t="str">
        <f t="shared" si="131"/>
        <v>2012-07</v>
      </c>
      <c r="K648">
        <v>6772.26</v>
      </c>
      <c r="L648">
        <f t="shared" si="138"/>
        <v>-2.6575483387285818E-4</v>
      </c>
      <c r="M648" t="str">
        <f t="shared" si="132"/>
        <v>2012-07</v>
      </c>
      <c r="O648">
        <v>7175.2967900000003</v>
      </c>
      <c r="P648">
        <f t="shared" si="139"/>
        <v>-1.5349860239495264E-2</v>
      </c>
      <c r="Q648" t="str">
        <f t="shared" si="133"/>
        <v>2012-07</v>
      </c>
      <c r="S648">
        <v>6738.1</v>
      </c>
      <c r="T648">
        <f t="shared" si="140"/>
        <v>-9.4092969625926819E-3</v>
      </c>
      <c r="U648" t="str">
        <f t="shared" si="134"/>
        <v>2012-07</v>
      </c>
      <c r="W648">
        <v>13890.99</v>
      </c>
      <c r="X648">
        <f t="shared" si="141"/>
        <v>-6.2470981661460201E-3</v>
      </c>
      <c r="Y648">
        <f t="shared" si="142"/>
        <v>-6.2276256184701922E-3</v>
      </c>
      <c r="Z648" t="str">
        <f t="shared" si="135"/>
        <v>2012-07</v>
      </c>
    </row>
    <row r="649" spans="1:26" x14ac:dyDescent="0.35">
      <c r="A649" s="1">
        <v>41122</v>
      </c>
      <c r="C649">
        <v>2333.38</v>
      </c>
      <c r="D649">
        <f t="shared" si="136"/>
        <v>3.2881916686868114E-3</v>
      </c>
      <c r="E649" t="str">
        <f t="shared" si="130"/>
        <v>2012-08</v>
      </c>
      <c r="G649">
        <v>3321.56</v>
      </c>
      <c r="H649">
        <f t="shared" si="137"/>
        <v>9.0425552870883885E-3</v>
      </c>
      <c r="I649" t="str">
        <f t="shared" si="131"/>
        <v>2012-08</v>
      </c>
      <c r="K649">
        <v>6754.46</v>
      </c>
      <c r="L649">
        <f t="shared" si="138"/>
        <v>-2.6318294862829801E-3</v>
      </c>
      <c r="M649" t="str">
        <f t="shared" si="132"/>
        <v>2012-08</v>
      </c>
      <c r="O649">
        <v>7248.3145500000001</v>
      </c>
      <c r="P649">
        <f t="shared" si="139"/>
        <v>1.0124840727682948E-2</v>
      </c>
      <c r="Q649" t="str">
        <f t="shared" si="133"/>
        <v>2012-08</v>
      </c>
      <c r="S649">
        <v>6720</v>
      </c>
      <c r="T649">
        <f t="shared" si="140"/>
        <v>-2.6898315383423765E-3</v>
      </c>
      <c r="U649" t="str">
        <f t="shared" si="134"/>
        <v>2012-08</v>
      </c>
      <c r="W649">
        <v>13928.59</v>
      </c>
      <c r="X649">
        <f t="shared" si="141"/>
        <v>2.7031337565161643E-3</v>
      </c>
      <c r="Y649">
        <f t="shared" si="142"/>
        <v>2.7067905167306554E-3</v>
      </c>
      <c r="Z649" t="str">
        <f t="shared" si="135"/>
        <v>2012-08</v>
      </c>
    </row>
    <row r="650" spans="1:26" x14ac:dyDescent="0.35">
      <c r="A650" s="1">
        <v>41123</v>
      </c>
      <c r="C650">
        <v>2263.36</v>
      </c>
      <c r="D650">
        <f t="shared" si="136"/>
        <v>-3.0467425321718179E-2</v>
      </c>
      <c r="E650" t="str">
        <f t="shared" si="130"/>
        <v>2012-08</v>
      </c>
      <c r="G650">
        <v>3232.46</v>
      </c>
      <c r="H650">
        <f t="shared" si="137"/>
        <v>-2.7191094823623824E-2</v>
      </c>
      <c r="I650" t="str">
        <f t="shared" si="131"/>
        <v>2012-08</v>
      </c>
      <c r="K650">
        <v>6606.09</v>
      </c>
      <c r="L650">
        <f t="shared" si="138"/>
        <v>-2.2211076578129374E-2</v>
      </c>
      <c r="M650" t="str">
        <f t="shared" si="132"/>
        <v>2012-08</v>
      </c>
      <c r="O650">
        <v>7217.9894599999998</v>
      </c>
      <c r="P650">
        <f t="shared" si="139"/>
        <v>-4.1925199965749411E-3</v>
      </c>
      <c r="Q650" t="str">
        <f t="shared" si="133"/>
        <v>2012-08</v>
      </c>
      <c r="S650">
        <v>6373.4</v>
      </c>
      <c r="T650">
        <f t="shared" si="140"/>
        <v>-5.2955075383574662E-2</v>
      </c>
      <c r="U650" t="str">
        <f t="shared" si="134"/>
        <v>2012-08</v>
      </c>
      <c r="W650">
        <v>13282.55</v>
      </c>
      <c r="X650">
        <f t="shared" si="141"/>
        <v>-4.7492418593466132E-2</v>
      </c>
      <c r="Y650">
        <f t="shared" si="142"/>
        <v>-4.6382297131296192E-2</v>
      </c>
      <c r="Z650" t="str">
        <f t="shared" si="135"/>
        <v>2012-08</v>
      </c>
    </row>
    <row r="651" spans="1:26" x14ac:dyDescent="0.35">
      <c r="A651" s="1">
        <v>41124</v>
      </c>
      <c r="C651">
        <v>2372.58</v>
      </c>
      <c r="D651">
        <f t="shared" si="136"/>
        <v>4.7127535772913821E-2</v>
      </c>
      <c r="E651" t="str">
        <f t="shared" si="130"/>
        <v>2012-08</v>
      </c>
      <c r="G651">
        <v>3374.19</v>
      </c>
      <c r="H651">
        <f t="shared" si="137"/>
        <v>4.2911838255850536E-2</v>
      </c>
      <c r="I651" t="str">
        <f t="shared" si="131"/>
        <v>2012-08</v>
      </c>
      <c r="K651">
        <v>6865.66</v>
      </c>
      <c r="L651">
        <f t="shared" si="138"/>
        <v>3.8540223584569051E-2</v>
      </c>
      <c r="M651" t="str">
        <f t="shared" si="132"/>
        <v>2012-08</v>
      </c>
      <c r="O651">
        <v>7315.6159299999999</v>
      </c>
      <c r="P651">
        <f t="shared" si="139"/>
        <v>1.3434785903086291E-2</v>
      </c>
      <c r="Q651" t="str">
        <f t="shared" si="133"/>
        <v>2012-08</v>
      </c>
      <c r="S651">
        <v>6755.7</v>
      </c>
      <c r="T651">
        <f t="shared" si="140"/>
        <v>5.8253513834783083E-2</v>
      </c>
      <c r="U651" t="str">
        <f t="shared" si="134"/>
        <v>2012-08</v>
      </c>
      <c r="W651">
        <v>14124.89</v>
      </c>
      <c r="X651">
        <f t="shared" si="141"/>
        <v>6.1487345704094976E-2</v>
      </c>
      <c r="Y651">
        <f t="shared" si="142"/>
        <v>6.3417039649766055E-2</v>
      </c>
      <c r="Z651" t="str">
        <f t="shared" si="135"/>
        <v>2012-08</v>
      </c>
    </row>
    <row r="652" spans="1:26" x14ac:dyDescent="0.35">
      <c r="A652" s="1">
        <v>41127</v>
      </c>
      <c r="C652">
        <v>2399.3200000000002</v>
      </c>
      <c r="D652">
        <f t="shared" si="136"/>
        <v>1.120739323569243E-2</v>
      </c>
      <c r="E652" t="str">
        <f t="shared" si="130"/>
        <v>2012-08</v>
      </c>
      <c r="G652">
        <v>3401.56</v>
      </c>
      <c r="H652">
        <f t="shared" si="137"/>
        <v>8.0788544043135513E-3</v>
      </c>
      <c r="I652" t="str">
        <f t="shared" si="131"/>
        <v>2012-08</v>
      </c>
      <c r="K652">
        <v>6918.72</v>
      </c>
      <c r="L652">
        <f t="shared" si="138"/>
        <v>7.6986069834857453E-3</v>
      </c>
      <c r="M652" t="str">
        <f t="shared" si="132"/>
        <v>2012-08</v>
      </c>
      <c r="O652">
        <v>7311.7482799999998</v>
      </c>
      <c r="P652">
        <f t="shared" si="139"/>
        <v>-5.2882392680015928E-4</v>
      </c>
      <c r="Q652" t="str">
        <f t="shared" si="133"/>
        <v>2012-08</v>
      </c>
      <c r="S652">
        <v>7053.6</v>
      </c>
      <c r="T652">
        <f t="shared" si="140"/>
        <v>4.3151531804413737E-2</v>
      </c>
      <c r="U652" t="str">
        <f t="shared" si="134"/>
        <v>2012-08</v>
      </c>
      <c r="W652">
        <v>14342.03</v>
      </c>
      <c r="X652">
        <f t="shared" si="141"/>
        <v>1.5255897825105551E-2</v>
      </c>
      <c r="Y652">
        <f t="shared" si="142"/>
        <v>1.5372863080703725E-2</v>
      </c>
      <c r="Z652" t="str">
        <f t="shared" si="135"/>
        <v>2012-08</v>
      </c>
    </row>
    <row r="653" spans="1:26" x14ac:dyDescent="0.35">
      <c r="A653" s="1">
        <v>41128</v>
      </c>
      <c r="C653">
        <v>2440.2399999999998</v>
      </c>
      <c r="D653">
        <f t="shared" si="136"/>
        <v>1.6911031249661708E-2</v>
      </c>
      <c r="E653" t="str">
        <f t="shared" si="130"/>
        <v>2012-08</v>
      </c>
      <c r="G653">
        <v>3453.28</v>
      </c>
      <c r="H653">
        <f t="shared" si="137"/>
        <v>1.5090354104325424E-2</v>
      </c>
      <c r="I653" t="str">
        <f t="shared" si="131"/>
        <v>2012-08</v>
      </c>
      <c r="K653">
        <v>6967.95</v>
      </c>
      <c r="L653">
        <f t="shared" si="138"/>
        <v>7.0902824422468718E-3</v>
      </c>
      <c r="M653" t="str">
        <f t="shared" si="132"/>
        <v>2012-08</v>
      </c>
      <c r="O653">
        <v>7359.1721500000003</v>
      </c>
      <c r="P653">
        <f t="shared" si="139"/>
        <v>6.4650388373891903E-3</v>
      </c>
      <c r="Q653" t="str">
        <f t="shared" si="133"/>
        <v>2012-08</v>
      </c>
      <c r="S653">
        <v>7211.1</v>
      </c>
      <c r="T653">
        <f t="shared" si="140"/>
        <v>2.2083380749908246E-2</v>
      </c>
      <c r="U653" t="str">
        <f t="shared" si="134"/>
        <v>2012-08</v>
      </c>
      <c r="W653">
        <v>14655.64</v>
      </c>
      <c r="X653">
        <f t="shared" si="141"/>
        <v>2.1630857094646853E-2</v>
      </c>
      <c r="Y653">
        <f t="shared" si="142"/>
        <v>2.1866500070073677E-2</v>
      </c>
      <c r="Z653" t="str">
        <f t="shared" si="135"/>
        <v>2012-08</v>
      </c>
    </row>
    <row r="654" spans="1:26" x14ac:dyDescent="0.35">
      <c r="A654" s="1">
        <v>41129</v>
      </c>
      <c r="C654">
        <v>2432.2800000000002</v>
      </c>
      <c r="D654">
        <f t="shared" si="136"/>
        <v>-3.2673060680195286E-3</v>
      </c>
      <c r="E654" t="str">
        <f t="shared" si="130"/>
        <v>2012-08</v>
      </c>
      <c r="G654">
        <v>3438.26</v>
      </c>
      <c r="H654">
        <f t="shared" si="137"/>
        <v>-4.3589745637359362E-3</v>
      </c>
      <c r="I654" t="str">
        <f t="shared" si="131"/>
        <v>2012-08</v>
      </c>
      <c r="K654">
        <v>6966.15</v>
      </c>
      <c r="L654">
        <f t="shared" si="138"/>
        <v>-2.5835899125353898E-4</v>
      </c>
      <c r="M654" t="str">
        <f t="shared" si="132"/>
        <v>2012-08</v>
      </c>
      <c r="O654">
        <v>7402.8783199999998</v>
      </c>
      <c r="P654">
        <f t="shared" si="139"/>
        <v>5.9214399512012581E-3</v>
      </c>
      <c r="Q654" t="str">
        <f t="shared" si="133"/>
        <v>2012-08</v>
      </c>
      <c r="S654">
        <v>7150.2</v>
      </c>
      <c r="T654">
        <f t="shared" si="140"/>
        <v>-8.4811771979102103E-3</v>
      </c>
      <c r="U654" t="str">
        <f t="shared" si="134"/>
        <v>2012-08</v>
      </c>
      <c r="W654">
        <v>14665.3</v>
      </c>
      <c r="X654">
        <f t="shared" si="141"/>
        <v>6.5891477896035762E-4</v>
      </c>
      <c r="Y654">
        <f t="shared" si="142"/>
        <v>6.5913191099125355E-4</v>
      </c>
      <c r="Z654" t="str">
        <f t="shared" si="135"/>
        <v>2012-08</v>
      </c>
    </row>
    <row r="655" spans="1:26" x14ac:dyDescent="0.35">
      <c r="A655" s="1">
        <v>41130</v>
      </c>
      <c r="C655">
        <v>2437.04</v>
      </c>
      <c r="D655">
        <f t="shared" si="136"/>
        <v>1.9550990759379938E-3</v>
      </c>
      <c r="E655" t="str">
        <f t="shared" si="130"/>
        <v>2012-08</v>
      </c>
      <c r="G655">
        <v>3456.71</v>
      </c>
      <c r="H655">
        <f t="shared" si="137"/>
        <v>5.3517401919676334E-3</v>
      </c>
      <c r="I655" t="str">
        <f t="shared" si="131"/>
        <v>2012-08</v>
      </c>
      <c r="K655">
        <v>6964.99</v>
      </c>
      <c r="L655">
        <f t="shared" si="138"/>
        <v>-1.6653339248344815E-4</v>
      </c>
      <c r="M655" t="str">
        <f t="shared" si="132"/>
        <v>2012-08</v>
      </c>
      <c r="O655">
        <v>7438.9738799999996</v>
      </c>
      <c r="P655">
        <f t="shared" si="139"/>
        <v>4.8640332322987074E-3</v>
      </c>
      <c r="Q655" t="str">
        <f t="shared" si="133"/>
        <v>2012-08</v>
      </c>
      <c r="S655">
        <v>7110.2</v>
      </c>
      <c r="T655">
        <f t="shared" si="140"/>
        <v>-5.6099555279349638E-3</v>
      </c>
      <c r="U655" t="str">
        <f t="shared" si="134"/>
        <v>2012-08</v>
      </c>
      <c r="W655">
        <v>14654.11</v>
      </c>
      <c r="X655">
        <f t="shared" si="141"/>
        <v>-7.6331689780400843E-4</v>
      </c>
      <c r="Y655">
        <f t="shared" si="142"/>
        <v>-7.6302564557142994E-4</v>
      </c>
      <c r="Z655" t="str">
        <f t="shared" si="135"/>
        <v>2012-08</v>
      </c>
    </row>
    <row r="656" spans="1:26" x14ac:dyDescent="0.35">
      <c r="A656" s="1">
        <v>41131</v>
      </c>
      <c r="C656">
        <v>2423.2199999999998</v>
      </c>
      <c r="D656">
        <f t="shared" si="136"/>
        <v>-5.6869538858182788E-3</v>
      </c>
      <c r="E656" t="str">
        <f t="shared" si="130"/>
        <v>2012-08</v>
      </c>
      <c r="G656">
        <v>3435.62</v>
      </c>
      <c r="H656">
        <f t="shared" si="137"/>
        <v>-6.1198653643022901E-3</v>
      </c>
      <c r="I656" t="str">
        <f t="shared" si="131"/>
        <v>2012-08</v>
      </c>
      <c r="K656">
        <v>6944.56</v>
      </c>
      <c r="L656">
        <f t="shared" si="138"/>
        <v>-2.9375522128656114E-3</v>
      </c>
      <c r="M656" t="str">
        <f t="shared" si="132"/>
        <v>2012-08</v>
      </c>
      <c r="O656">
        <v>7454.1853799999999</v>
      </c>
      <c r="P656">
        <f t="shared" si="139"/>
        <v>2.0427506379306062E-3</v>
      </c>
      <c r="Q656" t="str">
        <f t="shared" si="133"/>
        <v>2012-08</v>
      </c>
      <c r="S656">
        <v>7047.7</v>
      </c>
      <c r="T656">
        <f t="shared" si="140"/>
        <v>-8.8290503535341236E-3</v>
      </c>
      <c r="U656" t="str">
        <f t="shared" si="134"/>
        <v>2012-08</v>
      </c>
      <c r="W656">
        <v>14548.64</v>
      </c>
      <c r="X656">
        <f t="shared" si="141"/>
        <v>-7.2233237340133451E-3</v>
      </c>
      <c r="Y656">
        <f t="shared" si="142"/>
        <v>-7.1972982323731133E-3</v>
      </c>
      <c r="Z656" t="str">
        <f t="shared" si="135"/>
        <v>2012-08</v>
      </c>
    </row>
    <row r="657" spans="1:26" x14ac:dyDescent="0.35">
      <c r="A657" s="1">
        <v>41134</v>
      </c>
      <c r="C657">
        <v>2415.96</v>
      </c>
      <c r="D657">
        <f t="shared" si="136"/>
        <v>-3.0005106017352138E-3</v>
      </c>
      <c r="E657" t="str">
        <f t="shared" si="130"/>
        <v>2012-08</v>
      </c>
      <c r="G657">
        <v>3426.41</v>
      </c>
      <c r="H657">
        <f t="shared" si="137"/>
        <v>-2.6843384626279378E-3</v>
      </c>
      <c r="I657" t="str">
        <f t="shared" si="131"/>
        <v>2012-08</v>
      </c>
      <c r="K657">
        <v>6909.68</v>
      </c>
      <c r="L657">
        <f t="shared" si="138"/>
        <v>-5.0352922565343209E-3</v>
      </c>
      <c r="M657" t="str">
        <f t="shared" si="132"/>
        <v>2012-08</v>
      </c>
      <c r="O657">
        <v>7417.9245099999998</v>
      </c>
      <c r="P657">
        <f t="shared" si="139"/>
        <v>-4.8763681981920338E-3</v>
      </c>
      <c r="Q657" t="str">
        <f t="shared" si="133"/>
        <v>2012-08</v>
      </c>
      <c r="S657">
        <v>7069.6</v>
      </c>
      <c r="T657">
        <f t="shared" si="140"/>
        <v>3.1025787604482442E-3</v>
      </c>
      <c r="U657" t="str">
        <f t="shared" si="134"/>
        <v>2012-08</v>
      </c>
      <c r="W657">
        <v>14532.87</v>
      </c>
      <c r="X657">
        <f t="shared" si="141"/>
        <v>-1.084538013724215E-3</v>
      </c>
      <c r="Y657">
        <f t="shared" si="142"/>
        <v>-1.0839501149247366E-3</v>
      </c>
      <c r="Z657" t="str">
        <f t="shared" si="135"/>
        <v>2012-08</v>
      </c>
    </row>
    <row r="658" spans="1:26" x14ac:dyDescent="0.35">
      <c r="A658" s="1">
        <v>41135</v>
      </c>
      <c r="C658">
        <v>2432.29</v>
      </c>
      <c r="D658">
        <f t="shared" si="136"/>
        <v>6.7364767719207234E-3</v>
      </c>
      <c r="E658" t="str">
        <f t="shared" si="130"/>
        <v>2012-08</v>
      </c>
      <c r="G658">
        <v>3450.27</v>
      </c>
      <c r="H658">
        <f t="shared" si="137"/>
        <v>6.9394230207867353E-3</v>
      </c>
      <c r="I658" t="str">
        <f t="shared" si="131"/>
        <v>2012-08</v>
      </c>
      <c r="K658">
        <v>6974.39</v>
      </c>
      <c r="L658">
        <f t="shared" si="138"/>
        <v>9.3215416747092026E-3</v>
      </c>
      <c r="M658" t="str">
        <f t="shared" si="132"/>
        <v>2012-08</v>
      </c>
      <c r="O658">
        <v>7459.1214399999999</v>
      </c>
      <c r="P658">
        <f t="shared" si="139"/>
        <v>5.5383354251559063E-3</v>
      </c>
      <c r="Q658" t="str">
        <f t="shared" si="133"/>
        <v>2012-08</v>
      </c>
      <c r="S658">
        <v>7124.8</v>
      </c>
      <c r="T658">
        <f t="shared" si="140"/>
        <v>7.7777543636431646E-3</v>
      </c>
      <c r="U658" t="str">
        <f t="shared" si="134"/>
        <v>2012-08</v>
      </c>
      <c r="W658">
        <v>14656.87</v>
      </c>
      <c r="X658">
        <f t="shared" si="141"/>
        <v>8.4961870789382471E-3</v>
      </c>
      <c r="Y658">
        <f t="shared" si="142"/>
        <v>8.5323821103470959E-3</v>
      </c>
      <c r="Z658" t="str">
        <f t="shared" si="135"/>
        <v>2012-08</v>
      </c>
    </row>
    <row r="659" spans="1:26" x14ac:dyDescent="0.35">
      <c r="A659" s="1">
        <v>41137</v>
      </c>
      <c r="C659">
        <v>2456.5300000000002</v>
      </c>
      <c r="D659">
        <f t="shared" si="136"/>
        <v>9.9165846334080821E-3</v>
      </c>
      <c r="E659" t="str">
        <f t="shared" si="130"/>
        <v>2012-08</v>
      </c>
      <c r="G659">
        <v>3480.49</v>
      </c>
      <c r="H659">
        <f t="shared" si="137"/>
        <v>8.720599621435704E-3</v>
      </c>
      <c r="I659" t="str">
        <f t="shared" si="131"/>
        <v>2012-08</v>
      </c>
      <c r="K659">
        <v>6996.29</v>
      </c>
      <c r="L659">
        <f t="shared" si="138"/>
        <v>3.1351398697999355E-3</v>
      </c>
      <c r="M659" t="str">
        <f t="shared" si="132"/>
        <v>2012-08</v>
      </c>
      <c r="O659">
        <v>7428.0142299999998</v>
      </c>
      <c r="P659">
        <f t="shared" si="139"/>
        <v>-4.179078630396682E-3</v>
      </c>
      <c r="Q659" t="str">
        <f t="shared" si="133"/>
        <v>2012-08</v>
      </c>
      <c r="S659">
        <v>7417.3</v>
      </c>
      <c r="T659">
        <f t="shared" si="140"/>
        <v>4.0233453971468949E-2</v>
      </c>
      <c r="U659" t="str">
        <f t="shared" si="134"/>
        <v>2012-08</v>
      </c>
      <c r="W659">
        <v>14930.3</v>
      </c>
      <c r="X659">
        <f t="shared" si="141"/>
        <v>1.8483537596482073E-2</v>
      </c>
      <c r="Y659">
        <f t="shared" si="142"/>
        <v>1.8655415515045057E-2</v>
      </c>
      <c r="Z659" t="str">
        <f t="shared" si="135"/>
        <v>2012-08</v>
      </c>
    </row>
    <row r="660" spans="1:26" x14ac:dyDescent="0.35">
      <c r="A660" s="1">
        <v>41138</v>
      </c>
      <c r="C660">
        <v>2471.5300000000002</v>
      </c>
      <c r="D660">
        <f t="shared" si="136"/>
        <v>6.0876070192612906E-3</v>
      </c>
      <c r="E660" t="str">
        <f t="shared" si="130"/>
        <v>2012-08</v>
      </c>
      <c r="G660">
        <v>3488.38</v>
      </c>
      <c r="H660">
        <f t="shared" si="137"/>
        <v>2.2643565947439498E-3</v>
      </c>
      <c r="I660" t="str">
        <f t="shared" si="131"/>
        <v>2012-08</v>
      </c>
      <c r="K660">
        <v>7040.88</v>
      </c>
      <c r="L660">
        <f t="shared" si="138"/>
        <v>6.3531538024341767E-3</v>
      </c>
      <c r="M660" t="str">
        <f t="shared" si="132"/>
        <v>2012-08</v>
      </c>
      <c r="O660">
        <v>7455.9203699999998</v>
      </c>
      <c r="P660">
        <f t="shared" si="139"/>
        <v>3.7498381240773687E-3</v>
      </c>
      <c r="Q660" t="str">
        <f t="shared" si="133"/>
        <v>2012-08</v>
      </c>
      <c r="S660">
        <v>7561</v>
      </c>
      <c r="T660">
        <f t="shared" si="140"/>
        <v>1.918834701936302E-2</v>
      </c>
      <c r="U660" t="str">
        <f t="shared" si="134"/>
        <v>2012-08</v>
      </c>
      <c r="W660">
        <v>15124.69</v>
      </c>
      <c r="X660">
        <f t="shared" si="141"/>
        <v>1.2935802718940613E-2</v>
      </c>
      <c r="Y660">
        <f t="shared" si="142"/>
        <v>1.3019832153406245E-2</v>
      </c>
      <c r="Z660" t="str">
        <f t="shared" si="135"/>
        <v>2012-08</v>
      </c>
    </row>
    <row r="661" spans="1:26" x14ac:dyDescent="0.35">
      <c r="A661" s="1">
        <v>41141</v>
      </c>
      <c r="C661">
        <v>2466.3200000000002</v>
      </c>
      <c r="D661">
        <f t="shared" si="136"/>
        <v>-2.1102309439842738E-3</v>
      </c>
      <c r="E661" t="str">
        <f t="shared" si="130"/>
        <v>2012-08</v>
      </c>
      <c r="G661">
        <v>3480.58</v>
      </c>
      <c r="H661">
        <f t="shared" si="137"/>
        <v>-2.2384985010873897E-3</v>
      </c>
      <c r="I661" t="str">
        <f t="shared" si="131"/>
        <v>2012-08</v>
      </c>
      <c r="K661">
        <v>7033.68</v>
      </c>
      <c r="L661">
        <f t="shared" si="138"/>
        <v>-1.0231226593325387E-3</v>
      </c>
      <c r="M661" t="str">
        <f t="shared" si="132"/>
        <v>2012-08</v>
      </c>
      <c r="O661">
        <v>7411.5474000000004</v>
      </c>
      <c r="P661">
        <f t="shared" si="139"/>
        <v>-5.9691539191568813E-3</v>
      </c>
      <c r="Q661" t="str">
        <f t="shared" si="133"/>
        <v>2012-08</v>
      </c>
      <c r="S661">
        <v>7469.6</v>
      </c>
      <c r="T661">
        <f t="shared" si="140"/>
        <v>-1.2162006388553654E-2</v>
      </c>
      <c r="U661" t="str">
        <f t="shared" si="134"/>
        <v>2012-08</v>
      </c>
      <c r="W661">
        <v>14971.88</v>
      </c>
      <c r="X661">
        <f t="shared" si="141"/>
        <v>-1.0154732790291889E-2</v>
      </c>
      <c r="Y661">
        <f t="shared" si="142"/>
        <v>-1.0103347572743726E-2</v>
      </c>
      <c r="Z661" t="str">
        <f t="shared" si="135"/>
        <v>2012-08</v>
      </c>
    </row>
    <row r="662" spans="1:26" x14ac:dyDescent="0.35">
      <c r="A662" s="1">
        <v>41142</v>
      </c>
      <c r="C662">
        <v>2490.27</v>
      </c>
      <c r="D662">
        <f t="shared" si="136"/>
        <v>9.6639772083168419E-3</v>
      </c>
      <c r="E662" t="str">
        <f t="shared" si="130"/>
        <v>2012-08</v>
      </c>
      <c r="G662">
        <v>3513.28</v>
      </c>
      <c r="H662">
        <f t="shared" si="137"/>
        <v>9.3511274985269288E-3</v>
      </c>
      <c r="I662" t="str">
        <f t="shared" si="131"/>
        <v>2012-08</v>
      </c>
      <c r="K662">
        <v>7089.32</v>
      </c>
      <c r="L662">
        <f t="shared" si="138"/>
        <v>7.8793865136173279E-3</v>
      </c>
      <c r="M662" t="str">
        <f t="shared" si="132"/>
        <v>2012-08</v>
      </c>
      <c r="O662">
        <v>7411.3259900000003</v>
      </c>
      <c r="P662">
        <f t="shared" si="139"/>
        <v>-2.9874099871296541E-5</v>
      </c>
      <c r="Q662" t="str">
        <f t="shared" si="133"/>
        <v>2012-08</v>
      </c>
      <c r="S662">
        <v>7544.5</v>
      </c>
      <c r="T662">
        <f t="shared" si="140"/>
        <v>9.9773707839898376E-3</v>
      </c>
      <c r="U662" t="str">
        <f t="shared" si="134"/>
        <v>2012-08</v>
      </c>
      <c r="W662">
        <v>15330.46</v>
      </c>
      <c r="X662">
        <f t="shared" si="141"/>
        <v>2.3667923907891707E-2</v>
      </c>
      <c r="Y662">
        <f t="shared" si="142"/>
        <v>2.3950232034988254E-2</v>
      </c>
      <c r="Z662" t="str">
        <f t="shared" si="135"/>
        <v>2012-08</v>
      </c>
    </row>
    <row r="663" spans="1:26" x14ac:dyDescent="0.35">
      <c r="A663" s="1">
        <v>41143</v>
      </c>
      <c r="C663">
        <v>2452.73</v>
      </c>
      <c r="D663">
        <f t="shared" si="136"/>
        <v>-1.5189448417655974E-2</v>
      </c>
      <c r="E663" t="str">
        <f t="shared" si="130"/>
        <v>2012-08</v>
      </c>
      <c r="G663">
        <v>3461.65</v>
      </c>
      <c r="H663">
        <f t="shared" si="137"/>
        <v>-1.4804720052349934E-2</v>
      </c>
      <c r="I663" t="str">
        <f t="shared" si="131"/>
        <v>2012-08</v>
      </c>
      <c r="K663">
        <v>7017.75</v>
      </c>
      <c r="L663">
        <f t="shared" si="138"/>
        <v>-1.0146772370391794E-2</v>
      </c>
      <c r="M663" t="str">
        <f t="shared" si="132"/>
        <v>2012-08</v>
      </c>
      <c r="O663">
        <v>7314.66597</v>
      </c>
      <c r="P663">
        <f t="shared" si="139"/>
        <v>-1.3127999593207361E-2</v>
      </c>
      <c r="Q663" t="str">
        <f t="shared" si="133"/>
        <v>2012-08</v>
      </c>
      <c r="S663">
        <v>7340.7</v>
      </c>
      <c r="T663">
        <f t="shared" si="140"/>
        <v>-2.7384615044957466E-2</v>
      </c>
      <c r="U663" t="str">
        <f t="shared" si="134"/>
        <v>2012-08</v>
      </c>
      <c r="W663">
        <v>15161.18</v>
      </c>
      <c r="X663">
        <f t="shared" si="141"/>
        <v>-1.110348535995442E-2</v>
      </c>
      <c r="Y663">
        <f t="shared" si="142"/>
        <v>-1.1042069187747717E-2</v>
      </c>
      <c r="Z663" t="str">
        <f t="shared" si="135"/>
        <v>2012-08</v>
      </c>
    </row>
    <row r="664" spans="1:26" x14ac:dyDescent="0.35">
      <c r="A664" s="1">
        <v>41144</v>
      </c>
      <c r="C664">
        <v>2429.17</v>
      </c>
      <c r="D664">
        <f t="shared" si="136"/>
        <v>-9.6520546951349515E-3</v>
      </c>
      <c r="E664" t="str">
        <f t="shared" si="130"/>
        <v>2012-08</v>
      </c>
      <c r="G664">
        <v>3432.56</v>
      </c>
      <c r="H664">
        <f t="shared" si="137"/>
        <v>-8.4390155337977658E-3</v>
      </c>
      <c r="I664" t="str">
        <f t="shared" si="131"/>
        <v>2012-08</v>
      </c>
      <c r="K664">
        <v>6949.57</v>
      </c>
      <c r="L664">
        <f t="shared" si="138"/>
        <v>-9.7628666829499642E-3</v>
      </c>
      <c r="M664" t="str">
        <f t="shared" si="132"/>
        <v>2012-08</v>
      </c>
      <c r="O664">
        <v>7290.9078799999997</v>
      </c>
      <c r="P664">
        <f t="shared" si="139"/>
        <v>-3.2532937354562306E-3</v>
      </c>
      <c r="Q664" t="str">
        <f t="shared" si="133"/>
        <v>2012-08</v>
      </c>
      <c r="S664">
        <v>7282.9</v>
      </c>
      <c r="T664">
        <f t="shared" si="140"/>
        <v>-7.9050713906189049E-3</v>
      </c>
      <c r="U664" t="str">
        <f t="shared" si="134"/>
        <v>2012-08</v>
      </c>
      <c r="W664">
        <v>14953.76</v>
      </c>
      <c r="X664">
        <f t="shared" si="141"/>
        <v>-1.3775440365405674E-2</v>
      </c>
      <c r="Y664">
        <f t="shared" si="142"/>
        <v>-1.3680993168077952E-2</v>
      </c>
      <c r="Z664" t="str">
        <f t="shared" si="135"/>
        <v>2012-08</v>
      </c>
    </row>
    <row r="665" spans="1:26" x14ac:dyDescent="0.35">
      <c r="A665" s="1">
        <v>41145</v>
      </c>
      <c r="C665">
        <v>2434.23</v>
      </c>
      <c r="D665">
        <f t="shared" si="136"/>
        <v>2.0808495397413255E-3</v>
      </c>
      <c r="E665" t="str">
        <f t="shared" si="130"/>
        <v>2012-08</v>
      </c>
      <c r="G665">
        <v>3433.21</v>
      </c>
      <c r="H665">
        <f t="shared" si="137"/>
        <v>1.8934511407815192E-4</v>
      </c>
      <c r="I665" t="str">
        <f t="shared" si="131"/>
        <v>2012-08</v>
      </c>
      <c r="K665">
        <v>6971.07</v>
      </c>
      <c r="L665">
        <f t="shared" si="138"/>
        <v>3.0889408957180337E-3</v>
      </c>
      <c r="M665" t="str">
        <f t="shared" si="132"/>
        <v>2012-08</v>
      </c>
      <c r="O665">
        <v>7295.3997399999998</v>
      </c>
      <c r="P665">
        <f t="shared" si="139"/>
        <v>6.1590092009760418E-4</v>
      </c>
      <c r="Q665" t="str">
        <f t="shared" si="133"/>
        <v>2012-08</v>
      </c>
      <c r="S665">
        <v>7310.3</v>
      </c>
      <c r="T665">
        <f t="shared" si="140"/>
        <v>3.7551780552726923E-3</v>
      </c>
      <c r="U665" t="str">
        <f t="shared" si="134"/>
        <v>2012-08</v>
      </c>
      <c r="W665">
        <v>14880.68</v>
      </c>
      <c r="X665">
        <f t="shared" si="141"/>
        <v>-4.8990459458201777E-3</v>
      </c>
      <c r="Y665">
        <f t="shared" si="142"/>
        <v>-4.8870651929681852E-3</v>
      </c>
      <c r="Z665" t="str">
        <f t="shared" si="135"/>
        <v>2012-08</v>
      </c>
    </row>
    <row r="666" spans="1:26" x14ac:dyDescent="0.35">
      <c r="A666" s="1">
        <v>41149</v>
      </c>
      <c r="C666">
        <v>2442.12</v>
      </c>
      <c r="D666">
        <f t="shared" si="136"/>
        <v>3.2360297703264273E-3</v>
      </c>
      <c r="E666" t="str">
        <f t="shared" si="130"/>
        <v>2012-08</v>
      </c>
      <c r="G666">
        <v>3431.55</v>
      </c>
      <c r="H666">
        <f t="shared" si="137"/>
        <v>-4.8362944439590355E-4</v>
      </c>
      <c r="I666" t="str">
        <f t="shared" si="131"/>
        <v>2012-08</v>
      </c>
      <c r="K666">
        <v>7002.68</v>
      </c>
      <c r="L666">
        <f t="shared" si="138"/>
        <v>4.5242048723122662E-3</v>
      </c>
      <c r="M666" t="str">
        <f t="shared" si="132"/>
        <v>2012-08</v>
      </c>
      <c r="O666">
        <v>7273.9671200000003</v>
      </c>
      <c r="P666">
        <f t="shared" si="139"/>
        <v>-2.9421505637763847E-3</v>
      </c>
      <c r="Q666" t="str">
        <f t="shared" si="133"/>
        <v>2012-08</v>
      </c>
      <c r="S666">
        <v>7333.5</v>
      </c>
      <c r="T666">
        <f t="shared" si="140"/>
        <v>3.1685791134074127E-3</v>
      </c>
      <c r="U666" t="str">
        <f t="shared" si="134"/>
        <v>2012-08</v>
      </c>
      <c r="W666">
        <v>14993.01</v>
      </c>
      <c r="X666">
        <f t="shared" si="141"/>
        <v>7.5203652049537087E-3</v>
      </c>
      <c r="Y666">
        <f t="shared" si="142"/>
        <v>7.548714171664193E-3</v>
      </c>
      <c r="Z666" t="str">
        <f t="shared" si="135"/>
        <v>2012-08</v>
      </c>
    </row>
    <row r="667" spans="1:26" x14ac:dyDescent="0.35">
      <c r="A667" s="1">
        <v>41150</v>
      </c>
      <c r="C667">
        <v>2434.23</v>
      </c>
      <c r="D667">
        <f t="shared" si="136"/>
        <v>-3.2360297703263488E-3</v>
      </c>
      <c r="E667" t="str">
        <f t="shared" si="130"/>
        <v>2012-08</v>
      </c>
      <c r="G667">
        <v>3413.89</v>
      </c>
      <c r="H667">
        <f t="shared" si="137"/>
        <v>-5.1596505640788999E-3</v>
      </c>
      <c r="I667" t="str">
        <f t="shared" si="131"/>
        <v>2012-08</v>
      </c>
      <c r="K667">
        <v>7010.57</v>
      </c>
      <c r="L667">
        <f t="shared" si="138"/>
        <v>1.126077224590001E-3</v>
      </c>
      <c r="M667" t="str">
        <f t="shared" si="132"/>
        <v>2012-08</v>
      </c>
      <c r="O667">
        <v>7258.8462499999996</v>
      </c>
      <c r="P667">
        <f t="shared" si="139"/>
        <v>-2.0809288706151816E-3</v>
      </c>
      <c r="Q667" t="str">
        <f t="shared" si="133"/>
        <v>2012-08</v>
      </c>
      <c r="S667">
        <v>7306</v>
      </c>
      <c r="T667">
        <f t="shared" si="140"/>
        <v>-3.756963331582157E-3</v>
      </c>
      <c r="U667" t="str">
        <f t="shared" si="134"/>
        <v>2012-08</v>
      </c>
      <c r="W667">
        <v>14943.57</v>
      </c>
      <c r="X667">
        <f t="shared" si="141"/>
        <v>-3.3029855078977387E-3</v>
      </c>
      <c r="Y667">
        <f t="shared" si="142"/>
        <v>-3.2975366520799033E-3</v>
      </c>
      <c r="Z667" t="str">
        <f t="shared" si="135"/>
        <v>2012-08</v>
      </c>
    </row>
    <row r="668" spans="1:26" x14ac:dyDescent="0.35">
      <c r="A668" s="1">
        <v>41151</v>
      </c>
      <c r="C668">
        <v>2403.8000000000002</v>
      </c>
      <c r="D668">
        <f t="shared" si="136"/>
        <v>-1.2579666223442485E-2</v>
      </c>
      <c r="E668" t="str">
        <f t="shared" si="130"/>
        <v>2012-08</v>
      </c>
      <c r="G668">
        <v>3379.11</v>
      </c>
      <c r="H668">
        <f t="shared" si="137"/>
        <v>-1.0240042371341421E-2</v>
      </c>
      <c r="I668" t="str">
        <f t="shared" si="131"/>
        <v>2012-08</v>
      </c>
      <c r="K668">
        <v>6895.49</v>
      </c>
      <c r="L668">
        <f t="shared" si="138"/>
        <v>-1.6551435441620511E-2</v>
      </c>
      <c r="M668" t="str">
        <f t="shared" si="132"/>
        <v>2012-08</v>
      </c>
      <c r="O668">
        <v>7223.3162599999996</v>
      </c>
      <c r="P668">
        <f t="shared" si="139"/>
        <v>-4.9067342340016057E-3</v>
      </c>
      <c r="Q668" t="str">
        <f t="shared" si="133"/>
        <v>2012-08</v>
      </c>
      <c r="S668">
        <v>7195</v>
      </c>
      <c r="T668">
        <f t="shared" si="140"/>
        <v>-1.5309588033759565E-2</v>
      </c>
      <c r="U668" t="str">
        <f t="shared" si="134"/>
        <v>2012-08</v>
      </c>
      <c r="W668">
        <v>14780.55</v>
      </c>
      <c r="X668">
        <f t="shared" si="141"/>
        <v>-1.096897970562356E-2</v>
      </c>
      <c r="Y668">
        <f t="shared" si="142"/>
        <v>-1.090903980775681E-2</v>
      </c>
      <c r="Z668" t="str">
        <f t="shared" si="135"/>
        <v>2012-08</v>
      </c>
    </row>
    <row r="669" spans="1:26" x14ac:dyDescent="0.35">
      <c r="A669" s="1">
        <v>41152</v>
      </c>
      <c r="C669">
        <v>2440.71</v>
      </c>
      <c r="D669">
        <f t="shared" si="136"/>
        <v>1.5238162047597594E-2</v>
      </c>
      <c r="E669" t="str">
        <f t="shared" si="130"/>
        <v>2012-08</v>
      </c>
      <c r="G669">
        <v>3413.07</v>
      </c>
      <c r="H669">
        <f t="shared" si="137"/>
        <v>9.9998183173136031E-3</v>
      </c>
      <c r="I669" t="str">
        <f t="shared" si="131"/>
        <v>2012-08</v>
      </c>
      <c r="K669">
        <v>6970.79</v>
      </c>
      <c r="L669">
        <f t="shared" si="138"/>
        <v>1.0860986537701494E-2</v>
      </c>
      <c r="M669" t="str">
        <f t="shared" si="132"/>
        <v>2012-08</v>
      </c>
      <c r="O669">
        <v>7207.6142499999996</v>
      </c>
      <c r="P669">
        <f t="shared" si="139"/>
        <v>-2.1761612926840548E-3</v>
      </c>
      <c r="Q669" t="str">
        <f t="shared" si="133"/>
        <v>2012-08</v>
      </c>
      <c r="S669">
        <v>7420.5</v>
      </c>
      <c r="T669">
        <f t="shared" si="140"/>
        <v>3.0860100014404687E-2</v>
      </c>
      <c r="U669" t="str">
        <f t="shared" si="134"/>
        <v>2012-08</v>
      </c>
      <c r="W669">
        <v>15100.48</v>
      </c>
      <c r="X669">
        <f t="shared" si="141"/>
        <v>2.1414404118173091E-2</v>
      </c>
      <c r="Y669">
        <f t="shared" si="142"/>
        <v>2.1645337961036654E-2</v>
      </c>
      <c r="Z669" t="str">
        <f t="shared" si="135"/>
        <v>2012-08</v>
      </c>
    </row>
    <row r="670" spans="1:26" x14ac:dyDescent="0.35">
      <c r="A670" s="1">
        <v>41155</v>
      </c>
      <c r="C670">
        <v>2463.17</v>
      </c>
      <c r="D670">
        <f t="shared" si="136"/>
        <v>9.1601576908496834E-3</v>
      </c>
      <c r="E670" t="str">
        <f t="shared" si="130"/>
        <v>2012-09</v>
      </c>
      <c r="G670">
        <v>3453.71</v>
      </c>
      <c r="H670">
        <f t="shared" si="137"/>
        <v>1.1836836044576115E-2</v>
      </c>
      <c r="I670" t="str">
        <f t="shared" si="131"/>
        <v>2012-09</v>
      </c>
      <c r="K670">
        <v>7014.83</v>
      </c>
      <c r="L670">
        <f t="shared" si="138"/>
        <v>6.2979182282880139E-3</v>
      </c>
      <c r="M670" t="str">
        <f t="shared" si="132"/>
        <v>2012-09</v>
      </c>
      <c r="O670">
        <v>7261.7764500000003</v>
      </c>
      <c r="P670">
        <f t="shared" si="139"/>
        <v>7.486487039296782E-3</v>
      </c>
      <c r="Q670" t="str">
        <f t="shared" si="133"/>
        <v>2012-09</v>
      </c>
      <c r="S670">
        <v>7434.2</v>
      </c>
      <c r="T670">
        <f t="shared" si="140"/>
        <v>1.8445345761679657E-3</v>
      </c>
      <c r="U670" t="str">
        <f t="shared" si="134"/>
        <v>2012-09</v>
      </c>
      <c r="W670">
        <v>15267.17</v>
      </c>
      <c r="X670">
        <f t="shared" si="141"/>
        <v>1.097823994574562E-2</v>
      </c>
      <c r="Y670">
        <f t="shared" si="142"/>
        <v>1.1038721947911624E-2</v>
      </c>
      <c r="Z670" t="str">
        <f t="shared" si="135"/>
        <v>2012-09</v>
      </c>
    </row>
    <row r="671" spans="1:26" x14ac:dyDescent="0.35">
      <c r="A671" s="1">
        <v>41156</v>
      </c>
      <c r="C671">
        <v>2436.54</v>
      </c>
      <c r="D671">
        <f t="shared" si="136"/>
        <v>-1.0870138116746112E-2</v>
      </c>
      <c r="E671" t="str">
        <f t="shared" si="130"/>
        <v>2012-09</v>
      </c>
      <c r="G671">
        <v>3399.04</v>
      </c>
      <c r="H671">
        <f t="shared" si="137"/>
        <v>-1.5955976762391775E-2</v>
      </c>
      <c r="I671" t="str">
        <f t="shared" si="131"/>
        <v>2012-09</v>
      </c>
      <c r="K671">
        <v>6932.58</v>
      </c>
      <c r="L671">
        <f t="shared" si="138"/>
        <v>-1.1794441186282376E-2</v>
      </c>
      <c r="M671" t="str">
        <f t="shared" si="132"/>
        <v>2012-09</v>
      </c>
      <c r="O671">
        <v>7171.1799099999998</v>
      </c>
      <c r="P671">
        <f t="shared" si="139"/>
        <v>-1.2554285850779643E-2</v>
      </c>
      <c r="Q671" t="str">
        <f t="shared" si="133"/>
        <v>2012-09</v>
      </c>
      <c r="S671">
        <v>7488.2</v>
      </c>
      <c r="T671">
        <f t="shared" si="140"/>
        <v>7.2374732904066106E-3</v>
      </c>
      <c r="U671" t="str">
        <f t="shared" si="134"/>
        <v>2012-09</v>
      </c>
      <c r="W671">
        <v>15222.63</v>
      </c>
      <c r="X671">
        <f t="shared" si="141"/>
        <v>-2.9216348865914866E-3</v>
      </c>
      <c r="Y671">
        <f t="shared" si="142"/>
        <v>-2.917371064840496E-3</v>
      </c>
      <c r="Z671" t="str">
        <f t="shared" si="135"/>
        <v>2012-09</v>
      </c>
    </row>
    <row r="672" spans="1:26" x14ac:dyDescent="0.35">
      <c r="A672" s="1">
        <v>41157</v>
      </c>
      <c r="C672">
        <v>2441.81</v>
      </c>
      <c r="D672">
        <f t="shared" si="136"/>
        <v>2.160567425482983E-3</v>
      </c>
      <c r="E672" t="str">
        <f t="shared" si="130"/>
        <v>2012-09</v>
      </c>
      <c r="G672">
        <v>3405.79</v>
      </c>
      <c r="H672">
        <f t="shared" si="137"/>
        <v>1.9838856265002353E-3</v>
      </c>
      <c r="I672" t="str">
        <f t="shared" si="131"/>
        <v>2012-09</v>
      </c>
      <c r="K672">
        <v>6964.69</v>
      </c>
      <c r="L672">
        <f t="shared" si="138"/>
        <v>4.6210596959317578E-3</v>
      </c>
      <c r="M672" t="str">
        <f t="shared" si="132"/>
        <v>2012-09</v>
      </c>
      <c r="O672">
        <v>7141.33698</v>
      </c>
      <c r="P672">
        <f t="shared" si="139"/>
        <v>-4.1701922139869936E-3</v>
      </c>
      <c r="Q672" t="str">
        <f t="shared" si="133"/>
        <v>2012-09</v>
      </c>
      <c r="S672">
        <v>7494</v>
      </c>
      <c r="T672">
        <f t="shared" si="140"/>
        <v>7.7425215118510427E-4</v>
      </c>
      <c r="U672" t="str">
        <f t="shared" si="134"/>
        <v>2012-09</v>
      </c>
      <c r="W672">
        <v>15128.08</v>
      </c>
      <c r="X672">
        <f t="shared" si="141"/>
        <v>-6.2305169048010919E-3</v>
      </c>
      <c r="Y672">
        <f t="shared" si="142"/>
        <v>-6.211147482399512E-3</v>
      </c>
      <c r="Z672" t="str">
        <f t="shared" si="135"/>
        <v>2012-09</v>
      </c>
    </row>
    <row r="673" spans="1:26" x14ac:dyDescent="0.35">
      <c r="A673" s="1">
        <v>41158</v>
      </c>
      <c r="C673">
        <v>2524.9499999999998</v>
      </c>
      <c r="D673">
        <f t="shared" si="136"/>
        <v>3.3481692967327475E-2</v>
      </c>
      <c r="E673" t="str">
        <f t="shared" si="130"/>
        <v>2012-09</v>
      </c>
      <c r="G673">
        <v>3509.88</v>
      </c>
      <c r="H673">
        <f t="shared" si="137"/>
        <v>3.0104924420819565E-2</v>
      </c>
      <c r="I673" t="str">
        <f t="shared" si="131"/>
        <v>2012-09</v>
      </c>
      <c r="K673">
        <v>7167.33</v>
      </c>
      <c r="L673">
        <f t="shared" si="138"/>
        <v>2.8680102336118448E-2</v>
      </c>
      <c r="M673" t="str">
        <f t="shared" si="132"/>
        <v>2012-09</v>
      </c>
      <c r="O673">
        <v>7287.6540400000004</v>
      </c>
      <c r="P673">
        <f t="shared" si="139"/>
        <v>2.0281678094691218E-2</v>
      </c>
      <c r="Q673" t="str">
        <f t="shared" si="133"/>
        <v>2012-09</v>
      </c>
      <c r="S673">
        <v>7862</v>
      </c>
      <c r="T673">
        <f t="shared" si="140"/>
        <v>4.7938326628172975E-2</v>
      </c>
      <c r="U673" t="str">
        <f t="shared" si="134"/>
        <v>2012-09</v>
      </c>
      <c r="W673">
        <v>15780.32</v>
      </c>
      <c r="X673">
        <f t="shared" si="141"/>
        <v>4.2210974496610924E-2</v>
      </c>
      <c r="Y673">
        <f t="shared" si="142"/>
        <v>4.3114526099809085E-2</v>
      </c>
      <c r="Z673" t="str">
        <f t="shared" si="135"/>
        <v>2012-09</v>
      </c>
    </row>
    <row r="674" spans="1:26" x14ac:dyDescent="0.35">
      <c r="A674" s="1">
        <v>41159</v>
      </c>
      <c r="C674">
        <v>2538.6</v>
      </c>
      <c r="D674">
        <f t="shared" si="136"/>
        <v>5.3914874208765146E-3</v>
      </c>
      <c r="E674" t="str">
        <f t="shared" si="130"/>
        <v>2012-09</v>
      </c>
      <c r="G674">
        <v>3519.05</v>
      </c>
      <c r="H674">
        <f t="shared" si="137"/>
        <v>2.6092179613285429E-3</v>
      </c>
      <c r="I674" t="str">
        <f t="shared" si="131"/>
        <v>2012-09</v>
      </c>
      <c r="K674">
        <v>7214.5</v>
      </c>
      <c r="L674">
        <f t="shared" si="138"/>
        <v>6.5596894333714824E-3</v>
      </c>
      <c r="M674" t="str">
        <f t="shared" si="132"/>
        <v>2012-09</v>
      </c>
      <c r="O674">
        <v>7257.8861800000004</v>
      </c>
      <c r="P674">
        <f t="shared" si="139"/>
        <v>-4.0930623556857254E-3</v>
      </c>
      <c r="Q674" t="str">
        <f t="shared" si="133"/>
        <v>2012-09</v>
      </c>
      <c r="S674">
        <v>7882.8</v>
      </c>
      <c r="T674">
        <f t="shared" si="140"/>
        <v>2.6421437046219285E-3</v>
      </c>
      <c r="U674" t="str">
        <f t="shared" si="134"/>
        <v>2012-09</v>
      </c>
      <c r="W674">
        <v>16110.27</v>
      </c>
      <c r="X674">
        <f t="shared" si="141"/>
        <v>2.0693362778893325E-2</v>
      </c>
      <c r="Y674">
        <f t="shared" si="142"/>
        <v>2.090895495148392E-2</v>
      </c>
      <c r="Z674" t="str">
        <f t="shared" si="135"/>
        <v>2012-09</v>
      </c>
    </row>
    <row r="675" spans="1:26" x14ac:dyDescent="0.35">
      <c r="A675" s="1">
        <v>41162</v>
      </c>
      <c r="C675">
        <v>2528.5300000000002</v>
      </c>
      <c r="D675">
        <f t="shared" si="136"/>
        <v>-3.9746417624825729E-3</v>
      </c>
      <c r="E675" t="str">
        <f t="shared" si="130"/>
        <v>2012-09</v>
      </c>
      <c r="G675">
        <v>3506.05</v>
      </c>
      <c r="H675">
        <f t="shared" si="137"/>
        <v>-3.7010191567383856E-3</v>
      </c>
      <c r="I675" t="str">
        <f t="shared" si="131"/>
        <v>2012-09</v>
      </c>
      <c r="K675">
        <v>7213.7</v>
      </c>
      <c r="L675">
        <f t="shared" si="138"/>
        <v>-1.1089394391813738E-4</v>
      </c>
      <c r="M675" t="str">
        <f t="shared" si="132"/>
        <v>2012-09</v>
      </c>
      <c r="O675">
        <v>7254.7559700000002</v>
      </c>
      <c r="P675">
        <f t="shared" si="139"/>
        <v>-4.3137700443343651E-4</v>
      </c>
      <c r="Q675" t="str">
        <f t="shared" si="133"/>
        <v>2012-09</v>
      </c>
      <c r="S675">
        <v>7857.7</v>
      </c>
      <c r="T675">
        <f t="shared" si="140"/>
        <v>-3.1892279501546509E-3</v>
      </c>
      <c r="U675" t="str">
        <f t="shared" si="134"/>
        <v>2012-09</v>
      </c>
      <c r="W675">
        <v>16092.06</v>
      </c>
      <c r="X675">
        <f t="shared" si="141"/>
        <v>-1.13097418360961E-3</v>
      </c>
      <c r="Y675">
        <f t="shared" si="142"/>
        <v>-1.1303348733448257E-3</v>
      </c>
      <c r="Z675" t="str">
        <f t="shared" si="135"/>
        <v>2012-09</v>
      </c>
    </row>
    <row r="676" spans="1:26" x14ac:dyDescent="0.35">
      <c r="A676" s="1">
        <v>41163</v>
      </c>
      <c r="C676">
        <v>2557.65</v>
      </c>
      <c r="D676">
        <f t="shared" si="136"/>
        <v>1.1450761940676233E-2</v>
      </c>
      <c r="E676" t="str">
        <f t="shared" si="130"/>
        <v>2012-09</v>
      </c>
      <c r="G676">
        <v>3537.3</v>
      </c>
      <c r="H676">
        <f t="shared" si="137"/>
        <v>8.8736766048480662E-3</v>
      </c>
      <c r="I676" t="str">
        <f t="shared" si="131"/>
        <v>2012-09</v>
      </c>
      <c r="K676">
        <v>7310.11</v>
      </c>
      <c r="L676">
        <f t="shared" si="138"/>
        <v>1.3276325716830578E-2</v>
      </c>
      <c r="M676" t="str">
        <f t="shared" si="132"/>
        <v>2012-09</v>
      </c>
      <c r="O676">
        <v>7236.2973899999997</v>
      </c>
      <c r="P676">
        <f t="shared" si="139"/>
        <v>-2.5475842955974314E-3</v>
      </c>
      <c r="Q676" t="str">
        <f t="shared" si="133"/>
        <v>2012-09</v>
      </c>
      <c r="S676">
        <v>7930.4</v>
      </c>
      <c r="T676">
        <f t="shared" si="140"/>
        <v>9.2095329824147462E-3</v>
      </c>
      <c r="U676" t="str">
        <f t="shared" si="134"/>
        <v>2012-09</v>
      </c>
      <c r="W676">
        <v>16226.66</v>
      </c>
      <c r="X676">
        <f t="shared" si="141"/>
        <v>8.3295859634225627E-3</v>
      </c>
      <c r="Y676">
        <f t="shared" si="142"/>
        <v>8.3643734860546354E-3</v>
      </c>
      <c r="Z676" t="str">
        <f t="shared" si="135"/>
        <v>2012-09</v>
      </c>
    </row>
    <row r="677" spans="1:26" x14ac:dyDescent="0.35">
      <c r="A677" s="1">
        <v>41164</v>
      </c>
      <c r="C677">
        <v>2564.8000000000002</v>
      </c>
      <c r="D677">
        <f t="shared" si="136"/>
        <v>2.7916347230182571E-3</v>
      </c>
      <c r="E677" t="str">
        <f t="shared" si="130"/>
        <v>2012-09</v>
      </c>
      <c r="G677">
        <v>3543.79</v>
      </c>
      <c r="H677">
        <f t="shared" si="137"/>
        <v>1.8330516395758613E-3</v>
      </c>
      <c r="I677" t="str">
        <f t="shared" si="131"/>
        <v>2012-09</v>
      </c>
      <c r="K677">
        <v>7343.53</v>
      </c>
      <c r="L677">
        <f t="shared" si="138"/>
        <v>4.5613319208048465E-3</v>
      </c>
      <c r="M677" t="str">
        <f t="shared" si="132"/>
        <v>2012-09</v>
      </c>
      <c r="O677">
        <v>7226.2540799999997</v>
      </c>
      <c r="P677">
        <f t="shared" si="139"/>
        <v>-1.3888713392328799E-3</v>
      </c>
      <c r="Q677" t="str">
        <f t="shared" si="133"/>
        <v>2012-09</v>
      </c>
      <c r="S677">
        <v>7992.1</v>
      </c>
      <c r="T677">
        <f t="shared" si="140"/>
        <v>7.7500780439334659E-3</v>
      </c>
      <c r="U677" t="str">
        <f t="shared" si="134"/>
        <v>2012-09</v>
      </c>
      <c r="W677">
        <v>16419.79</v>
      </c>
      <c r="X677">
        <f t="shared" si="141"/>
        <v>1.183174605634551E-2</v>
      </c>
      <c r="Y677">
        <f t="shared" si="142"/>
        <v>1.1902018036983644E-2</v>
      </c>
      <c r="Z677" t="str">
        <f t="shared" si="135"/>
        <v>2012-09</v>
      </c>
    </row>
    <row r="678" spans="1:26" x14ac:dyDescent="0.35">
      <c r="A678" s="1">
        <v>41165</v>
      </c>
      <c r="C678">
        <v>2543.2199999999998</v>
      </c>
      <c r="D678">
        <f t="shared" si="136"/>
        <v>-8.4495081814074773E-3</v>
      </c>
      <c r="E678" t="str">
        <f t="shared" si="130"/>
        <v>2012-09</v>
      </c>
      <c r="G678">
        <v>3502.09</v>
      </c>
      <c r="H678">
        <f t="shared" si="137"/>
        <v>-1.1836842774516673E-2</v>
      </c>
      <c r="I678" t="str">
        <f t="shared" si="131"/>
        <v>2012-09</v>
      </c>
      <c r="K678">
        <v>7310.32</v>
      </c>
      <c r="L678">
        <f t="shared" si="138"/>
        <v>-4.5326049955345454E-3</v>
      </c>
      <c r="M678" t="str">
        <f t="shared" si="132"/>
        <v>2012-09</v>
      </c>
      <c r="O678">
        <v>7265.4315800000004</v>
      </c>
      <c r="P678">
        <f t="shared" si="139"/>
        <v>5.4069066034322707E-3</v>
      </c>
      <c r="Q678" t="str">
        <f t="shared" si="133"/>
        <v>2012-09</v>
      </c>
      <c r="S678">
        <v>7935.9</v>
      </c>
      <c r="T678">
        <f t="shared" si="140"/>
        <v>-7.0567846837549398E-3</v>
      </c>
      <c r="U678" t="str">
        <f t="shared" si="134"/>
        <v>2012-09</v>
      </c>
      <c r="W678">
        <v>16244.28</v>
      </c>
      <c r="X678">
        <f t="shared" si="141"/>
        <v>-1.0746467851929804E-2</v>
      </c>
      <c r="Y678">
        <f t="shared" si="142"/>
        <v>-1.0688930857215605E-2</v>
      </c>
      <c r="Z678" t="str">
        <f t="shared" si="135"/>
        <v>2012-09</v>
      </c>
    </row>
    <row r="679" spans="1:26" x14ac:dyDescent="0.35">
      <c r="A679" s="1">
        <v>41166</v>
      </c>
      <c r="C679">
        <v>2594.56</v>
      </c>
      <c r="D679">
        <f t="shared" si="136"/>
        <v>1.9985950709644856E-2</v>
      </c>
      <c r="E679" t="str">
        <f t="shared" si="130"/>
        <v>2012-09</v>
      </c>
      <c r="G679">
        <v>3581.58</v>
      </c>
      <c r="H679">
        <f t="shared" si="137"/>
        <v>2.2444110698874881E-2</v>
      </c>
      <c r="I679" t="str">
        <f t="shared" si="131"/>
        <v>2012-09</v>
      </c>
      <c r="K679">
        <v>7412.13</v>
      </c>
      <c r="L679">
        <f t="shared" si="138"/>
        <v>1.3830798941690616E-2</v>
      </c>
      <c r="M679" t="str">
        <f t="shared" si="132"/>
        <v>2012-09</v>
      </c>
      <c r="O679">
        <v>7321.7385899999999</v>
      </c>
      <c r="P679">
        <f t="shared" si="139"/>
        <v>7.7201114407013105E-3</v>
      </c>
      <c r="Q679" t="str">
        <f t="shared" si="133"/>
        <v>2012-09</v>
      </c>
      <c r="S679">
        <v>8154.5</v>
      </c>
      <c r="T679">
        <f t="shared" si="140"/>
        <v>2.7173153018106144E-2</v>
      </c>
      <c r="U679" t="str">
        <f t="shared" si="134"/>
        <v>2012-09</v>
      </c>
      <c r="W679">
        <v>16624.45</v>
      </c>
      <c r="X679">
        <f t="shared" si="141"/>
        <v>2.313365647870155E-2</v>
      </c>
      <c r="Y679">
        <f t="shared" si="142"/>
        <v>2.3403314889918179E-2</v>
      </c>
      <c r="Z679" t="str">
        <f t="shared" si="135"/>
        <v>2012-09</v>
      </c>
    </row>
    <row r="680" spans="1:26" x14ac:dyDescent="0.35">
      <c r="A680" s="1">
        <v>41169</v>
      </c>
      <c r="C680">
        <v>2583.5700000000002</v>
      </c>
      <c r="D680">
        <f t="shared" si="136"/>
        <v>-4.2447819972227458E-3</v>
      </c>
      <c r="E680" t="str">
        <f t="shared" si="130"/>
        <v>2012-09</v>
      </c>
      <c r="G680">
        <v>3553.69</v>
      </c>
      <c r="H680">
        <f t="shared" si="137"/>
        <v>-7.8175435656808144E-3</v>
      </c>
      <c r="I680" t="str">
        <f t="shared" si="131"/>
        <v>2012-09</v>
      </c>
      <c r="K680">
        <v>7403.69</v>
      </c>
      <c r="L680">
        <f t="shared" si="138"/>
        <v>-1.1393228201971427E-3</v>
      </c>
      <c r="M680" t="str">
        <f t="shared" si="132"/>
        <v>2012-09</v>
      </c>
      <c r="O680">
        <v>7304.2268800000002</v>
      </c>
      <c r="P680">
        <f t="shared" si="139"/>
        <v>-2.3946068249379613E-3</v>
      </c>
      <c r="Q680" t="str">
        <f t="shared" si="133"/>
        <v>2012-09</v>
      </c>
      <c r="S680">
        <v>8148</v>
      </c>
      <c r="T680">
        <f t="shared" si="140"/>
        <v>-7.9742375027597775E-4</v>
      </c>
      <c r="U680" t="str">
        <f t="shared" si="134"/>
        <v>2012-09</v>
      </c>
      <c r="W680">
        <v>16470.09</v>
      </c>
      <c r="X680">
        <f t="shared" si="141"/>
        <v>-9.3284946324130348E-3</v>
      </c>
      <c r="Y680">
        <f t="shared" si="142"/>
        <v>-9.2851192069512423E-3</v>
      </c>
      <c r="Z680" t="str">
        <f t="shared" si="135"/>
        <v>2012-09</v>
      </c>
    </row>
    <row r="681" spans="1:26" x14ac:dyDescent="0.35">
      <c r="A681" s="1">
        <v>41170</v>
      </c>
      <c r="C681">
        <v>2553.4</v>
      </c>
      <c r="D681">
        <f t="shared" si="136"/>
        <v>-1.174635900005261E-2</v>
      </c>
      <c r="E681" t="str">
        <f t="shared" si="130"/>
        <v>2012-09</v>
      </c>
      <c r="G681">
        <v>3512.69</v>
      </c>
      <c r="H681">
        <f t="shared" si="137"/>
        <v>-1.160437454324704E-2</v>
      </c>
      <c r="I681" t="str">
        <f t="shared" si="131"/>
        <v>2012-09</v>
      </c>
      <c r="K681">
        <v>7347.69</v>
      </c>
      <c r="L681">
        <f t="shared" si="138"/>
        <v>-7.5925464624954806E-3</v>
      </c>
      <c r="M681" t="str">
        <f t="shared" si="132"/>
        <v>2012-09</v>
      </c>
      <c r="O681">
        <v>7307.7492499999998</v>
      </c>
      <c r="P681">
        <f t="shared" si="139"/>
        <v>4.8212097212462353E-4</v>
      </c>
      <c r="Q681" t="str">
        <f t="shared" si="133"/>
        <v>2012-09</v>
      </c>
      <c r="S681">
        <v>8058.3</v>
      </c>
      <c r="T681">
        <f t="shared" si="140"/>
        <v>-1.1069882206519941E-2</v>
      </c>
      <c r="U681" t="str">
        <f t="shared" si="134"/>
        <v>2012-09</v>
      </c>
      <c r="W681">
        <v>16076.03</v>
      </c>
      <c r="X681">
        <f t="shared" si="141"/>
        <v>-2.4216665934424893E-2</v>
      </c>
      <c r="Y681">
        <f t="shared" si="142"/>
        <v>-2.3925795183875709E-2</v>
      </c>
      <c r="Z681" t="str">
        <f t="shared" si="135"/>
        <v>2012-09</v>
      </c>
    </row>
    <row r="682" spans="1:26" x14ac:dyDescent="0.35">
      <c r="A682" s="1">
        <v>41171</v>
      </c>
      <c r="C682">
        <v>2567.67</v>
      </c>
      <c r="D682">
        <f t="shared" si="136"/>
        <v>5.5730684932712334E-3</v>
      </c>
      <c r="E682" t="str">
        <f t="shared" si="130"/>
        <v>2012-09</v>
      </c>
      <c r="G682">
        <v>3531.82</v>
      </c>
      <c r="H682">
        <f t="shared" si="137"/>
        <v>5.4311930920617341E-3</v>
      </c>
      <c r="I682" t="str">
        <f t="shared" si="131"/>
        <v>2012-09</v>
      </c>
      <c r="K682">
        <v>7390.76</v>
      </c>
      <c r="L682">
        <f t="shared" si="138"/>
        <v>5.8445932378566523E-3</v>
      </c>
      <c r="M682" t="str">
        <f t="shared" si="132"/>
        <v>2012-09</v>
      </c>
      <c r="O682">
        <v>7309.12255</v>
      </c>
      <c r="P682">
        <f t="shared" si="139"/>
        <v>1.8790614337061188E-4</v>
      </c>
      <c r="Q682" t="str">
        <f t="shared" si="133"/>
        <v>2012-09</v>
      </c>
      <c r="S682">
        <v>8098.8</v>
      </c>
      <c r="T682">
        <f t="shared" si="140"/>
        <v>5.0132863971846476E-3</v>
      </c>
      <c r="U682" t="str">
        <f t="shared" si="134"/>
        <v>2012-09</v>
      </c>
      <c r="W682">
        <v>16100.23</v>
      </c>
      <c r="X682">
        <f t="shared" si="141"/>
        <v>1.5042148815949019E-3</v>
      </c>
      <c r="Y682">
        <f t="shared" si="142"/>
        <v>1.5053467802684437E-3</v>
      </c>
      <c r="Z682" t="str">
        <f t="shared" si="135"/>
        <v>2012-09</v>
      </c>
    </row>
    <row r="683" spans="1:26" x14ac:dyDescent="0.35">
      <c r="A683" s="1">
        <v>41172</v>
      </c>
      <c r="C683">
        <v>2553.0300000000002</v>
      </c>
      <c r="D683">
        <f t="shared" si="136"/>
        <v>-5.7179838257627701E-3</v>
      </c>
      <c r="E683" t="str">
        <f t="shared" si="130"/>
        <v>2012-09</v>
      </c>
      <c r="G683">
        <v>3509.92</v>
      </c>
      <c r="H683">
        <f t="shared" si="137"/>
        <v>-6.2200736204278545E-3</v>
      </c>
      <c r="I683" t="str">
        <f t="shared" si="131"/>
        <v>2012-09</v>
      </c>
      <c r="K683">
        <v>7389.49</v>
      </c>
      <c r="L683">
        <f t="shared" si="138"/>
        <v>-1.7185095017015128E-4</v>
      </c>
      <c r="M683" t="str">
        <f t="shared" si="132"/>
        <v>2012-09</v>
      </c>
      <c r="O683">
        <v>7323.5023099999999</v>
      </c>
      <c r="P683">
        <f t="shared" si="139"/>
        <v>1.9654388418487785E-3</v>
      </c>
      <c r="Q683" t="str">
        <f t="shared" si="133"/>
        <v>2012-09</v>
      </c>
      <c r="S683">
        <v>8022.1</v>
      </c>
      <c r="T683">
        <f t="shared" si="140"/>
        <v>-9.5156695657874022E-3</v>
      </c>
      <c r="U683" t="str">
        <f t="shared" si="134"/>
        <v>2012-09</v>
      </c>
      <c r="W683">
        <v>15830.28</v>
      </c>
      <c r="X683">
        <f t="shared" si="141"/>
        <v>-1.6908995931869997E-2</v>
      </c>
      <c r="Y683">
        <f t="shared" si="142"/>
        <v>-1.6766841219038417E-2</v>
      </c>
      <c r="Z683" t="str">
        <f t="shared" si="135"/>
        <v>2012-09</v>
      </c>
    </row>
    <row r="684" spans="1:26" x14ac:dyDescent="0.35">
      <c r="A684" s="1">
        <v>41173</v>
      </c>
      <c r="C684">
        <v>2577.08</v>
      </c>
      <c r="D684">
        <f t="shared" si="136"/>
        <v>9.3760859661931178E-3</v>
      </c>
      <c r="E684" t="str">
        <f t="shared" si="130"/>
        <v>2012-09</v>
      </c>
      <c r="G684">
        <v>3530.72</v>
      </c>
      <c r="H684">
        <f t="shared" si="137"/>
        <v>5.9085709573930625E-3</v>
      </c>
      <c r="I684" t="str">
        <f t="shared" si="131"/>
        <v>2012-09</v>
      </c>
      <c r="K684">
        <v>7451.62</v>
      </c>
      <c r="L684">
        <f t="shared" si="138"/>
        <v>8.3727380171055871E-3</v>
      </c>
      <c r="M684" t="str">
        <f t="shared" si="132"/>
        <v>2012-09</v>
      </c>
      <c r="O684">
        <v>7315.0998</v>
      </c>
      <c r="P684">
        <f t="shared" si="139"/>
        <v>-1.1479936212021628E-3</v>
      </c>
      <c r="Q684" t="str">
        <f t="shared" si="133"/>
        <v>2012-09</v>
      </c>
      <c r="S684">
        <v>8230.7000000000007</v>
      </c>
      <c r="T684">
        <f t="shared" si="140"/>
        <v>2.5670832760604948E-2</v>
      </c>
      <c r="U684" t="str">
        <f t="shared" si="134"/>
        <v>2012-09</v>
      </c>
      <c r="W684">
        <v>15991.1</v>
      </c>
      <c r="X684">
        <f t="shared" si="141"/>
        <v>1.0107755804562434E-2</v>
      </c>
      <c r="Y684">
        <f t="shared" si="142"/>
        <v>1.0159011716785786E-2</v>
      </c>
      <c r="Z684" t="str">
        <f t="shared" si="135"/>
        <v>2012-09</v>
      </c>
    </row>
    <row r="685" spans="1:26" x14ac:dyDescent="0.35">
      <c r="A685" s="1">
        <v>41176</v>
      </c>
      <c r="C685">
        <v>2557.89</v>
      </c>
      <c r="D685">
        <f t="shared" si="136"/>
        <v>-7.4742751513739575E-3</v>
      </c>
      <c r="E685" t="str">
        <f t="shared" si="130"/>
        <v>2012-09</v>
      </c>
      <c r="G685">
        <v>3497.22</v>
      </c>
      <c r="H685">
        <f t="shared" si="137"/>
        <v>-9.5334489835843077E-3</v>
      </c>
      <c r="I685" t="str">
        <f t="shared" si="131"/>
        <v>2012-09</v>
      </c>
      <c r="K685">
        <v>7413.16</v>
      </c>
      <c r="L685">
        <f t="shared" si="138"/>
        <v>-5.1746592711849676E-3</v>
      </c>
      <c r="M685" t="str">
        <f t="shared" si="132"/>
        <v>2012-09</v>
      </c>
      <c r="O685">
        <v>7327.2604199999996</v>
      </c>
      <c r="P685">
        <f t="shared" si="139"/>
        <v>1.6610194822696367E-3</v>
      </c>
      <c r="Q685" t="str">
        <f t="shared" si="133"/>
        <v>2012-09</v>
      </c>
      <c r="S685">
        <v>8138.4</v>
      </c>
      <c r="T685">
        <f t="shared" si="140"/>
        <v>-1.1277465252640359E-2</v>
      </c>
      <c r="U685" t="str">
        <f t="shared" si="134"/>
        <v>2012-09</v>
      </c>
      <c r="W685">
        <v>15867.07</v>
      </c>
      <c r="X685">
        <f t="shared" si="141"/>
        <v>-7.7864250611106821E-3</v>
      </c>
      <c r="Y685">
        <f t="shared" si="142"/>
        <v>-7.7561893803428563E-3</v>
      </c>
      <c r="Z685" t="str">
        <f t="shared" si="135"/>
        <v>2012-09</v>
      </c>
    </row>
    <row r="686" spans="1:26" x14ac:dyDescent="0.35">
      <c r="A686" s="1">
        <v>41177</v>
      </c>
      <c r="C686">
        <v>2568.48</v>
      </c>
      <c r="D686">
        <f t="shared" si="136"/>
        <v>4.1315843625261374E-3</v>
      </c>
      <c r="E686" t="str">
        <f t="shared" si="130"/>
        <v>2012-09</v>
      </c>
      <c r="G686">
        <v>3513.81</v>
      </c>
      <c r="H686">
        <f t="shared" si="137"/>
        <v>4.7325516975120965E-3</v>
      </c>
      <c r="I686" t="str">
        <f t="shared" si="131"/>
        <v>2012-09</v>
      </c>
      <c r="K686">
        <v>7425.11</v>
      </c>
      <c r="L686">
        <f t="shared" si="138"/>
        <v>1.6107002478786291E-3</v>
      </c>
      <c r="M686" t="str">
        <f t="shared" si="132"/>
        <v>2012-09</v>
      </c>
      <c r="O686">
        <v>7339.1148599999997</v>
      </c>
      <c r="P686">
        <f t="shared" si="139"/>
        <v>1.6165470138611692E-3</v>
      </c>
      <c r="Q686" t="str">
        <f t="shared" si="133"/>
        <v>2012-09</v>
      </c>
      <c r="S686">
        <v>8175</v>
      </c>
      <c r="T686">
        <f t="shared" si="140"/>
        <v>4.4871162859157279E-3</v>
      </c>
      <c r="U686" t="str">
        <f t="shared" si="134"/>
        <v>2012-09</v>
      </c>
      <c r="W686">
        <v>15932.6</v>
      </c>
      <c r="X686">
        <f t="shared" si="141"/>
        <v>4.1214322512657447E-3</v>
      </c>
      <c r="Y686">
        <f t="shared" si="142"/>
        <v>4.1299370331132753E-3</v>
      </c>
      <c r="Z686" t="str">
        <f t="shared" si="135"/>
        <v>2012-09</v>
      </c>
    </row>
    <row r="687" spans="1:26" x14ac:dyDescent="0.35">
      <c r="A687" s="1">
        <v>41178</v>
      </c>
      <c r="C687">
        <v>2498.52</v>
      </c>
      <c r="D687">
        <f t="shared" si="136"/>
        <v>-2.7615727676001015E-2</v>
      </c>
      <c r="E687" t="str">
        <f t="shared" si="130"/>
        <v>2012-09</v>
      </c>
      <c r="G687">
        <v>3414.84</v>
      </c>
      <c r="H687">
        <f t="shared" si="137"/>
        <v>-2.8570279064389557E-2</v>
      </c>
      <c r="I687" t="str">
        <f t="shared" si="131"/>
        <v>2012-09</v>
      </c>
      <c r="K687">
        <v>7276.51</v>
      </c>
      <c r="L687">
        <f t="shared" si="138"/>
        <v>-2.0216147736451643E-2</v>
      </c>
      <c r="M687" t="str">
        <f t="shared" si="132"/>
        <v>2012-09</v>
      </c>
      <c r="O687">
        <v>7246.6619700000001</v>
      </c>
      <c r="P687">
        <f t="shared" si="139"/>
        <v>-1.2677299163388922E-2</v>
      </c>
      <c r="Q687" t="str">
        <f t="shared" si="133"/>
        <v>2012-09</v>
      </c>
      <c r="S687">
        <v>7854.4</v>
      </c>
      <c r="T687">
        <f t="shared" si="140"/>
        <v>-4.0006832461666177E-2</v>
      </c>
      <c r="U687" t="str">
        <f t="shared" si="134"/>
        <v>2012-09</v>
      </c>
      <c r="W687">
        <v>15408.03</v>
      </c>
      <c r="X687">
        <f t="shared" si="141"/>
        <v>-3.3478522571137766E-2</v>
      </c>
      <c r="Y687">
        <f t="shared" si="142"/>
        <v>-3.2924318692492106E-2</v>
      </c>
      <c r="Z687" t="str">
        <f t="shared" si="135"/>
        <v>2012-09</v>
      </c>
    </row>
    <row r="688" spans="1:26" x14ac:dyDescent="0.35">
      <c r="A688" s="1">
        <v>41179</v>
      </c>
      <c r="C688">
        <v>2506.06</v>
      </c>
      <c r="D688">
        <f t="shared" si="136"/>
        <v>3.0132421522014148E-3</v>
      </c>
      <c r="E688" t="str">
        <f t="shared" si="130"/>
        <v>2012-09</v>
      </c>
      <c r="G688">
        <v>3439.32</v>
      </c>
      <c r="H688">
        <f t="shared" si="137"/>
        <v>7.1431376243676938E-3</v>
      </c>
      <c r="I688" t="str">
        <f t="shared" si="131"/>
        <v>2012-09</v>
      </c>
      <c r="K688">
        <v>7290.02</v>
      </c>
      <c r="L688">
        <f t="shared" si="138"/>
        <v>1.8549378436404018E-3</v>
      </c>
      <c r="M688" t="str">
        <f t="shared" si="132"/>
        <v>2012-09</v>
      </c>
      <c r="O688">
        <v>7270.4350700000005</v>
      </c>
      <c r="P688">
        <f t="shared" si="139"/>
        <v>3.2751894108577844E-3</v>
      </c>
      <c r="Q688" t="str">
        <f t="shared" si="133"/>
        <v>2012-09</v>
      </c>
      <c r="S688">
        <v>7842.3</v>
      </c>
      <c r="T688">
        <f t="shared" si="140"/>
        <v>-1.5417256361815162E-3</v>
      </c>
      <c r="U688" t="str">
        <f t="shared" si="134"/>
        <v>2012-09</v>
      </c>
      <c r="W688">
        <v>15450.14</v>
      </c>
      <c r="X688">
        <f t="shared" si="141"/>
        <v>2.729262696999862E-3</v>
      </c>
      <c r="Y688">
        <f t="shared" si="142"/>
        <v>2.7329905250702887E-3</v>
      </c>
      <c r="Z688" t="str">
        <f t="shared" si="135"/>
        <v>2012-09</v>
      </c>
    </row>
    <row r="689" spans="1:26" x14ac:dyDescent="0.35">
      <c r="A689" s="1">
        <v>41180</v>
      </c>
      <c r="C689">
        <v>2454.2600000000002</v>
      </c>
      <c r="D689">
        <f t="shared" si="136"/>
        <v>-2.0886508578443805E-2</v>
      </c>
      <c r="E689" t="str">
        <f t="shared" si="130"/>
        <v>2012-09</v>
      </c>
      <c r="G689">
        <v>3354.82</v>
      </c>
      <c r="H689">
        <f t="shared" si="137"/>
        <v>-2.4875659708940935E-2</v>
      </c>
      <c r="I689" t="str">
        <f t="shared" si="131"/>
        <v>2012-09</v>
      </c>
      <c r="K689">
        <v>7216.15</v>
      </c>
      <c r="L689">
        <f t="shared" si="138"/>
        <v>-1.0184719817066038E-2</v>
      </c>
      <c r="M689" t="str">
        <f t="shared" si="132"/>
        <v>2012-09</v>
      </c>
      <c r="O689">
        <v>7203.4526800000003</v>
      </c>
      <c r="P689">
        <f t="shared" si="139"/>
        <v>-9.2556843526557537E-3</v>
      </c>
      <c r="Q689" t="str">
        <f t="shared" si="133"/>
        <v>2012-09</v>
      </c>
      <c r="S689">
        <v>7708.5</v>
      </c>
      <c r="T689">
        <f t="shared" si="140"/>
        <v>-1.7208542567212586E-2</v>
      </c>
      <c r="U689" t="str">
        <f t="shared" si="134"/>
        <v>2012-09</v>
      </c>
      <c r="W689">
        <v>15095.84</v>
      </c>
      <c r="X689">
        <f t="shared" si="141"/>
        <v>-2.3198855615419733E-2</v>
      </c>
      <c r="Y689">
        <f t="shared" si="142"/>
        <v>-2.2931831038424201E-2</v>
      </c>
      <c r="Z689" t="str">
        <f t="shared" si="135"/>
        <v>2012-09</v>
      </c>
    </row>
    <row r="690" spans="1:26" x14ac:dyDescent="0.35">
      <c r="A690" s="1">
        <v>41183</v>
      </c>
      <c r="C690">
        <v>2498.81</v>
      </c>
      <c r="D690">
        <f t="shared" si="136"/>
        <v>1.7989328403468424E-2</v>
      </c>
      <c r="E690" t="str">
        <f t="shared" si="130"/>
        <v>2012-10</v>
      </c>
      <c r="G690">
        <v>3434.98</v>
      </c>
      <c r="H690">
        <f t="shared" si="137"/>
        <v>2.3612985523461017E-2</v>
      </c>
      <c r="I690" t="str">
        <f t="shared" si="131"/>
        <v>2012-10</v>
      </c>
      <c r="K690">
        <v>7326.73</v>
      </c>
      <c r="L690">
        <f t="shared" si="138"/>
        <v>1.5207734808061969E-2</v>
      </c>
      <c r="M690" t="str">
        <f t="shared" si="132"/>
        <v>2012-10</v>
      </c>
      <c r="O690">
        <v>7283.1218200000003</v>
      </c>
      <c r="P690">
        <f t="shared" si="139"/>
        <v>1.0999141750663494E-2</v>
      </c>
      <c r="Q690" t="str">
        <f t="shared" si="133"/>
        <v>2012-10</v>
      </c>
      <c r="S690">
        <v>7784.1</v>
      </c>
      <c r="T690">
        <f t="shared" si="140"/>
        <v>9.7595755482916963E-3</v>
      </c>
      <c r="U690" t="str">
        <f t="shared" si="134"/>
        <v>2012-10</v>
      </c>
      <c r="W690">
        <v>15523.1</v>
      </c>
      <c r="X690">
        <f t="shared" si="141"/>
        <v>2.7910027901330393E-2</v>
      </c>
      <c r="Y690">
        <f t="shared" si="142"/>
        <v>2.830316166573044E-2</v>
      </c>
      <c r="Z690" t="str">
        <f t="shared" si="135"/>
        <v>2012-10</v>
      </c>
    </row>
    <row r="691" spans="1:26" x14ac:dyDescent="0.35">
      <c r="A691" s="1">
        <v>41184</v>
      </c>
      <c r="C691">
        <v>2493.59</v>
      </c>
      <c r="D691">
        <f t="shared" si="136"/>
        <v>-2.0911793535246573E-3</v>
      </c>
      <c r="E691" t="str">
        <f t="shared" si="130"/>
        <v>2012-10</v>
      </c>
      <c r="G691">
        <v>3414.23</v>
      </c>
      <c r="H691">
        <f t="shared" si="137"/>
        <v>-6.0591114836796118E-3</v>
      </c>
      <c r="I691" t="str">
        <f t="shared" si="131"/>
        <v>2012-10</v>
      </c>
      <c r="K691">
        <v>7305.86</v>
      </c>
      <c r="L691">
        <f t="shared" si="138"/>
        <v>-2.8525386348632244E-3</v>
      </c>
      <c r="M691" t="str">
        <f t="shared" si="132"/>
        <v>2012-10</v>
      </c>
      <c r="O691">
        <v>7255.7525699999997</v>
      </c>
      <c r="P691">
        <f t="shared" si="139"/>
        <v>-3.7649795432452993E-3</v>
      </c>
      <c r="Q691" t="str">
        <f t="shared" si="133"/>
        <v>2012-10</v>
      </c>
      <c r="S691">
        <v>7867.1</v>
      </c>
      <c r="T691">
        <f t="shared" si="140"/>
        <v>1.0606314925559969E-2</v>
      </c>
      <c r="U691" t="str">
        <f t="shared" si="134"/>
        <v>2012-10</v>
      </c>
      <c r="W691">
        <v>15495.79</v>
      </c>
      <c r="X691">
        <f t="shared" si="141"/>
        <v>-1.7608629487731186E-3</v>
      </c>
      <c r="Y691">
        <f t="shared" si="142"/>
        <v>-1.7593135391770645E-3</v>
      </c>
      <c r="Z691" t="str">
        <f t="shared" si="135"/>
        <v>2012-10</v>
      </c>
    </row>
    <row r="692" spans="1:26" x14ac:dyDescent="0.35">
      <c r="A692" s="1">
        <v>41185</v>
      </c>
      <c r="C692">
        <v>2492.48</v>
      </c>
      <c r="D692">
        <f t="shared" si="136"/>
        <v>-4.4524044722080608E-4</v>
      </c>
      <c r="E692" t="str">
        <f t="shared" si="130"/>
        <v>2012-10</v>
      </c>
      <c r="G692">
        <v>3406.02</v>
      </c>
      <c r="H692">
        <f t="shared" si="137"/>
        <v>-2.4075375435186775E-3</v>
      </c>
      <c r="I692" t="str">
        <f t="shared" si="131"/>
        <v>2012-10</v>
      </c>
      <c r="K692">
        <v>7322.08</v>
      </c>
      <c r="L692">
        <f t="shared" si="138"/>
        <v>2.2176747577041787E-3</v>
      </c>
      <c r="M692" t="str">
        <f t="shared" si="132"/>
        <v>2012-10</v>
      </c>
      <c r="O692">
        <v>7259.6958400000003</v>
      </c>
      <c r="P692">
        <f t="shared" si="139"/>
        <v>5.4332046597858517E-4</v>
      </c>
      <c r="Q692" t="str">
        <f t="shared" si="133"/>
        <v>2012-10</v>
      </c>
      <c r="S692">
        <v>7826.7</v>
      </c>
      <c r="T692">
        <f t="shared" si="140"/>
        <v>-5.1485413656098648E-3</v>
      </c>
      <c r="U692" t="str">
        <f t="shared" si="134"/>
        <v>2012-10</v>
      </c>
      <c r="W692">
        <v>15535.09</v>
      </c>
      <c r="X692">
        <f t="shared" si="141"/>
        <v>2.5329620695293009E-3</v>
      </c>
      <c r="Y692">
        <f t="shared" si="142"/>
        <v>2.5361727282054848E-3</v>
      </c>
      <c r="Z692" t="str">
        <f t="shared" si="135"/>
        <v>2012-10</v>
      </c>
    </row>
    <row r="693" spans="1:26" x14ac:dyDescent="0.35">
      <c r="A693" s="1">
        <v>41186</v>
      </c>
      <c r="C693">
        <v>2485.75</v>
      </c>
      <c r="D693">
        <f t="shared" si="136"/>
        <v>-2.7037738714007897E-3</v>
      </c>
      <c r="E693" t="str">
        <f t="shared" si="130"/>
        <v>2012-10</v>
      </c>
      <c r="G693">
        <v>3401.2</v>
      </c>
      <c r="H693">
        <f t="shared" si="137"/>
        <v>-1.4161436843609903E-3</v>
      </c>
      <c r="I693" t="str">
        <f t="shared" si="131"/>
        <v>2012-10</v>
      </c>
      <c r="K693">
        <v>7305.21</v>
      </c>
      <c r="L693">
        <f t="shared" si="138"/>
        <v>-2.3066483921374442E-3</v>
      </c>
      <c r="M693" t="str">
        <f t="shared" si="132"/>
        <v>2012-10</v>
      </c>
      <c r="O693">
        <v>7244.6584499999999</v>
      </c>
      <c r="P693">
        <f t="shared" si="139"/>
        <v>-2.0735008380236087E-3</v>
      </c>
      <c r="Q693" t="str">
        <f t="shared" si="133"/>
        <v>2012-10</v>
      </c>
      <c r="S693">
        <v>7812.8</v>
      </c>
      <c r="T693">
        <f t="shared" si="140"/>
        <v>-1.7775509012398711E-3</v>
      </c>
      <c r="U693" t="str">
        <f t="shared" si="134"/>
        <v>2012-10</v>
      </c>
      <c r="W693">
        <v>15511.25</v>
      </c>
      <c r="X693">
        <f t="shared" si="141"/>
        <v>-1.5357690913470072E-3</v>
      </c>
      <c r="Y693">
        <f t="shared" si="142"/>
        <v>-1.5345904014717742E-3</v>
      </c>
      <c r="Z693" t="str">
        <f t="shared" si="135"/>
        <v>2012-10</v>
      </c>
    </row>
    <row r="694" spans="1:26" x14ac:dyDescent="0.35">
      <c r="A694" s="1">
        <v>41187</v>
      </c>
      <c r="C694">
        <v>2531.21</v>
      </c>
      <c r="D694">
        <f t="shared" si="136"/>
        <v>1.8123024400670224E-2</v>
      </c>
      <c r="E694" t="str">
        <f t="shared" si="130"/>
        <v>2012-10</v>
      </c>
      <c r="G694">
        <v>3457.04</v>
      </c>
      <c r="H694">
        <f t="shared" si="137"/>
        <v>1.628442106910993E-2</v>
      </c>
      <c r="I694" t="str">
        <f t="shared" si="131"/>
        <v>2012-10</v>
      </c>
      <c r="K694">
        <v>7397.87</v>
      </c>
      <c r="L694">
        <f t="shared" si="138"/>
        <v>1.260432871629664E-2</v>
      </c>
      <c r="M694" t="str">
        <f t="shared" si="132"/>
        <v>2012-10</v>
      </c>
      <c r="O694">
        <v>7276.2503500000003</v>
      </c>
      <c r="P694">
        <f t="shared" si="139"/>
        <v>4.3512359012643533E-3</v>
      </c>
      <c r="Q694" t="str">
        <f t="shared" si="133"/>
        <v>2012-10</v>
      </c>
      <c r="S694">
        <v>7954.4</v>
      </c>
      <c r="T694">
        <f t="shared" si="140"/>
        <v>1.7961820358467839E-2</v>
      </c>
      <c r="U694" t="str">
        <f t="shared" si="134"/>
        <v>2012-10</v>
      </c>
      <c r="W694">
        <v>15876.25</v>
      </c>
      <c r="X694">
        <f t="shared" si="141"/>
        <v>2.3258714729699807E-2</v>
      </c>
      <c r="Y694">
        <f t="shared" si="142"/>
        <v>2.3531307921669756E-2</v>
      </c>
      <c r="Z694" t="str">
        <f t="shared" si="135"/>
        <v>2012-10</v>
      </c>
    </row>
    <row r="695" spans="1:26" x14ac:dyDescent="0.35">
      <c r="A695" s="1">
        <v>41190</v>
      </c>
      <c r="C695">
        <v>2496.09</v>
      </c>
      <c r="D695">
        <f t="shared" si="136"/>
        <v>-1.3971941729290045E-2</v>
      </c>
      <c r="E695" t="str">
        <f t="shared" si="130"/>
        <v>2012-10</v>
      </c>
      <c r="G695">
        <v>3406.53</v>
      </c>
      <c r="H695">
        <f t="shared" si="137"/>
        <v>-1.4718553712716255E-2</v>
      </c>
      <c r="I695" t="str">
        <f t="shared" si="131"/>
        <v>2012-10</v>
      </c>
      <c r="K695">
        <v>7291.21</v>
      </c>
      <c r="L695">
        <f t="shared" si="138"/>
        <v>-1.4522607896135844E-2</v>
      </c>
      <c r="M695" t="str">
        <f t="shared" si="132"/>
        <v>2012-10</v>
      </c>
      <c r="O695">
        <v>7218.6508199999998</v>
      </c>
      <c r="P695">
        <f t="shared" si="139"/>
        <v>-7.9475992986040231E-3</v>
      </c>
      <c r="Q695" t="str">
        <f t="shared" si="133"/>
        <v>2012-10</v>
      </c>
      <c r="S695">
        <v>7891</v>
      </c>
      <c r="T695">
        <f t="shared" si="140"/>
        <v>-8.0023651448287991E-3</v>
      </c>
      <c r="U695" t="str">
        <f t="shared" si="134"/>
        <v>2012-10</v>
      </c>
      <c r="W695">
        <v>15562</v>
      </c>
      <c r="X695">
        <f t="shared" si="141"/>
        <v>-1.9992236641653772E-2</v>
      </c>
      <c r="Y695">
        <f t="shared" si="142"/>
        <v>-1.9793717030155106E-2</v>
      </c>
      <c r="Z695" t="str">
        <f t="shared" si="135"/>
        <v>2012-10</v>
      </c>
    </row>
    <row r="696" spans="1:26" x14ac:dyDescent="0.35">
      <c r="A696" s="1">
        <v>41191</v>
      </c>
      <c r="C696">
        <v>2472.23</v>
      </c>
      <c r="D696">
        <f t="shared" si="136"/>
        <v>-9.6049302109293411E-3</v>
      </c>
      <c r="E696" t="str">
        <f t="shared" si="130"/>
        <v>2012-10</v>
      </c>
      <c r="G696">
        <v>3382.78</v>
      </c>
      <c r="H696">
        <f t="shared" si="137"/>
        <v>-6.9963212394726238E-3</v>
      </c>
      <c r="I696" t="str">
        <f t="shared" si="131"/>
        <v>2012-10</v>
      </c>
      <c r="K696">
        <v>7234.53</v>
      </c>
      <c r="L696">
        <f t="shared" si="138"/>
        <v>-7.8041170598881823E-3</v>
      </c>
      <c r="M696" t="str">
        <f t="shared" si="132"/>
        <v>2012-10</v>
      </c>
      <c r="O696">
        <v>7219.6022899999998</v>
      </c>
      <c r="P696">
        <f t="shared" si="139"/>
        <v>1.3179849309040572E-4</v>
      </c>
      <c r="Q696" t="str">
        <f t="shared" si="133"/>
        <v>2012-10</v>
      </c>
      <c r="S696">
        <v>7745.4</v>
      </c>
      <c r="T696">
        <f t="shared" si="140"/>
        <v>-1.8623750780316393E-2</v>
      </c>
      <c r="U696" t="str">
        <f t="shared" si="134"/>
        <v>2012-10</v>
      </c>
      <c r="W696">
        <v>15504.65</v>
      </c>
      <c r="X696">
        <f t="shared" si="141"/>
        <v>-3.6920662605394519E-3</v>
      </c>
      <c r="Y696">
        <f t="shared" si="142"/>
        <v>-3.6852589641434498E-3</v>
      </c>
      <c r="Z696" t="str">
        <f t="shared" si="135"/>
        <v>2012-10</v>
      </c>
    </row>
    <row r="697" spans="1:26" x14ac:dyDescent="0.35">
      <c r="A697" s="1">
        <v>41192</v>
      </c>
      <c r="C697">
        <v>2456.54</v>
      </c>
      <c r="D697">
        <f t="shared" si="136"/>
        <v>-6.3667215145618112E-3</v>
      </c>
      <c r="E697" t="str">
        <f t="shared" si="130"/>
        <v>2012-10</v>
      </c>
      <c r="G697">
        <v>3365.87</v>
      </c>
      <c r="H697">
        <f t="shared" si="137"/>
        <v>-5.0113831328464746E-3</v>
      </c>
      <c r="I697" t="str">
        <f t="shared" si="131"/>
        <v>2012-10</v>
      </c>
      <c r="K697">
        <v>7205.23</v>
      </c>
      <c r="L697">
        <f t="shared" si="138"/>
        <v>-4.0582447648234033E-3</v>
      </c>
      <c r="M697" t="str">
        <f t="shared" si="132"/>
        <v>2012-10</v>
      </c>
      <c r="O697">
        <v>7172.3710199999996</v>
      </c>
      <c r="P697">
        <f t="shared" si="139"/>
        <v>-6.5635807606246287E-3</v>
      </c>
      <c r="Q697" t="str">
        <f t="shared" si="133"/>
        <v>2012-10</v>
      </c>
      <c r="S697">
        <v>7668</v>
      </c>
      <c r="T697">
        <f t="shared" si="140"/>
        <v>-1.0043293575183507E-2</v>
      </c>
      <c r="U697" t="str">
        <f t="shared" si="134"/>
        <v>2012-10</v>
      </c>
      <c r="W697">
        <v>15440.63</v>
      </c>
      <c r="X697">
        <f t="shared" si="141"/>
        <v>-4.1376320611846871E-3</v>
      </c>
      <c r="Y697">
        <f t="shared" si="142"/>
        <v>-4.1290838554885433E-3</v>
      </c>
      <c r="Z697" t="str">
        <f t="shared" si="135"/>
        <v>2012-10</v>
      </c>
    </row>
    <row r="698" spans="1:26" x14ac:dyDescent="0.35">
      <c r="A698" s="1">
        <v>41193</v>
      </c>
      <c r="C698">
        <v>2487.08</v>
      </c>
      <c r="D698">
        <f t="shared" si="136"/>
        <v>1.235547574978023E-2</v>
      </c>
      <c r="E698" t="str">
        <f t="shared" si="130"/>
        <v>2012-10</v>
      </c>
      <c r="G698">
        <v>3413.72</v>
      </c>
      <c r="H698">
        <f t="shared" si="137"/>
        <v>1.4116132263840986E-2</v>
      </c>
      <c r="I698" t="str">
        <f t="shared" si="131"/>
        <v>2012-10</v>
      </c>
      <c r="K698">
        <v>7281.7</v>
      </c>
      <c r="L698">
        <f t="shared" si="138"/>
        <v>1.0557200213203447E-2</v>
      </c>
      <c r="M698" t="str">
        <f t="shared" si="132"/>
        <v>2012-10</v>
      </c>
      <c r="O698">
        <v>7227.6106200000004</v>
      </c>
      <c r="P698">
        <f t="shared" si="139"/>
        <v>7.6722140825146098E-3</v>
      </c>
      <c r="Q698" t="str">
        <f t="shared" si="133"/>
        <v>2012-10</v>
      </c>
      <c r="S698">
        <v>7734.7</v>
      </c>
      <c r="T698">
        <f t="shared" si="140"/>
        <v>8.6608733448165064E-3</v>
      </c>
      <c r="U698" t="str">
        <f t="shared" si="134"/>
        <v>2012-10</v>
      </c>
      <c r="W698">
        <v>15634.45</v>
      </c>
      <c r="X698">
        <f t="shared" si="141"/>
        <v>1.2474465931639532E-2</v>
      </c>
      <c r="Y698">
        <f t="shared" si="142"/>
        <v>1.2552596623324407E-2</v>
      </c>
      <c r="Z698" t="str">
        <f t="shared" si="135"/>
        <v>2012-10</v>
      </c>
    </row>
    <row r="699" spans="1:26" x14ac:dyDescent="0.35">
      <c r="A699" s="1">
        <v>41194</v>
      </c>
      <c r="C699">
        <v>2469.09</v>
      </c>
      <c r="D699">
        <f t="shared" si="136"/>
        <v>-7.2596698701703852E-3</v>
      </c>
      <c r="E699" t="str">
        <f t="shared" si="130"/>
        <v>2012-10</v>
      </c>
      <c r="G699">
        <v>3389.08</v>
      </c>
      <c r="H699">
        <f t="shared" si="137"/>
        <v>-7.2441076476966416E-3</v>
      </c>
      <c r="I699" t="str">
        <f t="shared" si="131"/>
        <v>2012-10</v>
      </c>
      <c r="K699">
        <v>7232.49</v>
      </c>
      <c r="L699">
        <f t="shared" si="138"/>
        <v>-6.7809762119540639E-3</v>
      </c>
      <c r="M699" t="str">
        <f t="shared" si="132"/>
        <v>2012-10</v>
      </c>
      <c r="O699">
        <v>7190.8745699999999</v>
      </c>
      <c r="P699">
        <f t="shared" si="139"/>
        <v>-5.0956988902807641E-3</v>
      </c>
      <c r="Q699" t="str">
        <f t="shared" si="133"/>
        <v>2012-10</v>
      </c>
      <c r="S699">
        <v>7652.4</v>
      </c>
      <c r="T699">
        <f t="shared" si="140"/>
        <v>-1.0697374401125507E-2</v>
      </c>
      <c r="U699" t="str">
        <f t="shared" si="134"/>
        <v>2012-10</v>
      </c>
      <c r="W699">
        <v>15511.94</v>
      </c>
      <c r="X699">
        <f t="shared" si="141"/>
        <v>-7.8667628449656662E-3</v>
      </c>
      <c r="Y699">
        <f t="shared" si="142"/>
        <v>-7.8359008471676466E-3</v>
      </c>
      <c r="Z699" t="str">
        <f t="shared" si="135"/>
        <v>2012-10</v>
      </c>
    </row>
    <row r="700" spans="1:26" x14ac:dyDescent="0.35">
      <c r="A700" s="1">
        <v>41197</v>
      </c>
      <c r="C700">
        <v>2485.12</v>
      </c>
      <c r="D700">
        <f t="shared" si="136"/>
        <v>6.4712864175660838E-3</v>
      </c>
      <c r="E700" t="str">
        <f t="shared" si="130"/>
        <v>2012-10</v>
      </c>
      <c r="G700">
        <v>3420.28</v>
      </c>
      <c r="H700">
        <f t="shared" si="137"/>
        <v>9.1639209385483335E-3</v>
      </c>
      <c r="I700" t="str">
        <f t="shared" si="131"/>
        <v>2012-10</v>
      </c>
      <c r="K700">
        <v>7261.25</v>
      </c>
      <c r="L700">
        <f t="shared" si="138"/>
        <v>3.9686151051783617E-3</v>
      </c>
      <c r="M700" t="str">
        <f t="shared" si="132"/>
        <v>2012-10</v>
      </c>
      <c r="O700">
        <v>7211.2354299999997</v>
      </c>
      <c r="P700">
        <f t="shared" si="139"/>
        <v>2.827484801166165E-3</v>
      </c>
      <c r="Q700" t="str">
        <f t="shared" si="133"/>
        <v>2012-10</v>
      </c>
      <c r="S700">
        <v>7678.5</v>
      </c>
      <c r="T700">
        <f t="shared" si="140"/>
        <v>3.4048914565213456E-3</v>
      </c>
      <c r="U700" t="str">
        <f t="shared" si="134"/>
        <v>2012-10</v>
      </c>
      <c r="W700">
        <v>15590.72</v>
      </c>
      <c r="X700">
        <f t="shared" si="141"/>
        <v>5.0658154945043155E-3</v>
      </c>
      <c r="Y700">
        <f t="shared" si="142"/>
        <v>5.078668432188291E-3</v>
      </c>
      <c r="Z700" t="str">
        <f t="shared" si="135"/>
        <v>2012-10</v>
      </c>
    </row>
    <row r="701" spans="1:26" x14ac:dyDescent="0.35">
      <c r="A701" s="1">
        <v>41198</v>
      </c>
      <c r="C701">
        <v>2547.9</v>
      </c>
      <c r="D701">
        <f t="shared" si="136"/>
        <v>2.4948542350825501E-2</v>
      </c>
      <c r="E701" t="str">
        <f t="shared" si="130"/>
        <v>2012-10</v>
      </c>
      <c r="G701">
        <v>3500.94</v>
      </c>
      <c r="H701">
        <f t="shared" si="137"/>
        <v>2.3309084796821908E-2</v>
      </c>
      <c r="I701" t="str">
        <f t="shared" si="131"/>
        <v>2012-10</v>
      </c>
      <c r="K701">
        <v>7376.27</v>
      </c>
      <c r="L701">
        <f t="shared" si="138"/>
        <v>1.5716100465807157E-2</v>
      </c>
      <c r="M701" t="str">
        <f t="shared" si="132"/>
        <v>2012-10</v>
      </c>
      <c r="O701">
        <v>7253.0082899999998</v>
      </c>
      <c r="P701">
        <f t="shared" si="139"/>
        <v>5.776033223173215E-3</v>
      </c>
      <c r="Q701" t="str">
        <f t="shared" si="133"/>
        <v>2012-10</v>
      </c>
      <c r="S701">
        <v>7940.2</v>
      </c>
      <c r="T701">
        <f t="shared" si="140"/>
        <v>3.351424827507489E-2</v>
      </c>
      <c r="U701" t="str">
        <f t="shared" si="134"/>
        <v>2012-10</v>
      </c>
      <c r="W701">
        <v>15985.16</v>
      </c>
      <c r="X701">
        <f t="shared" si="141"/>
        <v>2.4984926391316074E-2</v>
      </c>
      <c r="Y701">
        <f t="shared" si="142"/>
        <v>2.5299665442006562E-2</v>
      </c>
      <c r="Z701" t="str">
        <f t="shared" si="135"/>
        <v>2012-10</v>
      </c>
    </row>
    <row r="702" spans="1:26" x14ac:dyDescent="0.35">
      <c r="A702" s="1">
        <v>41199</v>
      </c>
      <c r="C702">
        <v>2569.83</v>
      </c>
      <c r="D702">
        <f t="shared" si="136"/>
        <v>8.5702583874037192E-3</v>
      </c>
      <c r="E702" t="str">
        <f t="shared" si="130"/>
        <v>2012-10</v>
      </c>
      <c r="G702">
        <v>3527.5</v>
      </c>
      <c r="H702">
        <f t="shared" si="137"/>
        <v>7.5579008797425663E-3</v>
      </c>
      <c r="I702" t="str">
        <f t="shared" si="131"/>
        <v>2012-10</v>
      </c>
      <c r="K702">
        <v>7394.55</v>
      </c>
      <c r="L702">
        <f t="shared" si="138"/>
        <v>2.4751515938195427E-3</v>
      </c>
      <c r="M702" t="str">
        <f t="shared" si="132"/>
        <v>2012-10</v>
      </c>
      <c r="O702">
        <v>7277.9121299999997</v>
      </c>
      <c r="P702">
        <f t="shared" si="139"/>
        <v>3.4277063893361904E-3</v>
      </c>
      <c r="Q702" t="str">
        <f t="shared" si="133"/>
        <v>2012-10</v>
      </c>
      <c r="S702">
        <v>8128.2</v>
      </c>
      <c r="T702">
        <f t="shared" si="140"/>
        <v>2.3401032973923114E-2</v>
      </c>
      <c r="U702" t="str">
        <f t="shared" si="134"/>
        <v>2012-10</v>
      </c>
      <c r="W702">
        <v>16233.84</v>
      </c>
      <c r="X702">
        <f t="shared" si="141"/>
        <v>1.543716058683052E-2</v>
      </c>
      <c r="Y702">
        <f t="shared" si="142"/>
        <v>1.5556929051695466E-2</v>
      </c>
      <c r="Z702" t="str">
        <f t="shared" si="135"/>
        <v>2012-10</v>
      </c>
    </row>
    <row r="703" spans="1:26" x14ac:dyDescent="0.35">
      <c r="A703" s="1">
        <v>41200</v>
      </c>
      <c r="C703">
        <v>2574.19</v>
      </c>
      <c r="D703">
        <f t="shared" si="136"/>
        <v>1.6951726642115009E-3</v>
      </c>
      <c r="E703" t="str">
        <f t="shared" si="130"/>
        <v>2012-10</v>
      </c>
      <c r="G703">
        <v>3535.18</v>
      </c>
      <c r="H703">
        <f t="shared" si="137"/>
        <v>2.1748126850085082E-3</v>
      </c>
      <c r="I703" t="str">
        <f t="shared" si="131"/>
        <v>2012-10</v>
      </c>
      <c r="K703">
        <v>7437.23</v>
      </c>
      <c r="L703">
        <f t="shared" si="138"/>
        <v>5.7552253075553641E-3</v>
      </c>
      <c r="M703" t="str">
        <f t="shared" si="132"/>
        <v>2012-10</v>
      </c>
      <c r="O703">
        <v>7286.6915099999997</v>
      </c>
      <c r="P703">
        <f t="shared" si="139"/>
        <v>1.2055777527965178E-3</v>
      </c>
      <c r="Q703" t="str">
        <f t="shared" si="133"/>
        <v>2012-10</v>
      </c>
      <c r="S703">
        <v>8100.3</v>
      </c>
      <c r="T703">
        <f t="shared" si="140"/>
        <v>-3.4383988030325975E-3</v>
      </c>
      <c r="U703" t="str">
        <f t="shared" si="134"/>
        <v>2012-10</v>
      </c>
      <c r="W703">
        <v>16185.45</v>
      </c>
      <c r="X703">
        <f t="shared" si="141"/>
        <v>-2.9852619188626482E-3</v>
      </c>
      <c r="Y703">
        <f t="shared" si="142"/>
        <v>-2.9808104551972557E-3</v>
      </c>
      <c r="Z703" t="str">
        <f t="shared" si="135"/>
        <v>2012-10</v>
      </c>
    </row>
    <row r="704" spans="1:26" x14ac:dyDescent="0.35">
      <c r="A704" s="1">
        <v>41201</v>
      </c>
      <c r="C704">
        <v>2542.2399999999998</v>
      </c>
      <c r="D704">
        <f t="shared" si="136"/>
        <v>-1.2489339365631749E-2</v>
      </c>
      <c r="E704" t="str">
        <f t="shared" si="130"/>
        <v>2012-10</v>
      </c>
      <c r="G704">
        <v>3504.56</v>
      </c>
      <c r="H704">
        <f t="shared" si="137"/>
        <v>-8.6992397735298072E-3</v>
      </c>
      <c r="I704" t="str">
        <f t="shared" si="131"/>
        <v>2012-10</v>
      </c>
      <c r="K704">
        <v>7380.64</v>
      </c>
      <c r="L704">
        <f t="shared" si="138"/>
        <v>-7.6381119722344409E-3</v>
      </c>
      <c r="M704" t="str">
        <f t="shared" si="132"/>
        <v>2012-10</v>
      </c>
      <c r="O704">
        <v>7246.0401599999996</v>
      </c>
      <c r="P704">
        <f t="shared" si="139"/>
        <v>-5.5944686723456913E-3</v>
      </c>
      <c r="Q704" t="str">
        <f t="shared" si="133"/>
        <v>2012-10</v>
      </c>
      <c r="S704">
        <v>7913.4</v>
      </c>
      <c r="T704">
        <f t="shared" si="140"/>
        <v>-2.3343572951818985E-2</v>
      </c>
      <c r="U704" t="str">
        <f t="shared" si="134"/>
        <v>2012-10</v>
      </c>
      <c r="W704">
        <v>15862.31</v>
      </c>
      <c r="X704">
        <f t="shared" si="141"/>
        <v>-2.0166835480088657E-2</v>
      </c>
      <c r="Y704">
        <f t="shared" si="142"/>
        <v>-1.9964844968783767E-2</v>
      </c>
      <c r="Z704" t="str">
        <f t="shared" si="135"/>
        <v>2012-10</v>
      </c>
    </row>
    <row r="705" spans="1:26" x14ac:dyDescent="0.35">
      <c r="A705" s="1">
        <v>41204</v>
      </c>
      <c r="C705">
        <v>2531.1</v>
      </c>
      <c r="D705">
        <f t="shared" si="136"/>
        <v>-4.3915913003661142E-3</v>
      </c>
      <c r="E705" t="str">
        <f t="shared" si="130"/>
        <v>2012-10</v>
      </c>
      <c r="G705">
        <v>3483.25</v>
      </c>
      <c r="H705">
        <f t="shared" si="137"/>
        <v>-6.0992116447466521E-3</v>
      </c>
      <c r="I705" t="str">
        <f t="shared" si="131"/>
        <v>2012-10</v>
      </c>
      <c r="K705">
        <v>7328.05</v>
      </c>
      <c r="L705">
        <f t="shared" si="138"/>
        <v>-7.1509052268963437E-3</v>
      </c>
      <c r="M705" t="str">
        <f t="shared" si="132"/>
        <v>2012-10</v>
      </c>
      <c r="O705">
        <v>7213.1981699999997</v>
      </c>
      <c r="P705">
        <f t="shared" si="139"/>
        <v>-4.5427076763294794E-3</v>
      </c>
      <c r="Q705" t="str">
        <f t="shared" si="133"/>
        <v>2012-10</v>
      </c>
      <c r="S705">
        <v>7877.1</v>
      </c>
      <c r="T705">
        <f t="shared" si="140"/>
        <v>-4.5977092486293196E-3</v>
      </c>
      <c r="U705" t="str">
        <f t="shared" si="134"/>
        <v>2012-10</v>
      </c>
      <c r="W705">
        <v>15866.78</v>
      </c>
      <c r="X705">
        <f t="shared" si="141"/>
        <v>2.8176036750962076E-4</v>
      </c>
      <c r="Y705">
        <f t="shared" si="142"/>
        <v>2.8180006569037953E-4</v>
      </c>
      <c r="Z705" t="str">
        <f t="shared" si="135"/>
        <v>2012-10</v>
      </c>
    </row>
    <row r="706" spans="1:26" x14ac:dyDescent="0.35">
      <c r="A706" s="1">
        <v>41205</v>
      </c>
      <c r="C706">
        <v>2477.92</v>
      </c>
      <c r="D706">
        <f t="shared" si="136"/>
        <v>-2.1234492271826385E-2</v>
      </c>
      <c r="E706" t="str">
        <f t="shared" si="130"/>
        <v>2012-10</v>
      </c>
      <c r="G706">
        <v>3406.5</v>
      </c>
      <c r="H706">
        <f t="shared" si="137"/>
        <v>-2.2280394779978261E-2</v>
      </c>
      <c r="I706" t="str">
        <f t="shared" si="131"/>
        <v>2012-10</v>
      </c>
      <c r="K706">
        <v>7173.69</v>
      </c>
      <c r="L706">
        <f t="shared" si="138"/>
        <v>-2.1289283913648767E-2</v>
      </c>
      <c r="M706" t="str">
        <f t="shared" si="132"/>
        <v>2012-10</v>
      </c>
      <c r="O706">
        <v>7122.7252900000003</v>
      </c>
      <c r="P706">
        <f t="shared" si="139"/>
        <v>-1.2622009512084717E-2</v>
      </c>
      <c r="Q706" t="str">
        <f t="shared" si="133"/>
        <v>2012-10</v>
      </c>
      <c r="S706">
        <v>7747.7</v>
      </c>
      <c r="T706">
        <f t="shared" si="140"/>
        <v>-1.6563790703596183E-2</v>
      </c>
      <c r="U706" t="str">
        <f t="shared" si="134"/>
        <v>2012-10</v>
      </c>
      <c r="W706">
        <v>15578.95</v>
      </c>
      <c r="X706">
        <f t="shared" si="141"/>
        <v>-1.8306971324372881E-2</v>
      </c>
      <c r="Y706">
        <f t="shared" si="142"/>
        <v>-1.814041664408279E-2</v>
      </c>
      <c r="Z706" t="str">
        <f t="shared" si="135"/>
        <v>2012-10</v>
      </c>
    </row>
    <row r="707" spans="1:26" x14ac:dyDescent="0.35">
      <c r="A707" s="1">
        <v>41206</v>
      </c>
      <c r="C707">
        <v>2490.58</v>
      </c>
      <c r="D707">
        <f t="shared" si="136"/>
        <v>5.096116493413824E-3</v>
      </c>
      <c r="E707" t="str">
        <f t="shared" si="130"/>
        <v>2012-10</v>
      </c>
      <c r="G707">
        <v>3426.49</v>
      </c>
      <c r="H707">
        <f t="shared" si="137"/>
        <v>5.8510423780121284E-3</v>
      </c>
      <c r="I707" t="str">
        <f t="shared" si="131"/>
        <v>2012-10</v>
      </c>
      <c r="K707">
        <v>7192.85</v>
      </c>
      <c r="L707">
        <f t="shared" si="138"/>
        <v>2.6673104810980286E-3</v>
      </c>
      <c r="M707" t="str">
        <f t="shared" si="132"/>
        <v>2012-10</v>
      </c>
      <c r="O707">
        <v>7179.1246199999996</v>
      </c>
      <c r="P707">
        <f t="shared" si="139"/>
        <v>7.8870387700091665E-3</v>
      </c>
      <c r="Q707" t="str">
        <f t="shared" si="133"/>
        <v>2012-10</v>
      </c>
      <c r="S707">
        <v>7791.5</v>
      </c>
      <c r="T707">
        <f t="shared" si="140"/>
        <v>5.6373707780006119E-3</v>
      </c>
      <c r="U707" t="str">
        <f t="shared" si="134"/>
        <v>2012-10</v>
      </c>
      <c r="W707">
        <v>15706.56</v>
      </c>
      <c r="X707">
        <f t="shared" si="141"/>
        <v>8.1578154041597479E-3</v>
      </c>
      <c r="Y707">
        <f t="shared" si="142"/>
        <v>8.1911810487869056E-3</v>
      </c>
      <c r="Z707" t="str">
        <f t="shared" si="135"/>
        <v>2012-10</v>
      </c>
    </row>
    <row r="708" spans="1:26" x14ac:dyDescent="0.35">
      <c r="A708" s="1">
        <v>41207</v>
      </c>
      <c r="C708">
        <v>2483.4299999999998</v>
      </c>
      <c r="D708">
        <f t="shared" si="136"/>
        <v>-2.8749459388899431E-3</v>
      </c>
      <c r="E708" t="str">
        <f t="shared" ref="E708:E771" si="143">_xlfn.CONCAT(YEAR(A708),"-",TEXT(MONTH(A708),"00"))</f>
        <v>2012-10</v>
      </c>
      <c r="G708">
        <v>3411.53</v>
      </c>
      <c r="H708">
        <f t="shared" si="137"/>
        <v>-4.3755425891968923E-3</v>
      </c>
      <c r="I708" t="str">
        <f t="shared" ref="I708:I771" si="144">_xlfn.CONCAT(YEAR(A708),"-",TEXT(MONTH(A708),"00"))</f>
        <v>2012-10</v>
      </c>
      <c r="K708">
        <v>7200.23</v>
      </c>
      <c r="L708">
        <f t="shared" si="138"/>
        <v>1.0254928961356035E-3</v>
      </c>
      <c r="M708" t="str">
        <f t="shared" ref="M708:M771" si="145">_xlfn.CONCAT(YEAR(A708),"-",TEXT(MONTH(A708),"00"))</f>
        <v>2012-10</v>
      </c>
      <c r="O708">
        <v>7220.4899100000002</v>
      </c>
      <c r="P708">
        <f t="shared" si="139"/>
        <v>5.7453487660299868E-3</v>
      </c>
      <c r="Q708" t="str">
        <f t="shared" ref="Q708:Q771" si="146">_xlfn.CONCAT(YEAR(A708),"-",TEXT(MONTH(A708),"00"))</f>
        <v>2012-10</v>
      </c>
      <c r="S708">
        <v>7779.2</v>
      </c>
      <c r="T708">
        <f t="shared" si="140"/>
        <v>-1.5798907638649954E-3</v>
      </c>
      <c r="U708" t="str">
        <f t="shared" ref="U708:U771" si="147">_xlfn.CONCAT(YEAR(A708),"-",TEXT(MONTH(A708),"00"))</f>
        <v>2012-10</v>
      </c>
      <c r="W708">
        <v>15528.47</v>
      </c>
      <c r="X708">
        <f t="shared" si="141"/>
        <v>-1.1403346168896268E-2</v>
      </c>
      <c r="Y708">
        <f t="shared" si="142"/>
        <v>-1.1338574455514139E-2</v>
      </c>
      <c r="Z708" t="str">
        <f t="shared" ref="Z708:Z771" si="148">_xlfn.CONCAT(YEAR(A708),"-",TEXT(MONTH(A708),"00"))</f>
        <v>2012-10</v>
      </c>
    </row>
    <row r="709" spans="1:26" x14ac:dyDescent="0.35">
      <c r="A709" s="1">
        <v>41208</v>
      </c>
      <c r="C709">
        <v>2496.1</v>
      </c>
      <c r="D709">
        <f t="shared" ref="D709:D772" si="149">LN(C709/C708)</f>
        <v>5.0888446669494092E-3</v>
      </c>
      <c r="E709" t="str">
        <f t="shared" si="143"/>
        <v>2012-10</v>
      </c>
      <c r="G709">
        <v>3435.09</v>
      </c>
      <c r="H709">
        <f t="shared" ref="H709:H772" si="150">LN(G709/G708)</f>
        <v>6.8822551840372363E-3</v>
      </c>
      <c r="I709" t="str">
        <f t="shared" si="144"/>
        <v>2012-10</v>
      </c>
      <c r="K709">
        <v>7231.85</v>
      </c>
      <c r="L709">
        <f t="shared" ref="L709:L772" si="151">LN(K709/K708)</f>
        <v>4.3819117680911355E-3</v>
      </c>
      <c r="M709" t="str">
        <f t="shared" si="145"/>
        <v>2012-10</v>
      </c>
      <c r="O709">
        <v>7224.9304300000003</v>
      </c>
      <c r="P709">
        <f t="shared" ref="P709:P772" si="152">LN(O709/O708)</f>
        <v>6.1479971303736805E-4</v>
      </c>
      <c r="Q709" t="str">
        <f t="shared" si="146"/>
        <v>2012-10</v>
      </c>
      <c r="S709">
        <v>7775.6</v>
      </c>
      <c r="T709">
        <f t="shared" ref="T709:T772" si="153">LN(S709/S708)</f>
        <v>-4.6287963384637315E-4</v>
      </c>
      <c r="U709" t="str">
        <f t="shared" si="147"/>
        <v>2012-10</v>
      </c>
      <c r="W709">
        <v>15584.86</v>
      </c>
      <c r="X709">
        <f t="shared" ref="X709:X772" si="154">LN(W709/W708)</f>
        <v>3.6248168706940419E-3</v>
      </c>
      <c r="Y709">
        <f t="shared" ref="Y709:Y772" si="155">(W709-W708)/W708</f>
        <v>3.6313944644901421E-3</v>
      </c>
      <c r="Z709" t="str">
        <f t="shared" si="148"/>
        <v>2012-10</v>
      </c>
    </row>
    <row r="710" spans="1:26" x14ac:dyDescent="0.35">
      <c r="A710" s="1">
        <v>41211</v>
      </c>
      <c r="C710">
        <v>2478.84</v>
      </c>
      <c r="D710">
        <f t="shared" si="149"/>
        <v>-6.9388049911758643E-3</v>
      </c>
      <c r="E710" t="str">
        <f t="shared" si="143"/>
        <v>2012-10</v>
      </c>
      <c r="G710">
        <v>3408.89</v>
      </c>
      <c r="H710">
        <f t="shared" si="150"/>
        <v>-7.6564010964141225E-3</v>
      </c>
      <c r="I710" t="str">
        <f t="shared" si="144"/>
        <v>2012-10</v>
      </c>
      <c r="K710">
        <v>7203.16</v>
      </c>
      <c r="L710">
        <f t="shared" si="151"/>
        <v>-3.9750630969914375E-3</v>
      </c>
      <c r="M710" t="str">
        <f t="shared" si="145"/>
        <v>2012-10</v>
      </c>
      <c r="O710">
        <v>7201.30692</v>
      </c>
      <c r="P710">
        <f t="shared" si="152"/>
        <v>-3.275078669872783E-3</v>
      </c>
      <c r="Q710" t="str">
        <f t="shared" si="146"/>
        <v>2012-10</v>
      </c>
      <c r="S710">
        <v>7728.6</v>
      </c>
      <c r="T710">
        <f t="shared" si="153"/>
        <v>-6.0628918578605803E-3</v>
      </c>
      <c r="U710" t="str">
        <f t="shared" si="147"/>
        <v>2012-10</v>
      </c>
      <c r="W710">
        <v>15349.12</v>
      </c>
      <c r="X710">
        <f t="shared" si="154"/>
        <v>-1.5241786782873265E-2</v>
      </c>
      <c r="Y710">
        <f t="shared" si="155"/>
        <v>-1.5126218650664797E-2</v>
      </c>
      <c r="Z710" t="str">
        <f t="shared" si="148"/>
        <v>2012-10</v>
      </c>
    </row>
    <row r="711" spans="1:26" x14ac:dyDescent="0.35">
      <c r="A711" s="1">
        <v>41212</v>
      </c>
      <c r="C711">
        <v>2515.9899999999998</v>
      </c>
      <c r="D711">
        <f t="shared" si="149"/>
        <v>1.487565545147264E-2</v>
      </c>
      <c r="E711" t="str">
        <f t="shared" si="143"/>
        <v>2012-10</v>
      </c>
      <c r="G711">
        <v>3459.44</v>
      </c>
      <c r="H711">
        <f t="shared" si="150"/>
        <v>1.472000115154817E-2</v>
      </c>
      <c r="I711" t="str">
        <f t="shared" si="144"/>
        <v>2012-10</v>
      </c>
      <c r="K711">
        <v>7284.4</v>
      </c>
      <c r="L711">
        <f t="shared" si="151"/>
        <v>1.1215256612186671E-2</v>
      </c>
      <c r="M711" t="str">
        <f t="shared" si="145"/>
        <v>2012-10</v>
      </c>
      <c r="O711">
        <v>7253.1540699999996</v>
      </c>
      <c r="P711">
        <f t="shared" si="152"/>
        <v>7.173892183730976E-3</v>
      </c>
      <c r="Q711" t="str">
        <f t="shared" si="146"/>
        <v>2012-10</v>
      </c>
      <c r="S711">
        <v>7833.9</v>
      </c>
      <c r="T711">
        <f t="shared" si="153"/>
        <v>1.3532736643132827E-2</v>
      </c>
      <c r="U711" t="str">
        <f t="shared" si="147"/>
        <v>2012-10</v>
      </c>
      <c r="W711">
        <v>15521.77</v>
      </c>
      <c r="X711">
        <f t="shared" si="154"/>
        <v>1.1185411244421186E-2</v>
      </c>
      <c r="Y711">
        <f t="shared" si="155"/>
        <v>1.1248201851311321E-2</v>
      </c>
      <c r="Z711" t="str">
        <f t="shared" si="148"/>
        <v>2012-10</v>
      </c>
    </row>
    <row r="712" spans="1:26" x14ac:dyDescent="0.35">
      <c r="A712" s="1">
        <v>41213</v>
      </c>
      <c r="C712">
        <v>2503.64</v>
      </c>
      <c r="D712">
        <f t="shared" si="149"/>
        <v>-4.9206913335889078E-3</v>
      </c>
      <c r="E712" t="str">
        <f t="shared" si="143"/>
        <v>2012-10</v>
      </c>
      <c r="G712">
        <v>3429.27</v>
      </c>
      <c r="H712">
        <f t="shared" si="150"/>
        <v>-8.7593157211522665E-3</v>
      </c>
      <c r="I712" t="str">
        <f t="shared" si="144"/>
        <v>2012-10</v>
      </c>
      <c r="K712">
        <v>7260.63</v>
      </c>
      <c r="L712">
        <f t="shared" si="151"/>
        <v>-3.2684733082125866E-3</v>
      </c>
      <c r="M712" t="str">
        <f t="shared" si="145"/>
        <v>2012-10</v>
      </c>
      <c r="O712">
        <v>7193.3756199999998</v>
      </c>
      <c r="P712">
        <f t="shared" si="152"/>
        <v>-8.2758686643621456E-3</v>
      </c>
      <c r="Q712" t="str">
        <f t="shared" si="146"/>
        <v>2012-10</v>
      </c>
      <c r="S712">
        <v>7842.9</v>
      </c>
      <c r="T712">
        <f t="shared" si="153"/>
        <v>1.1481936350226619E-3</v>
      </c>
      <c r="U712" t="str">
        <f t="shared" si="147"/>
        <v>2012-10</v>
      </c>
      <c r="W712">
        <v>15539.71</v>
      </c>
      <c r="X712">
        <f t="shared" si="154"/>
        <v>1.1551286026814374E-3</v>
      </c>
      <c r="Y712">
        <f t="shared" si="155"/>
        <v>1.1557960206857007E-3</v>
      </c>
      <c r="Z712" t="str">
        <f t="shared" si="148"/>
        <v>2012-10</v>
      </c>
    </row>
    <row r="713" spans="1:26" x14ac:dyDescent="0.35">
      <c r="A713" s="1">
        <v>41214</v>
      </c>
      <c r="C713">
        <v>2533.87</v>
      </c>
      <c r="D713">
        <f t="shared" si="149"/>
        <v>1.200210536016009E-2</v>
      </c>
      <c r="E713" t="str">
        <f t="shared" si="143"/>
        <v>2012-11</v>
      </c>
      <c r="G713">
        <v>3475.4</v>
      </c>
      <c r="H713">
        <f t="shared" si="150"/>
        <v>1.3362169767596794E-2</v>
      </c>
      <c r="I713" t="str">
        <f t="shared" si="144"/>
        <v>2012-11</v>
      </c>
      <c r="K713">
        <v>7335.67</v>
      </c>
      <c r="L713">
        <f t="shared" si="151"/>
        <v>1.0282148368742552E-2</v>
      </c>
      <c r="M713" t="str">
        <f t="shared" si="145"/>
        <v>2012-11</v>
      </c>
      <c r="O713">
        <v>7307.6850199999999</v>
      </c>
      <c r="P713">
        <f t="shared" si="152"/>
        <v>1.5765987139460716E-2</v>
      </c>
      <c r="Q713" t="str">
        <f t="shared" si="146"/>
        <v>2012-11</v>
      </c>
      <c r="S713">
        <v>7886.4</v>
      </c>
      <c r="T713">
        <f t="shared" si="153"/>
        <v>5.5310930428604963E-3</v>
      </c>
      <c r="U713" t="str">
        <f t="shared" si="147"/>
        <v>2012-11</v>
      </c>
      <c r="W713">
        <v>15806.73</v>
      </c>
      <c r="X713">
        <f t="shared" si="154"/>
        <v>1.7037115462618744E-2</v>
      </c>
      <c r="Y713">
        <f t="shared" si="155"/>
        <v>1.7183074845026094E-2</v>
      </c>
      <c r="Z713" t="str">
        <f t="shared" si="148"/>
        <v>2012-11</v>
      </c>
    </row>
    <row r="714" spans="1:26" x14ac:dyDescent="0.35">
      <c r="A714" s="1">
        <v>41215</v>
      </c>
      <c r="C714">
        <v>2547.15</v>
      </c>
      <c r="D714">
        <f t="shared" si="149"/>
        <v>5.2273087842143818E-3</v>
      </c>
      <c r="E714" t="str">
        <f t="shared" si="143"/>
        <v>2012-11</v>
      </c>
      <c r="G714">
        <v>3492.46</v>
      </c>
      <c r="H714">
        <f t="shared" si="150"/>
        <v>4.8967786635600212E-3</v>
      </c>
      <c r="I714" t="str">
        <f t="shared" si="144"/>
        <v>2012-11</v>
      </c>
      <c r="K714">
        <v>7363.85</v>
      </c>
      <c r="L714">
        <f t="shared" si="151"/>
        <v>3.8341434988398045E-3</v>
      </c>
      <c r="M714" t="str">
        <f t="shared" si="145"/>
        <v>2012-11</v>
      </c>
      <c r="O714">
        <v>7335.80188</v>
      </c>
      <c r="P714">
        <f t="shared" si="152"/>
        <v>3.8401911710563025E-3</v>
      </c>
      <c r="Q714" t="str">
        <f t="shared" si="146"/>
        <v>2012-11</v>
      </c>
      <c r="S714">
        <v>7968.9</v>
      </c>
      <c r="T714">
        <f t="shared" si="153"/>
        <v>1.0406708741974713E-2</v>
      </c>
      <c r="U714" t="str">
        <f t="shared" si="147"/>
        <v>2012-11</v>
      </c>
      <c r="W714">
        <v>15769.28</v>
      </c>
      <c r="X714">
        <f t="shared" si="154"/>
        <v>-2.372055086112507E-3</v>
      </c>
      <c r="Y714">
        <f t="shared" si="155"/>
        <v>-2.3692439865803305E-3</v>
      </c>
      <c r="Z714" t="str">
        <f t="shared" si="148"/>
        <v>2012-11</v>
      </c>
    </row>
    <row r="715" spans="1:26" x14ac:dyDescent="0.35">
      <c r="A715" s="1">
        <v>41218</v>
      </c>
      <c r="C715">
        <v>2517.67</v>
      </c>
      <c r="D715">
        <f t="shared" si="149"/>
        <v>-1.1641216438730433E-2</v>
      </c>
      <c r="E715" t="str">
        <f t="shared" si="143"/>
        <v>2012-11</v>
      </c>
      <c r="G715">
        <v>3448.5</v>
      </c>
      <c r="H715">
        <f t="shared" si="150"/>
        <v>-1.2667005080368289E-2</v>
      </c>
      <c r="I715" t="str">
        <f t="shared" si="144"/>
        <v>2012-11</v>
      </c>
      <c r="K715">
        <v>7326.47</v>
      </c>
      <c r="L715">
        <f t="shared" si="151"/>
        <v>-5.0890764359677034E-3</v>
      </c>
      <c r="M715" t="str">
        <f t="shared" si="145"/>
        <v>2012-11</v>
      </c>
      <c r="O715">
        <v>7294.8269</v>
      </c>
      <c r="P715">
        <f t="shared" si="152"/>
        <v>-5.6012749344035492E-3</v>
      </c>
      <c r="Q715" t="str">
        <f t="shared" si="146"/>
        <v>2012-11</v>
      </c>
      <c r="S715">
        <v>7818.6</v>
      </c>
      <c r="T715">
        <f t="shared" si="153"/>
        <v>-1.9040955314172631E-2</v>
      </c>
      <c r="U715" t="str">
        <f t="shared" si="147"/>
        <v>2012-11</v>
      </c>
      <c r="W715">
        <v>15544.4</v>
      </c>
      <c r="X715">
        <f t="shared" si="154"/>
        <v>-1.4363298477221296E-2</v>
      </c>
      <c r="Y715">
        <f t="shared" si="155"/>
        <v>-1.4260638405811871E-2</v>
      </c>
      <c r="Z715" t="str">
        <f t="shared" si="148"/>
        <v>2012-11</v>
      </c>
    </row>
    <row r="716" spans="1:26" x14ac:dyDescent="0.35">
      <c r="A716" s="1">
        <v>41219</v>
      </c>
      <c r="C716">
        <v>2535.94</v>
      </c>
      <c r="D716">
        <f t="shared" si="149"/>
        <v>7.2305063495476099E-3</v>
      </c>
      <c r="E716" t="str">
        <f t="shared" si="143"/>
        <v>2012-11</v>
      </c>
      <c r="G716">
        <v>3478.66</v>
      </c>
      <c r="H716">
        <f t="shared" si="150"/>
        <v>8.7078082722452585E-3</v>
      </c>
      <c r="I716" t="str">
        <f t="shared" si="144"/>
        <v>2012-11</v>
      </c>
      <c r="K716">
        <v>7377.76</v>
      </c>
      <c r="L716">
        <f t="shared" si="151"/>
        <v>6.9762521417817049E-3</v>
      </c>
      <c r="M716" t="str">
        <f t="shared" si="145"/>
        <v>2012-11</v>
      </c>
      <c r="O716">
        <v>7342.0039999999999</v>
      </c>
      <c r="P716">
        <f t="shared" si="152"/>
        <v>6.4463767731706197E-3</v>
      </c>
      <c r="Q716" t="str">
        <f t="shared" si="146"/>
        <v>2012-11</v>
      </c>
      <c r="S716">
        <v>7837.6</v>
      </c>
      <c r="T716">
        <f t="shared" si="153"/>
        <v>2.4271546515172993E-3</v>
      </c>
      <c r="U716" t="str">
        <f t="shared" si="147"/>
        <v>2012-11</v>
      </c>
      <c r="W716">
        <v>15683.71</v>
      </c>
      <c r="X716">
        <f t="shared" si="154"/>
        <v>8.922148932067029E-3</v>
      </c>
      <c r="Y716">
        <f t="shared" si="155"/>
        <v>8.9620699415866485E-3</v>
      </c>
      <c r="Z716" t="str">
        <f t="shared" si="148"/>
        <v>2012-11</v>
      </c>
    </row>
    <row r="717" spans="1:26" x14ac:dyDescent="0.35">
      <c r="A717" s="1">
        <v>41220</v>
      </c>
      <c r="C717">
        <v>2479.1</v>
      </c>
      <c r="D717">
        <f t="shared" si="149"/>
        <v>-2.2668785903327021E-2</v>
      </c>
      <c r="E717" t="str">
        <f t="shared" si="143"/>
        <v>2012-11</v>
      </c>
      <c r="G717">
        <v>3409.59</v>
      </c>
      <c r="H717">
        <f t="shared" si="150"/>
        <v>-2.0055112698893814E-2</v>
      </c>
      <c r="I717" t="str">
        <f t="shared" si="144"/>
        <v>2012-11</v>
      </c>
      <c r="K717">
        <v>7232.83</v>
      </c>
      <c r="L717">
        <f t="shared" si="151"/>
        <v>-1.9839685301029589E-2</v>
      </c>
      <c r="M717" t="str">
        <f t="shared" si="145"/>
        <v>2012-11</v>
      </c>
      <c r="O717">
        <v>7251.56369</v>
      </c>
      <c r="P717">
        <f t="shared" si="152"/>
        <v>-1.2394702895163555E-2</v>
      </c>
      <c r="Q717" t="str">
        <f t="shared" si="146"/>
        <v>2012-11</v>
      </c>
      <c r="S717">
        <v>7660.7</v>
      </c>
      <c r="T717">
        <f t="shared" si="153"/>
        <v>-2.2829301659031347E-2</v>
      </c>
      <c r="U717" t="str">
        <f t="shared" si="147"/>
        <v>2012-11</v>
      </c>
      <c r="W717">
        <v>15291.78</v>
      </c>
      <c r="X717">
        <f t="shared" si="154"/>
        <v>-2.5307164954761589E-2</v>
      </c>
      <c r="Y717">
        <f t="shared" si="155"/>
        <v>-2.4989622990988645E-2</v>
      </c>
      <c r="Z717" t="str">
        <f t="shared" si="148"/>
        <v>2012-11</v>
      </c>
    </row>
    <row r="718" spans="1:26" x14ac:dyDescent="0.35">
      <c r="A718" s="1">
        <v>41221</v>
      </c>
      <c r="C718">
        <v>2479.13</v>
      </c>
      <c r="D718">
        <f t="shared" si="149"/>
        <v>1.2101092527166025E-5</v>
      </c>
      <c r="E718" t="str">
        <f t="shared" si="143"/>
        <v>2012-11</v>
      </c>
      <c r="G718">
        <v>3407.68</v>
      </c>
      <c r="H718">
        <f t="shared" si="150"/>
        <v>-5.6034161767854937E-4</v>
      </c>
      <c r="I718" t="str">
        <f t="shared" si="144"/>
        <v>2012-11</v>
      </c>
      <c r="K718">
        <v>7204.96</v>
      </c>
      <c r="L718">
        <f t="shared" si="151"/>
        <v>-3.8607064678153904E-3</v>
      </c>
      <c r="M718" t="str">
        <f t="shared" si="145"/>
        <v>2012-11</v>
      </c>
      <c r="O718">
        <v>7244.8908499999998</v>
      </c>
      <c r="P718">
        <f t="shared" si="152"/>
        <v>-9.2061689330681022E-4</v>
      </c>
      <c r="Q718" t="str">
        <f t="shared" si="146"/>
        <v>2012-11</v>
      </c>
      <c r="S718">
        <v>7624.1</v>
      </c>
      <c r="T718">
        <f t="shared" si="153"/>
        <v>-4.7890806490916505E-3</v>
      </c>
      <c r="U718" t="str">
        <f t="shared" si="147"/>
        <v>2012-11</v>
      </c>
      <c r="W718">
        <v>15194.08</v>
      </c>
      <c r="X718">
        <f t="shared" si="154"/>
        <v>-6.4095508198556989E-3</v>
      </c>
      <c r="Y718">
        <f t="shared" si="155"/>
        <v>-6.3890534653258625E-3</v>
      </c>
      <c r="Z718" t="str">
        <f t="shared" si="148"/>
        <v>2012-11</v>
      </c>
    </row>
    <row r="719" spans="1:26" x14ac:dyDescent="0.35">
      <c r="A719" s="1">
        <v>41222</v>
      </c>
      <c r="C719">
        <v>2479.8200000000002</v>
      </c>
      <c r="D719">
        <f t="shared" si="149"/>
        <v>2.7828471932690052E-4</v>
      </c>
      <c r="E719" t="str">
        <f t="shared" si="143"/>
        <v>2012-11</v>
      </c>
      <c r="G719">
        <v>3423.57</v>
      </c>
      <c r="H719">
        <f t="shared" si="150"/>
        <v>4.6521584361194062E-3</v>
      </c>
      <c r="I719" t="str">
        <f t="shared" si="144"/>
        <v>2012-11</v>
      </c>
      <c r="K719">
        <v>7163.5</v>
      </c>
      <c r="L719">
        <f t="shared" si="151"/>
        <v>-5.7709893845765805E-3</v>
      </c>
      <c r="M719" t="str">
        <f t="shared" si="145"/>
        <v>2012-11</v>
      </c>
      <c r="O719">
        <v>7218.6760400000003</v>
      </c>
      <c r="P719">
        <f t="shared" si="152"/>
        <v>-3.6249479682464564E-3</v>
      </c>
      <c r="Q719" t="str">
        <f t="shared" si="146"/>
        <v>2012-11</v>
      </c>
      <c r="S719">
        <v>7636.6</v>
      </c>
      <c r="T719">
        <f t="shared" si="153"/>
        <v>1.6381952067078584E-3</v>
      </c>
      <c r="U719" t="str">
        <f t="shared" si="147"/>
        <v>2012-11</v>
      </c>
      <c r="W719">
        <v>15181</v>
      </c>
      <c r="X719">
        <f t="shared" si="154"/>
        <v>-8.6123235286791259E-4</v>
      </c>
      <c r="Y719">
        <f t="shared" si="155"/>
        <v>-8.6086159872792085E-4</v>
      </c>
      <c r="Z719" t="str">
        <f t="shared" si="148"/>
        <v>2012-11</v>
      </c>
    </row>
    <row r="720" spans="1:26" x14ac:dyDescent="0.35">
      <c r="A720" s="1">
        <v>41225</v>
      </c>
      <c r="C720">
        <v>2473.52</v>
      </c>
      <c r="D720">
        <f t="shared" si="149"/>
        <v>-2.5437395361798763E-3</v>
      </c>
      <c r="E720" t="str">
        <f t="shared" si="143"/>
        <v>2012-11</v>
      </c>
      <c r="G720">
        <v>3411.65</v>
      </c>
      <c r="H720">
        <f t="shared" si="150"/>
        <v>-3.4878210456412767E-3</v>
      </c>
      <c r="I720" t="str">
        <f t="shared" si="144"/>
        <v>2012-11</v>
      </c>
      <c r="K720">
        <v>7168.76</v>
      </c>
      <c r="L720">
        <f t="shared" si="151"/>
        <v>7.3400848661131978E-4</v>
      </c>
      <c r="M720" t="str">
        <f t="shared" si="145"/>
        <v>2012-11</v>
      </c>
      <c r="O720">
        <v>7201.7156699999996</v>
      </c>
      <c r="P720">
        <f t="shared" si="152"/>
        <v>-2.3522769924030698E-3</v>
      </c>
      <c r="Q720" t="str">
        <f t="shared" si="146"/>
        <v>2012-11</v>
      </c>
      <c r="S720">
        <v>7567.8</v>
      </c>
      <c r="T720">
        <f t="shared" si="153"/>
        <v>-9.0500736078149933E-3</v>
      </c>
      <c r="U720" t="str">
        <f t="shared" si="147"/>
        <v>2012-11</v>
      </c>
      <c r="W720">
        <v>15121.7</v>
      </c>
      <c r="X720">
        <f t="shared" si="154"/>
        <v>-3.9138476569702428E-3</v>
      </c>
      <c r="Y720">
        <f t="shared" si="155"/>
        <v>-3.9061985376456936E-3</v>
      </c>
      <c r="Z720" t="str">
        <f t="shared" si="148"/>
        <v>2012-11</v>
      </c>
    </row>
    <row r="721" spans="1:26" x14ac:dyDescent="0.35">
      <c r="A721" s="1">
        <v>41226</v>
      </c>
      <c r="C721">
        <v>2493.14</v>
      </c>
      <c r="D721">
        <f t="shared" si="149"/>
        <v>7.9007228434874021E-3</v>
      </c>
      <c r="E721" t="str">
        <f t="shared" si="143"/>
        <v>2012-11</v>
      </c>
      <c r="G721">
        <v>3430.6</v>
      </c>
      <c r="H721">
        <f t="shared" si="150"/>
        <v>5.5391277582274318E-3</v>
      </c>
      <c r="I721" t="str">
        <f t="shared" si="144"/>
        <v>2012-11</v>
      </c>
      <c r="K721">
        <v>7169.12</v>
      </c>
      <c r="L721">
        <f t="shared" si="151"/>
        <v>5.0216628968254861E-5</v>
      </c>
      <c r="M721" t="str">
        <f t="shared" si="145"/>
        <v>2012-11</v>
      </c>
      <c r="O721">
        <v>7228.9428600000001</v>
      </c>
      <c r="P721">
        <f t="shared" si="152"/>
        <v>3.77352457641852E-3</v>
      </c>
      <c r="Q721" t="str">
        <f t="shared" si="146"/>
        <v>2012-11</v>
      </c>
      <c r="S721">
        <v>7693.4</v>
      </c>
      <c r="T721">
        <f t="shared" si="153"/>
        <v>1.6460414106443454E-2</v>
      </c>
      <c r="U721" t="str">
        <f t="shared" si="147"/>
        <v>2012-11</v>
      </c>
      <c r="W721">
        <v>15333.15</v>
      </c>
      <c r="X721">
        <f t="shared" si="154"/>
        <v>1.3886352934158415E-2</v>
      </c>
      <c r="Y721">
        <f t="shared" si="155"/>
        <v>1.3983216172784732E-2</v>
      </c>
      <c r="Z721" t="str">
        <f t="shared" si="148"/>
        <v>2012-11</v>
      </c>
    </row>
    <row r="722" spans="1:26" x14ac:dyDescent="0.35">
      <c r="A722" s="1">
        <v>41227</v>
      </c>
      <c r="C722">
        <v>2472.84</v>
      </c>
      <c r="D722">
        <f t="shared" si="149"/>
        <v>-8.1756725051715454E-3</v>
      </c>
      <c r="E722" t="str">
        <f t="shared" si="143"/>
        <v>2012-11</v>
      </c>
      <c r="G722">
        <v>3400.02</v>
      </c>
      <c r="H722">
        <f t="shared" si="150"/>
        <v>-8.9538590358316291E-3</v>
      </c>
      <c r="I722" t="str">
        <f t="shared" si="144"/>
        <v>2012-11</v>
      </c>
      <c r="K722">
        <v>7101.92</v>
      </c>
      <c r="L722">
        <f t="shared" si="151"/>
        <v>-9.4177434419716894E-3</v>
      </c>
      <c r="M722" t="str">
        <f t="shared" si="145"/>
        <v>2012-11</v>
      </c>
      <c r="O722">
        <v>7118.1696700000002</v>
      </c>
      <c r="P722">
        <f t="shared" si="152"/>
        <v>-1.5442186156664291E-2</v>
      </c>
      <c r="Q722" t="str">
        <f t="shared" si="146"/>
        <v>2012-11</v>
      </c>
      <c r="S722">
        <v>7673</v>
      </c>
      <c r="T722">
        <f t="shared" si="153"/>
        <v>-2.6551452499806749E-3</v>
      </c>
      <c r="U722" t="str">
        <f t="shared" si="147"/>
        <v>2012-11</v>
      </c>
      <c r="W722">
        <v>15252.93</v>
      </c>
      <c r="X722">
        <f t="shared" si="154"/>
        <v>-5.2455354816299329E-3</v>
      </c>
      <c r="Y722">
        <f t="shared" si="155"/>
        <v>-5.2318016845853167E-3</v>
      </c>
      <c r="Z722" t="str">
        <f t="shared" si="148"/>
        <v>2012-11</v>
      </c>
    </row>
    <row r="723" spans="1:26" x14ac:dyDescent="0.35">
      <c r="A723" s="1">
        <v>41228</v>
      </c>
      <c r="C723">
        <v>2461.77</v>
      </c>
      <c r="D723">
        <f t="shared" si="149"/>
        <v>-4.4866842851729481E-3</v>
      </c>
      <c r="E723" t="str">
        <f t="shared" si="143"/>
        <v>2012-11</v>
      </c>
      <c r="G723">
        <v>3382.4</v>
      </c>
      <c r="H723">
        <f t="shared" si="150"/>
        <v>-5.1957972639744788E-3</v>
      </c>
      <c r="I723" t="str">
        <f t="shared" si="144"/>
        <v>2012-11</v>
      </c>
      <c r="K723">
        <v>7043.42</v>
      </c>
      <c r="L723">
        <f t="shared" si="151"/>
        <v>-8.2713223608115467E-3</v>
      </c>
      <c r="M723" t="str">
        <f t="shared" si="145"/>
        <v>2012-11</v>
      </c>
      <c r="O723">
        <v>7049.5136000000002</v>
      </c>
      <c r="P723">
        <f t="shared" si="152"/>
        <v>-9.6920020195508938E-3</v>
      </c>
      <c r="Q723" t="str">
        <f t="shared" si="146"/>
        <v>2012-11</v>
      </c>
      <c r="S723">
        <v>7695.5</v>
      </c>
      <c r="T723">
        <f t="shared" si="153"/>
        <v>2.9280692423435013E-3</v>
      </c>
      <c r="U723" t="str">
        <f t="shared" si="147"/>
        <v>2012-11</v>
      </c>
      <c r="W723">
        <v>15162.82</v>
      </c>
      <c r="X723">
        <f t="shared" si="154"/>
        <v>-5.9252369995758452E-3</v>
      </c>
      <c r="Y723">
        <f t="shared" si="155"/>
        <v>-5.9077174024925426E-3</v>
      </c>
      <c r="Z723" t="str">
        <f t="shared" si="148"/>
        <v>2012-11</v>
      </c>
    </row>
    <row r="724" spans="1:26" x14ac:dyDescent="0.35">
      <c r="A724" s="1">
        <v>41229</v>
      </c>
      <c r="C724">
        <v>2427.3200000000002</v>
      </c>
      <c r="D724">
        <f t="shared" si="149"/>
        <v>-1.4092835340974242E-2</v>
      </c>
      <c r="E724" t="str">
        <f t="shared" si="143"/>
        <v>2012-11</v>
      </c>
      <c r="G724">
        <v>3341.52</v>
      </c>
      <c r="H724">
        <f t="shared" si="150"/>
        <v>-1.215972340677882E-2</v>
      </c>
      <c r="I724" t="str">
        <f t="shared" si="144"/>
        <v>2012-11</v>
      </c>
      <c r="K724">
        <v>6950.53</v>
      </c>
      <c r="L724">
        <f t="shared" si="151"/>
        <v>-1.3275932002148903E-2</v>
      </c>
      <c r="M724" t="str">
        <f t="shared" si="145"/>
        <v>2012-11</v>
      </c>
      <c r="O724">
        <v>6992.5582700000004</v>
      </c>
      <c r="P724">
        <f t="shared" si="152"/>
        <v>-8.1121422628409844E-3</v>
      </c>
      <c r="Q724" t="str">
        <f t="shared" si="146"/>
        <v>2012-11</v>
      </c>
      <c r="S724">
        <v>7588.2</v>
      </c>
      <c r="T724">
        <f t="shared" si="153"/>
        <v>-1.4041333306023036E-2</v>
      </c>
      <c r="U724" t="str">
        <f t="shared" si="147"/>
        <v>2012-11</v>
      </c>
      <c r="W724">
        <v>14855.79</v>
      </c>
      <c r="X724">
        <f t="shared" si="154"/>
        <v>-2.0456690498812304E-2</v>
      </c>
      <c r="Y724">
        <f t="shared" si="155"/>
        <v>-2.0248871911689174E-2</v>
      </c>
      <c r="Z724" t="str">
        <f t="shared" si="148"/>
        <v>2012-11</v>
      </c>
    </row>
    <row r="725" spans="1:26" x14ac:dyDescent="0.35">
      <c r="A725" s="1">
        <v>41232</v>
      </c>
      <c r="C725">
        <v>2495.21</v>
      </c>
      <c r="D725">
        <f t="shared" si="149"/>
        <v>2.7585125924583748E-2</v>
      </c>
      <c r="E725" t="str">
        <f t="shared" si="143"/>
        <v>2012-11</v>
      </c>
      <c r="G725">
        <v>3439.58</v>
      </c>
      <c r="H725">
        <f t="shared" si="150"/>
        <v>2.892357762108862E-2</v>
      </c>
      <c r="I725" t="str">
        <f t="shared" si="144"/>
        <v>2012-11</v>
      </c>
      <c r="K725">
        <v>7123.84</v>
      </c>
      <c r="L725">
        <f t="shared" si="151"/>
        <v>2.462899022073196E-2</v>
      </c>
      <c r="M725" t="str">
        <f t="shared" si="145"/>
        <v>2012-11</v>
      </c>
      <c r="O725">
        <v>7130.6179199999997</v>
      </c>
      <c r="P725">
        <f t="shared" si="152"/>
        <v>1.9551416194247245E-2</v>
      </c>
      <c r="Q725" t="str">
        <f t="shared" si="146"/>
        <v>2012-11</v>
      </c>
      <c r="S725">
        <v>7763.8</v>
      </c>
      <c r="T725">
        <f t="shared" si="153"/>
        <v>2.2877495925554679E-2</v>
      </c>
      <c r="U725" t="str">
        <f t="shared" si="147"/>
        <v>2012-11</v>
      </c>
      <c r="W725">
        <v>15308.96</v>
      </c>
      <c r="X725">
        <f t="shared" si="154"/>
        <v>3.004858965666312E-2</v>
      </c>
      <c r="Y725">
        <f t="shared" si="155"/>
        <v>3.0504604601976619E-2</v>
      </c>
      <c r="Z725" t="str">
        <f t="shared" si="148"/>
        <v>2012-11</v>
      </c>
    </row>
    <row r="726" spans="1:26" x14ac:dyDescent="0.35">
      <c r="A726" s="1">
        <v>41233</v>
      </c>
      <c r="C726">
        <v>2509.62</v>
      </c>
      <c r="D726">
        <f t="shared" si="149"/>
        <v>5.7584532618898034E-3</v>
      </c>
      <c r="E726" t="str">
        <f t="shared" si="143"/>
        <v>2012-11</v>
      </c>
      <c r="G726">
        <v>3462.06</v>
      </c>
      <c r="H726">
        <f t="shared" si="150"/>
        <v>6.5144167182761515E-3</v>
      </c>
      <c r="I726" t="str">
        <f t="shared" si="144"/>
        <v>2012-11</v>
      </c>
      <c r="K726">
        <v>7172.99</v>
      </c>
      <c r="L726">
        <f t="shared" si="151"/>
        <v>6.8756771438292395E-3</v>
      </c>
      <c r="M726" t="str">
        <f t="shared" si="145"/>
        <v>2012-11</v>
      </c>
      <c r="O726">
        <v>7147.6451999999999</v>
      </c>
      <c r="P726">
        <f t="shared" si="152"/>
        <v>2.3850643357082794E-3</v>
      </c>
      <c r="Q726" t="str">
        <f t="shared" si="146"/>
        <v>2012-11</v>
      </c>
      <c r="S726">
        <v>7778.7</v>
      </c>
      <c r="T726">
        <f t="shared" si="153"/>
        <v>1.9173240552716939E-3</v>
      </c>
      <c r="U726" t="str">
        <f t="shared" si="147"/>
        <v>2012-11</v>
      </c>
      <c r="W726">
        <v>15269.99</v>
      </c>
      <c r="X726">
        <f t="shared" si="154"/>
        <v>-2.5488135529323345E-3</v>
      </c>
      <c r="Y726">
        <f t="shared" si="155"/>
        <v>-2.5455680856177917E-3</v>
      </c>
      <c r="Z726" t="str">
        <f t="shared" si="148"/>
        <v>2012-11</v>
      </c>
    </row>
    <row r="727" spans="1:26" x14ac:dyDescent="0.35">
      <c r="A727" s="1">
        <v>41234</v>
      </c>
      <c r="C727">
        <v>2519.6799999999998</v>
      </c>
      <c r="D727">
        <f t="shared" si="149"/>
        <v>4.0005620730914956E-3</v>
      </c>
      <c r="E727" t="str">
        <f t="shared" si="143"/>
        <v>2012-11</v>
      </c>
      <c r="G727">
        <v>3477.36</v>
      </c>
      <c r="H727">
        <f t="shared" si="150"/>
        <v>4.4095975720721357E-3</v>
      </c>
      <c r="I727" t="str">
        <f t="shared" si="144"/>
        <v>2012-11</v>
      </c>
      <c r="K727">
        <v>7184.71</v>
      </c>
      <c r="L727">
        <f t="shared" si="151"/>
        <v>1.6325738249310657E-3</v>
      </c>
      <c r="M727" t="str">
        <f t="shared" si="145"/>
        <v>2012-11</v>
      </c>
      <c r="O727">
        <v>7148.3366299999998</v>
      </c>
      <c r="P727">
        <f t="shared" si="152"/>
        <v>9.6730677019731689E-5</v>
      </c>
      <c r="Q727" t="str">
        <f t="shared" si="146"/>
        <v>2012-11</v>
      </c>
      <c r="S727">
        <v>7805.4</v>
      </c>
      <c r="T727">
        <f t="shared" si="153"/>
        <v>3.4265727407564645E-3</v>
      </c>
      <c r="U727" t="str">
        <f t="shared" si="147"/>
        <v>2012-11</v>
      </c>
      <c r="W727">
        <v>15394.62</v>
      </c>
      <c r="X727">
        <f t="shared" si="154"/>
        <v>8.1286333815996838E-3</v>
      </c>
      <c r="Y727">
        <f t="shared" si="155"/>
        <v>8.1617604202753914E-3</v>
      </c>
      <c r="Z727" t="str">
        <f t="shared" si="148"/>
        <v>2012-11</v>
      </c>
    </row>
    <row r="728" spans="1:26" x14ac:dyDescent="0.35">
      <c r="A728" s="1">
        <v>41235</v>
      </c>
      <c r="C728">
        <v>2535.09</v>
      </c>
      <c r="D728">
        <f t="shared" si="149"/>
        <v>6.0972300383303792E-3</v>
      </c>
      <c r="E728" t="str">
        <f t="shared" si="143"/>
        <v>2012-11</v>
      </c>
      <c r="G728">
        <v>3498.22</v>
      </c>
      <c r="H728">
        <f t="shared" si="150"/>
        <v>5.9808825020448752E-3</v>
      </c>
      <c r="I728" t="str">
        <f t="shared" si="144"/>
        <v>2012-11</v>
      </c>
      <c r="K728">
        <v>7244.99</v>
      </c>
      <c r="L728">
        <f t="shared" si="151"/>
        <v>8.3550386580135538E-3</v>
      </c>
      <c r="M728" t="str">
        <f t="shared" si="145"/>
        <v>2012-11</v>
      </c>
      <c r="O728">
        <v>7172.6988700000002</v>
      </c>
      <c r="P728">
        <f t="shared" si="152"/>
        <v>3.402304742667713E-3</v>
      </c>
      <c r="Q728" t="str">
        <f t="shared" si="146"/>
        <v>2012-11</v>
      </c>
      <c r="S728">
        <v>7875.6</v>
      </c>
      <c r="T728">
        <f t="shared" si="153"/>
        <v>8.9535704321091238E-3</v>
      </c>
      <c r="U728" t="str">
        <f t="shared" si="147"/>
        <v>2012-11</v>
      </c>
      <c r="W728">
        <v>15553.62</v>
      </c>
      <c r="X728">
        <f t="shared" si="154"/>
        <v>1.0275311226700659E-2</v>
      </c>
      <c r="Y728">
        <f t="shared" si="155"/>
        <v>1.0328283517228745E-2</v>
      </c>
      <c r="Z728" t="str">
        <f t="shared" si="148"/>
        <v>2012-11</v>
      </c>
    </row>
    <row r="729" spans="1:26" x14ac:dyDescent="0.35">
      <c r="A729" s="1">
        <v>41236</v>
      </c>
      <c r="C729">
        <v>2557.0300000000002</v>
      </c>
      <c r="D729">
        <f t="shared" si="149"/>
        <v>8.6172893677354759E-3</v>
      </c>
      <c r="E729" t="str">
        <f t="shared" si="143"/>
        <v>2012-11</v>
      </c>
      <c r="G729">
        <v>3528.8</v>
      </c>
      <c r="H729">
        <f t="shared" si="150"/>
        <v>8.7036021081086136E-3</v>
      </c>
      <c r="I729" t="str">
        <f t="shared" si="144"/>
        <v>2012-11</v>
      </c>
      <c r="K729">
        <v>7309.13</v>
      </c>
      <c r="L729">
        <f t="shared" si="151"/>
        <v>8.8140561215114561E-3</v>
      </c>
      <c r="M729" t="str">
        <f t="shared" si="145"/>
        <v>2012-11</v>
      </c>
      <c r="O729">
        <v>7192.14516</v>
      </c>
      <c r="P729">
        <f t="shared" si="152"/>
        <v>2.7074852798402611E-3</v>
      </c>
      <c r="Q729" t="str">
        <f t="shared" si="146"/>
        <v>2012-11</v>
      </c>
      <c r="S729">
        <v>7909.6</v>
      </c>
      <c r="T729">
        <f t="shared" si="153"/>
        <v>4.307839315245714E-3</v>
      </c>
      <c r="U729" t="str">
        <f t="shared" si="147"/>
        <v>2012-11</v>
      </c>
      <c r="W729">
        <v>15635.89</v>
      </c>
      <c r="X729">
        <f t="shared" si="154"/>
        <v>5.2755038988562116E-3</v>
      </c>
      <c r="Y729">
        <f t="shared" si="155"/>
        <v>5.289443872230298E-3</v>
      </c>
      <c r="Z729" t="str">
        <f t="shared" si="148"/>
        <v>2012-11</v>
      </c>
    </row>
    <row r="730" spans="1:26" x14ac:dyDescent="0.35">
      <c r="A730" s="1">
        <v>41239</v>
      </c>
      <c r="C730">
        <v>2542.52</v>
      </c>
      <c r="D730">
        <f t="shared" si="149"/>
        <v>-5.6907135562546821E-3</v>
      </c>
      <c r="E730" t="str">
        <f t="shared" si="143"/>
        <v>2012-11</v>
      </c>
      <c r="G730">
        <v>3500.94</v>
      </c>
      <c r="H730">
        <f t="shared" si="150"/>
        <v>-7.9263659435035924E-3</v>
      </c>
      <c r="I730" t="str">
        <f t="shared" si="144"/>
        <v>2012-11</v>
      </c>
      <c r="K730">
        <v>7292.03</v>
      </c>
      <c r="L730">
        <f t="shared" si="151"/>
        <v>-2.3422807253597523E-3</v>
      </c>
      <c r="M730" t="str">
        <f t="shared" si="145"/>
        <v>2012-11</v>
      </c>
      <c r="O730">
        <v>7152.5823799999998</v>
      </c>
      <c r="P730">
        <f t="shared" si="152"/>
        <v>-5.5160169759264277E-3</v>
      </c>
      <c r="Q730" t="str">
        <f t="shared" si="146"/>
        <v>2012-11</v>
      </c>
      <c r="S730">
        <v>7874.8</v>
      </c>
      <c r="T730">
        <f t="shared" si="153"/>
        <v>-4.4094240369910651E-3</v>
      </c>
      <c r="U730" t="str">
        <f t="shared" si="147"/>
        <v>2012-11</v>
      </c>
      <c r="W730">
        <v>15520.14</v>
      </c>
      <c r="X730">
        <f t="shared" si="154"/>
        <v>-7.4303775256918201E-3</v>
      </c>
      <c r="Y730">
        <f t="shared" si="155"/>
        <v>-7.402840516273778E-3</v>
      </c>
      <c r="Z730" t="str">
        <f t="shared" si="148"/>
        <v>2012-11</v>
      </c>
    </row>
    <row r="731" spans="1:26" x14ac:dyDescent="0.35">
      <c r="A731" s="1">
        <v>41240</v>
      </c>
      <c r="C731">
        <v>2543.4499999999998</v>
      </c>
      <c r="D731">
        <f t="shared" si="149"/>
        <v>3.657119528290025E-4</v>
      </c>
      <c r="E731" t="str">
        <f t="shared" si="143"/>
        <v>2012-11</v>
      </c>
      <c r="G731">
        <v>3502.13</v>
      </c>
      <c r="H731">
        <f t="shared" si="150"/>
        <v>3.3985095435384063E-4</v>
      </c>
      <c r="I731" t="str">
        <f t="shared" si="144"/>
        <v>2012-11</v>
      </c>
      <c r="K731">
        <v>7332.33</v>
      </c>
      <c r="L731">
        <f t="shared" si="151"/>
        <v>5.5113662423318128E-3</v>
      </c>
      <c r="M731" t="str">
        <f t="shared" si="145"/>
        <v>2012-11</v>
      </c>
      <c r="O731">
        <v>7183.8590400000003</v>
      </c>
      <c r="P731">
        <f t="shared" si="152"/>
        <v>4.3632458995789348E-3</v>
      </c>
      <c r="Q731" t="str">
        <f t="shared" si="146"/>
        <v>2012-11</v>
      </c>
      <c r="S731">
        <v>7863.7</v>
      </c>
      <c r="T731">
        <f t="shared" si="153"/>
        <v>-1.4105539715269584E-3</v>
      </c>
      <c r="U731" t="str">
        <f t="shared" si="147"/>
        <v>2012-11</v>
      </c>
      <c r="W731">
        <v>15479.81</v>
      </c>
      <c r="X731">
        <f t="shared" si="154"/>
        <v>-2.6019411484965137E-3</v>
      </c>
      <c r="Y731">
        <f t="shared" si="155"/>
        <v>-2.5985590336169602E-3</v>
      </c>
      <c r="Z731" t="str">
        <f t="shared" si="148"/>
        <v>2012-11</v>
      </c>
    </row>
    <row r="732" spans="1:26" x14ac:dyDescent="0.35">
      <c r="A732" s="1">
        <v>41241</v>
      </c>
      <c r="C732">
        <v>2546.84</v>
      </c>
      <c r="D732">
        <f t="shared" si="149"/>
        <v>1.3319478855544533E-3</v>
      </c>
      <c r="E732" t="str">
        <f t="shared" si="143"/>
        <v>2012-11</v>
      </c>
      <c r="G732">
        <v>3515.19</v>
      </c>
      <c r="H732">
        <f t="shared" si="150"/>
        <v>3.7222230363712001E-3</v>
      </c>
      <c r="I732" t="str">
        <f t="shared" si="144"/>
        <v>2012-11</v>
      </c>
      <c r="K732">
        <v>7343.41</v>
      </c>
      <c r="L732">
        <f t="shared" si="151"/>
        <v>1.5099752523855977E-3</v>
      </c>
      <c r="M732" t="str">
        <f t="shared" si="145"/>
        <v>2012-11</v>
      </c>
      <c r="O732">
        <v>7181.3403799999996</v>
      </c>
      <c r="P732">
        <f t="shared" si="152"/>
        <v>-3.5066133816462482E-4</v>
      </c>
      <c r="Q732" t="str">
        <f t="shared" si="146"/>
        <v>2012-11</v>
      </c>
      <c r="S732">
        <v>7837.6</v>
      </c>
      <c r="T732">
        <f t="shared" si="153"/>
        <v>-3.3245685439726672E-3</v>
      </c>
      <c r="U732" t="str">
        <f t="shared" si="147"/>
        <v>2012-11</v>
      </c>
      <c r="W732">
        <v>15453.43</v>
      </c>
      <c r="X732">
        <f t="shared" si="154"/>
        <v>-1.7056090079910539E-3</v>
      </c>
      <c r="Y732">
        <f t="shared" si="155"/>
        <v>-1.7041552835596304E-3</v>
      </c>
      <c r="Z732" t="str">
        <f t="shared" si="148"/>
        <v>2012-11</v>
      </c>
    </row>
    <row r="733" spans="1:26" x14ac:dyDescent="0.35">
      <c r="A733" s="1">
        <v>41242</v>
      </c>
      <c r="C733">
        <v>2581.69</v>
      </c>
      <c r="D733">
        <f t="shared" si="149"/>
        <v>1.3590848227593219E-2</v>
      </c>
      <c r="E733" t="str">
        <f t="shared" si="143"/>
        <v>2012-11</v>
      </c>
      <c r="G733">
        <v>3568.88</v>
      </c>
      <c r="H733">
        <f t="shared" si="150"/>
        <v>1.515824322340039E-2</v>
      </c>
      <c r="I733" t="str">
        <f t="shared" si="144"/>
        <v>2012-11</v>
      </c>
      <c r="K733">
        <v>7400.96</v>
      </c>
      <c r="L733">
        <f t="shared" si="151"/>
        <v>7.8064091253676592E-3</v>
      </c>
      <c r="M733" t="str">
        <f t="shared" si="145"/>
        <v>2012-11</v>
      </c>
      <c r="O733">
        <v>7259.5862299999999</v>
      </c>
      <c r="P733">
        <f t="shared" si="152"/>
        <v>1.0836786011202136E-2</v>
      </c>
      <c r="Q733" t="str">
        <f t="shared" si="146"/>
        <v>2012-11</v>
      </c>
      <c r="S733">
        <v>7973.7</v>
      </c>
      <c r="T733">
        <f t="shared" si="153"/>
        <v>1.7215960930746996E-2</v>
      </c>
      <c r="U733" t="str">
        <f t="shared" si="147"/>
        <v>2012-11</v>
      </c>
      <c r="W733">
        <v>15887.99</v>
      </c>
      <c r="X733">
        <f t="shared" si="154"/>
        <v>2.7732492720321522E-2</v>
      </c>
      <c r="Y733">
        <f t="shared" si="155"/>
        <v>2.8120617882243584E-2</v>
      </c>
      <c r="Z733" t="str">
        <f t="shared" si="148"/>
        <v>2012-11</v>
      </c>
    </row>
    <row r="734" spans="1:26" x14ac:dyDescent="0.35">
      <c r="A734" s="1">
        <v>41243</v>
      </c>
      <c r="C734">
        <v>2575.25</v>
      </c>
      <c r="D734">
        <f t="shared" si="149"/>
        <v>-2.4976064673029692E-3</v>
      </c>
      <c r="E734" t="str">
        <f t="shared" si="143"/>
        <v>2012-11</v>
      </c>
      <c r="G734">
        <v>3557.28</v>
      </c>
      <c r="H734">
        <f t="shared" si="150"/>
        <v>-3.2556131901935138E-3</v>
      </c>
      <c r="I734" t="str">
        <f t="shared" si="144"/>
        <v>2012-11</v>
      </c>
      <c r="K734">
        <v>7405.5</v>
      </c>
      <c r="L734">
        <f t="shared" si="151"/>
        <v>6.1324585921005597E-4</v>
      </c>
      <c r="M734" t="str">
        <f t="shared" si="145"/>
        <v>2012-11</v>
      </c>
      <c r="O734">
        <v>7234.0300100000004</v>
      </c>
      <c r="P734">
        <f t="shared" si="152"/>
        <v>-3.5265521127072308E-3</v>
      </c>
      <c r="Q734" t="str">
        <f t="shared" si="146"/>
        <v>2012-11</v>
      </c>
      <c r="S734">
        <v>7934.6</v>
      </c>
      <c r="T734">
        <f t="shared" si="153"/>
        <v>-4.9156828490953368E-3</v>
      </c>
      <c r="U734" t="str">
        <f t="shared" si="147"/>
        <v>2012-11</v>
      </c>
      <c r="W734">
        <v>15808.24</v>
      </c>
      <c r="X734">
        <f t="shared" si="154"/>
        <v>-5.032154820279168E-3</v>
      </c>
      <c r="Y734">
        <f t="shared" si="155"/>
        <v>-5.0195147403793682E-3</v>
      </c>
      <c r="Z734" t="str">
        <f t="shared" si="148"/>
        <v>2012-11</v>
      </c>
    </row>
    <row r="735" spans="1:26" x14ac:dyDescent="0.35">
      <c r="A735" s="1">
        <v>41246</v>
      </c>
      <c r="C735">
        <v>2582.36</v>
      </c>
      <c r="D735">
        <f t="shared" si="149"/>
        <v>2.7570927247015371E-3</v>
      </c>
      <c r="E735" t="str">
        <f t="shared" si="143"/>
        <v>2012-12</v>
      </c>
      <c r="G735">
        <v>3566.59</v>
      </c>
      <c r="H735">
        <f t="shared" si="150"/>
        <v>2.6137493525988128E-3</v>
      </c>
      <c r="I735" t="str">
        <f t="shared" si="144"/>
        <v>2012-12</v>
      </c>
      <c r="K735">
        <v>7435.21</v>
      </c>
      <c r="L735">
        <f t="shared" si="151"/>
        <v>4.0038569165156941E-3</v>
      </c>
      <c r="M735" t="str">
        <f t="shared" si="145"/>
        <v>2012-12</v>
      </c>
      <c r="O735">
        <v>7242.0205100000003</v>
      </c>
      <c r="P735">
        <f t="shared" si="152"/>
        <v>1.1039614431411248E-3</v>
      </c>
      <c r="Q735" t="str">
        <f t="shared" si="146"/>
        <v>2012-12</v>
      </c>
      <c r="S735">
        <v>7889.2</v>
      </c>
      <c r="T735">
        <f t="shared" si="153"/>
        <v>-5.7382075827359528E-3</v>
      </c>
      <c r="U735" t="str">
        <f t="shared" si="147"/>
        <v>2012-12</v>
      </c>
      <c r="W735">
        <v>15876.06</v>
      </c>
      <c r="X735">
        <f t="shared" si="154"/>
        <v>4.2809911266723684E-3</v>
      </c>
      <c r="Y735">
        <f t="shared" si="155"/>
        <v>4.2901676593978654E-3</v>
      </c>
      <c r="Z735" t="str">
        <f t="shared" si="148"/>
        <v>2012-12</v>
      </c>
    </row>
    <row r="736" spans="1:26" x14ac:dyDescent="0.35">
      <c r="A736" s="1">
        <v>41247</v>
      </c>
      <c r="C736">
        <v>2590.83</v>
      </c>
      <c r="D736">
        <f t="shared" si="149"/>
        <v>3.2745781881399708E-3</v>
      </c>
      <c r="E736" t="str">
        <f t="shared" si="143"/>
        <v>2012-12</v>
      </c>
      <c r="G736">
        <v>3580.48</v>
      </c>
      <c r="H736">
        <f t="shared" si="150"/>
        <v>3.8869123955991148E-3</v>
      </c>
      <c r="I736" t="str">
        <f t="shared" si="144"/>
        <v>2012-12</v>
      </c>
      <c r="K736">
        <v>7435.12</v>
      </c>
      <c r="L736">
        <f t="shared" si="151"/>
        <v>-1.2104640583123733E-5</v>
      </c>
      <c r="M736" t="str">
        <f t="shared" si="145"/>
        <v>2012-12</v>
      </c>
      <c r="O736">
        <v>7217.0542999999998</v>
      </c>
      <c r="P736">
        <f t="shared" si="152"/>
        <v>-3.4533654662918241E-3</v>
      </c>
      <c r="Q736" t="str">
        <f t="shared" si="146"/>
        <v>2012-12</v>
      </c>
      <c r="S736">
        <v>7902.4</v>
      </c>
      <c r="T736">
        <f t="shared" si="153"/>
        <v>1.6717752570120244E-3</v>
      </c>
      <c r="U736" t="str">
        <f t="shared" si="147"/>
        <v>2012-12</v>
      </c>
      <c r="W736">
        <v>16041.54</v>
      </c>
      <c r="X736">
        <f t="shared" si="154"/>
        <v>1.0369293601597119E-2</v>
      </c>
      <c r="Y736">
        <f t="shared" si="155"/>
        <v>1.0423241030835194E-2</v>
      </c>
      <c r="Z736" t="str">
        <f t="shared" si="148"/>
        <v>2012-12</v>
      </c>
    </row>
    <row r="737" spans="1:26" x14ac:dyDescent="0.35">
      <c r="A737" s="1">
        <v>41248</v>
      </c>
      <c r="C737">
        <v>2592.09</v>
      </c>
      <c r="D737">
        <f t="shared" si="149"/>
        <v>4.8621241494089054E-4</v>
      </c>
      <c r="E737" t="str">
        <f t="shared" si="143"/>
        <v>2012-12</v>
      </c>
      <c r="G737">
        <v>3590.5</v>
      </c>
      <c r="H737">
        <f t="shared" si="150"/>
        <v>2.7945989310159251E-3</v>
      </c>
      <c r="I737" t="str">
        <f t="shared" si="144"/>
        <v>2012-12</v>
      </c>
      <c r="K737">
        <v>7454.55</v>
      </c>
      <c r="L737">
        <f t="shared" si="151"/>
        <v>2.6098645609713899E-3</v>
      </c>
      <c r="M737" t="str">
        <f t="shared" si="145"/>
        <v>2012-12</v>
      </c>
      <c r="O737">
        <v>7251.40978</v>
      </c>
      <c r="P737">
        <f t="shared" si="152"/>
        <v>4.7490244132264523E-3</v>
      </c>
      <c r="Q737" t="str">
        <f t="shared" si="146"/>
        <v>2012-12</v>
      </c>
      <c r="S737">
        <v>7883.2</v>
      </c>
      <c r="T737">
        <f t="shared" si="153"/>
        <v>-2.4325979966617205E-3</v>
      </c>
      <c r="U737" t="str">
        <f t="shared" si="147"/>
        <v>2012-12</v>
      </c>
      <c r="W737">
        <v>15954.43</v>
      </c>
      <c r="X737">
        <f t="shared" si="154"/>
        <v>-5.4450741906379614E-3</v>
      </c>
      <c r="Y737">
        <f t="shared" si="155"/>
        <v>-5.4302766442623695E-3</v>
      </c>
      <c r="Z737" t="str">
        <f t="shared" si="148"/>
        <v>2012-12</v>
      </c>
    </row>
    <row r="738" spans="1:26" x14ac:dyDescent="0.35">
      <c r="A738" s="1">
        <v>41249</v>
      </c>
      <c r="C738">
        <v>2603.41</v>
      </c>
      <c r="D738">
        <f t="shared" si="149"/>
        <v>4.3576240642266718E-3</v>
      </c>
      <c r="E738" t="str">
        <f t="shared" si="143"/>
        <v>2012-12</v>
      </c>
      <c r="G738">
        <v>3601.65</v>
      </c>
      <c r="H738">
        <f t="shared" si="150"/>
        <v>3.1006052245231659E-3</v>
      </c>
      <c r="I738" t="str">
        <f t="shared" si="144"/>
        <v>2012-12</v>
      </c>
      <c r="K738">
        <v>7534.54</v>
      </c>
      <c r="L738">
        <f t="shared" si="151"/>
        <v>1.0673197552522044E-2</v>
      </c>
      <c r="M738" t="str">
        <f t="shared" si="145"/>
        <v>2012-12</v>
      </c>
      <c r="O738">
        <v>7308.2121100000004</v>
      </c>
      <c r="P738">
        <f t="shared" si="152"/>
        <v>7.8027600744745226E-3</v>
      </c>
      <c r="Q738" t="str">
        <f t="shared" si="146"/>
        <v>2012-12</v>
      </c>
      <c r="S738">
        <v>7910.8</v>
      </c>
      <c r="T738">
        <f t="shared" si="153"/>
        <v>3.495001658171324E-3</v>
      </c>
      <c r="U738" t="str">
        <f t="shared" si="147"/>
        <v>2012-12</v>
      </c>
      <c r="W738">
        <v>15835.22</v>
      </c>
      <c r="X738">
        <f t="shared" si="154"/>
        <v>-7.4999604456455057E-3</v>
      </c>
      <c r="Y738">
        <f t="shared" si="155"/>
        <v>-7.4719059220543097E-3</v>
      </c>
      <c r="Z738" t="str">
        <f t="shared" si="148"/>
        <v>2012-12</v>
      </c>
    </row>
    <row r="739" spans="1:26" x14ac:dyDescent="0.35">
      <c r="A739" s="1">
        <v>41250</v>
      </c>
      <c r="C739">
        <v>2601.37</v>
      </c>
      <c r="D739">
        <f t="shared" si="149"/>
        <v>-7.8389484453266628E-4</v>
      </c>
      <c r="E739" t="str">
        <f t="shared" si="143"/>
        <v>2012-12</v>
      </c>
      <c r="G739">
        <v>3605.61</v>
      </c>
      <c r="H739">
        <f t="shared" si="150"/>
        <v>1.098892061198258E-3</v>
      </c>
      <c r="I739" t="str">
        <f t="shared" si="144"/>
        <v>2012-12</v>
      </c>
      <c r="K739">
        <v>7517.8</v>
      </c>
      <c r="L739">
        <f t="shared" si="151"/>
        <v>-2.2242398060902898E-3</v>
      </c>
      <c r="M739" t="str">
        <f t="shared" si="145"/>
        <v>2012-12</v>
      </c>
      <c r="O739">
        <v>7329.4681899999996</v>
      </c>
      <c r="P739">
        <f t="shared" si="152"/>
        <v>2.9042982911928342E-3</v>
      </c>
      <c r="Q739" t="str">
        <f t="shared" si="146"/>
        <v>2012-12</v>
      </c>
      <c r="S739">
        <v>7848.5</v>
      </c>
      <c r="T739">
        <f t="shared" si="153"/>
        <v>-7.9064837326082854E-3</v>
      </c>
      <c r="U739" t="str">
        <f t="shared" si="147"/>
        <v>2012-12</v>
      </c>
      <c r="W739">
        <v>15699.22</v>
      </c>
      <c r="X739">
        <f t="shared" si="154"/>
        <v>-8.625543577052688E-3</v>
      </c>
      <c r="Y739">
        <f t="shared" si="155"/>
        <v>-8.5884503025534225E-3</v>
      </c>
      <c r="Z739" t="str">
        <f t="shared" si="148"/>
        <v>2012-12</v>
      </c>
    </row>
    <row r="740" spans="1:26" x14ac:dyDescent="0.35">
      <c r="A740" s="1">
        <v>41253</v>
      </c>
      <c r="C740">
        <v>2596.02</v>
      </c>
      <c r="D740">
        <f t="shared" si="149"/>
        <v>-2.05872635672881E-3</v>
      </c>
      <c r="E740" t="str">
        <f t="shared" si="143"/>
        <v>2012-12</v>
      </c>
      <c r="G740">
        <v>3612.1</v>
      </c>
      <c r="H740">
        <f t="shared" si="150"/>
        <v>1.7983548103478616E-3</v>
      </c>
      <c r="I740" t="str">
        <f t="shared" si="144"/>
        <v>2012-12</v>
      </c>
      <c r="K740">
        <v>7530.92</v>
      </c>
      <c r="L740">
        <f t="shared" si="151"/>
        <v>1.7436703353048721E-3</v>
      </c>
      <c r="M740" t="str">
        <f t="shared" si="145"/>
        <v>2012-12</v>
      </c>
      <c r="O740">
        <v>7356.1502499999997</v>
      </c>
      <c r="P740">
        <f t="shared" si="152"/>
        <v>3.6337712938437797E-3</v>
      </c>
      <c r="Q740" t="str">
        <f t="shared" si="146"/>
        <v>2012-12</v>
      </c>
      <c r="S740">
        <v>7804.4</v>
      </c>
      <c r="T740">
        <f t="shared" si="153"/>
        <v>-5.634753519518013E-3</v>
      </c>
      <c r="U740" t="str">
        <f t="shared" si="147"/>
        <v>2012-12</v>
      </c>
      <c r="W740">
        <v>15354.01</v>
      </c>
      <c r="X740">
        <f t="shared" si="154"/>
        <v>-2.2234351889858003E-2</v>
      </c>
      <c r="Y740">
        <f t="shared" si="155"/>
        <v>-2.1988990535835484E-2</v>
      </c>
      <c r="Z740" t="str">
        <f t="shared" si="148"/>
        <v>2012-12</v>
      </c>
    </row>
    <row r="741" spans="1:26" x14ac:dyDescent="0.35">
      <c r="A741" s="1">
        <v>41254</v>
      </c>
      <c r="C741">
        <v>2624.03</v>
      </c>
      <c r="D741">
        <f t="shared" si="149"/>
        <v>1.0731800970903387E-2</v>
      </c>
      <c r="E741" t="str">
        <f t="shared" si="143"/>
        <v>2012-12</v>
      </c>
      <c r="G741">
        <v>3646.15</v>
      </c>
      <c r="H741">
        <f t="shared" si="150"/>
        <v>9.3824957223126136E-3</v>
      </c>
      <c r="I741" t="str">
        <f t="shared" si="144"/>
        <v>2012-12</v>
      </c>
      <c r="K741">
        <v>7589.75</v>
      </c>
      <c r="L741">
        <f t="shared" si="151"/>
        <v>7.7814404851208356E-3</v>
      </c>
      <c r="M741" t="str">
        <f t="shared" si="145"/>
        <v>2012-12</v>
      </c>
      <c r="O741">
        <v>7343.8815800000002</v>
      </c>
      <c r="P741">
        <f t="shared" si="152"/>
        <v>-1.6692035759518782E-3</v>
      </c>
      <c r="Q741" t="str">
        <f t="shared" si="146"/>
        <v>2012-12</v>
      </c>
      <c r="S741">
        <v>7920.9</v>
      </c>
      <c r="T741">
        <f t="shared" si="153"/>
        <v>1.4817158520241895E-2</v>
      </c>
      <c r="U741" t="str">
        <f t="shared" si="147"/>
        <v>2012-12</v>
      </c>
      <c r="W741">
        <v>15585.61</v>
      </c>
      <c r="X741">
        <f t="shared" si="154"/>
        <v>1.497137495067807E-2</v>
      </c>
      <c r="Y741">
        <f t="shared" si="155"/>
        <v>1.5084007370061655E-2</v>
      </c>
      <c r="Z741" t="str">
        <f t="shared" si="148"/>
        <v>2012-12</v>
      </c>
    </row>
    <row r="742" spans="1:26" x14ac:dyDescent="0.35">
      <c r="A742" s="1">
        <v>41255</v>
      </c>
      <c r="C742">
        <v>2630.34</v>
      </c>
      <c r="D742">
        <f t="shared" si="149"/>
        <v>2.4018114572721665E-3</v>
      </c>
      <c r="E742" t="str">
        <f t="shared" si="143"/>
        <v>2012-12</v>
      </c>
      <c r="G742">
        <v>3646.66</v>
      </c>
      <c r="H742">
        <f t="shared" si="150"/>
        <v>1.3986378387231032E-4</v>
      </c>
      <c r="I742" t="str">
        <f t="shared" si="144"/>
        <v>2012-12</v>
      </c>
      <c r="K742">
        <v>7614.79</v>
      </c>
      <c r="L742">
        <f t="shared" si="151"/>
        <v>3.2937560278554394E-3</v>
      </c>
      <c r="M742" t="str">
        <f t="shared" si="145"/>
        <v>2012-12</v>
      </c>
      <c r="O742">
        <v>7344.1787199999999</v>
      </c>
      <c r="P742">
        <f t="shared" si="152"/>
        <v>4.0460073552509815E-5</v>
      </c>
      <c r="Q742" t="str">
        <f t="shared" si="146"/>
        <v>2012-12</v>
      </c>
      <c r="S742">
        <v>7986.8</v>
      </c>
      <c r="T742">
        <f t="shared" si="153"/>
        <v>8.2853431967572586E-3</v>
      </c>
      <c r="U742" t="str">
        <f t="shared" si="147"/>
        <v>2012-12</v>
      </c>
      <c r="W742">
        <v>15764.98</v>
      </c>
      <c r="X742">
        <f t="shared" si="154"/>
        <v>1.1442971710919386E-2</v>
      </c>
      <c r="Y742">
        <f t="shared" si="155"/>
        <v>1.1508692954590739E-2</v>
      </c>
      <c r="Z742" t="str">
        <f t="shared" si="148"/>
        <v>2012-12</v>
      </c>
    </row>
    <row r="743" spans="1:26" x14ac:dyDescent="0.35">
      <c r="A743" s="1">
        <v>41256</v>
      </c>
      <c r="C743">
        <v>2627.66</v>
      </c>
      <c r="D743">
        <f t="shared" si="149"/>
        <v>-1.0193990993087429E-3</v>
      </c>
      <c r="E743" t="str">
        <f t="shared" si="143"/>
        <v>2012-12</v>
      </c>
      <c r="G743">
        <v>3643.13</v>
      </c>
      <c r="H743">
        <f t="shared" si="150"/>
        <v>-9.6847790564974425E-4</v>
      </c>
      <c r="I743" t="str">
        <f t="shared" si="144"/>
        <v>2012-12</v>
      </c>
      <c r="K743">
        <v>7581.98</v>
      </c>
      <c r="L743">
        <f t="shared" si="151"/>
        <v>-4.318029552274452E-3</v>
      </c>
      <c r="M743" t="str">
        <f t="shared" si="145"/>
        <v>2012-12</v>
      </c>
      <c r="O743">
        <v>7305.6243199999999</v>
      </c>
      <c r="P743">
        <f t="shared" si="152"/>
        <v>-5.2634822331379411E-3</v>
      </c>
      <c r="Q743" t="str">
        <f t="shared" si="146"/>
        <v>2012-12</v>
      </c>
      <c r="S743">
        <v>8017.1</v>
      </c>
      <c r="T743">
        <f t="shared" si="153"/>
        <v>3.7865815462414668E-3</v>
      </c>
      <c r="U743" t="str">
        <f t="shared" si="147"/>
        <v>2012-12</v>
      </c>
      <c r="W743">
        <v>15866.29</v>
      </c>
      <c r="X743">
        <f t="shared" si="154"/>
        <v>6.405708428508624E-3</v>
      </c>
      <c r="Y743">
        <f t="shared" si="155"/>
        <v>6.4262688566684711E-3</v>
      </c>
      <c r="Z743" t="str">
        <f t="shared" si="148"/>
        <v>2012-12</v>
      </c>
    </row>
    <row r="744" spans="1:26" x14ac:dyDescent="0.35">
      <c r="A744" s="1">
        <v>41257</v>
      </c>
      <c r="C744">
        <v>2630.54</v>
      </c>
      <c r="D744">
        <f t="shared" si="149"/>
        <v>1.0954320063873522E-3</v>
      </c>
      <c r="E744" t="str">
        <f t="shared" si="143"/>
        <v>2012-12</v>
      </c>
      <c r="G744">
        <v>3643.28</v>
      </c>
      <c r="H744">
        <f t="shared" si="150"/>
        <v>4.1172539020179123E-5</v>
      </c>
      <c r="I744" t="str">
        <f t="shared" si="144"/>
        <v>2012-12</v>
      </c>
      <c r="K744">
        <v>7596.47</v>
      </c>
      <c r="L744">
        <f t="shared" si="151"/>
        <v>1.9092864425274043E-3</v>
      </c>
      <c r="M744" t="str">
        <f t="shared" si="145"/>
        <v>2012-12</v>
      </c>
      <c r="O744">
        <v>7273.1336899999997</v>
      </c>
      <c r="P744">
        <f t="shared" si="152"/>
        <v>-4.4572636117809978E-3</v>
      </c>
      <c r="Q744" t="str">
        <f t="shared" si="146"/>
        <v>2012-12</v>
      </c>
      <c r="S744">
        <v>8024.1</v>
      </c>
      <c r="T744">
        <f t="shared" si="153"/>
        <v>8.7275271729348694E-4</v>
      </c>
      <c r="U744" t="str">
        <f t="shared" si="147"/>
        <v>2012-12</v>
      </c>
      <c r="W744">
        <v>15908.09</v>
      </c>
      <c r="X744">
        <f t="shared" si="154"/>
        <v>2.6310520685623958E-3</v>
      </c>
      <c r="Y744">
        <f t="shared" si="155"/>
        <v>2.6345163236017538E-3</v>
      </c>
      <c r="Z744" t="str">
        <f t="shared" si="148"/>
        <v>2012-12</v>
      </c>
    </row>
    <row r="745" spans="1:26" x14ac:dyDescent="0.35">
      <c r="A745" s="1">
        <v>41260</v>
      </c>
      <c r="C745">
        <v>2628.01</v>
      </c>
      <c r="D745">
        <f t="shared" si="149"/>
        <v>-9.6224251750480028E-4</v>
      </c>
      <c r="E745" t="str">
        <f t="shared" si="143"/>
        <v>2012-12</v>
      </c>
      <c r="G745">
        <v>3638.1</v>
      </c>
      <c r="H745">
        <f t="shared" si="150"/>
        <v>-1.4228074551412473E-3</v>
      </c>
      <c r="I745" t="str">
        <f t="shared" si="144"/>
        <v>2012-12</v>
      </c>
      <c r="K745">
        <v>7604.94</v>
      </c>
      <c r="L745">
        <f t="shared" si="151"/>
        <v>1.1143704270219765E-3</v>
      </c>
      <c r="M745" t="str">
        <f t="shared" si="145"/>
        <v>2012-12</v>
      </c>
      <c r="O745">
        <v>7279.98344</v>
      </c>
      <c r="P745">
        <f t="shared" si="152"/>
        <v>9.4134479158345459E-4</v>
      </c>
      <c r="Q745" t="str">
        <f t="shared" si="146"/>
        <v>2012-12</v>
      </c>
      <c r="S745">
        <v>8040.3</v>
      </c>
      <c r="T745">
        <f t="shared" si="153"/>
        <v>2.0168827334416748E-3</v>
      </c>
      <c r="U745" t="str">
        <f t="shared" si="147"/>
        <v>2012-12</v>
      </c>
      <c r="W745">
        <v>16004.73</v>
      </c>
      <c r="X745">
        <f t="shared" si="154"/>
        <v>6.0565186910784673E-3</v>
      </c>
      <c r="Y745">
        <f t="shared" si="155"/>
        <v>6.074896483487296E-3</v>
      </c>
      <c r="Z745" t="str">
        <f t="shared" si="148"/>
        <v>2012-12</v>
      </c>
    </row>
    <row r="746" spans="1:26" x14ac:dyDescent="0.35">
      <c r="A746" s="1">
        <v>41261</v>
      </c>
      <c r="C746">
        <v>2643.5</v>
      </c>
      <c r="D746">
        <f t="shared" si="149"/>
        <v>5.876890903205239E-3</v>
      </c>
      <c r="E746" t="str">
        <f t="shared" si="143"/>
        <v>2012-12</v>
      </c>
      <c r="G746">
        <v>3648.63</v>
      </c>
      <c r="H746">
        <f t="shared" si="150"/>
        <v>2.8901873213133516E-3</v>
      </c>
      <c r="I746" t="str">
        <f t="shared" si="144"/>
        <v>2012-12</v>
      </c>
      <c r="K746">
        <v>7653.58</v>
      </c>
      <c r="L746">
        <f t="shared" si="151"/>
        <v>6.3754760952562965E-3</v>
      </c>
      <c r="M746" t="str">
        <f t="shared" si="145"/>
        <v>2012-12</v>
      </c>
      <c r="O746">
        <v>7292.22847</v>
      </c>
      <c r="P746">
        <f t="shared" si="152"/>
        <v>1.6806004411296963E-3</v>
      </c>
      <c r="Q746" t="str">
        <f t="shared" si="146"/>
        <v>2012-12</v>
      </c>
      <c r="S746">
        <v>8168.8</v>
      </c>
      <c r="T746">
        <f t="shared" si="153"/>
        <v>1.5855623331609253E-2</v>
      </c>
      <c r="U746" t="str">
        <f t="shared" si="147"/>
        <v>2012-12</v>
      </c>
      <c r="W746">
        <v>16155.14</v>
      </c>
      <c r="X746">
        <f t="shared" si="154"/>
        <v>9.353961735253968E-3</v>
      </c>
      <c r="Y746">
        <f t="shared" si="155"/>
        <v>9.3978467615511083E-3</v>
      </c>
      <c r="Z746" t="str">
        <f t="shared" si="148"/>
        <v>2012-12</v>
      </c>
    </row>
    <row r="747" spans="1:26" x14ac:dyDescent="0.35">
      <c r="A747" s="1">
        <v>41262</v>
      </c>
      <c r="C747">
        <v>2654.69</v>
      </c>
      <c r="D747">
        <f t="shared" si="149"/>
        <v>4.2240903548328435E-3</v>
      </c>
      <c r="E747" t="str">
        <f t="shared" si="143"/>
        <v>2012-12</v>
      </c>
      <c r="G747">
        <v>3664.59</v>
      </c>
      <c r="H747">
        <f t="shared" si="150"/>
        <v>4.3647053793980321E-3</v>
      </c>
      <c r="I747" t="str">
        <f t="shared" si="144"/>
        <v>2012-12</v>
      </c>
      <c r="K747">
        <v>7668.5</v>
      </c>
      <c r="L747">
        <f t="shared" si="151"/>
        <v>1.9475168796588142E-3</v>
      </c>
      <c r="M747" t="str">
        <f t="shared" si="145"/>
        <v>2012-12</v>
      </c>
      <c r="O747">
        <v>7322.6959399999996</v>
      </c>
      <c r="P747">
        <f t="shared" si="152"/>
        <v>4.1693700605733575E-3</v>
      </c>
      <c r="Q747" t="str">
        <f t="shared" si="146"/>
        <v>2012-12</v>
      </c>
      <c r="S747">
        <v>8264.2000000000007</v>
      </c>
      <c r="T747">
        <f t="shared" si="153"/>
        <v>1.161091362057415E-2</v>
      </c>
      <c r="U747" t="str">
        <f t="shared" si="147"/>
        <v>2012-12</v>
      </c>
      <c r="W747">
        <v>16332.5</v>
      </c>
      <c r="X747">
        <f t="shared" si="154"/>
        <v>1.0918722446193605E-2</v>
      </c>
      <c r="Y747">
        <f t="shared" si="155"/>
        <v>1.0978549241913136E-2</v>
      </c>
      <c r="Z747" t="str">
        <f t="shared" si="148"/>
        <v>2012-12</v>
      </c>
    </row>
    <row r="748" spans="1:26" x14ac:dyDescent="0.35">
      <c r="A748" s="1">
        <v>41263</v>
      </c>
      <c r="C748">
        <v>2658.3</v>
      </c>
      <c r="D748">
        <f t="shared" si="149"/>
        <v>1.3589336910286136E-3</v>
      </c>
      <c r="E748" t="str">
        <f t="shared" si="143"/>
        <v>2012-12</v>
      </c>
      <c r="G748">
        <v>3666.73</v>
      </c>
      <c r="H748">
        <f t="shared" si="150"/>
        <v>5.8379665893164864E-4</v>
      </c>
      <c r="I748" t="str">
        <f t="shared" si="144"/>
        <v>2012-12</v>
      </c>
      <c r="K748">
        <v>7672.1</v>
      </c>
      <c r="L748">
        <f t="shared" si="151"/>
        <v>4.6934279833705053E-4</v>
      </c>
      <c r="M748" t="str">
        <f t="shared" si="145"/>
        <v>2012-12</v>
      </c>
      <c r="O748">
        <v>7324.6179599999996</v>
      </c>
      <c r="P748">
        <f t="shared" si="152"/>
        <v>2.6243992914378323E-4</v>
      </c>
      <c r="Q748" t="str">
        <f t="shared" si="146"/>
        <v>2012-12</v>
      </c>
      <c r="S748">
        <v>8264.2000000000007</v>
      </c>
      <c r="T748">
        <f t="shared" si="153"/>
        <v>0</v>
      </c>
      <c r="U748" t="str">
        <f t="shared" si="147"/>
        <v>2012-12</v>
      </c>
      <c r="W748">
        <v>16399.36</v>
      </c>
      <c r="X748">
        <f t="shared" si="154"/>
        <v>4.0853219456691882E-3</v>
      </c>
      <c r="Y748">
        <f t="shared" si="155"/>
        <v>4.093678248890285E-3</v>
      </c>
      <c r="Z748" t="str">
        <f t="shared" si="148"/>
        <v>2012-12</v>
      </c>
    </row>
    <row r="749" spans="1:26" x14ac:dyDescent="0.35">
      <c r="A749" s="1">
        <v>41264</v>
      </c>
      <c r="C749">
        <v>2651.09</v>
      </c>
      <c r="D749">
        <f t="shared" si="149"/>
        <v>-2.7159445555739003E-3</v>
      </c>
      <c r="E749" t="str">
        <f t="shared" si="143"/>
        <v>2012-12</v>
      </c>
      <c r="G749">
        <v>3661.4</v>
      </c>
      <c r="H749">
        <f t="shared" si="150"/>
        <v>-1.4546687735844679E-3</v>
      </c>
      <c r="I749" t="str">
        <f t="shared" si="144"/>
        <v>2012-12</v>
      </c>
      <c r="K749">
        <v>7636.23</v>
      </c>
      <c r="L749">
        <f t="shared" si="151"/>
        <v>-4.6863460152183692E-3</v>
      </c>
      <c r="M749" t="str">
        <f t="shared" si="145"/>
        <v>2012-12</v>
      </c>
      <c r="O749">
        <v>7291.8124600000001</v>
      </c>
      <c r="P749">
        <f t="shared" si="152"/>
        <v>-4.4888600216128373E-3</v>
      </c>
      <c r="Q749" t="str">
        <f t="shared" si="146"/>
        <v>2012-12</v>
      </c>
      <c r="S749">
        <v>8291</v>
      </c>
      <c r="T749">
        <f t="shared" si="153"/>
        <v>3.2376562543163503E-3</v>
      </c>
      <c r="U749" t="str">
        <f t="shared" si="147"/>
        <v>2012-12</v>
      </c>
      <c r="W749">
        <v>16333.95</v>
      </c>
      <c r="X749">
        <f t="shared" si="154"/>
        <v>-3.9965458465856946E-3</v>
      </c>
      <c r="Y749">
        <f t="shared" si="155"/>
        <v>-3.9885702856696757E-3</v>
      </c>
      <c r="Z749" t="str">
        <f t="shared" si="148"/>
        <v>2012-12</v>
      </c>
    </row>
    <row r="750" spans="1:26" x14ac:dyDescent="0.35">
      <c r="A750" s="1">
        <v>41270</v>
      </c>
      <c r="C750">
        <v>2659.95</v>
      </c>
      <c r="D750">
        <f t="shared" si="149"/>
        <v>3.3364494408052135E-3</v>
      </c>
      <c r="E750" t="str">
        <f t="shared" si="143"/>
        <v>2012-12</v>
      </c>
      <c r="G750">
        <v>3674.26</v>
      </c>
      <c r="H750">
        <f t="shared" si="150"/>
        <v>3.5061639100488358E-3</v>
      </c>
      <c r="I750" t="str">
        <f t="shared" si="144"/>
        <v>2012-12</v>
      </c>
      <c r="K750">
        <v>7655.88</v>
      </c>
      <c r="L750">
        <f t="shared" si="151"/>
        <v>2.5699541548074773E-3</v>
      </c>
      <c r="M750" t="str">
        <f t="shared" si="145"/>
        <v>2012-12</v>
      </c>
      <c r="O750">
        <v>7244.7739499999998</v>
      </c>
      <c r="P750">
        <f t="shared" si="152"/>
        <v>-6.4717634322341696E-3</v>
      </c>
      <c r="Q750" t="str">
        <f t="shared" si="146"/>
        <v>2012-12</v>
      </c>
      <c r="S750">
        <v>8280.9</v>
      </c>
      <c r="T750">
        <f t="shared" si="153"/>
        <v>-1.2189309916838479E-3</v>
      </c>
      <c r="U750" t="str">
        <f t="shared" si="147"/>
        <v>2012-12</v>
      </c>
      <c r="W750">
        <v>16408.28</v>
      </c>
      <c r="X750">
        <f t="shared" si="154"/>
        <v>4.5403216390411455E-3</v>
      </c>
      <c r="Y750">
        <f t="shared" si="155"/>
        <v>4.5506445164824249E-3</v>
      </c>
      <c r="Z750" t="str">
        <f t="shared" si="148"/>
        <v>2012-12</v>
      </c>
    </row>
    <row r="751" spans="1:26" x14ac:dyDescent="0.35">
      <c r="A751" s="1">
        <v>41271</v>
      </c>
      <c r="C751">
        <v>2626.85</v>
      </c>
      <c r="D751">
        <f t="shared" si="149"/>
        <v>-1.2521915904162139E-2</v>
      </c>
      <c r="E751" t="str">
        <f t="shared" si="143"/>
        <v>2012-12</v>
      </c>
      <c r="G751">
        <v>3620.25</v>
      </c>
      <c r="H751">
        <f t="shared" si="150"/>
        <v>-1.4808667618251226E-2</v>
      </c>
      <c r="I751" t="str">
        <f t="shared" si="144"/>
        <v>2012-12</v>
      </c>
      <c r="K751">
        <v>7612.39</v>
      </c>
      <c r="L751">
        <f t="shared" si="151"/>
        <v>-5.696797032907621E-3</v>
      </c>
      <c r="M751" t="str">
        <f t="shared" si="145"/>
        <v>2012-12</v>
      </c>
      <c r="O751">
        <v>7242.0192999999999</v>
      </c>
      <c r="P751">
        <f t="shared" si="152"/>
        <v>-3.8029810816818523E-4</v>
      </c>
      <c r="Q751" t="str">
        <f t="shared" si="146"/>
        <v>2012-12</v>
      </c>
      <c r="S751">
        <v>8131</v>
      </c>
      <c r="T751">
        <f t="shared" si="153"/>
        <v>-1.8267740916697302E-2</v>
      </c>
      <c r="U751" t="str">
        <f t="shared" si="147"/>
        <v>2012-12</v>
      </c>
      <c r="W751">
        <v>16273.38</v>
      </c>
      <c r="X751">
        <f t="shared" si="154"/>
        <v>-8.2554415011190097E-3</v>
      </c>
      <c r="Y751">
        <f t="shared" si="155"/>
        <v>-8.2214589219588921E-3</v>
      </c>
      <c r="Z751" t="str">
        <f t="shared" si="148"/>
        <v>2012-12</v>
      </c>
    </row>
    <row r="752" spans="1:26" x14ac:dyDescent="0.35">
      <c r="A752" s="1">
        <v>41276</v>
      </c>
      <c r="C752">
        <v>2711.25</v>
      </c>
      <c r="D752">
        <f t="shared" si="149"/>
        <v>3.1624373438648379E-2</v>
      </c>
      <c r="E752" t="str">
        <f t="shared" si="143"/>
        <v>2013-01</v>
      </c>
      <c r="G752">
        <v>3733.93</v>
      </c>
      <c r="H752">
        <f t="shared" si="150"/>
        <v>3.0918214064851679E-2</v>
      </c>
      <c r="I752" t="str">
        <f t="shared" si="144"/>
        <v>2013-01</v>
      </c>
      <c r="K752">
        <v>7778.78</v>
      </c>
      <c r="L752">
        <f t="shared" si="151"/>
        <v>2.1622330540912026E-2</v>
      </c>
      <c r="M752" t="str">
        <f t="shared" si="145"/>
        <v>2013-01</v>
      </c>
      <c r="O752">
        <v>7428.8284999999996</v>
      </c>
      <c r="P752">
        <f t="shared" si="152"/>
        <v>2.5468098347014849E-2</v>
      </c>
      <c r="Q752" t="str">
        <f t="shared" si="146"/>
        <v>2013-01</v>
      </c>
      <c r="S752">
        <v>8447.6</v>
      </c>
      <c r="T752">
        <f t="shared" si="153"/>
        <v>3.819846013238179E-2</v>
      </c>
      <c r="U752" t="str">
        <f t="shared" si="147"/>
        <v>2013-01</v>
      </c>
      <c r="W752">
        <v>16893.39</v>
      </c>
      <c r="X752">
        <f t="shared" si="154"/>
        <v>3.7391777189854786E-2</v>
      </c>
      <c r="Y752">
        <f t="shared" si="155"/>
        <v>3.8099644941616322E-2</v>
      </c>
      <c r="Z752" t="str">
        <f t="shared" si="148"/>
        <v>2013-01</v>
      </c>
    </row>
    <row r="753" spans="1:26" x14ac:dyDescent="0.35">
      <c r="A753" s="1">
        <v>41277</v>
      </c>
      <c r="C753">
        <v>2701.22</v>
      </c>
      <c r="D753">
        <f t="shared" si="149"/>
        <v>-3.7062603511188036E-3</v>
      </c>
      <c r="E753" t="str">
        <f t="shared" si="143"/>
        <v>2013-01</v>
      </c>
      <c r="G753">
        <v>3721.17</v>
      </c>
      <c r="H753">
        <f t="shared" si="150"/>
        <v>-3.4231633271686601E-3</v>
      </c>
      <c r="I753" t="str">
        <f t="shared" si="144"/>
        <v>2013-01</v>
      </c>
      <c r="K753">
        <v>7756.44</v>
      </c>
      <c r="L753">
        <f t="shared" si="151"/>
        <v>-2.8760475099871602E-3</v>
      </c>
      <c r="M753" t="str">
        <f t="shared" si="145"/>
        <v>2013-01</v>
      </c>
      <c r="O753">
        <v>7451.8209900000002</v>
      </c>
      <c r="P753">
        <f t="shared" si="152"/>
        <v>3.0902560151060679E-3</v>
      </c>
      <c r="Q753" t="str">
        <f t="shared" si="146"/>
        <v>2013-01</v>
      </c>
      <c r="S753">
        <v>8403.4</v>
      </c>
      <c r="T753">
        <f t="shared" si="153"/>
        <v>-5.2459914980546671E-3</v>
      </c>
      <c r="U753" t="str">
        <f t="shared" si="147"/>
        <v>2013-01</v>
      </c>
      <c r="W753">
        <v>16909.830000000002</v>
      </c>
      <c r="X753">
        <f t="shared" si="154"/>
        <v>9.7268847738114566E-4</v>
      </c>
      <c r="Y753">
        <f t="shared" si="155"/>
        <v>9.7316169223597682E-4</v>
      </c>
      <c r="Z753" t="str">
        <f t="shared" si="148"/>
        <v>2013-01</v>
      </c>
    </row>
    <row r="754" spans="1:26" x14ac:dyDescent="0.35">
      <c r="A754" s="1">
        <v>41278</v>
      </c>
      <c r="C754">
        <v>2709.35</v>
      </c>
      <c r="D754">
        <f t="shared" si="149"/>
        <v>3.0052309160703682E-3</v>
      </c>
      <c r="E754" t="str">
        <f t="shared" si="143"/>
        <v>2013-01</v>
      </c>
      <c r="G754">
        <v>3730.02</v>
      </c>
      <c r="H754">
        <f t="shared" si="150"/>
        <v>2.3754606073860696E-3</v>
      </c>
      <c r="I754" t="str">
        <f t="shared" si="144"/>
        <v>2013-01</v>
      </c>
      <c r="K754">
        <v>7776.37</v>
      </c>
      <c r="L754">
        <f t="shared" si="151"/>
        <v>2.5661822860218305E-3</v>
      </c>
      <c r="M754" t="str">
        <f t="shared" si="145"/>
        <v>2013-01</v>
      </c>
      <c r="O754">
        <v>7488.0437400000001</v>
      </c>
      <c r="P754">
        <f t="shared" si="152"/>
        <v>4.8491497926992028E-3</v>
      </c>
      <c r="Q754" t="str">
        <f t="shared" si="146"/>
        <v>2013-01</v>
      </c>
      <c r="S754">
        <v>8435.7999999999993</v>
      </c>
      <c r="T754">
        <f t="shared" si="153"/>
        <v>3.848168557018567E-3</v>
      </c>
      <c r="U754" t="str">
        <f t="shared" si="147"/>
        <v>2013-01</v>
      </c>
      <c r="W754">
        <v>16959.78</v>
      </c>
      <c r="X754">
        <f t="shared" si="154"/>
        <v>2.9495489445004442E-3</v>
      </c>
      <c r="Y754">
        <f t="shared" si="155"/>
        <v>2.9539031439107955E-3</v>
      </c>
      <c r="Z754" t="str">
        <f t="shared" si="148"/>
        <v>2013-01</v>
      </c>
    </row>
    <row r="755" spans="1:26" x14ac:dyDescent="0.35">
      <c r="A755" s="1">
        <v>41281</v>
      </c>
      <c r="C755">
        <v>2695.56</v>
      </c>
      <c r="D755">
        <f t="shared" si="149"/>
        <v>-5.102778740956551E-3</v>
      </c>
      <c r="E755" t="str">
        <f t="shared" si="143"/>
        <v>2013-01</v>
      </c>
      <c r="G755">
        <v>3704.64</v>
      </c>
      <c r="H755">
        <f t="shared" si="150"/>
        <v>-6.827507536417401E-3</v>
      </c>
      <c r="I755" t="str">
        <f t="shared" si="144"/>
        <v>2013-01</v>
      </c>
      <c r="K755">
        <v>7732.66</v>
      </c>
      <c r="L755">
        <f t="shared" si="151"/>
        <v>-5.6367310827478223E-3</v>
      </c>
      <c r="M755" t="str">
        <f t="shared" si="145"/>
        <v>2013-01</v>
      </c>
      <c r="O755">
        <v>7444.7022299999999</v>
      </c>
      <c r="P755">
        <f t="shared" si="152"/>
        <v>-5.8049111387219925E-3</v>
      </c>
      <c r="Q755" t="str">
        <f t="shared" si="146"/>
        <v>2013-01</v>
      </c>
      <c r="S755">
        <v>8419</v>
      </c>
      <c r="T755">
        <f t="shared" si="153"/>
        <v>-1.9934980615192795E-3</v>
      </c>
      <c r="U755" t="str">
        <f t="shared" si="147"/>
        <v>2013-01</v>
      </c>
      <c r="W755">
        <v>16895.66</v>
      </c>
      <c r="X755">
        <f t="shared" si="154"/>
        <v>-3.7878743661925616E-3</v>
      </c>
      <c r="Y755">
        <f t="shared" si="155"/>
        <v>-3.7807094195796754E-3</v>
      </c>
      <c r="Z755" t="str">
        <f t="shared" si="148"/>
        <v>2013-01</v>
      </c>
    </row>
    <row r="756" spans="1:26" x14ac:dyDescent="0.35">
      <c r="A756" s="1">
        <v>41282</v>
      </c>
      <c r="C756">
        <v>2691.45</v>
      </c>
      <c r="D756">
        <f t="shared" si="149"/>
        <v>-1.5258931382937683E-3</v>
      </c>
      <c r="E756" t="str">
        <f t="shared" si="143"/>
        <v>2013-01</v>
      </c>
      <c r="G756">
        <v>3705.88</v>
      </c>
      <c r="H756">
        <f t="shared" si="150"/>
        <v>3.3465937925363702E-4</v>
      </c>
      <c r="I756" t="str">
        <f t="shared" si="144"/>
        <v>2013-01</v>
      </c>
      <c r="K756">
        <v>7695.83</v>
      </c>
      <c r="L756">
        <f t="shared" si="151"/>
        <v>-4.7742935255732435E-3</v>
      </c>
      <c r="M756" t="str">
        <f t="shared" si="145"/>
        <v>2013-01</v>
      </c>
      <c r="O756">
        <v>7430.6339799999996</v>
      </c>
      <c r="P756">
        <f t="shared" si="152"/>
        <v>-1.8914872236504127E-3</v>
      </c>
      <c r="Q756" t="str">
        <f t="shared" si="146"/>
        <v>2013-01</v>
      </c>
      <c r="S756">
        <v>8453</v>
      </c>
      <c r="T756">
        <f t="shared" si="153"/>
        <v>4.030351591263779E-3</v>
      </c>
      <c r="U756" t="str">
        <f t="shared" si="147"/>
        <v>2013-01</v>
      </c>
      <c r="W756">
        <v>16951.14</v>
      </c>
      <c r="X756">
        <f t="shared" si="154"/>
        <v>3.2783039866831273E-3</v>
      </c>
      <c r="Y756">
        <f t="shared" si="155"/>
        <v>3.2836835021537816E-3</v>
      </c>
      <c r="Z756" t="str">
        <f t="shared" si="148"/>
        <v>2013-01</v>
      </c>
    </row>
    <row r="757" spans="1:26" x14ac:dyDescent="0.35">
      <c r="A757" s="1">
        <v>41283</v>
      </c>
      <c r="C757">
        <v>2706.39</v>
      </c>
      <c r="D757">
        <f t="shared" si="149"/>
        <v>5.5355616875720978E-3</v>
      </c>
      <c r="E757" t="str">
        <f t="shared" si="143"/>
        <v>2013-01</v>
      </c>
      <c r="G757">
        <v>3717.45</v>
      </c>
      <c r="H757">
        <f t="shared" si="150"/>
        <v>3.1172019481163563E-3</v>
      </c>
      <c r="I757" t="str">
        <f t="shared" si="144"/>
        <v>2013-01</v>
      </c>
      <c r="K757">
        <v>7720.47</v>
      </c>
      <c r="L757">
        <f t="shared" si="151"/>
        <v>3.1966192901962658E-3</v>
      </c>
      <c r="M757" t="str">
        <f t="shared" si="145"/>
        <v>2013-01</v>
      </c>
      <c r="O757">
        <v>7479.0009600000003</v>
      </c>
      <c r="P757">
        <f t="shared" si="152"/>
        <v>6.4880394269168406E-3</v>
      </c>
      <c r="Q757" t="str">
        <f t="shared" si="146"/>
        <v>2013-01</v>
      </c>
      <c r="S757">
        <v>8606.4</v>
      </c>
      <c r="T757">
        <f t="shared" si="153"/>
        <v>1.7984704590050419E-2</v>
      </c>
      <c r="U757" t="str">
        <f t="shared" si="147"/>
        <v>2013-01</v>
      </c>
      <c r="W757">
        <v>17326.27</v>
      </c>
      <c r="X757">
        <f t="shared" si="154"/>
        <v>2.1888758660628588E-2</v>
      </c>
      <c r="Y757">
        <f t="shared" si="155"/>
        <v>2.2130075027402347E-2</v>
      </c>
      <c r="Z757" t="str">
        <f t="shared" si="148"/>
        <v>2013-01</v>
      </c>
    </row>
    <row r="758" spans="1:26" x14ac:dyDescent="0.35">
      <c r="A758" s="1">
        <v>41284</v>
      </c>
      <c r="C758">
        <v>2708.27</v>
      </c>
      <c r="D758">
        <f t="shared" si="149"/>
        <v>6.9441112666198616E-4</v>
      </c>
      <c r="E758" t="str">
        <f t="shared" si="143"/>
        <v>2013-01</v>
      </c>
      <c r="G758">
        <v>3703.12</v>
      </c>
      <c r="H758">
        <f t="shared" si="150"/>
        <v>-3.8622417990193084E-3</v>
      </c>
      <c r="I758" t="str">
        <f t="shared" si="144"/>
        <v>2013-01</v>
      </c>
      <c r="K758">
        <v>7708.47</v>
      </c>
      <c r="L758">
        <f t="shared" si="151"/>
        <v>-1.5555187095987538E-3</v>
      </c>
      <c r="M758" t="str">
        <f t="shared" si="145"/>
        <v>2013-01</v>
      </c>
      <c r="O758">
        <v>7436.3878699999996</v>
      </c>
      <c r="P758">
        <f t="shared" si="152"/>
        <v>-5.7139919619517638E-3</v>
      </c>
      <c r="Q758" t="str">
        <f t="shared" si="146"/>
        <v>2013-01</v>
      </c>
      <c r="S758">
        <v>8618.9</v>
      </c>
      <c r="T758">
        <f t="shared" si="153"/>
        <v>1.4513537870684324E-3</v>
      </c>
      <c r="U758" t="str">
        <f t="shared" si="147"/>
        <v>2013-01</v>
      </c>
      <c r="W758">
        <v>17451.07</v>
      </c>
      <c r="X758">
        <f t="shared" si="154"/>
        <v>7.1771179575072976E-3</v>
      </c>
      <c r="Y758">
        <f t="shared" si="155"/>
        <v>7.2029351960923652E-3</v>
      </c>
      <c r="Z758" t="str">
        <f t="shared" si="148"/>
        <v>2013-01</v>
      </c>
    </row>
    <row r="759" spans="1:26" x14ac:dyDescent="0.35">
      <c r="A759" s="1">
        <v>41285</v>
      </c>
      <c r="C759">
        <v>2717.79</v>
      </c>
      <c r="D759">
        <f t="shared" si="149"/>
        <v>3.5089953919970915E-3</v>
      </c>
      <c r="E759" t="str">
        <f t="shared" si="143"/>
        <v>2013-01</v>
      </c>
      <c r="G759">
        <v>3706.02</v>
      </c>
      <c r="H759">
        <f t="shared" si="150"/>
        <v>7.8281693910337404E-4</v>
      </c>
      <c r="I759" t="str">
        <f t="shared" si="144"/>
        <v>2013-01</v>
      </c>
      <c r="K759">
        <v>7715.53</v>
      </c>
      <c r="L759">
        <f t="shared" si="151"/>
        <v>9.1545649546920151E-4</v>
      </c>
      <c r="M759" t="str">
        <f t="shared" si="145"/>
        <v>2013-01</v>
      </c>
      <c r="O759">
        <v>7395.3818300000003</v>
      </c>
      <c r="P759">
        <f t="shared" si="152"/>
        <v>-5.529501241005816E-3</v>
      </c>
      <c r="Q759" t="str">
        <f t="shared" si="146"/>
        <v>2013-01</v>
      </c>
      <c r="S759">
        <v>8664.7000000000007</v>
      </c>
      <c r="T759">
        <f t="shared" si="153"/>
        <v>5.2998342016026571E-3</v>
      </c>
      <c r="U759" t="str">
        <f t="shared" si="147"/>
        <v>2013-01</v>
      </c>
      <c r="W759">
        <v>17502.39</v>
      </c>
      <c r="X759">
        <f t="shared" si="154"/>
        <v>2.9364782128740241E-3</v>
      </c>
      <c r="Y759">
        <f t="shared" si="155"/>
        <v>2.9407938882830514E-3</v>
      </c>
      <c r="Z759" t="str">
        <f t="shared" si="148"/>
        <v>2013-01</v>
      </c>
    </row>
    <row r="760" spans="1:26" x14ac:dyDescent="0.35">
      <c r="A760" s="1">
        <v>41288</v>
      </c>
      <c r="C760">
        <v>2715.16</v>
      </c>
      <c r="D760">
        <f t="shared" si="149"/>
        <v>-9.681665413578558E-4</v>
      </c>
      <c r="E760" t="str">
        <f t="shared" si="143"/>
        <v>2013-01</v>
      </c>
      <c r="G760">
        <v>3708.25</v>
      </c>
      <c r="H760">
        <f t="shared" si="150"/>
        <v>6.0154271890408713E-4</v>
      </c>
      <c r="I760" t="str">
        <f t="shared" si="144"/>
        <v>2013-01</v>
      </c>
      <c r="K760">
        <v>7729.52</v>
      </c>
      <c r="L760">
        <f t="shared" si="151"/>
        <v>1.8115841419841564E-3</v>
      </c>
      <c r="M760" t="str">
        <f t="shared" si="145"/>
        <v>2013-01</v>
      </c>
      <c r="O760">
        <v>7347.5334300000004</v>
      </c>
      <c r="P760">
        <f t="shared" si="152"/>
        <v>-6.4910592184995366E-3</v>
      </c>
      <c r="Q760" t="str">
        <f t="shared" si="146"/>
        <v>2013-01</v>
      </c>
      <c r="S760">
        <v>8632.1</v>
      </c>
      <c r="T760">
        <f t="shared" si="153"/>
        <v>-3.7694878360404567E-3</v>
      </c>
      <c r="U760" t="str">
        <f t="shared" si="147"/>
        <v>2013-01</v>
      </c>
      <c r="W760">
        <v>17391.240000000002</v>
      </c>
      <c r="X760">
        <f t="shared" si="154"/>
        <v>-6.3708118610237997E-3</v>
      </c>
      <c r="Y760">
        <f t="shared" si="155"/>
        <v>-6.3505612662040911E-3</v>
      </c>
      <c r="Z760" t="str">
        <f t="shared" si="148"/>
        <v>2013-01</v>
      </c>
    </row>
    <row r="761" spans="1:26" x14ac:dyDescent="0.35">
      <c r="A761" s="1">
        <v>41289</v>
      </c>
      <c r="C761">
        <v>2701.59</v>
      </c>
      <c r="D761">
        <f t="shared" si="149"/>
        <v>-5.0103949373675634E-3</v>
      </c>
      <c r="E761" t="str">
        <f t="shared" si="143"/>
        <v>2013-01</v>
      </c>
      <c r="G761">
        <v>3697.35</v>
      </c>
      <c r="H761">
        <f t="shared" si="150"/>
        <v>-2.943720392986929E-3</v>
      </c>
      <c r="I761" t="str">
        <f t="shared" si="144"/>
        <v>2013-01</v>
      </c>
      <c r="K761">
        <v>7675.91</v>
      </c>
      <c r="L761">
        <f t="shared" si="151"/>
        <v>-6.9599117203718221E-3</v>
      </c>
      <c r="M761" t="str">
        <f t="shared" si="145"/>
        <v>2013-01</v>
      </c>
      <c r="O761">
        <v>7373.3425999999999</v>
      </c>
      <c r="P761">
        <f t="shared" si="152"/>
        <v>3.5064756189564753E-3</v>
      </c>
      <c r="Q761" t="str">
        <f t="shared" si="146"/>
        <v>2013-01</v>
      </c>
      <c r="S761">
        <v>8601</v>
      </c>
      <c r="T761">
        <f t="shared" si="153"/>
        <v>-3.609337120129231E-3</v>
      </c>
      <c r="U761" t="str">
        <f t="shared" si="147"/>
        <v>2013-01</v>
      </c>
      <c r="W761">
        <v>17467.48</v>
      </c>
      <c r="X761">
        <f t="shared" si="154"/>
        <v>4.3742352882850137E-3</v>
      </c>
      <c r="Y761">
        <f t="shared" si="155"/>
        <v>4.3838162201198967E-3</v>
      </c>
      <c r="Z761" t="str">
        <f t="shared" si="148"/>
        <v>2013-01</v>
      </c>
    </row>
    <row r="762" spans="1:26" x14ac:dyDescent="0.35">
      <c r="A762" s="1">
        <v>41290</v>
      </c>
      <c r="C762">
        <v>2702.54</v>
      </c>
      <c r="D762">
        <f t="shared" si="149"/>
        <v>3.515829596199354E-4</v>
      </c>
      <c r="E762" t="str">
        <f t="shared" si="143"/>
        <v>2013-01</v>
      </c>
      <c r="G762">
        <v>3708.49</v>
      </c>
      <c r="H762">
        <f t="shared" si="150"/>
        <v>3.0084388542202883E-3</v>
      </c>
      <c r="I762" t="str">
        <f t="shared" si="144"/>
        <v>2013-01</v>
      </c>
      <c r="K762">
        <v>7691.13</v>
      </c>
      <c r="L762">
        <f t="shared" si="151"/>
        <v>1.9808635855326747E-3</v>
      </c>
      <c r="M762" t="str">
        <f t="shared" si="145"/>
        <v>2013-01</v>
      </c>
      <c r="O762">
        <v>7349.2213300000003</v>
      </c>
      <c r="P762">
        <f t="shared" si="152"/>
        <v>-3.2767786504781546E-3</v>
      </c>
      <c r="Q762" t="str">
        <f t="shared" si="146"/>
        <v>2013-01</v>
      </c>
      <c r="S762">
        <v>8581.1</v>
      </c>
      <c r="T762">
        <f t="shared" si="153"/>
        <v>-2.3163651588415323E-3</v>
      </c>
      <c r="U762" t="str">
        <f t="shared" si="147"/>
        <v>2013-01</v>
      </c>
      <c r="W762">
        <v>17339.95</v>
      </c>
      <c r="X762">
        <f t="shared" si="154"/>
        <v>-7.3277786183775081E-3</v>
      </c>
      <c r="Y762">
        <f t="shared" si="155"/>
        <v>-7.3009959078240731E-3</v>
      </c>
      <c r="Z762" t="str">
        <f t="shared" si="148"/>
        <v>2013-01</v>
      </c>
    </row>
    <row r="763" spans="1:26" x14ac:dyDescent="0.35">
      <c r="A763" s="1">
        <v>41291</v>
      </c>
      <c r="C763">
        <v>2718.93</v>
      </c>
      <c r="D763">
        <f t="shared" si="149"/>
        <v>6.0463490280549146E-3</v>
      </c>
      <c r="E763" t="str">
        <f t="shared" si="143"/>
        <v>2013-01</v>
      </c>
      <c r="G763">
        <v>3744.11</v>
      </c>
      <c r="H763">
        <f t="shared" si="150"/>
        <v>9.5591528428143197E-3</v>
      </c>
      <c r="I763" t="str">
        <f t="shared" si="144"/>
        <v>2013-01</v>
      </c>
      <c r="K763">
        <v>7735.46</v>
      </c>
      <c r="L763">
        <f t="shared" si="151"/>
        <v>5.7472353930322385E-3</v>
      </c>
      <c r="M763" t="str">
        <f t="shared" si="145"/>
        <v>2013-01</v>
      </c>
      <c r="O763">
        <v>7338.2745500000001</v>
      </c>
      <c r="P763">
        <f t="shared" si="152"/>
        <v>-1.4906260558484835E-3</v>
      </c>
      <c r="Q763" t="str">
        <f t="shared" si="146"/>
        <v>2013-01</v>
      </c>
      <c r="S763">
        <v>8628.9</v>
      </c>
      <c r="T763">
        <f t="shared" si="153"/>
        <v>5.5549242201490658E-3</v>
      </c>
      <c r="U763" t="str">
        <f t="shared" si="147"/>
        <v>2013-01</v>
      </c>
      <c r="W763">
        <v>17587.349999999999</v>
      </c>
      <c r="X763">
        <f t="shared" si="154"/>
        <v>1.4166805777594155E-2</v>
      </c>
      <c r="Y763">
        <f t="shared" si="155"/>
        <v>1.426763052949967E-2</v>
      </c>
      <c r="Z763" t="str">
        <f t="shared" si="148"/>
        <v>2013-01</v>
      </c>
    </row>
    <row r="764" spans="1:26" x14ac:dyDescent="0.35">
      <c r="A764" s="1">
        <v>41292</v>
      </c>
      <c r="C764">
        <v>2709.59</v>
      </c>
      <c r="D764">
        <f t="shared" si="149"/>
        <v>-3.4410886268498846E-3</v>
      </c>
      <c r="E764" t="str">
        <f t="shared" si="143"/>
        <v>2013-01</v>
      </c>
      <c r="G764">
        <v>3741.58</v>
      </c>
      <c r="H764">
        <f t="shared" si="150"/>
        <v>-6.7595641719960984E-4</v>
      </c>
      <c r="I764" t="str">
        <f t="shared" si="144"/>
        <v>2013-01</v>
      </c>
      <c r="K764">
        <v>7702.23</v>
      </c>
      <c r="L764">
        <f t="shared" si="151"/>
        <v>-4.3050548783306946E-3</v>
      </c>
      <c r="M764" t="str">
        <f t="shared" si="145"/>
        <v>2013-01</v>
      </c>
      <c r="O764">
        <v>7332.5306700000001</v>
      </c>
      <c r="P764">
        <f t="shared" si="152"/>
        <v>-7.8303545134052947E-4</v>
      </c>
      <c r="Q764" t="str">
        <f t="shared" si="146"/>
        <v>2013-01</v>
      </c>
      <c r="S764">
        <v>8604</v>
      </c>
      <c r="T764">
        <f t="shared" si="153"/>
        <v>-2.8898232251663904E-3</v>
      </c>
      <c r="U764" t="str">
        <f t="shared" si="147"/>
        <v>2013-01</v>
      </c>
      <c r="W764">
        <v>17554.13</v>
      </c>
      <c r="X764">
        <f t="shared" si="154"/>
        <v>-1.8906437574910467E-3</v>
      </c>
      <c r="Y764">
        <f t="shared" si="155"/>
        <v>-1.8888576164116555E-3</v>
      </c>
      <c r="Z764" t="str">
        <f t="shared" si="148"/>
        <v>2013-01</v>
      </c>
    </row>
    <row r="765" spans="1:26" x14ac:dyDescent="0.35">
      <c r="A765" s="1">
        <v>41295</v>
      </c>
      <c r="C765">
        <v>2726.63</v>
      </c>
      <c r="D765">
        <f t="shared" si="149"/>
        <v>6.2690824903866163E-3</v>
      </c>
      <c r="E765" t="str">
        <f t="shared" si="143"/>
        <v>2013-01</v>
      </c>
      <c r="G765">
        <v>3763.03</v>
      </c>
      <c r="H765">
        <f t="shared" si="150"/>
        <v>5.7165018335653111E-3</v>
      </c>
      <c r="I765" t="str">
        <f t="shared" si="144"/>
        <v>2013-01</v>
      </c>
      <c r="K765">
        <v>7748.86</v>
      </c>
      <c r="L765">
        <f t="shared" si="151"/>
        <v>6.0358384510157403E-3</v>
      </c>
      <c r="M765" t="str">
        <f t="shared" si="145"/>
        <v>2013-01</v>
      </c>
      <c r="O765">
        <v>7349.6897399999998</v>
      </c>
      <c r="P765">
        <f t="shared" si="152"/>
        <v>2.337395480124395E-3</v>
      </c>
      <c r="Q765" t="str">
        <f t="shared" si="146"/>
        <v>2013-01</v>
      </c>
      <c r="S765">
        <v>8665.9</v>
      </c>
      <c r="T765">
        <f t="shared" si="153"/>
        <v>7.168572496474606E-3</v>
      </c>
      <c r="U765" t="str">
        <f t="shared" si="147"/>
        <v>2013-01</v>
      </c>
      <c r="W765">
        <v>17631.990000000002</v>
      </c>
      <c r="X765">
        <f t="shared" si="154"/>
        <v>4.4256159577102834E-3</v>
      </c>
      <c r="Y765">
        <f t="shared" si="155"/>
        <v>4.4354234587530442E-3</v>
      </c>
      <c r="Z765" t="str">
        <f t="shared" si="148"/>
        <v>2013-01</v>
      </c>
    </row>
    <row r="766" spans="1:26" x14ac:dyDescent="0.35">
      <c r="A766" s="1">
        <v>41296</v>
      </c>
      <c r="C766">
        <v>2716.7</v>
      </c>
      <c r="D766">
        <f t="shared" si="149"/>
        <v>-3.6485059753289025E-3</v>
      </c>
      <c r="E766" t="str">
        <f t="shared" si="143"/>
        <v>2013-01</v>
      </c>
      <c r="G766">
        <v>3741.01</v>
      </c>
      <c r="H766">
        <f t="shared" si="150"/>
        <v>-5.8688554974977783E-3</v>
      </c>
      <c r="I766" t="str">
        <f t="shared" si="144"/>
        <v>2013-01</v>
      </c>
      <c r="K766">
        <v>7696.21</v>
      </c>
      <c r="L766">
        <f t="shared" si="151"/>
        <v>-6.8177358778589853E-3</v>
      </c>
      <c r="M766" t="str">
        <f t="shared" si="145"/>
        <v>2013-01</v>
      </c>
      <c r="O766">
        <v>7361.5063</v>
      </c>
      <c r="P766">
        <f t="shared" si="152"/>
        <v>1.6064720379189016E-3</v>
      </c>
      <c r="Q766" t="str">
        <f t="shared" si="146"/>
        <v>2013-01</v>
      </c>
      <c r="S766">
        <v>8632.1</v>
      </c>
      <c r="T766">
        <f t="shared" si="153"/>
        <v>-3.9079712124863832E-3</v>
      </c>
      <c r="U766" t="str">
        <f t="shared" si="147"/>
        <v>2013-01</v>
      </c>
      <c r="W766">
        <v>17715.900000000001</v>
      </c>
      <c r="X766">
        <f t="shared" si="154"/>
        <v>4.7476756102755521E-3</v>
      </c>
      <c r="Y766">
        <f t="shared" si="155"/>
        <v>4.7589636790855627E-3</v>
      </c>
      <c r="Z766" t="str">
        <f t="shared" si="148"/>
        <v>2013-01</v>
      </c>
    </row>
    <row r="767" spans="1:26" x14ac:dyDescent="0.35">
      <c r="A767" s="1">
        <v>41297</v>
      </c>
      <c r="C767">
        <v>2708.28</v>
      </c>
      <c r="D767">
        <f t="shared" si="149"/>
        <v>-3.1041614019336286E-3</v>
      </c>
      <c r="E767" t="str">
        <f t="shared" si="143"/>
        <v>2013-01</v>
      </c>
      <c r="G767">
        <v>3726.17</v>
      </c>
      <c r="H767">
        <f t="shared" si="150"/>
        <v>-3.9747319704268652E-3</v>
      </c>
      <c r="I767" t="str">
        <f t="shared" si="144"/>
        <v>2013-01</v>
      </c>
      <c r="K767">
        <v>7707.54</v>
      </c>
      <c r="L767">
        <f t="shared" si="151"/>
        <v>1.4710706215334173E-3</v>
      </c>
      <c r="M767" t="str">
        <f t="shared" si="145"/>
        <v>2013-01</v>
      </c>
      <c r="O767">
        <v>7377.3666199999998</v>
      </c>
      <c r="P767">
        <f t="shared" si="152"/>
        <v>2.1521762495664135E-3</v>
      </c>
      <c r="Q767" t="str">
        <f t="shared" si="146"/>
        <v>2013-01</v>
      </c>
      <c r="S767">
        <v>8613.2999999999993</v>
      </c>
      <c r="T767">
        <f t="shared" si="153"/>
        <v>-2.1802924197089515E-3</v>
      </c>
      <c r="U767" t="str">
        <f t="shared" si="147"/>
        <v>2013-01</v>
      </c>
      <c r="W767">
        <v>17579</v>
      </c>
      <c r="X767">
        <f t="shared" si="154"/>
        <v>-7.7575336122297422E-3</v>
      </c>
      <c r="Y767">
        <f t="shared" si="155"/>
        <v>-7.7275216048860876E-3</v>
      </c>
      <c r="Z767" t="str">
        <f t="shared" si="148"/>
        <v>2013-01</v>
      </c>
    </row>
    <row r="768" spans="1:26" x14ac:dyDescent="0.35">
      <c r="A768" s="1">
        <v>41298</v>
      </c>
      <c r="C768">
        <v>2722.96</v>
      </c>
      <c r="D768">
        <f t="shared" si="149"/>
        <v>5.4057768571255356E-3</v>
      </c>
      <c r="E768" t="str">
        <f t="shared" si="143"/>
        <v>2013-01</v>
      </c>
      <c r="G768">
        <v>3752.17</v>
      </c>
      <c r="H768">
        <f t="shared" si="150"/>
        <v>6.9534428119191957E-3</v>
      </c>
      <c r="I768" t="str">
        <f t="shared" si="144"/>
        <v>2013-01</v>
      </c>
      <c r="K768">
        <v>7748.13</v>
      </c>
      <c r="L768">
        <f t="shared" si="151"/>
        <v>5.2524534125366574E-3</v>
      </c>
      <c r="M768" t="str">
        <f t="shared" si="145"/>
        <v>2013-01</v>
      </c>
      <c r="O768">
        <v>7393.9336400000002</v>
      </c>
      <c r="P768">
        <f t="shared" si="152"/>
        <v>2.2431372533266605E-3</v>
      </c>
      <c r="Q768" t="str">
        <f t="shared" si="146"/>
        <v>2013-01</v>
      </c>
      <c r="S768">
        <v>8665.6</v>
      </c>
      <c r="T768">
        <f t="shared" si="153"/>
        <v>6.053644585946664E-3</v>
      </c>
      <c r="U768" t="str">
        <f t="shared" si="147"/>
        <v>2013-01</v>
      </c>
      <c r="W768">
        <v>17756.63</v>
      </c>
      <c r="X768">
        <f t="shared" si="154"/>
        <v>1.0053959488781575E-2</v>
      </c>
      <c r="Y768">
        <f t="shared" si="155"/>
        <v>1.0104670345298425E-2</v>
      </c>
      <c r="Z768" t="str">
        <f t="shared" si="148"/>
        <v>2013-01</v>
      </c>
    </row>
    <row r="769" spans="1:26" x14ac:dyDescent="0.35">
      <c r="A769" s="1">
        <v>41299</v>
      </c>
      <c r="C769">
        <v>2744.18</v>
      </c>
      <c r="D769">
        <f t="shared" si="149"/>
        <v>7.7627814766155316E-3</v>
      </c>
      <c r="E769" t="str">
        <f t="shared" si="143"/>
        <v>2013-01</v>
      </c>
      <c r="G769">
        <v>3778.16</v>
      </c>
      <c r="H769">
        <f t="shared" si="150"/>
        <v>6.9027793465439267E-3</v>
      </c>
      <c r="I769" t="str">
        <f t="shared" si="144"/>
        <v>2013-01</v>
      </c>
      <c r="K769">
        <v>7857.97</v>
      </c>
      <c r="L769">
        <f t="shared" si="151"/>
        <v>1.4076779436164049E-2</v>
      </c>
      <c r="M769" t="str">
        <f t="shared" si="145"/>
        <v>2013-01</v>
      </c>
      <c r="O769">
        <v>7381.3789800000004</v>
      </c>
      <c r="P769">
        <f t="shared" si="152"/>
        <v>-1.6994108137503522E-3</v>
      </c>
      <c r="Q769" t="str">
        <f t="shared" si="146"/>
        <v>2013-01</v>
      </c>
      <c r="S769">
        <v>8724.6</v>
      </c>
      <c r="T769">
        <f t="shared" si="153"/>
        <v>6.7854569096485774E-3</v>
      </c>
      <c r="U769" t="str">
        <f t="shared" si="147"/>
        <v>2013-01</v>
      </c>
      <c r="W769">
        <v>17726.89</v>
      </c>
      <c r="X769">
        <f t="shared" si="154"/>
        <v>-1.6762715178109094E-3</v>
      </c>
      <c r="Y769">
        <f t="shared" si="155"/>
        <v>-1.6748673594033101E-3</v>
      </c>
      <c r="Z769" t="str">
        <f t="shared" si="148"/>
        <v>2013-01</v>
      </c>
    </row>
    <row r="770" spans="1:26" x14ac:dyDescent="0.35">
      <c r="A770" s="1">
        <v>41302</v>
      </c>
      <c r="C770">
        <v>2744.5</v>
      </c>
      <c r="D770">
        <f t="shared" si="149"/>
        <v>1.1660362796258643E-4</v>
      </c>
      <c r="E770" t="str">
        <f t="shared" si="143"/>
        <v>2013-01</v>
      </c>
      <c r="G770">
        <v>3780.89</v>
      </c>
      <c r="H770">
        <f t="shared" si="150"/>
        <v>7.2231302047087666E-4</v>
      </c>
      <c r="I770" t="str">
        <f t="shared" si="144"/>
        <v>2013-01</v>
      </c>
      <c r="K770">
        <v>7833</v>
      </c>
      <c r="L770">
        <f t="shared" si="151"/>
        <v>-3.1827249785441858E-3</v>
      </c>
      <c r="M770" t="str">
        <f t="shared" si="145"/>
        <v>2013-01</v>
      </c>
      <c r="O770">
        <v>7339.2689600000003</v>
      </c>
      <c r="P770">
        <f t="shared" si="152"/>
        <v>-5.7212338798518728E-3</v>
      </c>
      <c r="Q770" t="str">
        <f t="shared" si="146"/>
        <v>2013-01</v>
      </c>
      <c r="S770">
        <v>8672.5</v>
      </c>
      <c r="T770">
        <f t="shared" si="153"/>
        <v>-5.9895219035902645E-3</v>
      </c>
      <c r="U770" t="str">
        <f t="shared" si="147"/>
        <v>2013-01</v>
      </c>
      <c r="W770">
        <v>17897.41</v>
      </c>
      <c r="X770">
        <f t="shared" si="154"/>
        <v>9.57331385155058E-3</v>
      </c>
      <c r="Y770">
        <f t="shared" si="155"/>
        <v>9.6192846009649988E-3</v>
      </c>
      <c r="Z770" t="str">
        <f t="shared" si="148"/>
        <v>2013-01</v>
      </c>
    </row>
    <row r="771" spans="1:26" x14ac:dyDescent="0.35">
      <c r="A771" s="1">
        <v>41303</v>
      </c>
      <c r="C771">
        <v>2749.27</v>
      </c>
      <c r="D771">
        <f t="shared" si="149"/>
        <v>1.7365128859241517E-3</v>
      </c>
      <c r="E771" t="str">
        <f t="shared" si="143"/>
        <v>2013-01</v>
      </c>
      <c r="G771">
        <v>3785.82</v>
      </c>
      <c r="H771">
        <f t="shared" si="150"/>
        <v>1.3030764222756938E-3</v>
      </c>
      <c r="I771" t="str">
        <f t="shared" si="144"/>
        <v>2013-01</v>
      </c>
      <c r="K771">
        <v>7848.57</v>
      </c>
      <c r="L771">
        <f t="shared" si="151"/>
        <v>1.9857712099508791E-3</v>
      </c>
      <c r="M771" t="str">
        <f t="shared" si="145"/>
        <v>2013-01</v>
      </c>
      <c r="O771">
        <v>7409.0458799999997</v>
      </c>
      <c r="P771">
        <f t="shared" si="152"/>
        <v>9.4624289478704299E-3</v>
      </c>
      <c r="Q771" t="str">
        <f t="shared" si="146"/>
        <v>2013-01</v>
      </c>
      <c r="S771">
        <v>8643</v>
      </c>
      <c r="T771">
        <f t="shared" si="153"/>
        <v>-3.4073550912666491E-3</v>
      </c>
      <c r="U771" t="str">
        <f t="shared" si="147"/>
        <v>2013-01</v>
      </c>
      <c r="W771">
        <v>17891.91</v>
      </c>
      <c r="X771">
        <f t="shared" si="154"/>
        <v>-3.0735426341140843E-4</v>
      </c>
      <c r="Y771">
        <f t="shared" si="155"/>
        <v>-3.0730703492851759E-4</v>
      </c>
      <c r="Z771" t="str">
        <f t="shared" si="148"/>
        <v>2013-01</v>
      </c>
    </row>
    <row r="772" spans="1:26" x14ac:dyDescent="0.35">
      <c r="A772" s="1">
        <v>41304</v>
      </c>
      <c r="C772">
        <v>2732.12</v>
      </c>
      <c r="D772">
        <f t="shared" si="149"/>
        <v>-6.2575572845121183E-3</v>
      </c>
      <c r="E772" t="str">
        <f t="shared" ref="E772:E835" si="156">_xlfn.CONCAT(YEAR(A772),"-",TEXT(MONTH(A772),"00"))</f>
        <v>2013-01</v>
      </c>
      <c r="G772">
        <v>3765.52</v>
      </c>
      <c r="H772">
        <f t="shared" si="150"/>
        <v>-5.3765421504878615E-3</v>
      </c>
      <c r="I772" t="str">
        <f t="shared" ref="I772:I835" si="157">_xlfn.CONCAT(YEAR(A772),"-",TEXT(MONTH(A772),"00"))</f>
        <v>2013-01</v>
      </c>
      <c r="K772">
        <v>7811.31</v>
      </c>
      <c r="L772">
        <f t="shared" si="151"/>
        <v>-4.7586661344017388E-3</v>
      </c>
      <c r="M772" t="str">
        <f t="shared" ref="M772:M835" si="158">_xlfn.CONCAT(YEAR(A772),"-",TEXT(MONTH(A772),"00"))</f>
        <v>2013-01</v>
      </c>
      <c r="O772">
        <v>7358.6392100000003</v>
      </c>
      <c r="P772">
        <f t="shared" si="152"/>
        <v>-6.8266441830861623E-3</v>
      </c>
      <c r="Q772" t="str">
        <f t="shared" ref="Q772:Q835" si="159">_xlfn.CONCAT(YEAR(A772),"-",TEXT(MONTH(A772),"00"))</f>
        <v>2013-01</v>
      </c>
      <c r="S772">
        <v>8571.9</v>
      </c>
      <c r="T772">
        <f t="shared" si="153"/>
        <v>-8.2603331161582878E-3</v>
      </c>
      <c r="U772" t="str">
        <f t="shared" ref="U772:U835" si="160">_xlfn.CONCAT(YEAR(A772),"-",TEXT(MONTH(A772),"00"))</f>
        <v>2013-01</v>
      </c>
      <c r="W772">
        <v>17289.91</v>
      </c>
      <c r="X772">
        <f t="shared" si="154"/>
        <v>-3.4225561016207148E-2</v>
      </c>
      <c r="Y772">
        <f t="shared" si="155"/>
        <v>-3.3646491626662556E-2</v>
      </c>
      <c r="Z772" t="str">
        <f t="shared" ref="Z772:Z835" si="161">_xlfn.CONCAT(YEAR(A772),"-",TEXT(MONTH(A772),"00"))</f>
        <v>2013-01</v>
      </c>
    </row>
    <row r="773" spans="1:26" x14ac:dyDescent="0.35">
      <c r="A773" s="1">
        <v>41305</v>
      </c>
      <c r="C773">
        <v>2702.98</v>
      </c>
      <c r="D773">
        <f t="shared" ref="D773:D836" si="162">LN(C773/C772)</f>
        <v>-1.0722996528372096E-2</v>
      </c>
      <c r="E773" t="str">
        <f t="shared" si="156"/>
        <v>2013-01</v>
      </c>
      <c r="G773">
        <v>3732.6</v>
      </c>
      <c r="H773">
        <f t="shared" ref="H773:H836" si="163">LN(G773/G772)</f>
        <v>-8.7809241579029033E-3</v>
      </c>
      <c r="I773" t="str">
        <f t="shared" si="157"/>
        <v>2013-01</v>
      </c>
      <c r="K773">
        <v>7776.05</v>
      </c>
      <c r="L773">
        <f t="shared" ref="L773:L836" si="164">LN(K773/K772)</f>
        <v>-4.5241862820330301E-3</v>
      </c>
      <c r="M773" t="str">
        <f t="shared" si="158"/>
        <v>2013-01</v>
      </c>
      <c r="O773">
        <v>7335.04072</v>
      </c>
      <c r="P773">
        <f t="shared" ref="P773:P836" si="165">LN(O773/O772)</f>
        <v>-3.2120626557679732E-3</v>
      </c>
      <c r="Q773" t="str">
        <f t="shared" si="159"/>
        <v>2013-01</v>
      </c>
      <c r="S773">
        <v>8362.2999999999993</v>
      </c>
      <c r="T773">
        <f t="shared" ref="T773:T836" si="166">LN(S773/S772)</f>
        <v>-2.4755902778969763E-2</v>
      </c>
      <c r="U773" t="str">
        <f t="shared" si="160"/>
        <v>2013-01</v>
      </c>
      <c r="W773">
        <v>17439.060000000001</v>
      </c>
      <c r="X773">
        <f t="shared" ref="X773:X836" si="167">LN(W773/W772)</f>
        <v>8.5894235850004792E-3</v>
      </c>
      <c r="Y773">
        <f t="shared" ref="Y773:Y836" si="168">(W773-W772)/W772</f>
        <v>8.626418529651193E-3</v>
      </c>
      <c r="Z773" t="str">
        <f t="shared" si="161"/>
        <v>2013-01</v>
      </c>
    </row>
    <row r="774" spans="1:26" x14ac:dyDescent="0.35">
      <c r="A774" s="1">
        <v>41306</v>
      </c>
      <c r="C774">
        <v>2710.08</v>
      </c>
      <c r="D774">
        <f t="shared" si="162"/>
        <v>2.6232866702502627E-3</v>
      </c>
      <c r="E774" t="str">
        <f t="shared" si="156"/>
        <v>2013-02</v>
      </c>
      <c r="G774">
        <v>3773.53</v>
      </c>
      <c r="H774">
        <f t="shared" si="163"/>
        <v>1.0905861123170602E-2</v>
      </c>
      <c r="I774" t="str">
        <f t="shared" si="157"/>
        <v>2013-02</v>
      </c>
      <c r="K774">
        <v>7833.39</v>
      </c>
      <c r="L774">
        <f t="shared" si="164"/>
        <v>7.3468693197735521E-3</v>
      </c>
      <c r="M774" t="str">
        <f t="shared" si="158"/>
        <v>2013-02</v>
      </c>
      <c r="O774">
        <v>7303.2027799999996</v>
      </c>
      <c r="P774">
        <f t="shared" si="165"/>
        <v>-4.3499741213949275E-3</v>
      </c>
      <c r="Q774" t="str">
        <f t="shared" si="159"/>
        <v>2013-02</v>
      </c>
      <c r="S774">
        <v>8229.7000000000007</v>
      </c>
      <c r="T774">
        <f t="shared" si="166"/>
        <v>-1.5983946855645283E-2</v>
      </c>
      <c r="U774" t="str">
        <f t="shared" si="160"/>
        <v>2013-02</v>
      </c>
      <c r="W774">
        <v>17318.939999999999</v>
      </c>
      <c r="X774">
        <f t="shared" si="167"/>
        <v>-6.911817608008494E-3</v>
      </c>
      <c r="Y774">
        <f t="shared" si="168"/>
        <v>-6.8879859350218769E-3</v>
      </c>
      <c r="Z774" t="str">
        <f t="shared" si="161"/>
        <v>2013-02</v>
      </c>
    </row>
    <row r="775" spans="1:26" x14ac:dyDescent="0.35">
      <c r="A775" s="1">
        <v>41309</v>
      </c>
      <c r="C775">
        <v>2625.17</v>
      </c>
      <c r="D775">
        <f t="shared" si="162"/>
        <v>-3.1832498899709689E-2</v>
      </c>
      <c r="E775" t="str">
        <f t="shared" si="156"/>
        <v>2013-02</v>
      </c>
      <c r="G775">
        <v>3659.91</v>
      </c>
      <c r="H775">
        <f t="shared" si="163"/>
        <v>-3.057234594306522E-2</v>
      </c>
      <c r="I775" t="str">
        <f t="shared" si="157"/>
        <v>2013-02</v>
      </c>
      <c r="K775">
        <v>7638.23</v>
      </c>
      <c r="L775">
        <f t="shared" si="164"/>
        <v>-2.5229465553521829E-2</v>
      </c>
      <c r="M775" t="str">
        <f t="shared" si="158"/>
        <v>2013-02</v>
      </c>
      <c r="O775">
        <v>7263.5957099999996</v>
      </c>
      <c r="P775">
        <f t="shared" si="165"/>
        <v>-5.4380058366097521E-3</v>
      </c>
      <c r="Q775" t="str">
        <f t="shared" si="159"/>
        <v>2013-02</v>
      </c>
      <c r="S775">
        <v>7919.6</v>
      </c>
      <c r="T775">
        <f t="shared" si="166"/>
        <v>-3.8408862519321303E-2</v>
      </c>
      <c r="U775" t="str">
        <f t="shared" si="160"/>
        <v>2013-02</v>
      </c>
      <c r="W775">
        <v>16539</v>
      </c>
      <c r="X775">
        <f t="shared" si="167"/>
        <v>-4.6079472061992297E-2</v>
      </c>
      <c r="Y775">
        <f t="shared" si="168"/>
        <v>-4.5033933947458603E-2</v>
      </c>
      <c r="Z775" t="str">
        <f t="shared" si="161"/>
        <v>2013-02</v>
      </c>
    </row>
    <row r="776" spans="1:26" x14ac:dyDescent="0.35">
      <c r="A776" s="1">
        <v>41310</v>
      </c>
      <c r="C776">
        <v>2651.21</v>
      </c>
      <c r="D776">
        <f t="shared" si="162"/>
        <v>9.870483708546391E-3</v>
      </c>
      <c r="E776" t="str">
        <f t="shared" si="156"/>
        <v>2013-02</v>
      </c>
      <c r="G776">
        <v>3694.7</v>
      </c>
      <c r="H776">
        <f t="shared" si="163"/>
        <v>9.4608033586402636E-3</v>
      </c>
      <c r="I776" t="str">
        <f t="shared" si="157"/>
        <v>2013-02</v>
      </c>
      <c r="K776">
        <v>7664.66</v>
      </c>
      <c r="L776">
        <f t="shared" si="164"/>
        <v>3.4542529260713044E-3</v>
      </c>
      <c r="M776" t="str">
        <f t="shared" si="158"/>
        <v>2013-02</v>
      </c>
      <c r="O776">
        <v>7235.5342600000004</v>
      </c>
      <c r="P776">
        <f t="shared" si="165"/>
        <v>-3.8707819151907914E-3</v>
      </c>
      <c r="Q776" t="str">
        <f t="shared" si="159"/>
        <v>2013-02</v>
      </c>
      <c r="S776">
        <v>8093.6</v>
      </c>
      <c r="T776">
        <f t="shared" si="166"/>
        <v>2.1732926409137057E-2</v>
      </c>
      <c r="U776" t="str">
        <f t="shared" si="160"/>
        <v>2013-02</v>
      </c>
      <c r="W776">
        <v>16712.259999999998</v>
      </c>
      <c r="X776">
        <f t="shared" si="167"/>
        <v>1.0421353540690738E-2</v>
      </c>
      <c r="Y776">
        <f t="shared" si="168"/>
        <v>1.0475844972489171E-2</v>
      </c>
      <c r="Z776" t="str">
        <f t="shared" si="161"/>
        <v>2013-02</v>
      </c>
    </row>
    <row r="777" spans="1:26" x14ac:dyDescent="0.35">
      <c r="A777" s="1">
        <v>41311</v>
      </c>
      <c r="C777">
        <v>2617.35</v>
      </c>
      <c r="D777">
        <f t="shared" si="162"/>
        <v>-1.2853784029722324E-2</v>
      </c>
      <c r="E777" t="str">
        <f t="shared" si="156"/>
        <v>2013-02</v>
      </c>
      <c r="G777">
        <v>3642.9</v>
      </c>
      <c r="H777">
        <f t="shared" si="163"/>
        <v>-1.4119292559891651E-2</v>
      </c>
      <c r="I777" t="str">
        <f t="shared" si="157"/>
        <v>2013-02</v>
      </c>
      <c r="K777">
        <v>7581.18</v>
      </c>
      <c r="L777">
        <f t="shared" si="164"/>
        <v>-1.0951293509197999E-2</v>
      </c>
      <c r="M777" t="str">
        <f t="shared" si="158"/>
        <v>2013-02</v>
      </c>
      <c r="O777">
        <v>7291.3024800000003</v>
      </c>
      <c r="P777">
        <f t="shared" si="165"/>
        <v>7.6779955563293272E-3</v>
      </c>
      <c r="Q777" t="str">
        <f t="shared" si="159"/>
        <v>2013-02</v>
      </c>
      <c r="S777">
        <v>8056.2</v>
      </c>
      <c r="T777">
        <f t="shared" si="166"/>
        <v>-4.6316445849633138E-3</v>
      </c>
      <c r="U777" t="str">
        <f t="shared" si="160"/>
        <v>2013-02</v>
      </c>
      <c r="W777">
        <v>16602.849999999999</v>
      </c>
      <c r="X777">
        <f t="shared" si="167"/>
        <v>-6.5682144433444655E-3</v>
      </c>
      <c r="Y777">
        <f t="shared" si="168"/>
        <v>-6.5466908724493194E-3</v>
      </c>
      <c r="Z777" t="str">
        <f t="shared" si="161"/>
        <v>2013-02</v>
      </c>
    </row>
    <row r="778" spans="1:26" x14ac:dyDescent="0.35">
      <c r="A778" s="1">
        <v>41312</v>
      </c>
      <c r="C778">
        <v>2597.92</v>
      </c>
      <c r="D778">
        <f t="shared" si="162"/>
        <v>-7.451230673544371E-3</v>
      </c>
      <c r="E778" t="str">
        <f t="shared" si="156"/>
        <v>2013-02</v>
      </c>
      <c r="G778">
        <v>3601.05</v>
      </c>
      <c r="H778">
        <f t="shared" si="163"/>
        <v>-1.1554598143468301E-2</v>
      </c>
      <c r="I778" t="str">
        <f t="shared" si="157"/>
        <v>2013-02</v>
      </c>
      <c r="K778">
        <v>7590.85</v>
      </c>
      <c r="L778">
        <f t="shared" si="164"/>
        <v>1.2747142352599521E-3</v>
      </c>
      <c r="M778" t="str">
        <f t="shared" si="158"/>
        <v>2013-02</v>
      </c>
      <c r="O778">
        <v>7295.5383000000002</v>
      </c>
      <c r="P778">
        <f t="shared" si="165"/>
        <v>5.807727914420237E-4</v>
      </c>
      <c r="Q778" t="str">
        <f t="shared" si="159"/>
        <v>2013-02</v>
      </c>
      <c r="S778">
        <v>8014.6</v>
      </c>
      <c r="T778">
        <f t="shared" si="166"/>
        <v>-5.1771029338833355E-3</v>
      </c>
      <c r="U778" t="str">
        <f t="shared" si="160"/>
        <v>2013-02</v>
      </c>
      <c r="W778">
        <v>16400.560000000001</v>
      </c>
      <c r="X778">
        <f t="shared" si="167"/>
        <v>-1.225888678435942E-2</v>
      </c>
      <c r="Y778">
        <f t="shared" si="168"/>
        <v>-1.2184052737933382E-2</v>
      </c>
      <c r="Z778" t="str">
        <f t="shared" si="161"/>
        <v>2013-02</v>
      </c>
    </row>
    <row r="779" spans="1:26" x14ac:dyDescent="0.35">
      <c r="A779" s="1">
        <v>41313</v>
      </c>
      <c r="C779">
        <v>2630.3</v>
      </c>
      <c r="D779">
        <f t="shared" si="162"/>
        <v>1.2386783268760779E-2</v>
      </c>
      <c r="E779" t="str">
        <f t="shared" si="156"/>
        <v>2013-02</v>
      </c>
      <c r="G779">
        <v>3649.5</v>
      </c>
      <c r="H779">
        <f t="shared" si="163"/>
        <v>1.3364702307272215E-2</v>
      </c>
      <c r="I779" t="str">
        <f t="shared" si="157"/>
        <v>2013-02</v>
      </c>
      <c r="K779">
        <v>7652.14</v>
      </c>
      <c r="L779">
        <f t="shared" si="164"/>
        <v>8.0417726839969485E-3</v>
      </c>
      <c r="M779" t="str">
        <f t="shared" si="158"/>
        <v>2013-02</v>
      </c>
      <c r="O779">
        <v>7407.9004400000003</v>
      </c>
      <c r="P779">
        <f t="shared" si="165"/>
        <v>1.5284088209041542E-2</v>
      </c>
      <c r="Q779" t="str">
        <f t="shared" si="159"/>
        <v>2013-02</v>
      </c>
      <c r="S779">
        <v>8174.9</v>
      </c>
      <c r="T779">
        <f t="shared" si="166"/>
        <v>1.9803605901901326E-2</v>
      </c>
      <c r="U779" t="str">
        <f t="shared" si="160"/>
        <v>2013-02</v>
      </c>
      <c r="W779">
        <v>16630.5</v>
      </c>
      <c r="X779">
        <f t="shared" si="167"/>
        <v>1.392287830973573E-2</v>
      </c>
      <c r="Y779">
        <f t="shared" si="168"/>
        <v>1.4020252966971779E-2</v>
      </c>
      <c r="Z779" t="str">
        <f t="shared" si="161"/>
        <v>2013-02</v>
      </c>
    </row>
    <row r="780" spans="1:26" x14ac:dyDescent="0.35">
      <c r="A780" s="1">
        <v>41316</v>
      </c>
      <c r="C780">
        <v>2622.61</v>
      </c>
      <c r="D780">
        <f t="shared" si="162"/>
        <v>-2.9279030075205895E-3</v>
      </c>
      <c r="E780" t="str">
        <f t="shared" si="156"/>
        <v>2013-02</v>
      </c>
      <c r="G780">
        <v>3650.58</v>
      </c>
      <c r="H780">
        <f t="shared" si="163"/>
        <v>2.9588717051841595E-4</v>
      </c>
      <c r="I780" t="str">
        <f t="shared" si="157"/>
        <v>2013-02</v>
      </c>
      <c r="K780">
        <v>7633.74</v>
      </c>
      <c r="L780">
        <f t="shared" si="164"/>
        <v>-2.4074516988134595E-3</v>
      </c>
      <c r="M780" t="str">
        <f t="shared" si="158"/>
        <v>2013-02</v>
      </c>
      <c r="O780">
        <v>7338.2946199999997</v>
      </c>
      <c r="P780">
        <f t="shared" si="165"/>
        <v>-9.4405826970184493E-3</v>
      </c>
      <c r="Q780" t="str">
        <f t="shared" si="159"/>
        <v>2013-02</v>
      </c>
      <c r="S780">
        <v>8078.6</v>
      </c>
      <c r="T780">
        <f t="shared" si="166"/>
        <v>-1.1849894098844266E-2</v>
      </c>
      <c r="U780" t="str">
        <f t="shared" si="160"/>
        <v>2013-02</v>
      </c>
      <c r="W780">
        <v>16529.87</v>
      </c>
      <c r="X780">
        <f t="shared" si="167"/>
        <v>-6.0693115851796903E-3</v>
      </c>
      <c r="Y780">
        <f t="shared" si="168"/>
        <v>-6.0509305192267835E-3</v>
      </c>
      <c r="Z780" t="str">
        <f t="shared" si="161"/>
        <v>2013-02</v>
      </c>
    </row>
    <row r="781" spans="1:26" x14ac:dyDescent="0.35">
      <c r="A781" s="1">
        <v>41317</v>
      </c>
      <c r="C781">
        <v>2648.83</v>
      </c>
      <c r="D781">
        <f t="shared" si="162"/>
        <v>9.9480279522735793E-3</v>
      </c>
      <c r="E781" t="str">
        <f t="shared" si="156"/>
        <v>2013-02</v>
      </c>
      <c r="G781">
        <v>3686.58</v>
      </c>
      <c r="H781">
        <f t="shared" si="163"/>
        <v>9.8131399322577521E-3</v>
      </c>
      <c r="I781" t="str">
        <f t="shared" si="157"/>
        <v>2013-02</v>
      </c>
      <c r="K781">
        <v>7660.19</v>
      </c>
      <c r="L781">
        <f t="shared" si="164"/>
        <v>3.4588920402407355E-3</v>
      </c>
      <c r="M781" t="str">
        <f t="shared" si="158"/>
        <v>2013-02</v>
      </c>
      <c r="O781">
        <v>7376.4939299999996</v>
      </c>
      <c r="P781">
        <f t="shared" si="165"/>
        <v>5.1919734599540522E-3</v>
      </c>
      <c r="Q781" t="str">
        <f t="shared" si="159"/>
        <v>2013-02</v>
      </c>
      <c r="S781">
        <v>8234.7000000000007</v>
      </c>
      <c r="T781">
        <f t="shared" si="166"/>
        <v>1.9138342899770396E-2</v>
      </c>
      <c r="U781" t="str">
        <f t="shared" si="160"/>
        <v>2013-02</v>
      </c>
      <c r="W781">
        <v>16644.45</v>
      </c>
      <c r="X781">
        <f t="shared" si="167"/>
        <v>6.9077802120159166E-3</v>
      </c>
      <c r="Y781">
        <f t="shared" si="168"/>
        <v>6.9316939576658347E-3</v>
      </c>
      <c r="Z781" t="str">
        <f t="shared" si="161"/>
        <v>2013-02</v>
      </c>
    </row>
    <row r="782" spans="1:26" x14ac:dyDescent="0.35">
      <c r="A782" s="1">
        <v>41318</v>
      </c>
      <c r="C782">
        <v>2656.86</v>
      </c>
      <c r="D782">
        <f t="shared" si="162"/>
        <v>3.0269413143830491E-3</v>
      </c>
      <c r="E782" t="str">
        <f t="shared" si="156"/>
        <v>2013-02</v>
      </c>
      <c r="G782">
        <v>3698.53</v>
      </c>
      <c r="H782">
        <f t="shared" si="163"/>
        <v>3.2362443970738943E-3</v>
      </c>
      <c r="I782" t="str">
        <f t="shared" si="157"/>
        <v>2013-02</v>
      </c>
      <c r="K782">
        <v>7711.89</v>
      </c>
      <c r="L782">
        <f t="shared" si="164"/>
        <v>6.7265060986159038E-3</v>
      </c>
      <c r="M782" t="str">
        <f t="shared" si="158"/>
        <v>2013-02</v>
      </c>
      <c r="O782">
        <v>7355.0696200000002</v>
      </c>
      <c r="P782">
        <f t="shared" si="165"/>
        <v>-2.9086288134503612E-3</v>
      </c>
      <c r="Q782" t="str">
        <f t="shared" si="159"/>
        <v>2013-02</v>
      </c>
      <c r="S782">
        <v>8306.2000000000007</v>
      </c>
      <c r="T782">
        <f t="shared" si="166"/>
        <v>8.6452908041947853E-3</v>
      </c>
      <c r="U782" t="str">
        <f t="shared" si="160"/>
        <v>2013-02</v>
      </c>
      <c r="W782">
        <v>16712.150000000001</v>
      </c>
      <c r="X782">
        <f t="shared" si="167"/>
        <v>4.0591722751741229E-3</v>
      </c>
      <c r="Y782">
        <f t="shared" si="168"/>
        <v>4.0674218733572284E-3</v>
      </c>
      <c r="Z782" t="str">
        <f t="shared" si="161"/>
        <v>2013-02</v>
      </c>
    </row>
    <row r="783" spans="1:26" x14ac:dyDescent="0.35">
      <c r="A783" s="1">
        <v>41319</v>
      </c>
      <c r="C783">
        <v>2635.35</v>
      </c>
      <c r="D783">
        <f t="shared" si="162"/>
        <v>-8.1289738875281927E-3</v>
      </c>
      <c r="E783" t="str">
        <f t="shared" si="156"/>
        <v>2013-02</v>
      </c>
      <c r="G783">
        <v>3669.6</v>
      </c>
      <c r="H783">
        <f t="shared" si="163"/>
        <v>-7.8527791085750732E-3</v>
      </c>
      <c r="I783" t="str">
        <f t="shared" si="157"/>
        <v>2013-02</v>
      </c>
      <c r="K783">
        <v>7631.19</v>
      </c>
      <c r="L783">
        <f t="shared" si="164"/>
        <v>-1.0519497282936423E-2</v>
      </c>
      <c r="M783" t="str">
        <f t="shared" si="158"/>
        <v>2013-02</v>
      </c>
      <c r="O783">
        <v>7348.5598600000003</v>
      </c>
      <c r="P783">
        <f t="shared" si="165"/>
        <v>-8.8546306667789808E-4</v>
      </c>
      <c r="Q783" t="str">
        <f t="shared" si="159"/>
        <v>2013-02</v>
      </c>
      <c r="S783">
        <v>8247.4</v>
      </c>
      <c r="T783">
        <f t="shared" si="166"/>
        <v>-7.1042247369559825E-3</v>
      </c>
      <c r="U783" t="str">
        <f t="shared" si="160"/>
        <v>2013-02</v>
      </c>
      <c r="W783">
        <v>16544.95</v>
      </c>
      <c r="X783">
        <f t="shared" si="167"/>
        <v>-1.0055080492425985E-2</v>
      </c>
      <c r="Y783">
        <f t="shared" si="168"/>
        <v>-1.0004697181392025E-2</v>
      </c>
      <c r="Z783" t="str">
        <f t="shared" si="161"/>
        <v>2013-02</v>
      </c>
    </row>
    <row r="784" spans="1:26" x14ac:dyDescent="0.35">
      <c r="A784" s="1">
        <v>41320</v>
      </c>
      <c r="C784">
        <v>2615.2600000000002</v>
      </c>
      <c r="D784">
        <f t="shared" si="162"/>
        <v>-7.6524815363917791E-3</v>
      </c>
      <c r="E784" t="str">
        <f t="shared" si="156"/>
        <v>2013-02</v>
      </c>
      <c r="G784">
        <v>3660.37</v>
      </c>
      <c r="H784">
        <f t="shared" si="163"/>
        <v>-2.5184291009179138E-3</v>
      </c>
      <c r="I784" t="str">
        <f t="shared" si="157"/>
        <v>2013-02</v>
      </c>
      <c r="K784">
        <v>7593.51</v>
      </c>
      <c r="L784">
        <f t="shared" si="164"/>
        <v>-4.949861335002712E-3</v>
      </c>
      <c r="M784" t="str">
        <f t="shared" si="158"/>
        <v>2013-02</v>
      </c>
      <c r="O784">
        <v>7357.0642900000003</v>
      </c>
      <c r="P784">
        <f t="shared" si="165"/>
        <v>1.1566229166935509E-3</v>
      </c>
      <c r="Q784" t="str">
        <f t="shared" si="159"/>
        <v>2013-02</v>
      </c>
      <c r="S784">
        <v>8150.2</v>
      </c>
      <c r="T784">
        <f t="shared" si="166"/>
        <v>-1.185553233178907E-2</v>
      </c>
      <c r="U784" t="str">
        <f t="shared" si="160"/>
        <v>2013-02</v>
      </c>
      <c r="W784">
        <v>16489.8</v>
      </c>
      <c r="X784">
        <f t="shared" si="167"/>
        <v>-3.3389113727729353E-3</v>
      </c>
      <c r="Y784">
        <f t="shared" si="168"/>
        <v>-3.3333434069006827E-3</v>
      </c>
      <c r="Z784" t="str">
        <f t="shared" si="161"/>
        <v>2013-02</v>
      </c>
    </row>
    <row r="785" spans="1:26" x14ac:dyDescent="0.35">
      <c r="A785" s="1">
        <v>41323</v>
      </c>
      <c r="C785">
        <v>2616.65</v>
      </c>
      <c r="D785">
        <f t="shared" si="162"/>
        <v>5.3135471852691087E-4</v>
      </c>
      <c r="E785" t="str">
        <f t="shared" si="156"/>
        <v>2013-02</v>
      </c>
      <c r="G785">
        <v>3667.04</v>
      </c>
      <c r="H785">
        <f t="shared" si="163"/>
        <v>1.8205619290525979E-3</v>
      </c>
      <c r="I785" t="str">
        <f t="shared" si="157"/>
        <v>2013-02</v>
      </c>
      <c r="K785">
        <v>7628.73</v>
      </c>
      <c r="L785">
        <f t="shared" si="164"/>
        <v>4.6274481085494335E-3</v>
      </c>
      <c r="M785" t="str">
        <f t="shared" si="158"/>
        <v>2013-02</v>
      </c>
      <c r="O785">
        <v>7321.7757899999997</v>
      </c>
      <c r="P785">
        <f t="shared" si="165"/>
        <v>-4.8080867139443191E-3</v>
      </c>
      <c r="Q785" t="str">
        <f t="shared" si="159"/>
        <v>2013-02</v>
      </c>
      <c r="S785">
        <v>8108.9</v>
      </c>
      <c r="T785">
        <f t="shared" si="166"/>
        <v>-5.0802429194091482E-3</v>
      </c>
      <c r="U785" t="str">
        <f t="shared" si="160"/>
        <v>2013-02</v>
      </c>
      <c r="W785">
        <v>16406.03</v>
      </c>
      <c r="X785">
        <f t="shared" si="167"/>
        <v>-5.0930577570113805E-3</v>
      </c>
      <c r="Y785">
        <f t="shared" si="168"/>
        <v>-5.0801101286856382E-3</v>
      </c>
      <c r="Z785" t="str">
        <f t="shared" si="161"/>
        <v>2013-02</v>
      </c>
    </row>
    <row r="786" spans="1:26" x14ac:dyDescent="0.35">
      <c r="A786" s="1">
        <v>41324</v>
      </c>
      <c r="C786">
        <v>2662.37</v>
      </c>
      <c r="D786">
        <f t="shared" si="162"/>
        <v>1.7321829873250458E-2</v>
      </c>
      <c r="E786" t="str">
        <f t="shared" si="156"/>
        <v>2013-02</v>
      </c>
      <c r="G786">
        <v>3735.82</v>
      </c>
      <c r="H786">
        <f t="shared" si="163"/>
        <v>1.8582542205428751E-2</v>
      </c>
      <c r="I786" t="str">
        <f t="shared" si="157"/>
        <v>2013-02</v>
      </c>
      <c r="K786">
        <v>7752.45</v>
      </c>
      <c r="L786">
        <f t="shared" si="164"/>
        <v>1.6087539227606605E-2</v>
      </c>
      <c r="M786" t="str">
        <f t="shared" si="158"/>
        <v>2013-02</v>
      </c>
      <c r="O786">
        <v>7346.2454500000003</v>
      </c>
      <c r="P786">
        <f t="shared" si="165"/>
        <v>3.3364667666251481E-3</v>
      </c>
      <c r="Q786" t="str">
        <f t="shared" si="159"/>
        <v>2013-02</v>
      </c>
      <c r="S786">
        <v>8225.2999999999993</v>
      </c>
      <c r="T786">
        <f t="shared" si="166"/>
        <v>1.4252546240838151E-2</v>
      </c>
      <c r="U786" t="str">
        <f t="shared" si="160"/>
        <v>2013-02</v>
      </c>
      <c r="W786">
        <v>16664.419999999998</v>
      </c>
      <c r="X786">
        <f t="shared" si="167"/>
        <v>1.5626957495520493E-2</v>
      </c>
      <c r="Y786">
        <f t="shared" si="168"/>
        <v>1.5749696910221392E-2</v>
      </c>
      <c r="Z786" t="str">
        <f t="shared" si="161"/>
        <v>2013-02</v>
      </c>
    </row>
    <row r="787" spans="1:26" x14ac:dyDescent="0.35">
      <c r="A787" s="1">
        <v>41325</v>
      </c>
      <c r="C787">
        <v>2640.35</v>
      </c>
      <c r="D787">
        <f t="shared" si="162"/>
        <v>-8.3052194240100623E-3</v>
      </c>
      <c r="E787" t="str">
        <f t="shared" si="156"/>
        <v>2013-02</v>
      </c>
      <c r="G787">
        <v>3709.88</v>
      </c>
      <c r="H787">
        <f t="shared" si="163"/>
        <v>-6.9678082516330701E-3</v>
      </c>
      <c r="I787" t="str">
        <f t="shared" si="157"/>
        <v>2013-02</v>
      </c>
      <c r="K787">
        <v>7728.9</v>
      </c>
      <c r="L787">
        <f t="shared" si="164"/>
        <v>-3.0423726826096283E-3</v>
      </c>
      <c r="M787" t="str">
        <f t="shared" si="158"/>
        <v>2013-02</v>
      </c>
      <c r="O787">
        <v>7327.0695900000001</v>
      </c>
      <c r="P787">
        <f t="shared" si="165"/>
        <v>-2.6137067001318513E-3</v>
      </c>
      <c r="Q787" t="str">
        <f t="shared" si="159"/>
        <v>2013-02</v>
      </c>
      <c r="S787">
        <v>8163</v>
      </c>
      <c r="T787">
        <f t="shared" si="166"/>
        <v>-7.6030216811842069E-3</v>
      </c>
      <c r="U787" t="str">
        <f t="shared" si="160"/>
        <v>2013-02</v>
      </c>
      <c r="W787">
        <v>16527.5</v>
      </c>
      <c r="X787">
        <f t="shared" si="167"/>
        <v>-8.2502474481035599E-3</v>
      </c>
      <c r="Y787">
        <f t="shared" si="168"/>
        <v>-8.2163075582587491E-3</v>
      </c>
      <c r="Z787" t="str">
        <f t="shared" si="161"/>
        <v>2013-02</v>
      </c>
    </row>
    <row r="788" spans="1:26" x14ac:dyDescent="0.35">
      <c r="A788" s="1">
        <v>41326</v>
      </c>
      <c r="C788">
        <v>2579.7600000000002</v>
      </c>
      <c r="D788">
        <f t="shared" si="162"/>
        <v>-2.3215112777630668E-2</v>
      </c>
      <c r="E788" t="str">
        <f t="shared" si="156"/>
        <v>2013-02</v>
      </c>
      <c r="G788">
        <v>3624.8</v>
      </c>
      <c r="H788">
        <f t="shared" si="163"/>
        <v>-2.3200416711963996E-2</v>
      </c>
      <c r="I788" t="str">
        <f t="shared" si="157"/>
        <v>2013-02</v>
      </c>
      <c r="K788">
        <v>7583.57</v>
      </c>
      <c r="L788">
        <f t="shared" si="164"/>
        <v>-1.898248472357578E-2</v>
      </c>
      <c r="M788" t="str">
        <f t="shared" si="158"/>
        <v>2013-02</v>
      </c>
      <c r="O788">
        <v>7272.4482799999996</v>
      </c>
      <c r="P788">
        <f t="shared" si="165"/>
        <v>-7.4826532410888335E-3</v>
      </c>
      <c r="Q788" t="str">
        <f t="shared" si="159"/>
        <v>2013-02</v>
      </c>
      <c r="S788">
        <v>8014.5</v>
      </c>
      <c r="T788">
        <f t="shared" si="166"/>
        <v>-1.8359347385420204E-2</v>
      </c>
      <c r="U788" t="str">
        <f t="shared" si="160"/>
        <v>2013-02</v>
      </c>
      <c r="W788">
        <v>16009.55</v>
      </c>
      <c r="X788">
        <f t="shared" si="167"/>
        <v>-3.1840241044848672E-2</v>
      </c>
      <c r="Y788">
        <f t="shared" si="168"/>
        <v>-3.1338677960974178E-2</v>
      </c>
      <c r="Z788" t="str">
        <f t="shared" si="161"/>
        <v>2013-02</v>
      </c>
    </row>
    <row r="789" spans="1:26" x14ac:dyDescent="0.35">
      <c r="A789" s="1">
        <v>41327</v>
      </c>
      <c r="C789">
        <v>2630.05</v>
      </c>
      <c r="D789">
        <f t="shared" si="162"/>
        <v>1.9306486065022103E-2</v>
      </c>
      <c r="E789" t="str">
        <f t="shared" si="156"/>
        <v>2013-02</v>
      </c>
      <c r="G789">
        <v>3706.28</v>
      </c>
      <c r="H789">
        <f t="shared" si="163"/>
        <v>2.2229563795423204E-2</v>
      </c>
      <c r="I789" t="str">
        <f t="shared" si="157"/>
        <v>2013-02</v>
      </c>
      <c r="K789">
        <v>7661.91</v>
      </c>
      <c r="L789">
        <f t="shared" si="164"/>
        <v>1.027723489605026E-2</v>
      </c>
      <c r="M789" t="str">
        <f t="shared" si="158"/>
        <v>2013-02</v>
      </c>
      <c r="O789">
        <v>7329.5258800000001</v>
      </c>
      <c r="P789">
        <f t="shared" si="165"/>
        <v>7.8178320386510809E-3</v>
      </c>
      <c r="Q789" t="str">
        <f t="shared" si="159"/>
        <v>2013-02</v>
      </c>
      <c r="S789">
        <v>8179</v>
      </c>
      <c r="T789">
        <f t="shared" si="166"/>
        <v>2.0317492669038449E-2</v>
      </c>
      <c r="U789" t="str">
        <f t="shared" si="160"/>
        <v>2013-02</v>
      </c>
      <c r="W789">
        <v>16233.28</v>
      </c>
      <c r="X789">
        <f t="shared" si="167"/>
        <v>1.387803681334545E-2</v>
      </c>
      <c r="Y789">
        <f t="shared" si="168"/>
        <v>1.3974783800918914E-2</v>
      </c>
      <c r="Z789" t="str">
        <f t="shared" si="161"/>
        <v>2013-02</v>
      </c>
    </row>
    <row r="790" spans="1:26" x14ac:dyDescent="0.35">
      <c r="A790" s="1">
        <v>41330</v>
      </c>
      <c r="C790">
        <v>2651.86</v>
      </c>
      <c r="D790">
        <f t="shared" si="162"/>
        <v>8.2584231674459746E-3</v>
      </c>
      <c r="E790" t="str">
        <f t="shared" si="156"/>
        <v>2013-02</v>
      </c>
      <c r="G790">
        <v>3721.33</v>
      </c>
      <c r="H790">
        <f t="shared" si="163"/>
        <v>4.0524531030548226E-3</v>
      </c>
      <c r="I790" t="str">
        <f t="shared" si="157"/>
        <v>2013-02</v>
      </c>
      <c r="K790">
        <v>7773.19</v>
      </c>
      <c r="L790">
        <f t="shared" si="164"/>
        <v>1.4419333606993221E-2</v>
      </c>
      <c r="M790" t="str">
        <f t="shared" si="158"/>
        <v>2013-02</v>
      </c>
      <c r="O790">
        <v>7297.69139</v>
      </c>
      <c r="P790">
        <f t="shared" si="165"/>
        <v>-4.3527814861278446E-3</v>
      </c>
      <c r="Q790" t="str">
        <f t="shared" si="159"/>
        <v>2013-02</v>
      </c>
      <c r="S790">
        <v>8244.5</v>
      </c>
      <c r="T790">
        <f t="shared" si="166"/>
        <v>7.9764176060487888E-3</v>
      </c>
      <c r="U790" t="str">
        <f t="shared" si="160"/>
        <v>2013-02</v>
      </c>
      <c r="W790">
        <v>16351.99</v>
      </c>
      <c r="X790">
        <f t="shared" si="167"/>
        <v>7.2861464810258705E-3</v>
      </c>
      <c r="Y790">
        <f t="shared" si="168"/>
        <v>7.3127550316386533E-3</v>
      </c>
      <c r="Z790" t="str">
        <f t="shared" si="161"/>
        <v>2013-02</v>
      </c>
    </row>
    <row r="791" spans="1:26" x14ac:dyDescent="0.35">
      <c r="A791" s="1">
        <v>41331</v>
      </c>
      <c r="C791">
        <v>2570.52</v>
      </c>
      <c r="D791">
        <f t="shared" si="162"/>
        <v>-3.1153067512660677E-2</v>
      </c>
      <c r="E791" t="str">
        <f t="shared" si="156"/>
        <v>2013-02</v>
      </c>
      <c r="G791">
        <v>3621.92</v>
      </c>
      <c r="H791">
        <f t="shared" si="163"/>
        <v>-2.707685929659099E-2</v>
      </c>
      <c r="I791" t="str">
        <f t="shared" si="157"/>
        <v>2013-02</v>
      </c>
      <c r="K791">
        <v>7597.11</v>
      </c>
      <c r="L791">
        <f t="shared" si="164"/>
        <v>-2.2912721720095574E-2</v>
      </c>
      <c r="M791" t="str">
        <f t="shared" si="158"/>
        <v>2013-02</v>
      </c>
      <c r="O791">
        <v>7274.0370899999998</v>
      </c>
      <c r="P791">
        <f t="shared" si="165"/>
        <v>-3.246604657737585E-3</v>
      </c>
      <c r="Q791" t="str">
        <f t="shared" si="159"/>
        <v>2013-02</v>
      </c>
      <c r="S791">
        <v>7980.7</v>
      </c>
      <c r="T791">
        <f t="shared" si="166"/>
        <v>-3.2520184446035619E-2</v>
      </c>
      <c r="U791" t="str">
        <f t="shared" si="160"/>
        <v>2013-02</v>
      </c>
      <c r="W791">
        <v>15552.2</v>
      </c>
      <c r="X791">
        <f t="shared" si="167"/>
        <v>-5.014749475742096E-2</v>
      </c>
      <c r="Y791">
        <f t="shared" si="168"/>
        <v>-4.8910866506156073E-2</v>
      </c>
      <c r="Z791" t="str">
        <f t="shared" si="161"/>
        <v>2013-02</v>
      </c>
    </row>
    <row r="792" spans="1:26" x14ac:dyDescent="0.35">
      <c r="A792" s="1">
        <v>41332</v>
      </c>
      <c r="C792">
        <v>2611.89</v>
      </c>
      <c r="D792">
        <f t="shared" si="162"/>
        <v>1.5965884133681659E-2</v>
      </c>
      <c r="E792" t="str">
        <f t="shared" si="156"/>
        <v>2013-02</v>
      </c>
      <c r="G792">
        <v>3691.49</v>
      </c>
      <c r="H792">
        <f t="shared" si="163"/>
        <v>1.9025898614824462E-2</v>
      </c>
      <c r="I792" t="str">
        <f t="shared" si="157"/>
        <v>2013-02</v>
      </c>
      <c r="K792">
        <v>7675.83</v>
      </c>
      <c r="L792">
        <f t="shared" si="164"/>
        <v>1.0308519132646844E-2</v>
      </c>
      <c r="M792" t="str">
        <f t="shared" si="158"/>
        <v>2013-02</v>
      </c>
      <c r="O792">
        <v>7309.6052900000004</v>
      </c>
      <c r="P792">
        <f t="shared" si="165"/>
        <v>4.8778308733478659E-3</v>
      </c>
      <c r="Q792" t="str">
        <f t="shared" si="159"/>
        <v>2013-02</v>
      </c>
      <c r="S792">
        <v>8136.7</v>
      </c>
      <c r="T792">
        <f t="shared" si="166"/>
        <v>1.9358565497205139E-2</v>
      </c>
      <c r="U792" t="str">
        <f t="shared" si="160"/>
        <v>2013-02</v>
      </c>
      <c r="W792">
        <v>15827.02</v>
      </c>
      <c r="X792">
        <f t="shared" si="167"/>
        <v>1.7516498296010038E-2</v>
      </c>
      <c r="Y792">
        <f t="shared" si="168"/>
        <v>1.7670811846555452E-2</v>
      </c>
      <c r="Z792" t="str">
        <f t="shared" si="161"/>
        <v>2013-02</v>
      </c>
    </row>
    <row r="793" spans="1:26" x14ac:dyDescent="0.35">
      <c r="A793" s="1">
        <v>41333</v>
      </c>
      <c r="C793">
        <v>2633.55</v>
      </c>
      <c r="D793">
        <f t="shared" si="162"/>
        <v>8.2586486969207038E-3</v>
      </c>
      <c r="E793" t="str">
        <f t="shared" si="156"/>
        <v>2013-02</v>
      </c>
      <c r="G793">
        <v>3723</v>
      </c>
      <c r="H793">
        <f t="shared" si="163"/>
        <v>8.4996243030767537E-3</v>
      </c>
      <c r="I793" t="str">
        <f t="shared" si="157"/>
        <v>2013-02</v>
      </c>
      <c r="K793">
        <v>7741.7</v>
      </c>
      <c r="L793">
        <f t="shared" si="164"/>
        <v>8.5448707789132876E-3</v>
      </c>
      <c r="M793" t="str">
        <f t="shared" si="158"/>
        <v>2013-02</v>
      </c>
      <c r="O793">
        <v>7382.2929800000002</v>
      </c>
      <c r="P793">
        <f t="shared" si="165"/>
        <v>9.8950158437379355E-3</v>
      </c>
      <c r="Q793" t="str">
        <f t="shared" si="159"/>
        <v>2013-02</v>
      </c>
      <c r="S793">
        <v>8230.2999999999993</v>
      </c>
      <c r="T793">
        <f t="shared" si="166"/>
        <v>1.143777361942494E-2</v>
      </c>
      <c r="U793" t="str">
        <f t="shared" si="160"/>
        <v>2013-02</v>
      </c>
      <c r="W793">
        <v>15921.25</v>
      </c>
      <c r="X793">
        <f t="shared" si="167"/>
        <v>5.9360889081244263E-3</v>
      </c>
      <c r="Y793">
        <f t="shared" si="168"/>
        <v>5.9537423974948891E-3</v>
      </c>
      <c r="Z793" t="str">
        <f t="shared" si="161"/>
        <v>2013-02</v>
      </c>
    </row>
    <row r="794" spans="1:26" x14ac:dyDescent="0.35">
      <c r="A794" s="1">
        <v>41334</v>
      </c>
      <c r="C794">
        <v>2616.75</v>
      </c>
      <c r="D794">
        <f t="shared" si="162"/>
        <v>-6.3996561483341593E-3</v>
      </c>
      <c r="E794" t="str">
        <f t="shared" si="156"/>
        <v>2013-03</v>
      </c>
      <c r="G794">
        <v>3699.91</v>
      </c>
      <c r="H794">
        <f t="shared" si="163"/>
        <v>-6.2212998605666227E-3</v>
      </c>
      <c r="I794" t="str">
        <f t="shared" si="157"/>
        <v>2013-03</v>
      </c>
      <c r="K794">
        <v>7708.16</v>
      </c>
      <c r="L794">
        <f t="shared" si="164"/>
        <v>-4.3417937365142741E-3</v>
      </c>
      <c r="M794" t="str">
        <f t="shared" si="158"/>
        <v>2013-03</v>
      </c>
      <c r="O794">
        <v>7357.7410200000004</v>
      </c>
      <c r="P794">
        <f t="shared" si="165"/>
        <v>-3.331333252829579E-3</v>
      </c>
      <c r="Q794" t="str">
        <f t="shared" si="159"/>
        <v>2013-03</v>
      </c>
      <c r="S794">
        <v>8187.1</v>
      </c>
      <c r="T794">
        <f t="shared" si="166"/>
        <v>-5.2627212233846751E-3</v>
      </c>
      <c r="U794" t="str">
        <f t="shared" si="160"/>
        <v>2013-03</v>
      </c>
      <c r="W794">
        <v>15675.37</v>
      </c>
      <c r="X794">
        <f t="shared" si="167"/>
        <v>-1.5564004215719046E-2</v>
      </c>
      <c r="Y794">
        <f t="shared" si="168"/>
        <v>-1.5443511030854938E-2</v>
      </c>
      <c r="Z794" t="str">
        <f t="shared" si="161"/>
        <v>2013-03</v>
      </c>
    </row>
    <row r="795" spans="1:26" x14ac:dyDescent="0.35">
      <c r="A795" s="1">
        <v>41337</v>
      </c>
      <c r="C795">
        <v>2619.7800000000002</v>
      </c>
      <c r="D795">
        <f t="shared" si="162"/>
        <v>1.1572550288675197E-3</v>
      </c>
      <c r="E795" t="str">
        <f t="shared" si="156"/>
        <v>2013-03</v>
      </c>
      <c r="G795">
        <v>3709.76</v>
      </c>
      <c r="H795">
        <f t="shared" si="163"/>
        <v>2.6586894698864129E-3</v>
      </c>
      <c r="I795" t="str">
        <f t="shared" si="157"/>
        <v>2013-03</v>
      </c>
      <c r="K795">
        <v>7691.68</v>
      </c>
      <c r="L795">
        <f t="shared" si="164"/>
        <v>-2.1402827939743583E-3</v>
      </c>
      <c r="M795" t="str">
        <f t="shared" si="158"/>
        <v>2013-03</v>
      </c>
      <c r="O795">
        <v>7359.7406000000001</v>
      </c>
      <c r="P795">
        <f t="shared" si="165"/>
        <v>2.7172855573133589E-4</v>
      </c>
      <c r="Q795" t="str">
        <f t="shared" si="159"/>
        <v>2013-03</v>
      </c>
      <c r="S795">
        <v>8246.2999999999993</v>
      </c>
      <c r="T795">
        <f t="shared" si="166"/>
        <v>7.2048700925998344E-3</v>
      </c>
      <c r="U795" t="str">
        <f t="shared" si="160"/>
        <v>2013-03</v>
      </c>
      <c r="W795">
        <v>15542.17</v>
      </c>
      <c r="X795">
        <f t="shared" si="167"/>
        <v>-8.5337158756791202E-3</v>
      </c>
      <c r="Y795">
        <f t="shared" si="168"/>
        <v>-8.4974070787484264E-3</v>
      </c>
      <c r="Z795" t="str">
        <f t="shared" si="161"/>
        <v>2013-03</v>
      </c>
    </row>
    <row r="796" spans="1:26" x14ac:dyDescent="0.35">
      <c r="A796" s="1">
        <v>41338</v>
      </c>
      <c r="C796">
        <v>2683.02</v>
      </c>
      <c r="D796">
        <f t="shared" si="162"/>
        <v>2.3852680976134188E-2</v>
      </c>
      <c r="E796" t="str">
        <f t="shared" si="156"/>
        <v>2013-03</v>
      </c>
      <c r="G796">
        <v>3787.19</v>
      </c>
      <c r="H796">
        <f t="shared" si="163"/>
        <v>2.0657134801024074E-2</v>
      </c>
      <c r="I796" t="str">
        <f t="shared" si="157"/>
        <v>2013-03</v>
      </c>
      <c r="K796">
        <v>7870.31</v>
      </c>
      <c r="L796">
        <f t="shared" si="164"/>
        <v>2.2958226545394651E-2</v>
      </c>
      <c r="M796" t="str">
        <f t="shared" si="158"/>
        <v>2013-03</v>
      </c>
      <c r="O796">
        <v>7458.59292</v>
      </c>
      <c r="P796">
        <f t="shared" si="165"/>
        <v>1.3342092248870219E-2</v>
      </c>
      <c r="Q796" t="str">
        <f t="shared" si="159"/>
        <v>2013-03</v>
      </c>
      <c r="S796">
        <v>8423.2999999999993</v>
      </c>
      <c r="T796">
        <f t="shared" si="166"/>
        <v>2.1237060563892355E-2</v>
      </c>
      <c r="U796" t="str">
        <f t="shared" si="160"/>
        <v>2013-03</v>
      </c>
      <c r="W796">
        <v>15974.3</v>
      </c>
      <c r="X796">
        <f t="shared" si="167"/>
        <v>2.742420600675358E-2</v>
      </c>
      <c r="Y796">
        <f t="shared" si="168"/>
        <v>2.7803710807435461E-2</v>
      </c>
      <c r="Z796" t="str">
        <f t="shared" si="161"/>
        <v>2013-03</v>
      </c>
    </row>
    <row r="797" spans="1:26" x14ac:dyDescent="0.35">
      <c r="A797" s="1">
        <v>41339</v>
      </c>
      <c r="C797">
        <v>2679.89</v>
      </c>
      <c r="D797">
        <f t="shared" si="162"/>
        <v>-1.1672768535719424E-3</v>
      </c>
      <c r="E797" t="str">
        <f t="shared" si="156"/>
        <v>2013-03</v>
      </c>
      <c r="G797">
        <v>3773.76</v>
      </c>
      <c r="H797">
        <f t="shared" si="163"/>
        <v>-3.5524673814553722E-3</v>
      </c>
      <c r="I797" t="str">
        <f t="shared" si="157"/>
        <v>2013-03</v>
      </c>
      <c r="K797">
        <v>7919.33</v>
      </c>
      <c r="L797">
        <f t="shared" si="164"/>
        <v>6.2091545458103437E-3</v>
      </c>
      <c r="M797" t="str">
        <f t="shared" si="158"/>
        <v>2013-03</v>
      </c>
      <c r="O797">
        <v>7432.6081899999999</v>
      </c>
      <c r="P797">
        <f t="shared" si="165"/>
        <v>-3.4899476787633101E-3</v>
      </c>
      <c r="Q797" t="str">
        <f t="shared" si="159"/>
        <v>2013-03</v>
      </c>
      <c r="S797">
        <v>8358.9</v>
      </c>
      <c r="T797">
        <f t="shared" si="166"/>
        <v>-7.6748359706153855E-3</v>
      </c>
      <c r="U797" t="str">
        <f t="shared" si="160"/>
        <v>2013-03</v>
      </c>
      <c r="W797">
        <v>15899.7</v>
      </c>
      <c r="X797">
        <f t="shared" si="167"/>
        <v>-4.6809397135316889E-3</v>
      </c>
      <c r="Y797">
        <f t="shared" si="168"/>
        <v>-4.6700011894103997E-3</v>
      </c>
      <c r="Z797" t="str">
        <f t="shared" si="161"/>
        <v>2013-03</v>
      </c>
    </row>
    <row r="798" spans="1:26" x14ac:dyDescent="0.35">
      <c r="A798" s="1">
        <v>41340</v>
      </c>
      <c r="C798">
        <v>2690.85</v>
      </c>
      <c r="D798">
        <f t="shared" si="162"/>
        <v>4.0813799267862497E-3</v>
      </c>
      <c r="E798" t="str">
        <f t="shared" si="156"/>
        <v>2013-03</v>
      </c>
      <c r="G798">
        <v>3793.78</v>
      </c>
      <c r="H798">
        <f t="shared" si="163"/>
        <v>5.2910316179354544E-3</v>
      </c>
      <c r="I798" t="str">
        <f t="shared" si="157"/>
        <v>2013-03</v>
      </c>
      <c r="K798">
        <v>7939.77</v>
      </c>
      <c r="L798">
        <f t="shared" si="164"/>
        <v>2.5777012967787851E-3</v>
      </c>
      <c r="M798" t="str">
        <f t="shared" si="158"/>
        <v>2013-03</v>
      </c>
      <c r="O798">
        <v>7387.5557900000003</v>
      </c>
      <c r="P798">
        <f t="shared" si="165"/>
        <v>-6.0798974750147427E-3</v>
      </c>
      <c r="Q798" t="str">
        <f t="shared" si="159"/>
        <v>2013-03</v>
      </c>
      <c r="S798">
        <v>8389.1</v>
      </c>
      <c r="T798">
        <f t="shared" si="166"/>
        <v>3.606404673053479E-3</v>
      </c>
      <c r="U798" t="str">
        <f t="shared" si="160"/>
        <v>2013-03</v>
      </c>
      <c r="W798">
        <v>15947.17</v>
      </c>
      <c r="X798">
        <f t="shared" si="167"/>
        <v>2.9811428976428416E-3</v>
      </c>
      <c r="Y798">
        <f t="shared" si="168"/>
        <v>2.9855909230991368E-3</v>
      </c>
      <c r="Z798" t="str">
        <f t="shared" si="161"/>
        <v>2013-03</v>
      </c>
    </row>
    <row r="799" spans="1:26" x14ac:dyDescent="0.35">
      <c r="A799" s="1">
        <v>41341</v>
      </c>
      <c r="C799">
        <v>2728.78</v>
      </c>
      <c r="D799">
        <f t="shared" si="162"/>
        <v>1.3997494035402697E-2</v>
      </c>
      <c r="E799" t="str">
        <f t="shared" si="156"/>
        <v>2013-03</v>
      </c>
      <c r="G799">
        <v>3840.15</v>
      </c>
      <c r="H799">
        <f t="shared" si="163"/>
        <v>1.2148544799312249E-2</v>
      </c>
      <c r="I799" t="str">
        <f t="shared" si="157"/>
        <v>2013-03</v>
      </c>
      <c r="K799">
        <v>7986.47</v>
      </c>
      <c r="L799">
        <f t="shared" si="164"/>
        <v>5.8645523169201129E-3</v>
      </c>
      <c r="M799" t="str">
        <f t="shared" si="158"/>
        <v>2013-03</v>
      </c>
      <c r="O799">
        <v>7459.8604100000002</v>
      </c>
      <c r="P799">
        <f t="shared" si="165"/>
        <v>9.7397675947997267E-3</v>
      </c>
      <c r="Q799" t="str">
        <f t="shared" si="159"/>
        <v>2013-03</v>
      </c>
      <c r="S799">
        <v>8628.1</v>
      </c>
      <c r="T799">
        <f t="shared" si="166"/>
        <v>2.8091074466252947E-2</v>
      </c>
      <c r="U799" t="str">
        <f t="shared" si="160"/>
        <v>2013-03</v>
      </c>
      <c r="W799">
        <v>16204.03</v>
      </c>
      <c r="X799">
        <f t="shared" si="167"/>
        <v>1.5978592712148718E-2</v>
      </c>
      <c r="Y799">
        <f t="shared" si="168"/>
        <v>1.6106933079662447E-2</v>
      </c>
      <c r="Z799" t="str">
        <f t="shared" si="161"/>
        <v>2013-03</v>
      </c>
    </row>
    <row r="800" spans="1:26" x14ac:dyDescent="0.35">
      <c r="A800" s="1">
        <v>41344</v>
      </c>
      <c r="C800">
        <v>2718.71</v>
      </c>
      <c r="D800">
        <f t="shared" si="162"/>
        <v>-3.6971197635278777E-3</v>
      </c>
      <c r="E800" t="str">
        <f t="shared" si="156"/>
        <v>2013-03</v>
      </c>
      <c r="G800">
        <v>3836.27</v>
      </c>
      <c r="H800">
        <f t="shared" si="163"/>
        <v>-1.0108879739286426E-3</v>
      </c>
      <c r="I800" t="str">
        <f t="shared" si="157"/>
        <v>2013-03</v>
      </c>
      <c r="K800">
        <v>7984.29</v>
      </c>
      <c r="L800">
        <f t="shared" si="164"/>
        <v>-2.7299890719532954E-4</v>
      </c>
      <c r="M800" t="str">
        <f t="shared" si="158"/>
        <v>2013-03</v>
      </c>
      <c r="O800">
        <v>7447.4074799999999</v>
      </c>
      <c r="P800">
        <f t="shared" si="165"/>
        <v>-1.6707196769454851E-3</v>
      </c>
      <c r="Q800" t="str">
        <f t="shared" si="159"/>
        <v>2013-03</v>
      </c>
      <c r="S800">
        <v>8554.4</v>
      </c>
      <c r="T800">
        <f t="shared" si="166"/>
        <v>-8.5785481709692735E-3</v>
      </c>
      <c r="U800" t="str">
        <f t="shared" si="160"/>
        <v>2013-03</v>
      </c>
      <c r="W800">
        <v>16091.98</v>
      </c>
      <c r="X800">
        <f t="shared" si="167"/>
        <v>-6.9389655002701544E-3</v>
      </c>
      <c r="Y800">
        <f t="shared" si="168"/>
        <v>-6.9149464670209253E-3</v>
      </c>
      <c r="Z800" t="str">
        <f t="shared" si="161"/>
        <v>2013-03</v>
      </c>
    </row>
    <row r="801" spans="1:26" x14ac:dyDescent="0.35">
      <c r="A801" s="1">
        <v>41345</v>
      </c>
      <c r="C801">
        <v>2711.85</v>
      </c>
      <c r="D801">
        <f t="shared" si="162"/>
        <v>-2.5264442889509149E-3</v>
      </c>
      <c r="E801" t="str">
        <f t="shared" si="156"/>
        <v>2013-03</v>
      </c>
      <c r="G801">
        <v>3839.97</v>
      </c>
      <c r="H801">
        <f t="shared" si="163"/>
        <v>9.6401370633049377E-4</v>
      </c>
      <c r="I801" t="str">
        <f t="shared" si="157"/>
        <v>2013-03</v>
      </c>
      <c r="K801">
        <v>7966.12</v>
      </c>
      <c r="L801">
        <f t="shared" si="164"/>
        <v>-2.2783123267169554E-3</v>
      </c>
      <c r="M801" t="str">
        <f t="shared" si="158"/>
        <v>2013-03</v>
      </c>
      <c r="O801">
        <v>7449.9930299999996</v>
      </c>
      <c r="P801">
        <f t="shared" si="165"/>
        <v>3.4711425315117329E-4</v>
      </c>
      <c r="Q801" t="str">
        <f t="shared" si="159"/>
        <v>2013-03</v>
      </c>
      <c r="S801">
        <v>8532.2999999999993</v>
      </c>
      <c r="T801">
        <f t="shared" si="166"/>
        <v>-2.5868087253428642E-3</v>
      </c>
      <c r="U801" t="str">
        <f t="shared" si="160"/>
        <v>2013-03</v>
      </c>
      <c r="W801">
        <v>16023.98</v>
      </c>
      <c r="X801">
        <f t="shared" si="167"/>
        <v>-4.2346609982477027E-3</v>
      </c>
      <c r="Y801">
        <f t="shared" si="168"/>
        <v>-4.2257074642150939E-3</v>
      </c>
      <c r="Z801" t="str">
        <f t="shared" si="161"/>
        <v>2013-03</v>
      </c>
    </row>
    <row r="802" spans="1:26" x14ac:dyDescent="0.35">
      <c r="A802" s="1">
        <v>41346</v>
      </c>
      <c r="C802">
        <v>2704.73</v>
      </c>
      <c r="D802">
        <f t="shared" si="162"/>
        <v>-2.6289666545319381E-3</v>
      </c>
      <c r="E802" t="str">
        <f t="shared" si="156"/>
        <v>2013-03</v>
      </c>
      <c r="G802">
        <v>3836.04</v>
      </c>
      <c r="H802">
        <f t="shared" si="163"/>
        <v>-1.0239695736165328E-3</v>
      </c>
      <c r="I802" t="str">
        <f t="shared" si="157"/>
        <v>2013-03</v>
      </c>
      <c r="K802">
        <v>7970.91</v>
      </c>
      <c r="L802">
        <f t="shared" si="164"/>
        <v>6.0111578433814656E-4</v>
      </c>
      <c r="M802" t="str">
        <f t="shared" si="158"/>
        <v>2013-03</v>
      </c>
      <c r="O802">
        <v>7460.39588</v>
      </c>
      <c r="P802">
        <f t="shared" si="165"/>
        <v>1.3953830112328049E-3</v>
      </c>
      <c r="Q802" t="str">
        <f t="shared" si="159"/>
        <v>2013-03</v>
      </c>
      <c r="S802">
        <v>8498.2999999999993</v>
      </c>
      <c r="T802">
        <f t="shared" si="166"/>
        <v>-3.9928182413633299E-3</v>
      </c>
      <c r="U802" t="str">
        <f t="shared" si="160"/>
        <v>2013-03</v>
      </c>
      <c r="W802">
        <v>15745.34</v>
      </c>
      <c r="X802">
        <f t="shared" si="167"/>
        <v>-1.7541901758217144E-2</v>
      </c>
      <c r="Y802">
        <f t="shared" si="168"/>
        <v>-1.7388938328679854E-2</v>
      </c>
      <c r="Z802" t="str">
        <f t="shared" si="161"/>
        <v>2013-03</v>
      </c>
    </row>
    <row r="803" spans="1:26" x14ac:dyDescent="0.35">
      <c r="A803" s="1">
        <v>41347</v>
      </c>
      <c r="C803">
        <v>2744.7</v>
      </c>
      <c r="D803">
        <f t="shared" si="162"/>
        <v>1.4669687211998027E-2</v>
      </c>
      <c r="E803" t="str">
        <f t="shared" si="156"/>
        <v>2013-03</v>
      </c>
      <c r="G803">
        <v>3871.58</v>
      </c>
      <c r="H803">
        <f t="shared" si="163"/>
        <v>9.2221079610368319E-3</v>
      </c>
      <c r="I803" t="str">
        <f t="shared" si="157"/>
        <v>2013-03</v>
      </c>
      <c r="K803">
        <v>8058.37</v>
      </c>
      <c r="L803">
        <f t="shared" si="164"/>
        <v>1.0912638363592153E-2</v>
      </c>
      <c r="M803" t="str">
        <f t="shared" si="158"/>
        <v>2013-03</v>
      </c>
      <c r="O803">
        <v>7572.9711500000003</v>
      </c>
      <c r="P803">
        <f t="shared" si="165"/>
        <v>1.4977000705946186E-2</v>
      </c>
      <c r="Q803" t="str">
        <f t="shared" si="159"/>
        <v>2013-03</v>
      </c>
      <c r="S803">
        <v>8657.9</v>
      </c>
      <c r="T803">
        <f t="shared" si="166"/>
        <v>1.8606055447933357E-2</v>
      </c>
      <c r="U803" t="str">
        <f t="shared" si="160"/>
        <v>2013-03</v>
      </c>
      <c r="W803">
        <v>16131.05</v>
      </c>
      <c r="X803">
        <f t="shared" si="167"/>
        <v>2.420153763598017E-2</v>
      </c>
      <c r="Y803">
        <f t="shared" si="168"/>
        <v>2.4496771743258584E-2</v>
      </c>
      <c r="Z803" t="str">
        <f t="shared" si="161"/>
        <v>2013-03</v>
      </c>
    </row>
    <row r="804" spans="1:26" x14ac:dyDescent="0.35">
      <c r="A804" s="1">
        <v>41348</v>
      </c>
      <c r="C804">
        <v>2725.72</v>
      </c>
      <c r="D804">
        <f t="shared" si="162"/>
        <v>-6.9391659727739115E-3</v>
      </c>
      <c r="E804" t="str">
        <f t="shared" si="156"/>
        <v>2013-03</v>
      </c>
      <c r="G804">
        <v>3844.03</v>
      </c>
      <c r="H804">
        <f t="shared" si="163"/>
        <v>-7.1413970084983763E-3</v>
      </c>
      <c r="I804" t="str">
        <f t="shared" si="157"/>
        <v>2013-03</v>
      </c>
      <c r="K804">
        <v>8042.85</v>
      </c>
      <c r="L804">
        <f t="shared" si="164"/>
        <v>-1.9278048255454362E-3</v>
      </c>
      <c r="M804" t="str">
        <f t="shared" si="158"/>
        <v>2013-03</v>
      </c>
      <c r="O804">
        <v>7511.9512800000002</v>
      </c>
      <c r="P804">
        <f t="shared" si="165"/>
        <v>-8.0902242758127164E-3</v>
      </c>
      <c r="Q804" t="str">
        <f t="shared" si="159"/>
        <v>2013-03</v>
      </c>
      <c r="S804">
        <v>8619.1</v>
      </c>
      <c r="T804">
        <f t="shared" si="166"/>
        <v>-4.4915280695348326E-3</v>
      </c>
      <c r="U804" t="str">
        <f t="shared" si="160"/>
        <v>2013-03</v>
      </c>
      <c r="W804">
        <v>16061.15</v>
      </c>
      <c r="X804">
        <f t="shared" si="167"/>
        <v>-4.3426736819826397E-3</v>
      </c>
      <c r="Y804">
        <f t="shared" si="168"/>
        <v>-4.333257909435507E-3</v>
      </c>
      <c r="Z804" t="str">
        <f t="shared" si="161"/>
        <v>2013-03</v>
      </c>
    </row>
    <row r="805" spans="1:26" x14ac:dyDescent="0.35">
      <c r="A805" s="1">
        <v>41351</v>
      </c>
      <c r="C805">
        <v>2705.47</v>
      </c>
      <c r="D805">
        <f t="shared" si="162"/>
        <v>-7.4569638828918235E-3</v>
      </c>
      <c r="E805" t="str">
        <f t="shared" si="156"/>
        <v>2013-03</v>
      </c>
      <c r="G805">
        <v>3825.47</v>
      </c>
      <c r="H805">
        <f t="shared" si="163"/>
        <v>-4.8399599011618452E-3</v>
      </c>
      <c r="I805" t="str">
        <f t="shared" si="157"/>
        <v>2013-03</v>
      </c>
      <c r="K805">
        <v>8010.7</v>
      </c>
      <c r="L805">
        <f t="shared" si="164"/>
        <v>-4.0053499670041608E-3</v>
      </c>
      <c r="M805" t="str">
        <f t="shared" si="158"/>
        <v>2013-03</v>
      </c>
      <c r="O805">
        <v>7519.9533000000001</v>
      </c>
      <c r="P805">
        <f t="shared" si="165"/>
        <v>1.0646715741557584E-3</v>
      </c>
      <c r="Q805" t="str">
        <f t="shared" si="159"/>
        <v>2013-03</v>
      </c>
      <c r="S805">
        <v>8507.7999999999993</v>
      </c>
      <c r="T805">
        <f t="shared" si="166"/>
        <v>-1.2997281097571086E-2</v>
      </c>
      <c r="U805" t="str">
        <f t="shared" si="160"/>
        <v>2013-03</v>
      </c>
      <c r="W805">
        <v>15924.13</v>
      </c>
      <c r="X805">
        <f t="shared" si="167"/>
        <v>-8.5677435480178091E-3</v>
      </c>
      <c r="Y805">
        <f t="shared" si="168"/>
        <v>-8.5311450300881598E-3</v>
      </c>
      <c r="Z805" t="str">
        <f t="shared" si="161"/>
        <v>2013-03</v>
      </c>
    </row>
    <row r="806" spans="1:26" x14ac:dyDescent="0.35">
      <c r="A806" s="1">
        <v>41352</v>
      </c>
      <c r="C806">
        <v>2671.96</v>
      </c>
      <c r="D806">
        <f t="shared" si="162"/>
        <v>-1.2463364013329774E-2</v>
      </c>
      <c r="E806" t="str">
        <f t="shared" si="156"/>
        <v>2013-03</v>
      </c>
      <c r="G806">
        <v>3775.75</v>
      </c>
      <c r="H806">
        <f t="shared" si="163"/>
        <v>-1.308229708256378E-2</v>
      </c>
      <c r="I806" t="str">
        <f t="shared" si="157"/>
        <v>2013-03</v>
      </c>
      <c r="K806">
        <v>7947.79</v>
      </c>
      <c r="L806">
        <f t="shared" si="164"/>
        <v>-7.8842454242742856E-3</v>
      </c>
      <c r="M806" t="str">
        <f t="shared" si="158"/>
        <v>2013-03</v>
      </c>
      <c r="O806">
        <v>7555.2212</v>
      </c>
      <c r="P806">
        <f t="shared" si="165"/>
        <v>4.6789460834377556E-3</v>
      </c>
      <c r="Q806" t="str">
        <f t="shared" si="159"/>
        <v>2013-03</v>
      </c>
      <c r="S806">
        <v>8321</v>
      </c>
      <c r="T806">
        <f t="shared" si="166"/>
        <v>-2.2200949856138193E-2</v>
      </c>
      <c r="U806" t="str">
        <f t="shared" si="160"/>
        <v>2013-03</v>
      </c>
      <c r="W806">
        <v>15670.56</v>
      </c>
      <c r="X806">
        <f t="shared" si="167"/>
        <v>-1.6051776076099547E-2</v>
      </c>
      <c r="Y806">
        <f t="shared" si="168"/>
        <v>-1.5923632876646932E-2</v>
      </c>
      <c r="Z806" t="str">
        <f t="shared" si="161"/>
        <v>2013-03</v>
      </c>
    </row>
    <row r="807" spans="1:26" x14ac:dyDescent="0.35">
      <c r="A807" s="1">
        <v>41353</v>
      </c>
      <c r="C807">
        <v>2708.9</v>
      </c>
      <c r="D807">
        <f t="shared" si="162"/>
        <v>1.3730362928751063E-2</v>
      </c>
      <c r="E807" t="str">
        <f t="shared" si="156"/>
        <v>2013-03</v>
      </c>
      <c r="G807">
        <v>3829.56</v>
      </c>
      <c r="H807">
        <f t="shared" si="163"/>
        <v>1.4150875622212702E-2</v>
      </c>
      <c r="I807" t="str">
        <f t="shared" si="157"/>
        <v>2013-03</v>
      </c>
      <c r="K807">
        <v>8001.97</v>
      </c>
      <c r="L807">
        <f t="shared" si="164"/>
        <v>6.7938587660898069E-3</v>
      </c>
      <c r="M807" t="str">
        <f t="shared" si="158"/>
        <v>2013-03</v>
      </c>
      <c r="O807">
        <v>7518.2367599999998</v>
      </c>
      <c r="P807">
        <f t="shared" si="165"/>
        <v>-4.9072368552138049E-3</v>
      </c>
      <c r="Q807" t="str">
        <f t="shared" si="159"/>
        <v>2013-03</v>
      </c>
      <c r="S807">
        <v>8416.2999999999993</v>
      </c>
      <c r="T807">
        <f t="shared" si="166"/>
        <v>1.1387861829576408E-2</v>
      </c>
      <c r="U807" t="str">
        <f t="shared" si="160"/>
        <v>2013-03</v>
      </c>
      <c r="W807">
        <v>16015.98</v>
      </c>
      <c r="X807">
        <f t="shared" si="167"/>
        <v>2.1803181014243302E-2</v>
      </c>
      <c r="Y807">
        <f t="shared" si="168"/>
        <v>2.2042607283977094E-2</v>
      </c>
      <c r="Z807" t="str">
        <f t="shared" si="161"/>
        <v>2013-03</v>
      </c>
    </row>
    <row r="808" spans="1:26" x14ac:dyDescent="0.35">
      <c r="A808" s="1">
        <v>41354</v>
      </c>
      <c r="C808">
        <v>2683.92</v>
      </c>
      <c r="D808">
        <f t="shared" si="162"/>
        <v>-9.2642360253120792E-3</v>
      </c>
      <c r="E808" t="str">
        <f t="shared" si="156"/>
        <v>2013-03</v>
      </c>
      <c r="G808">
        <v>3774.85</v>
      </c>
      <c r="H808">
        <f t="shared" si="163"/>
        <v>-1.4389267274336348E-2</v>
      </c>
      <c r="I808" t="str">
        <f t="shared" si="157"/>
        <v>2013-03</v>
      </c>
      <c r="K808">
        <v>7932.51</v>
      </c>
      <c r="L808">
        <f t="shared" si="164"/>
        <v>-8.7182562542406968E-3</v>
      </c>
      <c r="M808" t="str">
        <f t="shared" si="158"/>
        <v>2013-03</v>
      </c>
      <c r="O808">
        <v>7506.1628300000002</v>
      </c>
      <c r="P808">
        <f t="shared" si="165"/>
        <v>-1.6072432747570268E-3</v>
      </c>
      <c r="Q808" t="str">
        <f t="shared" si="159"/>
        <v>2013-03</v>
      </c>
      <c r="S808">
        <v>8351.2000000000007</v>
      </c>
      <c r="T808">
        <f t="shared" si="166"/>
        <v>-7.7650606359176179E-3</v>
      </c>
      <c r="U808" t="str">
        <f t="shared" si="160"/>
        <v>2013-03</v>
      </c>
      <c r="W808">
        <v>15935.99</v>
      </c>
      <c r="X808">
        <f t="shared" si="167"/>
        <v>-5.0069004888309209E-3</v>
      </c>
      <c r="Y808">
        <f t="shared" si="168"/>
        <v>-4.9943868561274293E-3</v>
      </c>
      <c r="Z808" t="str">
        <f t="shared" si="161"/>
        <v>2013-03</v>
      </c>
    </row>
    <row r="809" spans="1:26" x14ac:dyDescent="0.35">
      <c r="A809" s="1">
        <v>41355</v>
      </c>
      <c r="C809">
        <v>2681.67</v>
      </c>
      <c r="D809">
        <f t="shared" si="162"/>
        <v>-8.3867762236162948E-4</v>
      </c>
      <c r="E809" t="str">
        <f t="shared" si="156"/>
        <v>2013-03</v>
      </c>
      <c r="G809">
        <v>3770.29</v>
      </c>
      <c r="H809">
        <f t="shared" si="163"/>
        <v>-1.208725233775962E-3</v>
      </c>
      <c r="I809" t="str">
        <f t="shared" si="157"/>
        <v>2013-03</v>
      </c>
      <c r="K809">
        <v>7911.35</v>
      </c>
      <c r="L809">
        <f t="shared" si="164"/>
        <v>-2.6710678560253475E-3</v>
      </c>
      <c r="M809" t="str">
        <f t="shared" si="158"/>
        <v>2013-03</v>
      </c>
      <c r="O809">
        <v>7501.4165400000002</v>
      </c>
      <c r="P809">
        <f t="shared" si="165"/>
        <v>-6.3251908135556227E-4</v>
      </c>
      <c r="Q809" t="str">
        <f t="shared" si="159"/>
        <v>2013-03</v>
      </c>
      <c r="S809">
        <v>8329.5</v>
      </c>
      <c r="T809">
        <f t="shared" si="166"/>
        <v>-2.6018107443171921E-3</v>
      </c>
      <c r="U809" t="str">
        <f t="shared" si="160"/>
        <v>2013-03</v>
      </c>
      <c r="W809">
        <v>16045.51</v>
      </c>
      <c r="X809">
        <f t="shared" si="167"/>
        <v>6.8489863276548707E-3</v>
      </c>
      <c r="Y809">
        <f t="shared" si="168"/>
        <v>6.8724942723985419E-3</v>
      </c>
      <c r="Z809" t="str">
        <f t="shared" si="161"/>
        <v>2013-03</v>
      </c>
    </row>
    <row r="810" spans="1:26" x14ac:dyDescent="0.35">
      <c r="A810" s="1">
        <v>41358</v>
      </c>
      <c r="C810">
        <v>2649.28</v>
      </c>
      <c r="D810">
        <f t="shared" si="162"/>
        <v>-1.2151829815239865E-2</v>
      </c>
      <c r="E810" t="str">
        <f t="shared" si="156"/>
        <v>2013-03</v>
      </c>
      <c r="G810">
        <v>3727.98</v>
      </c>
      <c r="H810">
        <f t="shared" si="163"/>
        <v>-1.1285389576327154E-2</v>
      </c>
      <c r="I810" t="str">
        <f t="shared" si="157"/>
        <v>2013-03</v>
      </c>
      <c r="K810">
        <v>7870.9</v>
      </c>
      <c r="L810">
        <f t="shared" si="164"/>
        <v>-5.1260230413732915E-3</v>
      </c>
      <c r="M810" t="str">
        <f t="shared" si="158"/>
        <v>2013-03</v>
      </c>
      <c r="O810">
        <v>7519.53449</v>
      </c>
      <c r="P810">
        <f t="shared" si="165"/>
        <v>2.4123584119572321E-3</v>
      </c>
      <c r="Q810" t="str">
        <f t="shared" si="159"/>
        <v>2013-03</v>
      </c>
      <c r="S810">
        <v>8140.6</v>
      </c>
      <c r="T810">
        <f t="shared" si="166"/>
        <v>-2.2939542995929485E-2</v>
      </c>
      <c r="U810" t="str">
        <f t="shared" si="160"/>
        <v>2013-03</v>
      </c>
      <c r="W810">
        <v>15644.36</v>
      </c>
      <c r="X810">
        <f t="shared" si="167"/>
        <v>-2.5318591013778018E-2</v>
      </c>
      <c r="Y810">
        <f t="shared" si="168"/>
        <v>-2.5000763453452063E-2</v>
      </c>
      <c r="Z810" t="str">
        <f t="shared" si="161"/>
        <v>2013-03</v>
      </c>
    </row>
    <row r="811" spans="1:26" x14ac:dyDescent="0.35">
      <c r="A811" s="1">
        <v>41359</v>
      </c>
      <c r="C811">
        <v>2641.12</v>
      </c>
      <c r="D811">
        <f t="shared" si="162"/>
        <v>-3.0848353512102624E-3</v>
      </c>
      <c r="E811" t="str">
        <f t="shared" si="156"/>
        <v>2013-03</v>
      </c>
      <c r="G811">
        <v>3748.64</v>
      </c>
      <c r="H811">
        <f t="shared" si="163"/>
        <v>5.5265755341056171E-3</v>
      </c>
      <c r="I811" t="str">
        <f t="shared" si="157"/>
        <v>2013-03</v>
      </c>
      <c r="K811">
        <v>7879.67</v>
      </c>
      <c r="L811">
        <f t="shared" si="164"/>
        <v>1.1136106066418148E-3</v>
      </c>
      <c r="M811" t="str">
        <f t="shared" si="158"/>
        <v>2013-03</v>
      </c>
      <c r="O811">
        <v>7538.94974</v>
      </c>
      <c r="P811">
        <f t="shared" si="165"/>
        <v>2.5786474205243925E-3</v>
      </c>
      <c r="Q811" t="str">
        <f t="shared" si="159"/>
        <v>2013-03</v>
      </c>
      <c r="S811">
        <v>7990.5</v>
      </c>
      <c r="T811">
        <f t="shared" si="166"/>
        <v>-1.8610551328678619E-2</v>
      </c>
      <c r="U811" t="str">
        <f t="shared" si="160"/>
        <v>2013-03</v>
      </c>
      <c r="W811">
        <v>15495.92</v>
      </c>
      <c r="X811">
        <f t="shared" si="167"/>
        <v>-9.5337051771261228E-3</v>
      </c>
      <c r="Y811">
        <f t="shared" si="168"/>
        <v>-9.4884034885415903E-3</v>
      </c>
      <c r="Z811" t="str">
        <f t="shared" si="161"/>
        <v>2013-03</v>
      </c>
    </row>
    <row r="812" spans="1:26" x14ac:dyDescent="0.35">
      <c r="A812" s="1">
        <v>41360</v>
      </c>
      <c r="C812">
        <v>2612.46</v>
      </c>
      <c r="D812">
        <f t="shared" si="162"/>
        <v>-1.0910763448163734E-2</v>
      </c>
      <c r="E812" t="str">
        <f t="shared" si="156"/>
        <v>2013-03</v>
      </c>
      <c r="G812">
        <v>3711.64</v>
      </c>
      <c r="H812">
        <f t="shared" si="163"/>
        <v>-9.9192800739911074E-3</v>
      </c>
      <c r="I812" t="str">
        <f t="shared" si="157"/>
        <v>2013-03</v>
      </c>
      <c r="K812">
        <v>7789.09</v>
      </c>
      <c r="L812">
        <f t="shared" si="164"/>
        <v>-1.1561988192519744E-2</v>
      </c>
      <c r="M812" t="str">
        <f t="shared" si="158"/>
        <v>2013-03</v>
      </c>
      <c r="O812">
        <v>7560.3464199999999</v>
      </c>
      <c r="P812">
        <f t="shared" si="165"/>
        <v>2.8341313522582709E-3</v>
      </c>
      <c r="Q812" t="str">
        <f t="shared" si="159"/>
        <v>2013-03</v>
      </c>
      <c r="S812">
        <v>7900.4</v>
      </c>
      <c r="T812">
        <f t="shared" si="166"/>
        <v>-1.1339944940460939E-2</v>
      </c>
      <c r="U812" t="str">
        <f t="shared" si="160"/>
        <v>2013-03</v>
      </c>
      <c r="W812">
        <v>15353.85</v>
      </c>
      <c r="X812">
        <f t="shared" si="167"/>
        <v>-9.2105065519585694E-3</v>
      </c>
      <c r="Y812">
        <f t="shared" si="168"/>
        <v>-9.1682197636538971E-3</v>
      </c>
      <c r="Z812" t="str">
        <f t="shared" si="161"/>
        <v>2013-03</v>
      </c>
    </row>
    <row r="813" spans="1:26" x14ac:dyDescent="0.35">
      <c r="A813" s="1">
        <v>41361</v>
      </c>
      <c r="C813">
        <v>2624.02</v>
      </c>
      <c r="D813">
        <f t="shared" si="162"/>
        <v>4.4151868350850313E-3</v>
      </c>
      <c r="E813" t="str">
        <f t="shared" si="156"/>
        <v>2013-03</v>
      </c>
      <c r="G813">
        <v>3731.42</v>
      </c>
      <c r="H813">
        <f t="shared" si="163"/>
        <v>5.3150307977249045E-3</v>
      </c>
      <c r="I813" t="str">
        <f t="shared" si="157"/>
        <v>2013-03</v>
      </c>
      <c r="K813">
        <v>7795.31</v>
      </c>
      <c r="L813">
        <f t="shared" si="164"/>
        <v>7.9823417395219042E-4</v>
      </c>
      <c r="M813" t="str">
        <f t="shared" si="158"/>
        <v>2013-03</v>
      </c>
      <c r="O813">
        <v>7595.3766100000003</v>
      </c>
      <c r="P813">
        <f t="shared" si="165"/>
        <v>4.622709495540671E-3</v>
      </c>
      <c r="Q813" t="str">
        <f t="shared" si="159"/>
        <v>2013-03</v>
      </c>
      <c r="S813">
        <v>7920</v>
      </c>
      <c r="T813">
        <f t="shared" si="166"/>
        <v>2.4778147237689632E-3</v>
      </c>
      <c r="U813" t="str">
        <f t="shared" si="160"/>
        <v>2013-03</v>
      </c>
      <c r="W813">
        <v>15338.72</v>
      </c>
      <c r="X813">
        <f t="shared" si="167"/>
        <v>-9.8590644091037932E-4</v>
      </c>
      <c r="Y813">
        <f t="shared" si="168"/>
        <v>-9.8542059483458662E-4</v>
      </c>
      <c r="Z813" t="str">
        <f t="shared" si="161"/>
        <v>2013-03</v>
      </c>
    </row>
    <row r="814" spans="1:26" x14ac:dyDescent="0.35">
      <c r="A814" s="1">
        <v>41366</v>
      </c>
      <c r="C814">
        <v>2679.8</v>
      </c>
      <c r="D814">
        <f t="shared" si="162"/>
        <v>2.1034671868355455E-2</v>
      </c>
      <c r="E814" t="str">
        <f t="shared" si="156"/>
        <v>2013-04</v>
      </c>
      <c r="G814">
        <v>3805.37</v>
      </c>
      <c r="H814">
        <f t="shared" si="163"/>
        <v>1.9624368799236163E-2</v>
      </c>
      <c r="I814" t="str">
        <f t="shared" si="157"/>
        <v>2013-04</v>
      </c>
      <c r="K814">
        <v>7943.87</v>
      </c>
      <c r="L814">
        <f t="shared" si="164"/>
        <v>1.8878291255391477E-2</v>
      </c>
      <c r="M814" t="str">
        <f t="shared" si="158"/>
        <v>2013-04</v>
      </c>
      <c r="O814">
        <v>7649.0196400000004</v>
      </c>
      <c r="P814">
        <f t="shared" si="165"/>
        <v>7.0377666038605969E-3</v>
      </c>
      <c r="Q814" t="str">
        <f t="shared" si="159"/>
        <v>2013-04</v>
      </c>
      <c r="S814">
        <v>8050.4</v>
      </c>
      <c r="T814">
        <f t="shared" si="166"/>
        <v>1.6330573810651974E-2</v>
      </c>
      <c r="U814" t="str">
        <f t="shared" si="160"/>
        <v>2013-04</v>
      </c>
      <c r="W814">
        <v>15555.03</v>
      </c>
      <c r="X814">
        <f t="shared" si="167"/>
        <v>1.400370851216199E-2</v>
      </c>
      <c r="Y814">
        <f t="shared" si="168"/>
        <v>1.4102219741934223E-2</v>
      </c>
      <c r="Z814" t="str">
        <f t="shared" si="161"/>
        <v>2013-04</v>
      </c>
    </row>
    <row r="815" spans="1:26" x14ac:dyDescent="0.35">
      <c r="A815" s="1">
        <v>41367</v>
      </c>
      <c r="C815">
        <v>2639.01</v>
      </c>
      <c r="D815">
        <f t="shared" si="162"/>
        <v>-1.5338318044228859E-2</v>
      </c>
      <c r="E815" t="str">
        <f t="shared" si="156"/>
        <v>2013-04</v>
      </c>
      <c r="G815">
        <v>3754.96</v>
      </c>
      <c r="H815">
        <f t="shared" si="163"/>
        <v>-1.3335594363184511E-2</v>
      </c>
      <c r="I815" t="str">
        <f t="shared" si="157"/>
        <v>2013-04</v>
      </c>
      <c r="K815">
        <v>7874.75</v>
      </c>
      <c r="L815">
        <f t="shared" si="164"/>
        <v>-8.7391238810728793E-3</v>
      </c>
      <c r="M815" t="str">
        <f t="shared" si="158"/>
        <v>2013-04</v>
      </c>
      <c r="O815">
        <v>7572.3816299999999</v>
      </c>
      <c r="P815">
        <f t="shared" si="165"/>
        <v>-1.0069855756825627E-2</v>
      </c>
      <c r="Q815" t="str">
        <f t="shared" si="159"/>
        <v>2013-04</v>
      </c>
      <c r="S815">
        <v>7904.3</v>
      </c>
      <c r="T815">
        <f t="shared" si="166"/>
        <v>-1.8314864446123107E-2</v>
      </c>
      <c r="U815" t="str">
        <f t="shared" si="160"/>
        <v>2013-04</v>
      </c>
      <c r="W815">
        <v>15200.3</v>
      </c>
      <c r="X815">
        <f t="shared" si="167"/>
        <v>-2.3068894488482126E-2</v>
      </c>
      <c r="Y815">
        <f t="shared" si="168"/>
        <v>-2.2804841906444499E-2</v>
      </c>
      <c r="Z815" t="str">
        <f t="shared" si="161"/>
        <v>2013-04</v>
      </c>
    </row>
    <row r="816" spans="1:26" x14ac:dyDescent="0.35">
      <c r="A816" s="1">
        <v>41368</v>
      </c>
      <c r="C816">
        <v>2621.4299999999998</v>
      </c>
      <c r="D816">
        <f t="shared" si="162"/>
        <v>-6.6838764238963443E-3</v>
      </c>
      <c r="E816" t="str">
        <f t="shared" si="156"/>
        <v>2013-04</v>
      </c>
      <c r="G816">
        <v>3726.16</v>
      </c>
      <c r="H816">
        <f t="shared" si="163"/>
        <v>-7.699419946324019E-3</v>
      </c>
      <c r="I816" t="str">
        <f t="shared" si="157"/>
        <v>2013-04</v>
      </c>
      <c r="K816">
        <v>7817.39</v>
      </c>
      <c r="L816">
        <f t="shared" si="164"/>
        <v>-7.3106989197362924E-3</v>
      </c>
      <c r="M816" t="str">
        <f t="shared" si="158"/>
        <v>2013-04</v>
      </c>
      <c r="O816">
        <v>7487.1159200000002</v>
      </c>
      <c r="P816">
        <f t="shared" si="165"/>
        <v>-1.1323966269902052E-2</v>
      </c>
      <c r="Q816" t="str">
        <f t="shared" si="159"/>
        <v>2013-04</v>
      </c>
      <c r="S816">
        <v>7847.9</v>
      </c>
      <c r="T816">
        <f t="shared" si="166"/>
        <v>-7.1609351088806495E-3</v>
      </c>
      <c r="U816" t="str">
        <f t="shared" si="160"/>
        <v>2013-04</v>
      </c>
      <c r="W816">
        <v>15154.02</v>
      </c>
      <c r="X816">
        <f t="shared" si="167"/>
        <v>-3.0493212077007587E-3</v>
      </c>
      <c r="Y816">
        <f t="shared" si="168"/>
        <v>-3.0446767498009141E-3</v>
      </c>
      <c r="Z816" t="str">
        <f t="shared" si="161"/>
        <v>2013-04</v>
      </c>
    </row>
    <row r="817" spans="1:26" x14ac:dyDescent="0.35">
      <c r="A817" s="1">
        <v>41369</v>
      </c>
      <c r="C817">
        <v>2585.2800000000002</v>
      </c>
      <c r="D817">
        <f t="shared" si="162"/>
        <v>-1.3886151095038652E-2</v>
      </c>
      <c r="E817" t="str">
        <f t="shared" si="156"/>
        <v>2013-04</v>
      </c>
      <c r="G817">
        <v>3663.48</v>
      </c>
      <c r="H817">
        <f t="shared" si="163"/>
        <v>-1.6964697406944611E-2</v>
      </c>
      <c r="I817" t="str">
        <f t="shared" si="157"/>
        <v>2013-04</v>
      </c>
      <c r="K817">
        <v>7658.75</v>
      </c>
      <c r="L817">
        <f t="shared" si="164"/>
        <v>-2.0501954198571242E-2</v>
      </c>
      <c r="M817" t="str">
        <f t="shared" si="158"/>
        <v>2013-04</v>
      </c>
      <c r="O817">
        <v>7361.3857600000001</v>
      </c>
      <c r="P817">
        <f t="shared" si="165"/>
        <v>-1.69354683390729E-2</v>
      </c>
      <c r="Q817" t="str">
        <f t="shared" si="159"/>
        <v>2013-04</v>
      </c>
      <c r="S817">
        <v>7798.4</v>
      </c>
      <c r="T817">
        <f t="shared" si="166"/>
        <v>-6.3273956332326022E-3</v>
      </c>
      <c r="U817" t="str">
        <f t="shared" si="160"/>
        <v>2013-04</v>
      </c>
      <c r="W817">
        <v>15250.42</v>
      </c>
      <c r="X817">
        <f t="shared" si="167"/>
        <v>6.341200365914978E-3</v>
      </c>
      <c r="Y817">
        <f t="shared" si="168"/>
        <v>6.3613483418920938E-3</v>
      </c>
      <c r="Z817" t="str">
        <f t="shared" si="161"/>
        <v>2013-04</v>
      </c>
    </row>
    <row r="818" spans="1:26" x14ac:dyDescent="0.35">
      <c r="A818" s="1">
        <v>41372</v>
      </c>
      <c r="C818">
        <v>2589.25</v>
      </c>
      <c r="D818">
        <f t="shared" si="162"/>
        <v>1.5344391776443925E-3</v>
      </c>
      <c r="E818" t="str">
        <f t="shared" si="156"/>
        <v>2013-04</v>
      </c>
      <c r="G818">
        <v>3666.78</v>
      </c>
      <c r="H818">
        <f t="shared" si="163"/>
        <v>9.0037740078452585E-4</v>
      </c>
      <c r="I818" t="str">
        <f t="shared" si="157"/>
        <v>2013-04</v>
      </c>
      <c r="K818">
        <v>7662.64</v>
      </c>
      <c r="L818">
        <f t="shared" si="164"/>
        <v>5.0778683704093264E-4</v>
      </c>
      <c r="M818" t="str">
        <f t="shared" si="158"/>
        <v>2013-04</v>
      </c>
      <c r="O818">
        <v>7364.0293899999997</v>
      </c>
      <c r="P818">
        <f t="shared" si="165"/>
        <v>3.5905677381207834E-4</v>
      </c>
      <c r="Q818" t="str">
        <f t="shared" si="159"/>
        <v>2013-04</v>
      </c>
      <c r="S818">
        <v>7787.1</v>
      </c>
      <c r="T818">
        <f t="shared" si="166"/>
        <v>-1.4500660203437038E-3</v>
      </c>
      <c r="U818" t="str">
        <f t="shared" si="160"/>
        <v>2013-04</v>
      </c>
      <c r="W818">
        <v>15243.39</v>
      </c>
      <c r="X818">
        <f t="shared" si="167"/>
        <v>-4.6107719071796877E-4</v>
      </c>
      <c r="Y818">
        <f t="shared" si="168"/>
        <v>-4.6097091096511801E-4</v>
      </c>
      <c r="Z818" t="str">
        <f t="shared" si="161"/>
        <v>2013-04</v>
      </c>
    </row>
    <row r="819" spans="1:26" x14ac:dyDescent="0.35">
      <c r="A819" s="1">
        <v>41373</v>
      </c>
      <c r="C819">
        <v>2595.13</v>
      </c>
      <c r="D819">
        <f t="shared" si="162"/>
        <v>2.2683532153349238E-3</v>
      </c>
      <c r="E819" t="str">
        <f t="shared" si="156"/>
        <v>2013-04</v>
      </c>
      <c r="G819">
        <v>3670.72</v>
      </c>
      <c r="H819">
        <f t="shared" si="163"/>
        <v>1.0739353672718744E-3</v>
      </c>
      <c r="I819" t="str">
        <f t="shared" si="157"/>
        <v>2013-04</v>
      </c>
      <c r="K819">
        <v>7637.51</v>
      </c>
      <c r="L819">
        <f t="shared" si="164"/>
        <v>-3.2849380689427719E-3</v>
      </c>
      <c r="M819" t="str">
        <f t="shared" si="158"/>
        <v>2013-04</v>
      </c>
      <c r="O819">
        <v>7394.6886400000003</v>
      </c>
      <c r="P819">
        <f t="shared" si="165"/>
        <v>4.1547367516044662E-3</v>
      </c>
      <c r="Q819" t="str">
        <f t="shared" si="159"/>
        <v>2013-04</v>
      </c>
      <c r="S819">
        <v>7872.5</v>
      </c>
      <c r="T819">
        <f t="shared" si="166"/>
        <v>1.0907155564636475E-2</v>
      </c>
      <c r="U819" t="str">
        <f t="shared" si="160"/>
        <v>2013-04</v>
      </c>
      <c r="W819">
        <v>15436.07</v>
      </c>
      <c r="X819">
        <f t="shared" si="167"/>
        <v>1.2561012051615547E-2</v>
      </c>
      <c r="Y819">
        <f t="shared" si="168"/>
        <v>1.264023291406966E-2</v>
      </c>
      <c r="Z819" t="str">
        <f t="shared" si="161"/>
        <v>2013-04</v>
      </c>
    </row>
    <row r="820" spans="1:26" x14ac:dyDescent="0.35">
      <c r="A820" s="1">
        <v>41374</v>
      </c>
      <c r="C820">
        <v>2661.62</v>
      </c>
      <c r="D820">
        <f t="shared" si="162"/>
        <v>2.5298348268838283E-2</v>
      </c>
      <c r="E820" t="str">
        <f t="shared" si="156"/>
        <v>2013-04</v>
      </c>
      <c r="G820">
        <v>3743.71</v>
      </c>
      <c r="H820">
        <f t="shared" si="163"/>
        <v>1.9689270239653764E-2</v>
      </c>
      <c r="I820" t="str">
        <f t="shared" si="157"/>
        <v>2013-04</v>
      </c>
      <c r="K820">
        <v>7810.63</v>
      </c>
      <c r="L820">
        <f t="shared" si="164"/>
        <v>2.2413992585517555E-2</v>
      </c>
      <c r="M820" t="str">
        <f t="shared" si="158"/>
        <v>2013-04</v>
      </c>
      <c r="O820">
        <v>7488.6069699999998</v>
      </c>
      <c r="P820">
        <f t="shared" si="165"/>
        <v>1.2620803766012054E-2</v>
      </c>
      <c r="Q820" t="str">
        <f t="shared" si="159"/>
        <v>2013-04</v>
      </c>
      <c r="S820">
        <v>8136.4</v>
      </c>
      <c r="T820">
        <f t="shared" si="166"/>
        <v>3.297214775315218E-2</v>
      </c>
      <c r="U820" t="str">
        <f t="shared" si="160"/>
        <v>2013-04</v>
      </c>
      <c r="W820">
        <v>15928.64</v>
      </c>
      <c r="X820">
        <f t="shared" si="167"/>
        <v>3.141176824965048E-2</v>
      </c>
      <c r="Y820">
        <f t="shared" si="168"/>
        <v>3.191032432477954E-2</v>
      </c>
      <c r="Z820" t="str">
        <f t="shared" si="161"/>
        <v>2013-04</v>
      </c>
    </row>
    <row r="821" spans="1:26" x14ac:dyDescent="0.35">
      <c r="A821" s="1">
        <v>41375</v>
      </c>
      <c r="C821">
        <v>2674.33</v>
      </c>
      <c r="D821">
        <f t="shared" si="162"/>
        <v>4.7639217150556986E-3</v>
      </c>
      <c r="E821" t="str">
        <f t="shared" si="156"/>
        <v>2013-04</v>
      </c>
      <c r="G821">
        <v>3775.66</v>
      </c>
      <c r="H821">
        <f t="shared" si="163"/>
        <v>8.4981035058954626E-3</v>
      </c>
      <c r="I821" t="str">
        <f t="shared" si="157"/>
        <v>2013-04</v>
      </c>
      <c r="K821">
        <v>7871.63</v>
      </c>
      <c r="L821">
        <f t="shared" si="164"/>
        <v>7.7795302014588832E-3</v>
      </c>
      <c r="M821" t="str">
        <f t="shared" si="158"/>
        <v>2013-04</v>
      </c>
      <c r="O821">
        <v>7528.8445599999995</v>
      </c>
      <c r="P821">
        <f t="shared" si="165"/>
        <v>5.3587902328495318E-3</v>
      </c>
      <c r="Q821" t="str">
        <f t="shared" si="159"/>
        <v>2013-04</v>
      </c>
      <c r="S821">
        <v>8159.5</v>
      </c>
      <c r="T821">
        <f t="shared" si="166"/>
        <v>2.8350708426573444E-3</v>
      </c>
      <c r="U821" t="str">
        <f t="shared" si="160"/>
        <v>2013-04</v>
      </c>
      <c r="W821">
        <v>16020.91</v>
      </c>
      <c r="X821">
        <f t="shared" si="167"/>
        <v>5.7759972536042918E-3</v>
      </c>
      <c r="Y821">
        <f t="shared" si="168"/>
        <v>5.7927104887799865E-3</v>
      </c>
      <c r="Z821" t="str">
        <f t="shared" si="161"/>
        <v>2013-04</v>
      </c>
    </row>
    <row r="822" spans="1:26" x14ac:dyDescent="0.35">
      <c r="A822" s="1">
        <v>41376</v>
      </c>
      <c r="C822">
        <v>2633.47</v>
      </c>
      <c r="D822">
        <f t="shared" si="162"/>
        <v>-1.5396513493729433E-2</v>
      </c>
      <c r="E822" t="str">
        <f t="shared" si="156"/>
        <v>2013-04</v>
      </c>
      <c r="G822">
        <v>3729.3</v>
      </c>
      <c r="H822">
        <f t="shared" si="163"/>
        <v>-1.2354653372672582E-2</v>
      </c>
      <c r="I822" t="str">
        <f t="shared" si="157"/>
        <v>2013-04</v>
      </c>
      <c r="K822">
        <v>7744.77</v>
      </c>
      <c r="L822">
        <f t="shared" si="164"/>
        <v>-1.6247379763359694E-2</v>
      </c>
      <c r="M822" t="str">
        <f t="shared" si="158"/>
        <v>2013-04</v>
      </c>
      <c r="O822">
        <v>7487.7022999999999</v>
      </c>
      <c r="P822">
        <f t="shared" si="165"/>
        <v>-5.4796037102946248E-3</v>
      </c>
      <c r="Q822" t="str">
        <f t="shared" si="159"/>
        <v>2013-04</v>
      </c>
      <c r="S822">
        <v>8040.4</v>
      </c>
      <c r="T822">
        <f t="shared" si="166"/>
        <v>-1.4704059391748294E-2</v>
      </c>
      <c r="U822" t="str">
        <f t="shared" si="160"/>
        <v>2013-04</v>
      </c>
      <c r="W822">
        <v>15780.08</v>
      </c>
      <c r="X822">
        <f t="shared" si="167"/>
        <v>-1.5146358908564561E-2</v>
      </c>
      <c r="Y822">
        <f t="shared" si="168"/>
        <v>-1.503222975473927E-2</v>
      </c>
      <c r="Z822" t="str">
        <f t="shared" si="161"/>
        <v>2013-04</v>
      </c>
    </row>
    <row r="823" spans="1:26" x14ac:dyDescent="0.35">
      <c r="A823" s="1">
        <v>41379</v>
      </c>
      <c r="C823">
        <v>2624.71</v>
      </c>
      <c r="D823">
        <f t="shared" si="162"/>
        <v>-3.3319544421834559E-3</v>
      </c>
      <c r="E823" t="str">
        <f t="shared" si="156"/>
        <v>2013-04</v>
      </c>
      <c r="G823">
        <v>3710.48</v>
      </c>
      <c r="H823">
        <f t="shared" si="163"/>
        <v>-5.0593001792676728E-3</v>
      </c>
      <c r="I823" t="str">
        <f t="shared" si="157"/>
        <v>2013-04</v>
      </c>
      <c r="K823">
        <v>7712.63</v>
      </c>
      <c r="L823">
        <f t="shared" si="164"/>
        <v>-4.1585320063459354E-3</v>
      </c>
      <c r="M823" t="str">
        <f t="shared" si="158"/>
        <v>2013-04</v>
      </c>
      <c r="O823">
        <v>7430.2284399999999</v>
      </c>
      <c r="P823">
        <f t="shared" si="165"/>
        <v>-7.7053775576463382E-3</v>
      </c>
      <c r="Q823" t="str">
        <f t="shared" si="159"/>
        <v>2013-04</v>
      </c>
      <c r="S823">
        <v>8014.1</v>
      </c>
      <c r="T823">
        <f t="shared" si="166"/>
        <v>-3.2763428977883591E-3</v>
      </c>
      <c r="U823" t="str">
        <f t="shared" si="160"/>
        <v>2013-04</v>
      </c>
      <c r="W823">
        <v>15628.95</v>
      </c>
      <c r="X823">
        <f t="shared" si="167"/>
        <v>-9.6234214394395196E-3</v>
      </c>
      <c r="Y823">
        <f t="shared" si="168"/>
        <v>-9.5772645005601491E-3</v>
      </c>
      <c r="Z823" t="str">
        <f t="shared" si="161"/>
        <v>2013-04</v>
      </c>
    </row>
    <row r="824" spans="1:26" x14ac:dyDescent="0.35">
      <c r="A824" s="1">
        <v>41380</v>
      </c>
      <c r="C824">
        <v>2609.3000000000002</v>
      </c>
      <c r="D824">
        <f t="shared" si="162"/>
        <v>-5.888427621127834E-3</v>
      </c>
      <c r="E824" t="str">
        <f t="shared" si="156"/>
        <v>2013-04</v>
      </c>
      <c r="G824">
        <v>3685.79</v>
      </c>
      <c r="H824">
        <f t="shared" si="163"/>
        <v>-6.6763630074544956E-3</v>
      </c>
      <c r="I824" t="str">
        <f t="shared" si="157"/>
        <v>2013-04</v>
      </c>
      <c r="K824">
        <v>7682.58</v>
      </c>
      <c r="L824">
        <f t="shared" si="164"/>
        <v>-3.9038165978832729E-3</v>
      </c>
      <c r="M824" t="str">
        <f t="shared" si="158"/>
        <v>2013-04</v>
      </c>
      <c r="O824">
        <v>7346.8887299999997</v>
      </c>
      <c r="P824">
        <f t="shared" si="165"/>
        <v>-1.1279682316542923E-2</v>
      </c>
      <c r="Q824" t="str">
        <f t="shared" si="159"/>
        <v>2013-04</v>
      </c>
      <c r="S824">
        <v>7948.7</v>
      </c>
      <c r="T824">
        <f t="shared" si="166"/>
        <v>-8.1940970168356657E-3</v>
      </c>
      <c r="U824" t="str">
        <f t="shared" si="160"/>
        <v>2013-04</v>
      </c>
      <c r="W824">
        <v>15533.04</v>
      </c>
      <c r="X824">
        <f t="shared" si="167"/>
        <v>-6.1555955089178981E-3</v>
      </c>
      <c r="Y824">
        <f t="shared" si="168"/>
        <v>-6.1366886451105062E-3</v>
      </c>
      <c r="Z824" t="str">
        <f t="shared" si="161"/>
        <v>2013-04</v>
      </c>
    </row>
    <row r="825" spans="1:26" x14ac:dyDescent="0.35">
      <c r="A825" s="1">
        <v>41381</v>
      </c>
      <c r="C825">
        <v>2553.4899999999998</v>
      </c>
      <c r="D825">
        <f t="shared" si="162"/>
        <v>-2.1620935224606039E-2</v>
      </c>
      <c r="E825" t="str">
        <f t="shared" si="156"/>
        <v>2013-04</v>
      </c>
      <c r="G825">
        <v>3599.23</v>
      </c>
      <c r="H825">
        <f t="shared" si="163"/>
        <v>-2.3764951601235505E-2</v>
      </c>
      <c r="I825" t="str">
        <f t="shared" si="157"/>
        <v>2013-04</v>
      </c>
      <c r="K825">
        <v>7503.03</v>
      </c>
      <c r="L825">
        <f t="shared" si="164"/>
        <v>-2.3648489288975182E-2</v>
      </c>
      <c r="M825" t="str">
        <f t="shared" si="158"/>
        <v>2013-04</v>
      </c>
      <c r="O825">
        <v>7308.4822599999998</v>
      </c>
      <c r="P825">
        <f t="shared" si="165"/>
        <v>-5.2412945327302597E-3</v>
      </c>
      <c r="Q825" t="str">
        <f t="shared" si="159"/>
        <v>2013-04</v>
      </c>
      <c r="S825">
        <v>7803</v>
      </c>
      <c r="T825">
        <f t="shared" si="166"/>
        <v>-1.8500118147855769E-2</v>
      </c>
      <c r="U825" t="str">
        <f t="shared" si="160"/>
        <v>2013-04</v>
      </c>
      <c r="W825">
        <v>15383.76</v>
      </c>
      <c r="X825">
        <f t="shared" si="167"/>
        <v>-9.6569606242489503E-3</v>
      </c>
      <c r="Y825">
        <f t="shared" si="168"/>
        <v>-9.6104819146799747E-3</v>
      </c>
      <c r="Z825" t="str">
        <f t="shared" si="161"/>
        <v>2013-04</v>
      </c>
    </row>
    <row r="826" spans="1:26" x14ac:dyDescent="0.35">
      <c r="A826" s="1">
        <v>41382</v>
      </c>
      <c r="C826">
        <v>2555.5</v>
      </c>
      <c r="D826">
        <f t="shared" si="162"/>
        <v>7.868483217639288E-4</v>
      </c>
      <c r="E826" t="str">
        <f t="shared" si="156"/>
        <v>2013-04</v>
      </c>
      <c r="G826">
        <v>3599.36</v>
      </c>
      <c r="H826">
        <f t="shared" si="163"/>
        <v>3.6118184259516609E-5</v>
      </c>
      <c r="I826" t="str">
        <f t="shared" si="157"/>
        <v>2013-04</v>
      </c>
      <c r="K826">
        <v>7473.73</v>
      </c>
      <c r="L826">
        <f t="shared" si="164"/>
        <v>-3.9127337796227906E-3</v>
      </c>
      <c r="M826" t="str">
        <f t="shared" si="158"/>
        <v>2013-04</v>
      </c>
      <c r="O826">
        <v>7302.8981100000001</v>
      </c>
      <c r="P826">
        <f t="shared" si="165"/>
        <v>-7.6435629358312775E-4</v>
      </c>
      <c r="Q826" t="str">
        <f t="shared" si="159"/>
        <v>2013-04</v>
      </c>
      <c r="S826">
        <v>7812.5</v>
      </c>
      <c r="T826">
        <f t="shared" si="166"/>
        <v>1.2167399278957428E-3</v>
      </c>
      <c r="U826" t="str">
        <f t="shared" si="160"/>
        <v>2013-04</v>
      </c>
      <c r="W826">
        <v>15480.56</v>
      </c>
      <c r="X826">
        <f t="shared" si="167"/>
        <v>6.2726356770874498E-3</v>
      </c>
      <c r="Y826">
        <f t="shared" si="168"/>
        <v>6.292349854651871E-3</v>
      </c>
      <c r="Z826" t="str">
        <f t="shared" si="161"/>
        <v>2013-04</v>
      </c>
    </row>
    <row r="827" spans="1:26" x14ac:dyDescent="0.35">
      <c r="A827" s="1">
        <v>41383</v>
      </c>
      <c r="C827">
        <v>2575.16</v>
      </c>
      <c r="D827">
        <f t="shared" si="162"/>
        <v>7.6637688814759491E-3</v>
      </c>
      <c r="E827" t="str">
        <f t="shared" si="156"/>
        <v>2013-04</v>
      </c>
      <c r="G827">
        <v>3651.96</v>
      </c>
      <c r="H827">
        <f t="shared" si="163"/>
        <v>1.4507957890275184E-2</v>
      </c>
      <c r="I827" t="str">
        <f t="shared" si="157"/>
        <v>2013-04</v>
      </c>
      <c r="K827">
        <v>7459.96</v>
      </c>
      <c r="L827">
        <f t="shared" si="164"/>
        <v>-1.8441529056156664E-3</v>
      </c>
      <c r="M827" t="str">
        <f t="shared" si="158"/>
        <v>2013-04</v>
      </c>
      <c r="O827">
        <v>7328.5821900000001</v>
      </c>
      <c r="P827">
        <f t="shared" si="165"/>
        <v>3.5108008013694501E-3</v>
      </c>
      <c r="Q827" t="str">
        <f t="shared" si="159"/>
        <v>2013-04</v>
      </c>
      <c r="S827">
        <v>7915.5</v>
      </c>
      <c r="T827">
        <f t="shared" si="166"/>
        <v>1.3097847469175389E-2</v>
      </c>
      <c r="U827" t="str">
        <f t="shared" si="160"/>
        <v>2013-04</v>
      </c>
      <c r="W827">
        <v>15760.78</v>
      </c>
      <c r="X827">
        <f t="shared" si="167"/>
        <v>1.7939532372962096E-2</v>
      </c>
      <c r="Y827">
        <f t="shared" si="168"/>
        <v>1.8101412352008014E-2</v>
      </c>
      <c r="Z827" t="str">
        <f t="shared" si="161"/>
        <v>2013-04</v>
      </c>
    </row>
    <row r="828" spans="1:26" x14ac:dyDescent="0.35">
      <c r="A828" s="1">
        <v>41386</v>
      </c>
      <c r="C828">
        <v>2583.62</v>
      </c>
      <c r="D828">
        <f t="shared" si="162"/>
        <v>3.279848174943882E-3</v>
      </c>
      <c r="E828" t="str">
        <f t="shared" si="156"/>
        <v>2013-04</v>
      </c>
      <c r="G828">
        <v>3652.13</v>
      </c>
      <c r="H828">
        <f t="shared" si="163"/>
        <v>4.6549262134061593E-5</v>
      </c>
      <c r="I828" t="str">
        <f t="shared" si="157"/>
        <v>2013-04</v>
      </c>
      <c r="K828">
        <v>7478.11</v>
      </c>
      <c r="L828">
        <f t="shared" si="164"/>
        <v>2.4300339911929865E-3</v>
      </c>
      <c r="M828" t="str">
        <f t="shared" si="158"/>
        <v>2013-04</v>
      </c>
      <c r="O828">
        <v>7350.1737700000003</v>
      </c>
      <c r="P828">
        <f t="shared" si="165"/>
        <v>2.9418835807592234E-3</v>
      </c>
      <c r="Q828" t="str">
        <f t="shared" si="159"/>
        <v>2013-04</v>
      </c>
      <c r="S828">
        <v>8027.7</v>
      </c>
      <c r="T828">
        <f t="shared" si="166"/>
        <v>1.4075198496377495E-2</v>
      </c>
      <c r="U828" t="str">
        <f t="shared" si="160"/>
        <v>2013-04</v>
      </c>
      <c r="W828">
        <v>16021.71</v>
      </c>
      <c r="X828">
        <f t="shared" si="167"/>
        <v>1.642010192595833E-2</v>
      </c>
      <c r="Y828">
        <f t="shared" si="168"/>
        <v>1.6555652702467675E-2</v>
      </c>
      <c r="Z828" t="str">
        <f t="shared" si="161"/>
        <v>2013-04</v>
      </c>
    </row>
    <row r="829" spans="1:26" x14ac:dyDescent="0.35">
      <c r="A829" s="1">
        <v>41387</v>
      </c>
      <c r="C829">
        <v>2662.88</v>
      </c>
      <c r="D829">
        <f t="shared" si="162"/>
        <v>3.021672757366247E-2</v>
      </c>
      <c r="E829" t="str">
        <f t="shared" si="156"/>
        <v>2013-04</v>
      </c>
      <c r="G829">
        <v>3783.05</v>
      </c>
      <c r="H829">
        <f t="shared" si="163"/>
        <v>3.5220003554720915E-2</v>
      </c>
      <c r="I829" t="str">
        <f t="shared" si="157"/>
        <v>2013-04</v>
      </c>
      <c r="K829">
        <v>7658.21</v>
      </c>
      <c r="L829">
        <f t="shared" si="164"/>
        <v>2.3798188720399502E-2</v>
      </c>
      <c r="M829" t="str">
        <f t="shared" si="158"/>
        <v>2013-04</v>
      </c>
      <c r="O829">
        <v>7517.38069</v>
      </c>
      <c r="P829">
        <f t="shared" si="165"/>
        <v>2.2493809664715782E-2</v>
      </c>
      <c r="Q829" t="str">
        <f t="shared" si="159"/>
        <v>2013-04</v>
      </c>
      <c r="S829">
        <v>8289.2999999999993</v>
      </c>
      <c r="T829">
        <f t="shared" si="166"/>
        <v>3.2067465470717975E-2</v>
      </c>
      <c r="U829" t="str">
        <f t="shared" si="160"/>
        <v>2013-04</v>
      </c>
      <c r="W829">
        <v>16490.77</v>
      </c>
      <c r="X829">
        <f t="shared" si="167"/>
        <v>2.8856152931207493E-2</v>
      </c>
      <c r="Y829">
        <f t="shared" si="168"/>
        <v>2.9276525414578179E-2</v>
      </c>
      <c r="Z829" t="str">
        <f t="shared" si="161"/>
        <v>2013-04</v>
      </c>
    </row>
    <row r="830" spans="1:26" x14ac:dyDescent="0.35">
      <c r="A830" s="1">
        <v>41388</v>
      </c>
      <c r="C830">
        <v>2702.05</v>
      </c>
      <c r="D830">
        <f t="shared" si="162"/>
        <v>1.4602500321766789E-2</v>
      </c>
      <c r="E830" t="str">
        <f t="shared" si="156"/>
        <v>2013-04</v>
      </c>
      <c r="G830">
        <v>3842.94</v>
      </c>
      <c r="H830">
        <f t="shared" si="163"/>
        <v>1.5707136071253399E-2</v>
      </c>
      <c r="I830" t="str">
        <f t="shared" si="157"/>
        <v>2013-04</v>
      </c>
      <c r="K830">
        <v>7759.03</v>
      </c>
      <c r="L830">
        <f t="shared" si="164"/>
        <v>1.3079051399384561E-2</v>
      </c>
      <c r="M830" t="str">
        <f t="shared" si="158"/>
        <v>2013-04</v>
      </c>
      <c r="O830">
        <v>7546.9083000000001</v>
      </c>
      <c r="P830">
        <f t="shared" si="165"/>
        <v>3.92021791866642E-3</v>
      </c>
      <c r="Q830" t="str">
        <f t="shared" si="159"/>
        <v>2013-04</v>
      </c>
      <c r="S830">
        <v>8389.2999999999993</v>
      </c>
      <c r="T830">
        <f t="shared" si="166"/>
        <v>1.1991557841700256E-2</v>
      </c>
      <c r="U830" t="str">
        <f t="shared" si="160"/>
        <v>2013-04</v>
      </c>
      <c r="W830">
        <v>16563.43</v>
      </c>
      <c r="X830">
        <f t="shared" si="167"/>
        <v>4.3964226654539017E-3</v>
      </c>
      <c r="Y830">
        <f t="shared" si="168"/>
        <v>4.4061011098935864E-3</v>
      </c>
      <c r="Z830" t="str">
        <f t="shared" si="161"/>
        <v>2013-04</v>
      </c>
    </row>
    <row r="831" spans="1:26" x14ac:dyDescent="0.35">
      <c r="A831" s="1">
        <v>41389</v>
      </c>
      <c r="C831">
        <v>2704.41</v>
      </c>
      <c r="D831">
        <f t="shared" si="162"/>
        <v>8.7302972736142456E-4</v>
      </c>
      <c r="E831" t="str">
        <f t="shared" si="156"/>
        <v>2013-04</v>
      </c>
      <c r="G831">
        <v>3840.47</v>
      </c>
      <c r="H831">
        <f t="shared" si="163"/>
        <v>-6.4294371511784004E-4</v>
      </c>
      <c r="I831" t="str">
        <f t="shared" si="157"/>
        <v>2013-04</v>
      </c>
      <c r="K831">
        <v>7832.86</v>
      </c>
      <c r="L831">
        <f t="shared" si="164"/>
        <v>9.4703787424164822E-3</v>
      </c>
      <c r="M831" t="str">
        <f t="shared" si="158"/>
        <v>2013-04</v>
      </c>
      <c r="O831">
        <v>7642.2481100000005</v>
      </c>
      <c r="P831">
        <f t="shared" si="165"/>
        <v>1.2553832423923975E-2</v>
      </c>
      <c r="Q831" t="str">
        <f t="shared" si="159"/>
        <v>2013-04</v>
      </c>
      <c r="S831">
        <v>8365.1</v>
      </c>
      <c r="T831">
        <f t="shared" si="166"/>
        <v>-2.8887954005347946E-3</v>
      </c>
      <c r="U831" t="str">
        <f t="shared" si="160"/>
        <v>2013-04</v>
      </c>
      <c r="W831">
        <v>16649.75</v>
      </c>
      <c r="X831">
        <f t="shared" si="167"/>
        <v>5.1979481852792537E-3</v>
      </c>
      <c r="Y831">
        <f t="shared" si="168"/>
        <v>5.2114809553335095E-3</v>
      </c>
      <c r="Z831" t="str">
        <f t="shared" si="161"/>
        <v>2013-04</v>
      </c>
    </row>
    <row r="832" spans="1:26" x14ac:dyDescent="0.35">
      <c r="A832" s="1">
        <v>41390</v>
      </c>
      <c r="C832">
        <v>2683.43</v>
      </c>
      <c r="D832">
        <f t="shared" si="162"/>
        <v>-7.7879469472040639E-3</v>
      </c>
      <c r="E832" t="str">
        <f t="shared" si="156"/>
        <v>2013-04</v>
      </c>
      <c r="G832">
        <v>3810.05</v>
      </c>
      <c r="H832">
        <f t="shared" si="163"/>
        <v>-7.9524425311306782E-3</v>
      </c>
      <c r="I832" t="str">
        <f t="shared" si="157"/>
        <v>2013-04</v>
      </c>
      <c r="K832">
        <v>7814.76</v>
      </c>
      <c r="L832">
        <f t="shared" si="164"/>
        <v>-2.3134518952644444E-3</v>
      </c>
      <c r="M832" t="str">
        <f t="shared" si="158"/>
        <v>2013-04</v>
      </c>
      <c r="O832">
        <v>7639.2407999999996</v>
      </c>
      <c r="P832">
        <f t="shared" si="165"/>
        <v>-3.9358861646726379E-4</v>
      </c>
      <c r="Q832" t="str">
        <f t="shared" si="159"/>
        <v>2013-04</v>
      </c>
      <c r="S832">
        <v>8297</v>
      </c>
      <c r="T832">
        <f t="shared" si="166"/>
        <v>-8.1742852578077872E-3</v>
      </c>
      <c r="U832" t="str">
        <f t="shared" si="160"/>
        <v>2013-04</v>
      </c>
      <c r="W832">
        <v>16565.25</v>
      </c>
      <c r="X832">
        <f t="shared" si="167"/>
        <v>-5.0880735991605868E-3</v>
      </c>
      <c r="Y832">
        <f t="shared" si="168"/>
        <v>-5.0751512785477257E-3</v>
      </c>
      <c r="Z832" t="str">
        <f t="shared" si="161"/>
        <v>2013-04</v>
      </c>
    </row>
    <row r="833" spans="1:26" x14ac:dyDescent="0.35">
      <c r="A833" s="1">
        <v>41393</v>
      </c>
      <c r="C833">
        <v>2717.38</v>
      </c>
      <c r="D833">
        <f t="shared" si="162"/>
        <v>1.2572353846349643E-2</v>
      </c>
      <c r="E833" t="str">
        <f t="shared" si="156"/>
        <v>2013-04</v>
      </c>
      <c r="G833">
        <v>3868.68</v>
      </c>
      <c r="H833">
        <f t="shared" si="163"/>
        <v>1.5271051175481642E-2</v>
      </c>
      <c r="I833" t="str">
        <f t="shared" si="157"/>
        <v>2013-04</v>
      </c>
      <c r="K833">
        <v>7873.5</v>
      </c>
      <c r="L833">
        <f t="shared" si="164"/>
        <v>7.4884371491987858E-3</v>
      </c>
      <c r="M833" t="str">
        <f t="shared" si="158"/>
        <v>2013-04</v>
      </c>
      <c r="O833">
        <v>7647.4604399999998</v>
      </c>
      <c r="P833">
        <f t="shared" si="165"/>
        <v>1.0753975842277426E-3</v>
      </c>
      <c r="Q833" t="str">
        <f t="shared" si="159"/>
        <v>2013-04</v>
      </c>
      <c r="S833">
        <v>8450.9</v>
      </c>
      <c r="T833">
        <f t="shared" si="166"/>
        <v>1.8378940891006335E-2</v>
      </c>
      <c r="U833" t="str">
        <f t="shared" si="160"/>
        <v>2013-04</v>
      </c>
      <c r="W833">
        <v>16929.68</v>
      </c>
      <c r="X833">
        <f t="shared" si="167"/>
        <v>2.1761166908325021E-2</v>
      </c>
      <c r="Y833">
        <f t="shared" si="168"/>
        <v>2.1999667979656225E-2</v>
      </c>
      <c r="Z833" t="str">
        <f t="shared" si="161"/>
        <v>2013-04</v>
      </c>
    </row>
    <row r="834" spans="1:26" x14ac:dyDescent="0.35">
      <c r="A834" s="1">
        <v>41394</v>
      </c>
      <c r="C834">
        <v>2712</v>
      </c>
      <c r="D834">
        <f t="shared" si="162"/>
        <v>-1.9818107264042029E-3</v>
      </c>
      <c r="E834" t="str">
        <f t="shared" si="156"/>
        <v>2013-04</v>
      </c>
      <c r="G834">
        <v>3856.75</v>
      </c>
      <c r="H834">
        <f t="shared" si="163"/>
        <v>-3.0885036776490534E-3</v>
      </c>
      <c r="I834" t="str">
        <f t="shared" si="157"/>
        <v>2013-04</v>
      </c>
      <c r="K834">
        <v>7913.71</v>
      </c>
      <c r="L834">
        <f t="shared" si="164"/>
        <v>5.0940079913372547E-3</v>
      </c>
      <c r="M834" t="str">
        <f t="shared" si="158"/>
        <v>2013-04</v>
      </c>
      <c r="O834">
        <v>7594.1681699999999</v>
      </c>
      <c r="P834">
        <f t="shared" si="165"/>
        <v>-6.9930174182356768E-3</v>
      </c>
      <c r="Q834" t="str">
        <f t="shared" si="159"/>
        <v>2013-04</v>
      </c>
      <c r="S834">
        <v>8419</v>
      </c>
      <c r="T834">
        <f t="shared" si="166"/>
        <v>-3.7818882176276023E-3</v>
      </c>
      <c r="U834" t="str">
        <f t="shared" si="160"/>
        <v>2013-04</v>
      </c>
      <c r="W834">
        <v>16767.66</v>
      </c>
      <c r="X834">
        <f t="shared" si="167"/>
        <v>-9.6162633923769641E-3</v>
      </c>
      <c r="Y834">
        <f t="shared" si="168"/>
        <v>-9.5701749826340738E-3</v>
      </c>
      <c r="Z834" t="str">
        <f t="shared" si="161"/>
        <v>2013-04</v>
      </c>
    </row>
    <row r="835" spans="1:26" x14ac:dyDescent="0.35">
      <c r="A835" s="1">
        <v>41396</v>
      </c>
      <c r="C835">
        <v>2718.9</v>
      </c>
      <c r="D835">
        <f t="shared" si="162"/>
        <v>2.5410166685596301E-3</v>
      </c>
      <c r="E835" t="str">
        <f t="shared" si="156"/>
        <v>2013-05</v>
      </c>
      <c r="G835">
        <v>3858.76</v>
      </c>
      <c r="H835">
        <f t="shared" si="163"/>
        <v>5.210284337577992E-4</v>
      </c>
      <c r="I835" t="str">
        <f t="shared" si="157"/>
        <v>2013-05</v>
      </c>
      <c r="K835">
        <v>7961.71</v>
      </c>
      <c r="L835">
        <f t="shared" si="164"/>
        <v>6.0471025358330467E-3</v>
      </c>
      <c r="M835" t="str">
        <f t="shared" si="158"/>
        <v>2013-05</v>
      </c>
      <c r="O835">
        <v>7676.8203800000001</v>
      </c>
      <c r="P835">
        <f t="shared" si="165"/>
        <v>1.0824841732719219E-2</v>
      </c>
      <c r="Q835" t="str">
        <f t="shared" si="159"/>
        <v>2013-05</v>
      </c>
      <c r="S835">
        <v>8406.4</v>
      </c>
      <c r="T835">
        <f t="shared" si="166"/>
        <v>-1.4977358464433152E-3</v>
      </c>
      <c r="U835" t="str">
        <f t="shared" si="160"/>
        <v>2013-05</v>
      </c>
      <c r="W835">
        <v>16748.28</v>
      </c>
      <c r="X835">
        <f t="shared" si="167"/>
        <v>-1.1564647842142921E-3</v>
      </c>
      <c r="Y835">
        <f t="shared" si="168"/>
        <v>-1.1557963365192889E-3</v>
      </c>
      <c r="Z835" t="str">
        <f t="shared" si="161"/>
        <v>2013-05</v>
      </c>
    </row>
    <row r="836" spans="1:26" x14ac:dyDescent="0.35">
      <c r="A836" s="1">
        <v>41397</v>
      </c>
      <c r="C836">
        <v>2763.68</v>
      </c>
      <c r="D836">
        <f t="shared" si="162"/>
        <v>1.6335738216128513E-2</v>
      </c>
      <c r="E836" t="str">
        <f t="shared" ref="E836:E899" si="169">_xlfn.CONCAT(YEAR(A836),"-",TEXT(MONTH(A836),"00"))</f>
        <v>2013-05</v>
      </c>
      <c r="G836">
        <v>3912.95</v>
      </c>
      <c r="H836">
        <f t="shared" si="163"/>
        <v>1.3945676883212691E-2</v>
      </c>
      <c r="I836" t="str">
        <f t="shared" ref="I836:I899" si="170">_xlfn.CONCAT(YEAR(A836),"-",TEXT(MONTH(A836),"00"))</f>
        <v>2013-05</v>
      </c>
      <c r="K836">
        <v>8122.29</v>
      </c>
      <c r="L836">
        <f t="shared" si="164"/>
        <v>1.9968333212441128E-2</v>
      </c>
      <c r="M836" t="str">
        <f t="shared" ref="M836:M899" si="171">_xlfn.CONCAT(YEAR(A836),"-",TEXT(MONTH(A836),"00"))</f>
        <v>2013-05</v>
      </c>
      <c r="O836">
        <v>7742.9587600000004</v>
      </c>
      <c r="P836">
        <f t="shared" si="165"/>
        <v>8.5784348777138437E-3</v>
      </c>
      <c r="Q836" t="str">
        <f t="shared" ref="Q836:Q899" si="172">_xlfn.CONCAT(YEAR(A836),"-",TEXT(MONTH(A836),"00"))</f>
        <v>2013-05</v>
      </c>
      <c r="S836">
        <v>8544.7999999999993</v>
      </c>
      <c r="T836">
        <f t="shared" si="166"/>
        <v>1.6329590284264821E-2</v>
      </c>
      <c r="U836" t="str">
        <f t="shared" ref="U836:U899" si="173">_xlfn.CONCAT(YEAR(A836),"-",TEXT(MONTH(A836),"00"))</f>
        <v>2013-05</v>
      </c>
      <c r="W836">
        <v>16922.29</v>
      </c>
      <c r="X836">
        <f t="shared" si="167"/>
        <v>1.0336121378381689E-2</v>
      </c>
      <c r="Y836">
        <f t="shared" si="168"/>
        <v>1.0389723601468451E-2</v>
      </c>
      <c r="Z836" t="str">
        <f t="shared" ref="Z836:Z899" si="174">_xlfn.CONCAT(YEAR(A836),"-",TEXT(MONTH(A836),"00"))</f>
        <v>2013-05</v>
      </c>
    </row>
    <row r="837" spans="1:26" x14ac:dyDescent="0.35">
      <c r="A837" s="1">
        <v>41401</v>
      </c>
      <c r="C837">
        <v>2769.08</v>
      </c>
      <c r="D837">
        <f t="shared" ref="D837:D900" si="175">LN(C837/C836)</f>
        <v>1.9520101051390161E-3</v>
      </c>
      <c r="E837" t="str">
        <f t="shared" si="169"/>
        <v>2013-05</v>
      </c>
      <c r="G837">
        <v>3921.32</v>
      </c>
      <c r="H837">
        <f t="shared" ref="H837:H900" si="176">LN(G837/G836)</f>
        <v>2.1367665869635082E-3</v>
      </c>
      <c r="I837" t="str">
        <f t="shared" si="170"/>
        <v>2013-05</v>
      </c>
      <c r="K837">
        <v>8181.78</v>
      </c>
      <c r="L837">
        <f t="shared" ref="L837:L900" si="177">LN(K837/K836)</f>
        <v>7.297596736400431E-3</v>
      </c>
      <c r="M837" t="str">
        <f t="shared" si="171"/>
        <v>2013-05</v>
      </c>
      <c r="O837">
        <v>7760.1064800000004</v>
      </c>
      <c r="P837">
        <f t="shared" ref="P837:P900" si="178">LN(O837/O836)</f>
        <v>2.2121724610627076E-3</v>
      </c>
      <c r="Q837" t="str">
        <f t="shared" si="172"/>
        <v>2013-05</v>
      </c>
      <c r="S837">
        <v>8544</v>
      </c>
      <c r="T837">
        <f t="shared" ref="T837:T900" si="179">LN(S837/S836)</f>
        <v>-9.362857550954252E-5</v>
      </c>
      <c r="U837" t="str">
        <f t="shared" si="173"/>
        <v>2013-05</v>
      </c>
      <c r="W837">
        <v>17121.87</v>
      </c>
      <c r="X837">
        <f t="shared" ref="X837:X900" si="180">LN(W837/W836)</f>
        <v>1.172490591084243E-2</v>
      </c>
      <c r="Y837">
        <f t="shared" ref="Y837:Y900" si="181">(W837-W836)/W836</f>
        <v>1.1793912053274002E-2</v>
      </c>
      <c r="Z837" t="str">
        <f t="shared" si="174"/>
        <v>2013-05</v>
      </c>
    </row>
    <row r="838" spans="1:26" x14ac:dyDescent="0.35">
      <c r="A838" s="1">
        <v>41402</v>
      </c>
      <c r="C838">
        <v>2784.62</v>
      </c>
      <c r="D838">
        <f t="shared" si="175"/>
        <v>5.5962837594023436E-3</v>
      </c>
      <c r="E838" t="str">
        <f t="shared" si="169"/>
        <v>2013-05</v>
      </c>
      <c r="G838">
        <v>3956.28</v>
      </c>
      <c r="H838">
        <f t="shared" si="176"/>
        <v>8.8758580061415737E-3</v>
      </c>
      <c r="I838" t="str">
        <f t="shared" si="170"/>
        <v>2013-05</v>
      </c>
      <c r="K838">
        <v>8249.7099999999991</v>
      </c>
      <c r="L838">
        <f t="shared" si="177"/>
        <v>8.2683173592701126E-3</v>
      </c>
      <c r="M838" t="str">
        <f t="shared" si="171"/>
        <v>2013-05</v>
      </c>
      <c r="O838">
        <v>7777.6136100000003</v>
      </c>
      <c r="P838">
        <f t="shared" si="178"/>
        <v>2.2535014541925696E-3</v>
      </c>
      <c r="Q838" t="str">
        <f t="shared" si="172"/>
        <v>2013-05</v>
      </c>
      <c r="S838">
        <v>8597</v>
      </c>
      <c r="T838">
        <f t="shared" si="179"/>
        <v>6.1840229744680921E-3</v>
      </c>
      <c r="U838" t="str">
        <f t="shared" si="173"/>
        <v>2013-05</v>
      </c>
      <c r="W838">
        <v>17255.57</v>
      </c>
      <c r="X838">
        <f t="shared" si="180"/>
        <v>7.7783961870669166E-3</v>
      </c>
      <c r="Y838">
        <f t="shared" si="181"/>
        <v>7.8087265000844376E-3</v>
      </c>
      <c r="Z838" t="str">
        <f t="shared" si="174"/>
        <v>2013-05</v>
      </c>
    </row>
    <row r="839" spans="1:26" x14ac:dyDescent="0.35">
      <c r="A839" s="1">
        <v>41403</v>
      </c>
      <c r="C839">
        <v>2773.16</v>
      </c>
      <c r="D839">
        <f t="shared" si="175"/>
        <v>-4.1239546155774805E-3</v>
      </c>
      <c r="E839" t="str">
        <f t="shared" si="169"/>
        <v>2013-05</v>
      </c>
      <c r="G839">
        <v>3928.58</v>
      </c>
      <c r="H839">
        <f t="shared" si="176"/>
        <v>-7.0261523869736484E-3</v>
      </c>
      <c r="I839" t="str">
        <f t="shared" si="170"/>
        <v>2013-05</v>
      </c>
      <c r="K839">
        <v>8262.5499999999993</v>
      </c>
      <c r="L839">
        <f t="shared" si="177"/>
        <v>1.5552083831021377E-3</v>
      </c>
      <c r="M839" t="str">
        <f t="shared" si="171"/>
        <v>2013-05</v>
      </c>
      <c r="O839">
        <v>7794.4368100000002</v>
      </c>
      <c r="P839">
        <f t="shared" si="178"/>
        <v>2.16069253454855E-3</v>
      </c>
      <c r="Q839" t="str">
        <f t="shared" si="172"/>
        <v>2013-05</v>
      </c>
      <c r="S839">
        <v>8572.7000000000007</v>
      </c>
      <c r="T839">
        <f t="shared" si="179"/>
        <v>-2.8305696924872952E-3</v>
      </c>
      <c r="U839" t="str">
        <f t="shared" si="173"/>
        <v>2013-05</v>
      </c>
      <c r="W839">
        <v>17090.62</v>
      </c>
      <c r="X839">
        <f t="shared" si="180"/>
        <v>-9.6052149126726362E-3</v>
      </c>
      <c r="Y839">
        <f t="shared" si="181"/>
        <v>-9.559232178363318E-3</v>
      </c>
      <c r="Z839" t="str">
        <f t="shared" si="174"/>
        <v>2013-05</v>
      </c>
    </row>
    <row r="840" spans="1:26" x14ac:dyDescent="0.35">
      <c r="A840" s="1">
        <v>41404</v>
      </c>
      <c r="C840">
        <v>2785.24</v>
      </c>
      <c r="D840">
        <f t="shared" si="175"/>
        <v>4.346581397062281E-3</v>
      </c>
      <c r="E840" t="str">
        <f t="shared" si="169"/>
        <v>2013-05</v>
      </c>
      <c r="G840">
        <v>3953.83</v>
      </c>
      <c r="H840">
        <f t="shared" si="176"/>
        <v>6.4066919551096805E-3</v>
      </c>
      <c r="I840" t="str">
        <f t="shared" si="170"/>
        <v>2013-05</v>
      </c>
      <c r="K840">
        <v>8278.59</v>
      </c>
      <c r="L840">
        <f t="shared" si="177"/>
        <v>1.9394074444211986E-3</v>
      </c>
      <c r="M840" t="str">
        <f t="shared" si="171"/>
        <v>2013-05</v>
      </c>
      <c r="O840">
        <v>7837.7384000000002</v>
      </c>
      <c r="P840">
        <f t="shared" si="178"/>
        <v>5.540073620052109E-3</v>
      </c>
      <c r="Q840" t="str">
        <f t="shared" si="172"/>
        <v>2013-05</v>
      </c>
      <c r="S840">
        <v>8544.5</v>
      </c>
      <c r="T840">
        <f t="shared" si="179"/>
        <v>-3.2949343949932068E-3</v>
      </c>
      <c r="U840" t="str">
        <f t="shared" si="173"/>
        <v>2013-05</v>
      </c>
      <c r="W840">
        <v>17284.03</v>
      </c>
      <c r="X840">
        <f t="shared" si="180"/>
        <v>1.1253178782603766E-2</v>
      </c>
      <c r="Y840">
        <f t="shared" si="181"/>
        <v>1.1316733974542753E-2</v>
      </c>
      <c r="Z840" t="str">
        <f t="shared" si="174"/>
        <v>2013-05</v>
      </c>
    </row>
    <row r="841" spans="1:26" x14ac:dyDescent="0.35">
      <c r="A841" s="1">
        <v>41407</v>
      </c>
      <c r="C841">
        <v>2777.39</v>
      </c>
      <c r="D841">
        <f t="shared" si="175"/>
        <v>-2.8224078218689985E-3</v>
      </c>
      <c r="E841" t="str">
        <f t="shared" si="169"/>
        <v>2013-05</v>
      </c>
      <c r="G841">
        <v>3945.2</v>
      </c>
      <c r="H841">
        <f t="shared" si="176"/>
        <v>-2.1850792904223827E-3</v>
      </c>
      <c r="I841" t="str">
        <f t="shared" si="170"/>
        <v>2013-05</v>
      </c>
      <c r="K841">
        <v>8279.2900000000009</v>
      </c>
      <c r="L841">
        <f t="shared" si="177"/>
        <v>8.4551887127689679E-5</v>
      </c>
      <c r="M841" t="str">
        <f t="shared" si="171"/>
        <v>2013-05</v>
      </c>
      <c r="O841">
        <v>7814.90769</v>
      </c>
      <c r="P841">
        <f t="shared" si="178"/>
        <v>-2.9171714557773049E-3</v>
      </c>
      <c r="Q841" t="str">
        <f t="shared" si="172"/>
        <v>2013-05</v>
      </c>
      <c r="S841">
        <v>8457.7999999999993</v>
      </c>
      <c r="T841">
        <f t="shared" si="179"/>
        <v>-1.0198708586175763E-2</v>
      </c>
      <c r="U841" t="str">
        <f t="shared" si="173"/>
        <v>2013-05</v>
      </c>
      <c r="W841">
        <v>17171.52</v>
      </c>
      <c r="X841">
        <f t="shared" si="180"/>
        <v>-6.5307562866532441E-3</v>
      </c>
      <c r="Y841">
        <f t="shared" si="181"/>
        <v>-6.5094772457579865E-3</v>
      </c>
      <c r="Z841" t="str">
        <f t="shared" si="174"/>
        <v>2013-05</v>
      </c>
    </row>
    <row r="842" spans="1:26" x14ac:dyDescent="0.35">
      <c r="A842" s="1">
        <v>41408</v>
      </c>
      <c r="C842">
        <v>2795.63</v>
      </c>
      <c r="D842">
        <f t="shared" si="175"/>
        <v>6.5458459252124915E-3</v>
      </c>
      <c r="E842" t="str">
        <f t="shared" si="169"/>
        <v>2013-05</v>
      </c>
      <c r="G842">
        <v>3966.06</v>
      </c>
      <c r="H842">
        <f t="shared" si="176"/>
        <v>5.273508478507734E-3</v>
      </c>
      <c r="I842" t="str">
        <f t="shared" si="170"/>
        <v>2013-05</v>
      </c>
      <c r="K842">
        <v>8339.11</v>
      </c>
      <c r="L842">
        <f t="shared" si="177"/>
        <v>7.1992801196870031E-3</v>
      </c>
      <c r="M842" t="str">
        <f t="shared" si="171"/>
        <v>2013-05</v>
      </c>
      <c r="O842">
        <v>7865.9529400000001</v>
      </c>
      <c r="P842">
        <f t="shared" si="178"/>
        <v>6.5105393778352493E-3</v>
      </c>
      <c r="Q842" t="str">
        <f t="shared" si="172"/>
        <v>2013-05</v>
      </c>
      <c r="S842">
        <v>8474.6</v>
      </c>
      <c r="T842">
        <f t="shared" si="179"/>
        <v>1.9843619939016468E-3</v>
      </c>
      <c r="U842" t="str">
        <f t="shared" si="173"/>
        <v>2013-05</v>
      </c>
      <c r="W842">
        <v>17315.25</v>
      </c>
      <c r="X842">
        <f t="shared" si="180"/>
        <v>8.3354186075526669E-3</v>
      </c>
      <c r="Y842">
        <f t="shared" si="181"/>
        <v>8.3702549337507422E-3</v>
      </c>
      <c r="Z842" t="str">
        <f t="shared" si="174"/>
        <v>2013-05</v>
      </c>
    </row>
    <row r="843" spans="1:26" x14ac:dyDescent="0.35">
      <c r="A843" s="1">
        <v>41409</v>
      </c>
      <c r="C843">
        <v>2809.58</v>
      </c>
      <c r="D843">
        <f t="shared" si="175"/>
        <v>4.9775222700920987E-3</v>
      </c>
      <c r="E843" t="str">
        <f t="shared" si="169"/>
        <v>2013-05</v>
      </c>
      <c r="G843">
        <v>3982.23</v>
      </c>
      <c r="H843">
        <f t="shared" si="176"/>
        <v>4.0688053173938803E-3</v>
      </c>
      <c r="I843" t="str">
        <f t="shared" si="170"/>
        <v>2013-05</v>
      </c>
      <c r="K843">
        <v>8362.42</v>
      </c>
      <c r="L843">
        <f t="shared" si="177"/>
        <v>2.7913628434506742E-3</v>
      </c>
      <c r="M843" t="str">
        <f t="shared" si="171"/>
        <v>2013-05</v>
      </c>
      <c r="O843">
        <v>7914.5334599999996</v>
      </c>
      <c r="P843">
        <f t="shared" si="178"/>
        <v>6.1570565367630812E-3</v>
      </c>
      <c r="Q843" t="str">
        <f t="shared" si="172"/>
        <v>2013-05</v>
      </c>
      <c r="S843">
        <v>8582.5</v>
      </c>
      <c r="T843">
        <f t="shared" si="179"/>
        <v>1.2651791837157794E-2</v>
      </c>
      <c r="U843" t="str">
        <f t="shared" si="173"/>
        <v>2013-05</v>
      </c>
      <c r="W843">
        <v>17492.97</v>
      </c>
      <c r="X843">
        <f t="shared" si="180"/>
        <v>1.0211469836548852E-2</v>
      </c>
      <c r="Y843">
        <f t="shared" si="181"/>
        <v>1.0263784813964637E-2</v>
      </c>
      <c r="Z843" t="str">
        <f t="shared" si="174"/>
        <v>2013-05</v>
      </c>
    </row>
    <row r="844" spans="1:26" x14ac:dyDescent="0.35">
      <c r="A844" s="1">
        <v>41410</v>
      </c>
      <c r="C844">
        <v>2806.7</v>
      </c>
      <c r="D844">
        <f t="shared" si="175"/>
        <v>-1.0255899821378475E-3</v>
      </c>
      <c r="E844" t="str">
        <f t="shared" si="169"/>
        <v>2013-05</v>
      </c>
      <c r="G844">
        <v>3979.07</v>
      </c>
      <c r="H844">
        <f t="shared" si="176"/>
        <v>-7.9384024366571952E-4</v>
      </c>
      <c r="I844" t="str">
        <f t="shared" si="170"/>
        <v>2013-05</v>
      </c>
      <c r="K844">
        <v>8369.8700000000008</v>
      </c>
      <c r="L844">
        <f t="shared" si="177"/>
        <v>8.9049382867590189E-4</v>
      </c>
      <c r="M844" t="str">
        <f t="shared" si="171"/>
        <v>2013-05</v>
      </c>
      <c r="O844">
        <v>7935.3458799999999</v>
      </c>
      <c r="P844">
        <f t="shared" si="178"/>
        <v>2.626194372247829E-3</v>
      </c>
      <c r="Q844" t="str">
        <f t="shared" si="172"/>
        <v>2013-05</v>
      </c>
      <c r="S844">
        <v>8542.2999999999993</v>
      </c>
      <c r="T844">
        <f t="shared" si="179"/>
        <v>-4.6949539664882817E-3</v>
      </c>
      <c r="U844" t="str">
        <f t="shared" si="173"/>
        <v>2013-05</v>
      </c>
      <c r="W844">
        <v>17544.009999999998</v>
      </c>
      <c r="X844">
        <f t="shared" si="180"/>
        <v>2.9134951759094267E-3</v>
      </c>
      <c r="Y844">
        <f t="shared" si="181"/>
        <v>2.9177435278284493E-3</v>
      </c>
      <c r="Z844" t="str">
        <f t="shared" si="174"/>
        <v>2013-05</v>
      </c>
    </row>
    <row r="845" spans="1:26" x14ac:dyDescent="0.35">
      <c r="A845" s="1">
        <v>41411</v>
      </c>
      <c r="C845">
        <v>2817.99</v>
      </c>
      <c r="D845">
        <f t="shared" si="175"/>
        <v>4.0144488539909191E-3</v>
      </c>
      <c r="E845" t="str">
        <f t="shared" si="169"/>
        <v>2013-05</v>
      </c>
      <c r="G845">
        <v>4001.27</v>
      </c>
      <c r="H845">
        <f t="shared" si="176"/>
        <v>5.5636870774944495E-3</v>
      </c>
      <c r="I845" t="str">
        <f t="shared" si="170"/>
        <v>2013-05</v>
      </c>
      <c r="K845">
        <v>8398</v>
      </c>
      <c r="L845">
        <f t="shared" si="177"/>
        <v>3.3552295419279929E-3</v>
      </c>
      <c r="M845" t="str">
        <f t="shared" si="171"/>
        <v>2013-05</v>
      </c>
      <c r="O845">
        <v>7955.7258199999997</v>
      </c>
      <c r="P845">
        <f t="shared" si="178"/>
        <v>2.5649561663358775E-3</v>
      </c>
      <c r="Q845" t="str">
        <f t="shared" si="172"/>
        <v>2013-05</v>
      </c>
      <c r="S845">
        <v>8582.4</v>
      </c>
      <c r="T845">
        <f t="shared" si="179"/>
        <v>4.6833022819458827E-3</v>
      </c>
      <c r="U845" t="str">
        <f t="shared" si="173"/>
        <v>2013-05</v>
      </c>
      <c r="W845">
        <v>17604.61</v>
      </c>
      <c r="X845">
        <f t="shared" si="180"/>
        <v>3.448218453273678E-3</v>
      </c>
      <c r="Y845">
        <f t="shared" si="181"/>
        <v>3.4541703977598159E-3</v>
      </c>
      <c r="Z845" t="str">
        <f t="shared" si="174"/>
        <v>2013-05</v>
      </c>
    </row>
    <row r="846" spans="1:26" x14ac:dyDescent="0.35">
      <c r="A846" s="1">
        <v>41414</v>
      </c>
      <c r="C846">
        <v>2824.5</v>
      </c>
      <c r="D846">
        <f t="shared" si="175"/>
        <v>2.3074929290274821E-3</v>
      </c>
      <c r="E846" t="str">
        <f t="shared" si="169"/>
        <v>2013-05</v>
      </c>
      <c r="G846">
        <v>4022.85</v>
      </c>
      <c r="H846">
        <f t="shared" si="176"/>
        <v>5.3787959373384426E-3</v>
      </c>
      <c r="I846" t="str">
        <f t="shared" si="170"/>
        <v>2013-05</v>
      </c>
      <c r="K846">
        <v>8455.83</v>
      </c>
      <c r="L846">
        <f t="shared" si="177"/>
        <v>6.8625620357281626E-3</v>
      </c>
      <c r="M846" t="str">
        <f t="shared" si="171"/>
        <v>2013-05</v>
      </c>
      <c r="O846">
        <v>7997.18822</v>
      </c>
      <c r="P846">
        <f t="shared" si="178"/>
        <v>5.1981090422309282E-3</v>
      </c>
      <c r="Q846" t="str">
        <f t="shared" si="172"/>
        <v>2013-05</v>
      </c>
      <c r="S846">
        <v>8515.2000000000007</v>
      </c>
      <c r="T846">
        <f t="shared" si="179"/>
        <v>-7.8607928639345473E-3</v>
      </c>
      <c r="U846" t="str">
        <f t="shared" si="173"/>
        <v>2013-05</v>
      </c>
      <c r="W846">
        <v>17506.87</v>
      </c>
      <c r="X846">
        <f t="shared" si="180"/>
        <v>-5.5674242421011209E-3</v>
      </c>
      <c r="Y846">
        <f t="shared" si="181"/>
        <v>-5.5519548572789514E-3</v>
      </c>
      <c r="Z846" t="str">
        <f t="shared" si="174"/>
        <v>2013-05</v>
      </c>
    </row>
    <row r="847" spans="1:26" x14ac:dyDescent="0.35">
      <c r="A847" s="1">
        <v>41415</v>
      </c>
      <c r="C847">
        <v>2821.65</v>
      </c>
      <c r="D847">
        <f t="shared" si="175"/>
        <v>-1.0095375581774362E-3</v>
      </c>
      <c r="E847" t="str">
        <f t="shared" si="169"/>
        <v>2013-05</v>
      </c>
      <c r="G847">
        <v>4036.18</v>
      </c>
      <c r="H847">
        <f t="shared" si="176"/>
        <v>3.308093444591462E-3</v>
      </c>
      <c r="I847" t="str">
        <f t="shared" si="170"/>
        <v>2013-05</v>
      </c>
      <c r="K847">
        <v>8472.2000000000007</v>
      </c>
      <c r="L847">
        <f t="shared" si="177"/>
        <v>1.9340708993123867E-3</v>
      </c>
      <c r="M847" t="str">
        <f t="shared" si="171"/>
        <v>2013-05</v>
      </c>
      <c r="O847">
        <v>7993.5198700000001</v>
      </c>
      <c r="P847">
        <f t="shared" si="178"/>
        <v>-4.5881020949226705E-4</v>
      </c>
      <c r="Q847" t="str">
        <f t="shared" si="172"/>
        <v>2013-05</v>
      </c>
      <c r="S847">
        <v>8464.5</v>
      </c>
      <c r="T847">
        <f t="shared" si="179"/>
        <v>-5.9718547060656768E-3</v>
      </c>
      <c r="U847" t="str">
        <f t="shared" si="173"/>
        <v>2013-05</v>
      </c>
      <c r="W847">
        <v>17427.47</v>
      </c>
      <c r="X847">
        <f t="shared" si="180"/>
        <v>-4.5456783624022749E-3</v>
      </c>
      <c r="Y847">
        <f t="shared" si="181"/>
        <v>-4.5353624034449235E-3</v>
      </c>
      <c r="Z847" t="str">
        <f t="shared" si="174"/>
        <v>2013-05</v>
      </c>
    </row>
    <row r="848" spans="1:26" x14ac:dyDescent="0.35">
      <c r="A848" s="1">
        <v>41416</v>
      </c>
      <c r="C848">
        <v>2835.01</v>
      </c>
      <c r="D848">
        <f t="shared" si="175"/>
        <v>4.7236442853528082E-3</v>
      </c>
      <c r="E848" t="str">
        <f t="shared" si="169"/>
        <v>2013-05</v>
      </c>
      <c r="G848">
        <v>4051.11</v>
      </c>
      <c r="H848">
        <f t="shared" si="176"/>
        <v>3.6922175317223873E-3</v>
      </c>
      <c r="I848" t="str">
        <f t="shared" si="170"/>
        <v>2013-05</v>
      </c>
      <c r="K848">
        <v>8530.89</v>
      </c>
      <c r="L848">
        <f t="shared" si="177"/>
        <v>6.9034784956409972E-3</v>
      </c>
      <c r="M848" t="str">
        <f t="shared" si="171"/>
        <v>2013-05</v>
      </c>
      <c r="O848">
        <v>8004.5034100000003</v>
      </c>
      <c r="P848">
        <f t="shared" si="178"/>
        <v>1.3731123568826802E-3</v>
      </c>
      <c r="Q848" t="str">
        <f t="shared" si="172"/>
        <v>2013-05</v>
      </c>
      <c r="S848">
        <v>8462.4</v>
      </c>
      <c r="T848">
        <f t="shared" si="179"/>
        <v>-2.4812576558906152E-4</v>
      </c>
      <c r="U848" t="str">
        <f t="shared" si="173"/>
        <v>2013-05</v>
      </c>
      <c r="W848">
        <v>17545.46</v>
      </c>
      <c r="X848">
        <f t="shared" si="180"/>
        <v>6.7475300276608136E-3</v>
      </c>
      <c r="Y848">
        <f t="shared" si="181"/>
        <v>6.7703458964495679E-3</v>
      </c>
      <c r="Z848" t="str">
        <f t="shared" si="174"/>
        <v>2013-05</v>
      </c>
    </row>
    <row r="849" spans="1:26" x14ac:dyDescent="0.35">
      <c r="A849" s="1">
        <v>41417</v>
      </c>
      <c r="C849">
        <v>2776.78</v>
      </c>
      <c r="D849">
        <f t="shared" si="175"/>
        <v>-2.0753481506146341E-2</v>
      </c>
      <c r="E849" t="str">
        <f t="shared" si="169"/>
        <v>2013-05</v>
      </c>
      <c r="G849">
        <v>3967.15</v>
      </c>
      <c r="H849">
        <f t="shared" si="176"/>
        <v>-2.0942964875168751E-2</v>
      </c>
      <c r="I849" t="str">
        <f t="shared" si="170"/>
        <v>2013-05</v>
      </c>
      <c r="K849">
        <v>8351.98</v>
      </c>
      <c r="L849">
        <f t="shared" si="177"/>
        <v>-2.1195057191282649E-2</v>
      </c>
      <c r="M849" t="str">
        <f t="shared" si="171"/>
        <v>2013-05</v>
      </c>
      <c r="O849">
        <v>7827.6791499999999</v>
      </c>
      <c r="P849">
        <f t="shared" si="178"/>
        <v>-2.2338248333308507E-2</v>
      </c>
      <c r="Q849" t="str">
        <f t="shared" si="172"/>
        <v>2013-05</v>
      </c>
      <c r="S849">
        <v>8343.6</v>
      </c>
      <c r="T849">
        <f t="shared" si="179"/>
        <v>-1.4138043418742887E-2</v>
      </c>
      <c r="U849" t="str">
        <f t="shared" si="173"/>
        <v>2013-05</v>
      </c>
      <c r="W849">
        <v>17008.419999999998</v>
      </c>
      <c r="X849">
        <f t="shared" si="180"/>
        <v>-3.1086711431077902E-2</v>
      </c>
      <c r="Y849">
        <f t="shared" si="181"/>
        <v>-3.0608487893734385E-2</v>
      </c>
      <c r="Z849" t="str">
        <f t="shared" si="174"/>
        <v>2013-05</v>
      </c>
    </row>
    <row r="850" spans="1:26" x14ac:dyDescent="0.35">
      <c r="A850" s="1">
        <v>41418</v>
      </c>
      <c r="C850">
        <v>2764.29</v>
      </c>
      <c r="D850">
        <f t="shared" si="175"/>
        <v>-4.5081621973361991E-3</v>
      </c>
      <c r="E850" t="str">
        <f t="shared" si="169"/>
        <v>2013-05</v>
      </c>
      <c r="G850">
        <v>3956.79</v>
      </c>
      <c r="H850">
        <f t="shared" si="176"/>
        <v>-2.6148622788777524E-3</v>
      </c>
      <c r="I850" t="str">
        <f t="shared" si="170"/>
        <v>2013-05</v>
      </c>
      <c r="K850">
        <v>8305.32</v>
      </c>
      <c r="L850">
        <f t="shared" si="177"/>
        <v>-5.6023631730239744E-3</v>
      </c>
      <c r="M850" t="str">
        <f t="shared" si="171"/>
        <v>2013-05</v>
      </c>
      <c r="O850">
        <v>7785.4593299999997</v>
      </c>
      <c r="P850">
        <f t="shared" si="178"/>
        <v>-5.4082557407833364E-3</v>
      </c>
      <c r="Q850" t="str">
        <f t="shared" si="172"/>
        <v>2013-05</v>
      </c>
      <c r="S850">
        <v>8264.6</v>
      </c>
      <c r="T850">
        <f t="shared" si="179"/>
        <v>-9.5134446632178845E-3</v>
      </c>
      <c r="U850" t="str">
        <f t="shared" si="173"/>
        <v>2013-05</v>
      </c>
      <c r="W850">
        <v>16896.810000000001</v>
      </c>
      <c r="X850">
        <f t="shared" si="180"/>
        <v>-6.5836688405590382E-3</v>
      </c>
      <c r="Y850">
        <f t="shared" si="181"/>
        <v>-6.5620439758658925E-3</v>
      </c>
      <c r="Z850" t="str">
        <f t="shared" si="174"/>
        <v>2013-05</v>
      </c>
    </row>
    <row r="851" spans="1:26" x14ac:dyDescent="0.35">
      <c r="A851" s="1">
        <v>41422</v>
      </c>
      <c r="C851">
        <v>2835.87</v>
      </c>
      <c r="D851">
        <f t="shared" si="175"/>
        <v>2.5564947602204596E-2</v>
      </c>
      <c r="E851" t="str">
        <f t="shared" si="169"/>
        <v>2013-05</v>
      </c>
      <c r="G851">
        <v>4050.56</v>
      </c>
      <c r="H851">
        <f t="shared" si="176"/>
        <v>2.3422052677711375E-2</v>
      </c>
      <c r="I851" t="str">
        <f t="shared" si="170"/>
        <v>2013-05</v>
      </c>
      <c r="K851">
        <v>8480.8700000000008</v>
      </c>
      <c r="L851">
        <f t="shared" si="177"/>
        <v>2.0916765552618666E-2</v>
      </c>
      <c r="M851" t="str">
        <f t="shared" si="171"/>
        <v>2013-05</v>
      </c>
      <c r="O851">
        <v>7910.9998100000003</v>
      </c>
      <c r="P851">
        <f t="shared" si="178"/>
        <v>1.5996366549869096E-2</v>
      </c>
      <c r="Q851" t="str">
        <f t="shared" si="172"/>
        <v>2013-05</v>
      </c>
      <c r="S851">
        <v>8511.2999999999993</v>
      </c>
      <c r="T851">
        <f t="shared" si="179"/>
        <v>2.9413359127931162E-2</v>
      </c>
      <c r="U851" t="str">
        <f t="shared" si="173"/>
        <v>2013-05</v>
      </c>
      <c r="W851">
        <v>17519.79</v>
      </c>
      <c r="X851">
        <f t="shared" si="180"/>
        <v>3.620625241938058E-2</v>
      </c>
      <c r="Y851">
        <f t="shared" si="181"/>
        <v>3.6869681318544713E-2</v>
      </c>
      <c r="Z851" t="str">
        <f t="shared" si="174"/>
        <v>2013-05</v>
      </c>
    </row>
    <row r="852" spans="1:26" x14ac:dyDescent="0.35">
      <c r="A852" s="1">
        <v>41423</v>
      </c>
      <c r="C852">
        <v>2786.54</v>
      </c>
      <c r="D852">
        <f t="shared" si="175"/>
        <v>-1.7548085559120345E-2</v>
      </c>
      <c r="E852" t="str">
        <f t="shared" si="169"/>
        <v>2013-05</v>
      </c>
      <c r="G852">
        <v>3974.12</v>
      </c>
      <c r="H852">
        <f t="shared" si="176"/>
        <v>-1.9051803215229396E-2</v>
      </c>
      <c r="I852" t="str">
        <f t="shared" si="170"/>
        <v>2013-05</v>
      </c>
      <c r="K852">
        <v>8336.58</v>
      </c>
      <c r="L852">
        <f t="shared" si="177"/>
        <v>-1.7159978555277549E-2</v>
      </c>
      <c r="M852" t="str">
        <f t="shared" si="171"/>
        <v>2013-05</v>
      </c>
      <c r="O852">
        <v>7741.9444199999998</v>
      </c>
      <c r="P852">
        <f t="shared" si="178"/>
        <v>-2.1601298915888884E-2</v>
      </c>
      <c r="Q852" t="str">
        <f t="shared" si="172"/>
        <v>2013-05</v>
      </c>
      <c r="S852">
        <v>8441.7000000000007</v>
      </c>
      <c r="T852">
        <f t="shared" si="179"/>
        <v>-8.2109822493824682E-3</v>
      </c>
      <c r="U852" t="str">
        <f t="shared" si="173"/>
        <v>2013-05</v>
      </c>
      <c r="W852">
        <v>17237.099999999999</v>
      </c>
      <c r="X852">
        <f t="shared" si="180"/>
        <v>-1.6267061506039283E-2</v>
      </c>
      <c r="Y852">
        <f t="shared" si="181"/>
        <v>-1.6135467377177599E-2</v>
      </c>
      <c r="Z852" t="str">
        <f t="shared" si="174"/>
        <v>2013-05</v>
      </c>
    </row>
    <row r="853" spans="1:26" x14ac:dyDescent="0.35">
      <c r="A853" s="1">
        <v>41424</v>
      </c>
      <c r="C853">
        <v>2799.2</v>
      </c>
      <c r="D853">
        <f t="shared" si="175"/>
        <v>4.5329792213841969E-3</v>
      </c>
      <c r="E853" t="str">
        <f t="shared" si="169"/>
        <v>2013-05</v>
      </c>
      <c r="G853">
        <v>3996.31</v>
      </c>
      <c r="H853">
        <f t="shared" si="176"/>
        <v>5.5680954053805845E-3</v>
      </c>
      <c r="I853" t="str">
        <f t="shared" si="170"/>
        <v>2013-05</v>
      </c>
      <c r="K853">
        <v>8400.2000000000007</v>
      </c>
      <c r="L853">
        <f t="shared" si="177"/>
        <v>7.6024547639178758E-3</v>
      </c>
      <c r="M853" t="str">
        <f t="shared" si="171"/>
        <v>2013-05</v>
      </c>
      <c r="O853">
        <v>7759.1744600000002</v>
      </c>
      <c r="P853">
        <f t="shared" si="178"/>
        <v>2.223071409148705E-3</v>
      </c>
      <c r="Q853" t="str">
        <f t="shared" si="172"/>
        <v>2013-05</v>
      </c>
      <c r="S853">
        <v>8433.5</v>
      </c>
      <c r="T853">
        <f t="shared" si="179"/>
        <v>-9.7184041023409373E-4</v>
      </c>
      <c r="U853" t="str">
        <f t="shared" si="173"/>
        <v>2013-05</v>
      </c>
      <c r="W853">
        <v>17350.96</v>
      </c>
      <c r="X853">
        <f t="shared" si="180"/>
        <v>6.5837986452457822E-3</v>
      </c>
      <c r="Y853">
        <f t="shared" si="181"/>
        <v>6.6055194899374368E-3</v>
      </c>
      <c r="Z853" t="str">
        <f t="shared" si="174"/>
        <v>2013-05</v>
      </c>
    </row>
    <row r="854" spans="1:26" x14ac:dyDescent="0.35">
      <c r="A854" s="1">
        <v>41425</v>
      </c>
      <c r="C854">
        <v>2769.64</v>
      </c>
      <c r="D854">
        <f t="shared" si="175"/>
        <v>-1.061631421705036E-2</v>
      </c>
      <c r="E854" t="str">
        <f t="shared" si="169"/>
        <v>2013-05</v>
      </c>
      <c r="G854">
        <v>3948.59</v>
      </c>
      <c r="H854">
        <f t="shared" si="176"/>
        <v>-1.2012882193295358E-2</v>
      </c>
      <c r="I854" t="str">
        <f t="shared" si="170"/>
        <v>2013-05</v>
      </c>
      <c r="K854">
        <v>8348.84</v>
      </c>
      <c r="L854">
        <f t="shared" si="177"/>
        <v>-6.1329080331363386E-3</v>
      </c>
      <c r="M854" t="str">
        <f t="shared" si="171"/>
        <v>2013-05</v>
      </c>
      <c r="O854">
        <v>7701.1647300000004</v>
      </c>
      <c r="P854">
        <f t="shared" si="178"/>
        <v>-7.5043634585159925E-3</v>
      </c>
      <c r="Q854" t="str">
        <f t="shared" si="172"/>
        <v>2013-05</v>
      </c>
      <c r="S854">
        <v>8320.6</v>
      </c>
      <c r="T854">
        <f t="shared" si="179"/>
        <v>-1.3477502098388853E-2</v>
      </c>
      <c r="U854" t="str">
        <f t="shared" si="173"/>
        <v>2013-05</v>
      </c>
      <c r="W854">
        <v>17214.080000000002</v>
      </c>
      <c r="X854">
        <f t="shared" si="180"/>
        <v>-7.9201826777225079E-3</v>
      </c>
      <c r="Y854">
        <f t="shared" si="181"/>
        <v>-7.8889006717782414E-3</v>
      </c>
      <c r="Z854" t="str">
        <f t="shared" si="174"/>
        <v>2013-05</v>
      </c>
    </row>
    <row r="855" spans="1:26" x14ac:dyDescent="0.35">
      <c r="A855" s="1">
        <v>41428</v>
      </c>
      <c r="C855">
        <v>2747.74</v>
      </c>
      <c r="D855">
        <f t="shared" si="175"/>
        <v>-7.9385922353198256E-3</v>
      </c>
      <c r="E855" t="str">
        <f t="shared" si="169"/>
        <v>2013-06</v>
      </c>
      <c r="G855">
        <v>3920.67</v>
      </c>
      <c r="H855">
        <f t="shared" si="176"/>
        <v>-7.0959955967665892E-3</v>
      </c>
      <c r="I855" t="str">
        <f t="shared" si="170"/>
        <v>2013-06</v>
      </c>
      <c r="K855">
        <v>8285.7999999999993</v>
      </c>
      <c r="L855">
        <f t="shared" si="177"/>
        <v>-7.5794007913142685E-3</v>
      </c>
      <c r="M855" t="str">
        <f t="shared" si="171"/>
        <v>2013-06</v>
      </c>
      <c r="O855">
        <v>7647.7159300000003</v>
      </c>
      <c r="P855">
        <f t="shared" si="178"/>
        <v>-6.9645490414643367E-3</v>
      </c>
      <c r="Q855" t="str">
        <f t="shared" si="172"/>
        <v>2013-06</v>
      </c>
      <c r="S855">
        <v>8284.4</v>
      </c>
      <c r="T855">
        <f t="shared" si="179"/>
        <v>-4.3601393976846091E-3</v>
      </c>
      <c r="U855" t="str">
        <f t="shared" si="173"/>
        <v>2013-06</v>
      </c>
      <c r="W855">
        <v>17058.05</v>
      </c>
      <c r="X855">
        <f t="shared" si="180"/>
        <v>-9.1054205279136966E-3</v>
      </c>
      <c r="Y855">
        <f t="shared" si="181"/>
        <v>-9.0640917202663429E-3</v>
      </c>
      <c r="Z855" t="str">
        <f t="shared" si="174"/>
        <v>2013-06</v>
      </c>
    </row>
    <row r="856" spans="1:26" x14ac:dyDescent="0.35">
      <c r="A856" s="1">
        <v>41429</v>
      </c>
      <c r="C856">
        <v>2755.7</v>
      </c>
      <c r="D856">
        <f t="shared" si="175"/>
        <v>2.8927381967383103E-3</v>
      </c>
      <c r="E856" t="str">
        <f t="shared" si="169"/>
        <v>2013-06</v>
      </c>
      <c r="G856">
        <v>3925.83</v>
      </c>
      <c r="H856">
        <f t="shared" si="176"/>
        <v>1.3152362821216698E-3</v>
      </c>
      <c r="I856" t="str">
        <f t="shared" si="170"/>
        <v>2013-06</v>
      </c>
      <c r="K856">
        <v>8295.9599999999991</v>
      </c>
      <c r="L856">
        <f t="shared" si="177"/>
        <v>1.2254430496458377E-3</v>
      </c>
      <c r="M856" t="str">
        <f t="shared" si="171"/>
        <v>2013-06</v>
      </c>
      <c r="O856">
        <v>7674.5070100000003</v>
      </c>
      <c r="P856">
        <f t="shared" si="178"/>
        <v>3.4970261701160899E-3</v>
      </c>
      <c r="Q856" t="str">
        <f t="shared" si="172"/>
        <v>2013-06</v>
      </c>
      <c r="S856">
        <v>8363</v>
      </c>
      <c r="T856">
        <f t="shared" si="179"/>
        <v>9.4429861795300805E-3</v>
      </c>
      <c r="U856" t="str">
        <f t="shared" si="173"/>
        <v>2013-06</v>
      </c>
      <c r="W856">
        <v>17135.48</v>
      </c>
      <c r="X856">
        <f t="shared" si="180"/>
        <v>4.528934704828241E-3</v>
      </c>
      <c r="Y856">
        <f t="shared" si="181"/>
        <v>4.5392058295057342E-3</v>
      </c>
      <c r="Z856" t="str">
        <f t="shared" si="174"/>
        <v>2013-06</v>
      </c>
    </row>
    <row r="857" spans="1:26" x14ac:dyDescent="0.35">
      <c r="A857" s="1">
        <v>41430</v>
      </c>
      <c r="C857">
        <v>2709.33</v>
      </c>
      <c r="D857">
        <f t="shared" si="175"/>
        <v>-1.6970121963410439E-2</v>
      </c>
      <c r="E857" t="str">
        <f t="shared" si="169"/>
        <v>2013-06</v>
      </c>
      <c r="G857">
        <v>3852.44</v>
      </c>
      <c r="H857">
        <f t="shared" si="176"/>
        <v>-1.8871080058507777E-2</v>
      </c>
      <c r="I857" t="str">
        <f t="shared" si="170"/>
        <v>2013-06</v>
      </c>
      <c r="K857">
        <v>8196.18</v>
      </c>
      <c r="L857">
        <f t="shared" si="177"/>
        <v>-1.2100457246686984E-2</v>
      </c>
      <c r="M857" t="str">
        <f t="shared" si="171"/>
        <v>2013-06</v>
      </c>
      <c r="O857">
        <v>7553.1968299999999</v>
      </c>
      <c r="P857">
        <f t="shared" si="178"/>
        <v>-1.5933163349933485E-2</v>
      </c>
      <c r="Q857" t="str">
        <f t="shared" si="172"/>
        <v>2013-06</v>
      </c>
      <c r="S857">
        <v>8290.7000000000007</v>
      </c>
      <c r="T857">
        <f t="shared" si="179"/>
        <v>-8.6828097337308813E-3</v>
      </c>
      <c r="U857" t="str">
        <f t="shared" si="173"/>
        <v>2013-06</v>
      </c>
      <c r="W857">
        <v>16971.169999999998</v>
      </c>
      <c r="X857">
        <f t="shared" si="180"/>
        <v>-9.635145706506705E-3</v>
      </c>
      <c r="Y857">
        <f t="shared" si="181"/>
        <v>-9.5888764131498681E-3</v>
      </c>
      <c r="Z857" t="str">
        <f t="shared" si="174"/>
        <v>2013-06</v>
      </c>
    </row>
    <row r="858" spans="1:26" x14ac:dyDescent="0.35">
      <c r="A858" s="1">
        <v>41431</v>
      </c>
      <c r="C858">
        <v>2676.21</v>
      </c>
      <c r="D858">
        <f t="shared" si="175"/>
        <v>-1.2299757329022115E-2</v>
      </c>
      <c r="E858" t="str">
        <f t="shared" si="169"/>
        <v>2013-06</v>
      </c>
      <c r="G858">
        <v>3814.28</v>
      </c>
      <c r="H858">
        <f t="shared" si="176"/>
        <v>-9.9547955660245074E-3</v>
      </c>
      <c r="I858" t="str">
        <f t="shared" si="170"/>
        <v>2013-06</v>
      </c>
      <c r="K858">
        <v>8098.81</v>
      </c>
      <c r="L858">
        <f t="shared" si="177"/>
        <v>-1.1951054762854586E-2</v>
      </c>
      <c r="M858" t="str">
        <f t="shared" si="171"/>
        <v>2013-06</v>
      </c>
      <c r="O858">
        <v>7467.9168300000001</v>
      </c>
      <c r="P858">
        <f t="shared" si="178"/>
        <v>-1.1354806068631141E-2</v>
      </c>
      <c r="Q858" t="str">
        <f t="shared" si="172"/>
        <v>2013-06</v>
      </c>
      <c r="S858">
        <v>8216.7000000000007</v>
      </c>
      <c r="T858">
        <f t="shared" si="179"/>
        <v>-8.9657360581651881E-3</v>
      </c>
      <c r="U858" t="str">
        <f t="shared" si="173"/>
        <v>2013-06</v>
      </c>
      <c r="W858">
        <v>16525.07</v>
      </c>
      <c r="X858">
        <f t="shared" si="180"/>
        <v>-2.6637400332101647E-2</v>
      </c>
      <c r="Y858">
        <f t="shared" si="181"/>
        <v>-2.6285754016959265E-2</v>
      </c>
      <c r="Z858" t="str">
        <f t="shared" si="174"/>
        <v>2013-06</v>
      </c>
    </row>
    <row r="859" spans="1:26" x14ac:dyDescent="0.35">
      <c r="A859" s="1">
        <v>41432</v>
      </c>
      <c r="C859">
        <v>2724.08</v>
      </c>
      <c r="D859">
        <f t="shared" si="175"/>
        <v>1.7729141908365137E-2</v>
      </c>
      <c r="E859" t="str">
        <f t="shared" si="169"/>
        <v>2013-06</v>
      </c>
      <c r="G859">
        <v>3872.59</v>
      </c>
      <c r="H859">
        <f t="shared" si="176"/>
        <v>1.5171615616912283E-2</v>
      </c>
      <c r="I859" t="str">
        <f t="shared" si="170"/>
        <v>2013-06</v>
      </c>
      <c r="K859">
        <v>8254.68</v>
      </c>
      <c r="L859">
        <f t="shared" si="177"/>
        <v>1.9063174930222949E-2</v>
      </c>
      <c r="M859" t="str">
        <f t="shared" si="171"/>
        <v>2013-06</v>
      </c>
      <c r="O859">
        <v>7533.6760400000003</v>
      </c>
      <c r="P859">
        <f t="shared" si="178"/>
        <v>8.7670198438990002E-3</v>
      </c>
      <c r="Q859" t="str">
        <f t="shared" si="172"/>
        <v>2013-06</v>
      </c>
      <c r="S859">
        <v>8266.6</v>
      </c>
      <c r="T859">
        <f t="shared" si="179"/>
        <v>6.0546313466869383E-3</v>
      </c>
      <c r="U859" t="str">
        <f t="shared" si="173"/>
        <v>2013-06</v>
      </c>
      <c r="W859">
        <v>16691.060000000001</v>
      </c>
      <c r="X859">
        <f t="shared" si="180"/>
        <v>9.9946250066524633E-3</v>
      </c>
      <c r="Y859">
        <f t="shared" si="181"/>
        <v>1.0044738085829688E-2</v>
      </c>
      <c r="Z859" t="str">
        <f t="shared" si="174"/>
        <v>2013-06</v>
      </c>
    </row>
    <row r="860" spans="1:26" x14ac:dyDescent="0.35">
      <c r="A860" s="1">
        <v>41435</v>
      </c>
      <c r="C860">
        <v>2719.4</v>
      </c>
      <c r="D860">
        <f t="shared" si="175"/>
        <v>-1.7194886921932141E-3</v>
      </c>
      <c r="E860" t="str">
        <f t="shared" si="169"/>
        <v>2013-06</v>
      </c>
      <c r="G860">
        <v>3864.36</v>
      </c>
      <c r="H860">
        <f t="shared" si="176"/>
        <v>-2.1274541270458109E-3</v>
      </c>
      <c r="I860" t="str">
        <f t="shared" si="170"/>
        <v>2013-06</v>
      </c>
      <c r="K860">
        <v>8307.69</v>
      </c>
      <c r="L860">
        <f t="shared" si="177"/>
        <v>6.4012796493546614E-3</v>
      </c>
      <c r="M860" t="str">
        <f t="shared" si="171"/>
        <v>2013-06</v>
      </c>
      <c r="O860">
        <v>7526.92533</v>
      </c>
      <c r="P860">
        <f t="shared" si="178"/>
        <v>-8.9647289457592087E-4</v>
      </c>
      <c r="Q860" t="str">
        <f t="shared" si="172"/>
        <v>2013-06</v>
      </c>
      <c r="S860">
        <v>8227.4</v>
      </c>
      <c r="T860">
        <f t="shared" si="179"/>
        <v>-4.753252553063087E-3</v>
      </c>
      <c r="U860" t="str">
        <f t="shared" si="173"/>
        <v>2013-06</v>
      </c>
      <c r="W860">
        <v>16556.34</v>
      </c>
      <c r="X860">
        <f t="shared" si="180"/>
        <v>-8.1041367044242182E-3</v>
      </c>
      <c r="Y860">
        <f t="shared" si="181"/>
        <v>-8.0713867183990207E-3</v>
      </c>
      <c r="Z860" t="str">
        <f t="shared" si="174"/>
        <v>2013-06</v>
      </c>
    </row>
    <row r="861" spans="1:26" x14ac:dyDescent="0.35">
      <c r="A861" s="1">
        <v>41436</v>
      </c>
      <c r="C861">
        <v>2683.2</v>
      </c>
      <c r="D861">
        <f t="shared" si="175"/>
        <v>-1.3401155652641343E-2</v>
      </c>
      <c r="E861" t="str">
        <f t="shared" si="169"/>
        <v>2013-06</v>
      </c>
      <c r="G861">
        <v>3810.56</v>
      </c>
      <c r="H861">
        <f t="shared" si="176"/>
        <v>-1.4019919747129033E-2</v>
      </c>
      <c r="I861" t="str">
        <f t="shared" si="170"/>
        <v>2013-06</v>
      </c>
      <c r="K861">
        <v>8222.4599999999991</v>
      </c>
      <c r="L861">
        <f t="shared" si="177"/>
        <v>-1.0312157516141337E-2</v>
      </c>
      <c r="M861" t="str">
        <f t="shared" si="171"/>
        <v>2013-06</v>
      </c>
      <c r="O861">
        <v>7445.4637300000004</v>
      </c>
      <c r="P861">
        <f t="shared" si="178"/>
        <v>-1.088168407879571E-2</v>
      </c>
      <c r="Q861" t="str">
        <f t="shared" si="172"/>
        <v>2013-06</v>
      </c>
      <c r="S861">
        <v>8089.3</v>
      </c>
      <c r="T861">
        <f t="shared" si="179"/>
        <v>-1.6927846650375809E-2</v>
      </c>
      <c r="U861" t="str">
        <f t="shared" si="173"/>
        <v>2013-06</v>
      </c>
      <c r="W861">
        <v>16286.6</v>
      </c>
      <c r="X861">
        <f t="shared" si="180"/>
        <v>-1.6426426211826321E-2</v>
      </c>
      <c r="Y861">
        <f t="shared" si="181"/>
        <v>-1.629224816595937E-2</v>
      </c>
      <c r="Z861" t="str">
        <f t="shared" si="174"/>
        <v>2013-06</v>
      </c>
    </row>
    <row r="862" spans="1:26" x14ac:dyDescent="0.35">
      <c r="A862" s="1">
        <v>41437</v>
      </c>
      <c r="C862">
        <v>2666.52</v>
      </c>
      <c r="D862">
        <f t="shared" si="175"/>
        <v>-6.2358605876365308E-3</v>
      </c>
      <c r="E862" t="str">
        <f t="shared" si="169"/>
        <v>2013-06</v>
      </c>
      <c r="G862">
        <v>3793.7</v>
      </c>
      <c r="H862">
        <f t="shared" si="176"/>
        <v>-4.4343637980090523E-3</v>
      </c>
      <c r="I862" t="str">
        <f t="shared" si="170"/>
        <v>2013-06</v>
      </c>
      <c r="K862">
        <v>8143.27</v>
      </c>
      <c r="L862">
        <f t="shared" si="177"/>
        <v>-9.6776151203929843E-3</v>
      </c>
      <c r="M862" t="str">
        <f t="shared" si="171"/>
        <v>2013-06</v>
      </c>
      <c r="O862">
        <v>7407.28431</v>
      </c>
      <c r="P862">
        <f t="shared" si="178"/>
        <v>-5.1410693818013959E-3</v>
      </c>
      <c r="Q862" t="str">
        <f t="shared" si="172"/>
        <v>2013-06</v>
      </c>
      <c r="S862">
        <v>8123.8</v>
      </c>
      <c r="T862">
        <f t="shared" si="179"/>
        <v>4.2558242497856939E-3</v>
      </c>
      <c r="U862" t="str">
        <f t="shared" si="173"/>
        <v>2013-06</v>
      </c>
      <c r="W862">
        <v>16024.03</v>
      </c>
      <c r="X862">
        <f t="shared" si="180"/>
        <v>-1.6253213271754396E-2</v>
      </c>
      <c r="Y862">
        <f t="shared" si="181"/>
        <v>-1.6121842496285271E-2</v>
      </c>
      <c r="Z862" t="str">
        <f t="shared" si="174"/>
        <v>2013-06</v>
      </c>
    </row>
    <row r="863" spans="1:26" x14ac:dyDescent="0.35">
      <c r="A863" s="1">
        <v>41438</v>
      </c>
      <c r="C863">
        <v>2661.71</v>
      </c>
      <c r="D863">
        <f t="shared" si="175"/>
        <v>-1.8054781068447888E-3</v>
      </c>
      <c r="E863" t="str">
        <f t="shared" si="169"/>
        <v>2013-06</v>
      </c>
      <c r="G863">
        <v>3797.98</v>
      </c>
      <c r="H863">
        <f t="shared" si="176"/>
        <v>1.1275502796365665E-3</v>
      </c>
      <c r="I863" t="str">
        <f t="shared" si="170"/>
        <v>2013-06</v>
      </c>
      <c r="K863">
        <v>8095.39</v>
      </c>
      <c r="L863">
        <f t="shared" si="177"/>
        <v>-5.8970553916660434E-3</v>
      </c>
      <c r="M863" t="str">
        <f t="shared" si="171"/>
        <v>2013-06</v>
      </c>
      <c r="O863">
        <v>7422.4990399999997</v>
      </c>
      <c r="P863">
        <f t="shared" si="178"/>
        <v>2.0519160636679151E-3</v>
      </c>
      <c r="Q863" t="str">
        <f t="shared" si="172"/>
        <v>2013-06</v>
      </c>
      <c r="S863">
        <v>8071.7</v>
      </c>
      <c r="T863">
        <f t="shared" si="179"/>
        <v>-6.433908150279233E-3</v>
      </c>
      <c r="U863" t="str">
        <f t="shared" si="173"/>
        <v>2013-06</v>
      </c>
      <c r="W863">
        <v>16116.34</v>
      </c>
      <c r="X863">
        <f t="shared" si="180"/>
        <v>5.7441935994976996E-3</v>
      </c>
      <c r="Y863">
        <f t="shared" si="181"/>
        <v>5.7607231139731692E-3</v>
      </c>
      <c r="Z863" t="str">
        <f t="shared" si="174"/>
        <v>2013-06</v>
      </c>
    </row>
    <row r="864" spans="1:26" x14ac:dyDescent="0.35">
      <c r="A864" s="1">
        <v>41439</v>
      </c>
      <c r="C864">
        <v>2667.32</v>
      </c>
      <c r="D864">
        <f t="shared" si="175"/>
        <v>2.1054496118013996E-3</v>
      </c>
      <c r="E864" t="str">
        <f t="shared" si="169"/>
        <v>2013-06</v>
      </c>
      <c r="G864">
        <v>3805.16</v>
      </c>
      <c r="H864">
        <f t="shared" si="176"/>
        <v>1.8886939170798742E-3</v>
      </c>
      <c r="I864" t="str">
        <f t="shared" si="170"/>
        <v>2013-06</v>
      </c>
      <c r="K864">
        <v>8127.96</v>
      </c>
      <c r="L864">
        <f t="shared" si="177"/>
        <v>4.0152057075077833E-3</v>
      </c>
      <c r="M864" t="str">
        <f t="shared" si="171"/>
        <v>2013-06</v>
      </c>
      <c r="O864">
        <v>7429.7284399999999</v>
      </c>
      <c r="P864">
        <f t="shared" si="178"/>
        <v>9.7351061727149241E-4</v>
      </c>
      <c r="Q864" t="str">
        <f t="shared" si="172"/>
        <v>2013-06</v>
      </c>
      <c r="S864">
        <v>8070.9</v>
      </c>
      <c r="T864">
        <f t="shared" si="179"/>
        <v>-9.9116623177835389E-5</v>
      </c>
      <c r="U864" t="str">
        <f t="shared" si="173"/>
        <v>2013-06</v>
      </c>
      <c r="W864">
        <v>16152.91</v>
      </c>
      <c r="X864">
        <f t="shared" si="180"/>
        <v>2.2665550427006221E-3</v>
      </c>
      <c r="Y864">
        <f t="shared" si="181"/>
        <v>2.2691256203331346E-3</v>
      </c>
      <c r="Z864" t="str">
        <f t="shared" si="174"/>
        <v>2013-06</v>
      </c>
    </row>
    <row r="865" spans="1:26" x14ac:dyDescent="0.35">
      <c r="A865" s="1">
        <v>41442</v>
      </c>
      <c r="C865">
        <v>2702.69</v>
      </c>
      <c r="D865">
        <f t="shared" si="175"/>
        <v>1.3173350328694487E-2</v>
      </c>
      <c r="E865" t="str">
        <f t="shared" si="169"/>
        <v>2013-06</v>
      </c>
      <c r="G865">
        <v>3863.66</v>
      </c>
      <c r="H865">
        <f t="shared" si="176"/>
        <v>1.5256880396474354E-2</v>
      </c>
      <c r="I865" t="str">
        <f t="shared" si="170"/>
        <v>2013-06</v>
      </c>
      <c r="K865">
        <v>8215.73</v>
      </c>
      <c r="L865">
        <f t="shared" si="177"/>
        <v>1.0740639815179014E-2</v>
      </c>
      <c r="M865" t="str">
        <f t="shared" si="171"/>
        <v>2013-06</v>
      </c>
      <c r="O865">
        <v>7452.04846</v>
      </c>
      <c r="P865">
        <f t="shared" si="178"/>
        <v>2.9996467338615825E-3</v>
      </c>
      <c r="Q865" t="str">
        <f t="shared" si="172"/>
        <v>2013-06</v>
      </c>
      <c r="S865">
        <v>8136.3</v>
      </c>
      <c r="T865">
        <f t="shared" si="179"/>
        <v>8.0705309957339808E-3</v>
      </c>
      <c r="U865" t="str">
        <f t="shared" si="173"/>
        <v>2013-06</v>
      </c>
      <c r="W865">
        <v>16194.14</v>
      </c>
      <c r="X865">
        <f t="shared" si="180"/>
        <v>2.5492292081039166E-3</v>
      </c>
      <c r="Y865">
        <f t="shared" si="181"/>
        <v>2.5524812556994105E-3</v>
      </c>
      <c r="Z865" t="str">
        <f t="shared" si="174"/>
        <v>2013-06</v>
      </c>
    </row>
    <row r="866" spans="1:26" x14ac:dyDescent="0.35">
      <c r="A866" s="1">
        <v>41443</v>
      </c>
      <c r="C866">
        <v>2700.93</v>
      </c>
      <c r="D866">
        <f t="shared" si="175"/>
        <v>-6.5141518546345581E-4</v>
      </c>
      <c r="E866" t="str">
        <f t="shared" si="169"/>
        <v>2013-06</v>
      </c>
      <c r="G866">
        <v>3860.55</v>
      </c>
      <c r="H866">
        <f t="shared" si="176"/>
        <v>-8.0526038729004511E-4</v>
      </c>
      <c r="I866" t="str">
        <f t="shared" si="170"/>
        <v>2013-06</v>
      </c>
      <c r="K866">
        <v>8229.51</v>
      </c>
      <c r="L866">
        <f t="shared" si="177"/>
        <v>1.6758652625467507E-3</v>
      </c>
      <c r="M866" t="str">
        <f t="shared" si="171"/>
        <v>2013-06</v>
      </c>
      <c r="O866">
        <v>7441.5749100000003</v>
      </c>
      <c r="P866">
        <f t="shared" si="178"/>
        <v>-1.4064477751692536E-3</v>
      </c>
      <c r="Q866" t="str">
        <f t="shared" si="172"/>
        <v>2013-06</v>
      </c>
      <c r="S866">
        <v>8180.2</v>
      </c>
      <c r="T866">
        <f t="shared" si="179"/>
        <v>5.3810689707100082E-3</v>
      </c>
      <c r="U866" t="str">
        <f t="shared" si="173"/>
        <v>2013-06</v>
      </c>
      <c r="W866">
        <v>16197.94</v>
      </c>
      <c r="X866">
        <f t="shared" si="180"/>
        <v>2.3462525515094564E-4</v>
      </c>
      <c r="Y866">
        <f t="shared" si="181"/>
        <v>2.3465278180879575E-4</v>
      </c>
      <c r="Z866" t="str">
        <f t="shared" si="174"/>
        <v>2013-06</v>
      </c>
    </row>
    <row r="867" spans="1:26" x14ac:dyDescent="0.35">
      <c r="A867" s="1">
        <v>41444</v>
      </c>
      <c r="C867">
        <v>2683.98</v>
      </c>
      <c r="D867">
        <f t="shared" si="175"/>
        <v>-6.295390630514733E-3</v>
      </c>
      <c r="E867" t="str">
        <f t="shared" si="169"/>
        <v>2013-06</v>
      </c>
      <c r="G867">
        <v>3839.34</v>
      </c>
      <c r="H867">
        <f t="shared" si="176"/>
        <v>-5.5091835456215228E-3</v>
      </c>
      <c r="I867" t="str">
        <f t="shared" si="170"/>
        <v>2013-06</v>
      </c>
      <c r="K867">
        <v>8197.08</v>
      </c>
      <c r="L867">
        <f t="shared" si="177"/>
        <v>-3.9484813504603701E-3</v>
      </c>
      <c r="M867" t="str">
        <f t="shared" si="171"/>
        <v>2013-06</v>
      </c>
      <c r="O867">
        <v>7416.1152899999997</v>
      </c>
      <c r="P867">
        <f t="shared" si="178"/>
        <v>-3.4271336360369958E-3</v>
      </c>
      <c r="Q867" t="str">
        <f t="shared" si="172"/>
        <v>2013-06</v>
      </c>
      <c r="S867">
        <v>8098.3</v>
      </c>
      <c r="T867">
        <f t="shared" si="179"/>
        <v>-1.0062437085493406E-2</v>
      </c>
      <c r="U867" t="str">
        <f t="shared" si="173"/>
        <v>2013-06</v>
      </c>
      <c r="W867">
        <v>16045.52</v>
      </c>
      <c r="X867">
        <f t="shared" si="180"/>
        <v>-9.45439077215641E-3</v>
      </c>
      <c r="Y867">
        <f t="shared" si="181"/>
        <v>-9.4098385350235934E-3</v>
      </c>
      <c r="Z867" t="str">
        <f t="shared" si="174"/>
        <v>2013-06</v>
      </c>
    </row>
    <row r="868" spans="1:26" x14ac:dyDescent="0.35">
      <c r="A868" s="1">
        <v>41445</v>
      </c>
      <c r="C868">
        <v>2586.4499999999998</v>
      </c>
      <c r="D868">
        <f t="shared" si="175"/>
        <v>-3.7014488384730558E-2</v>
      </c>
      <c r="E868" t="str">
        <f t="shared" si="169"/>
        <v>2013-06</v>
      </c>
      <c r="G868">
        <v>3698.93</v>
      </c>
      <c r="H868">
        <f t="shared" si="176"/>
        <v>-3.7256888189702533E-2</v>
      </c>
      <c r="I868" t="str">
        <f t="shared" si="170"/>
        <v>2013-06</v>
      </c>
      <c r="K868">
        <v>7928.48</v>
      </c>
      <c r="L868">
        <f t="shared" si="177"/>
        <v>-3.3316653192384305E-2</v>
      </c>
      <c r="M868" t="str">
        <f t="shared" si="171"/>
        <v>2013-06</v>
      </c>
      <c r="O868">
        <v>7203.5420599999998</v>
      </c>
      <c r="P868">
        <f t="shared" si="178"/>
        <v>-2.9082516428527206E-2</v>
      </c>
      <c r="Q868" t="str">
        <f t="shared" si="172"/>
        <v>2013-06</v>
      </c>
      <c r="S868">
        <v>7822.1</v>
      </c>
      <c r="T868">
        <f t="shared" si="179"/>
        <v>-3.470110240231368E-2</v>
      </c>
      <c r="U868" t="str">
        <f t="shared" si="173"/>
        <v>2013-06</v>
      </c>
      <c r="W868">
        <v>15549.23</v>
      </c>
      <c r="X868">
        <f t="shared" si="180"/>
        <v>-3.1418563172459224E-2</v>
      </c>
      <c r="Y868">
        <f t="shared" si="181"/>
        <v>-3.0930128783610681E-2</v>
      </c>
      <c r="Z868" t="str">
        <f t="shared" si="174"/>
        <v>2013-06</v>
      </c>
    </row>
    <row r="869" spans="1:26" x14ac:dyDescent="0.35">
      <c r="A869" s="1">
        <v>41446</v>
      </c>
      <c r="C869">
        <v>2549.48</v>
      </c>
      <c r="D869">
        <f t="shared" si="175"/>
        <v>-1.4396862325236017E-2</v>
      </c>
      <c r="E869" t="str">
        <f t="shared" si="169"/>
        <v>2013-06</v>
      </c>
      <c r="G869">
        <v>3658.04</v>
      </c>
      <c r="H869">
        <f t="shared" si="176"/>
        <v>-1.1116103791720478E-2</v>
      </c>
      <c r="I869" t="str">
        <f t="shared" si="170"/>
        <v>2013-06</v>
      </c>
      <c r="K869">
        <v>7789.24</v>
      </c>
      <c r="L869">
        <f t="shared" si="177"/>
        <v>-1.7718045951389733E-2</v>
      </c>
      <c r="M869" t="str">
        <f t="shared" si="171"/>
        <v>2013-06</v>
      </c>
      <c r="O869">
        <v>7180.9848700000002</v>
      </c>
      <c r="P869">
        <f t="shared" si="178"/>
        <v>-3.1363156536239863E-3</v>
      </c>
      <c r="Q869" t="str">
        <f t="shared" si="172"/>
        <v>2013-06</v>
      </c>
      <c r="S869">
        <v>7700.2</v>
      </c>
      <c r="T869">
        <f t="shared" si="179"/>
        <v>-1.5706758157412824E-2</v>
      </c>
      <c r="U869" t="str">
        <f t="shared" si="173"/>
        <v>2013-06</v>
      </c>
      <c r="W869">
        <v>15254.82</v>
      </c>
      <c r="X869">
        <f t="shared" si="180"/>
        <v>-1.9115601025324745E-2</v>
      </c>
      <c r="Y869">
        <f t="shared" si="181"/>
        <v>-1.8934056541706559E-2</v>
      </c>
      <c r="Z869" t="str">
        <f t="shared" si="174"/>
        <v>2013-06</v>
      </c>
    </row>
    <row r="870" spans="1:26" x14ac:dyDescent="0.35">
      <c r="A870" s="1">
        <v>41449</v>
      </c>
      <c r="C870">
        <v>2511.83</v>
      </c>
      <c r="D870">
        <f t="shared" si="175"/>
        <v>-1.4877845650227511E-2</v>
      </c>
      <c r="E870" t="str">
        <f t="shared" si="169"/>
        <v>2013-06</v>
      </c>
      <c r="G870">
        <v>3595.63</v>
      </c>
      <c r="H870">
        <f t="shared" si="176"/>
        <v>-1.7208265632729602E-2</v>
      </c>
      <c r="I870" t="str">
        <f t="shared" si="170"/>
        <v>2013-06</v>
      </c>
      <c r="K870">
        <v>7692.45</v>
      </c>
      <c r="L870">
        <f t="shared" si="177"/>
        <v>-1.2503965792233869E-2</v>
      </c>
      <c r="M870" t="str">
        <f t="shared" si="171"/>
        <v>2013-06</v>
      </c>
      <c r="O870">
        <v>7096.2543800000003</v>
      </c>
      <c r="P870">
        <f t="shared" si="178"/>
        <v>-1.1869449447050647E-2</v>
      </c>
      <c r="Q870" t="str">
        <f t="shared" si="172"/>
        <v>2013-06</v>
      </c>
      <c r="S870">
        <v>7553.2</v>
      </c>
      <c r="T870">
        <f t="shared" si="179"/>
        <v>-1.927498802300728E-2</v>
      </c>
      <c r="U870" t="str">
        <f t="shared" si="173"/>
        <v>2013-06</v>
      </c>
      <c r="W870">
        <v>15112.38</v>
      </c>
      <c r="X870">
        <f t="shared" si="180"/>
        <v>-9.3812432262544414E-3</v>
      </c>
      <c r="Y870">
        <f t="shared" si="181"/>
        <v>-9.3373766455455073E-3</v>
      </c>
      <c r="Z870" t="str">
        <f t="shared" si="174"/>
        <v>2013-06</v>
      </c>
    </row>
    <row r="871" spans="1:26" x14ac:dyDescent="0.35">
      <c r="A871" s="1">
        <v>41450</v>
      </c>
      <c r="C871">
        <v>2543.37</v>
      </c>
      <c r="D871">
        <f t="shared" si="175"/>
        <v>1.2478402143570167E-2</v>
      </c>
      <c r="E871" t="str">
        <f t="shared" si="169"/>
        <v>2013-06</v>
      </c>
      <c r="G871">
        <v>3649.82</v>
      </c>
      <c r="H871">
        <f t="shared" si="176"/>
        <v>1.4958632096596669E-2</v>
      </c>
      <c r="I871" t="str">
        <f t="shared" si="170"/>
        <v>2013-06</v>
      </c>
      <c r="K871">
        <v>7811.3</v>
      </c>
      <c r="L871">
        <f t="shared" si="177"/>
        <v>1.5332074909400186E-2</v>
      </c>
      <c r="M871" t="str">
        <f t="shared" si="171"/>
        <v>2013-06</v>
      </c>
      <c r="O871">
        <v>7185.8969100000004</v>
      </c>
      <c r="P871">
        <f t="shared" si="178"/>
        <v>1.2553249907946294E-2</v>
      </c>
      <c r="Q871" t="str">
        <f t="shared" si="172"/>
        <v>2013-06</v>
      </c>
      <c r="S871">
        <v>7607.7</v>
      </c>
      <c r="T871">
        <f t="shared" si="179"/>
        <v>7.1895777636784763E-3</v>
      </c>
      <c r="U871" t="str">
        <f t="shared" si="173"/>
        <v>2013-06</v>
      </c>
      <c r="W871">
        <v>15056.57</v>
      </c>
      <c r="X871">
        <f t="shared" si="180"/>
        <v>-3.6998346753336912E-3</v>
      </c>
      <c r="Y871">
        <f t="shared" si="181"/>
        <v>-3.6929987202544861E-3</v>
      </c>
      <c r="Z871" t="str">
        <f t="shared" si="174"/>
        <v>2013-06</v>
      </c>
    </row>
    <row r="872" spans="1:26" x14ac:dyDescent="0.35">
      <c r="A872" s="1">
        <v>41451</v>
      </c>
      <c r="C872">
        <v>2602.81</v>
      </c>
      <c r="D872">
        <f t="shared" si="175"/>
        <v>2.3101657347381694E-2</v>
      </c>
      <c r="E872" t="str">
        <f t="shared" si="169"/>
        <v>2013-06</v>
      </c>
      <c r="G872">
        <v>3726.04</v>
      </c>
      <c r="H872">
        <f t="shared" si="176"/>
        <v>2.0668156184948071E-2</v>
      </c>
      <c r="I872" t="str">
        <f t="shared" si="170"/>
        <v>2013-06</v>
      </c>
      <c r="K872">
        <v>7940.99</v>
      </c>
      <c r="L872">
        <f t="shared" si="177"/>
        <v>1.6466549360205654E-2</v>
      </c>
      <c r="M872" t="str">
        <f t="shared" si="171"/>
        <v>2013-06</v>
      </c>
      <c r="O872">
        <v>7264.7148800000004</v>
      </c>
      <c r="P872">
        <f t="shared" si="178"/>
        <v>1.0908707915595379E-2</v>
      </c>
      <c r="Q872" t="str">
        <f t="shared" si="172"/>
        <v>2013-06</v>
      </c>
      <c r="S872">
        <v>7823</v>
      </c>
      <c r="T872">
        <f t="shared" si="179"/>
        <v>2.7907220413979316E-2</v>
      </c>
      <c r="U872" t="str">
        <f t="shared" si="173"/>
        <v>2013-06</v>
      </c>
      <c r="W872">
        <v>15362.88</v>
      </c>
      <c r="X872">
        <f t="shared" si="180"/>
        <v>2.0139769356196231E-2</v>
      </c>
      <c r="Y872">
        <f t="shared" si="181"/>
        <v>2.0343942876764064E-2</v>
      </c>
      <c r="Z872" t="str">
        <f t="shared" si="174"/>
        <v>2013-06</v>
      </c>
    </row>
    <row r="873" spans="1:26" x14ac:dyDescent="0.35">
      <c r="A873" s="1">
        <v>41452</v>
      </c>
      <c r="C873">
        <v>2619.86</v>
      </c>
      <c r="D873">
        <f t="shared" si="175"/>
        <v>6.5292505831936404E-3</v>
      </c>
      <c r="E873" t="str">
        <f t="shared" si="169"/>
        <v>2013-06</v>
      </c>
      <c r="G873">
        <v>3762.19</v>
      </c>
      <c r="H873">
        <f t="shared" si="176"/>
        <v>9.6552271591793751E-3</v>
      </c>
      <c r="I873" t="str">
        <f t="shared" si="170"/>
        <v>2013-06</v>
      </c>
      <c r="K873">
        <v>7990.75</v>
      </c>
      <c r="L873">
        <f t="shared" si="177"/>
        <v>6.2466700820508906E-3</v>
      </c>
      <c r="M873" t="str">
        <f t="shared" si="171"/>
        <v>2013-06</v>
      </c>
      <c r="O873">
        <v>7304.4043700000002</v>
      </c>
      <c r="P873">
        <f t="shared" si="178"/>
        <v>5.4484540215403278E-3</v>
      </c>
      <c r="Q873" t="str">
        <f t="shared" si="172"/>
        <v>2013-06</v>
      </c>
      <c r="S873">
        <v>7844.4</v>
      </c>
      <c r="T873">
        <f t="shared" si="179"/>
        <v>2.7317887216036069E-3</v>
      </c>
      <c r="U873" t="str">
        <f t="shared" si="173"/>
        <v>2013-06</v>
      </c>
      <c r="W873">
        <v>15430.47</v>
      </c>
      <c r="X873">
        <f t="shared" si="180"/>
        <v>4.3899159101499947E-3</v>
      </c>
      <c r="Y873">
        <f t="shared" si="181"/>
        <v>4.3995657064300545E-3</v>
      </c>
      <c r="Z873" t="str">
        <f t="shared" si="174"/>
        <v>2013-06</v>
      </c>
    </row>
    <row r="874" spans="1:26" x14ac:dyDescent="0.35">
      <c r="A874" s="1">
        <v>41453</v>
      </c>
      <c r="C874">
        <v>2602.59</v>
      </c>
      <c r="D874">
        <f t="shared" si="175"/>
        <v>-6.6137781891914592E-3</v>
      </c>
      <c r="E874" t="str">
        <f t="shared" si="169"/>
        <v>2013-06</v>
      </c>
      <c r="G874">
        <v>3738.91</v>
      </c>
      <c r="H874">
        <f t="shared" si="176"/>
        <v>-6.2071095558458456E-3</v>
      </c>
      <c r="I874" t="str">
        <f t="shared" si="170"/>
        <v>2013-06</v>
      </c>
      <c r="K874">
        <v>7959.22</v>
      </c>
      <c r="L874">
        <f t="shared" si="177"/>
        <v>-3.9536176018743268E-3</v>
      </c>
      <c r="M874" t="str">
        <f t="shared" si="171"/>
        <v>2013-06</v>
      </c>
      <c r="O874">
        <v>7257.3557799999999</v>
      </c>
      <c r="P874">
        <f t="shared" si="178"/>
        <v>-6.4619597125992728E-3</v>
      </c>
      <c r="Q874" t="str">
        <f t="shared" si="172"/>
        <v>2013-06</v>
      </c>
      <c r="S874">
        <v>7762.7</v>
      </c>
      <c r="T874">
        <f t="shared" si="179"/>
        <v>-1.0469689601529081E-2</v>
      </c>
      <c r="U874" t="str">
        <f t="shared" si="173"/>
        <v>2013-06</v>
      </c>
      <c r="W874">
        <v>15239.28</v>
      </c>
      <c r="X874">
        <f t="shared" si="180"/>
        <v>-1.2467821005773465E-2</v>
      </c>
      <c r="Y874">
        <f t="shared" si="181"/>
        <v>-1.2390419734460369E-2</v>
      </c>
      <c r="Z874" t="str">
        <f t="shared" si="174"/>
        <v>2013-06</v>
      </c>
    </row>
    <row r="875" spans="1:26" x14ac:dyDescent="0.35">
      <c r="A875" s="1">
        <v>41456</v>
      </c>
      <c r="C875">
        <v>2622.62</v>
      </c>
      <c r="D875">
        <f t="shared" si="175"/>
        <v>7.6667150644852923E-3</v>
      </c>
      <c r="E875" t="str">
        <f t="shared" si="169"/>
        <v>2013-07</v>
      </c>
      <c r="G875">
        <v>3767.48</v>
      </c>
      <c r="H875">
        <f t="shared" si="176"/>
        <v>7.6122178462091324E-3</v>
      </c>
      <c r="I875" t="str">
        <f t="shared" si="170"/>
        <v>2013-07</v>
      </c>
      <c r="K875">
        <v>7983.92</v>
      </c>
      <c r="L875">
        <f t="shared" si="177"/>
        <v>3.0985138136675472E-3</v>
      </c>
      <c r="M875" t="str">
        <f t="shared" si="171"/>
        <v>2013-07</v>
      </c>
      <c r="O875">
        <v>7353.4392600000001</v>
      </c>
      <c r="P875">
        <f t="shared" si="178"/>
        <v>1.3152585449378286E-2</v>
      </c>
      <c r="Q875" t="str">
        <f t="shared" si="172"/>
        <v>2013-07</v>
      </c>
      <c r="S875">
        <v>7907.1</v>
      </c>
      <c r="T875">
        <f t="shared" si="179"/>
        <v>1.8430878207425505E-2</v>
      </c>
      <c r="U875" t="str">
        <f t="shared" si="173"/>
        <v>2013-07</v>
      </c>
      <c r="W875">
        <v>15459.57</v>
      </c>
      <c r="X875">
        <f t="shared" si="180"/>
        <v>1.4351924011685443E-2</v>
      </c>
      <c r="Y875">
        <f t="shared" si="181"/>
        <v>1.4455407342079091E-2</v>
      </c>
      <c r="Z875" t="str">
        <f t="shared" si="174"/>
        <v>2013-07</v>
      </c>
    </row>
    <row r="876" spans="1:26" x14ac:dyDescent="0.35">
      <c r="A876" s="1">
        <v>41457</v>
      </c>
      <c r="C876">
        <v>2603.1999999999998</v>
      </c>
      <c r="D876">
        <f t="shared" si="175"/>
        <v>-7.4323606234527372E-3</v>
      </c>
      <c r="E876" t="str">
        <f t="shared" si="169"/>
        <v>2013-07</v>
      </c>
      <c r="G876">
        <v>3742.57</v>
      </c>
      <c r="H876">
        <f t="shared" si="176"/>
        <v>-6.6338017328262666E-3</v>
      </c>
      <c r="I876" t="str">
        <f t="shared" si="170"/>
        <v>2013-07</v>
      </c>
      <c r="K876">
        <v>7910.77</v>
      </c>
      <c r="L876">
        <f t="shared" si="177"/>
        <v>-9.2043967443058601E-3</v>
      </c>
      <c r="M876" t="str">
        <f t="shared" si="171"/>
        <v>2013-07</v>
      </c>
      <c r="O876">
        <v>7344.5089399999997</v>
      </c>
      <c r="P876">
        <f t="shared" si="178"/>
        <v>-1.2151792858980995E-3</v>
      </c>
      <c r="Q876" t="str">
        <f t="shared" si="172"/>
        <v>2013-07</v>
      </c>
      <c r="S876">
        <v>7886.6</v>
      </c>
      <c r="T876">
        <f t="shared" si="179"/>
        <v>-2.5959732694161254E-3</v>
      </c>
      <c r="U876" t="str">
        <f t="shared" si="173"/>
        <v>2013-07</v>
      </c>
      <c r="W876">
        <v>15365.71</v>
      </c>
      <c r="X876">
        <f t="shared" si="180"/>
        <v>-6.0898256284429584E-3</v>
      </c>
      <c r="Y876">
        <f t="shared" si="181"/>
        <v>-6.0713202243012311E-3</v>
      </c>
      <c r="Z876" t="str">
        <f t="shared" si="174"/>
        <v>2013-07</v>
      </c>
    </row>
    <row r="877" spans="1:26" x14ac:dyDescent="0.35">
      <c r="A877" s="1">
        <v>41458</v>
      </c>
      <c r="C877">
        <v>2570.7600000000002</v>
      </c>
      <c r="D877">
        <f t="shared" si="175"/>
        <v>-1.2539882447644523E-2</v>
      </c>
      <c r="E877" t="str">
        <f t="shared" si="169"/>
        <v>2013-07</v>
      </c>
      <c r="G877">
        <v>3702.01</v>
      </c>
      <c r="H877">
        <f t="shared" si="176"/>
        <v>-1.0896625821314579E-2</v>
      </c>
      <c r="I877" t="str">
        <f t="shared" si="170"/>
        <v>2013-07</v>
      </c>
      <c r="K877">
        <v>7829.32</v>
      </c>
      <c r="L877">
        <f t="shared" si="177"/>
        <v>-1.0349461409305911E-2</v>
      </c>
      <c r="M877" t="str">
        <f t="shared" si="171"/>
        <v>2013-07</v>
      </c>
      <c r="O877">
        <v>7312.3057200000003</v>
      </c>
      <c r="P877">
        <f t="shared" si="178"/>
        <v>-4.3943070260744769E-3</v>
      </c>
      <c r="Q877" t="str">
        <f t="shared" si="172"/>
        <v>2013-07</v>
      </c>
      <c r="S877">
        <v>7763.8</v>
      </c>
      <c r="T877">
        <f t="shared" si="179"/>
        <v>-1.5693211703624199E-2</v>
      </c>
      <c r="U877" t="str">
        <f t="shared" si="173"/>
        <v>2013-07</v>
      </c>
      <c r="W877">
        <v>15282.81</v>
      </c>
      <c r="X877">
        <f t="shared" si="180"/>
        <v>-5.4097360769109889E-3</v>
      </c>
      <c r="Y877">
        <f t="shared" si="181"/>
        <v>-5.3951298052611722E-3</v>
      </c>
      <c r="Z877" t="str">
        <f t="shared" si="174"/>
        <v>2013-07</v>
      </c>
    </row>
    <row r="878" spans="1:26" x14ac:dyDescent="0.35">
      <c r="A878" s="1">
        <v>41459</v>
      </c>
      <c r="C878">
        <v>2646.54</v>
      </c>
      <c r="D878">
        <f t="shared" si="175"/>
        <v>2.9051551468601725E-2</v>
      </c>
      <c r="E878" t="str">
        <f t="shared" si="169"/>
        <v>2013-07</v>
      </c>
      <c r="G878">
        <v>3809.31</v>
      </c>
      <c r="H878">
        <f t="shared" si="176"/>
        <v>2.8572154985162853E-2</v>
      </c>
      <c r="I878" t="str">
        <f t="shared" si="170"/>
        <v>2013-07</v>
      </c>
      <c r="K878">
        <v>7994.31</v>
      </c>
      <c r="L878">
        <f t="shared" si="177"/>
        <v>2.0854377856285737E-2</v>
      </c>
      <c r="M878" t="str">
        <f t="shared" si="171"/>
        <v>2013-07</v>
      </c>
      <c r="O878">
        <v>7493.6048499999997</v>
      </c>
      <c r="P878">
        <f t="shared" si="178"/>
        <v>2.4491326131628823E-2</v>
      </c>
      <c r="Q878" t="str">
        <f t="shared" si="172"/>
        <v>2013-07</v>
      </c>
      <c r="S878">
        <v>8002</v>
      </c>
      <c r="T878">
        <f t="shared" si="179"/>
        <v>3.0219605377640176E-2</v>
      </c>
      <c r="U878" t="str">
        <f t="shared" si="173"/>
        <v>2013-07</v>
      </c>
      <c r="W878">
        <v>15808.15</v>
      </c>
      <c r="X878">
        <f t="shared" si="180"/>
        <v>3.3796962472583493E-2</v>
      </c>
      <c r="Y878">
        <f t="shared" si="181"/>
        <v>3.4374568551202307E-2</v>
      </c>
      <c r="Z878" t="str">
        <f t="shared" si="174"/>
        <v>2013-07</v>
      </c>
    </row>
    <row r="879" spans="1:26" x14ac:dyDescent="0.35">
      <c r="A879" s="1">
        <v>41460</v>
      </c>
      <c r="C879">
        <v>2596.0100000000002</v>
      </c>
      <c r="D879">
        <f t="shared" si="175"/>
        <v>-1.9277475589045745E-2</v>
      </c>
      <c r="E879" t="str">
        <f t="shared" si="169"/>
        <v>2013-07</v>
      </c>
      <c r="G879">
        <v>3753.85</v>
      </c>
      <c r="H879">
        <f t="shared" si="176"/>
        <v>-1.4666090388188075E-2</v>
      </c>
      <c r="I879" t="str">
        <f t="shared" si="170"/>
        <v>2013-07</v>
      </c>
      <c r="K879">
        <v>7806</v>
      </c>
      <c r="L879">
        <f t="shared" si="177"/>
        <v>-2.3837369863132635E-2</v>
      </c>
      <c r="M879" t="str">
        <f t="shared" si="171"/>
        <v>2013-07</v>
      </c>
      <c r="O879">
        <v>7408.8778700000003</v>
      </c>
      <c r="P879">
        <f t="shared" si="178"/>
        <v>-1.1370976838816037E-2</v>
      </c>
      <c r="Q879" t="str">
        <f t="shared" si="172"/>
        <v>2013-07</v>
      </c>
      <c r="S879">
        <v>7868.4</v>
      </c>
      <c r="T879">
        <f t="shared" si="179"/>
        <v>-1.6836772359606348E-2</v>
      </c>
      <c r="U879" t="str">
        <f t="shared" si="173"/>
        <v>2013-07</v>
      </c>
      <c r="W879">
        <v>15533.69</v>
      </c>
      <c r="X879">
        <f t="shared" si="180"/>
        <v>-1.7514416253616966E-2</v>
      </c>
      <c r="Y879">
        <f t="shared" si="181"/>
        <v>-1.7361930396662426E-2</v>
      </c>
      <c r="Z879" t="str">
        <f t="shared" si="174"/>
        <v>2013-07</v>
      </c>
    </row>
    <row r="880" spans="1:26" x14ac:dyDescent="0.35">
      <c r="A880" s="1">
        <v>41463</v>
      </c>
      <c r="C880">
        <v>2650.85</v>
      </c>
      <c r="D880">
        <f t="shared" si="175"/>
        <v>2.0904692369767577E-2</v>
      </c>
      <c r="E880" t="str">
        <f t="shared" si="169"/>
        <v>2013-07</v>
      </c>
      <c r="G880">
        <v>3823.83</v>
      </c>
      <c r="H880">
        <f t="shared" si="176"/>
        <v>1.8470558146805201E-2</v>
      </c>
      <c r="I880" t="str">
        <f t="shared" si="170"/>
        <v>2013-07</v>
      </c>
      <c r="K880">
        <v>7968.54</v>
      </c>
      <c r="L880">
        <f t="shared" si="177"/>
        <v>2.0608620311854942E-2</v>
      </c>
      <c r="M880" t="str">
        <f t="shared" si="171"/>
        <v>2013-07</v>
      </c>
      <c r="O880">
        <v>7495.17382</v>
      </c>
      <c r="P880">
        <f t="shared" si="178"/>
        <v>1.1580329453898702E-2</v>
      </c>
      <c r="Q880" t="str">
        <f t="shared" si="172"/>
        <v>2013-07</v>
      </c>
      <c r="S880">
        <v>8017.6</v>
      </c>
      <c r="T880">
        <f t="shared" si="179"/>
        <v>1.8784387147886189E-2</v>
      </c>
      <c r="U880" t="str">
        <f t="shared" si="173"/>
        <v>2013-07</v>
      </c>
      <c r="W880">
        <v>15799.62</v>
      </c>
      <c r="X880">
        <f t="shared" si="180"/>
        <v>1.6974675537515787E-2</v>
      </c>
      <c r="Y880">
        <f t="shared" si="181"/>
        <v>1.7119563992843961E-2</v>
      </c>
      <c r="Z880" t="str">
        <f t="shared" si="174"/>
        <v>2013-07</v>
      </c>
    </row>
    <row r="881" spans="1:26" x14ac:dyDescent="0.35">
      <c r="A881" s="1">
        <v>41464</v>
      </c>
      <c r="C881">
        <v>2664.14</v>
      </c>
      <c r="D881">
        <f t="shared" si="175"/>
        <v>5.0009605655431137E-3</v>
      </c>
      <c r="E881" t="str">
        <f t="shared" si="169"/>
        <v>2013-07</v>
      </c>
      <c r="G881">
        <v>3843.56</v>
      </c>
      <c r="H881">
        <f t="shared" si="176"/>
        <v>5.1464823226261827E-3</v>
      </c>
      <c r="I881" t="str">
        <f t="shared" si="170"/>
        <v>2013-07</v>
      </c>
      <c r="K881">
        <v>8057.75</v>
      </c>
      <c r="L881">
        <f t="shared" si="177"/>
        <v>1.1133072149334748E-2</v>
      </c>
      <c r="M881" t="str">
        <f t="shared" si="171"/>
        <v>2013-07</v>
      </c>
      <c r="O881">
        <v>7564.9892600000003</v>
      </c>
      <c r="P881">
        <f t="shared" si="178"/>
        <v>9.2716047967259015E-3</v>
      </c>
      <c r="Q881" t="str">
        <f t="shared" si="172"/>
        <v>2013-07</v>
      </c>
      <c r="S881">
        <v>8014.8</v>
      </c>
      <c r="T881">
        <f t="shared" si="179"/>
        <v>-3.4929268586967189E-4</v>
      </c>
      <c r="U881" t="str">
        <f t="shared" si="173"/>
        <v>2013-07</v>
      </c>
      <c r="W881">
        <v>15790.55</v>
      </c>
      <c r="X881">
        <f t="shared" si="180"/>
        <v>-5.7422927760307019E-4</v>
      </c>
      <c r="Y881">
        <f t="shared" si="181"/>
        <v>-5.7406443952459152E-4</v>
      </c>
      <c r="Z881" t="str">
        <f t="shared" si="174"/>
        <v>2013-07</v>
      </c>
    </row>
    <row r="882" spans="1:26" x14ac:dyDescent="0.35">
      <c r="A882" s="1">
        <v>41465</v>
      </c>
      <c r="C882">
        <v>2659.71</v>
      </c>
      <c r="D882">
        <f t="shared" si="175"/>
        <v>-1.6642095560323806E-3</v>
      </c>
      <c r="E882" t="str">
        <f t="shared" si="169"/>
        <v>2013-07</v>
      </c>
      <c r="G882">
        <v>3840.53</v>
      </c>
      <c r="H882">
        <f t="shared" si="176"/>
        <v>-7.8864254766503419E-4</v>
      </c>
      <c r="I882" t="str">
        <f t="shared" si="170"/>
        <v>2013-07</v>
      </c>
      <c r="K882">
        <v>8066.48</v>
      </c>
      <c r="L882">
        <f t="shared" si="177"/>
        <v>1.082842511304808E-3</v>
      </c>
      <c r="M882" t="str">
        <f t="shared" si="171"/>
        <v>2013-07</v>
      </c>
      <c r="O882">
        <v>7561.3642900000004</v>
      </c>
      <c r="P882">
        <f t="shared" si="178"/>
        <v>-4.7929199293297392E-4</v>
      </c>
      <c r="Q882" t="str">
        <f t="shared" si="172"/>
        <v>2013-07</v>
      </c>
      <c r="S882">
        <v>7995</v>
      </c>
      <c r="T882">
        <f t="shared" si="179"/>
        <v>-2.4734862515360667E-3</v>
      </c>
      <c r="U882" t="str">
        <f t="shared" si="173"/>
        <v>2013-07</v>
      </c>
      <c r="W882">
        <v>15677.26</v>
      </c>
      <c r="X882">
        <f t="shared" si="180"/>
        <v>-7.2004050785515698E-3</v>
      </c>
      <c r="Y882">
        <f t="shared" si="181"/>
        <v>-7.174544268565633E-3</v>
      </c>
      <c r="Z882" t="str">
        <f t="shared" si="174"/>
        <v>2013-07</v>
      </c>
    </row>
    <row r="883" spans="1:26" x14ac:dyDescent="0.35">
      <c r="A883" s="1">
        <v>41466</v>
      </c>
      <c r="C883">
        <v>2681.32</v>
      </c>
      <c r="D883">
        <f t="shared" si="175"/>
        <v>8.0921162856838532E-3</v>
      </c>
      <c r="E883" t="str">
        <f t="shared" si="169"/>
        <v>2013-07</v>
      </c>
      <c r="G883">
        <v>3868.98</v>
      </c>
      <c r="H883">
        <f t="shared" si="176"/>
        <v>7.3805285016537185E-3</v>
      </c>
      <c r="I883" t="str">
        <f t="shared" si="170"/>
        <v>2013-07</v>
      </c>
      <c r="K883">
        <v>8158.8</v>
      </c>
      <c r="L883">
        <f t="shared" si="177"/>
        <v>1.1379895607359356E-2</v>
      </c>
      <c r="M883" t="str">
        <f t="shared" si="171"/>
        <v>2013-07</v>
      </c>
      <c r="O883">
        <v>7588.5868399999999</v>
      </c>
      <c r="P883">
        <f t="shared" si="178"/>
        <v>3.5937514338865821E-3</v>
      </c>
      <c r="Q883" t="str">
        <f t="shared" si="172"/>
        <v>2013-07</v>
      </c>
      <c r="S883">
        <v>8030.7</v>
      </c>
      <c r="T883">
        <f t="shared" si="179"/>
        <v>4.4553509742704771E-3</v>
      </c>
      <c r="U883" t="str">
        <f t="shared" si="173"/>
        <v>2013-07</v>
      </c>
      <c r="W883">
        <v>15677.3</v>
      </c>
      <c r="X883">
        <f t="shared" si="180"/>
        <v>2.5514630088381214E-6</v>
      </c>
      <c r="Y883">
        <f t="shared" si="181"/>
        <v>2.5514662638148581E-6</v>
      </c>
      <c r="Z883" t="str">
        <f t="shared" si="174"/>
        <v>2013-07</v>
      </c>
    </row>
    <row r="884" spans="1:26" x14ac:dyDescent="0.35">
      <c r="A884" s="1">
        <v>41467</v>
      </c>
      <c r="C884">
        <v>2674.87</v>
      </c>
      <c r="D884">
        <f t="shared" si="175"/>
        <v>-2.4084295433083884E-3</v>
      </c>
      <c r="E884" t="str">
        <f t="shared" si="169"/>
        <v>2013-07</v>
      </c>
      <c r="G884">
        <v>3855.09</v>
      </c>
      <c r="H884">
        <f t="shared" si="176"/>
        <v>-3.5965533643496223E-3</v>
      </c>
      <c r="I884" t="str">
        <f t="shared" si="170"/>
        <v>2013-07</v>
      </c>
      <c r="K884">
        <v>8212.77</v>
      </c>
      <c r="L884">
        <f t="shared" si="177"/>
        <v>6.593160644353285E-3</v>
      </c>
      <c r="M884" t="str">
        <f t="shared" si="171"/>
        <v>2013-07</v>
      </c>
      <c r="O884">
        <v>7568.5253700000003</v>
      </c>
      <c r="P884">
        <f t="shared" si="178"/>
        <v>-2.6471377181669737E-3</v>
      </c>
      <c r="Q884" t="str">
        <f t="shared" si="172"/>
        <v>2013-07</v>
      </c>
      <c r="S884">
        <v>7844.7</v>
      </c>
      <c r="T884">
        <f t="shared" si="179"/>
        <v>-2.3433552724176705E-2</v>
      </c>
      <c r="U884" t="str">
        <f t="shared" si="173"/>
        <v>2013-07</v>
      </c>
      <c r="W884">
        <v>15430.57</v>
      </c>
      <c r="X884">
        <f t="shared" si="180"/>
        <v>-1.5863199500896954E-2</v>
      </c>
      <c r="Y884">
        <f t="shared" si="181"/>
        <v>-1.5738041627065859E-2</v>
      </c>
      <c r="Z884" t="str">
        <f t="shared" si="174"/>
        <v>2013-07</v>
      </c>
    </row>
    <row r="885" spans="1:26" x14ac:dyDescent="0.35">
      <c r="A885" s="1">
        <v>41470</v>
      </c>
      <c r="C885">
        <v>2686.69</v>
      </c>
      <c r="D885">
        <f t="shared" si="175"/>
        <v>4.4091716400363511E-3</v>
      </c>
      <c r="E885" t="str">
        <f t="shared" si="169"/>
        <v>2013-07</v>
      </c>
      <c r="G885">
        <v>3878.58</v>
      </c>
      <c r="H885">
        <f t="shared" si="176"/>
        <v>6.0747542206665518E-3</v>
      </c>
      <c r="I885" t="str">
        <f t="shared" si="170"/>
        <v>2013-07</v>
      </c>
      <c r="K885">
        <v>8234.81</v>
      </c>
      <c r="L885">
        <f t="shared" si="177"/>
        <v>2.6800311282242036E-3</v>
      </c>
      <c r="M885" t="str">
        <f t="shared" si="171"/>
        <v>2013-07</v>
      </c>
      <c r="O885">
        <v>7611.5467900000003</v>
      </c>
      <c r="P885">
        <f t="shared" si="178"/>
        <v>5.6681595092938405E-3</v>
      </c>
      <c r="Q885" t="str">
        <f t="shared" si="172"/>
        <v>2013-07</v>
      </c>
      <c r="S885">
        <v>7855.1</v>
      </c>
      <c r="T885">
        <f t="shared" si="179"/>
        <v>1.3248578352865758E-3</v>
      </c>
      <c r="U885" t="str">
        <f t="shared" si="173"/>
        <v>2013-07</v>
      </c>
      <c r="W885">
        <v>15597.34</v>
      </c>
      <c r="X885">
        <f t="shared" si="180"/>
        <v>1.0749780179269017E-2</v>
      </c>
      <c r="Y885">
        <f t="shared" si="181"/>
        <v>1.0807766660596494E-2</v>
      </c>
      <c r="Z885" t="str">
        <f t="shared" si="174"/>
        <v>2013-07</v>
      </c>
    </row>
    <row r="886" spans="1:26" x14ac:dyDescent="0.35">
      <c r="A886" s="1">
        <v>41471</v>
      </c>
      <c r="C886">
        <v>2665.61</v>
      </c>
      <c r="D886">
        <f t="shared" si="175"/>
        <v>-7.8770281922876766E-3</v>
      </c>
      <c r="E886" t="str">
        <f t="shared" si="169"/>
        <v>2013-07</v>
      </c>
      <c r="G886">
        <v>3851.03</v>
      </c>
      <c r="H886">
        <f t="shared" si="176"/>
        <v>-7.1284622801443239E-3</v>
      </c>
      <c r="I886" t="str">
        <f t="shared" si="170"/>
        <v>2013-07</v>
      </c>
      <c r="K886">
        <v>8201.0499999999993</v>
      </c>
      <c r="L886">
        <f t="shared" si="177"/>
        <v>-4.1080962577047502E-3</v>
      </c>
      <c r="M886" t="str">
        <f t="shared" si="171"/>
        <v>2013-07</v>
      </c>
      <c r="O886">
        <v>7538.5056000000004</v>
      </c>
      <c r="P886">
        <f t="shared" si="178"/>
        <v>-9.6424426855106979E-3</v>
      </c>
      <c r="Q886" t="str">
        <f t="shared" si="172"/>
        <v>2013-07</v>
      </c>
      <c r="S886">
        <v>7798.2</v>
      </c>
      <c r="T886">
        <f t="shared" si="179"/>
        <v>-7.2700645378371591E-3</v>
      </c>
      <c r="U886" t="str">
        <f t="shared" si="173"/>
        <v>2013-07</v>
      </c>
      <c r="W886">
        <v>15529.95</v>
      </c>
      <c r="X886">
        <f t="shared" si="180"/>
        <v>-4.3299693156180399E-3</v>
      </c>
      <c r="Y886">
        <f t="shared" si="181"/>
        <v>-4.3206085140158144E-3</v>
      </c>
      <c r="Z886" t="str">
        <f t="shared" si="174"/>
        <v>2013-07</v>
      </c>
    </row>
    <row r="887" spans="1:26" x14ac:dyDescent="0.35">
      <c r="A887" s="1">
        <v>41472</v>
      </c>
      <c r="C887">
        <v>2681.88</v>
      </c>
      <c r="D887">
        <f t="shared" si="175"/>
        <v>6.0851166452447342E-3</v>
      </c>
      <c r="E887" t="str">
        <f t="shared" si="169"/>
        <v>2013-07</v>
      </c>
      <c r="G887">
        <v>3872.02</v>
      </c>
      <c r="H887">
        <f t="shared" si="176"/>
        <v>5.435689703450393E-3</v>
      </c>
      <c r="I887" t="str">
        <f t="shared" si="170"/>
        <v>2013-07</v>
      </c>
      <c r="K887">
        <v>8254.7199999999993</v>
      </c>
      <c r="L887">
        <f t="shared" si="177"/>
        <v>6.522963106616108E-3</v>
      </c>
      <c r="M887" t="str">
        <f t="shared" si="171"/>
        <v>2013-07</v>
      </c>
      <c r="O887">
        <v>7616.3161700000001</v>
      </c>
      <c r="P887">
        <f t="shared" si="178"/>
        <v>1.0268844455539586E-2</v>
      </c>
      <c r="Q887" t="str">
        <f t="shared" si="172"/>
        <v>2013-07</v>
      </c>
      <c r="S887">
        <v>7812.7</v>
      </c>
      <c r="T887">
        <f t="shared" si="179"/>
        <v>1.8576769013848003E-3</v>
      </c>
      <c r="U887" t="str">
        <f t="shared" si="173"/>
        <v>2013-07</v>
      </c>
      <c r="W887">
        <v>15695.03</v>
      </c>
      <c r="X887">
        <f t="shared" si="180"/>
        <v>1.0573684148456525E-2</v>
      </c>
      <c r="Y887">
        <f t="shared" si="181"/>
        <v>1.0629783096532824E-2</v>
      </c>
      <c r="Z887" t="str">
        <f t="shared" si="174"/>
        <v>2013-07</v>
      </c>
    </row>
    <row r="888" spans="1:26" x14ac:dyDescent="0.35">
      <c r="A888" s="1">
        <v>41473</v>
      </c>
      <c r="C888">
        <v>2717.99</v>
      </c>
      <c r="D888">
        <f t="shared" si="175"/>
        <v>1.3374595417124555E-2</v>
      </c>
      <c r="E888" t="str">
        <f t="shared" si="169"/>
        <v>2013-07</v>
      </c>
      <c r="G888">
        <v>3927.79</v>
      </c>
      <c r="H888">
        <f t="shared" si="176"/>
        <v>1.4300592051019531E-2</v>
      </c>
      <c r="I888" t="str">
        <f t="shared" si="170"/>
        <v>2013-07</v>
      </c>
      <c r="K888">
        <v>8337.09</v>
      </c>
      <c r="L888">
        <f t="shared" si="177"/>
        <v>9.929076660531928E-3</v>
      </c>
      <c r="M888" t="str">
        <f t="shared" si="171"/>
        <v>2013-07</v>
      </c>
      <c r="O888">
        <v>7707.2148500000003</v>
      </c>
      <c r="P888">
        <f t="shared" si="178"/>
        <v>1.1864073116284285E-2</v>
      </c>
      <c r="Q888" t="str">
        <f t="shared" si="172"/>
        <v>2013-07</v>
      </c>
      <c r="S888">
        <v>7957.3</v>
      </c>
      <c r="T888">
        <f t="shared" si="179"/>
        <v>1.8339131601578466E-2</v>
      </c>
      <c r="U888" t="str">
        <f t="shared" si="173"/>
        <v>2013-07</v>
      </c>
      <c r="W888">
        <v>16053.61</v>
      </c>
      <c r="X888">
        <f t="shared" si="180"/>
        <v>2.2589644674364251E-2</v>
      </c>
      <c r="Y888">
        <f t="shared" si="181"/>
        <v>2.2846722816076165E-2</v>
      </c>
      <c r="Z888" t="str">
        <f t="shared" si="174"/>
        <v>2013-07</v>
      </c>
    </row>
    <row r="889" spans="1:26" x14ac:dyDescent="0.35">
      <c r="A889" s="1">
        <v>41474</v>
      </c>
      <c r="C889">
        <v>2716.17</v>
      </c>
      <c r="D889">
        <f t="shared" si="175"/>
        <v>-6.69836761541703E-4</v>
      </c>
      <c r="E889" t="str">
        <f t="shared" si="169"/>
        <v>2013-07</v>
      </c>
      <c r="G889">
        <v>3925.32</v>
      </c>
      <c r="H889">
        <f t="shared" si="176"/>
        <v>-6.2905016775492131E-4</v>
      </c>
      <c r="I889" t="str">
        <f t="shared" si="170"/>
        <v>2013-07</v>
      </c>
      <c r="K889">
        <v>8331.57</v>
      </c>
      <c r="L889">
        <f t="shared" si="177"/>
        <v>-6.6232081064562407E-4</v>
      </c>
      <c r="M889" t="str">
        <f t="shared" si="171"/>
        <v>2013-07</v>
      </c>
      <c r="O889">
        <v>7704.0724700000001</v>
      </c>
      <c r="P889">
        <f t="shared" si="178"/>
        <v>-4.0780240849456058E-4</v>
      </c>
      <c r="Q889" t="str">
        <f t="shared" si="172"/>
        <v>2013-07</v>
      </c>
      <c r="S889">
        <v>7943.2</v>
      </c>
      <c r="T889">
        <f t="shared" si="179"/>
        <v>-1.7735295991765597E-3</v>
      </c>
      <c r="U889" t="str">
        <f t="shared" si="173"/>
        <v>2013-07</v>
      </c>
      <c r="W889">
        <v>16124.36</v>
      </c>
      <c r="X889">
        <f t="shared" si="180"/>
        <v>4.3974255684721573E-3</v>
      </c>
      <c r="Y889">
        <f t="shared" si="181"/>
        <v>4.4071084323089949E-3</v>
      </c>
      <c r="Z889" t="str">
        <f t="shared" si="174"/>
        <v>2013-07</v>
      </c>
    </row>
    <row r="890" spans="1:26" x14ac:dyDescent="0.35">
      <c r="A890" s="1">
        <v>41477</v>
      </c>
      <c r="C890">
        <v>2725.4</v>
      </c>
      <c r="D890">
        <f t="shared" si="175"/>
        <v>3.3924065488060164E-3</v>
      </c>
      <c r="E890" t="str">
        <f t="shared" si="169"/>
        <v>2013-07</v>
      </c>
      <c r="G890">
        <v>3939.92</v>
      </c>
      <c r="H890">
        <f t="shared" si="176"/>
        <v>3.7125419616624877E-3</v>
      </c>
      <c r="I890" t="str">
        <f t="shared" si="170"/>
        <v>2013-07</v>
      </c>
      <c r="K890">
        <v>8331.06</v>
      </c>
      <c r="L890">
        <f t="shared" si="177"/>
        <v>-6.1214826250062022E-5</v>
      </c>
      <c r="M890" t="str">
        <f t="shared" si="171"/>
        <v>2013-07</v>
      </c>
      <c r="O890">
        <v>7711.1331099999998</v>
      </c>
      <c r="P890">
        <f t="shared" si="178"/>
        <v>9.1606180107209291E-4</v>
      </c>
      <c r="Q890" t="str">
        <f t="shared" si="172"/>
        <v>2013-07</v>
      </c>
      <c r="S890">
        <v>7966</v>
      </c>
      <c r="T890">
        <f t="shared" si="179"/>
        <v>2.8662680222051938E-3</v>
      </c>
      <c r="U890" t="str">
        <f t="shared" si="173"/>
        <v>2013-07</v>
      </c>
      <c r="W890">
        <v>16233.55</v>
      </c>
      <c r="X890">
        <f t="shared" si="180"/>
        <v>6.7489163822611574E-3</v>
      </c>
      <c r="Y890">
        <f t="shared" si="181"/>
        <v>6.7717416381176485E-3</v>
      </c>
      <c r="Z890" t="str">
        <f t="shared" si="174"/>
        <v>2013-07</v>
      </c>
    </row>
    <row r="891" spans="1:26" x14ac:dyDescent="0.35">
      <c r="A891" s="1">
        <v>41478</v>
      </c>
      <c r="C891">
        <v>2722.9</v>
      </c>
      <c r="D891">
        <f t="shared" si="175"/>
        <v>-9.1771751755938562E-4</v>
      </c>
      <c r="E891" t="str">
        <f t="shared" si="169"/>
        <v>2013-07</v>
      </c>
      <c r="G891">
        <v>3923.09</v>
      </c>
      <c r="H891">
        <f t="shared" si="176"/>
        <v>-4.2808099446071503E-3</v>
      </c>
      <c r="I891" t="str">
        <f t="shared" si="170"/>
        <v>2013-07</v>
      </c>
      <c r="K891">
        <v>8314.23</v>
      </c>
      <c r="L891">
        <f t="shared" si="177"/>
        <v>-2.0221943547034304E-3</v>
      </c>
      <c r="M891" t="str">
        <f t="shared" si="171"/>
        <v>2013-07</v>
      </c>
      <c r="O891">
        <v>7677.5385999999999</v>
      </c>
      <c r="P891">
        <f t="shared" si="178"/>
        <v>-4.3661420558319683E-3</v>
      </c>
      <c r="Q891" t="str">
        <f t="shared" si="172"/>
        <v>2013-07</v>
      </c>
      <c r="S891">
        <v>8073.7</v>
      </c>
      <c r="T891">
        <f t="shared" si="179"/>
        <v>1.3429380676797669E-2</v>
      </c>
      <c r="U891" t="str">
        <f t="shared" si="173"/>
        <v>2013-07</v>
      </c>
      <c r="W891">
        <v>16238.58</v>
      </c>
      <c r="X891">
        <f t="shared" si="180"/>
        <v>3.0980413297389882E-4</v>
      </c>
      <c r="Y891">
        <f t="shared" si="181"/>
        <v>3.0985212723037505E-4</v>
      </c>
      <c r="Z891" t="str">
        <f t="shared" si="174"/>
        <v>2013-07</v>
      </c>
    </row>
    <row r="892" spans="1:26" x14ac:dyDescent="0.35">
      <c r="A892" s="1">
        <v>41479</v>
      </c>
      <c r="C892">
        <v>2752.25</v>
      </c>
      <c r="D892">
        <f t="shared" si="175"/>
        <v>1.0721270152351603E-2</v>
      </c>
      <c r="E892" t="str">
        <f t="shared" si="169"/>
        <v>2013-07</v>
      </c>
      <c r="G892">
        <v>3962.75</v>
      </c>
      <c r="H892">
        <f t="shared" si="176"/>
        <v>1.0058620105298061E-2</v>
      </c>
      <c r="I892" t="str">
        <f t="shared" si="170"/>
        <v>2013-07</v>
      </c>
      <c r="K892">
        <v>8379.11</v>
      </c>
      <c r="L892">
        <f t="shared" si="177"/>
        <v>7.7731989745191896E-3</v>
      </c>
      <c r="M892" t="str">
        <f t="shared" si="171"/>
        <v>2013-07</v>
      </c>
      <c r="O892">
        <v>7696.2624100000003</v>
      </c>
      <c r="P892">
        <f t="shared" si="178"/>
        <v>2.4358087171078803E-3</v>
      </c>
      <c r="Q892" t="str">
        <f t="shared" si="172"/>
        <v>2013-07</v>
      </c>
      <c r="S892">
        <v>8192.5</v>
      </c>
      <c r="T892">
        <f t="shared" si="179"/>
        <v>1.4607236154582455E-2</v>
      </c>
      <c r="U892" t="str">
        <f t="shared" si="173"/>
        <v>2013-07</v>
      </c>
      <c r="W892">
        <v>16442.71</v>
      </c>
      <c r="X892">
        <f t="shared" si="180"/>
        <v>1.249232540533265E-2</v>
      </c>
      <c r="Y892">
        <f t="shared" si="181"/>
        <v>1.2570680441270061E-2</v>
      </c>
      <c r="Z892" t="str">
        <f t="shared" si="174"/>
        <v>2013-07</v>
      </c>
    </row>
    <row r="893" spans="1:26" x14ac:dyDescent="0.35">
      <c r="A893" s="1">
        <v>41480</v>
      </c>
      <c r="C893">
        <v>2740.29</v>
      </c>
      <c r="D893">
        <f t="shared" si="175"/>
        <v>-4.3550047529340302E-3</v>
      </c>
      <c r="E893" t="str">
        <f t="shared" si="169"/>
        <v>2013-07</v>
      </c>
      <c r="G893">
        <v>3956.02</v>
      </c>
      <c r="H893">
        <f t="shared" si="176"/>
        <v>-1.6997593364498145E-3</v>
      </c>
      <c r="I893" t="str">
        <f t="shared" si="170"/>
        <v>2013-07</v>
      </c>
      <c r="K893">
        <v>8298.98</v>
      </c>
      <c r="L893">
        <f t="shared" si="177"/>
        <v>-9.6090879187182704E-3</v>
      </c>
      <c r="M893" t="str">
        <f t="shared" si="171"/>
        <v>2013-07</v>
      </c>
      <c r="O893">
        <v>7635.7273699999996</v>
      </c>
      <c r="P893">
        <f t="shared" si="178"/>
        <v>-7.8966077372388446E-3</v>
      </c>
      <c r="Q893" t="str">
        <f t="shared" si="172"/>
        <v>2013-07</v>
      </c>
      <c r="S893">
        <v>8282.1</v>
      </c>
      <c r="T893">
        <f t="shared" si="179"/>
        <v>1.0877457837817666E-2</v>
      </c>
      <c r="U893" t="str">
        <f t="shared" si="173"/>
        <v>2013-07</v>
      </c>
      <c r="W893">
        <v>16431.97</v>
      </c>
      <c r="X893">
        <f t="shared" si="180"/>
        <v>-6.5339041366129381E-4</v>
      </c>
      <c r="Y893">
        <f t="shared" si="181"/>
        <v>-6.5317700062811812E-4</v>
      </c>
      <c r="Z893" t="str">
        <f t="shared" si="174"/>
        <v>2013-07</v>
      </c>
    </row>
    <row r="894" spans="1:26" x14ac:dyDescent="0.35">
      <c r="A894" s="1">
        <v>41481</v>
      </c>
      <c r="C894">
        <v>2741.96</v>
      </c>
      <c r="D894">
        <f t="shared" si="175"/>
        <v>6.0923892622728141E-4</v>
      </c>
      <c r="E894" t="str">
        <f t="shared" si="169"/>
        <v>2013-07</v>
      </c>
      <c r="G894">
        <v>3968.84</v>
      </c>
      <c r="H894">
        <f t="shared" si="176"/>
        <v>3.2353912076809681E-3</v>
      </c>
      <c r="I894" t="str">
        <f t="shared" si="170"/>
        <v>2013-07</v>
      </c>
      <c r="K894">
        <v>8244.91</v>
      </c>
      <c r="L894">
        <f t="shared" si="177"/>
        <v>-6.536575439003202E-3</v>
      </c>
      <c r="M894" t="str">
        <f t="shared" si="171"/>
        <v>2013-07</v>
      </c>
      <c r="O894">
        <v>7591.8091100000001</v>
      </c>
      <c r="P894">
        <f t="shared" si="178"/>
        <v>-5.7682845590107459E-3</v>
      </c>
      <c r="Q894" t="str">
        <f t="shared" si="172"/>
        <v>2013-07</v>
      </c>
      <c r="S894">
        <v>8353.6</v>
      </c>
      <c r="T894">
        <f t="shared" si="179"/>
        <v>8.5960242455004852E-3</v>
      </c>
      <c r="U894" t="str">
        <f t="shared" si="173"/>
        <v>2013-07</v>
      </c>
      <c r="W894">
        <v>16421.509999999998</v>
      </c>
      <c r="X894">
        <f t="shared" si="180"/>
        <v>-6.3676665932730172E-4</v>
      </c>
      <c r="Y894">
        <f t="shared" si="181"/>
        <v>-6.3656396646310598E-4</v>
      </c>
      <c r="Z894" t="str">
        <f t="shared" si="174"/>
        <v>2013-07</v>
      </c>
    </row>
    <row r="895" spans="1:26" x14ac:dyDescent="0.35">
      <c r="A895" s="1">
        <v>41484</v>
      </c>
      <c r="C895">
        <v>2741.73</v>
      </c>
      <c r="D895">
        <f t="shared" si="175"/>
        <v>-8.3885121199329395E-5</v>
      </c>
      <c r="E895" t="str">
        <f t="shared" si="169"/>
        <v>2013-07</v>
      </c>
      <c r="G895">
        <v>3968.91</v>
      </c>
      <c r="H895">
        <f t="shared" si="176"/>
        <v>1.763723977232779E-5</v>
      </c>
      <c r="I895" t="str">
        <f t="shared" si="170"/>
        <v>2013-07</v>
      </c>
      <c r="K895">
        <v>8259.0300000000007</v>
      </c>
      <c r="L895">
        <f t="shared" si="177"/>
        <v>1.7111069775032879E-3</v>
      </c>
      <c r="M895" t="str">
        <f t="shared" si="171"/>
        <v>2013-07</v>
      </c>
      <c r="O895">
        <v>7591.1323000000002</v>
      </c>
      <c r="P895">
        <f t="shared" si="178"/>
        <v>-8.9154002794588515E-5</v>
      </c>
      <c r="Q895" t="str">
        <f t="shared" si="172"/>
        <v>2013-07</v>
      </c>
      <c r="S895">
        <v>8376.1</v>
      </c>
      <c r="T895">
        <f t="shared" si="179"/>
        <v>2.6898286957873735E-3</v>
      </c>
      <c r="U895" t="str">
        <f t="shared" si="173"/>
        <v>2013-07</v>
      </c>
      <c r="W895">
        <v>16275.71</v>
      </c>
      <c r="X895">
        <f t="shared" si="180"/>
        <v>-8.9182484841747612E-3</v>
      </c>
      <c r="Y895">
        <f t="shared" si="181"/>
        <v>-8.8785988621021619E-3</v>
      </c>
      <c r="Z895" t="str">
        <f t="shared" si="174"/>
        <v>2013-07</v>
      </c>
    </row>
    <row r="896" spans="1:26" x14ac:dyDescent="0.35">
      <c r="A896" s="1">
        <v>41485</v>
      </c>
      <c r="C896">
        <v>2759.21</v>
      </c>
      <c r="D896">
        <f t="shared" si="175"/>
        <v>6.3552988523670638E-3</v>
      </c>
      <c r="E896" t="str">
        <f t="shared" si="169"/>
        <v>2013-07</v>
      </c>
      <c r="G896">
        <v>3986.61</v>
      </c>
      <c r="H896">
        <f t="shared" si="176"/>
        <v>4.449747899664346E-3</v>
      </c>
      <c r="I896" t="str">
        <f t="shared" si="170"/>
        <v>2013-07</v>
      </c>
      <c r="K896">
        <v>8271.02</v>
      </c>
      <c r="L896">
        <f t="shared" si="177"/>
        <v>1.4506915711388927E-3</v>
      </c>
      <c r="M896" t="str">
        <f t="shared" si="171"/>
        <v>2013-07</v>
      </c>
      <c r="O896">
        <v>7552.5767500000002</v>
      </c>
      <c r="P896">
        <f t="shared" si="178"/>
        <v>-5.0919669915431122E-3</v>
      </c>
      <c r="Q896" t="str">
        <f t="shared" si="172"/>
        <v>2013-07</v>
      </c>
      <c r="S896">
        <v>8456.5</v>
      </c>
      <c r="T896">
        <f t="shared" si="179"/>
        <v>9.5529640620213296E-3</v>
      </c>
      <c r="U896" t="str">
        <f t="shared" si="173"/>
        <v>2013-07</v>
      </c>
      <c r="W896">
        <v>16542.900000000001</v>
      </c>
      <c r="X896">
        <f t="shared" si="180"/>
        <v>1.6283194418706813E-2</v>
      </c>
      <c r="Y896">
        <f t="shared" si="181"/>
        <v>1.6416488128628635E-2</v>
      </c>
      <c r="Z896" t="str">
        <f t="shared" si="174"/>
        <v>2013-07</v>
      </c>
    </row>
    <row r="897" spans="1:26" x14ac:dyDescent="0.35">
      <c r="A897" s="1">
        <v>41486</v>
      </c>
      <c r="C897">
        <v>2768.15</v>
      </c>
      <c r="D897">
        <f t="shared" si="175"/>
        <v>3.23482016576621E-3</v>
      </c>
      <c r="E897" t="str">
        <f t="shared" si="169"/>
        <v>2013-07</v>
      </c>
      <c r="G897">
        <v>3992.69</v>
      </c>
      <c r="H897">
        <f t="shared" si="176"/>
        <v>1.523943497972087E-3</v>
      </c>
      <c r="I897" t="str">
        <f t="shared" si="170"/>
        <v>2013-07</v>
      </c>
      <c r="K897">
        <v>8275.9699999999993</v>
      </c>
      <c r="L897">
        <f t="shared" si="177"/>
        <v>5.9829614300317994E-4</v>
      </c>
      <c r="M897" t="str">
        <f t="shared" si="171"/>
        <v>2013-07</v>
      </c>
      <c r="O897">
        <v>7569.1343500000003</v>
      </c>
      <c r="P897">
        <f t="shared" si="178"/>
        <v>2.1899117775269106E-3</v>
      </c>
      <c r="Q897" t="str">
        <f t="shared" si="172"/>
        <v>2013-07</v>
      </c>
      <c r="S897">
        <v>8433.4</v>
      </c>
      <c r="T897">
        <f t="shared" si="179"/>
        <v>-2.7353642595003618E-3</v>
      </c>
      <c r="U897" t="str">
        <f t="shared" si="173"/>
        <v>2013-07</v>
      </c>
      <c r="W897">
        <v>16482.349999999999</v>
      </c>
      <c r="X897">
        <f t="shared" si="180"/>
        <v>-3.6668953510950019E-3</v>
      </c>
      <c r="Y897">
        <f t="shared" si="181"/>
        <v>-3.6601805003961159E-3</v>
      </c>
      <c r="Z897" t="str">
        <f t="shared" si="174"/>
        <v>2013-07</v>
      </c>
    </row>
    <row r="898" spans="1:26" x14ac:dyDescent="0.35">
      <c r="A898" s="1">
        <v>41487</v>
      </c>
      <c r="C898">
        <v>2808.64</v>
      </c>
      <c r="D898">
        <f t="shared" si="175"/>
        <v>1.4521153383013144E-2</v>
      </c>
      <c r="E898" t="str">
        <f t="shared" si="169"/>
        <v>2013-08</v>
      </c>
      <c r="G898">
        <v>4042.73</v>
      </c>
      <c r="H898">
        <f t="shared" si="176"/>
        <v>1.2455017131600125E-2</v>
      </c>
      <c r="I898" t="str">
        <f t="shared" si="170"/>
        <v>2013-08</v>
      </c>
      <c r="K898">
        <v>8410.73</v>
      </c>
      <c r="L898">
        <f t="shared" si="177"/>
        <v>1.6152136707561455E-2</v>
      </c>
      <c r="M898" t="str">
        <f t="shared" si="171"/>
        <v>2013-08</v>
      </c>
      <c r="O898">
        <v>7648.3235599999998</v>
      </c>
      <c r="P898">
        <f t="shared" si="178"/>
        <v>1.0407773137031664E-2</v>
      </c>
      <c r="Q898" t="str">
        <f t="shared" si="172"/>
        <v>2013-08</v>
      </c>
      <c r="S898">
        <v>8540.2000000000007</v>
      </c>
      <c r="T898">
        <f t="shared" si="179"/>
        <v>1.2584414557541003E-2</v>
      </c>
      <c r="U898" t="str">
        <f t="shared" si="173"/>
        <v>2013-08</v>
      </c>
      <c r="W898">
        <v>16818.97</v>
      </c>
      <c r="X898">
        <f t="shared" si="180"/>
        <v>2.0217304643989853E-2</v>
      </c>
      <c r="Y898">
        <f t="shared" si="181"/>
        <v>2.0423058605114116E-2</v>
      </c>
      <c r="Z898" t="str">
        <f t="shared" si="174"/>
        <v>2013-08</v>
      </c>
    </row>
    <row r="899" spans="1:26" x14ac:dyDescent="0.35">
      <c r="A899" s="1">
        <v>41488</v>
      </c>
      <c r="C899">
        <v>2811</v>
      </c>
      <c r="D899">
        <f t="shared" si="175"/>
        <v>8.3991150277918237E-4</v>
      </c>
      <c r="E899" t="str">
        <f t="shared" si="169"/>
        <v>2013-08</v>
      </c>
      <c r="G899">
        <v>4045.65</v>
      </c>
      <c r="H899">
        <f t="shared" si="176"/>
        <v>7.2202347734753674E-4</v>
      </c>
      <c r="I899" t="str">
        <f t="shared" si="170"/>
        <v>2013-08</v>
      </c>
      <c r="K899">
        <v>8406.94</v>
      </c>
      <c r="L899">
        <f t="shared" si="177"/>
        <v>-4.5071642672962168E-4</v>
      </c>
      <c r="M899" t="str">
        <f t="shared" si="171"/>
        <v>2013-08</v>
      </c>
      <c r="O899">
        <v>7651.2842899999996</v>
      </c>
      <c r="P899">
        <f t="shared" si="178"/>
        <v>3.8703345418853271E-4</v>
      </c>
      <c r="Q899" t="str">
        <f t="shared" si="172"/>
        <v>2013-08</v>
      </c>
      <c r="S899">
        <v>8574</v>
      </c>
      <c r="T899">
        <f t="shared" si="179"/>
        <v>3.9499414457849309E-3</v>
      </c>
      <c r="U899" t="str">
        <f t="shared" si="173"/>
        <v>2013-08</v>
      </c>
      <c r="W899">
        <v>16779.189999999999</v>
      </c>
      <c r="X899">
        <f t="shared" si="180"/>
        <v>-2.367987924840075E-3</v>
      </c>
      <c r="Y899">
        <f t="shared" si="181"/>
        <v>-2.3651864531539371E-3</v>
      </c>
      <c r="Z899" t="str">
        <f t="shared" si="174"/>
        <v>2013-08</v>
      </c>
    </row>
    <row r="900" spans="1:26" x14ac:dyDescent="0.35">
      <c r="A900" s="1">
        <v>41491</v>
      </c>
      <c r="C900">
        <v>2809.08</v>
      </c>
      <c r="D900">
        <f t="shared" si="175"/>
        <v>-6.8326432175199858E-4</v>
      </c>
      <c r="E900" t="str">
        <f t="shared" ref="E900:E963" si="182">_xlfn.CONCAT(YEAR(A900),"-",TEXT(MONTH(A900),"00"))</f>
        <v>2013-08</v>
      </c>
      <c r="G900">
        <v>4049.97</v>
      </c>
      <c r="H900">
        <f t="shared" si="176"/>
        <v>1.0672438701527466E-3</v>
      </c>
      <c r="I900" t="str">
        <f t="shared" ref="I900:I963" si="183">_xlfn.CONCAT(YEAR(A900),"-",TEXT(MONTH(A900),"00"))</f>
        <v>2013-08</v>
      </c>
      <c r="K900">
        <v>8398.3799999999992</v>
      </c>
      <c r="L900">
        <f t="shared" si="177"/>
        <v>-1.0187251108933245E-3</v>
      </c>
      <c r="M900" t="str">
        <f t="shared" ref="M900:M963" si="184">_xlfn.CONCAT(YEAR(A900),"-",TEXT(MONTH(A900),"00"))</f>
        <v>2013-08</v>
      </c>
      <c r="O900">
        <v>7655.79234</v>
      </c>
      <c r="P900">
        <f t="shared" si="178"/>
        <v>5.8901516459376117E-4</v>
      </c>
      <c r="Q900" t="str">
        <f t="shared" ref="Q900:Q963" si="185">_xlfn.CONCAT(YEAR(A900),"-",TEXT(MONTH(A900),"00"))</f>
        <v>2013-08</v>
      </c>
      <c r="S900">
        <v>8560.7999999999993</v>
      </c>
      <c r="T900">
        <f t="shared" si="179"/>
        <v>-1.5407244451310774E-3</v>
      </c>
      <c r="U900" t="str">
        <f t="shared" ref="U900:U963" si="186">_xlfn.CONCAT(YEAR(A900),"-",TEXT(MONTH(A900),"00"))</f>
        <v>2013-08</v>
      </c>
      <c r="W900">
        <v>16757.240000000002</v>
      </c>
      <c r="X900">
        <f t="shared" si="180"/>
        <v>-1.3090244330930254E-3</v>
      </c>
      <c r="Y900">
        <f t="shared" si="181"/>
        <v>-1.3081680343328308E-3</v>
      </c>
      <c r="Z900" t="str">
        <f t="shared" ref="Z900:Z963" si="187">_xlfn.CONCAT(YEAR(A900),"-",TEXT(MONTH(A900),"00"))</f>
        <v>2013-08</v>
      </c>
    </row>
    <row r="901" spans="1:26" x14ac:dyDescent="0.35">
      <c r="A901" s="1">
        <v>41492</v>
      </c>
      <c r="C901">
        <v>2790.78</v>
      </c>
      <c r="D901">
        <f t="shared" ref="D901:D964" si="188">LN(C901/C900)</f>
        <v>-6.5359009492755955E-3</v>
      </c>
      <c r="E901" t="str">
        <f t="shared" si="182"/>
        <v>2013-08</v>
      </c>
      <c r="G901">
        <v>4032.57</v>
      </c>
      <c r="H901">
        <f t="shared" ref="H901:H964" si="189">LN(G901/G900)</f>
        <v>-4.3055838585808852E-3</v>
      </c>
      <c r="I901" t="str">
        <f t="shared" si="183"/>
        <v>2013-08</v>
      </c>
      <c r="K901">
        <v>8299.73</v>
      </c>
      <c r="L901">
        <f t="shared" ref="L901:L964" si="190">LN(K901/K900)</f>
        <v>-1.1815845954126099E-2</v>
      </c>
      <c r="M901" t="str">
        <f t="shared" si="184"/>
        <v>2013-08</v>
      </c>
      <c r="O901">
        <v>7631.1673899999996</v>
      </c>
      <c r="P901">
        <f t="shared" ref="P901:P964" si="191">LN(O901/O900)</f>
        <v>-3.2216963652848844E-3</v>
      </c>
      <c r="Q901" t="str">
        <f t="shared" si="185"/>
        <v>2013-08</v>
      </c>
      <c r="S901">
        <v>8529.5</v>
      </c>
      <c r="T901">
        <f t="shared" ref="T901:T964" si="192">LN(S901/S900)</f>
        <v>-3.66290059221718E-3</v>
      </c>
      <c r="U901" t="str">
        <f t="shared" si="186"/>
        <v>2013-08</v>
      </c>
      <c r="W901">
        <v>16683.169999999998</v>
      </c>
      <c r="X901">
        <f t="shared" ref="X901:X964" si="193">LN(W901/W900)</f>
        <v>-4.4299768533575135E-3</v>
      </c>
      <c r="Y901">
        <f t="shared" ref="Y901:Y964" si="194">(W901-W900)/W900</f>
        <v>-4.4201789793547946E-3</v>
      </c>
      <c r="Z901" t="str">
        <f t="shared" si="187"/>
        <v>2013-08</v>
      </c>
    </row>
    <row r="902" spans="1:26" x14ac:dyDescent="0.35">
      <c r="A902" s="1">
        <v>41493</v>
      </c>
      <c r="C902">
        <v>2794.44</v>
      </c>
      <c r="D902">
        <f t="shared" si="188"/>
        <v>1.3106020976403566E-3</v>
      </c>
      <c r="E902" t="str">
        <f t="shared" si="182"/>
        <v>2013-08</v>
      </c>
      <c r="G902">
        <v>4038.49</v>
      </c>
      <c r="H902">
        <f t="shared" si="189"/>
        <v>1.4669699052300604E-3</v>
      </c>
      <c r="I902" t="str">
        <f t="shared" si="183"/>
        <v>2013-08</v>
      </c>
      <c r="K902">
        <v>8260.48</v>
      </c>
      <c r="L902">
        <f t="shared" si="190"/>
        <v>-4.7402869283233243E-3</v>
      </c>
      <c r="M902" t="str">
        <f t="shared" si="184"/>
        <v>2013-08</v>
      </c>
      <c r="O902">
        <v>7573.7761600000003</v>
      </c>
      <c r="P902">
        <f t="shared" si="191"/>
        <v>-7.5490582866433236E-3</v>
      </c>
      <c r="Q902" t="str">
        <f t="shared" si="185"/>
        <v>2013-08</v>
      </c>
      <c r="S902">
        <v>8574.1</v>
      </c>
      <c r="T902">
        <f t="shared" si="192"/>
        <v>5.2152881370504302E-3</v>
      </c>
      <c r="U902" t="str">
        <f t="shared" si="186"/>
        <v>2013-08</v>
      </c>
      <c r="W902">
        <v>16838.189999999999</v>
      </c>
      <c r="X902">
        <f t="shared" si="193"/>
        <v>9.2490940168783696E-3</v>
      </c>
      <c r="Y902">
        <f t="shared" si="194"/>
        <v>9.2919990625283111E-3</v>
      </c>
      <c r="Z902" t="str">
        <f t="shared" si="187"/>
        <v>2013-08</v>
      </c>
    </row>
    <row r="903" spans="1:26" x14ac:dyDescent="0.35">
      <c r="A903" s="1">
        <v>41494</v>
      </c>
      <c r="C903">
        <v>2816.88</v>
      </c>
      <c r="D903">
        <f t="shared" si="188"/>
        <v>7.9981607268334292E-3</v>
      </c>
      <c r="E903" t="str">
        <f t="shared" si="182"/>
        <v>2013-08</v>
      </c>
      <c r="G903">
        <v>4064.32</v>
      </c>
      <c r="H903">
        <f t="shared" si="189"/>
        <v>6.3755876035632058E-3</v>
      </c>
      <c r="I903" t="str">
        <f t="shared" si="183"/>
        <v>2013-08</v>
      </c>
      <c r="K903">
        <v>8318.32</v>
      </c>
      <c r="L903">
        <f t="shared" si="190"/>
        <v>6.9776141423538848E-3</v>
      </c>
      <c r="M903" t="str">
        <f t="shared" si="184"/>
        <v>2013-08</v>
      </c>
      <c r="O903">
        <v>7585.8585400000002</v>
      </c>
      <c r="P903">
        <f t="shared" si="191"/>
        <v>1.5940202778559583E-3</v>
      </c>
      <c r="Q903" t="str">
        <f t="shared" si="185"/>
        <v>2013-08</v>
      </c>
      <c r="S903">
        <v>8671.7999999999993</v>
      </c>
      <c r="T903">
        <f t="shared" si="192"/>
        <v>1.1330350425226662E-2</v>
      </c>
      <c r="U903" t="str">
        <f t="shared" si="186"/>
        <v>2013-08</v>
      </c>
      <c r="W903">
        <v>17146.5</v>
      </c>
      <c r="X903">
        <f t="shared" si="193"/>
        <v>1.8144550299522336E-2</v>
      </c>
      <c r="Y903">
        <f t="shared" si="194"/>
        <v>1.831016279065632E-2</v>
      </c>
      <c r="Z903" t="str">
        <f t="shared" si="187"/>
        <v>2013-08</v>
      </c>
    </row>
    <row r="904" spans="1:26" x14ac:dyDescent="0.35">
      <c r="A904" s="1">
        <v>41495</v>
      </c>
      <c r="C904">
        <v>2825.62</v>
      </c>
      <c r="D904">
        <f t="shared" si="188"/>
        <v>3.0979200673079987E-3</v>
      </c>
      <c r="E904" t="str">
        <f t="shared" si="182"/>
        <v>2013-08</v>
      </c>
      <c r="G904">
        <v>4076.55</v>
      </c>
      <c r="H904">
        <f t="shared" si="189"/>
        <v>3.0045951355614857E-3</v>
      </c>
      <c r="I904" t="str">
        <f t="shared" si="183"/>
        <v>2013-08</v>
      </c>
      <c r="K904">
        <v>8338.31</v>
      </c>
      <c r="L904">
        <f t="shared" si="190"/>
        <v>2.4002465801511363E-3</v>
      </c>
      <c r="M904" t="str">
        <f t="shared" si="184"/>
        <v>2013-08</v>
      </c>
      <c r="O904">
        <v>7656.52747</v>
      </c>
      <c r="P904">
        <f t="shared" si="191"/>
        <v>9.2727524836320602E-3</v>
      </c>
      <c r="Q904" t="str">
        <f t="shared" si="185"/>
        <v>2013-08</v>
      </c>
      <c r="S904">
        <v>8735.5</v>
      </c>
      <c r="T904">
        <f t="shared" si="192"/>
        <v>7.3188012316480035E-3</v>
      </c>
      <c r="U904" t="str">
        <f t="shared" si="186"/>
        <v>2013-08</v>
      </c>
      <c r="W904">
        <v>17186.560000000001</v>
      </c>
      <c r="X904">
        <f t="shared" si="193"/>
        <v>2.3336118702912759E-3</v>
      </c>
      <c r="Y904">
        <f t="shared" si="194"/>
        <v>2.3363368617502879E-3</v>
      </c>
      <c r="Z904" t="str">
        <f t="shared" si="187"/>
        <v>2013-08</v>
      </c>
    </row>
    <row r="905" spans="1:26" x14ac:dyDescent="0.35">
      <c r="A905" s="1">
        <v>41498</v>
      </c>
      <c r="C905">
        <v>2827.15</v>
      </c>
      <c r="D905">
        <f t="shared" si="188"/>
        <v>5.4132753937003635E-4</v>
      </c>
      <c r="E905" t="str">
        <f t="shared" si="182"/>
        <v>2013-08</v>
      </c>
      <c r="G905">
        <v>4071.68</v>
      </c>
      <c r="H905">
        <f t="shared" si="189"/>
        <v>-1.1953517708463543E-3</v>
      </c>
      <c r="I905" t="str">
        <f t="shared" si="183"/>
        <v>2013-08</v>
      </c>
      <c r="K905">
        <v>8359.25</v>
      </c>
      <c r="L905">
        <f t="shared" si="190"/>
        <v>2.5081522063694246E-3</v>
      </c>
      <c r="M905" t="str">
        <f t="shared" si="184"/>
        <v>2013-08</v>
      </c>
      <c r="O905">
        <v>7646.8446700000004</v>
      </c>
      <c r="P905">
        <f t="shared" si="191"/>
        <v>-1.2654467529838388E-3</v>
      </c>
      <c r="Q905" t="str">
        <f t="shared" si="185"/>
        <v>2013-08</v>
      </c>
      <c r="S905">
        <v>8717.7000000000007</v>
      </c>
      <c r="T905">
        <f t="shared" si="192"/>
        <v>-2.0397412705376121E-3</v>
      </c>
      <c r="U905" t="str">
        <f t="shared" si="186"/>
        <v>2013-08</v>
      </c>
      <c r="W905">
        <v>17262.86</v>
      </c>
      <c r="X905">
        <f t="shared" si="193"/>
        <v>4.4296899491573149E-3</v>
      </c>
      <c r="Y905">
        <f t="shared" si="194"/>
        <v>4.4395155284128567E-3</v>
      </c>
      <c r="Z905" t="str">
        <f t="shared" si="187"/>
        <v>2013-08</v>
      </c>
    </row>
    <row r="906" spans="1:26" x14ac:dyDescent="0.35">
      <c r="A906" s="1">
        <v>41499</v>
      </c>
      <c r="C906">
        <v>2841.61</v>
      </c>
      <c r="D906">
        <f t="shared" si="188"/>
        <v>5.1016558691467009E-3</v>
      </c>
      <c r="E906" t="str">
        <f t="shared" si="182"/>
        <v>2013-08</v>
      </c>
      <c r="G906">
        <v>4092.5</v>
      </c>
      <c r="H906">
        <f t="shared" si="189"/>
        <v>5.100339564620175E-3</v>
      </c>
      <c r="I906" t="str">
        <f t="shared" si="183"/>
        <v>2013-08</v>
      </c>
      <c r="K906">
        <v>8415.76</v>
      </c>
      <c r="L906">
        <f t="shared" si="190"/>
        <v>6.7374283249619664E-3</v>
      </c>
      <c r="M906" t="str">
        <f t="shared" si="184"/>
        <v>2013-08</v>
      </c>
      <c r="O906">
        <v>7714.5120500000003</v>
      </c>
      <c r="P906">
        <f t="shared" si="191"/>
        <v>8.8101355784518977E-3</v>
      </c>
      <c r="Q906" t="str">
        <f t="shared" si="185"/>
        <v>2013-08</v>
      </c>
      <c r="S906">
        <v>8758.5</v>
      </c>
      <c r="T906">
        <f t="shared" si="192"/>
        <v>4.6692157477404121E-3</v>
      </c>
      <c r="U906" t="str">
        <f t="shared" si="186"/>
        <v>2013-08</v>
      </c>
      <c r="W906">
        <v>17380.07</v>
      </c>
      <c r="X906">
        <f t="shared" si="193"/>
        <v>6.7667744758326976E-3</v>
      </c>
      <c r="Y906">
        <f t="shared" si="194"/>
        <v>6.7897208226214614E-3</v>
      </c>
      <c r="Z906" t="str">
        <f t="shared" si="187"/>
        <v>2013-08</v>
      </c>
    </row>
    <row r="907" spans="1:26" x14ac:dyDescent="0.35">
      <c r="A907" s="1">
        <v>41500</v>
      </c>
      <c r="C907">
        <v>2852.08</v>
      </c>
      <c r="D907">
        <f t="shared" si="188"/>
        <v>3.6777596958594942E-3</v>
      </c>
      <c r="E907" t="str">
        <f t="shared" si="182"/>
        <v>2013-08</v>
      </c>
      <c r="G907">
        <v>4114.2</v>
      </c>
      <c r="H907">
        <f t="shared" si="189"/>
        <v>5.2883742730836705E-3</v>
      </c>
      <c r="I907" t="str">
        <f t="shared" si="183"/>
        <v>2013-08</v>
      </c>
      <c r="K907">
        <v>8438.1200000000008</v>
      </c>
      <c r="L907">
        <f t="shared" si="190"/>
        <v>2.6533965020306876E-3</v>
      </c>
      <c r="M907" t="str">
        <f t="shared" si="184"/>
        <v>2013-08</v>
      </c>
      <c r="O907">
        <v>7709.5193900000004</v>
      </c>
      <c r="P907">
        <f t="shared" si="191"/>
        <v>-6.4738718846557802E-4</v>
      </c>
      <c r="Q907" t="str">
        <f t="shared" si="185"/>
        <v>2013-08</v>
      </c>
      <c r="S907">
        <v>8789.2999999999993</v>
      </c>
      <c r="T907">
        <f t="shared" si="192"/>
        <v>3.5104151664668293E-3</v>
      </c>
      <c r="U907" t="str">
        <f t="shared" si="186"/>
        <v>2013-08</v>
      </c>
      <c r="W907">
        <v>17463.46</v>
      </c>
      <c r="X907">
        <f t="shared" si="193"/>
        <v>4.7865505712398433E-3</v>
      </c>
      <c r="Y907">
        <f t="shared" si="194"/>
        <v>4.7980244038142205E-3</v>
      </c>
      <c r="Z907" t="str">
        <f t="shared" si="187"/>
        <v>2013-08</v>
      </c>
    </row>
    <row r="908" spans="1:26" x14ac:dyDescent="0.35">
      <c r="A908" s="1">
        <v>41502</v>
      </c>
      <c r="C908">
        <v>2854.27</v>
      </c>
      <c r="D908">
        <f t="shared" si="188"/>
        <v>7.6756599490791007E-4</v>
      </c>
      <c r="E908" t="str">
        <f t="shared" si="182"/>
        <v>2013-08</v>
      </c>
      <c r="G908">
        <v>4123.8900000000003</v>
      </c>
      <c r="H908">
        <f t="shared" si="189"/>
        <v>2.3524881298619166E-3</v>
      </c>
      <c r="I908" t="str">
        <f t="shared" si="183"/>
        <v>2013-08</v>
      </c>
      <c r="K908">
        <v>8391.94</v>
      </c>
      <c r="L908">
        <f t="shared" si="190"/>
        <v>-5.4878135784097622E-3</v>
      </c>
      <c r="M908" t="str">
        <f t="shared" si="184"/>
        <v>2013-08</v>
      </c>
      <c r="O908">
        <v>7624.3970099999997</v>
      </c>
      <c r="P908">
        <f t="shared" si="191"/>
        <v>-1.110261099420885E-2</v>
      </c>
      <c r="Q908" t="str">
        <f t="shared" si="185"/>
        <v>2013-08</v>
      </c>
      <c r="S908">
        <v>8821.2999999999993</v>
      </c>
      <c r="T908">
        <f t="shared" si="192"/>
        <v>3.634178871741011E-3</v>
      </c>
      <c r="U908" t="str">
        <f t="shared" si="186"/>
        <v>2013-08</v>
      </c>
      <c r="W908">
        <v>17677.77</v>
      </c>
      <c r="X908">
        <f t="shared" si="193"/>
        <v>1.2197220014239797E-2</v>
      </c>
      <c r="Y908">
        <f t="shared" si="194"/>
        <v>1.2271909461240861E-2</v>
      </c>
      <c r="Z908" t="str">
        <f t="shared" si="187"/>
        <v>2013-08</v>
      </c>
    </row>
    <row r="909" spans="1:26" x14ac:dyDescent="0.35">
      <c r="A909" s="1">
        <v>41505</v>
      </c>
      <c r="C909">
        <v>2823.35</v>
      </c>
      <c r="D909">
        <f t="shared" si="188"/>
        <v>-1.0891995478282393E-2</v>
      </c>
      <c r="E909" t="str">
        <f t="shared" si="182"/>
        <v>2013-08</v>
      </c>
      <c r="G909">
        <v>4083.98</v>
      </c>
      <c r="H909">
        <f t="shared" si="189"/>
        <v>-9.7248895353179154E-3</v>
      </c>
      <c r="I909" t="str">
        <f t="shared" si="183"/>
        <v>2013-08</v>
      </c>
      <c r="K909">
        <v>8366.2900000000009</v>
      </c>
      <c r="L909">
        <f t="shared" si="190"/>
        <v>-3.061184866205372E-3</v>
      </c>
      <c r="M909" t="str">
        <f t="shared" si="184"/>
        <v>2013-08</v>
      </c>
      <c r="O909">
        <v>7586.7279399999998</v>
      </c>
      <c r="P909">
        <f t="shared" si="191"/>
        <v>-4.9528417033794193E-3</v>
      </c>
      <c r="Q909" t="str">
        <f t="shared" si="185"/>
        <v>2013-08</v>
      </c>
      <c r="S909">
        <v>8657.1</v>
      </c>
      <c r="T909">
        <f t="shared" si="192"/>
        <v>-1.8789457935120643E-2</v>
      </c>
      <c r="U909" t="str">
        <f t="shared" si="186"/>
        <v>2013-08</v>
      </c>
      <c r="W909">
        <v>17243.25</v>
      </c>
      <c r="X909">
        <f t="shared" si="193"/>
        <v>-2.4887155482548062E-2</v>
      </c>
      <c r="Y909">
        <f t="shared" si="194"/>
        <v>-2.4580023385302581E-2</v>
      </c>
      <c r="Z909" t="str">
        <f t="shared" si="187"/>
        <v>2013-08</v>
      </c>
    </row>
    <row r="910" spans="1:26" x14ac:dyDescent="0.35">
      <c r="A910" s="1">
        <v>41506</v>
      </c>
      <c r="C910">
        <v>2787.98</v>
      </c>
      <c r="D910">
        <f t="shared" si="188"/>
        <v>-1.260680389475162E-2</v>
      </c>
      <c r="E910" t="str">
        <f t="shared" si="182"/>
        <v>2013-08</v>
      </c>
      <c r="G910">
        <v>4028.93</v>
      </c>
      <c r="H910">
        <f t="shared" si="189"/>
        <v>-1.3571171110723661E-2</v>
      </c>
      <c r="I910" t="str">
        <f t="shared" si="183"/>
        <v>2013-08</v>
      </c>
      <c r="K910">
        <v>8300.0300000000007</v>
      </c>
      <c r="L910">
        <f t="shared" si="190"/>
        <v>-7.951407282031352E-3</v>
      </c>
      <c r="M910" t="str">
        <f t="shared" si="184"/>
        <v>2013-08</v>
      </c>
      <c r="O910">
        <v>7538.3337499999998</v>
      </c>
      <c r="P910">
        <f t="shared" si="191"/>
        <v>-6.3992274725741252E-3</v>
      </c>
      <c r="Q910" t="str">
        <f t="shared" si="185"/>
        <v>2013-08</v>
      </c>
      <c r="S910">
        <v>8502.4</v>
      </c>
      <c r="T910">
        <f t="shared" si="192"/>
        <v>-1.803131692929499E-2</v>
      </c>
      <c r="U910" t="str">
        <f t="shared" si="186"/>
        <v>2013-08</v>
      </c>
      <c r="W910">
        <v>16999.55</v>
      </c>
      <c r="X910">
        <f t="shared" si="193"/>
        <v>-1.4233889432389955E-2</v>
      </c>
      <c r="Y910">
        <f t="shared" si="194"/>
        <v>-1.4133066562278035E-2</v>
      </c>
      <c r="Z910" t="str">
        <f t="shared" si="187"/>
        <v>2013-08</v>
      </c>
    </row>
    <row r="911" spans="1:26" x14ac:dyDescent="0.35">
      <c r="A911" s="1">
        <v>41507</v>
      </c>
      <c r="C911">
        <v>2774.58</v>
      </c>
      <c r="D911">
        <f t="shared" si="188"/>
        <v>-4.8179348791244532E-3</v>
      </c>
      <c r="E911" t="str">
        <f t="shared" si="182"/>
        <v>2013-08</v>
      </c>
      <c r="G911">
        <v>4015.09</v>
      </c>
      <c r="H911">
        <f t="shared" si="189"/>
        <v>-3.4410689323411884E-3</v>
      </c>
      <c r="I911" t="str">
        <f t="shared" si="183"/>
        <v>2013-08</v>
      </c>
      <c r="K911">
        <v>8285.41</v>
      </c>
      <c r="L911">
        <f t="shared" si="190"/>
        <v>-1.7629925750241582E-3</v>
      </c>
      <c r="M911" t="str">
        <f t="shared" si="184"/>
        <v>2013-08</v>
      </c>
      <c r="O911">
        <v>7498.0312899999999</v>
      </c>
      <c r="P911">
        <f t="shared" si="191"/>
        <v>-5.3606781169011682E-3</v>
      </c>
      <c r="Q911" t="str">
        <f t="shared" si="185"/>
        <v>2013-08</v>
      </c>
      <c r="S911">
        <v>8461.7999999999993</v>
      </c>
      <c r="T911">
        <f t="shared" si="192"/>
        <v>-4.7865596392448933E-3</v>
      </c>
      <c r="U911" t="str">
        <f t="shared" si="186"/>
        <v>2013-08</v>
      </c>
      <c r="W911">
        <v>16877.93</v>
      </c>
      <c r="X911">
        <f t="shared" si="193"/>
        <v>-7.180021801284903E-3</v>
      </c>
      <c r="Y911">
        <f t="shared" si="194"/>
        <v>-7.1543070257741523E-3</v>
      </c>
      <c r="Z911" t="str">
        <f t="shared" si="187"/>
        <v>2013-08</v>
      </c>
    </row>
    <row r="912" spans="1:26" x14ac:dyDescent="0.35">
      <c r="A912" s="1">
        <v>41508</v>
      </c>
      <c r="C912">
        <v>2812.32</v>
      </c>
      <c r="D912">
        <f t="shared" si="188"/>
        <v>1.3510381090176247E-2</v>
      </c>
      <c r="E912" t="str">
        <f t="shared" si="182"/>
        <v>2013-08</v>
      </c>
      <c r="G912">
        <v>4059.12</v>
      </c>
      <c r="H912">
        <f t="shared" si="189"/>
        <v>1.0906438264043526E-2</v>
      </c>
      <c r="I912" t="str">
        <f t="shared" si="183"/>
        <v>2013-08</v>
      </c>
      <c r="K912">
        <v>8397.89</v>
      </c>
      <c r="L912">
        <f t="shared" si="190"/>
        <v>1.3484347140638233E-2</v>
      </c>
      <c r="M912" t="str">
        <f t="shared" si="184"/>
        <v>2013-08</v>
      </c>
      <c r="O912">
        <v>7523.6005699999996</v>
      </c>
      <c r="P912">
        <f t="shared" si="191"/>
        <v>3.4043311582699475E-3</v>
      </c>
      <c r="Q912" t="str">
        <f t="shared" si="185"/>
        <v>2013-08</v>
      </c>
      <c r="S912">
        <v>8629.7000000000007</v>
      </c>
      <c r="T912">
        <f t="shared" si="192"/>
        <v>1.9647825090449236E-2</v>
      </c>
      <c r="U912" t="str">
        <f t="shared" si="186"/>
        <v>2013-08</v>
      </c>
      <c r="W912">
        <v>17309.84</v>
      </c>
      <c r="X912">
        <f t="shared" si="193"/>
        <v>2.526827461703925E-2</v>
      </c>
      <c r="Y912">
        <f t="shared" si="194"/>
        <v>2.5590223445647649E-2</v>
      </c>
      <c r="Z912" t="str">
        <f t="shared" si="187"/>
        <v>2013-08</v>
      </c>
    </row>
    <row r="913" spans="1:26" x14ac:dyDescent="0.35">
      <c r="A913" s="1">
        <v>41509</v>
      </c>
      <c r="C913">
        <v>2826.05</v>
      </c>
      <c r="D913">
        <f t="shared" si="188"/>
        <v>4.8702114754555666E-3</v>
      </c>
      <c r="E913" t="str">
        <f t="shared" si="182"/>
        <v>2013-08</v>
      </c>
      <c r="G913">
        <v>4069.47</v>
      </c>
      <c r="H913">
        <f t="shared" si="189"/>
        <v>2.5465684930158342E-3</v>
      </c>
      <c r="I913" t="str">
        <f t="shared" si="183"/>
        <v>2013-08</v>
      </c>
      <c r="K913">
        <v>8416.99</v>
      </c>
      <c r="L913">
        <f t="shared" si="190"/>
        <v>2.271798337508007E-3</v>
      </c>
      <c r="M913" t="str">
        <f t="shared" si="184"/>
        <v>2013-08</v>
      </c>
      <c r="O913">
        <v>7550.2730199999996</v>
      </c>
      <c r="P913">
        <f t="shared" si="191"/>
        <v>3.538901620409735E-3</v>
      </c>
      <c r="Q913" t="str">
        <f t="shared" si="185"/>
        <v>2013-08</v>
      </c>
      <c r="S913">
        <v>8686.7999999999993</v>
      </c>
      <c r="T913">
        <f t="shared" si="192"/>
        <v>6.5948900703973216E-3</v>
      </c>
      <c r="U913" t="str">
        <f t="shared" si="186"/>
        <v>2013-08</v>
      </c>
      <c r="W913">
        <v>17342.25</v>
      </c>
      <c r="X913">
        <f t="shared" si="193"/>
        <v>1.8705947866667558E-3</v>
      </c>
      <c r="Y913">
        <f t="shared" si="194"/>
        <v>1.87234544051244E-3</v>
      </c>
      <c r="Z913" t="str">
        <f t="shared" si="187"/>
        <v>2013-08</v>
      </c>
    </row>
    <row r="914" spans="1:26" x14ac:dyDescent="0.35">
      <c r="A914" s="1">
        <v>41513</v>
      </c>
      <c r="C914">
        <v>2749.27</v>
      </c>
      <c r="D914">
        <f t="shared" si="188"/>
        <v>-2.7544555064175739E-2</v>
      </c>
      <c r="E914" t="str">
        <f t="shared" si="182"/>
        <v>2013-08</v>
      </c>
      <c r="G914">
        <v>3968.73</v>
      </c>
      <c r="H914">
        <f t="shared" si="189"/>
        <v>-2.5066625568686635E-2</v>
      </c>
      <c r="I914" t="str">
        <f t="shared" si="183"/>
        <v>2013-08</v>
      </c>
      <c r="K914">
        <v>8242.56</v>
      </c>
      <c r="L914">
        <f t="shared" si="190"/>
        <v>-2.0941306874860104E-2</v>
      </c>
      <c r="M914" t="str">
        <f t="shared" si="184"/>
        <v>2013-08</v>
      </c>
      <c r="O914">
        <v>7475.3355099999999</v>
      </c>
      <c r="P914">
        <f t="shared" si="191"/>
        <v>-9.9747216461053816E-3</v>
      </c>
      <c r="Q914" t="str">
        <f t="shared" si="185"/>
        <v>2013-08</v>
      </c>
      <c r="S914">
        <v>8394</v>
      </c>
      <c r="T914">
        <f t="shared" si="192"/>
        <v>-3.4287467193559781E-2</v>
      </c>
      <c r="U914" t="str">
        <f t="shared" si="186"/>
        <v>2013-08</v>
      </c>
      <c r="W914">
        <v>16579.8</v>
      </c>
      <c r="X914">
        <f t="shared" si="193"/>
        <v>-4.496063381183215E-2</v>
      </c>
      <c r="Y914">
        <f t="shared" si="194"/>
        <v>-4.3964883449379447E-2</v>
      </c>
      <c r="Z914" t="str">
        <f t="shared" si="187"/>
        <v>2013-08</v>
      </c>
    </row>
    <row r="915" spans="1:26" x14ac:dyDescent="0.35">
      <c r="A915" s="1">
        <v>41514</v>
      </c>
      <c r="C915">
        <v>2742.61</v>
      </c>
      <c r="D915">
        <f t="shared" si="188"/>
        <v>-2.4254001415994625E-3</v>
      </c>
      <c r="E915" t="str">
        <f t="shared" si="182"/>
        <v>2013-08</v>
      </c>
      <c r="G915">
        <v>3960.46</v>
      </c>
      <c r="H915">
        <f t="shared" si="189"/>
        <v>-2.085964139775646E-3</v>
      </c>
      <c r="I915" t="str">
        <f t="shared" si="183"/>
        <v>2013-08</v>
      </c>
      <c r="K915">
        <v>8157.9</v>
      </c>
      <c r="L915">
        <f t="shared" si="190"/>
        <v>-1.0324192368225304E-2</v>
      </c>
      <c r="M915" t="str">
        <f t="shared" si="184"/>
        <v>2013-08</v>
      </c>
      <c r="O915">
        <v>7485.7414900000003</v>
      </c>
      <c r="P915">
        <f t="shared" si="191"/>
        <v>1.3910738749676437E-3</v>
      </c>
      <c r="Q915" t="str">
        <f t="shared" si="185"/>
        <v>2013-08</v>
      </c>
      <c r="S915">
        <v>8398.1</v>
      </c>
      <c r="T915">
        <f t="shared" si="192"/>
        <v>4.8832487675443961E-4</v>
      </c>
      <c r="U915" t="str">
        <f t="shared" si="186"/>
        <v>2013-08</v>
      </c>
      <c r="W915">
        <v>16743.09</v>
      </c>
      <c r="X915">
        <f t="shared" si="193"/>
        <v>9.8005489324975124E-3</v>
      </c>
      <c r="Y915">
        <f t="shared" si="194"/>
        <v>9.8487315890421409E-3</v>
      </c>
      <c r="Z915" t="str">
        <f t="shared" si="187"/>
        <v>2013-08</v>
      </c>
    </row>
    <row r="916" spans="1:26" x14ac:dyDescent="0.35">
      <c r="A916" s="1">
        <v>41515</v>
      </c>
      <c r="C916">
        <v>2758.31</v>
      </c>
      <c r="D916">
        <f t="shared" si="188"/>
        <v>5.7081515926043951E-3</v>
      </c>
      <c r="E916" t="str">
        <f t="shared" si="182"/>
        <v>2013-08</v>
      </c>
      <c r="G916">
        <v>3986.35</v>
      </c>
      <c r="H916">
        <f t="shared" si="189"/>
        <v>6.5158451250924478E-3</v>
      </c>
      <c r="I916" t="str">
        <f t="shared" si="183"/>
        <v>2013-08</v>
      </c>
      <c r="K916">
        <v>8194.5499999999993</v>
      </c>
      <c r="L916">
        <f t="shared" si="190"/>
        <v>4.4825162427896319E-3</v>
      </c>
      <c r="M916" t="str">
        <f t="shared" si="184"/>
        <v>2013-08</v>
      </c>
      <c r="O916">
        <v>7587.7147100000002</v>
      </c>
      <c r="P916">
        <f t="shared" si="191"/>
        <v>1.3530377418174328E-2</v>
      </c>
      <c r="Q916" t="str">
        <f t="shared" si="185"/>
        <v>2013-08</v>
      </c>
      <c r="S916">
        <v>8432.1</v>
      </c>
      <c r="T916">
        <f t="shared" si="192"/>
        <v>4.0403615230712531E-3</v>
      </c>
      <c r="U916" t="str">
        <f t="shared" si="186"/>
        <v>2013-08</v>
      </c>
      <c r="W916">
        <v>16905.150000000001</v>
      </c>
      <c r="X916">
        <f t="shared" si="193"/>
        <v>9.6326733942317597E-3</v>
      </c>
      <c r="Y916">
        <f t="shared" si="194"/>
        <v>9.6792169187408846E-3</v>
      </c>
      <c r="Z916" t="str">
        <f t="shared" si="187"/>
        <v>2013-08</v>
      </c>
    </row>
    <row r="917" spans="1:26" x14ac:dyDescent="0.35">
      <c r="A917" s="1">
        <v>41516</v>
      </c>
      <c r="C917">
        <v>2721.37</v>
      </c>
      <c r="D917">
        <f t="shared" si="188"/>
        <v>-1.3482743368658937E-2</v>
      </c>
      <c r="E917" t="str">
        <f t="shared" si="182"/>
        <v>2013-08</v>
      </c>
      <c r="G917">
        <v>3933.78</v>
      </c>
      <c r="H917">
        <f t="shared" si="189"/>
        <v>-1.3275229583233491E-2</v>
      </c>
      <c r="I917" t="str">
        <f t="shared" si="183"/>
        <v>2013-08</v>
      </c>
      <c r="K917">
        <v>8103.15</v>
      </c>
      <c r="L917">
        <f t="shared" si="190"/>
        <v>-1.1216424187081239E-2</v>
      </c>
      <c r="M917" t="str">
        <f t="shared" si="184"/>
        <v>2013-08</v>
      </c>
      <c r="O917">
        <v>7516.8825800000004</v>
      </c>
      <c r="P917">
        <f t="shared" si="191"/>
        <v>-9.3789523635520924E-3</v>
      </c>
      <c r="Q917" t="str">
        <f t="shared" si="185"/>
        <v>2013-08</v>
      </c>
      <c r="S917">
        <v>8290.5</v>
      </c>
      <c r="T917">
        <f t="shared" si="192"/>
        <v>-1.6935570351934617E-2</v>
      </c>
      <c r="U917" t="str">
        <f t="shared" si="186"/>
        <v>2013-08</v>
      </c>
      <c r="W917">
        <v>16682.21</v>
      </c>
      <c r="X917">
        <f t="shared" si="193"/>
        <v>-1.327542707610541E-2</v>
      </c>
      <c r="Y917">
        <f t="shared" si="194"/>
        <v>-1.3187697240190257E-2</v>
      </c>
      <c r="Z917" t="str">
        <f t="shared" si="187"/>
        <v>2013-08</v>
      </c>
    </row>
    <row r="918" spans="1:26" x14ac:dyDescent="0.35">
      <c r="A918" s="1">
        <v>41519</v>
      </c>
      <c r="C918">
        <v>2774.09</v>
      </c>
      <c r="D918">
        <f t="shared" si="188"/>
        <v>1.9187335514272215E-2</v>
      </c>
      <c r="E918" t="str">
        <f t="shared" si="182"/>
        <v>2013-09</v>
      </c>
      <c r="G918">
        <v>4006.01</v>
      </c>
      <c r="H918">
        <f t="shared" si="189"/>
        <v>1.8194937817955916E-2</v>
      </c>
      <c r="I918" t="str">
        <f t="shared" si="183"/>
        <v>2013-09</v>
      </c>
      <c r="K918">
        <v>8243.8700000000008</v>
      </c>
      <c r="L918">
        <f t="shared" si="190"/>
        <v>1.7217018890130012E-2</v>
      </c>
      <c r="M918" t="str">
        <f t="shared" si="184"/>
        <v>2013-09</v>
      </c>
      <c r="O918">
        <v>7659.0109300000004</v>
      </c>
      <c r="P918">
        <f t="shared" si="191"/>
        <v>1.8731352525684065E-2</v>
      </c>
      <c r="Q918" t="str">
        <f t="shared" si="185"/>
        <v>2013-09</v>
      </c>
      <c r="S918">
        <v>8429.6</v>
      </c>
      <c r="T918">
        <f t="shared" si="192"/>
        <v>1.6639040343890594E-2</v>
      </c>
      <c r="U918" t="str">
        <f t="shared" si="186"/>
        <v>2013-09</v>
      </c>
      <c r="W918">
        <v>16988.57</v>
      </c>
      <c r="X918">
        <f t="shared" si="193"/>
        <v>1.8197882825594036E-2</v>
      </c>
      <c r="Y918">
        <f t="shared" si="194"/>
        <v>1.8364473292207723E-2</v>
      </c>
      <c r="Z918" t="str">
        <f t="shared" si="187"/>
        <v>2013-09</v>
      </c>
    </row>
    <row r="919" spans="1:26" x14ac:dyDescent="0.35">
      <c r="A919" s="1">
        <v>41520</v>
      </c>
      <c r="C919">
        <v>2753.35</v>
      </c>
      <c r="D919">
        <f t="shared" si="188"/>
        <v>-7.5044133751281886E-3</v>
      </c>
      <c r="E919" t="str">
        <f t="shared" si="182"/>
        <v>2013-09</v>
      </c>
      <c r="G919">
        <v>3974.07</v>
      </c>
      <c r="H919">
        <f t="shared" si="189"/>
        <v>-8.0049750274233753E-3</v>
      </c>
      <c r="I919" t="str">
        <f t="shared" si="183"/>
        <v>2013-09</v>
      </c>
      <c r="K919">
        <v>8180.71</v>
      </c>
      <c r="L919">
        <f t="shared" si="190"/>
        <v>-7.6909499457036836E-3</v>
      </c>
      <c r="M919" t="str">
        <f t="shared" si="184"/>
        <v>2013-09</v>
      </c>
      <c r="O919">
        <v>7635.7785000000003</v>
      </c>
      <c r="P919">
        <f t="shared" si="191"/>
        <v>-3.0379558965935366E-3</v>
      </c>
      <c r="Q919" t="str">
        <f t="shared" si="185"/>
        <v>2013-09</v>
      </c>
      <c r="S919">
        <v>8445.2000000000007</v>
      </c>
      <c r="T919">
        <f t="shared" si="192"/>
        <v>1.8489113286102353E-3</v>
      </c>
      <c r="U919" t="str">
        <f t="shared" si="186"/>
        <v>2013-09</v>
      </c>
      <c r="W919">
        <v>16941.03</v>
      </c>
      <c r="X919">
        <f t="shared" si="193"/>
        <v>-2.8022747754143933E-3</v>
      </c>
      <c r="Y919">
        <f t="shared" si="194"/>
        <v>-2.7983520684790346E-3</v>
      </c>
      <c r="Z919" t="str">
        <f t="shared" si="187"/>
        <v>2013-09</v>
      </c>
    </row>
    <row r="920" spans="1:26" x14ac:dyDescent="0.35">
      <c r="A920" s="1">
        <v>41521</v>
      </c>
      <c r="C920">
        <v>2758.29</v>
      </c>
      <c r="D920">
        <f t="shared" si="188"/>
        <v>1.7925703866042582E-3</v>
      </c>
      <c r="E920" t="str">
        <f t="shared" si="182"/>
        <v>2013-09</v>
      </c>
      <c r="G920">
        <v>3980.42</v>
      </c>
      <c r="H920">
        <f t="shared" si="189"/>
        <v>1.5965828981837284E-3</v>
      </c>
      <c r="I920" t="str">
        <f t="shared" si="183"/>
        <v>2013-09</v>
      </c>
      <c r="K920">
        <v>8195.92</v>
      </c>
      <c r="L920">
        <f t="shared" si="190"/>
        <v>1.8575255560373417E-3</v>
      </c>
      <c r="M920" t="str">
        <f t="shared" si="184"/>
        <v>2013-09</v>
      </c>
      <c r="O920">
        <v>7660.9668799999999</v>
      </c>
      <c r="P920">
        <f t="shared" si="191"/>
        <v>3.2933022208356645E-3</v>
      </c>
      <c r="Q920" t="str">
        <f t="shared" si="185"/>
        <v>2013-09</v>
      </c>
      <c r="S920">
        <v>8490.2999999999993</v>
      </c>
      <c r="T920">
        <f t="shared" si="192"/>
        <v>5.3261027562200736E-3</v>
      </c>
      <c r="U920" t="str">
        <f t="shared" si="186"/>
        <v>2013-09</v>
      </c>
      <c r="W920">
        <v>16712.2</v>
      </c>
      <c r="X920">
        <f t="shared" si="193"/>
        <v>-1.3599498577825627E-2</v>
      </c>
      <c r="Y920">
        <f t="shared" si="194"/>
        <v>-1.3507443171991203E-2</v>
      </c>
      <c r="Z920" t="str">
        <f t="shared" si="187"/>
        <v>2013-09</v>
      </c>
    </row>
    <row r="921" spans="1:26" x14ac:dyDescent="0.35">
      <c r="A921" s="1">
        <v>41522</v>
      </c>
      <c r="C921">
        <v>2774.2</v>
      </c>
      <c r="D921">
        <f t="shared" si="188"/>
        <v>5.7514948452270856E-3</v>
      </c>
      <c r="E921" t="str">
        <f t="shared" si="182"/>
        <v>2013-09</v>
      </c>
      <c r="G921">
        <v>4006.8</v>
      </c>
      <c r="H921">
        <f t="shared" si="189"/>
        <v>6.6055763885844079E-3</v>
      </c>
      <c r="I921" t="str">
        <f t="shared" si="183"/>
        <v>2013-09</v>
      </c>
      <c r="K921">
        <v>8234.98</v>
      </c>
      <c r="L921">
        <f t="shared" si="190"/>
        <v>4.7544654984276839E-3</v>
      </c>
      <c r="M921" t="str">
        <f t="shared" si="184"/>
        <v>2013-09</v>
      </c>
      <c r="O921">
        <v>7761.0980600000003</v>
      </c>
      <c r="P921">
        <f t="shared" si="191"/>
        <v>1.2985626431968215E-2</v>
      </c>
      <c r="Q921" t="str">
        <f t="shared" si="185"/>
        <v>2013-09</v>
      </c>
      <c r="S921">
        <v>8550</v>
      </c>
      <c r="T921">
        <f t="shared" si="192"/>
        <v>7.006947560657872E-3</v>
      </c>
      <c r="U921" t="str">
        <f t="shared" si="186"/>
        <v>2013-09</v>
      </c>
      <c r="W921">
        <v>16842.7</v>
      </c>
      <c r="X921">
        <f t="shared" si="193"/>
        <v>7.7783368726648599E-3</v>
      </c>
      <c r="Y921">
        <f t="shared" si="194"/>
        <v>7.8086667225140908E-3</v>
      </c>
      <c r="Z921" t="str">
        <f t="shared" si="187"/>
        <v>2013-09</v>
      </c>
    </row>
    <row r="922" spans="1:26" x14ac:dyDescent="0.35">
      <c r="A922" s="1">
        <v>41523</v>
      </c>
      <c r="C922">
        <v>2803.42</v>
      </c>
      <c r="D922">
        <f t="shared" si="188"/>
        <v>1.0477683068512201E-2</v>
      </c>
      <c r="E922" t="str">
        <f t="shared" si="182"/>
        <v>2013-09</v>
      </c>
      <c r="G922">
        <v>4049.19</v>
      </c>
      <c r="H922">
        <f t="shared" si="189"/>
        <v>1.0523943360308563E-2</v>
      </c>
      <c r="I922" t="str">
        <f t="shared" si="183"/>
        <v>2013-09</v>
      </c>
      <c r="K922">
        <v>8275.67</v>
      </c>
      <c r="L922">
        <f t="shared" si="190"/>
        <v>4.9289497843783515E-3</v>
      </c>
      <c r="M922" t="str">
        <f t="shared" si="184"/>
        <v>2013-09</v>
      </c>
      <c r="O922">
        <v>7772.3432000000003</v>
      </c>
      <c r="P922">
        <f t="shared" si="191"/>
        <v>1.447862296089492E-3</v>
      </c>
      <c r="Q922" t="str">
        <f t="shared" si="185"/>
        <v>2013-09</v>
      </c>
      <c r="S922">
        <v>8655</v>
      </c>
      <c r="T922">
        <f t="shared" si="192"/>
        <v>1.2205905679503764E-2</v>
      </c>
      <c r="U922" t="str">
        <f t="shared" si="186"/>
        <v>2013-09</v>
      </c>
      <c r="W922">
        <v>17047</v>
      </c>
      <c r="X922">
        <f t="shared" si="193"/>
        <v>1.2056906664927619E-2</v>
      </c>
      <c r="Y922">
        <f t="shared" si="194"/>
        <v>1.2129884163465434E-2</v>
      </c>
      <c r="Z922" t="str">
        <f t="shared" si="187"/>
        <v>2013-09</v>
      </c>
    </row>
    <row r="923" spans="1:26" x14ac:dyDescent="0.35">
      <c r="A923" s="1">
        <v>41526</v>
      </c>
      <c r="C923">
        <v>2798.31</v>
      </c>
      <c r="D923">
        <f t="shared" si="188"/>
        <v>-1.8244368855393201E-3</v>
      </c>
      <c r="E923" t="str">
        <f t="shared" si="182"/>
        <v>2013-09</v>
      </c>
      <c r="G923">
        <v>4040.33</v>
      </c>
      <c r="H923">
        <f t="shared" si="189"/>
        <v>-2.1904893102935048E-3</v>
      </c>
      <c r="I923" t="str">
        <f t="shared" si="183"/>
        <v>2013-09</v>
      </c>
      <c r="K923">
        <v>8276.32</v>
      </c>
      <c r="L923">
        <f t="shared" si="190"/>
        <v>7.8540405151700007E-5</v>
      </c>
      <c r="M923" t="str">
        <f t="shared" si="184"/>
        <v>2013-09</v>
      </c>
      <c r="O923">
        <v>7736.10437</v>
      </c>
      <c r="P923">
        <f t="shared" si="191"/>
        <v>-4.6734395295478298E-3</v>
      </c>
      <c r="Q923" t="str">
        <f t="shared" si="185"/>
        <v>2013-09</v>
      </c>
      <c r="S923">
        <v>8632.5</v>
      </c>
      <c r="T923">
        <f t="shared" si="192"/>
        <v>-2.603038346162205E-3</v>
      </c>
      <c r="U923" t="str">
        <f t="shared" si="186"/>
        <v>2013-09</v>
      </c>
      <c r="W923">
        <v>17244.740000000002</v>
      </c>
      <c r="X923">
        <f t="shared" si="193"/>
        <v>1.1532934272494931E-2</v>
      </c>
      <c r="Y923">
        <f t="shared" si="194"/>
        <v>1.1599694960990297E-2</v>
      </c>
      <c r="Z923" t="str">
        <f t="shared" si="187"/>
        <v>2013-09</v>
      </c>
    </row>
    <row r="924" spans="1:26" x14ac:dyDescent="0.35">
      <c r="A924" s="1">
        <v>41527</v>
      </c>
      <c r="C924">
        <v>2851.4</v>
      </c>
      <c r="D924">
        <f t="shared" si="188"/>
        <v>1.8794438207698064E-2</v>
      </c>
      <c r="E924" t="str">
        <f t="shared" si="182"/>
        <v>2013-09</v>
      </c>
      <c r="G924">
        <v>4116.6400000000003</v>
      </c>
      <c r="H924">
        <f t="shared" si="189"/>
        <v>1.8710924846615368E-2</v>
      </c>
      <c r="I924" t="str">
        <f t="shared" si="183"/>
        <v>2013-09</v>
      </c>
      <c r="K924">
        <v>8446.5400000000009</v>
      </c>
      <c r="L924">
        <f t="shared" si="190"/>
        <v>2.0358464900753253E-2</v>
      </c>
      <c r="M924" t="str">
        <f t="shared" si="184"/>
        <v>2013-09</v>
      </c>
      <c r="O924">
        <v>7810.9160400000001</v>
      </c>
      <c r="P924">
        <f t="shared" si="191"/>
        <v>9.6239980981495214E-3</v>
      </c>
      <c r="Q924" t="str">
        <f t="shared" si="185"/>
        <v>2013-09</v>
      </c>
      <c r="S924">
        <v>8801.6</v>
      </c>
      <c r="T924">
        <f t="shared" si="192"/>
        <v>1.9399372857046276E-2</v>
      </c>
      <c r="U924" t="str">
        <f t="shared" si="186"/>
        <v>2013-09</v>
      </c>
      <c r="W924">
        <v>17332.419999999998</v>
      </c>
      <c r="X924">
        <f t="shared" si="193"/>
        <v>5.0715667760539967E-3</v>
      </c>
      <c r="Y924">
        <f t="shared" si="194"/>
        <v>5.0844489392125741E-3</v>
      </c>
      <c r="Z924" t="str">
        <f t="shared" si="187"/>
        <v>2013-09</v>
      </c>
    </row>
    <row r="925" spans="1:26" x14ac:dyDescent="0.35">
      <c r="A925" s="1">
        <v>41528</v>
      </c>
      <c r="C925">
        <v>2863.44</v>
      </c>
      <c r="D925">
        <f t="shared" si="188"/>
        <v>4.2135975157939001E-3</v>
      </c>
      <c r="E925" t="str">
        <f t="shared" si="182"/>
        <v>2013-09</v>
      </c>
      <c r="G925">
        <v>4119.1099999999997</v>
      </c>
      <c r="H925">
        <f t="shared" si="189"/>
        <v>5.9982395630170924E-4</v>
      </c>
      <c r="I925" t="str">
        <f t="shared" si="183"/>
        <v>2013-09</v>
      </c>
      <c r="K925">
        <v>8495.73</v>
      </c>
      <c r="L925">
        <f t="shared" si="190"/>
        <v>5.806794274810405E-3</v>
      </c>
      <c r="M925" t="str">
        <f t="shared" si="184"/>
        <v>2013-09</v>
      </c>
      <c r="O925">
        <v>7832.2122499999996</v>
      </c>
      <c r="P925">
        <f t="shared" si="191"/>
        <v>2.7227575919161161E-3</v>
      </c>
      <c r="Q925" t="str">
        <f t="shared" si="185"/>
        <v>2013-09</v>
      </c>
      <c r="S925">
        <v>8875.2000000000007</v>
      </c>
      <c r="T925">
        <f t="shared" si="192"/>
        <v>8.3273471797764304E-3</v>
      </c>
      <c r="U925" t="str">
        <f t="shared" si="186"/>
        <v>2013-09</v>
      </c>
      <c r="W925">
        <v>17562.55</v>
      </c>
      <c r="X925">
        <f t="shared" si="193"/>
        <v>1.3190057847663953E-2</v>
      </c>
      <c r="Y925">
        <f t="shared" si="194"/>
        <v>1.3277430387678179E-2</v>
      </c>
      <c r="Z925" t="str">
        <f t="shared" si="187"/>
        <v>2013-09</v>
      </c>
    </row>
    <row r="926" spans="1:26" x14ac:dyDescent="0.35">
      <c r="A926" s="1">
        <v>41529</v>
      </c>
      <c r="C926">
        <v>2862.07</v>
      </c>
      <c r="D926">
        <f t="shared" si="188"/>
        <v>-4.7855999767580523E-4</v>
      </c>
      <c r="E926" t="str">
        <f t="shared" si="182"/>
        <v>2013-09</v>
      </c>
      <c r="G926">
        <v>4106.63</v>
      </c>
      <c r="H926">
        <f t="shared" si="189"/>
        <v>-3.0343797824286117E-3</v>
      </c>
      <c r="I926" t="str">
        <f t="shared" si="183"/>
        <v>2013-09</v>
      </c>
      <c r="K926">
        <v>8494</v>
      </c>
      <c r="L926">
        <f t="shared" si="190"/>
        <v>-2.0365244250243299E-4</v>
      </c>
      <c r="M926" t="str">
        <f t="shared" si="184"/>
        <v>2013-09</v>
      </c>
      <c r="O926">
        <v>7827.4765799999996</v>
      </c>
      <c r="P926">
        <f t="shared" si="191"/>
        <v>-6.0482301989179925E-4</v>
      </c>
      <c r="Q926" t="str">
        <f t="shared" si="185"/>
        <v>2013-09</v>
      </c>
      <c r="S926">
        <v>8924.2000000000007</v>
      </c>
      <c r="T926">
        <f t="shared" si="192"/>
        <v>5.5058174749947628E-3</v>
      </c>
      <c r="U926" t="str">
        <f t="shared" si="186"/>
        <v>2013-09</v>
      </c>
      <c r="W926">
        <v>17522.71</v>
      </c>
      <c r="X926">
        <f t="shared" si="193"/>
        <v>-2.271040153232904E-3</v>
      </c>
      <c r="Y926">
        <f t="shared" si="194"/>
        <v>-2.2684632926312036E-3</v>
      </c>
      <c r="Z926" t="str">
        <f t="shared" si="187"/>
        <v>2013-09</v>
      </c>
    </row>
    <row r="927" spans="1:26" x14ac:dyDescent="0.35">
      <c r="A927" s="1">
        <v>41530</v>
      </c>
      <c r="C927">
        <v>2867.11</v>
      </c>
      <c r="D927">
        <f t="shared" si="188"/>
        <v>1.7594145410431469E-3</v>
      </c>
      <c r="E927" t="str">
        <f t="shared" si="182"/>
        <v>2013-09</v>
      </c>
      <c r="G927">
        <v>4114.5</v>
      </c>
      <c r="H927">
        <f t="shared" si="189"/>
        <v>1.9145792376548997E-3</v>
      </c>
      <c r="I927" t="str">
        <f t="shared" si="183"/>
        <v>2013-09</v>
      </c>
      <c r="K927">
        <v>8509.42</v>
      </c>
      <c r="L927">
        <f t="shared" si="190"/>
        <v>1.813753259904803E-3</v>
      </c>
      <c r="M927" t="str">
        <f t="shared" si="184"/>
        <v>2013-09</v>
      </c>
      <c r="O927">
        <v>7860.5290699999996</v>
      </c>
      <c r="P927">
        <f t="shared" si="191"/>
        <v>4.2137336820015697E-3</v>
      </c>
      <c r="Q927" t="str">
        <f t="shared" si="185"/>
        <v>2013-09</v>
      </c>
      <c r="S927">
        <v>8941.6</v>
      </c>
      <c r="T927">
        <f t="shared" si="192"/>
        <v>1.9478562954369932E-3</v>
      </c>
      <c r="U927" t="str">
        <f t="shared" si="186"/>
        <v>2013-09</v>
      </c>
      <c r="W927">
        <v>17547.91</v>
      </c>
      <c r="X927">
        <f t="shared" si="193"/>
        <v>1.4371005894417671E-3</v>
      </c>
      <c r="Y927">
        <f t="shared" si="194"/>
        <v>1.4381337133354789E-3</v>
      </c>
      <c r="Z927" t="str">
        <f t="shared" si="187"/>
        <v>2013-09</v>
      </c>
    </row>
    <row r="928" spans="1:26" x14ac:dyDescent="0.35">
      <c r="A928" s="1">
        <v>41533</v>
      </c>
      <c r="C928">
        <v>2894.64</v>
      </c>
      <c r="D928">
        <f t="shared" si="188"/>
        <v>9.5561971640751656E-3</v>
      </c>
      <c r="E928" t="str">
        <f t="shared" si="182"/>
        <v>2013-09</v>
      </c>
      <c r="G928">
        <v>4152.22</v>
      </c>
      <c r="H928">
        <f t="shared" si="189"/>
        <v>9.1258109087453427E-3</v>
      </c>
      <c r="I928" t="str">
        <f t="shared" si="183"/>
        <v>2013-09</v>
      </c>
      <c r="K928">
        <v>8613</v>
      </c>
      <c r="L928">
        <f t="shared" si="190"/>
        <v>1.2098904656052427E-2</v>
      </c>
      <c r="M928" t="str">
        <f t="shared" si="184"/>
        <v>2013-09</v>
      </c>
      <c r="O928">
        <v>7901.8529799999997</v>
      </c>
      <c r="P928">
        <f t="shared" si="191"/>
        <v>5.2433705191472597E-3</v>
      </c>
      <c r="Q928" t="str">
        <f t="shared" si="185"/>
        <v>2013-09</v>
      </c>
      <c r="S928">
        <v>8999.5</v>
      </c>
      <c r="T928">
        <f t="shared" si="192"/>
        <v>6.4544761481319483E-3</v>
      </c>
      <c r="U928" t="str">
        <f t="shared" si="186"/>
        <v>2013-09</v>
      </c>
      <c r="W928">
        <v>17731.810000000001</v>
      </c>
      <c r="X928">
        <f t="shared" si="193"/>
        <v>1.0425347232830401E-2</v>
      </c>
      <c r="Y928">
        <f t="shared" si="194"/>
        <v>1.0479880509986743E-2</v>
      </c>
      <c r="Z928" t="str">
        <f t="shared" si="187"/>
        <v>2013-09</v>
      </c>
    </row>
    <row r="929" spans="1:26" x14ac:dyDescent="0.35">
      <c r="A929" s="1">
        <v>41534</v>
      </c>
      <c r="C929">
        <v>2890.95</v>
      </c>
      <c r="D929">
        <f t="shared" si="188"/>
        <v>-1.2755831299269924E-3</v>
      </c>
      <c r="E929" t="str">
        <f t="shared" si="182"/>
        <v>2013-09</v>
      </c>
      <c r="G929">
        <v>4145.51</v>
      </c>
      <c r="H929">
        <f t="shared" si="189"/>
        <v>-1.6173101468975287E-3</v>
      </c>
      <c r="I929" t="str">
        <f t="shared" si="183"/>
        <v>2013-09</v>
      </c>
      <c r="K929">
        <v>8596.9500000000007</v>
      </c>
      <c r="L929">
        <f t="shared" si="190"/>
        <v>-1.8652006139617786E-3</v>
      </c>
      <c r="M929" t="str">
        <f t="shared" si="184"/>
        <v>2013-09</v>
      </c>
      <c r="O929">
        <v>7827.1362600000002</v>
      </c>
      <c r="P929">
        <f t="shared" si="191"/>
        <v>-9.5005827596453367E-3</v>
      </c>
      <c r="Q929" t="str">
        <f t="shared" si="185"/>
        <v>2013-09</v>
      </c>
      <c r="S929">
        <v>8992</v>
      </c>
      <c r="T929">
        <f t="shared" si="192"/>
        <v>-8.337270860615016E-4</v>
      </c>
      <c r="U929" t="str">
        <f t="shared" si="186"/>
        <v>2013-09</v>
      </c>
      <c r="W929">
        <v>17751.650000000001</v>
      </c>
      <c r="X929">
        <f t="shared" si="193"/>
        <v>1.1182676135601669E-3</v>
      </c>
      <c r="Y929">
        <f t="shared" si="194"/>
        <v>1.1188931079230008E-3</v>
      </c>
      <c r="Z929" t="str">
        <f t="shared" si="187"/>
        <v>2013-09</v>
      </c>
    </row>
    <row r="930" spans="1:26" x14ac:dyDescent="0.35">
      <c r="A930" s="1">
        <v>41535</v>
      </c>
      <c r="C930">
        <v>2908.92</v>
      </c>
      <c r="D930">
        <f t="shared" si="188"/>
        <v>6.196710444474068E-3</v>
      </c>
      <c r="E930" t="str">
        <f t="shared" si="182"/>
        <v>2013-09</v>
      </c>
      <c r="G930">
        <v>4170.3999999999996</v>
      </c>
      <c r="H930">
        <f t="shared" si="189"/>
        <v>5.9861336462806213E-3</v>
      </c>
      <c r="I930" t="str">
        <f t="shared" si="183"/>
        <v>2013-09</v>
      </c>
      <c r="K930">
        <v>8636.06</v>
      </c>
      <c r="L930">
        <f t="shared" si="190"/>
        <v>4.5389710963053597E-3</v>
      </c>
      <c r="M930" t="str">
        <f t="shared" si="184"/>
        <v>2013-09</v>
      </c>
      <c r="O930">
        <v>7840.3382099999999</v>
      </c>
      <c r="P930">
        <f t="shared" si="191"/>
        <v>1.6852688223470838E-3</v>
      </c>
      <c r="Q930" t="str">
        <f t="shared" si="185"/>
        <v>2013-09</v>
      </c>
      <c r="S930">
        <v>9062.5</v>
      </c>
      <c r="T930">
        <f t="shared" si="192"/>
        <v>7.8097270294578258E-3</v>
      </c>
      <c r="U930" t="str">
        <f t="shared" si="186"/>
        <v>2013-09</v>
      </c>
      <c r="W930">
        <v>17804.7</v>
      </c>
      <c r="X930">
        <f t="shared" si="193"/>
        <v>2.9839980405286294E-3</v>
      </c>
      <c r="Y930">
        <f t="shared" si="194"/>
        <v>2.9884545943616096E-3</v>
      </c>
      <c r="Z930" t="str">
        <f t="shared" si="187"/>
        <v>2013-09</v>
      </c>
    </row>
    <row r="931" spans="1:26" x14ac:dyDescent="0.35">
      <c r="A931" s="1">
        <v>41536</v>
      </c>
      <c r="C931">
        <v>2936.2</v>
      </c>
      <c r="D931">
        <f t="shared" si="188"/>
        <v>9.3343500477157549E-3</v>
      </c>
      <c r="E931" t="str">
        <f t="shared" si="182"/>
        <v>2013-09</v>
      </c>
      <c r="G931">
        <v>4206.04</v>
      </c>
      <c r="H931">
        <f t="shared" si="189"/>
        <v>8.5096329870173442E-3</v>
      </c>
      <c r="I931" t="str">
        <f t="shared" si="183"/>
        <v>2013-09</v>
      </c>
      <c r="K931">
        <v>8694.18</v>
      </c>
      <c r="L931">
        <f t="shared" si="190"/>
        <v>6.7073759966441325E-3</v>
      </c>
      <c r="M931" t="str">
        <f t="shared" si="184"/>
        <v>2013-09</v>
      </c>
      <c r="O931">
        <v>7859.77639</v>
      </c>
      <c r="P931">
        <f t="shared" si="191"/>
        <v>2.4761844645492296E-3</v>
      </c>
      <c r="Q931" t="str">
        <f t="shared" si="185"/>
        <v>2013-09</v>
      </c>
      <c r="S931">
        <v>9153.7000000000007</v>
      </c>
      <c r="T931">
        <f t="shared" si="192"/>
        <v>1.0013148955180828E-2</v>
      </c>
      <c r="U931" t="str">
        <f t="shared" si="186"/>
        <v>2013-09</v>
      </c>
      <c r="W931">
        <v>18059.23</v>
      </c>
      <c r="X931">
        <f t="shared" si="193"/>
        <v>1.419444403287028E-2</v>
      </c>
      <c r="Y931">
        <f t="shared" si="194"/>
        <v>1.4295663504580185E-2</v>
      </c>
      <c r="Z931" t="str">
        <f t="shared" si="187"/>
        <v>2013-09</v>
      </c>
    </row>
    <row r="932" spans="1:26" x14ac:dyDescent="0.35">
      <c r="A932" s="1">
        <v>41537</v>
      </c>
      <c r="C932">
        <v>2927.19</v>
      </c>
      <c r="D932">
        <f t="shared" si="188"/>
        <v>-3.0733098401418781E-3</v>
      </c>
      <c r="E932" t="str">
        <f t="shared" si="182"/>
        <v>2013-09</v>
      </c>
      <c r="G932">
        <v>4203.66</v>
      </c>
      <c r="H932">
        <f t="shared" si="189"/>
        <v>-5.6601307146277187E-4</v>
      </c>
      <c r="I932" t="str">
        <f t="shared" si="183"/>
        <v>2013-09</v>
      </c>
      <c r="K932">
        <v>8675.73</v>
      </c>
      <c r="L932">
        <f t="shared" si="190"/>
        <v>-2.1243641375941354E-3</v>
      </c>
      <c r="M932" t="str">
        <f t="shared" si="184"/>
        <v>2013-09</v>
      </c>
      <c r="O932">
        <v>7809.2134299999998</v>
      </c>
      <c r="P932">
        <f t="shared" si="191"/>
        <v>-6.4539113355561433E-3</v>
      </c>
      <c r="Q932" t="str">
        <f t="shared" si="185"/>
        <v>2013-09</v>
      </c>
      <c r="S932">
        <v>9171.7999999999993</v>
      </c>
      <c r="T932">
        <f t="shared" si="192"/>
        <v>1.9753901269558799E-3</v>
      </c>
      <c r="U932" t="str">
        <f t="shared" si="186"/>
        <v>2013-09</v>
      </c>
      <c r="W932">
        <v>17970.12</v>
      </c>
      <c r="X932">
        <f t="shared" si="193"/>
        <v>-4.9465328515006738E-3</v>
      </c>
      <c r="Y932">
        <f t="shared" si="194"/>
        <v>-4.9343189050696287E-3</v>
      </c>
      <c r="Z932" t="str">
        <f t="shared" si="187"/>
        <v>2013-09</v>
      </c>
    </row>
    <row r="933" spans="1:26" x14ac:dyDescent="0.35">
      <c r="A933" s="1">
        <v>41540</v>
      </c>
      <c r="C933">
        <v>2906.35</v>
      </c>
      <c r="D933">
        <f t="shared" si="188"/>
        <v>-7.1449201193635051E-3</v>
      </c>
      <c r="E933" t="str">
        <f t="shared" si="182"/>
        <v>2013-09</v>
      </c>
      <c r="G933">
        <v>4172.08</v>
      </c>
      <c r="H933">
        <f t="shared" si="189"/>
        <v>-7.5408619772172692E-3</v>
      </c>
      <c r="I933" t="str">
        <f t="shared" si="183"/>
        <v>2013-09</v>
      </c>
      <c r="K933">
        <v>8635.2900000000009</v>
      </c>
      <c r="L933">
        <f t="shared" si="190"/>
        <v>-4.6721768635816395E-3</v>
      </c>
      <c r="M933" t="str">
        <f t="shared" si="184"/>
        <v>2013-09</v>
      </c>
      <c r="O933">
        <v>7793.1540500000001</v>
      </c>
      <c r="P933">
        <f t="shared" si="191"/>
        <v>-2.0585831851362194E-3</v>
      </c>
      <c r="Q933" t="str">
        <f t="shared" si="185"/>
        <v>2013-09</v>
      </c>
      <c r="S933">
        <v>9109.5</v>
      </c>
      <c r="T933">
        <f t="shared" si="192"/>
        <v>-6.8157342393272737E-3</v>
      </c>
      <c r="U933" t="str">
        <f t="shared" si="186"/>
        <v>2013-09</v>
      </c>
      <c r="W933">
        <v>17913.18</v>
      </c>
      <c r="X933">
        <f t="shared" si="193"/>
        <v>-3.173623818940798E-3</v>
      </c>
      <c r="Y933">
        <f t="shared" si="194"/>
        <v>-3.1685931980420107E-3</v>
      </c>
      <c r="Z933" t="str">
        <f t="shared" si="187"/>
        <v>2013-09</v>
      </c>
    </row>
    <row r="934" spans="1:26" x14ac:dyDescent="0.35">
      <c r="A934" s="1">
        <v>41541</v>
      </c>
      <c r="C934">
        <v>2922.93</v>
      </c>
      <c r="D934">
        <f t="shared" si="188"/>
        <v>5.6885394800018181E-3</v>
      </c>
      <c r="E934" t="str">
        <f t="shared" si="182"/>
        <v>2013-09</v>
      </c>
      <c r="G934">
        <v>4195.6099999999997</v>
      </c>
      <c r="H934">
        <f t="shared" si="189"/>
        <v>5.6240281417027412E-3</v>
      </c>
      <c r="I934" t="str">
        <f t="shared" si="183"/>
        <v>2013-09</v>
      </c>
      <c r="K934">
        <v>8664.6</v>
      </c>
      <c r="L934">
        <f t="shared" si="190"/>
        <v>3.3884640935889403E-3</v>
      </c>
      <c r="M934" t="str">
        <f t="shared" si="184"/>
        <v>2013-09</v>
      </c>
      <c r="O934">
        <v>7795.8467499999997</v>
      </c>
      <c r="P934">
        <f t="shared" si="191"/>
        <v>3.4546152910309443E-4</v>
      </c>
      <c r="Q934" t="str">
        <f t="shared" si="185"/>
        <v>2013-09</v>
      </c>
      <c r="S934">
        <v>9167.6</v>
      </c>
      <c r="T934">
        <f t="shared" si="192"/>
        <v>6.3577039795122215E-3</v>
      </c>
      <c r="U934" t="str">
        <f t="shared" si="186"/>
        <v>2013-09</v>
      </c>
      <c r="W934">
        <v>18064.580000000002</v>
      </c>
      <c r="X934">
        <f t="shared" si="193"/>
        <v>8.4163602015261459E-3</v>
      </c>
      <c r="Y934">
        <f t="shared" si="194"/>
        <v>8.451877332779632E-3</v>
      </c>
      <c r="Z934" t="str">
        <f t="shared" si="187"/>
        <v>2013-09</v>
      </c>
    </row>
    <row r="935" spans="1:26" x14ac:dyDescent="0.35">
      <c r="A935" s="1">
        <v>41542</v>
      </c>
      <c r="C935">
        <v>2927.35</v>
      </c>
      <c r="D935">
        <f t="shared" si="188"/>
        <v>1.5110390753924053E-3</v>
      </c>
      <c r="E935" t="str">
        <f t="shared" si="182"/>
        <v>2013-09</v>
      </c>
      <c r="G935">
        <v>4195.3500000000004</v>
      </c>
      <c r="H935">
        <f t="shared" si="189"/>
        <v>-6.1971455014133204E-5</v>
      </c>
      <c r="I935" t="str">
        <f t="shared" si="183"/>
        <v>2013-09</v>
      </c>
      <c r="K935">
        <v>8665.6299999999992</v>
      </c>
      <c r="L935">
        <f t="shared" si="190"/>
        <v>1.1886743582888881E-4</v>
      </c>
      <c r="M935" t="str">
        <f t="shared" si="184"/>
        <v>2013-09</v>
      </c>
      <c r="O935">
        <v>7786.96414</v>
      </c>
      <c r="P935">
        <f t="shared" si="191"/>
        <v>-1.1400524622647433E-3</v>
      </c>
      <c r="Q935" t="str">
        <f t="shared" si="185"/>
        <v>2013-09</v>
      </c>
      <c r="S935">
        <v>9242.9</v>
      </c>
      <c r="T935">
        <f t="shared" si="192"/>
        <v>8.180160222839029E-3</v>
      </c>
      <c r="U935" t="str">
        <f t="shared" si="186"/>
        <v>2013-09</v>
      </c>
      <c r="W935">
        <v>18089.240000000002</v>
      </c>
      <c r="X935">
        <f t="shared" si="193"/>
        <v>1.3641714111692178E-3</v>
      </c>
      <c r="Y935">
        <f t="shared" si="194"/>
        <v>1.3651023162453736E-3</v>
      </c>
      <c r="Z935" t="str">
        <f t="shared" si="187"/>
        <v>2013-09</v>
      </c>
    </row>
    <row r="936" spans="1:26" x14ac:dyDescent="0.35">
      <c r="A936" s="1">
        <v>41543</v>
      </c>
      <c r="C936">
        <v>2922.99</v>
      </c>
      <c r="D936">
        <f t="shared" si="188"/>
        <v>-1.4905119385166656E-3</v>
      </c>
      <c r="E936" t="str">
        <f t="shared" si="182"/>
        <v>2013-09</v>
      </c>
      <c r="G936">
        <v>4186.72</v>
      </c>
      <c r="H936">
        <f t="shared" si="189"/>
        <v>-2.0591579524774271E-3</v>
      </c>
      <c r="I936" t="str">
        <f t="shared" si="183"/>
        <v>2013-09</v>
      </c>
      <c r="K936">
        <v>8664.1</v>
      </c>
      <c r="L936">
        <f t="shared" si="190"/>
        <v>-1.7657516925811739E-4</v>
      </c>
      <c r="M936" t="str">
        <f t="shared" si="184"/>
        <v>2013-09</v>
      </c>
      <c r="O936">
        <v>7804.8311000000003</v>
      </c>
      <c r="P936">
        <f t="shared" si="191"/>
        <v>2.291842285709582E-3</v>
      </c>
      <c r="Q936" t="str">
        <f t="shared" si="185"/>
        <v>2013-09</v>
      </c>
      <c r="S936">
        <v>9272.4</v>
      </c>
      <c r="T936">
        <f t="shared" si="192"/>
        <v>3.1865565194473984E-3</v>
      </c>
      <c r="U936" t="str">
        <f t="shared" si="186"/>
        <v>2013-09</v>
      </c>
      <c r="W936">
        <v>17872.53</v>
      </c>
      <c r="X936">
        <f t="shared" si="193"/>
        <v>-1.205238914935069E-2</v>
      </c>
      <c r="Y936">
        <f t="shared" si="194"/>
        <v>-1.1980050018685292E-2</v>
      </c>
      <c r="Z936" t="str">
        <f t="shared" si="187"/>
        <v>2013-09</v>
      </c>
    </row>
    <row r="937" spans="1:26" x14ac:dyDescent="0.35">
      <c r="A937" s="1">
        <v>41544</v>
      </c>
      <c r="C937">
        <v>2919.34</v>
      </c>
      <c r="D937">
        <f t="shared" si="188"/>
        <v>-1.2495016457067815E-3</v>
      </c>
      <c r="E937" t="str">
        <f t="shared" si="182"/>
        <v>2013-09</v>
      </c>
      <c r="G937">
        <v>4186.7700000000004</v>
      </c>
      <c r="H937">
        <f t="shared" si="189"/>
        <v>1.1942451713805395E-5</v>
      </c>
      <c r="I937" t="str">
        <f t="shared" si="183"/>
        <v>2013-09</v>
      </c>
      <c r="K937">
        <v>8661.51</v>
      </c>
      <c r="L937">
        <f t="shared" si="190"/>
        <v>-2.9897937438196315E-4</v>
      </c>
      <c r="M937" t="str">
        <f t="shared" si="184"/>
        <v>2013-09</v>
      </c>
      <c r="O937">
        <v>7764.8167700000004</v>
      </c>
      <c r="P937">
        <f t="shared" si="191"/>
        <v>-5.1400543458414482E-3</v>
      </c>
      <c r="Q937" t="str">
        <f t="shared" si="185"/>
        <v>2013-09</v>
      </c>
      <c r="S937">
        <v>9228.4</v>
      </c>
      <c r="T937">
        <f t="shared" si="192"/>
        <v>-4.7565600360850602E-3</v>
      </c>
      <c r="U937" t="str">
        <f t="shared" si="186"/>
        <v>2013-09</v>
      </c>
      <c r="W937">
        <v>17646.16</v>
      </c>
      <c r="X937">
        <f t="shared" si="193"/>
        <v>-1.2746701244397134E-2</v>
      </c>
      <c r="Y937">
        <f t="shared" si="194"/>
        <v>-1.2665806128175418E-2</v>
      </c>
      <c r="Z937" t="str">
        <f t="shared" si="187"/>
        <v>2013-09</v>
      </c>
    </row>
    <row r="938" spans="1:26" x14ac:dyDescent="0.35">
      <c r="A938" s="1">
        <v>41547</v>
      </c>
      <c r="C938">
        <v>2893.15</v>
      </c>
      <c r="D938">
        <f t="shared" si="188"/>
        <v>-9.0116893936251965E-3</v>
      </c>
      <c r="E938" t="str">
        <f t="shared" si="182"/>
        <v>2013-09</v>
      </c>
      <c r="G938">
        <v>4143.4399999999996</v>
      </c>
      <c r="H938">
        <f t="shared" si="189"/>
        <v>-1.0403192905549847E-2</v>
      </c>
      <c r="I938" t="str">
        <f t="shared" si="183"/>
        <v>2013-09</v>
      </c>
      <c r="K938">
        <v>8594.4</v>
      </c>
      <c r="L938">
        <f t="shared" si="190"/>
        <v>-7.7782439004305164E-3</v>
      </c>
      <c r="M938" t="str">
        <f t="shared" si="184"/>
        <v>2013-09</v>
      </c>
      <c r="O938">
        <v>7728.7788200000005</v>
      </c>
      <c r="P938">
        <f t="shared" si="191"/>
        <v>-4.6519885951676115E-3</v>
      </c>
      <c r="Q938" t="str">
        <f t="shared" si="185"/>
        <v>2013-09</v>
      </c>
      <c r="S938">
        <v>9186.1</v>
      </c>
      <c r="T938">
        <f t="shared" si="192"/>
        <v>-4.5942137338991001E-3</v>
      </c>
      <c r="U938" t="str">
        <f t="shared" si="186"/>
        <v>2013-09</v>
      </c>
      <c r="W938">
        <v>17434.86</v>
      </c>
      <c r="X938">
        <f t="shared" si="193"/>
        <v>-1.2046545699194559E-2</v>
      </c>
      <c r="Y938">
        <f t="shared" si="194"/>
        <v>-1.1974276556485903E-2</v>
      </c>
      <c r="Z938" t="str">
        <f t="shared" si="187"/>
        <v>2013-09</v>
      </c>
    </row>
    <row r="939" spans="1:26" x14ac:dyDescent="0.35">
      <c r="A939" s="1">
        <v>41548</v>
      </c>
      <c r="C939">
        <v>2933.02</v>
      </c>
      <c r="D939">
        <f t="shared" si="188"/>
        <v>1.3686734987501644E-2</v>
      </c>
      <c r="E939" t="str">
        <f t="shared" si="182"/>
        <v>2013-10</v>
      </c>
      <c r="G939">
        <v>4196.6000000000004</v>
      </c>
      <c r="H939">
        <f t="shared" si="189"/>
        <v>1.2748312947985991E-2</v>
      </c>
      <c r="I939" t="str">
        <f t="shared" si="183"/>
        <v>2013-10</v>
      </c>
      <c r="K939">
        <v>8689.14</v>
      </c>
      <c r="L939">
        <f t="shared" si="190"/>
        <v>1.0963141683000435E-2</v>
      </c>
      <c r="M939" t="str">
        <f t="shared" si="184"/>
        <v>2013-10</v>
      </c>
      <c r="O939">
        <v>7738.1605900000004</v>
      </c>
      <c r="P939">
        <f t="shared" si="191"/>
        <v>1.2131386697661359E-3</v>
      </c>
      <c r="Q939" t="str">
        <f t="shared" si="185"/>
        <v>2013-10</v>
      </c>
      <c r="S939">
        <v>9341.5</v>
      </c>
      <c r="T939">
        <f t="shared" si="192"/>
        <v>1.6775366942337805E-2</v>
      </c>
      <c r="U939" t="str">
        <f t="shared" si="186"/>
        <v>2013-10</v>
      </c>
      <c r="W939">
        <v>17977.060000000001</v>
      </c>
      <c r="X939">
        <f t="shared" si="193"/>
        <v>3.0624850386440545E-2</v>
      </c>
      <c r="Y939">
        <f t="shared" si="194"/>
        <v>3.1098615073479264E-2</v>
      </c>
      <c r="Z939" t="str">
        <f t="shared" si="187"/>
        <v>2013-10</v>
      </c>
    </row>
    <row r="940" spans="1:26" x14ac:dyDescent="0.35">
      <c r="A940" s="1">
        <v>41549</v>
      </c>
      <c r="C940">
        <v>2918.31</v>
      </c>
      <c r="D940">
        <f t="shared" si="188"/>
        <v>-5.0279273222050159E-3</v>
      </c>
      <c r="E940" t="str">
        <f t="shared" si="182"/>
        <v>2013-10</v>
      </c>
      <c r="G940">
        <v>4158.16</v>
      </c>
      <c r="H940">
        <f t="shared" si="189"/>
        <v>-9.2020049044941373E-3</v>
      </c>
      <c r="I940" t="str">
        <f t="shared" si="183"/>
        <v>2013-10</v>
      </c>
      <c r="K940">
        <v>8629.42</v>
      </c>
      <c r="L940">
        <f t="shared" si="190"/>
        <v>-6.8966746323698026E-3</v>
      </c>
      <c r="M940" t="str">
        <f t="shared" si="184"/>
        <v>2013-10</v>
      </c>
      <c r="O940">
        <v>7687.2745299999997</v>
      </c>
      <c r="P940">
        <f t="shared" si="191"/>
        <v>-6.5977062160036759E-3</v>
      </c>
      <c r="Q940" t="str">
        <f t="shared" si="185"/>
        <v>2013-10</v>
      </c>
      <c r="S940">
        <v>9350</v>
      </c>
      <c r="T940">
        <f t="shared" si="192"/>
        <v>9.0950438284061273E-4</v>
      </c>
      <c r="U940" t="str">
        <f t="shared" si="186"/>
        <v>2013-10</v>
      </c>
      <c r="W940">
        <v>18098.439999999999</v>
      </c>
      <c r="X940">
        <f t="shared" si="193"/>
        <v>6.7292460553391139E-3</v>
      </c>
      <c r="Y940">
        <f t="shared" si="194"/>
        <v>6.7519383035934332E-3</v>
      </c>
      <c r="Z940" t="str">
        <f t="shared" si="187"/>
        <v>2013-10</v>
      </c>
    </row>
    <row r="941" spans="1:26" x14ac:dyDescent="0.35">
      <c r="A941" s="1">
        <v>41550</v>
      </c>
      <c r="C941">
        <v>2902.12</v>
      </c>
      <c r="D941">
        <f t="shared" si="188"/>
        <v>-5.5631772069271472E-3</v>
      </c>
      <c r="E941" t="str">
        <f t="shared" si="182"/>
        <v>2013-10</v>
      </c>
      <c r="G941">
        <v>4127.9799999999996</v>
      </c>
      <c r="H941">
        <f t="shared" si="189"/>
        <v>-7.284485527679142E-3</v>
      </c>
      <c r="I941" t="str">
        <f t="shared" si="183"/>
        <v>2013-10</v>
      </c>
      <c r="K941">
        <v>8597.91</v>
      </c>
      <c r="L941">
        <f t="shared" si="190"/>
        <v>-3.6581449521148899E-3</v>
      </c>
      <c r="M941" t="str">
        <f t="shared" si="184"/>
        <v>2013-10</v>
      </c>
      <c r="O941">
        <v>7653.2647299999999</v>
      </c>
      <c r="P941">
        <f t="shared" si="191"/>
        <v>-4.4339843787195065E-3</v>
      </c>
      <c r="Q941" t="str">
        <f t="shared" si="185"/>
        <v>2013-10</v>
      </c>
      <c r="S941">
        <v>9295.7000000000007</v>
      </c>
      <c r="T941">
        <f t="shared" si="192"/>
        <v>-5.8244156567130731E-3</v>
      </c>
      <c r="U941" t="str">
        <f t="shared" si="186"/>
        <v>2013-10</v>
      </c>
      <c r="W941">
        <v>18018.22</v>
      </c>
      <c r="X941">
        <f t="shared" si="193"/>
        <v>-4.4422785451736424E-3</v>
      </c>
      <c r="Y941">
        <f t="shared" si="194"/>
        <v>-4.4324262201602752E-3</v>
      </c>
      <c r="Z941" t="str">
        <f t="shared" si="187"/>
        <v>2013-10</v>
      </c>
    </row>
    <row r="942" spans="1:26" x14ac:dyDescent="0.35">
      <c r="A942" s="1">
        <v>41551</v>
      </c>
      <c r="C942">
        <v>2928.31</v>
      </c>
      <c r="D942">
        <f t="shared" si="188"/>
        <v>8.9839604120826727E-3</v>
      </c>
      <c r="E942" t="str">
        <f t="shared" si="182"/>
        <v>2013-10</v>
      </c>
      <c r="G942">
        <v>4164.25</v>
      </c>
      <c r="H942">
        <f t="shared" si="189"/>
        <v>8.7480041687958837E-3</v>
      </c>
      <c r="I942" t="str">
        <f t="shared" si="183"/>
        <v>2013-10</v>
      </c>
      <c r="K942">
        <v>8622.9699999999993</v>
      </c>
      <c r="L942">
        <f t="shared" si="190"/>
        <v>2.910422427813975E-3</v>
      </c>
      <c r="M942" t="str">
        <f t="shared" si="184"/>
        <v>2013-10</v>
      </c>
      <c r="O942">
        <v>7636.83734</v>
      </c>
      <c r="P942">
        <f t="shared" si="191"/>
        <v>-2.1487621528588309E-3</v>
      </c>
      <c r="Q942" t="str">
        <f t="shared" si="185"/>
        <v>2013-10</v>
      </c>
      <c r="S942">
        <v>9420.9</v>
      </c>
      <c r="T942">
        <f t="shared" si="192"/>
        <v>1.3378697781874019E-2</v>
      </c>
      <c r="U942" t="str">
        <f t="shared" si="186"/>
        <v>2013-10</v>
      </c>
      <c r="W942">
        <v>18304.22</v>
      </c>
      <c r="X942">
        <f t="shared" si="193"/>
        <v>1.57481661890095E-2</v>
      </c>
      <c r="Y942">
        <f t="shared" si="194"/>
        <v>1.5872822065664642E-2</v>
      </c>
      <c r="Z942" t="str">
        <f t="shared" si="187"/>
        <v>2013-10</v>
      </c>
    </row>
    <row r="943" spans="1:26" x14ac:dyDescent="0.35">
      <c r="A943" s="1">
        <v>41554</v>
      </c>
      <c r="C943">
        <v>2923.04</v>
      </c>
      <c r="D943">
        <f t="shared" si="188"/>
        <v>-1.8012942055924555E-3</v>
      </c>
      <c r="E943" t="str">
        <f t="shared" si="182"/>
        <v>2013-10</v>
      </c>
      <c r="G943">
        <v>4165.58</v>
      </c>
      <c r="H943">
        <f t="shared" si="189"/>
        <v>3.1933425083147777E-4</v>
      </c>
      <c r="I943" t="str">
        <f t="shared" si="183"/>
        <v>2013-10</v>
      </c>
      <c r="K943">
        <v>8591.58</v>
      </c>
      <c r="L943">
        <f t="shared" si="190"/>
        <v>-3.6469190063780706E-3</v>
      </c>
      <c r="M943" t="str">
        <f t="shared" si="184"/>
        <v>2013-10</v>
      </c>
      <c r="O943">
        <v>7632.7409900000002</v>
      </c>
      <c r="P943">
        <f t="shared" si="191"/>
        <v>-5.3653742228370975E-4</v>
      </c>
      <c r="Q943" t="str">
        <f t="shared" si="185"/>
        <v>2013-10</v>
      </c>
      <c r="S943">
        <v>9381.9</v>
      </c>
      <c r="T943">
        <f t="shared" si="192"/>
        <v>-4.1483242844592505E-3</v>
      </c>
      <c r="U943" t="str">
        <f t="shared" si="186"/>
        <v>2013-10</v>
      </c>
      <c r="W943">
        <v>18425.82</v>
      </c>
      <c r="X943">
        <f t="shared" si="193"/>
        <v>6.6213074781493186E-3</v>
      </c>
      <c r="Y943">
        <f t="shared" si="194"/>
        <v>6.6432767962796855E-3</v>
      </c>
      <c r="Z943" t="str">
        <f t="shared" si="187"/>
        <v>2013-10</v>
      </c>
    </row>
    <row r="944" spans="1:26" x14ac:dyDescent="0.35">
      <c r="A944" s="1">
        <v>41555</v>
      </c>
      <c r="C944">
        <v>2903.35</v>
      </c>
      <c r="D944">
        <f t="shared" si="188"/>
        <v>-6.758927898169018E-3</v>
      </c>
      <c r="E944" t="str">
        <f t="shared" si="182"/>
        <v>2013-10</v>
      </c>
      <c r="G944">
        <v>4133.53</v>
      </c>
      <c r="H944">
        <f t="shared" si="189"/>
        <v>-7.7237581697919581E-3</v>
      </c>
      <c r="I944" t="str">
        <f t="shared" si="183"/>
        <v>2013-10</v>
      </c>
      <c r="K944">
        <v>8555.89</v>
      </c>
      <c r="L944">
        <f t="shared" si="190"/>
        <v>-4.1627192276217561E-3</v>
      </c>
      <c r="M944" t="str">
        <f t="shared" si="184"/>
        <v>2013-10</v>
      </c>
      <c r="O944">
        <v>7540.1366399999997</v>
      </c>
      <c r="P944">
        <f t="shared" si="191"/>
        <v>-1.220671544618564E-2</v>
      </c>
      <c r="Q944" t="str">
        <f t="shared" si="185"/>
        <v>2013-10</v>
      </c>
      <c r="S944">
        <v>9318.9</v>
      </c>
      <c r="T944">
        <f t="shared" si="192"/>
        <v>-6.737705160457466E-3</v>
      </c>
      <c r="U944" t="str">
        <f t="shared" si="186"/>
        <v>2013-10</v>
      </c>
      <c r="W944">
        <v>18372.75</v>
      </c>
      <c r="X944">
        <f t="shared" si="193"/>
        <v>-2.8843532122555457E-3</v>
      </c>
      <c r="Y944">
        <f t="shared" si="194"/>
        <v>-2.8801974620396653E-3</v>
      </c>
      <c r="Z944" t="str">
        <f t="shared" si="187"/>
        <v>2013-10</v>
      </c>
    </row>
    <row r="945" spans="1:26" x14ac:dyDescent="0.35">
      <c r="A945" s="1">
        <v>41556</v>
      </c>
      <c r="C945">
        <v>2904.73</v>
      </c>
      <c r="D945">
        <f t="shared" si="188"/>
        <v>4.7520007505717039E-4</v>
      </c>
      <c r="E945" t="str">
        <f t="shared" si="182"/>
        <v>2013-10</v>
      </c>
      <c r="G945">
        <v>4127.05</v>
      </c>
      <c r="H945">
        <f t="shared" si="189"/>
        <v>-1.568897421047138E-3</v>
      </c>
      <c r="I945" t="str">
        <f t="shared" si="183"/>
        <v>2013-10</v>
      </c>
      <c r="K945">
        <v>8516.69</v>
      </c>
      <c r="L945">
        <f t="shared" si="190"/>
        <v>-4.5921669586474366E-3</v>
      </c>
      <c r="M945" t="str">
        <f t="shared" si="184"/>
        <v>2013-10</v>
      </c>
      <c r="O945">
        <v>7479.6813700000002</v>
      </c>
      <c r="P945">
        <f t="shared" si="191"/>
        <v>-8.0501103860782606E-3</v>
      </c>
      <c r="Q945" t="str">
        <f t="shared" si="185"/>
        <v>2013-10</v>
      </c>
      <c r="S945">
        <v>9439</v>
      </c>
      <c r="T945">
        <f t="shared" si="192"/>
        <v>1.2805446361967652E-2</v>
      </c>
      <c r="U945" t="str">
        <f t="shared" si="186"/>
        <v>2013-10</v>
      </c>
      <c r="W945">
        <v>18551.57</v>
      </c>
      <c r="X945">
        <f t="shared" si="193"/>
        <v>9.6858329687881176E-3</v>
      </c>
      <c r="Y945">
        <f t="shared" si="194"/>
        <v>9.732892463022667E-3</v>
      </c>
      <c r="Z945" t="str">
        <f t="shared" si="187"/>
        <v>2013-10</v>
      </c>
    </row>
    <row r="946" spans="1:26" x14ac:dyDescent="0.35">
      <c r="A946" s="1">
        <v>41557</v>
      </c>
      <c r="C946">
        <v>2969.41</v>
      </c>
      <c r="D946">
        <f t="shared" si="188"/>
        <v>2.2022837098784161E-2</v>
      </c>
      <c r="E946" t="str">
        <f t="shared" si="182"/>
        <v>2013-10</v>
      </c>
      <c r="G946">
        <v>4218.1099999999997</v>
      </c>
      <c r="H946">
        <f t="shared" si="189"/>
        <v>2.1824294391755678E-2</v>
      </c>
      <c r="I946" t="str">
        <f t="shared" si="183"/>
        <v>2013-10</v>
      </c>
      <c r="K946">
        <v>8685.77</v>
      </c>
      <c r="L946">
        <f t="shared" si="190"/>
        <v>1.9658286666041389E-2</v>
      </c>
      <c r="M946" t="str">
        <f t="shared" si="184"/>
        <v>2013-10</v>
      </c>
      <c r="O946">
        <v>7590.8505699999996</v>
      </c>
      <c r="P946">
        <f t="shared" si="191"/>
        <v>1.4753456201904876E-2</v>
      </c>
      <c r="Q946" t="str">
        <f t="shared" si="185"/>
        <v>2013-10</v>
      </c>
      <c r="S946">
        <v>9660.5</v>
      </c>
      <c r="T946">
        <f t="shared" si="192"/>
        <v>2.3195364376493721E-2</v>
      </c>
      <c r="U946" t="str">
        <f t="shared" si="186"/>
        <v>2013-10</v>
      </c>
      <c r="W946">
        <v>18836.79</v>
      </c>
      <c r="X946">
        <f t="shared" si="193"/>
        <v>1.5257450875313506E-2</v>
      </c>
      <c r="Y946">
        <f t="shared" si="194"/>
        <v>1.5374440006964434E-2</v>
      </c>
      <c r="Z946" t="str">
        <f t="shared" si="187"/>
        <v>2013-10</v>
      </c>
    </row>
    <row r="947" spans="1:26" x14ac:dyDescent="0.35">
      <c r="A947" s="1">
        <v>41558</v>
      </c>
      <c r="C947">
        <v>2974.28</v>
      </c>
      <c r="D947">
        <f t="shared" si="188"/>
        <v>1.6387130182823383E-3</v>
      </c>
      <c r="E947" t="str">
        <f t="shared" si="182"/>
        <v>2013-10</v>
      </c>
      <c r="G947">
        <v>4219.9799999999996</v>
      </c>
      <c r="H947">
        <f t="shared" si="189"/>
        <v>4.4322827336839974E-4</v>
      </c>
      <c r="I947" t="str">
        <f t="shared" si="183"/>
        <v>2013-10</v>
      </c>
      <c r="K947">
        <v>8724.83</v>
      </c>
      <c r="L947">
        <f t="shared" si="190"/>
        <v>4.4869292880632189E-3</v>
      </c>
      <c r="M947" t="str">
        <f t="shared" si="184"/>
        <v>2013-10</v>
      </c>
      <c r="O947">
        <v>7636.1878299999998</v>
      </c>
      <c r="P947">
        <f t="shared" si="191"/>
        <v>5.954853830617314E-3</v>
      </c>
      <c r="Q947" t="str">
        <f t="shared" si="185"/>
        <v>2013-10</v>
      </c>
      <c r="S947">
        <v>9668.5</v>
      </c>
      <c r="T947">
        <f t="shared" si="192"/>
        <v>8.2777178920839128E-4</v>
      </c>
      <c r="U947" t="str">
        <f t="shared" si="186"/>
        <v>2013-10</v>
      </c>
      <c r="W947">
        <v>18882.63</v>
      </c>
      <c r="X947">
        <f t="shared" si="193"/>
        <v>2.4305793974282678E-3</v>
      </c>
      <c r="Y947">
        <f t="shared" si="194"/>
        <v>2.4335356501824432E-3</v>
      </c>
      <c r="Z947" t="str">
        <f t="shared" si="187"/>
        <v>2013-10</v>
      </c>
    </row>
    <row r="948" spans="1:26" x14ac:dyDescent="0.35">
      <c r="A948" s="1">
        <v>41561</v>
      </c>
      <c r="C948">
        <v>2977.69</v>
      </c>
      <c r="D948">
        <f t="shared" si="188"/>
        <v>1.1458392341009193E-3</v>
      </c>
      <c r="E948" t="str">
        <f t="shared" si="182"/>
        <v>2013-10</v>
      </c>
      <c r="G948">
        <v>4222.96</v>
      </c>
      <c r="H948">
        <f t="shared" si="189"/>
        <v>7.0591526737102776E-4</v>
      </c>
      <c r="I948" t="str">
        <f t="shared" si="183"/>
        <v>2013-10</v>
      </c>
      <c r="K948">
        <v>8723.81</v>
      </c>
      <c r="L948">
        <f t="shared" si="190"/>
        <v>-1.1691455622474591E-4</v>
      </c>
      <c r="M948" t="str">
        <f t="shared" si="184"/>
        <v>2013-10</v>
      </c>
      <c r="O948">
        <v>7666.7173000000003</v>
      </c>
      <c r="P948">
        <f t="shared" si="191"/>
        <v>3.9900280690355443E-3</v>
      </c>
      <c r="Q948" t="str">
        <f t="shared" si="185"/>
        <v>2013-10</v>
      </c>
      <c r="S948">
        <v>9696</v>
      </c>
      <c r="T948">
        <f t="shared" si="192"/>
        <v>2.840250818449169E-3</v>
      </c>
      <c r="U948" t="str">
        <f t="shared" si="186"/>
        <v>2013-10</v>
      </c>
      <c r="W948">
        <v>18917.669999999998</v>
      </c>
      <c r="X948">
        <f t="shared" si="193"/>
        <v>1.8539540710766906E-3</v>
      </c>
      <c r="Y948">
        <f t="shared" si="194"/>
        <v>1.8556737064697678E-3</v>
      </c>
      <c r="Z948" t="str">
        <f t="shared" si="187"/>
        <v>2013-10</v>
      </c>
    </row>
    <row r="949" spans="1:26" x14ac:dyDescent="0.35">
      <c r="A949" s="1">
        <v>41562</v>
      </c>
      <c r="C949">
        <v>3004.56</v>
      </c>
      <c r="D949">
        <f t="shared" si="188"/>
        <v>8.9833025032015155E-3</v>
      </c>
      <c r="E949" t="str">
        <f t="shared" si="182"/>
        <v>2013-10</v>
      </c>
      <c r="G949">
        <v>4256.0200000000004</v>
      </c>
      <c r="H949">
        <f t="shared" si="189"/>
        <v>7.7981473088543874E-3</v>
      </c>
      <c r="I949" t="str">
        <f t="shared" si="183"/>
        <v>2013-10</v>
      </c>
      <c r="K949">
        <v>8804.44</v>
      </c>
      <c r="L949">
        <f t="shared" si="190"/>
        <v>9.2000705966874766E-3</v>
      </c>
      <c r="M949" t="str">
        <f t="shared" si="184"/>
        <v>2013-10</v>
      </c>
      <c r="O949">
        <v>7749.9580699999997</v>
      </c>
      <c r="P949">
        <f t="shared" si="191"/>
        <v>1.0798901440981485E-2</v>
      </c>
      <c r="Q949" t="str">
        <f t="shared" si="185"/>
        <v>2013-10</v>
      </c>
      <c r="S949">
        <v>9805.2999999999993</v>
      </c>
      <c r="T949">
        <f t="shared" si="192"/>
        <v>1.120962648765359E-2</v>
      </c>
      <c r="U949" t="str">
        <f t="shared" si="186"/>
        <v>2013-10</v>
      </c>
      <c r="W949">
        <v>18999.22</v>
      </c>
      <c r="X949">
        <f t="shared" si="193"/>
        <v>4.3015197577521407E-3</v>
      </c>
      <c r="Y949">
        <f t="shared" si="194"/>
        <v>4.3107845733646333E-3</v>
      </c>
      <c r="Z949" t="str">
        <f t="shared" si="187"/>
        <v>2013-10</v>
      </c>
    </row>
    <row r="950" spans="1:26" x14ac:dyDescent="0.35">
      <c r="A950" s="1">
        <v>41563</v>
      </c>
      <c r="C950">
        <v>3015.4</v>
      </c>
      <c r="D950">
        <f t="shared" si="188"/>
        <v>3.6013567253016751E-3</v>
      </c>
      <c r="E950" t="str">
        <f t="shared" si="182"/>
        <v>2013-10</v>
      </c>
      <c r="G950">
        <v>4243.72</v>
      </c>
      <c r="H950">
        <f t="shared" si="189"/>
        <v>-2.894208195980331E-3</v>
      </c>
      <c r="I950" t="str">
        <f t="shared" si="183"/>
        <v>2013-10</v>
      </c>
      <c r="K950">
        <v>8846</v>
      </c>
      <c r="L950">
        <f t="shared" si="190"/>
        <v>4.709239747689371E-3</v>
      </c>
      <c r="M950" t="str">
        <f t="shared" si="184"/>
        <v>2013-10</v>
      </c>
      <c r="O950">
        <v>7744.8450000000003</v>
      </c>
      <c r="P950">
        <f t="shared" si="191"/>
        <v>-6.5997227102397864E-4</v>
      </c>
      <c r="Q950" t="str">
        <f t="shared" si="185"/>
        <v>2013-10</v>
      </c>
      <c r="S950">
        <v>9879</v>
      </c>
      <c r="T950">
        <f t="shared" si="192"/>
        <v>7.4882362477246842E-3</v>
      </c>
      <c r="U950" t="str">
        <f t="shared" si="186"/>
        <v>2013-10</v>
      </c>
      <c r="W950">
        <v>19275.04</v>
      </c>
      <c r="X950">
        <f t="shared" si="193"/>
        <v>1.4413068982038667E-2</v>
      </c>
      <c r="Y950">
        <f t="shared" si="194"/>
        <v>1.4517438084300286E-2</v>
      </c>
      <c r="Z950" t="str">
        <f t="shared" si="187"/>
        <v>2013-10</v>
      </c>
    </row>
    <row r="951" spans="1:26" x14ac:dyDescent="0.35">
      <c r="A951" s="1">
        <v>41564</v>
      </c>
      <c r="C951">
        <v>3010.39</v>
      </c>
      <c r="D951">
        <f t="shared" si="188"/>
        <v>-1.6628528888066472E-3</v>
      </c>
      <c r="E951" t="str">
        <f t="shared" si="182"/>
        <v>2013-10</v>
      </c>
      <c r="G951">
        <v>4239.6400000000003</v>
      </c>
      <c r="H951">
        <f t="shared" si="189"/>
        <v>-9.6188310164235335E-4</v>
      </c>
      <c r="I951" t="str">
        <f t="shared" si="183"/>
        <v>2013-10</v>
      </c>
      <c r="K951">
        <v>8811.98</v>
      </c>
      <c r="L951">
        <f t="shared" si="190"/>
        <v>-3.8532201409336134E-3</v>
      </c>
      <c r="M951" t="str">
        <f t="shared" si="184"/>
        <v>2013-10</v>
      </c>
      <c r="O951">
        <v>7779.0456599999998</v>
      </c>
      <c r="P951">
        <f t="shared" si="191"/>
        <v>4.4062040994506191E-3</v>
      </c>
      <c r="Q951" t="str">
        <f t="shared" si="185"/>
        <v>2013-10</v>
      </c>
      <c r="S951">
        <v>9918</v>
      </c>
      <c r="T951">
        <f t="shared" si="192"/>
        <v>3.9399960046051855E-3</v>
      </c>
      <c r="U951" t="str">
        <f t="shared" si="186"/>
        <v>2013-10</v>
      </c>
      <c r="W951">
        <v>19198.099999999999</v>
      </c>
      <c r="X951">
        <f t="shared" si="193"/>
        <v>-3.9996788705143754E-3</v>
      </c>
      <c r="Y951">
        <f t="shared" si="194"/>
        <v>-3.9916908084238643E-3</v>
      </c>
      <c r="Z951" t="str">
        <f t="shared" si="187"/>
        <v>2013-10</v>
      </c>
    </row>
    <row r="952" spans="1:26" x14ac:dyDescent="0.35">
      <c r="A952" s="1">
        <v>41565</v>
      </c>
      <c r="C952">
        <v>3033.31</v>
      </c>
      <c r="D952">
        <f t="shared" si="188"/>
        <v>7.5847940435419718E-3</v>
      </c>
      <c r="E952" t="str">
        <f t="shared" si="182"/>
        <v>2013-10</v>
      </c>
      <c r="G952">
        <v>4286.03</v>
      </c>
      <c r="H952">
        <f t="shared" si="189"/>
        <v>1.0882536581453444E-2</v>
      </c>
      <c r="I952" t="str">
        <f t="shared" si="183"/>
        <v>2013-10</v>
      </c>
      <c r="K952">
        <v>8865.1</v>
      </c>
      <c r="L952">
        <f t="shared" si="190"/>
        <v>6.0100604731963972E-3</v>
      </c>
      <c r="M952" t="str">
        <f t="shared" si="184"/>
        <v>2013-10</v>
      </c>
      <c r="O952">
        <v>7822.1124600000003</v>
      </c>
      <c r="P952">
        <f t="shared" si="191"/>
        <v>5.5209887705879599E-3</v>
      </c>
      <c r="Q952" t="str">
        <f t="shared" si="185"/>
        <v>2013-10</v>
      </c>
      <c r="S952">
        <v>10001.799999999999</v>
      </c>
      <c r="T952">
        <f t="shared" si="192"/>
        <v>8.4137887290473001E-3</v>
      </c>
      <c r="U952" t="str">
        <f t="shared" si="186"/>
        <v>2013-10</v>
      </c>
      <c r="W952">
        <v>19271.02</v>
      </c>
      <c r="X952">
        <f t="shared" si="193"/>
        <v>3.7910972404035874E-3</v>
      </c>
      <c r="Y952">
        <f t="shared" si="194"/>
        <v>3.7982925393659737E-3</v>
      </c>
      <c r="Z952" t="str">
        <f t="shared" si="187"/>
        <v>2013-10</v>
      </c>
    </row>
    <row r="953" spans="1:26" x14ac:dyDescent="0.35">
      <c r="A953" s="1">
        <v>41568</v>
      </c>
      <c r="C953">
        <v>3028.65</v>
      </c>
      <c r="D953">
        <f t="shared" si="188"/>
        <v>-1.5374568350605123E-3</v>
      </c>
      <c r="E953" t="str">
        <f t="shared" si="182"/>
        <v>2013-10</v>
      </c>
      <c r="G953">
        <v>4276.92</v>
      </c>
      <c r="H953">
        <f t="shared" si="189"/>
        <v>-2.1277721899722545E-3</v>
      </c>
      <c r="I953" t="str">
        <f t="shared" si="183"/>
        <v>2013-10</v>
      </c>
      <c r="K953">
        <v>8867.2199999999993</v>
      </c>
      <c r="L953">
        <f t="shared" si="190"/>
        <v>2.3911140900913572E-4</v>
      </c>
      <c r="M953" t="str">
        <f t="shared" si="184"/>
        <v>2013-10</v>
      </c>
      <c r="O953">
        <v>7857.4638599999998</v>
      </c>
      <c r="P953">
        <f t="shared" si="191"/>
        <v>4.5092366246555632E-3</v>
      </c>
      <c r="Q953" t="str">
        <f t="shared" si="185"/>
        <v>2013-10</v>
      </c>
      <c r="S953">
        <v>10037.799999999999</v>
      </c>
      <c r="T953">
        <f t="shared" si="192"/>
        <v>3.5928899505546221E-3</v>
      </c>
      <c r="U953" t="str">
        <f t="shared" si="186"/>
        <v>2013-10</v>
      </c>
      <c r="W953">
        <v>19262.689999999999</v>
      </c>
      <c r="X953">
        <f t="shared" si="193"/>
        <v>-4.3234872166526627E-4</v>
      </c>
      <c r="Y953">
        <f t="shared" si="194"/>
        <v>-4.3225527242469499E-4</v>
      </c>
      <c r="Z953" t="str">
        <f t="shared" si="187"/>
        <v>2013-10</v>
      </c>
    </row>
    <row r="954" spans="1:26" x14ac:dyDescent="0.35">
      <c r="A954" s="1">
        <v>41569</v>
      </c>
      <c r="C954">
        <v>3045.77</v>
      </c>
      <c r="D954">
        <f t="shared" si="188"/>
        <v>5.6367670755923666E-3</v>
      </c>
      <c r="E954" t="str">
        <f t="shared" si="182"/>
        <v>2013-10</v>
      </c>
      <c r="G954">
        <v>4295.43</v>
      </c>
      <c r="H954">
        <f t="shared" si="189"/>
        <v>4.3185424690596547E-3</v>
      </c>
      <c r="I954" t="str">
        <f t="shared" si="183"/>
        <v>2013-10</v>
      </c>
      <c r="K954">
        <v>8947.4599999999991</v>
      </c>
      <c r="L954">
        <f t="shared" si="190"/>
        <v>9.008361938151686E-3</v>
      </c>
      <c r="M954" t="str">
        <f t="shared" si="184"/>
        <v>2013-10</v>
      </c>
      <c r="O954">
        <v>7886.9600600000003</v>
      </c>
      <c r="P954">
        <f t="shared" si="191"/>
        <v>3.7468801219066789E-3</v>
      </c>
      <c r="Q954" t="str">
        <f t="shared" si="185"/>
        <v>2013-10</v>
      </c>
      <c r="S954">
        <v>10012.9</v>
      </c>
      <c r="T954">
        <f t="shared" si="192"/>
        <v>-2.4837050876268117E-3</v>
      </c>
      <c r="U954" t="str">
        <f t="shared" si="186"/>
        <v>2013-10</v>
      </c>
      <c r="W954">
        <v>19371.93</v>
      </c>
      <c r="X954">
        <f t="shared" si="193"/>
        <v>5.6550467492826424E-3</v>
      </c>
      <c r="Y954">
        <f t="shared" si="194"/>
        <v>5.6710667097898378E-3</v>
      </c>
      <c r="Z954" t="str">
        <f t="shared" si="187"/>
        <v>2013-10</v>
      </c>
    </row>
    <row r="955" spans="1:26" x14ac:dyDescent="0.35">
      <c r="A955" s="1">
        <v>41570</v>
      </c>
      <c r="C955">
        <v>3017.16</v>
      </c>
      <c r="D955">
        <f t="shared" si="188"/>
        <v>-9.4377511731604628E-3</v>
      </c>
      <c r="E955" t="str">
        <f t="shared" si="182"/>
        <v>2013-10</v>
      </c>
      <c r="G955">
        <v>4260.66</v>
      </c>
      <c r="H955">
        <f t="shared" si="189"/>
        <v>-8.1275889809441712E-3</v>
      </c>
      <c r="I955" t="str">
        <f t="shared" si="183"/>
        <v>2013-10</v>
      </c>
      <c r="K955">
        <v>8919.86</v>
      </c>
      <c r="L955">
        <f t="shared" si="190"/>
        <v>-3.0894417240739536E-3</v>
      </c>
      <c r="M955" t="str">
        <f t="shared" si="184"/>
        <v>2013-10</v>
      </c>
      <c r="O955">
        <v>7829.4085100000002</v>
      </c>
      <c r="P955">
        <f t="shared" si="191"/>
        <v>-7.3238047313320589E-3</v>
      </c>
      <c r="Q955" t="str">
        <f t="shared" si="185"/>
        <v>2013-10</v>
      </c>
      <c r="S955">
        <v>9828.2999999999993</v>
      </c>
      <c r="T955">
        <f t="shared" si="192"/>
        <v>-1.8608282435338699E-2</v>
      </c>
      <c r="U955" t="str">
        <f t="shared" si="186"/>
        <v>2013-10</v>
      </c>
      <c r="W955">
        <v>18910.68</v>
      </c>
      <c r="X955">
        <f t="shared" si="193"/>
        <v>-2.4098269238272213E-2</v>
      </c>
      <c r="Y955">
        <f t="shared" si="194"/>
        <v>-2.3810224381360039E-2</v>
      </c>
      <c r="Z955" t="str">
        <f t="shared" si="187"/>
        <v>2013-10</v>
      </c>
    </row>
    <row r="956" spans="1:26" x14ac:dyDescent="0.35">
      <c r="A956" s="1">
        <v>41571</v>
      </c>
      <c r="C956">
        <v>3038.96</v>
      </c>
      <c r="D956">
        <f t="shared" si="188"/>
        <v>7.1993600388294901E-3</v>
      </c>
      <c r="E956" t="str">
        <f t="shared" si="182"/>
        <v>2013-10</v>
      </c>
      <c r="G956">
        <v>4275.6899999999996</v>
      </c>
      <c r="H956">
        <f t="shared" si="189"/>
        <v>3.5214150149542956E-3</v>
      </c>
      <c r="I956" t="str">
        <f t="shared" si="183"/>
        <v>2013-10</v>
      </c>
      <c r="K956">
        <v>8980.6299999999992</v>
      </c>
      <c r="L956">
        <f t="shared" si="190"/>
        <v>6.7897843538178388E-3</v>
      </c>
      <c r="M956" t="str">
        <f t="shared" si="184"/>
        <v>2013-10</v>
      </c>
      <c r="O956">
        <v>7876.4606800000001</v>
      </c>
      <c r="P956">
        <f t="shared" si="191"/>
        <v>5.9916850441385453E-3</v>
      </c>
      <c r="Q956" t="str">
        <f t="shared" si="185"/>
        <v>2013-10</v>
      </c>
      <c r="S956">
        <v>9915.4</v>
      </c>
      <c r="T956">
        <f t="shared" si="192"/>
        <v>8.8231248492029977E-3</v>
      </c>
      <c r="U956" t="str">
        <f t="shared" si="186"/>
        <v>2013-10</v>
      </c>
      <c r="W956">
        <v>19152.93</v>
      </c>
      <c r="X956">
        <f t="shared" si="193"/>
        <v>1.2728864700463112E-2</v>
      </c>
      <c r="Y956">
        <f t="shared" si="194"/>
        <v>1.2810221525614097E-2</v>
      </c>
      <c r="Z956" t="str">
        <f t="shared" si="187"/>
        <v>2013-10</v>
      </c>
    </row>
    <row r="957" spans="1:26" x14ac:dyDescent="0.35">
      <c r="A957" s="1">
        <v>41572</v>
      </c>
      <c r="C957">
        <v>3034.5</v>
      </c>
      <c r="D957">
        <f t="shared" si="188"/>
        <v>-1.4686853298444421E-3</v>
      </c>
      <c r="E957" t="str">
        <f t="shared" si="182"/>
        <v>2013-10</v>
      </c>
      <c r="G957">
        <v>4272.3100000000004</v>
      </c>
      <c r="H957">
        <f t="shared" si="189"/>
        <v>-7.9082830513720114E-4</v>
      </c>
      <c r="I957" t="str">
        <f t="shared" si="183"/>
        <v>2013-10</v>
      </c>
      <c r="K957">
        <v>8985.74</v>
      </c>
      <c r="L957">
        <f t="shared" si="190"/>
        <v>5.6884057689902913E-4</v>
      </c>
      <c r="M957" t="str">
        <f t="shared" si="184"/>
        <v>2013-10</v>
      </c>
      <c r="O957">
        <v>7875.58824</v>
      </c>
      <c r="P957">
        <f t="shared" si="191"/>
        <v>-1.1077162156147357E-4</v>
      </c>
      <c r="Q957" t="str">
        <f t="shared" si="185"/>
        <v>2013-10</v>
      </c>
      <c r="S957">
        <v>9815.5</v>
      </c>
      <c r="T957">
        <f t="shared" si="192"/>
        <v>-1.0126335206830317E-2</v>
      </c>
      <c r="U957" t="str">
        <f t="shared" si="186"/>
        <v>2013-10</v>
      </c>
      <c r="W957">
        <v>18874.75</v>
      </c>
      <c r="X957">
        <f t="shared" si="193"/>
        <v>-1.4630656519655795E-2</v>
      </c>
      <c r="Y957">
        <f t="shared" si="194"/>
        <v>-1.452414852453386E-2</v>
      </c>
      <c r="Z957" t="str">
        <f t="shared" si="187"/>
        <v>2013-10</v>
      </c>
    </row>
    <row r="958" spans="1:26" x14ac:dyDescent="0.35">
      <c r="A958" s="1">
        <v>41575</v>
      </c>
      <c r="C958">
        <v>3022.04</v>
      </c>
      <c r="D958">
        <f t="shared" si="188"/>
        <v>-4.1145662634509634E-3</v>
      </c>
      <c r="E958" t="str">
        <f t="shared" si="182"/>
        <v>2013-10</v>
      </c>
      <c r="G958">
        <v>4251.6099999999997</v>
      </c>
      <c r="H958">
        <f t="shared" si="189"/>
        <v>-4.8569298379931933E-3</v>
      </c>
      <c r="I958" t="str">
        <f t="shared" si="183"/>
        <v>2013-10</v>
      </c>
      <c r="K958">
        <v>8978.65</v>
      </c>
      <c r="L958">
        <f t="shared" si="190"/>
        <v>-7.8933939511702223E-4</v>
      </c>
      <c r="M958" t="str">
        <f t="shared" si="184"/>
        <v>2013-10</v>
      </c>
      <c r="O958">
        <v>7874.3448399999997</v>
      </c>
      <c r="P958">
        <f t="shared" si="191"/>
        <v>-1.5789273468877089E-4</v>
      </c>
      <c r="Q958" t="str">
        <f t="shared" si="185"/>
        <v>2013-10</v>
      </c>
      <c r="S958">
        <v>9736.2000000000007</v>
      </c>
      <c r="T958">
        <f t="shared" si="192"/>
        <v>-8.1118710745420319E-3</v>
      </c>
      <c r="U958" t="str">
        <f t="shared" si="186"/>
        <v>2013-10</v>
      </c>
      <c r="W958">
        <v>18829.419999999998</v>
      </c>
      <c r="X958">
        <f t="shared" si="193"/>
        <v>-2.4045097314300246E-3</v>
      </c>
      <c r="Y958">
        <f t="shared" si="194"/>
        <v>-2.4016212135260996E-3</v>
      </c>
      <c r="Z958" t="str">
        <f t="shared" si="187"/>
        <v>2013-10</v>
      </c>
    </row>
    <row r="959" spans="1:26" x14ac:dyDescent="0.35">
      <c r="A959" s="1">
        <v>41576</v>
      </c>
      <c r="C959">
        <v>3050.64</v>
      </c>
      <c r="D959">
        <f t="shared" si="188"/>
        <v>9.4193046420641691E-3</v>
      </c>
      <c r="E959" t="str">
        <f t="shared" si="182"/>
        <v>2013-10</v>
      </c>
      <c r="G959">
        <v>4278.09</v>
      </c>
      <c r="H959">
        <f t="shared" si="189"/>
        <v>6.2089135768637164E-3</v>
      </c>
      <c r="I959" t="str">
        <f t="shared" si="183"/>
        <v>2013-10</v>
      </c>
      <c r="K959">
        <v>9022.0400000000009</v>
      </c>
      <c r="L959">
        <f t="shared" si="190"/>
        <v>4.8209356460304723E-3</v>
      </c>
      <c r="M959" t="str">
        <f t="shared" si="184"/>
        <v>2013-10</v>
      </c>
      <c r="O959">
        <v>7899.4978300000002</v>
      </c>
      <c r="P959">
        <f t="shared" si="191"/>
        <v>3.1892052996260111E-3</v>
      </c>
      <c r="Q959" t="str">
        <f t="shared" si="185"/>
        <v>2013-10</v>
      </c>
      <c r="S959">
        <v>9863.9</v>
      </c>
      <c r="T959">
        <f t="shared" si="192"/>
        <v>1.3030730144144206E-2</v>
      </c>
      <c r="U959" t="str">
        <f t="shared" si="186"/>
        <v>2013-10</v>
      </c>
      <c r="W959">
        <v>19256.900000000001</v>
      </c>
      <c r="X959">
        <f t="shared" si="193"/>
        <v>2.2448897784576725E-2</v>
      </c>
      <c r="Y959">
        <f t="shared" si="194"/>
        <v>2.2702770451771919E-2</v>
      </c>
      <c r="Z959" t="str">
        <f t="shared" si="187"/>
        <v>2013-10</v>
      </c>
    </row>
    <row r="960" spans="1:26" x14ac:dyDescent="0.35">
      <c r="A960" s="1">
        <v>41577</v>
      </c>
      <c r="C960">
        <v>3040.69</v>
      </c>
      <c r="D960">
        <f t="shared" si="188"/>
        <v>-3.2669413246749031E-3</v>
      </c>
      <c r="E960" t="str">
        <f t="shared" si="182"/>
        <v>2013-10</v>
      </c>
      <c r="G960">
        <v>4274.1099999999997</v>
      </c>
      <c r="H960">
        <f t="shared" si="189"/>
        <v>-9.3075472681296311E-4</v>
      </c>
      <c r="I960" t="str">
        <f t="shared" si="183"/>
        <v>2013-10</v>
      </c>
      <c r="K960">
        <v>9010.27</v>
      </c>
      <c r="L960">
        <f t="shared" si="190"/>
        <v>-1.3054347081985138E-3</v>
      </c>
      <c r="M960" t="str">
        <f t="shared" si="184"/>
        <v>2013-10</v>
      </c>
      <c r="O960">
        <v>7908.3010800000002</v>
      </c>
      <c r="P960">
        <f t="shared" si="191"/>
        <v>1.1137857914526278E-3</v>
      </c>
      <c r="Q960" t="str">
        <f t="shared" si="185"/>
        <v>2013-10</v>
      </c>
      <c r="S960">
        <v>9778.7000000000007</v>
      </c>
      <c r="T960">
        <f t="shared" si="192"/>
        <v>-8.6750770594278704E-3</v>
      </c>
      <c r="U960" t="str">
        <f t="shared" si="186"/>
        <v>2013-10</v>
      </c>
      <c r="W960">
        <v>19166.93</v>
      </c>
      <c r="X960">
        <f t="shared" si="193"/>
        <v>-4.6830398961573904E-3</v>
      </c>
      <c r="Y960">
        <f t="shared" si="194"/>
        <v>-4.672091561985634E-3</v>
      </c>
      <c r="Z960" t="str">
        <f t="shared" si="187"/>
        <v>2013-10</v>
      </c>
    </row>
    <row r="961" spans="1:26" x14ac:dyDescent="0.35">
      <c r="A961" s="1">
        <v>41578</v>
      </c>
      <c r="C961">
        <v>3067.95</v>
      </c>
      <c r="D961">
        <f t="shared" si="188"/>
        <v>8.9251227624366058E-3</v>
      </c>
      <c r="E961" t="str">
        <f t="shared" si="182"/>
        <v>2013-10</v>
      </c>
      <c r="G961">
        <v>4299.8900000000003</v>
      </c>
      <c r="H961">
        <f t="shared" si="189"/>
        <v>6.0135473966876525E-3</v>
      </c>
      <c r="I961" t="str">
        <f t="shared" si="183"/>
        <v>2013-10</v>
      </c>
      <c r="K961">
        <v>9033.92</v>
      </c>
      <c r="L961">
        <f t="shared" si="190"/>
        <v>2.6213438832630239E-3</v>
      </c>
      <c r="M961" t="str">
        <f t="shared" si="184"/>
        <v>2013-10</v>
      </c>
      <c r="O961">
        <v>7945.1564799999996</v>
      </c>
      <c r="P961">
        <f t="shared" si="191"/>
        <v>4.6495177793918034E-3</v>
      </c>
      <c r="Q961" t="str">
        <f t="shared" si="185"/>
        <v>2013-10</v>
      </c>
      <c r="S961">
        <v>9907.9</v>
      </c>
      <c r="T961">
        <f t="shared" si="192"/>
        <v>1.3125867845795457E-2</v>
      </c>
      <c r="U961" t="str">
        <f t="shared" si="186"/>
        <v>2013-10</v>
      </c>
      <c r="W961">
        <v>19351.52</v>
      </c>
      <c r="X961">
        <f t="shared" si="193"/>
        <v>9.5845711909951677E-3</v>
      </c>
      <c r="Y961">
        <f t="shared" si="194"/>
        <v>9.6306502919351264E-3</v>
      </c>
      <c r="Z961" t="str">
        <f t="shared" si="187"/>
        <v>2013-10</v>
      </c>
    </row>
    <row r="962" spans="1:26" x14ac:dyDescent="0.35">
      <c r="A962" s="1">
        <v>41579</v>
      </c>
      <c r="C962">
        <v>3052.14</v>
      </c>
      <c r="D962">
        <f t="shared" si="188"/>
        <v>-5.1666021803722069E-3</v>
      </c>
      <c r="E962" t="str">
        <f t="shared" si="182"/>
        <v>2013-11</v>
      </c>
      <c r="G962">
        <v>4273.1899999999996</v>
      </c>
      <c r="H962">
        <f t="shared" si="189"/>
        <v>-6.2288200567213693E-3</v>
      </c>
      <c r="I962" t="str">
        <f t="shared" si="183"/>
        <v>2013-11</v>
      </c>
      <c r="K962">
        <v>9007.83</v>
      </c>
      <c r="L962">
        <f t="shared" si="190"/>
        <v>-2.8921826526023707E-3</v>
      </c>
      <c r="M962" t="str">
        <f t="shared" si="184"/>
        <v>2013-11</v>
      </c>
      <c r="O962">
        <v>7945.4461300000003</v>
      </c>
      <c r="P962">
        <f t="shared" si="191"/>
        <v>3.6455508597306783E-5</v>
      </c>
      <c r="Q962" t="str">
        <f t="shared" si="185"/>
        <v>2013-11</v>
      </c>
      <c r="S962">
        <v>9838.2999999999993</v>
      </c>
      <c r="T962">
        <f t="shared" si="192"/>
        <v>-7.049486810859304E-3</v>
      </c>
      <c r="U962" t="str">
        <f t="shared" si="186"/>
        <v>2013-11</v>
      </c>
      <c r="W962">
        <v>19164.259999999998</v>
      </c>
      <c r="X962">
        <f t="shared" si="193"/>
        <v>-9.7238833284122115E-3</v>
      </c>
      <c r="Y962">
        <f t="shared" si="194"/>
        <v>-9.6767592416514073E-3</v>
      </c>
      <c r="Z962" t="str">
        <f t="shared" si="187"/>
        <v>2013-11</v>
      </c>
    </row>
    <row r="963" spans="1:26" x14ac:dyDescent="0.35">
      <c r="A963" s="1">
        <v>41582</v>
      </c>
      <c r="C963">
        <v>3061.18</v>
      </c>
      <c r="D963">
        <f t="shared" si="188"/>
        <v>2.9574786169100074E-3</v>
      </c>
      <c r="E963" t="str">
        <f t="shared" si="182"/>
        <v>2013-11</v>
      </c>
      <c r="G963">
        <v>4288.59</v>
      </c>
      <c r="H963">
        <f t="shared" si="189"/>
        <v>3.5973866667582985E-3</v>
      </c>
      <c r="I963" t="str">
        <f t="shared" si="183"/>
        <v>2013-11</v>
      </c>
      <c r="K963">
        <v>9037.23</v>
      </c>
      <c r="L963">
        <f t="shared" si="190"/>
        <v>3.2585124143513014E-3</v>
      </c>
      <c r="M963" t="str">
        <f t="shared" si="184"/>
        <v>2013-11</v>
      </c>
      <c r="O963">
        <v>7985.0864199999996</v>
      </c>
      <c r="P963">
        <f t="shared" si="191"/>
        <v>4.9766536919059164E-3</v>
      </c>
      <c r="Q963" t="str">
        <f t="shared" si="185"/>
        <v>2013-11</v>
      </c>
      <c r="S963">
        <v>9873.7999999999993</v>
      </c>
      <c r="T963">
        <f t="shared" si="192"/>
        <v>3.6018525047519911E-3</v>
      </c>
      <c r="U963" t="str">
        <f t="shared" si="186"/>
        <v>2013-11</v>
      </c>
      <c r="W963">
        <v>19310.689999999999</v>
      </c>
      <c r="X963">
        <f t="shared" si="193"/>
        <v>7.6117425491331429E-3</v>
      </c>
      <c r="Y963">
        <f t="shared" si="194"/>
        <v>7.6407855038493691E-3</v>
      </c>
      <c r="Z963" t="str">
        <f t="shared" si="187"/>
        <v>2013-11</v>
      </c>
    </row>
    <row r="964" spans="1:26" x14ac:dyDescent="0.35">
      <c r="A964" s="1">
        <v>41583</v>
      </c>
      <c r="C964">
        <v>3035.92</v>
      </c>
      <c r="D964">
        <f t="shared" si="188"/>
        <v>-8.2859538216149085E-3</v>
      </c>
      <c r="E964" t="str">
        <f t="shared" ref="E964:E1027" si="195">_xlfn.CONCAT(YEAR(A964),"-",TEXT(MONTH(A964),"00"))</f>
        <v>2013-11</v>
      </c>
      <c r="G964">
        <v>4253.34</v>
      </c>
      <c r="H964">
        <f t="shared" si="189"/>
        <v>-8.2534509415704855E-3</v>
      </c>
      <c r="I964" t="str">
        <f t="shared" ref="I964:I1027" si="196">_xlfn.CONCAT(YEAR(A964),"-",TEXT(MONTH(A964),"00"))</f>
        <v>2013-11</v>
      </c>
      <c r="K964">
        <v>9009.11</v>
      </c>
      <c r="L964">
        <f t="shared" si="190"/>
        <v>-3.1164239129572043E-3</v>
      </c>
      <c r="M964" t="str">
        <f t="shared" ref="M964:M1027" si="197">_xlfn.CONCAT(YEAR(A964),"-",TEXT(MONTH(A964),"00"))</f>
        <v>2013-11</v>
      </c>
      <c r="O964">
        <v>8031.69</v>
      </c>
      <c r="P964">
        <f t="shared" si="191"/>
        <v>5.819362185867441E-3</v>
      </c>
      <c r="Q964" t="str">
        <f t="shared" ref="Q964:Q1027" si="198">_xlfn.CONCAT(YEAR(A964),"-",TEXT(MONTH(A964),"00"))</f>
        <v>2013-11</v>
      </c>
      <c r="S964">
        <v>9795.7000000000007</v>
      </c>
      <c r="T964">
        <f t="shared" si="192"/>
        <v>-7.9412705396328907E-3</v>
      </c>
      <c r="U964" t="str">
        <f t="shared" ref="U964:U1027" si="199">_xlfn.CONCAT(YEAR(A964),"-",TEXT(MONTH(A964),"00"))</f>
        <v>2013-11</v>
      </c>
      <c r="W964">
        <v>19091.93</v>
      </c>
      <c r="X964">
        <f t="shared" si="193"/>
        <v>-1.1393095903191097E-2</v>
      </c>
      <c r="Y964">
        <f t="shared" si="194"/>
        <v>-1.1328440361271317E-2</v>
      </c>
      <c r="Z964" t="str">
        <f t="shared" ref="Z964:Z1027" si="200">_xlfn.CONCAT(YEAR(A964),"-",TEXT(MONTH(A964),"00"))</f>
        <v>2013-11</v>
      </c>
    </row>
    <row r="965" spans="1:26" x14ac:dyDescent="0.35">
      <c r="A965" s="1">
        <v>41584</v>
      </c>
      <c r="C965">
        <v>3056.4</v>
      </c>
      <c r="D965">
        <f t="shared" ref="D965:D1028" si="201">LN(C965/C964)</f>
        <v>6.7232440662037627E-3</v>
      </c>
      <c r="E965" t="str">
        <f t="shared" si="195"/>
        <v>2013-11</v>
      </c>
      <c r="G965">
        <v>4286.93</v>
      </c>
      <c r="H965">
        <f t="shared" ref="H965:H1028" si="202">LN(G965/G964)</f>
        <v>7.8663024023018883E-3</v>
      </c>
      <c r="I965" t="str">
        <f t="shared" si="196"/>
        <v>2013-11</v>
      </c>
      <c r="K965">
        <v>9040.8700000000008</v>
      </c>
      <c r="L965">
        <f t="shared" ref="L965:L1028" si="203">LN(K965/K964)</f>
        <v>3.5191211044973735E-3</v>
      </c>
      <c r="M965" t="str">
        <f t="shared" si="197"/>
        <v>2013-11</v>
      </c>
      <c r="O965">
        <v>8018.6536100000003</v>
      </c>
      <c r="P965">
        <f t="shared" ref="P965:P1028" si="204">LN(O965/O964)</f>
        <v>-1.624437854224842E-3</v>
      </c>
      <c r="Q965" t="str">
        <f t="shared" si="198"/>
        <v>2013-11</v>
      </c>
      <c r="S965">
        <v>9837.1</v>
      </c>
      <c r="T965">
        <f t="shared" ref="T965:T1028" si="205">LN(S965/S964)</f>
        <v>4.2174383036950591E-3</v>
      </c>
      <c r="U965" t="str">
        <f t="shared" si="199"/>
        <v>2013-11</v>
      </c>
      <c r="W965">
        <v>19262.509999999998</v>
      </c>
      <c r="X965">
        <f t="shared" ref="X965:X1028" si="206">LN(W965/W964)</f>
        <v>8.8949871097388881E-3</v>
      </c>
      <c r="Y965">
        <f t="shared" ref="Y965:Y1028" si="207">(W965-W964)/W964</f>
        <v>8.9346650652918861E-3</v>
      </c>
      <c r="Z965" t="str">
        <f t="shared" si="200"/>
        <v>2013-11</v>
      </c>
    </row>
    <row r="966" spans="1:26" x14ac:dyDescent="0.35">
      <c r="A966" s="1">
        <v>41585</v>
      </c>
      <c r="C966">
        <v>3042.98</v>
      </c>
      <c r="D966">
        <f t="shared" si="201"/>
        <v>-4.4004543594260573E-3</v>
      </c>
      <c r="E966" t="str">
        <f t="shared" si="195"/>
        <v>2013-11</v>
      </c>
      <c r="G966">
        <v>4280.99</v>
      </c>
      <c r="H966">
        <f t="shared" si="202"/>
        <v>-1.386567790472506E-3</v>
      </c>
      <c r="I966" t="str">
        <f t="shared" si="196"/>
        <v>2013-11</v>
      </c>
      <c r="K966">
        <v>9081.0300000000007</v>
      </c>
      <c r="L966">
        <f t="shared" si="203"/>
        <v>4.4322135916906686E-3</v>
      </c>
      <c r="M966" t="str">
        <f t="shared" si="197"/>
        <v>2013-11</v>
      </c>
      <c r="O966">
        <v>8033.1667600000001</v>
      </c>
      <c r="P966">
        <f t="shared" si="204"/>
        <v>1.8082876110227354E-3</v>
      </c>
      <c r="Q966" t="str">
        <f t="shared" si="198"/>
        <v>2013-11</v>
      </c>
      <c r="S966">
        <v>9740.4</v>
      </c>
      <c r="T966">
        <f t="shared" si="205"/>
        <v>-9.8787676068824003E-3</v>
      </c>
      <c r="U966" t="str">
        <f t="shared" si="199"/>
        <v>2013-11</v>
      </c>
      <c r="W966">
        <v>18863.41</v>
      </c>
      <c r="X966">
        <f t="shared" si="206"/>
        <v>-2.0936652989130774E-2</v>
      </c>
      <c r="Y966">
        <f t="shared" si="207"/>
        <v>-2.0719002871380655E-2</v>
      </c>
      <c r="Z966" t="str">
        <f t="shared" si="200"/>
        <v>2013-11</v>
      </c>
    </row>
    <row r="967" spans="1:26" x14ac:dyDescent="0.35">
      <c r="A967" s="1">
        <v>41586</v>
      </c>
      <c r="C967">
        <v>3034.91</v>
      </c>
      <c r="D967">
        <f t="shared" si="201"/>
        <v>-2.6555283963204386E-3</v>
      </c>
      <c r="E967" t="str">
        <f t="shared" si="195"/>
        <v>2013-11</v>
      </c>
      <c r="G967">
        <v>4260.4399999999996</v>
      </c>
      <c r="H967">
        <f t="shared" si="202"/>
        <v>-4.8118499246702535E-3</v>
      </c>
      <c r="I967" t="str">
        <f t="shared" si="196"/>
        <v>2013-11</v>
      </c>
      <c r="K967">
        <v>9078.2800000000007</v>
      </c>
      <c r="L967">
        <f t="shared" si="203"/>
        <v>-3.0287494635226133E-4</v>
      </c>
      <c r="M967" t="str">
        <f t="shared" si="197"/>
        <v>2013-11</v>
      </c>
      <c r="O967">
        <v>8031.33428</v>
      </c>
      <c r="P967">
        <f t="shared" si="204"/>
        <v>-2.2814029559780366E-4</v>
      </c>
      <c r="Q967" t="str">
        <f t="shared" si="198"/>
        <v>2013-11</v>
      </c>
      <c r="S967">
        <v>9747.2000000000007</v>
      </c>
      <c r="T967">
        <f t="shared" si="205"/>
        <v>6.9787970565779575E-4</v>
      </c>
      <c r="U967" t="str">
        <f t="shared" si="199"/>
        <v>2013-11</v>
      </c>
      <c r="W967">
        <v>18961.71</v>
      </c>
      <c r="X967">
        <f t="shared" si="206"/>
        <v>5.1976158330494324E-3</v>
      </c>
      <c r="Y967">
        <f t="shared" si="207"/>
        <v>5.2111468711118127E-3</v>
      </c>
      <c r="Z967" t="str">
        <f t="shared" si="200"/>
        <v>2013-11</v>
      </c>
    </row>
    <row r="968" spans="1:26" x14ac:dyDescent="0.35">
      <c r="A968" s="1">
        <v>41589</v>
      </c>
      <c r="C968">
        <v>3052.83</v>
      </c>
      <c r="D968">
        <f t="shared" si="201"/>
        <v>5.8872592320423868E-3</v>
      </c>
      <c r="E968" t="str">
        <f t="shared" si="195"/>
        <v>2013-11</v>
      </c>
      <c r="G968">
        <v>4290.1400000000003</v>
      </c>
      <c r="H968">
        <f t="shared" si="202"/>
        <v>6.9469251074971089E-3</v>
      </c>
      <c r="I968" t="str">
        <f t="shared" si="196"/>
        <v>2013-11</v>
      </c>
      <c r="K968">
        <v>9107.86</v>
      </c>
      <c r="L968">
        <f t="shared" si="203"/>
        <v>3.2530296242218857E-3</v>
      </c>
      <c r="M968" t="str">
        <f t="shared" si="197"/>
        <v>2013-11</v>
      </c>
      <c r="O968">
        <v>8021.0322999999999</v>
      </c>
      <c r="P968">
        <f t="shared" si="204"/>
        <v>-1.2835467422236328E-3</v>
      </c>
      <c r="Q968" t="str">
        <f t="shared" si="198"/>
        <v>2013-11</v>
      </c>
      <c r="S968">
        <v>9789.5</v>
      </c>
      <c r="T968">
        <f t="shared" si="205"/>
        <v>4.3303184365396869E-3</v>
      </c>
      <c r="U968" t="str">
        <f t="shared" si="199"/>
        <v>2013-11</v>
      </c>
      <c r="W968">
        <v>19107.849999999999</v>
      </c>
      <c r="X968">
        <f t="shared" si="206"/>
        <v>7.6775627483366693E-3</v>
      </c>
      <c r="Y968">
        <f t="shared" si="207"/>
        <v>7.7071108038251519E-3</v>
      </c>
      <c r="Z968" t="str">
        <f t="shared" si="200"/>
        <v>2013-11</v>
      </c>
    </row>
    <row r="969" spans="1:26" x14ac:dyDescent="0.35">
      <c r="A969" s="1">
        <v>41590</v>
      </c>
      <c r="C969">
        <v>3034.68</v>
      </c>
      <c r="D969">
        <f t="shared" si="201"/>
        <v>-5.9630468882464127E-3</v>
      </c>
      <c r="E969" t="str">
        <f t="shared" si="195"/>
        <v>2013-11</v>
      </c>
      <c r="G969">
        <v>4263.78</v>
      </c>
      <c r="H969">
        <f t="shared" si="202"/>
        <v>-6.1632756543093413E-3</v>
      </c>
      <c r="I969" t="str">
        <f t="shared" si="196"/>
        <v>2013-11</v>
      </c>
      <c r="K969">
        <v>9076.48</v>
      </c>
      <c r="L969">
        <f t="shared" si="203"/>
        <v>-3.4513247276436467E-3</v>
      </c>
      <c r="M969" t="str">
        <f t="shared" si="197"/>
        <v>2013-11</v>
      </c>
      <c r="O969">
        <v>7964.3552200000004</v>
      </c>
      <c r="P969">
        <f t="shared" si="204"/>
        <v>-7.0911408842687651E-3</v>
      </c>
      <c r="Q969" t="str">
        <f t="shared" si="198"/>
        <v>2013-11</v>
      </c>
      <c r="S969">
        <v>9707.6</v>
      </c>
      <c r="T969">
        <f t="shared" si="205"/>
        <v>-8.4012988311459955E-3</v>
      </c>
      <c r="U969" t="str">
        <f t="shared" si="199"/>
        <v>2013-11</v>
      </c>
      <c r="W969">
        <v>19005.02</v>
      </c>
      <c r="X969">
        <f t="shared" si="206"/>
        <v>-5.396090586466078E-3</v>
      </c>
      <c r="Y969">
        <f t="shared" si="207"/>
        <v>-5.3815578414106308E-3</v>
      </c>
      <c r="Z969" t="str">
        <f t="shared" si="200"/>
        <v>2013-11</v>
      </c>
    </row>
    <row r="970" spans="1:26" x14ac:dyDescent="0.35">
      <c r="A970" s="1">
        <v>41591</v>
      </c>
      <c r="C970">
        <v>3021.17</v>
      </c>
      <c r="D970">
        <f t="shared" si="201"/>
        <v>-4.4618088006760986E-3</v>
      </c>
      <c r="E970" t="str">
        <f t="shared" si="195"/>
        <v>2013-11</v>
      </c>
      <c r="G970">
        <v>4239.9399999999996</v>
      </c>
      <c r="H970">
        <f t="shared" si="202"/>
        <v>-5.6069725854274166E-3</v>
      </c>
      <c r="I970" t="str">
        <f t="shared" si="196"/>
        <v>2013-11</v>
      </c>
      <c r="K970">
        <v>9054.83</v>
      </c>
      <c r="L970">
        <f t="shared" si="203"/>
        <v>-2.3881352521692048E-3</v>
      </c>
      <c r="M970" t="str">
        <f t="shared" si="197"/>
        <v>2013-11</v>
      </c>
      <c r="O970">
        <v>7896.9637300000004</v>
      </c>
      <c r="P970">
        <f t="shared" si="204"/>
        <v>-8.4976408001979399E-3</v>
      </c>
      <c r="Q970" t="str">
        <f t="shared" si="198"/>
        <v>2013-11</v>
      </c>
      <c r="S970">
        <v>9675.2000000000007</v>
      </c>
      <c r="T970">
        <f t="shared" si="205"/>
        <v>-3.3431733472331551E-3</v>
      </c>
      <c r="U970" t="str">
        <f t="shared" si="199"/>
        <v>2013-11</v>
      </c>
      <c r="W970">
        <v>18733.02</v>
      </c>
      <c r="X970">
        <f t="shared" si="206"/>
        <v>-1.4415412682294531E-2</v>
      </c>
      <c r="Y970">
        <f t="shared" si="207"/>
        <v>-1.4312008090493985E-2</v>
      </c>
      <c r="Z970" t="str">
        <f t="shared" si="200"/>
        <v>2013-11</v>
      </c>
    </row>
    <row r="971" spans="1:26" x14ac:dyDescent="0.35">
      <c r="A971" s="1">
        <v>41592</v>
      </c>
      <c r="C971">
        <v>3053.69</v>
      </c>
      <c r="D971">
        <f t="shared" si="201"/>
        <v>1.0706521844338618E-2</v>
      </c>
      <c r="E971" t="str">
        <f t="shared" si="195"/>
        <v>2013-11</v>
      </c>
      <c r="G971">
        <v>4283.91</v>
      </c>
      <c r="H971">
        <f t="shared" si="202"/>
        <v>1.0317025761116896E-2</v>
      </c>
      <c r="I971" t="str">
        <f t="shared" si="196"/>
        <v>2013-11</v>
      </c>
      <c r="K971">
        <v>9149.66</v>
      </c>
      <c r="L971">
        <f t="shared" si="203"/>
        <v>1.0418403125875261E-2</v>
      </c>
      <c r="M971" t="str">
        <f t="shared" si="197"/>
        <v>2013-11</v>
      </c>
      <c r="O971">
        <v>7952.1507700000002</v>
      </c>
      <c r="P971">
        <f t="shared" si="204"/>
        <v>6.9640815630713365E-3</v>
      </c>
      <c r="Q971" t="str">
        <f t="shared" si="198"/>
        <v>2013-11</v>
      </c>
      <c r="S971">
        <v>9708.7000000000007</v>
      </c>
      <c r="T971">
        <f t="shared" si="205"/>
        <v>3.4564802080848515E-3</v>
      </c>
      <c r="U971" t="str">
        <f t="shared" si="199"/>
        <v>2013-11</v>
      </c>
      <c r="W971">
        <v>18760.78</v>
      </c>
      <c r="X971">
        <f t="shared" si="206"/>
        <v>1.4807784258972882E-3</v>
      </c>
      <c r="Y971">
        <f t="shared" si="207"/>
        <v>1.4818753196226982E-3</v>
      </c>
      <c r="Z971" t="str">
        <f t="shared" si="200"/>
        <v>2013-11</v>
      </c>
    </row>
    <row r="972" spans="1:26" x14ac:dyDescent="0.35">
      <c r="A972" s="1">
        <v>41593</v>
      </c>
      <c r="C972">
        <v>3054.53</v>
      </c>
      <c r="D972">
        <f t="shared" si="201"/>
        <v>2.750392111925574E-4</v>
      </c>
      <c r="E972" t="str">
        <f t="shared" si="195"/>
        <v>2013-11</v>
      </c>
      <c r="G972">
        <v>4292.2299999999996</v>
      </c>
      <c r="H972">
        <f t="shared" si="202"/>
        <v>1.940267442030547E-3</v>
      </c>
      <c r="I972" t="str">
        <f t="shared" si="196"/>
        <v>2013-11</v>
      </c>
      <c r="K972">
        <v>9168.69</v>
      </c>
      <c r="L972">
        <f t="shared" si="203"/>
        <v>2.0776987933713029E-3</v>
      </c>
      <c r="M972" t="str">
        <f t="shared" si="197"/>
        <v>2013-11</v>
      </c>
      <c r="O972">
        <v>7995.2870199999998</v>
      </c>
      <c r="P972">
        <f t="shared" si="204"/>
        <v>5.4098163943965168E-3</v>
      </c>
      <c r="Q972" t="str">
        <f t="shared" si="198"/>
        <v>2013-11</v>
      </c>
      <c r="S972">
        <v>9695.9</v>
      </c>
      <c r="T972">
        <f t="shared" si="205"/>
        <v>-1.3192750024757025E-3</v>
      </c>
      <c r="U972" t="str">
        <f t="shared" si="199"/>
        <v>2013-11</v>
      </c>
      <c r="W972">
        <v>18687.189999999999</v>
      </c>
      <c r="X972">
        <f t="shared" si="206"/>
        <v>-3.9302581543549505E-3</v>
      </c>
      <c r="Y972">
        <f t="shared" si="207"/>
        <v>-3.9225447982440039E-3</v>
      </c>
      <c r="Z972" t="str">
        <f t="shared" si="200"/>
        <v>2013-11</v>
      </c>
    </row>
    <row r="973" spans="1:26" x14ac:dyDescent="0.35">
      <c r="A973" s="1">
        <v>41596</v>
      </c>
      <c r="C973">
        <v>3081.3</v>
      </c>
      <c r="D973">
        <f t="shared" si="201"/>
        <v>8.7258512235521765E-3</v>
      </c>
      <c r="E973" t="str">
        <f t="shared" si="195"/>
        <v>2013-11</v>
      </c>
      <c r="G973">
        <v>4320.68</v>
      </c>
      <c r="H973">
        <f t="shared" si="202"/>
        <v>6.606385872688283E-3</v>
      </c>
      <c r="I973" t="str">
        <f t="shared" si="196"/>
        <v>2013-11</v>
      </c>
      <c r="K973">
        <v>9225.43</v>
      </c>
      <c r="L973">
        <f t="shared" si="203"/>
        <v>6.1693823859255087E-3</v>
      </c>
      <c r="M973" t="str">
        <f t="shared" si="197"/>
        <v>2013-11</v>
      </c>
      <c r="O973">
        <v>8014.5952699999998</v>
      </c>
      <c r="P973">
        <f t="shared" si="204"/>
        <v>2.4120426385972455E-3</v>
      </c>
      <c r="Q973" t="str">
        <f t="shared" si="198"/>
        <v>2013-11</v>
      </c>
      <c r="S973">
        <v>9783.1</v>
      </c>
      <c r="T973">
        <f t="shared" si="205"/>
        <v>8.9532914939783829E-3</v>
      </c>
      <c r="U973" t="str">
        <f t="shared" si="199"/>
        <v>2013-11</v>
      </c>
      <c r="W973">
        <v>19105.46</v>
      </c>
      <c r="X973">
        <f t="shared" si="206"/>
        <v>2.2135895691087693E-2</v>
      </c>
      <c r="Y973">
        <f t="shared" si="207"/>
        <v>2.2382712435631065E-2</v>
      </c>
      <c r="Z973" t="str">
        <f t="shared" si="200"/>
        <v>2013-11</v>
      </c>
    </row>
    <row r="974" spans="1:26" x14ac:dyDescent="0.35">
      <c r="A974" s="1">
        <v>41597</v>
      </c>
      <c r="C974">
        <v>3049.17</v>
      </c>
      <c r="D974">
        <f t="shared" si="201"/>
        <v>-1.0482163420351735E-2</v>
      </c>
      <c r="E974" t="str">
        <f t="shared" si="195"/>
        <v>2013-11</v>
      </c>
      <c r="G974">
        <v>4272.29</v>
      </c>
      <c r="H974">
        <f t="shared" si="202"/>
        <v>-1.126281402716286E-2</v>
      </c>
      <c r="I974" t="str">
        <f t="shared" si="196"/>
        <v>2013-11</v>
      </c>
      <c r="K974">
        <v>9193.2900000000009</v>
      </c>
      <c r="L974">
        <f t="shared" si="203"/>
        <v>-3.489931181002119E-3</v>
      </c>
      <c r="M974" t="str">
        <f t="shared" si="197"/>
        <v>2013-11</v>
      </c>
      <c r="O974">
        <v>7977.63868</v>
      </c>
      <c r="P974">
        <f t="shared" si="204"/>
        <v>-4.621825306228078E-3</v>
      </c>
      <c r="Q974" t="str">
        <f t="shared" si="198"/>
        <v>2013-11</v>
      </c>
      <c r="S974">
        <v>9629.7999999999993</v>
      </c>
      <c r="T974">
        <f t="shared" si="205"/>
        <v>-1.5793950074015219E-2</v>
      </c>
      <c r="U974" t="str">
        <f t="shared" si="199"/>
        <v>2013-11</v>
      </c>
      <c r="W974">
        <v>18766.78</v>
      </c>
      <c r="X974">
        <f t="shared" si="206"/>
        <v>-1.7885872539961139E-2</v>
      </c>
      <c r="Y974">
        <f t="shared" si="207"/>
        <v>-1.7726869701122104E-2</v>
      </c>
      <c r="Z974" t="str">
        <f t="shared" si="200"/>
        <v>2013-11</v>
      </c>
    </row>
    <row r="975" spans="1:26" x14ac:dyDescent="0.35">
      <c r="A975" s="1">
        <v>41598</v>
      </c>
      <c r="C975">
        <v>3047.32</v>
      </c>
      <c r="D975">
        <f t="shared" si="201"/>
        <v>-6.0690661570345777E-4</v>
      </c>
      <c r="E975" t="str">
        <f t="shared" si="195"/>
        <v>2013-11</v>
      </c>
      <c r="G975">
        <v>4268.37</v>
      </c>
      <c r="H975">
        <f t="shared" si="202"/>
        <v>-9.1796190815864628E-4</v>
      </c>
      <c r="I975" t="str">
        <f t="shared" si="196"/>
        <v>2013-11</v>
      </c>
      <c r="K975">
        <v>9202.07</v>
      </c>
      <c r="L975">
        <f t="shared" si="203"/>
        <v>9.5458862090455707E-4</v>
      </c>
      <c r="M975" t="str">
        <f t="shared" si="197"/>
        <v>2013-11</v>
      </c>
      <c r="O975">
        <v>8019.3839900000003</v>
      </c>
      <c r="P975">
        <f t="shared" si="204"/>
        <v>5.2191467901504269E-3</v>
      </c>
      <c r="Q975" t="str">
        <f t="shared" si="198"/>
        <v>2013-11</v>
      </c>
      <c r="S975">
        <v>9559.5</v>
      </c>
      <c r="T975">
        <f t="shared" si="205"/>
        <v>-7.3270327220623767E-3</v>
      </c>
      <c r="U975" t="str">
        <f t="shared" si="199"/>
        <v>2013-11</v>
      </c>
      <c r="W975">
        <v>18728.25</v>
      </c>
      <c r="X975">
        <f t="shared" si="206"/>
        <v>-2.0552064400082663E-3</v>
      </c>
      <c r="Y975">
        <f t="shared" si="207"/>
        <v>-2.0530959493316827E-3</v>
      </c>
      <c r="Z975" t="str">
        <f t="shared" si="200"/>
        <v>2013-11</v>
      </c>
    </row>
    <row r="976" spans="1:26" x14ac:dyDescent="0.35">
      <c r="A976" s="1">
        <v>41599</v>
      </c>
      <c r="C976">
        <v>3044.34</v>
      </c>
      <c r="D976">
        <f t="shared" si="201"/>
        <v>-9.7838692169785729E-4</v>
      </c>
      <c r="E976" t="str">
        <f t="shared" si="195"/>
        <v>2013-11</v>
      </c>
      <c r="G976">
        <v>4253.8999999999996</v>
      </c>
      <c r="H976">
        <f t="shared" si="202"/>
        <v>-3.3958121263731392E-3</v>
      </c>
      <c r="I976" t="str">
        <f t="shared" si="196"/>
        <v>2013-11</v>
      </c>
      <c r="K976">
        <v>9196.08</v>
      </c>
      <c r="L976">
        <f t="shared" si="203"/>
        <v>-6.5115244865879057E-4</v>
      </c>
      <c r="M976" t="str">
        <f t="shared" si="197"/>
        <v>2013-11</v>
      </c>
      <c r="O976">
        <v>8022.1630699999996</v>
      </c>
      <c r="P976">
        <f t="shared" si="204"/>
        <v>3.464852881592276E-4</v>
      </c>
      <c r="Q976" t="str">
        <f t="shared" si="198"/>
        <v>2013-11</v>
      </c>
      <c r="S976">
        <v>9599.2999999999993</v>
      </c>
      <c r="T976">
        <f t="shared" si="205"/>
        <v>4.1547547082529919E-3</v>
      </c>
      <c r="U976" t="str">
        <f t="shared" si="199"/>
        <v>2013-11</v>
      </c>
      <c r="W976">
        <v>18841.849999999999</v>
      </c>
      <c r="X976">
        <f t="shared" si="206"/>
        <v>6.0473805607901294E-3</v>
      </c>
      <c r="Y976">
        <f t="shared" si="207"/>
        <v>6.0657028820097205E-3</v>
      </c>
      <c r="Z976" t="str">
        <f t="shared" si="200"/>
        <v>2013-11</v>
      </c>
    </row>
    <row r="977" spans="1:26" x14ac:dyDescent="0.35">
      <c r="A977" s="1">
        <v>41600</v>
      </c>
      <c r="C977">
        <v>3055.98</v>
      </c>
      <c r="D977">
        <f t="shared" si="201"/>
        <v>3.8161978802625702E-3</v>
      </c>
      <c r="E977" t="str">
        <f t="shared" si="195"/>
        <v>2013-11</v>
      </c>
      <c r="G977">
        <v>4278.53</v>
      </c>
      <c r="H977">
        <f t="shared" si="202"/>
        <v>5.7732834401061249E-3</v>
      </c>
      <c r="I977" t="str">
        <f t="shared" si="196"/>
        <v>2013-11</v>
      </c>
      <c r="K977">
        <v>9219.0400000000009</v>
      </c>
      <c r="L977">
        <f t="shared" si="203"/>
        <v>2.4936043747992454E-3</v>
      </c>
      <c r="M977" t="str">
        <f t="shared" si="197"/>
        <v>2013-11</v>
      </c>
      <c r="O977">
        <v>7989.5398599999999</v>
      </c>
      <c r="P977">
        <f t="shared" si="204"/>
        <v>-4.0749263566834931E-3</v>
      </c>
      <c r="Q977" t="str">
        <f t="shared" si="198"/>
        <v>2013-11</v>
      </c>
      <c r="S977">
        <v>9677.4</v>
      </c>
      <c r="T977">
        <f t="shared" si="205"/>
        <v>8.1030910204804279E-3</v>
      </c>
      <c r="U977" t="str">
        <f t="shared" si="199"/>
        <v>2013-11</v>
      </c>
      <c r="W977">
        <v>18822.310000000001</v>
      </c>
      <c r="X977">
        <f t="shared" si="206"/>
        <v>-1.0375912672977679E-3</v>
      </c>
      <c r="Y977">
        <f t="shared" si="207"/>
        <v>-1.0370531556082464E-3</v>
      </c>
      <c r="Z977" t="str">
        <f t="shared" si="200"/>
        <v>2013-11</v>
      </c>
    </row>
    <row r="978" spans="1:26" x14ac:dyDescent="0.35">
      <c r="A978" s="1">
        <v>41603</v>
      </c>
      <c r="C978">
        <v>3072.75</v>
      </c>
      <c r="D978">
        <f t="shared" si="201"/>
        <v>5.4725993327121199E-3</v>
      </c>
      <c r="E978" t="str">
        <f t="shared" si="195"/>
        <v>2013-11</v>
      </c>
      <c r="G978">
        <v>4301.97</v>
      </c>
      <c r="H978">
        <f t="shared" si="202"/>
        <v>5.4635646659341999E-3</v>
      </c>
      <c r="I978" t="str">
        <f t="shared" si="196"/>
        <v>2013-11</v>
      </c>
      <c r="K978">
        <v>9299.9500000000007</v>
      </c>
      <c r="L978">
        <f t="shared" si="203"/>
        <v>8.7381131282405176E-3</v>
      </c>
      <c r="M978" t="str">
        <f t="shared" si="197"/>
        <v>2013-11</v>
      </c>
      <c r="O978">
        <v>7999.4615800000001</v>
      </c>
      <c r="P978">
        <f t="shared" si="204"/>
        <v>1.2410682819346071E-3</v>
      </c>
      <c r="Q978" t="str">
        <f t="shared" si="198"/>
        <v>2013-11</v>
      </c>
      <c r="S978">
        <v>9689.1</v>
      </c>
      <c r="T978">
        <f t="shared" si="205"/>
        <v>1.2082721631089136E-3</v>
      </c>
      <c r="U978" t="str">
        <f t="shared" si="199"/>
        <v>2013-11</v>
      </c>
      <c r="W978">
        <v>18784.3</v>
      </c>
      <c r="X978">
        <f t="shared" si="206"/>
        <v>-2.0214538318279571E-3</v>
      </c>
      <c r="Y978">
        <f t="shared" si="207"/>
        <v>-2.0194120700382703E-3</v>
      </c>
      <c r="Z978" t="str">
        <f t="shared" si="200"/>
        <v>2013-11</v>
      </c>
    </row>
    <row r="979" spans="1:26" x14ac:dyDescent="0.35">
      <c r="A979" s="1">
        <v>41604</v>
      </c>
      <c r="C979">
        <v>3062.62</v>
      </c>
      <c r="D979">
        <f t="shared" si="201"/>
        <v>-3.3021673362984933E-3</v>
      </c>
      <c r="E979" t="str">
        <f t="shared" si="195"/>
        <v>2013-11</v>
      </c>
      <c r="G979">
        <v>4277.57</v>
      </c>
      <c r="H979">
        <f t="shared" si="202"/>
        <v>-5.6879659712084311E-3</v>
      </c>
      <c r="I979" t="str">
        <f t="shared" si="196"/>
        <v>2013-11</v>
      </c>
      <c r="K979">
        <v>9290.07</v>
      </c>
      <c r="L979">
        <f t="shared" si="203"/>
        <v>-1.062936019458843E-3</v>
      </c>
      <c r="M979" t="str">
        <f t="shared" si="197"/>
        <v>2013-11</v>
      </c>
      <c r="O979">
        <v>7925.0868</v>
      </c>
      <c r="P979">
        <f t="shared" si="204"/>
        <v>-9.3409645301689211E-3</v>
      </c>
      <c r="Q979" t="str">
        <f t="shared" si="198"/>
        <v>2013-11</v>
      </c>
      <c r="S979">
        <v>9714.6</v>
      </c>
      <c r="T979">
        <f t="shared" si="205"/>
        <v>2.6283662064611815E-3</v>
      </c>
      <c r="U979" t="str">
        <f t="shared" si="199"/>
        <v>2013-11</v>
      </c>
      <c r="W979">
        <v>18774.27</v>
      </c>
      <c r="X979">
        <f t="shared" si="206"/>
        <v>-5.3409915438365908E-4</v>
      </c>
      <c r="Y979">
        <f t="shared" si="207"/>
        <v>-5.3395654881996325E-4</v>
      </c>
      <c r="Z979" t="str">
        <f t="shared" si="200"/>
        <v>2013-11</v>
      </c>
    </row>
    <row r="980" spans="1:26" x14ac:dyDescent="0.35">
      <c r="A980" s="1">
        <v>41605</v>
      </c>
      <c r="C980">
        <v>3082.65</v>
      </c>
      <c r="D980">
        <f t="shared" si="201"/>
        <v>6.518857896247305E-3</v>
      </c>
      <c r="E980" t="str">
        <f t="shared" si="195"/>
        <v>2013-11</v>
      </c>
      <c r="G980">
        <v>4293.0600000000004</v>
      </c>
      <c r="H980">
        <f t="shared" si="202"/>
        <v>3.6146740358305655E-3</v>
      </c>
      <c r="I980" t="str">
        <f t="shared" si="196"/>
        <v>2013-11</v>
      </c>
      <c r="K980">
        <v>9351.1299999999992</v>
      </c>
      <c r="L980">
        <f t="shared" si="203"/>
        <v>6.551103831904344E-3</v>
      </c>
      <c r="M980" t="str">
        <f t="shared" si="197"/>
        <v>2013-11</v>
      </c>
      <c r="O980">
        <v>7973.4838499999996</v>
      </c>
      <c r="P980">
        <f t="shared" si="204"/>
        <v>6.0882453597524673E-3</v>
      </c>
      <c r="Q980" t="str">
        <f t="shared" si="198"/>
        <v>2013-11</v>
      </c>
      <c r="S980">
        <v>9808.4</v>
      </c>
      <c r="T980">
        <f t="shared" si="205"/>
        <v>9.6092528578831434E-3</v>
      </c>
      <c r="U980" t="str">
        <f t="shared" si="199"/>
        <v>2013-11</v>
      </c>
      <c r="W980">
        <v>18924.79</v>
      </c>
      <c r="X980">
        <f t="shared" si="206"/>
        <v>7.985387425708465E-3</v>
      </c>
      <c r="Y980">
        <f t="shared" si="207"/>
        <v>8.017355668156494E-3</v>
      </c>
      <c r="Z980" t="str">
        <f t="shared" si="200"/>
        <v>2013-11</v>
      </c>
    </row>
    <row r="981" spans="1:26" x14ac:dyDescent="0.35">
      <c r="A981" s="1">
        <v>41606</v>
      </c>
      <c r="C981">
        <v>3092.42</v>
      </c>
      <c r="D981">
        <f t="shared" si="201"/>
        <v>3.1643392389994465E-3</v>
      </c>
      <c r="E981" t="str">
        <f t="shared" si="195"/>
        <v>2013-11</v>
      </c>
      <c r="G981">
        <v>4302.42</v>
      </c>
      <c r="H981">
        <f t="shared" si="202"/>
        <v>2.177889704751293E-3</v>
      </c>
      <c r="I981" t="str">
        <f t="shared" si="196"/>
        <v>2013-11</v>
      </c>
      <c r="K981">
        <v>9387.3700000000008</v>
      </c>
      <c r="L981">
        <f t="shared" si="203"/>
        <v>3.8679771788518707E-3</v>
      </c>
      <c r="M981" t="str">
        <f t="shared" si="197"/>
        <v>2013-11</v>
      </c>
      <c r="O981">
        <v>7993.5866500000002</v>
      </c>
      <c r="P981">
        <f t="shared" si="204"/>
        <v>2.5180336770988516E-3</v>
      </c>
      <c r="Q981" t="str">
        <f t="shared" si="198"/>
        <v>2013-11</v>
      </c>
      <c r="S981">
        <v>9859.7999999999993</v>
      </c>
      <c r="T981">
        <f t="shared" si="205"/>
        <v>5.226723036654151E-3</v>
      </c>
      <c r="U981" t="str">
        <f t="shared" si="199"/>
        <v>2013-11</v>
      </c>
      <c r="W981">
        <v>19099.36</v>
      </c>
      <c r="X981">
        <f t="shared" si="206"/>
        <v>9.1821238091229843E-3</v>
      </c>
      <c r="Y981">
        <f t="shared" si="207"/>
        <v>9.2244088309566281E-3</v>
      </c>
      <c r="Z981" t="str">
        <f t="shared" si="200"/>
        <v>2013-11</v>
      </c>
    </row>
    <row r="982" spans="1:26" x14ac:dyDescent="0.35">
      <c r="A982" s="1">
        <v>41607</v>
      </c>
      <c r="C982">
        <v>3086.64</v>
      </c>
      <c r="D982">
        <f t="shared" si="201"/>
        <v>-1.8708352680974799E-3</v>
      </c>
      <c r="E982" t="str">
        <f t="shared" si="195"/>
        <v>2013-11</v>
      </c>
      <c r="G982">
        <v>4295.21</v>
      </c>
      <c r="H982">
        <f t="shared" si="202"/>
        <v>-1.6772067860928361E-3</v>
      </c>
      <c r="I982" t="str">
        <f t="shared" si="196"/>
        <v>2013-11</v>
      </c>
      <c r="K982">
        <v>9405.2999999999993</v>
      </c>
      <c r="L982">
        <f t="shared" si="203"/>
        <v>1.9081913789310921E-3</v>
      </c>
      <c r="M982" t="str">
        <f t="shared" si="197"/>
        <v>2013-11</v>
      </c>
      <c r="O982">
        <v>8009.4675699999998</v>
      </c>
      <c r="P982">
        <f t="shared" si="204"/>
        <v>1.9847367877191243E-3</v>
      </c>
      <c r="Q982" t="str">
        <f t="shared" si="198"/>
        <v>2013-11</v>
      </c>
      <c r="S982">
        <v>9837.6</v>
      </c>
      <c r="T982">
        <f t="shared" si="205"/>
        <v>-2.2541055570616643E-3</v>
      </c>
      <c r="U982" t="str">
        <f t="shared" si="199"/>
        <v>2013-11</v>
      </c>
      <c r="W982">
        <v>19021.48</v>
      </c>
      <c r="X982">
        <f t="shared" si="206"/>
        <v>-4.0859597191958809E-3</v>
      </c>
      <c r="Y982">
        <f t="shared" si="207"/>
        <v>-4.0776235434067431E-3</v>
      </c>
      <c r="Z982" t="str">
        <f t="shared" si="200"/>
        <v>2013-11</v>
      </c>
    </row>
    <row r="983" spans="1:26" x14ac:dyDescent="0.35">
      <c r="A983" s="1">
        <v>41610</v>
      </c>
      <c r="C983">
        <v>3077.23</v>
      </c>
      <c r="D983">
        <f t="shared" si="201"/>
        <v>-3.0532789661048181E-3</v>
      </c>
      <c r="E983" t="str">
        <f t="shared" si="195"/>
        <v>2013-12</v>
      </c>
      <c r="G983">
        <v>4285.8100000000004</v>
      </c>
      <c r="H983">
        <f t="shared" si="202"/>
        <v>-2.1908826130164873E-3</v>
      </c>
      <c r="I983" t="str">
        <f t="shared" si="196"/>
        <v>2013-12</v>
      </c>
      <c r="K983">
        <v>9401.9599999999991</v>
      </c>
      <c r="L983">
        <f t="shared" si="203"/>
        <v>-3.5518199196619049E-4</v>
      </c>
      <c r="M983" t="str">
        <f t="shared" si="197"/>
        <v>2013-12</v>
      </c>
      <c r="O983">
        <v>7961.0222700000004</v>
      </c>
      <c r="P983">
        <f t="shared" si="204"/>
        <v>-6.0668707195311849E-3</v>
      </c>
      <c r="Q983" t="str">
        <f t="shared" si="198"/>
        <v>2013-12</v>
      </c>
      <c r="S983">
        <v>9745.5</v>
      </c>
      <c r="T983">
        <f t="shared" si="205"/>
        <v>-9.4061388695422295E-3</v>
      </c>
      <c r="U983" t="str">
        <f t="shared" si="199"/>
        <v>2013-12</v>
      </c>
      <c r="W983">
        <v>18732.560000000001</v>
      </c>
      <c r="X983">
        <f t="shared" si="206"/>
        <v>-1.5305680677928464E-2</v>
      </c>
      <c r="Y983">
        <f t="shared" si="207"/>
        <v>-1.5189144062396735E-2</v>
      </c>
      <c r="Z983" t="str">
        <f t="shared" si="200"/>
        <v>2013-12</v>
      </c>
    </row>
    <row r="984" spans="1:26" x14ac:dyDescent="0.35">
      <c r="A984" s="1">
        <v>41611</v>
      </c>
      <c r="C984">
        <v>3013.88</v>
      </c>
      <c r="D984">
        <f t="shared" si="201"/>
        <v>-2.0801556466399831E-2</v>
      </c>
      <c r="E984" t="str">
        <f t="shared" si="195"/>
        <v>2013-12</v>
      </c>
      <c r="G984">
        <v>4172.4399999999996</v>
      </c>
      <c r="H984">
        <f t="shared" si="202"/>
        <v>-2.6808569108513182E-2</v>
      </c>
      <c r="I984" t="str">
        <f t="shared" si="196"/>
        <v>2013-12</v>
      </c>
      <c r="K984">
        <v>9223.4</v>
      </c>
      <c r="L984">
        <f t="shared" si="203"/>
        <v>-1.9174445029517623E-2</v>
      </c>
      <c r="M984" t="str">
        <f t="shared" si="197"/>
        <v>2013-12</v>
      </c>
      <c r="O984">
        <v>7881.1846599999999</v>
      </c>
      <c r="P984">
        <f t="shared" si="204"/>
        <v>-1.007918735611087E-2</v>
      </c>
      <c r="Q984" t="str">
        <f t="shared" si="198"/>
        <v>2013-12</v>
      </c>
      <c r="S984">
        <v>9605</v>
      </c>
      <c r="T984">
        <f t="shared" si="205"/>
        <v>-1.452184378603838E-2</v>
      </c>
      <c r="U984" t="str">
        <f t="shared" si="199"/>
        <v>2013-12</v>
      </c>
      <c r="W984">
        <v>18366.75</v>
      </c>
      <c r="X984">
        <f t="shared" si="206"/>
        <v>-1.9721221555108397E-2</v>
      </c>
      <c r="Y984">
        <f t="shared" si="207"/>
        <v>-1.952803033861903E-2</v>
      </c>
      <c r="Z984" t="str">
        <f t="shared" si="200"/>
        <v>2013-12</v>
      </c>
    </row>
    <row r="985" spans="1:26" x14ac:dyDescent="0.35">
      <c r="A985" s="1">
        <v>41612</v>
      </c>
      <c r="C985">
        <v>2991.76</v>
      </c>
      <c r="D985">
        <f t="shared" si="201"/>
        <v>-7.3664422201189751E-3</v>
      </c>
      <c r="E985" t="str">
        <f t="shared" si="195"/>
        <v>2013-12</v>
      </c>
      <c r="G985">
        <v>4148.5200000000004</v>
      </c>
      <c r="H985">
        <f t="shared" si="202"/>
        <v>-5.749352452049516E-3</v>
      </c>
      <c r="I985" t="str">
        <f t="shared" si="196"/>
        <v>2013-12</v>
      </c>
      <c r="K985">
        <v>9140.6299999999992</v>
      </c>
      <c r="L985">
        <f t="shared" si="203"/>
        <v>-9.0144222688345703E-3</v>
      </c>
      <c r="M985" t="str">
        <f t="shared" si="197"/>
        <v>2013-12</v>
      </c>
      <c r="O985">
        <v>7848.4550799999997</v>
      </c>
      <c r="P985">
        <f t="shared" si="204"/>
        <v>-4.1615228035690307E-3</v>
      </c>
      <c r="Q985" t="str">
        <f t="shared" si="198"/>
        <v>2013-12</v>
      </c>
      <c r="S985">
        <v>9540.5</v>
      </c>
      <c r="T985">
        <f t="shared" si="205"/>
        <v>-6.7379012322605954E-3</v>
      </c>
      <c r="U985" t="str">
        <f t="shared" si="199"/>
        <v>2013-12</v>
      </c>
      <c r="W985">
        <v>18312.96</v>
      </c>
      <c r="X985">
        <f t="shared" si="206"/>
        <v>-2.9329587698249319E-3</v>
      </c>
      <c r="Y985">
        <f t="shared" si="207"/>
        <v>-2.9286618481767801E-3</v>
      </c>
      <c r="Z985" t="str">
        <f t="shared" si="200"/>
        <v>2013-12</v>
      </c>
    </row>
    <row r="986" spans="1:26" x14ac:dyDescent="0.35">
      <c r="A986" s="1">
        <v>41613</v>
      </c>
      <c r="C986">
        <v>2953.17</v>
      </c>
      <c r="D986">
        <f t="shared" si="201"/>
        <v>-1.2982673312070281E-2</v>
      </c>
      <c r="E986" t="str">
        <f t="shared" si="195"/>
        <v>2013-12</v>
      </c>
      <c r="G986">
        <v>4099.91</v>
      </c>
      <c r="H986">
        <f t="shared" si="202"/>
        <v>-1.178662188040925E-2</v>
      </c>
      <c r="I986" t="str">
        <f t="shared" si="196"/>
        <v>2013-12</v>
      </c>
      <c r="K986">
        <v>9084.9500000000007</v>
      </c>
      <c r="L986">
        <f t="shared" si="203"/>
        <v>-6.1101126249174069E-3</v>
      </c>
      <c r="M986" t="str">
        <f t="shared" si="197"/>
        <v>2013-12</v>
      </c>
      <c r="O986">
        <v>7765.6589000000004</v>
      </c>
      <c r="P986">
        <f t="shared" si="204"/>
        <v>-1.0605399210328742E-2</v>
      </c>
      <c r="Q986" t="str">
        <f t="shared" si="198"/>
        <v>2013-12</v>
      </c>
      <c r="S986">
        <v>9392.1</v>
      </c>
      <c r="T986">
        <f t="shared" si="205"/>
        <v>-1.5676984599746584E-2</v>
      </c>
      <c r="U986" t="str">
        <f t="shared" si="199"/>
        <v>2013-12</v>
      </c>
      <c r="W986">
        <v>17993.12</v>
      </c>
      <c r="X986">
        <f t="shared" si="206"/>
        <v>-1.7619543307312715E-2</v>
      </c>
      <c r="Y986">
        <f t="shared" si="207"/>
        <v>-1.7465226812050053E-2</v>
      </c>
      <c r="Z986" t="str">
        <f t="shared" si="200"/>
        <v>2013-12</v>
      </c>
    </row>
    <row r="987" spans="1:26" x14ac:dyDescent="0.35">
      <c r="A987" s="1">
        <v>41614</v>
      </c>
      <c r="C987">
        <v>2979.94</v>
      </c>
      <c r="D987">
        <f t="shared" si="201"/>
        <v>9.0239964073189228E-3</v>
      </c>
      <c r="E987" t="str">
        <f t="shared" si="195"/>
        <v>2013-12</v>
      </c>
      <c r="G987">
        <v>4129.37</v>
      </c>
      <c r="H987">
        <f t="shared" si="202"/>
        <v>7.1598307144705884E-3</v>
      </c>
      <c r="I987" t="str">
        <f t="shared" si="196"/>
        <v>2013-12</v>
      </c>
      <c r="K987">
        <v>9172.41</v>
      </c>
      <c r="L987">
        <f t="shared" si="203"/>
        <v>9.5808670056404081E-3</v>
      </c>
      <c r="M987" t="str">
        <f t="shared" si="197"/>
        <v>2013-12</v>
      </c>
      <c r="O987">
        <v>7817.3239299999996</v>
      </c>
      <c r="P987">
        <f t="shared" si="204"/>
        <v>6.6309794308694161E-3</v>
      </c>
      <c r="Q987" t="str">
        <f t="shared" si="198"/>
        <v>2013-12</v>
      </c>
      <c r="S987">
        <v>9400.5</v>
      </c>
      <c r="T987">
        <f t="shared" si="205"/>
        <v>8.9396896218996462E-4</v>
      </c>
      <c r="U987" t="str">
        <f t="shared" si="199"/>
        <v>2013-12</v>
      </c>
      <c r="W987">
        <v>18124.39</v>
      </c>
      <c r="X987">
        <f t="shared" si="206"/>
        <v>7.2690823935665037E-3</v>
      </c>
      <c r="Y987">
        <f t="shared" si="207"/>
        <v>7.2955663053434006E-3</v>
      </c>
      <c r="Z987" t="str">
        <f t="shared" si="200"/>
        <v>2013-12</v>
      </c>
    </row>
    <row r="988" spans="1:26" x14ac:dyDescent="0.35">
      <c r="A988" s="1">
        <v>41617</v>
      </c>
      <c r="C988">
        <v>2988.67</v>
      </c>
      <c r="D988">
        <f t="shared" si="201"/>
        <v>2.9253063026466455E-3</v>
      </c>
      <c r="E988" t="str">
        <f t="shared" si="195"/>
        <v>2013-12</v>
      </c>
      <c r="G988">
        <v>4134.1000000000004</v>
      </c>
      <c r="H988">
        <f t="shared" si="202"/>
        <v>1.1447976495540695E-3</v>
      </c>
      <c r="I988" t="str">
        <f t="shared" si="196"/>
        <v>2013-12</v>
      </c>
      <c r="K988">
        <v>9195.17</v>
      </c>
      <c r="L988">
        <f t="shared" si="203"/>
        <v>2.4782809329363916E-3</v>
      </c>
      <c r="M988" t="str">
        <f t="shared" si="197"/>
        <v>2013-12</v>
      </c>
      <c r="O988">
        <v>7841.9317099999998</v>
      </c>
      <c r="P988">
        <f t="shared" si="204"/>
        <v>3.1429080438764626E-3</v>
      </c>
      <c r="Q988" t="str">
        <f t="shared" si="198"/>
        <v>2013-12</v>
      </c>
      <c r="S988">
        <v>9487.4</v>
      </c>
      <c r="T988">
        <f t="shared" si="205"/>
        <v>9.2017231310440335E-3</v>
      </c>
      <c r="U988" t="str">
        <f t="shared" si="199"/>
        <v>2013-12</v>
      </c>
      <c r="W988">
        <v>18285.52</v>
      </c>
      <c r="X988">
        <f t="shared" si="206"/>
        <v>8.850944805881519E-3</v>
      </c>
      <c r="Y988">
        <f t="shared" si="207"/>
        <v>8.8902302367142305E-3</v>
      </c>
      <c r="Z988" t="str">
        <f t="shared" si="200"/>
        <v>2013-12</v>
      </c>
    </row>
    <row r="989" spans="1:26" x14ac:dyDescent="0.35">
      <c r="A989" s="1">
        <v>41618</v>
      </c>
      <c r="C989">
        <v>2960.86</v>
      </c>
      <c r="D989">
        <f t="shared" si="201"/>
        <v>-9.3487057112953565E-3</v>
      </c>
      <c r="E989" t="str">
        <f t="shared" si="195"/>
        <v>2013-12</v>
      </c>
      <c r="G989">
        <v>4091.14</v>
      </c>
      <c r="H989">
        <f t="shared" si="202"/>
        <v>-1.0445990790377016E-2</v>
      </c>
      <c r="I989" t="str">
        <f t="shared" si="196"/>
        <v>2013-12</v>
      </c>
      <c r="K989">
        <v>9114.44</v>
      </c>
      <c r="L989">
        <f t="shared" si="203"/>
        <v>-8.8183771423990566E-3</v>
      </c>
      <c r="M989" t="str">
        <f t="shared" si="197"/>
        <v>2013-12</v>
      </c>
      <c r="O989">
        <v>7786.37518</v>
      </c>
      <c r="P989">
        <f t="shared" si="204"/>
        <v>-7.1097610786267666E-3</v>
      </c>
      <c r="Q989" t="str">
        <f t="shared" si="198"/>
        <v>2013-12</v>
      </c>
      <c r="S989">
        <v>9438.2999999999993</v>
      </c>
      <c r="T989">
        <f t="shared" si="205"/>
        <v>-5.1887232873052119E-3</v>
      </c>
      <c r="U989" t="str">
        <f t="shared" si="199"/>
        <v>2013-12</v>
      </c>
      <c r="W989">
        <v>18236.72</v>
      </c>
      <c r="X989">
        <f t="shared" si="206"/>
        <v>-2.6723458934512731E-3</v>
      </c>
      <c r="Y989">
        <f t="shared" si="207"/>
        <v>-2.6687783557699904E-3</v>
      </c>
      <c r="Z989" t="str">
        <f t="shared" si="200"/>
        <v>2013-12</v>
      </c>
    </row>
    <row r="990" spans="1:26" x14ac:dyDescent="0.35">
      <c r="A990" s="1">
        <v>41619</v>
      </c>
      <c r="C990">
        <v>2947.31</v>
      </c>
      <c r="D990">
        <f t="shared" si="201"/>
        <v>-4.5868767340899712E-3</v>
      </c>
      <c r="E990" t="str">
        <f t="shared" si="195"/>
        <v>2013-12</v>
      </c>
      <c r="G990">
        <v>4086.86</v>
      </c>
      <c r="H990">
        <f t="shared" si="202"/>
        <v>-1.0467107827745372E-3</v>
      </c>
      <c r="I990" t="str">
        <f t="shared" si="196"/>
        <v>2013-12</v>
      </c>
      <c r="K990">
        <v>9077.11</v>
      </c>
      <c r="L990">
        <f t="shared" si="203"/>
        <v>-4.10410903941252E-3</v>
      </c>
      <c r="M990" t="str">
        <f t="shared" si="197"/>
        <v>2013-12</v>
      </c>
      <c r="O990">
        <v>7728.8309799999997</v>
      </c>
      <c r="P990">
        <f t="shared" si="204"/>
        <v>-7.4178149185472279E-3</v>
      </c>
      <c r="Q990" t="str">
        <f t="shared" si="198"/>
        <v>2013-12</v>
      </c>
      <c r="S990">
        <v>9358.7000000000007</v>
      </c>
      <c r="T990">
        <f t="shared" si="205"/>
        <v>-8.4694872397846829E-3</v>
      </c>
      <c r="U990" t="str">
        <f t="shared" si="199"/>
        <v>2013-12</v>
      </c>
      <c r="W990">
        <v>17973.96</v>
      </c>
      <c r="X990">
        <f t="shared" si="206"/>
        <v>-1.4513100117443457E-2</v>
      </c>
      <c r="Y990">
        <f t="shared" si="207"/>
        <v>-1.4408292719304898E-2</v>
      </c>
      <c r="Z990" t="str">
        <f t="shared" si="200"/>
        <v>2013-12</v>
      </c>
    </row>
    <row r="991" spans="1:26" x14ac:dyDescent="0.35">
      <c r="A991" s="1">
        <v>41620</v>
      </c>
      <c r="C991">
        <v>2928.12</v>
      </c>
      <c r="D991">
        <f t="shared" si="201"/>
        <v>-6.5323110778728365E-3</v>
      </c>
      <c r="E991" t="str">
        <f t="shared" si="195"/>
        <v>2013-12</v>
      </c>
      <c r="G991">
        <v>4069.12</v>
      </c>
      <c r="H991">
        <f t="shared" si="202"/>
        <v>-4.3501891804999786E-3</v>
      </c>
      <c r="I991" t="str">
        <f t="shared" si="196"/>
        <v>2013-12</v>
      </c>
      <c r="K991">
        <v>9017</v>
      </c>
      <c r="L991">
        <f t="shared" si="203"/>
        <v>-6.6441754946600122E-3</v>
      </c>
      <c r="M991" t="str">
        <f t="shared" si="197"/>
        <v>2013-12</v>
      </c>
      <c r="O991">
        <v>7658.53971</v>
      </c>
      <c r="P991">
        <f t="shared" si="204"/>
        <v>-9.1362923998615075E-3</v>
      </c>
      <c r="Q991" t="str">
        <f t="shared" si="198"/>
        <v>2013-12</v>
      </c>
      <c r="S991">
        <v>9272.1</v>
      </c>
      <c r="T991">
        <f t="shared" si="205"/>
        <v>-9.296500815745368E-3</v>
      </c>
      <c r="U991" t="str">
        <f t="shared" si="199"/>
        <v>2013-12</v>
      </c>
      <c r="W991">
        <v>17804.87</v>
      </c>
      <c r="X991">
        <f t="shared" si="206"/>
        <v>-9.4520284137311582E-3</v>
      </c>
      <c r="Y991">
        <f t="shared" si="207"/>
        <v>-9.4074984032455934E-3</v>
      </c>
      <c r="Z991" t="str">
        <f t="shared" si="200"/>
        <v>2013-12</v>
      </c>
    </row>
    <row r="992" spans="1:26" x14ac:dyDescent="0.35">
      <c r="A992" s="1">
        <v>41621</v>
      </c>
      <c r="C992">
        <v>2921.92</v>
      </c>
      <c r="D992">
        <f t="shared" si="201"/>
        <v>-2.1196444199791391E-3</v>
      </c>
      <c r="E992" t="str">
        <f t="shared" si="195"/>
        <v>2013-12</v>
      </c>
      <c r="G992">
        <v>4059.71</v>
      </c>
      <c r="H992">
        <f t="shared" si="202"/>
        <v>-2.315217369120574E-3</v>
      </c>
      <c r="I992" t="str">
        <f t="shared" si="196"/>
        <v>2013-12</v>
      </c>
      <c r="K992">
        <v>9006.4599999999991</v>
      </c>
      <c r="L992">
        <f t="shared" si="203"/>
        <v>-1.1695868830404776E-3</v>
      </c>
      <c r="M992" t="str">
        <f t="shared" si="197"/>
        <v>2013-12</v>
      </c>
      <c r="O992">
        <v>7648.3327200000003</v>
      </c>
      <c r="P992">
        <f t="shared" si="204"/>
        <v>-1.3336482105718076E-3</v>
      </c>
      <c r="Q992" t="str">
        <f t="shared" si="198"/>
        <v>2013-12</v>
      </c>
      <c r="S992">
        <v>9272.7000000000007</v>
      </c>
      <c r="T992">
        <f t="shared" si="205"/>
        <v>6.4708166193151666E-5</v>
      </c>
      <c r="U992" t="str">
        <f t="shared" si="199"/>
        <v>2013-12</v>
      </c>
      <c r="W992">
        <v>17805.73</v>
      </c>
      <c r="X992">
        <f t="shared" si="206"/>
        <v>4.8300225223210621E-5</v>
      </c>
      <c r="Y992">
        <f t="shared" si="207"/>
        <v>4.8301391697922094E-5</v>
      </c>
      <c r="Z992" t="str">
        <f t="shared" si="200"/>
        <v>2013-12</v>
      </c>
    </row>
    <row r="993" spans="1:26" x14ac:dyDescent="0.35">
      <c r="A993" s="1">
        <v>41624</v>
      </c>
      <c r="C993">
        <v>2978.77</v>
      </c>
      <c r="D993">
        <f t="shared" si="201"/>
        <v>1.9269529188202128E-2</v>
      </c>
      <c r="E993" t="str">
        <f t="shared" si="195"/>
        <v>2013-12</v>
      </c>
      <c r="G993">
        <v>4119.88</v>
      </c>
      <c r="H993">
        <f t="shared" si="202"/>
        <v>1.4712494232595571E-2</v>
      </c>
      <c r="I993" t="str">
        <f t="shared" si="196"/>
        <v>2013-12</v>
      </c>
      <c r="K993">
        <v>9163.56</v>
      </c>
      <c r="L993">
        <f t="shared" si="203"/>
        <v>1.7292651836112827E-2</v>
      </c>
      <c r="M993" t="str">
        <f t="shared" si="197"/>
        <v>2013-12</v>
      </c>
      <c r="O993">
        <v>7735.4449699999996</v>
      </c>
      <c r="P993">
        <f t="shared" si="204"/>
        <v>1.1325330209619086E-2</v>
      </c>
      <c r="Q993" t="str">
        <f t="shared" si="198"/>
        <v>2013-12</v>
      </c>
      <c r="S993">
        <v>9429.5</v>
      </c>
      <c r="T993">
        <f t="shared" si="205"/>
        <v>1.6768473665178054E-2</v>
      </c>
      <c r="U993" t="str">
        <f t="shared" si="199"/>
        <v>2013-12</v>
      </c>
      <c r="W993">
        <v>18222.419999999998</v>
      </c>
      <c r="X993">
        <f t="shared" si="206"/>
        <v>2.3132388479159445E-2</v>
      </c>
      <c r="Y993">
        <f t="shared" si="207"/>
        <v>2.3402017215806301E-2</v>
      </c>
      <c r="Z993" t="str">
        <f t="shared" si="200"/>
        <v>2013-12</v>
      </c>
    </row>
    <row r="994" spans="1:26" x14ac:dyDescent="0.35">
      <c r="A994" s="1">
        <v>41625</v>
      </c>
      <c r="C994">
        <v>2941.76</v>
      </c>
      <c r="D994">
        <f t="shared" si="201"/>
        <v>-1.2502421940787519E-2</v>
      </c>
      <c r="E994" t="str">
        <f t="shared" si="195"/>
        <v>2013-12</v>
      </c>
      <c r="G994">
        <v>4068.64</v>
      </c>
      <c r="H994">
        <f t="shared" si="202"/>
        <v>-1.2515245444646382E-2</v>
      </c>
      <c r="I994" t="str">
        <f t="shared" si="196"/>
        <v>2013-12</v>
      </c>
      <c r="K994">
        <v>9085.1200000000008</v>
      </c>
      <c r="L994">
        <f t="shared" si="203"/>
        <v>-8.5968391243592835E-3</v>
      </c>
      <c r="M994" t="str">
        <f t="shared" si="197"/>
        <v>2013-12</v>
      </c>
      <c r="O994">
        <v>7667.3404799999998</v>
      </c>
      <c r="P994">
        <f t="shared" si="204"/>
        <v>-8.8431971018329818E-3</v>
      </c>
      <c r="Q994" t="str">
        <f t="shared" si="198"/>
        <v>2013-12</v>
      </c>
      <c r="S994">
        <v>9343.4</v>
      </c>
      <c r="T994">
        <f t="shared" si="205"/>
        <v>-9.1728612748784889E-3</v>
      </c>
      <c r="U994" t="str">
        <f t="shared" si="199"/>
        <v>2013-12</v>
      </c>
      <c r="W994">
        <v>17925.21</v>
      </c>
      <c r="X994">
        <f t="shared" si="206"/>
        <v>-1.6444602189385125E-2</v>
      </c>
      <c r="Y994">
        <f t="shared" si="207"/>
        <v>-1.6310127853490324E-2</v>
      </c>
      <c r="Z994" t="str">
        <f t="shared" si="200"/>
        <v>2013-12</v>
      </c>
    </row>
    <row r="995" spans="1:26" x14ac:dyDescent="0.35">
      <c r="A995" s="1">
        <v>41626</v>
      </c>
      <c r="C995">
        <v>2975.09</v>
      </c>
      <c r="D995">
        <f t="shared" si="201"/>
        <v>1.1266248947595037E-2</v>
      </c>
      <c r="E995" t="str">
        <f t="shared" si="195"/>
        <v>2013-12</v>
      </c>
      <c r="G995">
        <v>4109.51</v>
      </c>
      <c r="H995">
        <f t="shared" si="202"/>
        <v>9.9950087104937833E-3</v>
      </c>
      <c r="I995" t="str">
        <f t="shared" si="196"/>
        <v>2013-12</v>
      </c>
      <c r="K995">
        <v>9181.75</v>
      </c>
      <c r="L995">
        <f t="shared" si="203"/>
        <v>1.0579907926261154E-2</v>
      </c>
      <c r="M995" t="str">
        <f t="shared" si="197"/>
        <v>2013-12</v>
      </c>
      <c r="O995">
        <v>7732.3523299999997</v>
      </c>
      <c r="P995">
        <f t="shared" si="204"/>
        <v>8.4433159835034313E-3</v>
      </c>
      <c r="Q995" t="str">
        <f t="shared" si="198"/>
        <v>2013-12</v>
      </c>
      <c r="S995">
        <v>9443.6</v>
      </c>
      <c r="T995">
        <f t="shared" si="205"/>
        <v>1.066705169651693E-2</v>
      </c>
      <c r="U995" t="str">
        <f t="shared" si="199"/>
        <v>2013-12</v>
      </c>
      <c r="W995">
        <v>18131.490000000002</v>
      </c>
      <c r="X995">
        <f t="shared" si="206"/>
        <v>1.1442103716632965E-2</v>
      </c>
      <c r="Y995">
        <f t="shared" si="207"/>
        <v>1.1507814971205496E-2</v>
      </c>
      <c r="Z995" t="str">
        <f t="shared" si="200"/>
        <v>2013-12</v>
      </c>
    </row>
    <row r="996" spans="1:26" x14ac:dyDescent="0.35">
      <c r="A996" s="1">
        <v>41627</v>
      </c>
      <c r="C996">
        <v>3031.05</v>
      </c>
      <c r="D996">
        <f t="shared" si="201"/>
        <v>1.8634803504630093E-2</v>
      </c>
      <c r="E996" t="str">
        <f t="shared" si="195"/>
        <v>2013-12</v>
      </c>
      <c r="G996">
        <v>4177.03</v>
      </c>
      <c r="H996">
        <f t="shared" si="202"/>
        <v>1.6296667687906056E-2</v>
      </c>
      <c r="I996" t="str">
        <f t="shared" si="196"/>
        <v>2013-12</v>
      </c>
      <c r="K996">
        <v>9335.74</v>
      </c>
      <c r="L996">
        <f t="shared" si="203"/>
        <v>1.663222713776847E-2</v>
      </c>
      <c r="M996" t="str">
        <f t="shared" si="197"/>
        <v>2013-12</v>
      </c>
      <c r="O996">
        <v>7891.52081</v>
      </c>
      <c r="P996">
        <f t="shared" si="204"/>
        <v>2.0375739789656559E-2</v>
      </c>
      <c r="Q996" t="str">
        <f t="shared" si="198"/>
        <v>2013-12</v>
      </c>
      <c r="S996">
        <v>9664.2999999999993</v>
      </c>
      <c r="T996">
        <f t="shared" si="205"/>
        <v>2.3101420365070072E-2</v>
      </c>
      <c r="U996" t="str">
        <f t="shared" si="199"/>
        <v>2013-12</v>
      </c>
      <c r="W996">
        <v>18453.990000000002</v>
      </c>
      <c r="X996">
        <f t="shared" si="206"/>
        <v>1.7630401653416998E-2</v>
      </c>
      <c r="Y996">
        <f t="shared" si="207"/>
        <v>1.7786734570628227E-2</v>
      </c>
      <c r="Z996" t="str">
        <f t="shared" si="200"/>
        <v>2013-12</v>
      </c>
    </row>
    <row r="997" spans="1:26" x14ac:dyDescent="0.35">
      <c r="A997" s="1">
        <v>41628</v>
      </c>
      <c r="C997">
        <v>3049.35</v>
      </c>
      <c r="D997">
        <f t="shared" si="201"/>
        <v>6.0193590075677782E-3</v>
      </c>
      <c r="E997" t="str">
        <f t="shared" si="195"/>
        <v>2013-12</v>
      </c>
      <c r="G997">
        <v>4193.7700000000004</v>
      </c>
      <c r="H997">
        <f t="shared" si="202"/>
        <v>3.9996230505538171E-3</v>
      </c>
      <c r="I997" t="str">
        <f t="shared" si="196"/>
        <v>2013-12</v>
      </c>
      <c r="K997">
        <v>9400.18</v>
      </c>
      <c r="L997">
        <f t="shared" si="203"/>
        <v>6.8787926182776538E-3</v>
      </c>
      <c r="M997" t="str">
        <f t="shared" si="197"/>
        <v>2013-12</v>
      </c>
      <c r="O997">
        <v>7900.0747499999998</v>
      </c>
      <c r="P997">
        <f t="shared" si="204"/>
        <v>1.0833535856606534E-3</v>
      </c>
      <c r="Q997" t="str">
        <f t="shared" si="198"/>
        <v>2013-12</v>
      </c>
      <c r="S997">
        <v>9689.9</v>
      </c>
      <c r="T997">
        <f t="shared" si="205"/>
        <v>2.6454221749922196E-3</v>
      </c>
      <c r="U997" t="str">
        <f t="shared" si="199"/>
        <v>2013-12</v>
      </c>
      <c r="W997">
        <v>18565.61</v>
      </c>
      <c r="X997">
        <f t="shared" si="206"/>
        <v>6.0303373485726657E-3</v>
      </c>
      <c r="Y997">
        <f t="shared" si="207"/>
        <v>6.0485564368463933E-3</v>
      </c>
      <c r="Z997" t="str">
        <f t="shared" si="200"/>
        <v>2013-12</v>
      </c>
    </row>
    <row r="998" spans="1:26" x14ac:dyDescent="0.35">
      <c r="A998" s="1">
        <v>41631</v>
      </c>
      <c r="C998">
        <v>3070.91</v>
      </c>
      <c r="D998">
        <f t="shared" si="201"/>
        <v>7.0454814613496028E-3</v>
      </c>
      <c r="E998" t="str">
        <f t="shared" si="195"/>
        <v>2013-12</v>
      </c>
      <c r="G998">
        <v>4215.29</v>
      </c>
      <c r="H998">
        <f t="shared" si="202"/>
        <v>5.1183002570865214E-3</v>
      </c>
      <c r="I998" t="str">
        <f t="shared" si="196"/>
        <v>2013-12</v>
      </c>
      <c r="K998">
        <v>9488.82</v>
      </c>
      <c r="L998">
        <f t="shared" si="203"/>
        <v>9.3854254499995942E-3</v>
      </c>
      <c r="M998" t="str">
        <f t="shared" si="197"/>
        <v>2013-12</v>
      </c>
      <c r="O998">
        <v>7976.4025300000003</v>
      </c>
      <c r="P998">
        <f t="shared" si="204"/>
        <v>9.6152775855193936E-3</v>
      </c>
      <c r="Q998" t="str">
        <f t="shared" si="198"/>
        <v>2013-12</v>
      </c>
      <c r="S998">
        <v>9758.4</v>
      </c>
      <c r="T998">
        <f t="shared" si="205"/>
        <v>7.0443466280714004E-3</v>
      </c>
      <c r="U998" t="str">
        <f t="shared" si="199"/>
        <v>2013-12</v>
      </c>
      <c r="W998">
        <v>18697.150000000001</v>
      </c>
      <c r="X998">
        <f t="shared" si="206"/>
        <v>7.0601612115382059E-3</v>
      </c>
      <c r="Y998">
        <f t="shared" si="207"/>
        <v>7.0851429066968912E-3</v>
      </c>
      <c r="Z998" t="str">
        <f t="shared" si="200"/>
        <v>2013-12</v>
      </c>
    </row>
    <row r="999" spans="1:26" x14ac:dyDescent="0.35">
      <c r="A999" s="1">
        <v>41635</v>
      </c>
      <c r="C999">
        <v>3111.37</v>
      </c>
      <c r="D999">
        <f t="shared" si="201"/>
        <v>1.308920904818681E-2</v>
      </c>
      <c r="E999" t="str">
        <f t="shared" si="195"/>
        <v>2013-12</v>
      </c>
      <c r="G999">
        <v>4277.6499999999996</v>
      </c>
      <c r="H999">
        <f t="shared" si="202"/>
        <v>1.4685402396467599E-2</v>
      </c>
      <c r="I999" t="str">
        <f t="shared" si="196"/>
        <v>2013-12</v>
      </c>
      <c r="K999">
        <v>9589.39</v>
      </c>
      <c r="L999">
        <f t="shared" si="203"/>
        <v>1.0543015468565578E-2</v>
      </c>
      <c r="M999" t="str">
        <f t="shared" si="197"/>
        <v>2013-12</v>
      </c>
      <c r="O999">
        <v>8084.5689000000002</v>
      </c>
      <c r="P999">
        <f t="shared" si="204"/>
        <v>1.3469671603660553E-2</v>
      </c>
      <c r="Q999" t="str">
        <f t="shared" si="198"/>
        <v>2013-12</v>
      </c>
      <c r="S999">
        <v>9900.1</v>
      </c>
      <c r="T999">
        <f t="shared" si="205"/>
        <v>1.4416405539575669E-2</v>
      </c>
      <c r="U999" t="str">
        <f t="shared" si="199"/>
        <v>2013-12</v>
      </c>
      <c r="W999">
        <v>18956.52</v>
      </c>
      <c r="X999">
        <f t="shared" si="206"/>
        <v>1.3776829848370642E-2</v>
      </c>
      <c r="Y999">
        <f t="shared" si="207"/>
        <v>1.3872167683309967E-2</v>
      </c>
      <c r="Z999" t="str">
        <f t="shared" si="200"/>
        <v>2013-12</v>
      </c>
    </row>
    <row r="1000" spans="1:26" x14ac:dyDescent="0.35">
      <c r="A1000" s="1">
        <v>41638</v>
      </c>
      <c r="C1000">
        <v>3100.93</v>
      </c>
      <c r="D1000">
        <f t="shared" si="201"/>
        <v>-3.3610771624837505E-3</v>
      </c>
      <c r="E1000" t="str">
        <f t="shared" si="195"/>
        <v>2013-12</v>
      </c>
      <c r="G1000">
        <v>4275.71</v>
      </c>
      <c r="H1000">
        <f t="shared" si="202"/>
        <v>-4.5362291152634631E-4</v>
      </c>
      <c r="I1000" t="str">
        <f t="shared" si="196"/>
        <v>2013-12</v>
      </c>
      <c r="K1000">
        <v>9552.16</v>
      </c>
      <c r="L1000">
        <f t="shared" si="203"/>
        <v>-3.889972018635144E-3</v>
      </c>
      <c r="M1000" t="str">
        <f t="shared" si="197"/>
        <v>2013-12</v>
      </c>
      <c r="O1000">
        <v>8055.0864300000003</v>
      </c>
      <c r="P1000">
        <f t="shared" si="204"/>
        <v>-3.6534240899575143E-3</v>
      </c>
      <c r="Q1000" t="str">
        <f t="shared" si="198"/>
        <v>2013-12</v>
      </c>
      <c r="S1000">
        <v>9901.9</v>
      </c>
      <c r="T1000">
        <f t="shared" si="205"/>
        <v>1.8179981870081906E-4</v>
      </c>
      <c r="U1000" t="str">
        <f t="shared" si="199"/>
        <v>2013-12</v>
      </c>
      <c r="W1000">
        <v>18967.71</v>
      </c>
      <c r="X1000">
        <f t="shared" si="206"/>
        <v>5.9012406183268885E-4</v>
      </c>
      <c r="Y1000">
        <f t="shared" si="207"/>
        <v>5.9029821929334548E-4</v>
      </c>
      <c r="Z1000" t="str">
        <f t="shared" si="200"/>
        <v>2013-12</v>
      </c>
    </row>
    <row r="1001" spans="1:26" x14ac:dyDescent="0.35">
      <c r="A1001" s="1">
        <v>41641</v>
      </c>
      <c r="C1001">
        <v>3059.93</v>
      </c>
      <c r="D1001">
        <f t="shared" si="201"/>
        <v>-1.3310026614458063E-2</v>
      </c>
      <c r="E1001" t="str">
        <f t="shared" si="195"/>
        <v>2014-01</v>
      </c>
      <c r="G1001">
        <v>4227.28</v>
      </c>
      <c r="H1001">
        <f t="shared" si="202"/>
        <v>-1.1391410246433848E-2</v>
      </c>
      <c r="I1001" t="str">
        <f t="shared" si="196"/>
        <v>2014-01</v>
      </c>
      <c r="K1001">
        <v>9400.0400000000009</v>
      </c>
      <c r="L1001">
        <f t="shared" si="203"/>
        <v>-1.6053362342666612E-2</v>
      </c>
      <c r="M1001" t="str">
        <f t="shared" si="197"/>
        <v>2014-01</v>
      </c>
      <c r="O1001">
        <v>8077.7034100000001</v>
      </c>
      <c r="P1001">
        <f t="shared" si="204"/>
        <v>2.8038541432003441E-3</v>
      </c>
      <c r="Q1001" t="str">
        <f t="shared" si="198"/>
        <v>2014-01</v>
      </c>
      <c r="S1001">
        <v>9760.2999999999993</v>
      </c>
      <c r="T1001">
        <f t="shared" si="205"/>
        <v>-1.4403520260805743E-2</v>
      </c>
      <c r="U1001" t="str">
        <f t="shared" si="199"/>
        <v>2014-01</v>
      </c>
      <c r="W1001">
        <v>18929.63</v>
      </c>
      <c r="X1001">
        <f t="shared" si="206"/>
        <v>-2.009640403046509E-3</v>
      </c>
      <c r="Y1001">
        <f t="shared" si="207"/>
        <v>-2.0076224277995663E-3</v>
      </c>
      <c r="Z1001" t="str">
        <f t="shared" si="200"/>
        <v>2014-01</v>
      </c>
    </row>
    <row r="1002" spans="1:26" x14ac:dyDescent="0.35">
      <c r="A1002" s="1">
        <v>41642</v>
      </c>
      <c r="C1002">
        <v>3074.43</v>
      </c>
      <c r="D1002">
        <f t="shared" si="201"/>
        <v>4.7274783368090757E-3</v>
      </c>
      <c r="E1002" t="str">
        <f t="shared" si="195"/>
        <v>2014-01</v>
      </c>
      <c r="G1002">
        <v>4247.6499999999996</v>
      </c>
      <c r="H1002">
        <f t="shared" si="202"/>
        <v>4.8071286079386117E-3</v>
      </c>
      <c r="I1002" t="str">
        <f t="shared" si="196"/>
        <v>2014-01</v>
      </c>
      <c r="K1002">
        <v>9435.15</v>
      </c>
      <c r="L1002">
        <f t="shared" si="203"/>
        <v>3.7281323592766834E-3</v>
      </c>
      <c r="M1002" t="str">
        <f t="shared" si="197"/>
        <v>2014-01</v>
      </c>
      <c r="O1002">
        <v>8126.7707499999997</v>
      </c>
      <c r="P1002">
        <f t="shared" si="204"/>
        <v>6.0560422362527372E-3</v>
      </c>
      <c r="Q1002" t="str">
        <f t="shared" si="198"/>
        <v>2014-01</v>
      </c>
      <c r="S1002">
        <v>9798</v>
      </c>
      <c r="T1002">
        <f t="shared" si="205"/>
        <v>3.8551455588574724E-3</v>
      </c>
      <c r="U1002" t="str">
        <f t="shared" si="199"/>
        <v>2014-01</v>
      </c>
      <c r="W1002">
        <v>19112.650000000001</v>
      </c>
      <c r="X1002">
        <f t="shared" si="206"/>
        <v>9.622000155676845E-3</v>
      </c>
      <c r="Y1002">
        <f t="shared" si="207"/>
        <v>9.6684404291050817E-3</v>
      </c>
      <c r="Z1002" t="str">
        <f t="shared" si="200"/>
        <v>2014-01</v>
      </c>
    </row>
    <row r="1003" spans="1:26" x14ac:dyDescent="0.35">
      <c r="A1003" s="1">
        <v>41645</v>
      </c>
      <c r="C1003">
        <v>3069.16</v>
      </c>
      <c r="D1003">
        <f t="shared" si="201"/>
        <v>-1.7156096981102073E-3</v>
      </c>
      <c r="E1003" t="str">
        <f t="shared" si="195"/>
        <v>2014-01</v>
      </c>
      <c r="G1003">
        <v>4227.54</v>
      </c>
      <c r="H1003">
        <f t="shared" si="202"/>
        <v>-4.7456252287816081E-3</v>
      </c>
      <c r="I1003" t="str">
        <f t="shared" si="196"/>
        <v>2014-01</v>
      </c>
      <c r="K1003">
        <v>9428</v>
      </c>
      <c r="L1003">
        <f t="shared" si="203"/>
        <v>-7.5809187144537681E-4</v>
      </c>
      <c r="M1003" t="str">
        <f t="shared" si="197"/>
        <v>2014-01</v>
      </c>
      <c r="O1003">
        <v>8099.6753099999996</v>
      </c>
      <c r="P1003">
        <f t="shared" si="204"/>
        <v>-3.3396672424276606E-3</v>
      </c>
      <c r="Q1003" t="str">
        <f t="shared" si="198"/>
        <v>2014-01</v>
      </c>
      <c r="S1003">
        <v>9888.5</v>
      </c>
      <c r="T1003">
        <f t="shared" si="205"/>
        <v>9.194182563559479E-3</v>
      </c>
      <c r="U1003" t="str">
        <f t="shared" si="199"/>
        <v>2014-01</v>
      </c>
      <c r="W1003">
        <v>19233.740000000002</v>
      </c>
      <c r="X1003">
        <f t="shared" si="206"/>
        <v>6.3156089786789559E-3</v>
      </c>
      <c r="Y1003">
        <f t="shared" si="207"/>
        <v>6.3355944884670697E-3</v>
      </c>
      <c r="Z1003" t="str">
        <f t="shared" si="200"/>
        <v>2014-01</v>
      </c>
    </row>
    <row r="1004" spans="1:26" x14ac:dyDescent="0.35">
      <c r="A1004" s="1">
        <v>41646</v>
      </c>
      <c r="C1004">
        <v>3110.96</v>
      </c>
      <c r="D1004">
        <f t="shared" si="201"/>
        <v>1.3527451706443891E-2</v>
      </c>
      <c r="E1004" t="str">
        <f t="shared" si="195"/>
        <v>2014-01</v>
      </c>
      <c r="G1004">
        <v>4262.68</v>
      </c>
      <c r="H1004">
        <f t="shared" si="202"/>
        <v>8.2778068543055156E-3</v>
      </c>
      <c r="I1004" t="str">
        <f t="shared" si="196"/>
        <v>2014-01</v>
      </c>
      <c r="K1004">
        <v>9506.2000000000007</v>
      </c>
      <c r="L1004">
        <f t="shared" si="203"/>
        <v>8.2602322401817453E-3</v>
      </c>
      <c r="M1004" t="str">
        <f t="shared" si="197"/>
        <v>2014-01</v>
      </c>
      <c r="O1004">
        <v>8140.8401800000001</v>
      </c>
      <c r="P1004">
        <f t="shared" si="204"/>
        <v>5.0694152144626185E-3</v>
      </c>
      <c r="Q1004" t="str">
        <f t="shared" si="198"/>
        <v>2014-01</v>
      </c>
      <c r="S1004">
        <v>10178.700000000001</v>
      </c>
      <c r="T1004">
        <f t="shared" si="205"/>
        <v>2.892483581267374E-2</v>
      </c>
      <c r="U1004" t="str">
        <f t="shared" si="199"/>
        <v>2014-01</v>
      </c>
      <c r="W1004">
        <v>19468.75</v>
      </c>
      <c r="X1004">
        <f t="shared" si="206"/>
        <v>1.2144587517823274E-2</v>
      </c>
      <c r="Y1004">
        <f t="shared" si="207"/>
        <v>1.2218632465656621E-2</v>
      </c>
      <c r="Z1004" t="str">
        <f t="shared" si="200"/>
        <v>2014-01</v>
      </c>
    </row>
    <row r="1005" spans="1:26" x14ac:dyDescent="0.35">
      <c r="A1005" s="1">
        <v>41647</v>
      </c>
      <c r="C1005">
        <v>3110.66</v>
      </c>
      <c r="D1005">
        <f t="shared" si="201"/>
        <v>-9.6437905314908961E-5</v>
      </c>
      <c r="E1005" t="str">
        <f t="shared" si="195"/>
        <v>2014-01</v>
      </c>
      <c r="G1005">
        <v>4260.96</v>
      </c>
      <c r="H1005">
        <f t="shared" si="202"/>
        <v>-4.0358345104824021E-4</v>
      </c>
      <c r="I1005" t="str">
        <f t="shared" si="196"/>
        <v>2014-01</v>
      </c>
      <c r="K1005">
        <v>9497.84</v>
      </c>
      <c r="L1005">
        <f t="shared" si="203"/>
        <v>-8.7981298074200746E-4</v>
      </c>
      <c r="M1005" t="str">
        <f t="shared" si="197"/>
        <v>2014-01</v>
      </c>
      <c r="O1005">
        <v>8145.39059</v>
      </c>
      <c r="P1005">
        <f t="shared" si="204"/>
        <v>5.5880457334447724E-4</v>
      </c>
      <c r="Q1005" t="str">
        <f t="shared" si="198"/>
        <v>2014-01</v>
      </c>
      <c r="S1005">
        <v>10253.6</v>
      </c>
      <c r="T1005">
        <f t="shared" si="205"/>
        <v>7.3315618408609489E-3</v>
      </c>
      <c r="U1005" t="str">
        <f t="shared" si="199"/>
        <v>2014-01</v>
      </c>
      <c r="W1005">
        <v>19436.3</v>
      </c>
      <c r="X1005">
        <f t="shared" si="206"/>
        <v>-1.6681642884448465E-3</v>
      </c>
      <c r="Y1005">
        <f t="shared" si="207"/>
        <v>-1.6667736757624771E-3</v>
      </c>
      <c r="Z1005" t="str">
        <f t="shared" si="200"/>
        <v>2014-01</v>
      </c>
    </row>
    <row r="1006" spans="1:26" x14ac:dyDescent="0.35">
      <c r="A1006" s="1">
        <v>41648</v>
      </c>
      <c r="C1006">
        <v>3090.26</v>
      </c>
      <c r="D1006">
        <f t="shared" si="201"/>
        <v>-6.579692560764701E-3</v>
      </c>
      <c r="E1006" t="str">
        <f t="shared" si="195"/>
        <v>2014-01</v>
      </c>
      <c r="G1006">
        <v>4225.1400000000003</v>
      </c>
      <c r="H1006">
        <f t="shared" si="202"/>
        <v>-8.4420906511583505E-3</v>
      </c>
      <c r="I1006" t="str">
        <f t="shared" si="196"/>
        <v>2014-01</v>
      </c>
      <c r="K1006">
        <v>9421.61</v>
      </c>
      <c r="L1006">
        <f t="shared" si="203"/>
        <v>-8.0584173978394055E-3</v>
      </c>
      <c r="M1006" t="str">
        <f t="shared" si="197"/>
        <v>2014-01</v>
      </c>
      <c r="O1006">
        <v>8108.1325999999999</v>
      </c>
      <c r="P1006">
        <f t="shared" si="204"/>
        <v>-4.5846128035014729E-3</v>
      </c>
      <c r="Q1006" t="str">
        <f t="shared" si="198"/>
        <v>2014-01</v>
      </c>
      <c r="S1006">
        <v>10234.200000000001</v>
      </c>
      <c r="T1006">
        <f t="shared" si="205"/>
        <v>-1.8938105407319001E-3</v>
      </c>
      <c r="U1006" t="str">
        <f t="shared" si="199"/>
        <v>2014-01</v>
      </c>
      <c r="W1006">
        <v>19503</v>
      </c>
      <c r="X1006">
        <f t="shared" si="206"/>
        <v>3.4258481911596328E-3</v>
      </c>
      <c r="Y1006">
        <f t="shared" si="207"/>
        <v>3.431723116025207E-3</v>
      </c>
      <c r="Z1006" t="str">
        <f t="shared" si="200"/>
        <v>2014-01</v>
      </c>
    </row>
    <row r="1007" spans="1:26" x14ac:dyDescent="0.35">
      <c r="A1007" s="1">
        <v>41649</v>
      </c>
      <c r="C1007">
        <v>3104.15</v>
      </c>
      <c r="D1007">
        <f t="shared" si="201"/>
        <v>4.4846961309342719E-3</v>
      </c>
      <c r="E1007" t="str">
        <f t="shared" si="195"/>
        <v>2014-01</v>
      </c>
      <c r="G1007">
        <v>4250.6000000000004</v>
      </c>
      <c r="H1007">
        <f t="shared" si="202"/>
        <v>6.0077530876301482E-3</v>
      </c>
      <c r="I1007" t="str">
        <f t="shared" si="196"/>
        <v>2014-01</v>
      </c>
      <c r="K1007">
        <v>9473.24</v>
      </c>
      <c r="L1007">
        <f t="shared" si="203"/>
        <v>5.4649948000777748E-3</v>
      </c>
      <c r="M1007" t="str">
        <f t="shared" si="197"/>
        <v>2014-01</v>
      </c>
      <c r="O1007">
        <v>8125.1227200000003</v>
      </c>
      <c r="P1007">
        <f t="shared" si="204"/>
        <v>2.0932494276559676E-3</v>
      </c>
      <c r="Q1007" t="str">
        <f t="shared" si="198"/>
        <v>2014-01</v>
      </c>
      <c r="S1007">
        <v>10290.6</v>
      </c>
      <c r="T1007">
        <f t="shared" si="205"/>
        <v>5.4958042912079353E-3</v>
      </c>
      <c r="U1007" t="str">
        <f t="shared" si="199"/>
        <v>2014-01</v>
      </c>
      <c r="W1007">
        <v>19569</v>
      </c>
      <c r="X1007">
        <f t="shared" si="206"/>
        <v>3.3783815916271906E-3</v>
      </c>
      <c r="Y1007">
        <f t="shared" si="207"/>
        <v>3.3840947546531302E-3</v>
      </c>
      <c r="Z1007" t="str">
        <f t="shared" si="200"/>
        <v>2014-01</v>
      </c>
    </row>
    <row r="1008" spans="1:26" x14ac:dyDescent="0.35">
      <c r="A1008" s="1">
        <v>41652</v>
      </c>
      <c r="C1008">
        <v>3111.94</v>
      </c>
      <c r="D1008">
        <f t="shared" si="201"/>
        <v>2.5064000289865352E-3</v>
      </c>
      <c r="E1008" t="str">
        <f t="shared" si="195"/>
        <v>2014-01</v>
      </c>
      <c r="G1008">
        <v>4263.2700000000004</v>
      </c>
      <c r="H1008">
        <f t="shared" si="202"/>
        <v>2.9763220140995236E-3</v>
      </c>
      <c r="I1008" t="str">
        <f t="shared" si="196"/>
        <v>2014-01</v>
      </c>
      <c r="K1008">
        <v>9510.17</v>
      </c>
      <c r="L1008">
        <f t="shared" si="203"/>
        <v>3.8907705820480872E-3</v>
      </c>
      <c r="M1008" t="str">
        <f t="shared" si="197"/>
        <v>2014-01</v>
      </c>
      <c r="O1008">
        <v>8100.7608300000002</v>
      </c>
      <c r="P1008">
        <f t="shared" si="204"/>
        <v>-3.0028452048257029E-3</v>
      </c>
      <c r="Q1008" t="str">
        <f t="shared" si="198"/>
        <v>2014-01</v>
      </c>
      <c r="S1008">
        <v>10365.5</v>
      </c>
      <c r="T1008">
        <f t="shared" si="205"/>
        <v>7.2521268070768257E-3</v>
      </c>
      <c r="U1008" t="str">
        <f t="shared" si="199"/>
        <v>2014-01</v>
      </c>
      <c r="W1008">
        <v>19697.25</v>
      </c>
      <c r="X1008">
        <f t="shared" si="206"/>
        <v>6.5323506091081477E-3</v>
      </c>
      <c r="Y1008">
        <f t="shared" si="207"/>
        <v>6.5537329449639739E-3</v>
      </c>
      <c r="Z1008" t="str">
        <f t="shared" si="200"/>
        <v>2014-01</v>
      </c>
    </row>
    <row r="1009" spans="1:26" x14ac:dyDescent="0.35">
      <c r="A1009" s="1">
        <v>41653</v>
      </c>
      <c r="C1009">
        <v>3119.53</v>
      </c>
      <c r="D1009">
        <f t="shared" si="201"/>
        <v>2.4360235236269073E-3</v>
      </c>
      <c r="E1009" t="str">
        <f t="shared" si="195"/>
        <v>2014-01</v>
      </c>
      <c r="G1009">
        <v>4274.2</v>
      </c>
      <c r="H1009">
        <f t="shared" si="202"/>
        <v>2.560478917400522E-3</v>
      </c>
      <c r="I1009" t="str">
        <f t="shared" si="196"/>
        <v>2014-01</v>
      </c>
      <c r="K1009">
        <v>9540.51</v>
      </c>
      <c r="L1009">
        <f t="shared" si="203"/>
        <v>3.1851908331934167E-3</v>
      </c>
      <c r="M1009" t="str">
        <f t="shared" si="197"/>
        <v>2014-01</v>
      </c>
      <c r="O1009">
        <v>8135.2661699999999</v>
      </c>
      <c r="P1009">
        <f t="shared" si="204"/>
        <v>4.2504723537667146E-3</v>
      </c>
      <c r="Q1009" t="str">
        <f t="shared" si="198"/>
        <v>2014-01</v>
      </c>
      <c r="S1009">
        <v>10382</v>
      </c>
      <c r="T1009">
        <f t="shared" si="205"/>
        <v>1.5905534140072653E-3</v>
      </c>
      <c r="U1009" t="str">
        <f t="shared" si="199"/>
        <v>2014-01</v>
      </c>
      <c r="W1009">
        <v>19730.38</v>
      </c>
      <c r="X1009">
        <f t="shared" si="206"/>
        <v>1.6805477680124214E-3</v>
      </c>
      <c r="Y1009">
        <f t="shared" si="207"/>
        <v>1.6819606797903778E-3</v>
      </c>
      <c r="Z1009" t="str">
        <f t="shared" si="200"/>
        <v>2014-01</v>
      </c>
    </row>
    <row r="1010" spans="1:26" x14ac:dyDescent="0.35">
      <c r="A1010" s="1">
        <v>41654</v>
      </c>
      <c r="C1010">
        <v>3168.76</v>
      </c>
      <c r="D1010">
        <f t="shared" si="201"/>
        <v>1.5657994722666036E-2</v>
      </c>
      <c r="E1010" t="str">
        <f t="shared" si="195"/>
        <v>2014-01</v>
      </c>
      <c r="G1010">
        <v>4332.07</v>
      </c>
      <c r="H1010">
        <f t="shared" si="202"/>
        <v>1.3448537452335976E-2</v>
      </c>
      <c r="I1010" t="str">
        <f t="shared" si="196"/>
        <v>2014-01</v>
      </c>
      <c r="K1010">
        <v>9733.81</v>
      </c>
      <c r="L1010">
        <f t="shared" si="203"/>
        <v>2.0058448858943076E-2</v>
      </c>
      <c r="M1010" t="str">
        <f t="shared" si="197"/>
        <v>2014-01</v>
      </c>
      <c r="O1010">
        <v>8206.0063300000002</v>
      </c>
      <c r="P1010">
        <f t="shared" si="204"/>
        <v>8.6579061558089664E-3</v>
      </c>
      <c r="Q1010" t="str">
        <f t="shared" si="198"/>
        <v>2014-01</v>
      </c>
      <c r="S1010">
        <v>10525</v>
      </c>
      <c r="T1010">
        <f t="shared" si="205"/>
        <v>1.3679842163407827E-2</v>
      </c>
      <c r="U1010" t="str">
        <f t="shared" si="199"/>
        <v>2014-01</v>
      </c>
      <c r="W1010">
        <v>20045.759999999998</v>
      </c>
      <c r="X1010">
        <f t="shared" si="206"/>
        <v>1.5858080208480323E-2</v>
      </c>
      <c r="Y1010">
        <f t="shared" si="207"/>
        <v>1.5984486867460099E-2</v>
      </c>
      <c r="Z1010" t="str">
        <f t="shared" si="200"/>
        <v>2014-01</v>
      </c>
    </row>
    <row r="1011" spans="1:26" x14ac:dyDescent="0.35">
      <c r="A1011" s="1">
        <v>41655</v>
      </c>
      <c r="C1011">
        <v>3150.2</v>
      </c>
      <c r="D1011">
        <f t="shared" si="201"/>
        <v>-5.8744012854191853E-3</v>
      </c>
      <c r="E1011" t="str">
        <f t="shared" si="195"/>
        <v>2014-01</v>
      </c>
      <c r="G1011">
        <v>4319.2700000000004</v>
      </c>
      <c r="H1011">
        <f t="shared" si="202"/>
        <v>-2.9590813307312719E-3</v>
      </c>
      <c r="I1011" t="str">
        <f t="shared" si="196"/>
        <v>2014-01</v>
      </c>
      <c r="K1011">
        <v>9717.7099999999991</v>
      </c>
      <c r="L1011">
        <f t="shared" si="203"/>
        <v>-1.6553980024826868E-3</v>
      </c>
      <c r="M1011" t="str">
        <f t="shared" si="197"/>
        <v>2014-01</v>
      </c>
      <c r="O1011">
        <v>8194.7491000000009</v>
      </c>
      <c r="P1011">
        <f t="shared" si="204"/>
        <v>-1.372769908788395E-3</v>
      </c>
      <c r="Q1011" t="str">
        <f t="shared" si="198"/>
        <v>2014-01</v>
      </c>
      <c r="S1011">
        <v>10455.5</v>
      </c>
      <c r="T1011">
        <f t="shared" si="205"/>
        <v>-6.6252238237277973E-3</v>
      </c>
      <c r="U1011" t="str">
        <f t="shared" si="199"/>
        <v>2014-01</v>
      </c>
      <c r="W1011">
        <v>19875.689999999999</v>
      </c>
      <c r="X1011">
        <f t="shared" si="206"/>
        <v>-8.5202831487623896E-3</v>
      </c>
      <c r="Y1011">
        <f t="shared" si="207"/>
        <v>-8.4840884057276814E-3</v>
      </c>
      <c r="Z1011" t="str">
        <f t="shared" si="200"/>
        <v>2014-01</v>
      </c>
    </row>
    <row r="1012" spans="1:26" x14ac:dyDescent="0.35">
      <c r="A1012" s="1">
        <v>41656</v>
      </c>
      <c r="C1012">
        <v>3154.1</v>
      </c>
      <c r="D1012">
        <f t="shared" si="201"/>
        <v>1.2372509231816026E-3</v>
      </c>
      <c r="E1012" t="str">
        <f t="shared" si="195"/>
        <v>2014-01</v>
      </c>
      <c r="G1012">
        <v>4327.5</v>
      </c>
      <c r="H1012">
        <f t="shared" si="202"/>
        <v>1.9036015726689012E-3</v>
      </c>
      <c r="I1012" t="str">
        <f t="shared" si="196"/>
        <v>2014-01</v>
      </c>
      <c r="K1012">
        <v>9742.9599999999991</v>
      </c>
      <c r="L1012">
        <f t="shared" si="203"/>
        <v>2.5949789158625446E-3</v>
      </c>
      <c r="M1012" t="str">
        <f t="shared" si="197"/>
        <v>2014-01</v>
      </c>
      <c r="O1012">
        <v>8282.2673900000009</v>
      </c>
      <c r="P1012">
        <f t="shared" si="204"/>
        <v>1.0623174784293209E-2</v>
      </c>
      <c r="Q1012" t="str">
        <f t="shared" si="198"/>
        <v>2014-01</v>
      </c>
      <c r="S1012">
        <v>10465.700000000001</v>
      </c>
      <c r="T1012">
        <f t="shared" si="205"/>
        <v>9.7508754834109413E-4</v>
      </c>
      <c r="U1012" t="str">
        <f t="shared" si="199"/>
        <v>2014-01</v>
      </c>
      <c r="W1012">
        <v>19969.330000000002</v>
      </c>
      <c r="X1012">
        <f t="shared" si="206"/>
        <v>4.7002196205037242E-3</v>
      </c>
      <c r="Y1012">
        <f t="shared" si="207"/>
        <v>4.7112829793583546E-3</v>
      </c>
      <c r="Z1012" t="str">
        <f t="shared" si="200"/>
        <v>2014-01</v>
      </c>
    </row>
    <row r="1013" spans="1:26" x14ac:dyDescent="0.35">
      <c r="A1013" s="1">
        <v>41659</v>
      </c>
      <c r="C1013">
        <v>3153.17</v>
      </c>
      <c r="D1013">
        <f t="shared" si="201"/>
        <v>-2.9489779468438521E-4</v>
      </c>
      <c r="E1013" t="str">
        <f t="shared" si="195"/>
        <v>2014-01</v>
      </c>
      <c r="G1013">
        <v>4322.8599999999997</v>
      </c>
      <c r="H1013">
        <f t="shared" si="202"/>
        <v>-1.0727878250165073E-3</v>
      </c>
      <c r="I1013" t="str">
        <f t="shared" si="196"/>
        <v>2014-01</v>
      </c>
      <c r="K1013">
        <v>9715.9</v>
      </c>
      <c r="L1013">
        <f t="shared" si="203"/>
        <v>-2.7812541375257E-3</v>
      </c>
      <c r="M1013" t="str">
        <f t="shared" si="197"/>
        <v>2014-01</v>
      </c>
      <c r="O1013">
        <v>8280.2077300000001</v>
      </c>
      <c r="P1013">
        <f t="shared" si="204"/>
        <v>-2.4871403527498891E-4</v>
      </c>
      <c r="Q1013" t="str">
        <f t="shared" si="198"/>
        <v>2014-01</v>
      </c>
      <c r="S1013">
        <v>10454.1</v>
      </c>
      <c r="T1013">
        <f t="shared" si="205"/>
        <v>-1.1089973316073577E-3</v>
      </c>
      <c r="U1013" t="str">
        <f t="shared" si="199"/>
        <v>2014-01</v>
      </c>
      <c r="W1013">
        <v>19973.45</v>
      </c>
      <c r="X1013">
        <f t="shared" si="206"/>
        <v>2.0629510587940345E-4</v>
      </c>
      <c r="Y1013">
        <f t="shared" si="207"/>
        <v>2.0631638617815324E-4</v>
      </c>
      <c r="Z1013" t="str">
        <f t="shared" si="200"/>
        <v>2014-01</v>
      </c>
    </row>
    <row r="1014" spans="1:26" x14ac:dyDescent="0.35">
      <c r="A1014" s="1">
        <v>41660</v>
      </c>
      <c r="C1014">
        <v>3153.08</v>
      </c>
      <c r="D1014">
        <f t="shared" si="201"/>
        <v>-2.8543111994109405E-5</v>
      </c>
      <c r="E1014" t="str">
        <f t="shared" si="195"/>
        <v>2014-01</v>
      </c>
      <c r="G1014">
        <v>4323.87</v>
      </c>
      <c r="H1014">
        <f t="shared" si="202"/>
        <v>2.336143269407122E-4</v>
      </c>
      <c r="I1014" t="str">
        <f t="shared" si="196"/>
        <v>2014-01</v>
      </c>
      <c r="K1014">
        <v>9730.1200000000008</v>
      </c>
      <c r="L1014">
        <f t="shared" si="203"/>
        <v>1.4625103270119496E-3</v>
      </c>
      <c r="M1014" t="str">
        <f t="shared" si="197"/>
        <v>2014-01</v>
      </c>
      <c r="O1014">
        <v>8309.5522899999996</v>
      </c>
      <c r="P1014">
        <f t="shared" si="204"/>
        <v>3.5376751163250313E-3</v>
      </c>
      <c r="Q1014" t="str">
        <f t="shared" si="198"/>
        <v>2014-01</v>
      </c>
      <c r="S1014">
        <v>10357.4</v>
      </c>
      <c r="T1014">
        <f t="shared" si="205"/>
        <v>-9.2930058781279072E-3</v>
      </c>
      <c r="U1014" t="str">
        <f t="shared" si="199"/>
        <v>2014-01</v>
      </c>
      <c r="W1014">
        <v>19995.75</v>
      </c>
      <c r="X1014">
        <f t="shared" si="206"/>
        <v>1.1158593273764878E-3</v>
      </c>
      <c r="Y1014">
        <f t="shared" si="207"/>
        <v>1.1164821300275751E-3</v>
      </c>
      <c r="Z1014" t="str">
        <f t="shared" si="200"/>
        <v>2014-01</v>
      </c>
    </row>
    <row r="1015" spans="1:26" x14ac:dyDescent="0.35">
      <c r="A1015" s="1">
        <v>41661</v>
      </c>
      <c r="C1015">
        <v>3151.27</v>
      </c>
      <c r="D1015">
        <f t="shared" si="201"/>
        <v>-5.742067143263863E-4</v>
      </c>
      <c r="E1015" t="str">
        <f t="shared" si="195"/>
        <v>2014-01</v>
      </c>
      <c r="G1015">
        <v>4324.9799999999996</v>
      </c>
      <c r="H1015">
        <f t="shared" si="202"/>
        <v>2.5668152554257065E-4</v>
      </c>
      <c r="I1015" t="str">
        <f t="shared" si="196"/>
        <v>2014-01</v>
      </c>
      <c r="K1015">
        <v>9720.11</v>
      </c>
      <c r="L1015">
        <f t="shared" si="203"/>
        <v>-1.029293831872863E-3</v>
      </c>
      <c r="M1015" t="str">
        <f t="shared" si="197"/>
        <v>2014-01</v>
      </c>
      <c r="O1015">
        <v>8350.1768200000006</v>
      </c>
      <c r="P1015">
        <f t="shared" si="204"/>
        <v>4.8769833234172336E-3</v>
      </c>
      <c r="Q1015" t="str">
        <f t="shared" si="198"/>
        <v>2014-01</v>
      </c>
      <c r="S1015">
        <v>10279.700000000001</v>
      </c>
      <c r="T1015">
        <f t="shared" si="205"/>
        <v>-7.5301633615100089E-3</v>
      </c>
      <c r="U1015" t="str">
        <f t="shared" si="199"/>
        <v>2014-01</v>
      </c>
      <c r="W1015">
        <v>19958.38</v>
      </c>
      <c r="X1015">
        <f t="shared" si="206"/>
        <v>-1.8706457078379196E-3</v>
      </c>
      <c r="Y1015">
        <f t="shared" si="207"/>
        <v>-1.8688971406423355E-3</v>
      </c>
      <c r="Z1015" t="str">
        <f t="shared" si="200"/>
        <v>2014-01</v>
      </c>
    </row>
    <row r="1016" spans="1:26" x14ac:dyDescent="0.35">
      <c r="A1016" s="1">
        <v>41662</v>
      </c>
      <c r="C1016">
        <v>3117.08</v>
      </c>
      <c r="D1016">
        <f t="shared" si="201"/>
        <v>-1.0908880027630441E-2</v>
      </c>
      <c r="E1016" t="str">
        <f t="shared" si="195"/>
        <v>2014-01</v>
      </c>
      <c r="G1016">
        <v>4280.96</v>
      </c>
      <c r="H1016">
        <f t="shared" si="202"/>
        <v>-1.023023258784238E-2</v>
      </c>
      <c r="I1016" t="str">
        <f t="shared" si="196"/>
        <v>2014-01</v>
      </c>
      <c r="K1016">
        <v>9631.0400000000009</v>
      </c>
      <c r="L1016">
        <f t="shared" si="203"/>
        <v>-9.2057194555241265E-3</v>
      </c>
      <c r="M1016" t="str">
        <f t="shared" si="197"/>
        <v>2014-01</v>
      </c>
      <c r="O1016">
        <v>8229.9685900000004</v>
      </c>
      <c r="P1016">
        <f t="shared" si="204"/>
        <v>-1.4500516529672318E-2</v>
      </c>
      <c r="Q1016" t="str">
        <f t="shared" si="198"/>
        <v>2014-01</v>
      </c>
      <c r="S1016">
        <v>10241.200000000001</v>
      </c>
      <c r="T1016">
        <f t="shared" si="205"/>
        <v>-3.7522764763700494E-3</v>
      </c>
      <c r="U1016" t="str">
        <f t="shared" si="199"/>
        <v>2014-01</v>
      </c>
      <c r="W1016">
        <v>19814.55</v>
      </c>
      <c r="X1016">
        <f t="shared" si="206"/>
        <v>-7.2325889484384266E-3</v>
      </c>
      <c r="Y1016">
        <f t="shared" si="207"/>
        <v>-7.2064967196737283E-3</v>
      </c>
      <c r="Z1016" t="str">
        <f t="shared" si="200"/>
        <v>2014-01</v>
      </c>
    </row>
    <row r="1017" spans="1:26" x14ac:dyDescent="0.35">
      <c r="A1017" s="1">
        <v>41663</v>
      </c>
      <c r="C1017">
        <v>3028.2</v>
      </c>
      <c r="D1017">
        <f t="shared" si="201"/>
        <v>-2.8928282567909611E-2</v>
      </c>
      <c r="E1017" t="str">
        <f t="shared" si="195"/>
        <v>2014-01</v>
      </c>
      <c r="G1017">
        <v>4161.47</v>
      </c>
      <c r="H1017">
        <f t="shared" si="202"/>
        <v>-2.8308906268907679E-2</v>
      </c>
      <c r="I1017" t="str">
        <f t="shared" si="196"/>
        <v>2014-01</v>
      </c>
      <c r="K1017">
        <v>9392.02</v>
      </c>
      <c r="L1017">
        <f t="shared" si="203"/>
        <v>-2.5130823269851943E-2</v>
      </c>
      <c r="M1017" t="str">
        <f t="shared" si="197"/>
        <v>2014-01</v>
      </c>
      <c r="O1017">
        <v>8038.5655500000003</v>
      </c>
      <c r="P1017">
        <f t="shared" si="204"/>
        <v>-2.3531545062719081E-2</v>
      </c>
      <c r="Q1017" t="str">
        <f t="shared" si="198"/>
        <v>2014-01</v>
      </c>
      <c r="S1017">
        <v>9868.9</v>
      </c>
      <c r="T1017">
        <f t="shared" si="205"/>
        <v>-3.7030401845788888E-2</v>
      </c>
      <c r="U1017" t="str">
        <f t="shared" si="199"/>
        <v>2014-01</v>
      </c>
      <c r="W1017">
        <v>19358.990000000002</v>
      </c>
      <c r="X1017">
        <f t="shared" si="206"/>
        <v>-2.3259605250318713E-2</v>
      </c>
      <c r="Y1017">
        <f t="shared" si="207"/>
        <v>-2.2991185770052699E-2</v>
      </c>
      <c r="Z1017" t="str">
        <f t="shared" si="200"/>
        <v>2014-01</v>
      </c>
    </row>
    <row r="1018" spans="1:26" x14ac:dyDescent="0.35">
      <c r="A1018" s="1">
        <v>41666</v>
      </c>
      <c r="C1018">
        <v>3014.62</v>
      </c>
      <c r="D1018">
        <f t="shared" si="201"/>
        <v>-4.4945978404963734E-3</v>
      </c>
      <c r="E1018" t="str">
        <f t="shared" si="195"/>
        <v>2014-01</v>
      </c>
      <c r="G1018">
        <v>4144.5600000000004</v>
      </c>
      <c r="H1018">
        <f t="shared" si="202"/>
        <v>-4.0717462765565374E-3</v>
      </c>
      <c r="I1018" t="str">
        <f t="shared" si="196"/>
        <v>2014-01</v>
      </c>
      <c r="K1018">
        <v>9349.2199999999993</v>
      </c>
      <c r="L1018">
        <f t="shared" si="203"/>
        <v>-4.5674751945087386E-3</v>
      </c>
      <c r="M1018" t="str">
        <f t="shared" si="197"/>
        <v>2014-01</v>
      </c>
      <c r="O1018">
        <v>7941.3403600000001</v>
      </c>
      <c r="P1018">
        <f t="shared" si="204"/>
        <v>-1.2168580998887372E-2</v>
      </c>
      <c r="Q1018" t="str">
        <f t="shared" si="198"/>
        <v>2014-01</v>
      </c>
      <c r="S1018">
        <v>9758.4</v>
      </c>
      <c r="T1018">
        <f t="shared" si="205"/>
        <v>-1.1259945839599439E-2</v>
      </c>
      <c r="U1018" t="str">
        <f t="shared" si="199"/>
        <v>2014-01</v>
      </c>
      <c r="W1018">
        <v>19273.580000000002</v>
      </c>
      <c r="X1018">
        <f t="shared" si="206"/>
        <v>-4.4216648882046327E-3</v>
      </c>
      <c r="Y1018">
        <f t="shared" si="207"/>
        <v>-4.4119037201837416E-3</v>
      </c>
      <c r="Z1018" t="str">
        <f t="shared" si="200"/>
        <v>2014-01</v>
      </c>
    </row>
    <row r="1019" spans="1:26" x14ac:dyDescent="0.35">
      <c r="A1019" s="1">
        <v>41667</v>
      </c>
      <c r="C1019">
        <v>3038.6</v>
      </c>
      <c r="D1019">
        <f t="shared" si="201"/>
        <v>7.9230972758908315E-3</v>
      </c>
      <c r="E1019" t="str">
        <f t="shared" si="195"/>
        <v>2014-01</v>
      </c>
      <c r="G1019">
        <v>4185.29</v>
      </c>
      <c r="H1019">
        <f t="shared" si="202"/>
        <v>9.7793656798098212E-3</v>
      </c>
      <c r="I1019" t="str">
        <f t="shared" si="196"/>
        <v>2014-01</v>
      </c>
      <c r="K1019">
        <v>9406.91</v>
      </c>
      <c r="L1019">
        <f t="shared" si="203"/>
        <v>6.1516082397237992E-3</v>
      </c>
      <c r="M1019" t="str">
        <f t="shared" si="197"/>
        <v>2014-01</v>
      </c>
      <c r="O1019">
        <v>7969.7257900000004</v>
      </c>
      <c r="P1019">
        <f t="shared" si="204"/>
        <v>3.5680148453069048E-3</v>
      </c>
      <c r="Q1019" t="str">
        <f t="shared" si="198"/>
        <v>2014-01</v>
      </c>
      <c r="S1019">
        <v>9879.1</v>
      </c>
      <c r="T1019">
        <f t="shared" si="205"/>
        <v>1.2292961933082778E-2</v>
      </c>
      <c r="U1019" t="str">
        <f t="shared" si="199"/>
        <v>2014-01</v>
      </c>
      <c r="W1019">
        <v>19448.32</v>
      </c>
      <c r="X1019">
        <f t="shared" si="206"/>
        <v>9.025444834688541E-3</v>
      </c>
      <c r="Y1019">
        <f t="shared" si="207"/>
        <v>9.0662969723319664E-3</v>
      </c>
      <c r="Z1019" t="str">
        <f t="shared" si="200"/>
        <v>2014-01</v>
      </c>
    </row>
    <row r="1020" spans="1:26" x14ac:dyDescent="0.35">
      <c r="A1020" s="1">
        <v>41668</v>
      </c>
      <c r="C1020">
        <v>3011.45</v>
      </c>
      <c r="D1020">
        <f t="shared" si="201"/>
        <v>-8.9751926854720158E-3</v>
      </c>
      <c r="E1020" t="str">
        <f t="shared" si="195"/>
        <v>2014-01</v>
      </c>
      <c r="G1020">
        <v>4156.9799999999996</v>
      </c>
      <c r="H1020">
        <f t="shared" si="202"/>
        <v>-6.7871475451661079E-3</v>
      </c>
      <c r="I1020" t="str">
        <f t="shared" si="196"/>
        <v>2014-01</v>
      </c>
      <c r="K1020">
        <v>9336.73</v>
      </c>
      <c r="L1020">
        <f t="shared" si="203"/>
        <v>-7.4884417279968887E-3</v>
      </c>
      <c r="M1020" t="str">
        <f t="shared" si="197"/>
        <v>2014-01</v>
      </c>
      <c r="O1020">
        <v>7936.9755999999998</v>
      </c>
      <c r="P1020">
        <f t="shared" si="204"/>
        <v>-4.1177910458732175E-3</v>
      </c>
      <c r="Q1020" t="str">
        <f t="shared" si="198"/>
        <v>2014-01</v>
      </c>
      <c r="S1020">
        <v>9896.2000000000007</v>
      </c>
      <c r="T1020">
        <f t="shared" si="205"/>
        <v>1.7294305787598158E-3</v>
      </c>
      <c r="U1020" t="str">
        <f t="shared" si="199"/>
        <v>2014-01</v>
      </c>
      <c r="W1020">
        <v>19337.419999999998</v>
      </c>
      <c r="X1020">
        <f t="shared" si="206"/>
        <v>-5.7186121613599069E-3</v>
      </c>
      <c r="Y1020">
        <f t="shared" si="207"/>
        <v>-5.7022920231671144E-3</v>
      </c>
      <c r="Z1020" t="str">
        <f t="shared" si="200"/>
        <v>2014-01</v>
      </c>
    </row>
    <row r="1021" spans="1:26" x14ac:dyDescent="0.35">
      <c r="A1021" s="1">
        <v>41669</v>
      </c>
      <c r="C1021">
        <v>3027.3</v>
      </c>
      <c r="D1021">
        <f t="shared" si="201"/>
        <v>5.2494428143987637E-3</v>
      </c>
      <c r="E1021" t="str">
        <f t="shared" si="195"/>
        <v>2014-01</v>
      </c>
      <c r="G1021">
        <v>4180.0200000000004</v>
      </c>
      <c r="H1021">
        <f t="shared" si="202"/>
        <v>5.5271821171826233E-3</v>
      </c>
      <c r="I1021" t="str">
        <f t="shared" si="196"/>
        <v>2014-01</v>
      </c>
      <c r="K1021">
        <v>9373.48</v>
      </c>
      <c r="L1021">
        <f t="shared" si="203"/>
        <v>3.9283415055288975E-3</v>
      </c>
      <c r="M1021" t="str">
        <f t="shared" si="197"/>
        <v>2014-01</v>
      </c>
      <c r="O1021">
        <v>7952.0906800000002</v>
      </c>
      <c r="P1021">
        <f t="shared" si="204"/>
        <v>1.9025768151635786E-3</v>
      </c>
      <c r="Q1021" t="str">
        <f t="shared" si="198"/>
        <v>2014-01</v>
      </c>
      <c r="S1021">
        <v>9964.5</v>
      </c>
      <c r="T1021">
        <f t="shared" si="205"/>
        <v>6.877931719370978E-3</v>
      </c>
      <c r="U1021" t="str">
        <f t="shared" si="199"/>
        <v>2014-01</v>
      </c>
      <c r="W1021">
        <v>19411.55</v>
      </c>
      <c r="X1021">
        <f t="shared" si="206"/>
        <v>3.8261708858845214E-3</v>
      </c>
      <c r="Y1021">
        <f t="shared" si="207"/>
        <v>3.8335000222367321E-3</v>
      </c>
      <c r="Z1021" t="str">
        <f t="shared" si="200"/>
        <v>2014-01</v>
      </c>
    </row>
    <row r="1022" spans="1:26" x14ac:dyDescent="0.35">
      <c r="A1022" s="1">
        <v>41670</v>
      </c>
      <c r="C1022">
        <v>3013.96</v>
      </c>
      <c r="D1022">
        <f t="shared" si="201"/>
        <v>-4.4163044403506225E-3</v>
      </c>
      <c r="E1022" t="str">
        <f t="shared" si="195"/>
        <v>2014-01</v>
      </c>
      <c r="G1022">
        <v>4165.72</v>
      </c>
      <c r="H1022">
        <f t="shared" si="202"/>
        <v>-3.4269013878978462E-3</v>
      </c>
      <c r="I1022" t="str">
        <f t="shared" si="196"/>
        <v>2014-01</v>
      </c>
      <c r="K1022">
        <v>9306.48</v>
      </c>
      <c r="L1022">
        <f t="shared" si="203"/>
        <v>-7.1734936597900962E-3</v>
      </c>
      <c r="M1022" t="str">
        <f t="shared" si="197"/>
        <v>2014-01</v>
      </c>
      <c r="O1022">
        <v>7934.4933000000001</v>
      </c>
      <c r="P1022">
        <f t="shared" si="204"/>
        <v>-2.2153771030108366E-3</v>
      </c>
      <c r="Q1022" t="str">
        <f t="shared" si="198"/>
        <v>2014-01</v>
      </c>
      <c r="S1022">
        <v>9920.2000000000007</v>
      </c>
      <c r="T1022">
        <f t="shared" si="205"/>
        <v>-4.4556944074004966E-3</v>
      </c>
      <c r="U1022" t="str">
        <f t="shared" si="199"/>
        <v>2014-01</v>
      </c>
      <c r="W1022">
        <v>19418.34</v>
      </c>
      <c r="X1022">
        <f t="shared" si="206"/>
        <v>3.4973058482572152E-4</v>
      </c>
      <c r="Y1022">
        <f t="shared" si="207"/>
        <v>3.4979174769664831E-4</v>
      </c>
      <c r="Z1022" t="str">
        <f t="shared" si="200"/>
        <v>2014-01</v>
      </c>
    </row>
    <row r="1023" spans="1:26" x14ac:dyDescent="0.35">
      <c r="A1023" s="1">
        <v>41673</v>
      </c>
      <c r="C1023">
        <v>2963.96</v>
      </c>
      <c r="D1023">
        <f t="shared" si="201"/>
        <v>-1.6728616649979957E-2</v>
      </c>
      <c r="E1023" t="str">
        <f t="shared" si="195"/>
        <v>2014-02</v>
      </c>
      <c r="G1023">
        <v>4107.75</v>
      </c>
      <c r="H1023">
        <f t="shared" si="202"/>
        <v>-1.4013696476512461E-2</v>
      </c>
      <c r="I1023" t="str">
        <f t="shared" si="196"/>
        <v>2014-02</v>
      </c>
      <c r="K1023">
        <v>9186.52</v>
      </c>
      <c r="L1023">
        <f t="shared" si="203"/>
        <v>-1.2973739535326293E-2</v>
      </c>
      <c r="M1023" t="str">
        <f t="shared" si="197"/>
        <v>2014-02</v>
      </c>
      <c r="O1023">
        <v>7802.1291899999997</v>
      </c>
      <c r="P1023">
        <f t="shared" si="204"/>
        <v>-1.682282608466934E-2</v>
      </c>
      <c r="Q1023" t="str">
        <f t="shared" si="198"/>
        <v>2014-02</v>
      </c>
      <c r="S1023">
        <v>9725.4</v>
      </c>
      <c r="T1023">
        <f t="shared" si="205"/>
        <v>-1.9832062619820359E-2</v>
      </c>
      <c r="U1023" t="str">
        <f t="shared" si="199"/>
        <v>2014-02</v>
      </c>
      <c r="W1023">
        <v>18907.16</v>
      </c>
      <c r="X1023">
        <f t="shared" si="206"/>
        <v>-2.66772940177048E-2</v>
      </c>
      <c r="Y1023">
        <f t="shared" si="207"/>
        <v>-2.6324598292130033E-2</v>
      </c>
      <c r="Z1023" t="str">
        <f t="shared" si="200"/>
        <v>2014-02</v>
      </c>
    </row>
    <row r="1024" spans="1:26" x14ac:dyDescent="0.35">
      <c r="A1024" s="1">
        <v>41674</v>
      </c>
      <c r="C1024">
        <v>2962.49</v>
      </c>
      <c r="D1024">
        <f t="shared" si="201"/>
        <v>-4.9608113799901943E-4</v>
      </c>
      <c r="E1024" t="str">
        <f t="shared" si="195"/>
        <v>2014-02</v>
      </c>
      <c r="G1024">
        <v>4117.45</v>
      </c>
      <c r="H1024">
        <f t="shared" si="202"/>
        <v>2.3586063552928677E-3</v>
      </c>
      <c r="I1024" t="str">
        <f t="shared" si="196"/>
        <v>2014-02</v>
      </c>
      <c r="K1024">
        <v>9127.91</v>
      </c>
      <c r="L1024">
        <f t="shared" si="203"/>
        <v>-6.40043944395805E-3</v>
      </c>
      <c r="M1024" t="str">
        <f t="shared" si="197"/>
        <v>2014-02</v>
      </c>
      <c r="O1024">
        <v>7785.7728100000004</v>
      </c>
      <c r="P1024">
        <f t="shared" si="204"/>
        <v>-2.0986000557299597E-3</v>
      </c>
      <c r="Q1024" t="str">
        <f t="shared" si="198"/>
        <v>2014-02</v>
      </c>
      <c r="S1024">
        <v>9754.2999999999993</v>
      </c>
      <c r="T1024">
        <f t="shared" si="205"/>
        <v>2.9671936635098164E-3</v>
      </c>
      <c r="U1024" t="str">
        <f t="shared" si="199"/>
        <v>2014-02</v>
      </c>
      <c r="W1024">
        <v>19019.71</v>
      </c>
      <c r="X1024">
        <f t="shared" si="206"/>
        <v>5.9351235884977363E-3</v>
      </c>
      <c r="Y1024">
        <f t="shared" si="207"/>
        <v>5.9527713310724229E-3</v>
      </c>
      <c r="Z1024" t="str">
        <f t="shared" si="200"/>
        <v>2014-02</v>
      </c>
    </row>
    <row r="1025" spans="1:26" x14ac:dyDescent="0.35">
      <c r="A1025" s="1">
        <v>41675</v>
      </c>
      <c r="C1025">
        <v>2962.51</v>
      </c>
      <c r="D1025">
        <f t="shared" si="201"/>
        <v>6.7510548524986624E-6</v>
      </c>
      <c r="E1025" t="str">
        <f t="shared" si="195"/>
        <v>2014-02</v>
      </c>
      <c r="G1025">
        <v>4117.79</v>
      </c>
      <c r="H1025">
        <f t="shared" si="202"/>
        <v>8.2571971234196318E-5</v>
      </c>
      <c r="I1025" t="str">
        <f t="shared" si="196"/>
        <v>2014-02</v>
      </c>
      <c r="K1025">
        <v>9116.32</v>
      </c>
      <c r="L1025">
        <f t="shared" si="203"/>
        <v>-1.2705388562975254E-3</v>
      </c>
      <c r="M1025" t="str">
        <f t="shared" si="197"/>
        <v>2014-02</v>
      </c>
      <c r="O1025">
        <v>7788.7889299999997</v>
      </c>
      <c r="P1025">
        <f t="shared" si="204"/>
        <v>3.8731363206928468E-4</v>
      </c>
      <c r="Q1025" t="str">
        <f t="shared" si="198"/>
        <v>2014-02</v>
      </c>
      <c r="S1025">
        <v>9775</v>
      </c>
      <c r="T1025">
        <f t="shared" si="205"/>
        <v>2.1198924438717739E-3</v>
      </c>
      <c r="U1025" t="str">
        <f t="shared" si="199"/>
        <v>2014-02</v>
      </c>
      <c r="W1025">
        <v>19069.62</v>
      </c>
      <c r="X1025">
        <f t="shared" si="206"/>
        <v>2.6206829348306591E-3</v>
      </c>
      <c r="Y1025">
        <f t="shared" si="207"/>
        <v>2.6241199261187397E-3</v>
      </c>
      <c r="Z1025" t="str">
        <f t="shared" si="200"/>
        <v>2014-02</v>
      </c>
    </row>
    <row r="1026" spans="1:26" x14ac:dyDescent="0.35">
      <c r="A1026" s="1">
        <v>41676</v>
      </c>
      <c r="C1026">
        <v>3010.79</v>
      </c>
      <c r="D1026">
        <f t="shared" si="201"/>
        <v>1.616562081336697E-2</v>
      </c>
      <c r="E1026" t="str">
        <f t="shared" si="195"/>
        <v>2014-02</v>
      </c>
      <c r="G1026">
        <v>4188.1000000000004</v>
      </c>
      <c r="H1026">
        <f t="shared" si="202"/>
        <v>1.6930558792832139E-2</v>
      </c>
      <c r="I1026" t="str">
        <f t="shared" si="196"/>
        <v>2014-02</v>
      </c>
      <c r="K1026">
        <v>9256.58</v>
      </c>
      <c r="L1026">
        <f t="shared" si="203"/>
        <v>1.5268436102495475E-2</v>
      </c>
      <c r="M1026" t="str">
        <f t="shared" si="197"/>
        <v>2014-02</v>
      </c>
      <c r="O1026">
        <v>7879.00119</v>
      </c>
      <c r="P1026">
        <f t="shared" si="204"/>
        <v>1.1515760199497941E-2</v>
      </c>
      <c r="Q1026" t="str">
        <f t="shared" si="198"/>
        <v>2014-02</v>
      </c>
      <c r="S1026">
        <v>9964.6</v>
      </c>
      <c r="T1026">
        <f t="shared" si="205"/>
        <v>1.9210706495956461E-2</v>
      </c>
      <c r="U1026" t="str">
        <f t="shared" si="199"/>
        <v>2014-02</v>
      </c>
      <c r="W1026">
        <v>19504.240000000002</v>
      </c>
      <c r="X1026">
        <f t="shared" si="206"/>
        <v>2.2535385003849082E-2</v>
      </c>
      <c r="Y1026">
        <f t="shared" si="207"/>
        <v>2.2791224995569008E-2</v>
      </c>
      <c r="Z1026" t="str">
        <f t="shared" si="200"/>
        <v>2014-02</v>
      </c>
    </row>
    <row r="1027" spans="1:26" x14ac:dyDescent="0.35">
      <c r="A1027" s="1">
        <v>41677</v>
      </c>
      <c r="C1027">
        <v>3038.49</v>
      </c>
      <c r="D1027">
        <f t="shared" si="201"/>
        <v>9.158178693930475E-3</v>
      </c>
      <c r="E1027" t="str">
        <f t="shared" si="195"/>
        <v>2014-02</v>
      </c>
      <c r="G1027">
        <v>4228.18</v>
      </c>
      <c r="H1027">
        <f t="shared" si="202"/>
        <v>9.5244699533298029E-3</v>
      </c>
      <c r="I1027" t="str">
        <f t="shared" si="196"/>
        <v>2014-02</v>
      </c>
      <c r="K1027">
        <v>9301.92</v>
      </c>
      <c r="L1027">
        <f t="shared" si="203"/>
        <v>4.8861804786770402E-3</v>
      </c>
      <c r="M1027" t="str">
        <f t="shared" si="197"/>
        <v>2014-02</v>
      </c>
      <c r="O1027">
        <v>7908.5954499999998</v>
      </c>
      <c r="P1027">
        <f t="shared" si="204"/>
        <v>3.7490563431715842E-3</v>
      </c>
      <c r="Q1027" t="str">
        <f t="shared" si="198"/>
        <v>2014-02</v>
      </c>
      <c r="S1027">
        <v>10072.4</v>
      </c>
      <c r="T1027">
        <f t="shared" si="205"/>
        <v>1.0760197644854438E-2</v>
      </c>
      <c r="U1027" t="str">
        <f t="shared" si="199"/>
        <v>2014-02</v>
      </c>
      <c r="W1027">
        <v>19692.080000000002</v>
      </c>
      <c r="X1027">
        <f t="shared" si="206"/>
        <v>9.5846466198010721E-3</v>
      </c>
      <c r="Y1027">
        <f t="shared" si="207"/>
        <v>9.6307264471725187E-3</v>
      </c>
      <c r="Z1027" t="str">
        <f t="shared" si="200"/>
        <v>2014-02</v>
      </c>
    </row>
    <row r="1028" spans="1:26" x14ac:dyDescent="0.35">
      <c r="A1028" s="1">
        <v>41680</v>
      </c>
      <c r="C1028">
        <v>3032.53</v>
      </c>
      <c r="D1028">
        <f t="shared" si="201"/>
        <v>-1.9634268754416934E-3</v>
      </c>
      <c r="E1028" t="str">
        <f t="shared" ref="E1028:E1091" si="208">_xlfn.CONCAT(YEAR(A1028),"-",TEXT(MONTH(A1028),"00"))</f>
        <v>2014-02</v>
      </c>
      <c r="G1028">
        <v>4237.13</v>
      </c>
      <c r="H1028">
        <f t="shared" si="202"/>
        <v>2.114512837626246E-3</v>
      </c>
      <c r="I1028" t="str">
        <f t="shared" ref="I1028:I1091" si="209">_xlfn.CONCAT(YEAR(A1028),"-",TEXT(MONTH(A1028),"00"))</f>
        <v>2014-02</v>
      </c>
      <c r="K1028">
        <v>9289.86</v>
      </c>
      <c r="L1028">
        <f t="shared" si="203"/>
        <v>-1.2973477194250329E-3</v>
      </c>
      <c r="M1028" t="str">
        <f t="shared" ref="M1028:M1091" si="210">_xlfn.CONCAT(YEAR(A1028),"-",TEXT(MONTH(A1028),"00"))</f>
        <v>2014-02</v>
      </c>
      <c r="O1028">
        <v>7927.5444100000004</v>
      </c>
      <c r="P1028">
        <f t="shared" si="204"/>
        <v>2.3931297918584932E-3</v>
      </c>
      <c r="Q1028" t="str">
        <f t="shared" ref="Q1028:Q1091" si="211">_xlfn.CONCAT(YEAR(A1028),"-",TEXT(MONTH(A1028),"00"))</f>
        <v>2014-02</v>
      </c>
      <c r="S1028">
        <v>9982.7000000000007</v>
      </c>
      <c r="T1028">
        <f t="shared" si="205"/>
        <v>-8.9454151963428395E-3</v>
      </c>
      <c r="U1028" t="str">
        <f t="shared" ref="U1028:U1091" si="212">_xlfn.CONCAT(YEAR(A1028),"-",TEXT(MONTH(A1028),"00"))</f>
        <v>2014-02</v>
      </c>
      <c r="W1028">
        <v>19682.82</v>
      </c>
      <c r="X1028">
        <f t="shared" si="206"/>
        <v>-4.7035040956124925E-4</v>
      </c>
      <c r="Y1028">
        <f t="shared" si="207"/>
        <v>-4.7023981214793138E-4</v>
      </c>
      <c r="Z1028" t="str">
        <f t="shared" ref="Z1028:Z1091" si="213">_xlfn.CONCAT(YEAR(A1028),"-",TEXT(MONTH(A1028),"00"))</f>
        <v>2014-02</v>
      </c>
    </row>
    <row r="1029" spans="1:26" x14ac:dyDescent="0.35">
      <c r="A1029" s="1">
        <v>41681</v>
      </c>
      <c r="C1029">
        <v>3077.08</v>
      </c>
      <c r="D1029">
        <f t="shared" ref="D1029:D1092" si="214">LN(C1029/C1028)</f>
        <v>1.4583840737109405E-2</v>
      </c>
      <c r="E1029" t="str">
        <f t="shared" si="208"/>
        <v>2014-02</v>
      </c>
      <c r="G1029">
        <v>4283.32</v>
      </c>
      <c r="H1029">
        <f t="shared" ref="H1029:H1092" si="215">LN(G1029/G1028)</f>
        <v>1.0842256567688722E-2</v>
      </c>
      <c r="I1029" t="str">
        <f t="shared" si="209"/>
        <v>2014-02</v>
      </c>
      <c r="K1029">
        <v>9478.77</v>
      </c>
      <c r="L1029">
        <f t="shared" ref="L1029:L1092" si="216">LN(K1029/K1028)</f>
        <v>2.0131078269151705E-2</v>
      </c>
      <c r="M1029" t="str">
        <f t="shared" si="210"/>
        <v>2014-02</v>
      </c>
      <c r="O1029">
        <v>8045.91093</v>
      </c>
      <c r="P1029">
        <f t="shared" ref="P1029:P1092" si="217">LN(O1029/O1028)</f>
        <v>1.4820673936414969E-2</v>
      </c>
      <c r="Q1029" t="str">
        <f t="shared" si="211"/>
        <v>2014-02</v>
      </c>
      <c r="S1029">
        <v>10091.200000000001</v>
      </c>
      <c r="T1029">
        <f t="shared" ref="T1029:T1092" si="218">LN(S1029/S1028)</f>
        <v>1.0810162111352122E-2</v>
      </c>
      <c r="U1029" t="str">
        <f t="shared" si="212"/>
        <v>2014-02</v>
      </c>
      <c r="W1029">
        <v>19887.39</v>
      </c>
      <c r="X1029">
        <f t="shared" ref="X1029:X1092" si="219">LN(W1029/W1028)</f>
        <v>1.0339688494482427E-2</v>
      </c>
      <c r="Y1029">
        <f t="shared" ref="Y1029:Y1092" si="220">(W1029-W1028)/W1028</f>
        <v>1.0393327785347817E-2</v>
      </c>
      <c r="Z1029" t="str">
        <f t="shared" si="213"/>
        <v>2014-02</v>
      </c>
    </row>
    <row r="1030" spans="1:26" x14ac:dyDescent="0.35">
      <c r="A1030" s="1">
        <v>41682</v>
      </c>
      <c r="C1030">
        <v>3094.89</v>
      </c>
      <c r="D1030">
        <f t="shared" si="214"/>
        <v>5.7712689575358401E-3</v>
      </c>
      <c r="E1030" t="str">
        <f t="shared" si="208"/>
        <v>2014-02</v>
      </c>
      <c r="G1030">
        <v>4305.5</v>
      </c>
      <c r="H1030">
        <f t="shared" si="215"/>
        <v>5.164865326275689E-3</v>
      </c>
      <c r="I1030" t="str">
        <f t="shared" si="209"/>
        <v>2014-02</v>
      </c>
      <c r="K1030">
        <v>9540</v>
      </c>
      <c r="L1030">
        <f t="shared" si="216"/>
        <v>6.4389244465565152E-3</v>
      </c>
      <c r="M1030" t="str">
        <f t="shared" si="210"/>
        <v>2014-02</v>
      </c>
      <c r="O1030">
        <v>8144.6667100000004</v>
      </c>
      <c r="P1030">
        <f t="shared" si="217"/>
        <v>1.2199318264833683E-2</v>
      </c>
      <c r="Q1030" t="str">
        <f t="shared" si="211"/>
        <v>2014-02</v>
      </c>
      <c r="S1030">
        <v>10080.799999999999</v>
      </c>
      <c r="T1030">
        <f t="shared" si="218"/>
        <v>-1.0311323539035091E-3</v>
      </c>
      <c r="U1030" t="str">
        <f t="shared" si="212"/>
        <v>2014-02</v>
      </c>
      <c r="W1030">
        <v>20144.96</v>
      </c>
      <c r="X1030">
        <f t="shared" si="219"/>
        <v>1.2868270500870209E-2</v>
      </c>
      <c r="Y1030">
        <f t="shared" si="220"/>
        <v>1.2951422987129016E-2</v>
      </c>
      <c r="Z1030" t="str">
        <f t="shared" si="213"/>
        <v>2014-02</v>
      </c>
    </row>
    <row r="1031" spans="1:26" x14ac:dyDescent="0.35">
      <c r="A1031" s="1">
        <v>41683</v>
      </c>
      <c r="C1031">
        <v>3097.95</v>
      </c>
      <c r="D1031">
        <f t="shared" si="214"/>
        <v>9.88238110151944E-4</v>
      </c>
      <c r="E1031" t="str">
        <f t="shared" si="208"/>
        <v>2014-02</v>
      </c>
      <c r="G1031">
        <v>4312.8</v>
      </c>
      <c r="H1031">
        <f t="shared" si="215"/>
        <v>1.6940700012391546E-3</v>
      </c>
      <c r="I1031" t="str">
        <f t="shared" si="209"/>
        <v>2014-02</v>
      </c>
      <c r="K1031">
        <v>9596.77</v>
      </c>
      <c r="L1031">
        <f t="shared" si="216"/>
        <v>5.9330980654576744E-3</v>
      </c>
      <c r="M1031" t="str">
        <f t="shared" si="210"/>
        <v>2014-02</v>
      </c>
      <c r="O1031">
        <v>8108.7085500000003</v>
      </c>
      <c r="P1031">
        <f t="shared" si="217"/>
        <v>-4.4247078641360587E-3</v>
      </c>
      <c r="Q1031" t="str">
        <f t="shared" si="211"/>
        <v>2014-02</v>
      </c>
      <c r="S1031">
        <v>10098.9</v>
      </c>
      <c r="T1031">
        <f t="shared" si="218"/>
        <v>1.7938824515565887E-3</v>
      </c>
      <c r="U1031" t="str">
        <f t="shared" si="212"/>
        <v>2014-02</v>
      </c>
      <c r="W1031">
        <v>20110.3</v>
      </c>
      <c r="X1031">
        <f t="shared" si="219"/>
        <v>-1.722011412413707E-3</v>
      </c>
      <c r="Y1031">
        <f t="shared" si="220"/>
        <v>-1.7205296014486927E-3</v>
      </c>
      <c r="Z1031" t="str">
        <f t="shared" si="213"/>
        <v>2014-02</v>
      </c>
    </row>
    <row r="1032" spans="1:26" x14ac:dyDescent="0.35">
      <c r="A1032" s="1">
        <v>41684</v>
      </c>
      <c r="C1032">
        <v>3119.06</v>
      </c>
      <c r="D1032">
        <f t="shared" si="214"/>
        <v>6.7910719559222824E-3</v>
      </c>
      <c r="E1032" t="str">
        <f t="shared" si="208"/>
        <v>2014-02</v>
      </c>
      <c r="G1032">
        <v>4340.1400000000003</v>
      </c>
      <c r="H1032">
        <f t="shared" si="215"/>
        <v>6.3192605012276611E-3</v>
      </c>
      <c r="I1032" t="str">
        <f t="shared" si="209"/>
        <v>2014-02</v>
      </c>
      <c r="K1032">
        <v>9662.4</v>
      </c>
      <c r="L1032">
        <f t="shared" si="216"/>
        <v>6.815481045846737E-3</v>
      </c>
      <c r="M1032" t="str">
        <f t="shared" si="210"/>
        <v>2014-02</v>
      </c>
      <c r="O1032">
        <v>8141.8293899999999</v>
      </c>
      <c r="P1032">
        <f t="shared" si="217"/>
        <v>4.0762817801847121E-3</v>
      </c>
      <c r="Q1032" t="str">
        <f t="shared" si="211"/>
        <v>2014-02</v>
      </c>
      <c r="S1032">
        <v>10132.799999999999</v>
      </c>
      <c r="T1032">
        <f t="shared" si="218"/>
        <v>3.3511797551258275E-3</v>
      </c>
      <c r="U1032" t="str">
        <f t="shared" si="212"/>
        <v>2014-02</v>
      </c>
      <c r="W1032">
        <v>20436.47</v>
      </c>
      <c r="X1032">
        <f t="shared" si="219"/>
        <v>1.6088928209398928E-2</v>
      </c>
      <c r="Y1032">
        <f t="shared" si="220"/>
        <v>1.6219051928613792E-2</v>
      </c>
      <c r="Z1032" t="str">
        <f t="shared" si="213"/>
        <v>2014-02</v>
      </c>
    </row>
    <row r="1033" spans="1:26" x14ac:dyDescent="0.35">
      <c r="A1033" s="1">
        <v>41687</v>
      </c>
      <c r="C1033">
        <v>3118.91</v>
      </c>
      <c r="D1033">
        <f t="shared" si="214"/>
        <v>-4.8092568585263866E-5</v>
      </c>
      <c r="E1033" t="str">
        <f t="shared" si="208"/>
        <v>2014-02</v>
      </c>
      <c r="G1033">
        <v>4335.17</v>
      </c>
      <c r="H1033">
        <f t="shared" si="215"/>
        <v>-1.1457805066847685E-3</v>
      </c>
      <c r="I1033" t="str">
        <f t="shared" si="209"/>
        <v>2014-02</v>
      </c>
      <c r="K1033">
        <v>9656.76</v>
      </c>
      <c r="L1033">
        <f t="shared" si="216"/>
        <v>-5.8387633419137303E-4</v>
      </c>
      <c r="M1033" t="str">
        <f t="shared" si="210"/>
        <v>2014-02</v>
      </c>
      <c r="O1033">
        <v>8211.8513500000008</v>
      </c>
      <c r="P1033">
        <f t="shared" si="217"/>
        <v>8.5635018838950711E-3</v>
      </c>
      <c r="Q1033" t="str">
        <f t="shared" si="211"/>
        <v>2014-02</v>
      </c>
      <c r="S1033">
        <v>10118.6</v>
      </c>
      <c r="T1033">
        <f t="shared" si="218"/>
        <v>-1.4023724115072704E-3</v>
      </c>
      <c r="U1033" t="str">
        <f t="shared" si="212"/>
        <v>2014-02</v>
      </c>
      <c r="W1033">
        <v>20459.650000000001</v>
      </c>
      <c r="X1033">
        <f t="shared" si="219"/>
        <v>1.1336039938411033E-3</v>
      </c>
      <c r="Y1033">
        <f t="shared" si="220"/>
        <v>1.1342467657085734E-3</v>
      </c>
      <c r="Z1033" t="str">
        <f t="shared" si="213"/>
        <v>2014-02</v>
      </c>
    </row>
    <row r="1034" spans="1:26" x14ac:dyDescent="0.35">
      <c r="A1034" s="1">
        <v>41688</v>
      </c>
      <c r="C1034">
        <v>3117.44</v>
      </c>
      <c r="D1034">
        <f t="shared" si="214"/>
        <v>-4.7142961098231394E-4</v>
      </c>
      <c r="E1034" t="str">
        <f t="shared" si="208"/>
        <v>2014-02</v>
      </c>
      <c r="G1034">
        <v>4330.71</v>
      </c>
      <c r="H1034">
        <f t="shared" si="215"/>
        <v>-1.0293242910781155E-3</v>
      </c>
      <c r="I1034" t="str">
        <f t="shared" si="209"/>
        <v>2014-02</v>
      </c>
      <c r="K1034">
        <v>9659.7800000000007</v>
      </c>
      <c r="L1034">
        <f t="shared" si="216"/>
        <v>3.126854006573718E-4</v>
      </c>
      <c r="M1034" t="str">
        <f t="shared" si="210"/>
        <v>2014-02</v>
      </c>
      <c r="O1034">
        <v>8250.1959599999991</v>
      </c>
      <c r="P1034">
        <f t="shared" si="217"/>
        <v>4.6585553576133235E-3</v>
      </c>
      <c r="Q1034" t="str">
        <f t="shared" si="211"/>
        <v>2014-02</v>
      </c>
      <c r="S1034">
        <v>10042.700000000001</v>
      </c>
      <c r="T1034">
        <f t="shared" si="218"/>
        <v>-7.5293119558080684E-3</v>
      </c>
      <c r="U1034" t="str">
        <f t="shared" si="212"/>
        <v>2014-02</v>
      </c>
      <c r="W1034">
        <v>20478.53</v>
      </c>
      <c r="X1034">
        <f t="shared" si="219"/>
        <v>9.2236642364289484E-4</v>
      </c>
      <c r="Y1034">
        <f t="shared" si="220"/>
        <v>9.2279193436825069E-4</v>
      </c>
      <c r="Z1034" t="str">
        <f t="shared" si="213"/>
        <v>2014-02</v>
      </c>
    </row>
    <row r="1035" spans="1:26" x14ac:dyDescent="0.35">
      <c r="A1035" s="1">
        <v>41689</v>
      </c>
      <c r="C1035">
        <v>3120.8</v>
      </c>
      <c r="D1035">
        <f t="shared" si="214"/>
        <v>1.0772270143235407E-3</v>
      </c>
      <c r="E1035" t="str">
        <f t="shared" si="208"/>
        <v>2014-02</v>
      </c>
      <c r="G1035">
        <v>4341.1000000000004</v>
      </c>
      <c r="H1035">
        <f t="shared" si="215"/>
        <v>2.3962713601232769E-3</v>
      </c>
      <c r="I1035" t="str">
        <f t="shared" si="209"/>
        <v>2014-02</v>
      </c>
      <c r="K1035">
        <v>9660.0499999999993</v>
      </c>
      <c r="L1035">
        <f t="shared" si="216"/>
        <v>2.7950556502379682E-5</v>
      </c>
      <c r="M1035" t="str">
        <f t="shared" si="210"/>
        <v>2014-02</v>
      </c>
      <c r="O1035">
        <v>8265.5743199999997</v>
      </c>
      <c r="P1035">
        <f t="shared" si="217"/>
        <v>1.8622642702901958E-3</v>
      </c>
      <c r="Q1035" t="str">
        <f t="shared" si="211"/>
        <v>2014-02</v>
      </c>
      <c r="S1035">
        <v>10053.799999999999</v>
      </c>
      <c r="T1035">
        <f t="shared" si="218"/>
        <v>1.1046700797424838E-3</v>
      </c>
      <c r="U1035" t="str">
        <f t="shared" si="212"/>
        <v>2014-02</v>
      </c>
      <c r="W1035">
        <v>20438.3</v>
      </c>
      <c r="X1035">
        <f t="shared" si="219"/>
        <v>-1.9664286291770591E-3</v>
      </c>
      <c r="Y1035">
        <f t="shared" si="220"/>
        <v>-1.964496475088767E-3</v>
      </c>
      <c r="Z1035" t="str">
        <f t="shared" si="213"/>
        <v>2014-02</v>
      </c>
    </row>
    <row r="1036" spans="1:26" x14ac:dyDescent="0.35">
      <c r="A1036" s="1">
        <v>41690</v>
      </c>
      <c r="C1036">
        <v>3121.59</v>
      </c>
      <c r="D1036">
        <f t="shared" si="214"/>
        <v>2.531081858766339E-4</v>
      </c>
      <c r="E1036" t="str">
        <f t="shared" si="208"/>
        <v>2014-02</v>
      </c>
      <c r="G1036">
        <v>4355.49</v>
      </c>
      <c r="H1036">
        <f t="shared" si="215"/>
        <v>3.3093461076114275E-3</v>
      </c>
      <c r="I1036" t="str">
        <f t="shared" si="209"/>
        <v>2014-02</v>
      </c>
      <c r="K1036">
        <v>9618.85</v>
      </c>
      <c r="L1036">
        <f t="shared" si="216"/>
        <v>-4.2741092821839081E-3</v>
      </c>
      <c r="M1036" t="str">
        <f t="shared" si="210"/>
        <v>2014-02</v>
      </c>
      <c r="O1036">
        <v>8280.4108799999995</v>
      </c>
      <c r="P1036">
        <f t="shared" si="217"/>
        <v>1.7933732923235658E-3</v>
      </c>
      <c r="Q1036" t="str">
        <f t="shared" si="211"/>
        <v>2014-02</v>
      </c>
      <c r="S1036">
        <v>10062.200000000001</v>
      </c>
      <c r="T1036">
        <f t="shared" si="218"/>
        <v>8.3515614319356246E-4</v>
      </c>
      <c r="U1036" t="str">
        <f t="shared" si="212"/>
        <v>2014-02</v>
      </c>
      <c r="W1036">
        <v>20452.28</v>
      </c>
      <c r="X1036">
        <f t="shared" si="219"/>
        <v>6.8377609438140046E-4</v>
      </c>
      <c r="Y1036">
        <f t="shared" si="220"/>
        <v>6.8400992254735293E-4</v>
      </c>
      <c r="Z1036" t="str">
        <f t="shared" si="213"/>
        <v>2014-02</v>
      </c>
    </row>
    <row r="1037" spans="1:26" x14ac:dyDescent="0.35">
      <c r="A1037" s="1">
        <v>41691</v>
      </c>
      <c r="C1037">
        <v>3131.67</v>
      </c>
      <c r="D1037">
        <f t="shared" si="214"/>
        <v>3.2239211965212687E-3</v>
      </c>
      <c r="E1037" t="str">
        <f t="shared" si="208"/>
        <v>2014-02</v>
      </c>
      <c r="G1037">
        <v>4381.0600000000004</v>
      </c>
      <c r="H1037">
        <f t="shared" si="215"/>
        <v>5.8535859147671107E-3</v>
      </c>
      <c r="I1037" t="str">
        <f t="shared" si="209"/>
        <v>2014-02</v>
      </c>
      <c r="K1037">
        <v>9656.9500000000007</v>
      </c>
      <c r="L1037">
        <f t="shared" si="216"/>
        <v>3.9531484677084519E-3</v>
      </c>
      <c r="M1037" t="str">
        <f t="shared" si="210"/>
        <v>2014-02</v>
      </c>
      <c r="O1037">
        <v>8284.3333399999992</v>
      </c>
      <c r="P1037">
        <f t="shared" si="217"/>
        <v>4.7359138435439872E-4</v>
      </c>
      <c r="Q1037" t="str">
        <f t="shared" si="211"/>
        <v>2014-02</v>
      </c>
      <c r="S1037">
        <v>10071</v>
      </c>
      <c r="T1037">
        <f t="shared" si="218"/>
        <v>8.7417803035816529E-4</v>
      </c>
      <c r="U1037" t="str">
        <f t="shared" si="212"/>
        <v>2014-02</v>
      </c>
      <c r="W1037">
        <v>20391.900000000001</v>
      </c>
      <c r="X1037">
        <f t="shared" si="219"/>
        <v>-2.9566045387302898E-3</v>
      </c>
      <c r="Y1037">
        <f t="shared" si="220"/>
        <v>-2.9522380878805386E-3</v>
      </c>
      <c r="Z1037" t="str">
        <f t="shared" si="213"/>
        <v>2014-02</v>
      </c>
    </row>
    <row r="1038" spans="1:26" x14ac:dyDescent="0.35">
      <c r="A1038" s="1">
        <v>41694</v>
      </c>
      <c r="C1038">
        <v>3157.31</v>
      </c>
      <c r="D1038">
        <f t="shared" si="214"/>
        <v>8.1539906508220576E-3</v>
      </c>
      <c r="E1038" t="str">
        <f t="shared" si="208"/>
        <v>2014-02</v>
      </c>
      <c r="G1038">
        <v>4419.13</v>
      </c>
      <c r="H1038">
        <f t="shared" si="215"/>
        <v>8.6521398950581106E-3</v>
      </c>
      <c r="I1038" t="str">
        <f t="shared" si="209"/>
        <v>2014-02</v>
      </c>
      <c r="K1038">
        <v>9708.94</v>
      </c>
      <c r="L1038">
        <f t="shared" si="216"/>
        <v>5.3692471557754504E-3</v>
      </c>
      <c r="M1038" t="str">
        <f t="shared" si="210"/>
        <v>2014-02</v>
      </c>
      <c r="O1038">
        <v>8320.3007500000003</v>
      </c>
      <c r="P1038">
        <f t="shared" si="217"/>
        <v>4.3322202775997265E-3</v>
      </c>
      <c r="Q1038" t="str">
        <f t="shared" si="211"/>
        <v>2014-02</v>
      </c>
      <c r="S1038">
        <v>10193.1</v>
      </c>
      <c r="T1038">
        <f t="shared" si="218"/>
        <v>1.205101412651479E-2</v>
      </c>
      <c r="U1038" t="str">
        <f t="shared" si="212"/>
        <v>2014-02</v>
      </c>
      <c r="W1038">
        <v>20477.5</v>
      </c>
      <c r="X1038">
        <f t="shared" si="219"/>
        <v>4.1889592297057162E-3</v>
      </c>
      <c r="Y1038">
        <f t="shared" si="220"/>
        <v>4.1977451831363699E-3</v>
      </c>
      <c r="Z1038" t="str">
        <f t="shared" si="213"/>
        <v>2014-02</v>
      </c>
    </row>
    <row r="1039" spans="1:26" x14ac:dyDescent="0.35">
      <c r="A1039" s="1">
        <v>41695</v>
      </c>
      <c r="C1039">
        <v>3157.48</v>
      </c>
      <c r="D1039">
        <f t="shared" si="214"/>
        <v>5.3841853819742462E-5</v>
      </c>
      <c r="E1039" t="str">
        <f t="shared" si="208"/>
        <v>2014-02</v>
      </c>
      <c r="G1039">
        <v>4414.55</v>
      </c>
      <c r="H1039">
        <f t="shared" si="215"/>
        <v>-1.0369405299682898E-3</v>
      </c>
      <c r="I1039" t="str">
        <f t="shared" si="209"/>
        <v>2014-02</v>
      </c>
      <c r="K1039">
        <v>9699.35</v>
      </c>
      <c r="L1039">
        <f t="shared" si="216"/>
        <v>-9.8823758100037096E-4</v>
      </c>
      <c r="M1039" t="str">
        <f t="shared" si="210"/>
        <v>2014-02</v>
      </c>
      <c r="O1039">
        <v>8293.7528399999992</v>
      </c>
      <c r="P1039">
        <f t="shared" si="217"/>
        <v>-3.1958404914905385E-3</v>
      </c>
      <c r="Q1039" t="str">
        <f t="shared" si="211"/>
        <v>2014-02</v>
      </c>
      <c r="S1039">
        <v>10242.5</v>
      </c>
      <c r="T1039">
        <f t="shared" si="218"/>
        <v>4.8347096463667869E-3</v>
      </c>
      <c r="U1039" t="str">
        <f t="shared" si="212"/>
        <v>2014-02</v>
      </c>
      <c r="W1039">
        <v>20473.169999999998</v>
      </c>
      <c r="X1039">
        <f t="shared" si="219"/>
        <v>-2.1147395225221431E-4</v>
      </c>
      <c r="Y1039">
        <f t="shared" si="220"/>
        <v>-2.114515932121473E-4</v>
      </c>
      <c r="Z1039" t="str">
        <f t="shared" si="213"/>
        <v>2014-02</v>
      </c>
    </row>
    <row r="1040" spans="1:26" x14ac:dyDescent="0.35">
      <c r="A1040" s="1">
        <v>41696</v>
      </c>
      <c r="C1040">
        <v>3148.19</v>
      </c>
      <c r="D1040">
        <f t="shared" si="214"/>
        <v>-2.946556582081095E-3</v>
      </c>
      <c r="E1040" t="str">
        <f t="shared" si="208"/>
        <v>2014-02</v>
      </c>
      <c r="G1040">
        <v>4396.91</v>
      </c>
      <c r="H1040">
        <f t="shared" si="215"/>
        <v>-4.0038821184388953E-3</v>
      </c>
      <c r="I1040" t="str">
        <f t="shared" si="209"/>
        <v>2014-02</v>
      </c>
      <c r="K1040">
        <v>9661.73</v>
      </c>
      <c r="L1040">
        <f t="shared" si="216"/>
        <v>-3.8861517379514187E-3</v>
      </c>
      <c r="M1040" t="str">
        <f t="shared" si="210"/>
        <v>2014-02</v>
      </c>
      <c r="O1040">
        <v>8273.6584700000003</v>
      </c>
      <c r="P1040">
        <f t="shared" si="217"/>
        <v>-2.425771833337228E-3</v>
      </c>
      <c r="Q1040" t="str">
        <f t="shared" si="211"/>
        <v>2014-02</v>
      </c>
      <c r="S1040">
        <v>10224.299999999999</v>
      </c>
      <c r="T1040">
        <f t="shared" si="218"/>
        <v>-1.7784905111947402E-3</v>
      </c>
      <c r="U1040" t="str">
        <f t="shared" si="212"/>
        <v>2014-02</v>
      </c>
      <c r="W1040">
        <v>20398.099999999999</v>
      </c>
      <c r="X1040">
        <f t="shared" si="219"/>
        <v>-3.6734891976426291E-3</v>
      </c>
      <c r="Y1040">
        <f t="shared" si="220"/>
        <v>-3.6667501906153133E-3</v>
      </c>
      <c r="Z1040" t="str">
        <f t="shared" si="213"/>
        <v>2014-02</v>
      </c>
    </row>
    <row r="1041" spans="1:26" x14ac:dyDescent="0.35">
      <c r="A1041" s="1">
        <v>41697</v>
      </c>
      <c r="C1041">
        <v>3134.94</v>
      </c>
      <c r="D1041">
        <f t="shared" si="214"/>
        <v>-4.2176493695135616E-3</v>
      </c>
      <c r="E1041" t="str">
        <f t="shared" si="208"/>
        <v>2014-02</v>
      </c>
      <c r="G1041">
        <v>4396.3900000000003</v>
      </c>
      <c r="H1041">
        <f t="shared" si="215"/>
        <v>-1.1827186621764756E-4</v>
      </c>
      <c r="I1041" t="str">
        <f t="shared" si="209"/>
        <v>2014-02</v>
      </c>
      <c r="K1041">
        <v>9588.33</v>
      </c>
      <c r="L1041">
        <f t="shared" si="216"/>
        <v>-7.6259872144367304E-3</v>
      </c>
      <c r="M1041" t="str">
        <f t="shared" si="210"/>
        <v>2014-02</v>
      </c>
      <c r="O1041">
        <v>8286.4659300000003</v>
      </c>
      <c r="P1041">
        <f t="shared" si="217"/>
        <v>1.5467833748313391E-3</v>
      </c>
      <c r="Q1041" t="str">
        <f t="shared" si="211"/>
        <v>2014-02</v>
      </c>
      <c r="S1041">
        <v>10164.1</v>
      </c>
      <c r="T1041">
        <f t="shared" si="218"/>
        <v>-5.9053358719735457E-3</v>
      </c>
      <c r="U1041" t="str">
        <f t="shared" si="212"/>
        <v>2014-02</v>
      </c>
      <c r="W1041">
        <v>20320.98</v>
      </c>
      <c r="X1041">
        <f t="shared" si="219"/>
        <v>-3.7879093639366845E-3</v>
      </c>
      <c r="Y1041">
        <f t="shared" si="220"/>
        <v>-3.7807442850068874E-3</v>
      </c>
      <c r="Z1041" t="str">
        <f t="shared" si="213"/>
        <v>2014-02</v>
      </c>
    </row>
    <row r="1042" spans="1:26" x14ac:dyDescent="0.35">
      <c r="A1042" s="1">
        <v>41698</v>
      </c>
      <c r="C1042">
        <v>3149.23</v>
      </c>
      <c r="D1042">
        <f t="shared" si="214"/>
        <v>4.5479433659295554E-3</v>
      </c>
      <c r="E1042" t="str">
        <f t="shared" si="208"/>
        <v>2014-02</v>
      </c>
      <c r="G1042">
        <v>4408.08</v>
      </c>
      <c r="H1042">
        <f t="shared" si="215"/>
        <v>2.6554708845302334E-3</v>
      </c>
      <c r="I1042" t="str">
        <f t="shared" si="209"/>
        <v>2014-02</v>
      </c>
      <c r="K1042">
        <v>9692.08</v>
      </c>
      <c r="L1042">
        <f t="shared" si="216"/>
        <v>1.0762323148126822E-2</v>
      </c>
      <c r="M1042" t="str">
        <f t="shared" si="210"/>
        <v>2014-02</v>
      </c>
      <c r="O1042">
        <v>8249.7582299999995</v>
      </c>
      <c r="P1042">
        <f t="shared" si="217"/>
        <v>-4.439678603710976E-3</v>
      </c>
      <c r="Q1042" t="str">
        <f t="shared" si="211"/>
        <v>2014-02</v>
      </c>
      <c r="S1042">
        <v>10114.200000000001</v>
      </c>
      <c r="T1042">
        <f t="shared" si="218"/>
        <v>-4.9215270235406184E-3</v>
      </c>
      <c r="U1042" t="str">
        <f t="shared" si="212"/>
        <v>2014-02</v>
      </c>
      <c r="W1042">
        <v>20442.41</v>
      </c>
      <c r="X1042">
        <f t="shared" si="219"/>
        <v>5.9578145578774149E-3</v>
      </c>
      <c r="Y1042">
        <f t="shared" si="220"/>
        <v>5.9755976335787104E-3</v>
      </c>
      <c r="Z1042" t="str">
        <f t="shared" si="213"/>
        <v>2014-02</v>
      </c>
    </row>
    <row r="1043" spans="1:26" x14ac:dyDescent="0.35">
      <c r="A1043" s="1">
        <v>41701</v>
      </c>
      <c r="C1043">
        <v>3053.99</v>
      </c>
      <c r="D1043">
        <f t="shared" si="214"/>
        <v>-3.0709046114841723E-2</v>
      </c>
      <c r="E1043" t="str">
        <f t="shared" si="208"/>
        <v>2014-03</v>
      </c>
      <c r="G1043">
        <v>4290.87</v>
      </c>
      <c r="H1043">
        <f t="shared" si="215"/>
        <v>-2.6949710924102376E-2</v>
      </c>
      <c r="I1043" t="str">
        <f t="shared" si="209"/>
        <v>2014-03</v>
      </c>
      <c r="K1043">
        <v>9358.89</v>
      </c>
      <c r="L1043">
        <f t="shared" si="216"/>
        <v>-3.4982363436915097E-2</v>
      </c>
      <c r="M1043" t="str">
        <f t="shared" si="210"/>
        <v>2014-03</v>
      </c>
      <c r="O1043">
        <v>8133.9232099999999</v>
      </c>
      <c r="P1043">
        <f t="shared" si="217"/>
        <v>-1.4140527641782374E-2</v>
      </c>
      <c r="Q1043" t="str">
        <f t="shared" si="211"/>
        <v>2014-03</v>
      </c>
      <c r="S1043">
        <v>9878.7000000000007</v>
      </c>
      <c r="T1043">
        <f t="shared" si="218"/>
        <v>-2.3559452877041302E-2</v>
      </c>
      <c r="U1043" t="str">
        <f t="shared" si="212"/>
        <v>2014-03</v>
      </c>
      <c r="W1043">
        <v>19759.689999999999</v>
      </c>
      <c r="X1043">
        <f t="shared" si="219"/>
        <v>-3.3967660514115601E-2</v>
      </c>
      <c r="Y1043">
        <f t="shared" si="220"/>
        <v>-3.3397236431516694E-2</v>
      </c>
      <c r="Z1043" t="str">
        <f t="shared" si="213"/>
        <v>2014-03</v>
      </c>
    </row>
    <row r="1044" spans="1:26" x14ac:dyDescent="0.35">
      <c r="A1044" s="1">
        <v>41702</v>
      </c>
      <c r="C1044">
        <v>3136.33</v>
      </c>
      <c r="D1044">
        <f t="shared" si="214"/>
        <v>2.6604394146910244E-2</v>
      </c>
      <c r="E1044" t="str">
        <f t="shared" si="208"/>
        <v>2014-03</v>
      </c>
      <c r="G1044">
        <v>4395.8999999999996</v>
      </c>
      <c r="H1044">
        <f t="shared" si="215"/>
        <v>2.4182778747802197E-2</v>
      </c>
      <c r="I1044" t="str">
        <f t="shared" si="209"/>
        <v>2014-03</v>
      </c>
      <c r="K1044">
        <v>9589.15</v>
      </c>
      <c r="L1044">
        <f t="shared" si="216"/>
        <v>2.4305557259787541E-2</v>
      </c>
      <c r="M1044" t="str">
        <f t="shared" si="210"/>
        <v>2014-03</v>
      </c>
      <c r="O1044">
        <v>8284.6222400000006</v>
      </c>
      <c r="P1044">
        <f t="shared" si="217"/>
        <v>1.8357687363366577E-2</v>
      </c>
      <c r="Q1044" t="str">
        <f t="shared" si="211"/>
        <v>2014-03</v>
      </c>
      <c r="S1044">
        <v>10126.700000000001</v>
      </c>
      <c r="T1044">
        <f t="shared" si="218"/>
        <v>2.4794575978197141E-2</v>
      </c>
      <c r="U1044" t="str">
        <f t="shared" si="212"/>
        <v>2014-03</v>
      </c>
      <c r="W1044">
        <v>20475.12</v>
      </c>
      <c r="X1044">
        <f t="shared" si="219"/>
        <v>3.5566486590268988E-2</v>
      </c>
      <c r="Y1044">
        <f t="shared" si="220"/>
        <v>3.6206539677494959E-2</v>
      </c>
      <c r="Z1044" t="str">
        <f t="shared" si="213"/>
        <v>2014-03</v>
      </c>
    </row>
    <row r="1045" spans="1:26" x14ac:dyDescent="0.35">
      <c r="A1045" s="1">
        <v>41703</v>
      </c>
      <c r="C1045">
        <v>3135.97</v>
      </c>
      <c r="D1045">
        <f t="shared" si="214"/>
        <v>-1.1479042787983033E-4</v>
      </c>
      <c r="E1045" t="str">
        <f t="shared" si="208"/>
        <v>2014-03</v>
      </c>
      <c r="G1045">
        <v>4391.25</v>
      </c>
      <c r="H1045">
        <f t="shared" si="215"/>
        <v>-1.0583637320522657E-3</v>
      </c>
      <c r="I1045" t="str">
        <f t="shared" si="209"/>
        <v>2014-03</v>
      </c>
      <c r="K1045">
        <v>9542.02</v>
      </c>
      <c r="L1045">
        <f t="shared" si="216"/>
        <v>-4.9270478850136279E-3</v>
      </c>
      <c r="M1045" t="str">
        <f t="shared" si="210"/>
        <v>2014-03</v>
      </c>
      <c r="O1045">
        <v>8254.3212899999999</v>
      </c>
      <c r="P1045">
        <f t="shared" si="217"/>
        <v>-3.6641982418796704E-3</v>
      </c>
      <c r="Q1045" t="str">
        <f t="shared" si="211"/>
        <v>2014-03</v>
      </c>
      <c r="S1045">
        <v>10215.200000000001</v>
      </c>
      <c r="T1045">
        <f t="shared" si="218"/>
        <v>8.7013069949982615E-3</v>
      </c>
      <c r="U1045" t="str">
        <f t="shared" si="212"/>
        <v>2014-03</v>
      </c>
      <c r="W1045">
        <v>20756.95</v>
      </c>
      <c r="X1045">
        <f t="shared" si="219"/>
        <v>1.3670639828124885E-2</v>
      </c>
      <c r="Y1045">
        <f t="shared" si="220"/>
        <v>1.3764510293468452E-2</v>
      </c>
      <c r="Z1045" t="str">
        <f t="shared" si="213"/>
        <v>2014-03</v>
      </c>
    </row>
    <row r="1046" spans="1:26" x14ac:dyDescent="0.35">
      <c r="A1046" s="1">
        <v>41704</v>
      </c>
      <c r="C1046">
        <v>3144.53</v>
      </c>
      <c r="D1046">
        <f t="shared" si="214"/>
        <v>2.725899307520813E-3</v>
      </c>
      <c r="E1046" t="str">
        <f t="shared" si="208"/>
        <v>2014-03</v>
      </c>
      <c r="G1046">
        <v>4417.04</v>
      </c>
      <c r="H1046">
        <f t="shared" si="215"/>
        <v>5.855863895792973E-3</v>
      </c>
      <c r="I1046" t="str">
        <f t="shared" si="209"/>
        <v>2014-03</v>
      </c>
      <c r="K1046">
        <v>9542.8700000000008</v>
      </c>
      <c r="L1046">
        <f t="shared" si="216"/>
        <v>8.9075703403283397E-5</v>
      </c>
      <c r="M1046" t="str">
        <f t="shared" si="210"/>
        <v>2014-03</v>
      </c>
      <c r="O1046">
        <v>8210.4530900000009</v>
      </c>
      <c r="P1046">
        <f t="shared" si="217"/>
        <v>-5.3287464246499373E-3</v>
      </c>
      <c r="Q1046" t="str">
        <f t="shared" si="211"/>
        <v>2014-03</v>
      </c>
      <c r="S1046">
        <v>10304</v>
      </c>
      <c r="T1046">
        <f t="shared" si="218"/>
        <v>8.6553622336634252E-3</v>
      </c>
      <c r="U1046" t="str">
        <f t="shared" si="212"/>
        <v>2014-03</v>
      </c>
      <c r="W1046">
        <v>20838.05</v>
      </c>
      <c r="X1046">
        <f t="shared" si="219"/>
        <v>3.8995120936893531E-3</v>
      </c>
      <c r="Y1046">
        <f t="shared" si="220"/>
        <v>3.9071250834057285E-3</v>
      </c>
      <c r="Z1046" t="str">
        <f t="shared" si="213"/>
        <v>2014-03</v>
      </c>
    </row>
    <row r="1047" spans="1:26" x14ac:dyDescent="0.35">
      <c r="A1047" s="1">
        <v>41705</v>
      </c>
      <c r="C1047">
        <v>3095.31</v>
      </c>
      <c r="D1047">
        <f t="shared" si="214"/>
        <v>-1.5776372751779247E-2</v>
      </c>
      <c r="E1047" t="str">
        <f t="shared" si="208"/>
        <v>2014-03</v>
      </c>
      <c r="G1047">
        <v>4366.42</v>
      </c>
      <c r="H1047">
        <f t="shared" si="215"/>
        <v>-1.1526337099853075E-2</v>
      </c>
      <c r="I1047" t="str">
        <f t="shared" si="209"/>
        <v>2014-03</v>
      </c>
      <c r="K1047">
        <v>9350.75</v>
      </c>
      <c r="L1047">
        <f t="shared" si="216"/>
        <v>-2.0337724804392596E-2</v>
      </c>
      <c r="M1047" t="str">
        <f t="shared" si="210"/>
        <v>2014-03</v>
      </c>
      <c r="O1047">
        <v>8091.9724999999999</v>
      </c>
      <c r="P1047">
        <f t="shared" si="217"/>
        <v>-1.4535588636151783E-2</v>
      </c>
      <c r="Q1047" t="str">
        <f t="shared" si="211"/>
        <v>2014-03</v>
      </c>
      <c r="S1047">
        <v>10164.200000000001</v>
      </c>
      <c r="T1047">
        <f t="shared" si="218"/>
        <v>-1.3660426805270872E-2</v>
      </c>
      <c r="U1047" t="str">
        <f t="shared" si="212"/>
        <v>2014-03</v>
      </c>
      <c r="W1047">
        <v>20634.21</v>
      </c>
      <c r="X1047">
        <f t="shared" si="219"/>
        <v>-9.8302644460941963E-3</v>
      </c>
      <c r="Y1047">
        <f t="shared" si="220"/>
        <v>-9.7821053313529895E-3</v>
      </c>
      <c r="Z1047" t="str">
        <f t="shared" si="213"/>
        <v>2014-03</v>
      </c>
    </row>
    <row r="1048" spans="1:26" x14ac:dyDescent="0.35">
      <c r="A1048" s="1">
        <v>41708</v>
      </c>
      <c r="C1048">
        <v>3092.79</v>
      </c>
      <c r="D1048">
        <f t="shared" si="214"/>
        <v>-8.1446652100147213E-4</v>
      </c>
      <c r="E1048" t="str">
        <f t="shared" si="208"/>
        <v>2014-03</v>
      </c>
      <c r="G1048">
        <v>4370.84</v>
      </c>
      <c r="H1048">
        <f t="shared" si="215"/>
        <v>1.0117589214574841E-3</v>
      </c>
      <c r="I1048" t="str">
        <f t="shared" si="209"/>
        <v>2014-03</v>
      </c>
      <c r="K1048">
        <v>9265.5</v>
      </c>
      <c r="L1048">
        <f t="shared" si="216"/>
        <v>-9.1587291654493704E-3</v>
      </c>
      <c r="M1048" t="str">
        <f t="shared" si="210"/>
        <v>2014-03</v>
      </c>
      <c r="O1048">
        <v>8025.0256499999996</v>
      </c>
      <c r="P1048">
        <f t="shared" si="217"/>
        <v>-8.3076556088798967E-3</v>
      </c>
      <c r="Q1048" t="str">
        <f t="shared" si="211"/>
        <v>2014-03</v>
      </c>
      <c r="S1048">
        <v>10194.6</v>
      </c>
      <c r="T1048">
        <f t="shared" si="218"/>
        <v>2.9864257809040177E-3</v>
      </c>
      <c r="U1048" t="str">
        <f t="shared" si="212"/>
        <v>2014-03</v>
      </c>
      <c r="W1048">
        <v>20753.36</v>
      </c>
      <c r="X1048">
        <f t="shared" si="219"/>
        <v>5.7577832751346068E-3</v>
      </c>
      <c r="Y1048">
        <f t="shared" si="220"/>
        <v>5.7743911688405546E-3</v>
      </c>
      <c r="Z1048" t="str">
        <f t="shared" si="213"/>
        <v>2014-03</v>
      </c>
    </row>
    <row r="1049" spans="1:26" x14ac:dyDescent="0.35">
      <c r="A1049" s="1">
        <v>41709</v>
      </c>
      <c r="C1049">
        <v>3092.55</v>
      </c>
      <c r="D1049">
        <f t="shared" si="214"/>
        <v>-7.760284806337947E-5</v>
      </c>
      <c r="E1049" t="str">
        <f t="shared" si="208"/>
        <v>2014-03</v>
      </c>
      <c r="G1049">
        <v>4349.72</v>
      </c>
      <c r="H1049">
        <f t="shared" si="215"/>
        <v>-4.8437351024931095E-3</v>
      </c>
      <c r="I1049" t="str">
        <f t="shared" si="209"/>
        <v>2014-03</v>
      </c>
      <c r="K1049">
        <v>9307.7900000000009</v>
      </c>
      <c r="L1049">
        <f t="shared" si="216"/>
        <v>4.5538591259652672E-3</v>
      </c>
      <c r="M1049" t="str">
        <f t="shared" si="210"/>
        <v>2014-03</v>
      </c>
      <c r="O1049">
        <v>8013.5582299999996</v>
      </c>
      <c r="P1049">
        <f t="shared" si="217"/>
        <v>-1.4299793597596659E-3</v>
      </c>
      <c r="Q1049" t="str">
        <f t="shared" si="211"/>
        <v>2014-03</v>
      </c>
      <c r="S1049">
        <v>10163.299999999999</v>
      </c>
      <c r="T1049">
        <f t="shared" si="218"/>
        <v>-3.0749757748127441E-3</v>
      </c>
      <c r="U1049" t="str">
        <f t="shared" si="212"/>
        <v>2014-03</v>
      </c>
      <c r="W1049">
        <v>20833.919999999998</v>
      </c>
      <c r="X1049">
        <f t="shared" si="219"/>
        <v>3.8742663990866031E-3</v>
      </c>
      <c r="Y1049">
        <f t="shared" si="220"/>
        <v>3.8817810706313419E-3</v>
      </c>
      <c r="Z1049" t="str">
        <f t="shared" si="213"/>
        <v>2014-03</v>
      </c>
    </row>
    <row r="1050" spans="1:26" x14ac:dyDescent="0.35">
      <c r="A1050" s="1">
        <v>41710</v>
      </c>
      <c r="C1050">
        <v>3065.46</v>
      </c>
      <c r="D1050">
        <f t="shared" si="214"/>
        <v>-8.7983536094180994E-3</v>
      </c>
      <c r="E1050" t="str">
        <f t="shared" si="208"/>
        <v>2014-03</v>
      </c>
      <c r="G1050">
        <v>4306.26</v>
      </c>
      <c r="H1050">
        <f t="shared" si="215"/>
        <v>-1.0041697229572906E-2</v>
      </c>
      <c r="I1050" t="str">
        <f t="shared" si="209"/>
        <v>2014-03</v>
      </c>
      <c r="K1050">
        <v>9188.69</v>
      </c>
      <c r="L1050">
        <f t="shared" si="216"/>
        <v>-1.2878303986897245E-2</v>
      </c>
      <c r="M1050" t="str">
        <f t="shared" si="210"/>
        <v>2014-03</v>
      </c>
      <c r="O1050">
        <v>7910.5063600000003</v>
      </c>
      <c r="P1050">
        <f t="shared" si="217"/>
        <v>-1.294309101154501E-2</v>
      </c>
      <c r="Q1050" t="str">
        <f t="shared" si="211"/>
        <v>2014-03</v>
      </c>
      <c r="S1050">
        <v>10070.4</v>
      </c>
      <c r="T1050">
        <f t="shared" si="218"/>
        <v>-9.182764674867552E-3</v>
      </c>
      <c r="U1050" t="str">
        <f t="shared" si="212"/>
        <v>2014-03</v>
      </c>
      <c r="W1050">
        <v>20781.46</v>
      </c>
      <c r="X1050">
        <f t="shared" si="219"/>
        <v>-2.5211846095330882E-3</v>
      </c>
      <c r="Y1050">
        <f t="shared" si="220"/>
        <v>-2.5180090928639031E-3</v>
      </c>
      <c r="Z1050" t="str">
        <f t="shared" si="213"/>
        <v>2014-03</v>
      </c>
    </row>
    <row r="1051" spans="1:26" x14ac:dyDescent="0.35">
      <c r="A1051" s="1">
        <v>41711</v>
      </c>
      <c r="C1051">
        <v>3019.54</v>
      </c>
      <c r="D1051">
        <f t="shared" si="214"/>
        <v>-1.5093137788694613E-2</v>
      </c>
      <c r="E1051" t="str">
        <f t="shared" si="208"/>
        <v>2014-03</v>
      </c>
      <c r="G1051">
        <v>4250.51</v>
      </c>
      <c r="H1051">
        <f t="shared" si="215"/>
        <v>-1.3030802246329661E-2</v>
      </c>
      <c r="I1051" t="str">
        <f t="shared" si="209"/>
        <v>2014-03</v>
      </c>
      <c r="K1051">
        <v>9017.7900000000009</v>
      </c>
      <c r="L1051">
        <f t="shared" si="216"/>
        <v>-1.8774086993056525E-2</v>
      </c>
      <c r="M1051" t="str">
        <f t="shared" si="210"/>
        <v>2014-03</v>
      </c>
      <c r="O1051">
        <v>7865.7656900000002</v>
      </c>
      <c r="P1051">
        <f t="shared" si="217"/>
        <v>-5.6719090292657228E-3</v>
      </c>
      <c r="Q1051" t="str">
        <f t="shared" si="211"/>
        <v>2014-03</v>
      </c>
      <c r="S1051">
        <v>9950.2999999999993</v>
      </c>
      <c r="T1051">
        <f t="shared" si="218"/>
        <v>-1.1997726418205254E-2</v>
      </c>
      <c r="U1051" t="str">
        <f t="shared" si="212"/>
        <v>2014-03</v>
      </c>
      <c r="W1051">
        <v>20591.82</v>
      </c>
      <c r="X1051">
        <f t="shared" si="219"/>
        <v>-9.1673335114030117E-3</v>
      </c>
      <c r="Y1051">
        <f t="shared" si="220"/>
        <v>-9.1254416195974408E-3</v>
      </c>
      <c r="Z1051" t="str">
        <f t="shared" si="213"/>
        <v>2014-03</v>
      </c>
    </row>
    <row r="1052" spans="1:26" x14ac:dyDescent="0.35">
      <c r="A1052" s="1">
        <v>41712</v>
      </c>
      <c r="C1052">
        <v>3004.64</v>
      </c>
      <c r="D1052">
        <f t="shared" si="214"/>
        <v>-4.9467414266779388E-3</v>
      </c>
      <c r="E1052" t="str">
        <f t="shared" si="208"/>
        <v>2014-03</v>
      </c>
      <c r="G1052">
        <v>4216.37</v>
      </c>
      <c r="H1052">
        <f t="shared" si="215"/>
        <v>-8.0644074377877427E-3</v>
      </c>
      <c r="I1052" t="str">
        <f t="shared" si="209"/>
        <v>2014-03</v>
      </c>
      <c r="K1052">
        <v>9056.41</v>
      </c>
      <c r="L1052">
        <f t="shared" si="216"/>
        <v>4.2735013196493858E-3</v>
      </c>
      <c r="M1052" t="str">
        <f t="shared" si="210"/>
        <v>2014-03</v>
      </c>
      <c r="O1052">
        <v>7807.6382199999998</v>
      </c>
      <c r="P1052">
        <f t="shared" si="217"/>
        <v>-7.4173723634579098E-3</v>
      </c>
      <c r="Q1052" t="str">
        <f t="shared" si="211"/>
        <v>2014-03</v>
      </c>
      <c r="S1052">
        <v>9812</v>
      </c>
      <c r="T1052">
        <f t="shared" si="218"/>
        <v>-1.3996575073502422E-2</v>
      </c>
      <c r="U1052" t="str">
        <f t="shared" si="212"/>
        <v>2014-03</v>
      </c>
      <c r="W1052">
        <v>20346.57</v>
      </c>
      <c r="X1052">
        <f t="shared" si="219"/>
        <v>-1.1981562242980678E-2</v>
      </c>
      <c r="Y1052">
        <f t="shared" si="220"/>
        <v>-1.1910069143961049E-2</v>
      </c>
      <c r="Z1052" t="str">
        <f t="shared" si="213"/>
        <v>2014-03</v>
      </c>
    </row>
    <row r="1053" spans="1:26" x14ac:dyDescent="0.35">
      <c r="A1053" s="1">
        <v>41715</v>
      </c>
      <c r="C1053">
        <v>3049.19</v>
      </c>
      <c r="D1053">
        <f t="shared" si="214"/>
        <v>1.4718221100110807E-2</v>
      </c>
      <c r="E1053" t="str">
        <f t="shared" si="208"/>
        <v>2014-03</v>
      </c>
      <c r="G1053">
        <v>4271.96</v>
      </c>
      <c r="H1053">
        <f t="shared" si="215"/>
        <v>1.309817001906406E-2</v>
      </c>
      <c r="I1053" t="str">
        <f t="shared" si="209"/>
        <v>2014-03</v>
      </c>
      <c r="K1053">
        <v>9180.89</v>
      </c>
      <c r="L1053">
        <f t="shared" si="216"/>
        <v>1.3651355536542325E-2</v>
      </c>
      <c r="M1053" t="str">
        <f t="shared" si="210"/>
        <v>2014-03</v>
      </c>
      <c r="O1053">
        <v>7848.0579699999998</v>
      </c>
      <c r="P1053">
        <f t="shared" si="217"/>
        <v>5.1635953224667738E-3</v>
      </c>
      <c r="Q1053" t="str">
        <f t="shared" si="211"/>
        <v>2014-03</v>
      </c>
      <c r="S1053">
        <v>9975</v>
      </c>
      <c r="T1053">
        <f t="shared" si="218"/>
        <v>1.6475836379684188E-2</v>
      </c>
      <c r="U1053" t="str">
        <f t="shared" si="212"/>
        <v>2014-03</v>
      </c>
      <c r="W1053">
        <v>20858.84</v>
      </c>
      <c r="X1053">
        <f t="shared" si="219"/>
        <v>2.4865491891845098E-2</v>
      </c>
      <c r="Y1053">
        <f t="shared" si="220"/>
        <v>2.5177216602110353E-2</v>
      </c>
      <c r="Z1053" t="str">
        <f t="shared" si="213"/>
        <v>2014-03</v>
      </c>
    </row>
    <row r="1054" spans="1:26" x14ac:dyDescent="0.35">
      <c r="A1054" s="1">
        <v>41716</v>
      </c>
      <c r="C1054">
        <v>3073.75</v>
      </c>
      <c r="D1054">
        <f t="shared" si="214"/>
        <v>8.0223329703955123E-3</v>
      </c>
      <c r="E1054" t="str">
        <f t="shared" si="208"/>
        <v>2014-03</v>
      </c>
      <c r="G1054">
        <v>4313.26</v>
      </c>
      <c r="H1054">
        <f t="shared" si="215"/>
        <v>9.6212603963442018E-3</v>
      </c>
      <c r="I1054" t="str">
        <f t="shared" si="209"/>
        <v>2014-03</v>
      </c>
      <c r="K1054">
        <v>9242.5499999999993</v>
      </c>
      <c r="L1054">
        <f t="shared" si="216"/>
        <v>6.6936717816103086E-3</v>
      </c>
      <c r="M1054" t="str">
        <f t="shared" si="210"/>
        <v>2014-03</v>
      </c>
      <c r="O1054">
        <v>7867.3145400000003</v>
      </c>
      <c r="P1054">
        <f t="shared" si="217"/>
        <v>2.4506679208901963E-3</v>
      </c>
      <c r="Q1054" t="str">
        <f t="shared" si="211"/>
        <v>2014-03</v>
      </c>
      <c r="S1054">
        <v>10051.4</v>
      </c>
      <c r="T1054">
        <f t="shared" si="218"/>
        <v>7.6299655099154847E-3</v>
      </c>
      <c r="U1054" t="str">
        <f t="shared" si="212"/>
        <v>2014-03</v>
      </c>
      <c r="W1054">
        <v>21038.03</v>
      </c>
      <c r="X1054">
        <f t="shared" si="219"/>
        <v>8.5539131014403802E-3</v>
      </c>
      <c r="Y1054">
        <f t="shared" si="220"/>
        <v>8.5906023537262229E-3</v>
      </c>
      <c r="Z1054" t="str">
        <f t="shared" si="213"/>
        <v>2014-03</v>
      </c>
    </row>
    <row r="1055" spans="1:26" x14ac:dyDescent="0.35">
      <c r="A1055" s="1">
        <v>41717</v>
      </c>
      <c r="C1055">
        <v>3076.36</v>
      </c>
      <c r="D1055">
        <f t="shared" si="214"/>
        <v>8.4876535759128408E-4</v>
      </c>
      <c r="E1055" t="str">
        <f t="shared" si="208"/>
        <v>2014-03</v>
      </c>
      <c r="G1055">
        <v>4308.0600000000004</v>
      </c>
      <c r="H1055">
        <f t="shared" si="215"/>
        <v>-1.2063119407657772E-3</v>
      </c>
      <c r="I1055" t="str">
        <f t="shared" si="209"/>
        <v>2014-03</v>
      </c>
      <c r="K1055">
        <v>9277.0499999999993</v>
      </c>
      <c r="L1055">
        <f t="shared" si="216"/>
        <v>3.725786724256018E-3</v>
      </c>
      <c r="M1055" t="str">
        <f t="shared" si="210"/>
        <v>2014-03</v>
      </c>
      <c r="O1055">
        <v>7862.15499</v>
      </c>
      <c r="P1055">
        <f t="shared" si="217"/>
        <v>-6.560361333493238E-4</v>
      </c>
      <c r="Q1055" t="str">
        <f t="shared" si="211"/>
        <v>2014-03</v>
      </c>
      <c r="S1055">
        <v>10093.299999999999</v>
      </c>
      <c r="T1055">
        <f t="shared" si="218"/>
        <v>4.1599090999349013E-3</v>
      </c>
      <c r="U1055" t="str">
        <f t="shared" si="212"/>
        <v>2014-03</v>
      </c>
      <c r="W1055">
        <v>20976.99</v>
      </c>
      <c r="X1055">
        <f t="shared" si="219"/>
        <v>-2.9056296031804026E-3</v>
      </c>
      <c r="Y1055">
        <f t="shared" si="220"/>
        <v>-2.9014123470684867E-3</v>
      </c>
      <c r="Z1055" t="str">
        <f t="shared" si="213"/>
        <v>2014-03</v>
      </c>
    </row>
    <row r="1056" spans="1:26" x14ac:dyDescent="0.35">
      <c r="A1056" s="1">
        <v>41718</v>
      </c>
      <c r="C1056">
        <v>3088.9</v>
      </c>
      <c r="D1056">
        <f t="shared" si="214"/>
        <v>4.0679605703481539E-3</v>
      </c>
      <c r="E1056" t="str">
        <f t="shared" si="208"/>
        <v>2014-03</v>
      </c>
      <c r="G1056">
        <v>4327.91</v>
      </c>
      <c r="H1056">
        <f t="shared" si="215"/>
        <v>4.5970597298095415E-3</v>
      </c>
      <c r="I1056" t="str">
        <f t="shared" si="209"/>
        <v>2014-03</v>
      </c>
      <c r="K1056">
        <v>9296.1200000000008</v>
      </c>
      <c r="L1056">
        <f t="shared" si="216"/>
        <v>2.0535004742110131E-3</v>
      </c>
      <c r="M1056" t="str">
        <f t="shared" si="210"/>
        <v>2014-03</v>
      </c>
      <c r="O1056">
        <v>7835.0669600000001</v>
      </c>
      <c r="P1056">
        <f t="shared" si="217"/>
        <v>-3.4513185804161549E-3</v>
      </c>
      <c r="Q1056" t="str">
        <f t="shared" si="211"/>
        <v>2014-03</v>
      </c>
      <c r="S1056">
        <v>10079.9</v>
      </c>
      <c r="T1056">
        <f t="shared" si="218"/>
        <v>-1.3284954266854269E-3</v>
      </c>
      <c r="U1056" t="str">
        <f t="shared" si="212"/>
        <v>2014-03</v>
      </c>
      <c r="W1056">
        <v>21094.49</v>
      </c>
      <c r="X1056">
        <f t="shared" si="219"/>
        <v>5.5857462349951231E-3</v>
      </c>
      <c r="Y1056">
        <f t="shared" si="220"/>
        <v>5.6013756025054115E-3</v>
      </c>
      <c r="Z1056" t="str">
        <f t="shared" si="213"/>
        <v>2014-03</v>
      </c>
    </row>
    <row r="1057" spans="1:26" x14ac:dyDescent="0.35">
      <c r="A1057" s="1">
        <v>41719</v>
      </c>
      <c r="C1057">
        <v>3096.49</v>
      </c>
      <c r="D1057">
        <f t="shared" si="214"/>
        <v>2.4541714619514157E-3</v>
      </c>
      <c r="E1057" t="str">
        <f t="shared" si="208"/>
        <v>2014-03</v>
      </c>
      <c r="G1057">
        <v>4335.28</v>
      </c>
      <c r="H1057">
        <f t="shared" si="215"/>
        <v>1.7014521851594269E-3</v>
      </c>
      <c r="I1057" t="str">
        <f t="shared" si="209"/>
        <v>2014-03</v>
      </c>
      <c r="K1057">
        <v>9342.94</v>
      </c>
      <c r="L1057">
        <f t="shared" si="216"/>
        <v>5.0238690658369984E-3</v>
      </c>
      <c r="M1057" t="str">
        <f t="shared" si="210"/>
        <v>2014-03</v>
      </c>
      <c r="O1057">
        <v>7840.4665400000004</v>
      </c>
      <c r="P1057">
        <f t="shared" si="217"/>
        <v>6.8891820665086033E-4</v>
      </c>
      <c r="Q1057" t="str">
        <f t="shared" si="211"/>
        <v>2014-03</v>
      </c>
      <c r="S1057">
        <v>10053.1</v>
      </c>
      <c r="T1057">
        <f t="shared" si="218"/>
        <v>-2.6622973058637723E-3</v>
      </c>
      <c r="U1057" t="str">
        <f t="shared" si="212"/>
        <v>2014-03</v>
      </c>
      <c r="W1057">
        <v>20972.240000000002</v>
      </c>
      <c r="X1057">
        <f t="shared" si="219"/>
        <v>-5.812210464269313E-3</v>
      </c>
      <c r="Y1057">
        <f t="shared" si="220"/>
        <v>-5.7953522460130582E-3</v>
      </c>
      <c r="Z1057" t="str">
        <f t="shared" si="213"/>
        <v>2014-03</v>
      </c>
    </row>
    <row r="1058" spans="1:26" x14ac:dyDescent="0.35">
      <c r="A1058" s="1">
        <v>41722</v>
      </c>
      <c r="C1058">
        <v>3052.91</v>
      </c>
      <c r="D1058">
        <f t="shared" si="214"/>
        <v>-1.4173977820721601E-2</v>
      </c>
      <c r="E1058" t="str">
        <f t="shared" si="208"/>
        <v>2014-03</v>
      </c>
      <c r="G1058">
        <v>4276.34</v>
      </c>
      <c r="H1058">
        <f t="shared" si="215"/>
        <v>-1.3688695122883577E-2</v>
      </c>
      <c r="I1058" t="str">
        <f t="shared" si="209"/>
        <v>2014-03</v>
      </c>
      <c r="K1058">
        <v>9188.77</v>
      </c>
      <c r="L1058">
        <f t="shared" si="216"/>
        <v>-1.6638891591636507E-2</v>
      </c>
      <c r="M1058" t="str">
        <f t="shared" si="210"/>
        <v>2014-03</v>
      </c>
      <c r="O1058">
        <v>7770.3350399999999</v>
      </c>
      <c r="P1058">
        <f t="shared" si="217"/>
        <v>-8.9850571038189858E-3</v>
      </c>
      <c r="Q1058" t="str">
        <f t="shared" si="211"/>
        <v>2014-03</v>
      </c>
      <c r="S1058">
        <v>9913.1</v>
      </c>
      <c r="T1058">
        <f t="shared" si="218"/>
        <v>-1.4023929889806129E-2</v>
      </c>
      <c r="U1058" t="str">
        <f t="shared" si="212"/>
        <v>2014-03</v>
      </c>
      <c r="W1058">
        <v>20626.580000000002</v>
      </c>
      <c r="X1058">
        <f t="shared" si="219"/>
        <v>-1.6619123127418256E-2</v>
      </c>
      <c r="Y1058">
        <f t="shared" si="220"/>
        <v>-1.648178735318687E-2</v>
      </c>
      <c r="Z1058" t="str">
        <f t="shared" si="213"/>
        <v>2014-03</v>
      </c>
    </row>
    <row r="1059" spans="1:26" x14ac:dyDescent="0.35">
      <c r="A1059" s="1">
        <v>41723</v>
      </c>
      <c r="C1059">
        <v>3096.64</v>
      </c>
      <c r="D1059">
        <f t="shared" si="214"/>
        <v>1.4222418593006105E-2</v>
      </c>
      <c r="E1059" t="str">
        <f t="shared" si="208"/>
        <v>2014-03</v>
      </c>
      <c r="G1059">
        <v>4344.12</v>
      </c>
      <c r="H1059">
        <f t="shared" si="215"/>
        <v>1.5725702993640713E-2</v>
      </c>
      <c r="I1059" t="str">
        <f t="shared" si="209"/>
        <v>2014-03</v>
      </c>
      <c r="K1059">
        <v>9338.4</v>
      </c>
      <c r="L1059">
        <f t="shared" si="216"/>
        <v>1.6152845077909133E-2</v>
      </c>
      <c r="M1059" t="str">
        <f t="shared" si="210"/>
        <v>2014-03</v>
      </c>
      <c r="O1059">
        <v>7895.1053700000002</v>
      </c>
      <c r="P1059">
        <f t="shared" si="217"/>
        <v>1.5929710899280018E-2</v>
      </c>
      <c r="Q1059" t="str">
        <f t="shared" si="211"/>
        <v>2014-03</v>
      </c>
      <c r="S1059">
        <v>9990.5</v>
      </c>
      <c r="T1059">
        <f t="shared" si="218"/>
        <v>7.7775266946280589E-3</v>
      </c>
      <c r="U1059" t="str">
        <f t="shared" si="212"/>
        <v>2014-03</v>
      </c>
      <c r="W1059">
        <v>20823.16</v>
      </c>
      <c r="X1059">
        <f t="shared" si="219"/>
        <v>9.4852934599498756E-3</v>
      </c>
      <c r="Y1059">
        <f t="shared" si="220"/>
        <v>9.5304214271099766E-3</v>
      </c>
      <c r="Z1059" t="str">
        <f t="shared" si="213"/>
        <v>2014-03</v>
      </c>
    </row>
    <row r="1060" spans="1:26" x14ac:dyDescent="0.35">
      <c r="A1060" s="1">
        <v>41724</v>
      </c>
      <c r="C1060">
        <v>3130.17</v>
      </c>
      <c r="D1060">
        <f t="shared" si="214"/>
        <v>1.0769663465759792E-2</v>
      </c>
      <c r="E1060" t="str">
        <f t="shared" si="208"/>
        <v>2014-03</v>
      </c>
      <c r="G1060">
        <v>4385.1499999999996</v>
      </c>
      <c r="H1060">
        <f t="shared" si="215"/>
        <v>9.4006262052554971E-3</v>
      </c>
      <c r="I1060" t="str">
        <f t="shared" si="209"/>
        <v>2014-03</v>
      </c>
      <c r="K1060">
        <v>9448.58</v>
      </c>
      <c r="L1060">
        <f t="shared" si="216"/>
        <v>1.1729534308221764E-2</v>
      </c>
      <c r="M1060" t="str">
        <f t="shared" si="210"/>
        <v>2014-03</v>
      </c>
      <c r="O1060">
        <v>7936.5153700000001</v>
      </c>
      <c r="P1060">
        <f t="shared" si="217"/>
        <v>5.231314609891723E-3</v>
      </c>
      <c r="Q1060" t="str">
        <f t="shared" si="211"/>
        <v>2014-03</v>
      </c>
      <c r="S1060">
        <v>10140.799999999999</v>
      </c>
      <c r="T1060">
        <f t="shared" si="218"/>
        <v>1.4932249056414319E-2</v>
      </c>
      <c r="U1060" t="str">
        <f t="shared" si="212"/>
        <v>2014-03</v>
      </c>
      <c r="W1060">
        <v>21108.15</v>
      </c>
      <c r="X1060">
        <f t="shared" si="219"/>
        <v>1.3593393021369046E-2</v>
      </c>
      <c r="Y1060">
        <f t="shared" si="220"/>
        <v>1.368620324676954E-2</v>
      </c>
      <c r="Z1060" t="str">
        <f t="shared" si="213"/>
        <v>2014-03</v>
      </c>
    </row>
    <row r="1061" spans="1:26" x14ac:dyDescent="0.35">
      <c r="A1061" s="1">
        <v>41725</v>
      </c>
      <c r="C1061">
        <v>3133.75</v>
      </c>
      <c r="D1061">
        <f t="shared" si="214"/>
        <v>1.1430543141656598E-3</v>
      </c>
      <c r="E1061" t="str">
        <f t="shared" si="208"/>
        <v>2014-03</v>
      </c>
      <c r="G1061">
        <v>4379.0600000000004</v>
      </c>
      <c r="H1061">
        <f t="shared" si="215"/>
        <v>-1.3897432809523887E-3</v>
      </c>
      <c r="I1061" t="str">
        <f t="shared" si="209"/>
        <v>2014-03</v>
      </c>
      <c r="K1061">
        <v>9451.2099999999991</v>
      </c>
      <c r="L1061">
        <f t="shared" si="216"/>
        <v>2.7830997243625253E-4</v>
      </c>
      <c r="M1061" t="str">
        <f t="shared" si="210"/>
        <v>2014-03</v>
      </c>
      <c r="O1061">
        <v>7965.3200999999999</v>
      </c>
      <c r="P1061">
        <f t="shared" si="217"/>
        <v>3.6228222281795073E-3</v>
      </c>
      <c r="Q1061" t="str">
        <f t="shared" si="211"/>
        <v>2014-03</v>
      </c>
      <c r="S1061">
        <v>10199</v>
      </c>
      <c r="T1061">
        <f t="shared" si="218"/>
        <v>5.7227857539167001E-3</v>
      </c>
      <c r="U1061" t="str">
        <f t="shared" si="212"/>
        <v>2014-03</v>
      </c>
      <c r="W1061">
        <v>21173.9</v>
      </c>
      <c r="X1061">
        <f t="shared" si="219"/>
        <v>3.1100693082478197E-3</v>
      </c>
      <c r="Y1061">
        <f t="shared" si="220"/>
        <v>3.1149105914066366E-3</v>
      </c>
      <c r="Z1061" t="str">
        <f t="shared" si="213"/>
        <v>2014-03</v>
      </c>
    </row>
    <row r="1062" spans="1:26" x14ac:dyDescent="0.35">
      <c r="A1062" s="1">
        <v>41726</v>
      </c>
      <c r="C1062">
        <v>3172.43</v>
      </c>
      <c r="D1062">
        <f t="shared" si="214"/>
        <v>1.2267485254802922E-2</v>
      </c>
      <c r="E1062" t="str">
        <f t="shared" si="208"/>
        <v>2014-03</v>
      </c>
      <c r="G1062">
        <v>4411.26</v>
      </c>
      <c r="H1062">
        <f t="shared" si="215"/>
        <v>7.3262734521298174E-3</v>
      </c>
      <c r="I1062" t="str">
        <f t="shared" si="209"/>
        <v>2014-03</v>
      </c>
      <c r="K1062">
        <v>9587.19</v>
      </c>
      <c r="L1062">
        <f t="shared" si="216"/>
        <v>1.4285056765725588E-2</v>
      </c>
      <c r="M1062" t="str">
        <f t="shared" si="210"/>
        <v>2014-03</v>
      </c>
      <c r="O1062">
        <v>8008.1564600000002</v>
      </c>
      <c r="P1062">
        <f t="shared" si="217"/>
        <v>5.3634489056940604E-3</v>
      </c>
      <c r="Q1062" t="str">
        <f t="shared" si="211"/>
        <v>2014-03</v>
      </c>
      <c r="S1062">
        <v>10328.9</v>
      </c>
      <c r="T1062">
        <f t="shared" si="218"/>
        <v>1.2656115229919378E-2</v>
      </c>
      <c r="U1062" t="str">
        <f t="shared" si="212"/>
        <v>2014-03</v>
      </c>
      <c r="W1062">
        <v>21498.240000000002</v>
      </c>
      <c r="X1062">
        <f t="shared" si="219"/>
        <v>1.5201780180926897E-2</v>
      </c>
      <c r="Y1062">
        <f t="shared" si="220"/>
        <v>1.5317914980235107E-2</v>
      </c>
      <c r="Z1062" t="str">
        <f t="shared" si="213"/>
        <v>2014-03</v>
      </c>
    </row>
    <row r="1063" spans="1:26" x14ac:dyDescent="0.35">
      <c r="A1063" s="1">
        <v>41729</v>
      </c>
      <c r="C1063">
        <v>3161.6</v>
      </c>
      <c r="D1063">
        <f t="shared" si="214"/>
        <v>-3.4196271737574118E-3</v>
      </c>
      <c r="E1063" t="str">
        <f t="shared" si="208"/>
        <v>2014-03</v>
      </c>
      <c r="G1063">
        <v>4391.5</v>
      </c>
      <c r="H1063">
        <f t="shared" si="215"/>
        <v>-4.489508560880256E-3</v>
      </c>
      <c r="I1063" t="str">
        <f t="shared" si="209"/>
        <v>2014-03</v>
      </c>
      <c r="K1063">
        <v>9555.91</v>
      </c>
      <c r="L1063">
        <f t="shared" si="216"/>
        <v>-3.2680211500851616E-3</v>
      </c>
      <c r="M1063" t="str">
        <f t="shared" si="210"/>
        <v>2014-03</v>
      </c>
      <c r="O1063">
        <v>7992.1151600000003</v>
      </c>
      <c r="P1063">
        <f t="shared" si="217"/>
        <v>-2.0051291322466269E-3</v>
      </c>
      <c r="Q1063" t="str">
        <f t="shared" si="211"/>
        <v>2014-03</v>
      </c>
      <c r="S1063">
        <v>10340.5</v>
      </c>
      <c r="T1063">
        <f t="shared" si="218"/>
        <v>1.1224323122934875E-3</v>
      </c>
      <c r="U1063" t="str">
        <f t="shared" si="212"/>
        <v>2014-03</v>
      </c>
      <c r="W1063">
        <v>21691.919999999998</v>
      </c>
      <c r="X1063">
        <f t="shared" si="219"/>
        <v>8.9687696586889382E-3</v>
      </c>
      <c r="Y1063">
        <f t="shared" si="220"/>
        <v>9.0091095829238407E-3</v>
      </c>
      <c r="Z1063" t="str">
        <f t="shared" si="213"/>
        <v>2014-03</v>
      </c>
    </row>
    <row r="1064" spans="1:26" x14ac:dyDescent="0.35">
      <c r="A1064" s="1">
        <v>41730</v>
      </c>
      <c r="C1064">
        <v>3186.34</v>
      </c>
      <c r="D1064">
        <f t="shared" si="214"/>
        <v>7.7946941089812602E-3</v>
      </c>
      <c r="E1064" t="str">
        <f t="shared" si="208"/>
        <v>2014-04</v>
      </c>
      <c r="G1064">
        <v>4426.72</v>
      </c>
      <c r="H1064">
        <f t="shared" si="215"/>
        <v>7.9880491253353746E-3</v>
      </c>
      <c r="I1064" t="str">
        <f t="shared" si="209"/>
        <v>2014-04</v>
      </c>
      <c r="K1064">
        <v>9603.7099999999991</v>
      </c>
      <c r="L1064">
        <f t="shared" si="216"/>
        <v>4.9896708987206551E-3</v>
      </c>
      <c r="M1064" t="str">
        <f t="shared" si="210"/>
        <v>2014-04</v>
      </c>
      <c r="O1064">
        <v>8024.3070200000002</v>
      </c>
      <c r="P1064">
        <f t="shared" si="217"/>
        <v>4.0198619876527309E-3</v>
      </c>
      <c r="Q1064" t="str">
        <f t="shared" si="211"/>
        <v>2014-04</v>
      </c>
      <c r="S1064">
        <v>10463.1</v>
      </c>
      <c r="T1064">
        <f t="shared" si="218"/>
        <v>1.1786558030935835E-2</v>
      </c>
      <c r="U1064" t="str">
        <f t="shared" si="212"/>
        <v>2014-04</v>
      </c>
      <c r="W1064">
        <v>21915.41</v>
      </c>
      <c r="X1064">
        <f t="shared" si="219"/>
        <v>1.0250201366374332E-2</v>
      </c>
      <c r="Y1064">
        <f t="shared" si="220"/>
        <v>1.0302914633651683E-2</v>
      </c>
      <c r="Z1064" t="str">
        <f t="shared" si="213"/>
        <v>2014-04</v>
      </c>
    </row>
    <row r="1065" spans="1:26" x14ac:dyDescent="0.35">
      <c r="A1065" s="1">
        <v>41731</v>
      </c>
      <c r="C1065">
        <v>3187.45</v>
      </c>
      <c r="D1065">
        <f t="shared" si="214"/>
        <v>3.4830140661080164E-4</v>
      </c>
      <c r="E1065" t="str">
        <f t="shared" si="208"/>
        <v>2014-04</v>
      </c>
      <c r="G1065">
        <v>4430.8599999999997</v>
      </c>
      <c r="H1065">
        <f t="shared" si="215"/>
        <v>9.3479264121203067E-4</v>
      </c>
      <c r="I1065" t="str">
        <f t="shared" si="209"/>
        <v>2014-04</v>
      </c>
      <c r="K1065">
        <v>9623.36</v>
      </c>
      <c r="L1065">
        <f t="shared" si="216"/>
        <v>2.0439938941637513E-3</v>
      </c>
      <c r="M1065" t="str">
        <f t="shared" si="210"/>
        <v>2014-04</v>
      </c>
      <c r="O1065">
        <v>8046.8640400000004</v>
      </c>
      <c r="P1065">
        <f t="shared" si="217"/>
        <v>2.8071426442192703E-3</v>
      </c>
      <c r="Q1065" t="str">
        <f t="shared" si="211"/>
        <v>2014-04</v>
      </c>
      <c r="S1065">
        <v>10435.799999999999</v>
      </c>
      <c r="T1065">
        <f t="shared" si="218"/>
        <v>-2.6125791815043383E-3</v>
      </c>
      <c r="U1065" t="str">
        <f t="shared" si="212"/>
        <v>2014-04</v>
      </c>
      <c r="W1065">
        <v>21692.04</v>
      </c>
      <c r="X1065">
        <f t="shared" si="219"/>
        <v>-1.0244669367911992E-2</v>
      </c>
      <c r="Y1065">
        <f t="shared" si="220"/>
        <v>-1.0192371486547547E-2</v>
      </c>
      <c r="Z1065" t="str">
        <f t="shared" si="213"/>
        <v>2014-04</v>
      </c>
    </row>
    <row r="1066" spans="1:26" x14ac:dyDescent="0.35">
      <c r="A1066" s="1">
        <v>41732</v>
      </c>
      <c r="C1066">
        <v>3206.76</v>
      </c>
      <c r="D1066">
        <f t="shared" si="214"/>
        <v>6.0398575280355728E-3</v>
      </c>
      <c r="E1066" t="str">
        <f t="shared" si="208"/>
        <v>2014-04</v>
      </c>
      <c r="G1066">
        <v>4449.33</v>
      </c>
      <c r="H1066">
        <f t="shared" si="215"/>
        <v>4.1598269032483998E-3</v>
      </c>
      <c r="I1066" t="str">
        <f t="shared" si="209"/>
        <v>2014-04</v>
      </c>
      <c r="K1066">
        <v>9628.82</v>
      </c>
      <c r="L1066">
        <f t="shared" si="216"/>
        <v>5.6720850795959261E-4</v>
      </c>
      <c r="M1066" t="str">
        <f t="shared" si="210"/>
        <v>2014-04</v>
      </c>
      <c r="O1066">
        <v>8039.4455699999999</v>
      </c>
      <c r="P1066">
        <f t="shared" si="217"/>
        <v>-9.2233342584626115E-4</v>
      </c>
      <c r="Q1066" t="str">
        <f t="shared" si="211"/>
        <v>2014-04</v>
      </c>
      <c r="S1066">
        <v>10584.1</v>
      </c>
      <c r="T1066">
        <f t="shared" si="218"/>
        <v>1.4110672331728922E-2</v>
      </c>
      <c r="U1066" t="str">
        <f t="shared" si="212"/>
        <v>2014-04</v>
      </c>
      <c r="W1066">
        <v>21992.080000000002</v>
      </c>
      <c r="X1066">
        <f t="shared" si="219"/>
        <v>1.3737015567858453E-2</v>
      </c>
      <c r="Y1066">
        <f t="shared" si="220"/>
        <v>1.3831801895995068E-2</v>
      </c>
      <c r="Z1066" t="str">
        <f t="shared" si="213"/>
        <v>2014-04</v>
      </c>
    </row>
    <row r="1067" spans="1:26" x14ac:dyDescent="0.35">
      <c r="A1067" s="1">
        <v>41733</v>
      </c>
      <c r="C1067">
        <v>3230.33</v>
      </c>
      <c r="D1067">
        <f t="shared" si="214"/>
        <v>7.32321758347721E-3</v>
      </c>
      <c r="E1067" t="str">
        <f t="shared" si="208"/>
        <v>2014-04</v>
      </c>
      <c r="G1067">
        <v>4484.55</v>
      </c>
      <c r="H1067">
        <f t="shared" si="215"/>
        <v>7.8846329839306652E-3</v>
      </c>
      <c r="I1067" t="str">
        <f t="shared" si="209"/>
        <v>2014-04</v>
      </c>
      <c r="K1067">
        <v>9695.77</v>
      </c>
      <c r="L1067">
        <f t="shared" si="216"/>
        <v>6.9290233700372078E-3</v>
      </c>
      <c r="M1067" t="str">
        <f t="shared" si="210"/>
        <v>2014-04</v>
      </c>
      <c r="O1067">
        <v>8099.14833</v>
      </c>
      <c r="P1067">
        <f t="shared" si="217"/>
        <v>7.3987898480109039E-3</v>
      </c>
      <c r="Q1067" t="str">
        <f t="shared" si="211"/>
        <v>2014-04</v>
      </c>
      <c r="S1067">
        <v>10677.2</v>
      </c>
      <c r="T1067">
        <f t="shared" si="218"/>
        <v>8.7577518824890222E-3</v>
      </c>
      <c r="U1067" t="str">
        <f t="shared" si="212"/>
        <v>2014-04</v>
      </c>
      <c r="W1067">
        <v>22175.48</v>
      </c>
      <c r="X1067">
        <f t="shared" si="219"/>
        <v>8.304785416357369E-3</v>
      </c>
      <c r="Y1067">
        <f t="shared" si="220"/>
        <v>8.3393658080544355E-3</v>
      </c>
      <c r="Z1067" t="str">
        <f t="shared" si="213"/>
        <v>2014-04</v>
      </c>
    </row>
    <row r="1068" spans="1:26" x14ac:dyDescent="0.35">
      <c r="A1068" s="1">
        <v>41736</v>
      </c>
      <c r="C1068">
        <v>3185.97</v>
      </c>
      <c r="D1068">
        <f t="shared" si="214"/>
        <v>-1.3827503950849356E-2</v>
      </c>
      <c r="E1068" t="str">
        <f t="shared" si="208"/>
        <v>2014-04</v>
      </c>
      <c r="G1068">
        <v>4436.08</v>
      </c>
      <c r="H1068">
        <f t="shared" si="215"/>
        <v>-1.0867052438152645E-2</v>
      </c>
      <c r="I1068" t="str">
        <f t="shared" si="209"/>
        <v>2014-04</v>
      </c>
      <c r="K1068">
        <v>9510.85</v>
      </c>
      <c r="L1068">
        <f t="shared" si="216"/>
        <v>-1.925645575989509E-2</v>
      </c>
      <c r="M1068" t="str">
        <f t="shared" si="210"/>
        <v>2014-04</v>
      </c>
      <c r="O1068">
        <v>8005.3500199999999</v>
      </c>
      <c r="P1068">
        <f t="shared" si="217"/>
        <v>-1.1648841041355832E-2</v>
      </c>
      <c r="Q1068" t="str">
        <f t="shared" si="211"/>
        <v>2014-04</v>
      </c>
      <c r="S1068">
        <v>10606.2</v>
      </c>
      <c r="T1068">
        <f t="shared" si="218"/>
        <v>-6.6718910864878977E-3</v>
      </c>
      <c r="U1068" t="str">
        <f t="shared" si="212"/>
        <v>2014-04</v>
      </c>
      <c r="W1068">
        <v>21988.34</v>
      </c>
      <c r="X1068">
        <f t="shared" si="219"/>
        <v>-8.4748611004467119E-3</v>
      </c>
      <c r="Y1068">
        <f t="shared" si="220"/>
        <v>-8.4390506992407573E-3</v>
      </c>
      <c r="Z1068" t="str">
        <f t="shared" si="213"/>
        <v>2014-04</v>
      </c>
    </row>
    <row r="1069" spans="1:26" x14ac:dyDescent="0.35">
      <c r="A1069" s="1">
        <v>41737</v>
      </c>
      <c r="C1069">
        <v>3177.66</v>
      </c>
      <c r="D1069">
        <f t="shared" si="214"/>
        <v>-2.6117183819902834E-3</v>
      </c>
      <c r="E1069" t="str">
        <f t="shared" si="208"/>
        <v>2014-04</v>
      </c>
      <c r="G1069">
        <v>4424.83</v>
      </c>
      <c r="H1069">
        <f t="shared" si="215"/>
        <v>-2.5392439478053516E-3</v>
      </c>
      <c r="I1069" t="str">
        <f t="shared" si="209"/>
        <v>2014-04</v>
      </c>
      <c r="K1069">
        <v>9490.7900000000009</v>
      </c>
      <c r="L1069">
        <f t="shared" si="216"/>
        <v>-2.1113974848790133E-3</v>
      </c>
      <c r="M1069" t="str">
        <f t="shared" si="210"/>
        <v>2014-04</v>
      </c>
      <c r="O1069">
        <v>7996.1560799999997</v>
      </c>
      <c r="P1069">
        <f t="shared" si="217"/>
        <v>-1.1491344570026406E-3</v>
      </c>
      <c r="Q1069" t="str">
        <f t="shared" si="211"/>
        <v>2014-04</v>
      </c>
      <c r="S1069">
        <v>10480.5</v>
      </c>
      <c r="T1069">
        <f t="shared" si="218"/>
        <v>-1.1922348109277413E-2</v>
      </c>
      <c r="U1069" t="str">
        <f t="shared" si="212"/>
        <v>2014-04</v>
      </c>
      <c r="W1069">
        <v>21667.05</v>
      </c>
      <c r="X1069">
        <f t="shared" si="219"/>
        <v>-1.471963947995778E-2</v>
      </c>
      <c r="Y1069">
        <f t="shared" si="220"/>
        <v>-1.4611835181737269E-2</v>
      </c>
      <c r="Z1069" t="str">
        <f t="shared" si="213"/>
        <v>2014-04</v>
      </c>
    </row>
    <row r="1070" spans="1:26" x14ac:dyDescent="0.35">
      <c r="A1070" s="1">
        <v>41738</v>
      </c>
      <c r="C1070">
        <v>3182.79</v>
      </c>
      <c r="D1070">
        <f t="shared" si="214"/>
        <v>1.6130937629840508E-3</v>
      </c>
      <c r="E1070" t="str">
        <f t="shared" si="208"/>
        <v>2014-04</v>
      </c>
      <c r="G1070">
        <v>4442.68</v>
      </c>
      <c r="H1070">
        <f t="shared" si="215"/>
        <v>4.0259383095504258E-3</v>
      </c>
      <c r="I1070" t="str">
        <f t="shared" si="209"/>
        <v>2014-04</v>
      </c>
      <c r="K1070">
        <v>9506.35</v>
      </c>
      <c r="L1070">
        <f t="shared" si="216"/>
        <v>1.6381416865501846E-3</v>
      </c>
      <c r="M1070" t="str">
        <f t="shared" si="210"/>
        <v>2014-04</v>
      </c>
      <c r="O1070">
        <v>8046.9204900000004</v>
      </c>
      <c r="P1070">
        <f t="shared" si="217"/>
        <v>6.3285342067735595E-3</v>
      </c>
      <c r="Q1070" t="str">
        <f t="shared" si="211"/>
        <v>2014-04</v>
      </c>
      <c r="S1070">
        <v>10485.200000000001</v>
      </c>
      <c r="T1070">
        <f t="shared" si="218"/>
        <v>4.4835136234258139E-4</v>
      </c>
      <c r="U1070" t="str">
        <f t="shared" si="212"/>
        <v>2014-04</v>
      </c>
      <c r="W1070">
        <v>21717.02</v>
      </c>
      <c r="X1070">
        <f t="shared" si="219"/>
        <v>2.3036115374916997E-3</v>
      </c>
      <c r="Y1070">
        <f t="shared" si="220"/>
        <v>2.3062668891243232E-3</v>
      </c>
      <c r="Z1070" t="str">
        <f t="shared" si="213"/>
        <v>2014-04</v>
      </c>
    </row>
    <row r="1071" spans="1:26" x14ac:dyDescent="0.35">
      <c r="A1071" s="1">
        <v>41739</v>
      </c>
      <c r="C1071">
        <v>3152.86</v>
      </c>
      <c r="D1071">
        <f t="shared" si="214"/>
        <v>-9.4481932082182019E-3</v>
      </c>
      <c r="E1071" t="str">
        <f t="shared" si="208"/>
        <v>2014-04</v>
      </c>
      <c r="G1071">
        <v>4413.49</v>
      </c>
      <c r="H1071">
        <f t="shared" si="215"/>
        <v>-6.5920382522318809E-3</v>
      </c>
      <c r="I1071" t="str">
        <f t="shared" si="209"/>
        <v>2014-04</v>
      </c>
      <c r="K1071">
        <v>9454.5400000000009</v>
      </c>
      <c r="L1071">
        <f t="shared" si="216"/>
        <v>-5.4649469455133968E-3</v>
      </c>
      <c r="M1071" t="str">
        <f t="shared" si="210"/>
        <v>2014-04</v>
      </c>
      <c r="O1071">
        <v>8026.6105399999997</v>
      </c>
      <c r="P1071">
        <f t="shared" si="217"/>
        <v>-2.5271311911533095E-3</v>
      </c>
      <c r="Q1071" t="str">
        <f t="shared" si="211"/>
        <v>2014-04</v>
      </c>
      <c r="S1071">
        <v>10336.1</v>
      </c>
      <c r="T1071">
        <f t="shared" si="218"/>
        <v>-1.4322117124775713E-2</v>
      </c>
      <c r="U1071" t="str">
        <f t="shared" si="212"/>
        <v>2014-04</v>
      </c>
      <c r="W1071">
        <v>21429.09</v>
      </c>
      <c r="X1071">
        <f t="shared" si="219"/>
        <v>-1.3346940168077208E-2</v>
      </c>
      <c r="Y1071">
        <f t="shared" si="220"/>
        <v>-1.3258264715877238E-2</v>
      </c>
      <c r="Z1071" t="str">
        <f t="shared" si="213"/>
        <v>2014-04</v>
      </c>
    </row>
    <row r="1072" spans="1:26" x14ac:dyDescent="0.35">
      <c r="A1072" s="1">
        <v>41740</v>
      </c>
      <c r="C1072">
        <v>3116.54</v>
      </c>
      <c r="D1072">
        <f t="shared" si="214"/>
        <v>-1.1586565325083386E-2</v>
      </c>
      <c r="E1072" t="str">
        <f t="shared" si="208"/>
        <v>2014-04</v>
      </c>
      <c r="G1072">
        <v>4365.8599999999997</v>
      </c>
      <c r="H1072">
        <f t="shared" si="215"/>
        <v>-1.0850568050763187E-2</v>
      </c>
      <c r="I1072" t="str">
        <f t="shared" si="209"/>
        <v>2014-04</v>
      </c>
      <c r="K1072">
        <v>9315.2900000000009</v>
      </c>
      <c r="L1072">
        <f t="shared" si="216"/>
        <v>-1.4837913268958572E-2</v>
      </c>
      <c r="M1072" t="str">
        <f t="shared" si="210"/>
        <v>2014-04</v>
      </c>
      <c r="O1072">
        <v>7905.4862999999996</v>
      </c>
      <c r="P1072">
        <f t="shared" si="217"/>
        <v>-1.5205352427301255E-2</v>
      </c>
      <c r="Q1072" t="str">
        <f t="shared" si="211"/>
        <v>2014-04</v>
      </c>
      <c r="S1072">
        <v>10205.4</v>
      </c>
      <c r="T1072">
        <f t="shared" si="218"/>
        <v>-1.2725629950081014E-2</v>
      </c>
      <c r="U1072" t="str">
        <f t="shared" si="212"/>
        <v>2014-04</v>
      </c>
      <c r="W1072">
        <v>21198.79</v>
      </c>
      <c r="X1072">
        <f t="shared" si="219"/>
        <v>-1.0805240170725221E-2</v>
      </c>
      <c r="Y1072">
        <f t="shared" si="220"/>
        <v>-1.0747073254160548E-2</v>
      </c>
      <c r="Z1072" t="str">
        <f t="shared" si="213"/>
        <v>2014-04</v>
      </c>
    </row>
    <row r="1073" spans="1:26" x14ac:dyDescent="0.35">
      <c r="A1073" s="1">
        <v>41743</v>
      </c>
      <c r="C1073">
        <v>3131.57</v>
      </c>
      <c r="D1073">
        <f t="shared" si="214"/>
        <v>4.8110641428455265E-3</v>
      </c>
      <c r="E1073" t="str">
        <f t="shared" si="208"/>
        <v>2014-04</v>
      </c>
      <c r="G1073">
        <v>4384.5600000000004</v>
      </c>
      <c r="H1073">
        <f t="shared" si="215"/>
        <v>4.2740870649284248E-3</v>
      </c>
      <c r="I1073" t="str">
        <f t="shared" si="209"/>
        <v>2014-04</v>
      </c>
      <c r="K1073">
        <v>9339.17</v>
      </c>
      <c r="L1073">
        <f t="shared" si="216"/>
        <v>2.5602470448545184E-3</v>
      </c>
      <c r="M1073" t="str">
        <f t="shared" si="210"/>
        <v>2014-04</v>
      </c>
      <c r="O1073">
        <v>7967.8350899999996</v>
      </c>
      <c r="P1073">
        <f t="shared" si="217"/>
        <v>7.8558367361317022E-3</v>
      </c>
      <c r="Q1073" t="str">
        <f t="shared" si="211"/>
        <v>2014-04</v>
      </c>
      <c r="S1073">
        <v>10188.200000000001</v>
      </c>
      <c r="T1073">
        <f t="shared" si="218"/>
        <v>-1.6868041030787659E-3</v>
      </c>
      <c r="U1073" t="str">
        <f t="shared" si="212"/>
        <v>2014-04</v>
      </c>
      <c r="W1073">
        <v>21314.560000000001</v>
      </c>
      <c r="X1073">
        <f t="shared" si="219"/>
        <v>5.4463026868529522E-3</v>
      </c>
      <c r="Y1073">
        <f t="shared" si="220"/>
        <v>5.4611607549299012E-3</v>
      </c>
      <c r="Z1073" t="str">
        <f t="shared" si="213"/>
        <v>2014-04</v>
      </c>
    </row>
    <row r="1074" spans="1:26" x14ac:dyDescent="0.35">
      <c r="A1074" s="1">
        <v>41744</v>
      </c>
      <c r="C1074">
        <v>3091.52</v>
      </c>
      <c r="D1074">
        <f t="shared" si="214"/>
        <v>-1.287159689119719E-2</v>
      </c>
      <c r="E1074" t="str">
        <f t="shared" si="208"/>
        <v>2014-04</v>
      </c>
      <c r="G1074">
        <v>4345.3500000000004</v>
      </c>
      <c r="H1074">
        <f t="shared" si="215"/>
        <v>-8.9829708820653234E-3</v>
      </c>
      <c r="I1074" t="str">
        <f t="shared" si="209"/>
        <v>2014-04</v>
      </c>
      <c r="K1074">
        <v>9173.7099999999991</v>
      </c>
      <c r="L1074">
        <f t="shared" si="216"/>
        <v>-1.7875598595091826E-2</v>
      </c>
      <c r="M1074" t="str">
        <f t="shared" si="210"/>
        <v>2014-04</v>
      </c>
      <c r="O1074">
        <v>7917.7197200000001</v>
      </c>
      <c r="P1074">
        <f t="shared" si="217"/>
        <v>-6.3095733022895143E-3</v>
      </c>
      <c r="Q1074" t="str">
        <f t="shared" si="211"/>
        <v>2014-04</v>
      </c>
      <c r="S1074">
        <v>10103.5</v>
      </c>
      <c r="T1074">
        <f t="shared" si="218"/>
        <v>-8.3482893914712739E-3</v>
      </c>
      <c r="U1074" t="str">
        <f t="shared" si="212"/>
        <v>2014-04</v>
      </c>
      <c r="W1074">
        <v>20817.490000000002</v>
      </c>
      <c r="X1074">
        <f t="shared" si="219"/>
        <v>-2.359690850161025E-2</v>
      </c>
      <c r="Y1074">
        <f t="shared" si="220"/>
        <v>-2.3320678447033373E-2</v>
      </c>
      <c r="Z1074" t="str">
        <f t="shared" si="213"/>
        <v>2014-04</v>
      </c>
    </row>
    <row r="1075" spans="1:26" x14ac:dyDescent="0.35">
      <c r="A1075" s="1">
        <v>41745</v>
      </c>
      <c r="C1075">
        <v>3139.26</v>
      </c>
      <c r="D1075">
        <f t="shared" si="214"/>
        <v>1.5324224009092524E-2</v>
      </c>
      <c r="E1075" t="str">
        <f t="shared" si="208"/>
        <v>2014-04</v>
      </c>
      <c r="G1075">
        <v>4405.66</v>
      </c>
      <c r="H1075">
        <f t="shared" si="215"/>
        <v>1.37837700714998E-2</v>
      </c>
      <c r="I1075" t="str">
        <f t="shared" si="209"/>
        <v>2014-04</v>
      </c>
      <c r="K1075">
        <v>9317.82</v>
      </c>
      <c r="L1075">
        <f t="shared" si="216"/>
        <v>1.5586911157361013E-2</v>
      </c>
      <c r="M1075" t="str">
        <f t="shared" si="210"/>
        <v>2014-04</v>
      </c>
      <c r="O1075">
        <v>7997.5457999999999</v>
      </c>
      <c r="P1075">
        <f t="shared" si="217"/>
        <v>1.0031469385072943E-2</v>
      </c>
      <c r="Q1075" t="str">
        <f t="shared" si="211"/>
        <v>2014-04</v>
      </c>
      <c r="S1075">
        <v>10267.9</v>
      </c>
      <c r="T1075">
        <f t="shared" si="218"/>
        <v>1.6140625495120024E-2</v>
      </c>
      <c r="U1075" t="str">
        <f t="shared" si="212"/>
        <v>2014-04</v>
      </c>
      <c r="W1075">
        <v>21534.52</v>
      </c>
      <c r="X1075">
        <f t="shared" si="219"/>
        <v>3.3863730198525177E-2</v>
      </c>
      <c r="Y1075">
        <f t="shared" si="220"/>
        <v>3.4443633694551973E-2</v>
      </c>
      <c r="Z1075" t="str">
        <f t="shared" si="213"/>
        <v>2014-04</v>
      </c>
    </row>
    <row r="1076" spans="1:26" x14ac:dyDescent="0.35">
      <c r="A1076" s="1">
        <v>41746</v>
      </c>
      <c r="C1076">
        <v>3155.81</v>
      </c>
      <c r="D1076">
        <f t="shared" si="214"/>
        <v>5.2580950269274151E-3</v>
      </c>
      <c r="E1076" t="str">
        <f t="shared" si="208"/>
        <v>2014-04</v>
      </c>
      <c r="G1076">
        <v>4431.8100000000004</v>
      </c>
      <c r="H1076">
        <f t="shared" si="215"/>
        <v>5.918000586213828E-3</v>
      </c>
      <c r="I1076" t="str">
        <f t="shared" si="209"/>
        <v>2014-04</v>
      </c>
      <c r="K1076">
        <v>9409.7099999999991</v>
      </c>
      <c r="L1076">
        <f t="shared" si="216"/>
        <v>9.8134390860440002E-3</v>
      </c>
      <c r="M1076" t="str">
        <f t="shared" si="210"/>
        <v>2014-04</v>
      </c>
      <c r="O1076">
        <v>8054.4323000000004</v>
      </c>
      <c r="P1076">
        <f t="shared" si="217"/>
        <v>7.087816566492002E-3</v>
      </c>
      <c r="Q1076" t="str">
        <f t="shared" si="211"/>
        <v>2014-04</v>
      </c>
      <c r="S1076">
        <v>10292.4</v>
      </c>
      <c r="T1076">
        <f t="shared" si="218"/>
        <v>2.3832348357052105E-3</v>
      </c>
      <c r="U1076" t="str">
        <f t="shared" si="212"/>
        <v>2014-04</v>
      </c>
      <c r="W1076">
        <v>21613.3</v>
      </c>
      <c r="X1076">
        <f t="shared" si="219"/>
        <v>3.6516369791411082E-3</v>
      </c>
      <c r="Y1076">
        <f t="shared" si="220"/>
        <v>3.6583123282988815E-3</v>
      </c>
      <c r="Z1076" t="str">
        <f t="shared" si="213"/>
        <v>2014-04</v>
      </c>
    </row>
    <row r="1077" spans="1:26" x14ac:dyDescent="0.35">
      <c r="A1077" s="1">
        <v>41751</v>
      </c>
      <c r="C1077">
        <v>3199.69</v>
      </c>
      <c r="D1077">
        <f t="shared" si="214"/>
        <v>1.3808731729967452E-2</v>
      </c>
      <c r="E1077" t="str">
        <f t="shared" si="208"/>
        <v>2014-04</v>
      </c>
      <c r="G1077">
        <v>4484.21</v>
      </c>
      <c r="H1077">
        <f t="shared" si="215"/>
        <v>1.1754258807995186E-2</v>
      </c>
      <c r="I1077" t="str">
        <f t="shared" si="209"/>
        <v>2014-04</v>
      </c>
      <c r="K1077">
        <v>9600.09</v>
      </c>
      <c r="L1077">
        <f t="shared" si="216"/>
        <v>2.0030338585877425E-2</v>
      </c>
      <c r="M1077" t="str">
        <f t="shared" si="210"/>
        <v>2014-04</v>
      </c>
      <c r="O1077">
        <v>8148.8420900000001</v>
      </c>
      <c r="P1077">
        <f t="shared" si="217"/>
        <v>1.1653306131306631E-2</v>
      </c>
      <c r="Q1077" t="str">
        <f t="shared" si="211"/>
        <v>2014-04</v>
      </c>
      <c r="S1077">
        <v>10437.799999999999</v>
      </c>
      <c r="T1077">
        <f t="shared" si="218"/>
        <v>1.4028073476646764E-2</v>
      </c>
      <c r="U1077" t="str">
        <f t="shared" si="212"/>
        <v>2014-04</v>
      </c>
      <c r="W1077">
        <v>21935.34</v>
      </c>
      <c r="X1077">
        <f t="shared" si="219"/>
        <v>1.4790168899656802E-2</v>
      </c>
      <c r="Y1077">
        <f t="shared" si="220"/>
        <v>1.4900084670087441E-2</v>
      </c>
      <c r="Z1077" t="str">
        <f t="shared" si="213"/>
        <v>2014-04</v>
      </c>
    </row>
    <row r="1078" spans="1:26" x14ac:dyDescent="0.35">
      <c r="A1078" s="1">
        <v>41752</v>
      </c>
      <c r="C1078">
        <v>3175.97</v>
      </c>
      <c r="D1078">
        <f t="shared" si="214"/>
        <v>-7.4408326165467369E-3</v>
      </c>
      <c r="E1078" t="str">
        <f t="shared" si="208"/>
        <v>2014-04</v>
      </c>
      <c r="G1078">
        <v>4451.08</v>
      </c>
      <c r="H1078">
        <f t="shared" si="215"/>
        <v>-7.415573936631047E-3</v>
      </c>
      <c r="I1078" t="str">
        <f t="shared" si="209"/>
        <v>2014-04</v>
      </c>
      <c r="K1078">
        <v>9544.19</v>
      </c>
      <c r="L1078">
        <f t="shared" si="216"/>
        <v>-5.8398810369143924E-3</v>
      </c>
      <c r="M1078" t="str">
        <f t="shared" si="210"/>
        <v>2014-04</v>
      </c>
      <c r="O1078">
        <v>8104.4549100000004</v>
      </c>
      <c r="P1078">
        <f t="shared" si="217"/>
        <v>-5.4619429337333155E-3</v>
      </c>
      <c r="Q1078" t="str">
        <f t="shared" si="211"/>
        <v>2014-04</v>
      </c>
      <c r="S1078">
        <v>10424.4</v>
      </c>
      <c r="T1078">
        <f t="shared" si="218"/>
        <v>-1.2846202071476647E-3</v>
      </c>
      <c r="U1078" t="str">
        <f t="shared" si="212"/>
        <v>2014-04</v>
      </c>
      <c r="W1078">
        <v>21675.75</v>
      </c>
      <c r="X1078">
        <f t="shared" si="219"/>
        <v>-1.190491069587552E-2</v>
      </c>
      <c r="Y1078">
        <f t="shared" si="220"/>
        <v>-1.1834327619266451E-2</v>
      </c>
      <c r="Z1078" t="str">
        <f t="shared" si="213"/>
        <v>2014-04</v>
      </c>
    </row>
    <row r="1079" spans="1:26" x14ac:dyDescent="0.35">
      <c r="A1079" s="1">
        <v>41753</v>
      </c>
      <c r="C1079">
        <v>3189.81</v>
      </c>
      <c r="D1079">
        <f t="shared" si="214"/>
        <v>4.3482563979437396E-3</v>
      </c>
      <c r="E1079" t="str">
        <f t="shared" si="208"/>
        <v>2014-04</v>
      </c>
      <c r="G1079">
        <v>4479.54</v>
      </c>
      <c r="H1079">
        <f t="shared" si="215"/>
        <v>6.3735992223602454E-3</v>
      </c>
      <c r="I1079" t="str">
        <f t="shared" si="209"/>
        <v>2014-04</v>
      </c>
      <c r="K1079">
        <v>9548.68</v>
      </c>
      <c r="L1079">
        <f t="shared" si="216"/>
        <v>4.7033265116983849E-4</v>
      </c>
      <c r="M1079" t="str">
        <f t="shared" si="210"/>
        <v>2014-04</v>
      </c>
      <c r="O1079">
        <v>8142.6127699999997</v>
      </c>
      <c r="P1079">
        <f t="shared" si="217"/>
        <v>4.6972082483270573E-3</v>
      </c>
      <c r="Q1079" t="str">
        <f t="shared" si="211"/>
        <v>2014-04</v>
      </c>
      <c r="S1079">
        <v>10462</v>
      </c>
      <c r="T1079">
        <f t="shared" si="218"/>
        <v>3.6004328766812317E-3</v>
      </c>
      <c r="U1079" t="str">
        <f t="shared" si="212"/>
        <v>2014-04</v>
      </c>
      <c r="W1079">
        <v>21819.48</v>
      </c>
      <c r="X1079">
        <f t="shared" si="219"/>
        <v>6.6090246294738331E-3</v>
      </c>
      <c r="Y1079">
        <f t="shared" si="220"/>
        <v>6.6309124251755797E-3</v>
      </c>
      <c r="Z1079" t="str">
        <f t="shared" si="213"/>
        <v>2014-04</v>
      </c>
    </row>
    <row r="1080" spans="1:26" x14ac:dyDescent="0.35">
      <c r="A1080" s="1">
        <v>41754</v>
      </c>
      <c r="C1080">
        <v>3147.4</v>
      </c>
      <c r="D1080">
        <f t="shared" si="214"/>
        <v>-1.3384638709765053E-2</v>
      </c>
      <c r="E1080" t="str">
        <f t="shared" si="208"/>
        <v>2014-04</v>
      </c>
      <c r="G1080">
        <v>4443.63</v>
      </c>
      <c r="H1080">
        <f t="shared" si="215"/>
        <v>-8.0487525982756523E-3</v>
      </c>
      <c r="I1080" t="str">
        <f t="shared" si="209"/>
        <v>2014-04</v>
      </c>
      <c r="K1080">
        <v>9401.5499999999993</v>
      </c>
      <c r="L1080">
        <f t="shared" si="216"/>
        <v>-1.5528355744579666E-2</v>
      </c>
      <c r="M1080" t="str">
        <f t="shared" si="210"/>
        <v>2014-04</v>
      </c>
      <c r="O1080">
        <v>8115.7841200000003</v>
      </c>
      <c r="P1080">
        <f t="shared" si="217"/>
        <v>-3.300285327356791E-3</v>
      </c>
      <c r="Q1080" t="str">
        <f t="shared" si="211"/>
        <v>2014-04</v>
      </c>
      <c r="S1080">
        <v>10306.200000000001</v>
      </c>
      <c r="T1080">
        <f t="shared" si="218"/>
        <v>-1.5003989059521586E-2</v>
      </c>
      <c r="U1080" t="str">
        <f t="shared" si="212"/>
        <v>2014-04</v>
      </c>
      <c r="W1080">
        <v>21441.57</v>
      </c>
      <c r="X1080">
        <f t="shared" si="219"/>
        <v>-1.7471587640035102E-2</v>
      </c>
      <c r="Y1080">
        <f t="shared" si="220"/>
        <v>-1.7319844469254074E-2</v>
      </c>
      <c r="Z1080" t="str">
        <f t="shared" si="213"/>
        <v>2014-04</v>
      </c>
    </row>
    <row r="1081" spans="1:26" x14ac:dyDescent="0.35">
      <c r="A1081" s="1">
        <v>41757</v>
      </c>
      <c r="C1081">
        <v>3165.84</v>
      </c>
      <c r="D1081">
        <f t="shared" si="214"/>
        <v>5.8417080420100917E-3</v>
      </c>
      <c r="E1081" t="str">
        <f t="shared" si="208"/>
        <v>2014-04</v>
      </c>
      <c r="G1081">
        <v>4460.53</v>
      </c>
      <c r="H1081">
        <f t="shared" si="215"/>
        <v>3.7959830670957796E-3</v>
      </c>
      <c r="I1081" t="str">
        <f t="shared" si="209"/>
        <v>2014-04</v>
      </c>
      <c r="K1081">
        <v>9446.36</v>
      </c>
      <c r="L1081">
        <f t="shared" si="216"/>
        <v>4.7549128180763281E-3</v>
      </c>
      <c r="M1081" t="str">
        <f t="shared" si="210"/>
        <v>2014-04</v>
      </c>
      <c r="O1081">
        <v>8130.4823100000003</v>
      </c>
      <c r="P1081">
        <f t="shared" si="217"/>
        <v>1.8094242235292349E-3</v>
      </c>
      <c r="Q1081" t="str">
        <f t="shared" si="211"/>
        <v>2014-04</v>
      </c>
      <c r="S1081">
        <v>10320.9</v>
      </c>
      <c r="T1081">
        <f t="shared" si="218"/>
        <v>1.4253096643344178E-3</v>
      </c>
      <c r="U1081" t="str">
        <f t="shared" si="212"/>
        <v>2014-04</v>
      </c>
      <c r="W1081">
        <v>21513.82</v>
      </c>
      <c r="X1081">
        <f t="shared" si="219"/>
        <v>3.3639581963070108E-3</v>
      </c>
      <c r="Y1081">
        <f t="shared" si="220"/>
        <v>3.3696226535650142E-3</v>
      </c>
      <c r="Z1081" t="str">
        <f t="shared" si="213"/>
        <v>2014-04</v>
      </c>
    </row>
    <row r="1082" spans="1:26" x14ac:dyDescent="0.35">
      <c r="A1082" s="1">
        <v>41758</v>
      </c>
      <c r="C1082">
        <v>3208.68</v>
      </c>
      <c r="D1082">
        <f t="shared" si="214"/>
        <v>1.344121438996188E-2</v>
      </c>
      <c r="E1082" t="str">
        <f t="shared" si="208"/>
        <v>2014-04</v>
      </c>
      <c r="G1082">
        <v>4497.68</v>
      </c>
      <c r="H1082">
        <f t="shared" si="215"/>
        <v>8.2941152237774977E-3</v>
      </c>
      <c r="I1082" t="str">
        <f t="shared" si="209"/>
        <v>2014-04</v>
      </c>
      <c r="K1082">
        <v>9584.1200000000008</v>
      </c>
      <c r="L1082">
        <f t="shared" si="216"/>
        <v>1.4478080045224178E-2</v>
      </c>
      <c r="M1082" t="str">
        <f t="shared" si="210"/>
        <v>2014-04</v>
      </c>
      <c r="O1082">
        <v>8246.3395799999998</v>
      </c>
      <c r="P1082">
        <f t="shared" si="217"/>
        <v>1.4149168092215381E-2</v>
      </c>
      <c r="Q1082" t="str">
        <f t="shared" si="211"/>
        <v>2014-04</v>
      </c>
      <c r="S1082">
        <v>10461</v>
      </c>
      <c r="T1082">
        <f t="shared" si="218"/>
        <v>1.3483090808391695E-2</v>
      </c>
      <c r="U1082" t="str">
        <f t="shared" si="212"/>
        <v>2014-04</v>
      </c>
      <c r="W1082">
        <v>21976.84</v>
      </c>
      <c r="X1082">
        <f t="shared" si="219"/>
        <v>2.1293652249198432E-2</v>
      </c>
      <c r="Y1082">
        <f t="shared" si="220"/>
        <v>2.1521979825061308E-2</v>
      </c>
      <c r="Z1082" t="str">
        <f t="shared" si="213"/>
        <v>2014-04</v>
      </c>
    </row>
    <row r="1083" spans="1:26" x14ac:dyDescent="0.35">
      <c r="A1083" s="1">
        <v>41759</v>
      </c>
      <c r="C1083">
        <v>3198.39</v>
      </c>
      <c r="D1083">
        <f t="shared" si="214"/>
        <v>-3.2120794207696835E-3</v>
      </c>
      <c r="E1083" t="str">
        <f t="shared" si="208"/>
        <v>2014-04</v>
      </c>
      <c r="G1083">
        <v>4487.3900000000003</v>
      </c>
      <c r="H1083">
        <f t="shared" si="215"/>
        <v>-2.2904672971163723E-3</v>
      </c>
      <c r="I1083" t="str">
        <f t="shared" si="209"/>
        <v>2014-04</v>
      </c>
      <c r="K1083">
        <v>9603.23</v>
      </c>
      <c r="L1083">
        <f t="shared" si="216"/>
        <v>1.9919380548900356E-3</v>
      </c>
      <c r="M1083" t="str">
        <f t="shared" si="210"/>
        <v>2014-04</v>
      </c>
      <c r="O1083">
        <v>8250.35671</v>
      </c>
      <c r="P1083">
        <f t="shared" si="217"/>
        <v>4.8702237208995795E-4</v>
      </c>
      <c r="Q1083" t="str">
        <f t="shared" si="211"/>
        <v>2014-04</v>
      </c>
      <c r="S1083">
        <v>10459</v>
      </c>
      <c r="T1083">
        <f t="shared" si="218"/>
        <v>-1.9120458949260601E-4</v>
      </c>
      <c r="U1083" t="str">
        <f t="shared" si="212"/>
        <v>2014-04</v>
      </c>
      <c r="W1083">
        <v>21783.38</v>
      </c>
      <c r="X1083">
        <f t="shared" si="219"/>
        <v>-8.8418778685746633E-3</v>
      </c>
      <c r="Y1083">
        <f t="shared" si="220"/>
        <v>-8.8029034201458963E-3</v>
      </c>
      <c r="Z1083" t="str">
        <f t="shared" si="213"/>
        <v>2014-04</v>
      </c>
    </row>
    <row r="1084" spans="1:26" x14ac:dyDescent="0.35">
      <c r="A1084" s="1">
        <v>41761</v>
      </c>
      <c r="C1084">
        <v>3177.89</v>
      </c>
      <c r="D1084">
        <f t="shared" si="214"/>
        <v>-6.4301036444758463E-3</v>
      </c>
      <c r="E1084" t="str">
        <f t="shared" si="208"/>
        <v>2014-05</v>
      </c>
      <c r="G1084">
        <v>4458.17</v>
      </c>
      <c r="H1084">
        <f t="shared" si="215"/>
        <v>-6.532873050296221E-3</v>
      </c>
      <c r="I1084" t="str">
        <f t="shared" si="209"/>
        <v>2014-05</v>
      </c>
      <c r="K1084">
        <v>9556.02</v>
      </c>
      <c r="L1084">
        <f t="shared" si="216"/>
        <v>-4.9281778304283196E-3</v>
      </c>
      <c r="M1084" t="str">
        <f t="shared" si="210"/>
        <v>2014-05</v>
      </c>
      <c r="O1084">
        <v>8301.1687099999999</v>
      </c>
      <c r="P1084">
        <f t="shared" si="217"/>
        <v>6.1398763360800516E-3</v>
      </c>
      <c r="Q1084" t="str">
        <f t="shared" si="211"/>
        <v>2014-05</v>
      </c>
      <c r="S1084">
        <v>10474.5</v>
      </c>
      <c r="T1084">
        <f t="shared" si="218"/>
        <v>1.4808801999315606E-3</v>
      </c>
      <c r="U1084" t="str">
        <f t="shared" si="212"/>
        <v>2014-05</v>
      </c>
      <c r="W1084">
        <v>21782</v>
      </c>
      <c r="X1084">
        <f t="shared" si="219"/>
        <v>-6.3353056966920589E-5</v>
      </c>
      <c r="Y1084">
        <f t="shared" si="220"/>
        <v>-6.3351050204376853E-5</v>
      </c>
      <c r="Z1084" t="str">
        <f t="shared" si="213"/>
        <v>2014-05</v>
      </c>
    </row>
    <row r="1085" spans="1:26" x14ac:dyDescent="0.35">
      <c r="A1085" s="1">
        <v>41765</v>
      </c>
      <c r="C1085">
        <v>3149.79</v>
      </c>
      <c r="D1085">
        <f t="shared" si="214"/>
        <v>-8.8816706027992787E-3</v>
      </c>
      <c r="E1085" t="str">
        <f t="shared" si="208"/>
        <v>2014-05</v>
      </c>
      <c r="G1085">
        <v>4428.07</v>
      </c>
      <c r="H1085">
        <f t="shared" si="215"/>
        <v>-6.7745447159893238E-3</v>
      </c>
      <c r="I1085" t="str">
        <f t="shared" si="209"/>
        <v>2014-05</v>
      </c>
      <c r="K1085">
        <v>9467.5300000000007</v>
      </c>
      <c r="L1085">
        <f t="shared" si="216"/>
        <v>-9.3032728633443747E-3</v>
      </c>
      <c r="M1085" t="str">
        <f t="shared" si="210"/>
        <v>2014-05</v>
      </c>
      <c r="O1085">
        <v>8291.5579500000003</v>
      </c>
      <c r="P1085">
        <f t="shared" si="217"/>
        <v>-1.1584305909095379E-3</v>
      </c>
      <c r="Q1085" t="str">
        <f t="shared" si="211"/>
        <v>2014-05</v>
      </c>
      <c r="S1085">
        <v>10481.4</v>
      </c>
      <c r="T1085">
        <f t="shared" si="218"/>
        <v>6.5852578503914109E-4</v>
      </c>
      <c r="U1085" t="str">
        <f t="shared" si="212"/>
        <v>2014-05</v>
      </c>
      <c r="W1085">
        <v>21521.65</v>
      </c>
      <c r="X1085">
        <f t="shared" si="219"/>
        <v>-1.2024535436671131E-2</v>
      </c>
      <c r="Y1085">
        <f t="shared" si="220"/>
        <v>-1.1952529611605846E-2</v>
      </c>
      <c r="Z1085" t="str">
        <f t="shared" si="213"/>
        <v>2014-05</v>
      </c>
    </row>
    <row r="1086" spans="1:26" x14ac:dyDescent="0.35">
      <c r="A1086" s="1">
        <v>41766</v>
      </c>
      <c r="C1086">
        <v>3159.67</v>
      </c>
      <c r="D1086">
        <f t="shared" si="214"/>
        <v>3.1318078172880622E-3</v>
      </c>
      <c r="E1086" t="str">
        <f t="shared" si="208"/>
        <v>2014-05</v>
      </c>
      <c r="G1086">
        <v>4446.4399999999996</v>
      </c>
      <c r="H1086">
        <f t="shared" si="215"/>
        <v>4.1399527945238448E-3</v>
      </c>
      <c r="I1086" t="str">
        <f t="shared" si="209"/>
        <v>2014-05</v>
      </c>
      <c r="K1086">
        <v>9521.2999999999993</v>
      </c>
      <c r="L1086">
        <f t="shared" si="216"/>
        <v>5.6633445784499623E-3</v>
      </c>
      <c r="M1086" t="str">
        <f t="shared" si="210"/>
        <v>2014-05</v>
      </c>
      <c r="O1086">
        <v>8283.1612499999992</v>
      </c>
      <c r="P1086">
        <f t="shared" si="217"/>
        <v>-1.01319372195605E-3</v>
      </c>
      <c r="Q1086" t="str">
        <f t="shared" si="211"/>
        <v>2014-05</v>
      </c>
      <c r="S1086">
        <v>10413.799999999999</v>
      </c>
      <c r="T1086">
        <f t="shared" si="218"/>
        <v>-6.4704081172699346E-3</v>
      </c>
      <c r="U1086" t="str">
        <f t="shared" si="212"/>
        <v>2014-05</v>
      </c>
      <c r="W1086">
        <v>21240.74</v>
      </c>
      <c r="X1086">
        <f t="shared" si="219"/>
        <v>-1.3138369525311099E-2</v>
      </c>
      <c r="Y1086">
        <f t="shared" si="220"/>
        <v>-1.3052437893934704E-2</v>
      </c>
      <c r="Z1086" t="str">
        <f t="shared" si="213"/>
        <v>2014-05</v>
      </c>
    </row>
    <row r="1087" spans="1:26" x14ac:dyDescent="0.35">
      <c r="A1087" s="1">
        <v>41767</v>
      </c>
      <c r="C1087">
        <v>3204.3</v>
      </c>
      <c r="D1087">
        <f t="shared" si="214"/>
        <v>1.4026066015780245E-2</v>
      </c>
      <c r="E1087" t="str">
        <f t="shared" si="208"/>
        <v>2014-05</v>
      </c>
      <c r="G1087">
        <v>4507.24</v>
      </c>
      <c r="H1087">
        <f t="shared" si="215"/>
        <v>1.3581216782597464E-2</v>
      </c>
      <c r="I1087" t="str">
        <f t="shared" si="209"/>
        <v>2014-05</v>
      </c>
      <c r="K1087">
        <v>9607.4</v>
      </c>
      <c r="L1087">
        <f t="shared" si="216"/>
        <v>9.0022407653052115E-3</v>
      </c>
      <c r="M1087" t="str">
        <f t="shared" si="210"/>
        <v>2014-05</v>
      </c>
      <c r="O1087">
        <v>8355.0263500000001</v>
      </c>
      <c r="P1087">
        <f t="shared" si="217"/>
        <v>8.6386268316589725E-3</v>
      </c>
      <c r="Q1087" t="str">
        <f t="shared" si="211"/>
        <v>2014-05</v>
      </c>
      <c r="S1087">
        <v>10591.2</v>
      </c>
      <c r="T1087">
        <f t="shared" si="218"/>
        <v>1.6891618001478387E-2</v>
      </c>
      <c r="U1087" t="str">
        <f t="shared" si="212"/>
        <v>2014-05</v>
      </c>
      <c r="W1087">
        <v>21729.64</v>
      </c>
      <c r="X1087">
        <f t="shared" si="219"/>
        <v>2.2756191481469727E-2</v>
      </c>
      <c r="Y1087">
        <f t="shared" si="220"/>
        <v>2.3017088858485992E-2</v>
      </c>
      <c r="Z1087" t="str">
        <f t="shared" si="213"/>
        <v>2014-05</v>
      </c>
    </row>
    <row r="1088" spans="1:26" x14ac:dyDescent="0.35">
      <c r="A1088" s="1">
        <v>41768</v>
      </c>
      <c r="C1088">
        <v>3184.09</v>
      </c>
      <c r="D1088">
        <f t="shared" si="214"/>
        <v>-6.3271238673127499E-3</v>
      </c>
      <c r="E1088" t="str">
        <f t="shared" si="208"/>
        <v>2014-05</v>
      </c>
      <c r="G1088">
        <v>4477.28</v>
      </c>
      <c r="H1088">
        <f t="shared" si="215"/>
        <v>-6.669273606086836E-3</v>
      </c>
      <c r="I1088" t="str">
        <f t="shared" si="209"/>
        <v>2014-05</v>
      </c>
      <c r="K1088">
        <v>9581.4500000000007</v>
      </c>
      <c r="L1088">
        <f t="shared" si="216"/>
        <v>-2.7046973445019602E-3</v>
      </c>
      <c r="M1088" t="str">
        <f t="shared" si="210"/>
        <v>2014-05</v>
      </c>
      <c r="O1088">
        <v>8344.6039199999996</v>
      </c>
      <c r="P1088">
        <f t="shared" si="217"/>
        <v>-1.2482230067039611E-3</v>
      </c>
      <c r="Q1088" t="str">
        <f t="shared" si="211"/>
        <v>2014-05</v>
      </c>
      <c r="S1088">
        <v>10487.2</v>
      </c>
      <c r="T1088">
        <f t="shared" si="218"/>
        <v>-9.8680017398476341E-3</v>
      </c>
      <c r="U1088" t="str">
        <f t="shared" si="212"/>
        <v>2014-05</v>
      </c>
      <c r="W1088">
        <v>21390.11</v>
      </c>
      <c r="X1088">
        <f t="shared" si="219"/>
        <v>-1.5748561501895728E-2</v>
      </c>
      <c r="Y1088">
        <f t="shared" si="220"/>
        <v>-1.5625201337896018E-2</v>
      </c>
      <c r="Z1088" t="str">
        <f t="shared" si="213"/>
        <v>2014-05</v>
      </c>
    </row>
    <row r="1089" spans="1:26" x14ac:dyDescent="0.35">
      <c r="A1089" s="1">
        <v>41771</v>
      </c>
      <c r="C1089">
        <v>3206.97</v>
      </c>
      <c r="D1089">
        <f t="shared" si="214"/>
        <v>7.160032216003814E-3</v>
      </c>
      <c r="E1089" t="str">
        <f t="shared" si="208"/>
        <v>2014-05</v>
      </c>
      <c r="G1089">
        <v>4493.6499999999996</v>
      </c>
      <c r="H1089">
        <f t="shared" si="215"/>
        <v>3.6495699263786761E-3</v>
      </c>
      <c r="I1089" t="str">
        <f t="shared" si="209"/>
        <v>2014-05</v>
      </c>
      <c r="K1089">
        <v>9702.4599999999991</v>
      </c>
      <c r="L1089">
        <f t="shared" si="216"/>
        <v>1.2550524080432038E-2</v>
      </c>
      <c r="M1089" t="str">
        <f t="shared" si="210"/>
        <v>2014-05</v>
      </c>
      <c r="O1089">
        <v>8401.6988299999994</v>
      </c>
      <c r="P1089">
        <f t="shared" si="217"/>
        <v>6.8188342320460735E-3</v>
      </c>
      <c r="Q1089" t="str">
        <f t="shared" si="211"/>
        <v>2014-05</v>
      </c>
      <c r="S1089">
        <v>10567</v>
      </c>
      <c r="T1089">
        <f t="shared" si="218"/>
        <v>7.5804715574312514E-3</v>
      </c>
      <c r="U1089" t="str">
        <f t="shared" si="212"/>
        <v>2014-05</v>
      </c>
      <c r="W1089">
        <v>21493.67</v>
      </c>
      <c r="X1089">
        <f t="shared" si="219"/>
        <v>4.8298075082130109E-3</v>
      </c>
      <c r="Y1089">
        <f t="shared" si="220"/>
        <v>4.8414898287104493E-3</v>
      </c>
      <c r="Z1089" t="str">
        <f t="shared" si="213"/>
        <v>2014-05</v>
      </c>
    </row>
    <row r="1090" spans="1:26" x14ac:dyDescent="0.35">
      <c r="A1090" s="1">
        <v>41772</v>
      </c>
      <c r="C1090">
        <v>3211.78</v>
      </c>
      <c r="D1090">
        <f t="shared" si="214"/>
        <v>1.4987344577539004E-3</v>
      </c>
      <c r="E1090" t="str">
        <f t="shared" si="208"/>
        <v>2014-05</v>
      </c>
      <c r="G1090">
        <v>4505.0200000000004</v>
      </c>
      <c r="H1090">
        <f t="shared" si="215"/>
        <v>2.52704145183166E-3</v>
      </c>
      <c r="I1090" t="str">
        <f t="shared" si="209"/>
        <v>2014-05</v>
      </c>
      <c r="K1090">
        <v>9754.43</v>
      </c>
      <c r="L1090">
        <f t="shared" si="216"/>
        <v>5.3420791907073332E-3</v>
      </c>
      <c r="M1090" t="str">
        <f t="shared" si="210"/>
        <v>2014-05</v>
      </c>
      <c r="O1090">
        <v>8445.8614500000003</v>
      </c>
      <c r="P1090">
        <f t="shared" si="217"/>
        <v>5.2426250943425848E-3</v>
      </c>
      <c r="Q1090" t="str">
        <f t="shared" si="211"/>
        <v>2014-05</v>
      </c>
      <c r="S1090">
        <v>10587.2</v>
      </c>
      <c r="T1090">
        <f t="shared" si="218"/>
        <v>1.9097868167644093E-3</v>
      </c>
      <c r="U1090" t="str">
        <f t="shared" si="212"/>
        <v>2014-05</v>
      </c>
      <c r="W1090">
        <v>21255.99</v>
      </c>
      <c r="X1090">
        <f t="shared" si="219"/>
        <v>-1.1119735177298678E-2</v>
      </c>
      <c r="Y1090">
        <f t="shared" si="220"/>
        <v>-1.1058139442914899E-2</v>
      </c>
      <c r="Z1090" t="str">
        <f t="shared" si="213"/>
        <v>2014-05</v>
      </c>
    </row>
    <row r="1091" spans="1:26" x14ac:dyDescent="0.35">
      <c r="A1091" s="1">
        <v>41773</v>
      </c>
      <c r="C1091">
        <v>3210.42</v>
      </c>
      <c r="D1091">
        <f t="shared" si="214"/>
        <v>-4.2353088360048036E-4</v>
      </c>
      <c r="E1091" t="str">
        <f t="shared" si="208"/>
        <v>2014-05</v>
      </c>
      <c r="G1091">
        <v>4501.04</v>
      </c>
      <c r="H1091">
        <f t="shared" si="215"/>
        <v>-8.838493767741114E-4</v>
      </c>
      <c r="I1091" t="str">
        <f t="shared" si="209"/>
        <v>2014-05</v>
      </c>
      <c r="K1091">
        <v>9754.39</v>
      </c>
      <c r="L1091">
        <f t="shared" si="216"/>
        <v>-4.1007093202875367E-6</v>
      </c>
      <c r="M1091" t="str">
        <f t="shared" si="210"/>
        <v>2014-05</v>
      </c>
      <c r="O1091">
        <v>8418.4729200000002</v>
      </c>
      <c r="P1091">
        <f t="shared" si="217"/>
        <v>-3.2481037767143456E-3</v>
      </c>
      <c r="Q1091" t="str">
        <f t="shared" si="211"/>
        <v>2014-05</v>
      </c>
      <c r="S1091">
        <v>10613.9</v>
      </c>
      <c r="T1091">
        <f t="shared" si="218"/>
        <v>2.5187385669134523E-3</v>
      </c>
      <c r="U1091" t="str">
        <f t="shared" si="212"/>
        <v>2014-05</v>
      </c>
      <c r="W1091">
        <v>21184.6</v>
      </c>
      <c r="X1091">
        <f t="shared" si="219"/>
        <v>-3.3642353856595027E-3</v>
      </c>
      <c r="Y1091">
        <f t="shared" si="220"/>
        <v>-3.3585826865746102E-3</v>
      </c>
      <c r="Z1091" t="str">
        <f t="shared" si="213"/>
        <v>2014-05</v>
      </c>
    </row>
    <row r="1092" spans="1:26" x14ac:dyDescent="0.35">
      <c r="A1092" s="1">
        <v>41774</v>
      </c>
      <c r="C1092">
        <v>3163.22</v>
      </c>
      <c r="D1092">
        <f t="shared" si="214"/>
        <v>-1.4811273579061271E-2</v>
      </c>
      <c r="E1092" t="str">
        <f t="shared" ref="E1092:E1155" si="221">_xlfn.CONCAT(YEAR(A1092),"-",TEXT(MONTH(A1092),"00"))</f>
        <v>2014-05</v>
      </c>
      <c r="G1092">
        <v>4444.93</v>
      </c>
      <c r="H1092">
        <f t="shared" si="215"/>
        <v>-1.2544360374955973E-2</v>
      </c>
      <c r="I1092" t="str">
        <f t="shared" ref="I1092:I1155" si="222">_xlfn.CONCAT(YEAR(A1092),"-",TEXT(MONTH(A1092),"00"))</f>
        <v>2014-05</v>
      </c>
      <c r="K1092">
        <v>9656.0499999999993</v>
      </c>
      <c r="L1092">
        <f t="shared" si="216"/>
        <v>-1.0132778175598404E-2</v>
      </c>
      <c r="M1092" t="str">
        <f t="shared" ref="M1092:M1155" si="223">_xlfn.CONCAT(YEAR(A1092),"-",TEXT(MONTH(A1092),"00"))</f>
        <v>2014-05</v>
      </c>
      <c r="O1092">
        <v>8378.0565000000006</v>
      </c>
      <c r="P1092">
        <f t="shared" si="217"/>
        <v>-4.8124820304221482E-3</v>
      </c>
      <c r="Q1092" t="str">
        <f t="shared" ref="Q1092:Q1155" si="224">_xlfn.CONCAT(YEAR(A1092),"-",TEXT(MONTH(A1092),"00"))</f>
        <v>2014-05</v>
      </c>
      <c r="S1092">
        <v>10365</v>
      </c>
      <c r="T1092">
        <f t="shared" si="218"/>
        <v>-2.3729716954828714E-2</v>
      </c>
      <c r="U1092" t="str">
        <f t="shared" ref="U1092:U1155" si="225">_xlfn.CONCAT(YEAR(A1092),"-",TEXT(MONTH(A1092),"00"))</f>
        <v>2014-05</v>
      </c>
      <c r="W1092">
        <v>20419.62</v>
      </c>
      <c r="X1092">
        <f t="shared" si="219"/>
        <v>-3.6778299259635633E-2</v>
      </c>
      <c r="Y1092">
        <f t="shared" si="220"/>
        <v>-3.6110193253589856E-2</v>
      </c>
      <c r="Z1092" t="str">
        <f t="shared" ref="Z1092:Z1155" si="226">_xlfn.CONCAT(YEAR(A1092),"-",TEXT(MONTH(A1092),"00"))</f>
        <v>2014-05</v>
      </c>
    </row>
    <row r="1093" spans="1:26" x14ac:dyDescent="0.35">
      <c r="A1093" s="1">
        <v>41775</v>
      </c>
      <c r="C1093">
        <v>3172.72</v>
      </c>
      <c r="D1093">
        <f t="shared" ref="D1093:D1156" si="227">LN(C1093/C1092)</f>
        <v>2.9987680183677068E-3</v>
      </c>
      <c r="E1093" t="str">
        <f t="shared" si="221"/>
        <v>2014-05</v>
      </c>
      <c r="G1093">
        <v>4456.28</v>
      </c>
      <c r="H1093">
        <f t="shared" ref="H1093:H1156" si="228">LN(G1093/G1092)</f>
        <v>2.5502164652500842E-3</v>
      </c>
      <c r="I1093" t="str">
        <f t="shared" si="222"/>
        <v>2014-05</v>
      </c>
      <c r="K1093">
        <v>9629.1</v>
      </c>
      <c r="L1093">
        <f t="shared" ref="L1093:L1156" si="229">LN(K1093/K1092)</f>
        <v>-2.794898410769651E-3</v>
      </c>
      <c r="M1093" t="str">
        <f t="shared" si="223"/>
        <v>2014-05</v>
      </c>
      <c r="O1093">
        <v>8420.9080599999998</v>
      </c>
      <c r="P1093">
        <f t="shared" ref="P1093:P1156" si="230">LN(O1093/O1092)</f>
        <v>5.1017016899650783E-3</v>
      </c>
      <c r="Q1093" t="str">
        <f t="shared" si="224"/>
        <v>2014-05</v>
      </c>
      <c r="S1093">
        <v>10478.700000000001</v>
      </c>
      <c r="T1093">
        <f t="shared" ref="T1093:T1156" si="231">LN(S1093/S1092)</f>
        <v>1.0909879509309864E-2</v>
      </c>
      <c r="U1093" t="str">
        <f t="shared" si="225"/>
        <v>2014-05</v>
      </c>
      <c r="W1093">
        <v>20648.59</v>
      </c>
      <c r="X1093">
        <f t="shared" ref="X1093:X1156" si="232">LN(W1093/W1092)</f>
        <v>1.1150832847420319E-2</v>
      </c>
      <c r="Y1093">
        <f t="shared" ref="Y1093:Y1156" si="233">(W1093-W1092)/W1092</f>
        <v>1.1213235114071719E-2</v>
      </c>
      <c r="Z1093" t="str">
        <f t="shared" si="226"/>
        <v>2014-05</v>
      </c>
    </row>
    <row r="1094" spans="1:26" x14ac:dyDescent="0.35">
      <c r="A1094" s="1">
        <v>41778</v>
      </c>
      <c r="C1094">
        <v>3169.9</v>
      </c>
      <c r="D1094">
        <f t="shared" si="227"/>
        <v>-8.8922249348631134E-4</v>
      </c>
      <c r="E1094" t="str">
        <f t="shared" si="221"/>
        <v>2014-05</v>
      </c>
      <c r="G1094">
        <v>4469.76</v>
      </c>
      <c r="H1094">
        <f t="shared" si="228"/>
        <v>3.0203786332610996E-3</v>
      </c>
      <c r="I1094" t="str">
        <f t="shared" si="222"/>
        <v>2014-05</v>
      </c>
      <c r="K1094">
        <v>9659.39</v>
      </c>
      <c r="L1094">
        <f t="shared" si="229"/>
        <v>3.1407357339981812E-3</v>
      </c>
      <c r="M1094" t="str">
        <f t="shared" si="223"/>
        <v>2014-05</v>
      </c>
      <c r="O1094">
        <v>8394.6833200000001</v>
      </c>
      <c r="P1094">
        <f t="shared" si="230"/>
        <v>-3.1191006808638606E-3</v>
      </c>
      <c r="Q1094" t="str">
        <f t="shared" si="224"/>
        <v>2014-05</v>
      </c>
      <c r="S1094">
        <v>10425.5</v>
      </c>
      <c r="T1094">
        <f t="shared" si="231"/>
        <v>-5.0898972316143149E-3</v>
      </c>
      <c r="U1094" t="str">
        <f t="shared" si="225"/>
        <v>2014-05</v>
      </c>
      <c r="W1094">
        <v>20318.46</v>
      </c>
      <c r="X1094">
        <f t="shared" si="232"/>
        <v>-1.6117203767430154E-2</v>
      </c>
      <c r="Y1094">
        <f t="shared" si="233"/>
        <v>-1.5988016615178131E-2</v>
      </c>
      <c r="Z1094" t="str">
        <f t="shared" si="226"/>
        <v>2014-05</v>
      </c>
    </row>
    <row r="1095" spans="1:26" x14ac:dyDescent="0.35">
      <c r="A1095" s="1">
        <v>41779</v>
      </c>
      <c r="C1095">
        <v>3163.93</v>
      </c>
      <c r="D1095">
        <f t="shared" si="227"/>
        <v>-1.8851158834219096E-3</v>
      </c>
      <c r="E1095" t="str">
        <f t="shared" si="221"/>
        <v>2014-05</v>
      </c>
      <c r="G1095">
        <v>4452.3500000000004</v>
      </c>
      <c r="H1095">
        <f t="shared" si="228"/>
        <v>-3.9026692334853978E-3</v>
      </c>
      <c r="I1095" t="str">
        <f t="shared" si="222"/>
        <v>2014-05</v>
      </c>
      <c r="K1095">
        <v>9639.08</v>
      </c>
      <c r="L1095">
        <f t="shared" si="229"/>
        <v>-2.1048308491091808E-3</v>
      </c>
      <c r="M1095" t="str">
        <f t="shared" si="223"/>
        <v>2014-05</v>
      </c>
      <c r="O1095">
        <v>8368.2140400000008</v>
      </c>
      <c r="P1095">
        <f t="shared" si="230"/>
        <v>-3.1580819748258412E-3</v>
      </c>
      <c r="Q1095" t="str">
        <f t="shared" si="224"/>
        <v>2014-05</v>
      </c>
      <c r="S1095">
        <v>10453.799999999999</v>
      </c>
      <c r="T1095">
        <f t="shared" si="231"/>
        <v>2.7108205093391963E-3</v>
      </c>
      <c r="U1095" t="str">
        <f t="shared" si="225"/>
        <v>2014-05</v>
      </c>
      <c r="W1095">
        <v>20379.849999999999</v>
      </c>
      <c r="X1095">
        <f t="shared" si="232"/>
        <v>3.0168351737798432E-3</v>
      </c>
      <c r="Y1095">
        <f t="shared" si="233"/>
        <v>3.0213904006504144E-3</v>
      </c>
      <c r="Z1095" t="str">
        <f t="shared" si="226"/>
        <v>2014-05</v>
      </c>
    </row>
    <row r="1096" spans="1:26" x14ac:dyDescent="0.35">
      <c r="A1096" s="1">
        <v>41780</v>
      </c>
      <c r="C1096">
        <v>3187.08</v>
      </c>
      <c r="D1096">
        <f t="shared" si="227"/>
        <v>7.2902113300654294E-3</v>
      </c>
      <c r="E1096" t="str">
        <f t="shared" si="221"/>
        <v>2014-05</v>
      </c>
      <c r="G1096">
        <v>4469.03</v>
      </c>
      <c r="H1096">
        <f t="shared" si="228"/>
        <v>3.7393361645523581E-3</v>
      </c>
      <c r="I1096" t="str">
        <f t="shared" si="222"/>
        <v>2014-05</v>
      </c>
      <c r="K1096">
        <v>9697.8700000000008</v>
      </c>
      <c r="L1096">
        <f t="shared" si="229"/>
        <v>6.0806053840456991E-3</v>
      </c>
      <c r="M1096" t="str">
        <f t="shared" si="223"/>
        <v>2014-05</v>
      </c>
      <c r="O1096">
        <v>8423.0832800000007</v>
      </c>
      <c r="P1096">
        <f t="shared" si="230"/>
        <v>6.5354611086032785E-3</v>
      </c>
      <c r="Q1096" t="str">
        <f t="shared" si="224"/>
        <v>2014-05</v>
      </c>
      <c r="S1096">
        <v>10531.4</v>
      </c>
      <c r="T1096">
        <f t="shared" si="231"/>
        <v>7.3957220998645693E-3</v>
      </c>
      <c r="U1096" t="str">
        <f t="shared" si="225"/>
        <v>2014-05</v>
      </c>
      <c r="W1096">
        <v>20597.509999999998</v>
      </c>
      <c r="X1096">
        <f t="shared" si="232"/>
        <v>1.0623527092826868E-2</v>
      </c>
      <c r="Y1096">
        <f t="shared" si="233"/>
        <v>1.0680157115974842E-2</v>
      </c>
      <c r="Z1096" t="str">
        <f t="shared" si="226"/>
        <v>2014-05</v>
      </c>
    </row>
    <row r="1097" spans="1:26" x14ac:dyDescent="0.35">
      <c r="A1097" s="1">
        <v>41781</v>
      </c>
      <c r="C1097">
        <v>3187.63</v>
      </c>
      <c r="D1097">
        <f t="shared" si="227"/>
        <v>1.7255686968183602E-4</v>
      </c>
      <c r="E1097" t="str">
        <f t="shared" si="221"/>
        <v>2014-05</v>
      </c>
      <c r="G1097">
        <v>4478.21</v>
      </c>
      <c r="H1097">
        <f t="shared" si="228"/>
        <v>2.0520301727199697E-3</v>
      </c>
      <c r="I1097" t="str">
        <f t="shared" si="222"/>
        <v>2014-05</v>
      </c>
      <c r="K1097">
        <v>9720.91</v>
      </c>
      <c r="L1097">
        <f t="shared" si="229"/>
        <v>2.3729617217371924E-3</v>
      </c>
      <c r="M1097" t="str">
        <f t="shared" si="223"/>
        <v>2014-05</v>
      </c>
      <c r="O1097">
        <v>8422.5171699999992</v>
      </c>
      <c r="P1097">
        <f t="shared" si="230"/>
        <v>-6.7211614319675347E-5</v>
      </c>
      <c r="Q1097" t="str">
        <f t="shared" si="224"/>
        <v>2014-05</v>
      </c>
      <c r="S1097">
        <v>10520.6</v>
      </c>
      <c r="T1097">
        <f t="shared" si="231"/>
        <v>-1.0260308709352326E-3</v>
      </c>
      <c r="U1097" t="str">
        <f t="shared" si="225"/>
        <v>2014-05</v>
      </c>
      <c r="W1097">
        <v>20372.68</v>
      </c>
      <c r="X1097">
        <f t="shared" si="232"/>
        <v>-1.0975407090165836E-2</v>
      </c>
      <c r="Y1097">
        <f t="shared" si="233"/>
        <v>-1.0915397055275037E-2</v>
      </c>
      <c r="Z1097" t="str">
        <f t="shared" si="226"/>
        <v>2014-05</v>
      </c>
    </row>
    <row r="1098" spans="1:26" x14ac:dyDescent="0.35">
      <c r="A1098" s="1">
        <v>41782</v>
      </c>
      <c r="C1098">
        <v>3203.28</v>
      </c>
      <c r="D1098">
        <f t="shared" si="227"/>
        <v>4.8975908852560944E-3</v>
      </c>
      <c r="E1098" t="str">
        <f t="shared" si="221"/>
        <v>2014-05</v>
      </c>
      <c r="G1098">
        <v>4493.1499999999996</v>
      </c>
      <c r="H1098">
        <f t="shared" si="228"/>
        <v>3.3306017840478951E-3</v>
      </c>
      <c r="I1098" t="str">
        <f t="shared" si="222"/>
        <v>2014-05</v>
      </c>
      <c r="K1098">
        <v>9768.01</v>
      </c>
      <c r="L1098">
        <f t="shared" si="229"/>
        <v>4.833525069588342E-3</v>
      </c>
      <c r="M1098" t="str">
        <f t="shared" si="223"/>
        <v>2014-05</v>
      </c>
      <c r="O1098">
        <v>8412.1598900000008</v>
      </c>
      <c r="P1098">
        <f t="shared" si="230"/>
        <v>-1.2304698533718436E-3</v>
      </c>
      <c r="Q1098" t="str">
        <f t="shared" si="224"/>
        <v>2014-05</v>
      </c>
      <c r="S1098">
        <v>10558.9</v>
      </c>
      <c r="T1098">
        <f t="shared" si="231"/>
        <v>3.6338662820178933E-3</v>
      </c>
      <c r="U1098" t="str">
        <f t="shared" si="225"/>
        <v>2014-05</v>
      </c>
      <c r="W1098">
        <v>20745.96</v>
      </c>
      <c r="X1098">
        <f t="shared" si="232"/>
        <v>1.8156741312118717E-2</v>
      </c>
      <c r="Y1098">
        <f t="shared" si="233"/>
        <v>1.8322577098349301E-2</v>
      </c>
      <c r="Z1098" t="str">
        <f t="shared" si="226"/>
        <v>2014-05</v>
      </c>
    </row>
    <row r="1099" spans="1:26" x14ac:dyDescent="0.35">
      <c r="A1099" s="1">
        <v>41786</v>
      </c>
      <c r="C1099">
        <v>3244.28</v>
      </c>
      <c r="D1099">
        <f t="shared" si="227"/>
        <v>1.271816087011653E-2</v>
      </c>
      <c r="E1099" t="str">
        <f t="shared" si="221"/>
        <v>2014-05</v>
      </c>
      <c r="G1099">
        <v>4529.75</v>
      </c>
      <c r="H1099">
        <f t="shared" si="228"/>
        <v>8.112735537363221E-3</v>
      </c>
      <c r="I1099" t="str">
        <f t="shared" si="222"/>
        <v>2014-05</v>
      </c>
      <c r="K1099">
        <v>9940.82</v>
      </c>
      <c r="L1099">
        <f t="shared" si="229"/>
        <v>1.7536751676875365E-2</v>
      </c>
      <c r="M1099" t="str">
        <f t="shared" si="223"/>
        <v>2014-05</v>
      </c>
      <c r="O1099">
        <v>8438.0374499999998</v>
      </c>
      <c r="P1099">
        <f t="shared" si="230"/>
        <v>3.0714869175698586E-3</v>
      </c>
      <c r="Q1099" t="str">
        <f t="shared" si="224"/>
        <v>2014-05</v>
      </c>
      <c r="S1099">
        <v>10714.2</v>
      </c>
      <c r="T1099">
        <f t="shared" si="231"/>
        <v>1.46008582632724E-2</v>
      </c>
      <c r="U1099" t="str">
        <f t="shared" si="225"/>
        <v>2014-05</v>
      </c>
      <c r="W1099">
        <v>21403.55</v>
      </c>
      <c r="X1099">
        <f t="shared" si="232"/>
        <v>3.1205267195149478E-2</v>
      </c>
      <c r="Y1099">
        <f t="shared" si="233"/>
        <v>3.1697255754855415E-2</v>
      </c>
      <c r="Z1099" t="str">
        <f t="shared" si="226"/>
        <v>2014-05</v>
      </c>
    </row>
    <row r="1100" spans="1:26" x14ac:dyDescent="0.35">
      <c r="A1100" s="1">
        <v>41787</v>
      </c>
      <c r="C1100">
        <v>3246.24</v>
      </c>
      <c r="D1100">
        <f t="shared" si="227"/>
        <v>6.0395779061714675E-4</v>
      </c>
      <c r="E1100" t="str">
        <f t="shared" si="221"/>
        <v>2014-05</v>
      </c>
      <c r="G1100">
        <v>4531.63</v>
      </c>
      <c r="H1100">
        <f t="shared" si="228"/>
        <v>4.1494783950687481E-4</v>
      </c>
      <c r="I1100" t="str">
        <f t="shared" si="222"/>
        <v>2014-05</v>
      </c>
      <c r="K1100">
        <v>9939.17</v>
      </c>
      <c r="L1100">
        <f t="shared" si="229"/>
        <v>-1.6599605973530482E-4</v>
      </c>
      <c r="M1100" t="str">
        <f t="shared" si="223"/>
        <v>2014-05</v>
      </c>
      <c r="O1100">
        <v>8421.87932</v>
      </c>
      <c r="P1100">
        <f t="shared" si="230"/>
        <v>-1.9167514487076461E-3</v>
      </c>
      <c r="Q1100" t="str">
        <f t="shared" si="224"/>
        <v>2014-05</v>
      </c>
      <c r="S1100">
        <v>10757.2</v>
      </c>
      <c r="T1100">
        <f t="shared" si="231"/>
        <v>4.0053333724218215E-3</v>
      </c>
      <c r="U1100" t="str">
        <f t="shared" si="225"/>
        <v>2014-05</v>
      </c>
      <c r="W1100">
        <v>21586.01</v>
      </c>
      <c r="X1100">
        <f t="shared" si="232"/>
        <v>8.4886235458682506E-3</v>
      </c>
      <c r="Y1100">
        <f t="shared" si="233"/>
        <v>8.5247540711703967E-3</v>
      </c>
      <c r="Z1100" t="str">
        <f t="shared" si="226"/>
        <v>2014-05</v>
      </c>
    </row>
    <row r="1101" spans="1:26" x14ac:dyDescent="0.35">
      <c r="A1101" s="1">
        <v>41788</v>
      </c>
      <c r="C1101">
        <v>3244.66</v>
      </c>
      <c r="D1101">
        <f t="shared" si="227"/>
        <v>-4.8683542535117038E-4</v>
      </c>
      <c r="E1101" t="str">
        <f t="shared" si="221"/>
        <v>2014-05</v>
      </c>
      <c r="G1101">
        <v>4530.51</v>
      </c>
      <c r="H1101">
        <f t="shared" si="228"/>
        <v>-2.4718223415278503E-4</v>
      </c>
      <c r="I1101" t="str">
        <f t="shared" si="222"/>
        <v>2014-05</v>
      </c>
      <c r="K1101">
        <v>9938.9</v>
      </c>
      <c r="L1101">
        <f t="shared" si="229"/>
        <v>-2.7165615174600203E-5</v>
      </c>
      <c r="M1101" t="str">
        <f t="shared" si="223"/>
        <v>2014-05</v>
      </c>
      <c r="O1101">
        <v>8440.5433900000007</v>
      </c>
      <c r="P1101">
        <f t="shared" si="230"/>
        <v>2.2136887377095424E-3</v>
      </c>
      <c r="Q1101" t="str">
        <f t="shared" si="224"/>
        <v>2014-05</v>
      </c>
      <c r="S1101">
        <v>10734.8</v>
      </c>
      <c r="T1101">
        <f t="shared" si="231"/>
        <v>-2.0844973116423767E-3</v>
      </c>
      <c r="U1101" t="str">
        <f t="shared" si="225"/>
        <v>2014-05</v>
      </c>
      <c r="W1101">
        <v>21511.35</v>
      </c>
      <c r="X1101">
        <f t="shared" si="232"/>
        <v>-3.4647168497794804E-3</v>
      </c>
      <c r="Y1101">
        <f t="shared" si="233"/>
        <v>-3.4587216442501351E-3</v>
      </c>
      <c r="Z1101" t="str">
        <f t="shared" si="226"/>
        <v>2014-05</v>
      </c>
    </row>
    <row r="1102" spans="1:26" x14ac:dyDescent="0.35">
      <c r="A1102" s="1">
        <v>41789</v>
      </c>
      <c r="C1102">
        <v>3244.6</v>
      </c>
      <c r="D1102">
        <f t="shared" si="227"/>
        <v>-1.8492093089706735E-5</v>
      </c>
      <c r="E1102" t="str">
        <f t="shared" si="221"/>
        <v>2014-05</v>
      </c>
      <c r="G1102">
        <v>4519.57</v>
      </c>
      <c r="H1102">
        <f t="shared" si="228"/>
        <v>-2.4176593640634968E-3</v>
      </c>
      <c r="I1102" t="str">
        <f t="shared" si="222"/>
        <v>2014-05</v>
      </c>
      <c r="K1102">
        <v>9943.27</v>
      </c>
      <c r="L1102">
        <f t="shared" si="229"/>
        <v>4.3958985064221454E-4</v>
      </c>
      <c r="M1102" t="str">
        <f t="shared" si="223"/>
        <v>2014-05</v>
      </c>
      <c r="O1102">
        <v>8414.0156999999999</v>
      </c>
      <c r="P1102">
        <f t="shared" si="230"/>
        <v>-3.1478381324993661E-3</v>
      </c>
      <c r="Q1102" t="str">
        <f t="shared" si="224"/>
        <v>2014-05</v>
      </c>
      <c r="S1102">
        <v>10798.7</v>
      </c>
      <c r="T1102">
        <f t="shared" si="231"/>
        <v>5.9349560049327572E-3</v>
      </c>
      <c r="U1102" t="str">
        <f t="shared" si="225"/>
        <v>2014-05</v>
      </c>
      <c r="W1102">
        <v>21629.71</v>
      </c>
      <c r="X1102">
        <f t="shared" si="232"/>
        <v>5.4871297539254129E-3</v>
      </c>
      <c r="Y1102">
        <f t="shared" si="233"/>
        <v>5.5022116231664021E-3</v>
      </c>
      <c r="Z1102" t="str">
        <f t="shared" si="226"/>
        <v>2014-05</v>
      </c>
    </row>
    <row r="1103" spans="1:26" x14ac:dyDescent="0.35">
      <c r="A1103" s="1">
        <v>41792</v>
      </c>
      <c r="C1103">
        <v>3247.8</v>
      </c>
      <c r="D1103">
        <f t="shared" si="227"/>
        <v>9.8576805468878598E-4</v>
      </c>
      <c r="E1103" t="str">
        <f t="shared" si="221"/>
        <v>2014-06</v>
      </c>
      <c r="G1103">
        <v>4515.8900000000003</v>
      </c>
      <c r="H1103">
        <f t="shared" si="228"/>
        <v>-8.1456842340718236E-4</v>
      </c>
      <c r="I1103" t="str">
        <f t="shared" si="222"/>
        <v>2014-06</v>
      </c>
      <c r="K1103">
        <v>9950.1200000000008</v>
      </c>
      <c r="L1103">
        <f t="shared" si="229"/>
        <v>6.8867098777321387E-4</v>
      </c>
      <c r="M1103" t="str">
        <f t="shared" si="223"/>
        <v>2014-06</v>
      </c>
      <c r="O1103">
        <v>8451.5020199999999</v>
      </c>
      <c r="P1103">
        <f t="shared" si="230"/>
        <v>4.4453283145822527E-3</v>
      </c>
      <c r="Q1103" t="str">
        <f t="shared" si="224"/>
        <v>2014-06</v>
      </c>
      <c r="S1103">
        <v>10827.4</v>
      </c>
      <c r="T1103">
        <f t="shared" si="231"/>
        <v>2.654201806962951E-3</v>
      </c>
      <c r="U1103" t="str">
        <f t="shared" si="225"/>
        <v>2014-06</v>
      </c>
      <c r="W1103">
        <v>21796.17</v>
      </c>
      <c r="X1103">
        <f t="shared" si="232"/>
        <v>7.6664337162721981E-3</v>
      </c>
      <c r="Y1103">
        <f t="shared" si="233"/>
        <v>7.6958960614820606E-3</v>
      </c>
      <c r="Z1103" t="str">
        <f t="shared" si="226"/>
        <v>2014-06</v>
      </c>
    </row>
    <row r="1104" spans="1:26" x14ac:dyDescent="0.35">
      <c r="A1104" s="1">
        <v>41793</v>
      </c>
      <c r="C1104">
        <v>3241.04</v>
      </c>
      <c r="D1104">
        <f t="shared" si="227"/>
        <v>-2.0835780958069123E-3</v>
      </c>
      <c r="E1104" t="str">
        <f t="shared" si="221"/>
        <v>2014-06</v>
      </c>
      <c r="G1104">
        <v>4503.6899999999996</v>
      </c>
      <c r="H1104">
        <f t="shared" si="228"/>
        <v>-2.7052273920129231E-3</v>
      </c>
      <c r="I1104" t="str">
        <f t="shared" si="222"/>
        <v>2014-06</v>
      </c>
      <c r="K1104">
        <v>9919.74</v>
      </c>
      <c r="L1104">
        <f t="shared" si="229"/>
        <v>-3.0579001234017169E-3</v>
      </c>
      <c r="M1104" t="str">
        <f t="shared" si="223"/>
        <v>2014-06</v>
      </c>
      <c r="O1104">
        <v>8402.3357099999994</v>
      </c>
      <c r="P1104">
        <f t="shared" si="230"/>
        <v>-5.8344515070552772E-3</v>
      </c>
      <c r="Q1104" t="str">
        <f t="shared" si="224"/>
        <v>2014-06</v>
      </c>
      <c r="S1104">
        <v>10776.7</v>
      </c>
      <c r="T1104">
        <f t="shared" si="231"/>
        <v>-4.6935621548419995E-3</v>
      </c>
      <c r="U1104" t="str">
        <f t="shared" si="225"/>
        <v>2014-06</v>
      </c>
      <c r="W1104">
        <v>21656.65</v>
      </c>
      <c r="X1104">
        <f t="shared" si="232"/>
        <v>-6.4216996486202776E-3</v>
      </c>
      <c r="Y1104">
        <f t="shared" si="233"/>
        <v>-6.4011246012486049E-3</v>
      </c>
      <c r="Z1104" t="str">
        <f t="shared" si="226"/>
        <v>2014-06</v>
      </c>
    </row>
    <row r="1105" spans="1:26" x14ac:dyDescent="0.35">
      <c r="A1105" s="1">
        <v>41794</v>
      </c>
      <c r="C1105">
        <v>3237.93</v>
      </c>
      <c r="D1105">
        <f t="shared" si="227"/>
        <v>-9.6002921416911836E-4</v>
      </c>
      <c r="E1105" t="str">
        <f t="shared" si="221"/>
        <v>2014-06</v>
      </c>
      <c r="G1105">
        <v>4501</v>
      </c>
      <c r="H1105">
        <f t="shared" si="228"/>
        <v>-5.9746644915476053E-4</v>
      </c>
      <c r="I1105" t="str">
        <f t="shared" si="222"/>
        <v>2014-06</v>
      </c>
      <c r="K1105">
        <v>9926.67</v>
      </c>
      <c r="L1105">
        <f t="shared" si="229"/>
        <v>6.9836310765063561E-4</v>
      </c>
      <c r="M1105" t="str">
        <f t="shared" si="223"/>
        <v>2014-06</v>
      </c>
      <c r="O1105">
        <v>8388.9993699999995</v>
      </c>
      <c r="P1105">
        <f t="shared" si="230"/>
        <v>-1.5884791460264208E-3</v>
      </c>
      <c r="Q1105" t="str">
        <f t="shared" si="224"/>
        <v>2014-06</v>
      </c>
      <c r="S1105">
        <v>10755.6</v>
      </c>
      <c r="T1105">
        <f t="shared" si="231"/>
        <v>-1.9598469976508013E-3</v>
      </c>
      <c r="U1105" t="str">
        <f t="shared" si="225"/>
        <v>2014-06</v>
      </c>
      <c r="W1105">
        <v>21622.77</v>
      </c>
      <c r="X1105">
        <f t="shared" si="232"/>
        <v>-1.5656405247871051E-3</v>
      </c>
      <c r="Y1105">
        <f t="shared" si="233"/>
        <v>-1.5644155490346391E-3</v>
      </c>
      <c r="Z1105" t="str">
        <f t="shared" si="226"/>
        <v>2014-06</v>
      </c>
    </row>
    <row r="1106" spans="1:26" x14ac:dyDescent="0.35">
      <c r="A1106" s="1">
        <v>41795</v>
      </c>
      <c r="C1106">
        <v>3267.05</v>
      </c>
      <c r="D1106">
        <f t="shared" si="227"/>
        <v>8.953200323704542E-3</v>
      </c>
      <c r="E1106" t="str">
        <f t="shared" si="221"/>
        <v>2014-06</v>
      </c>
      <c r="G1106">
        <v>4548.7299999999996</v>
      </c>
      <c r="H1106">
        <f t="shared" si="228"/>
        <v>1.0548478811459639E-2</v>
      </c>
      <c r="I1106" t="str">
        <f t="shared" si="222"/>
        <v>2014-06</v>
      </c>
      <c r="K1106">
        <v>9947.83</v>
      </c>
      <c r="L1106">
        <f t="shared" si="229"/>
        <v>2.129362549526025E-3</v>
      </c>
      <c r="M1106" t="str">
        <f t="shared" si="223"/>
        <v>2014-06</v>
      </c>
      <c r="O1106">
        <v>8394.3276000000005</v>
      </c>
      <c r="P1106">
        <f t="shared" si="230"/>
        <v>6.3494326107494704E-4</v>
      </c>
      <c r="Q1106" t="str">
        <f t="shared" si="224"/>
        <v>2014-06</v>
      </c>
      <c r="S1106">
        <v>10876.4</v>
      </c>
      <c r="T1106">
        <f t="shared" si="231"/>
        <v>1.1168755152032065E-2</v>
      </c>
      <c r="U1106" t="str">
        <f t="shared" si="225"/>
        <v>2014-06</v>
      </c>
      <c r="W1106">
        <v>21951.07</v>
      </c>
      <c r="X1106">
        <f t="shared" si="232"/>
        <v>1.5068959372412141E-2</v>
      </c>
      <c r="Y1106">
        <f t="shared" si="233"/>
        <v>1.5183068589269518E-2</v>
      </c>
      <c r="Z1106" t="str">
        <f t="shared" si="226"/>
        <v>2014-06</v>
      </c>
    </row>
    <row r="1107" spans="1:26" x14ac:dyDescent="0.35">
      <c r="A1107" s="1">
        <v>41796</v>
      </c>
      <c r="C1107">
        <v>3294.28</v>
      </c>
      <c r="D1107">
        <f t="shared" si="227"/>
        <v>8.3001941161393259E-3</v>
      </c>
      <c r="E1107" t="str">
        <f t="shared" si="221"/>
        <v>2014-06</v>
      </c>
      <c r="G1107">
        <v>4581.12</v>
      </c>
      <c r="H1107">
        <f t="shared" si="228"/>
        <v>7.0954365931592423E-3</v>
      </c>
      <c r="I1107" t="str">
        <f t="shared" si="222"/>
        <v>2014-06</v>
      </c>
      <c r="K1107">
        <v>9987.19</v>
      </c>
      <c r="L1107">
        <f t="shared" si="229"/>
        <v>3.9488348791224129E-3</v>
      </c>
      <c r="M1107" t="str">
        <f t="shared" si="223"/>
        <v>2014-06</v>
      </c>
      <c r="O1107">
        <v>8449.6928499999995</v>
      </c>
      <c r="P1107">
        <f t="shared" si="230"/>
        <v>6.5738995691249627E-3</v>
      </c>
      <c r="Q1107" t="str">
        <f t="shared" si="224"/>
        <v>2014-06</v>
      </c>
      <c r="S1107">
        <v>11064.3</v>
      </c>
      <c r="T1107">
        <f t="shared" si="231"/>
        <v>1.7128404641103746E-2</v>
      </c>
      <c r="U1107" t="str">
        <f t="shared" si="225"/>
        <v>2014-06</v>
      </c>
      <c r="W1107">
        <v>22290.080000000002</v>
      </c>
      <c r="X1107">
        <f t="shared" si="232"/>
        <v>1.5325850959028079E-2</v>
      </c>
      <c r="Y1107">
        <f t="shared" si="233"/>
        <v>1.5443894078967542E-2</v>
      </c>
      <c r="Z1107" t="str">
        <f t="shared" si="226"/>
        <v>2014-06</v>
      </c>
    </row>
    <row r="1108" spans="1:26" x14ac:dyDescent="0.35">
      <c r="A1108" s="1">
        <v>41799</v>
      </c>
      <c r="C1108">
        <v>3305.26</v>
      </c>
      <c r="D1108">
        <f t="shared" si="227"/>
        <v>3.327507714525499E-3</v>
      </c>
      <c r="E1108" t="str">
        <f t="shared" si="221"/>
        <v>2014-06</v>
      </c>
      <c r="G1108">
        <v>4589.12</v>
      </c>
      <c r="H1108">
        <f t="shared" si="228"/>
        <v>1.7447748432957654E-3</v>
      </c>
      <c r="I1108" t="str">
        <f t="shared" si="222"/>
        <v>2014-06</v>
      </c>
      <c r="K1108">
        <v>10008.629999999999</v>
      </c>
      <c r="L1108">
        <f t="shared" si="229"/>
        <v>2.1444490114707832E-3</v>
      </c>
      <c r="M1108" t="str">
        <f t="shared" si="223"/>
        <v>2014-06</v>
      </c>
      <c r="O1108">
        <v>8497.8562500000007</v>
      </c>
      <c r="P1108">
        <f t="shared" si="230"/>
        <v>5.6838342086544796E-3</v>
      </c>
      <c r="Q1108" t="str">
        <f t="shared" si="224"/>
        <v>2014-06</v>
      </c>
      <c r="S1108">
        <v>11164.1</v>
      </c>
      <c r="T1108">
        <f t="shared" si="231"/>
        <v>8.9795640345962466E-3</v>
      </c>
      <c r="U1108" t="str">
        <f t="shared" si="225"/>
        <v>2014-06</v>
      </c>
      <c r="W1108">
        <v>22472.12</v>
      </c>
      <c r="X1108">
        <f t="shared" si="232"/>
        <v>8.1336933216008857E-3</v>
      </c>
      <c r="Y1108">
        <f t="shared" si="233"/>
        <v>8.1668616712006967E-3</v>
      </c>
      <c r="Z1108" t="str">
        <f t="shared" si="226"/>
        <v>2014-06</v>
      </c>
    </row>
    <row r="1109" spans="1:26" x14ac:dyDescent="0.35">
      <c r="A1109" s="1">
        <v>41800</v>
      </c>
      <c r="C1109">
        <v>3313.8</v>
      </c>
      <c r="D1109">
        <f t="shared" si="227"/>
        <v>2.5804282598163178E-3</v>
      </c>
      <c r="E1109" t="str">
        <f t="shared" si="221"/>
        <v>2014-06</v>
      </c>
      <c r="G1109">
        <v>4595</v>
      </c>
      <c r="H1109">
        <f t="shared" si="228"/>
        <v>1.2804712489400427E-3</v>
      </c>
      <c r="I1109" t="str">
        <f t="shared" si="222"/>
        <v>2014-06</v>
      </c>
      <c r="K1109">
        <v>10028.799999999999</v>
      </c>
      <c r="L1109">
        <f t="shared" si="229"/>
        <v>2.0132329158576057E-3</v>
      </c>
      <c r="M1109" t="str">
        <f t="shared" si="223"/>
        <v>2014-06</v>
      </c>
      <c r="O1109">
        <v>8502.3773700000002</v>
      </c>
      <c r="P1109">
        <f t="shared" si="230"/>
        <v>5.3188917371913805E-4</v>
      </c>
      <c r="Q1109" t="str">
        <f t="shared" si="224"/>
        <v>2014-06</v>
      </c>
      <c r="S1109">
        <v>11153.5</v>
      </c>
      <c r="T1109">
        <f t="shared" si="231"/>
        <v>-9.4992300221162973E-4</v>
      </c>
      <c r="U1109" t="str">
        <f t="shared" si="225"/>
        <v>2014-06</v>
      </c>
      <c r="W1109">
        <v>22502.97</v>
      </c>
      <c r="X1109">
        <f t="shared" si="232"/>
        <v>1.3718707328161655E-3</v>
      </c>
      <c r="Y1109">
        <f t="shared" si="233"/>
        <v>1.3728121779343553E-3</v>
      </c>
      <c r="Z1109" t="str">
        <f t="shared" si="226"/>
        <v>2014-06</v>
      </c>
    </row>
    <row r="1110" spans="1:26" x14ac:dyDescent="0.35">
      <c r="A1110" s="1">
        <v>41801</v>
      </c>
      <c r="C1110">
        <v>3289.09</v>
      </c>
      <c r="D1110">
        <f t="shared" si="227"/>
        <v>-7.4846363801183147E-3</v>
      </c>
      <c r="E1110" t="str">
        <f t="shared" si="221"/>
        <v>2014-06</v>
      </c>
      <c r="G1110">
        <v>4555.1099999999997</v>
      </c>
      <c r="H1110">
        <f t="shared" si="228"/>
        <v>-8.7190761008197649E-3</v>
      </c>
      <c r="I1110" t="str">
        <f t="shared" si="222"/>
        <v>2014-06</v>
      </c>
      <c r="K1110">
        <v>9949.81</v>
      </c>
      <c r="L1110">
        <f t="shared" si="229"/>
        <v>-7.9074982287164336E-3</v>
      </c>
      <c r="M1110" t="str">
        <f t="shared" si="223"/>
        <v>2014-06</v>
      </c>
      <c r="O1110">
        <v>8488.9696899999999</v>
      </c>
      <c r="P1110">
        <f t="shared" si="230"/>
        <v>-1.578177731932499E-3</v>
      </c>
      <c r="Q1110" t="str">
        <f t="shared" si="224"/>
        <v>2014-06</v>
      </c>
      <c r="S1110">
        <v>11074.9</v>
      </c>
      <c r="T1110">
        <f t="shared" si="231"/>
        <v>-7.0720634496375112E-3</v>
      </c>
      <c r="U1110" t="str">
        <f t="shared" si="225"/>
        <v>2014-06</v>
      </c>
      <c r="W1110">
        <v>22223.77</v>
      </c>
      <c r="X1110">
        <f t="shared" si="232"/>
        <v>-1.2484863712772435E-2</v>
      </c>
      <c r="Y1110">
        <f t="shared" si="233"/>
        <v>-1.2407251131739532E-2</v>
      </c>
      <c r="Z1110" t="str">
        <f t="shared" si="226"/>
        <v>2014-06</v>
      </c>
    </row>
    <row r="1111" spans="1:26" x14ac:dyDescent="0.35">
      <c r="A1111" s="1">
        <v>41802</v>
      </c>
      <c r="C1111">
        <v>3284.28</v>
      </c>
      <c r="D1111">
        <f t="shared" si="227"/>
        <v>-1.4634809415856025E-3</v>
      </c>
      <c r="E1111" t="str">
        <f t="shared" si="221"/>
        <v>2014-06</v>
      </c>
      <c r="G1111">
        <v>4554.3999999999996</v>
      </c>
      <c r="H1111">
        <f t="shared" si="228"/>
        <v>-1.5588105209561601E-4</v>
      </c>
      <c r="I1111" t="str">
        <f t="shared" si="222"/>
        <v>2014-06</v>
      </c>
      <c r="K1111">
        <v>9938.7000000000007</v>
      </c>
      <c r="L1111">
        <f t="shared" si="229"/>
        <v>-1.1172281036259451E-3</v>
      </c>
      <c r="M1111" t="str">
        <f t="shared" si="223"/>
        <v>2014-06</v>
      </c>
      <c r="O1111">
        <v>8492.8920400000006</v>
      </c>
      <c r="P1111">
        <f t="shared" si="230"/>
        <v>4.6194582574206436E-4</v>
      </c>
      <c r="Q1111" t="str">
        <f t="shared" si="224"/>
        <v>2014-06</v>
      </c>
      <c r="S1111">
        <v>11088.5</v>
      </c>
      <c r="T1111">
        <f t="shared" si="231"/>
        <v>1.2272486808846067E-3</v>
      </c>
      <c r="U1111" t="str">
        <f t="shared" si="225"/>
        <v>2014-06</v>
      </c>
      <c r="W1111">
        <v>22163.49</v>
      </c>
      <c r="X1111">
        <f t="shared" si="232"/>
        <v>-2.7160963329579241E-3</v>
      </c>
      <c r="Y1111">
        <f t="shared" si="233"/>
        <v>-2.7124110805681859E-3</v>
      </c>
      <c r="Z1111" t="str">
        <f t="shared" si="226"/>
        <v>2014-06</v>
      </c>
    </row>
    <row r="1112" spans="1:26" x14ac:dyDescent="0.35">
      <c r="A1112" s="1">
        <v>41803</v>
      </c>
      <c r="C1112">
        <v>3282.84</v>
      </c>
      <c r="D1112">
        <f t="shared" si="227"/>
        <v>-4.3854841180881158E-4</v>
      </c>
      <c r="E1112" t="str">
        <f t="shared" si="221"/>
        <v>2014-06</v>
      </c>
      <c r="G1112">
        <v>4543.28</v>
      </c>
      <c r="H1112">
        <f t="shared" si="228"/>
        <v>-2.4445804947492533E-3</v>
      </c>
      <c r="I1112" t="str">
        <f t="shared" si="222"/>
        <v>2014-06</v>
      </c>
      <c r="K1112">
        <v>9912.8700000000008</v>
      </c>
      <c r="L1112">
        <f t="shared" si="229"/>
        <v>-2.6023145350031565E-3</v>
      </c>
      <c r="M1112" t="str">
        <f t="shared" si="223"/>
        <v>2014-06</v>
      </c>
      <c r="O1112">
        <v>8496.4815400000007</v>
      </c>
      <c r="P1112">
        <f t="shared" si="230"/>
        <v>4.2255825813811946E-4</v>
      </c>
      <c r="Q1112" t="str">
        <f t="shared" si="224"/>
        <v>2014-06</v>
      </c>
      <c r="S1112">
        <v>11113.7</v>
      </c>
      <c r="T1112">
        <f t="shared" si="231"/>
        <v>2.2700462856411214E-3</v>
      </c>
      <c r="U1112" t="str">
        <f t="shared" si="225"/>
        <v>2014-06</v>
      </c>
      <c r="W1112">
        <v>22165.97</v>
      </c>
      <c r="X1112">
        <f t="shared" si="232"/>
        <v>1.1188947497150574E-4</v>
      </c>
      <c r="Y1112">
        <f t="shared" si="233"/>
        <v>1.1189573483235553E-4</v>
      </c>
      <c r="Z1112" t="str">
        <f t="shared" si="226"/>
        <v>2014-06</v>
      </c>
    </row>
    <row r="1113" spans="1:26" x14ac:dyDescent="0.35">
      <c r="A1113" s="1">
        <v>41806</v>
      </c>
      <c r="C1113">
        <v>3261.42</v>
      </c>
      <c r="D1113">
        <f t="shared" si="227"/>
        <v>-6.5462180575033254E-3</v>
      </c>
      <c r="E1113" t="str">
        <f t="shared" si="221"/>
        <v>2014-06</v>
      </c>
      <c r="G1113">
        <v>4510.05</v>
      </c>
      <c r="H1113">
        <f t="shared" si="228"/>
        <v>-7.3409782323521347E-3</v>
      </c>
      <c r="I1113" t="str">
        <f t="shared" si="222"/>
        <v>2014-06</v>
      </c>
      <c r="K1113">
        <v>9883.98</v>
      </c>
      <c r="L1113">
        <f t="shared" si="229"/>
        <v>-2.9186482201264724E-3</v>
      </c>
      <c r="M1113" t="str">
        <f t="shared" si="223"/>
        <v>2014-06</v>
      </c>
      <c r="O1113">
        <v>8454.9974199999997</v>
      </c>
      <c r="P1113">
        <f t="shared" si="230"/>
        <v>-4.8944641247203793E-3</v>
      </c>
      <c r="Q1113" t="str">
        <f t="shared" si="224"/>
        <v>2014-06</v>
      </c>
      <c r="S1113">
        <v>11008.2</v>
      </c>
      <c r="T1113">
        <f t="shared" si="231"/>
        <v>-9.538131880995733E-3</v>
      </c>
      <c r="U1113" t="str">
        <f t="shared" si="225"/>
        <v>2014-06</v>
      </c>
      <c r="W1113">
        <v>21976.26</v>
      </c>
      <c r="X1113">
        <f t="shared" si="232"/>
        <v>-8.5954501169362898E-3</v>
      </c>
      <c r="Y1113">
        <f t="shared" si="233"/>
        <v>-8.558614849699912E-3</v>
      </c>
      <c r="Z1113" t="str">
        <f t="shared" si="226"/>
        <v>2014-06</v>
      </c>
    </row>
    <row r="1114" spans="1:26" x14ac:dyDescent="0.35">
      <c r="A1114" s="1">
        <v>41807</v>
      </c>
      <c r="C1114">
        <v>3275.33</v>
      </c>
      <c r="D1114">
        <f t="shared" si="227"/>
        <v>4.2559440076638758E-3</v>
      </c>
      <c r="E1114" t="str">
        <f t="shared" si="221"/>
        <v>2014-06</v>
      </c>
      <c r="G1114">
        <v>4536.07</v>
      </c>
      <c r="H1114">
        <f t="shared" si="228"/>
        <v>5.7527584775091522E-3</v>
      </c>
      <c r="I1114" t="str">
        <f t="shared" si="222"/>
        <v>2014-06</v>
      </c>
      <c r="K1114">
        <v>9920.32</v>
      </c>
      <c r="L1114">
        <f t="shared" si="229"/>
        <v>3.6699141889794808E-3</v>
      </c>
      <c r="M1114" t="str">
        <f t="shared" si="223"/>
        <v>2014-06</v>
      </c>
      <c r="O1114">
        <v>8475.3232200000002</v>
      </c>
      <c r="P1114">
        <f t="shared" si="230"/>
        <v>2.4011133867619591E-3</v>
      </c>
      <c r="Q1114" t="str">
        <f t="shared" si="224"/>
        <v>2014-06</v>
      </c>
      <c r="S1114">
        <v>11058.5</v>
      </c>
      <c r="T1114">
        <f t="shared" si="231"/>
        <v>4.5589133960469404E-3</v>
      </c>
      <c r="U1114" t="str">
        <f t="shared" si="225"/>
        <v>2014-06</v>
      </c>
      <c r="W1114">
        <v>21996.400000000001</v>
      </c>
      <c r="X1114">
        <f t="shared" si="232"/>
        <v>9.1602379334298361E-4</v>
      </c>
      <c r="Y1114">
        <f t="shared" si="233"/>
        <v>9.1644347127323113E-4</v>
      </c>
      <c r="Z1114" t="str">
        <f t="shared" si="226"/>
        <v>2014-06</v>
      </c>
    </row>
    <row r="1115" spans="1:26" x14ac:dyDescent="0.35">
      <c r="A1115" s="1">
        <v>41808</v>
      </c>
      <c r="C1115">
        <v>3279.2</v>
      </c>
      <c r="D1115">
        <f t="shared" si="227"/>
        <v>1.1808628382831662E-3</v>
      </c>
      <c r="E1115" t="str">
        <f t="shared" si="221"/>
        <v>2014-06</v>
      </c>
      <c r="G1115">
        <v>4530.37</v>
      </c>
      <c r="H1115">
        <f t="shared" si="228"/>
        <v>-1.2573845414478656E-3</v>
      </c>
      <c r="I1115" t="str">
        <f t="shared" si="222"/>
        <v>2014-06</v>
      </c>
      <c r="K1115">
        <v>9930.33</v>
      </c>
      <c r="L1115">
        <f t="shared" si="229"/>
        <v>1.0085312922711329E-3</v>
      </c>
      <c r="M1115" t="str">
        <f t="shared" si="223"/>
        <v>2014-06</v>
      </c>
      <c r="O1115">
        <v>8463.3380099999995</v>
      </c>
      <c r="P1115">
        <f t="shared" si="230"/>
        <v>-1.4151309642938209E-3</v>
      </c>
      <c r="Q1115" t="str">
        <f t="shared" si="224"/>
        <v>2014-06</v>
      </c>
      <c r="S1115">
        <v>11112.3</v>
      </c>
      <c r="T1115">
        <f t="shared" si="231"/>
        <v>4.8532399011412732E-3</v>
      </c>
      <c r="U1115" t="str">
        <f t="shared" si="225"/>
        <v>2014-06</v>
      </c>
      <c r="W1115">
        <v>22030.34</v>
      </c>
      <c r="X1115">
        <f t="shared" si="232"/>
        <v>1.5417905901404997E-3</v>
      </c>
      <c r="Y1115">
        <f t="shared" si="233"/>
        <v>1.5429797603243572E-3</v>
      </c>
      <c r="Z1115" t="str">
        <f t="shared" si="226"/>
        <v>2014-06</v>
      </c>
    </row>
    <row r="1116" spans="1:26" x14ac:dyDescent="0.35">
      <c r="A1116" s="1">
        <v>41809</v>
      </c>
      <c r="C1116">
        <v>3314.8</v>
      </c>
      <c r="D1116">
        <f t="shared" si="227"/>
        <v>1.0797799784759813E-2</v>
      </c>
      <c r="E1116" t="str">
        <f t="shared" si="221"/>
        <v>2014-06</v>
      </c>
      <c r="G1116">
        <v>4563.04</v>
      </c>
      <c r="H1116">
        <f t="shared" si="228"/>
        <v>7.1854542057603228E-3</v>
      </c>
      <c r="I1116" t="str">
        <f t="shared" si="222"/>
        <v>2014-06</v>
      </c>
      <c r="K1116">
        <v>10004</v>
      </c>
      <c r="L1116">
        <f t="shared" si="229"/>
        <v>7.3913028820842726E-3</v>
      </c>
      <c r="M1116" t="str">
        <f t="shared" si="223"/>
        <v>2014-06</v>
      </c>
      <c r="O1116">
        <v>8520.5088599999999</v>
      </c>
      <c r="P1116">
        <f t="shared" si="230"/>
        <v>6.7324047817688241E-3</v>
      </c>
      <c r="Q1116" t="str">
        <f t="shared" si="224"/>
        <v>2014-06</v>
      </c>
      <c r="S1116">
        <v>11187.8</v>
      </c>
      <c r="T1116">
        <f t="shared" si="231"/>
        <v>6.7712959561186913E-3</v>
      </c>
      <c r="U1116" t="str">
        <f t="shared" si="225"/>
        <v>2014-06</v>
      </c>
      <c r="W1116">
        <v>22216.63</v>
      </c>
      <c r="X1116">
        <f t="shared" si="232"/>
        <v>8.4205133477133244E-3</v>
      </c>
      <c r="Y1116">
        <f t="shared" si="233"/>
        <v>8.456065589546093E-3</v>
      </c>
      <c r="Z1116" t="str">
        <f t="shared" si="226"/>
        <v>2014-06</v>
      </c>
    </row>
    <row r="1117" spans="1:26" x14ac:dyDescent="0.35">
      <c r="A1117" s="1">
        <v>41810</v>
      </c>
      <c r="C1117">
        <v>3302.36</v>
      </c>
      <c r="D1117">
        <f t="shared" si="227"/>
        <v>-3.7599256041550132E-3</v>
      </c>
      <c r="E1117" t="str">
        <f t="shared" si="221"/>
        <v>2014-06</v>
      </c>
      <c r="G1117">
        <v>4541.34</v>
      </c>
      <c r="H1117">
        <f t="shared" si="228"/>
        <v>-4.7669453806039874E-3</v>
      </c>
      <c r="I1117" t="str">
        <f t="shared" si="222"/>
        <v>2014-06</v>
      </c>
      <c r="K1117">
        <v>9987.24</v>
      </c>
      <c r="L1117">
        <f t="shared" si="229"/>
        <v>-1.6767348025079536E-3</v>
      </c>
      <c r="M1117" t="str">
        <f t="shared" si="223"/>
        <v>2014-06</v>
      </c>
      <c r="O1117">
        <v>8546.5733199999995</v>
      </c>
      <c r="P1117">
        <f t="shared" si="230"/>
        <v>3.0543569179850615E-3</v>
      </c>
      <c r="Q1117" t="str">
        <f t="shared" si="224"/>
        <v>2014-06</v>
      </c>
      <c r="S1117">
        <v>11155.1</v>
      </c>
      <c r="T1117">
        <f t="shared" si="231"/>
        <v>-2.9271064497146562E-3</v>
      </c>
      <c r="U1117" t="str">
        <f t="shared" si="225"/>
        <v>2014-06</v>
      </c>
      <c r="W1117">
        <v>21988.080000000002</v>
      </c>
      <c r="X1117">
        <f t="shared" si="232"/>
        <v>-1.0340619202657754E-2</v>
      </c>
      <c r="Y1117">
        <f t="shared" si="233"/>
        <v>-1.0287338808811204E-2</v>
      </c>
      <c r="Z1117" t="str">
        <f t="shared" si="226"/>
        <v>2014-06</v>
      </c>
    </row>
    <row r="1118" spans="1:26" x14ac:dyDescent="0.35">
      <c r="A1118" s="1">
        <v>41813</v>
      </c>
      <c r="C1118">
        <v>3282.58</v>
      </c>
      <c r="D1118">
        <f t="shared" si="227"/>
        <v>-6.0076658228294865E-3</v>
      </c>
      <c r="E1118" t="str">
        <f t="shared" si="221"/>
        <v>2014-06</v>
      </c>
      <c r="G1118">
        <v>4515.57</v>
      </c>
      <c r="H1118">
        <f t="shared" si="228"/>
        <v>-5.6906979410627865E-3</v>
      </c>
      <c r="I1118" t="str">
        <f t="shared" si="222"/>
        <v>2014-06</v>
      </c>
      <c r="K1118">
        <v>9920.92</v>
      </c>
      <c r="L1118">
        <f t="shared" si="229"/>
        <v>-6.6626192808668964E-3</v>
      </c>
      <c r="M1118" t="str">
        <f t="shared" si="223"/>
        <v>2014-06</v>
      </c>
      <c r="O1118">
        <v>8512.2043300000005</v>
      </c>
      <c r="P1118">
        <f t="shared" si="230"/>
        <v>-4.0294840824489225E-3</v>
      </c>
      <c r="Q1118" t="str">
        <f t="shared" si="224"/>
        <v>2014-06</v>
      </c>
      <c r="S1118">
        <v>11118.3</v>
      </c>
      <c r="T1118">
        <f t="shared" si="231"/>
        <v>-3.3043929965760523E-3</v>
      </c>
      <c r="U1118" t="str">
        <f t="shared" si="225"/>
        <v>2014-06</v>
      </c>
      <c r="W1118">
        <v>21694.75</v>
      </c>
      <c r="X1118">
        <f t="shared" si="232"/>
        <v>-1.3430192548552633E-2</v>
      </c>
      <c r="Y1118">
        <f t="shared" si="233"/>
        <v>-1.3340409894815814E-2</v>
      </c>
      <c r="Z1118" t="str">
        <f t="shared" si="226"/>
        <v>2014-06</v>
      </c>
    </row>
    <row r="1119" spans="1:26" x14ac:dyDescent="0.35">
      <c r="A1119" s="1">
        <v>41814</v>
      </c>
      <c r="C1119">
        <v>3284.81</v>
      </c>
      <c r="D1119">
        <f t="shared" si="227"/>
        <v>6.7911303750960595E-4</v>
      </c>
      <c r="E1119" t="str">
        <f t="shared" si="221"/>
        <v>2014-06</v>
      </c>
      <c r="G1119">
        <v>4518.34</v>
      </c>
      <c r="H1119">
        <f t="shared" si="228"/>
        <v>6.1324500394837147E-4</v>
      </c>
      <c r="I1119" t="str">
        <f t="shared" si="222"/>
        <v>2014-06</v>
      </c>
      <c r="K1119">
        <v>9938.08</v>
      </c>
      <c r="L1119">
        <f t="shared" si="229"/>
        <v>1.7281841251690236E-3</v>
      </c>
      <c r="M1119" t="str">
        <f t="shared" si="223"/>
        <v>2014-06</v>
      </c>
      <c r="O1119">
        <v>8478.4675900000002</v>
      </c>
      <c r="P1119">
        <f t="shared" si="230"/>
        <v>-3.9712124977779508E-3</v>
      </c>
      <c r="Q1119" t="str">
        <f t="shared" si="224"/>
        <v>2014-06</v>
      </c>
      <c r="S1119">
        <v>11105.9</v>
      </c>
      <c r="T1119">
        <f t="shared" si="231"/>
        <v>-1.1159008006355602E-3</v>
      </c>
      <c r="U1119" t="str">
        <f t="shared" si="225"/>
        <v>2014-06</v>
      </c>
      <c r="W1119">
        <v>21641.24</v>
      </c>
      <c r="X1119">
        <f t="shared" si="232"/>
        <v>-2.4695421609078473E-3</v>
      </c>
      <c r="Y1119">
        <f t="shared" si="233"/>
        <v>-2.4664953502574771E-3</v>
      </c>
      <c r="Z1119" t="str">
        <f t="shared" si="226"/>
        <v>2014-06</v>
      </c>
    </row>
    <row r="1120" spans="1:26" x14ac:dyDescent="0.35">
      <c r="A1120" s="1">
        <v>41815</v>
      </c>
      <c r="C1120">
        <v>3252.31</v>
      </c>
      <c r="D1120">
        <f t="shared" si="227"/>
        <v>-9.9432985076819049E-3</v>
      </c>
      <c r="E1120" t="str">
        <f t="shared" si="221"/>
        <v>2014-06</v>
      </c>
      <c r="G1120">
        <v>4460.6000000000004</v>
      </c>
      <c r="H1120">
        <f t="shared" si="228"/>
        <v>-1.286138362001632E-2</v>
      </c>
      <c r="I1120" t="str">
        <f t="shared" si="222"/>
        <v>2014-06</v>
      </c>
      <c r="K1120">
        <v>9867.75</v>
      </c>
      <c r="L1120">
        <f t="shared" si="229"/>
        <v>-7.1019791252467414E-3</v>
      </c>
      <c r="M1120" t="str">
        <f t="shared" si="223"/>
        <v>2014-06</v>
      </c>
      <c r="O1120">
        <v>8383.69758</v>
      </c>
      <c r="P1120">
        <f t="shared" si="230"/>
        <v>-1.1240668907284698E-2</v>
      </c>
      <c r="Q1120" t="str">
        <f t="shared" si="224"/>
        <v>2014-06</v>
      </c>
      <c r="S1120">
        <v>10966.7</v>
      </c>
      <c r="T1120">
        <f t="shared" si="231"/>
        <v>-1.2613090024697567E-2</v>
      </c>
      <c r="U1120" t="str">
        <f t="shared" si="225"/>
        <v>2014-06</v>
      </c>
      <c r="W1120">
        <v>21469.1</v>
      </c>
      <c r="X1120">
        <f t="shared" si="232"/>
        <v>-7.9860615751427642E-3</v>
      </c>
      <c r="Y1120">
        <f t="shared" si="233"/>
        <v>-7.9542577042721694E-3</v>
      </c>
      <c r="Z1120" t="str">
        <f t="shared" si="226"/>
        <v>2014-06</v>
      </c>
    </row>
    <row r="1121" spans="1:26" x14ac:dyDescent="0.35">
      <c r="A1121" s="1">
        <v>41816</v>
      </c>
      <c r="C1121">
        <v>3233.19</v>
      </c>
      <c r="D1121">
        <f t="shared" si="227"/>
        <v>-5.8962471338724395E-3</v>
      </c>
      <c r="E1121" t="str">
        <f t="shared" si="221"/>
        <v>2014-06</v>
      </c>
      <c r="G1121">
        <v>4439.63</v>
      </c>
      <c r="H1121">
        <f t="shared" si="228"/>
        <v>-4.7122464933355241E-3</v>
      </c>
      <c r="I1121" t="str">
        <f t="shared" si="222"/>
        <v>2014-06</v>
      </c>
      <c r="K1121">
        <v>9804.9</v>
      </c>
      <c r="L1121">
        <f t="shared" si="229"/>
        <v>-6.3896032137430369E-3</v>
      </c>
      <c r="M1121" t="str">
        <f t="shared" si="223"/>
        <v>2014-06</v>
      </c>
      <c r="O1121">
        <v>8421.3739600000008</v>
      </c>
      <c r="P1121">
        <f t="shared" si="230"/>
        <v>4.4839372490754204E-3</v>
      </c>
      <c r="Q1121" t="str">
        <f t="shared" si="224"/>
        <v>2014-06</v>
      </c>
      <c r="S1121">
        <v>10989</v>
      </c>
      <c r="T1121">
        <f t="shared" si="231"/>
        <v>2.0313638525119551E-3</v>
      </c>
      <c r="U1121" t="str">
        <f t="shared" si="225"/>
        <v>2014-06</v>
      </c>
      <c r="W1121">
        <v>21384.54</v>
      </c>
      <c r="X1121">
        <f t="shared" si="232"/>
        <v>-3.9464610123510031E-3</v>
      </c>
      <c r="Y1121">
        <f t="shared" si="233"/>
        <v>-3.9386839690530896E-3</v>
      </c>
      <c r="Z1121" t="str">
        <f t="shared" si="226"/>
        <v>2014-06</v>
      </c>
    </row>
    <row r="1122" spans="1:26" x14ac:dyDescent="0.35">
      <c r="A1122" s="1">
        <v>41817</v>
      </c>
      <c r="C1122">
        <v>3227.85</v>
      </c>
      <c r="D1122">
        <f t="shared" si="227"/>
        <v>-1.6529850351955449E-3</v>
      </c>
      <c r="E1122" t="str">
        <f t="shared" si="221"/>
        <v>2014-06</v>
      </c>
      <c r="G1122">
        <v>4436.99</v>
      </c>
      <c r="H1122">
        <f t="shared" si="228"/>
        <v>-5.9482101922556888E-4</v>
      </c>
      <c r="I1122" t="str">
        <f t="shared" si="222"/>
        <v>2014-06</v>
      </c>
      <c r="K1122">
        <v>9815.17</v>
      </c>
      <c r="L1122">
        <f t="shared" si="229"/>
        <v>1.046887288166618E-3</v>
      </c>
      <c r="M1122" t="str">
        <f t="shared" si="223"/>
        <v>2014-06</v>
      </c>
      <c r="O1122">
        <v>8431.7312099999999</v>
      </c>
      <c r="P1122">
        <f t="shared" si="230"/>
        <v>1.2291208295975946E-3</v>
      </c>
      <c r="Q1122" t="str">
        <f t="shared" si="224"/>
        <v>2014-06</v>
      </c>
      <c r="S1122">
        <v>10959.9</v>
      </c>
      <c r="T1122">
        <f t="shared" si="231"/>
        <v>-2.6516150741335365E-3</v>
      </c>
      <c r="U1122" t="str">
        <f t="shared" si="225"/>
        <v>2014-06</v>
      </c>
      <c r="W1122">
        <v>21319.759999999998</v>
      </c>
      <c r="X1122">
        <f t="shared" si="232"/>
        <v>-3.0338888443952211E-3</v>
      </c>
      <c r="Y1122">
        <f t="shared" si="233"/>
        <v>-3.0292912543361918E-3</v>
      </c>
      <c r="Z1122" t="str">
        <f t="shared" si="226"/>
        <v>2014-06</v>
      </c>
    </row>
    <row r="1123" spans="1:26" x14ac:dyDescent="0.35">
      <c r="A1123" s="1">
        <v>41820</v>
      </c>
      <c r="C1123">
        <v>3228.24</v>
      </c>
      <c r="D1123">
        <f t="shared" si="227"/>
        <v>1.2081615977303563E-4</v>
      </c>
      <c r="E1123" t="str">
        <f t="shared" si="221"/>
        <v>2014-06</v>
      </c>
      <c r="G1123">
        <v>4422.84</v>
      </c>
      <c r="H1123">
        <f t="shared" si="228"/>
        <v>-3.194194929450125E-3</v>
      </c>
      <c r="I1123" t="str">
        <f t="shared" si="222"/>
        <v>2014-06</v>
      </c>
      <c r="K1123">
        <v>9833.07</v>
      </c>
      <c r="L1123">
        <f t="shared" si="229"/>
        <v>1.8220466517219012E-3</v>
      </c>
      <c r="M1123" t="str">
        <f t="shared" si="223"/>
        <v>2014-06</v>
      </c>
      <c r="O1123">
        <v>8424.7525100000003</v>
      </c>
      <c r="P1123">
        <f t="shared" si="230"/>
        <v>-8.2801377969950239E-4</v>
      </c>
      <c r="Q1123" t="str">
        <f t="shared" si="224"/>
        <v>2014-06</v>
      </c>
      <c r="S1123">
        <v>10923.5</v>
      </c>
      <c r="T1123">
        <f t="shared" si="231"/>
        <v>-3.3267256066430435E-3</v>
      </c>
      <c r="U1123" t="str">
        <f t="shared" si="225"/>
        <v>2014-06</v>
      </c>
      <c r="W1123">
        <v>21283.03</v>
      </c>
      <c r="X1123">
        <f t="shared" si="232"/>
        <v>-1.7243006432446223E-3</v>
      </c>
      <c r="Y1123">
        <f t="shared" si="233"/>
        <v>-1.722814890974362E-3</v>
      </c>
      <c r="Z1123" t="str">
        <f t="shared" si="226"/>
        <v>2014-06</v>
      </c>
    </row>
    <row r="1124" spans="1:26" x14ac:dyDescent="0.35">
      <c r="A1124" s="1">
        <v>41821</v>
      </c>
      <c r="C1124">
        <v>3258.71</v>
      </c>
      <c r="D1124">
        <f t="shared" si="227"/>
        <v>9.3943144587556888E-3</v>
      </c>
      <c r="E1124" t="str">
        <f t="shared" si="221"/>
        <v>2014-07</v>
      </c>
      <c r="G1124">
        <v>4461.12</v>
      </c>
      <c r="H1124">
        <f t="shared" si="228"/>
        <v>8.6178318928768777E-3</v>
      </c>
      <c r="I1124" t="str">
        <f t="shared" si="222"/>
        <v>2014-07</v>
      </c>
      <c r="K1124">
        <v>9902.41</v>
      </c>
      <c r="L1124">
        <f t="shared" si="229"/>
        <v>7.0269672005806713E-3</v>
      </c>
      <c r="M1124" t="str">
        <f t="shared" si="223"/>
        <v>2014-07</v>
      </c>
      <c r="O1124">
        <v>8529.1156100000007</v>
      </c>
      <c r="P1124">
        <f t="shared" si="230"/>
        <v>1.2311576036047076E-2</v>
      </c>
      <c r="Q1124" t="str">
        <f t="shared" si="224"/>
        <v>2014-07</v>
      </c>
      <c r="S1124">
        <v>11007.8</v>
      </c>
      <c r="T1124">
        <f t="shared" si="231"/>
        <v>7.6876806372751334E-3</v>
      </c>
      <c r="U1124" t="str">
        <f t="shared" si="225"/>
        <v>2014-07</v>
      </c>
      <c r="W1124">
        <v>21563.43</v>
      </c>
      <c r="X1124">
        <f t="shared" si="232"/>
        <v>1.3088782740879823E-2</v>
      </c>
      <c r="Y1124">
        <f t="shared" si="233"/>
        <v>1.3174815803952796E-2</v>
      </c>
      <c r="Z1124" t="str">
        <f t="shared" si="226"/>
        <v>2014-07</v>
      </c>
    </row>
    <row r="1125" spans="1:26" x14ac:dyDescent="0.35">
      <c r="A1125" s="1">
        <v>41822</v>
      </c>
      <c r="C1125">
        <v>3252.25</v>
      </c>
      <c r="D1125">
        <f t="shared" si="227"/>
        <v>-1.9843470455229921E-3</v>
      </c>
      <c r="E1125" t="str">
        <f t="shared" si="221"/>
        <v>2014-07</v>
      </c>
      <c r="G1125">
        <v>4444.72</v>
      </c>
      <c r="H1125">
        <f t="shared" si="228"/>
        <v>-3.6829807267897505E-3</v>
      </c>
      <c r="I1125" t="str">
        <f t="shared" si="222"/>
        <v>2014-07</v>
      </c>
      <c r="K1125">
        <v>9911.27</v>
      </c>
      <c r="L1125">
        <f t="shared" si="229"/>
        <v>8.9433165273092546E-4</v>
      </c>
      <c r="M1125" t="str">
        <f t="shared" si="223"/>
        <v>2014-07</v>
      </c>
      <c r="O1125">
        <v>8568.3947800000005</v>
      </c>
      <c r="P1125">
        <f t="shared" si="230"/>
        <v>4.5947320057391078E-3</v>
      </c>
      <c r="Q1125" t="str">
        <f t="shared" si="224"/>
        <v>2014-07</v>
      </c>
      <c r="S1125">
        <v>11016.2</v>
      </c>
      <c r="T1125">
        <f t="shared" si="231"/>
        <v>7.6280425057308448E-4</v>
      </c>
      <c r="U1125" t="str">
        <f t="shared" si="225"/>
        <v>2014-07</v>
      </c>
      <c r="W1125">
        <v>21678.58</v>
      </c>
      <c r="X1125">
        <f t="shared" si="232"/>
        <v>5.3258519750954423E-3</v>
      </c>
      <c r="Y1125">
        <f t="shared" si="233"/>
        <v>5.3400595359829797E-3</v>
      </c>
      <c r="Z1125" t="str">
        <f t="shared" si="226"/>
        <v>2014-07</v>
      </c>
    </row>
    <row r="1126" spans="1:26" x14ac:dyDescent="0.35">
      <c r="A1126" s="1">
        <v>41823</v>
      </c>
      <c r="C1126">
        <v>3289.75</v>
      </c>
      <c r="D1126">
        <f t="shared" si="227"/>
        <v>1.1464509548581577E-2</v>
      </c>
      <c r="E1126" t="str">
        <f t="shared" si="221"/>
        <v>2014-07</v>
      </c>
      <c r="G1126">
        <v>4489.88</v>
      </c>
      <c r="H1126">
        <f t="shared" si="228"/>
        <v>1.0109100483312696E-2</v>
      </c>
      <c r="I1126" t="str">
        <f t="shared" si="222"/>
        <v>2014-07</v>
      </c>
      <c r="K1126">
        <v>10029.43</v>
      </c>
      <c r="L1126">
        <f t="shared" si="229"/>
        <v>1.1851277336143258E-2</v>
      </c>
      <c r="M1126" t="str">
        <f t="shared" si="223"/>
        <v>2014-07</v>
      </c>
      <c r="O1126">
        <v>8654.3130999999994</v>
      </c>
      <c r="P1126">
        <f t="shared" si="230"/>
        <v>9.9774127683853499E-3</v>
      </c>
      <c r="Q1126" t="str">
        <f t="shared" si="224"/>
        <v>2014-07</v>
      </c>
      <c r="S1126">
        <v>11090</v>
      </c>
      <c r="T1126">
        <f t="shared" si="231"/>
        <v>6.6768846904171801E-3</v>
      </c>
      <c r="U1126" t="str">
        <f t="shared" si="225"/>
        <v>2014-07</v>
      </c>
      <c r="W1126">
        <v>21884.6</v>
      </c>
      <c r="X1126">
        <f t="shared" si="232"/>
        <v>9.4585168455378239E-3</v>
      </c>
      <c r="Y1126">
        <f t="shared" si="233"/>
        <v>9.5033899821850322E-3</v>
      </c>
      <c r="Z1126" t="str">
        <f t="shared" si="226"/>
        <v>2014-07</v>
      </c>
    </row>
    <row r="1127" spans="1:26" x14ac:dyDescent="0.35">
      <c r="A1127" s="1">
        <v>41824</v>
      </c>
      <c r="C1127">
        <v>3270.47</v>
      </c>
      <c r="D1127">
        <f t="shared" si="227"/>
        <v>-5.8778685803951031E-3</v>
      </c>
      <c r="E1127" t="str">
        <f t="shared" si="221"/>
        <v>2014-07</v>
      </c>
      <c r="G1127">
        <v>4468.9799999999996</v>
      </c>
      <c r="H1127">
        <f t="shared" si="228"/>
        <v>-4.6657806719193288E-3</v>
      </c>
      <c r="I1127" t="str">
        <f t="shared" si="222"/>
        <v>2014-07</v>
      </c>
      <c r="K1127">
        <v>10009.08</v>
      </c>
      <c r="L1127">
        <f t="shared" si="229"/>
        <v>-2.0310898361071165E-3</v>
      </c>
      <c r="M1127" t="str">
        <f t="shared" si="223"/>
        <v>2014-07</v>
      </c>
      <c r="O1127">
        <v>8668.8111599999993</v>
      </c>
      <c r="P1127">
        <f t="shared" si="230"/>
        <v>1.6738393337577594E-3</v>
      </c>
      <c r="Q1127" t="str">
        <f t="shared" si="224"/>
        <v>2014-07</v>
      </c>
      <c r="S1127">
        <v>11009.4</v>
      </c>
      <c r="T1127">
        <f t="shared" si="231"/>
        <v>-7.2943480254498184E-3</v>
      </c>
      <c r="U1127" t="str">
        <f t="shared" si="225"/>
        <v>2014-07</v>
      </c>
      <c r="W1127">
        <v>21559.19</v>
      </c>
      <c r="X1127">
        <f t="shared" si="232"/>
        <v>-1.4981017355145631E-2</v>
      </c>
      <c r="Y1127">
        <f t="shared" si="233"/>
        <v>-1.4869360189356893E-2</v>
      </c>
      <c r="Z1127" t="str">
        <f t="shared" si="226"/>
        <v>2014-07</v>
      </c>
    </row>
    <row r="1128" spans="1:26" x14ac:dyDescent="0.35">
      <c r="A1128" s="1">
        <v>41827</v>
      </c>
      <c r="C1128">
        <v>3230.92</v>
      </c>
      <c r="D1128">
        <f t="shared" si="227"/>
        <v>-1.2166779068074599E-2</v>
      </c>
      <c r="E1128" t="str">
        <f t="shared" si="221"/>
        <v>2014-07</v>
      </c>
      <c r="G1128">
        <v>4405.76</v>
      </c>
      <c r="H1128">
        <f t="shared" si="228"/>
        <v>-1.4247418946316245E-2</v>
      </c>
      <c r="I1128" t="str">
        <f t="shared" si="222"/>
        <v>2014-07</v>
      </c>
      <c r="K1128">
        <v>9906.07</v>
      </c>
      <c r="L1128">
        <f t="shared" si="229"/>
        <v>-1.034498044594547E-2</v>
      </c>
      <c r="M1128" t="str">
        <f t="shared" si="223"/>
        <v>2014-07</v>
      </c>
      <c r="O1128">
        <v>8590.8221599999997</v>
      </c>
      <c r="P1128">
        <f t="shared" si="230"/>
        <v>-9.0372175748947309E-3</v>
      </c>
      <c r="Q1128" t="str">
        <f t="shared" si="224"/>
        <v>2014-07</v>
      </c>
      <c r="S1128">
        <v>10888.5</v>
      </c>
      <c r="T1128">
        <f t="shared" si="231"/>
        <v>-1.1042266925957833E-2</v>
      </c>
      <c r="U1128" t="str">
        <f t="shared" si="225"/>
        <v>2014-07</v>
      </c>
      <c r="W1128">
        <v>21273.22</v>
      </c>
      <c r="X1128">
        <f t="shared" si="232"/>
        <v>-1.3353171077509093E-2</v>
      </c>
      <c r="Y1128">
        <f t="shared" si="233"/>
        <v>-1.3264412995107772E-2</v>
      </c>
      <c r="Z1128" t="str">
        <f t="shared" si="226"/>
        <v>2014-07</v>
      </c>
    </row>
    <row r="1129" spans="1:26" x14ac:dyDescent="0.35">
      <c r="A1129" s="1">
        <v>41828</v>
      </c>
      <c r="C1129">
        <v>3184.38</v>
      </c>
      <c r="D1129">
        <f t="shared" si="227"/>
        <v>-1.4509318805093076E-2</v>
      </c>
      <c r="E1129" t="str">
        <f t="shared" si="221"/>
        <v>2014-07</v>
      </c>
      <c r="G1129">
        <v>4342.53</v>
      </c>
      <c r="H1129">
        <f t="shared" si="228"/>
        <v>-1.4455648148746964E-2</v>
      </c>
      <c r="I1129" t="str">
        <f t="shared" si="222"/>
        <v>2014-07</v>
      </c>
      <c r="K1129">
        <v>9772.67</v>
      </c>
      <c r="L1129">
        <f t="shared" si="229"/>
        <v>-1.3557986278410048E-2</v>
      </c>
      <c r="M1129" t="str">
        <f t="shared" si="223"/>
        <v>2014-07</v>
      </c>
      <c r="O1129">
        <v>8482.6126299999996</v>
      </c>
      <c r="P1129">
        <f t="shared" si="230"/>
        <v>-1.267594719509345E-2</v>
      </c>
      <c r="Q1129" t="str">
        <f t="shared" si="224"/>
        <v>2014-07</v>
      </c>
      <c r="S1129">
        <v>10689.1</v>
      </c>
      <c r="T1129">
        <f t="shared" si="231"/>
        <v>-1.8482655750714966E-2</v>
      </c>
      <c r="U1129" t="str">
        <f t="shared" si="225"/>
        <v>2014-07</v>
      </c>
      <c r="W1129">
        <v>20700.53</v>
      </c>
      <c r="X1129">
        <f t="shared" si="232"/>
        <v>-2.7289700875964936E-2</v>
      </c>
      <c r="Y1129">
        <f t="shared" si="233"/>
        <v>-2.6920701238458602E-2</v>
      </c>
      <c r="Z1129" t="str">
        <f t="shared" si="226"/>
        <v>2014-07</v>
      </c>
    </row>
    <row r="1130" spans="1:26" x14ac:dyDescent="0.35">
      <c r="A1130" s="1">
        <v>41829</v>
      </c>
      <c r="C1130">
        <v>3203.1</v>
      </c>
      <c r="D1130">
        <f t="shared" si="227"/>
        <v>5.8614832756792648E-3</v>
      </c>
      <c r="E1130" t="str">
        <f t="shared" si="221"/>
        <v>2014-07</v>
      </c>
      <c r="G1130">
        <v>4359.84</v>
      </c>
      <c r="H1130">
        <f t="shared" si="228"/>
        <v>3.97823186774947E-3</v>
      </c>
      <c r="I1130" t="str">
        <f t="shared" si="222"/>
        <v>2014-07</v>
      </c>
      <c r="K1130">
        <v>9808.2000000000007</v>
      </c>
      <c r="L1130">
        <f t="shared" si="229"/>
        <v>3.6290562160223813E-3</v>
      </c>
      <c r="M1130" t="str">
        <f t="shared" si="223"/>
        <v>2014-07</v>
      </c>
      <c r="O1130">
        <v>8443.5217599999996</v>
      </c>
      <c r="P1130">
        <f t="shared" si="230"/>
        <v>-4.6190037961672589E-3</v>
      </c>
      <c r="Q1130" t="str">
        <f t="shared" si="224"/>
        <v>2014-07</v>
      </c>
      <c r="S1130">
        <v>10746.9</v>
      </c>
      <c r="T1130">
        <f t="shared" si="231"/>
        <v>5.3928102332681726E-3</v>
      </c>
      <c r="U1130" t="str">
        <f t="shared" si="225"/>
        <v>2014-07</v>
      </c>
      <c r="W1130">
        <v>20885.36</v>
      </c>
      <c r="X1130">
        <f t="shared" si="232"/>
        <v>8.8891312439106293E-3</v>
      </c>
      <c r="Y1130">
        <f t="shared" si="233"/>
        <v>8.9287568965626361E-3</v>
      </c>
      <c r="Z1130" t="str">
        <f t="shared" si="226"/>
        <v>2014-07</v>
      </c>
    </row>
    <row r="1131" spans="1:26" x14ac:dyDescent="0.35">
      <c r="A1131" s="1">
        <v>41830</v>
      </c>
      <c r="C1131">
        <v>3150.59</v>
      </c>
      <c r="D1131">
        <f t="shared" si="227"/>
        <v>-1.6529353984138247E-2</v>
      </c>
      <c r="E1131" t="str">
        <f t="shared" si="221"/>
        <v>2014-07</v>
      </c>
      <c r="G1131">
        <v>4301.26</v>
      </c>
      <c r="H1131">
        <f t="shared" si="228"/>
        <v>-1.3527356407474791E-2</v>
      </c>
      <c r="I1131" t="str">
        <f t="shared" si="222"/>
        <v>2014-07</v>
      </c>
      <c r="K1131">
        <v>9659.1299999999992</v>
      </c>
      <c r="L1131">
        <f t="shared" si="229"/>
        <v>-1.5315188446290585E-2</v>
      </c>
      <c r="M1131" t="str">
        <f t="shared" si="223"/>
        <v>2014-07</v>
      </c>
      <c r="O1131">
        <v>8400.2081099999996</v>
      </c>
      <c r="P1131">
        <f t="shared" si="230"/>
        <v>-5.14301117469742E-3</v>
      </c>
      <c r="Q1131" t="str">
        <f t="shared" si="224"/>
        <v>2014-07</v>
      </c>
      <c r="S1131">
        <v>10533.6</v>
      </c>
      <c r="T1131">
        <f t="shared" si="231"/>
        <v>-2.0047192833424352E-2</v>
      </c>
      <c r="U1131" t="str">
        <f t="shared" si="225"/>
        <v>2014-07</v>
      </c>
      <c r="W1131">
        <v>20488.75</v>
      </c>
      <c r="X1131">
        <f t="shared" si="232"/>
        <v>-1.9172480030762225E-2</v>
      </c>
      <c r="Y1131">
        <f t="shared" si="233"/>
        <v>-1.8989857009886379E-2</v>
      </c>
      <c r="Z1131" t="str">
        <f t="shared" si="226"/>
        <v>2014-07</v>
      </c>
    </row>
    <row r="1132" spans="1:26" x14ac:dyDescent="0.35">
      <c r="A1132" s="1">
        <v>41831</v>
      </c>
      <c r="C1132">
        <v>3157.05</v>
      </c>
      <c r="D1132">
        <f t="shared" si="227"/>
        <v>2.0483103850624951E-3</v>
      </c>
      <c r="E1132" t="str">
        <f t="shared" si="221"/>
        <v>2014-07</v>
      </c>
      <c r="G1132">
        <v>4316.5</v>
      </c>
      <c r="H1132">
        <f t="shared" si="228"/>
        <v>3.5368856610391323E-3</v>
      </c>
      <c r="I1132" t="str">
        <f t="shared" si="222"/>
        <v>2014-07</v>
      </c>
      <c r="K1132">
        <v>9666.34</v>
      </c>
      <c r="L1132">
        <f t="shared" si="229"/>
        <v>7.4616558712659097E-4</v>
      </c>
      <c r="M1132" t="str">
        <f t="shared" si="223"/>
        <v>2014-07</v>
      </c>
      <c r="O1132">
        <v>8416.4433700000009</v>
      </c>
      <c r="P1132">
        <f t="shared" si="230"/>
        <v>1.9308558619224186E-3</v>
      </c>
      <c r="Q1132" t="str">
        <f t="shared" si="224"/>
        <v>2014-07</v>
      </c>
      <c r="S1132">
        <v>10538.8</v>
      </c>
      <c r="T1132">
        <f t="shared" si="231"/>
        <v>4.9353657917944175E-4</v>
      </c>
      <c r="U1132" t="str">
        <f t="shared" si="225"/>
        <v>2014-07</v>
      </c>
      <c r="W1132">
        <v>20614.86</v>
      </c>
      <c r="X1132">
        <f t="shared" si="232"/>
        <v>6.1362199428933494E-3</v>
      </c>
      <c r="Y1132">
        <f t="shared" si="233"/>
        <v>6.1550851076810726E-3</v>
      </c>
      <c r="Z1132" t="str">
        <f t="shared" si="226"/>
        <v>2014-07</v>
      </c>
    </row>
    <row r="1133" spans="1:26" x14ac:dyDescent="0.35">
      <c r="A1133" s="1">
        <v>41834</v>
      </c>
      <c r="C1133">
        <v>3185.86</v>
      </c>
      <c r="D1133">
        <f t="shared" si="227"/>
        <v>9.0842210038824013E-3</v>
      </c>
      <c r="E1133" t="str">
        <f t="shared" si="221"/>
        <v>2014-07</v>
      </c>
      <c r="G1133">
        <v>4350.04</v>
      </c>
      <c r="H1133">
        <f t="shared" si="228"/>
        <v>7.7401517671738381E-3</v>
      </c>
      <c r="I1133" t="str">
        <f t="shared" si="222"/>
        <v>2014-07</v>
      </c>
      <c r="K1133">
        <v>9783.01</v>
      </c>
      <c r="L1133">
        <f t="shared" si="229"/>
        <v>1.1997460012188136E-2</v>
      </c>
      <c r="M1133" t="str">
        <f t="shared" si="223"/>
        <v>2014-07</v>
      </c>
      <c r="O1133">
        <v>8461.91554</v>
      </c>
      <c r="P1133">
        <f t="shared" si="230"/>
        <v>5.3882347518288461E-3</v>
      </c>
      <c r="Q1133" t="str">
        <f t="shared" si="224"/>
        <v>2014-07</v>
      </c>
      <c r="S1133">
        <v>10606.3</v>
      </c>
      <c r="T1133">
        <f t="shared" si="231"/>
        <v>6.3844795516433796E-3</v>
      </c>
      <c r="U1133" t="str">
        <f t="shared" si="225"/>
        <v>2014-07</v>
      </c>
      <c r="W1133">
        <v>20697.54</v>
      </c>
      <c r="X1133">
        <f t="shared" si="232"/>
        <v>4.0026776651859667E-3</v>
      </c>
      <c r="Y1133">
        <f t="shared" si="233"/>
        <v>4.0106990782377509E-3</v>
      </c>
      <c r="Z1133" t="str">
        <f t="shared" si="226"/>
        <v>2014-07</v>
      </c>
    </row>
    <row r="1134" spans="1:26" x14ac:dyDescent="0.35">
      <c r="A1134" s="1">
        <v>41835</v>
      </c>
      <c r="C1134">
        <v>3153.75</v>
      </c>
      <c r="D1134">
        <f t="shared" si="227"/>
        <v>-1.0130047301905497E-2</v>
      </c>
      <c r="E1134" t="str">
        <f t="shared" si="221"/>
        <v>2014-07</v>
      </c>
      <c r="G1134">
        <v>4305.3100000000004</v>
      </c>
      <c r="H1134">
        <f t="shared" si="228"/>
        <v>-1.033589588194294E-2</v>
      </c>
      <c r="I1134" t="str">
        <f t="shared" si="222"/>
        <v>2014-07</v>
      </c>
      <c r="K1134">
        <v>9719.41</v>
      </c>
      <c r="L1134">
        <f t="shared" si="229"/>
        <v>-6.5222906145285357E-3</v>
      </c>
      <c r="M1134" t="str">
        <f t="shared" si="223"/>
        <v>2014-07</v>
      </c>
      <c r="O1134">
        <v>8478.0759099999996</v>
      </c>
      <c r="P1134">
        <f t="shared" si="230"/>
        <v>1.9079554969167471E-3</v>
      </c>
      <c r="Q1134" t="str">
        <f t="shared" si="224"/>
        <v>2014-07</v>
      </c>
      <c r="S1134">
        <v>10475.9</v>
      </c>
      <c r="T1134">
        <f t="shared" si="231"/>
        <v>-1.2370783219016355E-2</v>
      </c>
      <c r="U1134" t="str">
        <f t="shared" si="225"/>
        <v>2014-07</v>
      </c>
      <c r="W1134">
        <v>20422.95</v>
      </c>
      <c r="X1134">
        <f t="shared" si="232"/>
        <v>-1.3355584117632031E-2</v>
      </c>
      <c r="Y1134">
        <f t="shared" si="233"/>
        <v>-1.3266794024797156E-2</v>
      </c>
      <c r="Z1134" t="str">
        <f t="shared" si="226"/>
        <v>2014-07</v>
      </c>
    </row>
    <row r="1135" spans="1:26" x14ac:dyDescent="0.35">
      <c r="A1135" s="1">
        <v>41836</v>
      </c>
      <c r="C1135">
        <v>3202.94</v>
      </c>
      <c r="D1135">
        <f t="shared" si="227"/>
        <v>1.54769170400973E-2</v>
      </c>
      <c r="E1135" t="str">
        <f t="shared" si="221"/>
        <v>2014-07</v>
      </c>
      <c r="G1135">
        <v>4369.0600000000004</v>
      </c>
      <c r="H1135">
        <f t="shared" si="228"/>
        <v>1.4698738416036439E-2</v>
      </c>
      <c r="I1135" t="str">
        <f t="shared" si="222"/>
        <v>2014-07</v>
      </c>
      <c r="K1135">
        <v>9859.27</v>
      </c>
      <c r="L1135">
        <f t="shared" si="229"/>
        <v>1.4287212320974444E-2</v>
      </c>
      <c r="M1135" t="str">
        <f t="shared" si="223"/>
        <v>2014-07</v>
      </c>
      <c r="O1135">
        <v>8593.1797600000009</v>
      </c>
      <c r="P1135">
        <f t="shared" si="230"/>
        <v>1.3485310812200588E-2</v>
      </c>
      <c r="Q1135" t="str">
        <f t="shared" si="224"/>
        <v>2014-07</v>
      </c>
      <c r="S1135">
        <v>10668.4</v>
      </c>
      <c r="T1135">
        <f t="shared" si="231"/>
        <v>1.8208719958118763E-2</v>
      </c>
      <c r="U1135" t="str">
        <f t="shared" si="225"/>
        <v>2014-07</v>
      </c>
      <c r="W1135">
        <v>21069.97</v>
      </c>
      <c r="X1135">
        <f t="shared" si="232"/>
        <v>3.1189535477860058E-2</v>
      </c>
      <c r="Y1135">
        <f t="shared" si="233"/>
        <v>3.1681025512964603E-2</v>
      </c>
      <c r="Z1135" t="str">
        <f t="shared" si="226"/>
        <v>2014-07</v>
      </c>
    </row>
    <row r="1136" spans="1:26" x14ac:dyDescent="0.35">
      <c r="A1136" s="1">
        <v>41837</v>
      </c>
      <c r="C1136">
        <v>3157.82</v>
      </c>
      <c r="D1136">
        <f t="shared" si="227"/>
        <v>-1.4187221904294096E-2</v>
      </c>
      <c r="E1136" t="str">
        <f t="shared" si="221"/>
        <v>2014-07</v>
      </c>
      <c r="G1136">
        <v>4316.12</v>
      </c>
      <c r="H1136">
        <f t="shared" si="228"/>
        <v>-1.2191032463550678E-2</v>
      </c>
      <c r="I1136" t="str">
        <f t="shared" si="222"/>
        <v>2014-07</v>
      </c>
      <c r="K1136">
        <v>9753.8799999999992</v>
      </c>
      <c r="L1136">
        <f t="shared" si="229"/>
        <v>-1.0746974795436232E-2</v>
      </c>
      <c r="M1136" t="str">
        <f t="shared" si="223"/>
        <v>2014-07</v>
      </c>
      <c r="O1136">
        <v>8523.0480599999992</v>
      </c>
      <c r="P1136">
        <f t="shared" si="230"/>
        <v>-8.1948070814225043E-3</v>
      </c>
      <c r="Q1136" t="str">
        <f t="shared" si="224"/>
        <v>2014-07</v>
      </c>
      <c r="S1136">
        <v>10543.3</v>
      </c>
      <c r="T1136">
        <f t="shared" si="231"/>
        <v>-1.1795513840957339E-2</v>
      </c>
      <c r="U1136" t="str">
        <f t="shared" si="225"/>
        <v>2014-07</v>
      </c>
      <c r="W1136">
        <v>20603.29</v>
      </c>
      <c r="X1136">
        <f t="shared" si="232"/>
        <v>-2.2398032208423273E-2</v>
      </c>
      <c r="Y1136">
        <f t="shared" si="233"/>
        <v>-2.2149058589072516E-2</v>
      </c>
      <c r="Z1136" t="str">
        <f t="shared" si="226"/>
        <v>2014-07</v>
      </c>
    </row>
    <row r="1137" spans="1:26" x14ac:dyDescent="0.35">
      <c r="A1137" s="1">
        <v>41838</v>
      </c>
      <c r="C1137">
        <v>3164.21</v>
      </c>
      <c r="D1137">
        <f t="shared" si="227"/>
        <v>2.0215032753871974E-3</v>
      </c>
      <c r="E1137" t="str">
        <f t="shared" si="221"/>
        <v>2014-07</v>
      </c>
      <c r="G1137">
        <v>4335.3100000000004</v>
      </c>
      <c r="H1137">
        <f t="shared" si="228"/>
        <v>4.4362681018858307E-3</v>
      </c>
      <c r="I1137" t="str">
        <f t="shared" si="222"/>
        <v>2014-07</v>
      </c>
      <c r="K1137">
        <v>9720.02</v>
      </c>
      <c r="L1137">
        <f t="shared" si="229"/>
        <v>-3.4774784837143229E-3</v>
      </c>
      <c r="M1137" t="str">
        <f t="shared" si="223"/>
        <v>2014-07</v>
      </c>
      <c r="O1137">
        <v>8524.8064799999993</v>
      </c>
      <c r="P1137">
        <f t="shared" si="230"/>
        <v>2.0629223485102053E-4</v>
      </c>
      <c r="Q1137" t="str">
        <f t="shared" si="224"/>
        <v>2014-07</v>
      </c>
      <c r="S1137">
        <v>10527</v>
      </c>
      <c r="T1137">
        <f t="shared" si="231"/>
        <v>-1.5472018197768788E-3</v>
      </c>
      <c r="U1137" t="str">
        <f t="shared" si="225"/>
        <v>2014-07</v>
      </c>
      <c r="W1137">
        <v>20737.12</v>
      </c>
      <c r="X1137">
        <f t="shared" si="232"/>
        <v>6.4745592756120561E-3</v>
      </c>
      <c r="Y1137">
        <f t="shared" si="233"/>
        <v>6.4955645433325505E-3</v>
      </c>
      <c r="Z1137" t="str">
        <f t="shared" si="226"/>
        <v>2014-07</v>
      </c>
    </row>
    <row r="1138" spans="1:26" x14ac:dyDescent="0.35">
      <c r="A1138" s="1">
        <v>41841</v>
      </c>
      <c r="C1138">
        <v>3137.06</v>
      </c>
      <c r="D1138">
        <f t="shared" si="227"/>
        <v>-8.6173638046574304E-3</v>
      </c>
      <c r="E1138" t="str">
        <f t="shared" si="221"/>
        <v>2014-07</v>
      </c>
      <c r="G1138">
        <v>4304.74</v>
      </c>
      <c r="H1138">
        <f t="shared" si="228"/>
        <v>-7.0763774668566124E-3</v>
      </c>
      <c r="I1138" t="str">
        <f t="shared" si="222"/>
        <v>2014-07</v>
      </c>
      <c r="K1138">
        <v>9612.0499999999993</v>
      </c>
      <c r="L1138">
        <f t="shared" si="229"/>
        <v>-1.1170156391662142E-2</v>
      </c>
      <c r="M1138" t="str">
        <f t="shared" si="223"/>
        <v>2014-07</v>
      </c>
      <c r="O1138">
        <v>8493.5296099999996</v>
      </c>
      <c r="P1138">
        <f t="shared" si="230"/>
        <v>-3.675671352191942E-3</v>
      </c>
      <c r="Q1138" t="str">
        <f t="shared" si="224"/>
        <v>2014-07</v>
      </c>
      <c r="S1138">
        <v>10482</v>
      </c>
      <c r="T1138">
        <f t="shared" si="231"/>
        <v>-4.283884889213223E-3</v>
      </c>
      <c r="U1138" t="str">
        <f t="shared" si="225"/>
        <v>2014-07</v>
      </c>
      <c r="W1138">
        <v>20431.2</v>
      </c>
      <c r="X1138">
        <f t="shared" si="232"/>
        <v>-1.4862186801108929E-2</v>
      </c>
      <c r="Y1138">
        <f t="shared" si="233"/>
        <v>-1.4752289613986815E-2</v>
      </c>
      <c r="Z1138" t="str">
        <f t="shared" si="226"/>
        <v>2014-07</v>
      </c>
    </row>
    <row r="1139" spans="1:26" x14ac:dyDescent="0.35">
      <c r="A1139" s="1">
        <v>41842</v>
      </c>
      <c r="C1139">
        <v>3189.22</v>
      </c>
      <c r="D1139">
        <f t="shared" si="227"/>
        <v>1.6490317212058691E-2</v>
      </c>
      <c r="E1139" t="str">
        <f t="shared" si="221"/>
        <v>2014-07</v>
      </c>
      <c r="G1139">
        <v>4369.5200000000004</v>
      </c>
      <c r="H1139">
        <f t="shared" si="228"/>
        <v>1.4936422091544589E-2</v>
      </c>
      <c r="I1139" t="str">
        <f t="shared" si="222"/>
        <v>2014-07</v>
      </c>
      <c r="K1139">
        <v>9734.33</v>
      </c>
      <c r="L1139">
        <f t="shared" si="229"/>
        <v>1.2641292932421316E-2</v>
      </c>
      <c r="M1139" t="str">
        <f t="shared" si="223"/>
        <v>2014-07</v>
      </c>
      <c r="O1139">
        <v>8605.8159699999997</v>
      </c>
      <c r="P1139">
        <f t="shared" si="230"/>
        <v>1.3133599003094279E-2</v>
      </c>
      <c r="Q1139" t="str">
        <f t="shared" si="224"/>
        <v>2014-07</v>
      </c>
      <c r="S1139">
        <v>10648.9</v>
      </c>
      <c r="T1139">
        <f t="shared" si="231"/>
        <v>1.5797100056077155E-2</v>
      </c>
      <c r="U1139" t="str">
        <f t="shared" si="225"/>
        <v>2014-07</v>
      </c>
      <c r="W1139">
        <v>20873.5</v>
      </c>
      <c r="X1139">
        <f t="shared" si="232"/>
        <v>2.141726761188736E-2</v>
      </c>
      <c r="Y1139">
        <f t="shared" si="233"/>
        <v>2.1648263440228632E-2</v>
      </c>
      <c r="Z1139" t="str">
        <f t="shared" si="226"/>
        <v>2014-07</v>
      </c>
    </row>
    <row r="1140" spans="1:26" x14ac:dyDescent="0.35">
      <c r="A1140" s="1">
        <v>41843</v>
      </c>
      <c r="C1140">
        <v>3193.13</v>
      </c>
      <c r="D1140">
        <f t="shared" si="227"/>
        <v>1.2252541741387098E-3</v>
      </c>
      <c r="E1140" t="str">
        <f t="shared" si="221"/>
        <v>2014-07</v>
      </c>
      <c r="G1140">
        <v>4376.32</v>
      </c>
      <c r="H1140">
        <f t="shared" si="228"/>
        <v>1.5550253309592928E-3</v>
      </c>
      <c r="I1140" t="str">
        <f t="shared" si="222"/>
        <v>2014-07</v>
      </c>
      <c r="K1140">
        <v>9753.56</v>
      </c>
      <c r="L1140">
        <f t="shared" si="229"/>
        <v>1.9735339476438648E-3</v>
      </c>
      <c r="M1140" t="str">
        <f t="shared" si="223"/>
        <v>2014-07</v>
      </c>
      <c r="O1140">
        <v>8601.8335599999991</v>
      </c>
      <c r="P1140">
        <f t="shared" si="230"/>
        <v>-4.628650838288871E-4</v>
      </c>
      <c r="Q1140" t="str">
        <f t="shared" si="224"/>
        <v>2014-07</v>
      </c>
      <c r="S1140">
        <v>10659.1</v>
      </c>
      <c r="T1140">
        <f t="shared" si="231"/>
        <v>9.573869700678834E-4</v>
      </c>
      <c r="U1140" t="str">
        <f t="shared" si="225"/>
        <v>2014-07</v>
      </c>
      <c r="W1140">
        <v>20831.259999999998</v>
      </c>
      <c r="X1140">
        <f t="shared" si="232"/>
        <v>-2.0256687459050287E-3</v>
      </c>
      <c r="Y1140">
        <f t="shared" si="233"/>
        <v>-2.0236184636022517E-3</v>
      </c>
      <c r="Z1140" t="str">
        <f t="shared" si="226"/>
        <v>2014-07</v>
      </c>
    </row>
    <row r="1141" spans="1:26" x14ac:dyDescent="0.35">
      <c r="A1141" s="1">
        <v>41844</v>
      </c>
      <c r="C1141">
        <v>3220.07</v>
      </c>
      <c r="D1141">
        <f t="shared" si="227"/>
        <v>8.4014714845996614E-3</v>
      </c>
      <c r="E1141" t="str">
        <f t="shared" si="221"/>
        <v>2014-07</v>
      </c>
      <c r="G1141">
        <v>4410.6499999999996</v>
      </c>
      <c r="H1141">
        <f t="shared" si="228"/>
        <v>7.8138822991376585E-3</v>
      </c>
      <c r="I1141" t="str">
        <f t="shared" si="222"/>
        <v>2014-07</v>
      </c>
      <c r="K1141">
        <v>9794.06</v>
      </c>
      <c r="L1141">
        <f t="shared" si="229"/>
        <v>4.1437328892720065E-3</v>
      </c>
      <c r="M1141" t="str">
        <f t="shared" si="223"/>
        <v>2014-07</v>
      </c>
      <c r="O1141">
        <v>8600.0025000000005</v>
      </c>
      <c r="P1141">
        <f t="shared" si="230"/>
        <v>-2.1289122864879227E-4</v>
      </c>
      <c r="Q1141" t="str">
        <f t="shared" si="224"/>
        <v>2014-07</v>
      </c>
      <c r="S1141">
        <v>10860.7</v>
      </c>
      <c r="T1141">
        <f t="shared" si="231"/>
        <v>1.8736781744340163E-2</v>
      </c>
      <c r="U1141" t="str">
        <f t="shared" si="225"/>
        <v>2014-07</v>
      </c>
      <c r="W1141">
        <v>21255.599999999999</v>
      </c>
      <c r="X1141">
        <f t="shared" si="232"/>
        <v>2.0165646942612022E-2</v>
      </c>
      <c r="Y1141">
        <f t="shared" si="233"/>
        <v>2.037034725695902E-2</v>
      </c>
      <c r="Z1141" t="str">
        <f t="shared" si="226"/>
        <v>2014-07</v>
      </c>
    </row>
    <row r="1142" spans="1:26" x14ac:dyDescent="0.35">
      <c r="A1142" s="1">
        <v>41845</v>
      </c>
      <c r="C1142">
        <v>3174.99</v>
      </c>
      <c r="D1142">
        <f t="shared" si="227"/>
        <v>-1.4098615717064599E-2</v>
      </c>
      <c r="E1142" t="str">
        <f t="shared" si="221"/>
        <v>2014-07</v>
      </c>
      <c r="G1142">
        <v>4330.55</v>
      </c>
      <c r="H1142">
        <f t="shared" si="228"/>
        <v>-1.8327516154666559E-2</v>
      </c>
      <c r="I1142" t="str">
        <f t="shared" si="222"/>
        <v>2014-07</v>
      </c>
      <c r="K1142">
        <v>9644.01</v>
      </c>
      <c r="L1142">
        <f t="shared" si="229"/>
        <v>-1.5439082228544085E-2</v>
      </c>
      <c r="M1142" t="str">
        <f t="shared" si="223"/>
        <v>2014-07</v>
      </c>
      <c r="O1142">
        <v>8581.3553100000008</v>
      </c>
      <c r="P1142">
        <f t="shared" si="230"/>
        <v>-2.1706313933719198E-3</v>
      </c>
      <c r="Q1142" t="str">
        <f t="shared" si="224"/>
        <v>2014-07</v>
      </c>
      <c r="S1142">
        <v>10888.1</v>
      </c>
      <c r="T1142">
        <f t="shared" si="231"/>
        <v>2.5196805797472496E-3</v>
      </c>
      <c r="U1142" t="str">
        <f t="shared" si="225"/>
        <v>2014-07</v>
      </c>
      <c r="W1142">
        <v>21063.31</v>
      </c>
      <c r="X1142">
        <f t="shared" si="232"/>
        <v>-9.0877257179904636E-3</v>
      </c>
      <c r="Y1142">
        <f t="shared" si="233"/>
        <v>-9.0465571425881759E-3</v>
      </c>
      <c r="Z1142" t="str">
        <f t="shared" si="226"/>
        <v>2014-07</v>
      </c>
    </row>
    <row r="1143" spans="1:26" x14ac:dyDescent="0.35">
      <c r="A1143" s="1">
        <v>41848</v>
      </c>
      <c r="C1143">
        <v>3171.55</v>
      </c>
      <c r="D1143">
        <f t="shared" si="227"/>
        <v>-1.0840553551646863E-3</v>
      </c>
      <c r="E1143" t="str">
        <f t="shared" si="221"/>
        <v>2014-07</v>
      </c>
      <c r="G1143">
        <v>4344.7700000000004</v>
      </c>
      <c r="H1143">
        <f t="shared" si="228"/>
        <v>3.2782681757545246E-3</v>
      </c>
      <c r="I1143" t="str">
        <f t="shared" si="222"/>
        <v>2014-07</v>
      </c>
      <c r="K1143">
        <v>9598.17</v>
      </c>
      <c r="L1143">
        <f t="shared" si="229"/>
        <v>-4.7645419299946453E-3</v>
      </c>
      <c r="M1143" t="str">
        <f t="shared" si="223"/>
        <v>2014-07</v>
      </c>
      <c r="O1143">
        <v>8579.4013200000009</v>
      </c>
      <c r="P1143">
        <f t="shared" si="230"/>
        <v>-2.2772772210151839E-4</v>
      </c>
      <c r="Q1143" t="str">
        <f t="shared" si="224"/>
        <v>2014-07</v>
      </c>
      <c r="S1143">
        <v>10879.8</v>
      </c>
      <c r="T1143">
        <f t="shared" si="231"/>
        <v>-7.6259082430886471E-4</v>
      </c>
      <c r="U1143" t="str">
        <f t="shared" si="225"/>
        <v>2014-07</v>
      </c>
      <c r="W1143">
        <v>20939.080000000002</v>
      </c>
      <c r="X1143">
        <f t="shared" si="232"/>
        <v>-5.9153949217367234E-3</v>
      </c>
      <c r="Y1143">
        <f t="shared" si="233"/>
        <v>-5.8979334207206538E-3</v>
      </c>
      <c r="Z1143" t="str">
        <f t="shared" si="226"/>
        <v>2014-07</v>
      </c>
    </row>
    <row r="1144" spans="1:26" x14ac:dyDescent="0.35">
      <c r="A1144" s="1">
        <v>41849</v>
      </c>
      <c r="C1144">
        <v>3190.54</v>
      </c>
      <c r="D1144">
        <f t="shared" si="227"/>
        <v>5.9697540893146094E-3</v>
      </c>
      <c r="E1144" t="str">
        <f t="shared" si="221"/>
        <v>2014-07</v>
      </c>
      <c r="G1144">
        <v>4365.58</v>
      </c>
      <c r="H1144">
        <f t="shared" si="228"/>
        <v>4.7782326987145535E-3</v>
      </c>
      <c r="I1144" t="str">
        <f t="shared" si="222"/>
        <v>2014-07</v>
      </c>
      <c r="K1144">
        <v>9653.6299999999992</v>
      </c>
      <c r="L1144">
        <f t="shared" si="229"/>
        <v>5.7615551188491126E-3</v>
      </c>
      <c r="M1144" t="str">
        <f t="shared" si="223"/>
        <v>2014-07</v>
      </c>
      <c r="O1144">
        <v>8598.6486700000005</v>
      </c>
      <c r="P1144">
        <f t="shared" si="230"/>
        <v>2.2409246760612708E-3</v>
      </c>
      <c r="Q1144" t="str">
        <f t="shared" si="224"/>
        <v>2014-07</v>
      </c>
      <c r="S1144">
        <v>10901.2</v>
      </c>
      <c r="T1144">
        <f t="shared" si="231"/>
        <v>1.9650160126683382E-3</v>
      </c>
      <c r="U1144" t="str">
        <f t="shared" si="225"/>
        <v>2014-07</v>
      </c>
      <c r="W1144">
        <v>21085.119999999999</v>
      </c>
      <c r="X1144">
        <f t="shared" si="232"/>
        <v>6.9503090073445096E-3</v>
      </c>
      <c r="Y1144">
        <f t="shared" si="233"/>
        <v>6.9745184602187501E-3</v>
      </c>
      <c r="Z1144" t="str">
        <f t="shared" si="226"/>
        <v>2014-07</v>
      </c>
    </row>
    <row r="1145" spans="1:26" x14ac:dyDescent="0.35">
      <c r="A1145" s="1">
        <v>41850</v>
      </c>
      <c r="C1145">
        <v>3169.23</v>
      </c>
      <c r="D1145">
        <f t="shared" si="227"/>
        <v>-6.7015252920778565E-3</v>
      </c>
      <c r="E1145" t="str">
        <f t="shared" si="221"/>
        <v>2014-07</v>
      </c>
      <c r="G1145">
        <v>4312.3</v>
      </c>
      <c r="H1145">
        <f t="shared" si="228"/>
        <v>-1.2279651137183661E-2</v>
      </c>
      <c r="I1145" t="str">
        <f t="shared" si="222"/>
        <v>2014-07</v>
      </c>
      <c r="K1145">
        <v>9593.68</v>
      </c>
      <c r="L1145">
        <f t="shared" si="229"/>
        <v>-6.229462077471562E-3</v>
      </c>
      <c r="M1145" t="str">
        <f t="shared" si="223"/>
        <v>2014-07</v>
      </c>
      <c r="O1145">
        <v>8555.5245200000008</v>
      </c>
      <c r="P1145">
        <f t="shared" si="230"/>
        <v>-5.0278425392646384E-3</v>
      </c>
      <c r="Q1145" t="str">
        <f t="shared" si="224"/>
        <v>2014-07</v>
      </c>
      <c r="S1145">
        <v>10937.4</v>
      </c>
      <c r="T1145">
        <f t="shared" si="231"/>
        <v>3.3152338662276819E-3</v>
      </c>
      <c r="U1145" t="str">
        <f t="shared" si="225"/>
        <v>2014-07</v>
      </c>
      <c r="W1145">
        <v>20887.53</v>
      </c>
      <c r="X1145">
        <f t="shared" si="232"/>
        <v>-9.4152482458418289E-3</v>
      </c>
      <c r="Y1145">
        <f t="shared" si="233"/>
        <v>-9.3710635746915433E-3</v>
      </c>
      <c r="Z1145" t="str">
        <f t="shared" si="226"/>
        <v>2014-07</v>
      </c>
    </row>
    <row r="1146" spans="1:26" x14ac:dyDescent="0.35">
      <c r="A1146" s="1">
        <v>41851</v>
      </c>
      <c r="C1146">
        <v>3115.51</v>
      </c>
      <c r="D1146">
        <f t="shared" si="227"/>
        <v>-1.7095793420816231E-2</v>
      </c>
      <c r="E1146" t="str">
        <f t="shared" si="221"/>
        <v>2014-07</v>
      </c>
      <c r="G1146">
        <v>4246.1400000000003</v>
      </c>
      <c r="H1146">
        <f t="shared" si="228"/>
        <v>-1.5461069523815265E-2</v>
      </c>
      <c r="I1146" t="str">
        <f t="shared" si="222"/>
        <v>2014-07</v>
      </c>
      <c r="K1146">
        <v>9407.48</v>
      </c>
      <c r="L1146">
        <f t="shared" si="229"/>
        <v>-1.9599430824045284E-2</v>
      </c>
      <c r="M1146" t="str">
        <f t="shared" si="223"/>
        <v>2014-07</v>
      </c>
      <c r="O1146">
        <v>8489.9445199999991</v>
      </c>
      <c r="P1146">
        <f t="shared" si="230"/>
        <v>-7.6947514232740813E-3</v>
      </c>
      <c r="Q1146" t="str">
        <f t="shared" si="224"/>
        <v>2014-07</v>
      </c>
      <c r="S1146">
        <v>10707.2</v>
      </c>
      <c r="T1146">
        <f t="shared" si="231"/>
        <v>-2.1271696414480637E-2</v>
      </c>
      <c r="U1146" t="str">
        <f t="shared" si="225"/>
        <v>2014-07</v>
      </c>
      <c r="W1146">
        <v>20570.8</v>
      </c>
      <c r="X1146">
        <f t="shared" si="232"/>
        <v>-1.527973568788858E-2</v>
      </c>
      <c r="Y1146">
        <f t="shared" si="233"/>
        <v>-1.516359282308629E-2</v>
      </c>
      <c r="Z1146" t="str">
        <f t="shared" si="226"/>
        <v>2014-07</v>
      </c>
    </row>
    <row r="1147" spans="1:26" x14ac:dyDescent="0.35">
      <c r="A1147" s="1">
        <v>41852</v>
      </c>
      <c r="C1147">
        <v>3072.57</v>
      </c>
      <c r="D1147">
        <f t="shared" si="227"/>
        <v>-1.3878517805918318E-2</v>
      </c>
      <c r="E1147" t="str">
        <f t="shared" si="221"/>
        <v>2014-08</v>
      </c>
      <c r="G1147">
        <v>4202.78</v>
      </c>
      <c r="H1147">
        <f t="shared" si="228"/>
        <v>-1.0264123857744556E-2</v>
      </c>
      <c r="I1147" t="str">
        <f t="shared" si="222"/>
        <v>2014-08</v>
      </c>
      <c r="K1147">
        <v>9210.08</v>
      </c>
      <c r="L1147">
        <f t="shared" si="229"/>
        <v>-2.1206581079737007E-2</v>
      </c>
      <c r="M1147" t="str">
        <f t="shared" si="223"/>
        <v>2014-08</v>
      </c>
      <c r="O1147">
        <v>8371.4776399999992</v>
      </c>
      <c r="P1147">
        <f t="shared" si="230"/>
        <v>-1.405205661122096E-2</v>
      </c>
      <c r="Q1147" t="str">
        <f t="shared" si="224"/>
        <v>2014-08</v>
      </c>
      <c r="S1147">
        <v>10514</v>
      </c>
      <c r="T1147">
        <f t="shared" si="231"/>
        <v>-1.8208709973056816E-2</v>
      </c>
      <c r="U1147" t="str">
        <f t="shared" si="225"/>
        <v>2014-08</v>
      </c>
      <c r="W1147">
        <v>20362.41</v>
      </c>
      <c r="X1147">
        <f t="shared" si="232"/>
        <v>-1.0182040469408167E-2</v>
      </c>
      <c r="Y1147">
        <f t="shared" si="233"/>
        <v>-1.0130378983802256E-2</v>
      </c>
      <c r="Z1147" t="str">
        <f t="shared" si="226"/>
        <v>2014-08</v>
      </c>
    </row>
    <row r="1148" spans="1:26" x14ac:dyDescent="0.35">
      <c r="A1148" s="1">
        <v>41855</v>
      </c>
      <c r="C1148">
        <v>3070.46</v>
      </c>
      <c r="D1148">
        <f t="shared" si="227"/>
        <v>-6.8695744053914496E-4</v>
      </c>
      <c r="E1148" t="str">
        <f t="shared" si="221"/>
        <v>2014-08</v>
      </c>
      <c r="G1148">
        <v>4217.22</v>
      </c>
      <c r="H1148">
        <f t="shared" si="228"/>
        <v>3.4299321036897535E-3</v>
      </c>
      <c r="I1148" t="str">
        <f t="shared" si="222"/>
        <v>2014-08</v>
      </c>
      <c r="K1148">
        <v>9154.14</v>
      </c>
      <c r="L1148">
        <f t="shared" si="229"/>
        <v>-6.0923004650234331E-3</v>
      </c>
      <c r="M1148" t="str">
        <f t="shared" si="223"/>
        <v>2014-08</v>
      </c>
      <c r="O1148">
        <v>8385.5954700000002</v>
      </c>
      <c r="P1148">
        <f t="shared" si="230"/>
        <v>1.6849999099047414E-3</v>
      </c>
      <c r="Q1148" t="str">
        <f t="shared" si="224"/>
        <v>2014-08</v>
      </c>
      <c r="S1148">
        <v>10496.2</v>
      </c>
      <c r="T1148">
        <f t="shared" si="231"/>
        <v>-1.694415499016118E-3</v>
      </c>
      <c r="U1148" t="str">
        <f t="shared" si="225"/>
        <v>2014-08</v>
      </c>
      <c r="W1148">
        <v>20381.39</v>
      </c>
      <c r="X1148">
        <f t="shared" si="232"/>
        <v>9.3167556157822541E-4</v>
      </c>
      <c r="Y1148">
        <f t="shared" si="233"/>
        <v>9.3210970607111648E-4</v>
      </c>
      <c r="Z1148" t="str">
        <f t="shared" si="226"/>
        <v>2014-08</v>
      </c>
    </row>
    <row r="1149" spans="1:26" x14ac:dyDescent="0.35">
      <c r="A1149" s="1">
        <v>41856</v>
      </c>
      <c r="C1149">
        <v>3072.2</v>
      </c>
      <c r="D1149">
        <f t="shared" si="227"/>
        <v>5.665298247139398E-4</v>
      </c>
      <c r="E1149" t="str">
        <f t="shared" si="221"/>
        <v>2014-08</v>
      </c>
      <c r="G1149">
        <v>4232.88</v>
      </c>
      <c r="H1149">
        <f t="shared" si="228"/>
        <v>3.7064692555056722E-3</v>
      </c>
      <c r="I1149" t="str">
        <f t="shared" si="222"/>
        <v>2014-08</v>
      </c>
      <c r="K1149">
        <v>9189.74</v>
      </c>
      <c r="L1149">
        <f t="shared" si="229"/>
        <v>3.8814083709449235E-3</v>
      </c>
      <c r="M1149" t="str">
        <f t="shared" si="223"/>
        <v>2014-08</v>
      </c>
      <c r="O1149">
        <v>8434.9502599999996</v>
      </c>
      <c r="P1149">
        <f t="shared" si="230"/>
        <v>5.8684102683893239E-3</v>
      </c>
      <c r="Q1149" t="str">
        <f t="shared" si="224"/>
        <v>2014-08</v>
      </c>
      <c r="S1149">
        <v>10353.799999999999</v>
      </c>
      <c r="T1149">
        <f t="shared" si="231"/>
        <v>-1.3659684811388042E-2</v>
      </c>
      <c r="U1149" t="str">
        <f t="shared" si="225"/>
        <v>2014-08</v>
      </c>
      <c r="W1149">
        <v>20052.2</v>
      </c>
      <c r="X1149">
        <f t="shared" si="232"/>
        <v>-1.628335617153023E-2</v>
      </c>
      <c r="Y1149">
        <f t="shared" si="233"/>
        <v>-1.6151498990009939E-2</v>
      </c>
      <c r="Z1149" t="str">
        <f t="shared" si="226"/>
        <v>2014-08</v>
      </c>
    </row>
    <row r="1150" spans="1:26" x14ac:dyDescent="0.35">
      <c r="A1150" s="1">
        <v>41857</v>
      </c>
      <c r="C1150">
        <v>3050.37</v>
      </c>
      <c r="D1150">
        <f t="shared" si="227"/>
        <v>-7.1310225958200173E-3</v>
      </c>
      <c r="E1150" t="str">
        <f t="shared" si="221"/>
        <v>2014-08</v>
      </c>
      <c r="G1150">
        <v>4207.1400000000003</v>
      </c>
      <c r="H1150">
        <f t="shared" si="228"/>
        <v>-6.0995305231776849E-3</v>
      </c>
      <c r="I1150" t="str">
        <f t="shared" si="222"/>
        <v>2014-08</v>
      </c>
      <c r="K1150">
        <v>9130.0400000000009</v>
      </c>
      <c r="L1150">
        <f t="shared" si="229"/>
        <v>-6.5175685877650498E-3</v>
      </c>
      <c r="M1150" t="str">
        <f t="shared" si="223"/>
        <v>2014-08</v>
      </c>
      <c r="O1150">
        <v>8363.0805400000008</v>
      </c>
      <c r="P1150">
        <f t="shared" si="230"/>
        <v>-8.5569742538355933E-3</v>
      </c>
      <c r="Q1150" t="str">
        <f t="shared" si="224"/>
        <v>2014-08</v>
      </c>
      <c r="S1150">
        <v>10246.200000000001</v>
      </c>
      <c r="T1150">
        <f t="shared" si="231"/>
        <v>-1.0446696947740827E-2</v>
      </c>
      <c r="U1150" t="str">
        <f t="shared" si="225"/>
        <v>2014-08</v>
      </c>
      <c r="W1150">
        <v>19509.84</v>
      </c>
      <c r="X1150">
        <f t="shared" si="232"/>
        <v>-2.7419919740152749E-2</v>
      </c>
      <c r="Y1150">
        <f t="shared" si="233"/>
        <v>-2.7047406269636278E-2</v>
      </c>
      <c r="Z1150" t="str">
        <f t="shared" si="226"/>
        <v>2014-08</v>
      </c>
    </row>
    <row r="1151" spans="1:26" x14ac:dyDescent="0.35">
      <c r="A1151" s="1">
        <v>41858</v>
      </c>
      <c r="C1151">
        <v>3012.88</v>
      </c>
      <c r="D1151">
        <f t="shared" si="227"/>
        <v>-1.2366462796593388E-2</v>
      </c>
      <c r="E1151" t="str">
        <f t="shared" si="221"/>
        <v>2014-08</v>
      </c>
      <c r="G1151">
        <v>4149.83</v>
      </c>
      <c r="H1151">
        <f t="shared" si="228"/>
        <v>-1.3715712376760555E-2</v>
      </c>
      <c r="I1151" t="str">
        <f t="shared" si="222"/>
        <v>2014-08</v>
      </c>
      <c r="K1151">
        <v>9038.9699999999993</v>
      </c>
      <c r="L1151">
        <f t="shared" si="229"/>
        <v>-1.0024845898732971E-2</v>
      </c>
      <c r="M1151" t="str">
        <f t="shared" si="223"/>
        <v>2014-08</v>
      </c>
      <c r="O1151">
        <v>8318.6164200000003</v>
      </c>
      <c r="P1151">
        <f t="shared" si="230"/>
        <v>-5.3308995369991839E-3</v>
      </c>
      <c r="Q1151" t="str">
        <f t="shared" si="224"/>
        <v>2014-08</v>
      </c>
      <c r="S1151">
        <v>10078.6</v>
      </c>
      <c r="T1151">
        <f t="shared" si="231"/>
        <v>-1.6492541030732531E-2</v>
      </c>
      <c r="U1151" t="str">
        <f t="shared" si="225"/>
        <v>2014-08</v>
      </c>
      <c r="W1151">
        <v>19130.650000000001</v>
      </c>
      <c r="X1151">
        <f t="shared" si="232"/>
        <v>-1.9627192758911841E-2</v>
      </c>
      <c r="Y1151">
        <f t="shared" si="233"/>
        <v>-1.9435833405091928E-2</v>
      </c>
      <c r="Z1151" t="str">
        <f t="shared" si="226"/>
        <v>2014-08</v>
      </c>
    </row>
    <row r="1152" spans="1:26" x14ac:dyDescent="0.35">
      <c r="A1152" s="1">
        <v>41859</v>
      </c>
      <c r="C1152">
        <v>3006.83</v>
      </c>
      <c r="D1152">
        <f t="shared" si="227"/>
        <v>-2.0100642844968087E-3</v>
      </c>
      <c r="E1152" t="str">
        <f t="shared" si="221"/>
        <v>2014-08</v>
      </c>
      <c r="G1152">
        <v>4147.8100000000004</v>
      </c>
      <c r="H1152">
        <f t="shared" si="228"/>
        <v>-4.8688543728192107E-4</v>
      </c>
      <c r="I1152" t="str">
        <f t="shared" si="222"/>
        <v>2014-08</v>
      </c>
      <c r="K1152">
        <v>9009.32</v>
      </c>
      <c r="L1152">
        <f t="shared" si="229"/>
        <v>-3.2856327855533079E-3</v>
      </c>
      <c r="M1152" t="str">
        <f t="shared" si="223"/>
        <v>2014-08</v>
      </c>
      <c r="O1152">
        <v>8212.1370999999999</v>
      </c>
      <c r="P1152">
        <f t="shared" si="230"/>
        <v>-1.2882751233685815E-2</v>
      </c>
      <c r="Q1152" t="str">
        <f t="shared" si="224"/>
        <v>2014-08</v>
      </c>
      <c r="S1152">
        <v>10104.799999999999</v>
      </c>
      <c r="T1152">
        <f t="shared" si="231"/>
        <v>2.5961943692496404E-3</v>
      </c>
      <c r="U1152" t="str">
        <f t="shared" si="225"/>
        <v>2014-08</v>
      </c>
      <c r="W1152">
        <v>19193.48</v>
      </c>
      <c r="X1152">
        <f t="shared" si="232"/>
        <v>3.2788771090492557E-3</v>
      </c>
      <c r="Y1152">
        <f t="shared" si="233"/>
        <v>3.2842585066371558E-3</v>
      </c>
      <c r="Z1152" t="str">
        <f t="shared" si="226"/>
        <v>2014-08</v>
      </c>
    </row>
    <row r="1153" spans="1:26" x14ac:dyDescent="0.35">
      <c r="A1153" s="1">
        <v>41862</v>
      </c>
      <c r="C1153">
        <v>3047.56</v>
      </c>
      <c r="D1153">
        <f t="shared" si="227"/>
        <v>1.3454902792553297E-2</v>
      </c>
      <c r="E1153" t="str">
        <f t="shared" si="221"/>
        <v>2014-08</v>
      </c>
      <c r="G1153">
        <v>4197.7</v>
      </c>
      <c r="H1153">
        <f t="shared" si="228"/>
        <v>1.1956272132767532E-2</v>
      </c>
      <c r="I1153" t="str">
        <f t="shared" si="222"/>
        <v>2014-08</v>
      </c>
      <c r="K1153">
        <v>9180.74</v>
      </c>
      <c r="L1153">
        <f t="shared" si="229"/>
        <v>1.884821433137104E-2</v>
      </c>
      <c r="M1153" t="str">
        <f t="shared" si="223"/>
        <v>2014-08</v>
      </c>
      <c r="O1153">
        <v>8316.0479699999996</v>
      </c>
      <c r="P1153">
        <f t="shared" si="230"/>
        <v>1.2573944279701594E-2</v>
      </c>
      <c r="Q1153" t="str">
        <f t="shared" si="224"/>
        <v>2014-08</v>
      </c>
      <c r="S1153">
        <v>10193.5</v>
      </c>
      <c r="T1153">
        <f t="shared" si="231"/>
        <v>8.7397037774281702E-3</v>
      </c>
      <c r="U1153" t="str">
        <f t="shared" si="225"/>
        <v>2014-08</v>
      </c>
      <c r="W1153">
        <v>19460.669999999998</v>
      </c>
      <c r="X1153">
        <f t="shared" si="232"/>
        <v>1.3824867735425945E-2</v>
      </c>
      <c r="Y1153">
        <f t="shared" si="233"/>
        <v>1.3920873129833604E-2</v>
      </c>
      <c r="Z1153" t="str">
        <f t="shared" si="226"/>
        <v>2014-08</v>
      </c>
    </row>
    <row r="1154" spans="1:26" x14ac:dyDescent="0.35">
      <c r="A1154" s="1">
        <v>41863</v>
      </c>
      <c r="C1154">
        <v>3023.77</v>
      </c>
      <c r="D1154">
        <f t="shared" si="227"/>
        <v>-7.8368732248944081E-3</v>
      </c>
      <c r="E1154" t="str">
        <f t="shared" si="221"/>
        <v>2014-08</v>
      </c>
      <c r="G1154">
        <v>4162.16</v>
      </c>
      <c r="H1154">
        <f t="shared" si="228"/>
        <v>-8.5025859548789502E-3</v>
      </c>
      <c r="I1154" t="str">
        <f t="shared" si="222"/>
        <v>2014-08</v>
      </c>
      <c r="K1154">
        <v>9069.4699999999993</v>
      </c>
      <c r="L1154">
        <f t="shared" si="229"/>
        <v>-1.2193983384801143E-2</v>
      </c>
      <c r="M1154" t="str">
        <f t="shared" si="223"/>
        <v>2014-08</v>
      </c>
      <c r="O1154">
        <v>8345.1332500000008</v>
      </c>
      <c r="P1154">
        <f t="shared" si="230"/>
        <v>3.491386254215995E-3</v>
      </c>
      <c r="Q1154" t="str">
        <f t="shared" si="224"/>
        <v>2014-08</v>
      </c>
      <c r="S1154">
        <v>10241.5</v>
      </c>
      <c r="T1154">
        <f t="shared" si="231"/>
        <v>4.6978310035167619E-3</v>
      </c>
      <c r="U1154" t="str">
        <f t="shared" si="225"/>
        <v>2014-08</v>
      </c>
      <c r="W1154">
        <v>19416.259999999998</v>
      </c>
      <c r="X1154">
        <f t="shared" si="232"/>
        <v>-2.2846464119929849E-3</v>
      </c>
      <c r="Y1154">
        <f t="shared" si="233"/>
        <v>-2.2820385937380294E-3</v>
      </c>
      <c r="Z1154" t="str">
        <f t="shared" si="226"/>
        <v>2014-08</v>
      </c>
    </row>
    <row r="1155" spans="1:26" x14ac:dyDescent="0.35">
      <c r="A1155" s="1">
        <v>41864</v>
      </c>
      <c r="C1155">
        <v>3056.17</v>
      </c>
      <c r="D1155">
        <f t="shared" si="227"/>
        <v>1.0658100805673807E-2</v>
      </c>
      <c r="E1155" t="str">
        <f t="shared" si="221"/>
        <v>2014-08</v>
      </c>
      <c r="G1155">
        <v>4194.79</v>
      </c>
      <c r="H1155">
        <f t="shared" si="228"/>
        <v>7.8091087826403288E-3</v>
      </c>
      <c r="I1155" t="str">
        <f t="shared" si="222"/>
        <v>2014-08</v>
      </c>
      <c r="K1155">
        <v>9198.8799999999992</v>
      </c>
      <c r="L1155">
        <f t="shared" si="229"/>
        <v>1.4167909493179118E-2</v>
      </c>
      <c r="M1155" t="str">
        <f t="shared" si="223"/>
        <v>2014-08</v>
      </c>
      <c r="O1155">
        <v>8313.0089499999995</v>
      </c>
      <c r="P1155">
        <f t="shared" si="230"/>
        <v>-3.8568934562723217E-3</v>
      </c>
      <c r="Q1155" t="str">
        <f t="shared" si="224"/>
        <v>2014-08</v>
      </c>
      <c r="S1155">
        <v>10304</v>
      </c>
      <c r="T1155">
        <f t="shared" si="231"/>
        <v>6.0840761034245969E-3</v>
      </c>
      <c r="U1155" t="str">
        <f t="shared" si="225"/>
        <v>2014-08</v>
      </c>
      <c r="W1155">
        <v>19537.259999999998</v>
      </c>
      <c r="X1155">
        <f t="shared" si="232"/>
        <v>6.2125522506885095E-3</v>
      </c>
      <c r="Y1155">
        <f t="shared" si="233"/>
        <v>6.2318901786440851E-3</v>
      </c>
      <c r="Z1155" t="str">
        <f t="shared" si="226"/>
        <v>2014-08</v>
      </c>
    </row>
    <row r="1156" spans="1:26" x14ac:dyDescent="0.35">
      <c r="A1156" s="1">
        <v>41865</v>
      </c>
      <c r="C1156">
        <v>3058.16</v>
      </c>
      <c r="D1156">
        <f t="shared" si="227"/>
        <v>6.5092988774397714E-4</v>
      </c>
      <c r="E1156" t="str">
        <f t="shared" ref="E1156:E1219" si="234">_xlfn.CONCAT(YEAR(A1156),"-",TEXT(MONTH(A1156),"00"))</f>
        <v>2014-08</v>
      </c>
      <c r="G1156">
        <v>4205.43</v>
      </c>
      <c r="H1156">
        <f t="shared" si="228"/>
        <v>2.5332683406238793E-3</v>
      </c>
      <c r="I1156" t="str">
        <f t="shared" ref="I1156:I1219" si="235">_xlfn.CONCAT(YEAR(A1156),"-",TEXT(MONTH(A1156),"00"))</f>
        <v>2014-08</v>
      </c>
      <c r="K1156">
        <v>9225.1</v>
      </c>
      <c r="L1156">
        <f t="shared" si="229"/>
        <v>2.8462924624882056E-3</v>
      </c>
      <c r="M1156" t="str">
        <f t="shared" ref="M1156:M1219" si="236">_xlfn.CONCAT(YEAR(A1156),"-",TEXT(MONTH(A1156),"00"))</f>
        <v>2014-08</v>
      </c>
      <c r="O1156">
        <v>8343.9485600000007</v>
      </c>
      <c r="P1156">
        <f t="shared" si="230"/>
        <v>3.7149215952105388E-3</v>
      </c>
      <c r="Q1156" t="str">
        <f t="shared" ref="Q1156:Q1219" si="237">_xlfn.CONCAT(YEAR(A1156),"-",TEXT(MONTH(A1156),"00"))</f>
        <v>2014-08</v>
      </c>
      <c r="S1156">
        <v>10294.799999999999</v>
      </c>
      <c r="T1156">
        <f t="shared" si="231"/>
        <v>-8.9325597721510205E-4</v>
      </c>
      <c r="U1156" t="str">
        <f t="shared" ref="U1156:U1219" si="238">_xlfn.CONCAT(YEAR(A1156),"-",TEXT(MONTH(A1156),"00"))</f>
        <v>2014-08</v>
      </c>
      <c r="W1156">
        <v>19480.96</v>
      </c>
      <c r="X1156">
        <f t="shared" si="232"/>
        <v>-2.8858332887739765E-3</v>
      </c>
      <c r="Y1156">
        <f t="shared" si="233"/>
        <v>-2.8816732745533037E-3</v>
      </c>
      <c r="Z1156" t="str">
        <f t="shared" ref="Z1156:Z1219" si="239">_xlfn.CONCAT(YEAR(A1156),"-",TEXT(MONTH(A1156),"00"))</f>
        <v>2014-08</v>
      </c>
    </row>
    <row r="1157" spans="1:26" x14ac:dyDescent="0.35">
      <c r="A1157" s="1">
        <v>41869</v>
      </c>
      <c r="C1157">
        <v>3073.45</v>
      </c>
      <c r="D1157">
        <f t="shared" ref="D1157:D1220" si="240">LN(C1157/C1156)</f>
        <v>4.9872812172662897E-3</v>
      </c>
      <c r="E1157" t="str">
        <f t="shared" si="234"/>
        <v>2014-08</v>
      </c>
      <c r="G1157">
        <v>4230.6499999999996</v>
      </c>
      <c r="H1157">
        <f t="shared" ref="H1157:H1220" si="241">LN(G1157/G1156)</f>
        <v>5.9790981436230479E-3</v>
      </c>
      <c r="I1157" t="str">
        <f t="shared" si="235"/>
        <v>2014-08</v>
      </c>
      <c r="K1157">
        <v>9245.33</v>
      </c>
      <c r="L1157">
        <f t="shared" ref="L1157:L1220" si="242">LN(K1157/K1156)</f>
        <v>2.1905291960536291E-3</v>
      </c>
      <c r="M1157" t="str">
        <f t="shared" si="236"/>
        <v>2014-08</v>
      </c>
      <c r="O1157">
        <v>8441.4455199999993</v>
      </c>
      <c r="P1157">
        <f t="shared" ref="P1157:P1220" si="243">LN(O1157/O1156)</f>
        <v>1.1617011314437722E-2</v>
      </c>
      <c r="Q1157" t="str">
        <f t="shared" si="237"/>
        <v>2014-08</v>
      </c>
      <c r="S1157">
        <v>10353.4</v>
      </c>
      <c r="T1157">
        <f t="shared" ref="T1157:T1220" si="244">LN(S1157/S1156)</f>
        <v>5.6760547969495825E-3</v>
      </c>
      <c r="U1157" t="str">
        <f t="shared" si="238"/>
        <v>2014-08</v>
      </c>
      <c r="W1157">
        <v>19639.900000000001</v>
      </c>
      <c r="X1157">
        <f t="shared" ref="X1157:X1220" si="245">LN(W1157/W1156)</f>
        <v>8.1256329493896561E-3</v>
      </c>
      <c r="Y1157">
        <f t="shared" ref="Y1157:Y1220" si="246">(W1157-W1156)/W1156</f>
        <v>8.1587355037945949E-3</v>
      </c>
      <c r="Z1157" t="str">
        <f t="shared" si="239"/>
        <v>2014-08</v>
      </c>
    </row>
    <row r="1158" spans="1:26" x14ac:dyDescent="0.35">
      <c r="A1158" s="1">
        <v>41870</v>
      </c>
      <c r="C1158">
        <v>3091.11</v>
      </c>
      <c r="D1158">
        <f t="shared" si="240"/>
        <v>5.7295405710417677E-3</v>
      </c>
      <c r="E1158" t="str">
        <f t="shared" si="234"/>
        <v>2014-08</v>
      </c>
      <c r="G1158">
        <v>4254.45</v>
      </c>
      <c r="H1158">
        <f t="shared" si="241"/>
        <v>5.6098484204686778E-3</v>
      </c>
      <c r="I1158" t="str">
        <f t="shared" si="235"/>
        <v>2014-08</v>
      </c>
      <c r="K1158">
        <v>9334.2800000000007</v>
      </c>
      <c r="L1158">
        <f t="shared" si="242"/>
        <v>9.5750857627010019E-3</v>
      </c>
      <c r="M1158" t="str">
        <f t="shared" si="236"/>
        <v>2014-08</v>
      </c>
      <c r="O1158">
        <v>8459.1210100000008</v>
      </c>
      <c r="P1158">
        <f t="shared" si="243"/>
        <v>2.0917046080260876E-3</v>
      </c>
      <c r="Q1158" t="str">
        <f t="shared" si="237"/>
        <v>2014-08</v>
      </c>
      <c r="S1158">
        <v>10386.5</v>
      </c>
      <c r="T1158">
        <f t="shared" si="244"/>
        <v>3.191917810870035E-3</v>
      </c>
      <c r="U1158" t="str">
        <f t="shared" si="238"/>
        <v>2014-08</v>
      </c>
      <c r="W1158">
        <v>19644.37</v>
      </c>
      <c r="X1158">
        <f t="shared" si="245"/>
        <v>2.2757200372004976E-4</v>
      </c>
      <c r="Y1158">
        <f t="shared" si="246"/>
        <v>2.2759790019284852E-4</v>
      </c>
      <c r="Z1158" t="str">
        <f t="shared" si="239"/>
        <v>2014-08</v>
      </c>
    </row>
    <row r="1159" spans="1:26" x14ac:dyDescent="0.35">
      <c r="A1159" s="1">
        <v>41871</v>
      </c>
      <c r="C1159">
        <v>3083.5</v>
      </c>
      <c r="D1159">
        <f t="shared" si="240"/>
        <v>-2.4649342559720246E-3</v>
      </c>
      <c r="E1159" t="str">
        <f t="shared" si="234"/>
        <v>2014-08</v>
      </c>
      <c r="G1159">
        <v>4240.79</v>
      </c>
      <c r="H1159">
        <f t="shared" si="241"/>
        <v>-3.2159213330787339E-3</v>
      </c>
      <c r="I1159" t="str">
        <f t="shared" si="235"/>
        <v>2014-08</v>
      </c>
      <c r="K1159">
        <v>9314.57</v>
      </c>
      <c r="L1159">
        <f t="shared" si="242"/>
        <v>-2.1138040510771598E-3</v>
      </c>
      <c r="M1159" t="str">
        <f t="shared" si="236"/>
        <v>2014-08</v>
      </c>
      <c r="O1159">
        <v>8451.7205400000003</v>
      </c>
      <c r="P1159">
        <f t="shared" si="243"/>
        <v>-8.7523384930758769E-4</v>
      </c>
      <c r="Q1159" t="str">
        <f t="shared" si="237"/>
        <v>2014-08</v>
      </c>
      <c r="S1159">
        <v>10420.9</v>
      </c>
      <c r="T1159">
        <f t="shared" si="244"/>
        <v>3.3065189635855391E-3</v>
      </c>
      <c r="U1159" t="str">
        <f t="shared" si="238"/>
        <v>2014-08</v>
      </c>
      <c r="W1159">
        <v>19605.97</v>
      </c>
      <c r="X1159">
        <f t="shared" si="245"/>
        <v>-1.9566715728526699E-3</v>
      </c>
      <c r="Y1159">
        <f t="shared" si="246"/>
        <v>-1.9547585389604154E-3</v>
      </c>
      <c r="Z1159" t="str">
        <f t="shared" si="239"/>
        <v>2014-08</v>
      </c>
    </row>
    <row r="1160" spans="1:26" x14ac:dyDescent="0.35">
      <c r="A1160" s="1">
        <v>41872</v>
      </c>
      <c r="C1160">
        <v>3124.56</v>
      </c>
      <c r="D1160">
        <f t="shared" si="240"/>
        <v>1.3228157825703902E-2</v>
      </c>
      <c r="E1160" t="str">
        <f t="shared" si="234"/>
        <v>2014-08</v>
      </c>
      <c r="G1160">
        <v>4292.93</v>
      </c>
      <c r="H1160">
        <f t="shared" si="241"/>
        <v>1.2219910852668476E-2</v>
      </c>
      <c r="I1160" t="str">
        <f t="shared" si="235"/>
        <v>2014-08</v>
      </c>
      <c r="K1160">
        <v>9401.5300000000007</v>
      </c>
      <c r="L1160">
        <f t="shared" si="242"/>
        <v>9.2926011045478367E-3</v>
      </c>
      <c r="M1160" t="str">
        <f t="shared" si="236"/>
        <v>2014-08</v>
      </c>
      <c r="O1160">
        <v>8465.0569400000004</v>
      </c>
      <c r="P1160">
        <f t="shared" si="243"/>
        <v>1.5767072397366128E-3</v>
      </c>
      <c r="Q1160" t="str">
        <f t="shared" si="237"/>
        <v>2014-08</v>
      </c>
      <c r="S1160">
        <v>10556.4</v>
      </c>
      <c r="T1160">
        <f t="shared" si="244"/>
        <v>1.2918906108304339E-2</v>
      </c>
      <c r="U1160" t="str">
        <f t="shared" si="238"/>
        <v>2014-08</v>
      </c>
      <c r="W1160">
        <v>20010.509999999998</v>
      </c>
      <c r="X1160">
        <f t="shared" si="245"/>
        <v>2.042352383268882E-2</v>
      </c>
      <c r="Y1160">
        <f t="shared" si="246"/>
        <v>2.0633511119317088E-2</v>
      </c>
      <c r="Z1160" t="str">
        <f t="shared" si="239"/>
        <v>2014-08</v>
      </c>
    </row>
    <row r="1161" spans="1:26" x14ac:dyDescent="0.35">
      <c r="A1161" s="1">
        <v>41873</v>
      </c>
      <c r="C1161">
        <v>3098.5</v>
      </c>
      <c r="D1161">
        <f t="shared" si="240"/>
        <v>-8.3753498550891581E-3</v>
      </c>
      <c r="E1161" t="str">
        <f t="shared" si="234"/>
        <v>2014-08</v>
      </c>
      <c r="G1161">
        <v>4252.8</v>
      </c>
      <c r="H1161">
        <f t="shared" si="241"/>
        <v>-9.3918939589065862E-3</v>
      </c>
      <c r="I1161" t="str">
        <f t="shared" si="235"/>
        <v>2014-08</v>
      </c>
      <c r="K1161">
        <v>9339.17</v>
      </c>
      <c r="L1161">
        <f t="shared" si="242"/>
        <v>-6.6550587928089809E-3</v>
      </c>
      <c r="M1161" t="str">
        <f t="shared" si="236"/>
        <v>2014-08</v>
      </c>
      <c r="O1161">
        <v>8481.3439199999993</v>
      </c>
      <c r="P1161">
        <f t="shared" si="243"/>
        <v>1.9221762956346266E-3</v>
      </c>
      <c r="Q1161" t="str">
        <f t="shared" si="237"/>
        <v>2014-08</v>
      </c>
      <c r="S1161">
        <v>10500.2</v>
      </c>
      <c r="T1161">
        <f t="shared" si="244"/>
        <v>-5.3380064633702564E-3</v>
      </c>
      <c r="U1161" t="str">
        <f t="shared" si="238"/>
        <v>2014-08</v>
      </c>
      <c r="W1161">
        <v>19917.98</v>
      </c>
      <c r="X1161">
        <f t="shared" si="245"/>
        <v>-4.6347941351547236E-3</v>
      </c>
      <c r="Y1161">
        <f t="shared" si="246"/>
        <v>-4.6240700511880426E-3</v>
      </c>
      <c r="Z1161" t="str">
        <f t="shared" si="239"/>
        <v>2014-08</v>
      </c>
    </row>
    <row r="1162" spans="1:26" x14ac:dyDescent="0.35">
      <c r="A1162" s="1">
        <v>41877</v>
      </c>
      <c r="C1162">
        <v>3197.54</v>
      </c>
      <c r="D1162">
        <f t="shared" si="240"/>
        <v>3.1463640745849362E-2</v>
      </c>
      <c r="E1162" t="str">
        <f t="shared" si="234"/>
        <v>2014-08</v>
      </c>
      <c r="G1162">
        <v>4393.41</v>
      </c>
      <c r="H1162">
        <f t="shared" si="241"/>
        <v>3.2528101400053563E-2</v>
      </c>
      <c r="I1162" t="str">
        <f t="shared" si="235"/>
        <v>2014-08</v>
      </c>
      <c r="K1162">
        <v>9588.15</v>
      </c>
      <c r="L1162">
        <f t="shared" si="242"/>
        <v>2.6310577809802855E-2</v>
      </c>
      <c r="M1162" t="str">
        <f t="shared" si="236"/>
        <v>2014-08</v>
      </c>
      <c r="O1162">
        <v>8567.5037100000009</v>
      </c>
      <c r="P1162">
        <f t="shared" si="243"/>
        <v>1.0107489419260231E-2</v>
      </c>
      <c r="Q1162" t="str">
        <f t="shared" si="237"/>
        <v>2014-08</v>
      </c>
      <c r="S1162">
        <v>10826.9</v>
      </c>
      <c r="T1162">
        <f t="shared" si="244"/>
        <v>3.0639473516148635E-2</v>
      </c>
      <c r="U1162" t="str">
        <f t="shared" si="238"/>
        <v>2014-08</v>
      </c>
      <c r="W1162">
        <v>20645.54</v>
      </c>
      <c r="X1162">
        <f t="shared" si="245"/>
        <v>3.5876474058262477E-2</v>
      </c>
      <c r="Y1162">
        <f t="shared" si="246"/>
        <v>3.6527800509891128E-2</v>
      </c>
      <c r="Z1162" t="str">
        <f t="shared" si="239"/>
        <v>2014-08</v>
      </c>
    </row>
    <row r="1163" spans="1:26" x14ac:dyDescent="0.35">
      <c r="A1163" s="1">
        <v>41878</v>
      </c>
      <c r="C1163">
        <v>3194.45</v>
      </c>
      <c r="D1163">
        <f t="shared" si="240"/>
        <v>-9.6683512981197842E-4</v>
      </c>
      <c r="E1163" t="str">
        <f t="shared" si="234"/>
        <v>2014-08</v>
      </c>
      <c r="G1163">
        <v>4395.26</v>
      </c>
      <c r="H1163">
        <f t="shared" si="241"/>
        <v>4.2099658476754909E-4</v>
      </c>
      <c r="I1163" t="str">
        <f t="shared" si="235"/>
        <v>2014-08</v>
      </c>
      <c r="K1163">
        <v>9569.7099999999991</v>
      </c>
      <c r="L1163">
        <f t="shared" si="242"/>
        <v>-1.9250590300440445E-3</v>
      </c>
      <c r="M1163" t="str">
        <f t="shared" si="236"/>
        <v>2014-08</v>
      </c>
      <c r="O1163">
        <v>8583.2397099999998</v>
      </c>
      <c r="P1163">
        <f t="shared" si="243"/>
        <v>1.8350230109923846E-3</v>
      </c>
      <c r="Q1163" t="str">
        <f t="shared" si="237"/>
        <v>2014-08</v>
      </c>
      <c r="S1163">
        <v>10837.4</v>
      </c>
      <c r="T1163">
        <f t="shared" si="244"/>
        <v>9.6933672651903211E-4</v>
      </c>
      <c r="U1163" t="str">
        <f t="shared" si="238"/>
        <v>2014-08</v>
      </c>
      <c r="W1163">
        <v>20763.14</v>
      </c>
      <c r="X1163">
        <f t="shared" si="245"/>
        <v>5.6799838183466201E-3</v>
      </c>
      <c r="Y1163">
        <f t="shared" si="246"/>
        <v>5.6961455113307058E-3</v>
      </c>
      <c r="Z1163" t="str">
        <f t="shared" si="239"/>
        <v>2014-08</v>
      </c>
    </row>
    <row r="1164" spans="1:26" x14ac:dyDescent="0.35">
      <c r="A1164" s="1">
        <v>41879</v>
      </c>
      <c r="C1164">
        <v>3164.44</v>
      </c>
      <c r="D1164">
        <f t="shared" si="240"/>
        <v>-9.4388243238752167E-3</v>
      </c>
      <c r="E1164" t="str">
        <f t="shared" si="234"/>
        <v>2014-08</v>
      </c>
      <c r="G1164">
        <v>4366.04</v>
      </c>
      <c r="H1164">
        <f t="shared" si="241"/>
        <v>-6.6702677317494637E-3</v>
      </c>
      <c r="I1164" t="str">
        <f t="shared" si="235"/>
        <v>2014-08</v>
      </c>
      <c r="K1164">
        <v>9462.56</v>
      </c>
      <c r="L1164">
        <f t="shared" si="242"/>
        <v>-1.1259942412926965E-2</v>
      </c>
      <c r="M1164" t="str">
        <f t="shared" si="236"/>
        <v>2014-08</v>
      </c>
      <c r="O1164">
        <v>8560.5857799999994</v>
      </c>
      <c r="P1164">
        <f t="shared" si="243"/>
        <v>-2.6428107540697066E-3</v>
      </c>
      <c r="Q1164" t="str">
        <f t="shared" si="237"/>
        <v>2014-08</v>
      </c>
      <c r="S1164">
        <v>10722.2</v>
      </c>
      <c r="T1164">
        <f t="shared" si="244"/>
        <v>-1.0686756376076205E-2</v>
      </c>
      <c r="U1164" t="str">
        <f t="shared" si="238"/>
        <v>2014-08</v>
      </c>
      <c r="W1164">
        <v>20341.09</v>
      </c>
      <c r="X1164">
        <f t="shared" si="245"/>
        <v>-2.0536321096880718E-2</v>
      </c>
      <c r="Y1164">
        <f t="shared" si="246"/>
        <v>-2.032688697374286E-2</v>
      </c>
      <c r="Z1164" t="str">
        <f t="shared" si="239"/>
        <v>2014-08</v>
      </c>
    </row>
    <row r="1165" spans="1:26" x14ac:dyDescent="0.35">
      <c r="A1165" s="1">
        <v>41880</v>
      </c>
      <c r="C1165">
        <v>3172.63</v>
      </c>
      <c r="D1165">
        <f t="shared" si="240"/>
        <v>2.5847922020381616E-3</v>
      </c>
      <c r="E1165" t="str">
        <f t="shared" si="234"/>
        <v>2014-08</v>
      </c>
      <c r="G1165">
        <v>4381.04</v>
      </c>
      <c r="H1165">
        <f t="shared" si="241"/>
        <v>3.4297193357590494E-3</v>
      </c>
      <c r="I1165" t="str">
        <f t="shared" si="235"/>
        <v>2014-08</v>
      </c>
      <c r="K1165">
        <v>9470.17</v>
      </c>
      <c r="L1165">
        <f t="shared" si="242"/>
        <v>8.0389889992979599E-4</v>
      </c>
      <c r="M1165" t="str">
        <f t="shared" si="236"/>
        <v>2014-08</v>
      </c>
      <c r="O1165">
        <v>8603.9356399999997</v>
      </c>
      <c r="P1165">
        <f t="shared" si="243"/>
        <v>5.0511110804962473E-3</v>
      </c>
      <c r="Q1165" t="str">
        <f t="shared" si="237"/>
        <v>2014-08</v>
      </c>
      <c r="S1165">
        <v>10728.8</v>
      </c>
      <c r="T1165">
        <f t="shared" si="244"/>
        <v>6.1535594688025199E-4</v>
      </c>
      <c r="U1165" t="str">
        <f t="shared" si="238"/>
        <v>2014-08</v>
      </c>
      <c r="W1165">
        <v>20450.490000000002</v>
      </c>
      <c r="X1165">
        <f t="shared" si="245"/>
        <v>5.3638649101564956E-3</v>
      </c>
      <c r="Y1165">
        <f t="shared" si="246"/>
        <v>5.37827618873922E-3</v>
      </c>
      <c r="Z1165" t="str">
        <f t="shared" si="239"/>
        <v>2014-08</v>
      </c>
    </row>
    <row r="1166" spans="1:26" x14ac:dyDescent="0.35">
      <c r="A1166" s="1">
        <v>41883</v>
      </c>
      <c r="C1166">
        <v>3175.05</v>
      </c>
      <c r="D1166">
        <f t="shared" si="240"/>
        <v>7.6248333792675223E-4</v>
      </c>
      <c r="E1166" t="str">
        <f t="shared" si="234"/>
        <v>2014-09</v>
      </c>
      <c r="G1166">
        <v>4379.7299999999996</v>
      </c>
      <c r="H1166">
        <f t="shared" si="241"/>
        <v>-2.9906047294101954E-4</v>
      </c>
      <c r="I1166" t="str">
        <f t="shared" si="235"/>
        <v>2014-09</v>
      </c>
      <c r="K1166">
        <v>9479.0300000000007</v>
      </c>
      <c r="L1166">
        <f t="shared" si="242"/>
        <v>9.3513189429132845E-4</v>
      </c>
      <c r="M1166" t="str">
        <f t="shared" si="236"/>
        <v>2014-09</v>
      </c>
      <c r="O1166">
        <v>8631.5663600000007</v>
      </c>
      <c r="P1166">
        <f t="shared" si="243"/>
        <v>3.2062592282534404E-3</v>
      </c>
      <c r="Q1166" t="str">
        <f t="shared" si="237"/>
        <v>2014-09</v>
      </c>
      <c r="S1166">
        <v>10746.5</v>
      </c>
      <c r="T1166">
        <f t="shared" si="244"/>
        <v>1.6484057506001236E-3</v>
      </c>
      <c r="U1166" t="str">
        <f t="shared" si="238"/>
        <v>2014-09</v>
      </c>
      <c r="W1166">
        <v>20345.849999999999</v>
      </c>
      <c r="X1166">
        <f t="shared" si="245"/>
        <v>-5.1298831940718497E-3</v>
      </c>
      <c r="Y1166">
        <f t="shared" si="246"/>
        <v>-5.1167478138667115E-3</v>
      </c>
      <c r="Z1166" t="str">
        <f t="shared" si="239"/>
        <v>2014-09</v>
      </c>
    </row>
    <row r="1167" spans="1:26" x14ac:dyDescent="0.35">
      <c r="A1167" s="1">
        <v>41884</v>
      </c>
      <c r="C1167">
        <v>3180.29</v>
      </c>
      <c r="D1167">
        <f t="shared" si="240"/>
        <v>1.6490073504784441E-3</v>
      </c>
      <c r="E1167" t="str">
        <f t="shared" si="234"/>
        <v>2014-09</v>
      </c>
      <c r="G1167">
        <v>4378.33</v>
      </c>
      <c r="H1167">
        <f t="shared" si="241"/>
        <v>-3.1970550828021202E-4</v>
      </c>
      <c r="I1167" t="str">
        <f t="shared" si="235"/>
        <v>2014-09</v>
      </c>
      <c r="K1167">
        <v>9507.02</v>
      </c>
      <c r="L1167">
        <f t="shared" si="242"/>
        <v>2.9484827310266139E-3</v>
      </c>
      <c r="M1167" t="str">
        <f t="shared" si="236"/>
        <v>2014-09</v>
      </c>
      <c r="O1167">
        <v>8577.9578399999991</v>
      </c>
      <c r="P1167">
        <f t="shared" si="243"/>
        <v>-6.2301191799790951E-3</v>
      </c>
      <c r="Q1167" t="str">
        <f t="shared" si="237"/>
        <v>2014-09</v>
      </c>
      <c r="S1167">
        <v>10755</v>
      </c>
      <c r="T1167">
        <f t="shared" si="244"/>
        <v>7.9064255449988778E-4</v>
      </c>
      <c r="U1167" t="str">
        <f t="shared" si="238"/>
        <v>2014-09</v>
      </c>
      <c r="W1167">
        <v>20446.28</v>
      </c>
      <c r="X1167">
        <f t="shared" si="245"/>
        <v>4.9239989633673787E-3</v>
      </c>
      <c r="Y1167">
        <f t="shared" si="246"/>
        <v>4.9361417684687684E-3</v>
      </c>
      <c r="Z1167" t="str">
        <f t="shared" si="239"/>
        <v>2014-09</v>
      </c>
    </row>
    <row r="1168" spans="1:26" x14ac:dyDescent="0.35">
      <c r="A1168" s="1">
        <v>41885</v>
      </c>
      <c r="C1168">
        <v>3218.84</v>
      </c>
      <c r="D1168">
        <f t="shared" si="240"/>
        <v>1.2048658601421175E-2</v>
      </c>
      <c r="E1168" t="str">
        <f t="shared" si="234"/>
        <v>2014-09</v>
      </c>
      <c r="G1168">
        <v>4421.87</v>
      </c>
      <c r="H1168">
        <f t="shared" si="241"/>
        <v>9.8953103964782001E-3</v>
      </c>
      <c r="I1168" t="str">
        <f t="shared" si="235"/>
        <v>2014-09</v>
      </c>
      <c r="K1168">
        <v>9626.49</v>
      </c>
      <c r="L1168">
        <f t="shared" si="242"/>
        <v>1.2488200299831328E-2</v>
      </c>
      <c r="M1168" t="str">
        <f t="shared" si="236"/>
        <v>2014-09</v>
      </c>
      <c r="O1168">
        <v>8603.3516400000008</v>
      </c>
      <c r="P1168">
        <f t="shared" si="243"/>
        <v>2.9559817335358708E-3</v>
      </c>
      <c r="Q1168" t="str">
        <f t="shared" si="237"/>
        <v>2014-09</v>
      </c>
      <c r="S1168">
        <v>10886.8</v>
      </c>
      <c r="T1168">
        <f t="shared" si="244"/>
        <v>1.2180283476945282E-2</v>
      </c>
      <c r="U1168" t="str">
        <f t="shared" si="238"/>
        <v>2014-09</v>
      </c>
      <c r="W1168">
        <v>20831.96</v>
      </c>
      <c r="X1168">
        <f t="shared" si="245"/>
        <v>1.8687387050182736E-2</v>
      </c>
      <c r="Y1168">
        <f t="shared" si="246"/>
        <v>1.8863089031354374E-2</v>
      </c>
      <c r="Z1168" t="str">
        <f t="shared" si="239"/>
        <v>2014-09</v>
      </c>
    </row>
    <row r="1169" spans="1:26" x14ac:dyDescent="0.35">
      <c r="A1169" s="1">
        <v>41886</v>
      </c>
      <c r="C1169">
        <v>3277.25</v>
      </c>
      <c r="D1169">
        <f t="shared" si="240"/>
        <v>1.7983609891729778E-2</v>
      </c>
      <c r="E1169" t="str">
        <f t="shared" si="234"/>
        <v>2014-09</v>
      </c>
      <c r="G1169">
        <v>4494.9399999999996</v>
      </c>
      <c r="H1169">
        <f t="shared" si="241"/>
        <v>1.6389636128991577E-2</v>
      </c>
      <c r="I1169" t="str">
        <f t="shared" si="235"/>
        <v>2014-09</v>
      </c>
      <c r="K1169">
        <v>9724.26</v>
      </c>
      <c r="L1169">
        <f t="shared" si="242"/>
        <v>1.0105120676772987E-2</v>
      </c>
      <c r="M1169" t="str">
        <f t="shared" si="236"/>
        <v>2014-09</v>
      </c>
      <c r="O1169">
        <v>8686.8436999999994</v>
      </c>
      <c r="P1169">
        <f t="shared" si="243"/>
        <v>9.6578097959091683E-3</v>
      </c>
      <c r="Q1169" t="str">
        <f t="shared" si="237"/>
        <v>2014-09</v>
      </c>
      <c r="S1169">
        <v>11100.1</v>
      </c>
      <c r="T1169">
        <f t="shared" si="244"/>
        <v>1.9403071090078081E-2</v>
      </c>
      <c r="U1169" t="str">
        <f t="shared" si="238"/>
        <v>2014-09</v>
      </c>
      <c r="W1169">
        <v>21419.39</v>
      </c>
      <c r="X1169">
        <f t="shared" si="245"/>
        <v>2.7808240654777883E-2</v>
      </c>
      <c r="Y1169">
        <f t="shared" si="246"/>
        <v>2.8198498845043881E-2</v>
      </c>
      <c r="Z1169" t="str">
        <f t="shared" si="239"/>
        <v>2014-09</v>
      </c>
    </row>
    <row r="1170" spans="1:26" x14ac:dyDescent="0.35">
      <c r="A1170" s="1">
        <v>41887</v>
      </c>
      <c r="C1170">
        <v>3275.25</v>
      </c>
      <c r="D1170">
        <f t="shared" si="240"/>
        <v>-6.1045404413860636E-4</v>
      </c>
      <c r="E1170" t="str">
        <f t="shared" si="234"/>
        <v>2014-09</v>
      </c>
      <c r="G1170">
        <v>4486.49</v>
      </c>
      <c r="H1170">
        <f t="shared" si="241"/>
        <v>-1.8816608253263991E-3</v>
      </c>
      <c r="I1170" t="str">
        <f t="shared" si="235"/>
        <v>2014-09</v>
      </c>
      <c r="K1170">
        <v>9747.02</v>
      </c>
      <c r="L1170">
        <f t="shared" si="242"/>
        <v>2.3378032020386886E-3</v>
      </c>
      <c r="M1170" t="str">
        <f t="shared" si="236"/>
        <v>2014-09</v>
      </c>
      <c r="O1170">
        <v>8631.9952699999994</v>
      </c>
      <c r="P1170">
        <f t="shared" si="243"/>
        <v>-6.3339827188694893E-3</v>
      </c>
      <c r="Q1170" t="str">
        <f t="shared" si="237"/>
        <v>2014-09</v>
      </c>
      <c r="S1170">
        <v>11148.9</v>
      </c>
      <c r="T1170">
        <f t="shared" si="244"/>
        <v>4.386721044195083E-3</v>
      </c>
      <c r="U1170" t="str">
        <f t="shared" si="238"/>
        <v>2014-09</v>
      </c>
      <c r="W1170">
        <v>21395.13</v>
      </c>
      <c r="X1170">
        <f t="shared" si="245"/>
        <v>-1.1332605198602413E-3</v>
      </c>
      <c r="Y1170">
        <f t="shared" si="246"/>
        <v>-1.1326186226591141E-3</v>
      </c>
      <c r="Z1170" t="str">
        <f t="shared" si="239"/>
        <v>2014-09</v>
      </c>
    </row>
    <row r="1171" spans="1:26" x14ac:dyDescent="0.35">
      <c r="A1171" s="1">
        <v>41890</v>
      </c>
      <c r="C1171">
        <v>3267.54</v>
      </c>
      <c r="D1171">
        <f t="shared" si="240"/>
        <v>-2.3567938352755152E-3</v>
      </c>
      <c r="E1171" t="str">
        <f t="shared" si="234"/>
        <v>2014-09</v>
      </c>
      <c r="G1171">
        <v>4474.93</v>
      </c>
      <c r="H1171">
        <f t="shared" si="241"/>
        <v>-2.5799496981685271E-3</v>
      </c>
      <c r="I1171" t="str">
        <f t="shared" si="235"/>
        <v>2014-09</v>
      </c>
      <c r="K1171">
        <v>9758.0300000000007</v>
      </c>
      <c r="L1171">
        <f t="shared" si="242"/>
        <v>1.1289385230343473E-3</v>
      </c>
      <c r="M1171" t="str">
        <f t="shared" si="236"/>
        <v>2014-09</v>
      </c>
      <c r="O1171">
        <v>8527.3452500000003</v>
      </c>
      <c r="P1171">
        <f t="shared" si="243"/>
        <v>-1.2197592019523983E-2</v>
      </c>
      <c r="Q1171" t="str">
        <f t="shared" si="237"/>
        <v>2014-09</v>
      </c>
      <c r="S1171">
        <v>11102.6</v>
      </c>
      <c r="T1171">
        <f t="shared" si="244"/>
        <v>-4.1615232069442043E-3</v>
      </c>
      <c r="U1171" t="str">
        <f t="shared" si="238"/>
        <v>2014-09</v>
      </c>
      <c r="W1171">
        <v>21294.34</v>
      </c>
      <c r="X1171">
        <f t="shared" si="245"/>
        <v>-4.7220163323570012E-3</v>
      </c>
      <c r="Y1171">
        <f t="shared" si="246"/>
        <v>-4.7108851406839252E-3</v>
      </c>
      <c r="Z1171" t="str">
        <f t="shared" si="239"/>
        <v>2014-09</v>
      </c>
    </row>
    <row r="1172" spans="1:26" x14ac:dyDescent="0.35">
      <c r="A1172" s="1">
        <v>41891</v>
      </c>
      <c r="C1172">
        <v>3245.43</v>
      </c>
      <c r="D1172">
        <f t="shared" si="240"/>
        <v>-6.789555282954475E-3</v>
      </c>
      <c r="E1172" t="str">
        <f t="shared" si="234"/>
        <v>2014-09</v>
      </c>
      <c r="G1172">
        <v>4452.37</v>
      </c>
      <c r="H1172">
        <f t="shared" si="241"/>
        <v>-5.0541704712290594E-3</v>
      </c>
      <c r="I1172" t="str">
        <f t="shared" si="235"/>
        <v>2014-09</v>
      </c>
      <c r="K1172">
        <v>9710.7000000000007</v>
      </c>
      <c r="L1172">
        <f t="shared" si="242"/>
        <v>-4.8621654563639361E-3</v>
      </c>
      <c r="M1172" t="str">
        <f t="shared" si="236"/>
        <v>2014-09</v>
      </c>
      <c r="O1172">
        <v>8505.0552800000005</v>
      </c>
      <c r="P1172">
        <f t="shared" si="243"/>
        <v>-2.6173624423268876E-3</v>
      </c>
      <c r="Q1172" t="str">
        <f t="shared" si="237"/>
        <v>2014-09</v>
      </c>
      <c r="S1172">
        <v>10951.6</v>
      </c>
      <c r="T1172">
        <f t="shared" si="244"/>
        <v>-1.3693750814297032E-2</v>
      </c>
      <c r="U1172" t="str">
        <f t="shared" si="238"/>
        <v>2014-09</v>
      </c>
      <c r="W1172">
        <v>21149.8</v>
      </c>
      <c r="X1172">
        <f t="shared" si="245"/>
        <v>-6.810860521187353E-3</v>
      </c>
      <c r="Y1172">
        <f t="shared" si="246"/>
        <v>-6.7877191779600063E-3</v>
      </c>
      <c r="Z1172" t="str">
        <f t="shared" si="239"/>
        <v>2014-09</v>
      </c>
    </row>
    <row r="1173" spans="1:26" x14ac:dyDescent="0.35">
      <c r="A1173" s="1">
        <v>41892</v>
      </c>
      <c r="C1173">
        <v>3244.16</v>
      </c>
      <c r="D1173">
        <f t="shared" si="240"/>
        <v>-3.9139607162013801E-4</v>
      </c>
      <c r="E1173" t="str">
        <f t="shared" si="234"/>
        <v>2014-09</v>
      </c>
      <c r="G1173">
        <v>4450.79</v>
      </c>
      <c r="H1173">
        <f t="shared" si="241"/>
        <v>-3.54930163354753E-4</v>
      </c>
      <c r="I1173" t="str">
        <f t="shared" si="235"/>
        <v>2014-09</v>
      </c>
      <c r="K1173">
        <v>9700.17</v>
      </c>
      <c r="L1173">
        <f t="shared" si="242"/>
        <v>-1.0849592040890221E-3</v>
      </c>
      <c r="M1173" t="str">
        <f t="shared" si="236"/>
        <v>2014-09</v>
      </c>
      <c r="O1173">
        <v>8563.3126200000006</v>
      </c>
      <c r="P1173">
        <f t="shared" si="243"/>
        <v>6.8263780779841904E-3</v>
      </c>
      <c r="Q1173" t="str">
        <f t="shared" si="237"/>
        <v>2014-09</v>
      </c>
      <c r="S1173">
        <v>10937.8</v>
      </c>
      <c r="T1173">
        <f t="shared" si="244"/>
        <v>-1.2608844306654973E-3</v>
      </c>
      <c r="U1173" t="str">
        <f t="shared" si="238"/>
        <v>2014-09</v>
      </c>
      <c r="W1173">
        <v>21140.639999999999</v>
      </c>
      <c r="X1173">
        <f t="shared" si="245"/>
        <v>-4.3319483756831557E-4</v>
      </c>
      <c r="Y1173">
        <f t="shared" si="246"/>
        <v>-4.3310102223188183E-4</v>
      </c>
      <c r="Z1173" t="str">
        <f t="shared" si="239"/>
        <v>2014-09</v>
      </c>
    </row>
    <row r="1174" spans="1:26" x14ac:dyDescent="0.35">
      <c r="A1174" s="1">
        <v>41893</v>
      </c>
      <c r="C1174">
        <v>3237.76</v>
      </c>
      <c r="D1174">
        <f t="shared" si="240"/>
        <v>-1.9747241804131616E-3</v>
      </c>
      <c r="E1174" t="str">
        <f t="shared" si="234"/>
        <v>2014-09</v>
      </c>
      <c r="G1174">
        <v>4440.8999999999996</v>
      </c>
      <c r="H1174">
        <f t="shared" si="241"/>
        <v>-2.2245499063708726E-3</v>
      </c>
      <c r="I1174" t="str">
        <f t="shared" si="235"/>
        <v>2014-09</v>
      </c>
      <c r="K1174">
        <v>9691.2800000000007</v>
      </c>
      <c r="L1174">
        <f t="shared" si="242"/>
        <v>-9.1689900681180827E-4</v>
      </c>
      <c r="M1174" t="str">
        <f t="shared" si="236"/>
        <v>2014-09</v>
      </c>
      <c r="O1174">
        <v>8528.4260099999992</v>
      </c>
      <c r="P1174">
        <f t="shared" si="243"/>
        <v>-4.0822831666331837E-3</v>
      </c>
      <c r="Q1174" t="str">
        <f t="shared" si="237"/>
        <v>2014-09</v>
      </c>
      <c r="S1174">
        <v>10886.3</v>
      </c>
      <c r="T1174">
        <f t="shared" si="244"/>
        <v>-4.719561914918226E-3</v>
      </c>
      <c r="U1174" t="str">
        <f t="shared" si="238"/>
        <v>2014-09</v>
      </c>
      <c r="W1174">
        <v>21092.240000000002</v>
      </c>
      <c r="X1174">
        <f t="shared" si="245"/>
        <v>-2.2920540199559761E-3</v>
      </c>
      <c r="Y1174">
        <f t="shared" si="246"/>
        <v>-2.2894292698800896E-3</v>
      </c>
      <c r="Z1174" t="str">
        <f t="shared" si="239"/>
        <v>2014-09</v>
      </c>
    </row>
    <row r="1175" spans="1:26" x14ac:dyDescent="0.35">
      <c r="A1175" s="1">
        <v>41894</v>
      </c>
      <c r="C1175">
        <v>3235.07</v>
      </c>
      <c r="D1175">
        <f t="shared" si="240"/>
        <v>-8.3116663186364825E-4</v>
      </c>
      <c r="E1175" t="str">
        <f t="shared" si="234"/>
        <v>2014-09</v>
      </c>
      <c r="G1175">
        <v>4441.7</v>
      </c>
      <c r="H1175">
        <f t="shared" si="241"/>
        <v>1.8012744065098202E-4</v>
      </c>
      <c r="I1175" t="str">
        <f t="shared" si="235"/>
        <v>2014-09</v>
      </c>
      <c r="K1175">
        <v>9651.1299999999992</v>
      </c>
      <c r="L1175">
        <f t="shared" si="242"/>
        <v>-4.1515051811440717E-3</v>
      </c>
      <c r="M1175" t="str">
        <f t="shared" si="236"/>
        <v>2014-09</v>
      </c>
      <c r="O1175">
        <v>8535.7200699999994</v>
      </c>
      <c r="P1175">
        <f t="shared" si="243"/>
        <v>8.5489896887252007E-4</v>
      </c>
      <c r="Q1175" t="str">
        <f t="shared" si="237"/>
        <v>2014-09</v>
      </c>
      <c r="S1175">
        <v>10888.9</v>
      </c>
      <c r="T1175">
        <f t="shared" si="244"/>
        <v>2.3880377790847865E-4</v>
      </c>
      <c r="U1175" t="str">
        <f t="shared" si="238"/>
        <v>2014-09</v>
      </c>
      <c r="W1175">
        <v>21071.119999999999</v>
      </c>
      <c r="X1175">
        <f t="shared" si="245"/>
        <v>-1.0018177757373326E-3</v>
      </c>
      <c r="Y1175">
        <f t="shared" si="246"/>
        <v>-1.0013161238447228E-3</v>
      </c>
      <c r="Z1175" t="str">
        <f t="shared" si="239"/>
        <v>2014-09</v>
      </c>
    </row>
    <row r="1176" spans="1:26" x14ac:dyDescent="0.35">
      <c r="A1176" s="1">
        <v>41897</v>
      </c>
      <c r="C1176">
        <v>3231.7</v>
      </c>
      <c r="D1176">
        <f t="shared" si="240"/>
        <v>-1.0422514810534808E-3</v>
      </c>
      <c r="E1176" t="str">
        <f t="shared" si="234"/>
        <v>2014-09</v>
      </c>
      <c r="G1176">
        <v>4428.63</v>
      </c>
      <c r="H1176">
        <f t="shared" si="241"/>
        <v>-2.9469048972456413E-3</v>
      </c>
      <c r="I1176" t="str">
        <f t="shared" si="235"/>
        <v>2014-09</v>
      </c>
      <c r="K1176">
        <v>9659.6299999999992</v>
      </c>
      <c r="L1176">
        <f t="shared" si="242"/>
        <v>8.8033827244039331E-4</v>
      </c>
      <c r="M1176" t="str">
        <f t="shared" si="236"/>
        <v>2014-09</v>
      </c>
      <c r="O1176">
        <v>8535.7793700000002</v>
      </c>
      <c r="P1176">
        <f t="shared" si="243"/>
        <v>6.947251494793043E-6</v>
      </c>
      <c r="Q1176" t="str">
        <f t="shared" si="237"/>
        <v>2014-09</v>
      </c>
      <c r="S1176">
        <v>10841.3</v>
      </c>
      <c r="T1176">
        <f t="shared" si="244"/>
        <v>-4.3810067218047893E-3</v>
      </c>
      <c r="U1176" t="str">
        <f t="shared" si="238"/>
        <v>2014-09</v>
      </c>
      <c r="W1176">
        <v>20851.72</v>
      </c>
      <c r="X1176">
        <f t="shared" si="245"/>
        <v>-1.0466943702375719E-2</v>
      </c>
      <c r="Y1176">
        <f t="shared" si="246"/>
        <v>-1.0412355869075674E-2</v>
      </c>
      <c r="Z1176" t="str">
        <f t="shared" si="239"/>
        <v>2014-09</v>
      </c>
    </row>
    <row r="1177" spans="1:26" x14ac:dyDescent="0.35">
      <c r="A1177" s="1">
        <v>41898</v>
      </c>
      <c r="C1177">
        <v>3221.73</v>
      </c>
      <c r="D1177">
        <f t="shared" si="240"/>
        <v>-3.0898322076839588E-3</v>
      </c>
      <c r="E1177" t="str">
        <f t="shared" si="234"/>
        <v>2014-09</v>
      </c>
      <c r="G1177">
        <v>4409.1499999999996</v>
      </c>
      <c r="H1177">
        <f t="shared" si="241"/>
        <v>-4.4083540317086329E-3</v>
      </c>
      <c r="I1177" t="str">
        <f t="shared" si="235"/>
        <v>2014-09</v>
      </c>
      <c r="K1177">
        <v>9632.93</v>
      </c>
      <c r="L1177">
        <f t="shared" si="242"/>
        <v>-2.7679081517873769E-3</v>
      </c>
      <c r="M1177" t="str">
        <f t="shared" si="236"/>
        <v>2014-09</v>
      </c>
      <c r="O1177">
        <v>8527.3652500000007</v>
      </c>
      <c r="P1177">
        <f t="shared" si="243"/>
        <v>-9.8623329631055377E-4</v>
      </c>
      <c r="Q1177" t="str">
        <f t="shared" si="237"/>
        <v>2014-09</v>
      </c>
      <c r="S1177">
        <v>10798.7</v>
      </c>
      <c r="T1177">
        <f t="shared" si="244"/>
        <v>-3.9371585054810082E-3</v>
      </c>
      <c r="U1177" t="str">
        <f t="shared" si="238"/>
        <v>2014-09</v>
      </c>
      <c r="W1177">
        <v>20788.5</v>
      </c>
      <c r="X1177">
        <f t="shared" si="245"/>
        <v>-3.0364896523335351E-3</v>
      </c>
      <c r="Y1177">
        <f t="shared" si="246"/>
        <v>-3.0318841802978919E-3</v>
      </c>
      <c r="Z1177" t="str">
        <f t="shared" si="239"/>
        <v>2014-09</v>
      </c>
    </row>
    <row r="1178" spans="1:26" x14ac:dyDescent="0.35">
      <c r="A1178" s="1">
        <v>41899</v>
      </c>
      <c r="C1178">
        <v>3237.44</v>
      </c>
      <c r="D1178">
        <f t="shared" si="240"/>
        <v>4.8644116746099243E-3</v>
      </c>
      <c r="E1178" t="str">
        <f t="shared" si="234"/>
        <v>2014-09</v>
      </c>
      <c r="G1178">
        <v>4431.41</v>
      </c>
      <c r="H1178">
        <f t="shared" si="241"/>
        <v>5.0358907225657558E-3</v>
      </c>
      <c r="I1178" t="str">
        <f t="shared" si="235"/>
        <v>2014-09</v>
      </c>
      <c r="K1178">
        <v>9661.5</v>
      </c>
      <c r="L1178">
        <f t="shared" si="242"/>
        <v>2.9614786112625679E-3</v>
      </c>
      <c r="M1178" t="str">
        <f t="shared" si="236"/>
        <v>2014-09</v>
      </c>
      <c r="O1178">
        <v>8542.2271299999993</v>
      </c>
      <c r="P1178">
        <f t="shared" si="243"/>
        <v>1.7413284892253953E-3</v>
      </c>
      <c r="Q1178" t="str">
        <f t="shared" si="237"/>
        <v>2014-09</v>
      </c>
      <c r="S1178">
        <v>10907.4</v>
      </c>
      <c r="T1178">
        <f t="shared" si="244"/>
        <v>1.0015701455224622E-2</v>
      </c>
      <c r="U1178" t="str">
        <f t="shared" si="238"/>
        <v>2014-09</v>
      </c>
      <c r="W1178">
        <v>21111.66</v>
      </c>
      <c r="X1178">
        <f t="shared" si="245"/>
        <v>1.5425545291442789E-2</v>
      </c>
      <c r="Y1178">
        <f t="shared" si="246"/>
        <v>1.5545133126488196E-2</v>
      </c>
      <c r="Z1178" t="str">
        <f t="shared" si="239"/>
        <v>2014-09</v>
      </c>
    </row>
    <row r="1179" spans="1:26" x14ac:dyDescent="0.35">
      <c r="A1179" s="1">
        <v>41900</v>
      </c>
      <c r="C1179">
        <v>3271.37</v>
      </c>
      <c r="D1179">
        <f t="shared" si="240"/>
        <v>1.0425963379083726E-2</v>
      </c>
      <c r="E1179" t="str">
        <f t="shared" si="234"/>
        <v>2014-09</v>
      </c>
      <c r="G1179">
        <v>4464.7</v>
      </c>
      <c r="H1179">
        <f t="shared" si="241"/>
        <v>7.4842049817621156E-3</v>
      </c>
      <c r="I1179" t="str">
        <f t="shared" si="235"/>
        <v>2014-09</v>
      </c>
      <c r="K1179">
        <v>9798.1299999999992</v>
      </c>
      <c r="L1179">
        <f t="shared" si="242"/>
        <v>1.4042635469326034E-2</v>
      </c>
      <c r="M1179" t="str">
        <f t="shared" si="236"/>
        <v>2014-09</v>
      </c>
      <c r="O1179">
        <v>8645.6122699999996</v>
      </c>
      <c r="P1179">
        <f t="shared" si="243"/>
        <v>1.2030178367446128E-2</v>
      </c>
      <c r="Q1179" t="str">
        <f t="shared" si="237"/>
        <v>2014-09</v>
      </c>
      <c r="S1179">
        <v>10991</v>
      </c>
      <c r="T1179">
        <f t="shared" si="244"/>
        <v>7.6352981168293782E-3</v>
      </c>
      <c r="U1179" t="str">
        <f t="shared" si="238"/>
        <v>2014-09</v>
      </c>
      <c r="W1179">
        <v>21128.720000000001</v>
      </c>
      <c r="X1179">
        <f t="shared" si="245"/>
        <v>8.0775792867397993E-4</v>
      </c>
      <c r="Y1179">
        <f t="shared" si="246"/>
        <v>8.0808425296737961E-4</v>
      </c>
      <c r="Z1179" t="str">
        <f t="shared" si="239"/>
        <v>2014-09</v>
      </c>
    </row>
    <row r="1180" spans="1:26" x14ac:dyDescent="0.35">
      <c r="A1180" s="1">
        <v>41901</v>
      </c>
      <c r="C1180">
        <v>3273.25</v>
      </c>
      <c r="D1180">
        <f t="shared" si="240"/>
        <v>5.7451771125336944E-4</v>
      </c>
      <c r="E1180" t="str">
        <f t="shared" si="234"/>
        <v>2014-09</v>
      </c>
      <c r="G1180">
        <v>4461.22</v>
      </c>
      <c r="H1180">
        <f t="shared" si="241"/>
        <v>-7.7975159452987766E-4</v>
      </c>
      <c r="I1180" t="str">
        <f t="shared" si="235"/>
        <v>2014-09</v>
      </c>
      <c r="K1180">
        <v>9799.26</v>
      </c>
      <c r="L1180">
        <f t="shared" si="242"/>
        <v>1.1532147916159997E-4</v>
      </c>
      <c r="M1180" t="str">
        <f t="shared" si="236"/>
        <v>2014-09</v>
      </c>
      <c r="O1180">
        <v>8685.8048699999999</v>
      </c>
      <c r="P1180">
        <f t="shared" si="243"/>
        <v>4.6381287494310225E-3</v>
      </c>
      <c r="Q1180" t="str">
        <f t="shared" si="237"/>
        <v>2014-09</v>
      </c>
      <c r="S1180">
        <v>11001.9</v>
      </c>
      <c r="T1180">
        <f t="shared" si="244"/>
        <v>9.9122906869654362E-4</v>
      </c>
      <c r="U1180" t="str">
        <f t="shared" si="238"/>
        <v>2014-09</v>
      </c>
      <c r="W1180">
        <v>20972.35</v>
      </c>
      <c r="X1180">
        <f t="shared" si="245"/>
        <v>-7.4283489253606019E-3</v>
      </c>
      <c r="Y1180">
        <f t="shared" si="246"/>
        <v>-7.4008269313050011E-3</v>
      </c>
      <c r="Z1180" t="str">
        <f t="shared" si="239"/>
        <v>2014-09</v>
      </c>
    </row>
    <row r="1181" spans="1:26" x14ac:dyDescent="0.35">
      <c r="A1181" s="1">
        <v>41904</v>
      </c>
      <c r="C1181">
        <v>3257.48</v>
      </c>
      <c r="D1181">
        <f t="shared" si="240"/>
        <v>-4.8294848053773197E-3</v>
      </c>
      <c r="E1181" t="str">
        <f t="shared" si="234"/>
        <v>2014-09</v>
      </c>
      <c r="G1181">
        <v>4442.55</v>
      </c>
      <c r="H1181">
        <f t="shared" si="241"/>
        <v>-4.1937353195511369E-3</v>
      </c>
      <c r="I1181" t="str">
        <f t="shared" si="235"/>
        <v>2014-09</v>
      </c>
      <c r="K1181">
        <v>9749.5400000000009</v>
      </c>
      <c r="L1181">
        <f t="shared" si="242"/>
        <v>-5.0867682118162305E-3</v>
      </c>
      <c r="M1181" t="str">
        <f t="shared" si="236"/>
        <v>2014-09</v>
      </c>
      <c r="O1181">
        <v>8629.0936399999991</v>
      </c>
      <c r="P1181">
        <f t="shared" si="243"/>
        <v>-6.5505937280919049E-3</v>
      </c>
      <c r="Q1181" t="str">
        <f t="shared" si="237"/>
        <v>2014-09</v>
      </c>
      <c r="S1181">
        <v>10947.9</v>
      </c>
      <c r="T1181">
        <f t="shared" si="244"/>
        <v>-4.9203281071613448E-3</v>
      </c>
      <c r="U1181" t="str">
        <f t="shared" si="238"/>
        <v>2014-09</v>
      </c>
      <c r="W1181">
        <v>20673</v>
      </c>
      <c r="X1181">
        <f t="shared" si="245"/>
        <v>-1.4376402446405291E-2</v>
      </c>
      <c r="Y1181">
        <f t="shared" si="246"/>
        <v>-1.4273555419397376E-2</v>
      </c>
      <c r="Z1181" t="str">
        <f t="shared" si="239"/>
        <v>2014-09</v>
      </c>
    </row>
    <row r="1182" spans="1:26" x14ac:dyDescent="0.35">
      <c r="A1182" s="1">
        <v>41905</v>
      </c>
      <c r="C1182">
        <v>3205.93</v>
      </c>
      <c r="D1182">
        <f t="shared" si="240"/>
        <v>-1.5951670432489122E-2</v>
      </c>
      <c r="E1182" t="str">
        <f t="shared" si="234"/>
        <v>2014-09</v>
      </c>
      <c r="G1182">
        <v>4359.3500000000004</v>
      </c>
      <c r="H1182">
        <f t="shared" si="241"/>
        <v>-1.8905572229137576E-2</v>
      </c>
      <c r="I1182" t="str">
        <f t="shared" si="235"/>
        <v>2014-09</v>
      </c>
      <c r="K1182">
        <v>9595.0300000000007</v>
      </c>
      <c r="L1182">
        <f t="shared" si="242"/>
        <v>-1.5974848326361622E-2</v>
      </c>
      <c r="M1182" t="str">
        <f t="shared" si="236"/>
        <v>2014-09</v>
      </c>
      <c r="O1182">
        <v>8501.1280999999999</v>
      </c>
      <c r="P1182">
        <f t="shared" si="243"/>
        <v>-1.4940602909053627E-2</v>
      </c>
      <c r="Q1182" t="str">
        <f t="shared" si="237"/>
        <v>2014-09</v>
      </c>
      <c r="S1182">
        <v>10801.8</v>
      </c>
      <c r="T1182">
        <f t="shared" si="244"/>
        <v>-1.3434870138803803E-2</v>
      </c>
      <c r="U1182" t="str">
        <f t="shared" si="238"/>
        <v>2014-09</v>
      </c>
      <c r="W1182">
        <v>20351.03</v>
      </c>
      <c r="X1182">
        <f t="shared" si="245"/>
        <v>-1.5696976184820379E-2</v>
      </c>
      <c r="Y1182">
        <f t="shared" si="246"/>
        <v>-1.5574420742030724E-2</v>
      </c>
      <c r="Z1182" t="str">
        <f t="shared" si="239"/>
        <v>2014-09</v>
      </c>
    </row>
    <row r="1183" spans="1:26" x14ac:dyDescent="0.35">
      <c r="A1183" s="1">
        <v>41906</v>
      </c>
      <c r="C1183">
        <v>3244.01</v>
      </c>
      <c r="D1183">
        <f t="shared" si="240"/>
        <v>1.180799897461291E-2</v>
      </c>
      <c r="E1183" t="str">
        <f t="shared" si="234"/>
        <v>2014-09</v>
      </c>
      <c r="G1183">
        <v>4413.72</v>
      </c>
      <c r="H1183">
        <f t="shared" si="241"/>
        <v>1.2394907617758653E-2</v>
      </c>
      <c r="I1183" t="str">
        <f t="shared" si="235"/>
        <v>2014-09</v>
      </c>
      <c r="K1183">
        <v>9661.9699999999993</v>
      </c>
      <c r="L1183">
        <f t="shared" si="242"/>
        <v>6.9523050969508057E-3</v>
      </c>
      <c r="M1183" t="str">
        <f t="shared" si="236"/>
        <v>2014-09</v>
      </c>
      <c r="O1183">
        <v>8568.1029899999994</v>
      </c>
      <c r="P1183">
        <f t="shared" si="243"/>
        <v>7.8474810442056685E-3</v>
      </c>
      <c r="Q1183" t="str">
        <f t="shared" si="237"/>
        <v>2014-09</v>
      </c>
      <c r="S1183">
        <v>10856.9</v>
      </c>
      <c r="T1183">
        <f t="shared" si="244"/>
        <v>5.0880356502935693E-3</v>
      </c>
      <c r="U1183" t="str">
        <f t="shared" si="238"/>
        <v>2014-09</v>
      </c>
      <c r="W1183">
        <v>20691.04</v>
      </c>
      <c r="X1183">
        <f t="shared" si="245"/>
        <v>1.6569231464709781E-2</v>
      </c>
      <c r="Y1183">
        <f t="shared" si="246"/>
        <v>1.670726248253784E-2</v>
      </c>
      <c r="Z1183" t="str">
        <f t="shared" si="239"/>
        <v>2014-09</v>
      </c>
    </row>
    <row r="1184" spans="1:26" x14ac:dyDescent="0.35">
      <c r="A1184" s="1">
        <v>41907</v>
      </c>
      <c r="C1184">
        <v>3202.31</v>
      </c>
      <c r="D1184">
        <f t="shared" si="240"/>
        <v>-1.2937794483226264E-2</v>
      </c>
      <c r="E1184" t="str">
        <f t="shared" si="234"/>
        <v>2014-09</v>
      </c>
      <c r="G1184">
        <v>4355.28</v>
      </c>
      <c r="H1184">
        <f t="shared" si="241"/>
        <v>-1.3328969143242433E-2</v>
      </c>
      <c r="I1184" t="str">
        <f t="shared" si="235"/>
        <v>2014-09</v>
      </c>
      <c r="K1184">
        <v>9510.01</v>
      </c>
      <c r="L1184">
        <f t="shared" si="242"/>
        <v>-1.5852633098721636E-2</v>
      </c>
      <c r="M1184" t="str">
        <f t="shared" si="236"/>
        <v>2014-09</v>
      </c>
      <c r="O1184">
        <v>8495.9730099999997</v>
      </c>
      <c r="P1184">
        <f t="shared" si="243"/>
        <v>-8.4540656758677613E-3</v>
      </c>
      <c r="Q1184" t="str">
        <f t="shared" si="237"/>
        <v>2014-09</v>
      </c>
      <c r="S1184">
        <v>10783.1</v>
      </c>
      <c r="T1184">
        <f t="shared" si="244"/>
        <v>-6.8207288458577422E-3</v>
      </c>
      <c r="U1184" t="str">
        <f t="shared" si="238"/>
        <v>2014-09</v>
      </c>
      <c r="W1184">
        <v>20411.490000000002</v>
      </c>
      <c r="X1184">
        <f t="shared" si="245"/>
        <v>-1.3602778736245944E-2</v>
      </c>
      <c r="Y1184">
        <f t="shared" si="246"/>
        <v>-1.351067901855099E-2</v>
      </c>
      <c r="Z1184" t="str">
        <f t="shared" si="239"/>
        <v>2014-09</v>
      </c>
    </row>
    <row r="1185" spans="1:26" x14ac:dyDescent="0.35">
      <c r="A1185" s="1">
        <v>41908</v>
      </c>
      <c r="C1185">
        <v>3219.58</v>
      </c>
      <c r="D1185">
        <f t="shared" si="240"/>
        <v>5.3784918871063589E-3</v>
      </c>
      <c r="E1185" t="str">
        <f t="shared" si="234"/>
        <v>2014-09</v>
      </c>
      <c r="G1185">
        <v>4394.75</v>
      </c>
      <c r="H1185">
        <f t="shared" si="241"/>
        <v>9.0217445451222251E-3</v>
      </c>
      <c r="I1185" t="str">
        <f t="shared" si="235"/>
        <v>2014-09</v>
      </c>
      <c r="K1185">
        <v>9490.5499999999993</v>
      </c>
      <c r="L1185">
        <f t="shared" si="242"/>
        <v>-2.0483613961024124E-3</v>
      </c>
      <c r="M1185" t="str">
        <f t="shared" si="236"/>
        <v>2014-09</v>
      </c>
      <c r="O1185">
        <v>8511.7851499999997</v>
      </c>
      <c r="P1185">
        <f t="shared" si="243"/>
        <v>1.8594037388074394E-3</v>
      </c>
      <c r="Q1185" t="str">
        <f t="shared" si="237"/>
        <v>2014-09</v>
      </c>
      <c r="S1185">
        <v>10851.4</v>
      </c>
      <c r="T1185">
        <f t="shared" si="244"/>
        <v>6.3140102066567344E-3</v>
      </c>
      <c r="U1185" t="str">
        <f t="shared" si="238"/>
        <v>2014-09</v>
      </c>
      <c r="W1185">
        <v>20795.37</v>
      </c>
      <c r="X1185">
        <f t="shared" si="245"/>
        <v>1.8632388188401017E-2</v>
      </c>
      <c r="Y1185">
        <f t="shared" si="246"/>
        <v>1.8807054262084608E-2</v>
      </c>
      <c r="Z1185" t="str">
        <f t="shared" si="239"/>
        <v>2014-09</v>
      </c>
    </row>
    <row r="1186" spans="1:26" x14ac:dyDescent="0.35">
      <c r="A1186" s="1">
        <v>41911</v>
      </c>
      <c r="C1186">
        <v>3186.95</v>
      </c>
      <c r="D1186">
        <f t="shared" si="240"/>
        <v>-1.0186569689710295E-2</v>
      </c>
      <c r="E1186" t="str">
        <f t="shared" si="234"/>
        <v>2014-09</v>
      </c>
      <c r="G1186">
        <v>4358.07</v>
      </c>
      <c r="H1186">
        <f t="shared" si="241"/>
        <v>-8.3813478904831065E-3</v>
      </c>
      <c r="I1186" t="str">
        <f t="shared" si="235"/>
        <v>2014-09</v>
      </c>
      <c r="K1186">
        <v>9422.91</v>
      </c>
      <c r="L1186">
        <f t="shared" si="242"/>
        <v>-7.1526086047236951E-3</v>
      </c>
      <c r="M1186" t="str">
        <f t="shared" si="236"/>
        <v>2014-09</v>
      </c>
      <c r="O1186">
        <v>8513.8459800000001</v>
      </c>
      <c r="P1186">
        <f t="shared" si="243"/>
        <v>2.4208559369449977E-4</v>
      </c>
      <c r="Q1186" t="str">
        <f t="shared" si="237"/>
        <v>2014-09</v>
      </c>
      <c r="S1186">
        <v>10686</v>
      </c>
      <c r="T1186">
        <f t="shared" si="244"/>
        <v>-1.535963038500761E-2</v>
      </c>
      <c r="U1186" t="str">
        <f t="shared" si="238"/>
        <v>2014-09</v>
      </c>
      <c r="W1186">
        <v>20526.11</v>
      </c>
      <c r="X1186">
        <f t="shared" si="245"/>
        <v>-1.3032631509256182E-2</v>
      </c>
      <c r="Y1186">
        <f t="shared" si="246"/>
        <v>-1.2948074499275484E-2</v>
      </c>
      <c r="Z1186" t="str">
        <f t="shared" si="239"/>
        <v>2014-09</v>
      </c>
    </row>
    <row r="1187" spans="1:26" x14ac:dyDescent="0.35">
      <c r="A1187" s="1">
        <v>41912</v>
      </c>
      <c r="C1187">
        <v>3225.93</v>
      </c>
      <c r="D1187">
        <f t="shared" si="240"/>
        <v>1.2156934192877E-2</v>
      </c>
      <c r="E1187" t="str">
        <f t="shared" si="234"/>
        <v>2014-09</v>
      </c>
      <c r="G1187">
        <v>4416.24</v>
      </c>
      <c r="H1187">
        <f t="shared" si="241"/>
        <v>1.3259356516711186E-2</v>
      </c>
      <c r="I1187" t="str">
        <f t="shared" si="235"/>
        <v>2014-09</v>
      </c>
      <c r="K1187">
        <v>9474.2999999999993</v>
      </c>
      <c r="L1187">
        <f t="shared" si="242"/>
        <v>5.438911530730655E-3</v>
      </c>
      <c r="M1187" t="str">
        <f t="shared" si="236"/>
        <v>2014-09</v>
      </c>
      <c r="O1187">
        <v>8505.3365799999992</v>
      </c>
      <c r="P1187">
        <f t="shared" si="243"/>
        <v>-9.9997760516246483E-4</v>
      </c>
      <c r="Q1187" t="str">
        <f t="shared" si="237"/>
        <v>2014-09</v>
      </c>
      <c r="S1187">
        <v>10825.5</v>
      </c>
      <c r="T1187">
        <f t="shared" si="244"/>
        <v>1.296998866272096E-2</v>
      </c>
      <c r="U1187" t="str">
        <f t="shared" si="238"/>
        <v>2014-09</v>
      </c>
      <c r="W1187">
        <v>20892.11</v>
      </c>
      <c r="X1187">
        <f t="shared" si="245"/>
        <v>1.7673841467494449E-2</v>
      </c>
      <c r="Y1187">
        <f t="shared" si="246"/>
        <v>1.7830947997452998E-2</v>
      </c>
      <c r="Z1187" t="str">
        <f t="shared" si="239"/>
        <v>2014-09</v>
      </c>
    </row>
    <row r="1188" spans="1:26" x14ac:dyDescent="0.35">
      <c r="A1188" s="1">
        <v>41913</v>
      </c>
      <c r="C1188">
        <v>3195.08</v>
      </c>
      <c r="D1188">
        <f t="shared" si="240"/>
        <v>-9.6091541298636424E-3</v>
      </c>
      <c r="E1188" t="str">
        <f t="shared" si="234"/>
        <v>2014-10</v>
      </c>
      <c r="G1188">
        <v>4365.2700000000004</v>
      </c>
      <c r="H1188">
        <f t="shared" si="241"/>
        <v>-1.1608612275405879E-2</v>
      </c>
      <c r="I1188" t="str">
        <f t="shared" si="235"/>
        <v>2014-10</v>
      </c>
      <c r="K1188">
        <v>9382.0300000000007</v>
      </c>
      <c r="L1188">
        <f t="shared" si="242"/>
        <v>-9.7867120977579505E-3</v>
      </c>
      <c r="M1188" t="str">
        <f t="shared" si="236"/>
        <v>2014-10</v>
      </c>
      <c r="O1188">
        <v>8418.8384299999998</v>
      </c>
      <c r="P1188">
        <f t="shared" si="243"/>
        <v>-1.0221934376758385E-2</v>
      </c>
      <c r="Q1188" t="str">
        <f t="shared" si="237"/>
        <v>2014-10</v>
      </c>
      <c r="S1188">
        <v>10753.2</v>
      </c>
      <c r="T1188">
        <f t="shared" si="244"/>
        <v>-6.7010775022634536E-3</v>
      </c>
      <c r="U1188" t="str">
        <f t="shared" si="238"/>
        <v>2014-10</v>
      </c>
      <c r="W1188">
        <v>20706.310000000001</v>
      </c>
      <c r="X1188">
        <f t="shared" si="245"/>
        <v>-8.9330909957701984E-3</v>
      </c>
      <c r="Y1188">
        <f t="shared" si="246"/>
        <v>-8.8933094838194553E-3</v>
      </c>
      <c r="Z1188" t="str">
        <f t="shared" si="239"/>
        <v>2014-10</v>
      </c>
    </row>
    <row r="1189" spans="1:26" x14ac:dyDescent="0.35">
      <c r="A1189" s="1">
        <v>41914</v>
      </c>
      <c r="C1189">
        <v>3106.42</v>
      </c>
      <c r="D1189">
        <f t="shared" si="240"/>
        <v>-2.8141188904174594E-2</v>
      </c>
      <c r="E1189" t="str">
        <f t="shared" si="234"/>
        <v>2014-10</v>
      </c>
      <c r="G1189">
        <v>4242.67</v>
      </c>
      <c r="H1189">
        <f t="shared" si="241"/>
        <v>-2.8487255012227916E-2</v>
      </c>
      <c r="I1189" t="str">
        <f t="shared" si="235"/>
        <v>2014-10</v>
      </c>
      <c r="K1189">
        <v>9195.68</v>
      </c>
      <c r="L1189">
        <f t="shared" si="242"/>
        <v>-2.0062348956270567E-2</v>
      </c>
      <c r="M1189" t="str">
        <f t="shared" si="236"/>
        <v>2014-10</v>
      </c>
      <c r="O1189">
        <v>8211.5698400000001</v>
      </c>
      <c r="P1189">
        <f t="shared" si="243"/>
        <v>-2.4927749151507486E-2</v>
      </c>
      <c r="Q1189" t="str">
        <f t="shared" si="237"/>
        <v>2014-10</v>
      </c>
      <c r="S1189">
        <v>10418.1</v>
      </c>
      <c r="T1189">
        <f t="shared" si="244"/>
        <v>-3.1658706647747933E-2</v>
      </c>
      <c r="U1189" t="str">
        <f t="shared" si="238"/>
        <v>2014-10</v>
      </c>
      <c r="W1189">
        <v>19894.88</v>
      </c>
      <c r="X1189">
        <f t="shared" si="245"/>
        <v>-3.997607254323967E-2</v>
      </c>
      <c r="Y1189">
        <f t="shared" si="246"/>
        <v>-3.9187571324876339E-2</v>
      </c>
      <c r="Z1189" t="str">
        <f t="shared" si="239"/>
        <v>2014-10</v>
      </c>
    </row>
    <row r="1190" spans="1:26" x14ac:dyDescent="0.35">
      <c r="A1190" s="1">
        <v>41918</v>
      </c>
      <c r="C1190">
        <v>3138.67</v>
      </c>
      <c r="D1190">
        <f t="shared" si="240"/>
        <v>1.0328205575911478E-2</v>
      </c>
      <c r="E1190" t="str">
        <f t="shared" si="234"/>
        <v>2014-10</v>
      </c>
      <c r="G1190">
        <v>4286.5200000000004</v>
      </c>
      <c r="H1190">
        <f t="shared" si="241"/>
        <v>1.0282426900599072E-2</v>
      </c>
      <c r="I1190" t="str">
        <f t="shared" si="235"/>
        <v>2014-10</v>
      </c>
      <c r="K1190">
        <v>9209.51</v>
      </c>
      <c r="L1190">
        <f t="shared" si="242"/>
        <v>1.5028372543770534E-3</v>
      </c>
      <c r="M1190" t="str">
        <f t="shared" si="236"/>
        <v>2014-10</v>
      </c>
      <c r="O1190">
        <v>8350.0884399999995</v>
      </c>
      <c r="P1190">
        <f t="shared" si="243"/>
        <v>1.6728014518906546E-2</v>
      </c>
      <c r="Q1190" t="str">
        <f t="shared" si="237"/>
        <v>2014-10</v>
      </c>
      <c r="S1190">
        <v>10645.7</v>
      </c>
      <c r="T1190">
        <f t="shared" si="244"/>
        <v>2.1611376707253195E-2</v>
      </c>
      <c r="U1190" t="str">
        <f t="shared" si="238"/>
        <v>2014-10</v>
      </c>
      <c r="W1190">
        <v>20119.73</v>
      </c>
      <c r="X1190">
        <f t="shared" si="245"/>
        <v>1.1238513463941242E-2</v>
      </c>
      <c r="Y1190">
        <f t="shared" si="246"/>
        <v>1.1301902801122627E-2</v>
      </c>
      <c r="Z1190" t="str">
        <f t="shared" si="239"/>
        <v>2014-10</v>
      </c>
    </row>
    <row r="1191" spans="1:26" x14ac:dyDescent="0.35">
      <c r="A1191" s="1">
        <v>41919</v>
      </c>
      <c r="C1191">
        <v>3082.1</v>
      </c>
      <c r="D1191">
        <f t="shared" si="240"/>
        <v>-1.818796047650767E-2</v>
      </c>
      <c r="E1191" t="str">
        <f t="shared" si="234"/>
        <v>2014-10</v>
      </c>
      <c r="G1191">
        <v>4209.1400000000003</v>
      </c>
      <c r="H1191">
        <f t="shared" si="241"/>
        <v>-1.821686364429722E-2</v>
      </c>
      <c r="I1191" t="str">
        <f t="shared" si="235"/>
        <v>2014-10</v>
      </c>
      <c r="K1191">
        <v>9086.2099999999991</v>
      </c>
      <c r="L1191">
        <f t="shared" si="242"/>
        <v>-1.3478766260848006E-2</v>
      </c>
      <c r="M1191" t="str">
        <f t="shared" si="236"/>
        <v>2014-10</v>
      </c>
      <c r="O1191">
        <v>8257.0671199999997</v>
      </c>
      <c r="P1191">
        <f t="shared" si="243"/>
        <v>-1.1202676160826331E-2</v>
      </c>
      <c r="Q1191" t="str">
        <f t="shared" si="237"/>
        <v>2014-10</v>
      </c>
      <c r="S1191">
        <v>10430.700000000001</v>
      </c>
      <c r="T1191">
        <f t="shared" si="244"/>
        <v>-2.0402673900951449E-2</v>
      </c>
      <c r="U1191" t="str">
        <f t="shared" si="238"/>
        <v>2014-10</v>
      </c>
      <c r="W1191">
        <v>19771.71</v>
      </c>
      <c r="X1191">
        <f t="shared" si="245"/>
        <v>-1.7448797527396809E-2</v>
      </c>
      <c r="Y1191">
        <f t="shared" si="246"/>
        <v>-1.7297448822623386E-2</v>
      </c>
      <c r="Z1191" t="str">
        <f t="shared" si="239"/>
        <v>2014-10</v>
      </c>
    </row>
    <row r="1192" spans="1:26" x14ac:dyDescent="0.35">
      <c r="A1192" s="1">
        <v>41920</v>
      </c>
      <c r="C1192">
        <v>3053.31</v>
      </c>
      <c r="D1192">
        <f t="shared" si="240"/>
        <v>-9.384934767552134E-3</v>
      </c>
      <c r="E1192" t="str">
        <f t="shared" si="234"/>
        <v>2014-10</v>
      </c>
      <c r="G1192">
        <v>4168.12</v>
      </c>
      <c r="H1192">
        <f t="shared" si="241"/>
        <v>-9.7932564691923032E-3</v>
      </c>
      <c r="I1192" t="str">
        <f t="shared" si="235"/>
        <v>2014-10</v>
      </c>
      <c r="K1192">
        <v>8995.33</v>
      </c>
      <c r="L1192">
        <f t="shared" si="242"/>
        <v>-1.0052325772958488E-2</v>
      </c>
      <c r="M1192" t="str">
        <f t="shared" si="236"/>
        <v>2014-10</v>
      </c>
      <c r="O1192">
        <v>8216.0525799999996</v>
      </c>
      <c r="P1192">
        <f t="shared" si="243"/>
        <v>-4.9795819489473281E-3</v>
      </c>
      <c r="Q1192" t="str">
        <f t="shared" si="237"/>
        <v>2014-10</v>
      </c>
      <c r="S1192">
        <v>10339</v>
      </c>
      <c r="T1192">
        <f t="shared" si="244"/>
        <v>-8.8302282500348165E-3</v>
      </c>
      <c r="U1192" t="str">
        <f t="shared" si="238"/>
        <v>2014-10</v>
      </c>
      <c r="W1192">
        <v>19645.490000000002</v>
      </c>
      <c r="X1192">
        <f t="shared" si="245"/>
        <v>-6.4043326981198323E-3</v>
      </c>
      <c r="Y1192">
        <f t="shared" si="246"/>
        <v>-6.3838686689212786E-3</v>
      </c>
      <c r="Z1192" t="str">
        <f t="shared" si="239"/>
        <v>2014-10</v>
      </c>
    </row>
    <row r="1193" spans="1:26" x14ac:dyDescent="0.35">
      <c r="A1193" s="1">
        <v>41921</v>
      </c>
      <c r="C1193">
        <v>3042.45</v>
      </c>
      <c r="D1193">
        <f t="shared" si="240"/>
        <v>-3.5631361765629983E-3</v>
      </c>
      <c r="E1193" t="str">
        <f t="shared" si="234"/>
        <v>2014-10</v>
      </c>
      <c r="G1193">
        <v>4141.45</v>
      </c>
      <c r="H1193">
        <f t="shared" si="241"/>
        <v>-6.4191267607032693E-3</v>
      </c>
      <c r="I1193" t="str">
        <f t="shared" si="235"/>
        <v>2014-10</v>
      </c>
      <c r="K1193">
        <v>9005.02</v>
      </c>
      <c r="L1193">
        <f t="shared" si="242"/>
        <v>1.0766458358895743E-3</v>
      </c>
      <c r="M1193" t="str">
        <f t="shared" si="236"/>
        <v>2014-10</v>
      </c>
      <c r="O1193">
        <v>8172.3939899999996</v>
      </c>
      <c r="P1193">
        <f t="shared" si="243"/>
        <v>-5.3279843325018143E-3</v>
      </c>
      <c r="Q1193" t="str">
        <f t="shared" si="237"/>
        <v>2014-10</v>
      </c>
      <c r="S1193">
        <v>10273.700000000001</v>
      </c>
      <c r="T1193">
        <f t="shared" si="244"/>
        <v>-6.3359209079394763E-3</v>
      </c>
      <c r="U1193" t="str">
        <f t="shared" si="238"/>
        <v>2014-10</v>
      </c>
      <c r="W1193">
        <v>19382.490000000002</v>
      </c>
      <c r="X1193">
        <f t="shared" si="245"/>
        <v>-1.347771425135201E-2</v>
      </c>
      <c r="Y1193">
        <f t="shared" si="246"/>
        <v>-1.3387296524545836E-2</v>
      </c>
      <c r="Z1193" t="str">
        <f t="shared" si="239"/>
        <v>2014-10</v>
      </c>
    </row>
    <row r="1194" spans="1:26" x14ac:dyDescent="0.35">
      <c r="A1194" s="1">
        <v>41922</v>
      </c>
      <c r="C1194">
        <v>2991.5</v>
      </c>
      <c r="D1194">
        <f t="shared" si="240"/>
        <v>-1.6888178042819786E-2</v>
      </c>
      <c r="E1194" t="str">
        <f t="shared" si="234"/>
        <v>2014-10</v>
      </c>
      <c r="G1194">
        <v>4073.71</v>
      </c>
      <c r="H1194">
        <f t="shared" si="241"/>
        <v>-1.6491835904308073E-2</v>
      </c>
      <c r="I1194" t="str">
        <f t="shared" si="235"/>
        <v>2014-10</v>
      </c>
      <c r="K1194">
        <v>8788.81</v>
      </c>
      <c r="L1194">
        <f t="shared" si="242"/>
        <v>-2.4302878196460861E-2</v>
      </c>
      <c r="M1194" t="str">
        <f t="shared" si="236"/>
        <v>2014-10</v>
      </c>
      <c r="O1194">
        <v>8057.51548</v>
      </c>
      <c r="P1194">
        <f t="shared" si="243"/>
        <v>-1.4156632084117333E-2</v>
      </c>
      <c r="Q1194" t="str">
        <f t="shared" si="237"/>
        <v>2014-10</v>
      </c>
      <c r="S1194">
        <v>10150.5</v>
      </c>
      <c r="T1194">
        <f t="shared" si="244"/>
        <v>-1.2064266338363732E-2</v>
      </c>
      <c r="U1194" t="str">
        <f t="shared" si="238"/>
        <v>2014-10</v>
      </c>
      <c r="W1194">
        <v>19200.97</v>
      </c>
      <c r="X1194">
        <f t="shared" si="245"/>
        <v>-9.4092825905914331E-3</v>
      </c>
      <c r="Y1194">
        <f t="shared" si="246"/>
        <v>-9.3651538063479166E-3</v>
      </c>
      <c r="Z1194" t="str">
        <f t="shared" si="239"/>
        <v>2014-10</v>
      </c>
    </row>
    <row r="1195" spans="1:26" x14ac:dyDescent="0.35">
      <c r="A1195" s="1">
        <v>41925</v>
      </c>
      <c r="C1195">
        <v>2998.32</v>
      </c>
      <c r="D1195">
        <f t="shared" si="240"/>
        <v>2.2771979615970081E-3</v>
      </c>
      <c r="E1195" t="str">
        <f t="shared" si="234"/>
        <v>2014-10</v>
      </c>
      <c r="G1195">
        <v>4078.7</v>
      </c>
      <c r="H1195">
        <f t="shared" si="241"/>
        <v>1.2241780340225725E-3</v>
      </c>
      <c r="I1195" t="str">
        <f t="shared" si="235"/>
        <v>2014-10</v>
      </c>
      <c r="K1195">
        <v>8812.43</v>
      </c>
      <c r="L1195">
        <f t="shared" si="242"/>
        <v>2.6839034270958843E-3</v>
      </c>
      <c r="M1195" t="str">
        <f t="shared" si="236"/>
        <v>2014-10</v>
      </c>
      <c r="O1195">
        <v>8072.1470399999998</v>
      </c>
      <c r="P1195">
        <f t="shared" si="243"/>
        <v>1.8142430438511359E-3</v>
      </c>
      <c r="Q1195" t="str">
        <f t="shared" si="237"/>
        <v>2014-10</v>
      </c>
      <c r="S1195">
        <v>10187.299999999999</v>
      </c>
      <c r="T1195">
        <f t="shared" si="244"/>
        <v>3.6188811141793413E-3</v>
      </c>
      <c r="U1195" t="str">
        <f t="shared" si="238"/>
        <v>2014-10</v>
      </c>
      <c r="W1195">
        <v>19139.080000000002</v>
      </c>
      <c r="X1195">
        <f t="shared" si="245"/>
        <v>-3.2284805970289824E-3</v>
      </c>
      <c r="Y1195">
        <f t="shared" si="246"/>
        <v>-3.2232746574782116E-3</v>
      </c>
      <c r="Z1195" t="str">
        <f t="shared" si="239"/>
        <v>2014-10</v>
      </c>
    </row>
    <row r="1196" spans="1:26" x14ac:dyDescent="0.35">
      <c r="A1196" s="1">
        <v>41926</v>
      </c>
      <c r="C1196">
        <v>3000.99</v>
      </c>
      <c r="D1196">
        <f t="shared" si="240"/>
        <v>8.9010242053907973E-4</v>
      </c>
      <c r="E1196" t="str">
        <f t="shared" si="234"/>
        <v>2014-10</v>
      </c>
      <c r="G1196">
        <v>4088.25</v>
      </c>
      <c r="H1196">
        <f t="shared" si="241"/>
        <v>2.3386954377845417E-3</v>
      </c>
      <c r="I1196" t="str">
        <f t="shared" si="235"/>
        <v>2014-10</v>
      </c>
      <c r="K1196">
        <v>8825.2099999999991</v>
      </c>
      <c r="L1196">
        <f t="shared" si="242"/>
        <v>1.4491737258056142E-3</v>
      </c>
      <c r="M1196" t="str">
        <f t="shared" si="236"/>
        <v>2014-10</v>
      </c>
      <c r="O1196">
        <v>8039.83025</v>
      </c>
      <c r="P1196">
        <f t="shared" si="243"/>
        <v>-4.0115291569890032E-3</v>
      </c>
      <c r="Q1196" t="str">
        <f t="shared" si="237"/>
        <v>2014-10</v>
      </c>
      <c r="S1196">
        <v>10204.9</v>
      </c>
      <c r="T1196">
        <f t="shared" si="244"/>
        <v>1.7261506232847509E-3</v>
      </c>
      <c r="U1196" t="str">
        <f t="shared" si="238"/>
        <v>2014-10</v>
      </c>
      <c r="W1196">
        <v>19155.849999999999</v>
      </c>
      <c r="X1196">
        <f t="shared" si="245"/>
        <v>8.7583401102954656E-4</v>
      </c>
      <c r="Y1196">
        <f t="shared" si="246"/>
        <v>8.7621766563475347E-4</v>
      </c>
      <c r="Z1196" t="str">
        <f t="shared" si="239"/>
        <v>2014-10</v>
      </c>
    </row>
    <row r="1197" spans="1:26" x14ac:dyDescent="0.35">
      <c r="A1197" s="1">
        <v>41927</v>
      </c>
      <c r="C1197">
        <v>2892.55</v>
      </c>
      <c r="D1197">
        <f t="shared" si="240"/>
        <v>-3.6803768209091821E-2</v>
      </c>
      <c r="E1197" t="str">
        <f t="shared" si="234"/>
        <v>2014-10</v>
      </c>
      <c r="G1197">
        <v>3939.72</v>
      </c>
      <c r="H1197">
        <f t="shared" si="241"/>
        <v>-3.7007350835675308E-2</v>
      </c>
      <c r="I1197" t="str">
        <f t="shared" si="235"/>
        <v>2014-10</v>
      </c>
      <c r="K1197">
        <v>8571.9500000000007</v>
      </c>
      <c r="L1197">
        <f t="shared" si="242"/>
        <v>-2.9117153920385008E-2</v>
      </c>
      <c r="M1197" t="str">
        <f t="shared" si="236"/>
        <v>2014-10</v>
      </c>
      <c r="O1197">
        <v>7739.9044899999999</v>
      </c>
      <c r="P1197">
        <f t="shared" si="243"/>
        <v>-3.8018622051690772E-2</v>
      </c>
      <c r="Q1197" t="str">
        <f t="shared" si="237"/>
        <v>2014-10</v>
      </c>
      <c r="S1197">
        <v>9838.5</v>
      </c>
      <c r="T1197">
        <f t="shared" si="244"/>
        <v>-3.6564736675954231E-2</v>
      </c>
      <c r="U1197" t="str">
        <f t="shared" si="238"/>
        <v>2014-10</v>
      </c>
      <c r="W1197">
        <v>18304.990000000002</v>
      </c>
      <c r="X1197">
        <f t="shared" si="245"/>
        <v>-4.543445173171054E-2</v>
      </c>
      <c r="Y1197">
        <f t="shared" si="246"/>
        <v>-4.4417762720004438E-2</v>
      </c>
      <c r="Z1197" t="str">
        <f t="shared" si="239"/>
        <v>2014-10</v>
      </c>
    </row>
    <row r="1198" spans="1:26" x14ac:dyDescent="0.35">
      <c r="A1198" s="1">
        <v>41928</v>
      </c>
      <c r="C1198">
        <v>2874.65</v>
      </c>
      <c r="D1198">
        <f t="shared" si="240"/>
        <v>-6.2075383129241895E-3</v>
      </c>
      <c r="E1198" t="str">
        <f t="shared" si="234"/>
        <v>2014-10</v>
      </c>
      <c r="G1198">
        <v>3918.62</v>
      </c>
      <c r="H1198">
        <f t="shared" si="241"/>
        <v>-5.3701037895580945E-3</v>
      </c>
      <c r="I1198" t="str">
        <f t="shared" si="235"/>
        <v>2014-10</v>
      </c>
      <c r="K1198">
        <v>8582.9</v>
      </c>
      <c r="L1198">
        <f t="shared" si="242"/>
        <v>1.2766070804610854E-3</v>
      </c>
      <c r="M1198" t="str">
        <f t="shared" si="236"/>
        <v>2014-10</v>
      </c>
      <c r="O1198">
        <v>7763.1249699999998</v>
      </c>
      <c r="P1198">
        <f t="shared" si="243"/>
        <v>2.9956077196798196E-3</v>
      </c>
      <c r="Q1198" t="str">
        <f t="shared" si="237"/>
        <v>2014-10</v>
      </c>
      <c r="S1198">
        <v>9669.7000000000007</v>
      </c>
      <c r="T1198">
        <f t="shared" si="244"/>
        <v>-1.7305975220709112E-2</v>
      </c>
      <c r="U1198" t="str">
        <f t="shared" si="238"/>
        <v>2014-10</v>
      </c>
      <c r="W1198">
        <v>18083.11</v>
      </c>
      <c r="X1198">
        <f t="shared" si="245"/>
        <v>-1.2195346827445096E-2</v>
      </c>
      <c r="Y1198">
        <f t="shared" si="246"/>
        <v>-1.2121284961095363E-2</v>
      </c>
      <c r="Z1198" t="str">
        <f t="shared" si="239"/>
        <v>2014-10</v>
      </c>
    </row>
    <row r="1199" spans="1:26" x14ac:dyDescent="0.35">
      <c r="A1199" s="1">
        <v>41929</v>
      </c>
      <c r="C1199">
        <v>2962.24</v>
      </c>
      <c r="D1199">
        <f t="shared" si="240"/>
        <v>3.0014811188639672E-2</v>
      </c>
      <c r="E1199" t="str">
        <f t="shared" si="234"/>
        <v>2014-10</v>
      </c>
      <c r="G1199">
        <v>4033.18</v>
      </c>
      <c r="H1199">
        <f t="shared" si="241"/>
        <v>2.8815595677884023E-2</v>
      </c>
      <c r="I1199" t="str">
        <f t="shared" si="235"/>
        <v>2014-10</v>
      </c>
      <c r="K1199">
        <v>8850.27</v>
      </c>
      <c r="L1199">
        <f t="shared" si="242"/>
        <v>3.0676115298730777E-2</v>
      </c>
      <c r="M1199" t="str">
        <f t="shared" si="236"/>
        <v>2014-10</v>
      </c>
      <c r="O1199">
        <v>7953.2086600000002</v>
      </c>
      <c r="P1199">
        <f t="shared" si="243"/>
        <v>2.4190496819187123E-2</v>
      </c>
      <c r="Q1199" t="str">
        <f t="shared" si="237"/>
        <v>2014-10</v>
      </c>
      <c r="S1199">
        <v>9956.7999999999993</v>
      </c>
      <c r="T1199">
        <f t="shared" si="244"/>
        <v>2.9258449633762701E-2</v>
      </c>
      <c r="U1199" t="str">
        <f t="shared" si="238"/>
        <v>2014-10</v>
      </c>
      <c r="W1199">
        <v>18700.98</v>
      </c>
      <c r="X1199">
        <f t="shared" si="245"/>
        <v>3.3597575458705196E-2</v>
      </c>
      <c r="Y1199">
        <f t="shared" si="246"/>
        <v>3.4168348254254882E-2</v>
      </c>
      <c r="Z1199" t="str">
        <f t="shared" si="239"/>
        <v>2014-10</v>
      </c>
    </row>
    <row r="1200" spans="1:26" x14ac:dyDescent="0.35">
      <c r="A1200" s="1">
        <v>41932</v>
      </c>
      <c r="C1200">
        <v>2927.3</v>
      </c>
      <c r="D1200">
        <f t="shared" si="240"/>
        <v>-1.186524241793168E-2</v>
      </c>
      <c r="E1200" t="str">
        <f t="shared" si="234"/>
        <v>2014-10</v>
      </c>
      <c r="G1200">
        <v>3991.24</v>
      </c>
      <c r="H1200">
        <f t="shared" si="241"/>
        <v>-1.04531871200367E-2</v>
      </c>
      <c r="I1200" t="str">
        <f t="shared" si="235"/>
        <v>2014-10</v>
      </c>
      <c r="K1200">
        <v>8717.76</v>
      </c>
      <c r="L1200">
        <f t="shared" si="242"/>
        <v>-1.5085642841604198E-2</v>
      </c>
      <c r="M1200" t="str">
        <f t="shared" si="236"/>
        <v>2014-10</v>
      </c>
      <c r="O1200">
        <v>7907.9206800000002</v>
      </c>
      <c r="P1200">
        <f t="shared" si="243"/>
        <v>-5.7105773620325494E-3</v>
      </c>
      <c r="Q1200" t="str">
        <f t="shared" si="237"/>
        <v>2014-10</v>
      </c>
      <c r="S1200">
        <v>9915.2000000000007</v>
      </c>
      <c r="T1200">
        <f t="shared" si="244"/>
        <v>-4.1868016071102262E-3</v>
      </c>
      <c r="U1200" t="str">
        <f t="shared" si="238"/>
        <v>2014-10</v>
      </c>
      <c r="W1200">
        <v>18540.099999999999</v>
      </c>
      <c r="X1200">
        <f t="shared" si="245"/>
        <v>-8.6399750380642647E-3</v>
      </c>
      <c r="Y1200">
        <f t="shared" si="246"/>
        <v>-8.602757716440583E-3</v>
      </c>
      <c r="Z1200" t="str">
        <f t="shared" si="239"/>
        <v>2014-10</v>
      </c>
    </row>
    <row r="1201" spans="1:26" x14ac:dyDescent="0.35">
      <c r="A1201" s="1">
        <v>41933</v>
      </c>
      <c r="C1201">
        <v>2991.46</v>
      </c>
      <c r="D1201">
        <f t="shared" si="240"/>
        <v>2.1681066061323948E-2</v>
      </c>
      <c r="E1201" t="str">
        <f t="shared" si="234"/>
        <v>2014-10</v>
      </c>
      <c r="G1201">
        <v>4081.24</v>
      </c>
      <c r="H1201">
        <f t="shared" si="241"/>
        <v>2.2298904246916485E-2</v>
      </c>
      <c r="I1201" t="str">
        <f t="shared" si="235"/>
        <v>2014-10</v>
      </c>
      <c r="K1201">
        <v>8886.9599999999991</v>
      </c>
      <c r="L1201">
        <f t="shared" si="242"/>
        <v>1.9222709602319386E-2</v>
      </c>
      <c r="M1201" t="str">
        <f t="shared" si="236"/>
        <v>2014-10</v>
      </c>
      <c r="O1201">
        <v>8074.3872000000001</v>
      </c>
      <c r="P1201">
        <f t="shared" si="243"/>
        <v>2.0832102775094646E-2</v>
      </c>
      <c r="Q1201" t="str">
        <f t="shared" si="237"/>
        <v>2014-10</v>
      </c>
      <c r="S1201">
        <v>10152.1</v>
      </c>
      <c r="T1201">
        <f t="shared" si="244"/>
        <v>2.3611647413674566E-2</v>
      </c>
      <c r="U1201" t="str">
        <f t="shared" si="238"/>
        <v>2014-10</v>
      </c>
      <c r="W1201">
        <v>19057.72</v>
      </c>
      <c r="X1201">
        <f t="shared" si="245"/>
        <v>2.7536314958783517E-2</v>
      </c>
      <c r="Y1201">
        <f t="shared" si="246"/>
        <v>2.7918943263520835E-2</v>
      </c>
      <c r="Z1201" t="str">
        <f t="shared" si="239"/>
        <v>2014-10</v>
      </c>
    </row>
    <row r="1202" spans="1:26" x14ac:dyDescent="0.35">
      <c r="A1202" s="1">
        <v>41934</v>
      </c>
      <c r="C1202">
        <v>3008.53</v>
      </c>
      <c r="D1202">
        <f t="shared" si="240"/>
        <v>5.6900248351679531E-3</v>
      </c>
      <c r="E1202" t="str">
        <f t="shared" si="234"/>
        <v>2014-10</v>
      </c>
      <c r="G1202">
        <v>4105.09</v>
      </c>
      <c r="H1202">
        <f t="shared" si="241"/>
        <v>5.8268033364989981E-3</v>
      </c>
      <c r="I1202" t="str">
        <f t="shared" si="235"/>
        <v>2014-10</v>
      </c>
      <c r="K1202">
        <v>8940.14</v>
      </c>
      <c r="L1202">
        <f t="shared" si="242"/>
        <v>5.9662152283087525E-3</v>
      </c>
      <c r="M1202" t="str">
        <f t="shared" si="236"/>
        <v>2014-10</v>
      </c>
      <c r="O1202">
        <v>8122.9674699999996</v>
      </c>
      <c r="P1202">
        <f t="shared" si="243"/>
        <v>5.9985616985761712E-3</v>
      </c>
      <c r="Q1202" t="str">
        <f t="shared" si="237"/>
        <v>2014-10</v>
      </c>
      <c r="S1202">
        <v>10249.9</v>
      </c>
      <c r="T1202">
        <f t="shared" si="244"/>
        <v>9.5873687998844648E-3</v>
      </c>
      <c r="U1202" t="str">
        <f t="shared" si="238"/>
        <v>2014-10</v>
      </c>
      <c r="W1202">
        <v>19266.25</v>
      </c>
      <c r="X1202">
        <f t="shared" si="245"/>
        <v>1.0882591653588155E-2</v>
      </c>
      <c r="Y1202">
        <f t="shared" si="246"/>
        <v>1.0942022445497092E-2</v>
      </c>
      <c r="Z1202" t="str">
        <f t="shared" si="239"/>
        <v>2014-10</v>
      </c>
    </row>
    <row r="1203" spans="1:26" x14ac:dyDescent="0.35">
      <c r="A1203" s="1">
        <v>41935</v>
      </c>
      <c r="C1203">
        <v>3044.3</v>
      </c>
      <c r="D1203">
        <f t="shared" si="240"/>
        <v>1.1819402301499471E-2</v>
      </c>
      <c r="E1203" t="str">
        <f t="shared" si="234"/>
        <v>2014-10</v>
      </c>
      <c r="G1203">
        <v>4157.68</v>
      </c>
      <c r="H1203">
        <f t="shared" si="241"/>
        <v>1.2729559250890272E-2</v>
      </c>
      <c r="I1203" t="str">
        <f t="shared" si="235"/>
        <v>2014-10</v>
      </c>
      <c r="K1203">
        <v>9047.31</v>
      </c>
      <c r="L1203">
        <f t="shared" si="242"/>
        <v>1.1916226940867854E-2</v>
      </c>
      <c r="M1203" t="str">
        <f t="shared" si="236"/>
        <v>2014-10</v>
      </c>
      <c r="O1203">
        <v>8141.9925800000001</v>
      </c>
      <c r="P1203">
        <f t="shared" si="243"/>
        <v>2.3393993736494203E-3</v>
      </c>
      <c r="Q1203" t="str">
        <f t="shared" si="237"/>
        <v>2014-10</v>
      </c>
      <c r="S1203">
        <v>10333.700000000001</v>
      </c>
      <c r="T1203">
        <f t="shared" si="244"/>
        <v>8.1424496192015472E-3</v>
      </c>
      <c r="U1203" t="str">
        <f t="shared" si="238"/>
        <v>2014-10</v>
      </c>
      <c r="W1203">
        <v>19434.98</v>
      </c>
      <c r="X1203">
        <f t="shared" si="245"/>
        <v>8.7196747536013568E-3</v>
      </c>
      <c r="Y1203">
        <f t="shared" si="246"/>
        <v>8.7578018555764386E-3</v>
      </c>
      <c r="Z1203" t="str">
        <f t="shared" si="239"/>
        <v>2014-10</v>
      </c>
    </row>
    <row r="1204" spans="1:26" x14ac:dyDescent="0.35">
      <c r="A1204" s="1">
        <v>41936</v>
      </c>
      <c r="C1204">
        <v>3030.37</v>
      </c>
      <c r="D1204">
        <f t="shared" si="240"/>
        <v>-4.5862653993593398E-3</v>
      </c>
      <c r="E1204" t="str">
        <f t="shared" si="234"/>
        <v>2014-10</v>
      </c>
      <c r="G1204">
        <v>4128.8999999999996</v>
      </c>
      <c r="H1204">
        <f t="shared" si="241"/>
        <v>-6.9461987258230612E-3</v>
      </c>
      <c r="I1204" t="str">
        <f t="shared" si="235"/>
        <v>2014-10</v>
      </c>
      <c r="K1204">
        <v>8987.7999999999993</v>
      </c>
      <c r="L1204">
        <f t="shared" si="242"/>
        <v>-6.5993737748372477E-3</v>
      </c>
      <c r="M1204" t="str">
        <f t="shared" si="236"/>
        <v>2014-10</v>
      </c>
      <c r="O1204">
        <v>8110.5583399999996</v>
      </c>
      <c r="P1204">
        <f t="shared" si="243"/>
        <v>-3.8682271295222997E-3</v>
      </c>
      <c r="Q1204" t="str">
        <f t="shared" si="237"/>
        <v>2014-10</v>
      </c>
      <c r="S1204">
        <v>10339.299999999999</v>
      </c>
      <c r="T1204">
        <f t="shared" si="244"/>
        <v>5.4176947099805132E-4</v>
      </c>
      <c r="U1204" t="str">
        <f t="shared" si="238"/>
        <v>2014-10</v>
      </c>
      <c r="W1204">
        <v>19495.68</v>
      </c>
      <c r="X1204">
        <f t="shared" si="245"/>
        <v>3.118367332499079E-3</v>
      </c>
      <c r="Y1204">
        <f t="shared" si="246"/>
        <v>3.1232344977973081E-3</v>
      </c>
      <c r="Z1204" t="str">
        <f t="shared" si="239"/>
        <v>2014-10</v>
      </c>
    </row>
    <row r="1205" spans="1:26" x14ac:dyDescent="0.35">
      <c r="A1205" s="1">
        <v>41939</v>
      </c>
      <c r="C1205">
        <v>2998.84</v>
      </c>
      <c r="D1205">
        <f t="shared" si="240"/>
        <v>-1.0459177050798114E-2</v>
      </c>
      <c r="E1205" t="str">
        <f t="shared" si="234"/>
        <v>2014-10</v>
      </c>
      <c r="G1205">
        <v>4096.74</v>
      </c>
      <c r="H1205">
        <f t="shared" si="241"/>
        <v>-7.8194921895391595E-3</v>
      </c>
      <c r="I1205" t="str">
        <f t="shared" si="235"/>
        <v>2014-10</v>
      </c>
      <c r="K1205">
        <v>8902.61</v>
      </c>
      <c r="L1205">
        <f t="shared" si="242"/>
        <v>-9.5236100108819065E-3</v>
      </c>
      <c r="M1205" t="str">
        <f t="shared" si="236"/>
        <v>2014-10</v>
      </c>
      <c r="O1205">
        <v>8075.4085500000001</v>
      </c>
      <c r="P1205">
        <f t="shared" si="243"/>
        <v>-4.3432493707406591E-3</v>
      </c>
      <c r="Q1205" t="str">
        <f t="shared" si="237"/>
        <v>2014-10</v>
      </c>
      <c r="S1205">
        <v>10195.200000000001</v>
      </c>
      <c r="T1205">
        <f t="shared" si="244"/>
        <v>-1.4035147235927088E-2</v>
      </c>
      <c r="U1205" t="str">
        <f t="shared" si="238"/>
        <v>2014-10</v>
      </c>
      <c r="W1205">
        <v>19028.669999999998</v>
      </c>
      <c r="X1205">
        <f t="shared" si="245"/>
        <v>-2.4246113347154367E-2</v>
      </c>
      <c r="Y1205">
        <f t="shared" si="246"/>
        <v>-2.3954537620642216E-2</v>
      </c>
      <c r="Z1205" t="str">
        <f t="shared" si="239"/>
        <v>2014-10</v>
      </c>
    </row>
    <row r="1206" spans="1:26" x14ac:dyDescent="0.35">
      <c r="A1206" s="1">
        <v>41940</v>
      </c>
      <c r="C1206">
        <v>3036.15</v>
      </c>
      <c r="D1206">
        <f t="shared" si="240"/>
        <v>1.2364718200905168E-2</v>
      </c>
      <c r="E1206" t="str">
        <f t="shared" si="234"/>
        <v>2014-10</v>
      </c>
      <c r="G1206">
        <v>4112.67</v>
      </c>
      <c r="H1206">
        <f t="shared" si="241"/>
        <v>3.8809171412220503E-3</v>
      </c>
      <c r="I1206" t="str">
        <f t="shared" si="235"/>
        <v>2014-10</v>
      </c>
      <c r="K1206">
        <v>9068.19</v>
      </c>
      <c r="L1206">
        <f t="shared" si="242"/>
        <v>1.8428193053621488E-2</v>
      </c>
      <c r="M1206" t="str">
        <f t="shared" si="236"/>
        <v>2014-10</v>
      </c>
      <c r="O1206">
        <v>8110.8895199999997</v>
      </c>
      <c r="P1206">
        <f t="shared" si="243"/>
        <v>4.3840817308240096E-3</v>
      </c>
      <c r="Q1206" t="str">
        <f t="shared" si="237"/>
        <v>2014-10</v>
      </c>
      <c r="S1206">
        <v>10394.799999999999</v>
      </c>
      <c r="T1206">
        <f t="shared" si="244"/>
        <v>1.938865981210695E-2</v>
      </c>
      <c r="U1206" t="str">
        <f t="shared" si="238"/>
        <v>2014-10</v>
      </c>
      <c r="W1206">
        <v>19476.62</v>
      </c>
      <c r="X1206">
        <f t="shared" si="245"/>
        <v>2.3267982648190012E-2</v>
      </c>
      <c r="Y1206">
        <f t="shared" si="246"/>
        <v>2.3540793970361604E-2</v>
      </c>
      <c r="Z1206" t="str">
        <f t="shared" si="239"/>
        <v>2014-10</v>
      </c>
    </row>
    <row r="1207" spans="1:26" x14ac:dyDescent="0.35">
      <c r="A1207" s="1">
        <v>41941</v>
      </c>
      <c r="C1207">
        <v>3022.42</v>
      </c>
      <c r="D1207">
        <f t="shared" si="240"/>
        <v>-4.5324304264942276E-3</v>
      </c>
      <c r="E1207" t="str">
        <f t="shared" si="234"/>
        <v>2014-10</v>
      </c>
      <c r="G1207">
        <v>4110.6400000000003</v>
      </c>
      <c r="H1207">
        <f t="shared" si="241"/>
        <v>-4.9371847619403167E-4</v>
      </c>
      <c r="I1207" t="str">
        <f t="shared" si="235"/>
        <v>2014-10</v>
      </c>
      <c r="K1207">
        <v>9082.81</v>
      </c>
      <c r="L1207">
        <f t="shared" si="242"/>
        <v>1.6109308756204457E-3</v>
      </c>
      <c r="M1207" t="str">
        <f t="shared" si="236"/>
        <v>2014-10</v>
      </c>
      <c r="O1207">
        <v>8156.2847400000001</v>
      </c>
      <c r="P1207">
        <f t="shared" si="243"/>
        <v>5.5812198373069912E-3</v>
      </c>
      <c r="Q1207" t="str">
        <f t="shared" si="237"/>
        <v>2014-10</v>
      </c>
      <c r="S1207">
        <v>10247.799999999999</v>
      </c>
      <c r="T1207">
        <f t="shared" si="244"/>
        <v>-1.4242632704773805E-2</v>
      </c>
      <c r="U1207" t="str">
        <f t="shared" si="238"/>
        <v>2014-10</v>
      </c>
      <c r="W1207">
        <v>19157.41</v>
      </c>
      <c r="X1207">
        <f t="shared" si="245"/>
        <v>-1.6525185913536567E-2</v>
      </c>
      <c r="Y1207">
        <f t="shared" si="246"/>
        <v>-1.6389394052972187E-2</v>
      </c>
      <c r="Z1207" t="str">
        <f t="shared" si="239"/>
        <v>2014-10</v>
      </c>
    </row>
    <row r="1208" spans="1:26" x14ac:dyDescent="0.35">
      <c r="A1208" s="1">
        <v>41942</v>
      </c>
      <c r="C1208">
        <v>3035.9</v>
      </c>
      <c r="D1208">
        <f t="shared" si="240"/>
        <v>4.4500859134744518E-3</v>
      </c>
      <c r="E1208" t="str">
        <f t="shared" si="234"/>
        <v>2014-10</v>
      </c>
      <c r="G1208">
        <v>4141.24</v>
      </c>
      <c r="H1208">
        <f t="shared" si="241"/>
        <v>7.416525752252677E-3</v>
      </c>
      <c r="I1208" t="str">
        <f t="shared" si="235"/>
        <v>2014-10</v>
      </c>
      <c r="K1208">
        <v>9114.84</v>
      </c>
      <c r="L1208">
        <f t="shared" si="242"/>
        <v>3.5202383908379373E-3</v>
      </c>
      <c r="M1208" t="str">
        <f t="shared" si="236"/>
        <v>2014-10</v>
      </c>
      <c r="O1208">
        <v>8199.7736399999994</v>
      </c>
      <c r="P1208">
        <f t="shared" si="243"/>
        <v>5.3177851868961542E-3</v>
      </c>
      <c r="Q1208" t="str">
        <f t="shared" si="237"/>
        <v>2014-10</v>
      </c>
      <c r="S1208">
        <v>10263.700000000001</v>
      </c>
      <c r="T1208">
        <f t="shared" si="244"/>
        <v>1.5503501143018462E-3</v>
      </c>
      <c r="U1208" t="str">
        <f t="shared" si="238"/>
        <v>2014-10</v>
      </c>
      <c r="W1208">
        <v>19194.61</v>
      </c>
      <c r="X1208">
        <f t="shared" si="245"/>
        <v>1.9399245028684756E-3</v>
      </c>
      <c r="Y1208">
        <f t="shared" si="246"/>
        <v>1.9418073737525441E-3</v>
      </c>
      <c r="Z1208" t="str">
        <f t="shared" si="239"/>
        <v>2014-10</v>
      </c>
    </row>
    <row r="1209" spans="1:26" x14ac:dyDescent="0.35">
      <c r="A1209" s="1">
        <v>41943</v>
      </c>
      <c r="C1209">
        <v>3113.32</v>
      </c>
      <c r="D1209">
        <f t="shared" si="240"/>
        <v>2.518175999372789E-2</v>
      </c>
      <c r="E1209" t="str">
        <f t="shared" si="234"/>
        <v>2014-10</v>
      </c>
      <c r="G1209">
        <v>4233.09</v>
      </c>
      <c r="H1209">
        <f t="shared" si="241"/>
        <v>2.1936962930217716E-2</v>
      </c>
      <c r="I1209" t="str">
        <f t="shared" si="235"/>
        <v>2014-10</v>
      </c>
      <c r="K1209">
        <v>9326.8700000000008</v>
      </c>
      <c r="L1209">
        <f t="shared" si="242"/>
        <v>2.2995627124921314E-2</v>
      </c>
      <c r="M1209" t="str">
        <f t="shared" si="236"/>
        <v>2014-10</v>
      </c>
      <c r="O1209">
        <v>8355.6173600000002</v>
      </c>
      <c r="P1209">
        <f t="shared" si="243"/>
        <v>1.8827501389592188E-2</v>
      </c>
      <c r="Q1209" t="str">
        <f t="shared" si="237"/>
        <v>2014-10</v>
      </c>
      <c r="S1209">
        <v>10477.799999999999</v>
      </c>
      <c r="T1209">
        <f t="shared" si="244"/>
        <v>2.0645334676544606E-2</v>
      </c>
      <c r="U1209" t="str">
        <f t="shared" si="238"/>
        <v>2014-10</v>
      </c>
      <c r="W1209">
        <v>19783.990000000002</v>
      </c>
      <c r="X1209">
        <f t="shared" si="245"/>
        <v>3.0243514304770121E-2</v>
      </c>
      <c r="Y1209">
        <f t="shared" si="246"/>
        <v>3.0705494928003278E-2</v>
      </c>
      <c r="Z1209" t="str">
        <f t="shared" si="239"/>
        <v>2014-10</v>
      </c>
    </row>
    <row r="1210" spans="1:26" x14ac:dyDescent="0.35">
      <c r="A1210" s="1">
        <v>41946</v>
      </c>
      <c r="C1210">
        <v>3082.32</v>
      </c>
      <c r="D1210">
        <f t="shared" si="240"/>
        <v>-1.000712071745171E-2</v>
      </c>
      <c r="E1210" t="str">
        <f t="shared" si="234"/>
        <v>2014-11</v>
      </c>
      <c r="G1210">
        <v>4194.03</v>
      </c>
      <c r="H1210">
        <f t="shared" si="241"/>
        <v>-9.2701372994510919E-3</v>
      </c>
      <c r="I1210" t="str">
        <f t="shared" si="235"/>
        <v>2014-11</v>
      </c>
      <c r="K1210">
        <v>9251.7000000000007</v>
      </c>
      <c r="L1210">
        <f t="shared" si="242"/>
        <v>-8.0921631962672207E-3</v>
      </c>
      <c r="M1210" t="str">
        <f t="shared" si="236"/>
        <v>2014-11</v>
      </c>
      <c r="O1210">
        <v>8307.3038400000005</v>
      </c>
      <c r="P1210">
        <f t="shared" si="243"/>
        <v>-5.7989418313290197E-3</v>
      </c>
      <c r="Q1210" t="str">
        <f t="shared" si="237"/>
        <v>2014-11</v>
      </c>
      <c r="S1210">
        <v>10374.4</v>
      </c>
      <c r="T1210">
        <f t="shared" si="244"/>
        <v>-9.9175000725522135E-3</v>
      </c>
      <c r="U1210" t="str">
        <f t="shared" si="238"/>
        <v>2014-11</v>
      </c>
      <c r="W1210">
        <v>19369.03</v>
      </c>
      <c r="X1210">
        <f t="shared" si="245"/>
        <v>-2.1197626034382289E-2</v>
      </c>
      <c r="Y1210">
        <f t="shared" si="246"/>
        <v>-2.0974535470347624E-2</v>
      </c>
      <c r="Z1210" t="str">
        <f t="shared" si="239"/>
        <v>2014-11</v>
      </c>
    </row>
    <row r="1211" spans="1:26" x14ac:dyDescent="0.35">
      <c r="A1211" s="1">
        <v>41947</v>
      </c>
      <c r="C1211">
        <v>3034.24</v>
      </c>
      <c r="D1211">
        <f t="shared" si="240"/>
        <v>-1.5721578899211362E-2</v>
      </c>
      <c r="E1211" t="str">
        <f t="shared" si="234"/>
        <v>2014-11</v>
      </c>
      <c r="G1211">
        <v>4130.1899999999996</v>
      </c>
      <c r="H1211">
        <f t="shared" si="241"/>
        <v>-1.5338674772601585E-2</v>
      </c>
      <c r="I1211" t="str">
        <f t="shared" si="235"/>
        <v>2014-11</v>
      </c>
      <c r="K1211">
        <v>9166.4699999999993</v>
      </c>
      <c r="L1211">
        <f t="shared" si="242"/>
        <v>-9.2550571931377199E-3</v>
      </c>
      <c r="M1211" t="str">
        <f t="shared" si="236"/>
        <v>2014-11</v>
      </c>
      <c r="O1211">
        <v>8227.33266</v>
      </c>
      <c r="P1211">
        <f t="shared" si="243"/>
        <v>-9.6732460475391635E-3</v>
      </c>
      <c r="Q1211" t="str">
        <f t="shared" si="237"/>
        <v>2014-11</v>
      </c>
      <c r="S1211">
        <v>10154.4</v>
      </c>
      <c r="T1211">
        <f t="shared" si="244"/>
        <v>-2.1434124027334883E-2</v>
      </c>
      <c r="U1211" t="str">
        <f t="shared" si="238"/>
        <v>2014-11</v>
      </c>
      <c r="W1211">
        <v>18934.63</v>
      </c>
      <c r="X1211">
        <f t="shared" si="245"/>
        <v>-2.2682878096212694E-2</v>
      </c>
      <c r="Y1211">
        <f t="shared" si="246"/>
        <v>-2.2427555742337013E-2</v>
      </c>
      <c r="Z1211" t="str">
        <f t="shared" si="239"/>
        <v>2014-11</v>
      </c>
    </row>
    <row r="1212" spans="1:26" x14ac:dyDescent="0.35">
      <c r="A1212" s="1">
        <v>41948</v>
      </c>
      <c r="C1212">
        <v>3091.54</v>
      </c>
      <c r="D1212">
        <f t="shared" si="240"/>
        <v>1.8708367344115306E-2</v>
      </c>
      <c r="E1212" t="str">
        <f t="shared" si="234"/>
        <v>2014-11</v>
      </c>
      <c r="G1212">
        <v>4208.42</v>
      </c>
      <c r="H1212">
        <f t="shared" si="241"/>
        <v>1.8763869583299179E-2</v>
      </c>
      <c r="I1212" t="str">
        <f t="shared" si="235"/>
        <v>2014-11</v>
      </c>
      <c r="K1212">
        <v>9315.48</v>
      </c>
      <c r="L1212">
        <f t="shared" si="242"/>
        <v>1.612527128778873E-2</v>
      </c>
      <c r="M1212" t="str">
        <f t="shared" si="236"/>
        <v>2014-11</v>
      </c>
      <c r="O1212">
        <v>8364.4667000000009</v>
      </c>
      <c r="P1212">
        <f t="shared" si="243"/>
        <v>1.6530716148766601E-2</v>
      </c>
      <c r="Q1212" t="str">
        <f t="shared" si="237"/>
        <v>2014-11</v>
      </c>
      <c r="S1212">
        <v>10276.9</v>
      </c>
      <c r="T1212">
        <f t="shared" si="244"/>
        <v>1.1991549037674959E-2</v>
      </c>
      <c r="U1212" t="str">
        <f t="shared" si="238"/>
        <v>2014-11</v>
      </c>
      <c r="W1212">
        <v>19427.849999999999</v>
      </c>
      <c r="X1212">
        <f t="shared" si="245"/>
        <v>2.5715083008938898E-2</v>
      </c>
      <c r="Y1212">
        <f t="shared" si="246"/>
        <v>2.6048568152638712E-2</v>
      </c>
      <c r="Z1212" t="str">
        <f t="shared" si="239"/>
        <v>2014-11</v>
      </c>
    </row>
    <row r="1213" spans="1:26" x14ac:dyDescent="0.35">
      <c r="A1213" s="1">
        <v>41949</v>
      </c>
      <c r="C1213">
        <v>3102.07</v>
      </c>
      <c r="D1213">
        <f t="shared" si="240"/>
        <v>3.4002819504555873E-3</v>
      </c>
      <c r="E1213" t="str">
        <f t="shared" si="234"/>
        <v>2014-11</v>
      </c>
      <c r="G1213">
        <v>4227.68</v>
      </c>
      <c r="H1213">
        <f t="shared" si="241"/>
        <v>4.5660988995031198E-3</v>
      </c>
      <c r="I1213" t="str">
        <f t="shared" si="235"/>
        <v>2014-11</v>
      </c>
      <c r="K1213">
        <v>9377.41</v>
      </c>
      <c r="L1213">
        <f t="shared" si="242"/>
        <v>6.6260729705692814E-3</v>
      </c>
      <c r="M1213" t="str">
        <f t="shared" si="236"/>
        <v>2014-11</v>
      </c>
      <c r="O1213">
        <v>8369.9157899999991</v>
      </c>
      <c r="P1213">
        <f t="shared" si="243"/>
        <v>6.5124484824510191E-4</v>
      </c>
      <c r="Q1213" t="str">
        <f t="shared" si="237"/>
        <v>2014-11</v>
      </c>
      <c r="S1213">
        <v>10261.799999999999</v>
      </c>
      <c r="T1213">
        <f t="shared" si="244"/>
        <v>-1.4703951779416133E-3</v>
      </c>
      <c r="U1213" t="str">
        <f t="shared" si="238"/>
        <v>2014-11</v>
      </c>
      <c r="W1213">
        <v>19285.759999999998</v>
      </c>
      <c r="X1213">
        <f t="shared" si="245"/>
        <v>-7.3406038876974132E-3</v>
      </c>
      <c r="Y1213">
        <f t="shared" si="246"/>
        <v>-7.3137274582622449E-3</v>
      </c>
      <c r="Z1213" t="str">
        <f t="shared" si="239"/>
        <v>2014-11</v>
      </c>
    </row>
    <row r="1214" spans="1:26" x14ac:dyDescent="0.35">
      <c r="A1214" s="1">
        <v>41950</v>
      </c>
      <c r="C1214">
        <v>3064.92</v>
      </c>
      <c r="D1214">
        <f t="shared" si="240"/>
        <v>-1.2048162680523626E-2</v>
      </c>
      <c r="E1214" t="str">
        <f t="shared" si="234"/>
        <v>2014-11</v>
      </c>
      <c r="G1214">
        <v>4189.8900000000003</v>
      </c>
      <c r="H1214">
        <f t="shared" si="241"/>
        <v>-8.9788986340309483E-3</v>
      </c>
      <c r="I1214" t="str">
        <f t="shared" si="235"/>
        <v>2014-11</v>
      </c>
      <c r="K1214">
        <v>9291.83</v>
      </c>
      <c r="L1214">
        <f t="shared" si="242"/>
        <v>-9.1680860541572644E-3</v>
      </c>
      <c r="M1214" t="str">
        <f t="shared" si="236"/>
        <v>2014-11</v>
      </c>
      <c r="O1214">
        <v>8370.55033</v>
      </c>
      <c r="P1214">
        <f t="shared" si="243"/>
        <v>7.5809119740915891E-5</v>
      </c>
      <c r="Q1214" t="str">
        <f t="shared" si="237"/>
        <v>2014-11</v>
      </c>
      <c r="S1214">
        <v>10126.299999999999</v>
      </c>
      <c r="T1214">
        <f t="shared" si="244"/>
        <v>-1.3292263139173055E-2</v>
      </c>
      <c r="U1214" t="str">
        <f t="shared" si="238"/>
        <v>2014-11</v>
      </c>
      <c r="W1214">
        <v>19095.32</v>
      </c>
      <c r="X1214">
        <f t="shared" si="245"/>
        <v>-9.9237208999218649E-3</v>
      </c>
      <c r="Y1214">
        <f t="shared" si="246"/>
        <v>-9.8746432601047977E-3</v>
      </c>
      <c r="Z1214" t="str">
        <f t="shared" si="239"/>
        <v>2014-11</v>
      </c>
    </row>
    <row r="1215" spans="1:26" x14ac:dyDescent="0.35">
      <c r="A1215" s="1">
        <v>41953</v>
      </c>
      <c r="C1215">
        <v>3094.6</v>
      </c>
      <c r="D1215">
        <f t="shared" si="240"/>
        <v>9.6371891678261167E-3</v>
      </c>
      <c r="E1215" t="str">
        <f t="shared" si="234"/>
        <v>2014-11</v>
      </c>
      <c r="G1215">
        <v>4222.82</v>
      </c>
      <c r="H1215">
        <f t="shared" si="241"/>
        <v>7.8286707100440958E-3</v>
      </c>
      <c r="I1215" t="str">
        <f t="shared" si="235"/>
        <v>2014-11</v>
      </c>
      <c r="K1215">
        <v>9351.8700000000008</v>
      </c>
      <c r="L1215">
        <f t="shared" si="242"/>
        <v>6.4408038702521283E-3</v>
      </c>
      <c r="M1215" t="str">
        <f t="shared" si="236"/>
        <v>2014-11</v>
      </c>
      <c r="O1215">
        <v>8436.56574</v>
      </c>
      <c r="P1215">
        <f t="shared" si="243"/>
        <v>7.8556903182243117E-3</v>
      </c>
      <c r="Q1215" t="str">
        <f t="shared" si="237"/>
        <v>2014-11</v>
      </c>
      <c r="S1215">
        <v>10273</v>
      </c>
      <c r="T1215">
        <f t="shared" si="244"/>
        <v>1.4383094421736003E-2</v>
      </c>
      <c r="U1215" t="str">
        <f t="shared" si="238"/>
        <v>2014-11</v>
      </c>
      <c r="W1215">
        <v>19258.54</v>
      </c>
      <c r="X1215">
        <f t="shared" si="245"/>
        <v>8.5113198691577213E-3</v>
      </c>
      <c r="Y1215">
        <f t="shared" si="246"/>
        <v>8.5476441347932981E-3</v>
      </c>
      <c r="Z1215" t="str">
        <f t="shared" si="239"/>
        <v>2014-11</v>
      </c>
    </row>
    <row r="1216" spans="1:26" x14ac:dyDescent="0.35">
      <c r="A1216" s="1">
        <v>41954</v>
      </c>
      <c r="C1216">
        <v>3104.59</v>
      </c>
      <c r="D1216">
        <f t="shared" si="240"/>
        <v>3.2230045047199371E-3</v>
      </c>
      <c r="E1216" t="str">
        <f t="shared" si="234"/>
        <v>2014-11</v>
      </c>
      <c r="G1216">
        <v>4244.1000000000004</v>
      </c>
      <c r="H1216">
        <f t="shared" si="241"/>
        <v>5.0266318346799468E-3</v>
      </c>
      <c r="I1216" t="str">
        <f t="shared" si="235"/>
        <v>2014-11</v>
      </c>
      <c r="K1216">
        <v>9369.0300000000007</v>
      </c>
      <c r="L1216">
        <f t="shared" si="242"/>
        <v>1.8332457099743775E-3</v>
      </c>
      <c r="M1216" t="str">
        <f t="shared" si="236"/>
        <v>2014-11</v>
      </c>
      <c r="O1216">
        <v>8446.4256299999997</v>
      </c>
      <c r="P1216">
        <f t="shared" si="243"/>
        <v>1.1680265546419751E-3</v>
      </c>
      <c r="Q1216" t="str">
        <f t="shared" si="237"/>
        <v>2014-11</v>
      </c>
      <c r="S1216">
        <v>10338.799999999999</v>
      </c>
      <c r="T1216">
        <f t="shared" si="244"/>
        <v>6.3847139527441459E-3</v>
      </c>
      <c r="U1216" t="str">
        <f t="shared" si="238"/>
        <v>2014-11</v>
      </c>
      <c r="W1216">
        <v>19255.47</v>
      </c>
      <c r="X1216">
        <f t="shared" si="245"/>
        <v>-1.5942250658921943E-4</v>
      </c>
      <c r="Y1216">
        <f t="shared" si="246"/>
        <v>-1.5940979949672762E-4</v>
      </c>
      <c r="Z1216" t="str">
        <f t="shared" si="239"/>
        <v>2014-11</v>
      </c>
    </row>
    <row r="1217" spans="1:26" x14ac:dyDescent="0.35">
      <c r="A1217" s="1">
        <v>41955</v>
      </c>
      <c r="C1217">
        <v>3047.3</v>
      </c>
      <c r="D1217">
        <f t="shared" si="240"/>
        <v>-1.8625708922024958E-2</v>
      </c>
      <c r="E1217" t="str">
        <f t="shared" si="234"/>
        <v>2014-11</v>
      </c>
      <c r="G1217">
        <v>4179.88</v>
      </c>
      <c r="H1217">
        <f t="shared" si="241"/>
        <v>-1.5247245160254035E-2</v>
      </c>
      <c r="I1217" t="str">
        <f t="shared" si="235"/>
        <v>2014-11</v>
      </c>
      <c r="K1217">
        <v>9210.9599999999991</v>
      </c>
      <c r="L1217">
        <f t="shared" si="242"/>
        <v>-1.7015489650374499E-2</v>
      </c>
      <c r="M1217" t="str">
        <f t="shared" si="236"/>
        <v>2014-11</v>
      </c>
      <c r="O1217">
        <v>8394.6761600000009</v>
      </c>
      <c r="P1217">
        <f t="shared" si="243"/>
        <v>-6.1456350684891336E-3</v>
      </c>
      <c r="Q1217" t="str">
        <f t="shared" si="237"/>
        <v>2014-11</v>
      </c>
      <c r="S1217">
        <v>10157.299999999999</v>
      </c>
      <c r="T1217">
        <f t="shared" si="244"/>
        <v>-1.7711149385296318E-2</v>
      </c>
      <c r="U1217" t="str">
        <f t="shared" si="238"/>
        <v>2014-11</v>
      </c>
      <c r="W1217">
        <v>18702.240000000002</v>
      </c>
      <c r="X1217">
        <f t="shared" si="245"/>
        <v>-2.9151873430307517E-2</v>
      </c>
      <c r="Y1217">
        <f t="shared" si="246"/>
        <v>-2.8731056681555917E-2</v>
      </c>
      <c r="Z1217" t="str">
        <f t="shared" si="239"/>
        <v>2014-11</v>
      </c>
    </row>
    <row r="1218" spans="1:26" x14ac:dyDescent="0.35">
      <c r="A1218" s="1">
        <v>41956</v>
      </c>
      <c r="C1218">
        <v>3056.8</v>
      </c>
      <c r="D1218">
        <f t="shared" si="240"/>
        <v>3.1126644944231676E-3</v>
      </c>
      <c r="E1218" t="str">
        <f t="shared" si="234"/>
        <v>2014-11</v>
      </c>
      <c r="G1218">
        <v>4187.95</v>
      </c>
      <c r="H1218">
        <f t="shared" si="241"/>
        <v>1.9288160734437054E-3</v>
      </c>
      <c r="I1218" t="str">
        <f t="shared" si="235"/>
        <v>2014-11</v>
      </c>
      <c r="K1218">
        <v>9248.51</v>
      </c>
      <c r="L1218">
        <f t="shared" si="242"/>
        <v>4.0683781054403362E-3</v>
      </c>
      <c r="M1218" t="str">
        <f t="shared" si="236"/>
        <v>2014-11</v>
      </c>
      <c r="O1218">
        <v>8361.7848900000008</v>
      </c>
      <c r="P1218">
        <f t="shared" si="243"/>
        <v>-3.9258065465113358E-3</v>
      </c>
      <c r="Q1218" t="str">
        <f t="shared" si="237"/>
        <v>2014-11</v>
      </c>
      <c r="S1218">
        <v>10140.4</v>
      </c>
      <c r="T1218">
        <f t="shared" si="244"/>
        <v>-1.6652136848232428E-3</v>
      </c>
      <c r="U1218" t="str">
        <f t="shared" si="238"/>
        <v>2014-11</v>
      </c>
      <c r="W1218">
        <v>18782.55</v>
      </c>
      <c r="X1218">
        <f t="shared" si="245"/>
        <v>4.2849445270616762E-3</v>
      </c>
      <c r="Y1218">
        <f t="shared" si="246"/>
        <v>4.2941380283857801E-3</v>
      </c>
      <c r="Z1218" t="str">
        <f t="shared" si="239"/>
        <v>2014-11</v>
      </c>
    </row>
    <row r="1219" spans="1:26" x14ac:dyDescent="0.35">
      <c r="A1219" s="1">
        <v>41957</v>
      </c>
      <c r="C1219">
        <v>3059.99</v>
      </c>
      <c r="D1219">
        <f t="shared" si="240"/>
        <v>1.0430308345400266E-3</v>
      </c>
      <c r="E1219" t="str">
        <f t="shared" si="234"/>
        <v>2014-11</v>
      </c>
      <c r="G1219">
        <v>4202.46</v>
      </c>
      <c r="H1219">
        <f t="shared" si="241"/>
        <v>3.4587140473229029E-3</v>
      </c>
      <c r="I1219" t="str">
        <f t="shared" si="235"/>
        <v>2014-11</v>
      </c>
      <c r="K1219">
        <v>9252.94</v>
      </c>
      <c r="L1219">
        <f t="shared" si="242"/>
        <v>4.7888139412422405E-4</v>
      </c>
      <c r="M1219" t="str">
        <f t="shared" si="236"/>
        <v>2014-11</v>
      </c>
      <c r="O1219">
        <v>8326.7364400000006</v>
      </c>
      <c r="P1219">
        <f t="shared" si="243"/>
        <v>-4.2003123986624844E-3</v>
      </c>
      <c r="Q1219" t="str">
        <f t="shared" si="237"/>
        <v>2014-11</v>
      </c>
      <c r="S1219">
        <v>10148</v>
      </c>
      <c r="T1219">
        <f t="shared" si="244"/>
        <v>7.4919662028436753E-4</v>
      </c>
      <c r="U1219" t="str">
        <f t="shared" si="238"/>
        <v>2014-11</v>
      </c>
      <c r="W1219">
        <v>18965.41</v>
      </c>
      <c r="X1219">
        <f t="shared" si="245"/>
        <v>9.6885463685232476E-3</v>
      </c>
      <c r="Y1219">
        <f t="shared" si="246"/>
        <v>9.7356322757027446E-3</v>
      </c>
      <c r="Z1219" t="str">
        <f t="shared" si="239"/>
        <v>2014-11</v>
      </c>
    </row>
    <row r="1220" spans="1:26" x14ac:dyDescent="0.35">
      <c r="A1220" s="1">
        <v>41960</v>
      </c>
      <c r="C1220">
        <v>3084.79</v>
      </c>
      <c r="D1220">
        <f t="shared" si="240"/>
        <v>8.0719357424970887E-3</v>
      </c>
      <c r="E1220" t="str">
        <f t="shared" ref="E1220:E1283" si="247">_xlfn.CONCAT(YEAR(A1220),"-",TEXT(MONTH(A1220),"00"))</f>
        <v>2014-11</v>
      </c>
      <c r="G1220">
        <v>4226.1000000000004</v>
      </c>
      <c r="H1220">
        <f t="shared" si="241"/>
        <v>5.6095138408600352E-3</v>
      </c>
      <c r="I1220" t="str">
        <f t="shared" ref="I1220:I1283" si="248">_xlfn.CONCAT(YEAR(A1220),"-",TEXT(MONTH(A1220),"00"))</f>
        <v>2014-11</v>
      </c>
      <c r="K1220">
        <v>9306.35</v>
      </c>
      <c r="L1220">
        <f t="shared" si="242"/>
        <v>5.755623996779779E-3</v>
      </c>
      <c r="M1220" t="str">
        <f t="shared" ref="M1220:M1283" si="249">_xlfn.CONCAT(YEAR(A1220),"-",TEXT(MONTH(A1220),"00"))</f>
        <v>2014-11</v>
      </c>
      <c r="O1220">
        <v>8381.7695100000001</v>
      </c>
      <c r="P1220">
        <f t="shared" si="243"/>
        <v>6.5874554165290247E-3</v>
      </c>
      <c r="Q1220" t="str">
        <f t="shared" ref="Q1220:Q1283" si="250">_xlfn.CONCAT(YEAR(A1220),"-",TEXT(MONTH(A1220),"00"))</f>
        <v>2014-11</v>
      </c>
      <c r="S1220">
        <v>10309</v>
      </c>
      <c r="T1220">
        <f t="shared" si="244"/>
        <v>1.5740658377212238E-2</v>
      </c>
      <c r="U1220" t="str">
        <f t="shared" ref="U1220:U1283" si="251">_xlfn.CONCAT(YEAR(A1220),"-",TEXT(MONTH(A1220),"00"))</f>
        <v>2014-11</v>
      </c>
      <c r="W1220">
        <v>19216.740000000002</v>
      </c>
      <c r="X1220">
        <f t="shared" si="245"/>
        <v>1.3164980492906018E-2</v>
      </c>
      <c r="Y1220">
        <f t="shared" si="246"/>
        <v>1.3252020388697199E-2</v>
      </c>
      <c r="Z1220" t="str">
        <f t="shared" ref="Z1220:Z1283" si="252">_xlfn.CONCAT(YEAR(A1220),"-",TEXT(MONTH(A1220),"00"))</f>
        <v>2014-11</v>
      </c>
    </row>
    <row r="1221" spans="1:26" x14ac:dyDescent="0.35">
      <c r="A1221" s="1">
        <v>41961</v>
      </c>
      <c r="C1221">
        <v>3120.42</v>
      </c>
      <c r="D1221">
        <f t="shared" ref="D1221:D1284" si="253">LN(C1221/C1220)</f>
        <v>1.1484024418578391E-2</v>
      </c>
      <c r="E1221" t="str">
        <f t="shared" si="247"/>
        <v>2014-11</v>
      </c>
      <c r="G1221">
        <v>4262.38</v>
      </c>
      <c r="H1221">
        <f t="shared" ref="H1221:H1284" si="254">LN(G1221/G1220)</f>
        <v>8.548107768443898E-3</v>
      </c>
      <c r="I1221" t="str">
        <f t="shared" si="248"/>
        <v>2014-11</v>
      </c>
      <c r="K1221">
        <v>9456.5300000000007</v>
      </c>
      <c r="L1221">
        <f t="shared" ref="L1221:L1284" si="255">LN(K1221/K1220)</f>
        <v>1.6008545303219834E-2</v>
      </c>
      <c r="M1221" t="str">
        <f t="shared" si="249"/>
        <v>2014-11</v>
      </c>
      <c r="O1221">
        <v>8377.3113799999992</v>
      </c>
      <c r="P1221">
        <f t="shared" ref="P1221:P1284" si="256">LN(O1221/O1220)</f>
        <v>-5.3202560861405313E-4</v>
      </c>
      <c r="Q1221" t="str">
        <f t="shared" si="250"/>
        <v>2014-11</v>
      </c>
      <c r="S1221">
        <v>10432.9</v>
      </c>
      <c r="T1221">
        <f t="shared" ref="T1221:T1284" si="257">LN(S1221/S1220)</f>
        <v>1.1946974354882607E-2</v>
      </c>
      <c r="U1221" t="str">
        <f t="shared" si="251"/>
        <v>2014-11</v>
      </c>
      <c r="W1221">
        <v>19352.95</v>
      </c>
      <c r="X1221">
        <f t="shared" ref="X1221:X1284" si="258">LN(W1221/W1220)</f>
        <v>7.0630884645965196E-3</v>
      </c>
      <c r="Y1221">
        <f t="shared" ref="Y1221:Y1284" si="259">(W1221-W1220)/W1220</f>
        <v>7.0880909040762956E-3</v>
      </c>
      <c r="Z1221" t="str">
        <f t="shared" si="252"/>
        <v>2014-11</v>
      </c>
    </row>
    <row r="1222" spans="1:26" x14ac:dyDescent="0.35">
      <c r="A1222" s="1">
        <v>41962</v>
      </c>
      <c r="C1222">
        <v>3123.12</v>
      </c>
      <c r="D1222">
        <f t="shared" si="253"/>
        <v>8.6489400830582364E-4</v>
      </c>
      <c r="E1222" t="str">
        <f t="shared" si="247"/>
        <v>2014-11</v>
      </c>
      <c r="G1222">
        <v>4266.1899999999996</v>
      </c>
      <c r="H1222">
        <f t="shared" si="254"/>
        <v>8.9346754577950287E-4</v>
      </c>
      <c r="I1222" t="str">
        <f t="shared" si="248"/>
        <v>2014-11</v>
      </c>
      <c r="K1222">
        <v>9472.7999999999993</v>
      </c>
      <c r="L1222">
        <f t="shared" si="255"/>
        <v>1.7190258721838962E-3</v>
      </c>
      <c r="M1222" t="str">
        <f t="shared" si="249"/>
        <v>2014-11</v>
      </c>
      <c r="O1222">
        <v>8369.4160200000006</v>
      </c>
      <c r="P1222">
        <f t="shared" si="256"/>
        <v>-9.4291384774915568E-4</v>
      </c>
      <c r="Q1222" t="str">
        <f t="shared" si="250"/>
        <v>2014-11</v>
      </c>
      <c r="S1222">
        <v>10376.799999999999</v>
      </c>
      <c r="T1222">
        <f t="shared" si="257"/>
        <v>-5.3917294248040934E-3</v>
      </c>
      <c r="U1222" t="str">
        <f t="shared" si="251"/>
        <v>2014-11</v>
      </c>
      <c r="W1222">
        <v>19379.919999999998</v>
      </c>
      <c r="X1222">
        <f t="shared" si="258"/>
        <v>1.3926158510201264E-3</v>
      </c>
      <c r="Y1222">
        <f t="shared" si="259"/>
        <v>1.3935859907661377E-3</v>
      </c>
      <c r="Z1222" t="str">
        <f t="shared" si="252"/>
        <v>2014-11</v>
      </c>
    </row>
    <row r="1223" spans="1:26" x14ac:dyDescent="0.35">
      <c r="A1223" s="1">
        <v>41963</v>
      </c>
      <c r="C1223">
        <v>3102.21</v>
      </c>
      <c r="D1223">
        <f t="shared" si="253"/>
        <v>-6.7177414323634976E-3</v>
      </c>
      <c r="E1223" t="str">
        <f t="shared" si="247"/>
        <v>2014-11</v>
      </c>
      <c r="G1223">
        <v>4234.21</v>
      </c>
      <c r="H1223">
        <f t="shared" si="254"/>
        <v>-7.5243872953212297E-3</v>
      </c>
      <c r="I1223" t="str">
        <f t="shared" si="248"/>
        <v>2014-11</v>
      </c>
      <c r="K1223">
        <v>9483.9699999999993</v>
      </c>
      <c r="L1223">
        <f t="shared" si="255"/>
        <v>1.178470941276885E-3</v>
      </c>
      <c r="M1223" t="str">
        <f t="shared" si="249"/>
        <v>2014-11</v>
      </c>
      <c r="O1223">
        <v>8356.2152600000009</v>
      </c>
      <c r="P1223">
        <f t="shared" si="256"/>
        <v>-1.5785069657484106E-3</v>
      </c>
      <c r="Q1223" t="str">
        <f t="shared" si="250"/>
        <v>2014-11</v>
      </c>
      <c r="S1223">
        <v>10209.200000000001</v>
      </c>
      <c r="T1223">
        <f t="shared" si="257"/>
        <v>-1.6283270491988831E-2</v>
      </c>
      <c r="U1223" t="str">
        <f t="shared" si="251"/>
        <v>2014-11</v>
      </c>
      <c r="W1223">
        <v>19209.22</v>
      </c>
      <c r="X1223">
        <f t="shared" si="258"/>
        <v>-8.8471063831774867E-3</v>
      </c>
      <c r="Y1223">
        <f t="shared" si="259"/>
        <v>-8.8080858950912652E-3</v>
      </c>
      <c r="Z1223" t="str">
        <f t="shared" si="252"/>
        <v>2014-11</v>
      </c>
    </row>
    <row r="1224" spans="1:26" x14ac:dyDescent="0.35">
      <c r="A1224" s="1">
        <v>41964</v>
      </c>
      <c r="C1224">
        <v>3194.22</v>
      </c>
      <c r="D1224">
        <f t="shared" si="253"/>
        <v>2.9228165847053202E-2</v>
      </c>
      <c r="E1224" t="str">
        <f t="shared" si="247"/>
        <v>2014-11</v>
      </c>
      <c r="G1224">
        <v>4347.2299999999996</v>
      </c>
      <c r="H1224">
        <f t="shared" si="254"/>
        <v>2.634209068874142E-2</v>
      </c>
      <c r="I1224" t="str">
        <f t="shared" si="248"/>
        <v>2014-11</v>
      </c>
      <c r="K1224">
        <v>9732.5499999999993</v>
      </c>
      <c r="L1224">
        <f t="shared" si="255"/>
        <v>2.5872932939539711E-2</v>
      </c>
      <c r="M1224" t="str">
        <f t="shared" si="249"/>
        <v>2014-11</v>
      </c>
      <c r="O1224">
        <v>8528.9106200000006</v>
      </c>
      <c r="P1224">
        <f t="shared" si="256"/>
        <v>2.0456037249435757E-2</v>
      </c>
      <c r="Q1224" t="str">
        <f t="shared" si="250"/>
        <v>2014-11</v>
      </c>
      <c r="S1224">
        <v>10520.8</v>
      </c>
      <c r="T1224">
        <f t="shared" si="257"/>
        <v>3.0064975493280677E-2</v>
      </c>
      <c r="U1224" t="str">
        <f t="shared" si="251"/>
        <v>2014-11</v>
      </c>
      <c r="W1224">
        <v>19954.509999999998</v>
      </c>
      <c r="X1224">
        <f t="shared" si="258"/>
        <v>3.8064810845954887E-2</v>
      </c>
      <c r="Y1224">
        <f t="shared" si="259"/>
        <v>3.8798556110034514E-2</v>
      </c>
      <c r="Z1224" t="str">
        <f t="shared" si="252"/>
        <v>2014-11</v>
      </c>
    </row>
    <row r="1225" spans="1:26" x14ac:dyDescent="0.35">
      <c r="A1225" s="1">
        <v>41967</v>
      </c>
      <c r="C1225">
        <v>3211.7</v>
      </c>
      <c r="D1225">
        <f t="shared" si="253"/>
        <v>5.4574654023886648E-3</v>
      </c>
      <c r="E1225" t="str">
        <f t="shared" si="247"/>
        <v>2014-11</v>
      </c>
      <c r="G1225">
        <v>4368.4399999999996</v>
      </c>
      <c r="H1225">
        <f t="shared" si="254"/>
        <v>4.8671053102711708E-3</v>
      </c>
      <c r="I1225" t="str">
        <f t="shared" si="248"/>
        <v>2014-11</v>
      </c>
      <c r="K1225">
        <v>9785.5400000000009</v>
      </c>
      <c r="L1225">
        <f t="shared" si="255"/>
        <v>5.4298479198577358E-3</v>
      </c>
      <c r="M1225" t="str">
        <f t="shared" si="249"/>
        <v>2014-11</v>
      </c>
      <c r="O1225">
        <v>8500.1033100000004</v>
      </c>
      <c r="P1225">
        <f t="shared" si="256"/>
        <v>-3.3833242016129399E-3</v>
      </c>
      <c r="Q1225" t="str">
        <f t="shared" si="250"/>
        <v>2014-11</v>
      </c>
      <c r="S1225">
        <v>10642.5</v>
      </c>
      <c r="T1225">
        <f t="shared" si="257"/>
        <v>1.1501168674552389E-2</v>
      </c>
      <c r="U1225" t="str">
        <f t="shared" si="251"/>
        <v>2014-11</v>
      </c>
      <c r="W1225">
        <v>19925.82</v>
      </c>
      <c r="X1225">
        <f t="shared" si="258"/>
        <v>-1.4388047917057907E-3</v>
      </c>
      <c r="Y1225">
        <f t="shared" si="259"/>
        <v>-1.4377702083388012E-3</v>
      </c>
      <c r="Z1225" t="str">
        <f t="shared" si="252"/>
        <v>2014-11</v>
      </c>
    </row>
    <row r="1226" spans="1:26" x14ac:dyDescent="0.35">
      <c r="A1226" s="1">
        <v>41968</v>
      </c>
      <c r="C1226">
        <v>3226.15</v>
      </c>
      <c r="D1226">
        <f t="shared" si="253"/>
        <v>4.4890838606699551E-3</v>
      </c>
      <c r="E1226" t="str">
        <f t="shared" si="247"/>
        <v>2014-11</v>
      </c>
      <c r="G1226">
        <v>4382.3100000000004</v>
      </c>
      <c r="H1226">
        <f t="shared" si="254"/>
        <v>3.170016653423981E-3</v>
      </c>
      <c r="I1226" t="str">
        <f t="shared" si="248"/>
        <v>2014-11</v>
      </c>
      <c r="K1226">
        <v>9861.2099999999991</v>
      </c>
      <c r="L1226">
        <f t="shared" si="255"/>
        <v>7.7030933027535239E-3</v>
      </c>
      <c r="M1226" t="str">
        <f t="shared" si="249"/>
        <v>2014-11</v>
      </c>
      <c r="O1226">
        <v>8485.2340299999996</v>
      </c>
      <c r="P1226">
        <f t="shared" si="256"/>
        <v>-1.7508376196193182E-3</v>
      </c>
      <c r="Q1226" t="str">
        <f t="shared" si="250"/>
        <v>2014-11</v>
      </c>
      <c r="S1226">
        <v>10699.6</v>
      </c>
      <c r="T1226">
        <f t="shared" si="257"/>
        <v>5.3509388713517255E-3</v>
      </c>
      <c r="U1226" t="str">
        <f t="shared" si="251"/>
        <v>2014-11</v>
      </c>
      <c r="W1226">
        <v>20009.830000000002</v>
      </c>
      <c r="X1226">
        <f t="shared" si="258"/>
        <v>4.2072746492337583E-3</v>
      </c>
      <c r="Y1226">
        <f t="shared" si="259"/>
        <v>4.2161376545608682E-3</v>
      </c>
      <c r="Z1226" t="str">
        <f t="shared" si="252"/>
        <v>2014-11</v>
      </c>
    </row>
    <row r="1227" spans="1:26" x14ac:dyDescent="0.35">
      <c r="A1227" s="1">
        <v>41969</v>
      </c>
      <c r="C1227">
        <v>3226.08</v>
      </c>
      <c r="D1227">
        <f t="shared" si="253"/>
        <v>-2.1697924594395095E-5</v>
      </c>
      <c r="E1227" t="str">
        <f t="shared" si="247"/>
        <v>2014-11</v>
      </c>
      <c r="G1227">
        <v>4373.42</v>
      </c>
      <c r="H1227">
        <f t="shared" si="254"/>
        <v>-2.0306708989241253E-3</v>
      </c>
      <c r="I1227" t="str">
        <f t="shared" si="248"/>
        <v>2014-11</v>
      </c>
      <c r="K1227">
        <v>9915.56</v>
      </c>
      <c r="L1227">
        <f t="shared" si="255"/>
        <v>5.4963613194674125E-3</v>
      </c>
      <c r="M1227" t="str">
        <f t="shared" si="249"/>
        <v>2014-11</v>
      </c>
      <c r="O1227">
        <v>8493.6600799999997</v>
      </c>
      <c r="P1227">
        <f t="shared" si="256"/>
        <v>9.9253233304037887E-4</v>
      </c>
      <c r="Q1227" t="str">
        <f t="shared" si="250"/>
        <v>2014-11</v>
      </c>
      <c r="S1227">
        <v>10647</v>
      </c>
      <c r="T1227">
        <f t="shared" si="257"/>
        <v>-4.9281952590529499E-3</v>
      </c>
      <c r="U1227" t="str">
        <f t="shared" si="251"/>
        <v>2014-11</v>
      </c>
      <c r="W1227">
        <v>19938.419999999998</v>
      </c>
      <c r="X1227">
        <f t="shared" si="258"/>
        <v>-3.5751291263497308E-3</v>
      </c>
      <c r="Y1227">
        <f t="shared" si="259"/>
        <v>-3.5687459613601659E-3</v>
      </c>
      <c r="Z1227" t="str">
        <f t="shared" si="252"/>
        <v>2014-11</v>
      </c>
    </row>
    <row r="1228" spans="1:26" x14ac:dyDescent="0.35">
      <c r="A1228" s="1">
        <v>41970</v>
      </c>
      <c r="C1228">
        <v>3244.92</v>
      </c>
      <c r="D1228">
        <f t="shared" si="253"/>
        <v>5.8229186317382354E-3</v>
      </c>
      <c r="E1228" t="str">
        <f t="shared" si="247"/>
        <v>2014-11</v>
      </c>
      <c r="G1228">
        <v>4382.34</v>
      </c>
      <c r="H1228">
        <f t="shared" si="254"/>
        <v>2.0375165801548405E-3</v>
      </c>
      <c r="I1228" t="str">
        <f t="shared" si="248"/>
        <v>2014-11</v>
      </c>
      <c r="K1228">
        <v>9974.8700000000008</v>
      </c>
      <c r="L1228">
        <f t="shared" si="255"/>
        <v>5.9636896520432929E-3</v>
      </c>
      <c r="M1228" t="str">
        <f t="shared" si="249"/>
        <v>2014-11</v>
      </c>
      <c r="O1228">
        <v>8475.9727899999998</v>
      </c>
      <c r="P1228">
        <f t="shared" si="256"/>
        <v>-2.0845820932581202E-3</v>
      </c>
      <c r="Q1228" t="str">
        <f t="shared" si="250"/>
        <v>2014-11</v>
      </c>
      <c r="S1228">
        <v>10727.6</v>
      </c>
      <c r="T1228">
        <f t="shared" si="257"/>
        <v>7.5416973440273075E-3</v>
      </c>
      <c r="U1228" t="str">
        <f t="shared" si="251"/>
        <v>2014-11</v>
      </c>
      <c r="W1228">
        <v>20100.53</v>
      </c>
      <c r="X1228">
        <f t="shared" si="258"/>
        <v>8.0976591955209121E-3</v>
      </c>
      <c r="Y1228">
        <f t="shared" si="259"/>
        <v>8.1305339139209933E-3</v>
      </c>
      <c r="Z1228" t="str">
        <f t="shared" si="252"/>
        <v>2014-11</v>
      </c>
    </row>
    <row r="1229" spans="1:26" x14ac:dyDescent="0.35">
      <c r="A1229" s="1">
        <v>41971</v>
      </c>
      <c r="C1229">
        <v>3250.93</v>
      </c>
      <c r="D1229">
        <f t="shared" si="253"/>
        <v>1.8504127142302961E-3</v>
      </c>
      <c r="E1229" t="str">
        <f t="shared" si="247"/>
        <v>2014-11</v>
      </c>
      <c r="G1229">
        <v>4390.18</v>
      </c>
      <c r="H1229">
        <f t="shared" si="254"/>
        <v>1.7874002196104912E-3</v>
      </c>
      <c r="I1229" t="str">
        <f t="shared" si="248"/>
        <v>2014-11</v>
      </c>
      <c r="K1229">
        <v>9980.85</v>
      </c>
      <c r="L1229">
        <f t="shared" si="255"/>
        <v>5.9932692771780466E-4</v>
      </c>
      <c r="M1229" t="str">
        <f t="shared" si="249"/>
        <v>2014-11</v>
      </c>
      <c r="O1229">
        <v>8446.1191999999992</v>
      </c>
      <c r="P1229">
        <f t="shared" si="256"/>
        <v>-3.5283605583830255E-3</v>
      </c>
      <c r="Q1229" t="str">
        <f t="shared" si="250"/>
        <v>2014-11</v>
      </c>
      <c r="S1229">
        <v>10770.7</v>
      </c>
      <c r="T1229">
        <f t="shared" si="257"/>
        <v>4.0096247371684286E-3</v>
      </c>
      <c r="U1229" t="str">
        <f t="shared" si="251"/>
        <v>2014-11</v>
      </c>
      <c r="W1229">
        <v>20014.82</v>
      </c>
      <c r="X1229">
        <f t="shared" si="258"/>
        <v>-4.2731837275615334E-3</v>
      </c>
      <c r="Y1229">
        <f t="shared" si="259"/>
        <v>-4.2640666688887868E-3</v>
      </c>
      <c r="Z1229" t="str">
        <f t="shared" si="252"/>
        <v>2014-11</v>
      </c>
    </row>
    <row r="1230" spans="1:26" x14ac:dyDescent="0.35">
      <c r="A1230" s="1">
        <v>41974</v>
      </c>
      <c r="C1230">
        <v>3232.91</v>
      </c>
      <c r="D1230">
        <f t="shared" si="253"/>
        <v>-5.5584488192181635E-3</v>
      </c>
      <c r="E1230" t="str">
        <f t="shared" si="247"/>
        <v>2014-12</v>
      </c>
      <c r="G1230">
        <v>4377.33</v>
      </c>
      <c r="H1230">
        <f t="shared" si="254"/>
        <v>-2.9312790520966861E-3</v>
      </c>
      <c r="I1230" t="str">
        <f t="shared" si="248"/>
        <v>2014-12</v>
      </c>
      <c r="K1230">
        <v>9963.51</v>
      </c>
      <c r="L1230">
        <f t="shared" si="255"/>
        <v>-1.7388378838969617E-3</v>
      </c>
      <c r="M1230" t="str">
        <f t="shared" si="249"/>
        <v>2014-12</v>
      </c>
      <c r="O1230">
        <v>8391.5866700000006</v>
      </c>
      <c r="P1230">
        <f t="shared" si="256"/>
        <v>-6.4774525806695687E-3</v>
      </c>
      <c r="Q1230" t="str">
        <f t="shared" si="250"/>
        <v>2014-12</v>
      </c>
      <c r="S1230">
        <v>10672.8</v>
      </c>
      <c r="T1230">
        <f t="shared" si="257"/>
        <v>-9.1310355312057678E-3</v>
      </c>
      <c r="U1230" t="str">
        <f t="shared" si="251"/>
        <v>2014-12</v>
      </c>
      <c r="W1230">
        <v>19686.45</v>
      </c>
      <c r="X1230">
        <f t="shared" si="258"/>
        <v>-1.6542417318792971E-2</v>
      </c>
      <c r="Y1230">
        <f t="shared" si="259"/>
        <v>-1.6406342899911115E-2</v>
      </c>
      <c r="Z1230" t="str">
        <f t="shared" si="252"/>
        <v>2014-12</v>
      </c>
    </row>
    <row r="1231" spans="1:26" x14ac:dyDescent="0.35">
      <c r="A1231" s="1">
        <v>41975</v>
      </c>
      <c r="C1231">
        <v>3238.35</v>
      </c>
      <c r="D1231">
        <f t="shared" si="253"/>
        <v>1.6812803940619728E-3</v>
      </c>
      <c r="E1231" t="str">
        <f t="shared" si="247"/>
        <v>2014-12</v>
      </c>
      <c r="G1231">
        <v>4388.3</v>
      </c>
      <c r="H1231">
        <f t="shared" si="254"/>
        <v>2.5029588807818112E-3</v>
      </c>
      <c r="I1231" t="str">
        <f t="shared" si="248"/>
        <v>2014-12</v>
      </c>
      <c r="K1231">
        <v>9934.08</v>
      </c>
      <c r="L1231">
        <f t="shared" si="255"/>
        <v>-2.9581493498418701E-3</v>
      </c>
      <c r="M1231" t="str">
        <f t="shared" si="249"/>
        <v>2014-12</v>
      </c>
      <c r="O1231">
        <v>8513.3573400000005</v>
      </c>
      <c r="P1231">
        <f t="shared" si="256"/>
        <v>1.4406764801508095E-2</v>
      </c>
      <c r="Q1231" t="str">
        <f t="shared" si="250"/>
        <v>2014-12</v>
      </c>
      <c r="S1231">
        <v>10749.2</v>
      </c>
      <c r="T1231">
        <f t="shared" si="257"/>
        <v>7.1328843173597174E-3</v>
      </c>
      <c r="U1231" t="str">
        <f t="shared" si="251"/>
        <v>2014-12</v>
      </c>
      <c r="W1231">
        <v>19780.580000000002</v>
      </c>
      <c r="X1231">
        <f t="shared" si="258"/>
        <v>4.7700664824511085E-3</v>
      </c>
      <c r="Y1231">
        <f t="shared" si="259"/>
        <v>4.7814613604789599E-3</v>
      </c>
      <c r="Z1231" t="str">
        <f t="shared" si="252"/>
        <v>2014-12</v>
      </c>
    </row>
    <row r="1232" spans="1:26" x14ac:dyDescent="0.35">
      <c r="A1232" s="1">
        <v>41976</v>
      </c>
      <c r="C1232">
        <v>3247.72</v>
      </c>
      <c r="D1232">
        <f t="shared" si="253"/>
        <v>2.8892708584109671E-3</v>
      </c>
      <c r="E1232" t="str">
        <f t="shared" si="247"/>
        <v>2014-12</v>
      </c>
      <c r="G1232">
        <v>4391.8599999999997</v>
      </c>
      <c r="H1232">
        <f t="shared" si="254"/>
        <v>8.1091920764182236E-4</v>
      </c>
      <c r="I1232" t="str">
        <f t="shared" si="248"/>
        <v>2014-12</v>
      </c>
      <c r="K1232">
        <v>9971.7900000000009</v>
      </c>
      <c r="L1232">
        <f t="shared" si="255"/>
        <v>3.788836670938483E-3</v>
      </c>
      <c r="M1232" t="str">
        <f t="shared" si="249"/>
        <v>2014-12</v>
      </c>
      <c r="O1232">
        <v>8570.8674699999992</v>
      </c>
      <c r="P1232">
        <f t="shared" si="256"/>
        <v>6.7325673680588751E-3</v>
      </c>
      <c r="Q1232" t="str">
        <f t="shared" si="250"/>
        <v>2014-12</v>
      </c>
      <c r="S1232">
        <v>10875.9</v>
      </c>
      <c r="T1232">
        <f t="shared" si="257"/>
        <v>1.1717998971312689E-2</v>
      </c>
      <c r="U1232" t="str">
        <f t="shared" si="251"/>
        <v>2014-12</v>
      </c>
      <c r="W1232">
        <v>19978.32</v>
      </c>
      <c r="X1232">
        <f t="shared" si="258"/>
        <v>9.9470372883615557E-3</v>
      </c>
      <c r="Y1232">
        <f t="shared" si="259"/>
        <v>9.9966735050235102E-3</v>
      </c>
      <c r="Z1232" t="str">
        <f t="shared" si="252"/>
        <v>2014-12</v>
      </c>
    </row>
    <row r="1233" spans="1:26" x14ac:dyDescent="0.35">
      <c r="A1233" s="1">
        <v>41977</v>
      </c>
      <c r="C1233">
        <v>3191.25</v>
      </c>
      <c r="D1233">
        <f t="shared" si="253"/>
        <v>-1.7540522113295157E-2</v>
      </c>
      <c r="E1233" t="str">
        <f t="shared" si="247"/>
        <v>2014-12</v>
      </c>
      <c r="G1233">
        <v>4323.8900000000003</v>
      </c>
      <c r="H1233">
        <f t="shared" si="254"/>
        <v>-1.5597367515321973E-2</v>
      </c>
      <c r="I1233" t="str">
        <f t="shared" si="248"/>
        <v>2014-12</v>
      </c>
      <c r="K1233">
        <v>9851.35</v>
      </c>
      <c r="L1233">
        <f t="shared" si="255"/>
        <v>-1.2151604844198341E-2</v>
      </c>
      <c r="M1233" t="str">
        <f t="shared" si="249"/>
        <v>2014-12</v>
      </c>
      <c r="O1233">
        <v>8460.5353300000006</v>
      </c>
      <c r="P1233">
        <f t="shared" si="256"/>
        <v>-1.2956499796779054E-2</v>
      </c>
      <c r="Q1233" t="str">
        <f t="shared" si="250"/>
        <v>2014-12</v>
      </c>
      <c r="S1233">
        <v>10619.9</v>
      </c>
      <c r="T1233">
        <f t="shared" si="257"/>
        <v>-2.3819732597528516E-2</v>
      </c>
      <c r="U1233" t="str">
        <f t="shared" si="251"/>
        <v>2014-12</v>
      </c>
      <c r="W1233">
        <v>19424.38</v>
      </c>
      <c r="X1233">
        <f t="shared" si="258"/>
        <v>-2.8118707488643511E-2</v>
      </c>
      <c r="Y1233">
        <f t="shared" si="259"/>
        <v>-2.7727056128843602E-2</v>
      </c>
      <c r="Z1233" t="str">
        <f t="shared" si="252"/>
        <v>2014-12</v>
      </c>
    </row>
    <row r="1234" spans="1:26" x14ac:dyDescent="0.35">
      <c r="A1234" s="1">
        <v>41978</v>
      </c>
      <c r="C1234">
        <v>3277.38</v>
      </c>
      <c r="D1234">
        <f t="shared" si="253"/>
        <v>2.6631633139567987E-2</v>
      </c>
      <c r="E1234" t="str">
        <f t="shared" si="247"/>
        <v>2014-12</v>
      </c>
      <c r="G1234">
        <v>4419.4799999999996</v>
      </c>
      <c r="H1234">
        <f t="shared" si="254"/>
        <v>2.1866582064406014E-2</v>
      </c>
      <c r="I1234" t="str">
        <f t="shared" si="248"/>
        <v>2014-12</v>
      </c>
      <c r="K1234">
        <v>10087.120000000001</v>
      </c>
      <c r="L1234">
        <f t="shared" si="255"/>
        <v>2.3650860872113866E-2</v>
      </c>
      <c r="M1234" t="str">
        <f t="shared" si="249"/>
        <v>2014-12</v>
      </c>
      <c r="O1234">
        <v>8551.2792300000001</v>
      </c>
      <c r="P1234">
        <f t="shared" si="256"/>
        <v>1.0668439906984534E-2</v>
      </c>
      <c r="Q1234" t="str">
        <f t="shared" si="250"/>
        <v>2014-12</v>
      </c>
      <c r="S1234">
        <v>10900.7</v>
      </c>
      <c r="T1234">
        <f t="shared" si="257"/>
        <v>2.6097407782953337E-2</v>
      </c>
      <c r="U1234" t="str">
        <f t="shared" si="251"/>
        <v>2014-12</v>
      </c>
      <c r="W1234">
        <v>20087.23</v>
      </c>
      <c r="X1234">
        <f t="shared" si="258"/>
        <v>3.3555311666109228E-2</v>
      </c>
      <c r="Y1234">
        <f t="shared" si="259"/>
        <v>3.4124641301292426E-2</v>
      </c>
      <c r="Z1234" t="str">
        <f t="shared" si="252"/>
        <v>2014-12</v>
      </c>
    </row>
    <row r="1235" spans="1:26" x14ac:dyDescent="0.35">
      <c r="A1235" s="1">
        <v>41981</v>
      </c>
      <c r="C1235">
        <v>3247.99</v>
      </c>
      <c r="D1235">
        <f t="shared" si="253"/>
        <v>-9.0079792361665249E-3</v>
      </c>
      <c r="E1235" t="str">
        <f t="shared" si="247"/>
        <v>2014-12</v>
      </c>
      <c r="G1235">
        <v>4375.4799999999996</v>
      </c>
      <c r="H1235">
        <f t="shared" si="254"/>
        <v>-1.0005814032705247E-2</v>
      </c>
      <c r="I1235" t="str">
        <f t="shared" si="248"/>
        <v>2014-12</v>
      </c>
      <c r="K1235">
        <v>10014.99</v>
      </c>
      <c r="L1235">
        <f t="shared" si="255"/>
        <v>-7.176391887345342E-3</v>
      </c>
      <c r="M1235" t="str">
        <f t="shared" si="249"/>
        <v>2014-12</v>
      </c>
      <c r="O1235">
        <v>8473.0616200000004</v>
      </c>
      <c r="P1235">
        <f t="shared" si="256"/>
        <v>-9.1889795983701918E-3</v>
      </c>
      <c r="Q1235" t="str">
        <f t="shared" si="250"/>
        <v>2014-12</v>
      </c>
      <c r="S1235">
        <v>10805.2</v>
      </c>
      <c r="T1235">
        <f t="shared" si="257"/>
        <v>-8.7995076199166491E-3</v>
      </c>
      <c r="U1235" t="str">
        <f t="shared" si="251"/>
        <v>2014-12</v>
      </c>
      <c r="W1235">
        <v>19951.150000000001</v>
      </c>
      <c r="X1235">
        <f t="shared" si="258"/>
        <v>-6.7975039937340932E-3</v>
      </c>
      <c r="Y1235">
        <f t="shared" si="259"/>
        <v>-6.7744532222709705E-3</v>
      </c>
      <c r="Z1235" t="str">
        <f t="shared" si="252"/>
        <v>2014-12</v>
      </c>
    </row>
    <row r="1236" spans="1:26" x14ac:dyDescent="0.35">
      <c r="A1236" s="1">
        <v>41982</v>
      </c>
      <c r="C1236">
        <v>3162.77</v>
      </c>
      <c r="D1236">
        <f t="shared" si="253"/>
        <v>-2.6588117573528192E-2</v>
      </c>
      <c r="E1236" t="str">
        <f t="shared" si="247"/>
        <v>2014-12</v>
      </c>
      <c r="G1236">
        <v>4263.9399999999996</v>
      </c>
      <c r="H1236">
        <f t="shared" si="254"/>
        <v>-2.5822612607137266E-2</v>
      </c>
      <c r="I1236" t="str">
        <f t="shared" si="248"/>
        <v>2014-12</v>
      </c>
      <c r="K1236">
        <v>9793.7099999999991</v>
      </c>
      <c r="L1236">
        <f t="shared" si="255"/>
        <v>-2.2342627738579476E-2</v>
      </c>
      <c r="M1236" t="str">
        <f t="shared" si="249"/>
        <v>2014-12</v>
      </c>
      <c r="O1236">
        <v>8262.7245000000003</v>
      </c>
      <c r="P1236">
        <f t="shared" si="256"/>
        <v>-2.5137533940787427E-2</v>
      </c>
      <c r="Q1236" t="str">
        <f t="shared" si="250"/>
        <v>2014-12</v>
      </c>
      <c r="S1236">
        <v>10461.6</v>
      </c>
      <c r="T1236">
        <f t="shared" si="257"/>
        <v>-3.231608912648444E-2</v>
      </c>
      <c r="U1236" t="str">
        <f t="shared" si="251"/>
        <v>2014-12</v>
      </c>
      <c r="W1236">
        <v>19390</v>
      </c>
      <c r="X1236">
        <f t="shared" si="258"/>
        <v>-2.8529316530229856E-2</v>
      </c>
      <c r="Y1236">
        <f t="shared" si="259"/>
        <v>-2.8126198239199315E-2</v>
      </c>
      <c r="Z1236" t="str">
        <f t="shared" si="252"/>
        <v>2014-12</v>
      </c>
    </row>
    <row r="1237" spans="1:26" x14ac:dyDescent="0.35">
      <c r="A1237" s="1">
        <v>41983</v>
      </c>
      <c r="C1237">
        <v>3150.95</v>
      </c>
      <c r="D1237">
        <f t="shared" si="253"/>
        <v>-3.7442312326094514E-3</v>
      </c>
      <c r="E1237" t="str">
        <f t="shared" si="247"/>
        <v>2014-12</v>
      </c>
      <c r="G1237">
        <v>4227.91</v>
      </c>
      <c r="H1237">
        <f t="shared" si="254"/>
        <v>-8.4858343489151149E-3</v>
      </c>
      <c r="I1237" t="str">
        <f t="shared" si="248"/>
        <v>2014-12</v>
      </c>
      <c r="K1237">
        <v>9799.73</v>
      </c>
      <c r="L1237">
        <f t="shared" si="255"/>
        <v>6.1449140012476914E-4</v>
      </c>
      <c r="M1237" t="str">
        <f t="shared" si="249"/>
        <v>2014-12</v>
      </c>
      <c r="O1237">
        <v>8216.0547399999996</v>
      </c>
      <c r="P1237">
        <f t="shared" si="256"/>
        <v>-5.6642405481781124E-3</v>
      </c>
      <c r="Q1237" t="str">
        <f t="shared" si="250"/>
        <v>2014-12</v>
      </c>
      <c r="S1237">
        <v>10396.9</v>
      </c>
      <c r="T1237">
        <f t="shared" si="257"/>
        <v>-6.2037258196615454E-3</v>
      </c>
      <c r="U1237" t="str">
        <f t="shared" si="251"/>
        <v>2014-12</v>
      </c>
      <c r="W1237">
        <v>19217.689999999999</v>
      </c>
      <c r="X1237">
        <f t="shared" si="258"/>
        <v>-8.9262602403776814E-3</v>
      </c>
      <c r="Y1237">
        <f t="shared" si="259"/>
        <v>-8.8865394533265245E-3</v>
      </c>
      <c r="Z1237" t="str">
        <f t="shared" si="252"/>
        <v>2014-12</v>
      </c>
    </row>
    <row r="1238" spans="1:26" x14ac:dyDescent="0.35">
      <c r="A1238" s="1">
        <v>41984</v>
      </c>
      <c r="C1238">
        <v>3159.11</v>
      </c>
      <c r="D1238">
        <f t="shared" si="253"/>
        <v>2.5863476888181107E-3</v>
      </c>
      <c r="E1238" t="str">
        <f t="shared" si="247"/>
        <v>2014-12</v>
      </c>
      <c r="G1238">
        <v>4225.8599999999997</v>
      </c>
      <c r="H1238">
        <f t="shared" si="254"/>
        <v>-4.8499072962312258E-4</v>
      </c>
      <c r="I1238" t="str">
        <f t="shared" si="248"/>
        <v>2014-12</v>
      </c>
      <c r="K1238">
        <v>9862.5300000000007</v>
      </c>
      <c r="L1238">
        <f t="shared" si="255"/>
        <v>6.3878937158797664E-3</v>
      </c>
      <c r="M1238" t="str">
        <f t="shared" si="249"/>
        <v>2014-12</v>
      </c>
      <c r="O1238">
        <v>8193.0620999999992</v>
      </c>
      <c r="P1238">
        <f t="shared" si="256"/>
        <v>-2.8024244414950618E-3</v>
      </c>
      <c r="Q1238" t="str">
        <f t="shared" si="250"/>
        <v>2014-12</v>
      </c>
      <c r="S1238">
        <v>10431.799999999999</v>
      </c>
      <c r="T1238">
        <f t="shared" si="257"/>
        <v>3.3511484308810669E-3</v>
      </c>
      <c r="U1238" t="str">
        <f t="shared" si="251"/>
        <v>2014-12</v>
      </c>
      <c r="W1238">
        <v>19201.07</v>
      </c>
      <c r="X1238">
        <f t="shared" si="258"/>
        <v>-8.6520236659253587E-4</v>
      </c>
      <c r="Y1238">
        <f t="shared" si="259"/>
        <v>-8.648281869464531E-4</v>
      </c>
      <c r="Z1238" t="str">
        <f t="shared" si="252"/>
        <v>2014-12</v>
      </c>
    </row>
    <row r="1239" spans="1:26" x14ac:dyDescent="0.35">
      <c r="A1239" s="1">
        <v>41985</v>
      </c>
      <c r="C1239">
        <v>3067.32</v>
      </c>
      <c r="D1239">
        <f t="shared" si="253"/>
        <v>-2.9486126185031752E-2</v>
      </c>
      <c r="E1239" t="str">
        <f t="shared" si="247"/>
        <v>2014-12</v>
      </c>
      <c r="G1239">
        <v>4108.93</v>
      </c>
      <c r="H1239">
        <f t="shared" si="254"/>
        <v>-2.8060136410409907E-2</v>
      </c>
      <c r="I1239" t="str">
        <f t="shared" si="248"/>
        <v>2014-12</v>
      </c>
      <c r="K1239">
        <v>9594.73</v>
      </c>
      <c r="L1239">
        <f t="shared" si="255"/>
        <v>-2.752873858479667E-2</v>
      </c>
      <c r="M1239" t="str">
        <f t="shared" si="249"/>
        <v>2014-12</v>
      </c>
      <c r="O1239">
        <v>7949.1329800000003</v>
      </c>
      <c r="P1239">
        <f t="shared" si="256"/>
        <v>-3.0224847172743749E-2</v>
      </c>
      <c r="Q1239" t="str">
        <f t="shared" si="250"/>
        <v>2014-12</v>
      </c>
      <c r="S1239">
        <v>10145</v>
      </c>
      <c r="T1239">
        <f t="shared" si="257"/>
        <v>-2.7877859943596973E-2</v>
      </c>
      <c r="U1239" t="str">
        <f t="shared" si="251"/>
        <v>2014-12</v>
      </c>
      <c r="W1239">
        <v>18600.830000000002</v>
      </c>
      <c r="X1239">
        <f t="shared" si="258"/>
        <v>-3.1759803268126233E-2</v>
      </c>
      <c r="Y1239">
        <f t="shared" si="259"/>
        <v>-3.1260757864014763E-2</v>
      </c>
      <c r="Z1239" t="str">
        <f t="shared" si="252"/>
        <v>2014-12</v>
      </c>
    </row>
    <row r="1240" spans="1:26" x14ac:dyDescent="0.35">
      <c r="A1240" s="1">
        <v>41988</v>
      </c>
      <c r="C1240">
        <v>2982.9</v>
      </c>
      <c r="D1240">
        <f t="shared" si="253"/>
        <v>-2.7908234502606117E-2</v>
      </c>
      <c r="E1240" t="str">
        <f t="shared" si="247"/>
        <v>2014-12</v>
      </c>
      <c r="G1240">
        <v>4005.38</v>
      </c>
      <c r="H1240">
        <f t="shared" si="254"/>
        <v>-2.5524196563414918E-2</v>
      </c>
      <c r="I1240" t="str">
        <f t="shared" si="248"/>
        <v>2014-12</v>
      </c>
      <c r="K1240">
        <v>9334.01</v>
      </c>
      <c r="L1240">
        <f t="shared" si="255"/>
        <v>-2.7549270528568506E-2</v>
      </c>
      <c r="M1240" t="str">
        <f t="shared" si="249"/>
        <v>2014-12</v>
      </c>
      <c r="O1240">
        <v>7775.3743599999998</v>
      </c>
      <c r="P1240">
        <f t="shared" si="256"/>
        <v>-2.210125749706162E-2</v>
      </c>
      <c r="Q1240" t="str">
        <f t="shared" si="250"/>
        <v>2014-12</v>
      </c>
      <c r="S1240">
        <v>9903.9</v>
      </c>
      <c r="T1240">
        <f t="shared" si="257"/>
        <v>-2.4052354317045329E-2</v>
      </c>
      <c r="U1240" t="str">
        <f t="shared" si="251"/>
        <v>2014-12</v>
      </c>
      <c r="W1240">
        <v>18078.97</v>
      </c>
      <c r="X1240">
        <f t="shared" si="258"/>
        <v>-2.8456819064778691E-2</v>
      </c>
      <c r="Y1240">
        <f t="shared" si="259"/>
        <v>-2.8055737297744267E-2</v>
      </c>
      <c r="Z1240" t="str">
        <f t="shared" si="252"/>
        <v>2014-12</v>
      </c>
    </row>
    <row r="1241" spans="1:26" x14ac:dyDescent="0.35">
      <c r="A1241" s="1">
        <v>41989</v>
      </c>
      <c r="C1241">
        <v>3049.99</v>
      </c>
      <c r="D1241">
        <f t="shared" si="253"/>
        <v>2.2242330253420171E-2</v>
      </c>
      <c r="E1241" t="str">
        <f t="shared" si="247"/>
        <v>2014-12</v>
      </c>
      <c r="G1241">
        <v>4093.2</v>
      </c>
      <c r="H1241">
        <f t="shared" si="254"/>
        <v>2.1688602812843742E-2</v>
      </c>
      <c r="I1241" t="str">
        <f t="shared" si="248"/>
        <v>2014-12</v>
      </c>
      <c r="K1241">
        <v>9563.89</v>
      </c>
      <c r="L1241">
        <f t="shared" si="255"/>
        <v>2.4329829187017052E-2</v>
      </c>
      <c r="M1241" t="str">
        <f t="shared" si="249"/>
        <v>2014-12</v>
      </c>
      <c r="O1241">
        <v>7974.3904199999997</v>
      </c>
      <c r="P1241">
        <f t="shared" si="256"/>
        <v>2.5273603283560115E-2</v>
      </c>
      <c r="Q1241" t="str">
        <f t="shared" si="250"/>
        <v>2014-12</v>
      </c>
      <c r="S1241">
        <v>10081.9</v>
      </c>
      <c r="T1241">
        <f t="shared" si="257"/>
        <v>1.7813117983584766E-2</v>
      </c>
      <c r="U1241" t="str">
        <f t="shared" si="251"/>
        <v>2014-12</v>
      </c>
      <c r="W1241">
        <v>18670.05</v>
      </c>
      <c r="X1241">
        <f t="shared" si="258"/>
        <v>3.2171251328557526E-2</v>
      </c>
      <c r="Y1241">
        <f t="shared" si="259"/>
        <v>3.2694340440854654E-2</v>
      </c>
      <c r="Z1241" t="str">
        <f t="shared" si="252"/>
        <v>2014-12</v>
      </c>
    </row>
    <row r="1242" spans="1:26" x14ac:dyDescent="0.35">
      <c r="A1242" s="1">
        <v>41990</v>
      </c>
      <c r="C1242">
        <v>3051.99</v>
      </c>
      <c r="D1242">
        <f t="shared" si="253"/>
        <v>6.5552495144815409E-4</v>
      </c>
      <c r="E1242" t="str">
        <f t="shared" si="247"/>
        <v>2014-12</v>
      </c>
      <c r="G1242">
        <v>4111.91</v>
      </c>
      <c r="H1242">
        <f t="shared" si="254"/>
        <v>4.5605805233402685E-3</v>
      </c>
      <c r="I1242" t="str">
        <f t="shared" si="248"/>
        <v>2014-12</v>
      </c>
      <c r="K1242">
        <v>9544.43</v>
      </c>
      <c r="L1242">
        <f t="shared" si="255"/>
        <v>-2.0368098009281516E-3</v>
      </c>
      <c r="M1242" t="str">
        <f t="shared" si="249"/>
        <v>2014-12</v>
      </c>
      <c r="O1242">
        <v>7990.9174199999998</v>
      </c>
      <c r="P1242">
        <f t="shared" si="256"/>
        <v>2.0703648271724081E-3</v>
      </c>
      <c r="Q1242" t="str">
        <f t="shared" si="250"/>
        <v>2014-12</v>
      </c>
      <c r="S1242">
        <v>10049.5</v>
      </c>
      <c r="T1242">
        <f t="shared" si="257"/>
        <v>-3.2188549206481403E-3</v>
      </c>
      <c r="U1242" t="str">
        <f t="shared" si="251"/>
        <v>2014-12</v>
      </c>
      <c r="W1242">
        <v>18569.03</v>
      </c>
      <c r="X1242">
        <f t="shared" si="258"/>
        <v>-5.4254964302037478E-3</v>
      </c>
      <c r="Y1242">
        <f t="shared" si="259"/>
        <v>-5.4108050058784222E-3</v>
      </c>
      <c r="Z1242" t="str">
        <f t="shared" si="252"/>
        <v>2014-12</v>
      </c>
    </row>
    <row r="1243" spans="1:26" x14ac:dyDescent="0.35">
      <c r="A1243" s="1">
        <v>41991</v>
      </c>
      <c r="C1243">
        <v>3153.77</v>
      </c>
      <c r="D1243">
        <f t="shared" si="253"/>
        <v>3.2804725732911176E-2</v>
      </c>
      <c r="E1243" t="str">
        <f t="shared" si="247"/>
        <v>2014-12</v>
      </c>
      <c r="G1243">
        <v>4249.49</v>
      </c>
      <c r="H1243">
        <f t="shared" si="254"/>
        <v>3.2911334981945775E-2</v>
      </c>
      <c r="I1243" t="str">
        <f t="shared" si="248"/>
        <v>2014-12</v>
      </c>
      <c r="K1243">
        <v>9811.06</v>
      </c>
      <c r="L1243">
        <f t="shared" si="255"/>
        <v>2.7552582481916388E-2</v>
      </c>
      <c r="M1243" t="str">
        <f t="shared" si="249"/>
        <v>2014-12</v>
      </c>
      <c r="O1243">
        <v>8243.5709900000002</v>
      </c>
      <c r="P1243">
        <f t="shared" si="256"/>
        <v>3.1128048402387847E-2</v>
      </c>
      <c r="Q1243" t="str">
        <f t="shared" si="250"/>
        <v>2014-12</v>
      </c>
      <c r="S1243">
        <v>10391.299999999999</v>
      </c>
      <c r="T1243">
        <f t="shared" si="257"/>
        <v>3.3446035568562155E-2</v>
      </c>
      <c r="U1243" t="str">
        <f t="shared" si="251"/>
        <v>2014-12</v>
      </c>
      <c r="W1243">
        <v>19060.990000000002</v>
      </c>
      <c r="X1243">
        <f t="shared" si="258"/>
        <v>2.6148698902312844E-2</v>
      </c>
      <c r="Y1243">
        <f t="shared" si="259"/>
        <v>2.6493575593340243E-2</v>
      </c>
      <c r="Z1243" t="str">
        <f t="shared" si="252"/>
        <v>2014-12</v>
      </c>
    </row>
    <row r="1244" spans="1:26" x14ac:dyDescent="0.35">
      <c r="A1244" s="1">
        <v>41992</v>
      </c>
      <c r="C1244">
        <v>3141.28</v>
      </c>
      <c r="D1244">
        <f t="shared" si="253"/>
        <v>-3.9682024414781029E-3</v>
      </c>
      <c r="E1244" t="str">
        <f t="shared" si="247"/>
        <v>2014-12</v>
      </c>
      <c r="G1244">
        <v>4241.6499999999996</v>
      </c>
      <c r="H1244">
        <f t="shared" si="254"/>
        <v>-1.8466312480768183E-3</v>
      </c>
      <c r="I1244" t="str">
        <f t="shared" si="248"/>
        <v>2014-12</v>
      </c>
      <c r="K1244">
        <v>9786.9599999999991</v>
      </c>
      <c r="L1244">
        <f t="shared" si="255"/>
        <v>-2.4594333660268768E-3</v>
      </c>
      <c r="M1244" t="str">
        <f t="shared" si="249"/>
        <v>2014-12</v>
      </c>
      <c r="O1244">
        <v>8353.2404100000003</v>
      </c>
      <c r="P1244">
        <f t="shared" si="256"/>
        <v>1.3215914020359999E-2</v>
      </c>
      <c r="Q1244" t="str">
        <f t="shared" si="250"/>
        <v>2014-12</v>
      </c>
      <c r="S1244">
        <v>10363.6</v>
      </c>
      <c r="T1244">
        <f t="shared" si="257"/>
        <v>-2.6692507741921112E-3</v>
      </c>
      <c r="U1244" t="str">
        <f t="shared" si="251"/>
        <v>2014-12</v>
      </c>
      <c r="W1244">
        <v>18983.830000000002</v>
      </c>
      <c r="X1244">
        <f t="shared" si="258"/>
        <v>-4.0562739313821624E-3</v>
      </c>
      <c r="Y1244">
        <f t="shared" si="259"/>
        <v>-4.048058364229762E-3</v>
      </c>
      <c r="Z1244" t="str">
        <f t="shared" si="252"/>
        <v>2014-12</v>
      </c>
    </row>
    <row r="1245" spans="1:26" x14ac:dyDescent="0.35">
      <c r="A1245" s="1">
        <v>41995</v>
      </c>
      <c r="C1245">
        <v>3154.91</v>
      </c>
      <c r="D1245">
        <f t="shared" si="253"/>
        <v>4.3296092690262734E-3</v>
      </c>
      <c r="E1245" t="str">
        <f t="shared" si="247"/>
        <v>2014-12</v>
      </c>
      <c r="G1245">
        <v>4254.43</v>
      </c>
      <c r="H1245">
        <f t="shared" si="254"/>
        <v>3.0084485172128415E-3</v>
      </c>
      <c r="I1245" t="str">
        <f t="shared" si="248"/>
        <v>2014-12</v>
      </c>
      <c r="K1245">
        <v>9865.76</v>
      </c>
      <c r="L1245">
        <f t="shared" si="255"/>
        <v>8.0192891666197967E-3</v>
      </c>
      <c r="M1245" t="str">
        <f t="shared" si="249"/>
        <v>2014-12</v>
      </c>
      <c r="O1245">
        <v>8376.5938399999995</v>
      </c>
      <c r="P1245">
        <f t="shared" si="256"/>
        <v>2.7918322225681867E-3</v>
      </c>
      <c r="Q1245" t="str">
        <f t="shared" si="250"/>
        <v>2014-12</v>
      </c>
      <c r="S1245">
        <v>10371</v>
      </c>
      <c r="T1245">
        <f t="shared" si="257"/>
        <v>7.1378278955775462E-4</v>
      </c>
      <c r="U1245" t="str">
        <f t="shared" si="251"/>
        <v>2014-12</v>
      </c>
      <c r="W1245">
        <v>19074.04</v>
      </c>
      <c r="X1245">
        <f t="shared" si="258"/>
        <v>4.7406840660747171E-3</v>
      </c>
      <c r="Y1245">
        <f t="shared" si="259"/>
        <v>4.7519388869368892E-3</v>
      </c>
      <c r="Z1245" t="str">
        <f t="shared" si="252"/>
        <v>2014-12</v>
      </c>
    </row>
    <row r="1246" spans="1:26" x14ac:dyDescent="0.35">
      <c r="A1246" s="1">
        <v>41996</v>
      </c>
      <c r="C1246">
        <v>3192.47</v>
      </c>
      <c r="D1246">
        <f t="shared" si="253"/>
        <v>1.183494241880105E-2</v>
      </c>
      <c r="E1246" t="str">
        <f t="shared" si="247"/>
        <v>2014-12</v>
      </c>
      <c r="G1246">
        <v>4314.97</v>
      </c>
      <c r="H1246">
        <f t="shared" si="254"/>
        <v>1.4129579015027774E-2</v>
      </c>
      <c r="I1246" t="str">
        <f t="shared" si="248"/>
        <v>2014-12</v>
      </c>
      <c r="K1246">
        <v>9922.11</v>
      </c>
      <c r="L1246">
        <f t="shared" si="255"/>
        <v>5.6954237442093268E-3</v>
      </c>
      <c r="M1246" t="str">
        <f t="shared" si="249"/>
        <v>2014-12</v>
      </c>
      <c r="O1246">
        <v>8407.5856399999993</v>
      </c>
      <c r="P1246">
        <f t="shared" si="256"/>
        <v>3.6929818653808522E-3</v>
      </c>
      <c r="Q1246" t="str">
        <f t="shared" si="250"/>
        <v>2014-12</v>
      </c>
      <c r="S1246">
        <v>10477.700000000001</v>
      </c>
      <c r="T1246">
        <f t="shared" si="257"/>
        <v>1.0235739550334359E-2</v>
      </c>
      <c r="U1246" t="str">
        <f t="shared" si="251"/>
        <v>2014-12</v>
      </c>
      <c r="W1246">
        <v>19352.13</v>
      </c>
      <c r="X1246">
        <f t="shared" si="258"/>
        <v>1.4474242687040622E-2</v>
      </c>
      <c r="Y1246">
        <f t="shared" si="259"/>
        <v>1.4579501773090553E-2</v>
      </c>
      <c r="Z1246" t="str">
        <f t="shared" si="252"/>
        <v>2014-12</v>
      </c>
    </row>
    <row r="1247" spans="1:26" x14ac:dyDescent="0.35">
      <c r="A1247" s="1">
        <v>42002</v>
      </c>
      <c r="C1247">
        <v>3185.17</v>
      </c>
      <c r="D1247">
        <f t="shared" si="253"/>
        <v>-2.2892490601753379E-3</v>
      </c>
      <c r="E1247" t="str">
        <f t="shared" si="247"/>
        <v>2014-12</v>
      </c>
      <c r="G1247">
        <v>4317.93</v>
      </c>
      <c r="H1247">
        <f t="shared" si="254"/>
        <v>6.8574873240625177E-4</v>
      </c>
      <c r="I1247" t="str">
        <f t="shared" si="248"/>
        <v>2014-12</v>
      </c>
      <c r="K1247">
        <v>9927.1299999999992</v>
      </c>
      <c r="L1247">
        <f t="shared" si="255"/>
        <v>5.058128277986544E-4</v>
      </c>
      <c r="M1247" t="str">
        <f t="shared" si="249"/>
        <v>2014-12</v>
      </c>
      <c r="O1247">
        <v>8459.1967000000004</v>
      </c>
      <c r="P1247">
        <f t="shared" si="256"/>
        <v>6.1198656674275563E-3</v>
      </c>
      <c r="Q1247" t="str">
        <f t="shared" si="250"/>
        <v>2014-12</v>
      </c>
      <c r="S1247">
        <v>10394.200000000001</v>
      </c>
      <c r="T1247">
        <f t="shared" si="257"/>
        <v>-8.0012308864939857E-3</v>
      </c>
      <c r="U1247" t="str">
        <f t="shared" si="251"/>
        <v>2014-12</v>
      </c>
      <c r="W1247">
        <v>19130.02</v>
      </c>
      <c r="X1247">
        <f t="shared" si="258"/>
        <v>-1.1543662007163755E-2</v>
      </c>
      <c r="Y1247">
        <f t="shared" si="259"/>
        <v>-1.1477289580010085E-2</v>
      </c>
      <c r="Z1247" t="str">
        <f t="shared" si="252"/>
        <v>2014-12</v>
      </c>
    </row>
    <row r="1248" spans="1:26" x14ac:dyDescent="0.35">
      <c r="A1248" s="1">
        <v>42003</v>
      </c>
      <c r="C1248">
        <v>3135.95</v>
      </c>
      <c r="D1248">
        <f t="shared" si="253"/>
        <v>-1.5573504312448559E-2</v>
      </c>
      <c r="E1248" t="str">
        <f t="shared" si="247"/>
        <v>2014-12</v>
      </c>
      <c r="G1248">
        <v>4245.54</v>
      </c>
      <c r="H1248">
        <f t="shared" si="254"/>
        <v>-1.690710059875624E-2</v>
      </c>
      <c r="I1248" t="str">
        <f t="shared" si="248"/>
        <v>2014-12</v>
      </c>
      <c r="K1248">
        <v>9805.5499999999993</v>
      </c>
      <c r="L1248">
        <f t="shared" si="255"/>
        <v>-1.2322861214914341E-2</v>
      </c>
      <c r="M1248" t="str">
        <f t="shared" si="249"/>
        <v>2014-12</v>
      </c>
      <c r="O1248">
        <v>8378.5659300000007</v>
      </c>
      <c r="P1248">
        <f t="shared" si="256"/>
        <v>-9.5774466131898217E-3</v>
      </c>
      <c r="Q1248" t="str">
        <f t="shared" si="250"/>
        <v>2014-12</v>
      </c>
      <c r="S1248">
        <v>10279.200000000001</v>
      </c>
      <c r="T1248">
        <f t="shared" si="257"/>
        <v>-1.1125522284303605E-2</v>
      </c>
      <c r="U1248" t="str">
        <f t="shared" si="251"/>
        <v>2014-12</v>
      </c>
      <c r="W1248">
        <v>19011.96</v>
      </c>
      <c r="X1248">
        <f t="shared" si="258"/>
        <v>-6.1905741147289537E-3</v>
      </c>
      <c r="Y1248">
        <f t="shared" si="259"/>
        <v>-6.171451990118218E-3</v>
      </c>
      <c r="Z1248" t="str">
        <f t="shared" si="252"/>
        <v>2014-12</v>
      </c>
    </row>
    <row r="1249" spans="1:26" x14ac:dyDescent="0.35">
      <c r="A1249" s="1">
        <v>42006</v>
      </c>
      <c r="C1249">
        <v>3139.44</v>
      </c>
      <c r="D1249">
        <f t="shared" si="253"/>
        <v>1.1122815824388883E-3</v>
      </c>
      <c r="E1249" t="str">
        <f t="shared" si="247"/>
        <v>2015-01</v>
      </c>
      <c r="G1249">
        <v>4252.29</v>
      </c>
      <c r="H1249">
        <f t="shared" si="254"/>
        <v>1.5886411989004744E-3</v>
      </c>
      <c r="I1249" t="str">
        <f t="shared" si="248"/>
        <v>2015-01</v>
      </c>
      <c r="K1249">
        <v>9764.73</v>
      </c>
      <c r="L1249">
        <f t="shared" si="255"/>
        <v>-4.1716377279932427E-3</v>
      </c>
      <c r="M1249" t="str">
        <f t="shared" si="249"/>
        <v>2015-01</v>
      </c>
      <c r="O1249">
        <v>8373.6602999999996</v>
      </c>
      <c r="P1249">
        <f t="shared" si="256"/>
        <v>-5.8566904157954518E-4</v>
      </c>
      <c r="Q1249" t="str">
        <f t="shared" si="250"/>
        <v>2015-01</v>
      </c>
      <c r="S1249">
        <v>10350.799999999999</v>
      </c>
      <c r="T1249">
        <f t="shared" si="257"/>
        <v>6.9413754231541745E-3</v>
      </c>
      <c r="U1249" t="str">
        <f t="shared" si="251"/>
        <v>2015-01</v>
      </c>
      <c r="W1249">
        <v>19130.259999999998</v>
      </c>
      <c r="X1249">
        <f t="shared" si="258"/>
        <v>6.2031197625915056E-3</v>
      </c>
      <c r="Y1249">
        <f t="shared" si="259"/>
        <v>6.2223989530800234E-3</v>
      </c>
      <c r="Z1249" t="str">
        <f t="shared" si="252"/>
        <v>2015-01</v>
      </c>
    </row>
    <row r="1250" spans="1:26" x14ac:dyDescent="0.35">
      <c r="A1250" s="1">
        <v>42009</v>
      </c>
      <c r="C1250">
        <v>3023.14</v>
      </c>
      <c r="D1250">
        <f t="shared" si="253"/>
        <v>-3.7748413729990368E-2</v>
      </c>
      <c r="E1250" t="str">
        <f t="shared" si="247"/>
        <v>2015-01</v>
      </c>
      <c r="G1250">
        <v>4111.3599999999997</v>
      </c>
      <c r="H1250">
        <f t="shared" si="254"/>
        <v>-3.3703787336422944E-2</v>
      </c>
      <c r="I1250" t="str">
        <f t="shared" si="248"/>
        <v>2015-01</v>
      </c>
      <c r="K1250">
        <v>9473.16</v>
      </c>
      <c r="L1250">
        <f t="shared" si="255"/>
        <v>-3.0314377317303794E-2</v>
      </c>
      <c r="M1250" t="str">
        <f t="shared" si="249"/>
        <v>2015-01</v>
      </c>
      <c r="O1250">
        <v>8194.8903900000005</v>
      </c>
      <c r="P1250">
        <f t="shared" si="256"/>
        <v>-2.1580263858845906E-2</v>
      </c>
      <c r="Q1250" t="str">
        <f t="shared" si="250"/>
        <v>2015-01</v>
      </c>
      <c r="S1250">
        <v>9993.2999999999993</v>
      </c>
      <c r="T1250">
        <f t="shared" si="257"/>
        <v>-3.5148942966547109E-2</v>
      </c>
      <c r="U1250" t="str">
        <f t="shared" si="251"/>
        <v>2015-01</v>
      </c>
      <c r="W1250">
        <v>18188.439999999999</v>
      </c>
      <c r="X1250">
        <f t="shared" si="258"/>
        <v>-5.0485147132839504E-2</v>
      </c>
      <c r="Y1250">
        <f t="shared" si="259"/>
        <v>-4.9231949800995899E-2</v>
      </c>
      <c r="Z1250" t="str">
        <f t="shared" si="252"/>
        <v>2015-01</v>
      </c>
    </row>
    <row r="1251" spans="1:26" x14ac:dyDescent="0.35">
      <c r="A1251" s="1">
        <v>42010</v>
      </c>
      <c r="C1251">
        <v>3007.91</v>
      </c>
      <c r="D1251">
        <f t="shared" si="253"/>
        <v>-5.0505409087450194E-3</v>
      </c>
      <c r="E1251" t="str">
        <f t="shared" si="247"/>
        <v>2015-01</v>
      </c>
      <c r="G1251">
        <v>4083.5</v>
      </c>
      <c r="H1251">
        <f t="shared" si="254"/>
        <v>-6.7994101998476537E-3</v>
      </c>
      <c r="I1251" t="str">
        <f t="shared" si="248"/>
        <v>2015-01</v>
      </c>
      <c r="K1251">
        <v>9469.66</v>
      </c>
      <c r="L1251">
        <f t="shared" si="255"/>
        <v>-3.6953315713588391E-4</v>
      </c>
      <c r="M1251" t="str">
        <f t="shared" si="249"/>
        <v>2015-01</v>
      </c>
      <c r="O1251">
        <v>8102.0541599999997</v>
      </c>
      <c r="P1251">
        <f t="shared" si="256"/>
        <v>-1.1393207350197205E-2</v>
      </c>
      <c r="Q1251" t="str">
        <f t="shared" si="250"/>
        <v>2015-01</v>
      </c>
      <c r="S1251">
        <v>9871.1</v>
      </c>
      <c r="T1251">
        <f t="shared" si="257"/>
        <v>-1.2303572373457567E-2</v>
      </c>
      <c r="U1251" t="str">
        <f t="shared" si="251"/>
        <v>2015-01</v>
      </c>
      <c r="W1251">
        <v>18143.259999999998</v>
      </c>
      <c r="X1251">
        <f t="shared" si="258"/>
        <v>-2.487085563778245E-3</v>
      </c>
      <c r="Y1251">
        <f t="shared" si="259"/>
        <v>-2.4839953289012302E-3</v>
      </c>
      <c r="Z1251" t="str">
        <f t="shared" si="252"/>
        <v>2015-01</v>
      </c>
    </row>
    <row r="1252" spans="1:26" x14ac:dyDescent="0.35">
      <c r="A1252" s="1">
        <v>42011</v>
      </c>
      <c r="C1252">
        <v>3026.79</v>
      </c>
      <c r="D1252">
        <f t="shared" si="253"/>
        <v>6.2571665863478546E-3</v>
      </c>
      <c r="E1252" t="str">
        <f t="shared" si="247"/>
        <v>2015-01</v>
      </c>
      <c r="G1252">
        <v>4112.7299999999996</v>
      </c>
      <c r="H1252">
        <f t="shared" si="254"/>
        <v>7.1325777631094205E-3</v>
      </c>
      <c r="I1252" t="str">
        <f t="shared" si="248"/>
        <v>2015-01</v>
      </c>
      <c r="K1252">
        <v>9518.18</v>
      </c>
      <c r="L1252">
        <f t="shared" si="255"/>
        <v>5.1106503537795087E-3</v>
      </c>
      <c r="M1252" t="str">
        <f t="shared" si="249"/>
        <v>2015-01</v>
      </c>
      <c r="O1252">
        <v>8187.8609500000002</v>
      </c>
      <c r="P1252">
        <f t="shared" si="256"/>
        <v>1.0535055958467985E-2</v>
      </c>
      <c r="Q1252" t="str">
        <f t="shared" si="250"/>
        <v>2015-01</v>
      </c>
      <c r="S1252">
        <v>9891.4</v>
      </c>
      <c r="T1252">
        <f t="shared" si="257"/>
        <v>2.0543966744849618E-3</v>
      </c>
      <c r="U1252" t="str">
        <f t="shared" si="251"/>
        <v>2015-01</v>
      </c>
      <c r="W1252">
        <v>18123.45</v>
      </c>
      <c r="X1252">
        <f t="shared" si="258"/>
        <v>-1.0924620386146772E-3</v>
      </c>
      <c r="Y1252">
        <f t="shared" si="259"/>
        <v>-1.0918655192064532E-3</v>
      </c>
      <c r="Z1252" t="str">
        <f t="shared" si="252"/>
        <v>2015-01</v>
      </c>
    </row>
    <row r="1253" spans="1:26" x14ac:dyDescent="0.35">
      <c r="A1253" s="1">
        <v>42012</v>
      </c>
      <c r="C1253">
        <v>3135.08</v>
      </c>
      <c r="D1253">
        <f t="shared" si="253"/>
        <v>3.5152040087047608E-2</v>
      </c>
      <c r="E1253" t="str">
        <f t="shared" si="247"/>
        <v>2015-01</v>
      </c>
      <c r="G1253">
        <v>4260.1899999999996</v>
      </c>
      <c r="H1253">
        <f t="shared" si="254"/>
        <v>3.5226718646351053E-2</v>
      </c>
      <c r="I1253" t="str">
        <f t="shared" si="248"/>
        <v>2015-01</v>
      </c>
      <c r="K1253">
        <v>9837.61</v>
      </c>
      <c r="L1253">
        <f t="shared" si="255"/>
        <v>3.300914132754048E-2</v>
      </c>
      <c r="M1253" t="str">
        <f t="shared" si="249"/>
        <v>2015-01</v>
      </c>
      <c r="O1253">
        <v>8403.5665100000006</v>
      </c>
      <c r="P1253">
        <f t="shared" si="256"/>
        <v>2.6003514776757341E-2</v>
      </c>
      <c r="Q1253" t="str">
        <f t="shared" si="250"/>
        <v>2015-01</v>
      </c>
      <c r="S1253">
        <v>10115</v>
      </c>
      <c r="T1253">
        <f t="shared" si="257"/>
        <v>2.2353777874940469E-2</v>
      </c>
      <c r="U1253" t="str">
        <f t="shared" si="251"/>
        <v>2015-01</v>
      </c>
      <c r="W1253">
        <v>18791.830000000002</v>
      </c>
      <c r="X1253">
        <f t="shared" si="258"/>
        <v>3.6215521070416867E-2</v>
      </c>
      <c r="Y1253">
        <f t="shared" si="259"/>
        <v>3.6879291746328709E-2</v>
      </c>
      <c r="Z1253" t="str">
        <f t="shared" si="252"/>
        <v>2015-01</v>
      </c>
    </row>
    <row r="1254" spans="1:26" x14ac:dyDescent="0.35">
      <c r="A1254" s="1">
        <v>42013</v>
      </c>
      <c r="C1254">
        <v>3042.9</v>
      </c>
      <c r="D1254">
        <f t="shared" si="253"/>
        <v>-2.9843684032681755E-2</v>
      </c>
      <c r="E1254" t="str">
        <f t="shared" si="247"/>
        <v>2015-01</v>
      </c>
      <c r="G1254">
        <v>4179.07</v>
      </c>
      <c r="H1254">
        <f t="shared" si="254"/>
        <v>-1.9225026481401709E-2</v>
      </c>
      <c r="I1254" t="str">
        <f t="shared" si="248"/>
        <v>2015-01</v>
      </c>
      <c r="K1254">
        <v>9648.5</v>
      </c>
      <c r="L1254">
        <f t="shared" si="255"/>
        <v>-1.9410332529401723E-2</v>
      </c>
      <c r="M1254" t="str">
        <f t="shared" si="249"/>
        <v>2015-01</v>
      </c>
      <c r="O1254">
        <v>8321.2393800000009</v>
      </c>
      <c r="P1254">
        <f t="shared" si="256"/>
        <v>-9.8449925811752922E-3</v>
      </c>
      <c r="Q1254" t="str">
        <f t="shared" si="250"/>
        <v>2015-01</v>
      </c>
      <c r="S1254">
        <v>9719</v>
      </c>
      <c r="T1254">
        <f t="shared" si="257"/>
        <v>-3.9936738098375203E-2</v>
      </c>
      <c r="U1254" t="str">
        <f t="shared" si="251"/>
        <v>2015-01</v>
      </c>
      <c r="W1254">
        <v>18177.09</v>
      </c>
      <c r="X1254">
        <f t="shared" si="258"/>
        <v>-3.3260190982166545E-2</v>
      </c>
      <c r="Y1254">
        <f t="shared" si="259"/>
        <v>-3.2713152471047342E-2</v>
      </c>
      <c r="Z1254" t="str">
        <f t="shared" si="252"/>
        <v>2015-01</v>
      </c>
    </row>
    <row r="1255" spans="1:26" x14ac:dyDescent="0.35">
      <c r="A1255" s="1">
        <v>42016</v>
      </c>
      <c r="C1255">
        <v>3084.18</v>
      </c>
      <c r="D1255">
        <f t="shared" si="253"/>
        <v>1.347481168870065E-2</v>
      </c>
      <c r="E1255" t="str">
        <f t="shared" si="247"/>
        <v>2015-01</v>
      </c>
      <c r="G1255">
        <v>4228.24</v>
      </c>
      <c r="H1255">
        <f t="shared" si="254"/>
        <v>1.1697097080325352E-2</v>
      </c>
      <c r="I1255" t="str">
        <f t="shared" si="248"/>
        <v>2015-01</v>
      </c>
      <c r="K1255">
        <v>9781.9</v>
      </c>
      <c r="L1255">
        <f t="shared" si="255"/>
        <v>1.3731276352326974E-2</v>
      </c>
      <c r="M1255" t="str">
        <f t="shared" si="249"/>
        <v>2015-01</v>
      </c>
      <c r="O1255">
        <v>8336.5070899999992</v>
      </c>
      <c r="P1255">
        <f t="shared" si="256"/>
        <v>1.8331068134348914E-3</v>
      </c>
      <c r="Q1255" t="str">
        <f t="shared" si="250"/>
        <v>2015-01</v>
      </c>
      <c r="S1255">
        <v>9797.5</v>
      </c>
      <c r="T1255">
        <f t="shared" si="257"/>
        <v>8.0445185703158957E-3</v>
      </c>
      <c r="U1255" t="str">
        <f t="shared" si="251"/>
        <v>2015-01</v>
      </c>
      <c r="W1255">
        <v>18349.150000000001</v>
      </c>
      <c r="X1255">
        <f t="shared" si="258"/>
        <v>9.4212419710171472E-3</v>
      </c>
      <c r="Y1255">
        <f t="shared" si="259"/>
        <v>9.4657615712966884E-3</v>
      </c>
      <c r="Z1255" t="str">
        <f t="shared" si="252"/>
        <v>2015-01</v>
      </c>
    </row>
    <row r="1256" spans="1:26" x14ac:dyDescent="0.35">
      <c r="A1256" s="1">
        <v>42017</v>
      </c>
      <c r="C1256">
        <v>3133.86</v>
      </c>
      <c r="D1256">
        <f t="shared" si="253"/>
        <v>1.5979651832889526E-2</v>
      </c>
      <c r="E1256" t="str">
        <f t="shared" si="247"/>
        <v>2015-01</v>
      </c>
      <c r="G1256">
        <v>4290.28</v>
      </c>
      <c r="H1256">
        <f t="shared" si="254"/>
        <v>1.456616805074867E-2</v>
      </c>
      <c r="I1256" t="str">
        <f t="shared" si="248"/>
        <v>2015-01</v>
      </c>
      <c r="K1256">
        <v>9941</v>
      </c>
      <c r="L1256">
        <f t="shared" si="255"/>
        <v>1.6133880023407716E-2</v>
      </c>
      <c r="M1256" t="str">
        <f t="shared" si="249"/>
        <v>2015-01</v>
      </c>
      <c r="O1256">
        <v>8416.3168600000008</v>
      </c>
      <c r="P1256">
        <f t="shared" si="256"/>
        <v>9.5279905066168059E-3</v>
      </c>
      <c r="Q1256" t="str">
        <f t="shared" si="250"/>
        <v>2015-01</v>
      </c>
      <c r="S1256">
        <v>9966</v>
      </c>
      <c r="T1256">
        <f t="shared" si="257"/>
        <v>1.7052048767563398E-2</v>
      </c>
      <c r="U1256" t="str">
        <f t="shared" si="251"/>
        <v>2015-01</v>
      </c>
      <c r="W1256">
        <v>18708.93</v>
      </c>
      <c r="X1256">
        <f t="shared" si="258"/>
        <v>1.9417698079684208E-2</v>
      </c>
      <c r="Y1256">
        <f t="shared" si="259"/>
        <v>1.9607447756435518E-2</v>
      </c>
      <c r="Z1256" t="str">
        <f t="shared" si="252"/>
        <v>2015-01</v>
      </c>
    </row>
    <row r="1257" spans="1:26" x14ac:dyDescent="0.35">
      <c r="A1257" s="1">
        <v>42018</v>
      </c>
      <c r="C1257">
        <v>3089.67</v>
      </c>
      <c r="D1257">
        <f t="shared" si="253"/>
        <v>-1.4201182499474782E-2</v>
      </c>
      <c r="E1257" t="str">
        <f t="shared" si="247"/>
        <v>2015-01</v>
      </c>
      <c r="G1257">
        <v>4223.24</v>
      </c>
      <c r="H1257">
        <f t="shared" si="254"/>
        <v>-1.5749392902098348E-2</v>
      </c>
      <c r="I1257" t="str">
        <f t="shared" si="248"/>
        <v>2015-01</v>
      </c>
      <c r="K1257">
        <v>9817.08</v>
      </c>
      <c r="L1257">
        <f t="shared" si="255"/>
        <v>-1.2543893423765917E-2</v>
      </c>
      <c r="M1257" t="str">
        <f t="shared" si="249"/>
        <v>2015-01</v>
      </c>
      <c r="O1257">
        <v>8248.9607799999994</v>
      </c>
      <c r="P1257">
        <f t="shared" si="256"/>
        <v>-2.0085078649857376E-2</v>
      </c>
      <c r="Q1257" t="str">
        <f t="shared" si="250"/>
        <v>2015-01</v>
      </c>
      <c r="S1257">
        <v>9846</v>
      </c>
      <c r="T1257">
        <f t="shared" si="257"/>
        <v>-1.2114018523204007E-2</v>
      </c>
      <c r="U1257" t="str">
        <f t="shared" si="251"/>
        <v>2015-01</v>
      </c>
      <c r="W1257">
        <v>18410.68</v>
      </c>
      <c r="X1257">
        <f t="shared" si="258"/>
        <v>-1.6070018971067527E-2</v>
      </c>
      <c r="Y1257">
        <f t="shared" si="259"/>
        <v>-1.5941585114701909E-2</v>
      </c>
      <c r="Z1257" t="str">
        <f t="shared" si="252"/>
        <v>2015-01</v>
      </c>
    </row>
    <row r="1258" spans="1:26" x14ac:dyDescent="0.35">
      <c r="A1258" s="1">
        <v>42019</v>
      </c>
      <c r="C1258">
        <v>3157.36</v>
      </c>
      <c r="D1258">
        <f t="shared" si="253"/>
        <v>2.1671946293781445E-2</v>
      </c>
      <c r="E1258" t="str">
        <f t="shared" si="247"/>
        <v>2015-01</v>
      </c>
      <c r="G1258">
        <v>4323.2</v>
      </c>
      <c r="H1258">
        <f t="shared" si="254"/>
        <v>2.3393262810514952E-2</v>
      </c>
      <c r="I1258" t="str">
        <f t="shared" si="248"/>
        <v>2015-01</v>
      </c>
      <c r="K1258">
        <v>10032.61</v>
      </c>
      <c r="L1258">
        <f t="shared" si="255"/>
        <v>2.1717061658395417E-2</v>
      </c>
      <c r="M1258" t="str">
        <f t="shared" si="249"/>
        <v>2015-01</v>
      </c>
      <c r="O1258">
        <v>8489.1399099999999</v>
      </c>
      <c r="P1258">
        <f t="shared" si="256"/>
        <v>2.8700462597200611E-2</v>
      </c>
      <c r="Q1258" t="str">
        <f t="shared" si="250"/>
        <v>2015-01</v>
      </c>
      <c r="S1258">
        <v>9982.5</v>
      </c>
      <c r="T1258">
        <f t="shared" si="257"/>
        <v>1.3768278619230447E-2</v>
      </c>
      <c r="U1258" t="str">
        <f t="shared" si="251"/>
        <v>2015-01</v>
      </c>
      <c r="W1258">
        <v>18844.52</v>
      </c>
      <c r="X1258">
        <f t="shared" si="258"/>
        <v>2.3291224437072388E-2</v>
      </c>
      <c r="Y1258">
        <f t="shared" si="259"/>
        <v>2.3564583165858084E-2</v>
      </c>
      <c r="Z1258" t="str">
        <f t="shared" si="252"/>
        <v>2015-01</v>
      </c>
    </row>
    <row r="1259" spans="1:26" x14ac:dyDescent="0.35">
      <c r="A1259" s="1">
        <v>42020</v>
      </c>
      <c r="C1259">
        <v>3202.24</v>
      </c>
      <c r="D1259">
        <f t="shared" si="253"/>
        <v>1.4114329536134789E-2</v>
      </c>
      <c r="E1259" t="str">
        <f t="shared" si="247"/>
        <v>2015-01</v>
      </c>
      <c r="G1259">
        <v>4379.62</v>
      </c>
      <c r="H1259">
        <f t="shared" si="254"/>
        <v>1.2966093850052447E-2</v>
      </c>
      <c r="I1259" t="str">
        <f t="shared" si="248"/>
        <v>2015-01</v>
      </c>
      <c r="K1259">
        <v>10167.77</v>
      </c>
      <c r="L1259">
        <f t="shared" si="255"/>
        <v>1.3382126182415167E-2</v>
      </c>
      <c r="M1259" t="str">
        <f t="shared" si="249"/>
        <v>2015-01</v>
      </c>
      <c r="O1259">
        <v>8592.2661900000003</v>
      </c>
      <c r="P1259">
        <f t="shared" si="256"/>
        <v>1.2074829483061095E-2</v>
      </c>
      <c r="Q1259" t="str">
        <f t="shared" si="250"/>
        <v>2015-01</v>
      </c>
      <c r="S1259">
        <v>10038.9</v>
      </c>
      <c r="T1259">
        <f t="shared" si="257"/>
        <v>5.6339865530285402E-3</v>
      </c>
      <c r="U1259" t="str">
        <f t="shared" si="251"/>
        <v>2015-01</v>
      </c>
      <c r="W1259">
        <v>19254.54</v>
      </c>
      <c r="X1259">
        <f t="shared" si="258"/>
        <v>2.1524721635268678E-2</v>
      </c>
      <c r="Y1259">
        <f t="shared" si="259"/>
        <v>2.1758049554990014E-2</v>
      </c>
      <c r="Z1259" t="str">
        <f t="shared" si="252"/>
        <v>2015-01</v>
      </c>
    </row>
    <row r="1260" spans="1:26" x14ac:dyDescent="0.35">
      <c r="A1260" s="1">
        <v>42023</v>
      </c>
      <c r="C1260">
        <v>3220.9</v>
      </c>
      <c r="D1260">
        <f t="shared" si="253"/>
        <v>5.8102586882368499E-3</v>
      </c>
      <c r="E1260" t="str">
        <f t="shared" si="247"/>
        <v>2015-01</v>
      </c>
      <c r="G1260">
        <v>4394.93</v>
      </c>
      <c r="H1260">
        <f t="shared" si="254"/>
        <v>3.4896411865177413E-3</v>
      </c>
      <c r="I1260" t="str">
        <f t="shared" si="248"/>
        <v>2015-01</v>
      </c>
      <c r="K1260">
        <v>10242.35</v>
      </c>
      <c r="L1260">
        <f t="shared" si="255"/>
        <v>7.3081718225048945E-3</v>
      </c>
      <c r="M1260" t="str">
        <f t="shared" si="249"/>
        <v>2015-01</v>
      </c>
      <c r="O1260">
        <v>8585.7521400000005</v>
      </c>
      <c r="P1260">
        <f t="shared" si="256"/>
        <v>-7.5841697070051751E-4</v>
      </c>
      <c r="Q1260" t="str">
        <f t="shared" si="250"/>
        <v>2015-01</v>
      </c>
      <c r="S1260">
        <v>10157.5</v>
      </c>
      <c r="T1260">
        <f t="shared" si="257"/>
        <v>1.1744802371476917E-2</v>
      </c>
      <c r="U1260" t="str">
        <f t="shared" si="251"/>
        <v>2015-01</v>
      </c>
      <c r="W1260">
        <v>19480.53</v>
      </c>
      <c r="X1260">
        <f t="shared" si="258"/>
        <v>1.1668628153695302E-2</v>
      </c>
      <c r="Y1260">
        <f t="shared" si="259"/>
        <v>1.1736972163448099E-2</v>
      </c>
      <c r="Z1260" t="str">
        <f t="shared" si="252"/>
        <v>2015-01</v>
      </c>
    </row>
    <row r="1261" spans="1:26" x14ac:dyDescent="0.35">
      <c r="A1261" s="1">
        <v>42024</v>
      </c>
      <c r="C1261">
        <v>3244.92</v>
      </c>
      <c r="D1261">
        <f t="shared" si="253"/>
        <v>7.4298729311754854E-3</v>
      </c>
      <c r="E1261" t="str">
        <f t="shared" si="247"/>
        <v>2015-01</v>
      </c>
      <c r="G1261">
        <v>4446.0200000000004</v>
      </c>
      <c r="H1261">
        <f t="shared" si="254"/>
        <v>1.1557710137125461E-2</v>
      </c>
      <c r="I1261" t="str">
        <f t="shared" si="248"/>
        <v>2015-01</v>
      </c>
      <c r="K1261">
        <v>10257.129999999999</v>
      </c>
      <c r="L1261">
        <f t="shared" si="255"/>
        <v>1.441988046627593E-3</v>
      </c>
      <c r="M1261" t="str">
        <f t="shared" si="249"/>
        <v>2015-01</v>
      </c>
      <c r="O1261">
        <v>8686.1582299999991</v>
      </c>
      <c r="P1261">
        <f t="shared" si="256"/>
        <v>1.1626649156058745E-2</v>
      </c>
      <c r="Q1261" t="str">
        <f t="shared" si="250"/>
        <v>2015-01</v>
      </c>
      <c r="S1261">
        <v>10283.9</v>
      </c>
      <c r="T1261">
        <f t="shared" si="257"/>
        <v>1.2367216633758733E-2</v>
      </c>
      <c r="U1261" t="str">
        <f t="shared" si="251"/>
        <v>2015-01</v>
      </c>
      <c r="W1261">
        <v>19658.66</v>
      </c>
      <c r="X1261">
        <f t="shared" si="258"/>
        <v>9.1024484617754208E-3</v>
      </c>
      <c r="Y1261">
        <f t="shared" si="259"/>
        <v>9.1440017289057852E-3</v>
      </c>
      <c r="Z1261" t="str">
        <f t="shared" si="252"/>
        <v>2015-01</v>
      </c>
    </row>
    <row r="1262" spans="1:26" x14ac:dyDescent="0.35">
      <c r="A1262" s="1">
        <v>42025</v>
      </c>
      <c r="C1262">
        <v>3269.73</v>
      </c>
      <c r="D1262">
        <f t="shared" si="253"/>
        <v>7.6167161534643583E-3</v>
      </c>
      <c r="E1262" t="str">
        <f t="shared" si="247"/>
        <v>2015-01</v>
      </c>
      <c r="G1262">
        <v>4484.82</v>
      </c>
      <c r="H1262">
        <f t="shared" si="254"/>
        <v>8.6890469686754113E-3</v>
      </c>
      <c r="I1262" t="str">
        <f t="shared" si="248"/>
        <v>2015-01</v>
      </c>
      <c r="K1262">
        <v>10299.23</v>
      </c>
      <c r="L1262">
        <f t="shared" si="255"/>
        <v>4.0960616433864125E-3</v>
      </c>
      <c r="M1262" t="str">
        <f t="shared" si="249"/>
        <v>2015-01</v>
      </c>
      <c r="O1262">
        <v>8782.1992499999997</v>
      </c>
      <c r="P1262">
        <f t="shared" si="256"/>
        <v>1.0996109718588967E-2</v>
      </c>
      <c r="Q1262" t="str">
        <f t="shared" si="250"/>
        <v>2015-01</v>
      </c>
      <c r="S1262">
        <v>10335.299999999999</v>
      </c>
      <c r="T1262">
        <f t="shared" si="257"/>
        <v>4.9856547751335988E-3</v>
      </c>
      <c r="U1262" t="str">
        <f t="shared" si="251"/>
        <v>2015-01</v>
      </c>
      <c r="W1262">
        <v>19981.41</v>
      </c>
      <c r="X1262">
        <f t="shared" si="258"/>
        <v>1.6284387602745316E-2</v>
      </c>
      <c r="Y1262">
        <f t="shared" si="259"/>
        <v>1.6417700901282185E-2</v>
      </c>
      <c r="Z1262" t="str">
        <f t="shared" si="252"/>
        <v>2015-01</v>
      </c>
    </row>
    <row r="1263" spans="1:26" x14ac:dyDescent="0.35">
      <c r="A1263" s="1">
        <v>42026</v>
      </c>
      <c r="C1263">
        <v>3322.65</v>
      </c>
      <c r="D1263">
        <f t="shared" si="253"/>
        <v>1.6055244620211878E-2</v>
      </c>
      <c r="E1263" t="str">
        <f t="shared" si="247"/>
        <v>2015-01</v>
      </c>
      <c r="G1263">
        <v>4552.8</v>
      </c>
      <c r="H1263">
        <f t="shared" si="254"/>
        <v>1.5044067380663677E-2</v>
      </c>
      <c r="I1263" t="str">
        <f t="shared" si="248"/>
        <v>2015-01</v>
      </c>
      <c r="K1263">
        <v>10435.620000000001</v>
      </c>
      <c r="L1263">
        <f t="shared" si="255"/>
        <v>1.3155819033410817E-2</v>
      </c>
      <c r="M1263" t="str">
        <f t="shared" si="249"/>
        <v>2015-01</v>
      </c>
      <c r="O1263">
        <v>8970.0230599999995</v>
      </c>
      <c r="P1263">
        <f t="shared" si="256"/>
        <v>2.1161386523125818E-2</v>
      </c>
      <c r="Q1263" t="str">
        <f t="shared" si="250"/>
        <v>2015-01</v>
      </c>
      <c r="S1263">
        <v>10510.6</v>
      </c>
      <c r="T1263">
        <f t="shared" si="257"/>
        <v>1.6819051457892198E-2</v>
      </c>
      <c r="U1263" t="str">
        <f t="shared" si="251"/>
        <v>2015-01</v>
      </c>
      <c r="W1263">
        <v>20469.740000000002</v>
      </c>
      <c r="X1263">
        <f t="shared" si="258"/>
        <v>2.4145356777129583E-2</v>
      </c>
      <c r="Y1263">
        <f t="shared" si="259"/>
        <v>2.4439216251505861E-2</v>
      </c>
      <c r="Z1263" t="str">
        <f t="shared" si="252"/>
        <v>2015-01</v>
      </c>
    </row>
    <row r="1264" spans="1:26" x14ac:dyDescent="0.35">
      <c r="A1264" s="1">
        <v>42027</v>
      </c>
      <c r="C1264">
        <v>3382.55</v>
      </c>
      <c r="D1264">
        <f t="shared" si="253"/>
        <v>1.7867205606512459E-2</v>
      </c>
      <c r="E1264" t="str">
        <f t="shared" si="247"/>
        <v>2015-01</v>
      </c>
      <c r="G1264">
        <v>4640.6899999999996</v>
      </c>
      <c r="H1264">
        <f t="shared" si="254"/>
        <v>1.9120633772163987E-2</v>
      </c>
      <c r="I1264" t="str">
        <f t="shared" si="248"/>
        <v>2015-01</v>
      </c>
      <c r="K1264">
        <v>10649.58</v>
      </c>
      <c r="L1264">
        <f t="shared" si="255"/>
        <v>2.0295500565089095E-2</v>
      </c>
      <c r="M1264" t="str">
        <f t="shared" si="249"/>
        <v>2015-01</v>
      </c>
      <c r="O1264">
        <v>9117.3203900000008</v>
      </c>
      <c r="P1264">
        <f t="shared" si="256"/>
        <v>1.6287697168709626E-2</v>
      </c>
      <c r="Q1264" t="str">
        <f t="shared" si="250"/>
        <v>2015-01</v>
      </c>
      <c r="S1264">
        <v>10581.5</v>
      </c>
      <c r="T1264">
        <f t="shared" si="257"/>
        <v>6.7229215718419702E-3</v>
      </c>
      <c r="U1264" t="str">
        <f t="shared" si="251"/>
        <v>2015-01</v>
      </c>
      <c r="W1264">
        <v>20519.75</v>
      </c>
      <c r="X1264">
        <f t="shared" si="258"/>
        <v>2.4401389143631877E-3</v>
      </c>
      <c r="Y1264">
        <f t="shared" si="259"/>
        <v>2.4431184763459815E-3</v>
      </c>
      <c r="Z1264" t="str">
        <f t="shared" si="252"/>
        <v>2015-01</v>
      </c>
    </row>
    <row r="1265" spans="1:26" x14ac:dyDescent="0.35">
      <c r="A1265" s="1">
        <v>42030</v>
      </c>
      <c r="C1265">
        <v>3414.28</v>
      </c>
      <c r="D1265">
        <f t="shared" si="253"/>
        <v>9.3367733210285315E-3</v>
      </c>
      <c r="E1265" t="str">
        <f t="shared" si="247"/>
        <v>2015-01</v>
      </c>
      <c r="G1265">
        <v>4675.13</v>
      </c>
      <c r="H1265">
        <f t="shared" si="254"/>
        <v>7.3939077617193915E-3</v>
      </c>
      <c r="I1265" t="str">
        <f t="shared" si="248"/>
        <v>2015-01</v>
      </c>
      <c r="K1265">
        <v>10798.33</v>
      </c>
      <c r="L1265">
        <f t="shared" si="255"/>
        <v>1.3871037786078871E-2</v>
      </c>
      <c r="M1265" t="str">
        <f t="shared" si="249"/>
        <v>2015-01</v>
      </c>
      <c r="O1265">
        <v>9168.1224099999999</v>
      </c>
      <c r="P1265">
        <f t="shared" si="256"/>
        <v>5.5565677317017401E-3</v>
      </c>
      <c r="Q1265" t="str">
        <f t="shared" si="250"/>
        <v>2015-01</v>
      </c>
      <c r="S1265">
        <v>10696.1</v>
      </c>
      <c r="T1265">
        <f t="shared" si="257"/>
        <v>1.07719957270204E-2</v>
      </c>
      <c r="U1265" t="str">
        <f t="shared" si="251"/>
        <v>2015-01</v>
      </c>
      <c r="W1265">
        <v>20756.72</v>
      </c>
      <c r="X1265">
        <f t="shared" si="258"/>
        <v>1.1482212676061447E-2</v>
      </c>
      <c r="Y1265">
        <f t="shared" si="259"/>
        <v>1.1548386310749456E-2</v>
      </c>
      <c r="Z1265" t="str">
        <f t="shared" si="252"/>
        <v>2015-01</v>
      </c>
    </row>
    <row r="1266" spans="1:26" x14ac:dyDescent="0.35">
      <c r="A1266" s="1">
        <v>42031</v>
      </c>
      <c r="C1266">
        <v>3372.58</v>
      </c>
      <c r="D1266">
        <f t="shared" si="253"/>
        <v>-1.2288606147136467E-2</v>
      </c>
      <c r="E1266" t="str">
        <f t="shared" si="247"/>
        <v>2015-01</v>
      </c>
      <c r="G1266">
        <v>4624.21</v>
      </c>
      <c r="H1266">
        <f t="shared" si="254"/>
        <v>-1.0951424276910577E-2</v>
      </c>
      <c r="I1266" t="str">
        <f t="shared" si="248"/>
        <v>2015-01</v>
      </c>
      <c r="K1266">
        <v>10628.58</v>
      </c>
      <c r="L1266">
        <f t="shared" si="255"/>
        <v>-1.5844893309130068E-2</v>
      </c>
      <c r="M1266" t="str">
        <f t="shared" si="249"/>
        <v>2015-01</v>
      </c>
      <c r="O1266">
        <v>9119.1456300000009</v>
      </c>
      <c r="P1266">
        <f t="shared" si="256"/>
        <v>-5.356392982483092E-3</v>
      </c>
      <c r="Q1266" t="str">
        <f t="shared" si="250"/>
        <v>2015-01</v>
      </c>
      <c r="S1266">
        <v>10598.9</v>
      </c>
      <c r="T1266">
        <f t="shared" si="257"/>
        <v>-9.1289668971270155E-3</v>
      </c>
      <c r="U1266" t="str">
        <f t="shared" si="251"/>
        <v>2015-01</v>
      </c>
      <c r="W1266">
        <v>20645.82</v>
      </c>
      <c r="X1266">
        <f t="shared" si="258"/>
        <v>-5.3571720589687625E-3</v>
      </c>
      <c r="Y1266">
        <f t="shared" si="259"/>
        <v>-5.3428480029600748E-3</v>
      </c>
      <c r="Z1266" t="str">
        <f t="shared" si="252"/>
        <v>2015-01</v>
      </c>
    </row>
    <row r="1267" spans="1:26" x14ac:dyDescent="0.35">
      <c r="A1267" s="1">
        <v>42032</v>
      </c>
      <c r="C1267">
        <v>3358.96</v>
      </c>
      <c r="D1267">
        <f t="shared" si="253"/>
        <v>-4.0466278402395764E-3</v>
      </c>
      <c r="E1267" t="str">
        <f t="shared" si="247"/>
        <v>2015-01</v>
      </c>
      <c r="G1267">
        <v>4610.9399999999996</v>
      </c>
      <c r="H1267">
        <f t="shared" si="254"/>
        <v>-2.8738047855864954E-3</v>
      </c>
      <c r="I1267" t="str">
        <f t="shared" si="248"/>
        <v>2015-01</v>
      </c>
      <c r="K1267">
        <v>10710.97</v>
      </c>
      <c r="L1267">
        <f t="shared" si="255"/>
        <v>7.7218506846194008E-3</v>
      </c>
      <c r="M1267" t="str">
        <f t="shared" si="249"/>
        <v>2015-01</v>
      </c>
      <c r="O1267">
        <v>9124.2990499999996</v>
      </c>
      <c r="P1267">
        <f t="shared" si="256"/>
        <v>5.6496130280943226E-4</v>
      </c>
      <c r="Q1267" t="str">
        <f t="shared" si="250"/>
        <v>2015-01</v>
      </c>
      <c r="S1267">
        <v>10456.9</v>
      </c>
      <c r="T1267">
        <f t="shared" si="257"/>
        <v>-1.3488174549710366E-2</v>
      </c>
      <c r="U1267" t="str">
        <f t="shared" si="251"/>
        <v>2015-01</v>
      </c>
      <c r="W1267">
        <v>20478.439999999999</v>
      </c>
      <c r="X1267">
        <f t="shared" si="258"/>
        <v>-8.1402522144953492E-3</v>
      </c>
      <c r="Y1267">
        <f t="shared" si="259"/>
        <v>-8.1072100793284554E-3</v>
      </c>
      <c r="Z1267" t="str">
        <f t="shared" si="252"/>
        <v>2015-01</v>
      </c>
    </row>
    <row r="1268" spans="1:26" x14ac:dyDescent="0.35">
      <c r="A1268" s="1">
        <v>42033</v>
      </c>
      <c r="C1268">
        <v>3371.83</v>
      </c>
      <c r="D1268">
        <f t="shared" si="253"/>
        <v>3.8242214316458797E-3</v>
      </c>
      <c r="E1268" t="str">
        <f t="shared" si="247"/>
        <v>2015-01</v>
      </c>
      <c r="G1268">
        <v>4631.43</v>
      </c>
      <c r="H1268">
        <f t="shared" si="254"/>
        <v>4.4339349255790549E-3</v>
      </c>
      <c r="I1268" t="str">
        <f t="shared" si="248"/>
        <v>2015-01</v>
      </c>
      <c r="K1268">
        <v>10737.87</v>
      </c>
      <c r="L1268">
        <f t="shared" si="255"/>
        <v>2.508295469922781E-3</v>
      </c>
      <c r="M1268" t="str">
        <f t="shared" si="249"/>
        <v>2015-01</v>
      </c>
      <c r="O1268">
        <v>9065.5381500000003</v>
      </c>
      <c r="P1268">
        <f t="shared" si="256"/>
        <v>-6.460871942701004E-3</v>
      </c>
      <c r="Q1268" t="str">
        <f t="shared" si="250"/>
        <v>2015-01</v>
      </c>
      <c r="S1268">
        <v>10507.6</v>
      </c>
      <c r="T1268">
        <f t="shared" si="257"/>
        <v>4.8367572649523046E-3</v>
      </c>
      <c r="U1268" t="str">
        <f t="shared" si="251"/>
        <v>2015-01</v>
      </c>
      <c r="W1268">
        <v>20593.72</v>
      </c>
      <c r="X1268">
        <f t="shared" si="258"/>
        <v>5.6135495539816772E-3</v>
      </c>
      <c r="Y1268">
        <f t="shared" si="259"/>
        <v>5.6293350470056546E-3</v>
      </c>
      <c r="Z1268" t="str">
        <f t="shared" si="252"/>
        <v>2015-01</v>
      </c>
    </row>
    <row r="1269" spans="1:26" x14ac:dyDescent="0.35">
      <c r="A1269" s="1">
        <v>42034</v>
      </c>
      <c r="C1269">
        <v>3351.44</v>
      </c>
      <c r="D1269">
        <f t="shared" si="253"/>
        <v>-6.0655194609758141E-3</v>
      </c>
      <c r="E1269" t="str">
        <f t="shared" si="247"/>
        <v>2015-01</v>
      </c>
      <c r="G1269">
        <v>4604.25</v>
      </c>
      <c r="H1269">
        <f t="shared" si="254"/>
        <v>-5.8858857101639888E-3</v>
      </c>
      <c r="I1269" t="str">
        <f t="shared" si="248"/>
        <v>2015-01</v>
      </c>
      <c r="K1269">
        <v>10694.32</v>
      </c>
      <c r="L1269">
        <f t="shared" si="255"/>
        <v>-4.0639859892279738E-3</v>
      </c>
      <c r="M1269" t="str">
        <f t="shared" si="249"/>
        <v>2015-01</v>
      </c>
      <c r="O1269">
        <v>8980.8635699999995</v>
      </c>
      <c r="P1269">
        <f t="shared" si="256"/>
        <v>-9.3841645222259556E-3</v>
      </c>
      <c r="Q1269" t="str">
        <f t="shared" si="250"/>
        <v>2015-01</v>
      </c>
      <c r="S1269">
        <v>10403.299999999999</v>
      </c>
      <c r="T1269">
        <f t="shared" si="257"/>
        <v>-9.9757413553110911E-3</v>
      </c>
      <c r="U1269" t="str">
        <f t="shared" si="251"/>
        <v>2015-01</v>
      </c>
      <c r="W1269">
        <v>20503.38</v>
      </c>
      <c r="X1269">
        <f t="shared" si="258"/>
        <v>-4.396424346812677E-3</v>
      </c>
      <c r="Y1269">
        <f t="shared" si="259"/>
        <v>-4.3867742204905255E-3</v>
      </c>
      <c r="Z1269" t="str">
        <f t="shared" si="252"/>
        <v>2015-01</v>
      </c>
    </row>
    <row r="1270" spans="1:26" x14ac:dyDescent="0.35">
      <c r="A1270" s="1">
        <v>42037</v>
      </c>
      <c r="C1270">
        <v>3370.11</v>
      </c>
      <c r="D1270">
        <f t="shared" si="253"/>
        <v>5.5552805572432499E-3</v>
      </c>
      <c r="E1270" t="str">
        <f t="shared" si="247"/>
        <v>2015-02</v>
      </c>
      <c r="G1270">
        <v>4627.67</v>
      </c>
      <c r="H1270">
        <f t="shared" si="254"/>
        <v>5.0737116961273847E-3</v>
      </c>
      <c r="I1270" t="str">
        <f t="shared" si="248"/>
        <v>2015-02</v>
      </c>
      <c r="K1270">
        <v>10828.01</v>
      </c>
      <c r="L1270">
        <f t="shared" si="255"/>
        <v>1.2423535882878202E-2</v>
      </c>
      <c r="M1270" t="str">
        <f t="shared" si="249"/>
        <v>2015-02</v>
      </c>
      <c r="O1270">
        <v>8993.3273499999996</v>
      </c>
      <c r="P1270">
        <f t="shared" si="256"/>
        <v>1.3868531889052269E-3</v>
      </c>
      <c r="Q1270" t="str">
        <f t="shared" si="250"/>
        <v>2015-02</v>
      </c>
      <c r="S1270">
        <v>10328.1</v>
      </c>
      <c r="T1270">
        <f t="shared" si="257"/>
        <v>-7.2547275939971942E-3</v>
      </c>
      <c r="U1270" t="str">
        <f t="shared" si="251"/>
        <v>2015-02</v>
      </c>
      <c r="W1270">
        <v>20485.689999999999</v>
      </c>
      <c r="X1270">
        <f t="shared" si="258"/>
        <v>-8.6315698786609189E-4</v>
      </c>
      <c r="Y1270">
        <f t="shared" si="259"/>
        <v>-8.6278457503115714E-4</v>
      </c>
      <c r="Z1270" t="str">
        <f t="shared" si="252"/>
        <v>2015-02</v>
      </c>
    </row>
    <row r="1271" spans="1:26" x14ac:dyDescent="0.35">
      <c r="A1271" s="1">
        <v>42038</v>
      </c>
      <c r="C1271">
        <v>3414.18</v>
      </c>
      <c r="D1271">
        <f t="shared" si="253"/>
        <v>1.2991962278591035E-2</v>
      </c>
      <c r="E1271" t="str">
        <f t="shared" si="247"/>
        <v>2015-02</v>
      </c>
      <c r="G1271">
        <v>4677.8999999999996</v>
      </c>
      <c r="H1271">
        <f t="shared" si="254"/>
        <v>1.0795789587106662E-2</v>
      </c>
      <c r="I1271" t="str">
        <f t="shared" si="248"/>
        <v>2015-02</v>
      </c>
      <c r="K1271">
        <v>10890.95</v>
      </c>
      <c r="L1271">
        <f t="shared" si="255"/>
        <v>5.7958738531447051E-3</v>
      </c>
      <c r="M1271" t="str">
        <f t="shared" si="249"/>
        <v>2015-02</v>
      </c>
      <c r="O1271">
        <v>9081.7267900000006</v>
      </c>
      <c r="P1271">
        <f t="shared" si="256"/>
        <v>9.7814528386966585E-3</v>
      </c>
      <c r="Q1271" t="str">
        <f t="shared" si="250"/>
        <v>2015-02</v>
      </c>
      <c r="S1271">
        <v>10598.2</v>
      </c>
      <c r="T1271">
        <f t="shared" si="257"/>
        <v>2.5815839463493796E-2</v>
      </c>
      <c r="U1271" t="str">
        <f t="shared" si="251"/>
        <v>2015-02</v>
      </c>
      <c r="W1271">
        <v>21011.55</v>
      </c>
      <c r="X1271">
        <f t="shared" si="258"/>
        <v>2.5345692914473101E-2</v>
      </c>
      <c r="Y1271">
        <f t="shared" si="259"/>
        <v>2.5669625968175864E-2</v>
      </c>
      <c r="Z1271" t="str">
        <f t="shared" si="252"/>
        <v>2015-02</v>
      </c>
    </row>
    <row r="1272" spans="1:26" x14ac:dyDescent="0.35">
      <c r="A1272" s="1">
        <v>42039</v>
      </c>
      <c r="C1272">
        <v>3415.53</v>
      </c>
      <c r="D1272">
        <f t="shared" si="253"/>
        <v>3.9533157852470596E-4</v>
      </c>
      <c r="E1272" t="str">
        <f t="shared" si="247"/>
        <v>2015-02</v>
      </c>
      <c r="G1272">
        <v>4696.3</v>
      </c>
      <c r="H1272">
        <f t="shared" si="254"/>
        <v>3.9256733652062396E-3</v>
      </c>
      <c r="I1272" t="str">
        <f t="shared" si="248"/>
        <v>2015-02</v>
      </c>
      <c r="K1272">
        <v>10911.32</v>
      </c>
      <c r="L1272">
        <f t="shared" si="255"/>
        <v>1.8686133074387605E-3</v>
      </c>
      <c r="M1272" t="str">
        <f t="shared" si="249"/>
        <v>2015-02</v>
      </c>
      <c r="O1272">
        <v>9135.8759599999994</v>
      </c>
      <c r="P1272">
        <f t="shared" si="256"/>
        <v>5.9447261213516995E-3</v>
      </c>
      <c r="Q1272" t="str">
        <f t="shared" si="250"/>
        <v>2015-02</v>
      </c>
      <c r="S1272">
        <v>10577.8</v>
      </c>
      <c r="T1272">
        <f t="shared" si="257"/>
        <v>-1.9267100784624827E-3</v>
      </c>
      <c r="U1272" t="str">
        <f t="shared" si="251"/>
        <v>2015-02</v>
      </c>
      <c r="W1272">
        <v>20941.73</v>
      </c>
      <c r="X1272">
        <f t="shared" si="258"/>
        <v>-3.3284674981090279E-3</v>
      </c>
      <c r="Y1272">
        <f t="shared" si="259"/>
        <v>-3.3229342909018951E-3</v>
      </c>
      <c r="Z1272" t="str">
        <f t="shared" si="252"/>
        <v>2015-02</v>
      </c>
    </row>
    <row r="1273" spans="1:26" x14ac:dyDescent="0.35">
      <c r="A1273" s="1">
        <v>42040</v>
      </c>
      <c r="C1273">
        <v>3408.96</v>
      </c>
      <c r="D1273">
        <f t="shared" si="253"/>
        <v>-1.9254191975410547E-3</v>
      </c>
      <c r="E1273" t="str">
        <f t="shared" si="247"/>
        <v>2015-02</v>
      </c>
      <c r="G1273">
        <v>4703.3</v>
      </c>
      <c r="H1273">
        <f t="shared" si="254"/>
        <v>1.4894253572619934E-3</v>
      </c>
      <c r="I1273" t="str">
        <f t="shared" si="248"/>
        <v>2015-02</v>
      </c>
      <c r="K1273">
        <v>10905.41</v>
      </c>
      <c r="L1273">
        <f t="shared" si="255"/>
        <v>-5.4178606459947859E-4</v>
      </c>
      <c r="M1273" t="str">
        <f t="shared" si="249"/>
        <v>2015-02</v>
      </c>
      <c r="O1273">
        <v>9173.7602800000004</v>
      </c>
      <c r="P1273">
        <f t="shared" si="256"/>
        <v>4.1381897014517981E-3</v>
      </c>
      <c r="Q1273" t="str">
        <f t="shared" si="250"/>
        <v>2015-02</v>
      </c>
      <c r="S1273">
        <v>10535.5</v>
      </c>
      <c r="T1273">
        <f t="shared" si="257"/>
        <v>-4.0069583245044083E-3</v>
      </c>
      <c r="U1273" t="str">
        <f t="shared" si="251"/>
        <v>2015-02</v>
      </c>
      <c r="W1273">
        <v>20819.05</v>
      </c>
      <c r="X1273">
        <f t="shared" si="258"/>
        <v>-5.8753860876600518E-3</v>
      </c>
      <c r="Y1273">
        <f t="shared" si="259"/>
        <v>-5.8581597604400537E-3</v>
      </c>
      <c r="Z1273" t="str">
        <f t="shared" si="252"/>
        <v>2015-02</v>
      </c>
    </row>
    <row r="1274" spans="1:26" x14ac:dyDescent="0.35">
      <c r="A1274" s="1">
        <v>42041</v>
      </c>
      <c r="C1274">
        <v>3398.16</v>
      </c>
      <c r="D1274">
        <f t="shared" si="253"/>
        <v>-3.1731507780077338E-3</v>
      </c>
      <c r="E1274" t="str">
        <f t="shared" si="247"/>
        <v>2015-02</v>
      </c>
      <c r="G1274">
        <v>4691.03</v>
      </c>
      <c r="H1274">
        <f t="shared" si="254"/>
        <v>-2.6122154485102829E-3</v>
      </c>
      <c r="I1274" t="str">
        <f t="shared" si="248"/>
        <v>2015-02</v>
      </c>
      <c r="K1274">
        <v>10846.39</v>
      </c>
      <c r="L1274">
        <f t="shared" si="255"/>
        <v>-5.4266906499496259E-3</v>
      </c>
      <c r="M1274" t="str">
        <f t="shared" si="249"/>
        <v>2015-02</v>
      </c>
      <c r="O1274">
        <v>9224.4808499999999</v>
      </c>
      <c r="P1274">
        <f t="shared" si="256"/>
        <v>5.5136464551055553E-3</v>
      </c>
      <c r="Q1274" t="str">
        <f t="shared" si="250"/>
        <v>2015-02</v>
      </c>
      <c r="S1274">
        <v>10573.1</v>
      </c>
      <c r="T1274">
        <f t="shared" si="257"/>
        <v>3.5625327844697428E-3</v>
      </c>
      <c r="U1274" t="str">
        <f t="shared" si="251"/>
        <v>2015-02</v>
      </c>
      <c r="W1274">
        <v>20760.740000000002</v>
      </c>
      <c r="X1274">
        <f t="shared" si="258"/>
        <v>-2.8047298086244111E-3</v>
      </c>
      <c r="Y1274">
        <f t="shared" si="259"/>
        <v>-2.8008002286366417E-3</v>
      </c>
      <c r="Z1274" t="str">
        <f t="shared" si="252"/>
        <v>2015-02</v>
      </c>
    </row>
    <row r="1275" spans="1:26" x14ac:dyDescent="0.35">
      <c r="A1275" s="1">
        <v>42044</v>
      </c>
      <c r="C1275">
        <v>3347.75</v>
      </c>
      <c r="D1275">
        <f t="shared" si="253"/>
        <v>-1.4945630269149555E-2</v>
      </c>
      <c r="E1275" t="str">
        <f t="shared" si="247"/>
        <v>2015-02</v>
      </c>
      <c r="G1275">
        <v>4651.08</v>
      </c>
      <c r="H1275">
        <f t="shared" si="254"/>
        <v>-8.5527238547178936E-3</v>
      </c>
      <c r="I1275" t="str">
        <f t="shared" si="248"/>
        <v>2015-02</v>
      </c>
      <c r="K1275">
        <v>10663.51</v>
      </c>
      <c r="L1275">
        <f t="shared" si="255"/>
        <v>-1.7004672895773829E-2</v>
      </c>
      <c r="M1275" t="str">
        <f t="shared" si="249"/>
        <v>2015-02</v>
      </c>
      <c r="O1275">
        <v>9182.9883000000009</v>
      </c>
      <c r="P1275">
        <f t="shared" si="256"/>
        <v>-4.5082373831092639E-3</v>
      </c>
      <c r="Q1275" t="str">
        <f t="shared" si="250"/>
        <v>2015-02</v>
      </c>
      <c r="S1275">
        <v>10364.9</v>
      </c>
      <c r="T1275">
        <f t="shared" si="257"/>
        <v>-1.9887941771345605E-2</v>
      </c>
      <c r="U1275" t="str">
        <f t="shared" si="251"/>
        <v>2015-02</v>
      </c>
      <c r="W1275">
        <v>20366.64</v>
      </c>
      <c r="X1275">
        <f t="shared" si="258"/>
        <v>-1.9165434954851082E-2</v>
      </c>
      <c r="Y1275">
        <f t="shared" si="259"/>
        <v>-1.8982945694614072E-2</v>
      </c>
      <c r="Z1275" t="str">
        <f t="shared" si="252"/>
        <v>2015-02</v>
      </c>
    </row>
    <row r="1276" spans="1:26" x14ac:dyDescent="0.35">
      <c r="A1276" s="1">
        <v>42045</v>
      </c>
      <c r="C1276">
        <v>3383.13</v>
      </c>
      <c r="D1276">
        <f t="shared" si="253"/>
        <v>1.0512838097992073E-2</v>
      </c>
      <c r="E1276" t="str">
        <f t="shared" si="247"/>
        <v>2015-02</v>
      </c>
      <c r="G1276">
        <v>4695.6499999999996</v>
      </c>
      <c r="H1276">
        <f t="shared" si="254"/>
        <v>9.5370975359474596E-3</v>
      </c>
      <c r="I1276" t="str">
        <f t="shared" si="248"/>
        <v>2015-02</v>
      </c>
      <c r="K1276">
        <v>10753.83</v>
      </c>
      <c r="L1276">
        <f t="shared" si="255"/>
        <v>8.4343373576485237E-3</v>
      </c>
      <c r="M1276" t="str">
        <f t="shared" si="249"/>
        <v>2015-02</v>
      </c>
      <c r="O1276">
        <v>9211.3430800000006</v>
      </c>
      <c r="P1276">
        <f t="shared" si="256"/>
        <v>3.0829935454808229E-3</v>
      </c>
      <c r="Q1276" t="str">
        <f t="shared" si="250"/>
        <v>2015-02</v>
      </c>
      <c r="S1276">
        <v>10500.1</v>
      </c>
      <c r="T1276">
        <f t="shared" si="257"/>
        <v>1.295968293980101E-2</v>
      </c>
      <c r="U1276" t="str">
        <f t="shared" si="251"/>
        <v>2015-02</v>
      </c>
      <c r="W1276">
        <v>20725.63</v>
      </c>
      <c r="X1276">
        <f t="shared" si="258"/>
        <v>1.747283044969682E-2</v>
      </c>
      <c r="Y1276">
        <f t="shared" si="259"/>
        <v>1.7626373324220471E-2</v>
      </c>
      <c r="Z1276" t="str">
        <f t="shared" si="252"/>
        <v>2015-02</v>
      </c>
    </row>
    <row r="1277" spans="1:26" x14ac:dyDescent="0.35">
      <c r="A1277" s="1">
        <v>42046</v>
      </c>
      <c r="C1277">
        <v>3374.14</v>
      </c>
      <c r="D1277">
        <f t="shared" si="253"/>
        <v>-2.6608394526633728E-3</v>
      </c>
      <c r="E1277" t="str">
        <f t="shared" si="247"/>
        <v>2015-02</v>
      </c>
      <c r="G1277">
        <v>4679.38</v>
      </c>
      <c r="H1277">
        <f t="shared" si="254"/>
        <v>-3.4709257109921663E-3</v>
      </c>
      <c r="I1277" t="str">
        <f t="shared" si="248"/>
        <v>2015-02</v>
      </c>
      <c r="K1277">
        <v>10752.11</v>
      </c>
      <c r="L1277">
        <f t="shared" si="255"/>
        <v>-1.5995580789930926E-4</v>
      </c>
      <c r="M1277" t="str">
        <f t="shared" si="249"/>
        <v>2015-02</v>
      </c>
      <c r="O1277">
        <v>9196.74179</v>
      </c>
      <c r="P1277">
        <f t="shared" si="256"/>
        <v>-1.5864000155724524E-3</v>
      </c>
      <c r="Q1277" t="str">
        <f t="shared" si="250"/>
        <v>2015-02</v>
      </c>
      <c r="S1277">
        <v>10364.799999999999</v>
      </c>
      <c r="T1277">
        <f t="shared" si="257"/>
        <v>-1.296933093277731E-2</v>
      </c>
      <c r="U1277" t="str">
        <f t="shared" si="251"/>
        <v>2015-02</v>
      </c>
      <c r="W1277">
        <v>20565.759999999998</v>
      </c>
      <c r="X1277">
        <f t="shared" si="258"/>
        <v>-7.7435416365868402E-3</v>
      </c>
      <c r="Y1277">
        <f t="shared" si="259"/>
        <v>-7.7136376554055343E-3</v>
      </c>
      <c r="Z1277" t="str">
        <f t="shared" si="252"/>
        <v>2015-02</v>
      </c>
    </row>
    <row r="1278" spans="1:26" x14ac:dyDescent="0.35">
      <c r="A1278" s="1">
        <v>42047</v>
      </c>
      <c r="C1278">
        <v>3417.61</v>
      </c>
      <c r="D1278">
        <f t="shared" si="253"/>
        <v>1.2800999330498568E-2</v>
      </c>
      <c r="E1278" t="str">
        <f t="shared" si="247"/>
        <v>2015-02</v>
      </c>
      <c r="G1278">
        <v>4726.2</v>
      </c>
      <c r="H1278">
        <f t="shared" si="254"/>
        <v>9.9558744341889747E-3</v>
      </c>
      <c r="I1278" t="str">
        <f t="shared" si="248"/>
        <v>2015-02</v>
      </c>
      <c r="K1278">
        <v>10919.65</v>
      </c>
      <c r="L1278">
        <f t="shared" si="255"/>
        <v>1.5461904137831406E-2</v>
      </c>
      <c r="M1278" t="str">
        <f t="shared" si="249"/>
        <v>2015-02</v>
      </c>
      <c r="O1278">
        <v>9215.6700600000004</v>
      </c>
      <c r="P1278">
        <f t="shared" si="256"/>
        <v>2.0560344643736714E-3</v>
      </c>
      <c r="Q1278" t="str">
        <f t="shared" si="250"/>
        <v>2015-02</v>
      </c>
      <c r="S1278">
        <v>10562.2</v>
      </c>
      <c r="T1278">
        <f t="shared" si="257"/>
        <v>1.8866139918200523E-2</v>
      </c>
      <c r="U1278" t="str">
        <f t="shared" si="251"/>
        <v>2015-02</v>
      </c>
      <c r="W1278">
        <v>21002.91</v>
      </c>
      <c r="X1278">
        <f t="shared" si="258"/>
        <v>2.1033442559137184E-2</v>
      </c>
      <c r="Y1278">
        <f t="shared" si="259"/>
        <v>2.1256204487458838E-2</v>
      </c>
      <c r="Z1278" t="str">
        <f t="shared" si="252"/>
        <v>2015-02</v>
      </c>
    </row>
    <row r="1279" spans="1:26" x14ac:dyDescent="0.35">
      <c r="A1279" s="1">
        <v>42048</v>
      </c>
      <c r="C1279">
        <v>3447.59</v>
      </c>
      <c r="D1279">
        <f t="shared" si="253"/>
        <v>8.7339598490234378E-3</v>
      </c>
      <c r="E1279" t="str">
        <f t="shared" si="247"/>
        <v>2015-02</v>
      </c>
      <c r="G1279">
        <v>4759.3599999999997</v>
      </c>
      <c r="H1279">
        <f t="shared" si="254"/>
        <v>6.9917084668994021E-3</v>
      </c>
      <c r="I1279" t="str">
        <f t="shared" si="248"/>
        <v>2015-02</v>
      </c>
      <c r="K1279">
        <v>10963.4</v>
      </c>
      <c r="L1279">
        <f t="shared" si="255"/>
        <v>3.9985338689591428E-3</v>
      </c>
      <c r="M1279" t="str">
        <f t="shared" si="249"/>
        <v>2015-02</v>
      </c>
      <c r="O1279">
        <v>9278.7699900000007</v>
      </c>
      <c r="P1279">
        <f t="shared" si="256"/>
        <v>6.8236913008962998E-3</v>
      </c>
      <c r="Q1279" t="str">
        <f t="shared" si="250"/>
        <v>2015-02</v>
      </c>
      <c r="S1279">
        <v>10739.5</v>
      </c>
      <c r="T1279">
        <f t="shared" si="257"/>
        <v>1.6646943149107488E-2</v>
      </c>
      <c r="U1279" t="str">
        <f t="shared" si="251"/>
        <v>2015-02</v>
      </c>
      <c r="W1279">
        <v>21204.07</v>
      </c>
      <c r="X1279">
        <f t="shared" si="258"/>
        <v>9.5321448321620348E-3</v>
      </c>
      <c r="Y1279">
        <f t="shared" si="259"/>
        <v>9.5777204206464652E-3</v>
      </c>
      <c r="Z1279" t="str">
        <f t="shared" si="252"/>
        <v>2015-02</v>
      </c>
    </row>
    <row r="1280" spans="1:26" x14ac:dyDescent="0.35">
      <c r="A1280" s="1">
        <v>42051</v>
      </c>
      <c r="C1280">
        <v>3433.3</v>
      </c>
      <c r="D1280">
        <f t="shared" si="253"/>
        <v>-4.1535384359028087E-3</v>
      </c>
      <c r="E1280" t="str">
        <f t="shared" si="247"/>
        <v>2015-02</v>
      </c>
      <c r="G1280">
        <v>4751.95</v>
      </c>
      <c r="H1280">
        <f t="shared" si="254"/>
        <v>-1.5581453026295086E-3</v>
      </c>
      <c r="I1280" t="str">
        <f t="shared" si="248"/>
        <v>2015-02</v>
      </c>
      <c r="K1280">
        <v>10923.23</v>
      </c>
      <c r="L1280">
        <f t="shared" si="255"/>
        <v>-3.6707382639788819E-3</v>
      </c>
      <c r="M1280" t="str">
        <f t="shared" si="249"/>
        <v>2015-02</v>
      </c>
      <c r="O1280">
        <v>9270.5432099999998</v>
      </c>
      <c r="P1280">
        <f t="shared" si="256"/>
        <v>-8.8701726589024779E-4</v>
      </c>
      <c r="Q1280" t="str">
        <f t="shared" si="250"/>
        <v>2015-02</v>
      </c>
      <c r="S1280">
        <v>10689.5</v>
      </c>
      <c r="T1280">
        <f t="shared" si="257"/>
        <v>-4.6665818038552727E-3</v>
      </c>
      <c r="U1280" t="str">
        <f t="shared" si="251"/>
        <v>2015-02</v>
      </c>
      <c r="W1280">
        <v>21165.84</v>
      </c>
      <c r="X1280">
        <f t="shared" si="258"/>
        <v>-1.8045830342678622E-3</v>
      </c>
      <c r="Y1280">
        <f t="shared" si="259"/>
        <v>-1.8029557533058307E-3</v>
      </c>
      <c r="Z1280" t="str">
        <f t="shared" si="252"/>
        <v>2015-02</v>
      </c>
    </row>
    <row r="1281" spans="1:26" x14ac:dyDescent="0.35">
      <c r="A1281" s="1">
        <v>42052</v>
      </c>
      <c r="C1281">
        <v>3438.44</v>
      </c>
      <c r="D1281">
        <f t="shared" si="253"/>
        <v>1.4959823737784007E-3</v>
      </c>
      <c r="E1281" t="str">
        <f t="shared" si="247"/>
        <v>2015-02</v>
      </c>
      <c r="G1281">
        <v>4753.99</v>
      </c>
      <c r="H1281">
        <f t="shared" si="254"/>
        <v>4.2920532452704401E-4</v>
      </c>
      <c r="I1281" t="str">
        <f t="shared" si="248"/>
        <v>2015-02</v>
      </c>
      <c r="K1281">
        <v>10895.62</v>
      </c>
      <c r="L1281">
        <f t="shared" si="255"/>
        <v>-2.5308405105849119E-3</v>
      </c>
      <c r="M1281" t="str">
        <f t="shared" si="249"/>
        <v>2015-02</v>
      </c>
      <c r="O1281">
        <v>9281.4828500000003</v>
      </c>
      <c r="P1281">
        <f t="shared" si="256"/>
        <v>1.1793473373290855E-3</v>
      </c>
      <c r="Q1281" t="str">
        <f t="shared" si="250"/>
        <v>2015-02</v>
      </c>
      <c r="S1281">
        <v>10698</v>
      </c>
      <c r="T1281">
        <f t="shared" si="257"/>
        <v>7.9485685073281518E-4</v>
      </c>
      <c r="U1281" t="str">
        <f t="shared" si="251"/>
        <v>2015-02</v>
      </c>
      <c r="W1281">
        <v>21266.25</v>
      </c>
      <c r="X1281">
        <f t="shared" si="258"/>
        <v>4.7327476644552563E-3</v>
      </c>
      <c r="Y1281">
        <f t="shared" si="259"/>
        <v>4.7439648036647665E-3</v>
      </c>
      <c r="Z1281" t="str">
        <f t="shared" si="252"/>
        <v>2015-02</v>
      </c>
    </row>
    <row r="1282" spans="1:26" x14ac:dyDescent="0.35">
      <c r="A1282" s="1">
        <v>42053</v>
      </c>
      <c r="C1282">
        <v>3465.8</v>
      </c>
      <c r="D1282">
        <f t="shared" si="253"/>
        <v>7.9256060677432797E-3</v>
      </c>
      <c r="E1282" t="str">
        <f t="shared" si="247"/>
        <v>2015-02</v>
      </c>
      <c r="G1282">
        <v>4799.03</v>
      </c>
      <c r="H1282">
        <f t="shared" si="254"/>
        <v>9.4295487149302533E-3</v>
      </c>
      <c r="I1282" t="str">
        <f t="shared" si="248"/>
        <v>2015-02</v>
      </c>
      <c r="K1282">
        <v>10961</v>
      </c>
      <c r="L1282">
        <f t="shared" si="255"/>
        <v>5.9826446181367168E-3</v>
      </c>
      <c r="M1282" t="str">
        <f t="shared" si="249"/>
        <v>2015-02</v>
      </c>
      <c r="O1282">
        <v>9376.8399499999996</v>
      </c>
      <c r="P1282">
        <f t="shared" si="256"/>
        <v>1.0221490029314557E-2</v>
      </c>
      <c r="Q1282" t="str">
        <f t="shared" si="250"/>
        <v>2015-02</v>
      </c>
      <c r="S1282">
        <v>10805.3</v>
      </c>
      <c r="T1282">
        <f t="shared" si="257"/>
        <v>9.9799463879989368E-3</v>
      </c>
      <c r="U1282" t="str">
        <f t="shared" si="251"/>
        <v>2015-02</v>
      </c>
      <c r="W1282">
        <v>21659.33</v>
      </c>
      <c r="X1282">
        <f t="shared" si="258"/>
        <v>1.8314999485567168E-2</v>
      </c>
      <c r="Y1282">
        <f t="shared" si="259"/>
        <v>1.8483747722330066E-2</v>
      </c>
      <c r="Z1282" t="str">
        <f t="shared" si="252"/>
        <v>2015-02</v>
      </c>
    </row>
    <row r="1283" spans="1:26" x14ac:dyDescent="0.35">
      <c r="A1283" s="1">
        <v>42054</v>
      </c>
      <c r="C1283">
        <v>3488.08</v>
      </c>
      <c r="D1283">
        <f t="shared" si="253"/>
        <v>6.4079553395206233E-3</v>
      </c>
      <c r="E1283" t="str">
        <f t="shared" si="247"/>
        <v>2015-02</v>
      </c>
      <c r="G1283">
        <v>4833.28</v>
      </c>
      <c r="H1283">
        <f t="shared" si="254"/>
        <v>7.1115120558562072E-3</v>
      </c>
      <c r="I1283" t="str">
        <f t="shared" si="248"/>
        <v>2015-02</v>
      </c>
      <c r="K1283">
        <v>11001.94</v>
      </c>
      <c r="L1283">
        <f t="shared" si="255"/>
        <v>3.7281026509100061E-3</v>
      </c>
      <c r="M1283" t="str">
        <f t="shared" si="249"/>
        <v>2015-02</v>
      </c>
      <c r="O1283">
        <v>9348.1397799999995</v>
      </c>
      <c r="P1283">
        <f t="shared" si="256"/>
        <v>-3.0654444371461215E-3</v>
      </c>
      <c r="Q1283" t="str">
        <f t="shared" si="250"/>
        <v>2015-02</v>
      </c>
      <c r="S1283">
        <v>10910.4</v>
      </c>
      <c r="T1283">
        <f t="shared" si="257"/>
        <v>9.6797082871940138E-3</v>
      </c>
      <c r="U1283" t="str">
        <f t="shared" si="251"/>
        <v>2015-02</v>
      </c>
      <c r="W1283">
        <v>21789.98</v>
      </c>
      <c r="X1283">
        <f t="shared" si="258"/>
        <v>6.013922604103915E-3</v>
      </c>
      <c r="Y1283">
        <f t="shared" si="259"/>
        <v>6.0320425424054119E-3</v>
      </c>
      <c r="Z1283" t="str">
        <f t="shared" si="252"/>
        <v>2015-02</v>
      </c>
    </row>
    <row r="1284" spans="1:26" x14ac:dyDescent="0.35">
      <c r="A1284" s="1">
        <v>42055</v>
      </c>
      <c r="C1284">
        <v>3490.53</v>
      </c>
      <c r="D1284">
        <f t="shared" si="253"/>
        <v>7.0214558505371776E-4</v>
      </c>
      <c r="E1284" t="str">
        <f t="shared" ref="E1284:E1347" si="260">_xlfn.CONCAT(YEAR(A1284),"-",TEXT(MONTH(A1284),"00"))</f>
        <v>2015-02</v>
      </c>
      <c r="G1284">
        <v>4830.8999999999996</v>
      </c>
      <c r="H1284">
        <f t="shared" si="254"/>
        <v>-4.9254050485713849E-4</v>
      </c>
      <c r="I1284" t="str">
        <f t="shared" ref="I1284:I1347" si="261">_xlfn.CONCAT(YEAR(A1284),"-",TEXT(MONTH(A1284),"00"))</f>
        <v>2015-02</v>
      </c>
      <c r="K1284">
        <v>11050.64</v>
      </c>
      <c r="L1284">
        <f t="shared" si="255"/>
        <v>4.4167239540869371E-3</v>
      </c>
      <c r="M1284" t="str">
        <f t="shared" ref="M1284:M1347" si="262">_xlfn.CONCAT(YEAR(A1284),"-",TEXT(MONTH(A1284),"00"))</f>
        <v>2015-02</v>
      </c>
      <c r="O1284">
        <v>9347.9325200000003</v>
      </c>
      <c r="P1284">
        <f t="shared" si="256"/>
        <v>-2.2171501765959018E-5</v>
      </c>
      <c r="Q1284" t="str">
        <f t="shared" ref="Q1284:Q1347" si="263">_xlfn.CONCAT(YEAR(A1284),"-",TEXT(MONTH(A1284),"00"))</f>
        <v>2015-02</v>
      </c>
      <c r="S1284">
        <v>10879.3</v>
      </c>
      <c r="T1284">
        <f t="shared" si="257"/>
        <v>-2.8545616615419963E-3</v>
      </c>
      <c r="U1284" t="str">
        <f t="shared" ref="U1284:U1347" si="264">_xlfn.CONCAT(YEAR(A1284),"-",TEXT(MONTH(A1284),"00"))</f>
        <v>2015-02</v>
      </c>
      <c r="W1284">
        <v>21842.57</v>
      </c>
      <c r="X1284">
        <f t="shared" si="258"/>
        <v>2.4105868424556536E-3</v>
      </c>
      <c r="Y1284">
        <f t="shared" si="259"/>
        <v>2.4134946429505738E-3</v>
      </c>
      <c r="Z1284" t="str">
        <f t="shared" ref="Z1284:Z1347" si="265">_xlfn.CONCAT(YEAR(A1284),"-",TEXT(MONTH(A1284),"00"))</f>
        <v>2015-02</v>
      </c>
    </row>
    <row r="1285" spans="1:26" x14ac:dyDescent="0.35">
      <c r="A1285" s="1">
        <v>42058</v>
      </c>
      <c r="C1285">
        <v>3519.58</v>
      </c>
      <c r="D1285">
        <f t="shared" ref="D1285:D1348" si="266">LN(C1285/C1284)</f>
        <v>8.2880771606243676E-3</v>
      </c>
      <c r="E1285" t="str">
        <f t="shared" si="260"/>
        <v>2015-02</v>
      </c>
      <c r="G1285">
        <v>4862.3</v>
      </c>
      <c r="H1285">
        <f t="shared" ref="H1285:H1348" si="267">LN(G1285/G1284)</f>
        <v>6.4787912833361794E-3</v>
      </c>
      <c r="I1285" t="str">
        <f t="shared" si="261"/>
        <v>2015-02</v>
      </c>
      <c r="K1285">
        <v>11130.92</v>
      </c>
      <c r="L1285">
        <f t="shared" ref="L1285:L1348" si="268">LN(K1285/K1284)</f>
        <v>7.2384765116494222E-3</v>
      </c>
      <c r="M1285" t="str">
        <f t="shared" si="262"/>
        <v>2015-02</v>
      </c>
      <c r="O1285">
        <v>9425.8390799999997</v>
      </c>
      <c r="P1285">
        <f t="shared" ref="P1285:P1348" si="269">LN(O1285/O1284)</f>
        <v>8.2995584329443803E-3</v>
      </c>
      <c r="Q1285" t="str">
        <f t="shared" si="263"/>
        <v>2015-02</v>
      </c>
      <c r="S1285">
        <v>10990.1</v>
      </c>
      <c r="T1285">
        <f t="shared" ref="T1285:T1348" si="270">LN(S1285/S1284)</f>
        <v>1.013296643249716E-2</v>
      </c>
      <c r="U1285" t="str">
        <f t="shared" si="264"/>
        <v>2015-02</v>
      </c>
      <c r="W1285">
        <v>21964.29</v>
      </c>
      <c r="X1285">
        <f t="shared" ref="X1285:X1348" si="271">LN(W1285/W1284)</f>
        <v>5.5571348069090075E-3</v>
      </c>
      <c r="Y1285">
        <f t="shared" ref="Y1285:Y1348" si="272">(W1285-W1284)/W1284</f>
        <v>5.5726043226598868E-3</v>
      </c>
      <c r="Z1285" t="str">
        <f t="shared" si="265"/>
        <v>2015-02</v>
      </c>
    </row>
    <row r="1286" spans="1:26" x14ac:dyDescent="0.35">
      <c r="A1286" s="1">
        <v>42059</v>
      </c>
      <c r="C1286">
        <v>3547.1</v>
      </c>
      <c r="D1286">
        <f t="shared" si="266"/>
        <v>7.7887039238861023E-3</v>
      </c>
      <c r="E1286" t="str">
        <f t="shared" si="260"/>
        <v>2015-02</v>
      </c>
      <c r="G1286">
        <v>4886.4399999999996</v>
      </c>
      <c r="H1286">
        <f t="shared" si="267"/>
        <v>4.9524450010046623E-3</v>
      </c>
      <c r="I1286" t="str">
        <f t="shared" si="261"/>
        <v>2015-02</v>
      </c>
      <c r="K1286">
        <v>11205.74</v>
      </c>
      <c r="L1286">
        <f t="shared" si="268"/>
        <v>6.6993256675442056E-3</v>
      </c>
      <c r="M1286" t="str">
        <f t="shared" si="262"/>
        <v>2015-02</v>
      </c>
      <c r="O1286">
        <v>9477.8828300000005</v>
      </c>
      <c r="P1286">
        <f t="shared" si="269"/>
        <v>5.5062047291542307E-3</v>
      </c>
      <c r="Q1286" t="str">
        <f t="shared" si="263"/>
        <v>2015-02</v>
      </c>
      <c r="S1286">
        <v>11064.5</v>
      </c>
      <c r="T1286">
        <f t="shared" si="270"/>
        <v>6.7469173985771217E-3</v>
      </c>
      <c r="U1286" t="str">
        <f t="shared" si="264"/>
        <v>2015-02</v>
      </c>
      <c r="W1286">
        <v>22149.75</v>
      </c>
      <c r="X1286">
        <f t="shared" si="271"/>
        <v>8.4082569924878205E-3</v>
      </c>
      <c r="Y1286">
        <f t="shared" si="272"/>
        <v>8.4437056695208044E-3</v>
      </c>
      <c r="Z1286" t="str">
        <f t="shared" si="265"/>
        <v>2015-02</v>
      </c>
    </row>
    <row r="1287" spans="1:26" x14ac:dyDescent="0.35">
      <c r="A1287" s="1">
        <v>42060</v>
      </c>
      <c r="C1287">
        <v>3541.78</v>
      </c>
      <c r="D1287">
        <f t="shared" si="266"/>
        <v>-1.5009426027112508E-3</v>
      </c>
      <c r="E1287" t="str">
        <f t="shared" si="260"/>
        <v>2015-02</v>
      </c>
      <c r="G1287">
        <v>4882.22</v>
      </c>
      <c r="H1287">
        <f t="shared" si="267"/>
        <v>-8.6398754025828806E-4</v>
      </c>
      <c r="I1287" t="str">
        <f t="shared" si="261"/>
        <v>2015-02</v>
      </c>
      <c r="K1287">
        <v>11210.27</v>
      </c>
      <c r="L1287">
        <f t="shared" si="268"/>
        <v>4.0417541406067014E-4</v>
      </c>
      <c r="M1287" t="str">
        <f t="shared" si="262"/>
        <v>2015-02</v>
      </c>
      <c r="O1287">
        <v>9465.8812300000009</v>
      </c>
      <c r="P1287">
        <f t="shared" si="269"/>
        <v>-1.2670767612693199E-3</v>
      </c>
      <c r="Q1287" t="str">
        <f t="shared" si="263"/>
        <v>2015-02</v>
      </c>
      <c r="S1287">
        <v>11049.5</v>
      </c>
      <c r="T1287">
        <f t="shared" si="270"/>
        <v>-1.3566068825610852E-3</v>
      </c>
      <c r="U1287" t="str">
        <f t="shared" si="264"/>
        <v>2015-02</v>
      </c>
      <c r="W1287">
        <v>21937.24</v>
      </c>
      <c r="X1287">
        <f t="shared" si="271"/>
        <v>-9.6405604417349692E-3</v>
      </c>
      <c r="Y1287">
        <f t="shared" si="272"/>
        <v>-9.5942392126321246E-3</v>
      </c>
      <c r="Z1287" t="str">
        <f t="shared" si="265"/>
        <v>2015-02</v>
      </c>
    </row>
    <row r="1288" spans="1:26" x14ac:dyDescent="0.35">
      <c r="A1288" s="1">
        <v>42061</v>
      </c>
      <c r="C1288">
        <v>3574.94</v>
      </c>
      <c r="D1288">
        <f t="shared" si="266"/>
        <v>9.3189671579663111E-3</v>
      </c>
      <c r="E1288" t="str">
        <f t="shared" si="260"/>
        <v>2015-02</v>
      </c>
      <c r="G1288">
        <v>4910.62</v>
      </c>
      <c r="H1288">
        <f t="shared" si="267"/>
        <v>5.8001722930941047E-3</v>
      </c>
      <c r="I1288" t="str">
        <f t="shared" si="261"/>
        <v>2015-02</v>
      </c>
      <c r="K1288">
        <v>11327.19</v>
      </c>
      <c r="L1288">
        <f t="shared" si="268"/>
        <v>1.037570772568832E-2</v>
      </c>
      <c r="M1288" t="str">
        <f t="shared" si="262"/>
        <v>2015-02</v>
      </c>
      <c r="O1288">
        <v>9565.1129799999999</v>
      </c>
      <c r="P1288">
        <f t="shared" si="269"/>
        <v>1.0428530241373047E-2</v>
      </c>
      <c r="Q1288" t="str">
        <f t="shared" si="263"/>
        <v>2015-02</v>
      </c>
      <c r="S1288">
        <v>11139.5</v>
      </c>
      <c r="T1288">
        <f t="shared" si="270"/>
        <v>8.112172117218661E-3</v>
      </c>
      <c r="U1288" t="str">
        <f t="shared" si="264"/>
        <v>2015-02</v>
      </c>
      <c r="W1288">
        <v>22165.13</v>
      </c>
      <c r="X1288">
        <f t="shared" si="271"/>
        <v>1.0334683978457561E-2</v>
      </c>
      <c r="Y1288">
        <f t="shared" si="272"/>
        <v>1.038827126840019E-2</v>
      </c>
      <c r="Z1288" t="str">
        <f t="shared" si="265"/>
        <v>2015-02</v>
      </c>
    </row>
    <row r="1289" spans="1:26" x14ac:dyDescent="0.35">
      <c r="A1289" s="1">
        <v>42062</v>
      </c>
      <c r="C1289">
        <v>3599</v>
      </c>
      <c r="D1289">
        <f t="shared" si="266"/>
        <v>6.7076363085455211E-3</v>
      </c>
      <c r="E1289" t="str">
        <f t="shared" si="260"/>
        <v>2015-02</v>
      </c>
      <c r="G1289">
        <v>4951.4799999999996</v>
      </c>
      <c r="H1289">
        <f t="shared" si="267"/>
        <v>8.2863150439165308E-3</v>
      </c>
      <c r="I1289" t="str">
        <f t="shared" si="261"/>
        <v>2015-02</v>
      </c>
      <c r="K1289">
        <v>11401.66</v>
      </c>
      <c r="L1289">
        <f t="shared" si="268"/>
        <v>6.5529286773168792E-3</v>
      </c>
      <c r="M1289" t="str">
        <f t="shared" si="262"/>
        <v>2015-02</v>
      </c>
      <c r="O1289">
        <v>9580.7441199999994</v>
      </c>
      <c r="P1289">
        <f t="shared" si="269"/>
        <v>1.6328486514161657E-3</v>
      </c>
      <c r="Q1289" t="str">
        <f t="shared" si="263"/>
        <v>2015-02</v>
      </c>
      <c r="S1289">
        <v>11178.3</v>
      </c>
      <c r="T1289">
        <f t="shared" si="270"/>
        <v>3.4770487315563658E-3</v>
      </c>
      <c r="U1289" t="str">
        <f t="shared" si="264"/>
        <v>2015-02</v>
      </c>
      <c r="W1289">
        <v>22337.79</v>
      </c>
      <c r="X1289">
        <f t="shared" si="271"/>
        <v>7.759529771306139E-3</v>
      </c>
      <c r="Y1289">
        <f t="shared" si="272"/>
        <v>7.7897129410023696E-3</v>
      </c>
      <c r="Z1289" t="str">
        <f t="shared" si="265"/>
        <v>2015-02</v>
      </c>
    </row>
    <row r="1290" spans="1:26" x14ac:dyDescent="0.35">
      <c r="A1290" s="1">
        <v>42065</v>
      </c>
      <c r="C1290">
        <v>3591.09</v>
      </c>
      <c r="D1290">
        <f t="shared" si="266"/>
        <v>-2.2002515103693755E-3</v>
      </c>
      <c r="E1290" t="str">
        <f t="shared" si="260"/>
        <v>2015-03</v>
      </c>
      <c r="G1290">
        <v>4917.32</v>
      </c>
      <c r="H1290">
        <f t="shared" si="267"/>
        <v>-6.9228551453103613E-3</v>
      </c>
      <c r="I1290" t="str">
        <f t="shared" si="261"/>
        <v>2015-03</v>
      </c>
      <c r="K1290">
        <v>11410.36</v>
      </c>
      <c r="L1290">
        <f t="shared" si="268"/>
        <v>7.6275581222566156E-4</v>
      </c>
      <c r="M1290" t="str">
        <f t="shared" si="262"/>
        <v>2015-03</v>
      </c>
      <c r="O1290">
        <v>9536.7051100000008</v>
      </c>
      <c r="P1290">
        <f t="shared" si="269"/>
        <v>-4.6072137939897184E-3</v>
      </c>
      <c r="Q1290" t="str">
        <f t="shared" si="263"/>
        <v>2015-03</v>
      </c>
      <c r="S1290">
        <v>11178.5</v>
      </c>
      <c r="T1290">
        <f t="shared" si="270"/>
        <v>1.7891648179145345E-5</v>
      </c>
      <c r="U1290" t="str">
        <f t="shared" si="264"/>
        <v>2015-03</v>
      </c>
      <c r="W1290">
        <v>22297.599999999999</v>
      </c>
      <c r="X1290">
        <f t="shared" si="271"/>
        <v>-1.8008136978803029E-3</v>
      </c>
      <c r="Y1290">
        <f t="shared" si="272"/>
        <v>-1.7991932057738176E-3</v>
      </c>
      <c r="Z1290" t="str">
        <f t="shared" si="265"/>
        <v>2015-03</v>
      </c>
    </row>
    <row r="1291" spans="1:26" x14ac:dyDescent="0.35">
      <c r="A1291" s="1">
        <v>42066</v>
      </c>
      <c r="C1291">
        <v>3549.11</v>
      </c>
      <c r="D1291">
        <f t="shared" si="266"/>
        <v>-1.1758909756109673E-2</v>
      </c>
      <c r="E1291" t="str">
        <f t="shared" si="260"/>
        <v>2015-03</v>
      </c>
      <c r="G1291">
        <v>4869.25</v>
      </c>
      <c r="H1291">
        <f t="shared" si="267"/>
        <v>-9.823745517833769E-3</v>
      </c>
      <c r="I1291" t="str">
        <f t="shared" si="261"/>
        <v>2015-03</v>
      </c>
      <c r="K1291">
        <v>11280.36</v>
      </c>
      <c r="L1291">
        <f t="shared" si="268"/>
        <v>-1.1458554192807977E-2</v>
      </c>
      <c r="M1291" t="str">
        <f t="shared" si="262"/>
        <v>2015-03</v>
      </c>
      <c r="O1291">
        <v>9460.6372300000003</v>
      </c>
      <c r="P1291">
        <f t="shared" si="269"/>
        <v>-8.0083082334996419E-3</v>
      </c>
      <c r="Q1291" t="str">
        <f t="shared" si="263"/>
        <v>2015-03</v>
      </c>
      <c r="S1291">
        <v>11014.7</v>
      </c>
      <c r="T1291">
        <f t="shared" si="270"/>
        <v>-1.4761546272600385E-2</v>
      </c>
      <c r="U1291" t="str">
        <f t="shared" si="264"/>
        <v>2015-03</v>
      </c>
      <c r="W1291">
        <v>21987.18</v>
      </c>
      <c r="X1291">
        <f t="shared" si="271"/>
        <v>-1.4019493121819002E-2</v>
      </c>
      <c r="Y1291">
        <f t="shared" si="272"/>
        <v>-1.3921677669345503E-2</v>
      </c>
      <c r="Z1291" t="str">
        <f t="shared" si="265"/>
        <v>2015-03</v>
      </c>
    </row>
    <row r="1292" spans="1:26" x14ac:dyDescent="0.35">
      <c r="A1292" s="1">
        <v>42067</v>
      </c>
      <c r="C1292">
        <v>3583.44</v>
      </c>
      <c r="D1292">
        <f t="shared" si="266"/>
        <v>9.6263650739663951E-3</v>
      </c>
      <c r="E1292" t="str">
        <f t="shared" si="260"/>
        <v>2015-03</v>
      </c>
      <c r="G1292">
        <v>4917.3500000000004</v>
      </c>
      <c r="H1292">
        <f t="shared" si="267"/>
        <v>9.8298463834451729E-3</v>
      </c>
      <c r="I1292" t="str">
        <f t="shared" si="261"/>
        <v>2015-03</v>
      </c>
      <c r="K1292">
        <v>11390.38</v>
      </c>
      <c r="L1292">
        <f t="shared" si="268"/>
        <v>9.7059790470818107E-3</v>
      </c>
      <c r="M1292" t="str">
        <f t="shared" si="262"/>
        <v>2015-03</v>
      </c>
      <c r="O1292">
        <v>9537.4659200000006</v>
      </c>
      <c r="P1292">
        <f t="shared" si="269"/>
        <v>8.0880820804684547E-3</v>
      </c>
      <c r="Q1292" t="str">
        <f t="shared" si="263"/>
        <v>2015-03</v>
      </c>
      <c r="S1292">
        <v>11051.3</v>
      </c>
      <c r="T1292">
        <f t="shared" si="270"/>
        <v>3.3173238071364831E-3</v>
      </c>
      <c r="U1292" t="str">
        <f t="shared" si="264"/>
        <v>2015-03</v>
      </c>
      <c r="W1292">
        <v>22131.08</v>
      </c>
      <c r="X1292">
        <f t="shared" si="271"/>
        <v>6.5233991685918445E-3</v>
      </c>
      <c r="Y1292">
        <f t="shared" si="272"/>
        <v>6.5447228794234388E-3</v>
      </c>
      <c r="Z1292" t="str">
        <f t="shared" si="265"/>
        <v>2015-03</v>
      </c>
    </row>
    <row r="1293" spans="1:26" x14ac:dyDescent="0.35">
      <c r="A1293" s="1">
        <v>42068</v>
      </c>
      <c r="C1293">
        <v>3618.21</v>
      </c>
      <c r="D1293">
        <f t="shared" si="266"/>
        <v>9.6561955020302587E-3</v>
      </c>
      <c r="E1293" t="str">
        <f t="shared" si="260"/>
        <v>2015-03</v>
      </c>
      <c r="G1293">
        <v>4963.51</v>
      </c>
      <c r="H1293">
        <f t="shared" si="267"/>
        <v>9.343384241656599E-3</v>
      </c>
      <c r="I1293" t="str">
        <f t="shared" si="261"/>
        <v>2015-03</v>
      </c>
      <c r="K1293">
        <v>11504.01</v>
      </c>
      <c r="L1293">
        <f t="shared" si="268"/>
        <v>9.9265307398356678E-3</v>
      </c>
      <c r="M1293" t="str">
        <f t="shared" si="262"/>
        <v>2015-03</v>
      </c>
      <c r="O1293">
        <v>9621.8789099999995</v>
      </c>
      <c r="P1293">
        <f t="shared" si="269"/>
        <v>8.811735155591114E-3</v>
      </c>
      <c r="Q1293" t="str">
        <f t="shared" si="263"/>
        <v>2015-03</v>
      </c>
      <c r="S1293">
        <v>11124.4</v>
      </c>
      <c r="T1293">
        <f t="shared" si="270"/>
        <v>6.5928259109072204E-3</v>
      </c>
      <c r="U1293" t="str">
        <f t="shared" si="264"/>
        <v>2015-03</v>
      </c>
      <c r="W1293">
        <v>22400.080000000002</v>
      </c>
      <c r="X1293">
        <f t="shared" si="271"/>
        <v>1.2081574880532991E-2</v>
      </c>
      <c r="Y1293">
        <f t="shared" si="272"/>
        <v>1.2154851909622124E-2</v>
      </c>
      <c r="Z1293" t="str">
        <f t="shared" si="265"/>
        <v>2015-03</v>
      </c>
    </row>
    <row r="1294" spans="1:26" x14ac:dyDescent="0.35">
      <c r="A1294" s="1">
        <v>42069</v>
      </c>
      <c r="C1294">
        <v>3617.62</v>
      </c>
      <c r="D1294">
        <f t="shared" si="266"/>
        <v>-1.6307735292505046E-4</v>
      </c>
      <c r="E1294" t="str">
        <f t="shared" si="260"/>
        <v>2015-03</v>
      </c>
      <c r="G1294">
        <v>4964.3500000000004</v>
      </c>
      <c r="H1294">
        <f t="shared" si="267"/>
        <v>1.6922075895607375E-4</v>
      </c>
      <c r="I1294" t="str">
        <f t="shared" si="261"/>
        <v>2015-03</v>
      </c>
      <c r="K1294">
        <v>11550.97</v>
      </c>
      <c r="L1294">
        <f t="shared" si="268"/>
        <v>4.0737458842588945E-3</v>
      </c>
      <c r="M1294" t="str">
        <f t="shared" si="262"/>
        <v>2015-03</v>
      </c>
      <c r="O1294">
        <v>9587.7667799999999</v>
      </c>
      <c r="P1294">
        <f t="shared" si="269"/>
        <v>-3.5515663752418119E-3</v>
      </c>
      <c r="Q1294" t="str">
        <f t="shared" si="263"/>
        <v>2015-03</v>
      </c>
      <c r="S1294">
        <v>11091.9</v>
      </c>
      <c r="T1294">
        <f t="shared" si="270"/>
        <v>-2.92578180739995E-3</v>
      </c>
      <c r="U1294" t="str">
        <f t="shared" si="264"/>
        <v>2015-03</v>
      </c>
      <c r="W1294">
        <v>22436.13</v>
      </c>
      <c r="X1294">
        <f t="shared" si="271"/>
        <v>1.6080756053420849E-3</v>
      </c>
      <c r="Y1294">
        <f t="shared" si="272"/>
        <v>1.6093692522526379E-3</v>
      </c>
      <c r="Z1294" t="str">
        <f t="shared" si="265"/>
        <v>2015-03</v>
      </c>
    </row>
    <row r="1295" spans="1:26" x14ac:dyDescent="0.35">
      <c r="A1295" s="1">
        <v>42072</v>
      </c>
      <c r="C1295">
        <v>3610.28</v>
      </c>
      <c r="D1295">
        <f t="shared" si="266"/>
        <v>-2.0310193896287999E-3</v>
      </c>
      <c r="E1295" t="str">
        <f t="shared" si="260"/>
        <v>2015-03</v>
      </c>
      <c r="G1295">
        <v>4937.2</v>
      </c>
      <c r="H1295">
        <f t="shared" si="267"/>
        <v>-5.4840036242932398E-3</v>
      </c>
      <c r="I1295" t="str">
        <f t="shared" si="261"/>
        <v>2015-03</v>
      </c>
      <c r="K1295">
        <v>11582.11</v>
      </c>
      <c r="L1295">
        <f t="shared" si="268"/>
        <v>2.6922501291748993E-3</v>
      </c>
      <c r="M1295" t="str">
        <f t="shared" si="262"/>
        <v>2015-03</v>
      </c>
      <c r="O1295">
        <v>9573.8698299999996</v>
      </c>
      <c r="P1295">
        <f t="shared" si="269"/>
        <v>-1.4504974412550969E-3</v>
      </c>
      <c r="Q1295" t="str">
        <f t="shared" si="263"/>
        <v>2015-03</v>
      </c>
      <c r="S1295">
        <v>11054.2</v>
      </c>
      <c r="T1295">
        <f t="shared" si="270"/>
        <v>-3.4046659608154943E-3</v>
      </c>
      <c r="U1295" t="str">
        <f t="shared" si="264"/>
        <v>2015-03</v>
      </c>
      <c r="W1295">
        <v>22564.35</v>
      </c>
      <c r="X1295">
        <f t="shared" si="271"/>
        <v>5.6986213030413638E-3</v>
      </c>
      <c r="Y1295">
        <f t="shared" si="272"/>
        <v>5.7148893325184658E-3</v>
      </c>
      <c r="Z1295" t="str">
        <f t="shared" si="265"/>
        <v>2015-03</v>
      </c>
    </row>
    <row r="1296" spans="1:26" x14ac:dyDescent="0.35">
      <c r="A1296" s="1">
        <v>42073</v>
      </c>
      <c r="C1296">
        <v>3567.25</v>
      </c>
      <c r="D1296">
        <f t="shared" si="266"/>
        <v>-1.1990340835310117E-2</v>
      </c>
      <c r="E1296" t="str">
        <f t="shared" si="260"/>
        <v>2015-03</v>
      </c>
      <c r="G1296">
        <v>4881.95</v>
      </c>
      <c r="H1296">
        <f t="shared" si="267"/>
        <v>-1.1253638673534478E-2</v>
      </c>
      <c r="I1296" t="str">
        <f t="shared" si="261"/>
        <v>2015-03</v>
      </c>
      <c r="K1296">
        <v>11500.38</v>
      </c>
      <c r="L1296">
        <f t="shared" si="268"/>
        <v>-7.0815879530703252E-3</v>
      </c>
      <c r="M1296" t="str">
        <f t="shared" si="262"/>
        <v>2015-03</v>
      </c>
      <c r="O1296">
        <v>9440.5052199999991</v>
      </c>
      <c r="P1296">
        <f t="shared" si="269"/>
        <v>-1.4027996886740149E-2</v>
      </c>
      <c r="Q1296" t="str">
        <f t="shared" si="263"/>
        <v>2015-03</v>
      </c>
      <c r="S1296">
        <v>10902.2</v>
      </c>
      <c r="T1296">
        <f t="shared" si="270"/>
        <v>-1.3845842513836791E-2</v>
      </c>
      <c r="U1296" t="str">
        <f t="shared" si="264"/>
        <v>2015-03</v>
      </c>
      <c r="W1296">
        <v>22345.77</v>
      </c>
      <c r="X1296">
        <f t="shared" si="271"/>
        <v>-9.7341857892241646E-3</v>
      </c>
      <c r="Y1296">
        <f t="shared" si="272"/>
        <v>-9.6869619554739283E-3</v>
      </c>
      <c r="Z1296" t="str">
        <f t="shared" si="265"/>
        <v>2015-03</v>
      </c>
    </row>
    <row r="1297" spans="1:26" x14ac:dyDescent="0.35">
      <c r="A1297" s="1">
        <v>42074</v>
      </c>
      <c r="C1297">
        <v>3649.54</v>
      </c>
      <c r="D1297">
        <f t="shared" si="266"/>
        <v>2.2806141426472672E-2</v>
      </c>
      <c r="E1297" t="str">
        <f t="shared" si="260"/>
        <v>2015-03</v>
      </c>
      <c r="G1297">
        <v>4997.75</v>
      </c>
      <c r="H1297">
        <f t="shared" si="267"/>
        <v>2.3443080939613059E-2</v>
      </c>
      <c r="I1297" t="str">
        <f t="shared" si="261"/>
        <v>2015-03</v>
      </c>
      <c r="K1297">
        <v>11805.99</v>
      </c>
      <c r="L1297">
        <f t="shared" si="268"/>
        <v>2.6226951489661879E-2</v>
      </c>
      <c r="M1297" t="str">
        <f t="shared" si="262"/>
        <v>2015-03</v>
      </c>
      <c r="O1297">
        <v>9517.4590399999997</v>
      </c>
      <c r="P1297">
        <f t="shared" si="269"/>
        <v>8.1184078209740919E-3</v>
      </c>
      <c r="Q1297" t="str">
        <f t="shared" si="263"/>
        <v>2015-03</v>
      </c>
      <c r="S1297">
        <v>11021.8</v>
      </c>
      <c r="T1297">
        <f t="shared" si="270"/>
        <v>1.0910526037716077E-2</v>
      </c>
      <c r="U1297" t="str">
        <f t="shared" si="264"/>
        <v>2015-03</v>
      </c>
      <c r="W1297">
        <v>22833.040000000001</v>
      </c>
      <c r="X1297">
        <f t="shared" si="271"/>
        <v>2.1571568399874522E-2</v>
      </c>
      <c r="Y1297">
        <f t="shared" si="272"/>
        <v>2.1805916735024144E-2</v>
      </c>
      <c r="Z1297" t="str">
        <f t="shared" si="265"/>
        <v>2015-03</v>
      </c>
    </row>
    <row r="1298" spans="1:26" x14ac:dyDescent="0.35">
      <c r="A1298" s="1">
        <v>42075</v>
      </c>
      <c r="C1298">
        <v>3641.32</v>
      </c>
      <c r="D1298">
        <f t="shared" si="266"/>
        <v>-2.2548789807698842E-3</v>
      </c>
      <c r="E1298" t="str">
        <f t="shared" si="260"/>
        <v>2015-03</v>
      </c>
      <c r="G1298">
        <v>4987.33</v>
      </c>
      <c r="H1298">
        <f t="shared" si="267"/>
        <v>-2.0871147316799577E-3</v>
      </c>
      <c r="I1298" t="str">
        <f t="shared" si="261"/>
        <v>2015-03</v>
      </c>
      <c r="K1298">
        <v>11799.39</v>
      </c>
      <c r="L1298">
        <f t="shared" si="268"/>
        <v>-5.5919457106685597E-4</v>
      </c>
      <c r="M1298" t="str">
        <f t="shared" si="262"/>
        <v>2015-03</v>
      </c>
      <c r="O1298">
        <v>9470.8512800000008</v>
      </c>
      <c r="P1298">
        <f t="shared" si="269"/>
        <v>-4.9091101647219674E-3</v>
      </c>
      <c r="Q1298" t="str">
        <f t="shared" si="263"/>
        <v>2015-03</v>
      </c>
      <c r="S1298">
        <v>11011.8</v>
      </c>
      <c r="T1298">
        <f t="shared" si="270"/>
        <v>-9.0770465893963697E-4</v>
      </c>
      <c r="U1298" t="str">
        <f t="shared" si="264"/>
        <v>2015-03</v>
      </c>
      <c r="W1298">
        <v>22809.01</v>
      </c>
      <c r="X1298">
        <f t="shared" si="271"/>
        <v>-1.0529764644792395E-3</v>
      </c>
      <c r="Y1298">
        <f t="shared" si="272"/>
        <v>-1.0524222792936233E-3</v>
      </c>
      <c r="Z1298" t="str">
        <f t="shared" si="265"/>
        <v>2015-03</v>
      </c>
    </row>
    <row r="1299" spans="1:26" x14ac:dyDescent="0.35">
      <c r="A1299" s="1">
        <v>42076</v>
      </c>
      <c r="C1299">
        <v>3656.21</v>
      </c>
      <c r="D1299">
        <f t="shared" si="266"/>
        <v>4.0808384929950821E-3</v>
      </c>
      <c r="E1299" t="str">
        <f t="shared" si="260"/>
        <v>2015-03</v>
      </c>
      <c r="G1299">
        <v>5010.46</v>
      </c>
      <c r="H1299">
        <f t="shared" si="267"/>
        <v>4.6270308271390819E-3</v>
      </c>
      <c r="I1299" t="str">
        <f t="shared" si="261"/>
        <v>2015-03</v>
      </c>
      <c r="K1299">
        <v>11901.61</v>
      </c>
      <c r="L1299">
        <f t="shared" si="268"/>
        <v>8.625849863570411E-3</v>
      </c>
      <c r="M1299" t="str">
        <f t="shared" si="262"/>
        <v>2015-03</v>
      </c>
      <c r="O1299">
        <v>9461.3535699999993</v>
      </c>
      <c r="P1299">
        <f t="shared" si="269"/>
        <v>-1.0033391115321644E-3</v>
      </c>
      <c r="Q1299" t="str">
        <f t="shared" si="263"/>
        <v>2015-03</v>
      </c>
      <c r="S1299">
        <v>11033.8</v>
      </c>
      <c r="T1299">
        <f t="shared" si="270"/>
        <v>1.9958637826170337E-3</v>
      </c>
      <c r="U1299" t="str">
        <f t="shared" si="264"/>
        <v>2015-03</v>
      </c>
      <c r="W1299">
        <v>22713.59</v>
      </c>
      <c r="X1299">
        <f t="shared" si="271"/>
        <v>-4.1922095727171711E-3</v>
      </c>
      <c r="Y1299">
        <f t="shared" si="272"/>
        <v>-4.1834345287234415E-3</v>
      </c>
      <c r="Z1299" t="str">
        <f t="shared" si="265"/>
        <v>2015-03</v>
      </c>
    </row>
    <row r="1300" spans="1:26" x14ac:dyDescent="0.35">
      <c r="A1300" s="1">
        <v>42079</v>
      </c>
      <c r="C1300">
        <v>3706.75</v>
      </c>
      <c r="D1300">
        <f t="shared" si="266"/>
        <v>1.3728390148753173E-2</v>
      </c>
      <c r="E1300" t="str">
        <f t="shared" si="260"/>
        <v>2015-03</v>
      </c>
      <c r="G1300">
        <v>5061.16</v>
      </c>
      <c r="H1300">
        <f t="shared" si="267"/>
        <v>1.0067978788518313E-2</v>
      </c>
      <c r="I1300" t="str">
        <f t="shared" si="261"/>
        <v>2015-03</v>
      </c>
      <c r="K1300">
        <v>12167.72</v>
      </c>
      <c r="L1300">
        <f t="shared" si="268"/>
        <v>2.2112858431666015E-2</v>
      </c>
      <c r="M1300" t="str">
        <f t="shared" si="262"/>
        <v>2015-03</v>
      </c>
      <c r="O1300">
        <v>9533.4220100000002</v>
      </c>
      <c r="P1300">
        <f t="shared" si="269"/>
        <v>7.5882745248563649E-3</v>
      </c>
      <c r="Q1300" t="str">
        <f t="shared" si="263"/>
        <v>2015-03</v>
      </c>
      <c r="S1300">
        <v>11114.7</v>
      </c>
      <c r="T1300">
        <f t="shared" si="270"/>
        <v>7.3052676056408229E-3</v>
      </c>
      <c r="U1300" t="str">
        <f t="shared" si="264"/>
        <v>2015-03</v>
      </c>
      <c r="W1300">
        <v>22930.92</v>
      </c>
      <c r="X1300">
        <f t="shared" si="271"/>
        <v>9.5227944106892875E-3</v>
      </c>
      <c r="Y1300">
        <f t="shared" si="272"/>
        <v>9.5682804875846621E-3</v>
      </c>
      <c r="Z1300" t="str">
        <f t="shared" si="265"/>
        <v>2015-03</v>
      </c>
    </row>
    <row r="1301" spans="1:26" x14ac:dyDescent="0.35">
      <c r="A1301" s="1">
        <v>42080</v>
      </c>
      <c r="C1301">
        <v>3672.16</v>
      </c>
      <c r="D1301">
        <f t="shared" si="266"/>
        <v>-9.3754371222798533E-3</v>
      </c>
      <c r="E1301" t="str">
        <f t="shared" si="260"/>
        <v>2015-03</v>
      </c>
      <c r="G1301">
        <v>5028.93</v>
      </c>
      <c r="H1301">
        <f t="shared" si="267"/>
        <v>-6.3884682129828722E-3</v>
      </c>
      <c r="I1301" t="str">
        <f t="shared" si="261"/>
        <v>2015-03</v>
      </c>
      <c r="K1301">
        <v>11980.85</v>
      </c>
      <c r="L1301">
        <f t="shared" si="268"/>
        <v>-1.5477001759037972E-2</v>
      </c>
      <c r="M1301" t="str">
        <f t="shared" si="262"/>
        <v>2015-03</v>
      </c>
      <c r="O1301">
        <v>9521.6704000000009</v>
      </c>
      <c r="P1301">
        <f t="shared" si="269"/>
        <v>-1.2334352662287343E-3</v>
      </c>
      <c r="Q1301" t="str">
        <f t="shared" si="263"/>
        <v>2015-03</v>
      </c>
      <c r="S1301">
        <v>11028.1</v>
      </c>
      <c r="T1301">
        <f t="shared" si="270"/>
        <v>-7.8219955508156257E-3</v>
      </c>
      <c r="U1301" t="str">
        <f t="shared" si="264"/>
        <v>2015-03</v>
      </c>
      <c r="W1301">
        <v>22723.06</v>
      </c>
      <c r="X1301">
        <f t="shared" si="271"/>
        <v>-9.1059502931265576E-3</v>
      </c>
      <c r="Y1301">
        <f t="shared" si="272"/>
        <v>-9.0646166834997006E-3</v>
      </c>
      <c r="Z1301" t="str">
        <f t="shared" si="265"/>
        <v>2015-03</v>
      </c>
    </row>
    <row r="1302" spans="1:26" x14ac:dyDescent="0.35">
      <c r="A1302" s="1">
        <v>42081</v>
      </c>
      <c r="C1302">
        <v>3668.52</v>
      </c>
      <c r="D1302">
        <f t="shared" si="266"/>
        <v>-9.9173381712301754E-4</v>
      </c>
      <c r="E1302" t="str">
        <f t="shared" si="260"/>
        <v>2015-03</v>
      </c>
      <c r="G1302">
        <v>5033.42</v>
      </c>
      <c r="H1302">
        <f t="shared" si="267"/>
        <v>8.9243572286829443E-4</v>
      </c>
      <c r="I1302" t="str">
        <f t="shared" si="261"/>
        <v>2015-03</v>
      </c>
      <c r="K1302">
        <v>11922.77</v>
      </c>
      <c r="L1302">
        <f t="shared" si="268"/>
        <v>-4.8595245654384526E-3</v>
      </c>
      <c r="M1302" t="str">
        <f t="shared" si="262"/>
        <v>2015-03</v>
      </c>
      <c r="O1302">
        <v>9608.4068000000007</v>
      </c>
      <c r="P1302">
        <f t="shared" si="269"/>
        <v>9.0681280018253679E-3</v>
      </c>
      <c r="Q1302" t="str">
        <f t="shared" si="263"/>
        <v>2015-03</v>
      </c>
      <c r="S1302">
        <v>11050</v>
      </c>
      <c r="T1302">
        <f t="shared" si="270"/>
        <v>1.9838670159754153E-3</v>
      </c>
      <c r="U1302" t="str">
        <f t="shared" si="264"/>
        <v>2015-03</v>
      </c>
      <c r="W1302">
        <v>22565.19</v>
      </c>
      <c r="X1302">
        <f t="shared" si="271"/>
        <v>-6.9718145194182374E-3</v>
      </c>
      <c r="Y1302">
        <f t="shared" si="272"/>
        <v>-6.9475678011677389E-3</v>
      </c>
      <c r="Z1302" t="str">
        <f t="shared" si="265"/>
        <v>2015-03</v>
      </c>
    </row>
    <row r="1303" spans="1:26" x14ac:dyDescent="0.35">
      <c r="A1303" s="1">
        <v>42082</v>
      </c>
      <c r="C1303">
        <v>3670.73</v>
      </c>
      <c r="D1303">
        <f t="shared" si="266"/>
        <v>6.0224139163978332E-4</v>
      </c>
      <c r="E1303" t="str">
        <f t="shared" si="260"/>
        <v>2015-03</v>
      </c>
      <c r="G1303">
        <v>5037.18</v>
      </c>
      <c r="H1303">
        <f t="shared" si="267"/>
        <v>7.4672813431483833E-4</v>
      </c>
      <c r="I1303" t="str">
        <f t="shared" si="261"/>
        <v>2015-03</v>
      </c>
      <c r="K1303">
        <v>11899.4</v>
      </c>
      <c r="L1303">
        <f t="shared" si="268"/>
        <v>-1.962038512619719E-3</v>
      </c>
      <c r="M1303" t="str">
        <f t="shared" si="262"/>
        <v>2015-03</v>
      </c>
      <c r="O1303">
        <v>9637.9196100000008</v>
      </c>
      <c r="P1303">
        <f t="shared" si="269"/>
        <v>3.0668536429664202E-3</v>
      </c>
      <c r="Q1303" t="str">
        <f t="shared" si="263"/>
        <v>2015-03</v>
      </c>
      <c r="S1303">
        <v>11091</v>
      </c>
      <c r="T1303">
        <f t="shared" si="270"/>
        <v>3.7035406588428054E-3</v>
      </c>
      <c r="U1303" t="str">
        <f t="shared" si="264"/>
        <v>2015-03</v>
      </c>
      <c r="W1303">
        <v>22805.17</v>
      </c>
      <c r="X1303">
        <f t="shared" si="271"/>
        <v>1.0578811278300149E-2</v>
      </c>
      <c r="Y1303">
        <f t="shared" si="272"/>
        <v>1.0634964739937912E-2</v>
      </c>
      <c r="Z1303" t="str">
        <f t="shared" si="265"/>
        <v>2015-03</v>
      </c>
    </row>
    <row r="1304" spans="1:26" x14ac:dyDescent="0.35">
      <c r="A1304" s="1">
        <v>42083</v>
      </c>
      <c r="C1304">
        <v>3726.07</v>
      </c>
      <c r="D1304">
        <f t="shared" si="266"/>
        <v>1.4963506537534629E-2</v>
      </c>
      <c r="E1304" t="str">
        <f t="shared" si="260"/>
        <v>2015-03</v>
      </c>
      <c r="G1304">
        <v>5087.49</v>
      </c>
      <c r="H1304">
        <f t="shared" si="267"/>
        <v>9.9381834829231352E-3</v>
      </c>
      <c r="I1304" t="str">
        <f t="shared" si="261"/>
        <v>2015-03</v>
      </c>
      <c r="K1304">
        <v>12039.37</v>
      </c>
      <c r="L1304">
        <f t="shared" si="268"/>
        <v>1.1694134251971753E-2</v>
      </c>
      <c r="M1304" t="str">
        <f t="shared" si="262"/>
        <v>2015-03</v>
      </c>
      <c r="O1304">
        <v>9693.0966800000006</v>
      </c>
      <c r="P1304">
        <f t="shared" si="269"/>
        <v>5.7086724276693588E-3</v>
      </c>
      <c r="Q1304" t="str">
        <f t="shared" si="263"/>
        <v>2015-03</v>
      </c>
      <c r="S1304">
        <v>11419.6</v>
      </c>
      <c r="T1304">
        <f t="shared" si="270"/>
        <v>2.9197208722123343E-2</v>
      </c>
      <c r="U1304" t="str">
        <f t="shared" si="264"/>
        <v>2015-03</v>
      </c>
      <c r="W1304">
        <v>23176.68</v>
      </c>
      <c r="X1304">
        <f t="shared" si="271"/>
        <v>1.6159336092422715E-2</v>
      </c>
      <c r="Y1304">
        <f t="shared" si="272"/>
        <v>1.6290604279643697E-2</v>
      </c>
      <c r="Z1304" t="str">
        <f t="shared" si="265"/>
        <v>2015-03</v>
      </c>
    </row>
    <row r="1305" spans="1:26" x14ac:dyDescent="0.35">
      <c r="A1305" s="1">
        <v>42086</v>
      </c>
      <c r="C1305">
        <v>3699.04</v>
      </c>
      <c r="D1305">
        <f t="shared" si="266"/>
        <v>-7.2807323804795453E-3</v>
      </c>
      <c r="E1305" t="str">
        <f t="shared" si="260"/>
        <v>2015-03</v>
      </c>
      <c r="G1305">
        <v>5054.5200000000004</v>
      </c>
      <c r="H1305">
        <f t="shared" si="267"/>
        <v>-6.5016926905532429E-3</v>
      </c>
      <c r="I1305" t="str">
        <f t="shared" si="261"/>
        <v>2015-03</v>
      </c>
      <c r="K1305">
        <v>11895.84</v>
      </c>
      <c r="L1305">
        <f t="shared" si="268"/>
        <v>-1.1993353761971212E-2</v>
      </c>
      <c r="M1305" t="str">
        <f t="shared" si="262"/>
        <v>2015-03</v>
      </c>
      <c r="O1305">
        <v>9618.5352600000006</v>
      </c>
      <c r="P1305">
        <f t="shared" si="269"/>
        <v>-7.7219564592766066E-3</v>
      </c>
      <c r="Q1305" t="str">
        <f t="shared" si="263"/>
        <v>2015-03</v>
      </c>
      <c r="S1305">
        <v>11452.8</v>
      </c>
      <c r="T1305">
        <f t="shared" si="270"/>
        <v>2.9030642448417674E-3</v>
      </c>
      <c r="U1305" t="str">
        <f t="shared" si="264"/>
        <v>2015-03</v>
      </c>
      <c r="W1305">
        <v>23057.119999999999</v>
      </c>
      <c r="X1305">
        <f t="shared" si="271"/>
        <v>-5.1719852797471738E-3</v>
      </c>
      <c r="Y1305">
        <f t="shared" si="272"/>
        <v>-5.1586335920417118E-3</v>
      </c>
      <c r="Z1305" t="str">
        <f t="shared" si="265"/>
        <v>2015-03</v>
      </c>
    </row>
    <row r="1306" spans="1:26" x14ac:dyDescent="0.35">
      <c r="A1306" s="1">
        <v>42087</v>
      </c>
      <c r="C1306">
        <v>3731.35</v>
      </c>
      <c r="D1306">
        <f t="shared" si="266"/>
        <v>8.6967719443700239E-3</v>
      </c>
      <c r="E1306" t="str">
        <f t="shared" si="260"/>
        <v>2015-03</v>
      </c>
      <c r="G1306">
        <v>5088.28</v>
      </c>
      <c r="H1306">
        <f t="shared" si="267"/>
        <v>6.6569634959245784E-3</v>
      </c>
      <c r="I1306" t="str">
        <f t="shared" si="261"/>
        <v>2015-03</v>
      </c>
      <c r="K1306">
        <v>12005.69</v>
      </c>
      <c r="L1306">
        <f t="shared" si="268"/>
        <v>9.1919449048992134E-3</v>
      </c>
      <c r="M1306" t="str">
        <f t="shared" si="262"/>
        <v>2015-03</v>
      </c>
      <c r="O1306">
        <v>9555.6358199999995</v>
      </c>
      <c r="P1306">
        <f t="shared" si="269"/>
        <v>-6.5608745601914206E-3</v>
      </c>
      <c r="Q1306" t="str">
        <f t="shared" si="263"/>
        <v>2015-03</v>
      </c>
      <c r="S1306">
        <v>11579.3</v>
      </c>
      <c r="T1306">
        <f t="shared" si="270"/>
        <v>1.0984779678075677E-2</v>
      </c>
      <c r="U1306" t="str">
        <f t="shared" si="264"/>
        <v>2015-03</v>
      </c>
      <c r="W1306">
        <v>23333.200000000001</v>
      </c>
      <c r="X1306">
        <f t="shared" si="271"/>
        <v>1.1902623625063101E-2</v>
      </c>
      <c r="Y1306">
        <f t="shared" si="272"/>
        <v>1.1973741733573046E-2</v>
      </c>
      <c r="Z1306" t="str">
        <f t="shared" si="265"/>
        <v>2015-03</v>
      </c>
    </row>
    <row r="1307" spans="1:26" x14ac:dyDescent="0.35">
      <c r="A1307" s="1">
        <v>42088</v>
      </c>
      <c r="C1307">
        <v>3684.04</v>
      </c>
      <c r="D1307">
        <f t="shared" si="266"/>
        <v>-1.2760122372244226E-2</v>
      </c>
      <c r="E1307" t="str">
        <f t="shared" si="260"/>
        <v>2015-03</v>
      </c>
      <c r="G1307">
        <v>5020.99</v>
      </c>
      <c r="H1307">
        <f t="shared" si="267"/>
        <v>-1.3312730554734711E-2</v>
      </c>
      <c r="I1307" t="str">
        <f t="shared" si="261"/>
        <v>2015-03</v>
      </c>
      <c r="K1307">
        <v>11865.32</v>
      </c>
      <c r="L1307">
        <f t="shared" si="268"/>
        <v>-1.1760844469068527E-2</v>
      </c>
      <c r="M1307" t="str">
        <f t="shared" si="262"/>
        <v>2015-03</v>
      </c>
      <c r="O1307">
        <v>9484.8769799999991</v>
      </c>
      <c r="P1307">
        <f t="shared" si="269"/>
        <v>-7.4324852991421502E-3</v>
      </c>
      <c r="Q1307" t="str">
        <f t="shared" si="263"/>
        <v>2015-03</v>
      </c>
      <c r="S1307">
        <v>11464.7</v>
      </c>
      <c r="T1307">
        <f t="shared" si="270"/>
        <v>-9.9462718941104936E-3</v>
      </c>
      <c r="U1307" t="str">
        <f t="shared" si="264"/>
        <v>2015-03</v>
      </c>
      <c r="W1307">
        <v>23145.1</v>
      </c>
      <c r="X1307">
        <f t="shared" si="271"/>
        <v>-8.0941440177084625E-3</v>
      </c>
      <c r="Y1307">
        <f t="shared" si="272"/>
        <v>-8.0614746369980193E-3</v>
      </c>
      <c r="Z1307" t="str">
        <f t="shared" si="265"/>
        <v>2015-03</v>
      </c>
    </row>
    <row r="1308" spans="1:26" x14ac:dyDescent="0.35">
      <c r="A1308" s="1">
        <v>42089</v>
      </c>
      <c r="C1308">
        <v>3669.79</v>
      </c>
      <c r="D1308">
        <f t="shared" si="266"/>
        <v>-3.8755363765512365E-3</v>
      </c>
      <c r="E1308" t="str">
        <f t="shared" si="260"/>
        <v>2015-03</v>
      </c>
      <c r="G1308">
        <v>5006.3500000000004</v>
      </c>
      <c r="H1308">
        <f t="shared" si="267"/>
        <v>-2.9200187492075787E-3</v>
      </c>
      <c r="I1308" t="str">
        <f t="shared" si="261"/>
        <v>2015-03</v>
      </c>
      <c r="K1308">
        <v>11843.68</v>
      </c>
      <c r="L1308">
        <f t="shared" si="268"/>
        <v>-1.8254676291116763E-3</v>
      </c>
      <c r="M1308" t="str">
        <f t="shared" si="262"/>
        <v>2015-03</v>
      </c>
      <c r="O1308">
        <v>9403.5879800000002</v>
      </c>
      <c r="P1308">
        <f t="shared" si="269"/>
        <v>-8.6073169032650169E-3</v>
      </c>
      <c r="Q1308" t="str">
        <f t="shared" si="263"/>
        <v>2015-03</v>
      </c>
      <c r="S1308">
        <v>11453.8</v>
      </c>
      <c r="T1308">
        <f t="shared" si="270"/>
        <v>-9.5119670326055717E-4</v>
      </c>
      <c r="U1308" t="str">
        <f t="shared" si="264"/>
        <v>2015-03</v>
      </c>
      <c r="W1308">
        <v>22900.27</v>
      </c>
      <c r="X1308">
        <f t="shared" si="271"/>
        <v>-1.0634394177799048E-2</v>
      </c>
      <c r="Y1308">
        <f t="shared" si="272"/>
        <v>-1.0578048917481373E-2</v>
      </c>
      <c r="Z1308" t="str">
        <f t="shared" si="265"/>
        <v>2015-03</v>
      </c>
    </row>
    <row r="1309" spans="1:26" x14ac:dyDescent="0.35">
      <c r="A1309" s="1">
        <v>42090</v>
      </c>
      <c r="C1309">
        <v>3679.03</v>
      </c>
      <c r="D1309">
        <f t="shared" si="266"/>
        <v>2.5146907583054666E-3</v>
      </c>
      <c r="E1309" t="str">
        <f t="shared" si="260"/>
        <v>2015-03</v>
      </c>
      <c r="G1309">
        <v>5034.0600000000004</v>
      </c>
      <c r="H1309">
        <f t="shared" si="267"/>
        <v>5.5197089269811974E-3</v>
      </c>
      <c r="I1309" t="str">
        <f t="shared" si="261"/>
        <v>2015-03</v>
      </c>
      <c r="K1309">
        <v>11868.33</v>
      </c>
      <c r="L1309">
        <f t="shared" si="268"/>
        <v>2.0791159315125133E-3</v>
      </c>
      <c r="M1309" t="str">
        <f t="shared" si="262"/>
        <v>2015-03</v>
      </c>
      <c r="O1309">
        <v>9356.3288900000007</v>
      </c>
      <c r="P1309">
        <f t="shared" si="269"/>
        <v>-5.0383154998638749E-3</v>
      </c>
      <c r="Q1309" t="str">
        <f t="shared" si="263"/>
        <v>2015-03</v>
      </c>
      <c r="S1309">
        <v>11427.4</v>
      </c>
      <c r="T1309">
        <f t="shared" si="270"/>
        <v>-2.3075723051899934E-3</v>
      </c>
      <c r="U1309" t="str">
        <f t="shared" si="264"/>
        <v>2015-03</v>
      </c>
      <c r="W1309">
        <v>22984.23</v>
      </c>
      <c r="X1309">
        <f t="shared" si="271"/>
        <v>3.659627704582607E-3</v>
      </c>
      <c r="Y1309">
        <f t="shared" si="272"/>
        <v>3.6663323183525401E-3</v>
      </c>
      <c r="Z1309" t="str">
        <f t="shared" si="265"/>
        <v>2015-03</v>
      </c>
    </row>
    <row r="1310" spans="1:26" x14ac:dyDescent="0.35">
      <c r="A1310" s="1">
        <v>42093</v>
      </c>
      <c r="C1310">
        <v>3727.8</v>
      </c>
      <c r="D1310">
        <f t="shared" si="266"/>
        <v>1.3169116836395779E-2</v>
      </c>
      <c r="E1310" t="str">
        <f t="shared" si="260"/>
        <v>2015-03</v>
      </c>
      <c r="G1310">
        <v>5083.5200000000004</v>
      </c>
      <c r="H1310">
        <f t="shared" si="267"/>
        <v>9.7771194293492947E-3</v>
      </c>
      <c r="I1310" t="str">
        <f t="shared" si="261"/>
        <v>2015-03</v>
      </c>
      <c r="K1310">
        <v>12086.01</v>
      </c>
      <c r="L1310">
        <f t="shared" si="268"/>
        <v>1.8175077436122823E-2</v>
      </c>
      <c r="M1310" t="str">
        <f t="shared" si="262"/>
        <v>2015-03</v>
      </c>
      <c r="O1310">
        <v>9435.2720900000004</v>
      </c>
      <c r="P1310">
        <f t="shared" si="269"/>
        <v>8.4020158252941009E-3</v>
      </c>
      <c r="Q1310" t="str">
        <f t="shared" si="263"/>
        <v>2015-03</v>
      </c>
      <c r="S1310">
        <v>11529.1</v>
      </c>
      <c r="T1310">
        <f t="shared" si="270"/>
        <v>8.8602936272809511E-3</v>
      </c>
      <c r="U1310" t="str">
        <f t="shared" si="264"/>
        <v>2015-03</v>
      </c>
      <c r="W1310">
        <v>23260.57</v>
      </c>
      <c r="X1310">
        <f t="shared" si="271"/>
        <v>1.1951323790971753E-2</v>
      </c>
      <c r="Y1310">
        <f t="shared" si="272"/>
        <v>1.2023026222762309E-2</v>
      </c>
      <c r="Z1310" t="str">
        <f t="shared" si="265"/>
        <v>2015-03</v>
      </c>
    </row>
    <row r="1311" spans="1:26" x14ac:dyDescent="0.35">
      <c r="A1311" s="1">
        <v>42094</v>
      </c>
      <c r="C1311">
        <v>3697.38</v>
      </c>
      <c r="D1311">
        <f t="shared" si="266"/>
        <v>-8.1937866004572878E-3</v>
      </c>
      <c r="E1311" t="str">
        <f t="shared" si="260"/>
        <v>2015-03</v>
      </c>
      <c r="G1311">
        <v>5033.6400000000003</v>
      </c>
      <c r="H1311">
        <f t="shared" si="267"/>
        <v>-9.860554573472206E-3</v>
      </c>
      <c r="I1311" t="str">
        <f t="shared" si="261"/>
        <v>2015-03</v>
      </c>
      <c r="K1311">
        <v>11966.17</v>
      </c>
      <c r="L1311">
        <f t="shared" si="268"/>
        <v>-9.9650835561037356E-3</v>
      </c>
      <c r="M1311" t="str">
        <f t="shared" si="262"/>
        <v>2015-03</v>
      </c>
      <c r="O1311">
        <v>9371.0134899999994</v>
      </c>
      <c r="P1311">
        <f t="shared" si="269"/>
        <v>-6.8337630842847464E-3</v>
      </c>
      <c r="Q1311" t="str">
        <f t="shared" si="263"/>
        <v>2015-03</v>
      </c>
      <c r="S1311">
        <v>11521.1</v>
      </c>
      <c r="T1311">
        <f t="shared" si="270"/>
        <v>-6.9413717201738574E-4</v>
      </c>
      <c r="U1311" t="str">
        <f t="shared" si="264"/>
        <v>2015-03</v>
      </c>
      <c r="W1311">
        <v>23157.119999999999</v>
      </c>
      <c r="X1311">
        <f t="shared" si="271"/>
        <v>-4.4573597384593346E-3</v>
      </c>
      <c r="Y1311">
        <f t="shared" si="272"/>
        <v>-4.4474404539527933E-3</v>
      </c>
      <c r="Z1311" t="str">
        <f t="shared" si="265"/>
        <v>2015-03</v>
      </c>
    </row>
    <row r="1312" spans="1:26" x14ac:dyDescent="0.35">
      <c r="A1312" s="1">
        <v>42095</v>
      </c>
      <c r="C1312">
        <v>3714.89</v>
      </c>
      <c r="D1312">
        <f t="shared" si="266"/>
        <v>4.7246073257938342E-3</v>
      </c>
      <c r="E1312" t="str">
        <f t="shared" si="260"/>
        <v>2015-04</v>
      </c>
      <c r="G1312">
        <v>5062.22</v>
      </c>
      <c r="H1312">
        <f t="shared" si="267"/>
        <v>5.6617418119995289E-3</v>
      </c>
      <c r="I1312" t="str">
        <f t="shared" si="261"/>
        <v>2015-04</v>
      </c>
      <c r="K1312">
        <v>12001.38</v>
      </c>
      <c r="L1312">
        <f t="shared" si="268"/>
        <v>2.9381413894788359E-3</v>
      </c>
      <c r="M1312" t="str">
        <f t="shared" si="262"/>
        <v>2015-04</v>
      </c>
      <c r="O1312">
        <v>9367.1684100000002</v>
      </c>
      <c r="P1312">
        <f t="shared" si="269"/>
        <v>-4.10400547340962E-4</v>
      </c>
      <c r="Q1312" t="str">
        <f t="shared" si="263"/>
        <v>2015-04</v>
      </c>
      <c r="S1312">
        <v>11569.8</v>
      </c>
      <c r="T1312">
        <f t="shared" si="270"/>
        <v>4.2181181511295011E-3</v>
      </c>
      <c r="U1312" t="str">
        <f t="shared" si="264"/>
        <v>2015-04</v>
      </c>
      <c r="W1312">
        <v>23358.99</v>
      </c>
      <c r="X1312">
        <f t="shared" si="271"/>
        <v>8.6796280831446197E-3</v>
      </c>
      <c r="Y1312">
        <f t="shared" si="272"/>
        <v>8.7174052731947074E-3</v>
      </c>
      <c r="Z1312" t="str">
        <f t="shared" si="265"/>
        <v>2015-04</v>
      </c>
    </row>
    <row r="1313" spans="1:26" x14ac:dyDescent="0.35">
      <c r="A1313" s="1">
        <v>42096</v>
      </c>
      <c r="C1313">
        <v>3715.27</v>
      </c>
      <c r="D1313">
        <f t="shared" si="266"/>
        <v>1.0228581896801915E-4</v>
      </c>
      <c r="E1313" t="str">
        <f t="shared" si="260"/>
        <v>2015-04</v>
      </c>
      <c r="G1313">
        <v>5074.1400000000003</v>
      </c>
      <c r="H1313">
        <f t="shared" si="267"/>
        <v>2.3519301790183938E-3</v>
      </c>
      <c r="I1313" t="str">
        <f t="shared" si="261"/>
        <v>2015-04</v>
      </c>
      <c r="K1313">
        <v>11967.39</v>
      </c>
      <c r="L1313">
        <f t="shared" si="268"/>
        <v>-2.8361924941991447E-3</v>
      </c>
      <c r="M1313" t="str">
        <f t="shared" si="262"/>
        <v>2015-04</v>
      </c>
      <c r="O1313">
        <v>9323.1507600000004</v>
      </c>
      <c r="P1313">
        <f t="shared" si="269"/>
        <v>-4.7102171965535218E-3</v>
      </c>
      <c r="Q1313" t="str">
        <f t="shared" si="263"/>
        <v>2015-04</v>
      </c>
      <c r="S1313">
        <v>11634</v>
      </c>
      <c r="T1313">
        <f t="shared" si="270"/>
        <v>5.5335905170925664E-3</v>
      </c>
      <c r="U1313" t="str">
        <f t="shared" si="264"/>
        <v>2015-04</v>
      </c>
      <c r="W1313">
        <v>23308.53</v>
      </c>
      <c r="X1313">
        <f t="shared" si="271"/>
        <v>-2.1625327278965924E-3</v>
      </c>
      <c r="Y1313">
        <f t="shared" si="272"/>
        <v>-2.1601961386174128E-3</v>
      </c>
      <c r="Z1313" t="str">
        <f t="shared" si="265"/>
        <v>2015-04</v>
      </c>
    </row>
    <row r="1314" spans="1:26" x14ac:dyDescent="0.35">
      <c r="A1314" s="1">
        <v>42101</v>
      </c>
      <c r="C1314">
        <v>3768.72</v>
      </c>
      <c r="D1314">
        <f t="shared" si="266"/>
        <v>1.4284067402800313E-2</v>
      </c>
      <c r="E1314" t="str">
        <f t="shared" si="260"/>
        <v>2015-04</v>
      </c>
      <c r="G1314">
        <v>5151.1899999999996</v>
      </c>
      <c r="H1314">
        <f t="shared" si="267"/>
        <v>1.5070703504598708E-2</v>
      </c>
      <c r="I1314" t="str">
        <f t="shared" si="261"/>
        <v>2015-04</v>
      </c>
      <c r="K1314">
        <v>12123.52</v>
      </c>
      <c r="L1314">
        <f t="shared" si="268"/>
        <v>1.2961916835914139E-2</v>
      </c>
      <c r="M1314" t="str">
        <f t="shared" si="262"/>
        <v>2015-04</v>
      </c>
      <c r="O1314">
        <v>9529.3677800000005</v>
      </c>
      <c r="P1314">
        <f t="shared" si="269"/>
        <v>2.1877739542207342E-2</v>
      </c>
      <c r="Q1314" t="str">
        <f t="shared" si="263"/>
        <v>2015-04</v>
      </c>
      <c r="S1314">
        <v>11730.5</v>
      </c>
      <c r="T1314">
        <f t="shared" si="270"/>
        <v>8.2604420143135085E-3</v>
      </c>
      <c r="U1314" t="str">
        <f t="shared" si="264"/>
        <v>2015-04</v>
      </c>
      <c r="W1314">
        <v>23706.34</v>
      </c>
      <c r="X1314">
        <f t="shared" si="271"/>
        <v>1.6923134918997752E-2</v>
      </c>
      <c r="Y1314">
        <f t="shared" si="272"/>
        <v>1.7067142372341856E-2</v>
      </c>
      <c r="Z1314" t="str">
        <f t="shared" si="265"/>
        <v>2015-04</v>
      </c>
    </row>
    <row r="1315" spans="1:26" x14ac:dyDescent="0.35">
      <c r="A1315" s="1">
        <v>42102</v>
      </c>
      <c r="C1315">
        <v>3742.63</v>
      </c>
      <c r="D1315">
        <f t="shared" si="266"/>
        <v>-6.9468484153656414E-3</v>
      </c>
      <c r="E1315" t="str">
        <f t="shared" si="260"/>
        <v>2015-04</v>
      </c>
      <c r="G1315">
        <v>5136.8599999999997</v>
      </c>
      <c r="H1315">
        <f t="shared" si="267"/>
        <v>-2.7857580916242184E-3</v>
      </c>
      <c r="I1315" t="str">
        <f t="shared" si="261"/>
        <v>2015-04</v>
      </c>
      <c r="K1315">
        <v>12035.86</v>
      </c>
      <c r="L1315">
        <f t="shared" si="268"/>
        <v>-7.2568405889256353E-3</v>
      </c>
      <c r="M1315" t="str">
        <f t="shared" si="262"/>
        <v>2015-04</v>
      </c>
      <c r="O1315">
        <v>9565.1488100000006</v>
      </c>
      <c r="P1315">
        <f t="shared" si="269"/>
        <v>3.7477850473686004E-3</v>
      </c>
      <c r="Q1315" t="str">
        <f t="shared" si="263"/>
        <v>2015-04</v>
      </c>
      <c r="S1315">
        <v>11655.5</v>
      </c>
      <c r="T1315">
        <f t="shared" si="270"/>
        <v>-6.4141158924433421E-3</v>
      </c>
      <c r="U1315" t="str">
        <f t="shared" si="264"/>
        <v>2015-04</v>
      </c>
      <c r="W1315">
        <v>23578.7</v>
      </c>
      <c r="X1315">
        <f t="shared" si="271"/>
        <v>-5.3987607929573663E-3</v>
      </c>
      <c r="Y1315">
        <f t="shared" si="272"/>
        <v>-5.3842136744853665E-3</v>
      </c>
      <c r="Z1315" t="str">
        <f t="shared" si="265"/>
        <v>2015-04</v>
      </c>
    </row>
    <row r="1316" spans="1:26" x14ac:dyDescent="0.35">
      <c r="A1316" s="1">
        <v>42103</v>
      </c>
      <c r="C1316">
        <v>3781.79</v>
      </c>
      <c r="D1316">
        <f t="shared" si="266"/>
        <v>1.0408869670699194E-2</v>
      </c>
      <c r="E1316" t="str">
        <f t="shared" si="260"/>
        <v>2015-04</v>
      </c>
      <c r="G1316">
        <v>5208.95</v>
      </c>
      <c r="H1316">
        <f t="shared" si="267"/>
        <v>1.393630209253275E-2</v>
      </c>
      <c r="I1316" t="str">
        <f t="shared" si="261"/>
        <v>2015-04</v>
      </c>
      <c r="K1316">
        <v>12166.44</v>
      </c>
      <c r="L1316">
        <f t="shared" si="268"/>
        <v>1.0790814681010142E-2</v>
      </c>
      <c r="M1316" t="str">
        <f t="shared" si="262"/>
        <v>2015-04</v>
      </c>
      <c r="O1316">
        <v>9689.1933100000006</v>
      </c>
      <c r="P1316">
        <f t="shared" si="269"/>
        <v>1.2885012161348764E-2</v>
      </c>
      <c r="Q1316" t="str">
        <f t="shared" si="263"/>
        <v>2015-04</v>
      </c>
      <c r="S1316">
        <v>11734.6</v>
      </c>
      <c r="T1316">
        <f t="shared" si="270"/>
        <v>6.7635710442838018E-3</v>
      </c>
      <c r="U1316" t="str">
        <f t="shared" si="264"/>
        <v>2015-04</v>
      </c>
      <c r="W1316">
        <v>23803.9</v>
      </c>
      <c r="X1316">
        <f t="shared" si="271"/>
        <v>9.5056706770709435E-3</v>
      </c>
      <c r="Y1316">
        <f t="shared" si="272"/>
        <v>9.5509930572932663E-3</v>
      </c>
      <c r="Z1316" t="str">
        <f t="shared" si="265"/>
        <v>2015-04</v>
      </c>
    </row>
    <row r="1317" spans="1:26" x14ac:dyDescent="0.35">
      <c r="A1317" s="1">
        <v>42104</v>
      </c>
      <c r="C1317">
        <v>3816.76</v>
      </c>
      <c r="D1317">
        <f t="shared" si="266"/>
        <v>9.2044526636083368E-3</v>
      </c>
      <c r="E1317" t="str">
        <f t="shared" si="260"/>
        <v>2015-04</v>
      </c>
      <c r="G1317">
        <v>5240.46</v>
      </c>
      <c r="H1317">
        <f t="shared" si="267"/>
        <v>6.0309807938759459E-3</v>
      </c>
      <c r="I1317" t="str">
        <f t="shared" si="261"/>
        <v>2015-04</v>
      </c>
      <c r="K1317">
        <v>12374.73</v>
      </c>
      <c r="L1317">
        <f t="shared" si="268"/>
        <v>1.6975148425109138E-2</v>
      </c>
      <c r="M1317" t="str">
        <f t="shared" si="262"/>
        <v>2015-04</v>
      </c>
      <c r="O1317">
        <v>9808.6753800000006</v>
      </c>
      <c r="P1317">
        <f t="shared" si="269"/>
        <v>1.225606424207854E-2</v>
      </c>
      <c r="Q1317" t="str">
        <f t="shared" si="263"/>
        <v>2015-04</v>
      </c>
      <c r="S1317">
        <v>11749.3</v>
      </c>
      <c r="T1317">
        <f t="shared" si="270"/>
        <v>1.2519216927299808E-3</v>
      </c>
      <c r="U1317" t="str">
        <f t="shared" si="264"/>
        <v>2015-04</v>
      </c>
      <c r="W1317">
        <v>23877.25</v>
      </c>
      <c r="X1317">
        <f t="shared" si="271"/>
        <v>3.0766899649459422E-3</v>
      </c>
      <c r="Y1317">
        <f t="shared" si="272"/>
        <v>3.0814278332541535E-3</v>
      </c>
      <c r="Z1317" t="str">
        <f t="shared" si="265"/>
        <v>2015-04</v>
      </c>
    </row>
    <row r="1318" spans="1:26" x14ac:dyDescent="0.35">
      <c r="A1318" s="1">
        <v>42107</v>
      </c>
      <c r="C1318">
        <v>3828.78</v>
      </c>
      <c r="D1318">
        <f t="shared" si="266"/>
        <v>3.1443194079741141E-3</v>
      </c>
      <c r="E1318" t="str">
        <f t="shared" si="260"/>
        <v>2015-04</v>
      </c>
      <c r="G1318">
        <v>5254.12</v>
      </c>
      <c r="H1318">
        <f t="shared" si="267"/>
        <v>2.6032500041701725E-3</v>
      </c>
      <c r="I1318" t="str">
        <f t="shared" si="261"/>
        <v>2015-04</v>
      </c>
      <c r="K1318">
        <v>12338.73</v>
      </c>
      <c r="L1318">
        <f t="shared" si="268"/>
        <v>-2.9133941960044207E-3</v>
      </c>
      <c r="M1318" t="str">
        <f t="shared" si="262"/>
        <v>2015-04</v>
      </c>
      <c r="O1318">
        <v>9792.0196899999992</v>
      </c>
      <c r="P1318">
        <f t="shared" si="269"/>
        <v>-1.6995003441874748E-3</v>
      </c>
      <c r="Q1318" t="str">
        <f t="shared" si="263"/>
        <v>2015-04</v>
      </c>
      <c r="S1318">
        <v>11866.4</v>
      </c>
      <c r="T1318">
        <f t="shared" si="270"/>
        <v>9.9172126798117398E-3</v>
      </c>
      <c r="U1318" t="str">
        <f t="shared" si="264"/>
        <v>2015-04</v>
      </c>
      <c r="W1318">
        <v>24008.91</v>
      </c>
      <c r="X1318">
        <f t="shared" si="271"/>
        <v>5.4988886876141509E-3</v>
      </c>
      <c r="Y1318">
        <f t="shared" si="272"/>
        <v>5.5140353265137254E-3</v>
      </c>
      <c r="Z1318" t="str">
        <f t="shared" si="265"/>
        <v>2015-04</v>
      </c>
    </row>
    <row r="1319" spans="1:26" x14ac:dyDescent="0.35">
      <c r="A1319" s="1">
        <v>42108</v>
      </c>
      <c r="C1319">
        <v>3784.53</v>
      </c>
      <c r="D1319">
        <f t="shared" si="266"/>
        <v>-1.1624509782973453E-2</v>
      </c>
      <c r="E1319" t="str">
        <f t="shared" si="260"/>
        <v>2015-04</v>
      </c>
      <c r="G1319">
        <v>5218.0600000000004</v>
      </c>
      <c r="H1319">
        <f t="shared" si="267"/>
        <v>-6.8868454367572926E-3</v>
      </c>
      <c r="I1319" t="str">
        <f t="shared" si="261"/>
        <v>2015-04</v>
      </c>
      <c r="K1319">
        <v>12227.6</v>
      </c>
      <c r="L1319">
        <f t="shared" si="268"/>
        <v>-9.0474041543291833E-3</v>
      </c>
      <c r="M1319" t="str">
        <f t="shared" si="262"/>
        <v>2015-04</v>
      </c>
      <c r="O1319">
        <v>9812.0361499999999</v>
      </c>
      <c r="P1319">
        <f t="shared" si="269"/>
        <v>2.0420740605103173E-3</v>
      </c>
      <c r="Q1319" t="str">
        <f t="shared" si="263"/>
        <v>2015-04</v>
      </c>
      <c r="S1319">
        <v>11704.7</v>
      </c>
      <c r="T1319">
        <f t="shared" si="270"/>
        <v>-1.3720406485465901E-2</v>
      </c>
      <c r="U1319" t="str">
        <f t="shared" si="264"/>
        <v>2015-04</v>
      </c>
      <c r="W1319">
        <v>23752.91</v>
      </c>
      <c r="X1319">
        <f t="shared" si="271"/>
        <v>-1.0719962161011957E-2</v>
      </c>
      <c r="Y1319">
        <f t="shared" si="272"/>
        <v>-1.0662708136271076E-2</v>
      </c>
      <c r="Z1319" t="str">
        <f t="shared" si="265"/>
        <v>2015-04</v>
      </c>
    </row>
    <row r="1320" spans="1:26" x14ac:dyDescent="0.35">
      <c r="A1320" s="1">
        <v>42109</v>
      </c>
      <c r="C1320">
        <v>3803.55</v>
      </c>
      <c r="D1320">
        <f t="shared" si="266"/>
        <v>5.0131363489756423E-3</v>
      </c>
      <c r="E1320" t="str">
        <f t="shared" si="260"/>
        <v>2015-04</v>
      </c>
      <c r="G1320">
        <v>5254.35</v>
      </c>
      <c r="H1320">
        <f t="shared" si="267"/>
        <v>6.9306196493757032E-3</v>
      </c>
      <c r="I1320" t="str">
        <f t="shared" si="261"/>
        <v>2015-04</v>
      </c>
      <c r="K1320">
        <v>12231.34</v>
      </c>
      <c r="L1320">
        <f t="shared" si="268"/>
        <v>3.0581865192437534E-4</v>
      </c>
      <c r="M1320" t="str">
        <f t="shared" si="262"/>
        <v>2015-04</v>
      </c>
      <c r="O1320">
        <v>9888.9776500000007</v>
      </c>
      <c r="P1320">
        <f t="shared" si="269"/>
        <v>7.810957544712116E-3</v>
      </c>
      <c r="Q1320" t="str">
        <f t="shared" si="263"/>
        <v>2015-04</v>
      </c>
      <c r="S1320">
        <v>11778.4</v>
      </c>
      <c r="T1320">
        <f t="shared" si="270"/>
        <v>6.2768750272621174E-3</v>
      </c>
      <c r="U1320" t="str">
        <f t="shared" si="264"/>
        <v>2015-04</v>
      </c>
      <c r="W1320">
        <v>24030.54</v>
      </c>
      <c r="X1320">
        <f t="shared" si="271"/>
        <v>1.1620472115296696E-2</v>
      </c>
      <c r="Y1320">
        <f t="shared" si="272"/>
        <v>1.16882520920595E-2</v>
      </c>
      <c r="Z1320" t="str">
        <f t="shared" si="265"/>
        <v>2015-04</v>
      </c>
    </row>
    <row r="1321" spans="1:26" x14ac:dyDescent="0.35">
      <c r="A1321" s="1">
        <v>42110</v>
      </c>
      <c r="C1321">
        <v>3751.72</v>
      </c>
      <c r="D1321">
        <f t="shared" si="266"/>
        <v>-1.372043966200559E-2</v>
      </c>
      <c r="E1321" t="str">
        <f t="shared" si="260"/>
        <v>2015-04</v>
      </c>
      <c r="G1321">
        <v>5224.49</v>
      </c>
      <c r="H1321">
        <f t="shared" si="267"/>
        <v>-5.699119524858169E-3</v>
      </c>
      <c r="I1321" t="str">
        <f t="shared" si="261"/>
        <v>2015-04</v>
      </c>
      <c r="K1321">
        <v>11998.86</v>
      </c>
      <c r="L1321">
        <f t="shared" si="268"/>
        <v>-1.9189865061291955E-2</v>
      </c>
      <c r="M1321" t="str">
        <f t="shared" si="262"/>
        <v>2015-04</v>
      </c>
      <c r="O1321">
        <v>9818.1709599999995</v>
      </c>
      <c r="P1321">
        <f t="shared" si="269"/>
        <v>-7.1859197990228902E-3</v>
      </c>
      <c r="Q1321" t="str">
        <f t="shared" si="263"/>
        <v>2015-04</v>
      </c>
      <c r="S1321">
        <v>11611.7</v>
      </c>
      <c r="T1321">
        <f t="shared" si="270"/>
        <v>-1.4254135083165255E-2</v>
      </c>
      <c r="U1321" t="str">
        <f t="shared" si="264"/>
        <v>2015-04</v>
      </c>
      <c r="W1321">
        <v>23610.81</v>
      </c>
      <c r="X1321">
        <f t="shared" si="271"/>
        <v>-1.7620863400244047E-2</v>
      </c>
      <c r="Y1321">
        <f t="shared" si="272"/>
        <v>-1.7466523848402887E-2</v>
      </c>
      <c r="Z1321" t="str">
        <f t="shared" si="265"/>
        <v>2015-04</v>
      </c>
    </row>
    <row r="1322" spans="1:26" x14ac:dyDescent="0.35">
      <c r="A1322" s="1">
        <v>42111</v>
      </c>
      <c r="C1322">
        <v>3674.05</v>
      </c>
      <c r="D1322">
        <f t="shared" si="266"/>
        <v>-2.0919805647907463E-2</v>
      </c>
      <c r="E1322" t="str">
        <f t="shared" si="260"/>
        <v>2015-04</v>
      </c>
      <c r="G1322">
        <v>5143.26</v>
      </c>
      <c r="H1322">
        <f t="shared" si="267"/>
        <v>-1.5670065765200289E-2</v>
      </c>
      <c r="I1322" t="str">
        <f t="shared" si="261"/>
        <v>2015-04</v>
      </c>
      <c r="K1322">
        <v>11688.7</v>
      </c>
      <c r="L1322">
        <f t="shared" si="268"/>
        <v>-2.6189082134211134E-2</v>
      </c>
      <c r="M1322" t="str">
        <f t="shared" si="262"/>
        <v>2015-04</v>
      </c>
      <c r="O1322">
        <v>9694.1068300000006</v>
      </c>
      <c r="P1322">
        <f t="shared" si="269"/>
        <v>-1.2716690818157564E-2</v>
      </c>
      <c r="Q1322" t="str">
        <f t="shared" si="263"/>
        <v>2015-04</v>
      </c>
      <c r="S1322">
        <v>11359.4</v>
      </c>
      <c r="T1322">
        <f t="shared" si="270"/>
        <v>-2.1967615489161305E-2</v>
      </c>
      <c r="U1322" t="str">
        <f t="shared" si="264"/>
        <v>2015-04</v>
      </c>
      <c r="W1322">
        <v>23044.080000000002</v>
      </c>
      <c r="X1322">
        <f t="shared" si="271"/>
        <v>-2.4295754522135067E-2</v>
      </c>
      <c r="Y1322">
        <f t="shared" si="272"/>
        <v>-2.4002988461641069E-2</v>
      </c>
      <c r="Z1322" t="str">
        <f t="shared" si="265"/>
        <v>2015-04</v>
      </c>
    </row>
    <row r="1323" spans="1:26" x14ac:dyDescent="0.35">
      <c r="A1323" s="1">
        <v>42114</v>
      </c>
      <c r="C1323">
        <v>3718.04</v>
      </c>
      <c r="D1323">
        <f t="shared" si="266"/>
        <v>1.1902051868001104E-2</v>
      </c>
      <c r="E1323" t="str">
        <f t="shared" si="260"/>
        <v>2015-04</v>
      </c>
      <c r="G1323">
        <v>5187.59</v>
      </c>
      <c r="H1323">
        <f t="shared" si="267"/>
        <v>8.5821151376733913E-3</v>
      </c>
      <c r="I1323" t="str">
        <f t="shared" si="261"/>
        <v>2015-04</v>
      </c>
      <c r="K1323">
        <v>11891.91</v>
      </c>
      <c r="L1323">
        <f t="shared" si="268"/>
        <v>1.723577385319229E-2</v>
      </c>
      <c r="M1323" t="str">
        <f t="shared" si="262"/>
        <v>2015-04</v>
      </c>
      <c r="O1323">
        <v>9780.0820500000009</v>
      </c>
      <c r="P1323">
        <f t="shared" si="269"/>
        <v>8.8297160009317838E-3</v>
      </c>
      <c r="Q1323" t="str">
        <f t="shared" si="263"/>
        <v>2015-04</v>
      </c>
      <c r="S1323">
        <v>11384.6</v>
      </c>
      <c r="T1323">
        <f t="shared" si="270"/>
        <v>2.2159699535787038E-3</v>
      </c>
      <c r="U1323" t="str">
        <f t="shared" si="264"/>
        <v>2015-04</v>
      </c>
      <c r="W1323">
        <v>23332.98</v>
      </c>
      <c r="X1323">
        <f t="shared" si="271"/>
        <v>1.2458906925830905E-2</v>
      </c>
      <c r="Y1323">
        <f t="shared" si="272"/>
        <v>1.2536842434152189E-2</v>
      </c>
      <c r="Z1323" t="str">
        <f t="shared" si="265"/>
        <v>2015-04</v>
      </c>
    </row>
    <row r="1324" spans="1:26" x14ac:dyDescent="0.35">
      <c r="A1324" s="1">
        <v>42115</v>
      </c>
      <c r="C1324">
        <v>3719.38</v>
      </c>
      <c r="D1324">
        <f t="shared" si="266"/>
        <v>3.6034001427900269E-4</v>
      </c>
      <c r="E1324" t="str">
        <f t="shared" si="260"/>
        <v>2015-04</v>
      </c>
      <c r="G1324">
        <v>5192.6400000000003</v>
      </c>
      <c r="H1324">
        <f t="shared" si="267"/>
        <v>9.7300356512693077E-4</v>
      </c>
      <c r="I1324" t="str">
        <f t="shared" si="261"/>
        <v>2015-04</v>
      </c>
      <c r="K1324">
        <v>11939.58</v>
      </c>
      <c r="L1324">
        <f t="shared" si="268"/>
        <v>4.0005944721774383E-3</v>
      </c>
      <c r="M1324" t="str">
        <f t="shared" si="262"/>
        <v>2015-04</v>
      </c>
      <c r="O1324">
        <v>9825.3145600000007</v>
      </c>
      <c r="P1324">
        <f t="shared" si="269"/>
        <v>4.6142999457159132E-3</v>
      </c>
      <c r="Q1324" t="str">
        <f t="shared" si="263"/>
        <v>2015-04</v>
      </c>
      <c r="S1324">
        <v>11422.3</v>
      </c>
      <c r="T1324">
        <f t="shared" si="270"/>
        <v>3.306020049869345E-3</v>
      </c>
      <c r="U1324" t="str">
        <f t="shared" si="264"/>
        <v>2015-04</v>
      </c>
      <c r="W1324">
        <v>23240.26</v>
      </c>
      <c r="X1324">
        <f t="shared" si="271"/>
        <v>-3.9816908807495024E-3</v>
      </c>
      <c r="Y1324">
        <f t="shared" si="272"/>
        <v>-3.973774460013302E-3</v>
      </c>
      <c r="Z1324" t="str">
        <f t="shared" si="265"/>
        <v>2015-04</v>
      </c>
    </row>
    <row r="1325" spans="1:26" x14ac:dyDescent="0.35">
      <c r="A1325" s="1">
        <v>42116</v>
      </c>
      <c r="C1325">
        <v>3724.49</v>
      </c>
      <c r="D1325">
        <f t="shared" si="266"/>
        <v>1.3729419784822825E-3</v>
      </c>
      <c r="E1325" t="str">
        <f t="shared" si="260"/>
        <v>2015-04</v>
      </c>
      <c r="G1325">
        <v>5211.09</v>
      </c>
      <c r="H1325">
        <f t="shared" si="267"/>
        <v>3.5468085660655753E-3</v>
      </c>
      <c r="I1325" t="str">
        <f t="shared" si="261"/>
        <v>2015-04</v>
      </c>
      <c r="K1325">
        <v>11867.37</v>
      </c>
      <c r="L1325">
        <f t="shared" si="268"/>
        <v>-6.066314369953839E-3</v>
      </c>
      <c r="M1325" t="str">
        <f t="shared" si="262"/>
        <v>2015-04</v>
      </c>
      <c r="O1325">
        <v>9844.6460200000001</v>
      </c>
      <c r="P1325">
        <f t="shared" si="269"/>
        <v>1.9655826096167876E-3</v>
      </c>
      <c r="Q1325" t="str">
        <f t="shared" si="263"/>
        <v>2015-04</v>
      </c>
      <c r="S1325">
        <v>11399.2</v>
      </c>
      <c r="T1325">
        <f t="shared" si="270"/>
        <v>-2.0244075007411701E-3</v>
      </c>
      <c r="U1325" t="str">
        <f t="shared" si="264"/>
        <v>2015-04</v>
      </c>
      <c r="W1325">
        <v>23315.4</v>
      </c>
      <c r="X1325">
        <f t="shared" si="271"/>
        <v>3.2279669215353264E-3</v>
      </c>
      <c r="Y1325">
        <f t="shared" si="272"/>
        <v>3.2331824170643126E-3</v>
      </c>
      <c r="Z1325" t="str">
        <f t="shared" si="265"/>
        <v>2015-04</v>
      </c>
    </row>
    <row r="1326" spans="1:26" x14ac:dyDescent="0.35">
      <c r="A1326" s="1">
        <v>42117</v>
      </c>
      <c r="C1326">
        <v>3697.88</v>
      </c>
      <c r="D1326">
        <f t="shared" si="266"/>
        <v>-7.1702472409755575E-3</v>
      </c>
      <c r="E1326" t="str">
        <f t="shared" si="260"/>
        <v>2015-04</v>
      </c>
      <c r="G1326">
        <v>5178.91</v>
      </c>
      <c r="H1326">
        <f t="shared" si="267"/>
        <v>-6.194437516519059E-3</v>
      </c>
      <c r="I1326" t="str">
        <f t="shared" si="261"/>
        <v>2015-04</v>
      </c>
      <c r="K1326">
        <v>11723.58</v>
      </c>
      <c r="L1326">
        <f t="shared" si="268"/>
        <v>-1.2190418840336541E-2</v>
      </c>
      <c r="M1326" t="str">
        <f t="shared" si="262"/>
        <v>2015-04</v>
      </c>
      <c r="O1326">
        <v>9810.2317199999998</v>
      </c>
      <c r="P1326">
        <f t="shared" si="269"/>
        <v>-3.5018620440066357E-3</v>
      </c>
      <c r="Q1326" t="str">
        <f t="shared" si="263"/>
        <v>2015-04</v>
      </c>
      <c r="S1326">
        <v>11425.8</v>
      </c>
      <c r="T1326">
        <f t="shared" si="270"/>
        <v>2.3307787112468773E-3</v>
      </c>
      <c r="U1326" t="str">
        <f t="shared" si="264"/>
        <v>2015-04</v>
      </c>
      <c r="W1326">
        <v>23199.43</v>
      </c>
      <c r="X1326">
        <f t="shared" si="271"/>
        <v>-4.9863770453128873E-3</v>
      </c>
      <c r="Y1326">
        <f t="shared" si="272"/>
        <v>-4.9739657050705179E-3</v>
      </c>
      <c r="Z1326" t="str">
        <f t="shared" si="265"/>
        <v>2015-04</v>
      </c>
    </row>
    <row r="1327" spans="1:26" x14ac:dyDescent="0.35">
      <c r="A1327" s="1">
        <v>42118</v>
      </c>
      <c r="C1327">
        <v>3713.96</v>
      </c>
      <c r="D1327">
        <f t="shared" si="266"/>
        <v>4.3390103478182437E-3</v>
      </c>
      <c r="E1327" t="str">
        <f t="shared" si="260"/>
        <v>2015-04</v>
      </c>
      <c r="G1327">
        <v>5201.45</v>
      </c>
      <c r="H1327">
        <f t="shared" si="267"/>
        <v>4.3428234522834511E-3</v>
      </c>
      <c r="I1327" t="str">
        <f t="shared" si="261"/>
        <v>2015-04</v>
      </c>
      <c r="K1327">
        <v>11810.85</v>
      </c>
      <c r="L1327">
        <f t="shared" si="268"/>
        <v>7.4164022675811524E-3</v>
      </c>
      <c r="M1327" t="str">
        <f t="shared" si="262"/>
        <v>2015-04</v>
      </c>
      <c r="O1327">
        <v>9879.9562800000003</v>
      </c>
      <c r="P1327">
        <f t="shared" si="269"/>
        <v>7.0821925553588797E-3</v>
      </c>
      <c r="Q1327" t="str">
        <f t="shared" si="263"/>
        <v>2015-04</v>
      </c>
      <c r="S1327">
        <v>11505.4</v>
      </c>
      <c r="T1327">
        <f t="shared" si="270"/>
        <v>6.9425341646596628E-3</v>
      </c>
      <c r="U1327" t="str">
        <f t="shared" si="264"/>
        <v>2015-04</v>
      </c>
      <c r="W1327">
        <v>23427.35</v>
      </c>
      <c r="X1327">
        <f t="shared" si="271"/>
        <v>9.7764338585866507E-3</v>
      </c>
      <c r="Y1327">
        <f t="shared" si="272"/>
        <v>9.824379305870802E-3</v>
      </c>
      <c r="Z1327" t="str">
        <f t="shared" si="265"/>
        <v>2015-04</v>
      </c>
    </row>
    <row r="1328" spans="1:26" x14ac:dyDescent="0.35">
      <c r="A1328" s="1">
        <v>42121</v>
      </c>
      <c r="C1328">
        <v>3771.45</v>
      </c>
      <c r="D1328">
        <f t="shared" si="266"/>
        <v>1.5360850085716206E-2</v>
      </c>
      <c r="E1328" t="str">
        <f t="shared" si="260"/>
        <v>2015-04</v>
      </c>
      <c r="G1328">
        <v>5268.91</v>
      </c>
      <c r="H1328">
        <f t="shared" si="267"/>
        <v>1.2886077170355793E-2</v>
      </c>
      <c r="I1328" t="str">
        <f t="shared" si="261"/>
        <v>2015-04</v>
      </c>
      <c r="K1328">
        <v>12039.16</v>
      </c>
      <c r="L1328">
        <f t="shared" si="268"/>
        <v>1.9146069481289087E-2</v>
      </c>
      <c r="M1328" t="str">
        <f t="shared" si="262"/>
        <v>2015-04</v>
      </c>
      <c r="O1328">
        <v>9929.4191900000005</v>
      </c>
      <c r="P1328">
        <f t="shared" si="269"/>
        <v>4.9938992646469307E-3</v>
      </c>
      <c r="Q1328" t="str">
        <f t="shared" si="263"/>
        <v>2015-04</v>
      </c>
      <c r="S1328">
        <v>11640.2</v>
      </c>
      <c r="T1328">
        <f t="shared" si="270"/>
        <v>1.1648133910916384E-2</v>
      </c>
      <c r="U1328" t="str">
        <f t="shared" si="264"/>
        <v>2015-04</v>
      </c>
      <c r="W1328">
        <v>23806.27</v>
      </c>
      <c r="X1328">
        <f t="shared" si="271"/>
        <v>1.6044848096428484E-2</v>
      </c>
      <c r="Y1328">
        <f t="shared" si="272"/>
        <v>1.6174257865272938E-2</v>
      </c>
      <c r="Z1328" t="str">
        <f t="shared" si="265"/>
        <v>2015-04</v>
      </c>
    </row>
    <row r="1329" spans="1:26" x14ac:dyDescent="0.35">
      <c r="A1329" s="1">
        <v>42122</v>
      </c>
      <c r="C1329">
        <v>3715.42</v>
      </c>
      <c r="D1329">
        <f t="shared" si="266"/>
        <v>-1.496781593783454E-2</v>
      </c>
      <c r="E1329" t="str">
        <f t="shared" si="260"/>
        <v>2015-04</v>
      </c>
      <c r="G1329">
        <v>5173.38</v>
      </c>
      <c r="H1329">
        <f t="shared" si="267"/>
        <v>-1.829726337638634E-2</v>
      </c>
      <c r="I1329" t="str">
        <f t="shared" si="261"/>
        <v>2015-04</v>
      </c>
      <c r="K1329">
        <v>11811.66</v>
      </c>
      <c r="L1329">
        <f t="shared" si="268"/>
        <v>-1.9077490824718189E-2</v>
      </c>
      <c r="M1329" t="str">
        <f t="shared" si="262"/>
        <v>2015-04</v>
      </c>
      <c r="O1329">
        <v>9816.7196199999998</v>
      </c>
      <c r="P1329">
        <f t="shared" si="269"/>
        <v>-1.1414970270976545E-2</v>
      </c>
      <c r="Q1329" t="str">
        <f t="shared" si="263"/>
        <v>2015-04</v>
      </c>
      <c r="S1329">
        <v>11607.7</v>
      </c>
      <c r="T1329">
        <f t="shared" si="270"/>
        <v>-2.7959532836944537E-3</v>
      </c>
      <c r="U1329" t="str">
        <f t="shared" si="264"/>
        <v>2015-04</v>
      </c>
      <c r="W1329">
        <v>23532.09</v>
      </c>
      <c r="X1329">
        <f t="shared" si="271"/>
        <v>-1.1583969785747989E-2</v>
      </c>
      <c r="Y1329">
        <f t="shared" si="272"/>
        <v>-1.1517133931523094E-2</v>
      </c>
      <c r="Z1329" t="str">
        <f t="shared" si="265"/>
        <v>2015-04</v>
      </c>
    </row>
    <row r="1330" spans="1:26" x14ac:dyDescent="0.35">
      <c r="A1330" s="1">
        <v>42123</v>
      </c>
      <c r="C1330">
        <v>3617.11</v>
      </c>
      <c r="D1330">
        <f t="shared" si="266"/>
        <v>-2.6816362510036149E-2</v>
      </c>
      <c r="E1330" t="str">
        <f t="shared" si="260"/>
        <v>2015-04</v>
      </c>
      <c r="G1330">
        <v>5039.3900000000003</v>
      </c>
      <c r="H1330">
        <f t="shared" si="267"/>
        <v>-2.6241203652521462E-2</v>
      </c>
      <c r="I1330" t="str">
        <f t="shared" si="261"/>
        <v>2015-04</v>
      </c>
      <c r="K1330">
        <v>11432.72</v>
      </c>
      <c r="L1330">
        <f t="shared" si="268"/>
        <v>-3.2607759430227132E-2</v>
      </c>
      <c r="M1330" t="str">
        <f t="shared" si="262"/>
        <v>2015-04</v>
      </c>
      <c r="O1330">
        <v>9634.6599000000006</v>
      </c>
      <c r="P1330">
        <f t="shared" si="269"/>
        <v>-1.8720012790396347E-2</v>
      </c>
      <c r="Q1330" t="str">
        <f t="shared" si="263"/>
        <v>2015-04</v>
      </c>
      <c r="S1330">
        <v>11378.9</v>
      </c>
      <c r="T1330">
        <f t="shared" si="270"/>
        <v>-1.9907907784778568E-2</v>
      </c>
      <c r="U1330" t="str">
        <f t="shared" si="264"/>
        <v>2015-04</v>
      </c>
      <c r="W1330">
        <v>22995.63</v>
      </c>
      <c r="X1330">
        <f t="shared" si="271"/>
        <v>-2.306082369732905E-2</v>
      </c>
      <c r="Y1330">
        <f t="shared" si="272"/>
        <v>-2.2796955136581542E-2</v>
      </c>
      <c r="Z1330" t="str">
        <f t="shared" si="265"/>
        <v>2015-04</v>
      </c>
    </row>
    <row r="1331" spans="1:26" x14ac:dyDescent="0.35">
      <c r="A1331" s="1">
        <v>42124</v>
      </c>
      <c r="C1331">
        <v>3615.59</v>
      </c>
      <c r="D1331">
        <f t="shared" si="266"/>
        <v>-4.2031330550898292E-4</v>
      </c>
      <c r="E1331" t="str">
        <f t="shared" si="260"/>
        <v>2015-04</v>
      </c>
      <c r="G1331">
        <v>5046.49</v>
      </c>
      <c r="H1331">
        <f t="shared" si="267"/>
        <v>1.4079091111149444E-3</v>
      </c>
      <c r="I1331" t="str">
        <f t="shared" si="261"/>
        <v>2015-04</v>
      </c>
      <c r="K1331">
        <v>11454.38</v>
      </c>
      <c r="L1331">
        <f t="shared" si="268"/>
        <v>1.8927698543330413E-3</v>
      </c>
      <c r="M1331" t="str">
        <f t="shared" si="262"/>
        <v>2015-04</v>
      </c>
      <c r="O1331">
        <v>9517.9508100000003</v>
      </c>
      <c r="P1331">
        <f t="shared" si="269"/>
        <v>-1.2187428269023654E-2</v>
      </c>
      <c r="Q1331" t="str">
        <f t="shared" si="263"/>
        <v>2015-04</v>
      </c>
      <c r="S1331">
        <v>11385</v>
      </c>
      <c r="T1331">
        <f t="shared" si="270"/>
        <v>5.3593629791099534E-4</v>
      </c>
      <c r="U1331" t="str">
        <f t="shared" si="264"/>
        <v>2015-04</v>
      </c>
      <c r="W1331">
        <v>23045.52</v>
      </c>
      <c r="X1331">
        <f t="shared" si="271"/>
        <v>2.1671925886571006E-3</v>
      </c>
      <c r="Y1331">
        <f t="shared" si="272"/>
        <v>2.1695426478856817E-3</v>
      </c>
      <c r="Z1331" t="str">
        <f t="shared" si="265"/>
        <v>2015-04</v>
      </c>
    </row>
    <row r="1332" spans="1:26" x14ac:dyDescent="0.35">
      <c r="A1332" s="1">
        <v>42129</v>
      </c>
      <c r="C1332">
        <v>3546.56</v>
      </c>
      <c r="D1332">
        <f t="shared" si="266"/>
        <v>-1.9276931540466707E-2</v>
      </c>
      <c r="E1332" t="str">
        <f t="shared" si="260"/>
        <v>2015-05</v>
      </c>
      <c r="G1332">
        <v>4974.07</v>
      </c>
      <c r="H1332">
        <f t="shared" si="267"/>
        <v>-1.4454533660702278E-2</v>
      </c>
      <c r="I1332" t="str">
        <f t="shared" si="261"/>
        <v>2015-05</v>
      </c>
      <c r="K1332">
        <v>11327.68</v>
      </c>
      <c r="L1332">
        <f t="shared" si="268"/>
        <v>-1.1122901639546504E-2</v>
      </c>
      <c r="M1332" t="str">
        <f t="shared" si="262"/>
        <v>2015-05</v>
      </c>
      <c r="O1332">
        <v>9402.7317899999998</v>
      </c>
      <c r="P1332">
        <f t="shared" si="269"/>
        <v>-1.217931157025403E-2</v>
      </c>
      <c r="Q1332" t="str">
        <f t="shared" si="263"/>
        <v>2015-05</v>
      </c>
      <c r="S1332">
        <v>11115.6</v>
      </c>
      <c r="T1332">
        <f t="shared" si="270"/>
        <v>-2.3947172449857803E-2</v>
      </c>
      <c r="U1332" t="str">
        <f t="shared" si="264"/>
        <v>2015-05</v>
      </c>
      <c r="W1332">
        <v>22576.35</v>
      </c>
      <c r="X1332">
        <f t="shared" si="271"/>
        <v>-2.0568492286007781E-2</v>
      </c>
      <c r="Y1332">
        <f t="shared" si="272"/>
        <v>-2.0358403715776512E-2</v>
      </c>
      <c r="Z1332" t="str">
        <f t="shared" si="265"/>
        <v>2015-05</v>
      </c>
    </row>
    <row r="1333" spans="1:26" x14ac:dyDescent="0.35">
      <c r="A1333" s="1">
        <v>42130</v>
      </c>
      <c r="C1333">
        <v>3558.03</v>
      </c>
      <c r="D1333">
        <f t="shared" si="266"/>
        <v>3.2289013061497797E-3</v>
      </c>
      <c r="E1333" t="str">
        <f t="shared" si="260"/>
        <v>2015-05</v>
      </c>
      <c r="G1333">
        <v>4981.59</v>
      </c>
      <c r="H1333">
        <f t="shared" si="267"/>
        <v>1.5106987241802288E-3</v>
      </c>
      <c r="I1333" t="str">
        <f t="shared" si="261"/>
        <v>2015-05</v>
      </c>
      <c r="K1333">
        <v>11350.15</v>
      </c>
      <c r="L1333">
        <f t="shared" si="268"/>
        <v>1.9816717343193462E-3</v>
      </c>
      <c r="M1333" t="str">
        <f t="shared" si="262"/>
        <v>2015-05</v>
      </c>
      <c r="O1333">
        <v>9327.4509999999991</v>
      </c>
      <c r="P1333">
        <f t="shared" si="269"/>
        <v>-8.0384901966922828E-3</v>
      </c>
      <c r="Q1333" t="str">
        <f t="shared" si="263"/>
        <v>2015-05</v>
      </c>
      <c r="S1333">
        <v>11163.6</v>
      </c>
      <c r="T1333">
        <f t="shared" si="270"/>
        <v>4.3089585145312083E-3</v>
      </c>
      <c r="U1333" t="str">
        <f t="shared" si="264"/>
        <v>2015-05</v>
      </c>
      <c r="W1333">
        <v>22659.85</v>
      </c>
      <c r="X1333">
        <f t="shared" si="271"/>
        <v>3.6917378044398251E-3</v>
      </c>
      <c r="Y1333">
        <f t="shared" si="272"/>
        <v>3.6985606619316233E-3</v>
      </c>
      <c r="Z1333" t="str">
        <f t="shared" si="265"/>
        <v>2015-05</v>
      </c>
    </row>
    <row r="1334" spans="1:26" x14ac:dyDescent="0.35">
      <c r="A1334" s="1">
        <v>42131</v>
      </c>
      <c r="C1334">
        <v>3556.21</v>
      </c>
      <c r="D1334">
        <f t="shared" si="266"/>
        <v>-5.1164988521728715E-4</v>
      </c>
      <c r="E1334" t="str">
        <f t="shared" si="260"/>
        <v>2015-05</v>
      </c>
      <c r="G1334">
        <v>4967.22</v>
      </c>
      <c r="H1334">
        <f t="shared" si="267"/>
        <v>-2.8887897131944563E-3</v>
      </c>
      <c r="I1334" t="str">
        <f t="shared" si="261"/>
        <v>2015-05</v>
      </c>
      <c r="K1334">
        <v>11407.97</v>
      </c>
      <c r="L1334">
        <f t="shared" si="268"/>
        <v>5.0812742358482248E-3</v>
      </c>
      <c r="M1334" t="str">
        <f t="shared" si="262"/>
        <v>2015-05</v>
      </c>
      <c r="O1334">
        <v>9298.3299399999996</v>
      </c>
      <c r="P1334">
        <f t="shared" si="269"/>
        <v>-3.1269651267132126E-3</v>
      </c>
      <c r="Q1334" t="str">
        <f t="shared" si="263"/>
        <v>2015-05</v>
      </c>
      <c r="S1334">
        <v>11180.3</v>
      </c>
      <c r="T1334">
        <f t="shared" si="270"/>
        <v>1.494815418046165E-3</v>
      </c>
      <c r="U1334" t="str">
        <f t="shared" si="264"/>
        <v>2015-05</v>
      </c>
      <c r="W1334">
        <v>22841.919999999998</v>
      </c>
      <c r="X1334">
        <f t="shared" si="271"/>
        <v>8.0028083180425525E-3</v>
      </c>
      <c r="Y1334">
        <f t="shared" si="272"/>
        <v>8.0349163829416224E-3</v>
      </c>
      <c r="Z1334" t="str">
        <f t="shared" si="265"/>
        <v>2015-05</v>
      </c>
    </row>
    <row r="1335" spans="1:26" x14ac:dyDescent="0.35">
      <c r="A1335" s="1">
        <v>42132</v>
      </c>
      <c r="C1335">
        <v>3649.48</v>
      </c>
      <c r="D1335">
        <f t="shared" si="266"/>
        <v>2.588932066568244E-2</v>
      </c>
      <c r="E1335" t="str">
        <f t="shared" si="260"/>
        <v>2015-05</v>
      </c>
      <c r="G1335">
        <v>5090.3900000000003</v>
      </c>
      <c r="H1335">
        <f t="shared" si="267"/>
        <v>2.4494120978642245E-2</v>
      </c>
      <c r="I1335" t="str">
        <f t="shared" si="261"/>
        <v>2015-05</v>
      </c>
      <c r="K1335">
        <v>11709.73</v>
      </c>
      <c r="L1335">
        <f t="shared" si="268"/>
        <v>2.6107886192787644E-2</v>
      </c>
      <c r="M1335" t="str">
        <f t="shared" si="262"/>
        <v>2015-05</v>
      </c>
      <c r="O1335">
        <v>9702.6440600000005</v>
      </c>
      <c r="P1335">
        <f t="shared" si="269"/>
        <v>4.2563624180996094E-2</v>
      </c>
      <c r="Q1335" t="str">
        <f t="shared" si="263"/>
        <v>2015-05</v>
      </c>
      <c r="S1335">
        <v>11424.7</v>
      </c>
      <c r="T1335">
        <f t="shared" si="270"/>
        <v>2.1624377231404014E-2</v>
      </c>
      <c r="U1335" t="str">
        <f t="shared" si="264"/>
        <v>2015-05</v>
      </c>
      <c r="W1335">
        <v>23312.43</v>
      </c>
      <c r="X1335">
        <f t="shared" si="271"/>
        <v>2.0389250416566217E-2</v>
      </c>
      <c r="Y1335">
        <f t="shared" si="272"/>
        <v>2.0598531121727159E-2</v>
      </c>
      <c r="Z1335" t="str">
        <f t="shared" si="265"/>
        <v>2015-05</v>
      </c>
    </row>
    <row r="1336" spans="1:26" x14ac:dyDescent="0.35">
      <c r="A1336" s="1">
        <v>42135</v>
      </c>
      <c r="C1336">
        <v>3624.41</v>
      </c>
      <c r="D1336">
        <f t="shared" si="266"/>
        <v>-6.8931752524393122E-3</v>
      </c>
      <c r="E1336" t="str">
        <f t="shared" si="260"/>
        <v>2015-05</v>
      </c>
      <c r="G1336">
        <v>5027.87</v>
      </c>
      <c r="H1336">
        <f t="shared" si="267"/>
        <v>-1.2358013269423448E-2</v>
      </c>
      <c r="I1336" t="str">
        <f t="shared" si="261"/>
        <v>2015-05</v>
      </c>
      <c r="K1336">
        <v>11673.35</v>
      </c>
      <c r="L1336">
        <f t="shared" si="268"/>
        <v>-3.1116541836044326E-3</v>
      </c>
      <c r="M1336" t="str">
        <f t="shared" si="262"/>
        <v>2015-05</v>
      </c>
      <c r="O1336">
        <v>9817.0929099999994</v>
      </c>
      <c r="P1336">
        <f t="shared" si="269"/>
        <v>1.1726608990005298E-2</v>
      </c>
      <c r="Q1336" t="str">
        <f t="shared" si="263"/>
        <v>2015-05</v>
      </c>
      <c r="S1336">
        <v>11445.8</v>
      </c>
      <c r="T1336">
        <f t="shared" si="270"/>
        <v>1.8451722512867125E-3</v>
      </c>
      <c r="U1336" t="str">
        <f t="shared" si="264"/>
        <v>2015-05</v>
      </c>
      <c r="W1336">
        <v>23321.86</v>
      </c>
      <c r="X1336">
        <f t="shared" si="271"/>
        <v>4.0442344586059264E-4</v>
      </c>
      <c r="Y1336">
        <f t="shared" si="272"/>
        <v>4.0450523604790626E-4</v>
      </c>
      <c r="Z1336" t="str">
        <f t="shared" si="265"/>
        <v>2015-05</v>
      </c>
    </row>
    <row r="1337" spans="1:26" x14ac:dyDescent="0.35">
      <c r="A1337" s="1">
        <v>42136</v>
      </c>
      <c r="C1337">
        <v>3573.1</v>
      </c>
      <c r="D1337">
        <f t="shared" si="266"/>
        <v>-1.4257950104283615E-2</v>
      </c>
      <c r="E1337" t="str">
        <f t="shared" si="260"/>
        <v>2015-05</v>
      </c>
      <c r="G1337">
        <v>4974.6499999999996</v>
      </c>
      <c r="H1337">
        <f t="shared" si="267"/>
        <v>-1.0641418805968788E-2</v>
      </c>
      <c r="I1337" t="str">
        <f t="shared" si="261"/>
        <v>2015-05</v>
      </c>
      <c r="K1337">
        <v>11472.41</v>
      </c>
      <c r="L1337">
        <f t="shared" si="268"/>
        <v>-1.736344353443639E-2</v>
      </c>
      <c r="M1337" t="str">
        <f t="shared" si="262"/>
        <v>2015-05</v>
      </c>
      <c r="O1337">
        <v>9690.1659899999995</v>
      </c>
      <c r="P1337">
        <f t="shared" si="269"/>
        <v>-1.301348507344598E-2</v>
      </c>
      <c r="Q1337" t="str">
        <f t="shared" si="263"/>
        <v>2015-05</v>
      </c>
      <c r="S1337">
        <v>11322.6</v>
      </c>
      <c r="T1337">
        <f t="shared" si="270"/>
        <v>-1.0822122100145206E-2</v>
      </c>
      <c r="U1337" t="str">
        <f t="shared" si="264"/>
        <v>2015-05</v>
      </c>
      <c r="W1337">
        <v>23104.87</v>
      </c>
      <c r="X1337">
        <f t="shared" si="271"/>
        <v>-9.3477003457939044E-3</v>
      </c>
      <c r="Y1337">
        <f t="shared" si="272"/>
        <v>-9.3041464102778075E-3</v>
      </c>
      <c r="Z1337" t="str">
        <f t="shared" si="265"/>
        <v>2015-05</v>
      </c>
    </row>
    <row r="1338" spans="1:26" x14ac:dyDescent="0.35">
      <c r="A1338" s="1">
        <v>42137</v>
      </c>
      <c r="C1338">
        <v>3553.42</v>
      </c>
      <c r="D1338">
        <f t="shared" si="266"/>
        <v>-5.5230463189891157E-3</v>
      </c>
      <c r="E1338" t="str">
        <f t="shared" si="260"/>
        <v>2015-05</v>
      </c>
      <c r="G1338">
        <v>4961.8599999999997</v>
      </c>
      <c r="H1338">
        <f t="shared" si="267"/>
        <v>-2.5743459350517283E-3</v>
      </c>
      <c r="I1338" t="str">
        <f t="shared" si="261"/>
        <v>2015-05</v>
      </c>
      <c r="K1338">
        <v>11351.46</v>
      </c>
      <c r="L1338">
        <f t="shared" si="268"/>
        <v>-1.0598652393753715E-2</v>
      </c>
      <c r="M1338" t="str">
        <f t="shared" si="262"/>
        <v>2015-05</v>
      </c>
      <c r="O1338">
        <v>9622.8937100000003</v>
      </c>
      <c r="P1338">
        <f t="shared" si="269"/>
        <v>-6.9665348856881399E-3</v>
      </c>
      <c r="Q1338" t="str">
        <f t="shared" si="263"/>
        <v>2015-05</v>
      </c>
      <c r="S1338">
        <v>11324.6</v>
      </c>
      <c r="T1338">
        <f t="shared" si="270"/>
        <v>1.7662227606047751E-4</v>
      </c>
      <c r="U1338" t="str">
        <f t="shared" si="264"/>
        <v>2015-05</v>
      </c>
      <c r="W1338">
        <v>23210.97</v>
      </c>
      <c r="X1338">
        <f t="shared" si="271"/>
        <v>4.5815939253348054E-3</v>
      </c>
      <c r="Y1338">
        <f t="shared" si="272"/>
        <v>4.5921054738677254E-3</v>
      </c>
      <c r="Z1338" t="str">
        <f t="shared" si="265"/>
        <v>2015-05</v>
      </c>
    </row>
    <row r="1339" spans="1:26" x14ac:dyDescent="0.35">
      <c r="A1339" s="1">
        <v>42138</v>
      </c>
      <c r="C1339">
        <v>3602.22</v>
      </c>
      <c r="D1339">
        <f t="shared" si="266"/>
        <v>1.3639802051920098E-2</v>
      </c>
      <c r="E1339" t="str">
        <f t="shared" si="260"/>
        <v>2015-05</v>
      </c>
      <c r="G1339">
        <v>5029.3100000000004</v>
      </c>
      <c r="H1339">
        <f t="shared" si="267"/>
        <v>1.3502127321752148E-2</v>
      </c>
      <c r="I1339" t="str">
        <f t="shared" si="261"/>
        <v>2015-05</v>
      </c>
      <c r="K1339">
        <v>11559.82</v>
      </c>
      <c r="L1339">
        <f t="shared" si="268"/>
        <v>1.8188922172792013E-2</v>
      </c>
      <c r="M1339" t="str">
        <f t="shared" si="262"/>
        <v>2015-05</v>
      </c>
      <c r="O1339">
        <v>9656.4868900000001</v>
      </c>
      <c r="P1339">
        <f t="shared" si="269"/>
        <v>3.4848851936124764E-3</v>
      </c>
      <c r="Q1339" t="str">
        <f t="shared" si="263"/>
        <v>2015-05</v>
      </c>
      <c r="S1339">
        <v>11398.7</v>
      </c>
      <c r="T1339">
        <f t="shared" si="270"/>
        <v>6.5219631532069952E-3</v>
      </c>
      <c r="U1339" t="str">
        <f t="shared" si="264"/>
        <v>2015-05</v>
      </c>
      <c r="W1339">
        <v>23548.59</v>
      </c>
      <c r="X1339">
        <f t="shared" si="271"/>
        <v>1.4440934314562922E-2</v>
      </c>
      <c r="Y1339">
        <f t="shared" si="272"/>
        <v>1.4545708343942497E-2</v>
      </c>
      <c r="Z1339" t="str">
        <f t="shared" si="265"/>
        <v>2015-05</v>
      </c>
    </row>
    <row r="1340" spans="1:26" x14ac:dyDescent="0.35">
      <c r="A1340" s="1">
        <v>42139</v>
      </c>
      <c r="C1340">
        <v>3573.07</v>
      </c>
      <c r="D1340">
        <f t="shared" si="266"/>
        <v>-8.1251518388170216E-3</v>
      </c>
      <c r="E1340" t="str">
        <f t="shared" si="260"/>
        <v>2015-05</v>
      </c>
      <c r="G1340">
        <v>4993.82</v>
      </c>
      <c r="H1340">
        <f t="shared" si="267"/>
        <v>-7.0816498075559091E-3</v>
      </c>
      <c r="I1340" t="str">
        <f t="shared" si="261"/>
        <v>2015-05</v>
      </c>
      <c r="K1340">
        <v>11447.03</v>
      </c>
      <c r="L1340">
        <f t="shared" si="268"/>
        <v>-9.8049844818400272E-3</v>
      </c>
      <c r="M1340" t="str">
        <f t="shared" si="262"/>
        <v>2015-05</v>
      </c>
      <c r="O1340">
        <v>9596.8547400000007</v>
      </c>
      <c r="P1340">
        <f t="shared" si="269"/>
        <v>-6.1944925538948209E-3</v>
      </c>
      <c r="Q1340" t="str">
        <f t="shared" si="263"/>
        <v>2015-05</v>
      </c>
      <c r="S1340">
        <v>11317.3</v>
      </c>
      <c r="T1340">
        <f t="shared" si="270"/>
        <v>-7.1667853857002549E-3</v>
      </c>
      <c r="U1340" t="str">
        <f t="shared" si="264"/>
        <v>2015-05</v>
      </c>
      <c r="W1340">
        <v>23473.46</v>
      </c>
      <c r="X1340">
        <f t="shared" si="271"/>
        <v>-3.1955248200251402E-3</v>
      </c>
      <c r="Y1340">
        <f t="shared" si="272"/>
        <v>-3.1904245646979723E-3</v>
      </c>
      <c r="Z1340" t="str">
        <f t="shared" si="265"/>
        <v>2015-05</v>
      </c>
    </row>
    <row r="1341" spans="1:26" x14ac:dyDescent="0.35">
      <c r="A1341" s="1">
        <v>42142</v>
      </c>
      <c r="C1341">
        <v>3589.22</v>
      </c>
      <c r="D1341">
        <f t="shared" si="266"/>
        <v>4.5097384694559664E-3</v>
      </c>
      <c r="E1341" t="str">
        <f t="shared" si="260"/>
        <v>2015-05</v>
      </c>
      <c r="G1341">
        <v>5012.3100000000004</v>
      </c>
      <c r="H1341">
        <f t="shared" si="267"/>
        <v>3.6957387212526644E-3</v>
      </c>
      <c r="I1341" t="str">
        <f t="shared" si="261"/>
        <v>2015-05</v>
      </c>
      <c r="K1341">
        <v>11594.28</v>
      </c>
      <c r="L1341">
        <f t="shared" si="268"/>
        <v>1.2781565341649846E-2</v>
      </c>
      <c r="M1341" t="str">
        <f t="shared" si="262"/>
        <v>2015-05</v>
      </c>
      <c r="O1341">
        <v>9622.3327900000004</v>
      </c>
      <c r="P1341">
        <f t="shared" si="269"/>
        <v>2.6513155028017512E-3</v>
      </c>
      <c r="Q1341" t="str">
        <f t="shared" si="263"/>
        <v>2015-05</v>
      </c>
      <c r="S1341">
        <v>11345</v>
      </c>
      <c r="T1341">
        <f t="shared" si="270"/>
        <v>2.4445898072696687E-3</v>
      </c>
      <c r="U1341" t="str">
        <f t="shared" si="264"/>
        <v>2015-05</v>
      </c>
      <c r="W1341">
        <v>23198.1</v>
      </c>
      <c r="X1341">
        <f t="shared" si="271"/>
        <v>-1.1800042471665897E-2</v>
      </c>
      <c r="Y1341">
        <f t="shared" si="272"/>
        <v>-1.1730695006189994E-2</v>
      </c>
      <c r="Z1341" t="str">
        <f t="shared" si="265"/>
        <v>2015-05</v>
      </c>
    </row>
    <row r="1342" spans="1:26" x14ac:dyDescent="0.35">
      <c r="A1342" s="1">
        <v>42143</v>
      </c>
      <c r="C1342">
        <v>3670.52</v>
      </c>
      <c r="D1342">
        <f t="shared" si="266"/>
        <v>2.2398432704171623E-2</v>
      </c>
      <c r="E1342" t="str">
        <f t="shared" si="260"/>
        <v>2015-05</v>
      </c>
      <c r="G1342">
        <v>5117.3</v>
      </c>
      <c r="H1342">
        <f t="shared" si="267"/>
        <v>2.0730069529440329E-2</v>
      </c>
      <c r="I1342" t="str">
        <f t="shared" si="261"/>
        <v>2015-05</v>
      </c>
      <c r="K1342">
        <v>11853.33</v>
      </c>
      <c r="L1342">
        <f t="shared" si="268"/>
        <v>2.2096967714149547E-2</v>
      </c>
      <c r="M1342" t="str">
        <f t="shared" si="262"/>
        <v>2015-05</v>
      </c>
      <c r="O1342">
        <v>9729.2572400000008</v>
      </c>
      <c r="P1342">
        <f t="shared" si="269"/>
        <v>1.1050827138593121E-2</v>
      </c>
      <c r="Q1342" t="str">
        <f t="shared" si="263"/>
        <v>2015-05</v>
      </c>
      <c r="S1342">
        <v>11497.7</v>
      </c>
      <c r="T1342">
        <f t="shared" si="270"/>
        <v>1.3369897134732345E-2</v>
      </c>
      <c r="U1342" t="str">
        <f t="shared" si="264"/>
        <v>2015-05</v>
      </c>
      <c r="W1342">
        <v>23713.26</v>
      </c>
      <c r="X1342">
        <f t="shared" si="271"/>
        <v>2.1964006586908794E-2</v>
      </c>
      <c r="Y1342">
        <f t="shared" si="272"/>
        <v>2.220699108978752E-2</v>
      </c>
      <c r="Z1342" t="str">
        <f t="shared" si="265"/>
        <v>2015-05</v>
      </c>
    </row>
    <row r="1343" spans="1:26" x14ac:dyDescent="0.35">
      <c r="A1343" s="1">
        <v>42144</v>
      </c>
      <c r="C1343">
        <v>3683.48</v>
      </c>
      <c r="D1343">
        <f t="shared" si="266"/>
        <v>3.5246161046367155E-3</v>
      </c>
      <c r="E1343" t="str">
        <f t="shared" si="260"/>
        <v>2015-05</v>
      </c>
      <c r="G1343">
        <v>5133.3</v>
      </c>
      <c r="H1343">
        <f t="shared" si="267"/>
        <v>3.121771017098836E-3</v>
      </c>
      <c r="I1343" t="str">
        <f t="shared" si="261"/>
        <v>2015-05</v>
      </c>
      <c r="K1343">
        <v>11848.47</v>
      </c>
      <c r="L1343">
        <f t="shared" si="268"/>
        <v>-4.100954415371968E-4</v>
      </c>
      <c r="M1343" t="str">
        <f t="shared" si="262"/>
        <v>2015-05</v>
      </c>
      <c r="O1343">
        <v>9817.6144999999997</v>
      </c>
      <c r="P1343">
        <f t="shared" si="269"/>
        <v>9.0406140666322542E-3</v>
      </c>
      <c r="Q1343" t="str">
        <f t="shared" si="263"/>
        <v>2015-05</v>
      </c>
      <c r="S1343">
        <v>11574.1</v>
      </c>
      <c r="T1343">
        <f t="shared" si="270"/>
        <v>6.622827803080952E-3</v>
      </c>
      <c r="U1343" t="str">
        <f t="shared" si="264"/>
        <v>2015-05</v>
      </c>
      <c r="W1343">
        <v>23772.61</v>
      </c>
      <c r="X1343">
        <f t="shared" si="271"/>
        <v>2.4996922623023985E-3</v>
      </c>
      <c r="Y1343">
        <f t="shared" si="272"/>
        <v>2.5028190978381793E-3</v>
      </c>
      <c r="Z1343" t="str">
        <f t="shared" si="265"/>
        <v>2015-05</v>
      </c>
    </row>
    <row r="1344" spans="1:26" x14ac:dyDescent="0.35">
      <c r="A1344" s="1">
        <v>42145</v>
      </c>
      <c r="C1344">
        <v>3688.72</v>
      </c>
      <c r="D1344">
        <f t="shared" si="266"/>
        <v>1.4215568981922927E-3</v>
      </c>
      <c r="E1344" t="str">
        <f t="shared" si="260"/>
        <v>2015-05</v>
      </c>
      <c r="G1344">
        <v>5146.7</v>
      </c>
      <c r="H1344">
        <f t="shared" si="267"/>
        <v>2.607005367587149E-3</v>
      </c>
      <c r="I1344" t="str">
        <f t="shared" si="261"/>
        <v>2015-05</v>
      </c>
      <c r="K1344">
        <v>11864.59</v>
      </c>
      <c r="L1344">
        <f t="shared" si="268"/>
        <v>1.3595885544191431E-3</v>
      </c>
      <c r="M1344" t="str">
        <f t="shared" si="262"/>
        <v>2015-05</v>
      </c>
      <c r="O1344">
        <v>9875.0564799999993</v>
      </c>
      <c r="P1344">
        <f t="shared" si="269"/>
        <v>5.8338600155259969E-3</v>
      </c>
      <c r="Q1344" t="str">
        <f t="shared" si="263"/>
        <v>2015-05</v>
      </c>
      <c r="S1344">
        <v>11595.4</v>
      </c>
      <c r="T1344">
        <f t="shared" si="270"/>
        <v>1.8386245711350736E-3</v>
      </c>
      <c r="U1344" t="str">
        <f t="shared" si="264"/>
        <v>2015-05</v>
      </c>
      <c r="W1344">
        <v>23739.69</v>
      </c>
      <c r="X1344">
        <f t="shared" si="271"/>
        <v>-1.3857466495205831E-3</v>
      </c>
      <c r="Y1344">
        <f t="shared" si="272"/>
        <v>-1.3847869459853962E-3</v>
      </c>
      <c r="Z1344" t="str">
        <f t="shared" si="265"/>
        <v>2015-05</v>
      </c>
    </row>
    <row r="1345" spans="1:26" x14ac:dyDescent="0.35">
      <c r="A1345" s="1">
        <v>42146</v>
      </c>
      <c r="C1345">
        <v>3679.14</v>
      </c>
      <c r="D1345">
        <f t="shared" si="266"/>
        <v>-2.600485188032034E-3</v>
      </c>
      <c r="E1345" t="str">
        <f t="shared" si="260"/>
        <v>2015-05</v>
      </c>
      <c r="G1345">
        <v>5142.8900000000003</v>
      </c>
      <c r="H1345">
        <f t="shared" si="267"/>
        <v>-7.4055432220780637E-4</v>
      </c>
      <c r="I1345" t="str">
        <f t="shared" si="261"/>
        <v>2015-05</v>
      </c>
      <c r="K1345">
        <v>11815.01</v>
      </c>
      <c r="L1345">
        <f t="shared" si="268"/>
        <v>-4.1875768553572279E-3</v>
      </c>
      <c r="M1345" t="str">
        <f t="shared" si="262"/>
        <v>2015-05</v>
      </c>
      <c r="O1345">
        <v>9865.8166399999991</v>
      </c>
      <c r="P1345">
        <f t="shared" si="269"/>
        <v>-9.3611266518743715E-4</v>
      </c>
      <c r="Q1345" t="str">
        <f t="shared" si="263"/>
        <v>2015-05</v>
      </c>
      <c r="S1345">
        <v>11554.2</v>
      </c>
      <c r="T1345">
        <f t="shared" si="270"/>
        <v>-3.5594605089933227E-3</v>
      </c>
      <c r="U1345" t="str">
        <f t="shared" si="264"/>
        <v>2015-05</v>
      </c>
      <c r="W1345">
        <v>23781.78</v>
      </c>
      <c r="X1345">
        <f t="shared" si="271"/>
        <v>1.771410312272128E-3</v>
      </c>
      <c r="Y1345">
        <f t="shared" si="272"/>
        <v>1.7729801863461633E-3</v>
      </c>
      <c r="Z1345" t="str">
        <f t="shared" si="265"/>
        <v>2015-05</v>
      </c>
    </row>
    <row r="1346" spans="1:26" x14ac:dyDescent="0.35">
      <c r="A1346" s="1">
        <v>42150</v>
      </c>
      <c r="C1346">
        <v>3619.3</v>
      </c>
      <c r="D1346">
        <f t="shared" si="266"/>
        <v>-1.6398392244068732E-2</v>
      </c>
      <c r="E1346" t="str">
        <f t="shared" si="260"/>
        <v>2015-05</v>
      </c>
      <c r="G1346">
        <v>5083.54</v>
      </c>
      <c r="H1346">
        <f t="shared" si="267"/>
        <v>-1.1607308972682993E-2</v>
      </c>
      <c r="I1346" t="str">
        <f t="shared" si="261"/>
        <v>2015-05</v>
      </c>
      <c r="K1346">
        <v>11625.13</v>
      </c>
      <c r="L1346">
        <f t="shared" si="268"/>
        <v>-1.6201622813639259E-2</v>
      </c>
      <c r="M1346" t="str">
        <f t="shared" si="262"/>
        <v>2015-05</v>
      </c>
      <c r="O1346">
        <v>9822.7620100000004</v>
      </c>
      <c r="P1346">
        <f t="shared" si="269"/>
        <v>-4.3735710327164673E-3</v>
      </c>
      <c r="Q1346" t="str">
        <f t="shared" si="263"/>
        <v>2015-05</v>
      </c>
      <c r="S1346">
        <v>11240.3</v>
      </c>
      <c r="T1346">
        <f t="shared" si="270"/>
        <v>-2.7543472730938347E-2</v>
      </c>
      <c r="U1346" t="str">
        <f t="shared" si="264"/>
        <v>2015-05</v>
      </c>
      <c r="W1346">
        <v>23326.95</v>
      </c>
      <c r="X1346">
        <f t="shared" si="271"/>
        <v>-1.9310396753608679E-2</v>
      </c>
      <c r="Y1346">
        <f t="shared" si="272"/>
        <v>-1.9125145384407648E-2</v>
      </c>
      <c r="Z1346" t="str">
        <f t="shared" si="265"/>
        <v>2015-05</v>
      </c>
    </row>
    <row r="1347" spans="1:26" x14ac:dyDescent="0.35">
      <c r="A1347" s="1">
        <v>42151</v>
      </c>
      <c r="C1347">
        <v>3682.87</v>
      </c>
      <c r="D1347">
        <f t="shared" si="266"/>
        <v>1.7411702554476539E-2</v>
      </c>
      <c r="E1347" t="str">
        <f t="shared" si="260"/>
        <v>2015-05</v>
      </c>
      <c r="G1347">
        <v>5182.53</v>
      </c>
      <c r="H1347">
        <f t="shared" si="267"/>
        <v>1.9285484726460904E-2</v>
      </c>
      <c r="I1347" t="str">
        <f t="shared" si="261"/>
        <v>2015-05</v>
      </c>
      <c r="K1347">
        <v>11771.13</v>
      </c>
      <c r="L1347">
        <f t="shared" si="268"/>
        <v>1.2480789254177199E-2</v>
      </c>
      <c r="M1347" t="str">
        <f t="shared" si="262"/>
        <v>2015-05</v>
      </c>
      <c r="O1347">
        <v>9904.3143700000001</v>
      </c>
      <c r="P1347">
        <f t="shared" si="269"/>
        <v>8.2681105924033212E-3</v>
      </c>
      <c r="Q1347" t="str">
        <f t="shared" si="263"/>
        <v>2015-05</v>
      </c>
      <c r="S1347">
        <v>11431.1</v>
      </c>
      <c r="T1347">
        <f t="shared" si="270"/>
        <v>1.683217664557473E-2</v>
      </c>
      <c r="U1347" t="str">
        <f t="shared" si="264"/>
        <v>2015-05</v>
      </c>
      <c r="W1347">
        <v>23861.07</v>
      </c>
      <c r="X1347">
        <f t="shared" si="271"/>
        <v>2.2638916067828946E-2</v>
      </c>
      <c r="Y1347">
        <f t="shared" si="272"/>
        <v>2.2897121140997814E-2</v>
      </c>
      <c r="Z1347" t="str">
        <f t="shared" si="265"/>
        <v>2015-05</v>
      </c>
    </row>
    <row r="1348" spans="1:26" x14ac:dyDescent="0.35">
      <c r="A1348" s="1">
        <v>42152</v>
      </c>
      <c r="C1348">
        <v>3650.71</v>
      </c>
      <c r="D1348">
        <f t="shared" si="266"/>
        <v>-8.7706703023128253E-3</v>
      </c>
      <c r="E1348" t="str">
        <f t="shared" ref="E1348:E1411" si="273">_xlfn.CONCAT(YEAR(A1348),"-",TEXT(MONTH(A1348),"00"))</f>
        <v>2015-05</v>
      </c>
      <c r="G1348">
        <v>5137.83</v>
      </c>
      <c r="H1348">
        <f t="shared" si="267"/>
        <v>-8.6625426869471368E-3</v>
      </c>
      <c r="I1348" t="str">
        <f t="shared" ref="I1348:I1411" si="274">_xlfn.CONCAT(YEAR(A1348),"-",TEXT(MONTH(A1348),"00"))</f>
        <v>2015-05</v>
      </c>
      <c r="K1348">
        <v>11677.57</v>
      </c>
      <c r="L1348">
        <f t="shared" si="268"/>
        <v>-7.980015650869551E-3</v>
      </c>
      <c r="M1348" t="str">
        <f t="shared" ref="M1348:M1411" si="275">_xlfn.CONCAT(YEAR(A1348),"-",TEXT(MONTH(A1348),"00"))</f>
        <v>2015-05</v>
      </c>
      <c r="O1348">
        <v>9857.2880000000005</v>
      </c>
      <c r="P1348">
        <f t="shared" si="269"/>
        <v>-4.7593770877785895E-3</v>
      </c>
      <c r="Q1348" t="str">
        <f t="shared" ref="Q1348:Q1411" si="276">_xlfn.CONCAT(YEAR(A1348),"-",TEXT(MONTH(A1348),"00"))</f>
        <v>2015-05</v>
      </c>
      <c r="S1348">
        <v>11382.8</v>
      </c>
      <c r="T1348">
        <f t="shared" si="270"/>
        <v>-4.2342670182891557E-3</v>
      </c>
      <c r="U1348" t="str">
        <f t="shared" ref="U1348:U1411" si="277">_xlfn.CONCAT(YEAR(A1348),"-",TEXT(MONTH(A1348),"00"))</f>
        <v>2015-05</v>
      </c>
      <c r="W1348">
        <v>23744.13</v>
      </c>
      <c r="X1348">
        <f t="shared" si="271"/>
        <v>-4.9129185556500386E-3</v>
      </c>
      <c r="Y1348">
        <f t="shared" si="272"/>
        <v>-4.9008699106954838E-3</v>
      </c>
      <c r="Z1348" t="str">
        <f t="shared" ref="Z1348:Z1411" si="278">_xlfn.CONCAT(YEAR(A1348),"-",TEXT(MONTH(A1348),"00"))</f>
        <v>2015-05</v>
      </c>
    </row>
    <row r="1349" spans="1:26" x14ac:dyDescent="0.35">
      <c r="A1349" s="1">
        <v>42153</v>
      </c>
      <c r="C1349">
        <v>3570.78</v>
      </c>
      <c r="D1349">
        <f t="shared" ref="D1349:D1412" si="279">LN(C1349/C1348)</f>
        <v>-2.213760990406571E-2</v>
      </c>
      <c r="E1349" t="str">
        <f t="shared" si="273"/>
        <v>2015-05</v>
      </c>
      <c r="G1349">
        <v>5007.8900000000003</v>
      </c>
      <c r="H1349">
        <f t="shared" ref="H1349:H1412" si="280">LN(G1349/G1348)</f>
        <v>-2.5616142635770979E-2</v>
      </c>
      <c r="I1349" t="str">
        <f t="shared" si="274"/>
        <v>2015-05</v>
      </c>
      <c r="K1349">
        <v>11413.82</v>
      </c>
      <c r="L1349">
        <f t="shared" ref="L1349:L1412" si="281">LN(K1349/K1348)</f>
        <v>-2.2845005926619009E-2</v>
      </c>
      <c r="M1349" t="str">
        <f t="shared" si="275"/>
        <v>2015-05</v>
      </c>
      <c r="O1349">
        <v>9720.1522399999994</v>
      </c>
      <c r="P1349">
        <f t="shared" ref="P1349:P1412" si="282">LN(O1349/O1348)</f>
        <v>-1.4009799170089312E-2</v>
      </c>
      <c r="Q1349" t="str">
        <f t="shared" si="276"/>
        <v>2015-05</v>
      </c>
      <c r="S1349">
        <v>11217.6</v>
      </c>
      <c r="T1349">
        <f t="shared" ref="T1349:T1412" si="283">LN(S1349/S1348)</f>
        <v>-1.4619470657541277E-2</v>
      </c>
      <c r="U1349" t="str">
        <f t="shared" si="277"/>
        <v>2015-05</v>
      </c>
      <c r="W1349">
        <v>23495.68</v>
      </c>
      <c r="X1349">
        <f t="shared" ref="X1349:X1412" si="284">LN(W1349/W1348)</f>
        <v>-1.051876757325439E-2</v>
      </c>
      <c r="Y1349">
        <f t="shared" ref="Y1349:Y1412" si="285">(W1349-W1348)/W1348</f>
        <v>-1.0463638802516695E-2</v>
      </c>
      <c r="Z1349" t="str">
        <f t="shared" si="278"/>
        <v>2015-05</v>
      </c>
    </row>
    <row r="1350" spans="1:26" x14ac:dyDescent="0.35">
      <c r="A1350" s="1">
        <v>42156</v>
      </c>
      <c r="C1350">
        <v>3575.04</v>
      </c>
      <c r="D1350">
        <f t="shared" si="279"/>
        <v>1.1923055729545857E-3</v>
      </c>
      <c r="E1350" t="str">
        <f t="shared" si="273"/>
        <v>2015-06</v>
      </c>
      <c r="G1350">
        <v>5025.3</v>
      </c>
      <c r="H1350">
        <f t="shared" si="280"/>
        <v>3.4704849552771146E-3</v>
      </c>
      <c r="I1350" t="str">
        <f t="shared" si="274"/>
        <v>2015-06</v>
      </c>
      <c r="K1350">
        <v>11436.05</v>
      </c>
      <c r="L1350">
        <f t="shared" si="281"/>
        <v>1.9457447253240147E-3</v>
      </c>
      <c r="M1350" t="str">
        <f t="shared" si="275"/>
        <v>2015-06</v>
      </c>
      <c r="O1350">
        <v>9671.5834300000006</v>
      </c>
      <c r="P1350">
        <f t="shared" si="282"/>
        <v>-5.0092382018560935E-3</v>
      </c>
      <c r="Q1350" t="str">
        <f t="shared" si="276"/>
        <v>2015-06</v>
      </c>
      <c r="S1350">
        <v>11238.1</v>
      </c>
      <c r="T1350">
        <f t="shared" si="283"/>
        <v>1.8258175603447628E-3</v>
      </c>
      <c r="U1350" t="str">
        <f t="shared" si="277"/>
        <v>2015-06</v>
      </c>
      <c r="W1350">
        <v>23435.67</v>
      </c>
      <c r="X1350">
        <f t="shared" si="284"/>
        <v>-2.5573537818853083E-3</v>
      </c>
      <c r="Y1350">
        <f t="shared" si="285"/>
        <v>-2.5540865384616252E-3</v>
      </c>
      <c r="Z1350" t="str">
        <f t="shared" si="278"/>
        <v>2015-06</v>
      </c>
    </row>
    <row r="1351" spans="1:26" x14ac:dyDescent="0.35">
      <c r="A1351" s="1">
        <v>42157</v>
      </c>
      <c r="C1351">
        <v>3561.89</v>
      </c>
      <c r="D1351">
        <f t="shared" si="279"/>
        <v>-3.6850620311717048E-3</v>
      </c>
      <c r="E1351" t="str">
        <f t="shared" si="273"/>
        <v>2015-06</v>
      </c>
      <c r="G1351">
        <v>5004.46</v>
      </c>
      <c r="H1351">
        <f t="shared" si="280"/>
        <v>-4.1556388170939573E-3</v>
      </c>
      <c r="I1351" t="str">
        <f t="shared" si="274"/>
        <v>2015-06</v>
      </c>
      <c r="K1351">
        <v>11328.8</v>
      </c>
      <c r="L1351">
        <f t="shared" si="281"/>
        <v>-9.4224906818928325E-3</v>
      </c>
      <c r="M1351" t="str">
        <f t="shared" si="275"/>
        <v>2015-06</v>
      </c>
      <c r="O1351">
        <v>9522.8838699999997</v>
      </c>
      <c r="P1351">
        <f t="shared" si="282"/>
        <v>-1.5494312248270638E-2</v>
      </c>
      <c r="Q1351" t="str">
        <f t="shared" si="276"/>
        <v>2015-06</v>
      </c>
      <c r="S1351">
        <v>11271.4</v>
      </c>
      <c r="T1351">
        <f t="shared" si="283"/>
        <v>2.9587529081456505E-3</v>
      </c>
      <c r="U1351" t="str">
        <f t="shared" si="277"/>
        <v>2015-06</v>
      </c>
      <c r="W1351">
        <v>23576.16</v>
      </c>
      <c r="X1351">
        <f t="shared" si="284"/>
        <v>5.9768112927433828E-3</v>
      </c>
      <c r="Y1351">
        <f t="shared" si="285"/>
        <v>5.994708066805925E-3</v>
      </c>
      <c r="Z1351" t="str">
        <f t="shared" si="278"/>
        <v>2015-06</v>
      </c>
    </row>
    <row r="1352" spans="1:26" x14ac:dyDescent="0.35">
      <c r="A1352" s="1">
        <v>42158</v>
      </c>
      <c r="C1352">
        <v>3583.82</v>
      </c>
      <c r="D1352">
        <f t="shared" si="279"/>
        <v>6.1379677737767859E-3</v>
      </c>
      <c r="E1352" t="str">
        <f t="shared" si="273"/>
        <v>2015-06</v>
      </c>
      <c r="G1352">
        <v>5034.17</v>
      </c>
      <c r="H1352">
        <f t="shared" si="280"/>
        <v>5.91915166594029E-3</v>
      </c>
      <c r="I1352" t="str">
        <f t="shared" si="274"/>
        <v>2015-06</v>
      </c>
      <c r="K1352">
        <v>11419.62</v>
      </c>
      <c r="L1352">
        <f t="shared" si="281"/>
        <v>7.9847727913115504E-3</v>
      </c>
      <c r="M1352" t="str">
        <f t="shared" si="275"/>
        <v>2015-06</v>
      </c>
      <c r="O1352">
        <v>9466.3350800000007</v>
      </c>
      <c r="P1352">
        <f t="shared" si="282"/>
        <v>-5.9559013259686744E-3</v>
      </c>
      <c r="Q1352" t="str">
        <f t="shared" si="276"/>
        <v>2015-06</v>
      </c>
      <c r="S1352">
        <v>11267.6</v>
      </c>
      <c r="T1352">
        <f t="shared" si="283"/>
        <v>-3.3719331256968103E-4</v>
      </c>
      <c r="U1352" t="str">
        <f t="shared" si="277"/>
        <v>2015-06</v>
      </c>
      <c r="W1352">
        <v>23608.83</v>
      </c>
      <c r="X1352">
        <f t="shared" si="284"/>
        <v>1.3847626213581645E-3</v>
      </c>
      <c r="Y1352">
        <f t="shared" si="285"/>
        <v>1.3857218478328063E-3</v>
      </c>
      <c r="Z1352" t="str">
        <f t="shared" si="278"/>
        <v>2015-06</v>
      </c>
    </row>
    <row r="1353" spans="1:26" x14ac:dyDescent="0.35">
      <c r="A1353" s="1">
        <v>42159</v>
      </c>
      <c r="C1353">
        <v>3556.38</v>
      </c>
      <c r="D1353">
        <f t="shared" si="279"/>
        <v>-7.6860970525161601E-3</v>
      </c>
      <c r="E1353" t="str">
        <f t="shared" si="273"/>
        <v>2015-06</v>
      </c>
      <c r="G1353">
        <v>4987.13</v>
      </c>
      <c r="H1353">
        <f t="shared" si="280"/>
        <v>-9.3880725040146919E-3</v>
      </c>
      <c r="I1353" t="str">
        <f t="shared" si="274"/>
        <v>2015-06</v>
      </c>
      <c r="K1353">
        <v>11340.6</v>
      </c>
      <c r="L1353">
        <f t="shared" si="281"/>
        <v>-6.9437217651948007E-3</v>
      </c>
      <c r="M1353" t="str">
        <f t="shared" si="275"/>
        <v>2015-06</v>
      </c>
      <c r="O1353">
        <v>9346.9905799999997</v>
      </c>
      <c r="P1353">
        <f t="shared" si="282"/>
        <v>-1.2687400735090126E-2</v>
      </c>
      <c r="Q1353" t="str">
        <f t="shared" si="276"/>
        <v>2015-06</v>
      </c>
      <c r="S1353">
        <v>11146.1</v>
      </c>
      <c r="T1353">
        <f t="shared" si="283"/>
        <v>-1.0841689690930236E-2</v>
      </c>
      <c r="U1353" t="str">
        <f t="shared" si="277"/>
        <v>2015-06</v>
      </c>
      <c r="W1353">
        <v>23336.5</v>
      </c>
      <c r="X1353">
        <f t="shared" si="284"/>
        <v>-1.1602136137716174E-2</v>
      </c>
      <c r="Y1353">
        <f t="shared" si="285"/>
        <v>-1.1535090896075821E-2</v>
      </c>
      <c r="Z1353" t="str">
        <f t="shared" si="278"/>
        <v>2015-06</v>
      </c>
    </row>
    <row r="1354" spans="1:26" x14ac:dyDescent="0.35">
      <c r="A1354" s="1">
        <v>42160</v>
      </c>
      <c r="C1354">
        <v>3510.01</v>
      </c>
      <c r="D1354">
        <f t="shared" si="279"/>
        <v>-1.3124287108089185E-2</v>
      </c>
      <c r="E1354" t="str">
        <f t="shared" si="273"/>
        <v>2015-06</v>
      </c>
      <c r="G1354">
        <v>4920.74</v>
      </c>
      <c r="H1354">
        <f t="shared" si="280"/>
        <v>-1.3401668302087543E-2</v>
      </c>
      <c r="I1354" t="str">
        <f t="shared" si="274"/>
        <v>2015-06</v>
      </c>
      <c r="K1354">
        <v>11197.15</v>
      </c>
      <c r="L1354">
        <f t="shared" si="281"/>
        <v>-1.2729925319023892E-2</v>
      </c>
      <c r="M1354" t="str">
        <f t="shared" si="275"/>
        <v>2015-06</v>
      </c>
      <c r="O1354">
        <v>9341.4938299999994</v>
      </c>
      <c r="P1354">
        <f t="shared" si="282"/>
        <v>-5.8824996590590626E-4</v>
      </c>
      <c r="Q1354" t="str">
        <f t="shared" si="276"/>
        <v>2015-06</v>
      </c>
      <c r="S1354">
        <v>11062</v>
      </c>
      <c r="T1354">
        <f t="shared" si="283"/>
        <v>-7.5738493630703738E-3</v>
      </c>
      <c r="U1354" t="str">
        <f t="shared" si="277"/>
        <v>2015-06</v>
      </c>
      <c r="W1354">
        <v>22847.34</v>
      </c>
      <c r="X1354">
        <f t="shared" si="284"/>
        <v>-2.1183959273285563E-2</v>
      </c>
      <c r="Y1354">
        <f t="shared" si="285"/>
        <v>-2.0961155271784538E-2</v>
      </c>
      <c r="Z1354" t="str">
        <f t="shared" si="278"/>
        <v>2015-06</v>
      </c>
    </row>
    <row r="1355" spans="1:26" x14ac:dyDescent="0.35">
      <c r="A1355" s="1">
        <v>42163</v>
      </c>
      <c r="C1355">
        <v>3468.31</v>
      </c>
      <c r="D1355">
        <f t="shared" si="279"/>
        <v>-1.1951442856546052E-2</v>
      </c>
      <c r="E1355" t="str">
        <f t="shared" si="273"/>
        <v>2015-06</v>
      </c>
      <c r="G1355">
        <v>4857.66</v>
      </c>
      <c r="H1355">
        <f t="shared" si="280"/>
        <v>-1.2902085216865014E-2</v>
      </c>
      <c r="I1355" t="str">
        <f t="shared" si="274"/>
        <v>2015-06</v>
      </c>
      <c r="K1355">
        <v>11064.92</v>
      </c>
      <c r="L1355">
        <f t="shared" si="281"/>
        <v>-1.1879538161447172E-2</v>
      </c>
      <c r="M1355" t="str">
        <f t="shared" si="275"/>
        <v>2015-06</v>
      </c>
      <c r="O1355">
        <v>9252.6611099999991</v>
      </c>
      <c r="P1355">
        <f t="shared" si="282"/>
        <v>-9.5549807062720264E-3</v>
      </c>
      <c r="Q1355" t="str">
        <f t="shared" si="276"/>
        <v>2015-06</v>
      </c>
      <c r="S1355">
        <v>10917.3</v>
      </c>
      <c r="T1355">
        <f t="shared" si="283"/>
        <v>-1.3167124574980048E-2</v>
      </c>
      <c r="U1355" t="str">
        <f t="shared" si="277"/>
        <v>2015-06</v>
      </c>
      <c r="W1355">
        <v>22642.29</v>
      </c>
      <c r="X1355">
        <f t="shared" si="284"/>
        <v>-9.0153025556067561E-3</v>
      </c>
      <c r="Y1355">
        <f t="shared" si="285"/>
        <v>-8.9747865615865691E-3</v>
      </c>
      <c r="Z1355" t="str">
        <f t="shared" si="278"/>
        <v>2015-06</v>
      </c>
    </row>
    <row r="1356" spans="1:26" x14ac:dyDescent="0.35">
      <c r="A1356" s="1">
        <v>42164</v>
      </c>
      <c r="C1356">
        <v>3456.79</v>
      </c>
      <c r="D1356">
        <f t="shared" si="279"/>
        <v>-3.3270308374945996E-3</v>
      </c>
      <c r="E1356" t="str">
        <f t="shared" si="273"/>
        <v>2015-06</v>
      </c>
      <c r="G1356">
        <v>4850.22</v>
      </c>
      <c r="H1356">
        <f t="shared" si="280"/>
        <v>-1.5327757361295541E-3</v>
      </c>
      <c r="I1356" t="str">
        <f t="shared" si="274"/>
        <v>2015-06</v>
      </c>
      <c r="K1356">
        <v>11001.29</v>
      </c>
      <c r="L1356">
        <f t="shared" si="281"/>
        <v>-5.7672048226229521E-3</v>
      </c>
      <c r="M1356" t="str">
        <f t="shared" si="275"/>
        <v>2015-06</v>
      </c>
      <c r="O1356">
        <v>9210.8168600000008</v>
      </c>
      <c r="P1356">
        <f t="shared" si="282"/>
        <v>-4.5326586582210889E-3</v>
      </c>
      <c r="Q1356" t="str">
        <f t="shared" si="276"/>
        <v>2015-06</v>
      </c>
      <c r="S1356">
        <v>10938.1</v>
      </c>
      <c r="T1356">
        <f t="shared" si="283"/>
        <v>1.9034203244858189E-3</v>
      </c>
      <c r="U1356" t="str">
        <f t="shared" si="277"/>
        <v>2015-06</v>
      </c>
      <c r="W1356">
        <v>22527.46</v>
      </c>
      <c r="X1356">
        <f t="shared" si="284"/>
        <v>-5.084387111832519E-3</v>
      </c>
      <c r="Y1356">
        <f t="shared" si="285"/>
        <v>-5.0714834939399565E-3</v>
      </c>
      <c r="Z1356" t="str">
        <f t="shared" si="278"/>
        <v>2015-06</v>
      </c>
    </row>
    <row r="1357" spans="1:26" x14ac:dyDescent="0.35">
      <c r="A1357" s="1">
        <v>42165</v>
      </c>
      <c r="C1357">
        <v>3526.48</v>
      </c>
      <c r="D1357">
        <f t="shared" si="279"/>
        <v>1.9959793521963427E-2</v>
      </c>
      <c r="E1357" t="str">
        <f t="shared" si="273"/>
        <v>2015-06</v>
      </c>
      <c r="G1357">
        <v>4934.91</v>
      </c>
      <c r="H1357">
        <f t="shared" si="280"/>
        <v>1.7310370891717289E-2</v>
      </c>
      <c r="I1357" t="str">
        <f t="shared" si="274"/>
        <v>2015-06</v>
      </c>
      <c r="K1357">
        <v>11265.39</v>
      </c>
      <c r="L1357">
        <f t="shared" si="281"/>
        <v>2.3722655141189149E-2</v>
      </c>
      <c r="M1357" t="str">
        <f t="shared" si="275"/>
        <v>2015-06</v>
      </c>
      <c r="O1357">
        <v>9369.8688000000002</v>
      </c>
      <c r="P1357">
        <f t="shared" si="282"/>
        <v>1.7120554958281433E-2</v>
      </c>
      <c r="Q1357" t="str">
        <f t="shared" si="276"/>
        <v>2015-06</v>
      </c>
      <c r="S1357">
        <v>11097.5</v>
      </c>
      <c r="T1357">
        <f t="shared" si="283"/>
        <v>1.446775040406121E-2</v>
      </c>
      <c r="U1357" t="str">
        <f t="shared" si="277"/>
        <v>2015-06</v>
      </c>
      <c r="W1357">
        <v>23091.49</v>
      </c>
      <c r="X1357">
        <f t="shared" si="284"/>
        <v>2.4729141866148774E-2</v>
      </c>
      <c r="Y1357">
        <f t="shared" si="285"/>
        <v>2.5037443191553887E-2</v>
      </c>
      <c r="Z1357" t="str">
        <f t="shared" si="278"/>
        <v>2015-06</v>
      </c>
    </row>
    <row r="1358" spans="1:26" x14ac:dyDescent="0.35">
      <c r="A1358" s="1">
        <v>42166</v>
      </c>
      <c r="C1358">
        <v>3551.91</v>
      </c>
      <c r="D1358">
        <f t="shared" si="279"/>
        <v>7.1852806665894378E-3</v>
      </c>
      <c r="E1358" t="str">
        <f t="shared" si="273"/>
        <v>2015-06</v>
      </c>
      <c r="G1358">
        <v>4971.37</v>
      </c>
      <c r="H1358">
        <f t="shared" si="280"/>
        <v>7.3610204094358639E-3</v>
      </c>
      <c r="I1358" t="str">
        <f t="shared" si="274"/>
        <v>2015-06</v>
      </c>
      <c r="K1358">
        <v>11332.78</v>
      </c>
      <c r="L1358">
        <f t="shared" si="281"/>
        <v>5.9642174358088421E-3</v>
      </c>
      <c r="M1358" t="str">
        <f t="shared" si="275"/>
        <v>2015-06</v>
      </c>
      <c r="O1358">
        <v>9438.0239799999999</v>
      </c>
      <c r="P1358">
        <f t="shared" si="282"/>
        <v>7.2475400756804535E-3</v>
      </c>
      <c r="Q1358" t="str">
        <f t="shared" si="276"/>
        <v>2015-06</v>
      </c>
      <c r="S1358">
        <v>11156.7</v>
      </c>
      <c r="T1358">
        <f t="shared" si="283"/>
        <v>5.3203565748331152E-3</v>
      </c>
      <c r="U1358" t="str">
        <f t="shared" si="277"/>
        <v>2015-06</v>
      </c>
      <c r="W1358">
        <v>23172.34</v>
      </c>
      <c r="X1358">
        <f t="shared" si="284"/>
        <v>3.4951746237584431E-3</v>
      </c>
      <c r="Y1358">
        <f t="shared" si="285"/>
        <v>3.5012898691248826E-3</v>
      </c>
      <c r="Z1358" t="str">
        <f t="shared" si="278"/>
        <v>2015-06</v>
      </c>
    </row>
    <row r="1359" spans="1:26" x14ac:dyDescent="0.35">
      <c r="A1359" s="1">
        <v>42167</v>
      </c>
      <c r="C1359">
        <v>3502.77</v>
      </c>
      <c r="D1359">
        <f t="shared" si="279"/>
        <v>-1.3931402918731127E-2</v>
      </c>
      <c r="E1359" t="str">
        <f t="shared" si="273"/>
        <v>2015-06</v>
      </c>
      <c r="G1359">
        <v>4901.1899999999996</v>
      </c>
      <c r="H1359">
        <f t="shared" si="280"/>
        <v>-1.4217423272100451E-2</v>
      </c>
      <c r="I1359" t="str">
        <f t="shared" si="274"/>
        <v>2015-06</v>
      </c>
      <c r="K1359">
        <v>11196.49</v>
      </c>
      <c r="L1359">
        <f t="shared" si="281"/>
        <v>-1.2099074900630544E-2</v>
      </c>
      <c r="M1359" t="str">
        <f t="shared" si="275"/>
        <v>2015-06</v>
      </c>
      <c r="O1359">
        <v>9361.3119200000001</v>
      </c>
      <c r="P1359">
        <f t="shared" si="282"/>
        <v>-8.1611910326761933E-3</v>
      </c>
      <c r="Q1359" t="str">
        <f t="shared" si="276"/>
        <v>2015-06</v>
      </c>
      <c r="S1359">
        <v>11030.5</v>
      </c>
      <c r="T1359">
        <f t="shared" si="283"/>
        <v>-1.1376051147205695E-2</v>
      </c>
      <c r="U1359" t="str">
        <f t="shared" si="277"/>
        <v>2015-06</v>
      </c>
      <c r="W1359">
        <v>22877.81</v>
      </c>
      <c r="X1359">
        <f t="shared" si="284"/>
        <v>-1.2791880860558593E-2</v>
      </c>
      <c r="Y1359">
        <f t="shared" si="285"/>
        <v>-1.2710412500420709E-2</v>
      </c>
      <c r="Z1359" t="str">
        <f t="shared" si="278"/>
        <v>2015-06</v>
      </c>
    </row>
    <row r="1360" spans="1:26" x14ac:dyDescent="0.35">
      <c r="A1360" s="1">
        <v>42170</v>
      </c>
      <c r="C1360">
        <v>3438.07</v>
      </c>
      <c r="D1360">
        <f t="shared" si="279"/>
        <v>-1.8643816624153452E-2</v>
      </c>
      <c r="E1360" t="str">
        <f t="shared" si="273"/>
        <v>2015-06</v>
      </c>
      <c r="G1360">
        <v>4815.3599999999997</v>
      </c>
      <c r="H1360">
        <f t="shared" si="280"/>
        <v>-1.7667223964051394E-2</v>
      </c>
      <c r="I1360" t="str">
        <f t="shared" si="274"/>
        <v>2015-06</v>
      </c>
      <c r="K1360">
        <v>10984.97</v>
      </c>
      <c r="L1360">
        <f t="shared" si="281"/>
        <v>-1.9072361490071747E-2</v>
      </c>
      <c r="M1360" t="str">
        <f t="shared" si="275"/>
        <v>2015-06</v>
      </c>
      <c r="O1360">
        <v>9268.1548199999997</v>
      </c>
      <c r="P1360">
        <f t="shared" si="282"/>
        <v>-1.0001131839548701E-2</v>
      </c>
      <c r="Q1360" t="str">
        <f t="shared" si="276"/>
        <v>2015-06</v>
      </c>
      <c r="S1360">
        <v>10842.1</v>
      </c>
      <c r="T1360">
        <f t="shared" si="283"/>
        <v>-1.7227458967551096E-2</v>
      </c>
      <c r="U1360" t="str">
        <f t="shared" si="277"/>
        <v>2015-06</v>
      </c>
      <c r="W1360">
        <v>22328.03</v>
      </c>
      <c r="X1360">
        <f t="shared" si="284"/>
        <v>-2.432460530967559E-2</v>
      </c>
      <c r="Y1360">
        <f t="shared" si="285"/>
        <v>-2.4031146337870735E-2</v>
      </c>
      <c r="Z1360" t="str">
        <f t="shared" si="278"/>
        <v>2015-06</v>
      </c>
    </row>
    <row r="1361" spans="1:26" x14ac:dyDescent="0.35">
      <c r="A1361" s="1">
        <v>42171</v>
      </c>
      <c r="C1361">
        <v>3454.09</v>
      </c>
      <c r="D1361">
        <f t="shared" si="279"/>
        <v>4.6487687026251015E-3</v>
      </c>
      <c r="E1361" t="str">
        <f t="shared" si="273"/>
        <v>2015-06</v>
      </c>
      <c r="G1361">
        <v>4839.8599999999997</v>
      </c>
      <c r="H1361">
        <f t="shared" si="280"/>
        <v>5.0749858799872998E-3</v>
      </c>
      <c r="I1361" t="str">
        <f t="shared" si="274"/>
        <v>2015-06</v>
      </c>
      <c r="K1361">
        <v>11044.01</v>
      </c>
      <c r="L1361">
        <f t="shared" si="281"/>
        <v>5.3602247005006707E-3</v>
      </c>
      <c r="M1361" t="str">
        <f t="shared" si="275"/>
        <v>2015-06</v>
      </c>
      <c r="O1361">
        <v>9332.1840900000007</v>
      </c>
      <c r="P1361">
        <f t="shared" si="282"/>
        <v>6.8847694900080912E-3</v>
      </c>
      <c r="Q1361" t="str">
        <f t="shared" si="276"/>
        <v>2015-06</v>
      </c>
      <c r="S1361">
        <v>10871.4</v>
      </c>
      <c r="T1361">
        <f t="shared" si="283"/>
        <v>2.6987835018500712E-3</v>
      </c>
      <c r="U1361" t="str">
        <f t="shared" si="277"/>
        <v>2015-06</v>
      </c>
      <c r="W1361">
        <v>22383.48</v>
      </c>
      <c r="X1361">
        <f t="shared" si="284"/>
        <v>2.4803469365237518E-3</v>
      </c>
      <c r="Y1361">
        <f t="shared" si="285"/>
        <v>2.4834255417965998E-3</v>
      </c>
      <c r="Z1361" t="str">
        <f t="shared" si="278"/>
        <v>2015-06</v>
      </c>
    </row>
    <row r="1362" spans="1:26" x14ac:dyDescent="0.35">
      <c r="A1362" s="1">
        <v>42172</v>
      </c>
      <c r="C1362">
        <v>3428.76</v>
      </c>
      <c r="D1362">
        <f t="shared" si="279"/>
        <v>-7.3603563506298804E-3</v>
      </c>
      <c r="E1362" t="str">
        <f t="shared" si="273"/>
        <v>2015-06</v>
      </c>
      <c r="G1362">
        <v>4790.62</v>
      </c>
      <c r="H1362">
        <f t="shared" si="280"/>
        <v>-1.0225955318007891E-2</v>
      </c>
      <c r="I1362" t="str">
        <f t="shared" si="274"/>
        <v>2015-06</v>
      </c>
      <c r="K1362">
        <v>10978.01</v>
      </c>
      <c r="L1362">
        <f t="shared" si="281"/>
        <v>-5.9940184965138607E-3</v>
      </c>
      <c r="M1362" t="str">
        <f t="shared" si="275"/>
        <v>2015-06</v>
      </c>
      <c r="O1362">
        <v>9322.5251700000008</v>
      </c>
      <c r="P1362">
        <f t="shared" si="282"/>
        <v>-1.0355477245483733E-3</v>
      </c>
      <c r="Q1362" t="str">
        <f t="shared" si="276"/>
        <v>2015-06</v>
      </c>
      <c r="S1362">
        <v>10813.4</v>
      </c>
      <c r="T1362">
        <f t="shared" si="283"/>
        <v>-5.3493818997688283E-3</v>
      </c>
      <c r="U1362" t="str">
        <f t="shared" si="277"/>
        <v>2015-06</v>
      </c>
      <c r="W1362">
        <v>22225.06</v>
      </c>
      <c r="X1362">
        <f t="shared" si="284"/>
        <v>-7.1027057152184608E-3</v>
      </c>
      <c r="Y1362">
        <f t="shared" si="285"/>
        <v>-7.0775411151437692E-3</v>
      </c>
      <c r="Z1362" t="str">
        <f t="shared" si="278"/>
        <v>2015-06</v>
      </c>
    </row>
    <row r="1363" spans="1:26" x14ac:dyDescent="0.35">
      <c r="A1363" s="1">
        <v>42173</v>
      </c>
      <c r="C1363">
        <v>3450.45</v>
      </c>
      <c r="D1363">
        <f t="shared" si="279"/>
        <v>6.3059775398124742E-3</v>
      </c>
      <c r="E1363" t="str">
        <f t="shared" si="273"/>
        <v>2015-06</v>
      </c>
      <c r="G1363">
        <v>4803.4799999999996</v>
      </c>
      <c r="H1363">
        <f t="shared" si="280"/>
        <v>2.6808158559582357E-3</v>
      </c>
      <c r="I1363" t="str">
        <f t="shared" si="274"/>
        <v>2015-06</v>
      </c>
      <c r="K1363">
        <v>11100.3</v>
      </c>
      <c r="L1363">
        <f t="shared" si="281"/>
        <v>1.107795394007466E-2</v>
      </c>
      <c r="M1363" t="str">
        <f t="shared" si="275"/>
        <v>2015-06</v>
      </c>
      <c r="O1363">
        <v>9358.8313500000004</v>
      </c>
      <c r="P1363">
        <f t="shared" si="282"/>
        <v>3.8868939383960377E-3</v>
      </c>
      <c r="Q1363" t="str">
        <f t="shared" si="276"/>
        <v>2015-06</v>
      </c>
      <c r="S1363">
        <v>10871.9</v>
      </c>
      <c r="T1363">
        <f t="shared" si="283"/>
        <v>5.395373078668832E-3</v>
      </c>
      <c r="U1363" t="str">
        <f t="shared" si="277"/>
        <v>2015-06</v>
      </c>
      <c r="W1363">
        <v>22460.02</v>
      </c>
      <c r="X1363">
        <f t="shared" si="284"/>
        <v>1.0516358722984427E-2</v>
      </c>
      <c r="Y1363">
        <f t="shared" si="285"/>
        <v>1.0571849974758183E-2</v>
      </c>
      <c r="Z1363" t="str">
        <f t="shared" si="278"/>
        <v>2015-06</v>
      </c>
    </row>
    <row r="1364" spans="1:26" x14ac:dyDescent="0.35">
      <c r="A1364" s="1">
        <v>42174</v>
      </c>
      <c r="C1364">
        <v>3455.8</v>
      </c>
      <c r="D1364">
        <f t="shared" si="279"/>
        <v>1.5493215768838961E-3</v>
      </c>
      <c r="E1364" t="str">
        <f t="shared" si="273"/>
        <v>2015-06</v>
      </c>
      <c r="G1364">
        <v>4815.37</v>
      </c>
      <c r="H1364">
        <f t="shared" si="280"/>
        <v>2.4722302678377868E-3</v>
      </c>
      <c r="I1364" t="str">
        <f t="shared" si="274"/>
        <v>2015-06</v>
      </c>
      <c r="K1364">
        <v>11040.1</v>
      </c>
      <c r="L1364">
        <f t="shared" si="281"/>
        <v>-5.4380362011513276E-3</v>
      </c>
      <c r="M1364" t="str">
        <f t="shared" si="275"/>
        <v>2015-06</v>
      </c>
      <c r="O1364">
        <v>9390.6068099999993</v>
      </c>
      <c r="P1364">
        <f t="shared" si="282"/>
        <v>3.3894872102504126E-3</v>
      </c>
      <c r="Q1364" t="str">
        <f t="shared" si="276"/>
        <v>2015-06</v>
      </c>
      <c r="S1364">
        <v>10944.3</v>
      </c>
      <c r="T1364">
        <f t="shared" si="283"/>
        <v>6.6372939183068792E-3</v>
      </c>
      <c r="U1364" t="str">
        <f t="shared" si="277"/>
        <v>2015-06</v>
      </c>
      <c r="W1364">
        <v>22699.37</v>
      </c>
      <c r="X1364">
        <f t="shared" si="284"/>
        <v>1.0600331016411392E-2</v>
      </c>
      <c r="Y1364">
        <f t="shared" si="285"/>
        <v>1.0656713573718925E-2</v>
      </c>
      <c r="Z1364" t="str">
        <f t="shared" si="278"/>
        <v>2015-06</v>
      </c>
    </row>
    <row r="1365" spans="1:26" x14ac:dyDescent="0.35">
      <c r="A1365" s="1">
        <v>42177</v>
      </c>
      <c r="C1365">
        <v>3596.07</v>
      </c>
      <c r="D1365">
        <f t="shared" si="279"/>
        <v>3.9787603596442941E-2</v>
      </c>
      <c r="E1365" t="str">
        <f t="shared" si="273"/>
        <v>2015-06</v>
      </c>
      <c r="G1365">
        <v>4998.6099999999997</v>
      </c>
      <c r="H1365">
        <f t="shared" si="280"/>
        <v>3.7346988288797123E-2</v>
      </c>
      <c r="I1365" t="str">
        <f t="shared" si="274"/>
        <v>2015-06</v>
      </c>
      <c r="K1365">
        <v>11460.5</v>
      </c>
      <c r="L1365">
        <f t="shared" si="281"/>
        <v>3.7372241573343359E-2</v>
      </c>
      <c r="M1365" t="str">
        <f t="shared" si="275"/>
        <v>2015-06</v>
      </c>
      <c r="O1365">
        <v>9508.1270800000002</v>
      </c>
      <c r="P1365">
        <f t="shared" si="282"/>
        <v>1.2437000860113085E-2</v>
      </c>
      <c r="Q1365" t="str">
        <f t="shared" si="276"/>
        <v>2015-06</v>
      </c>
      <c r="S1365">
        <v>11368.2</v>
      </c>
      <c r="T1365">
        <f t="shared" si="283"/>
        <v>3.800121109904777E-2</v>
      </c>
      <c r="U1365" t="str">
        <f t="shared" si="277"/>
        <v>2015-06</v>
      </c>
      <c r="W1365">
        <v>23485.95</v>
      </c>
      <c r="X1365">
        <f t="shared" si="284"/>
        <v>3.4065199214489181E-2</v>
      </c>
      <c r="Y1365">
        <f t="shared" si="285"/>
        <v>3.4652063030824284E-2</v>
      </c>
      <c r="Z1365" t="str">
        <f t="shared" si="278"/>
        <v>2015-06</v>
      </c>
    </row>
    <row r="1366" spans="1:26" x14ac:dyDescent="0.35">
      <c r="A1366" s="1">
        <v>42178</v>
      </c>
      <c r="C1366">
        <v>3625.97</v>
      </c>
      <c r="D1366">
        <f t="shared" si="279"/>
        <v>8.2802562254035202E-3</v>
      </c>
      <c r="E1366" t="str">
        <f t="shared" si="273"/>
        <v>2015-06</v>
      </c>
      <c r="G1366">
        <v>5057.68</v>
      </c>
      <c r="H1366">
        <f t="shared" si="280"/>
        <v>1.1748006348363113E-2</v>
      </c>
      <c r="I1366" t="str">
        <f t="shared" si="274"/>
        <v>2015-06</v>
      </c>
      <c r="K1366">
        <v>11542.54</v>
      </c>
      <c r="L1366">
        <f t="shared" si="281"/>
        <v>7.133000494476305E-3</v>
      </c>
      <c r="M1366" t="str">
        <f t="shared" si="275"/>
        <v>2015-06</v>
      </c>
      <c r="O1366">
        <v>9616.4106699999993</v>
      </c>
      <c r="P1366">
        <f t="shared" si="282"/>
        <v>1.132416883218826E-2</v>
      </c>
      <c r="Q1366" t="str">
        <f t="shared" si="276"/>
        <v>2015-06</v>
      </c>
      <c r="S1366">
        <v>11402.5</v>
      </c>
      <c r="T1366">
        <f t="shared" si="283"/>
        <v>3.0126457194840513E-3</v>
      </c>
      <c r="U1366" t="str">
        <f t="shared" si="277"/>
        <v>2015-06</v>
      </c>
      <c r="W1366">
        <v>23567.25</v>
      </c>
      <c r="X1366">
        <f t="shared" si="284"/>
        <v>3.4556663905760837E-3</v>
      </c>
      <c r="Y1366">
        <f t="shared" si="285"/>
        <v>3.4616440893384883E-3</v>
      </c>
      <c r="Z1366" t="str">
        <f t="shared" si="278"/>
        <v>2015-06</v>
      </c>
    </row>
    <row r="1367" spans="1:26" x14ac:dyDescent="0.35">
      <c r="A1367" s="1">
        <v>42179</v>
      </c>
      <c r="C1367">
        <v>3610.95</v>
      </c>
      <c r="D1367">
        <f t="shared" si="279"/>
        <v>-4.150943099169746E-3</v>
      </c>
      <c r="E1367" t="str">
        <f t="shared" si="273"/>
        <v>2015-06</v>
      </c>
      <c r="G1367">
        <v>5045.3500000000004</v>
      </c>
      <c r="H1367">
        <f t="shared" si="280"/>
        <v>-2.4408531146797594E-3</v>
      </c>
      <c r="I1367" t="str">
        <f t="shared" si="274"/>
        <v>2015-06</v>
      </c>
      <c r="K1367">
        <v>11471.26</v>
      </c>
      <c r="L1367">
        <f t="shared" si="281"/>
        <v>-6.1945639514754498E-3</v>
      </c>
      <c r="M1367" t="str">
        <f t="shared" si="275"/>
        <v>2015-06</v>
      </c>
      <c r="O1367">
        <v>9598.0190600000005</v>
      </c>
      <c r="P1367">
        <f t="shared" si="282"/>
        <v>-1.9143545632279762E-3</v>
      </c>
      <c r="Q1367" t="str">
        <f t="shared" si="276"/>
        <v>2015-06</v>
      </c>
      <c r="S1367">
        <v>11321.9</v>
      </c>
      <c r="T1367">
        <f t="shared" si="283"/>
        <v>-7.0937263900293914E-3</v>
      </c>
      <c r="U1367" t="str">
        <f t="shared" si="277"/>
        <v>2015-06</v>
      </c>
      <c r="W1367">
        <v>23443.07</v>
      </c>
      <c r="X1367">
        <f t="shared" si="284"/>
        <v>-5.2831075744446104E-3</v>
      </c>
      <c r="Y1367">
        <f t="shared" si="285"/>
        <v>-5.2691765055320533E-3</v>
      </c>
      <c r="Z1367" t="str">
        <f t="shared" si="278"/>
        <v>2015-06</v>
      </c>
    </row>
    <row r="1368" spans="1:26" x14ac:dyDescent="0.35">
      <c r="A1368" s="1">
        <v>42180</v>
      </c>
      <c r="C1368">
        <v>3610.91</v>
      </c>
      <c r="D1368">
        <f t="shared" si="279"/>
        <v>-1.1077478655149485E-5</v>
      </c>
      <c r="E1368" t="str">
        <f t="shared" si="273"/>
        <v>2015-06</v>
      </c>
      <c r="G1368">
        <v>5041.71</v>
      </c>
      <c r="H1368">
        <f t="shared" si="280"/>
        <v>-7.2171676543990304E-4</v>
      </c>
      <c r="I1368" t="str">
        <f t="shared" si="274"/>
        <v>2015-06</v>
      </c>
      <c r="K1368">
        <v>11473.13</v>
      </c>
      <c r="L1368">
        <f t="shared" si="281"/>
        <v>1.6300280845474283E-4</v>
      </c>
      <c r="M1368" t="str">
        <f t="shared" si="275"/>
        <v>2015-06</v>
      </c>
      <c r="O1368">
        <v>9560.4732600000007</v>
      </c>
      <c r="P1368">
        <f t="shared" si="282"/>
        <v>-3.9194992423446763E-3</v>
      </c>
      <c r="Q1368" t="str">
        <f t="shared" si="276"/>
        <v>2015-06</v>
      </c>
      <c r="S1368">
        <v>11308.4</v>
      </c>
      <c r="T1368">
        <f t="shared" si="283"/>
        <v>-1.1930908208374346E-3</v>
      </c>
      <c r="U1368" t="str">
        <f t="shared" si="277"/>
        <v>2015-06</v>
      </c>
      <c r="W1368">
        <v>23642.62</v>
      </c>
      <c r="X1368">
        <f t="shared" si="284"/>
        <v>8.4760866711381284E-3</v>
      </c>
      <c r="Y1368">
        <f t="shared" si="285"/>
        <v>8.5121104019225836E-3</v>
      </c>
      <c r="Z1368" t="str">
        <f t="shared" si="278"/>
        <v>2015-06</v>
      </c>
    </row>
    <row r="1369" spans="1:26" x14ac:dyDescent="0.35">
      <c r="A1369" s="1">
        <v>42181</v>
      </c>
      <c r="C1369">
        <v>3621.37</v>
      </c>
      <c r="D1369">
        <f t="shared" si="279"/>
        <v>2.8925891401596201E-3</v>
      </c>
      <c r="E1369" t="str">
        <f t="shared" si="273"/>
        <v>2015-06</v>
      </c>
      <c r="G1369">
        <v>5059.17</v>
      </c>
      <c r="H1369">
        <f t="shared" si="280"/>
        <v>3.4571279709826783E-3</v>
      </c>
      <c r="I1369" t="str">
        <f t="shared" si="274"/>
        <v>2015-06</v>
      </c>
      <c r="K1369">
        <v>11492.43</v>
      </c>
      <c r="L1369">
        <f t="shared" si="281"/>
        <v>1.6807780470901362E-3</v>
      </c>
      <c r="M1369" t="str">
        <f t="shared" si="275"/>
        <v>2015-06</v>
      </c>
      <c r="O1369">
        <v>9525.7681499999999</v>
      </c>
      <c r="P1369">
        <f t="shared" si="282"/>
        <v>-3.6366665917498646E-3</v>
      </c>
      <c r="Q1369" t="str">
        <f t="shared" si="276"/>
        <v>2015-06</v>
      </c>
      <c r="S1369">
        <v>11372.3</v>
      </c>
      <c r="T1369">
        <f t="shared" si="283"/>
        <v>5.6347616318305612E-3</v>
      </c>
      <c r="U1369" t="str">
        <f t="shared" si="277"/>
        <v>2015-06</v>
      </c>
      <c r="W1369">
        <v>23800.47</v>
      </c>
      <c r="X1369">
        <f t="shared" si="284"/>
        <v>6.6543128815806183E-3</v>
      </c>
      <c r="Y1369">
        <f t="shared" si="285"/>
        <v>6.6765020120444427E-3</v>
      </c>
      <c r="Z1369" t="str">
        <f t="shared" si="278"/>
        <v>2015-06</v>
      </c>
    </row>
    <row r="1370" spans="1:26" x14ac:dyDescent="0.35">
      <c r="A1370" s="1">
        <v>42184</v>
      </c>
      <c r="C1370">
        <v>3468.9</v>
      </c>
      <c r="D1370">
        <f t="shared" si="279"/>
        <v>-4.3014866460176771E-2</v>
      </c>
      <c r="E1370" t="str">
        <f t="shared" si="273"/>
        <v>2015-06</v>
      </c>
      <c r="G1370">
        <v>4869.82</v>
      </c>
      <c r="H1370">
        <f t="shared" si="280"/>
        <v>-3.8145462798365226E-2</v>
      </c>
      <c r="I1370" t="str">
        <f t="shared" si="274"/>
        <v>2015-06</v>
      </c>
      <c r="K1370">
        <v>11083.2</v>
      </c>
      <c r="L1370">
        <f t="shared" si="281"/>
        <v>-3.6258109464625946E-2</v>
      </c>
      <c r="M1370" t="str">
        <f t="shared" si="275"/>
        <v>2015-06</v>
      </c>
      <c r="O1370">
        <v>9291.9328299999997</v>
      </c>
      <c r="P1370">
        <f t="shared" si="282"/>
        <v>-2.485397734730093E-2</v>
      </c>
      <c r="Q1370" t="str">
        <f t="shared" si="276"/>
        <v>2015-06</v>
      </c>
      <c r="S1370">
        <v>10853.9</v>
      </c>
      <c r="T1370">
        <f t="shared" si="283"/>
        <v>-4.6656111619203494E-2</v>
      </c>
      <c r="U1370" t="str">
        <f t="shared" si="277"/>
        <v>2015-06</v>
      </c>
      <c r="W1370">
        <v>22569.95</v>
      </c>
      <c r="X1370">
        <f t="shared" si="284"/>
        <v>-5.3085952884695177E-2</v>
      </c>
      <c r="Y1370">
        <f t="shared" si="285"/>
        <v>-5.1701500012394729E-2</v>
      </c>
      <c r="Z1370" t="str">
        <f t="shared" si="278"/>
        <v>2015-06</v>
      </c>
    </row>
    <row r="1371" spans="1:26" x14ac:dyDescent="0.35">
      <c r="A1371" s="1">
        <v>42185</v>
      </c>
      <c r="C1371">
        <v>3424.3</v>
      </c>
      <c r="D1371">
        <f t="shared" si="279"/>
        <v>-1.2940469557092759E-2</v>
      </c>
      <c r="E1371" t="str">
        <f t="shared" si="273"/>
        <v>2015-06</v>
      </c>
      <c r="G1371">
        <v>4790.2</v>
      </c>
      <c r="H1371">
        <f t="shared" si="280"/>
        <v>-1.6484811221189027E-2</v>
      </c>
      <c r="I1371" t="str">
        <f t="shared" si="274"/>
        <v>2015-06</v>
      </c>
      <c r="K1371">
        <v>10944.97</v>
      </c>
      <c r="L1371">
        <f t="shared" si="281"/>
        <v>-1.2550458292749263E-2</v>
      </c>
      <c r="M1371" t="str">
        <f t="shared" si="275"/>
        <v>2015-06</v>
      </c>
      <c r="O1371">
        <v>9194.1549799999993</v>
      </c>
      <c r="P1371">
        <f t="shared" si="282"/>
        <v>-1.0578632195464907E-2</v>
      </c>
      <c r="Q1371" t="str">
        <f t="shared" si="276"/>
        <v>2015-06</v>
      </c>
      <c r="S1371">
        <v>10769.5</v>
      </c>
      <c r="T1371">
        <f t="shared" si="283"/>
        <v>-7.8063975702057295E-3</v>
      </c>
      <c r="U1371" t="str">
        <f t="shared" si="277"/>
        <v>2015-06</v>
      </c>
      <c r="W1371">
        <v>22460.71</v>
      </c>
      <c r="X1371">
        <f t="shared" si="284"/>
        <v>-4.8518149320204984E-3</v>
      </c>
      <c r="Y1371">
        <f t="shared" si="285"/>
        <v>-4.8400638902612366E-3</v>
      </c>
      <c r="Z1371" t="str">
        <f t="shared" si="278"/>
        <v>2015-06</v>
      </c>
    </row>
    <row r="1372" spans="1:26" x14ac:dyDescent="0.35">
      <c r="A1372" s="1">
        <v>42186</v>
      </c>
      <c r="C1372">
        <v>3496.28</v>
      </c>
      <c r="D1372">
        <f t="shared" si="279"/>
        <v>2.080247485551831E-2</v>
      </c>
      <c r="E1372" t="str">
        <f t="shared" si="273"/>
        <v>2015-07</v>
      </c>
      <c r="G1372">
        <v>4883.1899999999996</v>
      </c>
      <c r="H1372">
        <f t="shared" si="280"/>
        <v>1.9226530623756725E-2</v>
      </c>
      <c r="I1372" t="str">
        <f t="shared" si="274"/>
        <v>2015-07</v>
      </c>
      <c r="K1372">
        <v>11180.5</v>
      </c>
      <c r="L1372">
        <f t="shared" si="281"/>
        <v>2.1291199452609089E-2</v>
      </c>
      <c r="M1372" t="str">
        <f t="shared" si="275"/>
        <v>2015-07</v>
      </c>
      <c r="O1372">
        <v>9318.0164299999997</v>
      </c>
      <c r="P1372">
        <f t="shared" si="282"/>
        <v>1.3381822759364599E-2</v>
      </c>
      <c r="Q1372" t="str">
        <f t="shared" si="276"/>
        <v>2015-07</v>
      </c>
      <c r="S1372">
        <v>10911.5</v>
      </c>
      <c r="T1372">
        <f t="shared" si="283"/>
        <v>1.309921410164476E-2</v>
      </c>
      <c r="U1372" t="str">
        <f t="shared" si="277"/>
        <v>2015-07</v>
      </c>
      <c r="W1372">
        <v>22943.64</v>
      </c>
      <c r="X1372">
        <f t="shared" si="284"/>
        <v>2.127321335265972E-2</v>
      </c>
      <c r="Y1372">
        <f t="shared" si="285"/>
        <v>2.1501101256371696E-2</v>
      </c>
      <c r="Z1372" t="str">
        <f t="shared" si="278"/>
        <v>2015-07</v>
      </c>
    </row>
    <row r="1373" spans="1:26" x14ac:dyDescent="0.35">
      <c r="A1373" s="1">
        <v>42187</v>
      </c>
      <c r="C1373">
        <v>3463.25</v>
      </c>
      <c r="D1373">
        <f t="shared" si="279"/>
        <v>-9.4920915634629389E-3</v>
      </c>
      <c r="E1373" t="str">
        <f t="shared" si="273"/>
        <v>2015-07</v>
      </c>
      <c r="G1373">
        <v>4835.5600000000004</v>
      </c>
      <c r="H1373">
        <f t="shared" si="280"/>
        <v>-9.8017504996730422E-3</v>
      </c>
      <c r="I1373" t="str">
        <f t="shared" si="274"/>
        <v>2015-07</v>
      </c>
      <c r="K1373">
        <v>11099.35</v>
      </c>
      <c r="L1373">
        <f t="shared" si="281"/>
        <v>-7.2846414009528262E-3</v>
      </c>
      <c r="M1373" t="str">
        <f t="shared" si="275"/>
        <v>2015-07</v>
      </c>
      <c r="O1373">
        <v>9327.2356</v>
      </c>
      <c r="P1373">
        <f t="shared" si="282"/>
        <v>9.889027765861624E-4</v>
      </c>
      <c r="Q1373" t="str">
        <f t="shared" si="276"/>
        <v>2015-07</v>
      </c>
      <c r="S1373">
        <v>10846.4</v>
      </c>
      <c r="T1373">
        <f t="shared" si="283"/>
        <v>-5.9840512423534036E-3</v>
      </c>
      <c r="U1373" t="str">
        <f t="shared" si="277"/>
        <v>2015-07</v>
      </c>
      <c r="W1373">
        <v>22616.5</v>
      </c>
      <c r="X1373">
        <f t="shared" si="284"/>
        <v>-1.4361045528687302E-2</v>
      </c>
      <c r="Y1373">
        <f t="shared" si="285"/>
        <v>-1.425841758326052E-2</v>
      </c>
      <c r="Z1373" t="str">
        <f t="shared" si="278"/>
        <v>2015-07</v>
      </c>
    </row>
    <row r="1374" spans="1:26" x14ac:dyDescent="0.35">
      <c r="A1374" s="1">
        <v>42188</v>
      </c>
      <c r="C1374">
        <v>3441.76</v>
      </c>
      <c r="D1374">
        <f t="shared" si="279"/>
        <v>-6.2244861005005658E-3</v>
      </c>
      <c r="E1374" t="str">
        <f t="shared" si="273"/>
        <v>2015-07</v>
      </c>
      <c r="G1374">
        <v>4808.22</v>
      </c>
      <c r="H1374">
        <f t="shared" si="280"/>
        <v>-5.6699910710615179E-3</v>
      </c>
      <c r="I1374" t="str">
        <f t="shared" si="274"/>
        <v>2015-07</v>
      </c>
      <c r="K1374">
        <v>11058.39</v>
      </c>
      <c r="L1374">
        <f t="shared" si="281"/>
        <v>-3.6971321674606071E-3</v>
      </c>
      <c r="M1374" t="str">
        <f t="shared" si="275"/>
        <v>2015-07</v>
      </c>
      <c r="O1374">
        <v>9267.7960800000001</v>
      </c>
      <c r="P1374">
        <f t="shared" si="282"/>
        <v>-6.3930756850399699E-3</v>
      </c>
      <c r="Q1374" t="str">
        <f t="shared" si="276"/>
        <v>2015-07</v>
      </c>
      <c r="S1374">
        <v>10779.8</v>
      </c>
      <c r="T1374">
        <f t="shared" si="283"/>
        <v>-6.1592152615155427E-3</v>
      </c>
      <c r="U1374" t="str">
        <f t="shared" si="277"/>
        <v>2015-07</v>
      </c>
      <c r="W1374">
        <v>22508.13</v>
      </c>
      <c r="X1374">
        <f t="shared" si="284"/>
        <v>-4.8031511103181369E-3</v>
      </c>
      <c r="Y1374">
        <f t="shared" si="285"/>
        <v>-4.7916344261932208E-3</v>
      </c>
      <c r="Z1374" t="str">
        <f t="shared" si="278"/>
        <v>2015-07</v>
      </c>
    </row>
    <row r="1375" spans="1:26" x14ac:dyDescent="0.35">
      <c r="A1375" s="1">
        <v>42191</v>
      </c>
      <c r="C1375">
        <v>3365.2</v>
      </c>
      <c r="D1375">
        <f t="shared" si="279"/>
        <v>-2.2495571760829457E-2</v>
      </c>
      <c r="E1375" t="str">
        <f t="shared" si="273"/>
        <v>2015-07</v>
      </c>
      <c r="G1375">
        <v>4711.54</v>
      </c>
      <c r="H1375">
        <f t="shared" si="280"/>
        <v>-2.0312134763772478E-2</v>
      </c>
      <c r="I1375" t="str">
        <f t="shared" si="274"/>
        <v>2015-07</v>
      </c>
      <c r="K1375">
        <v>10890.63</v>
      </c>
      <c r="L1375">
        <f t="shared" si="281"/>
        <v>-1.5286629366429938E-2</v>
      </c>
      <c r="M1375" t="str">
        <f t="shared" si="275"/>
        <v>2015-07</v>
      </c>
      <c r="O1375">
        <v>9218.4069799999997</v>
      </c>
      <c r="P1375">
        <f t="shared" si="282"/>
        <v>-5.343359839843174E-3</v>
      </c>
      <c r="Q1375" t="str">
        <f t="shared" si="276"/>
        <v>2015-07</v>
      </c>
      <c r="S1375">
        <v>10540.1</v>
      </c>
      <c r="T1375">
        <f t="shared" si="283"/>
        <v>-2.2486981698805735E-2</v>
      </c>
      <c r="U1375" t="str">
        <f t="shared" si="277"/>
        <v>2015-07</v>
      </c>
      <c r="W1375">
        <v>21600.720000000001</v>
      </c>
      <c r="X1375">
        <f t="shared" si="284"/>
        <v>-4.1149929810630592E-2</v>
      </c>
      <c r="Y1375">
        <f t="shared" si="285"/>
        <v>-4.0314766264456438E-2</v>
      </c>
      <c r="Z1375" t="str">
        <f t="shared" si="278"/>
        <v>2015-07</v>
      </c>
    </row>
    <row r="1376" spans="1:26" x14ac:dyDescent="0.35">
      <c r="A1376" s="1">
        <v>42192</v>
      </c>
      <c r="C1376">
        <v>3294.19</v>
      </c>
      <c r="D1376">
        <f t="shared" si="279"/>
        <v>-2.1327085971085302E-2</v>
      </c>
      <c r="E1376" t="str">
        <f t="shared" si="273"/>
        <v>2015-07</v>
      </c>
      <c r="G1376">
        <v>4604.6400000000003</v>
      </c>
      <c r="H1376">
        <f t="shared" si="280"/>
        <v>-2.2950327738248372E-2</v>
      </c>
      <c r="I1376" t="str">
        <f t="shared" si="274"/>
        <v>2015-07</v>
      </c>
      <c r="K1376">
        <v>10676.78</v>
      </c>
      <c r="L1376">
        <f t="shared" si="281"/>
        <v>-1.9831496566209937E-2</v>
      </c>
      <c r="M1376" t="str">
        <f t="shared" si="275"/>
        <v>2015-07</v>
      </c>
      <c r="O1376">
        <v>9070.5979900000002</v>
      </c>
      <c r="P1376">
        <f t="shared" si="282"/>
        <v>-1.6164051404705362E-2</v>
      </c>
      <c r="Q1376" t="str">
        <f t="shared" si="276"/>
        <v>2015-07</v>
      </c>
      <c r="S1376">
        <v>10346</v>
      </c>
      <c r="T1376">
        <f t="shared" si="283"/>
        <v>-1.858705915291951E-2</v>
      </c>
      <c r="U1376" t="str">
        <f t="shared" si="277"/>
        <v>2015-07</v>
      </c>
      <c r="W1376">
        <v>20958.48</v>
      </c>
      <c r="X1376">
        <f t="shared" si="284"/>
        <v>-3.0183309728673467E-2</v>
      </c>
      <c r="Y1376">
        <f t="shared" si="285"/>
        <v>-2.973234225525823E-2</v>
      </c>
      <c r="Z1376" t="str">
        <f t="shared" si="278"/>
        <v>2015-07</v>
      </c>
    </row>
    <row r="1377" spans="1:26" x14ac:dyDescent="0.35">
      <c r="A1377" s="1">
        <v>42193</v>
      </c>
      <c r="C1377">
        <v>3327.5</v>
      </c>
      <c r="D1377">
        <f t="shared" si="279"/>
        <v>1.0060960563693546E-2</v>
      </c>
      <c r="E1377" t="str">
        <f t="shared" si="273"/>
        <v>2015-07</v>
      </c>
      <c r="G1377">
        <v>4639.0200000000004</v>
      </c>
      <c r="H1377">
        <f t="shared" si="280"/>
        <v>7.4386462786846051E-3</v>
      </c>
      <c r="I1377" t="str">
        <f t="shared" si="274"/>
        <v>2015-07</v>
      </c>
      <c r="K1377">
        <v>10747.3</v>
      </c>
      <c r="L1377">
        <f t="shared" si="281"/>
        <v>6.5832702913078888E-3</v>
      </c>
      <c r="M1377" t="str">
        <f t="shared" si="275"/>
        <v>2015-07</v>
      </c>
      <c r="O1377">
        <v>9007.6818600000006</v>
      </c>
      <c r="P1377">
        <f t="shared" si="282"/>
        <v>-6.9604392158675674E-3</v>
      </c>
      <c r="Q1377" t="str">
        <f t="shared" si="276"/>
        <v>2015-07</v>
      </c>
      <c r="S1377">
        <v>10430.299999999999</v>
      </c>
      <c r="T1377">
        <f t="shared" si="283"/>
        <v>8.1150602008309494E-3</v>
      </c>
      <c r="U1377" t="str">
        <f t="shared" si="277"/>
        <v>2015-07</v>
      </c>
      <c r="W1377">
        <v>21512.39</v>
      </c>
      <c r="X1377">
        <f t="shared" si="284"/>
        <v>2.6085710479131458E-2</v>
      </c>
      <c r="Y1377">
        <f t="shared" si="285"/>
        <v>2.6428920417892895E-2</v>
      </c>
      <c r="Z1377" t="str">
        <f t="shared" si="278"/>
        <v>2015-07</v>
      </c>
    </row>
    <row r="1378" spans="1:26" x14ac:dyDescent="0.35">
      <c r="A1378" s="1">
        <v>42194</v>
      </c>
      <c r="C1378">
        <v>3420.03</v>
      </c>
      <c r="D1378">
        <f t="shared" si="279"/>
        <v>2.7428051678735538E-2</v>
      </c>
      <c r="E1378" t="str">
        <f t="shared" si="273"/>
        <v>2015-07</v>
      </c>
      <c r="G1378">
        <v>4757.22</v>
      </c>
      <c r="H1378">
        <f t="shared" si="280"/>
        <v>2.5160326981524934E-2</v>
      </c>
      <c r="I1378" t="str">
        <f t="shared" si="274"/>
        <v>2015-07</v>
      </c>
      <c r="K1378">
        <v>10996.41</v>
      </c>
      <c r="L1378">
        <f t="shared" si="281"/>
        <v>2.2914295657487052E-2</v>
      </c>
      <c r="M1378" t="str">
        <f t="shared" si="275"/>
        <v>2015-07</v>
      </c>
      <c r="O1378">
        <v>9183.6558600000008</v>
      </c>
      <c r="P1378">
        <f t="shared" si="282"/>
        <v>1.9347613907136262E-2</v>
      </c>
      <c r="Q1378" t="str">
        <f t="shared" si="276"/>
        <v>2015-07</v>
      </c>
      <c r="S1378">
        <v>10706.4</v>
      </c>
      <c r="T1378">
        <f t="shared" si="283"/>
        <v>2.6126661717873319E-2</v>
      </c>
      <c r="U1378" t="str">
        <f t="shared" si="277"/>
        <v>2015-07</v>
      </c>
      <c r="W1378">
        <v>22268.51</v>
      </c>
      <c r="X1378">
        <f t="shared" si="284"/>
        <v>3.4544524660818629E-2</v>
      </c>
      <c r="Y1378">
        <f t="shared" si="285"/>
        <v>3.5148116968872309E-2</v>
      </c>
      <c r="Z1378" t="str">
        <f t="shared" si="278"/>
        <v>2015-07</v>
      </c>
    </row>
    <row r="1379" spans="1:26" x14ac:dyDescent="0.35">
      <c r="A1379" s="1">
        <v>42195</v>
      </c>
      <c r="C1379">
        <v>3528.81</v>
      </c>
      <c r="D1379">
        <f t="shared" si="279"/>
        <v>3.1311380663242037E-2</v>
      </c>
      <c r="E1379" t="str">
        <f t="shared" si="273"/>
        <v>2015-07</v>
      </c>
      <c r="G1379">
        <v>4903.07</v>
      </c>
      <c r="H1379">
        <f t="shared" si="280"/>
        <v>3.0198075524643143E-2</v>
      </c>
      <c r="I1379" t="str">
        <f t="shared" si="274"/>
        <v>2015-07</v>
      </c>
      <c r="K1379">
        <v>11315.63</v>
      </c>
      <c r="L1379">
        <f t="shared" si="281"/>
        <v>2.8616099944853757E-2</v>
      </c>
      <c r="M1379" t="str">
        <f t="shared" si="275"/>
        <v>2015-07</v>
      </c>
      <c r="O1379">
        <v>9283.6076200000007</v>
      </c>
      <c r="P1379">
        <f t="shared" si="282"/>
        <v>1.0824856223506754E-2</v>
      </c>
      <c r="Q1379" t="str">
        <f t="shared" si="276"/>
        <v>2015-07</v>
      </c>
      <c r="S1379">
        <v>11036.1</v>
      </c>
      <c r="T1379">
        <f t="shared" si="283"/>
        <v>3.0330024068036678E-2</v>
      </c>
      <c r="U1379" t="str">
        <f t="shared" si="277"/>
        <v>2015-07</v>
      </c>
      <c r="W1379">
        <v>22937.4</v>
      </c>
      <c r="X1379">
        <f t="shared" si="284"/>
        <v>2.9595193253075098E-2</v>
      </c>
      <c r="Y1379">
        <f t="shared" si="285"/>
        <v>3.0037483423902323E-2</v>
      </c>
      <c r="Z1379" t="str">
        <f t="shared" si="278"/>
        <v>2015-07</v>
      </c>
    </row>
    <row r="1380" spans="1:26" x14ac:dyDescent="0.35">
      <c r="A1380" s="1">
        <v>42198</v>
      </c>
      <c r="C1380">
        <v>3590.43</v>
      </c>
      <c r="D1380">
        <f t="shared" si="279"/>
        <v>1.7311268857143524E-2</v>
      </c>
      <c r="E1380" t="str">
        <f t="shared" si="273"/>
        <v>2015-07</v>
      </c>
      <c r="G1380">
        <v>4998.1000000000004</v>
      </c>
      <c r="H1380">
        <f t="shared" si="280"/>
        <v>1.919630067534172E-2</v>
      </c>
      <c r="I1380" t="str">
        <f t="shared" si="274"/>
        <v>2015-07</v>
      </c>
      <c r="K1380">
        <v>11484.38</v>
      </c>
      <c r="L1380">
        <f t="shared" si="281"/>
        <v>1.4802895388560786E-2</v>
      </c>
      <c r="M1380" t="str">
        <f t="shared" si="275"/>
        <v>2015-07</v>
      </c>
      <c r="O1380">
        <v>9482.4067200000009</v>
      </c>
      <c r="P1380">
        <f t="shared" si="282"/>
        <v>2.118793405550834E-2</v>
      </c>
      <c r="Q1380" t="str">
        <f t="shared" si="276"/>
        <v>2015-07</v>
      </c>
      <c r="S1380">
        <v>11224.2</v>
      </c>
      <c r="T1380">
        <f t="shared" si="283"/>
        <v>1.69004440327125E-2</v>
      </c>
      <c r="U1380" t="str">
        <f t="shared" si="277"/>
        <v>2015-07</v>
      </c>
      <c r="W1380">
        <v>23167.040000000001</v>
      </c>
      <c r="X1380">
        <f t="shared" si="284"/>
        <v>9.9618127484423901E-3</v>
      </c>
      <c r="Y1380">
        <f t="shared" si="285"/>
        <v>1.0011596780803378E-2</v>
      </c>
      <c r="Z1380" t="str">
        <f t="shared" si="278"/>
        <v>2015-07</v>
      </c>
    </row>
    <row r="1381" spans="1:26" x14ac:dyDescent="0.35">
      <c r="A1381" s="1">
        <v>42199</v>
      </c>
      <c r="C1381">
        <v>3607.19</v>
      </c>
      <c r="D1381">
        <f t="shared" si="279"/>
        <v>4.6571034013329063E-3</v>
      </c>
      <c r="E1381" t="str">
        <f t="shared" si="273"/>
        <v>2015-07</v>
      </c>
      <c r="G1381">
        <v>5032.47</v>
      </c>
      <c r="H1381">
        <f t="shared" si="280"/>
        <v>6.8530770463737789E-3</v>
      </c>
      <c r="I1381" t="str">
        <f t="shared" si="274"/>
        <v>2015-07</v>
      </c>
      <c r="K1381">
        <v>11516.9</v>
      </c>
      <c r="L1381">
        <f t="shared" si="281"/>
        <v>2.8276706051490659E-3</v>
      </c>
      <c r="M1381" t="str">
        <f t="shared" si="275"/>
        <v>2015-07</v>
      </c>
      <c r="O1381">
        <v>9560.1447499999995</v>
      </c>
      <c r="P1381">
        <f t="shared" si="282"/>
        <v>8.1647106978229439E-3</v>
      </c>
      <c r="Q1381" t="str">
        <f t="shared" si="276"/>
        <v>2015-07</v>
      </c>
      <c r="S1381">
        <v>11258.3</v>
      </c>
      <c r="T1381">
        <f t="shared" si="283"/>
        <v>3.0334728031926796E-3</v>
      </c>
      <c r="U1381" t="str">
        <f t="shared" si="277"/>
        <v>2015-07</v>
      </c>
      <c r="W1381">
        <v>23097.51</v>
      </c>
      <c r="X1381">
        <f t="shared" si="284"/>
        <v>-3.0057593707455191E-3</v>
      </c>
      <c r="Y1381">
        <f t="shared" si="285"/>
        <v>-3.0012465986160716E-3</v>
      </c>
      <c r="Z1381" t="str">
        <f t="shared" si="278"/>
        <v>2015-07</v>
      </c>
    </row>
    <row r="1382" spans="1:26" x14ac:dyDescent="0.35">
      <c r="A1382" s="1">
        <v>42200</v>
      </c>
      <c r="C1382">
        <v>3623.87</v>
      </c>
      <c r="D1382">
        <f t="shared" si="279"/>
        <v>4.6134396850550617E-3</v>
      </c>
      <c r="E1382" t="str">
        <f t="shared" si="273"/>
        <v>2015-07</v>
      </c>
      <c r="G1382">
        <v>5047.24</v>
      </c>
      <c r="H1382">
        <f t="shared" si="280"/>
        <v>2.9306419671219458E-3</v>
      </c>
      <c r="I1382" t="str">
        <f t="shared" si="274"/>
        <v>2015-07</v>
      </c>
      <c r="K1382">
        <v>11539.66</v>
      </c>
      <c r="L1382">
        <f t="shared" si="281"/>
        <v>1.9742760752481619E-3</v>
      </c>
      <c r="M1382" t="str">
        <f t="shared" si="275"/>
        <v>2015-07</v>
      </c>
      <c r="O1382">
        <v>9641.6922400000003</v>
      </c>
      <c r="P1382">
        <f t="shared" si="282"/>
        <v>8.4937686228778366E-3</v>
      </c>
      <c r="Q1382" t="str">
        <f t="shared" si="276"/>
        <v>2015-07</v>
      </c>
      <c r="S1382">
        <v>11335.7</v>
      </c>
      <c r="T1382">
        <f t="shared" si="283"/>
        <v>6.8514032728956079E-3</v>
      </c>
      <c r="U1382" t="str">
        <f t="shared" si="277"/>
        <v>2015-07</v>
      </c>
      <c r="W1382">
        <v>23392.75</v>
      </c>
      <c r="X1382">
        <f t="shared" si="284"/>
        <v>1.2701325786929344E-2</v>
      </c>
      <c r="Y1382">
        <f t="shared" si="285"/>
        <v>1.2782330216547223E-2</v>
      </c>
      <c r="Z1382" t="str">
        <f t="shared" si="278"/>
        <v>2015-07</v>
      </c>
    </row>
    <row r="1383" spans="1:26" x14ac:dyDescent="0.35">
      <c r="A1383" s="1">
        <v>42201</v>
      </c>
      <c r="C1383">
        <v>3676.41</v>
      </c>
      <c r="D1383">
        <f t="shared" si="279"/>
        <v>1.4394216977704271E-2</v>
      </c>
      <c r="E1383" t="str">
        <f t="shared" si="273"/>
        <v>2015-07</v>
      </c>
      <c r="G1383">
        <v>5121.5</v>
      </c>
      <c r="H1383">
        <f t="shared" si="280"/>
        <v>1.4605805665151761E-2</v>
      </c>
      <c r="I1383" t="str">
        <f t="shared" si="274"/>
        <v>2015-07</v>
      </c>
      <c r="K1383">
        <v>11716.76</v>
      </c>
      <c r="L1383">
        <f t="shared" si="281"/>
        <v>1.5230497509817377E-2</v>
      </c>
      <c r="M1383" t="str">
        <f t="shared" si="275"/>
        <v>2015-07</v>
      </c>
      <c r="O1383">
        <v>9753.49316</v>
      </c>
      <c r="P1383">
        <f t="shared" si="282"/>
        <v>1.15288568809371E-2</v>
      </c>
      <c r="Q1383" t="str">
        <f t="shared" si="276"/>
        <v>2015-07</v>
      </c>
      <c r="S1383">
        <v>11510.6</v>
      </c>
      <c r="T1383">
        <f t="shared" si="283"/>
        <v>1.5311312282118725E-2</v>
      </c>
      <c r="U1383" t="str">
        <f t="shared" si="277"/>
        <v>2015-07</v>
      </c>
      <c r="W1383">
        <v>23783.14</v>
      </c>
      <c r="X1383">
        <f t="shared" si="284"/>
        <v>1.6550780982972413E-2</v>
      </c>
      <c r="Y1383">
        <f t="shared" si="285"/>
        <v>1.6688503916811807E-2</v>
      </c>
      <c r="Z1383" t="str">
        <f t="shared" si="278"/>
        <v>2015-07</v>
      </c>
    </row>
    <row r="1384" spans="1:26" x14ac:dyDescent="0.35">
      <c r="A1384" s="1">
        <v>42202</v>
      </c>
      <c r="C1384">
        <v>3670.34</v>
      </c>
      <c r="D1384">
        <f t="shared" si="279"/>
        <v>-1.6524317231954228E-3</v>
      </c>
      <c r="E1384" t="str">
        <f t="shared" si="273"/>
        <v>2015-07</v>
      </c>
      <c r="G1384">
        <v>5124.3900000000003</v>
      </c>
      <c r="H1384">
        <f t="shared" si="280"/>
        <v>5.6412865581093074E-4</v>
      </c>
      <c r="I1384" t="str">
        <f t="shared" si="274"/>
        <v>2015-07</v>
      </c>
      <c r="K1384">
        <v>11673.42</v>
      </c>
      <c r="L1384">
        <f t="shared" si="281"/>
        <v>-3.7058329264436037E-3</v>
      </c>
      <c r="M1384" t="str">
        <f t="shared" si="275"/>
        <v>2015-07</v>
      </c>
      <c r="O1384">
        <v>9751.6970799999999</v>
      </c>
      <c r="P1384">
        <f t="shared" si="282"/>
        <v>-1.8416431554639924E-4</v>
      </c>
      <c r="Q1384" t="str">
        <f t="shared" si="276"/>
        <v>2015-07</v>
      </c>
      <c r="S1384">
        <v>11480.7</v>
      </c>
      <c r="T1384">
        <f t="shared" si="283"/>
        <v>-2.6009853167444719E-3</v>
      </c>
      <c r="U1384" t="str">
        <f t="shared" si="277"/>
        <v>2015-07</v>
      </c>
      <c r="W1384">
        <v>23765.41</v>
      </c>
      <c r="X1384">
        <f t="shared" si="284"/>
        <v>-7.4576410097598115E-4</v>
      </c>
      <c r="Y1384">
        <f t="shared" si="285"/>
        <v>-7.454860880438648E-4</v>
      </c>
      <c r="Z1384" t="str">
        <f t="shared" si="278"/>
        <v>2015-07</v>
      </c>
    </row>
    <row r="1385" spans="1:26" x14ac:dyDescent="0.35">
      <c r="A1385" s="1">
        <v>42205</v>
      </c>
      <c r="C1385">
        <v>3686.58</v>
      </c>
      <c r="D1385">
        <f t="shared" si="279"/>
        <v>4.4148981851786341E-3</v>
      </c>
      <c r="E1385" t="str">
        <f t="shared" si="273"/>
        <v>2015-07</v>
      </c>
      <c r="G1385">
        <v>5142.49</v>
      </c>
      <c r="H1385">
        <f t="shared" si="280"/>
        <v>3.5259044133365792E-3</v>
      </c>
      <c r="I1385" t="str">
        <f t="shared" si="274"/>
        <v>2015-07</v>
      </c>
      <c r="K1385">
        <v>11735.72</v>
      </c>
      <c r="L1385">
        <f t="shared" si="281"/>
        <v>5.3227198510358027E-3</v>
      </c>
      <c r="M1385" t="str">
        <f t="shared" si="275"/>
        <v>2015-07</v>
      </c>
      <c r="O1385">
        <v>9756.9024000000009</v>
      </c>
      <c r="P1385">
        <f t="shared" si="282"/>
        <v>5.3364365072611816E-4</v>
      </c>
      <c r="Q1385" t="str">
        <f t="shared" si="276"/>
        <v>2015-07</v>
      </c>
      <c r="S1385">
        <v>11556.1</v>
      </c>
      <c r="T1385">
        <f t="shared" si="283"/>
        <v>6.5460714376342991E-3</v>
      </c>
      <c r="U1385" t="str">
        <f t="shared" si="277"/>
        <v>2015-07</v>
      </c>
      <c r="W1385">
        <v>24031.19</v>
      </c>
      <c r="X1385">
        <f t="shared" si="284"/>
        <v>1.1121407774892074E-2</v>
      </c>
      <c r="Y1385">
        <f t="shared" si="285"/>
        <v>1.1183480529054574E-2</v>
      </c>
      <c r="Z1385" t="str">
        <f t="shared" si="278"/>
        <v>2015-07</v>
      </c>
    </row>
    <row r="1386" spans="1:26" x14ac:dyDescent="0.35">
      <c r="A1386" s="1">
        <v>42206</v>
      </c>
      <c r="C1386">
        <v>3647.96</v>
      </c>
      <c r="D1386">
        <f t="shared" si="279"/>
        <v>-1.0531091772637042E-2</v>
      </c>
      <c r="E1386" t="str">
        <f t="shared" si="273"/>
        <v>2015-07</v>
      </c>
      <c r="G1386">
        <v>5106.57</v>
      </c>
      <c r="H1386">
        <f t="shared" si="280"/>
        <v>-7.0094520023460793E-3</v>
      </c>
      <c r="I1386" t="str">
        <f t="shared" si="274"/>
        <v>2015-07</v>
      </c>
      <c r="K1386">
        <v>11604.8</v>
      </c>
      <c r="L1386">
        <f t="shared" si="281"/>
        <v>-1.1218376715015767E-2</v>
      </c>
      <c r="M1386" t="str">
        <f t="shared" si="275"/>
        <v>2015-07</v>
      </c>
      <c r="O1386">
        <v>9615.0439600000009</v>
      </c>
      <c r="P1386">
        <f t="shared" si="282"/>
        <v>-1.4646021947893982E-2</v>
      </c>
      <c r="Q1386" t="str">
        <f t="shared" si="276"/>
        <v>2015-07</v>
      </c>
      <c r="S1386">
        <v>11458.6</v>
      </c>
      <c r="T1386">
        <f t="shared" si="283"/>
        <v>-8.4728963047811072E-3</v>
      </c>
      <c r="U1386" t="str">
        <f t="shared" si="277"/>
        <v>2015-07</v>
      </c>
      <c r="W1386">
        <v>23712.9</v>
      </c>
      <c r="X1386">
        <f t="shared" si="284"/>
        <v>-1.3333366094802778E-2</v>
      </c>
      <c r="Y1386">
        <f t="shared" si="285"/>
        <v>-1.324487052035281E-2</v>
      </c>
      <c r="Z1386" t="str">
        <f t="shared" si="278"/>
        <v>2015-07</v>
      </c>
    </row>
    <row r="1387" spans="1:26" x14ac:dyDescent="0.35">
      <c r="A1387" s="1">
        <v>42207</v>
      </c>
      <c r="C1387">
        <v>3635.58</v>
      </c>
      <c r="D1387">
        <f t="shared" si="279"/>
        <v>-3.3994491475848798E-3</v>
      </c>
      <c r="E1387" t="str">
        <f t="shared" si="273"/>
        <v>2015-07</v>
      </c>
      <c r="G1387">
        <v>5082.57</v>
      </c>
      <c r="H1387">
        <f t="shared" si="280"/>
        <v>-4.7109067861014825E-3</v>
      </c>
      <c r="I1387" t="str">
        <f t="shared" si="274"/>
        <v>2015-07</v>
      </c>
      <c r="K1387">
        <v>11520.67</v>
      </c>
      <c r="L1387">
        <f t="shared" si="281"/>
        <v>-7.2759923282544898E-3</v>
      </c>
      <c r="M1387" t="str">
        <f t="shared" si="275"/>
        <v>2015-07</v>
      </c>
      <c r="O1387">
        <v>9535.9534000000003</v>
      </c>
      <c r="P1387">
        <f t="shared" si="282"/>
        <v>-8.2597274870850317E-3</v>
      </c>
      <c r="Q1387" t="str">
        <f t="shared" si="276"/>
        <v>2015-07</v>
      </c>
      <c r="S1387">
        <v>11484.3</v>
      </c>
      <c r="T1387">
        <f t="shared" si="283"/>
        <v>2.2403454445026234E-3</v>
      </c>
      <c r="U1387" t="str">
        <f t="shared" si="277"/>
        <v>2015-07</v>
      </c>
      <c r="W1387">
        <v>23681.11</v>
      </c>
      <c r="X1387">
        <f t="shared" si="284"/>
        <v>-1.3415199417665432E-3</v>
      </c>
      <c r="Y1387">
        <f t="shared" si="285"/>
        <v>-1.340620506138046E-3</v>
      </c>
      <c r="Z1387" t="str">
        <f t="shared" si="278"/>
        <v>2015-07</v>
      </c>
    </row>
    <row r="1388" spans="1:26" x14ac:dyDescent="0.35">
      <c r="A1388" s="1">
        <v>42208</v>
      </c>
      <c r="C1388">
        <v>3634.64</v>
      </c>
      <c r="D1388">
        <f t="shared" si="279"/>
        <v>-2.5858915004997926E-4</v>
      </c>
      <c r="E1388" t="str">
        <f t="shared" si="273"/>
        <v>2015-07</v>
      </c>
      <c r="G1388">
        <v>5086.74</v>
      </c>
      <c r="H1388">
        <f t="shared" si="280"/>
        <v>8.2011468501288261E-4</v>
      </c>
      <c r="I1388" t="str">
        <f t="shared" si="274"/>
        <v>2015-07</v>
      </c>
      <c r="K1388">
        <v>11512.11</v>
      </c>
      <c r="L1388">
        <f t="shared" si="281"/>
        <v>-7.4328851264161095E-4</v>
      </c>
      <c r="M1388" t="str">
        <f t="shared" si="275"/>
        <v>2015-07</v>
      </c>
      <c r="O1388">
        <v>9391.3554199999999</v>
      </c>
      <c r="P1388">
        <f t="shared" si="282"/>
        <v>-1.527959358511845E-2</v>
      </c>
      <c r="Q1388" t="str">
        <f t="shared" si="276"/>
        <v>2015-07</v>
      </c>
      <c r="S1388">
        <v>11441.9</v>
      </c>
      <c r="T1388">
        <f t="shared" si="283"/>
        <v>-3.6988291422663066E-3</v>
      </c>
      <c r="U1388" t="str">
        <f t="shared" si="277"/>
        <v>2015-07</v>
      </c>
      <c r="W1388">
        <v>23633.05</v>
      </c>
      <c r="X1388">
        <f t="shared" si="284"/>
        <v>-2.0315278356017566E-3</v>
      </c>
      <c r="Y1388">
        <f t="shared" si="285"/>
        <v>-2.0294656796071343E-3</v>
      </c>
      <c r="Z1388" t="str">
        <f t="shared" si="278"/>
        <v>2015-07</v>
      </c>
    </row>
    <row r="1389" spans="1:26" x14ac:dyDescent="0.35">
      <c r="A1389" s="1">
        <v>42209</v>
      </c>
      <c r="C1389">
        <v>3600</v>
      </c>
      <c r="D1389">
        <f t="shared" si="279"/>
        <v>-9.57622347999002E-3</v>
      </c>
      <c r="E1389" t="str">
        <f t="shared" si="273"/>
        <v>2015-07</v>
      </c>
      <c r="G1389">
        <v>5057.3599999999997</v>
      </c>
      <c r="H1389">
        <f t="shared" si="280"/>
        <v>-5.7925458444456762E-3</v>
      </c>
      <c r="I1389" t="str">
        <f t="shared" si="274"/>
        <v>2015-07</v>
      </c>
      <c r="K1389">
        <v>11347.45</v>
      </c>
      <c r="L1389">
        <f t="shared" si="281"/>
        <v>-1.4406475704223378E-2</v>
      </c>
      <c r="M1389" t="str">
        <f t="shared" si="275"/>
        <v>2015-07</v>
      </c>
      <c r="O1389">
        <v>9295.5249899999999</v>
      </c>
      <c r="P1389">
        <f t="shared" si="282"/>
        <v>-1.0256529498836028E-2</v>
      </c>
      <c r="Q1389" t="str">
        <f t="shared" si="276"/>
        <v>2015-07</v>
      </c>
      <c r="S1389">
        <v>11309.3</v>
      </c>
      <c r="T1389">
        <f t="shared" si="283"/>
        <v>-1.1656659995554557E-2</v>
      </c>
      <c r="U1389" t="str">
        <f t="shared" si="277"/>
        <v>2015-07</v>
      </c>
      <c r="W1389">
        <v>23507.7</v>
      </c>
      <c r="X1389">
        <f t="shared" si="284"/>
        <v>-5.318129025698704E-3</v>
      </c>
      <c r="Y1389">
        <f t="shared" si="285"/>
        <v>-5.3040128125653929E-3</v>
      </c>
      <c r="Z1389" t="str">
        <f t="shared" si="278"/>
        <v>2015-07</v>
      </c>
    </row>
    <row r="1390" spans="1:26" x14ac:dyDescent="0.35">
      <c r="A1390" s="1">
        <v>42212</v>
      </c>
      <c r="C1390">
        <v>3513.1</v>
      </c>
      <c r="D1390">
        <f t="shared" si="279"/>
        <v>-2.4435006884681792E-2</v>
      </c>
      <c r="E1390" t="str">
        <f t="shared" si="273"/>
        <v>2015-07</v>
      </c>
      <c r="G1390">
        <v>4927.6000000000004</v>
      </c>
      <c r="H1390">
        <f t="shared" si="280"/>
        <v>-2.5992553910037464E-2</v>
      </c>
      <c r="I1390" t="str">
        <f t="shared" si="274"/>
        <v>2015-07</v>
      </c>
      <c r="K1390">
        <v>11056.4</v>
      </c>
      <c r="L1390">
        <f t="shared" si="281"/>
        <v>-2.5983603260965427E-2</v>
      </c>
      <c r="M1390" t="str">
        <f t="shared" si="275"/>
        <v>2015-07</v>
      </c>
      <c r="O1390">
        <v>9113.5039099999995</v>
      </c>
      <c r="P1390">
        <f t="shared" si="282"/>
        <v>-1.9775840765522936E-2</v>
      </c>
      <c r="Q1390" t="str">
        <f t="shared" si="276"/>
        <v>2015-07</v>
      </c>
      <c r="S1390">
        <v>11145.4</v>
      </c>
      <c r="T1390">
        <f t="shared" si="283"/>
        <v>-1.4598539354120366E-2</v>
      </c>
      <c r="U1390" t="str">
        <f t="shared" si="277"/>
        <v>2015-07</v>
      </c>
      <c r="W1390">
        <v>22809.3</v>
      </c>
      <c r="X1390">
        <f t="shared" si="284"/>
        <v>-3.0159679525112455E-2</v>
      </c>
      <c r="Y1390">
        <f t="shared" si="285"/>
        <v>-2.9709414362102692E-2</v>
      </c>
      <c r="Z1390" t="str">
        <f t="shared" si="278"/>
        <v>2015-07</v>
      </c>
    </row>
    <row r="1391" spans="1:26" x14ac:dyDescent="0.35">
      <c r="A1391" s="1">
        <v>42213</v>
      </c>
      <c r="C1391">
        <v>3554.11</v>
      </c>
      <c r="D1391">
        <f t="shared" si="279"/>
        <v>1.1605841717183955E-2</v>
      </c>
      <c r="E1391" t="str">
        <f t="shared" si="273"/>
        <v>2015-07</v>
      </c>
      <c r="G1391">
        <v>4977.32</v>
      </c>
      <c r="H1391">
        <f t="shared" si="280"/>
        <v>1.0039539464349516E-2</v>
      </c>
      <c r="I1391" t="str">
        <f t="shared" si="274"/>
        <v>2015-07</v>
      </c>
      <c r="K1391">
        <v>11173.91</v>
      </c>
      <c r="L1391">
        <f t="shared" si="281"/>
        <v>1.0572150771566187E-2</v>
      </c>
      <c r="M1391" t="str">
        <f t="shared" si="275"/>
        <v>2015-07</v>
      </c>
      <c r="O1391">
        <v>9255.0015800000001</v>
      </c>
      <c r="P1391">
        <f t="shared" si="282"/>
        <v>1.5406857027366863E-2</v>
      </c>
      <c r="Q1391" t="str">
        <f t="shared" si="276"/>
        <v>2015-07</v>
      </c>
      <c r="S1391">
        <v>11252.4</v>
      </c>
      <c r="T1391">
        <f t="shared" si="283"/>
        <v>9.5545825037886972E-3</v>
      </c>
      <c r="U1391" t="str">
        <f t="shared" si="277"/>
        <v>2015-07</v>
      </c>
      <c r="W1391">
        <v>23328.02</v>
      </c>
      <c r="X1391">
        <f t="shared" si="284"/>
        <v>2.2486865633906766E-2</v>
      </c>
      <c r="Y1391">
        <f t="shared" si="285"/>
        <v>2.2741601013621687E-2</v>
      </c>
      <c r="Z1391" t="str">
        <f t="shared" si="278"/>
        <v>2015-07</v>
      </c>
    </row>
    <row r="1392" spans="1:26" x14ac:dyDescent="0.35">
      <c r="A1392" s="1">
        <v>42214</v>
      </c>
      <c r="C1392">
        <v>3575.53</v>
      </c>
      <c r="D1392">
        <f t="shared" si="279"/>
        <v>6.0087366114517336E-3</v>
      </c>
      <c r="E1392" t="str">
        <f t="shared" si="273"/>
        <v>2015-07</v>
      </c>
      <c r="G1392">
        <v>5017.4399999999996</v>
      </c>
      <c r="H1392">
        <f t="shared" si="280"/>
        <v>8.0282499003380067E-3</v>
      </c>
      <c r="I1392" t="str">
        <f t="shared" si="274"/>
        <v>2015-07</v>
      </c>
      <c r="K1392">
        <v>11211.85</v>
      </c>
      <c r="L1392">
        <f t="shared" si="281"/>
        <v>3.3896580975453544E-3</v>
      </c>
      <c r="M1392" t="str">
        <f t="shared" si="275"/>
        <v>2015-07</v>
      </c>
      <c r="O1392">
        <v>9387.3567700000003</v>
      </c>
      <c r="P1392">
        <f t="shared" si="282"/>
        <v>1.4199642706577021E-2</v>
      </c>
      <c r="Q1392" t="str">
        <f t="shared" si="276"/>
        <v>2015-07</v>
      </c>
      <c r="S1392">
        <v>11282.9</v>
      </c>
      <c r="T1392">
        <f t="shared" si="283"/>
        <v>2.706865994515631E-3</v>
      </c>
      <c r="U1392" t="str">
        <f t="shared" si="277"/>
        <v>2015-07</v>
      </c>
      <c r="W1392">
        <v>23248.9</v>
      </c>
      <c r="X1392">
        <f t="shared" si="284"/>
        <v>-3.3973940785319056E-3</v>
      </c>
      <c r="Y1392">
        <f t="shared" si="285"/>
        <v>-3.3916294653382061E-3</v>
      </c>
      <c r="Z1392" t="str">
        <f t="shared" si="278"/>
        <v>2015-07</v>
      </c>
    </row>
    <row r="1393" spans="1:26" x14ac:dyDescent="0.35">
      <c r="A1393" s="1">
        <v>42215</v>
      </c>
      <c r="C1393">
        <v>3583.79</v>
      </c>
      <c r="D1393">
        <f t="shared" si="279"/>
        <v>2.3074827399849392E-3</v>
      </c>
      <c r="E1393" t="str">
        <f t="shared" si="273"/>
        <v>2015-07</v>
      </c>
      <c r="G1393">
        <v>5046.42</v>
      </c>
      <c r="H1393">
        <f t="shared" si="280"/>
        <v>5.7592375296654681E-3</v>
      </c>
      <c r="I1393" t="str">
        <f t="shared" si="274"/>
        <v>2015-07</v>
      </c>
      <c r="K1393">
        <v>11257.15</v>
      </c>
      <c r="L1393">
        <f t="shared" si="281"/>
        <v>4.0322276360476427E-3</v>
      </c>
      <c r="M1393" t="str">
        <f t="shared" si="275"/>
        <v>2015-07</v>
      </c>
      <c r="O1393">
        <v>9523.9016699999993</v>
      </c>
      <c r="P1393">
        <f t="shared" si="282"/>
        <v>1.444084467725394E-2</v>
      </c>
      <c r="Q1393" t="str">
        <f t="shared" si="276"/>
        <v>2015-07</v>
      </c>
      <c r="S1393">
        <v>11168.6</v>
      </c>
      <c r="T1393">
        <f t="shared" si="283"/>
        <v>-1.0182035720707123E-2</v>
      </c>
      <c r="U1393" t="str">
        <f t="shared" si="277"/>
        <v>2015-07</v>
      </c>
      <c r="W1393">
        <v>23396.09</v>
      </c>
      <c r="X1393">
        <f t="shared" si="284"/>
        <v>6.311095298632499E-3</v>
      </c>
      <c r="Y1393">
        <f t="shared" si="285"/>
        <v>6.3310522218254922E-3</v>
      </c>
      <c r="Z1393" t="str">
        <f t="shared" si="278"/>
        <v>2015-07</v>
      </c>
    </row>
    <row r="1394" spans="1:26" x14ac:dyDescent="0.35">
      <c r="A1394" s="1">
        <v>42216</v>
      </c>
      <c r="C1394">
        <v>3600.69</v>
      </c>
      <c r="D1394">
        <f t="shared" si="279"/>
        <v>4.7045941170189955E-3</v>
      </c>
      <c r="E1394" t="str">
        <f t="shared" si="273"/>
        <v>2015-07</v>
      </c>
      <c r="G1394">
        <v>5082.6099999999997</v>
      </c>
      <c r="H1394">
        <f t="shared" si="280"/>
        <v>7.1458281784029659E-3</v>
      </c>
      <c r="I1394" t="str">
        <f t="shared" si="274"/>
        <v>2015-07</v>
      </c>
      <c r="K1394">
        <v>11308.99</v>
      </c>
      <c r="L1394">
        <f t="shared" si="281"/>
        <v>4.5945023112325791E-3</v>
      </c>
      <c r="M1394" t="str">
        <f t="shared" si="275"/>
        <v>2015-07</v>
      </c>
      <c r="O1394">
        <v>9509.1679499999991</v>
      </c>
      <c r="P1394">
        <f t="shared" si="282"/>
        <v>-1.5482235117318035E-3</v>
      </c>
      <c r="Q1394" t="str">
        <f t="shared" si="276"/>
        <v>2015-07</v>
      </c>
      <c r="S1394">
        <v>11180.7</v>
      </c>
      <c r="T1394">
        <f t="shared" si="283"/>
        <v>1.0828080684625262E-3</v>
      </c>
      <c r="U1394" t="str">
        <f t="shared" si="277"/>
        <v>2015-07</v>
      </c>
      <c r="W1394">
        <v>23538.03</v>
      </c>
      <c r="X1394">
        <f t="shared" si="284"/>
        <v>6.0484966046519305E-3</v>
      </c>
      <c r="Y1394">
        <f t="shared" si="285"/>
        <v>6.0668256960884782E-3</v>
      </c>
      <c r="Z1394" t="str">
        <f t="shared" si="278"/>
        <v>2015-07</v>
      </c>
    </row>
    <row r="1395" spans="1:26" x14ac:dyDescent="0.35">
      <c r="A1395" s="1">
        <v>42219</v>
      </c>
      <c r="C1395">
        <v>3635.4</v>
      </c>
      <c r="D1395">
        <f t="shared" si="279"/>
        <v>9.5936524338393146E-3</v>
      </c>
      <c r="E1395" t="str">
        <f t="shared" si="273"/>
        <v>2015-08</v>
      </c>
      <c r="G1395">
        <v>5120.5200000000004</v>
      </c>
      <c r="H1395">
        <f t="shared" si="280"/>
        <v>7.4310872158568856E-3</v>
      </c>
      <c r="I1395" t="str">
        <f t="shared" si="274"/>
        <v>2015-08</v>
      </c>
      <c r="K1395">
        <v>11443.72</v>
      </c>
      <c r="L1395">
        <f t="shared" si="281"/>
        <v>1.1843123281633776E-2</v>
      </c>
      <c r="M1395" t="str">
        <f t="shared" si="275"/>
        <v>2015-08</v>
      </c>
      <c r="O1395">
        <v>9513.3277799999996</v>
      </c>
      <c r="P1395">
        <f t="shared" si="282"/>
        <v>4.3735902221789697E-4</v>
      </c>
      <c r="Q1395" t="str">
        <f t="shared" si="276"/>
        <v>2015-08</v>
      </c>
      <c r="S1395">
        <v>11265.9</v>
      </c>
      <c r="T1395">
        <f t="shared" si="283"/>
        <v>7.5913865945465989E-3</v>
      </c>
      <c r="U1395" t="str">
        <f t="shared" si="277"/>
        <v>2015-08</v>
      </c>
      <c r="W1395">
        <v>23714.38</v>
      </c>
      <c r="X1395">
        <f t="shared" si="284"/>
        <v>7.4642042074875943E-3</v>
      </c>
      <c r="Y1395">
        <f t="shared" si="285"/>
        <v>7.4921308197840771E-3</v>
      </c>
      <c r="Z1395" t="str">
        <f t="shared" si="278"/>
        <v>2015-08</v>
      </c>
    </row>
    <row r="1396" spans="1:26" x14ac:dyDescent="0.35">
      <c r="A1396" s="1">
        <v>42220</v>
      </c>
      <c r="C1396">
        <v>3619.31</v>
      </c>
      <c r="D1396">
        <f t="shared" si="279"/>
        <v>-4.4357462619512324E-3</v>
      </c>
      <c r="E1396" t="str">
        <f t="shared" si="273"/>
        <v>2015-08</v>
      </c>
      <c r="G1396">
        <v>5112.1400000000003</v>
      </c>
      <c r="H1396">
        <f t="shared" si="280"/>
        <v>-1.6378931525946969E-3</v>
      </c>
      <c r="I1396" t="str">
        <f t="shared" si="274"/>
        <v>2015-08</v>
      </c>
      <c r="K1396">
        <v>11456.07</v>
      </c>
      <c r="L1396">
        <f t="shared" si="281"/>
        <v>1.0786126158657157E-3</v>
      </c>
      <c r="M1396" t="str">
        <f t="shared" si="275"/>
        <v>2015-08</v>
      </c>
      <c r="O1396">
        <v>9533.9435400000002</v>
      </c>
      <c r="P1396">
        <f t="shared" si="282"/>
        <v>2.1646951633061693E-3</v>
      </c>
      <c r="Q1396" t="str">
        <f t="shared" si="276"/>
        <v>2015-08</v>
      </c>
      <c r="S1396">
        <v>11150.5</v>
      </c>
      <c r="T1396">
        <f t="shared" si="283"/>
        <v>-1.029612421822452E-2</v>
      </c>
      <c r="U1396" t="str">
        <f t="shared" si="277"/>
        <v>2015-08</v>
      </c>
      <c r="W1396">
        <v>23473.25</v>
      </c>
      <c r="X1396">
        <f t="shared" si="284"/>
        <v>-1.022014027225009E-2</v>
      </c>
      <c r="Y1396">
        <f t="shared" si="285"/>
        <v>-1.0168092102766381E-2</v>
      </c>
      <c r="Z1396" t="str">
        <f t="shared" si="278"/>
        <v>2015-08</v>
      </c>
    </row>
    <row r="1397" spans="1:26" x14ac:dyDescent="0.35">
      <c r="A1397" s="1">
        <v>42221</v>
      </c>
      <c r="C1397">
        <v>3676.75</v>
      </c>
      <c r="D1397">
        <f t="shared" si="279"/>
        <v>1.5745809863375856E-2</v>
      </c>
      <c r="E1397" t="str">
        <f t="shared" si="273"/>
        <v>2015-08</v>
      </c>
      <c r="G1397">
        <v>5196.7299999999996</v>
      </c>
      <c r="H1397">
        <f t="shared" si="280"/>
        <v>1.6411478385161573E-2</v>
      </c>
      <c r="I1397" t="str">
        <f t="shared" si="274"/>
        <v>2015-08</v>
      </c>
      <c r="K1397">
        <v>11636.3</v>
      </c>
      <c r="L1397">
        <f t="shared" si="281"/>
        <v>1.560980182147559E-2</v>
      </c>
      <c r="M1397" t="str">
        <f t="shared" si="275"/>
        <v>2015-08</v>
      </c>
      <c r="O1397">
        <v>9691.1025499999996</v>
      </c>
      <c r="P1397">
        <f t="shared" si="282"/>
        <v>1.6349766878107599E-2</v>
      </c>
      <c r="Q1397" t="str">
        <f t="shared" si="276"/>
        <v>2015-08</v>
      </c>
      <c r="S1397">
        <v>11279.5</v>
      </c>
      <c r="T1397">
        <f t="shared" si="283"/>
        <v>1.1502578896305682E-2</v>
      </c>
      <c r="U1397" t="str">
        <f t="shared" si="277"/>
        <v>2015-08</v>
      </c>
      <c r="W1397">
        <v>23911.81</v>
      </c>
      <c r="X1397">
        <f t="shared" si="284"/>
        <v>1.8511004224106932E-2</v>
      </c>
      <c r="Y1397">
        <f t="shared" si="285"/>
        <v>1.8683394928269467E-2</v>
      </c>
      <c r="Z1397" t="str">
        <f t="shared" si="278"/>
        <v>2015-08</v>
      </c>
    </row>
    <row r="1398" spans="1:26" x14ac:dyDescent="0.35">
      <c r="A1398" s="1">
        <v>42222</v>
      </c>
      <c r="C1398">
        <v>3668.47</v>
      </c>
      <c r="D1398">
        <f t="shared" si="279"/>
        <v>-2.2545283891292193E-3</v>
      </c>
      <c r="E1398" t="str">
        <f t="shared" si="273"/>
        <v>2015-08</v>
      </c>
      <c r="G1398">
        <v>5192.1099999999997</v>
      </c>
      <c r="H1398">
        <f t="shared" si="280"/>
        <v>-8.8941600882452539E-4</v>
      </c>
      <c r="I1398" t="str">
        <f t="shared" si="274"/>
        <v>2015-08</v>
      </c>
      <c r="K1398">
        <v>11585.1</v>
      </c>
      <c r="L1398">
        <f t="shared" si="281"/>
        <v>-4.4097326576754085E-3</v>
      </c>
      <c r="M1398" t="str">
        <f t="shared" si="275"/>
        <v>2015-08</v>
      </c>
      <c r="O1398">
        <v>9592.9106599999996</v>
      </c>
      <c r="P1398">
        <f t="shared" si="282"/>
        <v>-1.0183848928022717E-2</v>
      </c>
      <c r="Q1398" t="str">
        <f t="shared" si="276"/>
        <v>2015-08</v>
      </c>
      <c r="S1398">
        <v>11253.6</v>
      </c>
      <c r="T1398">
        <f t="shared" si="283"/>
        <v>-2.2988413849919895E-3</v>
      </c>
      <c r="U1398" t="str">
        <f t="shared" si="277"/>
        <v>2015-08</v>
      </c>
      <c r="W1398">
        <v>23811.09</v>
      </c>
      <c r="X1398">
        <f t="shared" si="284"/>
        <v>-4.221040613437985E-3</v>
      </c>
      <c r="Y1398">
        <f t="shared" si="285"/>
        <v>-4.2121445428012832E-3</v>
      </c>
      <c r="Z1398" t="str">
        <f t="shared" si="278"/>
        <v>2015-08</v>
      </c>
    </row>
    <row r="1399" spans="1:26" x14ac:dyDescent="0.35">
      <c r="A1399" s="1">
        <v>42223</v>
      </c>
      <c r="C1399">
        <v>3637.8</v>
      </c>
      <c r="D1399">
        <f t="shared" si="279"/>
        <v>-8.3955780855538738E-3</v>
      </c>
      <c r="E1399" t="str">
        <f t="shared" si="273"/>
        <v>2015-08</v>
      </c>
      <c r="G1399">
        <v>5154.75</v>
      </c>
      <c r="H1399">
        <f t="shared" si="280"/>
        <v>-7.221545930350049E-3</v>
      </c>
      <c r="I1399" t="str">
        <f t="shared" si="274"/>
        <v>2015-08</v>
      </c>
      <c r="K1399">
        <v>11490.83</v>
      </c>
      <c r="L1399">
        <f t="shared" si="281"/>
        <v>-8.1704637193107128E-3</v>
      </c>
      <c r="M1399" t="str">
        <f t="shared" si="275"/>
        <v>2015-08</v>
      </c>
      <c r="O1399">
        <v>9488.8938999999991</v>
      </c>
      <c r="P1399">
        <f t="shared" si="282"/>
        <v>-1.0902301190475224E-2</v>
      </c>
      <c r="Q1399" t="str">
        <f t="shared" si="276"/>
        <v>2015-08</v>
      </c>
      <c r="S1399">
        <v>11178.2</v>
      </c>
      <c r="T1399">
        <f t="shared" si="283"/>
        <v>-6.7226244854841433E-3</v>
      </c>
      <c r="U1399" t="str">
        <f t="shared" si="277"/>
        <v>2015-08</v>
      </c>
      <c r="W1399">
        <v>23705</v>
      </c>
      <c r="X1399">
        <f t="shared" si="284"/>
        <v>-4.4654421812777515E-3</v>
      </c>
      <c r="Y1399">
        <f t="shared" si="285"/>
        <v>-4.4554869180705352E-3</v>
      </c>
      <c r="Z1399" t="str">
        <f t="shared" si="278"/>
        <v>2015-08</v>
      </c>
    </row>
    <row r="1400" spans="1:26" x14ac:dyDescent="0.35">
      <c r="A1400" s="1">
        <v>42226</v>
      </c>
      <c r="C1400">
        <v>3674.94</v>
      </c>
      <c r="D1400">
        <f t="shared" si="279"/>
        <v>1.0157702677305444E-2</v>
      </c>
      <c r="E1400" t="str">
        <f t="shared" si="273"/>
        <v>2015-08</v>
      </c>
      <c r="G1400">
        <v>5195.41</v>
      </c>
      <c r="H1400">
        <f t="shared" si="280"/>
        <v>7.8569237897465078E-3</v>
      </c>
      <c r="I1400" t="str">
        <f t="shared" si="274"/>
        <v>2015-08</v>
      </c>
      <c r="K1400">
        <v>11604.78</v>
      </c>
      <c r="L1400">
        <f t="shared" si="281"/>
        <v>9.8677562214293975E-3</v>
      </c>
      <c r="M1400" t="str">
        <f t="shared" si="275"/>
        <v>2015-08</v>
      </c>
      <c r="O1400">
        <v>9528.4671999999991</v>
      </c>
      <c r="P1400">
        <f t="shared" si="282"/>
        <v>4.1618137144940346E-3</v>
      </c>
      <c r="Q1400" t="str">
        <f t="shared" si="276"/>
        <v>2015-08</v>
      </c>
      <c r="S1400">
        <v>11311.7</v>
      </c>
      <c r="T1400">
        <f t="shared" si="283"/>
        <v>1.1872135317483322E-2</v>
      </c>
      <c r="U1400" t="str">
        <f t="shared" si="277"/>
        <v>2015-08</v>
      </c>
      <c r="W1400">
        <v>23966.44</v>
      </c>
      <c r="X1400">
        <f t="shared" si="284"/>
        <v>1.0968522080114149E-2</v>
      </c>
      <c r="Y1400">
        <f t="shared" si="285"/>
        <v>1.1028896857203067E-2</v>
      </c>
      <c r="Z1400" t="str">
        <f t="shared" si="278"/>
        <v>2015-08</v>
      </c>
    </row>
    <row r="1401" spans="1:26" x14ac:dyDescent="0.35">
      <c r="A1401" s="1">
        <v>42227</v>
      </c>
      <c r="C1401">
        <v>3605.28</v>
      </c>
      <c r="D1401">
        <f t="shared" si="279"/>
        <v>-1.9137368377234197E-2</v>
      </c>
      <c r="E1401" t="str">
        <f t="shared" si="273"/>
        <v>2015-08</v>
      </c>
      <c r="G1401">
        <v>5099.03</v>
      </c>
      <c r="H1401">
        <f t="shared" si="280"/>
        <v>-1.8725217915152966E-2</v>
      </c>
      <c r="I1401" t="str">
        <f t="shared" si="274"/>
        <v>2015-08</v>
      </c>
      <c r="K1401">
        <v>11293.65</v>
      </c>
      <c r="L1401">
        <f t="shared" si="281"/>
        <v>-2.7176461336433116E-2</v>
      </c>
      <c r="M1401" t="str">
        <f t="shared" si="275"/>
        <v>2015-08</v>
      </c>
      <c r="O1401">
        <v>9417.6923800000004</v>
      </c>
      <c r="P1401">
        <f t="shared" si="282"/>
        <v>-1.1693776973559849E-2</v>
      </c>
      <c r="Q1401" t="str">
        <f t="shared" si="276"/>
        <v>2015-08</v>
      </c>
      <c r="S1401">
        <v>11152.3</v>
      </c>
      <c r="T1401">
        <f t="shared" si="283"/>
        <v>-1.4191833632701665E-2</v>
      </c>
      <c r="U1401" t="str">
        <f t="shared" si="277"/>
        <v>2015-08</v>
      </c>
      <c r="W1401">
        <v>23698.49</v>
      </c>
      <c r="X1401">
        <f t="shared" si="284"/>
        <v>-1.1243185403043643E-2</v>
      </c>
      <c r="Y1401">
        <f t="shared" si="285"/>
        <v>-1.1180217003443026E-2</v>
      </c>
      <c r="Z1401" t="str">
        <f t="shared" si="278"/>
        <v>2015-08</v>
      </c>
    </row>
    <row r="1402" spans="1:26" x14ac:dyDescent="0.35">
      <c r="A1402" s="1">
        <v>42228</v>
      </c>
      <c r="C1402">
        <v>3484.41</v>
      </c>
      <c r="D1402">
        <f t="shared" si="279"/>
        <v>-3.4100704730627221E-2</v>
      </c>
      <c r="E1402" t="str">
        <f t="shared" si="273"/>
        <v>2015-08</v>
      </c>
      <c r="G1402">
        <v>4925.43</v>
      </c>
      <c r="H1402">
        <f t="shared" si="280"/>
        <v>-3.4638745104823683E-2</v>
      </c>
      <c r="I1402" t="str">
        <f t="shared" si="274"/>
        <v>2015-08</v>
      </c>
      <c r="K1402">
        <v>10924.61</v>
      </c>
      <c r="L1402">
        <f t="shared" si="281"/>
        <v>-3.3222578460339207E-2</v>
      </c>
      <c r="M1402" t="str">
        <f t="shared" si="275"/>
        <v>2015-08</v>
      </c>
      <c r="O1402">
        <v>9200.2540300000001</v>
      </c>
      <c r="P1402">
        <f t="shared" si="282"/>
        <v>-2.3358992671830652E-2</v>
      </c>
      <c r="Q1402" t="str">
        <f t="shared" si="276"/>
        <v>2015-08</v>
      </c>
      <c r="S1402">
        <v>10880.1</v>
      </c>
      <c r="T1402">
        <f t="shared" si="283"/>
        <v>-2.4710322098618072E-2</v>
      </c>
      <c r="U1402" t="str">
        <f t="shared" si="277"/>
        <v>2015-08</v>
      </c>
      <c r="W1402">
        <v>22997.55</v>
      </c>
      <c r="X1402">
        <f t="shared" si="284"/>
        <v>-3.0023644514976432E-2</v>
      </c>
      <c r="Y1402">
        <f t="shared" si="285"/>
        <v>-2.9577411894175631E-2</v>
      </c>
      <c r="Z1402" t="str">
        <f t="shared" si="278"/>
        <v>2015-08</v>
      </c>
    </row>
    <row r="1403" spans="1:26" x14ac:dyDescent="0.35">
      <c r="A1403" s="1">
        <v>42229</v>
      </c>
      <c r="C1403">
        <v>3516.15</v>
      </c>
      <c r="D1403">
        <f t="shared" si="279"/>
        <v>9.0679081359223423E-3</v>
      </c>
      <c r="E1403" t="str">
        <f t="shared" si="273"/>
        <v>2015-08</v>
      </c>
      <c r="G1403">
        <v>4986.8500000000004</v>
      </c>
      <c r="H1403">
        <f t="shared" si="280"/>
        <v>1.2392867450841611E-2</v>
      </c>
      <c r="I1403" t="str">
        <f t="shared" si="274"/>
        <v>2015-08</v>
      </c>
      <c r="K1403">
        <v>11014.63</v>
      </c>
      <c r="L1403">
        <f t="shared" si="281"/>
        <v>8.2063467278375088E-3</v>
      </c>
      <c r="M1403" t="str">
        <f t="shared" si="275"/>
        <v>2015-08</v>
      </c>
      <c r="O1403">
        <v>9202.9739000000009</v>
      </c>
      <c r="P1403">
        <f t="shared" si="282"/>
        <v>2.9558619065632056E-4</v>
      </c>
      <c r="Q1403" t="str">
        <f t="shared" si="276"/>
        <v>2015-08</v>
      </c>
      <c r="S1403">
        <v>10947.9</v>
      </c>
      <c r="T1403">
        <f t="shared" si="283"/>
        <v>6.2122244862699095E-3</v>
      </c>
      <c r="U1403" t="str">
        <f t="shared" si="277"/>
        <v>2015-08</v>
      </c>
      <c r="W1403">
        <v>23356.01</v>
      </c>
      <c r="X1403">
        <f t="shared" si="284"/>
        <v>1.5466650060529694E-2</v>
      </c>
      <c r="Y1403">
        <f t="shared" si="285"/>
        <v>1.5586877732628004E-2</v>
      </c>
      <c r="Z1403" t="str">
        <f t="shared" si="278"/>
        <v>2015-08</v>
      </c>
    </row>
    <row r="1404" spans="1:26" x14ac:dyDescent="0.35">
      <c r="A1404" s="1">
        <v>42230</v>
      </c>
      <c r="C1404">
        <v>3491.03</v>
      </c>
      <c r="D1404">
        <f t="shared" si="279"/>
        <v>-7.1698194167841992E-3</v>
      </c>
      <c r="E1404" t="str">
        <f t="shared" si="273"/>
        <v>2015-08</v>
      </c>
      <c r="G1404">
        <v>4956.47</v>
      </c>
      <c r="H1404">
        <f t="shared" si="280"/>
        <v>-6.1106540939266513E-3</v>
      </c>
      <c r="I1404" t="str">
        <f t="shared" si="274"/>
        <v>2015-08</v>
      </c>
      <c r="K1404">
        <v>10985.14</v>
      </c>
      <c r="L1404">
        <f t="shared" si="281"/>
        <v>-2.6809387246423898E-3</v>
      </c>
      <c r="M1404" t="str">
        <f t="shared" si="275"/>
        <v>2015-08</v>
      </c>
      <c r="O1404">
        <v>9203.0281200000009</v>
      </c>
      <c r="P1404">
        <f t="shared" si="282"/>
        <v>5.8915564544492555E-6</v>
      </c>
      <c r="Q1404" t="str">
        <f t="shared" si="276"/>
        <v>2015-08</v>
      </c>
      <c r="S1404">
        <v>10879.3</v>
      </c>
      <c r="T1404">
        <f t="shared" si="283"/>
        <v>-6.2857559255892334E-3</v>
      </c>
      <c r="U1404" t="str">
        <f t="shared" si="277"/>
        <v>2015-08</v>
      </c>
      <c r="W1404">
        <v>23248.52</v>
      </c>
      <c r="X1404">
        <f t="shared" si="284"/>
        <v>-4.612864483442375E-3</v>
      </c>
      <c r="Y1404">
        <f t="shared" si="285"/>
        <v>-4.6022415643767051E-3</v>
      </c>
      <c r="Z1404" t="str">
        <f t="shared" si="278"/>
        <v>2015-08</v>
      </c>
    </row>
    <row r="1405" spans="1:26" x14ac:dyDescent="0.35">
      <c r="A1405" s="1">
        <v>42233</v>
      </c>
      <c r="C1405">
        <v>3497.9</v>
      </c>
      <c r="D1405">
        <f t="shared" si="279"/>
        <v>1.9659668111503886E-3</v>
      </c>
      <c r="E1405" t="str">
        <f t="shared" si="273"/>
        <v>2015-08</v>
      </c>
      <c r="G1405">
        <v>4984.83</v>
      </c>
      <c r="H1405">
        <f t="shared" si="280"/>
        <v>5.7055067110120174E-3</v>
      </c>
      <c r="I1405" t="str">
        <f t="shared" si="274"/>
        <v>2015-08</v>
      </c>
      <c r="K1405">
        <v>10940.33</v>
      </c>
      <c r="L1405">
        <f t="shared" si="281"/>
        <v>-4.0874893344434197E-3</v>
      </c>
      <c r="M1405" t="str">
        <f t="shared" si="275"/>
        <v>2015-08</v>
      </c>
      <c r="O1405">
        <v>9216.7728800000004</v>
      </c>
      <c r="P1405">
        <f t="shared" si="282"/>
        <v>1.492389907041813E-3</v>
      </c>
      <c r="Q1405" t="str">
        <f t="shared" si="276"/>
        <v>2015-08</v>
      </c>
      <c r="S1405">
        <v>10900.3</v>
      </c>
      <c r="T1405">
        <f t="shared" si="283"/>
        <v>1.9284106694194545E-3</v>
      </c>
      <c r="U1405" t="str">
        <f t="shared" si="277"/>
        <v>2015-08</v>
      </c>
      <c r="W1405">
        <v>23407.99</v>
      </c>
      <c r="X1405">
        <f t="shared" si="284"/>
        <v>6.83594298003964E-3</v>
      </c>
      <c r="Y1405">
        <f t="shared" si="285"/>
        <v>6.859361370100168E-3</v>
      </c>
      <c r="Z1405" t="str">
        <f t="shared" si="278"/>
        <v>2015-08</v>
      </c>
    </row>
    <row r="1406" spans="1:26" x14ac:dyDescent="0.35">
      <c r="A1406" s="1">
        <v>42234</v>
      </c>
      <c r="C1406">
        <v>3495.38</v>
      </c>
      <c r="D1406">
        <f t="shared" si="279"/>
        <v>-7.2069189538334849E-4</v>
      </c>
      <c r="E1406" t="str">
        <f t="shared" si="273"/>
        <v>2015-08</v>
      </c>
      <c r="G1406">
        <v>4971.25</v>
      </c>
      <c r="H1406">
        <f t="shared" si="280"/>
        <v>-2.7279829856206024E-3</v>
      </c>
      <c r="I1406" t="str">
        <f t="shared" si="274"/>
        <v>2015-08</v>
      </c>
      <c r="K1406">
        <v>10915.92</v>
      </c>
      <c r="L1406">
        <f t="shared" si="281"/>
        <v>-2.2336869453070444E-3</v>
      </c>
      <c r="M1406" t="str">
        <f t="shared" si="275"/>
        <v>2015-08</v>
      </c>
      <c r="O1406">
        <v>9260.8120199999994</v>
      </c>
      <c r="P1406">
        <f t="shared" si="282"/>
        <v>4.7667726736870079E-3</v>
      </c>
      <c r="Q1406" t="str">
        <f t="shared" si="276"/>
        <v>2015-08</v>
      </c>
      <c r="S1406">
        <v>10897.9</v>
      </c>
      <c r="T1406">
        <f t="shared" si="283"/>
        <v>-2.2020166891735269E-4</v>
      </c>
      <c r="U1406" t="str">
        <f t="shared" si="277"/>
        <v>2015-08</v>
      </c>
      <c r="W1406">
        <v>23389.72</v>
      </c>
      <c r="X1406">
        <f t="shared" si="284"/>
        <v>-7.8080747661403958E-4</v>
      </c>
      <c r="Y1406">
        <f t="shared" si="285"/>
        <v>-7.8050272577869504E-4</v>
      </c>
      <c r="Z1406" t="str">
        <f t="shared" si="278"/>
        <v>2015-08</v>
      </c>
    </row>
    <row r="1407" spans="1:26" x14ac:dyDescent="0.35">
      <c r="A1407" s="1">
        <v>42235</v>
      </c>
      <c r="C1407">
        <v>3429.84</v>
      </c>
      <c r="D1407">
        <f t="shared" si="279"/>
        <v>-1.892848366844025E-2</v>
      </c>
      <c r="E1407" t="str">
        <f t="shared" si="273"/>
        <v>2015-08</v>
      </c>
      <c r="G1407">
        <v>4884.1000000000004</v>
      </c>
      <c r="H1407">
        <f t="shared" si="280"/>
        <v>-1.768628648044035E-2</v>
      </c>
      <c r="I1407" t="str">
        <f t="shared" si="274"/>
        <v>2015-08</v>
      </c>
      <c r="K1407">
        <v>10682.15</v>
      </c>
      <c r="L1407">
        <f t="shared" si="281"/>
        <v>-2.1648149994249053E-2</v>
      </c>
      <c r="M1407" t="str">
        <f t="shared" si="275"/>
        <v>2015-08</v>
      </c>
      <c r="O1407">
        <v>9060.2621400000007</v>
      </c>
      <c r="P1407">
        <f t="shared" si="282"/>
        <v>-2.1893682547003811E-2</v>
      </c>
      <c r="Q1407" t="str">
        <f t="shared" si="276"/>
        <v>2015-08</v>
      </c>
      <c r="S1407">
        <v>10782.4</v>
      </c>
      <c r="T1407">
        <f t="shared" si="283"/>
        <v>-1.0654934913395822E-2</v>
      </c>
      <c r="U1407" t="str">
        <f t="shared" si="277"/>
        <v>2015-08</v>
      </c>
      <c r="W1407">
        <v>22975.32</v>
      </c>
      <c r="X1407">
        <f t="shared" si="284"/>
        <v>-1.7876013269126835E-2</v>
      </c>
      <c r="Y1407">
        <f t="shared" si="285"/>
        <v>-1.7717185156556018E-2</v>
      </c>
      <c r="Z1407" t="str">
        <f t="shared" si="278"/>
        <v>2015-08</v>
      </c>
    </row>
    <row r="1408" spans="1:26" x14ac:dyDescent="0.35">
      <c r="A1408" s="1">
        <v>42236</v>
      </c>
      <c r="C1408">
        <v>3353.48</v>
      </c>
      <c r="D1408">
        <f t="shared" si="279"/>
        <v>-2.2515000237935696E-2</v>
      </c>
      <c r="E1408" t="str">
        <f t="shared" si="273"/>
        <v>2015-08</v>
      </c>
      <c r="G1408">
        <v>4783.55</v>
      </c>
      <c r="H1408">
        <f t="shared" si="280"/>
        <v>-2.0802082380395555E-2</v>
      </c>
      <c r="I1408" t="str">
        <f t="shared" si="274"/>
        <v>2015-08</v>
      </c>
      <c r="K1408">
        <v>10432.19</v>
      </c>
      <c r="L1408">
        <f t="shared" si="281"/>
        <v>-2.3677905924536443E-2</v>
      </c>
      <c r="M1408" t="str">
        <f t="shared" si="275"/>
        <v>2015-08</v>
      </c>
      <c r="O1408">
        <v>8919.8244799999993</v>
      </c>
      <c r="P1408">
        <f t="shared" si="282"/>
        <v>-1.5621784142873034E-2</v>
      </c>
      <c r="Q1408" t="str">
        <f t="shared" si="276"/>
        <v>2015-08</v>
      </c>
      <c r="S1408">
        <v>10587</v>
      </c>
      <c r="T1408">
        <f t="shared" si="283"/>
        <v>-1.8288341848572753E-2</v>
      </c>
      <c r="U1408" t="str">
        <f t="shared" si="277"/>
        <v>2015-08</v>
      </c>
      <c r="W1408">
        <v>22378.65</v>
      </c>
      <c r="X1408">
        <f t="shared" si="284"/>
        <v>-2.6313216979028164E-2</v>
      </c>
      <c r="Y1408">
        <f t="shared" si="285"/>
        <v>-2.5970040896057086E-2</v>
      </c>
      <c r="Z1408" t="str">
        <f t="shared" si="278"/>
        <v>2015-08</v>
      </c>
    </row>
    <row r="1409" spans="1:26" x14ac:dyDescent="0.35">
      <c r="A1409" s="1">
        <v>42237</v>
      </c>
      <c r="C1409">
        <v>3247.26</v>
      </c>
      <c r="D1409">
        <f t="shared" si="279"/>
        <v>-3.218704879222959E-2</v>
      </c>
      <c r="E1409" t="str">
        <f t="shared" si="273"/>
        <v>2015-08</v>
      </c>
      <c r="G1409">
        <v>4630.99</v>
      </c>
      <c r="H1409">
        <f t="shared" si="280"/>
        <v>-3.241228054347315E-2</v>
      </c>
      <c r="I1409" t="str">
        <f t="shared" si="274"/>
        <v>2015-08</v>
      </c>
      <c r="K1409">
        <v>10124.52</v>
      </c>
      <c r="L1409">
        <f t="shared" si="281"/>
        <v>-2.9936013747194314E-2</v>
      </c>
      <c r="M1409" t="str">
        <f t="shared" si="275"/>
        <v>2015-08</v>
      </c>
      <c r="O1409">
        <v>8556.0789600000007</v>
      </c>
      <c r="P1409">
        <f t="shared" si="282"/>
        <v>-4.1634249479199269E-2</v>
      </c>
      <c r="Q1409" t="str">
        <f t="shared" si="276"/>
        <v>2015-08</v>
      </c>
      <c r="S1409">
        <v>10271.700000000001</v>
      </c>
      <c r="T1409">
        <f t="shared" si="283"/>
        <v>-3.0234292447605983E-2</v>
      </c>
      <c r="U1409" t="str">
        <f t="shared" si="277"/>
        <v>2015-08</v>
      </c>
      <c r="W1409">
        <v>21746.17</v>
      </c>
      <c r="X1409">
        <f t="shared" si="284"/>
        <v>-2.8669729273872173E-2</v>
      </c>
      <c r="Y1409">
        <f t="shared" si="285"/>
        <v>-2.8262652126022043E-2</v>
      </c>
      <c r="Z1409" t="str">
        <f t="shared" si="278"/>
        <v>2015-08</v>
      </c>
    </row>
    <row r="1410" spans="1:26" x14ac:dyDescent="0.35">
      <c r="A1410" s="1">
        <v>42240</v>
      </c>
      <c r="C1410">
        <v>3073.39</v>
      </c>
      <c r="D1410">
        <f t="shared" si="279"/>
        <v>-5.5030376921060963E-2</v>
      </c>
      <c r="E1410" t="str">
        <f t="shared" si="273"/>
        <v>2015-08</v>
      </c>
      <c r="G1410">
        <v>4383.46</v>
      </c>
      <c r="H1410">
        <f t="shared" si="280"/>
        <v>-5.493230125890735E-2</v>
      </c>
      <c r="I1410" t="str">
        <f t="shared" si="274"/>
        <v>2015-08</v>
      </c>
      <c r="K1410">
        <v>9648.43</v>
      </c>
      <c r="L1410">
        <f t="shared" si="281"/>
        <v>-4.8164996647205777E-2</v>
      </c>
      <c r="M1410" t="str">
        <f t="shared" si="275"/>
        <v>2015-08</v>
      </c>
      <c r="O1410">
        <v>8053.9606800000001</v>
      </c>
      <c r="P1410">
        <f t="shared" si="282"/>
        <v>-6.047803941791962E-2</v>
      </c>
      <c r="Q1410" t="str">
        <f t="shared" si="276"/>
        <v>2015-08</v>
      </c>
      <c r="S1410">
        <v>9756.6</v>
      </c>
      <c r="T1410">
        <f t="shared" si="283"/>
        <v>-5.1448561836041996E-2</v>
      </c>
      <c r="U1410" t="str">
        <f t="shared" si="277"/>
        <v>2015-08</v>
      </c>
      <c r="W1410">
        <v>20450.43</v>
      </c>
      <c r="X1410">
        <f t="shared" si="284"/>
        <v>-6.1433740912047355E-2</v>
      </c>
      <c r="Y1410">
        <f t="shared" si="285"/>
        <v>-5.9584745267787294E-2</v>
      </c>
      <c r="Z1410" t="str">
        <f t="shared" si="278"/>
        <v>2015-08</v>
      </c>
    </row>
    <row r="1411" spans="1:26" x14ac:dyDescent="0.35">
      <c r="A1411" s="1">
        <v>42241</v>
      </c>
      <c r="C1411">
        <v>3218.01</v>
      </c>
      <c r="D1411">
        <f t="shared" si="279"/>
        <v>4.5981969177276205E-2</v>
      </c>
      <c r="E1411" t="str">
        <f t="shared" si="273"/>
        <v>2015-08</v>
      </c>
      <c r="G1411">
        <v>4564.8599999999997</v>
      </c>
      <c r="H1411">
        <f t="shared" si="280"/>
        <v>4.0549478573054611E-2</v>
      </c>
      <c r="I1411" t="str">
        <f t="shared" si="274"/>
        <v>2015-08</v>
      </c>
      <c r="K1411">
        <v>10128.120000000001</v>
      </c>
      <c r="L1411">
        <f t="shared" si="281"/>
        <v>4.8520505858638568E-2</v>
      </c>
      <c r="M1411" t="str">
        <f t="shared" si="275"/>
        <v>2015-08</v>
      </c>
      <c r="O1411">
        <v>8356.1859999999997</v>
      </c>
      <c r="P1411">
        <f t="shared" si="282"/>
        <v>3.6838122529708632E-2</v>
      </c>
      <c r="Q1411" t="str">
        <f t="shared" si="276"/>
        <v>2015-08</v>
      </c>
      <c r="S1411">
        <v>10115.4</v>
      </c>
      <c r="T1411">
        <f t="shared" si="283"/>
        <v>3.6115035990078675E-2</v>
      </c>
      <c r="U1411" t="str">
        <f t="shared" si="277"/>
        <v>2015-08</v>
      </c>
      <c r="W1411">
        <v>21649.69</v>
      </c>
      <c r="X1411">
        <f t="shared" si="284"/>
        <v>5.6987226476673432E-2</v>
      </c>
      <c r="Y1411">
        <f t="shared" si="285"/>
        <v>5.8642287717177506E-2</v>
      </c>
      <c r="Z1411" t="str">
        <f t="shared" si="278"/>
        <v>2015-08</v>
      </c>
    </row>
    <row r="1412" spans="1:26" x14ac:dyDescent="0.35">
      <c r="A1412" s="1">
        <v>42242</v>
      </c>
      <c r="C1412">
        <v>3170.73</v>
      </c>
      <c r="D1412">
        <f t="shared" si="279"/>
        <v>-1.48013107959709E-2</v>
      </c>
      <c r="E1412" t="str">
        <f t="shared" ref="E1412:E1475" si="286">_xlfn.CONCAT(YEAR(A1412),"-",TEXT(MONTH(A1412),"00"))</f>
        <v>2015-08</v>
      </c>
      <c r="G1412">
        <v>4501.05</v>
      </c>
      <c r="H1412">
        <f t="shared" si="280"/>
        <v>-1.407714255798242E-2</v>
      </c>
      <c r="I1412" t="str">
        <f t="shared" ref="I1412:I1475" si="287">_xlfn.CONCAT(YEAR(A1412),"-",TEXT(MONTH(A1412),"00"))</f>
        <v>2015-08</v>
      </c>
      <c r="K1412">
        <v>9997.43</v>
      </c>
      <c r="L1412">
        <f t="shared" si="281"/>
        <v>-1.2987653708975262E-2</v>
      </c>
      <c r="M1412" t="str">
        <f t="shared" ref="M1412:M1475" si="288">_xlfn.CONCAT(YEAR(A1412),"-",TEXT(MONTH(A1412),"00"))</f>
        <v>2015-08</v>
      </c>
      <c r="O1412">
        <v>8133.4976200000001</v>
      </c>
      <c r="P1412">
        <f t="shared" si="282"/>
        <v>-2.7011060293491984E-2</v>
      </c>
      <c r="Q1412" t="str">
        <f t="shared" ref="Q1412:Q1475" si="289">_xlfn.CONCAT(YEAR(A1412),"-",TEXT(MONTH(A1412),"00"))</f>
        <v>2015-08</v>
      </c>
      <c r="S1412">
        <v>9984.5</v>
      </c>
      <c r="T1412">
        <f t="shared" si="283"/>
        <v>-1.3025124566364191E-2</v>
      </c>
      <c r="U1412" t="str">
        <f t="shared" ref="U1412:U1475" si="290">_xlfn.CONCAT(YEAR(A1412),"-",TEXT(MONTH(A1412),"00"))</f>
        <v>2015-08</v>
      </c>
      <c r="W1412">
        <v>21473.81</v>
      </c>
      <c r="X1412">
        <f t="shared" si="284"/>
        <v>-8.1570825755861737E-3</v>
      </c>
      <c r="Y1412">
        <f t="shared" si="285"/>
        <v>-8.1239038526647444E-3</v>
      </c>
      <c r="Z1412" t="str">
        <f t="shared" ref="Z1412:Z1475" si="291">_xlfn.CONCAT(YEAR(A1412),"-",TEXT(MONTH(A1412),"00"))</f>
        <v>2015-08</v>
      </c>
    </row>
    <row r="1413" spans="1:26" x14ac:dyDescent="0.35">
      <c r="A1413" s="1">
        <v>42243</v>
      </c>
      <c r="C1413">
        <v>3280.78</v>
      </c>
      <c r="D1413">
        <f t="shared" ref="D1413:D1476" si="292">LN(C1413/C1412)</f>
        <v>3.4119353713411946E-2</v>
      </c>
      <c r="E1413" t="str">
        <f t="shared" si="286"/>
        <v>2015-08</v>
      </c>
      <c r="G1413">
        <v>4658.18</v>
      </c>
      <c r="H1413">
        <f t="shared" ref="H1413:H1476" si="293">LN(G1413/G1412)</f>
        <v>3.4314111018405265E-2</v>
      </c>
      <c r="I1413" t="str">
        <f t="shared" si="287"/>
        <v>2015-08</v>
      </c>
      <c r="K1413">
        <v>10315.620000000001</v>
      </c>
      <c r="L1413">
        <f t="shared" ref="L1413:L1476" si="294">LN(K1413/K1412)</f>
        <v>3.1331191393811422E-2</v>
      </c>
      <c r="M1413" t="str">
        <f t="shared" si="288"/>
        <v>2015-08</v>
      </c>
      <c r="O1413">
        <v>8490.6199899999992</v>
      </c>
      <c r="P1413">
        <f t="shared" ref="P1413:P1476" si="295">LN(O1413/O1412)</f>
        <v>4.2970980962458681E-2</v>
      </c>
      <c r="Q1413" t="str">
        <f t="shared" si="289"/>
        <v>2015-08</v>
      </c>
      <c r="S1413">
        <v>10290.200000000001</v>
      </c>
      <c r="T1413">
        <f t="shared" ref="T1413:T1476" si="296">LN(S1413/S1412)</f>
        <v>3.0158095501732825E-2</v>
      </c>
      <c r="U1413" t="str">
        <f t="shared" si="290"/>
        <v>2015-08</v>
      </c>
      <c r="W1413">
        <v>22201.24</v>
      </c>
      <c r="X1413">
        <f t="shared" ref="X1413:X1476" si="297">LN(W1413/W1412)</f>
        <v>3.3314090110508031E-2</v>
      </c>
      <c r="Y1413">
        <f t="shared" ref="Y1413:Y1476" si="298">(W1413-W1412)/W1412</f>
        <v>3.3875218230952041E-2</v>
      </c>
      <c r="Z1413" t="str">
        <f t="shared" si="291"/>
        <v>2015-08</v>
      </c>
    </row>
    <row r="1414" spans="1:26" x14ac:dyDescent="0.35">
      <c r="A1414" s="1">
        <v>42244</v>
      </c>
      <c r="C1414">
        <v>3286.59</v>
      </c>
      <c r="D1414">
        <f t="shared" si="292"/>
        <v>1.7693540993543747E-3</v>
      </c>
      <c r="E1414" t="str">
        <f t="shared" si="286"/>
        <v>2015-08</v>
      </c>
      <c r="G1414">
        <v>4675.13</v>
      </c>
      <c r="H1414">
        <f t="shared" si="293"/>
        <v>3.6321559306360571E-3</v>
      </c>
      <c r="I1414" t="str">
        <f t="shared" si="287"/>
        <v>2015-08</v>
      </c>
      <c r="K1414">
        <v>10298.530000000001</v>
      </c>
      <c r="L1414">
        <f t="shared" si="294"/>
        <v>-1.6580847539562052E-3</v>
      </c>
      <c r="M1414" t="str">
        <f t="shared" si="288"/>
        <v>2015-08</v>
      </c>
      <c r="O1414">
        <v>8597.0626499999998</v>
      </c>
      <c r="P1414">
        <f t="shared" si="295"/>
        <v>1.2458569021767859E-2</v>
      </c>
      <c r="Q1414" t="str">
        <f t="shared" si="289"/>
        <v>2015-08</v>
      </c>
      <c r="S1414">
        <v>10352.9</v>
      </c>
      <c r="T1414">
        <f t="shared" si="296"/>
        <v>6.0746876982570707E-3</v>
      </c>
      <c r="U1414" t="str">
        <f t="shared" si="290"/>
        <v>2015-08</v>
      </c>
      <c r="W1414">
        <v>21993.74</v>
      </c>
      <c r="X1414">
        <f t="shared" si="297"/>
        <v>-9.3902757611780199E-3</v>
      </c>
      <c r="Y1414">
        <f t="shared" si="298"/>
        <v>-9.3463247998760417E-3</v>
      </c>
      <c r="Z1414" t="str">
        <f t="shared" si="291"/>
        <v>2015-08</v>
      </c>
    </row>
    <row r="1415" spans="1:26" x14ac:dyDescent="0.35">
      <c r="A1415" s="1">
        <v>42248</v>
      </c>
      <c r="C1415">
        <v>3188.73</v>
      </c>
      <c r="D1415">
        <f t="shared" si="292"/>
        <v>-3.0227834698319314E-2</v>
      </c>
      <c r="E1415" t="str">
        <f t="shared" si="286"/>
        <v>2015-09</v>
      </c>
      <c r="G1415">
        <v>4541.16</v>
      </c>
      <c r="H1415">
        <f t="shared" si="293"/>
        <v>-2.9074483815728587E-2</v>
      </c>
      <c r="I1415" t="str">
        <f t="shared" si="287"/>
        <v>2015-09</v>
      </c>
      <c r="K1415">
        <v>10015.57</v>
      </c>
      <c r="L1415">
        <f t="shared" si="294"/>
        <v>-2.7860284477478094E-2</v>
      </c>
      <c r="M1415" t="str">
        <f t="shared" si="288"/>
        <v>2015-09</v>
      </c>
      <c r="O1415">
        <v>8235.0131099999999</v>
      </c>
      <c r="P1415">
        <f t="shared" si="295"/>
        <v>-4.3025636977835645E-2</v>
      </c>
      <c r="Q1415" t="str">
        <f t="shared" si="289"/>
        <v>2015-09</v>
      </c>
      <c r="S1415">
        <v>9992.7999999999993</v>
      </c>
      <c r="T1415">
        <f t="shared" si="296"/>
        <v>-3.5401840031736645E-2</v>
      </c>
      <c r="U1415" t="str">
        <f t="shared" si="290"/>
        <v>2015-09</v>
      </c>
      <c r="W1415">
        <v>21451.37</v>
      </c>
      <c r="X1415">
        <f t="shared" si="297"/>
        <v>-2.4969354614703392E-2</v>
      </c>
      <c r="Y1415">
        <f t="shared" si="298"/>
        <v>-2.4660198765648889E-2</v>
      </c>
      <c r="Z1415" t="str">
        <f t="shared" si="291"/>
        <v>2015-09</v>
      </c>
    </row>
    <row r="1416" spans="1:26" x14ac:dyDescent="0.35">
      <c r="A1416" s="1">
        <v>42249</v>
      </c>
      <c r="C1416">
        <v>3198.86</v>
      </c>
      <c r="D1416">
        <f t="shared" si="292"/>
        <v>3.1717779295363062E-3</v>
      </c>
      <c r="E1416" t="str">
        <f t="shared" si="286"/>
        <v>2015-09</v>
      </c>
      <c r="G1416">
        <v>4554.92</v>
      </c>
      <c r="H1416">
        <f t="shared" si="293"/>
        <v>3.0254814153031179E-3</v>
      </c>
      <c r="I1416" t="str">
        <f t="shared" si="287"/>
        <v>2015-09</v>
      </c>
      <c r="K1416">
        <v>10048.049999999999</v>
      </c>
      <c r="L1416">
        <f t="shared" si="294"/>
        <v>3.2377037018482924E-3</v>
      </c>
      <c r="M1416" t="str">
        <f t="shared" si="288"/>
        <v>2015-09</v>
      </c>
      <c r="O1416">
        <v>8289.7620000000006</v>
      </c>
      <c r="P1416">
        <f t="shared" si="295"/>
        <v>6.6263038330205675E-3</v>
      </c>
      <c r="Q1416" t="str">
        <f t="shared" si="289"/>
        <v>2015-09</v>
      </c>
      <c r="S1416">
        <v>9938.2999999999993</v>
      </c>
      <c r="T1416">
        <f t="shared" si="296"/>
        <v>-5.4688537846623846E-3</v>
      </c>
      <c r="U1416" t="str">
        <f t="shared" si="290"/>
        <v>2015-09</v>
      </c>
      <c r="W1416">
        <v>21612</v>
      </c>
      <c r="X1416">
        <f t="shared" si="297"/>
        <v>7.4602031834913101E-3</v>
      </c>
      <c r="Y1416">
        <f t="shared" si="298"/>
        <v>7.4880998276567433E-3</v>
      </c>
      <c r="Z1416" t="str">
        <f t="shared" si="291"/>
        <v>2015-09</v>
      </c>
    </row>
    <row r="1417" spans="1:26" x14ac:dyDescent="0.35">
      <c r="A1417" s="1">
        <v>42250</v>
      </c>
      <c r="C1417">
        <v>3270.09</v>
      </c>
      <c r="D1417">
        <f t="shared" si="292"/>
        <v>2.2023011132618169E-2</v>
      </c>
      <c r="E1417" t="str">
        <f t="shared" si="286"/>
        <v>2015-09</v>
      </c>
      <c r="G1417">
        <v>4653.79</v>
      </c>
      <c r="H1417">
        <f t="shared" si="293"/>
        <v>2.1473973946525435E-2</v>
      </c>
      <c r="I1417" t="str">
        <f t="shared" si="287"/>
        <v>2015-09</v>
      </c>
      <c r="K1417">
        <v>10317.84</v>
      </c>
      <c r="L1417">
        <f t="shared" si="294"/>
        <v>2.6495849992935076E-2</v>
      </c>
      <c r="M1417" t="str">
        <f t="shared" si="288"/>
        <v>2015-09</v>
      </c>
      <c r="O1417">
        <v>8499.6847600000001</v>
      </c>
      <c r="P1417">
        <f t="shared" si="295"/>
        <v>2.500781630292034E-2</v>
      </c>
      <c r="Q1417" t="str">
        <f t="shared" si="289"/>
        <v>2015-09</v>
      </c>
      <c r="S1417">
        <v>10042.4</v>
      </c>
      <c r="T1417">
        <f t="shared" si="296"/>
        <v>1.0420149636961584E-2</v>
      </c>
      <c r="U1417" t="str">
        <f t="shared" si="290"/>
        <v>2015-09</v>
      </c>
      <c r="W1417">
        <v>22177.37</v>
      </c>
      <c r="X1417">
        <f t="shared" si="297"/>
        <v>2.5823683616738934E-2</v>
      </c>
      <c r="Y1417">
        <f t="shared" si="298"/>
        <v>2.6160003701647186E-2</v>
      </c>
      <c r="Z1417" t="str">
        <f t="shared" si="291"/>
        <v>2015-09</v>
      </c>
    </row>
    <row r="1418" spans="1:26" x14ac:dyDescent="0.35">
      <c r="A1418" s="1">
        <v>42251</v>
      </c>
      <c r="C1418">
        <v>3180.25</v>
      </c>
      <c r="D1418">
        <f t="shared" si="292"/>
        <v>-2.7857697412009625E-2</v>
      </c>
      <c r="E1418" t="str">
        <f t="shared" si="286"/>
        <v>2015-09</v>
      </c>
      <c r="G1418">
        <v>4523.08</v>
      </c>
      <c r="H1418">
        <f t="shared" si="293"/>
        <v>-2.8488763671838474E-2</v>
      </c>
      <c r="I1418" t="str">
        <f t="shared" si="287"/>
        <v>2015-09</v>
      </c>
      <c r="K1418">
        <v>10038.040000000001</v>
      </c>
      <c r="L1418">
        <f t="shared" si="294"/>
        <v>-2.7492559738702956E-2</v>
      </c>
      <c r="M1418" t="str">
        <f t="shared" si="288"/>
        <v>2015-09</v>
      </c>
      <c r="O1418">
        <v>8241.7750400000004</v>
      </c>
      <c r="P1418">
        <f t="shared" si="295"/>
        <v>-3.0813337551609622E-2</v>
      </c>
      <c r="Q1418" t="str">
        <f t="shared" si="289"/>
        <v>2015-09</v>
      </c>
      <c r="S1418">
        <v>9821.7999999999993</v>
      </c>
      <c r="T1418">
        <f t="shared" si="296"/>
        <v>-2.2211724563765523E-2</v>
      </c>
      <c r="U1418" t="str">
        <f t="shared" si="290"/>
        <v>2015-09</v>
      </c>
      <c r="W1418">
        <v>21472.68</v>
      </c>
      <c r="X1418">
        <f t="shared" si="297"/>
        <v>-3.2290970160222345E-2</v>
      </c>
      <c r="Y1418">
        <f t="shared" si="298"/>
        <v>-3.1775183441499093E-2</v>
      </c>
      <c r="Z1418" t="str">
        <f t="shared" si="291"/>
        <v>2015-09</v>
      </c>
    </row>
    <row r="1419" spans="1:26" x14ac:dyDescent="0.35">
      <c r="A1419" s="1">
        <v>42254</v>
      </c>
      <c r="C1419">
        <v>3197.97</v>
      </c>
      <c r="D1419">
        <f t="shared" si="292"/>
        <v>5.5564234505391108E-3</v>
      </c>
      <c r="E1419" t="str">
        <f t="shared" si="286"/>
        <v>2015-09</v>
      </c>
      <c r="G1419">
        <v>4549.6400000000003</v>
      </c>
      <c r="H1419">
        <f t="shared" si="293"/>
        <v>5.8549312385943967E-3</v>
      </c>
      <c r="I1419" t="str">
        <f t="shared" si="287"/>
        <v>2015-09</v>
      </c>
      <c r="K1419">
        <v>10108.61</v>
      </c>
      <c r="L1419">
        <f t="shared" si="294"/>
        <v>7.005659861740802E-3</v>
      </c>
      <c r="M1419" t="str">
        <f t="shared" si="288"/>
        <v>2015-09</v>
      </c>
      <c r="O1419">
        <v>8312.5583000000006</v>
      </c>
      <c r="P1419">
        <f t="shared" si="295"/>
        <v>8.5516812931168782E-3</v>
      </c>
      <c r="Q1419" t="str">
        <f t="shared" si="289"/>
        <v>2015-09</v>
      </c>
      <c r="S1419">
        <v>9805.4</v>
      </c>
      <c r="T1419">
        <f t="shared" si="296"/>
        <v>-1.6711506294071845E-3</v>
      </c>
      <c r="U1419" t="str">
        <f t="shared" si="290"/>
        <v>2015-09</v>
      </c>
      <c r="W1419">
        <v>21622.34</v>
      </c>
      <c r="X1419">
        <f t="shared" si="297"/>
        <v>6.945610033428775E-3</v>
      </c>
      <c r="Y1419">
        <f t="shared" si="298"/>
        <v>6.9697867243399452E-3</v>
      </c>
      <c r="Z1419" t="str">
        <f t="shared" si="291"/>
        <v>2015-09</v>
      </c>
    </row>
    <row r="1420" spans="1:26" x14ac:dyDescent="0.35">
      <c r="A1420" s="1">
        <v>42255</v>
      </c>
      <c r="C1420">
        <v>3233.84</v>
      </c>
      <c r="D1420">
        <f t="shared" si="292"/>
        <v>1.1154052091108875E-2</v>
      </c>
      <c r="E1420" t="str">
        <f t="shared" si="286"/>
        <v>2015-09</v>
      </c>
      <c r="G1420">
        <v>4598.26</v>
      </c>
      <c r="H1420">
        <f t="shared" si="293"/>
        <v>1.0629862113279341E-2</v>
      </c>
      <c r="I1420" t="str">
        <f t="shared" si="287"/>
        <v>2015-09</v>
      </c>
      <c r="K1420">
        <v>10271.36</v>
      </c>
      <c r="L1420">
        <f t="shared" si="294"/>
        <v>1.597190376651493E-2</v>
      </c>
      <c r="M1420" t="str">
        <f t="shared" si="288"/>
        <v>2015-09</v>
      </c>
      <c r="O1420">
        <v>8447.5902399999995</v>
      </c>
      <c r="P1420">
        <f t="shared" si="295"/>
        <v>1.6113802508467657E-2</v>
      </c>
      <c r="Q1420" t="str">
        <f t="shared" si="289"/>
        <v>2015-09</v>
      </c>
      <c r="S1420">
        <v>9866.2000000000007</v>
      </c>
      <c r="T1420">
        <f t="shared" si="296"/>
        <v>6.1815199173664986E-3</v>
      </c>
      <c r="U1420" t="str">
        <f t="shared" si="290"/>
        <v>2015-09</v>
      </c>
      <c r="W1420">
        <v>21941.31</v>
      </c>
      <c r="X1420">
        <f t="shared" si="297"/>
        <v>1.4644121888201045E-2</v>
      </c>
      <c r="Y1420">
        <f t="shared" si="298"/>
        <v>1.4751872369040592E-2</v>
      </c>
      <c r="Z1420" t="str">
        <f t="shared" si="291"/>
        <v>2015-09</v>
      </c>
    </row>
    <row r="1421" spans="1:26" x14ac:dyDescent="0.35">
      <c r="A1421" s="1">
        <v>42256</v>
      </c>
      <c r="C1421">
        <v>3269.98</v>
      </c>
      <c r="D1421">
        <f t="shared" si="292"/>
        <v>1.1113583086675666E-2</v>
      </c>
      <c r="E1421" t="str">
        <f t="shared" si="286"/>
        <v>2015-09</v>
      </c>
      <c r="G1421">
        <v>4664.59</v>
      </c>
      <c r="H1421">
        <f t="shared" si="293"/>
        <v>1.4321970838469925E-2</v>
      </c>
      <c r="I1421" t="str">
        <f t="shared" si="287"/>
        <v>2015-09</v>
      </c>
      <c r="K1421">
        <v>10303.120000000001</v>
      </c>
      <c r="L1421">
        <f t="shared" si="294"/>
        <v>3.0873222775841713E-3</v>
      </c>
      <c r="M1421" t="str">
        <f t="shared" si="288"/>
        <v>2015-09</v>
      </c>
      <c r="O1421">
        <v>8575.4937000000009</v>
      </c>
      <c r="P1421">
        <f t="shared" si="295"/>
        <v>1.5027343739008107E-2</v>
      </c>
      <c r="Q1421" t="str">
        <f t="shared" si="289"/>
        <v>2015-09</v>
      </c>
      <c r="S1421">
        <v>10037.799999999999</v>
      </c>
      <c r="T1421">
        <f t="shared" si="296"/>
        <v>1.7243192500488561E-2</v>
      </c>
      <c r="U1421" t="str">
        <f t="shared" si="290"/>
        <v>2015-09</v>
      </c>
      <c r="W1421">
        <v>22126.57</v>
      </c>
      <c r="X1421">
        <f t="shared" si="297"/>
        <v>8.4079874684309993E-3</v>
      </c>
      <c r="Y1421">
        <f t="shared" si="298"/>
        <v>8.4434338697187347E-3</v>
      </c>
      <c r="Z1421" t="str">
        <f t="shared" si="291"/>
        <v>2015-09</v>
      </c>
    </row>
    <row r="1422" spans="1:26" x14ac:dyDescent="0.35">
      <c r="A1422" s="1">
        <v>42257</v>
      </c>
      <c r="C1422">
        <v>3221.14</v>
      </c>
      <c r="D1422">
        <f t="shared" si="292"/>
        <v>-1.5048534515514451E-2</v>
      </c>
      <c r="E1422" t="str">
        <f t="shared" si="286"/>
        <v>2015-09</v>
      </c>
      <c r="G1422">
        <v>4596.53</v>
      </c>
      <c r="H1422">
        <f t="shared" si="293"/>
        <v>-1.4698270899790393E-2</v>
      </c>
      <c r="I1422" t="str">
        <f t="shared" si="287"/>
        <v>2015-09</v>
      </c>
      <c r="K1422">
        <v>10210.44</v>
      </c>
      <c r="L1422">
        <f t="shared" si="294"/>
        <v>-9.0360357352755032E-3</v>
      </c>
      <c r="M1422" t="str">
        <f t="shared" si="288"/>
        <v>2015-09</v>
      </c>
      <c r="O1422">
        <v>8438.2092300000004</v>
      </c>
      <c r="P1422">
        <f t="shared" si="295"/>
        <v>-1.6138456183733246E-2</v>
      </c>
      <c r="Q1422" t="str">
        <f t="shared" si="289"/>
        <v>2015-09</v>
      </c>
      <c r="S1422">
        <v>9859</v>
      </c>
      <c r="T1422">
        <f t="shared" si="296"/>
        <v>-1.7973223153639549E-2</v>
      </c>
      <c r="U1422" t="str">
        <f t="shared" si="290"/>
        <v>2015-09</v>
      </c>
      <c r="W1422">
        <v>21901.45</v>
      </c>
      <c r="X1422">
        <f t="shared" si="297"/>
        <v>-1.0226304152067843E-2</v>
      </c>
      <c r="Y1422">
        <f t="shared" si="298"/>
        <v>-1.0174193288882957E-2</v>
      </c>
      <c r="Z1422" t="str">
        <f t="shared" si="291"/>
        <v>2015-09</v>
      </c>
    </row>
    <row r="1423" spans="1:26" x14ac:dyDescent="0.35">
      <c r="A1423" s="1">
        <v>42258</v>
      </c>
      <c r="C1423">
        <v>3187.94</v>
      </c>
      <c r="D1423">
        <f t="shared" si="292"/>
        <v>-1.0360393993297445E-2</v>
      </c>
      <c r="E1423" t="str">
        <f t="shared" si="286"/>
        <v>2015-09</v>
      </c>
      <c r="G1423">
        <v>4548.72</v>
      </c>
      <c r="H1423">
        <f t="shared" si="293"/>
        <v>-1.045579630145768E-2</v>
      </c>
      <c r="I1423" t="str">
        <f t="shared" si="287"/>
        <v>2015-09</v>
      </c>
      <c r="K1423">
        <v>10123.56</v>
      </c>
      <c r="L1423">
        <f t="shared" si="294"/>
        <v>-8.5453455970670618E-3</v>
      </c>
      <c r="M1423" t="str">
        <f t="shared" si="288"/>
        <v>2015-09</v>
      </c>
      <c r="O1423">
        <v>8320.5849999999991</v>
      </c>
      <c r="P1423">
        <f t="shared" si="295"/>
        <v>-1.4037544693645697E-2</v>
      </c>
      <c r="Q1423" t="str">
        <f t="shared" si="289"/>
        <v>2015-09</v>
      </c>
      <c r="S1423">
        <v>9737.9</v>
      </c>
      <c r="T1423">
        <f t="shared" si="296"/>
        <v>-1.235925493420823E-2</v>
      </c>
      <c r="U1423" t="str">
        <f t="shared" si="290"/>
        <v>2015-09</v>
      </c>
      <c r="W1423">
        <v>21762.63</v>
      </c>
      <c r="X1423">
        <f t="shared" si="297"/>
        <v>-6.3585660214600017E-3</v>
      </c>
      <c r="Y1423">
        <f t="shared" si="298"/>
        <v>-6.3383931200902089E-3</v>
      </c>
      <c r="Z1423" t="str">
        <f t="shared" si="291"/>
        <v>2015-09</v>
      </c>
    </row>
    <row r="1424" spans="1:26" x14ac:dyDescent="0.35">
      <c r="A1424" s="1">
        <v>42261</v>
      </c>
      <c r="C1424">
        <v>3175.62</v>
      </c>
      <c r="D1424">
        <f t="shared" si="292"/>
        <v>-3.8720513022851926E-3</v>
      </c>
      <c r="E1424" t="str">
        <f t="shared" si="286"/>
        <v>2015-09</v>
      </c>
      <c r="G1424">
        <v>4518.1499999999996</v>
      </c>
      <c r="H1424">
        <f t="shared" si="293"/>
        <v>-6.7432566781229141E-3</v>
      </c>
      <c r="I1424" t="str">
        <f t="shared" si="287"/>
        <v>2015-09</v>
      </c>
      <c r="K1424">
        <v>10131.74</v>
      </c>
      <c r="L1424">
        <f t="shared" si="294"/>
        <v>8.0768988311145321E-4</v>
      </c>
      <c r="M1424" t="str">
        <f t="shared" si="288"/>
        <v>2015-09</v>
      </c>
      <c r="O1424">
        <v>8292.8677399999997</v>
      </c>
      <c r="P1424">
        <f t="shared" si="295"/>
        <v>-3.3367279096280073E-3</v>
      </c>
      <c r="Q1424" t="str">
        <f t="shared" si="289"/>
        <v>2015-09</v>
      </c>
      <c r="S1424">
        <v>9696.4</v>
      </c>
      <c r="T1424">
        <f t="shared" si="296"/>
        <v>-4.2708060572529327E-3</v>
      </c>
      <c r="U1424" t="str">
        <f t="shared" si="290"/>
        <v>2015-09</v>
      </c>
      <c r="W1424">
        <v>21553.8</v>
      </c>
      <c r="X1424">
        <f t="shared" si="297"/>
        <v>-9.6421435434148953E-3</v>
      </c>
      <c r="Y1424">
        <f t="shared" si="298"/>
        <v>-9.5958071244147299E-3</v>
      </c>
      <c r="Z1424" t="str">
        <f t="shared" si="291"/>
        <v>2015-09</v>
      </c>
    </row>
    <row r="1425" spans="1:26" x14ac:dyDescent="0.35">
      <c r="A1425" s="1">
        <v>42262</v>
      </c>
      <c r="C1425">
        <v>3207.6</v>
      </c>
      <c r="D1425">
        <f t="shared" si="292"/>
        <v>1.0020105079326791E-2</v>
      </c>
      <c r="E1425" t="str">
        <f t="shared" si="286"/>
        <v>2015-09</v>
      </c>
      <c r="G1425">
        <v>4569.37</v>
      </c>
      <c r="H1425">
        <f t="shared" si="293"/>
        <v>1.1272721797396365E-2</v>
      </c>
      <c r="I1425" t="str">
        <f t="shared" si="287"/>
        <v>2015-09</v>
      </c>
      <c r="K1425">
        <v>10188.129999999999</v>
      </c>
      <c r="L1425">
        <f t="shared" si="294"/>
        <v>5.5502466067815278E-3</v>
      </c>
      <c r="M1425" t="str">
        <f t="shared" si="288"/>
        <v>2015-09</v>
      </c>
      <c r="O1425">
        <v>8352.6409600000006</v>
      </c>
      <c r="P1425">
        <f t="shared" si="295"/>
        <v>7.1819345390050681E-3</v>
      </c>
      <c r="Q1425" t="str">
        <f t="shared" si="289"/>
        <v>2015-09</v>
      </c>
      <c r="S1425">
        <v>9782.5</v>
      </c>
      <c r="T1425">
        <f t="shared" si="296"/>
        <v>8.8403925009874554E-3</v>
      </c>
      <c r="U1425" t="str">
        <f t="shared" si="290"/>
        <v>2015-09</v>
      </c>
      <c r="W1425">
        <v>21903.63</v>
      </c>
      <c r="X1425">
        <f t="shared" si="297"/>
        <v>1.6100241400077576E-2</v>
      </c>
      <c r="Y1425">
        <f t="shared" si="298"/>
        <v>1.6230548673551844E-2</v>
      </c>
      <c r="Z1425" t="str">
        <f t="shared" si="291"/>
        <v>2015-09</v>
      </c>
    </row>
    <row r="1426" spans="1:26" x14ac:dyDescent="0.35">
      <c r="A1426" s="1">
        <v>42263</v>
      </c>
      <c r="C1426">
        <v>3251.79</v>
      </c>
      <c r="D1426">
        <f t="shared" si="292"/>
        <v>1.3682620003974312E-2</v>
      </c>
      <c r="E1426" t="str">
        <f t="shared" si="286"/>
        <v>2015-09</v>
      </c>
      <c r="G1426">
        <v>4645.84</v>
      </c>
      <c r="H1426">
        <f t="shared" si="293"/>
        <v>1.6596855705485986E-2</v>
      </c>
      <c r="I1426" t="str">
        <f t="shared" si="287"/>
        <v>2015-09</v>
      </c>
      <c r="K1426">
        <v>10227.209999999999</v>
      </c>
      <c r="L1426">
        <f t="shared" si="294"/>
        <v>3.8284983482277635E-3</v>
      </c>
      <c r="M1426" t="str">
        <f t="shared" si="288"/>
        <v>2015-09</v>
      </c>
      <c r="O1426">
        <v>8528.3277400000006</v>
      </c>
      <c r="P1426">
        <f t="shared" si="295"/>
        <v>2.0815526245005524E-2</v>
      </c>
      <c r="Q1426" t="str">
        <f t="shared" si="289"/>
        <v>2015-09</v>
      </c>
      <c r="S1426">
        <v>9976.7999999999993</v>
      </c>
      <c r="T1426">
        <f t="shared" si="296"/>
        <v>1.9667322521969708E-2</v>
      </c>
      <c r="U1426" t="str">
        <f t="shared" si="290"/>
        <v>2015-09</v>
      </c>
      <c r="W1426">
        <v>22059.21</v>
      </c>
      <c r="X1426">
        <f t="shared" si="297"/>
        <v>7.0778252491896718E-3</v>
      </c>
      <c r="Y1426">
        <f t="shared" si="298"/>
        <v>7.1029322536948492E-3</v>
      </c>
      <c r="Z1426" t="str">
        <f t="shared" si="291"/>
        <v>2015-09</v>
      </c>
    </row>
    <row r="1427" spans="1:26" x14ac:dyDescent="0.35">
      <c r="A1427" s="1">
        <v>42264</v>
      </c>
      <c r="C1427">
        <v>3255.79</v>
      </c>
      <c r="D1427">
        <f t="shared" si="292"/>
        <v>1.2293357911098851E-3</v>
      </c>
      <c r="E1427" t="str">
        <f t="shared" si="286"/>
        <v>2015-09</v>
      </c>
      <c r="G1427">
        <v>4655.1400000000003</v>
      </c>
      <c r="H1427">
        <f t="shared" si="293"/>
        <v>1.9997899359741563E-3</v>
      </c>
      <c r="I1427" t="str">
        <f t="shared" si="287"/>
        <v>2015-09</v>
      </c>
      <c r="K1427">
        <v>10229.58</v>
      </c>
      <c r="L1427">
        <f t="shared" si="294"/>
        <v>2.3170790828904383E-4</v>
      </c>
      <c r="M1427" t="str">
        <f t="shared" si="288"/>
        <v>2015-09</v>
      </c>
      <c r="O1427">
        <v>8493.9753899999996</v>
      </c>
      <c r="P1427">
        <f t="shared" si="295"/>
        <v>-4.0361631881077583E-3</v>
      </c>
      <c r="Q1427" t="str">
        <f t="shared" si="289"/>
        <v>2015-09</v>
      </c>
      <c r="S1427">
        <v>10106.6</v>
      </c>
      <c r="T1427">
        <f t="shared" si="296"/>
        <v>1.292627815383658E-2</v>
      </c>
      <c r="U1427" t="str">
        <f t="shared" si="290"/>
        <v>2015-09</v>
      </c>
      <c r="W1427">
        <v>22099.53</v>
      </c>
      <c r="X1427">
        <f t="shared" si="297"/>
        <v>1.8261395685147416E-3</v>
      </c>
      <c r="Y1427">
        <f t="shared" si="298"/>
        <v>1.8278079768042333E-3</v>
      </c>
      <c r="Z1427" t="str">
        <f t="shared" si="291"/>
        <v>2015-09</v>
      </c>
    </row>
    <row r="1428" spans="1:26" x14ac:dyDescent="0.35">
      <c r="A1428" s="1">
        <v>42265</v>
      </c>
      <c r="C1428">
        <v>3157.3</v>
      </c>
      <c r="D1428">
        <f t="shared" si="292"/>
        <v>-3.0717717760443037E-2</v>
      </c>
      <c r="E1428" t="str">
        <f t="shared" si="286"/>
        <v>2015-09</v>
      </c>
      <c r="G1428">
        <v>4535.8500000000004</v>
      </c>
      <c r="H1428">
        <f t="shared" si="293"/>
        <v>-2.5959488369153003E-2</v>
      </c>
      <c r="I1428" t="str">
        <f t="shared" si="287"/>
        <v>2015-09</v>
      </c>
      <c r="K1428">
        <v>9916.16</v>
      </c>
      <c r="L1428">
        <f t="shared" si="294"/>
        <v>-3.1117773820959736E-2</v>
      </c>
      <c r="M1428" t="str">
        <f t="shared" si="288"/>
        <v>2015-09</v>
      </c>
      <c r="O1428">
        <v>8367.0394899999992</v>
      </c>
      <c r="P1428">
        <f t="shared" si="295"/>
        <v>-1.5057017512978579E-2</v>
      </c>
      <c r="Q1428" t="str">
        <f t="shared" si="289"/>
        <v>2015-09</v>
      </c>
      <c r="S1428">
        <v>9847.2000000000007</v>
      </c>
      <c r="T1428">
        <f t="shared" si="296"/>
        <v>-2.6001524964287859E-2</v>
      </c>
      <c r="U1428" t="str">
        <f t="shared" si="290"/>
        <v>2015-09</v>
      </c>
      <c r="W1428">
        <v>21514.9</v>
      </c>
      <c r="X1428">
        <f t="shared" si="297"/>
        <v>-2.6810622969530528E-2</v>
      </c>
      <c r="Y1428">
        <f t="shared" si="298"/>
        <v>-2.645440875891919E-2</v>
      </c>
      <c r="Z1428" t="str">
        <f t="shared" si="291"/>
        <v>2015-09</v>
      </c>
    </row>
    <row r="1429" spans="1:26" x14ac:dyDescent="0.35">
      <c r="A1429" s="1">
        <v>42268</v>
      </c>
      <c r="C1429">
        <v>3184.72</v>
      </c>
      <c r="D1429">
        <f t="shared" si="292"/>
        <v>8.6471410863426315E-3</v>
      </c>
      <c r="E1429" t="str">
        <f t="shared" si="286"/>
        <v>2015-09</v>
      </c>
      <c r="G1429">
        <v>4585.5</v>
      </c>
      <c r="H1429">
        <f t="shared" si="293"/>
        <v>1.088665392126381E-2</v>
      </c>
      <c r="I1429" t="str">
        <f t="shared" si="287"/>
        <v>2015-09</v>
      </c>
      <c r="K1429">
        <v>9948.51</v>
      </c>
      <c r="L1429">
        <f t="shared" si="294"/>
        <v>3.2570416320289773E-3</v>
      </c>
      <c r="M1429" t="str">
        <f t="shared" si="288"/>
        <v>2015-09</v>
      </c>
      <c r="O1429">
        <v>8446.9409199999991</v>
      </c>
      <c r="P1429">
        <f t="shared" si="295"/>
        <v>9.5042374871708926E-3</v>
      </c>
      <c r="Q1429" t="str">
        <f t="shared" si="289"/>
        <v>2015-09</v>
      </c>
      <c r="S1429">
        <v>9856.7999999999993</v>
      </c>
      <c r="T1429">
        <f t="shared" si="296"/>
        <v>9.7442151437239456E-4</v>
      </c>
      <c r="U1429" t="str">
        <f t="shared" si="290"/>
        <v>2015-09</v>
      </c>
      <c r="W1429">
        <v>21755.42</v>
      </c>
      <c r="X1429">
        <f t="shared" si="297"/>
        <v>1.1117203533269204E-2</v>
      </c>
      <c r="Y1429">
        <f t="shared" si="298"/>
        <v>1.1179229278313949E-2</v>
      </c>
      <c r="Z1429" t="str">
        <f t="shared" si="291"/>
        <v>2015-09</v>
      </c>
    </row>
    <row r="1430" spans="1:26" x14ac:dyDescent="0.35">
      <c r="A1430" s="1">
        <v>42269</v>
      </c>
      <c r="C1430">
        <v>3076.05</v>
      </c>
      <c r="D1430">
        <f t="shared" si="292"/>
        <v>-3.471806668396895E-2</v>
      </c>
      <c r="E1430" t="str">
        <f t="shared" si="286"/>
        <v>2015-09</v>
      </c>
      <c r="G1430">
        <v>4428.51</v>
      </c>
      <c r="H1430">
        <f t="shared" si="293"/>
        <v>-3.483596665097357E-2</v>
      </c>
      <c r="I1430" t="str">
        <f t="shared" si="287"/>
        <v>2015-09</v>
      </c>
      <c r="K1430">
        <v>9570.66</v>
      </c>
      <c r="L1430">
        <f t="shared" si="294"/>
        <v>-3.8720622609227921E-2</v>
      </c>
      <c r="M1430" t="str">
        <f t="shared" si="288"/>
        <v>2015-09</v>
      </c>
      <c r="O1430">
        <v>8203.1345099999999</v>
      </c>
      <c r="P1430">
        <f t="shared" si="295"/>
        <v>-2.9288015976210429E-2</v>
      </c>
      <c r="Q1430" t="str">
        <f t="shared" si="289"/>
        <v>2015-09</v>
      </c>
      <c r="S1430">
        <v>9550.2000000000007</v>
      </c>
      <c r="T1430">
        <f t="shared" si="296"/>
        <v>-3.1599475646594648E-2</v>
      </c>
      <c r="U1430" t="str">
        <f t="shared" si="290"/>
        <v>2015-09</v>
      </c>
      <c r="W1430">
        <v>21031.8</v>
      </c>
      <c r="X1430">
        <f t="shared" si="297"/>
        <v>-3.3827343829741459E-2</v>
      </c>
      <c r="Y1430">
        <f t="shared" si="298"/>
        <v>-3.3261596420570097E-2</v>
      </c>
      <c r="Z1430" t="str">
        <f t="shared" si="291"/>
        <v>2015-09</v>
      </c>
    </row>
    <row r="1431" spans="1:26" x14ac:dyDescent="0.35">
      <c r="A1431" s="1">
        <v>42270</v>
      </c>
      <c r="C1431">
        <v>3079.99</v>
      </c>
      <c r="D1431">
        <f t="shared" si="292"/>
        <v>1.280043839214039E-3</v>
      </c>
      <c r="E1431" t="str">
        <f t="shared" si="286"/>
        <v>2015-09</v>
      </c>
      <c r="G1431">
        <v>4432.83</v>
      </c>
      <c r="H1431">
        <f t="shared" si="293"/>
        <v>9.7502191366988765E-4</v>
      </c>
      <c r="I1431" t="str">
        <f t="shared" si="287"/>
        <v>2015-09</v>
      </c>
      <c r="K1431">
        <v>9612.6200000000008</v>
      </c>
      <c r="L1431">
        <f t="shared" si="294"/>
        <v>4.3746498948724786E-3</v>
      </c>
      <c r="M1431" t="str">
        <f t="shared" si="288"/>
        <v>2015-09</v>
      </c>
      <c r="O1431">
        <v>8239.6705899999997</v>
      </c>
      <c r="P1431">
        <f t="shared" si="295"/>
        <v>4.4440276349678159E-3</v>
      </c>
      <c r="Q1431" t="str">
        <f t="shared" si="289"/>
        <v>2015-09</v>
      </c>
      <c r="S1431">
        <v>9474.6</v>
      </c>
      <c r="T1431">
        <f t="shared" si="296"/>
        <v>-7.9475629632112747E-3</v>
      </c>
      <c r="U1431" t="str">
        <f t="shared" si="290"/>
        <v>2015-09</v>
      </c>
      <c r="W1431">
        <v>21068.880000000001</v>
      </c>
      <c r="X1431">
        <f t="shared" si="297"/>
        <v>1.7614921938469592E-3</v>
      </c>
      <c r="Y1431">
        <f t="shared" si="298"/>
        <v>1.7630445325650561E-3</v>
      </c>
      <c r="Z1431" t="str">
        <f t="shared" si="291"/>
        <v>2015-09</v>
      </c>
    </row>
    <row r="1432" spans="1:26" x14ac:dyDescent="0.35">
      <c r="A1432" s="1">
        <v>42271</v>
      </c>
      <c r="C1432">
        <v>3019.34</v>
      </c>
      <c r="D1432">
        <f t="shared" si="292"/>
        <v>-1.9888085770556296E-2</v>
      </c>
      <c r="E1432" t="str">
        <f t="shared" si="286"/>
        <v>2015-09</v>
      </c>
      <c r="G1432">
        <v>4347.24</v>
      </c>
      <c r="H1432">
        <f t="shared" si="293"/>
        <v>-1.9497045306953249E-2</v>
      </c>
      <c r="I1432" t="str">
        <f t="shared" si="287"/>
        <v>2015-09</v>
      </c>
      <c r="K1432">
        <v>9427.64</v>
      </c>
      <c r="L1432">
        <f t="shared" si="294"/>
        <v>-1.9431018286484216E-2</v>
      </c>
      <c r="M1432" t="str">
        <f t="shared" si="288"/>
        <v>2015-09</v>
      </c>
      <c r="O1432">
        <v>8077.0111999999999</v>
      </c>
      <c r="P1432">
        <f t="shared" si="295"/>
        <v>-1.9938463067875205E-2</v>
      </c>
      <c r="Q1432" t="str">
        <f t="shared" si="289"/>
        <v>2015-09</v>
      </c>
      <c r="S1432">
        <v>9291.4</v>
      </c>
      <c r="T1432">
        <f t="shared" si="296"/>
        <v>-1.9525292569751843E-2</v>
      </c>
      <c r="U1432" t="str">
        <f t="shared" si="290"/>
        <v>2015-09</v>
      </c>
      <c r="W1432">
        <v>20581.830000000002</v>
      </c>
      <c r="X1432">
        <f t="shared" si="297"/>
        <v>-2.3388422521640726E-2</v>
      </c>
      <c r="Y1432">
        <f t="shared" si="298"/>
        <v>-2.3117033273719306E-2</v>
      </c>
      <c r="Z1432" t="str">
        <f t="shared" si="291"/>
        <v>2015-09</v>
      </c>
    </row>
    <row r="1433" spans="1:26" x14ac:dyDescent="0.35">
      <c r="A1433" s="1">
        <v>42272</v>
      </c>
      <c r="C1433">
        <v>3113.16</v>
      </c>
      <c r="D1433">
        <f t="shared" si="292"/>
        <v>3.0600023048147341E-2</v>
      </c>
      <c r="E1433" t="str">
        <f t="shared" si="286"/>
        <v>2015-09</v>
      </c>
      <c r="G1433">
        <v>4480.66</v>
      </c>
      <c r="H1433">
        <f t="shared" si="293"/>
        <v>3.0229196032124244E-2</v>
      </c>
      <c r="I1433" t="str">
        <f t="shared" si="287"/>
        <v>2015-09</v>
      </c>
      <c r="K1433">
        <v>9688.5300000000007</v>
      </c>
      <c r="L1433">
        <f t="shared" si="294"/>
        <v>2.7296911395785314E-2</v>
      </c>
      <c r="M1433" t="str">
        <f t="shared" si="288"/>
        <v>2015-09</v>
      </c>
      <c r="O1433">
        <v>8288.6147700000001</v>
      </c>
      <c r="P1433">
        <f t="shared" si="295"/>
        <v>2.5860955570560038E-2</v>
      </c>
      <c r="Q1433" t="str">
        <f t="shared" si="289"/>
        <v>2015-09</v>
      </c>
      <c r="S1433">
        <v>9519.5</v>
      </c>
      <c r="T1433">
        <f t="shared" si="296"/>
        <v>2.4253085266830478E-2</v>
      </c>
      <c r="U1433" t="str">
        <f t="shared" si="290"/>
        <v>2015-09</v>
      </c>
      <c r="W1433">
        <v>21339.11</v>
      </c>
      <c r="X1433">
        <f t="shared" si="297"/>
        <v>3.6132891551496751E-2</v>
      </c>
      <c r="Y1433">
        <f t="shared" si="298"/>
        <v>3.6793618448893943E-2</v>
      </c>
      <c r="Z1433" t="str">
        <f t="shared" si="291"/>
        <v>2015-09</v>
      </c>
    </row>
    <row r="1434" spans="1:26" x14ac:dyDescent="0.35">
      <c r="A1434" s="1">
        <v>42275</v>
      </c>
      <c r="C1434">
        <v>3039.44</v>
      </c>
      <c r="D1434">
        <f t="shared" si="292"/>
        <v>-2.3964999581585111E-2</v>
      </c>
      <c r="E1434" t="str">
        <f t="shared" si="286"/>
        <v>2015-09</v>
      </c>
      <c r="G1434">
        <v>4357.05</v>
      </c>
      <c r="H1434">
        <f t="shared" si="293"/>
        <v>-2.7975134149179116E-2</v>
      </c>
      <c r="I1434" t="str">
        <f t="shared" si="287"/>
        <v>2015-09</v>
      </c>
      <c r="K1434">
        <v>9483.5499999999993</v>
      </c>
      <c r="L1434">
        <f t="shared" si="294"/>
        <v>-2.1383992864850775E-2</v>
      </c>
      <c r="M1434" t="str">
        <f t="shared" si="288"/>
        <v>2015-09</v>
      </c>
      <c r="O1434">
        <v>8059.1486999999997</v>
      </c>
      <c r="P1434">
        <f t="shared" si="295"/>
        <v>-2.8074928090297761E-2</v>
      </c>
      <c r="Q1434" t="str">
        <f t="shared" si="289"/>
        <v>2015-09</v>
      </c>
      <c r="S1434">
        <v>9394.2000000000007</v>
      </c>
      <c r="T1434">
        <f t="shared" si="296"/>
        <v>-1.3249848852198829E-2</v>
      </c>
      <c r="U1434" t="str">
        <f t="shared" si="290"/>
        <v>2015-09</v>
      </c>
      <c r="W1434">
        <v>20759.490000000002</v>
      </c>
      <c r="X1434">
        <f t="shared" si="297"/>
        <v>-2.7538047764997471E-2</v>
      </c>
      <c r="Y1434">
        <f t="shared" si="298"/>
        <v>-2.7162332449666315E-2</v>
      </c>
      <c r="Z1434" t="str">
        <f t="shared" si="291"/>
        <v>2015-09</v>
      </c>
    </row>
    <row r="1435" spans="1:26" x14ac:dyDescent="0.35">
      <c r="A1435" s="1">
        <v>42276</v>
      </c>
      <c r="C1435">
        <v>3029.86</v>
      </c>
      <c r="D1435">
        <f t="shared" si="292"/>
        <v>-3.1568740896222372E-3</v>
      </c>
      <c r="E1435" t="str">
        <f t="shared" si="286"/>
        <v>2015-09</v>
      </c>
      <c r="G1435">
        <v>4343.7299999999996</v>
      </c>
      <c r="H1435">
        <f t="shared" si="293"/>
        <v>-3.0617968517316391E-3</v>
      </c>
      <c r="I1435" t="str">
        <f t="shared" si="287"/>
        <v>2015-09</v>
      </c>
      <c r="K1435">
        <v>9450.4</v>
      </c>
      <c r="L1435">
        <f t="shared" si="294"/>
        <v>-3.5016500912417483E-3</v>
      </c>
      <c r="M1435" t="str">
        <f t="shared" si="288"/>
        <v>2015-09</v>
      </c>
      <c r="O1435">
        <v>7955.7754800000002</v>
      </c>
      <c r="P1435">
        <f t="shared" si="295"/>
        <v>-1.2909790210553938E-2</v>
      </c>
      <c r="Q1435" t="str">
        <f t="shared" si="289"/>
        <v>2015-09</v>
      </c>
      <c r="S1435">
        <v>9393.9</v>
      </c>
      <c r="T1435">
        <f t="shared" si="296"/>
        <v>-3.1935107863612741E-5</v>
      </c>
      <c r="U1435" t="str">
        <f t="shared" si="290"/>
        <v>2015-09</v>
      </c>
      <c r="W1435">
        <v>20726.75</v>
      </c>
      <c r="X1435">
        <f t="shared" si="297"/>
        <v>-1.5783549821259952E-3</v>
      </c>
      <c r="Y1435">
        <f t="shared" si="298"/>
        <v>-1.5771100349768516E-3</v>
      </c>
      <c r="Z1435" t="str">
        <f t="shared" si="291"/>
        <v>2015-09</v>
      </c>
    </row>
    <row r="1436" spans="1:26" x14ac:dyDescent="0.35">
      <c r="A1436" s="1">
        <v>42277</v>
      </c>
      <c r="C1436">
        <v>3100.67</v>
      </c>
      <c r="D1436">
        <f t="shared" si="292"/>
        <v>2.3101803337494679E-2</v>
      </c>
      <c r="E1436" t="str">
        <f t="shared" si="286"/>
        <v>2015-09</v>
      </c>
      <c r="G1436">
        <v>4455.29</v>
      </c>
      <c r="H1436">
        <f t="shared" si="293"/>
        <v>2.5358728198769311E-2</v>
      </c>
      <c r="I1436" t="str">
        <f t="shared" si="287"/>
        <v>2015-09</v>
      </c>
      <c r="K1436">
        <v>9660.44</v>
      </c>
      <c r="L1436">
        <f t="shared" si="294"/>
        <v>2.1982127189189554E-2</v>
      </c>
      <c r="M1436" t="str">
        <f t="shared" si="288"/>
        <v>2015-09</v>
      </c>
      <c r="O1436">
        <v>8202.85124</v>
      </c>
      <c r="P1436">
        <f t="shared" si="295"/>
        <v>3.0583665645086782E-2</v>
      </c>
      <c r="Q1436" t="str">
        <f t="shared" si="289"/>
        <v>2015-09</v>
      </c>
      <c r="S1436">
        <v>9559.9</v>
      </c>
      <c r="T1436">
        <f t="shared" si="296"/>
        <v>1.7516724302023334E-2</v>
      </c>
      <c r="U1436" t="str">
        <f t="shared" si="290"/>
        <v>2015-09</v>
      </c>
      <c r="W1436">
        <v>21294.98</v>
      </c>
      <c r="X1436">
        <f t="shared" si="297"/>
        <v>2.7046227647320304E-2</v>
      </c>
      <c r="Y1436">
        <f t="shared" si="298"/>
        <v>2.7415296657700775E-2</v>
      </c>
      <c r="Z1436" t="str">
        <f t="shared" si="291"/>
        <v>2015-09</v>
      </c>
    </row>
    <row r="1437" spans="1:26" x14ac:dyDescent="0.35">
      <c r="A1437" s="1">
        <v>42278</v>
      </c>
      <c r="C1437">
        <v>3069.05</v>
      </c>
      <c r="D1437">
        <f t="shared" si="292"/>
        <v>-1.0250149714181518E-2</v>
      </c>
      <c r="E1437" t="str">
        <f t="shared" si="286"/>
        <v>2015-10</v>
      </c>
      <c r="G1437">
        <v>4426.54</v>
      </c>
      <c r="H1437">
        <f t="shared" si="293"/>
        <v>-6.4739136896424417E-3</v>
      </c>
      <c r="I1437" t="str">
        <f t="shared" si="287"/>
        <v>2015-10</v>
      </c>
      <c r="K1437">
        <v>9509.25</v>
      </c>
      <c r="L1437">
        <f t="shared" si="294"/>
        <v>-1.5774186747332563E-2</v>
      </c>
      <c r="M1437" t="str">
        <f t="shared" si="288"/>
        <v>2015-10</v>
      </c>
      <c r="O1437">
        <v>8216.4923199999994</v>
      </c>
      <c r="P1437">
        <f t="shared" si="295"/>
        <v>1.6615869067592196E-3</v>
      </c>
      <c r="Q1437" t="str">
        <f t="shared" si="289"/>
        <v>2015-10</v>
      </c>
      <c r="S1437">
        <v>9567.2999999999993</v>
      </c>
      <c r="T1437">
        <f t="shared" si="296"/>
        <v>7.7376723924135488E-4</v>
      </c>
      <c r="U1437" t="str">
        <f t="shared" si="290"/>
        <v>2015-10</v>
      </c>
      <c r="W1437">
        <v>21142.86</v>
      </c>
      <c r="X1437">
        <f t="shared" si="297"/>
        <v>-7.1691043432052376E-3</v>
      </c>
      <c r="Y1437">
        <f t="shared" si="298"/>
        <v>-7.1434676153722138E-3</v>
      </c>
      <c r="Z1437" t="str">
        <f t="shared" si="291"/>
        <v>2015-10</v>
      </c>
    </row>
    <row r="1438" spans="1:26" x14ac:dyDescent="0.35">
      <c r="A1438" s="1">
        <v>42279</v>
      </c>
      <c r="C1438">
        <v>3088.18</v>
      </c>
      <c r="D1438">
        <f t="shared" si="292"/>
        <v>6.213853162502489E-3</v>
      </c>
      <c r="E1438" t="str">
        <f t="shared" si="286"/>
        <v>2015-10</v>
      </c>
      <c r="G1438">
        <v>4458.88</v>
      </c>
      <c r="H1438">
        <f t="shared" si="293"/>
        <v>7.2793729066169084E-3</v>
      </c>
      <c r="I1438" t="str">
        <f t="shared" si="287"/>
        <v>2015-10</v>
      </c>
      <c r="K1438">
        <v>9553.07</v>
      </c>
      <c r="L1438">
        <f t="shared" si="294"/>
        <v>4.5975597080814461E-3</v>
      </c>
      <c r="M1438" t="str">
        <f t="shared" si="288"/>
        <v>2015-10</v>
      </c>
      <c r="O1438">
        <v>8289.2684499999996</v>
      </c>
      <c r="P1438">
        <f t="shared" si="295"/>
        <v>8.8183274458415277E-3</v>
      </c>
      <c r="Q1438" t="str">
        <f t="shared" si="289"/>
        <v>2015-10</v>
      </c>
      <c r="S1438">
        <v>9603.6</v>
      </c>
      <c r="T1438">
        <f t="shared" si="296"/>
        <v>3.7869941820673908E-3</v>
      </c>
      <c r="U1438" t="str">
        <f t="shared" si="290"/>
        <v>2015-10</v>
      </c>
      <c r="W1438">
        <v>21395.29</v>
      </c>
      <c r="X1438">
        <f t="shared" si="297"/>
        <v>1.1868544501814581E-2</v>
      </c>
      <c r="Y1438">
        <f t="shared" si="298"/>
        <v>1.1939255143343912E-2</v>
      </c>
      <c r="Z1438" t="str">
        <f t="shared" si="291"/>
        <v>2015-10</v>
      </c>
    </row>
    <row r="1439" spans="1:26" x14ac:dyDescent="0.35">
      <c r="A1439" s="1">
        <v>42282</v>
      </c>
      <c r="C1439">
        <v>3190.39</v>
      </c>
      <c r="D1439">
        <f t="shared" si="292"/>
        <v>3.2561245758095138E-2</v>
      </c>
      <c r="E1439" t="str">
        <f t="shared" si="286"/>
        <v>2015-10</v>
      </c>
      <c r="G1439">
        <v>4616.8999999999996</v>
      </c>
      <c r="H1439">
        <f t="shared" si="293"/>
        <v>3.4825870784741392E-2</v>
      </c>
      <c r="I1439" t="str">
        <f t="shared" si="287"/>
        <v>2015-10</v>
      </c>
      <c r="K1439">
        <v>9814.7900000000009</v>
      </c>
      <c r="L1439">
        <f t="shared" si="294"/>
        <v>2.7027862874698716E-2</v>
      </c>
      <c r="M1439" t="str">
        <f t="shared" si="288"/>
        <v>2015-10</v>
      </c>
      <c r="O1439">
        <v>8533.1306499999992</v>
      </c>
      <c r="P1439">
        <f t="shared" si="295"/>
        <v>2.8994590202145617E-2</v>
      </c>
      <c r="Q1439" t="str">
        <f t="shared" si="289"/>
        <v>2015-10</v>
      </c>
      <c r="S1439">
        <v>9971.2999999999993</v>
      </c>
      <c r="T1439">
        <f t="shared" si="296"/>
        <v>3.7572938468213447E-2</v>
      </c>
      <c r="U1439" t="str">
        <f t="shared" si="290"/>
        <v>2015-10</v>
      </c>
      <c r="W1439">
        <v>21980.080000000002</v>
      </c>
      <c r="X1439">
        <f t="shared" si="297"/>
        <v>2.6965784295538968E-2</v>
      </c>
      <c r="Y1439">
        <f t="shared" si="298"/>
        <v>2.7332651251747504E-2</v>
      </c>
      <c r="Z1439" t="str">
        <f t="shared" si="291"/>
        <v>2015-10</v>
      </c>
    </row>
    <row r="1440" spans="1:26" x14ac:dyDescent="0.35">
      <c r="A1440" s="1">
        <v>42283</v>
      </c>
      <c r="C1440">
        <v>3220.09</v>
      </c>
      <c r="D1440">
        <f t="shared" si="292"/>
        <v>9.2661430990131789E-3</v>
      </c>
      <c r="E1440" t="str">
        <f t="shared" si="286"/>
        <v>2015-10</v>
      </c>
      <c r="G1440">
        <v>4660.6400000000003</v>
      </c>
      <c r="H1440">
        <f t="shared" si="293"/>
        <v>9.4292935589000582E-3</v>
      </c>
      <c r="I1440" t="str">
        <f t="shared" si="287"/>
        <v>2015-10</v>
      </c>
      <c r="K1440">
        <v>9902.83</v>
      </c>
      <c r="L1440">
        <f t="shared" si="294"/>
        <v>8.9301431998117468E-3</v>
      </c>
      <c r="M1440" t="str">
        <f t="shared" si="288"/>
        <v>2015-10</v>
      </c>
      <c r="O1440">
        <v>8552.0831199999993</v>
      </c>
      <c r="P1440">
        <f t="shared" si="295"/>
        <v>2.2185824572029901E-3</v>
      </c>
      <c r="Q1440" t="str">
        <f t="shared" si="289"/>
        <v>2015-10</v>
      </c>
      <c r="S1440">
        <v>10103.299999999999</v>
      </c>
      <c r="T1440">
        <f t="shared" si="296"/>
        <v>1.3151136507907654E-2</v>
      </c>
      <c r="U1440" t="str">
        <f t="shared" si="290"/>
        <v>2015-10</v>
      </c>
      <c r="W1440">
        <v>22182.65</v>
      </c>
      <c r="X1440">
        <f t="shared" si="297"/>
        <v>9.1738631504427945E-3</v>
      </c>
      <c r="Y1440">
        <f t="shared" si="298"/>
        <v>9.2160720070172484E-3</v>
      </c>
      <c r="Z1440" t="str">
        <f t="shared" si="291"/>
        <v>2015-10</v>
      </c>
    </row>
    <row r="1441" spans="1:26" x14ac:dyDescent="0.35">
      <c r="A1441" s="1">
        <v>42284</v>
      </c>
      <c r="C1441">
        <v>3226.4</v>
      </c>
      <c r="D1441">
        <f t="shared" si="292"/>
        <v>1.957655100747926E-3</v>
      </c>
      <c r="E1441" t="str">
        <f t="shared" si="286"/>
        <v>2015-10</v>
      </c>
      <c r="G1441">
        <v>4667.34</v>
      </c>
      <c r="H1441">
        <f t="shared" si="293"/>
        <v>1.4365384900482364E-3</v>
      </c>
      <c r="I1441" t="str">
        <f t="shared" si="287"/>
        <v>2015-10</v>
      </c>
      <c r="K1441">
        <v>9970.4</v>
      </c>
      <c r="L1441">
        <f t="shared" si="294"/>
        <v>6.8001286534082007E-3</v>
      </c>
      <c r="M1441" t="str">
        <f t="shared" si="288"/>
        <v>2015-10</v>
      </c>
      <c r="O1441">
        <v>8632.9457700000003</v>
      </c>
      <c r="P1441">
        <f t="shared" si="295"/>
        <v>9.4108944845343965E-3</v>
      </c>
      <c r="Q1441" t="str">
        <f t="shared" si="289"/>
        <v>2015-10</v>
      </c>
      <c r="S1441">
        <v>10170</v>
      </c>
      <c r="T1441">
        <f t="shared" si="296"/>
        <v>6.580106905483659E-3</v>
      </c>
      <c r="U1441" t="str">
        <f t="shared" si="290"/>
        <v>2015-10</v>
      </c>
      <c r="W1441">
        <v>22007.34</v>
      </c>
      <c r="X1441">
        <f t="shared" si="297"/>
        <v>-7.9344177140070436E-3</v>
      </c>
      <c r="Y1441">
        <f t="shared" si="298"/>
        <v>-7.9030233087571278E-3</v>
      </c>
      <c r="Z1441" t="str">
        <f t="shared" si="291"/>
        <v>2015-10</v>
      </c>
    </row>
    <row r="1442" spans="1:26" x14ac:dyDescent="0.35">
      <c r="A1442" s="1">
        <v>42285</v>
      </c>
      <c r="C1442">
        <v>3224.96</v>
      </c>
      <c r="D1442">
        <f t="shared" si="292"/>
        <v>-4.4641750697986472E-4</v>
      </c>
      <c r="E1442" t="str">
        <f t="shared" si="286"/>
        <v>2015-10</v>
      </c>
      <c r="G1442">
        <v>4675.91</v>
      </c>
      <c r="H1442">
        <f t="shared" si="293"/>
        <v>1.8344799514937113E-3</v>
      </c>
      <c r="I1442" t="str">
        <f t="shared" si="287"/>
        <v>2015-10</v>
      </c>
      <c r="K1442">
        <v>9993.07</v>
      </c>
      <c r="L1442">
        <f t="shared" si="294"/>
        <v>2.2711492285203204E-3</v>
      </c>
      <c r="M1442" t="str">
        <f t="shared" si="288"/>
        <v>2015-10</v>
      </c>
      <c r="O1442">
        <v>8659.2906000000003</v>
      </c>
      <c r="P1442">
        <f t="shared" si="295"/>
        <v>3.0470148359152617E-3</v>
      </c>
      <c r="Q1442" t="str">
        <f t="shared" si="289"/>
        <v>2015-10</v>
      </c>
      <c r="S1442">
        <v>10181.200000000001</v>
      </c>
      <c r="T1442">
        <f t="shared" si="296"/>
        <v>1.1006723073543863E-3</v>
      </c>
      <c r="U1442" t="str">
        <f t="shared" si="290"/>
        <v>2015-10</v>
      </c>
      <c r="W1442">
        <v>22156.74</v>
      </c>
      <c r="X1442">
        <f t="shared" si="297"/>
        <v>6.765705065989884E-3</v>
      </c>
      <c r="Y1442">
        <f t="shared" si="298"/>
        <v>6.7886441523601427E-3</v>
      </c>
      <c r="Z1442" t="str">
        <f t="shared" si="291"/>
        <v>2015-10</v>
      </c>
    </row>
    <row r="1443" spans="1:26" x14ac:dyDescent="0.35">
      <c r="A1443" s="1">
        <v>42286</v>
      </c>
      <c r="C1443">
        <v>3250.31</v>
      </c>
      <c r="D1443">
        <f t="shared" si="292"/>
        <v>7.8298293381660056E-3</v>
      </c>
      <c r="E1443" t="str">
        <f t="shared" si="286"/>
        <v>2015-10</v>
      </c>
      <c r="G1443">
        <v>4701.3900000000003</v>
      </c>
      <c r="H1443">
        <f t="shared" si="293"/>
        <v>5.4344134682805401E-3</v>
      </c>
      <c r="I1443" t="str">
        <f t="shared" si="287"/>
        <v>2015-10</v>
      </c>
      <c r="K1443">
        <v>10096.6</v>
      </c>
      <c r="L1443">
        <f t="shared" si="294"/>
        <v>1.030688075146606E-2</v>
      </c>
      <c r="M1443" t="str">
        <f t="shared" si="288"/>
        <v>2015-10</v>
      </c>
      <c r="O1443">
        <v>8642.0826400000005</v>
      </c>
      <c r="P1443">
        <f t="shared" si="295"/>
        <v>-1.9892022945824936E-3</v>
      </c>
      <c r="Q1443" t="str">
        <f t="shared" si="289"/>
        <v>2015-10</v>
      </c>
      <c r="S1443">
        <v>10309.6</v>
      </c>
      <c r="T1443">
        <f t="shared" si="296"/>
        <v>1.2532617624221535E-2</v>
      </c>
      <c r="U1443" t="str">
        <f t="shared" si="290"/>
        <v>2015-10</v>
      </c>
      <c r="W1443">
        <v>22257.89</v>
      </c>
      <c r="X1443">
        <f t="shared" si="297"/>
        <v>4.5548133520043185E-3</v>
      </c>
      <c r="Y1443">
        <f t="shared" si="298"/>
        <v>4.565202281562983E-3</v>
      </c>
      <c r="Z1443" t="str">
        <f t="shared" si="291"/>
        <v>2015-10</v>
      </c>
    </row>
    <row r="1444" spans="1:26" x14ac:dyDescent="0.35">
      <c r="A1444" s="1">
        <v>42289</v>
      </c>
      <c r="C1444">
        <v>3247.33</v>
      </c>
      <c r="D1444">
        <f t="shared" si="292"/>
        <v>-9.1725617576149821E-4</v>
      </c>
      <c r="E1444" t="str">
        <f t="shared" si="286"/>
        <v>2015-10</v>
      </c>
      <c r="G1444">
        <v>4688.7</v>
      </c>
      <c r="H1444">
        <f t="shared" si="293"/>
        <v>-2.7028511389059094E-3</v>
      </c>
      <c r="I1444" t="str">
        <f t="shared" si="287"/>
        <v>2015-10</v>
      </c>
      <c r="K1444">
        <v>10119.83</v>
      </c>
      <c r="L1444">
        <f t="shared" si="294"/>
        <v>2.29813178923566E-3</v>
      </c>
      <c r="M1444" t="str">
        <f t="shared" si="288"/>
        <v>2015-10</v>
      </c>
      <c r="O1444">
        <v>8599.6092499999995</v>
      </c>
      <c r="P1444">
        <f t="shared" si="295"/>
        <v>-4.9268338845678619E-3</v>
      </c>
      <c r="Q1444" t="str">
        <f t="shared" si="289"/>
        <v>2015-10</v>
      </c>
      <c r="S1444">
        <v>10246.4</v>
      </c>
      <c r="T1444">
        <f t="shared" si="296"/>
        <v>-6.1490756118406428E-3</v>
      </c>
      <c r="U1444" t="str">
        <f t="shared" si="290"/>
        <v>2015-10</v>
      </c>
      <c r="W1444">
        <v>22091.27</v>
      </c>
      <c r="X1444">
        <f t="shared" si="297"/>
        <v>-7.514044638428234E-3</v>
      </c>
      <c r="Y1444">
        <f t="shared" si="298"/>
        <v>-7.4858847806327997E-3</v>
      </c>
      <c r="Z1444" t="str">
        <f t="shared" si="291"/>
        <v>2015-10</v>
      </c>
    </row>
    <row r="1445" spans="1:26" x14ac:dyDescent="0.35">
      <c r="A1445" s="1">
        <v>42290</v>
      </c>
      <c r="C1445">
        <v>3221.28</v>
      </c>
      <c r="D1445">
        <f t="shared" si="292"/>
        <v>-8.0543241365442046E-3</v>
      </c>
      <c r="E1445" t="str">
        <f t="shared" si="286"/>
        <v>2015-10</v>
      </c>
      <c r="G1445">
        <v>4643.38</v>
      </c>
      <c r="H1445">
        <f t="shared" si="293"/>
        <v>-9.7128092097630171E-3</v>
      </c>
      <c r="I1445" t="str">
        <f t="shared" si="287"/>
        <v>2015-10</v>
      </c>
      <c r="K1445">
        <v>10032.82</v>
      </c>
      <c r="L1445">
        <f t="shared" si="294"/>
        <v>-8.6351463120896421E-3</v>
      </c>
      <c r="M1445" t="str">
        <f t="shared" si="288"/>
        <v>2015-10</v>
      </c>
      <c r="O1445">
        <v>8489.9686700000002</v>
      </c>
      <c r="P1445">
        <f t="shared" si="295"/>
        <v>-1.2831456088047571E-2</v>
      </c>
      <c r="Q1445" t="str">
        <f t="shared" si="289"/>
        <v>2015-10</v>
      </c>
      <c r="S1445">
        <v>10115.299999999999</v>
      </c>
      <c r="T1445">
        <f t="shared" si="296"/>
        <v>-1.2877295277919761E-2</v>
      </c>
      <c r="U1445" t="str">
        <f t="shared" si="290"/>
        <v>2015-10</v>
      </c>
      <c r="W1445">
        <v>22048.49</v>
      </c>
      <c r="X1445">
        <f t="shared" si="297"/>
        <v>-1.9383890349634089E-3</v>
      </c>
      <c r="Y1445">
        <f t="shared" si="298"/>
        <v>-1.9365115722182942E-3</v>
      </c>
      <c r="Z1445" t="str">
        <f t="shared" si="291"/>
        <v>2015-10</v>
      </c>
    </row>
    <row r="1446" spans="1:26" x14ac:dyDescent="0.35">
      <c r="A1446" s="1">
        <v>42291</v>
      </c>
      <c r="C1446">
        <v>3191.57</v>
      </c>
      <c r="D1446">
        <f t="shared" si="292"/>
        <v>-9.2658373622348314E-3</v>
      </c>
      <c r="E1446" t="str">
        <f t="shared" si="286"/>
        <v>2015-10</v>
      </c>
      <c r="G1446">
        <v>4609.03</v>
      </c>
      <c r="H1446">
        <f t="shared" si="293"/>
        <v>-7.4251266030475023E-3</v>
      </c>
      <c r="I1446" t="str">
        <f t="shared" si="287"/>
        <v>2015-10</v>
      </c>
      <c r="K1446">
        <v>9915.85</v>
      </c>
      <c r="L1446">
        <f t="shared" si="294"/>
        <v>-1.1727231995999437E-2</v>
      </c>
      <c r="M1446" t="str">
        <f t="shared" si="288"/>
        <v>2015-10</v>
      </c>
      <c r="O1446">
        <v>8466.3016599999992</v>
      </c>
      <c r="P1446">
        <f t="shared" si="295"/>
        <v>-2.7915366892021891E-3</v>
      </c>
      <c r="Q1446" t="str">
        <f t="shared" si="289"/>
        <v>2015-10</v>
      </c>
      <c r="S1446">
        <v>10037.6</v>
      </c>
      <c r="T1446">
        <f t="shared" si="296"/>
        <v>-7.7110872389311042E-3</v>
      </c>
      <c r="U1446" t="str">
        <f t="shared" si="290"/>
        <v>2015-10</v>
      </c>
      <c r="W1446">
        <v>21838.2</v>
      </c>
      <c r="X1446">
        <f t="shared" si="297"/>
        <v>-9.5833889245484135E-3</v>
      </c>
      <c r="Y1446">
        <f t="shared" si="298"/>
        <v>-9.5376145940153211E-3</v>
      </c>
      <c r="Z1446" t="str">
        <f t="shared" si="291"/>
        <v>2015-10</v>
      </c>
    </row>
    <row r="1447" spans="1:26" x14ac:dyDescent="0.35">
      <c r="A1447" s="1">
        <v>42292</v>
      </c>
      <c r="C1447">
        <v>3238.81</v>
      </c>
      <c r="D1447">
        <f t="shared" si="292"/>
        <v>1.4693019654683696E-2</v>
      </c>
      <c r="E1447" t="str">
        <f t="shared" si="286"/>
        <v>2015-10</v>
      </c>
      <c r="G1447">
        <v>4675.29</v>
      </c>
      <c r="H1447">
        <f t="shared" si="293"/>
        <v>1.4273770180991435E-2</v>
      </c>
      <c r="I1447" t="str">
        <f t="shared" si="287"/>
        <v>2015-10</v>
      </c>
      <c r="K1447">
        <v>10064.799999999999</v>
      </c>
      <c r="L1447">
        <f t="shared" si="294"/>
        <v>1.4909701063620979E-2</v>
      </c>
      <c r="M1447" t="str">
        <f t="shared" si="288"/>
        <v>2015-10</v>
      </c>
      <c r="O1447">
        <v>8614.8312999999998</v>
      </c>
      <c r="P1447">
        <f t="shared" si="295"/>
        <v>1.7391514260506377E-2</v>
      </c>
      <c r="Q1447" t="str">
        <f t="shared" si="289"/>
        <v>2015-10</v>
      </c>
      <c r="S1447">
        <v>10101.700000000001</v>
      </c>
      <c r="T1447">
        <f t="shared" si="296"/>
        <v>6.3656846518554957E-3</v>
      </c>
      <c r="U1447" t="str">
        <f t="shared" si="290"/>
        <v>2015-10</v>
      </c>
      <c r="W1447">
        <v>22217.69</v>
      </c>
      <c r="X1447">
        <f t="shared" si="297"/>
        <v>1.7228088513416676E-2</v>
      </c>
      <c r="Y1447">
        <f t="shared" si="298"/>
        <v>1.737734794992252E-2</v>
      </c>
      <c r="Z1447" t="str">
        <f t="shared" si="291"/>
        <v>2015-10</v>
      </c>
    </row>
    <row r="1448" spans="1:26" x14ac:dyDescent="0.35">
      <c r="A1448" s="1">
        <v>42293</v>
      </c>
      <c r="C1448">
        <v>3264.93</v>
      </c>
      <c r="D1448">
        <f t="shared" si="292"/>
        <v>8.0323446002600399E-3</v>
      </c>
      <c r="E1448" t="str">
        <f t="shared" si="286"/>
        <v>2015-10</v>
      </c>
      <c r="G1448">
        <v>4702.79</v>
      </c>
      <c r="H1448">
        <f t="shared" si="293"/>
        <v>5.86475671409951E-3</v>
      </c>
      <c r="I1448" t="str">
        <f t="shared" si="287"/>
        <v>2015-10</v>
      </c>
      <c r="K1448">
        <v>10104.43</v>
      </c>
      <c r="L1448">
        <f t="shared" si="294"/>
        <v>3.9297534908741445E-3</v>
      </c>
      <c r="M1448" t="str">
        <f t="shared" si="288"/>
        <v>2015-10</v>
      </c>
      <c r="O1448">
        <v>8657.2324000000008</v>
      </c>
      <c r="P1448">
        <f t="shared" si="295"/>
        <v>4.9097995368294674E-3</v>
      </c>
      <c r="Q1448" t="str">
        <f t="shared" si="289"/>
        <v>2015-10</v>
      </c>
      <c r="S1448">
        <v>10231.5</v>
      </c>
      <c r="T1448">
        <f t="shared" si="296"/>
        <v>1.2767470265538334E-2</v>
      </c>
      <c r="U1448" t="str">
        <f t="shared" si="290"/>
        <v>2015-10</v>
      </c>
      <c r="W1448">
        <v>22337.66</v>
      </c>
      <c r="X1448">
        <f t="shared" si="297"/>
        <v>5.3852248914587888E-3</v>
      </c>
      <c r="Y1448">
        <f t="shared" si="298"/>
        <v>5.3997512792734606E-3</v>
      </c>
      <c r="Z1448" t="str">
        <f t="shared" si="291"/>
        <v>2015-10</v>
      </c>
    </row>
    <row r="1449" spans="1:26" x14ac:dyDescent="0.35">
      <c r="A1449" s="1">
        <v>42296</v>
      </c>
      <c r="C1449">
        <v>3272.04</v>
      </c>
      <c r="D1449">
        <f t="shared" si="292"/>
        <v>2.175320616041278E-3</v>
      </c>
      <c r="E1449" t="str">
        <f t="shared" si="286"/>
        <v>2015-10</v>
      </c>
      <c r="G1449">
        <v>4704.07</v>
      </c>
      <c r="H1449">
        <f t="shared" si="293"/>
        <v>2.7214182158548925E-4</v>
      </c>
      <c r="I1449" t="str">
        <f t="shared" si="287"/>
        <v>2015-10</v>
      </c>
      <c r="K1449">
        <v>10164.31</v>
      </c>
      <c r="L1449">
        <f t="shared" si="294"/>
        <v>5.908623250376996E-3</v>
      </c>
      <c r="M1449" t="str">
        <f t="shared" si="288"/>
        <v>2015-10</v>
      </c>
      <c r="O1449">
        <v>8681.2932400000009</v>
      </c>
      <c r="P1449">
        <f t="shared" si="295"/>
        <v>2.7754211568563783E-3</v>
      </c>
      <c r="Q1449" t="str">
        <f t="shared" si="289"/>
        <v>2015-10</v>
      </c>
      <c r="S1449">
        <v>10207.299999999999</v>
      </c>
      <c r="T1449">
        <f t="shared" si="296"/>
        <v>-2.3680461973056735E-3</v>
      </c>
      <c r="U1449" t="str">
        <f t="shared" si="290"/>
        <v>2015-10</v>
      </c>
      <c r="W1449">
        <v>22419.68</v>
      </c>
      <c r="X1449">
        <f t="shared" si="297"/>
        <v>3.6651012689455182E-3</v>
      </c>
      <c r="Y1449">
        <f t="shared" si="298"/>
        <v>3.6718259656562252E-3</v>
      </c>
      <c r="Z1449" t="str">
        <f t="shared" si="291"/>
        <v>2015-10</v>
      </c>
    </row>
    <row r="1450" spans="1:26" x14ac:dyDescent="0.35">
      <c r="A1450" s="1">
        <v>42297</v>
      </c>
      <c r="C1450">
        <v>3255.72</v>
      </c>
      <c r="D1450">
        <f t="shared" si="292"/>
        <v>-5.0001942481426448E-3</v>
      </c>
      <c r="E1450" t="str">
        <f t="shared" si="286"/>
        <v>2015-10</v>
      </c>
      <c r="G1450">
        <v>4673.8100000000004</v>
      </c>
      <c r="H1450">
        <f t="shared" si="293"/>
        <v>-6.4535065540743319E-3</v>
      </c>
      <c r="I1450" t="str">
        <f t="shared" si="287"/>
        <v>2015-10</v>
      </c>
      <c r="K1450">
        <v>10147.68</v>
      </c>
      <c r="L1450">
        <f t="shared" si="294"/>
        <v>-1.6374568632404371E-3</v>
      </c>
      <c r="M1450" t="str">
        <f t="shared" si="288"/>
        <v>2015-10</v>
      </c>
      <c r="O1450">
        <v>8640.7121800000004</v>
      </c>
      <c r="P1450">
        <f t="shared" si="295"/>
        <v>-4.6855006979602577E-3</v>
      </c>
      <c r="Q1450" t="str">
        <f t="shared" si="289"/>
        <v>2015-10</v>
      </c>
      <c r="S1450">
        <v>10100.6</v>
      </c>
      <c r="T1450">
        <f t="shared" si="296"/>
        <v>-1.050832256009609E-2</v>
      </c>
      <c r="U1450" t="str">
        <f t="shared" si="290"/>
        <v>2015-10</v>
      </c>
      <c r="W1450">
        <v>22270.11</v>
      </c>
      <c r="X1450">
        <f t="shared" si="297"/>
        <v>-6.6937239341821877E-3</v>
      </c>
      <c r="Y1450">
        <f t="shared" si="298"/>
        <v>-6.671370867023959E-3</v>
      </c>
      <c r="Z1450" t="str">
        <f t="shared" si="291"/>
        <v>2015-10</v>
      </c>
    </row>
    <row r="1451" spans="1:26" x14ac:dyDescent="0.35">
      <c r="A1451" s="1">
        <v>42298</v>
      </c>
      <c r="C1451">
        <v>3272.23</v>
      </c>
      <c r="D1451">
        <f t="shared" si="292"/>
        <v>5.0582603120591721E-3</v>
      </c>
      <c r="E1451" t="str">
        <f t="shared" si="286"/>
        <v>2015-10</v>
      </c>
      <c r="G1451">
        <v>4695.1000000000004</v>
      </c>
      <c r="H1451">
        <f t="shared" si="293"/>
        <v>4.5448268040143543E-3</v>
      </c>
      <c r="I1451" t="str">
        <f t="shared" si="287"/>
        <v>2015-10</v>
      </c>
      <c r="K1451">
        <v>10238.1</v>
      </c>
      <c r="L1451">
        <f t="shared" si="294"/>
        <v>8.8709475876160016E-3</v>
      </c>
      <c r="M1451" t="str">
        <f t="shared" si="288"/>
        <v>2015-10</v>
      </c>
      <c r="O1451">
        <v>8639.6926899999999</v>
      </c>
      <c r="P1451">
        <f t="shared" si="295"/>
        <v>-1.1799376332362972E-4</v>
      </c>
      <c r="Q1451" t="str">
        <f t="shared" si="289"/>
        <v>2015-10</v>
      </c>
      <c r="S1451">
        <v>10157.5</v>
      </c>
      <c r="T1451">
        <f t="shared" si="296"/>
        <v>5.617520856400003E-3</v>
      </c>
      <c r="U1451" t="str">
        <f t="shared" si="290"/>
        <v>2015-10</v>
      </c>
      <c r="W1451">
        <v>22172.639999999999</v>
      </c>
      <c r="X1451">
        <f t="shared" si="297"/>
        <v>-4.386324261012424E-3</v>
      </c>
      <c r="Y1451">
        <f t="shared" si="298"/>
        <v>-4.3767183907040047E-3</v>
      </c>
      <c r="Z1451" t="str">
        <f t="shared" si="291"/>
        <v>2015-10</v>
      </c>
    </row>
    <row r="1452" spans="1:26" x14ac:dyDescent="0.35">
      <c r="A1452" s="1">
        <v>42299</v>
      </c>
      <c r="C1452">
        <v>3353.11</v>
      </c>
      <c r="D1452">
        <f t="shared" si="292"/>
        <v>2.441656371939575E-2</v>
      </c>
      <c r="E1452" t="str">
        <f t="shared" si="286"/>
        <v>2015-10</v>
      </c>
      <c r="G1452">
        <v>4802.18</v>
      </c>
      <c r="H1452">
        <f t="shared" si="293"/>
        <v>2.2550569790120871E-2</v>
      </c>
      <c r="I1452" t="str">
        <f t="shared" si="287"/>
        <v>2015-10</v>
      </c>
      <c r="K1452">
        <v>10491.97</v>
      </c>
      <c r="L1452">
        <f t="shared" si="294"/>
        <v>2.449414715874081E-2</v>
      </c>
      <c r="M1452" t="str">
        <f t="shared" si="288"/>
        <v>2015-10</v>
      </c>
      <c r="O1452">
        <v>8808.9650799999999</v>
      </c>
      <c r="P1452">
        <f t="shared" si="295"/>
        <v>1.9402948095843905E-2</v>
      </c>
      <c r="Q1452" t="str">
        <f t="shared" si="289"/>
        <v>2015-10</v>
      </c>
      <c r="S1452">
        <v>10365.4</v>
      </c>
      <c r="T1452">
        <f t="shared" si="296"/>
        <v>2.0260987676779193E-2</v>
      </c>
      <c r="U1452" t="str">
        <f t="shared" si="290"/>
        <v>2015-10</v>
      </c>
      <c r="W1452">
        <v>22616.9</v>
      </c>
      <c r="X1452">
        <f t="shared" si="297"/>
        <v>1.983831805861315E-2</v>
      </c>
      <c r="Y1452">
        <f t="shared" si="298"/>
        <v>2.0036405227343342E-2</v>
      </c>
      <c r="Z1452" t="str">
        <f t="shared" si="291"/>
        <v>2015-10</v>
      </c>
    </row>
    <row r="1453" spans="1:26" x14ac:dyDescent="0.35">
      <c r="A1453" s="1">
        <v>42300</v>
      </c>
      <c r="C1453">
        <v>3425.81</v>
      </c>
      <c r="D1453">
        <f t="shared" si="292"/>
        <v>2.1449666715735727E-2</v>
      </c>
      <c r="E1453" t="str">
        <f t="shared" si="286"/>
        <v>2015-10</v>
      </c>
      <c r="G1453">
        <v>4923.6400000000003</v>
      </c>
      <c r="H1453">
        <f t="shared" si="293"/>
        <v>2.497811287976609E-2</v>
      </c>
      <c r="I1453" t="str">
        <f t="shared" si="287"/>
        <v>2015-10</v>
      </c>
      <c r="K1453">
        <v>10794.54</v>
      </c>
      <c r="L1453">
        <f t="shared" si="294"/>
        <v>2.843024805916966E-2</v>
      </c>
      <c r="M1453" t="str">
        <f t="shared" si="288"/>
        <v>2015-10</v>
      </c>
      <c r="O1453">
        <v>8975.2650200000007</v>
      </c>
      <c r="P1453">
        <f t="shared" si="295"/>
        <v>1.8702500636982481E-2</v>
      </c>
      <c r="Q1453" t="str">
        <f t="shared" si="289"/>
        <v>2015-10</v>
      </c>
      <c r="S1453">
        <v>10476.299999999999</v>
      </c>
      <c r="T1453">
        <f t="shared" si="296"/>
        <v>1.0642226563220746E-2</v>
      </c>
      <c r="U1453" t="str">
        <f t="shared" si="290"/>
        <v>2015-10</v>
      </c>
      <c r="W1453">
        <v>22736.86</v>
      </c>
      <c r="X1453">
        <f t="shared" si="297"/>
        <v>5.2899816793866364E-3</v>
      </c>
      <c r="Y1453">
        <f t="shared" si="298"/>
        <v>5.3039983375263245E-3</v>
      </c>
      <c r="Z1453" t="str">
        <f t="shared" si="291"/>
        <v>2015-10</v>
      </c>
    </row>
    <row r="1454" spans="1:26" x14ac:dyDescent="0.35">
      <c r="A1454" s="1">
        <v>42303</v>
      </c>
      <c r="C1454">
        <v>3414.6</v>
      </c>
      <c r="D1454">
        <f t="shared" si="292"/>
        <v>-3.2775842487039347E-3</v>
      </c>
      <c r="E1454" t="str">
        <f t="shared" si="286"/>
        <v>2015-10</v>
      </c>
      <c r="G1454">
        <v>4897.13</v>
      </c>
      <c r="H1454">
        <f t="shared" si="293"/>
        <v>-5.3987751245672096E-3</v>
      </c>
      <c r="I1454" t="str">
        <f t="shared" si="287"/>
        <v>2015-10</v>
      </c>
      <c r="K1454">
        <v>10801.34</v>
      </c>
      <c r="L1454">
        <f t="shared" si="294"/>
        <v>6.2974976937546685E-4</v>
      </c>
      <c r="M1454" t="str">
        <f t="shared" si="288"/>
        <v>2015-10</v>
      </c>
      <c r="O1454">
        <v>8919.6229700000004</v>
      </c>
      <c r="P1454">
        <f t="shared" si="295"/>
        <v>-6.2187848678034018E-3</v>
      </c>
      <c r="Q1454" t="str">
        <f t="shared" si="289"/>
        <v>2015-10</v>
      </c>
      <c r="S1454">
        <v>10478.299999999999</v>
      </c>
      <c r="T1454">
        <f t="shared" si="296"/>
        <v>1.9088887462151877E-4</v>
      </c>
      <c r="U1454" t="str">
        <f t="shared" si="290"/>
        <v>2015-10</v>
      </c>
      <c r="W1454">
        <v>22629.64</v>
      </c>
      <c r="X1454">
        <f t="shared" si="297"/>
        <v>-4.7268446820968816E-3</v>
      </c>
      <c r="Y1454">
        <f t="shared" si="298"/>
        <v>-4.7156907330212338E-3</v>
      </c>
      <c r="Z1454" t="str">
        <f t="shared" si="291"/>
        <v>2015-10</v>
      </c>
    </row>
    <row r="1455" spans="1:26" x14ac:dyDescent="0.35">
      <c r="A1455" s="1">
        <v>42304</v>
      </c>
      <c r="C1455">
        <v>3381.01</v>
      </c>
      <c r="D1455">
        <f t="shared" si="292"/>
        <v>-9.8858744288001163E-3</v>
      </c>
      <c r="E1455" t="str">
        <f t="shared" si="286"/>
        <v>2015-10</v>
      </c>
      <c r="G1455">
        <v>4847.07</v>
      </c>
      <c r="H1455">
        <f t="shared" si="293"/>
        <v>-1.0274920551452177E-2</v>
      </c>
      <c r="I1455" t="str">
        <f t="shared" si="287"/>
        <v>2015-10</v>
      </c>
      <c r="K1455">
        <v>10692.19</v>
      </c>
      <c r="L1455">
        <f t="shared" si="294"/>
        <v>-1.0156632093365887E-2</v>
      </c>
      <c r="M1455" t="str">
        <f t="shared" si="288"/>
        <v>2015-10</v>
      </c>
      <c r="O1455">
        <v>8825.3390199999994</v>
      </c>
      <c r="P1455">
        <f t="shared" si="295"/>
        <v>-1.0626659815871282E-2</v>
      </c>
      <c r="Q1455" t="str">
        <f t="shared" si="289"/>
        <v>2015-10</v>
      </c>
      <c r="S1455">
        <v>10322.4</v>
      </c>
      <c r="T1455">
        <f t="shared" si="296"/>
        <v>-1.4990160838867145E-2</v>
      </c>
      <c r="U1455" t="str">
        <f t="shared" si="290"/>
        <v>2015-10</v>
      </c>
      <c r="W1455">
        <v>22369.919999999998</v>
      </c>
      <c r="X1455">
        <f t="shared" si="297"/>
        <v>-1.1543352154806188E-2</v>
      </c>
      <c r="Y1455">
        <f t="shared" si="298"/>
        <v>-1.1476983283870233E-2</v>
      </c>
      <c r="Z1455" t="str">
        <f t="shared" si="291"/>
        <v>2015-10</v>
      </c>
    </row>
    <row r="1456" spans="1:26" x14ac:dyDescent="0.35">
      <c r="A1456" s="1">
        <v>42305</v>
      </c>
      <c r="C1456">
        <v>3421.09</v>
      </c>
      <c r="D1456">
        <f t="shared" si="292"/>
        <v>1.1784732320267397E-2</v>
      </c>
      <c r="E1456" t="str">
        <f t="shared" si="286"/>
        <v>2015-10</v>
      </c>
      <c r="G1456">
        <v>4890.58</v>
      </c>
      <c r="H1456">
        <f t="shared" si="293"/>
        <v>8.9365071783997878E-3</v>
      </c>
      <c r="I1456" t="str">
        <f t="shared" si="287"/>
        <v>2015-10</v>
      </c>
      <c r="K1456">
        <v>10831.96</v>
      </c>
      <c r="L1456">
        <f t="shared" si="294"/>
        <v>1.2987454986583944E-2</v>
      </c>
      <c r="M1456" t="str">
        <f t="shared" si="288"/>
        <v>2015-10</v>
      </c>
      <c r="O1456">
        <v>8914.5930000000008</v>
      </c>
      <c r="P1456">
        <f t="shared" si="295"/>
        <v>1.0062578934285636E-2</v>
      </c>
      <c r="Q1456" t="str">
        <f t="shared" si="289"/>
        <v>2015-10</v>
      </c>
      <c r="S1456">
        <v>10421.9</v>
      </c>
      <c r="T1456">
        <f t="shared" si="296"/>
        <v>9.5930701981753394E-3</v>
      </c>
      <c r="U1456" t="str">
        <f t="shared" si="290"/>
        <v>2015-10</v>
      </c>
      <c r="W1456">
        <v>22686.240000000002</v>
      </c>
      <c r="X1456">
        <f t="shared" si="297"/>
        <v>1.4041374015245991E-2</v>
      </c>
      <c r="Y1456">
        <f t="shared" si="298"/>
        <v>1.4140417131576839E-2</v>
      </c>
      <c r="Z1456" t="str">
        <f t="shared" si="291"/>
        <v>2015-10</v>
      </c>
    </row>
    <row r="1457" spans="1:26" x14ac:dyDescent="0.35">
      <c r="A1457" s="1">
        <v>42306</v>
      </c>
      <c r="C1457">
        <v>3413.39</v>
      </c>
      <c r="D1457">
        <f t="shared" si="292"/>
        <v>-2.253281378515804E-3</v>
      </c>
      <c r="E1457" t="str">
        <f t="shared" si="286"/>
        <v>2015-10</v>
      </c>
      <c r="G1457">
        <v>4885.82</v>
      </c>
      <c r="H1457">
        <f t="shared" si="293"/>
        <v>-9.7377365413316792E-4</v>
      </c>
      <c r="I1457" t="str">
        <f t="shared" si="287"/>
        <v>2015-10</v>
      </c>
      <c r="K1457">
        <v>10800.84</v>
      </c>
      <c r="L1457">
        <f t="shared" si="294"/>
        <v>-2.8771145174974855E-3</v>
      </c>
      <c r="M1457" t="str">
        <f t="shared" si="288"/>
        <v>2015-10</v>
      </c>
      <c r="O1457">
        <v>8923.9109700000008</v>
      </c>
      <c r="P1457">
        <f t="shared" si="295"/>
        <v>1.044703172770847E-3</v>
      </c>
      <c r="Q1457" t="str">
        <f t="shared" si="289"/>
        <v>2015-10</v>
      </c>
      <c r="S1457">
        <v>10397.200000000001</v>
      </c>
      <c r="T1457">
        <f t="shared" si="296"/>
        <v>-2.3728222246880738E-3</v>
      </c>
      <c r="U1457" t="str">
        <f t="shared" si="290"/>
        <v>2015-10</v>
      </c>
      <c r="W1457">
        <v>22442.69</v>
      </c>
      <c r="X1457">
        <f t="shared" si="297"/>
        <v>-1.0793624599888602E-2</v>
      </c>
      <c r="Y1457">
        <f t="shared" si="298"/>
        <v>-1.0735582449978617E-2</v>
      </c>
      <c r="Z1457" t="str">
        <f t="shared" si="291"/>
        <v>2015-10</v>
      </c>
    </row>
    <row r="1458" spans="1:26" x14ac:dyDescent="0.35">
      <c r="A1458" s="1">
        <v>42307</v>
      </c>
      <c r="C1458">
        <v>3418.23</v>
      </c>
      <c r="D1458">
        <f t="shared" si="292"/>
        <v>1.4169408748673767E-3</v>
      </c>
      <c r="E1458" t="str">
        <f t="shared" si="286"/>
        <v>2015-10</v>
      </c>
      <c r="G1458">
        <v>4897.66</v>
      </c>
      <c r="H1458">
        <f t="shared" si="293"/>
        <v>2.420407826307576E-3</v>
      </c>
      <c r="I1458" t="str">
        <f t="shared" si="287"/>
        <v>2015-10</v>
      </c>
      <c r="K1458">
        <v>10850.14</v>
      </c>
      <c r="L1458">
        <f t="shared" si="294"/>
        <v>4.5540742456117592E-3</v>
      </c>
      <c r="M1458" t="str">
        <f t="shared" si="288"/>
        <v>2015-10</v>
      </c>
      <c r="O1458">
        <v>8917.5345899999993</v>
      </c>
      <c r="P1458">
        <f t="shared" si="295"/>
        <v>-7.1478291935929026E-4</v>
      </c>
      <c r="Q1458" t="str">
        <f t="shared" si="289"/>
        <v>2015-10</v>
      </c>
      <c r="S1458">
        <v>10360.700000000001</v>
      </c>
      <c r="T1458">
        <f t="shared" si="296"/>
        <v>-3.5167370126669589E-3</v>
      </c>
      <c r="U1458" t="str">
        <f t="shared" si="290"/>
        <v>2015-10</v>
      </c>
      <c r="W1458">
        <v>22442.51</v>
      </c>
      <c r="X1458">
        <f t="shared" si="297"/>
        <v>-8.0204610874838672E-6</v>
      </c>
      <c r="Y1458">
        <f t="shared" si="298"/>
        <v>-8.0204289236402166E-6</v>
      </c>
      <c r="Z1458" t="str">
        <f t="shared" si="291"/>
        <v>2015-10</v>
      </c>
    </row>
    <row r="1459" spans="1:26" x14ac:dyDescent="0.35">
      <c r="A1459" s="1">
        <v>42310</v>
      </c>
      <c r="C1459">
        <v>3434.5</v>
      </c>
      <c r="D1459">
        <f t="shared" si="292"/>
        <v>4.7484814289841856E-3</v>
      </c>
      <c r="E1459" t="str">
        <f t="shared" si="286"/>
        <v>2015-11</v>
      </c>
      <c r="G1459">
        <v>4916.21</v>
      </c>
      <c r="H1459">
        <f t="shared" si="293"/>
        <v>3.7803684156781175E-3</v>
      </c>
      <c r="I1459" t="str">
        <f t="shared" si="287"/>
        <v>2015-11</v>
      </c>
      <c r="K1459">
        <v>10950.67</v>
      </c>
      <c r="L1459">
        <f t="shared" si="294"/>
        <v>9.2226584762313806E-3</v>
      </c>
      <c r="M1459" t="str">
        <f t="shared" si="288"/>
        <v>2015-11</v>
      </c>
      <c r="O1459">
        <v>8902.2484000000004</v>
      </c>
      <c r="P1459">
        <f t="shared" si="295"/>
        <v>-1.7156430870189662E-3</v>
      </c>
      <c r="Q1459" t="str">
        <f t="shared" si="289"/>
        <v>2015-11</v>
      </c>
      <c r="S1459">
        <v>10418.200000000001</v>
      </c>
      <c r="T1459">
        <f t="shared" si="296"/>
        <v>5.5344745651246686E-3</v>
      </c>
      <c r="U1459" t="str">
        <f t="shared" si="290"/>
        <v>2015-11</v>
      </c>
      <c r="W1459">
        <v>22482.39</v>
      </c>
      <c r="X1459">
        <f t="shared" si="297"/>
        <v>1.7754078684823823E-3</v>
      </c>
      <c r="Y1459">
        <f t="shared" si="298"/>
        <v>1.7769848381487196E-3</v>
      </c>
      <c r="Z1459" t="str">
        <f t="shared" si="291"/>
        <v>2015-11</v>
      </c>
    </row>
    <row r="1460" spans="1:26" x14ac:dyDescent="0.35">
      <c r="A1460" s="1">
        <v>42311</v>
      </c>
      <c r="C1460">
        <v>3442.68</v>
      </c>
      <c r="D1460">
        <f t="shared" si="292"/>
        <v>2.3788831636250285E-3</v>
      </c>
      <c r="E1460" t="str">
        <f t="shared" si="286"/>
        <v>2015-11</v>
      </c>
      <c r="G1460">
        <v>4936.18</v>
      </c>
      <c r="H1460">
        <f t="shared" si="293"/>
        <v>4.0538442648598043E-3</v>
      </c>
      <c r="I1460" t="str">
        <f t="shared" si="287"/>
        <v>2015-11</v>
      </c>
      <c r="K1460">
        <v>10951.15</v>
      </c>
      <c r="L1460">
        <f t="shared" si="294"/>
        <v>4.3831973788228345E-5</v>
      </c>
      <c r="M1460" t="str">
        <f t="shared" si="288"/>
        <v>2015-11</v>
      </c>
      <c r="O1460">
        <v>8980.3919499999993</v>
      </c>
      <c r="P1460">
        <f t="shared" si="295"/>
        <v>8.739654308733448E-3</v>
      </c>
      <c r="Q1460" t="str">
        <f t="shared" si="289"/>
        <v>2015-11</v>
      </c>
      <c r="S1460">
        <v>10465.200000000001</v>
      </c>
      <c r="T1460">
        <f t="shared" si="296"/>
        <v>4.5011903573593092E-3</v>
      </c>
      <c r="U1460" t="str">
        <f t="shared" si="290"/>
        <v>2015-11</v>
      </c>
      <c r="W1460">
        <v>22459.45</v>
      </c>
      <c r="X1460">
        <f t="shared" si="297"/>
        <v>-1.0208750684133445E-3</v>
      </c>
      <c r="Y1460">
        <f t="shared" si="298"/>
        <v>-1.020354152739041E-3</v>
      </c>
      <c r="Z1460" t="str">
        <f t="shared" si="291"/>
        <v>2015-11</v>
      </c>
    </row>
    <row r="1461" spans="1:26" x14ac:dyDescent="0.35">
      <c r="A1461" s="1">
        <v>42312</v>
      </c>
      <c r="C1461">
        <v>3439.16</v>
      </c>
      <c r="D1461">
        <f t="shared" si="292"/>
        <v>-1.0229823148958125E-3</v>
      </c>
      <c r="E1461" t="str">
        <f t="shared" si="286"/>
        <v>2015-11</v>
      </c>
      <c r="G1461">
        <v>4948.29</v>
      </c>
      <c r="H1461">
        <f t="shared" si="293"/>
        <v>2.4503096390708799E-3</v>
      </c>
      <c r="I1461" t="str">
        <f t="shared" si="287"/>
        <v>2015-11</v>
      </c>
      <c r="K1461">
        <v>10845.24</v>
      </c>
      <c r="L1461">
        <f t="shared" si="294"/>
        <v>-9.7181995312447811E-3</v>
      </c>
      <c r="M1461" t="str">
        <f t="shared" si="288"/>
        <v>2015-11</v>
      </c>
      <c r="O1461">
        <v>9078.8091999999997</v>
      </c>
      <c r="P1461">
        <f t="shared" si="295"/>
        <v>1.0899510283521548E-2</v>
      </c>
      <c r="Q1461" t="str">
        <f t="shared" si="289"/>
        <v>2015-11</v>
      </c>
      <c r="S1461">
        <v>10473.5</v>
      </c>
      <c r="T1461">
        <f t="shared" si="296"/>
        <v>7.9279042488046049E-4</v>
      </c>
      <c r="U1461" t="str">
        <f t="shared" si="290"/>
        <v>2015-11</v>
      </c>
      <c r="W1461">
        <v>22312.63</v>
      </c>
      <c r="X1461">
        <f t="shared" si="297"/>
        <v>-6.5585751784158989E-3</v>
      </c>
      <c r="Y1461">
        <f t="shared" si="298"/>
        <v>-6.5371146666547801E-3</v>
      </c>
      <c r="Z1461" t="str">
        <f t="shared" si="291"/>
        <v>2015-11</v>
      </c>
    </row>
    <row r="1462" spans="1:26" x14ac:dyDescent="0.35">
      <c r="A1462" s="1">
        <v>42313</v>
      </c>
      <c r="C1462">
        <v>3447.49</v>
      </c>
      <c r="D1462">
        <f t="shared" si="292"/>
        <v>2.4191745079375458E-3</v>
      </c>
      <c r="E1462" t="str">
        <f t="shared" si="286"/>
        <v>2015-11</v>
      </c>
      <c r="G1462">
        <v>4980.04</v>
      </c>
      <c r="H1462">
        <f t="shared" si="293"/>
        <v>6.3958607808410469E-3</v>
      </c>
      <c r="I1462" t="str">
        <f t="shared" si="287"/>
        <v>2015-11</v>
      </c>
      <c r="K1462">
        <v>10887.74</v>
      </c>
      <c r="L1462">
        <f t="shared" si="294"/>
        <v>3.9111115158739756E-3</v>
      </c>
      <c r="M1462" t="str">
        <f t="shared" si="288"/>
        <v>2015-11</v>
      </c>
      <c r="O1462">
        <v>8910.86</v>
      </c>
      <c r="P1462">
        <f t="shared" si="295"/>
        <v>-1.8672281050369686E-2</v>
      </c>
      <c r="Q1462" t="str">
        <f t="shared" si="289"/>
        <v>2015-11</v>
      </c>
      <c r="S1462">
        <v>10431.200000000001</v>
      </c>
      <c r="T1462">
        <f t="shared" si="296"/>
        <v>-4.0469423365583181E-3</v>
      </c>
      <c r="U1462" t="str">
        <f t="shared" si="290"/>
        <v>2015-11</v>
      </c>
      <c r="W1462">
        <v>22223.7</v>
      </c>
      <c r="X1462">
        <f t="shared" si="297"/>
        <v>-3.9935988526266977E-3</v>
      </c>
      <c r="Y1462">
        <f t="shared" si="298"/>
        <v>-3.9856350416782012E-3</v>
      </c>
      <c r="Z1462" t="str">
        <f t="shared" si="291"/>
        <v>2015-11</v>
      </c>
    </row>
    <row r="1463" spans="1:26" x14ac:dyDescent="0.35">
      <c r="A1463" s="1">
        <v>42314</v>
      </c>
      <c r="C1463">
        <v>3468.21</v>
      </c>
      <c r="D1463">
        <f t="shared" si="292"/>
        <v>5.9921806897500832E-3</v>
      </c>
      <c r="E1463" t="str">
        <f t="shared" si="286"/>
        <v>2015-11</v>
      </c>
      <c r="G1463">
        <v>4984.1499999999996</v>
      </c>
      <c r="H1463">
        <f t="shared" si="293"/>
        <v>8.2495420763504124E-4</v>
      </c>
      <c r="I1463" t="str">
        <f t="shared" si="287"/>
        <v>2015-11</v>
      </c>
      <c r="K1463">
        <v>10988.03</v>
      </c>
      <c r="L1463">
        <f t="shared" si="294"/>
        <v>9.1691129168057894E-3</v>
      </c>
      <c r="M1463" t="str">
        <f t="shared" si="288"/>
        <v>2015-11</v>
      </c>
      <c r="O1463">
        <v>8899.0309699999998</v>
      </c>
      <c r="P1463">
        <f t="shared" si="295"/>
        <v>-1.3283665530960987E-3</v>
      </c>
      <c r="Q1463" t="str">
        <f t="shared" si="289"/>
        <v>2015-11</v>
      </c>
      <c r="S1463">
        <v>10453.200000000001</v>
      </c>
      <c r="T1463">
        <f t="shared" si="296"/>
        <v>2.1068365035840173E-3</v>
      </c>
      <c r="U1463" t="str">
        <f t="shared" si="290"/>
        <v>2015-11</v>
      </c>
      <c r="W1463">
        <v>22529.94</v>
      </c>
      <c r="X1463">
        <f t="shared" si="297"/>
        <v>1.3685804323971099E-2</v>
      </c>
      <c r="Y1463">
        <f t="shared" si="298"/>
        <v>1.3779883637737998E-2</v>
      </c>
      <c r="Z1463" t="str">
        <f t="shared" si="291"/>
        <v>2015-11</v>
      </c>
    </row>
    <row r="1464" spans="1:26" x14ac:dyDescent="0.35">
      <c r="A1464" s="1">
        <v>42317</v>
      </c>
      <c r="C1464">
        <v>3418.36</v>
      </c>
      <c r="D1464">
        <f t="shared" si="292"/>
        <v>-1.4477706819762584E-2</v>
      </c>
      <c r="E1464" t="str">
        <f t="shared" si="286"/>
        <v>2015-11</v>
      </c>
      <c r="G1464">
        <v>4911.17</v>
      </c>
      <c r="H1464">
        <f t="shared" si="293"/>
        <v>-1.4750674714684938E-2</v>
      </c>
      <c r="I1464" t="str">
        <f t="shared" si="287"/>
        <v>2015-11</v>
      </c>
      <c r="K1464">
        <v>10815.45</v>
      </c>
      <c r="L1464">
        <f t="shared" si="294"/>
        <v>-1.5830831064526294E-2</v>
      </c>
      <c r="M1464" t="str">
        <f t="shared" si="288"/>
        <v>2015-11</v>
      </c>
      <c r="O1464">
        <v>8844.3574499999995</v>
      </c>
      <c r="P1464">
        <f t="shared" si="295"/>
        <v>-6.1627116245130311E-3</v>
      </c>
      <c r="Q1464" t="str">
        <f t="shared" si="289"/>
        <v>2015-11</v>
      </c>
      <c r="S1464">
        <v>10325.200000000001</v>
      </c>
      <c r="T1464">
        <f t="shared" si="296"/>
        <v>-1.2320642511169618E-2</v>
      </c>
      <c r="U1464" t="str">
        <f t="shared" si="290"/>
        <v>2015-11</v>
      </c>
      <c r="W1464">
        <v>22107.3</v>
      </c>
      <c r="X1464">
        <f t="shared" si="297"/>
        <v>-1.8937220601537273E-2</v>
      </c>
      <c r="Y1464">
        <f t="shared" si="298"/>
        <v>-1.8759037973469946E-2</v>
      </c>
      <c r="Z1464" t="str">
        <f t="shared" si="291"/>
        <v>2015-11</v>
      </c>
    </row>
    <row r="1465" spans="1:26" x14ac:dyDescent="0.35">
      <c r="A1465" s="1">
        <v>42318</v>
      </c>
      <c r="C1465">
        <v>3425.4</v>
      </c>
      <c r="D1465">
        <f t="shared" si="292"/>
        <v>2.0573493176780111E-3</v>
      </c>
      <c r="E1465" t="str">
        <f t="shared" si="286"/>
        <v>2015-11</v>
      </c>
      <c r="G1465">
        <v>4912.16</v>
      </c>
      <c r="H1465">
        <f t="shared" si="293"/>
        <v>2.0156097847698199E-4</v>
      </c>
      <c r="I1465" t="str">
        <f t="shared" si="287"/>
        <v>2015-11</v>
      </c>
      <c r="K1465">
        <v>10832.52</v>
      </c>
      <c r="L1465">
        <f t="shared" si="294"/>
        <v>1.5770535101347822E-3</v>
      </c>
      <c r="M1465" t="str">
        <f t="shared" si="288"/>
        <v>2015-11</v>
      </c>
      <c r="O1465">
        <v>8856.9084999999995</v>
      </c>
      <c r="P1465">
        <f t="shared" si="295"/>
        <v>1.4180965518281381E-3</v>
      </c>
      <c r="Q1465" t="str">
        <f t="shared" si="289"/>
        <v>2015-11</v>
      </c>
      <c r="S1465">
        <v>10336.799999999999</v>
      </c>
      <c r="T1465">
        <f t="shared" si="296"/>
        <v>1.1228343063334769E-3</v>
      </c>
      <c r="U1465" t="str">
        <f t="shared" si="290"/>
        <v>2015-11</v>
      </c>
      <c r="W1465">
        <v>22444</v>
      </c>
      <c r="X1465">
        <f t="shared" si="297"/>
        <v>1.5115447165501457E-2</v>
      </c>
      <c r="Y1465">
        <f t="shared" si="298"/>
        <v>1.5230263306690583E-2</v>
      </c>
      <c r="Z1465" t="str">
        <f t="shared" si="291"/>
        <v>2015-11</v>
      </c>
    </row>
    <row r="1466" spans="1:26" x14ac:dyDescent="0.35">
      <c r="A1466" s="1">
        <v>42319</v>
      </c>
      <c r="C1466">
        <v>3448.42</v>
      </c>
      <c r="D1466">
        <f t="shared" si="292"/>
        <v>6.6979019118901893E-3</v>
      </c>
      <c r="E1466" t="str">
        <f t="shared" si="286"/>
        <v>2015-11</v>
      </c>
      <c r="G1466">
        <v>4952.51</v>
      </c>
      <c r="H1466">
        <f t="shared" si="293"/>
        <v>8.1807551665161685E-3</v>
      </c>
      <c r="I1466" t="str">
        <f t="shared" si="287"/>
        <v>2015-11</v>
      </c>
      <c r="K1466">
        <v>10907.87</v>
      </c>
      <c r="L1466">
        <f t="shared" si="294"/>
        <v>6.9318261277794722E-3</v>
      </c>
      <c r="M1466" t="str">
        <f t="shared" si="288"/>
        <v>2015-11</v>
      </c>
      <c r="O1466">
        <v>8919.6149100000002</v>
      </c>
      <c r="P1466">
        <f t="shared" si="295"/>
        <v>7.0549981730419686E-3</v>
      </c>
      <c r="Q1466" t="str">
        <f t="shared" si="289"/>
        <v>2015-11</v>
      </c>
      <c r="S1466">
        <v>10377.200000000001</v>
      </c>
      <c r="T1466">
        <f t="shared" si="296"/>
        <v>3.9007484046193245E-3</v>
      </c>
      <c r="U1466" t="str">
        <f t="shared" si="290"/>
        <v>2015-11</v>
      </c>
      <c r="W1466">
        <v>22385.11</v>
      </c>
      <c r="X1466">
        <f t="shared" si="297"/>
        <v>-2.627312202956391E-3</v>
      </c>
      <c r="Y1466">
        <f t="shared" si="298"/>
        <v>-2.6238638388878729E-3</v>
      </c>
      <c r="Z1466" t="str">
        <f t="shared" si="291"/>
        <v>2015-11</v>
      </c>
    </row>
    <row r="1467" spans="1:26" x14ac:dyDescent="0.35">
      <c r="A1467" s="1">
        <v>42320</v>
      </c>
      <c r="C1467">
        <v>3387.7</v>
      </c>
      <c r="D1467">
        <f t="shared" si="292"/>
        <v>-1.7764930074623621E-2</v>
      </c>
      <c r="E1467" t="str">
        <f t="shared" si="286"/>
        <v>2015-11</v>
      </c>
      <c r="G1467">
        <v>4856.6499999999996</v>
      </c>
      <c r="H1467">
        <f t="shared" si="293"/>
        <v>-1.9545618946637387E-2</v>
      </c>
      <c r="I1467" t="str">
        <f t="shared" si="287"/>
        <v>2015-11</v>
      </c>
      <c r="K1467">
        <v>10782.63</v>
      </c>
      <c r="L1467">
        <f t="shared" si="294"/>
        <v>-1.1548041013539243E-2</v>
      </c>
      <c r="M1467" t="str">
        <f t="shared" si="288"/>
        <v>2015-11</v>
      </c>
      <c r="O1467">
        <v>8718.5938200000001</v>
      </c>
      <c r="P1467">
        <f t="shared" si="295"/>
        <v>-2.2794808392419593E-2</v>
      </c>
      <c r="Q1467" t="str">
        <f t="shared" si="289"/>
        <v>2015-11</v>
      </c>
      <c r="S1467">
        <v>10144</v>
      </c>
      <c r="T1467">
        <f t="shared" si="296"/>
        <v>-2.2728694135622743E-2</v>
      </c>
      <c r="U1467" t="str">
        <f t="shared" si="290"/>
        <v>2015-11</v>
      </c>
      <c r="W1467">
        <v>21859.29</v>
      </c>
      <c r="X1467">
        <f t="shared" si="297"/>
        <v>-2.3770002879299906E-2</v>
      </c>
      <c r="Y1467">
        <f t="shared" si="298"/>
        <v>-2.3489721515775427E-2</v>
      </c>
      <c r="Z1467" t="str">
        <f t="shared" si="291"/>
        <v>2015-11</v>
      </c>
    </row>
    <row r="1468" spans="1:26" x14ac:dyDescent="0.35">
      <c r="A1468" s="1">
        <v>42321</v>
      </c>
      <c r="C1468">
        <v>3360.65</v>
      </c>
      <c r="D1468">
        <f t="shared" si="292"/>
        <v>-8.0168174068317773E-3</v>
      </c>
      <c r="E1468" t="str">
        <f t="shared" si="286"/>
        <v>2015-11</v>
      </c>
      <c r="G1468">
        <v>4807.95</v>
      </c>
      <c r="H1468">
        <f t="shared" si="293"/>
        <v>-1.0078101979733963E-2</v>
      </c>
      <c r="I1468" t="str">
        <f t="shared" si="287"/>
        <v>2015-11</v>
      </c>
      <c r="K1468">
        <v>10708.4</v>
      </c>
      <c r="L1468">
        <f t="shared" si="294"/>
        <v>-6.9080258315035786E-3</v>
      </c>
      <c r="M1468" t="str">
        <f t="shared" si="288"/>
        <v>2015-11</v>
      </c>
      <c r="O1468">
        <v>8673.7428400000008</v>
      </c>
      <c r="P1468">
        <f t="shared" si="295"/>
        <v>-5.157567990812446E-3</v>
      </c>
      <c r="Q1468" t="str">
        <f t="shared" si="289"/>
        <v>2015-11</v>
      </c>
      <c r="S1468">
        <v>10111.4</v>
      </c>
      <c r="T1468">
        <f t="shared" si="296"/>
        <v>-3.218897493823588E-3</v>
      </c>
      <c r="U1468" t="str">
        <f t="shared" si="290"/>
        <v>2015-11</v>
      </c>
      <c r="W1468">
        <v>21842.560000000001</v>
      </c>
      <c r="X1468">
        <f t="shared" si="297"/>
        <v>-7.6564268182108264E-4</v>
      </c>
      <c r="Y1468">
        <f t="shared" si="298"/>
        <v>-7.6534965225309531E-4</v>
      </c>
      <c r="Z1468" t="str">
        <f t="shared" si="291"/>
        <v>2015-11</v>
      </c>
    </row>
    <row r="1469" spans="1:26" x14ac:dyDescent="0.35">
      <c r="A1469" s="1">
        <v>42324</v>
      </c>
      <c r="C1469">
        <v>3362.23</v>
      </c>
      <c r="D1469">
        <f t="shared" si="292"/>
        <v>4.7003665961311398E-4</v>
      </c>
      <c r="E1469" t="str">
        <f t="shared" si="286"/>
        <v>2015-11</v>
      </c>
      <c r="G1469">
        <v>4804.3100000000004</v>
      </c>
      <c r="H1469">
        <f t="shared" si="293"/>
        <v>-7.5736614989449394E-4</v>
      </c>
      <c r="I1469" t="str">
        <f t="shared" si="287"/>
        <v>2015-11</v>
      </c>
      <c r="K1469">
        <v>10713.23</v>
      </c>
      <c r="L1469">
        <f t="shared" si="294"/>
        <v>4.509460841075378E-4</v>
      </c>
      <c r="M1469" t="str">
        <f t="shared" si="288"/>
        <v>2015-11</v>
      </c>
      <c r="O1469">
        <v>8743.6767299999992</v>
      </c>
      <c r="P1469">
        <f t="shared" si="295"/>
        <v>8.0303819446533829E-3</v>
      </c>
      <c r="Q1469" t="str">
        <f t="shared" si="289"/>
        <v>2015-11</v>
      </c>
      <c r="S1469">
        <v>10124.5</v>
      </c>
      <c r="T1469">
        <f t="shared" si="296"/>
        <v>1.2947288561403509E-3</v>
      </c>
      <c r="U1469" t="str">
        <f t="shared" si="290"/>
        <v>2015-11</v>
      </c>
      <c r="W1469">
        <v>21811.360000000001</v>
      </c>
      <c r="X1469">
        <f t="shared" si="297"/>
        <v>-1.4294251381074866E-3</v>
      </c>
      <c r="Y1469">
        <f t="shared" si="298"/>
        <v>-1.4284039966011642E-3</v>
      </c>
      <c r="Z1469" t="str">
        <f t="shared" si="291"/>
        <v>2015-11</v>
      </c>
    </row>
    <row r="1470" spans="1:26" x14ac:dyDescent="0.35">
      <c r="A1470" s="1">
        <v>42325</v>
      </c>
      <c r="C1470">
        <v>3451.94</v>
      </c>
      <c r="D1470">
        <f t="shared" si="292"/>
        <v>2.6331947535673514E-2</v>
      </c>
      <c r="E1470" t="str">
        <f t="shared" si="286"/>
        <v>2015-11</v>
      </c>
      <c r="G1470">
        <v>4937.3100000000004</v>
      </c>
      <c r="H1470">
        <f t="shared" si="293"/>
        <v>2.7307216779673096E-2</v>
      </c>
      <c r="I1470" t="str">
        <f t="shared" si="287"/>
        <v>2015-11</v>
      </c>
      <c r="K1470">
        <v>10971.04</v>
      </c>
      <c r="L1470">
        <f t="shared" si="294"/>
        <v>2.3779647511525642E-2</v>
      </c>
      <c r="M1470" t="str">
        <f t="shared" si="288"/>
        <v>2015-11</v>
      </c>
      <c r="O1470">
        <v>8958.9041199999992</v>
      </c>
      <c r="P1470">
        <f t="shared" si="295"/>
        <v>2.4317131774128167E-2</v>
      </c>
      <c r="Q1470" t="str">
        <f t="shared" si="289"/>
        <v>2015-11</v>
      </c>
      <c r="S1470">
        <v>10363.799999999999</v>
      </c>
      <c r="T1470">
        <f t="shared" si="296"/>
        <v>2.3360735887969591E-2</v>
      </c>
      <c r="U1470" t="str">
        <f t="shared" si="290"/>
        <v>2015-11</v>
      </c>
      <c r="W1470">
        <v>22309.39</v>
      </c>
      <c r="X1470">
        <f t="shared" si="297"/>
        <v>2.2576731084997699E-2</v>
      </c>
      <c r="Y1470">
        <f t="shared" si="298"/>
        <v>2.2833514278797783E-2</v>
      </c>
      <c r="Z1470" t="str">
        <f t="shared" si="291"/>
        <v>2015-11</v>
      </c>
    </row>
    <row r="1471" spans="1:26" x14ac:dyDescent="0.35">
      <c r="A1471" s="1">
        <v>42326</v>
      </c>
      <c r="C1471">
        <v>3431.92</v>
      </c>
      <c r="D1471">
        <f t="shared" si="292"/>
        <v>-5.8165205111296867E-3</v>
      </c>
      <c r="E1471" t="str">
        <f t="shared" si="286"/>
        <v>2015-11</v>
      </c>
      <c r="G1471">
        <v>4906.72</v>
      </c>
      <c r="H1471">
        <f t="shared" si="293"/>
        <v>-6.2149543354042616E-3</v>
      </c>
      <c r="I1471" t="str">
        <f t="shared" si="287"/>
        <v>2015-11</v>
      </c>
      <c r="K1471">
        <v>10959.95</v>
      </c>
      <c r="L1471">
        <f t="shared" si="294"/>
        <v>-1.0113543387938887E-3</v>
      </c>
      <c r="M1471" t="str">
        <f t="shared" si="288"/>
        <v>2015-11</v>
      </c>
      <c r="O1471">
        <v>8978.2189500000004</v>
      </c>
      <c r="P1471">
        <f t="shared" si="295"/>
        <v>2.1536159828869942E-3</v>
      </c>
      <c r="Q1471" t="str">
        <f t="shared" si="289"/>
        <v>2015-11</v>
      </c>
      <c r="S1471">
        <v>10261.1</v>
      </c>
      <c r="T1471">
        <f t="shared" si="296"/>
        <v>-9.9589184737462928E-3</v>
      </c>
      <c r="U1471" t="str">
        <f t="shared" si="290"/>
        <v>2015-11</v>
      </c>
      <c r="W1471">
        <v>22091.56</v>
      </c>
      <c r="X1471">
        <f t="shared" si="297"/>
        <v>-9.8120309428694121E-3</v>
      </c>
      <c r="Y1471">
        <f t="shared" si="298"/>
        <v>-9.7640500255721067E-3</v>
      </c>
      <c r="Z1471" t="str">
        <f t="shared" si="291"/>
        <v>2015-11</v>
      </c>
    </row>
    <row r="1472" spans="1:26" x14ac:dyDescent="0.35">
      <c r="A1472" s="1">
        <v>42327</v>
      </c>
      <c r="C1472">
        <v>3448.93</v>
      </c>
      <c r="D1472">
        <f t="shared" si="292"/>
        <v>4.9441666801243872E-3</v>
      </c>
      <c r="E1472" t="str">
        <f t="shared" si="286"/>
        <v>2015-11</v>
      </c>
      <c r="G1472">
        <v>4915.1000000000004</v>
      </c>
      <c r="H1472">
        <f t="shared" si="293"/>
        <v>1.7064051333500129E-3</v>
      </c>
      <c r="I1472" t="str">
        <f t="shared" si="287"/>
        <v>2015-11</v>
      </c>
      <c r="K1472">
        <v>11085.44</v>
      </c>
      <c r="L1472">
        <f t="shared" si="294"/>
        <v>1.1384816094055814E-2</v>
      </c>
      <c r="M1472" t="str">
        <f t="shared" si="288"/>
        <v>2015-11</v>
      </c>
      <c r="O1472">
        <v>9027.4976000000006</v>
      </c>
      <c r="P1472">
        <f t="shared" si="295"/>
        <v>5.4736808613323716E-3</v>
      </c>
      <c r="Q1472" t="str">
        <f t="shared" si="289"/>
        <v>2015-11</v>
      </c>
      <c r="S1472">
        <v>10354.700000000001</v>
      </c>
      <c r="T1472">
        <f t="shared" si="296"/>
        <v>9.0804764451077654E-3</v>
      </c>
      <c r="U1472" t="str">
        <f t="shared" si="290"/>
        <v>2015-11</v>
      </c>
      <c r="W1472">
        <v>22191.99</v>
      </c>
      <c r="X1472">
        <f t="shared" si="297"/>
        <v>4.5357778308720035E-3</v>
      </c>
      <c r="Y1472">
        <f t="shared" si="298"/>
        <v>4.5460800414275984E-3</v>
      </c>
      <c r="Z1472" t="str">
        <f t="shared" si="291"/>
        <v>2015-11</v>
      </c>
    </row>
    <row r="1473" spans="1:26" x14ac:dyDescent="0.35">
      <c r="A1473" s="1">
        <v>42328</v>
      </c>
      <c r="C1473">
        <v>3452.45</v>
      </c>
      <c r="D1473">
        <f t="shared" si="292"/>
        <v>1.0200859263612735E-3</v>
      </c>
      <c r="E1473" t="str">
        <f t="shared" si="286"/>
        <v>2015-11</v>
      </c>
      <c r="G1473">
        <v>4910.97</v>
      </c>
      <c r="H1473">
        <f t="shared" si="293"/>
        <v>-8.4062096915717957E-4</v>
      </c>
      <c r="I1473" t="str">
        <f t="shared" si="287"/>
        <v>2015-11</v>
      </c>
      <c r="K1473">
        <v>11119.83</v>
      </c>
      <c r="L1473">
        <f t="shared" si="294"/>
        <v>3.0974653760692987E-3</v>
      </c>
      <c r="M1473" t="str">
        <f t="shared" si="288"/>
        <v>2015-11</v>
      </c>
      <c r="O1473">
        <v>9037.4054699999997</v>
      </c>
      <c r="P1473">
        <f t="shared" si="295"/>
        <v>1.0969193640356042E-3</v>
      </c>
      <c r="Q1473" t="str">
        <f t="shared" si="289"/>
        <v>2015-11</v>
      </c>
      <c r="S1473">
        <v>10290.299999999999</v>
      </c>
      <c r="T1473">
        <f t="shared" si="296"/>
        <v>-6.2388189765941546E-3</v>
      </c>
      <c r="U1473" t="str">
        <f t="shared" si="290"/>
        <v>2015-11</v>
      </c>
      <c r="W1473">
        <v>22140.14</v>
      </c>
      <c r="X1473">
        <f t="shared" si="297"/>
        <v>-2.3391623024753565E-3</v>
      </c>
      <c r="Y1473">
        <f t="shared" si="298"/>
        <v>-2.3364285942811878E-3</v>
      </c>
      <c r="Z1473" t="str">
        <f t="shared" si="291"/>
        <v>2015-11</v>
      </c>
    </row>
    <row r="1474" spans="1:26" x14ac:dyDescent="0.35">
      <c r="A1474" s="1">
        <v>42331</v>
      </c>
      <c r="C1474">
        <v>3445.26</v>
      </c>
      <c r="D1474">
        <f t="shared" si="292"/>
        <v>-2.0847506213188668E-3</v>
      </c>
      <c r="E1474" t="str">
        <f t="shared" si="286"/>
        <v>2015-11</v>
      </c>
      <c r="G1474">
        <v>4889.12</v>
      </c>
      <c r="H1474">
        <f t="shared" si="293"/>
        <v>-4.4591501109630637E-3</v>
      </c>
      <c r="I1474" t="str">
        <f t="shared" si="287"/>
        <v>2015-11</v>
      </c>
      <c r="K1474">
        <v>11092.31</v>
      </c>
      <c r="L1474">
        <f t="shared" si="294"/>
        <v>-2.4779255021199313E-3</v>
      </c>
      <c r="M1474" t="str">
        <f t="shared" si="288"/>
        <v>2015-11</v>
      </c>
      <c r="O1474">
        <v>8982.0576899999996</v>
      </c>
      <c r="P1474">
        <f t="shared" si="295"/>
        <v>-6.1431301885308213E-3</v>
      </c>
      <c r="Q1474" t="str">
        <f t="shared" si="289"/>
        <v>2015-11</v>
      </c>
      <c r="S1474">
        <v>10277.4</v>
      </c>
      <c r="T1474">
        <f t="shared" si="296"/>
        <v>-1.2543941900666764E-3</v>
      </c>
      <c r="U1474" t="str">
        <f t="shared" si="290"/>
        <v>2015-11</v>
      </c>
      <c r="W1474">
        <v>22294.69</v>
      </c>
      <c r="X1474">
        <f t="shared" si="297"/>
        <v>6.9562828628223538E-3</v>
      </c>
      <c r="Y1474">
        <f t="shared" si="298"/>
        <v>6.9805339984299686E-3</v>
      </c>
      <c r="Z1474" t="str">
        <f t="shared" si="291"/>
        <v>2015-11</v>
      </c>
    </row>
    <row r="1475" spans="1:26" x14ac:dyDescent="0.35">
      <c r="A1475" s="1">
        <v>42332</v>
      </c>
      <c r="C1475">
        <v>3409.6</v>
      </c>
      <c r="D1475">
        <f t="shared" si="292"/>
        <v>-1.040439095367421E-2</v>
      </c>
      <c r="E1475" t="str">
        <f t="shared" si="286"/>
        <v>2015-11</v>
      </c>
      <c r="G1475">
        <v>4820.28</v>
      </c>
      <c r="H1475">
        <f t="shared" si="293"/>
        <v>-1.4180310530411811E-2</v>
      </c>
      <c r="I1475" t="str">
        <f t="shared" si="287"/>
        <v>2015-11</v>
      </c>
      <c r="K1475">
        <v>10933.99</v>
      </c>
      <c r="L1475">
        <f t="shared" si="294"/>
        <v>-1.4375789539663135E-2</v>
      </c>
      <c r="M1475" t="str">
        <f t="shared" si="288"/>
        <v>2015-11</v>
      </c>
      <c r="O1475">
        <v>8885.5201799999995</v>
      </c>
      <c r="P1475">
        <f t="shared" si="295"/>
        <v>-1.0805991733923494E-2</v>
      </c>
      <c r="Q1475" t="str">
        <f t="shared" si="289"/>
        <v>2015-11</v>
      </c>
      <c r="S1475">
        <v>10207.200000000001</v>
      </c>
      <c r="T1475">
        <f t="shared" si="296"/>
        <v>-6.8539561244606818E-3</v>
      </c>
      <c r="U1475" t="str">
        <f t="shared" si="290"/>
        <v>2015-11</v>
      </c>
      <c r="W1475">
        <v>21948.14</v>
      </c>
      <c r="X1475">
        <f t="shared" si="297"/>
        <v>-1.5666135630180544E-2</v>
      </c>
      <c r="Y1475">
        <f t="shared" si="298"/>
        <v>-1.5544060042996754E-2</v>
      </c>
      <c r="Z1475" t="str">
        <f t="shared" si="291"/>
        <v>2015-11</v>
      </c>
    </row>
    <row r="1476" spans="1:26" x14ac:dyDescent="0.35">
      <c r="A1476" s="1">
        <v>42333</v>
      </c>
      <c r="C1476">
        <v>3462.06</v>
      </c>
      <c r="D1476">
        <f t="shared" si="292"/>
        <v>1.5268805264151806E-2</v>
      </c>
      <c r="E1476" t="str">
        <f t="shared" ref="E1476:E1539" si="299">_xlfn.CONCAT(YEAR(A1476),"-",TEXT(MONTH(A1476),"00"))</f>
        <v>2015-11</v>
      </c>
      <c r="G1476">
        <v>4892.99</v>
      </c>
      <c r="H1476">
        <f t="shared" si="293"/>
        <v>1.4971550907366273E-2</v>
      </c>
      <c r="I1476" t="str">
        <f t="shared" ref="I1476:I1539" si="300">_xlfn.CONCAT(YEAR(A1476),"-",TEXT(MONTH(A1476),"00"))</f>
        <v>2015-11</v>
      </c>
      <c r="K1476">
        <v>11169.54</v>
      </c>
      <c r="L1476">
        <f t="shared" si="294"/>
        <v>2.131414460231356E-2</v>
      </c>
      <c r="M1476" t="str">
        <f t="shared" ref="M1476:M1539" si="301">_xlfn.CONCAT(YEAR(A1476),"-",TEXT(MONTH(A1476),"00"))</f>
        <v>2015-11</v>
      </c>
      <c r="O1476">
        <v>9016.3563300000005</v>
      </c>
      <c r="P1476">
        <f t="shared" si="295"/>
        <v>1.4617292160773631E-2</v>
      </c>
      <c r="Q1476" t="str">
        <f t="shared" ref="Q1476:Q1539" si="302">_xlfn.CONCAT(YEAR(A1476),"-",TEXT(MONTH(A1476),"00"))</f>
        <v>2015-11</v>
      </c>
      <c r="S1476">
        <v>10227.299999999999</v>
      </c>
      <c r="T1476">
        <f t="shared" si="296"/>
        <v>1.9672618838187583E-3</v>
      </c>
      <c r="U1476" t="str">
        <f t="shared" ref="U1476:U1539" si="303">_xlfn.CONCAT(YEAR(A1476),"-",TEXT(MONTH(A1476),"00"))</f>
        <v>2015-11</v>
      </c>
      <c r="W1476">
        <v>22359.23</v>
      </c>
      <c r="X1476">
        <f t="shared" si="297"/>
        <v>1.8556813310502449E-2</v>
      </c>
      <c r="Y1476">
        <f t="shared" si="298"/>
        <v>1.8730060952773225E-2</v>
      </c>
      <c r="Z1476" t="str">
        <f t="shared" ref="Z1476:Z1539" si="304">_xlfn.CONCAT(YEAR(A1476),"-",TEXT(MONTH(A1476),"00"))</f>
        <v>2015-11</v>
      </c>
    </row>
    <row r="1477" spans="1:26" x14ac:dyDescent="0.35">
      <c r="A1477" s="1">
        <v>42334</v>
      </c>
      <c r="C1477">
        <v>3498.62</v>
      </c>
      <c r="D1477">
        <f t="shared" ref="D1477:D1540" si="305">LN(C1477/C1476)</f>
        <v>1.0504817403664444E-2</v>
      </c>
      <c r="E1477" t="str">
        <f t="shared" si="299"/>
        <v>2015-11</v>
      </c>
      <c r="G1477">
        <v>4946.0200000000004</v>
      </c>
      <c r="H1477">
        <f t="shared" ref="H1477:H1540" si="306">LN(G1477/G1476)</f>
        <v>1.0779644193754111E-2</v>
      </c>
      <c r="I1477" t="str">
        <f t="shared" si="300"/>
        <v>2015-11</v>
      </c>
      <c r="K1477">
        <v>11320.77</v>
      </c>
      <c r="L1477">
        <f t="shared" ref="L1477:L1540" si="307">LN(K1477/K1476)</f>
        <v>1.3448661166789872E-2</v>
      </c>
      <c r="M1477" t="str">
        <f t="shared" si="301"/>
        <v>2015-11</v>
      </c>
      <c r="O1477">
        <v>9100.6030900000005</v>
      </c>
      <c r="P1477">
        <f t="shared" ref="P1477:P1540" si="308">LN(O1477/O1476)</f>
        <v>9.3003870357169505E-3</v>
      </c>
      <c r="Q1477" t="str">
        <f t="shared" si="302"/>
        <v>2015-11</v>
      </c>
      <c r="S1477">
        <v>10332.299999999999</v>
      </c>
      <c r="T1477">
        <f t="shared" ref="T1477:T1540" si="309">LN(S1477/S1476)</f>
        <v>1.021429530748778E-2</v>
      </c>
      <c r="U1477" t="str">
        <f t="shared" si="303"/>
        <v>2015-11</v>
      </c>
      <c r="W1477">
        <v>22591.53</v>
      </c>
      <c r="X1477">
        <f t="shared" ref="X1477:X1540" si="310">LN(W1477/W1476)</f>
        <v>1.0335846069856493E-2</v>
      </c>
      <c r="Y1477">
        <f t="shared" ref="Y1477:Y1540" si="311">(W1477-W1476)/W1476</f>
        <v>1.0389445432602075E-2</v>
      </c>
      <c r="Z1477" t="str">
        <f t="shared" si="304"/>
        <v>2015-11</v>
      </c>
    </row>
    <row r="1478" spans="1:26" x14ac:dyDescent="0.35">
      <c r="A1478" s="1">
        <v>42335</v>
      </c>
      <c r="C1478">
        <v>3488.99</v>
      </c>
      <c r="D1478">
        <f t="shared" si="305"/>
        <v>-2.7563089802618104E-3</v>
      </c>
      <c r="E1478" t="str">
        <f t="shared" si="299"/>
        <v>2015-11</v>
      </c>
      <c r="G1478">
        <v>4930.1400000000003</v>
      </c>
      <c r="H1478">
        <f t="shared" si="306"/>
        <v>-3.2158275453843597E-3</v>
      </c>
      <c r="I1478" t="str">
        <f t="shared" si="300"/>
        <v>2015-11</v>
      </c>
      <c r="K1478">
        <v>11293.76</v>
      </c>
      <c r="L1478">
        <f t="shared" si="307"/>
        <v>-2.3887308596139325E-3</v>
      </c>
      <c r="M1478" t="str">
        <f t="shared" si="301"/>
        <v>2015-11</v>
      </c>
      <c r="O1478">
        <v>9049.7058500000003</v>
      </c>
      <c r="P1478">
        <f t="shared" si="308"/>
        <v>-5.6084305320006919E-3</v>
      </c>
      <c r="Q1478" t="str">
        <f t="shared" si="302"/>
        <v>2015-11</v>
      </c>
      <c r="S1478">
        <v>10310.700000000001</v>
      </c>
      <c r="T1478">
        <f t="shared" si="309"/>
        <v>-2.0927198452798503E-3</v>
      </c>
      <c r="U1478" t="str">
        <f t="shared" si="303"/>
        <v>2015-11</v>
      </c>
      <c r="W1478">
        <v>22575.18</v>
      </c>
      <c r="X1478">
        <f t="shared" si="310"/>
        <v>-7.239845768778234E-4</v>
      </c>
      <c r="Y1478">
        <f t="shared" si="311"/>
        <v>-7.237225632791823E-4</v>
      </c>
      <c r="Z1478" t="str">
        <f t="shared" si="304"/>
        <v>2015-11</v>
      </c>
    </row>
    <row r="1479" spans="1:26" x14ac:dyDescent="0.35">
      <c r="A1479" s="1">
        <v>42338</v>
      </c>
      <c r="C1479">
        <v>3506.45</v>
      </c>
      <c r="D1479">
        <f t="shared" si="305"/>
        <v>4.9918336105407839E-3</v>
      </c>
      <c r="E1479" t="str">
        <f t="shared" si="299"/>
        <v>2015-11</v>
      </c>
      <c r="G1479">
        <v>4957.6000000000004</v>
      </c>
      <c r="H1479">
        <f t="shared" si="306"/>
        <v>5.5543674484422228E-3</v>
      </c>
      <c r="I1479" t="str">
        <f t="shared" si="300"/>
        <v>2015-11</v>
      </c>
      <c r="K1479">
        <v>11382.23</v>
      </c>
      <c r="L1479">
        <f t="shared" si="307"/>
        <v>7.8030065181977472E-3</v>
      </c>
      <c r="M1479" t="str">
        <f t="shared" si="301"/>
        <v>2015-11</v>
      </c>
      <c r="O1479">
        <v>9049.6035200000006</v>
      </c>
      <c r="P1479">
        <f t="shared" si="308"/>
        <v>-1.1307613777840912E-5</v>
      </c>
      <c r="Q1479" t="str">
        <f t="shared" si="302"/>
        <v>2015-11</v>
      </c>
      <c r="S1479">
        <v>10386.9</v>
      </c>
      <c r="T1479">
        <f t="shared" si="309"/>
        <v>7.3632058090180516E-3</v>
      </c>
      <c r="U1479" t="str">
        <f t="shared" si="303"/>
        <v>2015-11</v>
      </c>
      <c r="W1479">
        <v>22717.98</v>
      </c>
      <c r="X1479">
        <f t="shared" si="310"/>
        <v>6.3056087564673496E-3</v>
      </c>
      <c r="Y1479">
        <f t="shared" si="311"/>
        <v>6.3255309592215557E-3</v>
      </c>
      <c r="Z1479" t="str">
        <f t="shared" si="304"/>
        <v>2015-11</v>
      </c>
    </row>
    <row r="1480" spans="1:26" x14ac:dyDescent="0.35">
      <c r="A1480" s="1">
        <v>42339</v>
      </c>
      <c r="C1480">
        <v>3479.64</v>
      </c>
      <c r="D1480">
        <f t="shared" si="305"/>
        <v>-7.6752895009319982E-3</v>
      </c>
      <c r="E1480" t="str">
        <f t="shared" si="299"/>
        <v>2015-12</v>
      </c>
      <c r="G1480">
        <v>4914.53</v>
      </c>
      <c r="H1480">
        <f t="shared" si="306"/>
        <v>-8.7256292748622965E-3</v>
      </c>
      <c r="I1480" t="str">
        <f t="shared" si="300"/>
        <v>2015-12</v>
      </c>
      <c r="K1480">
        <v>11261.24</v>
      </c>
      <c r="L1480">
        <f t="shared" si="307"/>
        <v>-1.0686626339466645E-2</v>
      </c>
      <c r="M1480" t="str">
        <f t="shared" si="301"/>
        <v>2015-12</v>
      </c>
      <c r="O1480">
        <v>9081.3892300000007</v>
      </c>
      <c r="P1480">
        <f t="shared" si="308"/>
        <v>3.5062330013428782E-3</v>
      </c>
      <c r="Q1480" t="str">
        <f t="shared" si="302"/>
        <v>2015-12</v>
      </c>
      <c r="S1480">
        <v>10379.200000000001</v>
      </c>
      <c r="T1480">
        <f t="shared" si="309"/>
        <v>-7.4159330378740021E-4</v>
      </c>
      <c r="U1480" t="str">
        <f t="shared" si="303"/>
        <v>2015-12</v>
      </c>
      <c r="W1480">
        <v>22581.33</v>
      </c>
      <c r="X1480">
        <f t="shared" si="310"/>
        <v>-6.0332227798704993E-3</v>
      </c>
      <c r="Y1480">
        <f t="shared" si="311"/>
        <v>-6.01505943750271E-3</v>
      </c>
      <c r="Z1480" t="str">
        <f t="shared" si="304"/>
        <v>2015-12</v>
      </c>
    </row>
    <row r="1481" spans="1:26" x14ac:dyDescent="0.35">
      <c r="A1481" s="1">
        <v>42340</v>
      </c>
      <c r="C1481">
        <v>3468.66</v>
      </c>
      <c r="D1481">
        <f t="shared" si="305"/>
        <v>-3.1604879293192409E-3</v>
      </c>
      <c r="E1481" t="str">
        <f t="shared" si="299"/>
        <v>2015-12</v>
      </c>
      <c r="G1481">
        <v>4905.76</v>
      </c>
      <c r="H1481">
        <f t="shared" si="306"/>
        <v>-1.7860984413832059E-3</v>
      </c>
      <c r="I1481" t="str">
        <f t="shared" si="300"/>
        <v>2015-12</v>
      </c>
      <c r="K1481">
        <v>11190.02</v>
      </c>
      <c r="L1481">
        <f t="shared" si="307"/>
        <v>-6.3444313498954019E-3</v>
      </c>
      <c r="M1481" t="str">
        <f t="shared" si="301"/>
        <v>2015-12</v>
      </c>
      <c r="O1481">
        <v>9057.8485400000009</v>
      </c>
      <c r="P1481">
        <f t="shared" si="308"/>
        <v>-2.595555945012405E-3</v>
      </c>
      <c r="Q1481" t="str">
        <f t="shared" si="302"/>
        <v>2015-12</v>
      </c>
      <c r="S1481">
        <v>10342</v>
      </c>
      <c r="T1481">
        <f t="shared" si="309"/>
        <v>-3.590529502624242E-3</v>
      </c>
      <c r="U1481" t="str">
        <f t="shared" si="303"/>
        <v>2015-12</v>
      </c>
      <c r="W1481">
        <v>22551.91</v>
      </c>
      <c r="X1481">
        <f t="shared" si="310"/>
        <v>-1.3036956428082718E-3</v>
      </c>
      <c r="Y1481">
        <f t="shared" si="311"/>
        <v>-1.3028462008217358E-3</v>
      </c>
      <c r="Z1481" t="str">
        <f t="shared" si="304"/>
        <v>2015-12</v>
      </c>
    </row>
    <row r="1482" spans="1:26" x14ac:dyDescent="0.35">
      <c r="A1482" s="1">
        <v>42341</v>
      </c>
      <c r="C1482">
        <v>3343.34</v>
      </c>
      <c r="D1482">
        <f t="shared" si="305"/>
        <v>-3.6798044908367078E-2</v>
      </c>
      <c r="E1482" t="str">
        <f t="shared" si="299"/>
        <v>2015-12</v>
      </c>
      <c r="G1482">
        <v>4730.21</v>
      </c>
      <c r="H1482">
        <f t="shared" si="306"/>
        <v>-3.6440425968209698E-2</v>
      </c>
      <c r="I1482" t="str">
        <f t="shared" si="300"/>
        <v>2015-12</v>
      </c>
      <c r="K1482">
        <v>10789.24</v>
      </c>
      <c r="L1482">
        <f t="shared" si="307"/>
        <v>-3.6472968431502079E-2</v>
      </c>
      <c r="M1482" t="str">
        <f t="shared" si="301"/>
        <v>2015-12</v>
      </c>
      <c r="O1482">
        <v>8691.8707599999998</v>
      </c>
      <c r="P1482">
        <f t="shared" si="308"/>
        <v>-4.1243430425004272E-2</v>
      </c>
      <c r="Q1482" t="str">
        <f t="shared" si="302"/>
        <v>2015-12</v>
      </c>
      <c r="S1482">
        <v>10092.9</v>
      </c>
      <c r="T1482">
        <f t="shared" si="309"/>
        <v>-2.4381067623320953E-2</v>
      </c>
      <c r="U1482" t="str">
        <f t="shared" si="303"/>
        <v>2015-12</v>
      </c>
      <c r="W1482">
        <v>21995.71</v>
      </c>
      <c r="X1482">
        <f t="shared" si="310"/>
        <v>-2.4972328683633232E-2</v>
      </c>
      <c r="Y1482">
        <f t="shared" si="311"/>
        <v>-2.4663099489134213E-2</v>
      </c>
      <c r="Z1482" t="str">
        <f t="shared" si="304"/>
        <v>2015-12</v>
      </c>
    </row>
    <row r="1483" spans="1:26" x14ac:dyDescent="0.35">
      <c r="A1483" s="1">
        <v>42342</v>
      </c>
      <c r="C1483">
        <v>3330.75</v>
      </c>
      <c r="D1483">
        <f t="shared" si="305"/>
        <v>-3.772803463508295E-3</v>
      </c>
      <c r="E1483" t="str">
        <f t="shared" si="299"/>
        <v>2015-12</v>
      </c>
      <c r="G1483">
        <v>4714.79</v>
      </c>
      <c r="H1483">
        <f t="shared" si="306"/>
        <v>-3.2652225940190236E-3</v>
      </c>
      <c r="I1483" t="str">
        <f t="shared" si="300"/>
        <v>2015-12</v>
      </c>
      <c r="K1483">
        <v>10752.1</v>
      </c>
      <c r="L1483">
        <f t="shared" si="307"/>
        <v>-3.4482568680512531E-3</v>
      </c>
      <c r="M1483" t="str">
        <f t="shared" si="301"/>
        <v>2015-12</v>
      </c>
      <c r="O1483">
        <v>8666.6831399999992</v>
      </c>
      <c r="P1483">
        <f t="shared" si="308"/>
        <v>-2.9020433179293777E-3</v>
      </c>
      <c r="Q1483" t="str">
        <f t="shared" si="302"/>
        <v>2015-12</v>
      </c>
      <c r="S1483">
        <v>10078.700000000001</v>
      </c>
      <c r="T1483">
        <f t="shared" si="309"/>
        <v>-1.4079202785747342E-3</v>
      </c>
      <c r="U1483" t="str">
        <f t="shared" si="303"/>
        <v>2015-12</v>
      </c>
      <c r="W1483">
        <v>22021.360000000001</v>
      </c>
      <c r="X1483">
        <f t="shared" si="310"/>
        <v>1.1654570785082036E-3</v>
      </c>
      <c r="Y1483">
        <f t="shared" si="311"/>
        <v>1.1661364875242242E-3</v>
      </c>
      <c r="Z1483" t="str">
        <f t="shared" si="304"/>
        <v>2015-12</v>
      </c>
    </row>
    <row r="1484" spans="1:26" x14ac:dyDescent="0.35">
      <c r="A1484" s="1">
        <v>42345</v>
      </c>
      <c r="C1484">
        <v>3360.21</v>
      </c>
      <c r="D1484">
        <f t="shared" si="305"/>
        <v>8.805968163884962E-3</v>
      </c>
      <c r="E1484" t="str">
        <f t="shared" si="299"/>
        <v>2015-12</v>
      </c>
      <c r="G1484">
        <v>4756.41</v>
      </c>
      <c r="H1484">
        <f t="shared" si="306"/>
        <v>8.7888056221995577E-3</v>
      </c>
      <c r="I1484" t="str">
        <f t="shared" si="300"/>
        <v>2015-12</v>
      </c>
      <c r="K1484">
        <v>10886.09</v>
      </c>
      <c r="L1484">
        <f t="shared" si="307"/>
        <v>1.2384743144591754E-2</v>
      </c>
      <c r="M1484" t="str">
        <f t="shared" si="301"/>
        <v>2015-12</v>
      </c>
      <c r="O1484">
        <v>8638.1379300000008</v>
      </c>
      <c r="P1484">
        <f t="shared" si="308"/>
        <v>-3.299107893147087E-3</v>
      </c>
      <c r="Q1484" t="str">
        <f t="shared" si="302"/>
        <v>2015-12</v>
      </c>
      <c r="S1484">
        <v>10042.4</v>
      </c>
      <c r="T1484">
        <f t="shared" si="309"/>
        <v>-3.6081565502724447E-3</v>
      </c>
      <c r="U1484" t="str">
        <f t="shared" si="303"/>
        <v>2015-12</v>
      </c>
      <c r="W1484">
        <v>22037.17</v>
      </c>
      <c r="X1484">
        <f t="shared" si="310"/>
        <v>7.1768171469165846E-4</v>
      </c>
      <c r="Y1484">
        <f t="shared" si="311"/>
        <v>7.1793930983361928E-4</v>
      </c>
      <c r="Z1484" t="str">
        <f t="shared" si="304"/>
        <v>2015-12</v>
      </c>
    </row>
    <row r="1485" spans="1:26" x14ac:dyDescent="0.35">
      <c r="A1485" s="1">
        <v>42346</v>
      </c>
      <c r="C1485">
        <v>3297.46</v>
      </c>
      <c r="D1485">
        <f t="shared" si="305"/>
        <v>-1.8850996888130057E-2</v>
      </c>
      <c r="E1485" t="str">
        <f t="shared" si="299"/>
        <v>2015-12</v>
      </c>
      <c r="G1485">
        <v>4681.8599999999997</v>
      </c>
      <c r="H1485">
        <f t="shared" si="306"/>
        <v>-1.5797715139221721E-2</v>
      </c>
      <c r="I1485" t="str">
        <f t="shared" si="300"/>
        <v>2015-12</v>
      </c>
      <c r="K1485">
        <v>10673.6</v>
      </c>
      <c r="L1485">
        <f t="shared" si="307"/>
        <v>-1.9712424504259501E-2</v>
      </c>
      <c r="M1485" t="str">
        <f t="shared" si="301"/>
        <v>2015-12</v>
      </c>
      <c r="O1485">
        <v>8456.5632299999997</v>
      </c>
      <c r="P1485">
        <f t="shared" si="308"/>
        <v>-2.1244188735013127E-2</v>
      </c>
      <c r="Q1485" t="str">
        <f t="shared" si="302"/>
        <v>2015-12</v>
      </c>
      <c r="S1485">
        <v>9837.1</v>
      </c>
      <c r="T1485">
        <f t="shared" si="309"/>
        <v>-2.0655177341985975E-2</v>
      </c>
      <c r="U1485" t="str">
        <f t="shared" si="303"/>
        <v>2015-12</v>
      </c>
      <c r="W1485">
        <v>21538.04</v>
      </c>
      <c r="X1485">
        <f t="shared" si="310"/>
        <v>-2.2909899048925268E-2</v>
      </c>
      <c r="Y1485">
        <f t="shared" si="311"/>
        <v>-2.2649459980569074E-2</v>
      </c>
      <c r="Z1485" t="str">
        <f t="shared" si="304"/>
        <v>2015-12</v>
      </c>
    </row>
    <row r="1486" spans="1:26" x14ac:dyDescent="0.35">
      <c r="A1486" s="1">
        <v>42347</v>
      </c>
      <c r="C1486">
        <v>3277.21</v>
      </c>
      <c r="D1486">
        <f t="shared" si="305"/>
        <v>-6.1600244677430787E-3</v>
      </c>
      <c r="E1486" t="str">
        <f t="shared" si="299"/>
        <v>2015-12</v>
      </c>
      <c r="G1486">
        <v>4637.45</v>
      </c>
      <c r="H1486">
        <f t="shared" si="306"/>
        <v>-9.5308206659925534E-3</v>
      </c>
      <c r="I1486" t="str">
        <f t="shared" si="300"/>
        <v>2015-12</v>
      </c>
      <c r="K1486">
        <v>10592.49</v>
      </c>
      <c r="L1486">
        <f t="shared" si="307"/>
        <v>-7.6281435191787282E-3</v>
      </c>
      <c r="M1486" t="str">
        <f t="shared" si="301"/>
        <v>2015-12</v>
      </c>
      <c r="O1486">
        <v>8445.8313400000006</v>
      </c>
      <c r="P1486">
        <f t="shared" si="308"/>
        <v>-1.2698663964688887E-3</v>
      </c>
      <c r="Q1486" t="str">
        <f t="shared" si="302"/>
        <v>2015-12</v>
      </c>
      <c r="S1486">
        <v>9835.5</v>
      </c>
      <c r="T1486">
        <f t="shared" si="309"/>
        <v>-1.6266279022884853E-4</v>
      </c>
      <c r="U1486" t="str">
        <f t="shared" si="303"/>
        <v>2015-12</v>
      </c>
      <c r="W1486">
        <v>21500.880000000001</v>
      </c>
      <c r="X1486">
        <f t="shared" si="310"/>
        <v>-1.7268095590623426E-3</v>
      </c>
      <c r="Y1486">
        <f t="shared" si="311"/>
        <v>-1.7253194812526977E-3</v>
      </c>
      <c r="Z1486" t="str">
        <f t="shared" si="304"/>
        <v>2015-12</v>
      </c>
    </row>
    <row r="1487" spans="1:26" x14ac:dyDescent="0.35">
      <c r="A1487" s="1">
        <v>42348</v>
      </c>
      <c r="C1487">
        <v>3269.97</v>
      </c>
      <c r="D1487">
        <f t="shared" si="305"/>
        <v>-2.211640111044987E-3</v>
      </c>
      <c r="E1487" t="str">
        <f t="shared" si="299"/>
        <v>2015-12</v>
      </c>
      <c r="G1487">
        <v>4635.0600000000004</v>
      </c>
      <c r="H1487">
        <f t="shared" si="306"/>
        <v>-5.1550228642005297E-4</v>
      </c>
      <c r="I1487" t="str">
        <f t="shared" si="300"/>
        <v>2015-12</v>
      </c>
      <c r="K1487">
        <v>10598.93</v>
      </c>
      <c r="L1487">
        <f t="shared" si="307"/>
        <v>6.0779317273224737E-4</v>
      </c>
      <c r="M1487" t="str">
        <f t="shared" si="301"/>
        <v>2015-12</v>
      </c>
      <c r="O1487">
        <v>8436.0674600000002</v>
      </c>
      <c r="P1487">
        <f t="shared" si="308"/>
        <v>-1.1567278307210616E-3</v>
      </c>
      <c r="Q1487" t="str">
        <f t="shared" si="302"/>
        <v>2015-12</v>
      </c>
      <c r="S1487">
        <v>9778.7000000000007</v>
      </c>
      <c r="T1487">
        <f t="shared" si="309"/>
        <v>-5.7917385135214175E-3</v>
      </c>
      <c r="U1487" t="str">
        <f t="shared" si="303"/>
        <v>2015-12</v>
      </c>
      <c r="W1487">
        <v>21409.63</v>
      </c>
      <c r="X1487">
        <f t="shared" si="310"/>
        <v>-4.253043720385619E-3</v>
      </c>
      <c r="Y1487">
        <f t="shared" si="311"/>
        <v>-4.24401233809965E-3</v>
      </c>
      <c r="Z1487" t="str">
        <f t="shared" si="304"/>
        <v>2015-12</v>
      </c>
    </row>
    <row r="1488" spans="1:26" x14ac:dyDescent="0.35">
      <c r="A1488" s="1">
        <v>42349</v>
      </c>
      <c r="C1488">
        <v>3203.21</v>
      </c>
      <c r="D1488">
        <f t="shared" si="305"/>
        <v>-2.0627378543137825E-2</v>
      </c>
      <c r="E1488" t="str">
        <f t="shared" si="299"/>
        <v>2015-12</v>
      </c>
      <c r="G1488">
        <v>4549.5600000000004</v>
      </c>
      <c r="H1488">
        <f t="shared" si="306"/>
        <v>-1.8618618927761191E-2</v>
      </c>
      <c r="I1488" t="str">
        <f t="shared" si="300"/>
        <v>2015-12</v>
      </c>
      <c r="K1488">
        <v>10340.06</v>
      </c>
      <c r="L1488">
        <f t="shared" si="307"/>
        <v>-2.4727380855289784E-2</v>
      </c>
      <c r="M1488" t="str">
        <f t="shared" si="301"/>
        <v>2015-12</v>
      </c>
      <c r="O1488">
        <v>8238.8121200000005</v>
      </c>
      <c r="P1488">
        <f t="shared" si="308"/>
        <v>-2.3660085930320252E-2</v>
      </c>
      <c r="Q1488" t="str">
        <f t="shared" si="302"/>
        <v>2015-12</v>
      </c>
      <c r="S1488">
        <v>9630.7000000000007</v>
      </c>
      <c r="T1488">
        <f t="shared" si="309"/>
        <v>-1.52506381959037E-2</v>
      </c>
      <c r="U1488" t="str">
        <f t="shared" si="303"/>
        <v>2015-12</v>
      </c>
      <c r="W1488">
        <v>21015.29</v>
      </c>
      <c r="X1488">
        <f t="shared" si="310"/>
        <v>-1.8590552779400468E-2</v>
      </c>
      <c r="Y1488">
        <f t="shared" si="311"/>
        <v>-1.8418814337286545E-2</v>
      </c>
      <c r="Z1488" t="str">
        <f t="shared" si="304"/>
        <v>2015-12</v>
      </c>
    </row>
    <row r="1489" spans="1:26" x14ac:dyDescent="0.35">
      <c r="A1489" s="1">
        <v>42352</v>
      </c>
      <c r="C1489">
        <v>3139.24</v>
      </c>
      <c r="D1489">
        <f t="shared" si="305"/>
        <v>-2.0172699604388177E-2</v>
      </c>
      <c r="E1489" t="str">
        <f t="shared" si="299"/>
        <v>2015-12</v>
      </c>
      <c r="G1489">
        <v>4473.07</v>
      </c>
      <c r="H1489">
        <f t="shared" si="306"/>
        <v>-1.6955551209561763E-2</v>
      </c>
      <c r="I1489" t="str">
        <f t="shared" si="300"/>
        <v>2015-12</v>
      </c>
      <c r="K1489">
        <v>10139.34</v>
      </c>
      <c r="L1489">
        <f t="shared" si="307"/>
        <v>-1.9602764484102152E-2</v>
      </c>
      <c r="M1489" t="str">
        <f t="shared" si="301"/>
        <v>2015-12</v>
      </c>
      <c r="O1489">
        <v>8075.43264</v>
      </c>
      <c r="P1489">
        <f t="shared" si="308"/>
        <v>-2.0029727952661662E-2</v>
      </c>
      <c r="Q1489" t="str">
        <f t="shared" si="302"/>
        <v>2015-12</v>
      </c>
      <c r="S1489">
        <v>9428.5</v>
      </c>
      <c r="T1489">
        <f t="shared" si="309"/>
        <v>-2.1218895495381276E-2</v>
      </c>
      <c r="U1489" t="str">
        <f t="shared" si="303"/>
        <v>2015-12</v>
      </c>
      <c r="W1489">
        <v>20506.560000000001</v>
      </c>
      <c r="X1489">
        <f t="shared" si="310"/>
        <v>-2.4505433073487549E-2</v>
      </c>
      <c r="Y1489">
        <f t="shared" si="311"/>
        <v>-2.4207612647743598E-2</v>
      </c>
      <c r="Z1489" t="str">
        <f t="shared" si="304"/>
        <v>2015-12</v>
      </c>
    </row>
    <row r="1490" spans="1:26" x14ac:dyDescent="0.35">
      <c r="A1490" s="1">
        <v>42353</v>
      </c>
      <c r="C1490">
        <v>3241.51</v>
      </c>
      <c r="D1490">
        <f t="shared" si="305"/>
        <v>3.2058538212046149E-2</v>
      </c>
      <c r="E1490" t="str">
        <f t="shared" si="299"/>
        <v>2015-12</v>
      </c>
      <c r="G1490">
        <v>4614.3999999999996</v>
      </c>
      <c r="H1490">
        <f t="shared" si="306"/>
        <v>3.1106874887909426E-2</v>
      </c>
      <c r="I1490" t="str">
        <f t="shared" si="300"/>
        <v>2015-12</v>
      </c>
      <c r="K1490">
        <v>10450.379999999999</v>
      </c>
      <c r="L1490">
        <f t="shared" si="307"/>
        <v>3.021543409876699E-2</v>
      </c>
      <c r="M1490" t="str">
        <f t="shared" si="301"/>
        <v>2015-12</v>
      </c>
      <c r="O1490">
        <v>8294.0174100000004</v>
      </c>
      <c r="P1490">
        <f t="shared" si="308"/>
        <v>2.6708015547310917E-2</v>
      </c>
      <c r="Q1490" t="str">
        <f t="shared" si="302"/>
        <v>2015-12</v>
      </c>
      <c r="S1490">
        <v>9711.6</v>
      </c>
      <c r="T1490">
        <f t="shared" si="309"/>
        <v>2.9584030122679184E-2</v>
      </c>
      <c r="U1490" t="str">
        <f t="shared" si="303"/>
        <v>2015-12</v>
      </c>
      <c r="W1490">
        <v>21272.68</v>
      </c>
      <c r="X1490">
        <f t="shared" si="310"/>
        <v>3.6678785379356878E-2</v>
      </c>
      <c r="Y1490">
        <f t="shared" si="311"/>
        <v>3.7359752196370277E-2</v>
      </c>
      <c r="Z1490" t="str">
        <f t="shared" si="304"/>
        <v>2015-12</v>
      </c>
    </row>
    <row r="1491" spans="1:26" x14ac:dyDescent="0.35">
      <c r="A1491" s="1">
        <v>42354</v>
      </c>
      <c r="C1491">
        <v>3246.78</v>
      </c>
      <c r="D1491">
        <f t="shared" si="305"/>
        <v>1.6244653549429742E-3</v>
      </c>
      <c r="E1491" t="str">
        <f t="shared" si="299"/>
        <v>2015-12</v>
      </c>
      <c r="G1491">
        <v>4624.67</v>
      </c>
      <c r="H1491">
        <f t="shared" si="306"/>
        <v>2.2231683989703535E-3</v>
      </c>
      <c r="I1491" t="str">
        <f t="shared" si="300"/>
        <v>2015-12</v>
      </c>
      <c r="K1491">
        <v>10469.26</v>
      </c>
      <c r="L1491">
        <f t="shared" si="307"/>
        <v>1.8050028706015513E-3</v>
      </c>
      <c r="M1491" t="str">
        <f t="shared" si="301"/>
        <v>2015-12</v>
      </c>
      <c r="O1491">
        <v>8327.3405700000003</v>
      </c>
      <c r="P1491">
        <f t="shared" si="308"/>
        <v>4.0096849711534184E-3</v>
      </c>
      <c r="Q1491" t="str">
        <f t="shared" si="302"/>
        <v>2015-12</v>
      </c>
      <c r="S1491">
        <v>9711</v>
      </c>
      <c r="T1491">
        <f t="shared" si="309"/>
        <v>-6.178369530252751E-5</v>
      </c>
      <c r="U1491" t="str">
        <f t="shared" si="303"/>
        <v>2015-12</v>
      </c>
      <c r="W1491">
        <v>21210.23</v>
      </c>
      <c r="X1491">
        <f t="shared" si="310"/>
        <v>-2.9400078753065552E-3</v>
      </c>
      <c r="Y1491">
        <f t="shared" si="311"/>
        <v>-2.9356902844399823E-3</v>
      </c>
      <c r="Z1491" t="str">
        <f t="shared" si="304"/>
        <v>2015-12</v>
      </c>
    </row>
    <row r="1492" spans="1:26" x14ac:dyDescent="0.35">
      <c r="A1492" s="1">
        <v>42355</v>
      </c>
      <c r="C1492">
        <v>3306.47</v>
      </c>
      <c r="D1492">
        <f t="shared" si="305"/>
        <v>1.821741907885013E-2</v>
      </c>
      <c r="E1492" t="str">
        <f t="shared" si="299"/>
        <v>2015-12</v>
      </c>
      <c r="G1492">
        <v>4677.54</v>
      </c>
      <c r="H1492">
        <f t="shared" si="306"/>
        <v>1.136731363883157E-2</v>
      </c>
      <c r="I1492" t="str">
        <f t="shared" si="300"/>
        <v>2015-12</v>
      </c>
      <c r="K1492">
        <v>10738.12</v>
      </c>
      <c r="L1492">
        <f t="shared" si="307"/>
        <v>2.5356682946703381E-2</v>
      </c>
      <c r="M1492" t="str">
        <f t="shared" si="301"/>
        <v>2015-12</v>
      </c>
      <c r="O1492">
        <v>8400.5109699999994</v>
      </c>
      <c r="P1492">
        <f t="shared" si="308"/>
        <v>8.7483878601889772E-3</v>
      </c>
      <c r="Q1492" t="str">
        <f t="shared" si="302"/>
        <v>2015-12</v>
      </c>
      <c r="S1492">
        <v>9878.5</v>
      </c>
      <c r="T1492">
        <f t="shared" si="309"/>
        <v>1.7101414759105787E-2</v>
      </c>
      <c r="U1492" t="str">
        <f t="shared" si="303"/>
        <v>2015-12</v>
      </c>
      <c r="W1492">
        <v>21523.1</v>
      </c>
      <c r="X1492">
        <f t="shared" si="310"/>
        <v>1.4643164504360807E-2</v>
      </c>
      <c r="Y1492">
        <f t="shared" si="311"/>
        <v>1.4750900862461133E-2</v>
      </c>
      <c r="Z1492" t="str">
        <f t="shared" si="304"/>
        <v>2015-12</v>
      </c>
    </row>
    <row r="1493" spans="1:26" x14ac:dyDescent="0.35">
      <c r="A1493" s="1">
        <v>42356</v>
      </c>
      <c r="C1493">
        <v>3260.72</v>
      </c>
      <c r="D1493">
        <f t="shared" si="305"/>
        <v>-1.3933125164877902E-2</v>
      </c>
      <c r="E1493" t="str">
        <f t="shared" si="299"/>
        <v>2015-12</v>
      </c>
      <c r="G1493">
        <v>4625.26</v>
      </c>
      <c r="H1493">
        <f t="shared" si="306"/>
        <v>-1.1239745105707553E-2</v>
      </c>
      <c r="I1493" t="str">
        <f t="shared" si="300"/>
        <v>2015-12</v>
      </c>
      <c r="K1493">
        <v>10608.19</v>
      </c>
      <c r="L1493">
        <f t="shared" si="307"/>
        <v>-1.2173682909682982E-2</v>
      </c>
      <c r="M1493" t="str">
        <f t="shared" si="301"/>
        <v>2015-12</v>
      </c>
      <c r="O1493">
        <v>8319.9133299999994</v>
      </c>
      <c r="P1493">
        <f t="shared" si="308"/>
        <v>-9.640696049566199E-3</v>
      </c>
      <c r="Q1493" t="str">
        <f t="shared" si="302"/>
        <v>2015-12</v>
      </c>
      <c r="S1493">
        <v>9717.1</v>
      </c>
      <c r="T1493">
        <f t="shared" si="309"/>
        <v>-1.6473458324822273E-2</v>
      </c>
      <c r="U1493" t="str">
        <f t="shared" si="303"/>
        <v>2015-12</v>
      </c>
      <c r="W1493">
        <v>21241.93</v>
      </c>
      <c r="X1493">
        <f t="shared" si="310"/>
        <v>-1.3149718428028149E-2</v>
      </c>
      <c r="Y1493">
        <f t="shared" si="311"/>
        <v>-1.3063638602245879E-2</v>
      </c>
      <c r="Z1493" t="str">
        <f t="shared" si="304"/>
        <v>2015-12</v>
      </c>
    </row>
    <row r="1494" spans="1:26" x14ac:dyDescent="0.35">
      <c r="A1494" s="1">
        <v>42359</v>
      </c>
      <c r="C1494">
        <v>3213.01</v>
      </c>
      <c r="D1494">
        <f t="shared" si="305"/>
        <v>-1.4739837403654622E-2</v>
      </c>
      <c r="E1494" t="str">
        <f t="shared" si="299"/>
        <v>2015-12</v>
      </c>
      <c r="G1494">
        <v>4565.17</v>
      </c>
      <c r="H1494">
        <f t="shared" si="306"/>
        <v>-1.3076832378422222E-2</v>
      </c>
      <c r="I1494" t="str">
        <f t="shared" si="300"/>
        <v>2015-12</v>
      </c>
      <c r="K1494">
        <v>10497.77</v>
      </c>
      <c r="L1494">
        <f t="shared" si="307"/>
        <v>-1.0463490638595942E-2</v>
      </c>
      <c r="M1494" t="str">
        <f t="shared" si="301"/>
        <v>2015-12</v>
      </c>
      <c r="O1494">
        <v>8231.53946</v>
      </c>
      <c r="P1494">
        <f t="shared" si="308"/>
        <v>-1.0678785837110634E-2</v>
      </c>
      <c r="Q1494" t="str">
        <f t="shared" si="302"/>
        <v>2015-12</v>
      </c>
      <c r="S1494">
        <v>9365.7999999999993</v>
      </c>
      <c r="T1494">
        <f t="shared" si="309"/>
        <v>-3.6822463346159809E-2</v>
      </c>
      <c r="U1494" t="str">
        <f t="shared" si="303"/>
        <v>2015-12</v>
      </c>
      <c r="W1494">
        <v>21099.32</v>
      </c>
      <c r="X1494">
        <f t="shared" si="310"/>
        <v>-6.7362460611132295E-3</v>
      </c>
      <c r="Y1494">
        <f t="shared" si="311"/>
        <v>-6.7136084150545916E-3</v>
      </c>
      <c r="Z1494" t="str">
        <f t="shared" si="304"/>
        <v>2015-12</v>
      </c>
    </row>
    <row r="1495" spans="1:26" x14ac:dyDescent="0.35">
      <c r="A1495" s="1">
        <v>42360</v>
      </c>
      <c r="C1495">
        <v>3214.32</v>
      </c>
      <c r="D1495">
        <f t="shared" si="305"/>
        <v>4.0763427990772935E-4</v>
      </c>
      <c r="E1495" t="str">
        <f t="shared" si="299"/>
        <v>2015-12</v>
      </c>
      <c r="G1495">
        <v>4567.6000000000004</v>
      </c>
      <c r="H1495">
        <f t="shared" si="306"/>
        <v>5.3214962324581443E-4</v>
      </c>
      <c r="I1495" t="str">
        <f t="shared" si="300"/>
        <v>2015-12</v>
      </c>
      <c r="K1495">
        <v>10488.75</v>
      </c>
      <c r="L1495">
        <f t="shared" si="307"/>
        <v>-8.5959945292645216E-4</v>
      </c>
      <c r="M1495" t="str">
        <f t="shared" si="301"/>
        <v>2015-12</v>
      </c>
      <c r="O1495">
        <v>8217.2584100000004</v>
      </c>
      <c r="P1495">
        <f t="shared" si="308"/>
        <v>-1.7364252027638923E-3</v>
      </c>
      <c r="Q1495" t="str">
        <f t="shared" si="302"/>
        <v>2015-12</v>
      </c>
      <c r="S1495">
        <v>9415.6</v>
      </c>
      <c r="T1495">
        <f t="shared" si="309"/>
        <v>5.3031314716942878E-3</v>
      </c>
      <c r="U1495" t="str">
        <f t="shared" si="303"/>
        <v>2015-12</v>
      </c>
      <c r="W1495">
        <v>21060.13</v>
      </c>
      <c r="X1495">
        <f t="shared" si="310"/>
        <v>-1.8591329482686712E-3</v>
      </c>
      <c r="Y1495">
        <f t="shared" si="311"/>
        <v>-1.8574058310883333E-3</v>
      </c>
      <c r="Z1495" t="str">
        <f t="shared" si="304"/>
        <v>2015-12</v>
      </c>
    </row>
    <row r="1496" spans="1:26" x14ac:dyDescent="0.35">
      <c r="A1496" s="1">
        <v>42361</v>
      </c>
      <c r="C1496">
        <v>3286.68</v>
      </c>
      <c r="D1496">
        <f t="shared" si="305"/>
        <v>2.2262109968497992E-2</v>
      </c>
      <c r="E1496" t="str">
        <f t="shared" si="299"/>
        <v>2015-12</v>
      </c>
      <c r="G1496">
        <v>4674.53</v>
      </c>
      <c r="H1496">
        <f t="shared" si="306"/>
        <v>2.3140720081978379E-2</v>
      </c>
      <c r="I1496" t="str">
        <f t="shared" si="300"/>
        <v>2015-12</v>
      </c>
      <c r="K1496">
        <v>10727.64</v>
      </c>
      <c r="L1496">
        <f t="shared" si="307"/>
        <v>2.2520334167205152E-2</v>
      </c>
      <c r="M1496" t="str">
        <f t="shared" si="301"/>
        <v>2015-12</v>
      </c>
      <c r="O1496">
        <v>8533.3156999999992</v>
      </c>
      <c r="P1496">
        <f t="shared" si="308"/>
        <v>3.7741369737345133E-2</v>
      </c>
      <c r="Q1496" t="str">
        <f t="shared" si="302"/>
        <v>2015-12</v>
      </c>
      <c r="S1496">
        <v>9641</v>
      </c>
      <c r="T1496">
        <f t="shared" si="309"/>
        <v>2.365694951020841E-2</v>
      </c>
      <c r="U1496" t="str">
        <f t="shared" si="303"/>
        <v>2015-12</v>
      </c>
      <c r="W1496">
        <v>21456.36</v>
      </c>
      <c r="X1496">
        <f t="shared" si="310"/>
        <v>1.8639425395771118E-2</v>
      </c>
      <c r="Y1496">
        <f t="shared" si="311"/>
        <v>1.8814223843822406E-2</v>
      </c>
      <c r="Z1496" t="str">
        <f t="shared" si="304"/>
        <v>2015-12</v>
      </c>
    </row>
    <row r="1497" spans="1:26" x14ac:dyDescent="0.35">
      <c r="A1497" s="1">
        <v>42367</v>
      </c>
      <c r="C1497">
        <v>3314.28</v>
      </c>
      <c r="D1497">
        <f t="shared" si="305"/>
        <v>8.3624687441963101E-3</v>
      </c>
      <c r="E1497" t="str">
        <f t="shared" si="299"/>
        <v>2015-12</v>
      </c>
      <c r="G1497">
        <v>4701.3599999999997</v>
      </c>
      <c r="H1497">
        <f t="shared" si="306"/>
        <v>5.7232056337830992E-3</v>
      </c>
      <c r="I1497" t="str">
        <f t="shared" si="300"/>
        <v>2015-12</v>
      </c>
      <c r="K1497">
        <v>10860.14</v>
      </c>
      <c r="L1497">
        <f t="shared" si="307"/>
        <v>1.2275617397732475E-2</v>
      </c>
      <c r="M1497" t="str">
        <f t="shared" si="301"/>
        <v>2015-12</v>
      </c>
      <c r="O1497">
        <v>8552.8574800000006</v>
      </c>
      <c r="P1497">
        <f t="shared" si="308"/>
        <v>2.2874388916651893E-3</v>
      </c>
      <c r="Q1497" t="str">
        <f t="shared" si="302"/>
        <v>2015-12</v>
      </c>
      <c r="S1497">
        <v>9670.4</v>
      </c>
      <c r="T1497">
        <f t="shared" si="309"/>
        <v>3.0448359739853499E-3</v>
      </c>
      <c r="U1497" t="str">
        <f t="shared" si="303"/>
        <v>2015-12</v>
      </c>
      <c r="W1497">
        <v>21661.33</v>
      </c>
      <c r="X1497">
        <f t="shared" si="310"/>
        <v>9.5075382744434569E-3</v>
      </c>
      <c r="Y1497">
        <f t="shared" si="311"/>
        <v>9.5528784938359139E-3</v>
      </c>
      <c r="Z1497" t="str">
        <f t="shared" si="304"/>
        <v>2015-12</v>
      </c>
    </row>
    <row r="1498" spans="1:26" x14ac:dyDescent="0.35">
      <c r="A1498" s="1">
        <v>42368</v>
      </c>
      <c r="C1498">
        <v>3287.98</v>
      </c>
      <c r="D1498">
        <f t="shared" si="305"/>
        <v>-7.9670110271608634E-3</v>
      </c>
      <c r="E1498" t="str">
        <f t="shared" si="299"/>
        <v>2015-12</v>
      </c>
      <c r="G1498">
        <v>4677.1400000000003</v>
      </c>
      <c r="H1498">
        <f t="shared" si="306"/>
        <v>-5.1650165471776484E-3</v>
      </c>
      <c r="I1498" t="str">
        <f t="shared" si="300"/>
        <v>2015-12</v>
      </c>
      <c r="K1498">
        <v>10743.01</v>
      </c>
      <c r="L1498">
        <f t="shared" si="307"/>
        <v>-1.0843895244421918E-2</v>
      </c>
      <c r="M1498" t="str">
        <f t="shared" si="301"/>
        <v>2015-12</v>
      </c>
      <c r="O1498">
        <v>8525.2557300000008</v>
      </c>
      <c r="P1498">
        <f t="shared" si="308"/>
        <v>-3.2324149270683868E-3</v>
      </c>
      <c r="Q1498" t="str">
        <f t="shared" si="302"/>
        <v>2015-12</v>
      </c>
      <c r="S1498">
        <v>9641.9</v>
      </c>
      <c r="T1498">
        <f t="shared" si="309"/>
        <v>-2.9514890188434063E-3</v>
      </c>
      <c r="U1498" t="str">
        <f t="shared" si="303"/>
        <v>2015-12</v>
      </c>
      <c r="W1498">
        <v>21418.37</v>
      </c>
      <c r="X1498">
        <f t="shared" si="310"/>
        <v>-1.1279678177936132E-2</v>
      </c>
      <c r="Y1498">
        <f t="shared" si="311"/>
        <v>-1.1216301122784369E-2</v>
      </c>
      <c r="Z1498" t="str">
        <f t="shared" si="304"/>
        <v>2015-12</v>
      </c>
    </row>
    <row r="1499" spans="1:26" x14ac:dyDescent="0.35">
      <c r="A1499" s="1">
        <v>42373</v>
      </c>
      <c r="C1499">
        <v>3164.76</v>
      </c>
      <c r="D1499">
        <f t="shared" si="305"/>
        <v>-3.8196171113312576E-2</v>
      </c>
      <c r="E1499" t="str">
        <f t="shared" si="299"/>
        <v>2016-01</v>
      </c>
      <c r="G1499">
        <v>4522.45</v>
      </c>
      <c r="H1499">
        <f t="shared" si="306"/>
        <v>-3.3632929619694205E-2</v>
      </c>
      <c r="I1499" t="str">
        <f t="shared" si="300"/>
        <v>2016-01</v>
      </c>
      <c r="K1499">
        <v>10283.44</v>
      </c>
      <c r="L1499">
        <f t="shared" si="307"/>
        <v>-4.3720476121692602E-2</v>
      </c>
      <c r="M1499" t="str">
        <f t="shared" si="301"/>
        <v>2016-01</v>
      </c>
      <c r="O1499">
        <v>8278.3454199999996</v>
      </c>
      <c r="P1499">
        <f t="shared" si="308"/>
        <v>-2.9389900447241518E-2</v>
      </c>
      <c r="Q1499" t="str">
        <f t="shared" si="302"/>
        <v>2016-01</v>
      </c>
      <c r="S1499">
        <v>9313.2000000000007</v>
      </c>
      <c r="T1499">
        <f t="shared" si="309"/>
        <v>-3.4685435971428785E-2</v>
      </c>
      <c r="U1499" t="str">
        <f t="shared" si="303"/>
        <v>2016-01</v>
      </c>
      <c r="W1499">
        <v>20733.810000000001</v>
      </c>
      <c r="X1499">
        <f t="shared" si="310"/>
        <v>-3.2483263852114419E-2</v>
      </c>
      <c r="Y1499">
        <f t="shared" si="311"/>
        <v>-3.1961349066245363E-2</v>
      </c>
      <c r="Z1499" t="str">
        <f t="shared" si="304"/>
        <v>2016-01</v>
      </c>
    </row>
    <row r="1500" spans="1:26" x14ac:dyDescent="0.35">
      <c r="A1500" s="1">
        <v>42374</v>
      </c>
      <c r="C1500">
        <v>3178.01</v>
      </c>
      <c r="D1500">
        <f t="shared" si="305"/>
        <v>4.177991405615992E-3</v>
      </c>
      <c r="E1500" t="str">
        <f t="shared" si="299"/>
        <v>2016-01</v>
      </c>
      <c r="G1500">
        <v>4537.63</v>
      </c>
      <c r="H1500">
        <f t="shared" si="306"/>
        <v>3.3509669240573956E-3</v>
      </c>
      <c r="I1500" t="str">
        <f t="shared" si="300"/>
        <v>2016-01</v>
      </c>
      <c r="K1500">
        <v>10310.1</v>
      </c>
      <c r="L1500">
        <f t="shared" si="307"/>
        <v>2.5891629019127861E-3</v>
      </c>
      <c r="M1500" t="str">
        <f t="shared" si="301"/>
        <v>2016-01</v>
      </c>
      <c r="O1500">
        <v>8373.7402600000005</v>
      </c>
      <c r="P1500">
        <f t="shared" si="308"/>
        <v>1.1457529754606066E-2</v>
      </c>
      <c r="Q1500" t="str">
        <f t="shared" si="302"/>
        <v>2016-01</v>
      </c>
      <c r="S1500">
        <v>9335.2000000000007</v>
      </c>
      <c r="T1500">
        <f t="shared" si="309"/>
        <v>2.3594528438040281E-3</v>
      </c>
      <c r="U1500" t="str">
        <f t="shared" si="303"/>
        <v>2016-01</v>
      </c>
      <c r="W1500">
        <v>20983.24</v>
      </c>
      <c r="X1500">
        <f t="shared" si="310"/>
        <v>1.195832267132352E-2</v>
      </c>
      <c r="Y1500">
        <f t="shared" si="311"/>
        <v>1.2030109275622777E-2</v>
      </c>
      <c r="Z1500" t="str">
        <f t="shared" si="304"/>
        <v>2016-01</v>
      </c>
    </row>
    <row r="1501" spans="1:26" x14ac:dyDescent="0.35">
      <c r="A1501" s="1">
        <v>42375</v>
      </c>
      <c r="C1501">
        <v>3139.32</v>
      </c>
      <c r="D1501">
        <f t="shared" si="305"/>
        <v>-1.2248998784681494E-2</v>
      </c>
      <c r="E1501" t="str">
        <f t="shared" si="299"/>
        <v>2016-01</v>
      </c>
      <c r="G1501">
        <v>4480.47</v>
      </c>
      <c r="H1501">
        <f t="shared" si="306"/>
        <v>-1.2676897679867412E-2</v>
      </c>
      <c r="I1501" t="str">
        <f t="shared" si="300"/>
        <v>2016-01</v>
      </c>
      <c r="K1501">
        <v>10214.02</v>
      </c>
      <c r="L1501">
        <f t="shared" si="307"/>
        <v>-9.3627109826129318E-3</v>
      </c>
      <c r="M1501" t="str">
        <f t="shared" si="301"/>
        <v>2016-01</v>
      </c>
      <c r="O1501">
        <v>8256.5215200000002</v>
      </c>
      <c r="P1501">
        <f t="shared" si="308"/>
        <v>-1.4097274332177619E-2</v>
      </c>
      <c r="Q1501" t="str">
        <f t="shared" si="302"/>
        <v>2016-01</v>
      </c>
      <c r="S1501">
        <v>9197.4</v>
      </c>
      <c r="T1501">
        <f t="shared" si="309"/>
        <v>-1.4871366091780983E-2</v>
      </c>
      <c r="U1501" t="str">
        <f t="shared" si="303"/>
        <v>2016-01</v>
      </c>
      <c r="W1501">
        <v>20422.39</v>
      </c>
      <c r="X1501">
        <f t="shared" si="310"/>
        <v>-2.7092175834572855E-2</v>
      </c>
      <c r="Y1501">
        <f t="shared" si="311"/>
        <v>-2.6728474725542965E-2</v>
      </c>
      <c r="Z1501" t="str">
        <f t="shared" si="304"/>
        <v>2016-01</v>
      </c>
    </row>
    <row r="1502" spans="1:26" x14ac:dyDescent="0.35">
      <c r="A1502" s="1">
        <v>42376</v>
      </c>
      <c r="C1502">
        <v>3084.68</v>
      </c>
      <c r="D1502">
        <f t="shared" si="305"/>
        <v>-1.7558291695483876E-2</v>
      </c>
      <c r="E1502" t="str">
        <f t="shared" si="299"/>
        <v>2016-01</v>
      </c>
      <c r="G1502">
        <v>4403.58</v>
      </c>
      <c r="H1502">
        <f t="shared" si="306"/>
        <v>-1.7310105173215712E-2</v>
      </c>
      <c r="I1502" t="str">
        <f t="shared" si="300"/>
        <v>2016-01</v>
      </c>
      <c r="K1502">
        <v>9979.85</v>
      </c>
      <c r="L1502">
        <f t="shared" si="307"/>
        <v>-2.3193226169965216E-2</v>
      </c>
      <c r="M1502" t="str">
        <f t="shared" si="301"/>
        <v>2016-01</v>
      </c>
      <c r="O1502">
        <v>7995.9643699999997</v>
      </c>
      <c r="P1502">
        <f t="shared" si="308"/>
        <v>-3.2066414698569128E-2</v>
      </c>
      <c r="Q1502" t="str">
        <f t="shared" si="302"/>
        <v>2016-01</v>
      </c>
      <c r="S1502">
        <v>9059.2999999999993</v>
      </c>
      <c r="T1502">
        <f t="shared" si="309"/>
        <v>-1.5128981041164065E-2</v>
      </c>
      <c r="U1502" t="str">
        <f t="shared" si="303"/>
        <v>2016-01</v>
      </c>
      <c r="W1502">
        <v>20189.48</v>
      </c>
      <c r="X1502">
        <f t="shared" si="310"/>
        <v>-1.1470171334544435E-2</v>
      </c>
      <c r="Y1502">
        <f t="shared" si="311"/>
        <v>-1.1404639711610633E-2</v>
      </c>
      <c r="Z1502" t="str">
        <f t="shared" si="304"/>
        <v>2016-01</v>
      </c>
    </row>
    <row r="1503" spans="1:26" x14ac:dyDescent="0.35">
      <c r="A1503" s="1">
        <v>42377</v>
      </c>
      <c r="C1503">
        <v>3033.47</v>
      </c>
      <c r="D1503">
        <f t="shared" si="305"/>
        <v>-1.6740745477704839E-2</v>
      </c>
      <c r="E1503" t="str">
        <f t="shared" si="299"/>
        <v>2016-01</v>
      </c>
      <c r="G1503">
        <v>4333.76</v>
      </c>
      <c r="H1503">
        <f t="shared" si="306"/>
        <v>-1.5982320980350267E-2</v>
      </c>
      <c r="I1503" t="str">
        <f t="shared" si="300"/>
        <v>2016-01</v>
      </c>
      <c r="K1503">
        <v>9849.34</v>
      </c>
      <c r="L1503">
        <f t="shared" si="307"/>
        <v>-1.3163612287384906E-2</v>
      </c>
      <c r="M1503" t="str">
        <f t="shared" si="301"/>
        <v>2016-01</v>
      </c>
      <c r="O1503">
        <v>7883.61535</v>
      </c>
      <c r="P1503">
        <f t="shared" si="308"/>
        <v>-1.415036123591585E-2</v>
      </c>
      <c r="Q1503" t="str">
        <f t="shared" si="302"/>
        <v>2016-01</v>
      </c>
      <c r="S1503">
        <v>8909.2000000000007</v>
      </c>
      <c r="T1503">
        <f t="shared" si="309"/>
        <v>-1.6707403681623066E-2</v>
      </c>
      <c r="U1503" t="str">
        <f t="shared" si="303"/>
        <v>2016-01</v>
      </c>
      <c r="W1503">
        <v>19869.490000000002</v>
      </c>
      <c r="X1503">
        <f t="shared" si="310"/>
        <v>-1.5976287268751051E-2</v>
      </c>
      <c r="Y1503">
        <f t="shared" si="311"/>
        <v>-1.5849343321373208E-2</v>
      </c>
      <c r="Z1503" t="str">
        <f t="shared" si="304"/>
        <v>2016-01</v>
      </c>
    </row>
    <row r="1504" spans="1:26" x14ac:dyDescent="0.35">
      <c r="A1504" s="1">
        <v>42380</v>
      </c>
      <c r="C1504">
        <v>3027.49</v>
      </c>
      <c r="D1504">
        <f t="shared" si="305"/>
        <v>-1.9732854004771215E-3</v>
      </c>
      <c r="E1504" t="str">
        <f t="shared" si="299"/>
        <v>2016-01</v>
      </c>
      <c r="G1504">
        <v>4312.74</v>
      </c>
      <c r="H1504">
        <f t="shared" si="306"/>
        <v>-4.8620925020031996E-3</v>
      </c>
      <c r="I1504" t="str">
        <f t="shared" si="300"/>
        <v>2016-01</v>
      </c>
      <c r="K1504">
        <v>9825.07</v>
      </c>
      <c r="L1504">
        <f t="shared" si="307"/>
        <v>-2.4671654510366368E-3</v>
      </c>
      <c r="M1504" t="str">
        <f t="shared" si="301"/>
        <v>2016-01</v>
      </c>
      <c r="O1504">
        <v>7857.1679800000002</v>
      </c>
      <c r="P1504">
        <f t="shared" si="308"/>
        <v>-3.3603657877296304E-3</v>
      </c>
      <c r="Q1504" t="str">
        <f t="shared" si="302"/>
        <v>2016-01</v>
      </c>
      <c r="S1504">
        <v>8886.1</v>
      </c>
      <c r="T1504">
        <f t="shared" si="309"/>
        <v>-2.5961925873589321E-3</v>
      </c>
      <c r="U1504" t="str">
        <f t="shared" si="303"/>
        <v>2016-01</v>
      </c>
      <c r="W1504">
        <v>19756.14</v>
      </c>
      <c r="X1504">
        <f t="shared" si="310"/>
        <v>-5.7210602918854811E-3</v>
      </c>
      <c r="Y1504">
        <f t="shared" si="311"/>
        <v>-5.7047261907578993E-3</v>
      </c>
      <c r="Z1504" t="str">
        <f t="shared" si="304"/>
        <v>2016-01</v>
      </c>
    </row>
    <row r="1505" spans="1:26" x14ac:dyDescent="0.35">
      <c r="A1505" s="1">
        <v>42381</v>
      </c>
      <c r="C1505">
        <v>3064.66</v>
      </c>
      <c r="D1505">
        <f t="shared" si="305"/>
        <v>1.2202739997493486E-2</v>
      </c>
      <c r="E1505" t="str">
        <f t="shared" si="299"/>
        <v>2016-01</v>
      </c>
      <c r="G1505">
        <v>4378.75</v>
      </c>
      <c r="H1505">
        <f t="shared" si="306"/>
        <v>1.5189862546693163E-2</v>
      </c>
      <c r="I1505" t="str">
        <f t="shared" si="300"/>
        <v>2016-01</v>
      </c>
      <c r="K1505">
        <v>9985.43</v>
      </c>
      <c r="L1505">
        <f t="shared" si="307"/>
        <v>1.6189748125542459E-2</v>
      </c>
      <c r="M1505" t="str">
        <f t="shared" si="301"/>
        <v>2016-01</v>
      </c>
      <c r="O1505">
        <v>7891.9776300000003</v>
      </c>
      <c r="P1505">
        <f t="shared" si="308"/>
        <v>4.4205200137950092E-3</v>
      </c>
      <c r="Q1505" t="str">
        <f t="shared" si="302"/>
        <v>2016-01</v>
      </c>
      <c r="S1505">
        <v>8915.4</v>
      </c>
      <c r="T1505">
        <f t="shared" si="309"/>
        <v>3.2918604003861168E-3</v>
      </c>
      <c r="U1505" t="str">
        <f t="shared" si="303"/>
        <v>2016-01</v>
      </c>
      <c r="W1505">
        <v>19970.099999999999</v>
      </c>
      <c r="X1505">
        <f t="shared" si="310"/>
        <v>1.0771825818435681E-2</v>
      </c>
      <c r="Y1505">
        <f t="shared" si="311"/>
        <v>1.0830050809520439E-2</v>
      </c>
      <c r="Z1505" t="str">
        <f t="shared" si="304"/>
        <v>2016-01</v>
      </c>
    </row>
    <row r="1506" spans="1:26" x14ac:dyDescent="0.35">
      <c r="A1506" s="1">
        <v>42382</v>
      </c>
      <c r="C1506">
        <v>3073.02</v>
      </c>
      <c r="D1506">
        <f t="shared" si="305"/>
        <v>2.7241580434264902E-3</v>
      </c>
      <c r="E1506" t="str">
        <f t="shared" si="299"/>
        <v>2016-01</v>
      </c>
      <c r="G1506">
        <v>4391.9399999999996</v>
      </c>
      <c r="H1506">
        <f t="shared" si="306"/>
        <v>3.0077473821691287E-3</v>
      </c>
      <c r="I1506" t="str">
        <f t="shared" si="300"/>
        <v>2016-01</v>
      </c>
      <c r="K1506">
        <v>9960.9599999999991</v>
      </c>
      <c r="L1506">
        <f t="shared" si="307"/>
        <v>-2.4535780435332648E-3</v>
      </c>
      <c r="M1506" t="str">
        <f t="shared" si="301"/>
        <v>2016-01</v>
      </c>
      <c r="O1506">
        <v>7943.7479499999999</v>
      </c>
      <c r="P1506">
        <f t="shared" si="308"/>
        <v>6.5384442506916246E-3</v>
      </c>
      <c r="Q1506" t="str">
        <f t="shared" si="302"/>
        <v>2016-01</v>
      </c>
      <c r="S1506">
        <v>8934.5</v>
      </c>
      <c r="T1506">
        <f t="shared" si="309"/>
        <v>2.1400688283592989E-3</v>
      </c>
      <c r="U1506" t="str">
        <f t="shared" si="303"/>
        <v>2016-01</v>
      </c>
      <c r="W1506">
        <v>20139.87</v>
      </c>
      <c r="X1506">
        <f t="shared" si="310"/>
        <v>8.4652775268445959E-3</v>
      </c>
      <c r="Y1506">
        <f t="shared" si="311"/>
        <v>8.5012093079153556E-3</v>
      </c>
      <c r="Z1506" t="str">
        <f t="shared" si="304"/>
        <v>2016-01</v>
      </c>
    </row>
    <row r="1507" spans="1:26" x14ac:dyDescent="0.35">
      <c r="A1507" s="1">
        <v>42383</v>
      </c>
      <c r="C1507">
        <v>3024</v>
      </c>
      <c r="D1507">
        <f t="shared" si="305"/>
        <v>-1.6080333107962183E-2</v>
      </c>
      <c r="E1507" t="str">
        <f t="shared" si="299"/>
        <v>2016-01</v>
      </c>
      <c r="G1507">
        <v>4312.8900000000003</v>
      </c>
      <c r="H1507">
        <f t="shared" si="306"/>
        <v>-1.8162829860620011E-2</v>
      </c>
      <c r="I1507" t="str">
        <f t="shared" si="300"/>
        <v>2016-01</v>
      </c>
      <c r="K1507">
        <v>9794.2000000000007</v>
      </c>
      <c r="L1507">
        <f t="shared" si="307"/>
        <v>-1.6883078756547047E-2</v>
      </c>
      <c r="M1507" t="str">
        <f t="shared" si="301"/>
        <v>2016-01</v>
      </c>
      <c r="O1507">
        <v>7854.2829599999995</v>
      </c>
      <c r="P1507">
        <f t="shared" si="308"/>
        <v>-1.1326214882324829E-2</v>
      </c>
      <c r="Q1507" t="str">
        <f t="shared" si="302"/>
        <v>2016-01</v>
      </c>
      <c r="S1507">
        <v>8787.7000000000007</v>
      </c>
      <c r="T1507">
        <f t="shared" si="309"/>
        <v>-1.6567170857084354E-2</v>
      </c>
      <c r="U1507" t="str">
        <f t="shared" si="303"/>
        <v>2016-01</v>
      </c>
      <c r="W1507">
        <v>19803.41</v>
      </c>
      <c r="X1507">
        <f t="shared" si="310"/>
        <v>-1.6847287359130443E-2</v>
      </c>
      <c r="Y1507">
        <f t="shared" si="311"/>
        <v>-1.6706165432050907E-2</v>
      </c>
      <c r="Z1507" t="str">
        <f t="shared" si="304"/>
        <v>2016-01</v>
      </c>
    </row>
    <row r="1508" spans="1:26" x14ac:dyDescent="0.35">
      <c r="A1508" s="1">
        <v>42384</v>
      </c>
      <c r="C1508">
        <v>2952.48</v>
      </c>
      <c r="D1508">
        <f t="shared" si="305"/>
        <v>-2.3934963171255836E-2</v>
      </c>
      <c r="E1508" t="str">
        <f t="shared" si="299"/>
        <v>2016-01</v>
      </c>
      <c r="G1508">
        <v>4210.16</v>
      </c>
      <c r="H1508">
        <f t="shared" si="306"/>
        <v>-2.4107561328386932E-2</v>
      </c>
      <c r="I1508" t="str">
        <f t="shared" si="300"/>
        <v>2016-01</v>
      </c>
      <c r="K1508">
        <v>9545.27</v>
      </c>
      <c r="L1508">
        <f t="shared" si="307"/>
        <v>-2.5744629898412169E-2</v>
      </c>
      <c r="M1508" t="str">
        <f t="shared" si="301"/>
        <v>2016-01</v>
      </c>
      <c r="O1508">
        <v>7566.9012599999996</v>
      </c>
      <c r="P1508">
        <f t="shared" si="308"/>
        <v>-3.7275344145875772E-2</v>
      </c>
      <c r="Q1508" t="str">
        <f t="shared" si="302"/>
        <v>2016-01</v>
      </c>
      <c r="S1508">
        <v>8543.6</v>
      </c>
      <c r="T1508">
        <f t="shared" si="309"/>
        <v>-2.817055183698185E-2</v>
      </c>
      <c r="U1508" t="str">
        <f t="shared" si="303"/>
        <v>2016-01</v>
      </c>
      <c r="W1508">
        <v>19195.939999999999</v>
      </c>
      <c r="X1508">
        <f t="shared" si="310"/>
        <v>-3.1155346754230505E-2</v>
      </c>
      <c r="Y1508">
        <f t="shared" si="311"/>
        <v>-3.0675020110173003E-2</v>
      </c>
      <c r="Z1508" t="str">
        <f t="shared" si="304"/>
        <v>2016-01</v>
      </c>
    </row>
    <row r="1509" spans="1:26" x14ac:dyDescent="0.35">
      <c r="A1509" s="1">
        <v>42387</v>
      </c>
      <c r="C1509">
        <v>2935.39</v>
      </c>
      <c r="D1509">
        <f t="shared" si="305"/>
        <v>-5.8051716476128518E-3</v>
      </c>
      <c r="E1509" t="str">
        <f t="shared" si="299"/>
        <v>2016-01</v>
      </c>
      <c r="G1509">
        <v>4189.57</v>
      </c>
      <c r="H1509">
        <f t="shared" si="306"/>
        <v>-4.9025483533409551E-3</v>
      </c>
      <c r="I1509" t="str">
        <f t="shared" si="300"/>
        <v>2016-01</v>
      </c>
      <c r="K1509">
        <v>9521.85</v>
      </c>
      <c r="L1509">
        <f t="shared" si="307"/>
        <v>-2.4565861837496034E-3</v>
      </c>
      <c r="M1509" t="str">
        <f t="shared" si="301"/>
        <v>2016-01</v>
      </c>
      <c r="O1509">
        <v>7568.23531</v>
      </c>
      <c r="P1509">
        <f t="shared" si="308"/>
        <v>1.7628516231559023E-4</v>
      </c>
      <c r="Q1509" t="str">
        <f t="shared" si="302"/>
        <v>2016-01</v>
      </c>
      <c r="S1509">
        <v>8469.2999999999993</v>
      </c>
      <c r="T1509">
        <f t="shared" si="309"/>
        <v>-8.7346040219044262E-3</v>
      </c>
      <c r="U1509" t="str">
        <f t="shared" si="303"/>
        <v>2016-01</v>
      </c>
      <c r="W1509">
        <v>18686.86</v>
      </c>
      <c r="X1509">
        <f t="shared" si="310"/>
        <v>-2.6878195267129118E-2</v>
      </c>
      <c r="Y1509">
        <f t="shared" si="311"/>
        <v>-2.6520191248774385E-2</v>
      </c>
      <c r="Z1509" t="str">
        <f t="shared" si="304"/>
        <v>2016-01</v>
      </c>
    </row>
    <row r="1510" spans="1:26" x14ac:dyDescent="0.35">
      <c r="A1510" s="1">
        <v>42388</v>
      </c>
      <c r="C1510">
        <v>2980.49</v>
      </c>
      <c r="D1510">
        <f t="shared" si="305"/>
        <v>1.5247393032042957E-2</v>
      </c>
      <c r="E1510" t="str">
        <f t="shared" si="299"/>
        <v>2016-01</v>
      </c>
      <c r="G1510">
        <v>4272.26</v>
      </c>
      <c r="H1510">
        <f t="shared" si="306"/>
        <v>1.9544857859752855E-2</v>
      </c>
      <c r="I1510" t="str">
        <f t="shared" si="300"/>
        <v>2016-01</v>
      </c>
      <c r="K1510">
        <v>9664.2099999999991</v>
      </c>
      <c r="L1510">
        <f t="shared" si="307"/>
        <v>1.484021343363468E-2</v>
      </c>
      <c r="M1510" t="str">
        <f t="shared" si="301"/>
        <v>2016-01</v>
      </c>
      <c r="O1510">
        <v>7628.3316299999997</v>
      </c>
      <c r="P1510">
        <f t="shared" si="308"/>
        <v>7.9092381219132944E-3</v>
      </c>
      <c r="Q1510" t="str">
        <f t="shared" si="302"/>
        <v>2016-01</v>
      </c>
      <c r="S1510">
        <v>8554.9</v>
      </c>
      <c r="T1510">
        <f t="shared" si="309"/>
        <v>1.0056357584511934E-2</v>
      </c>
      <c r="U1510" t="str">
        <f t="shared" si="303"/>
        <v>2016-01</v>
      </c>
      <c r="W1510">
        <v>18880.52</v>
      </c>
      <c r="X1510">
        <f t="shared" si="310"/>
        <v>1.0310099638144171E-2</v>
      </c>
      <c r="Y1510">
        <f t="shared" si="311"/>
        <v>1.0363431844622363E-2</v>
      </c>
      <c r="Z1510" t="str">
        <f t="shared" si="304"/>
        <v>2016-01</v>
      </c>
    </row>
    <row r="1511" spans="1:26" x14ac:dyDescent="0.35">
      <c r="A1511" s="1">
        <v>42389</v>
      </c>
      <c r="C1511">
        <v>2882.59</v>
      </c>
      <c r="D1511">
        <f t="shared" si="305"/>
        <v>-3.3398520960017268E-2</v>
      </c>
      <c r="E1511" t="str">
        <f t="shared" si="299"/>
        <v>2016-01</v>
      </c>
      <c r="G1511">
        <v>4124.95</v>
      </c>
      <c r="H1511">
        <f t="shared" si="306"/>
        <v>-3.5089062728072842E-2</v>
      </c>
      <c r="I1511" t="str">
        <f t="shared" si="300"/>
        <v>2016-01</v>
      </c>
      <c r="K1511">
        <v>9391.64</v>
      </c>
      <c r="L1511">
        <f t="shared" si="307"/>
        <v>-2.860943923174258E-2</v>
      </c>
      <c r="M1511" t="str">
        <f t="shared" si="301"/>
        <v>2016-01</v>
      </c>
      <c r="O1511">
        <v>7366.8758699999998</v>
      </c>
      <c r="P1511">
        <f t="shared" si="308"/>
        <v>-3.4875444052208333E-2</v>
      </c>
      <c r="Q1511" t="str">
        <f t="shared" si="302"/>
        <v>2016-01</v>
      </c>
      <c r="S1511">
        <v>8281.4</v>
      </c>
      <c r="T1511">
        <f t="shared" si="309"/>
        <v>-3.2492181975119508E-2</v>
      </c>
      <c r="U1511" t="str">
        <f t="shared" si="303"/>
        <v>2016-01</v>
      </c>
      <c r="W1511">
        <v>17967.91</v>
      </c>
      <c r="X1511">
        <f t="shared" si="310"/>
        <v>-4.9543313632128584E-2</v>
      </c>
      <c r="Y1511">
        <f t="shared" si="311"/>
        <v>-4.8336062777931996E-2</v>
      </c>
      <c r="Z1511" t="str">
        <f t="shared" si="304"/>
        <v>2016-01</v>
      </c>
    </row>
    <row r="1512" spans="1:26" x14ac:dyDescent="0.35">
      <c r="A1512" s="1">
        <v>42390</v>
      </c>
      <c r="C1512">
        <v>2943.92</v>
      </c>
      <c r="D1512">
        <f t="shared" si="305"/>
        <v>2.1052831013925227E-2</v>
      </c>
      <c r="E1512" t="str">
        <f t="shared" si="299"/>
        <v>2016-01</v>
      </c>
      <c r="G1512">
        <v>4206.3999999999996</v>
      </c>
      <c r="H1512">
        <f t="shared" si="306"/>
        <v>1.9553276492418961E-2</v>
      </c>
      <c r="I1512" t="str">
        <f t="shared" si="300"/>
        <v>2016-01</v>
      </c>
      <c r="K1512">
        <v>9574.16</v>
      </c>
      <c r="L1512">
        <f t="shared" si="307"/>
        <v>1.9247870901742271E-2</v>
      </c>
      <c r="M1512" t="str">
        <f t="shared" si="301"/>
        <v>2016-01</v>
      </c>
      <c r="O1512">
        <v>7564.3890199999996</v>
      </c>
      <c r="P1512">
        <f t="shared" si="308"/>
        <v>2.6457861838886831E-2</v>
      </c>
      <c r="Q1512" t="str">
        <f t="shared" si="302"/>
        <v>2016-01</v>
      </c>
      <c r="S1512">
        <v>8444.2000000000007</v>
      </c>
      <c r="T1512">
        <f t="shared" si="309"/>
        <v>1.9467778932706882E-2</v>
      </c>
      <c r="U1512" t="str">
        <f t="shared" si="303"/>
        <v>2016-01</v>
      </c>
      <c r="W1512">
        <v>18723.22</v>
      </c>
      <c r="X1512">
        <f t="shared" si="310"/>
        <v>4.1177075725857451E-2</v>
      </c>
      <c r="Y1512">
        <f t="shared" si="311"/>
        <v>4.203660859832898E-2</v>
      </c>
      <c r="Z1512" t="str">
        <f t="shared" si="304"/>
        <v>2016-01</v>
      </c>
    </row>
    <row r="1513" spans="1:26" x14ac:dyDescent="0.35">
      <c r="A1513" s="1">
        <v>42391</v>
      </c>
      <c r="C1513">
        <v>3023.21</v>
      </c>
      <c r="D1513">
        <f t="shared" si="305"/>
        <v>2.6577154216676686E-2</v>
      </c>
      <c r="E1513" t="str">
        <f t="shared" si="299"/>
        <v>2016-01</v>
      </c>
      <c r="G1513">
        <v>4336.6899999999996</v>
      </c>
      <c r="H1513">
        <f t="shared" si="306"/>
        <v>3.0504209324906332E-2</v>
      </c>
      <c r="I1513" t="str">
        <f t="shared" si="300"/>
        <v>2016-01</v>
      </c>
      <c r="K1513">
        <v>9764.8799999999992</v>
      </c>
      <c r="L1513">
        <f t="shared" si="307"/>
        <v>1.9724472707838722E-2</v>
      </c>
      <c r="M1513" t="str">
        <f t="shared" si="301"/>
        <v>2016-01</v>
      </c>
      <c r="O1513">
        <v>7799.9299899999996</v>
      </c>
      <c r="P1513">
        <f t="shared" si="308"/>
        <v>3.0663178080454767E-2</v>
      </c>
      <c r="Q1513" t="str">
        <f t="shared" si="302"/>
        <v>2016-01</v>
      </c>
      <c r="S1513">
        <v>8722.9</v>
      </c>
      <c r="T1513">
        <f t="shared" si="309"/>
        <v>3.247193627677205E-2</v>
      </c>
      <c r="U1513" t="str">
        <f t="shared" si="303"/>
        <v>2016-01</v>
      </c>
      <c r="W1513">
        <v>19028.419999999998</v>
      </c>
      <c r="X1513">
        <f t="shared" si="310"/>
        <v>1.616918625667196E-2</v>
      </c>
      <c r="Y1513">
        <f t="shared" si="311"/>
        <v>1.6300614958324321E-2</v>
      </c>
      <c r="Z1513" t="str">
        <f t="shared" si="304"/>
        <v>2016-01</v>
      </c>
    </row>
    <row r="1514" spans="1:26" x14ac:dyDescent="0.35">
      <c r="A1514" s="1">
        <v>42394</v>
      </c>
      <c r="C1514">
        <v>3001.78</v>
      </c>
      <c r="D1514">
        <f t="shared" si="305"/>
        <v>-7.1137347522290187E-3</v>
      </c>
      <c r="E1514" t="str">
        <f t="shared" si="299"/>
        <v>2016-01</v>
      </c>
      <c r="G1514">
        <v>4311.33</v>
      </c>
      <c r="H1514">
        <f t="shared" si="306"/>
        <v>-5.8649431184163298E-3</v>
      </c>
      <c r="I1514" t="str">
        <f t="shared" si="300"/>
        <v>2016-01</v>
      </c>
      <c r="K1514">
        <v>9736.15</v>
      </c>
      <c r="L1514">
        <f t="shared" si="307"/>
        <v>-2.9465131622286073E-3</v>
      </c>
      <c r="M1514" t="str">
        <f t="shared" si="301"/>
        <v>2016-01</v>
      </c>
      <c r="O1514">
        <v>7728.9251199999999</v>
      </c>
      <c r="P1514">
        <f t="shared" si="308"/>
        <v>-9.1449581237822812E-3</v>
      </c>
      <c r="Q1514" t="str">
        <f t="shared" si="302"/>
        <v>2016-01</v>
      </c>
      <c r="S1514">
        <v>8567.7000000000007</v>
      </c>
      <c r="T1514">
        <f t="shared" si="309"/>
        <v>-1.7952432912638792E-2</v>
      </c>
      <c r="U1514" t="str">
        <f t="shared" si="303"/>
        <v>2016-01</v>
      </c>
      <c r="W1514">
        <v>18641.47</v>
      </c>
      <c r="X1514">
        <f t="shared" si="310"/>
        <v>-2.0544982252459421E-2</v>
      </c>
      <c r="Y1514">
        <f t="shared" si="311"/>
        <v>-2.03353720382458E-2</v>
      </c>
      <c r="Z1514" t="str">
        <f t="shared" si="304"/>
        <v>2016-01</v>
      </c>
    </row>
    <row r="1515" spans="1:26" x14ac:dyDescent="0.35">
      <c r="A1515" s="1">
        <v>42395</v>
      </c>
      <c r="C1515">
        <v>3032.84</v>
      </c>
      <c r="D1515">
        <f t="shared" si="305"/>
        <v>1.0294028216350767E-2</v>
      </c>
      <c r="E1515" t="str">
        <f t="shared" si="299"/>
        <v>2016-01</v>
      </c>
      <c r="G1515">
        <v>4356.8100000000004</v>
      </c>
      <c r="H1515">
        <f t="shared" si="306"/>
        <v>1.0493696997332524E-2</v>
      </c>
      <c r="I1515" t="str">
        <f t="shared" si="300"/>
        <v>2016-01</v>
      </c>
      <c r="K1515">
        <v>9822.75</v>
      </c>
      <c r="L1515">
        <f t="shared" si="307"/>
        <v>8.8553615910614003E-3</v>
      </c>
      <c r="M1515" t="str">
        <f t="shared" si="301"/>
        <v>2016-01</v>
      </c>
      <c r="O1515">
        <v>7823.2536399999999</v>
      </c>
      <c r="P1515">
        <f t="shared" si="308"/>
        <v>1.2130734631263103E-2</v>
      </c>
      <c r="Q1515" t="str">
        <f t="shared" si="302"/>
        <v>2016-01</v>
      </c>
      <c r="S1515">
        <v>8692.5</v>
      </c>
      <c r="T1515">
        <f t="shared" si="309"/>
        <v>1.4461266373038498E-2</v>
      </c>
      <c r="U1515" t="str">
        <f t="shared" si="303"/>
        <v>2016-01</v>
      </c>
      <c r="W1515">
        <v>18923.830000000002</v>
      </c>
      <c r="X1515">
        <f t="shared" si="310"/>
        <v>1.5033305618030889E-2</v>
      </c>
      <c r="Y1515">
        <f t="shared" si="311"/>
        <v>1.514687414672773E-2</v>
      </c>
      <c r="Z1515" t="str">
        <f t="shared" si="304"/>
        <v>2016-01</v>
      </c>
    </row>
    <row r="1516" spans="1:26" x14ac:dyDescent="0.35">
      <c r="A1516" s="1">
        <v>42396</v>
      </c>
      <c r="C1516">
        <v>3043.47</v>
      </c>
      <c r="D1516">
        <f t="shared" si="305"/>
        <v>3.4988375656438606E-3</v>
      </c>
      <c r="E1516" t="str">
        <f t="shared" si="299"/>
        <v>2016-01</v>
      </c>
      <c r="G1516">
        <v>4380.3599999999997</v>
      </c>
      <c r="H1516">
        <f t="shared" si="306"/>
        <v>5.3907745943151033E-3</v>
      </c>
      <c r="I1516" t="str">
        <f t="shared" si="300"/>
        <v>2016-01</v>
      </c>
      <c r="K1516">
        <v>9880.82</v>
      </c>
      <c r="L1516">
        <f t="shared" si="307"/>
        <v>5.8943803717350892E-3</v>
      </c>
      <c r="M1516" t="str">
        <f t="shared" si="301"/>
        <v>2016-01</v>
      </c>
      <c r="O1516">
        <v>7862.0851300000004</v>
      </c>
      <c r="P1516">
        <f t="shared" si="308"/>
        <v>4.9513204529053204E-3</v>
      </c>
      <c r="Q1516" t="str">
        <f t="shared" si="302"/>
        <v>2016-01</v>
      </c>
      <c r="S1516">
        <v>8741</v>
      </c>
      <c r="T1516">
        <f t="shared" si="309"/>
        <v>5.5640146984715011E-3</v>
      </c>
      <c r="U1516" t="str">
        <f t="shared" si="303"/>
        <v>2016-01</v>
      </c>
      <c r="W1516">
        <v>18848.03</v>
      </c>
      <c r="X1516">
        <f t="shared" si="310"/>
        <v>-4.0135752781996648E-3</v>
      </c>
      <c r="Y1516">
        <f t="shared" si="311"/>
        <v>-4.0055316497771805E-3</v>
      </c>
      <c r="Z1516" t="str">
        <f t="shared" si="304"/>
        <v>2016-01</v>
      </c>
    </row>
    <row r="1517" spans="1:26" x14ac:dyDescent="0.35">
      <c r="A1517" s="1">
        <v>42397</v>
      </c>
      <c r="C1517">
        <v>2979.42</v>
      </c>
      <c r="D1517">
        <f t="shared" si="305"/>
        <v>-2.1269661129027562E-2</v>
      </c>
      <c r="E1517" t="str">
        <f t="shared" si="299"/>
        <v>2016-01</v>
      </c>
      <c r="G1517">
        <v>4322.16</v>
      </c>
      <c r="H1517">
        <f t="shared" si="306"/>
        <v>-1.3375635493947326E-2</v>
      </c>
      <c r="I1517" t="str">
        <f t="shared" si="300"/>
        <v>2016-01</v>
      </c>
      <c r="K1517">
        <v>9639.59</v>
      </c>
      <c r="L1517">
        <f t="shared" si="307"/>
        <v>-2.4716927669571457E-2</v>
      </c>
      <c r="M1517" t="str">
        <f t="shared" si="301"/>
        <v>2016-01</v>
      </c>
      <c r="O1517">
        <v>7788.0016999999998</v>
      </c>
      <c r="P1517">
        <f t="shared" si="308"/>
        <v>-9.4675491801554726E-3</v>
      </c>
      <c r="Q1517" t="str">
        <f t="shared" si="302"/>
        <v>2016-01</v>
      </c>
      <c r="S1517">
        <v>8590.6</v>
      </c>
      <c r="T1517">
        <f t="shared" si="309"/>
        <v>-1.7356017380257046E-2</v>
      </c>
      <c r="U1517" t="str">
        <f t="shared" si="303"/>
        <v>2016-01</v>
      </c>
      <c r="W1517">
        <v>18189.95</v>
      </c>
      <c r="X1517">
        <f t="shared" si="310"/>
        <v>-3.5539155385527925E-2</v>
      </c>
      <c r="Y1517">
        <f t="shared" si="311"/>
        <v>-3.4915054782913554E-2</v>
      </c>
      <c r="Z1517" t="str">
        <f t="shared" si="304"/>
        <v>2016-01</v>
      </c>
    </row>
    <row r="1518" spans="1:26" x14ac:dyDescent="0.35">
      <c r="A1518" s="1">
        <v>42398</v>
      </c>
      <c r="C1518">
        <v>3045.09</v>
      </c>
      <c r="D1518">
        <f t="shared" si="305"/>
        <v>2.1801806673533781E-2</v>
      </c>
      <c r="E1518" t="str">
        <f t="shared" si="299"/>
        <v>2016-01</v>
      </c>
      <c r="G1518">
        <v>4417.0200000000004</v>
      </c>
      <c r="H1518">
        <f t="shared" si="306"/>
        <v>2.1709983266622299E-2</v>
      </c>
      <c r="I1518" t="str">
        <f t="shared" si="300"/>
        <v>2016-01</v>
      </c>
      <c r="K1518">
        <v>9798.11</v>
      </c>
      <c r="L1518">
        <f t="shared" si="307"/>
        <v>1.6310933336690366E-2</v>
      </c>
      <c r="M1518" t="str">
        <f t="shared" si="301"/>
        <v>2016-01</v>
      </c>
      <c r="O1518">
        <v>7980.2402599999996</v>
      </c>
      <c r="P1518">
        <f t="shared" si="308"/>
        <v>2.4384212983441299E-2</v>
      </c>
      <c r="Q1518" t="str">
        <f t="shared" si="302"/>
        <v>2016-01</v>
      </c>
      <c r="S1518">
        <v>8815.7999999999993</v>
      </c>
      <c r="T1518">
        <f t="shared" si="309"/>
        <v>2.5876983909724694E-2</v>
      </c>
      <c r="U1518" t="str">
        <f t="shared" si="303"/>
        <v>2016-01</v>
      </c>
      <c r="W1518">
        <v>18657.29</v>
      </c>
      <c r="X1518">
        <f t="shared" si="310"/>
        <v>2.5367710669597188E-2</v>
      </c>
      <c r="Y1518">
        <f t="shared" si="311"/>
        <v>2.5692209159453441E-2</v>
      </c>
      <c r="Z1518" t="str">
        <f t="shared" si="304"/>
        <v>2016-01</v>
      </c>
    </row>
    <row r="1519" spans="1:26" x14ac:dyDescent="0.35">
      <c r="A1519" s="1">
        <v>42401</v>
      </c>
      <c r="C1519">
        <v>3021.01</v>
      </c>
      <c r="D1519">
        <f t="shared" si="305"/>
        <v>-7.9392448140631379E-3</v>
      </c>
      <c r="E1519" t="str">
        <f t="shared" si="299"/>
        <v>2016-02</v>
      </c>
      <c r="G1519">
        <v>4392.33</v>
      </c>
      <c r="H1519">
        <f t="shared" si="306"/>
        <v>-5.6054225676547883E-3</v>
      </c>
      <c r="I1519" t="str">
        <f t="shared" si="300"/>
        <v>2016-02</v>
      </c>
      <c r="K1519">
        <v>9757.8799999999992</v>
      </c>
      <c r="L1519">
        <f t="shared" si="307"/>
        <v>-4.1143462182773507E-3</v>
      </c>
      <c r="M1519" t="str">
        <f t="shared" si="301"/>
        <v>2016-02</v>
      </c>
      <c r="O1519">
        <v>8005.38598</v>
      </c>
      <c r="P1519">
        <f t="shared" si="308"/>
        <v>3.1460438724945773E-3</v>
      </c>
      <c r="Q1519" t="str">
        <f t="shared" si="302"/>
        <v>2016-02</v>
      </c>
      <c r="S1519">
        <v>8788.5</v>
      </c>
      <c r="T1519">
        <f t="shared" si="309"/>
        <v>-3.1015174570025355E-3</v>
      </c>
      <c r="U1519" t="str">
        <f t="shared" si="303"/>
        <v>2016-02</v>
      </c>
      <c r="W1519">
        <v>18485.95</v>
      </c>
      <c r="X1519">
        <f t="shared" si="310"/>
        <v>-9.2259703434058333E-3</v>
      </c>
      <c r="Y1519">
        <f t="shared" si="311"/>
        <v>-9.1835416611951749E-3</v>
      </c>
      <c r="Z1519" t="str">
        <f t="shared" si="304"/>
        <v>2016-02</v>
      </c>
    </row>
    <row r="1520" spans="1:26" x14ac:dyDescent="0.35">
      <c r="A1520" s="1">
        <v>42402</v>
      </c>
      <c r="C1520">
        <v>2951.85</v>
      </c>
      <c r="D1520">
        <f t="shared" si="305"/>
        <v>-2.3159120122183061E-2</v>
      </c>
      <c r="E1520" t="str">
        <f t="shared" si="299"/>
        <v>2016-02</v>
      </c>
      <c r="G1520">
        <v>4283.99</v>
      </c>
      <c r="H1520">
        <f t="shared" si="306"/>
        <v>-2.4975019680899768E-2</v>
      </c>
      <c r="I1520" t="str">
        <f t="shared" si="300"/>
        <v>2016-02</v>
      </c>
      <c r="K1520">
        <v>9581.0400000000009</v>
      </c>
      <c r="L1520">
        <f t="shared" si="307"/>
        <v>-1.828901812649221E-2</v>
      </c>
      <c r="M1520" t="str">
        <f t="shared" si="301"/>
        <v>2016-02</v>
      </c>
      <c r="O1520">
        <v>7821.82989</v>
      </c>
      <c r="P1520">
        <f t="shared" si="308"/>
        <v>-2.3196034188442544E-2</v>
      </c>
      <c r="Q1520" t="str">
        <f t="shared" si="302"/>
        <v>2016-02</v>
      </c>
      <c r="S1520">
        <v>8528.7000000000007</v>
      </c>
      <c r="T1520">
        <f t="shared" si="309"/>
        <v>-3.0007102064320654E-2</v>
      </c>
      <c r="U1520" t="str">
        <f t="shared" si="303"/>
        <v>2016-02</v>
      </c>
      <c r="W1520">
        <v>17922.45</v>
      </c>
      <c r="X1520">
        <f t="shared" si="310"/>
        <v>-3.0956867137759945E-2</v>
      </c>
      <c r="Y1520">
        <f t="shared" si="311"/>
        <v>-3.0482609765795102E-2</v>
      </c>
      <c r="Z1520" t="str">
        <f t="shared" si="304"/>
        <v>2016-02</v>
      </c>
    </row>
    <row r="1521" spans="1:26" x14ac:dyDescent="0.35">
      <c r="A1521" s="1">
        <v>42403</v>
      </c>
      <c r="C1521">
        <v>2896.63</v>
      </c>
      <c r="D1521">
        <f t="shared" si="305"/>
        <v>-1.8884100137844438E-2</v>
      </c>
      <c r="E1521" t="str">
        <f t="shared" si="299"/>
        <v>2016-02</v>
      </c>
      <c r="G1521">
        <v>4226.96</v>
      </c>
      <c r="H1521">
        <f t="shared" si="306"/>
        <v>-1.340175975196513E-2</v>
      </c>
      <c r="I1521" t="str">
        <f t="shared" si="300"/>
        <v>2016-02</v>
      </c>
      <c r="K1521">
        <v>9434.82</v>
      </c>
      <c r="L1521">
        <f t="shared" si="307"/>
        <v>-1.5379044852472209E-2</v>
      </c>
      <c r="M1521" t="str">
        <f t="shared" si="301"/>
        <v>2016-02</v>
      </c>
      <c r="O1521">
        <v>7690.1919399999997</v>
      </c>
      <c r="P1521">
        <f t="shared" si="308"/>
        <v>-1.6972785567992019E-2</v>
      </c>
      <c r="Q1521" t="str">
        <f t="shared" si="302"/>
        <v>2016-02</v>
      </c>
      <c r="S1521">
        <v>8314.5</v>
      </c>
      <c r="T1521">
        <f t="shared" si="309"/>
        <v>-2.5435968060663231E-2</v>
      </c>
      <c r="U1521" t="str">
        <f t="shared" si="303"/>
        <v>2016-02</v>
      </c>
      <c r="W1521">
        <v>17412.04</v>
      </c>
      <c r="X1521">
        <f t="shared" si="310"/>
        <v>-2.8892195997962319E-2</v>
      </c>
      <c r="Y1521">
        <f t="shared" si="311"/>
        <v>-2.8478807305920777E-2</v>
      </c>
      <c r="Z1521" t="str">
        <f t="shared" si="304"/>
        <v>2016-02</v>
      </c>
    </row>
    <row r="1522" spans="1:26" x14ac:dyDescent="0.35">
      <c r="A1522" s="1">
        <v>42404</v>
      </c>
      <c r="C1522">
        <v>2905.3</v>
      </c>
      <c r="D1522">
        <f t="shared" si="305"/>
        <v>2.9886628943974038E-3</v>
      </c>
      <c r="E1522" t="str">
        <f t="shared" si="299"/>
        <v>2016-02</v>
      </c>
      <c r="G1522">
        <v>4228.53</v>
      </c>
      <c r="H1522">
        <f t="shared" si="306"/>
        <v>3.7135636563760026E-4</v>
      </c>
      <c r="I1522" t="str">
        <f t="shared" si="300"/>
        <v>2016-02</v>
      </c>
      <c r="K1522">
        <v>9393.36</v>
      </c>
      <c r="L1522">
        <f t="shared" si="307"/>
        <v>-4.4040440458705653E-3</v>
      </c>
      <c r="M1522" t="str">
        <f t="shared" si="301"/>
        <v>2016-02</v>
      </c>
      <c r="O1522">
        <v>7684.66662</v>
      </c>
      <c r="P1522">
        <f t="shared" si="308"/>
        <v>-7.1874745595889612E-4</v>
      </c>
      <c r="Q1522" t="str">
        <f t="shared" si="302"/>
        <v>2016-02</v>
      </c>
      <c r="S1522">
        <v>8468.1</v>
      </c>
      <c r="T1522">
        <f t="shared" si="309"/>
        <v>1.8305183820970218E-2</v>
      </c>
      <c r="U1522" t="str">
        <f t="shared" si="303"/>
        <v>2016-02</v>
      </c>
      <c r="W1522">
        <v>17626.04</v>
      </c>
      <c r="X1522">
        <f t="shared" si="310"/>
        <v>1.2215433096015495E-2</v>
      </c>
      <c r="Y1522">
        <f t="shared" si="311"/>
        <v>1.2290346220201653E-2</v>
      </c>
      <c r="Z1522" t="str">
        <f t="shared" si="304"/>
        <v>2016-02</v>
      </c>
    </row>
    <row r="1523" spans="1:26" x14ac:dyDescent="0.35">
      <c r="A1523" s="1">
        <v>42405</v>
      </c>
      <c r="C1523">
        <v>2879.39</v>
      </c>
      <c r="D1523">
        <f t="shared" si="305"/>
        <v>-8.9581890372898813E-3</v>
      </c>
      <c r="E1523" t="str">
        <f t="shared" si="299"/>
        <v>2016-02</v>
      </c>
      <c r="G1523">
        <v>4200.67</v>
      </c>
      <c r="H1523">
        <f t="shared" si="306"/>
        <v>-6.6103785531335824E-3</v>
      </c>
      <c r="I1523" t="str">
        <f t="shared" si="300"/>
        <v>2016-02</v>
      </c>
      <c r="K1523">
        <v>9286.23</v>
      </c>
      <c r="L1523">
        <f t="shared" si="307"/>
        <v>-1.1470398931567764E-2</v>
      </c>
      <c r="M1523" t="str">
        <f t="shared" si="301"/>
        <v>2016-02</v>
      </c>
      <c r="O1523">
        <v>7597.3854300000003</v>
      </c>
      <c r="P1523">
        <f t="shared" si="308"/>
        <v>-1.1422829703418243E-2</v>
      </c>
      <c r="Q1523" t="str">
        <f t="shared" si="302"/>
        <v>2016-02</v>
      </c>
      <c r="S1523">
        <v>8499.5</v>
      </c>
      <c r="T1523">
        <f t="shared" si="309"/>
        <v>3.7011758698851163E-3</v>
      </c>
      <c r="U1523" t="str">
        <f t="shared" si="303"/>
        <v>2016-02</v>
      </c>
      <c r="W1523">
        <v>17250.259999999998</v>
      </c>
      <c r="X1523">
        <f t="shared" si="310"/>
        <v>-2.1550138222132632E-2</v>
      </c>
      <c r="Y1523">
        <f t="shared" si="311"/>
        <v>-2.1319593056636797E-2</v>
      </c>
      <c r="Z1523" t="str">
        <f t="shared" si="304"/>
        <v>2016-02</v>
      </c>
    </row>
    <row r="1524" spans="1:26" x14ac:dyDescent="0.35">
      <c r="A1524" s="1">
        <v>42408</v>
      </c>
      <c r="C1524">
        <v>2785.17</v>
      </c>
      <c r="D1524">
        <f t="shared" si="305"/>
        <v>-3.3269553349391814E-2</v>
      </c>
      <c r="E1524" t="str">
        <f t="shared" si="299"/>
        <v>2016-02</v>
      </c>
      <c r="G1524">
        <v>4066.31</v>
      </c>
      <c r="H1524">
        <f t="shared" si="306"/>
        <v>-3.2508082069509364E-2</v>
      </c>
      <c r="I1524" t="str">
        <f t="shared" si="300"/>
        <v>2016-02</v>
      </c>
      <c r="K1524">
        <v>8979.36</v>
      </c>
      <c r="L1524">
        <f t="shared" si="307"/>
        <v>-3.360404747309189E-2</v>
      </c>
      <c r="M1524" t="str">
        <f t="shared" si="301"/>
        <v>2016-02</v>
      </c>
      <c r="O1524">
        <v>7345.46569</v>
      </c>
      <c r="P1524">
        <f t="shared" si="308"/>
        <v>-3.3720955804095502E-2</v>
      </c>
      <c r="Q1524" t="str">
        <f t="shared" si="302"/>
        <v>2016-02</v>
      </c>
      <c r="S1524">
        <v>8122.1</v>
      </c>
      <c r="T1524">
        <f t="shared" si="309"/>
        <v>-4.5418596810011258E-2</v>
      </c>
      <c r="U1524" t="str">
        <f t="shared" si="303"/>
        <v>2016-02</v>
      </c>
      <c r="W1524">
        <v>16441.2</v>
      </c>
      <c r="X1524">
        <f t="shared" si="310"/>
        <v>-4.8036836162622061E-2</v>
      </c>
      <c r="Y1524">
        <f t="shared" si="311"/>
        <v>-4.6901322067029586E-2</v>
      </c>
      <c r="Z1524" t="str">
        <f t="shared" si="304"/>
        <v>2016-02</v>
      </c>
    </row>
    <row r="1525" spans="1:26" x14ac:dyDescent="0.35">
      <c r="A1525" s="1">
        <v>42409</v>
      </c>
      <c r="C1525">
        <v>2736.5</v>
      </c>
      <c r="D1525">
        <f t="shared" si="305"/>
        <v>-1.7629181207106819E-2</v>
      </c>
      <c r="E1525" t="str">
        <f t="shared" si="299"/>
        <v>2016-02</v>
      </c>
      <c r="G1525">
        <v>3997.54</v>
      </c>
      <c r="H1525">
        <f t="shared" si="306"/>
        <v>-1.70567823769485E-2</v>
      </c>
      <c r="I1525" t="str">
        <f t="shared" si="300"/>
        <v>2016-02</v>
      </c>
      <c r="K1525">
        <v>8879.4</v>
      </c>
      <c r="L1525">
        <f t="shared" si="307"/>
        <v>-1.1194623132846951E-2</v>
      </c>
      <c r="M1525" t="str">
        <f t="shared" si="301"/>
        <v>2016-02</v>
      </c>
      <c r="O1525">
        <v>7212.1509999999998</v>
      </c>
      <c r="P1525">
        <f t="shared" si="308"/>
        <v>-1.8315967481932632E-2</v>
      </c>
      <c r="Q1525" t="str">
        <f t="shared" si="302"/>
        <v>2016-02</v>
      </c>
      <c r="S1525">
        <v>7927.6</v>
      </c>
      <c r="T1525">
        <f t="shared" si="309"/>
        <v>-2.4238399758620393E-2</v>
      </c>
      <c r="U1525" t="str">
        <f t="shared" si="303"/>
        <v>2016-02</v>
      </c>
      <c r="W1525">
        <v>15913.12</v>
      </c>
      <c r="X1525">
        <f t="shared" si="310"/>
        <v>-3.2646453461102266E-2</v>
      </c>
      <c r="Y1525">
        <f t="shared" si="311"/>
        <v>-3.2119310026032161E-2</v>
      </c>
      <c r="Z1525" t="str">
        <f t="shared" si="304"/>
        <v>2016-02</v>
      </c>
    </row>
    <row r="1526" spans="1:26" x14ac:dyDescent="0.35">
      <c r="A1526" s="1">
        <v>42410</v>
      </c>
      <c r="C1526">
        <v>2789.05</v>
      </c>
      <c r="D1526">
        <f t="shared" si="305"/>
        <v>1.9021304455425814E-2</v>
      </c>
      <c r="E1526" t="str">
        <f t="shared" si="299"/>
        <v>2016-02</v>
      </c>
      <c r="G1526">
        <v>4061.2</v>
      </c>
      <c r="H1526">
        <f t="shared" si="306"/>
        <v>1.5799324515111787E-2</v>
      </c>
      <c r="I1526" t="str">
        <f t="shared" si="300"/>
        <v>2016-02</v>
      </c>
      <c r="K1526">
        <v>9017.2900000000009</v>
      </c>
      <c r="L1526">
        <f t="shared" si="307"/>
        <v>1.5409858319654178E-2</v>
      </c>
      <c r="M1526" t="str">
        <f t="shared" si="301"/>
        <v>2016-02</v>
      </c>
      <c r="O1526">
        <v>7315.0393000000004</v>
      </c>
      <c r="P1526">
        <f t="shared" si="308"/>
        <v>1.4165164531304546E-2</v>
      </c>
      <c r="Q1526" t="str">
        <f t="shared" si="302"/>
        <v>2016-02</v>
      </c>
      <c r="S1526">
        <v>8143.7</v>
      </c>
      <c r="T1526">
        <f t="shared" si="309"/>
        <v>2.6894280526447777E-2</v>
      </c>
      <c r="U1526" t="str">
        <f t="shared" si="303"/>
        <v>2016-02</v>
      </c>
      <c r="W1526">
        <v>16714.14</v>
      </c>
      <c r="X1526">
        <f t="shared" si="310"/>
        <v>4.9111141551899197E-2</v>
      </c>
      <c r="Y1526">
        <f t="shared" si="311"/>
        <v>5.0337080346280212E-2</v>
      </c>
      <c r="Z1526" t="str">
        <f t="shared" si="304"/>
        <v>2016-02</v>
      </c>
    </row>
    <row r="1527" spans="1:26" x14ac:dyDescent="0.35">
      <c r="A1527" s="1">
        <v>42411</v>
      </c>
      <c r="C1527">
        <v>2680.35</v>
      </c>
      <c r="D1527">
        <f t="shared" si="305"/>
        <v>-3.9753653046618695E-2</v>
      </c>
      <c r="E1527" t="str">
        <f t="shared" si="299"/>
        <v>2016-02</v>
      </c>
      <c r="G1527">
        <v>3896.71</v>
      </c>
      <c r="H1527">
        <f t="shared" si="306"/>
        <v>-4.1345889074985695E-2</v>
      </c>
      <c r="I1527" t="str">
        <f t="shared" si="300"/>
        <v>2016-02</v>
      </c>
      <c r="K1527">
        <v>8752.8700000000008</v>
      </c>
      <c r="L1527">
        <f t="shared" si="307"/>
        <v>-2.9762198884091536E-2</v>
      </c>
      <c r="M1527" t="str">
        <f t="shared" si="301"/>
        <v>2016-02</v>
      </c>
      <c r="O1527">
        <v>7064.6459199999999</v>
      </c>
      <c r="P1527">
        <f t="shared" si="308"/>
        <v>-3.4829509579840344E-2</v>
      </c>
      <c r="Q1527" t="str">
        <f t="shared" si="302"/>
        <v>2016-02</v>
      </c>
      <c r="S1527">
        <v>7746.3</v>
      </c>
      <c r="T1527">
        <f t="shared" si="309"/>
        <v>-5.0029312184992153E-2</v>
      </c>
      <c r="U1527" t="str">
        <f t="shared" si="303"/>
        <v>2016-02</v>
      </c>
      <c r="W1527">
        <v>15773</v>
      </c>
      <c r="X1527">
        <f t="shared" si="310"/>
        <v>-5.7955450250386314E-2</v>
      </c>
      <c r="Y1527">
        <f t="shared" si="311"/>
        <v>-5.6308012257884607E-2</v>
      </c>
      <c r="Z1527" t="str">
        <f t="shared" si="304"/>
        <v>2016-02</v>
      </c>
    </row>
    <row r="1528" spans="1:26" x14ac:dyDescent="0.35">
      <c r="A1528" s="1">
        <v>42412</v>
      </c>
      <c r="C1528">
        <v>2756.16</v>
      </c>
      <c r="D1528">
        <f t="shared" si="305"/>
        <v>2.7891023608028875E-2</v>
      </c>
      <c r="E1528" t="str">
        <f t="shared" si="299"/>
        <v>2016-02</v>
      </c>
      <c r="G1528">
        <v>3995.06</v>
      </c>
      <c r="H1528">
        <f t="shared" si="306"/>
        <v>2.4925990508979434E-2</v>
      </c>
      <c r="I1528" t="str">
        <f t="shared" si="300"/>
        <v>2016-02</v>
      </c>
      <c r="K1528">
        <v>8967.51</v>
      </c>
      <c r="L1528">
        <f t="shared" si="307"/>
        <v>2.4226398972394432E-2</v>
      </c>
      <c r="M1528" t="str">
        <f t="shared" si="301"/>
        <v>2016-02</v>
      </c>
      <c r="O1528">
        <v>7345.8831899999996</v>
      </c>
      <c r="P1528">
        <f t="shared" si="308"/>
        <v>3.9037148700315452E-2</v>
      </c>
      <c r="Q1528" t="str">
        <f t="shared" si="302"/>
        <v>2016-02</v>
      </c>
      <c r="S1528">
        <v>7920.8</v>
      </c>
      <c r="T1528">
        <f t="shared" si="309"/>
        <v>2.2276900816656699E-2</v>
      </c>
      <c r="U1528" t="str">
        <f t="shared" si="303"/>
        <v>2016-02</v>
      </c>
      <c r="W1528">
        <v>16514.87</v>
      </c>
      <c r="X1528">
        <f t="shared" si="310"/>
        <v>4.5961569674584618E-2</v>
      </c>
      <c r="Y1528">
        <f t="shared" si="311"/>
        <v>4.7034172319786911E-2</v>
      </c>
      <c r="Z1528" t="str">
        <f t="shared" si="304"/>
        <v>2016-02</v>
      </c>
    </row>
    <row r="1529" spans="1:26" x14ac:dyDescent="0.35">
      <c r="A1529" s="1">
        <v>42415</v>
      </c>
      <c r="C1529">
        <v>2833.87</v>
      </c>
      <c r="D1529">
        <f t="shared" si="305"/>
        <v>2.7804862038051829E-2</v>
      </c>
      <c r="E1529" t="str">
        <f t="shared" si="299"/>
        <v>2016-02</v>
      </c>
      <c r="G1529">
        <v>4115.25</v>
      </c>
      <c r="H1529">
        <f t="shared" si="306"/>
        <v>2.9640987746133284E-2</v>
      </c>
      <c r="I1529" t="str">
        <f t="shared" si="300"/>
        <v>2016-02</v>
      </c>
      <c r="K1529">
        <v>9206.84</v>
      </c>
      <c r="L1529">
        <f t="shared" si="307"/>
        <v>2.6338640511136806E-2</v>
      </c>
      <c r="M1529" t="str">
        <f t="shared" si="301"/>
        <v>2016-02</v>
      </c>
      <c r="O1529">
        <v>7539.2996999999996</v>
      </c>
      <c r="P1529">
        <f t="shared" si="308"/>
        <v>2.5989253622007318E-2</v>
      </c>
      <c r="Q1529" t="str">
        <f t="shared" si="302"/>
        <v>2016-02</v>
      </c>
      <c r="S1529">
        <v>8179.2</v>
      </c>
      <c r="T1529">
        <f t="shared" si="309"/>
        <v>3.2102135494801398E-2</v>
      </c>
      <c r="U1529" t="str">
        <f t="shared" si="303"/>
        <v>2016-02</v>
      </c>
      <c r="W1529">
        <v>17041.82</v>
      </c>
      <c r="X1529">
        <f t="shared" si="310"/>
        <v>3.1409136029469029E-2</v>
      </c>
      <c r="Y1529">
        <f t="shared" si="311"/>
        <v>3.1907608113173204E-2</v>
      </c>
      <c r="Z1529" t="str">
        <f t="shared" si="304"/>
        <v>2016-02</v>
      </c>
    </row>
    <row r="1530" spans="1:26" x14ac:dyDescent="0.35">
      <c r="A1530" s="1">
        <v>42416</v>
      </c>
      <c r="C1530">
        <v>2821.26</v>
      </c>
      <c r="D1530">
        <f t="shared" si="305"/>
        <v>-4.4596749852620944E-3</v>
      </c>
      <c r="E1530" t="str">
        <f t="shared" si="299"/>
        <v>2016-02</v>
      </c>
      <c r="G1530">
        <v>4110.66</v>
      </c>
      <c r="H1530">
        <f t="shared" si="306"/>
        <v>-1.1159860675293576E-3</v>
      </c>
      <c r="I1530" t="str">
        <f t="shared" si="300"/>
        <v>2016-02</v>
      </c>
      <c r="K1530">
        <v>9135.11</v>
      </c>
      <c r="L1530">
        <f t="shared" si="307"/>
        <v>-7.8214547170949011E-3</v>
      </c>
      <c r="M1530" t="str">
        <f t="shared" si="301"/>
        <v>2016-02</v>
      </c>
      <c r="O1530">
        <v>7528.6538099999998</v>
      </c>
      <c r="P1530">
        <f t="shared" si="308"/>
        <v>-1.4130507854743437E-3</v>
      </c>
      <c r="Q1530" t="str">
        <f t="shared" si="302"/>
        <v>2016-02</v>
      </c>
      <c r="S1530">
        <v>8137.6</v>
      </c>
      <c r="T1530">
        <f t="shared" si="309"/>
        <v>-5.099050075305693E-3</v>
      </c>
      <c r="U1530" t="str">
        <f t="shared" si="303"/>
        <v>2016-02</v>
      </c>
      <c r="W1530">
        <v>16957.84</v>
      </c>
      <c r="X1530">
        <f t="shared" si="310"/>
        <v>-4.9400594469808266E-3</v>
      </c>
      <c r="Y1530">
        <f t="shared" si="311"/>
        <v>-4.9278774215429783E-3</v>
      </c>
      <c r="Z1530" t="str">
        <f t="shared" si="304"/>
        <v>2016-02</v>
      </c>
    </row>
    <row r="1531" spans="1:26" x14ac:dyDescent="0.35">
      <c r="A1531" s="1">
        <v>42417</v>
      </c>
      <c r="C1531">
        <v>2897.72</v>
      </c>
      <c r="D1531">
        <f t="shared" si="305"/>
        <v>2.6740627201687066E-2</v>
      </c>
      <c r="E1531" t="str">
        <f t="shared" si="299"/>
        <v>2016-02</v>
      </c>
      <c r="G1531">
        <v>4233.47</v>
      </c>
      <c r="H1531">
        <f t="shared" si="306"/>
        <v>2.9438388182375031E-2</v>
      </c>
      <c r="I1531" t="str">
        <f t="shared" si="300"/>
        <v>2016-02</v>
      </c>
      <c r="K1531">
        <v>9377.2099999999991</v>
      </c>
      <c r="L1531">
        <f t="shared" si="307"/>
        <v>2.6157046053352187E-2</v>
      </c>
      <c r="M1531" t="str">
        <f t="shared" si="301"/>
        <v>2016-02</v>
      </c>
      <c r="O1531">
        <v>7743.9156400000002</v>
      </c>
      <c r="P1531">
        <f t="shared" si="308"/>
        <v>2.8191207383020639E-2</v>
      </c>
      <c r="Q1531" t="str">
        <f t="shared" si="302"/>
        <v>2016-02</v>
      </c>
      <c r="S1531">
        <v>8364.9</v>
      </c>
      <c r="T1531">
        <f t="shared" si="309"/>
        <v>2.7549083549043181E-2</v>
      </c>
      <c r="U1531" t="str">
        <f t="shared" si="303"/>
        <v>2016-02</v>
      </c>
      <c r="W1531">
        <v>17377.89</v>
      </c>
      <c r="X1531">
        <f t="shared" si="310"/>
        <v>2.4468444792241469E-2</v>
      </c>
      <c r="Y1531">
        <f t="shared" si="311"/>
        <v>2.4770253758733381E-2</v>
      </c>
      <c r="Z1531" t="str">
        <f t="shared" si="304"/>
        <v>2016-02</v>
      </c>
    </row>
    <row r="1532" spans="1:26" x14ac:dyDescent="0.35">
      <c r="A1532" s="1">
        <v>42418</v>
      </c>
      <c r="C1532">
        <v>2895.15</v>
      </c>
      <c r="D1532">
        <f t="shared" si="305"/>
        <v>-8.872977189588831E-4</v>
      </c>
      <c r="E1532" t="str">
        <f t="shared" si="299"/>
        <v>2016-02</v>
      </c>
      <c r="G1532">
        <v>4239.76</v>
      </c>
      <c r="H1532">
        <f t="shared" si="306"/>
        <v>1.4846761283245401E-3</v>
      </c>
      <c r="I1532" t="str">
        <f t="shared" si="300"/>
        <v>2016-02</v>
      </c>
      <c r="K1532">
        <v>9463.64</v>
      </c>
      <c r="L1532">
        <f t="shared" si="307"/>
        <v>9.1748096593247605E-3</v>
      </c>
      <c r="M1532" t="str">
        <f t="shared" si="301"/>
        <v>2016-02</v>
      </c>
      <c r="O1532">
        <v>7704.1647400000002</v>
      </c>
      <c r="P1532">
        <f t="shared" si="308"/>
        <v>-5.1463983559216324E-3</v>
      </c>
      <c r="Q1532" t="str">
        <f t="shared" si="302"/>
        <v>2016-02</v>
      </c>
      <c r="S1532">
        <v>8295.4</v>
      </c>
      <c r="T1532">
        <f t="shared" si="309"/>
        <v>-8.3432354945598176E-3</v>
      </c>
      <c r="U1532" t="str">
        <f t="shared" si="303"/>
        <v>2016-02</v>
      </c>
      <c r="W1532">
        <v>17112.36</v>
      </c>
      <c r="X1532">
        <f t="shared" si="310"/>
        <v>-1.5397699127676853E-2</v>
      </c>
      <c r="Y1532">
        <f t="shared" si="311"/>
        <v>-1.5279760661392082E-2</v>
      </c>
      <c r="Z1532" t="str">
        <f t="shared" si="304"/>
        <v>2016-02</v>
      </c>
    </row>
    <row r="1533" spans="1:26" x14ac:dyDescent="0.35">
      <c r="A1533" s="1">
        <v>42419</v>
      </c>
      <c r="C1533">
        <v>2871.05</v>
      </c>
      <c r="D1533">
        <f t="shared" si="305"/>
        <v>-8.3591066322543876E-3</v>
      </c>
      <c r="E1533" t="str">
        <f t="shared" si="299"/>
        <v>2016-02</v>
      </c>
      <c r="G1533">
        <v>4223.04</v>
      </c>
      <c r="H1533">
        <f t="shared" si="306"/>
        <v>-3.9514160218999525E-3</v>
      </c>
      <c r="I1533" t="str">
        <f t="shared" si="300"/>
        <v>2016-02</v>
      </c>
      <c r="K1533">
        <v>9388.0499999999993</v>
      </c>
      <c r="L1533">
        <f t="shared" si="307"/>
        <v>-8.0194831457832492E-3</v>
      </c>
      <c r="M1533" t="str">
        <f t="shared" si="301"/>
        <v>2016-02</v>
      </c>
      <c r="O1533">
        <v>7673.4388499999995</v>
      </c>
      <c r="P1533">
        <f t="shared" si="308"/>
        <v>-3.996192346883652E-3</v>
      </c>
      <c r="Q1533" t="str">
        <f t="shared" si="302"/>
        <v>2016-02</v>
      </c>
      <c r="S1533">
        <v>8194.2000000000007</v>
      </c>
      <c r="T1533">
        <f t="shared" si="309"/>
        <v>-1.2274557369850007E-2</v>
      </c>
      <c r="U1533" t="str">
        <f t="shared" si="303"/>
        <v>2016-02</v>
      </c>
      <c r="W1533">
        <v>16909.560000000001</v>
      </c>
      <c r="X1533">
        <f t="shared" si="310"/>
        <v>-1.1921866961460149E-2</v>
      </c>
      <c r="Y1533">
        <f t="shared" si="311"/>
        <v>-1.1851083076793573E-2</v>
      </c>
      <c r="Z1533" t="str">
        <f t="shared" si="304"/>
        <v>2016-02</v>
      </c>
    </row>
    <row r="1534" spans="1:26" x14ac:dyDescent="0.35">
      <c r="A1534" s="1">
        <v>42422</v>
      </c>
      <c r="C1534">
        <v>2933.91</v>
      </c>
      <c r="D1534">
        <f t="shared" si="305"/>
        <v>2.1658187881746203E-2</v>
      </c>
      <c r="E1534" t="str">
        <f t="shared" si="299"/>
        <v>2016-02</v>
      </c>
      <c r="G1534">
        <v>4298.7</v>
      </c>
      <c r="H1534">
        <f t="shared" si="306"/>
        <v>1.7757403562202092E-2</v>
      </c>
      <c r="I1534" t="str">
        <f t="shared" si="300"/>
        <v>2016-02</v>
      </c>
      <c r="K1534">
        <v>9573.59</v>
      </c>
      <c r="L1534">
        <f t="shared" si="307"/>
        <v>1.9570661814861706E-2</v>
      </c>
      <c r="M1534" t="str">
        <f t="shared" si="301"/>
        <v>2016-02</v>
      </c>
      <c r="O1534">
        <v>7755.2090500000004</v>
      </c>
      <c r="P1534">
        <f t="shared" si="308"/>
        <v>1.0599887450143571E-2</v>
      </c>
      <c r="Q1534" t="str">
        <f t="shared" si="302"/>
        <v>2016-02</v>
      </c>
      <c r="S1534">
        <v>8387</v>
      </c>
      <c r="T1534">
        <f t="shared" si="309"/>
        <v>2.3256301071977691E-2</v>
      </c>
      <c r="U1534" t="str">
        <f t="shared" si="303"/>
        <v>2016-02</v>
      </c>
      <c r="W1534">
        <v>17504.580000000002</v>
      </c>
      <c r="X1534">
        <f t="shared" si="310"/>
        <v>3.4583418508458988E-2</v>
      </c>
      <c r="Y1534">
        <f t="shared" si="311"/>
        <v>3.5188378644979548E-2</v>
      </c>
      <c r="Z1534" t="str">
        <f t="shared" si="304"/>
        <v>2016-02</v>
      </c>
    </row>
    <row r="1535" spans="1:26" x14ac:dyDescent="0.35">
      <c r="A1535" s="1">
        <v>42423</v>
      </c>
      <c r="C1535">
        <v>2887.38</v>
      </c>
      <c r="D1535">
        <f t="shared" si="305"/>
        <v>-1.5986487860903901E-2</v>
      </c>
      <c r="E1535" t="str">
        <f t="shared" si="299"/>
        <v>2016-02</v>
      </c>
      <c r="G1535">
        <v>4238.42</v>
      </c>
      <c r="H1535">
        <f t="shared" si="306"/>
        <v>-1.4122093122197915E-2</v>
      </c>
      <c r="I1535" t="str">
        <f t="shared" si="300"/>
        <v>2016-02</v>
      </c>
      <c r="K1535">
        <v>9416.77</v>
      </c>
      <c r="L1535">
        <f t="shared" si="307"/>
        <v>-1.6516123422014792E-2</v>
      </c>
      <c r="M1535" t="str">
        <f t="shared" si="301"/>
        <v>2016-02</v>
      </c>
      <c r="O1535">
        <v>7589.0830900000001</v>
      </c>
      <c r="P1535">
        <f t="shared" si="308"/>
        <v>-2.1653973963798936E-2</v>
      </c>
      <c r="Q1535" t="str">
        <f t="shared" si="302"/>
        <v>2016-02</v>
      </c>
      <c r="S1535">
        <v>8267.6</v>
      </c>
      <c r="T1535">
        <f t="shared" si="309"/>
        <v>-1.433862664673073E-2</v>
      </c>
      <c r="U1535" t="str">
        <f t="shared" si="303"/>
        <v>2016-02</v>
      </c>
      <c r="W1535">
        <v>17163.46</v>
      </c>
      <c r="X1535">
        <f t="shared" si="310"/>
        <v>-1.9679855537464878E-2</v>
      </c>
      <c r="Y1535">
        <f t="shared" si="311"/>
        <v>-1.9487471278945429E-2</v>
      </c>
      <c r="Z1535" t="str">
        <f t="shared" si="304"/>
        <v>2016-02</v>
      </c>
    </row>
    <row r="1536" spans="1:26" x14ac:dyDescent="0.35">
      <c r="A1536" s="1">
        <v>42424</v>
      </c>
      <c r="C1536">
        <v>2820.24</v>
      </c>
      <c r="D1536">
        <f t="shared" si="305"/>
        <v>-2.3527528831119481E-2</v>
      </c>
      <c r="E1536" t="str">
        <f t="shared" si="299"/>
        <v>2016-02</v>
      </c>
      <c r="G1536">
        <v>4155.34</v>
      </c>
      <c r="H1536">
        <f t="shared" si="306"/>
        <v>-1.9796304205199879E-2</v>
      </c>
      <c r="I1536" t="str">
        <f t="shared" si="300"/>
        <v>2016-02</v>
      </c>
      <c r="K1536">
        <v>9167.7999999999993</v>
      </c>
      <c r="L1536">
        <f t="shared" si="307"/>
        <v>-2.6794797589752922E-2</v>
      </c>
      <c r="M1536" t="str">
        <f t="shared" si="301"/>
        <v>2016-02</v>
      </c>
      <c r="O1536">
        <v>7411.6789399999998</v>
      </c>
      <c r="P1536">
        <f t="shared" si="308"/>
        <v>-2.3653787862429426E-2</v>
      </c>
      <c r="Q1536" t="str">
        <f t="shared" si="302"/>
        <v>2016-02</v>
      </c>
      <c r="S1536">
        <v>8013.7</v>
      </c>
      <c r="T1536">
        <f t="shared" si="309"/>
        <v>-3.1191684331922098E-2</v>
      </c>
      <c r="U1536" t="str">
        <f t="shared" si="303"/>
        <v>2016-02</v>
      </c>
      <c r="W1536">
        <v>16719.36</v>
      </c>
      <c r="X1536">
        <f t="shared" si="310"/>
        <v>-2.6215376024517133E-2</v>
      </c>
      <c r="Y1536">
        <f t="shared" si="311"/>
        <v>-2.5874736212861425E-2</v>
      </c>
      <c r="Z1536" t="str">
        <f t="shared" si="304"/>
        <v>2016-02</v>
      </c>
    </row>
    <row r="1537" spans="1:26" x14ac:dyDescent="0.35">
      <c r="A1537" s="1">
        <v>42425</v>
      </c>
      <c r="C1537">
        <v>2877.42</v>
      </c>
      <c r="D1537">
        <f t="shared" si="305"/>
        <v>2.0072071604380924E-2</v>
      </c>
      <c r="E1537" t="str">
        <f t="shared" si="299"/>
        <v>2016-02</v>
      </c>
      <c r="G1537">
        <v>4248.45</v>
      </c>
      <c r="H1537">
        <f t="shared" si="306"/>
        <v>2.2159956451475893E-2</v>
      </c>
      <c r="I1537" t="str">
        <f t="shared" si="300"/>
        <v>2016-02</v>
      </c>
      <c r="K1537">
        <v>9331.48</v>
      </c>
      <c r="L1537">
        <f t="shared" si="307"/>
        <v>1.7696285634899323E-2</v>
      </c>
      <c r="M1537" t="str">
        <f t="shared" si="301"/>
        <v>2016-02</v>
      </c>
      <c r="O1537">
        <v>7597.5647399999998</v>
      </c>
      <c r="P1537">
        <f t="shared" si="308"/>
        <v>2.4770775755583559E-2</v>
      </c>
      <c r="Q1537" t="str">
        <f t="shared" si="302"/>
        <v>2016-02</v>
      </c>
      <c r="S1537">
        <v>8215.6</v>
      </c>
      <c r="T1537">
        <f t="shared" si="309"/>
        <v>2.4882208925734894E-2</v>
      </c>
      <c r="U1537" t="str">
        <f t="shared" si="303"/>
        <v>2016-02</v>
      </c>
      <c r="W1537">
        <v>17104.54</v>
      </c>
      <c r="X1537">
        <f t="shared" si="310"/>
        <v>2.2776595934534568E-2</v>
      </c>
      <c r="Y1537">
        <f t="shared" si="311"/>
        <v>2.3037963175623965E-2</v>
      </c>
      <c r="Z1537" t="str">
        <f t="shared" si="304"/>
        <v>2016-02</v>
      </c>
    </row>
    <row r="1538" spans="1:26" x14ac:dyDescent="0.35">
      <c r="A1538" s="1">
        <v>42426</v>
      </c>
      <c r="C1538">
        <v>2929.16</v>
      </c>
      <c r="D1538">
        <f t="shared" si="305"/>
        <v>1.7821633189873905E-2</v>
      </c>
      <c r="E1538" t="str">
        <f t="shared" si="299"/>
        <v>2016-02</v>
      </c>
      <c r="G1538">
        <v>4314.57</v>
      </c>
      <c r="H1538">
        <f t="shared" si="306"/>
        <v>1.5443456661720863E-2</v>
      </c>
      <c r="I1538" t="str">
        <f t="shared" si="300"/>
        <v>2016-02</v>
      </c>
      <c r="K1538">
        <v>9513.2999999999993</v>
      </c>
      <c r="L1538">
        <f t="shared" si="307"/>
        <v>1.9297189159596037E-2</v>
      </c>
      <c r="M1538" t="str">
        <f t="shared" si="301"/>
        <v>2016-02</v>
      </c>
      <c r="O1538">
        <v>7742.6301800000001</v>
      </c>
      <c r="P1538">
        <f t="shared" si="308"/>
        <v>1.8913679417948165E-2</v>
      </c>
      <c r="Q1538" t="str">
        <f t="shared" si="302"/>
        <v>2016-02</v>
      </c>
      <c r="S1538">
        <v>8349.2000000000007</v>
      </c>
      <c r="T1538">
        <f t="shared" si="309"/>
        <v>1.6130939940257733E-2</v>
      </c>
      <c r="U1538" t="str">
        <f t="shared" si="303"/>
        <v>2016-02</v>
      </c>
      <c r="W1538">
        <v>17483.759999999998</v>
      </c>
      <c r="X1538">
        <f t="shared" si="310"/>
        <v>2.1928524724363893E-2</v>
      </c>
      <c r="Y1538">
        <f t="shared" si="311"/>
        <v>2.2170721925289866E-2</v>
      </c>
      <c r="Z1538" t="str">
        <f t="shared" si="304"/>
        <v>2016-02</v>
      </c>
    </row>
    <row r="1539" spans="1:26" x14ac:dyDescent="0.35">
      <c r="A1539" s="1">
        <v>42429</v>
      </c>
      <c r="C1539">
        <v>2945.75</v>
      </c>
      <c r="D1539">
        <f t="shared" si="305"/>
        <v>5.6477611054001949E-3</v>
      </c>
      <c r="E1539" t="str">
        <f t="shared" si="299"/>
        <v>2016-02</v>
      </c>
      <c r="G1539">
        <v>4353.55</v>
      </c>
      <c r="H1539">
        <f t="shared" si="306"/>
        <v>8.9939370383114812E-3</v>
      </c>
      <c r="I1539" t="str">
        <f t="shared" si="300"/>
        <v>2016-02</v>
      </c>
      <c r="K1539">
        <v>9495.4</v>
      </c>
      <c r="L1539">
        <f t="shared" si="307"/>
        <v>-1.8833487077963857E-3</v>
      </c>
      <c r="M1539" t="str">
        <f t="shared" si="301"/>
        <v>2016-02</v>
      </c>
      <c r="O1539">
        <v>7800.3506399999997</v>
      </c>
      <c r="P1539">
        <f t="shared" si="308"/>
        <v>7.4272401167652579E-3</v>
      </c>
      <c r="Q1539" t="str">
        <f t="shared" si="302"/>
        <v>2016-02</v>
      </c>
      <c r="S1539">
        <v>8461.4</v>
      </c>
      <c r="T1539">
        <f t="shared" si="309"/>
        <v>1.3348918671015763E-2</v>
      </c>
      <c r="U1539" t="str">
        <f t="shared" si="303"/>
        <v>2016-02</v>
      </c>
      <c r="W1539">
        <v>17623.07</v>
      </c>
      <c r="X1539">
        <f t="shared" si="310"/>
        <v>7.9363890853922838E-3</v>
      </c>
      <c r="Y1539">
        <f t="shared" si="311"/>
        <v>7.9679657007417932E-3</v>
      </c>
      <c r="Z1539" t="str">
        <f t="shared" si="304"/>
        <v>2016-02</v>
      </c>
    </row>
    <row r="1540" spans="1:26" x14ac:dyDescent="0.35">
      <c r="A1540" s="1">
        <v>42430</v>
      </c>
      <c r="C1540">
        <v>2996.39</v>
      </c>
      <c r="D1540">
        <f t="shared" si="305"/>
        <v>1.7044777136569732E-2</v>
      </c>
      <c r="E1540" t="str">
        <f t="shared" ref="E1540:E1603" si="312">_xlfn.CONCAT(YEAR(A1540),"-",TEXT(MONTH(A1540),"00"))</f>
        <v>2016-03</v>
      </c>
      <c r="G1540">
        <v>4406.84</v>
      </c>
      <c r="H1540">
        <f t="shared" si="306"/>
        <v>1.216627509112151E-2</v>
      </c>
      <c r="I1540" t="str">
        <f t="shared" ref="I1540:I1603" si="313">_xlfn.CONCAT(YEAR(A1540),"-",TEXT(MONTH(A1540),"00"))</f>
        <v>2016-03</v>
      </c>
      <c r="K1540">
        <v>9717.16</v>
      </c>
      <c r="L1540">
        <f t="shared" si="307"/>
        <v>2.3085923896777705E-2</v>
      </c>
      <c r="M1540" t="str">
        <f t="shared" ref="M1540:M1603" si="314">_xlfn.CONCAT(YEAR(A1540),"-",TEXT(MONTH(A1540),"00"))</f>
        <v>2016-03</v>
      </c>
      <c r="O1540">
        <v>7907.8504700000003</v>
      </c>
      <c r="P1540">
        <f t="shared" si="308"/>
        <v>1.368730989824214E-2</v>
      </c>
      <c r="Q1540" t="str">
        <f t="shared" ref="Q1540:Q1603" si="315">_xlfn.CONCAT(YEAR(A1540),"-",TEXT(MONTH(A1540),"00"))</f>
        <v>2016-03</v>
      </c>
      <c r="S1540">
        <v>8611</v>
      </c>
      <c r="T1540">
        <f t="shared" si="309"/>
        <v>1.7525811153398168E-2</v>
      </c>
      <c r="U1540" t="str">
        <f t="shared" ref="U1540:U1603" si="316">_xlfn.CONCAT(YEAR(A1540),"-",TEXT(MONTH(A1540),"00"))</f>
        <v>2016-03</v>
      </c>
      <c r="W1540">
        <v>18011.91</v>
      </c>
      <c r="X1540">
        <f t="shared" si="310"/>
        <v>2.1824366601672422E-2</v>
      </c>
      <c r="Y1540">
        <f t="shared" si="311"/>
        <v>2.2064260086352726E-2</v>
      </c>
      <c r="Z1540" t="str">
        <f t="shared" ref="Z1540:Z1603" si="317">_xlfn.CONCAT(YEAR(A1540),"-",TEXT(MONTH(A1540),"00"))</f>
        <v>2016-03</v>
      </c>
    </row>
    <row r="1541" spans="1:26" x14ac:dyDescent="0.35">
      <c r="A1541" s="1">
        <v>42431</v>
      </c>
      <c r="C1541">
        <v>3022.14</v>
      </c>
      <c r="D1541">
        <f t="shared" ref="D1541:D1604" si="318">LN(C1541/C1540)</f>
        <v>8.5569589654098509E-3</v>
      </c>
      <c r="E1541" t="str">
        <f t="shared" si="312"/>
        <v>2016-03</v>
      </c>
      <c r="G1541">
        <v>4424.8900000000003</v>
      </c>
      <c r="H1541">
        <f t="shared" ref="H1541:H1604" si="319">LN(G1541/G1540)</f>
        <v>4.087540070084981E-3</v>
      </c>
      <c r="I1541" t="str">
        <f t="shared" si="313"/>
        <v>2016-03</v>
      </c>
      <c r="K1541">
        <v>9776.6200000000008</v>
      </c>
      <c r="L1541">
        <f t="shared" ref="L1541:L1604" si="320">LN(K1541/K1540)</f>
        <v>6.1004263309846025E-3</v>
      </c>
      <c r="M1541" t="str">
        <f t="shared" si="314"/>
        <v>2016-03</v>
      </c>
      <c r="O1541">
        <v>7966.3133600000001</v>
      </c>
      <c r="P1541">
        <f t="shared" ref="P1541:P1604" si="321">LN(O1541/O1540)</f>
        <v>7.3658247392455155E-3</v>
      </c>
      <c r="Q1541" t="str">
        <f t="shared" si="315"/>
        <v>2016-03</v>
      </c>
      <c r="S1541">
        <v>8764.5</v>
      </c>
      <c r="T1541">
        <f t="shared" ref="T1541:T1604" si="322">LN(S1541/S1540)</f>
        <v>1.7669015966436278E-2</v>
      </c>
      <c r="U1541" t="str">
        <f t="shared" si="316"/>
        <v>2016-03</v>
      </c>
      <c r="W1541">
        <v>18206.41</v>
      </c>
      <c r="X1541">
        <f t="shared" ref="X1541:X1604" si="323">LN(W1541/W1540)</f>
        <v>1.0740524119905955E-2</v>
      </c>
      <c r="Y1541">
        <f t="shared" ref="Y1541:Y1604" si="324">(W1541-W1540)/W1540</f>
        <v>1.0798410607203789E-2</v>
      </c>
      <c r="Z1541" t="str">
        <f t="shared" si="317"/>
        <v>2016-03</v>
      </c>
    </row>
    <row r="1542" spans="1:26" x14ac:dyDescent="0.35">
      <c r="A1542" s="1">
        <v>42432</v>
      </c>
      <c r="C1542">
        <v>3012.87</v>
      </c>
      <c r="D1542">
        <f t="shared" si="318"/>
        <v>-3.0720768617080404E-3</v>
      </c>
      <c r="E1542" t="str">
        <f t="shared" si="312"/>
        <v>2016-03</v>
      </c>
      <c r="G1542">
        <v>4416.08</v>
      </c>
      <c r="H1542">
        <f t="shared" si="319"/>
        <v>-1.9929946411153289E-3</v>
      </c>
      <c r="I1542" t="str">
        <f t="shared" si="313"/>
        <v>2016-03</v>
      </c>
      <c r="K1542">
        <v>9751.92</v>
      </c>
      <c r="L1542">
        <f t="shared" si="320"/>
        <v>-2.5296323402933295E-3</v>
      </c>
      <c r="M1542" t="str">
        <f t="shared" si="314"/>
        <v>2016-03</v>
      </c>
      <c r="O1542">
        <v>7921.5445099999997</v>
      </c>
      <c r="P1542">
        <f t="shared" si="321"/>
        <v>-5.6356204663069653E-3</v>
      </c>
      <c r="Q1542" t="str">
        <f t="shared" si="315"/>
        <v>2016-03</v>
      </c>
      <c r="S1542">
        <v>8767</v>
      </c>
      <c r="T1542">
        <f t="shared" si="322"/>
        <v>2.8520092598411327E-4</v>
      </c>
      <c r="U1542" t="str">
        <f t="shared" si="316"/>
        <v>2016-03</v>
      </c>
      <c r="W1542">
        <v>18348.5</v>
      </c>
      <c r="X1542">
        <f t="shared" si="323"/>
        <v>7.7740974122970522E-3</v>
      </c>
      <c r="Y1542">
        <f t="shared" si="324"/>
        <v>7.8043941666698785E-3</v>
      </c>
      <c r="Z1542" t="str">
        <f t="shared" si="317"/>
        <v>2016-03</v>
      </c>
    </row>
    <row r="1543" spans="1:26" x14ac:dyDescent="0.35">
      <c r="A1543" s="1">
        <v>42433</v>
      </c>
      <c r="C1543">
        <v>3037.35</v>
      </c>
      <c r="D1543">
        <f t="shared" si="318"/>
        <v>8.0923118796664729E-3</v>
      </c>
      <c r="E1543" t="str">
        <f t="shared" si="312"/>
        <v>2016-03</v>
      </c>
      <c r="G1543">
        <v>4456.62</v>
      </c>
      <c r="H1543">
        <f t="shared" si="319"/>
        <v>9.1382064339986975E-3</v>
      </c>
      <c r="I1543" t="str">
        <f t="shared" si="313"/>
        <v>2016-03</v>
      </c>
      <c r="K1543">
        <v>9824.17</v>
      </c>
      <c r="L1543">
        <f t="shared" si="320"/>
        <v>7.3814871154502604E-3</v>
      </c>
      <c r="M1543" t="str">
        <f t="shared" si="314"/>
        <v>2016-03</v>
      </c>
      <c r="O1543">
        <v>8016.7569999999996</v>
      </c>
      <c r="P1543">
        <f t="shared" si="321"/>
        <v>1.1947775308956243E-2</v>
      </c>
      <c r="Q1543" t="str">
        <f t="shared" si="315"/>
        <v>2016-03</v>
      </c>
      <c r="S1543">
        <v>8811.6</v>
      </c>
      <c r="T1543">
        <f t="shared" si="322"/>
        <v>5.074362656979573E-3</v>
      </c>
      <c r="U1543" t="str">
        <f t="shared" si="316"/>
        <v>2016-03</v>
      </c>
      <c r="W1543">
        <v>18278.98</v>
      </c>
      <c r="X1543">
        <f t="shared" si="323"/>
        <v>-3.7960615080478003E-3</v>
      </c>
      <c r="Y1543">
        <f t="shared" si="324"/>
        <v>-3.7888655748426541E-3</v>
      </c>
      <c r="Z1543" t="str">
        <f t="shared" si="317"/>
        <v>2016-03</v>
      </c>
    </row>
    <row r="1544" spans="1:26" x14ac:dyDescent="0.35">
      <c r="A1544" s="1">
        <v>42436</v>
      </c>
      <c r="C1544">
        <v>3021.09</v>
      </c>
      <c r="D1544">
        <f t="shared" si="318"/>
        <v>-5.3677313106912268E-3</v>
      </c>
      <c r="E1544" t="str">
        <f t="shared" si="312"/>
        <v>2016-03</v>
      </c>
      <c r="G1544">
        <v>4442.29</v>
      </c>
      <c r="H1544">
        <f t="shared" si="319"/>
        <v>-3.2206219382775619E-3</v>
      </c>
      <c r="I1544" t="str">
        <f t="shared" si="313"/>
        <v>2016-03</v>
      </c>
      <c r="K1544">
        <v>9778.93</v>
      </c>
      <c r="L1544">
        <f t="shared" si="320"/>
        <v>-4.6156047069415345E-3</v>
      </c>
      <c r="M1544" t="str">
        <f t="shared" si="314"/>
        <v>2016-03</v>
      </c>
      <c r="O1544">
        <v>8008.3424699999996</v>
      </c>
      <c r="P1544">
        <f t="shared" si="321"/>
        <v>-1.0501689289462907E-3</v>
      </c>
      <c r="Q1544" t="str">
        <f t="shared" si="315"/>
        <v>2016-03</v>
      </c>
      <c r="S1544">
        <v>8786.7999999999993</v>
      </c>
      <c r="T1544">
        <f t="shared" si="322"/>
        <v>-2.8184399055345222E-3</v>
      </c>
      <c r="U1544" t="str">
        <f t="shared" si="316"/>
        <v>2016-03</v>
      </c>
      <c r="W1544">
        <v>18059.27</v>
      </c>
      <c r="X1544">
        <f t="shared" si="323"/>
        <v>-1.2092639429704082E-2</v>
      </c>
      <c r="Y1544">
        <f t="shared" si="324"/>
        <v>-1.2019817298339357E-2</v>
      </c>
      <c r="Z1544" t="str">
        <f t="shared" si="317"/>
        <v>2016-03</v>
      </c>
    </row>
    <row r="1545" spans="1:26" x14ac:dyDescent="0.35">
      <c r="A1545" s="1">
        <v>42437</v>
      </c>
      <c r="C1545">
        <v>3002.01</v>
      </c>
      <c r="D1545">
        <f t="shared" si="318"/>
        <v>-6.3356291022460248E-3</v>
      </c>
      <c r="E1545" t="str">
        <f t="shared" si="312"/>
        <v>2016-03</v>
      </c>
      <c r="G1545">
        <v>4404.0200000000004</v>
      </c>
      <c r="H1545">
        <f t="shared" si="319"/>
        <v>-8.6522490722635396E-3</v>
      </c>
      <c r="I1545" t="str">
        <f t="shared" si="313"/>
        <v>2016-03</v>
      </c>
      <c r="K1545">
        <v>9692.82</v>
      </c>
      <c r="L1545">
        <f t="shared" si="320"/>
        <v>-8.8446658724747034E-3</v>
      </c>
      <c r="M1545" t="str">
        <f t="shared" si="314"/>
        <v>2016-03</v>
      </c>
      <c r="O1545">
        <v>7908.7607699999999</v>
      </c>
      <c r="P1545">
        <f t="shared" si="321"/>
        <v>-1.2512703821631567E-2</v>
      </c>
      <c r="Q1545" t="str">
        <f t="shared" si="315"/>
        <v>2016-03</v>
      </c>
      <c r="S1545">
        <v>8740.2999999999993</v>
      </c>
      <c r="T1545">
        <f t="shared" si="322"/>
        <v>-5.3060813367451472E-3</v>
      </c>
      <c r="U1545" t="str">
        <f t="shared" si="316"/>
        <v>2016-03</v>
      </c>
      <c r="W1545">
        <v>18017.560000000001</v>
      </c>
      <c r="X1545">
        <f t="shared" si="323"/>
        <v>-2.3122884457508191E-3</v>
      </c>
      <c r="Y1545">
        <f t="shared" si="324"/>
        <v>-2.3096171661423259E-3</v>
      </c>
      <c r="Z1545" t="str">
        <f t="shared" si="317"/>
        <v>2016-03</v>
      </c>
    </row>
    <row r="1546" spans="1:26" x14ac:dyDescent="0.35">
      <c r="A1546" s="1">
        <v>42438</v>
      </c>
      <c r="C1546">
        <v>3016.18</v>
      </c>
      <c r="D1546">
        <f t="shared" si="318"/>
        <v>4.7090657441270093E-3</v>
      </c>
      <c r="E1546" t="str">
        <f t="shared" si="312"/>
        <v>2016-03</v>
      </c>
      <c r="G1546">
        <v>4425.6499999999996</v>
      </c>
      <c r="H1546">
        <f t="shared" si="319"/>
        <v>4.8994001514012534E-3</v>
      </c>
      <c r="I1546" t="str">
        <f t="shared" si="313"/>
        <v>2016-03</v>
      </c>
      <c r="K1546">
        <v>9723.09</v>
      </c>
      <c r="L1546">
        <f t="shared" si="320"/>
        <v>3.1180639511160105E-3</v>
      </c>
      <c r="M1546" t="str">
        <f t="shared" si="314"/>
        <v>2016-03</v>
      </c>
      <c r="O1546">
        <v>7927.4097400000001</v>
      </c>
      <c r="P1546">
        <f t="shared" si="321"/>
        <v>2.3552384219328914E-3</v>
      </c>
      <c r="Q1546" t="str">
        <f t="shared" si="315"/>
        <v>2016-03</v>
      </c>
      <c r="S1546">
        <v>8761.1</v>
      </c>
      <c r="T1546">
        <f t="shared" si="322"/>
        <v>2.3769538200573929E-3</v>
      </c>
      <c r="U1546" t="str">
        <f t="shared" si="316"/>
        <v>2016-03</v>
      </c>
      <c r="W1546">
        <v>18208.919999999998</v>
      </c>
      <c r="X1546">
        <f t="shared" si="323"/>
        <v>1.0564746001581025E-2</v>
      </c>
      <c r="Y1546">
        <f t="shared" si="324"/>
        <v>1.0620749979464307E-2</v>
      </c>
      <c r="Z1546" t="str">
        <f t="shared" si="317"/>
        <v>2016-03</v>
      </c>
    </row>
    <row r="1547" spans="1:26" x14ac:dyDescent="0.35">
      <c r="A1547" s="1">
        <v>42439</v>
      </c>
      <c r="C1547">
        <v>2970.78</v>
      </c>
      <c r="D1547">
        <f t="shared" si="318"/>
        <v>-1.5166585465446161E-2</v>
      </c>
      <c r="E1547" t="str">
        <f t="shared" si="312"/>
        <v>2016-03</v>
      </c>
      <c r="G1547">
        <v>4350.3500000000004</v>
      </c>
      <c r="H1547">
        <f t="shared" si="319"/>
        <v>-1.7160858693596286E-2</v>
      </c>
      <c r="I1547" t="str">
        <f t="shared" si="313"/>
        <v>2016-03</v>
      </c>
      <c r="K1547">
        <v>9498.15</v>
      </c>
      <c r="L1547">
        <f t="shared" si="320"/>
        <v>-2.3406426386315779E-2</v>
      </c>
      <c r="M1547" t="str">
        <f t="shared" si="314"/>
        <v>2016-03</v>
      </c>
      <c r="O1547">
        <v>7704.1536699999997</v>
      </c>
      <c r="P1547">
        <f t="shared" si="321"/>
        <v>-2.8566720605015011E-2</v>
      </c>
      <c r="Q1547" t="str">
        <f t="shared" si="315"/>
        <v>2016-03</v>
      </c>
      <c r="S1547">
        <v>8766.9</v>
      </c>
      <c r="T1547">
        <f t="shared" si="322"/>
        <v>6.6179828978652378E-4</v>
      </c>
      <c r="U1547" t="str">
        <f t="shared" si="316"/>
        <v>2016-03</v>
      </c>
      <c r="W1547">
        <v>18118.23</v>
      </c>
      <c r="X1547">
        <f t="shared" si="323"/>
        <v>-4.9929701838165811E-3</v>
      </c>
      <c r="Y1547">
        <f t="shared" si="324"/>
        <v>-4.9805260279027364E-3</v>
      </c>
      <c r="Z1547" t="str">
        <f t="shared" si="317"/>
        <v>2016-03</v>
      </c>
    </row>
    <row r="1548" spans="1:26" x14ac:dyDescent="0.35">
      <c r="A1548" s="1">
        <v>42440</v>
      </c>
      <c r="C1548">
        <v>3073.8</v>
      </c>
      <c r="D1548">
        <f t="shared" si="318"/>
        <v>3.4090036594080116E-2</v>
      </c>
      <c r="E1548" t="str">
        <f t="shared" si="312"/>
        <v>2016-03</v>
      </c>
      <c r="G1548">
        <v>4492.79</v>
      </c>
      <c r="H1548">
        <f t="shared" si="319"/>
        <v>3.2217587989353307E-2</v>
      </c>
      <c r="I1548" t="str">
        <f t="shared" si="313"/>
        <v>2016-03</v>
      </c>
      <c r="K1548">
        <v>9831.1299999999992</v>
      </c>
      <c r="L1548">
        <f t="shared" si="320"/>
        <v>3.4456838973405908E-2</v>
      </c>
      <c r="M1548" t="str">
        <f t="shared" si="314"/>
        <v>2016-03</v>
      </c>
      <c r="O1548">
        <v>7926.8013099999998</v>
      </c>
      <c r="P1548">
        <f t="shared" si="321"/>
        <v>2.848996749527264E-2</v>
      </c>
      <c r="Q1548" t="str">
        <f t="shared" si="315"/>
        <v>2016-03</v>
      </c>
      <c r="S1548">
        <v>9090.6</v>
      </c>
      <c r="T1548">
        <f t="shared" si="322"/>
        <v>3.6257646480715597E-2</v>
      </c>
      <c r="U1548" t="str">
        <f t="shared" si="316"/>
        <v>2016-03</v>
      </c>
      <c r="W1548">
        <v>18987.75</v>
      </c>
      <c r="X1548">
        <f t="shared" si="323"/>
        <v>4.6875420667739295E-2</v>
      </c>
      <c r="Y1548">
        <f t="shared" si="324"/>
        <v>4.7991442872730973E-2</v>
      </c>
      <c r="Z1548" t="str">
        <f t="shared" si="317"/>
        <v>2016-03</v>
      </c>
    </row>
    <row r="1549" spans="1:26" x14ac:dyDescent="0.35">
      <c r="A1549" s="1">
        <v>42443</v>
      </c>
      <c r="C1549">
        <v>3091.98</v>
      </c>
      <c r="D1549">
        <f t="shared" si="318"/>
        <v>5.8970812078773388E-3</v>
      </c>
      <c r="E1549" t="str">
        <f t="shared" si="312"/>
        <v>2016-03</v>
      </c>
      <c r="G1549">
        <v>4506.59</v>
      </c>
      <c r="H1549">
        <f t="shared" si="319"/>
        <v>3.0668803443386701E-3</v>
      </c>
      <c r="I1549" t="str">
        <f t="shared" si="313"/>
        <v>2016-03</v>
      </c>
      <c r="K1549">
        <v>9990.26</v>
      </c>
      <c r="L1549">
        <f t="shared" si="320"/>
        <v>1.6056736573702136E-2</v>
      </c>
      <c r="M1549" t="str">
        <f t="shared" si="314"/>
        <v>2016-03</v>
      </c>
      <c r="O1549">
        <v>7971.5174800000004</v>
      </c>
      <c r="P1549">
        <f t="shared" si="321"/>
        <v>5.6252851017152966E-3</v>
      </c>
      <c r="Q1549" t="str">
        <f t="shared" si="315"/>
        <v>2016-03</v>
      </c>
      <c r="S1549">
        <v>9142.7000000000007</v>
      </c>
      <c r="T1549">
        <f t="shared" si="322"/>
        <v>5.7148340449441407E-3</v>
      </c>
      <c r="U1549" t="str">
        <f t="shared" si="316"/>
        <v>2016-03</v>
      </c>
      <c r="W1549">
        <v>18981.77</v>
      </c>
      <c r="X1549">
        <f t="shared" si="323"/>
        <v>-3.1498949944294154E-4</v>
      </c>
      <c r="Y1549">
        <f t="shared" si="324"/>
        <v>-3.1493989545889131E-4</v>
      </c>
      <c r="Z1549" t="str">
        <f t="shared" si="317"/>
        <v>2016-03</v>
      </c>
    </row>
    <row r="1550" spans="1:26" x14ac:dyDescent="0.35">
      <c r="A1550" s="1">
        <v>42444</v>
      </c>
      <c r="C1550">
        <v>3067.21</v>
      </c>
      <c r="D1550">
        <f t="shared" si="318"/>
        <v>-8.0433087924676079E-3</v>
      </c>
      <c r="E1550" t="str">
        <f t="shared" si="312"/>
        <v>2016-03</v>
      </c>
      <c r="G1550">
        <v>4472.63</v>
      </c>
      <c r="H1550">
        <f t="shared" si="319"/>
        <v>-7.564167471764166E-3</v>
      </c>
      <c r="I1550" t="str">
        <f t="shared" si="313"/>
        <v>2016-03</v>
      </c>
      <c r="K1550">
        <v>9933.85</v>
      </c>
      <c r="L1550">
        <f t="shared" si="320"/>
        <v>-5.6625014344003502E-3</v>
      </c>
      <c r="M1550" t="str">
        <f t="shared" si="314"/>
        <v>2016-03</v>
      </c>
      <c r="O1550">
        <v>7822.6456099999996</v>
      </c>
      <c r="P1550">
        <f t="shared" si="321"/>
        <v>-1.8852063033358912E-2</v>
      </c>
      <c r="Q1550" t="str">
        <f t="shared" si="315"/>
        <v>2016-03</v>
      </c>
      <c r="S1550">
        <v>8988.2999999999993</v>
      </c>
      <c r="T1550">
        <f t="shared" si="322"/>
        <v>-1.7032015053480624E-2</v>
      </c>
      <c r="U1550" t="str">
        <f t="shared" si="316"/>
        <v>2016-03</v>
      </c>
      <c r="W1550">
        <v>18765.37</v>
      </c>
      <c r="X1550">
        <f t="shared" si="323"/>
        <v>-1.1465894940833833E-2</v>
      </c>
      <c r="Y1550">
        <f t="shared" si="324"/>
        <v>-1.1400412079590125E-2</v>
      </c>
      <c r="Z1550" t="str">
        <f t="shared" si="317"/>
        <v>2016-03</v>
      </c>
    </row>
    <row r="1551" spans="1:26" x14ac:dyDescent="0.35">
      <c r="A1551" s="1">
        <v>42445</v>
      </c>
      <c r="C1551">
        <v>3062.05</v>
      </c>
      <c r="D1551">
        <f t="shared" si="318"/>
        <v>-1.6837273077085387E-3</v>
      </c>
      <c r="E1551" t="str">
        <f t="shared" si="312"/>
        <v>2016-03</v>
      </c>
      <c r="G1551">
        <v>4463</v>
      </c>
      <c r="H1551">
        <f t="shared" si="319"/>
        <v>-2.1554168487888719E-3</v>
      </c>
      <c r="I1551" t="str">
        <f t="shared" si="313"/>
        <v>2016-03</v>
      </c>
      <c r="K1551">
        <v>9983.41</v>
      </c>
      <c r="L1551">
        <f t="shared" si="320"/>
        <v>4.9765984162211986E-3</v>
      </c>
      <c r="M1551" t="str">
        <f t="shared" si="314"/>
        <v>2016-03</v>
      </c>
      <c r="O1551">
        <v>7867.1608100000003</v>
      </c>
      <c r="P1551">
        <f t="shared" si="321"/>
        <v>5.6744255797821644E-3</v>
      </c>
      <c r="Q1551" t="str">
        <f t="shared" si="315"/>
        <v>2016-03</v>
      </c>
      <c r="S1551">
        <v>8962.7999999999993</v>
      </c>
      <c r="T1551">
        <f t="shared" si="322"/>
        <v>-2.8410534342870912E-3</v>
      </c>
      <c r="U1551" t="str">
        <f t="shared" si="316"/>
        <v>2016-03</v>
      </c>
      <c r="W1551">
        <v>18731.75</v>
      </c>
      <c r="X1551">
        <f t="shared" si="323"/>
        <v>-1.7932048652798903E-3</v>
      </c>
      <c r="Y1551">
        <f t="shared" si="324"/>
        <v>-1.7915980340381769E-3</v>
      </c>
      <c r="Z1551" t="str">
        <f t="shared" si="317"/>
        <v>2016-03</v>
      </c>
    </row>
    <row r="1552" spans="1:26" x14ac:dyDescent="0.35">
      <c r="A1552" s="1">
        <v>42446</v>
      </c>
      <c r="C1552">
        <v>3043.1</v>
      </c>
      <c r="D1552">
        <f t="shared" si="318"/>
        <v>-6.2078936169615278E-3</v>
      </c>
      <c r="E1552" t="str">
        <f t="shared" si="312"/>
        <v>2016-03</v>
      </c>
      <c r="G1552">
        <v>4442.8900000000003</v>
      </c>
      <c r="H1552">
        <f t="shared" si="319"/>
        <v>-4.5161200462119633E-3</v>
      </c>
      <c r="I1552" t="str">
        <f t="shared" si="313"/>
        <v>2016-03</v>
      </c>
      <c r="K1552">
        <v>9892.2000000000007</v>
      </c>
      <c r="L1552">
        <f t="shared" si="320"/>
        <v>-9.1781475165871162E-3</v>
      </c>
      <c r="M1552" t="str">
        <f t="shared" si="314"/>
        <v>2016-03</v>
      </c>
      <c r="O1552">
        <v>7930.2889999999998</v>
      </c>
      <c r="P1552">
        <f t="shared" si="321"/>
        <v>7.9922426454849503E-3</v>
      </c>
      <c r="Q1552" t="str">
        <f t="shared" si="315"/>
        <v>2016-03</v>
      </c>
      <c r="S1552">
        <v>8978.7999999999993</v>
      </c>
      <c r="T1552">
        <f t="shared" si="322"/>
        <v>1.7835649263690141E-3</v>
      </c>
      <c r="U1552" t="str">
        <f t="shared" si="316"/>
        <v>2016-03</v>
      </c>
      <c r="W1552">
        <v>18608.03</v>
      </c>
      <c r="X1552">
        <f t="shared" si="323"/>
        <v>-6.6267371017903641E-3</v>
      </c>
      <c r="Y1552">
        <f t="shared" si="324"/>
        <v>-6.604828699934665E-3</v>
      </c>
      <c r="Z1552" t="str">
        <f t="shared" si="317"/>
        <v>2016-03</v>
      </c>
    </row>
    <row r="1553" spans="1:26" x14ac:dyDescent="0.35">
      <c r="A1553" s="1">
        <v>42447</v>
      </c>
      <c r="C1553">
        <v>3059.77</v>
      </c>
      <c r="D1553">
        <f t="shared" si="318"/>
        <v>5.4630170588725619E-3</v>
      </c>
      <c r="E1553" t="str">
        <f t="shared" si="312"/>
        <v>2016-03</v>
      </c>
      <c r="G1553">
        <v>4462.51</v>
      </c>
      <c r="H1553">
        <f t="shared" si="319"/>
        <v>4.4063223986843805E-3</v>
      </c>
      <c r="I1553" t="str">
        <f t="shared" si="313"/>
        <v>2016-03</v>
      </c>
      <c r="K1553">
        <v>9950.7999999999993</v>
      </c>
      <c r="L1553">
        <f t="shared" si="320"/>
        <v>5.9063821354322548E-3</v>
      </c>
      <c r="M1553" t="str">
        <f t="shared" si="314"/>
        <v>2016-03</v>
      </c>
      <c r="O1553">
        <v>7954.5794800000003</v>
      </c>
      <c r="P1553">
        <f t="shared" si="321"/>
        <v>3.0583191750848848E-3</v>
      </c>
      <c r="Q1553" t="str">
        <f t="shared" si="315"/>
        <v>2016-03</v>
      </c>
      <c r="S1553">
        <v>9051.1</v>
      </c>
      <c r="T1553">
        <f t="shared" si="322"/>
        <v>8.0200541916742307E-3</v>
      </c>
      <c r="U1553" t="str">
        <f t="shared" si="316"/>
        <v>2016-03</v>
      </c>
      <c r="W1553">
        <v>18611.34</v>
      </c>
      <c r="X1553">
        <f t="shared" si="323"/>
        <v>1.7786437592722773E-4</v>
      </c>
      <c r="Y1553">
        <f t="shared" si="324"/>
        <v>1.7788019473320441E-4</v>
      </c>
      <c r="Z1553" t="str">
        <f t="shared" si="317"/>
        <v>2016-03</v>
      </c>
    </row>
    <row r="1554" spans="1:26" x14ac:dyDescent="0.35">
      <c r="A1554" s="1">
        <v>42450</v>
      </c>
      <c r="C1554">
        <v>3048.77</v>
      </c>
      <c r="D1554">
        <f t="shared" si="318"/>
        <v>-3.6015191486102847E-3</v>
      </c>
      <c r="E1554" t="str">
        <f t="shared" si="312"/>
        <v>2016-03</v>
      </c>
      <c r="G1554">
        <v>4427.8</v>
      </c>
      <c r="H1554">
        <f t="shared" si="319"/>
        <v>-7.8085412916175908E-3</v>
      </c>
      <c r="I1554" t="str">
        <f t="shared" si="313"/>
        <v>2016-03</v>
      </c>
      <c r="K1554">
        <v>9948.64</v>
      </c>
      <c r="L1554">
        <f t="shared" si="320"/>
        <v>-2.1709153709683902E-4</v>
      </c>
      <c r="M1554" t="str">
        <f t="shared" si="314"/>
        <v>2016-03</v>
      </c>
      <c r="O1554">
        <v>7915.3167599999997</v>
      </c>
      <c r="P1554">
        <f t="shared" si="321"/>
        <v>-4.9480852947940569E-3</v>
      </c>
      <c r="Q1554" t="str">
        <f t="shared" si="315"/>
        <v>2016-03</v>
      </c>
      <c r="S1554">
        <v>9021</v>
      </c>
      <c r="T1554">
        <f t="shared" si="322"/>
        <v>-3.3311046124256888E-3</v>
      </c>
      <c r="U1554" t="str">
        <f t="shared" si="316"/>
        <v>2016-03</v>
      </c>
      <c r="W1554">
        <v>18696.93</v>
      </c>
      <c r="X1554">
        <f t="shared" si="323"/>
        <v>4.5882668992540624E-3</v>
      </c>
      <c r="Y1554">
        <f t="shared" si="324"/>
        <v>4.5988091131536016E-3</v>
      </c>
      <c r="Z1554" t="str">
        <f t="shared" si="317"/>
        <v>2016-03</v>
      </c>
    </row>
    <row r="1555" spans="1:26" x14ac:dyDescent="0.35">
      <c r="A1555" s="1">
        <v>42451</v>
      </c>
      <c r="C1555">
        <v>3051.23</v>
      </c>
      <c r="D1555">
        <f t="shared" si="318"/>
        <v>8.0655742077377136E-4</v>
      </c>
      <c r="E1555" t="str">
        <f t="shared" si="312"/>
        <v>2016-03</v>
      </c>
      <c r="G1555">
        <v>4431.97</v>
      </c>
      <c r="H1555">
        <f t="shared" si="319"/>
        <v>9.4133376101703165E-4</v>
      </c>
      <c r="I1555" t="str">
        <f t="shared" si="313"/>
        <v>2016-03</v>
      </c>
      <c r="K1555">
        <v>9990</v>
      </c>
      <c r="L1555">
        <f t="shared" si="320"/>
        <v>4.1487342490758219E-3</v>
      </c>
      <c r="M1555" t="str">
        <f t="shared" si="314"/>
        <v>2016-03</v>
      </c>
      <c r="O1555">
        <v>7846.7496099999998</v>
      </c>
      <c r="P1555">
        <f t="shared" si="321"/>
        <v>-8.7003291205498753E-3</v>
      </c>
      <c r="Q1555" t="str">
        <f t="shared" si="315"/>
        <v>2016-03</v>
      </c>
      <c r="S1555">
        <v>8992</v>
      </c>
      <c r="T1555">
        <f t="shared" si="322"/>
        <v>-3.2198995231664212E-3</v>
      </c>
      <c r="U1555" t="str">
        <f t="shared" si="316"/>
        <v>2016-03</v>
      </c>
      <c r="W1555">
        <v>18698.82</v>
      </c>
      <c r="X1555">
        <f t="shared" si="323"/>
        <v>1.0108100528055628E-4</v>
      </c>
      <c r="Y1555">
        <f t="shared" si="324"/>
        <v>1.0108611413742351E-4</v>
      </c>
      <c r="Z1555" t="str">
        <f t="shared" si="317"/>
        <v>2016-03</v>
      </c>
    </row>
    <row r="1556" spans="1:26" x14ac:dyDescent="0.35">
      <c r="A1556" s="1">
        <v>42452</v>
      </c>
      <c r="C1556">
        <v>3042.42</v>
      </c>
      <c r="D1556">
        <f t="shared" si="318"/>
        <v>-2.8915366449845776E-3</v>
      </c>
      <c r="E1556" t="str">
        <f t="shared" si="312"/>
        <v>2016-03</v>
      </c>
      <c r="G1556">
        <v>4423.9799999999996</v>
      </c>
      <c r="H1556">
        <f t="shared" si="319"/>
        <v>-1.8044370548499877E-3</v>
      </c>
      <c r="I1556" t="str">
        <f t="shared" si="313"/>
        <v>2016-03</v>
      </c>
      <c r="K1556">
        <v>10022.93</v>
      </c>
      <c r="L1556">
        <f t="shared" si="320"/>
        <v>3.2908754209342518E-3</v>
      </c>
      <c r="M1556" t="str">
        <f t="shared" si="314"/>
        <v>2016-03</v>
      </c>
      <c r="O1556">
        <v>7822.05296</v>
      </c>
      <c r="P1556">
        <f t="shared" si="321"/>
        <v>-3.1523366691252165E-3</v>
      </c>
      <c r="Q1556" t="str">
        <f t="shared" si="315"/>
        <v>2016-03</v>
      </c>
      <c r="S1556">
        <v>8927.1</v>
      </c>
      <c r="T1556">
        <f t="shared" si="322"/>
        <v>-7.2436990453048529E-3</v>
      </c>
      <c r="U1556" t="str">
        <f t="shared" si="316"/>
        <v>2016-03</v>
      </c>
      <c r="W1556">
        <v>18462.88</v>
      </c>
      <c r="X1556">
        <f t="shared" si="323"/>
        <v>-1.2698190358245895E-2</v>
      </c>
      <c r="Y1556">
        <f t="shared" si="324"/>
        <v>-1.2617908509734769E-2</v>
      </c>
      <c r="Z1556" t="str">
        <f t="shared" si="317"/>
        <v>2016-03</v>
      </c>
    </row>
    <row r="1557" spans="1:26" x14ac:dyDescent="0.35">
      <c r="A1557" s="1">
        <v>42453</v>
      </c>
      <c r="C1557">
        <v>2986.73</v>
      </c>
      <c r="D1557">
        <f t="shared" si="318"/>
        <v>-1.8474107916823777E-2</v>
      </c>
      <c r="E1557" t="str">
        <f t="shared" si="312"/>
        <v>2016-03</v>
      </c>
      <c r="G1557">
        <v>4329.68</v>
      </c>
      <c r="H1557">
        <f t="shared" si="319"/>
        <v>-2.1546107133027084E-2</v>
      </c>
      <c r="I1557" t="str">
        <f t="shared" si="313"/>
        <v>2016-03</v>
      </c>
      <c r="K1557">
        <v>9851.35</v>
      </c>
      <c r="L1557">
        <f t="shared" si="320"/>
        <v>-1.7266966451128647E-2</v>
      </c>
      <c r="M1557" t="str">
        <f t="shared" si="314"/>
        <v>2016-03</v>
      </c>
      <c r="O1557">
        <v>7741.46191</v>
      </c>
      <c r="P1557">
        <f t="shared" si="321"/>
        <v>-1.0356499929741549E-2</v>
      </c>
      <c r="Q1557" t="str">
        <f t="shared" si="315"/>
        <v>2016-03</v>
      </c>
      <c r="S1557">
        <v>8789.7999999999993</v>
      </c>
      <c r="T1557">
        <f t="shared" si="322"/>
        <v>-1.5499635796356414E-2</v>
      </c>
      <c r="U1557" t="str">
        <f t="shared" si="316"/>
        <v>2016-03</v>
      </c>
      <c r="W1557">
        <v>18165.84</v>
      </c>
      <c r="X1557">
        <f t="shared" si="323"/>
        <v>-1.6219322528459409E-2</v>
      </c>
      <c r="Y1557">
        <f t="shared" si="324"/>
        <v>-1.6088497569176685E-2</v>
      </c>
      <c r="Z1557" t="str">
        <f t="shared" si="317"/>
        <v>2016-03</v>
      </c>
    </row>
    <row r="1558" spans="1:26" x14ac:dyDescent="0.35">
      <c r="A1558" s="1">
        <v>42458</v>
      </c>
      <c r="C1558">
        <v>3004.87</v>
      </c>
      <c r="D1558">
        <f t="shared" si="318"/>
        <v>6.0551623690538042E-3</v>
      </c>
      <c r="E1558" t="str">
        <f t="shared" si="312"/>
        <v>2016-03</v>
      </c>
      <c r="G1558">
        <v>4366.67</v>
      </c>
      <c r="H1558">
        <f t="shared" si="319"/>
        <v>8.5070686163557976E-3</v>
      </c>
      <c r="I1558" t="str">
        <f t="shared" si="313"/>
        <v>2016-03</v>
      </c>
      <c r="K1558">
        <v>9887.94</v>
      </c>
      <c r="L1558">
        <f t="shared" si="320"/>
        <v>3.7073311054919363E-3</v>
      </c>
      <c r="M1558" t="str">
        <f t="shared" si="314"/>
        <v>2016-03</v>
      </c>
      <c r="O1558">
        <v>7786.7163200000005</v>
      </c>
      <c r="P1558">
        <f t="shared" si="321"/>
        <v>5.828698956360707E-3</v>
      </c>
      <c r="Q1558" t="str">
        <f t="shared" si="315"/>
        <v>2016-03</v>
      </c>
      <c r="S1558">
        <v>8808.2999999999993</v>
      </c>
      <c r="T1558">
        <f t="shared" si="322"/>
        <v>2.102500476182136E-3</v>
      </c>
      <c r="U1558" t="str">
        <f t="shared" si="316"/>
        <v>2016-03</v>
      </c>
      <c r="W1558">
        <v>18171.86</v>
      </c>
      <c r="X1558">
        <f t="shared" si="323"/>
        <v>3.3133632866567107E-4</v>
      </c>
      <c r="Y1558">
        <f t="shared" si="324"/>
        <v>3.3139122660996885E-4</v>
      </c>
      <c r="Z1558" t="str">
        <f t="shared" si="317"/>
        <v>2016-03</v>
      </c>
    </row>
    <row r="1559" spans="1:26" x14ac:dyDescent="0.35">
      <c r="A1559" s="1">
        <v>42459</v>
      </c>
      <c r="C1559">
        <v>3044.1</v>
      </c>
      <c r="D1559">
        <f t="shared" si="318"/>
        <v>1.2970985150914249E-2</v>
      </c>
      <c r="E1559" t="str">
        <f t="shared" si="312"/>
        <v>2016-03</v>
      </c>
      <c r="G1559">
        <v>4444.42</v>
      </c>
      <c r="H1559">
        <f t="shared" si="319"/>
        <v>1.7648671865108437E-2</v>
      </c>
      <c r="I1559" t="str">
        <f t="shared" si="313"/>
        <v>2016-03</v>
      </c>
      <c r="K1559">
        <v>10046.61</v>
      </c>
      <c r="L1559">
        <f t="shared" si="320"/>
        <v>1.5919431433516758E-2</v>
      </c>
      <c r="M1559" t="str">
        <f t="shared" si="314"/>
        <v>2016-03</v>
      </c>
      <c r="O1559">
        <v>7887.2711900000004</v>
      </c>
      <c r="P1559">
        <f t="shared" si="321"/>
        <v>1.283097227088334E-2</v>
      </c>
      <c r="Q1559" t="str">
        <f t="shared" si="315"/>
        <v>2016-03</v>
      </c>
      <c r="S1559">
        <v>8870.2000000000007</v>
      </c>
      <c r="T1559">
        <f t="shared" si="322"/>
        <v>7.0028851957495922E-3</v>
      </c>
      <c r="U1559" t="str">
        <f t="shared" si="316"/>
        <v>2016-03</v>
      </c>
      <c r="W1559">
        <v>18375.32</v>
      </c>
      <c r="X1559">
        <f t="shared" si="323"/>
        <v>1.1134216206014857E-2</v>
      </c>
      <c r="Y1559">
        <f t="shared" si="324"/>
        <v>1.1196432285962973E-2</v>
      </c>
      <c r="Z1559" t="str">
        <f t="shared" si="317"/>
        <v>2016-03</v>
      </c>
    </row>
    <row r="1560" spans="1:26" x14ac:dyDescent="0.35">
      <c r="A1560" s="1">
        <v>42460</v>
      </c>
      <c r="C1560">
        <v>3004.93</v>
      </c>
      <c r="D1560">
        <f t="shared" si="318"/>
        <v>-1.2951017764311661E-2</v>
      </c>
      <c r="E1560" t="str">
        <f t="shared" si="312"/>
        <v>2016-03</v>
      </c>
      <c r="G1560">
        <v>4385.0600000000004</v>
      </c>
      <c r="H1560">
        <f t="shared" si="319"/>
        <v>-1.3446068021794703E-2</v>
      </c>
      <c r="I1560" t="str">
        <f t="shared" si="313"/>
        <v>2016-03</v>
      </c>
      <c r="K1560">
        <v>9965.51</v>
      </c>
      <c r="L1560">
        <f t="shared" si="320"/>
        <v>-8.1051326871810336E-3</v>
      </c>
      <c r="M1560" t="str">
        <f t="shared" si="314"/>
        <v>2016-03</v>
      </c>
      <c r="O1560">
        <v>7809.6397999999999</v>
      </c>
      <c r="P1560">
        <f t="shared" si="321"/>
        <v>-9.8913758252943129E-3</v>
      </c>
      <c r="Q1560" t="str">
        <f t="shared" si="315"/>
        <v>2016-03</v>
      </c>
      <c r="S1560">
        <v>8723.1</v>
      </c>
      <c r="T1560">
        <f t="shared" si="322"/>
        <v>-1.6722664650344575E-2</v>
      </c>
      <c r="U1560" t="str">
        <f t="shared" si="316"/>
        <v>2016-03</v>
      </c>
      <c r="W1560">
        <v>18116.88</v>
      </c>
      <c r="X1560">
        <f t="shared" si="323"/>
        <v>-1.4164359554491388E-2</v>
      </c>
      <c r="Y1560">
        <f t="shared" si="324"/>
        <v>-1.4064516971677156E-2</v>
      </c>
      <c r="Z1560" t="str">
        <f t="shared" si="317"/>
        <v>2016-03</v>
      </c>
    </row>
    <row r="1561" spans="1:26" x14ac:dyDescent="0.35">
      <c r="A1561" s="1">
        <v>42461</v>
      </c>
      <c r="C1561">
        <v>2953.28</v>
      </c>
      <c r="D1561">
        <f t="shared" si="318"/>
        <v>-1.7337856111623209E-2</v>
      </c>
      <c r="E1561" t="str">
        <f t="shared" si="312"/>
        <v>2016-04</v>
      </c>
      <c r="G1561">
        <v>4322.24</v>
      </c>
      <c r="H1561">
        <f t="shared" si="319"/>
        <v>-1.442952235053495E-2</v>
      </c>
      <c r="I1561" t="str">
        <f t="shared" si="313"/>
        <v>2016-04</v>
      </c>
      <c r="K1561">
        <v>9794.64</v>
      </c>
      <c r="L1561">
        <f t="shared" si="320"/>
        <v>-1.7294834206651476E-2</v>
      </c>
      <c r="M1561" t="str">
        <f t="shared" si="314"/>
        <v>2016-04</v>
      </c>
      <c r="O1561">
        <v>7671.7723800000003</v>
      </c>
      <c r="P1561">
        <f t="shared" si="321"/>
        <v>-1.7811174214462148E-2</v>
      </c>
      <c r="Q1561" t="str">
        <f t="shared" si="315"/>
        <v>2016-04</v>
      </c>
      <c r="S1561">
        <v>8602.2999999999993</v>
      </c>
      <c r="T1561">
        <f t="shared" si="322"/>
        <v>-1.3945069967533513E-2</v>
      </c>
      <c r="U1561" t="str">
        <f t="shared" si="316"/>
        <v>2016-04</v>
      </c>
      <c r="W1561">
        <v>17776.84</v>
      </c>
      <c r="X1561">
        <f t="shared" si="323"/>
        <v>-1.8947613852479318E-2</v>
      </c>
      <c r="Y1561">
        <f t="shared" si="324"/>
        <v>-1.8769236204026346E-2</v>
      </c>
      <c r="Z1561" t="str">
        <f t="shared" si="317"/>
        <v>2016-04</v>
      </c>
    </row>
    <row r="1562" spans="1:26" x14ac:dyDescent="0.35">
      <c r="A1562" s="1">
        <v>42464</v>
      </c>
      <c r="C1562">
        <v>2962.28</v>
      </c>
      <c r="D1562">
        <f t="shared" si="318"/>
        <v>3.0428250052697684E-3</v>
      </c>
      <c r="E1562" t="str">
        <f t="shared" si="312"/>
        <v>2016-04</v>
      </c>
      <c r="G1562">
        <v>4345.22</v>
      </c>
      <c r="H1562">
        <f t="shared" si="319"/>
        <v>5.302603956683063E-3</v>
      </c>
      <c r="I1562" t="str">
        <f t="shared" si="313"/>
        <v>2016-04</v>
      </c>
      <c r="K1562">
        <v>9822.08</v>
      </c>
      <c r="L1562">
        <f t="shared" si="320"/>
        <v>2.7976152890942653E-3</v>
      </c>
      <c r="M1562" t="str">
        <f t="shared" si="314"/>
        <v>2016-04</v>
      </c>
      <c r="O1562">
        <v>7721.1833100000003</v>
      </c>
      <c r="P1562">
        <f t="shared" si="321"/>
        <v>6.4199625731042771E-3</v>
      </c>
      <c r="Q1562" t="str">
        <f t="shared" si="315"/>
        <v>2016-04</v>
      </c>
      <c r="S1562">
        <v>8597.5</v>
      </c>
      <c r="T1562">
        <f t="shared" si="322"/>
        <v>-5.5814603944344377E-4</v>
      </c>
      <c r="U1562" t="str">
        <f t="shared" si="316"/>
        <v>2016-04</v>
      </c>
      <c r="W1562">
        <v>17639.259999999998</v>
      </c>
      <c r="X1562">
        <f t="shared" si="323"/>
        <v>-7.7693869209415475E-3</v>
      </c>
      <c r="Y1562">
        <f t="shared" si="324"/>
        <v>-7.7392832471913876E-3</v>
      </c>
      <c r="Z1562" t="str">
        <f t="shared" si="317"/>
        <v>2016-04</v>
      </c>
    </row>
    <row r="1563" spans="1:26" x14ac:dyDescent="0.35">
      <c r="A1563" s="1">
        <v>42465</v>
      </c>
      <c r="C1563">
        <v>2890.35</v>
      </c>
      <c r="D1563">
        <f t="shared" si="318"/>
        <v>-2.4581640042460943E-2</v>
      </c>
      <c r="E1563" t="str">
        <f t="shared" si="312"/>
        <v>2016-04</v>
      </c>
      <c r="G1563">
        <v>4250.28</v>
      </c>
      <c r="H1563">
        <f t="shared" si="319"/>
        <v>-2.2091527227825584E-2</v>
      </c>
      <c r="I1563" t="str">
        <f t="shared" si="313"/>
        <v>2016-04</v>
      </c>
      <c r="K1563">
        <v>9563.36</v>
      </c>
      <c r="L1563">
        <f t="shared" si="320"/>
        <v>-2.6693782815238518E-2</v>
      </c>
      <c r="M1563" t="str">
        <f t="shared" si="314"/>
        <v>2016-04</v>
      </c>
      <c r="O1563">
        <v>7570.7425199999998</v>
      </c>
      <c r="P1563">
        <f t="shared" si="321"/>
        <v>-1.9676480962760083E-2</v>
      </c>
      <c r="Q1563" t="str">
        <f t="shared" si="315"/>
        <v>2016-04</v>
      </c>
      <c r="S1563">
        <v>8387.7000000000007</v>
      </c>
      <c r="T1563">
        <f t="shared" si="322"/>
        <v>-2.4705116303320063E-2</v>
      </c>
      <c r="U1563" t="str">
        <f t="shared" si="316"/>
        <v>2016-04</v>
      </c>
      <c r="W1563">
        <v>17109.3</v>
      </c>
      <c r="X1563">
        <f t="shared" si="323"/>
        <v>-3.0504924265658179E-2</v>
      </c>
      <c r="Y1563">
        <f t="shared" si="324"/>
        <v>-3.0044344263874968E-2</v>
      </c>
      <c r="Z1563" t="str">
        <f t="shared" si="317"/>
        <v>2016-04</v>
      </c>
    </row>
    <row r="1564" spans="1:26" x14ac:dyDescent="0.35">
      <c r="A1564" s="1">
        <v>42466</v>
      </c>
      <c r="C1564">
        <v>2909.36</v>
      </c>
      <c r="D1564">
        <f t="shared" si="318"/>
        <v>6.5555236656111302E-3</v>
      </c>
      <c r="E1564" t="str">
        <f t="shared" si="312"/>
        <v>2016-04</v>
      </c>
      <c r="G1564">
        <v>4284.6400000000003</v>
      </c>
      <c r="H1564">
        <f t="shared" si="319"/>
        <v>8.0516713989158047E-3</v>
      </c>
      <c r="I1564" t="str">
        <f t="shared" si="313"/>
        <v>2016-04</v>
      </c>
      <c r="K1564">
        <v>9624.51</v>
      </c>
      <c r="L1564">
        <f t="shared" si="320"/>
        <v>6.3738400377273338E-3</v>
      </c>
      <c r="M1564" t="str">
        <f t="shared" si="314"/>
        <v>2016-04</v>
      </c>
      <c r="O1564">
        <v>7626.0629600000002</v>
      </c>
      <c r="P1564">
        <f t="shared" si="321"/>
        <v>7.2805675423369982E-3</v>
      </c>
      <c r="Q1564" t="str">
        <f t="shared" si="315"/>
        <v>2016-04</v>
      </c>
      <c r="S1564">
        <v>8398.6</v>
      </c>
      <c r="T1564">
        <f t="shared" si="322"/>
        <v>1.2986782712048589E-3</v>
      </c>
      <c r="U1564" t="str">
        <f t="shared" si="316"/>
        <v>2016-04</v>
      </c>
      <c r="W1564">
        <v>17240.91</v>
      </c>
      <c r="X1564">
        <f t="shared" si="323"/>
        <v>7.6628727455690972E-3</v>
      </c>
      <c r="Y1564">
        <f t="shared" si="324"/>
        <v>7.6923076923077266E-3</v>
      </c>
      <c r="Z1564" t="str">
        <f t="shared" si="317"/>
        <v>2016-04</v>
      </c>
    </row>
    <row r="1565" spans="1:26" x14ac:dyDescent="0.35">
      <c r="A1565" s="1">
        <v>42467</v>
      </c>
      <c r="C1565">
        <v>2871.57</v>
      </c>
      <c r="D1565">
        <f t="shared" si="318"/>
        <v>-1.3074207195359892E-2</v>
      </c>
      <c r="E1565" t="str">
        <f t="shared" si="312"/>
        <v>2016-04</v>
      </c>
      <c r="G1565">
        <v>4245.91</v>
      </c>
      <c r="H1565">
        <f t="shared" si="319"/>
        <v>-9.080367881778649E-3</v>
      </c>
      <c r="I1565" t="str">
        <f t="shared" si="313"/>
        <v>2016-04</v>
      </c>
      <c r="K1565">
        <v>9530.6200000000008</v>
      </c>
      <c r="L1565">
        <f t="shared" si="320"/>
        <v>-9.8031965245905395E-3</v>
      </c>
      <c r="M1565" t="str">
        <f t="shared" si="314"/>
        <v>2016-04</v>
      </c>
      <c r="O1565">
        <v>7589.1146699999999</v>
      </c>
      <c r="P1565">
        <f t="shared" si="321"/>
        <v>-4.8567770324303428E-3</v>
      </c>
      <c r="Q1565" t="str">
        <f t="shared" si="315"/>
        <v>2016-04</v>
      </c>
      <c r="S1565">
        <v>8292.9</v>
      </c>
      <c r="T1565">
        <f t="shared" si="322"/>
        <v>-1.2665298258279402E-2</v>
      </c>
      <c r="U1565" t="str">
        <f t="shared" si="316"/>
        <v>2016-04</v>
      </c>
      <c r="W1565">
        <v>16818.25</v>
      </c>
      <c r="X1565">
        <f t="shared" si="323"/>
        <v>-2.4820441739456127E-2</v>
      </c>
      <c r="Y1565">
        <f t="shared" si="324"/>
        <v>-2.4514947296865413E-2</v>
      </c>
      <c r="Z1565" t="str">
        <f t="shared" si="317"/>
        <v>2016-04</v>
      </c>
    </row>
    <row r="1566" spans="1:26" x14ac:dyDescent="0.35">
      <c r="A1566" s="1">
        <v>42468</v>
      </c>
      <c r="C1566">
        <v>2911.98</v>
      </c>
      <c r="D1566">
        <f t="shared" si="318"/>
        <v>1.3974343650850691E-2</v>
      </c>
      <c r="E1566" t="str">
        <f t="shared" si="312"/>
        <v>2016-04</v>
      </c>
      <c r="G1566">
        <v>4303.12</v>
      </c>
      <c r="H1566">
        <f t="shared" si="319"/>
        <v>1.3384174351690585E-2</v>
      </c>
      <c r="I1566" t="str">
        <f t="shared" si="313"/>
        <v>2016-04</v>
      </c>
      <c r="K1566">
        <v>9622.26</v>
      </c>
      <c r="L1566">
        <f t="shared" si="320"/>
        <v>9.5693910590242525E-3</v>
      </c>
      <c r="M1566" t="str">
        <f t="shared" si="314"/>
        <v>2016-04</v>
      </c>
      <c r="O1566">
        <v>7678.4129000000003</v>
      </c>
      <c r="P1566">
        <f t="shared" si="321"/>
        <v>1.1697931822648645E-2</v>
      </c>
      <c r="Q1566" t="str">
        <f t="shared" si="315"/>
        <v>2016-04</v>
      </c>
      <c r="S1566">
        <v>8427.6</v>
      </c>
      <c r="T1566">
        <f t="shared" si="322"/>
        <v>1.6112306936948484E-2</v>
      </c>
      <c r="U1566" t="str">
        <f t="shared" si="316"/>
        <v>2016-04</v>
      </c>
      <c r="W1566">
        <v>17504.62</v>
      </c>
      <c r="X1566">
        <f t="shared" si="323"/>
        <v>4.0000239761809629E-2</v>
      </c>
      <c r="Y1566">
        <f t="shared" si="324"/>
        <v>4.0811023739092886E-2</v>
      </c>
      <c r="Z1566" t="str">
        <f t="shared" si="317"/>
        <v>2016-04</v>
      </c>
    </row>
    <row r="1567" spans="1:26" x14ac:dyDescent="0.35">
      <c r="A1567" s="1">
        <v>42471</v>
      </c>
      <c r="C1567">
        <v>2924.23</v>
      </c>
      <c r="D1567">
        <f t="shared" si="318"/>
        <v>4.1979359857854236E-3</v>
      </c>
      <c r="E1567" t="str">
        <f t="shared" si="312"/>
        <v>2016-04</v>
      </c>
      <c r="G1567">
        <v>4312.63</v>
      </c>
      <c r="H1567">
        <f t="shared" si="319"/>
        <v>2.20758584271756E-3</v>
      </c>
      <c r="I1567" t="str">
        <f t="shared" si="313"/>
        <v>2016-04</v>
      </c>
      <c r="K1567">
        <v>9682.99</v>
      </c>
      <c r="L1567">
        <f t="shared" si="320"/>
        <v>6.2915735696122879E-3</v>
      </c>
      <c r="M1567" t="str">
        <f t="shared" si="314"/>
        <v>2016-04</v>
      </c>
      <c r="O1567">
        <v>7736.8415199999999</v>
      </c>
      <c r="P1567">
        <f t="shared" si="321"/>
        <v>7.580659808093782E-3</v>
      </c>
      <c r="Q1567" t="str">
        <f t="shared" si="315"/>
        <v>2016-04</v>
      </c>
      <c r="S1567">
        <v>8497.6</v>
      </c>
      <c r="T1567">
        <f t="shared" si="322"/>
        <v>8.2717367151595236E-3</v>
      </c>
      <c r="U1567" t="str">
        <f t="shared" si="316"/>
        <v>2016-04</v>
      </c>
      <c r="W1567">
        <v>17722.66</v>
      </c>
      <c r="X1567">
        <f t="shared" si="323"/>
        <v>1.2379200690342646E-2</v>
      </c>
      <c r="Y1567">
        <f t="shared" si="324"/>
        <v>1.2456140150428908E-2</v>
      </c>
      <c r="Z1567" t="str">
        <f t="shared" si="317"/>
        <v>2016-04</v>
      </c>
    </row>
    <row r="1568" spans="1:26" x14ac:dyDescent="0.35">
      <c r="A1568" s="1">
        <v>42472</v>
      </c>
      <c r="C1568">
        <v>2942.09</v>
      </c>
      <c r="D1568">
        <f t="shared" si="318"/>
        <v>6.0890149809646925E-3</v>
      </c>
      <c r="E1568" t="str">
        <f t="shared" si="312"/>
        <v>2016-04</v>
      </c>
      <c r="G1568">
        <v>4345.91</v>
      </c>
      <c r="H1568">
        <f t="shared" si="319"/>
        <v>7.6872460914915288E-3</v>
      </c>
      <c r="I1568" t="str">
        <f t="shared" si="313"/>
        <v>2016-04</v>
      </c>
      <c r="K1568">
        <v>9761.4699999999993</v>
      </c>
      <c r="L1568">
        <f t="shared" si="320"/>
        <v>8.0722659467632567E-3</v>
      </c>
      <c r="M1568" t="str">
        <f t="shared" si="314"/>
        <v>2016-04</v>
      </c>
      <c r="O1568">
        <v>7816.1571000000004</v>
      </c>
      <c r="P1568">
        <f t="shared" si="321"/>
        <v>1.019948236774078E-2</v>
      </c>
      <c r="Q1568" t="str">
        <f t="shared" si="315"/>
        <v>2016-04</v>
      </c>
      <c r="S1568">
        <v>8546.2999999999993</v>
      </c>
      <c r="T1568">
        <f t="shared" si="322"/>
        <v>5.7146700619883327E-3</v>
      </c>
      <c r="U1568" t="str">
        <f t="shared" si="316"/>
        <v>2016-04</v>
      </c>
      <c r="W1568">
        <v>17444.8</v>
      </c>
      <c r="X1568">
        <f t="shared" si="323"/>
        <v>-1.5802436807962884E-2</v>
      </c>
      <c r="Y1568">
        <f t="shared" si="324"/>
        <v>-1.5678233402886509E-2</v>
      </c>
      <c r="Z1568" t="str">
        <f t="shared" si="317"/>
        <v>2016-04</v>
      </c>
    </row>
    <row r="1569" spans="1:26" x14ac:dyDescent="0.35">
      <c r="A1569" s="1">
        <v>42473</v>
      </c>
      <c r="C1569">
        <v>3039.19</v>
      </c>
      <c r="D1569">
        <f t="shared" si="318"/>
        <v>3.247081940056671E-2</v>
      </c>
      <c r="E1569" t="str">
        <f t="shared" si="312"/>
        <v>2016-04</v>
      </c>
      <c r="G1569">
        <v>4490.3100000000004</v>
      </c>
      <c r="H1569">
        <f t="shared" si="319"/>
        <v>3.2686568764953627E-2</v>
      </c>
      <c r="I1569" t="str">
        <f t="shared" si="313"/>
        <v>2016-04</v>
      </c>
      <c r="K1569">
        <v>10026.1</v>
      </c>
      <c r="L1569">
        <f t="shared" si="320"/>
        <v>2.6748689021159539E-2</v>
      </c>
      <c r="M1569" t="str">
        <f t="shared" si="314"/>
        <v>2016-04</v>
      </c>
      <c r="O1569">
        <v>8018.5830900000001</v>
      </c>
      <c r="P1569">
        <f t="shared" si="321"/>
        <v>2.5568719866474035E-2</v>
      </c>
      <c r="Q1569" t="str">
        <f t="shared" si="315"/>
        <v>2016-04</v>
      </c>
      <c r="S1569">
        <v>8820.7000000000007</v>
      </c>
      <c r="T1569">
        <f t="shared" si="322"/>
        <v>3.160279120083799E-2</v>
      </c>
      <c r="U1569" t="str">
        <f t="shared" si="316"/>
        <v>2016-04</v>
      </c>
      <c r="W1569">
        <v>18165.59</v>
      </c>
      <c r="X1569">
        <f t="shared" si="323"/>
        <v>4.0487535219760624E-2</v>
      </c>
      <c r="Y1569">
        <f t="shared" si="324"/>
        <v>4.1318329817481479E-2</v>
      </c>
      <c r="Z1569" t="str">
        <f t="shared" si="317"/>
        <v>2016-04</v>
      </c>
    </row>
    <row r="1570" spans="1:26" x14ac:dyDescent="0.35">
      <c r="A1570" s="1">
        <v>42474</v>
      </c>
      <c r="C1570">
        <v>3060.86</v>
      </c>
      <c r="D1570">
        <f t="shared" si="318"/>
        <v>7.1048896836617605E-3</v>
      </c>
      <c r="E1570" t="str">
        <f t="shared" si="312"/>
        <v>2016-04</v>
      </c>
      <c r="G1570">
        <v>4511.51</v>
      </c>
      <c r="H1570">
        <f t="shared" si="319"/>
        <v>4.7101673205373566E-3</v>
      </c>
      <c r="I1570" t="str">
        <f t="shared" si="313"/>
        <v>2016-04</v>
      </c>
      <c r="K1570">
        <v>10093.65</v>
      </c>
      <c r="L1570">
        <f t="shared" si="320"/>
        <v>6.7148203941153209E-3</v>
      </c>
      <c r="M1570" t="str">
        <f t="shared" si="314"/>
        <v>2016-04</v>
      </c>
      <c r="O1570">
        <v>7999.1762699999999</v>
      </c>
      <c r="P1570">
        <f t="shared" si="321"/>
        <v>-2.4231640718014721E-3</v>
      </c>
      <c r="Q1570" t="str">
        <f t="shared" si="315"/>
        <v>2016-04</v>
      </c>
      <c r="S1570">
        <v>8861.5</v>
      </c>
      <c r="T1570">
        <f t="shared" si="322"/>
        <v>4.6148185642335502E-3</v>
      </c>
      <c r="U1570" t="str">
        <f t="shared" si="316"/>
        <v>2016-04</v>
      </c>
      <c r="W1570">
        <v>18329.09</v>
      </c>
      <c r="X1570">
        <f t="shared" si="323"/>
        <v>8.960270039428694E-3</v>
      </c>
      <c r="Y1570">
        <f t="shared" si="324"/>
        <v>9.0005334261094739E-3</v>
      </c>
      <c r="Z1570" t="str">
        <f t="shared" si="317"/>
        <v>2016-04</v>
      </c>
    </row>
    <row r="1571" spans="1:26" x14ac:dyDescent="0.35">
      <c r="A1571" s="1">
        <v>42475</v>
      </c>
      <c r="C1571">
        <v>3054.34</v>
      </c>
      <c r="D1571">
        <f t="shared" si="318"/>
        <v>-2.13239222612144E-3</v>
      </c>
      <c r="E1571" t="str">
        <f t="shared" si="312"/>
        <v>2016-04</v>
      </c>
      <c r="G1571">
        <v>4495.17</v>
      </c>
      <c r="H1571">
        <f t="shared" si="319"/>
        <v>-3.6284219994372367E-3</v>
      </c>
      <c r="I1571" t="str">
        <f t="shared" si="313"/>
        <v>2016-04</v>
      </c>
      <c r="K1571">
        <v>10051.57</v>
      </c>
      <c r="L1571">
        <f t="shared" si="320"/>
        <v>-4.1776720434562207E-3</v>
      </c>
      <c r="M1571" t="str">
        <f t="shared" si="314"/>
        <v>2016-04</v>
      </c>
      <c r="O1571">
        <v>7988.9250300000003</v>
      </c>
      <c r="P1571">
        <f t="shared" si="321"/>
        <v>-1.28235882578483E-3</v>
      </c>
      <c r="Q1571" t="str">
        <f t="shared" si="315"/>
        <v>2016-04</v>
      </c>
      <c r="S1571">
        <v>8850.9</v>
      </c>
      <c r="T1571">
        <f t="shared" si="322"/>
        <v>-1.1969017485423533E-3</v>
      </c>
      <c r="U1571" t="str">
        <f t="shared" si="316"/>
        <v>2016-04</v>
      </c>
      <c r="W1571">
        <v>18257.349999999999</v>
      </c>
      <c r="X1571">
        <f t="shared" si="323"/>
        <v>-3.9216765525170805E-3</v>
      </c>
      <c r="Y1571">
        <f t="shared" si="324"/>
        <v>-3.9139968214462143E-3</v>
      </c>
      <c r="Z1571" t="str">
        <f t="shared" si="317"/>
        <v>2016-04</v>
      </c>
    </row>
    <row r="1572" spans="1:26" x14ac:dyDescent="0.35">
      <c r="A1572" s="1">
        <v>42478</v>
      </c>
      <c r="C1572">
        <v>3064.03</v>
      </c>
      <c r="D1572">
        <f t="shared" si="318"/>
        <v>3.1675129492848473E-3</v>
      </c>
      <c r="E1572" t="str">
        <f t="shared" si="312"/>
        <v>2016-04</v>
      </c>
      <c r="G1572">
        <v>4506.84</v>
      </c>
      <c r="H1572">
        <f t="shared" si="319"/>
        <v>2.5927557373334222E-3</v>
      </c>
      <c r="I1572" t="str">
        <f t="shared" si="313"/>
        <v>2016-04</v>
      </c>
      <c r="K1572">
        <v>10120.31</v>
      </c>
      <c r="L1572">
        <f t="shared" si="320"/>
        <v>6.8154545915689929E-3</v>
      </c>
      <c r="M1572" t="str">
        <f t="shared" si="314"/>
        <v>2016-04</v>
      </c>
      <c r="O1572">
        <v>8009.6428299999998</v>
      </c>
      <c r="P1572">
        <f t="shared" si="321"/>
        <v>2.5899582715584683E-3</v>
      </c>
      <c r="Q1572" t="str">
        <f t="shared" si="315"/>
        <v>2016-04</v>
      </c>
      <c r="S1572">
        <v>8881.6</v>
      </c>
      <c r="T1572">
        <f t="shared" si="322"/>
        <v>3.4625721892447307E-3</v>
      </c>
      <c r="U1572" t="str">
        <f t="shared" si="316"/>
        <v>2016-04</v>
      </c>
      <c r="W1572">
        <v>18358.25</v>
      </c>
      <c r="X1572">
        <f t="shared" si="323"/>
        <v>5.5113260687030211E-3</v>
      </c>
      <c r="Y1572">
        <f t="shared" si="324"/>
        <v>5.5265413655323182E-3</v>
      </c>
      <c r="Z1572" t="str">
        <f t="shared" si="317"/>
        <v>2016-04</v>
      </c>
    </row>
    <row r="1573" spans="1:26" x14ac:dyDescent="0.35">
      <c r="A1573" s="1">
        <v>42479</v>
      </c>
      <c r="C1573">
        <v>3112.99</v>
      </c>
      <c r="D1573">
        <f t="shared" si="318"/>
        <v>1.5852636165816079E-2</v>
      </c>
      <c r="E1573" t="str">
        <f t="shared" si="312"/>
        <v>2016-04</v>
      </c>
      <c r="G1573">
        <v>4566.4799999999996</v>
      </c>
      <c r="H1573">
        <f t="shared" si="319"/>
        <v>1.3146424672573952E-2</v>
      </c>
      <c r="I1573" t="str">
        <f t="shared" si="313"/>
        <v>2016-04</v>
      </c>
      <c r="K1573">
        <v>10349.59</v>
      </c>
      <c r="L1573">
        <f t="shared" si="320"/>
        <v>2.2402609598947711E-2</v>
      </c>
      <c r="M1573" t="str">
        <f t="shared" si="314"/>
        <v>2016-04</v>
      </c>
      <c r="O1573">
        <v>8099.5920999999998</v>
      </c>
      <c r="P1573">
        <f t="shared" si="321"/>
        <v>1.1167532811472479E-2</v>
      </c>
      <c r="Q1573" t="str">
        <f t="shared" si="315"/>
        <v>2016-04</v>
      </c>
      <c r="S1573">
        <v>8971.2999999999993</v>
      </c>
      <c r="T1573">
        <f t="shared" si="322"/>
        <v>1.0048872152195899E-2</v>
      </c>
      <c r="U1573" t="str">
        <f t="shared" si="316"/>
        <v>2016-04</v>
      </c>
      <c r="W1573">
        <v>18447.98</v>
      </c>
      <c r="X1573">
        <f t="shared" si="323"/>
        <v>4.8758146523991365E-3</v>
      </c>
      <c r="Y1573">
        <f t="shared" si="324"/>
        <v>4.8877207794860381E-3</v>
      </c>
      <c r="Z1573" t="str">
        <f t="shared" si="317"/>
        <v>2016-04</v>
      </c>
    </row>
    <row r="1574" spans="1:26" x14ac:dyDescent="0.35">
      <c r="A1574" s="1">
        <v>42480</v>
      </c>
      <c r="C1574">
        <v>3142.52</v>
      </c>
      <c r="D1574">
        <f t="shared" si="318"/>
        <v>9.4413467026557094E-3</v>
      </c>
      <c r="E1574" t="str">
        <f t="shared" si="312"/>
        <v>2016-04</v>
      </c>
      <c r="G1574">
        <v>4591.92</v>
      </c>
      <c r="H1574">
        <f t="shared" si="319"/>
        <v>5.555569844602184E-3</v>
      </c>
      <c r="I1574" t="str">
        <f t="shared" si="313"/>
        <v>2016-04</v>
      </c>
      <c r="K1574">
        <v>10421.290000000001</v>
      </c>
      <c r="L1574">
        <f t="shared" si="320"/>
        <v>6.9039236462913245E-3</v>
      </c>
      <c r="M1574" t="str">
        <f t="shared" si="314"/>
        <v>2016-04</v>
      </c>
      <c r="O1574">
        <v>8139.1683000000003</v>
      </c>
      <c r="P1574">
        <f t="shared" si="321"/>
        <v>4.8742979614162249E-3</v>
      </c>
      <c r="Q1574" t="str">
        <f t="shared" si="315"/>
        <v>2016-04</v>
      </c>
      <c r="S1574">
        <v>9147.2000000000007</v>
      </c>
      <c r="T1574">
        <f t="shared" si="322"/>
        <v>1.9417228421614023E-2</v>
      </c>
      <c r="U1574" t="str">
        <f t="shared" si="316"/>
        <v>2016-04</v>
      </c>
      <c r="W1574">
        <v>18658.36</v>
      </c>
      <c r="X1574">
        <f t="shared" si="323"/>
        <v>1.1339423627401335E-2</v>
      </c>
      <c r="Y1574">
        <f t="shared" si="324"/>
        <v>1.1403958590588294E-2</v>
      </c>
      <c r="Z1574" t="str">
        <f t="shared" si="317"/>
        <v>2016-04</v>
      </c>
    </row>
    <row r="1575" spans="1:26" x14ac:dyDescent="0.35">
      <c r="A1575" s="1">
        <v>42481</v>
      </c>
      <c r="C1575">
        <v>3151.69</v>
      </c>
      <c r="D1575">
        <f t="shared" si="318"/>
        <v>2.9137910835229587E-3</v>
      </c>
      <c r="E1575" t="str">
        <f t="shared" si="312"/>
        <v>2016-04</v>
      </c>
      <c r="G1575">
        <v>4582.83</v>
      </c>
      <c r="H1575">
        <f t="shared" si="319"/>
        <v>-1.9815260305256323E-3</v>
      </c>
      <c r="I1575" t="str">
        <f t="shared" si="313"/>
        <v>2016-04</v>
      </c>
      <c r="K1575">
        <v>10435.73</v>
      </c>
      <c r="L1575">
        <f t="shared" si="320"/>
        <v>1.3846659117312354E-3</v>
      </c>
      <c r="M1575" t="str">
        <f t="shared" si="314"/>
        <v>2016-04</v>
      </c>
      <c r="O1575">
        <v>8094.0020500000001</v>
      </c>
      <c r="P1575">
        <f t="shared" si="321"/>
        <v>-5.564700619438174E-3</v>
      </c>
      <c r="Q1575" t="str">
        <f t="shared" si="315"/>
        <v>2016-04</v>
      </c>
      <c r="S1575">
        <v>9197.2000000000007</v>
      </c>
      <c r="T1575">
        <f t="shared" si="322"/>
        <v>5.4512683781390361E-3</v>
      </c>
      <c r="U1575" t="str">
        <f t="shared" si="316"/>
        <v>2016-04</v>
      </c>
      <c r="W1575">
        <v>18732.96</v>
      </c>
      <c r="X1575">
        <f t="shared" si="323"/>
        <v>3.9902361821750809E-3</v>
      </c>
      <c r="Y1575">
        <f t="shared" si="324"/>
        <v>3.9982077738878732E-3</v>
      </c>
      <c r="Z1575" t="str">
        <f t="shared" si="317"/>
        <v>2016-04</v>
      </c>
    </row>
    <row r="1576" spans="1:26" x14ac:dyDescent="0.35">
      <c r="A1576" s="1">
        <v>42482</v>
      </c>
      <c r="C1576">
        <v>3141.12</v>
      </c>
      <c r="D1576">
        <f t="shared" si="318"/>
        <v>-3.3593926848768572E-3</v>
      </c>
      <c r="E1576" t="str">
        <f t="shared" si="312"/>
        <v>2016-04</v>
      </c>
      <c r="G1576">
        <v>4569.66</v>
      </c>
      <c r="H1576">
        <f t="shared" si="319"/>
        <v>-2.8779073432211211E-3</v>
      </c>
      <c r="I1576" t="str">
        <f t="shared" si="313"/>
        <v>2016-04</v>
      </c>
      <c r="K1576">
        <v>10373.49</v>
      </c>
      <c r="L1576">
        <f t="shared" si="320"/>
        <v>-5.9819816023962916E-3</v>
      </c>
      <c r="M1576" t="str">
        <f t="shared" si="314"/>
        <v>2016-04</v>
      </c>
      <c r="O1576">
        <v>8088.9236199999996</v>
      </c>
      <c r="P1576">
        <f t="shared" si="321"/>
        <v>-6.2762818915023419E-4</v>
      </c>
      <c r="Q1576" t="str">
        <f t="shared" si="315"/>
        <v>2016-04</v>
      </c>
      <c r="S1576">
        <v>9232.7999999999993</v>
      </c>
      <c r="T1576">
        <f t="shared" si="322"/>
        <v>3.863271218349056E-3</v>
      </c>
      <c r="U1576" t="str">
        <f t="shared" si="316"/>
        <v>2016-04</v>
      </c>
      <c r="W1576">
        <v>18687.04</v>
      </c>
      <c r="X1576">
        <f t="shared" si="323"/>
        <v>-2.4543037440049095E-3</v>
      </c>
      <c r="Y1576">
        <f t="shared" si="324"/>
        <v>-2.451294403020038E-3</v>
      </c>
      <c r="Z1576" t="str">
        <f t="shared" si="317"/>
        <v>2016-04</v>
      </c>
    </row>
    <row r="1577" spans="1:26" x14ac:dyDescent="0.35">
      <c r="A1577" s="1">
        <v>42485</v>
      </c>
      <c r="C1577">
        <v>3117.62</v>
      </c>
      <c r="D1577">
        <f t="shared" si="318"/>
        <v>-7.5095340072876314E-3</v>
      </c>
      <c r="E1577" t="str">
        <f t="shared" si="312"/>
        <v>2016-04</v>
      </c>
      <c r="G1577">
        <v>4546.12</v>
      </c>
      <c r="H1577">
        <f t="shared" si="319"/>
        <v>-5.1646819746319749E-3</v>
      </c>
      <c r="I1577" t="str">
        <f t="shared" si="313"/>
        <v>2016-04</v>
      </c>
      <c r="K1577">
        <v>10294.35</v>
      </c>
      <c r="L1577">
        <f t="shared" si="320"/>
        <v>-7.6583123146594509E-3</v>
      </c>
      <c r="M1577" t="str">
        <f t="shared" si="314"/>
        <v>2016-04</v>
      </c>
      <c r="O1577">
        <v>8051.5008799999996</v>
      </c>
      <c r="P1577">
        <f t="shared" si="321"/>
        <v>-4.6371527662097218E-3</v>
      </c>
      <c r="Q1577" t="str">
        <f t="shared" si="315"/>
        <v>2016-04</v>
      </c>
      <c r="S1577">
        <v>9140</v>
      </c>
      <c r="T1577">
        <f t="shared" si="322"/>
        <v>-1.0101975657999239E-2</v>
      </c>
      <c r="U1577" t="str">
        <f t="shared" si="316"/>
        <v>2016-04</v>
      </c>
      <c r="W1577">
        <v>18403.23</v>
      </c>
      <c r="X1577">
        <f t="shared" si="323"/>
        <v>-1.5304042776078939E-2</v>
      </c>
      <c r="Y1577">
        <f t="shared" si="324"/>
        <v>-1.5187531037553369E-2</v>
      </c>
      <c r="Z1577" t="str">
        <f t="shared" si="317"/>
        <v>2016-04</v>
      </c>
    </row>
    <row r="1578" spans="1:26" x14ac:dyDescent="0.35">
      <c r="A1578" s="1">
        <v>42486</v>
      </c>
      <c r="C1578">
        <v>3121.29</v>
      </c>
      <c r="D1578">
        <f t="shared" si="318"/>
        <v>1.1764876952260717E-3</v>
      </c>
      <c r="E1578" t="str">
        <f t="shared" si="312"/>
        <v>2016-04</v>
      </c>
      <c r="G1578">
        <v>4533.18</v>
      </c>
      <c r="H1578">
        <f t="shared" si="319"/>
        <v>-2.8504419418847859E-3</v>
      </c>
      <c r="I1578" t="str">
        <f t="shared" si="313"/>
        <v>2016-04</v>
      </c>
      <c r="K1578">
        <v>10259.59</v>
      </c>
      <c r="L1578">
        <f t="shared" si="320"/>
        <v>-3.382323110622846E-3</v>
      </c>
      <c r="M1578" t="str">
        <f t="shared" si="314"/>
        <v>2016-04</v>
      </c>
      <c r="O1578">
        <v>8113.9579599999997</v>
      </c>
      <c r="P1578">
        <f t="shared" si="321"/>
        <v>7.7272648301700952E-3</v>
      </c>
      <c r="Q1578" t="str">
        <f t="shared" si="315"/>
        <v>2016-04</v>
      </c>
      <c r="S1578">
        <v>9283</v>
      </c>
      <c r="T1578">
        <f t="shared" si="322"/>
        <v>1.5524384951736938E-2</v>
      </c>
      <c r="U1578" t="str">
        <f t="shared" si="316"/>
        <v>2016-04</v>
      </c>
      <c r="W1578">
        <v>18670.41</v>
      </c>
      <c r="X1578">
        <f t="shared" si="323"/>
        <v>1.4413724989479335E-2</v>
      </c>
      <c r="Y1578">
        <f t="shared" si="324"/>
        <v>1.4518103615506641E-2</v>
      </c>
      <c r="Z1578" t="str">
        <f t="shared" si="317"/>
        <v>2016-04</v>
      </c>
    </row>
    <row r="1579" spans="1:26" x14ac:dyDescent="0.35">
      <c r="A1579" s="1">
        <v>42487</v>
      </c>
      <c r="C1579">
        <v>3130.43</v>
      </c>
      <c r="D1579">
        <f t="shared" si="318"/>
        <v>2.9239973997768711E-3</v>
      </c>
      <c r="E1579" t="str">
        <f t="shared" si="312"/>
        <v>2016-04</v>
      </c>
      <c r="G1579">
        <v>4559.3999999999996</v>
      </c>
      <c r="H1579">
        <f t="shared" si="319"/>
        <v>5.7673559492006391E-3</v>
      </c>
      <c r="I1579" t="str">
        <f t="shared" si="313"/>
        <v>2016-04</v>
      </c>
      <c r="K1579">
        <v>10299.83</v>
      </c>
      <c r="L1579">
        <f t="shared" si="320"/>
        <v>3.9145123144989375E-3</v>
      </c>
      <c r="M1579" t="str">
        <f t="shared" si="314"/>
        <v>2016-04</v>
      </c>
      <c r="O1579">
        <v>8123.1269899999998</v>
      </c>
      <c r="P1579">
        <f t="shared" si="321"/>
        <v>1.1293937308142433E-3</v>
      </c>
      <c r="Q1579" t="str">
        <f t="shared" si="315"/>
        <v>2016-04</v>
      </c>
      <c r="S1579">
        <v>9332.6</v>
      </c>
      <c r="T1579">
        <f t="shared" si="322"/>
        <v>5.3288765738310449E-3</v>
      </c>
      <c r="U1579" t="str">
        <f t="shared" si="316"/>
        <v>2016-04</v>
      </c>
      <c r="W1579">
        <v>18750.62</v>
      </c>
      <c r="X1579">
        <f t="shared" si="323"/>
        <v>4.2869008596696052E-3</v>
      </c>
      <c r="Y1579">
        <f t="shared" si="324"/>
        <v>4.29610276367788E-3</v>
      </c>
      <c r="Z1579" t="str">
        <f t="shared" si="317"/>
        <v>2016-04</v>
      </c>
    </row>
    <row r="1580" spans="1:26" x14ac:dyDescent="0.35">
      <c r="A1580" s="1">
        <v>42488</v>
      </c>
      <c r="C1580">
        <v>3125.43</v>
      </c>
      <c r="D1580">
        <f t="shared" si="318"/>
        <v>-1.5985015856076832E-3</v>
      </c>
      <c r="E1580" t="str">
        <f t="shared" si="312"/>
        <v>2016-04</v>
      </c>
      <c r="G1580">
        <v>4557.3599999999997</v>
      </c>
      <c r="H1580">
        <f t="shared" si="319"/>
        <v>-4.4752741852321795E-4</v>
      </c>
      <c r="I1580" t="str">
        <f t="shared" si="313"/>
        <v>2016-04</v>
      </c>
      <c r="K1580">
        <v>10321.15</v>
      </c>
      <c r="L1580">
        <f t="shared" si="320"/>
        <v>2.067797708610113E-3</v>
      </c>
      <c r="M1580" t="str">
        <f t="shared" si="314"/>
        <v>2016-04</v>
      </c>
      <c r="O1580">
        <v>8140.4315800000004</v>
      </c>
      <c r="P1580">
        <f t="shared" si="321"/>
        <v>2.1280209316798695E-3</v>
      </c>
      <c r="Q1580" t="str">
        <f t="shared" si="315"/>
        <v>2016-04</v>
      </c>
      <c r="S1580">
        <v>9269</v>
      </c>
      <c r="T1580">
        <f t="shared" si="322"/>
        <v>-6.8381480979308714E-3</v>
      </c>
      <c r="U1580" t="str">
        <f t="shared" si="316"/>
        <v>2016-04</v>
      </c>
      <c r="W1580">
        <v>18976.71</v>
      </c>
      <c r="X1580">
        <f t="shared" si="323"/>
        <v>1.198561926193749E-2</v>
      </c>
      <c r="Y1580">
        <f t="shared" si="324"/>
        <v>1.2057734624241766E-2</v>
      </c>
      <c r="Z1580" t="str">
        <f t="shared" si="317"/>
        <v>2016-04</v>
      </c>
    </row>
    <row r="1581" spans="1:26" x14ac:dyDescent="0.35">
      <c r="A1581" s="1">
        <v>42489</v>
      </c>
      <c r="C1581">
        <v>3028.21</v>
      </c>
      <c r="D1581">
        <f t="shared" si="318"/>
        <v>-3.1600187843880537E-2</v>
      </c>
      <c r="E1581" t="str">
        <f t="shared" si="312"/>
        <v>2016-04</v>
      </c>
      <c r="G1581">
        <v>4428.96</v>
      </c>
      <c r="H1581">
        <f t="shared" si="319"/>
        <v>-2.8578714986915593E-2</v>
      </c>
      <c r="I1581" t="str">
        <f t="shared" si="313"/>
        <v>2016-04</v>
      </c>
      <c r="K1581">
        <v>10038.969999999999</v>
      </c>
      <c r="L1581">
        <f t="shared" si="320"/>
        <v>-2.7720668594153102E-2</v>
      </c>
      <c r="M1581" t="str">
        <f t="shared" si="314"/>
        <v>2016-04</v>
      </c>
      <c r="O1581">
        <v>7980.2345400000004</v>
      </c>
      <c r="P1581">
        <f t="shared" si="321"/>
        <v>-1.9875396257721639E-2</v>
      </c>
      <c r="Q1581" t="str">
        <f t="shared" si="315"/>
        <v>2016-04</v>
      </c>
      <c r="S1581">
        <v>9025.7000000000007</v>
      </c>
      <c r="T1581">
        <f t="shared" si="322"/>
        <v>-2.6599435355682863E-2</v>
      </c>
      <c r="U1581" t="str">
        <f t="shared" si="316"/>
        <v>2016-04</v>
      </c>
      <c r="W1581">
        <v>18600.560000000001</v>
      </c>
      <c r="X1581">
        <f t="shared" si="323"/>
        <v>-2.0020750005518746E-2</v>
      </c>
      <c r="Y1581">
        <f t="shared" si="324"/>
        <v>-1.9821665610108275E-2</v>
      </c>
      <c r="Z1581" t="str">
        <f t="shared" si="317"/>
        <v>2016-04</v>
      </c>
    </row>
    <row r="1582" spans="1:26" x14ac:dyDescent="0.35">
      <c r="A1582" s="1">
        <v>42493</v>
      </c>
      <c r="C1582">
        <v>2974.2</v>
      </c>
      <c r="D1582">
        <f t="shared" si="318"/>
        <v>-1.7996590606026562E-2</v>
      </c>
      <c r="E1582" t="str">
        <f t="shared" si="312"/>
        <v>2016-05</v>
      </c>
      <c r="G1582">
        <v>4371.9799999999996</v>
      </c>
      <c r="H1582">
        <f t="shared" si="319"/>
        <v>-1.2948797777806009E-2</v>
      </c>
      <c r="I1582" t="str">
        <f t="shared" si="313"/>
        <v>2016-05</v>
      </c>
      <c r="K1582">
        <v>9926.77</v>
      </c>
      <c r="L1582">
        <f t="shared" si="320"/>
        <v>-1.1239371154978537E-2</v>
      </c>
      <c r="M1582" t="str">
        <f t="shared" si="314"/>
        <v>2016-05</v>
      </c>
      <c r="O1582">
        <v>7815.2973700000002</v>
      </c>
      <c r="P1582">
        <f t="shared" si="321"/>
        <v>-2.088478767412151E-2</v>
      </c>
      <c r="Q1582" t="str">
        <f t="shared" si="315"/>
        <v>2016-05</v>
      </c>
      <c r="S1582">
        <v>8764.9</v>
      </c>
      <c r="T1582">
        <f t="shared" si="322"/>
        <v>-2.9320954243018685E-2</v>
      </c>
      <c r="U1582" t="str">
        <f t="shared" si="316"/>
        <v>2016-05</v>
      </c>
      <c r="W1582">
        <v>17966.810000000001</v>
      </c>
      <c r="X1582">
        <f t="shared" si="323"/>
        <v>-3.4665520841245828E-2</v>
      </c>
      <c r="Y1582">
        <f t="shared" si="324"/>
        <v>-3.4071554834908195E-2</v>
      </c>
      <c r="Z1582" t="str">
        <f t="shared" si="317"/>
        <v>2016-05</v>
      </c>
    </row>
    <row r="1583" spans="1:26" x14ac:dyDescent="0.35">
      <c r="A1583" s="1">
        <v>42494</v>
      </c>
      <c r="C1583">
        <v>2938.75</v>
      </c>
      <c r="D1583">
        <f t="shared" si="318"/>
        <v>-1.1990774400303932E-2</v>
      </c>
      <c r="E1583" t="str">
        <f t="shared" si="312"/>
        <v>2016-05</v>
      </c>
      <c r="G1583">
        <v>4324.2299999999996</v>
      </c>
      <c r="H1583">
        <f t="shared" si="319"/>
        <v>-1.0981905886706051E-2</v>
      </c>
      <c r="I1583" t="str">
        <f t="shared" si="313"/>
        <v>2016-05</v>
      </c>
      <c r="K1583">
        <v>9828.25</v>
      </c>
      <c r="L1583">
        <f t="shared" si="320"/>
        <v>-9.9742563436512142E-3</v>
      </c>
      <c r="M1583" t="str">
        <f t="shared" si="314"/>
        <v>2016-05</v>
      </c>
      <c r="O1583">
        <v>7703.6863400000002</v>
      </c>
      <c r="P1583">
        <f t="shared" si="321"/>
        <v>-1.4384054580992227E-2</v>
      </c>
      <c r="Q1583" t="str">
        <f t="shared" si="315"/>
        <v>2016-05</v>
      </c>
      <c r="S1583">
        <v>8654.2999999999993</v>
      </c>
      <c r="T1583">
        <f t="shared" si="322"/>
        <v>-1.2698802042773433E-2</v>
      </c>
      <c r="U1583" t="str">
        <f t="shared" si="316"/>
        <v>2016-05</v>
      </c>
      <c r="W1583">
        <v>17935.669999999998</v>
      </c>
      <c r="X1583">
        <f t="shared" si="323"/>
        <v>-1.7346995421392308E-3</v>
      </c>
      <c r="Y1583">
        <f t="shared" si="324"/>
        <v>-1.7331958205158875E-3</v>
      </c>
      <c r="Z1583" t="str">
        <f t="shared" si="317"/>
        <v>2016-05</v>
      </c>
    </row>
    <row r="1584" spans="1:26" x14ac:dyDescent="0.35">
      <c r="A1584" s="1">
        <v>42495</v>
      </c>
      <c r="C1584">
        <v>2940.35</v>
      </c>
      <c r="D1584">
        <f t="shared" si="318"/>
        <v>5.4430101189020526E-4</v>
      </c>
      <c r="E1584" t="str">
        <f t="shared" si="312"/>
        <v>2016-05</v>
      </c>
      <c r="G1584">
        <v>4319.46</v>
      </c>
      <c r="H1584">
        <f t="shared" si="319"/>
        <v>-1.1036954088384798E-3</v>
      </c>
      <c r="I1584" t="str">
        <f t="shared" si="313"/>
        <v>2016-05</v>
      </c>
      <c r="K1584">
        <v>9851.86</v>
      </c>
      <c r="L1584">
        <f t="shared" si="320"/>
        <v>2.3993779838553226E-3</v>
      </c>
      <c r="M1584" t="str">
        <f t="shared" si="314"/>
        <v>2016-05</v>
      </c>
      <c r="O1584">
        <v>7766.0986700000003</v>
      </c>
      <c r="P1584">
        <f t="shared" si="321"/>
        <v>8.0689768590581721E-3</v>
      </c>
      <c r="Q1584" t="str">
        <f t="shared" si="315"/>
        <v>2016-05</v>
      </c>
      <c r="S1584">
        <v>8689.4</v>
      </c>
      <c r="T1584">
        <f t="shared" si="322"/>
        <v>4.0475847622012196E-3</v>
      </c>
      <c r="U1584" t="str">
        <f t="shared" si="316"/>
        <v>2016-05</v>
      </c>
      <c r="W1584">
        <v>17923.900000000001</v>
      </c>
      <c r="X1584">
        <f t="shared" si="323"/>
        <v>-6.5644961290189691E-4</v>
      </c>
      <c r="Y1584">
        <f t="shared" si="324"/>
        <v>-6.5623419699385635E-4</v>
      </c>
      <c r="Z1584" t="str">
        <f t="shared" si="317"/>
        <v>2016-05</v>
      </c>
    </row>
    <row r="1585" spans="1:26" x14ac:dyDescent="0.35">
      <c r="A1585" s="1">
        <v>42496</v>
      </c>
      <c r="C1585">
        <v>2936.84</v>
      </c>
      <c r="D1585">
        <f t="shared" si="318"/>
        <v>-1.1944485093426432E-3</v>
      </c>
      <c r="E1585" t="str">
        <f t="shared" si="312"/>
        <v>2016-05</v>
      </c>
      <c r="G1585">
        <v>4301.24</v>
      </c>
      <c r="H1585">
        <f t="shared" si="319"/>
        <v>-4.2270412215680842E-3</v>
      </c>
      <c r="I1585" t="str">
        <f t="shared" si="313"/>
        <v>2016-05</v>
      </c>
      <c r="K1585">
        <v>9869.9500000000007</v>
      </c>
      <c r="L1585">
        <f t="shared" si="320"/>
        <v>1.8345177317319653E-3</v>
      </c>
      <c r="M1585" t="str">
        <f t="shared" si="314"/>
        <v>2016-05</v>
      </c>
      <c r="O1585">
        <v>7754.0370599999997</v>
      </c>
      <c r="P1585">
        <f t="shared" si="321"/>
        <v>-1.5543179052221435E-3</v>
      </c>
      <c r="Q1585" t="str">
        <f t="shared" si="315"/>
        <v>2016-05</v>
      </c>
      <c r="S1585">
        <v>8702.1</v>
      </c>
      <c r="T1585">
        <f t="shared" si="322"/>
        <v>1.4604838291624104E-3</v>
      </c>
      <c r="U1585" t="str">
        <f t="shared" si="316"/>
        <v>2016-05</v>
      </c>
      <c r="W1585">
        <v>17842.8</v>
      </c>
      <c r="X1585">
        <f t="shared" si="323"/>
        <v>-4.5349522874871774E-3</v>
      </c>
      <c r="Y1585">
        <f t="shared" si="324"/>
        <v>-4.5246849179030333E-3</v>
      </c>
      <c r="Z1585" t="str">
        <f t="shared" si="317"/>
        <v>2016-05</v>
      </c>
    </row>
    <row r="1586" spans="1:26" x14ac:dyDescent="0.35">
      <c r="A1586" s="1">
        <v>42499</v>
      </c>
      <c r="C1586">
        <v>2955.83</v>
      </c>
      <c r="D1586">
        <f t="shared" si="318"/>
        <v>6.4453179086436411E-3</v>
      </c>
      <c r="E1586" t="str">
        <f t="shared" si="312"/>
        <v>2016-05</v>
      </c>
      <c r="G1586">
        <v>4322.8100000000004</v>
      </c>
      <c r="H1586">
        <f t="shared" si="319"/>
        <v>5.0023005383418662E-3</v>
      </c>
      <c r="I1586" t="str">
        <f t="shared" si="313"/>
        <v>2016-05</v>
      </c>
      <c r="K1586">
        <v>9980.49</v>
      </c>
      <c r="L1586">
        <f t="shared" si="320"/>
        <v>1.1137399738059186E-2</v>
      </c>
      <c r="M1586" t="str">
        <f t="shared" si="314"/>
        <v>2016-05</v>
      </c>
      <c r="O1586">
        <v>7729.5364099999997</v>
      </c>
      <c r="P1586">
        <f t="shared" si="321"/>
        <v>-3.1647307382064718E-3</v>
      </c>
      <c r="Q1586" t="str">
        <f t="shared" si="315"/>
        <v>2016-05</v>
      </c>
      <c r="S1586">
        <v>8660.7999999999993</v>
      </c>
      <c r="T1586">
        <f t="shared" si="322"/>
        <v>-4.757278783007874E-3</v>
      </c>
      <c r="U1586" t="str">
        <f t="shared" si="316"/>
        <v>2016-05</v>
      </c>
      <c r="W1586">
        <v>17685.8</v>
      </c>
      <c r="X1586">
        <f t="shared" si="323"/>
        <v>-8.8380077989469105E-3</v>
      </c>
      <c r="Y1586">
        <f t="shared" si="324"/>
        <v>-8.7990674109444701E-3</v>
      </c>
      <c r="Z1586" t="str">
        <f t="shared" si="317"/>
        <v>2016-05</v>
      </c>
    </row>
    <row r="1587" spans="1:26" x14ac:dyDescent="0.35">
      <c r="A1587" s="1">
        <v>42500</v>
      </c>
      <c r="C1587">
        <v>2978.97</v>
      </c>
      <c r="D1587">
        <f t="shared" si="318"/>
        <v>7.7981119036496906E-3</v>
      </c>
      <c r="E1587" t="str">
        <f t="shared" si="312"/>
        <v>2016-05</v>
      </c>
      <c r="G1587">
        <v>4338.21</v>
      </c>
      <c r="H1587">
        <f t="shared" si="319"/>
        <v>3.5561668785995745E-3</v>
      </c>
      <c r="I1587" t="str">
        <f t="shared" si="313"/>
        <v>2016-05</v>
      </c>
      <c r="K1587">
        <v>10045.44</v>
      </c>
      <c r="L1587">
        <f t="shared" si="320"/>
        <v>6.4866128800993824E-3</v>
      </c>
      <c r="M1587" t="str">
        <f t="shared" si="314"/>
        <v>2016-05</v>
      </c>
      <c r="O1587">
        <v>7807.5106400000004</v>
      </c>
      <c r="P1587">
        <f t="shared" si="321"/>
        <v>1.0037284998584443E-2</v>
      </c>
      <c r="Q1587" t="str">
        <f t="shared" si="315"/>
        <v>2016-05</v>
      </c>
      <c r="S1587">
        <v>8775.2000000000007</v>
      </c>
      <c r="T1587">
        <f t="shared" si="322"/>
        <v>1.3122464054410995E-2</v>
      </c>
      <c r="U1587" t="str">
        <f t="shared" si="316"/>
        <v>2016-05</v>
      </c>
      <c r="W1587">
        <v>17934.72</v>
      </c>
      <c r="X1587">
        <f t="shared" si="323"/>
        <v>1.3976441220308078E-2</v>
      </c>
      <c r="Y1587">
        <f t="shared" si="324"/>
        <v>1.407456829773049E-2</v>
      </c>
      <c r="Z1587" t="str">
        <f t="shared" si="317"/>
        <v>2016-05</v>
      </c>
    </row>
    <row r="1588" spans="1:26" x14ac:dyDescent="0.35">
      <c r="A1588" s="1">
        <v>42501</v>
      </c>
      <c r="C1588">
        <v>2956.71</v>
      </c>
      <c r="D1588">
        <f t="shared" si="318"/>
        <v>-7.5004394966983971E-3</v>
      </c>
      <c r="E1588" t="str">
        <f t="shared" si="312"/>
        <v>2016-05</v>
      </c>
      <c r="G1588">
        <v>4316.67</v>
      </c>
      <c r="H1588">
        <f t="shared" si="319"/>
        <v>-4.9775489603299155E-3</v>
      </c>
      <c r="I1588" t="str">
        <f t="shared" si="313"/>
        <v>2016-05</v>
      </c>
      <c r="K1588">
        <v>9975.32</v>
      </c>
      <c r="L1588">
        <f t="shared" si="320"/>
        <v>-7.0047577327180983E-3</v>
      </c>
      <c r="M1588" t="str">
        <f t="shared" si="314"/>
        <v>2016-05</v>
      </c>
      <c r="O1588">
        <v>7798.5254400000003</v>
      </c>
      <c r="P1588">
        <f t="shared" si="321"/>
        <v>-1.1515032961316525E-3</v>
      </c>
      <c r="Q1588" t="str">
        <f t="shared" si="315"/>
        <v>2016-05</v>
      </c>
      <c r="S1588">
        <v>8663.9</v>
      </c>
      <c r="T1588">
        <f t="shared" si="322"/>
        <v>-1.2764593495834538E-2</v>
      </c>
      <c r="U1588" t="str">
        <f t="shared" si="316"/>
        <v>2016-05</v>
      </c>
      <c r="W1588">
        <v>17698.080000000002</v>
      </c>
      <c r="X1588">
        <f t="shared" si="323"/>
        <v>-1.3282339810681863E-2</v>
      </c>
      <c r="Y1588">
        <f t="shared" si="324"/>
        <v>-1.3194518788138281E-2</v>
      </c>
      <c r="Z1588" t="str">
        <f t="shared" si="317"/>
        <v>2016-05</v>
      </c>
    </row>
    <row r="1589" spans="1:26" x14ac:dyDescent="0.35">
      <c r="A1589" s="1">
        <v>42502</v>
      </c>
      <c r="C1589">
        <v>2935.46</v>
      </c>
      <c r="D1589">
        <f t="shared" si="318"/>
        <v>-7.2129935597766877E-3</v>
      </c>
      <c r="E1589" t="str">
        <f t="shared" si="312"/>
        <v>2016-05</v>
      </c>
      <c r="G1589">
        <v>4293.2700000000004</v>
      </c>
      <c r="H1589">
        <f t="shared" si="319"/>
        <v>-5.4355913314133742E-3</v>
      </c>
      <c r="I1589" t="str">
        <f t="shared" si="313"/>
        <v>2016-05</v>
      </c>
      <c r="K1589">
        <v>9862.1200000000008</v>
      </c>
      <c r="L1589">
        <f t="shared" si="320"/>
        <v>-1.1412886816705631E-2</v>
      </c>
      <c r="M1589" t="str">
        <f t="shared" si="314"/>
        <v>2016-05</v>
      </c>
      <c r="O1589">
        <v>7754.3478100000002</v>
      </c>
      <c r="P1589">
        <f t="shared" si="321"/>
        <v>-5.6809758690450456E-3</v>
      </c>
      <c r="Q1589" t="str">
        <f t="shared" si="315"/>
        <v>2016-05</v>
      </c>
      <c r="S1589">
        <v>8663.1</v>
      </c>
      <c r="T1589">
        <f t="shared" si="322"/>
        <v>-9.2341432511968422E-5</v>
      </c>
      <c r="U1589" t="str">
        <f t="shared" si="316"/>
        <v>2016-05</v>
      </c>
      <c r="W1589">
        <v>17651.36</v>
      </c>
      <c r="X1589">
        <f t="shared" si="323"/>
        <v>-2.6433248845450555E-3</v>
      </c>
      <c r="Y1589">
        <f t="shared" si="324"/>
        <v>-2.6398343775144626E-3</v>
      </c>
      <c r="Z1589" t="str">
        <f t="shared" si="317"/>
        <v>2016-05</v>
      </c>
    </row>
    <row r="1590" spans="1:26" x14ac:dyDescent="0.35">
      <c r="A1590" s="1">
        <v>42503</v>
      </c>
      <c r="C1590">
        <v>2956.63</v>
      </c>
      <c r="D1590">
        <f t="shared" si="318"/>
        <v>7.1859360930979941E-3</v>
      </c>
      <c r="E1590" t="str">
        <f t="shared" si="312"/>
        <v>2016-05</v>
      </c>
      <c r="G1590">
        <v>4319.99</v>
      </c>
      <c r="H1590">
        <f t="shared" si="319"/>
        <v>6.2044070920272334E-3</v>
      </c>
      <c r="I1590" t="str">
        <f t="shared" si="313"/>
        <v>2016-05</v>
      </c>
      <c r="K1590">
        <v>9952.9</v>
      </c>
      <c r="L1590">
        <f t="shared" si="320"/>
        <v>9.1628103463455447E-3</v>
      </c>
      <c r="M1590" t="str">
        <f t="shared" si="314"/>
        <v>2016-05</v>
      </c>
      <c r="O1590">
        <v>7808.1893899999995</v>
      </c>
      <c r="P1590">
        <f t="shared" si="321"/>
        <v>6.9194109068370421E-3</v>
      </c>
      <c r="Q1590" t="str">
        <f t="shared" si="315"/>
        <v>2016-05</v>
      </c>
      <c r="S1590">
        <v>8721.5</v>
      </c>
      <c r="T1590">
        <f t="shared" si="322"/>
        <v>6.7186152894115839E-3</v>
      </c>
      <c r="U1590" t="str">
        <f t="shared" si="316"/>
        <v>2016-05</v>
      </c>
      <c r="W1590">
        <v>17729.45</v>
      </c>
      <c r="X1590">
        <f t="shared" si="323"/>
        <v>4.414264501200256E-3</v>
      </c>
      <c r="Y1590">
        <f t="shared" si="324"/>
        <v>4.4240217184398339E-3</v>
      </c>
      <c r="Z1590" t="str">
        <f t="shared" si="317"/>
        <v>2016-05</v>
      </c>
    </row>
    <row r="1591" spans="1:26" x14ac:dyDescent="0.35">
      <c r="A1591" s="1">
        <v>42507</v>
      </c>
      <c r="C1591">
        <v>2938.09</v>
      </c>
      <c r="D1591">
        <f t="shared" si="318"/>
        <v>-6.2903958573734282E-3</v>
      </c>
      <c r="E1591" t="str">
        <f t="shared" si="312"/>
        <v>2016-05</v>
      </c>
      <c r="G1591">
        <v>4297.57</v>
      </c>
      <c r="H1591">
        <f t="shared" si="319"/>
        <v>-5.2033407564657276E-3</v>
      </c>
      <c r="I1591" t="str">
        <f t="shared" si="313"/>
        <v>2016-05</v>
      </c>
      <c r="K1591">
        <v>9890.19</v>
      </c>
      <c r="L1591">
        <f t="shared" si="320"/>
        <v>-6.3206092168536874E-3</v>
      </c>
      <c r="M1591" t="str">
        <f t="shared" si="314"/>
        <v>2016-05</v>
      </c>
      <c r="O1591">
        <v>7877.3504400000002</v>
      </c>
      <c r="P1591">
        <f t="shared" si="321"/>
        <v>8.8185040422267876E-3</v>
      </c>
      <c r="Q1591" t="str">
        <f t="shared" si="315"/>
        <v>2016-05</v>
      </c>
      <c r="S1591">
        <v>8698.7000000000007</v>
      </c>
      <c r="T1591">
        <f t="shared" si="322"/>
        <v>-2.6176522679411309E-3</v>
      </c>
      <c r="U1591" t="str">
        <f t="shared" si="316"/>
        <v>2016-05</v>
      </c>
      <c r="W1591">
        <v>17498.88</v>
      </c>
      <c r="X1591">
        <f t="shared" si="323"/>
        <v>-1.309021985499409E-2</v>
      </c>
      <c r="Y1591">
        <f t="shared" si="324"/>
        <v>-1.300491555011575E-2</v>
      </c>
      <c r="Z1591" t="str">
        <f t="shared" si="317"/>
        <v>2016-05</v>
      </c>
    </row>
    <row r="1592" spans="1:26" x14ac:dyDescent="0.35">
      <c r="A1592" s="1">
        <v>42508</v>
      </c>
      <c r="C1592">
        <v>2956.43</v>
      </c>
      <c r="D1592">
        <f t="shared" si="318"/>
        <v>6.2227489875373082E-3</v>
      </c>
      <c r="E1592" t="str">
        <f t="shared" si="312"/>
        <v>2016-05</v>
      </c>
      <c r="G1592">
        <v>4319.3</v>
      </c>
      <c r="H1592">
        <f t="shared" si="319"/>
        <v>5.0436054075037847E-3</v>
      </c>
      <c r="I1592" t="str">
        <f t="shared" si="313"/>
        <v>2016-05</v>
      </c>
      <c r="K1592">
        <v>9943.23</v>
      </c>
      <c r="L1592">
        <f t="shared" si="320"/>
        <v>5.3485608072972391E-3</v>
      </c>
      <c r="M1592" t="str">
        <f t="shared" si="314"/>
        <v>2016-05</v>
      </c>
      <c r="O1592">
        <v>7984.7683900000002</v>
      </c>
      <c r="P1592">
        <f t="shared" si="321"/>
        <v>1.3544166860495388E-2</v>
      </c>
      <c r="Q1592" t="str">
        <f t="shared" si="315"/>
        <v>2016-05</v>
      </c>
      <c r="S1592">
        <v>8775.1</v>
      </c>
      <c r="T1592">
        <f t="shared" si="322"/>
        <v>8.7445760902801813E-3</v>
      </c>
      <c r="U1592" t="str">
        <f t="shared" si="316"/>
        <v>2016-05</v>
      </c>
      <c r="W1592">
        <v>17713.62</v>
      </c>
      <c r="X1592">
        <f t="shared" si="323"/>
        <v>1.2196956317010959E-2</v>
      </c>
      <c r="Y1592">
        <f t="shared" si="324"/>
        <v>1.2271642527978816E-2</v>
      </c>
      <c r="Z1592" t="str">
        <f t="shared" si="317"/>
        <v>2016-05</v>
      </c>
    </row>
    <row r="1593" spans="1:26" x14ac:dyDescent="0.35">
      <c r="A1593" s="1">
        <v>42509</v>
      </c>
      <c r="C1593">
        <v>2919.22</v>
      </c>
      <c r="D1593">
        <f t="shared" si="318"/>
        <v>-1.266600204503123E-2</v>
      </c>
      <c r="E1593" t="str">
        <f t="shared" si="312"/>
        <v>2016-05</v>
      </c>
      <c r="G1593">
        <v>4282.54</v>
      </c>
      <c r="H1593">
        <f t="shared" si="319"/>
        <v>-8.5470605784584083E-3</v>
      </c>
      <c r="I1593" t="str">
        <f t="shared" si="313"/>
        <v>2016-05</v>
      </c>
      <c r="K1593">
        <v>9795.89</v>
      </c>
      <c r="L1593">
        <f t="shared" si="320"/>
        <v>-1.4929007628169533E-2</v>
      </c>
      <c r="M1593" t="str">
        <f t="shared" si="314"/>
        <v>2016-05</v>
      </c>
      <c r="O1593">
        <v>7895.0633699999998</v>
      </c>
      <c r="P1593">
        <f t="shared" si="321"/>
        <v>-1.1298101336231761E-2</v>
      </c>
      <c r="Q1593" t="str">
        <f t="shared" si="315"/>
        <v>2016-05</v>
      </c>
      <c r="S1593">
        <v>8674.7000000000007</v>
      </c>
      <c r="T1593">
        <f t="shared" si="322"/>
        <v>-1.1507422196009118E-2</v>
      </c>
      <c r="U1593" t="str">
        <f t="shared" si="316"/>
        <v>2016-05</v>
      </c>
      <c r="W1593">
        <v>17545.560000000001</v>
      </c>
      <c r="X1593">
        <f t="shared" si="323"/>
        <v>-9.5329087472448872E-3</v>
      </c>
      <c r="Y1593">
        <f t="shared" si="324"/>
        <v>-9.4876146151942793E-3</v>
      </c>
      <c r="Z1593" t="str">
        <f t="shared" si="317"/>
        <v>2016-05</v>
      </c>
    </row>
    <row r="1594" spans="1:26" x14ac:dyDescent="0.35">
      <c r="A1594" s="1">
        <v>42510</v>
      </c>
      <c r="C1594">
        <v>2962.16</v>
      </c>
      <c r="D1594">
        <f t="shared" si="318"/>
        <v>1.460227463367806E-2</v>
      </c>
      <c r="E1594" t="str">
        <f t="shared" si="312"/>
        <v>2016-05</v>
      </c>
      <c r="G1594">
        <v>4353.8999999999996</v>
      </c>
      <c r="H1594">
        <f t="shared" si="319"/>
        <v>1.6525703651185206E-2</v>
      </c>
      <c r="I1594" t="str">
        <f t="shared" si="313"/>
        <v>2016-05</v>
      </c>
      <c r="K1594">
        <v>9916.02</v>
      </c>
      <c r="L1594">
        <f t="shared" si="320"/>
        <v>1.2188721159441753E-2</v>
      </c>
      <c r="M1594" t="str">
        <f t="shared" si="314"/>
        <v>2016-05</v>
      </c>
      <c r="O1594">
        <v>7969.2307899999996</v>
      </c>
      <c r="P1594">
        <f t="shared" si="321"/>
        <v>9.3503006955177898E-3</v>
      </c>
      <c r="Q1594" t="str">
        <f t="shared" si="315"/>
        <v>2016-05</v>
      </c>
      <c r="S1594">
        <v>8771.2000000000007</v>
      </c>
      <c r="T1594">
        <f t="shared" si="322"/>
        <v>1.1062884023947298E-2</v>
      </c>
      <c r="U1594" t="str">
        <f t="shared" si="316"/>
        <v>2016-05</v>
      </c>
      <c r="W1594">
        <v>17812.349999999999</v>
      </c>
      <c r="X1594">
        <f t="shared" si="323"/>
        <v>1.5091110489633035E-2</v>
      </c>
      <c r="Y1594">
        <f t="shared" si="324"/>
        <v>1.5205556277485427E-2</v>
      </c>
      <c r="Z1594" t="str">
        <f t="shared" si="317"/>
        <v>2016-05</v>
      </c>
    </row>
    <row r="1595" spans="1:26" x14ac:dyDescent="0.35">
      <c r="A1595" s="1">
        <v>42513</v>
      </c>
      <c r="C1595">
        <v>2932.93</v>
      </c>
      <c r="D1595">
        <f t="shared" si="318"/>
        <v>-9.9168085803575615E-3</v>
      </c>
      <c r="E1595" t="str">
        <f t="shared" si="312"/>
        <v>2016-05</v>
      </c>
      <c r="G1595">
        <v>4325.1000000000004</v>
      </c>
      <c r="H1595">
        <f t="shared" si="319"/>
        <v>-6.6367336584589268E-3</v>
      </c>
      <c r="I1595" t="str">
        <f t="shared" si="313"/>
        <v>2016-05</v>
      </c>
      <c r="K1595">
        <v>9842.2900000000009</v>
      </c>
      <c r="L1595">
        <f t="shared" si="320"/>
        <v>-7.4632235477586455E-3</v>
      </c>
      <c r="M1595" t="str">
        <f t="shared" si="314"/>
        <v>2016-05</v>
      </c>
      <c r="O1595">
        <v>7928.6397999999999</v>
      </c>
      <c r="P1595">
        <f t="shared" si="321"/>
        <v>-5.1064798867060607E-3</v>
      </c>
      <c r="Q1595" t="str">
        <f t="shared" si="315"/>
        <v>2016-05</v>
      </c>
      <c r="S1595">
        <v>8714</v>
      </c>
      <c r="T1595">
        <f t="shared" si="322"/>
        <v>-6.5426994310792937E-3</v>
      </c>
      <c r="U1595" t="str">
        <f t="shared" si="316"/>
        <v>2016-05</v>
      </c>
      <c r="W1595">
        <v>17325.080000000002</v>
      </c>
      <c r="X1595">
        <f t="shared" si="323"/>
        <v>-2.7736874270856866E-2</v>
      </c>
      <c r="Y1595">
        <f t="shared" si="324"/>
        <v>-2.7355739136048687E-2</v>
      </c>
      <c r="Z1595" t="str">
        <f t="shared" si="317"/>
        <v>2016-05</v>
      </c>
    </row>
    <row r="1596" spans="1:26" x14ac:dyDescent="0.35">
      <c r="A1596" s="1">
        <v>42514</v>
      </c>
      <c r="C1596">
        <v>3010.12</v>
      </c>
      <c r="D1596">
        <f t="shared" si="318"/>
        <v>2.597802171368746E-2</v>
      </c>
      <c r="E1596" t="str">
        <f t="shared" si="312"/>
        <v>2016-05</v>
      </c>
      <c r="G1596">
        <v>4431.5200000000004</v>
      </c>
      <c r="H1596">
        <f t="shared" si="319"/>
        <v>2.4307378826834206E-2</v>
      </c>
      <c r="I1596" t="str">
        <f t="shared" si="313"/>
        <v>2016-05</v>
      </c>
      <c r="K1596">
        <v>10057.31</v>
      </c>
      <c r="L1596">
        <f t="shared" si="320"/>
        <v>2.1611325723298856E-2</v>
      </c>
      <c r="M1596" t="str">
        <f t="shared" si="314"/>
        <v>2016-05</v>
      </c>
      <c r="O1596">
        <v>8158.83907</v>
      </c>
      <c r="P1596">
        <f t="shared" si="321"/>
        <v>2.862039293790989E-2</v>
      </c>
      <c r="Q1596" t="str">
        <f t="shared" si="315"/>
        <v>2016-05</v>
      </c>
      <c r="S1596">
        <v>8918.1</v>
      </c>
      <c r="T1596">
        <f t="shared" si="322"/>
        <v>2.3151991723685657E-2</v>
      </c>
      <c r="U1596" t="str">
        <f t="shared" si="316"/>
        <v>2016-05</v>
      </c>
      <c r="W1596">
        <v>17903.97</v>
      </c>
      <c r="X1596">
        <f t="shared" si="323"/>
        <v>3.286731329502502E-2</v>
      </c>
      <c r="Y1596">
        <f t="shared" si="324"/>
        <v>3.3413409923648225E-2</v>
      </c>
      <c r="Z1596" t="str">
        <f t="shared" si="317"/>
        <v>2016-05</v>
      </c>
    </row>
    <row r="1597" spans="1:26" x14ac:dyDescent="0.35">
      <c r="A1597" s="1">
        <v>42515</v>
      </c>
      <c r="C1597">
        <v>3061.6</v>
      </c>
      <c r="D1597">
        <f t="shared" si="318"/>
        <v>1.6957710053608726E-2</v>
      </c>
      <c r="E1597" t="str">
        <f t="shared" si="312"/>
        <v>2016-05</v>
      </c>
      <c r="G1597">
        <v>4481.6400000000003</v>
      </c>
      <c r="H1597">
        <f t="shared" si="319"/>
        <v>1.1246410537002573E-2</v>
      </c>
      <c r="I1597" t="str">
        <f t="shared" si="313"/>
        <v>2016-05</v>
      </c>
      <c r="K1597">
        <v>10205.209999999999</v>
      </c>
      <c r="L1597">
        <f t="shared" si="320"/>
        <v>1.4598640909281603E-2</v>
      </c>
      <c r="M1597" t="str">
        <f t="shared" si="314"/>
        <v>2016-05</v>
      </c>
      <c r="O1597">
        <v>8242.8961299999992</v>
      </c>
      <c r="P1597">
        <f t="shared" si="321"/>
        <v>1.0249866235686524E-2</v>
      </c>
      <c r="Q1597" t="str">
        <f t="shared" si="315"/>
        <v>2016-05</v>
      </c>
      <c r="S1597">
        <v>9125</v>
      </c>
      <c r="T1597">
        <f t="shared" si="322"/>
        <v>2.293498004961924E-2</v>
      </c>
      <c r="U1597" t="str">
        <f t="shared" si="316"/>
        <v>2016-05</v>
      </c>
      <c r="W1597">
        <v>18201.39</v>
      </c>
      <c r="X1597">
        <f t="shared" si="323"/>
        <v>1.6475488827857928E-2</v>
      </c>
      <c r="Y1597">
        <f t="shared" si="324"/>
        <v>1.6611958129956552E-2</v>
      </c>
      <c r="Z1597" t="str">
        <f t="shared" si="317"/>
        <v>2016-05</v>
      </c>
    </row>
    <row r="1598" spans="1:26" x14ac:dyDescent="0.35">
      <c r="A1598" s="1">
        <v>42516</v>
      </c>
      <c r="C1598">
        <v>3071.21</v>
      </c>
      <c r="D1598">
        <f t="shared" si="318"/>
        <v>3.1339656260591757E-3</v>
      </c>
      <c r="E1598" t="str">
        <f t="shared" si="312"/>
        <v>2016-05</v>
      </c>
      <c r="G1598">
        <v>4512.6400000000003</v>
      </c>
      <c r="H1598">
        <f t="shared" si="319"/>
        <v>6.8932972408163855E-3</v>
      </c>
      <c r="I1598" t="str">
        <f t="shared" si="313"/>
        <v>2016-05</v>
      </c>
      <c r="K1598">
        <v>10272.709999999999</v>
      </c>
      <c r="L1598">
        <f t="shared" si="320"/>
        <v>6.5924902985795633E-3</v>
      </c>
      <c r="M1598" t="str">
        <f t="shared" si="314"/>
        <v>2016-05</v>
      </c>
      <c r="O1598">
        <v>8215.5364300000001</v>
      </c>
      <c r="P1598">
        <f t="shared" si="321"/>
        <v>-3.3247060559801834E-3</v>
      </c>
      <c r="Q1598" t="str">
        <f t="shared" si="315"/>
        <v>2016-05</v>
      </c>
      <c r="S1598">
        <v>9079.2000000000007</v>
      </c>
      <c r="T1598">
        <f t="shared" si="322"/>
        <v>-5.0318164637629418E-3</v>
      </c>
      <c r="U1598" t="str">
        <f t="shared" si="316"/>
        <v>2016-05</v>
      </c>
      <c r="W1598">
        <v>18216.919999999998</v>
      </c>
      <c r="X1598">
        <f t="shared" si="323"/>
        <v>8.5286774379992106E-4</v>
      </c>
      <c r="Y1598">
        <f t="shared" si="324"/>
        <v>8.5323153890987644E-4</v>
      </c>
      <c r="Z1598" t="str">
        <f t="shared" si="317"/>
        <v>2016-05</v>
      </c>
    </row>
    <row r="1599" spans="1:26" x14ac:dyDescent="0.35">
      <c r="A1599" s="1">
        <v>42517</v>
      </c>
      <c r="C1599">
        <v>3078.48</v>
      </c>
      <c r="D1599">
        <f t="shared" si="318"/>
        <v>2.3643479221534041E-3</v>
      </c>
      <c r="E1599" t="str">
        <f t="shared" si="312"/>
        <v>2016-05</v>
      </c>
      <c r="G1599">
        <v>4514.74</v>
      </c>
      <c r="H1599">
        <f t="shared" si="319"/>
        <v>4.6525127730972994E-4</v>
      </c>
      <c r="I1599" t="str">
        <f t="shared" si="313"/>
        <v>2016-05</v>
      </c>
      <c r="K1599">
        <v>10286.31</v>
      </c>
      <c r="L1599">
        <f t="shared" si="320"/>
        <v>1.3230204536759797E-3</v>
      </c>
      <c r="M1599" t="str">
        <f t="shared" si="314"/>
        <v>2016-05</v>
      </c>
      <c r="O1599">
        <v>8241.4971000000005</v>
      </c>
      <c r="P1599">
        <f t="shared" si="321"/>
        <v>3.1549661105860697E-3</v>
      </c>
      <c r="Q1599" t="str">
        <f t="shared" si="315"/>
        <v>2016-05</v>
      </c>
      <c r="S1599">
        <v>9107.2999999999993</v>
      </c>
      <c r="T1599">
        <f t="shared" si="322"/>
        <v>3.0902067315265328E-3</v>
      </c>
      <c r="U1599" t="str">
        <f t="shared" si="316"/>
        <v>2016-05</v>
      </c>
      <c r="W1599">
        <v>18186.14</v>
      </c>
      <c r="X1599">
        <f t="shared" si="323"/>
        <v>-1.69106703310925E-3</v>
      </c>
      <c r="Y1599">
        <f t="shared" si="324"/>
        <v>-1.689637984906276E-3</v>
      </c>
      <c r="Z1599" t="str">
        <f t="shared" si="317"/>
        <v>2016-05</v>
      </c>
    </row>
    <row r="1600" spans="1:26" x14ac:dyDescent="0.35">
      <c r="A1600" s="1">
        <v>42521</v>
      </c>
      <c r="C1600">
        <v>3063.48</v>
      </c>
      <c r="D1600">
        <f t="shared" si="318"/>
        <v>-4.8844439958024739E-3</v>
      </c>
      <c r="E1600" t="str">
        <f t="shared" si="312"/>
        <v>2016-05</v>
      </c>
      <c r="G1600">
        <v>4505.62</v>
      </c>
      <c r="H1600">
        <f t="shared" si="319"/>
        <v>-2.0220929336596128E-3</v>
      </c>
      <c r="I1600" t="str">
        <f t="shared" si="313"/>
        <v>2016-05</v>
      </c>
      <c r="K1600">
        <v>10262.74</v>
      </c>
      <c r="L1600">
        <f t="shared" si="320"/>
        <v>-2.2940243307130342E-3</v>
      </c>
      <c r="M1600" t="str">
        <f t="shared" si="314"/>
        <v>2016-05</v>
      </c>
      <c r="O1600">
        <v>8119.2132899999997</v>
      </c>
      <c r="P1600">
        <f t="shared" si="321"/>
        <v>-1.4948750299613447E-2</v>
      </c>
      <c r="Q1600" t="str">
        <f t="shared" si="315"/>
        <v>2016-05</v>
      </c>
      <c r="S1600">
        <v>9034</v>
      </c>
      <c r="T1600">
        <f t="shared" si="322"/>
        <v>-8.0810525039063715E-3</v>
      </c>
      <c r="U1600" t="str">
        <f t="shared" si="316"/>
        <v>2016-05</v>
      </c>
      <c r="W1600">
        <v>18025.25</v>
      </c>
      <c r="X1600">
        <f t="shared" si="323"/>
        <v>-8.8862128031466075E-3</v>
      </c>
      <c r="Y1600">
        <f t="shared" si="324"/>
        <v>-8.8468471044432419E-3</v>
      </c>
      <c r="Z1600" t="str">
        <f t="shared" si="317"/>
        <v>2016-05</v>
      </c>
    </row>
    <row r="1601" spans="1:26" x14ac:dyDescent="0.35">
      <c r="A1601" s="1">
        <v>42522</v>
      </c>
      <c r="C1601">
        <v>3038.77</v>
      </c>
      <c r="D1601">
        <f t="shared" si="318"/>
        <v>-8.0986964015878262E-3</v>
      </c>
      <c r="E1601" t="str">
        <f t="shared" si="312"/>
        <v>2016-06</v>
      </c>
      <c r="G1601">
        <v>4475.3900000000003</v>
      </c>
      <c r="H1601">
        <f t="shared" si="319"/>
        <v>-6.7320076847401386E-3</v>
      </c>
      <c r="I1601" t="str">
        <f t="shared" si="313"/>
        <v>2016-06</v>
      </c>
      <c r="K1601">
        <v>10204.44</v>
      </c>
      <c r="L1601">
        <f t="shared" si="320"/>
        <v>-5.69694092471776E-3</v>
      </c>
      <c r="M1601" t="str">
        <f t="shared" si="314"/>
        <v>2016-06</v>
      </c>
      <c r="O1601">
        <v>7991.7678999999998</v>
      </c>
      <c r="P1601">
        <f t="shared" si="321"/>
        <v>-1.5821264628909051E-2</v>
      </c>
      <c r="Q1601" t="str">
        <f t="shared" si="315"/>
        <v>2016-06</v>
      </c>
      <c r="S1601">
        <v>8916.9</v>
      </c>
      <c r="T1601">
        <f t="shared" si="322"/>
        <v>-1.3046884676589524E-2</v>
      </c>
      <c r="U1601" t="str">
        <f t="shared" si="316"/>
        <v>2016-06</v>
      </c>
      <c r="W1601">
        <v>17810.849999999999</v>
      </c>
      <c r="X1601">
        <f t="shared" si="323"/>
        <v>-1.196573054099837E-2</v>
      </c>
      <c r="Y1601">
        <f t="shared" si="324"/>
        <v>-1.1894425874814577E-2</v>
      </c>
      <c r="Z1601" t="str">
        <f t="shared" si="317"/>
        <v>2016-06</v>
      </c>
    </row>
    <row r="1602" spans="1:26" x14ac:dyDescent="0.35">
      <c r="A1602" s="1">
        <v>42523</v>
      </c>
      <c r="C1602">
        <v>3033.86</v>
      </c>
      <c r="D1602">
        <f t="shared" si="318"/>
        <v>-1.6170921231708183E-3</v>
      </c>
      <c r="E1602" t="str">
        <f t="shared" si="312"/>
        <v>2016-06</v>
      </c>
      <c r="G1602">
        <v>4466</v>
      </c>
      <c r="H1602">
        <f t="shared" si="319"/>
        <v>-2.1003453494277844E-3</v>
      </c>
      <c r="I1602" t="str">
        <f t="shared" si="313"/>
        <v>2016-06</v>
      </c>
      <c r="K1602">
        <v>10208</v>
      </c>
      <c r="L1602">
        <f t="shared" si="320"/>
        <v>3.4880690756154405E-4</v>
      </c>
      <c r="M1602" t="str">
        <f t="shared" si="314"/>
        <v>2016-06</v>
      </c>
      <c r="O1602">
        <v>8004.2547500000001</v>
      </c>
      <c r="P1602">
        <f t="shared" si="321"/>
        <v>1.5612446680769764E-3</v>
      </c>
      <c r="Q1602" t="str">
        <f t="shared" si="315"/>
        <v>2016-06</v>
      </c>
      <c r="S1602">
        <v>8957.9</v>
      </c>
      <c r="T1602">
        <f t="shared" si="322"/>
        <v>4.5874719609035122E-3</v>
      </c>
      <c r="U1602" t="str">
        <f t="shared" si="316"/>
        <v>2016-06</v>
      </c>
      <c r="W1602">
        <v>17767.3</v>
      </c>
      <c r="X1602">
        <f t="shared" si="323"/>
        <v>-2.4481330114624698E-3</v>
      </c>
      <c r="Y1602">
        <f t="shared" si="324"/>
        <v>-2.4451387777674437E-3</v>
      </c>
      <c r="Z1602" t="str">
        <f t="shared" si="317"/>
        <v>2016-06</v>
      </c>
    </row>
    <row r="1603" spans="1:26" x14ac:dyDescent="0.35">
      <c r="A1603" s="1">
        <v>42524</v>
      </c>
      <c r="C1603">
        <v>2997.55</v>
      </c>
      <c r="D1603">
        <f t="shared" si="318"/>
        <v>-1.204044780945427E-2</v>
      </c>
      <c r="E1603" t="str">
        <f t="shared" si="312"/>
        <v>2016-06</v>
      </c>
      <c r="G1603">
        <v>4421.78</v>
      </c>
      <c r="H1603">
        <f t="shared" si="319"/>
        <v>-9.9508234641269237E-3</v>
      </c>
      <c r="I1603" t="str">
        <f t="shared" si="313"/>
        <v>2016-06</v>
      </c>
      <c r="K1603">
        <v>10103.26</v>
      </c>
      <c r="L1603">
        <f t="shared" si="320"/>
        <v>-1.0313582557757677E-2</v>
      </c>
      <c r="M1603" t="str">
        <f t="shared" si="314"/>
        <v>2016-06</v>
      </c>
      <c r="O1603">
        <v>7959.68642</v>
      </c>
      <c r="P1603">
        <f t="shared" si="321"/>
        <v>-5.5836394431268664E-3</v>
      </c>
      <c r="Q1603" t="str">
        <f t="shared" si="315"/>
        <v>2016-06</v>
      </c>
      <c r="S1603">
        <v>8801.6</v>
      </c>
      <c r="T1603">
        <f t="shared" si="322"/>
        <v>-1.7602301377669806E-2</v>
      </c>
      <c r="U1603" t="str">
        <f t="shared" si="316"/>
        <v>2016-06</v>
      </c>
      <c r="W1603">
        <v>17495.09</v>
      </c>
      <c r="X1603">
        <f t="shared" si="323"/>
        <v>-1.5439419014519772E-2</v>
      </c>
      <c r="Y1603">
        <f t="shared" si="324"/>
        <v>-1.532084222138418E-2</v>
      </c>
      <c r="Z1603" t="str">
        <f t="shared" si="317"/>
        <v>2016-06</v>
      </c>
    </row>
    <row r="1604" spans="1:26" x14ac:dyDescent="0.35">
      <c r="A1604" s="1">
        <v>42527</v>
      </c>
      <c r="C1604">
        <v>3001.9</v>
      </c>
      <c r="D1604">
        <f t="shared" si="318"/>
        <v>1.450133182973789E-3</v>
      </c>
      <c r="E1604" t="str">
        <f t="shared" ref="E1604:E1667" si="325">_xlfn.CONCAT(YEAR(A1604),"-",TEXT(MONTH(A1604),"00"))</f>
        <v>2016-06</v>
      </c>
      <c r="G1604">
        <v>4423.38</v>
      </c>
      <c r="H1604">
        <f t="shared" si="319"/>
        <v>3.6177977955207486E-4</v>
      </c>
      <c r="I1604" t="str">
        <f t="shared" ref="I1604:I1667" si="326">_xlfn.CONCAT(YEAR(A1604),"-",TEXT(MONTH(A1604),"00"))</f>
        <v>2016-06</v>
      </c>
      <c r="K1604">
        <v>10121.08</v>
      </c>
      <c r="L1604">
        <f t="shared" si="320"/>
        <v>1.7622334881254151E-3</v>
      </c>
      <c r="M1604" t="str">
        <f t="shared" ref="M1604:M1667" si="327">_xlfn.CONCAT(YEAR(A1604),"-",TEXT(MONTH(A1604),"00"))</f>
        <v>2016-06</v>
      </c>
      <c r="O1604">
        <v>7973.2498999999998</v>
      </c>
      <c r="P1604">
        <f t="shared" si="321"/>
        <v>1.7025717048028857E-3</v>
      </c>
      <c r="Q1604" t="str">
        <f t="shared" ref="Q1604:Q1667" si="328">_xlfn.CONCAT(YEAR(A1604),"-",TEXT(MONTH(A1604),"00"))</f>
        <v>2016-06</v>
      </c>
      <c r="S1604">
        <v>8823.5</v>
      </c>
      <c r="T1604">
        <f t="shared" si="322"/>
        <v>2.4850935620942425E-3</v>
      </c>
      <c r="U1604" t="str">
        <f t="shared" ref="U1604:U1667" si="329">_xlfn.CONCAT(YEAR(A1604),"-",TEXT(MONTH(A1604),"00"))</f>
        <v>2016-06</v>
      </c>
      <c r="W1604">
        <v>17625</v>
      </c>
      <c r="X1604">
        <f t="shared" si="323"/>
        <v>7.3980785649624785E-3</v>
      </c>
      <c r="Y1604">
        <f t="shared" si="324"/>
        <v>7.4255119579264726E-3</v>
      </c>
      <c r="Z1604" t="str">
        <f t="shared" ref="Z1604:Z1667" si="330">_xlfn.CONCAT(YEAR(A1604),"-",TEXT(MONTH(A1604),"00"))</f>
        <v>2016-06</v>
      </c>
    </row>
    <row r="1605" spans="1:26" x14ac:dyDescent="0.35">
      <c r="A1605" s="1">
        <v>42528</v>
      </c>
      <c r="C1605">
        <v>3040.69</v>
      </c>
      <c r="D1605">
        <f t="shared" ref="D1605:D1668" si="331">LN(C1605/C1604)</f>
        <v>1.2839041817184845E-2</v>
      </c>
      <c r="E1605" t="str">
        <f t="shared" si="325"/>
        <v>2016-06</v>
      </c>
      <c r="G1605">
        <v>4475.8599999999997</v>
      </c>
      <c r="H1605">
        <f t="shared" ref="H1605:H1668" si="332">LN(G1605/G1604)</f>
        <v>1.1794402300402561E-2</v>
      </c>
      <c r="I1605" t="str">
        <f t="shared" si="326"/>
        <v>2016-06</v>
      </c>
      <c r="K1605">
        <v>10287.68</v>
      </c>
      <c r="L1605">
        <f t="shared" ref="L1605:L1668" si="333">LN(K1605/K1604)</f>
        <v>1.6326685279649381E-2</v>
      </c>
      <c r="M1605" t="str">
        <f t="shared" si="327"/>
        <v>2016-06</v>
      </c>
      <c r="O1605">
        <v>8056.5359900000003</v>
      </c>
      <c r="P1605">
        <f t="shared" ref="P1605:P1668" si="334">LN(O1605/O1604)</f>
        <v>1.0391509909156028E-2</v>
      </c>
      <c r="Q1605" t="str">
        <f t="shared" si="328"/>
        <v>2016-06</v>
      </c>
      <c r="S1605">
        <v>8894.5</v>
      </c>
      <c r="T1605">
        <f t="shared" ref="T1605:T1668" si="335">LN(S1605/S1604)</f>
        <v>8.0144914820365898E-3</v>
      </c>
      <c r="U1605" t="str">
        <f t="shared" si="329"/>
        <v>2016-06</v>
      </c>
      <c r="W1605">
        <v>17975.490000000002</v>
      </c>
      <c r="X1605">
        <f t="shared" ref="X1605:X1668" si="336">LN(W1605/W1604)</f>
        <v>1.969081462067809E-2</v>
      </c>
      <c r="Y1605">
        <f t="shared" ref="Y1605:Y1668" si="337">(W1605-W1604)/W1604</f>
        <v>1.98859574468086E-2</v>
      </c>
      <c r="Z1605" t="str">
        <f t="shared" si="330"/>
        <v>2016-06</v>
      </c>
    </row>
    <row r="1606" spans="1:26" x14ac:dyDescent="0.35">
      <c r="A1606" s="1">
        <v>42529</v>
      </c>
      <c r="C1606">
        <v>3019.76</v>
      </c>
      <c r="D1606">
        <f t="shared" si="331"/>
        <v>-6.9071053175319237E-3</v>
      </c>
      <c r="E1606" t="str">
        <f t="shared" si="325"/>
        <v>2016-06</v>
      </c>
      <c r="G1606">
        <v>4448.7299999999996</v>
      </c>
      <c r="H1606">
        <f t="shared" si="332"/>
        <v>-6.0798498464781636E-3</v>
      </c>
      <c r="I1606" t="str">
        <f t="shared" si="326"/>
        <v>2016-06</v>
      </c>
      <c r="K1606">
        <v>10217.030000000001</v>
      </c>
      <c r="L1606">
        <f t="shared" si="333"/>
        <v>-6.8911269248091572E-3</v>
      </c>
      <c r="M1606" t="str">
        <f t="shared" si="327"/>
        <v>2016-06</v>
      </c>
      <c r="O1606">
        <v>8034.5900199999996</v>
      </c>
      <c r="P1606">
        <f t="shared" si="334"/>
        <v>-2.7277126030362908E-3</v>
      </c>
      <c r="Q1606" t="str">
        <f t="shared" si="328"/>
        <v>2016-06</v>
      </c>
      <c r="S1606">
        <v>8831.4</v>
      </c>
      <c r="T1606">
        <f t="shared" si="335"/>
        <v>-7.1195557387285094E-3</v>
      </c>
      <c r="U1606" t="str">
        <f t="shared" si="329"/>
        <v>2016-06</v>
      </c>
      <c r="W1606">
        <v>17909.7</v>
      </c>
      <c r="X1606">
        <f t="shared" si="336"/>
        <v>-3.6666978054402661E-3</v>
      </c>
      <c r="Y1606">
        <f t="shared" si="337"/>
        <v>-3.659983677774618E-3</v>
      </c>
      <c r="Z1606" t="str">
        <f t="shared" si="330"/>
        <v>2016-06</v>
      </c>
    </row>
    <row r="1607" spans="1:26" x14ac:dyDescent="0.35">
      <c r="A1607" s="1">
        <v>42530</v>
      </c>
      <c r="C1607">
        <v>2989.03</v>
      </c>
      <c r="D1607">
        <f t="shared" si="331"/>
        <v>-1.0228437977140844E-2</v>
      </c>
      <c r="E1607" t="str">
        <f t="shared" si="325"/>
        <v>2016-06</v>
      </c>
      <c r="G1607">
        <v>4405.6099999999997</v>
      </c>
      <c r="H1607">
        <f t="shared" si="332"/>
        <v>-9.7399333853697614E-3</v>
      </c>
      <c r="I1607" t="str">
        <f t="shared" si="326"/>
        <v>2016-06</v>
      </c>
      <c r="K1607">
        <v>10088.870000000001</v>
      </c>
      <c r="L1607">
        <f t="shared" si="333"/>
        <v>-1.2623099865062331E-2</v>
      </c>
      <c r="M1607" t="str">
        <f t="shared" si="327"/>
        <v>2016-06</v>
      </c>
      <c r="O1607">
        <v>7963.4293600000001</v>
      </c>
      <c r="P1607">
        <f t="shared" si="334"/>
        <v>-8.8962424200400674E-3</v>
      </c>
      <c r="Q1607" t="str">
        <f t="shared" si="328"/>
        <v>2016-06</v>
      </c>
      <c r="S1607">
        <v>8769.5</v>
      </c>
      <c r="T1607">
        <f t="shared" si="335"/>
        <v>-7.0337602284034385E-3</v>
      </c>
      <c r="U1607" t="str">
        <f t="shared" si="329"/>
        <v>2016-06</v>
      </c>
      <c r="W1607">
        <v>17763.88</v>
      </c>
      <c r="X1607">
        <f t="shared" si="336"/>
        <v>-8.1752833418382732E-3</v>
      </c>
      <c r="Y1607">
        <f t="shared" si="337"/>
        <v>-8.1419565933544234E-3</v>
      </c>
      <c r="Z1607" t="str">
        <f t="shared" si="330"/>
        <v>2016-06</v>
      </c>
    </row>
    <row r="1608" spans="1:26" x14ac:dyDescent="0.35">
      <c r="A1608" s="1">
        <v>42531</v>
      </c>
      <c r="C1608">
        <v>2911.11</v>
      </c>
      <c r="D1608">
        <f t="shared" si="331"/>
        <v>-2.6414468301668704E-2</v>
      </c>
      <c r="E1608" t="str">
        <f t="shared" si="325"/>
        <v>2016-06</v>
      </c>
      <c r="G1608">
        <v>4306.72</v>
      </c>
      <c r="H1608">
        <f t="shared" si="332"/>
        <v>-2.2702135291350956E-2</v>
      </c>
      <c r="I1608" t="str">
        <f t="shared" si="326"/>
        <v>2016-06</v>
      </c>
      <c r="K1608">
        <v>9834.6200000000008</v>
      </c>
      <c r="L1608">
        <f t="shared" si="333"/>
        <v>-2.5524022447069906E-2</v>
      </c>
      <c r="M1608" t="str">
        <f t="shared" si="327"/>
        <v>2016-06</v>
      </c>
      <c r="O1608">
        <v>7774.57449</v>
      </c>
      <c r="P1608">
        <f t="shared" si="334"/>
        <v>-2.4001002605438592E-2</v>
      </c>
      <c r="Q1608" t="str">
        <f t="shared" si="328"/>
        <v>2016-06</v>
      </c>
      <c r="S1608">
        <v>8490.5</v>
      </c>
      <c r="T1608">
        <f t="shared" si="335"/>
        <v>-3.2331900811836761E-2</v>
      </c>
      <c r="U1608" t="str">
        <f t="shared" si="329"/>
        <v>2016-06</v>
      </c>
      <c r="W1608">
        <v>17120.16</v>
      </c>
      <c r="X1608">
        <f t="shared" si="336"/>
        <v>-3.6910465707414943E-2</v>
      </c>
      <c r="Y1608">
        <f t="shared" si="337"/>
        <v>-3.6237578727170032E-2</v>
      </c>
      <c r="Z1608" t="str">
        <f t="shared" si="330"/>
        <v>2016-06</v>
      </c>
    </row>
    <row r="1609" spans="1:26" x14ac:dyDescent="0.35">
      <c r="A1609" s="1">
        <v>42534</v>
      </c>
      <c r="C1609">
        <v>2853.52</v>
      </c>
      <c r="D1609">
        <f t="shared" si="331"/>
        <v>-1.9981131844912549E-2</v>
      </c>
      <c r="E1609" t="str">
        <f t="shared" si="325"/>
        <v>2016-06</v>
      </c>
      <c r="G1609">
        <v>4227.0200000000004</v>
      </c>
      <c r="H1609">
        <f t="shared" si="332"/>
        <v>-1.8679340449082531E-2</v>
      </c>
      <c r="I1609" t="str">
        <f t="shared" si="326"/>
        <v>2016-06</v>
      </c>
      <c r="K1609">
        <v>9657.44</v>
      </c>
      <c r="L1609">
        <f t="shared" si="333"/>
        <v>-1.818021082449844E-2</v>
      </c>
      <c r="M1609" t="str">
        <f t="shared" si="327"/>
        <v>2016-06</v>
      </c>
      <c r="O1609">
        <v>7623.1764499999999</v>
      </c>
      <c r="P1609">
        <f t="shared" si="334"/>
        <v>-1.9665588800178078E-2</v>
      </c>
      <c r="Q1609" t="str">
        <f t="shared" si="328"/>
        <v>2016-06</v>
      </c>
      <c r="S1609">
        <v>8303.7999999999993</v>
      </c>
      <c r="T1609">
        <f t="shared" si="335"/>
        <v>-2.2234650049149027E-2</v>
      </c>
      <c r="U1609" t="str">
        <f t="shared" si="329"/>
        <v>2016-06</v>
      </c>
      <c r="W1609">
        <v>16621.87</v>
      </c>
      <c r="X1609">
        <f t="shared" si="336"/>
        <v>-2.9537418324239433E-2</v>
      </c>
      <c r="Y1609">
        <f t="shared" si="337"/>
        <v>-2.910545228549271E-2</v>
      </c>
      <c r="Z1609" t="str">
        <f t="shared" si="330"/>
        <v>2016-06</v>
      </c>
    </row>
    <row r="1610" spans="1:26" x14ac:dyDescent="0.35">
      <c r="A1610" s="1">
        <v>42535</v>
      </c>
      <c r="C1610">
        <v>2797.18</v>
      </c>
      <c r="D1610">
        <f t="shared" si="331"/>
        <v>-1.9941553091593876E-2</v>
      </c>
      <c r="E1610" t="str">
        <f t="shared" si="325"/>
        <v>2016-06</v>
      </c>
      <c r="G1610">
        <v>4130.33</v>
      </c>
      <c r="H1610">
        <f t="shared" si="332"/>
        <v>-2.313994613295782E-2</v>
      </c>
      <c r="I1610" t="str">
        <f t="shared" si="326"/>
        <v>2016-06</v>
      </c>
      <c r="K1610">
        <v>9519.2000000000007</v>
      </c>
      <c r="L1610">
        <f t="shared" si="333"/>
        <v>-1.441779109220463E-2</v>
      </c>
      <c r="M1610" t="str">
        <f t="shared" si="327"/>
        <v>2016-06</v>
      </c>
      <c r="O1610">
        <v>7474.0125200000002</v>
      </c>
      <c r="P1610">
        <f t="shared" si="334"/>
        <v>-1.9761133590836828E-2</v>
      </c>
      <c r="Q1610" t="str">
        <f t="shared" si="328"/>
        <v>2016-06</v>
      </c>
      <c r="S1610">
        <v>8126.7</v>
      </c>
      <c r="T1610">
        <f t="shared" si="335"/>
        <v>-2.1558304255742525E-2</v>
      </c>
      <c r="U1610" t="str">
        <f t="shared" si="329"/>
        <v>2016-06</v>
      </c>
      <c r="W1610">
        <v>16271.35</v>
      </c>
      <c r="X1610">
        <f t="shared" si="336"/>
        <v>-2.1313405551103393E-2</v>
      </c>
      <c r="Y1610">
        <f t="shared" si="337"/>
        <v>-2.1087880003874331E-2</v>
      </c>
      <c r="Z1610" t="str">
        <f t="shared" si="330"/>
        <v>2016-06</v>
      </c>
    </row>
    <row r="1611" spans="1:26" x14ac:dyDescent="0.35">
      <c r="A1611" s="1">
        <v>42536</v>
      </c>
      <c r="C1611">
        <v>2830.3</v>
      </c>
      <c r="D1611">
        <f t="shared" si="331"/>
        <v>1.1770946289068928E-2</v>
      </c>
      <c r="E1611" t="str">
        <f t="shared" si="325"/>
        <v>2016-06</v>
      </c>
      <c r="G1611">
        <v>4171.58</v>
      </c>
      <c r="H1611">
        <f t="shared" si="332"/>
        <v>9.9375540013523465E-3</v>
      </c>
      <c r="I1611" t="str">
        <f t="shared" si="326"/>
        <v>2016-06</v>
      </c>
      <c r="K1611">
        <v>9606.7099999999991</v>
      </c>
      <c r="L1611">
        <f t="shared" si="333"/>
        <v>9.1510009907051684E-3</v>
      </c>
      <c r="M1611" t="str">
        <f t="shared" si="327"/>
        <v>2016-06</v>
      </c>
      <c r="O1611">
        <v>7522.4793</v>
      </c>
      <c r="P1611">
        <f t="shared" si="334"/>
        <v>6.4637715711353717E-3</v>
      </c>
      <c r="Q1611" t="str">
        <f t="shared" si="328"/>
        <v>2016-06</v>
      </c>
      <c r="S1611">
        <v>8250.7999999999993</v>
      </c>
      <c r="T1611">
        <f t="shared" si="335"/>
        <v>1.5155228242974914E-2</v>
      </c>
      <c r="U1611" t="str">
        <f t="shared" si="329"/>
        <v>2016-06</v>
      </c>
      <c r="W1611">
        <v>16513.97</v>
      </c>
      <c r="X1611">
        <f t="shared" si="336"/>
        <v>1.4800796764186606E-2</v>
      </c>
      <c r="Y1611">
        <f t="shared" si="337"/>
        <v>1.491087094801604E-2</v>
      </c>
      <c r="Z1611" t="str">
        <f t="shared" si="330"/>
        <v>2016-06</v>
      </c>
    </row>
    <row r="1612" spans="1:26" x14ac:dyDescent="0.35">
      <c r="A1612" s="1">
        <v>42537</v>
      </c>
      <c r="C1612">
        <v>2819.3</v>
      </c>
      <c r="D1612">
        <f t="shared" si="331"/>
        <v>-3.894085917673094E-3</v>
      </c>
      <c r="E1612" t="str">
        <f t="shared" si="325"/>
        <v>2016-06</v>
      </c>
      <c r="G1612">
        <v>4153.01</v>
      </c>
      <c r="H1612">
        <f t="shared" si="332"/>
        <v>-4.4614883862842819E-3</v>
      </c>
      <c r="I1612" t="str">
        <f t="shared" si="326"/>
        <v>2016-06</v>
      </c>
      <c r="K1612">
        <v>9550.4699999999993</v>
      </c>
      <c r="L1612">
        <f t="shared" si="333"/>
        <v>-5.8714447081889762E-3</v>
      </c>
      <c r="M1612" t="str">
        <f t="shared" si="327"/>
        <v>2016-06</v>
      </c>
      <c r="O1612">
        <v>7527.4341899999999</v>
      </c>
      <c r="P1612">
        <f t="shared" si="334"/>
        <v>6.5846095159514159E-4</v>
      </c>
      <c r="Q1612" t="str">
        <f t="shared" si="328"/>
        <v>2016-06</v>
      </c>
      <c r="S1612">
        <v>8199.9</v>
      </c>
      <c r="T1612">
        <f t="shared" si="335"/>
        <v>-6.1882062684069788E-3</v>
      </c>
      <c r="U1612" t="str">
        <f t="shared" si="329"/>
        <v>2016-06</v>
      </c>
      <c r="W1612">
        <v>16351.9</v>
      </c>
      <c r="X1612">
        <f t="shared" si="336"/>
        <v>-9.8625908104486831E-3</v>
      </c>
      <c r="Y1612">
        <f t="shared" si="337"/>
        <v>-9.8141149584262E-3</v>
      </c>
      <c r="Z1612" t="str">
        <f t="shared" si="330"/>
        <v>2016-06</v>
      </c>
    </row>
    <row r="1613" spans="1:26" x14ac:dyDescent="0.35">
      <c r="A1613" s="1">
        <v>42538</v>
      </c>
      <c r="C1613">
        <v>2849.17</v>
      </c>
      <c r="D1613">
        <f t="shared" si="331"/>
        <v>1.0539096608995054E-2</v>
      </c>
      <c r="E1613" t="str">
        <f t="shared" si="325"/>
        <v>2016-06</v>
      </c>
      <c r="G1613">
        <v>4193.83</v>
      </c>
      <c r="H1613">
        <f t="shared" si="332"/>
        <v>9.7810250182487346E-3</v>
      </c>
      <c r="I1613" t="str">
        <f t="shared" si="326"/>
        <v>2016-06</v>
      </c>
      <c r="K1613">
        <v>9631.36</v>
      </c>
      <c r="L1613">
        <f t="shared" si="333"/>
        <v>8.4340732348391449E-3</v>
      </c>
      <c r="M1613" t="str">
        <f t="shared" si="327"/>
        <v>2016-06</v>
      </c>
      <c r="O1613">
        <v>7649.4082099999996</v>
      </c>
      <c r="P1613">
        <f t="shared" si="334"/>
        <v>1.6074047951105754E-2</v>
      </c>
      <c r="Q1613" t="str">
        <f t="shared" si="328"/>
        <v>2016-06</v>
      </c>
      <c r="S1613">
        <v>8362</v>
      </c>
      <c r="T1613">
        <f t="shared" si="335"/>
        <v>1.9575673860478312E-2</v>
      </c>
      <c r="U1613" t="str">
        <f t="shared" si="329"/>
        <v>2016-06</v>
      </c>
      <c r="W1613">
        <v>16923.29</v>
      </c>
      <c r="X1613">
        <f t="shared" si="336"/>
        <v>3.4346681177939126E-2</v>
      </c>
      <c r="Y1613">
        <f t="shared" si="337"/>
        <v>3.494333991768548E-2</v>
      </c>
      <c r="Z1613" t="str">
        <f t="shared" si="330"/>
        <v>2016-06</v>
      </c>
    </row>
    <row r="1614" spans="1:26" x14ac:dyDescent="0.35">
      <c r="A1614" s="1">
        <v>42541</v>
      </c>
      <c r="C1614">
        <v>2942.88</v>
      </c>
      <c r="D1614">
        <f t="shared" si="331"/>
        <v>3.2360969905096404E-2</v>
      </c>
      <c r="E1614" t="str">
        <f t="shared" si="325"/>
        <v>2016-06</v>
      </c>
      <c r="G1614">
        <v>4340.76</v>
      </c>
      <c r="H1614">
        <f t="shared" si="332"/>
        <v>3.4435050426937237E-2</v>
      </c>
      <c r="I1614" t="str">
        <f t="shared" si="326"/>
        <v>2016-06</v>
      </c>
      <c r="K1614">
        <v>9962.02</v>
      </c>
      <c r="L1614">
        <f t="shared" si="333"/>
        <v>3.3755421101904548E-2</v>
      </c>
      <c r="M1614" t="str">
        <f t="shared" si="327"/>
        <v>2016-06</v>
      </c>
      <c r="O1614">
        <v>8047.9285900000004</v>
      </c>
      <c r="P1614">
        <f t="shared" si="334"/>
        <v>5.0786453629877396E-2</v>
      </c>
      <c r="Q1614" t="str">
        <f t="shared" si="328"/>
        <v>2016-06</v>
      </c>
      <c r="S1614">
        <v>8647.1</v>
      </c>
      <c r="T1614">
        <f t="shared" si="335"/>
        <v>3.3526371681571014E-2</v>
      </c>
      <c r="U1614" t="str">
        <f t="shared" si="329"/>
        <v>2016-06</v>
      </c>
      <c r="W1614">
        <v>17353.45</v>
      </c>
      <c r="X1614">
        <f t="shared" si="336"/>
        <v>2.510055416696879E-2</v>
      </c>
      <c r="Y1614">
        <f t="shared" si="337"/>
        <v>2.5418225415979979E-2</v>
      </c>
      <c r="Z1614" t="str">
        <f t="shared" si="330"/>
        <v>2016-06</v>
      </c>
    </row>
    <row r="1615" spans="1:26" x14ac:dyDescent="0.35">
      <c r="A1615" s="1">
        <v>42542</v>
      </c>
      <c r="C1615">
        <v>2967.34</v>
      </c>
      <c r="D1615">
        <f t="shared" si="331"/>
        <v>8.2772349088165251E-3</v>
      </c>
      <c r="E1615" t="str">
        <f t="shared" si="325"/>
        <v>2016-06</v>
      </c>
      <c r="G1615">
        <v>4367.24</v>
      </c>
      <c r="H1615">
        <f t="shared" si="332"/>
        <v>6.0817826413213094E-3</v>
      </c>
      <c r="I1615" t="str">
        <f t="shared" si="326"/>
        <v>2016-06</v>
      </c>
      <c r="K1615">
        <v>10015.540000000001</v>
      </c>
      <c r="L1615">
        <f t="shared" si="333"/>
        <v>5.3580245074495029E-3</v>
      </c>
      <c r="M1615" t="str">
        <f t="shared" si="327"/>
        <v>2016-06</v>
      </c>
      <c r="O1615">
        <v>8108.5066299999999</v>
      </c>
      <c r="P1615">
        <f t="shared" si="334"/>
        <v>7.4989715313479085E-3</v>
      </c>
      <c r="Q1615" t="str">
        <f t="shared" si="328"/>
        <v>2016-06</v>
      </c>
      <c r="S1615">
        <v>8667.2999999999993</v>
      </c>
      <c r="T1615">
        <f t="shared" si="335"/>
        <v>2.3333189905165447E-3</v>
      </c>
      <c r="U1615" t="str">
        <f t="shared" si="329"/>
        <v>2016-06</v>
      </c>
      <c r="W1615">
        <v>17431.169999999998</v>
      </c>
      <c r="X1615">
        <f t="shared" si="336"/>
        <v>4.468649036923374E-3</v>
      </c>
      <c r="Y1615">
        <f t="shared" si="337"/>
        <v>4.4786483379384229E-3</v>
      </c>
      <c r="Z1615" t="str">
        <f t="shared" si="330"/>
        <v>2016-06</v>
      </c>
    </row>
    <row r="1616" spans="1:26" x14ac:dyDescent="0.35">
      <c r="A1616" s="1">
        <v>42543</v>
      </c>
      <c r="C1616">
        <v>2978.31</v>
      </c>
      <c r="D1616">
        <f t="shared" si="331"/>
        <v>3.6900969441643885E-3</v>
      </c>
      <c r="E1616" t="str">
        <f t="shared" si="325"/>
        <v>2016-06</v>
      </c>
      <c r="G1616">
        <v>4380.03</v>
      </c>
      <c r="H1616">
        <f t="shared" si="332"/>
        <v>2.9243430498369113E-3</v>
      </c>
      <c r="I1616" t="str">
        <f t="shared" si="326"/>
        <v>2016-06</v>
      </c>
      <c r="K1616">
        <v>10071.06</v>
      </c>
      <c r="L1616">
        <f t="shared" si="333"/>
        <v>5.528077563071946E-3</v>
      </c>
      <c r="M1616" t="str">
        <f t="shared" si="327"/>
        <v>2016-06</v>
      </c>
      <c r="O1616">
        <v>8145.6957400000001</v>
      </c>
      <c r="P1616">
        <f t="shared" si="334"/>
        <v>4.5759458441815308E-3</v>
      </c>
      <c r="Q1616" t="str">
        <f t="shared" si="328"/>
        <v>2016-06</v>
      </c>
      <c r="S1616">
        <v>8702</v>
      </c>
      <c r="T1616">
        <f t="shared" si="335"/>
        <v>3.9955606920275407E-3</v>
      </c>
      <c r="U1616" t="str">
        <f t="shared" si="329"/>
        <v>2016-06</v>
      </c>
      <c r="W1616">
        <v>17323.27</v>
      </c>
      <c r="X1616">
        <f t="shared" si="336"/>
        <v>-6.209298534344064E-3</v>
      </c>
      <c r="Y1616">
        <f t="shared" si="337"/>
        <v>-6.1900606786577054E-3</v>
      </c>
      <c r="Z1616" t="str">
        <f t="shared" si="330"/>
        <v>2016-06</v>
      </c>
    </row>
    <row r="1617" spans="1:26" x14ac:dyDescent="0.35">
      <c r="A1617" s="1">
        <v>42544</v>
      </c>
      <c r="C1617">
        <v>3037.86</v>
      </c>
      <c r="D1617">
        <f t="shared" si="331"/>
        <v>1.9797294609089071E-2</v>
      </c>
      <c r="E1617" t="str">
        <f t="shared" si="325"/>
        <v>2016-06</v>
      </c>
      <c r="G1617">
        <v>4465.8999999999996</v>
      </c>
      <c r="H1617">
        <f t="shared" si="332"/>
        <v>1.9415188085606376E-2</v>
      </c>
      <c r="I1617" t="str">
        <f t="shared" si="326"/>
        <v>2016-06</v>
      </c>
      <c r="K1617">
        <v>10257.030000000001</v>
      </c>
      <c r="L1617">
        <f t="shared" si="333"/>
        <v>1.8297359804230647E-2</v>
      </c>
      <c r="M1617" t="str">
        <f t="shared" si="327"/>
        <v>2016-06</v>
      </c>
      <c r="O1617">
        <v>8268.0578700000005</v>
      </c>
      <c r="P1617">
        <f t="shared" si="334"/>
        <v>1.4909983387718685E-2</v>
      </c>
      <c r="Q1617" t="str">
        <f t="shared" si="328"/>
        <v>2016-06</v>
      </c>
      <c r="S1617">
        <v>8885.2999999999993</v>
      </c>
      <c r="T1617">
        <f t="shared" si="335"/>
        <v>2.0845341510196971E-2</v>
      </c>
      <c r="U1617" t="str">
        <f t="shared" si="329"/>
        <v>2016-06</v>
      </c>
      <c r="W1617">
        <v>17966.169999999998</v>
      </c>
      <c r="X1617">
        <f t="shared" si="336"/>
        <v>3.6439860689759622E-2</v>
      </c>
      <c r="Y1617">
        <f t="shared" si="337"/>
        <v>3.7111930946062598E-2</v>
      </c>
      <c r="Z1617" t="str">
        <f t="shared" si="330"/>
        <v>2016-06</v>
      </c>
    </row>
    <row r="1618" spans="1:26" x14ac:dyDescent="0.35">
      <c r="A1618" s="1">
        <v>42545</v>
      </c>
      <c r="C1618">
        <v>2776.09</v>
      </c>
      <c r="D1618">
        <f t="shared" si="331"/>
        <v>-9.0109857294124143E-2</v>
      </c>
      <c r="E1618" t="str">
        <f t="shared" si="325"/>
        <v>2016-06</v>
      </c>
      <c r="G1618">
        <v>4106.7299999999996</v>
      </c>
      <c r="H1618">
        <f t="shared" si="332"/>
        <v>-8.3843670369306206E-2</v>
      </c>
      <c r="I1618" t="str">
        <f t="shared" si="326"/>
        <v>2016-06</v>
      </c>
      <c r="K1618">
        <v>9557.16</v>
      </c>
      <c r="L1618">
        <f t="shared" si="333"/>
        <v>-7.0672712353585035E-2</v>
      </c>
      <c r="M1618" t="str">
        <f t="shared" si="327"/>
        <v>2016-06</v>
      </c>
      <c r="O1618">
        <v>7563.6841299999996</v>
      </c>
      <c r="P1618">
        <f t="shared" si="334"/>
        <v>-8.9041250796063481E-2</v>
      </c>
      <c r="Q1618" t="str">
        <f t="shared" si="328"/>
        <v>2016-06</v>
      </c>
      <c r="S1618">
        <v>7787.7</v>
      </c>
      <c r="T1618">
        <f t="shared" si="335"/>
        <v>-0.13185265984190989</v>
      </c>
      <c r="U1618" t="str">
        <f t="shared" si="329"/>
        <v>2016-06</v>
      </c>
      <c r="W1618">
        <v>15723.81</v>
      </c>
      <c r="X1618">
        <f t="shared" si="336"/>
        <v>-0.13331442103267852</v>
      </c>
      <c r="Y1618">
        <f t="shared" si="337"/>
        <v>-0.12481012925960286</v>
      </c>
      <c r="Z1618" t="str">
        <f t="shared" si="330"/>
        <v>2016-06</v>
      </c>
    </row>
    <row r="1619" spans="1:26" x14ac:dyDescent="0.35">
      <c r="A1619" s="1">
        <v>42548</v>
      </c>
      <c r="C1619">
        <v>2697.44</v>
      </c>
      <c r="D1619">
        <f t="shared" si="331"/>
        <v>-2.8740287782942534E-2</v>
      </c>
      <c r="E1619" t="str">
        <f t="shared" si="325"/>
        <v>2016-06</v>
      </c>
      <c r="G1619">
        <v>3984.72</v>
      </c>
      <c r="H1619">
        <f t="shared" si="332"/>
        <v>-3.0160045110763527E-2</v>
      </c>
      <c r="I1619" t="str">
        <f t="shared" si="326"/>
        <v>2016-06</v>
      </c>
      <c r="K1619">
        <v>9268.66</v>
      </c>
      <c r="L1619">
        <f t="shared" si="333"/>
        <v>-3.0651794989473041E-2</v>
      </c>
      <c r="M1619" t="str">
        <f t="shared" si="327"/>
        <v>2016-06</v>
      </c>
      <c r="O1619">
        <v>7161.5139300000001</v>
      </c>
      <c r="P1619">
        <f t="shared" si="334"/>
        <v>-5.4636988914154812E-2</v>
      </c>
      <c r="Q1619" t="str">
        <f t="shared" si="328"/>
        <v>2016-06</v>
      </c>
      <c r="S1619">
        <v>7645.5</v>
      </c>
      <c r="T1619">
        <f t="shared" si="335"/>
        <v>-1.842832650070643E-2</v>
      </c>
      <c r="U1619" t="str">
        <f t="shared" si="329"/>
        <v>2016-06</v>
      </c>
      <c r="W1619">
        <v>15103.58</v>
      </c>
      <c r="X1619">
        <f t="shared" si="336"/>
        <v>-4.0244322234152502E-2</v>
      </c>
      <c r="Y1619">
        <f t="shared" si="337"/>
        <v>-3.9445274395963799E-2</v>
      </c>
      <c r="Z1619" t="str">
        <f t="shared" si="330"/>
        <v>2016-06</v>
      </c>
    </row>
    <row r="1620" spans="1:26" x14ac:dyDescent="0.35">
      <c r="A1620" s="1">
        <v>42549</v>
      </c>
      <c r="C1620">
        <v>2758.67</v>
      </c>
      <c r="D1620">
        <f t="shared" si="331"/>
        <v>2.2445504442297603E-2</v>
      </c>
      <c r="E1620" t="str">
        <f t="shared" si="325"/>
        <v>2016-06</v>
      </c>
      <c r="G1620">
        <v>4088.85</v>
      </c>
      <c r="H1620">
        <f t="shared" si="332"/>
        <v>2.5796710638368428E-2</v>
      </c>
      <c r="I1620" t="str">
        <f t="shared" si="326"/>
        <v>2016-06</v>
      </c>
      <c r="K1620">
        <v>9447.2800000000007</v>
      </c>
      <c r="L1620">
        <f t="shared" si="333"/>
        <v>1.9088052576857244E-2</v>
      </c>
      <c r="M1620" t="str">
        <f t="shared" si="327"/>
        <v>2016-06</v>
      </c>
      <c r="O1620">
        <v>7405.3558899999998</v>
      </c>
      <c r="P1620">
        <f t="shared" si="334"/>
        <v>3.3482105975511142E-2</v>
      </c>
      <c r="Q1620" t="str">
        <f t="shared" si="328"/>
        <v>2016-06</v>
      </c>
      <c r="S1620">
        <v>7835</v>
      </c>
      <c r="T1620">
        <f t="shared" si="335"/>
        <v>2.4483636341914999E-2</v>
      </c>
      <c r="U1620" t="str">
        <f t="shared" si="329"/>
        <v>2016-06</v>
      </c>
      <c r="W1620">
        <v>15601.62</v>
      </c>
      <c r="X1620">
        <f t="shared" si="336"/>
        <v>3.2442953204571433E-2</v>
      </c>
      <c r="Y1620">
        <f t="shared" si="337"/>
        <v>3.2974963551687803E-2</v>
      </c>
      <c r="Z1620" t="str">
        <f t="shared" si="330"/>
        <v>2016-06</v>
      </c>
    </row>
    <row r="1621" spans="1:26" x14ac:dyDescent="0.35">
      <c r="A1621" s="1">
        <v>42550</v>
      </c>
      <c r="C1621">
        <v>2832.18</v>
      </c>
      <c r="D1621">
        <f t="shared" si="331"/>
        <v>2.6298053606047356E-2</v>
      </c>
      <c r="E1621" t="str">
        <f t="shared" si="325"/>
        <v>2016-06</v>
      </c>
      <c r="G1621">
        <v>4195.32</v>
      </c>
      <c r="H1621">
        <f t="shared" si="332"/>
        <v>2.5705861373274606E-2</v>
      </c>
      <c r="I1621" t="str">
        <f t="shared" si="326"/>
        <v>2016-06</v>
      </c>
      <c r="K1621">
        <v>9612.27</v>
      </c>
      <c r="L1621">
        <f t="shared" si="333"/>
        <v>1.731353798073133E-2</v>
      </c>
      <c r="M1621" t="str">
        <f t="shared" si="327"/>
        <v>2016-06</v>
      </c>
      <c r="O1621">
        <v>7720.5558000000001</v>
      </c>
      <c r="P1621">
        <f t="shared" si="334"/>
        <v>4.1682848929204666E-2</v>
      </c>
      <c r="Q1621" t="str">
        <f t="shared" si="328"/>
        <v>2016-06</v>
      </c>
      <c r="S1621">
        <v>8105.3</v>
      </c>
      <c r="T1621">
        <f t="shared" si="335"/>
        <v>3.3917292883419541E-2</v>
      </c>
      <c r="U1621" t="str">
        <f t="shared" si="329"/>
        <v>2016-06</v>
      </c>
      <c r="W1621">
        <v>15946.93</v>
      </c>
      <c r="X1621">
        <f t="shared" si="336"/>
        <v>2.189157919814971E-2</v>
      </c>
      <c r="Y1621">
        <f t="shared" si="337"/>
        <v>2.2132957987696114E-2</v>
      </c>
      <c r="Z1621" t="str">
        <f t="shared" si="330"/>
        <v>2016-06</v>
      </c>
    </row>
    <row r="1622" spans="1:26" x14ac:dyDescent="0.35">
      <c r="A1622" s="1">
        <v>42551</v>
      </c>
      <c r="C1622">
        <v>2864.74</v>
      </c>
      <c r="D1622">
        <f t="shared" si="331"/>
        <v>1.1430862478633504E-2</v>
      </c>
      <c r="E1622" t="str">
        <f t="shared" si="325"/>
        <v>2016-06</v>
      </c>
      <c r="G1622">
        <v>4237.4799999999996</v>
      </c>
      <c r="H1622">
        <f t="shared" si="332"/>
        <v>9.9991346342718588E-3</v>
      </c>
      <c r="I1622" t="str">
        <f t="shared" si="326"/>
        <v>2016-06</v>
      </c>
      <c r="K1622">
        <v>9680.09</v>
      </c>
      <c r="L1622">
        <f t="shared" si="333"/>
        <v>7.0307913985757442E-3</v>
      </c>
      <c r="M1622" t="str">
        <f t="shared" si="327"/>
        <v>2016-06</v>
      </c>
      <c r="O1622">
        <v>7793.6828699999996</v>
      </c>
      <c r="P1622">
        <f t="shared" si="334"/>
        <v>9.4271608333309376E-3</v>
      </c>
      <c r="Q1622" t="str">
        <f t="shared" si="328"/>
        <v>2016-06</v>
      </c>
      <c r="S1622">
        <v>8163.3</v>
      </c>
      <c r="T1622">
        <f t="shared" si="335"/>
        <v>7.1303302969205765E-3</v>
      </c>
      <c r="U1622" t="str">
        <f t="shared" si="329"/>
        <v>2016-06</v>
      </c>
      <c r="W1622">
        <v>16197.78</v>
      </c>
      <c r="X1622">
        <f t="shared" si="336"/>
        <v>1.5607861595020063E-2</v>
      </c>
      <c r="Y1622">
        <f t="shared" si="337"/>
        <v>1.5730300440272852E-2</v>
      </c>
      <c r="Z1622" t="str">
        <f t="shared" si="330"/>
        <v>2016-06</v>
      </c>
    </row>
    <row r="1623" spans="1:26" x14ac:dyDescent="0.35">
      <c r="A1623" s="1">
        <v>42552</v>
      </c>
      <c r="C1623">
        <v>2883.06</v>
      </c>
      <c r="D1623">
        <f t="shared" si="331"/>
        <v>6.3746344818994905E-3</v>
      </c>
      <c r="E1623" t="str">
        <f t="shared" si="325"/>
        <v>2016-07</v>
      </c>
      <c r="G1623">
        <v>4273.96</v>
      </c>
      <c r="H1623">
        <f t="shared" si="332"/>
        <v>8.5720450073764054E-3</v>
      </c>
      <c r="I1623" t="str">
        <f t="shared" si="326"/>
        <v>2016-07</v>
      </c>
      <c r="K1623">
        <v>9776.1200000000008</v>
      </c>
      <c r="L1623">
        <f t="shared" si="333"/>
        <v>9.8714785470613228E-3</v>
      </c>
      <c r="M1623" t="str">
        <f t="shared" si="327"/>
        <v>2016-07</v>
      </c>
      <c r="O1623">
        <v>7844.7282100000002</v>
      </c>
      <c r="P1623">
        <f t="shared" si="334"/>
        <v>6.528223490864982E-3</v>
      </c>
      <c r="Q1623" t="str">
        <f t="shared" si="328"/>
        <v>2016-07</v>
      </c>
      <c r="S1623">
        <v>8268.9</v>
      </c>
      <c r="T1623">
        <f t="shared" si="335"/>
        <v>1.2852990317835111E-2</v>
      </c>
      <c r="U1623" t="str">
        <f t="shared" si="329"/>
        <v>2016-07</v>
      </c>
      <c r="W1623">
        <v>16295.78</v>
      </c>
      <c r="X1623">
        <f t="shared" si="336"/>
        <v>6.0319827770478869E-3</v>
      </c>
      <c r="Y1623">
        <f t="shared" si="337"/>
        <v>6.050211819150525E-3</v>
      </c>
      <c r="Z1623" t="str">
        <f t="shared" si="330"/>
        <v>2016-07</v>
      </c>
    </row>
    <row r="1624" spans="1:26" x14ac:dyDescent="0.35">
      <c r="A1624" s="1">
        <v>42555</v>
      </c>
      <c r="C1624">
        <v>2862.21</v>
      </c>
      <c r="D1624">
        <f t="shared" si="331"/>
        <v>-7.2581763897513387E-3</v>
      </c>
      <c r="E1624" t="str">
        <f t="shared" si="325"/>
        <v>2016-07</v>
      </c>
      <c r="G1624">
        <v>4234.8599999999997</v>
      </c>
      <c r="H1624">
        <f t="shared" si="332"/>
        <v>-9.1905282324398849E-3</v>
      </c>
      <c r="I1624" t="str">
        <f t="shared" si="326"/>
        <v>2016-07</v>
      </c>
      <c r="K1624">
        <v>9709.09</v>
      </c>
      <c r="L1624">
        <f t="shared" si="333"/>
        <v>-6.880117218225618E-3</v>
      </c>
      <c r="M1624" t="str">
        <f t="shared" si="327"/>
        <v>2016-07</v>
      </c>
      <c r="O1624">
        <v>7777.8009000000002</v>
      </c>
      <c r="P1624">
        <f t="shared" si="334"/>
        <v>-8.5681030221673761E-3</v>
      </c>
      <c r="Q1624" t="str">
        <f t="shared" si="328"/>
        <v>2016-07</v>
      </c>
      <c r="S1624">
        <v>8255.9</v>
      </c>
      <c r="T1624">
        <f t="shared" si="335"/>
        <v>-1.5733930434090511E-3</v>
      </c>
      <c r="U1624" t="str">
        <f t="shared" si="329"/>
        <v>2016-07</v>
      </c>
      <c r="W1624">
        <v>16012.31</v>
      </c>
      <c r="X1624">
        <f t="shared" si="336"/>
        <v>-1.7548377165360802E-2</v>
      </c>
      <c r="Y1624">
        <f t="shared" si="337"/>
        <v>-1.7395301114767208E-2</v>
      </c>
      <c r="Z1624" t="str">
        <f t="shared" si="330"/>
        <v>2016-07</v>
      </c>
    </row>
    <row r="1625" spans="1:26" x14ac:dyDescent="0.35">
      <c r="A1625" s="1">
        <v>42556</v>
      </c>
      <c r="C1625">
        <v>2812.88</v>
      </c>
      <c r="D1625">
        <f t="shared" si="331"/>
        <v>-1.7385184189515297E-2</v>
      </c>
      <c r="E1625" t="str">
        <f t="shared" si="325"/>
        <v>2016-07</v>
      </c>
      <c r="G1625">
        <v>4163.42</v>
      </c>
      <c r="H1625">
        <f t="shared" si="332"/>
        <v>-1.7013417800319439E-2</v>
      </c>
      <c r="I1625" t="str">
        <f t="shared" si="326"/>
        <v>2016-07</v>
      </c>
      <c r="K1625">
        <v>9532.61</v>
      </c>
      <c r="L1625">
        <f t="shared" si="333"/>
        <v>-1.8344007941524732E-2</v>
      </c>
      <c r="M1625" t="str">
        <f t="shared" si="327"/>
        <v>2016-07</v>
      </c>
      <c r="O1625">
        <v>7703.9417999999996</v>
      </c>
      <c r="P1625">
        <f t="shared" si="334"/>
        <v>-9.5415176157086813E-3</v>
      </c>
      <c r="Q1625" t="str">
        <f t="shared" si="328"/>
        <v>2016-07</v>
      </c>
      <c r="S1625">
        <v>8067.6</v>
      </c>
      <c r="T1625">
        <f t="shared" si="335"/>
        <v>-2.3072055981896048E-2</v>
      </c>
      <c r="U1625" t="str">
        <f t="shared" si="329"/>
        <v>2016-07</v>
      </c>
      <c r="W1625">
        <v>15780.16</v>
      </c>
      <c r="X1625">
        <f t="shared" si="336"/>
        <v>-1.4604346639247609E-2</v>
      </c>
      <c r="Y1625">
        <f t="shared" si="337"/>
        <v>-1.4498220431655372E-2</v>
      </c>
      <c r="Z1625" t="str">
        <f t="shared" si="330"/>
        <v>2016-07</v>
      </c>
    </row>
    <row r="1626" spans="1:26" x14ac:dyDescent="0.35">
      <c r="A1626" s="1">
        <v>42557</v>
      </c>
      <c r="C1626">
        <v>2761.37</v>
      </c>
      <c r="D1626">
        <f t="shared" si="331"/>
        <v>-1.8481936128530014E-2</v>
      </c>
      <c r="E1626" t="str">
        <f t="shared" si="325"/>
        <v>2016-07</v>
      </c>
      <c r="G1626">
        <v>4085.3</v>
      </c>
      <c r="H1626">
        <f t="shared" si="332"/>
        <v>-1.8941686878126449E-2</v>
      </c>
      <c r="I1626" t="str">
        <f t="shared" si="326"/>
        <v>2016-07</v>
      </c>
      <c r="K1626">
        <v>9373.26</v>
      </c>
      <c r="L1626">
        <f t="shared" si="333"/>
        <v>-1.6857597522573015E-2</v>
      </c>
      <c r="M1626" t="str">
        <f t="shared" si="327"/>
        <v>2016-07</v>
      </c>
      <c r="O1626">
        <v>7544.8380299999999</v>
      </c>
      <c r="P1626">
        <f t="shared" si="334"/>
        <v>-2.08684951575854E-2</v>
      </c>
      <c r="Q1626" t="str">
        <f t="shared" si="328"/>
        <v>2016-07</v>
      </c>
      <c r="S1626">
        <v>7926.2</v>
      </c>
      <c r="T1626">
        <f t="shared" si="335"/>
        <v>-1.7682312421934649E-2</v>
      </c>
      <c r="U1626" t="str">
        <f t="shared" si="329"/>
        <v>2016-07</v>
      </c>
      <c r="W1626">
        <v>15423.79</v>
      </c>
      <c r="X1626">
        <f t="shared" si="336"/>
        <v>-2.2842332153033409E-2</v>
      </c>
      <c r="Y1626">
        <f t="shared" si="337"/>
        <v>-2.258342120738947E-2</v>
      </c>
      <c r="Z1626" t="str">
        <f t="shared" si="330"/>
        <v>2016-07</v>
      </c>
    </row>
    <row r="1627" spans="1:26" x14ac:dyDescent="0.35">
      <c r="A1627" s="1">
        <v>42558</v>
      </c>
      <c r="C1627">
        <v>2780.1</v>
      </c>
      <c r="D1627">
        <f t="shared" si="331"/>
        <v>6.7599648921829155E-3</v>
      </c>
      <c r="E1627" t="str">
        <f t="shared" si="325"/>
        <v>2016-07</v>
      </c>
      <c r="G1627">
        <v>4117.8500000000004</v>
      </c>
      <c r="H1627">
        <f t="shared" si="332"/>
        <v>7.9360174650184804E-3</v>
      </c>
      <c r="I1627" t="str">
        <f t="shared" si="326"/>
        <v>2016-07</v>
      </c>
      <c r="K1627">
        <v>9418.7800000000007</v>
      </c>
      <c r="L1627">
        <f t="shared" si="333"/>
        <v>4.8446138929648698E-3</v>
      </c>
      <c r="M1627" t="str">
        <f t="shared" si="327"/>
        <v>2016-07</v>
      </c>
      <c r="O1627">
        <v>7619.8022700000001</v>
      </c>
      <c r="P1627">
        <f t="shared" si="334"/>
        <v>9.8867957504113098E-3</v>
      </c>
      <c r="Q1627" t="str">
        <f t="shared" si="328"/>
        <v>2016-07</v>
      </c>
      <c r="S1627">
        <v>8008.2</v>
      </c>
      <c r="T1627">
        <f t="shared" si="335"/>
        <v>1.0292288867103986E-2</v>
      </c>
      <c r="U1627" t="str">
        <f t="shared" si="329"/>
        <v>2016-07</v>
      </c>
      <c r="W1627">
        <v>15436.16</v>
      </c>
      <c r="X1627">
        <f t="shared" si="336"/>
        <v>8.0168637100951371E-4</v>
      </c>
      <c r="Y1627">
        <f t="shared" si="337"/>
        <v>8.0200780741951111E-4</v>
      </c>
      <c r="Z1627" t="str">
        <f t="shared" si="330"/>
        <v>2016-07</v>
      </c>
    </row>
    <row r="1628" spans="1:26" x14ac:dyDescent="0.35">
      <c r="A1628" s="1">
        <v>42559</v>
      </c>
      <c r="C1628">
        <v>2838.01</v>
      </c>
      <c r="D1628">
        <f t="shared" si="331"/>
        <v>2.0616204061199468E-2</v>
      </c>
      <c r="E1628" t="str">
        <f t="shared" si="325"/>
        <v>2016-07</v>
      </c>
      <c r="G1628">
        <v>4190.68</v>
      </c>
      <c r="H1628">
        <f t="shared" si="332"/>
        <v>1.7531829442782497E-2</v>
      </c>
      <c r="I1628" t="str">
        <f t="shared" si="326"/>
        <v>2016-07</v>
      </c>
      <c r="K1628">
        <v>9629.66</v>
      </c>
      <c r="L1628">
        <f t="shared" si="333"/>
        <v>2.2142350328751184E-2</v>
      </c>
      <c r="M1628" t="str">
        <f t="shared" si="327"/>
        <v>2016-07</v>
      </c>
      <c r="O1628">
        <v>7728.1290200000003</v>
      </c>
      <c r="P1628">
        <f t="shared" si="334"/>
        <v>1.4116371362449372E-2</v>
      </c>
      <c r="Q1628" t="str">
        <f t="shared" si="328"/>
        <v>2016-07</v>
      </c>
      <c r="S1628">
        <v>8185.9</v>
      </c>
      <c r="T1628">
        <f t="shared" si="335"/>
        <v>2.1947145291071956E-2</v>
      </c>
      <c r="U1628" t="str">
        <f t="shared" si="329"/>
        <v>2016-07</v>
      </c>
      <c r="W1628">
        <v>16066.38</v>
      </c>
      <c r="X1628">
        <f t="shared" si="336"/>
        <v>4.001608090433318E-2</v>
      </c>
      <c r="Y1628">
        <f t="shared" si="337"/>
        <v>4.0827511505452094E-2</v>
      </c>
      <c r="Z1628" t="str">
        <f t="shared" si="330"/>
        <v>2016-07</v>
      </c>
    </row>
    <row r="1629" spans="1:26" x14ac:dyDescent="0.35">
      <c r="A1629" s="1">
        <v>42562</v>
      </c>
      <c r="C1629">
        <v>2885.32</v>
      </c>
      <c r="D1629">
        <f t="shared" si="331"/>
        <v>1.6532710013432372E-2</v>
      </c>
      <c r="E1629" t="str">
        <f t="shared" si="325"/>
        <v>2016-07</v>
      </c>
      <c r="G1629">
        <v>4264.53</v>
      </c>
      <c r="H1629">
        <f t="shared" si="332"/>
        <v>1.7468963638943145E-2</v>
      </c>
      <c r="I1629" t="str">
        <f t="shared" si="326"/>
        <v>2016-07</v>
      </c>
      <c r="K1629">
        <v>9833.41</v>
      </c>
      <c r="L1629">
        <f t="shared" si="333"/>
        <v>2.0937852405061477E-2</v>
      </c>
      <c r="M1629" t="str">
        <f t="shared" si="327"/>
        <v>2016-07</v>
      </c>
      <c r="O1629">
        <v>7840.7064600000003</v>
      </c>
      <c r="P1629">
        <f t="shared" si="334"/>
        <v>1.4462148091129294E-2</v>
      </c>
      <c r="Q1629" t="str">
        <f t="shared" si="328"/>
        <v>2016-07</v>
      </c>
      <c r="S1629">
        <v>8305.1</v>
      </c>
      <c r="T1629">
        <f t="shared" si="335"/>
        <v>1.4456621914864323E-2</v>
      </c>
      <c r="U1629" t="str">
        <f t="shared" si="329"/>
        <v>2016-07</v>
      </c>
      <c r="W1629">
        <v>16260.64</v>
      </c>
      <c r="X1629">
        <f t="shared" si="336"/>
        <v>1.2018573833051237E-2</v>
      </c>
      <c r="Y1629">
        <f t="shared" si="337"/>
        <v>1.2091087102383999E-2</v>
      </c>
      <c r="Z1629" t="str">
        <f t="shared" si="330"/>
        <v>2016-07</v>
      </c>
    </row>
    <row r="1630" spans="1:26" x14ac:dyDescent="0.35">
      <c r="A1630" s="1">
        <v>42563</v>
      </c>
      <c r="C1630">
        <v>2933.44</v>
      </c>
      <c r="D1630">
        <f t="shared" si="331"/>
        <v>1.6539983438023566E-2</v>
      </c>
      <c r="E1630" t="str">
        <f t="shared" si="325"/>
        <v>2016-07</v>
      </c>
      <c r="G1630">
        <v>4331.38</v>
      </c>
      <c r="H1630">
        <f t="shared" si="332"/>
        <v>1.5554222361013276E-2</v>
      </c>
      <c r="I1630" t="str">
        <f t="shared" si="326"/>
        <v>2016-07</v>
      </c>
      <c r="K1630">
        <v>9964.07</v>
      </c>
      <c r="L1630">
        <f t="shared" si="333"/>
        <v>1.3199851408864071E-2</v>
      </c>
      <c r="M1630" t="str">
        <f t="shared" si="327"/>
        <v>2016-07</v>
      </c>
      <c r="O1630">
        <v>7998.5181400000001</v>
      </c>
      <c r="P1630">
        <f t="shared" si="334"/>
        <v>1.9927352025618045E-2</v>
      </c>
      <c r="Q1630" t="str">
        <f t="shared" si="328"/>
        <v>2016-07</v>
      </c>
      <c r="S1630">
        <v>8506</v>
      </c>
      <c r="T1630">
        <f t="shared" si="335"/>
        <v>2.390201289948185E-2</v>
      </c>
      <c r="U1630" t="str">
        <f t="shared" si="329"/>
        <v>2016-07</v>
      </c>
      <c r="W1630">
        <v>16721</v>
      </c>
      <c r="X1630">
        <f t="shared" si="336"/>
        <v>2.7917950741863512E-2</v>
      </c>
      <c r="Y1630">
        <f t="shared" si="337"/>
        <v>2.8311308779974256E-2</v>
      </c>
      <c r="Z1630" t="str">
        <f t="shared" si="330"/>
        <v>2016-07</v>
      </c>
    </row>
    <row r="1631" spans="1:26" x14ac:dyDescent="0.35">
      <c r="A1631" s="1">
        <v>42564</v>
      </c>
      <c r="C1631">
        <v>2926.14</v>
      </c>
      <c r="D1631">
        <f t="shared" si="331"/>
        <v>-2.4916474480149993E-3</v>
      </c>
      <c r="E1631" t="str">
        <f t="shared" si="325"/>
        <v>2016-07</v>
      </c>
      <c r="G1631">
        <v>4335.26</v>
      </c>
      <c r="H1631">
        <f t="shared" si="332"/>
        <v>8.9538743024350292E-4</v>
      </c>
      <c r="I1631" t="str">
        <f t="shared" si="326"/>
        <v>2016-07</v>
      </c>
      <c r="K1631">
        <v>9930.7099999999991</v>
      </c>
      <c r="L1631">
        <f t="shared" si="333"/>
        <v>-3.3536466617378152E-3</v>
      </c>
      <c r="M1631" t="str">
        <f t="shared" si="327"/>
        <v>2016-07</v>
      </c>
      <c r="O1631">
        <v>7921.13753</v>
      </c>
      <c r="P1631">
        <f t="shared" si="334"/>
        <v>-9.7214689840361274E-3</v>
      </c>
      <c r="Q1631" t="str">
        <f t="shared" si="328"/>
        <v>2016-07</v>
      </c>
      <c r="S1631">
        <v>8473.9</v>
      </c>
      <c r="T1631">
        <f t="shared" si="335"/>
        <v>-3.7809454991589437E-3</v>
      </c>
      <c r="U1631" t="str">
        <f t="shared" si="329"/>
        <v>2016-07</v>
      </c>
      <c r="W1631">
        <v>16527.89</v>
      </c>
      <c r="X1631">
        <f t="shared" si="336"/>
        <v>-1.1616157498097249E-2</v>
      </c>
      <c r="Y1631">
        <f t="shared" si="337"/>
        <v>-1.1548950421625535E-2</v>
      </c>
      <c r="Z1631" t="str">
        <f t="shared" si="330"/>
        <v>2016-07</v>
      </c>
    </row>
    <row r="1632" spans="1:26" x14ac:dyDescent="0.35">
      <c r="A1632" s="1">
        <v>42565</v>
      </c>
      <c r="C1632">
        <v>2963.07</v>
      </c>
      <c r="D1632">
        <f t="shared" si="331"/>
        <v>1.2541744673801834E-2</v>
      </c>
      <c r="E1632" t="str">
        <f t="shared" si="325"/>
        <v>2016-07</v>
      </c>
      <c r="G1632">
        <v>4385.5200000000004</v>
      </c>
      <c r="H1632">
        <f t="shared" si="332"/>
        <v>1.1526619516401453E-2</v>
      </c>
      <c r="I1632" t="str">
        <f t="shared" si="326"/>
        <v>2016-07</v>
      </c>
      <c r="K1632">
        <v>10068.299999999999</v>
      </c>
      <c r="L1632">
        <f t="shared" si="333"/>
        <v>1.3759898202400464E-2</v>
      </c>
      <c r="M1632" t="str">
        <f t="shared" si="327"/>
        <v>2016-07</v>
      </c>
      <c r="O1632">
        <v>7976.6215099999999</v>
      </c>
      <c r="P1632">
        <f t="shared" si="334"/>
        <v>6.9801291031466543E-3</v>
      </c>
      <c r="Q1632" t="str">
        <f t="shared" si="328"/>
        <v>2016-07</v>
      </c>
      <c r="S1632">
        <v>8552.2999999999993</v>
      </c>
      <c r="T1632">
        <f t="shared" si="335"/>
        <v>9.2094012887535704E-3</v>
      </c>
      <c r="U1632" t="str">
        <f t="shared" si="329"/>
        <v>2016-07</v>
      </c>
      <c r="W1632">
        <v>16797.52</v>
      </c>
      <c r="X1632">
        <f t="shared" si="336"/>
        <v>1.6181999482395459E-2</v>
      </c>
      <c r="Y1632">
        <f t="shared" si="337"/>
        <v>1.6313637130934502E-2</v>
      </c>
      <c r="Z1632" t="str">
        <f t="shared" si="330"/>
        <v>2016-07</v>
      </c>
    </row>
    <row r="1633" spans="1:26" x14ac:dyDescent="0.35">
      <c r="A1633" s="1">
        <v>42566</v>
      </c>
      <c r="C1633">
        <v>2958.65</v>
      </c>
      <c r="D1633">
        <f t="shared" si="331"/>
        <v>-1.4928097987828091E-3</v>
      </c>
      <c r="E1633" t="str">
        <f t="shared" si="325"/>
        <v>2016-07</v>
      </c>
      <c r="G1633">
        <v>4372.51</v>
      </c>
      <c r="H1633">
        <f t="shared" si="332"/>
        <v>-2.9709899531517761E-3</v>
      </c>
      <c r="I1633" t="str">
        <f t="shared" si="326"/>
        <v>2016-07</v>
      </c>
      <c r="K1633">
        <v>10066.9</v>
      </c>
      <c r="L1633">
        <f t="shared" si="333"/>
        <v>-1.3905995493029553E-4</v>
      </c>
      <c r="M1633" t="str">
        <f t="shared" si="327"/>
        <v>2016-07</v>
      </c>
      <c r="O1633">
        <v>7945.57168</v>
      </c>
      <c r="P1633">
        <f t="shared" si="334"/>
        <v>-3.9002000527399963E-3</v>
      </c>
      <c r="Q1633" t="str">
        <f t="shared" si="328"/>
        <v>2016-07</v>
      </c>
      <c r="S1633">
        <v>8531</v>
      </c>
      <c r="T1633">
        <f t="shared" si="335"/>
        <v>-2.4936646944786873E-3</v>
      </c>
      <c r="U1633" t="str">
        <f t="shared" si="329"/>
        <v>2016-07</v>
      </c>
      <c r="W1633">
        <v>16748.59</v>
      </c>
      <c r="X1633">
        <f t="shared" si="336"/>
        <v>-2.9171808414920437E-3</v>
      </c>
      <c r="Y1633">
        <f t="shared" si="337"/>
        <v>-2.9129300039529818E-3</v>
      </c>
      <c r="Z1633" t="str">
        <f t="shared" si="330"/>
        <v>2016-07</v>
      </c>
    </row>
    <row r="1634" spans="1:26" x14ac:dyDescent="0.35">
      <c r="A1634" s="1">
        <v>42569</v>
      </c>
      <c r="C1634">
        <v>2949.17</v>
      </c>
      <c r="D1634">
        <f t="shared" si="331"/>
        <v>-3.2093083867586504E-3</v>
      </c>
      <c r="E1634" t="str">
        <f t="shared" si="325"/>
        <v>2016-07</v>
      </c>
      <c r="G1634">
        <v>4357.74</v>
      </c>
      <c r="H1634">
        <f t="shared" si="332"/>
        <v>-3.3836405811603892E-3</v>
      </c>
      <c r="I1634" t="str">
        <f t="shared" si="326"/>
        <v>2016-07</v>
      </c>
      <c r="K1634">
        <v>10063.129999999999</v>
      </c>
      <c r="L1634">
        <f t="shared" si="333"/>
        <v>-3.7456477154557436E-4</v>
      </c>
      <c r="M1634" t="str">
        <f t="shared" si="327"/>
        <v>2016-07</v>
      </c>
      <c r="O1634">
        <v>8018.0542299999997</v>
      </c>
      <c r="P1634">
        <f t="shared" si="334"/>
        <v>9.0810256409472722E-3</v>
      </c>
      <c r="Q1634" t="str">
        <f t="shared" si="328"/>
        <v>2016-07</v>
      </c>
      <c r="S1634">
        <v>8524.4</v>
      </c>
      <c r="T1634">
        <f t="shared" si="335"/>
        <v>-7.7394846552392941E-4</v>
      </c>
      <c r="U1634" t="str">
        <f t="shared" si="329"/>
        <v>2016-07</v>
      </c>
      <c r="W1634">
        <v>16762.73</v>
      </c>
      <c r="X1634">
        <f t="shared" si="336"/>
        <v>8.4389399397921444E-4</v>
      </c>
      <c r="Y1634">
        <f t="shared" si="337"/>
        <v>8.4425017270107019E-4</v>
      </c>
      <c r="Z1634" t="str">
        <f t="shared" si="330"/>
        <v>2016-07</v>
      </c>
    </row>
    <row r="1635" spans="1:26" x14ac:dyDescent="0.35">
      <c r="A1635" s="1">
        <v>42570</v>
      </c>
      <c r="C1635">
        <v>2931.1</v>
      </c>
      <c r="D1635">
        <f t="shared" si="331"/>
        <v>-6.1459956363235282E-3</v>
      </c>
      <c r="E1635" t="str">
        <f t="shared" si="325"/>
        <v>2016-07</v>
      </c>
      <c r="G1635">
        <v>4330.13</v>
      </c>
      <c r="H1635">
        <f t="shared" si="332"/>
        <v>-6.3560096895968468E-3</v>
      </c>
      <c r="I1635" t="str">
        <f t="shared" si="326"/>
        <v>2016-07</v>
      </c>
      <c r="K1635">
        <v>9981.24</v>
      </c>
      <c r="L1635">
        <f t="shared" si="333"/>
        <v>-8.1709183783299222E-3</v>
      </c>
      <c r="M1635" t="str">
        <f t="shared" si="327"/>
        <v>2016-07</v>
      </c>
      <c r="O1635">
        <v>7976.7659000000003</v>
      </c>
      <c r="P1635">
        <f t="shared" si="334"/>
        <v>-5.1627241033885794E-3</v>
      </c>
      <c r="Q1635" t="str">
        <f t="shared" si="328"/>
        <v>2016-07</v>
      </c>
      <c r="S1635">
        <v>8485.2000000000007</v>
      </c>
      <c r="T1635">
        <f t="shared" si="335"/>
        <v>-4.609170044975343E-3</v>
      </c>
      <c r="U1635" t="str">
        <f t="shared" si="329"/>
        <v>2016-07</v>
      </c>
      <c r="W1635">
        <v>16673.77</v>
      </c>
      <c r="X1635">
        <f t="shared" si="336"/>
        <v>-5.3211436547033258E-3</v>
      </c>
      <c r="Y1635">
        <f t="shared" si="337"/>
        <v>-5.307011447419312E-3</v>
      </c>
      <c r="Z1635" t="str">
        <f t="shared" si="330"/>
        <v>2016-07</v>
      </c>
    </row>
    <row r="1636" spans="1:26" x14ac:dyDescent="0.35">
      <c r="A1636" s="1">
        <v>42571</v>
      </c>
      <c r="C1636">
        <v>2966.95</v>
      </c>
      <c r="D1636">
        <f t="shared" si="331"/>
        <v>1.2156709932395052E-2</v>
      </c>
      <c r="E1636" t="str">
        <f t="shared" si="325"/>
        <v>2016-07</v>
      </c>
      <c r="G1636">
        <v>4379.76</v>
      </c>
      <c r="H1636">
        <f t="shared" si="332"/>
        <v>1.1396363708129706E-2</v>
      </c>
      <c r="I1636" t="str">
        <f t="shared" si="326"/>
        <v>2016-07</v>
      </c>
      <c r="K1636">
        <v>10142.01</v>
      </c>
      <c r="L1636">
        <f t="shared" si="333"/>
        <v>1.5978872268996674E-2</v>
      </c>
      <c r="M1636" t="str">
        <f t="shared" si="327"/>
        <v>2016-07</v>
      </c>
      <c r="O1636">
        <v>8062.43786</v>
      </c>
      <c r="P1636">
        <f t="shared" si="334"/>
        <v>1.0682921179261024E-2</v>
      </c>
      <c r="Q1636" t="str">
        <f t="shared" si="328"/>
        <v>2016-07</v>
      </c>
      <c r="S1636">
        <v>8575.5</v>
      </c>
      <c r="T1636">
        <f t="shared" si="335"/>
        <v>1.0585830973940044E-2</v>
      </c>
      <c r="U1636" t="str">
        <f t="shared" si="329"/>
        <v>2016-07</v>
      </c>
      <c r="W1636">
        <v>16763.82</v>
      </c>
      <c r="X1636">
        <f t="shared" si="336"/>
        <v>5.3861667483639381E-3</v>
      </c>
      <c r="Y1636">
        <f t="shared" si="337"/>
        <v>5.4006982224175616E-3</v>
      </c>
      <c r="Z1636" t="str">
        <f t="shared" si="330"/>
        <v>2016-07</v>
      </c>
    </row>
    <row r="1637" spans="1:26" x14ac:dyDescent="0.35">
      <c r="A1637" s="1">
        <v>42572</v>
      </c>
      <c r="C1637">
        <v>2968.49</v>
      </c>
      <c r="D1637">
        <f t="shared" si="331"/>
        <v>5.1891689059508197E-4</v>
      </c>
      <c r="E1637" t="str">
        <f t="shared" si="325"/>
        <v>2016-07</v>
      </c>
      <c r="G1637">
        <v>4376.25</v>
      </c>
      <c r="H1637">
        <f t="shared" si="332"/>
        <v>-8.0173507979386068E-4</v>
      </c>
      <c r="I1637" t="str">
        <f t="shared" si="326"/>
        <v>2016-07</v>
      </c>
      <c r="K1637">
        <v>10156.209999999999</v>
      </c>
      <c r="L1637">
        <f t="shared" si="333"/>
        <v>1.3991376895585972E-3</v>
      </c>
      <c r="M1637" t="str">
        <f t="shared" si="327"/>
        <v>2016-07</v>
      </c>
      <c r="O1637">
        <v>8040.1114600000001</v>
      </c>
      <c r="P1637">
        <f t="shared" si="334"/>
        <v>-2.7730285265063041E-3</v>
      </c>
      <c r="Q1637" t="str">
        <f t="shared" si="328"/>
        <v>2016-07</v>
      </c>
      <c r="S1637">
        <v>8583.6</v>
      </c>
      <c r="T1637">
        <f t="shared" si="335"/>
        <v>9.4410553020271733E-4</v>
      </c>
      <c r="U1637" t="str">
        <f t="shared" si="329"/>
        <v>2016-07</v>
      </c>
      <c r="W1637">
        <v>16805.400000000001</v>
      </c>
      <c r="X1637">
        <f t="shared" si="336"/>
        <v>2.4772706225675302E-3</v>
      </c>
      <c r="Y1637">
        <f t="shared" si="337"/>
        <v>2.4803415927874281E-3</v>
      </c>
      <c r="Z1637" t="str">
        <f t="shared" si="330"/>
        <v>2016-07</v>
      </c>
    </row>
    <row r="1638" spans="1:26" x14ac:dyDescent="0.35">
      <c r="A1638" s="1">
        <v>42573</v>
      </c>
      <c r="C1638">
        <v>2972.23</v>
      </c>
      <c r="D1638">
        <f t="shared" si="331"/>
        <v>1.2591068066163233E-3</v>
      </c>
      <c r="E1638" t="str">
        <f t="shared" si="325"/>
        <v>2016-07</v>
      </c>
      <c r="G1638">
        <v>4381.1000000000004</v>
      </c>
      <c r="H1638">
        <f t="shared" si="332"/>
        <v>1.1076411233672885E-3</v>
      </c>
      <c r="I1638" t="str">
        <f t="shared" si="326"/>
        <v>2016-07</v>
      </c>
      <c r="K1638">
        <v>10147.459999999999</v>
      </c>
      <c r="L1638">
        <f t="shared" si="333"/>
        <v>-8.6191319517048531E-4</v>
      </c>
      <c r="M1638" t="str">
        <f t="shared" si="327"/>
        <v>2016-07</v>
      </c>
      <c r="O1638">
        <v>8044.4179700000004</v>
      </c>
      <c r="P1638">
        <f t="shared" si="334"/>
        <v>5.3548474907493774E-4</v>
      </c>
      <c r="Q1638" t="str">
        <f t="shared" si="328"/>
        <v>2016-07</v>
      </c>
      <c r="S1638">
        <v>8599.9</v>
      </c>
      <c r="T1638">
        <f t="shared" si="335"/>
        <v>1.8971693646791471E-3</v>
      </c>
      <c r="U1638" t="str">
        <f t="shared" si="329"/>
        <v>2016-07</v>
      </c>
      <c r="W1638">
        <v>16778.669999999998</v>
      </c>
      <c r="X1638">
        <f t="shared" si="336"/>
        <v>-1.591826460836405E-3</v>
      </c>
      <c r="Y1638">
        <f t="shared" si="337"/>
        <v>-1.590560177086127E-3</v>
      </c>
      <c r="Z1638" t="str">
        <f t="shared" si="330"/>
        <v>2016-07</v>
      </c>
    </row>
    <row r="1639" spans="1:26" x14ac:dyDescent="0.35">
      <c r="A1639" s="1">
        <v>42576</v>
      </c>
      <c r="C1639">
        <v>2973.22</v>
      </c>
      <c r="D1639">
        <f t="shared" si="331"/>
        <v>3.3302778062199359E-4</v>
      </c>
      <c r="E1639" t="str">
        <f t="shared" si="325"/>
        <v>2016-07</v>
      </c>
      <c r="G1639">
        <v>4388</v>
      </c>
      <c r="H1639">
        <f t="shared" si="332"/>
        <v>1.5737080028782181E-3</v>
      </c>
      <c r="I1639" t="str">
        <f t="shared" si="326"/>
        <v>2016-07</v>
      </c>
      <c r="K1639">
        <v>10198.24</v>
      </c>
      <c r="L1639">
        <f t="shared" si="333"/>
        <v>4.991728516776605E-3</v>
      </c>
      <c r="M1639" t="str">
        <f t="shared" si="327"/>
        <v>2016-07</v>
      </c>
      <c r="O1639">
        <v>8023.20723</v>
      </c>
      <c r="P1639">
        <f t="shared" si="334"/>
        <v>-2.6401850997774786E-3</v>
      </c>
      <c r="Q1639" t="str">
        <f t="shared" si="328"/>
        <v>2016-07</v>
      </c>
      <c r="S1639">
        <v>8575.7000000000007</v>
      </c>
      <c r="T1639">
        <f t="shared" si="335"/>
        <v>-2.8179529115794312E-3</v>
      </c>
      <c r="U1639" t="str">
        <f t="shared" si="329"/>
        <v>2016-07</v>
      </c>
      <c r="W1639">
        <v>16692.169999999998</v>
      </c>
      <c r="X1639">
        <f t="shared" si="336"/>
        <v>-5.1686896757347171E-3</v>
      </c>
      <c r="Y1639">
        <f t="shared" si="337"/>
        <v>-5.1553549834402849E-3</v>
      </c>
      <c r="Z1639" t="str">
        <f t="shared" si="330"/>
        <v>2016-07</v>
      </c>
    </row>
    <row r="1640" spans="1:26" x14ac:dyDescent="0.35">
      <c r="A1640" s="1">
        <v>42577</v>
      </c>
      <c r="C1640">
        <v>2978.9</v>
      </c>
      <c r="D1640">
        <f t="shared" si="331"/>
        <v>1.908564250778743E-3</v>
      </c>
      <c r="E1640" t="str">
        <f t="shared" si="325"/>
        <v>2016-07</v>
      </c>
      <c r="G1640">
        <v>4394.7700000000004</v>
      </c>
      <c r="H1640">
        <f t="shared" si="332"/>
        <v>1.5416551591025413E-3</v>
      </c>
      <c r="I1640" t="str">
        <f t="shared" si="326"/>
        <v>2016-07</v>
      </c>
      <c r="K1640">
        <v>10247.76</v>
      </c>
      <c r="L1640">
        <f t="shared" si="333"/>
        <v>4.8439887341293489E-3</v>
      </c>
      <c r="M1640" t="str">
        <f t="shared" si="327"/>
        <v>2016-07</v>
      </c>
      <c r="O1640">
        <v>8040.9314000000004</v>
      </c>
      <c r="P1640">
        <f t="shared" si="334"/>
        <v>2.2066763242570963E-3</v>
      </c>
      <c r="Q1640" t="str">
        <f t="shared" si="328"/>
        <v>2016-07</v>
      </c>
      <c r="S1640">
        <v>8560.2000000000007</v>
      </c>
      <c r="T1640">
        <f t="shared" si="335"/>
        <v>-1.8090680066143992E-3</v>
      </c>
      <c r="U1640" t="str">
        <f t="shared" si="329"/>
        <v>2016-07</v>
      </c>
      <c r="W1640">
        <v>16697.009999999998</v>
      </c>
      <c r="X1640">
        <f t="shared" si="336"/>
        <v>2.8991427964979079E-4</v>
      </c>
      <c r="Y1640">
        <f t="shared" si="337"/>
        <v>2.8995630885619703E-4</v>
      </c>
      <c r="Z1640" t="str">
        <f t="shared" si="330"/>
        <v>2016-07</v>
      </c>
    </row>
    <row r="1641" spans="1:26" x14ac:dyDescent="0.35">
      <c r="A1641" s="1">
        <v>42578</v>
      </c>
      <c r="C1641">
        <v>2999.48</v>
      </c>
      <c r="D1641">
        <f t="shared" si="331"/>
        <v>6.8848354546150684E-3</v>
      </c>
      <c r="E1641" t="str">
        <f t="shared" si="325"/>
        <v>2016-07</v>
      </c>
      <c r="G1641">
        <v>4446.96</v>
      </c>
      <c r="H1641">
        <f t="shared" si="332"/>
        <v>1.1805519088045457E-2</v>
      </c>
      <c r="I1641" t="str">
        <f t="shared" si="326"/>
        <v>2016-07</v>
      </c>
      <c r="K1641">
        <v>10319.549999999999</v>
      </c>
      <c r="L1641">
        <f t="shared" si="333"/>
        <v>6.9810093350911101E-3</v>
      </c>
      <c r="M1641" t="str">
        <f t="shared" si="327"/>
        <v>2016-07</v>
      </c>
      <c r="O1641">
        <v>8065.3850199999997</v>
      </c>
      <c r="P1641">
        <f t="shared" si="334"/>
        <v>3.0365278008799594E-3</v>
      </c>
      <c r="Q1641" t="str">
        <f t="shared" si="328"/>
        <v>2016-07</v>
      </c>
      <c r="S1641">
        <v>8661.4</v>
      </c>
      <c r="T1641">
        <f t="shared" si="335"/>
        <v>1.1752817959183886E-2</v>
      </c>
      <c r="U1641" t="str">
        <f t="shared" si="329"/>
        <v>2016-07</v>
      </c>
      <c r="W1641">
        <v>16863.009999999998</v>
      </c>
      <c r="X1641">
        <f t="shared" si="336"/>
        <v>9.8928042255389727E-3</v>
      </c>
      <c r="Y1641">
        <f t="shared" si="337"/>
        <v>9.9418997772655112E-3</v>
      </c>
      <c r="Z1641" t="str">
        <f t="shared" si="330"/>
        <v>2016-07</v>
      </c>
    </row>
    <row r="1642" spans="1:26" x14ac:dyDescent="0.35">
      <c r="A1642" s="1">
        <v>42579</v>
      </c>
      <c r="C1642">
        <v>2966.1</v>
      </c>
      <c r="D1642">
        <f t="shared" si="331"/>
        <v>-1.1190981721758159E-2</v>
      </c>
      <c r="E1642" t="str">
        <f t="shared" si="325"/>
        <v>2016-07</v>
      </c>
      <c r="G1642">
        <v>4420.58</v>
      </c>
      <c r="H1642">
        <f t="shared" si="332"/>
        <v>-5.9498074598847957E-3</v>
      </c>
      <c r="I1642" t="str">
        <f t="shared" si="326"/>
        <v>2016-07</v>
      </c>
      <c r="K1642">
        <v>10274.93</v>
      </c>
      <c r="L1642">
        <f t="shared" si="333"/>
        <v>-4.333206744519401E-3</v>
      </c>
      <c r="M1642" t="str">
        <f t="shared" si="327"/>
        <v>2016-07</v>
      </c>
      <c r="O1642">
        <v>7975.3423199999997</v>
      </c>
      <c r="P1642">
        <f t="shared" si="334"/>
        <v>-1.1226878165671195E-2</v>
      </c>
      <c r="Q1642" t="str">
        <f t="shared" si="328"/>
        <v>2016-07</v>
      </c>
      <c r="S1642">
        <v>8479.2000000000007</v>
      </c>
      <c r="T1642">
        <f t="shared" si="335"/>
        <v>-2.1260266594962385E-2</v>
      </c>
      <c r="U1642" t="str">
        <f t="shared" si="329"/>
        <v>2016-07</v>
      </c>
      <c r="W1642">
        <v>16522.64</v>
      </c>
      <c r="X1642">
        <f t="shared" si="336"/>
        <v>-2.0390904081597706E-2</v>
      </c>
      <c r="Y1642">
        <f t="shared" si="337"/>
        <v>-2.0184415475054514E-2</v>
      </c>
      <c r="Z1642" t="str">
        <f t="shared" si="330"/>
        <v>2016-07</v>
      </c>
    </row>
    <row r="1643" spans="1:26" x14ac:dyDescent="0.35">
      <c r="A1643" s="1">
        <v>42580</v>
      </c>
      <c r="C1643">
        <v>2990.76</v>
      </c>
      <c r="D1643">
        <f t="shared" si="331"/>
        <v>8.2795771171256353E-3</v>
      </c>
      <c r="E1643" t="str">
        <f t="shared" si="325"/>
        <v>2016-07</v>
      </c>
      <c r="G1643">
        <v>4439.8100000000004</v>
      </c>
      <c r="H1643">
        <f t="shared" si="332"/>
        <v>4.3406735354560638E-3</v>
      </c>
      <c r="I1643" t="str">
        <f t="shared" si="326"/>
        <v>2016-07</v>
      </c>
      <c r="K1643">
        <v>10337.5</v>
      </c>
      <c r="L1643">
        <f t="shared" si="333"/>
        <v>6.0711126427856407E-3</v>
      </c>
      <c r="M1643" t="str">
        <f t="shared" si="327"/>
        <v>2016-07</v>
      </c>
      <c r="O1643">
        <v>7972.6413899999998</v>
      </c>
      <c r="P1643">
        <f t="shared" si="334"/>
        <v>-3.3871742973122184E-4</v>
      </c>
      <c r="Q1643" t="str">
        <f t="shared" si="328"/>
        <v>2016-07</v>
      </c>
      <c r="S1643">
        <v>8587.2000000000007</v>
      </c>
      <c r="T1643">
        <f t="shared" si="335"/>
        <v>1.265661670951934E-2</v>
      </c>
      <c r="U1643" t="str">
        <f t="shared" si="329"/>
        <v>2016-07</v>
      </c>
      <c r="W1643">
        <v>16846.86</v>
      </c>
      <c r="X1643">
        <f t="shared" si="336"/>
        <v>1.943272766409081E-2</v>
      </c>
      <c r="Y1643">
        <f t="shared" si="337"/>
        <v>1.9622772147792435E-2</v>
      </c>
      <c r="Z1643" t="str">
        <f t="shared" si="330"/>
        <v>2016-07</v>
      </c>
    </row>
    <row r="1644" spans="1:26" x14ac:dyDescent="0.35">
      <c r="A1644" s="1">
        <v>42583</v>
      </c>
      <c r="C1644">
        <v>2967.31</v>
      </c>
      <c r="D1644">
        <f t="shared" si="331"/>
        <v>-7.8717172130322761E-3</v>
      </c>
      <c r="E1644" t="str">
        <f t="shared" si="325"/>
        <v>2016-08</v>
      </c>
      <c r="G1644">
        <v>4409.17</v>
      </c>
      <c r="H1644">
        <f t="shared" si="332"/>
        <v>-6.9251196071927314E-3</v>
      </c>
      <c r="I1644" t="str">
        <f t="shared" si="326"/>
        <v>2016-08</v>
      </c>
      <c r="K1644">
        <v>10330.52</v>
      </c>
      <c r="L1644">
        <f t="shared" si="333"/>
        <v>-6.7543966624448147E-4</v>
      </c>
      <c r="M1644" t="str">
        <f t="shared" si="327"/>
        <v>2016-08</v>
      </c>
      <c r="O1644">
        <v>7912.77502</v>
      </c>
      <c r="P1644">
        <f t="shared" si="334"/>
        <v>-7.537309929705277E-3</v>
      </c>
      <c r="Q1644" t="str">
        <f t="shared" si="328"/>
        <v>2016-08</v>
      </c>
      <c r="S1644">
        <v>8513.4</v>
      </c>
      <c r="T1644">
        <f t="shared" si="335"/>
        <v>-8.6313296812418686E-3</v>
      </c>
      <c r="U1644" t="str">
        <f t="shared" si="329"/>
        <v>2016-08</v>
      </c>
      <c r="W1644">
        <v>16554.830000000002</v>
      </c>
      <c r="X1644">
        <f t="shared" si="336"/>
        <v>-1.7486387139137742E-2</v>
      </c>
      <c r="Y1644">
        <f t="shared" si="337"/>
        <v>-1.7334387535718754E-2</v>
      </c>
      <c r="Z1644" t="str">
        <f t="shared" si="330"/>
        <v>2016-08</v>
      </c>
    </row>
    <row r="1645" spans="1:26" x14ac:dyDescent="0.35">
      <c r="A1645" s="1">
        <v>42584</v>
      </c>
      <c r="C1645">
        <v>2906.98</v>
      </c>
      <c r="D1645">
        <f t="shared" si="331"/>
        <v>-2.0541076885041892E-2</v>
      </c>
      <c r="E1645" t="str">
        <f t="shared" si="325"/>
        <v>2016-08</v>
      </c>
      <c r="G1645">
        <v>4327.99</v>
      </c>
      <c r="H1645">
        <f t="shared" si="332"/>
        <v>-1.8583232123043567E-2</v>
      </c>
      <c r="I1645" t="str">
        <f t="shared" si="326"/>
        <v>2016-08</v>
      </c>
      <c r="K1645">
        <v>10144.34</v>
      </c>
      <c r="L1645">
        <f t="shared" si="333"/>
        <v>-1.8186706200231179E-2</v>
      </c>
      <c r="M1645" t="str">
        <f t="shared" si="327"/>
        <v>2016-08</v>
      </c>
      <c r="O1645">
        <v>7897.14869</v>
      </c>
      <c r="P1645">
        <f t="shared" si="334"/>
        <v>-1.9767755208867132E-3</v>
      </c>
      <c r="Q1645" t="str">
        <f t="shared" si="328"/>
        <v>2016-08</v>
      </c>
      <c r="S1645">
        <v>8277.2999999999993</v>
      </c>
      <c r="T1645">
        <f t="shared" si="335"/>
        <v>-2.8124564496451451E-2</v>
      </c>
      <c r="U1645" t="str">
        <f t="shared" si="329"/>
        <v>2016-08</v>
      </c>
      <c r="W1645">
        <v>16098.37</v>
      </c>
      <c r="X1645">
        <f t="shared" si="336"/>
        <v>-2.7959877516467307E-2</v>
      </c>
      <c r="Y1645">
        <f t="shared" si="337"/>
        <v>-2.7572617779826242E-2</v>
      </c>
      <c r="Z1645" t="str">
        <f t="shared" si="330"/>
        <v>2016-08</v>
      </c>
    </row>
    <row r="1646" spans="1:26" x14ac:dyDescent="0.35">
      <c r="A1646" s="1">
        <v>42585</v>
      </c>
      <c r="C1646">
        <v>2911.06</v>
      </c>
      <c r="D1646">
        <f t="shared" si="331"/>
        <v>1.4025344166815907E-3</v>
      </c>
      <c r="E1646" t="str">
        <f t="shared" si="325"/>
        <v>2016-08</v>
      </c>
      <c r="G1646">
        <v>4321.08</v>
      </c>
      <c r="H1646">
        <f t="shared" si="332"/>
        <v>-1.5978599942403553E-3</v>
      </c>
      <c r="I1646" t="str">
        <f t="shared" si="326"/>
        <v>2016-08</v>
      </c>
      <c r="K1646">
        <v>10170.209999999999</v>
      </c>
      <c r="L1646">
        <f t="shared" si="333"/>
        <v>2.5469443314990415E-3</v>
      </c>
      <c r="M1646" t="str">
        <f t="shared" si="327"/>
        <v>2016-08</v>
      </c>
      <c r="O1646">
        <v>7912.7124400000002</v>
      </c>
      <c r="P1646">
        <f t="shared" si="334"/>
        <v>1.9688667597622376E-3</v>
      </c>
      <c r="Q1646" t="str">
        <f t="shared" si="328"/>
        <v>2016-08</v>
      </c>
      <c r="S1646">
        <v>8263.5</v>
      </c>
      <c r="T1646">
        <f t="shared" si="335"/>
        <v>-1.6686016639902723E-3</v>
      </c>
      <c r="U1646" t="str">
        <f t="shared" si="329"/>
        <v>2016-08</v>
      </c>
      <c r="W1646">
        <v>16129.84</v>
      </c>
      <c r="X1646">
        <f t="shared" si="336"/>
        <v>1.9529480540326604E-3</v>
      </c>
      <c r="Y1646">
        <f t="shared" si="337"/>
        <v>1.9548562991159569E-3</v>
      </c>
      <c r="Z1646" t="str">
        <f t="shared" si="330"/>
        <v>2016-08</v>
      </c>
    </row>
    <row r="1647" spans="1:26" x14ac:dyDescent="0.35">
      <c r="A1647" s="1">
        <v>42586</v>
      </c>
      <c r="C1647">
        <v>2932.34</v>
      </c>
      <c r="D1647">
        <f t="shared" si="331"/>
        <v>7.2834630773807047E-3</v>
      </c>
      <c r="E1647" t="str">
        <f t="shared" si="325"/>
        <v>2016-08</v>
      </c>
      <c r="G1647">
        <v>4345.63</v>
      </c>
      <c r="H1647">
        <f t="shared" si="332"/>
        <v>5.6653714417393281E-3</v>
      </c>
      <c r="I1647" t="str">
        <f t="shared" si="326"/>
        <v>2016-08</v>
      </c>
      <c r="K1647">
        <v>10227.86</v>
      </c>
      <c r="L1647">
        <f t="shared" si="333"/>
        <v>5.6525106049006464E-3</v>
      </c>
      <c r="M1647" t="str">
        <f t="shared" si="327"/>
        <v>2016-08</v>
      </c>
      <c r="O1647">
        <v>7938.3568800000003</v>
      </c>
      <c r="P1647">
        <f t="shared" si="334"/>
        <v>3.2356760110255171E-3</v>
      </c>
      <c r="Q1647" t="str">
        <f t="shared" si="328"/>
        <v>2016-08</v>
      </c>
      <c r="S1647">
        <v>8385.5</v>
      </c>
      <c r="T1647">
        <f t="shared" si="335"/>
        <v>1.4655797190801642E-2</v>
      </c>
      <c r="U1647" t="str">
        <f t="shared" si="329"/>
        <v>2016-08</v>
      </c>
      <c r="W1647">
        <v>16236.41</v>
      </c>
      <c r="X1647">
        <f t="shared" si="336"/>
        <v>6.5852784999799012E-3</v>
      </c>
      <c r="Y1647">
        <f t="shared" si="337"/>
        <v>6.6070091209832031E-3</v>
      </c>
      <c r="Z1647" t="str">
        <f t="shared" si="330"/>
        <v>2016-08</v>
      </c>
    </row>
    <row r="1648" spans="1:26" x14ac:dyDescent="0.35">
      <c r="A1648" s="1">
        <v>42587</v>
      </c>
      <c r="C1648">
        <v>2973.71</v>
      </c>
      <c r="D1648">
        <f t="shared" si="331"/>
        <v>1.4009592412546224E-2</v>
      </c>
      <c r="E1648" t="str">
        <f t="shared" si="325"/>
        <v>2016-08</v>
      </c>
      <c r="G1648">
        <v>4410.55</v>
      </c>
      <c r="H1648">
        <f t="shared" si="332"/>
        <v>1.4828655782614254E-2</v>
      </c>
      <c r="I1648" t="str">
        <f t="shared" si="326"/>
        <v>2016-08</v>
      </c>
      <c r="K1648">
        <v>10367.209999999999</v>
      </c>
      <c r="L1648">
        <f t="shared" si="333"/>
        <v>1.3532571299468889E-2</v>
      </c>
      <c r="M1648" t="str">
        <f t="shared" si="327"/>
        <v>2016-08</v>
      </c>
      <c r="O1648">
        <v>8013.3292000000001</v>
      </c>
      <c r="P1648">
        <f t="shared" si="334"/>
        <v>9.3999934136864468E-3</v>
      </c>
      <c r="Q1648" t="str">
        <f t="shared" si="328"/>
        <v>2016-08</v>
      </c>
      <c r="S1648">
        <v>8539.4</v>
      </c>
      <c r="T1648">
        <f t="shared" si="335"/>
        <v>1.8186723931510346E-2</v>
      </c>
      <c r="U1648" t="str">
        <f t="shared" si="329"/>
        <v>2016-08</v>
      </c>
      <c r="W1648">
        <v>16626.28</v>
      </c>
      <c r="X1648">
        <f t="shared" si="336"/>
        <v>2.3728324876287614E-2</v>
      </c>
      <c r="Y1648">
        <f t="shared" si="337"/>
        <v>2.4012081488457054E-2</v>
      </c>
      <c r="Z1648" t="str">
        <f t="shared" si="330"/>
        <v>2016-08</v>
      </c>
    </row>
    <row r="1649" spans="1:26" x14ac:dyDescent="0.35">
      <c r="A1649" s="1">
        <v>42590</v>
      </c>
      <c r="C1649">
        <v>2982.92</v>
      </c>
      <c r="D1649">
        <f t="shared" si="331"/>
        <v>3.0923550193112477E-3</v>
      </c>
      <c r="E1649" t="str">
        <f t="shared" si="325"/>
        <v>2016-08</v>
      </c>
      <c r="G1649">
        <v>4415.46</v>
      </c>
      <c r="H1649">
        <f t="shared" si="332"/>
        <v>1.1126206533910062E-3</v>
      </c>
      <c r="I1649" t="str">
        <f t="shared" si="326"/>
        <v>2016-08</v>
      </c>
      <c r="K1649">
        <v>10432.36</v>
      </c>
      <c r="L1649">
        <f t="shared" si="333"/>
        <v>6.2645730721195758E-3</v>
      </c>
      <c r="M1649" t="str">
        <f t="shared" si="327"/>
        <v>2016-08</v>
      </c>
      <c r="O1649">
        <v>8014.5740699999997</v>
      </c>
      <c r="P1649">
        <f t="shared" si="334"/>
        <v>1.5533784819294269E-4</v>
      </c>
      <c r="Q1649" t="str">
        <f t="shared" si="328"/>
        <v>2016-08</v>
      </c>
      <c r="S1649">
        <v>8562.5</v>
      </c>
      <c r="T1649">
        <f t="shared" si="335"/>
        <v>2.701455867288087E-3</v>
      </c>
      <c r="U1649" t="str">
        <f t="shared" si="329"/>
        <v>2016-08</v>
      </c>
      <c r="W1649">
        <v>16743.82</v>
      </c>
      <c r="X1649">
        <f t="shared" si="336"/>
        <v>7.0446589071179603E-3</v>
      </c>
      <c r="Y1649">
        <f t="shared" si="337"/>
        <v>7.0695308872460276E-3</v>
      </c>
      <c r="Z1649" t="str">
        <f t="shared" si="330"/>
        <v>2016-08</v>
      </c>
    </row>
    <row r="1650" spans="1:26" x14ac:dyDescent="0.35">
      <c r="A1650" s="1">
        <v>42591</v>
      </c>
      <c r="C1650">
        <v>3029.18</v>
      </c>
      <c r="D1650">
        <f t="shared" si="331"/>
        <v>1.5389269298428442E-2</v>
      </c>
      <c r="E1650" t="str">
        <f t="shared" si="325"/>
        <v>2016-08</v>
      </c>
      <c r="G1650">
        <v>4468.07</v>
      </c>
      <c r="H1650">
        <f t="shared" si="332"/>
        <v>1.1844529160342945E-2</v>
      </c>
      <c r="I1650" t="str">
        <f t="shared" si="326"/>
        <v>2016-08</v>
      </c>
      <c r="K1650">
        <v>10692.9</v>
      </c>
      <c r="L1650">
        <f t="shared" si="333"/>
        <v>2.4667456027001586E-2</v>
      </c>
      <c r="M1650" t="str">
        <f t="shared" si="327"/>
        <v>2016-08</v>
      </c>
      <c r="O1650">
        <v>8027.4305800000002</v>
      </c>
      <c r="P1650">
        <f t="shared" si="334"/>
        <v>1.6028561308917726E-3</v>
      </c>
      <c r="Q1650" t="str">
        <f t="shared" si="328"/>
        <v>2016-08</v>
      </c>
      <c r="S1650">
        <v>8665.4</v>
      </c>
      <c r="T1650">
        <f t="shared" si="335"/>
        <v>1.1945881237360706E-2</v>
      </c>
      <c r="U1650" t="str">
        <f t="shared" si="329"/>
        <v>2016-08</v>
      </c>
      <c r="W1650">
        <v>16796.14</v>
      </c>
      <c r="X1650">
        <f t="shared" si="336"/>
        <v>3.1198631386711055E-3</v>
      </c>
      <c r="Y1650">
        <f t="shared" si="337"/>
        <v>3.1247349768451708E-3</v>
      </c>
      <c r="Z1650" t="str">
        <f t="shared" si="330"/>
        <v>2016-08</v>
      </c>
    </row>
    <row r="1651" spans="1:26" x14ac:dyDescent="0.35">
      <c r="A1651" s="1">
        <v>42592</v>
      </c>
      <c r="C1651">
        <v>3018.46</v>
      </c>
      <c r="D1651">
        <f t="shared" si="331"/>
        <v>-3.5451882809599622E-3</v>
      </c>
      <c r="E1651" t="str">
        <f t="shared" si="325"/>
        <v>2016-08</v>
      </c>
      <c r="G1651">
        <v>4452.01</v>
      </c>
      <c r="H1651">
        <f t="shared" si="332"/>
        <v>-3.6008684570463969E-3</v>
      </c>
      <c r="I1651" t="str">
        <f t="shared" si="326"/>
        <v>2016-08</v>
      </c>
      <c r="K1651">
        <v>10650.89</v>
      </c>
      <c r="L1651">
        <f t="shared" si="333"/>
        <v>-3.9365130793896442E-3</v>
      </c>
      <c r="M1651" t="str">
        <f t="shared" si="327"/>
        <v>2016-08</v>
      </c>
      <c r="O1651">
        <v>7996.5784999999996</v>
      </c>
      <c r="P1651">
        <f t="shared" si="334"/>
        <v>-3.8507364754087766E-3</v>
      </c>
      <c r="Q1651" t="str">
        <f t="shared" si="328"/>
        <v>2016-08</v>
      </c>
      <c r="S1651">
        <v>8658.9</v>
      </c>
      <c r="T1651">
        <f t="shared" si="335"/>
        <v>-7.5039110440308448E-4</v>
      </c>
      <c r="U1651" t="str">
        <f t="shared" si="329"/>
        <v>2016-08</v>
      </c>
      <c r="W1651">
        <v>16791.55</v>
      </c>
      <c r="X1651">
        <f t="shared" si="336"/>
        <v>-2.7331442135930517E-4</v>
      </c>
      <c r="Y1651">
        <f t="shared" si="337"/>
        <v>-2.7327707437543067E-4</v>
      </c>
      <c r="Z1651" t="str">
        <f t="shared" si="330"/>
        <v>2016-08</v>
      </c>
    </row>
    <row r="1652" spans="1:26" x14ac:dyDescent="0.35">
      <c r="A1652" s="1">
        <v>42593</v>
      </c>
      <c r="C1652">
        <v>3049.03</v>
      </c>
      <c r="D1652">
        <f t="shared" si="331"/>
        <v>1.0076739697783547E-2</v>
      </c>
      <c r="E1652" t="str">
        <f t="shared" si="325"/>
        <v>2016-08</v>
      </c>
      <c r="G1652">
        <v>4503.95</v>
      </c>
      <c r="H1652">
        <f t="shared" si="332"/>
        <v>1.1599109940163388E-2</v>
      </c>
      <c r="I1652" t="str">
        <f t="shared" si="326"/>
        <v>2016-08</v>
      </c>
      <c r="K1652">
        <v>10742.84</v>
      </c>
      <c r="L1652">
        <f t="shared" si="333"/>
        <v>8.5960294155924353E-3</v>
      </c>
      <c r="M1652" t="str">
        <f t="shared" si="327"/>
        <v>2016-08</v>
      </c>
      <c r="O1652">
        <v>8037.6222200000002</v>
      </c>
      <c r="P1652">
        <f t="shared" si="334"/>
        <v>5.1195329735125332E-3</v>
      </c>
      <c r="Q1652" t="str">
        <f t="shared" si="328"/>
        <v>2016-08</v>
      </c>
      <c r="S1652">
        <v>8719.5</v>
      </c>
      <c r="T1652">
        <f t="shared" si="335"/>
        <v>6.9742031060766102E-3</v>
      </c>
      <c r="U1652" t="str">
        <f t="shared" si="329"/>
        <v>2016-08</v>
      </c>
      <c r="W1652">
        <v>16969.689999999999</v>
      </c>
      <c r="X1652">
        <f t="shared" si="336"/>
        <v>1.055302786456269E-2</v>
      </c>
      <c r="Y1652">
        <f t="shared" si="337"/>
        <v>1.0608907456428944E-2</v>
      </c>
      <c r="Z1652" t="str">
        <f t="shared" si="330"/>
        <v>2016-08</v>
      </c>
    </row>
    <row r="1653" spans="1:26" x14ac:dyDescent="0.35">
      <c r="A1653" s="1">
        <v>42594</v>
      </c>
      <c r="C1653">
        <v>3044.94</v>
      </c>
      <c r="D1653">
        <f t="shared" si="331"/>
        <v>-1.3423107150553411E-3</v>
      </c>
      <c r="E1653" t="str">
        <f t="shared" si="325"/>
        <v>2016-08</v>
      </c>
      <c r="G1653">
        <v>4500.1899999999996</v>
      </c>
      <c r="H1653">
        <f t="shared" si="332"/>
        <v>-8.3517142526748226E-4</v>
      </c>
      <c r="I1653" t="str">
        <f t="shared" si="326"/>
        <v>2016-08</v>
      </c>
      <c r="K1653">
        <v>10713.43</v>
      </c>
      <c r="L1653">
        <f t="shared" si="333"/>
        <v>-2.741391529708319E-3</v>
      </c>
      <c r="M1653" t="str">
        <f t="shared" si="327"/>
        <v>2016-08</v>
      </c>
      <c r="O1653">
        <v>8001.6022899999998</v>
      </c>
      <c r="P1653">
        <f t="shared" si="334"/>
        <v>-4.4914877937415774E-3</v>
      </c>
      <c r="Q1653" t="str">
        <f t="shared" si="328"/>
        <v>2016-08</v>
      </c>
      <c r="S1653">
        <v>8716.4</v>
      </c>
      <c r="T1653">
        <f t="shared" si="335"/>
        <v>-3.5558818674859554E-4</v>
      </c>
      <c r="U1653" t="str">
        <f t="shared" si="329"/>
        <v>2016-08</v>
      </c>
      <c r="W1653">
        <v>16997.830000000002</v>
      </c>
      <c r="X1653">
        <f t="shared" si="336"/>
        <v>1.6568773014689155E-3</v>
      </c>
      <c r="Y1653">
        <f t="shared" si="337"/>
        <v>1.6582506810674242E-3</v>
      </c>
      <c r="Z1653" t="str">
        <f t="shared" si="330"/>
        <v>2016-08</v>
      </c>
    </row>
    <row r="1654" spans="1:26" x14ac:dyDescent="0.35">
      <c r="A1654" s="1">
        <v>42598</v>
      </c>
      <c r="C1654">
        <v>3016.19</v>
      </c>
      <c r="D1654">
        <f t="shared" si="331"/>
        <v>-9.4867510252877457E-3</v>
      </c>
      <c r="E1654" t="str">
        <f t="shared" si="325"/>
        <v>2016-08</v>
      </c>
      <c r="G1654">
        <v>4460.4399999999996</v>
      </c>
      <c r="H1654">
        <f t="shared" si="332"/>
        <v>-8.8722022327261986E-3</v>
      </c>
      <c r="I1654" t="str">
        <f t="shared" si="326"/>
        <v>2016-08</v>
      </c>
      <c r="K1654">
        <v>10676.65</v>
      </c>
      <c r="L1654">
        <f t="shared" si="333"/>
        <v>-3.4389807096081235E-3</v>
      </c>
      <c r="M1654" t="str">
        <f t="shared" si="327"/>
        <v>2016-08</v>
      </c>
      <c r="O1654">
        <v>7974.8993799999998</v>
      </c>
      <c r="P1654">
        <f t="shared" si="334"/>
        <v>-3.3427762118081994E-3</v>
      </c>
      <c r="Q1654" t="str">
        <f t="shared" si="328"/>
        <v>2016-08</v>
      </c>
      <c r="S1654">
        <v>8621.7000000000007</v>
      </c>
      <c r="T1654">
        <f t="shared" si="335"/>
        <v>-1.0924027632240214E-2</v>
      </c>
      <c r="U1654" t="str">
        <f t="shared" si="329"/>
        <v>2016-08</v>
      </c>
      <c r="W1654">
        <v>16792.96</v>
      </c>
      <c r="X1654">
        <f t="shared" si="336"/>
        <v>-1.2125937884637578E-2</v>
      </c>
      <c r="Y1654">
        <f t="shared" si="337"/>
        <v>-1.2052714964204406E-2</v>
      </c>
      <c r="Z1654" t="str">
        <f t="shared" si="330"/>
        <v>2016-08</v>
      </c>
    </row>
    <row r="1655" spans="1:26" x14ac:dyDescent="0.35">
      <c r="A1655" s="1">
        <v>42599</v>
      </c>
      <c r="C1655">
        <v>2980.54</v>
      </c>
      <c r="D1655">
        <f t="shared" si="331"/>
        <v>-1.1889953354132088E-2</v>
      </c>
      <c r="E1655" t="str">
        <f t="shared" si="325"/>
        <v>2016-08</v>
      </c>
      <c r="G1655">
        <v>4417.68</v>
      </c>
      <c r="H1655">
        <f t="shared" si="332"/>
        <v>-9.6327444639977972E-3</v>
      </c>
      <c r="I1655" t="str">
        <f t="shared" si="326"/>
        <v>2016-08</v>
      </c>
      <c r="K1655">
        <v>10537.67</v>
      </c>
      <c r="L1655">
        <f t="shared" si="333"/>
        <v>-1.310265785853224E-2</v>
      </c>
      <c r="M1655" t="str">
        <f t="shared" si="327"/>
        <v>2016-08</v>
      </c>
      <c r="O1655">
        <v>7917.8673799999997</v>
      </c>
      <c r="P1655">
        <f t="shared" si="334"/>
        <v>-7.1771322988303079E-3</v>
      </c>
      <c r="Q1655" t="str">
        <f t="shared" si="328"/>
        <v>2016-08</v>
      </c>
      <c r="S1655">
        <v>8487</v>
      </c>
      <c r="T1655">
        <f t="shared" si="335"/>
        <v>-1.5746700020849283E-2</v>
      </c>
      <c r="U1655" t="str">
        <f t="shared" si="329"/>
        <v>2016-08</v>
      </c>
      <c r="W1655">
        <v>16528.36</v>
      </c>
      <c r="X1655">
        <f t="shared" si="336"/>
        <v>-1.588205760535219E-2</v>
      </c>
      <c r="Y1655">
        <f t="shared" si="337"/>
        <v>-1.5756602766873653E-2</v>
      </c>
      <c r="Z1655" t="str">
        <f t="shared" si="330"/>
        <v>2016-08</v>
      </c>
    </row>
    <row r="1656" spans="1:26" x14ac:dyDescent="0.35">
      <c r="A1656" s="1">
        <v>42600</v>
      </c>
      <c r="C1656">
        <v>2995.3</v>
      </c>
      <c r="D1656">
        <f t="shared" si="331"/>
        <v>4.9399013411394093E-3</v>
      </c>
      <c r="E1656" t="str">
        <f t="shared" si="325"/>
        <v>2016-08</v>
      </c>
      <c r="G1656">
        <v>4437.0600000000004</v>
      </c>
      <c r="H1656">
        <f t="shared" si="332"/>
        <v>4.3773235453425253E-3</v>
      </c>
      <c r="I1656" t="str">
        <f t="shared" si="326"/>
        <v>2016-08</v>
      </c>
      <c r="K1656">
        <v>10603.03</v>
      </c>
      <c r="L1656">
        <f t="shared" si="333"/>
        <v>6.183353270889415E-3</v>
      </c>
      <c r="M1656" t="str">
        <f t="shared" si="327"/>
        <v>2016-08</v>
      </c>
      <c r="O1656">
        <v>7965.0835399999996</v>
      </c>
      <c r="P1656">
        <f t="shared" si="334"/>
        <v>5.9455323291167754E-3</v>
      </c>
      <c r="Q1656" t="str">
        <f t="shared" si="328"/>
        <v>2016-08</v>
      </c>
      <c r="S1656">
        <v>8550.1</v>
      </c>
      <c r="T1656">
        <f t="shared" si="335"/>
        <v>7.4073977991651564E-3</v>
      </c>
      <c r="U1656" t="str">
        <f t="shared" si="329"/>
        <v>2016-08</v>
      </c>
      <c r="W1656">
        <v>16673.580000000002</v>
      </c>
      <c r="X1656">
        <f t="shared" si="336"/>
        <v>8.7477373944752548E-3</v>
      </c>
      <c r="Y1656">
        <f t="shared" si="337"/>
        <v>8.7861106607068796E-3</v>
      </c>
      <c r="Z1656" t="str">
        <f t="shared" si="330"/>
        <v>2016-08</v>
      </c>
    </row>
    <row r="1657" spans="1:26" x14ac:dyDescent="0.35">
      <c r="A1657" s="1">
        <v>42601</v>
      </c>
      <c r="C1657">
        <v>2968.2</v>
      </c>
      <c r="D1657">
        <f t="shared" si="331"/>
        <v>-9.088685016366619E-3</v>
      </c>
      <c r="E1657" t="str">
        <f t="shared" si="325"/>
        <v>2016-08</v>
      </c>
      <c r="G1657">
        <v>4400.5200000000004</v>
      </c>
      <c r="H1657">
        <f t="shared" si="332"/>
        <v>-8.2692791963052993E-3</v>
      </c>
      <c r="I1657" t="str">
        <f t="shared" si="326"/>
        <v>2016-08</v>
      </c>
      <c r="K1657">
        <v>10544.36</v>
      </c>
      <c r="L1657">
        <f t="shared" si="333"/>
        <v>-5.5486895098986232E-3</v>
      </c>
      <c r="M1657" t="str">
        <f t="shared" si="327"/>
        <v>2016-08</v>
      </c>
      <c r="O1657">
        <v>7915.0586400000002</v>
      </c>
      <c r="P1657">
        <f t="shared" si="334"/>
        <v>-6.3003296705450218E-3</v>
      </c>
      <c r="Q1657" t="str">
        <f t="shared" si="328"/>
        <v>2016-08</v>
      </c>
      <c r="S1657">
        <v>8450.6</v>
      </c>
      <c r="T1657">
        <f t="shared" si="335"/>
        <v>-1.1705534021263573E-2</v>
      </c>
      <c r="U1657" t="str">
        <f t="shared" si="329"/>
        <v>2016-08</v>
      </c>
      <c r="W1657">
        <v>16310.06</v>
      </c>
      <c r="X1657">
        <f t="shared" si="336"/>
        <v>-2.2043335403434321E-2</v>
      </c>
      <c r="Y1657">
        <f t="shared" si="337"/>
        <v>-2.1802156465498244E-2</v>
      </c>
      <c r="Z1657" t="str">
        <f t="shared" si="330"/>
        <v>2016-08</v>
      </c>
    </row>
    <row r="1658" spans="1:26" x14ac:dyDescent="0.35">
      <c r="A1658" s="1">
        <v>42604</v>
      </c>
      <c r="C1658">
        <v>2960.37</v>
      </c>
      <c r="D1658">
        <f t="shared" si="331"/>
        <v>-2.641447955460864E-3</v>
      </c>
      <c r="E1658" t="str">
        <f t="shared" si="325"/>
        <v>2016-08</v>
      </c>
      <c r="G1658">
        <v>4389.9399999999996</v>
      </c>
      <c r="H1658">
        <f t="shared" si="332"/>
        <v>-2.4071561917647713E-3</v>
      </c>
      <c r="I1658" t="str">
        <f t="shared" si="326"/>
        <v>2016-08</v>
      </c>
      <c r="K1658">
        <v>10494.35</v>
      </c>
      <c r="L1658">
        <f t="shared" si="333"/>
        <v>-4.7541027174846495E-3</v>
      </c>
      <c r="M1658" t="str">
        <f t="shared" si="327"/>
        <v>2016-08</v>
      </c>
      <c r="O1658">
        <v>7920.9857499999998</v>
      </c>
      <c r="P1658">
        <f t="shared" si="334"/>
        <v>7.4855944209257304E-4</v>
      </c>
      <c r="Q1658" t="str">
        <f t="shared" si="328"/>
        <v>2016-08</v>
      </c>
      <c r="S1658">
        <v>8468</v>
      </c>
      <c r="T1658">
        <f t="shared" si="335"/>
        <v>2.0569085071771749E-3</v>
      </c>
      <c r="U1658" t="str">
        <f t="shared" si="329"/>
        <v>2016-08</v>
      </c>
      <c r="W1658">
        <v>16369.14</v>
      </c>
      <c r="X1658">
        <f t="shared" si="336"/>
        <v>3.6157595269316802E-3</v>
      </c>
      <c r="Y1658">
        <f t="shared" si="337"/>
        <v>3.6223042711062943E-3</v>
      </c>
      <c r="Z1658" t="str">
        <f t="shared" si="330"/>
        <v>2016-08</v>
      </c>
    </row>
    <row r="1659" spans="1:26" x14ac:dyDescent="0.35">
      <c r="A1659" s="1">
        <v>42605</v>
      </c>
      <c r="C1659">
        <v>2993.73</v>
      </c>
      <c r="D1659">
        <f t="shared" si="331"/>
        <v>1.1205841046101993E-2</v>
      </c>
      <c r="E1659" t="str">
        <f t="shared" si="325"/>
        <v>2016-08</v>
      </c>
      <c r="G1659">
        <v>4421.45</v>
      </c>
      <c r="H1659">
        <f t="shared" si="332"/>
        <v>7.1521370224915783E-3</v>
      </c>
      <c r="I1659" t="str">
        <f t="shared" si="326"/>
        <v>2016-08</v>
      </c>
      <c r="K1659">
        <v>10592.88</v>
      </c>
      <c r="L1659">
        <f t="shared" si="333"/>
        <v>9.345060214382429E-3</v>
      </c>
      <c r="M1659" t="str">
        <f t="shared" si="327"/>
        <v>2016-08</v>
      </c>
      <c r="O1659">
        <v>8003.3495199999998</v>
      </c>
      <c r="P1659">
        <f t="shared" si="334"/>
        <v>1.0344482588387341E-2</v>
      </c>
      <c r="Q1659" t="str">
        <f t="shared" si="328"/>
        <v>2016-08</v>
      </c>
      <c r="S1659">
        <v>8580.9</v>
      </c>
      <c r="T1659">
        <f t="shared" si="335"/>
        <v>1.3244449831040407E-2</v>
      </c>
      <c r="U1659" t="str">
        <f t="shared" si="329"/>
        <v>2016-08</v>
      </c>
      <c r="W1659">
        <v>16778.05</v>
      </c>
      <c r="X1659">
        <f t="shared" si="336"/>
        <v>2.4673629634844853E-2</v>
      </c>
      <c r="Y1659">
        <f t="shared" si="337"/>
        <v>2.4980542655264715E-2</v>
      </c>
      <c r="Z1659" t="str">
        <f t="shared" si="330"/>
        <v>2016-08</v>
      </c>
    </row>
    <row r="1660" spans="1:26" x14ac:dyDescent="0.35">
      <c r="A1660" s="1">
        <v>42606</v>
      </c>
      <c r="C1660">
        <v>3008.59</v>
      </c>
      <c r="D1660">
        <f t="shared" si="331"/>
        <v>4.9514289007484167E-3</v>
      </c>
      <c r="E1660" t="str">
        <f t="shared" si="325"/>
        <v>2016-08</v>
      </c>
      <c r="G1660">
        <v>4435.47</v>
      </c>
      <c r="H1660">
        <f t="shared" si="332"/>
        <v>3.1658887536593853E-3</v>
      </c>
      <c r="I1660" t="str">
        <f t="shared" si="326"/>
        <v>2016-08</v>
      </c>
      <c r="K1660">
        <v>10622.97</v>
      </c>
      <c r="L1660">
        <f t="shared" si="333"/>
        <v>2.8365604183221817E-3</v>
      </c>
      <c r="M1660" t="str">
        <f t="shared" si="327"/>
        <v>2016-08</v>
      </c>
      <c r="O1660">
        <v>8029.5695999999998</v>
      </c>
      <c r="P1660">
        <f t="shared" si="334"/>
        <v>3.270783464820572E-3</v>
      </c>
      <c r="Q1660" t="str">
        <f t="shared" si="328"/>
        <v>2016-08</v>
      </c>
      <c r="S1660">
        <v>8655.5</v>
      </c>
      <c r="T1660">
        <f t="shared" si="335"/>
        <v>8.6561539309880468E-3</v>
      </c>
      <c r="U1660" t="str">
        <f t="shared" si="329"/>
        <v>2016-08</v>
      </c>
      <c r="W1660">
        <v>16891.63</v>
      </c>
      <c r="X1660">
        <f t="shared" si="336"/>
        <v>6.7467484593475811E-3</v>
      </c>
      <c r="Y1660">
        <f t="shared" si="337"/>
        <v>6.769559036956127E-3</v>
      </c>
      <c r="Z1660" t="str">
        <f t="shared" si="330"/>
        <v>2016-08</v>
      </c>
    </row>
    <row r="1661" spans="1:26" x14ac:dyDescent="0.35">
      <c r="A1661" s="1">
        <v>42607</v>
      </c>
      <c r="C1661">
        <v>2987.69</v>
      </c>
      <c r="D1661">
        <f t="shared" si="331"/>
        <v>-6.9710169092693751E-3</v>
      </c>
      <c r="E1661" t="str">
        <f t="shared" si="325"/>
        <v>2016-08</v>
      </c>
      <c r="G1661">
        <v>4406.6099999999997</v>
      </c>
      <c r="H1661">
        <f t="shared" si="332"/>
        <v>-6.527898975198441E-3</v>
      </c>
      <c r="I1661" t="str">
        <f t="shared" si="326"/>
        <v>2016-08</v>
      </c>
      <c r="K1661">
        <v>10529.59</v>
      </c>
      <c r="L1661">
        <f t="shared" si="333"/>
        <v>-8.8292487173146708E-3</v>
      </c>
      <c r="M1661" t="str">
        <f t="shared" si="327"/>
        <v>2016-08</v>
      </c>
      <c r="O1661">
        <v>7970.7803100000001</v>
      </c>
      <c r="P1661">
        <f t="shared" si="334"/>
        <v>-7.3485336116880084E-3</v>
      </c>
      <c r="Q1661" t="str">
        <f t="shared" si="328"/>
        <v>2016-08</v>
      </c>
      <c r="S1661">
        <v>8599.5</v>
      </c>
      <c r="T1661">
        <f t="shared" si="335"/>
        <v>-6.4908950002371237E-3</v>
      </c>
      <c r="U1661" t="str">
        <f t="shared" si="329"/>
        <v>2016-08</v>
      </c>
      <c r="W1661">
        <v>16710.78</v>
      </c>
      <c r="X1661">
        <f t="shared" si="336"/>
        <v>-1.0764212818552645E-2</v>
      </c>
      <c r="Y1661">
        <f t="shared" si="337"/>
        <v>-1.070648599335897E-2</v>
      </c>
      <c r="Z1661" t="str">
        <f t="shared" si="330"/>
        <v>2016-08</v>
      </c>
    </row>
    <row r="1662" spans="1:26" x14ac:dyDescent="0.35">
      <c r="A1662" s="1">
        <v>42608</v>
      </c>
      <c r="C1662">
        <v>3010.36</v>
      </c>
      <c r="D1662">
        <f t="shared" si="331"/>
        <v>7.559159376318271E-3</v>
      </c>
      <c r="E1662" t="str">
        <f t="shared" si="325"/>
        <v>2016-08</v>
      </c>
      <c r="G1662">
        <v>4441.87</v>
      </c>
      <c r="H1662">
        <f t="shared" si="332"/>
        <v>7.9697725789578469E-3</v>
      </c>
      <c r="I1662" t="str">
        <f t="shared" si="326"/>
        <v>2016-08</v>
      </c>
      <c r="K1662">
        <v>10587.77</v>
      </c>
      <c r="L1662">
        <f t="shared" si="333"/>
        <v>5.5101724083902424E-3</v>
      </c>
      <c r="M1662" t="str">
        <f t="shared" si="327"/>
        <v>2016-08</v>
      </c>
      <c r="O1662">
        <v>8006.0266799999999</v>
      </c>
      <c r="P1662">
        <f t="shared" si="334"/>
        <v>4.4121991586852467E-3</v>
      </c>
      <c r="Q1662" t="str">
        <f t="shared" si="328"/>
        <v>2016-08</v>
      </c>
      <c r="S1662">
        <v>8659.5</v>
      </c>
      <c r="T1662">
        <f t="shared" si="335"/>
        <v>6.9529221525509175E-3</v>
      </c>
      <c r="U1662" t="str">
        <f t="shared" si="329"/>
        <v>2016-08</v>
      </c>
      <c r="W1662">
        <v>16843.990000000002</v>
      </c>
      <c r="X1662">
        <f t="shared" si="336"/>
        <v>7.9398964628582223E-3</v>
      </c>
      <c r="Y1662">
        <f t="shared" si="337"/>
        <v>7.9715010310711272E-3</v>
      </c>
      <c r="Z1662" t="str">
        <f t="shared" si="330"/>
        <v>2016-08</v>
      </c>
    </row>
    <row r="1663" spans="1:26" x14ac:dyDescent="0.35">
      <c r="A1663" s="1">
        <v>42612</v>
      </c>
      <c r="C1663">
        <v>3030.75</v>
      </c>
      <c r="D1663">
        <f t="shared" si="331"/>
        <v>6.7504407065364239E-3</v>
      </c>
      <c r="E1663" t="str">
        <f t="shared" si="325"/>
        <v>2016-08</v>
      </c>
      <c r="G1663">
        <v>4457.49</v>
      </c>
      <c r="H1663">
        <f t="shared" si="332"/>
        <v>3.5103683950366712E-3</v>
      </c>
      <c r="I1663" t="str">
        <f t="shared" si="326"/>
        <v>2016-08</v>
      </c>
      <c r="K1663">
        <v>10657.64</v>
      </c>
      <c r="L1663">
        <f t="shared" si="333"/>
        <v>6.5774444359818591E-3</v>
      </c>
      <c r="M1663" t="str">
        <f t="shared" si="327"/>
        <v>2016-08</v>
      </c>
      <c r="O1663">
        <v>8003.7698099999998</v>
      </c>
      <c r="P1663">
        <f t="shared" si="334"/>
        <v>-2.819361278401774E-4</v>
      </c>
      <c r="Q1663" t="str">
        <f t="shared" si="328"/>
        <v>2016-08</v>
      </c>
      <c r="S1663">
        <v>8685.4</v>
      </c>
      <c r="T1663">
        <f t="shared" si="335"/>
        <v>2.9864708646564525E-3</v>
      </c>
      <c r="U1663" t="str">
        <f t="shared" si="329"/>
        <v>2016-08</v>
      </c>
      <c r="W1663">
        <v>16891.419999999998</v>
      </c>
      <c r="X1663">
        <f t="shared" si="336"/>
        <v>2.8118840856649913E-3</v>
      </c>
      <c r="Y1663">
        <f t="shared" si="337"/>
        <v>2.8158411397772526E-3</v>
      </c>
      <c r="Z1663" t="str">
        <f t="shared" si="330"/>
        <v>2016-08</v>
      </c>
    </row>
    <row r="1664" spans="1:26" x14ac:dyDescent="0.35">
      <c r="A1664" s="1">
        <v>42613</v>
      </c>
      <c r="C1664">
        <v>3023.13</v>
      </c>
      <c r="D1664">
        <f t="shared" si="331"/>
        <v>-2.5173951330951716E-3</v>
      </c>
      <c r="E1664" t="str">
        <f t="shared" si="325"/>
        <v>2016-08</v>
      </c>
      <c r="G1664">
        <v>4438.22</v>
      </c>
      <c r="H1664">
        <f t="shared" si="332"/>
        <v>-4.3324321816766761E-3</v>
      </c>
      <c r="I1664" t="str">
        <f t="shared" si="326"/>
        <v>2016-08</v>
      </c>
      <c r="K1664">
        <v>10592.69</v>
      </c>
      <c r="L1664">
        <f t="shared" si="333"/>
        <v>-6.1128652825081769E-3</v>
      </c>
      <c r="M1664" t="str">
        <f t="shared" si="327"/>
        <v>2016-08</v>
      </c>
      <c r="O1664">
        <v>7986.7200999999995</v>
      </c>
      <c r="P1664">
        <f t="shared" si="334"/>
        <v>-2.1324820636593844E-3</v>
      </c>
      <c r="Q1664" t="str">
        <f t="shared" si="328"/>
        <v>2016-08</v>
      </c>
      <c r="S1664">
        <v>8716.7999999999993</v>
      </c>
      <c r="T1664">
        <f t="shared" si="335"/>
        <v>3.6087430413293069E-3</v>
      </c>
      <c r="U1664" t="str">
        <f t="shared" si="329"/>
        <v>2016-08</v>
      </c>
      <c r="W1664">
        <v>16943.38</v>
      </c>
      <c r="X1664">
        <f t="shared" si="336"/>
        <v>3.0713963639179302E-3</v>
      </c>
      <c r="Y1664">
        <f t="shared" si="337"/>
        <v>3.0761179344307803E-3</v>
      </c>
      <c r="Z1664" t="str">
        <f t="shared" si="330"/>
        <v>2016-08</v>
      </c>
    </row>
    <row r="1665" spans="1:26" x14ac:dyDescent="0.35">
      <c r="A1665" s="1">
        <v>42614</v>
      </c>
      <c r="C1665">
        <v>3017.49</v>
      </c>
      <c r="D1665">
        <f t="shared" si="331"/>
        <v>-1.8673585290593954E-3</v>
      </c>
      <c r="E1665" t="str">
        <f t="shared" si="325"/>
        <v>2016-09</v>
      </c>
      <c r="G1665">
        <v>4439.67</v>
      </c>
      <c r="H1665">
        <f t="shared" si="332"/>
        <v>3.2665419663754626E-4</v>
      </c>
      <c r="I1665" t="str">
        <f t="shared" si="326"/>
        <v>2016-09</v>
      </c>
      <c r="K1665">
        <v>10534.31</v>
      </c>
      <c r="L1665">
        <f t="shared" si="333"/>
        <v>-5.5265914320685849E-3</v>
      </c>
      <c r="M1665" t="str">
        <f t="shared" si="327"/>
        <v>2016-09</v>
      </c>
      <c r="O1665">
        <v>7997.2094800000004</v>
      </c>
      <c r="P1665">
        <f t="shared" si="334"/>
        <v>1.3124909557791389E-3</v>
      </c>
      <c r="Q1665" t="str">
        <f t="shared" si="328"/>
        <v>2016-09</v>
      </c>
      <c r="S1665">
        <v>8762.7999999999993</v>
      </c>
      <c r="T1665">
        <f t="shared" si="335"/>
        <v>5.2632904862604957E-3</v>
      </c>
      <c r="U1665" t="str">
        <f t="shared" si="329"/>
        <v>2016-09</v>
      </c>
      <c r="W1665">
        <v>16923.28</v>
      </c>
      <c r="X1665">
        <f t="shared" si="336"/>
        <v>-1.1870082470523059E-3</v>
      </c>
      <c r="Y1665">
        <f t="shared" si="337"/>
        <v>-1.1863040314271521E-3</v>
      </c>
      <c r="Z1665" t="str">
        <f t="shared" si="330"/>
        <v>2016-09</v>
      </c>
    </row>
    <row r="1666" spans="1:26" x14ac:dyDescent="0.35">
      <c r="A1666" s="1">
        <v>42615</v>
      </c>
      <c r="C1666">
        <v>3079.74</v>
      </c>
      <c r="D1666">
        <f t="shared" si="331"/>
        <v>2.0419817855470295E-2</v>
      </c>
      <c r="E1666" t="str">
        <f t="shared" si="325"/>
        <v>2016-09</v>
      </c>
      <c r="G1666">
        <v>4542.17</v>
      </c>
      <c r="H1666">
        <f t="shared" si="332"/>
        <v>2.2824822070939006E-2</v>
      </c>
      <c r="I1666" t="str">
        <f t="shared" si="326"/>
        <v>2016-09</v>
      </c>
      <c r="K1666">
        <v>10683.82</v>
      </c>
      <c r="L1666">
        <f t="shared" si="333"/>
        <v>1.4092898337808616E-2</v>
      </c>
      <c r="M1666" t="str">
        <f t="shared" si="327"/>
        <v>2016-09</v>
      </c>
      <c r="O1666">
        <v>8218.7980100000004</v>
      </c>
      <c r="P1666">
        <f t="shared" si="334"/>
        <v>2.7331305052155915E-2</v>
      </c>
      <c r="Q1666" t="str">
        <f t="shared" si="328"/>
        <v>2016-09</v>
      </c>
      <c r="S1666">
        <v>8908.9</v>
      </c>
      <c r="T1666">
        <f t="shared" si="335"/>
        <v>1.65352884919703E-2</v>
      </c>
      <c r="U1666" t="str">
        <f t="shared" si="329"/>
        <v>2016-09</v>
      </c>
      <c r="W1666">
        <v>17183.900000000001</v>
      </c>
      <c r="X1666">
        <f t="shared" si="336"/>
        <v>1.5282710123843444E-2</v>
      </c>
      <c r="Y1666">
        <f t="shared" si="337"/>
        <v>1.5400087926217769E-2</v>
      </c>
      <c r="Z1666" t="str">
        <f t="shared" si="330"/>
        <v>2016-09</v>
      </c>
    </row>
    <row r="1667" spans="1:26" x14ac:dyDescent="0.35">
      <c r="A1667" s="1">
        <v>42618</v>
      </c>
      <c r="C1667">
        <v>3077.66</v>
      </c>
      <c r="D1667">
        <f t="shared" si="331"/>
        <v>-6.7560986101854084E-4</v>
      </c>
      <c r="E1667" t="str">
        <f t="shared" si="325"/>
        <v>2016-09</v>
      </c>
      <c r="G1667">
        <v>4541.08</v>
      </c>
      <c r="H1667">
        <f t="shared" si="332"/>
        <v>-2.4000220300712214E-4</v>
      </c>
      <c r="I1667" t="str">
        <f t="shared" si="326"/>
        <v>2016-09</v>
      </c>
      <c r="K1667">
        <v>10672.22</v>
      </c>
      <c r="L1667">
        <f t="shared" si="333"/>
        <v>-1.0863438297367581E-3</v>
      </c>
      <c r="M1667" t="str">
        <f t="shared" si="327"/>
        <v>2016-09</v>
      </c>
      <c r="O1667">
        <v>8211.7563399999999</v>
      </c>
      <c r="P1667">
        <f t="shared" si="334"/>
        <v>-8.5714337826028712E-4</v>
      </c>
      <c r="Q1667" t="str">
        <f t="shared" si="328"/>
        <v>2016-09</v>
      </c>
      <c r="S1667">
        <v>8953.2999999999993</v>
      </c>
      <c r="T1667">
        <f t="shared" si="335"/>
        <v>4.9714023406830154E-3</v>
      </c>
      <c r="U1667" t="str">
        <f t="shared" si="329"/>
        <v>2016-09</v>
      </c>
      <c r="W1667">
        <v>17190.439999999999</v>
      </c>
      <c r="X1667">
        <f t="shared" si="336"/>
        <v>3.8051640141515097E-4</v>
      </c>
      <c r="Y1667">
        <f t="shared" si="337"/>
        <v>3.8058880696449784E-4</v>
      </c>
      <c r="Z1667" t="str">
        <f t="shared" si="330"/>
        <v>2016-09</v>
      </c>
    </row>
    <row r="1668" spans="1:26" x14ac:dyDescent="0.35">
      <c r="A1668" s="1">
        <v>42619</v>
      </c>
      <c r="C1668">
        <v>3070.16</v>
      </c>
      <c r="D1668">
        <f t="shared" si="331"/>
        <v>-2.4398904719610086E-3</v>
      </c>
      <c r="E1668" t="str">
        <f t="shared" ref="E1668:E1731" si="338">_xlfn.CONCAT(YEAR(A1668),"-",TEXT(MONTH(A1668),"00"))</f>
        <v>2016-09</v>
      </c>
      <c r="G1668">
        <v>4529.96</v>
      </c>
      <c r="H1668">
        <f t="shared" si="332"/>
        <v>-2.45175979166879E-3</v>
      </c>
      <c r="I1668" t="str">
        <f t="shared" ref="I1668:I1731" si="339">_xlfn.CONCAT(YEAR(A1668),"-",TEXT(MONTH(A1668),"00"))</f>
        <v>2016-09</v>
      </c>
      <c r="K1668">
        <v>10687.14</v>
      </c>
      <c r="L1668">
        <f t="shared" si="333"/>
        <v>1.3970458315847366E-3</v>
      </c>
      <c r="M1668" t="str">
        <f t="shared" ref="M1668:M1731" si="340">_xlfn.CONCAT(YEAR(A1668),"-",TEXT(MONTH(A1668),"00"))</f>
        <v>2016-09</v>
      </c>
      <c r="O1668">
        <v>8150.4530800000002</v>
      </c>
      <c r="P1668">
        <f t="shared" si="334"/>
        <v>-7.4933091580340009E-3</v>
      </c>
      <c r="Q1668" t="str">
        <f t="shared" ref="Q1668:Q1731" si="341">_xlfn.CONCAT(YEAR(A1668),"-",TEXT(MONTH(A1668),"00"))</f>
        <v>2016-09</v>
      </c>
      <c r="S1668">
        <v>8899.5</v>
      </c>
      <c r="T1668">
        <f t="shared" si="335"/>
        <v>-6.0270840271900942E-3</v>
      </c>
      <c r="U1668" t="str">
        <f t="shared" ref="U1668:U1731" si="342">_xlfn.CONCAT(YEAR(A1668),"-",TEXT(MONTH(A1668),"00"))</f>
        <v>2016-09</v>
      </c>
      <c r="W1668">
        <v>17052.57</v>
      </c>
      <c r="X1668">
        <f t="shared" si="336"/>
        <v>-8.052489835826156E-3</v>
      </c>
      <c r="Y1668">
        <f t="shared" si="337"/>
        <v>-8.0201553886927266E-3</v>
      </c>
      <c r="Z1668" t="str">
        <f t="shared" ref="Z1668:Z1731" si="343">_xlfn.CONCAT(YEAR(A1668),"-",TEXT(MONTH(A1668),"00"))</f>
        <v>2016-09</v>
      </c>
    </row>
    <row r="1669" spans="1:26" x14ac:dyDescent="0.35">
      <c r="A1669" s="1">
        <v>42620</v>
      </c>
      <c r="C1669">
        <v>3091.66</v>
      </c>
      <c r="D1669">
        <f t="shared" ref="D1669:D1732" si="344">LN(C1669/C1668)</f>
        <v>6.978485983940335E-3</v>
      </c>
      <c r="E1669" t="str">
        <f t="shared" si="338"/>
        <v>2016-09</v>
      </c>
      <c r="G1669">
        <v>4557.66</v>
      </c>
      <c r="H1669">
        <f t="shared" ref="H1669:H1732" si="345">LN(G1669/G1668)</f>
        <v>6.0962244871017521E-3</v>
      </c>
      <c r="I1669" t="str">
        <f t="shared" si="339"/>
        <v>2016-09</v>
      </c>
      <c r="K1669">
        <v>10752.98</v>
      </c>
      <c r="L1669">
        <f t="shared" ref="L1669:L1732" si="346">LN(K1669/K1668)</f>
        <v>6.1417759755714113E-3</v>
      </c>
      <c r="M1669" t="str">
        <f t="shared" si="340"/>
        <v>2016-09</v>
      </c>
      <c r="O1669">
        <v>8119.3416699999998</v>
      </c>
      <c r="P1669">
        <f t="shared" ref="P1669:P1732" si="347">LN(O1669/O1668)</f>
        <v>-3.8244425819263786E-3</v>
      </c>
      <c r="Q1669" t="str">
        <f t="shared" si="341"/>
        <v>2016-09</v>
      </c>
      <c r="S1669">
        <v>9015.2999999999993</v>
      </c>
      <c r="T1669">
        <f t="shared" ref="T1669:T1732" si="348">LN(S1669/S1668)</f>
        <v>1.2928038587130266E-2</v>
      </c>
      <c r="U1669" t="str">
        <f t="shared" si="342"/>
        <v>2016-09</v>
      </c>
      <c r="W1669">
        <v>17292.84</v>
      </c>
      <c r="X1669">
        <f t="shared" ref="X1669:X1732" si="349">LN(W1669/W1668)</f>
        <v>1.3991617494106819E-2</v>
      </c>
      <c r="Y1669">
        <f t="shared" ref="Y1669:Y1732" si="350">(W1669-W1668)/W1668</f>
        <v>1.4089958287812362E-2</v>
      </c>
      <c r="Z1669" t="str">
        <f t="shared" si="343"/>
        <v>2016-09</v>
      </c>
    </row>
    <row r="1670" spans="1:26" x14ac:dyDescent="0.35">
      <c r="A1670" s="1">
        <v>42621</v>
      </c>
      <c r="C1670">
        <v>3083.54</v>
      </c>
      <c r="D1670">
        <f t="shared" si="344"/>
        <v>-2.6298758517920044E-3</v>
      </c>
      <c r="E1670" t="str">
        <f t="shared" si="338"/>
        <v>2016-09</v>
      </c>
      <c r="G1670">
        <v>4542.2</v>
      </c>
      <c r="H1670">
        <f t="shared" si="345"/>
        <v>-3.3978577416287183E-3</v>
      </c>
      <c r="I1670" t="str">
        <f t="shared" si="339"/>
        <v>2016-09</v>
      </c>
      <c r="K1670">
        <v>10675.29</v>
      </c>
      <c r="L1670">
        <f t="shared" si="346"/>
        <v>-7.2512004385596003E-3</v>
      </c>
      <c r="M1670" t="str">
        <f t="shared" si="340"/>
        <v>2016-09</v>
      </c>
      <c r="O1670">
        <v>8109.0632699999996</v>
      </c>
      <c r="P1670">
        <f t="shared" si="347"/>
        <v>-1.2667173899556863E-3</v>
      </c>
      <c r="Q1670" t="str">
        <f t="shared" si="341"/>
        <v>2016-09</v>
      </c>
      <c r="S1670">
        <v>9101.1</v>
      </c>
      <c r="T1670">
        <f t="shared" si="348"/>
        <v>9.472151366590598E-3</v>
      </c>
      <c r="U1670" t="str">
        <f t="shared" si="342"/>
        <v>2016-09</v>
      </c>
      <c r="W1670">
        <v>17375.73</v>
      </c>
      <c r="X1670">
        <f t="shared" si="349"/>
        <v>4.7818619544009759E-3</v>
      </c>
      <c r="Y1670">
        <f t="shared" si="350"/>
        <v>4.7933133019214553E-3</v>
      </c>
      <c r="Z1670" t="str">
        <f t="shared" si="343"/>
        <v>2016-09</v>
      </c>
    </row>
    <row r="1671" spans="1:26" x14ac:dyDescent="0.35">
      <c r="A1671" s="1">
        <v>42622</v>
      </c>
      <c r="C1671">
        <v>3053.2</v>
      </c>
      <c r="D1671">
        <f t="shared" si="344"/>
        <v>-9.8880666948621236E-3</v>
      </c>
      <c r="E1671" t="str">
        <f t="shared" si="338"/>
        <v>2016-09</v>
      </c>
      <c r="G1671">
        <v>4491.3999999999996</v>
      </c>
      <c r="H1671">
        <f t="shared" si="345"/>
        <v>-1.1247019017051978E-2</v>
      </c>
      <c r="I1671" t="str">
        <f t="shared" si="339"/>
        <v>2016-09</v>
      </c>
      <c r="K1671">
        <v>10573.44</v>
      </c>
      <c r="L1671">
        <f t="shared" si="346"/>
        <v>-9.5865287020036882E-3</v>
      </c>
      <c r="M1671" t="str">
        <f t="shared" si="340"/>
        <v>2016-09</v>
      </c>
      <c r="O1671">
        <v>8014.5062699999999</v>
      </c>
      <c r="P1671">
        <f t="shared" si="347"/>
        <v>-1.1729174958196866E-2</v>
      </c>
      <c r="Q1671" t="str">
        <f t="shared" si="341"/>
        <v>2016-09</v>
      </c>
      <c r="S1671">
        <v>9025.5</v>
      </c>
      <c r="T1671">
        <f t="shared" si="348"/>
        <v>-8.3413809920121988E-3</v>
      </c>
      <c r="U1671" t="str">
        <f t="shared" si="342"/>
        <v>2016-09</v>
      </c>
      <c r="W1671">
        <v>17156.48</v>
      </c>
      <c r="X1671">
        <f t="shared" si="349"/>
        <v>-1.269846014374512E-2</v>
      </c>
      <c r="Y1671">
        <f t="shared" si="350"/>
        <v>-1.2618174891069325E-2</v>
      </c>
      <c r="Z1671" t="str">
        <f t="shared" si="343"/>
        <v>2016-09</v>
      </c>
    </row>
    <row r="1672" spans="1:26" x14ac:dyDescent="0.35">
      <c r="A1672" s="1">
        <v>42625</v>
      </c>
      <c r="C1672">
        <v>3012.88</v>
      </c>
      <c r="D1672">
        <f t="shared" si="344"/>
        <v>-1.3293789001683558E-2</v>
      </c>
      <c r="E1672" t="str">
        <f t="shared" si="338"/>
        <v>2016-09</v>
      </c>
      <c r="G1672">
        <v>4439.8</v>
      </c>
      <c r="H1672">
        <f t="shared" si="345"/>
        <v>-1.1555126777774051E-2</v>
      </c>
      <c r="I1672" t="str">
        <f t="shared" si="339"/>
        <v>2016-09</v>
      </c>
      <c r="K1672">
        <v>10431.77</v>
      </c>
      <c r="L1672">
        <f t="shared" si="346"/>
        <v>-1.3489238924800478E-2</v>
      </c>
      <c r="M1672" t="str">
        <f t="shared" si="340"/>
        <v>2016-09</v>
      </c>
      <c r="O1672">
        <v>7944.34753</v>
      </c>
      <c r="P1672">
        <f t="shared" si="347"/>
        <v>-8.792510147160983E-3</v>
      </c>
      <c r="Q1672" t="str">
        <f t="shared" si="341"/>
        <v>2016-09</v>
      </c>
      <c r="S1672">
        <v>8866.6</v>
      </c>
      <c r="T1672">
        <f t="shared" si="348"/>
        <v>-1.7762496052094092E-2</v>
      </c>
      <c r="U1672" t="str">
        <f t="shared" si="342"/>
        <v>2016-09</v>
      </c>
      <c r="W1672">
        <v>16840.28</v>
      </c>
      <c r="X1672">
        <f t="shared" si="349"/>
        <v>-1.8602309058683163E-2</v>
      </c>
      <c r="Y1672">
        <f t="shared" si="350"/>
        <v>-1.8430354012011832E-2</v>
      </c>
      <c r="Z1672" t="str">
        <f t="shared" si="343"/>
        <v>2016-09</v>
      </c>
    </row>
    <row r="1673" spans="1:26" x14ac:dyDescent="0.35">
      <c r="A1673" s="1">
        <v>42626</v>
      </c>
      <c r="C1673">
        <v>2974.8</v>
      </c>
      <c r="D1673">
        <f t="shared" si="344"/>
        <v>-1.2719622093486547E-2</v>
      </c>
      <c r="E1673" t="str">
        <f t="shared" si="338"/>
        <v>2016-09</v>
      </c>
      <c r="G1673">
        <v>4387.18</v>
      </c>
      <c r="H1673">
        <f t="shared" si="345"/>
        <v>-1.1922678725328133E-2</v>
      </c>
      <c r="I1673" t="str">
        <f t="shared" si="339"/>
        <v>2016-09</v>
      </c>
      <c r="K1673">
        <v>10386.6</v>
      </c>
      <c r="L1673">
        <f t="shared" si="346"/>
        <v>-4.3394435666323306E-3</v>
      </c>
      <c r="M1673" t="str">
        <f t="shared" si="340"/>
        <v>2016-09</v>
      </c>
      <c r="O1673">
        <v>7830.8545100000001</v>
      </c>
      <c r="P1673">
        <f t="shared" si="347"/>
        <v>-1.4389036397718767E-2</v>
      </c>
      <c r="Q1673" t="str">
        <f t="shared" si="341"/>
        <v>2016-09</v>
      </c>
      <c r="S1673">
        <v>8724.2000000000007</v>
      </c>
      <c r="T1673">
        <f t="shared" si="348"/>
        <v>-1.619063495404157E-2</v>
      </c>
      <c r="U1673" t="str">
        <f t="shared" si="342"/>
        <v>2016-09</v>
      </c>
      <c r="W1673">
        <v>16547.75</v>
      </c>
      <c r="X1673">
        <f t="shared" si="349"/>
        <v>-1.7523494835161448E-2</v>
      </c>
      <c r="Y1673">
        <f t="shared" si="350"/>
        <v>-1.7370851316011304E-2</v>
      </c>
      <c r="Z1673" t="str">
        <f t="shared" si="343"/>
        <v>2016-09</v>
      </c>
    </row>
    <row r="1674" spans="1:26" x14ac:dyDescent="0.35">
      <c r="A1674" s="1">
        <v>42627</v>
      </c>
      <c r="C1674">
        <v>2964.9</v>
      </c>
      <c r="D1674">
        <f t="shared" si="344"/>
        <v>-3.333504778897294E-3</v>
      </c>
      <c r="E1674" t="str">
        <f t="shared" si="338"/>
        <v>2016-09</v>
      </c>
      <c r="G1674">
        <v>4370.26</v>
      </c>
      <c r="H1674">
        <f t="shared" si="345"/>
        <v>-3.8641477540477982E-3</v>
      </c>
      <c r="I1674" t="str">
        <f t="shared" si="339"/>
        <v>2016-09</v>
      </c>
      <c r="K1674">
        <v>10378.4</v>
      </c>
      <c r="L1674">
        <f t="shared" si="346"/>
        <v>-7.8979055393621315E-4</v>
      </c>
      <c r="M1674" t="str">
        <f t="shared" si="340"/>
        <v>2016-09</v>
      </c>
      <c r="O1674">
        <v>7822.4902700000002</v>
      </c>
      <c r="P1674">
        <f t="shared" si="347"/>
        <v>-1.068684158384294E-3</v>
      </c>
      <c r="Q1674" t="str">
        <f t="shared" si="341"/>
        <v>2016-09</v>
      </c>
      <c r="S1674">
        <v>8702.4</v>
      </c>
      <c r="T1674">
        <f t="shared" si="348"/>
        <v>-2.5019236536841416E-3</v>
      </c>
      <c r="U1674" t="str">
        <f t="shared" si="342"/>
        <v>2016-09</v>
      </c>
      <c r="W1674">
        <v>16539.900000000001</v>
      </c>
      <c r="X1674">
        <f t="shared" si="349"/>
        <v>-4.7449729112119052E-4</v>
      </c>
      <c r="Y1674">
        <f t="shared" si="350"/>
        <v>-4.7438473508474232E-4</v>
      </c>
      <c r="Z1674" t="str">
        <f t="shared" si="343"/>
        <v>2016-09</v>
      </c>
    </row>
    <row r="1675" spans="1:26" x14ac:dyDescent="0.35">
      <c r="A1675" s="1">
        <v>42628</v>
      </c>
      <c r="C1675">
        <v>2973.77</v>
      </c>
      <c r="D1675">
        <f t="shared" si="344"/>
        <v>2.9872030592254669E-3</v>
      </c>
      <c r="E1675" t="str">
        <f t="shared" si="338"/>
        <v>2016-09</v>
      </c>
      <c r="G1675">
        <v>4373.22</v>
      </c>
      <c r="H1675">
        <f t="shared" si="345"/>
        <v>6.7707597274314186E-4</v>
      </c>
      <c r="I1675" t="str">
        <f t="shared" si="339"/>
        <v>2016-09</v>
      </c>
      <c r="K1675">
        <v>10431.200000000001</v>
      </c>
      <c r="L1675">
        <f t="shared" si="346"/>
        <v>5.0745918524600598E-3</v>
      </c>
      <c r="M1675" t="str">
        <f t="shared" si="340"/>
        <v>2016-09</v>
      </c>
      <c r="O1675">
        <v>7912.6823599999998</v>
      </c>
      <c r="P1675">
        <f t="shared" si="347"/>
        <v>1.1463881569872086E-2</v>
      </c>
      <c r="Q1675" t="str">
        <f t="shared" si="341"/>
        <v>2016-09</v>
      </c>
      <c r="S1675">
        <v>8720.5</v>
      </c>
      <c r="T1675">
        <f t="shared" si="348"/>
        <v>2.0777260400268935E-3</v>
      </c>
      <c r="U1675" t="str">
        <f t="shared" si="342"/>
        <v>2016-09</v>
      </c>
      <c r="W1675">
        <v>16595.43</v>
      </c>
      <c r="X1675">
        <f t="shared" si="349"/>
        <v>3.3517126272906419E-3</v>
      </c>
      <c r="Y1675">
        <f t="shared" si="350"/>
        <v>3.3573358968312281E-3</v>
      </c>
      <c r="Z1675" t="str">
        <f t="shared" si="343"/>
        <v>2016-09</v>
      </c>
    </row>
    <row r="1676" spans="1:26" x14ac:dyDescent="0.35">
      <c r="A1676" s="1">
        <v>42629</v>
      </c>
      <c r="C1676">
        <v>2935.25</v>
      </c>
      <c r="D1676">
        <f t="shared" si="344"/>
        <v>-1.303787959915228E-2</v>
      </c>
      <c r="E1676" t="str">
        <f t="shared" si="338"/>
        <v>2016-09</v>
      </c>
      <c r="G1676">
        <v>4332.45</v>
      </c>
      <c r="H1676">
        <f t="shared" si="345"/>
        <v>-9.3663780177673499E-3</v>
      </c>
      <c r="I1676" t="str">
        <f t="shared" si="339"/>
        <v>2016-09</v>
      </c>
      <c r="K1676">
        <v>10276.17</v>
      </c>
      <c r="L1676">
        <f t="shared" si="346"/>
        <v>-1.4973692614226923E-2</v>
      </c>
      <c r="M1676" t="str">
        <f t="shared" si="340"/>
        <v>2016-09</v>
      </c>
      <c r="O1676">
        <v>7859.6175800000001</v>
      </c>
      <c r="P1676">
        <f t="shared" si="347"/>
        <v>-6.7288829686705815E-3</v>
      </c>
      <c r="Q1676" t="str">
        <f t="shared" si="341"/>
        <v>2016-09</v>
      </c>
      <c r="S1676">
        <v>8633.4</v>
      </c>
      <c r="T1676">
        <f t="shared" si="348"/>
        <v>-1.0038173711296344E-2</v>
      </c>
      <c r="U1676" t="str">
        <f t="shared" si="342"/>
        <v>2016-09</v>
      </c>
      <c r="W1676">
        <v>16192.16</v>
      </c>
      <c r="X1676">
        <f t="shared" si="349"/>
        <v>-2.4600181776186038E-2</v>
      </c>
      <c r="Y1676">
        <f t="shared" si="350"/>
        <v>-2.4300063330688054E-2</v>
      </c>
      <c r="Z1676" t="str">
        <f t="shared" si="343"/>
        <v>2016-09</v>
      </c>
    </row>
    <row r="1677" spans="1:26" x14ac:dyDescent="0.35">
      <c r="A1677" s="1">
        <v>42632</v>
      </c>
      <c r="C1677">
        <v>2968.31</v>
      </c>
      <c r="D1677">
        <f t="shared" si="344"/>
        <v>1.1200138762049019E-2</v>
      </c>
      <c r="E1677" t="str">
        <f t="shared" si="338"/>
        <v>2016-09</v>
      </c>
      <c r="G1677">
        <v>4394.1899999999996</v>
      </c>
      <c r="H1677">
        <f t="shared" si="345"/>
        <v>1.4150011950318619E-2</v>
      </c>
      <c r="I1677" t="str">
        <f t="shared" si="339"/>
        <v>2016-09</v>
      </c>
      <c r="K1677">
        <v>10373.870000000001</v>
      </c>
      <c r="L1677">
        <f t="shared" si="346"/>
        <v>9.4625220094714142E-3</v>
      </c>
      <c r="M1677" t="str">
        <f t="shared" si="340"/>
        <v>2016-09</v>
      </c>
      <c r="O1677">
        <v>7954.1201000000001</v>
      </c>
      <c r="P1677">
        <f t="shared" si="347"/>
        <v>1.1952094679148267E-2</v>
      </c>
      <c r="Q1677" t="str">
        <f t="shared" si="341"/>
        <v>2016-09</v>
      </c>
      <c r="S1677">
        <v>8715.5</v>
      </c>
      <c r="T1677">
        <f t="shared" si="348"/>
        <v>9.4646476574933493E-3</v>
      </c>
      <c r="U1677" t="str">
        <f t="shared" si="342"/>
        <v>2016-09</v>
      </c>
      <c r="W1677">
        <v>16399.259999999998</v>
      </c>
      <c r="X1677">
        <f t="shared" si="349"/>
        <v>1.2709037381748219E-2</v>
      </c>
      <c r="Y1677">
        <f t="shared" si="350"/>
        <v>1.2790140413632186E-2</v>
      </c>
      <c r="Z1677" t="str">
        <f t="shared" si="343"/>
        <v>2016-09</v>
      </c>
    </row>
    <row r="1678" spans="1:26" x14ac:dyDescent="0.35">
      <c r="A1678" s="1">
        <v>42633</v>
      </c>
      <c r="C1678">
        <v>2964.86</v>
      </c>
      <c r="D1678">
        <f t="shared" si="344"/>
        <v>-1.1629534932699284E-3</v>
      </c>
      <c r="E1678" t="str">
        <f t="shared" si="338"/>
        <v>2016-09</v>
      </c>
      <c r="G1678">
        <v>4388.6000000000004</v>
      </c>
      <c r="H1678">
        <f t="shared" si="345"/>
        <v>-1.2729441908162873E-3</v>
      </c>
      <c r="I1678" t="str">
        <f t="shared" si="339"/>
        <v>2016-09</v>
      </c>
      <c r="K1678">
        <v>10393.86</v>
      </c>
      <c r="L1678">
        <f t="shared" si="346"/>
        <v>1.9251026639513326E-3</v>
      </c>
      <c r="M1678" t="str">
        <f t="shared" si="340"/>
        <v>2016-09</v>
      </c>
      <c r="O1678">
        <v>7941.8257899999999</v>
      </c>
      <c r="P1678">
        <f t="shared" si="347"/>
        <v>-1.5468488049094162E-3</v>
      </c>
      <c r="Q1678" t="str">
        <f t="shared" si="341"/>
        <v>2016-09</v>
      </c>
      <c r="S1678">
        <v>8686.1</v>
      </c>
      <c r="T1678">
        <f t="shared" si="348"/>
        <v>-3.3790028472395371E-3</v>
      </c>
      <c r="U1678" t="str">
        <f t="shared" si="342"/>
        <v>2016-09</v>
      </c>
      <c r="W1678">
        <v>16207.1</v>
      </c>
      <c r="X1678">
        <f t="shared" si="349"/>
        <v>-1.1786794030578333E-2</v>
      </c>
      <c r="Y1678">
        <f t="shared" si="350"/>
        <v>-1.1717601891792559E-2</v>
      </c>
      <c r="Z1678" t="str">
        <f t="shared" si="343"/>
        <v>2016-09</v>
      </c>
    </row>
    <row r="1679" spans="1:26" x14ac:dyDescent="0.35">
      <c r="A1679" s="1">
        <v>42634</v>
      </c>
      <c r="C1679">
        <v>2982.18</v>
      </c>
      <c r="D1679">
        <f t="shared" si="344"/>
        <v>5.8247628968990149E-3</v>
      </c>
      <c r="E1679" t="str">
        <f t="shared" si="338"/>
        <v>2016-09</v>
      </c>
      <c r="G1679">
        <v>4409.55</v>
      </c>
      <c r="H1679">
        <f t="shared" si="345"/>
        <v>4.7623738162776317E-3</v>
      </c>
      <c r="I1679" t="str">
        <f t="shared" si="339"/>
        <v>2016-09</v>
      </c>
      <c r="K1679">
        <v>10436.49</v>
      </c>
      <c r="L1679">
        <f t="shared" si="346"/>
        <v>4.093071841409968E-3</v>
      </c>
      <c r="M1679" t="str">
        <f t="shared" si="340"/>
        <v>2016-09</v>
      </c>
      <c r="O1679">
        <v>7948.2758599999997</v>
      </c>
      <c r="P1679">
        <f t="shared" si="347"/>
        <v>8.1183500223328702E-4</v>
      </c>
      <c r="Q1679" t="str">
        <f t="shared" si="341"/>
        <v>2016-09</v>
      </c>
      <c r="S1679">
        <v>8758.5</v>
      </c>
      <c r="T1679">
        <f t="shared" si="348"/>
        <v>8.3006105840214128E-3</v>
      </c>
      <c r="U1679" t="str">
        <f t="shared" si="342"/>
        <v>2016-09</v>
      </c>
      <c r="W1679">
        <v>16349.82</v>
      </c>
      <c r="X1679">
        <f t="shared" si="349"/>
        <v>8.7674702780201688E-3</v>
      </c>
      <c r="Y1679">
        <f t="shared" si="350"/>
        <v>8.8060171159553124E-3</v>
      </c>
      <c r="Z1679" t="str">
        <f t="shared" si="343"/>
        <v>2016-09</v>
      </c>
    </row>
    <row r="1680" spans="1:26" x14ac:dyDescent="0.35">
      <c r="A1680" s="1">
        <v>42635</v>
      </c>
      <c r="C1680">
        <v>3051.69</v>
      </c>
      <c r="D1680">
        <f t="shared" si="344"/>
        <v>2.3040958830300867E-2</v>
      </c>
      <c r="E1680" t="str">
        <f t="shared" si="338"/>
        <v>2016-09</v>
      </c>
      <c r="G1680">
        <v>4509.82</v>
      </c>
      <c r="H1680">
        <f t="shared" si="345"/>
        <v>2.2484597973995595E-2</v>
      </c>
      <c r="I1680" t="str">
        <f t="shared" si="339"/>
        <v>2016-09</v>
      </c>
      <c r="K1680">
        <v>10674.18</v>
      </c>
      <c r="L1680">
        <f t="shared" si="346"/>
        <v>2.2519422148244251E-2</v>
      </c>
      <c r="M1680" t="str">
        <f t="shared" si="340"/>
        <v>2016-09</v>
      </c>
      <c r="O1680">
        <v>8053.8615600000003</v>
      </c>
      <c r="P1680">
        <f t="shared" si="347"/>
        <v>1.3196641117182235E-2</v>
      </c>
      <c r="Q1680" t="str">
        <f t="shared" si="341"/>
        <v>2016-09</v>
      </c>
      <c r="S1680">
        <v>8934.9</v>
      </c>
      <c r="T1680">
        <f t="shared" si="348"/>
        <v>1.9940299197394259E-2</v>
      </c>
      <c r="U1680" t="str">
        <f t="shared" si="342"/>
        <v>2016-09</v>
      </c>
      <c r="W1680">
        <v>16637.689999999999</v>
      </c>
      <c r="X1680">
        <f t="shared" si="349"/>
        <v>1.7453715532647091E-2</v>
      </c>
      <c r="Y1680">
        <f t="shared" si="350"/>
        <v>1.7606921666415837E-2</v>
      </c>
      <c r="Z1680" t="str">
        <f t="shared" si="343"/>
        <v>2016-09</v>
      </c>
    </row>
    <row r="1681" spans="1:26" x14ac:dyDescent="0.35">
      <c r="A1681" s="1">
        <v>42636</v>
      </c>
      <c r="C1681">
        <v>3032.31</v>
      </c>
      <c r="D1681">
        <f t="shared" si="344"/>
        <v>-6.3708302264077494E-3</v>
      </c>
      <c r="E1681" t="str">
        <f t="shared" si="338"/>
        <v>2016-09</v>
      </c>
      <c r="G1681">
        <v>4488.6899999999996</v>
      </c>
      <c r="H1681">
        <f t="shared" si="345"/>
        <v>-4.6963416912946714E-3</v>
      </c>
      <c r="I1681" t="str">
        <f t="shared" si="339"/>
        <v>2016-09</v>
      </c>
      <c r="K1681">
        <v>10626.97</v>
      </c>
      <c r="L1681">
        <f t="shared" si="346"/>
        <v>-4.4326317874261289E-3</v>
      </c>
      <c r="M1681" t="str">
        <f t="shared" si="340"/>
        <v>2016-09</v>
      </c>
      <c r="O1681">
        <v>7977.9556300000004</v>
      </c>
      <c r="P1681">
        <f t="shared" si="347"/>
        <v>-9.469481383604891E-3</v>
      </c>
      <c r="Q1681" t="str">
        <f t="shared" si="341"/>
        <v>2016-09</v>
      </c>
      <c r="S1681">
        <v>8823.6</v>
      </c>
      <c r="T1681">
        <f t="shared" si="348"/>
        <v>-1.2535006598919308E-2</v>
      </c>
      <c r="U1681" t="str">
        <f t="shared" si="342"/>
        <v>2016-09</v>
      </c>
      <c r="W1681">
        <v>16452.84</v>
      </c>
      <c r="X1681">
        <f t="shared" si="349"/>
        <v>-1.1172496954040909E-2</v>
      </c>
      <c r="Y1681">
        <f t="shared" si="350"/>
        <v>-1.1110316396086149E-2</v>
      </c>
      <c r="Z1681" t="str">
        <f t="shared" si="343"/>
        <v>2016-09</v>
      </c>
    </row>
    <row r="1682" spans="1:26" x14ac:dyDescent="0.35">
      <c r="A1682" s="1">
        <v>42639</v>
      </c>
      <c r="C1682">
        <v>2975.88</v>
      </c>
      <c r="D1682">
        <f t="shared" si="344"/>
        <v>-1.8784911720532194E-2</v>
      </c>
      <c r="E1682" t="str">
        <f t="shared" si="338"/>
        <v>2016-09</v>
      </c>
      <c r="G1682">
        <v>4407.8500000000004</v>
      </c>
      <c r="H1682">
        <f t="shared" si="345"/>
        <v>-1.8173857485110752E-2</v>
      </c>
      <c r="I1682" t="str">
        <f t="shared" si="339"/>
        <v>2016-09</v>
      </c>
      <c r="K1682">
        <v>10393.709999999999</v>
      </c>
      <c r="L1682">
        <f t="shared" si="346"/>
        <v>-2.2194293903480745E-2</v>
      </c>
      <c r="M1682" t="str">
        <f t="shared" si="340"/>
        <v>2016-09</v>
      </c>
      <c r="O1682">
        <v>7862.5882099999999</v>
      </c>
      <c r="P1682">
        <f t="shared" si="347"/>
        <v>-1.4566350881975903E-2</v>
      </c>
      <c r="Q1682" t="str">
        <f t="shared" si="341"/>
        <v>2016-09</v>
      </c>
      <c r="S1682">
        <v>8711.4</v>
      </c>
      <c r="T1682">
        <f t="shared" si="348"/>
        <v>-1.2797437272479988E-2</v>
      </c>
      <c r="U1682" t="str">
        <f t="shared" si="342"/>
        <v>2016-09</v>
      </c>
      <c r="W1682">
        <v>16192.48</v>
      </c>
      <c r="X1682">
        <f t="shared" si="349"/>
        <v>-1.5951169752508154E-2</v>
      </c>
      <c r="Y1682">
        <f t="shared" si="350"/>
        <v>-1.5824623590820829E-2</v>
      </c>
      <c r="Z1682" t="str">
        <f t="shared" si="343"/>
        <v>2016-09</v>
      </c>
    </row>
    <row r="1683" spans="1:26" x14ac:dyDescent="0.35">
      <c r="A1683" s="1">
        <v>42640</v>
      </c>
      <c r="C1683">
        <v>2970.84</v>
      </c>
      <c r="D1683">
        <f t="shared" si="344"/>
        <v>-1.6950524681657046E-3</v>
      </c>
      <c r="E1683" t="str">
        <f t="shared" si="338"/>
        <v>2016-09</v>
      </c>
      <c r="G1683">
        <v>4398.68</v>
      </c>
      <c r="H1683">
        <f t="shared" si="345"/>
        <v>-2.0825463182865918E-3</v>
      </c>
      <c r="I1683" t="str">
        <f t="shared" si="339"/>
        <v>2016-09</v>
      </c>
      <c r="K1683">
        <v>10361.48</v>
      </c>
      <c r="L1683">
        <f t="shared" si="346"/>
        <v>-3.1057317139845326E-3</v>
      </c>
      <c r="M1683" t="str">
        <f t="shared" si="340"/>
        <v>2016-09</v>
      </c>
      <c r="O1683">
        <v>7901.1205200000004</v>
      </c>
      <c r="P1683">
        <f t="shared" si="347"/>
        <v>4.8887463480780137E-3</v>
      </c>
      <c r="Q1683" t="str">
        <f t="shared" si="341"/>
        <v>2016-09</v>
      </c>
      <c r="S1683">
        <v>8688.2000000000007</v>
      </c>
      <c r="T1683">
        <f t="shared" si="348"/>
        <v>-2.6667295511153791E-3</v>
      </c>
      <c r="U1683" t="str">
        <f t="shared" si="342"/>
        <v>2016-09</v>
      </c>
      <c r="W1683">
        <v>16134.71</v>
      </c>
      <c r="X1683">
        <f t="shared" si="349"/>
        <v>-3.5740849419050608E-3</v>
      </c>
      <c r="Y1683">
        <f t="shared" si="350"/>
        <v>-3.5677055028013275E-3</v>
      </c>
      <c r="Z1683" t="str">
        <f t="shared" si="343"/>
        <v>2016-09</v>
      </c>
    </row>
    <row r="1684" spans="1:26" x14ac:dyDescent="0.35">
      <c r="A1684" s="1">
        <v>42641</v>
      </c>
      <c r="C1684">
        <v>2991.11</v>
      </c>
      <c r="D1684">
        <f t="shared" si="344"/>
        <v>6.7998148601560501E-3</v>
      </c>
      <c r="E1684" t="str">
        <f t="shared" si="338"/>
        <v>2016-09</v>
      </c>
      <c r="G1684">
        <v>4432.45</v>
      </c>
      <c r="H1684">
        <f t="shared" si="345"/>
        <v>7.6479826715402412E-3</v>
      </c>
      <c r="I1684" t="str">
        <f t="shared" si="339"/>
        <v>2016-09</v>
      </c>
      <c r="K1684">
        <v>10438.34</v>
      </c>
      <c r="L1684">
        <f t="shared" si="346"/>
        <v>7.390482209541532E-3</v>
      </c>
      <c r="M1684" t="str">
        <f t="shared" si="340"/>
        <v>2016-09</v>
      </c>
      <c r="O1684">
        <v>7949.2893599999998</v>
      </c>
      <c r="P1684">
        <f t="shared" si="347"/>
        <v>6.0779486019842694E-3</v>
      </c>
      <c r="Q1684" t="str">
        <f t="shared" si="341"/>
        <v>2016-09</v>
      </c>
      <c r="S1684">
        <v>8740.4</v>
      </c>
      <c r="T1684">
        <f t="shared" si="348"/>
        <v>5.9901720261301703E-3</v>
      </c>
      <c r="U1684" t="str">
        <f t="shared" si="342"/>
        <v>2016-09</v>
      </c>
      <c r="W1684">
        <v>16222.21</v>
      </c>
      <c r="X1684">
        <f t="shared" si="349"/>
        <v>5.408438954633785E-3</v>
      </c>
      <c r="Y1684">
        <f t="shared" si="350"/>
        <v>5.4230909635190226E-3</v>
      </c>
      <c r="Z1684" t="str">
        <f t="shared" si="343"/>
        <v>2016-09</v>
      </c>
    </row>
    <row r="1685" spans="1:26" x14ac:dyDescent="0.35">
      <c r="A1685" s="1">
        <v>42642</v>
      </c>
      <c r="C1685">
        <v>2991.58</v>
      </c>
      <c r="D1685">
        <f t="shared" si="344"/>
        <v>1.5711995806795315E-4</v>
      </c>
      <c r="E1685" t="str">
        <f t="shared" si="338"/>
        <v>2016-09</v>
      </c>
      <c r="G1685">
        <v>4443.84</v>
      </c>
      <c r="H1685">
        <f t="shared" si="345"/>
        <v>2.5663889421245123E-3</v>
      </c>
      <c r="I1685" t="str">
        <f t="shared" si="339"/>
        <v>2016-09</v>
      </c>
      <c r="K1685">
        <v>10405.540000000001</v>
      </c>
      <c r="L1685">
        <f t="shared" si="346"/>
        <v>-3.1472093557879935E-3</v>
      </c>
      <c r="M1685" t="str">
        <f t="shared" si="340"/>
        <v>2016-09</v>
      </c>
      <c r="O1685">
        <v>8000.8298400000003</v>
      </c>
      <c r="P1685">
        <f t="shared" si="347"/>
        <v>6.4627303086624149E-3</v>
      </c>
      <c r="Q1685" t="str">
        <f t="shared" si="341"/>
        <v>2016-09</v>
      </c>
      <c r="S1685">
        <v>8796.2999999999993</v>
      </c>
      <c r="T1685">
        <f t="shared" si="348"/>
        <v>6.3752233123350426E-3</v>
      </c>
      <c r="U1685" t="str">
        <f t="shared" si="342"/>
        <v>2016-09</v>
      </c>
      <c r="W1685">
        <v>16338.78</v>
      </c>
      <c r="X1685">
        <f t="shared" si="349"/>
        <v>7.1601322945377766E-3</v>
      </c>
      <c r="Y1685">
        <f t="shared" si="350"/>
        <v>7.1858273317878104E-3</v>
      </c>
      <c r="Z1685" t="str">
        <f t="shared" si="343"/>
        <v>2016-09</v>
      </c>
    </row>
    <row r="1686" spans="1:26" x14ac:dyDescent="0.35">
      <c r="A1686" s="1">
        <v>42643</v>
      </c>
      <c r="C1686">
        <v>3002.24</v>
      </c>
      <c r="D1686">
        <f t="shared" si="344"/>
        <v>3.5570007906200862E-3</v>
      </c>
      <c r="E1686" t="str">
        <f t="shared" si="338"/>
        <v>2016-09</v>
      </c>
      <c r="G1686">
        <v>4448.26</v>
      </c>
      <c r="H1686">
        <f t="shared" si="345"/>
        <v>9.9414094848918316E-4</v>
      </c>
      <c r="I1686" t="str">
        <f t="shared" si="339"/>
        <v>2016-09</v>
      </c>
      <c r="K1686">
        <v>10511.02</v>
      </c>
      <c r="L1686">
        <f t="shared" si="346"/>
        <v>1.0085873983097593E-2</v>
      </c>
      <c r="M1686" t="str">
        <f t="shared" si="340"/>
        <v>2016-09</v>
      </c>
      <c r="O1686">
        <v>7969.7461800000001</v>
      </c>
      <c r="P1686">
        <f t="shared" si="347"/>
        <v>-3.892620931224305E-3</v>
      </c>
      <c r="Q1686" t="str">
        <f t="shared" si="341"/>
        <v>2016-09</v>
      </c>
      <c r="S1686">
        <v>8779.4</v>
      </c>
      <c r="T1686">
        <f t="shared" si="348"/>
        <v>-1.9231103408129649E-3</v>
      </c>
      <c r="U1686" t="str">
        <f t="shared" si="342"/>
        <v>2016-09</v>
      </c>
      <c r="W1686">
        <v>16401</v>
      </c>
      <c r="X1686">
        <f t="shared" si="349"/>
        <v>3.8008853392583392E-3</v>
      </c>
      <c r="Y1686">
        <f t="shared" si="350"/>
        <v>3.8081178643692699E-3</v>
      </c>
      <c r="Z1686" t="str">
        <f t="shared" si="343"/>
        <v>2016-09</v>
      </c>
    </row>
    <row r="1687" spans="1:26" x14ac:dyDescent="0.35">
      <c r="A1687" s="1">
        <v>42647</v>
      </c>
      <c r="C1687">
        <v>3029.5</v>
      </c>
      <c r="D1687">
        <f t="shared" si="344"/>
        <v>9.0389126850053472E-3</v>
      </c>
      <c r="E1687" t="str">
        <f t="shared" si="338"/>
        <v>2016-10</v>
      </c>
      <c r="G1687">
        <v>4503.09</v>
      </c>
      <c r="H1687">
        <f t="shared" si="345"/>
        <v>1.2250819317885844E-2</v>
      </c>
      <c r="I1687" t="str">
        <f t="shared" si="339"/>
        <v>2016-10</v>
      </c>
      <c r="K1687">
        <v>10619.61</v>
      </c>
      <c r="L1687">
        <f t="shared" si="346"/>
        <v>1.0278061367703911E-2</v>
      </c>
      <c r="M1687" t="str">
        <f t="shared" si="340"/>
        <v>2016-10</v>
      </c>
      <c r="O1687">
        <v>8048.8470799999996</v>
      </c>
      <c r="P1687">
        <f t="shared" si="347"/>
        <v>9.8762159287226568E-3</v>
      </c>
      <c r="Q1687" t="str">
        <f t="shared" si="341"/>
        <v>2016-10</v>
      </c>
      <c r="S1687">
        <v>8769</v>
      </c>
      <c r="T1687">
        <f t="shared" si="348"/>
        <v>-1.185293384878075E-3</v>
      </c>
      <c r="U1687" t="str">
        <f t="shared" si="342"/>
        <v>2016-10</v>
      </c>
      <c r="W1687">
        <v>16308.02</v>
      </c>
      <c r="X1687">
        <f t="shared" si="349"/>
        <v>-5.6852972327620308E-3</v>
      </c>
      <c r="Y1687">
        <f t="shared" si="350"/>
        <v>-5.6691665142369098E-3</v>
      </c>
      <c r="Z1687" t="str">
        <f t="shared" si="343"/>
        <v>2016-10</v>
      </c>
    </row>
    <row r="1688" spans="1:26" x14ac:dyDescent="0.35">
      <c r="A1688" s="1">
        <v>42648</v>
      </c>
      <c r="C1688">
        <v>3026.28</v>
      </c>
      <c r="D1688">
        <f t="shared" si="344"/>
        <v>-1.0634469229275387E-3</v>
      </c>
      <c r="E1688" t="str">
        <f t="shared" si="338"/>
        <v>2016-10</v>
      </c>
      <c r="G1688">
        <v>4489.95</v>
      </c>
      <c r="H1688">
        <f t="shared" si="345"/>
        <v>-2.9222619605555815E-3</v>
      </c>
      <c r="I1688" t="str">
        <f t="shared" si="339"/>
        <v>2016-10</v>
      </c>
      <c r="K1688">
        <v>10585.78</v>
      </c>
      <c r="L1688">
        <f t="shared" si="346"/>
        <v>-3.1907009209192136E-3</v>
      </c>
      <c r="M1688" t="str">
        <f t="shared" si="340"/>
        <v>2016-10</v>
      </c>
      <c r="O1688">
        <v>8004.8251399999999</v>
      </c>
      <c r="P1688">
        <f t="shared" si="347"/>
        <v>-5.4843589352473483E-3</v>
      </c>
      <c r="Q1688" t="str">
        <f t="shared" si="341"/>
        <v>2016-10</v>
      </c>
      <c r="S1688">
        <v>8778.2999999999993</v>
      </c>
      <c r="T1688">
        <f t="shared" si="348"/>
        <v>1.0599922347913728E-3</v>
      </c>
      <c r="U1688" t="str">
        <f t="shared" si="342"/>
        <v>2016-10</v>
      </c>
      <c r="W1688">
        <v>16476.580000000002</v>
      </c>
      <c r="X1688">
        <f t="shared" si="349"/>
        <v>1.0282967325130022E-2</v>
      </c>
      <c r="Y1688">
        <f t="shared" si="350"/>
        <v>1.0336018719623922E-2</v>
      </c>
      <c r="Z1688" t="str">
        <f t="shared" si="343"/>
        <v>2016-10</v>
      </c>
    </row>
    <row r="1689" spans="1:26" x14ac:dyDescent="0.35">
      <c r="A1689" s="1">
        <v>42649</v>
      </c>
      <c r="C1689">
        <v>3021.58</v>
      </c>
      <c r="D1689">
        <f t="shared" si="344"/>
        <v>-1.5542690955709215E-3</v>
      </c>
      <c r="E1689" t="str">
        <f t="shared" si="338"/>
        <v>2016-10</v>
      </c>
      <c r="G1689">
        <v>4480.1000000000004</v>
      </c>
      <c r="H1689">
        <f t="shared" si="345"/>
        <v>-2.1961982283518473E-3</v>
      </c>
      <c r="I1689" t="str">
        <f t="shared" si="339"/>
        <v>2016-10</v>
      </c>
      <c r="K1689">
        <v>10568.8</v>
      </c>
      <c r="L1689">
        <f t="shared" si="346"/>
        <v>-1.605326472712726E-3</v>
      </c>
      <c r="M1689" t="str">
        <f t="shared" si="340"/>
        <v>2016-10</v>
      </c>
      <c r="O1689">
        <v>7930.6956499999997</v>
      </c>
      <c r="P1689">
        <f t="shared" si="347"/>
        <v>-9.3037467297128387E-3</v>
      </c>
      <c r="Q1689" t="str">
        <f t="shared" si="341"/>
        <v>2016-10</v>
      </c>
      <c r="S1689">
        <v>8757.4</v>
      </c>
      <c r="T1689">
        <f t="shared" si="348"/>
        <v>-2.3837097915994075E-3</v>
      </c>
      <c r="U1689" t="str">
        <f t="shared" si="342"/>
        <v>2016-10</v>
      </c>
      <c r="W1689">
        <v>16491.62</v>
      </c>
      <c r="X1689">
        <f t="shared" si="349"/>
        <v>9.1239443120057586E-4</v>
      </c>
      <c r="Y1689">
        <f t="shared" si="350"/>
        <v>9.1281078961758042E-4</v>
      </c>
      <c r="Z1689" t="str">
        <f t="shared" si="343"/>
        <v>2016-10</v>
      </c>
    </row>
    <row r="1690" spans="1:26" x14ac:dyDescent="0.35">
      <c r="A1690" s="1">
        <v>42650</v>
      </c>
      <c r="C1690">
        <v>3000.57</v>
      </c>
      <c r="D1690">
        <f t="shared" si="344"/>
        <v>-6.9776027640123476E-3</v>
      </c>
      <c r="E1690" t="str">
        <f t="shared" si="338"/>
        <v>2016-10</v>
      </c>
      <c r="G1690">
        <v>4449.91</v>
      </c>
      <c r="H1690">
        <f t="shared" si="345"/>
        <v>-6.761496351820581E-3</v>
      </c>
      <c r="I1690" t="str">
        <f t="shared" si="339"/>
        <v>2016-10</v>
      </c>
      <c r="K1690">
        <v>10490.86</v>
      </c>
      <c r="L1690">
        <f t="shared" si="346"/>
        <v>-7.4018626934099878E-3</v>
      </c>
      <c r="M1690" t="str">
        <f t="shared" si="340"/>
        <v>2016-10</v>
      </c>
      <c r="O1690">
        <v>7859.3391300000003</v>
      </c>
      <c r="P1690">
        <f t="shared" si="347"/>
        <v>-9.0382328792802755E-3</v>
      </c>
      <c r="Q1690" t="str">
        <f t="shared" si="341"/>
        <v>2016-10</v>
      </c>
      <c r="S1690">
        <v>8624.2999999999993</v>
      </c>
      <c r="T1690">
        <f t="shared" si="348"/>
        <v>-1.5315257036880929E-2</v>
      </c>
      <c r="U1690" t="str">
        <f t="shared" si="342"/>
        <v>2016-10</v>
      </c>
      <c r="W1690">
        <v>16405.27</v>
      </c>
      <c r="X1690">
        <f t="shared" si="349"/>
        <v>-5.2497484300830441E-3</v>
      </c>
      <c r="Y1690">
        <f t="shared" si="350"/>
        <v>-5.2359925828995907E-3</v>
      </c>
      <c r="Z1690" t="str">
        <f t="shared" si="343"/>
        <v>2016-10</v>
      </c>
    </row>
    <row r="1691" spans="1:26" x14ac:dyDescent="0.35">
      <c r="A1691" s="1">
        <v>42653</v>
      </c>
      <c r="C1691">
        <v>3035.76</v>
      </c>
      <c r="D1691">
        <f t="shared" si="344"/>
        <v>1.1659534404863321E-2</v>
      </c>
      <c r="E1691" t="str">
        <f t="shared" si="338"/>
        <v>2016-10</v>
      </c>
      <c r="G1691">
        <v>4497.26</v>
      </c>
      <c r="H1691">
        <f t="shared" si="345"/>
        <v>1.0584451184738414E-2</v>
      </c>
      <c r="I1691" t="str">
        <f t="shared" si="339"/>
        <v>2016-10</v>
      </c>
      <c r="K1691">
        <v>10624.08</v>
      </c>
      <c r="L1691">
        <f t="shared" si="346"/>
        <v>1.2618720937611586E-2</v>
      </c>
      <c r="M1691" t="str">
        <f t="shared" si="340"/>
        <v>2016-10</v>
      </c>
      <c r="O1691">
        <v>7885.3326900000002</v>
      </c>
      <c r="P1691">
        <f t="shared" si="347"/>
        <v>3.3018895424868303E-3</v>
      </c>
      <c r="Q1691" t="str">
        <f t="shared" si="341"/>
        <v>2016-10</v>
      </c>
      <c r="S1691">
        <v>8701.5</v>
      </c>
      <c r="T1691">
        <f t="shared" si="348"/>
        <v>8.9116243885621251E-3</v>
      </c>
      <c r="U1691" t="str">
        <f t="shared" si="342"/>
        <v>2016-10</v>
      </c>
      <c r="W1691">
        <v>16632.45</v>
      </c>
      <c r="X1691">
        <f t="shared" si="349"/>
        <v>1.3752981792296412E-2</v>
      </c>
      <c r="Y1691">
        <f t="shared" si="350"/>
        <v>1.384798909131031E-2</v>
      </c>
      <c r="Z1691" t="str">
        <f t="shared" si="343"/>
        <v>2016-10</v>
      </c>
    </row>
    <row r="1692" spans="1:26" x14ac:dyDescent="0.35">
      <c r="A1692" s="1">
        <v>42654</v>
      </c>
      <c r="C1692">
        <v>3020.69</v>
      </c>
      <c r="D1692">
        <f t="shared" si="344"/>
        <v>-4.9765229141427048E-3</v>
      </c>
      <c r="E1692" t="str">
        <f t="shared" si="338"/>
        <v>2016-10</v>
      </c>
      <c r="G1692">
        <v>4471.74</v>
      </c>
      <c r="H1692">
        <f t="shared" si="345"/>
        <v>-5.6907278115176938E-3</v>
      </c>
      <c r="I1692" t="str">
        <f t="shared" si="339"/>
        <v>2016-10</v>
      </c>
      <c r="K1692">
        <v>10577.16</v>
      </c>
      <c r="L1692">
        <f t="shared" si="346"/>
        <v>-4.4261634319957823E-3</v>
      </c>
      <c r="M1692" t="str">
        <f t="shared" si="340"/>
        <v>2016-10</v>
      </c>
      <c r="O1692">
        <v>7766.5334800000001</v>
      </c>
      <c r="P1692">
        <f t="shared" si="347"/>
        <v>-1.5180489037342202E-2</v>
      </c>
      <c r="Q1692" t="str">
        <f t="shared" si="341"/>
        <v>2016-10</v>
      </c>
      <c r="S1692">
        <v>8693.2000000000007</v>
      </c>
      <c r="T1692">
        <f t="shared" si="348"/>
        <v>-9.5431374268143234E-4</v>
      </c>
      <c r="U1692" t="str">
        <f t="shared" si="342"/>
        <v>2016-10</v>
      </c>
      <c r="W1692">
        <v>16474.060000000001</v>
      </c>
      <c r="X1692">
        <f t="shared" si="349"/>
        <v>-9.5685838516217769E-3</v>
      </c>
      <c r="Y1692">
        <f t="shared" si="350"/>
        <v>-9.5229506176179347E-3</v>
      </c>
      <c r="Z1692" t="str">
        <f t="shared" si="343"/>
        <v>2016-10</v>
      </c>
    </row>
    <row r="1693" spans="1:26" x14ac:dyDescent="0.35">
      <c r="A1693" s="1">
        <v>42655</v>
      </c>
      <c r="C1693">
        <v>3008.03</v>
      </c>
      <c r="D1693">
        <f t="shared" si="344"/>
        <v>-4.1999026690016754E-3</v>
      </c>
      <c r="E1693" t="str">
        <f t="shared" si="338"/>
        <v>2016-10</v>
      </c>
      <c r="G1693">
        <v>4452.24</v>
      </c>
      <c r="H1693">
        <f t="shared" si="345"/>
        <v>-4.3702543116557096E-3</v>
      </c>
      <c r="I1693" t="str">
        <f t="shared" si="339"/>
        <v>2016-10</v>
      </c>
      <c r="K1693">
        <v>10523.07</v>
      </c>
      <c r="L1693">
        <f t="shared" si="346"/>
        <v>-5.1269695622528869E-3</v>
      </c>
      <c r="M1693" t="str">
        <f t="shared" si="340"/>
        <v>2016-10</v>
      </c>
      <c r="O1693">
        <v>7782.4502499999999</v>
      </c>
      <c r="P1693">
        <f t="shared" si="347"/>
        <v>2.0473075071579363E-3</v>
      </c>
      <c r="Q1693" t="str">
        <f t="shared" si="341"/>
        <v>2016-10</v>
      </c>
      <c r="S1693">
        <v>8686.5</v>
      </c>
      <c r="T1693">
        <f t="shared" si="348"/>
        <v>-7.7101449759311058E-4</v>
      </c>
      <c r="U1693" t="str">
        <f t="shared" si="342"/>
        <v>2016-10</v>
      </c>
      <c r="W1693">
        <v>16470.28</v>
      </c>
      <c r="X1693">
        <f t="shared" si="349"/>
        <v>-2.2947796292721663E-4</v>
      </c>
      <c r="Y1693">
        <f t="shared" si="350"/>
        <v>-2.2945163487339936E-4</v>
      </c>
      <c r="Z1693" t="str">
        <f t="shared" si="343"/>
        <v>2016-10</v>
      </c>
    </row>
    <row r="1694" spans="1:26" x14ac:dyDescent="0.35">
      <c r="A1694" s="1">
        <v>42656</v>
      </c>
      <c r="C1694">
        <v>2975.04</v>
      </c>
      <c r="D1694">
        <f t="shared" si="344"/>
        <v>-1.1027895156758651E-2</v>
      </c>
      <c r="E1694" t="str">
        <f t="shared" si="338"/>
        <v>2016-10</v>
      </c>
      <c r="G1694">
        <v>4405.17</v>
      </c>
      <c r="H1694">
        <f t="shared" si="345"/>
        <v>-1.0628489164106126E-2</v>
      </c>
      <c r="I1694" t="str">
        <f t="shared" si="339"/>
        <v>2016-10</v>
      </c>
      <c r="K1694">
        <v>10414.07</v>
      </c>
      <c r="L1694">
        <f t="shared" si="346"/>
        <v>-1.0412213393082905E-2</v>
      </c>
      <c r="M1694" t="str">
        <f t="shared" si="340"/>
        <v>2016-10</v>
      </c>
      <c r="O1694">
        <v>7741.8783700000004</v>
      </c>
      <c r="P1694">
        <f t="shared" si="347"/>
        <v>-5.2268891445117439E-3</v>
      </c>
      <c r="Q1694" t="str">
        <f t="shared" si="341"/>
        <v>2016-10</v>
      </c>
      <c r="S1694">
        <v>8608.7000000000007</v>
      </c>
      <c r="T1694">
        <f t="shared" si="348"/>
        <v>-8.9967765360539909E-3</v>
      </c>
      <c r="U1694" t="str">
        <f t="shared" si="342"/>
        <v>2016-10</v>
      </c>
      <c r="W1694">
        <v>16269.26</v>
      </c>
      <c r="X1694">
        <f t="shared" si="349"/>
        <v>-1.22801069387155E-2</v>
      </c>
      <c r="Y1694">
        <f t="shared" si="350"/>
        <v>-1.2205014122407066E-2</v>
      </c>
      <c r="Z1694" t="str">
        <f t="shared" si="343"/>
        <v>2016-10</v>
      </c>
    </row>
    <row r="1695" spans="1:26" x14ac:dyDescent="0.35">
      <c r="A1695" s="1">
        <v>42657</v>
      </c>
      <c r="C1695">
        <v>3025.19</v>
      </c>
      <c r="D1695">
        <f t="shared" si="344"/>
        <v>1.6716415142343882E-2</v>
      </c>
      <c r="E1695" t="str">
        <f t="shared" si="338"/>
        <v>2016-10</v>
      </c>
      <c r="G1695">
        <v>4470.92</v>
      </c>
      <c r="H1695">
        <f t="shared" si="345"/>
        <v>1.4815352850981614E-2</v>
      </c>
      <c r="I1695" t="str">
        <f t="shared" si="339"/>
        <v>2016-10</v>
      </c>
      <c r="K1695">
        <v>10580.38</v>
      </c>
      <c r="L1695">
        <f t="shared" si="346"/>
        <v>1.5843566170479016E-2</v>
      </c>
      <c r="M1695" t="str">
        <f t="shared" si="340"/>
        <v>2016-10</v>
      </c>
      <c r="O1695">
        <v>7787.3049899999996</v>
      </c>
      <c r="P1695">
        <f t="shared" si="347"/>
        <v>5.8505007662098853E-3</v>
      </c>
      <c r="Q1695" t="str">
        <f t="shared" si="341"/>
        <v>2016-10</v>
      </c>
      <c r="S1695">
        <v>8767.9</v>
      </c>
      <c r="T1695">
        <f t="shared" si="348"/>
        <v>1.8324005215368689E-2</v>
      </c>
      <c r="U1695" t="str">
        <f t="shared" si="342"/>
        <v>2016-10</v>
      </c>
      <c r="W1695">
        <v>16591.37</v>
      </c>
      <c r="X1695">
        <f t="shared" si="349"/>
        <v>1.960524294672435E-2</v>
      </c>
      <c r="Y1695">
        <f t="shared" si="350"/>
        <v>1.9798687832144717E-2</v>
      </c>
      <c r="Z1695" t="str">
        <f t="shared" si="343"/>
        <v>2016-10</v>
      </c>
    </row>
    <row r="1696" spans="1:26" x14ac:dyDescent="0.35">
      <c r="A1696" s="1">
        <v>42660</v>
      </c>
      <c r="C1696">
        <v>3008.72</v>
      </c>
      <c r="D1696">
        <f t="shared" si="344"/>
        <v>-5.4591602804205863E-3</v>
      </c>
      <c r="E1696" t="str">
        <f t="shared" si="338"/>
        <v>2016-10</v>
      </c>
      <c r="G1696">
        <v>4450.2299999999996</v>
      </c>
      <c r="H1696">
        <f t="shared" si="345"/>
        <v>-4.6384237672027111E-3</v>
      </c>
      <c r="I1696" t="str">
        <f t="shared" si="339"/>
        <v>2016-10</v>
      </c>
      <c r="K1696">
        <v>10503.57</v>
      </c>
      <c r="L1696">
        <f t="shared" si="346"/>
        <v>-7.2861432327805146E-3</v>
      </c>
      <c r="M1696" t="str">
        <f t="shared" si="340"/>
        <v>2016-10</v>
      </c>
      <c r="O1696">
        <v>7703.5010400000001</v>
      </c>
      <c r="P1696">
        <f t="shared" si="347"/>
        <v>-1.0819936344256676E-2</v>
      </c>
      <c r="Q1696" t="str">
        <f t="shared" si="341"/>
        <v>2016-10</v>
      </c>
      <c r="S1696">
        <v>8740.7000000000007</v>
      </c>
      <c r="T1696">
        <f t="shared" si="348"/>
        <v>-3.1070470376625683E-3</v>
      </c>
      <c r="U1696" t="str">
        <f t="shared" si="342"/>
        <v>2016-10</v>
      </c>
      <c r="W1696">
        <v>16630.34</v>
      </c>
      <c r="X1696">
        <f t="shared" si="349"/>
        <v>2.3460573145808227E-3</v>
      </c>
      <c r="Y1696">
        <f t="shared" si="350"/>
        <v>2.3488114604159373E-3</v>
      </c>
      <c r="Z1696" t="str">
        <f t="shared" si="343"/>
        <v>2016-10</v>
      </c>
    </row>
    <row r="1697" spans="1:26" x14ac:dyDescent="0.35">
      <c r="A1697" s="1">
        <v>42661</v>
      </c>
      <c r="C1697">
        <v>3046.99</v>
      </c>
      <c r="D1697">
        <f t="shared" si="344"/>
        <v>1.2639478934267761E-2</v>
      </c>
      <c r="E1697" t="str">
        <f t="shared" si="338"/>
        <v>2016-10</v>
      </c>
      <c r="G1697">
        <v>4508.91</v>
      </c>
      <c r="H1697">
        <f t="shared" si="345"/>
        <v>1.3099658924138407E-2</v>
      </c>
      <c r="I1697" t="str">
        <f t="shared" si="339"/>
        <v>2016-10</v>
      </c>
      <c r="K1697">
        <v>10631.55</v>
      </c>
      <c r="L1697">
        <f t="shared" si="346"/>
        <v>1.2110796082204641E-2</v>
      </c>
      <c r="M1697" t="str">
        <f t="shared" si="340"/>
        <v>2016-10</v>
      </c>
      <c r="O1697">
        <v>7830.00342</v>
      </c>
      <c r="P1697">
        <f t="shared" si="347"/>
        <v>1.628804074097218E-2</v>
      </c>
      <c r="Q1697" t="str">
        <f t="shared" si="341"/>
        <v>2016-10</v>
      </c>
      <c r="S1697">
        <v>8865.2999999999993</v>
      </c>
      <c r="T1697">
        <f t="shared" si="348"/>
        <v>1.4154501907656413E-2</v>
      </c>
      <c r="U1697" t="str">
        <f t="shared" si="342"/>
        <v>2016-10</v>
      </c>
      <c r="W1697">
        <v>16966.61</v>
      </c>
      <c r="X1697">
        <f t="shared" si="349"/>
        <v>2.0018557025873789E-2</v>
      </c>
      <c r="Y1697">
        <f t="shared" si="350"/>
        <v>2.0220272105080258E-2</v>
      </c>
      <c r="Z1697" t="str">
        <f t="shared" si="343"/>
        <v>2016-10</v>
      </c>
    </row>
    <row r="1698" spans="1:26" x14ac:dyDescent="0.35">
      <c r="A1698" s="1">
        <v>42662</v>
      </c>
      <c r="C1698">
        <v>3055.94</v>
      </c>
      <c r="D1698">
        <f t="shared" si="344"/>
        <v>2.9330195221337917E-3</v>
      </c>
      <c r="E1698" t="str">
        <f t="shared" si="338"/>
        <v>2016-10</v>
      </c>
      <c r="G1698">
        <v>4520.3</v>
      </c>
      <c r="H1698">
        <f t="shared" si="345"/>
        <v>2.5229241631515545E-3</v>
      </c>
      <c r="I1698" t="str">
        <f t="shared" si="339"/>
        <v>2016-10</v>
      </c>
      <c r="K1698">
        <v>10645.68</v>
      </c>
      <c r="L1698">
        <f t="shared" si="346"/>
        <v>1.3281806021918066E-3</v>
      </c>
      <c r="M1698" t="str">
        <f t="shared" si="340"/>
        <v>2016-10</v>
      </c>
      <c r="O1698">
        <v>7859.3262100000002</v>
      </c>
      <c r="P1698">
        <f t="shared" si="347"/>
        <v>3.7379320638094272E-3</v>
      </c>
      <c r="Q1698" t="str">
        <f t="shared" si="341"/>
        <v>2016-10</v>
      </c>
      <c r="S1698">
        <v>8950.1</v>
      </c>
      <c r="T1698">
        <f t="shared" si="348"/>
        <v>9.5199255075762192E-3</v>
      </c>
      <c r="U1698" t="str">
        <f t="shared" si="342"/>
        <v>2016-10</v>
      </c>
      <c r="W1698">
        <v>17044.34</v>
      </c>
      <c r="X1698">
        <f t="shared" si="349"/>
        <v>4.5708888069588205E-3</v>
      </c>
      <c r="Y1698">
        <f t="shared" si="350"/>
        <v>4.5813512540218444E-3</v>
      </c>
      <c r="Z1698" t="str">
        <f t="shared" si="343"/>
        <v>2016-10</v>
      </c>
    </row>
    <row r="1699" spans="1:26" x14ac:dyDescent="0.35">
      <c r="A1699" s="1">
        <v>42663</v>
      </c>
      <c r="C1699">
        <v>3076.63</v>
      </c>
      <c r="D1699">
        <f t="shared" si="344"/>
        <v>6.7476045121494565E-3</v>
      </c>
      <c r="E1699" t="str">
        <f t="shared" si="338"/>
        <v>2016-10</v>
      </c>
      <c r="G1699">
        <v>4540.12</v>
      </c>
      <c r="H1699">
        <f t="shared" si="345"/>
        <v>4.3750800989534201E-3</v>
      </c>
      <c r="I1699" t="str">
        <f t="shared" si="339"/>
        <v>2016-10</v>
      </c>
      <c r="K1699">
        <v>10701.39</v>
      </c>
      <c r="L1699">
        <f t="shared" si="346"/>
        <v>5.2194635118203887E-3</v>
      </c>
      <c r="M1699" t="str">
        <f t="shared" si="340"/>
        <v>2016-10</v>
      </c>
      <c r="O1699">
        <v>7880.1435000000001</v>
      </c>
      <c r="P1699">
        <f t="shared" si="347"/>
        <v>2.6452355158392148E-3</v>
      </c>
      <c r="Q1699" t="str">
        <f t="shared" si="341"/>
        <v>2016-10</v>
      </c>
      <c r="S1699">
        <v>9061.2000000000007</v>
      </c>
      <c r="T1699">
        <f t="shared" si="348"/>
        <v>1.233685620654109E-2</v>
      </c>
      <c r="U1699" t="str">
        <f t="shared" si="342"/>
        <v>2016-10</v>
      </c>
      <c r="W1699">
        <v>17141.38</v>
      </c>
      <c r="X1699">
        <f t="shared" si="349"/>
        <v>5.6772395398786623E-3</v>
      </c>
      <c r="Y1699">
        <f t="shared" si="350"/>
        <v>5.6933856048401333E-3</v>
      </c>
      <c r="Z1699" t="str">
        <f t="shared" si="343"/>
        <v>2016-10</v>
      </c>
    </row>
    <row r="1700" spans="1:26" x14ac:dyDescent="0.35">
      <c r="A1700" s="1">
        <v>42664</v>
      </c>
      <c r="C1700">
        <v>3077.65</v>
      </c>
      <c r="D1700">
        <f t="shared" si="344"/>
        <v>3.3147663393253888E-4</v>
      </c>
      <c r="E1700" t="str">
        <f t="shared" si="338"/>
        <v>2016-10</v>
      </c>
      <c r="G1700">
        <v>4536.07</v>
      </c>
      <c r="H1700">
        <f t="shared" si="345"/>
        <v>-8.9244501686386595E-4</v>
      </c>
      <c r="I1700" t="str">
        <f t="shared" si="339"/>
        <v>2016-10</v>
      </c>
      <c r="K1700">
        <v>10710.73</v>
      </c>
      <c r="L1700">
        <f t="shared" si="346"/>
        <v>8.7240316160931784E-4</v>
      </c>
      <c r="M1700" t="str">
        <f t="shared" si="340"/>
        <v>2016-10</v>
      </c>
      <c r="O1700">
        <v>7900.4498199999998</v>
      </c>
      <c r="P1700">
        <f t="shared" si="347"/>
        <v>2.5735827286309486E-3</v>
      </c>
      <c r="Q1700" t="str">
        <f t="shared" si="341"/>
        <v>2016-10</v>
      </c>
      <c r="S1700">
        <v>9100.4</v>
      </c>
      <c r="T1700">
        <f t="shared" si="348"/>
        <v>4.3168069854784838E-3</v>
      </c>
      <c r="U1700" t="str">
        <f t="shared" si="342"/>
        <v>2016-10</v>
      </c>
      <c r="W1700">
        <v>17166.759999999998</v>
      </c>
      <c r="X1700">
        <f t="shared" si="349"/>
        <v>1.47953253249914E-3</v>
      </c>
      <c r="Y1700">
        <f t="shared" si="350"/>
        <v>1.4806275807430545E-3</v>
      </c>
      <c r="Z1700" t="str">
        <f t="shared" si="343"/>
        <v>2016-10</v>
      </c>
    </row>
    <row r="1701" spans="1:26" x14ac:dyDescent="0.35">
      <c r="A1701" s="1">
        <v>42667</v>
      </c>
      <c r="C1701">
        <v>3093.86</v>
      </c>
      <c r="D1701">
        <f t="shared" si="344"/>
        <v>5.2531835085722249E-3</v>
      </c>
      <c r="E1701" t="str">
        <f t="shared" si="338"/>
        <v>2016-10</v>
      </c>
      <c r="G1701">
        <v>4552.58</v>
      </c>
      <c r="H1701">
        <f t="shared" si="345"/>
        <v>3.6331068223026163E-3</v>
      </c>
      <c r="I1701" t="str">
        <f t="shared" si="339"/>
        <v>2016-10</v>
      </c>
      <c r="K1701">
        <v>10761.17</v>
      </c>
      <c r="L1701">
        <f t="shared" si="346"/>
        <v>4.698242147379455E-3</v>
      </c>
      <c r="M1701" t="str">
        <f t="shared" si="340"/>
        <v>2016-10</v>
      </c>
      <c r="O1701">
        <v>7842.5198</v>
      </c>
      <c r="P1701">
        <f t="shared" si="347"/>
        <v>-7.3595113078637328E-3</v>
      </c>
      <c r="Q1701" t="str">
        <f t="shared" si="341"/>
        <v>2016-10</v>
      </c>
      <c r="S1701">
        <v>9216.2000000000007</v>
      </c>
      <c r="T1701">
        <f t="shared" si="348"/>
        <v>1.2644436506230865E-2</v>
      </c>
      <c r="U1701" t="str">
        <f t="shared" si="342"/>
        <v>2016-10</v>
      </c>
      <c r="W1701">
        <v>17305.77</v>
      </c>
      <c r="X1701">
        <f t="shared" si="349"/>
        <v>8.0650160278530354E-3</v>
      </c>
      <c r="Y1701">
        <f t="shared" si="350"/>
        <v>8.0976258769856427E-3</v>
      </c>
      <c r="Z1701" t="str">
        <f t="shared" si="343"/>
        <v>2016-10</v>
      </c>
    </row>
    <row r="1702" spans="1:26" x14ac:dyDescent="0.35">
      <c r="A1702" s="1">
        <v>42668</v>
      </c>
      <c r="C1702">
        <v>3087.41</v>
      </c>
      <c r="D1702">
        <f t="shared" si="344"/>
        <v>-2.0869505266741233E-3</v>
      </c>
      <c r="E1702" t="str">
        <f t="shared" si="338"/>
        <v>2016-10</v>
      </c>
      <c r="G1702">
        <v>4540.84</v>
      </c>
      <c r="H1702">
        <f t="shared" si="345"/>
        <v>-2.582088262221081E-3</v>
      </c>
      <c r="I1702" t="str">
        <f t="shared" si="339"/>
        <v>2016-10</v>
      </c>
      <c r="K1702">
        <v>10757.31</v>
      </c>
      <c r="L1702">
        <f t="shared" si="346"/>
        <v>-3.5876140335213758E-4</v>
      </c>
      <c r="M1702" t="str">
        <f t="shared" si="340"/>
        <v>2016-10</v>
      </c>
      <c r="O1702">
        <v>7859.8083500000002</v>
      </c>
      <c r="P1702">
        <f t="shared" si="347"/>
        <v>2.202037407550924E-3</v>
      </c>
      <c r="Q1702" t="str">
        <f t="shared" si="341"/>
        <v>2016-10</v>
      </c>
      <c r="S1702">
        <v>9139.7000000000007</v>
      </c>
      <c r="T1702">
        <f t="shared" si="348"/>
        <v>-8.3352429366840199E-3</v>
      </c>
      <c r="U1702" t="str">
        <f t="shared" si="342"/>
        <v>2016-10</v>
      </c>
      <c r="W1702">
        <v>17230.03</v>
      </c>
      <c r="X1702">
        <f t="shared" si="349"/>
        <v>-4.386180220376977E-3</v>
      </c>
      <c r="Y1702">
        <f t="shared" si="350"/>
        <v>-4.3765749804834803E-3</v>
      </c>
      <c r="Z1702" t="str">
        <f t="shared" si="343"/>
        <v>2016-10</v>
      </c>
    </row>
    <row r="1703" spans="1:26" x14ac:dyDescent="0.35">
      <c r="A1703" s="1">
        <v>42669</v>
      </c>
      <c r="C1703">
        <v>3080.98</v>
      </c>
      <c r="D1703">
        <f t="shared" si="344"/>
        <v>-2.0848235370959432E-3</v>
      </c>
      <c r="E1703" t="str">
        <f t="shared" si="338"/>
        <v>2016-10</v>
      </c>
      <c r="G1703">
        <v>4534.59</v>
      </c>
      <c r="H1703">
        <f t="shared" si="345"/>
        <v>-1.3773454234262236E-3</v>
      </c>
      <c r="I1703" t="str">
        <f t="shared" si="339"/>
        <v>2016-10</v>
      </c>
      <c r="K1703">
        <v>10709.68</v>
      </c>
      <c r="L1703">
        <f t="shared" si="346"/>
        <v>-4.4375180832602395E-3</v>
      </c>
      <c r="M1703" t="str">
        <f t="shared" si="340"/>
        <v>2016-10</v>
      </c>
      <c r="O1703">
        <v>7795.9685099999997</v>
      </c>
      <c r="P1703">
        <f t="shared" si="347"/>
        <v>-8.1554808059335713E-3</v>
      </c>
      <c r="Q1703" t="str">
        <f t="shared" si="341"/>
        <v>2016-10</v>
      </c>
      <c r="S1703">
        <v>9173.2999999999993</v>
      </c>
      <c r="T1703">
        <f t="shared" si="348"/>
        <v>3.6695284992323599E-3</v>
      </c>
      <c r="U1703" t="str">
        <f t="shared" si="342"/>
        <v>2016-10</v>
      </c>
      <c r="W1703">
        <v>17280.740000000002</v>
      </c>
      <c r="X1703">
        <f t="shared" si="349"/>
        <v>2.9387948455784386E-3</v>
      </c>
      <c r="Y1703">
        <f t="shared" si="350"/>
        <v>2.9431173364180309E-3</v>
      </c>
      <c r="Z1703" t="str">
        <f t="shared" si="343"/>
        <v>2016-10</v>
      </c>
    </row>
    <row r="1704" spans="1:26" x14ac:dyDescent="0.35">
      <c r="A1704" s="1">
        <v>42670</v>
      </c>
      <c r="C1704">
        <v>3085.17</v>
      </c>
      <c r="D1704">
        <f t="shared" si="344"/>
        <v>1.3590329930022133E-3</v>
      </c>
      <c r="E1704" t="str">
        <f t="shared" si="338"/>
        <v>2016-10</v>
      </c>
      <c r="G1704">
        <v>4533.57</v>
      </c>
      <c r="H1704">
        <f t="shared" si="345"/>
        <v>-2.2496294822807629E-4</v>
      </c>
      <c r="I1704" t="str">
        <f t="shared" si="339"/>
        <v>2016-10</v>
      </c>
      <c r="K1704">
        <v>10717.08</v>
      </c>
      <c r="L1704">
        <f t="shared" si="346"/>
        <v>6.907250834200893E-4</v>
      </c>
      <c r="M1704" t="str">
        <f t="shared" si="340"/>
        <v>2016-10</v>
      </c>
      <c r="O1704">
        <v>7806.33097</v>
      </c>
      <c r="P1704">
        <f t="shared" si="347"/>
        <v>1.3283249096648644E-3</v>
      </c>
      <c r="Q1704" t="str">
        <f t="shared" si="341"/>
        <v>2016-10</v>
      </c>
      <c r="S1704">
        <v>9197.2000000000007</v>
      </c>
      <c r="T1704">
        <f t="shared" si="348"/>
        <v>2.6019992362080655E-3</v>
      </c>
      <c r="U1704" t="str">
        <f t="shared" si="342"/>
        <v>2016-10</v>
      </c>
      <c r="W1704">
        <v>17426.46</v>
      </c>
      <c r="X1704">
        <f t="shared" si="349"/>
        <v>8.397154264944218E-3</v>
      </c>
      <c r="Y1704">
        <f t="shared" si="350"/>
        <v>8.4325092559692193E-3</v>
      </c>
      <c r="Z1704" t="str">
        <f t="shared" si="343"/>
        <v>2016-10</v>
      </c>
    </row>
    <row r="1705" spans="1:26" x14ac:dyDescent="0.35">
      <c r="A1705" s="1">
        <v>42671</v>
      </c>
      <c r="C1705">
        <v>3079.24</v>
      </c>
      <c r="D1705">
        <f t="shared" si="344"/>
        <v>-1.9239478974291306E-3</v>
      </c>
      <c r="E1705" t="str">
        <f t="shared" si="338"/>
        <v>2016-10</v>
      </c>
      <c r="G1705">
        <v>4548.58</v>
      </c>
      <c r="H1705">
        <f t="shared" si="345"/>
        <v>3.305387747634103E-3</v>
      </c>
      <c r="I1705" t="str">
        <f t="shared" si="339"/>
        <v>2016-10</v>
      </c>
      <c r="K1705">
        <v>10696.19</v>
      </c>
      <c r="L1705">
        <f t="shared" si="346"/>
        <v>-1.9511271867559481E-3</v>
      </c>
      <c r="M1705" t="str">
        <f t="shared" si="340"/>
        <v>2016-10</v>
      </c>
      <c r="O1705">
        <v>7777.10401</v>
      </c>
      <c r="P1705">
        <f t="shared" si="347"/>
        <v>-3.7510336208582754E-3</v>
      </c>
      <c r="Q1705" t="str">
        <f t="shared" si="341"/>
        <v>2016-10</v>
      </c>
      <c r="S1705">
        <v>9201.2999999999993</v>
      </c>
      <c r="T1705">
        <f t="shared" si="348"/>
        <v>4.4568851459258102E-4</v>
      </c>
      <c r="U1705" t="str">
        <f t="shared" si="342"/>
        <v>2016-10</v>
      </c>
      <c r="W1705">
        <v>17324.23</v>
      </c>
      <c r="X1705">
        <f t="shared" si="349"/>
        <v>-5.8836411541646691E-3</v>
      </c>
      <c r="Y1705">
        <f t="shared" si="350"/>
        <v>-5.8663664335728291E-3</v>
      </c>
      <c r="Z1705" t="str">
        <f t="shared" si="343"/>
        <v>2016-10</v>
      </c>
    </row>
    <row r="1706" spans="1:26" x14ac:dyDescent="0.35">
      <c r="A1706" s="1">
        <v>42674</v>
      </c>
      <c r="C1706">
        <v>3055.25</v>
      </c>
      <c r="D1706">
        <f t="shared" si="344"/>
        <v>-7.8213909541655739E-3</v>
      </c>
      <c r="E1706" t="str">
        <f t="shared" si="338"/>
        <v>2016-10</v>
      </c>
      <c r="G1706">
        <v>4509.26</v>
      </c>
      <c r="H1706">
        <f t="shared" si="345"/>
        <v>-8.682036111800082E-3</v>
      </c>
      <c r="I1706" t="str">
        <f t="shared" si="339"/>
        <v>2016-10</v>
      </c>
      <c r="K1706">
        <v>10665.01</v>
      </c>
      <c r="L1706">
        <f t="shared" si="346"/>
        <v>-2.9193137224513325E-3</v>
      </c>
      <c r="M1706" t="str">
        <f t="shared" si="340"/>
        <v>2016-10</v>
      </c>
      <c r="O1706">
        <v>7756.6544000000004</v>
      </c>
      <c r="P1706">
        <f t="shared" si="347"/>
        <v>-2.6329264655494964E-3</v>
      </c>
      <c r="Q1706" t="str">
        <f t="shared" si="341"/>
        <v>2016-10</v>
      </c>
      <c r="S1706">
        <v>9143.2999999999993</v>
      </c>
      <c r="T1706">
        <f t="shared" si="348"/>
        <v>-6.323407789000997E-3</v>
      </c>
      <c r="U1706" t="str">
        <f t="shared" si="342"/>
        <v>2016-10</v>
      </c>
      <c r="W1706">
        <v>17125.05</v>
      </c>
      <c r="X1706">
        <f t="shared" si="349"/>
        <v>-1.156379579178309E-2</v>
      </c>
      <c r="Y1706">
        <f t="shared" si="350"/>
        <v>-1.1497192082995914E-2</v>
      </c>
      <c r="Z1706" t="str">
        <f t="shared" si="343"/>
        <v>2016-10</v>
      </c>
    </row>
    <row r="1707" spans="1:26" x14ac:dyDescent="0.35">
      <c r="A1707" s="1">
        <v>42675</v>
      </c>
      <c r="C1707">
        <v>3023.15</v>
      </c>
      <c r="D1707">
        <f t="shared" si="344"/>
        <v>-1.0562088186467089E-2</v>
      </c>
      <c r="E1707" t="str">
        <f t="shared" si="338"/>
        <v>2016-11</v>
      </c>
      <c r="G1707">
        <v>4470.28</v>
      </c>
      <c r="H1707">
        <f t="shared" si="345"/>
        <v>-8.6820137446891044E-3</v>
      </c>
      <c r="I1707" t="str">
        <f t="shared" si="339"/>
        <v>2016-11</v>
      </c>
      <c r="K1707">
        <v>10526.16</v>
      </c>
      <c r="L1707">
        <f t="shared" si="346"/>
        <v>-1.31047022973065E-2</v>
      </c>
      <c r="M1707" t="str">
        <f t="shared" si="340"/>
        <v>2016-11</v>
      </c>
      <c r="O1707">
        <v>7655.4020499999997</v>
      </c>
      <c r="P1707">
        <f t="shared" si="347"/>
        <v>-1.3139558251104581E-2</v>
      </c>
      <c r="Q1707" t="str">
        <f t="shared" si="341"/>
        <v>2016-11</v>
      </c>
      <c r="S1707">
        <v>9040.7000000000007</v>
      </c>
      <c r="T1707">
        <f t="shared" si="348"/>
        <v>-1.1284765596725546E-2</v>
      </c>
      <c r="U1707" t="str">
        <f t="shared" si="342"/>
        <v>2016-11</v>
      </c>
      <c r="W1707">
        <v>16898.28</v>
      </c>
      <c r="X1707">
        <f t="shared" si="349"/>
        <v>-1.3330462250398922E-2</v>
      </c>
      <c r="Y1707">
        <f t="shared" si="350"/>
        <v>-1.3242005132831755E-2</v>
      </c>
      <c r="Z1707" t="str">
        <f t="shared" si="343"/>
        <v>2016-11</v>
      </c>
    </row>
    <row r="1708" spans="1:26" x14ac:dyDescent="0.35">
      <c r="A1708" s="1">
        <v>42676</v>
      </c>
      <c r="C1708">
        <v>2980.17</v>
      </c>
      <c r="D1708">
        <f t="shared" si="344"/>
        <v>-1.4318988279443903E-2</v>
      </c>
      <c r="E1708" t="str">
        <f t="shared" si="338"/>
        <v>2016-11</v>
      </c>
      <c r="G1708">
        <v>4414.67</v>
      </c>
      <c r="H1708">
        <f t="shared" si="345"/>
        <v>-1.2517960409215146E-2</v>
      </c>
      <c r="I1708" t="str">
        <f t="shared" si="339"/>
        <v>2016-11</v>
      </c>
      <c r="K1708">
        <v>10370.93</v>
      </c>
      <c r="L1708">
        <f t="shared" si="346"/>
        <v>-1.4856887277460011E-2</v>
      </c>
      <c r="M1708" t="str">
        <f t="shared" si="340"/>
        <v>2016-11</v>
      </c>
      <c r="O1708">
        <v>7583.6152899999997</v>
      </c>
      <c r="P1708">
        <f t="shared" si="347"/>
        <v>-9.4215118218603025E-3</v>
      </c>
      <c r="Q1708" t="str">
        <f t="shared" si="341"/>
        <v>2016-11</v>
      </c>
      <c r="S1708">
        <v>8873.4</v>
      </c>
      <c r="T1708">
        <f t="shared" si="348"/>
        <v>-1.8678567615933818E-2</v>
      </c>
      <c r="U1708" t="str">
        <f t="shared" si="342"/>
        <v>2016-11</v>
      </c>
      <c r="W1708">
        <v>16474.52</v>
      </c>
      <c r="X1708">
        <f t="shared" si="349"/>
        <v>-2.5396896690630614E-2</v>
      </c>
      <c r="Y1708">
        <f t="shared" si="350"/>
        <v>-2.5077108439438715E-2</v>
      </c>
      <c r="Z1708" t="str">
        <f t="shared" si="343"/>
        <v>2016-11</v>
      </c>
    </row>
    <row r="1709" spans="1:26" x14ac:dyDescent="0.35">
      <c r="A1709" s="1">
        <v>42677</v>
      </c>
      <c r="C1709">
        <v>2973.49</v>
      </c>
      <c r="D1709">
        <f t="shared" si="344"/>
        <v>-2.2439987513939272E-3</v>
      </c>
      <c r="E1709" t="str">
        <f t="shared" si="338"/>
        <v>2016-11</v>
      </c>
      <c r="G1709">
        <v>4411.68</v>
      </c>
      <c r="H1709">
        <f t="shared" si="345"/>
        <v>-6.7751677972761675E-4</v>
      </c>
      <c r="I1709" t="str">
        <f t="shared" si="339"/>
        <v>2016-11</v>
      </c>
      <c r="K1709">
        <v>10325.879999999999</v>
      </c>
      <c r="L1709">
        <f t="shared" si="346"/>
        <v>-4.3533347551778226E-3</v>
      </c>
      <c r="M1709" t="str">
        <f t="shared" si="340"/>
        <v>2016-11</v>
      </c>
      <c r="O1709">
        <v>7605.6400599999997</v>
      </c>
      <c r="P1709">
        <f t="shared" si="347"/>
        <v>2.9000480838189883E-3</v>
      </c>
      <c r="Q1709" t="str">
        <f t="shared" si="341"/>
        <v>2016-11</v>
      </c>
      <c r="S1709">
        <v>8879.9</v>
      </c>
      <c r="T1709">
        <f t="shared" si="348"/>
        <v>7.3225826076752851E-4</v>
      </c>
      <c r="U1709" t="str">
        <f t="shared" si="342"/>
        <v>2016-11</v>
      </c>
      <c r="W1709">
        <v>16419.900000000001</v>
      </c>
      <c r="X1709">
        <f t="shared" si="349"/>
        <v>-3.3209310392718584E-3</v>
      </c>
      <c r="Y1709">
        <f t="shared" si="350"/>
        <v>-3.3154228469174812E-3</v>
      </c>
      <c r="Z1709" t="str">
        <f t="shared" si="343"/>
        <v>2016-11</v>
      </c>
    </row>
    <row r="1710" spans="1:26" x14ac:dyDescent="0.35">
      <c r="A1710" s="1">
        <v>42678</v>
      </c>
      <c r="C1710">
        <v>2954.53</v>
      </c>
      <c r="D1710">
        <f t="shared" si="344"/>
        <v>-6.3967613642578478E-3</v>
      </c>
      <c r="E1710" t="str">
        <f t="shared" si="338"/>
        <v>2016-11</v>
      </c>
      <c r="G1710">
        <v>4377.46</v>
      </c>
      <c r="H1710">
        <f t="shared" si="345"/>
        <v>-7.7869217952874483E-3</v>
      </c>
      <c r="I1710" t="str">
        <f t="shared" si="339"/>
        <v>2016-11</v>
      </c>
      <c r="K1710">
        <v>10259.129999999999</v>
      </c>
      <c r="L1710">
        <f t="shared" si="346"/>
        <v>-6.4853244137779032E-3</v>
      </c>
      <c r="M1710" t="str">
        <f t="shared" si="340"/>
        <v>2016-11</v>
      </c>
      <c r="O1710">
        <v>7527.2829499999998</v>
      </c>
      <c r="P1710">
        <f t="shared" si="347"/>
        <v>-1.0355938536661245E-2</v>
      </c>
      <c r="Q1710" t="str">
        <f t="shared" si="341"/>
        <v>2016-11</v>
      </c>
      <c r="S1710">
        <v>8791.6</v>
      </c>
      <c r="T1710">
        <f t="shared" si="348"/>
        <v>-9.9935755184271963E-3</v>
      </c>
      <c r="U1710" t="str">
        <f t="shared" si="342"/>
        <v>2016-11</v>
      </c>
      <c r="W1710">
        <v>16318.6</v>
      </c>
      <c r="X1710">
        <f t="shared" si="349"/>
        <v>-6.1884523292035452E-3</v>
      </c>
      <c r="Y1710">
        <f t="shared" si="350"/>
        <v>-6.1693432968532745E-3</v>
      </c>
      <c r="Z1710" t="str">
        <f t="shared" si="343"/>
        <v>2016-11</v>
      </c>
    </row>
    <row r="1711" spans="1:26" x14ac:dyDescent="0.35">
      <c r="A1711" s="1">
        <v>42681</v>
      </c>
      <c r="C1711">
        <v>3009.28</v>
      </c>
      <c r="D1711">
        <f t="shared" si="344"/>
        <v>1.8361261735048349E-2</v>
      </c>
      <c r="E1711" t="str">
        <f t="shared" si="338"/>
        <v>2016-11</v>
      </c>
      <c r="G1711">
        <v>4461.21</v>
      </c>
      <c r="H1711">
        <f t="shared" si="345"/>
        <v>1.8951382184606905E-2</v>
      </c>
      <c r="I1711" t="str">
        <f t="shared" si="339"/>
        <v>2016-11</v>
      </c>
      <c r="K1711">
        <v>10456.950000000001</v>
      </c>
      <c r="L1711">
        <f t="shared" si="346"/>
        <v>1.9098788293275097E-2</v>
      </c>
      <c r="M1711" t="str">
        <f t="shared" si="340"/>
        <v>2016-11</v>
      </c>
      <c r="O1711">
        <v>7645.8197600000003</v>
      </c>
      <c r="P1711">
        <f t="shared" si="347"/>
        <v>1.5624915202539374E-2</v>
      </c>
      <c r="Q1711" t="str">
        <f t="shared" si="341"/>
        <v>2016-11</v>
      </c>
      <c r="S1711">
        <v>8918.7999999999993</v>
      </c>
      <c r="T1711">
        <f t="shared" si="348"/>
        <v>1.436468823309677E-2</v>
      </c>
      <c r="U1711" t="str">
        <f t="shared" si="342"/>
        <v>2016-11</v>
      </c>
      <c r="W1711">
        <v>16736.75</v>
      </c>
      <c r="X1711">
        <f t="shared" si="349"/>
        <v>2.5301338911389176E-2</v>
      </c>
      <c r="Y1711">
        <f t="shared" si="350"/>
        <v>2.5624134423296092E-2</v>
      </c>
      <c r="Z1711" t="str">
        <f t="shared" si="343"/>
        <v>2016-11</v>
      </c>
    </row>
    <row r="1712" spans="1:26" x14ac:dyDescent="0.35">
      <c r="A1712" s="1">
        <v>42682</v>
      </c>
      <c r="C1712">
        <v>3023.43</v>
      </c>
      <c r="D1712">
        <f t="shared" si="344"/>
        <v>4.6911009974744027E-3</v>
      </c>
      <c r="E1712" t="str">
        <f t="shared" si="338"/>
        <v>2016-11</v>
      </c>
      <c r="G1712">
        <v>4476.8900000000003</v>
      </c>
      <c r="H1712">
        <f t="shared" si="345"/>
        <v>3.5085792473191933E-3</v>
      </c>
      <c r="I1712" t="str">
        <f t="shared" si="339"/>
        <v>2016-11</v>
      </c>
      <c r="K1712">
        <v>10482.32</v>
      </c>
      <c r="L1712">
        <f t="shared" si="346"/>
        <v>2.4231993201447033E-3</v>
      </c>
      <c r="M1712" t="str">
        <f t="shared" si="340"/>
        <v>2016-11</v>
      </c>
      <c r="O1712">
        <v>7691.77</v>
      </c>
      <c r="P1712">
        <f t="shared" si="347"/>
        <v>5.9918641971877622E-3</v>
      </c>
      <c r="Q1712" t="str">
        <f t="shared" si="341"/>
        <v>2016-11</v>
      </c>
      <c r="S1712">
        <v>8937</v>
      </c>
      <c r="T1712">
        <f t="shared" si="348"/>
        <v>2.0385540051764974E-3</v>
      </c>
      <c r="U1712" t="str">
        <f t="shared" si="342"/>
        <v>2016-11</v>
      </c>
      <c r="W1712">
        <v>16817.41</v>
      </c>
      <c r="X1712">
        <f t="shared" si="349"/>
        <v>4.8077588810574124E-3</v>
      </c>
      <c r="Y1712">
        <f t="shared" si="350"/>
        <v>4.8193346975965974E-3</v>
      </c>
      <c r="Z1712" t="str">
        <f t="shared" si="343"/>
        <v>2016-11</v>
      </c>
    </row>
    <row r="1713" spans="1:26" x14ac:dyDescent="0.35">
      <c r="A1713" s="1">
        <v>42683</v>
      </c>
      <c r="C1713">
        <v>3056.29</v>
      </c>
      <c r="D1713">
        <f t="shared" si="344"/>
        <v>1.0809813603026368E-2</v>
      </c>
      <c r="E1713" t="str">
        <f t="shared" si="338"/>
        <v>2016-11</v>
      </c>
      <c r="G1713">
        <v>4543.4799999999996</v>
      </c>
      <c r="H1713">
        <f t="shared" si="345"/>
        <v>1.4764629318351751E-2</v>
      </c>
      <c r="I1713" t="str">
        <f t="shared" si="339"/>
        <v>2016-11</v>
      </c>
      <c r="K1713">
        <v>10646.01</v>
      </c>
      <c r="L1713">
        <f t="shared" si="346"/>
        <v>1.5495145630977782E-2</v>
      </c>
      <c r="M1713" t="str">
        <f t="shared" si="340"/>
        <v>2016-11</v>
      </c>
      <c r="O1713">
        <v>7845.7187400000003</v>
      </c>
      <c r="P1713">
        <f t="shared" si="347"/>
        <v>1.9817073495747226E-2</v>
      </c>
      <c r="Q1713" t="str">
        <f t="shared" si="341"/>
        <v>2016-11</v>
      </c>
      <c r="S1713">
        <v>8901.5</v>
      </c>
      <c r="T1713">
        <f t="shared" si="348"/>
        <v>-3.9801605364746381E-3</v>
      </c>
      <c r="U1713" t="str">
        <f t="shared" si="342"/>
        <v>2016-11</v>
      </c>
      <c r="W1713">
        <v>16799.849999999999</v>
      </c>
      <c r="X1713">
        <f t="shared" si="349"/>
        <v>-1.0447015370725857E-3</v>
      </c>
      <c r="Y1713">
        <f t="shared" si="350"/>
        <v>-1.044156026403668E-3</v>
      </c>
      <c r="Z1713" t="str">
        <f t="shared" si="343"/>
        <v>2016-11</v>
      </c>
    </row>
    <row r="1714" spans="1:26" x14ac:dyDescent="0.35">
      <c r="A1714" s="1">
        <v>42684</v>
      </c>
      <c r="C1714">
        <v>3046.59</v>
      </c>
      <c r="D1714">
        <f t="shared" si="344"/>
        <v>-3.1788297224172851E-3</v>
      </c>
      <c r="E1714" t="str">
        <f t="shared" si="338"/>
        <v>2016-11</v>
      </c>
      <c r="G1714">
        <v>4530.95</v>
      </c>
      <c r="H1714">
        <f t="shared" si="345"/>
        <v>-2.7616077182394888E-3</v>
      </c>
      <c r="I1714" t="str">
        <f t="shared" si="339"/>
        <v>2016-11</v>
      </c>
      <c r="K1714">
        <v>10630.12</v>
      </c>
      <c r="L1714">
        <f t="shared" si="346"/>
        <v>-1.4936929746502646E-3</v>
      </c>
      <c r="M1714" t="str">
        <f t="shared" si="340"/>
        <v>2016-11</v>
      </c>
      <c r="O1714">
        <v>7863.0543699999998</v>
      </c>
      <c r="P1714">
        <f t="shared" si="347"/>
        <v>2.2071280699042556E-3</v>
      </c>
      <c r="Q1714" t="str">
        <f t="shared" si="341"/>
        <v>2016-11</v>
      </c>
      <c r="S1714">
        <v>8756.7999999999993</v>
      </c>
      <c r="T1714">
        <f t="shared" si="348"/>
        <v>-1.6389260455263725E-2</v>
      </c>
      <c r="U1714" t="str">
        <f t="shared" si="342"/>
        <v>2016-11</v>
      </c>
      <c r="W1714">
        <v>16804.88</v>
      </c>
      <c r="X1714">
        <f t="shared" si="349"/>
        <v>2.9936262172428269E-4</v>
      </c>
      <c r="Y1714">
        <f t="shared" si="350"/>
        <v>2.9940743518558046E-4</v>
      </c>
      <c r="Z1714" t="str">
        <f t="shared" si="343"/>
        <v>2016-11</v>
      </c>
    </row>
    <row r="1715" spans="1:26" x14ac:dyDescent="0.35">
      <c r="A1715" s="1">
        <v>42685</v>
      </c>
      <c r="C1715">
        <v>3030.02</v>
      </c>
      <c r="D1715">
        <f t="shared" si="344"/>
        <v>-5.453712207982327E-3</v>
      </c>
      <c r="E1715" t="str">
        <f t="shared" si="338"/>
        <v>2016-11</v>
      </c>
      <c r="G1715">
        <v>4489.2700000000004</v>
      </c>
      <c r="H1715">
        <f t="shared" si="345"/>
        <v>-9.2415255154237909E-3</v>
      </c>
      <c r="I1715" t="str">
        <f t="shared" si="339"/>
        <v>2016-11</v>
      </c>
      <c r="K1715">
        <v>10667.95</v>
      </c>
      <c r="L1715">
        <f t="shared" si="346"/>
        <v>3.5524382992418533E-3</v>
      </c>
      <c r="M1715" t="str">
        <f t="shared" si="340"/>
        <v>2016-11</v>
      </c>
      <c r="O1715">
        <v>7809.4059299999999</v>
      </c>
      <c r="P1715">
        <f t="shared" si="347"/>
        <v>-6.8462319915006085E-3</v>
      </c>
      <c r="Q1715" t="str">
        <f t="shared" si="341"/>
        <v>2016-11</v>
      </c>
      <c r="S1715">
        <v>8639.2000000000007</v>
      </c>
      <c r="T1715">
        <f t="shared" si="348"/>
        <v>-1.352055547110351E-2</v>
      </c>
      <c r="U1715" t="str">
        <f t="shared" si="342"/>
        <v>2016-11</v>
      </c>
      <c r="W1715">
        <v>16812.37</v>
      </c>
      <c r="X1715">
        <f t="shared" si="349"/>
        <v>4.4560457050678038E-4</v>
      </c>
      <c r="Y1715">
        <f t="shared" si="350"/>
        <v>4.4570386697185356E-4</v>
      </c>
      <c r="Z1715" t="str">
        <f t="shared" si="343"/>
        <v>2016-11</v>
      </c>
    </row>
    <row r="1716" spans="1:26" x14ac:dyDescent="0.35">
      <c r="A1716" s="1">
        <v>42688</v>
      </c>
      <c r="C1716">
        <v>3039.8</v>
      </c>
      <c r="D1716">
        <f t="shared" si="344"/>
        <v>3.2225036206644168E-3</v>
      </c>
      <c r="E1716" t="str">
        <f t="shared" si="338"/>
        <v>2016-11</v>
      </c>
      <c r="G1716">
        <v>4508.55</v>
      </c>
      <c r="H1716">
        <f t="shared" si="345"/>
        <v>4.2854890422553762E-3</v>
      </c>
      <c r="I1716" t="str">
        <f t="shared" si="339"/>
        <v>2016-11</v>
      </c>
      <c r="K1716">
        <v>10693.69</v>
      </c>
      <c r="L1716">
        <f t="shared" si="346"/>
        <v>2.4099284940327535E-3</v>
      </c>
      <c r="M1716" t="str">
        <f t="shared" si="340"/>
        <v>2016-11</v>
      </c>
      <c r="O1716">
        <v>7852.0088999999998</v>
      </c>
      <c r="P1716">
        <f t="shared" si="347"/>
        <v>5.4405142251654588E-3</v>
      </c>
      <c r="Q1716" t="str">
        <f t="shared" si="341"/>
        <v>2016-11</v>
      </c>
      <c r="S1716">
        <v>8658.2000000000007</v>
      </c>
      <c r="T1716">
        <f t="shared" si="348"/>
        <v>2.196862839674559E-3</v>
      </c>
      <c r="U1716" t="str">
        <f t="shared" si="342"/>
        <v>2016-11</v>
      </c>
      <c r="W1716">
        <v>16686.330000000002</v>
      </c>
      <c r="X1716">
        <f t="shared" si="349"/>
        <v>-7.5251036472241918E-3</v>
      </c>
      <c r="Y1716">
        <f t="shared" si="350"/>
        <v>-7.4968609422703192E-3</v>
      </c>
      <c r="Z1716" t="str">
        <f t="shared" si="343"/>
        <v>2016-11</v>
      </c>
    </row>
    <row r="1717" spans="1:26" x14ac:dyDescent="0.35">
      <c r="A1717" s="1">
        <v>42689</v>
      </c>
      <c r="C1717">
        <v>3049.72</v>
      </c>
      <c r="D1717">
        <f t="shared" si="344"/>
        <v>3.258059346229017E-3</v>
      </c>
      <c r="E1717" t="str">
        <f t="shared" si="338"/>
        <v>2016-11</v>
      </c>
      <c r="G1717">
        <v>4536.53</v>
      </c>
      <c r="H1717">
        <f t="shared" si="345"/>
        <v>6.1868085739906513E-3</v>
      </c>
      <c r="I1717" t="str">
        <f t="shared" si="339"/>
        <v>2016-11</v>
      </c>
      <c r="K1717">
        <v>10735.14</v>
      </c>
      <c r="L1717">
        <f t="shared" si="346"/>
        <v>3.8686248102146412E-3</v>
      </c>
      <c r="M1717" t="str">
        <f t="shared" si="340"/>
        <v>2016-11</v>
      </c>
      <c r="O1717">
        <v>7873.7052400000002</v>
      </c>
      <c r="P1717">
        <f t="shared" si="347"/>
        <v>2.7593473432325271E-3</v>
      </c>
      <c r="Q1717" t="str">
        <f t="shared" si="341"/>
        <v>2016-11</v>
      </c>
      <c r="S1717">
        <v>8687.1</v>
      </c>
      <c r="T1717">
        <f t="shared" si="348"/>
        <v>3.3323178893363858E-3</v>
      </c>
      <c r="U1717" t="str">
        <f t="shared" si="342"/>
        <v>2016-11</v>
      </c>
      <c r="W1717">
        <v>16682.37</v>
      </c>
      <c r="X1717">
        <f t="shared" si="349"/>
        <v>-2.3734817470222981E-4</v>
      </c>
      <c r="Y1717">
        <f t="shared" si="350"/>
        <v>-2.3732000985254184E-4</v>
      </c>
      <c r="Z1717" t="str">
        <f t="shared" si="343"/>
        <v>2016-11</v>
      </c>
    </row>
    <row r="1718" spans="1:26" x14ac:dyDescent="0.35">
      <c r="A1718" s="1">
        <v>42690</v>
      </c>
      <c r="C1718">
        <v>3026.36</v>
      </c>
      <c r="D1718">
        <f t="shared" si="344"/>
        <v>-7.6892059006422372E-3</v>
      </c>
      <c r="E1718" t="str">
        <f t="shared" si="338"/>
        <v>2016-11</v>
      </c>
      <c r="G1718">
        <v>4501.1400000000003</v>
      </c>
      <c r="H1718">
        <f t="shared" si="345"/>
        <v>-7.8317046072080582E-3</v>
      </c>
      <c r="I1718" t="str">
        <f t="shared" si="339"/>
        <v>2016-11</v>
      </c>
      <c r="K1718">
        <v>10663.87</v>
      </c>
      <c r="L1718">
        <f t="shared" si="346"/>
        <v>-6.6610804444303777E-3</v>
      </c>
      <c r="M1718" t="str">
        <f t="shared" si="340"/>
        <v>2016-11</v>
      </c>
      <c r="O1718">
        <v>7854.6900599999999</v>
      </c>
      <c r="P1718">
        <f t="shared" si="347"/>
        <v>-2.4179439671483194E-3</v>
      </c>
      <c r="Q1718" t="str">
        <f t="shared" si="341"/>
        <v>2016-11</v>
      </c>
      <c r="S1718">
        <v>8638.5</v>
      </c>
      <c r="T1718">
        <f t="shared" si="348"/>
        <v>-5.610210032724188E-3</v>
      </c>
      <c r="U1718" t="str">
        <f t="shared" si="342"/>
        <v>2016-11</v>
      </c>
      <c r="W1718">
        <v>16559.84</v>
      </c>
      <c r="X1718">
        <f t="shared" si="349"/>
        <v>-7.3719860935402299E-3</v>
      </c>
      <c r="Y1718">
        <f t="shared" si="350"/>
        <v>-7.3448796543895646E-3</v>
      </c>
      <c r="Z1718" t="str">
        <f t="shared" si="343"/>
        <v>2016-11</v>
      </c>
    </row>
    <row r="1719" spans="1:26" x14ac:dyDescent="0.35">
      <c r="A1719" s="1">
        <v>42691</v>
      </c>
      <c r="C1719">
        <v>3041.79</v>
      </c>
      <c r="D1719">
        <f t="shared" si="344"/>
        <v>5.0855806977946208E-3</v>
      </c>
      <c r="E1719" t="str">
        <f t="shared" si="338"/>
        <v>2016-11</v>
      </c>
      <c r="G1719">
        <v>4527.7700000000004</v>
      </c>
      <c r="H1719">
        <f t="shared" si="345"/>
        <v>5.8988465316289025E-3</v>
      </c>
      <c r="I1719" t="str">
        <f t="shared" si="339"/>
        <v>2016-11</v>
      </c>
      <c r="K1719">
        <v>10685.54</v>
      </c>
      <c r="L1719">
        <f t="shared" si="346"/>
        <v>2.0300333772131215E-3</v>
      </c>
      <c r="M1719" t="str">
        <f t="shared" si="340"/>
        <v>2016-11</v>
      </c>
      <c r="O1719">
        <v>7943.3456299999998</v>
      </c>
      <c r="P1719">
        <f t="shared" si="347"/>
        <v>1.1223737231184628E-2</v>
      </c>
      <c r="Q1719" t="str">
        <f t="shared" si="341"/>
        <v>2016-11</v>
      </c>
      <c r="S1719">
        <v>8718</v>
      </c>
      <c r="T1719">
        <f t="shared" si="348"/>
        <v>9.1608971835012154E-3</v>
      </c>
      <c r="U1719" t="str">
        <f t="shared" si="342"/>
        <v>2016-11</v>
      </c>
      <c r="W1719">
        <v>16555.310000000001</v>
      </c>
      <c r="X1719">
        <f t="shared" si="349"/>
        <v>-2.7359079021266992E-4</v>
      </c>
      <c r="Y1719">
        <f t="shared" si="350"/>
        <v>-2.7355336766531779E-4</v>
      </c>
      <c r="Z1719" t="str">
        <f t="shared" si="343"/>
        <v>2016-11</v>
      </c>
    </row>
    <row r="1720" spans="1:26" x14ac:dyDescent="0.35">
      <c r="A1720" s="1">
        <v>42692</v>
      </c>
      <c r="C1720">
        <v>3020.83</v>
      </c>
      <c r="D1720">
        <f t="shared" si="344"/>
        <v>-6.9145298598065263E-3</v>
      </c>
      <c r="E1720" t="str">
        <f t="shared" si="338"/>
        <v>2016-11</v>
      </c>
      <c r="G1720">
        <v>4504.3500000000004</v>
      </c>
      <c r="H1720">
        <f t="shared" si="345"/>
        <v>-5.1859480361667928E-3</v>
      </c>
      <c r="I1720" t="str">
        <f t="shared" si="339"/>
        <v>2016-11</v>
      </c>
      <c r="K1720">
        <v>10664.56</v>
      </c>
      <c r="L1720">
        <f t="shared" si="346"/>
        <v>-1.96533100575485E-3</v>
      </c>
      <c r="M1720" t="str">
        <f t="shared" si="340"/>
        <v>2016-11</v>
      </c>
      <c r="O1720">
        <v>7898.4509500000004</v>
      </c>
      <c r="P1720">
        <f t="shared" si="347"/>
        <v>-5.6678925221694647E-3</v>
      </c>
      <c r="Q1720" t="str">
        <f t="shared" si="341"/>
        <v>2016-11</v>
      </c>
      <c r="S1720">
        <v>8622.9</v>
      </c>
      <c r="T1720">
        <f t="shared" si="348"/>
        <v>-1.0968398805290869E-2</v>
      </c>
      <c r="U1720" t="str">
        <f t="shared" si="342"/>
        <v>2016-11</v>
      </c>
      <c r="W1720">
        <v>16265.9</v>
      </c>
      <c r="X1720">
        <f t="shared" si="349"/>
        <v>-1.7636004351733021E-2</v>
      </c>
      <c r="Y1720">
        <f t="shared" si="350"/>
        <v>-1.7481400227479984E-2</v>
      </c>
      <c r="Z1720" t="str">
        <f t="shared" si="343"/>
        <v>2016-11</v>
      </c>
    </row>
    <row r="1721" spans="1:26" x14ac:dyDescent="0.35">
      <c r="A1721" s="1">
        <v>42695</v>
      </c>
      <c r="C1721">
        <v>3032.97</v>
      </c>
      <c r="D1721">
        <f t="shared" si="344"/>
        <v>4.0107093968920673E-3</v>
      </c>
      <c r="E1721" t="str">
        <f t="shared" si="338"/>
        <v>2016-11</v>
      </c>
      <c r="G1721">
        <v>4529.58</v>
      </c>
      <c r="H1721">
        <f t="shared" si="345"/>
        <v>5.5856234432326351E-3</v>
      </c>
      <c r="I1721" t="str">
        <f t="shared" si="339"/>
        <v>2016-11</v>
      </c>
      <c r="K1721">
        <v>10685.13</v>
      </c>
      <c r="L1721">
        <f t="shared" si="346"/>
        <v>1.9269606598506944E-3</v>
      </c>
      <c r="M1721" t="str">
        <f t="shared" si="340"/>
        <v>2016-11</v>
      </c>
      <c r="O1721">
        <v>7974.2961400000004</v>
      </c>
      <c r="P1721">
        <f t="shared" si="347"/>
        <v>9.5567285008531285E-3</v>
      </c>
      <c r="Q1721" t="str">
        <f t="shared" si="341"/>
        <v>2016-11</v>
      </c>
      <c r="S1721">
        <v>8614.6</v>
      </c>
      <c r="T1721">
        <f t="shared" si="348"/>
        <v>-9.6301675317786049E-4</v>
      </c>
      <c r="U1721" t="str">
        <f t="shared" si="342"/>
        <v>2016-11</v>
      </c>
      <c r="W1721">
        <v>16297.26</v>
      </c>
      <c r="X1721">
        <f t="shared" si="349"/>
        <v>1.9261035903849909E-3</v>
      </c>
      <c r="Y1721">
        <f t="shared" si="350"/>
        <v>1.927959719413041E-3</v>
      </c>
      <c r="Z1721" t="str">
        <f t="shared" si="343"/>
        <v>2016-11</v>
      </c>
    </row>
    <row r="1722" spans="1:26" x14ac:dyDescent="0.35">
      <c r="A1722" s="1">
        <v>42696</v>
      </c>
      <c r="C1722">
        <v>3044.33</v>
      </c>
      <c r="D1722">
        <f t="shared" si="344"/>
        <v>3.738506649669899E-3</v>
      </c>
      <c r="E1722" t="str">
        <f t="shared" si="338"/>
        <v>2016-11</v>
      </c>
      <c r="G1722">
        <v>4548.3500000000004</v>
      </c>
      <c r="H1722">
        <f t="shared" si="345"/>
        <v>4.1353098665608797E-3</v>
      </c>
      <c r="I1722" t="str">
        <f t="shared" si="339"/>
        <v>2016-11</v>
      </c>
      <c r="K1722">
        <v>10713.85</v>
      </c>
      <c r="L1722">
        <f t="shared" si="346"/>
        <v>2.684241701644849E-3</v>
      </c>
      <c r="M1722" t="str">
        <f t="shared" si="340"/>
        <v>2016-11</v>
      </c>
      <c r="O1722">
        <v>7971.2096600000004</v>
      </c>
      <c r="P1722">
        <f t="shared" si="347"/>
        <v>-3.8712852100897157E-4</v>
      </c>
      <c r="Q1722" t="str">
        <f t="shared" si="341"/>
        <v>2016-11</v>
      </c>
      <c r="S1722">
        <v>8651.5</v>
      </c>
      <c r="T1722">
        <f t="shared" si="348"/>
        <v>4.2742780568338669E-3</v>
      </c>
      <c r="U1722" t="str">
        <f t="shared" si="342"/>
        <v>2016-11</v>
      </c>
      <c r="W1722">
        <v>16519.89</v>
      </c>
      <c r="X1722">
        <f t="shared" si="349"/>
        <v>1.3568113951893371E-2</v>
      </c>
      <c r="Y1722">
        <f t="shared" si="350"/>
        <v>1.3660578526697076E-2</v>
      </c>
      <c r="Z1722" t="str">
        <f t="shared" si="343"/>
        <v>2016-11</v>
      </c>
    </row>
    <row r="1723" spans="1:26" x14ac:dyDescent="0.35">
      <c r="A1723" s="1">
        <v>42697</v>
      </c>
      <c r="C1723">
        <v>3032.14</v>
      </c>
      <c r="D1723">
        <f t="shared" si="344"/>
        <v>-4.0122032537483606E-3</v>
      </c>
      <c r="E1723" t="str">
        <f t="shared" si="338"/>
        <v>2016-11</v>
      </c>
      <c r="G1723">
        <v>4529.21</v>
      </c>
      <c r="H1723">
        <f t="shared" si="345"/>
        <v>-4.2169984806485847E-3</v>
      </c>
      <c r="I1723" t="str">
        <f t="shared" si="339"/>
        <v>2016-11</v>
      </c>
      <c r="K1723">
        <v>10662.44</v>
      </c>
      <c r="L1723">
        <f t="shared" si="346"/>
        <v>-4.8100113835786579E-3</v>
      </c>
      <c r="M1723" t="str">
        <f t="shared" si="340"/>
        <v>2016-11</v>
      </c>
      <c r="O1723">
        <v>8048.6046900000001</v>
      </c>
      <c r="P1723">
        <f t="shared" si="347"/>
        <v>9.6624880245377333E-3</v>
      </c>
      <c r="Q1723" t="str">
        <f t="shared" si="341"/>
        <v>2016-11</v>
      </c>
      <c r="S1723">
        <v>8627.5</v>
      </c>
      <c r="T1723">
        <f t="shared" si="348"/>
        <v>-2.7779403245445531E-3</v>
      </c>
      <c r="U1723" t="str">
        <f t="shared" si="342"/>
        <v>2016-11</v>
      </c>
      <c r="W1723">
        <v>16532.259999999998</v>
      </c>
      <c r="X1723">
        <f t="shared" si="349"/>
        <v>7.4851412555898263E-4</v>
      </c>
      <c r="Y1723">
        <f t="shared" si="350"/>
        <v>7.4879433216558833E-4</v>
      </c>
      <c r="Z1723" t="str">
        <f t="shared" si="343"/>
        <v>2016-11</v>
      </c>
    </row>
    <row r="1724" spans="1:26" x14ac:dyDescent="0.35">
      <c r="A1724" s="1">
        <v>42698</v>
      </c>
      <c r="C1724">
        <v>3040.6</v>
      </c>
      <c r="D1724">
        <f t="shared" si="344"/>
        <v>2.7862235079860655E-3</v>
      </c>
      <c r="E1724" t="str">
        <f t="shared" si="338"/>
        <v>2016-11</v>
      </c>
      <c r="G1724">
        <v>4542.5600000000004</v>
      </c>
      <c r="H1724">
        <f t="shared" si="345"/>
        <v>2.9431984357931465E-3</v>
      </c>
      <c r="I1724" t="str">
        <f t="shared" si="339"/>
        <v>2016-11</v>
      </c>
      <c r="K1724">
        <v>10689.26</v>
      </c>
      <c r="L1724">
        <f t="shared" si="346"/>
        <v>2.5122134636180612E-3</v>
      </c>
      <c r="M1724" t="str">
        <f t="shared" si="340"/>
        <v>2016-11</v>
      </c>
      <c r="O1724">
        <v>8062.4027699999997</v>
      </c>
      <c r="P1724">
        <f t="shared" si="347"/>
        <v>1.7128765420567978E-3</v>
      </c>
      <c r="Q1724" t="str">
        <f t="shared" si="341"/>
        <v>2016-11</v>
      </c>
      <c r="S1724">
        <v>8657.2000000000007</v>
      </c>
      <c r="T1724">
        <f t="shared" si="348"/>
        <v>3.4365686682157736E-3</v>
      </c>
      <c r="U1724" t="str">
        <f t="shared" si="342"/>
        <v>2016-11</v>
      </c>
      <c r="W1724">
        <v>16500.73</v>
      </c>
      <c r="X1724">
        <f t="shared" si="349"/>
        <v>-1.9090012484706622E-3</v>
      </c>
      <c r="Y1724">
        <f t="shared" si="350"/>
        <v>-1.907180264525167E-3</v>
      </c>
      <c r="Z1724" t="str">
        <f t="shared" si="343"/>
        <v>2016-11</v>
      </c>
    </row>
    <row r="1725" spans="1:26" x14ac:dyDescent="0.35">
      <c r="A1725" s="1">
        <v>42699</v>
      </c>
      <c r="C1725">
        <v>3048.38</v>
      </c>
      <c r="D1725">
        <f t="shared" si="344"/>
        <v>2.5554376049144868E-3</v>
      </c>
      <c r="E1725" t="str">
        <f t="shared" si="338"/>
        <v>2016-11</v>
      </c>
      <c r="G1725">
        <v>4550.2700000000004</v>
      </c>
      <c r="H1725">
        <f t="shared" si="345"/>
        <v>1.6958420750751164E-3</v>
      </c>
      <c r="I1725" t="str">
        <f t="shared" si="339"/>
        <v>2016-11</v>
      </c>
      <c r="K1725">
        <v>10699.27</v>
      </c>
      <c r="L1725">
        <f t="shared" si="346"/>
        <v>9.3601577395314496E-4</v>
      </c>
      <c r="M1725" t="str">
        <f t="shared" si="340"/>
        <v>2016-11</v>
      </c>
      <c r="O1725">
        <v>8043.8385699999999</v>
      </c>
      <c r="P1725">
        <f t="shared" si="347"/>
        <v>-2.30521917920059E-3</v>
      </c>
      <c r="Q1725" t="str">
        <f t="shared" si="341"/>
        <v>2016-11</v>
      </c>
      <c r="S1725">
        <v>8674.4</v>
      </c>
      <c r="T1725">
        <f t="shared" si="348"/>
        <v>1.9848145175978861E-3</v>
      </c>
      <c r="U1725" t="str">
        <f t="shared" si="342"/>
        <v>2016-11</v>
      </c>
      <c r="W1725">
        <v>16515.11</v>
      </c>
      <c r="X1725">
        <f t="shared" si="349"/>
        <v>8.7109708002635125E-4</v>
      </c>
      <c r="Y1725">
        <f t="shared" si="350"/>
        <v>8.714765952779677E-4</v>
      </c>
      <c r="Z1725" t="str">
        <f t="shared" si="343"/>
        <v>2016-11</v>
      </c>
    </row>
    <row r="1726" spans="1:26" x14ac:dyDescent="0.35">
      <c r="A1726" s="1">
        <v>42702</v>
      </c>
      <c r="C1726">
        <v>3016.8</v>
      </c>
      <c r="D1726">
        <f t="shared" si="344"/>
        <v>-1.0413635007502527E-2</v>
      </c>
      <c r="E1726" t="str">
        <f t="shared" si="338"/>
        <v>2016-11</v>
      </c>
      <c r="G1726">
        <v>4510.3900000000003</v>
      </c>
      <c r="H1726">
        <f t="shared" si="345"/>
        <v>-8.8029475846209716E-3</v>
      </c>
      <c r="I1726" t="str">
        <f t="shared" si="339"/>
        <v>2016-11</v>
      </c>
      <c r="K1726">
        <v>10582.67</v>
      </c>
      <c r="L1726">
        <f t="shared" si="346"/>
        <v>-1.0957757300470739E-2</v>
      </c>
      <c r="M1726" t="str">
        <f t="shared" si="340"/>
        <v>2016-11</v>
      </c>
      <c r="O1726">
        <v>7973.7195199999996</v>
      </c>
      <c r="P1726">
        <f t="shared" si="347"/>
        <v>-8.7553293110859982E-3</v>
      </c>
      <c r="Q1726" t="str">
        <f t="shared" si="341"/>
        <v>2016-11</v>
      </c>
      <c r="S1726">
        <v>8619.2999999999993</v>
      </c>
      <c r="T1726">
        <f t="shared" si="348"/>
        <v>-6.3722842941792424E-3</v>
      </c>
      <c r="U1726" t="str">
        <f t="shared" si="342"/>
        <v>2016-11</v>
      </c>
      <c r="W1726">
        <v>16216.95</v>
      </c>
      <c r="X1726">
        <f t="shared" si="349"/>
        <v>-1.8218727883964874E-2</v>
      </c>
      <c r="Y1726">
        <f t="shared" si="350"/>
        <v>-1.8053770153513955E-2</v>
      </c>
      <c r="Z1726" t="str">
        <f t="shared" si="343"/>
        <v>2016-11</v>
      </c>
    </row>
    <row r="1727" spans="1:26" x14ac:dyDescent="0.35">
      <c r="A1727" s="1">
        <v>42703</v>
      </c>
      <c r="C1727">
        <v>3038.42</v>
      </c>
      <c r="D1727">
        <f t="shared" si="344"/>
        <v>7.1409765040058278E-3</v>
      </c>
      <c r="E1727" t="str">
        <f t="shared" si="338"/>
        <v>2016-11</v>
      </c>
      <c r="G1727">
        <v>4551.46</v>
      </c>
      <c r="H1727">
        <f t="shared" si="345"/>
        <v>9.0644363360518274E-3</v>
      </c>
      <c r="I1727" t="str">
        <f t="shared" si="339"/>
        <v>2016-11</v>
      </c>
      <c r="K1727">
        <v>10620.49</v>
      </c>
      <c r="L1727">
        <f t="shared" si="346"/>
        <v>3.5673965681628458E-3</v>
      </c>
      <c r="M1727" t="str">
        <f t="shared" si="340"/>
        <v>2016-11</v>
      </c>
      <c r="O1727">
        <v>7961.0987100000002</v>
      </c>
      <c r="P1727">
        <f t="shared" si="347"/>
        <v>-1.5840547983510631E-3</v>
      </c>
      <c r="Q1727" t="str">
        <f t="shared" si="341"/>
        <v>2016-11</v>
      </c>
      <c r="S1727">
        <v>8667</v>
      </c>
      <c r="T1727">
        <f t="shared" si="348"/>
        <v>5.5188352705520414E-3</v>
      </c>
      <c r="U1727" t="str">
        <f t="shared" si="342"/>
        <v>2016-11</v>
      </c>
      <c r="W1727">
        <v>16561.86</v>
      </c>
      <c r="X1727">
        <f t="shared" si="349"/>
        <v>2.1045469942233171E-2</v>
      </c>
      <c r="Y1727">
        <f t="shared" si="350"/>
        <v>2.1268487600936047E-2</v>
      </c>
      <c r="Z1727" t="str">
        <f t="shared" si="343"/>
        <v>2016-11</v>
      </c>
    </row>
    <row r="1728" spans="1:26" x14ac:dyDescent="0.35">
      <c r="A1728" s="1">
        <v>42704</v>
      </c>
      <c r="C1728">
        <v>3051.61</v>
      </c>
      <c r="D1728">
        <f t="shared" si="344"/>
        <v>4.3316767320105603E-3</v>
      </c>
      <c r="E1728" t="str">
        <f t="shared" si="338"/>
        <v>2016-11</v>
      </c>
      <c r="G1728">
        <v>4578.34</v>
      </c>
      <c r="H1728">
        <f t="shared" si="345"/>
        <v>5.8884263989884104E-3</v>
      </c>
      <c r="I1728" t="str">
        <f t="shared" si="339"/>
        <v>2016-11</v>
      </c>
      <c r="K1728">
        <v>10640.3</v>
      </c>
      <c r="L1728">
        <f t="shared" si="346"/>
        <v>1.8635248956309035E-3</v>
      </c>
      <c r="M1728" t="str">
        <f t="shared" si="340"/>
        <v>2016-11</v>
      </c>
      <c r="O1728">
        <v>7999.2270399999998</v>
      </c>
      <c r="P1728">
        <f t="shared" si="347"/>
        <v>4.777897786170401E-3</v>
      </c>
      <c r="Q1728" t="str">
        <f t="shared" si="341"/>
        <v>2016-11</v>
      </c>
      <c r="S1728">
        <v>8688.2000000000007</v>
      </c>
      <c r="T1728">
        <f t="shared" si="348"/>
        <v>2.4430730322365329E-3</v>
      </c>
      <c r="U1728" t="str">
        <f t="shared" si="342"/>
        <v>2016-11</v>
      </c>
      <c r="W1728">
        <v>16930.41</v>
      </c>
      <c r="X1728">
        <f t="shared" si="349"/>
        <v>2.2008951727026833E-2</v>
      </c>
      <c r="Y1728">
        <f t="shared" si="350"/>
        <v>2.2252935358709664E-2</v>
      </c>
      <c r="Z1728" t="str">
        <f t="shared" si="343"/>
        <v>2016-11</v>
      </c>
    </row>
    <row r="1729" spans="1:26" x14ac:dyDescent="0.35">
      <c r="A1729" s="1">
        <v>42705</v>
      </c>
      <c r="C1729">
        <v>3030.98</v>
      </c>
      <c r="D1729">
        <f t="shared" si="344"/>
        <v>-6.78332062647967E-3</v>
      </c>
      <c r="E1729" t="str">
        <f t="shared" si="338"/>
        <v>2016-12</v>
      </c>
      <c r="G1729">
        <v>4560.6099999999997</v>
      </c>
      <c r="H1729">
        <f t="shared" si="345"/>
        <v>-3.8801005025792478E-3</v>
      </c>
      <c r="I1729" t="str">
        <f t="shared" si="339"/>
        <v>2016-12</v>
      </c>
      <c r="K1729">
        <v>10534.05</v>
      </c>
      <c r="L1729">
        <f t="shared" si="346"/>
        <v>-1.003581141977259E-2</v>
      </c>
      <c r="M1729" t="str">
        <f t="shared" si="340"/>
        <v>2016-12</v>
      </c>
      <c r="O1729">
        <v>7996.7402599999996</v>
      </c>
      <c r="P1729">
        <f t="shared" si="347"/>
        <v>-3.1092586942640471E-4</v>
      </c>
      <c r="Q1729" t="str">
        <f t="shared" si="341"/>
        <v>2016-12</v>
      </c>
      <c r="S1729">
        <v>8669.2000000000007</v>
      </c>
      <c r="T1729">
        <f t="shared" si="348"/>
        <v>-2.1892688523343752E-3</v>
      </c>
      <c r="U1729" t="str">
        <f t="shared" si="342"/>
        <v>2016-12</v>
      </c>
      <c r="W1729">
        <v>17098.330000000002</v>
      </c>
      <c r="X1729">
        <f t="shared" si="349"/>
        <v>9.8693847033410435E-3</v>
      </c>
      <c r="Y1729">
        <f t="shared" si="350"/>
        <v>9.9182476974864694E-3</v>
      </c>
      <c r="Z1729" t="str">
        <f t="shared" si="343"/>
        <v>2016-12</v>
      </c>
    </row>
    <row r="1730" spans="1:26" x14ac:dyDescent="0.35">
      <c r="A1730" s="1">
        <v>42706</v>
      </c>
      <c r="C1730">
        <v>3015.13</v>
      </c>
      <c r="D1730">
        <f t="shared" si="344"/>
        <v>-5.2430525773310838E-3</v>
      </c>
      <c r="E1730" t="str">
        <f t="shared" si="338"/>
        <v>2016-12</v>
      </c>
      <c r="G1730">
        <v>4528.82</v>
      </c>
      <c r="H1730">
        <f t="shared" si="345"/>
        <v>-6.9949665980039459E-3</v>
      </c>
      <c r="I1730" t="str">
        <f t="shared" si="339"/>
        <v>2016-12</v>
      </c>
      <c r="K1730">
        <v>10513.35</v>
      </c>
      <c r="L1730">
        <f t="shared" si="346"/>
        <v>-1.9669894309135827E-3</v>
      </c>
      <c r="M1730" t="str">
        <f t="shared" si="340"/>
        <v>2016-12</v>
      </c>
      <c r="O1730">
        <v>7998.6804599999996</v>
      </c>
      <c r="P1730">
        <f t="shared" si="347"/>
        <v>2.4259443292910161E-4</v>
      </c>
      <c r="Q1730" t="str">
        <f t="shared" si="341"/>
        <v>2016-12</v>
      </c>
      <c r="S1730">
        <v>8607.1</v>
      </c>
      <c r="T1730">
        <f t="shared" si="348"/>
        <v>-7.1890702821675182E-3</v>
      </c>
      <c r="U1730" t="str">
        <f t="shared" si="342"/>
        <v>2016-12</v>
      </c>
      <c r="W1730">
        <v>17086.849999999999</v>
      </c>
      <c r="X1730">
        <f t="shared" si="349"/>
        <v>-6.7163609678528896E-4</v>
      </c>
      <c r="Y1730">
        <f t="shared" si="350"/>
        <v>-6.7141059974881756E-4</v>
      </c>
      <c r="Z1730" t="str">
        <f t="shared" si="343"/>
        <v>2016-12</v>
      </c>
    </row>
    <row r="1731" spans="1:26" x14ac:dyDescent="0.35">
      <c r="A1731" s="1">
        <v>42709</v>
      </c>
      <c r="C1731">
        <v>3052.75</v>
      </c>
      <c r="D1731">
        <f t="shared" si="344"/>
        <v>1.2399876736778356E-2</v>
      </c>
      <c r="E1731" t="str">
        <f t="shared" si="338"/>
        <v>2016-12</v>
      </c>
      <c r="G1731">
        <v>4574.32</v>
      </c>
      <c r="H1731">
        <f t="shared" si="345"/>
        <v>9.9966338891448996E-3</v>
      </c>
      <c r="I1731" t="str">
        <f t="shared" si="339"/>
        <v>2016-12</v>
      </c>
      <c r="K1731">
        <v>10684.83</v>
      </c>
      <c r="L1731">
        <f t="shared" si="346"/>
        <v>1.6179100336072307E-2</v>
      </c>
      <c r="M1731" t="str">
        <f t="shared" si="340"/>
        <v>2016-12</v>
      </c>
      <c r="O1731">
        <v>7970.6211199999998</v>
      </c>
      <c r="P1731">
        <f t="shared" si="347"/>
        <v>-3.5141635638396046E-3</v>
      </c>
      <c r="Q1731" t="str">
        <f t="shared" si="341"/>
        <v>2016-12</v>
      </c>
      <c r="S1731">
        <v>8664.7000000000007</v>
      </c>
      <c r="T1731">
        <f t="shared" si="348"/>
        <v>6.6698564755696904E-3</v>
      </c>
      <c r="U1731" t="str">
        <f t="shared" si="342"/>
        <v>2016-12</v>
      </c>
      <c r="W1731">
        <v>17050.21</v>
      </c>
      <c r="X1731">
        <f t="shared" si="349"/>
        <v>-2.1466414547691029E-3</v>
      </c>
      <c r="Y1731">
        <f t="shared" si="350"/>
        <v>-2.1443390677626023E-3</v>
      </c>
      <c r="Z1731" t="str">
        <f t="shared" si="343"/>
        <v>2016-12</v>
      </c>
    </row>
    <row r="1732" spans="1:26" x14ac:dyDescent="0.35">
      <c r="A1732" s="1">
        <v>42710</v>
      </c>
      <c r="C1732">
        <v>3100.76</v>
      </c>
      <c r="D1732">
        <f t="shared" si="344"/>
        <v>1.5604419003310645E-2</v>
      </c>
      <c r="E1732" t="str">
        <f t="shared" ref="E1732:E1795" si="351">_xlfn.CONCAT(YEAR(A1732),"-",TEXT(MONTH(A1732),"00"))</f>
        <v>2016-12</v>
      </c>
      <c r="G1732">
        <v>4631.9399999999996</v>
      </c>
      <c r="H1732">
        <f t="shared" si="345"/>
        <v>1.2517733018329428E-2</v>
      </c>
      <c r="I1732" t="str">
        <f t="shared" ref="I1732:I1795" si="352">_xlfn.CONCAT(YEAR(A1732),"-",TEXT(MONTH(A1732),"00"))</f>
        <v>2016-12</v>
      </c>
      <c r="K1732">
        <v>10775.32</v>
      </c>
      <c r="L1732">
        <f t="shared" si="346"/>
        <v>8.4333554345724267E-3</v>
      </c>
      <c r="M1732" t="str">
        <f t="shared" ref="M1732:M1795" si="353">_xlfn.CONCAT(YEAR(A1732),"-",TEXT(MONTH(A1732),"00"))</f>
        <v>2016-12</v>
      </c>
      <c r="O1732">
        <v>8018.4646199999997</v>
      </c>
      <c r="P1732">
        <f t="shared" si="347"/>
        <v>5.984537648941992E-3</v>
      </c>
      <c r="Q1732" t="str">
        <f t="shared" ref="Q1732:Q1795" si="354">_xlfn.CONCAT(YEAR(A1732),"-",TEXT(MONTH(A1732),"00"))</f>
        <v>2016-12</v>
      </c>
      <c r="S1732">
        <v>8893.2999999999993</v>
      </c>
      <c r="T1732">
        <f t="shared" si="348"/>
        <v>2.6040883720839725E-2</v>
      </c>
      <c r="U1732" t="str">
        <f t="shared" ref="U1732:U1795" si="355">_xlfn.CONCAT(YEAR(A1732),"-",TEXT(MONTH(A1732),"00"))</f>
        <v>2016-12</v>
      </c>
      <c r="W1732">
        <v>17757.8</v>
      </c>
      <c r="X1732">
        <f t="shared" si="349"/>
        <v>4.0662335647929898E-2</v>
      </c>
      <c r="Y1732">
        <f t="shared" si="350"/>
        <v>4.1500368617160735E-2</v>
      </c>
      <c r="Z1732" t="str">
        <f t="shared" ref="Z1732:Z1795" si="356">_xlfn.CONCAT(YEAR(A1732),"-",TEXT(MONTH(A1732),"00"))</f>
        <v>2016-12</v>
      </c>
    </row>
    <row r="1733" spans="1:26" x14ac:dyDescent="0.35">
      <c r="A1733" s="1">
        <v>42711</v>
      </c>
      <c r="C1733">
        <v>3142.24</v>
      </c>
      <c r="D1733">
        <f t="shared" ref="D1733:D1796" si="357">LN(C1733/C1732)</f>
        <v>1.3288678650470806E-2</v>
      </c>
      <c r="E1733" t="str">
        <f t="shared" si="351"/>
        <v>2016-12</v>
      </c>
      <c r="G1733">
        <v>4694.72</v>
      </c>
      <c r="H1733">
        <f t="shared" ref="H1733:H1796" si="358">LN(G1733/G1732)</f>
        <v>1.3462686150219392E-2</v>
      </c>
      <c r="I1733" t="str">
        <f t="shared" si="352"/>
        <v>2016-12</v>
      </c>
      <c r="K1733">
        <v>10986.69</v>
      </c>
      <c r="L1733">
        <f t="shared" ref="L1733:L1796" si="359">LN(K1733/K1732)</f>
        <v>1.9426206232620282E-2</v>
      </c>
      <c r="M1733" t="str">
        <f t="shared" si="353"/>
        <v>2016-12</v>
      </c>
      <c r="O1733">
        <v>8095.8583799999997</v>
      </c>
      <c r="P1733">
        <f t="shared" ref="P1733:P1796" si="360">LN(O1733/O1732)</f>
        <v>9.6056601427516493E-3</v>
      </c>
      <c r="Q1733" t="str">
        <f t="shared" si="354"/>
        <v>2016-12</v>
      </c>
      <c r="S1733">
        <v>8960.4</v>
      </c>
      <c r="T1733">
        <f t="shared" ref="T1733:T1796" si="361">LN(S1733/S1732)</f>
        <v>7.5166846011673451E-3</v>
      </c>
      <c r="U1733" t="str">
        <f t="shared" si="355"/>
        <v>2016-12</v>
      </c>
      <c r="W1733">
        <v>18130.66</v>
      </c>
      <c r="X1733">
        <f t="shared" ref="X1733:X1796" si="362">LN(W1733/W1732)</f>
        <v>2.0779571837700673E-2</v>
      </c>
      <c r="Y1733">
        <f t="shared" ref="Y1733:Y1796" si="363">(W1733-W1732)/W1732</f>
        <v>2.0996970345425706E-2</v>
      </c>
      <c r="Z1733" t="str">
        <f t="shared" si="356"/>
        <v>2016-12</v>
      </c>
    </row>
    <row r="1734" spans="1:26" x14ac:dyDescent="0.35">
      <c r="A1734" s="1">
        <v>42712</v>
      </c>
      <c r="C1734">
        <v>3185.79</v>
      </c>
      <c r="D1734">
        <f t="shared" si="357"/>
        <v>1.3764374559701073E-2</v>
      </c>
      <c r="E1734" t="str">
        <f t="shared" si="351"/>
        <v>2016-12</v>
      </c>
      <c r="G1734">
        <v>4735.4799999999996</v>
      </c>
      <c r="H1734">
        <f t="shared" si="358"/>
        <v>8.644621287100451E-3</v>
      </c>
      <c r="I1734" t="str">
        <f t="shared" si="352"/>
        <v>2016-12</v>
      </c>
      <c r="K1734">
        <v>11179.42</v>
      </c>
      <c r="L1734">
        <f t="shared" si="359"/>
        <v>1.7390047869706944E-2</v>
      </c>
      <c r="M1734" t="str">
        <f t="shared" si="353"/>
        <v>2016-12</v>
      </c>
      <c r="O1734">
        <v>8212.7988999999998</v>
      </c>
      <c r="P1734">
        <f t="shared" si="360"/>
        <v>1.4341159083444285E-2</v>
      </c>
      <c r="Q1734" t="str">
        <f t="shared" si="354"/>
        <v>2016-12</v>
      </c>
      <c r="S1734">
        <v>9145.4</v>
      </c>
      <c r="T1734">
        <f t="shared" si="361"/>
        <v>2.0436151787251312E-2</v>
      </c>
      <c r="U1734" t="str">
        <f t="shared" si="355"/>
        <v>2016-12</v>
      </c>
      <c r="W1734">
        <v>18427.86</v>
      </c>
      <c r="X1734">
        <f t="shared" si="362"/>
        <v>1.6259222055168696E-2</v>
      </c>
      <c r="Y1734">
        <f t="shared" si="363"/>
        <v>1.6392122515120837E-2</v>
      </c>
      <c r="Z1734" t="str">
        <f t="shared" si="356"/>
        <v>2016-12</v>
      </c>
    </row>
    <row r="1735" spans="1:26" x14ac:dyDescent="0.35">
      <c r="A1735" s="1">
        <v>42713</v>
      </c>
      <c r="C1735">
        <v>3197.54</v>
      </c>
      <c r="D1735">
        <f t="shared" si="357"/>
        <v>3.681468221397585E-3</v>
      </c>
      <c r="E1735" t="str">
        <f t="shared" si="351"/>
        <v>2016-12</v>
      </c>
      <c r="G1735">
        <v>4764.07</v>
      </c>
      <c r="H1735">
        <f t="shared" si="358"/>
        <v>6.0192506637067903E-3</v>
      </c>
      <c r="I1735" t="str">
        <f t="shared" si="352"/>
        <v>2016-12</v>
      </c>
      <c r="K1735">
        <v>11203.63</v>
      </c>
      <c r="L1735">
        <f t="shared" si="359"/>
        <v>2.1632449055110064E-3</v>
      </c>
      <c r="M1735" t="str">
        <f t="shared" si="353"/>
        <v>2016-12</v>
      </c>
      <c r="O1735">
        <v>8298.2067499999994</v>
      </c>
      <c r="P1735">
        <f t="shared" si="360"/>
        <v>1.0345658355985951E-2</v>
      </c>
      <c r="Q1735" t="str">
        <f t="shared" si="354"/>
        <v>2016-12</v>
      </c>
      <c r="S1735">
        <v>9169.6</v>
      </c>
      <c r="T1735">
        <f t="shared" si="361"/>
        <v>2.6426441805655538E-3</v>
      </c>
      <c r="U1735" t="str">
        <f t="shared" si="355"/>
        <v>2016-12</v>
      </c>
      <c r="W1735">
        <v>18292.650000000001</v>
      </c>
      <c r="X1735">
        <f t="shared" si="362"/>
        <v>-7.3643100855889342E-3</v>
      </c>
      <c r="Y1735">
        <f t="shared" si="363"/>
        <v>-7.3372599965486566E-3</v>
      </c>
      <c r="Z1735" t="str">
        <f t="shared" si="356"/>
        <v>2016-12</v>
      </c>
    </row>
    <row r="1736" spans="1:26" x14ac:dyDescent="0.35">
      <c r="A1736" s="1">
        <v>42716</v>
      </c>
      <c r="C1736">
        <v>3199.11</v>
      </c>
      <c r="D1736">
        <f t="shared" si="357"/>
        <v>4.9088195587575309E-4</v>
      </c>
      <c r="E1736" t="str">
        <f t="shared" si="351"/>
        <v>2016-12</v>
      </c>
      <c r="G1736">
        <v>4760.7700000000004</v>
      </c>
      <c r="H1736">
        <f t="shared" si="358"/>
        <v>-6.9292505323751308E-4</v>
      </c>
      <c r="I1736" t="str">
        <f t="shared" si="352"/>
        <v>2016-12</v>
      </c>
      <c r="K1736">
        <v>11190.21</v>
      </c>
      <c r="L1736">
        <f t="shared" si="359"/>
        <v>-1.1985440287592252E-3</v>
      </c>
      <c r="M1736" t="str">
        <f t="shared" si="353"/>
        <v>2016-12</v>
      </c>
      <c r="O1736">
        <v>8219.6844500000007</v>
      </c>
      <c r="P1736">
        <f t="shared" si="360"/>
        <v>-9.5076169892214721E-3</v>
      </c>
      <c r="Q1736" t="str">
        <f t="shared" si="354"/>
        <v>2016-12</v>
      </c>
      <c r="S1736">
        <v>9186.4</v>
      </c>
      <c r="T1736">
        <f t="shared" si="361"/>
        <v>1.8304646645064954E-3</v>
      </c>
      <c r="U1736" t="str">
        <f t="shared" si="355"/>
        <v>2016-12</v>
      </c>
      <c r="W1736">
        <v>18370.32</v>
      </c>
      <c r="X1736">
        <f t="shared" si="362"/>
        <v>4.2369789569271163E-3</v>
      </c>
      <c r="Y1736">
        <f t="shared" si="363"/>
        <v>4.2459676427416609E-3</v>
      </c>
      <c r="Z1736" t="str">
        <f t="shared" si="356"/>
        <v>2016-12</v>
      </c>
    </row>
    <row r="1737" spans="1:26" x14ac:dyDescent="0.35">
      <c r="A1737" s="1">
        <v>42717</v>
      </c>
      <c r="C1737">
        <v>3236.71</v>
      </c>
      <c r="D1737">
        <f t="shared" si="357"/>
        <v>1.168473568327799E-2</v>
      </c>
      <c r="E1737" t="str">
        <f t="shared" si="351"/>
        <v>2016-12</v>
      </c>
      <c r="G1737">
        <v>4803.87</v>
      </c>
      <c r="H1737">
        <f t="shared" si="358"/>
        <v>9.0124232021946225E-3</v>
      </c>
      <c r="I1737" t="str">
        <f t="shared" si="352"/>
        <v>2016-12</v>
      </c>
      <c r="K1737">
        <v>11284.65</v>
      </c>
      <c r="L1737">
        <f t="shared" si="359"/>
        <v>8.4041062635844734E-3</v>
      </c>
      <c r="M1737" t="str">
        <f t="shared" si="353"/>
        <v>2016-12</v>
      </c>
      <c r="O1737">
        <v>8317.81214</v>
      </c>
      <c r="P1737">
        <f t="shared" si="360"/>
        <v>1.1867436056340898E-2</v>
      </c>
      <c r="Q1737" t="str">
        <f t="shared" si="354"/>
        <v>2016-12</v>
      </c>
      <c r="S1737">
        <v>9331.2999999999993</v>
      </c>
      <c r="T1737">
        <f t="shared" si="361"/>
        <v>1.5650211150080064E-2</v>
      </c>
      <c r="U1737" t="str">
        <f t="shared" si="355"/>
        <v>2016-12</v>
      </c>
      <c r="W1737">
        <v>18827.61</v>
      </c>
      <c r="X1737">
        <f t="shared" si="362"/>
        <v>2.4588090712540939E-2</v>
      </c>
      <c r="Y1737">
        <f t="shared" si="363"/>
        <v>2.4892870674000284E-2</v>
      </c>
      <c r="Z1737" t="str">
        <f t="shared" si="356"/>
        <v>2016-12</v>
      </c>
    </row>
    <row r="1738" spans="1:26" x14ac:dyDescent="0.35">
      <c r="A1738" s="1">
        <v>42718</v>
      </c>
      <c r="C1738">
        <v>3211.71</v>
      </c>
      <c r="D1738">
        <f t="shared" si="357"/>
        <v>-7.7538762224804462E-3</v>
      </c>
      <c r="E1738" t="str">
        <f t="shared" si="351"/>
        <v>2016-12</v>
      </c>
      <c r="G1738">
        <v>4769.24</v>
      </c>
      <c r="H1738">
        <f t="shared" si="358"/>
        <v>-7.2348800033537027E-3</v>
      </c>
      <c r="I1738" t="str">
        <f t="shared" si="352"/>
        <v>2016-12</v>
      </c>
      <c r="K1738">
        <v>11244.84</v>
      </c>
      <c r="L1738">
        <f t="shared" si="359"/>
        <v>-3.5340384033252462E-3</v>
      </c>
      <c r="M1738" t="str">
        <f t="shared" si="353"/>
        <v>2016-12</v>
      </c>
      <c r="O1738">
        <v>8281.6344100000006</v>
      </c>
      <c r="P1738">
        <f t="shared" si="360"/>
        <v>-4.3589148798224451E-3</v>
      </c>
      <c r="Q1738" t="str">
        <f t="shared" si="354"/>
        <v>2016-12</v>
      </c>
      <c r="S1738">
        <v>9218.4</v>
      </c>
      <c r="T1738">
        <f t="shared" si="361"/>
        <v>-1.2172853912254887E-2</v>
      </c>
      <c r="U1738" t="str">
        <f t="shared" si="355"/>
        <v>2016-12</v>
      </c>
      <c r="W1738">
        <v>18606.32</v>
      </c>
      <c r="X1738">
        <f t="shared" si="362"/>
        <v>-1.1823101542335826E-2</v>
      </c>
      <c r="Y1738">
        <f t="shared" si="363"/>
        <v>-1.1753483315195124E-2</v>
      </c>
      <c r="Z1738" t="str">
        <f t="shared" si="356"/>
        <v>2016-12</v>
      </c>
    </row>
    <row r="1739" spans="1:26" x14ac:dyDescent="0.35">
      <c r="A1739" s="1">
        <v>42719</v>
      </c>
      <c r="C1739">
        <v>3249.74</v>
      </c>
      <c r="D1739">
        <f t="shared" si="357"/>
        <v>1.1771487558927728E-2</v>
      </c>
      <c r="E1739" t="str">
        <f t="shared" si="351"/>
        <v>2016-12</v>
      </c>
      <c r="G1739">
        <v>4819.2299999999996</v>
      </c>
      <c r="H1739">
        <f t="shared" si="358"/>
        <v>1.0427201198055635E-2</v>
      </c>
      <c r="I1739" t="str">
        <f t="shared" si="352"/>
        <v>2016-12</v>
      </c>
      <c r="K1739">
        <v>11366.4</v>
      </c>
      <c r="L1739">
        <f t="shared" si="359"/>
        <v>1.0752278171572587E-2</v>
      </c>
      <c r="M1739" t="str">
        <f t="shared" si="353"/>
        <v>2016-12</v>
      </c>
      <c r="O1739">
        <v>8362.1130699999994</v>
      </c>
      <c r="P1739">
        <f t="shared" si="360"/>
        <v>9.6708132977627263E-3</v>
      </c>
      <c r="Q1739" t="str">
        <f t="shared" si="354"/>
        <v>2016-12</v>
      </c>
      <c r="S1739">
        <v>9340.7999999999993</v>
      </c>
      <c r="T1739">
        <f t="shared" si="361"/>
        <v>1.3190414959990772E-2</v>
      </c>
      <c r="U1739" t="str">
        <f t="shared" si="355"/>
        <v>2016-12</v>
      </c>
      <c r="W1739">
        <v>18994.79</v>
      </c>
      <c r="X1739">
        <f t="shared" si="362"/>
        <v>2.0663423085983783E-2</v>
      </c>
      <c r="Y1739">
        <f t="shared" si="363"/>
        <v>2.0878389708443214E-2</v>
      </c>
      <c r="Z1739" t="str">
        <f t="shared" si="356"/>
        <v>2016-12</v>
      </c>
    </row>
    <row r="1740" spans="1:26" x14ac:dyDescent="0.35">
      <c r="A1740" s="1">
        <v>42720</v>
      </c>
      <c r="C1740">
        <v>3259.24</v>
      </c>
      <c r="D1740">
        <f t="shared" si="357"/>
        <v>2.9190462240342207E-3</v>
      </c>
      <c r="E1740" t="str">
        <f t="shared" si="351"/>
        <v>2016-12</v>
      </c>
      <c r="G1740">
        <v>4833.2700000000004</v>
      </c>
      <c r="H1740">
        <f t="shared" si="358"/>
        <v>2.9090929606839515E-3</v>
      </c>
      <c r="I1740" t="str">
        <f t="shared" si="352"/>
        <v>2016-12</v>
      </c>
      <c r="K1740">
        <v>11404.01</v>
      </c>
      <c r="L1740">
        <f t="shared" si="359"/>
        <v>3.3034129997400372E-3</v>
      </c>
      <c r="M1740" t="str">
        <f t="shared" si="353"/>
        <v>2016-12</v>
      </c>
      <c r="O1740">
        <v>8388.3271199999999</v>
      </c>
      <c r="P1740">
        <f t="shared" si="360"/>
        <v>3.1299561209639747E-3</v>
      </c>
      <c r="Q1740" t="str">
        <f t="shared" si="354"/>
        <v>2016-12</v>
      </c>
      <c r="S1740">
        <v>9412.7999999999993</v>
      </c>
      <c r="T1740">
        <f t="shared" si="361"/>
        <v>7.678563450395891E-3</v>
      </c>
      <c r="U1740" t="str">
        <f t="shared" si="355"/>
        <v>2016-12</v>
      </c>
      <c r="W1740">
        <v>19014.75</v>
      </c>
      <c r="X1740">
        <f t="shared" si="362"/>
        <v>1.0502627411297374E-3</v>
      </c>
      <c r="Y1740">
        <f t="shared" si="363"/>
        <v>1.0508144601756126E-3</v>
      </c>
      <c r="Z1740" t="str">
        <f t="shared" si="356"/>
        <v>2016-12</v>
      </c>
    </row>
    <row r="1741" spans="1:26" x14ac:dyDescent="0.35">
      <c r="A1741" s="1">
        <v>42723</v>
      </c>
      <c r="C1741">
        <v>3257.85</v>
      </c>
      <c r="D1741">
        <f t="shared" si="357"/>
        <v>-4.2657076120693768E-4</v>
      </c>
      <c r="E1741" t="str">
        <f t="shared" si="351"/>
        <v>2016-12</v>
      </c>
      <c r="G1741">
        <v>4822.7700000000004</v>
      </c>
      <c r="H1741">
        <f t="shared" si="358"/>
        <v>-2.1748054354696245E-3</v>
      </c>
      <c r="I1741" t="str">
        <f t="shared" si="352"/>
        <v>2016-12</v>
      </c>
      <c r="K1741">
        <v>11426.7</v>
      </c>
      <c r="L1741">
        <f t="shared" si="359"/>
        <v>1.9876742747287125E-3</v>
      </c>
      <c r="M1741" t="str">
        <f t="shared" si="353"/>
        <v>2016-12</v>
      </c>
      <c r="O1741">
        <v>8344.1315599999998</v>
      </c>
      <c r="P1741">
        <f t="shared" si="360"/>
        <v>-5.2826262562440315E-3</v>
      </c>
      <c r="Q1741" t="str">
        <f t="shared" si="354"/>
        <v>2016-12</v>
      </c>
      <c r="S1741">
        <v>9336.7000000000007</v>
      </c>
      <c r="T1741">
        <f t="shared" si="361"/>
        <v>-8.1175943770032798E-3</v>
      </c>
      <c r="U1741" t="str">
        <f t="shared" si="355"/>
        <v>2016-12</v>
      </c>
      <c r="W1741">
        <v>18968.939999999999</v>
      </c>
      <c r="X1741">
        <f t="shared" si="362"/>
        <v>-2.4120890946023156E-3</v>
      </c>
      <c r="Y1741">
        <f t="shared" si="363"/>
        <v>-2.4091823452846504E-3</v>
      </c>
      <c r="Z1741" t="str">
        <f t="shared" si="356"/>
        <v>2016-12</v>
      </c>
    </row>
    <row r="1742" spans="1:26" x14ac:dyDescent="0.35">
      <c r="A1742" s="1">
        <v>42724</v>
      </c>
      <c r="C1742">
        <v>3279.41</v>
      </c>
      <c r="D1742">
        <f t="shared" si="357"/>
        <v>6.596059562972852E-3</v>
      </c>
      <c r="E1742" t="str">
        <f t="shared" si="351"/>
        <v>2016-12</v>
      </c>
      <c r="G1742">
        <v>4849.8900000000003</v>
      </c>
      <c r="H1742">
        <f t="shared" si="358"/>
        <v>5.6075724909935929E-3</v>
      </c>
      <c r="I1742" t="str">
        <f t="shared" si="352"/>
        <v>2016-12</v>
      </c>
      <c r="K1742">
        <v>11464.74</v>
      </c>
      <c r="L1742">
        <f t="shared" si="359"/>
        <v>3.3235161278669496E-3</v>
      </c>
      <c r="M1742" t="str">
        <f t="shared" si="353"/>
        <v>2016-12</v>
      </c>
      <c r="O1742">
        <v>8371.7308799999992</v>
      </c>
      <c r="P1742">
        <f t="shared" si="360"/>
        <v>3.3021742286355881E-3</v>
      </c>
      <c r="Q1742" t="str">
        <f t="shared" si="354"/>
        <v>2016-12</v>
      </c>
      <c r="S1742">
        <v>9407.9</v>
      </c>
      <c r="T1742">
        <f t="shared" si="361"/>
        <v>7.5968910970283026E-3</v>
      </c>
      <c r="U1742" t="str">
        <f t="shared" si="355"/>
        <v>2016-12</v>
      </c>
      <c r="W1742">
        <v>19247.240000000002</v>
      </c>
      <c r="X1742">
        <f t="shared" si="362"/>
        <v>1.4564769146934321E-2</v>
      </c>
      <c r="Y1742">
        <f t="shared" si="363"/>
        <v>1.4671352221052042E-2</v>
      </c>
      <c r="Z1742" t="str">
        <f t="shared" si="356"/>
        <v>2016-12</v>
      </c>
    </row>
    <row r="1743" spans="1:26" x14ac:dyDescent="0.35">
      <c r="A1743" s="1">
        <v>42725</v>
      </c>
      <c r="C1743">
        <v>3270.75</v>
      </c>
      <c r="D1743">
        <f t="shared" si="357"/>
        <v>-2.6442117584268652E-3</v>
      </c>
      <c r="E1743" t="str">
        <f t="shared" si="351"/>
        <v>2016-12</v>
      </c>
      <c r="G1743">
        <v>4833.82</v>
      </c>
      <c r="H1743">
        <f t="shared" si="358"/>
        <v>-3.3189789350879795E-3</v>
      </c>
      <c r="I1743" t="str">
        <f t="shared" si="352"/>
        <v>2016-12</v>
      </c>
      <c r="K1743">
        <v>11468.64</v>
      </c>
      <c r="L1743">
        <f t="shared" si="359"/>
        <v>3.401155902526446E-4</v>
      </c>
      <c r="M1743" t="str">
        <f t="shared" si="353"/>
        <v>2016-12</v>
      </c>
      <c r="O1743">
        <v>8342.0601600000009</v>
      </c>
      <c r="P1743">
        <f t="shared" si="360"/>
        <v>-3.5504513724438076E-3</v>
      </c>
      <c r="Q1743" t="str">
        <f t="shared" si="354"/>
        <v>2016-12</v>
      </c>
      <c r="S1743">
        <v>9371.7000000000007</v>
      </c>
      <c r="T1743">
        <f t="shared" si="361"/>
        <v>-3.8552519581467716E-3</v>
      </c>
      <c r="U1743" t="str">
        <f t="shared" si="355"/>
        <v>2016-12</v>
      </c>
      <c r="W1743">
        <v>19215.59</v>
      </c>
      <c r="X1743">
        <f t="shared" si="362"/>
        <v>-1.6457451073469606E-3</v>
      </c>
      <c r="Y1743">
        <f t="shared" si="363"/>
        <v>-1.6443916114726813E-3</v>
      </c>
      <c r="Z1743" t="str">
        <f t="shared" si="356"/>
        <v>2016-12</v>
      </c>
    </row>
    <row r="1744" spans="1:26" x14ac:dyDescent="0.35">
      <c r="A1744" s="1">
        <v>42726</v>
      </c>
      <c r="C1744">
        <v>3269.51</v>
      </c>
      <c r="D1744">
        <f t="shared" si="357"/>
        <v>-3.7918982268515935E-4</v>
      </c>
      <c r="E1744" t="str">
        <f t="shared" si="351"/>
        <v>2016-12</v>
      </c>
      <c r="G1744">
        <v>4834.63</v>
      </c>
      <c r="H1744">
        <f t="shared" si="358"/>
        <v>1.6755529622540649E-4</v>
      </c>
      <c r="I1744" t="str">
        <f t="shared" si="352"/>
        <v>2016-12</v>
      </c>
      <c r="K1744">
        <v>11456.1</v>
      </c>
      <c r="L1744">
        <f t="shared" si="359"/>
        <v>-1.0940146977219101E-3</v>
      </c>
      <c r="M1744" t="str">
        <f t="shared" si="353"/>
        <v>2016-12</v>
      </c>
      <c r="O1744">
        <v>8321.9106800000009</v>
      </c>
      <c r="P1744">
        <f t="shared" si="360"/>
        <v>-2.4183299423067442E-3</v>
      </c>
      <c r="Q1744" t="str">
        <f t="shared" si="354"/>
        <v>2016-12</v>
      </c>
      <c r="S1744">
        <v>9333.6</v>
      </c>
      <c r="T1744">
        <f t="shared" si="361"/>
        <v>-4.073717362422455E-3</v>
      </c>
      <c r="U1744" t="str">
        <f t="shared" si="355"/>
        <v>2016-12</v>
      </c>
      <c r="W1744">
        <v>19121.259999999998</v>
      </c>
      <c r="X1744">
        <f t="shared" si="362"/>
        <v>-4.9211236900960154E-3</v>
      </c>
      <c r="Y1744">
        <f t="shared" si="363"/>
        <v>-4.9090347993479121E-3</v>
      </c>
      <c r="Z1744" t="str">
        <f t="shared" si="356"/>
        <v>2016-12</v>
      </c>
    </row>
    <row r="1745" spans="1:26" x14ac:dyDescent="0.35">
      <c r="A1745" s="1">
        <v>42727</v>
      </c>
      <c r="C1745">
        <v>3273.97</v>
      </c>
      <c r="D1745">
        <f t="shared" si="357"/>
        <v>1.3631892175606708E-3</v>
      </c>
      <c r="E1745" t="str">
        <f t="shared" si="351"/>
        <v>2016-12</v>
      </c>
      <c r="G1745">
        <v>4839.68</v>
      </c>
      <c r="H1745">
        <f t="shared" si="358"/>
        <v>1.0440021993679425E-3</v>
      </c>
      <c r="I1745" t="str">
        <f t="shared" si="352"/>
        <v>2016-12</v>
      </c>
      <c r="K1745">
        <v>11449.93</v>
      </c>
      <c r="L1745">
        <f t="shared" si="359"/>
        <v>-5.3872278602815223E-4</v>
      </c>
      <c r="M1745" t="str">
        <f t="shared" si="353"/>
        <v>2016-12</v>
      </c>
      <c r="O1745">
        <v>8302.1231100000005</v>
      </c>
      <c r="P1745">
        <f t="shared" si="360"/>
        <v>-2.3805990284978167E-3</v>
      </c>
      <c r="Q1745" t="str">
        <f t="shared" si="354"/>
        <v>2016-12</v>
      </c>
      <c r="S1745">
        <v>9367.7000000000007</v>
      </c>
      <c r="T1745">
        <f t="shared" si="361"/>
        <v>3.6468093439427627E-3</v>
      </c>
      <c r="U1745" t="str">
        <f t="shared" si="355"/>
        <v>2016-12</v>
      </c>
      <c r="W1745">
        <v>19345.02</v>
      </c>
      <c r="X1745">
        <f t="shared" si="362"/>
        <v>1.1634216977257169E-2</v>
      </c>
      <c r="Y1745">
        <f t="shared" si="363"/>
        <v>1.1702157702996667E-2</v>
      </c>
      <c r="Z1745" t="str">
        <f t="shared" si="356"/>
        <v>2016-12</v>
      </c>
    </row>
    <row r="1746" spans="1:26" x14ac:dyDescent="0.35">
      <c r="A1746" s="1">
        <v>42732</v>
      </c>
      <c r="C1746">
        <v>3278.72</v>
      </c>
      <c r="D1746">
        <f t="shared" si="357"/>
        <v>1.4497865249216155E-3</v>
      </c>
      <c r="E1746" t="str">
        <f t="shared" si="351"/>
        <v>2016-12</v>
      </c>
      <c r="G1746">
        <v>4848.01</v>
      </c>
      <c r="H1746">
        <f t="shared" si="358"/>
        <v>1.7197086308350336E-3</v>
      </c>
      <c r="I1746" t="str">
        <f t="shared" si="352"/>
        <v>2016-12</v>
      </c>
      <c r="K1746">
        <v>11474.99</v>
      </c>
      <c r="L1746">
        <f t="shared" si="359"/>
        <v>2.186268042091179E-3</v>
      </c>
      <c r="M1746" t="str">
        <f t="shared" si="353"/>
        <v>2016-12</v>
      </c>
      <c r="O1746">
        <v>8367.2997099999993</v>
      </c>
      <c r="P1746">
        <f t="shared" si="360"/>
        <v>7.8199386793859002E-3</v>
      </c>
      <c r="Q1746" t="str">
        <f t="shared" si="354"/>
        <v>2016-12</v>
      </c>
      <c r="S1746">
        <v>9344.9</v>
      </c>
      <c r="T1746">
        <f t="shared" si="361"/>
        <v>-2.4368619307592568E-3</v>
      </c>
      <c r="U1746" t="str">
        <f t="shared" si="355"/>
        <v>2016-12</v>
      </c>
      <c r="W1746">
        <v>19239.39</v>
      </c>
      <c r="X1746">
        <f t="shared" si="362"/>
        <v>-5.4752820575717153E-3</v>
      </c>
      <c r="Y1746">
        <f t="shared" si="363"/>
        <v>-5.4603200203463742E-3</v>
      </c>
      <c r="Z1746" t="str">
        <f t="shared" si="356"/>
        <v>2016-12</v>
      </c>
    </row>
    <row r="1747" spans="1:26" x14ac:dyDescent="0.35">
      <c r="A1747" s="1">
        <v>42733</v>
      </c>
      <c r="C1747">
        <v>3271.76</v>
      </c>
      <c r="D1747">
        <f t="shared" si="357"/>
        <v>-2.1250359116126629E-3</v>
      </c>
      <c r="E1747" t="str">
        <f t="shared" si="351"/>
        <v>2016-12</v>
      </c>
      <c r="G1747">
        <v>4838.47</v>
      </c>
      <c r="H1747">
        <f t="shared" si="358"/>
        <v>-1.9697564201964619E-3</v>
      </c>
      <c r="I1747" t="str">
        <f t="shared" si="352"/>
        <v>2016-12</v>
      </c>
      <c r="K1747">
        <v>11451.05</v>
      </c>
      <c r="L1747">
        <f t="shared" si="359"/>
        <v>-2.0884556339852414E-3</v>
      </c>
      <c r="M1747" t="str">
        <f t="shared" si="353"/>
        <v>2016-12</v>
      </c>
      <c r="O1747">
        <v>8312.8627500000002</v>
      </c>
      <c r="P1747">
        <f t="shared" si="360"/>
        <v>-6.5271730296037273E-3</v>
      </c>
      <c r="Q1747" t="str">
        <f t="shared" si="354"/>
        <v>2016-12</v>
      </c>
      <c r="S1747">
        <v>9327.1</v>
      </c>
      <c r="T1747">
        <f t="shared" si="361"/>
        <v>-1.906598692383442E-3</v>
      </c>
      <c r="U1747" t="str">
        <f t="shared" si="355"/>
        <v>2016-12</v>
      </c>
      <c r="W1747">
        <v>19203.939999999999</v>
      </c>
      <c r="X1747">
        <f t="shared" si="362"/>
        <v>-1.8442736385293303E-3</v>
      </c>
      <c r="Y1747">
        <f t="shared" si="363"/>
        <v>-1.8425740109224216E-3</v>
      </c>
      <c r="Z1747" t="str">
        <f t="shared" si="356"/>
        <v>2016-12</v>
      </c>
    </row>
    <row r="1748" spans="1:26" x14ac:dyDescent="0.35">
      <c r="A1748" s="1">
        <v>42734</v>
      </c>
      <c r="C1748">
        <v>3290.52</v>
      </c>
      <c r="D1748">
        <f t="shared" si="357"/>
        <v>5.7175405821638199E-3</v>
      </c>
      <c r="E1748" t="str">
        <f t="shared" si="351"/>
        <v>2016-12</v>
      </c>
      <c r="G1748">
        <v>4862.3100000000004</v>
      </c>
      <c r="H1748">
        <f t="shared" si="358"/>
        <v>4.9150785800460388E-3</v>
      </c>
      <c r="I1748" t="str">
        <f t="shared" si="352"/>
        <v>2016-12</v>
      </c>
      <c r="K1748">
        <v>11481.06</v>
      </c>
      <c r="L1748">
        <f t="shared" si="359"/>
        <v>2.6172922710778236E-3</v>
      </c>
      <c r="M1748" t="str">
        <f t="shared" si="353"/>
        <v>2016-12</v>
      </c>
      <c r="O1748">
        <v>8360.5040599999993</v>
      </c>
      <c r="P1748">
        <f t="shared" si="360"/>
        <v>5.7146754097984259E-3</v>
      </c>
      <c r="Q1748" t="str">
        <f t="shared" si="354"/>
        <v>2016-12</v>
      </c>
      <c r="S1748">
        <v>9352.1</v>
      </c>
      <c r="T1748">
        <f t="shared" si="361"/>
        <v>2.6767757642029875E-3</v>
      </c>
      <c r="U1748" t="str">
        <f t="shared" si="355"/>
        <v>2016-12</v>
      </c>
      <c r="W1748">
        <v>19234.580000000002</v>
      </c>
      <c r="X1748">
        <f t="shared" si="362"/>
        <v>1.5942344548912019E-3</v>
      </c>
      <c r="Y1748">
        <f t="shared" si="363"/>
        <v>1.59550592222237E-3</v>
      </c>
      <c r="Z1748" t="str">
        <f t="shared" si="356"/>
        <v>2016-12</v>
      </c>
    </row>
    <row r="1749" spans="1:26" x14ac:dyDescent="0.35">
      <c r="A1749" s="1">
        <v>42738</v>
      </c>
      <c r="C1749">
        <v>3315.02</v>
      </c>
      <c r="D1749">
        <f t="shared" si="357"/>
        <v>7.4180498029332662E-3</v>
      </c>
      <c r="E1749" t="str">
        <f t="shared" si="351"/>
        <v>2017-01</v>
      </c>
      <c r="G1749">
        <v>4899.33</v>
      </c>
      <c r="H1749">
        <f t="shared" si="358"/>
        <v>7.5848274426567009E-3</v>
      </c>
      <c r="I1749" t="str">
        <f t="shared" si="352"/>
        <v>2017-01</v>
      </c>
      <c r="K1749">
        <v>11584.24</v>
      </c>
      <c r="L1749">
        <f t="shared" si="359"/>
        <v>8.9468325371584757E-3</v>
      </c>
      <c r="M1749" t="str">
        <f t="shared" si="353"/>
        <v>2017-01</v>
      </c>
      <c r="O1749">
        <v>8439.7172100000007</v>
      </c>
      <c r="P1749">
        <f t="shared" si="360"/>
        <v>9.4300825850016212E-3</v>
      </c>
      <c r="Q1749" t="str">
        <f t="shared" si="354"/>
        <v>2017-01</v>
      </c>
      <c r="S1749">
        <v>9494.7000000000007</v>
      </c>
      <c r="T1749">
        <f t="shared" si="361"/>
        <v>1.5132831175966095E-2</v>
      </c>
      <c r="U1749" t="str">
        <f t="shared" si="355"/>
        <v>2017-01</v>
      </c>
      <c r="W1749">
        <v>19573.48</v>
      </c>
      <c r="X1749">
        <f t="shared" si="362"/>
        <v>1.746588802847714E-2</v>
      </c>
      <c r="Y1749">
        <f t="shared" si="363"/>
        <v>1.7619308557816068E-2</v>
      </c>
      <c r="Z1749" t="str">
        <f t="shared" si="356"/>
        <v>2017-01</v>
      </c>
    </row>
    <row r="1750" spans="1:26" x14ac:dyDescent="0.35">
      <c r="A1750" s="1">
        <v>42739</v>
      </c>
      <c r="C1750">
        <v>3317.52</v>
      </c>
      <c r="D1750">
        <f t="shared" si="357"/>
        <v>7.5385903994435355E-4</v>
      </c>
      <c r="E1750" t="str">
        <f t="shared" si="351"/>
        <v>2017-01</v>
      </c>
      <c r="G1750">
        <v>4899.3999999999996</v>
      </c>
      <c r="H1750">
        <f t="shared" si="358"/>
        <v>1.4287565837699999E-5</v>
      </c>
      <c r="I1750" t="str">
        <f t="shared" si="352"/>
        <v>2017-01</v>
      </c>
      <c r="K1750">
        <v>11584.31</v>
      </c>
      <c r="L1750">
        <f t="shared" si="359"/>
        <v>6.0426742287266237E-6</v>
      </c>
      <c r="M1750" t="str">
        <f t="shared" si="353"/>
        <v>2017-01</v>
      </c>
      <c r="O1750">
        <v>8456.4579400000002</v>
      </c>
      <c r="P1750">
        <f t="shared" si="360"/>
        <v>1.9816006083532836E-3</v>
      </c>
      <c r="Q1750" t="str">
        <f t="shared" si="354"/>
        <v>2017-01</v>
      </c>
      <c r="S1750">
        <v>9462.9</v>
      </c>
      <c r="T1750">
        <f t="shared" si="361"/>
        <v>-3.3548581915368979E-3</v>
      </c>
      <c r="U1750" t="str">
        <f t="shared" si="355"/>
        <v>2017-01</v>
      </c>
      <c r="W1750">
        <v>19626.64</v>
      </c>
      <c r="X1750">
        <f t="shared" si="362"/>
        <v>2.712238257848255E-3</v>
      </c>
      <c r="Y1750">
        <f t="shared" si="363"/>
        <v>2.7159197035989437E-3</v>
      </c>
      <c r="Z1750" t="str">
        <f t="shared" si="356"/>
        <v>2017-01</v>
      </c>
    </row>
    <row r="1751" spans="1:26" x14ac:dyDescent="0.35">
      <c r="A1751" s="1">
        <v>42740</v>
      </c>
      <c r="C1751">
        <v>3316.47</v>
      </c>
      <c r="D1751">
        <f t="shared" si="357"/>
        <v>-3.1655158020073716E-4</v>
      </c>
      <c r="E1751" t="str">
        <f t="shared" si="351"/>
        <v>2017-01</v>
      </c>
      <c r="G1751">
        <v>4900.6400000000003</v>
      </c>
      <c r="H1751">
        <f t="shared" si="358"/>
        <v>2.5306019294162632E-4</v>
      </c>
      <c r="I1751" t="str">
        <f t="shared" si="352"/>
        <v>2017-01</v>
      </c>
      <c r="K1751">
        <v>11584.94</v>
      </c>
      <c r="L1751">
        <f t="shared" si="359"/>
        <v>5.438242499480053E-5</v>
      </c>
      <c r="M1751" t="str">
        <f t="shared" si="353"/>
        <v>2017-01</v>
      </c>
      <c r="O1751">
        <v>8430.9642899999999</v>
      </c>
      <c r="P1751">
        <f t="shared" si="360"/>
        <v>-3.0192493583895801E-3</v>
      </c>
      <c r="Q1751" t="str">
        <f t="shared" si="354"/>
        <v>2017-01</v>
      </c>
      <c r="S1751">
        <v>9488.2000000000007</v>
      </c>
      <c r="T1751">
        <f t="shared" si="361"/>
        <v>2.6700312942730072E-3</v>
      </c>
      <c r="U1751" t="str">
        <f t="shared" si="355"/>
        <v>2017-01</v>
      </c>
      <c r="W1751">
        <v>19642.810000000001</v>
      </c>
      <c r="X1751">
        <f t="shared" si="362"/>
        <v>8.2354099249677454E-4</v>
      </c>
      <c r="Y1751">
        <f t="shared" si="363"/>
        <v>8.2388019548949247E-4</v>
      </c>
      <c r="Z1751" t="str">
        <f t="shared" si="356"/>
        <v>2017-01</v>
      </c>
    </row>
    <row r="1752" spans="1:26" x14ac:dyDescent="0.35">
      <c r="A1752" s="1">
        <v>42741</v>
      </c>
      <c r="C1752">
        <v>3321.17</v>
      </c>
      <c r="D1752">
        <f t="shared" si="357"/>
        <v>1.4161662233861485E-3</v>
      </c>
      <c r="E1752" t="str">
        <f t="shared" si="351"/>
        <v>2017-01</v>
      </c>
      <c r="G1752">
        <v>4909.84</v>
      </c>
      <c r="H1752">
        <f t="shared" si="358"/>
        <v>1.8755458849886465E-3</v>
      </c>
      <c r="I1752" t="str">
        <f t="shared" si="352"/>
        <v>2017-01</v>
      </c>
      <c r="K1752">
        <v>11599.01</v>
      </c>
      <c r="L1752">
        <f t="shared" si="359"/>
        <v>1.2137708826472022E-3</v>
      </c>
      <c r="M1752" t="str">
        <f t="shared" si="353"/>
        <v>2017-01</v>
      </c>
      <c r="O1752">
        <v>8406.7132700000002</v>
      </c>
      <c r="P1752">
        <f t="shared" si="360"/>
        <v>-2.8805679028472866E-3</v>
      </c>
      <c r="Q1752" t="str">
        <f t="shared" si="354"/>
        <v>2017-01</v>
      </c>
      <c r="S1752">
        <v>9515.9</v>
      </c>
      <c r="T1752">
        <f t="shared" si="361"/>
        <v>2.9151624772138906E-3</v>
      </c>
      <c r="U1752" t="str">
        <f t="shared" si="355"/>
        <v>2017-01</v>
      </c>
      <c r="W1752">
        <v>19687.71</v>
      </c>
      <c r="X1752">
        <f t="shared" si="362"/>
        <v>2.2832151471972994E-3</v>
      </c>
      <c r="Y1752">
        <f t="shared" si="363"/>
        <v>2.2858236677948734E-3</v>
      </c>
      <c r="Z1752" t="str">
        <f t="shared" si="356"/>
        <v>2017-01</v>
      </c>
    </row>
    <row r="1753" spans="1:26" x14ac:dyDescent="0.35">
      <c r="A1753" s="1">
        <v>42744</v>
      </c>
      <c r="C1753">
        <v>3308.97</v>
      </c>
      <c r="D1753">
        <f t="shared" si="357"/>
        <v>-3.6801677700196945E-3</v>
      </c>
      <c r="E1753" t="str">
        <f t="shared" si="351"/>
        <v>2017-01</v>
      </c>
      <c r="G1753">
        <v>4887.57</v>
      </c>
      <c r="H1753">
        <f t="shared" si="358"/>
        <v>-4.5461072578699786E-3</v>
      </c>
      <c r="I1753" t="str">
        <f t="shared" si="352"/>
        <v>2017-01</v>
      </c>
      <c r="K1753">
        <v>11563.99</v>
      </c>
      <c r="L1753">
        <f t="shared" si="359"/>
        <v>-3.0237902416107381E-3</v>
      </c>
      <c r="M1753" t="str">
        <f t="shared" si="353"/>
        <v>2017-01</v>
      </c>
      <c r="O1753">
        <v>8331.8913200000006</v>
      </c>
      <c r="P1753">
        <f t="shared" si="360"/>
        <v>-8.9401058428095984E-3</v>
      </c>
      <c r="Q1753" t="str">
        <f t="shared" si="354"/>
        <v>2017-01</v>
      </c>
      <c r="S1753">
        <v>9492.7999999999993</v>
      </c>
      <c r="T1753">
        <f t="shared" si="361"/>
        <v>-2.4304672461875937E-3</v>
      </c>
      <c r="U1753" t="str">
        <f t="shared" si="355"/>
        <v>2017-01</v>
      </c>
      <c r="W1753">
        <v>19360.02</v>
      </c>
      <c r="X1753">
        <f t="shared" si="362"/>
        <v>-1.6784468289881373E-2</v>
      </c>
      <c r="Y1753">
        <f t="shared" si="363"/>
        <v>-1.6644393888369888E-2</v>
      </c>
      <c r="Z1753" t="str">
        <f t="shared" si="356"/>
        <v>2017-01</v>
      </c>
    </row>
    <row r="1754" spans="1:26" x14ac:dyDescent="0.35">
      <c r="A1754" s="1">
        <v>42745</v>
      </c>
      <c r="C1754">
        <v>3306.21</v>
      </c>
      <c r="D1754">
        <f t="shared" si="357"/>
        <v>-8.3444446262931598E-4</v>
      </c>
      <c r="E1754" t="str">
        <f t="shared" si="351"/>
        <v>2017-01</v>
      </c>
      <c r="G1754">
        <v>4888.2299999999996</v>
      </c>
      <c r="H1754">
        <f t="shared" si="358"/>
        <v>1.3502731254780401E-4</v>
      </c>
      <c r="I1754" t="str">
        <f t="shared" si="352"/>
        <v>2017-01</v>
      </c>
      <c r="K1754">
        <v>11583.3</v>
      </c>
      <c r="L1754">
        <f t="shared" si="359"/>
        <v>1.6684462396641389E-3</v>
      </c>
      <c r="M1754" t="str">
        <f t="shared" si="353"/>
        <v>2017-01</v>
      </c>
      <c r="O1754">
        <v>8376.3317599999991</v>
      </c>
      <c r="P1754">
        <f t="shared" si="360"/>
        <v>5.3196015621438898E-3</v>
      </c>
      <c r="Q1754" t="str">
        <f t="shared" si="354"/>
        <v>2017-01</v>
      </c>
      <c r="S1754">
        <v>9452</v>
      </c>
      <c r="T1754">
        <f t="shared" si="361"/>
        <v>-4.3072571975802205E-3</v>
      </c>
      <c r="U1754" t="str">
        <f t="shared" si="355"/>
        <v>2017-01</v>
      </c>
      <c r="W1754">
        <v>19424.189999999999</v>
      </c>
      <c r="X1754">
        <f t="shared" si="362"/>
        <v>3.3090816368427467E-3</v>
      </c>
      <c r="Y1754">
        <f t="shared" si="363"/>
        <v>3.3145626915673772E-3</v>
      </c>
      <c r="Z1754" t="str">
        <f t="shared" si="356"/>
        <v>2017-01</v>
      </c>
    </row>
    <row r="1755" spans="1:26" x14ac:dyDescent="0.35">
      <c r="A1755" s="1">
        <v>42746</v>
      </c>
      <c r="C1755">
        <v>3307.94</v>
      </c>
      <c r="D1755">
        <f t="shared" si="357"/>
        <v>5.2312089669931557E-4</v>
      </c>
      <c r="E1755" t="str">
        <f t="shared" si="351"/>
        <v>2017-01</v>
      </c>
      <c r="G1755">
        <v>4888.71</v>
      </c>
      <c r="H1755">
        <f t="shared" si="358"/>
        <v>9.8190231378438551E-5</v>
      </c>
      <c r="I1755" t="str">
        <f t="shared" si="352"/>
        <v>2017-01</v>
      </c>
      <c r="K1755">
        <v>11646.17</v>
      </c>
      <c r="L1755">
        <f t="shared" si="359"/>
        <v>5.4129649543017931E-3</v>
      </c>
      <c r="M1755" t="str">
        <f t="shared" si="353"/>
        <v>2017-01</v>
      </c>
      <c r="O1755">
        <v>8395.2143099999994</v>
      </c>
      <c r="P1755">
        <f t="shared" si="360"/>
        <v>2.2517373055019876E-3</v>
      </c>
      <c r="Q1755" t="str">
        <f t="shared" si="354"/>
        <v>2017-01</v>
      </c>
      <c r="S1755">
        <v>9408.6</v>
      </c>
      <c r="T1755">
        <f t="shared" si="361"/>
        <v>-4.6021946917575223E-3</v>
      </c>
      <c r="U1755" t="str">
        <f t="shared" si="355"/>
        <v>2017-01</v>
      </c>
      <c r="W1755">
        <v>19486.88</v>
      </c>
      <c r="X1755">
        <f t="shared" si="362"/>
        <v>3.2222220689909985E-3</v>
      </c>
      <c r="Y1755">
        <f t="shared" si="363"/>
        <v>3.2274190069188128E-3</v>
      </c>
      <c r="Z1755" t="str">
        <f t="shared" si="356"/>
        <v>2017-01</v>
      </c>
    </row>
    <row r="1756" spans="1:26" x14ac:dyDescent="0.35">
      <c r="A1756" s="1">
        <v>42747</v>
      </c>
      <c r="C1756">
        <v>3286.7</v>
      </c>
      <c r="D1756">
        <f t="shared" si="357"/>
        <v>-6.4416172664758034E-3</v>
      </c>
      <c r="E1756" t="str">
        <f t="shared" si="351"/>
        <v>2017-01</v>
      </c>
      <c r="G1756">
        <v>4863.97</v>
      </c>
      <c r="H1756">
        <f t="shared" si="358"/>
        <v>-5.0734881217999184E-3</v>
      </c>
      <c r="I1756" t="str">
        <f t="shared" si="352"/>
        <v>2017-01</v>
      </c>
      <c r="K1756">
        <v>11521.04</v>
      </c>
      <c r="L1756">
        <f t="shared" si="359"/>
        <v>-1.0802441624281159E-2</v>
      </c>
      <c r="M1756" t="str">
        <f t="shared" si="353"/>
        <v>2017-01</v>
      </c>
      <c r="O1756">
        <v>8346.2677800000001</v>
      </c>
      <c r="P1756">
        <f t="shared" si="360"/>
        <v>-5.8473520086015293E-3</v>
      </c>
      <c r="Q1756" t="str">
        <f t="shared" si="354"/>
        <v>2017-01</v>
      </c>
      <c r="S1756">
        <v>9407.4</v>
      </c>
      <c r="T1756">
        <f t="shared" si="361"/>
        <v>-1.2755102058114947E-4</v>
      </c>
      <c r="U1756" t="str">
        <f t="shared" si="355"/>
        <v>2017-01</v>
      </c>
      <c r="W1756">
        <v>19156.59</v>
      </c>
      <c r="X1756">
        <f t="shared" si="362"/>
        <v>-1.7094636856096197E-2</v>
      </c>
      <c r="Y1756">
        <f t="shared" si="363"/>
        <v>-1.6949352590050374E-2</v>
      </c>
      <c r="Z1756" t="str">
        <f t="shared" si="356"/>
        <v>2017-01</v>
      </c>
    </row>
    <row r="1757" spans="1:26" x14ac:dyDescent="0.35">
      <c r="A1757" s="1">
        <v>42748</v>
      </c>
      <c r="C1757">
        <v>3324.34</v>
      </c>
      <c r="D1757">
        <f t="shared" si="357"/>
        <v>1.1387136281395673E-2</v>
      </c>
      <c r="E1757" t="str">
        <f t="shared" si="351"/>
        <v>2017-01</v>
      </c>
      <c r="G1757">
        <v>4922.49</v>
      </c>
      <c r="H1757">
        <f t="shared" si="358"/>
        <v>1.195952315932774E-2</v>
      </c>
      <c r="I1757" t="str">
        <f t="shared" si="352"/>
        <v>2017-01</v>
      </c>
      <c r="K1757">
        <v>11629.18</v>
      </c>
      <c r="L1757">
        <f t="shared" si="359"/>
        <v>9.3425277654017695E-3</v>
      </c>
      <c r="M1757" t="str">
        <f t="shared" si="353"/>
        <v>2017-01</v>
      </c>
      <c r="O1757">
        <v>8418.7866200000008</v>
      </c>
      <c r="P1757">
        <f t="shared" si="360"/>
        <v>8.6512444957686906E-3</v>
      </c>
      <c r="Q1757" t="str">
        <f t="shared" si="354"/>
        <v>2017-01</v>
      </c>
      <c r="S1757">
        <v>9511.6</v>
      </c>
      <c r="T1757">
        <f t="shared" si="361"/>
        <v>1.101549274728239E-2</v>
      </c>
      <c r="U1757" t="str">
        <f t="shared" si="355"/>
        <v>2017-01</v>
      </c>
      <c r="W1757">
        <v>19514.54</v>
      </c>
      <c r="X1757">
        <f t="shared" si="362"/>
        <v>1.8513046987696638E-2</v>
      </c>
      <c r="Y1757">
        <f t="shared" si="363"/>
        <v>1.8685475859743342E-2</v>
      </c>
      <c r="Z1757" t="str">
        <f t="shared" si="356"/>
        <v>2017-01</v>
      </c>
    </row>
    <row r="1758" spans="1:26" x14ac:dyDescent="0.35">
      <c r="A1758" s="1">
        <v>42751</v>
      </c>
      <c r="C1758">
        <v>3294.53</v>
      </c>
      <c r="D1758">
        <f t="shared" si="357"/>
        <v>-9.0076407480516579E-3</v>
      </c>
      <c r="E1758" t="str">
        <f t="shared" si="351"/>
        <v>2017-01</v>
      </c>
      <c r="G1758">
        <v>4882.18</v>
      </c>
      <c r="H1758">
        <f t="shared" si="358"/>
        <v>-8.2226586147428893E-3</v>
      </c>
      <c r="I1758" t="str">
        <f t="shared" si="352"/>
        <v>2017-01</v>
      </c>
      <c r="K1758">
        <v>11554.71</v>
      </c>
      <c r="L1758">
        <f t="shared" si="359"/>
        <v>-6.424310685181611E-3</v>
      </c>
      <c r="M1758" t="str">
        <f t="shared" si="353"/>
        <v>2017-01</v>
      </c>
      <c r="O1758">
        <v>8338.7216900000003</v>
      </c>
      <c r="P1758">
        <f t="shared" si="360"/>
        <v>-9.5557809389083467E-3</v>
      </c>
      <c r="Q1758" t="str">
        <f t="shared" si="354"/>
        <v>2017-01</v>
      </c>
      <c r="S1758">
        <v>9410</v>
      </c>
      <c r="T1758">
        <f t="shared" si="361"/>
        <v>-1.073915276231683E-2</v>
      </c>
      <c r="U1758" t="str">
        <f t="shared" si="355"/>
        <v>2017-01</v>
      </c>
      <c r="W1758">
        <v>19247.25</v>
      </c>
      <c r="X1758">
        <f t="shared" si="362"/>
        <v>-1.3791635357300169E-2</v>
      </c>
      <c r="Y1758">
        <f t="shared" si="363"/>
        <v>-1.3696966467054867E-2</v>
      </c>
      <c r="Z1758" t="str">
        <f t="shared" si="356"/>
        <v>2017-01</v>
      </c>
    </row>
    <row r="1759" spans="1:26" x14ac:dyDescent="0.35">
      <c r="A1759" s="1">
        <v>42752</v>
      </c>
      <c r="C1759">
        <v>3285.04</v>
      </c>
      <c r="D1759">
        <f t="shared" si="357"/>
        <v>-2.884688993616311E-3</v>
      </c>
      <c r="E1759" t="str">
        <f t="shared" si="351"/>
        <v>2017-01</v>
      </c>
      <c r="G1759">
        <v>4859.6899999999996</v>
      </c>
      <c r="H1759">
        <f t="shared" si="358"/>
        <v>-4.6171915565142016E-3</v>
      </c>
      <c r="I1759" t="str">
        <f t="shared" si="352"/>
        <v>2017-01</v>
      </c>
      <c r="K1759">
        <v>11540</v>
      </c>
      <c r="L1759">
        <f t="shared" si="359"/>
        <v>-1.2738849709964845E-3</v>
      </c>
      <c r="M1759" t="str">
        <f t="shared" si="353"/>
        <v>2017-01</v>
      </c>
      <c r="O1759">
        <v>8356.8525599999994</v>
      </c>
      <c r="P1759">
        <f t="shared" si="360"/>
        <v>2.1719381263471909E-3</v>
      </c>
      <c r="Q1759" t="str">
        <f t="shared" si="354"/>
        <v>2017-01</v>
      </c>
      <c r="S1759">
        <v>9394.9</v>
      </c>
      <c r="T1759">
        <f t="shared" si="361"/>
        <v>-1.6059647480600047E-3</v>
      </c>
      <c r="U1759" t="str">
        <f t="shared" si="355"/>
        <v>2017-01</v>
      </c>
      <c r="W1759">
        <v>19296.16</v>
      </c>
      <c r="X1759">
        <f t="shared" si="362"/>
        <v>2.537918998478615E-3</v>
      </c>
      <c r="Y1759">
        <f t="shared" si="363"/>
        <v>2.5411422410993702E-3</v>
      </c>
      <c r="Z1759" t="str">
        <f t="shared" si="356"/>
        <v>2017-01</v>
      </c>
    </row>
    <row r="1760" spans="1:26" x14ac:dyDescent="0.35">
      <c r="A1760" s="1">
        <v>42753</v>
      </c>
      <c r="C1760">
        <v>3294</v>
      </c>
      <c r="D1760">
        <f t="shared" si="357"/>
        <v>2.7238033328866812E-3</v>
      </c>
      <c r="E1760" t="str">
        <f t="shared" si="351"/>
        <v>2017-01</v>
      </c>
      <c r="G1760">
        <v>4853.3999999999996</v>
      </c>
      <c r="H1760">
        <f t="shared" si="358"/>
        <v>-1.2951595999331255E-3</v>
      </c>
      <c r="I1760" t="str">
        <f t="shared" si="352"/>
        <v>2017-01</v>
      </c>
      <c r="K1760">
        <v>11599.39</v>
      </c>
      <c r="L1760">
        <f t="shared" si="359"/>
        <v>5.1332494427658339E-3</v>
      </c>
      <c r="M1760" t="str">
        <f t="shared" si="353"/>
        <v>2017-01</v>
      </c>
      <c r="O1760">
        <v>8351.4068200000002</v>
      </c>
      <c r="P1760">
        <f t="shared" si="360"/>
        <v>-6.5186206043147689E-4</v>
      </c>
      <c r="Q1760" t="str">
        <f t="shared" si="354"/>
        <v>2017-01</v>
      </c>
      <c r="S1760">
        <v>9386.2000000000007</v>
      </c>
      <c r="T1760">
        <f t="shared" si="361"/>
        <v>-9.2646337246399225E-4</v>
      </c>
      <c r="U1760" t="str">
        <f t="shared" si="355"/>
        <v>2017-01</v>
      </c>
      <c r="W1760">
        <v>19358.099999999999</v>
      </c>
      <c r="X1760">
        <f t="shared" si="362"/>
        <v>3.204824152108559E-3</v>
      </c>
      <c r="Y1760">
        <f t="shared" si="363"/>
        <v>3.2099650915000028E-3</v>
      </c>
      <c r="Z1760" t="str">
        <f t="shared" si="356"/>
        <v>2017-01</v>
      </c>
    </row>
    <row r="1761" spans="1:26" x14ac:dyDescent="0.35">
      <c r="A1761" s="1">
        <v>42754</v>
      </c>
      <c r="C1761">
        <v>3290.33</v>
      </c>
      <c r="D1761">
        <f t="shared" si="357"/>
        <v>-1.1147680569052437E-3</v>
      </c>
      <c r="E1761" t="str">
        <f t="shared" si="351"/>
        <v>2017-01</v>
      </c>
      <c r="G1761">
        <v>4841.1400000000003</v>
      </c>
      <c r="H1761">
        <f t="shared" si="358"/>
        <v>-2.5292600857307582E-3</v>
      </c>
      <c r="I1761" t="str">
        <f t="shared" si="352"/>
        <v>2017-01</v>
      </c>
      <c r="K1761">
        <v>11596.89</v>
      </c>
      <c r="L1761">
        <f t="shared" si="359"/>
        <v>-2.155518048307577E-4</v>
      </c>
      <c r="M1761" t="str">
        <f t="shared" si="353"/>
        <v>2017-01</v>
      </c>
      <c r="O1761">
        <v>8340.6911999999993</v>
      </c>
      <c r="P1761">
        <f t="shared" si="360"/>
        <v>-1.2839154741561959E-3</v>
      </c>
      <c r="Q1761" t="str">
        <f t="shared" si="354"/>
        <v>2017-01</v>
      </c>
      <c r="S1761">
        <v>9379.1</v>
      </c>
      <c r="T1761">
        <f t="shared" si="361"/>
        <v>-7.5671588930628381E-4</v>
      </c>
      <c r="U1761" t="str">
        <f t="shared" si="355"/>
        <v>2017-01</v>
      </c>
      <c r="W1761">
        <v>19490.96</v>
      </c>
      <c r="X1761">
        <f t="shared" si="362"/>
        <v>6.8398317986941076E-3</v>
      </c>
      <c r="Y1761">
        <f t="shared" si="363"/>
        <v>6.8632768711805701E-3</v>
      </c>
      <c r="Z1761" t="str">
        <f t="shared" si="356"/>
        <v>2017-01</v>
      </c>
    </row>
    <row r="1762" spans="1:26" x14ac:dyDescent="0.35">
      <c r="A1762" s="1">
        <v>42755</v>
      </c>
      <c r="C1762">
        <v>3299.44</v>
      </c>
      <c r="D1762">
        <f t="shared" si="357"/>
        <v>2.7648934040343494E-3</v>
      </c>
      <c r="E1762" t="str">
        <f t="shared" si="351"/>
        <v>2017-01</v>
      </c>
      <c r="G1762">
        <v>4850.67</v>
      </c>
      <c r="H1762">
        <f t="shared" si="358"/>
        <v>1.9666095541455413E-3</v>
      </c>
      <c r="I1762" t="str">
        <f t="shared" si="352"/>
        <v>2017-01</v>
      </c>
      <c r="K1762">
        <v>11630.13</v>
      </c>
      <c r="L1762">
        <f t="shared" si="359"/>
        <v>2.8621857381734362E-3</v>
      </c>
      <c r="M1762" t="str">
        <f t="shared" si="353"/>
        <v>2017-01</v>
      </c>
      <c r="O1762">
        <v>8319.1713600000003</v>
      </c>
      <c r="P1762">
        <f t="shared" si="360"/>
        <v>-2.5834369150855682E-3</v>
      </c>
      <c r="Q1762" t="str">
        <f t="shared" si="354"/>
        <v>2017-01</v>
      </c>
      <c r="S1762">
        <v>9380.1</v>
      </c>
      <c r="T1762">
        <f t="shared" si="361"/>
        <v>1.0661435465779084E-4</v>
      </c>
      <c r="U1762" t="str">
        <f t="shared" si="355"/>
        <v>2017-01</v>
      </c>
      <c r="W1762">
        <v>19479.46</v>
      </c>
      <c r="X1762">
        <f t="shared" si="362"/>
        <v>-5.9019124422119752E-4</v>
      </c>
      <c r="Y1762">
        <f t="shared" si="363"/>
        <v>-5.9001711562693682E-4</v>
      </c>
      <c r="Z1762" t="str">
        <f t="shared" si="356"/>
        <v>2017-01</v>
      </c>
    </row>
    <row r="1763" spans="1:26" x14ac:dyDescent="0.35">
      <c r="A1763" s="1">
        <v>42758</v>
      </c>
      <c r="C1763">
        <v>3273.04</v>
      </c>
      <c r="D1763">
        <f t="shared" si="357"/>
        <v>-8.0335404544239607E-3</v>
      </c>
      <c r="E1763" t="str">
        <f t="shared" si="351"/>
        <v>2017-01</v>
      </c>
      <c r="G1763">
        <v>4821.41</v>
      </c>
      <c r="H1763">
        <f t="shared" si="358"/>
        <v>-6.0504233342842688E-3</v>
      </c>
      <c r="I1763" t="str">
        <f t="shared" si="352"/>
        <v>2017-01</v>
      </c>
      <c r="K1763">
        <v>11545.75</v>
      </c>
      <c r="L1763">
        <f t="shared" si="359"/>
        <v>-7.2817405720926815E-3</v>
      </c>
      <c r="M1763" t="str">
        <f t="shared" si="353"/>
        <v>2017-01</v>
      </c>
      <c r="O1763">
        <v>8317.8216499999999</v>
      </c>
      <c r="P1763">
        <f t="shared" si="360"/>
        <v>-1.622540806682884E-4</v>
      </c>
      <c r="Q1763" t="str">
        <f t="shared" si="354"/>
        <v>2017-01</v>
      </c>
      <c r="S1763">
        <v>9304.7999999999993</v>
      </c>
      <c r="T1763">
        <f t="shared" si="361"/>
        <v>-8.060027899423821E-3</v>
      </c>
      <c r="U1763" t="str">
        <f t="shared" si="355"/>
        <v>2017-01</v>
      </c>
      <c r="W1763">
        <v>19328.41</v>
      </c>
      <c r="X1763">
        <f t="shared" si="362"/>
        <v>-7.7845428151808388E-3</v>
      </c>
      <c r="Y1763">
        <f t="shared" si="363"/>
        <v>-7.7543217317112114E-3</v>
      </c>
      <c r="Z1763" t="str">
        <f t="shared" si="356"/>
        <v>2017-01</v>
      </c>
    </row>
    <row r="1764" spans="1:26" x14ac:dyDescent="0.35">
      <c r="A1764" s="1">
        <v>42759</v>
      </c>
      <c r="C1764">
        <v>3281.53</v>
      </c>
      <c r="D1764">
        <f t="shared" si="357"/>
        <v>2.5905604022946906E-3</v>
      </c>
      <c r="E1764" t="str">
        <f t="shared" si="351"/>
        <v>2017-01</v>
      </c>
      <c r="G1764">
        <v>4830.03</v>
      </c>
      <c r="H1764">
        <f t="shared" si="358"/>
        <v>1.7862624213609282E-3</v>
      </c>
      <c r="I1764" t="str">
        <f t="shared" si="352"/>
        <v>2017-01</v>
      </c>
      <c r="K1764">
        <v>11594.94</v>
      </c>
      <c r="L1764">
        <f t="shared" si="359"/>
        <v>4.2513921658939345E-3</v>
      </c>
      <c r="M1764" t="str">
        <f t="shared" si="353"/>
        <v>2017-01</v>
      </c>
      <c r="O1764">
        <v>8326.8856699999997</v>
      </c>
      <c r="P1764">
        <f t="shared" si="360"/>
        <v>1.0891174860213947E-3</v>
      </c>
      <c r="Q1764" t="str">
        <f t="shared" si="354"/>
        <v>2017-01</v>
      </c>
      <c r="S1764">
        <v>9387.2000000000007</v>
      </c>
      <c r="T1764">
        <f t="shared" si="361"/>
        <v>8.8166631467665024E-3</v>
      </c>
      <c r="U1764" t="str">
        <f t="shared" si="355"/>
        <v>2017-01</v>
      </c>
      <c r="W1764">
        <v>19499.54</v>
      </c>
      <c r="X1764">
        <f t="shared" si="362"/>
        <v>8.8148412721073786E-3</v>
      </c>
      <c r="Y1764">
        <f t="shared" si="363"/>
        <v>8.8538063917311879E-3</v>
      </c>
      <c r="Z1764" t="str">
        <f t="shared" si="356"/>
        <v>2017-01</v>
      </c>
    </row>
    <row r="1765" spans="1:26" x14ac:dyDescent="0.35">
      <c r="A1765" s="1">
        <v>42760</v>
      </c>
      <c r="C1765">
        <v>3326.15</v>
      </c>
      <c r="D1765">
        <f t="shared" si="357"/>
        <v>1.3505701921628652E-2</v>
      </c>
      <c r="E1765" t="str">
        <f t="shared" si="351"/>
        <v>2017-01</v>
      </c>
      <c r="G1765">
        <v>4877.67</v>
      </c>
      <c r="H1765">
        <f t="shared" si="358"/>
        <v>9.8149680034954681E-3</v>
      </c>
      <c r="I1765" t="str">
        <f t="shared" si="352"/>
        <v>2017-01</v>
      </c>
      <c r="K1765">
        <v>11806.05</v>
      </c>
      <c r="L1765">
        <f t="shared" si="359"/>
        <v>1.8043315894343447E-2</v>
      </c>
      <c r="M1765" t="str">
        <f t="shared" si="353"/>
        <v>2017-01</v>
      </c>
      <c r="O1765">
        <v>8411.4331399999992</v>
      </c>
      <c r="P1765">
        <f t="shared" si="360"/>
        <v>1.0102351379148871E-2</v>
      </c>
      <c r="Q1765" t="str">
        <f t="shared" si="354"/>
        <v>2017-01</v>
      </c>
      <c r="S1765">
        <v>9549.2999999999993</v>
      </c>
      <c r="T1765">
        <f t="shared" si="361"/>
        <v>1.712079418739974E-2</v>
      </c>
      <c r="U1765" t="str">
        <f t="shared" si="355"/>
        <v>2017-01</v>
      </c>
      <c r="W1765">
        <v>19582.23</v>
      </c>
      <c r="X1765">
        <f t="shared" si="362"/>
        <v>4.2316467955762112E-3</v>
      </c>
      <c r="Y1765">
        <f t="shared" si="363"/>
        <v>4.2406128554826773E-3</v>
      </c>
      <c r="Z1765" t="str">
        <f t="shared" si="356"/>
        <v>2017-01</v>
      </c>
    </row>
    <row r="1766" spans="1:26" x14ac:dyDescent="0.35">
      <c r="A1766" s="1">
        <v>42761</v>
      </c>
      <c r="C1766">
        <v>3319.13</v>
      </c>
      <c r="D1766">
        <f t="shared" si="357"/>
        <v>-2.112778577077951E-3</v>
      </c>
      <c r="E1766" t="str">
        <f t="shared" si="351"/>
        <v>2017-01</v>
      </c>
      <c r="G1766">
        <v>4867.24</v>
      </c>
      <c r="H1766">
        <f t="shared" si="358"/>
        <v>-2.1406055022957881E-3</v>
      </c>
      <c r="I1766" t="str">
        <f t="shared" si="352"/>
        <v>2017-01</v>
      </c>
      <c r="K1766">
        <v>11848.63</v>
      </c>
      <c r="L1766">
        <f t="shared" si="359"/>
        <v>3.6001371390264911E-3</v>
      </c>
      <c r="M1766" t="str">
        <f t="shared" si="353"/>
        <v>2017-01</v>
      </c>
      <c r="O1766">
        <v>8437.3837899999999</v>
      </c>
      <c r="P1766">
        <f t="shared" si="360"/>
        <v>3.080414563015106E-3</v>
      </c>
      <c r="Q1766" t="str">
        <f t="shared" si="354"/>
        <v>2017-01</v>
      </c>
      <c r="S1766">
        <v>9512.7999999999993</v>
      </c>
      <c r="T1766">
        <f t="shared" si="361"/>
        <v>-3.8295932356263076E-3</v>
      </c>
      <c r="U1766" t="str">
        <f t="shared" si="355"/>
        <v>2017-01</v>
      </c>
      <c r="W1766">
        <v>19439.650000000001</v>
      </c>
      <c r="X1766">
        <f t="shared" si="362"/>
        <v>-7.3077275884545646E-3</v>
      </c>
      <c r="Y1766">
        <f t="shared" si="363"/>
        <v>-7.2810910708330009E-3</v>
      </c>
      <c r="Z1766" t="str">
        <f t="shared" si="356"/>
        <v>2017-01</v>
      </c>
    </row>
    <row r="1767" spans="1:26" x14ac:dyDescent="0.35">
      <c r="A1767" s="1">
        <v>42762</v>
      </c>
      <c r="C1767">
        <v>3303.33</v>
      </c>
      <c r="D1767">
        <f t="shared" si="357"/>
        <v>-4.7716498034568863E-3</v>
      </c>
      <c r="E1767" t="str">
        <f t="shared" si="351"/>
        <v>2017-01</v>
      </c>
      <c r="G1767">
        <v>4839.9799999999996</v>
      </c>
      <c r="H1767">
        <f t="shared" si="358"/>
        <v>-5.616452837918162E-3</v>
      </c>
      <c r="I1767" t="str">
        <f t="shared" si="352"/>
        <v>2017-01</v>
      </c>
      <c r="K1767">
        <v>11814.27</v>
      </c>
      <c r="L1767">
        <f t="shared" si="359"/>
        <v>-2.9041262186125351E-3</v>
      </c>
      <c r="M1767" t="str">
        <f t="shared" si="353"/>
        <v>2017-01</v>
      </c>
      <c r="O1767">
        <v>8432.0074499999992</v>
      </c>
      <c r="P1767">
        <f t="shared" si="360"/>
        <v>-6.3740772924652329E-4</v>
      </c>
      <c r="Q1767" t="str">
        <f t="shared" si="354"/>
        <v>2017-01</v>
      </c>
      <c r="S1767">
        <v>9504.1</v>
      </c>
      <c r="T1767">
        <f t="shared" si="361"/>
        <v>-9.1497569077550413E-4</v>
      </c>
      <c r="U1767" t="str">
        <f t="shared" si="355"/>
        <v>2017-01</v>
      </c>
      <c r="W1767">
        <v>19329.259999999998</v>
      </c>
      <c r="X1767">
        <f t="shared" si="362"/>
        <v>-5.6947847300370105E-3</v>
      </c>
      <c r="Y1767">
        <f t="shared" si="363"/>
        <v>-5.6786001805589634E-3</v>
      </c>
      <c r="Z1767" t="str">
        <f t="shared" si="356"/>
        <v>2017-01</v>
      </c>
    </row>
    <row r="1768" spans="1:26" x14ac:dyDescent="0.35">
      <c r="A1768" s="1">
        <v>42765</v>
      </c>
      <c r="C1768">
        <v>3262.72</v>
      </c>
      <c r="D1768">
        <f t="shared" si="357"/>
        <v>-1.2369847266038004E-2</v>
      </c>
      <c r="E1768" t="str">
        <f t="shared" si="351"/>
        <v>2017-01</v>
      </c>
      <c r="G1768">
        <v>4784.6400000000003</v>
      </c>
      <c r="H1768">
        <f t="shared" si="358"/>
        <v>-1.1499801523700594E-2</v>
      </c>
      <c r="I1768" t="str">
        <f t="shared" si="352"/>
        <v>2017-01</v>
      </c>
      <c r="K1768">
        <v>11681.89</v>
      </c>
      <c r="L1768">
        <f t="shared" si="359"/>
        <v>-1.1268343486692674E-2</v>
      </c>
      <c r="M1768" t="str">
        <f t="shared" si="353"/>
        <v>2017-01</v>
      </c>
      <c r="O1768">
        <v>8307.4452399999991</v>
      </c>
      <c r="P1768">
        <f t="shared" si="360"/>
        <v>-1.4882745746693866E-2</v>
      </c>
      <c r="Q1768" t="str">
        <f t="shared" si="354"/>
        <v>2017-01</v>
      </c>
      <c r="S1768">
        <v>9361.2999999999993</v>
      </c>
      <c r="T1768">
        <f t="shared" si="361"/>
        <v>-1.5139114716235696E-2</v>
      </c>
      <c r="U1768" t="str">
        <f t="shared" si="355"/>
        <v>2017-01</v>
      </c>
      <c r="W1768">
        <v>18759.400000000001</v>
      </c>
      <c r="X1768">
        <f t="shared" si="362"/>
        <v>-2.9925049900770967E-2</v>
      </c>
      <c r="Y1768">
        <f t="shared" si="363"/>
        <v>-2.9481728736640563E-2</v>
      </c>
      <c r="Z1768" t="str">
        <f t="shared" si="356"/>
        <v>2017-01</v>
      </c>
    </row>
    <row r="1769" spans="1:26" x14ac:dyDescent="0.35">
      <c r="A1769" s="1">
        <v>42766</v>
      </c>
      <c r="C1769">
        <v>3230.68</v>
      </c>
      <c r="D1769">
        <f t="shared" si="357"/>
        <v>-9.8685619327045816E-3</v>
      </c>
      <c r="E1769" t="str">
        <f t="shared" si="351"/>
        <v>2017-01</v>
      </c>
      <c r="G1769">
        <v>4748.8999999999996</v>
      </c>
      <c r="H1769">
        <f t="shared" si="358"/>
        <v>-7.4977746842605844E-3</v>
      </c>
      <c r="I1769" t="str">
        <f t="shared" si="352"/>
        <v>2017-01</v>
      </c>
      <c r="K1769">
        <v>11535.31</v>
      </c>
      <c r="L1769">
        <f t="shared" si="359"/>
        <v>-1.2627013384244781E-2</v>
      </c>
      <c r="M1769" t="str">
        <f t="shared" si="353"/>
        <v>2017-01</v>
      </c>
      <c r="O1769">
        <v>8274.8808900000004</v>
      </c>
      <c r="P1769">
        <f t="shared" si="360"/>
        <v>-3.9276023889929972E-3</v>
      </c>
      <c r="Q1769" t="str">
        <f t="shared" si="354"/>
        <v>2017-01</v>
      </c>
      <c r="S1769">
        <v>9315.2000000000007</v>
      </c>
      <c r="T1769">
        <f t="shared" si="361"/>
        <v>-4.9366951650535668E-3</v>
      </c>
      <c r="U1769" t="str">
        <f t="shared" si="355"/>
        <v>2017-01</v>
      </c>
      <c r="W1769">
        <v>18590.73</v>
      </c>
      <c r="X1769">
        <f t="shared" si="362"/>
        <v>-9.0318907379307225E-3</v>
      </c>
      <c r="Y1769">
        <f t="shared" si="363"/>
        <v>-8.9912257321663747E-3</v>
      </c>
      <c r="Z1769" t="str">
        <f t="shared" si="356"/>
        <v>2017-01</v>
      </c>
    </row>
    <row r="1770" spans="1:26" x14ac:dyDescent="0.35">
      <c r="A1770" s="1">
        <v>42767</v>
      </c>
      <c r="C1770">
        <v>3258.92</v>
      </c>
      <c r="D1770">
        <f t="shared" si="357"/>
        <v>8.7032107541523424E-3</v>
      </c>
      <c r="E1770" t="str">
        <f t="shared" si="351"/>
        <v>2017-02</v>
      </c>
      <c r="G1770">
        <v>4794.58</v>
      </c>
      <c r="H1770">
        <f t="shared" si="358"/>
        <v>9.5731009775523734E-3</v>
      </c>
      <c r="I1770" t="str">
        <f t="shared" si="352"/>
        <v>2017-02</v>
      </c>
      <c r="K1770">
        <v>11659.5</v>
      </c>
      <c r="L1770">
        <f t="shared" si="359"/>
        <v>1.0708532362563795E-2</v>
      </c>
      <c r="M1770" t="str">
        <f t="shared" si="353"/>
        <v>2017-02</v>
      </c>
      <c r="O1770">
        <v>8352.2984699999997</v>
      </c>
      <c r="P1770">
        <f t="shared" si="360"/>
        <v>9.3122396505007816E-3</v>
      </c>
      <c r="Q1770" t="str">
        <f t="shared" si="354"/>
        <v>2017-02</v>
      </c>
      <c r="S1770">
        <v>9330.7999999999993</v>
      </c>
      <c r="T1770">
        <f t="shared" si="361"/>
        <v>1.6732815230966916E-3</v>
      </c>
      <c r="U1770" t="str">
        <f t="shared" si="355"/>
        <v>2017-02</v>
      </c>
      <c r="W1770">
        <v>18740.650000000001</v>
      </c>
      <c r="X1770">
        <f t="shared" si="362"/>
        <v>8.0318919879292586E-3</v>
      </c>
      <c r="Y1770">
        <f t="shared" si="363"/>
        <v>8.0642341640162537E-3</v>
      </c>
      <c r="Z1770" t="str">
        <f t="shared" si="356"/>
        <v>2017-02</v>
      </c>
    </row>
    <row r="1771" spans="1:26" x14ac:dyDescent="0.35">
      <c r="A1771" s="1">
        <v>42768</v>
      </c>
      <c r="C1771">
        <v>3253.61</v>
      </c>
      <c r="D1771">
        <f t="shared" si="357"/>
        <v>-1.63070302223325E-3</v>
      </c>
      <c r="E1771" t="str">
        <f t="shared" si="351"/>
        <v>2017-02</v>
      </c>
      <c r="G1771">
        <v>4794.29</v>
      </c>
      <c r="H1771">
        <f t="shared" si="358"/>
        <v>-6.0486793561348771E-5</v>
      </c>
      <c r="I1771" t="str">
        <f t="shared" si="352"/>
        <v>2017-02</v>
      </c>
      <c r="K1771">
        <v>11627.95</v>
      </c>
      <c r="L1771">
        <f t="shared" si="359"/>
        <v>-2.7096156344625882E-3</v>
      </c>
      <c r="M1771" t="str">
        <f t="shared" si="353"/>
        <v>2017-02</v>
      </c>
      <c r="O1771">
        <v>8312.3413500000006</v>
      </c>
      <c r="P1771">
        <f t="shared" si="360"/>
        <v>-4.7954467667771445E-3</v>
      </c>
      <c r="Q1771" t="str">
        <f t="shared" si="354"/>
        <v>2017-02</v>
      </c>
      <c r="S1771">
        <v>9406.4</v>
      </c>
      <c r="T1771">
        <f t="shared" si="361"/>
        <v>8.0695525735894787E-3</v>
      </c>
      <c r="U1771" t="str">
        <f t="shared" si="355"/>
        <v>2017-02</v>
      </c>
      <c r="W1771">
        <v>18889.189999999999</v>
      </c>
      <c r="X1771">
        <f t="shared" si="362"/>
        <v>7.8948393892724657E-3</v>
      </c>
      <c r="Y1771">
        <f t="shared" si="363"/>
        <v>7.9260858081228354E-3</v>
      </c>
      <c r="Z1771" t="str">
        <f t="shared" si="356"/>
        <v>2017-02</v>
      </c>
    </row>
    <row r="1772" spans="1:26" x14ac:dyDescent="0.35">
      <c r="A1772" s="1">
        <v>42769</v>
      </c>
      <c r="C1772">
        <v>3273.11</v>
      </c>
      <c r="D1772">
        <f t="shared" si="357"/>
        <v>5.975454139996882E-3</v>
      </c>
      <c r="E1772" t="str">
        <f t="shared" si="351"/>
        <v>2017-02</v>
      </c>
      <c r="G1772">
        <v>4825.42</v>
      </c>
      <c r="H1772">
        <f t="shared" si="358"/>
        <v>6.4721511701078833E-3</v>
      </c>
      <c r="I1772" t="str">
        <f t="shared" si="352"/>
        <v>2017-02</v>
      </c>
      <c r="K1772">
        <v>11651.49</v>
      </c>
      <c r="L1772">
        <f t="shared" si="359"/>
        <v>2.0223861075099338E-3</v>
      </c>
      <c r="M1772" t="str">
        <f t="shared" si="353"/>
        <v>2017-02</v>
      </c>
      <c r="O1772">
        <v>8340.1344200000003</v>
      </c>
      <c r="P1772">
        <f t="shared" si="360"/>
        <v>3.3380136612127828E-3</v>
      </c>
      <c r="Q1772" t="str">
        <f t="shared" si="354"/>
        <v>2017-02</v>
      </c>
      <c r="S1772">
        <v>9462.7000000000007</v>
      </c>
      <c r="T1772">
        <f t="shared" si="361"/>
        <v>5.9674459377586858E-3</v>
      </c>
      <c r="U1772" t="str">
        <f t="shared" si="355"/>
        <v>2017-02</v>
      </c>
      <c r="W1772">
        <v>19116.04</v>
      </c>
      <c r="X1772">
        <f t="shared" si="362"/>
        <v>1.193797243823715E-2</v>
      </c>
      <c r="Y1772">
        <f t="shared" si="363"/>
        <v>1.2009514436564098E-2</v>
      </c>
      <c r="Z1772" t="str">
        <f t="shared" si="356"/>
        <v>2017-02</v>
      </c>
    </row>
    <row r="1773" spans="1:26" x14ac:dyDescent="0.35">
      <c r="A1773" s="1">
        <v>42772</v>
      </c>
      <c r="C1773">
        <v>3238.31</v>
      </c>
      <c r="D1773">
        <f t="shared" si="357"/>
        <v>-1.0689014481928039E-2</v>
      </c>
      <c r="E1773" t="str">
        <f t="shared" si="351"/>
        <v>2017-02</v>
      </c>
      <c r="G1773">
        <v>4778.08</v>
      </c>
      <c r="H1773">
        <f t="shared" si="358"/>
        <v>-9.8589854640035272E-3</v>
      </c>
      <c r="I1773" t="str">
        <f t="shared" si="352"/>
        <v>2017-02</v>
      </c>
      <c r="K1773">
        <v>11509.84</v>
      </c>
      <c r="L1773">
        <f t="shared" si="359"/>
        <v>-1.2231747147812874E-2</v>
      </c>
      <c r="M1773" t="str">
        <f t="shared" si="353"/>
        <v>2017-02</v>
      </c>
      <c r="O1773">
        <v>8331.9872099999993</v>
      </c>
      <c r="P1773">
        <f t="shared" si="360"/>
        <v>-9.773453948250686E-4</v>
      </c>
      <c r="Q1773" t="str">
        <f t="shared" si="354"/>
        <v>2017-02</v>
      </c>
      <c r="S1773">
        <v>9357.2999999999993</v>
      </c>
      <c r="T1773">
        <f t="shared" si="361"/>
        <v>-1.1200967265605247E-2</v>
      </c>
      <c r="U1773" t="str">
        <f t="shared" si="355"/>
        <v>2017-02</v>
      </c>
      <c r="W1773">
        <v>18693.650000000001</v>
      </c>
      <c r="X1773">
        <f t="shared" si="362"/>
        <v>-2.2343879201355409E-2</v>
      </c>
      <c r="Y1773">
        <f t="shared" si="363"/>
        <v>-2.2096103586307592E-2</v>
      </c>
      <c r="Z1773" t="str">
        <f t="shared" si="356"/>
        <v>2017-02</v>
      </c>
    </row>
    <row r="1774" spans="1:26" x14ac:dyDescent="0.35">
      <c r="A1774" s="1">
        <v>42773</v>
      </c>
      <c r="C1774">
        <v>3235.71</v>
      </c>
      <c r="D1774">
        <f t="shared" si="357"/>
        <v>-8.0321041324612704E-4</v>
      </c>
      <c r="E1774" t="str">
        <f t="shared" si="351"/>
        <v>2017-02</v>
      </c>
      <c r="G1774">
        <v>4754.47</v>
      </c>
      <c r="H1774">
        <f t="shared" si="358"/>
        <v>-4.9535640050341534E-3</v>
      </c>
      <c r="I1774" t="str">
        <f t="shared" si="352"/>
        <v>2017-02</v>
      </c>
      <c r="K1774">
        <v>11549.44</v>
      </c>
      <c r="L1774">
        <f t="shared" si="359"/>
        <v>3.4346292624080716E-3</v>
      </c>
      <c r="M1774" t="str">
        <f t="shared" si="353"/>
        <v>2017-02</v>
      </c>
      <c r="O1774">
        <v>8399.3819100000001</v>
      </c>
      <c r="P1774">
        <f t="shared" si="360"/>
        <v>8.0561326471720752E-3</v>
      </c>
      <c r="Q1774" t="str">
        <f t="shared" si="354"/>
        <v>2017-02</v>
      </c>
      <c r="S1774">
        <v>9331.5</v>
      </c>
      <c r="T1774">
        <f t="shared" si="361"/>
        <v>-2.7610136969596351E-3</v>
      </c>
      <c r="U1774" t="str">
        <f t="shared" si="355"/>
        <v>2017-02</v>
      </c>
      <c r="W1774">
        <v>18662.61</v>
      </c>
      <c r="X1774">
        <f t="shared" si="362"/>
        <v>-1.6618369795907081E-3</v>
      </c>
      <c r="Y1774">
        <f t="shared" si="363"/>
        <v>-1.6604568931161581E-3</v>
      </c>
      <c r="Z1774" t="str">
        <f t="shared" si="356"/>
        <v>2017-02</v>
      </c>
    </row>
    <row r="1775" spans="1:26" x14ac:dyDescent="0.35">
      <c r="A1775" s="1">
        <v>42774</v>
      </c>
      <c r="C1775">
        <v>3238.04</v>
      </c>
      <c r="D1775">
        <f t="shared" si="357"/>
        <v>7.198301141096168E-4</v>
      </c>
      <c r="E1775" t="str">
        <f t="shared" si="351"/>
        <v>2017-02</v>
      </c>
      <c r="G1775">
        <v>4766.6000000000004</v>
      </c>
      <c r="H1775">
        <f t="shared" si="358"/>
        <v>2.5480343202630346E-3</v>
      </c>
      <c r="I1775" t="str">
        <f t="shared" si="352"/>
        <v>2017-02</v>
      </c>
      <c r="K1775">
        <v>11543.38</v>
      </c>
      <c r="L1775">
        <f t="shared" si="359"/>
        <v>-5.2483846832970728E-4</v>
      </c>
      <c r="M1775" t="str">
        <f t="shared" si="353"/>
        <v>2017-02</v>
      </c>
      <c r="O1775">
        <v>8425.375</v>
      </c>
      <c r="P1775">
        <f t="shared" si="360"/>
        <v>3.0898646345120461E-3</v>
      </c>
      <c r="Q1775" t="str">
        <f t="shared" si="354"/>
        <v>2017-02</v>
      </c>
      <c r="S1775">
        <v>9329.7000000000007</v>
      </c>
      <c r="T1775">
        <f t="shared" si="361"/>
        <v>-1.9291363959249305E-4</v>
      </c>
      <c r="U1775" t="str">
        <f t="shared" si="355"/>
        <v>2017-02</v>
      </c>
      <c r="W1775">
        <v>18771.78</v>
      </c>
      <c r="X1775">
        <f t="shared" si="362"/>
        <v>5.8326212603948772E-3</v>
      </c>
      <c r="Y1775">
        <f t="shared" si="363"/>
        <v>5.8496641145047903E-3</v>
      </c>
      <c r="Z1775" t="str">
        <f t="shared" si="356"/>
        <v>2017-02</v>
      </c>
    </row>
    <row r="1776" spans="1:26" x14ac:dyDescent="0.35">
      <c r="A1776" s="1">
        <v>42775</v>
      </c>
      <c r="C1776">
        <v>3277.79</v>
      </c>
      <c r="D1776">
        <f t="shared" si="357"/>
        <v>1.2201206332511087E-2</v>
      </c>
      <c r="E1776" t="str">
        <f t="shared" si="351"/>
        <v>2017-02</v>
      </c>
      <c r="G1776">
        <v>4826.24</v>
      </c>
      <c r="H1776">
        <f t="shared" si="358"/>
        <v>1.2434434106129641E-2</v>
      </c>
      <c r="I1776" t="str">
        <f t="shared" si="352"/>
        <v>2017-02</v>
      </c>
      <c r="K1776">
        <v>11642.86</v>
      </c>
      <c r="L1776">
        <f t="shared" si="359"/>
        <v>8.5810041146868292E-3</v>
      </c>
      <c r="M1776" t="str">
        <f t="shared" si="353"/>
        <v>2017-02</v>
      </c>
      <c r="O1776">
        <v>8488.5740399999995</v>
      </c>
      <c r="P1776">
        <f t="shared" si="360"/>
        <v>7.4730429860017525E-3</v>
      </c>
      <c r="Q1776" t="str">
        <f t="shared" si="354"/>
        <v>2017-02</v>
      </c>
      <c r="S1776">
        <v>9438.4</v>
      </c>
      <c r="T1776">
        <f t="shared" si="361"/>
        <v>1.15836142652192E-2</v>
      </c>
      <c r="U1776" t="str">
        <f t="shared" si="355"/>
        <v>2017-02</v>
      </c>
      <c r="W1776">
        <v>18947.439999999999</v>
      </c>
      <c r="X1776">
        <f t="shared" si="362"/>
        <v>9.3141517732175903E-3</v>
      </c>
      <c r="Y1776">
        <f t="shared" si="363"/>
        <v>9.3576634714448957E-3</v>
      </c>
      <c r="Z1776" t="str">
        <f t="shared" si="356"/>
        <v>2017-02</v>
      </c>
    </row>
    <row r="1777" spans="1:26" x14ac:dyDescent="0.35">
      <c r="A1777" s="1">
        <v>42776</v>
      </c>
      <c r="C1777">
        <v>3270.83</v>
      </c>
      <c r="D1777">
        <f t="shared" si="357"/>
        <v>-2.1256394845445329E-3</v>
      </c>
      <c r="E1777" t="str">
        <f t="shared" si="351"/>
        <v>2017-02</v>
      </c>
      <c r="G1777">
        <v>4828.32</v>
      </c>
      <c r="H1777">
        <f t="shared" si="358"/>
        <v>4.3088447991030071E-4</v>
      </c>
      <c r="I1777" t="str">
        <f t="shared" si="352"/>
        <v>2017-02</v>
      </c>
      <c r="K1777">
        <v>11666.97</v>
      </c>
      <c r="L1777">
        <f t="shared" si="359"/>
        <v>2.0686558930630909E-3</v>
      </c>
      <c r="M1777" t="str">
        <f t="shared" si="353"/>
        <v>2017-02</v>
      </c>
      <c r="O1777">
        <v>8528.3827799999999</v>
      </c>
      <c r="P1777">
        <f t="shared" si="360"/>
        <v>4.6787228809852758E-3</v>
      </c>
      <c r="Q1777" t="str">
        <f t="shared" si="354"/>
        <v>2017-02</v>
      </c>
      <c r="S1777">
        <v>9378.1</v>
      </c>
      <c r="T1777">
        <f t="shared" si="361"/>
        <v>-6.4092904017059686E-3</v>
      </c>
      <c r="U1777" t="str">
        <f t="shared" si="355"/>
        <v>2017-02</v>
      </c>
      <c r="W1777">
        <v>18862.11</v>
      </c>
      <c r="X1777">
        <f t="shared" si="362"/>
        <v>-4.5136821184741513E-3</v>
      </c>
      <c r="Y1777">
        <f t="shared" si="363"/>
        <v>-4.5035107645147896E-3</v>
      </c>
      <c r="Z1777" t="str">
        <f t="shared" si="356"/>
        <v>2017-02</v>
      </c>
    </row>
    <row r="1778" spans="1:26" x14ac:dyDescent="0.35">
      <c r="A1778" s="1">
        <v>42779</v>
      </c>
      <c r="C1778">
        <v>3305.23</v>
      </c>
      <c r="D1778">
        <f t="shared" si="357"/>
        <v>1.0462287078641892E-2</v>
      </c>
      <c r="E1778" t="str">
        <f t="shared" si="351"/>
        <v>2017-02</v>
      </c>
      <c r="G1778">
        <v>4888.1899999999996</v>
      </c>
      <c r="H1778">
        <f t="shared" si="358"/>
        <v>1.2323510745611551E-2</v>
      </c>
      <c r="I1778" t="str">
        <f t="shared" si="352"/>
        <v>2017-02</v>
      </c>
      <c r="K1778">
        <v>11774.43</v>
      </c>
      <c r="L1778">
        <f t="shared" si="359"/>
        <v>9.1684586041717829E-3</v>
      </c>
      <c r="M1778" t="str">
        <f t="shared" si="353"/>
        <v>2017-02</v>
      </c>
      <c r="O1778">
        <v>8589.6201999999994</v>
      </c>
      <c r="P1778">
        <f t="shared" si="360"/>
        <v>7.1547693155150161E-3</v>
      </c>
      <c r="Q1778" t="str">
        <f t="shared" si="354"/>
        <v>2017-02</v>
      </c>
      <c r="S1778">
        <v>9484.1</v>
      </c>
      <c r="T1778">
        <f t="shared" si="361"/>
        <v>1.1239528356833237E-2</v>
      </c>
      <c r="U1778" t="str">
        <f t="shared" si="355"/>
        <v>2017-02</v>
      </c>
      <c r="W1778">
        <v>19064.64</v>
      </c>
      <c r="X1778">
        <f t="shared" si="362"/>
        <v>1.0680162425889357E-2</v>
      </c>
      <c r="Y1778">
        <f t="shared" si="363"/>
        <v>1.0737398944232581E-2</v>
      </c>
      <c r="Z1778" t="str">
        <f t="shared" si="356"/>
        <v>2017-02</v>
      </c>
    </row>
    <row r="1779" spans="1:26" x14ac:dyDescent="0.35">
      <c r="A1779" s="1">
        <v>42780</v>
      </c>
      <c r="C1779">
        <v>3308.89</v>
      </c>
      <c r="D1779">
        <f t="shared" si="357"/>
        <v>1.1067233051637009E-3</v>
      </c>
      <c r="E1779" t="str">
        <f t="shared" si="351"/>
        <v>2017-02</v>
      </c>
      <c r="G1779">
        <v>4895.82</v>
      </c>
      <c r="H1779">
        <f t="shared" si="358"/>
        <v>1.5596880106920764E-3</v>
      </c>
      <c r="I1779" t="str">
        <f t="shared" si="352"/>
        <v>2017-02</v>
      </c>
      <c r="K1779">
        <v>11771.81</v>
      </c>
      <c r="L1779">
        <f t="shared" si="359"/>
        <v>-2.2254083971055976E-4</v>
      </c>
      <c r="M1779" t="str">
        <f t="shared" si="353"/>
        <v>2017-02</v>
      </c>
      <c r="O1779">
        <v>8579.1711500000001</v>
      </c>
      <c r="P1779">
        <f t="shared" si="360"/>
        <v>-1.2172145466859958E-3</v>
      </c>
      <c r="Q1779" t="str">
        <f t="shared" si="354"/>
        <v>2017-02</v>
      </c>
      <c r="S1779">
        <v>9510.2000000000007</v>
      </c>
      <c r="T1779">
        <f t="shared" si="361"/>
        <v>2.7481946085768406E-3</v>
      </c>
      <c r="U1779" t="str">
        <f t="shared" si="355"/>
        <v>2017-02</v>
      </c>
      <c r="W1779">
        <v>19187.669999999998</v>
      </c>
      <c r="X1779">
        <f t="shared" si="362"/>
        <v>6.4325748812478767E-3</v>
      </c>
      <c r="Y1779">
        <f t="shared" si="363"/>
        <v>6.4533083236818969E-3</v>
      </c>
      <c r="Z1779" t="str">
        <f t="shared" si="356"/>
        <v>2017-02</v>
      </c>
    </row>
    <row r="1780" spans="1:26" x14ac:dyDescent="0.35">
      <c r="A1780" s="1">
        <v>42781</v>
      </c>
      <c r="C1780">
        <v>3323.71</v>
      </c>
      <c r="D1780">
        <f t="shared" si="357"/>
        <v>4.4688431877793009E-3</v>
      </c>
      <c r="E1780" t="str">
        <f t="shared" si="351"/>
        <v>2017-02</v>
      </c>
      <c r="G1780">
        <v>4924.8599999999997</v>
      </c>
      <c r="H1780">
        <f t="shared" si="358"/>
        <v>5.9140679957711429E-3</v>
      </c>
      <c r="I1780" t="str">
        <f t="shared" si="352"/>
        <v>2017-02</v>
      </c>
      <c r="K1780">
        <v>11793.93</v>
      </c>
      <c r="L1780">
        <f t="shared" si="359"/>
        <v>1.8773020916289379E-3</v>
      </c>
      <c r="M1780" t="str">
        <f t="shared" si="353"/>
        <v>2017-02</v>
      </c>
      <c r="O1780">
        <v>8589.8530300000002</v>
      </c>
      <c r="P1780">
        <f t="shared" si="360"/>
        <v>1.2443201507865839E-3</v>
      </c>
      <c r="Q1780" t="str">
        <f t="shared" si="354"/>
        <v>2017-02</v>
      </c>
      <c r="S1780">
        <v>9584.1</v>
      </c>
      <c r="T1780">
        <f t="shared" si="361"/>
        <v>7.7405685450425074E-3</v>
      </c>
      <c r="U1780" t="str">
        <f t="shared" si="355"/>
        <v>2017-02</v>
      </c>
      <c r="W1780">
        <v>19056.16</v>
      </c>
      <c r="X1780">
        <f t="shared" si="362"/>
        <v>-6.8774763596991962E-3</v>
      </c>
      <c r="Y1780">
        <f t="shared" si="363"/>
        <v>-6.8538806431421018E-3</v>
      </c>
      <c r="Z1780" t="str">
        <f t="shared" si="356"/>
        <v>2017-02</v>
      </c>
    </row>
    <row r="1781" spans="1:26" x14ac:dyDescent="0.35">
      <c r="A1781" s="1">
        <v>42782</v>
      </c>
      <c r="C1781">
        <v>3311.04</v>
      </c>
      <c r="D1781">
        <f t="shared" si="357"/>
        <v>-3.8192894687539072E-3</v>
      </c>
      <c r="E1781" t="str">
        <f t="shared" si="351"/>
        <v>2017-02</v>
      </c>
      <c r="G1781">
        <v>4899.46</v>
      </c>
      <c r="H1781">
        <f t="shared" si="358"/>
        <v>-5.1708528620431574E-3</v>
      </c>
      <c r="I1781" t="str">
        <f t="shared" si="352"/>
        <v>2017-02</v>
      </c>
      <c r="K1781">
        <v>11757.24</v>
      </c>
      <c r="L1781">
        <f t="shared" si="359"/>
        <v>-3.1157712913880268E-3</v>
      </c>
      <c r="M1781" t="str">
        <f t="shared" si="353"/>
        <v>2017-02</v>
      </c>
      <c r="O1781">
        <v>8520.6250099999997</v>
      </c>
      <c r="P1781">
        <f t="shared" si="360"/>
        <v>-8.09193028834688E-3</v>
      </c>
      <c r="Q1781" t="str">
        <f t="shared" si="354"/>
        <v>2017-02</v>
      </c>
      <c r="S1781">
        <v>9554.7000000000007</v>
      </c>
      <c r="T1781">
        <f t="shared" si="361"/>
        <v>-3.0722953503399372E-3</v>
      </c>
      <c r="U1781" t="str">
        <f t="shared" si="355"/>
        <v>2017-02</v>
      </c>
      <c r="W1781">
        <v>19087.54</v>
      </c>
      <c r="X1781">
        <f t="shared" si="362"/>
        <v>1.6453572715456808E-3</v>
      </c>
      <c r="Y1781">
        <f t="shared" si="363"/>
        <v>1.6467116145121063E-3</v>
      </c>
      <c r="Z1781" t="str">
        <f t="shared" si="356"/>
        <v>2017-02</v>
      </c>
    </row>
    <row r="1782" spans="1:26" x14ac:dyDescent="0.35">
      <c r="A1782" s="1">
        <v>42783</v>
      </c>
      <c r="C1782">
        <v>3308.81</v>
      </c>
      <c r="D1782">
        <f t="shared" si="357"/>
        <v>-6.7373130338370705E-4</v>
      </c>
      <c r="E1782" t="str">
        <f t="shared" si="351"/>
        <v>2017-02</v>
      </c>
      <c r="G1782">
        <v>4867.58</v>
      </c>
      <c r="H1782">
        <f t="shared" si="358"/>
        <v>-6.5281012910173531E-3</v>
      </c>
      <c r="I1782" t="str">
        <f t="shared" si="352"/>
        <v>2017-02</v>
      </c>
      <c r="K1782">
        <v>11757.02</v>
      </c>
      <c r="L1782">
        <f t="shared" si="359"/>
        <v>-1.8712049624796781E-5</v>
      </c>
      <c r="M1782" t="str">
        <f t="shared" si="353"/>
        <v>2017-02</v>
      </c>
      <c r="O1782">
        <v>8557.8860299999997</v>
      </c>
      <c r="P1782">
        <f t="shared" si="360"/>
        <v>4.3635044101982901E-3</v>
      </c>
      <c r="Q1782" t="str">
        <f t="shared" si="354"/>
        <v>2017-02</v>
      </c>
      <c r="S1782">
        <v>9500.2999999999993</v>
      </c>
      <c r="T1782">
        <f t="shared" si="361"/>
        <v>-5.7098029698214462E-3</v>
      </c>
      <c r="U1782" t="str">
        <f t="shared" si="355"/>
        <v>2017-02</v>
      </c>
      <c r="W1782">
        <v>19006.46</v>
      </c>
      <c r="X1782">
        <f t="shared" si="362"/>
        <v>-4.2568447753284083E-3</v>
      </c>
      <c r="Y1782">
        <f t="shared" si="363"/>
        <v>-4.2477972541250337E-3</v>
      </c>
      <c r="Z1782" t="str">
        <f t="shared" si="356"/>
        <v>2017-02</v>
      </c>
    </row>
    <row r="1783" spans="1:26" x14ac:dyDescent="0.35">
      <c r="A1783" s="1">
        <v>42786</v>
      </c>
      <c r="C1783">
        <v>3312.39</v>
      </c>
      <c r="D1783">
        <f t="shared" si="357"/>
        <v>1.0813750827229989E-3</v>
      </c>
      <c r="E1783" t="str">
        <f t="shared" si="351"/>
        <v>2017-02</v>
      </c>
      <c r="G1783">
        <v>4864.99</v>
      </c>
      <c r="H1783">
        <f t="shared" si="358"/>
        <v>-5.3223353361747064E-4</v>
      </c>
      <c r="I1783" t="str">
        <f t="shared" si="352"/>
        <v>2017-02</v>
      </c>
      <c r="K1783">
        <v>11827.62</v>
      </c>
      <c r="L1783">
        <f t="shared" si="359"/>
        <v>5.9869653198543682E-3</v>
      </c>
      <c r="M1783" t="str">
        <f t="shared" si="353"/>
        <v>2017-02</v>
      </c>
      <c r="O1783">
        <v>8569.9393199999995</v>
      </c>
      <c r="P1783">
        <f t="shared" si="360"/>
        <v>1.4074515291243319E-3</v>
      </c>
      <c r="Q1783" t="str">
        <f t="shared" si="354"/>
        <v>2017-02</v>
      </c>
      <c r="S1783">
        <v>9526.6</v>
      </c>
      <c r="T1783">
        <f t="shared" si="361"/>
        <v>2.7645088532373711E-3</v>
      </c>
      <c r="U1783" t="str">
        <f t="shared" si="355"/>
        <v>2017-02</v>
      </c>
      <c r="W1783">
        <v>18978.650000000001</v>
      </c>
      <c r="X1783">
        <f t="shared" si="362"/>
        <v>-1.464258230071691E-3</v>
      </c>
      <c r="Y1783">
        <f t="shared" si="363"/>
        <v>-1.463186727039E-3</v>
      </c>
      <c r="Z1783" t="str">
        <f t="shared" si="356"/>
        <v>2017-02</v>
      </c>
    </row>
    <row r="1784" spans="1:26" x14ac:dyDescent="0.35">
      <c r="A1784" s="1">
        <v>42787</v>
      </c>
      <c r="C1784">
        <v>3339.33</v>
      </c>
      <c r="D1784">
        <f t="shared" si="357"/>
        <v>8.1002048497951003E-3</v>
      </c>
      <c r="E1784" t="str">
        <f t="shared" si="351"/>
        <v>2017-02</v>
      </c>
      <c r="G1784">
        <v>4888.76</v>
      </c>
      <c r="H1784">
        <f t="shared" si="358"/>
        <v>4.8740324607539458E-3</v>
      </c>
      <c r="I1784" t="str">
        <f t="shared" si="352"/>
        <v>2017-02</v>
      </c>
      <c r="K1784">
        <v>11967.49</v>
      </c>
      <c r="L1784">
        <f t="shared" si="359"/>
        <v>1.1756332369529408E-2</v>
      </c>
      <c r="M1784" t="str">
        <f t="shared" si="353"/>
        <v>2017-02</v>
      </c>
      <c r="O1784">
        <v>8597.4636399999999</v>
      </c>
      <c r="P1784">
        <f t="shared" si="360"/>
        <v>3.206582107762008E-3</v>
      </c>
      <c r="Q1784" t="str">
        <f t="shared" si="354"/>
        <v>2017-02</v>
      </c>
      <c r="S1784">
        <v>9561</v>
      </c>
      <c r="T1784">
        <f t="shared" si="361"/>
        <v>3.6044381948126757E-3</v>
      </c>
      <c r="U1784" t="str">
        <f t="shared" si="355"/>
        <v>2017-02</v>
      </c>
      <c r="W1784">
        <v>19043.580000000002</v>
      </c>
      <c r="X1784">
        <f t="shared" si="362"/>
        <v>3.4153737493122448E-3</v>
      </c>
      <c r="Y1784">
        <f t="shared" si="363"/>
        <v>3.4212127838386969E-3</v>
      </c>
      <c r="Z1784" t="str">
        <f t="shared" si="356"/>
        <v>2017-02</v>
      </c>
    </row>
    <row r="1785" spans="1:26" x14ac:dyDescent="0.35">
      <c r="A1785" s="1">
        <v>42788</v>
      </c>
      <c r="C1785">
        <v>3339.27</v>
      </c>
      <c r="D1785">
        <f t="shared" si="357"/>
        <v>-1.7967837571214285E-5</v>
      </c>
      <c r="E1785" t="str">
        <f t="shared" si="351"/>
        <v>2017-02</v>
      </c>
      <c r="G1785">
        <v>4895.88</v>
      </c>
      <c r="H1785">
        <f t="shared" si="358"/>
        <v>1.4553425075819033E-3</v>
      </c>
      <c r="I1785" t="str">
        <f t="shared" si="352"/>
        <v>2017-02</v>
      </c>
      <c r="K1785">
        <v>11998.59</v>
      </c>
      <c r="L1785">
        <f t="shared" si="359"/>
        <v>2.5953361965635005E-3</v>
      </c>
      <c r="M1785" t="str">
        <f t="shared" si="353"/>
        <v>2017-02</v>
      </c>
      <c r="O1785">
        <v>8610.1053400000001</v>
      </c>
      <c r="P1785">
        <f t="shared" si="360"/>
        <v>1.4693187967502849E-3</v>
      </c>
      <c r="Q1785" t="str">
        <f t="shared" si="354"/>
        <v>2017-02</v>
      </c>
      <c r="S1785">
        <v>9477.2000000000007</v>
      </c>
      <c r="T1785">
        <f t="shared" si="361"/>
        <v>-8.8034101131242264E-3</v>
      </c>
      <c r="U1785" t="str">
        <f t="shared" si="355"/>
        <v>2017-02</v>
      </c>
      <c r="W1785">
        <v>18884.900000000001</v>
      </c>
      <c r="X1785">
        <f t="shared" si="362"/>
        <v>-8.3673759562153671E-3</v>
      </c>
      <c r="Y1785">
        <f t="shared" si="363"/>
        <v>-8.3324668996060756E-3</v>
      </c>
      <c r="Z1785" t="str">
        <f t="shared" si="356"/>
        <v>2017-02</v>
      </c>
    </row>
    <row r="1786" spans="1:26" x14ac:dyDescent="0.35">
      <c r="A1786" s="1">
        <v>42789</v>
      </c>
      <c r="C1786">
        <v>3333.96</v>
      </c>
      <c r="D1786">
        <f t="shared" si="357"/>
        <v>-1.5914335698611511E-3</v>
      </c>
      <c r="E1786" t="str">
        <f t="shared" si="351"/>
        <v>2017-02</v>
      </c>
      <c r="G1786">
        <v>4891.29</v>
      </c>
      <c r="H1786">
        <f t="shared" si="358"/>
        <v>-9.3796272804365138E-4</v>
      </c>
      <c r="I1786" t="str">
        <f t="shared" si="352"/>
        <v>2017-02</v>
      </c>
      <c r="K1786">
        <v>11947.83</v>
      </c>
      <c r="L1786">
        <f t="shared" si="359"/>
        <v>-4.2394709544265156E-3</v>
      </c>
      <c r="M1786" t="str">
        <f t="shared" si="353"/>
        <v>2017-02</v>
      </c>
      <c r="O1786">
        <v>8632.4724800000004</v>
      </c>
      <c r="P1786">
        <f t="shared" si="360"/>
        <v>2.5944093487089634E-3</v>
      </c>
      <c r="Q1786" t="str">
        <f t="shared" si="354"/>
        <v>2017-02</v>
      </c>
      <c r="S1786">
        <v>9493.4</v>
      </c>
      <c r="T1786">
        <f t="shared" si="361"/>
        <v>1.70790633273314E-3</v>
      </c>
      <c r="U1786" t="str">
        <f t="shared" si="355"/>
        <v>2017-02</v>
      </c>
      <c r="W1786">
        <v>18819.490000000002</v>
      </c>
      <c r="X1786">
        <f t="shared" si="362"/>
        <v>-3.4696259835408252E-3</v>
      </c>
      <c r="Y1786">
        <f t="shared" si="363"/>
        <v>-3.4636137866761196E-3</v>
      </c>
      <c r="Z1786" t="str">
        <f t="shared" si="356"/>
        <v>2017-02</v>
      </c>
    </row>
    <row r="1787" spans="1:26" x14ac:dyDescent="0.35">
      <c r="A1787" s="1">
        <v>42790</v>
      </c>
      <c r="C1787">
        <v>3304.09</v>
      </c>
      <c r="D1787">
        <f t="shared" si="357"/>
        <v>-8.9996916589699747E-3</v>
      </c>
      <c r="E1787" t="str">
        <f t="shared" si="351"/>
        <v>2017-02</v>
      </c>
      <c r="G1787">
        <v>4845.24</v>
      </c>
      <c r="H1787">
        <f t="shared" si="358"/>
        <v>-9.4592926580923803E-3</v>
      </c>
      <c r="I1787" t="str">
        <f t="shared" si="352"/>
        <v>2017-02</v>
      </c>
      <c r="K1787">
        <v>11804.03</v>
      </c>
      <c r="L1787">
        <f t="shared" si="359"/>
        <v>-1.2108673341092497E-2</v>
      </c>
      <c r="M1787" t="str">
        <f t="shared" si="353"/>
        <v>2017-02</v>
      </c>
      <c r="O1787">
        <v>8543.8512800000008</v>
      </c>
      <c r="P1787">
        <f t="shared" si="360"/>
        <v>-1.0319086625118436E-2</v>
      </c>
      <c r="Q1787" t="str">
        <f t="shared" si="354"/>
        <v>2017-02</v>
      </c>
      <c r="S1787">
        <v>9453.5</v>
      </c>
      <c r="T1787">
        <f t="shared" si="361"/>
        <v>-4.2117770170714535E-3</v>
      </c>
      <c r="U1787" t="str">
        <f t="shared" si="355"/>
        <v>2017-02</v>
      </c>
      <c r="W1787">
        <v>18596.66</v>
      </c>
      <c r="X1787">
        <f t="shared" si="362"/>
        <v>-1.1911040256943936E-2</v>
      </c>
      <c r="Y1787">
        <f t="shared" si="363"/>
        <v>-1.1840384622537685E-2</v>
      </c>
      <c r="Z1787" t="str">
        <f t="shared" si="356"/>
        <v>2017-02</v>
      </c>
    </row>
    <row r="1788" spans="1:26" x14ac:dyDescent="0.35">
      <c r="A1788" s="1">
        <v>42793</v>
      </c>
      <c r="C1788">
        <v>3309.3</v>
      </c>
      <c r="D1788">
        <f t="shared" si="357"/>
        <v>1.5755916641281877E-3</v>
      </c>
      <c r="E1788" t="str">
        <f t="shared" si="351"/>
        <v>2017-02</v>
      </c>
      <c r="G1788">
        <v>4845.18</v>
      </c>
      <c r="H1788">
        <f t="shared" si="358"/>
        <v>-1.2383364188609826E-5</v>
      </c>
      <c r="I1788" t="str">
        <f t="shared" si="352"/>
        <v>2017-02</v>
      </c>
      <c r="K1788">
        <v>11822.67</v>
      </c>
      <c r="L1788">
        <f t="shared" si="359"/>
        <v>1.5778762050835144E-3</v>
      </c>
      <c r="M1788" t="str">
        <f t="shared" si="353"/>
        <v>2017-02</v>
      </c>
      <c r="O1788">
        <v>8522.4802</v>
      </c>
      <c r="P1788">
        <f t="shared" si="360"/>
        <v>-2.5044739340366537E-3</v>
      </c>
      <c r="Q1788" t="str">
        <f t="shared" si="354"/>
        <v>2017-02</v>
      </c>
      <c r="S1788">
        <v>9464.2999999999993</v>
      </c>
      <c r="T1788">
        <f t="shared" si="361"/>
        <v>1.1417819379948664E-3</v>
      </c>
      <c r="U1788" t="str">
        <f t="shared" si="355"/>
        <v>2017-02</v>
      </c>
      <c r="W1788">
        <v>18914.3</v>
      </c>
      <c r="X1788">
        <f t="shared" si="362"/>
        <v>1.6936255032239406E-2</v>
      </c>
      <c r="Y1788">
        <f t="shared" si="363"/>
        <v>1.7080486495962149E-2</v>
      </c>
      <c r="Z1788" t="str">
        <f t="shared" si="356"/>
        <v>2017-02</v>
      </c>
    </row>
    <row r="1789" spans="1:26" x14ac:dyDescent="0.35">
      <c r="A1789" s="1">
        <v>42794</v>
      </c>
      <c r="C1789">
        <v>3319.61</v>
      </c>
      <c r="D1789">
        <f t="shared" si="357"/>
        <v>3.1106194874437653E-3</v>
      </c>
      <c r="E1789" t="str">
        <f t="shared" si="351"/>
        <v>2017-02</v>
      </c>
      <c r="G1789">
        <v>4858.58</v>
      </c>
      <c r="H1789">
        <f t="shared" si="358"/>
        <v>2.7618177938299022E-3</v>
      </c>
      <c r="I1789" t="str">
        <f t="shared" si="352"/>
        <v>2017-02</v>
      </c>
      <c r="K1789">
        <v>11834.41</v>
      </c>
      <c r="L1789">
        <f t="shared" si="359"/>
        <v>9.9251479588703608E-4</v>
      </c>
      <c r="M1789" t="str">
        <f t="shared" si="353"/>
        <v>2017-02</v>
      </c>
      <c r="O1789">
        <v>8502.0865799999992</v>
      </c>
      <c r="P1789">
        <f t="shared" si="360"/>
        <v>-2.3957883942831402E-3</v>
      </c>
      <c r="Q1789" t="str">
        <f t="shared" si="354"/>
        <v>2017-02</v>
      </c>
      <c r="S1789">
        <v>9555.5</v>
      </c>
      <c r="T1789">
        <f t="shared" si="361"/>
        <v>9.5900797030576135E-3</v>
      </c>
      <c r="U1789" t="str">
        <f t="shared" si="355"/>
        <v>2017-02</v>
      </c>
      <c r="W1789">
        <v>18913.28</v>
      </c>
      <c r="X1789">
        <f t="shared" si="362"/>
        <v>-5.3928905853698837E-5</v>
      </c>
      <c r="Y1789">
        <f t="shared" si="363"/>
        <v>-5.392745171644928E-5</v>
      </c>
      <c r="Z1789" t="str">
        <f t="shared" si="356"/>
        <v>2017-02</v>
      </c>
    </row>
    <row r="1790" spans="1:26" x14ac:dyDescent="0.35">
      <c r="A1790" s="1">
        <v>42795</v>
      </c>
      <c r="C1790">
        <v>3390.2</v>
      </c>
      <c r="D1790">
        <f t="shared" si="357"/>
        <v>2.1041610553496279E-2</v>
      </c>
      <c r="E1790" t="str">
        <f t="shared" si="351"/>
        <v>2017-03</v>
      </c>
      <c r="G1790">
        <v>4960.83</v>
      </c>
      <c r="H1790">
        <f t="shared" si="358"/>
        <v>2.082685129771502E-2</v>
      </c>
      <c r="I1790" t="str">
        <f t="shared" si="352"/>
        <v>2017-03</v>
      </c>
      <c r="K1790">
        <v>12067.19</v>
      </c>
      <c r="L1790">
        <f t="shared" si="359"/>
        <v>1.9478809799117147E-2</v>
      </c>
      <c r="M1790" t="str">
        <f t="shared" si="353"/>
        <v>2017-03</v>
      </c>
      <c r="O1790">
        <v>8609.4230499999994</v>
      </c>
      <c r="P1790">
        <f t="shared" si="360"/>
        <v>1.2545693531909497E-2</v>
      </c>
      <c r="Q1790" t="str">
        <f t="shared" si="354"/>
        <v>2017-03</v>
      </c>
      <c r="S1790">
        <v>9751.5</v>
      </c>
      <c r="T1790">
        <f t="shared" si="361"/>
        <v>2.0304214383597238E-2</v>
      </c>
      <c r="U1790" t="str">
        <f t="shared" si="355"/>
        <v>2017-03</v>
      </c>
      <c r="W1790">
        <v>19364.39</v>
      </c>
      <c r="X1790">
        <f t="shared" si="362"/>
        <v>2.3571491513012622E-2</v>
      </c>
      <c r="Y1790">
        <f t="shared" si="363"/>
        <v>2.3851494822685469E-2</v>
      </c>
      <c r="Z1790" t="str">
        <f t="shared" si="356"/>
        <v>2017-03</v>
      </c>
    </row>
    <row r="1791" spans="1:26" x14ac:dyDescent="0.35">
      <c r="A1791" s="1">
        <v>42796</v>
      </c>
      <c r="C1791">
        <v>3384.71</v>
      </c>
      <c r="D1791">
        <f t="shared" si="357"/>
        <v>-1.6206860907908092E-3</v>
      </c>
      <c r="E1791" t="str">
        <f t="shared" si="351"/>
        <v>2017-03</v>
      </c>
      <c r="G1791">
        <v>4963.8</v>
      </c>
      <c r="H1791">
        <f t="shared" si="358"/>
        <v>5.9851099510190139E-4</v>
      </c>
      <c r="I1791" t="str">
        <f t="shared" si="352"/>
        <v>2017-03</v>
      </c>
      <c r="K1791">
        <v>12059.57</v>
      </c>
      <c r="L1791">
        <f t="shared" si="359"/>
        <v>-6.3166378356362758E-4</v>
      </c>
      <c r="M1791" t="str">
        <f t="shared" si="353"/>
        <v>2017-03</v>
      </c>
      <c r="O1791">
        <v>8618.3631000000005</v>
      </c>
      <c r="P1791">
        <f t="shared" si="360"/>
        <v>1.0378641486086474E-3</v>
      </c>
      <c r="Q1791" t="str">
        <f t="shared" si="354"/>
        <v>2017-03</v>
      </c>
      <c r="S1791">
        <v>9716</v>
      </c>
      <c r="T1791">
        <f t="shared" si="361"/>
        <v>-3.647108190569993E-3</v>
      </c>
      <c r="U1791" t="str">
        <f t="shared" si="355"/>
        <v>2017-03</v>
      </c>
      <c r="W1791">
        <v>19440.62</v>
      </c>
      <c r="X1791">
        <f t="shared" si="362"/>
        <v>3.9288791863600998E-3</v>
      </c>
      <c r="Y1791">
        <f t="shared" si="363"/>
        <v>3.9366073498829325E-3</v>
      </c>
      <c r="Z1791" t="str">
        <f t="shared" si="356"/>
        <v>2017-03</v>
      </c>
    </row>
    <row r="1792" spans="1:26" x14ac:dyDescent="0.35">
      <c r="A1792" s="1">
        <v>42797</v>
      </c>
      <c r="C1792">
        <v>3403.39</v>
      </c>
      <c r="D1792">
        <f t="shared" si="357"/>
        <v>5.5037631011921849E-3</v>
      </c>
      <c r="E1792" t="str">
        <f t="shared" si="351"/>
        <v>2017-03</v>
      </c>
      <c r="G1792">
        <v>4995.13</v>
      </c>
      <c r="H1792">
        <f t="shared" si="358"/>
        <v>6.2918613458164746E-3</v>
      </c>
      <c r="I1792" t="str">
        <f t="shared" si="352"/>
        <v>2017-03</v>
      </c>
      <c r="K1792">
        <v>12027.36</v>
      </c>
      <c r="L1792">
        <f t="shared" si="359"/>
        <v>-2.6744810732987133E-3</v>
      </c>
      <c r="M1792" t="str">
        <f t="shared" si="353"/>
        <v>2017-03</v>
      </c>
      <c r="O1792">
        <v>8558.3865800000003</v>
      </c>
      <c r="P1792">
        <f t="shared" si="360"/>
        <v>-6.9834823079873111E-3</v>
      </c>
      <c r="Q1792" t="str">
        <f t="shared" si="354"/>
        <v>2017-03</v>
      </c>
      <c r="S1792">
        <v>9798.5</v>
      </c>
      <c r="T1792">
        <f t="shared" si="361"/>
        <v>8.4553015970457741E-3</v>
      </c>
      <c r="U1792" t="str">
        <f t="shared" si="355"/>
        <v>2017-03</v>
      </c>
      <c r="W1792">
        <v>19664.45</v>
      </c>
      <c r="X1792">
        <f t="shared" si="362"/>
        <v>1.1447745492906329E-2</v>
      </c>
      <c r="Y1792">
        <f t="shared" si="363"/>
        <v>1.15135216880944E-2</v>
      </c>
      <c r="Z1792" t="str">
        <f t="shared" si="356"/>
        <v>2017-03</v>
      </c>
    </row>
    <row r="1793" spans="1:26" x14ac:dyDescent="0.35">
      <c r="A1793" s="1">
        <v>42800</v>
      </c>
      <c r="C1793">
        <v>3387.46</v>
      </c>
      <c r="D1793">
        <f t="shared" si="357"/>
        <v>-4.6916156946284968E-3</v>
      </c>
      <c r="E1793" t="str">
        <f t="shared" si="351"/>
        <v>2017-03</v>
      </c>
      <c r="G1793">
        <v>4972.1899999999996</v>
      </c>
      <c r="H1793">
        <f t="shared" si="358"/>
        <v>-4.6030508711524011E-3</v>
      </c>
      <c r="I1793" t="str">
        <f t="shared" si="352"/>
        <v>2017-03</v>
      </c>
      <c r="K1793">
        <v>11958.4</v>
      </c>
      <c r="L1793">
        <f t="shared" si="359"/>
        <v>-5.750094223013185E-3</v>
      </c>
      <c r="M1793" t="str">
        <f t="shared" si="353"/>
        <v>2017-03</v>
      </c>
      <c r="O1793">
        <v>8498.0116799999996</v>
      </c>
      <c r="P1793">
        <f t="shared" si="360"/>
        <v>-7.0794726107962398E-3</v>
      </c>
      <c r="Q1793" t="str">
        <f t="shared" si="354"/>
        <v>2017-03</v>
      </c>
      <c r="S1793">
        <v>9804.1</v>
      </c>
      <c r="T1793">
        <f t="shared" si="361"/>
        <v>5.7135279527623897E-4</v>
      </c>
      <c r="U1793" t="str">
        <f t="shared" si="355"/>
        <v>2017-03</v>
      </c>
      <c r="W1793">
        <v>19449.849999999999</v>
      </c>
      <c r="X1793">
        <f t="shared" si="362"/>
        <v>-1.0973079068288686E-2</v>
      </c>
      <c r="Y1793">
        <f t="shared" si="363"/>
        <v>-1.0913094442000776E-2</v>
      </c>
      <c r="Z1793" t="str">
        <f t="shared" si="356"/>
        <v>2017-03</v>
      </c>
    </row>
    <row r="1794" spans="1:26" x14ac:dyDescent="0.35">
      <c r="A1794" s="1">
        <v>42801</v>
      </c>
      <c r="C1794">
        <v>3385.12</v>
      </c>
      <c r="D1794">
        <f t="shared" si="357"/>
        <v>-6.9102176515149793E-4</v>
      </c>
      <c r="E1794" t="str">
        <f t="shared" si="351"/>
        <v>2017-03</v>
      </c>
      <c r="G1794">
        <v>4955</v>
      </c>
      <c r="H1794">
        <f t="shared" si="358"/>
        <v>-3.4632191347680175E-3</v>
      </c>
      <c r="I1794" t="str">
        <f t="shared" si="352"/>
        <v>2017-03</v>
      </c>
      <c r="K1794">
        <v>11966.14</v>
      </c>
      <c r="L1794">
        <f t="shared" si="359"/>
        <v>6.4703440651583239E-4</v>
      </c>
      <c r="M1794" t="str">
        <f t="shared" si="353"/>
        <v>2017-03</v>
      </c>
      <c r="O1794">
        <v>8471.5887399999992</v>
      </c>
      <c r="P1794">
        <f t="shared" si="360"/>
        <v>-3.1141524490905818E-3</v>
      </c>
      <c r="Q1794" t="str">
        <f t="shared" si="354"/>
        <v>2017-03</v>
      </c>
      <c r="S1794">
        <v>9801.7000000000007</v>
      </c>
      <c r="T1794">
        <f t="shared" si="361"/>
        <v>-2.4482551204104542E-4</v>
      </c>
      <c r="U1794" t="str">
        <f t="shared" si="355"/>
        <v>2017-03</v>
      </c>
      <c r="W1794">
        <v>19455.05</v>
      </c>
      <c r="X1794">
        <f t="shared" si="362"/>
        <v>2.6731851417006585E-4</v>
      </c>
      <c r="Y1794">
        <f t="shared" si="363"/>
        <v>2.6735424694795734E-4</v>
      </c>
      <c r="Z1794" t="str">
        <f t="shared" si="356"/>
        <v>2017-03</v>
      </c>
    </row>
    <row r="1795" spans="1:26" x14ac:dyDescent="0.35">
      <c r="A1795" s="1">
        <v>42802</v>
      </c>
      <c r="C1795">
        <v>3389.62</v>
      </c>
      <c r="D1795">
        <f t="shared" si="357"/>
        <v>1.3284644611621849E-3</v>
      </c>
      <c r="E1795" t="str">
        <f t="shared" si="351"/>
        <v>2017-03</v>
      </c>
      <c r="G1795">
        <v>4960.4799999999996</v>
      </c>
      <c r="H1795">
        <f t="shared" si="358"/>
        <v>1.1053424661128146E-3</v>
      </c>
      <c r="I1795" t="str">
        <f t="shared" si="352"/>
        <v>2017-03</v>
      </c>
      <c r="K1795">
        <v>11967.31</v>
      </c>
      <c r="L1795">
        <f t="shared" si="359"/>
        <v>9.7771111221506271E-5</v>
      </c>
      <c r="M1795" t="str">
        <f t="shared" si="353"/>
        <v>2017-03</v>
      </c>
      <c r="O1795">
        <v>8459.4775900000004</v>
      </c>
      <c r="P1795">
        <f t="shared" si="360"/>
        <v>-1.4306425631603636E-3</v>
      </c>
      <c r="Q1795" t="str">
        <f t="shared" si="354"/>
        <v>2017-03</v>
      </c>
      <c r="S1795">
        <v>9850.5</v>
      </c>
      <c r="T1795">
        <f t="shared" si="361"/>
        <v>4.9663752967930496E-3</v>
      </c>
      <c r="U1795" t="str">
        <f t="shared" si="355"/>
        <v>2017-03</v>
      </c>
      <c r="W1795">
        <v>19482.39</v>
      </c>
      <c r="X1795">
        <f t="shared" si="362"/>
        <v>1.4043041603676405E-3</v>
      </c>
      <c r="Y1795">
        <f t="shared" si="363"/>
        <v>1.405290657181562E-3</v>
      </c>
      <c r="Z1795" t="str">
        <f t="shared" si="356"/>
        <v>2017-03</v>
      </c>
    </row>
    <row r="1796" spans="1:26" x14ac:dyDescent="0.35">
      <c r="A1796" s="1">
        <v>42803</v>
      </c>
      <c r="C1796">
        <v>3409.89</v>
      </c>
      <c r="D1796">
        <f t="shared" si="357"/>
        <v>5.9622119965743346E-3</v>
      </c>
      <c r="E1796" t="str">
        <f t="shared" ref="E1796:E1859" si="364">_xlfn.CONCAT(YEAR(A1796),"-",TEXT(MONTH(A1796),"00"))</f>
        <v>2017-03</v>
      </c>
      <c r="G1796">
        <v>4981.51</v>
      </c>
      <c r="H1796">
        <f t="shared" si="358"/>
        <v>4.2305476801765777E-3</v>
      </c>
      <c r="I1796" t="str">
        <f t="shared" ref="I1796:I1859" si="365">_xlfn.CONCAT(YEAR(A1796),"-",TEXT(MONTH(A1796),"00"))</f>
        <v>2017-03</v>
      </c>
      <c r="K1796">
        <v>11978.39</v>
      </c>
      <c r="L1796">
        <f t="shared" si="359"/>
        <v>9.2542717822043032E-4</v>
      </c>
      <c r="M1796" t="str">
        <f t="shared" ref="M1796:M1859" si="366">_xlfn.CONCAT(YEAR(A1796),"-",TEXT(MONTH(A1796),"00"))</f>
        <v>2017-03</v>
      </c>
      <c r="O1796">
        <v>8414.2781900000009</v>
      </c>
      <c r="P1796">
        <f t="shared" si="360"/>
        <v>-5.3573737461454305E-3</v>
      </c>
      <c r="Q1796" t="str">
        <f t="shared" ref="Q1796:Q1859" si="367">_xlfn.CONCAT(YEAR(A1796),"-",TEXT(MONTH(A1796),"00"))</f>
        <v>2017-03</v>
      </c>
      <c r="S1796">
        <v>9998.4</v>
      </c>
      <c r="T1796">
        <f t="shared" si="361"/>
        <v>1.4902864875680199E-2</v>
      </c>
      <c r="U1796" t="str">
        <f t="shared" ref="U1796:U1859" si="368">_xlfn.CONCAT(YEAR(A1796),"-",TEXT(MONTH(A1796),"00"))</f>
        <v>2017-03</v>
      </c>
      <c r="W1796">
        <v>19571.240000000002</v>
      </c>
      <c r="X1796">
        <f t="shared" si="362"/>
        <v>4.5501610629056716E-3</v>
      </c>
      <c r="Y1796">
        <f t="shared" si="363"/>
        <v>4.5605287646947931E-3</v>
      </c>
      <c r="Z1796" t="str">
        <f t="shared" ref="Z1796:Z1859" si="369">_xlfn.CONCAT(YEAR(A1796),"-",TEXT(MONTH(A1796),"00"))</f>
        <v>2017-03</v>
      </c>
    </row>
    <row r="1797" spans="1:26" x14ac:dyDescent="0.35">
      <c r="A1797" s="1">
        <v>42804</v>
      </c>
      <c r="C1797">
        <v>3416.27</v>
      </c>
      <c r="D1797">
        <f t="shared" ref="D1797:D1860" si="370">LN(C1797/C1796)</f>
        <v>1.8692799048816654E-3</v>
      </c>
      <c r="E1797" t="str">
        <f t="shared" si="364"/>
        <v>2017-03</v>
      </c>
      <c r="G1797">
        <v>4993.32</v>
      </c>
      <c r="H1797">
        <f t="shared" ref="H1797:H1860" si="371">LN(G1797/G1796)</f>
        <v>2.3679612621886684E-3</v>
      </c>
      <c r="I1797" t="str">
        <f t="shared" si="365"/>
        <v>2017-03</v>
      </c>
      <c r="K1797">
        <v>11963.18</v>
      </c>
      <c r="L1797">
        <f t="shared" ref="L1797:L1860" si="372">LN(K1797/K1796)</f>
        <v>-1.2705935363688456E-3</v>
      </c>
      <c r="M1797" t="str">
        <f t="shared" si="366"/>
        <v>2017-03</v>
      </c>
      <c r="O1797">
        <v>8375.4747900000002</v>
      </c>
      <c r="P1797">
        <f t="shared" ref="P1797:P1860" si="373">LN(O1797/O1796)</f>
        <v>-4.6222799268034812E-3</v>
      </c>
      <c r="Q1797" t="str">
        <f t="shared" si="367"/>
        <v>2017-03</v>
      </c>
      <c r="S1797">
        <v>10006.4</v>
      </c>
      <c r="T1797">
        <f t="shared" ref="T1797:T1860" si="374">LN(S1797/S1796)</f>
        <v>7.9980808870486891E-4</v>
      </c>
      <c r="U1797" t="str">
        <f t="shared" si="368"/>
        <v>2017-03</v>
      </c>
      <c r="W1797">
        <v>19658.37</v>
      </c>
      <c r="X1797">
        <f t="shared" ref="X1797:X1860" si="375">LN(W1797/W1796)</f>
        <v>4.4420601311088498E-3</v>
      </c>
      <c r="Y1797">
        <f t="shared" ref="Y1797:Y1860" si="376">(W1797-W1796)/W1796</f>
        <v>4.4519407048300144E-3</v>
      </c>
      <c r="Z1797" t="str">
        <f t="shared" si="369"/>
        <v>2017-03</v>
      </c>
    </row>
    <row r="1798" spans="1:26" x14ac:dyDescent="0.35">
      <c r="A1798" s="1">
        <v>42807</v>
      </c>
      <c r="C1798">
        <v>3415.49</v>
      </c>
      <c r="D1798">
        <f t="shared" si="370"/>
        <v>-2.2834525902242509E-4</v>
      </c>
      <c r="E1798" t="str">
        <f t="shared" si="364"/>
        <v>2017-03</v>
      </c>
      <c r="G1798">
        <v>4999.6000000000004</v>
      </c>
      <c r="H1798">
        <f t="shared" si="371"/>
        <v>1.2568900435004767E-3</v>
      </c>
      <c r="I1798" t="str">
        <f t="shared" si="365"/>
        <v>2017-03</v>
      </c>
      <c r="K1798">
        <v>11990.03</v>
      </c>
      <c r="L1798">
        <f t="shared" si="372"/>
        <v>2.2418716527471314E-3</v>
      </c>
      <c r="M1798" t="str">
        <f t="shared" si="366"/>
        <v>2017-03</v>
      </c>
      <c r="O1798">
        <v>8456.3489800000007</v>
      </c>
      <c r="P1798">
        <f t="shared" si="373"/>
        <v>9.6097503728971682E-3</v>
      </c>
      <c r="Q1798" t="str">
        <f t="shared" si="367"/>
        <v>2017-03</v>
      </c>
      <c r="S1798">
        <v>9995.9</v>
      </c>
      <c r="T1798">
        <f t="shared" si="374"/>
        <v>-1.0498793603200946E-3</v>
      </c>
      <c r="U1798" t="str">
        <f t="shared" si="368"/>
        <v>2017-03</v>
      </c>
      <c r="W1798">
        <v>19706.95</v>
      </c>
      <c r="X1798">
        <f t="shared" si="375"/>
        <v>2.4681635846864826E-3</v>
      </c>
      <c r="Y1798">
        <f t="shared" si="376"/>
        <v>2.4712120079132577E-3</v>
      </c>
      <c r="Z1798" t="str">
        <f t="shared" si="369"/>
        <v>2017-03</v>
      </c>
    </row>
    <row r="1799" spans="1:26" x14ac:dyDescent="0.35">
      <c r="A1799" s="1">
        <v>42808</v>
      </c>
      <c r="C1799">
        <v>3399.43</v>
      </c>
      <c r="D1799">
        <f t="shared" si="370"/>
        <v>-4.713196847512805E-3</v>
      </c>
      <c r="E1799" t="str">
        <f t="shared" si="364"/>
        <v>2017-03</v>
      </c>
      <c r="G1799">
        <v>4974.26</v>
      </c>
      <c r="H1799">
        <f t="shared" si="371"/>
        <v>-5.0812934054105868E-3</v>
      </c>
      <c r="I1799" t="str">
        <f t="shared" si="365"/>
        <v>2017-03</v>
      </c>
      <c r="K1799">
        <v>11988.79</v>
      </c>
      <c r="L1799">
        <f t="shared" si="372"/>
        <v>-1.0342460563994061E-4</v>
      </c>
      <c r="M1799" t="str">
        <f t="shared" si="366"/>
        <v>2017-03</v>
      </c>
      <c r="O1799">
        <v>8427.4781299999995</v>
      </c>
      <c r="P1799">
        <f t="shared" si="373"/>
        <v>-3.4199447733511803E-3</v>
      </c>
      <c r="Q1799" t="str">
        <f t="shared" si="367"/>
        <v>2017-03</v>
      </c>
      <c r="S1799">
        <v>9905.1</v>
      </c>
      <c r="T1799">
        <f t="shared" si="374"/>
        <v>-9.1252329103580429E-3</v>
      </c>
      <c r="U1799" t="str">
        <f t="shared" si="368"/>
        <v>2017-03</v>
      </c>
      <c r="W1799">
        <v>19537.400000000001</v>
      </c>
      <c r="X1799">
        <f t="shared" si="375"/>
        <v>-8.6407880333212329E-3</v>
      </c>
      <c r="Y1799">
        <f t="shared" si="376"/>
        <v>-8.6035637173687077E-3</v>
      </c>
      <c r="Z1799" t="str">
        <f t="shared" si="369"/>
        <v>2017-03</v>
      </c>
    </row>
    <row r="1800" spans="1:26" x14ac:dyDescent="0.35">
      <c r="A1800" s="1">
        <v>42809</v>
      </c>
      <c r="C1800">
        <v>3409.32</v>
      </c>
      <c r="D1800">
        <f t="shared" si="370"/>
        <v>2.9050874112226473E-3</v>
      </c>
      <c r="E1800" t="str">
        <f t="shared" si="364"/>
        <v>2017-03</v>
      </c>
      <c r="G1800">
        <v>4985.4799999999996</v>
      </c>
      <c r="H1800">
        <f t="shared" si="371"/>
        <v>2.2530718164068698E-3</v>
      </c>
      <c r="I1800" t="str">
        <f t="shared" si="365"/>
        <v>2017-03</v>
      </c>
      <c r="K1800">
        <v>12009.87</v>
      </c>
      <c r="L1800">
        <f t="shared" si="372"/>
        <v>1.7567652045128352E-3</v>
      </c>
      <c r="M1800" t="str">
        <f t="shared" si="366"/>
        <v>2017-03</v>
      </c>
      <c r="O1800">
        <v>8457.26001</v>
      </c>
      <c r="P1800">
        <f t="shared" si="373"/>
        <v>3.5276722254188593E-3</v>
      </c>
      <c r="Q1800" t="str">
        <f t="shared" si="367"/>
        <v>2017-03</v>
      </c>
      <c r="S1800">
        <v>9983.2000000000007</v>
      </c>
      <c r="T1800">
        <f t="shared" si="374"/>
        <v>7.8539042008007477E-3</v>
      </c>
      <c r="U1800" t="str">
        <f t="shared" si="368"/>
        <v>2017-03</v>
      </c>
      <c r="W1800">
        <v>19774.02</v>
      </c>
      <c r="X1800">
        <f t="shared" si="375"/>
        <v>1.2038377531207085E-2</v>
      </c>
      <c r="Y1800">
        <f t="shared" si="376"/>
        <v>1.2111130447244718E-2</v>
      </c>
      <c r="Z1800" t="str">
        <f t="shared" si="369"/>
        <v>2017-03</v>
      </c>
    </row>
    <row r="1801" spans="1:26" x14ac:dyDescent="0.35">
      <c r="A1801" s="1">
        <v>42810</v>
      </c>
      <c r="C1801">
        <v>3439.96</v>
      </c>
      <c r="D1801">
        <f t="shared" si="370"/>
        <v>8.9469854905498553E-3</v>
      </c>
      <c r="E1801" t="str">
        <f t="shared" si="364"/>
        <v>2017-03</v>
      </c>
      <c r="G1801">
        <v>5013.38</v>
      </c>
      <c r="H1801">
        <f t="shared" si="371"/>
        <v>5.5806506759724563E-3</v>
      </c>
      <c r="I1801" t="str">
        <f t="shared" si="365"/>
        <v>2017-03</v>
      </c>
      <c r="K1801">
        <v>12083.18</v>
      </c>
      <c r="L1801">
        <f t="shared" si="372"/>
        <v>6.0855911766509027E-3</v>
      </c>
      <c r="M1801" t="str">
        <f t="shared" si="366"/>
        <v>2017-03</v>
      </c>
      <c r="O1801">
        <v>8548.9327499999999</v>
      </c>
      <c r="P1801">
        <f t="shared" si="373"/>
        <v>1.0781205323546372E-2</v>
      </c>
      <c r="Q1801" t="str">
        <f t="shared" si="367"/>
        <v>2017-03</v>
      </c>
      <c r="S1801">
        <v>10168</v>
      </c>
      <c r="T1801">
        <f t="shared" si="374"/>
        <v>1.8341853675645236E-2</v>
      </c>
      <c r="U1801" t="str">
        <f t="shared" si="368"/>
        <v>2017-03</v>
      </c>
      <c r="W1801">
        <v>20109.759999999998</v>
      </c>
      <c r="X1801">
        <f t="shared" si="375"/>
        <v>1.6836314448751978E-2</v>
      </c>
      <c r="Y1801">
        <f t="shared" si="376"/>
        <v>1.6978843957879984E-2</v>
      </c>
      <c r="Z1801" t="str">
        <f t="shared" si="369"/>
        <v>2017-03</v>
      </c>
    </row>
    <row r="1802" spans="1:26" x14ac:dyDescent="0.35">
      <c r="A1802" s="1">
        <v>42811</v>
      </c>
      <c r="C1802">
        <v>3448.41</v>
      </c>
      <c r="D1802">
        <f t="shared" si="370"/>
        <v>2.4534118343062183E-3</v>
      </c>
      <c r="E1802" t="str">
        <f t="shared" si="364"/>
        <v>2017-03</v>
      </c>
      <c r="G1802">
        <v>5029.24</v>
      </c>
      <c r="H1802">
        <f t="shared" si="371"/>
        <v>3.1585409356219519E-3</v>
      </c>
      <c r="I1802" t="str">
        <f t="shared" si="365"/>
        <v>2017-03</v>
      </c>
      <c r="K1802">
        <v>12095.24</v>
      </c>
      <c r="L1802">
        <f t="shared" si="372"/>
        <v>9.9758387852867149E-4</v>
      </c>
      <c r="M1802" t="str">
        <f t="shared" si="366"/>
        <v>2017-03</v>
      </c>
      <c r="O1802">
        <v>8563.6473299999998</v>
      </c>
      <c r="P1802">
        <f t="shared" si="373"/>
        <v>1.7197387603438738E-3</v>
      </c>
      <c r="Q1802" t="str">
        <f t="shared" si="367"/>
        <v>2017-03</v>
      </c>
      <c r="S1802">
        <v>10245.799999999999</v>
      </c>
      <c r="T1802">
        <f t="shared" si="374"/>
        <v>7.6223316267337235E-3</v>
      </c>
      <c r="U1802" t="str">
        <f t="shared" si="368"/>
        <v>2017-03</v>
      </c>
      <c r="W1802">
        <v>20074.28</v>
      </c>
      <c r="X1802">
        <f t="shared" si="375"/>
        <v>-1.7658756670470505E-3</v>
      </c>
      <c r="Y1802">
        <f t="shared" si="376"/>
        <v>-1.7643174259662753E-3</v>
      </c>
      <c r="Z1802" t="str">
        <f t="shared" si="369"/>
        <v>2017-03</v>
      </c>
    </row>
    <row r="1803" spans="1:26" x14ac:dyDescent="0.35">
      <c r="A1803" s="1">
        <v>42814</v>
      </c>
      <c r="C1803">
        <v>3437.48</v>
      </c>
      <c r="D1803">
        <f t="shared" si="370"/>
        <v>-3.1746104510860938E-3</v>
      </c>
      <c r="E1803" t="str">
        <f t="shared" si="364"/>
        <v>2017-03</v>
      </c>
      <c r="G1803">
        <v>5012.16</v>
      </c>
      <c r="H1803">
        <f t="shared" si="371"/>
        <v>-3.4019193483601998E-3</v>
      </c>
      <c r="I1803" t="str">
        <f t="shared" si="365"/>
        <v>2017-03</v>
      </c>
      <c r="K1803">
        <v>12052.9</v>
      </c>
      <c r="L1803">
        <f t="shared" si="372"/>
        <v>-3.5066918932481982E-3</v>
      </c>
      <c r="M1803" t="str">
        <f t="shared" si="366"/>
        <v>2017-03</v>
      </c>
      <c r="O1803">
        <v>8549.6834899999994</v>
      </c>
      <c r="P1803">
        <f t="shared" si="373"/>
        <v>-1.6319258063663218E-3</v>
      </c>
      <c r="Q1803" t="str">
        <f t="shared" si="367"/>
        <v>2017-03</v>
      </c>
      <c r="S1803">
        <v>10214</v>
      </c>
      <c r="T1803">
        <f t="shared" si="374"/>
        <v>-3.1085372884345299E-3</v>
      </c>
      <c r="U1803" t="str">
        <f t="shared" si="368"/>
        <v>2017-03</v>
      </c>
      <c r="W1803">
        <v>19968.55</v>
      </c>
      <c r="X1803">
        <f t="shared" si="375"/>
        <v>-5.280857807085074E-3</v>
      </c>
      <c r="Y1803">
        <f t="shared" si="376"/>
        <v>-5.2669385900764344E-3</v>
      </c>
      <c r="Z1803" t="str">
        <f t="shared" si="369"/>
        <v>2017-03</v>
      </c>
    </row>
    <row r="1804" spans="1:26" x14ac:dyDescent="0.35">
      <c r="A1804" s="1">
        <v>42815</v>
      </c>
      <c r="C1804">
        <v>3429.62</v>
      </c>
      <c r="D1804">
        <f t="shared" si="370"/>
        <v>-2.2891769254610038E-3</v>
      </c>
      <c r="E1804" t="str">
        <f t="shared" si="364"/>
        <v>2017-03</v>
      </c>
      <c r="G1804">
        <v>5002.43</v>
      </c>
      <c r="H1804">
        <f t="shared" si="371"/>
        <v>-1.9431655338098697E-3</v>
      </c>
      <c r="I1804" t="str">
        <f t="shared" si="365"/>
        <v>2017-03</v>
      </c>
      <c r="K1804">
        <v>11962.13</v>
      </c>
      <c r="L1804">
        <f t="shared" si="372"/>
        <v>-7.5594685709880656E-3</v>
      </c>
      <c r="M1804" t="str">
        <f t="shared" si="366"/>
        <v>2017-03</v>
      </c>
      <c r="O1804">
        <v>8517.6173999999992</v>
      </c>
      <c r="P1804">
        <f t="shared" si="373"/>
        <v>-3.7576097048703954E-3</v>
      </c>
      <c r="Q1804" t="str">
        <f t="shared" si="367"/>
        <v>2017-03</v>
      </c>
      <c r="S1804">
        <v>10211.9</v>
      </c>
      <c r="T1804">
        <f t="shared" si="374"/>
        <v>-2.0562129525738019E-4</v>
      </c>
      <c r="U1804" t="str">
        <f t="shared" si="368"/>
        <v>2017-03</v>
      </c>
      <c r="W1804">
        <v>19918.84</v>
      </c>
      <c r="X1804">
        <f t="shared" si="375"/>
        <v>-2.4925183490767428E-3</v>
      </c>
      <c r="Y1804">
        <f t="shared" si="376"/>
        <v>-2.4894146044654782E-3</v>
      </c>
      <c r="Z1804" t="str">
        <f t="shared" si="369"/>
        <v>2017-03</v>
      </c>
    </row>
    <row r="1805" spans="1:26" x14ac:dyDescent="0.35">
      <c r="A1805" s="1">
        <v>42816</v>
      </c>
      <c r="C1805">
        <v>3420.7</v>
      </c>
      <c r="D1805">
        <f t="shared" si="370"/>
        <v>-2.6042593751562991E-3</v>
      </c>
      <c r="E1805" t="str">
        <f t="shared" si="364"/>
        <v>2017-03</v>
      </c>
      <c r="G1805">
        <v>4994.7</v>
      </c>
      <c r="H1805">
        <f t="shared" si="371"/>
        <v>-1.546444137571071E-3</v>
      </c>
      <c r="I1805" t="str">
        <f t="shared" si="365"/>
        <v>2017-03</v>
      </c>
      <c r="K1805">
        <v>11904.12</v>
      </c>
      <c r="L1805">
        <f t="shared" si="372"/>
        <v>-4.8612676260918744E-3</v>
      </c>
      <c r="M1805" t="str">
        <f t="shared" si="366"/>
        <v>2017-03</v>
      </c>
      <c r="O1805">
        <v>8455.5087999999996</v>
      </c>
      <c r="P1805">
        <f t="shared" si="373"/>
        <v>-7.31849589536601E-3</v>
      </c>
      <c r="Q1805" t="str">
        <f t="shared" si="367"/>
        <v>2017-03</v>
      </c>
      <c r="S1805">
        <v>10229.299999999999</v>
      </c>
      <c r="T1805">
        <f t="shared" si="374"/>
        <v>1.7024444947027369E-3</v>
      </c>
      <c r="U1805" t="str">
        <f t="shared" si="368"/>
        <v>2017-03</v>
      </c>
      <c r="W1805">
        <v>19953.439999999999</v>
      </c>
      <c r="X1805">
        <f t="shared" si="375"/>
        <v>1.7355420199147318E-3</v>
      </c>
      <c r="Y1805">
        <f t="shared" si="376"/>
        <v>1.7370489446171837E-3</v>
      </c>
      <c r="Z1805" t="str">
        <f t="shared" si="369"/>
        <v>2017-03</v>
      </c>
    </row>
    <row r="1806" spans="1:26" x14ac:dyDescent="0.35">
      <c r="A1806" s="1">
        <v>42817</v>
      </c>
      <c r="C1806">
        <v>3452.18</v>
      </c>
      <c r="D1806">
        <f t="shared" si="370"/>
        <v>9.1607070532386918E-3</v>
      </c>
      <c r="E1806" t="str">
        <f t="shared" si="364"/>
        <v>2017-03</v>
      </c>
      <c r="G1806">
        <v>5032.76</v>
      </c>
      <c r="H1806">
        <f t="shared" si="371"/>
        <v>7.5911911432941298E-3</v>
      </c>
      <c r="I1806" t="str">
        <f t="shared" si="365"/>
        <v>2017-03</v>
      </c>
      <c r="K1806">
        <v>12039.68</v>
      </c>
      <c r="L1806">
        <f t="shared" si="372"/>
        <v>1.1323302769293967E-2</v>
      </c>
      <c r="M1806" t="str">
        <f t="shared" si="366"/>
        <v>2017-03</v>
      </c>
      <c r="O1806">
        <v>8521.3788700000005</v>
      </c>
      <c r="P1806">
        <f t="shared" si="373"/>
        <v>7.7600089987790097E-3</v>
      </c>
      <c r="Q1806" t="str">
        <f t="shared" si="367"/>
        <v>2017-03</v>
      </c>
      <c r="S1806">
        <v>10324.9</v>
      </c>
      <c r="T1806">
        <f t="shared" si="374"/>
        <v>9.3023021452724227E-3</v>
      </c>
      <c r="U1806" t="str">
        <f t="shared" si="368"/>
        <v>2017-03</v>
      </c>
      <c r="W1806">
        <v>20167.490000000002</v>
      </c>
      <c r="X1806">
        <f t="shared" si="375"/>
        <v>1.0670342432553378E-2</v>
      </c>
      <c r="Y1806">
        <f t="shared" si="376"/>
        <v>1.0727473558444204E-2</v>
      </c>
      <c r="Z1806" t="str">
        <f t="shared" si="369"/>
        <v>2017-03</v>
      </c>
    </row>
    <row r="1807" spans="1:26" x14ac:dyDescent="0.35">
      <c r="A1807" s="1">
        <v>42818</v>
      </c>
      <c r="C1807">
        <v>3444.15</v>
      </c>
      <c r="D1807">
        <f t="shared" si="370"/>
        <v>-2.3287759225623515E-3</v>
      </c>
      <c r="E1807" t="str">
        <f t="shared" si="364"/>
        <v>2017-03</v>
      </c>
      <c r="G1807">
        <v>5020.8999999999996</v>
      </c>
      <c r="H1807">
        <f t="shared" si="371"/>
        <v>-2.3593408771625827E-3</v>
      </c>
      <c r="I1807" t="str">
        <f t="shared" si="365"/>
        <v>2017-03</v>
      </c>
      <c r="K1807">
        <v>12064.27</v>
      </c>
      <c r="L1807">
        <f t="shared" si="372"/>
        <v>2.040330197380319E-3</v>
      </c>
      <c r="M1807" t="str">
        <f t="shared" si="366"/>
        <v>2017-03</v>
      </c>
      <c r="O1807">
        <v>8485.8295699999999</v>
      </c>
      <c r="P1807">
        <f t="shared" si="373"/>
        <v>-4.1805040373145905E-3</v>
      </c>
      <c r="Q1807" t="str">
        <f t="shared" si="367"/>
        <v>2017-03</v>
      </c>
      <c r="S1807">
        <v>10309.4</v>
      </c>
      <c r="T1807">
        <f t="shared" si="374"/>
        <v>-1.5023531610352705E-3</v>
      </c>
      <c r="U1807" t="str">
        <f t="shared" si="368"/>
        <v>2017-03</v>
      </c>
      <c r="W1807">
        <v>20188.02</v>
      </c>
      <c r="X1807">
        <f t="shared" si="375"/>
        <v>1.0174571834719293E-3</v>
      </c>
      <c r="Y1807">
        <f t="shared" si="376"/>
        <v>1.0179749686251901E-3</v>
      </c>
      <c r="Z1807" t="str">
        <f t="shared" si="369"/>
        <v>2017-03</v>
      </c>
    </row>
    <row r="1808" spans="1:26" x14ac:dyDescent="0.35">
      <c r="A1808" s="1">
        <v>42821</v>
      </c>
      <c r="C1808">
        <v>3437.14</v>
      </c>
      <c r="D1808">
        <f t="shared" si="370"/>
        <v>-2.0374093883261469E-3</v>
      </c>
      <c r="E1808" t="str">
        <f t="shared" si="364"/>
        <v>2017-03</v>
      </c>
      <c r="G1808">
        <v>5017.43</v>
      </c>
      <c r="H1808">
        <f t="shared" si="371"/>
        <v>-6.9135008277493824E-4</v>
      </c>
      <c r="I1808" t="str">
        <f t="shared" si="365"/>
        <v>2017-03</v>
      </c>
      <c r="K1808">
        <v>11996.07</v>
      </c>
      <c r="L1808">
        <f t="shared" si="372"/>
        <v>-5.6690955035987173E-3</v>
      </c>
      <c r="M1808" t="str">
        <f t="shared" si="366"/>
        <v>2017-03</v>
      </c>
      <c r="O1808">
        <v>8434.1163899999992</v>
      </c>
      <c r="P1808">
        <f t="shared" si="373"/>
        <v>-6.1127075872352051E-3</v>
      </c>
      <c r="Q1808" t="str">
        <f t="shared" si="367"/>
        <v>2017-03</v>
      </c>
      <c r="S1808">
        <v>10302.9</v>
      </c>
      <c r="T1808">
        <f t="shared" si="374"/>
        <v>-6.3069140420616925E-4</v>
      </c>
      <c r="U1808" t="str">
        <f t="shared" si="368"/>
        <v>2017-03</v>
      </c>
      <c r="W1808">
        <v>20124.189999999999</v>
      </c>
      <c r="X1808">
        <f t="shared" si="375"/>
        <v>-3.1667851176308361E-3</v>
      </c>
      <c r="Y1808">
        <f t="shared" si="376"/>
        <v>-3.1617761424845895E-3</v>
      </c>
      <c r="Z1808" t="str">
        <f t="shared" si="369"/>
        <v>2017-03</v>
      </c>
    </row>
    <row r="1809" spans="1:26" x14ac:dyDescent="0.35">
      <c r="A1809" s="1">
        <v>42822</v>
      </c>
      <c r="C1809">
        <v>3465.07</v>
      </c>
      <c r="D1809">
        <f t="shared" si="370"/>
        <v>8.0931042223318893E-3</v>
      </c>
      <c r="E1809" t="str">
        <f t="shared" si="364"/>
        <v>2017-03</v>
      </c>
      <c r="G1809">
        <v>5046.2</v>
      </c>
      <c r="H1809">
        <f t="shared" si="371"/>
        <v>5.7176343680065359E-3</v>
      </c>
      <c r="I1809" t="str">
        <f t="shared" si="365"/>
        <v>2017-03</v>
      </c>
      <c r="K1809">
        <v>12149.42</v>
      </c>
      <c r="L1809">
        <f t="shared" si="372"/>
        <v>1.270233587345041E-2</v>
      </c>
      <c r="M1809" t="str">
        <f t="shared" si="366"/>
        <v>2017-03</v>
      </c>
      <c r="O1809">
        <v>8460.5580200000004</v>
      </c>
      <c r="P1809">
        <f t="shared" si="373"/>
        <v>3.1301759297522377E-3</v>
      </c>
      <c r="Q1809" t="str">
        <f t="shared" si="367"/>
        <v>2017-03</v>
      </c>
      <c r="S1809">
        <v>10389</v>
      </c>
      <c r="T1809">
        <f t="shared" si="374"/>
        <v>8.3221450834659438E-3</v>
      </c>
      <c r="U1809" t="str">
        <f t="shared" si="368"/>
        <v>2017-03</v>
      </c>
      <c r="W1809">
        <v>20330.419999999998</v>
      </c>
      <c r="X1809">
        <f t="shared" si="375"/>
        <v>1.0195712503873416E-2</v>
      </c>
      <c r="Y1809">
        <f t="shared" si="376"/>
        <v>1.0247865876837755E-2</v>
      </c>
      <c r="Z1809" t="str">
        <f t="shared" si="369"/>
        <v>2017-03</v>
      </c>
    </row>
    <row r="1810" spans="1:26" x14ac:dyDescent="0.35">
      <c r="A1810" s="1">
        <v>42823</v>
      </c>
      <c r="C1810">
        <v>3475.27</v>
      </c>
      <c r="D1810">
        <f t="shared" si="370"/>
        <v>2.9393393821504563E-3</v>
      </c>
      <c r="E1810" t="str">
        <f t="shared" si="364"/>
        <v>2017-03</v>
      </c>
      <c r="G1810">
        <v>5069.04</v>
      </c>
      <c r="H1810">
        <f t="shared" si="371"/>
        <v>4.5159657737167697E-3</v>
      </c>
      <c r="I1810" t="str">
        <f t="shared" si="365"/>
        <v>2017-03</v>
      </c>
      <c r="K1810">
        <v>12203</v>
      </c>
      <c r="L1810">
        <f t="shared" si="372"/>
        <v>4.4003911280882787E-3</v>
      </c>
      <c r="M1810" t="str">
        <f t="shared" si="366"/>
        <v>2017-03</v>
      </c>
      <c r="O1810">
        <v>8511.5677799999994</v>
      </c>
      <c r="P1810">
        <f t="shared" si="373"/>
        <v>6.0110223307382167E-3</v>
      </c>
      <c r="Q1810" t="str">
        <f t="shared" si="367"/>
        <v>2017-03</v>
      </c>
      <c r="S1810">
        <v>10367.6</v>
      </c>
      <c r="T1810">
        <f t="shared" si="374"/>
        <v>-2.0619954696261171E-3</v>
      </c>
      <c r="U1810" t="str">
        <f t="shared" si="368"/>
        <v>2017-03</v>
      </c>
      <c r="W1810">
        <v>20276.8</v>
      </c>
      <c r="X1810">
        <f t="shared" si="375"/>
        <v>-2.6409112056423717E-3</v>
      </c>
      <c r="Y1810">
        <f t="shared" si="376"/>
        <v>-2.6374270674191179E-3</v>
      </c>
      <c r="Z1810" t="str">
        <f t="shared" si="369"/>
        <v>2017-03</v>
      </c>
    </row>
    <row r="1811" spans="1:26" x14ac:dyDescent="0.35">
      <c r="A1811" s="1">
        <v>42824</v>
      </c>
      <c r="C1811">
        <v>3481.58</v>
      </c>
      <c r="D1811">
        <f t="shared" si="370"/>
        <v>1.8140398974767881E-3</v>
      </c>
      <c r="E1811" t="str">
        <f t="shared" si="364"/>
        <v>2017-03</v>
      </c>
      <c r="G1811">
        <v>5089.6400000000003</v>
      </c>
      <c r="H1811">
        <f t="shared" si="371"/>
        <v>4.0556505837852494E-3</v>
      </c>
      <c r="I1811" t="str">
        <f t="shared" si="365"/>
        <v>2017-03</v>
      </c>
      <c r="K1811">
        <v>12256.43</v>
      </c>
      <c r="L1811">
        <f t="shared" si="372"/>
        <v>4.3688740894707581E-3</v>
      </c>
      <c r="M1811" t="str">
        <f t="shared" si="366"/>
        <v>2017-03</v>
      </c>
      <c r="O1811">
        <v>8588.8230600000006</v>
      </c>
      <c r="P1811">
        <f t="shared" si="373"/>
        <v>9.0355602189720243E-3</v>
      </c>
      <c r="Q1811" t="str">
        <f t="shared" si="367"/>
        <v>2017-03</v>
      </c>
      <c r="S1811">
        <v>10405.9</v>
      </c>
      <c r="T1811">
        <f t="shared" si="374"/>
        <v>3.6873943626918545E-3</v>
      </c>
      <c r="U1811" t="str">
        <f t="shared" si="368"/>
        <v>2017-03</v>
      </c>
      <c r="W1811">
        <v>20367.75</v>
      </c>
      <c r="X1811">
        <f t="shared" si="375"/>
        <v>4.475392238521809E-3</v>
      </c>
      <c r="Y1811">
        <f t="shared" si="376"/>
        <v>4.485421762802845E-3</v>
      </c>
      <c r="Z1811" t="str">
        <f t="shared" si="369"/>
        <v>2017-03</v>
      </c>
    </row>
    <row r="1812" spans="1:26" x14ac:dyDescent="0.35">
      <c r="A1812" s="1">
        <v>42825</v>
      </c>
      <c r="C1812">
        <v>3500.93</v>
      </c>
      <c r="D1812">
        <f t="shared" si="370"/>
        <v>5.5424337476555922E-3</v>
      </c>
      <c r="E1812" t="str">
        <f t="shared" si="364"/>
        <v>2017-03</v>
      </c>
      <c r="G1812">
        <v>5122.51</v>
      </c>
      <c r="H1812">
        <f t="shared" si="371"/>
        <v>6.437452155158784E-3</v>
      </c>
      <c r="I1812" t="str">
        <f t="shared" si="365"/>
        <v>2017-03</v>
      </c>
      <c r="K1812">
        <v>12312.87</v>
      </c>
      <c r="L1812">
        <f t="shared" si="372"/>
        <v>4.5943595689404287E-3</v>
      </c>
      <c r="M1812" t="str">
        <f t="shared" si="366"/>
        <v>2017-03</v>
      </c>
      <c r="O1812">
        <v>8585.9645400000009</v>
      </c>
      <c r="P1812">
        <f t="shared" si="373"/>
        <v>-3.3287398865940583E-4</v>
      </c>
      <c r="Q1812" t="str">
        <f t="shared" si="367"/>
        <v>2017-03</v>
      </c>
      <c r="S1812">
        <v>10462.9</v>
      </c>
      <c r="T1812">
        <f t="shared" si="374"/>
        <v>5.4627138834848652E-3</v>
      </c>
      <c r="U1812" t="str">
        <f t="shared" si="368"/>
        <v>2017-03</v>
      </c>
      <c r="W1812">
        <v>20492.939999999999</v>
      </c>
      <c r="X1812">
        <f t="shared" si="375"/>
        <v>6.1276690003363651E-3</v>
      </c>
      <c r="Y1812">
        <f t="shared" si="376"/>
        <v>6.146481570129184E-3</v>
      </c>
      <c r="Z1812" t="str">
        <f t="shared" si="369"/>
        <v>2017-03</v>
      </c>
    </row>
    <row r="1813" spans="1:26" x14ac:dyDescent="0.35">
      <c r="A1813" s="1">
        <v>42828</v>
      </c>
      <c r="C1813">
        <v>3472.94</v>
      </c>
      <c r="D1813">
        <f t="shared" si="370"/>
        <v>-8.027150002737635E-3</v>
      </c>
      <c r="E1813" t="str">
        <f t="shared" si="364"/>
        <v>2017-04</v>
      </c>
      <c r="G1813">
        <v>5085.91</v>
      </c>
      <c r="H1813">
        <f t="shared" si="371"/>
        <v>-7.1705820925218279E-3</v>
      </c>
      <c r="I1813" t="str">
        <f t="shared" si="365"/>
        <v>2017-04</v>
      </c>
      <c r="K1813">
        <v>12257.2</v>
      </c>
      <c r="L1813">
        <f t="shared" si="372"/>
        <v>-4.5315373757153768E-3</v>
      </c>
      <c r="M1813" t="str">
        <f t="shared" si="366"/>
        <v>2017-04</v>
      </c>
      <c r="O1813">
        <v>8522.5438900000008</v>
      </c>
      <c r="P1813">
        <f t="shared" si="373"/>
        <v>-7.4139649008137607E-3</v>
      </c>
      <c r="Q1813" t="str">
        <f t="shared" si="367"/>
        <v>2017-04</v>
      </c>
      <c r="S1813">
        <v>10325.299999999999</v>
      </c>
      <c r="T1813">
        <f t="shared" si="374"/>
        <v>-1.3238472749884383E-2</v>
      </c>
      <c r="U1813" t="str">
        <f t="shared" si="368"/>
        <v>2017-04</v>
      </c>
      <c r="W1813">
        <v>20242.88</v>
      </c>
      <c r="X1813">
        <f t="shared" si="375"/>
        <v>-1.2277309797753676E-2</v>
      </c>
      <c r="Y1813">
        <f t="shared" si="376"/>
        <v>-1.220225111672594E-2</v>
      </c>
      <c r="Z1813" t="str">
        <f t="shared" si="369"/>
        <v>2017-04</v>
      </c>
    </row>
    <row r="1814" spans="1:26" x14ac:dyDescent="0.35">
      <c r="A1814" s="1">
        <v>42829</v>
      </c>
      <c r="C1814">
        <v>3481.66</v>
      </c>
      <c r="D1814">
        <f t="shared" si="370"/>
        <v>2.5076940642637046E-3</v>
      </c>
      <c r="E1814" t="str">
        <f t="shared" si="364"/>
        <v>2017-04</v>
      </c>
      <c r="G1814">
        <v>5101.13</v>
      </c>
      <c r="H1814">
        <f t="shared" si="371"/>
        <v>2.988112606746298E-3</v>
      </c>
      <c r="I1814" t="str">
        <f t="shared" si="365"/>
        <v>2017-04</v>
      </c>
      <c r="K1814">
        <v>12282.34</v>
      </c>
      <c r="L1814">
        <f t="shared" si="372"/>
        <v>2.0489388794675974E-3</v>
      </c>
      <c r="M1814" t="str">
        <f t="shared" si="366"/>
        <v>2017-04</v>
      </c>
      <c r="O1814">
        <v>8538.11708</v>
      </c>
      <c r="P1814">
        <f t="shared" si="373"/>
        <v>1.825626141064616E-3</v>
      </c>
      <c r="Q1814" t="str">
        <f t="shared" si="367"/>
        <v>2017-04</v>
      </c>
      <c r="S1814">
        <v>10361.200000000001</v>
      </c>
      <c r="T1814">
        <f t="shared" si="374"/>
        <v>3.4708661243167405E-3</v>
      </c>
      <c r="U1814" t="str">
        <f t="shared" si="368"/>
        <v>2017-04</v>
      </c>
      <c r="W1814">
        <v>20257.099999999999</v>
      </c>
      <c r="X1814">
        <f t="shared" si="375"/>
        <v>7.0222259785509362E-4</v>
      </c>
      <c r="Y1814">
        <f t="shared" si="376"/>
        <v>7.024692138666793E-4</v>
      </c>
      <c r="Z1814" t="str">
        <f t="shared" si="369"/>
        <v>2017-04</v>
      </c>
    </row>
    <row r="1815" spans="1:26" x14ac:dyDescent="0.35">
      <c r="A1815" s="1">
        <v>42830</v>
      </c>
      <c r="C1815">
        <v>3472.58</v>
      </c>
      <c r="D1815">
        <f t="shared" si="370"/>
        <v>-2.6113580088847816E-3</v>
      </c>
      <c r="E1815" t="str">
        <f t="shared" si="364"/>
        <v>2017-04</v>
      </c>
      <c r="G1815">
        <v>5091.8500000000004</v>
      </c>
      <c r="H1815">
        <f t="shared" si="371"/>
        <v>-1.8208615270538827E-3</v>
      </c>
      <c r="I1815" t="str">
        <f t="shared" si="365"/>
        <v>2017-04</v>
      </c>
      <c r="K1815">
        <v>12217.54</v>
      </c>
      <c r="L1815">
        <f t="shared" si="372"/>
        <v>-5.2898341628281071E-3</v>
      </c>
      <c r="M1815" t="str">
        <f t="shared" si="366"/>
        <v>2017-04</v>
      </c>
      <c r="O1815">
        <v>8585.64725</v>
      </c>
      <c r="P1815">
        <f t="shared" si="373"/>
        <v>5.5513835800120991E-3</v>
      </c>
      <c r="Q1815" t="str">
        <f t="shared" si="367"/>
        <v>2017-04</v>
      </c>
      <c r="S1815">
        <v>10402.700000000001</v>
      </c>
      <c r="T1815">
        <f t="shared" si="374"/>
        <v>3.9973275983226503E-3</v>
      </c>
      <c r="U1815" t="str">
        <f t="shared" si="368"/>
        <v>2017-04</v>
      </c>
      <c r="W1815">
        <v>20253.37</v>
      </c>
      <c r="X1815">
        <f t="shared" si="375"/>
        <v>-1.8414992521884605E-4</v>
      </c>
      <c r="Y1815">
        <f t="shared" si="376"/>
        <v>-1.8413297066211667E-4</v>
      </c>
      <c r="Z1815" t="str">
        <f t="shared" si="369"/>
        <v>2017-04</v>
      </c>
    </row>
    <row r="1816" spans="1:26" x14ac:dyDescent="0.35">
      <c r="A1816" s="1">
        <v>42831</v>
      </c>
      <c r="C1816">
        <v>3489.57</v>
      </c>
      <c r="D1816">
        <f t="shared" si="370"/>
        <v>4.8806859164733703E-3</v>
      </c>
      <c r="E1816" t="str">
        <f t="shared" si="364"/>
        <v>2017-04</v>
      </c>
      <c r="G1816">
        <v>5121.4399999999996</v>
      </c>
      <c r="H1816">
        <f t="shared" si="371"/>
        <v>5.7944272200751192E-3</v>
      </c>
      <c r="I1816" t="str">
        <f t="shared" si="365"/>
        <v>2017-04</v>
      </c>
      <c r="K1816">
        <v>12230.89</v>
      </c>
      <c r="L1816">
        <f t="shared" si="372"/>
        <v>1.092094774743787E-3</v>
      </c>
      <c r="M1816" t="str">
        <f t="shared" si="366"/>
        <v>2017-04</v>
      </c>
      <c r="O1816">
        <v>8556.0588200000002</v>
      </c>
      <c r="P1816">
        <f t="shared" si="373"/>
        <v>-3.4522187307319948E-3</v>
      </c>
      <c r="Q1816" t="str">
        <f t="shared" si="367"/>
        <v>2017-04</v>
      </c>
      <c r="S1816">
        <v>10518.9</v>
      </c>
      <c r="T1816">
        <f t="shared" si="374"/>
        <v>1.1108251267157017E-2</v>
      </c>
      <c r="U1816" t="str">
        <f t="shared" si="368"/>
        <v>2017-04</v>
      </c>
      <c r="W1816">
        <v>20296.97</v>
      </c>
      <c r="X1816">
        <f t="shared" si="375"/>
        <v>2.1504143640501835E-3</v>
      </c>
      <c r="Y1816">
        <f t="shared" si="376"/>
        <v>2.1527281632638018E-3</v>
      </c>
      <c r="Z1816" t="str">
        <f t="shared" si="369"/>
        <v>2017-04</v>
      </c>
    </row>
    <row r="1817" spans="1:26" x14ac:dyDescent="0.35">
      <c r="A1817" s="1">
        <v>42832</v>
      </c>
      <c r="C1817">
        <v>3495.8</v>
      </c>
      <c r="D1817">
        <f t="shared" si="370"/>
        <v>1.783728464441012E-3</v>
      </c>
      <c r="E1817" t="str">
        <f t="shared" si="364"/>
        <v>2017-04</v>
      </c>
      <c r="G1817">
        <v>5135.28</v>
      </c>
      <c r="H1817">
        <f t="shared" si="371"/>
        <v>2.698720136618646E-3</v>
      </c>
      <c r="I1817" t="str">
        <f t="shared" si="365"/>
        <v>2017-04</v>
      </c>
      <c r="K1817">
        <v>12225.06</v>
      </c>
      <c r="L1817">
        <f t="shared" si="372"/>
        <v>-4.7677559942972957E-4</v>
      </c>
      <c r="M1817" t="str">
        <f t="shared" si="366"/>
        <v>2017-04</v>
      </c>
      <c r="O1817">
        <v>8587.7863400000006</v>
      </c>
      <c r="P1817">
        <f t="shared" si="373"/>
        <v>3.7013349019218746E-3</v>
      </c>
      <c r="Q1817" t="str">
        <f t="shared" si="367"/>
        <v>2017-04</v>
      </c>
      <c r="S1817">
        <v>10529</v>
      </c>
      <c r="T1817">
        <f t="shared" si="374"/>
        <v>9.5971576976522865E-4</v>
      </c>
      <c r="U1817" t="str">
        <f t="shared" si="368"/>
        <v>2017-04</v>
      </c>
      <c r="W1817">
        <v>20300.060000000001</v>
      </c>
      <c r="X1817">
        <f t="shared" si="375"/>
        <v>1.5222788494467565E-4</v>
      </c>
      <c r="Y1817">
        <f t="shared" si="376"/>
        <v>1.5223947219708881E-4</v>
      </c>
      <c r="Z1817" t="str">
        <f t="shared" si="369"/>
        <v>2017-04</v>
      </c>
    </row>
    <row r="1818" spans="1:26" x14ac:dyDescent="0.35">
      <c r="A1818" s="1">
        <v>42835</v>
      </c>
      <c r="C1818">
        <v>3480.44</v>
      </c>
      <c r="D1818">
        <f t="shared" si="370"/>
        <v>-4.4035253433131645E-3</v>
      </c>
      <c r="E1818" t="str">
        <f t="shared" si="364"/>
        <v>2017-04</v>
      </c>
      <c r="G1818">
        <v>5107.45</v>
      </c>
      <c r="H1818">
        <f t="shared" si="371"/>
        <v>-5.4341115081537137E-3</v>
      </c>
      <c r="I1818" t="str">
        <f t="shared" si="365"/>
        <v>2017-04</v>
      </c>
      <c r="K1818">
        <v>12200.52</v>
      </c>
      <c r="L1818">
        <f t="shared" si="372"/>
        <v>-2.0093695426533159E-3</v>
      </c>
      <c r="M1818" t="str">
        <f t="shared" si="366"/>
        <v>2017-04</v>
      </c>
      <c r="O1818">
        <v>8610.0458400000007</v>
      </c>
      <c r="P1818">
        <f t="shared" si="373"/>
        <v>2.5886416610207625E-3</v>
      </c>
      <c r="Q1818" t="str">
        <f t="shared" si="367"/>
        <v>2017-04</v>
      </c>
      <c r="S1818">
        <v>10437.700000000001</v>
      </c>
      <c r="T1818">
        <f t="shared" si="374"/>
        <v>-8.7091032045842204E-3</v>
      </c>
      <c r="U1818" t="str">
        <f t="shared" si="368"/>
        <v>2017-04</v>
      </c>
      <c r="W1818">
        <v>20202.05</v>
      </c>
      <c r="X1818">
        <f t="shared" si="375"/>
        <v>-4.8397573019937643E-3</v>
      </c>
      <c r="Y1818">
        <f t="shared" si="376"/>
        <v>-4.8280645475925702E-3</v>
      </c>
      <c r="Z1818" t="str">
        <f t="shared" si="369"/>
        <v>2017-04</v>
      </c>
    </row>
    <row r="1819" spans="1:26" x14ac:dyDescent="0.35">
      <c r="A1819" s="1">
        <v>42836</v>
      </c>
      <c r="C1819">
        <v>3470.04</v>
      </c>
      <c r="D1819">
        <f t="shared" si="370"/>
        <v>-2.992601305686282E-3</v>
      </c>
      <c r="E1819" t="str">
        <f t="shared" si="364"/>
        <v>2017-04</v>
      </c>
      <c r="G1819">
        <v>5101.8599999999997</v>
      </c>
      <c r="H1819">
        <f t="shared" si="371"/>
        <v>-1.0950790129062157E-3</v>
      </c>
      <c r="I1819" t="str">
        <f t="shared" si="365"/>
        <v>2017-04</v>
      </c>
      <c r="K1819">
        <v>12139.35</v>
      </c>
      <c r="L1819">
        <f t="shared" si="372"/>
        <v>-5.0263315936553993E-3</v>
      </c>
      <c r="M1819" t="str">
        <f t="shared" si="366"/>
        <v>2017-04</v>
      </c>
      <c r="O1819">
        <v>8665.7433099999998</v>
      </c>
      <c r="P1819">
        <f t="shared" si="373"/>
        <v>6.4480600563354981E-3</v>
      </c>
      <c r="Q1819" t="str">
        <f t="shared" si="367"/>
        <v>2017-04</v>
      </c>
      <c r="S1819">
        <v>10416.299999999999</v>
      </c>
      <c r="T1819">
        <f t="shared" si="374"/>
        <v>-2.0523647752718577E-3</v>
      </c>
      <c r="U1819" t="str">
        <f t="shared" si="368"/>
        <v>2017-04</v>
      </c>
      <c r="W1819">
        <v>20109.060000000001</v>
      </c>
      <c r="X1819">
        <f t="shared" si="375"/>
        <v>-4.6136246283010243E-3</v>
      </c>
      <c r="Y1819">
        <f t="shared" si="376"/>
        <v>-4.6029982105775386E-3</v>
      </c>
      <c r="Z1819" t="str">
        <f t="shared" si="369"/>
        <v>2017-04</v>
      </c>
    </row>
    <row r="1820" spans="1:26" x14ac:dyDescent="0.35">
      <c r="A1820" s="1">
        <v>42837</v>
      </c>
      <c r="C1820">
        <v>3468.51</v>
      </c>
      <c r="D1820">
        <f t="shared" si="370"/>
        <v>-4.4101434011357027E-4</v>
      </c>
      <c r="E1820" t="str">
        <f t="shared" si="364"/>
        <v>2017-04</v>
      </c>
      <c r="G1820">
        <v>5101.1099999999997</v>
      </c>
      <c r="H1820">
        <f t="shared" si="371"/>
        <v>-1.4701601618959307E-4</v>
      </c>
      <c r="I1820" t="str">
        <f t="shared" si="365"/>
        <v>2017-04</v>
      </c>
      <c r="K1820">
        <v>12154.7</v>
      </c>
      <c r="L1820">
        <f t="shared" si="372"/>
        <v>1.2636840743061508E-3</v>
      </c>
      <c r="M1820" t="str">
        <f t="shared" si="366"/>
        <v>2017-04</v>
      </c>
      <c r="O1820">
        <v>8658.3884300000009</v>
      </c>
      <c r="P1820">
        <f t="shared" si="373"/>
        <v>-8.4909080030783676E-4</v>
      </c>
      <c r="Q1820" t="str">
        <f t="shared" si="367"/>
        <v>2017-04</v>
      </c>
      <c r="S1820">
        <v>10360.5</v>
      </c>
      <c r="T1820">
        <f t="shared" si="374"/>
        <v>-5.3713886797659366E-3</v>
      </c>
      <c r="U1820" t="str">
        <f t="shared" si="368"/>
        <v>2017-04</v>
      </c>
      <c r="W1820">
        <v>20004.93</v>
      </c>
      <c r="X1820">
        <f t="shared" si="375"/>
        <v>-5.1917166002457939E-3</v>
      </c>
      <c r="Y1820">
        <f t="shared" si="376"/>
        <v>-5.1782629322305969E-3</v>
      </c>
      <c r="Z1820" t="str">
        <f t="shared" si="369"/>
        <v>2017-04</v>
      </c>
    </row>
    <row r="1821" spans="1:26" x14ac:dyDescent="0.35">
      <c r="A1821" s="1">
        <v>42838</v>
      </c>
      <c r="C1821">
        <v>3448.26</v>
      </c>
      <c r="D1821">
        <f t="shared" si="370"/>
        <v>-5.8553509386987355E-3</v>
      </c>
      <c r="E1821" t="str">
        <f t="shared" si="364"/>
        <v>2017-04</v>
      </c>
      <c r="G1821">
        <v>5071.1000000000004</v>
      </c>
      <c r="H1821">
        <f t="shared" si="371"/>
        <v>-5.9004065126366436E-3</v>
      </c>
      <c r="I1821" t="str">
        <f t="shared" si="365"/>
        <v>2017-04</v>
      </c>
      <c r="K1821">
        <v>12109</v>
      </c>
      <c r="L1821">
        <f t="shared" si="372"/>
        <v>-3.7669484901198145E-3</v>
      </c>
      <c r="M1821" t="str">
        <f t="shared" si="366"/>
        <v>2017-04</v>
      </c>
      <c r="O1821">
        <v>8634.1664899999996</v>
      </c>
      <c r="P1821">
        <f t="shared" si="373"/>
        <v>-2.8014317089921164E-3</v>
      </c>
      <c r="Q1821" t="str">
        <f t="shared" si="367"/>
        <v>2017-04</v>
      </c>
      <c r="S1821">
        <v>10326.1</v>
      </c>
      <c r="T1821">
        <f t="shared" si="374"/>
        <v>-3.3258275123570855E-3</v>
      </c>
      <c r="U1821" t="str">
        <f t="shared" si="368"/>
        <v>2017-04</v>
      </c>
      <c r="W1821">
        <v>19773.68</v>
      </c>
      <c r="X1821">
        <f t="shared" si="375"/>
        <v>-1.1626982700250706E-2</v>
      </c>
      <c r="Y1821">
        <f t="shared" si="376"/>
        <v>-1.1559650546140375E-2</v>
      </c>
      <c r="Z1821" t="str">
        <f t="shared" si="369"/>
        <v>2017-04</v>
      </c>
    </row>
    <row r="1822" spans="1:26" x14ac:dyDescent="0.35">
      <c r="A1822" s="1">
        <v>42843</v>
      </c>
      <c r="C1822">
        <v>3409.78</v>
      </c>
      <c r="D1822">
        <f t="shared" si="370"/>
        <v>-1.1221982905899115E-2</v>
      </c>
      <c r="E1822" t="str">
        <f t="shared" si="364"/>
        <v>2017-04</v>
      </c>
      <c r="G1822">
        <v>4990.25</v>
      </c>
      <c r="H1822">
        <f t="shared" si="371"/>
        <v>-1.6071747885926926E-2</v>
      </c>
      <c r="I1822" t="str">
        <f t="shared" si="365"/>
        <v>2017-04</v>
      </c>
      <c r="K1822">
        <v>12000.44</v>
      </c>
      <c r="L1822">
        <f t="shared" si="372"/>
        <v>-9.005661989768007E-3</v>
      </c>
      <c r="M1822" t="str">
        <f t="shared" si="366"/>
        <v>2017-04</v>
      </c>
      <c r="O1822">
        <v>8521.1977000000006</v>
      </c>
      <c r="P1822">
        <f t="shared" si="373"/>
        <v>-1.3170273935475018E-2</v>
      </c>
      <c r="Q1822" t="str">
        <f t="shared" si="367"/>
        <v>2017-04</v>
      </c>
      <c r="S1822">
        <v>10264.5</v>
      </c>
      <c r="T1822">
        <f t="shared" si="374"/>
        <v>-5.983330624118181E-3</v>
      </c>
      <c r="U1822" t="str">
        <f t="shared" si="368"/>
        <v>2017-04</v>
      </c>
      <c r="W1822">
        <v>19442.71</v>
      </c>
      <c r="X1822">
        <f t="shared" si="375"/>
        <v>-1.6879567868868999E-2</v>
      </c>
      <c r="Y1822">
        <f t="shared" si="376"/>
        <v>-1.6737906145947602E-2</v>
      </c>
      <c r="Z1822" t="str">
        <f t="shared" si="369"/>
        <v>2017-04</v>
      </c>
    </row>
    <row r="1823" spans="1:26" x14ac:dyDescent="0.35">
      <c r="A1823" s="1">
        <v>42844</v>
      </c>
      <c r="C1823">
        <v>3420.99</v>
      </c>
      <c r="D1823">
        <f t="shared" si="370"/>
        <v>3.2822097841628678E-3</v>
      </c>
      <c r="E1823" t="str">
        <f t="shared" si="364"/>
        <v>2017-04</v>
      </c>
      <c r="G1823">
        <v>5003.7299999999996</v>
      </c>
      <c r="H1823">
        <f t="shared" si="371"/>
        <v>2.6976256055548388E-3</v>
      </c>
      <c r="I1823" t="str">
        <f t="shared" si="365"/>
        <v>2017-04</v>
      </c>
      <c r="K1823">
        <v>12016.45</v>
      </c>
      <c r="L1823">
        <f t="shared" si="372"/>
        <v>1.3332286046593518E-3</v>
      </c>
      <c r="M1823" t="str">
        <f t="shared" si="366"/>
        <v>2017-04</v>
      </c>
      <c r="O1823">
        <v>8492.7257300000001</v>
      </c>
      <c r="P1823">
        <f t="shared" si="373"/>
        <v>-3.3469054560155069E-3</v>
      </c>
      <c r="Q1823" t="str">
        <f t="shared" si="367"/>
        <v>2017-04</v>
      </c>
      <c r="S1823">
        <v>10370.299999999999</v>
      </c>
      <c r="T1823">
        <f t="shared" si="374"/>
        <v>1.0254611349086663E-2</v>
      </c>
      <c r="U1823" t="str">
        <f t="shared" si="368"/>
        <v>2017-04</v>
      </c>
      <c r="W1823">
        <v>19824.61</v>
      </c>
      <c r="X1823">
        <f t="shared" si="375"/>
        <v>1.945190258752728E-2</v>
      </c>
      <c r="Y1823">
        <f t="shared" si="376"/>
        <v>1.964232352382983E-2</v>
      </c>
      <c r="Z1823" t="str">
        <f t="shared" si="369"/>
        <v>2017-04</v>
      </c>
    </row>
    <row r="1824" spans="1:26" x14ac:dyDescent="0.35">
      <c r="A1824" s="1">
        <v>42845</v>
      </c>
      <c r="C1824">
        <v>3440.03</v>
      </c>
      <c r="D1824">
        <f t="shared" si="370"/>
        <v>5.5502094082114728E-3</v>
      </c>
      <c r="E1824" t="str">
        <f t="shared" si="364"/>
        <v>2017-04</v>
      </c>
      <c r="G1824">
        <v>5077.91</v>
      </c>
      <c r="H1824">
        <f t="shared" si="371"/>
        <v>1.47161252978192E-2</v>
      </c>
      <c r="I1824" t="str">
        <f t="shared" si="365"/>
        <v>2017-04</v>
      </c>
      <c r="K1824">
        <v>12027.32</v>
      </c>
      <c r="L1824">
        <f t="shared" si="372"/>
        <v>9.0418438876780174E-4</v>
      </c>
      <c r="M1824" t="str">
        <f t="shared" si="366"/>
        <v>2017-04</v>
      </c>
      <c r="O1824">
        <v>8492.4327900000008</v>
      </c>
      <c r="P1824">
        <f t="shared" si="373"/>
        <v>-3.4493643339706557E-5</v>
      </c>
      <c r="Q1824" t="str">
        <f t="shared" si="367"/>
        <v>2017-04</v>
      </c>
      <c r="S1824">
        <v>10372.5</v>
      </c>
      <c r="T1824">
        <f t="shared" si="374"/>
        <v>2.1212179727430008E-4</v>
      </c>
      <c r="U1824" t="str">
        <f t="shared" si="368"/>
        <v>2017-04</v>
      </c>
      <c r="W1824">
        <v>19849.439999999999</v>
      </c>
      <c r="X1824">
        <f t="shared" si="375"/>
        <v>1.2516999520779211E-3</v>
      </c>
      <c r="Y1824">
        <f t="shared" si="376"/>
        <v>1.2524836554160766E-3</v>
      </c>
      <c r="Z1824" t="str">
        <f t="shared" si="369"/>
        <v>2017-04</v>
      </c>
    </row>
    <row r="1825" spans="1:26" x14ac:dyDescent="0.35">
      <c r="A1825" s="1">
        <v>42846</v>
      </c>
      <c r="C1825">
        <v>3440.27</v>
      </c>
      <c r="D1825">
        <f t="shared" si="370"/>
        <v>6.9764399836295913E-5</v>
      </c>
      <c r="E1825" t="str">
        <f t="shared" si="364"/>
        <v>2017-04</v>
      </c>
      <c r="G1825">
        <v>5059.2</v>
      </c>
      <c r="H1825">
        <f t="shared" si="371"/>
        <v>-3.6913915792133969E-3</v>
      </c>
      <c r="I1825" t="str">
        <f t="shared" si="365"/>
        <v>2017-04</v>
      </c>
      <c r="K1825">
        <v>12048.57</v>
      </c>
      <c r="L1825">
        <f t="shared" si="372"/>
        <v>1.7652519195026882E-3</v>
      </c>
      <c r="M1825" t="str">
        <f t="shared" si="366"/>
        <v>2017-04</v>
      </c>
      <c r="O1825">
        <v>8514.4390100000001</v>
      </c>
      <c r="P1825">
        <f t="shared" si="373"/>
        <v>2.5879224046282141E-3</v>
      </c>
      <c r="Q1825" t="str">
        <f t="shared" si="367"/>
        <v>2017-04</v>
      </c>
      <c r="S1825">
        <v>10377</v>
      </c>
      <c r="T1825">
        <f t="shared" si="374"/>
        <v>4.3374539825539034E-4</v>
      </c>
      <c r="U1825" t="str">
        <f t="shared" si="368"/>
        <v>2017-04</v>
      </c>
      <c r="W1825">
        <v>19741.75</v>
      </c>
      <c r="X1825">
        <f t="shared" si="375"/>
        <v>-5.4401125901372893E-3</v>
      </c>
      <c r="Y1825">
        <f t="shared" si="376"/>
        <v>-5.4253419743830909E-3</v>
      </c>
      <c r="Z1825" t="str">
        <f t="shared" si="369"/>
        <v>2017-04</v>
      </c>
    </row>
    <row r="1826" spans="1:26" x14ac:dyDescent="0.35">
      <c r="A1826" s="1">
        <v>42849</v>
      </c>
      <c r="C1826">
        <v>3577.38</v>
      </c>
      <c r="D1826">
        <f t="shared" si="370"/>
        <v>3.9080732231602536E-2</v>
      </c>
      <c r="E1826" t="str">
        <f t="shared" si="364"/>
        <v>2017-04</v>
      </c>
      <c r="G1826">
        <v>5268.85</v>
      </c>
      <c r="H1826">
        <f t="shared" si="371"/>
        <v>4.0603754388824444E-2</v>
      </c>
      <c r="I1826" t="str">
        <f t="shared" si="365"/>
        <v>2017-04</v>
      </c>
      <c r="K1826">
        <v>12454.98</v>
      </c>
      <c r="L1826">
        <f t="shared" si="372"/>
        <v>3.3174562236652202E-2</v>
      </c>
      <c r="M1826" t="str">
        <f t="shared" si="366"/>
        <v>2017-04</v>
      </c>
      <c r="O1826">
        <v>8564.5766199999998</v>
      </c>
      <c r="P1826">
        <f t="shared" si="373"/>
        <v>5.8712697633100377E-3</v>
      </c>
      <c r="Q1826" t="str">
        <f t="shared" si="367"/>
        <v>2017-04</v>
      </c>
      <c r="S1826">
        <v>10766.8</v>
      </c>
      <c r="T1826">
        <f t="shared" si="374"/>
        <v>3.6875506761608584E-2</v>
      </c>
      <c r="U1826" t="str">
        <f t="shared" si="368"/>
        <v>2017-04</v>
      </c>
      <c r="W1826">
        <v>20684.41</v>
      </c>
      <c r="X1826">
        <f t="shared" si="375"/>
        <v>4.6644593864017342E-2</v>
      </c>
      <c r="Y1826">
        <f t="shared" si="376"/>
        <v>4.7749566274519727E-2</v>
      </c>
      <c r="Z1826" t="str">
        <f t="shared" si="369"/>
        <v>2017-04</v>
      </c>
    </row>
    <row r="1827" spans="1:26" x14ac:dyDescent="0.35">
      <c r="A1827" s="1">
        <v>42850</v>
      </c>
      <c r="C1827">
        <v>3583.16</v>
      </c>
      <c r="D1827">
        <f t="shared" si="370"/>
        <v>1.6144037336197829E-3</v>
      </c>
      <c r="E1827" t="str">
        <f t="shared" si="364"/>
        <v>2017-04</v>
      </c>
      <c r="G1827">
        <v>5277.88</v>
      </c>
      <c r="H1827">
        <f t="shared" si="371"/>
        <v>1.7123795160231131E-3</v>
      </c>
      <c r="I1827" t="str">
        <f t="shared" si="365"/>
        <v>2017-04</v>
      </c>
      <c r="K1827">
        <v>12467.04</v>
      </c>
      <c r="L1827">
        <f t="shared" si="372"/>
        <v>9.6781889600902127E-4</v>
      </c>
      <c r="M1827" t="str">
        <f t="shared" si="366"/>
        <v>2017-04</v>
      </c>
      <c r="O1827">
        <v>8532.2145899999996</v>
      </c>
      <c r="P1827">
        <f t="shared" si="373"/>
        <v>-3.7857476591050443E-3</v>
      </c>
      <c r="Q1827" t="str">
        <f t="shared" si="367"/>
        <v>2017-04</v>
      </c>
      <c r="S1827">
        <v>10783.1</v>
      </c>
      <c r="T1827">
        <f t="shared" si="374"/>
        <v>1.5127683291805754E-3</v>
      </c>
      <c r="U1827" t="str">
        <f t="shared" si="368"/>
        <v>2017-04</v>
      </c>
      <c r="W1827">
        <v>20805.52</v>
      </c>
      <c r="X1827">
        <f t="shared" si="375"/>
        <v>5.8380596921657176E-3</v>
      </c>
      <c r="Y1827">
        <f t="shared" si="376"/>
        <v>5.8551343741494481E-3</v>
      </c>
      <c r="Z1827" t="str">
        <f t="shared" si="369"/>
        <v>2017-04</v>
      </c>
    </row>
    <row r="1828" spans="1:26" x14ac:dyDescent="0.35">
      <c r="A1828" s="1">
        <v>42851</v>
      </c>
      <c r="C1828">
        <v>3578.71</v>
      </c>
      <c r="D1828">
        <f t="shared" si="370"/>
        <v>-1.2426923618194309E-3</v>
      </c>
      <c r="E1828" t="str">
        <f t="shared" si="364"/>
        <v>2017-04</v>
      </c>
      <c r="G1828">
        <v>5287.88</v>
      </c>
      <c r="H1828">
        <f t="shared" si="371"/>
        <v>1.8929074644730812E-3</v>
      </c>
      <c r="I1828" t="str">
        <f t="shared" si="365"/>
        <v>2017-04</v>
      </c>
      <c r="K1828">
        <v>12472.8</v>
      </c>
      <c r="L1828">
        <f t="shared" si="372"/>
        <v>4.619115521521548E-4</v>
      </c>
      <c r="M1828" t="str">
        <f t="shared" si="366"/>
        <v>2017-04</v>
      </c>
      <c r="O1828">
        <v>8599.68426</v>
      </c>
      <c r="P1828">
        <f t="shared" si="373"/>
        <v>7.8765371436827058E-3</v>
      </c>
      <c r="Q1828" t="str">
        <f t="shared" si="367"/>
        <v>2017-04</v>
      </c>
      <c r="S1828">
        <v>10763.4</v>
      </c>
      <c r="T1828">
        <f t="shared" si="374"/>
        <v>-1.8286037629676524E-3</v>
      </c>
      <c r="U1828" t="str">
        <f t="shared" si="368"/>
        <v>2017-04</v>
      </c>
      <c r="W1828">
        <v>20836.509999999998</v>
      </c>
      <c r="X1828">
        <f t="shared" si="375"/>
        <v>1.4884003359635345E-3</v>
      </c>
      <c r="Y1828">
        <f t="shared" si="376"/>
        <v>1.4895085534991656E-3</v>
      </c>
      <c r="Z1828" t="str">
        <f t="shared" si="369"/>
        <v>2017-04</v>
      </c>
    </row>
    <row r="1829" spans="1:26" x14ac:dyDescent="0.35">
      <c r="A1829" s="1">
        <v>42852</v>
      </c>
      <c r="C1829">
        <v>3563.29</v>
      </c>
      <c r="D1829">
        <f t="shared" si="370"/>
        <v>-4.3181248838876311E-3</v>
      </c>
      <c r="E1829" t="str">
        <f t="shared" si="364"/>
        <v>2017-04</v>
      </c>
      <c r="G1829">
        <v>5271.7</v>
      </c>
      <c r="H1829">
        <f t="shared" si="371"/>
        <v>-3.0645182218541032E-3</v>
      </c>
      <c r="I1829" t="str">
        <f t="shared" si="365"/>
        <v>2017-04</v>
      </c>
      <c r="K1829">
        <v>12443.79</v>
      </c>
      <c r="L1829">
        <f t="shared" si="372"/>
        <v>-2.328570089908727E-3</v>
      </c>
      <c r="M1829" t="str">
        <f t="shared" si="366"/>
        <v>2017-04</v>
      </c>
      <c r="O1829">
        <v>8584.6570599999995</v>
      </c>
      <c r="P1829">
        <f t="shared" si="373"/>
        <v>-1.7489414986117738E-3</v>
      </c>
      <c r="Q1829" t="str">
        <f t="shared" si="367"/>
        <v>2017-04</v>
      </c>
      <c r="S1829">
        <v>10683.9</v>
      </c>
      <c r="T1829">
        <f t="shared" si="374"/>
        <v>-7.413554537392183E-3</v>
      </c>
      <c r="U1829" t="str">
        <f t="shared" si="368"/>
        <v>2017-04</v>
      </c>
      <c r="W1829">
        <v>20597.34</v>
      </c>
      <c r="X1829">
        <f t="shared" si="375"/>
        <v>-1.1544795205916576E-2</v>
      </c>
      <c r="Y1829">
        <f t="shared" si="376"/>
        <v>-1.1478409772077871E-2</v>
      </c>
      <c r="Z1829" t="str">
        <f t="shared" si="369"/>
        <v>2017-04</v>
      </c>
    </row>
    <row r="1830" spans="1:26" x14ac:dyDescent="0.35">
      <c r="A1830" s="1">
        <v>42853</v>
      </c>
      <c r="C1830">
        <v>3559.59</v>
      </c>
      <c r="D1830">
        <f t="shared" si="370"/>
        <v>-1.0389057046564249E-3</v>
      </c>
      <c r="E1830" t="str">
        <f t="shared" si="364"/>
        <v>2017-04</v>
      </c>
      <c r="G1830">
        <v>5267.33</v>
      </c>
      <c r="H1830">
        <f t="shared" si="371"/>
        <v>-8.2929837953780745E-4</v>
      </c>
      <c r="I1830" t="str">
        <f t="shared" si="365"/>
        <v>2017-04</v>
      </c>
      <c r="K1830">
        <v>12438.01</v>
      </c>
      <c r="L1830">
        <f t="shared" si="372"/>
        <v>-4.6459662114225569E-4</v>
      </c>
      <c r="M1830" t="str">
        <f t="shared" si="366"/>
        <v>2017-04</v>
      </c>
      <c r="O1830">
        <v>8558.0243100000007</v>
      </c>
      <c r="P1830">
        <f t="shared" si="373"/>
        <v>-3.1071885258309988E-3</v>
      </c>
      <c r="Q1830" t="str">
        <f t="shared" si="367"/>
        <v>2017-04</v>
      </c>
      <c r="S1830">
        <v>10715.8</v>
      </c>
      <c r="T1830">
        <f t="shared" si="374"/>
        <v>2.9813524141451284E-3</v>
      </c>
      <c r="U1830" t="str">
        <f t="shared" si="368"/>
        <v>2017-04</v>
      </c>
      <c r="W1830">
        <v>20609.16</v>
      </c>
      <c r="X1830">
        <f t="shared" si="375"/>
        <v>5.7369591322677484E-4</v>
      </c>
      <c r="Y1830">
        <f t="shared" si="376"/>
        <v>5.7386050820153038E-4</v>
      </c>
      <c r="Z1830" t="str">
        <f t="shared" si="369"/>
        <v>2017-04</v>
      </c>
    </row>
    <row r="1831" spans="1:26" x14ac:dyDescent="0.35">
      <c r="A1831" s="1">
        <v>42857</v>
      </c>
      <c r="C1831">
        <v>3578.21</v>
      </c>
      <c r="D1831">
        <f t="shared" si="370"/>
        <v>5.2173056787187559E-3</v>
      </c>
      <c r="E1831" t="str">
        <f t="shared" si="364"/>
        <v>2017-05</v>
      </c>
      <c r="G1831">
        <v>5304.15</v>
      </c>
      <c r="H1831">
        <f t="shared" si="371"/>
        <v>6.9659402257162299E-3</v>
      </c>
      <c r="I1831" t="str">
        <f t="shared" si="365"/>
        <v>2017-05</v>
      </c>
      <c r="K1831">
        <v>12507.9</v>
      </c>
      <c r="L1831">
        <f t="shared" si="372"/>
        <v>5.6033380112070251E-3</v>
      </c>
      <c r="M1831" t="str">
        <f t="shared" si="366"/>
        <v>2017-05</v>
      </c>
      <c r="O1831">
        <v>8590.2389600000006</v>
      </c>
      <c r="P1831">
        <f t="shared" si="373"/>
        <v>3.7571953951633054E-3</v>
      </c>
      <c r="Q1831" t="str">
        <f t="shared" si="367"/>
        <v>2017-05</v>
      </c>
      <c r="S1831">
        <v>10820.3</v>
      </c>
      <c r="T1831">
        <f t="shared" si="374"/>
        <v>9.7047116387815602E-3</v>
      </c>
      <c r="U1831" t="str">
        <f t="shared" si="368"/>
        <v>2017-05</v>
      </c>
      <c r="W1831">
        <v>20733.25</v>
      </c>
      <c r="X1831">
        <f t="shared" si="375"/>
        <v>6.0030546186794747E-3</v>
      </c>
      <c r="Y1831">
        <f t="shared" si="376"/>
        <v>6.0211090602431223E-3</v>
      </c>
      <c r="Z1831" t="str">
        <f t="shared" si="369"/>
        <v>2017-05</v>
      </c>
    </row>
    <row r="1832" spans="1:26" x14ac:dyDescent="0.35">
      <c r="A1832" s="1">
        <v>42858</v>
      </c>
      <c r="C1832">
        <v>3586.25</v>
      </c>
      <c r="D1832">
        <f t="shared" si="370"/>
        <v>2.244412942510788E-3</v>
      </c>
      <c r="E1832" t="str">
        <f t="shared" si="364"/>
        <v>2017-05</v>
      </c>
      <c r="G1832">
        <v>5301</v>
      </c>
      <c r="H1832">
        <f t="shared" si="371"/>
        <v>-5.9405102099169857E-4</v>
      </c>
      <c r="I1832" t="str">
        <f t="shared" si="365"/>
        <v>2017-05</v>
      </c>
      <c r="K1832">
        <v>12527.84</v>
      </c>
      <c r="L1832">
        <f t="shared" si="372"/>
        <v>1.592923094449854E-3</v>
      </c>
      <c r="M1832" t="str">
        <f t="shared" si="366"/>
        <v>2017-05</v>
      </c>
      <c r="O1832">
        <v>8557.9115500000007</v>
      </c>
      <c r="P1832">
        <f t="shared" si="373"/>
        <v>-3.77037142023424E-3</v>
      </c>
      <c r="Q1832" t="str">
        <f t="shared" si="367"/>
        <v>2017-05</v>
      </c>
      <c r="S1832">
        <v>10837</v>
      </c>
      <c r="T1832">
        <f t="shared" si="374"/>
        <v>1.54220547436074E-3</v>
      </c>
      <c r="U1832" t="str">
        <f t="shared" si="368"/>
        <v>2017-05</v>
      </c>
      <c r="W1832">
        <v>20759.310000000001</v>
      </c>
      <c r="X1832">
        <f t="shared" si="375"/>
        <v>1.2561289747650261E-3</v>
      </c>
      <c r="Y1832">
        <f t="shared" si="376"/>
        <v>1.2569182352019732E-3</v>
      </c>
      <c r="Z1832" t="str">
        <f t="shared" si="369"/>
        <v>2017-05</v>
      </c>
    </row>
    <row r="1833" spans="1:26" x14ac:dyDescent="0.35">
      <c r="A1833" s="1">
        <v>42859</v>
      </c>
      <c r="C1833">
        <v>3627.88</v>
      </c>
      <c r="D1833">
        <f t="shared" si="370"/>
        <v>1.1541367317454853E-2</v>
      </c>
      <c r="E1833" t="str">
        <f t="shared" si="364"/>
        <v>2017-05</v>
      </c>
      <c r="G1833">
        <v>5372.42</v>
      </c>
      <c r="H1833">
        <f t="shared" si="371"/>
        <v>1.3382976771180161E-2</v>
      </c>
      <c r="I1833" t="str">
        <f t="shared" si="365"/>
        <v>2017-05</v>
      </c>
      <c r="K1833">
        <v>12647.78</v>
      </c>
      <c r="L1833">
        <f t="shared" si="372"/>
        <v>9.5283379266859272E-3</v>
      </c>
      <c r="M1833" t="str">
        <f t="shared" si="366"/>
        <v>2017-05</v>
      </c>
      <c r="O1833">
        <v>8534.0532299999995</v>
      </c>
      <c r="P1833">
        <f t="shared" si="373"/>
        <v>-2.7917604328027948E-3</v>
      </c>
      <c r="Q1833" t="str">
        <f t="shared" si="367"/>
        <v>2017-05</v>
      </c>
      <c r="S1833">
        <v>11012.9</v>
      </c>
      <c r="T1833">
        <f t="shared" si="374"/>
        <v>1.6101108022752112E-2</v>
      </c>
      <c r="U1833" t="str">
        <f t="shared" si="368"/>
        <v>2017-05</v>
      </c>
      <c r="W1833">
        <v>21169.919999999998</v>
      </c>
      <c r="X1833">
        <f t="shared" si="375"/>
        <v>1.9586485456074811E-2</v>
      </c>
      <c r="Y1833">
        <f t="shared" si="376"/>
        <v>1.9779559147196941E-2</v>
      </c>
      <c r="Z1833" t="str">
        <f t="shared" si="369"/>
        <v>2017-05</v>
      </c>
    </row>
    <row r="1834" spans="1:26" x14ac:dyDescent="0.35">
      <c r="A1834" s="1">
        <v>42860</v>
      </c>
      <c r="C1834">
        <v>3658.79</v>
      </c>
      <c r="D1834">
        <f t="shared" si="370"/>
        <v>8.484036028897593E-3</v>
      </c>
      <c r="E1834" t="str">
        <f t="shared" si="364"/>
        <v>2017-05</v>
      </c>
      <c r="G1834">
        <v>5432.4</v>
      </c>
      <c r="H1834">
        <f t="shared" si="371"/>
        <v>1.1102566470926776E-2</v>
      </c>
      <c r="I1834" t="str">
        <f t="shared" si="365"/>
        <v>2017-05</v>
      </c>
      <c r="K1834">
        <v>12716.89</v>
      </c>
      <c r="L1834">
        <f t="shared" si="372"/>
        <v>5.4493254609044237E-3</v>
      </c>
      <c r="M1834" t="str">
        <f t="shared" si="366"/>
        <v>2017-05</v>
      </c>
      <c r="O1834">
        <v>8604.1945400000004</v>
      </c>
      <c r="P1834">
        <f t="shared" si="373"/>
        <v>8.1853994139495338E-3</v>
      </c>
      <c r="Q1834" t="str">
        <f t="shared" si="367"/>
        <v>2017-05</v>
      </c>
      <c r="S1834">
        <v>11135.4</v>
      </c>
      <c r="T1834">
        <f t="shared" si="374"/>
        <v>1.1061909866566468E-2</v>
      </c>
      <c r="U1834" t="str">
        <f t="shared" si="368"/>
        <v>2017-05</v>
      </c>
      <c r="W1834">
        <v>21483.86</v>
      </c>
      <c r="X1834">
        <f t="shared" si="375"/>
        <v>1.4720649337420079E-2</v>
      </c>
      <c r="Y1834">
        <f t="shared" si="376"/>
        <v>1.4829531712921087E-2</v>
      </c>
      <c r="Z1834" t="str">
        <f t="shared" si="369"/>
        <v>2017-05</v>
      </c>
    </row>
    <row r="1835" spans="1:26" x14ac:dyDescent="0.35">
      <c r="A1835" s="1">
        <v>42863</v>
      </c>
      <c r="C1835">
        <v>3642.11</v>
      </c>
      <c r="D1835">
        <f t="shared" si="370"/>
        <v>-4.5693076254174564E-3</v>
      </c>
      <c r="E1835" t="str">
        <f t="shared" si="364"/>
        <v>2017-05</v>
      </c>
      <c r="G1835">
        <v>5382.95</v>
      </c>
      <c r="H1835">
        <f t="shared" si="371"/>
        <v>-9.1444742129302304E-3</v>
      </c>
      <c r="I1835" t="str">
        <f t="shared" si="365"/>
        <v>2017-05</v>
      </c>
      <c r="K1835">
        <v>12694.55</v>
      </c>
      <c r="L1835">
        <f t="shared" si="372"/>
        <v>-1.7582636604084976E-3</v>
      </c>
      <c r="M1835" t="str">
        <f t="shared" si="366"/>
        <v>2017-05</v>
      </c>
      <c r="O1835">
        <v>8639.8852700000007</v>
      </c>
      <c r="P1835">
        <f t="shared" si="373"/>
        <v>4.1394822289802157E-3</v>
      </c>
      <c r="Q1835" t="str">
        <f t="shared" si="367"/>
        <v>2017-05</v>
      </c>
      <c r="S1835">
        <v>11096.3</v>
      </c>
      <c r="T1835">
        <f t="shared" si="374"/>
        <v>-3.5175034131261001E-3</v>
      </c>
      <c r="U1835" t="str">
        <f t="shared" si="368"/>
        <v>2017-05</v>
      </c>
      <c r="W1835">
        <v>21428.1</v>
      </c>
      <c r="X1835">
        <f t="shared" si="375"/>
        <v>-2.5988107456632716E-3</v>
      </c>
      <c r="Y1835">
        <f t="shared" si="376"/>
        <v>-2.5954367604332758E-3</v>
      </c>
      <c r="Z1835" t="str">
        <f t="shared" si="369"/>
        <v>2017-05</v>
      </c>
    </row>
    <row r="1836" spans="1:26" x14ac:dyDescent="0.35">
      <c r="A1836" s="1">
        <v>42864</v>
      </c>
      <c r="C1836">
        <v>3649.08</v>
      </c>
      <c r="D1836">
        <f t="shared" si="370"/>
        <v>1.9118969943587426E-3</v>
      </c>
      <c r="E1836" t="str">
        <f t="shared" si="364"/>
        <v>2017-05</v>
      </c>
      <c r="G1836">
        <v>5398.01</v>
      </c>
      <c r="H1836">
        <f t="shared" si="371"/>
        <v>2.7938160972281315E-3</v>
      </c>
      <c r="I1836" t="str">
        <f t="shared" si="365"/>
        <v>2017-05</v>
      </c>
      <c r="K1836">
        <v>12749.12</v>
      </c>
      <c r="L1836">
        <f t="shared" si="372"/>
        <v>4.2894821126366689E-3</v>
      </c>
      <c r="M1836" t="str">
        <f t="shared" si="366"/>
        <v>2017-05</v>
      </c>
      <c r="O1836">
        <v>8723.5912900000003</v>
      </c>
      <c r="P1836">
        <f t="shared" si="373"/>
        <v>9.641694526811807E-3</v>
      </c>
      <c r="Q1836" t="str">
        <f t="shared" si="367"/>
        <v>2017-05</v>
      </c>
      <c r="S1836">
        <v>11049.2</v>
      </c>
      <c r="T1836">
        <f t="shared" si="374"/>
        <v>-4.2536922642095482E-3</v>
      </c>
      <c r="U1836" t="str">
        <f t="shared" si="368"/>
        <v>2017-05</v>
      </c>
      <c r="W1836">
        <v>21486.95</v>
      </c>
      <c r="X1836">
        <f t="shared" si="375"/>
        <v>2.7426293055333537E-3</v>
      </c>
      <c r="Y1836">
        <f t="shared" si="376"/>
        <v>2.7463937539960234E-3</v>
      </c>
      <c r="Z1836" t="str">
        <f t="shared" si="369"/>
        <v>2017-05</v>
      </c>
    </row>
    <row r="1837" spans="1:26" x14ac:dyDescent="0.35">
      <c r="A1837" s="1">
        <v>42865</v>
      </c>
      <c r="C1837">
        <v>3645.74</v>
      </c>
      <c r="D1837">
        <f t="shared" si="370"/>
        <v>-9.1571834079351661E-4</v>
      </c>
      <c r="E1837" t="str">
        <f t="shared" si="364"/>
        <v>2017-05</v>
      </c>
      <c r="G1837">
        <v>5400.46</v>
      </c>
      <c r="H1837">
        <f t="shared" si="371"/>
        <v>4.5376799528811315E-4</v>
      </c>
      <c r="I1837" t="str">
        <f t="shared" si="365"/>
        <v>2017-05</v>
      </c>
      <c r="K1837">
        <v>12757.46</v>
      </c>
      <c r="L1837">
        <f t="shared" si="372"/>
        <v>6.5394892590179751E-4</v>
      </c>
      <c r="M1837" t="str">
        <f t="shared" si="366"/>
        <v>2017-05</v>
      </c>
      <c r="O1837">
        <v>8793.9262799999997</v>
      </c>
      <c r="P1837">
        <f t="shared" si="373"/>
        <v>8.0302894156546976E-3</v>
      </c>
      <c r="Q1837" t="str">
        <f t="shared" si="367"/>
        <v>2017-05</v>
      </c>
      <c r="S1837">
        <v>11034.8</v>
      </c>
      <c r="T1837">
        <f t="shared" si="374"/>
        <v>-1.3041117588163899E-3</v>
      </c>
      <c r="U1837" t="str">
        <f t="shared" si="368"/>
        <v>2017-05</v>
      </c>
      <c r="W1837">
        <v>21552.81</v>
      </c>
      <c r="X1837">
        <f t="shared" si="375"/>
        <v>3.0604283762241148E-3</v>
      </c>
      <c r="Y1837">
        <f t="shared" si="376"/>
        <v>3.0651162682465674E-3</v>
      </c>
      <c r="Z1837" t="str">
        <f t="shared" si="369"/>
        <v>2017-05</v>
      </c>
    </row>
    <row r="1838" spans="1:26" x14ac:dyDescent="0.35">
      <c r="A1838" s="1">
        <v>42866</v>
      </c>
      <c r="C1838">
        <v>3623.55</v>
      </c>
      <c r="D1838">
        <f t="shared" si="370"/>
        <v>-6.1051544026390148E-3</v>
      </c>
      <c r="E1838" t="str">
        <f t="shared" si="364"/>
        <v>2017-05</v>
      </c>
      <c r="G1838">
        <v>5383.42</v>
      </c>
      <c r="H1838">
        <f t="shared" si="371"/>
        <v>-3.1602751851874267E-3</v>
      </c>
      <c r="I1838" t="str">
        <f t="shared" si="365"/>
        <v>2017-05</v>
      </c>
      <c r="K1838">
        <v>12711.06</v>
      </c>
      <c r="L1838">
        <f t="shared" si="372"/>
        <v>-3.6437179181582355E-3</v>
      </c>
      <c r="M1838" t="str">
        <f t="shared" si="366"/>
        <v>2017-05</v>
      </c>
      <c r="O1838">
        <v>8752.2083299999995</v>
      </c>
      <c r="P1838">
        <f t="shared" si="373"/>
        <v>-4.7552386367469791E-3</v>
      </c>
      <c r="Q1838" t="str">
        <f t="shared" si="367"/>
        <v>2017-05</v>
      </c>
      <c r="S1838">
        <v>10861.4</v>
      </c>
      <c r="T1838">
        <f t="shared" si="374"/>
        <v>-1.5838695753028795E-2</v>
      </c>
      <c r="U1838" t="str">
        <f t="shared" si="368"/>
        <v>2017-05</v>
      </c>
      <c r="W1838">
        <v>21482.52</v>
      </c>
      <c r="X1838">
        <f t="shared" si="375"/>
        <v>-3.2666212855477668E-3</v>
      </c>
      <c r="Y1838">
        <f t="shared" si="376"/>
        <v>-3.2612916830798799E-3</v>
      </c>
      <c r="Z1838" t="str">
        <f t="shared" si="369"/>
        <v>2017-05</v>
      </c>
    </row>
    <row r="1839" spans="1:26" x14ac:dyDescent="0.35">
      <c r="A1839" s="1">
        <v>42867</v>
      </c>
      <c r="C1839">
        <v>3637.52</v>
      </c>
      <c r="D1839">
        <f t="shared" si="370"/>
        <v>3.847922478983913E-3</v>
      </c>
      <c r="E1839" t="str">
        <f t="shared" si="364"/>
        <v>2017-05</v>
      </c>
      <c r="G1839">
        <v>5405.42</v>
      </c>
      <c r="H1839">
        <f t="shared" si="371"/>
        <v>4.0782939579925657E-3</v>
      </c>
      <c r="I1839" t="str">
        <f t="shared" si="365"/>
        <v>2017-05</v>
      </c>
      <c r="K1839">
        <v>12770.41</v>
      </c>
      <c r="L1839">
        <f t="shared" si="372"/>
        <v>4.6582954062808794E-3</v>
      </c>
      <c r="M1839" t="str">
        <f t="shared" si="366"/>
        <v>2017-05</v>
      </c>
      <c r="O1839">
        <v>8765.9836500000001</v>
      </c>
      <c r="P1839">
        <f t="shared" si="373"/>
        <v>1.5726877356966851E-3</v>
      </c>
      <c r="Q1839" t="str">
        <f t="shared" si="367"/>
        <v>2017-05</v>
      </c>
      <c r="S1839">
        <v>10897</v>
      </c>
      <c r="T1839">
        <f t="shared" si="374"/>
        <v>3.2723023537531851E-3</v>
      </c>
      <c r="U1839" t="str">
        <f t="shared" si="368"/>
        <v>2017-05</v>
      </c>
      <c r="W1839">
        <v>21575.45</v>
      </c>
      <c r="X1839">
        <f t="shared" si="375"/>
        <v>4.3165130307570429E-3</v>
      </c>
      <c r="Y1839">
        <f t="shared" si="376"/>
        <v>4.3258425920236678E-3</v>
      </c>
      <c r="Z1839" t="str">
        <f t="shared" si="369"/>
        <v>2017-05</v>
      </c>
    </row>
    <row r="1840" spans="1:26" x14ac:dyDescent="0.35">
      <c r="A1840" s="1">
        <v>42870</v>
      </c>
      <c r="C1840">
        <v>3641.88</v>
      </c>
      <c r="D1840">
        <f t="shared" si="370"/>
        <v>1.1979010691462821E-3</v>
      </c>
      <c r="E1840" t="str">
        <f t="shared" si="364"/>
        <v>2017-05</v>
      </c>
      <c r="G1840">
        <v>5417.4</v>
      </c>
      <c r="H1840">
        <f t="shared" si="371"/>
        <v>2.213841659184031E-3</v>
      </c>
      <c r="I1840" t="str">
        <f t="shared" si="365"/>
        <v>2017-05</v>
      </c>
      <c r="K1840">
        <v>12807.04</v>
      </c>
      <c r="L1840">
        <f t="shared" si="372"/>
        <v>2.8642437023533398E-3</v>
      </c>
      <c r="M1840" t="str">
        <f t="shared" si="366"/>
        <v>2017-05</v>
      </c>
      <c r="O1840">
        <v>8768.0889299999999</v>
      </c>
      <c r="P1840">
        <f t="shared" si="373"/>
        <v>2.4013588406366821E-4</v>
      </c>
      <c r="Q1840" t="str">
        <f t="shared" si="367"/>
        <v>2017-05</v>
      </c>
      <c r="S1840">
        <v>10957.8</v>
      </c>
      <c r="T1840">
        <f t="shared" si="374"/>
        <v>5.5640094491647739E-3</v>
      </c>
      <c r="U1840" t="str">
        <f t="shared" si="368"/>
        <v>2017-05</v>
      </c>
      <c r="W1840">
        <v>21704.46</v>
      </c>
      <c r="X1840">
        <f t="shared" si="375"/>
        <v>5.9616751560377639E-3</v>
      </c>
      <c r="Y1840">
        <f t="shared" si="376"/>
        <v>5.9794813086168951E-3</v>
      </c>
      <c r="Z1840" t="str">
        <f t="shared" si="369"/>
        <v>2017-05</v>
      </c>
    </row>
    <row r="1841" spans="1:26" x14ac:dyDescent="0.35">
      <c r="A1841" s="1">
        <v>42871</v>
      </c>
      <c r="C1841">
        <v>3641.89</v>
      </c>
      <c r="D1841">
        <f t="shared" si="370"/>
        <v>2.7458307990323139E-6</v>
      </c>
      <c r="E1841" t="str">
        <f t="shared" si="364"/>
        <v>2017-05</v>
      </c>
      <c r="G1841">
        <v>5406.1</v>
      </c>
      <c r="H1841">
        <f t="shared" si="371"/>
        <v>-2.0880499109568271E-3</v>
      </c>
      <c r="I1841" t="str">
        <f t="shared" si="365"/>
        <v>2017-05</v>
      </c>
      <c r="K1841">
        <v>12804.53</v>
      </c>
      <c r="L1841">
        <f t="shared" si="372"/>
        <v>-1.9600516548078637E-4</v>
      </c>
      <c r="M1841" t="str">
        <f t="shared" si="366"/>
        <v>2017-05</v>
      </c>
      <c r="O1841">
        <v>8771.6268899999995</v>
      </c>
      <c r="P1841">
        <f t="shared" si="373"/>
        <v>4.0342273321760844E-4</v>
      </c>
      <c r="Q1841" t="str">
        <f t="shared" si="367"/>
        <v>2017-05</v>
      </c>
      <c r="S1841">
        <v>10982.4</v>
      </c>
      <c r="T1841">
        <f t="shared" si="374"/>
        <v>2.2424599874827714E-3</v>
      </c>
      <c r="U1841" t="str">
        <f t="shared" si="368"/>
        <v>2017-05</v>
      </c>
      <c r="W1841">
        <v>21787.9</v>
      </c>
      <c r="X1841">
        <f t="shared" si="375"/>
        <v>3.837000446558101E-3</v>
      </c>
      <c r="Y1841">
        <f t="shared" si="376"/>
        <v>3.8443711568959711E-3</v>
      </c>
      <c r="Z1841" t="str">
        <f t="shared" si="369"/>
        <v>2017-05</v>
      </c>
    </row>
    <row r="1842" spans="1:26" x14ac:dyDescent="0.35">
      <c r="A1842" s="1">
        <v>42872</v>
      </c>
      <c r="C1842">
        <v>3584.83</v>
      </c>
      <c r="D1842">
        <f t="shared" si="370"/>
        <v>-1.5791724541740451E-2</v>
      </c>
      <c r="E1842" t="str">
        <f t="shared" si="364"/>
        <v>2017-05</v>
      </c>
      <c r="G1842">
        <v>5317.89</v>
      </c>
      <c r="H1842">
        <f t="shared" si="371"/>
        <v>-1.645133750933795E-2</v>
      </c>
      <c r="I1842" t="str">
        <f t="shared" si="365"/>
        <v>2017-05</v>
      </c>
      <c r="K1842">
        <v>12631.61</v>
      </c>
      <c r="L1842">
        <f t="shared" si="372"/>
        <v>-1.3596612059663754E-2</v>
      </c>
      <c r="M1842" t="str">
        <f t="shared" si="366"/>
        <v>2017-05</v>
      </c>
      <c r="O1842">
        <v>8717.4449499999992</v>
      </c>
      <c r="P1842">
        <f t="shared" si="373"/>
        <v>-6.1961107874348286E-3</v>
      </c>
      <c r="Q1842" t="str">
        <f t="shared" si="367"/>
        <v>2017-05</v>
      </c>
      <c r="S1842">
        <v>10786.1</v>
      </c>
      <c r="T1842">
        <f t="shared" si="374"/>
        <v>-1.8035723281757367E-2</v>
      </c>
      <c r="U1842" t="str">
        <f t="shared" si="368"/>
        <v>2017-05</v>
      </c>
      <c r="W1842">
        <v>21283.72</v>
      </c>
      <c r="X1842">
        <f t="shared" si="375"/>
        <v>-2.3412308602825022E-2</v>
      </c>
      <c r="Y1842">
        <f t="shared" si="376"/>
        <v>-2.3140366900894545E-2</v>
      </c>
      <c r="Z1842" t="str">
        <f t="shared" si="369"/>
        <v>2017-05</v>
      </c>
    </row>
    <row r="1843" spans="1:26" x14ac:dyDescent="0.35">
      <c r="A1843" s="1">
        <v>42873</v>
      </c>
      <c r="C1843">
        <v>3562.22</v>
      </c>
      <c r="D1843">
        <f t="shared" si="370"/>
        <v>-6.3271071078124241E-3</v>
      </c>
      <c r="E1843" t="str">
        <f t="shared" si="364"/>
        <v>2017-05</v>
      </c>
      <c r="G1843">
        <v>5289.73</v>
      </c>
      <c r="H1843">
        <f t="shared" si="371"/>
        <v>-5.3094032689608483E-3</v>
      </c>
      <c r="I1843" t="str">
        <f t="shared" si="365"/>
        <v>2017-05</v>
      </c>
      <c r="K1843">
        <v>12590.06</v>
      </c>
      <c r="L1843">
        <f t="shared" si="372"/>
        <v>-3.2947887739094364E-3</v>
      </c>
      <c r="M1843" t="str">
        <f t="shared" si="366"/>
        <v>2017-05</v>
      </c>
      <c r="O1843">
        <v>8684.9578899999997</v>
      </c>
      <c r="P1843">
        <f t="shared" si="373"/>
        <v>-3.7336335720841701E-3</v>
      </c>
      <c r="Q1843" t="str">
        <f t="shared" si="367"/>
        <v>2017-05</v>
      </c>
      <c r="S1843">
        <v>10684.9</v>
      </c>
      <c r="T1843">
        <f t="shared" si="374"/>
        <v>-9.4267383366892204E-3</v>
      </c>
      <c r="U1843" t="str">
        <f t="shared" si="368"/>
        <v>2017-05</v>
      </c>
      <c r="W1843">
        <v>21299.26</v>
      </c>
      <c r="X1843">
        <f t="shared" si="375"/>
        <v>7.2986910215571993E-4</v>
      </c>
      <c r="Y1843">
        <f t="shared" si="376"/>
        <v>7.3013552142187706E-4</v>
      </c>
      <c r="Z1843" t="str">
        <f t="shared" si="369"/>
        <v>2017-05</v>
      </c>
    </row>
    <row r="1844" spans="1:26" x14ac:dyDescent="0.35">
      <c r="A1844" s="1">
        <v>42874</v>
      </c>
      <c r="C1844">
        <v>3587.01</v>
      </c>
      <c r="D1844">
        <f t="shared" si="370"/>
        <v>6.9350403765805592E-3</v>
      </c>
      <c r="E1844" t="str">
        <f t="shared" si="364"/>
        <v>2017-05</v>
      </c>
      <c r="G1844">
        <v>5324.4</v>
      </c>
      <c r="H1844">
        <f t="shared" si="371"/>
        <v>6.5328243206313509E-3</v>
      </c>
      <c r="I1844" t="str">
        <f t="shared" si="365"/>
        <v>2017-05</v>
      </c>
      <c r="K1844">
        <v>12638.69</v>
      </c>
      <c r="L1844">
        <f t="shared" si="372"/>
        <v>3.8551303753348288E-3</v>
      </c>
      <c r="M1844" t="str">
        <f t="shared" si="366"/>
        <v>2017-05</v>
      </c>
      <c r="O1844">
        <v>8693.6874599999992</v>
      </c>
      <c r="P1844">
        <f t="shared" si="373"/>
        <v>1.0046318983336379E-3</v>
      </c>
      <c r="Q1844" t="str">
        <f t="shared" si="367"/>
        <v>2017-05</v>
      </c>
      <c r="S1844">
        <v>10835.4</v>
      </c>
      <c r="T1844">
        <f t="shared" si="374"/>
        <v>1.3987021891265444E-2</v>
      </c>
      <c r="U1844" t="str">
        <f t="shared" si="368"/>
        <v>2017-05</v>
      </c>
      <c r="W1844">
        <v>21567.52</v>
      </c>
      <c r="X1844">
        <f t="shared" si="375"/>
        <v>1.2516148961535762E-2</v>
      </c>
      <c r="Y1844">
        <f t="shared" si="376"/>
        <v>1.2594803763135529E-2</v>
      </c>
      <c r="Z1844" t="str">
        <f t="shared" si="369"/>
        <v>2017-05</v>
      </c>
    </row>
    <row r="1845" spans="1:26" x14ac:dyDescent="0.35">
      <c r="A1845" s="1">
        <v>42877</v>
      </c>
      <c r="C1845">
        <v>3576.53</v>
      </c>
      <c r="D1845">
        <f t="shared" si="370"/>
        <v>-2.9259297712199146E-3</v>
      </c>
      <c r="E1845" t="str">
        <f t="shared" si="364"/>
        <v>2017-05</v>
      </c>
      <c r="G1845">
        <v>5322.88</v>
      </c>
      <c r="H1845">
        <f t="shared" si="371"/>
        <v>-2.8551893259600911E-4</v>
      </c>
      <c r="I1845" t="str">
        <f t="shared" si="365"/>
        <v>2017-05</v>
      </c>
      <c r="K1845">
        <v>12619.46</v>
      </c>
      <c r="L1845">
        <f t="shared" si="372"/>
        <v>-1.5226771331606633E-3</v>
      </c>
      <c r="M1845" t="str">
        <f t="shared" si="366"/>
        <v>2017-05</v>
      </c>
      <c r="O1845">
        <v>8683.4495700000007</v>
      </c>
      <c r="P1845">
        <f t="shared" si="373"/>
        <v>-1.1783173680307124E-3</v>
      </c>
      <c r="Q1845" t="str">
        <f t="shared" si="367"/>
        <v>2017-05</v>
      </c>
      <c r="S1845">
        <v>10793.4</v>
      </c>
      <c r="T1845">
        <f t="shared" si="374"/>
        <v>-3.8837154896570656E-3</v>
      </c>
      <c r="U1845" t="str">
        <f t="shared" si="368"/>
        <v>2017-05</v>
      </c>
      <c r="W1845">
        <v>21318.58</v>
      </c>
      <c r="X1845">
        <f t="shared" si="375"/>
        <v>-1.1609486337457049E-2</v>
      </c>
      <c r="Y1845">
        <f t="shared" si="376"/>
        <v>-1.1542356283893497E-2</v>
      </c>
      <c r="Z1845" t="str">
        <f t="shared" si="369"/>
        <v>2017-05</v>
      </c>
    </row>
    <row r="1846" spans="1:26" x14ac:dyDescent="0.35">
      <c r="A1846" s="1">
        <v>42878</v>
      </c>
      <c r="C1846">
        <v>3595.03</v>
      </c>
      <c r="D1846">
        <f t="shared" si="370"/>
        <v>5.1592794416607706E-3</v>
      </c>
      <c r="E1846" t="str">
        <f t="shared" si="364"/>
        <v>2017-05</v>
      </c>
      <c r="G1846">
        <v>5348.16</v>
      </c>
      <c r="H1846">
        <f t="shared" si="371"/>
        <v>4.738066260292207E-3</v>
      </c>
      <c r="I1846" t="str">
        <f t="shared" si="365"/>
        <v>2017-05</v>
      </c>
      <c r="K1846">
        <v>12659.15</v>
      </c>
      <c r="L1846">
        <f t="shared" si="372"/>
        <v>3.1402068875558578E-3</v>
      </c>
      <c r="M1846" t="str">
        <f t="shared" si="366"/>
        <v>2017-05</v>
      </c>
      <c r="O1846">
        <v>8681.1172399999996</v>
      </c>
      <c r="P1846">
        <f t="shared" si="373"/>
        <v>-2.6863094709431417E-4</v>
      </c>
      <c r="Q1846" t="str">
        <f t="shared" si="367"/>
        <v>2017-05</v>
      </c>
      <c r="S1846">
        <v>10916.3</v>
      </c>
      <c r="T1846">
        <f t="shared" si="374"/>
        <v>1.1322248848250834E-2</v>
      </c>
      <c r="U1846" t="str">
        <f t="shared" si="368"/>
        <v>2017-05</v>
      </c>
      <c r="W1846">
        <v>21415.74</v>
      </c>
      <c r="X1846">
        <f t="shared" si="375"/>
        <v>4.5471727367108567E-3</v>
      </c>
      <c r="Y1846">
        <f t="shared" si="376"/>
        <v>4.5575268146377411E-3</v>
      </c>
      <c r="Z1846" t="str">
        <f t="shared" si="369"/>
        <v>2017-05</v>
      </c>
    </row>
    <row r="1847" spans="1:26" x14ac:dyDescent="0.35">
      <c r="A1847" s="1">
        <v>42879</v>
      </c>
      <c r="C1847">
        <v>3586.62</v>
      </c>
      <c r="D1847">
        <f t="shared" si="370"/>
        <v>-2.3420812332297044E-3</v>
      </c>
      <c r="E1847" t="str">
        <f t="shared" si="364"/>
        <v>2017-05</v>
      </c>
      <c r="G1847">
        <v>5341.34</v>
      </c>
      <c r="H1847">
        <f t="shared" si="371"/>
        <v>-1.276018695986466E-3</v>
      </c>
      <c r="I1847" t="str">
        <f t="shared" si="365"/>
        <v>2017-05</v>
      </c>
      <c r="K1847">
        <v>12642.87</v>
      </c>
      <c r="L1847">
        <f t="shared" si="372"/>
        <v>-1.2868539544771229E-3</v>
      </c>
      <c r="M1847" t="str">
        <f t="shared" si="366"/>
        <v>2017-05</v>
      </c>
      <c r="O1847">
        <v>8694.1033100000004</v>
      </c>
      <c r="P1847">
        <f t="shared" si="373"/>
        <v>1.494780728751614E-3</v>
      </c>
      <c r="Q1847" t="str">
        <f t="shared" si="367"/>
        <v>2017-05</v>
      </c>
      <c r="S1847">
        <v>10907.4</v>
      </c>
      <c r="T1847">
        <f t="shared" si="374"/>
        <v>-8.1562709287533457E-4</v>
      </c>
      <c r="U1847" t="str">
        <f t="shared" si="368"/>
        <v>2017-05</v>
      </c>
      <c r="W1847">
        <v>21369.73</v>
      </c>
      <c r="X1847">
        <f t="shared" si="375"/>
        <v>-2.1507309717756404E-3</v>
      </c>
      <c r="Y1847">
        <f t="shared" si="376"/>
        <v>-2.1484198071139281E-3</v>
      </c>
      <c r="Z1847" t="str">
        <f t="shared" si="369"/>
        <v>2017-05</v>
      </c>
    </row>
    <row r="1848" spans="1:26" x14ac:dyDescent="0.35">
      <c r="A1848" s="1">
        <v>42880</v>
      </c>
      <c r="C1848">
        <v>3584.55</v>
      </c>
      <c r="D1848">
        <f t="shared" si="370"/>
        <v>-5.7731166810776372E-4</v>
      </c>
      <c r="E1848" t="str">
        <f t="shared" si="364"/>
        <v>2017-05</v>
      </c>
      <c r="G1848">
        <v>5337.16</v>
      </c>
      <c r="H1848">
        <f t="shared" si="371"/>
        <v>-7.8288153083206919E-4</v>
      </c>
      <c r="I1848" t="str">
        <f t="shared" si="365"/>
        <v>2017-05</v>
      </c>
      <c r="K1848">
        <v>12621.72</v>
      </c>
      <c r="L1848">
        <f t="shared" si="372"/>
        <v>-1.6742804803614615E-3</v>
      </c>
      <c r="M1848" t="str">
        <f t="shared" si="366"/>
        <v>2017-05</v>
      </c>
      <c r="O1848">
        <v>8684.4360799999995</v>
      </c>
      <c r="P1848">
        <f t="shared" si="373"/>
        <v>-1.1125481584153324E-3</v>
      </c>
      <c r="Q1848" t="str">
        <f t="shared" si="367"/>
        <v>2017-05</v>
      </c>
      <c r="S1848">
        <v>10937.7</v>
      </c>
      <c r="T1848">
        <f t="shared" si="374"/>
        <v>2.7740792609030167E-3</v>
      </c>
      <c r="U1848" t="str">
        <f t="shared" si="368"/>
        <v>2017-05</v>
      </c>
      <c r="W1848">
        <v>21291.72</v>
      </c>
      <c r="X1848">
        <f t="shared" si="375"/>
        <v>-3.6571699718562791E-3</v>
      </c>
      <c r="Y1848">
        <f t="shared" si="376"/>
        <v>-3.6504906706822408E-3</v>
      </c>
      <c r="Z1848" t="str">
        <f t="shared" si="369"/>
        <v>2017-05</v>
      </c>
    </row>
    <row r="1849" spans="1:26" x14ac:dyDescent="0.35">
      <c r="A1849" s="1">
        <v>42881</v>
      </c>
      <c r="C1849">
        <v>3579.02</v>
      </c>
      <c r="D1849">
        <f t="shared" si="370"/>
        <v>-1.5439232389683347E-3</v>
      </c>
      <c r="E1849" t="str">
        <f t="shared" si="364"/>
        <v>2017-05</v>
      </c>
      <c r="G1849">
        <v>5336.64</v>
      </c>
      <c r="H1849">
        <f t="shared" si="371"/>
        <v>-9.7434840527413339E-5</v>
      </c>
      <c r="I1849" t="str">
        <f t="shared" si="365"/>
        <v>2017-05</v>
      </c>
      <c r="K1849">
        <v>12602.18</v>
      </c>
      <c r="L1849">
        <f t="shared" si="372"/>
        <v>-1.5493245619163753E-3</v>
      </c>
      <c r="M1849" t="str">
        <f t="shared" si="366"/>
        <v>2017-05</v>
      </c>
      <c r="O1849">
        <v>8640.91201</v>
      </c>
      <c r="P1849">
        <f t="shared" si="373"/>
        <v>-5.0243332871269305E-3</v>
      </c>
      <c r="Q1849" t="str">
        <f t="shared" si="367"/>
        <v>2017-05</v>
      </c>
      <c r="S1849">
        <v>10904.2</v>
      </c>
      <c r="T1849">
        <f t="shared" si="374"/>
        <v>-3.0675011119324679E-3</v>
      </c>
      <c r="U1849" t="str">
        <f t="shared" si="368"/>
        <v>2017-05</v>
      </c>
      <c r="W1849">
        <v>21210.57</v>
      </c>
      <c r="X1849">
        <f t="shared" si="375"/>
        <v>-3.8186224135180031E-3</v>
      </c>
      <c r="Y1849">
        <f t="shared" si="376"/>
        <v>-3.811340746543795E-3</v>
      </c>
      <c r="Z1849" t="str">
        <f t="shared" si="369"/>
        <v>2017-05</v>
      </c>
    </row>
    <row r="1850" spans="1:26" x14ac:dyDescent="0.35">
      <c r="A1850" s="1">
        <v>42885</v>
      </c>
      <c r="C1850">
        <v>3561.22</v>
      </c>
      <c r="D1850">
        <f t="shared" si="370"/>
        <v>-4.98583713531567E-3</v>
      </c>
      <c r="E1850" t="str">
        <f t="shared" si="364"/>
        <v>2017-05</v>
      </c>
      <c r="G1850">
        <v>5305.94</v>
      </c>
      <c r="H1850">
        <f t="shared" si="371"/>
        <v>-5.7692937527253612E-3</v>
      </c>
      <c r="I1850" t="str">
        <f t="shared" si="365"/>
        <v>2017-05</v>
      </c>
      <c r="K1850">
        <v>12598.68</v>
      </c>
      <c r="L1850">
        <f t="shared" si="372"/>
        <v>-2.7776830016937673E-4</v>
      </c>
      <c r="M1850" t="str">
        <f t="shared" si="366"/>
        <v>2017-05</v>
      </c>
      <c r="O1850">
        <v>8650.6035300000003</v>
      </c>
      <c r="P1850">
        <f t="shared" si="373"/>
        <v>1.1209568059433004E-3</v>
      </c>
      <c r="Q1850" t="str">
        <f t="shared" si="367"/>
        <v>2017-05</v>
      </c>
      <c r="S1850">
        <v>10876.9</v>
      </c>
      <c r="T1850">
        <f t="shared" si="374"/>
        <v>-2.5067617609550574E-3</v>
      </c>
      <c r="U1850" t="str">
        <f t="shared" si="368"/>
        <v>2017-05</v>
      </c>
      <c r="W1850">
        <v>20814.48</v>
      </c>
      <c r="X1850">
        <f t="shared" si="375"/>
        <v>-1.8850743980733747E-2</v>
      </c>
      <c r="Y1850">
        <f t="shared" si="376"/>
        <v>-1.8674179901813113E-2</v>
      </c>
      <c r="Z1850" t="str">
        <f t="shared" si="369"/>
        <v>2017-05</v>
      </c>
    </row>
    <row r="1851" spans="1:26" x14ac:dyDescent="0.35">
      <c r="A1851" s="1">
        <v>42886</v>
      </c>
      <c r="C1851">
        <v>3554.59</v>
      </c>
      <c r="D1851">
        <f t="shared" si="370"/>
        <v>-1.8634567023402052E-3</v>
      </c>
      <c r="E1851" t="str">
        <f t="shared" si="364"/>
        <v>2017-05</v>
      </c>
      <c r="G1851">
        <v>5283.63</v>
      </c>
      <c r="H1851">
        <f t="shared" si="371"/>
        <v>-4.2135862000456121E-3</v>
      </c>
      <c r="I1851" t="str">
        <f t="shared" si="365"/>
        <v>2017-05</v>
      </c>
      <c r="K1851">
        <v>12615.06</v>
      </c>
      <c r="L1851">
        <f t="shared" si="372"/>
        <v>1.299291759519634E-3</v>
      </c>
      <c r="M1851" t="str">
        <f t="shared" si="366"/>
        <v>2017-05</v>
      </c>
      <c r="O1851">
        <v>8626.1596100000006</v>
      </c>
      <c r="P1851">
        <f t="shared" si="373"/>
        <v>-2.829689347757256E-3</v>
      </c>
      <c r="Q1851" t="str">
        <f t="shared" si="367"/>
        <v>2017-05</v>
      </c>
      <c r="S1851">
        <v>10880</v>
      </c>
      <c r="T1851">
        <f t="shared" si="374"/>
        <v>2.8496706984714148E-4</v>
      </c>
      <c r="U1851" t="str">
        <f t="shared" si="368"/>
        <v>2017-05</v>
      </c>
      <c r="W1851">
        <v>20731.68</v>
      </c>
      <c r="X1851">
        <f t="shared" si="375"/>
        <v>-3.9859332186103196E-3</v>
      </c>
      <c r="Y1851">
        <f t="shared" si="376"/>
        <v>-3.9779999308173575E-3</v>
      </c>
      <c r="Z1851" t="str">
        <f t="shared" si="369"/>
        <v>2017-05</v>
      </c>
    </row>
    <row r="1852" spans="1:26" x14ac:dyDescent="0.35">
      <c r="A1852" s="1">
        <v>42887</v>
      </c>
      <c r="C1852">
        <v>3567.02</v>
      </c>
      <c r="D1852">
        <f t="shared" si="370"/>
        <v>3.4907872299221781E-3</v>
      </c>
      <c r="E1852" t="str">
        <f t="shared" si="364"/>
        <v>2017-06</v>
      </c>
      <c r="G1852">
        <v>5318.67</v>
      </c>
      <c r="H1852">
        <f t="shared" si="371"/>
        <v>6.6099106000374556E-3</v>
      </c>
      <c r="I1852" t="str">
        <f t="shared" si="365"/>
        <v>2017-06</v>
      </c>
      <c r="K1852">
        <v>12664.92</v>
      </c>
      <c r="L1852">
        <f t="shared" si="372"/>
        <v>3.9446284888021094E-3</v>
      </c>
      <c r="M1852" t="str">
        <f t="shared" si="366"/>
        <v>2017-06</v>
      </c>
      <c r="O1852">
        <v>8670.9613200000003</v>
      </c>
      <c r="P1852">
        <f t="shared" si="373"/>
        <v>5.1802621221785352E-3</v>
      </c>
      <c r="Q1852" t="str">
        <f t="shared" si="367"/>
        <v>2017-06</v>
      </c>
      <c r="S1852">
        <v>10881</v>
      </c>
      <c r="T1852">
        <f t="shared" si="374"/>
        <v>9.1907541078351814E-5</v>
      </c>
      <c r="U1852" t="str">
        <f t="shared" si="368"/>
        <v>2017-06</v>
      </c>
      <c r="W1852">
        <v>20936.07</v>
      </c>
      <c r="X1852">
        <f t="shared" si="375"/>
        <v>9.8105436132457126E-3</v>
      </c>
      <c r="Y1852">
        <f t="shared" si="376"/>
        <v>9.8588247551572965E-3</v>
      </c>
      <c r="Z1852" t="str">
        <f t="shared" si="369"/>
        <v>2017-06</v>
      </c>
    </row>
    <row r="1853" spans="1:26" x14ac:dyDescent="0.35">
      <c r="A1853" s="1">
        <v>42888</v>
      </c>
      <c r="C1853">
        <v>3591.82</v>
      </c>
      <c r="D1853">
        <f t="shared" si="370"/>
        <v>6.9285245121057295E-3</v>
      </c>
      <c r="E1853" t="str">
        <f t="shared" si="364"/>
        <v>2017-06</v>
      </c>
      <c r="G1853">
        <v>5343.41</v>
      </c>
      <c r="H1853">
        <f t="shared" si="371"/>
        <v>4.640753849392814E-3</v>
      </c>
      <c r="I1853" t="str">
        <f t="shared" si="365"/>
        <v>2017-06</v>
      </c>
      <c r="K1853">
        <v>12822.94</v>
      </c>
      <c r="L1853">
        <f t="shared" si="372"/>
        <v>1.2399787560695095E-2</v>
      </c>
      <c r="M1853" t="str">
        <f t="shared" si="366"/>
        <v>2017-06</v>
      </c>
      <c r="O1853">
        <v>8628.5416999999998</v>
      </c>
      <c r="P1853">
        <f t="shared" si="373"/>
        <v>-4.9041530232917805E-3</v>
      </c>
      <c r="Q1853" t="str">
        <f t="shared" si="367"/>
        <v>2017-06</v>
      </c>
      <c r="S1853">
        <v>10905.9</v>
      </c>
      <c r="T1853">
        <f t="shared" si="374"/>
        <v>2.2857782283317589E-3</v>
      </c>
      <c r="U1853" t="str">
        <f t="shared" si="368"/>
        <v>2017-06</v>
      </c>
      <c r="W1853">
        <v>20928.240000000002</v>
      </c>
      <c r="X1853">
        <f t="shared" si="375"/>
        <v>-3.7406564643242135E-4</v>
      </c>
      <c r="Y1853">
        <f t="shared" si="376"/>
        <v>-3.7399569260124313E-4</v>
      </c>
      <c r="Z1853" t="str">
        <f t="shared" si="369"/>
        <v>2017-06</v>
      </c>
    </row>
    <row r="1854" spans="1:26" x14ac:dyDescent="0.35">
      <c r="A1854" s="1">
        <v>42892</v>
      </c>
      <c r="C1854">
        <v>3554.18</v>
      </c>
      <c r="D1854">
        <f t="shared" si="370"/>
        <v>-1.0534662217695313E-2</v>
      </c>
      <c r="E1854" t="str">
        <f t="shared" si="364"/>
        <v>2017-06</v>
      </c>
      <c r="G1854">
        <v>5269.22</v>
      </c>
      <c r="H1854">
        <f t="shared" si="371"/>
        <v>-1.3981681938802483E-2</v>
      </c>
      <c r="I1854" t="str">
        <f t="shared" si="365"/>
        <v>2017-06</v>
      </c>
      <c r="K1854">
        <v>12690.12</v>
      </c>
      <c r="L1854">
        <f t="shared" si="372"/>
        <v>-1.0412016427414078E-2</v>
      </c>
      <c r="M1854" t="str">
        <f t="shared" si="366"/>
        <v>2017-06</v>
      </c>
      <c r="O1854">
        <v>8602.6136499999993</v>
      </c>
      <c r="P1854">
        <f t="shared" si="373"/>
        <v>-3.0094406372601296E-3</v>
      </c>
      <c r="Q1854" t="str">
        <f t="shared" si="367"/>
        <v>2017-06</v>
      </c>
      <c r="S1854">
        <v>10879.7</v>
      </c>
      <c r="T1854">
        <f t="shared" si="374"/>
        <v>-2.4052596789787329E-3</v>
      </c>
      <c r="U1854" t="str">
        <f t="shared" si="368"/>
        <v>2017-06</v>
      </c>
      <c r="W1854">
        <v>20760.009999999998</v>
      </c>
      <c r="X1854">
        <f t="shared" si="375"/>
        <v>-8.0709031058006104E-3</v>
      </c>
      <c r="Y1854">
        <f t="shared" si="376"/>
        <v>-8.0384208132171266E-3</v>
      </c>
      <c r="Z1854" t="str">
        <f t="shared" si="369"/>
        <v>2017-06</v>
      </c>
    </row>
    <row r="1855" spans="1:26" x14ac:dyDescent="0.35">
      <c r="A1855" s="1">
        <v>42893</v>
      </c>
      <c r="C1855">
        <v>3548.84</v>
      </c>
      <c r="D1855">
        <f t="shared" si="370"/>
        <v>-1.5035860819884493E-3</v>
      </c>
      <c r="E1855" t="str">
        <f t="shared" si="364"/>
        <v>2017-06</v>
      </c>
      <c r="G1855">
        <v>5265.53</v>
      </c>
      <c r="H1855">
        <f t="shared" si="371"/>
        <v>-7.0053872202137488E-4</v>
      </c>
      <c r="I1855" t="str">
        <f t="shared" si="365"/>
        <v>2017-06</v>
      </c>
      <c r="K1855">
        <v>12672.49</v>
      </c>
      <c r="L1855">
        <f t="shared" si="372"/>
        <v>-1.3902356925837253E-3</v>
      </c>
      <c r="M1855" t="str">
        <f t="shared" si="366"/>
        <v>2017-06</v>
      </c>
      <c r="O1855">
        <v>8581.9902999999995</v>
      </c>
      <c r="P1855">
        <f t="shared" si="373"/>
        <v>-2.4002135819916493E-3</v>
      </c>
      <c r="Q1855" t="str">
        <f t="shared" si="367"/>
        <v>2017-06</v>
      </c>
      <c r="S1855">
        <v>10871.7</v>
      </c>
      <c r="T1855">
        <f t="shared" si="374"/>
        <v>-7.3558486908646312E-4</v>
      </c>
      <c r="U1855" t="str">
        <f t="shared" si="368"/>
        <v>2017-06</v>
      </c>
      <c r="W1855">
        <v>20739.91</v>
      </c>
      <c r="X1855">
        <f t="shared" si="375"/>
        <v>-9.6867664186865558E-4</v>
      </c>
      <c r="Y1855">
        <f t="shared" si="376"/>
        <v>-9.6820762610415638E-4</v>
      </c>
      <c r="Z1855" t="str">
        <f t="shared" si="369"/>
        <v>2017-06</v>
      </c>
    </row>
    <row r="1856" spans="1:26" x14ac:dyDescent="0.35">
      <c r="A1856" s="1">
        <v>42894</v>
      </c>
      <c r="C1856">
        <v>3563.88</v>
      </c>
      <c r="D1856">
        <f t="shared" si="370"/>
        <v>4.229049481965709E-3</v>
      </c>
      <c r="E1856" t="str">
        <f t="shared" si="364"/>
        <v>2017-06</v>
      </c>
      <c r="G1856">
        <v>5264.24</v>
      </c>
      <c r="H1856">
        <f t="shared" si="371"/>
        <v>-2.4501959804510874E-4</v>
      </c>
      <c r="I1856" t="str">
        <f t="shared" si="365"/>
        <v>2017-06</v>
      </c>
      <c r="K1856">
        <v>12713.58</v>
      </c>
      <c r="L1856">
        <f t="shared" si="372"/>
        <v>3.2372112645772718E-3</v>
      </c>
      <c r="M1856" t="str">
        <f t="shared" si="366"/>
        <v>2017-06</v>
      </c>
      <c r="O1856">
        <v>8596.8463499999998</v>
      </c>
      <c r="P1856">
        <f t="shared" si="373"/>
        <v>1.7295762228938161E-3</v>
      </c>
      <c r="Q1856" t="str">
        <f t="shared" si="367"/>
        <v>2017-06</v>
      </c>
      <c r="S1856">
        <v>10953.1</v>
      </c>
      <c r="T1856">
        <f t="shared" si="374"/>
        <v>7.459438569534212E-3</v>
      </c>
      <c r="U1856" t="str">
        <f t="shared" si="368"/>
        <v>2017-06</v>
      </c>
      <c r="W1856">
        <v>21042.41</v>
      </c>
      <c r="X1856">
        <f t="shared" si="375"/>
        <v>1.4480061684841498E-2</v>
      </c>
      <c r="Y1856">
        <f t="shared" si="376"/>
        <v>1.4585405626157491E-2</v>
      </c>
      <c r="Z1856" t="str">
        <f t="shared" si="369"/>
        <v>2017-06</v>
      </c>
    </row>
    <row r="1857" spans="1:26" x14ac:dyDescent="0.35">
      <c r="A1857" s="1">
        <v>42895</v>
      </c>
      <c r="C1857">
        <v>3586.07</v>
      </c>
      <c r="D1857">
        <f t="shared" si="370"/>
        <v>6.2070563413206279E-3</v>
      </c>
      <c r="E1857" t="str">
        <f t="shared" si="364"/>
        <v>2017-06</v>
      </c>
      <c r="G1857">
        <v>5299.71</v>
      </c>
      <c r="H1857">
        <f t="shared" si="371"/>
        <v>6.7153163910480089E-3</v>
      </c>
      <c r="I1857" t="str">
        <f t="shared" si="365"/>
        <v>2017-06</v>
      </c>
      <c r="K1857">
        <v>12815.72</v>
      </c>
      <c r="L1857">
        <f t="shared" si="372"/>
        <v>8.001828878596946E-3</v>
      </c>
      <c r="M1857" t="str">
        <f t="shared" si="366"/>
        <v>2017-06</v>
      </c>
      <c r="O1857">
        <v>8563.8671400000003</v>
      </c>
      <c r="P1857">
        <f t="shared" si="373"/>
        <v>-3.8435756904358015E-3</v>
      </c>
      <c r="Q1857" t="str">
        <f t="shared" si="367"/>
        <v>2017-06</v>
      </c>
      <c r="S1857">
        <v>10978.3</v>
      </c>
      <c r="T1857">
        <f t="shared" si="374"/>
        <v>2.2980759176723046E-3</v>
      </c>
      <c r="U1857" t="str">
        <f t="shared" si="368"/>
        <v>2017-06</v>
      </c>
      <c r="W1857">
        <v>21122.42</v>
      </c>
      <c r="X1857">
        <f t="shared" si="375"/>
        <v>3.7951105711121142E-3</v>
      </c>
      <c r="Y1857">
        <f t="shared" si="376"/>
        <v>3.8023211219626648E-3</v>
      </c>
      <c r="Z1857" t="str">
        <f t="shared" si="369"/>
        <v>2017-06</v>
      </c>
    </row>
    <row r="1858" spans="1:26" x14ac:dyDescent="0.35">
      <c r="A1858" s="1">
        <v>42898</v>
      </c>
      <c r="C1858">
        <v>3543.95</v>
      </c>
      <c r="D1858">
        <f t="shared" si="370"/>
        <v>-1.1814971058198948E-2</v>
      </c>
      <c r="E1858" t="str">
        <f t="shared" si="364"/>
        <v>2017-06</v>
      </c>
      <c r="G1858">
        <v>5240.59</v>
      </c>
      <c r="H1858">
        <f t="shared" si="371"/>
        <v>-1.1218014665505815E-2</v>
      </c>
      <c r="I1858" t="str">
        <f t="shared" si="365"/>
        <v>2017-06</v>
      </c>
      <c r="K1858">
        <v>12690.44</v>
      </c>
      <c r="L1858">
        <f t="shared" si="372"/>
        <v>-9.8235883009061328E-3</v>
      </c>
      <c r="M1858" t="str">
        <f t="shared" si="366"/>
        <v>2017-06</v>
      </c>
      <c r="O1858">
        <v>8485.9042200000004</v>
      </c>
      <c r="P1858">
        <f t="shared" si="373"/>
        <v>-9.1453969374113708E-3</v>
      </c>
      <c r="Q1858" t="str">
        <f t="shared" si="367"/>
        <v>2017-06</v>
      </c>
      <c r="S1858">
        <v>10842.4</v>
      </c>
      <c r="T1858">
        <f t="shared" si="374"/>
        <v>-1.2456223416678994E-2</v>
      </c>
      <c r="U1858" t="str">
        <f t="shared" si="368"/>
        <v>2017-06</v>
      </c>
      <c r="W1858">
        <v>20910.23</v>
      </c>
      <c r="X1858">
        <f t="shared" si="375"/>
        <v>-1.0096522705417473E-2</v>
      </c>
      <c r="Y1858">
        <f t="shared" si="376"/>
        <v>-1.0045723927466584E-2</v>
      </c>
      <c r="Z1858" t="str">
        <f t="shared" si="369"/>
        <v>2017-06</v>
      </c>
    </row>
    <row r="1859" spans="1:26" x14ac:dyDescent="0.35">
      <c r="A1859" s="1">
        <v>42899</v>
      </c>
      <c r="C1859">
        <v>3557.87</v>
      </c>
      <c r="D1859">
        <f t="shared" si="370"/>
        <v>3.920126904419818E-3</v>
      </c>
      <c r="E1859" t="str">
        <f t="shared" si="364"/>
        <v>2017-06</v>
      </c>
      <c r="G1859">
        <v>5261.74</v>
      </c>
      <c r="H1859">
        <f t="shared" si="371"/>
        <v>4.0276831125426391E-3</v>
      </c>
      <c r="I1859" t="str">
        <f t="shared" si="365"/>
        <v>2017-06</v>
      </c>
      <c r="K1859">
        <v>12764.98</v>
      </c>
      <c r="L1859">
        <f t="shared" si="372"/>
        <v>5.8565298119983436E-3</v>
      </c>
      <c r="M1859" t="str">
        <f t="shared" si="366"/>
        <v>2017-06</v>
      </c>
      <c r="O1859">
        <v>8532.9055000000008</v>
      </c>
      <c r="P1859">
        <f t="shared" si="373"/>
        <v>5.5234649506929251E-3</v>
      </c>
      <c r="Q1859" t="str">
        <f t="shared" si="367"/>
        <v>2017-06</v>
      </c>
      <c r="S1859">
        <v>10882.1</v>
      </c>
      <c r="T1859">
        <f t="shared" si="374"/>
        <v>3.6548637890681272E-3</v>
      </c>
      <c r="U1859" t="str">
        <f t="shared" si="368"/>
        <v>2017-06</v>
      </c>
      <c r="W1859">
        <v>21088.78</v>
      </c>
      <c r="X1859">
        <f t="shared" si="375"/>
        <v>8.5026325946492703E-3</v>
      </c>
      <c r="Y1859">
        <f t="shared" si="376"/>
        <v>8.5388826426107834E-3</v>
      </c>
      <c r="Z1859" t="str">
        <f t="shared" si="369"/>
        <v>2017-06</v>
      </c>
    </row>
    <row r="1860" spans="1:26" x14ac:dyDescent="0.35">
      <c r="A1860" s="1">
        <v>42900</v>
      </c>
      <c r="C1860">
        <v>3547.15</v>
      </c>
      <c r="D1860">
        <f t="shared" si="370"/>
        <v>-3.0175870397384538E-3</v>
      </c>
      <c r="E1860" t="str">
        <f t="shared" ref="E1860:E1923" si="377">_xlfn.CONCAT(YEAR(A1860),"-",TEXT(MONTH(A1860),"00"))</f>
        <v>2017-06</v>
      </c>
      <c r="G1860">
        <v>5243.29</v>
      </c>
      <c r="H1860">
        <f t="shared" si="371"/>
        <v>-3.5126066218362502E-3</v>
      </c>
      <c r="I1860" t="str">
        <f t="shared" ref="I1860:I1923" si="378">_xlfn.CONCAT(YEAR(A1860),"-",TEXT(MONTH(A1860),"00"))</f>
        <v>2017-06</v>
      </c>
      <c r="K1860">
        <v>12805.95</v>
      </c>
      <c r="L1860">
        <f t="shared" si="372"/>
        <v>3.2044227611408636E-3</v>
      </c>
      <c r="M1860" t="str">
        <f t="shared" ref="M1860:M1923" si="379">_xlfn.CONCAT(YEAR(A1860),"-",TEXT(MONTH(A1860),"00"))</f>
        <v>2017-06</v>
      </c>
      <c r="O1860">
        <v>8483.5401399999992</v>
      </c>
      <c r="P1860">
        <f t="shared" si="373"/>
        <v>-5.8020928144157241E-3</v>
      </c>
      <c r="Q1860" t="str">
        <f t="shared" ref="Q1860:Q1923" si="380">_xlfn.CONCAT(YEAR(A1860),"-",TEXT(MONTH(A1860),"00"))</f>
        <v>2017-06</v>
      </c>
      <c r="S1860">
        <v>10775.8</v>
      </c>
      <c r="T1860">
        <f t="shared" si="374"/>
        <v>-9.8163583353439825E-3</v>
      </c>
      <c r="U1860" t="str">
        <f t="shared" ref="U1860:U1923" si="381">_xlfn.CONCAT(YEAR(A1860),"-",TEXT(MONTH(A1860),"00"))</f>
        <v>2017-06</v>
      </c>
      <c r="W1860">
        <v>20960.55</v>
      </c>
      <c r="X1860">
        <f t="shared" si="375"/>
        <v>-6.099045929875333E-3</v>
      </c>
      <c r="Y1860">
        <f t="shared" si="376"/>
        <v>-6.0804845040822453E-3</v>
      </c>
      <c r="Z1860" t="str">
        <f t="shared" ref="Z1860:Z1923" si="382">_xlfn.CONCAT(YEAR(A1860),"-",TEXT(MONTH(A1860),"00"))</f>
        <v>2017-06</v>
      </c>
    </row>
    <row r="1861" spans="1:26" x14ac:dyDescent="0.35">
      <c r="A1861" s="1">
        <v>42901</v>
      </c>
      <c r="C1861">
        <v>3525.46</v>
      </c>
      <c r="D1861">
        <f t="shared" ref="D1861:D1924" si="383">LN(C1861/C1860)</f>
        <v>-6.1335399516365434E-3</v>
      </c>
      <c r="E1861" t="str">
        <f t="shared" si="377"/>
        <v>2017-06</v>
      </c>
      <c r="G1861">
        <v>5216.88</v>
      </c>
      <c r="H1861">
        <f t="shared" ref="H1861:H1924" si="384">LN(G1861/G1860)</f>
        <v>-5.049641854533396E-3</v>
      </c>
      <c r="I1861" t="str">
        <f t="shared" si="378"/>
        <v>2017-06</v>
      </c>
      <c r="K1861">
        <v>12691.81</v>
      </c>
      <c r="L1861">
        <f t="shared" ref="L1861:L1924" si="385">LN(K1861/K1860)</f>
        <v>-8.9530031201686313E-3</v>
      </c>
      <c r="M1861" t="str">
        <f t="shared" si="379"/>
        <v>2017-06</v>
      </c>
      <c r="O1861">
        <v>8490.8678600000003</v>
      </c>
      <c r="P1861">
        <f t="shared" ref="P1861:P1924" si="386">LN(O1861/O1860)</f>
        <v>8.6338450863146846E-4</v>
      </c>
      <c r="Q1861" t="str">
        <f t="shared" si="380"/>
        <v>2017-06</v>
      </c>
      <c r="S1861">
        <v>10699.6</v>
      </c>
      <c r="T1861">
        <f t="shared" ref="T1861:T1924" si="387">LN(S1861/S1860)</f>
        <v>-7.0965215818711942E-3</v>
      </c>
      <c r="U1861" t="str">
        <f t="shared" si="381"/>
        <v>2017-06</v>
      </c>
      <c r="W1861">
        <v>20847.509999999998</v>
      </c>
      <c r="X1861">
        <f t="shared" ref="X1861:X1924" si="388">LN(W1861/W1860)</f>
        <v>-5.4075829138717849E-3</v>
      </c>
      <c r="Y1861">
        <f t="shared" ref="Y1861:Y1924" si="389">(W1861-W1860)/W1860</f>
        <v>-5.3929882565104861E-3</v>
      </c>
      <c r="Z1861" t="str">
        <f t="shared" si="382"/>
        <v>2017-06</v>
      </c>
    </row>
    <row r="1862" spans="1:26" x14ac:dyDescent="0.35">
      <c r="A1862" s="1">
        <v>42902</v>
      </c>
      <c r="C1862">
        <v>3543.88</v>
      </c>
      <c r="D1862">
        <f t="shared" si="383"/>
        <v>5.211247920212313E-3</v>
      </c>
      <c r="E1862" t="str">
        <f t="shared" si="377"/>
        <v>2017-06</v>
      </c>
      <c r="G1862">
        <v>5263.31</v>
      </c>
      <c r="H1862">
        <f t="shared" si="384"/>
        <v>8.8605843534714981E-3</v>
      </c>
      <c r="I1862" t="str">
        <f t="shared" si="378"/>
        <v>2017-06</v>
      </c>
      <c r="K1862">
        <v>12752.73</v>
      </c>
      <c r="L1862">
        <f t="shared" si="385"/>
        <v>4.7884627825657798E-3</v>
      </c>
      <c r="M1862" t="str">
        <f t="shared" si="379"/>
        <v>2017-06</v>
      </c>
      <c r="O1862">
        <v>8528.1400400000002</v>
      </c>
      <c r="P1862">
        <f t="shared" si="386"/>
        <v>4.3800719534271317E-3</v>
      </c>
      <c r="Q1862" t="str">
        <f t="shared" si="380"/>
        <v>2017-06</v>
      </c>
      <c r="S1862">
        <v>10759.4</v>
      </c>
      <c r="T1862">
        <f t="shared" si="387"/>
        <v>5.573433505569254E-3</v>
      </c>
      <c r="U1862" t="str">
        <f t="shared" si="381"/>
        <v>2017-06</v>
      </c>
      <c r="W1862">
        <v>20940.73</v>
      </c>
      <c r="X1862">
        <f t="shared" si="388"/>
        <v>4.4615496911060608E-3</v>
      </c>
      <c r="Y1862">
        <f t="shared" si="389"/>
        <v>4.4715172219608563E-3</v>
      </c>
      <c r="Z1862" t="str">
        <f t="shared" si="382"/>
        <v>2017-06</v>
      </c>
    </row>
    <row r="1863" spans="1:26" x14ac:dyDescent="0.35">
      <c r="A1863" s="1">
        <v>42905</v>
      </c>
      <c r="C1863">
        <v>3579.58</v>
      </c>
      <c r="D1863">
        <f t="shared" si="383"/>
        <v>1.002330297008514E-2</v>
      </c>
      <c r="E1863" t="str">
        <f t="shared" si="377"/>
        <v>2017-06</v>
      </c>
      <c r="G1863">
        <v>5310.72</v>
      </c>
      <c r="H1863">
        <f t="shared" si="384"/>
        <v>8.9673128782025661E-3</v>
      </c>
      <c r="I1863" t="str">
        <f t="shared" si="378"/>
        <v>2017-06</v>
      </c>
      <c r="K1863">
        <v>12888.95</v>
      </c>
      <c r="L1863">
        <f t="shared" si="385"/>
        <v>1.0624988806633181E-2</v>
      </c>
      <c r="M1863" t="str">
        <f t="shared" si="379"/>
        <v>2017-06</v>
      </c>
      <c r="O1863">
        <v>8592.4755499999992</v>
      </c>
      <c r="P1863">
        <f t="shared" si="386"/>
        <v>7.5155957435898832E-3</v>
      </c>
      <c r="Q1863" t="str">
        <f t="shared" si="380"/>
        <v>2017-06</v>
      </c>
      <c r="S1863">
        <v>10848.9</v>
      </c>
      <c r="T1863">
        <f t="shared" si="387"/>
        <v>8.2839012613460678E-3</v>
      </c>
      <c r="U1863" t="str">
        <f t="shared" si="381"/>
        <v>2017-06</v>
      </c>
      <c r="W1863">
        <v>21014.25</v>
      </c>
      <c r="X1863">
        <f t="shared" si="388"/>
        <v>3.5047126826849542E-3</v>
      </c>
      <c r="Y1863">
        <f t="shared" si="389"/>
        <v>3.5108613692073024E-3</v>
      </c>
      <c r="Z1863" t="str">
        <f t="shared" si="382"/>
        <v>2017-06</v>
      </c>
    </row>
    <row r="1864" spans="1:26" x14ac:dyDescent="0.35">
      <c r="A1864" s="1">
        <v>42906</v>
      </c>
      <c r="C1864">
        <v>3560.66</v>
      </c>
      <c r="D1864">
        <f t="shared" si="383"/>
        <v>-5.299554155349169E-3</v>
      </c>
      <c r="E1864" t="str">
        <f t="shared" si="377"/>
        <v>2017-06</v>
      </c>
      <c r="G1864">
        <v>5293.65</v>
      </c>
      <c r="H1864">
        <f t="shared" si="384"/>
        <v>-3.2194302431597095E-3</v>
      </c>
      <c r="I1864" t="str">
        <f t="shared" si="378"/>
        <v>2017-06</v>
      </c>
      <c r="K1864">
        <v>12814.79</v>
      </c>
      <c r="L1864">
        <f t="shared" si="385"/>
        <v>-5.7703825028799739E-3</v>
      </c>
      <c r="M1864" t="str">
        <f t="shared" si="379"/>
        <v>2017-06</v>
      </c>
      <c r="O1864">
        <v>8480.2664000000004</v>
      </c>
      <c r="P1864">
        <f t="shared" si="386"/>
        <v>-1.3145019828295062E-2</v>
      </c>
      <c r="Q1864" t="str">
        <f t="shared" si="380"/>
        <v>2017-06</v>
      </c>
      <c r="S1864">
        <v>10746.1</v>
      </c>
      <c r="T1864">
        <f t="shared" si="387"/>
        <v>-9.5207943069059945E-3</v>
      </c>
      <c r="U1864" t="str">
        <f t="shared" si="381"/>
        <v>2017-06</v>
      </c>
      <c r="W1864">
        <v>20810.02</v>
      </c>
      <c r="X1864">
        <f t="shared" si="388"/>
        <v>-9.7661775450142516E-3</v>
      </c>
      <c r="Y1864">
        <f t="shared" si="389"/>
        <v>-9.7186433015691524E-3</v>
      </c>
      <c r="Z1864" t="str">
        <f t="shared" si="382"/>
        <v>2017-06</v>
      </c>
    </row>
    <row r="1865" spans="1:26" x14ac:dyDescent="0.35">
      <c r="A1865" s="1">
        <v>42907</v>
      </c>
      <c r="C1865">
        <v>3554.35</v>
      </c>
      <c r="D1865">
        <f t="shared" si="383"/>
        <v>-1.7737154703384849E-3</v>
      </c>
      <c r="E1865" t="str">
        <f t="shared" si="377"/>
        <v>2017-06</v>
      </c>
      <c r="G1865">
        <v>5274.26</v>
      </c>
      <c r="H1865">
        <f t="shared" si="384"/>
        <v>-3.6696038779274959E-3</v>
      </c>
      <c r="I1865" t="str">
        <f t="shared" si="378"/>
        <v>2017-06</v>
      </c>
      <c r="K1865">
        <v>12774.26</v>
      </c>
      <c r="L1865">
        <f t="shared" si="385"/>
        <v>-3.1677638593295716E-3</v>
      </c>
      <c r="M1865" t="str">
        <f t="shared" si="379"/>
        <v>2017-06</v>
      </c>
      <c r="O1865">
        <v>8458.0222099999992</v>
      </c>
      <c r="P1865">
        <f t="shared" si="386"/>
        <v>-2.6264994415663395E-3</v>
      </c>
      <c r="Q1865" t="str">
        <f t="shared" si="380"/>
        <v>2017-06</v>
      </c>
      <c r="S1865">
        <v>10740.7</v>
      </c>
      <c r="T1865">
        <f t="shared" si="387"/>
        <v>-5.0263418598290059E-4</v>
      </c>
      <c r="U1865" t="str">
        <f t="shared" si="381"/>
        <v>2017-06</v>
      </c>
      <c r="W1865">
        <v>21071.91</v>
      </c>
      <c r="X1865">
        <f t="shared" si="388"/>
        <v>1.2506272439702367E-2</v>
      </c>
      <c r="Y1865">
        <f t="shared" si="389"/>
        <v>1.2584802897834764E-2</v>
      </c>
      <c r="Z1865" t="str">
        <f t="shared" si="382"/>
        <v>2017-06</v>
      </c>
    </row>
    <row r="1866" spans="1:26" x14ac:dyDescent="0.35">
      <c r="A1866" s="1">
        <v>42908</v>
      </c>
      <c r="C1866">
        <v>3555.76</v>
      </c>
      <c r="D1866">
        <f t="shared" si="383"/>
        <v>3.9661834162448131E-4</v>
      </c>
      <c r="E1866" t="str">
        <f t="shared" si="377"/>
        <v>2017-06</v>
      </c>
      <c r="G1866">
        <v>5281.93</v>
      </c>
      <c r="H1866">
        <f t="shared" si="384"/>
        <v>1.4531760701052027E-3</v>
      </c>
      <c r="I1866" t="str">
        <f t="shared" si="378"/>
        <v>2017-06</v>
      </c>
      <c r="K1866">
        <v>12794</v>
      </c>
      <c r="L1866">
        <f t="shared" si="385"/>
        <v>1.5441022519399959E-3</v>
      </c>
      <c r="M1866" t="str">
        <f t="shared" si="379"/>
        <v>2017-06</v>
      </c>
      <c r="O1866">
        <v>8446.8883499999993</v>
      </c>
      <c r="P1866">
        <f t="shared" si="386"/>
        <v>-1.3172340155661983E-3</v>
      </c>
      <c r="Q1866" t="str">
        <f t="shared" si="380"/>
        <v>2017-06</v>
      </c>
      <c r="S1866">
        <v>10709.9</v>
      </c>
      <c r="T1866">
        <f t="shared" si="387"/>
        <v>-2.8717165176425702E-3</v>
      </c>
      <c r="U1866" t="str">
        <f t="shared" si="381"/>
        <v>2017-06</v>
      </c>
      <c r="W1866">
        <v>20930.259999999998</v>
      </c>
      <c r="X1866">
        <f t="shared" si="388"/>
        <v>-6.7449151801892652E-3</v>
      </c>
      <c r="Y1866">
        <f t="shared" si="389"/>
        <v>-6.7222192957354819E-3</v>
      </c>
      <c r="Z1866" t="str">
        <f t="shared" si="382"/>
        <v>2017-06</v>
      </c>
    </row>
    <row r="1867" spans="1:26" x14ac:dyDescent="0.35">
      <c r="A1867" s="1">
        <v>42909</v>
      </c>
      <c r="C1867">
        <v>3543.68</v>
      </c>
      <c r="D1867">
        <f t="shared" si="383"/>
        <v>-3.403088598035025E-3</v>
      </c>
      <c r="E1867" t="str">
        <f t="shared" si="377"/>
        <v>2017-06</v>
      </c>
      <c r="G1867">
        <v>5266.12</v>
      </c>
      <c r="H1867">
        <f t="shared" si="384"/>
        <v>-2.9977127221476074E-3</v>
      </c>
      <c r="I1867" t="str">
        <f t="shared" si="378"/>
        <v>2017-06</v>
      </c>
      <c r="K1867">
        <v>12733.41</v>
      </c>
      <c r="L1867">
        <f t="shared" si="385"/>
        <v>-4.7470631592435395E-3</v>
      </c>
      <c r="M1867" t="str">
        <f t="shared" si="379"/>
        <v>2017-06</v>
      </c>
      <c r="O1867">
        <v>8431.9604500000005</v>
      </c>
      <c r="P1867">
        <f t="shared" si="386"/>
        <v>-1.7688296244643725E-3</v>
      </c>
      <c r="Q1867" t="str">
        <f t="shared" si="380"/>
        <v>2017-06</v>
      </c>
      <c r="S1867">
        <v>10630.8</v>
      </c>
      <c r="T1867">
        <f t="shared" si="387"/>
        <v>-7.4130991240562369E-3</v>
      </c>
      <c r="U1867" t="str">
        <f t="shared" si="381"/>
        <v>2017-06</v>
      </c>
      <c r="W1867">
        <v>20833.88</v>
      </c>
      <c r="X1867">
        <f t="shared" si="388"/>
        <v>-4.6154510110164972E-3</v>
      </c>
      <c r="Y1867">
        <f t="shared" si="389"/>
        <v>-4.6048161847964328E-3</v>
      </c>
      <c r="Z1867" t="str">
        <f t="shared" si="382"/>
        <v>2017-06</v>
      </c>
    </row>
    <row r="1868" spans="1:26" x14ac:dyDescent="0.35">
      <c r="A1868" s="1">
        <v>42912</v>
      </c>
      <c r="C1868">
        <v>3561.76</v>
      </c>
      <c r="D1868">
        <f t="shared" si="383"/>
        <v>5.0890695074714493E-3</v>
      </c>
      <c r="E1868" t="str">
        <f t="shared" si="377"/>
        <v>2017-06</v>
      </c>
      <c r="G1868">
        <v>5295.75</v>
      </c>
      <c r="H1868">
        <f t="shared" si="384"/>
        <v>5.6107635733018942E-3</v>
      </c>
      <c r="I1868" t="str">
        <f t="shared" si="378"/>
        <v>2017-06</v>
      </c>
      <c r="K1868">
        <v>12770.83</v>
      </c>
      <c r="L1868">
        <f t="shared" si="385"/>
        <v>2.9344161481648823E-3</v>
      </c>
      <c r="M1868" t="str">
        <f t="shared" si="379"/>
        <v>2017-06</v>
      </c>
      <c r="O1868">
        <v>8468.5052199999991</v>
      </c>
      <c r="P1868">
        <f t="shared" si="386"/>
        <v>4.3247124276983113E-3</v>
      </c>
      <c r="Q1868" t="str">
        <f t="shared" si="380"/>
        <v>2017-06</v>
      </c>
      <c r="S1868">
        <v>10696.6</v>
      </c>
      <c r="T1868">
        <f t="shared" si="387"/>
        <v>6.1704857392092301E-3</v>
      </c>
      <c r="U1868" t="str">
        <f t="shared" si="381"/>
        <v>2017-06</v>
      </c>
      <c r="W1868">
        <v>21001.95</v>
      </c>
      <c r="X1868">
        <f t="shared" si="388"/>
        <v>8.0347828253391641E-3</v>
      </c>
      <c r="Y1868">
        <f t="shared" si="389"/>
        <v>8.0671483180281209E-3</v>
      </c>
      <c r="Z1868" t="str">
        <f t="shared" si="382"/>
        <v>2017-06</v>
      </c>
    </row>
    <row r="1869" spans="1:26" x14ac:dyDescent="0.35">
      <c r="A1869" s="1">
        <v>42913</v>
      </c>
      <c r="C1869">
        <v>3538.32</v>
      </c>
      <c r="D1869">
        <f t="shared" si="383"/>
        <v>-6.6027664923450167E-3</v>
      </c>
      <c r="E1869" t="str">
        <f t="shared" si="377"/>
        <v>2017-06</v>
      </c>
      <c r="G1869">
        <v>5258.58</v>
      </c>
      <c r="H1869">
        <f t="shared" si="384"/>
        <v>-7.0435837562907843E-3</v>
      </c>
      <c r="I1869" t="str">
        <f t="shared" si="378"/>
        <v>2017-06</v>
      </c>
      <c r="K1869">
        <v>12671.02</v>
      </c>
      <c r="L1869">
        <f t="shared" si="385"/>
        <v>-7.8461677939545907E-3</v>
      </c>
      <c r="M1869" t="str">
        <f t="shared" si="379"/>
        <v>2017-06</v>
      </c>
      <c r="O1869">
        <v>8400.4587599999995</v>
      </c>
      <c r="P1869">
        <f t="shared" si="386"/>
        <v>-8.067695107132667E-3</v>
      </c>
      <c r="Q1869" t="str">
        <f t="shared" si="380"/>
        <v>2017-06</v>
      </c>
      <c r="S1869">
        <v>10647.9</v>
      </c>
      <c r="T1869">
        <f t="shared" si="387"/>
        <v>-4.5632443493597435E-3</v>
      </c>
      <c r="U1869" t="str">
        <f t="shared" si="381"/>
        <v>2017-06</v>
      </c>
      <c r="W1869">
        <v>20790.86</v>
      </c>
      <c r="X1869">
        <f t="shared" si="388"/>
        <v>-1.0101823499586021E-2</v>
      </c>
      <c r="Y1869">
        <f t="shared" si="389"/>
        <v>-1.0050971457412294E-2</v>
      </c>
      <c r="Z1869" t="str">
        <f t="shared" si="382"/>
        <v>2017-06</v>
      </c>
    </row>
    <row r="1870" spans="1:26" x14ac:dyDescent="0.35">
      <c r="A1870" s="1">
        <v>42914</v>
      </c>
      <c r="C1870">
        <v>3535.7</v>
      </c>
      <c r="D1870">
        <f t="shared" si="383"/>
        <v>-7.4073868035384651E-4</v>
      </c>
      <c r="E1870" t="str">
        <f t="shared" si="377"/>
        <v>2017-06</v>
      </c>
      <c r="G1870">
        <v>5252.9</v>
      </c>
      <c r="H1870">
        <f t="shared" si="384"/>
        <v>-1.0807232764246362E-3</v>
      </c>
      <c r="I1870" t="str">
        <f t="shared" si="378"/>
        <v>2017-06</v>
      </c>
      <c r="K1870">
        <v>12647.27</v>
      </c>
      <c r="L1870">
        <f t="shared" si="385"/>
        <v>-1.8761146164518218E-3</v>
      </c>
      <c r="M1870" t="str">
        <f t="shared" si="379"/>
        <v>2017-06</v>
      </c>
      <c r="O1870">
        <v>8396.1717200000003</v>
      </c>
      <c r="P1870">
        <f t="shared" si="386"/>
        <v>-5.1046429796672537E-4</v>
      </c>
      <c r="Q1870" t="str">
        <f t="shared" si="380"/>
        <v>2017-06</v>
      </c>
      <c r="S1870">
        <v>10702.7</v>
      </c>
      <c r="T1870">
        <f t="shared" si="387"/>
        <v>5.1333564712723037E-3</v>
      </c>
      <c r="U1870" t="str">
        <f t="shared" si="381"/>
        <v>2017-06</v>
      </c>
      <c r="W1870">
        <v>21047.8</v>
      </c>
      <c r="X1870">
        <f t="shared" si="388"/>
        <v>1.2282574546649959E-2</v>
      </c>
      <c r="Y1870">
        <f t="shared" si="389"/>
        <v>1.2358315144250823E-2</v>
      </c>
      <c r="Z1870" t="str">
        <f t="shared" si="382"/>
        <v>2017-06</v>
      </c>
    </row>
    <row r="1871" spans="1:26" x14ac:dyDescent="0.35">
      <c r="A1871" s="1">
        <v>42915</v>
      </c>
      <c r="C1871">
        <v>3471.33</v>
      </c>
      <c r="D1871">
        <f t="shared" si="383"/>
        <v>-1.8373493720869393E-2</v>
      </c>
      <c r="E1871" t="str">
        <f t="shared" si="377"/>
        <v>2017-06</v>
      </c>
      <c r="G1871">
        <v>5154.3500000000004</v>
      </c>
      <c r="H1871">
        <f t="shared" si="384"/>
        <v>-1.8939286704568226E-2</v>
      </c>
      <c r="I1871" t="str">
        <f t="shared" si="378"/>
        <v>2017-06</v>
      </c>
      <c r="K1871">
        <v>12416.19</v>
      </c>
      <c r="L1871">
        <f t="shared" si="385"/>
        <v>-1.8440115447633361E-2</v>
      </c>
      <c r="M1871" t="str">
        <f t="shared" si="379"/>
        <v>2017-06</v>
      </c>
      <c r="O1871">
        <v>8352.8702099999991</v>
      </c>
      <c r="P1871">
        <f t="shared" si="386"/>
        <v>-5.1706368226716948E-3</v>
      </c>
      <c r="Q1871" t="str">
        <f t="shared" si="380"/>
        <v>2017-06</v>
      </c>
      <c r="S1871">
        <v>10531.1</v>
      </c>
      <c r="T1871">
        <f t="shared" si="387"/>
        <v>-1.6163261957215794E-2</v>
      </c>
      <c r="U1871" t="str">
        <f t="shared" si="381"/>
        <v>2017-06</v>
      </c>
      <c r="W1871">
        <v>20704.650000000001</v>
      </c>
      <c r="X1871">
        <f t="shared" si="388"/>
        <v>-1.6437728877169582E-2</v>
      </c>
      <c r="Y1871">
        <f t="shared" si="389"/>
        <v>-1.6303366622639794E-2</v>
      </c>
      <c r="Z1871" t="str">
        <f t="shared" si="382"/>
        <v>2017-06</v>
      </c>
    </row>
    <row r="1872" spans="1:26" x14ac:dyDescent="0.35">
      <c r="A1872" s="1">
        <v>42916</v>
      </c>
      <c r="C1872">
        <v>3441.88</v>
      </c>
      <c r="D1872">
        <f t="shared" si="383"/>
        <v>-8.5199720961918728E-3</v>
      </c>
      <c r="E1872" t="str">
        <f t="shared" si="377"/>
        <v>2017-06</v>
      </c>
      <c r="G1872">
        <v>5120.68</v>
      </c>
      <c r="H1872">
        <f t="shared" si="384"/>
        <v>-6.5537756125278665E-3</v>
      </c>
      <c r="I1872" t="str">
        <f t="shared" si="378"/>
        <v>2017-06</v>
      </c>
      <c r="K1872">
        <v>12325.12</v>
      </c>
      <c r="L1872">
        <f t="shared" si="385"/>
        <v>-7.3618099691545808E-3</v>
      </c>
      <c r="M1872" t="str">
        <f t="shared" si="379"/>
        <v>2017-06</v>
      </c>
      <c r="O1872">
        <v>8334.6939199999997</v>
      </c>
      <c r="P1872">
        <f t="shared" si="386"/>
        <v>-2.1784242501081217E-3</v>
      </c>
      <c r="Q1872" t="str">
        <f t="shared" si="380"/>
        <v>2017-06</v>
      </c>
      <c r="S1872">
        <v>10444.5</v>
      </c>
      <c r="T1872">
        <f t="shared" si="387"/>
        <v>-8.2572600591819083E-3</v>
      </c>
      <c r="U1872" t="str">
        <f t="shared" si="381"/>
        <v>2017-06</v>
      </c>
      <c r="W1872">
        <v>20584.23</v>
      </c>
      <c r="X1872">
        <f t="shared" si="388"/>
        <v>-5.8330640810327775E-3</v>
      </c>
      <c r="Y1872">
        <f t="shared" si="389"/>
        <v>-5.8160847925466932E-3</v>
      </c>
      <c r="Z1872" t="str">
        <f t="shared" si="382"/>
        <v>2017-06</v>
      </c>
    </row>
    <row r="1873" spans="1:26" x14ac:dyDescent="0.35">
      <c r="A1873" s="1">
        <v>42919</v>
      </c>
      <c r="C1873">
        <v>3491.81</v>
      </c>
      <c r="D1873">
        <f t="shared" si="383"/>
        <v>1.4402392686768663E-2</v>
      </c>
      <c r="E1873" t="str">
        <f t="shared" si="377"/>
        <v>2017-07</v>
      </c>
      <c r="G1873">
        <v>5195.72</v>
      </c>
      <c r="H1873">
        <f t="shared" si="384"/>
        <v>1.4547967017896032E-2</v>
      </c>
      <c r="I1873" t="str">
        <f t="shared" si="378"/>
        <v>2017-07</v>
      </c>
      <c r="K1873">
        <v>12475.31</v>
      </c>
      <c r="L1873">
        <f t="shared" si="385"/>
        <v>1.21120348385597E-2</v>
      </c>
      <c r="M1873" t="str">
        <f t="shared" si="379"/>
        <v>2017-07</v>
      </c>
      <c r="O1873">
        <v>8416.3912199999995</v>
      </c>
      <c r="P1873">
        <f t="shared" si="386"/>
        <v>9.75434690817727E-3</v>
      </c>
      <c r="Q1873" t="str">
        <f t="shared" si="380"/>
        <v>2017-07</v>
      </c>
      <c r="S1873">
        <v>10604.2</v>
      </c>
      <c r="T1873">
        <f t="shared" si="387"/>
        <v>1.5174624987584954E-2</v>
      </c>
      <c r="U1873" t="str">
        <f t="shared" si="381"/>
        <v>2017-07</v>
      </c>
      <c r="W1873">
        <v>21013.14</v>
      </c>
      <c r="X1873">
        <f t="shared" si="388"/>
        <v>2.0622707687390784E-2</v>
      </c>
      <c r="Y1873">
        <f t="shared" si="389"/>
        <v>2.083682508405706E-2</v>
      </c>
      <c r="Z1873" t="str">
        <f t="shared" si="382"/>
        <v>2017-07</v>
      </c>
    </row>
    <row r="1874" spans="1:26" x14ac:dyDescent="0.35">
      <c r="A1874" s="1">
        <v>42920</v>
      </c>
      <c r="C1874">
        <v>3479.47</v>
      </c>
      <c r="D1874">
        <f t="shared" si="383"/>
        <v>-3.5402430797297933E-3</v>
      </c>
      <c r="E1874" t="str">
        <f t="shared" si="377"/>
        <v>2017-07</v>
      </c>
      <c r="G1874">
        <v>5174.8999999999996</v>
      </c>
      <c r="H1874">
        <f t="shared" si="384"/>
        <v>-4.0151944572827617E-3</v>
      </c>
      <c r="I1874" t="str">
        <f t="shared" si="378"/>
        <v>2017-07</v>
      </c>
      <c r="K1874">
        <v>12437.13</v>
      </c>
      <c r="L1874">
        <f t="shared" si="385"/>
        <v>-3.0651377297426195E-3</v>
      </c>
      <c r="M1874" t="str">
        <f t="shared" si="379"/>
        <v>2017-07</v>
      </c>
      <c r="O1874">
        <v>8378.7254200000007</v>
      </c>
      <c r="P1874">
        <f t="shared" si="386"/>
        <v>-4.4853351071953108E-3</v>
      </c>
      <c r="Q1874" t="str">
        <f t="shared" si="380"/>
        <v>2017-07</v>
      </c>
      <c r="S1874">
        <v>10566.7</v>
      </c>
      <c r="T1874">
        <f t="shared" si="387"/>
        <v>-3.5426022718767413E-3</v>
      </c>
      <c r="U1874" t="str">
        <f t="shared" si="381"/>
        <v>2017-07</v>
      </c>
      <c r="W1874">
        <v>21031.05</v>
      </c>
      <c r="X1874">
        <f t="shared" si="388"/>
        <v>8.5196080996260666E-4</v>
      </c>
      <c r="Y1874">
        <f t="shared" si="389"/>
        <v>8.5232383165961183E-4</v>
      </c>
      <c r="Z1874" t="str">
        <f t="shared" si="382"/>
        <v>2017-07</v>
      </c>
    </row>
    <row r="1875" spans="1:26" x14ac:dyDescent="0.35">
      <c r="A1875" s="1">
        <v>42921</v>
      </c>
      <c r="C1875">
        <v>3478.41</v>
      </c>
      <c r="D1875">
        <f t="shared" si="383"/>
        <v>-3.0469051153526427E-4</v>
      </c>
      <c r="E1875" t="str">
        <f t="shared" si="377"/>
        <v>2017-07</v>
      </c>
      <c r="G1875">
        <v>5180.1000000000004</v>
      </c>
      <c r="H1875">
        <f t="shared" si="384"/>
        <v>1.0043458111268254E-3</v>
      </c>
      <c r="I1875" t="str">
        <f t="shared" si="378"/>
        <v>2017-07</v>
      </c>
      <c r="K1875">
        <v>12453.68</v>
      </c>
      <c r="L1875">
        <f t="shared" si="385"/>
        <v>1.3298082656936193E-3</v>
      </c>
      <c r="M1875" t="str">
        <f t="shared" si="379"/>
        <v>2017-07</v>
      </c>
      <c r="O1875">
        <v>8396.90661</v>
      </c>
      <c r="P1875">
        <f t="shared" si="386"/>
        <v>2.1675722364415534E-3</v>
      </c>
      <c r="Q1875" t="str">
        <f t="shared" si="380"/>
        <v>2017-07</v>
      </c>
      <c r="S1875">
        <v>10523.6</v>
      </c>
      <c r="T1875">
        <f t="shared" si="387"/>
        <v>-4.0871926904115135E-3</v>
      </c>
      <c r="U1875" t="str">
        <f t="shared" si="381"/>
        <v>2017-07</v>
      </c>
      <c r="W1875">
        <v>20939.39</v>
      </c>
      <c r="X1875">
        <f t="shared" si="388"/>
        <v>-4.3678429735059749E-3</v>
      </c>
      <c r="Y1875">
        <f t="shared" si="389"/>
        <v>-4.3583178205557904E-3</v>
      </c>
      <c r="Z1875" t="str">
        <f t="shared" si="382"/>
        <v>2017-07</v>
      </c>
    </row>
    <row r="1876" spans="1:26" x14ac:dyDescent="0.35">
      <c r="A1876" s="1">
        <v>42922</v>
      </c>
      <c r="C1876">
        <v>3462.06</v>
      </c>
      <c r="D1876">
        <f t="shared" si="383"/>
        <v>-4.7115051992579638E-3</v>
      </c>
      <c r="E1876" t="str">
        <f t="shared" si="377"/>
        <v>2017-07</v>
      </c>
      <c r="G1876">
        <v>5152.3999999999996</v>
      </c>
      <c r="H1876">
        <f t="shared" si="384"/>
        <v>-5.3617355645615757E-3</v>
      </c>
      <c r="I1876" t="str">
        <f t="shared" si="378"/>
        <v>2017-07</v>
      </c>
      <c r="K1876">
        <v>12381.25</v>
      </c>
      <c r="L1876">
        <f t="shared" si="385"/>
        <v>-5.8329300994595691E-3</v>
      </c>
      <c r="M1876" t="str">
        <f t="shared" si="379"/>
        <v>2017-07</v>
      </c>
      <c r="O1876">
        <v>8332.5030100000004</v>
      </c>
      <c r="P1876">
        <f t="shared" si="386"/>
        <v>-7.699484874537272E-3</v>
      </c>
      <c r="Q1876" t="str">
        <f t="shared" si="380"/>
        <v>2017-07</v>
      </c>
      <c r="S1876">
        <v>10498.4</v>
      </c>
      <c r="T1876">
        <f t="shared" si="387"/>
        <v>-2.3974894939307995E-3</v>
      </c>
      <c r="U1876" t="str">
        <f t="shared" si="381"/>
        <v>2017-07</v>
      </c>
      <c r="W1876">
        <v>21084.19</v>
      </c>
      <c r="X1876">
        <f t="shared" si="388"/>
        <v>6.8913963570814809E-3</v>
      </c>
      <c r="Y1876">
        <f t="shared" si="389"/>
        <v>6.9151966700080223E-3</v>
      </c>
      <c r="Z1876" t="str">
        <f t="shared" si="382"/>
        <v>2017-07</v>
      </c>
    </row>
    <row r="1877" spans="1:26" x14ac:dyDescent="0.35">
      <c r="A1877" s="1">
        <v>42923</v>
      </c>
      <c r="C1877">
        <v>3463.84</v>
      </c>
      <c r="D1877">
        <f t="shared" si="383"/>
        <v>5.140126306158872E-4</v>
      </c>
      <c r="E1877" t="str">
        <f t="shared" si="377"/>
        <v>2017-07</v>
      </c>
      <c r="G1877">
        <v>5145.16</v>
      </c>
      <c r="H1877">
        <f t="shared" si="384"/>
        <v>-1.4061585837731624E-3</v>
      </c>
      <c r="I1877" t="str">
        <f t="shared" si="378"/>
        <v>2017-07</v>
      </c>
      <c r="K1877">
        <v>12388.68</v>
      </c>
      <c r="L1877">
        <f t="shared" si="385"/>
        <v>5.9992097053505303E-4</v>
      </c>
      <c r="M1877" t="str">
        <f t="shared" si="379"/>
        <v>2017-07</v>
      </c>
      <c r="O1877">
        <v>8303.9363599999997</v>
      </c>
      <c r="P1877">
        <f t="shared" si="386"/>
        <v>-3.4342298181434519E-3</v>
      </c>
      <c r="Q1877" t="str">
        <f t="shared" si="380"/>
        <v>2017-07</v>
      </c>
      <c r="S1877">
        <v>10488.8</v>
      </c>
      <c r="T1877">
        <f t="shared" si="387"/>
        <v>-9.1484339688485098E-4</v>
      </c>
      <c r="U1877" t="str">
        <f t="shared" si="381"/>
        <v>2017-07</v>
      </c>
      <c r="W1877">
        <v>21015.1</v>
      </c>
      <c r="X1877">
        <f t="shared" si="388"/>
        <v>-3.282243573525571E-3</v>
      </c>
      <c r="Y1877">
        <f t="shared" si="389"/>
        <v>-3.2768629005904496E-3</v>
      </c>
      <c r="Z1877" t="str">
        <f t="shared" si="382"/>
        <v>2017-07</v>
      </c>
    </row>
    <row r="1878" spans="1:26" x14ac:dyDescent="0.35">
      <c r="A1878" s="1">
        <v>42926</v>
      </c>
      <c r="C1878">
        <v>3478.06</v>
      </c>
      <c r="D1878">
        <f t="shared" si="383"/>
        <v>4.0968668201531522E-3</v>
      </c>
      <c r="E1878" t="str">
        <f t="shared" si="377"/>
        <v>2017-07</v>
      </c>
      <c r="G1878">
        <v>5165.6400000000003</v>
      </c>
      <c r="H1878">
        <f t="shared" si="384"/>
        <v>3.9725388782658431E-3</v>
      </c>
      <c r="I1878" t="str">
        <f t="shared" si="378"/>
        <v>2017-07</v>
      </c>
      <c r="K1878">
        <v>12445.92</v>
      </c>
      <c r="L1878">
        <f t="shared" si="385"/>
        <v>4.6097059231514359E-3</v>
      </c>
      <c r="M1878" t="str">
        <f t="shared" si="379"/>
        <v>2017-07</v>
      </c>
      <c r="O1878">
        <v>8328.47019</v>
      </c>
      <c r="P1878">
        <f t="shared" si="386"/>
        <v>2.9501260349671108E-3</v>
      </c>
      <c r="Q1878" t="str">
        <f t="shared" si="380"/>
        <v>2017-07</v>
      </c>
      <c r="S1878">
        <v>10509.5</v>
      </c>
      <c r="T1878">
        <f t="shared" si="387"/>
        <v>1.9715888148427404E-3</v>
      </c>
      <c r="U1878" t="str">
        <f t="shared" si="381"/>
        <v>2017-07</v>
      </c>
      <c r="W1878">
        <v>21190.67</v>
      </c>
      <c r="X1878">
        <f t="shared" si="388"/>
        <v>8.3197635168204605E-3</v>
      </c>
      <c r="Y1878">
        <f t="shared" si="389"/>
        <v>8.3544689294840248E-3</v>
      </c>
      <c r="Z1878" t="str">
        <f t="shared" si="382"/>
        <v>2017-07</v>
      </c>
    </row>
    <row r="1879" spans="1:26" x14ac:dyDescent="0.35">
      <c r="A1879" s="1">
        <v>42927</v>
      </c>
      <c r="C1879">
        <v>3464.48</v>
      </c>
      <c r="D1879">
        <f t="shared" si="383"/>
        <v>-3.9121178472939395E-3</v>
      </c>
      <c r="E1879" t="str">
        <f t="shared" si="377"/>
        <v>2017-07</v>
      </c>
      <c r="G1879">
        <v>5140.6000000000004</v>
      </c>
      <c r="H1879">
        <f t="shared" si="384"/>
        <v>-4.8592016622980962E-3</v>
      </c>
      <c r="I1879" t="str">
        <f t="shared" si="378"/>
        <v>2017-07</v>
      </c>
      <c r="K1879">
        <v>12437.02</v>
      </c>
      <c r="L1879">
        <f t="shared" si="385"/>
        <v>-7.1534958325094331E-4</v>
      </c>
      <c r="M1879" t="str">
        <f t="shared" si="379"/>
        <v>2017-07</v>
      </c>
      <c r="O1879">
        <v>8232.5250199999991</v>
      </c>
      <c r="P1879">
        <f t="shared" si="386"/>
        <v>-1.1587014214870317E-2</v>
      </c>
      <c r="Q1879" t="str">
        <f t="shared" si="380"/>
        <v>2017-07</v>
      </c>
      <c r="S1879">
        <v>10449.1</v>
      </c>
      <c r="T1879">
        <f t="shared" si="387"/>
        <v>-5.763759717910738E-3</v>
      </c>
      <c r="U1879" t="str">
        <f t="shared" si="381"/>
        <v>2017-07</v>
      </c>
      <c r="W1879">
        <v>21111.7</v>
      </c>
      <c r="X1879">
        <f t="shared" si="388"/>
        <v>-3.7336012963498622E-3</v>
      </c>
      <c r="Y1879">
        <f t="shared" si="389"/>
        <v>-3.7266400732019105E-3</v>
      </c>
      <c r="Z1879" t="str">
        <f t="shared" si="382"/>
        <v>2017-07</v>
      </c>
    </row>
    <row r="1880" spans="1:26" x14ac:dyDescent="0.35">
      <c r="A1880" s="1">
        <v>42928</v>
      </c>
      <c r="C1880">
        <v>3515.23</v>
      </c>
      <c r="D1880">
        <f t="shared" si="383"/>
        <v>1.4542407746991851E-2</v>
      </c>
      <c r="E1880" t="str">
        <f t="shared" si="377"/>
        <v>2017-07</v>
      </c>
      <c r="G1880">
        <v>5222.13</v>
      </c>
      <c r="H1880">
        <f t="shared" si="384"/>
        <v>1.57355604714489E-2</v>
      </c>
      <c r="I1880" t="str">
        <f t="shared" si="378"/>
        <v>2017-07</v>
      </c>
      <c r="K1880">
        <v>12626.58</v>
      </c>
      <c r="L1880">
        <f t="shared" si="385"/>
        <v>1.5126607070693561E-2</v>
      </c>
      <c r="M1880" t="str">
        <f t="shared" si="379"/>
        <v>2017-07</v>
      </c>
      <c r="O1880">
        <v>8376.7603600000002</v>
      </c>
      <c r="P1880">
        <f t="shared" si="386"/>
        <v>1.7368473424873025E-2</v>
      </c>
      <c r="Q1880" t="str">
        <f t="shared" si="380"/>
        <v>2017-07</v>
      </c>
      <c r="S1880">
        <v>10560.4</v>
      </c>
      <c r="T1880">
        <f t="shared" si="387"/>
        <v>1.0595306048624017E-2</v>
      </c>
      <c r="U1880" t="str">
        <f t="shared" si="381"/>
        <v>2017-07</v>
      </c>
      <c r="W1880">
        <v>21432.55</v>
      </c>
      <c r="X1880">
        <f t="shared" si="388"/>
        <v>1.5083405301628716E-2</v>
      </c>
      <c r="Y1880">
        <f t="shared" si="389"/>
        <v>1.5197733957947419E-2</v>
      </c>
      <c r="Z1880" t="str">
        <f t="shared" si="382"/>
        <v>2017-07</v>
      </c>
    </row>
    <row r="1881" spans="1:26" x14ac:dyDescent="0.35">
      <c r="A1881" s="1">
        <v>42929</v>
      </c>
      <c r="C1881">
        <v>3527.83</v>
      </c>
      <c r="D1881">
        <f t="shared" si="383"/>
        <v>3.5779940656875554E-3</v>
      </c>
      <c r="E1881" t="str">
        <f t="shared" si="377"/>
        <v>2017-07</v>
      </c>
      <c r="G1881">
        <v>5235.3999999999996</v>
      </c>
      <c r="H1881">
        <f t="shared" si="384"/>
        <v>2.5378855470689758E-3</v>
      </c>
      <c r="I1881" t="str">
        <f t="shared" si="378"/>
        <v>2017-07</v>
      </c>
      <c r="K1881">
        <v>12641.33</v>
      </c>
      <c r="L1881">
        <f t="shared" si="385"/>
        <v>1.1674888564500894E-3</v>
      </c>
      <c r="M1881" t="str">
        <f t="shared" si="379"/>
        <v>2017-07</v>
      </c>
      <c r="O1881">
        <v>8410.4894299999996</v>
      </c>
      <c r="P1881">
        <f t="shared" si="386"/>
        <v>4.0184206238872387E-3</v>
      </c>
      <c r="Q1881" t="str">
        <f t="shared" si="380"/>
        <v>2017-07</v>
      </c>
      <c r="S1881">
        <v>10658.3</v>
      </c>
      <c r="T1881">
        <f t="shared" si="387"/>
        <v>9.2277749999800582E-3</v>
      </c>
      <c r="U1881" t="str">
        <f t="shared" si="381"/>
        <v>2017-07</v>
      </c>
      <c r="W1881">
        <v>21521.91</v>
      </c>
      <c r="X1881">
        <f t="shared" si="388"/>
        <v>4.1606915282765278E-3</v>
      </c>
      <c r="Y1881">
        <f t="shared" si="389"/>
        <v>4.1693592223044198E-3</v>
      </c>
      <c r="Z1881" t="str">
        <f t="shared" si="382"/>
        <v>2017-07</v>
      </c>
    </row>
    <row r="1882" spans="1:26" x14ac:dyDescent="0.35">
      <c r="A1882" s="1">
        <v>42930</v>
      </c>
      <c r="C1882">
        <v>3525.94</v>
      </c>
      <c r="D1882">
        <f t="shared" si="383"/>
        <v>-5.3588366085913143E-4</v>
      </c>
      <c r="E1882" t="str">
        <f t="shared" si="377"/>
        <v>2017-07</v>
      </c>
      <c r="G1882">
        <v>5235.3100000000004</v>
      </c>
      <c r="H1882">
        <f t="shared" si="384"/>
        <v>-1.7190811320580105E-5</v>
      </c>
      <c r="I1882" t="str">
        <f t="shared" si="378"/>
        <v>2017-07</v>
      </c>
      <c r="K1882">
        <v>12631.72</v>
      </c>
      <c r="L1882">
        <f t="shared" si="385"/>
        <v>-7.604939224322147E-4</v>
      </c>
      <c r="M1882" t="str">
        <f t="shared" si="379"/>
        <v>2017-07</v>
      </c>
      <c r="O1882">
        <v>8422.1434000000008</v>
      </c>
      <c r="P1882">
        <f t="shared" si="386"/>
        <v>1.3846879427326679E-3</v>
      </c>
      <c r="Q1882" t="str">
        <f t="shared" si="380"/>
        <v>2017-07</v>
      </c>
      <c r="S1882">
        <v>10655.1</v>
      </c>
      <c r="T1882">
        <f t="shared" si="387"/>
        <v>-3.0028057691816471E-4</v>
      </c>
      <c r="U1882" t="str">
        <f t="shared" si="381"/>
        <v>2017-07</v>
      </c>
      <c r="W1882">
        <v>21492.29</v>
      </c>
      <c r="X1882">
        <f t="shared" si="388"/>
        <v>-1.3772198335327531E-3</v>
      </c>
      <c r="Y1882">
        <f t="shared" si="389"/>
        <v>-1.3762719015179871E-3</v>
      </c>
      <c r="Z1882" t="str">
        <f t="shared" si="382"/>
        <v>2017-07</v>
      </c>
    </row>
    <row r="1883" spans="1:26" x14ac:dyDescent="0.35">
      <c r="A1883" s="1">
        <v>42933</v>
      </c>
      <c r="C1883">
        <v>3516.35</v>
      </c>
      <c r="D1883">
        <f t="shared" si="383"/>
        <v>-2.7235475755719328E-3</v>
      </c>
      <c r="E1883" t="str">
        <f t="shared" si="377"/>
        <v>2017-07</v>
      </c>
      <c r="G1883">
        <v>5230.17</v>
      </c>
      <c r="H1883">
        <f t="shared" si="384"/>
        <v>-9.8227705050991541E-4</v>
      </c>
      <c r="I1883" t="str">
        <f t="shared" si="378"/>
        <v>2017-07</v>
      </c>
      <c r="K1883">
        <v>12587.16</v>
      </c>
      <c r="L1883">
        <f t="shared" si="385"/>
        <v>-3.5338640235268162E-3</v>
      </c>
      <c r="M1883" t="str">
        <f t="shared" si="379"/>
        <v>2017-07</v>
      </c>
      <c r="O1883">
        <v>8429.0392100000008</v>
      </c>
      <c r="P1883">
        <f t="shared" si="386"/>
        <v>8.184363726296001E-4</v>
      </c>
      <c r="Q1883" t="str">
        <f t="shared" si="380"/>
        <v>2017-07</v>
      </c>
      <c r="S1883">
        <v>10651.2</v>
      </c>
      <c r="T1883">
        <f t="shared" si="387"/>
        <v>-3.6608890737075919E-4</v>
      </c>
      <c r="U1883" t="str">
        <f t="shared" si="381"/>
        <v>2017-07</v>
      </c>
      <c r="W1883">
        <v>21484.84</v>
      </c>
      <c r="X1883">
        <f t="shared" si="388"/>
        <v>-3.4669602528707041E-4</v>
      </c>
      <c r="Y1883">
        <f t="shared" si="389"/>
        <v>-3.4663593316490367E-4</v>
      </c>
      <c r="Z1883" t="str">
        <f t="shared" si="382"/>
        <v>2017-07</v>
      </c>
    </row>
    <row r="1884" spans="1:26" x14ac:dyDescent="0.35">
      <c r="A1884" s="1">
        <v>42934</v>
      </c>
      <c r="C1884">
        <v>3478.68</v>
      </c>
      <c r="D1884">
        <f t="shared" si="383"/>
        <v>-1.0770608320900864E-2</v>
      </c>
      <c r="E1884" t="str">
        <f t="shared" si="377"/>
        <v>2017-07</v>
      </c>
      <c r="G1884">
        <v>5173.2700000000004</v>
      </c>
      <c r="H1884">
        <f t="shared" si="384"/>
        <v>-1.0938798584692671E-2</v>
      </c>
      <c r="I1884" t="str">
        <f t="shared" si="378"/>
        <v>2017-07</v>
      </c>
      <c r="K1884">
        <v>12430.39</v>
      </c>
      <c r="L1884">
        <f t="shared" si="385"/>
        <v>-1.2532966021989235E-2</v>
      </c>
      <c r="M1884" t="str">
        <f t="shared" si="379"/>
        <v>2017-07</v>
      </c>
      <c r="O1884">
        <v>8338.7657899999995</v>
      </c>
      <c r="P1884">
        <f t="shared" si="386"/>
        <v>-1.07675741929166E-2</v>
      </c>
      <c r="Q1884" t="str">
        <f t="shared" si="380"/>
        <v>2017-07</v>
      </c>
      <c r="S1884">
        <v>10524.5</v>
      </c>
      <c r="T1884">
        <f t="shared" si="387"/>
        <v>-1.1966689362542195E-2</v>
      </c>
      <c r="U1884" t="str">
        <f t="shared" si="381"/>
        <v>2017-07</v>
      </c>
      <c r="W1884">
        <v>21358.2</v>
      </c>
      <c r="X1884">
        <f t="shared" si="388"/>
        <v>-5.9118292649580871E-3</v>
      </c>
      <c r="Y1884">
        <f t="shared" si="389"/>
        <v>-5.8943887876288315E-3</v>
      </c>
      <c r="Z1884" t="str">
        <f t="shared" si="382"/>
        <v>2017-07</v>
      </c>
    </row>
    <row r="1885" spans="1:26" x14ac:dyDescent="0.35">
      <c r="A1885" s="1">
        <v>42935</v>
      </c>
      <c r="C1885">
        <v>3500.28</v>
      </c>
      <c r="D1885">
        <f t="shared" si="383"/>
        <v>6.1900538103486285E-3</v>
      </c>
      <c r="E1885" t="str">
        <f t="shared" si="377"/>
        <v>2017-07</v>
      </c>
      <c r="G1885">
        <v>5216.07</v>
      </c>
      <c r="H1885">
        <f t="shared" si="384"/>
        <v>8.2392610357152167E-3</v>
      </c>
      <c r="I1885" t="str">
        <f t="shared" si="378"/>
        <v>2017-07</v>
      </c>
      <c r="K1885">
        <v>12452.05</v>
      </c>
      <c r="L1885">
        <f t="shared" si="385"/>
        <v>1.7409872561550217E-3</v>
      </c>
      <c r="M1885" t="str">
        <f t="shared" si="379"/>
        <v>2017-07</v>
      </c>
      <c r="O1885">
        <v>8407.4222599999994</v>
      </c>
      <c r="P1885">
        <f t="shared" si="386"/>
        <v>8.1996994744672497E-3</v>
      </c>
      <c r="Q1885" t="str">
        <f t="shared" si="380"/>
        <v>2017-07</v>
      </c>
      <c r="S1885">
        <v>10588.1</v>
      </c>
      <c r="T1885">
        <f t="shared" si="387"/>
        <v>6.0248564728200725E-3</v>
      </c>
      <c r="U1885" t="str">
        <f t="shared" si="381"/>
        <v>2017-07</v>
      </c>
      <c r="W1885">
        <v>21478.95</v>
      </c>
      <c r="X1885">
        <f t="shared" si="388"/>
        <v>5.6376448861172566E-3</v>
      </c>
      <c r="Y1885">
        <f t="shared" si="389"/>
        <v>5.6535663117678455E-3</v>
      </c>
      <c r="Z1885" t="str">
        <f t="shared" si="382"/>
        <v>2017-07</v>
      </c>
    </row>
    <row r="1886" spans="1:26" x14ac:dyDescent="0.35">
      <c r="A1886" s="1">
        <v>42936</v>
      </c>
      <c r="C1886">
        <v>3499.49</v>
      </c>
      <c r="D1886">
        <f t="shared" si="383"/>
        <v>-2.2572170324300505E-4</v>
      </c>
      <c r="E1886" t="str">
        <f t="shared" si="377"/>
        <v>2017-07</v>
      </c>
      <c r="G1886">
        <v>5199.22</v>
      </c>
      <c r="H1886">
        <f t="shared" si="384"/>
        <v>-3.2356304434432341E-3</v>
      </c>
      <c r="I1886" t="str">
        <f t="shared" si="378"/>
        <v>2017-07</v>
      </c>
      <c r="K1886">
        <v>12447.25</v>
      </c>
      <c r="L1886">
        <f t="shared" si="385"/>
        <v>-3.8555301229033359E-4</v>
      </c>
      <c r="M1886" t="str">
        <f t="shared" si="379"/>
        <v>2017-07</v>
      </c>
      <c r="O1886">
        <v>8351.5332199999993</v>
      </c>
      <c r="P1886">
        <f t="shared" si="386"/>
        <v>-6.6697769149368299E-3</v>
      </c>
      <c r="Q1886" t="str">
        <f t="shared" si="380"/>
        <v>2017-07</v>
      </c>
      <c r="S1886">
        <v>10564.8</v>
      </c>
      <c r="T1886">
        <f t="shared" si="387"/>
        <v>-2.2030085164102251E-3</v>
      </c>
      <c r="U1886" t="str">
        <f t="shared" si="381"/>
        <v>2017-07</v>
      </c>
      <c r="W1886">
        <v>21438.63</v>
      </c>
      <c r="X1886">
        <f t="shared" si="388"/>
        <v>-1.8789508570768766E-3</v>
      </c>
      <c r="Y1886">
        <f t="shared" si="389"/>
        <v>-1.8771867339883797E-3</v>
      </c>
      <c r="Z1886" t="str">
        <f t="shared" si="382"/>
        <v>2017-07</v>
      </c>
    </row>
    <row r="1887" spans="1:26" x14ac:dyDescent="0.35">
      <c r="A1887" s="1">
        <v>42937</v>
      </c>
      <c r="C1887">
        <v>3451.71</v>
      </c>
      <c r="D1887">
        <f t="shared" si="383"/>
        <v>-1.3747483170078961E-2</v>
      </c>
      <c r="E1887" t="str">
        <f t="shared" si="377"/>
        <v>2017-07</v>
      </c>
      <c r="G1887">
        <v>5117.66</v>
      </c>
      <c r="H1887">
        <f t="shared" si="384"/>
        <v>-1.5811311005454035E-2</v>
      </c>
      <c r="I1887" t="str">
        <f t="shared" si="378"/>
        <v>2017-07</v>
      </c>
      <c r="K1887">
        <v>12240.06</v>
      </c>
      <c r="L1887">
        <f t="shared" si="385"/>
        <v>-1.6785535945269662E-2</v>
      </c>
      <c r="M1887" t="str">
        <f t="shared" si="379"/>
        <v>2017-07</v>
      </c>
      <c r="O1887">
        <v>8291.7297199999994</v>
      </c>
      <c r="P1887">
        <f t="shared" si="386"/>
        <v>-7.1865423987620301E-3</v>
      </c>
      <c r="Q1887" t="str">
        <f t="shared" si="380"/>
        <v>2017-07</v>
      </c>
      <c r="S1887">
        <v>10426.6</v>
      </c>
      <c r="T1887">
        <f t="shared" si="387"/>
        <v>-1.316748733150257E-2</v>
      </c>
      <c r="U1887" t="str">
        <f t="shared" si="381"/>
        <v>2017-07</v>
      </c>
      <c r="W1887">
        <v>21202.16</v>
      </c>
      <c r="X1887">
        <f t="shared" si="388"/>
        <v>-1.1091371626912797E-2</v>
      </c>
      <c r="Y1887">
        <f t="shared" si="389"/>
        <v>-1.103008914282308E-2</v>
      </c>
      <c r="Z1887" t="str">
        <f t="shared" si="382"/>
        <v>2017-07</v>
      </c>
    </row>
    <row r="1888" spans="1:26" x14ac:dyDescent="0.35">
      <c r="A1888" s="1">
        <v>42940</v>
      </c>
      <c r="C1888">
        <v>3453.17</v>
      </c>
      <c r="D1888">
        <f t="shared" si="383"/>
        <v>4.2288932516089682E-4</v>
      </c>
      <c r="E1888" t="str">
        <f t="shared" si="377"/>
        <v>2017-07</v>
      </c>
      <c r="G1888">
        <v>5127.7</v>
      </c>
      <c r="H1888">
        <f t="shared" si="384"/>
        <v>1.9599122361441822E-3</v>
      </c>
      <c r="I1888" t="str">
        <f t="shared" si="378"/>
        <v>2017-07</v>
      </c>
      <c r="K1888">
        <v>12208.95</v>
      </c>
      <c r="L1888">
        <f t="shared" si="385"/>
        <v>-2.5448896941208787E-3</v>
      </c>
      <c r="M1888" t="str">
        <f t="shared" si="379"/>
        <v>2017-07</v>
      </c>
      <c r="O1888">
        <v>8257.63112</v>
      </c>
      <c r="P1888">
        <f t="shared" si="386"/>
        <v>-4.1208417150329097E-3</v>
      </c>
      <c r="Q1888" t="str">
        <f t="shared" si="380"/>
        <v>2017-07</v>
      </c>
      <c r="S1888">
        <v>10446.5</v>
      </c>
      <c r="T1888">
        <f t="shared" si="387"/>
        <v>1.9067609535013265E-3</v>
      </c>
      <c r="U1888" t="str">
        <f t="shared" si="381"/>
        <v>2017-07</v>
      </c>
      <c r="W1888">
        <v>21326.58</v>
      </c>
      <c r="X1888">
        <f t="shared" si="388"/>
        <v>5.8511187947642585E-3</v>
      </c>
      <c r="Y1888">
        <f t="shared" si="389"/>
        <v>5.8682700253182641E-3</v>
      </c>
      <c r="Z1888" t="str">
        <f t="shared" si="382"/>
        <v>2017-07</v>
      </c>
    </row>
    <row r="1889" spans="1:26" x14ac:dyDescent="0.35">
      <c r="A1889" s="1">
        <v>42941</v>
      </c>
      <c r="C1889">
        <v>3473.54</v>
      </c>
      <c r="D1889">
        <f t="shared" si="383"/>
        <v>5.8815970993144747E-3</v>
      </c>
      <c r="E1889" t="str">
        <f t="shared" si="377"/>
        <v>2017-07</v>
      </c>
      <c r="G1889">
        <v>5161.08</v>
      </c>
      <c r="H1889">
        <f t="shared" si="384"/>
        <v>6.4886443514302642E-3</v>
      </c>
      <c r="I1889" t="str">
        <f t="shared" si="378"/>
        <v>2017-07</v>
      </c>
      <c r="K1889">
        <v>12264.31</v>
      </c>
      <c r="L1889">
        <f t="shared" si="385"/>
        <v>4.524129145401551E-3</v>
      </c>
      <c r="M1889" t="str">
        <f t="shared" si="379"/>
        <v>2017-07</v>
      </c>
      <c r="O1889">
        <v>8318.4744800000008</v>
      </c>
      <c r="P1889">
        <f t="shared" si="386"/>
        <v>7.341125197451644E-3</v>
      </c>
      <c r="Q1889" t="str">
        <f t="shared" si="380"/>
        <v>2017-07</v>
      </c>
      <c r="S1889">
        <v>10523.4</v>
      </c>
      <c r="T1889">
        <f t="shared" si="387"/>
        <v>7.3343549298415982E-3</v>
      </c>
      <c r="U1889" t="str">
        <f t="shared" si="381"/>
        <v>2017-07</v>
      </c>
      <c r="W1889">
        <v>21457.45</v>
      </c>
      <c r="X1889">
        <f t="shared" si="388"/>
        <v>6.1177223448659864E-3</v>
      </c>
      <c r="Y1889">
        <f t="shared" si="389"/>
        <v>6.1364738274959684E-3</v>
      </c>
      <c r="Z1889" t="str">
        <f t="shared" si="382"/>
        <v>2017-07</v>
      </c>
    </row>
    <row r="1890" spans="1:26" x14ac:dyDescent="0.35">
      <c r="A1890" s="1">
        <v>42942</v>
      </c>
      <c r="C1890">
        <v>3491.19</v>
      </c>
      <c r="D1890">
        <f t="shared" si="383"/>
        <v>5.0684054611821808E-3</v>
      </c>
      <c r="E1890" t="str">
        <f t="shared" si="377"/>
        <v>2017-07</v>
      </c>
      <c r="G1890">
        <v>5190.17</v>
      </c>
      <c r="H1890">
        <f t="shared" si="384"/>
        <v>5.6205920216285338E-3</v>
      </c>
      <c r="I1890" t="str">
        <f t="shared" si="378"/>
        <v>2017-07</v>
      </c>
      <c r="K1890">
        <v>12305.11</v>
      </c>
      <c r="L1890">
        <f t="shared" si="385"/>
        <v>3.3212047743380866E-3</v>
      </c>
      <c r="M1890" t="str">
        <f t="shared" si="379"/>
        <v>2017-07</v>
      </c>
      <c r="O1890">
        <v>8362.4683100000002</v>
      </c>
      <c r="P1890">
        <f t="shared" si="386"/>
        <v>5.2747536583823314E-3</v>
      </c>
      <c r="Q1890" t="str">
        <f t="shared" si="380"/>
        <v>2017-07</v>
      </c>
      <c r="S1890">
        <v>10575.4</v>
      </c>
      <c r="T1890">
        <f t="shared" si="387"/>
        <v>4.9292002660836203E-3</v>
      </c>
      <c r="U1890" t="str">
        <f t="shared" si="381"/>
        <v>2017-07</v>
      </c>
      <c r="W1890">
        <v>21577.56</v>
      </c>
      <c r="X1890">
        <f t="shared" si="388"/>
        <v>5.5819813621801884E-3</v>
      </c>
      <c r="Y1890">
        <f t="shared" si="389"/>
        <v>5.5975896483505998E-3</v>
      </c>
      <c r="Z1890" t="str">
        <f t="shared" si="382"/>
        <v>2017-07</v>
      </c>
    </row>
    <row r="1891" spans="1:26" x14ac:dyDescent="0.35">
      <c r="A1891" s="1">
        <v>42943</v>
      </c>
      <c r="C1891">
        <v>3493.14</v>
      </c>
      <c r="D1891">
        <f t="shared" si="383"/>
        <v>5.5839287395290972E-4</v>
      </c>
      <c r="E1891" t="str">
        <f t="shared" si="377"/>
        <v>2017-07</v>
      </c>
      <c r="G1891">
        <v>5186.95</v>
      </c>
      <c r="H1891">
        <f t="shared" si="384"/>
        <v>-6.2059610052616634E-4</v>
      </c>
      <c r="I1891" t="str">
        <f t="shared" si="378"/>
        <v>2017-07</v>
      </c>
      <c r="K1891">
        <v>12212.04</v>
      </c>
      <c r="L1891">
        <f t="shared" si="385"/>
        <v>-7.5922729245472319E-3</v>
      </c>
      <c r="M1891" t="str">
        <f t="shared" si="379"/>
        <v>2017-07</v>
      </c>
      <c r="O1891">
        <v>8338.9278699999995</v>
      </c>
      <c r="P1891">
        <f t="shared" si="386"/>
        <v>-2.8189805612971589E-3</v>
      </c>
      <c r="Q1891" t="str">
        <f t="shared" si="380"/>
        <v>2017-07</v>
      </c>
      <c r="S1891">
        <v>10603.4</v>
      </c>
      <c r="T1891">
        <f t="shared" si="387"/>
        <v>2.644155128111933E-3</v>
      </c>
      <c r="U1891" t="str">
        <f t="shared" si="381"/>
        <v>2017-07</v>
      </c>
      <c r="W1891">
        <v>21634.720000000001</v>
      </c>
      <c r="X1891">
        <f t="shared" si="388"/>
        <v>2.6455458188343116E-3</v>
      </c>
      <c r="Y1891">
        <f t="shared" si="389"/>
        <v>2.6490483632069543E-3</v>
      </c>
      <c r="Z1891" t="str">
        <f t="shared" si="382"/>
        <v>2017-07</v>
      </c>
    </row>
    <row r="1892" spans="1:26" x14ac:dyDescent="0.35">
      <c r="A1892" s="1">
        <v>42944</v>
      </c>
      <c r="C1892">
        <v>3467.73</v>
      </c>
      <c r="D1892">
        <f t="shared" si="383"/>
        <v>-7.3008439656444208E-3</v>
      </c>
      <c r="E1892" t="str">
        <f t="shared" si="377"/>
        <v>2017-07</v>
      </c>
      <c r="G1892">
        <v>5131.3900000000003</v>
      </c>
      <c r="H1892">
        <f t="shared" si="384"/>
        <v>-1.0769278192830382E-2</v>
      </c>
      <c r="I1892" t="str">
        <f t="shared" si="378"/>
        <v>2017-07</v>
      </c>
      <c r="K1892">
        <v>12162.7</v>
      </c>
      <c r="L1892">
        <f t="shared" si="385"/>
        <v>-4.0484589694315034E-3</v>
      </c>
      <c r="M1892" t="str">
        <f t="shared" si="379"/>
        <v>2017-07</v>
      </c>
      <c r="O1892">
        <v>8235.0524800000003</v>
      </c>
      <c r="P1892">
        <f t="shared" si="386"/>
        <v>-1.2534918940921546E-2</v>
      </c>
      <c r="Q1892" t="str">
        <f t="shared" si="380"/>
        <v>2017-07</v>
      </c>
      <c r="S1892">
        <v>10536.1</v>
      </c>
      <c r="T1892">
        <f t="shared" si="387"/>
        <v>-6.3672487402342279E-3</v>
      </c>
      <c r="U1892" t="str">
        <f t="shared" si="381"/>
        <v>2017-07</v>
      </c>
      <c r="W1892">
        <v>21430.36</v>
      </c>
      <c r="X1892">
        <f t="shared" si="388"/>
        <v>-9.4908233764968222E-3</v>
      </c>
      <c r="Y1892">
        <f t="shared" si="389"/>
        <v>-9.4459276570254009E-3</v>
      </c>
      <c r="Z1892" t="str">
        <f t="shared" si="382"/>
        <v>2017-07</v>
      </c>
    </row>
    <row r="1893" spans="1:26" x14ac:dyDescent="0.35">
      <c r="A1893" s="1">
        <v>42947</v>
      </c>
      <c r="C1893">
        <v>3449.36</v>
      </c>
      <c r="D1893">
        <f t="shared" si="383"/>
        <v>-5.3114946278888103E-3</v>
      </c>
      <c r="E1893" t="str">
        <f t="shared" si="377"/>
        <v>2017-07</v>
      </c>
      <c r="G1893">
        <v>5093.7700000000004</v>
      </c>
      <c r="H1893">
        <f t="shared" si="384"/>
        <v>-7.3583532669530792E-3</v>
      </c>
      <c r="I1893" t="str">
        <f t="shared" si="378"/>
        <v>2017-07</v>
      </c>
      <c r="K1893">
        <v>12118.25</v>
      </c>
      <c r="L1893">
        <f t="shared" si="385"/>
        <v>-3.6613105875236605E-3</v>
      </c>
      <c r="M1893" t="str">
        <f t="shared" si="379"/>
        <v>2017-07</v>
      </c>
      <c r="O1893">
        <v>8232.7220400000006</v>
      </c>
      <c r="P1893">
        <f t="shared" si="386"/>
        <v>-2.8303035273240945E-4</v>
      </c>
      <c r="Q1893" t="str">
        <f t="shared" si="380"/>
        <v>2017-07</v>
      </c>
      <c r="S1893">
        <v>10502.2</v>
      </c>
      <c r="T1893">
        <f t="shared" si="387"/>
        <v>-3.2226966380177534E-3</v>
      </c>
      <c r="U1893" t="str">
        <f t="shared" si="381"/>
        <v>2017-07</v>
      </c>
      <c r="W1893">
        <v>21486.91</v>
      </c>
      <c r="X1893">
        <f t="shared" si="388"/>
        <v>2.6353042832174653E-3</v>
      </c>
      <c r="Y1893">
        <f t="shared" si="389"/>
        <v>2.6387797498501784E-3</v>
      </c>
      <c r="Z1893" t="str">
        <f t="shared" si="382"/>
        <v>2017-07</v>
      </c>
    </row>
    <row r="1894" spans="1:26" x14ac:dyDescent="0.35">
      <c r="A1894" s="1">
        <v>42948</v>
      </c>
      <c r="C1894">
        <v>3477.39</v>
      </c>
      <c r="D1894">
        <f t="shared" si="383"/>
        <v>8.0933058073846247E-3</v>
      </c>
      <c r="E1894" t="str">
        <f t="shared" si="377"/>
        <v>2017-08</v>
      </c>
      <c r="G1894">
        <v>5127.03</v>
      </c>
      <c r="H1894">
        <f t="shared" si="384"/>
        <v>6.5083197798215565E-3</v>
      </c>
      <c r="I1894" t="str">
        <f t="shared" si="378"/>
        <v>2017-08</v>
      </c>
      <c r="K1894">
        <v>12251.29</v>
      </c>
      <c r="L1894">
        <f t="shared" si="385"/>
        <v>1.0918656791818736E-2</v>
      </c>
      <c r="M1894" t="str">
        <f t="shared" si="379"/>
        <v>2017-08</v>
      </c>
      <c r="O1894">
        <v>8307.2044600000008</v>
      </c>
      <c r="P1894">
        <f t="shared" si="386"/>
        <v>9.0064394754539572E-3</v>
      </c>
      <c r="Q1894" t="str">
        <f t="shared" si="380"/>
        <v>2017-08</v>
      </c>
      <c r="S1894">
        <v>10586.7</v>
      </c>
      <c r="T1894">
        <f t="shared" si="387"/>
        <v>8.0137372945243337E-3</v>
      </c>
      <c r="U1894" t="str">
        <f t="shared" si="381"/>
        <v>2017-08</v>
      </c>
      <c r="W1894">
        <v>21612.81</v>
      </c>
      <c r="X1894">
        <f t="shared" si="388"/>
        <v>5.8422819500485394E-3</v>
      </c>
      <c r="Y1894">
        <f t="shared" si="389"/>
        <v>5.8593813628856576E-3</v>
      </c>
      <c r="Z1894" t="str">
        <f t="shared" si="382"/>
        <v>2017-08</v>
      </c>
    </row>
    <row r="1895" spans="1:26" x14ac:dyDescent="0.35">
      <c r="A1895" s="1">
        <v>42949</v>
      </c>
      <c r="C1895">
        <v>3459.32</v>
      </c>
      <c r="D1895">
        <f t="shared" si="383"/>
        <v>-5.2099744328566533E-3</v>
      </c>
      <c r="E1895" t="str">
        <f t="shared" si="377"/>
        <v>2017-08</v>
      </c>
      <c r="G1895">
        <v>5107.25</v>
      </c>
      <c r="H1895">
        <f t="shared" si="384"/>
        <v>-3.8654452738916024E-3</v>
      </c>
      <c r="I1895" t="str">
        <f t="shared" si="378"/>
        <v>2017-08</v>
      </c>
      <c r="K1895">
        <v>12181.48</v>
      </c>
      <c r="L1895">
        <f t="shared" si="385"/>
        <v>-5.7144719957227469E-3</v>
      </c>
      <c r="M1895" t="str">
        <f t="shared" si="379"/>
        <v>2017-08</v>
      </c>
      <c r="O1895">
        <v>8266.9793000000009</v>
      </c>
      <c r="P1895">
        <f t="shared" si="386"/>
        <v>-4.8539631949368854E-3</v>
      </c>
      <c r="Q1895" t="str">
        <f t="shared" si="380"/>
        <v>2017-08</v>
      </c>
      <c r="S1895">
        <v>10513.9</v>
      </c>
      <c r="T1895">
        <f t="shared" si="387"/>
        <v>-6.9003050964726483E-3</v>
      </c>
      <c r="U1895" t="str">
        <f t="shared" si="381"/>
        <v>2017-08</v>
      </c>
      <c r="W1895">
        <v>21573.61</v>
      </c>
      <c r="X1895">
        <f t="shared" si="388"/>
        <v>-1.8153859831730487E-3</v>
      </c>
      <c r="Y1895">
        <f t="shared" si="389"/>
        <v>-1.8137391667256929E-3</v>
      </c>
      <c r="Z1895" t="str">
        <f t="shared" si="382"/>
        <v>2017-08</v>
      </c>
    </row>
    <row r="1896" spans="1:26" x14ac:dyDescent="0.35">
      <c r="A1896" s="1">
        <v>42950</v>
      </c>
      <c r="C1896">
        <v>3466.37</v>
      </c>
      <c r="D1896">
        <f t="shared" si="383"/>
        <v>2.0358989314043382E-3</v>
      </c>
      <c r="E1896" t="str">
        <f t="shared" si="377"/>
        <v>2017-08</v>
      </c>
      <c r="G1896">
        <v>5130.49</v>
      </c>
      <c r="H1896">
        <f t="shared" si="384"/>
        <v>4.540072304836002E-3</v>
      </c>
      <c r="I1896" t="str">
        <f t="shared" si="378"/>
        <v>2017-08</v>
      </c>
      <c r="K1896">
        <v>12154.72</v>
      </c>
      <c r="L1896">
        <f t="shared" si="385"/>
        <v>-2.1991938581447648E-3</v>
      </c>
      <c r="M1896" t="str">
        <f t="shared" si="379"/>
        <v>2017-08</v>
      </c>
      <c r="O1896">
        <v>8272.0620099999996</v>
      </c>
      <c r="P1896">
        <f t="shared" si="386"/>
        <v>6.14631775172366E-4</v>
      </c>
      <c r="Q1896" t="str">
        <f t="shared" si="380"/>
        <v>2017-08</v>
      </c>
      <c r="S1896">
        <v>10549.1</v>
      </c>
      <c r="T1896">
        <f t="shared" si="387"/>
        <v>3.3423570022588743E-3</v>
      </c>
      <c r="U1896" t="str">
        <f t="shared" si="381"/>
        <v>2017-08</v>
      </c>
      <c r="W1896">
        <v>21793.72</v>
      </c>
      <c r="X1896">
        <f t="shared" si="388"/>
        <v>1.0151046424883429E-2</v>
      </c>
      <c r="Y1896">
        <f t="shared" si="389"/>
        <v>1.0202743073597816E-2</v>
      </c>
      <c r="Z1896" t="str">
        <f t="shared" si="382"/>
        <v>2017-08</v>
      </c>
    </row>
    <row r="1897" spans="1:26" x14ac:dyDescent="0.35">
      <c r="A1897" s="1">
        <v>42951</v>
      </c>
      <c r="C1897">
        <v>3507.41</v>
      </c>
      <c r="D1897">
        <f t="shared" si="383"/>
        <v>1.1769936469550171E-2</v>
      </c>
      <c r="E1897" t="str">
        <f t="shared" si="377"/>
        <v>2017-08</v>
      </c>
      <c r="G1897">
        <v>5203.4399999999996</v>
      </c>
      <c r="H1897">
        <f t="shared" si="384"/>
        <v>1.411877413834605E-2</v>
      </c>
      <c r="I1897" t="str">
        <f t="shared" si="378"/>
        <v>2017-08</v>
      </c>
      <c r="K1897">
        <v>12297.72</v>
      </c>
      <c r="L1897">
        <f t="shared" si="385"/>
        <v>1.1696307627322914E-2</v>
      </c>
      <c r="M1897" t="str">
        <f t="shared" si="379"/>
        <v>2017-08</v>
      </c>
      <c r="O1897">
        <v>8329.7284400000008</v>
      </c>
      <c r="P1897">
        <f t="shared" si="386"/>
        <v>6.9470412959729303E-3</v>
      </c>
      <c r="Q1897" t="str">
        <f t="shared" si="380"/>
        <v>2017-08</v>
      </c>
      <c r="S1897">
        <v>10658.4</v>
      </c>
      <c r="T1897">
        <f t="shared" si="387"/>
        <v>1.0307765437600919E-2</v>
      </c>
      <c r="U1897" t="str">
        <f t="shared" si="381"/>
        <v>2017-08</v>
      </c>
      <c r="W1897">
        <v>21935.79</v>
      </c>
      <c r="X1897">
        <f t="shared" si="388"/>
        <v>6.4976945705395011E-3</v>
      </c>
      <c r="Y1897">
        <f t="shared" si="389"/>
        <v>6.5188503844226548E-3</v>
      </c>
      <c r="Z1897" t="str">
        <f t="shared" si="382"/>
        <v>2017-08</v>
      </c>
    </row>
    <row r="1898" spans="1:26" x14ac:dyDescent="0.35">
      <c r="A1898" s="1">
        <v>42954</v>
      </c>
      <c r="C1898">
        <v>3505.8</v>
      </c>
      <c r="D1898">
        <f t="shared" si="383"/>
        <v>-4.5913355746725912E-4</v>
      </c>
      <c r="E1898" t="str">
        <f t="shared" si="377"/>
        <v>2017-08</v>
      </c>
      <c r="G1898">
        <v>5207.8900000000003</v>
      </c>
      <c r="H1898">
        <f t="shared" si="384"/>
        <v>8.5483800263501267E-4</v>
      </c>
      <c r="I1898" t="str">
        <f t="shared" si="378"/>
        <v>2017-08</v>
      </c>
      <c r="K1898">
        <v>12257.17</v>
      </c>
      <c r="L1898">
        <f t="shared" si="385"/>
        <v>-3.3028074539741656E-3</v>
      </c>
      <c r="M1898" t="str">
        <f t="shared" si="379"/>
        <v>2017-08</v>
      </c>
      <c r="O1898">
        <v>8320.9760399999996</v>
      </c>
      <c r="P1898">
        <f t="shared" si="386"/>
        <v>-1.0512949547120494E-3</v>
      </c>
      <c r="Q1898" t="str">
        <f t="shared" si="380"/>
        <v>2017-08</v>
      </c>
      <c r="S1898">
        <v>10676.5</v>
      </c>
      <c r="T1898">
        <f t="shared" si="387"/>
        <v>1.6967508019664328E-3</v>
      </c>
      <c r="U1898" t="str">
        <f t="shared" si="381"/>
        <v>2017-08</v>
      </c>
      <c r="W1898">
        <v>22031.17</v>
      </c>
      <c r="X1898">
        <f t="shared" si="388"/>
        <v>4.3387193302986933E-3</v>
      </c>
      <c r="Y1898">
        <f t="shared" si="389"/>
        <v>4.3481452001499551E-3</v>
      </c>
      <c r="Z1898" t="str">
        <f t="shared" si="382"/>
        <v>2017-08</v>
      </c>
    </row>
    <row r="1899" spans="1:26" x14ac:dyDescent="0.35">
      <c r="A1899" s="1">
        <v>42955</v>
      </c>
      <c r="C1899">
        <v>3515.63</v>
      </c>
      <c r="D1899">
        <f t="shared" si="383"/>
        <v>2.8000012596498189E-3</v>
      </c>
      <c r="E1899" t="str">
        <f t="shared" si="377"/>
        <v>2017-08</v>
      </c>
      <c r="G1899">
        <v>5218.8900000000003</v>
      </c>
      <c r="H1899">
        <f t="shared" si="384"/>
        <v>2.1099522730711599E-3</v>
      </c>
      <c r="I1899" t="str">
        <f t="shared" si="378"/>
        <v>2017-08</v>
      </c>
      <c r="K1899">
        <v>12292.05</v>
      </c>
      <c r="L1899">
        <f t="shared" si="385"/>
        <v>2.8416400578993683E-3</v>
      </c>
      <c r="M1899" t="str">
        <f t="shared" si="379"/>
        <v>2017-08</v>
      </c>
      <c r="O1899">
        <v>8332.1750200000006</v>
      </c>
      <c r="P1899">
        <f t="shared" si="386"/>
        <v>1.3449684864855524E-3</v>
      </c>
      <c r="Q1899" t="str">
        <f t="shared" si="380"/>
        <v>2017-08</v>
      </c>
      <c r="S1899">
        <v>10734.7</v>
      </c>
      <c r="T1899">
        <f t="shared" si="387"/>
        <v>5.4364205032944937E-3</v>
      </c>
      <c r="U1899" t="str">
        <f t="shared" si="381"/>
        <v>2017-08</v>
      </c>
      <c r="W1899">
        <v>22048.3</v>
      </c>
      <c r="X1899">
        <f t="shared" si="388"/>
        <v>7.7723261474506235E-4</v>
      </c>
      <c r="Y1899">
        <f t="shared" si="389"/>
        <v>7.7753473828221648E-4</v>
      </c>
      <c r="Z1899" t="str">
        <f t="shared" si="382"/>
        <v>2017-08</v>
      </c>
    </row>
    <row r="1900" spans="1:26" x14ac:dyDescent="0.35">
      <c r="A1900" s="1">
        <v>42956</v>
      </c>
      <c r="C1900">
        <v>3468.45</v>
      </c>
      <c r="D1900">
        <f t="shared" si="383"/>
        <v>-1.3510932780009963E-2</v>
      </c>
      <c r="E1900" t="str">
        <f t="shared" si="377"/>
        <v>2017-08</v>
      </c>
      <c r="G1900">
        <v>5145.7</v>
      </c>
      <c r="H1900">
        <f t="shared" si="384"/>
        <v>-1.4123321151295816E-2</v>
      </c>
      <c r="I1900" t="str">
        <f t="shared" si="378"/>
        <v>2017-08</v>
      </c>
      <c r="K1900">
        <v>12154</v>
      </c>
      <c r="L1900">
        <f t="shared" si="385"/>
        <v>-1.1294378233101711E-2</v>
      </c>
      <c r="M1900" t="str">
        <f t="shared" si="379"/>
        <v>2017-08</v>
      </c>
      <c r="O1900">
        <v>8295.49503</v>
      </c>
      <c r="P1900">
        <f t="shared" si="386"/>
        <v>-4.4119289579408073E-3</v>
      </c>
      <c r="Q1900" t="str">
        <f t="shared" si="380"/>
        <v>2017-08</v>
      </c>
      <c r="S1900">
        <v>10596</v>
      </c>
      <c r="T1900">
        <f t="shared" si="387"/>
        <v>-1.3004913559302686E-2</v>
      </c>
      <c r="U1900" t="str">
        <f t="shared" si="381"/>
        <v>2017-08</v>
      </c>
      <c r="W1900">
        <v>21848.37</v>
      </c>
      <c r="X1900">
        <f t="shared" si="388"/>
        <v>-9.1091821984398465E-3</v>
      </c>
      <c r="Y1900">
        <f t="shared" si="389"/>
        <v>-9.0678192876548439E-3</v>
      </c>
      <c r="Z1900" t="str">
        <f t="shared" si="382"/>
        <v>2017-08</v>
      </c>
    </row>
    <row r="1901" spans="1:26" x14ac:dyDescent="0.35">
      <c r="A1901" s="1">
        <v>42957</v>
      </c>
      <c r="C1901">
        <v>3433.54</v>
      </c>
      <c r="D1901">
        <f t="shared" si="383"/>
        <v>-1.0116009355308167E-2</v>
      </c>
      <c r="E1901" t="str">
        <f t="shared" si="377"/>
        <v>2017-08</v>
      </c>
      <c r="G1901">
        <v>5115.2299999999996</v>
      </c>
      <c r="H1901">
        <f t="shared" si="384"/>
        <v>-5.9390502736579049E-3</v>
      </c>
      <c r="I1901" t="str">
        <f t="shared" si="378"/>
        <v>2017-08</v>
      </c>
      <c r="K1901">
        <v>12014.3</v>
      </c>
      <c r="L1901">
        <f t="shared" si="385"/>
        <v>-1.1560726729639283E-2</v>
      </c>
      <c r="M1901" t="str">
        <f t="shared" si="379"/>
        <v>2017-08</v>
      </c>
      <c r="O1901">
        <v>8157.4076100000002</v>
      </c>
      <c r="P1901">
        <f t="shared" si="386"/>
        <v>-1.6786176333714903E-2</v>
      </c>
      <c r="Q1901" t="str">
        <f t="shared" si="380"/>
        <v>2017-08</v>
      </c>
      <c r="S1901">
        <v>10450</v>
      </c>
      <c r="T1901">
        <f t="shared" si="387"/>
        <v>-1.3874592999003267E-2</v>
      </c>
      <c r="U1901" t="str">
        <f t="shared" si="381"/>
        <v>2017-08</v>
      </c>
      <c r="W1901">
        <v>21681.61</v>
      </c>
      <c r="X1901">
        <f t="shared" si="388"/>
        <v>-7.6618834098006487E-3</v>
      </c>
      <c r="Y1901">
        <f t="shared" si="389"/>
        <v>-7.6326060021868177E-3</v>
      </c>
      <c r="Z1901" t="str">
        <f t="shared" si="382"/>
        <v>2017-08</v>
      </c>
    </row>
    <row r="1902" spans="1:26" x14ac:dyDescent="0.35">
      <c r="A1902" s="1">
        <v>42958</v>
      </c>
      <c r="C1902">
        <v>3406.34</v>
      </c>
      <c r="D1902">
        <f t="shared" si="383"/>
        <v>-7.9533978319306382E-3</v>
      </c>
      <c r="E1902" t="str">
        <f t="shared" si="377"/>
        <v>2017-08</v>
      </c>
      <c r="G1902">
        <v>5060.92</v>
      </c>
      <c r="H1902">
        <f t="shared" si="384"/>
        <v>-1.0674079225290367E-2</v>
      </c>
      <c r="I1902" t="str">
        <f t="shared" si="378"/>
        <v>2017-08</v>
      </c>
      <c r="K1902">
        <v>12014.06</v>
      </c>
      <c r="L1902">
        <f t="shared" si="385"/>
        <v>-1.9976394561084857E-5</v>
      </c>
      <c r="M1902" t="str">
        <f t="shared" si="379"/>
        <v>2017-08</v>
      </c>
      <c r="O1902">
        <v>8048.3148099999999</v>
      </c>
      <c r="P1902">
        <f t="shared" si="386"/>
        <v>-1.3463694504326978E-2</v>
      </c>
      <c r="Q1902" t="str">
        <f t="shared" si="380"/>
        <v>2017-08</v>
      </c>
      <c r="S1902">
        <v>10282.9</v>
      </c>
      <c r="T1902">
        <f t="shared" si="387"/>
        <v>-1.6119656999538351E-2</v>
      </c>
      <c r="U1902" t="str">
        <f t="shared" si="381"/>
        <v>2017-08</v>
      </c>
      <c r="W1902">
        <v>21354.02</v>
      </c>
      <c r="X1902">
        <f t="shared" si="388"/>
        <v>-1.5224423458432257E-2</v>
      </c>
      <c r="Y1902">
        <f t="shared" si="389"/>
        <v>-1.5109117819202548E-2</v>
      </c>
      <c r="Z1902" t="str">
        <f t="shared" si="382"/>
        <v>2017-08</v>
      </c>
    </row>
    <row r="1903" spans="1:26" x14ac:dyDescent="0.35">
      <c r="A1903" s="1">
        <v>42961</v>
      </c>
      <c r="C1903">
        <v>3450.66</v>
      </c>
      <c r="D1903">
        <f t="shared" si="383"/>
        <v>1.2927115996040616E-2</v>
      </c>
      <c r="E1903" t="str">
        <f t="shared" si="377"/>
        <v>2017-08</v>
      </c>
      <c r="G1903">
        <v>5121.67</v>
      </c>
      <c r="H1903">
        <f t="shared" si="384"/>
        <v>1.1932272789664567E-2</v>
      </c>
      <c r="I1903" t="str">
        <f t="shared" si="378"/>
        <v>2017-08</v>
      </c>
      <c r="K1903">
        <v>12165.12</v>
      </c>
      <c r="L1903">
        <f t="shared" si="385"/>
        <v>1.2495209962851908E-2</v>
      </c>
      <c r="M1903" t="str">
        <f t="shared" si="379"/>
        <v>2017-08</v>
      </c>
      <c r="O1903">
        <v>8095.3277399999997</v>
      </c>
      <c r="P1903">
        <f t="shared" si="386"/>
        <v>5.8243438871840589E-3</v>
      </c>
      <c r="Q1903" t="str">
        <f t="shared" si="380"/>
        <v>2017-08</v>
      </c>
      <c r="S1903">
        <v>10461.200000000001</v>
      </c>
      <c r="T1903">
        <f t="shared" si="387"/>
        <v>1.7190853398689664E-2</v>
      </c>
      <c r="U1903" t="str">
        <f t="shared" si="381"/>
        <v>2017-08</v>
      </c>
      <c r="W1903">
        <v>21722.11</v>
      </c>
      <c r="X1903">
        <f t="shared" si="388"/>
        <v>1.7090623487098881E-2</v>
      </c>
      <c r="Y1903">
        <f t="shared" si="389"/>
        <v>1.7237503758074597E-2</v>
      </c>
      <c r="Z1903" t="str">
        <f t="shared" si="382"/>
        <v>2017-08</v>
      </c>
    </row>
    <row r="1904" spans="1:26" x14ac:dyDescent="0.35">
      <c r="A1904" s="1">
        <v>42963</v>
      </c>
      <c r="C1904">
        <v>3484.57</v>
      </c>
      <c r="D1904">
        <f t="shared" si="383"/>
        <v>9.77913356532315E-3</v>
      </c>
      <c r="E1904" t="str">
        <f t="shared" si="377"/>
        <v>2017-08</v>
      </c>
      <c r="G1904">
        <v>5176.6099999999997</v>
      </c>
      <c r="H1904">
        <f t="shared" si="384"/>
        <v>1.066984413358269E-2</v>
      </c>
      <c r="I1904" t="str">
        <f t="shared" si="378"/>
        <v>2017-08</v>
      </c>
      <c r="K1904">
        <v>12263.86</v>
      </c>
      <c r="L1904">
        <f t="shared" si="385"/>
        <v>8.0838854274263277E-3</v>
      </c>
      <c r="M1904" t="str">
        <f t="shared" si="379"/>
        <v>2017-08</v>
      </c>
      <c r="O1904">
        <v>8160.3261300000004</v>
      </c>
      <c r="P1904">
        <f t="shared" si="386"/>
        <v>7.997062058893771E-3</v>
      </c>
      <c r="Q1904" t="str">
        <f t="shared" si="380"/>
        <v>2017-08</v>
      </c>
      <c r="S1904">
        <v>10544.3</v>
      </c>
      <c r="T1904">
        <f t="shared" si="387"/>
        <v>7.9122547457273762E-3</v>
      </c>
      <c r="U1904" t="str">
        <f t="shared" si="381"/>
        <v>2017-08</v>
      </c>
      <c r="W1904">
        <v>21984.85</v>
      </c>
      <c r="X1904">
        <f t="shared" si="388"/>
        <v>1.2022943940300687E-2</v>
      </c>
      <c r="Y1904">
        <f t="shared" si="389"/>
        <v>1.2095510058645221E-2</v>
      </c>
      <c r="Z1904" t="str">
        <f t="shared" si="382"/>
        <v>2017-08</v>
      </c>
    </row>
    <row r="1905" spans="1:26" x14ac:dyDescent="0.35">
      <c r="A1905" s="1">
        <v>42964</v>
      </c>
      <c r="C1905">
        <v>3461.97</v>
      </c>
      <c r="D1905">
        <f t="shared" si="383"/>
        <v>-6.5068594548677592E-3</v>
      </c>
      <c r="E1905" t="str">
        <f t="shared" si="377"/>
        <v>2017-08</v>
      </c>
      <c r="G1905">
        <v>5146.8500000000004</v>
      </c>
      <c r="H1905">
        <f t="shared" si="384"/>
        <v>-5.7655248217786158E-3</v>
      </c>
      <c r="I1905" t="str">
        <f t="shared" si="378"/>
        <v>2017-08</v>
      </c>
      <c r="K1905">
        <v>12203.46</v>
      </c>
      <c r="L1905">
        <f t="shared" si="385"/>
        <v>-4.9372078913910121E-3</v>
      </c>
      <c r="M1905" t="str">
        <f t="shared" si="379"/>
        <v>2017-08</v>
      </c>
      <c r="O1905">
        <v>8102.6830799999998</v>
      </c>
      <c r="P1905">
        <f t="shared" si="386"/>
        <v>-7.088883815616065E-3</v>
      </c>
      <c r="Q1905" t="str">
        <f t="shared" si="380"/>
        <v>2017-08</v>
      </c>
      <c r="S1905">
        <v>10443.799999999999</v>
      </c>
      <c r="T1905">
        <f t="shared" si="387"/>
        <v>-9.5769286532283466E-3</v>
      </c>
      <c r="U1905" t="str">
        <f t="shared" si="381"/>
        <v>2017-08</v>
      </c>
      <c r="W1905">
        <v>21788.86</v>
      </c>
      <c r="X1905">
        <f t="shared" si="388"/>
        <v>-8.954749764701158E-3</v>
      </c>
      <c r="Y1905">
        <f t="shared" si="389"/>
        <v>-8.9147754021518446E-3</v>
      </c>
      <c r="Z1905" t="str">
        <f t="shared" si="382"/>
        <v>2017-08</v>
      </c>
    </row>
    <row r="1906" spans="1:26" x14ac:dyDescent="0.35">
      <c r="A1906" s="1">
        <v>42965</v>
      </c>
      <c r="C1906">
        <v>3446.03</v>
      </c>
      <c r="D1906">
        <f t="shared" si="383"/>
        <v>-4.6149473915711985E-3</v>
      </c>
      <c r="E1906" t="str">
        <f t="shared" si="377"/>
        <v>2017-08</v>
      </c>
      <c r="G1906">
        <v>5114.1499999999996</v>
      </c>
      <c r="H1906">
        <f t="shared" si="384"/>
        <v>-6.3736693693407596E-3</v>
      </c>
      <c r="I1906" t="str">
        <f t="shared" si="378"/>
        <v>2017-08</v>
      </c>
      <c r="K1906">
        <v>12165.19</v>
      </c>
      <c r="L1906">
        <f t="shared" si="385"/>
        <v>-3.1409233964456453E-3</v>
      </c>
      <c r="M1906" t="str">
        <f t="shared" si="379"/>
        <v>2017-08</v>
      </c>
      <c r="O1906">
        <v>8019.0381100000004</v>
      </c>
      <c r="P1906">
        <f t="shared" si="386"/>
        <v>-1.0376772997009115E-2</v>
      </c>
      <c r="Q1906" t="str">
        <f t="shared" si="380"/>
        <v>2017-08</v>
      </c>
      <c r="S1906">
        <v>10385.700000000001</v>
      </c>
      <c r="T1906">
        <f t="shared" si="387"/>
        <v>-5.5786409350743011E-3</v>
      </c>
      <c r="U1906" t="str">
        <f t="shared" si="381"/>
        <v>2017-08</v>
      </c>
      <c r="W1906">
        <v>21814.959999999999</v>
      </c>
      <c r="X1906">
        <f t="shared" si="388"/>
        <v>1.1971429621121055E-3</v>
      </c>
      <c r="Y1906">
        <f t="shared" si="389"/>
        <v>1.1978598237814436E-3</v>
      </c>
      <c r="Z1906" t="str">
        <f t="shared" si="382"/>
        <v>2017-08</v>
      </c>
    </row>
    <row r="1907" spans="1:26" x14ac:dyDescent="0.35">
      <c r="A1907" s="1">
        <v>42968</v>
      </c>
      <c r="C1907">
        <v>3423.53</v>
      </c>
      <c r="D1907">
        <f t="shared" si="383"/>
        <v>-6.5506613111681608E-3</v>
      </c>
      <c r="E1907" t="str">
        <f t="shared" si="377"/>
        <v>2017-08</v>
      </c>
      <c r="G1907">
        <v>5087.59</v>
      </c>
      <c r="H1907">
        <f t="shared" si="384"/>
        <v>-5.2069666564676627E-3</v>
      </c>
      <c r="I1907" t="str">
        <f t="shared" si="378"/>
        <v>2017-08</v>
      </c>
      <c r="K1907">
        <v>12065.99</v>
      </c>
      <c r="L1907">
        <f t="shared" si="385"/>
        <v>-8.1878434482485114E-3</v>
      </c>
      <c r="M1907" t="str">
        <f t="shared" si="379"/>
        <v>2017-08</v>
      </c>
      <c r="O1907">
        <v>7989.8598599999996</v>
      </c>
      <c r="P1907">
        <f t="shared" si="386"/>
        <v>-3.6452580764139413E-3</v>
      </c>
      <c r="Q1907" t="str">
        <f t="shared" si="380"/>
        <v>2017-08</v>
      </c>
      <c r="S1907">
        <v>10360.200000000001</v>
      </c>
      <c r="T1907">
        <f t="shared" si="387"/>
        <v>-2.4583183030934034E-3</v>
      </c>
      <c r="U1907" t="str">
        <f t="shared" si="381"/>
        <v>2017-08</v>
      </c>
      <c r="W1907">
        <v>21752.799999999999</v>
      </c>
      <c r="X1907">
        <f t="shared" si="388"/>
        <v>-2.8534880920018644E-3</v>
      </c>
      <c r="Y1907">
        <f t="shared" si="389"/>
        <v>-2.8494207644662131E-3</v>
      </c>
      <c r="Z1907" t="str">
        <f t="shared" si="382"/>
        <v>2017-08</v>
      </c>
    </row>
    <row r="1908" spans="1:26" x14ac:dyDescent="0.35">
      <c r="A1908" s="1">
        <v>42969</v>
      </c>
      <c r="C1908">
        <v>3455.59</v>
      </c>
      <c r="D1908">
        <f t="shared" si="383"/>
        <v>9.3210271424823254E-3</v>
      </c>
      <c r="E1908" t="str">
        <f t="shared" si="377"/>
        <v>2017-08</v>
      </c>
      <c r="G1908">
        <v>5131.8599999999997</v>
      </c>
      <c r="H1908">
        <f t="shared" si="384"/>
        <v>8.6639255384203789E-3</v>
      </c>
      <c r="I1908" t="str">
        <f t="shared" si="378"/>
        <v>2017-08</v>
      </c>
      <c r="K1908">
        <v>12229.34</v>
      </c>
      <c r="L1908">
        <f t="shared" si="385"/>
        <v>1.3447231341508933E-2</v>
      </c>
      <c r="M1908" t="str">
        <f t="shared" si="379"/>
        <v>2017-08</v>
      </c>
      <c r="O1908">
        <v>8056.9144500000002</v>
      </c>
      <c r="P1908">
        <f t="shared" si="386"/>
        <v>8.3574404425355991E-3</v>
      </c>
      <c r="Q1908" t="str">
        <f t="shared" si="380"/>
        <v>2017-08</v>
      </c>
      <c r="S1908">
        <v>10409.799999999999</v>
      </c>
      <c r="T1908">
        <f t="shared" si="387"/>
        <v>4.7761284821469917E-3</v>
      </c>
      <c r="U1908" t="str">
        <f t="shared" si="381"/>
        <v>2017-08</v>
      </c>
      <c r="W1908">
        <v>21729.48</v>
      </c>
      <c r="X1908">
        <f t="shared" si="388"/>
        <v>-1.0726209497678278E-3</v>
      </c>
      <c r="Y1908">
        <f t="shared" si="389"/>
        <v>-1.0720458975396138E-3</v>
      </c>
      <c r="Z1908" t="str">
        <f t="shared" si="382"/>
        <v>2017-08</v>
      </c>
    </row>
    <row r="1909" spans="1:26" x14ac:dyDescent="0.35">
      <c r="A1909" s="1">
        <v>42970</v>
      </c>
      <c r="C1909">
        <v>3438.63</v>
      </c>
      <c r="D1909">
        <f t="shared" si="383"/>
        <v>-4.9200733985045476E-3</v>
      </c>
      <c r="E1909" t="str">
        <f t="shared" si="377"/>
        <v>2017-08</v>
      </c>
      <c r="G1909">
        <v>5115.3900000000003</v>
      </c>
      <c r="H1909">
        <f t="shared" si="384"/>
        <v>-3.2145237370539547E-3</v>
      </c>
      <c r="I1909" t="str">
        <f t="shared" si="378"/>
        <v>2017-08</v>
      </c>
      <c r="K1909">
        <v>12174.3</v>
      </c>
      <c r="L1909">
        <f t="shared" si="385"/>
        <v>-4.5108101354345096E-3</v>
      </c>
      <c r="M1909" t="str">
        <f t="shared" si="379"/>
        <v>2017-08</v>
      </c>
      <c r="O1909">
        <v>8001.3637399999998</v>
      </c>
      <c r="P1909">
        <f t="shared" si="386"/>
        <v>-6.9186659907184362E-3</v>
      </c>
      <c r="Q1909" t="str">
        <f t="shared" si="380"/>
        <v>2017-08</v>
      </c>
      <c r="S1909">
        <v>10338.1</v>
      </c>
      <c r="T1909">
        <f t="shared" si="387"/>
        <v>-6.9115703685054247E-3</v>
      </c>
      <c r="U1909" t="str">
        <f t="shared" si="381"/>
        <v>2017-08</v>
      </c>
      <c r="W1909">
        <v>21620.28</v>
      </c>
      <c r="X1909">
        <f t="shared" si="388"/>
        <v>-5.038100832866872E-3</v>
      </c>
      <c r="Y1909">
        <f t="shared" si="389"/>
        <v>-5.0254308892804028E-3</v>
      </c>
      <c r="Z1909" t="str">
        <f t="shared" si="382"/>
        <v>2017-08</v>
      </c>
    </row>
    <row r="1910" spans="1:26" x14ac:dyDescent="0.35">
      <c r="A1910" s="1">
        <v>42971</v>
      </c>
      <c r="C1910">
        <v>3444.73</v>
      </c>
      <c r="D1910">
        <f t="shared" si="383"/>
        <v>1.7723906920056819E-3</v>
      </c>
      <c r="E1910" t="str">
        <f t="shared" si="377"/>
        <v>2017-08</v>
      </c>
      <c r="G1910">
        <v>5113.13</v>
      </c>
      <c r="H1910">
        <f t="shared" si="384"/>
        <v>-4.4190167038381565E-4</v>
      </c>
      <c r="I1910" t="str">
        <f t="shared" si="378"/>
        <v>2017-08</v>
      </c>
      <c r="K1910">
        <v>12180.83</v>
      </c>
      <c r="L1910">
        <f t="shared" si="385"/>
        <v>5.3623200996861316E-4</v>
      </c>
      <c r="M1910" t="str">
        <f t="shared" si="379"/>
        <v>2017-08</v>
      </c>
      <c r="O1910">
        <v>8028.9166999999998</v>
      </c>
      <c r="P1910">
        <f t="shared" si="386"/>
        <v>3.4376176058047211E-3</v>
      </c>
      <c r="Q1910" t="str">
        <f t="shared" si="380"/>
        <v>2017-08</v>
      </c>
      <c r="S1910">
        <v>10357.4</v>
      </c>
      <c r="T1910">
        <f t="shared" si="387"/>
        <v>1.8651403053789295E-3</v>
      </c>
      <c r="U1910" t="str">
        <f t="shared" si="381"/>
        <v>2017-08</v>
      </c>
      <c r="W1910">
        <v>21729.87</v>
      </c>
      <c r="X1910">
        <f t="shared" si="388"/>
        <v>5.0560486392656322E-3</v>
      </c>
      <c r="Y1910">
        <f t="shared" si="389"/>
        <v>5.0688520222679891E-3</v>
      </c>
      <c r="Z1910" t="str">
        <f t="shared" si="382"/>
        <v>2017-08</v>
      </c>
    </row>
    <row r="1911" spans="1:26" x14ac:dyDescent="0.35">
      <c r="A1911" s="1">
        <v>42972</v>
      </c>
      <c r="C1911">
        <v>3438.55</v>
      </c>
      <c r="D1911">
        <f t="shared" si="383"/>
        <v>-1.7956560420484872E-3</v>
      </c>
      <c r="E1911" t="str">
        <f t="shared" si="377"/>
        <v>2017-08</v>
      </c>
      <c r="G1911">
        <v>5104.33</v>
      </c>
      <c r="H1911">
        <f t="shared" si="384"/>
        <v>-1.722542036065919E-3</v>
      </c>
      <c r="I1911" t="str">
        <f t="shared" si="378"/>
        <v>2017-08</v>
      </c>
      <c r="K1911">
        <v>12167.94</v>
      </c>
      <c r="L1911">
        <f t="shared" si="385"/>
        <v>-1.0587804808338947E-3</v>
      </c>
      <c r="M1911" t="str">
        <f t="shared" si="379"/>
        <v>2017-08</v>
      </c>
      <c r="O1911">
        <v>8021.6210300000002</v>
      </c>
      <c r="P1911">
        <f t="shared" si="386"/>
        <v>-9.0908736207836983E-4</v>
      </c>
      <c r="Q1911" t="str">
        <f t="shared" si="380"/>
        <v>2017-08</v>
      </c>
      <c r="S1911">
        <v>10345.299999999999</v>
      </c>
      <c r="T1911">
        <f t="shared" si="387"/>
        <v>-1.1689297896200631E-3</v>
      </c>
      <c r="U1911" t="str">
        <f t="shared" si="381"/>
        <v>2017-08</v>
      </c>
      <c r="W1911">
        <v>21746.5</v>
      </c>
      <c r="X1911">
        <f t="shared" si="388"/>
        <v>7.6501330773722843E-4</v>
      </c>
      <c r="Y1911">
        <f t="shared" si="389"/>
        <v>7.6530600505207897E-4</v>
      </c>
      <c r="Z1911" t="str">
        <f t="shared" si="382"/>
        <v>2017-08</v>
      </c>
    </row>
    <row r="1912" spans="1:26" x14ac:dyDescent="0.35">
      <c r="A1912" s="1">
        <v>42976</v>
      </c>
      <c r="C1912">
        <v>3388.22</v>
      </c>
      <c r="D1912">
        <f t="shared" si="383"/>
        <v>-1.4745161149849379E-2</v>
      </c>
      <c r="E1912" t="str">
        <f t="shared" si="377"/>
        <v>2017-08</v>
      </c>
      <c r="G1912">
        <v>5031.92</v>
      </c>
      <c r="H1912">
        <f t="shared" si="384"/>
        <v>-1.4287578104278508E-2</v>
      </c>
      <c r="I1912" t="str">
        <f t="shared" si="378"/>
        <v>2017-08</v>
      </c>
      <c r="K1912">
        <v>11945.88</v>
      </c>
      <c r="L1912">
        <f t="shared" si="385"/>
        <v>-1.8418174922119682E-2</v>
      </c>
      <c r="M1912" t="str">
        <f t="shared" si="379"/>
        <v>2017-08</v>
      </c>
      <c r="O1912">
        <v>7893.7215100000003</v>
      </c>
      <c r="P1912">
        <f t="shared" si="386"/>
        <v>-1.6072826969959295E-2</v>
      </c>
      <c r="Q1912" t="str">
        <f t="shared" si="380"/>
        <v>2017-08</v>
      </c>
      <c r="S1912">
        <v>10192.6</v>
      </c>
      <c r="T1912">
        <f t="shared" si="387"/>
        <v>-1.4870343494921672E-2</v>
      </c>
      <c r="U1912" t="str">
        <f t="shared" si="381"/>
        <v>2017-08</v>
      </c>
      <c r="W1912">
        <v>21408.62</v>
      </c>
      <c r="X1912">
        <f t="shared" si="388"/>
        <v>-1.5659180383048643E-2</v>
      </c>
      <c r="Y1912">
        <f t="shared" si="389"/>
        <v>-1.5537212884832089E-2</v>
      </c>
      <c r="Z1912" t="str">
        <f t="shared" si="382"/>
        <v>2017-08</v>
      </c>
    </row>
    <row r="1913" spans="1:26" x14ac:dyDescent="0.35">
      <c r="A1913" s="1">
        <v>42977</v>
      </c>
      <c r="C1913">
        <v>3403.71</v>
      </c>
      <c r="D1913">
        <f t="shared" si="383"/>
        <v>4.5613034458275806E-3</v>
      </c>
      <c r="E1913" t="str">
        <f t="shared" si="377"/>
        <v>2017-08</v>
      </c>
      <c r="G1913">
        <v>5056.34</v>
      </c>
      <c r="H1913">
        <f t="shared" si="384"/>
        <v>4.841280398463885E-3</v>
      </c>
      <c r="I1913" t="str">
        <f t="shared" si="378"/>
        <v>2017-08</v>
      </c>
      <c r="K1913">
        <v>12002.47</v>
      </c>
      <c r="L1913">
        <f t="shared" si="385"/>
        <v>4.7260128843140221E-3</v>
      </c>
      <c r="M1913" t="str">
        <f t="shared" si="379"/>
        <v>2017-08</v>
      </c>
      <c r="O1913">
        <v>8001.92436</v>
      </c>
      <c r="P1913">
        <f t="shared" si="386"/>
        <v>1.3614359827856233E-2</v>
      </c>
      <c r="Q1913" t="str">
        <f t="shared" si="380"/>
        <v>2017-08</v>
      </c>
      <c r="S1913">
        <v>10245.799999999999</v>
      </c>
      <c r="T1913">
        <f t="shared" si="387"/>
        <v>5.205898715105065E-3</v>
      </c>
      <c r="U1913" t="str">
        <f t="shared" si="381"/>
        <v>2017-08</v>
      </c>
      <c r="W1913">
        <v>21503.46</v>
      </c>
      <c r="X1913">
        <f t="shared" si="388"/>
        <v>4.4202077558182932E-3</v>
      </c>
      <c r="Y1913">
        <f t="shared" si="389"/>
        <v>4.4299912838847225E-3</v>
      </c>
      <c r="Z1913" t="str">
        <f t="shared" si="382"/>
        <v>2017-08</v>
      </c>
    </row>
    <row r="1914" spans="1:26" x14ac:dyDescent="0.35">
      <c r="A1914" s="1">
        <v>42978</v>
      </c>
      <c r="C1914">
        <v>3421.47</v>
      </c>
      <c r="D1914">
        <f t="shared" si="383"/>
        <v>5.204270095421429E-3</v>
      </c>
      <c r="E1914" t="str">
        <f t="shared" si="377"/>
        <v>2017-08</v>
      </c>
      <c r="G1914">
        <v>5085.59</v>
      </c>
      <c r="H1914">
        <f t="shared" si="384"/>
        <v>5.7681488827742051E-3</v>
      </c>
      <c r="I1914" t="str">
        <f t="shared" si="378"/>
        <v>2017-08</v>
      </c>
      <c r="K1914">
        <v>12055.84</v>
      </c>
      <c r="L1914">
        <f t="shared" si="385"/>
        <v>4.4367278954364521E-3</v>
      </c>
      <c r="M1914" t="str">
        <f t="shared" si="379"/>
        <v>2017-08</v>
      </c>
      <c r="O1914">
        <v>8064.1708799999997</v>
      </c>
      <c r="P1914">
        <f t="shared" si="386"/>
        <v>7.7488438271621565E-3</v>
      </c>
      <c r="Q1914" t="str">
        <f t="shared" si="380"/>
        <v>2017-08</v>
      </c>
      <c r="S1914">
        <v>10299.5</v>
      </c>
      <c r="T1914">
        <f t="shared" si="387"/>
        <v>5.2274848540999211E-3</v>
      </c>
      <c r="U1914" t="str">
        <f t="shared" si="381"/>
        <v>2017-08</v>
      </c>
      <c r="W1914">
        <v>21670.02</v>
      </c>
      <c r="X1914">
        <f t="shared" si="388"/>
        <v>7.7158860644803602E-3</v>
      </c>
      <c r="Y1914">
        <f t="shared" si="389"/>
        <v>7.7457302220201455E-3</v>
      </c>
      <c r="Z1914" t="str">
        <f t="shared" si="382"/>
        <v>2017-08</v>
      </c>
    </row>
    <row r="1915" spans="1:26" x14ac:dyDescent="0.35">
      <c r="A1915" s="1">
        <v>42979</v>
      </c>
      <c r="C1915">
        <v>3443.88</v>
      </c>
      <c r="D1915">
        <f t="shared" si="383"/>
        <v>6.5284594650691719E-3</v>
      </c>
      <c r="E1915" t="str">
        <f t="shared" si="377"/>
        <v>2017-09</v>
      </c>
      <c r="G1915">
        <v>5123.26</v>
      </c>
      <c r="H1915">
        <f t="shared" si="384"/>
        <v>7.3799048802297715E-3</v>
      </c>
      <c r="I1915" t="str">
        <f t="shared" si="378"/>
        <v>2017-09</v>
      </c>
      <c r="K1915">
        <v>12142.64</v>
      </c>
      <c r="L1915">
        <f t="shared" si="385"/>
        <v>7.1740350861748126E-3</v>
      </c>
      <c r="M1915" t="str">
        <f t="shared" si="379"/>
        <v>2017-09</v>
      </c>
      <c r="O1915">
        <v>8127.9005299999999</v>
      </c>
      <c r="P1915">
        <f t="shared" si="386"/>
        <v>7.8717512376401677E-3</v>
      </c>
      <c r="Q1915" t="str">
        <f t="shared" si="380"/>
        <v>2017-09</v>
      </c>
      <c r="S1915">
        <v>10325.5</v>
      </c>
      <c r="T1915">
        <f t="shared" si="387"/>
        <v>2.5212134567226489E-3</v>
      </c>
      <c r="U1915" t="str">
        <f t="shared" si="381"/>
        <v>2017-09</v>
      </c>
      <c r="W1915">
        <v>21858.560000000001</v>
      </c>
      <c r="X1915">
        <f t="shared" si="388"/>
        <v>8.662868353852847E-3</v>
      </c>
      <c r="Y1915">
        <f t="shared" si="389"/>
        <v>8.7004995842182367E-3</v>
      </c>
      <c r="Z1915" t="str">
        <f t="shared" si="382"/>
        <v>2017-09</v>
      </c>
    </row>
    <row r="1916" spans="1:26" x14ac:dyDescent="0.35">
      <c r="A1916" s="1">
        <v>42982</v>
      </c>
      <c r="C1916">
        <v>3429.98</v>
      </c>
      <c r="D1916">
        <f t="shared" si="383"/>
        <v>-4.0443124958122441E-3</v>
      </c>
      <c r="E1916" t="str">
        <f t="shared" si="377"/>
        <v>2017-09</v>
      </c>
      <c r="G1916">
        <v>5103.97</v>
      </c>
      <c r="H1916">
        <f t="shared" si="384"/>
        <v>-3.7722868997681611E-3</v>
      </c>
      <c r="I1916" t="str">
        <f t="shared" si="378"/>
        <v>2017-09</v>
      </c>
      <c r="K1916">
        <v>12102.21</v>
      </c>
      <c r="L1916">
        <f t="shared" si="385"/>
        <v>-3.3351443688756886E-3</v>
      </c>
      <c r="M1916" t="str">
        <f t="shared" si="379"/>
        <v>2017-09</v>
      </c>
      <c r="O1916">
        <v>8053.5605100000002</v>
      </c>
      <c r="P1916">
        <f t="shared" si="386"/>
        <v>-9.1883597945121315E-3</v>
      </c>
      <c r="Q1916" t="str">
        <f t="shared" si="380"/>
        <v>2017-09</v>
      </c>
      <c r="S1916">
        <v>10243.200000000001</v>
      </c>
      <c r="T1916">
        <f t="shared" si="387"/>
        <v>-8.0024930313023976E-3</v>
      </c>
      <c r="U1916" t="str">
        <f t="shared" si="381"/>
        <v>2017-09</v>
      </c>
      <c r="W1916">
        <v>21790.62</v>
      </c>
      <c r="X1916">
        <f t="shared" si="388"/>
        <v>-3.1130048658907158E-3</v>
      </c>
      <c r="Y1916">
        <f t="shared" si="389"/>
        <v>-3.1081644902501504E-3</v>
      </c>
      <c r="Z1916" t="str">
        <f t="shared" si="382"/>
        <v>2017-09</v>
      </c>
    </row>
    <row r="1917" spans="1:26" x14ac:dyDescent="0.35">
      <c r="A1917" s="1">
        <v>42983</v>
      </c>
      <c r="C1917">
        <v>3420.86</v>
      </c>
      <c r="D1917">
        <f t="shared" si="383"/>
        <v>-2.662448805507265E-3</v>
      </c>
      <c r="E1917" t="str">
        <f t="shared" si="377"/>
        <v>2017-09</v>
      </c>
      <c r="G1917">
        <v>5086.5600000000004</v>
      </c>
      <c r="H1917">
        <f t="shared" si="384"/>
        <v>-3.4169011697695053E-3</v>
      </c>
      <c r="I1917" t="str">
        <f t="shared" si="378"/>
        <v>2017-09</v>
      </c>
      <c r="K1917">
        <v>12123.71</v>
      </c>
      <c r="L1917">
        <f t="shared" si="385"/>
        <v>1.7749588576704328E-3</v>
      </c>
      <c r="M1917" t="str">
        <f t="shared" si="379"/>
        <v>2017-09</v>
      </c>
      <c r="O1917">
        <v>8063.5699000000004</v>
      </c>
      <c r="P1917">
        <f t="shared" si="386"/>
        <v>1.2420810692993559E-3</v>
      </c>
      <c r="Q1917" t="str">
        <f t="shared" si="380"/>
        <v>2017-09</v>
      </c>
      <c r="S1917">
        <v>10179.799999999999</v>
      </c>
      <c r="T1917">
        <f t="shared" si="387"/>
        <v>-6.2087062294450971E-3</v>
      </c>
      <c r="U1917" t="str">
        <f t="shared" si="381"/>
        <v>2017-09</v>
      </c>
      <c r="W1917">
        <v>21737.69</v>
      </c>
      <c r="X1917">
        <f t="shared" si="388"/>
        <v>-2.4319816729859735E-3</v>
      </c>
      <c r="Y1917">
        <f t="shared" si="389"/>
        <v>-2.4290268014402661E-3</v>
      </c>
      <c r="Z1917" t="str">
        <f t="shared" si="382"/>
        <v>2017-09</v>
      </c>
    </row>
    <row r="1918" spans="1:26" x14ac:dyDescent="0.35">
      <c r="A1918" s="1">
        <v>42984</v>
      </c>
      <c r="C1918">
        <v>3433.8</v>
      </c>
      <c r="D1918">
        <f t="shared" si="383"/>
        <v>3.7755382094232137E-3</v>
      </c>
      <c r="E1918" t="str">
        <f t="shared" si="377"/>
        <v>2017-09</v>
      </c>
      <c r="G1918">
        <v>5101.41</v>
      </c>
      <c r="H1918">
        <f t="shared" si="384"/>
        <v>2.9152049950663117E-3</v>
      </c>
      <c r="I1918" t="str">
        <f t="shared" si="378"/>
        <v>2017-09</v>
      </c>
      <c r="K1918">
        <v>12214.54</v>
      </c>
      <c r="L1918">
        <f t="shared" si="385"/>
        <v>7.464005973179551E-3</v>
      </c>
      <c r="M1918" t="str">
        <f t="shared" si="379"/>
        <v>2017-09</v>
      </c>
      <c r="O1918">
        <v>8045.33313</v>
      </c>
      <c r="P1918">
        <f t="shared" si="386"/>
        <v>-2.2641861779162001E-3</v>
      </c>
      <c r="Q1918" t="str">
        <f t="shared" si="380"/>
        <v>2017-09</v>
      </c>
      <c r="S1918">
        <v>10131</v>
      </c>
      <c r="T1918">
        <f t="shared" si="387"/>
        <v>-4.8053344924215329E-3</v>
      </c>
      <c r="U1918" t="str">
        <f t="shared" si="381"/>
        <v>2017-09</v>
      </c>
      <c r="W1918">
        <v>21814.560000000001</v>
      </c>
      <c r="X1918">
        <f t="shared" si="388"/>
        <v>3.5300164663446282E-3</v>
      </c>
      <c r="Y1918">
        <f t="shared" si="389"/>
        <v>3.5362543122108478E-3</v>
      </c>
      <c r="Z1918" t="str">
        <f t="shared" si="382"/>
        <v>2017-09</v>
      </c>
    </row>
    <row r="1919" spans="1:26" x14ac:dyDescent="0.35">
      <c r="A1919" s="1">
        <v>42985</v>
      </c>
      <c r="C1919">
        <v>3447.66</v>
      </c>
      <c r="D1919">
        <f t="shared" si="383"/>
        <v>4.0282203897634376E-3</v>
      </c>
      <c r="E1919" t="str">
        <f t="shared" si="377"/>
        <v>2017-09</v>
      </c>
      <c r="G1919">
        <v>5114.62</v>
      </c>
      <c r="H1919">
        <f t="shared" si="384"/>
        <v>2.5861332361918924E-3</v>
      </c>
      <c r="I1919" t="str">
        <f t="shared" si="378"/>
        <v>2017-09</v>
      </c>
      <c r="K1919">
        <v>12296.63</v>
      </c>
      <c r="L1919">
        <f t="shared" si="385"/>
        <v>6.6981957139871035E-3</v>
      </c>
      <c r="M1919" t="str">
        <f t="shared" si="379"/>
        <v>2017-09</v>
      </c>
      <c r="O1919">
        <v>8064.5529699999997</v>
      </c>
      <c r="P1919">
        <f t="shared" si="386"/>
        <v>2.3860937314660238E-3</v>
      </c>
      <c r="Q1919" t="str">
        <f t="shared" si="380"/>
        <v>2017-09</v>
      </c>
      <c r="S1919">
        <v>10124.9</v>
      </c>
      <c r="T1919">
        <f t="shared" si="387"/>
        <v>-6.0229367092077472E-4</v>
      </c>
      <c r="U1919" t="str">
        <f t="shared" si="381"/>
        <v>2017-09</v>
      </c>
      <c r="W1919">
        <v>21722.51</v>
      </c>
      <c r="X1919">
        <f t="shared" si="388"/>
        <v>-4.2285866808084967E-3</v>
      </c>
      <c r="Y1919">
        <f t="shared" si="389"/>
        <v>-4.2196587966937173E-3</v>
      </c>
      <c r="Z1919" t="str">
        <f t="shared" si="382"/>
        <v>2017-09</v>
      </c>
    </row>
    <row r="1920" spans="1:26" x14ac:dyDescent="0.35">
      <c r="A1920" s="1">
        <v>42986</v>
      </c>
      <c r="C1920">
        <v>3447.69</v>
      </c>
      <c r="D1920">
        <f t="shared" si="383"/>
        <v>8.7015162394097647E-6</v>
      </c>
      <c r="E1920" t="str">
        <f t="shared" si="377"/>
        <v>2017-09</v>
      </c>
      <c r="G1920">
        <v>5113.49</v>
      </c>
      <c r="H1920">
        <f t="shared" si="384"/>
        <v>-2.2095968944367864E-4</v>
      </c>
      <c r="I1920" t="str">
        <f t="shared" si="378"/>
        <v>2017-09</v>
      </c>
      <c r="K1920">
        <v>12303.98</v>
      </c>
      <c r="L1920">
        <f t="shared" si="385"/>
        <v>5.9754617618845089E-4</v>
      </c>
      <c r="M1920" t="str">
        <f t="shared" si="379"/>
        <v>2017-09</v>
      </c>
      <c r="O1920">
        <v>8090.4530800000002</v>
      </c>
      <c r="P1920">
        <f t="shared" si="386"/>
        <v>3.2064527998920942E-3</v>
      </c>
      <c r="Q1920" t="str">
        <f t="shared" si="380"/>
        <v>2017-09</v>
      </c>
      <c r="S1920">
        <v>10129.6</v>
      </c>
      <c r="T1920">
        <f t="shared" si="387"/>
        <v>4.6409440710550894E-4</v>
      </c>
      <c r="U1920" t="str">
        <f t="shared" si="381"/>
        <v>2017-09</v>
      </c>
      <c r="W1920">
        <v>21776.66</v>
      </c>
      <c r="X1920">
        <f t="shared" si="388"/>
        <v>2.489703963146708E-3</v>
      </c>
      <c r="Y1920">
        <f t="shared" si="389"/>
        <v>2.4928058497844614E-3</v>
      </c>
      <c r="Z1920" t="str">
        <f t="shared" si="382"/>
        <v>2017-09</v>
      </c>
    </row>
    <row r="1921" spans="1:26" x14ac:dyDescent="0.35">
      <c r="A1921" s="1">
        <v>42989</v>
      </c>
      <c r="C1921">
        <v>3495.19</v>
      </c>
      <c r="D1921">
        <f t="shared" si="383"/>
        <v>1.3683296017413247E-2</v>
      </c>
      <c r="E1921" t="str">
        <f t="shared" si="377"/>
        <v>2017-09</v>
      </c>
      <c r="G1921">
        <v>5176.71</v>
      </c>
      <c r="H1921">
        <f t="shared" si="384"/>
        <v>1.2287573698179011E-2</v>
      </c>
      <c r="I1921" t="str">
        <f t="shared" si="378"/>
        <v>2017-09</v>
      </c>
      <c r="K1921">
        <v>12475.24</v>
      </c>
      <c r="L1921">
        <f t="shared" si="385"/>
        <v>1.3823092655158416E-2</v>
      </c>
      <c r="M1921" t="str">
        <f t="shared" si="379"/>
        <v>2017-09</v>
      </c>
      <c r="O1921">
        <v>8162.3811699999997</v>
      </c>
      <c r="P1921">
        <f t="shared" si="386"/>
        <v>8.8512020102060902E-3</v>
      </c>
      <c r="Q1921" t="str">
        <f t="shared" si="380"/>
        <v>2017-09</v>
      </c>
      <c r="S1921">
        <v>10322.6</v>
      </c>
      <c r="T1921">
        <f t="shared" si="387"/>
        <v>1.8873835499143163E-2</v>
      </c>
      <c r="U1921" t="str">
        <f t="shared" si="381"/>
        <v>2017-09</v>
      </c>
      <c r="W1921">
        <v>22134.11</v>
      </c>
      <c r="X1921">
        <f t="shared" si="388"/>
        <v>1.628110351363778E-2</v>
      </c>
      <c r="Y1921">
        <f t="shared" si="389"/>
        <v>1.6414362900463188E-2</v>
      </c>
      <c r="Z1921" t="str">
        <f t="shared" si="382"/>
        <v>2017-09</v>
      </c>
    </row>
    <row r="1922" spans="1:26" x14ac:dyDescent="0.35">
      <c r="A1922" s="1">
        <v>42990</v>
      </c>
      <c r="C1922">
        <v>3512.56</v>
      </c>
      <c r="D1922">
        <f t="shared" si="383"/>
        <v>4.9573787801141305E-3</v>
      </c>
      <c r="E1922" t="str">
        <f t="shared" si="377"/>
        <v>2017-09</v>
      </c>
      <c r="G1922">
        <v>5209.01</v>
      </c>
      <c r="H1922">
        <f t="shared" si="384"/>
        <v>6.2200991629912062E-3</v>
      </c>
      <c r="I1922" t="str">
        <f t="shared" si="378"/>
        <v>2017-09</v>
      </c>
      <c r="K1922">
        <v>12524.77</v>
      </c>
      <c r="L1922">
        <f t="shared" si="385"/>
        <v>3.9624035993893053E-3</v>
      </c>
      <c r="M1922" t="str">
        <f t="shared" si="379"/>
        <v>2017-09</v>
      </c>
      <c r="O1922">
        <v>8211.7160500000009</v>
      </c>
      <c r="P1922">
        <f t="shared" si="386"/>
        <v>6.0259846544720537E-3</v>
      </c>
      <c r="Q1922" t="str">
        <f t="shared" si="380"/>
        <v>2017-09</v>
      </c>
      <c r="S1922">
        <v>10336.200000000001</v>
      </c>
      <c r="T1922">
        <f t="shared" si="387"/>
        <v>1.3166303913732516E-3</v>
      </c>
      <c r="U1922" t="str">
        <f t="shared" si="381"/>
        <v>2017-09</v>
      </c>
      <c r="W1922">
        <v>22233.4</v>
      </c>
      <c r="X1922">
        <f t="shared" si="388"/>
        <v>4.47580518965064E-3</v>
      </c>
      <c r="Y1922">
        <f t="shared" si="389"/>
        <v>4.4858365662771562E-3</v>
      </c>
      <c r="Z1922" t="str">
        <f t="shared" si="382"/>
        <v>2017-09</v>
      </c>
    </row>
    <row r="1923" spans="1:26" x14ac:dyDescent="0.35">
      <c r="A1923" s="1">
        <v>42991</v>
      </c>
      <c r="C1923">
        <v>3523.14</v>
      </c>
      <c r="D1923">
        <f t="shared" si="383"/>
        <v>3.0075210639553224E-3</v>
      </c>
      <c r="E1923" t="str">
        <f t="shared" si="377"/>
        <v>2017-09</v>
      </c>
      <c r="G1923">
        <v>5217.59</v>
      </c>
      <c r="H1923">
        <f t="shared" si="384"/>
        <v>1.6457909455947425E-3</v>
      </c>
      <c r="I1923" t="str">
        <f t="shared" si="378"/>
        <v>2017-09</v>
      </c>
      <c r="K1923">
        <v>12553.57</v>
      </c>
      <c r="L1923">
        <f t="shared" si="385"/>
        <v>2.2968037486321797E-3</v>
      </c>
      <c r="M1923" t="str">
        <f t="shared" si="379"/>
        <v>2017-09</v>
      </c>
      <c r="O1923">
        <v>8200.2187900000008</v>
      </c>
      <c r="P1923">
        <f t="shared" si="386"/>
        <v>-1.4010854896617554E-3</v>
      </c>
      <c r="Q1923" t="str">
        <f t="shared" si="380"/>
        <v>2017-09</v>
      </c>
      <c r="S1923">
        <v>10371</v>
      </c>
      <c r="T1923">
        <f t="shared" si="387"/>
        <v>3.361152909355597E-3</v>
      </c>
      <c r="U1923" t="str">
        <f t="shared" si="381"/>
        <v>2017-09</v>
      </c>
      <c r="W1923">
        <v>22233.3</v>
      </c>
      <c r="X1923">
        <f t="shared" si="388"/>
        <v>-4.4977477529617159E-6</v>
      </c>
      <c r="Y1923">
        <f t="shared" si="389"/>
        <v>-4.4977376380662775E-6</v>
      </c>
      <c r="Z1923" t="str">
        <f t="shared" si="382"/>
        <v>2017-09</v>
      </c>
    </row>
    <row r="1924" spans="1:26" x14ac:dyDescent="0.35">
      <c r="A1924" s="1">
        <v>42992</v>
      </c>
      <c r="C1924">
        <v>3526.48</v>
      </c>
      <c r="D1924">
        <f t="shared" si="383"/>
        <v>9.4756887602783575E-4</v>
      </c>
      <c r="E1924" t="str">
        <f t="shared" ref="E1924:E1987" si="390">_xlfn.CONCAT(YEAR(A1924),"-",TEXT(MONTH(A1924),"00"))</f>
        <v>2017-09</v>
      </c>
      <c r="G1924">
        <v>5225.2</v>
      </c>
      <c r="H1924">
        <f t="shared" si="384"/>
        <v>1.4574651691930858E-3</v>
      </c>
      <c r="I1924" t="str">
        <f t="shared" ref="I1924:I1987" si="391">_xlfn.CONCAT(YEAR(A1924),"-",TEXT(MONTH(A1924),"00"))</f>
        <v>2017-09</v>
      </c>
      <c r="K1924">
        <v>12540.45</v>
      </c>
      <c r="L1924">
        <f t="shared" si="385"/>
        <v>-1.0456675491190104E-3</v>
      </c>
      <c r="M1924" t="str">
        <f t="shared" ref="M1924:M1987" si="392">_xlfn.CONCAT(YEAR(A1924),"-",TEXT(MONTH(A1924),"00"))</f>
        <v>2017-09</v>
      </c>
      <c r="O1924">
        <v>8218.0567100000007</v>
      </c>
      <c r="P1924">
        <f t="shared" si="386"/>
        <v>2.1729355216020822E-3</v>
      </c>
      <c r="Q1924" t="str">
        <f t="shared" ref="Q1924:Q1987" si="393">_xlfn.CONCAT(YEAR(A1924),"-",TEXT(MONTH(A1924),"00"))</f>
        <v>2017-09</v>
      </c>
      <c r="S1924">
        <v>10361.1</v>
      </c>
      <c r="T1924">
        <f t="shared" si="387"/>
        <v>-9.5504080652563772E-4</v>
      </c>
      <c r="U1924" t="str">
        <f t="shared" ref="U1924:U1987" si="394">_xlfn.CONCAT(YEAR(A1924),"-",TEXT(MONTH(A1924),"00"))</f>
        <v>2017-09</v>
      </c>
      <c r="W1924">
        <v>22281.14</v>
      </c>
      <c r="X1924">
        <f t="shared" si="388"/>
        <v>2.1494157140177867E-3</v>
      </c>
      <c r="Y1924">
        <f t="shared" si="389"/>
        <v>2.1517273639090981E-3</v>
      </c>
      <c r="Z1924" t="str">
        <f t="shared" ref="Z1924:Z1987" si="395">_xlfn.CONCAT(YEAR(A1924),"-",TEXT(MONTH(A1924),"00"))</f>
        <v>2017-09</v>
      </c>
    </row>
    <row r="1925" spans="1:26" x14ac:dyDescent="0.35">
      <c r="A1925" s="1">
        <v>42993</v>
      </c>
      <c r="C1925">
        <v>3515.55</v>
      </c>
      <c r="D1925">
        <f t="shared" ref="D1925:D1988" si="396">LN(C1925/C1924)</f>
        <v>-3.1042210206317536E-3</v>
      </c>
      <c r="E1925" t="str">
        <f t="shared" si="390"/>
        <v>2017-09</v>
      </c>
      <c r="G1925">
        <v>5213.91</v>
      </c>
      <c r="H1925">
        <f t="shared" ref="H1925:H1988" si="397">LN(G1925/G1924)</f>
        <v>-2.1630204877305446E-3</v>
      </c>
      <c r="I1925" t="str">
        <f t="shared" si="391"/>
        <v>2017-09</v>
      </c>
      <c r="K1925">
        <v>12518.81</v>
      </c>
      <c r="L1925">
        <f t="shared" ref="L1925:L1988" si="398">LN(K1925/K1924)</f>
        <v>-1.7271064970919945E-3</v>
      </c>
      <c r="M1925" t="str">
        <f t="shared" si="392"/>
        <v>2017-09</v>
      </c>
      <c r="O1925">
        <v>8198.2719799999995</v>
      </c>
      <c r="P1925">
        <f t="shared" ref="P1925:P1988" si="399">LN(O1925/O1924)</f>
        <v>-2.4103732268705045E-3</v>
      </c>
      <c r="Q1925" t="str">
        <f t="shared" si="393"/>
        <v>2017-09</v>
      </c>
      <c r="S1925">
        <v>10317.4</v>
      </c>
      <c r="T1925">
        <f t="shared" ref="T1925:T1988" si="400">LN(S1925/S1924)</f>
        <v>-4.2266184738564807E-3</v>
      </c>
      <c r="U1925" t="str">
        <f t="shared" si="394"/>
        <v>2017-09</v>
      </c>
      <c r="W1925">
        <v>22229.49</v>
      </c>
      <c r="X1925">
        <f t="shared" ref="X1925:X1988" si="401">LN(W1925/W1924)</f>
        <v>-2.3207949733635362E-3</v>
      </c>
      <c r="Y1925">
        <f t="shared" ref="Y1925:Y1988" si="402">(W1925-W1924)/W1924</f>
        <v>-2.3181040108359724E-3</v>
      </c>
      <c r="Z1925" t="str">
        <f t="shared" si="395"/>
        <v>2017-09</v>
      </c>
    </row>
    <row r="1926" spans="1:26" x14ac:dyDescent="0.35">
      <c r="A1926" s="1">
        <v>42996</v>
      </c>
      <c r="C1926">
        <v>3526.74</v>
      </c>
      <c r="D1926">
        <f t="shared" si="396"/>
        <v>3.1779462128469198E-3</v>
      </c>
      <c r="E1926" t="str">
        <f t="shared" si="390"/>
        <v>2017-09</v>
      </c>
      <c r="G1926">
        <v>5229.32</v>
      </c>
      <c r="H1926">
        <f t="shared" si="397"/>
        <v>2.9511963606133822E-3</v>
      </c>
      <c r="I1926" t="str">
        <f t="shared" si="391"/>
        <v>2017-09</v>
      </c>
      <c r="K1926">
        <v>12559.39</v>
      </c>
      <c r="L1926">
        <f t="shared" si="398"/>
        <v>3.2362797503730826E-3</v>
      </c>
      <c r="M1926" t="str">
        <f t="shared" si="392"/>
        <v>2017-09</v>
      </c>
      <c r="O1926">
        <v>8195.3433499999992</v>
      </c>
      <c r="P1926">
        <f t="shared" si="399"/>
        <v>-3.5728909971380113E-4</v>
      </c>
      <c r="Q1926" t="str">
        <f t="shared" si="393"/>
        <v>2017-09</v>
      </c>
      <c r="S1926">
        <v>10338.4</v>
      </c>
      <c r="T1926">
        <f t="shared" si="400"/>
        <v>2.0333279016294644E-3</v>
      </c>
      <c r="U1926" t="str">
        <f t="shared" si="394"/>
        <v>2017-09</v>
      </c>
      <c r="W1926">
        <v>22364.74</v>
      </c>
      <c r="X1926">
        <f t="shared" si="401"/>
        <v>6.0658257672131831E-3</v>
      </c>
      <c r="Y1926">
        <f t="shared" si="402"/>
        <v>6.0842601427203227E-3</v>
      </c>
      <c r="Z1926" t="str">
        <f t="shared" si="395"/>
        <v>2017-09</v>
      </c>
    </row>
    <row r="1927" spans="1:26" x14ac:dyDescent="0.35">
      <c r="A1927" s="1">
        <v>42997</v>
      </c>
      <c r="C1927">
        <v>3531.18</v>
      </c>
      <c r="D1927">
        <f t="shared" si="396"/>
        <v>1.2581612105829936E-3</v>
      </c>
      <c r="E1927" t="str">
        <f t="shared" si="390"/>
        <v>2017-09</v>
      </c>
      <c r="G1927">
        <v>5237.4399999999996</v>
      </c>
      <c r="H1927">
        <f t="shared" si="397"/>
        <v>1.5515788322278846E-3</v>
      </c>
      <c r="I1927" t="str">
        <f t="shared" si="391"/>
        <v>2017-09</v>
      </c>
      <c r="K1927">
        <v>12561.79</v>
      </c>
      <c r="L1927">
        <f t="shared" si="398"/>
        <v>1.9107382752743359E-4</v>
      </c>
      <c r="M1927" t="str">
        <f t="shared" si="392"/>
        <v>2017-09</v>
      </c>
      <c r="O1927">
        <v>8195.7447200000006</v>
      </c>
      <c r="P1927">
        <f t="shared" si="399"/>
        <v>4.8974174059502145E-5</v>
      </c>
      <c r="Q1927" t="str">
        <f t="shared" si="393"/>
        <v>2017-09</v>
      </c>
      <c r="S1927">
        <v>10378.4</v>
      </c>
      <c r="T1927">
        <f t="shared" si="400"/>
        <v>3.861605045821137E-3</v>
      </c>
      <c r="U1927" t="str">
        <f t="shared" si="394"/>
        <v>2017-09</v>
      </c>
      <c r="W1927">
        <v>22425.42</v>
      </c>
      <c r="X1927">
        <f t="shared" si="401"/>
        <v>2.7095253566251989E-3</v>
      </c>
      <c r="Y1927">
        <f t="shared" si="402"/>
        <v>2.7131994380438424E-3</v>
      </c>
      <c r="Z1927" t="str">
        <f t="shared" si="395"/>
        <v>2017-09</v>
      </c>
    </row>
    <row r="1928" spans="1:26" x14ac:dyDescent="0.35">
      <c r="A1928" s="1">
        <v>42998</v>
      </c>
      <c r="C1928">
        <v>3525.55</v>
      </c>
      <c r="D1928">
        <f t="shared" si="396"/>
        <v>-1.5956402454195867E-3</v>
      </c>
      <c r="E1928" t="str">
        <f t="shared" si="390"/>
        <v>2017-09</v>
      </c>
      <c r="G1928">
        <v>5241.66</v>
      </c>
      <c r="H1928">
        <f t="shared" si="397"/>
        <v>8.0541272210838701E-4</v>
      </c>
      <c r="I1928" t="str">
        <f t="shared" si="391"/>
        <v>2017-09</v>
      </c>
      <c r="K1928">
        <v>12569.17</v>
      </c>
      <c r="L1928">
        <f t="shared" si="398"/>
        <v>5.8732338216626993E-4</v>
      </c>
      <c r="M1928" t="str">
        <f t="shared" si="392"/>
        <v>2017-09</v>
      </c>
      <c r="O1928">
        <v>8227.8927800000001</v>
      </c>
      <c r="P1928">
        <f t="shared" si="399"/>
        <v>3.9148576018819816E-3</v>
      </c>
      <c r="Q1928" t="str">
        <f t="shared" si="393"/>
        <v>2017-09</v>
      </c>
      <c r="S1928">
        <v>10292.1</v>
      </c>
      <c r="T1928">
        <f t="shared" si="400"/>
        <v>-8.3501126178778251E-3</v>
      </c>
      <c r="U1928" t="str">
        <f t="shared" si="394"/>
        <v>2017-09</v>
      </c>
      <c r="W1928">
        <v>22355.58</v>
      </c>
      <c r="X1928">
        <f t="shared" si="401"/>
        <v>-3.1191825383315016E-3</v>
      </c>
      <c r="Y1928">
        <f t="shared" si="402"/>
        <v>-3.1143229424464075E-3</v>
      </c>
      <c r="Z1928" t="str">
        <f t="shared" si="395"/>
        <v>2017-09</v>
      </c>
    </row>
    <row r="1929" spans="1:26" x14ac:dyDescent="0.35">
      <c r="A1929" s="1">
        <v>42999</v>
      </c>
      <c r="C1929">
        <v>3539.59</v>
      </c>
      <c r="D1929">
        <f t="shared" si="396"/>
        <v>3.9744487672145803E-3</v>
      </c>
      <c r="E1929" t="str">
        <f t="shared" si="390"/>
        <v>2017-09</v>
      </c>
      <c r="G1929">
        <v>5267.29</v>
      </c>
      <c r="H1929">
        <f t="shared" si="397"/>
        <v>4.8777567343678673E-3</v>
      </c>
      <c r="I1929" t="str">
        <f t="shared" si="391"/>
        <v>2017-09</v>
      </c>
      <c r="K1929">
        <v>12600.03</v>
      </c>
      <c r="L1929">
        <f t="shared" si="398"/>
        <v>2.4522047156224878E-3</v>
      </c>
      <c r="M1929" t="str">
        <f t="shared" si="392"/>
        <v>2017-09</v>
      </c>
      <c r="O1929">
        <v>8262.8155999999999</v>
      </c>
      <c r="P1929">
        <f t="shared" si="399"/>
        <v>4.2354605275065869E-3</v>
      </c>
      <c r="Q1929" t="str">
        <f t="shared" si="393"/>
        <v>2017-09</v>
      </c>
      <c r="S1929">
        <v>10297</v>
      </c>
      <c r="T1929">
        <f t="shared" si="400"/>
        <v>4.7598001782596025E-4</v>
      </c>
      <c r="U1929" t="str">
        <f t="shared" si="394"/>
        <v>2017-09</v>
      </c>
      <c r="W1929">
        <v>22491.73</v>
      </c>
      <c r="X1929">
        <f t="shared" si="401"/>
        <v>6.0717317615883041E-3</v>
      </c>
      <c r="Y1929">
        <f t="shared" si="402"/>
        <v>6.0902020882481157E-3</v>
      </c>
      <c r="Z1929" t="str">
        <f t="shared" si="395"/>
        <v>2017-09</v>
      </c>
    </row>
    <row r="1930" spans="1:26" x14ac:dyDescent="0.35">
      <c r="A1930" s="1">
        <v>43000</v>
      </c>
      <c r="C1930">
        <v>3541.42</v>
      </c>
      <c r="D1930">
        <f t="shared" si="396"/>
        <v>5.1687542899731475E-4</v>
      </c>
      <c r="E1930" t="str">
        <f t="shared" si="390"/>
        <v>2017-09</v>
      </c>
      <c r="G1930">
        <v>5281.29</v>
      </c>
      <c r="H1930">
        <f t="shared" si="397"/>
        <v>2.6543872673034834E-3</v>
      </c>
      <c r="I1930" t="str">
        <f t="shared" si="391"/>
        <v>2017-09</v>
      </c>
      <c r="K1930">
        <v>12592.35</v>
      </c>
      <c r="L1930">
        <f t="shared" si="398"/>
        <v>-6.0970819255004366E-4</v>
      </c>
      <c r="M1930" t="str">
        <f t="shared" si="392"/>
        <v>2017-09</v>
      </c>
      <c r="O1930">
        <v>8280.6998100000001</v>
      </c>
      <c r="P1930">
        <f t="shared" si="399"/>
        <v>2.1620818216157847E-3</v>
      </c>
      <c r="Q1930" t="str">
        <f t="shared" si="393"/>
        <v>2017-09</v>
      </c>
      <c r="S1930">
        <v>10305</v>
      </c>
      <c r="T1930">
        <f t="shared" si="400"/>
        <v>7.766236678086255E-4</v>
      </c>
      <c r="U1930" t="str">
        <f t="shared" si="394"/>
        <v>2017-09</v>
      </c>
      <c r="W1930">
        <v>22530.83</v>
      </c>
      <c r="X1930">
        <f t="shared" si="401"/>
        <v>1.7369074450628889E-3</v>
      </c>
      <c r="Y1930">
        <f t="shared" si="402"/>
        <v>1.738416742509455E-3</v>
      </c>
      <c r="Z1930" t="str">
        <f t="shared" si="395"/>
        <v>2017-09</v>
      </c>
    </row>
    <row r="1931" spans="1:26" x14ac:dyDescent="0.35">
      <c r="A1931" s="1">
        <v>43003</v>
      </c>
      <c r="C1931">
        <v>3537.81</v>
      </c>
      <c r="D1931">
        <f t="shared" si="396"/>
        <v>-1.0198850193924177E-3</v>
      </c>
      <c r="E1931" t="str">
        <f t="shared" si="390"/>
        <v>2017-09</v>
      </c>
      <c r="G1931">
        <v>5267.13</v>
      </c>
      <c r="H1931">
        <f t="shared" si="397"/>
        <v>-2.6847638803513766E-3</v>
      </c>
      <c r="I1931" t="str">
        <f t="shared" si="391"/>
        <v>2017-09</v>
      </c>
      <c r="K1931">
        <v>12594.81</v>
      </c>
      <c r="L1931">
        <f t="shared" si="398"/>
        <v>1.9533762502957057E-4</v>
      </c>
      <c r="M1931" t="str">
        <f t="shared" si="392"/>
        <v>2017-09</v>
      </c>
      <c r="O1931">
        <v>8293.0819499999998</v>
      </c>
      <c r="P1931">
        <f t="shared" si="399"/>
        <v>1.4941843066338173E-3</v>
      </c>
      <c r="Q1931" t="str">
        <f t="shared" si="393"/>
        <v>2017-09</v>
      </c>
      <c r="S1931">
        <v>10216.5</v>
      </c>
      <c r="T1931">
        <f t="shared" si="400"/>
        <v>-8.6251539750766288E-3</v>
      </c>
      <c r="U1931" t="str">
        <f t="shared" si="394"/>
        <v>2017-09</v>
      </c>
      <c r="W1931">
        <v>22389.57</v>
      </c>
      <c r="X1931">
        <f t="shared" si="401"/>
        <v>-6.2893681107702836E-3</v>
      </c>
      <c r="Y1931">
        <f t="shared" si="402"/>
        <v>-6.2696314339064311E-3</v>
      </c>
      <c r="Z1931" t="str">
        <f t="shared" si="395"/>
        <v>2017-09</v>
      </c>
    </row>
    <row r="1932" spans="1:26" x14ac:dyDescent="0.35">
      <c r="A1932" s="1">
        <v>43004</v>
      </c>
      <c r="C1932">
        <v>3536.38</v>
      </c>
      <c r="D1932">
        <f t="shared" si="396"/>
        <v>-4.0428657400420112E-4</v>
      </c>
      <c r="E1932" t="str">
        <f t="shared" si="390"/>
        <v>2017-09</v>
      </c>
      <c r="G1932">
        <v>5268.76</v>
      </c>
      <c r="H1932">
        <f t="shared" si="397"/>
        <v>3.0941857080988975E-4</v>
      </c>
      <c r="I1932" t="str">
        <f t="shared" si="391"/>
        <v>2017-09</v>
      </c>
      <c r="K1932">
        <v>12605.2</v>
      </c>
      <c r="L1932">
        <f t="shared" si="398"/>
        <v>8.2460289410537255E-4</v>
      </c>
      <c r="M1932" t="str">
        <f t="shared" si="392"/>
        <v>2017-09</v>
      </c>
      <c r="O1932">
        <v>8306.0651600000001</v>
      </c>
      <c r="P1932">
        <f t="shared" si="399"/>
        <v>1.5643228608759672E-3</v>
      </c>
      <c r="Q1932" t="str">
        <f t="shared" si="393"/>
        <v>2017-09</v>
      </c>
      <c r="S1932">
        <v>10189.6</v>
      </c>
      <c r="T1932">
        <f t="shared" si="400"/>
        <v>-2.6364680739329942E-3</v>
      </c>
      <c r="U1932" t="str">
        <f t="shared" si="394"/>
        <v>2017-09</v>
      </c>
      <c r="W1932">
        <v>22430.65</v>
      </c>
      <c r="X1932">
        <f t="shared" si="401"/>
        <v>1.8331017341412191E-3</v>
      </c>
      <c r="Y1932">
        <f t="shared" si="402"/>
        <v>1.834782892212836E-3</v>
      </c>
      <c r="Z1932" t="str">
        <f t="shared" si="395"/>
        <v>2017-09</v>
      </c>
    </row>
    <row r="1933" spans="1:26" x14ac:dyDescent="0.35">
      <c r="A1933" s="1">
        <v>43005</v>
      </c>
      <c r="C1933">
        <v>3555.17</v>
      </c>
      <c r="D1933">
        <f t="shared" si="396"/>
        <v>5.2992770190546708E-3</v>
      </c>
      <c r="E1933" t="str">
        <f t="shared" si="390"/>
        <v>2017-09</v>
      </c>
      <c r="G1933">
        <v>5281.96</v>
      </c>
      <c r="H1933">
        <f t="shared" si="397"/>
        <v>2.5022002075888337E-3</v>
      </c>
      <c r="I1933" t="str">
        <f t="shared" si="391"/>
        <v>2017-09</v>
      </c>
      <c r="K1933">
        <v>12657.41</v>
      </c>
      <c r="L1933">
        <f t="shared" si="398"/>
        <v>4.1333871942358102E-3</v>
      </c>
      <c r="M1933" t="str">
        <f t="shared" si="392"/>
        <v>2017-09</v>
      </c>
      <c r="O1933">
        <v>8340.9610699999994</v>
      </c>
      <c r="P1933">
        <f t="shared" si="399"/>
        <v>4.1924558333389737E-3</v>
      </c>
      <c r="Q1933" t="str">
        <f t="shared" si="393"/>
        <v>2017-09</v>
      </c>
      <c r="S1933">
        <v>10368.9</v>
      </c>
      <c r="T1933">
        <f t="shared" si="400"/>
        <v>1.7443349104677531E-2</v>
      </c>
      <c r="U1933" t="str">
        <f t="shared" si="394"/>
        <v>2017-09</v>
      </c>
      <c r="W1933">
        <v>22622.19</v>
      </c>
      <c r="X1933">
        <f t="shared" si="401"/>
        <v>8.5029558194873924E-3</v>
      </c>
      <c r="Y1933">
        <f t="shared" si="402"/>
        <v>8.5392086274805774E-3</v>
      </c>
      <c r="Z1933" t="str">
        <f t="shared" si="395"/>
        <v>2017-09</v>
      </c>
    </row>
    <row r="1934" spans="1:26" x14ac:dyDescent="0.35">
      <c r="A1934" s="1">
        <v>43006</v>
      </c>
      <c r="C1934">
        <v>3563.64</v>
      </c>
      <c r="D1934">
        <f t="shared" si="396"/>
        <v>2.3796123219524878E-3</v>
      </c>
      <c r="E1934" t="str">
        <f t="shared" si="390"/>
        <v>2017-09</v>
      </c>
      <c r="G1934">
        <v>5293.77</v>
      </c>
      <c r="H1934">
        <f t="shared" si="397"/>
        <v>2.2334164940237228E-3</v>
      </c>
      <c r="I1934" t="str">
        <f t="shared" si="391"/>
        <v>2017-09</v>
      </c>
      <c r="K1934">
        <v>12704.65</v>
      </c>
      <c r="L1934">
        <f t="shared" si="398"/>
        <v>3.7252537555024119E-3</v>
      </c>
      <c r="M1934" t="str">
        <f t="shared" si="392"/>
        <v>2017-09</v>
      </c>
      <c r="O1934">
        <v>8351.2710399999996</v>
      </c>
      <c r="P1934">
        <f t="shared" si="399"/>
        <v>1.2353016951977501E-3</v>
      </c>
      <c r="Q1934" t="str">
        <f t="shared" si="393"/>
        <v>2017-09</v>
      </c>
      <c r="S1934">
        <v>10328.5</v>
      </c>
      <c r="T1934">
        <f t="shared" si="400"/>
        <v>-3.9038769419198721E-3</v>
      </c>
      <c r="U1934" t="str">
        <f t="shared" si="394"/>
        <v>2017-09</v>
      </c>
      <c r="W1934">
        <v>22587.67</v>
      </c>
      <c r="X1934">
        <f t="shared" si="401"/>
        <v>-1.5271008009533336E-3</v>
      </c>
      <c r="Y1934">
        <f t="shared" si="402"/>
        <v>-1.5259353758411737E-3</v>
      </c>
      <c r="Z1934" t="str">
        <f t="shared" si="395"/>
        <v>2017-09</v>
      </c>
    </row>
    <row r="1935" spans="1:26" x14ac:dyDescent="0.35">
      <c r="A1935" s="1">
        <v>43007</v>
      </c>
      <c r="C1935">
        <v>3594.85</v>
      </c>
      <c r="D1935">
        <f t="shared" si="396"/>
        <v>8.7197712793007053E-3</v>
      </c>
      <c r="E1935" t="str">
        <f t="shared" si="390"/>
        <v>2017-09</v>
      </c>
      <c r="G1935">
        <v>5329.81</v>
      </c>
      <c r="H1935">
        <f t="shared" si="397"/>
        <v>6.7849328115917699E-3</v>
      </c>
      <c r="I1935" t="str">
        <f t="shared" si="391"/>
        <v>2017-09</v>
      </c>
      <c r="K1935">
        <v>12828.86</v>
      </c>
      <c r="L1935">
        <f t="shared" si="398"/>
        <v>9.7292522486137917E-3</v>
      </c>
      <c r="M1935" t="str">
        <f t="shared" si="392"/>
        <v>2017-09</v>
      </c>
      <c r="O1935">
        <v>8367.2049599999991</v>
      </c>
      <c r="P1935">
        <f t="shared" si="399"/>
        <v>1.9061456109411878E-3</v>
      </c>
      <c r="Q1935" t="str">
        <f t="shared" si="393"/>
        <v>2017-09</v>
      </c>
      <c r="S1935">
        <v>10381.5</v>
      </c>
      <c r="T1935">
        <f t="shared" si="400"/>
        <v>5.1183115117203306E-3</v>
      </c>
      <c r="U1935" t="str">
        <f t="shared" si="394"/>
        <v>2017-09</v>
      </c>
      <c r="W1935">
        <v>22696.32</v>
      </c>
      <c r="X1935">
        <f t="shared" si="401"/>
        <v>4.7986146312425692E-3</v>
      </c>
      <c r="Y1935">
        <f t="shared" si="402"/>
        <v>4.8101464205914761E-3</v>
      </c>
      <c r="Z1935" t="str">
        <f t="shared" si="395"/>
        <v>2017-09</v>
      </c>
    </row>
    <row r="1936" spans="1:26" x14ac:dyDescent="0.35">
      <c r="A1936" s="1">
        <v>43010</v>
      </c>
      <c r="C1936">
        <v>3602.69</v>
      </c>
      <c r="D1936">
        <f t="shared" si="396"/>
        <v>2.1785229677627406E-3</v>
      </c>
      <c r="E1936" t="str">
        <f t="shared" si="390"/>
        <v>2017-10</v>
      </c>
      <c r="G1936">
        <v>5350.44</v>
      </c>
      <c r="H1936">
        <f t="shared" si="397"/>
        <v>3.8632102539758388E-3</v>
      </c>
      <c r="I1936" t="str">
        <f t="shared" si="391"/>
        <v>2017-10</v>
      </c>
      <c r="K1936">
        <v>12902.65</v>
      </c>
      <c r="L1936">
        <f t="shared" si="398"/>
        <v>5.7353961951947538E-3</v>
      </c>
      <c r="M1936" t="str">
        <f t="shared" si="392"/>
        <v>2017-10</v>
      </c>
      <c r="O1936">
        <v>8408.0493299999998</v>
      </c>
      <c r="P1936">
        <f t="shared" si="399"/>
        <v>4.8696073401943898E-3</v>
      </c>
      <c r="Q1936" t="str">
        <f t="shared" si="393"/>
        <v>2017-10</v>
      </c>
      <c r="S1936">
        <v>10255.700000000001</v>
      </c>
      <c r="T1936">
        <f t="shared" si="400"/>
        <v>-1.2191727387446991E-2</v>
      </c>
      <c r="U1936" t="str">
        <f t="shared" si="394"/>
        <v>2017-10</v>
      </c>
      <c r="W1936">
        <v>22811.19</v>
      </c>
      <c r="X1936">
        <f t="shared" si="401"/>
        <v>5.0484082283871277E-3</v>
      </c>
      <c r="Y1936">
        <f t="shared" si="402"/>
        <v>5.0611729126131015E-3</v>
      </c>
      <c r="Z1936" t="str">
        <f t="shared" si="395"/>
        <v>2017-10</v>
      </c>
    </row>
    <row r="1937" spans="1:26" x14ac:dyDescent="0.35">
      <c r="A1937" s="1">
        <v>43012</v>
      </c>
      <c r="C1937">
        <v>3594.91</v>
      </c>
      <c r="D1937">
        <f t="shared" si="396"/>
        <v>-2.1618325636320202E-3</v>
      </c>
      <c r="E1937" t="str">
        <f t="shared" si="390"/>
        <v>2017-10</v>
      </c>
      <c r="G1937">
        <v>5363.23</v>
      </c>
      <c r="H1937">
        <f t="shared" si="397"/>
        <v>2.3876050085452991E-3</v>
      </c>
      <c r="I1937" t="str">
        <f t="shared" si="391"/>
        <v>2017-10</v>
      </c>
      <c r="K1937">
        <v>12970.52</v>
      </c>
      <c r="L1937">
        <f t="shared" si="398"/>
        <v>5.2463734187609126E-3</v>
      </c>
      <c r="M1937" t="str">
        <f t="shared" si="392"/>
        <v>2017-10</v>
      </c>
      <c r="O1937">
        <v>8426.18289</v>
      </c>
      <c r="P1937">
        <f t="shared" si="399"/>
        <v>2.1543681679841707E-3</v>
      </c>
      <c r="Q1937" t="str">
        <f t="shared" si="393"/>
        <v>2017-10</v>
      </c>
      <c r="S1937">
        <v>9964.9</v>
      </c>
      <c r="T1937">
        <f t="shared" si="400"/>
        <v>-2.8764730088968141E-2</v>
      </c>
      <c r="U1937" t="str">
        <f t="shared" si="394"/>
        <v>2017-10</v>
      </c>
      <c r="W1937">
        <v>22456.38</v>
      </c>
      <c r="X1937">
        <f t="shared" si="401"/>
        <v>-1.5676444139148486E-2</v>
      </c>
      <c r="Y1937">
        <f t="shared" si="402"/>
        <v>-1.5554208263575802E-2</v>
      </c>
      <c r="Z1937" t="str">
        <f t="shared" si="395"/>
        <v>2017-10</v>
      </c>
    </row>
    <row r="1938" spans="1:26" x14ac:dyDescent="0.35">
      <c r="A1938" s="1">
        <v>43013</v>
      </c>
      <c r="C1938">
        <v>3613.54</v>
      </c>
      <c r="D1938">
        <f t="shared" si="396"/>
        <v>5.1689451906215926E-3</v>
      </c>
      <c r="E1938" t="str">
        <f t="shared" si="390"/>
        <v>2017-10</v>
      </c>
      <c r="G1938">
        <v>5379.21</v>
      </c>
      <c r="H1938">
        <f t="shared" si="397"/>
        <v>2.9751177175789162E-3</v>
      </c>
      <c r="I1938" t="str">
        <f t="shared" si="391"/>
        <v>2017-10</v>
      </c>
      <c r="K1938">
        <v>12968.05</v>
      </c>
      <c r="L1938">
        <f t="shared" si="398"/>
        <v>-1.9044997526596801E-4</v>
      </c>
      <c r="M1938" t="str">
        <f t="shared" si="392"/>
        <v>2017-10</v>
      </c>
      <c r="O1938">
        <v>8421.7218099999991</v>
      </c>
      <c r="P1938">
        <f t="shared" si="399"/>
        <v>-5.295709091063793E-4</v>
      </c>
      <c r="Q1938" t="str">
        <f t="shared" si="393"/>
        <v>2017-10</v>
      </c>
      <c r="S1938">
        <v>10214.700000000001</v>
      </c>
      <c r="T1938">
        <f t="shared" si="400"/>
        <v>2.4758940771220834E-2</v>
      </c>
      <c r="U1938" t="str">
        <f t="shared" si="394"/>
        <v>2017-10</v>
      </c>
      <c r="W1938">
        <v>22566.03</v>
      </c>
      <c r="X1938">
        <f t="shared" si="401"/>
        <v>4.8709172518631673E-3</v>
      </c>
      <c r="Y1938">
        <f t="shared" si="402"/>
        <v>4.8827994538744807E-3</v>
      </c>
      <c r="Z1938" t="str">
        <f t="shared" si="395"/>
        <v>2017-10</v>
      </c>
    </row>
    <row r="1939" spans="1:26" x14ac:dyDescent="0.35">
      <c r="A1939" s="1">
        <v>43014</v>
      </c>
      <c r="C1939">
        <v>3603.32</v>
      </c>
      <c r="D1939">
        <f t="shared" si="396"/>
        <v>-2.8322585811014329E-3</v>
      </c>
      <c r="E1939" t="str">
        <f t="shared" si="390"/>
        <v>2017-10</v>
      </c>
      <c r="G1939">
        <v>5359.9</v>
      </c>
      <c r="H1939">
        <f t="shared" si="397"/>
        <v>-3.5962050506700319E-3</v>
      </c>
      <c r="I1939" t="str">
        <f t="shared" si="391"/>
        <v>2017-10</v>
      </c>
      <c r="K1939">
        <v>12955.94</v>
      </c>
      <c r="L1939">
        <f t="shared" si="398"/>
        <v>-9.342698312150388E-4</v>
      </c>
      <c r="M1939" t="str">
        <f t="shared" si="392"/>
        <v>2017-10</v>
      </c>
      <c r="O1939">
        <v>8376.9249299999992</v>
      </c>
      <c r="P1939">
        <f t="shared" si="399"/>
        <v>-5.3334041582407728E-3</v>
      </c>
      <c r="Q1939" t="str">
        <f t="shared" si="393"/>
        <v>2017-10</v>
      </c>
      <c r="S1939">
        <v>10185.5</v>
      </c>
      <c r="T1939">
        <f t="shared" si="400"/>
        <v>-2.862718987221066E-3</v>
      </c>
      <c r="U1939" t="str">
        <f t="shared" si="394"/>
        <v>2017-10</v>
      </c>
      <c r="W1939">
        <v>22392.31</v>
      </c>
      <c r="X1939">
        <f t="shared" si="401"/>
        <v>-7.7280818016277446E-3</v>
      </c>
      <c r="Y1939">
        <f t="shared" si="402"/>
        <v>-7.6982969534294485E-3</v>
      </c>
      <c r="Z1939" t="str">
        <f t="shared" si="395"/>
        <v>2017-10</v>
      </c>
    </row>
    <row r="1940" spans="1:26" x14ac:dyDescent="0.35">
      <c r="A1940" s="1">
        <v>43017</v>
      </c>
      <c r="C1940">
        <v>3610.5</v>
      </c>
      <c r="D1940">
        <f t="shared" si="396"/>
        <v>1.990624210458937E-3</v>
      </c>
      <c r="E1940" t="str">
        <f t="shared" si="390"/>
        <v>2017-10</v>
      </c>
      <c r="G1940">
        <v>5365.83</v>
      </c>
      <c r="H1940">
        <f t="shared" si="397"/>
        <v>1.1057523551706785E-3</v>
      </c>
      <c r="I1940" t="str">
        <f t="shared" si="391"/>
        <v>2017-10</v>
      </c>
      <c r="K1940">
        <v>12976.4</v>
      </c>
      <c r="L1940">
        <f t="shared" si="398"/>
        <v>1.5779527991178579E-3</v>
      </c>
      <c r="M1940" t="str">
        <f t="shared" si="392"/>
        <v>2017-10</v>
      </c>
      <c r="O1940">
        <v>8399.2522599999993</v>
      </c>
      <c r="P1940">
        <f t="shared" si="399"/>
        <v>2.6617915309077962E-3</v>
      </c>
      <c r="Q1940" t="str">
        <f t="shared" si="393"/>
        <v>2017-10</v>
      </c>
      <c r="S1940">
        <v>10236</v>
      </c>
      <c r="T1940">
        <f t="shared" si="400"/>
        <v>4.9457780220670752E-3</v>
      </c>
      <c r="U1940" t="str">
        <f t="shared" si="394"/>
        <v>2017-10</v>
      </c>
      <c r="W1940">
        <v>22476.75</v>
      </c>
      <c r="X1940">
        <f t="shared" si="401"/>
        <v>3.7638452726727208E-3</v>
      </c>
      <c r="Y1940">
        <f t="shared" si="402"/>
        <v>3.7709374334313293E-3</v>
      </c>
      <c r="Z1940" t="str">
        <f t="shared" si="395"/>
        <v>2017-10</v>
      </c>
    </row>
    <row r="1941" spans="1:26" x14ac:dyDescent="0.35">
      <c r="A1941" s="1">
        <v>43018</v>
      </c>
      <c r="C1941">
        <v>3598.79</v>
      </c>
      <c r="D1941">
        <f t="shared" si="396"/>
        <v>-3.2485890561456459E-3</v>
      </c>
      <c r="E1941" t="str">
        <f t="shared" si="390"/>
        <v>2017-10</v>
      </c>
      <c r="G1941">
        <v>5363.65</v>
      </c>
      <c r="H1941">
        <f t="shared" si="397"/>
        <v>-4.0635707042623346E-4</v>
      </c>
      <c r="I1941" t="str">
        <f t="shared" si="391"/>
        <v>2017-10</v>
      </c>
      <c r="K1941">
        <v>12949.25</v>
      </c>
      <c r="L1941">
        <f t="shared" si="398"/>
        <v>-2.0944516280185679E-3</v>
      </c>
      <c r="M1941" t="str">
        <f t="shared" si="392"/>
        <v>2017-10</v>
      </c>
      <c r="O1941">
        <v>8437.5992800000004</v>
      </c>
      <c r="P1941">
        <f t="shared" si="399"/>
        <v>4.5551374275593316E-3</v>
      </c>
      <c r="Q1941" t="str">
        <f t="shared" si="393"/>
        <v>2017-10</v>
      </c>
      <c r="S1941">
        <v>10142.299999999999</v>
      </c>
      <c r="T1941">
        <f t="shared" si="400"/>
        <v>-9.196121397689605E-3</v>
      </c>
      <c r="U1941" t="str">
        <f t="shared" si="394"/>
        <v>2017-10</v>
      </c>
      <c r="W1941">
        <v>22335.91</v>
      </c>
      <c r="X1941">
        <f t="shared" si="401"/>
        <v>-6.2857444178602709E-3</v>
      </c>
      <c r="Y1941">
        <f t="shared" si="402"/>
        <v>-6.2660304536910428E-3</v>
      </c>
      <c r="Z1941" t="str">
        <f t="shared" si="395"/>
        <v>2017-10</v>
      </c>
    </row>
    <row r="1942" spans="1:26" x14ac:dyDescent="0.35">
      <c r="A1942" s="1">
        <v>43019</v>
      </c>
      <c r="C1942">
        <v>3607.39</v>
      </c>
      <c r="D1942">
        <f t="shared" si="396"/>
        <v>2.3868413175517854E-3</v>
      </c>
      <c r="E1942" t="str">
        <f t="shared" si="390"/>
        <v>2017-10</v>
      </c>
      <c r="G1942">
        <v>5362.41</v>
      </c>
      <c r="H1942">
        <f t="shared" si="397"/>
        <v>-2.3121258048599056E-4</v>
      </c>
      <c r="I1942" t="str">
        <f t="shared" si="391"/>
        <v>2017-10</v>
      </c>
      <c r="K1942">
        <v>12970.68</v>
      </c>
      <c r="L1942">
        <f t="shared" si="398"/>
        <v>1.6535542251001031E-3</v>
      </c>
      <c r="M1942" t="str">
        <f t="shared" si="392"/>
        <v>2017-10</v>
      </c>
      <c r="O1942">
        <v>8401.9216500000002</v>
      </c>
      <c r="P1942">
        <f t="shared" si="399"/>
        <v>-4.2373751049071557E-3</v>
      </c>
      <c r="Q1942" t="str">
        <f t="shared" si="393"/>
        <v>2017-10</v>
      </c>
      <c r="S1942">
        <v>10278.4</v>
      </c>
      <c r="T1942">
        <f t="shared" si="400"/>
        <v>1.3329808990343316E-2</v>
      </c>
      <c r="U1942" t="str">
        <f t="shared" si="394"/>
        <v>2017-10</v>
      </c>
      <c r="W1942">
        <v>22552.21</v>
      </c>
      <c r="X1942">
        <f t="shared" si="401"/>
        <v>9.6373683789397202E-3</v>
      </c>
      <c r="Y1942">
        <f t="shared" si="402"/>
        <v>9.6839573583525039E-3</v>
      </c>
      <c r="Z1942" t="str">
        <f t="shared" si="395"/>
        <v>2017-10</v>
      </c>
    </row>
    <row r="1943" spans="1:26" x14ac:dyDescent="0.35">
      <c r="A1943" s="1">
        <v>43020</v>
      </c>
      <c r="C1943">
        <v>3605.54</v>
      </c>
      <c r="D1943">
        <f t="shared" si="396"/>
        <v>-5.1296769567059331E-4</v>
      </c>
      <c r="E1943" t="str">
        <f t="shared" si="390"/>
        <v>2017-10</v>
      </c>
      <c r="G1943">
        <v>5360.81</v>
      </c>
      <c r="H1943">
        <f t="shared" si="397"/>
        <v>-2.9841782820335511E-4</v>
      </c>
      <c r="I1943" t="str">
        <f t="shared" si="391"/>
        <v>2017-10</v>
      </c>
      <c r="K1943">
        <v>12982.89</v>
      </c>
      <c r="L1943">
        <f t="shared" si="398"/>
        <v>9.4091108859449698E-4</v>
      </c>
      <c r="M1943" t="str">
        <f t="shared" si="392"/>
        <v>2017-10</v>
      </c>
      <c r="O1943">
        <v>8457.7533800000001</v>
      </c>
      <c r="P1943">
        <f t="shared" si="399"/>
        <v>6.6231328887274401E-3</v>
      </c>
      <c r="Q1943" t="str">
        <f t="shared" si="393"/>
        <v>2017-10</v>
      </c>
      <c r="S1943">
        <v>10275.9</v>
      </c>
      <c r="T1943">
        <f t="shared" si="400"/>
        <v>-2.4325810291059676E-4</v>
      </c>
      <c r="U1943" t="str">
        <f t="shared" si="394"/>
        <v>2017-10</v>
      </c>
      <c r="W1943">
        <v>22398.51</v>
      </c>
      <c r="X1943">
        <f t="shared" si="401"/>
        <v>-6.8386267897158053E-3</v>
      </c>
      <c r="Y1943">
        <f t="shared" si="402"/>
        <v>-6.8152965939923729E-3</v>
      </c>
      <c r="Z1943" t="str">
        <f t="shared" si="395"/>
        <v>2017-10</v>
      </c>
    </row>
    <row r="1944" spans="1:26" x14ac:dyDescent="0.35">
      <c r="A1944" s="1">
        <v>43021</v>
      </c>
      <c r="C1944">
        <v>3604.55</v>
      </c>
      <c r="D1944">
        <f t="shared" si="396"/>
        <v>-2.7461515909548432E-4</v>
      </c>
      <c r="E1944" t="str">
        <f t="shared" si="390"/>
        <v>2017-10</v>
      </c>
      <c r="G1944">
        <v>5351.74</v>
      </c>
      <c r="H1944">
        <f t="shared" si="397"/>
        <v>-1.6933413925313431E-3</v>
      </c>
      <c r="I1944" t="str">
        <f t="shared" si="391"/>
        <v>2017-10</v>
      </c>
      <c r="K1944">
        <v>12991.87</v>
      </c>
      <c r="L1944">
        <f t="shared" si="398"/>
        <v>6.9144048744021567E-4</v>
      </c>
      <c r="M1944" t="str">
        <f t="shared" si="392"/>
        <v>2017-10</v>
      </c>
      <c r="O1944">
        <v>8472.6710999999996</v>
      </c>
      <c r="P1944">
        <f t="shared" si="399"/>
        <v>1.7622386111092471E-3</v>
      </c>
      <c r="Q1944" t="str">
        <f t="shared" si="393"/>
        <v>2017-10</v>
      </c>
      <c r="S1944">
        <v>10258</v>
      </c>
      <c r="T1944">
        <f t="shared" si="400"/>
        <v>-1.743458820208728E-3</v>
      </c>
      <c r="U1944" t="str">
        <f t="shared" si="394"/>
        <v>2017-10</v>
      </c>
      <c r="W1944">
        <v>22413.54</v>
      </c>
      <c r="X1944">
        <f t="shared" si="401"/>
        <v>6.708017403175211E-4</v>
      </c>
      <c r="Y1944">
        <f t="shared" si="402"/>
        <v>6.7102677812061939E-4</v>
      </c>
      <c r="Z1944" t="str">
        <f t="shared" si="395"/>
        <v>2017-10</v>
      </c>
    </row>
    <row r="1945" spans="1:26" x14ac:dyDescent="0.35">
      <c r="A1945" s="1">
        <v>43024</v>
      </c>
      <c r="C1945">
        <v>3606.27</v>
      </c>
      <c r="D1945">
        <f t="shared" si="396"/>
        <v>4.7706087036449235E-4</v>
      </c>
      <c r="E1945" t="str">
        <f t="shared" si="390"/>
        <v>2017-10</v>
      </c>
      <c r="G1945">
        <v>5362.88</v>
      </c>
      <c r="H1945">
        <f t="shared" si="397"/>
        <v>2.0794025385938819E-3</v>
      </c>
      <c r="I1945" t="str">
        <f t="shared" si="391"/>
        <v>2017-10</v>
      </c>
      <c r="K1945">
        <v>13003.7</v>
      </c>
      <c r="L1945">
        <f t="shared" si="398"/>
        <v>9.1015513925234235E-4</v>
      </c>
      <c r="M1945" t="str">
        <f t="shared" si="392"/>
        <v>2017-10</v>
      </c>
      <c r="O1945">
        <v>8466.3276999999998</v>
      </c>
      <c r="P1945">
        <f t="shared" si="399"/>
        <v>-7.4896992100028325E-4</v>
      </c>
      <c r="Q1945" t="str">
        <f t="shared" si="393"/>
        <v>2017-10</v>
      </c>
      <c r="S1945">
        <v>10181.4</v>
      </c>
      <c r="T1945">
        <f t="shared" si="400"/>
        <v>-7.4953627423784055E-3</v>
      </c>
      <c r="U1945" t="str">
        <f t="shared" si="394"/>
        <v>2017-10</v>
      </c>
      <c r="W1945">
        <v>22428.31</v>
      </c>
      <c r="X1945">
        <f t="shared" si="401"/>
        <v>6.5875964234914704E-4</v>
      </c>
      <c r="Y1945">
        <f t="shared" si="402"/>
        <v>6.5897667213659402E-4</v>
      </c>
      <c r="Z1945" t="str">
        <f t="shared" si="395"/>
        <v>2017-10</v>
      </c>
    </row>
    <row r="1946" spans="1:26" x14ac:dyDescent="0.35">
      <c r="A1946" s="1">
        <v>43025</v>
      </c>
      <c r="C1946">
        <v>3607.77</v>
      </c>
      <c r="D1946">
        <f t="shared" si="396"/>
        <v>4.1585575395111332E-4</v>
      </c>
      <c r="E1946" t="str">
        <f t="shared" si="390"/>
        <v>2017-10</v>
      </c>
      <c r="G1946">
        <v>5361.37</v>
      </c>
      <c r="H1946">
        <f t="shared" si="397"/>
        <v>-2.8160477608759813E-4</v>
      </c>
      <c r="I1946" t="str">
        <f t="shared" si="391"/>
        <v>2017-10</v>
      </c>
      <c r="K1946">
        <v>12995.06</v>
      </c>
      <c r="L1946">
        <f t="shared" si="398"/>
        <v>-6.6464710763627054E-4</v>
      </c>
      <c r="M1946" t="str">
        <f t="shared" si="392"/>
        <v>2017-10</v>
      </c>
      <c r="O1946">
        <v>8433.1350600000005</v>
      </c>
      <c r="P1946">
        <f t="shared" si="399"/>
        <v>-3.9282530048230088E-3</v>
      </c>
      <c r="Q1946" t="str">
        <f t="shared" si="393"/>
        <v>2017-10</v>
      </c>
      <c r="S1946">
        <v>10216.799999999999</v>
      </c>
      <c r="T1946">
        <f t="shared" si="400"/>
        <v>3.4708979752168345E-3</v>
      </c>
      <c r="U1946" t="str">
        <f t="shared" si="394"/>
        <v>2017-10</v>
      </c>
      <c r="W1946">
        <v>22337.78</v>
      </c>
      <c r="X1946">
        <f t="shared" si="401"/>
        <v>-4.0445847923047734E-3</v>
      </c>
      <c r="Y1946">
        <f t="shared" si="402"/>
        <v>-4.036416475427817E-3</v>
      </c>
      <c r="Z1946" t="str">
        <f t="shared" si="395"/>
        <v>2017-10</v>
      </c>
    </row>
    <row r="1947" spans="1:26" x14ac:dyDescent="0.35">
      <c r="A1947" s="1">
        <v>43026</v>
      </c>
      <c r="C1947">
        <v>3619.65</v>
      </c>
      <c r="D1947">
        <f t="shared" si="396"/>
        <v>3.2874831404479565E-3</v>
      </c>
      <c r="E1947" t="str">
        <f t="shared" si="390"/>
        <v>2017-10</v>
      </c>
      <c r="G1947">
        <v>5383.81</v>
      </c>
      <c r="H1947">
        <f t="shared" si="397"/>
        <v>4.1767625340453631E-3</v>
      </c>
      <c r="I1947" t="str">
        <f t="shared" si="391"/>
        <v>2017-10</v>
      </c>
      <c r="K1947">
        <v>13043.03</v>
      </c>
      <c r="L1947">
        <f t="shared" si="398"/>
        <v>3.6846062265964577E-3</v>
      </c>
      <c r="M1947" t="str">
        <f t="shared" si="392"/>
        <v>2017-10</v>
      </c>
      <c r="O1947">
        <v>8441.3335200000001</v>
      </c>
      <c r="P1947">
        <f t="shared" si="399"/>
        <v>9.7170001013229142E-4</v>
      </c>
      <c r="Q1947" t="str">
        <f t="shared" si="393"/>
        <v>2017-10</v>
      </c>
      <c r="S1947">
        <v>10273.4</v>
      </c>
      <c r="T1947">
        <f t="shared" si="400"/>
        <v>5.5246062955566231E-3</v>
      </c>
      <c r="U1947" t="str">
        <f t="shared" si="394"/>
        <v>2017-10</v>
      </c>
      <c r="W1947">
        <v>22354.69</v>
      </c>
      <c r="X1947">
        <f t="shared" si="401"/>
        <v>7.5672706417620743E-4</v>
      </c>
      <c r="Y1947">
        <f t="shared" si="402"/>
        <v>7.5701345433610038E-4</v>
      </c>
      <c r="Z1947" t="str">
        <f t="shared" si="395"/>
        <v>2017-10</v>
      </c>
    </row>
    <row r="1948" spans="1:26" x14ac:dyDescent="0.35">
      <c r="A1948" s="1">
        <v>43027</v>
      </c>
      <c r="C1948">
        <v>3602.08</v>
      </c>
      <c r="D1948">
        <f t="shared" si="396"/>
        <v>-4.8658796899761995E-3</v>
      </c>
      <c r="E1948" t="str">
        <f t="shared" si="390"/>
        <v>2017-10</v>
      </c>
      <c r="G1948">
        <v>5368.29</v>
      </c>
      <c r="H1948">
        <f t="shared" si="397"/>
        <v>-2.8868799171765081E-3</v>
      </c>
      <c r="I1948" t="str">
        <f t="shared" si="391"/>
        <v>2017-10</v>
      </c>
      <c r="K1948">
        <v>12990.1</v>
      </c>
      <c r="L1948">
        <f t="shared" si="398"/>
        <v>-4.0663625875531238E-3</v>
      </c>
      <c r="M1948" t="str">
        <f t="shared" si="392"/>
        <v>2017-10</v>
      </c>
      <c r="O1948">
        <v>8366.5612600000004</v>
      </c>
      <c r="P1948">
        <f t="shared" si="399"/>
        <v>-8.8973371432869309E-3</v>
      </c>
      <c r="Q1948" t="str">
        <f t="shared" si="393"/>
        <v>2017-10</v>
      </c>
      <c r="S1948">
        <v>10197.5</v>
      </c>
      <c r="T1948">
        <f t="shared" si="400"/>
        <v>-7.4154382858952518E-3</v>
      </c>
      <c r="U1948" t="str">
        <f t="shared" si="394"/>
        <v>2017-10</v>
      </c>
      <c r="W1948">
        <v>22133.21</v>
      </c>
      <c r="X1948">
        <f t="shared" si="401"/>
        <v>-9.9569469363819454E-3</v>
      </c>
      <c r="Y1948">
        <f t="shared" si="402"/>
        <v>-9.9075406547798062E-3</v>
      </c>
      <c r="Z1948" t="str">
        <f t="shared" si="395"/>
        <v>2017-10</v>
      </c>
    </row>
    <row r="1949" spans="1:26" x14ac:dyDescent="0.35">
      <c r="A1949" s="1">
        <v>43028</v>
      </c>
      <c r="C1949">
        <v>3605.09</v>
      </c>
      <c r="D1949">
        <f t="shared" si="396"/>
        <v>8.3527936069342085E-4</v>
      </c>
      <c r="E1949" t="str">
        <f t="shared" si="390"/>
        <v>2017-10</v>
      </c>
      <c r="G1949">
        <v>5372.38</v>
      </c>
      <c r="H1949">
        <f t="shared" si="397"/>
        <v>7.6159125970562901E-4</v>
      </c>
      <c r="I1949" t="str">
        <f t="shared" si="391"/>
        <v>2017-10</v>
      </c>
      <c r="K1949">
        <v>12991.28</v>
      </c>
      <c r="L1949">
        <f t="shared" si="398"/>
        <v>9.0834282152193839E-5</v>
      </c>
      <c r="M1949" t="str">
        <f t="shared" si="392"/>
        <v>2017-10</v>
      </c>
      <c r="O1949">
        <v>8422.1359599999996</v>
      </c>
      <c r="P1949">
        <f t="shared" si="399"/>
        <v>6.620514059402372E-3</v>
      </c>
      <c r="Q1949" t="str">
        <f t="shared" si="393"/>
        <v>2017-10</v>
      </c>
      <c r="S1949">
        <v>10222.700000000001</v>
      </c>
      <c r="T1949">
        <f t="shared" si="400"/>
        <v>2.4681455414402209E-3</v>
      </c>
      <c r="U1949" t="str">
        <f t="shared" si="394"/>
        <v>2017-10</v>
      </c>
      <c r="W1949">
        <v>22346.85</v>
      </c>
      <c r="X1949">
        <f t="shared" si="401"/>
        <v>9.6061760197473298E-3</v>
      </c>
      <c r="Y1949">
        <f t="shared" si="402"/>
        <v>9.6524634248714679E-3</v>
      </c>
      <c r="Z1949" t="str">
        <f t="shared" si="395"/>
        <v>2017-10</v>
      </c>
    </row>
    <row r="1950" spans="1:26" x14ac:dyDescent="0.35">
      <c r="A1950" s="1">
        <v>43031</v>
      </c>
      <c r="C1950">
        <v>3608.87</v>
      </c>
      <c r="D1950">
        <f t="shared" si="396"/>
        <v>1.047968202192516E-3</v>
      </c>
      <c r="E1950" t="str">
        <f t="shared" si="390"/>
        <v>2017-10</v>
      </c>
      <c r="G1950">
        <v>5386.81</v>
      </c>
      <c r="H1950">
        <f t="shared" si="397"/>
        <v>2.6823596668617078E-3</v>
      </c>
      <c r="I1950" t="str">
        <f t="shared" si="391"/>
        <v>2017-10</v>
      </c>
      <c r="K1950">
        <v>13003.14</v>
      </c>
      <c r="L1950">
        <f t="shared" si="398"/>
        <v>9.1250359292078989E-4</v>
      </c>
      <c r="M1950" t="str">
        <f t="shared" si="392"/>
        <v>2017-10</v>
      </c>
      <c r="O1950">
        <v>8456.5977000000003</v>
      </c>
      <c r="P1950">
        <f t="shared" si="399"/>
        <v>4.08345656499316E-3</v>
      </c>
      <c r="Q1950" t="str">
        <f t="shared" si="393"/>
        <v>2017-10</v>
      </c>
      <c r="S1950">
        <v>10161.4</v>
      </c>
      <c r="T1950">
        <f t="shared" si="400"/>
        <v>-6.0145098179872937E-3</v>
      </c>
      <c r="U1950" t="str">
        <f t="shared" si="394"/>
        <v>2017-10</v>
      </c>
      <c r="W1950">
        <v>22379.16</v>
      </c>
      <c r="X1950">
        <f t="shared" si="401"/>
        <v>1.4447971379708423E-3</v>
      </c>
      <c r="Y1950">
        <f t="shared" si="402"/>
        <v>1.4458413601917636E-3</v>
      </c>
      <c r="Z1950" t="str">
        <f t="shared" si="395"/>
        <v>2017-10</v>
      </c>
    </row>
    <row r="1951" spans="1:26" x14ac:dyDescent="0.35">
      <c r="A1951" s="1">
        <v>43032</v>
      </c>
      <c r="C1951">
        <v>3610.69</v>
      </c>
      <c r="D1951">
        <f t="shared" si="396"/>
        <v>5.0418586134186425E-4</v>
      </c>
      <c r="E1951" t="str">
        <f t="shared" si="390"/>
        <v>2017-10</v>
      </c>
      <c r="G1951">
        <v>5394.8</v>
      </c>
      <c r="H1951">
        <f t="shared" si="397"/>
        <v>1.4821536788456157E-3</v>
      </c>
      <c r="I1951" t="str">
        <f t="shared" si="391"/>
        <v>2017-10</v>
      </c>
      <c r="K1951">
        <v>13013.19</v>
      </c>
      <c r="L1951">
        <f t="shared" si="398"/>
        <v>7.7259171450418281E-4</v>
      </c>
      <c r="M1951" t="str">
        <f t="shared" si="392"/>
        <v>2017-10</v>
      </c>
      <c r="O1951">
        <v>8402.4183799999992</v>
      </c>
      <c r="P1951">
        <f t="shared" si="399"/>
        <v>-6.4273628140063682E-3</v>
      </c>
      <c r="Q1951" t="str">
        <f t="shared" si="393"/>
        <v>2017-10</v>
      </c>
      <c r="S1951">
        <v>10205.700000000001</v>
      </c>
      <c r="T1951">
        <f t="shared" si="400"/>
        <v>4.3501598028855585E-3</v>
      </c>
      <c r="U1951" t="str">
        <f t="shared" si="394"/>
        <v>2017-10</v>
      </c>
      <c r="W1951">
        <v>22629.57</v>
      </c>
      <c r="X1951">
        <f t="shared" si="401"/>
        <v>1.1127289471929713E-2</v>
      </c>
      <c r="Y1951">
        <f t="shared" si="402"/>
        <v>1.1189428021427071E-2</v>
      </c>
      <c r="Z1951" t="str">
        <f t="shared" si="395"/>
        <v>2017-10</v>
      </c>
    </row>
    <row r="1952" spans="1:26" x14ac:dyDescent="0.35">
      <c r="A1952" s="1">
        <v>43033</v>
      </c>
      <c r="C1952">
        <v>3591.46</v>
      </c>
      <c r="D1952">
        <f t="shared" si="396"/>
        <v>-5.3400847518249176E-3</v>
      </c>
      <c r="E1952" t="str">
        <f t="shared" si="390"/>
        <v>2017-10</v>
      </c>
      <c r="G1952">
        <v>5374.89</v>
      </c>
      <c r="H1952">
        <f t="shared" si="397"/>
        <v>-3.6974179725313976E-3</v>
      </c>
      <c r="I1952" t="str">
        <f t="shared" si="391"/>
        <v>2017-10</v>
      </c>
      <c r="K1952">
        <v>12953.41</v>
      </c>
      <c r="L1952">
        <f t="shared" si="398"/>
        <v>-4.6043845257426495E-3</v>
      </c>
      <c r="M1952" t="str">
        <f t="shared" si="392"/>
        <v>2017-10</v>
      </c>
      <c r="O1952">
        <v>8351.2393900000006</v>
      </c>
      <c r="P1952">
        <f t="shared" si="399"/>
        <v>-6.1096090060322322E-3</v>
      </c>
      <c r="Q1952" t="str">
        <f t="shared" si="393"/>
        <v>2017-10</v>
      </c>
      <c r="S1952">
        <v>10153.299999999999</v>
      </c>
      <c r="T1952">
        <f t="shared" si="400"/>
        <v>-5.1476119364885567E-3</v>
      </c>
      <c r="U1952" t="str">
        <f t="shared" si="394"/>
        <v>2017-10</v>
      </c>
      <c r="W1952">
        <v>22446.39</v>
      </c>
      <c r="X1952">
        <f t="shared" si="401"/>
        <v>-8.1276586627111614E-3</v>
      </c>
      <c r="Y1952">
        <f t="shared" si="402"/>
        <v>-8.0947185474580519E-3</v>
      </c>
      <c r="Z1952" t="str">
        <f t="shared" si="395"/>
        <v>2017-10</v>
      </c>
    </row>
    <row r="1953" spans="1:26" x14ac:dyDescent="0.35">
      <c r="A1953" s="1">
        <v>43034</v>
      </c>
      <c r="C1953">
        <v>3637.2</v>
      </c>
      <c r="D1953">
        <f t="shared" si="396"/>
        <v>1.2655349806691203E-2</v>
      </c>
      <c r="E1953" t="str">
        <f t="shared" si="390"/>
        <v>2017-10</v>
      </c>
      <c r="G1953">
        <v>5455.4</v>
      </c>
      <c r="H1953">
        <f t="shared" si="397"/>
        <v>1.4867835131422076E-2</v>
      </c>
      <c r="I1953" t="str">
        <f t="shared" si="391"/>
        <v>2017-10</v>
      </c>
      <c r="K1953">
        <v>13133.28</v>
      </c>
      <c r="L1953">
        <f t="shared" si="398"/>
        <v>1.3790392767708638E-2</v>
      </c>
      <c r="M1953" t="str">
        <f t="shared" si="392"/>
        <v>2017-10</v>
      </c>
      <c r="O1953">
        <v>8443.9414500000003</v>
      </c>
      <c r="P1953">
        <f t="shared" si="399"/>
        <v>1.1039238256209529E-2</v>
      </c>
      <c r="Q1953" t="str">
        <f t="shared" si="393"/>
        <v>2017-10</v>
      </c>
      <c r="S1953">
        <v>10347.799999999999</v>
      </c>
      <c r="T1953">
        <f t="shared" si="400"/>
        <v>1.8975160931317521E-2</v>
      </c>
      <c r="U1953" t="str">
        <f t="shared" si="394"/>
        <v>2017-10</v>
      </c>
      <c r="W1953">
        <v>22807.42</v>
      </c>
      <c r="X1953">
        <f t="shared" si="401"/>
        <v>1.595612213669911E-2</v>
      </c>
      <c r="Y1953">
        <f t="shared" si="402"/>
        <v>1.6084100828685541E-2</v>
      </c>
      <c r="Z1953" t="str">
        <f t="shared" si="395"/>
        <v>2017-10</v>
      </c>
    </row>
    <row r="1954" spans="1:26" x14ac:dyDescent="0.35">
      <c r="A1954" s="1">
        <v>43035</v>
      </c>
      <c r="C1954">
        <v>3652.23</v>
      </c>
      <c r="D1954">
        <f t="shared" si="396"/>
        <v>4.1237850694806023E-3</v>
      </c>
      <c r="E1954" t="str">
        <f t="shared" si="390"/>
        <v>2017-10</v>
      </c>
      <c r="G1954">
        <v>5494.13</v>
      </c>
      <c r="H1954">
        <f t="shared" si="397"/>
        <v>7.0743057506014511E-3</v>
      </c>
      <c r="I1954" t="str">
        <f t="shared" si="391"/>
        <v>2017-10</v>
      </c>
      <c r="K1954">
        <v>13217.54</v>
      </c>
      <c r="L1954">
        <f t="shared" si="398"/>
        <v>6.3952686999639201E-3</v>
      </c>
      <c r="M1954" t="str">
        <f t="shared" si="392"/>
        <v>2017-10</v>
      </c>
      <c r="O1954">
        <v>8489.9437699999999</v>
      </c>
      <c r="P1954">
        <f t="shared" si="399"/>
        <v>5.4331811708797631E-3</v>
      </c>
      <c r="Q1954" t="str">
        <f t="shared" si="393"/>
        <v>2017-10</v>
      </c>
      <c r="S1954">
        <v>10197.5</v>
      </c>
      <c r="T1954">
        <f t="shared" si="400"/>
        <v>-1.46313445211674E-2</v>
      </c>
      <c r="U1954" t="str">
        <f t="shared" si="394"/>
        <v>2017-10</v>
      </c>
      <c r="W1954">
        <v>22665.03</v>
      </c>
      <c r="X1954">
        <f t="shared" si="401"/>
        <v>-6.262713594558658E-3</v>
      </c>
      <c r="Y1954">
        <f t="shared" si="402"/>
        <v>-6.2431436786799833E-3</v>
      </c>
      <c r="Z1954" t="str">
        <f t="shared" si="395"/>
        <v>2017-10</v>
      </c>
    </row>
    <row r="1955" spans="1:26" x14ac:dyDescent="0.35">
      <c r="A1955" s="1">
        <v>43038</v>
      </c>
      <c r="C1955">
        <v>3662.18</v>
      </c>
      <c r="D1955">
        <f t="shared" si="396"/>
        <v>2.7206585732756916E-3</v>
      </c>
      <c r="E1955" t="str">
        <f t="shared" si="390"/>
        <v>2017-10</v>
      </c>
      <c r="G1955">
        <v>5493.63</v>
      </c>
      <c r="H1955">
        <f t="shared" si="397"/>
        <v>-9.101036068232679E-5</v>
      </c>
      <c r="I1955" t="str">
        <f t="shared" si="391"/>
        <v>2017-10</v>
      </c>
      <c r="K1955">
        <v>13229.57</v>
      </c>
      <c r="L1955">
        <f t="shared" si="398"/>
        <v>9.0974029523036156E-4</v>
      </c>
      <c r="M1955" t="str">
        <f t="shared" si="392"/>
        <v>2017-10</v>
      </c>
      <c r="O1955">
        <v>8494.7691400000003</v>
      </c>
      <c r="P1955">
        <f t="shared" si="399"/>
        <v>5.6820155340787145E-4</v>
      </c>
      <c r="Q1955" t="str">
        <f t="shared" si="393"/>
        <v>2017-10</v>
      </c>
      <c r="S1955">
        <v>10446</v>
      </c>
      <c r="T1955">
        <f t="shared" si="400"/>
        <v>2.4076537804530569E-2</v>
      </c>
      <c r="U1955" t="str">
        <f t="shared" si="394"/>
        <v>2017-10</v>
      </c>
      <c r="W1955">
        <v>22752.89</v>
      </c>
      <c r="X1955">
        <f t="shared" si="401"/>
        <v>3.8689622773145243E-3</v>
      </c>
      <c r="Y1955">
        <f t="shared" si="402"/>
        <v>3.8764563735411155E-3</v>
      </c>
      <c r="Z1955" t="str">
        <f t="shared" si="395"/>
        <v>2017-10</v>
      </c>
    </row>
    <row r="1956" spans="1:26" x14ac:dyDescent="0.35">
      <c r="A1956" s="1">
        <v>43040</v>
      </c>
      <c r="C1956">
        <v>3697.4</v>
      </c>
      <c r="D1956">
        <f t="shared" si="396"/>
        <v>9.571271423831143E-3</v>
      </c>
      <c r="E1956" t="str">
        <f t="shared" si="390"/>
        <v>2017-11</v>
      </c>
      <c r="G1956">
        <v>5514.29</v>
      </c>
      <c r="H1956">
        <f t="shared" si="397"/>
        <v>3.7536654078670442E-3</v>
      </c>
      <c r="I1956" t="str">
        <f t="shared" si="391"/>
        <v>2017-11</v>
      </c>
      <c r="K1956">
        <v>13465.51</v>
      </c>
      <c r="L1956">
        <f t="shared" si="398"/>
        <v>1.7677125812013361E-2</v>
      </c>
      <c r="M1956" t="str">
        <f t="shared" si="392"/>
        <v>2017-11</v>
      </c>
      <c r="O1956">
        <v>8540.1896699999998</v>
      </c>
      <c r="P1956">
        <f t="shared" si="399"/>
        <v>5.3326383869749848E-3</v>
      </c>
      <c r="Q1956" t="str">
        <f t="shared" si="393"/>
        <v>2017-11</v>
      </c>
      <c r="S1956">
        <v>10506.7</v>
      </c>
      <c r="T1956">
        <f t="shared" si="400"/>
        <v>5.7940188912616458E-3</v>
      </c>
      <c r="U1956" t="str">
        <f t="shared" si="394"/>
        <v>2017-11</v>
      </c>
      <c r="W1956">
        <v>22991.99</v>
      </c>
      <c r="X1956">
        <f t="shared" si="401"/>
        <v>1.0453724106696254E-2</v>
      </c>
      <c r="Y1956">
        <f t="shared" si="402"/>
        <v>1.0508555176946849E-2</v>
      </c>
      <c r="Z1956" t="str">
        <f t="shared" si="395"/>
        <v>2017-11</v>
      </c>
    </row>
    <row r="1957" spans="1:26" x14ac:dyDescent="0.35">
      <c r="A1957" s="1">
        <v>43041</v>
      </c>
      <c r="C1957">
        <v>3688.8</v>
      </c>
      <c r="D1957">
        <f t="shared" si="396"/>
        <v>-2.3286680258493629E-3</v>
      </c>
      <c r="E1957" t="str">
        <f t="shared" si="390"/>
        <v>2017-11</v>
      </c>
      <c r="G1957">
        <v>5510.5</v>
      </c>
      <c r="H1957">
        <f t="shared" si="397"/>
        <v>-6.8754146778284692E-4</v>
      </c>
      <c r="I1957" t="str">
        <f t="shared" si="391"/>
        <v>2017-11</v>
      </c>
      <c r="K1957">
        <v>13440.93</v>
      </c>
      <c r="L1957">
        <f t="shared" si="398"/>
        <v>-1.8270723914224501E-3</v>
      </c>
      <c r="M1957" t="str">
        <f t="shared" si="392"/>
        <v>2017-11</v>
      </c>
      <c r="O1957">
        <v>8462.1398900000004</v>
      </c>
      <c r="P1957">
        <f t="shared" si="399"/>
        <v>-9.181133441666935E-3</v>
      </c>
      <c r="Q1957" t="str">
        <f t="shared" si="393"/>
        <v>2017-11</v>
      </c>
      <c r="S1957">
        <v>10457.799999999999</v>
      </c>
      <c r="T1957">
        <f t="shared" si="400"/>
        <v>-4.6650374378076299E-3</v>
      </c>
      <c r="U1957" t="str">
        <f t="shared" si="394"/>
        <v>2017-11</v>
      </c>
      <c r="W1957">
        <v>23046.05</v>
      </c>
      <c r="X1957">
        <f t="shared" si="401"/>
        <v>2.3484937606804029E-3</v>
      </c>
      <c r="Y1957">
        <f t="shared" si="402"/>
        <v>2.3512536322431278E-3</v>
      </c>
      <c r="Z1957" t="str">
        <f t="shared" si="395"/>
        <v>2017-11</v>
      </c>
    </row>
    <row r="1958" spans="1:26" x14ac:dyDescent="0.35">
      <c r="A1958" s="1">
        <v>43042</v>
      </c>
      <c r="C1958">
        <v>3689.96</v>
      </c>
      <c r="D1958">
        <f t="shared" si="396"/>
        <v>3.1441597492153447E-4</v>
      </c>
      <c r="E1958" t="str">
        <f t="shared" si="390"/>
        <v>2017-11</v>
      </c>
      <c r="G1958">
        <v>5517.97</v>
      </c>
      <c r="H1958">
        <f t="shared" si="397"/>
        <v>1.3546758784089756E-3</v>
      </c>
      <c r="I1958" t="str">
        <f t="shared" si="391"/>
        <v>2017-11</v>
      </c>
      <c r="K1958">
        <v>13478.86</v>
      </c>
      <c r="L1958">
        <f t="shared" si="398"/>
        <v>2.818003045389296E-3</v>
      </c>
      <c r="M1958" t="str">
        <f t="shared" si="392"/>
        <v>2017-11</v>
      </c>
      <c r="O1958">
        <v>8511.6652599999998</v>
      </c>
      <c r="P1958">
        <f t="shared" si="399"/>
        <v>5.8355224540642542E-3</v>
      </c>
      <c r="Q1958" t="str">
        <f t="shared" si="393"/>
        <v>2017-11</v>
      </c>
      <c r="S1958">
        <v>10357.799999999999</v>
      </c>
      <c r="T1958">
        <f t="shared" si="400"/>
        <v>-9.6082523991398387E-3</v>
      </c>
      <c r="U1958" t="str">
        <f t="shared" si="394"/>
        <v>2017-11</v>
      </c>
      <c r="W1958">
        <v>23014.13</v>
      </c>
      <c r="X1958">
        <f t="shared" si="401"/>
        <v>-1.3860130424997728E-3</v>
      </c>
      <c r="Y1958">
        <f t="shared" si="402"/>
        <v>-1.3850529700316651E-3</v>
      </c>
      <c r="Z1958" t="str">
        <f t="shared" si="395"/>
        <v>2017-11</v>
      </c>
    </row>
    <row r="1959" spans="1:26" x14ac:dyDescent="0.35">
      <c r="A1959" s="1">
        <v>43045</v>
      </c>
      <c r="C1959">
        <v>3682.36</v>
      </c>
      <c r="D1959">
        <f t="shared" si="396"/>
        <v>-2.0617669043734841E-3</v>
      </c>
      <c r="E1959" t="str">
        <f t="shared" si="390"/>
        <v>2017-11</v>
      </c>
      <c r="G1959">
        <v>5507.25</v>
      </c>
      <c r="H1959">
        <f t="shared" si="397"/>
        <v>-1.944633010176146E-3</v>
      </c>
      <c r="I1959" t="str">
        <f t="shared" si="391"/>
        <v>2017-11</v>
      </c>
      <c r="K1959">
        <v>13468.79</v>
      </c>
      <c r="L1959">
        <f t="shared" si="398"/>
        <v>-7.4737503780351552E-4</v>
      </c>
      <c r="M1959" t="str">
        <f t="shared" si="392"/>
        <v>2017-11</v>
      </c>
      <c r="O1959">
        <v>8565.2003600000007</v>
      </c>
      <c r="P1959">
        <f t="shared" si="399"/>
        <v>6.2699182123461105E-3</v>
      </c>
      <c r="Q1959" t="str">
        <f t="shared" si="393"/>
        <v>2017-11</v>
      </c>
      <c r="S1959">
        <v>10316.5</v>
      </c>
      <c r="T1959">
        <f t="shared" si="400"/>
        <v>-3.9953038252735201E-3</v>
      </c>
      <c r="U1959" t="str">
        <f t="shared" si="394"/>
        <v>2017-11</v>
      </c>
      <c r="W1959">
        <v>23002.85</v>
      </c>
      <c r="X1959">
        <f t="shared" si="401"/>
        <v>-4.9025382482425703E-4</v>
      </c>
      <c r="Y1959">
        <f t="shared" si="402"/>
        <v>-4.9013367005411345E-4</v>
      </c>
      <c r="Z1959" t="str">
        <f t="shared" si="395"/>
        <v>2017-11</v>
      </c>
    </row>
    <row r="1960" spans="1:26" x14ac:dyDescent="0.35">
      <c r="A1960" s="1">
        <v>43046</v>
      </c>
      <c r="C1960">
        <v>3658.77</v>
      </c>
      <c r="D1960">
        <f t="shared" si="396"/>
        <v>-6.4268256240923105E-3</v>
      </c>
      <c r="E1960" t="str">
        <f t="shared" si="390"/>
        <v>2017-11</v>
      </c>
      <c r="G1960">
        <v>5480.64</v>
      </c>
      <c r="H1960">
        <f t="shared" si="397"/>
        <v>-4.8435235558254791E-3</v>
      </c>
      <c r="I1960" t="str">
        <f t="shared" si="391"/>
        <v>2017-11</v>
      </c>
      <c r="K1960">
        <v>13379.27</v>
      </c>
      <c r="L1960">
        <f t="shared" si="398"/>
        <v>-6.6686629688629288E-3</v>
      </c>
      <c r="M1960" t="str">
        <f t="shared" si="392"/>
        <v>2017-11</v>
      </c>
      <c r="O1960">
        <v>8532.7602599999991</v>
      </c>
      <c r="P1960">
        <f t="shared" si="399"/>
        <v>-3.7946208494434789E-3</v>
      </c>
      <c r="Q1960" t="str">
        <f t="shared" si="393"/>
        <v>2017-11</v>
      </c>
      <c r="S1960">
        <v>10230.700000000001</v>
      </c>
      <c r="T1960">
        <f t="shared" si="400"/>
        <v>-8.3515514231194115E-3</v>
      </c>
      <c r="U1960" t="str">
        <f t="shared" si="394"/>
        <v>2017-11</v>
      </c>
      <c r="W1960">
        <v>22962.59</v>
      </c>
      <c r="X1960">
        <f t="shared" si="401"/>
        <v>-1.7517513286182615E-3</v>
      </c>
      <c r="Y1960">
        <f t="shared" si="402"/>
        <v>-1.7502179077809228E-3</v>
      </c>
      <c r="Z1960" t="str">
        <f t="shared" si="395"/>
        <v>2017-11</v>
      </c>
    </row>
    <row r="1961" spans="1:26" x14ac:dyDescent="0.35">
      <c r="A1961" s="1">
        <v>43047</v>
      </c>
      <c r="C1961">
        <v>3655.04</v>
      </c>
      <c r="D1961">
        <f t="shared" si="396"/>
        <v>-1.019988302508122E-3</v>
      </c>
      <c r="E1961" t="str">
        <f t="shared" si="390"/>
        <v>2017-11</v>
      </c>
      <c r="G1961">
        <v>5471.43</v>
      </c>
      <c r="H1961">
        <f t="shared" si="397"/>
        <v>-1.6818742340082981E-3</v>
      </c>
      <c r="I1961" t="str">
        <f t="shared" si="391"/>
        <v>2017-11</v>
      </c>
      <c r="K1961">
        <v>13382.42</v>
      </c>
      <c r="L1961">
        <f t="shared" si="398"/>
        <v>2.3541114290975707E-4</v>
      </c>
      <c r="M1961" t="str">
        <f t="shared" si="392"/>
        <v>2017-11</v>
      </c>
      <c r="O1961">
        <v>8514.2857700000004</v>
      </c>
      <c r="P1961">
        <f t="shared" si="399"/>
        <v>-2.1674719714076568E-3</v>
      </c>
      <c r="Q1961" t="str">
        <f t="shared" si="393"/>
        <v>2017-11</v>
      </c>
      <c r="S1961">
        <v>10228.700000000001</v>
      </c>
      <c r="T1961">
        <f t="shared" si="400"/>
        <v>-1.9550915533890861E-4</v>
      </c>
      <c r="U1961" t="str">
        <f t="shared" si="394"/>
        <v>2017-11</v>
      </c>
      <c r="W1961">
        <v>22831.3</v>
      </c>
      <c r="X1961">
        <f t="shared" si="401"/>
        <v>-5.7339684275274153E-3</v>
      </c>
      <c r="Y1961">
        <f t="shared" si="402"/>
        <v>-5.7175606061860128E-3</v>
      </c>
      <c r="Z1961" t="str">
        <f t="shared" si="395"/>
        <v>2017-11</v>
      </c>
    </row>
    <row r="1962" spans="1:26" x14ac:dyDescent="0.35">
      <c r="A1962" s="1">
        <v>43048</v>
      </c>
      <c r="C1962">
        <v>3612.5</v>
      </c>
      <c r="D1962">
        <f t="shared" si="396"/>
        <v>-1.170698361575578E-2</v>
      </c>
      <c r="E1962" t="str">
        <f t="shared" si="390"/>
        <v>2017-11</v>
      </c>
      <c r="G1962">
        <v>5407.75</v>
      </c>
      <c r="H1962">
        <f t="shared" si="397"/>
        <v>-1.1706898366384836E-2</v>
      </c>
      <c r="I1962" t="str">
        <f t="shared" si="391"/>
        <v>2017-11</v>
      </c>
      <c r="K1962">
        <v>13182.56</v>
      </c>
      <c r="L1962">
        <f t="shared" si="398"/>
        <v>-1.5047161410399216E-2</v>
      </c>
      <c r="M1962" t="str">
        <f t="shared" si="392"/>
        <v>2017-11</v>
      </c>
      <c r="O1962">
        <v>8451.7607000000007</v>
      </c>
      <c r="P1962">
        <f t="shared" si="399"/>
        <v>-7.3706450319870167E-3</v>
      </c>
      <c r="Q1962" t="str">
        <f t="shared" si="393"/>
        <v>2017-11</v>
      </c>
      <c r="S1962">
        <v>10141.1</v>
      </c>
      <c r="T1962">
        <f t="shared" si="400"/>
        <v>-8.601021122991338E-3</v>
      </c>
      <c r="U1962" t="str">
        <f t="shared" si="394"/>
        <v>2017-11</v>
      </c>
      <c r="W1962">
        <v>22641.31</v>
      </c>
      <c r="X1962">
        <f t="shared" si="401"/>
        <v>-8.356287688052199E-3</v>
      </c>
      <c r="Y1962">
        <f t="shared" si="402"/>
        <v>-8.3214709631075738E-3</v>
      </c>
      <c r="Z1962" t="str">
        <f t="shared" si="395"/>
        <v>2017-11</v>
      </c>
    </row>
    <row r="1963" spans="1:26" x14ac:dyDescent="0.35">
      <c r="A1963" s="1">
        <v>43049</v>
      </c>
      <c r="C1963">
        <v>3593.76</v>
      </c>
      <c r="D1963">
        <f t="shared" si="396"/>
        <v>-5.2010452702027426E-3</v>
      </c>
      <c r="E1963" t="str">
        <f t="shared" si="390"/>
        <v>2017-11</v>
      </c>
      <c r="G1963">
        <v>5380.72</v>
      </c>
      <c r="H1963">
        <f t="shared" si="397"/>
        <v>-5.0109156457995097E-3</v>
      </c>
      <c r="I1963" t="str">
        <f t="shared" si="391"/>
        <v>2017-11</v>
      </c>
      <c r="K1963">
        <v>13127.47</v>
      </c>
      <c r="L1963">
        <f t="shared" si="398"/>
        <v>-4.1877626525743429E-3</v>
      </c>
      <c r="M1963" t="str">
        <f t="shared" si="392"/>
        <v>2017-11</v>
      </c>
      <c r="O1963">
        <v>8412.2397299999993</v>
      </c>
      <c r="P1963">
        <f t="shared" si="399"/>
        <v>-4.6870305197849061E-3</v>
      </c>
      <c r="Q1963" t="str">
        <f t="shared" si="393"/>
        <v>2017-11</v>
      </c>
      <c r="S1963">
        <v>10092.700000000001</v>
      </c>
      <c r="T1963">
        <f t="shared" si="400"/>
        <v>-4.7840832975210735E-3</v>
      </c>
      <c r="U1963" t="str">
        <f t="shared" si="394"/>
        <v>2017-11</v>
      </c>
      <c r="W1963">
        <v>22560.79</v>
      </c>
      <c r="X1963">
        <f t="shared" si="401"/>
        <v>-3.562670104594792E-3</v>
      </c>
      <c r="Y1963">
        <f t="shared" si="402"/>
        <v>-3.5563313253517766E-3</v>
      </c>
      <c r="Z1963" t="str">
        <f t="shared" si="395"/>
        <v>2017-11</v>
      </c>
    </row>
    <row r="1964" spans="1:26" x14ac:dyDescent="0.35">
      <c r="A1964" s="1">
        <v>43052</v>
      </c>
      <c r="C1964">
        <v>3574.52</v>
      </c>
      <c r="D1964">
        <f t="shared" si="396"/>
        <v>-5.3681067710930957E-3</v>
      </c>
      <c r="E1964" t="str">
        <f t="shared" si="390"/>
        <v>2017-11</v>
      </c>
      <c r="G1964">
        <v>5341.63</v>
      </c>
      <c r="H1964">
        <f t="shared" si="397"/>
        <v>-7.2913443751804995E-3</v>
      </c>
      <c r="I1964" t="str">
        <f t="shared" si="391"/>
        <v>2017-11</v>
      </c>
      <c r="K1964">
        <v>13074.42</v>
      </c>
      <c r="L1964">
        <f t="shared" si="398"/>
        <v>-4.0493317458222032E-3</v>
      </c>
      <c r="M1964" t="str">
        <f t="shared" si="392"/>
        <v>2017-11</v>
      </c>
      <c r="O1964">
        <v>8337.0706800000007</v>
      </c>
      <c r="P1964">
        <f t="shared" si="399"/>
        <v>-8.9758387455662423E-3</v>
      </c>
      <c r="Q1964" t="str">
        <f t="shared" si="393"/>
        <v>2017-11</v>
      </c>
      <c r="S1964">
        <v>10049.9</v>
      </c>
      <c r="T1964">
        <f t="shared" si="400"/>
        <v>-4.2497060373523736E-3</v>
      </c>
      <c r="U1964" t="str">
        <f t="shared" si="394"/>
        <v>2017-11</v>
      </c>
      <c r="W1964">
        <v>22437.64</v>
      </c>
      <c r="X1964">
        <f t="shared" si="401"/>
        <v>-5.4735379638990557E-3</v>
      </c>
      <c r="Y1964">
        <f t="shared" si="402"/>
        <v>-5.4585854484706185E-3</v>
      </c>
      <c r="Z1964" t="str">
        <f t="shared" si="395"/>
        <v>2017-11</v>
      </c>
    </row>
    <row r="1965" spans="1:26" x14ac:dyDescent="0.35">
      <c r="A1965" s="1">
        <v>43053</v>
      </c>
      <c r="C1965">
        <v>3556.38</v>
      </c>
      <c r="D1965">
        <f t="shared" si="396"/>
        <v>-5.0877278126002807E-3</v>
      </c>
      <c r="E1965" t="str">
        <f t="shared" si="390"/>
        <v>2017-11</v>
      </c>
      <c r="G1965">
        <v>5315.58</v>
      </c>
      <c r="H1965">
        <f t="shared" si="397"/>
        <v>-4.8887188827033655E-3</v>
      </c>
      <c r="I1965" t="str">
        <f t="shared" si="391"/>
        <v>2017-11</v>
      </c>
      <c r="K1965">
        <v>13033.48</v>
      </c>
      <c r="L1965">
        <f t="shared" si="398"/>
        <v>-3.1362180456247337E-3</v>
      </c>
      <c r="M1965" t="str">
        <f t="shared" si="392"/>
        <v>2017-11</v>
      </c>
      <c r="O1965">
        <v>8293.5529800000004</v>
      </c>
      <c r="P1965">
        <f t="shared" si="399"/>
        <v>-5.2334536834337982E-3</v>
      </c>
      <c r="Q1965" t="str">
        <f t="shared" si="393"/>
        <v>2017-11</v>
      </c>
      <c r="S1965">
        <v>9990.4</v>
      </c>
      <c r="T1965">
        <f t="shared" si="400"/>
        <v>-5.9380523079032898E-3</v>
      </c>
      <c r="U1965" t="str">
        <f t="shared" si="394"/>
        <v>2017-11</v>
      </c>
      <c r="W1965">
        <v>22297.08</v>
      </c>
      <c r="X1965">
        <f t="shared" si="401"/>
        <v>-6.2841775949253401E-3</v>
      </c>
      <c r="Y1965">
        <f t="shared" si="402"/>
        <v>-6.2644734472964928E-3</v>
      </c>
      <c r="Z1965" t="str">
        <f t="shared" si="395"/>
        <v>2017-11</v>
      </c>
    </row>
    <row r="1966" spans="1:26" x14ac:dyDescent="0.35">
      <c r="A1966" s="1">
        <v>43054</v>
      </c>
      <c r="C1966">
        <v>3545.72</v>
      </c>
      <c r="D1966">
        <f t="shared" si="396"/>
        <v>-3.0019312612596192E-3</v>
      </c>
      <c r="E1966" t="str">
        <f t="shared" si="390"/>
        <v>2017-11</v>
      </c>
      <c r="G1966">
        <v>5301.25</v>
      </c>
      <c r="H1966">
        <f t="shared" si="397"/>
        <v>-2.6994891511270482E-3</v>
      </c>
      <c r="I1966" t="str">
        <f t="shared" si="391"/>
        <v>2017-11</v>
      </c>
      <c r="K1966">
        <v>12976.37</v>
      </c>
      <c r="L1966">
        <f t="shared" si="398"/>
        <v>-4.3914203102642787E-3</v>
      </c>
      <c r="M1966" t="str">
        <f t="shared" si="392"/>
        <v>2017-11</v>
      </c>
      <c r="O1966">
        <v>8234.3517499999998</v>
      </c>
      <c r="P1966">
        <f t="shared" si="399"/>
        <v>-7.1638219305504795E-3</v>
      </c>
      <c r="Q1966" t="str">
        <f t="shared" si="393"/>
        <v>2017-11</v>
      </c>
      <c r="S1966">
        <v>10013.9</v>
      </c>
      <c r="T1966">
        <f t="shared" si="400"/>
        <v>2.3494959393987264E-3</v>
      </c>
      <c r="U1966" t="str">
        <f t="shared" si="394"/>
        <v>2017-11</v>
      </c>
      <c r="W1966">
        <v>22158.880000000001</v>
      </c>
      <c r="X1966">
        <f t="shared" si="401"/>
        <v>-6.2174091028517403E-3</v>
      </c>
      <c r="Y1966">
        <f t="shared" si="402"/>
        <v>-6.1981210095672038E-3</v>
      </c>
      <c r="Z1966" t="str">
        <f t="shared" si="395"/>
        <v>2017-11</v>
      </c>
    </row>
    <row r="1967" spans="1:26" x14ac:dyDescent="0.35">
      <c r="A1967" s="1">
        <v>43055</v>
      </c>
      <c r="C1967">
        <v>3564.8</v>
      </c>
      <c r="D1967">
        <f t="shared" si="396"/>
        <v>5.36670898737853E-3</v>
      </c>
      <c r="E1967" t="str">
        <f t="shared" si="390"/>
        <v>2017-11</v>
      </c>
      <c r="G1967">
        <v>5336.39</v>
      </c>
      <c r="H1967">
        <f t="shared" si="397"/>
        <v>6.6067525916002996E-3</v>
      </c>
      <c r="I1967" t="str">
        <f t="shared" si="391"/>
        <v>2017-11</v>
      </c>
      <c r="K1967">
        <v>13047.22</v>
      </c>
      <c r="L1967">
        <f t="shared" si="398"/>
        <v>5.4450731087826981E-3</v>
      </c>
      <c r="M1967" t="str">
        <f t="shared" si="392"/>
        <v>2017-11</v>
      </c>
      <c r="O1967">
        <v>8277.2880700000005</v>
      </c>
      <c r="P1967">
        <f t="shared" si="399"/>
        <v>5.200745322160796E-3</v>
      </c>
      <c r="Q1967" t="str">
        <f t="shared" si="393"/>
        <v>2017-11</v>
      </c>
      <c r="S1967">
        <v>10088.700000000001</v>
      </c>
      <c r="T1967">
        <f t="shared" si="400"/>
        <v>7.4418577904806884E-3</v>
      </c>
      <c r="U1967" t="str">
        <f t="shared" si="394"/>
        <v>2017-11</v>
      </c>
      <c r="W1967">
        <v>22206.6</v>
      </c>
      <c r="X1967">
        <f t="shared" si="401"/>
        <v>2.1512229058743282E-3</v>
      </c>
      <c r="Y1967">
        <f t="shared" si="402"/>
        <v>2.1535384459863281E-3</v>
      </c>
      <c r="Z1967" t="str">
        <f t="shared" si="395"/>
        <v>2017-11</v>
      </c>
    </row>
    <row r="1968" spans="1:26" x14ac:dyDescent="0.35">
      <c r="A1968" s="1">
        <v>43056</v>
      </c>
      <c r="C1968">
        <v>3547.46</v>
      </c>
      <c r="D1968">
        <f t="shared" si="396"/>
        <v>-4.8760968684411947E-3</v>
      </c>
      <c r="E1968" t="str">
        <f t="shared" si="390"/>
        <v>2017-11</v>
      </c>
      <c r="G1968">
        <v>5319.17</v>
      </c>
      <c r="H1968">
        <f t="shared" si="397"/>
        <v>-3.2321182539166641E-3</v>
      </c>
      <c r="I1968" t="str">
        <f t="shared" si="391"/>
        <v>2017-11</v>
      </c>
      <c r="K1968">
        <v>12993.73</v>
      </c>
      <c r="L1968">
        <f t="shared" si="398"/>
        <v>-4.1081508338808564E-3</v>
      </c>
      <c r="M1968" t="str">
        <f t="shared" si="392"/>
        <v>2017-11</v>
      </c>
      <c r="O1968">
        <v>8259.3323799999998</v>
      </c>
      <c r="P1968">
        <f t="shared" si="399"/>
        <v>-2.171628369996324E-3</v>
      </c>
      <c r="Q1968" t="str">
        <f t="shared" si="393"/>
        <v>2017-11</v>
      </c>
      <c r="S1968">
        <v>10010.4</v>
      </c>
      <c r="T1968">
        <f t="shared" si="400"/>
        <v>-7.7914330600922467E-3</v>
      </c>
      <c r="U1968" t="str">
        <f t="shared" si="394"/>
        <v>2017-11</v>
      </c>
      <c r="W1968">
        <v>22092.95</v>
      </c>
      <c r="X1968">
        <f t="shared" si="401"/>
        <v>-5.1309888853933155E-3</v>
      </c>
      <c r="Y1968">
        <f t="shared" si="402"/>
        <v>-5.117847847036369E-3</v>
      </c>
      <c r="Z1968" t="str">
        <f t="shared" si="395"/>
        <v>2017-11</v>
      </c>
    </row>
    <row r="1969" spans="1:26" x14ac:dyDescent="0.35">
      <c r="A1969" s="1">
        <v>43059</v>
      </c>
      <c r="C1969">
        <v>3561.41</v>
      </c>
      <c r="D1969">
        <f t="shared" si="396"/>
        <v>3.9246794233425801E-3</v>
      </c>
      <c r="E1969" t="str">
        <f t="shared" si="390"/>
        <v>2017-11</v>
      </c>
      <c r="G1969">
        <v>5340.45</v>
      </c>
      <c r="H1969">
        <f t="shared" si="397"/>
        <v>3.9926429401891681E-3</v>
      </c>
      <c r="I1969" t="str">
        <f t="shared" si="391"/>
        <v>2017-11</v>
      </c>
      <c r="K1969">
        <v>13058.66</v>
      </c>
      <c r="L1969">
        <f t="shared" si="398"/>
        <v>4.9845817936711037E-3</v>
      </c>
      <c r="M1969" t="str">
        <f t="shared" si="392"/>
        <v>2017-11</v>
      </c>
      <c r="O1969">
        <v>8324.8585700000003</v>
      </c>
      <c r="P1969">
        <f t="shared" si="399"/>
        <v>7.9022885331542208E-3</v>
      </c>
      <c r="Q1969" t="str">
        <f t="shared" si="393"/>
        <v>2017-11</v>
      </c>
      <c r="S1969">
        <v>10025.5</v>
      </c>
      <c r="T1969">
        <f t="shared" si="400"/>
        <v>1.5072946919134516E-3</v>
      </c>
      <c r="U1969" t="str">
        <f t="shared" si="394"/>
        <v>2017-11</v>
      </c>
      <c r="W1969">
        <v>22189.25</v>
      </c>
      <c r="X1969">
        <f t="shared" si="401"/>
        <v>4.3493842586876715E-3</v>
      </c>
      <c r="Y1969">
        <f t="shared" si="402"/>
        <v>4.3588565583138183E-3</v>
      </c>
      <c r="Z1969" t="str">
        <f t="shared" si="395"/>
        <v>2017-11</v>
      </c>
    </row>
    <row r="1970" spans="1:26" x14ac:dyDescent="0.35">
      <c r="A1970" s="1">
        <v>43060</v>
      </c>
      <c r="C1970">
        <v>3579.32</v>
      </c>
      <c r="D1970">
        <f t="shared" si="396"/>
        <v>5.0163043711844981E-3</v>
      </c>
      <c r="E1970" t="str">
        <f t="shared" si="390"/>
        <v>2017-11</v>
      </c>
      <c r="G1970">
        <v>5366.15</v>
      </c>
      <c r="H1970">
        <f t="shared" si="397"/>
        <v>4.8007863112749759E-3</v>
      </c>
      <c r="I1970" t="str">
        <f t="shared" si="391"/>
        <v>2017-11</v>
      </c>
      <c r="K1970">
        <v>13167.54</v>
      </c>
      <c r="L1970">
        <f t="shared" si="398"/>
        <v>8.3031949380787413E-3</v>
      </c>
      <c r="M1970" t="str">
        <f t="shared" si="392"/>
        <v>2017-11</v>
      </c>
      <c r="O1970">
        <v>8355.5079800000003</v>
      </c>
      <c r="P1970">
        <f t="shared" si="399"/>
        <v>3.6749125867746924E-3</v>
      </c>
      <c r="Q1970" t="str">
        <f t="shared" si="393"/>
        <v>2017-11</v>
      </c>
      <c r="S1970">
        <v>9993.4</v>
      </c>
      <c r="T1970">
        <f t="shared" si="400"/>
        <v>-3.2069721624554178E-3</v>
      </c>
      <c r="U1970" t="str">
        <f t="shared" si="394"/>
        <v>2017-11</v>
      </c>
      <c r="W1970">
        <v>22326.44</v>
      </c>
      <c r="X1970">
        <f t="shared" si="401"/>
        <v>6.1636889974091731E-3</v>
      </c>
      <c r="Y1970">
        <f t="shared" si="402"/>
        <v>6.1827236161654262E-3</v>
      </c>
      <c r="Z1970" t="str">
        <f t="shared" si="395"/>
        <v>2017-11</v>
      </c>
    </row>
    <row r="1971" spans="1:26" x14ac:dyDescent="0.35">
      <c r="A1971" s="1">
        <v>43061</v>
      </c>
      <c r="C1971">
        <v>3562.65</v>
      </c>
      <c r="D1971">
        <f t="shared" si="396"/>
        <v>-4.6681882653339434E-3</v>
      </c>
      <c r="E1971" t="str">
        <f t="shared" si="390"/>
        <v>2017-11</v>
      </c>
      <c r="G1971">
        <v>5352.76</v>
      </c>
      <c r="H1971">
        <f t="shared" si="397"/>
        <v>-2.498389661817414E-3</v>
      </c>
      <c r="I1971" t="str">
        <f t="shared" si="391"/>
        <v>2017-11</v>
      </c>
      <c r="K1971">
        <v>13015.04</v>
      </c>
      <c r="L1971">
        <f t="shared" si="398"/>
        <v>-1.1649098334533398E-2</v>
      </c>
      <c r="M1971" t="str">
        <f t="shared" si="392"/>
        <v>2017-11</v>
      </c>
      <c r="O1971">
        <v>8358.7415700000001</v>
      </c>
      <c r="P1971">
        <f t="shared" si="399"/>
        <v>3.8692614115508865E-4</v>
      </c>
      <c r="Q1971" t="str">
        <f t="shared" si="393"/>
        <v>2017-11</v>
      </c>
      <c r="S1971">
        <v>10013.9</v>
      </c>
      <c r="T1971">
        <f t="shared" si="400"/>
        <v>2.0492527401536303E-3</v>
      </c>
      <c r="U1971" t="str">
        <f t="shared" si="394"/>
        <v>2017-11</v>
      </c>
      <c r="W1971">
        <v>22315.24</v>
      </c>
      <c r="X1971">
        <f t="shared" si="401"/>
        <v>-5.0177324128429816E-4</v>
      </c>
      <c r="Y1971">
        <f t="shared" si="402"/>
        <v>-5.0164737414460574E-4</v>
      </c>
      <c r="Z1971" t="str">
        <f t="shared" si="395"/>
        <v>2017-11</v>
      </c>
    </row>
    <row r="1972" spans="1:26" x14ac:dyDescent="0.35">
      <c r="A1972" s="1">
        <v>43062</v>
      </c>
      <c r="C1972">
        <v>3572.07</v>
      </c>
      <c r="D1972">
        <f t="shared" si="396"/>
        <v>2.6406097152132458E-3</v>
      </c>
      <c r="E1972" t="str">
        <f t="shared" si="390"/>
        <v>2017-11</v>
      </c>
      <c r="G1972">
        <v>5379.54</v>
      </c>
      <c r="H1972">
        <f t="shared" si="397"/>
        <v>4.99055292547092E-3</v>
      </c>
      <c r="I1972" t="str">
        <f t="shared" si="391"/>
        <v>2017-11</v>
      </c>
      <c r="K1972">
        <v>13008.55</v>
      </c>
      <c r="L1972">
        <f t="shared" si="398"/>
        <v>-4.9877823425205294E-4</v>
      </c>
      <c r="M1972" t="str">
        <f t="shared" si="392"/>
        <v>2017-11</v>
      </c>
      <c r="O1972">
        <v>8328.6672500000004</v>
      </c>
      <c r="P1972">
        <f t="shared" si="399"/>
        <v>-3.6044364807935676E-3</v>
      </c>
      <c r="Q1972" t="str">
        <f t="shared" si="393"/>
        <v>2017-11</v>
      </c>
      <c r="S1972">
        <v>10032.799999999999</v>
      </c>
      <c r="T1972">
        <f t="shared" si="400"/>
        <v>1.8855976893830133E-3</v>
      </c>
      <c r="U1972" t="str">
        <f t="shared" si="394"/>
        <v>2017-11</v>
      </c>
      <c r="W1972">
        <v>22397.78</v>
      </c>
      <c r="X1972">
        <f t="shared" si="401"/>
        <v>3.6919936858337866E-3</v>
      </c>
      <c r="Y1972">
        <f t="shared" si="402"/>
        <v>3.6988174897512743E-3</v>
      </c>
      <c r="Z1972" t="str">
        <f t="shared" si="395"/>
        <v>2017-11</v>
      </c>
    </row>
    <row r="1973" spans="1:26" x14ac:dyDescent="0.35">
      <c r="A1973" s="1">
        <v>43063</v>
      </c>
      <c r="C1973">
        <v>3581.23</v>
      </c>
      <c r="D1973">
        <f t="shared" si="396"/>
        <v>2.5610571363463607E-3</v>
      </c>
      <c r="E1973" t="str">
        <f t="shared" si="390"/>
        <v>2017-11</v>
      </c>
      <c r="G1973">
        <v>5390.46</v>
      </c>
      <c r="H1973">
        <f t="shared" si="397"/>
        <v>2.0278558481154341E-3</v>
      </c>
      <c r="I1973" t="str">
        <f t="shared" si="391"/>
        <v>2017-11</v>
      </c>
      <c r="K1973">
        <v>13059.84</v>
      </c>
      <c r="L1973">
        <f t="shared" si="398"/>
        <v>3.9350390402672257E-3</v>
      </c>
      <c r="M1973" t="str">
        <f t="shared" si="392"/>
        <v>2017-11</v>
      </c>
      <c r="O1973">
        <v>8281.8008499999996</v>
      </c>
      <c r="P1973">
        <f t="shared" si="399"/>
        <v>-5.6430106706091979E-3</v>
      </c>
      <c r="Q1973" t="str">
        <f t="shared" si="393"/>
        <v>2017-11</v>
      </c>
      <c r="S1973">
        <v>10053.5</v>
      </c>
      <c r="T1973">
        <f t="shared" si="400"/>
        <v>2.0611070558620706E-3</v>
      </c>
      <c r="U1973" t="str">
        <f t="shared" si="394"/>
        <v>2017-11</v>
      </c>
      <c r="W1973">
        <v>22416.31</v>
      </c>
      <c r="X1973">
        <f t="shared" si="401"/>
        <v>8.2697209989228166E-4</v>
      </c>
      <c r="Y1973">
        <f t="shared" si="402"/>
        <v>8.2731413559747769E-4</v>
      </c>
      <c r="Z1973" t="str">
        <f t="shared" si="395"/>
        <v>2017-11</v>
      </c>
    </row>
    <row r="1974" spans="1:26" x14ac:dyDescent="0.35">
      <c r="A1974" s="1">
        <v>43066</v>
      </c>
      <c r="C1974">
        <v>3564.02</v>
      </c>
      <c r="D1974">
        <f t="shared" si="396"/>
        <v>-4.8171955579887843E-3</v>
      </c>
      <c r="E1974" t="str">
        <f t="shared" si="390"/>
        <v>2017-11</v>
      </c>
      <c r="G1974">
        <v>5360.09</v>
      </c>
      <c r="H1974">
        <f t="shared" si="397"/>
        <v>-5.6499585210612931E-3</v>
      </c>
      <c r="I1974" t="str">
        <f t="shared" si="391"/>
        <v>2017-11</v>
      </c>
      <c r="K1974">
        <v>13000.2</v>
      </c>
      <c r="L1974">
        <f t="shared" si="398"/>
        <v>-4.5771306661144436E-3</v>
      </c>
      <c r="M1974" t="str">
        <f t="shared" si="392"/>
        <v>2017-11</v>
      </c>
      <c r="O1974">
        <v>8269.1987100000006</v>
      </c>
      <c r="P1974">
        <f t="shared" si="399"/>
        <v>-1.5228255417051974E-3</v>
      </c>
      <c r="Q1974" t="str">
        <f t="shared" si="393"/>
        <v>2017-11</v>
      </c>
      <c r="S1974">
        <v>10063.1</v>
      </c>
      <c r="T1974">
        <f t="shared" si="400"/>
        <v>9.5443571267106952E-4</v>
      </c>
      <c r="U1974" t="str">
        <f t="shared" si="394"/>
        <v>2017-11</v>
      </c>
      <c r="W1974">
        <v>22176.7</v>
      </c>
      <c r="X1974">
        <f t="shared" si="401"/>
        <v>-1.0746630740718358E-2</v>
      </c>
      <c r="Y1974">
        <f t="shared" si="402"/>
        <v>-1.0689092004883969E-2</v>
      </c>
      <c r="Z1974" t="str">
        <f t="shared" si="395"/>
        <v>2017-11</v>
      </c>
    </row>
    <row r="1975" spans="1:26" x14ac:dyDescent="0.35">
      <c r="A1975" s="1">
        <v>43067</v>
      </c>
      <c r="C1975">
        <v>3583.49</v>
      </c>
      <c r="D1975">
        <f t="shared" si="396"/>
        <v>5.4480646149668291E-3</v>
      </c>
      <c r="E1975" t="str">
        <f t="shared" si="390"/>
        <v>2017-11</v>
      </c>
      <c r="G1975">
        <v>5390.48</v>
      </c>
      <c r="H1975">
        <f t="shared" si="397"/>
        <v>5.6536687726719157E-3</v>
      </c>
      <c r="I1975" t="str">
        <f t="shared" si="391"/>
        <v>2017-11</v>
      </c>
      <c r="K1975">
        <v>13059.53</v>
      </c>
      <c r="L1975">
        <f t="shared" si="398"/>
        <v>4.5533934932796205E-3</v>
      </c>
      <c r="M1975" t="str">
        <f t="shared" si="392"/>
        <v>2017-11</v>
      </c>
      <c r="O1975">
        <v>8378.3036599999996</v>
      </c>
      <c r="P1975">
        <f t="shared" si="399"/>
        <v>1.3107853626768915E-2</v>
      </c>
      <c r="Q1975" t="str">
        <f t="shared" si="393"/>
        <v>2017-11</v>
      </c>
      <c r="S1975">
        <v>10144.4</v>
      </c>
      <c r="T1975">
        <f t="shared" si="400"/>
        <v>8.0465607978626227E-3</v>
      </c>
      <c r="U1975" t="str">
        <f t="shared" si="394"/>
        <v>2017-11</v>
      </c>
      <c r="W1975">
        <v>22291.77</v>
      </c>
      <c r="X1975">
        <f t="shared" si="401"/>
        <v>5.1753638854620271E-3</v>
      </c>
      <c r="Y1975">
        <f t="shared" si="402"/>
        <v>5.188779214220317E-3</v>
      </c>
      <c r="Z1975" t="str">
        <f t="shared" si="395"/>
        <v>2017-11</v>
      </c>
    </row>
    <row r="1976" spans="1:26" x14ac:dyDescent="0.35">
      <c r="A1976" s="1">
        <v>43068</v>
      </c>
      <c r="C1976">
        <v>3589.91</v>
      </c>
      <c r="D1976">
        <f t="shared" si="396"/>
        <v>1.7899466679932086E-3</v>
      </c>
      <c r="E1976" t="str">
        <f t="shared" si="390"/>
        <v>2017-11</v>
      </c>
      <c r="G1976">
        <v>5398.05</v>
      </c>
      <c r="H1976">
        <f t="shared" si="397"/>
        <v>1.4033424836090501E-3</v>
      </c>
      <c r="I1976" t="str">
        <f t="shared" si="391"/>
        <v>2017-11</v>
      </c>
      <c r="K1976">
        <v>13061.87</v>
      </c>
      <c r="L1976">
        <f t="shared" si="398"/>
        <v>1.7916344501141057E-4</v>
      </c>
      <c r="M1976" t="str">
        <f t="shared" si="392"/>
        <v>2017-11</v>
      </c>
      <c r="O1976">
        <v>8378.0370600000006</v>
      </c>
      <c r="P1976">
        <f t="shared" si="399"/>
        <v>-3.1820790049101468E-5</v>
      </c>
      <c r="Q1976" t="str">
        <f t="shared" si="393"/>
        <v>2017-11</v>
      </c>
      <c r="S1976">
        <v>10267.700000000001</v>
      </c>
      <c r="T1976">
        <f t="shared" si="400"/>
        <v>1.2081216503164021E-2</v>
      </c>
      <c r="U1976" t="str">
        <f t="shared" si="394"/>
        <v>2017-11</v>
      </c>
      <c r="W1976">
        <v>22325.94</v>
      </c>
      <c r="X1976">
        <f t="shared" si="401"/>
        <v>1.5316790879831624E-3</v>
      </c>
      <c r="Y1976">
        <f t="shared" si="402"/>
        <v>1.5328527075238194E-3</v>
      </c>
      <c r="Z1976" t="str">
        <f t="shared" si="395"/>
        <v>2017-11</v>
      </c>
    </row>
    <row r="1977" spans="1:26" x14ac:dyDescent="0.35">
      <c r="A1977" s="1">
        <v>43069</v>
      </c>
      <c r="C1977">
        <v>3569.93</v>
      </c>
      <c r="D1977">
        <f t="shared" si="396"/>
        <v>-5.5811447918816624E-3</v>
      </c>
      <c r="E1977" t="str">
        <f t="shared" si="390"/>
        <v>2017-11</v>
      </c>
      <c r="G1977">
        <v>5372.79</v>
      </c>
      <c r="H1977">
        <f t="shared" si="397"/>
        <v>-4.6904505703679279E-3</v>
      </c>
      <c r="I1977" t="str">
        <f t="shared" si="391"/>
        <v>2017-11</v>
      </c>
      <c r="K1977">
        <v>13023.98</v>
      </c>
      <c r="L1977">
        <f t="shared" si="398"/>
        <v>-2.905025264400566E-3</v>
      </c>
      <c r="M1977" t="str">
        <f t="shared" si="392"/>
        <v>2017-11</v>
      </c>
      <c r="O1977">
        <v>8323.6048300000002</v>
      </c>
      <c r="P1977">
        <f t="shared" si="399"/>
        <v>-6.5182121710691673E-3</v>
      </c>
      <c r="Q1977" t="str">
        <f t="shared" si="393"/>
        <v>2017-11</v>
      </c>
      <c r="S1977">
        <v>10211</v>
      </c>
      <c r="T1977">
        <f t="shared" si="400"/>
        <v>-5.5374750238615638E-3</v>
      </c>
      <c r="U1977" t="str">
        <f t="shared" si="394"/>
        <v>2017-11</v>
      </c>
      <c r="W1977">
        <v>22368.29</v>
      </c>
      <c r="X1977">
        <f t="shared" si="401"/>
        <v>1.8950997779650796E-3</v>
      </c>
      <c r="Y1977">
        <f t="shared" si="402"/>
        <v>1.896896614431562E-3</v>
      </c>
      <c r="Z1977" t="str">
        <f t="shared" si="395"/>
        <v>2017-11</v>
      </c>
    </row>
    <row r="1978" spans="1:26" x14ac:dyDescent="0.35">
      <c r="A1978" s="1">
        <v>43070</v>
      </c>
      <c r="C1978">
        <v>3527.55</v>
      </c>
      <c r="D1978">
        <f t="shared" si="396"/>
        <v>-1.1942408767360517E-2</v>
      </c>
      <c r="E1978" t="str">
        <f t="shared" si="390"/>
        <v>2017-12</v>
      </c>
      <c r="G1978">
        <v>5316.89</v>
      </c>
      <c r="H1978">
        <f t="shared" si="397"/>
        <v>-1.0458780722333909E-2</v>
      </c>
      <c r="I1978" t="str">
        <f t="shared" si="391"/>
        <v>2017-12</v>
      </c>
      <c r="K1978">
        <v>12861.49</v>
      </c>
      <c r="L1978">
        <f t="shared" si="398"/>
        <v>-1.2554698393087673E-2</v>
      </c>
      <c r="M1978" t="str">
        <f t="shared" si="392"/>
        <v>2017-12</v>
      </c>
      <c r="O1978">
        <v>8284.0265299999992</v>
      </c>
      <c r="P1978">
        <f t="shared" si="399"/>
        <v>-4.7662877467239718E-3</v>
      </c>
      <c r="Q1978" t="str">
        <f t="shared" si="393"/>
        <v>2017-12</v>
      </c>
      <c r="S1978">
        <v>10085</v>
      </c>
      <c r="T1978">
        <f t="shared" si="400"/>
        <v>-1.2416399167225877E-2</v>
      </c>
      <c r="U1978" t="str">
        <f t="shared" si="394"/>
        <v>2017-12</v>
      </c>
      <c r="W1978">
        <v>22106.1</v>
      </c>
      <c r="X1978">
        <f t="shared" si="401"/>
        <v>-1.1790742380017004E-2</v>
      </c>
      <c r="Y1978">
        <f t="shared" si="402"/>
        <v>-1.1721503968341001E-2</v>
      </c>
      <c r="Z1978" t="str">
        <f t="shared" si="395"/>
        <v>2017-12</v>
      </c>
    </row>
    <row r="1979" spans="1:26" x14ac:dyDescent="0.35">
      <c r="A1979" s="1">
        <v>43073</v>
      </c>
      <c r="C1979">
        <v>3576.22</v>
      </c>
      <c r="D1979">
        <f t="shared" si="396"/>
        <v>1.3702797682895805E-2</v>
      </c>
      <c r="E1979" t="str">
        <f t="shared" si="390"/>
        <v>2017-12</v>
      </c>
      <c r="G1979">
        <v>5389.29</v>
      </c>
      <c r="H1979">
        <f t="shared" si="397"/>
        <v>1.352510487681351E-2</v>
      </c>
      <c r="I1979" t="str">
        <f t="shared" si="391"/>
        <v>2017-12</v>
      </c>
      <c r="K1979">
        <v>13058.55</v>
      </c>
      <c r="L1979">
        <f t="shared" si="398"/>
        <v>1.5205516411365817E-2</v>
      </c>
      <c r="M1979" t="str">
        <f t="shared" si="392"/>
        <v>2017-12</v>
      </c>
      <c r="O1979">
        <v>8339.0626699999993</v>
      </c>
      <c r="P1979">
        <f t="shared" si="399"/>
        <v>6.6216742788519998E-3</v>
      </c>
      <c r="Q1979" t="str">
        <f t="shared" si="393"/>
        <v>2017-12</v>
      </c>
      <c r="S1979">
        <v>10208.6</v>
      </c>
      <c r="T1979">
        <f t="shared" si="400"/>
        <v>1.2181330898400563E-2</v>
      </c>
      <c r="U1979" t="str">
        <f t="shared" si="394"/>
        <v>2017-12</v>
      </c>
      <c r="W1979">
        <v>22362.11</v>
      </c>
      <c r="X1979">
        <f t="shared" si="401"/>
        <v>1.1514420234929044E-2</v>
      </c>
      <c r="Y1979">
        <f t="shared" si="402"/>
        <v>1.1580966339607713E-2</v>
      </c>
      <c r="Z1979" t="str">
        <f t="shared" si="395"/>
        <v>2017-12</v>
      </c>
    </row>
    <row r="1980" spans="1:26" x14ac:dyDescent="0.35">
      <c r="A1980" s="1">
        <v>43074</v>
      </c>
      <c r="C1980">
        <v>3570.57</v>
      </c>
      <c r="D1980">
        <f t="shared" si="396"/>
        <v>-1.5811297595338134E-3</v>
      </c>
      <c r="E1980" t="str">
        <f t="shared" si="390"/>
        <v>2017-12</v>
      </c>
      <c r="G1980">
        <v>5375.53</v>
      </c>
      <c r="H1980">
        <f t="shared" si="397"/>
        <v>-2.5564770231411831E-3</v>
      </c>
      <c r="I1980" t="str">
        <f t="shared" si="391"/>
        <v>2017-12</v>
      </c>
      <c r="K1980">
        <v>13048.54</v>
      </c>
      <c r="L1980">
        <f t="shared" si="398"/>
        <v>-7.6684153542404591E-4</v>
      </c>
      <c r="M1980" t="str">
        <f t="shared" si="392"/>
        <v>2017-12</v>
      </c>
      <c r="O1980">
        <v>8339.7948099999994</v>
      </c>
      <c r="P1980">
        <f t="shared" si="399"/>
        <v>8.7792584276109823E-5</v>
      </c>
      <c r="Q1980" t="str">
        <f t="shared" si="393"/>
        <v>2017-12</v>
      </c>
      <c r="S1980">
        <v>10211.299999999999</v>
      </c>
      <c r="T1980">
        <f t="shared" si="400"/>
        <v>2.6444791754454713E-4</v>
      </c>
      <c r="U1980" t="str">
        <f t="shared" si="394"/>
        <v>2017-12</v>
      </c>
      <c r="W1980">
        <v>22416.31</v>
      </c>
      <c r="X1980">
        <f t="shared" si="401"/>
        <v>2.4208101343958927E-3</v>
      </c>
      <c r="Y1980">
        <f t="shared" si="402"/>
        <v>2.4237426611353188E-3</v>
      </c>
      <c r="Z1980" t="str">
        <f t="shared" si="395"/>
        <v>2017-12</v>
      </c>
    </row>
    <row r="1981" spans="1:26" x14ac:dyDescent="0.35">
      <c r="A1981" s="1">
        <v>43075</v>
      </c>
      <c r="C1981">
        <v>3561.57</v>
      </c>
      <c r="D1981">
        <f t="shared" si="396"/>
        <v>-2.5237880291551209E-3</v>
      </c>
      <c r="E1981" t="str">
        <f t="shared" si="390"/>
        <v>2017-12</v>
      </c>
      <c r="G1981">
        <v>5374.35</v>
      </c>
      <c r="H1981">
        <f t="shared" si="397"/>
        <v>-2.1953733525190093E-4</v>
      </c>
      <c r="I1981" t="str">
        <f t="shared" si="391"/>
        <v>2017-12</v>
      </c>
      <c r="K1981">
        <v>12998.85</v>
      </c>
      <c r="L1981">
        <f t="shared" si="398"/>
        <v>-3.815358105201326E-3</v>
      </c>
      <c r="M1981" t="str">
        <f t="shared" si="392"/>
        <v>2017-12</v>
      </c>
      <c r="O1981">
        <v>8334.9951099999998</v>
      </c>
      <c r="P1981">
        <f t="shared" si="399"/>
        <v>-5.7568343056589003E-4</v>
      </c>
      <c r="Q1981" t="str">
        <f t="shared" si="393"/>
        <v>2017-12</v>
      </c>
      <c r="S1981">
        <v>10184</v>
      </c>
      <c r="T1981">
        <f t="shared" si="400"/>
        <v>-2.6770889670148556E-3</v>
      </c>
      <c r="U1981" t="str">
        <f t="shared" si="394"/>
        <v>2017-12</v>
      </c>
      <c r="W1981">
        <v>22307.279999999999</v>
      </c>
      <c r="X1981">
        <f t="shared" si="401"/>
        <v>-4.8757363170379526E-3</v>
      </c>
      <c r="Y1981">
        <f t="shared" si="402"/>
        <v>-4.8638692095176444E-3</v>
      </c>
      <c r="Z1981" t="str">
        <f t="shared" si="395"/>
        <v>2017-12</v>
      </c>
    </row>
    <row r="1982" spans="1:26" x14ac:dyDescent="0.35">
      <c r="A1982" s="1">
        <v>43076</v>
      </c>
      <c r="C1982">
        <v>3573.13</v>
      </c>
      <c r="D1982">
        <f t="shared" si="396"/>
        <v>3.2405034874148841E-3</v>
      </c>
      <c r="E1982" t="str">
        <f t="shared" si="390"/>
        <v>2017-12</v>
      </c>
      <c r="G1982">
        <v>5383.86</v>
      </c>
      <c r="H1982">
        <f t="shared" si="397"/>
        <v>1.7679525640570755E-3</v>
      </c>
      <c r="I1982" t="str">
        <f t="shared" si="391"/>
        <v>2017-12</v>
      </c>
      <c r="K1982">
        <v>13045.15</v>
      </c>
      <c r="L1982">
        <f t="shared" si="398"/>
        <v>3.5555251709499199E-3</v>
      </c>
      <c r="M1982" t="str">
        <f t="shared" si="392"/>
        <v>2017-12</v>
      </c>
      <c r="O1982">
        <v>8332.2633100000003</v>
      </c>
      <c r="P1982">
        <f t="shared" si="399"/>
        <v>-3.2780436417591621E-4</v>
      </c>
      <c r="Q1982" t="str">
        <f t="shared" si="393"/>
        <v>2017-12</v>
      </c>
      <c r="S1982">
        <v>10262.6</v>
      </c>
      <c r="T1982">
        <f t="shared" si="400"/>
        <v>7.688357690339394E-3</v>
      </c>
      <c r="U1982" t="str">
        <f t="shared" si="394"/>
        <v>2017-12</v>
      </c>
      <c r="W1982">
        <v>22459.51</v>
      </c>
      <c r="X1982">
        <f t="shared" si="401"/>
        <v>6.801049919980106E-3</v>
      </c>
      <c r="Y1982">
        <f t="shared" si="402"/>
        <v>6.8242295788639214E-3</v>
      </c>
      <c r="Z1982" t="str">
        <f t="shared" si="395"/>
        <v>2017-12</v>
      </c>
    </row>
    <row r="1983" spans="1:26" x14ac:dyDescent="0.35">
      <c r="A1983" s="1">
        <v>43077</v>
      </c>
      <c r="C1983">
        <v>3591.45</v>
      </c>
      <c r="D1983">
        <f t="shared" si="396"/>
        <v>5.1140583056648644E-3</v>
      </c>
      <c r="E1983" t="str">
        <f t="shared" si="390"/>
        <v>2017-12</v>
      </c>
      <c r="G1983">
        <v>5399.09</v>
      </c>
      <c r="H1983">
        <f t="shared" si="397"/>
        <v>2.8248318182939993E-3</v>
      </c>
      <c r="I1983" t="str">
        <f t="shared" si="391"/>
        <v>2017-12</v>
      </c>
      <c r="K1983">
        <v>13153.7</v>
      </c>
      <c r="L1983">
        <f t="shared" si="398"/>
        <v>8.2866706872106767E-3</v>
      </c>
      <c r="M1983" t="str">
        <f t="shared" si="392"/>
        <v>2017-12</v>
      </c>
      <c r="O1983">
        <v>8426.0702700000002</v>
      </c>
      <c r="P1983">
        <f t="shared" si="399"/>
        <v>1.1195378029252181E-2</v>
      </c>
      <c r="Q1983" t="str">
        <f t="shared" si="393"/>
        <v>2017-12</v>
      </c>
      <c r="S1983">
        <v>10321.1</v>
      </c>
      <c r="T1983">
        <f t="shared" si="400"/>
        <v>5.6841245750392519E-3</v>
      </c>
      <c r="U1983" t="str">
        <f t="shared" si="394"/>
        <v>2017-12</v>
      </c>
      <c r="W1983">
        <v>22773.8</v>
      </c>
      <c r="X1983">
        <f t="shared" si="401"/>
        <v>1.3896619895995136E-2</v>
      </c>
      <c r="Y1983">
        <f t="shared" si="402"/>
        <v>1.3993626753210595E-2</v>
      </c>
      <c r="Z1983" t="str">
        <f t="shared" si="395"/>
        <v>2017-12</v>
      </c>
    </row>
    <row r="1984" spans="1:26" x14ac:dyDescent="0.35">
      <c r="A1984" s="1">
        <v>43080</v>
      </c>
      <c r="C1984">
        <v>3582.21</v>
      </c>
      <c r="D1984">
        <f t="shared" si="396"/>
        <v>-2.5760922903825425E-3</v>
      </c>
      <c r="E1984" t="str">
        <f t="shared" si="390"/>
        <v>2017-12</v>
      </c>
      <c r="G1984">
        <v>5386.83</v>
      </c>
      <c r="H1984">
        <f t="shared" si="397"/>
        <v>-2.2733351035473604E-3</v>
      </c>
      <c r="I1984" t="str">
        <f t="shared" si="391"/>
        <v>2017-12</v>
      </c>
      <c r="K1984">
        <v>13123.65</v>
      </c>
      <c r="L1984">
        <f t="shared" si="398"/>
        <v>-2.2871418236116484E-3</v>
      </c>
      <c r="M1984" t="str">
        <f t="shared" si="392"/>
        <v>2017-12</v>
      </c>
      <c r="O1984">
        <v>8438.8917500000007</v>
      </c>
      <c r="P1984">
        <f t="shared" si="399"/>
        <v>1.5204875593484361E-3</v>
      </c>
      <c r="Q1984" t="str">
        <f t="shared" si="393"/>
        <v>2017-12</v>
      </c>
      <c r="S1984">
        <v>10306.9</v>
      </c>
      <c r="T1984">
        <f t="shared" si="400"/>
        <v>-1.3767696570683205E-3</v>
      </c>
      <c r="U1984" t="str">
        <f t="shared" si="394"/>
        <v>2017-12</v>
      </c>
      <c r="W1984">
        <v>22690.98</v>
      </c>
      <c r="X1984">
        <f t="shared" si="401"/>
        <v>-3.6432637135099762E-3</v>
      </c>
      <c r="Y1984">
        <f t="shared" si="402"/>
        <v>-3.6366350806628545E-3</v>
      </c>
      <c r="Z1984" t="str">
        <f t="shared" si="395"/>
        <v>2017-12</v>
      </c>
    </row>
    <row r="1985" spans="1:26" x14ac:dyDescent="0.35">
      <c r="A1985" s="1">
        <v>43081</v>
      </c>
      <c r="C1985">
        <v>3600.35</v>
      </c>
      <c r="D1985">
        <f t="shared" si="396"/>
        <v>5.051134572794957E-3</v>
      </c>
      <c r="E1985" t="str">
        <f t="shared" si="390"/>
        <v>2017-12</v>
      </c>
      <c r="G1985">
        <v>5427.19</v>
      </c>
      <c r="H1985">
        <f t="shared" si="397"/>
        <v>7.4644188556180248E-3</v>
      </c>
      <c r="I1985" t="str">
        <f t="shared" si="391"/>
        <v>2017-12</v>
      </c>
      <c r="K1985">
        <v>13183.53</v>
      </c>
      <c r="L1985">
        <f t="shared" si="398"/>
        <v>4.5523772151492056E-3</v>
      </c>
      <c r="M1985" t="str">
        <f t="shared" si="392"/>
        <v>2017-12</v>
      </c>
      <c r="O1985">
        <v>8518.2496699999992</v>
      </c>
      <c r="P1985">
        <f t="shared" si="399"/>
        <v>9.3598911982166362E-3</v>
      </c>
      <c r="Q1985" t="str">
        <f t="shared" si="393"/>
        <v>2017-12</v>
      </c>
      <c r="S1985">
        <v>10288.299999999999</v>
      </c>
      <c r="T1985">
        <f t="shared" si="400"/>
        <v>-1.8062466066769334E-3</v>
      </c>
      <c r="U1985" t="str">
        <f t="shared" si="394"/>
        <v>2017-12</v>
      </c>
      <c r="W1985">
        <v>22727.32</v>
      </c>
      <c r="X1985">
        <f t="shared" si="401"/>
        <v>1.6002363696934166E-3</v>
      </c>
      <c r="Y1985">
        <f t="shared" si="402"/>
        <v>1.6015174311554701E-3</v>
      </c>
      <c r="Z1985" t="str">
        <f t="shared" si="395"/>
        <v>2017-12</v>
      </c>
    </row>
    <row r="1986" spans="1:26" x14ac:dyDescent="0.35">
      <c r="A1986" s="1">
        <v>43082</v>
      </c>
      <c r="C1986">
        <v>3581.75</v>
      </c>
      <c r="D1986">
        <f t="shared" si="396"/>
        <v>-5.1795551671680101E-3</v>
      </c>
      <c r="E1986" t="str">
        <f t="shared" si="390"/>
        <v>2017-12</v>
      </c>
      <c r="G1986">
        <v>5399.45</v>
      </c>
      <c r="H1986">
        <f t="shared" si="397"/>
        <v>-5.1244080718150942E-3</v>
      </c>
      <c r="I1986" t="str">
        <f t="shared" si="391"/>
        <v>2017-12</v>
      </c>
      <c r="K1986">
        <v>13125.64</v>
      </c>
      <c r="L1986">
        <f t="shared" si="398"/>
        <v>-4.4007540661946416E-3</v>
      </c>
      <c r="M1986" t="str">
        <f t="shared" si="392"/>
        <v>2017-12</v>
      </c>
      <c r="O1986">
        <v>8509.1729599999999</v>
      </c>
      <c r="P1986">
        <f t="shared" si="399"/>
        <v>-1.0661285688353319E-3</v>
      </c>
      <c r="Q1986" t="str">
        <f t="shared" si="393"/>
        <v>2017-12</v>
      </c>
      <c r="S1986">
        <v>10260.5</v>
      </c>
      <c r="T1986">
        <f t="shared" si="400"/>
        <v>-2.705755758056766E-3</v>
      </c>
      <c r="U1986" t="str">
        <f t="shared" si="394"/>
        <v>2017-12</v>
      </c>
      <c r="W1986">
        <v>22400.19</v>
      </c>
      <c r="X1986">
        <f t="shared" si="401"/>
        <v>-1.4498284093834555E-2</v>
      </c>
      <c r="Y1986">
        <f t="shared" si="402"/>
        <v>-1.4393690061124717E-2</v>
      </c>
      <c r="Z1986" t="str">
        <f t="shared" si="395"/>
        <v>2017-12</v>
      </c>
    </row>
    <row r="1987" spans="1:26" x14ac:dyDescent="0.35">
      <c r="A1987" s="1">
        <v>43083</v>
      </c>
      <c r="C1987">
        <v>3556.22</v>
      </c>
      <c r="D1987">
        <f t="shared" si="396"/>
        <v>-7.1533247867953008E-3</v>
      </c>
      <c r="E1987" t="str">
        <f t="shared" si="390"/>
        <v>2017-12</v>
      </c>
      <c r="G1987">
        <v>5357.14</v>
      </c>
      <c r="H1987">
        <f t="shared" si="397"/>
        <v>-7.8668459435483427E-3</v>
      </c>
      <c r="I1987" t="str">
        <f t="shared" si="391"/>
        <v>2017-12</v>
      </c>
      <c r="K1987">
        <v>13068.08</v>
      </c>
      <c r="L1987">
        <f t="shared" si="398"/>
        <v>-4.394953649237243E-3</v>
      </c>
      <c r="M1987" t="str">
        <f t="shared" si="392"/>
        <v>2017-12</v>
      </c>
      <c r="O1987">
        <v>8486.2317399999993</v>
      </c>
      <c r="P1987">
        <f t="shared" si="399"/>
        <v>-2.6996984583340902E-3</v>
      </c>
      <c r="Q1987" t="str">
        <f t="shared" si="393"/>
        <v>2017-12</v>
      </c>
      <c r="S1987">
        <v>10176.5</v>
      </c>
      <c r="T1987">
        <f t="shared" si="400"/>
        <v>-8.2204308878852713E-3</v>
      </c>
      <c r="U1987" t="str">
        <f t="shared" si="394"/>
        <v>2017-12</v>
      </c>
      <c r="W1987">
        <v>22191.74</v>
      </c>
      <c r="X1987">
        <f t="shared" si="401"/>
        <v>-9.3492933977040848E-3</v>
      </c>
      <c r="Y1987">
        <f t="shared" si="402"/>
        <v>-9.3057246389426657E-3</v>
      </c>
      <c r="Z1987" t="str">
        <f t="shared" si="395"/>
        <v>2017-12</v>
      </c>
    </row>
    <row r="1988" spans="1:26" x14ac:dyDescent="0.35">
      <c r="A1988" s="1">
        <v>43084</v>
      </c>
      <c r="C1988">
        <v>3560.53</v>
      </c>
      <c r="D1988">
        <f t="shared" si="396"/>
        <v>1.2112271828919525E-3</v>
      </c>
      <c r="E1988" t="str">
        <f t="shared" ref="E1988:E2051" si="403">_xlfn.CONCAT(YEAR(A1988),"-",TEXT(MONTH(A1988),"00"))</f>
        <v>2017-12</v>
      </c>
      <c r="G1988">
        <v>5349.3</v>
      </c>
      <c r="H1988">
        <f t="shared" si="397"/>
        <v>-1.4645393616026503E-3</v>
      </c>
      <c r="I1988" t="str">
        <f t="shared" ref="I1988:I2051" si="404">_xlfn.CONCAT(YEAR(A1988),"-",TEXT(MONTH(A1988),"00"))</f>
        <v>2017-12</v>
      </c>
      <c r="K1988">
        <v>13103.56</v>
      </c>
      <c r="L1988">
        <f t="shared" si="398"/>
        <v>2.7113334690089205E-3</v>
      </c>
      <c r="M1988" t="str">
        <f t="shared" ref="M1988:M2051" si="405">_xlfn.CONCAT(YEAR(A1988),"-",TEXT(MONTH(A1988),"00"))</f>
        <v>2017-12</v>
      </c>
      <c r="O1988">
        <v>8481.2480200000009</v>
      </c>
      <c r="P1988">
        <f t="shared" si="399"/>
        <v>-5.8744377053174973E-4</v>
      </c>
      <c r="Q1988" t="str">
        <f t="shared" ref="Q1988:Q2051" si="406">_xlfn.CONCAT(YEAR(A1988),"-",TEXT(MONTH(A1988),"00"))</f>
        <v>2017-12</v>
      </c>
      <c r="S1988">
        <v>10150.4</v>
      </c>
      <c r="T1988">
        <f t="shared" si="400"/>
        <v>-2.5680270325143455E-3</v>
      </c>
      <c r="U1988" t="str">
        <f t="shared" ref="U1988:U2051" si="407">_xlfn.CONCAT(YEAR(A1988),"-",TEXT(MONTH(A1988),"00"))</f>
        <v>2017-12</v>
      </c>
      <c r="W1988">
        <v>22094.04</v>
      </c>
      <c r="X1988">
        <f t="shared" si="401"/>
        <v>-4.4122586754544047E-3</v>
      </c>
      <c r="Y1988">
        <f t="shared" si="402"/>
        <v>-4.4025389626951615E-3</v>
      </c>
      <c r="Z1988" t="str">
        <f t="shared" ref="Z1988:Z2051" si="408">_xlfn.CONCAT(YEAR(A1988),"-",TEXT(MONTH(A1988),"00"))</f>
        <v>2017-12</v>
      </c>
    </row>
    <row r="1989" spans="1:26" x14ac:dyDescent="0.35">
      <c r="A1989" s="1">
        <v>43087</v>
      </c>
      <c r="C1989">
        <v>3609.42</v>
      </c>
      <c r="D1989">
        <f t="shared" ref="D1989:D2052" si="409">LN(C1989/C1988)</f>
        <v>1.3637684429428776E-2</v>
      </c>
      <c r="E1989" t="str">
        <f t="shared" si="403"/>
        <v>2017-12</v>
      </c>
      <c r="G1989">
        <v>5420.58</v>
      </c>
      <c r="H1989">
        <f t="shared" ref="H1989:H2052" si="410">LN(G1989/G1988)</f>
        <v>1.3237109570415764E-2</v>
      </c>
      <c r="I1989" t="str">
        <f t="shared" si="404"/>
        <v>2017-12</v>
      </c>
      <c r="K1989">
        <v>13312.3</v>
      </c>
      <c r="L1989">
        <f t="shared" ref="L1989:L2052" si="411">LN(K1989/K1988)</f>
        <v>1.5804470869213962E-2</v>
      </c>
      <c r="M1989" t="str">
        <f t="shared" si="405"/>
        <v>2017-12</v>
      </c>
      <c r="O1989">
        <v>8561.7620800000004</v>
      </c>
      <c r="P1989">
        <f t="shared" ref="P1989:P2052" si="412">LN(O1989/O1988)</f>
        <v>9.4484082917784991E-3</v>
      </c>
      <c r="Q1989" t="str">
        <f t="shared" si="406"/>
        <v>2017-12</v>
      </c>
      <c r="S1989">
        <v>10244.1</v>
      </c>
      <c r="T1989">
        <f t="shared" ref="T1989:T2052" si="413">LN(S1989/S1988)</f>
        <v>9.188816523142556E-3</v>
      </c>
      <c r="U1989" t="str">
        <f t="shared" si="407"/>
        <v>2017-12</v>
      </c>
      <c r="W1989">
        <v>22390.53</v>
      </c>
      <c r="X1989">
        <f t="shared" ref="X1989:X2052" si="414">LN(W1989/W1988)</f>
        <v>1.3330212717605748E-2</v>
      </c>
      <c r="Y1989">
        <f t="shared" ref="Y1989:Y2052" si="415">(W1989-W1988)/W1988</f>
        <v>1.3419456106714659E-2</v>
      </c>
      <c r="Z1989" t="str">
        <f t="shared" si="408"/>
        <v>2017-12</v>
      </c>
    </row>
    <row r="1990" spans="1:26" x14ac:dyDescent="0.35">
      <c r="A1990" s="1">
        <v>43088</v>
      </c>
      <c r="C1990">
        <v>3582.22</v>
      </c>
      <c r="D1990">
        <f t="shared" si="409"/>
        <v>-7.5643746622490243E-3</v>
      </c>
      <c r="E1990" t="str">
        <f t="shared" si="403"/>
        <v>2017-12</v>
      </c>
      <c r="G1990">
        <v>5382.91</v>
      </c>
      <c r="H1990">
        <f t="shared" si="410"/>
        <v>-6.9737006588429682E-3</v>
      </c>
      <c r="I1990" t="str">
        <f t="shared" si="404"/>
        <v>2017-12</v>
      </c>
      <c r="K1990">
        <v>13215.79</v>
      </c>
      <c r="L1990">
        <f t="shared" si="411"/>
        <v>-7.2760930607427996E-3</v>
      </c>
      <c r="M1990" t="str">
        <f t="shared" si="405"/>
        <v>2017-12</v>
      </c>
      <c r="O1990">
        <v>8527.5194300000003</v>
      </c>
      <c r="P1990">
        <f t="shared" si="412"/>
        <v>-4.0075056178715523E-3</v>
      </c>
      <c r="Q1990" t="str">
        <f t="shared" si="406"/>
        <v>2017-12</v>
      </c>
      <c r="S1990">
        <v>10234.299999999999</v>
      </c>
      <c r="T1990">
        <f t="shared" si="413"/>
        <v>-9.5710609697145365E-4</v>
      </c>
      <c r="U1990" t="str">
        <f t="shared" si="407"/>
        <v>2017-12</v>
      </c>
      <c r="W1990">
        <v>22274.97</v>
      </c>
      <c r="X1990">
        <f t="shared" si="414"/>
        <v>-5.1744750577059602E-3</v>
      </c>
      <c r="Y1990">
        <f t="shared" si="415"/>
        <v>-5.1611105230647816E-3</v>
      </c>
      <c r="Z1990" t="str">
        <f t="shared" si="408"/>
        <v>2017-12</v>
      </c>
    </row>
    <row r="1991" spans="1:26" x14ac:dyDescent="0.35">
      <c r="A1991" s="1">
        <v>43089</v>
      </c>
      <c r="C1991">
        <v>3552.65</v>
      </c>
      <c r="D1991">
        <f t="shared" si="409"/>
        <v>-8.2889160708352581E-3</v>
      </c>
      <c r="E1991" t="str">
        <f t="shared" si="403"/>
        <v>2017-12</v>
      </c>
      <c r="G1991">
        <v>5352.77</v>
      </c>
      <c r="H1991">
        <f t="shared" si="410"/>
        <v>-5.6149362101982035E-3</v>
      </c>
      <c r="I1991" t="str">
        <f t="shared" si="404"/>
        <v>2017-12</v>
      </c>
      <c r="K1991">
        <v>13069.17</v>
      </c>
      <c r="L1991">
        <f t="shared" si="411"/>
        <v>-1.1156305410326368E-2</v>
      </c>
      <c r="M1991" t="str">
        <f t="shared" si="405"/>
        <v>2017-12</v>
      </c>
      <c r="O1991">
        <v>8487.65236</v>
      </c>
      <c r="P1991">
        <f t="shared" si="412"/>
        <v>-4.686069990507781E-3</v>
      </c>
      <c r="Q1991" t="str">
        <f t="shared" si="406"/>
        <v>2017-12</v>
      </c>
      <c r="S1991">
        <v>10207.700000000001</v>
      </c>
      <c r="T1991">
        <f t="shared" si="413"/>
        <v>-2.6024865486095699E-3</v>
      </c>
      <c r="U1991" t="str">
        <f t="shared" si="407"/>
        <v>2017-12</v>
      </c>
      <c r="W1991">
        <v>22109.65</v>
      </c>
      <c r="X1991">
        <f t="shared" si="414"/>
        <v>-7.4494617517622767E-3</v>
      </c>
      <c r="Y1991">
        <f t="shared" si="415"/>
        <v>-7.421783284107664E-3</v>
      </c>
      <c r="Z1991" t="str">
        <f t="shared" si="408"/>
        <v>2017-12</v>
      </c>
    </row>
    <row r="1992" spans="1:26" x14ac:dyDescent="0.35">
      <c r="A1992" s="1">
        <v>43090</v>
      </c>
      <c r="C1992">
        <v>3570.78</v>
      </c>
      <c r="D1992">
        <f t="shared" si="409"/>
        <v>5.0902554378251218E-3</v>
      </c>
      <c r="E1992" t="str">
        <f t="shared" si="403"/>
        <v>2017-12</v>
      </c>
      <c r="G1992">
        <v>5385.97</v>
      </c>
      <c r="H1992">
        <f t="shared" si="410"/>
        <v>6.1832404502598602E-3</v>
      </c>
      <c r="I1992" t="str">
        <f t="shared" si="404"/>
        <v>2017-12</v>
      </c>
      <c r="K1992">
        <v>13109.74</v>
      </c>
      <c r="L1992">
        <f t="shared" si="411"/>
        <v>3.0994439782367125E-3</v>
      </c>
      <c r="M1992" t="str">
        <f t="shared" si="405"/>
        <v>2017-12</v>
      </c>
      <c r="O1992">
        <v>8566.9714000000004</v>
      </c>
      <c r="P1992">
        <f t="shared" si="412"/>
        <v>9.3018307565713772E-3</v>
      </c>
      <c r="Q1992" t="str">
        <f t="shared" si="406"/>
        <v>2017-12</v>
      </c>
      <c r="S1992">
        <v>10304.6</v>
      </c>
      <c r="T1992">
        <f t="shared" si="413"/>
        <v>9.448060024528868E-3</v>
      </c>
      <c r="U1992" t="str">
        <f t="shared" si="407"/>
        <v>2017-12</v>
      </c>
      <c r="W1992">
        <v>22240.25</v>
      </c>
      <c r="X1992">
        <f t="shared" si="414"/>
        <v>5.8895455235391794E-3</v>
      </c>
      <c r="Y1992">
        <f t="shared" si="415"/>
        <v>5.9069229951626799E-3</v>
      </c>
      <c r="Z1992" t="str">
        <f t="shared" si="408"/>
        <v>2017-12</v>
      </c>
    </row>
    <row r="1993" spans="1:26" x14ac:dyDescent="0.35">
      <c r="A1993" s="1">
        <v>43091</v>
      </c>
      <c r="C1993">
        <v>3553.39</v>
      </c>
      <c r="D1993">
        <f t="shared" si="409"/>
        <v>-4.8819819120147342E-3</v>
      </c>
      <c r="E1993" t="str">
        <f t="shared" si="403"/>
        <v>2017-12</v>
      </c>
      <c r="G1993">
        <v>5364.72</v>
      </c>
      <c r="H1993">
        <f t="shared" si="410"/>
        <v>-3.9532397780535954E-3</v>
      </c>
      <c r="I1993" t="str">
        <f t="shared" si="404"/>
        <v>2017-12</v>
      </c>
      <c r="K1993">
        <v>13072.79</v>
      </c>
      <c r="L1993">
        <f t="shared" si="411"/>
        <v>-2.8224945817002843E-3</v>
      </c>
      <c r="M1993" t="str">
        <f t="shared" si="405"/>
        <v>2017-12</v>
      </c>
      <c r="O1993">
        <v>8572.0894399999997</v>
      </c>
      <c r="P1993">
        <f t="shared" si="412"/>
        <v>5.9723694313351075E-4</v>
      </c>
      <c r="Q1993" t="str">
        <f t="shared" si="406"/>
        <v>2017-12</v>
      </c>
      <c r="S1993">
        <v>10182</v>
      </c>
      <c r="T1993">
        <f t="shared" si="413"/>
        <v>-1.1968942000228423E-2</v>
      </c>
      <c r="U1993" t="str">
        <f t="shared" si="407"/>
        <v>2017-12</v>
      </c>
      <c r="W1993">
        <v>22209.05</v>
      </c>
      <c r="X1993">
        <f t="shared" si="414"/>
        <v>-1.4038468603125467E-3</v>
      </c>
      <c r="Y1993">
        <f t="shared" si="415"/>
        <v>-1.4028619282607311E-3</v>
      </c>
      <c r="Z1993" t="str">
        <f t="shared" si="408"/>
        <v>2017-12</v>
      </c>
    </row>
    <row r="1994" spans="1:26" x14ac:dyDescent="0.35">
      <c r="A1994" s="1">
        <v>43096</v>
      </c>
      <c r="C1994">
        <v>3550.17</v>
      </c>
      <c r="D1994">
        <f t="shared" si="409"/>
        <v>-9.0658774488936215E-4</v>
      </c>
      <c r="E1994" t="str">
        <f t="shared" si="403"/>
        <v>2017-12</v>
      </c>
      <c r="G1994">
        <v>5368.84</v>
      </c>
      <c r="H1994">
        <f t="shared" si="410"/>
        <v>7.6768568906137474E-4</v>
      </c>
      <c r="I1994" t="str">
        <f t="shared" si="404"/>
        <v>2017-12</v>
      </c>
      <c r="K1994">
        <v>13070.02</v>
      </c>
      <c r="L1994">
        <f t="shared" si="411"/>
        <v>-2.1191295123719492E-4</v>
      </c>
      <c r="M1994" t="str">
        <f t="shared" si="405"/>
        <v>2017-12</v>
      </c>
      <c r="O1994">
        <v>8580.7101999999995</v>
      </c>
      <c r="P1994">
        <f t="shared" si="412"/>
        <v>1.0051724391094356E-3</v>
      </c>
      <c r="Q1994" t="str">
        <f t="shared" si="406"/>
        <v>2017-12</v>
      </c>
      <c r="S1994">
        <v>10165.200000000001</v>
      </c>
      <c r="T1994">
        <f t="shared" si="413"/>
        <v>-1.6513332367757215E-3</v>
      </c>
      <c r="U1994" t="str">
        <f t="shared" si="407"/>
        <v>2017-12</v>
      </c>
      <c r="W1994">
        <v>22201.27</v>
      </c>
      <c r="X1994">
        <f t="shared" si="414"/>
        <v>-3.5036901691261471E-4</v>
      </c>
      <c r="Y1994">
        <f t="shared" si="415"/>
        <v>-3.5030764485643627E-4</v>
      </c>
      <c r="Z1994" t="str">
        <f t="shared" si="408"/>
        <v>2017-12</v>
      </c>
    </row>
    <row r="1995" spans="1:26" x14ac:dyDescent="0.35">
      <c r="A1995" s="1">
        <v>43097</v>
      </c>
      <c r="C1995">
        <v>3524.31</v>
      </c>
      <c r="D1995">
        <f t="shared" si="409"/>
        <v>-7.310817241816433E-3</v>
      </c>
      <c r="E1995" t="str">
        <f t="shared" si="403"/>
        <v>2017-12</v>
      </c>
      <c r="G1995">
        <v>5339.42</v>
      </c>
      <c r="H1995">
        <f t="shared" si="410"/>
        <v>-5.4948374476748293E-3</v>
      </c>
      <c r="I1995" t="str">
        <f t="shared" si="404"/>
        <v>2017-12</v>
      </c>
      <c r="K1995">
        <v>12979.94</v>
      </c>
      <c r="L1995">
        <f t="shared" si="411"/>
        <v>-6.9159690877297402E-3</v>
      </c>
      <c r="M1995" t="str">
        <f t="shared" si="405"/>
        <v>2017-12</v>
      </c>
      <c r="O1995">
        <v>8576.2980200000002</v>
      </c>
      <c r="P1995">
        <f t="shared" si="412"/>
        <v>-5.1432977599447799E-4</v>
      </c>
      <c r="Q1995" t="str">
        <f t="shared" si="406"/>
        <v>2017-12</v>
      </c>
      <c r="S1995">
        <v>10093.1</v>
      </c>
      <c r="T1995">
        <f t="shared" si="413"/>
        <v>-7.1181001787980628E-3</v>
      </c>
      <c r="U1995" t="str">
        <f t="shared" si="407"/>
        <v>2017-12</v>
      </c>
      <c r="W1995">
        <v>22120.95</v>
      </c>
      <c r="X1995">
        <f t="shared" si="414"/>
        <v>-3.6243711584866326E-3</v>
      </c>
      <c r="Y1995">
        <f t="shared" si="415"/>
        <v>-3.6178110531514505E-3</v>
      </c>
      <c r="Z1995" t="str">
        <f t="shared" si="408"/>
        <v>2017-12</v>
      </c>
    </row>
    <row r="1996" spans="1:26" x14ac:dyDescent="0.35">
      <c r="A1996" s="1">
        <v>43098</v>
      </c>
      <c r="C1996">
        <v>3503.96</v>
      </c>
      <c r="D1996">
        <f t="shared" si="409"/>
        <v>-5.7909149390171491E-3</v>
      </c>
      <c r="E1996" t="str">
        <f t="shared" si="403"/>
        <v>2017-12</v>
      </c>
      <c r="G1996">
        <v>5312.56</v>
      </c>
      <c r="H1996">
        <f t="shared" si="410"/>
        <v>-5.0432045365366076E-3</v>
      </c>
      <c r="I1996" t="str">
        <f t="shared" si="404"/>
        <v>2017-12</v>
      </c>
      <c r="K1996">
        <v>12917.64</v>
      </c>
      <c r="L1996">
        <f t="shared" si="411"/>
        <v>-4.811269638189601E-3</v>
      </c>
      <c r="M1996" t="str">
        <f t="shared" si="405"/>
        <v>2017-12</v>
      </c>
      <c r="O1996">
        <v>8648.2616400000006</v>
      </c>
      <c r="P1996">
        <f t="shared" si="412"/>
        <v>8.3559800822511285E-3</v>
      </c>
      <c r="Q1996" t="str">
        <f t="shared" si="406"/>
        <v>2017-12</v>
      </c>
      <c r="S1996">
        <v>10043.9</v>
      </c>
      <c r="T1996">
        <f t="shared" si="413"/>
        <v>-4.8865370115470513E-3</v>
      </c>
      <c r="U1996" t="str">
        <f t="shared" si="407"/>
        <v>2017-12</v>
      </c>
      <c r="W1996">
        <v>21853.34</v>
      </c>
      <c r="X1996">
        <f t="shared" si="414"/>
        <v>-1.217135301914826E-2</v>
      </c>
      <c r="Y1996">
        <f t="shared" si="415"/>
        <v>-1.209758170422159E-2</v>
      </c>
      <c r="Z1996" t="str">
        <f t="shared" si="408"/>
        <v>2017-12</v>
      </c>
    </row>
    <row r="1997" spans="1:26" x14ac:dyDescent="0.35">
      <c r="A1997" s="1">
        <v>43102</v>
      </c>
      <c r="C1997">
        <v>3490.19</v>
      </c>
      <c r="D1997">
        <f t="shared" si="409"/>
        <v>-3.9375814906641021E-3</v>
      </c>
      <c r="E1997" t="str">
        <f t="shared" si="403"/>
        <v>2018-01</v>
      </c>
      <c r="G1997">
        <v>5288.6</v>
      </c>
      <c r="H1997">
        <f t="shared" si="410"/>
        <v>-4.520267743816247E-3</v>
      </c>
      <c r="I1997" t="str">
        <f t="shared" si="404"/>
        <v>2018-01</v>
      </c>
      <c r="K1997">
        <v>12871.39</v>
      </c>
      <c r="L1997">
        <f t="shared" si="411"/>
        <v>-3.5868002468000615E-3</v>
      </c>
      <c r="M1997" t="str">
        <f t="shared" si="405"/>
        <v>2018-01</v>
      </c>
      <c r="O1997">
        <v>8625.3043099999995</v>
      </c>
      <c r="P1997">
        <f t="shared" si="412"/>
        <v>-2.6580896594742727E-3</v>
      </c>
      <c r="Q1997" t="str">
        <f t="shared" si="406"/>
        <v>2018-01</v>
      </c>
      <c r="S1997">
        <v>10079.1</v>
      </c>
      <c r="T1997">
        <f t="shared" si="413"/>
        <v>3.4984878897067807E-3</v>
      </c>
      <c r="U1997" t="str">
        <f t="shared" si="407"/>
        <v>2018-01</v>
      </c>
      <c r="W1997">
        <v>21845.16</v>
      </c>
      <c r="X1997">
        <f t="shared" si="414"/>
        <v>-3.7438356444930332E-4</v>
      </c>
      <c r="Y1997">
        <f t="shared" si="415"/>
        <v>-3.7431349166764858E-4</v>
      </c>
      <c r="Z1997" t="str">
        <f t="shared" si="408"/>
        <v>2018-01</v>
      </c>
    </row>
    <row r="1998" spans="1:26" x14ac:dyDescent="0.35">
      <c r="A1998" s="1">
        <v>43103</v>
      </c>
      <c r="C1998">
        <v>3509.88</v>
      </c>
      <c r="D1998">
        <f t="shared" si="409"/>
        <v>5.6256728659530592E-3</v>
      </c>
      <c r="E1998" t="str">
        <f t="shared" si="403"/>
        <v>2018-01</v>
      </c>
      <c r="G1998">
        <v>5331.28</v>
      </c>
      <c r="H1998">
        <f t="shared" si="410"/>
        <v>8.0377988795558766E-3</v>
      </c>
      <c r="I1998" t="str">
        <f t="shared" si="404"/>
        <v>2018-01</v>
      </c>
      <c r="K1998">
        <v>12978.21</v>
      </c>
      <c r="L1998">
        <f t="shared" si="411"/>
        <v>8.2647784137129116E-3</v>
      </c>
      <c r="M1998" t="str">
        <f t="shared" si="405"/>
        <v>2018-01</v>
      </c>
      <c r="O1998">
        <v>8627.2082699999992</v>
      </c>
      <c r="P1998">
        <f t="shared" si="412"/>
        <v>2.2071683749256459E-4</v>
      </c>
      <c r="Q1998" t="str">
        <f t="shared" si="406"/>
        <v>2018-01</v>
      </c>
      <c r="S1998">
        <v>10116</v>
      </c>
      <c r="T1998">
        <f t="shared" si="413"/>
        <v>3.6543558649884469E-3</v>
      </c>
      <c r="U1998" t="str">
        <f t="shared" si="407"/>
        <v>2018-01</v>
      </c>
      <c r="W1998">
        <v>21904.560000000001</v>
      </c>
      <c r="X1998">
        <f t="shared" si="414"/>
        <v>2.7154476188461707E-3</v>
      </c>
      <c r="Y1998">
        <f t="shared" si="415"/>
        <v>2.7191377861275202E-3</v>
      </c>
      <c r="Z1998" t="str">
        <f t="shared" si="408"/>
        <v>2018-01</v>
      </c>
    </row>
    <row r="1999" spans="1:26" x14ac:dyDescent="0.35">
      <c r="A1999" s="1">
        <v>43104</v>
      </c>
      <c r="C1999">
        <v>3568.88</v>
      </c>
      <c r="D1999">
        <f t="shared" si="409"/>
        <v>1.6669972220052669E-2</v>
      </c>
      <c r="E1999" t="str">
        <f t="shared" si="403"/>
        <v>2018-01</v>
      </c>
      <c r="G1999">
        <v>5413.69</v>
      </c>
      <c r="H1999">
        <f t="shared" si="410"/>
        <v>1.5339571154352515E-2</v>
      </c>
      <c r="I1999" t="str">
        <f t="shared" si="404"/>
        <v>2018-01</v>
      </c>
      <c r="K1999">
        <v>13167.89</v>
      </c>
      <c r="L1999">
        <f t="shared" si="411"/>
        <v>1.4509493017539902E-2</v>
      </c>
      <c r="M1999" t="str">
        <f t="shared" si="405"/>
        <v>2018-01</v>
      </c>
      <c r="O1999">
        <v>8633.4070800000009</v>
      </c>
      <c r="P1999">
        <f t="shared" si="412"/>
        <v>7.182606344910673E-4</v>
      </c>
      <c r="Q1999" t="str">
        <f t="shared" si="406"/>
        <v>2018-01</v>
      </c>
      <c r="S1999">
        <v>10314.4</v>
      </c>
      <c r="T1999">
        <f t="shared" si="413"/>
        <v>1.9422648306772022E-2</v>
      </c>
      <c r="U1999" t="str">
        <f t="shared" si="407"/>
        <v>2018-01</v>
      </c>
      <c r="W1999">
        <v>22512.13</v>
      </c>
      <c r="X1999">
        <f t="shared" si="414"/>
        <v>2.7359440727365649E-2</v>
      </c>
      <c r="Y1999">
        <f t="shared" si="415"/>
        <v>2.7737146968485085E-2</v>
      </c>
      <c r="Z1999" t="str">
        <f t="shared" si="408"/>
        <v>2018-01</v>
      </c>
    </row>
    <row r="2000" spans="1:26" x14ac:dyDescent="0.35">
      <c r="A2000" s="1">
        <v>43105</v>
      </c>
      <c r="C2000">
        <v>3607.63</v>
      </c>
      <c r="D2000">
        <f t="shared" si="409"/>
        <v>1.079922597342769E-2</v>
      </c>
      <c r="E2000" t="str">
        <f t="shared" si="403"/>
        <v>2018-01</v>
      </c>
      <c r="G2000">
        <v>5470.75</v>
      </c>
      <c r="H2000">
        <f t="shared" si="410"/>
        <v>1.0484787957836004E-2</v>
      </c>
      <c r="I2000" t="str">
        <f t="shared" si="404"/>
        <v>2018-01</v>
      </c>
      <c r="K2000">
        <v>13319.64</v>
      </c>
      <c r="L2000">
        <f t="shared" si="411"/>
        <v>1.1458347404603891E-2</v>
      </c>
      <c r="M2000" t="str">
        <f t="shared" si="405"/>
        <v>2018-01</v>
      </c>
      <c r="O2000">
        <v>8696.8805599999996</v>
      </c>
      <c r="P2000">
        <f t="shared" si="412"/>
        <v>7.3251829561700611E-3</v>
      </c>
      <c r="Q2000" t="str">
        <f t="shared" si="406"/>
        <v>2018-01</v>
      </c>
      <c r="S2000">
        <v>10411.4</v>
      </c>
      <c r="T2000">
        <f t="shared" si="413"/>
        <v>9.3603825410311751E-3</v>
      </c>
      <c r="U2000" t="str">
        <f t="shared" si="407"/>
        <v>2018-01</v>
      </c>
      <c r="W2000">
        <v>22762.29</v>
      </c>
      <c r="X2000">
        <f t="shared" si="414"/>
        <v>1.1050944257706051E-2</v>
      </c>
      <c r="Y2000">
        <f t="shared" si="415"/>
        <v>1.1112231494754155E-2</v>
      </c>
      <c r="Z2000" t="str">
        <f t="shared" si="408"/>
        <v>2018-01</v>
      </c>
    </row>
    <row r="2001" spans="1:26" x14ac:dyDescent="0.35">
      <c r="A2001" s="1">
        <v>43108</v>
      </c>
      <c r="C2001">
        <v>3616.45</v>
      </c>
      <c r="D2001">
        <f t="shared" si="409"/>
        <v>2.4418346370689578E-3</v>
      </c>
      <c r="E2001" t="str">
        <f t="shared" si="403"/>
        <v>2018-01</v>
      </c>
      <c r="G2001">
        <v>5487.42</v>
      </c>
      <c r="H2001">
        <f t="shared" si="410"/>
        <v>3.0424811549893825E-3</v>
      </c>
      <c r="I2001" t="str">
        <f t="shared" si="404"/>
        <v>2018-01</v>
      </c>
      <c r="K2001">
        <v>13367.78</v>
      </c>
      <c r="L2001">
        <f t="shared" si="411"/>
        <v>3.6076962264411081E-3</v>
      </c>
      <c r="M2001" t="str">
        <f t="shared" si="405"/>
        <v>2018-01</v>
      </c>
      <c r="O2001">
        <v>8712.3876299999993</v>
      </c>
      <c r="P2001">
        <f t="shared" si="412"/>
        <v>1.7814734004811632E-3</v>
      </c>
      <c r="Q2001" t="str">
        <f t="shared" si="406"/>
        <v>2018-01</v>
      </c>
      <c r="S2001">
        <v>10398.4</v>
      </c>
      <c r="T2001">
        <f t="shared" si="413"/>
        <v>-1.2494114975747184E-3</v>
      </c>
      <c r="U2001" t="str">
        <f t="shared" si="407"/>
        <v>2018-01</v>
      </c>
      <c r="W2001">
        <v>22845.69</v>
      </c>
      <c r="X2001">
        <f t="shared" si="414"/>
        <v>3.6572587937458538E-3</v>
      </c>
      <c r="Y2001">
        <f t="shared" si="415"/>
        <v>3.6639547251176314E-3</v>
      </c>
      <c r="Z2001" t="str">
        <f t="shared" si="408"/>
        <v>2018-01</v>
      </c>
    </row>
    <row r="2002" spans="1:26" x14ac:dyDescent="0.35">
      <c r="A2002" s="1">
        <v>43109</v>
      </c>
      <c r="C2002">
        <v>3622.87</v>
      </c>
      <c r="D2002">
        <f t="shared" si="409"/>
        <v>1.7736477136021814E-3</v>
      </c>
      <c r="E2002" t="str">
        <f t="shared" si="403"/>
        <v>2018-01</v>
      </c>
      <c r="G2002">
        <v>5523.94</v>
      </c>
      <c r="H2002">
        <f t="shared" si="410"/>
        <v>6.6331740863109692E-3</v>
      </c>
      <c r="I2002" t="str">
        <f t="shared" si="404"/>
        <v>2018-01</v>
      </c>
      <c r="K2002">
        <v>13385.59</v>
      </c>
      <c r="L2002">
        <f t="shared" si="411"/>
        <v>1.3314212475627977E-3</v>
      </c>
      <c r="M2002" t="str">
        <f t="shared" si="405"/>
        <v>2018-01</v>
      </c>
      <c r="O2002">
        <v>8772.5448799999995</v>
      </c>
      <c r="P2002">
        <f t="shared" si="412"/>
        <v>6.8810660071148676E-3</v>
      </c>
      <c r="Q2002" t="str">
        <f t="shared" si="406"/>
        <v>2018-01</v>
      </c>
      <c r="S2002">
        <v>10426.5</v>
      </c>
      <c r="T2002">
        <f t="shared" si="413"/>
        <v>2.6986940685658871E-3</v>
      </c>
      <c r="U2002" t="str">
        <f t="shared" si="407"/>
        <v>2018-01</v>
      </c>
      <c r="W2002">
        <v>23004.98</v>
      </c>
      <c r="X2002">
        <f t="shared" si="414"/>
        <v>6.9482361260809504E-3</v>
      </c>
      <c r="Y2002">
        <f t="shared" si="415"/>
        <v>6.9724311237699928E-3</v>
      </c>
      <c r="Z2002" t="str">
        <f t="shared" si="408"/>
        <v>2018-01</v>
      </c>
    </row>
    <row r="2003" spans="1:26" x14ac:dyDescent="0.35">
      <c r="A2003" s="1">
        <v>43110</v>
      </c>
      <c r="C2003">
        <v>3609.83</v>
      </c>
      <c r="D2003">
        <f t="shared" si="409"/>
        <v>-3.6058495801017765E-3</v>
      </c>
      <c r="E2003" t="str">
        <f t="shared" si="403"/>
        <v>2018-01</v>
      </c>
      <c r="G2003">
        <v>5504.68</v>
      </c>
      <c r="H2003">
        <f t="shared" si="410"/>
        <v>-3.4927342822038323E-3</v>
      </c>
      <c r="I2003" t="str">
        <f t="shared" si="404"/>
        <v>2018-01</v>
      </c>
      <c r="K2003">
        <v>13281.34</v>
      </c>
      <c r="L2003">
        <f t="shared" si="411"/>
        <v>-7.8187126216650617E-3</v>
      </c>
      <c r="M2003" t="str">
        <f t="shared" si="405"/>
        <v>2018-01</v>
      </c>
      <c r="O2003">
        <v>8757.2416099999991</v>
      </c>
      <c r="P2003">
        <f t="shared" si="412"/>
        <v>-1.7459737911014058E-3</v>
      </c>
      <c r="Q2003" t="str">
        <f t="shared" si="406"/>
        <v>2018-01</v>
      </c>
      <c r="S2003">
        <v>10428.299999999999</v>
      </c>
      <c r="T2003">
        <f t="shared" si="413"/>
        <v>1.7262213058563214E-4</v>
      </c>
      <c r="U2003" t="str">
        <f t="shared" si="407"/>
        <v>2018-01</v>
      </c>
      <c r="W2003">
        <v>23157.42</v>
      </c>
      <c r="X2003">
        <f t="shared" si="414"/>
        <v>6.6045333049070424E-3</v>
      </c>
      <c r="Y2003">
        <f t="shared" si="415"/>
        <v>6.626391329181712E-3</v>
      </c>
      <c r="Z2003" t="str">
        <f t="shared" si="408"/>
        <v>2018-01</v>
      </c>
    </row>
    <row r="2004" spans="1:26" x14ac:dyDescent="0.35">
      <c r="A2004" s="1">
        <v>43111</v>
      </c>
      <c r="C2004">
        <v>3595.24</v>
      </c>
      <c r="D2004">
        <f t="shared" si="409"/>
        <v>-4.0499314904716673E-3</v>
      </c>
      <c r="E2004" t="str">
        <f t="shared" si="403"/>
        <v>2018-01</v>
      </c>
      <c r="G2004">
        <v>5488.55</v>
      </c>
      <c r="H2004">
        <f t="shared" si="410"/>
        <v>-2.9345354505068196E-3</v>
      </c>
      <c r="I2004" t="str">
        <f t="shared" si="404"/>
        <v>2018-01</v>
      </c>
      <c r="K2004">
        <v>13202.9</v>
      </c>
      <c r="L2004">
        <f t="shared" si="411"/>
        <v>-5.9235401401413548E-3</v>
      </c>
      <c r="M2004" t="str">
        <f t="shared" si="405"/>
        <v>2018-01</v>
      </c>
      <c r="O2004">
        <v>8734.7584599999991</v>
      </c>
      <c r="P2004">
        <f t="shared" si="412"/>
        <v>-2.5706794296229286E-3</v>
      </c>
      <c r="Q2004" t="str">
        <f t="shared" si="406"/>
        <v>2018-01</v>
      </c>
      <c r="S2004">
        <v>10435.200000000001</v>
      </c>
      <c r="T2004">
        <f t="shared" si="413"/>
        <v>6.6144225576401981E-4</v>
      </c>
      <c r="U2004" t="str">
        <f t="shared" si="407"/>
        <v>2018-01</v>
      </c>
      <c r="W2004">
        <v>23305.26</v>
      </c>
      <c r="X2004">
        <f t="shared" si="414"/>
        <v>6.3638386309387484E-3</v>
      </c>
      <c r="Y2004">
        <f t="shared" si="415"/>
        <v>6.3841308746829381E-3</v>
      </c>
      <c r="Z2004" t="str">
        <f t="shared" si="408"/>
        <v>2018-01</v>
      </c>
    </row>
    <row r="2005" spans="1:26" x14ac:dyDescent="0.35">
      <c r="A2005" s="1">
        <v>43112</v>
      </c>
      <c r="C2005">
        <v>3612.61</v>
      </c>
      <c r="D2005">
        <f t="shared" si="409"/>
        <v>4.8197544692135759E-3</v>
      </c>
      <c r="E2005" t="str">
        <f t="shared" si="403"/>
        <v>2018-01</v>
      </c>
      <c r="G2005">
        <v>5517.06</v>
      </c>
      <c r="H2005">
        <f t="shared" si="410"/>
        <v>5.1810056460363952E-3</v>
      </c>
      <c r="I2005" t="str">
        <f t="shared" si="404"/>
        <v>2018-01</v>
      </c>
      <c r="K2005">
        <v>13245.03</v>
      </c>
      <c r="L2005">
        <f t="shared" si="411"/>
        <v>3.1858852949533953E-3</v>
      </c>
      <c r="M2005" t="str">
        <f t="shared" si="405"/>
        <v>2018-01</v>
      </c>
      <c r="O2005">
        <v>8776.0494600000002</v>
      </c>
      <c r="P2005">
        <f t="shared" si="412"/>
        <v>4.7160675531422664E-3</v>
      </c>
      <c r="Q2005" t="str">
        <f t="shared" si="406"/>
        <v>2018-01</v>
      </c>
      <c r="S2005">
        <v>10462.4</v>
      </c>
      <c r="T2005">
        <f t="shared" si="413"/>
        <v>2.6031712120114527E-3</v>
      </c>
      <c r="U2005" t="str">
        <f t="shared" si="407"/>
        <v>2018-01</v>
      </c>
      <c r="W2005">
        <v>23429.83</v>
      </c>
      <c r="X2005">
        <f t="shared" si="414"/>
        <v>5.3309106715618143E-3</v>
      </c>
      <c r="Y2005">
        <f t="shared" si="415"/>
        <v>5.3451452590532501E-3</v>
      </c>
      <c r="Z2005" t="str">
        <f t="shared" si="408"/>
        <v>2018-01</v>
      </c>
    </row>
    <row r="2006" spans="1:26" x14ac:dyDescent="0.35">
      <c r="A2006" s="1">
        <v>43115</v>
      </c>
      <c r="C2006">
        <v>3611.81</v>
      </c>
      <c r="D2006">
        <f t="shared" si="409"/>
        <v>-2.2147106709469476E-4</v>
      </c>
      <c r="E2006" t="str">
        <f t="shared" si="403"/>
        <v>2018-01</v>
      </c>
      <c r="G2006">
        <v>5509.69</v>
      </c>
      <c r="H2006">
        <f t="shared" si="410"/>
        <v>-1.3367494678767299E-3</v>
      </c>
      <c r="I2006" t="str">
        <f t="shared" si="404"/>
        <v>2018-01</v>
      </c>
      <c r="K2006">
        <v>13200.51</v>
      </c>
      <c r="L2006">
        <f t="shared" si="411"/>
        <v>-3.3669225175339658E-3</v>
      </c>
      <c r="M2006" t="str">
        <f t="shared" si="405"/>
        <v>2018-01</v>
      </c>
      <c r="O2006">
        <v>8743.52729</v>
      </c>
      <c r="P2006">
        <f t="shared" si="412"/>
        <v>-3.7126704395883487E-3</v>
      </c>
      <c r="Q2006" t="str">
        <f t="shared" si="406"/>
        <v>2018-01</v>
      </c>
      <c r="S2006">
        <v>10467.200000000001</v>
      </c>
      <c r="T2006">
        <f t="shared" si="413"/>
        <v>4.586805370533085E-4</v>
      </c>
      <c r="U2006" t="str">
        <f t="shared" si="407"/>
        <v>2018-01</v>
      </c>
      <c r="W2006">
        <v>23543.55</v>
      </c>
      <c r="X2006">
        <f t="shared" si="414"/>
        <v>4.84190076042705E-3</v>
      </c>
      <c r="Y2006">
        <f t="shared" si="415"/>
        <v>4.8536417037595885E-3</v>
      </c>
      <c r="Z2006" t="str">
        <f t="shared" si="408"/>
        <v>2018-01</v>
      </c>
    </row>
    <row r="2007" spans="1:26" x14ac:dyDescent="0.35">
      <c r="A2007" s="1">
        <v>43116</v>
      </c>
      <c r="C2007">
        <v>3622.01</v>
      </c>
      <c r="D2007">
        <f t="shared" si="409"/>
        <v>2.820088628128404E-3</v>
      </c>
      <c r="E2007" t="str">
        <f t="shared" si="403"/>
        <v>2018-01</v>
      </c>
      <c r="G2007">
        <v>5513.82</v>
      </c>
      <c r="H2007">
        <f t="shared" si="410"/>
        <v>7.4930765123576871E-4</v>
      </c>
      <c r="I2007" t="str">
        <f t="shared" si="404"/>
        <v>2018-01</v>
      </c>
      <c r="K2007">
        <v>13246.33</v>
      </c>
      <c r="L2007">
        <f t="shared" si="411"/>
        <v>3.4650677242007905E-3</v>
      </c>
      <c r="M2007" t="str">
        <f t="shared" si="405"/>
        <v>2018-01</v>
      </c>
      <c r="O2007">
        <v>8723.83763</v>
      </c>
      <c r="P2007">
        <f t="shared" si="412"/>
        <v>-2.2544520515438587E-3</v>
      </c>
      <c r="Q2007" t="str">
        <f t="shared" si="406"/>
        <v>2018-01</v>
      </c>
      <c r="S2007">
        <v>10520.4</v>
      </c>
      <c r="T2007">
        <f t="shared" si="413"/>
        <v>5.069671038475403E-3</v>
      </c>
      <c r="U2007" t="str">
        <f t="shared" si="407"/>
        <v>2018-01</v>
      </c>
      <c r="W2007">
        <v>23495.279999999999</v>
      </c>
      <c r="X2007">
        <f t="shared" si="414"/>
        <v>-2.0523476856586548E-3</v>
      </c>
      <c r="Y2007">
        <f t="shared" si="415"/>
        <v>-2.0502430602012201E-3</v>
      </c>
      <c r="Z2007" t="str">
        <f t="shared" si="408"/>
        <v>2018-01</v>
      </c>
    </row>
    <row r="2008" spans="1:26" x14ac:dyDescent="0.35">
      <c r="A2008" s="1">
        <v>43117</v>
      </c>
      <c r="C2008">
        <v>3612.78</v>
      </c>
      <c r="D2008">
        <f t="shared" si="409"/>
        <v>-2.5515612775580433E-3</v>
      </c>
      <c r="E2008" t="str">
        <f t="shared" si="403"/>
        <v>2018-01</v>
      </c>
      <c r="G2008">
        <v>5493.99</v>
      </c>
      <c r="H2008">
        <f t="shared" si="410"/>
        <v>-3.6029003863471552E-3</v>
      </c>
      <c r="I2008" t="str">
        <f t="shared" si="404"/>
        <v>2018-01</v>
      </c>
      <c r="K2008">
        <v>13183.96</v>
      </c>
      <c r="L2008">
        <f t="shared" si="411"/>
        <v>-4.7195937518665961E-3</v>
      </c>
      <c r="M2008" t="str">
        <f t="shared" si="405"/>
        <v>2018-01</v>
      </c>
      <c r="O2008">
        <v>8733.0399500000003</v>
      </c>
      <c r="P2008">
        <f t="shared" si="412"/>
        <v>1.054291732323485E-3</v>
      </c>
      <c r="Q2008" t="str">
        <f t="shared" si="406"/>
        <v>2018-01</v>
      </c>
      <c r="S2008">
        <v>10474.6</v>
      </c>
      <c r="T2008">
        <f t="shared" si="413"/>
        <v>-4.3629504788294873E-3</v>
      </c>
      <c r="U2008" t="str">
        <f t="shared" si="407"/>
        <v>2018-01</v>
      </c>
      <c r="W2008">
        <v>23514.67</v>
      </c>
      <c r="X2008">
        <f t="shared" si="414"/>
        <v>8.2493178995484448E-4</v>
      </c>
      <c r="Y2008">
        <f t="shared" si="415"/>
        <v>8.252721397659197E-4</v>
      </c>
      <c r="Z2008" t="str">
        <f t="shared" si="408"/>
        <v>2018-01</v>
      </c>
    </row>
    <row r="2009" spans="1:26" x14ac:dyDescent="0.35">
      <c r="A2009" s="1">
        <v>43118</v>
      </c>
      <c r="C2009">
        <v>3620.91</v>
      </c>
      <c r="D2009">
        <f t="shared" si="409"/>
        <v>2.2478163767561754E-3</v>
      </c>
      <c r="E2009" t="str">
        <f t="shared" si="403"/>
        <v>2018-01</v>
      </c>
      <c r="G2009">
        <v>5494.83</v>
      </c>
      <c r="H2009">
        <f t="shared" si="410"/>
        <v>1.5288265739841418E-4</v>
      </c>
      <c r="I2009" t="str">
        <f t="shared" si="404"/>
        <v>2018-01</v>
      </c>
      <c r="K2009">
        <v>13281.43</v>
      </c>
      <c r="L2009">
        <f t="shared" si="411"/>
        <v>7.365879792095696E-3</v>
      </c>
      <c r="M2009" t="str">
        <f t="shared" si="405"/>
        <v>2018-01</v>
      </c>
      <c r="O2009">
        <v>8738.7539400000005</v>
      </c>
      <c r="P2009">
        <f t="shared" si="412"/>
        <v>6.5408168613816521E-4</v>
      </c>
      <c r="Q2009" t="str">
        <f t="shared" si="406"/>
        <v>2018-01</v>
      </c>
      <c r="S2009">
        <v>10432.700000000001</v>
      </c>
      <c r="T2009">
        <f t="shared" si="413"/>
        <v>-4.0081747614692017E-3</v>
      </c>
      <c r="U2009" t="str">
        <f t="shared" si="407"/>
        <v>2018-01</v>
      </c>
      <c r="W2009">
        <v>23630.81</v>
      </c>
      <c r="X2009">
        <f t="shared" si="414"/>
        <v>4.9268873679468046E-3</v>
      </c>
      <c r="Y2009">
        <f t="shared" si="415"/>
        <v>4.9390444348146522E-3</v>
      </c>
      <c r="Z2009" t="str">
        <f t="shared" si="408"/>
        <v>2018-01</v>
      </c>
    </row>
    <row r="2010" spans="1:26" x14ac:dyDescent="0.35">
      <c r="A2010" s="1">
        <v>43119</v>
      </c>
      <c r="C2010">
        <v>3649.07</v>
      </c>
      <c r="D2010">
        <f t="shared" si="409"/>
        <v>7.7469651460278397E-3</v>
      </c>
      <c r="E2010" t="str">
        <f t="shared" si="403"/>
        <v>2018-01</v>
      </c>
      <c r="G2010">
        <v>5526.51</v>
      </c>
      <c r="H2010">
        <f t="shared" si="410"/>
        <v>5.7488630693614297E-3</v>
      </c>
      <c r="I2010" t="str">
        <f t="shared" si="404"/>
        <v>2018-01</v>
      </c>
      <c r="K2010">
        <v>13434.45</v>
      </c>
      <c r="L2010">
        <f t="shared" si="411"/>
        <v>1.1455484406549357E-2</v>
      </c>
      <c r="M2010" t="str">
        <f t="shared" si="405"/>
        <v>2018-01</v>
      </c>
      <c r="O2010">
        <v>8758.9920199999997</v>
      </c>
      <c r="P2010">
        <f t="shared" si="412"/>
        <v>2.3132224082753911E-3</v>
      </c>
      <c r="Q2010" t="str">
        <f t="shared" si="406"/>
        <v>2018-01</v>
      </c>
      <c r="S2010">
        <v>10479.5</v>
      </c>
      <c r="T2010">
        <f t="shared" si="413"/>
        <v>4.4758636709729812E-3</v>
      </c>
      <c r="U2010" t="str">
        <f t="shared" si="407"/>
        <v>2018-01</v>
      </c>
      <c r="W2010">
        <v>23749.22</v>
      </c>
      <c r="X2010">
        <f t="shared" si="414"/>
        <v>4.9983187651645939E-3</v>
      </c>
      <c r="Y2010">
        <f t="shared" si="415"/>
        <v>5.0108311987612716E-3</v>
      </c>
      <c r="Z2010" t="str">
        <f t="shared" si="408"/>
        <v>2018-01</v>
      </c>
    </row>
    <row r="2011" spans="1:26" x14ac:dyDescent="0.35">
      <c r="A2011" s="1">
        <v>43122</v>
      </c>
      <c r="C2011">
        <v>3665.28</v>
      </c>
      <c r="D2011">
        <f t="shared" si="409"/>
        <v>4.4323901750873305E-3</v>
      </c>
      <c r="E2011" t="str">
        <f t="shared" si="403"/>
        <v>2018-01</v>
      </c>
      <c r="G2011">
        <v>5541.99</v>
      </c>
      <c r="H2011">
        <f t="shared" si="410"/>
        <v>2.7971288056860091E-3</v>
      </c>
      <c r="I2011" t="str">
        <f t="shared" si="404"/>
        <v>2018-01</v>
      </c>
      <c r="K2011">
        <v>13463.69</v>
      </c>
      <c r="L2011">
        <f t="shared" si="411"/>
        <v>2.1741288816047354E-3</v>
      </c>
      <c r="M2011" t="str">
        <f t="shared" si="405"/>
        <v>2018-01</v>
      </c>
      <c r="O2011">
        <v>8795.5007800000003</v>
      </c>
      <c r="P2011">
        <f t="shared" si="412"/>
        <v>4.1594836209013324E-3</v>
      </c>
      <c r="Q2011" t="str">
        <f t="shared" si="406"/>
        <v>2018-01</v>
      </c>
      <c r="S2011">
        <v>10584</v>
      </c>
      <c r="T2011">
        <f t="shared" si="413"/>
        <v>9.9224589815770994E-3</v>
      </c>
      <c r="U2011" t="str">
        <f t="shared" si="407"/>
        <v>2018-01</v>
      </c>
      <c r="W2011">
        <v>23890.18</v>
      </c>
      <c r="X2011">
        <f t="shared" si="414"/>
        <v>5.9178080065378311E-3</v>
      </c>
      <c r="Y2011">
        <f t="shared" si="415"/>
        <v>5.9353528242190321E-3</v>
      </c>
      <c r="Z2011" t="str">
        <f t="shared" si="408"/>
        <v>2018-01</v>
      </c>
    </row>
    <row r="2012" spans="1:26" x14ac:dyDescent="0.35">
      <c r="A2012" s="1">
        <v>43123</v>
      </c>
      <c r="C2012">
        <v>3672.29</v>
      </c>
      <c r="D2012">
        <f t="shared" si="409"/>
        <v>1.9107148913586499E-3</v>
      </c>
      <c r="E2012" t="str">
        <f t="shared" si="403"/>
        <v>2018-01</v>
      </c>
      <c r="G2012">
        <v>5535.26</v>
      </c>
      <c r="H2012">
        <f t="shared" si="410"/>
        <v>-1.215103175978887E-3</v>
      </c>
      <c r="I2012" t="str">
        <f t="shared" si="404"/>
        <v>2018-01</v>
      </c>
      <c r="K2012">
        <v>13559.6</v>
      </c>
      <c r="L2012">
        <f t="shared" si="411"/>
        <v>7.0983512899050879E-3</v>
      </c>
      <c r="M2012" t="str">
        <f t="shared" si="405"/>
        <v>2018-01</v>
      </c>
      <c r="O2012">
        <v>8801.5677199999991</v>
      </c>
      <c r="P2012">
        <f t="shared" si="412"/>
        <v>6.8953987880244984E-4</v>
      </c>
      <c r="Q2012" t="str">
        <f t="shared" si="406"/>
        <v>2018-01</v>
      </c>
      <c r="S2012">
        <v>10609.5</v>
      </c>
      <c r="T2012">
        <f t="shared" si="413"/>
        <v>2.406399349362597E-3</v>
      </c>
      <c r="U2012" t="str">
        <f t="shared" si="407"/>
        <v>2018-01</v>
      </c>
      <c r="W2012">
        <v>23836.6</v>
      </c>
      <c r="X2012">
        <f t="shared" si="414"/>
        <v>-2.2452812659622462E-3</v>
      </c>
      <c r="Y2012">
        <f t="shared" si="415"/>
        <v>-2.2427625074403685E-3</v>
      </c>
      <c r="Z2012" t="str">
        <f t="shared" si="408"/>
        <v>2018-01</v>
      </c>
    </row>
    <row r="2013" spans="1:26" x14ac:dyDescent="0.35">
      <c r="A2013" s="1">
        <v>43124</v>
      </c>
      <c r="C2013">
        <v>3643.22</v>
      </c>
      <c r="D2013">
        <f t="shared" si="409"/>
        <v>-7.9475396829869534E-3</v>
      </c>
      <c r="E2013" t="str">
        <f t="shared" si="403"/>
        <v>2018-01</v>
      </c>
      <c r="G2013">
        <v>5495.16</v>
      </c>
      <c r="H2013">
        <f t="shared" si="410"/>
        <v>-7.2708340493191966E-3</v>
      </c>
      <c r="I2013" t="str">
        <f t="shared" si="404"/>
        <v>2018-01</v>
      </c>
      <c r="K2013">
        <v>13414.74</v>
      </c>
      <c r="L2013">
        <f t="shared" si="411"/>
        <v>-1.0740681151919142E-2</v>
      </c>
      <c r="M2013" t="str">
        <f t="shared" si="405"/>
        <v>2018-01</v>
      </c>
      <c r="O2013">
        <v>8755.5268599999999</v>
      </c>
      <c r="P2013">
        <f t="shared" si="412"/>
        <v>-5.2447135062580466E-3</v>
      </c>
      <c r="Q2013" t="str">
        <f t="shared" si="406"/>
        <v>2018-01</v>
      </c>
      <c r="S2013">
        <v>10563</v>
      </c>
      <c r="T2013">
        <f t="shared" si="413"/>
        <v>-4.3924973209921205E-3</v>
      </c>
      <c r="U2013" t="str">
        <f t="shared" si="407"/>
        <v>2018-01</v>
      </c>
      <c r="W2013">
        <v>23622.62</v>
      </c>
      <c r="X2013">
        <f t="shared" si="414"/>
        <v>-9.0174870122725539E-3</v>
      </c>
      <c r="Y2013">
        <f t="shared" si="415"/>
        <v>-8.9769514108555565E-3</v>
      </c>
      <c r="Z2013" t="str">
        <f t="shared" si="408"/>
        <v>2018-01</v>
      </c>
    </row>
    <row r="2014" spans="1:26" x14ac:dyDescent="0.35">
      <c r="A2014" s="1">
        <v>43125</v>
      </c>
      <c r="C2014">
        <v>3630.15</v>
      </c>
      <c r="D2014">
        <f t="shared" si="409"/>
        <v>-3.5939362546068602E-3</v>
      </c>
      <c r="E2014" t="str">
        <f t="shared" si="403"/>
        <v>2018-01</v>
      </c>
      <c r="G2014">
        <v>5481.21</v>
      </c>
      <c r="H2014">
        <f t="shared" si="410"/>
        <v>-2.5418253048626019E-3</v>
      </c>
      <c r="I2014" t="str">
        <f t="shared" si="404"/>
        <v>2018-01</v>
      </c>
      <c r="K2014">
        <v>13298.36</v>
      </c>
      <c r="L2014">
        <f t="shared" si="411"/>
        <v>-8.7133830462250723E-3</v>
      </c>
      <c r="M2014" t="str">
        <f t="shared" si="405"/>
        <v>2018-01</v>
      </c>
      <c r="O2014">
        <v>8691.2756200000003</v>
      </c>
      <c r="P2014">
        <f t="shared" si="412"/>
        <v>-7.365421892010067E-3</v>
      </c>
      <c r="Q2014" t="str">
        <f t="shared" si="406"/>
        <v>2018-01</v>
      </c>
      <c r="S2014">
        <v>10595.3</v>
      </c>
      <c r="T2014">
        <f t="shared" si="413"/>
        <v>3.0531777214074457E-3</v>
      </c>
      <c r="U2014" t="str">
        <f t="shared" si="407"/>
        <v>2018-01</v>
      </c>
      <c r="W2014">
        <v>23719.81</v>
      </c>
      <c r="X2014">
        <f t="shared" si="414"/>
        <v>4.1058364150233419E-3</v>
      </c>
      <c r="Y2014">
        <f t="shared" si="415"/>
        <v>4.1142769091659743E-3</v>
      </c>
      <c r="Z2014" t="str">
        <f t="shared" si="408"/>
        <v>2018-01</v>
      </c>
    </row>
    <row r="2015" spans="1:26" x14ac:dyDescent="0.35">
      <c r="A2015" s="1">
        <v>43126</v>
      </c>
      <c r="C2015">
        <v>3647.41</v>
      </c>
      <c r="D2015">
        <f t="shared" si="409"/>
        <v>4.7433569387748484E-3</v>
      </c>
      <c r="E2015" t="str">
        <f t="shared" si="403"/>
        <v>2018-01</v>
      </c>
      <c r="G2015">
        <v>5529.15</v>
      </c>
      <c r="H2015">
        <f t="shared" si="410"/>
        <v>8.7082171614073292E-3</v>
      </c>
      <c r="I2015" t="str">
        <f t="shared" si="404"/>
        <v>2018-01</v>
      </c>
      <c r="K2015">
        <v>13340.17</v>
      </c>
      <c r="L2015">
        <f t="shared" si="411"/>
        <v>3.1390646805226317E-3</v>
      </c>
      <c r="M2015" t="str">
        <f t="shared" si="405"/>
        <v>2018-01</v>
      </c>
      <c r="O2015">
        <v>8745.8271299999997</v>
      </c>
      <c r="P2015">
        <f t="shared" si="412"/>
        <v>6.2569669691862981E-3</v>
      </c>
      <c r="Q2015" t="str">
        <f t="shared" si="406"/>
        <v>2018-01</v>
      </c>
      <c r="S2015">
        <v>10595.4</v>
      </c>
      <c r="T2015">
        <f t="shared" si="413"/>
        <v>9.438102563939072E-6</v>
      </c>
      <c r="U2015" t="str">
        <f t="shared" si="407"/>
        <v>2018-01</v>
      </c>
      <c r="W2015">
        <v>23856.99</v>
      </c>
      <c r="X2015">
        <f t="shared" si="414"/>
        <v>5.7666921758872461E-3</v>
      </c>
      <c r="Y2015">
        <f t="shared" si="415"/>
        <v>5.7833515529846268E-3</v>
      </c>
      <c r="Z2015" t="str">
        <f t="shared" si="408"/>
        <v>2018-01</v>
      </c>
    </row>
    <row r="2016" spans="1:26" x14ac:dyDescent="0.35">
      <c r="A2016" s="1">
        <v>43129</v>
      </c>
      <c r="C2016">
        <v>3643.04</v>
      </c>
      <c r="D2016">
        <f t="shared" si="409"/>
        <v>-1.1988287481230198E-3</v>
      </c>
      <c r="E2016" t="str">
        <f t="shared" si="403"/>
        <v>2018-01</v>
      </c>
      <c r="G2016">
        <v>5521.59</v>
      </c>
      <c r="H2016">
        <f t="shared" si="410"/>
        <v>-1.3682343769558984E-3</v>
      </c>
      <c r="I2016" t="str">
        <f t="shared" si="404"/>
        <v>2018-01</v>
      </c>
      <c r="K2016">
        <v>13324.48</v>
      </c>
      <c r="L2016">
        <f t="shared" si="411"/>
        <v>-1.1768391342712866E-3</v>
      </c>
      <c r="M2016" t="str">
        <f t="shared" si="405"/>
        <v>2018-01</v>
      </c>
      <c r="O2016">
        <v>8724.4121500000001</v>
      </c>
      <c r="P2016">
        <f t="shared" si="412"/>
        <v>-2.4515967277486442E-3</v>
      </c>
      <c r="Q2016" t="str">
        <f t="shared" si="406"/>
        <v>2018-01</v>
      </c>
      <c r="S2016">
        <v>10555.6</v>
      </c>
      <c r="T2016">
        <f t="shared" si="413"/>
        <v>-3.7634198832234701E-3</v>
      </c>
      <c r="U2016" t="str">
        <f t="shared" si="407"/>
        <v>2018-01</v>
      </c>
      <c r="W2016">
        <v>23801.55</v>
      </c>
      <c r="X2016">
        <f t="shared" si="414"/>
        <v>-2.3265515480470032E-3</v>
      </c>
      <c r="Y2016">
        <f t="shared" si="415"/>
        <v>-2.32384722464998E-3</v>
      </c>
      <c r="Z2016" t="str">
        <f t="shared" si="408"/>
        <v>2018-01</v>
      </c>
    </row>
    <row r="2017" spans="1:26" x14ac:dyDescent="0.35">
      <c r="A2017" s="1">
        <v>43130</v>
      </c>
      <c r="C2017">
        <v>3606.75</v>
      </c>
      <c r="D2017">
        <f t="shared" si="409"/>
        <v>-1.0011408083972922E-2</v>
      </c>
      <c r="E2017" t="str">
        <f t="shared" si="403"/>
        <v>2018-01</v>
      </c>
      <c r="G2017">
        <v>5473.78</v>
      </c>
      <c r="H2017">
        <f t="shared" si="410"/>
        <v>-8.6964424688977509E-3</v>
      </c>
      <c r="I2017" t="str">
        <f t="shared" si="404"/>
        <v>2018-01</v>
      </c>
      <c r="K2017">
        <v>13197.71</v>
      </c>
      <c r="L2017">
        <f t="shared" si="411"/>
        <v>-9.5596152065897111E-3</v>
      </c>
      <c r="M2017" t="str">
        <f t="shared" si="405"/>
        <v>2018-01</v>
      </c>
      <c r="O2017">
        <v>8650.3950600000007</v>
      </c>
      <c r="P2017">
        <f t="shared" si="412"/>
        <v>-8.5200988833339392E-3</v>
      </c>
      <c r="Q2017" t="str">
        <f t="shared" si="406"/>
        <v>2018-01</v>
      </c>
      <c r="S2017">
        <v>10428.200000000001</v>
      </c>
      <c r="T2017">
        <f t="shared" si="413"/>
        <v>-1.2142849761331682E-2</v>
      </c>
      <c r="U2017" t="str">
        <f t="shared" si="407"/>
        <v>2018-01</v>
      </c>
      <c r="W2017">
        <v>23480.92</v>
      </c>
      <c r="X2017">
        <f t="shared" si="414"/>
        <v>-1.3562528132156131E-2</v>
      </c>
      <c r="Y2017">
        <f t="shared" si="415"/>
        <v>-1.3470971428331391E-2</v>
      </c>
      <c r="Z2017" t="str">
        <f t="shared" si="408"/>
        <v>2018-01</v>
      </c>
    </row>
    <row r="2018" spans="1:26" x14ac:dyDescent="0.35">
      <c r="A2018" s="1">
        <v>43131</v>
      </c>
      <c r="C2018">
        <v>3609.29</v>
      </c>
      <c r="D2018">
        <f t="shared" si="409"/>
        <v>7.0398725752677713E-4</v>
      </c>
      <c r="E2018" t="str">
        <f t="shared" si="403"/>
        <v>2018-01</v>
      </c>
      <c r="G2018">
        <v>5481.93</v>
      </c>
      <c r="H2018">
        <f t="shared" si="410"/>
        <v>1.4878089148740272E-3</v>
      </c>
      <c r="I2018" t="str">
        <f t="shared" si="404"/>
        <v>2018-01</v>
      </c>
      <c r="K2018">
        <v>13189.48</v>
      </c>
      <c r="L2018">
        <f t="shared" si="411"/>
        <v>-6.2378754743225599E-4</v>
      </c>
      <c r="M2018" t="str">
        <f t="shared" si="405"/>
        <v>2018-01</v>
      </c>
      <c r="O2018">
        <v>8606.9974399999992</v>
      </c>
      <c r="P2018">
        <f t="shared" si="412"/>
        <v>-5.029463342198782E-3</v>
      </c>
      <c r="Q2018" t="str">
        <f t="shared" si="406"/>
        <v>2018-01</v>
      </c>
      <c r="S2018">
        <v>10451.5</v>
      </c>
      <c r="T2018">
        <f t="shared" si="413"/>
        <v>2.2318337592588215E-3</v>
      </c>
      <c r="U2018" t="str">
        <f t="shared" si="407"/>
        <v>2018-01</v>
      </c>
      <c r="W2018">
        <v>23507.06</v>
      </c>
      <c r="X2018">
        <f t="shared" si="414"/>
        <v>1.1126250882305027E-3</v>
      </c>
      <c r="Y2018">
        <f t="shared" si="415"/>
        <v>1.1132442851473903E-3</v>
      </c>
      <c r="Z2018" t="str">
        <f t="shared" si="408"/>
        <v>2018-01</v>
      </c>
    </row>
    <row r="2019" spans="1:26" x14ac:dyDescent="0.35">
      <c r="A2019" s="1">
        <v>43132</v>
      </c>
      <c r="C2019">
        <v>3577.35</v>
      </c>
      <c r="D2019">
        <f t="shared" si="409"/>
        <v>-8.8887742530099449E-3</v>
      </c>
      <c r="E2019" t="str">
        <f t="shared" si="403"/>
        <v>2018-02</v>
      </c>
      <c r="G2019">
        <v>5454.55</v>
      </c>
      <c r="H2019">
        <f t="shared" si="410"/>
        <v>-5.0071059799666811E-3</v>
      </c>
      <c r="I2019" t="str">
        <f t="shared" si="404"/>
        <v>2018-02</v>
      </c>
      <c r="K2019">
        <v>13003.9</v>
      </c>
      <c r="L2019">
        <f t="shared" si="411"/>
        <v>-1.4170229675636251E-2</v>
      </c>
      <c r="M2019" t="str">
        <f t="shared" si="405"/>
        <v>2018-02</v>
      </c>
      <c r="O2019">
        <v>8542.0097800000003</v>
      </c>
      <c r="P2019">
        <f t="shared" si="412"/>
        <v>-7.5792108854216373E-3</v>
      </c>
      <c r="Q2019" t="str">
        <f t="shared" si="406"/>
        <v>2018-02</v>
      </c>
      <c r="S2019">
        <v>10399</v>
      </c>
      <c r="T2019">
        <f t="shared" si="413"/>
        <v>-5.0358611016045572E-3</v>
      </c>
      <c r="U2019" t="str">
        <f t="shared" si="407"/>
        <v>2018-02</v>
      </c>
      <c r="W2019">
        <v>23541.46</v>
      </c>
      <c r="X2019">
        <f t="shared" si="414"/>
        <v>1.4623204355854091E-3</v>
      </c>
      <c r="Y2019">
        <f t="shared" si="415"/>
        <v>1.4633901474704967E-3</v>
      </c>
      <c r="Z2019" t="str">
        <f t="shared" si="408"/>
        <v>2018-02</v>
      </c>
    </row>
    <row r="2020" spans="1:26" x14ac:dyDescent="0.35">
      <c r="A2020" s="1">
        <v>43133</v>
      </c>
      <c r="C2020">
        <v>3523.28</v>
      </c>
      <c r="D2020">
        <f t="shared" si="409"/>
        <v>-1.5229928929493272E-2</v>
      </c>
      <c r="E2020" t="str">
        <f t="shared" si="403"/>
        <v>2018-02</v>
      </c>
      <c r="G2020">
        <v>5364.98</v>
      </c>
      <c r="H2020">
        <f t="shared" si="410"/>
        <v>-1.6557474546799966E-2</v>
      </c>
      <c r="I2020" t="str">
        <f t="shared" si="404"/>
        <v>2018-02</v>
      </c>
      <c r="K2020">
        <v>12785.16</v>
      </c>
      <c r="L2020">
        <f t="shared" si="411"/>
        <v>-1.6964189140068735E-2</v>
      </c>
      <c r="M2020" t="str">
        <f t="shared" si="405"/>
        <v>2018-02</v>
      </c>
      <c r="O2020">
        <v>8450.4928299999992</v>
      </c>
      <c r="P2020">
        <f t="shared" si="412"/>
        <v>-1.0771554604267951E-2</v>
      </c>
      <c r="Q2020" t="str">
        <f t="shared" si="406"/>
        <v>2018-02</v>
      </c>
      <c r="S2020">
        <v>10211.200000000001</v>
      </c>
      <c r="T2020">
        <f t="shared" si="413"/>
        <v>-1.8224490576308372E-2</v>
      </c>
      <c r="U2020" t="str">
        <f t="shared" si="407"/>
        <v>2018-02</v>
      </c>
      <c r="W2020">
        <v>23202.66</v>
      </c>
      <c r="X2020">
        <f t="shared" si="414"/>
        <v>-1.4496194726623701E-2</v>
      </c>
      <c r="Y2020">
        <f t="shared" si="415"/>
        <v>-1.4391630765466512E-2</v>
      </c>
      <c r="Z2020" t="str">
        <f t="shared" si="408"/>
        <v>2018-02</v>
      </c>
    </row>
    <row r="2021" spans="1:26" x14ac:dyDescent="0.35">
      <c r="A2021" s="1">
        <v>43136</v>
      </c>
      <c r="C2021">
        <v>3478.77</v>
      </c>
      <c r="D2021">
        <f t="shared" si="409"/>
        <v>-1.2713590885811426E-2</v>
      </c>
      <c r="E2021" t="str">
        <f t="shared" si="403"/>
        <v>2018-02</v>
      </c>
      <c r="G2021">
        <v>5285.83</v>
      </c>
      <c r="H2021">
        <f t="shared" si="410"/>
        <v>-1.4862992968737377E-2</v>
      </c>
      <c r="I2021" t="str">
        <f t="shared" si="404"/>
        <v>2018-02</v>
      </c>
      <c r="K2021">
        <v>12687.49</v>
      </c>
      <c r="L2021">
        <f t="shared" si="411"/>
        <v>-7.6686547061103894E-3</v>
      </c>
      <c r="M2021" t="str">
        <f t="shared" si="405"/>
        <v>2018-02</v>
      </c>
      <c r="O2021">
        <v>8280.9911800000009</v>
      </c>
      <c r="P2021">
        <f t="shared" si="412"/>
        <v>-2.0262093783042365E-2</v>
      </c>
      <c r="Q2021" t="str">
        <f t="shared" si="406"/>
        <v>2018-02</v>
      </c>
      <c r="S2021">
        <v>10064.5</v>
      </c>
      <c r="T2021">
        <f t="shared" si="413"/>
        <v>-1.4470776342837962E-2</v>
      </c>
      <c r="U2021" t="str">
        <f t="shared" si="407"/>
        <v>2018-02</v>
      </c>
      <c r="W2021">
        <v>22821.63</v>
      </c>
      <c r="X2021">
        <f t="shared" si="414"/>
        <v>-1.6558156817816846E-2</v>
      </c>
      <c r="Y2021">
        <f t="shared" si="415"/>
        <v>-1.6421824049483932E-2</v>
      </c>
      <c r="Z2021" t="str">
        <f t="shared" si="408"/>
        <v>2018-02</v>
      </c>
    </row>
    <row r="2022" spans="1:26" x14ac:dyDescent="0.35">
      <c r="A2022" s="1">
        <v>43137</v>
      </c>
      <c r="C2022">
        <v>3394.92</v>
      </c>
      <c r="D2022">
        <f t="shared" si="409"/>
        <v>-2.4398586364735544E-2</v>
      </c>
      <c r="E2022" t="str">
        <f t="shared" si="403"/>
        <v>2018-02</v>
      </c>
      <c r="G2022">
        <v>5161.8100000000004</v>
      </c>
      <c r="H2022">
        <f t="shared" si="410"/>
        <v>-2.3742362061144429E-2</v>
      </c>
      <c r="I2022" t="str">
        <f t="shared" si="404"/>
        <v>2018-02</v>
      </c>
      <c r="K2022">
        <v>12392.66</v>
      </c>
      <c r="L2022">
        <f t="shared" si="411"/>
        <v>-2.3512106760210177E-2</v>
      </c>
      <c r="M2022" t="str">
        <f t="shared" si="405"/>
        <v>2018-02</v>
      </c>
      <c r="O2022">
        <v>8043.9447799999998</v>
      </c>
      <c r="P2022">
        <f t="shared" si="412"/>
        <v>-2.9043061819303939E-2</v>
      </c>
      <c r="Q2022" t="str">
        <f t="shared" si="406"/>
        <v>2018-02</v>
      </c>
      <c r="S2022">
        <v>9810</v>
      </c>
      <c r="T2022">
        <f t="shared" si="413"/>
        <v>-2.5612107181677717E-2</v>
      </c>
      <c r="U2022" t="str">
        <f t="shared" si="407"/>
        <v>2018-02</v>
      </c>
      <c r="W2022">
        <v>22347.01</v>
      </c>
      <c r="X2022">
        <f t="shared" si="414"/>
        <v>-2.1016239104952084E-2</v>
      </c>
      <c r="Y2022">
        <f t="shared" si="415"/>
        <v>-2.0796936940963576E-2</v>
      </c>
      <c r="Z2022" t="str">
        <f t="shared" si="408"/>
        <v>2018-02</v>
      </c>
    </row>
    <row r="2023" spans="1:26" x14ac:dyDescent="0.35">
      <c r="A2023" s="1">
        <v>43138</v>
      </c>
      <c r="C2023">
        <v>3454.52</v>
      </c>
      <c r="D2023">
        <f t="shared" si="409"/>
        <v>1.7403321811594281E-2</v>
      </c>
      <c r="E2023" t="str">
        <f t="shared" si="403"/>
        <v>2018-02</v>
      </c>
      <c r="G2023">
        <v>5255.9</v>
      </c>
      <c r="H2023">
        <f t="shared" si="410"/>
        <v>1.8063961946090102E-2</v>
      </c>
      <c r="I2023" t="str">
        <f t="shared" si="404"/>
        <v>2018-02</v>
      </c>
      <c r="K2023">
        <v>12590.43</v>
      </c>
      <c r="L2023">
        <f t="shared" si="411"/>
        <v>1.5832639699420756E-2</v>
      </c>
      <c r="M2023" t="str">
        <f t="shared" si="405"/>
        <v>2018-02</v>
      </c>
      <c r="O2023">
        <v>8231.0246999999999</v>
      </c>
      <c r="P2023">
        <f t="shared" si="412"/>
        <v>2.2990907693513196E-2</v>
      </c>
      <c r="Q2023" t="str">
        <f t="shared" si="406"/>
        <v>2018-02</v>
      </c>
      <c r="S2023">
        <v>9976.9</v>
      </c>
      <c r="T2023">
        <f t="shared" si="413"/>
        <v>1.6870147250845215E-2</v>
      </c>
      <c r="U2023" t="str">
        <f t="shared" si="407"/>
        <v>2018-02</v>
      </c>
      <c r="W2023">
        <v>22986.18</v>
      </c>
      <c r="X2023">
        <f t="shared" si="414"/>
        <v>2.8200634419961859E-2</v>
      </c>
      <c r="Y2023">
        <f t="shared" si="415"/>
        <v>2.8602036693052089E-2</v>
      </c>
      <c r="Z2023" t="str">
        <f t="shared" si="408"/>
        <v>2018-02</v>
      </c>
    </row>
    <row r="2024" spans="1:26" x14ac:dyDescent="0.35">
      <c r="A2024" s="1">
        <v>43139</v>
      </c>
      <c r="C2024">
        <v>3377.3</v>
      </c>
      <c r="D2024">
        <f t="shared" si="409"/>
        <v>-2.2606944776902508E-2</v>
      </c>
      <c r="E2024" t="str">
        <f t="shared" si="403"/>
        <v>2018-02</v>
      </c>
      <c r="G2024">
        <v>5151.68</v>
      </c>
      <c r="H2024">
        <f t="shared" si="410"/>
        <v>-2.0028380054332301E-2</v>
      </c>
      <c r="I2024" t="str">
        <f t="shared" si="404"/>
        <v>2018-02</v>
      </c>
      <c r="K2024">
        <v>12260.29</v>
      </c>
      <c r="L2024">
        <f t="shared" si="411"/>
        <v>-2.6571417175386493E-2</v>
      </c>
      <c r="M2024" t="str">
        <f t="shared" si="405"/>
        <v>2018-02</v>
      </c>
      <c r="O2024">
        <v>8137.1234000000004</v>
      </c>
      <c r="P2024">
        <f t="shared" si="412"/>
        <v>-1.1473787942584917E-2</v>
      </c>
      <c r="Q2024" t="str">
        <f t="shared" si="406"/>
        <v>2018-02</v>
      </c>
      <c r="S2024">
        <v>9756.2999999999993</v>
      </c>
      <c r="T2024">
        <f t="shared" si="413"/>
        <v>-2.2359190639721128E-2</v>
      </c>
      <c r="U2024" t="str">
        <f t="shared" si="407"/>
        <v>2018-02</v>
      </c>
      <c r="W2024">
        <v>22466.6</v>
      </c>
      <c r="X2024">
        <f t="shared" si="414"/>
        <v>-2.2863403882770496E-2</v>
      </c>
      <c r="Y2024">
        <f t="shared" si="415"/>
        <v>-2.2604016848384628E-2</v>
      </c>
      <c r="Z2024" t="str">
        <f t="shared" si="408"/>
        <v>2018-02</v>
      </c>
    </row>
    <row r="2025" spans="1:26" x14ac:dyDescent="0.35">
      <c r="A2025" s="1">
        <v>43140</v>
      </c>
      <c r="C2025">
        <v>3325.99</v>
      </c>
      <c r="D2025">
        <f t="shared" si="409"/>
        <v>-1.5309199551249245E-2</v>
      </c>
      <c r="E2025" t="str">
        <f t="shared" si="403"/>
        <v>2018-02</v>
      </c>
      <c r="G2025">
        <v>5079.21</v>
      </c>
      <c r="H2025">
        <f t="shared" si="410"/>
        <v>-1.4167137385641081E-2</v>
      </c>
      <c r="I2025" t="str">
        <f t="shared" si="404"/>
        <v>2018-02</v>
      </c>
      <c r="K2025">
        <v>12107.48</v>
      </c>
      <c r="L2025">
        <f t="shared" si="411"/>
        <v>-1.2542140962973344E-2</v>
      </c>
      <c r="M2025" t="str">
        <f t="shared" si="405"/>
        <v>2018-02</v>
      </c>
      <c r="O2025">
        <v>8005.25954</v>
      </c>
      <c r="P2025">
        <f t="shared" si="412"/>
        <v>-1.6337958734671788E-2</v>
      </c>
      <c r="Q2025" t="str">
        <f t="shared" si="406"/>
        <v>2018-02</v>
      </c>
      <c r="S2025">
        <v>9639.6</v>
      </c>
      <c r="T2025">
        <f t="shared" si="413"/>
        <v>-1.2033616202765727E-2</v>
      </c>
      <c r="U2025" t="str">
        <f t="shared" si="407"/>
        <v>2018-02</v>
      </c>
      <c r="W2025">
        <v>22166.75</v>
      </c>
      <c r="X2025">
        <f t="shared" si="414"/>
        <v>-1.3436343501569999E-2</v>
      </c>
      <c r="Y2025">
        <f t="shared" si="415"/>
        <v>-1.3346478772933981E-2</v>
      </c>
      <c r="Z2025" t="str">
        <f t="shared" si="408"/>
        <v>2018-02</v>
      </c>
    </row>
    <row r="2026" spans="1:26" x14ac:dyDescent="0.35">
      <c r="A2026" s="1">
        <v>43143</v>
      </c>
      <c r="C2026">
        <v>3368.25</v>
      </c>
      <c r="D2026">
        <f t="shared" si="409"/>
        <v>1.2625947502156129E-2</v>
      </c>
      <c r="E2026" t="str">
        <f t="shared" si="403"/>
        <v>2018-02</v>
      </c>
      <c r="G2026">
        <v>5140.0600000000004</v>
      </c>
      <c r="H2026">
        <f t="shared" si="410"/>
        <v>1.1909014864542577E-2</v>
      </c>
      <c r="I2026" t="str">
        <f t="shared" si="404"/>
        <v>2018-02</v>
      </c>
      <c r="K2026">
        <v>12282.77</v>
      </c>
      <c r="L2026">
        <f t="shared" si="411"/>
        <v>1.4374023889268653E-2</v>
      </c>
      <c r="M2026" t="str">
        <f t="shared" si="405"/>
        <v>2018-02</v>
      </c>
      <c r="O2026">
        <v>8078.6507600000004</v>
      </c>
      <c r="P2026">
        <f t="shared" si="412"/>
        <v>9.1261052817260078E-3</v>
      </c>
      <c r="Q2026" t="str">
        <f t="shared" si="406"/>
        <v>2018-02</v>
      </c>
      <c r="S2026">
        <v>9771.1</v>
      </c>
      <c r="T2026">
        <f t="shared" si="413"/>
        <v>1.3549435291209711E-2</v>
      </c>
      <c r="U2026" t="str">
        <f t="shared" si="407"/>
        <v>2018-02</v>
      </c>
      <c r="W2026">
        <v>22336.78</v>
      </c>
      <c r="X2026">
        <f t="shared" si="414"/>
        <v>7.6412287885407482E-3</v>
      </c>
      <c r="Y2026">
        <f t="shared" si="415"/>
        <v>7.6704974793327316E-3</v>
      </c>
      <c r="Z2026" t="str">
        <f t="shared" si="408"/>
        <v>2018-02</v>
      </c>
    </row>
    <row r="2027" spans="1:26" x14ac:dyDescent="0.35">
      <c r="A2027" s="1">
        <v>43144</v>
      </c>
      <c r="C2027">
        <v>3340.93</v>
      </c>
      <c r="D2027">
        <f t="shared" si="409"/>
        <v>-8.1441103095279705E-3</v>
      </c>
      <c r="E2027" t="str">
        <f t="shared" si="403"/>
        <v>2018-02</v>
      </c>
      <c r="G2027">
        <v>5109.24</v>
      </c>
      <c r="H2027">
        <f t="shared" si="410"/>
        <v>-6.0140873805289083E-3</v>
      </c>
      <c r="I2027" t="str">
        <f t="shared" si="404"/>
        <v>2018-02</v>
      </c>
      <c r="K2027">
        <v>12196.5</v>
      </c>
      <c r="L2027">
        <f t="shared" si="411"/>
        <v>-7.0484419806102665E-3</v>
      </c>
      <c r="M2027" t="str">
        <f t="shared" si="405"/>
        <v>2018-02</v>
      </c>
      <c r="O2027">
        <v>8045.9505099999997</v>
      </c>
      <c r="P2027">
        <f t="shared" si="412"/>
        <v>-4.0559508146634123E-3</v>
      </c>
      <c r="Q2027" t="str">
        <f t="shared" si="406"/>
        <v>2018-02</v>
      </c>
      <c r="S2027">
        <v>9650.7000000000007</v>
      </c>
      <c r="T2027">
        <f t="shared" si="413"/>
        <v>-1.2398597696657465E-2</v>
      </c>
      <c r="U2027" t="str">
        <f t="shared" si="407"/>
        <v>2018-02</v>
      </c>
      <c r="W2027">
        <v>22034.42</v>
      </c>
      <c r="X2027">
        <f t="shared" si="414"/>
        <v>-1.3628870986977676E-2</v>
      </c>
      <c r="Y2027">
        <f t="shared" si="415"/>
        <v>-1.3536418409457433E-2</v>
      </c>
      <c r="Z2027" t="str">
        <f t="shared" si="408"/>
        <v>2018-02</v>
      </c>
    </row>
    <row r="2028" spans="1:26" x14ac:dyDescent="0.35">
      <c r="A2028" s="1">
        <v>43145</v>
      </c>
      <c r="C2028">
        <v>3369.83</v>
      </c>
      <c r="D2028">
        <f t="shared" si="409"/>
        <v>8.6130866437235699E-3</v>
      </c>
      <c r="E2028" t="str">
        <f t="shared" si="403"/>
        <v>2018-02</v>
      </c>
      <c r="G2028">
        <v>5165.26</v>
      </c>
      <c r="H2028">
        <f t="shared" si="410"/>
        <v>1.090477495345472E-2</v>
      </c>
      <c r="I2028" t="str">
        <f t="shared" si="404"/>
        <v>2018-02</v>
      </c>
      <c r="K2028">
        <v>12339.16</v>
      </c>
      <c r="L2028">
        <f t="shared" si="411"/>
        <v>1.1628919513615997E-2</v>
      </c>
      <c r="M2028" t="str">
        <f t="shared" si="405"/>
        <v>2018-02</v>
      </c>
      <c r="O2028">
        <v>8119.6375200000002</v>
      </c>
      <c r="P2028">
        <f t="shared" si="412"/>
        <v>9.1165901568321835E-3</v>
      </c>
      <c r="Q2028" t="str">
        <f t="shared" si="406"/>
        <v>2018-02</v>
      </c>
      <c r="S2028">
        <v>9686.2000000000007</v>
      </c>
      <c r="T2028">
        <f t="shared" si="413"/>
        <v>3.6717405461361126E-3</v>
      </c>
      <c r="U2028" t="str">
        <f t="shared" si="407"/>
        <v>2018-02</v>
      </c>
      <c r="W2028">
        <v>22433.75</v>
      </c>
      <c r="X2028">
        <f t="shared" si="414"/>
        <v>1.7960745174657688E-2</v>
      </c>
      <c r="Y2028">
        <f t="shared" si="415"/>
        <v>1.8123009364439897E-2</v>
      </c>
      <c r="Z2028" t="str">
        <f t="shared" si="408"/>
        <v>2018-02</v>
      </c>
    </row>
    <row r="2029" spans="1:26" x14ac:dyDescent="0.35">
      <c r="A2029" s="1">
        <v>43146</v>
      </c>
      <c r="C2029">
        <v>3389.63</v>
      </c>
      <c r="D2029">
        <f t="shared" si="409"/>
        <v>5.8584729048712205E-3</v>
      </c>
      <c r="E2029" t="str">
        <f t="shared" si="403"/>
        <v>2018-02</v>
      </c>
      <c r="G2029">
        <v>5222.5200000000004</v>
      </c>
      <c r="H2029">
        <f t="shared" si="410"/>
        <v>1.1024603901163952E-2</v>
      </c>
      <c r="I2029" t="str">
        <f t="shared" si="404"/>
        <v>2018-02</v>
      </c>
      <c r="K2029">
        <v>12346.17</v>
      </c>
      <c r="L2029">
        <f t="shared" si="411"/>
        <v>5.6794867141180883E-4</v>
      </c>
      <c r="M2029" t="str">
        <f t="shared" si="405"/>
        <v>2018-02</v>
      </c>
      <c r="O2029">
        <v>8147.8625099999999</v>
      </c>
      <c r="P2029">
        <f t="shared" si="412"/>
        <v>3.4701113595758592E-3</v>
      </c>
      <c r="Q2029" t="str">
        <f t="shared" si="406"/>
        <v>2018-02</v>
      </c>
      <c r="S2029">
        <v>9714.9</v>
      </c>
      <c r="T2029">
        <f t="shared" si="413"/>
        <v>2.9585972893255482E-3</v>
      </c>
      <c r="U2029" t="str">
        <f t="shared" si="407"/>
        <v>2018-02</v>
      </c>
      <c r="W2029">
        <v>22495.64</v>
      </c>
      <c r="X2029">
        <f t="shared" si="414"/>
        <v>2.7549912939081379E-3</v>
      </c>
      <c r="Y2029">
        <f t="shared" si="415"/>
        <v>2.7587897698779481E-3</v>
      </c>
      <c r="Z2029" t="str">
        <f t="shared" si="408"/>
        <v>2018-02</v>
      </c>
    </row>
    <row r="2030" spans="1:26" x14ac:dyDescent="0.35">
      <c r="A2030" s="1">
        <v>43147</v>
      </c>
      <c r="C2030">
        <v>3426.8</v>
      </c>
      <c r="D2030">
        <f t="shared" si="409"/>
        <v>1.0906110214864937E-2</v>
      </c>
      <c r="E2030" t="str">
        <f t="shared" si="403"/>
        <v>2018-02</v>
      </c>
      <c r="G2030">
        <v>5281.58</v>
      </c>
      <c r="H2030">
        <f t="shared" si="410"/>
        <v>1.124525135354444E-2</v>
      </c>
      <c r="I2030" t="str">
        <f t="shared" si="404"/>
        <v>2018-02</v>
      </c>
      <c r="K2030">
        <v>12451.96</v>
      </c>
      <c r="L2030">
        <f t="shared" si="411"/>
        <v>8.5321467199414892E-3</v>
      </c>
      <c r="M2030" t="str">
        <f t="shared" si="405"/>
        <v>2018-02</v>
      </c>
      <c r="O2030">
        <v>8234.6087000000007</v>
      </c>
      <c r="P2030">
        <f t="shared" si="412"/>
        <v>1.0590221660963029E-2</v>
      </c>
      <c r="Q2030" t="str">
        <f t="shared" si="406"/>
        <v>2018-02</v>
      </c>
      <c r="S2030">
        <v>9832.1</v>
      </c>
      <c r="T2030">
        <f t="shared" si="413"/>
        <v>1.1991753666993184E-2</v>
      </c>
      <c r="U2030" t="str">
        <f t="shared" si="407"/>
        <v>2018-02</v>
      </c>
      <c r="W2030">
        <v>22797.88</v>
      </c>
      <c r="X2030">
        <f t="shared" si="414"/>
        <v>1.3346036525860963E-2</v>
      </c>
      <c r="Y2030">
        <f t="shared" si="415"/>
        <v>1.3435492388747403E-2</v>
      </c>
      <c r="Z2030" t="str">
        <f t="shared" si="408"/>
        <v>2018-02</v>
      </c>
    </row>
    <row r="2031" spans="1:26" x14ac:dyDescent="0.35">
      <c r="A2031" s="1">
        <v>43150</v>
      </c>
      <c r="C2031">
        <v>3407.79</v>
      </c>
      <c r="D2031">
        <f t="shared" si="409"/>
        <v>-5.5628937575653535E-3</v>
      </c>
      <c r="E2031" t="str">
        <f t="shared" si="403"/>
        <v>2018-02</v>
      </c>
      <c r="G2031">
        <v>5256.18</v>
      </c>
      <c r="H2031">
        <f t="shared" si="410"/>
        <v>-4.8207682070769498E-3</v>
      </c>
      <c r="I2031" t="str">
        <f t="shared" si="404"/>
        <v>2018-02</v>
      </c>
      <c r="K2031">
        <v>12385.6</v>
      </c>
      <c r="L2031">
        <f t="shared" si="411"/>
        <v>-5.3435327705223124E-3</v>
      </c>
      <c r="M2031" t="str">
        <f t="shared" si="405"/>
        <v>2018-02</v>
      </c>
      <c r="O2031">
        <v>8182.4464099999996</v>
      </c>
      <c r="P2031">
        <f t="shared" si="412"/>
        <v>-6.3546677749837174E-3</v>
      </c>
      <c r="Q2031" t="str">
        <f t="shared" si="406"/>
        <v>2018-02</v>
      </c>
      <c r="S2031">
        <v>9806.2000000000007</v>
      </c>
      <c r="T2031">
        <f t="shared" si="413"/>
        <v>-2.6377043854680839E-3</v>
      </c>
      <c r="U2031" t="str">
        <f t="shared" si="407"/>
        <v>2018-02</v>
      </c>
      <c r="W2031">
        <v>22568.92</v>
      </c>
      <c r="X2031">
        <f t="shared" si="414"/>
        <v>-1.0093810626394162E-2</v>
      </c>
      <c r="Y2031">
        <f t="shared" si="415"/>
        <v>-1.004303908959968E-2</v>
      </c>
      <c r="Z2031" t="str">
        <f t="shared" si="408"/>
        <v>2018-02</v>
      </c>
    </row>
    <row r="2032" spans="1:26" x14ac:dyDescent="0.35">
      <c r="A2032" s="1">
        <v>43151</v>
      </c>
      <c r="C2032">
        <v>3435.08</v>
      </c>
      <c r="D2032">
        <f t="shared" si="409"/>
        <v>7.9762277181369776E-3</v>
      </c>
      <c r="E2032" t="str">
        <f t="shared" si="403"/>
        <v>2018-02</v>
      </c>
      <c r="G2032">
        <v>5289.86</v>
      </c>
      <c r="H2032">
        <f t="shared" si="410"/>
        <v>6.3872533203961183E-3</v>
      </c>
      <c r="I2032" t="str">
        <f t="shared" si="404"/>
        <v>2018-02</v>
      </c>
      <c r="K2032">
        <v>12487.9</v>
      </c>
      <c r="L2032">
        <f t="shared" si="411"/>
        <v>8.2256680253773497E-3</v>
      </c>
      <c r="M2032" t="str">
        <f t="shared" si="405"/>
        <v>2018-02</v>
      </c>
      <c r="O2032">
        <v>8220.7161599999999</v>
      </c>
      <c r="P2032">
        <f t="shared" si="412"/>
        <v>4.6661513319557922E-3</v>
      </c>
      <c r="Q2032" t="str">
        <f t="shared" si="406"/>
        <v>2018-02</v>
      </c>
      <c r="S2032">
        <v>9895.2999999999993</v>
      </c>
      <c r="T2032">
        <f t="shared" si="413"/>
        <v>9.0450582403652571E-3</v>
      </c>
      <c r="U2032" t="str">
        <f t="shared" si="407"/>
        <v>2018-02</v>
      </c>
      <c r="W2032">
        <v>22673.56</v>
      </c>
      <c r="X2032">
        <f t="shared" si="414"/>
        <v>4.6257493659337314E-3</v>
      </c>
      <c r="Y2032">
        <f t="shared" si="415"/>
        <v>4.6364646602497176E-3</v>
      </c>
      <c r="Z2032" t="str">
        <f t="shared" si="408"/>
        <v>2018-02</v>
      </c>
    </row>
    <row r="2033" spans="1:26" x14ac:dyDescent="0.35">
      <c r="A2033" s="1">
        <v>43152</v>
      </c>
      <c r="C2033">
        <v>3430.16</v>
      </c>
      <c r="D2033">
        <f t="shared" si="409"/>
        <v>-1.4333077481027165E-3</v>
      </c>
      <c r="E2033" t="str">
        <f t="shared" si="403"/>
        <v>2018-02</v>
      </c>
      <c r="G2033">
        <v>5302.17</v>
      </c>
      <c r="H2033">
        <f t="shared" si="410"/>
        <v>2.3243902334797364E-3</v>
      </c>
      <c r="I2033" t="str">
        <f t="shared" si="404"/>
        <v>2018-02</v>
      </c>
      <c r="K2033">
        <v>12470.49</v>
      </c>
      <c r="L2033">
        <f t="shared" si="411"/>
        <v>-1.3951222674100678E-3</v>
      </c>
      <c r="M2033" t="str">
        <f t="shared" si="405"/>
        <v>2018-02</v>
      </c>
      <c r="O2033">
        <v>8250.3194800000001</v>
      </c>
      <c r="P2033">
        <f t="shared" si="412"/>
        <v>3.5945950846899264E-3</v>
      </c>
      <c r="Q2033" t="str">
        <f t="shared" si="406"/>
        <v>2018-02</v>
      </c>
      <c r="S2033">
        <v>9823.2999999999993</v>
      </c>
      <c r="T2033">
        <f t="shared" si="413"/>
        <v>-7.3027821431012382E-3</v>
      </c>
      <c r="U2033" t="str">
        <f t="shared" si="407"/>
        <v>2018-02</v>
      </c>
      <c r="W2033">
        <v>22653.01</v>
      </c>
      <c r="X2033">
        <f t="shared" si="414"/>
        <v>-9.0675298872255742E-4</v>
      </c>
      <c r="Y2033">
        <f t="shared" si="415"/>
        <v>-9.0634201245869237E-4</v>
      </c>
      <c r="Z2033" t="str">
        <f t="shared" si="408"/>
        <v>2018-02</v>
      </c>
    </row>
    <row r="2034" spans="1:26" x14ac:dyDescent="0.35">
      <c r="A2034" s="1">
        <v>43153</v>
      </c>
      <c r="C2034">
        <v>3431.99</v>
      </c>
      <c r="D2034">
        <f t="shared" si="409"/>
        <v>5.3336054833611792E-4</v>
      </c>
      <c r="E2034" t="str">
        <f t="shared" si="403"/>
        <v>2018-02</v>
      </c>
      <c r="G2034">
        <v>5309.23</v>
      </c>
      <c r="H2034">
        <f t="shared" si="410"/>
        <v>1.3306445976423345E-3</v>
      </c>
      <c r="I2034" t="str">
        <f t="shared" si="404"/>
        <v>2018-02</v>
      </c>
      <c r="K2034">
        <v>12461.91</v>
      </c>
      <c r="L2034">
        <f t="shared" si="411"/>
        <v>-6.8826108506987466E-4</v>
      </c>
      <c r="M2034" t="str">
        <f t="shared" si="405"/>
        <v>2018-02</v>
      </c>
      <c r="O2034">
        <v>8207.1469199999992</v>
      </c>
      <c r="P2034">
        <f t="shared" si="412"/>
        <v>-5.2465741667936583E-3</v>
      </c>
      <c r="Q2034" t="str">
        <f t="shared" si="406"/>
        <v>2018-02</v>
      </c>
      <c r="S2034">
        <v>9876.5</v>
      </c>
      <c r="T2034">
        <f t="shared" si="413"/>
        <v>5.4010831914848611E-3</v>
      </c>
      <c r="U2034" t="str">
        <f t="shared" si="407"/>
        <v>2018-02</v>
      </c>
      <c r="W2034">
        <v>22463.51</v>
      </c>
      <c r="X2034">
        <f t="shared" si="414"/>
        <v>-8.4005200044972531E-3</v>
      </c>
      <c r="Y2034">
        <f t="shared" si="415"/>
        <v>-8.3653342315215505E-3</v>
      </c>
      <c r="Z2034" t="str">
        <f t="shared" si="408"/>
        <v>2018-02</v>
      </c>
    </row>
    <row r="2035" spans="1:26" x14ac:dyDescent="0.35">
      <c r="A2035" s="1">
        <v>43154</v>
      </c>
      <c r="C2035">
        <v>3441.46</v>
      </c>
      <c r="D2035">
        <f t="shared" si="409"/>
        <v>2.7555320813007871E-3</v>
      </c>
      <c r="E2035" t="str">
        <f t="shared" si="403"/>
        <v>2018-02</v>
      </c>
      <c r="G2035">
        <v>5317.37</v>
      </c>
      <c r="H2035">
        <f t="shared" si="410"/>
        <v>1.532004891889155E-3</v>
      </c>
      <c r="I2035" t="str">
        <f t="shared" si="404"/>
        <v>2018-02</v>
      </c>
      <c r="K2035">
        <v>12483.79</v>
      </c>
      <c r="L2035">
        <f t="shared" si="411"/>
        <v>1.7542105942796866E-3</v>
      </c>
      <c r="M2035" t="str">
        <f t="shared" si="405"/>
        <v>2018-02</v>
      </c>
      <c r="O2035">
        <v>8231.0532000000003</v>
      </c>
      <c r="P2035">
        <f t="shared" si="412"/>
        <v>2.9086270613120292E-3</v>
      </c>
      <c r="Q2035" t="str">
        <f t="shared" si="406"/>
        <v>2018-02</v>
      </c>
      <c r="S2035">
        <v>9822.4</v>
      </c>
      <c r="T2035">
        <f t="shared" si="413"/>
        <v>-5.4927062948233775E-3</v>
      </c>
      <c r="U2035" t="str">
        <f t="shared" si="407"/>
        <v>2018-02</v>
      </c>
      <c r="W2035">
        <v>22672.15</v>
      </c>
      <c r="X2035">
        <f t="shared" si="414"/>
        <v>9.2450840893321881E-3</v>
      </c>
      <c r="Y2035">
        <f t="shared" si="415"/>
        <v>9.287951882853706E-3</v>
      </c>
      <c r="Z2035" t="str">
        <f t="shared" si="408"/>
        <v>2018-02</v>
      </c>
    </row>
    <row r="2036" spans="1:26" x14ac:dyDescent="0.35">
      <c r="A2036" s="1">
        <v>43157</v>
      </c>
      <c r="C2036">
        <v>3463.18</v>
      </c>
      <c r="D2036">
        <f t="shared" si="409"/>
        <v>6.2914421733254559E-3</v>
      </c>
      <c r="E2036" t="str">
        <f t="shared" si="403"/>
        <v>2018-02</v>
      </c>
      <c r="G2036">
        <v>5344.26</v>
      </c>
      <c r="H2036">
        <f t="shared" si="410"/>
        <v>5.0442675307926788E-3</v>
      </c>
      <c r="I2036" t="str">
        <f t="shared" si="404"/>
        <v>2018-02</v>
      </c>
      <c r="K2036">
        <v>12527.04</v>
      </c>
      <c r="L2036">
        <f t="shared" si="411"/>
        <v>3.4585052243655419E-3</v>
      </c>
      <c r="M2036" t="str">
        <f t="shared" si="405"/>
        <v>2018-02</v>
      </c>
      <c r="O2036">
        <v>8271.5529999999999</v>
      </c>
      <c r="P2036">
        <f t="shared" si="412"/>
        <v>4.9083012485762346E-3</v>
      </c>
      <c r="Q2036" t="str">
        <f t="shared" si="406"/>
        <v>2018-02</v>
      </c>
      <c r="S2036">
        <v>9902.4</v>
      </c>
      <c r="T2036">
        <f t="shared" si="413"/>
        <v>8.1116603118651966E-3</v>
      </c>
      <c r="U2036" t="str">
        <f t="shared" si="407"/>
        <v>2018-02</v>
      </c>
      <c r="W2036">
        <v>22706.21</v>
      </c>
      <c r="X2036">
        <f t="shared" si="414"/>
        <v>1.5011563395458617E-3</v>
      </c>
      <c r="Y2036">
        <f t="shared" si="415"/>
        <v>1.5022836387372908E-3</v>
      </c>
      <c r="Z2036" t="str">
        <f t="shared" si="408"/>
        <v>2018-02</v>
      </c>
    </row>
    <row r="2037" spans="1:26" x14ac:dyDescent="0.35">
      <c r="A2037" s="1">
        <v>43158</v>
      </c>
      <c r="C2037">
        <v>3458.03</v>
      </c>
      <c r="D2037">
        <f t="shared" si="409"/>
        <v>-1.4881793647253342E-3</v>
      </c>
      <c r="E2037" t="str">
        <f t="shared" si="403"/>
        <v>2018-02</v>
      </c>
      <c r="G2037">
        <v>5343.93</v>
      </c>
      <c r="H2037">
        <f t="shared" si="410"/>
        <v>-6.1750399292067614E-5</v>
      </c>
      <c r="I2037" t="str">
        <f t="shared" si="404"/>
        <v>2018-02</v>
      </c>
      <c r="K2037">
        <v>12490.73</v>
      </c>
      <c r="L2037">
        <f t="shared" si="411"/>
        <v>-2.9027387729077376E-3</v>
      </c>
      <c r="M2037" t="str">
        <f t="shared" si="405"/>
        <v>2018-02</v>
      </c>
      <c r="O2037">
        <v>8278.9707500000004</v>
      </c>
      <c r="P2037">
        <f t="shared" si="412"/>
        <v>8.9637652665533528E-4</v>
      </c>
      <c r="Q2037" t="str">
        <f t="shared" si="406"/>
        <v>2018-02</v>
      </c>
      <c r="S2037">
        <v>9900.2000000000007</v>
      </c>
      <c r="T2037">
        <f t="shared" si="413"/>
        <v>-2.2219304627171081E-4</v>
      </c>
      <c r="U2037" t="str">
        <f t="shared" si="407"/>
        <v>2018-02</v>
      </c>
      <c r="W2037">
        <v>22724.46</v>
      </c>
      <c r="X2037">
        <f t="shared" si="414"/>
        <v>8.0342204865921699E-4</v>
      </c>
      <c r="Y2037">
        <f t="shared" si="415"/>
        <v>8.037448786036948E-4</v>
      </c>
      <c r="Z2037" t="str">
        <f t="shared" si="408"/>
        <v>2018-02</v>
      </c>
    </row>
    <row r="2038" spans="1:26" x14ac:dyDescent="0.35">
      <c r="A2038" s="1">
        <v>43159</v>
      </c>
      <c r="C2038">
        <v>3438.96</v>
      </c>
      <c r="D2038">
        <f t="shared" si="409"/>
        <v>-5.529962664137896E-3</v>
      </c>
      <c r="E2038" t="str">
        <f t="shared" si="403"/>
        <v>2018-02</v>
      </c>
      <c r="G2038">
        <v>5320.49</v>
      </c>
      <c r="H2038">
        <f t="shared" si="410"/>
        <v>-4.3959329708778113E-3</v>
      </c>
      <c r="I2038" t="str">
        <f t="shared" si="404"/>
        <v>2018-02</v>
      </c>
      <c r="K2038">
        <v>12435.85</v>
      </c>
      <c r="L2038">
        <f t="shared" si="411"/>
        <v>-4.4033388193748628E-3</v>
      </c>
      <c r="M2038" t="str">
        <f t="shared" si="405"/>
        <v>2018-02</v>
      </c>
      <c r="O2038">
        <v>8165.4418299999998</v>
      </c>
      <c r="P2038">
        <f t="shared" si="412"/>
        <v>-1.3807817480590179E-2</v>
      </c>
      <c r="Q2038" t="str">
        <f t="shared" si="406"/>
        <v>2018-02</v>
      </c>
      <c r="S2038">
        <v>9840.2999999999993</v>
      </c>
      <c r="T2038">
        <f t="shared" si="413"/>
        <v>-6.0687605523919554E-3</v>
      </c>
      <c r="U2038" t="str">
        <f t="shared" si="407"/>
        <v>2018-02</v>
      </c>
      <c r="W2038">
        <v>22607.61</v>
      </c>
      <c r="X2038">
        <f t="shared" si="414"/>
        <v>-5.1553021423811759E-3</v>
      </c>
      <c r="Y2038">
        <f t="shared" si="415"/>
        <v>-5.1420363784221296E-3</v>
      </c>
      <c r="Z2038" t="str">
        <f t="shared" si="408"/>
        <v>2018-02</v>
      </c>
    </row>
    <row r="2039" spans="1:26" x14ac:dyDescent="0.35">
      <c r="A2039" s="1">
        <v>43160</v>
      </c>
      <c r="C2039">
        <v>3399.16</v>
      </c>
      <c r="D2039">
        <f t="shared" si="409"/>
        <v>-1.1640757819792501E-2</v>
      </c>
      <c r="E2039" t="str">
        <f t="shared" si="403"/>
        <v>2018-03</v>
      </c>
      <c r="G2039">
        <v>5262.56</v>
      </c>
      <c r="H2039">
        <f t="shared" si="410"/>
        <v>-1.0947804006599227E-2</v>
      </c>
      <c r="I2039" t="str">
        <f t="shared" si="404"/>
        <v>2018-03</v>
      </c>
      <c r="K2039">
        <v>12190.94</v>
      </c>
      <c r="L2039">
        <f t="shared" si="411"/>
        <v>-1.9890377460196663E-2</v>
      </c>
      <c r="M2039" t="str">
        <f t="shared" si="405"/>
        <v>2018-03</v>
      </c>
      <c r="O2039">
        <v>8070.5384400000003</v>
      </c>
      <c r="P2039">
        <f t="shared" si="412"/>
        <v>-1.1690636388757773E-2</v>
      </c>
      <c r="Q2039" t="str">
        <f t="shared" si="406"/>
        <v>2018-03</v>
      </c>
      <c r="S2039">
        <v>9738.6</v>
      </c>
      <c r="T2039">
        <f t="shared" si="413"/>
        <v>-1.0388828247353521E-2</v>
      </c>
      <c r="U2039" t="str">
        <f t="shared" si="407"/>
        <v>2018-03</v>
      </c>
      <c r="W2039">
        <v>22448.38</v>
      </c>
      <c r="X2039">
        <f t="shared" si="414"/>
        <v>-7.0681240343618895E-3</v>
      </c>
      <c r="Y2039">
        <f t="shared" si="415"/>
        <v>-7.0432035938340918E-3</v>
      </c>
      <c r="Z2039" t="str">
        <f t="shared" si="408"/>
        <v>2018-03</v>
      </c>
    </row>
    <row r="2040" spans="1:26" x14ac:dyDescent="0.35">
      <c r="A2040" s="1">
        <v>43161</v>
      </c>
      <c r="C2040">
        <v>3324.75</v>
      </c>
      <c r="D2040">
        <f t="shared" si="409"/>
        <v>-2.213385896339199E-2</v>
      </c>
      <c r="E2040" t="str">
        <f t="shared" si="403"/>
        <v>2018-03</v>
      </c>
      <c r="G2040">
        <v>5136.58</v>
      </c>
      <c r="H2040">
        <f t="shared" si="410"/>
        <v>-2.423011200803861E-2</v>
      </c>
      <c r="I2040" t="str">
        <f t="shared" si="404"/>
        <v>2018-03</v>
      </c>
      <c r="K2040">
        <v>11913.71</v>
      </c>
      <c r="L2040">
        <f t="shared" si="411"/>
        <v>-2.3003215108427209E-2</v>
      </c>
      <c r="M2040" t="str">
        <f t="shared" si="405"/>
        <v>2018-03</v>
      </c>
      <c r="O2040">
        <v>7908.2734600000003</v>
      </c>
      <c r="P2040">
        <f t="shared" si="412"/>
        <v>-2.0310716363221036E-2</v>
      </c>
      <c r="Q2040" t="str">
        <f t="shared" si="406"/>
        <v>2018-03</v>
      </c>
      <c r="S2040">
        <v>9531.1</v>
      </c>
      <c r="T2040">
        <f t="shared" si="413"/>
        <v>-2.1537234178014755E-2</v>
      </c>
      <c r="U2040" t="str">
        <f t="shared" si="407"/>
        <v>2018-03</v>
      </c>
      <c r="W2040">
        <v>21912.14</v>
      </c>
      <c r="X2040">
        <f t="shared" si="414"/>
        <v>-2.417763009472975E-2</v>
      </c>
      <c r="Y2040">
        <f t="shared" si="415"/>
        <v>-2.3887692564006916E-2</v>
      </c>
      <c r="Z2040" t="str">
        <f t="shared" si="408"/>
        <v>2018-03</v>
      </c>
    </row>
    <row r="2041" spans="1:26" x14ac:dyDescent="0.35">
      <c r="A2041" s="1">
        <v>43164</v>
      </c>
      <c r="C2041">
        <v>3355.32</v>
      </c>
      <c r="D2041">
        <f t="shared" si="409"/>
        <v>9.1526625939300568E-3</v>
      </c>
      <c r="E2041" t="str">
        <f t="shared" si="403"/>
        <v>2018-03</v>
      </c>
      <c r="G2041">
        <v>5167.2299999999996</v>
      </c>
      <c r="H2041">
        <f t="shared" si="410"/>
        <v>5.9492732109272875E-3</v>
      </c>
      <c r="I2041" t="str">
        <f t="shared" si="404"/>
        <v>2018-03</v>
      </c>
      <c r="K2041">
        <v>12090.87</v>
      </c>
      <c r="L2041">
        <f t="shared" si="411"/>
        <v>1.4760784536501844E-2</v>
      </c>
      <c r="M2041" t="str">
        <f t="shared" si="405"/>
        <v>2018-03</v>
      </c>
      <c r="O2041">
        <v>7988.3135300000004</v>
      </c>
      <c r="P2041">
        <f t="shared" si="412"/>
        <v>1.0070180026022661E-2</v>
      </c>
      <c r="Q2041" t="str">
        <f t="shared" si="406"/>
        <v>2018-03</v>
      </c>
      <c r="S2041">
        <v>9590.7999999999993</v>
      </c>
      <c r="T2041">
        <f t="shared" si="413"/>
        <v>6.244169666550425E-3</v>
      </c>
      <c r="U2041" t="str">
        <f t="shared" si="407"/>
        <v>2018-03</v>
      </c>
      <c r="W2041">
        <v>21819.91</v>
      </c>
      <c r="X2041">
        <f t="shared" si="414"/>
        <v>-4.217965393362738E-3</v>
      </c>
      <c r="Y2041">
        <f t="shared" si="415"/>
        <v>-4.209082271288864E-3</v>
      </c>
      <c r="Z2041" t="str">
        <f t="shared" si="408"/>
        <v>2018-03</v>
      </c>
    </row>
    <row r="2042" spans="1:26" x14ac:dyDescent="0.35">
      <c r="A2042" s="1">
        <v>43165</v>
      </c>
      <c r="C2042">
        <v>3357.86</v>
      </c>
      <c r="D2042">
        <f t="shared" si="409"/>
        <v>7.5672039814388289E-4</v>
      </c>
      <c r="E2042" t="str">
        <f t="shared" si="403"/>
        <v>2018-03</v>
      </c>
      <c r="G2042">
        <v>5170.2299999999996</v>
      </c>
      <c r="H2042">
        <f t="shared" si="410"/>
        <v>5.8041338669663424E-4</v>
      </c>
      <c r="I2042" t="str">
        <f t="shared" si="404"/>
        <v>2018-03</v>
      </c>
      <c r="K2042">
        <v>12113.87</v>
      </c>
      <c r="L2042">
        <f t="shared" si="411"/>
        <v>1.9004547805495156E-3</v>
      </c>
      <c r="M2042" t="str">
        <f t="shared" si="405"/>
        <v>2018-03</v>
      </c>
      <c r="O2042">
        <v>8003.6910600000001</v>
      </c>
      <c r="P2042">
        <f t="shared" si="412"/>
        <v>1.9231528671672118E-3</v>
      </c>
      <c r="Q2042" t="str">
        <f t="shared" si="406"/>
        <v>2018-03</v>
      </c>
      <c r="S2042">
        <v>9586.7999999999993</v>
      </c>
      <c r="T2042">
        <f t="shared" si="413"/>
        <v>-4.1715335161908917E-4</v>
      </c>
      <c r="U2042" t="str">
        <f t="shared" si="407"/>
        <v>2018-03</v>
      </c>
      <c r="W2042">
        <v>22202.5</v>
      </c>
      <c r="X2042">
        <f t="shared" si="414"/>
        <v>1.7382039410382501E-2</v>
      </c>
      <c r="Y2042">
        <f t="shared" si="415"/>
        <v>1.753398616217941E-2</v>
      </c>
      <c r="Z2042" t="str">
        <f t="shared" si="408"/>
        <v>2018-03</v>
      </c>
    </row>
    <row r="2043" spans="1:26" x14ac:dyDescent="0.35">
      <c r="A2043" s="1">
        <v>43166</v>
      </c>
      <c r="C2043">
        <v>3377.36</v>
      </c>
      <c r="D2043">
        <f t="shared" si="409"/>
        <v>5.7904729126981051E-3</v>
      </c>
      <c r="E2043" t="str">
        <f t="shared" si="403"/>
        <v>2018-03</v>
      </c>
      <c r="G2043">
        <v>5187.83</v>
      </c>
      <c r="H2043">
        <f t="shared" si="410"/>
        <v>3.3983230330666783E-3</v>
      </c>
      <c r="I2043" t="str">
        <f t="shared" si="404"/>
        <v>2018-03</v>
      </c>
      <c r="K2043">
        <v>12245.36</v>
      </c>
      <c r="L2043">
        <f t="shared" si="411"/>
        <v>1.0796012610969158E-2</v>
      </c>
      <c r="M2043" t="str">
        <f t="shared" si="405"/>
        <v>2018-03</v>
      </c>
      <c r="O2043">
        <v>8015.5571399999999</v>
      </c>
      <c r="P2043">
        <f t="shared" si="412"/>
        <v>1.4814780346912612E-3</v>
      </c>
      <c r="Q2043" t="str">
        <f t="shared" si="406"/>
        <v>2018-03</v>
      </c>
      <c r="S2043">
        <v>9599.2999999999993</v>
      </c>
      <c r="T2043">
        <f t="shared" si="413"/>
        <v>1.3030268547149729E-3</v>
      </c>
      <c r="U2043" t="str">
        <f t="shared" si="407"/>
        <v>2018-03</v>
      </c>
      <c r="W2043">
        <v>22473.47</v>
      </c>
      <c r="X2043">
        <f t="shared" si="414"/>
        <v>1.2130607250310906E-2</v>
      </c>
      <c r="Y2043">
        <f t="shared" si="415"/>
        <v>1.2204481477311166E-2</v>
      </c>
      <c r="Z2043" t="str">
        <f t="shared" si="408"/>
        <v>2018-03</v>
      </c>
    </row>
    <row r="2044" spans="1:26" x14ac:dyDescent="0.35">
      <c r="A2044" s="1">
        <v>43167</v>
      </c>
      <c r="C2044">
        <v>3413.28</v>
      </c>
      <c r="D2044">
        <f t="shared" si="409"/>
        <v>1.0579366605272939E-2</v>
      </c>
      <c r="E2044" t="str">
        <f t="shared" si="403"/>
        <v>2018-03</v>
      </c>
      <c r="G2044">
        <v>5254.1</v>
      </c>
      <c r="H2044">
        <f t="shared" si="410"/>
        <v>1.2693226208511266E-2</v>
      </c>
      <c r="I2044" t="str">
        <f t="shared" si="404"/>
        <v>2018-03</v>
      </c>
      <c r="K2044">
        <v>12355.57</v>
      </c>
      <c r="L2044">
        <f t="shared" si="411"/>
        <v>8.9598838173586028E-3</v>
      </c>
      <c r="M2044" t="str">
        <f t="shared" si="405"/>
        <v>2018-03</v>
      </c>
      <c r="O2044">
        <v>8077.9901499999996</v>
      </c>
      <c r="P2044">
        <f t="shared" si="412"/>
        <v>7.7588019689006282E-3</v>
      </c>
      <c r="Q2044" t="str">
        <f t="shared" si="406"/>
        <v>2018-03</v>
      </c>
      <c r="S2044">
        <v>9646.2000000000007</v>
      </c>
      <c r="T2044">
        <f t="shared" si="413"/>
        <v>4.8738762662579342E-3</v>
      </c>
      <c r="U2044" t="str">
        <f t="shared" si="407"/>
        <v>2018-03</v>
      </c>
      <c r="W2044">
        <v>22731.1</v>
      </c>
      <c r="X2044">
        <f t="shared" si="414"/>
        <v>1.1398528485354564E-2</v>
      </c>
      <c r="Y2044">
        <f t="shared" si="415"/>
        <v>1.1463739244540224E-2</v>
      </c>
      <c r="Z2044" t="str">
        <f t="shared" si="408"/>
        <v>2018-03</v>
      </c>
    </row>
    <row r="2045" spans="1:26" x14ac:dyDescent="0.35">
      <c r="A2045" s="1">
        <v>43168</v>
      </c>
      <c r="C2045">
        <v>3420.54</v>
      </c>
      <c r="D2045">
        <f t="shared" si="409"/>
        <v>2.1247275261133585E-3</v>
      </c>
      <c r="E2045" t="str">
        <f t="shared" si="403"/>
        <v>2018-03</v>
      </c>
      <c r="G2045">
        <v>5274.4</v>
      </c>
      <c r="H2045">
        <f t="shared" si="410"/>
        <v>3.8562046171073767E-3</v>
      </c>
      <c r="I2045" t="str">
        <f t="shared" si="404"/>
        <v>2018-03</v>
      </c>
      <c r="K2045">
        <v>12346.68</v>
      </c>
      <c r="L2045">
        <f t="shared" si="411"/>
        <v>-7.197725214346726E-4</v>
      </c>
      <c r="M2045" t="str">
        <f t="shared" si="405"/>
        <v>2018-03</v>
      </c>
      <c r="O2045">
        <v>8124.2013699999998</v>
      </c>
      <c r="P2045">
        <f t="shared" si="412"/>
        <v>5.7043326824087262E-3</v>
      </c>
      <c r="Q2045" t="str">
        <f t="shared" si="406"/>
        <v>2018-03</v>
      </c>
      <c r="S2045">
        <v>9686.1</v>
      </c>
      <c r="T2045">
        <f t="shared" si="413"/>
        <v>4.1278126921388391E-3</v>
      </c>
      <c r="U2045" t="str">
        <f t="shared" si="407"/>
        <v>2018-03</v>
      </c>
      <c r="W2045">
        <v>22745.599999999999</v>
      </c>
      <c r="X2045">
        <f t="shared" si="414"/>
        <v>6.3768921189818659E-4</v>
      </c>
      <c r="Y2045">
        <f t="shared" si="415"/>
        <v>6.3789257888971506E-4</v>
      </c>
      <c r="Z2045" t="str">
        <f t="shared" si="408"/>
        <v>2018-03</v>
      </c>
    </row>
    <row r="2046" spans="1:26" x14ac:dyDescent="0.35">
      <c r="A2046" s="1">
        <v>43171</v>
      </c>
      <c r="C2046">
        <v>3429.48</v>
      </c>
      <c r="D2046">
        <f t="shared" si="409"/>
        <v>2.6102128390404584E-3</v>
      </c>
      <c r="E2046" t="str">
        <f t="shared" si="403"/>
        <v>2018-03</v>
      </c>
      <c r="G2046">
        <v>5276.71</v>
      </c>
      <c r="H2046">
        <f t="shared" si="410"/>
        <v>4.3786862934958645E-4</v>
      </c>
      <c r="I2046" t="str">
        <f t="shared" si="404"/>
        <v>2018-03</v>
      </c>
      <c r="K2046">
        <v>12418.39</v>
      </c>
      <c r="L2046">
        <f t="shared" si="411"/>
        <v>5.7912374501637035E-3</v>
      </c>
      <c r="M2046" t="str">
        <f t="shared" si="405"/>
        <v>2018-03</v>
      </c>
      <c r="O2046">
        <v>8134.0874400000002</v>
      </c>
      <c r="P2046">
        <f t="shared" si="412"/>
        <v>1.2161269041240832E-3</v>
      </c>
      <c r="Q2046" t="str">
        <f t="shared" si="406"/>
        <v>2018-03</v>
      </c>
      <c r="S2046">
        <v>9727.5</v>
      </c>
      <c r="T2046">
        <f t="shared" si="413"/>
        <v>4.2650577696004728E-3</v>
      </c>
      <c r="U2046" t="str">
        <f t="shared" si="407"/>
        <v>2018-03</v>
      </c>
      <c r="W2046">
        <v>22764.91</v>
      </c>
      <c r="X2046">
        <f t="shared" si="414"/>
        <v>8.4859524355079135E-4</v>
      </c>
      <c r="Y2046">
        <f t="shared" si="415"/>
        <v>8.4895540236359164E-4</v>
      </c>
      <c r="Z2046" t="str">
        <f t="shared" si="408"/>
        <v>2018-03</v>
      </c>
    </row>
    <row r="2047" spans="1:26" x14ac:dyDescent="0.35">
      <c r="A2047" s="1">
        <v>43172</v>
      </c>
      <c r="C2047">
        <v>3397.35</v>
      </c>
      <c r="D2047">
        <f t="shared" si="409"/>
        <v>-9.4129302281926557E-3</v>
      </c>
      <c r="E2047" t="str">
        <f t="shared" si="403"/>
        <v>2018-03</v>
      </c>
      <c r="G2047">
        <v>5242.79</v>
      </c>
      <c r="H2047">
        <f t="shared" si="410"/>
        <v>-6.4489980626050627E-3</v>
      </c>
      <c r="I2047" t="str">
        <f t="shared" si="404"/>
        <v>2018-03</v>
      </c>
      <c r="K2047">
        <v>12221.03</v>
      </c>
      <c r="L2047">
        <f t="shared" si="411"/>
        <v>-1.6020200229272218E-2</v>
      </c>
      <c r="M2047" t="str">
        <f t="shared" si="405"/>
        <v>2018-03</v>
      </c>
      <c r="O2047">
        <v>8049.0594300000002</v>
      </c>
      <c r="P2047">
        <f t="shared" si="412"/>
        <v>-1.0508313755539726E-2</v>
      </c>
      <c r="Q2047" t="str">
        <f t="shared" si="406"/>
        <v>2018-03</v>
      </c>
      <c r="S2047">
        <v>9691.7000000000007</v>
      </c>
      <c r="T2047">
        <f t="shared" si="413"/>
        <v>-3.6870767649562664E-3</v>
      </c>
      <c r="U2047" t="str">
        <f t="shared" si="407"/>
        <v>2018-03</v>
      </c>
      <c r="W2047">
        <v>22690.98</v>
      </c>
      <c r="X2047">
        <f t="shared" si="414"/>
        <v>-3.2528266496171755E-3</v>
      </c>
      <c r="Y2047">
        <f t="shared" si="415"/>
        <v>-3.2475419406446278E-3</v>
      </c>
      <c r="Z2047" t="str">
        <f t="shared" si="408"/>
        <v>2018-03</v>
      </c>
    </row>
    <row r="2048" spans="1:26" x14ac:dyDescent="0.35">
      <c r="A2048" s="1">
        <v>43173</v>
      </c>
      <c r="C2048">
        <v>3390.98</v>
      </c>
      <c r="D2048">
        <f t="shared" si="409"/>
        <v>-1.8767507972351255E-3</v>
      </c>
      <c r="E2048" t="str">
        <f t="shared" si="403"/>
        <v>2018-03</v>
      </c>
      <c r="G2048">
        <v>5233.3599999999997</v>
      </c>
      <c r="H2048">
        <f t="shared" si="410"/>
        <v>-1.8002801691256987E-3</v>
      </c>
      <c r="I2048" t="str">
        <f t="shared" si="404"/>
        <v>2018-03</v>
      </c>
      <c r="K2048">
        <v>12237.74</v>
      </c>
      <c r="L2048">
        <f t="shared" si="411"/>
        <v>1.3663812693601083E-3</v>
      </c>
      <c r="M2048" t="str">
        <f t="shared" si="405"/>
        <v>2018-03</v>
      </c>
      <c r="O2048">
        <v>8054.32</v>
      </c>
      <c r="P2048">
        <f t="shared" si="412"/>
        <v>6.5334984001304199E-4</v>
      </c>
      <c r="Q2048" t="str">
        <f t="shared" si="406"/>
        <v>2018-03</v>
      </c>
      <c r="S2048">
        <v>9688.5</v>
      </c>
      <c r="T2048">
        <f t="shared" si="413"/>
        <v>-3.3023395311521206E-4</v>
      </c>
      <c r="U2048" t="str">
        <f t="shared" si="407"/>
        <v>2018-03</v>
      </c>
      <c r="W2048">
        <v>22452.34</v>
      </c>
      <c r="X2048">
        <f t="shared" si="414"/>
        <v>-1.0572648309659193E-2</v>
      </c>
      <c r="Y2048">
        <f t="shared" si="415"/>
        <v>-1.0516954314004923E-2</v>
      </c>
      <c r="Z2048" t="str">
        <f t="shared" si="408"/>
        <v>2018-03</v>
      </c>
    </row>
    <row r="2049" spans="1:26" x14ac:dyDescent="0.35">
      <c r="A2049" s="1">
        <v>43174</v>
      </c>
      <c r="C2049">
        <v>3414.13</v>
      </c>
      <c r="D2049">
        <f t="shared" si="409"/>
        <v>6.8037369866675952E-3</v>
      </c>
      <c r="E2049" t="str">
        <f t="shared" si="403"/>
        <v>2018-03</v>
      </c>
      <c r="G2049">
        <v>5267.26</v>
      </c>
      <c r="H2049">
        <f t="shared" si="410"/>
        <v>6.4567840326263193E-3</v>
      </c>
      <c r="I2049" t="str">
        <f t="shared" si="404"/>
        <v>2018-03</v>
      </c>
      <c r="K2049">
        <v>12345.56</v>
      </c>
      <c r="L2049">
        <f t="shared" si="411"/>
        <v>8.7718647500888165E-3</v>
      </c>
      <c r="M2049" t="str">
        <f t="shared" si="405"/>
        <v>2018-03</v>
      </c>
      <c r="O2049">
        <v>8083.2386200000001</v>
      </c>
      <c r="P2049">
        <f t="shared" si="412"/>
        <v>3.5840180830789652E-3</v>
      </c>
      <c r="Q2049" t="str">
        <f t="shared" si="406"/>
        <v>2018-03</v>
      </c>
      <c r="S2049">
        <v>9684.2000000000007</v>
      </c>
      <c r="T2049">
        <f t="shared" si="413"/>
        <v>-4.4392367306730424E-4</v>
      </c>
      <c r="U2049" t="str">
        <f t="shared" si="407"/>
        <v>2018-03</v>
      </c>
      <c r="W2049">
        <v>22713.47</v>
      </c>
      <c r="X2049">
        <f t="shared" si="414"/>
        <v>1.1563300188023248E-2</v>
      </c>
      <c r="Y2049">
        <f t="shared" si="415"/>
        <v>1.1630413578272956E-2</v>
      </c>
      <c r="Z2049" t="str">
        <f t="shared" si="408"/>
        <v>2018-03</v>
      </c>
    </row>
    <row r="2050" spans="1:26" x14ac:dyDescent="0.35">
      <c r="A2050" s="1">
        <v>43175</v>
      </c>
      <c r="C2050">
        <v>3437.4</v>
      </c>
      <c r="D2050">
        <f t="shared" si="409"/>
        <v>6.7926695128760145E-3</v>
      </c>
      <c r="E2050" t="str">
        <f t="shared" si="403"/>
        <v>2018-03</v>
      </c>
      <c r="G2050">
        <v>5282.75</v>
      </c>
      <c r="H2050">
        <f t="shared" si="410"/>
        <v>2.9364922177016338E-3</v>
      </c>
      <c r="I2050" t="str">
        <f t="shared" si="404"/>
        <v>2018-03</v>
      </c>
      <c r="K2050">
        <v>12389.58</v>
      </c>
      <c r="L2050">
        <f t="shared" si="411"/>
        <v>3.559312498172585E-3</v>
      </c>
      <c r="M2050" t="str">
        <f t="shared" si="405"/>
        <v>2018-03</v>
      </c>
      <c r="O2050">
        <v>8125.4604399999998</v>
      </c>
      <c r="P2050">
        <f t="shared" si="412"/>
        <v>5.2097846152705509E-3</v>
      </c>
      <c r="Q2050" t="str">
        <f t="shared" si="406"/>
        <v>2018-03</v>
      </c>
      <c r="S2050">
        <v>9761</v>
      </c>
      <c r="T2050">
        <f t="shared" si="413"/>
        <v>7.8991627073951888E-3</v>
      </c>
      <c r="U2050" t="str">
        <f t="shared" si="407"/>
        <v>2018-03</v>
      </c>
      <c r="W2050">
        <v>22857.69</v>
      </c>
      <c r="X2050">
        <f t="shared" si="414"/>
        <v>6.3294628216328409E-3</v>
      </c>
      <c r="Y2050">
        <f t="shared" si="415"/>
        <v>6.3495362003250719E-3</v>
      </c>
      <c r="Z2050" t="str">
        <f t="shared" si="408"/>
        <v>2018-03</v>
      </c>
    </row>
    <row r="2051" spans="1:26" x14ac:dyDescent="0.35">
      <c r="A2051" s="1">
        <v>43178</v>
      </c>
      <c r="C2051">
        <v>3394.79</v>
      </c>
      <c r="D2051">
        <f t="shared" si="409"/>
        <v>-1.2473468233034609E-2</v>
      </c>
      <c r="E2051" t="str">
        <f t="shared" si="403"/>
        <v>2018-03</v>
      </c>
      <c r="G2051">
        <v>5222.84</v>
      </c>
      <c r="H2051">
        <f t="shared" si="410"/>
        <v>-1.1405480215361346E-2</v>
      </c>
      <c r="I2051" t="str">
        <f t="shared" si="404"/>
        <v>2018-03</v>
      </c>
      <c r="K2051">
        <v>12217.02</v>
      </c>
      <c r="L2051">
        <f t="shared" si="411"/>
        <v>-1.4025735277714143E-2</v>
      </c>
      <c r="M2051" t="str">
        <f t="shared" si="405"/>
        <v>2018-03</v>
      </c>
      <c r="O2051">
        <v>8011.9888000000001</v>
      </c>
      <c r="P2051">
        <f t="shared" si="412"/>
        <v>-1.4063376249155549E-2</v>
      </c>
      <c r="Q2051" t="str">
        <f t="shared" si="406"/>
        <v>2018-03</v>
      </c>
      <c r="S2051">
        <v>9664.1</v>
      </c>
      <c r="T2051">
        <f t="shared" si="413"/>
        <v>-9.9768653717866133E-3</v>
      </c>
      <c r="U2051" t="str">
        <f t="shared" si="407"/>
        <v>2018-03</v>
      </c>
      <c r="W2051">
        <v>22633.1</v>
      </c>
      <c r="X2051">
        <f t="shared" si="414"/>
        <v>-9.8741668269669586E-3</v>
      </c>
      <c r="Y2051">
        <f t="shared" si="415"/>
        <v>-9.8255773002433825E-3</v>
      </c>
      <c r="Z2051" t="str">
        <f t="shared" si="408"/>
        <v>2018-03</v>
      </c>
    </row>
    <row r="2052" spans="1:26" x14ac:dyDescent="0.35">
      <c r="A2052" s="1">
        <v>43179</v>
      </c>
      <c r="C2052">
        <v>3412.08</v>
      </c>
      <c r="D2052">
        <f t="shared" si="409"/>
        <v>5.0801725859995865E-3</v>
      </c>
      <c r="E2052" t="str">
        <f t="shared" ref="E2052:E2115" si="416">_xlfn.CONCAT(YEAR(A2052),"-",TEXT(MONTH(A2052),"00"))</f>
        <v>2018-03</v>
      </c>
      <c r="G2052">
        <v>5252.43</v>
      </c>
      <c r="H2052">
        <f t="shared" si="410"/>
        <v>5.649511411526309E-3</v>
      </c>
      <c r="I2052" t="str">
        <f t="shared" ref="I2052:I2115" si="417">_xlfn.CONCAT(YEAR(A2052),"-",TEXT(MONTH(A2052),"00"))</f>
        <v>2018-03</v>
      </c>
      <c r="K2052">
        <v>12307.33</v>
      </c>
      <c r="L2052">
        <f t="shared" si="411"/>
        <v>7.3649583553067714E-3</v>
      </c>
      <c r="M2052" t="str">
        <f t="shared" ref="M2052:M2115" si="418">_xlfn.CONCAT(YEAR(A2052),"-",TEXT(MONTH(A2052),"00"))</f>
        <v>2018-03</v>
      </c>
      <c r="O2052">
        <v>8066.7321899999997</v>
      </c>
      <c r="P2052">
        <f t="shared" si="412"/>
        <v>6.8094472893651314E-3</v>
      </c>
      <c r="Q2052" t="str">
        <f t="shared" ref="Q2052:Q2115" si="419">_xlfn.CONCAT(YEAR(A2052),"-",TEXT(MONTH(A2052),"00"))</f>
        <v>2018-03</v>
      </c>
      <c r="S2052">
        <v>9681.6</v>
      </c>
      <c r="T2052">
        <f t="shared" si="413"/>
        <v>1.8091880648785524E-3</v>
      </c>
      <c r="U2052" t="str">
        <f t="shared" ref="U2052:U2115" si="420">_xlfn.CONCAT(YEAR(A2052),"-",TEXT(MONTH(A2052),"00"))</f>
        <v>2018-03</v>
      </c>
      <c r="W2052">
        <v>22798.15</v>
      </c>
      <c r="X2052">
        <f t="shared" si="414"/>
        <v>7.2659557524123322E-3</v>
      </c>
      <c r="Y2052">
        <f t="shared" si="415"/>
        <v>7.2924168584949881E-3</v>
      </c>
      <c r="Z2052" t="str">
        <f t="shared" ref="Z2052:Z2115" si="421">_xlfn.CONCAT(YEAR(A2052),"-",TEXT(MONTH(A2052),"00"))</f>
        <v>2018-03</v>
      </c>
    </row>
    <row r="2053" spans="1:26" x14ac:dyDescent="0.35">
      <c r="A2053" s="1">
        <v>43180</v>
      </c>
      <c r="C2053">
        <v>3401.04</v>
      </c>
      <c r="D2053">
        <f t="shared" ref="D2053:D2116" si="422">LN(C2053/C2052)</f>
        <v>-3.2408088108274906E-3</v>
      </c>
      <c r="E2053" t="str">
        <f t="shared" si="416"/>
        <v>2018-03</v>
      </c>
      <c r="G2053">
        <v>5239.74</v>
      </c>
      <c r="H2053">
        <f t="shared" ref="H2053:H2116" si="423">LN(G2053/G2052)</f>
        <v>-2.4189478797539761E-3</v>
      </c>
      <c r="I2053" t="str">
        <f t="shared" si="417"/>
        <v>2018-03</v>
      </c>
      <c r="K2053">
        <v>12309.15</v>
      </c>
      <c r="L2053">
        <f t="shared" ref="L2053:L2116" si="424">LN(K2053/K2052)</f>
        <v>1.4786842012466298E-4</v>
      </c>
      <c r="M2053" t="str">
        <f t="shared" si="418"/>
        <v>2018-03</v>
      </c>
      <c r="O2053">
        <v>8070.7408500000001</v>
      </c>
      <c r="P2053">
        <f t="shared" ref="P2053:P2116" si="425">LN(O2053/O2052)</f>
        <v>4.9681385338551994E-4</v>
      </c>
      <c r="Q2053" t="str">
        <f t="shared" si="419"/>
        <v>2018-03</v>
      </c>
      <c r="S2053">
        <v>9630.9</v>
      </c>
      <c r="T2053">
        <f t="shared" ref="T2053:T2116" si="426">LN(S2053/S2052)</f>
        <v>-5.2504974988821628E-3</v>
      </c>
      <c r="U2053" t="str">
        <f t="shared" si="420"/>
        <v>2018-03</v>
      </c>
      <c r="W2053">
        <v>22820.12</v>
      </c>
      <c r="X2053">
        <f t="shared" ref="X2053:X2116" si="427">LN(W2053/W2052)</f>
        <v>9.6321064777765654E-4</v>
      </c>
      <c r="Y2053">
        <f t="shared" ref="Y2053:Y2116" si="428">(W2053-W2052)/W2052</f>
        <v>9.6367468412996338E-4</v>
      </c>
      <c r="Z2053" t="str">
        <f t="shared" si="421"/>
        <v>2018-03</v>
      </c>
    </row>
    <row r="2054" spans="1:26" x14ac:dyDescent="0.35">
      <c r="A2054" s="1">
        <v>43181</v>
      </c>
      <c r="C2054">
        <v>3348.19</v>
      </c>
      <c r="D2054">
        <f t="shared" si="422"/>
        <v>-1.5661365886910215E-2</v>
      </c>
      <c r="E2054" t="str">
        <f t="shared" si="416"/>
        <v>2018-03</v>
      </c>
      <c r="G2054">
        <v>5167.21</v>
      </c>
      <c r="H2054">
        <f t="shared" si="423"/>
        <v>-1.3938987762957518E-2</v>
      </c>
      <c r="I2054" t="str">
        <f t="shared" si="417"/>
        <v>2018-03</v>
      </c>
      <c r="K2054">
        <v>12100.08</v>
      </c>
      <c r="L2054">
        <f t="shared" si="424"/>
        <v>-1.7130824108036159E-2</v>
      </c>
      <c r="M2054" t="str">
        <f t="shared" si="418"/>
        <v>2018-03</v>
      </c>
      <c r="O2054">
        <v>7970.3592099999996</v>
      </c>
      <c r="P2054">
        <f t="shared" si="425"/>
        <v>-1.2515718992222072E-2</v>
      </c>
      <c r="Q2054" t="str">
        <f t="shared" si="419"/>
        <v>2018-03</v>
      </c>
      <c r="S2054">
        <v>9487.4</v>
      </c>
      <c r="T2054">
        <f t="shared" si="426"/>
        <v>-1.5012076905290949E-2</v>
      </c>
      <c r="U2054" t="str">
        <f t="shared" si="420"/>
        <v>2018-03</v>
      </c>
      <c r="W2054">
        <v>22397.84</v>
      </c>
      <c r="X2054">
        <f t="shared" si="427"/>
        <v>-1.8678077325207237E-2</v>
      </c>
      <c r="Y2054">
        <f t="shared" si="428"/>
        <v>-1.850472302511989E-2</v>
      </c>
      <c r="Z2054" t="str">
        <f t="shared" si="421"/>
        <v>2018-03</v>
      </c>
    </row>
    <row r="2055" spans="1:26" x14ac:dyDescent="0.35">
      <c r="A2055" s="1">
        <v>43182</v>
      </c>
      <c r="C2055">
        <v>3298.07</v>
      </c>
      <c r="D2055">
        <f t="shared" si="422"/>
        <v>-1.5082452418677656E-2</v>
      </c>
      <c r="E2055" t="str">
        <f t="shared" si="416"/>
        <v>2018-03</v>
      </c>
      <c r="G2055">
        <v>5095.22</v>
      </c>
      <c r="H2055">
        <f t="shared" si="423"/>
        <v>-1.4030045688045164E-2</v>
      </c>
      <c r="I2055" t="str">
        <f t="shared" si="417"/>
        <v>2018-03</v>
      </c>
      <c r="K2055">
        <v>11886.31</v>
      </c>
      <c r="L2055">
        <f t="shared" si="424"/>
        <v>-1.7824746442904615E-2</v>
      </c>
      <c r="M2055" t="str">
        <f t="shared" si="418"/>
        <v>2018-03</v>
      </c>
      <c r="O2055">
        <v>7923.6671200000001</v>
      </c>
      <c r="P2055">
        <f t="shared" si="425"/>
        <v>-5.8754431823998202E-3</v>
      </c>
      <c r="Q2055" t="str">
        <f t="shared" si="419"/>
        <v>2018-03</v>
      </c>
      <c r="S2055">
        <v>9393.1</v>
      </c>
      <c r="T2055">
        <f t="shared" si="426"/>
        <v>-9.9892253001263188E-3</v>
      </c>
      <c r="U2055" t="str">
        <f t="shared" si="420"/>
        <v>2018-03</v>
      </c>
      <c r="W2055">
        <v>22289.1</v>
      </c>
      <c r="X2055">
        <f t="shared" si="427"/>
        <v>-4.8667559080272657E-3</v>
      </c>
      <c r="Y2055">
        <f t="shared" si="428"/>
        <v>-4.8549324399139206E-3</v>
      </c>
      <c r="Z2055" t="str">
        <f t="shared" si="421"/>
        <v>2018-03</v>
      </c>
    </row>
    <row r="2056" spans="1:26" x14ac:dyDescent="0.35">
      <c r="A2056" s="1">
        <v>43185</v>
      </c>
      <c r="C2056">
        <v>3278.72</v>
      </c>
      <c r="D2056">
        <f t="shared" si="422"/>
        <v>-5.8843465683540725E-3</v>
      </c>
      <c r="E2056" t="str">
        <f t="shared" si="416"/>
        <v>2018-03</v>
      </c>
      <c r="G2056">
        <v>5066.28</v>
      </c>
      <c r="H2056">
        <f t="shared" si="423"/>
        <v>-5.6960248478585985E-3</v>
      </c>
      <c r="I2056" t="str">
        <f t="shared" si="417"/>
        <v>2018-03</v>
      </c>
      <c r="K2056">
        <v>11787.26</v>
      </c>
      <c r="L2056">
        <f t="shared" si="424"/>
        <v>-8.3680305073168919E-3</v>
      </c>
      <c r="M2056" t="str">
        <f t="shared" si="418"/>
        <v>2018-03</v>
      </c>
      <c r="O2056">
        <v>7872.9467400000003</v>
      </c>
      <c r="P2056">
        <f t="shared" si="425"/>
        <v>-6.4216995808010612E-3</v>
      </c>
      <c r="Q2056" t="str">
        <f t="shared" si="419"/>
        <v>2018-03</v>
      </c>
      <c r="S2056">
        <v>9381</v>
      </c>
      <c r="T2056">
        <f t="shared" si="426"/>
        <v>-1.2890100378066553E-3</v>
      </c>
      <c r="U2056" t="str">
        <f t="shared" si="420"/>
        <v>2018-03</v>
      </c>
      <c r="W2056">
        <v>22011.759999999998</v>
      </c>
      <c r="X2056">
        <f t="shared" si="427"/>
        <v>-1.2520913737671993E-2</v>
      </c>
      <c r="Y2056">
        <f t="shared" si="428"/>
        <v>-1.2442853233194709E-2</v>
      </c>
      <c r="Z2056" t="str">
        <f t="shared" si="421"/>
        <v>2018-03</v>
      </c>
    </row>
    <row r="2057" spans="1:26" x14ac:dyDescent="0.35">
      <c r="A2057" s="1">
        <v>43186</v>
      </c>
      <c r="C2057">
        <v>3316.95</v>
      </c>
      <c r="D2057">
        <f t="shared" si="422"/>
        <v>1.1592583660734523E-2</v>
      </c>
      <c r="E2057" t="str">
        <f t="shared" si="416"/>
        <v>2018-03</v>
      </c>
      <c r="G2057">
        <v>5115.74</v>
      </c>
      <c r="H2057">
        <f t="shared" si="423"/>
        <v>9.7152409888482706E-3</v>
      </c>
      <c r="I2057" t="str">
        <f t="shared" si="417"/>
        <v>2018-03</v>
      </c>
      <c r="K2057">
        <v>11970.83</v>
      </c>
      <c r="L2057">
        <f t="shared" si="424"/>
        <v>1.5453569981816986E-2</v>
      </c>
      <c r="M2057" t="str">
        <f t="shared" si="418"/>
        <v>2018-03</v>
      </c>
      <c r="O2057">
        <v>7989.7682999999997</v>
      </c>
      <c r="P2057">
        <f t="shared" si="425"/>
        <v>1.4729341322498901E-2</v>
      </c>
      <c r="Q2057" t="str">
        <f t="shared" si="419"/>
        <v>2018-03</v>
      </c>
      <c r="S2057">
        <v>9473.6</v>
      </c>
      <c r="T2057">
        <f t="shared" si="426"/>
        <v>9.8226156515606681E-3</v>
      </c>
      <c r="U2057" t="str">
        <f t="shared" si="420"/>
        <v>2018-03</v>
      </c>
      <c r="W2057">
        <v>22209.75</v>
      </c>
      <c r="X2057">
        <f t="shared" si="427"/>
        <v>8.9545256577469017E-3</v>
      </c>
      <c r="Y2057">
        <f t="shared" si="428"/>
        <v>8.9947373585756718E-3</v>
      </c>
      <c r="Z2057" t="str">
        <f t="shared" si="421"/>
        <v>2018-03</v>
      </c>
    </row>
    <row r="2058" spans="1:26" x14ac:dyDescent="0.35">
      <c r="A2058" s="1">
        <v>43187</v>
      </c>
      <c r="C2058">
        <v>3331.25</v>
      </c>
      <c r="D2058">
        <f t="shared" si="422"/>
        <v>4.3019229426375597E-3</v>
      </c>
      <c r="E2058" t="str">
        <f t="shared" si="416"/>
        <v>2018-03</v>
      </c>
      <c r="G2058">
        <v>5130.4399999999996</v>
      </c>
      <c r="H2058">
        <f t="shared" si="423"/>
        <v>2.8693640138527797E-3</v>
      </c>
      <c r="I2058" t="str">
        <f t="shared" si="417"/>
        <v>2018-03</v>
      </c>
      <c r="K2058">
        <v>11940.71</v>
      </c>
      <c r="L2058">
        <f t="shared" si="424"/>
        <v>-2.519286999539488E-3</v>
      </c>
      <c r="M2058" t="str">
        <f t="shared" si="418"/>
        <v>2018-03</v>
      </c>
      <c r="O2058">
        <v>8049.0120200000001</v>
      </c>
      <c r="P2058">
        <f t="shared" si="425"/>
        <v>7.3875928544174692E-3</v>
      </c>
      <c r="Q2058" t="str">
        <f t="shared" si="419"/>
        <v>2018-03</v>
      </c>
      <c r="S2058">
        <v>9555</v>
      </c>
      <c r="T2058">
        <f t="shared" si="426"/>
        <v>8.5555948968616263E-3</v>
      </c>
      <c r="U2058" t="str">
        <f t="shared" si="420"/>
        <v>2018-03</v>
      </c>
      <c r="W2058">
        <v>22331.360000000001</v>
      </c>
      <c r="X2058">
        <f t="shared" si="427"/>
        <v>5.4605869580049956E-3</v>
      </c>
      <c r="Y2058">
        <f t="shared" si="428"/>
        <v>5.4755231373608696E-3</v>
      </c>
      <c r="Z2058" t="str">
        <f t="shared" si="421"/>
        <v>2018-03</v>
      </c>
    </row>
    <row r="2059" spans="1:26" x14ac:dyDescent="0.35">
      <c r="A2059" s="1">
        <v>43188</v>
      </c>
      <c r="C2059">
        <v>3361.5</v>
      </c>
      <c r="D2059">
        <f t="shared" si="422"/>
        <v>9.0396939949367351E-3</v>
      </c>
      <c r="E2059" t="str">
        <f t="shared" si="416"/>
        <v>2018-03</v>
      </c>
      <c r="G2059">
        <v>5167.3</v>
      </c>
      <c r="H2059">
        <f t="shared" si="423"/>
        <v>7.1588829047088375E-3</v>
      </c>
      <c r="I2059" t="str">
        <f t="shared" si="417"/>
        <v>2018-03</v>
      </c>
      <c r="K2059">
        <v>12096.73</v>
      </c>
      <c r="L2059">
        <f t="shared" si="424"/>
        <v>1.2981597962114885E-2</v>
      </c>
      <c r="M2059" t="str">
        <f t="shared" si="418"/>
        <v>2018-03</v>
      </c>
      <c r="O2059">
        <v>8047.5553099999997</v>
      </c>
      <c r="P2059">
        <f t="shared" si="425"/>
        <v>-1.8099635457830267E-4</v>
      </c>
      <c r="Q2059" t="str">
        <f t="shared" si="419"/>
        <v>2018-03</v>
      </c>
      <c r="S2059">
        <v>9600.4</v>
      </c>
      <c r="T2059">
        <f t="shared" si="426"/>
        <v>4.740186580189344E-3</v>
      </c>
      <c r="U2059" t="str">
        <f t="shared" si="420"/>
        <v>2018-03</v>
      </c>
      <c r="W2059">
        <v>22411.15</v>
      </c>
      <c r="X2059">
        <f t="shared" si="427"/>
        <v>3.5666342627283612E-3</v>
      </c>
      <c r="Y2059">
        <f t="shared" si="428"/>
        <v>3.5730022712454983E-3</v>
      </c>
      <c r="Z2059" t="str">
        <f t="shared" si="421"/>
        <v>2018-03</v>
      </c>
    </row>
    <row r="2060" spans="1:26" x14ac:dyDescent="0.35">
      <c r="A2060" s="1">
        <v>43193</v>
      </c>
      <c r="C2060">
        <v>3346.93</v>
      </c>
      <c r="D2060">
        <f t="shared" si="422"/>
        <v>-4.3437951680394202E-3</v>
      </c>
      <c r="E2060" t="str">
        <f t="shared" si="416"/>
        <v>2018-04</v>
      </c>
      <c r="G2060">
        <v>5152.12</v>
      </c>
      <c r="H2060">
        <f t="shared" si="423"/>
        <v>-2.9420279335935847E-3</v>
      </c>
      <c r="I2060" t="str">
        <f t="shared" si="417"/>
        <v>2018-04</v>
      </c>
      <c r="K2060">
        <v>12002.45</v>
      </c>
      <c r="L2060">
        <f t="shared" si="424"/>
        <v>-7.8243725297682011E-3</v>
      </c>
      <c r="M2060" t="str">
        <f t="shared" si="418"/>
        <v>2018-04</v>
      </c>
      <c r="O2060">
        <v>8055.77124</v>
      </c>
      <c r="P2060">
        <f t="shared" si="425"/>
        <v>1.0204016775506224E-3</v>
      </c>
      <c r="Q2060" t="str">
        <f t="shared" si="419"/>
        <v>2018-04</v>
      </c>
      <c r="S2060">
        <v>9549.6</v>
      </c>
      <c r="T2060">
        <f t="shared" si="426"/>
        <v>-5.3054954737341391E-3</v>
      </c>
      <c r="U2060" t="str">
        <f t="shared" si="420"/>
        <v>2018-04</v>
      </c>
      <c r="W2060">
        <v>22510.33</v>
      </c>
      <c r="X2060">
        <f t="shared" si="427"/>
        <v>4.4157120894129419E-3</v>
      </c>
      <c r="Y2060">
        <f t="shared" si="428"/>
        <v>4.4254757118666506E-3</v>
      </c>
      <c r="Z2060" t="str">
        <f t="shared" si="421"/>
        <v>2018-04</v>
      </c>
    </row>
    <row r="2061" spans="1:26" x14ac:dyDescent="0.35">
      <c r="A2061" s="1">
        <v>43194</v>
      </c>
      <c r="C2061">
        <v>3340.35</v>
      </c>
      <c r="D2061">
        <f t="shared" si="422"/>
        <v>-1.9679158412766796E-3</v>
      </c>
      <c r="E2061" t="str">
        <f t="shared" si="416"/>
        <v>2018-04</v>
      </c>
      <c r="G2061">
        <v>5141.8</v>
      </c>
      <c r="H2061">
        <f t="shared" si="423"/>
        <v>-2.0050677404632494E-3</v>
      </c>
      <c r="I2061" t="str">
        <f t="shared" si="417"/>
        <v>2018-04</v>
      </c>
      <c r="K2061">
        <v>11957.9</v>
      </c>
      <c r="L2061">
        <f t="shared" si="424"/>
        <v>-3.7186477941855657E-3</v>
      </c>
      <c r="M2061" t="str">
        <f t="shared" si="418"/>
        <v>2018-04</v>
      </c>
      <c r="O2061">
        <v>8057.0138900000002</v>
      </c>
      <c r="P2061">
        <f t="shared" si="425"/>
        <v>1.5424397364417674E-4</v>
      </c>
      <c r="Q2061" t="str">
        <f t="shared" si="419"/>
        <v>2018-04</v>
      </c>
      <c r="S2061">
        <v>9513.2999999999993</v>
      </c>
      <c r="T2061">
        <f t="shared" si="426"/>
        <v>-3.8084492784891213E-3</v>
      </c>
      <c r="U2061" t="str">
        <f t="shared" si="420"/>
        <v>2018-04</v>
      </c>
      <c r="W2061">
        <v>22442.78</v>
      </c>
      <c r="X2061">
        <f t="shared" si="427"/>
        <v>-3.0053560629534591E-3</v>
      </c>
      <c r="Y2061">
        <f t="shared" si="428"/>
        <v>-3.0008445011691478E-3</v>
      </c>
      <c r="Z2061" t="str">
        <f t="shared" si="421"/>
        <v>2018-04</v>
      </c>
    </row>
    <row r="2062" spans="1:26" x14ac:dyDescent="0.35">
      <c r="A2062" s="1">
        <v>43195</v>
      </c>
      <c r="C2062">
        <v>3429.95</v>
      </c>
      <c r="D2062">
        <f t="shared" si="422"/>
        <v>2.647009189448566E-2</v>
      </c>
      <c r="E2062" t="str">
        <f t="shared" si="416"/>
        <v>2018-04</v>
      </c>
      <c r="G2062">
        <v>5276.67</v>
      </c>
      <c r="H2062">
        <f t="shared" si="423"/>
        <v>2.5892004220748492E-2</v>
      </c>
      <c r="I2062" t="str">
        <f t="shared" si="417"/>
        <v>2018-04</v>
      </c>
      <c r="K2062">
        <v>12305.19</v>
      </c>
      <c r="L2062">
        <f t="shared" si="424"/>
        <v>2.8628976780198004E-2</v>
      </c>
      <c r="M2062" t="str">
        <f t="shared" si="418"/>
        <v>2018-04</v>
      </c>
      <c r="O2062">
        <v>8230.3535499999998</v>
      </c>
      <c r="P2062">
        <f t="shared" si="425"/>
        <v>2.1285969693698278E-2</v>
      </c>
      <c r="Q2062" t="str">
        <f t="shared" si="419"/>
        <v>2018-04</v>
      </c>
      <c r="S2062">
        <v>9740.9</v>
      </c>
      <c r="T2062">
        <f t="shared" si="426"/>
        <v>2.3642696329462306E-2</v>
      </c>
      <c r="U2062" t="str">
        <f t="shared" si="420"/>
        <v>2018-04</v>
      </c>
      <c r="W2062">
        <v>22969.5</v>
      </c>
      <c r="X2062">
        <f t="shared" si="427"/>
        <v>2.3198290041962485E-2</v>
      </c>
      <c r="Y2062">
        <f t="shared" si="428"/>
        <v>2.3469463230491105E-2</v>
      </c>
      <c r="Z2062" t="str">
        <f t="shared" si="421"/>
        <v>2018-04</v>
      </c>
    </row>
    <row r="2063" spans="1:26" x14ac:dyDescent="0.35">
      <c r="A2063" s="1">
        <v>43196</v>
      </c>
      <c r="C2063">
        <v>3408.1</v>
      </c>
      <c r="D2063">
        <f t="shared" si="422"/>
        <v>-6.390732552539316E-3</v>
      </c>
      <c r="E2063" t="str">
        <f t="shared" si="416"/>
        <v>2018-04</v>
      </c>
      <c r="G2063">
        <v>5258.24</v>
      </c>
      <c r="H2063">
        <f t="shared" si="423"/>
        <v>-3.4988469387133895E-3</v>
      </c>
      <c r="I2063" t="str">
        <f t="shared" si="417"/>
        <v>2018-04</v>
      </c>
      <c r="K2063">
        <v>12241.27</v>
      </c>
      <c r="L2063">
        <f t="shared" si="424"/>
        <v>-5.2080947298939629E-3</v>
      </c>
      <c r="M2063" t="str">
        <f t="shared" si="418"/>
        <v>2018-04</v>
      </c>
      <c r="O2063">
        <v>8242.2262499999997</v>
      </c>
      <c r="P2063">
        <f t="shared" si="425"/>
        <v>1.4415109472906752E-3</v>
      </c>
      <c r="Q2063" t="str">
        <f t="shared" si="419"/>
        <v>2018-04</v>
      </c>
      <c r="S2063">
        <v>9682.7999999999993</v>
      </c>
      <c r="T2063">
        <f t="shared" si="426"/>
        <v>-5.9824001893405932E-3</v>
      </c>
      <c r="U2063" t="str">
        <f t="shared" si="420"/>
        <v>2018-04</v>
      </c>
      <c r="W2063">
        <v>22929.87</v>
      </c>
      <c r="X2063">
        <f t="shared" si="427"/>
        <v>-1.7268215161892911E-3</v>
      </c>
      <c r="Y2063">
        <f t="shared" si="428"/>
        <v>-1.7253314177496689E-3</v>
      </c>
      <c r="Z2063" t="str">
        <f t="shared" si="421"/>
        <v>2018-04</v>
      </c>
    </row>
    <row r="2064" spans="1:26" x14ac:dyDescent="0.35">
      <c r="A2064" s="1">
        <v>43199</v>
      </c>
      <c r="C2064">
        <v>3414.85</v>
      </c>
      <c r="D2064">
        <f t="shared" si="422"/>
        <v>1.9786169331871923E-3</v>
      </c>
      <c r="E2064" t="str">
        <f t="shared" si="416"/>
        <v>2018-04</v>
      </c>
      <c r="G2064">
        <v>5263.39</v>
      </c>
      <c r="H2064">
        <f t="shared" si="423"/>
        <v>9.7893585143691273E-4</v>
      </c>
      <c r="I2064" t="str">
        <f t="shared" si="417"/>
        <v>2018-04</v>
      </c>
      <c r="K2064">
        <v>12261.75</v>
      </c>
      <c r="L2064">
        <f t="shared" si="424"/>
        <v>1.6716310698864153E-3</v>
      </c>
      <c r="M2064" t="str">
        <f t="shared" si="418"/>
        <v>2018-04</v>
      </c>
      <c r="O2064">
        <v>8256.0311099999999</v>
      </c>
      <c r="P2064">
        <f t="shared" si="425"/>
        <v>1.673493499413065E-3</v>
      </c>
      <c r="Q2064" t="str">
        <f t="shared" si="419"/>
        <v>2018-04</v>
      </c>
      <c r="S2064">
        <v>9742.7999999999993</v>
      </c>
      <c r="T2064">
        <f t="shared" si="426"/>
        <v>6.1774350139399839E-3</v>
      </c>
      <c r="U2064" t="str">
        <f t="shared" si="420"/>
        <v>2018-04</v>
      </c>
      <c r="W2064">
        <v>23053.99</v>
      </c>
      <c r="X2064">
        <f t="shared" si="427"/>
        <v>5.3984289894752294E-3</v>
      </c>
      <c r="Y2064">
        <f t="shared" si="428"/>
        <v>5.4130267637802843E-3</v>
      </c>
      <c r="Z2064" t="str">
        <f t="shared" si="421"/>
        <v>2018-04</v>
      </c>
    </row>
    <row r="2065" spans="1:26" x14ac:dyDescent="0.35">
      <c r="A2065" s="1">
        <v>43200</v>
      </c>
      <c r="C2065">
        <v>3438.78</v>
      </c>
      <c r="D2065">
        <f t="shared" si="422"/>
        <v>6.9831891261477215E-3</v>
      </c>
      <c r="E2065" t="str">
        <f t="shared" si="416"/>
        <v>2018-04</v>
      </c>
      <c r="G2065">
        <v>5307.56</v>
      </c>
      <c r="H2065">
        <f t="shared" si="423"/>
        <v>8.3569134395201344E-3</v>
      </c>
      <c r="I2065" t="str">
        <f t="shared" si="417"/>
        <v>2018-04</v>
      </c>
      <c r="K2065">
        <v>12397.32</v>
      </c>
      <c r="L2065">
        <f t="shared" si="424"/>
        <v>1.0995659277993439E-2</v>
      </c>
      <c r="M2065" t="str">
        <f t="shared" si="418"/>
        <v>2018-04</v>
      </c>
      <c r="O2065">
        <v>8330.2630100000006</v>
      </c>
      <c r="P2065">
        <f t="shared" si="425"/>
        <v>8.9510526091282957E-3</v>
      </c>
      <c r="Q2065" t="str">
        <f t="shared" si="419"/>
        <v>2018-04</v>
      </c>
      <c r="S2065">
        <v>9763.5</v>
      </c>
      <c r="T2065">
        <f t="shared" si="426"/>
        <v>2.1223920241507334E-3</v>
      </c>
      <c r="U2065" t="str">
        <f t="shared" si="420"/>
        <v>2018-04</v>
      </c>
      <c r="W2065">
        <v>23173.68</v>
      </c>
      <c r="X2065">
        <f t="shared" si="427"/>
        <v>5.1782954864308317E-3</v>
      </c>
      <c r="Y2065">
        <f t="shared" si="428"/>
        <v>5.1917260309386221E-3</v>
      </c>
      <c r="Z2065" t="str">
        <f t="shared" si="421"/>
        <v>2018-04</v>
      </c>
    </row>
    <row r="2066" spans="1:26" x14ac:dyDescent="0.35">
      <c r="A2066" s="1">
        <v>43201</v>
      </c>
      <c r="C2066">
        <v>3419.71</v>
      </c>
      <c r="D2066">
        <f t="shared" si="422"/>
        <v>-5.5610051613699278E-3</v>
      </c>
      <c r="E2066" t="str">
        <f t="shared" si="416"/>
        <v>2018-04</v>
      </c>
      <c r="G2066">
        <v>5277.94</v>
      </c>
      <c r="H2066">
        <f t="shared" si="423"/>
        <v>-5.5963492146804119E-3</v>
      </c>
      <c r="I2066" t="str">
        <f t="shared" si="417"/>
        <v>2018-04</v>
      </c>
      <c r="K2066">
        <v>12293.97</v>
      </c>
      <c r="L2066">
        <f t="shared" si="424"/>
        <v>-8.3714219523865607E-3</v>
      </c>
      <c r="M2066" t="str">
        <f t="shared" si="418"/>
        <v>2018-04</v>
      </c>
      <c r="O2066">
        <v>8313.3104399999993</v>
      </c>
      <c r="P2066">
        <f t="shared" si="425"/>
        <v>-2.0371317389933736E-3</v>
      </c>
      <c r="Q2066" t="str">
        <f t="shared" si="419"/>
        <v>2018-04</v>
      </c>
      <c r="S2066">
        <v>9735.7999999999993</v>
      </c>
      <c r="T2066">
        <f t="shared" si="426"/>
        <v>-2.8411295413582924E-3</v>
      </c>
      <c r="U2066" t="str">
        <f t="shared" si="420"/>
        <v>2018-04</v>
      </c>
      <c r="W2066">
        <v>23012.86</v>
      </c>
      <c r="X2066">
        <f t="shared" si="427"/>
        <v>-6.9639617921990775E-3</v>
      </c>
      <c r="Y2066">
        <f t="shared" si="428"/>
        <v>-6.9397696006849021E-3</v>
      </c>
      <c r="Z2066" t="str">
        <f t="shared" si="421"/>
        <v>2018-04</v>
      </c>
    </row>
    <row r="2067" spans="1:26" x14ac:dyDescent="0.35">
      <c r="A2067" s="1">
        <v>43202</v>
      </c>
      <c r="C2067">
        <v>3443.97</v>
      </c>
      <c r="D2067">
        <f t="shared" si="422"/>
        <v>7.0691235686014342E-3</v>
      </c>
      <c r="E2067" t="str">
        <f t="shared" si="416"/>
        <v>2018-04</v>
      </c>
      <c r="G2067">
        <v>5309.22</v>
      </c>
      <c r="H2067">
        <f t="shared" si="423"/>
        <v>5.9090617345833518E-3</v>
      </c>
      <c r="I2067" t="str">
        <f t="shared" si="417"/>
        <v>2018-04</v>
      </c>
      <c r="K2067">
        <v>12415.01</v>
      </c>
      <c r="L2067">
        <f t="shared" si="424"/>
        <v>9.7973261699494767E-3</v>
      </c>
      <c r="M2067" t="str">
        <f t="shared" si="418"/>
        <v>2018-04</v>
      </c>
      <c r="O2067">
        <v>8372.3368900000005</v>
      </c>
      <c r="P2067">
        <f t="shared" si="425"/>
        <v>7.0751460892968469E-3</v>
      </c>
      <c r="Q2067" t="str">
        <f t="shared" si="419"/>
        <v>2018-04</v>
      </c>
      <c r="S2067">
        <v>9747</v>
      </c>
      <c r="T2067">
        <f t="shared" si="426"/>
        <v>1.1497321980166032E-3</v>
      </c>
      <c r="U2067" t="str">
        <f t="shared" si="420"/>
        <v>2018-04</v>
      </c>
      <c r="W2067">
        <v>23304.880000000001</v>
      </c>
      <c r="X2067">
        <f t="shared" si="427"/>
        <v>1.2609590593061803E-2</v>
      </c>
      <c r="Y2067">
        <f t="shared" si="428"/>
        <v>1.2689426694465634E-2</v>
      </c>
      <c r="Z2067" t="str">
        <f t="shared" si="421"/>
        <v>2018-04</v>
      </c>
    </row>
    <row r="2068" spans="1:26" x14ac:dyDescent="0.35">
      <c r="A2068" s="1">
        <v>43203</v>
      </c>
      <c r="C2068">
        <v>3448</v>
      </c>
      <c r="D2068">
        <f t="shared" si="422"/>
        <v>1.169477075295394E-3</v>
      </c>
      <c r="E2068" t="str">
        <f t="shared" si="416"/>
        <v>2018-04</v>
      </c>
      <c r="G2068">
        <v>5315.02</v>
      </c>
      <c r="H2068">
        <f t="shared" si="423"/>
        <v>1.091842913223412E-3</v>
      </c>
      <c r="I2068" t="str">
        <f t="shared" si="417"/>
        <v>2018-04</v>
      </c>
      <c r="K2068">
        <v>12442.4</v>
      </c>
      <c r="L2068">
        <f t="shared" si="424"/>
        <v>2.2037703111624746E-3</v>
      </c>
      <c r="M2068" t="str">
        <f t="shared" si="418"/>
        <v>2018-04</v>
      </c>
      <c r="O2068">
        <v>8387.6178899999995</v>
      </c>
      <c r="P2068">
        <f t="shared" si="425"/>
        <v>1.8235137785219048E-3</v>
      </c>
      <c r="Q2068" t="str">
        <f t="shared" si="419"/>
        <v>2018-04</v>
      </c>
      <c r="S2068">
        <v>9767.2999999999993</v>
      </c>
      <c r="T2068">
        <f t="shared" si="426"/>
        <v>2.0805263137832447E-3</v>
      </c>
      <c r="U2068" t="str">
        <f t="shared" si="420"/>
        <v>2018-04</v>
      </c>
      <c r="W2068">
        <v>23330.32</v>
      </c>
      <c r="X2068">
        <f t="shared" si="427"/>
        <v>1.0910214826350779E-3</v>
      </c>
      <c r="Y2068">
        <f t="shared" si="428"/>
        <v>1.0916168630775481E-3</v>
      </c>
      <c r="Z2068" t="str">
        <f t="shared" si="421"/>
        <v>2018-04</v>
      </c>
    </row>
    <row r="2069" spans="1:26" x14ac:dyDescent="0.35">
      <c r="A2069" s="1">
        <v>43206</v>
      </c>
      <c r="C2069">
        <v>3441.04</v>
      </c>
      <c r="D2069">
        <f t="shared" si="422"/>
        <v>-2.0206015259141372E-3</v>
      </c>
      <c r="E2069" t="str">
        <f t="shared" si="416"/>
        <v>2018-04</v>
      </c>
      <c r="G2069">
        <v>5312.96</v>
      </c>
      <c r="H2069">
        <f t="shared" si="423"/>
        <v>-3.8765598463636028E-4</v>
      </c>
      <c r="I2069" t="str">
        <f t="shared" si="417"/>
        <v>2018-04</v>
      </c>
      <c r="K2069">
        <v>12391.41</v>
      </c>
      <c r="L2069">
        <f t="shared" si="424"/>
        <v>-4.1065041292717508E-3</v>
      </c>
      <c r="M2069" t="str">
        <f t="shared" si="418"/>
        <v>2018-04</v>
      </c>
      <c r="O2069">
        <v>8327.0786599999992</v>
      </c>
      <c r="P2069">
        <f t="shared" si="425"/>
        <v>-7.2438640503520923E-3</v>
      </c>
      <c r="Q2069" t="str">
        <f t="shared" si="419"/>
        <v>2018-04</v>
      </c>
      <c r="S2069">
        <v>9766.1</v>
      </c>
      <c r="T2069">
        <f t="shared" si="426"/>
        <v>-1.2286647501295032E-4</v>
      </c>
      <c r="U2069" t="str">
        <f t="shared" si="420"/>
        <v>2018-04</v>
      </c>
      <c r="W2069">
        <v>23329.31</v>
      </c>
      <c r="X2069">
        <f t="shared" si="427"/>
        <v>-4.3292242144023709E-5</v>
      </c>
      <c r="Y2069">
        <f t="shared" si="428"/>
        <v>-4.3291305048469086E-5</v>
      </c>
      <c r="Z2069" t="str">
        <f t="shared" si="421"/>
        <v>2018-04</v>
      </c>
    </row>
    <row r="2070" spans="1:26" x14ac:dyDescent="0.35">
      <c r="A2070" s="1">
        <v>43207</v>
      </c>
      <c r="C2070">
        <v>3477.91</v>
      </c>
      <c r="D2070">
        <f t="shared" si="422"/>
        <v>1.0657787380974233E-2</v>
      </c>
      <c r="E2070" t="str">
        <f t="shared" si="416"/>
        <v>2018-04</v>
      </c>
      <c r="G2070">
        <v>5353.54</v>
      </c>
      <c r="H2070">
        <f t="shared" si="423"/>
        <v>7.6089055984446584E-3</v>
      </c>
      <c r="I2070" t="str">
        <f t="shared" si="417"/>
        <v>2018-04</v>
      </c>
      <c r="K2070">
        <v>12585.57</v>
      </c>
      <c r="L2070">
        <f t="shared" si="424"/>
        <v>1.5547428956988102E-2</v>
      </c>
      <c r="M2070" t="str">
        <f t="shared" si="418"/>
        <v>2018-04</v>
      </c>
      <c r="O2070">
        <v>8356.6007599999994</v>
      </c>
      <c r="P2070">
        <f t="shared" si="425"/>
        <v>3.5390431654864431E-3</v>
      </c>
      <c r="Q2070" t="str">
        <f t="shared" si="419"/>
        <v>2018-04</v>
      </c>
      <c r="S2070">
        <v>9803.9</v>
      </c>
      <c r="T2070">
        <f t="shared" si="426"/>
        <v>3.8630605016026754E-3</v>
      </c>
      <c r="U2070" t="str">
        <f t="shared" si="420"/>
        <v>2018-04</v>
      </c>
      <c r="W2070">
        <v>23649.040000000001</v>
      </c>
      <c r="X2070">
        <f t="shared" si="427"/>
        <v>1.3612012205586893E-2</v>
      </c>
      <c r="Y2070">
        <f t="shared" si="428"/>
        <v>1.3705077432637294E-2</v>
      </c>
      <c r="Z2070" t="str">
        <f t="shared" si="421"/>
        <v>2018-04</v>
      </c>
    </row>
    <row r="2071" spans="1:26" x14ac:dyDescent="0.35">
      <c r="A2071" s="1">
        <v>43208</v>
      </c>
      <c r="C2071">
        <v>3490.89</v>
      </c>
      <c r="D2071">
        <f t="shared" si="422"/>
        <v>3.7251793738501456E-3</v>
      </c>
      <c r="E2071" t="str">
        <f t="shared" si="416"/>
        <v>2018-04</v>
      </c>
      <c r="G2071">
        <v>5380.17</v>
      </c>
      <c r="H2071">
        <f t="shared" si="423"/>
        <v>4.9619478517524407E-3</v>
      </c>
      <c r="I2071" t="str">
        <f t="shared" si="417"/>
        <v>2018-04</v>
      </c>
      <c r="K2071">
        <v>12590.83</v>
      </c>
      <c r="L2071">
        <f t="shared" si="424"/>
        <v>4.1785164491620394E-4</v>
      </c>
      <c r="M2071" t="str">
        <f t="shared" si="418"/>
        <v>2018-04</v>
      </c>
      <c r="O2071">
        <v>8394.5658399999993</v>
      </c>
      <c r="P2071">
        <f t="shared" si="425"/>
        <v>4.5328359404444045E-3</v>
      </c>
      <c r="Q2071" t="str">
        <f t="shared" si="419"/>
        <v>2018-04</v>
      </c>
      <c r="S2071">
        <v>9857.2999999999993</v>
      </c>
      <c r="T2071">
        <f t="shared" si="426"/>
        <v>5.4320317484127054E-3</v>
      </c>
      <c r="U2071" t="str">
        <f t="shared" si="420"/>
        <v>2018-04</v>
      </c>
      <c r="W2071">
        <v>23759.88</v>
      </c>
      <c r="X2071">
        <f t="shared" si="427"/>
        <v>4.6759218287473698E-3</v>
      </c>
      <c r="Y2071">
        <f t="shared" si="428"/>
        <v>4.6868710104088851E-3</v>
      </c>
      <c r="Z2071" t="str">
        <f t="shared" si="421"/>
        <v>2018-04</v>
      </c>
    </row>
    <row r="2072" spans="1:26" x14ac:dyDescent="0.35">
      <c r="A2072" s="1">
        <v>43209</v>
      </c>
      <c r="C2072">
        <v>3486.6</v>
      </c>
      <c r="D2072">
        <f t="shared" si="422"/>
        <v>-1.2296687033790995E-3</v>
      </c>
      <c r="E2072" t="str">
        <f t="shared" si="416"/>
        <v>2018-04</v>
      </c>
      <c r="G2072">
        <v>5391.64</v>
      </c>
      <c r="H2072">
        <f t="shared" si="423"/>
        <v>2.1296336149688334E-3</v>
      </c>
      <c r="I2072" t="str">
        <f t="shared" si="417"/>
        <v>2018-04</v>
      </c>
      <c r="K2072">
        <v>12567.42</v>
      </c>
      <c r="L2072">
        <f t="shared" si="424"/>
        <v>-1.8610202821348408E-3</v>
      </c>
      <c r="M2072" t="str">
        <f t="shared" si="418"/>
        <v>2018-04</v>
      </c>
      <c r="O2072">
        <v>8426.0317200000009</v>
      </c>
      <c r="P2072">
        <f t="shared" si="425"/>
        <v>3.7413553938282283E-3</v>
      </c>
      <c r="Q2072" t="str">
        <f t="shared" si="419"/>
        <v>2018-04</v>
      </c>
      <c r="S2072">
        <v>9868</v>
      </c>
      <c r="T2072">
        <f t="shared" si="426"/>
        <v>1.0849012232515077E-3</v>
      </c>
      <c r="U2072" t="str">
        <f t="shared" si="420"/>
        <v>2018-04</v>
      </c>
      <c r="W2072">
        <v>23792.04</v>
      </c>
      <c r="X2072">
        <f t="shared" si="427"/>
        <v>1.3526269771367793E-3</v>
      </c>
      <c r="Y2072">
        <f t="shared" si="428"/>
        <v>1.3535421896070121E-3</v>
      </c>
      <c r="Z2072" t="str">
        <f t="shared" si="421"/>
        <v>2018-04</v>
      </c>
    </row>
    <row r="2073" spans="1:26" x14ac:dyDescent="0.35">
      <c r="A2073" s="1">
        <v>43210</v>
      </c>
      <c r="C2073">
        <v>3494.2</v>
      </c>
      <c r="D2073">
        <f t="shared" si="422"/>
        <v>2.1774017312292922E-3</v>
      </c>
      <c r="E2073" t="str">
        <f t="shared" si="416"/>
        <v>2018-04</v>
      </c>
      <c r="G2073">
        <v>5412.83</v>
      </c>
      <c r="H2073">
        <f t="shared" si="423"/>
        <v>3.9224556444695993E-3</v>
      </c>
      <c r="I2073" t="str">
        <f t="shared" si="417"/>
        <v>2018-04</v>
      </c>
      <c r="K2073">
        <v>12540.5</v>
      </c>
      <c r="L2073">
        <f t="shared" si="424"/>
        <v>-2.1443441205261909E-3</v>
      </c>
      <c r="M2073" t="str">
        <f t="shared" si="418"/>
        <v>2018-04</v>
      </c>
      <c r="O2073">
        <v>8410.7507800000003</v>
      </c>
      <c r="P2073">
        <f t="shared" si="425"/>
        <v>-1.8151857928631759E-3</v>
      </c>
      <c r="Q2073" t="str">
        <f t="shared" si="419"/>
        <v>2018-04</v>
      </c>
      <c r="S2073">
        <v>9884.2000000000007</v>
      </c>
      <c r="T2073">
        <f t="shared" si="426"/>
        <v>1.6403239773185665E-3</v>
      </c>
      <c r="U2073" t="str">
        <f t="shared" si="420"/>
        <v>2018-04</v>
      </c>
      <c r="W2073">
        <v>23829.34</v>
      </c>
      <c r="X2073">
        <f t="shared" si="427"/>
        <v>1.5665235920435188E-3</v>
      </c>
      <c r="Y2073">
        <f t="shared" si="428"/>
        <v>1.567751231083979E-3</v>
      </c>
      <c r="Z2073" t="str">
        <f t="shared" si="421"/>
        <v>2018-04</v>
      </c>
    </row>
    <row r="2074" spans="1:26" x14ac:dyDescent="0.35">
      <c r="A2074" s="1">
        <v>43213</v>
      </c>
      <c r="C2074">
        <v>3513.06</v>
      </c>
      <c r="D2074">
        <f t="shared" si="422"/>
        <v>5.383001498931006E-3</v>
      </c>
      <c r="E2074" t="str">
        <f t="shared" si="416"/>
        <v>2018-04</v>
      </c>
      <c r="G2074">
        <v>5438.55</v>
      </c>
      <c r="H2074">
        <f t="shared" si="423"/>
        <v>4.7404197740872909E-3</v>
      </c>
      <c r="I2074" t="str">
        <f t="shared" si="417"/>
        <v>2018-04</v>
      </c>
      <c r="K2074">
        <v>12572.39</v>
      </c>
      <c r="L2074">
        <f t="shared" si="424"/>
        <v>2.5397329531981366E-3</v>
      </c>
      <c r="M2074" t="str">
        <f t="shared" si="418"/>
        <v>2018-04</v>
      </c>
      <c r="O2074">
        <v>8444.6916099999999</v>
      </c>
      <c r="P2074">
        <f t="shared" si="425"/>
        <v>4.0272898318187153E-3</v>
      </c>
      <c r="Q2074" t="str">
        <f t="shared" si="419"/>
        <v>2018-04</v>
      </c>
      <c r="S2074">
        <v>9922</v>
      </c>
      <c r="T2074">
        <f t="shared" si="426"/>
        <v>3.8169912344284112E-3</v>
      </c>
      <c r="U2074" t="str">
        <f t="shared" si="420"/>
        <v>2018-04</v>
      </c>
      <c r="W2074">
        <v>23982.52</v>
      </c>
      <c r="X2074">
        <f t="shared" si="427"/>
        <v>6.4076371052131384E-3</v>
      </c>
      <c r="Y2074">
        <f t="shared" si="428"/>
        <v>6.428209929439938E-3</v>
      </c>
      <c r="Z2074" t="str">
        <f t="shared" si="421"/>
        <v>2018-04</v>
      </c>
    </row>
    <row r="2075" spans="1:26" x14ac:dyDescent="0.35">
      <c r="A2075" s="1">
        <v>43214</v>
      </c>
      <c r="C2075">
        <v>3510.88</v>
      </c>
      <c r="D2075">
        <f t="shared" si="422"/>
        <v>-6.2073425171569534E-4</v>
      </c>
      <c r="E2075" t="str">
        <f t="shared" si="416"/>
        <v>2018-04</v>
      </c>
      <c r="G2075">
        <v>5444.16</v>
      </c>
      <c r="H2075">
        <f t="shared" si="423"/>
        <v>1.030993290628523E-3</v>
      </c>
      <c r="I2075" t="str">
        <f t="shared" si="417"/>
        <v>2018-04</v>
      </c>
      <c r="K2075">
        <v>12550.82</v>
      </c>
      <c r="L2075">
        <f t="shared" si="424"/>
        <v>-1.7171376826480122E-3</v>
      </c>
      <c r="M2075" t="str">
        <f t="shared" si="418"/>
        <v>2018-04</v>
      </c>
      <c r="O2075">
        <v>8478.4589300000007</v>
      </c>
      <c r="P2075">
        <f t="shared" si="425"/>
        <v>3.9906712090646366E-3</v>
      </c>
      <c r="Q2075" t="str">
        <f t="shared" si="419"/>
        <v>2018-04</v>
      </c>
      <c r="S2075">
        <v>9883.4</v>
      </c>
      <c r="T2075">
        <f t="shared" si="426"/>
        <v>-3.8979317634190041E-3</v>
      </c>
      <c r="U2075" t="str">
        <f t="shared" si="420"/>
        <v>2018-04</v>
      </c>
      <c r="W2075">
        <v>24035.49</v>
      </c>
      <c r="X2075">
        <f t="shared" si="427"/>
        <v>2.206256422798555E-3</v>
      </c>
      <c r="Y2075">
        <f t="shared" si="428"/>
        <v>2.2086919973381097E-3</v>
      </c>
      <c r="Z2075" t="str">
        <f t="shared" si="421"/>
        <v>2018-04</v>
      </c>
    </row>
    <row r="2076" spans="1:26" x14ac:dyDescent="0.35">
      <c r="A2076" s="1">
        <v>43215</v>
      </c>
      <c r="C2076">
        <v>3485.83</v>
      </c>
      <c r="D2076">
        <f t="shared" si="422"/>
        <v>-7.1605388912669874E-3</v>
      </c>
      <c r="E2076" t="str">
        <f t="shared" si="416"/>
        <v>2018-04</v>
      </c>
      <c r="G2076">
        <v>5413.3</v>
      </c>
      <c r="H2076">
        <f t="shared" si="423"/>
        <v>-5.6845861006398291E-3</v>
      </c>
      <c r="I2076" t="str">
        <f t="shared" si="417"/>
        <v>2018-04</v>
      </c>
      <c r="K2076">
        <v>12422.3</v>
      </c>
      <c r="L2076">
        <f t="shared" si="424"/>
        <v>-1.0292757542876885E-2</v>
      </c>
      <c r="M2076" t="str">
        <f t="shared" si="418"/>
        <v>2018-04</v>
      </c>
      <c r="O2076">
        <v>8440.9488799999999</v>
      </c>
      <c r="P2076">
        <f t="shared" si="425"/>
        <v>-4.4339745073325642E-3</v>
      </c>
      <c r="Q2076" t="str">
        <f t="shared" si="419"/>
        <v>2018-04</v>
      </c>
      <c r="S2076">
        <v>9858</v>
      </c>
      <c r="T2076">
        <f t="shared" si="426"/>
        <v>-2.5732738322521019E-3</v>
      </c>
      <c r="U2076" t="str">
        <f t="shared" si="420"/>
        <v>2018-04</v>
      </c>
      <c r="W2076">
        <v>23801.200000000001</v>
      </c>
      <c r="X2076">
        <f t="shared" si="427"/>
        <v>-9.7954884993897724E-3</v>
      </c>
      <c r="Y2076">
        <f t="shared" si="428"/>
        <v>-9.7476689678471645E-3</v>
      </c>
      <c r="Z2076" t="str">
        <f t="shared" si="421"/>
        <v>2018-04</v>
      </c>
    </row>
    <row r="2077" spans="1:26" x14ac:dyDescent="0.35">
      <c r="A2077" s="1">
        <v>43216</v>
      </c>
      <c r="C2077">
        <v>3506.03</v>
      </c>
      <c r="D2077">
        <f t="shared" si="422"/>
        <v>5.7781638081187544E-3</v>
      </c>
      <c r="E2077" t="str">
        <f t="shared" si="416"/>
        <v>2018-04</v>
      </c>
      <c r="G2077">
        <v>5453.58</v>
      </c>
      <c r="H2077">
        <f t="shared" si="423"/>
        <v>7.413385346385532E-3</v>
      </c>
      <c r="I2077" t="str">
        <f t="shared" si="417"/>
        <v>2018-04</v>
      </c>
      <c r="K2077">
        <v>12500.47</v>
      </c>
      <c r="L2077">
        <f t="shared" si="424"/>
        <v>6.2729990555351767E-3</v>
      </c>
      <c r="M2077" t="str">
        <f t="shared" si="418"/>
        <v>2018-04</v>
      </c>
      <c r="O2077">
        <v>8525.5253100000009</v>
      </c>
      <c r="P2077">
        <f t="shared" si="425"/>
        <v>9.9699123837387587E-3</v>
      </c>
      <c r="Q2077" t="str">
        <f t="shared" si="419"/>
        <v>2018-04</v>
      </c>
      <c r="S2077">
        <v>9902.2999999999993</v>
      </c>
      <c r="T2077">
        <f t="shared" si="426"/>
        <v>4.483745106818213E-3</v>
      </c>
      <c r="U2077" t="str">
        <f t="shared" si="420"/>
        <v>2018-04</v>
      </c>
      <c r="W2077">
        <v>24039.63</v>
      </c>
      <c r="X2077">
        <f t="shared" si="427"/>
        <v>9.9677189591466115E-3</v>
      </c>
      <c r="Y2077">
        <f t="shared" si="428"/>
        <v>1.0017562139724059E-2</v>
      </c>
      <c r="Z2077" t="str">
        <f t="shared" si="421"/>
        <v>2018-04</v>
      </c>
    </row>
    <row r="2078" spans="1:26" x14ac:dyDescent="0.35">
      <c r="A2078" s="1">
        <v>43217</v>
      </c>
      <c r="C2078">
        <v>3518.78</v>
      </c>
      <c r="D2078">
        <f t="shared" si="422"/>
        <v>3.6299954021299036E-3</v>
      </c>
      <c r="E2078" t="str">
        <f t="shared" si="416"/>
        <v>2018-04</v>
      </c>
      <c r="G2078">
        <v>5483.19</v>
      </c>
      <c r="H2078">
        <f t="shared" si="423"/>
        <v>5.4147746266094855E-3</v>
      </c>
      <c r="I2078" t="str">
        <f t="shared" si="417"/>
        <v>2018-04</v>
      </c>
      <c r="K2078">
        <v>12580.87</v>
      </c>
      <c r="L2078">
        <f t="shared" si="424"/>
        <v>6.4111626723259473E-3</v>
      </c>
      <c r="M2078" t="str">
        <f t="shared" si="418"/>
        <v>2018-04</v>
      </c>
      <c r="O2078">
        <v>8534.2207199999993</v>
      </c>
      <c r="P2078">
        <f t="shared" si="425"/>
        <v>1.0194068232578992E-3</v>
      </c>
      <c r="Q2078" t="str">
        <f t="shared" si="419"/>
        <v>2018-04</v>
      </c>
      <c r="S2078">
        <v>9925.4</v>
      </c>
      <c r="T2078">
        <f t="shared" si="426"/>
        <v>2.3300746381376466E-3</v>
      </c>
      <c r="U2078" t="str">
        <f t="shared" si="420"/>
        <v>2018-04</v>
      </c>
      <c r="W2078">
        <v>23927.61</v>
      </c>
      <c r="X2078">
        <f t="shared" si="427"/>
        <v>-4.6706962354606E-3</v>
      </c>
      <c r="Y2078">
        <f t="shared" si="428"/>
        <v>-4.6598054961744595E-3</v>
      </c>
      <c r="Z2078" t="str">
        <f t="shared" si="421"/>
        <v>2018-04</v>
      </c>
    </row>
    <row r="2079" spans="1:26" x14ac:dyDescent="0.35">
      <c r="A2079" s="1">
        <v>43220</v>
      </c>
      <c r="C2079">
        <v>3536.52</v>
      </c>
      <c r="D2079">
        <f t="shared" si="422"/>
        <v>5.0288541624336144E-3</v>
      </c>
      <c r="E2079" t="str">
        <f t="shared" si="416"/>
        <v>2018-04</v>
      </c>
      <c r="G2079">
        <v>5520.5</v>
      </c>
      <c r="H2079">
        <f t="shared" si="423"/>
        <v>6.7813875130636019E-3</v>
      </c>
      <c r="I2079" t="str">
        <f t="shared" si="417"/>
        <v>2018-04</v>
      </c>
      <c r="K2079">
        <v>12612.11</v>
      </c>
      <c r="L2079">
        <f t="shared" si="424"/>
        <v>2.4800572232644312E-3</v>
      </c>
      <c r="M2079" t="str">
        <f t="shared" si="418"/>
        <v>2018-04</v>
      </c>
      <c r="O2079">
        <v>8541.8985599999996</v>
      </c>
      <c r="P2079">
        <f t="shared" si="425"/>
        <v>8.9924887399716593E-4</v>
      </c>
      <c r="Q2079" t="str">
        <f t="shared" si="419"/>
        <v>2018-04</v>
      </c>
      <c r="S2079">
        <v>9980.6</v>
      </c>
      <c r="T2079">
        <f t="shared" si="426"/>
        <v>5.5460807285623087E-3</v>
      </c>
      <c r="U2079" t="str">
        <f t="shared" si="420"/>
        <v>2018-04</v>
      </c>
      <c r="W2079">
        <v>23979.37</v>
      </c>
      <c r="X2079">
        <f t="shared" si="427"/>
        <v>2.1608550628832361E-3</v>
      </c>
      <c r="Y2079">
        <f t="shared" si="428"/>
        <v>2.1631913927048457E-3</v>
      </c>
      <c r="Z2079" t="str">
        <f t="shared" si="421"/>
        <v>2018-04</v>
      </c>
    </row>
    <row r="2080" spans="1:26" x14ac:dyDescent="0.35">
      <c r="A2080" s="1">
        <v>43222</v>
      </c>
      <c r="C2080">
        <v>3553.79</v>
      </c>
      <c r="D2080">
        <f t="shared" si="422"/>
        <v>4.8714468486829509E-3</v>
      </c>
      <c r="E2080" t="str">
        <f t="shared" si="416"/>
        <v>2018-05</v>
      </c>
      <c r="G2080">
        <v>5529.22</v>
      </c>
      <c r="H2080">
        <f t="shared" si="423"/>
        <v>1.5783208642747818E-3</v>
      </c>
      <c r="I2080" t="str">
        <f t="shared" si="417"/>
        <v>2018-05</v>
      </c>
      <c r="K2080">
        <v>12802.25</v>
      </c>
      <c r="L2080">
        <f t="shared" si="424"/>
        <v>1.4963473230874189E-2</v>
      </c>
      <c r="M2080" t="str">
        <f t="shared" si="418"/>
        <v>2018-05</v>
      </c>
      <c r="O2080">
        <v>8573.1648000000005</v>
      </c>
      <c r="P2080">
        <f t="shared" si="425"/>
        <v>3.6536557445268169E-3</v>
      </c>
      <c r="Q2080" t="str">
        <f t="shared" si="419"/>
        <v>2018-05</v>
      </c>
      <c r="S2080">
        <v>10088.9</v>
      </c>
      <c r="T2080">
        <f t="shared" si="426"/>
        <v>1.0792600835303269E-2</v>
      </c>
      <c r="U2080" t="str">
        <f t="shared" si="420"/>
        <v>2018-05</v>
      </c>
      <c r="W2080">
        <v>24265.61</v>
      </c>
      <c r="X2080">
        <f t="shared" si="427"/>
        <v>1.1866244269409628E-2</v>
      </c>
      <c r="Y2080">
        <f t="shared" si="428"/>
        <v>1.1936927450554439E-2</v>
      </c>
      <c r="Z2080" t="str">
        <f t="shared" si="421"/>
        <v>2018-05</v>
      </c>
    </row>
    <row r="2081" spans="1:26" x14ac:dyDescent="0.35">
      <c r="A2081" s="1">
        <v>43223</v>
      </c>
      <c r="C2081">
        <v>3529.12</v>
      </c>
      <c r="D2081">
        <f t="shared" si="422"/>
        <v>-6.9660915533798764E-3</v>
      </c>
      <c r="E2081" t="str">
        <f t="shared" si="416"/>
        <v>2018-05</v>
      </c>
      <c r="G2081">
        <v>5501.66</v>
      </c>
      <c r="H2081">
        <f t="shared" si="423"/>
        <v>-4.9968918790308531E-3</v>
      </c>
      <c r="I2081" t="str">
        <f t="shared" si="417"/>
        <v>2018-05</v>
      </c>
      <c r="K2081">
        <v>12690.15</v>
      </c>
      <c r="L2081">
        <f t="shared" si="424"/>
        <v>-8.7948347404518141E-3</v>
      </c>
      <c r="M2081" t="str">
        <f t="shared" si="418"/>
        <v>2018-05</v>
      </c>
      <c r="O2081">
        <v>8500.29493</v>
      </c>
      <c r="P2081">
        <f t="shared" si="425"/>
        <v>-8.5360921129004064E-3</v>
      </c>
      <c r="Q2081" t="str">
        <f t="shared" si="419"/>
        <v>2018-05</v>
      </c>
      <c r="S2081">
        <v>10038.799999999999</v>
      </c>
      <c r="T2081">
        <f t="shared" si="426"/>
        <v>-4.9782243840881327E-3</v>
      </c>
      <c r="U2081" t="str">
        <f t="shared" si="420"/>
        <v>2018-05</v>
      </c>
      <c r="W2081">
        <v>24064.46</v>
      </c>
      <c r="X2081">
        <f t="shared" si="427"/>
        <v>-8.3240583542049489E-3</v>
      </c>
      <c r="Y2081">
        <f t="shared" si="428"/>
        <v>-8.2895093096774179E-3</v>
      </c>
      <c r="Z2081" t="str">
        <f t="shared" si="421"/>
        <v>2018-05</v>
      </c>
    </row>
    <row r="2082" spans="1:26" x14ac:dyDescent="0.35">
      <c r="A2082" s="1">
        <v>43224</v>
      </c>
      <c r="C2082">
        <v>3550.59</v>
      </c>
      <c r="D2082">
        <f t="shared" si="422"/>
        <v>6.0652387790606256E-3</v>
      </c>
      <c r="E2082" t="str">
        <f t="shared" si="416"/>
        <v>2018-05</v>
      </c>
      <c r="G2082">
        <v>5516.05</v>
      </c>
      <c r="H2082">
        <f t="shared" si="423"/>
        <v>2.612159547195595E-3</v>
      </c>
      <c r="I2082" t="str">
        <f t="shared" si="417"/>
        <v>2018-05</v>
      </c>
      <c r="K2082">
        <v>12819.6</v>
      </c>
      <c r="L2082">
        <f t="shared" si="424"/>
        <v>1.0149147770298969E-2</v>
      </c>
      <c r="M2082" t="str">
        <f t="shared" si="418"/>
        <v>2018-05</v>
      </c>
      <c r="O2082">
        <v>8568.4592900000007</v>
      </c>
      <c r="P2082">
        <f t="shared" si="425"/>
        <v>7.9870764427995549E-3</v>
      </c>
      <c r="Q2082" t="str">
        <f t="shared" si="419"/>
        <v>2018-05</v>
      </c>
      <c r="S2082">
        <v>10104.1</v>
      </c>
      <c r="T2082">
        <f t="shared" si="426"/>
        <v>6.4836968617619723E-3</v>
      </c>
      <c r="U2082" t="str">
        <f t="shared" si="420"/>
        <v>2018-05</v>
      </c>
      <c r="W2082">
        <v>24335.02</v>
      </c>
      <c r="X2082">
        <f t="shared" si="427"/>
        <v>1.1180401870380073E-2</v>
      </c>
      <c r="Y2082">
        <f t="shared" si="428"/>
        <v>1.1243136143507949E-2</v>
      </c>
      <c r="Z2082" t="str">
        <f t="shared" si="421"/>
        <v>2018-05</v>
      </c>
    </row>
    <row r="2083" spans="1:26" x14ac:dyDescent="0.35">
      <c r="A2083" s="1">
        <v>43228</v>
      </c>
      <c r="C2083">
        <v>3557.88</v>
      </c>
      <c r="D2083">
        <f t="shared" si="422"/>
        <v>2.0510750008642378E-3</v>
      </c>
      <c r="E2083" t="str">
        <f t="shared" si="416"/>
        <v>2018-05</v>
      </c>
      <c r="G2083">
        <v>5521.93</v>
      </c>
      <c r="H2083">
        <f t="shared" si="423"/>
        <v>1.0654124316589063E-3</v>
      </c>
      <c r="I2083" t="str">
        <f t="shared" si="417"/>
        <v>2018-05</v>
      </c>
      <c r="K2083">
        <v>12912.21</v>
      </c>
      <c r="L2083">
        <f t="shared" si="424"/>
        <v>7.1981255781518394E-3</v>
      </c>
      <c r="M2083" t="str">
        <f t="shared" si="418"/>
        <v>2018-05</v>
      </c>
      <c r="O2083">
        <v>8626.7381700000005</v>
      </c>
      <c r="P2083">
        <f t="shared" si="425"/>
        <v>6.7785325859361272E-3</v>
      </c>
      <c r="Q2083" t="str">
        <f t="shared" si="419"/>
        <v>2018-05</v>
      </c>
      <c r="S2083">
        <v>10168.1</v>
      </c>
      <c r="T2083">
        <f t="shared" si="426"/>
        <v>6.3140865448775736E-3</v>
      </c>
      <c r="U2083" t="str">
        <f t="shared" si="420"/>
        <v>2018-05</v>
      </c>
      <c r="W2083">
        <v>24142.54</v>
      </c>
      <c r="X2083">
        <f t="shared" si="427"/>
        <v>-7.9410354597898546E-3</v>
      </c>
      <c r="Y2083">
        <f t="shared" si="428"/>
        <v>-7.909588732616598E-3</v>
      </c>
      <c r="Z2083" t="str">
        <f t="shared" si="421"/>
        <v>2018-05</v>
      </c>
    </row>
    <row r="2084" spans="1:26" x14ac:dyDescent="0.35">
      <c r="A2084" s="1">
        <v>43229</v>
      </c>
      <c r="C2084">
        <v>3569.74</v>
      </c>
      <c r="D2084">
        <f t="shared" si="422"/>
        <v>3.3279021456594955E-3</v>
      </c>
      <c r="E2084" t="str">
        <f t="shared" si="416"/>
        <v>2018-05</v>
      </c>
      <c r="G2084">
        <v>5534.63</v>
      </c>
      <c r="H2084">
        <f t="shared" si="423"/>
        <v>2.297279729924486E-3</v>
      </c>
      <c r="I2084" t="str">
        <f t="shared" si="417"/>
        <v>2018-05</v>
      </c>
      <c r="K2084">
        <v>12943.06</v>
      </c>
      <c r="L2084">
        <f t="shared" si="424"/>
        <v>2.3863618241219578E-3</v>
      </c>
      <c r="M2084" t="str">
        <f t="shared" si="418"/>
        <v>2018-05</v>
      </c>
      <c r="O2084">
        <v>8763.2598999999991</v>
      </c>
      <c r="P2084">
        <f t="shared" si="425"/>
        <v>1.5701500856435183E-2</v>
      </c>
      <c r="Q2084" t="str">
        <f t="shared" si="419"/>
        <v>2018-05</v>
      </c>
      <c r="S2084">
        <v>10221.200000000001</v>
      </c>
      <c r="T2084">
        <f t="shared" si="426"/>
        <v>5.2086260979286167E-3</v>
      </c>
      <c r="U2084" t="str">
        <f t="shared" si="420"/>
        <v>2018-05</v>
      </c>
      <c r="W2084">
        <v>24266.560000000001</v>
      </c>
      <c r="X2084">
        <f t="shared" si="427"/>
        <v>5.1238412336679631E-3</v>
      </c>
      <c r="Y2084">
        <f t="shared" si="428"/>
        <v>5.1369905569173925E-3</v>
      </c>
      <c r="Z2084" t="str">
        <f t="shared" si="421"/>
        <v>2018-05</v>
      </c>
    </row>
    <row r="2085" spans="1:26" x14ac:dyDescent="0.35">
      <c r="A2085" s="1">
        <v>43230</v>
      </c>
      <c r="C2085">
        <v>3569.71</v>
      </c>
      <c r="D2085">
        <f t="shared" si="422"/>
        <v>-8.4040087121009068E-6</v>
      </c>
      <c r="E2085" t="str">
        <f t="shared" si="416"/>
        <v>2018-05</v>
      </c>
      <c r="G2085">
        <v>5545.95</v>
      </c>
      <c r="H2085">
        <f t="shared" si="423"/>
        <v>2.0432150551973798E-3</v>
      </c>
      <c r="I2085" t="str">
        <f t="shared" si="417"/>
        <v>2018-05</v>
      </c>
      <c r="K2085">
        <v>13022.87</v>
      </c>
      <c r="L2085">
        <f t="shared" si="424"/>
        <v>6.1473054368248407E-3</v>
      </c>
      <c r="M2085" t="str">
        <f t="shared" si="418"/>
        <v>2018-05</v>
      </c>
      <c r="O2085">
        <v>8727.6797900000001</v>
      </c>
      <c r="P2085">
        <f t="shared" si="425"/>
        <v>-4.0684102406511619E-3</v>
      </c>
      <c r="Q2085" t="str">
        <f t="shared" si="419"/>
        <v>2018-05</v>
      </c>
      <c r="S2085">
        <v>10246.6</v>
      </c>
      <c r="T2085">
        <f t="shared" si="426"/>
        <v>2.4819485278153521E-3</v>
      </c>
      <c r="U2085" t="str">
        <f t="shared" si="420"/>
        <v>2018-05</v>
      </c>
      <c r="W2085">
        <v>24033.9</v>
      </c>
      <c r="X2085">
        <f t="shared" si="427"/>
        <v>-9.6339372122616861E-3</v>
      </c>
      <c r="Y2085">
        <f t="shared" si="428"/>
        <v>-9.5876795062835377E-3</v>
      </c>
      <c r="Z2085" t="str">
        <f t="shared" si="421"/>
        <v>2018-05</v>
      </c>
    </row>
    <row r="2086" spans="1:26" x14ac:dyDescent="0.35">
      <c r="A2086" s="1">
        <v>43231</v>
      </c>
      <c r="C2086">
        <v>3565.52</v>
      </c>
      <c r="D2086">
        <f t="shared" si="422"/>
        <v>-1.1744542170666911E-3</v>
      </c>
      <c r="E2086" t="str">
        <f t="shared" si="416"/>
        <v>2018-05</v>
      </c>
      <c r="G2086">
        <v>5541.94</v>
      </c>
      <c r="H2086">
        <f t="shared" si="423"/>
        <v>-7.2331168055043689E-4</v>
      </c>
      <c r="I2086" t="str">
        <f t="shared" si="417"/>
        <v>2018-05</v>
      </c>
      <c r="K2086">
        <v>13001.24</v>
      </c>
      <c r="L2086">
        <f t="shared" si="424"/>
        <v>-1.6623050687053847E-3</v>
      </c>
      <c r="M2086" t="str">
        <f t="shared" si="418"/>
        <v>2018-05</v>
      </c>
      <c r="O2086">
        <v>8754.2316100000007</v>
      </c>
      <c r="P2086">
        <f t="shared" si="425"/>
        <v>3.037635852181204E-3</v>
      </c>
      <c r="Q2086" t="str">
        <f t="shared" si="419"/>
        <v>2018-05</v>
      </c>
      <c r="S2086">
        <v>10271.4</v>
      </c>
      <c r="T2086">
        <f t="shared" si="426"/>
        <v>2.4173907863475142E-3</v>
      </c>
      <c r="U2086" t="str">
        <f t="shared" si="420"/>
        <v>2018-05</v>
      </c>
      <c r="W2086">
        <v>24159.34</v>
      </c>
      <c r="X2086">
        <f t="shared" si="427"/>
        <v>5.2057211044666957E-3</v>
      </c>
      <c r="Y2086">
        <f t="shared" si="428"/>
        <v>5.2192944133078144E-3</v>
      </c>
      <c r="Z2086" t="str">
        <f t="shared" si="421"/>
        <v>2018-05</v>
      </c>
    </row>
    <row r="2087" spans="1:26" x14ac:dyDescent="0.35">
      <c r="A2087" s="1">
        <v>43234</v>
      </c>
      <c r="C2087">
        <v>3565.74</v>
      </c>
      <c r="D2087">
        <f t="shared" si="422"/>
        <v>6.1700176425921597E-5</v>
      </c>
      <c r="E2087" t="str">
        <f t="shared" si="416"/>
        <v>2018-05</v>
      </c>
      <c r="G2087">
        <v>5540.68</v>
      </c>
      <c r="H2087">
        <f t="shared" si="423"/>
        <v>-2.2738305661085042E-4</v>
      </c>
      <c r="I2087" t="str">
        <f t="shared" si="417"/>
        <v>2018-05</v>
      </c>
      <c r="K2087">
        <v>12977.71</v>
      </c>
      <c r="L2087">
        <f t="shared" si="424"/>
        <v>-1.8114670865685082E-3</v>
      </c>
      <c r="M2087" t="str">
        <f t="shared" si="418"/>
        <v>2018-05</v>
      </c>
      <c r="O2087">
        <v>8746.3220000000001</v>
      </c>
      <c r="P2087">
        <f t="shared" si="425"/>
        <v>-9.039268945239485E-4</v>
      </c>
      <c r="Q2087" t="str">
        <f t="shared" si="419"/>
        <v>2018-05</v>
      </c>
      <c r="S2087">
        <v>10257.799999999999</v>
      </c>
      <c r="T2087">
        <f t="shared" si="426"/>
        <v>-1.324942227610945E-3</v>
      </c>
      <c r="U2087" t="str">
        <f t="shared" si="420"/>
        <v>2018-05</v>
      </c>
      <c r="W2087">
        <v>24221.47</v>
      </c>
      <c r="X2087">
        <f t="shared" si="427"/>
        <v>2.568375112100865E-3</v>
      </c>
      <c r="Y2087">
        <f t="shared" si="428"/>
        <v>2.5716762130091725E-3</v>
      </c>
      <c r="Z2087" t="str">
        <f t="shared" si="421"/>
        <v>2018-05</v>
      </c>
    </row>
    <row r="2088" spans="1:26" x14ac:dyDescent="0.35">
      <c r="A2088" s="1">
        <v>43235</v>
      </c>
      <c r="C2088">
        <v>3564.29</v>
      </c>
      <c r="D2088">
        <f t="shared" si="422"/>
        <v>-4.0673041207096888E-4</v>
      </c>
      <c r="E2088" t="str">
        <f t="shared" si="416"/>
        <v>2018-05</v>
      </c>
      <c r="G2088">
        <v>5553.16</v>
      </c>
      <c r="H2088">
        <f t="shared" si="423"/>
        <v>2.2498981893596731E-3</v>
      </c>
      <c r="I2088" t="str">
        <f t="shared" si="417"/>
        <v>2018-05</v>
      </c>
      <c r="K2088">
        <v>12970.04</v>
      </c>
      <c r="L2088">
        <f t="shared" si="424"/>
        <v>-5.9118807784015628E-4</v>
      </c>
      <c r="M2088" t="str">
        <f t="shared" si="418"/>
        <v>2018-05</v>
      </c>
      <c r="O2088">
        <v>8798.1833499999993</v>
      </c>
      <c r="P2088">
        <f t="shared" si="425"/>
        <v>5.9119935294498667E-3</v>
      </c>
      <c r="Q2088" t="str">
        <f t="shared" si="419"/>
        <v>2018-05</v>
      </c>
      <c r="S2088">
        <v>10207.6</v>
      </c>
      <c r="T2088">
        <f t="shared" si="426"/>
        <v>-4.9058509173339144E-3</v>
      </c>
      <c r="U2088" t="str">
        <f t="shared" si="420"/>
        <v>2018-05</v>
      </c>
      <c r="W2088">
        <v>24297.17</v>
      </c>
      <c r="X2088">
        <f t="shared" si="427"/>
        <v>3.1204527342750116E-3</v>
      </c>
      <c r="Y2088">
        <f t="shared" si="428"/>
        <v>3.1253264149532249E-3</v>
      </c>
      <c r="Z2088" t="str">
        <f t="shared" si="421"/>
        <v>2018-05</v>
      </c>
    </row>
    <row r="2089" spans="1:26" x14ac:dyDescent="0.35">
      <c r="A2089" s="1">
        <v>43236</v>
      </c>
      <c r="C2089">
        <v>3562.85</v>
      </c>
      <c r="D2089">
        <f t="shared" si="422"/>
        <v>-4.040891632813896E-4</v>
      </c>
      <c r="E2089" t="str">
        <f t="shared" si="416"/>
        <v>2018-05</v>
      </c>
      <c r="G2089">
        <v>5567.54</v>
      </c>
      <c r="H2089">
        <f t="shared" si="423"/>
        <v>2.5861695783142803E-3</v>
      </c>
      <c r="I2089" t="str">
        <f t="shared" si="417"/>
        <v>2018-05</v>
      </c>
      <c r="K2089">
        <v>12996.33</v>
      </c>
      <c r="L2089">
        <f t="shared" si="424"/>
        <v>2.0249275492216423E-3</v>
      </c>
      <c r="M2089" t="str">
        <f t="shared" si="418"/>
        <v>2018-05</v>
      </c>
      <c r="O2089">
        <v>8837.4021499999999</v>
      </c>
      <c r="P2089">
        <f t="shared" si="425"/>
        <v>4.4476963526025263E-3</v>
      </c>
      <c r="Q2089" t="str">
        <f t="shared" si="419"/>
        <v>2018-05</v>
      </c>
      <c r="S2089">
        <v>10111</v>
      </c>
      <c r="T2089">
        <f t="shared" si="426"/>
        <v>-9.5086007724437087E-3</v>
      </c>
      <c r="U2089" t="str">
        <f t="shared" si="420"/>
        <v>2018-05</v>
      </c>
      <c r="W2089">
        <v>23734.22</v>
      </c>
      <c r="X2089">
        <f t="shared" si="427"/>
        <v>-2.3441994056523533E-2</v>
      </c>
      <c r="Y2089">
        <f t="shared" si="428"/>
        <v>-2.3169364991889884E-2</v>
      </c>
      <c r="Z2089" t="str">
        <f t="shared" si="421"/>
        <v>2018-05</v>
      </c>
    </row>
    <row r="2090" spans="1:26" x14ac:dyDescent="0.35">
      <c r="A2090" s="1">
        <v>43237</v>
      </c>
      <c r="C2090">
        <v>3592.18</v>
      </c>
      <c r="D2090">
        <f t="shared" si="422"/>
        <v>8.1984741599757799E-3</v>
      </c>
      <c r="E2090" t="str">
        <f t="shared" si="416"/>
        <v>2018-05</v>
      </c>
      <c r="G2090">
        <v>5621.92</v>
      </c>
      <c r="H2090">
        <f t="shared" si="423"/>
        <v>9.7199378948528894E-3</v>
      </c>
      <c r="I2090" t="str">
        <f t="shared" si="417"/>
        <v>2018-05</v>
      </c>
      <c r="K2090">
        <v>13114.61</v>
      </c>
      <c r="L2090">
        <f t="shared" si="424"/>
        <v>9.0598660213420407E-3</v>
      </c>
      <c r="M2090" t="str">
        <f t="shared" si="418"/>
        <v>2018-05</v>
      </c>
      <c r="O2090">
        <v>8916.0876399999997</v>
      </c>
      <c r="P2090">
        <f t="shared" si="425"/>
        <v>8.8642859696676114E-3</v>
      </c>
      <c r="Q2090" t="str">
        <f t="shared" si="419"/>
        <v>2018-05</v>
      </c>
      <c r="S2090">
        <v>10216.4</v>
      </c>
      <c r="T2090">
        <f t="shared" si="426"/>
        <v>1.0370332122282919E-2</v>
      </c>
      <c r="U2090" t="str">
        <f t="shared" si="420"/>
        <v>2018-05</v>
      </c>
      <c r="W2090">
        <v>23801.99</v>
      </c>
      <c r="X2090">
        <f t="shared" si="427"/>
        <v>2.8513020248663173E-3</v>
      </c>
      <c r="Y2090">
        <f t="shared" si="428"/>
        <v>2.8553708527181611E-3</v>
      </c>
      <c r="Z2090" t="str">
        <f t="shared" si="421"/>
        <v>2018-05</v>
      </c>
    </row>
    <row r="2091" spans="1:26" x14ac:dyDescent="0.35">
      <c r="A2091" s="1">
        <v>43238</v>
      </c>
      <c r="C2091">
        <v>3573.76</v>
      </c>
      <c r="D2091">
        <f t="shared" si="422"/>
        <v>-5.1409977113436858E-3</v>
      </c>
      <c r="E2091" t="str">
        <f t="shared" si="416"/>
        <v>2018-05</v>
      </c>
      <c r="G2091">
        <v>5614.51</v>
      </c>
      <c r="H2091">
        <f t="shared" si="423"/>
        <v>-1.3189244402677961E-3</v>
      </c>
      <c r="I2091" t="str">
        <f t="shared" si="417"/>
        <v>2018-05</v>
      </c>
      <c r="K2091">
        <v>13077.72</v>
      </c>
      <c r="L2091">
        <f t="shared" si="424"/>
        <v>-2.8168570258955122E-3</v>
      </c>
      <c r="M2091" t="str">
        <f t="shared" si="418"/>
        <v>2018-05</v>
      </c>
      <c r="O2091">
        <v>8899.66453</v>
      </c>
      <c r="P2091">
        <f t="shared" si="425"/>
        <v>-1.8436622260185713E-3</v>
      </c>
      <c r="Q2091" t="str">
        <f t="shared" si="419"/>
        <v>2018-05</v>
      </c>
      <c r="S2091">
        <v>10112.4</v>
      </c>
      <c r="T2091">
        <f t="shared" si="426"/>
        <v>-1.0231878647374059E-2</v>
      </c>
      <c r="U2091" t="str">
        <f t="shared" si="420"/>
        <v>2018-05</v>
      </c>
      <c r="W2091">
        <v>23449.65</v>
      </c>
      <c r="X2091">
        <f t="shared" si="427"/>
        <v>-1.4913621219628323E-2</v>
      </c>
      <c r="Y2091">
        <f t="shared" si="428"/>
        <v>-1.4802963953854284E-2</v>
      </c>
      <c r="Z2091" t="str">
        <f t="shared" si="421"/>
        <v>2018-05</v>
      </c>
    </row>
    <row r="2092" spans="1:26" x14ac:dyDescent="0.35">
      <c r="A2092" s="1">
        <v>43242</v>
      </c>
      <c r="C2092">
        <v>3587.25</v>
      </c>
      <c r="D2092">
        <f t="shared" si="422"/>
        <v>3.7676294147269188E-3</v>
      </c>
      <c r="E2092" t="str">
        <f t="shared" si="416"/>
        <v>2018-05</v>
      </c>
      <c r="G2092">
        <v>5640.1</v>
      </c>
      <c r="H2092">
        <f t="shared" si="423"/>
        <v>4.5474777178654549E-3</v>
      </c>
      <c r="I2092" t="str">
        <f t="shared" si="417"/>
        <v>2018-05</v>
      </c>
      <c r="K2092">
        <v>13169.92</v>
      </c>
      <c r="L2092">
        <f t="shared" si="424"/>
        <v>7.0254224168414103E-3</v>
      </c>
      <c r="M2092" t="str">
        <f t="shared" si="418"/>
        <v>2018-05</v>
      </c>
      <c r="O2092">
        <v>8979.1164599999993</v>
      </c>
      <c r="P2092">
        <f t="shared" si="425"/>
        <v>8.8879049492490338E-3</v>
      </c>
      <c r="Q2092" t="str">
        <f t="shared" si="419"/>
        <v>2018-05</v>
      </c>
      <c r="S2092">
        <v>10138.799999999999</v>
      </c>
      <c r="T2092">
        <f t="shared" si="426"/>
        <v>2.6072543804914507E-3</v>
      </c>
      <c r="U2092" t="str">
        <f t="shared" si="420"/>
        <v>2018-05</v>
      </c>
      <c r="W2092">
        <v>23216.57</v>
      </c>
      <c r="X2092">
        <f t="shared" si="427"/>
        <v>-9.9893215342532447E-3</v>
      </c>
      <c r="Y2092">
        <f t="shared" si="428"/>
        <v>-9.9395939811469138E-3</v>
      </c>
      <c r="Z2092" t="str">
        <f t="shared" si="421"/>
        <v>2018-05</v>
      </c>
    </row>
    <row r="2093" spans="1:26" x14ac:dyDescent="0.35">
      <c r="A2093" s="1">
        <v>43243</v>
      </c>
      <c r="C2093">
        <v>3541.82</v>
      </c>
      <c r="D2093">
        <f t="shared" si="422"/>
        <v>-1.2745172923524194E-2</v>
      </c>
      <c r="E2093" t="str">
        <f t="shared" si="416"/>
        <v>2018-05</v>
      </c>
      <c r="G2093">
        <v>5565.85</v>
      </c>
      <c r="H2093">
        <f t="shared" si="423"/>
        <v>-1.3252082443928542E-2</v>
      </c>
      <c r="I2093" t="str">
        <f t="shared" si="417"/>
        <v>2018-05</v>
      </c>
      <c r="K2093">
        <v>12976.84</v>
      </c>
      <c r="L2093">
        <f t="shared" si="424"/>
        <v>-1.4769211152163595E-2</v>
      </c>
      <c r="M2093" t="str">
        <f t="shared" si="418"/>
        <v>2018-05</v>
      </c>
      <c r="O2093">
        <v>8884.1368999999995</v>
      </c>
      <c r="P2093">
        <f t="shared" si="425"/>
        <v>-1.0634172079706211E-2</v>
      </c>
      <c r="Q2093" t="str">
        <f t="shared" si="419"/>
        <v>2018-05</v>
      </c>
      <c r="S2093">
        <v>10025</v>
      </c>
      <c r="T2093">
        <f t="shared" si="426"/>
        <v>-1.1287674772029466E-2</v>
      </c>
      <c r="U2093" t="str">
        <f t="shared" si="420"/>
        <v>2018-05</v>
      </c>
      <c r="W2093">
        <v>22911.71</v>
      </c>
      <c r="X2093">
        <f t="shared" si="427"/>
        <v>-1.3218114298288409E-2</v>
      </c>
      <c r="Y2093">
        <f t="shared" si="428"/>
        <v>-1.3131138665186139E-2</v>
      </c>
      <c r="Z2093" t="str">
        <f t="shared" si="421"/>
        <v>2018-05</v>
      </c>
    </row>
    <row r="2094" spans="1:26" x14ac:dyDescent="0.35">
      <c r="A2094" s="1">
        <v>43244</v>
      </c>
      <c r="C2094">
        <v>3521.76</v>
      </c>
      <c r="D2094">
        <f t="shared" si="422"/>
        <v>-5.6798546711978029E-3</v>
      </c>
      <c r="E2094" t="str">
        <f t="shared" si="416"/>
        <v>2018-05</v>
      </c>
      <c r="G2094">
        <v>5548.45</v>
      </c>
      <c r="H2094">
        <f t="shared" si="423"/>
        <v>-3.1311039319660513E-3</v>
      </c>
      <c r="I2094" t="str">
        <f t="shared" si="417"/>
        <v>2018-05</v>
      </c>
      <c r="K2094">
        <v>12855.09</v>
      </c>
      <c r="L2094">
        <f t="shared" si="424"/>
        <v>-9.4263883128294611E-3</v>
      </c>
      <c r="M2094" t="str">
        <f t="shared" si="418"/>
        <v>2018-05</v>
      </c>
      <c r="O2094">
        <v>8805.3186499999993</v>
      </c>
      <c r="P2094">
        <f t="shared" si="425"/>
        <v>-8.9113846804989259E-3</v>
      </c>
      <c r="Q2094" t="str">
        <f t="shared" si="419"/>
        <v>2018-05</v>
      </c>
      <c r="S2094">
        <v>9996</v>
      </c>
      <c r="T2094">
        <f t="shared" si="426"/>
        <v>-2.8969602199269808E-3</v>
      </c>
      <c r="U2094" t="str">
        <f t="shared" si="420"/>
        <v>2018-05</v>
      </c>
      <c r="W2094">
        <v>22749.08</v>
      </c>
      <c r="X2094">
        <f t="shared" si="427"/>
        <v>-7.1234285564091065E-3</v>
      </c>
      <c r="Y2094">
        <f t="shared" si="428"/>
        <v>-7.0981170763769873E-3</v>
      </c>
      <c r="Z2094" t="str">
        <f t="shared" si="421"/>
        <v>2018-05</v>
      </c>
    </row>
    <row r="2095" spans="1:26" x14ac:dyDescent="0.35">
      <c r="A2095" s="1">
        <v>43245</v>
      </c>
      <c r="C2095">
        <v>3515.36</v>
      </c>
      <c r="D2095">
        <f t="shared" si="422"/>
        <v>-1.8189264257337946E-3</v>
      </c>
      <c r="E2095" t="str">
        <f t="shared" si="416"/>
        <v>2018-05</v>
      </c>
      <c r="G2095">
        <v>5542.55</v>
      </c>
      <c r="H2095">
        <f t="shared" si="423"/>
        <v>-1.0639258058850862E-3</v>
      </c>
      <c r="I2095" t="str">
        <f t="shared" si="417"/>
        <v>2018-05</v>
      </c>
      <c r="K2095">
        <v>12938.01</v>
      </c>
      <c r="L2095">
        <f t="shared" si="424"/>
        <v>6.4296486782778016E-3</v>
      </c>
      <c r="M2095" t="str">
        <f t="shared" si="418"/>
        <v>2018-05</v>
      </c>
      <c r="O2095">
        <v>8828.0712399999993</v>
      </c>
      <c r="P2095">
        <f t="shared" si="425"/>
        <v>2.5806271816061267E-3</v>
      </c>
      <c r="Q2095" t="str">
        <f t="shared" si="419"/>
        <v>2018-05</v>
      </c>
      <c r="S2095">
        <v>9826.5</v>
      </c>
      <c r="T2095">
        <f t="shared" si="426"/>
        <v>-1.7102195114802238E-2</v>
      </c>
      <c r="U2095" t="str">
        <f t="shared" si="420"/>
        <v>2018-05</v>
      </c>
      <c r="W2095">
        <v>22398.15</v>
      </c>
      <c r="X2095">
        <f t="shared" si="427"/>
        <v>-1.5546338854221761E-2</v>
      </c>
      <c r="Y2095">
        <f t="shared" si="428"/>
        <v>-1.5426118330939109E-2</v>
      </c>
      <c r="Z2095" t="str">
        <f t="shared" si="421"/>
        <v>2018-05</v>
      </c>
    </row>
    <row r="2096" spans="1:26" x14ac:dyDescent="0.35">
      <c r="A2096" s="1">
        <v>43249</v>
      </c>
      <c r="C2096">
        <v>3428.14</v>
      </c>
      <c r="D2096">
        <f t="shared" si="422"/>
        <v>-2.5124098184302182E-2</v>
      </c>
      <c r="E2096" t="str">
        <f t="shared" si="416"/>
        <v>2018-05</v>
      </c>
      <c r="G2096">
        <v>5438.06</v>
      </c>
      <c r="H2096">
        <f t="shared" si="423"/>
        <v>-1.903230404986065E-2</v>
      </c>
      <c r="I2096" t="str">
        <f t="shared" si="417"/>
        <v>2018-05</v>
      </c>
      <c r="K2096">
        <v>12666.51</v>
      </c>
      <c r="L2096">
        <f t="shared" si="424"/>
        <v>-2.1207987977749788E-2</v>
      </c>
      <c r="M2096" t="str">
        <f t="shared" si="418"/>
        <v>2018-05</v>
      </c>
      <c r="O2096">
        <v>8755.1259399999999</v>
      </c>
      <c r="P2096">
        <f t="shared" si="425"/>
        <v>-8.2972075826542643E-3</v>
      </c>
      <c r="Q2096" t="str">
        <f t="shared" si="419"/>
        <v>2018-05</v>
      </c>
      <c r="S2096">
        <v>9521.2999999999993</v>
      </c>
      <c r="T2096">
        <f t="shared" si="426"/>
        <v>-3.1551423755514806E-2</v>
      </c>
      <c r="U2096" t="str">
        <f t="shared" si="420"/>
        <v>2018-05</v>
      </c>
      <c r="W2096">
        <v>21350.880000000001</v>
      </c>
      <c r="X2096">
        <f t="shared" si="427"/>
        <v>-4.7885409540798736E-2</v>
      </c>
      <c r="Y2096">
        <f t="shared" si="428"/>
        <v>-4.6756986626127622E-2</v>
      </c>
      <c r="Z2096" t="str">
        <f t="shared" si="421"/>
        <v>2018-05</v>
      </c>
    </row>
    <row r="2097" spans="1:26" x14ac:dyDescent="0.35">
      <c r="A2097" s="1">
        <v>43250</v>
      </c>
      <c r="C2097">
        <v>3441.19</v>
      </c>
      <c r="D2097">
        <f t="shared" si="422"/>
        <v>3.7995017561767621E-3</v>
      </c>
      <c r="E2097" t="str">
        <f t="shared" si="416"/>
        <v>2018-05</v>
      </c>
      <c r="G2097">
        <v>5427.35</v>
      </c>
      <c r="H2097">
        <f t="shared" si="423"/>
        <v>-1.9713942628226525E-3</v>
      </c>
      <c r="I2097" t="str">
        <f t="shared" si="417"/>
        <v>2018-05</v>
      </c>
      <c r="K2097">
        <v>12783.76</v>
      </c>
      <c r="L2097">
        <f t="shared" si="424"/>
        <v>9.2141128201277296E-3</v>
      </c>
      <c r="M2097" t="str">
        <f t="shared" si="418"/>
        <v>2018-05</v>
      </c>
      <c r="O2097">
        <v>8762.8398899999993</v>
      </c>
      <c r="P2097">
        <f t="shared" si="425"/>
        <v>8.806902095193571E-4</v>
      </c>
      <c r="Q2097" t="str">
        <f t="shared" si="419"/>
        <v>2018-05</v>
      </c>
      <c r="S2097">
        <v>9566.2000000000007</v>
      </c>
      <c r="T2097">
        <f t="shared" si="426"/>
        <v>4.7046583174652924E-3</v>
      </c>
      <c r="U2097" t="str">
        <f t="shared" si="420"/>
        <v>2018-05</v>
      </c>
      <c r="W2097">
        <v>21797.82</v>
      </c>
      <c r="X2097">
        <f t="shared" si="427"/>
        <v>2.0717008170911579E-2</v>
      </c>
      <c r="Y2097">
        <f t="shared" si="428"/>
        <v>2.0933095029338308E-2</v>
      </c>
      <c r="Z2097" t="str">
        <f t="shared" si="421"/>
        <v>2018-05</v>
      </c>
    </row>
    <row r="2098" spans="1:26" x14ac:dyDescent="0.35">
      <c r="A2098" s="1">
        <v>43251</v>
      </c>
      <c r="C2098">
        <v>3406.65</v>
      </c>
      <c r="D2098">
        <f t="shared" si="422"/>
        <v>-1.0087938070222608E-2</v>
      </c>
      <c r="E2098" t="str">
        <f t="shared" si="416"/>
        <v>2018-05</v>
      </c>
      <c r="G2098">
        <v>5398.4</v>
      </c>
      <c r="H2098">
        <f t="shared" si="423"/>
        <v>-5.348371985262973E-3</v>
      </c>
      <c r="I2098" t="str">
        <f t="shared" si="417"/>
        <v>2018-05</v>
      </c>
      <c r="K2098">
        <v>12604.89</v>
      </c>
      <c r="L2098">
        <f t="shared" si="424"/>
        <v>-1.4090781474812014E-2</v>
      </c>
      <c r="M2098" t="str">
        <f t="shared" si="418"/>
        <v>2018-05</v>
      </c>
      <c r="O2098">
        <v>8745.2928300000003</v>
      </c>
      <c r="P2098">
        <f t="shared" si="425"/>
        <v>-2.0044474365922475E-3</v>
      </c>
      <c r="Q2098" t="str">
        <f t="shared" si="419"/>
        <v>2018-05</v>
      </c>
      <c r="S2098">
        <v>9465.5</v>
      </c>
      <c r="T2098">
        <f t="shared" si="426"/>
        <v>-1.0582442952026601E-2</v>
      </c>
      <c r="U2098" t="str">
        <f t="shared" si="420"/>
        <v>2018-05</v>
      </c>
      <c r="W2098">
        <v>21784.18</v>
      </c>
      <c r="X2098">
        <f t="shared" si="427"/>
        <v>-6.2594651210842278E-4</v>
      </c>
      <c r="Y2098">
        <f t="shared" si="428"/>
        <v>-6.2575064845931468E-4</v>
      </c>
      <c r="Z2098" t="str">
        <f t="shared" si="421"/>
        <v>2018-05</v>
      </c>
    </row>
    <row r="2099" spans="1:26" x14ac:dyDescent="0.35">
      <c r="A2099" s="1">
        <v>43252</v>
      </c>
      <c r="C2099">
        <v>3453.54</v>
      </c>
      <c r="D2099">
        <f t="shared" si="422"/>
        <v>1.3670388204823912E-2</v>
      </c>
      <c r="E2099" t="str">
        <f t="shared" si="416"/>
        <v>2018-06</v>
      </c>
      <c r="G2099">
        <v>5465.53</v>
      </c>
      <c r="H2099">
        <f t="shared" si="423"/>
        <v>1.2358484343482658E-2</v>
      </c>
      <c r="I2099" t="str">
        <f t="shared" si="417"/>
        <v>2018-06</v>
      </c>
      <c r="K2099">
        <v>12724.27</v>
      </c>
      <c r="L2099">
        <f t="shared" si="424"/>
        <v>9.4263594979318854E-3</v>
      </c>
      <c r="M2099" t="str">
        <f t="shared" si="418"/>
        <v>2018-06</v>
      </c>
      <c r="O2099">
        <v>8812.9640799999997</v>
      </c>
      <c r="P2099">
        <f t="shared" si="425"/>
        <v>7.7082349819179675E-3</v>
      </c>
      <c r="Q2099" t="str">
        <f t="shared" si="419"/>
        <v>2018-06</v>
      </c>
      <c r="S2099">
        <v>9632.4</v>
      </c>
      <c r="T2099">
        <f t="shared" si="426"/>
        <v>1.7478806475566874E-2</v>
      </c>
      <c r="U2099" t="str">
        <f t="shared" si="420"/>
        <v>2018-06</v>
      </c>
      <c r="W2099">
        <v>22109.55</v>
      </c>
      <c r="X2099">
        <f t="shared" si="427"/>
        <v>1.4825623598085922E-2</v>
      </c>
      <c r="Y2099">
        <f t="shared" si="428"/>
        <v>1.4936068284415524E-2</v>
      </c>
      <c r="Z2099" t="str">
        <f t="shared" si="421"/>
        <v>2018-06</v>
      </c>
    </row>
    <row r="2100" spans="1:26" x14ac:dyDescent="0.35">
      <c r="A2100" s="1">
        <v>43255</v>
      </c>
      <c r="C2100">
        <v>3469.57</v>
      </c>
      <c r="D2100">
        <f t="shared" si="422"/>
        <v>4.6308750393798366E-3</v>
      </c>
      <c r="E2100" t="str">
        <f t="shared" si="416"/>
        <v>2018-06</v>
      </c>
      <c r="G2100">
        <v>5472.91</v>
      </c>
      <c r="H2100">
        <f t="shared" si="423"/>
        <v>1.34936995033884E-3</v>
      </c>
      <c r="I2100" t="str">
        <f t="shared" si="417"/>
        <v>2018-06</v>
      </c>
      <c r="K2100">
        <v>12770.75</v>
      </c>
      <c r="L2100">
        <f t="shared" si="424"/>
        <v>3.646206317567945E-3</v>
      </c>
      <c r="M2100" t="str">
        <f t="shared" si="418"/>
        <v>2018-06</v>
      </c>
      <c r="O2100">
        <v>8819.0821300000007</v>
      </c>
      <c r="P2100">
        <f t="shared" si="425"/>
        <v>6.9396939784169948E-4</v>
      </c>
      <c r="Q2100" t="str">
        <f t="shared" si="419"/>
        <v>2018-06</v>
      </c>
      <c r="S2100">
        <v>9750.2999999999993</v>
      </c>
      <c r="T2100">
        <f t="shared" si="426"/>
        <v>1.2165637823767414E-2</v>
      </c>
      <c r="U2100" t="str">
        <f t="shared" si="420"/>
        <v>2018-06</v>
      </c>
      <c r="W2100">
        <v>22009.95</v>
      </c>
      <c r="X2100">
        <f t="shared" si="427"/>
        <v>-4.5150180395815802E-3</v>
      </c>
      <c r="Y2100">
        <f t="shared" si="428"/>
        <v>-4.5048406683988844E-3</v>
      </c>
      <c r="Z2100" t="str">
        <f t="shared" si="421"/>
        <v>2018-06</v>
      </c>
    </row>
    <row r="2101" spans="1:26" x14ac:dyDescent="0.35">
      <c r="A2101" s="1">
        <v>43256</v>
      </c>
      <c r="C2101">
        <v>3456.79</v>
      </c>
      <c r="D2101">
        <f t="shared" si="422"/>
        <v>-3.690254189254177E-3</v>
      </c>
      <c r="E2101" t="str">
        <f t="shared" si="416"/>
        <v>2018-06</v>
      </c>
      <c r="G2101">
        <v>5460.95</v>
      </c>
      <c r="H2101">
        <f t="shared" si="423"/>
        <v>-2.1877003674967803E-3</v>
      </c>
      <c r="I2101" t="str">
        <f t="shared" si="417"/>
        <v>2018-06</v>
      </c>
      <c r="K2101">
        <v>12787.13</v>
      </c>
      <c r="L2101">
        <f t="shared" si="424"/>
        <v>1.2817966312306805E-3</v>
      </c>
      <c r="M2101" t="str">
        <f t="shared" si="418"/>
        <v>2018-06</v>
      </c>
      <c r="O2101">
        <v>8780.6024400000006</v>
      </c>
      <c r="P2101">
        <f t="shared" si="425"/>
        <v>-4.3727773826509608E-3</v>
      </c>
      <c r="Q2101" t="str">
        <f t="shared" si="419"/>
        <v>2018-06</v>
      </c>
      <c r="S2101">
        <v>9686.4</v>
      </c>
      <c r="T2101">
        <f t="shared" si="426"/>
        <v>-6.5752139218994811E-3</v>
      </c>
      <c r="U2101" t="str">
        <f t="shared" si="420"/>
        <v>2018-06</v>
      </c>
      <c r="W2101">
        <v>21750.15</v>
      </c>
      <c r="X2101">
        <f t="shared" si="427"/>
        <v>-1.1873969778469629E-2</v>
      </c>
      <c r="Y2101">
        <f t="shared" si="428"/>
        <v>-1.1803752393803678E-2</v>
      </c>
      <c r="Z2101" t="str">
        <f t="shared" si="421"/>
        <v>2018-06</v>
      </c>
    </row>
    <row r="2102" spans="1:26" x14ac:dyDescent="0.35">
      <c r="A2102" s="1">
        <v>43257</v>
      </c>
      <c r="C2102">
        <v>3460.82</v>
      </c>
      <c r="D2102">
        <f t="shared" si="422"/>
        <v>1.1651424280677703E-3</v>
      </c>
      <c r="E2102" t="str">
        <f t="shared" si="416"/>
        <v>2018-06</v>
      </c>
      <c r="G2102">
        <v>5457.56</v>
      </c>
      <c r="H2102">
        <f t="shared" si="423"/>
        <v>-6.2096386941634836E-4</v>
      </c>
      <c r="I2102" t="str">
        <f t="shared" si="417"/>
        <v>2018-06</v>
      </c>
      <c r="K2102">
        <v>12830.07</v>
      </c>
      <c r="L2102">
        <f t="shared" si="424"/>
        <v>3.3524382224690754E-3</v>
      </c>
      <c r="M2102" t="str">
        <f t="shared" si="418"/>
        <v>2018-06</v>
      </c>
      <c r="O2102">
        <v>8782.4228600000006</v>
      </c>
      <c r="P2102">
        <f t="shared" si="425"/>
        <v>2.0730141594905828E-4</v>
      </c>
      <c r="Q2102" t="str">
        <f t="shared" si="419"/>
        <v>2018-06</v>
      </c>
      <c r="S2102">
        <v>9791.6</v>
      </c>
      <c r="T2102">
        <f t="shared" si="426"/>
        <v>1.0802035417134599E-2</v>
      </c>
      <c r="U2102" t="str">
        <f t="shared" si="420"/>
        <v>2018-06</v>
      </c>
      <c r="W2102">
        <v>21807.59</v>
      </c>
      <c r="X2102">
        <f t="shared" si="427"/>
        <v>2.6374202746046013E-3</v>
      </c>
      <c r="Y2102">
        <f t="shared" si="428"/>
        <v>2.6409013271172237E-3</v>
      </c>
      <c r="Z2102" t="str">
        <f t="shared" si="421"/>
        <v>2018-06</v>
      </c>
    </row>
    <row r="2103" spans="1:26" x14ac:dyDescent="0.35">
      <c r="A2103" s="1">
        <v>43258</v>
      </c>
      <c r="C2103">
        <v>3459.77</v>
      </c>
      <c r="D2103">
        <f t="shared" si="422"/>
        <v>-3.0344233889222332E-4</v>
      </c>
      <c r="E2103" t="str">
        <f t="shared" si="416"/>
        <v>2018-06</v>
      </c>
      <c r="G2103">
        <v>5448.36</v>
      </c>
      <c r="H2103">
        <f t="shared" si="423"/>
        <v>-1.6871574671953363E-3</v>
      </c>
      <c r="I2103" t="str">
        <f t="shared" si="417"/>
        <v>2018-06</v>
      </c>
      <c r="K2103">
        <v>12811.05</v>
      </c>
      <c r="L2103">
        <f t="shared" si="424"/>
        <v>-1.4835548126198544E-3</v>
      </c>
      <c r="M2103" t="str">
        <f t="shared" si="418"/>
        <v>2018-06</v>
      </c>
      <c r="O2103">
        <v>8751.6190000000006</v>
      </c>
      <c r="P2103">
        <f t="shared" si="425"/>
        <v>-3.5136099179623524E-3</v>
      </c>
      <c r="Q2103" t="str">
        <f t="shared" si="419"/>
        <v>2018-06</v>
      </c>
      <c r="S2103">
        <v>9829</v>
      </c>
      <c r="T2103">
        <f t="shared" si="426"/>
        <v>3.8123243220952283E-3</v>
      </c>
      <c r="U2103" t="str">
        <f t="shared" si="420"/>
        <v>2018-06</v>
      </c>
      <c r="W2103">
        <v>21767.599999999999</v>
      </c>
      <c r="X2103">
        <f t="shared" si="427"/>
        <v>-1.8354486223360264E-3</v>
      </c>
      <c r="Y2103">
        <f t="shared" si="428"/>
        <v>-1.8337652166058515E-3</v>
      </c>
      <c r="Z2103" t="str">
        <f t="shared" si="421"/>
        <v>2018-06</v>
      </c>
    </row>
    <row r="2104" spans="1:26" x14ac:dyDescent="0.35">
      <c r="A2104" s="1">
        <v>43259</v>
      </c>
      <c r="C2104">
        <v>3447.3</v>
      </c>
      <c r="D2104">
        <f t="shared" si="422"/>
        <v>-3.6107969221393773E-3</v>
      </c>
      <c r="E2104" t="str">
        <f t="shared" si="416"/>
        <v>2018-06</v>
      </c>
      <c r="G2104">
        <v>5450.22</v>
      </c>
      <c r="H2104">
        <f t="shared" si="423"/>
        <v>3.413288736805622E-4</v>
      </c>
      <c r="I2104" t="str">
        <f t="shared" si="417"/>
        <v>2018-06</v>
      </c>
      <c r="K2104">
        <v>12766.55</v>
      </c>
      <c r="L2104">
        <f t="shared" si="424"/>
        <v>-3.4796106670948713E-3</v>
      </c>
      <c r="M2104" t="str">
        <f t="shared" si="418"/>
        <v>2018-06</v>
      </c>
      <c r="O2104">
        <v>8749.0995199999998</v>
      </c>
      <c r="P2104">
        <f t="shared" si="425"/>
        <v>-2.87928751556963E-4</v>
      </c>
      <c r="Q2104" t="str">
        <f t="shared" si="419"/>
        <v>2018-06</v>
      </c>
      <c r="S2104">
        <v>9746.2999999999993</v>
      </c>
      <c r="T2104">
        <f t="shared" si="426"/>
        <v>-8.4494737777053679E-3</v>
      </c>
      <c r="U2104" t="str">
        <f t="shared" si="420"/>
        <v>2018-06</v>
      </c>
      <c r="W2104">
        <v>21355.98</v>
      </c>
      <c r="X2104">
        <f t="shared" si="427"/>
        <v>-1.9090831582367088E-2</v>
      </c>
      <c r="Y2104">
        <f t="shared" si="428"/>
        <v>-1.8909755783825456E-2</v>
      </c>
      <c r="Z2104" t="str">
        <f t="shared" si="421"/>
        <v>2018-06</v>
      </c>
    </row>
    <row r="2105" spans="1:26" x14ac:dyDescent="0.35">
      <c r="A2105" s="1">
        <v>43262</v>
      </c>
      <c r="C2105">
        <v>3480.22</v>
      </c>
      <c r="D2105">
        <f t="shared" si="422"/>
        <v>9.5041942294285843E-3</v>
      </c>
      <c r="E2105" t="str">
        <f t="shared" si="416"/>
        <v>2018-06</v>
      </c>
      <c r="G2105">
        <v>5473.91</v>
      </c>
      <c r="H2105">
        <f t="shared" si="423"/>
        <v>4.3371942912689004E-3</v>
      </c>
      <c r="I2105" t="str">
        <f t="shared" si="417"/>
        <v>2018-06</v>
      </c>
      <c r="K2105">
        <v>12842.91</v>
      </c>
      <c r="L2105">
        <f t="shared" si="424"/>
        <v>5.9634390023510543E-3</v>
      </c>
      <c r="M2105" t="str">
        <f t="shared" si="418"/>
        <v>2018-06</v>
      </c>
      <c r="O2105">
        <v>8782.3900099999992</v>
      </c>
      <c r="P2105">
        <f t="shared" si="425"/>
        <v>3.7977982368435147E-3</v>
      </c>
      <c r="Q2105" t="str">
        <f t="shared" si="419"/>
        <v>2018-06</v>
      </c>
      <c r="S2105">
        <v>9898.2999999999993</v>
      </c>
      <c r="T2105">
        <f t="shared" si="426"/>
        <v>1.5475299416958431E-2</v>
      </c>
      <c r="U2105" t="str">
        <f t="shared" si="420"/>
        <v>2018-06</v>
      </c>
      <c r="W2105">
        <v>22086.2</v>
      </c>
      <c r="X2105">
        <f t="shared" si="427"/>
        <v>3.3621184961678527E-2</v>
      </c>
      <c r="Y2105">
        <f t="shared" si="428"/>
        <v>3.4192764743177374E-2</v>
      </c>
      <c r="Z2105" t="str">
        <f t="shared" si="421"/>
        <v>2018-06</v>
      </c>
    </row>
    <row r="2106" spans="1:26" x14ac:dyDescent="0.35">
      <c r="A2106" s="1">
        <v>43263</v>
      </c>
      <c r="C2106">
        <v>3475.58</v>
      </c>
      <c r="D2106">
        <f t="shared" si="422"/>
        <v>-1.3341386147496927E-3</v>
      </c>
      <c r="E2106" t="str">
        <f t="shared" si="416"/>
        <v>2018-06</v>
      </c>
      <c r="G2106">
        <v>5453.37</v>
      </c>
      <c r="H2106">
        <f t="shared" si="423"/>
        <v>-3.7594029239057013E-3</v>
      </c>
      <c r="I2106" t="str">
        <f t="shared" si="417"/>
        <v>2018-06</v>
      </c>
      <c r="K2106">
        <v>12842.3</v>
      </c>
      <c r="L2106">
        <f t="shared" si="424"/>
        <v>-4.7498151669047071E-5</v>
      </c>
      <c r="M2106" t="str">
        <f t="shared" si="418"/>
        <v>2018-06</v>
      </c>
      <c r="O2106">
        <v>8764.4415599999993</v>
      </c>
      <c r="P2106">
        <f t="shared" si="425"/>
        <v>-2.0457774599621412E-3</v>
      </c>
      <c r="Q2106" t="str">
        <f t="shared" si="419"/>
        <v>2018-06</v>
      </c>
      <c r="S2106">
        <v>9914.4</v>
      </c>
      <c r="T2106">
        <f t="shared" si="426"/>
        <v>1.6252205447818589E-3</v>
      </c>
      <c r="U2106" t="str">
        <f t="shared" si="420"/>
        <v>2018-06</v>
      </c>
      <c r="W2106">
        <v>22119.759999999998</v>
      </c>
      <c r="X2106">
        <f t="shared" si="427"/>
        <v>1.5183475914729166E-3</v>
      </c>
      <c r="Y2106">
        <f t="shared" si="428"/>
        <v>1.5195008647932949E-3</v>
      </c>
      <c r="Z2106" t="str">
        <f t="shared" si="421"/>
        <v>2018-06</v>
      </c>
    </row>
    <row r="2107" spans="1:26" x14ac:dyDescent="0.35">
      <c r="A2107" s="1">
        <v>43264</v>
      </c>
      <c r="C2107">
        <v>3479.56</v>
      </c>
      <c r="D2107">
        <f t="shared" si="422"/>
        <v>1.1444774467305164E-3</v>
      </c>
      <c r="E2107" t="str">
        <f t="shared" si="416"/>
        <v>2018-06</v>
      </c>
      <c r="G2107">
        <v>5452.73</v>
      </c>
      <c r="H2107">
        <f t="shared" si="423"/>
        <v>-1.1736551117905114E-4</v>
      </c>
      <c r="I2107" t="str">
        <f t="shared" si="417"/>
        <v>2018-06</v>
      </c>
      <c r="K2107">
        <v>12890.58</v>
      </c>
      <c r="L2107">
        <f t="shared" si="424"/>
        <v>3.7524021136086925E-3</v>
      </c>
      <c r="M2107" t="str">
        <f t="shared" si="418"/>
        <v>2018-06</v>
      </c>
      <c r="O2107">
        <v>8745.8113900000008</v>
      </c>
      <c r="P2107">
        <f t="shared" si="425"/>
        <v>-2.1279163793948208E-3</v>
      </c>
      <c r="Q2107" t="str">
        <f t="shared" si="419"/>
        <v>2018-06</v>
      </c>
      <c r="S2107">
        <v>9899.1</v>
      </c>
      <c r="T2107">
        <f t="shared" si="426"/>
        <v>-1.5444018513740248E-3</v>
      </c>
      <c r="U2107" t="str">
        <f t="shared" si="420"/>
        <v>2018-06</v>
      </c>
      <c r="W2107">
        <v>22216.18</v>
      </c>
      <c r="X2107">
        <f t="shared" si="427"/>
        <v>4.3495255546212247E-3</v>
      </c>
      <c r="Y2107">
        <f t="shared" si="428"/>
        <v>4.3589984701462355E-3</v>
      </c>
      <c r="Z2107" t="str">
        <f t="shared" si="421"/>
        <v>2018-06</v>
      </c>
    </row>
    <row r="2108" spans="1:26" x14ac:dyDescent="0.35">
      <c r="A2108" s="1">
        <v>43265</v>
      </c>
      <c r="C2108">
        <v>3527.11</v>
      </c>
      <c r="D2108">
        <f t="shared" si="422"/>
        <v>1.3572989735061984E-2</v>
      </c>
      <c r="E2108" t="str">
        <f t="shared" si="416"/>
        <v>2018-06</v>
      </c>
      <c r="G2108">
        <v>5528.46</v>
      </c>
      <c r="H2108">
        <f t="shared" si="423"/>
        <v>1.3792895049458118E-2</v>
      </c>
      <c r="I2108" t="str">
        <f t="shared" si="417"/>
        <v>2018-06</v>
      </c>
      <c r="K2108">
        <v>13107.1</v>
      </c>
      <c r="L2108">
        <f t="shared" si="424"/>
        <v>1.665725605942726E-2</v>
      </c>
      <c r="M2108" t="str">
        <f t="shared" si="418"/>
        <v>2018-06</v>
      </c>
      <c r="O2108">
        <v>8877.8585999999996</v>
      </c>
      <c r="P2108">
        <f t="shared" si="425"/>
        <v>1.498549180321284E-2</v>
      </c>
      <c r="Q2108" t="str">
        <f t="shared" si="419"/>
        <v>2018-06</v>
      </c>
      <c r="S2108">
        <v>9957.7000000000007</v>
      </c>
      <c r="T2108">
        <f t="shared" si="426"/>
        <v>5.9022773175927455E-3</v>
      </c>
      <c r="U2108" t="str">
        <f t="shared" si="420"/>
        <v>2018-06</v>
      </c>
      <c r="W2108">
        <v>22486.32</v>
      </c>
      <c r="X2108">
        <f t="shared" si="427"/>
        <v>1.2086272063111223E-2</v>
      </c>
      <c r="Y2108">
        <f t="shared" si="428"/>
        <v>1.2159606196924917E-2</v>
      </c>
      <c r="Z2108" t="str">
        <f t="shared" si="421"/>
        <v>2018-06</v>
      </c>
    </row>
    <row r="2109" spans="1:26" x14ac:dyDescent="0.35">
      <c r="A2109" s="1">
        <v>43266</v>
      </c>
      <c r="C2109">
        <v>3505.02</v>
      </c>
      <c r="D2109">
        <f t="shared" si="422"/>
        <v>-6.282612141664418E-3</v>
      </c>
      <c r="E2109" t="str">
        <f t="shared" si="416"/>
        <v>2018-06</v>
      </c>
      <c r="G2109">
        <v>5501.88</v>
      </c>
      <c r="H2109">
        <f t="shared" si="423"/>
        <v>-4.8194437248296708E-3</v>
      </c>
      <c r="I2109" t="str">
        <f t="shared" si="417"/>
        <v>2018-06</v>
      </c>
      <c r="K2109">
        <v>13010.55</v>
      </c>
      <c r="L2109">
        <f t="shared" si="424"/>
        <v>-7.393501315464548E-3</v>
      </c>
      <c r="M2109" t="str">
        <f t="shared" si="418"/>
        <v>2018-06</v>
      </c>
      <c r="O2109">
        <v>8738.3765999999996</v>
      </c>
      <c r="P2109">
        <f t="shared" si="425"/>
        <v>-1.5835950566567818E-2</v>
      </c>
      <c r="Q2109" t="str">
        <f t="shared" si="419"/>
        <v>2018-06</v>
      </c>
      <c r="S2109">
        <v>9851</v>
      </c>
      <c r="T2109">
        <f t="shared" si="426"/>
        <v>-1.0773148361203938E-2</v>
      </c>
      <c r="U2109" t="str">
        <f t="shared" si="420"/>
        <v>2018-06</v>
      </c>
      <c r="W2109">
        <v>22190.45</v>
      </c>
      <c r="X2109">
        <f t="shared" si="427"/>
        <v>-1.3245108159406056E-2</v>
      </c>
      <c r="Y2109">
        <f t="shared" si="428"/>
        <v>-1.3157777706623359E-2</v>
      </c>
      <c r="Z2109" t="str">
        <f t="shared" si="421"/>
        <v>2018-06</v>
      </c>
    </row>
    <row r="2110" spans="1:26" x14ac:dyDescent="0.35">
      <c r="A2110" s="1">
        <v>43269</v>
      </c>
      <c r="C2110">
        <v>3466.65</v>
      </c>
      <c r="D2110">
        <f t="shared" si="422"/>
        <v>-1.1007516829015055E-2</v>
      </c>
      <c r="E2110" t="str">
        <f t="shared" si="416"/>
        <v>2018-06</v>
      </c>
      <c r="G2110">
        <v>5450.48</v>
      </c>
      <c r="H2110">
        <f t="shared" si="423"/>
        <v>-9.3861738223035979E-3</v>
      </c>
      <c r="I2110" t="str">
        <f t="shared" si="417"/>
        <v>2018-06</v>
      </c>
      <c r="K2110">
        <v>12834.11</v>
      </c>
      <c r="L2110">
        <f t="shared" si="424"/>
        <v>-1.3654096528869326E-2</v>
      </c>
      <c r="M2110" t="str">
        <f t="shared" si="418"/>
        <v>2018-06</v>
      </c>
      <c r="O2110">
        <v>8707.1469699999998</v>
      </c>
      <c r="P2110">
        <f t="shared" si="425"/>
        <v>-3.5802494816069719E-3</v>
      </c>
      <c r="Q2110" t="str">
        <f t="shared" si="419"/>
        <v>2018-06</v>
      </c>
      <c r="S2110">
        <v>9769.4</v>
      </c>
      <c r="T2110">
        <f t="shared" si="426"/>
        <v>-8.3179211918804844E-3</v>
      </c>
      <c r="U2110" t="str">
        <f t="shared" si="420"/>
        <v>2018-06</v>
      </c>
      <c r="W2110">
        <v>22099.27</v>
      </c>
      <c r="X2110">
        <f t="shared" si="427"/>
        <v>-4.1174398400743916E-3</v>
      </c>
      <c r="Y2110">
        <f t="shared" si="428"/>
        <v>-4.1089748067299351E-3</v>
      </c>
      <c r="Z2110" t="str">
        <f t="shared" si="421"/>
        <v>2018-06</v>
      </c>
    </row>
    <row r="2111" spans="1:26" x14ac:dyDescent="0.35">
      <c r="A2111" s="1">
        <v>43270</v>
      </c>
      <c r="C2111">
        <v>3435.3</v>
      </c>
      <c r="D2111">
        <f t="shared" si="422"/>
        <v>-9.084451670086157E-3</v>
      </c>
      <c r="E2111" t="str">
        <f t="shared" si="416"/>
        <v>2018-06</v>
      </c>
      <c r="G2111">
        <v>5390.63</v>
      </c>
      <c r="H2111">
        <f t="shared" si="423"/>
        <v>-1.1041416983924751E-2</v>
      </c>
      <c r="I2111" t="str">
        <f t="shared" si="417"/>
        <v>2018-06</v>
      </c>
      <c r="K2111">
        <v>12677.97</v>
      </c>
      <c r="L2111">
        <f t="shared" si="424"/>
        <v>-1.2240628719577039E-2</v>
      </c>
      <c r="M2111" t="str">
        <f t="shared" si="418"/>
        <v>2018-06</v>
      </c>
      <c r="O2111">
        <v>8657.3479700000007</v>
      </c>
      <c r="P2111">
        <f t="shared" si="425"/>
        <v>-5.7357425826709569E-3</v>
      </c>
      <c r="Q2111" t="str">
        <f t="shared" si="419"/>
        <v>2018-06</v>
      </c>
      <c r="S2111">
        <v>9755.4</v>
      </c>
      <c r="T2111">
        <f t="shared" si="426"/>
        <v>-1.4340738342343117E-3</v>
      </c>
      <c r="U2111" t="str">
        <f t="shared" si="420"/>
        <v>2018-06</v>
      </c>
      <c r="W2111">
        <v>22084.33</v>
      </c>
      <c r="X2111">
        <f t="shared" si="427"/>
        <v>-6.7626904866902374E-4</v>
      </c>
      <c r="Y2111">
        <f t="shared" si="428"/>
        <v>-6.7604043029469705E-4</v>
      </c>
      <c r="Z2111" t="str">
        <f t="shared" si="421"/>
        <v>2018-06</v>
      </c>
    </row>
    <row r="2112" spans="1:26" x14ac:dyDescent="0.35">
      <c r="A2112" s="1">
        <v>43271</v>
      </c>
      <c r="C2112">
        <v>3439.6</v>
      </c>
      <c r="D2112">
        <f t="shared" si="422"/>
        <v>1.2509274493379427E-3</v>
      </c>
      <c r="E2112" t="str">
        <f t="shared" si="416"/>
        <v>2018-06</v>
      </c>
      <c r="G2112">
        <v>5372.31</v>
      </c>
      <c r="H2112">
        <f t="shared" si="423"/>
        <v>-3.4042775845071756E-3</v>
      </c>
      <c r="I2112" t="str">
        <f t="shared" si="417"/>
        <v>2018-06</v>
      </c>
      <c r="K2112">
        <v>12695.16</v>
      </c>
      <c r="L2112">
        <f t="shared" si="424"/>
        <v>1.3549769090385126E-3</v>
      </c>
      <c r="M2112" t="str">
        <f t="shared" si="418"/>
        <v>2018-06</v>
      </c>
      <c r="O2112">
        <v>8685.0608699999993</v>
      </c>
      <c r="P2112">
        <f t="shared" si="425"/>
        <v>3.1959716605128646E-3</v>
      </c>
      <c r="Q2112" t="str">
        <f t="shared" si="419"/>
        <v>2018-06</v>
      </c>
      <c r="S2112">
        <v>9788.9</v>
      </c>
      <c r="T2112">
        <f t="shared" si="426"/>
        <v>3.4281128316226198E-3</v>
      </c>
      <c r="U2112" t="str">
        <f t="shared" si="420"/>
        <v>2018-06</v>
      </c>
      <c r="W2112">
        <v>22120.58</v>
      </c>
      <c r="X2112">
        <f t="shared" si="427"/>
        <v>1.6400896699357687E-3</v>
      </c>
      <c r="Y2112">
        <f t="shared" si="428"/>
        <v>1.6414353525780496E-3</v>
      </c>
      <c r="Z2112" t="str">
        <f t="shared" si="421"/>
        <v>2018-06</v>
      </c>
    </row>
    <row r="2113" spans="1:26" x14ac:dyDescent="0.35">
      <c r="A2113" s="1">
        <v>43272</v>
      </c>
      <c r="C2113">
        <v>3403.51</v>
      </c>
      <c r="D2113">
        <f t="shared" si="422"/>
        <v>-1.0547933501149166E-2</v>
      </c>
      <c r="E2113" t="str">
        <f t="shared" si="416"/>
        <v>2018-06</v>
      </c>
      <c r="G2113">
        <v>5316.01</v>
      </c>
      <c r="H2113">
        <f t="shared" si="423"/>
        <v>-1.0534961660133546E-2</v>
      </c>
      <c r="I2113" t="str">
        <f t="shared" si="417"/>
        <v>2018-06</v>
      </c>
      <c r="K2113">
        <v>12511.91</v>
      </c>
      <c r="L2113">
        <f t="shared" si="424"/>
        <v>-1.4539827781924395E-2</v>
      </c>
      <c r="M2113" t="str">
        <f t="shared" si="418"/>
        <v>2018-06</v>
      </c>
      <c r="O2113">
        <v>8624.7710100000004</v>
      </c>
      <c r="P2113">
        <f t="shared" si="425"/>
        <v>-6.9659953043262448E-3</v>
      </c>
      <c r="Q2113" t="str">
        <f t="shared" si="419"/>
        <v>2018-06</v>
      </c>
      <c r="S2113">
        <v>9702.1</v>
      </c>
      <c r="T2113">
        <f t="shared" si="426"/>
        <v>-8.9067337559791595E-3</v>
      </c>
      <c r="U2113" t="str">
        <f t="shared" si="420"/>
        <v>2018-06</v>
      </c>
      <c r="W2113">
        <v>21673.11</v>
      </c>
      <c r="X2113">
        <f t="shared" si="427"/>
        <v>-2.0436075292336008E-2</v>
      </c>
      <c r="Y2113">
        <f t="shared" si="428"/>
        <v>-2.0228673931696237E-2</v>
      </c>
      <c r="Z2113" t="str">
        <f t="shared" si="421"/>
        <v>2018-06</v>
      </c>
    </row>
    <row r="2114" spans="1:26" x14ac:dyDescent="0.35">
      <c r="A2114" s="1">
        <v>43273</v>
      </c>
      <c r="C2114">
        <v>3441.6</v>
      </c>
      <c r="D2114">
        <f t="shared" si="422"/>
        <v>1.1129227477873279E-2</v>
      </c>
      <c r="E2114" t="str">
        <f t="shared" si="416"/>
        <v>2018-06</v>
      </c>
      <c r="G2114">
        <v>5387.38</v>
      </c>
      <c r="H2114">
        <f t="shared" si="423"/>
        <v>1.333615943705033E-2</v>
      </c>
      <c r="I2114" t="str">
        <f t="shared" si="417"/>
        <v>2018-06</v>
      </c>
      <c r="K2114">
        <v>12579.72</v>
      </c>
      <c r="L2114">
        <f t="shared" si="424"/>
        <v>5.4050027904665524E-3</v>
      </c>
      <c r="M2114" t="str">
        <f t="shared" si="418"/>
        <v>2018-06</v>
      </c>
      <c r="O2114">
        <v>8740.8245499999994</v>
      </c>
      <c r="P2114">
        <f t="shared" si="425"/>
        <v>1.3366114323010408E-2</v>
      </c>
      <c r="Q2114" t="str">
        <f t="shared" si="419"/>
        <v>2018-06</v>
      </c>
      <c r="S2114">
        <v>9792.1</v>
      </c>
      <c r="T2114">
        <f t="shared" si="426"/>
        <v>9.2335812130538344E-3</v>
      </c>
      <c r="U2114" t="str">
        <f t="shared" si="420"/>
        <v>2018-06</v>
      </c>
      <c r="W2114">
        <v>21888.47</v>
      </c>
      <c r="X2114">
        <f t="shared" si="427"/>
        <v>9.8876925299438718E-3</v>
      </c>
      <c r="Y2114">
        <f t="shared" si="428"/>
        <v>9.9367372748996596E-3</v>
      </c>
      <c r="Z2114" t="str">
        <f t="shared" si="421"/>
        <v>2018-06</v>
      </c>
    </row>
    <row r="2115" spans="1:26" x14ac:dyDescent="0.35">
      <c r="A2115" s="1">
        <v>43276</v>
      </c>
      <c r="C2115">
        <v>3369.21</v>
      </c>
      <c r="D2115">
        <f t="shared" si="422"/>
        <v>-2.1258184013026291E-2</v>
      </c>
      <c r="E2115" t="str">
        <f t="shared" si="416"/>
        <v>2018-06</v>
      </c>
      <c r="G2115">
        <v>5283.86</v>
      </c>
      <c r="H2115">
        <f t="shared" si="423"/>
        <v>-1.940229017030648E-2</v>
      </c>
      <c r="I2115" t="str">
        <f t="shared" si="417"/>
        <v>2018-06</v>
      </c>
      <c r="K2115">
        <v>12270.33</v>
      </c>
      <c r="L2115">
        <f t="shared" si="424"/>
        <v>-2.4901840246236848E-2</v>
      </c>
      <c r="M2115" t="str">
        <f t="shared" si="418"/>
        <v>2018-06</v>
      </c>
      <c r="O2115">
        <v>8520.8294100000003</v>
      </c>
      <c r="P2115">
        <f t="shared" si="425"/>
        <v>-2.5490842628063615E-2</v>
      </c>
      <c r="Q2115" t="str">
        <f t="shared" si="419"/>
        <v>2018-06</v>
      </c>
      <c r="S2115">
        <v>9617.9</v>
      </c>
      <c r="T2115">
        <f t="shared" si="426"/>
        <v>-1.7949992506673854E-2</v>
      </c>
      <c r="U2115" t="str">
        <f t="shared" si="420"/>
        <v>2018-06</v>
      </c>
      <c r="W2115">
        <v>21355.19</v>
      </c>
      <c r="X2115">
        <f t="shared" si="427"/>
        <v>-2.4665212695198724E-2</v>
      </c>
      <c r="Y2115">
        <f t="shared" si="428"/>
        <v>-2.4363511931167526E-2</v>
      </c>
      <c r="Z2115" t="str">
        <f t="shared" si="421"/>
        <v>2018-06</v>
      </c>
    </row>
    <row r="2116" spans="1:26" x14ac:dyDescent="0.35">
      <c r="A2116" s="1">
        <v>43277</v>
      </c>
      <c r="C2116">
        <v>3368.72</v>
      </c>
      <c r="D2116">
        <f t="shared" si="422"/>
        <v>-1.4544526311904886E-4</v>
      </c>
      <c r="E2116" t="str">
        <f t="shared" ref="E2116:E2179" si="429">_xlfn.CONCAT(YEAR(A2116),"-",TEXT(MONTH(A2116),"00"))</f>
        <v>2018-06</v>
      </c>
      <c r="G2116">
        <v>5281.29</v>
      </c>
      <c r="H2116">
        <f t="shared" si="423"/>
        <v>-4.8650517043117805E-4</v>
      </c>
      <c r="I2116" t="str">
        <f t="shared" ref="I2116:I2179" si="430">_xlfn.CONCAT(YEAR(A2116),"-",TEXT(MONTH(A2116),"00"))</f>
        <v>2018-06</v>
      </c>
      <c r="K2116">
        <v>12234.34</v>
      </c>
      <c r="L2116">
        <f t="shared" si="424"/>
        <v>-2.9374013914724205E-3</v>
      </c>
      <c r="M2116" t="str">
        <f t="shared" ref="M2116:M2179" si="431">_xlfn.CONCAT(YEAR(A2116),"-",TEXT(MONTH(A2116),"00"))</f>
        <v>2018-06</v>
      </c>
      <c r="O2116">
        <v>8553.0627700000005</v>
      </c>
      <c r="P2116">
        <f t="shared" si="425"/>
        <v>3.7757528224070134E-3</v>
      </c>
      <c r="Q2116" t="str">
        <f t="shared" ref="Q2116:Q2179" si="432">_xlfn.CONCAT(YEAR(A2116),"-",TEXT(MONTH(A2116),"00"))</f>
        <v>2018-06</v>
      </c>
      <c r="S2116">
        <v>9637.4</v>
      </c>
      <c r="T2116">
        <f t="shared" si="426"/>
        <v>2.0254170712750244E-3</v>
      </c>
      <c r="U2116" t="str">
        <f t="shared" ref="U2116:U2179" si="433">_xlfn.CONCAT(YEAR(A2116),"-",TEXT(MONTH(A2116),"00"))</f>
        <v>2018-06</v>
      </c>
      <c r="W2116">
        <v>21419.27</v>
      </c>
      <c r="X2116">
        <f t="shared" si="427"/>
        <v>2.9961826724529141E-3</v>
      </c>
      <c r="Y2116">
        <f t="shared" si="428"/>
        <v>3.0006757139600139E-3</v>
      </c>
      <c r="Z2116" t="str">
        <f t="shared" ref="Z2116:Z2179" si="434">_xlfn.CONCAT(YEAR(A2116),"-",TEXT(MONTH(A2116),"00"))</f>
        <v>2018-06</v>
      </c>
    </row>
    <row r="2117" spans="1:26" x14ac:dyDescent="0.35">
      <c r="A2117" s="1">
        <v>43278</v>
      </c>
      <c r="C2117">
        <v>3397.13</v>
      </c>
      <c r="D2117">
        <f t="shared" ref="D2117:D2180" si="435">LN(C2117/C2116)</f>
        <v>8.3981072519581142E-3</v>
      </c>
      <c r="E2117" t="str">
        <f t="shared" si="429"/>
        <v>2018-06</v>
      </c>
      <c r="G2117">
        <v>5327.2</v>
      </c>
      <c r="H2117">
        <f t="shared" ref="H2117:H2180" si="436">LN(G2117/G2116)</f>
        <v>8.6553857551138723E-3</v>
      </c>
      <c r="I2117" t="str">
        <f t="shared" si="430"/>
        <v>2018-06</v>
      </c>
      <c r="K2117">
        <v>12348.61</v>
      </c>
      <c r="L2117">
        <f t="shared" ref="L2117:L2180" si="437">LN(K2117/K2116)</f>
        <v>9.2967542971911215E-3</v>
      </c>
      <c r="M2117" t="str">
        <f t="shared" si="431"/>
        <v>2018-06</v>
      </c>
      <c r="O2117">
        <v>8646.8642199999995</v>
      </c>
      <c r="P2117">
        <f t="shared" ref="P2117:P2180" si="438">LN(O2117/O2116)</f>
        <v>1.0907299782092997E-2</v>
      </c>
      <c r="Q2117" t="str">
        <f t="shared" si="432"/>
        <v>2018-06</v>
      </c>
      <c r="S2117">
        <v>9658.6</v>
      </c>
      <c r="T2117">
        <f t="shared" ref="T2117:T2180" si="439">LN(S2117/S2116)</f>
        <v>2.1973474844588811E-3</v>
      </c>
      <c r="U2117" t="str">
        <f t="shared" si="433"/>
        <v>2018-06</v>
      </c>
      <c r="W2117">
        <v>21557.91</v>
      </c>
      <c r="X2117">
        <f t="shared" ref="X2117:X2180" si="440">LN(W2117/W2116)</f>
        <v>6.451818426349348E-3</v>
      </c>
      <c r="Y2117">
        <f t="shared" ref="Y2117:Y2180" si="441">(W2117-W2116)/W2116</f>
        <v>6.472676239666404E-3</v>
      </c>
      <c r="Z2117" t="str">
        <f t="shared" si="434"/>
        <v>2018-06</v>
      </c>
    </row>
    <row r="2118" spans="1:26" x14ac:dyDescent="0.35">
      <c r="A2118" s="1">
        <v>43279</v>
      </c>
      <c r="C2118">
        <v>3365.52</v>
      </c>
      <c r="D2118">
        <f t="shared" si="435"/>
        <v>-9.3484744027732044E-3</v>
      </c>
      <c r="E2118" t="str">
        <f t="shared" si="429"/>
        <v>2018-06</v>
      </c>
      <c r="G2118">
        <v>5275.64</v>
      </c>
      <c r="H2118">
        <f t="shared" si="436"/>
        <v>-9.7257727974541623E-3</v>
      </c>
      <c r="I2118" t="str">
        <f t="shared" si="430"/>
        <v>2018-06</v>
      </c>
      <c r="K2118">
        <v>12177.23</v>
      </c>
      <c r="L2118">
        <f t="shared" si="437"/>
        <v>-1.3975691718242303E-2</v>
      </c>
      <c r="M2118" t="str">
        <f t="shared" si="431"/>
        <v>2018-06</v>
      </c>
      <c r="O2118">
        <v>8609.7448700000004</v>
      </c>
      <c r="P2118">
        <f t="shared" si="438"/>
        <v>-4.3020511220597211E-3</v>
      </c>
      <c r="Q2118" t="str">
        <f t="shared" si="432"/>
        <v>2018-06</v>
      </c>
      <c r="S2118">
        <v>9589</v>
      </c>
      <c r="T2118">
        <f t="shared" si="439"/>
        <v>-7.2321020136405052E-3</v>
      </c>
      <c r="U2118" t="str">
        <f t="shared" si="433"/>
        <v>2018-06</v>
      </c>
      <c r="W2118">
        <v>21432.34</v>
      </c>
      <c r="X2118">
        <f t="shared" si="440"/>
        <v>-5.8418063215395976E-3</v>
      </c>
      <c r="Y2118">
        <f t="shared" si="441"/>
        <v>-5.824776149450467E-3</v>
      </c>
      <c r="Z2118" t="str">
        <f t="shared" si="434"/>
        <v>2018-06</v>
      </c>
    </row>
    <row r="2119" spans="1:26" x14ac:dyDescent="0.35">
      <c r="A2119" s="1">
        <v>43280</v>
      </c>
      <c r="C2119">
        <v>3395.6</v>
      </c>
      <c r="D2119">
        <f t="shared" si="435"/>
        <v>8.8979927773077429E-3</v>
      </c>
      <c r="E2119" t="str">
        <f t="shared" si="429"/>
        <v>2018-06</v>
      </c>
      <c r="G2119">
        <v>5323.53</v>
      </c>
      <c r="H2119">
        <f t="shared" si="436"/>
        <v>9.0366181300744579E-3</v>
      </c>
      <c r="I2119" t="str">
        <f t="shared" si="430"/>
        <v>2018-06</v>
      </c>
      <c r="K2119">
        <v>12306</v>
      </c>
      <c r="L2119">
        <f t="shared" si="437"/>
        <v>1.0519133904137036E-2</v>
      </c>
      <c r="M2119" t="str">
        <f t="shared" si="431"/>
        <v>2018-06</v>
      </c>
      <c r="O2119">
        <v>8629.07035</v>
      </c>
      <c r="P2119">
        <f t="shared" si="438"/>
        <v>2.2420900565478224E-3</v>
      </c>
      <c r="Q2119" t="str">
        <f t="shared" si="432"/>
        <v>2018-06</v>
      </c>
      <c r="S2119">
        <v>9622.7000000000007</v>
      </c>
      <c r="T2119">
        <f t="shared" si="439"/>
        <v>3.5082824076044608E-3</v>
      </c>
      <c r="U2119" t="str">
        <f t="shared" si="433"/>
        <v>2018-06</v>
      </c>
      <c r="W2119">
        <v>21626.27</v>
      </c>
      <c r="X2119">
        <f t="shared" si="440"/>
        <v>9.0077831723221341E-3</v>
      </c>
      <c r="Y2119">
        <f t="shared" si="441"/>
        <v>9.0484753414699602E-3</v>
      </c>
      <c r="Z2119" t="str">
        <f t="shared" si="434"/>
        <v>2018-06</v>
      </c>
    </row>
    <row r="2120" spans="1:26" x14ac:dyDescent="0.35">
      <c r="A2120" s="1">
        <v>43283</v>
      </c>
      <c r="C2120">
        <v>3372.21</v>
      </c>
      <c r="D2120">
        <f t="shared" si="435"/>
        <v>-6.9121601011633994E-3</v>
      </c>
      <c r="E2120" t="str">
        <f t="shared" si="429"/>
        <v>2018-07</v>
      </c>
      <c r="G2120">
        <v>5276.76</v>
      </c>
      <c r="H2120">
        <f t="shared" si="436"/>
        <v>-8.8243441442123153E-3</v>
      </c>
      <c r="I2120" t="str">
        <f t="shared" si="430"/>
        <v>2018-07</v>
      </c>
      <c r="K2120">
        <v>12238.17</v>
      </c>
      <c r="L2120">
        <f t="shared" si="437"/>
        <v>-5.5271922157449499E-3</v>
      </c>
      <c r="M2120" t="str">
        <f t="shared" si="431"/>
        <v>2018-07</v>
      </c>
      <c r="O2120">
        <v>8539.4813300000005</v>
      </c>
      <c r="P2120">
        <f t="shared" si="438"/>
        <v>-1.0436504469649582E-2</v>
      </c>
      <c r="Q2120" t="str">
        <f t="shared" si="432"/>
        <v>2018-07</v>
      </c>
      <c r="S2120">
        <v>9558.2999999999993</v>
      </c>
      <c r="T2120">
        <f t="shared" si="439"/>
        <v>-6.7150035962309021E-3</v>
      </c>
      <c r="U2120" t="str">
        <f t="shared" si="433"/>
        <v>2018-07</v>
      </c>
      <c r="W2120">
        <v>21427.200000000001</v>
      </c>
      <c r="X2120">
        <f t="shared" si="440"/>
        <v>-9.2476364243469292E-3</v>
      </c>
      <c r="Y2120">
        <f t="shared" si="441"/>
        <v>-9.2050085382268752E-3</v>
      </c>
      <c r="Z2120" t="str">
        <f t="shared" si="434"/>
        <v>2018-07</v>
      </c>
    </row>
    <row r="2121" spans="1:26" x14ac:dyDescent="0.35">
      <c r="A2121" s="1">
        <v>43284</v>
      </c>
      <c r="C2121">
        <v>3406.34</v>
      </c>
      <c r="D2121">
        <f t="shared" si="435"/>
        <v>1.007008531819817E-2</v>
      </c>
      <c r="E2121" t="str">
        <f t="shared" si="429"/>
        <v>2018-07</v>
      </c>
      <c r="G2121">
        <v>5316.77</v>
      </c>
      <c r="H2121">
        <f t="shared" si="436"/>
        <v>7.5537031078662473E-3</v>
      </c>
      <c r="I2121" t="str">
        <f t="shared" si="430"/>
        <v>2018-07</v>
      </c>
      <c r="K2121">
        <v>12349.14</v>
      </c>
      <c r="L2121">
        <f t="shared" si="437"/>
        <v>9.0266689192294129E-3</v>
      </c>
      <c r="M2121" t="str">
        <f t="shared" si="431"/>
        <v>2018-07</v>
      </c>
      <c r="O2121">
        <v>8581.3953799999999</v>
      </c>
      <c r="P2121">
        <f t="shared" si="438"/>
        <v>4.8962602143557852E-3</v>
      </c>
      <c r="Q2121" t="str">
        <f t="shared" si="432"/>
        <v>2018-07</v>
      </c>
      <c r="S2121">
        <v>9660.9</v>
      </c>
      <c r="T2121">
        <f t="shared" si="439"/>
        <v>1.0676924603531434E-2</v>
      </c>
      <c r="U2121" t="str">
        <f t="shared" si="433"/>
        <v>2018-07</v>
      </c>
      <c r="W2121">
        <v>21764.16</v>
      </c>
      <c r="X2121">
        <f t="shared" si="440"/>
        <v>1.5603437193582244E-2</v>
      </c>
      <c r="Y2121">
        <f t="shared" si="441"/>
        <v>1.5725806451612864E-2</v>
      </c>
      <c r="Z2121" t="str">
        <f t="shared" si="434"/>
        <v>2018-07</v>
      </c>
    </row>
    <row r="2122" spans="1:26" x14ac:dyDescent="0.35">
      <c r="A2122" s="1">
        <v>43285</v>
      </c>
      <c r="C2122">
        <v>3412.03</v>
      </c>
      <c r="D2122">
        <f t="shared" si="435"/>
        <v>1.669020989137631E-3</v>
      </c>
      <c r="E2122" t="str">
        <f t="shared" si="429"/>
        <v>2018-07</v>
      </c>
      <c r="G2122">
        <v>5320.5</v>
      </c>
      <c r="H2122">
        <f t="shared" si="436"/>
        <v>7.0130778909964693E-4</v>
      </c>
      <c r="I2122" t="str">
        <f t="shared" si="430"/>
        <v>2018-07</v>
      </c>
      <c r="K2122">
        <v>12317.61</v>
      </c>
      <c r="L2122">
        <f t="shared" si="437"/>
        <v>-2.5564792420768325E-3</v>
      </c>
      <c r="M2122" t="str">
        <f t="shared" si="431"/>
        <v>2018-07</v>
      </c>
      <c r="O2122">
        <v>8583.0949700000001</v>
      </c>
      <c r="P2122">
        <f t="shared" si="438"/>
        <v>1.9803559219052863E-4</v>
      </c>
      <c r="Q2122" t="str">
        <f t="shared" si="432"/>
        <v>2018-07</v>
      </c>
      <c r="S2122">
        <v>9757.5</v>
      </c>
      <c r="T2122">
        <f t="shared" si="439"/>
        <v>9.9494084861837823E-3</v>
      </c>
      <c r="U2122" t="str">
        <f t="shared" si="433"/>
        <v>2018-07</v>
      </c>
      <c r="W2122">
        <v>21686.61</v>
      </c>
      <c r="X2122">
        <f t="shared" si="440"/>
        <v>-3.5695607853960948E-3</v>
      </c>
      <c r="Y2122">
        <f t="shared" si="441"/>
        <v>-3.5631974769529022E-3</v>
      </c>
      <c r="Z2122" t="str">
        <f t="shared" si="434"/>
        <v>2018-07</v>
      </c>
    </row>
    <row r="2123" spans="1:26" x14ac:dyDescent="0.35">
      <c r="A2123" s="1">
        <v>43286</v>
      </c>
      <c r="C2123">
        <v>3440.92</v>
      </c>
      <c r="D2123">
        <f t="shared" si="435"/>
        <v>8.4314554017246197E-3</v>
      </c>
      <c r="E2123" t="str">
        <f t="shared" si="429"/>
        <v>2018-07</v>
      </c>
      <c r="G2123">
        <v>5366.32</v>
      </c>
      <c r="H2123">
        <f t="shared" si="436"/>
        <v>8.5751010629373497E-3</v>
      </c>
      <c r="I2123" t="str">
        <f t="shared" si="430"/>
        <v>2018-07</v>
      </c>
      <c r="K2123">
        <v>12464.29</v>
      </c>
      <c r="L2123">
        <f t="shared" si="437"/>
        <v>1.1837810086999754E-2</v>
      </c>
      <c r="M2123" t="str">
        <f t="shared" si="431"/>
        <v>2018-07</v>
      </c>
      <c r="O2123">
        <v>8593.7574700000005</v>
      </c>
      <c r="P2123">
        <f t="shared" si="438"/>
        <v>1.2414965322391606E-3</v>
      </c>
      <c r="Q2123" t="str">
        <f t="shared" si="432"/>
        <v>2018-07</v>
      </c>
      <c r="S2123">
        <v>9866.2000000000007</v>
      </c>
      <c r="T2123">
        <f t="shared" si="439"/>
        <v>1.1078554173422269E-2</v>
      </c>
      <c r="U2123" t="str">
        <f t="shared" si="433"/>
        <v>2018-07</v>
      </c>
      <c r="W2123">
        <v>21914.29</v>
      </c>
      <c r="X2123">
        <f t="shared" si="440"/>
        <v>1.0443916043926856E-2</v>
      </c>
      <c r="Y2123">
        <f t="shared" si="441"/>
        <v>1.0498644094212986E-2</v>
      </c>
      <c r="Z2123" t="str">
        <f t="shared" si="434"/>
        <v>2018-07</v>
      </c>
    </row>
    <row r="2124" spans="1:26" x14ac:dyDescent="0.35">
      <c r="A2124" s="1">
        <v>43287</v>
      </c>
      <c r="C2124">
        <v>3448.49</v>
      </c>
      <c r="D2124">
        <f t="shared" si="435"/>
        <v>2.1975765839193301E-3</v>
      </c>
      <c r="E2124" t="str">
        <f t="shared" si="429"/>
        <v>2018-07</v>
      </c>
      <c r="G2124">
        <v>5375.77</v>
      </c>
      <c r="H2124">
        <f t="shared" si="436"/>
        <v>1.7594346049593925E-3</v>
      </c>
      <c r="I2124" t="str">
        <f t="shared" si="430"/>
        <v>2018-07</v>
      </c>
      <c r="K2124">
        <v>12496.17</v>
      </c>
      <c r="L2124">
        <f t="shared" si="437"/>
        <v>2.5544414914791488E-3</v>
      </c>
      <c r="M2124" t="str">
        <f t="shared" si="431"/>
        <v>2018-07</v>
      </c>
      <c r="O2124">
        <v>8602.1771499999995</v>
      </c>
      <c r="P2124">
        <f t="shared" si="438"/>
        <v>9.7926409455529164E-4</v>
      </c>
      <c r="Q2124" t="str">
        <f t="shared" si="432"/>
        <v>2018-07</v>
      </c>
      <c r="S2124">
        <v>9905</v>
      </c>
      <c r="T2124">
        <f t="shared" si="439"/>
        <v>3.9249059044588284E-3</v>
      </c>
      <c r="U2124" t="str">
        <f t="shared" si="433"/>
        <v>2018-07</v>
      </c>
      <c r="W2124">
        <v>21925.51</v>
      </c>
      <c r="X2124">
        <f t="shared" si="440"/>
        <v>5.1186366018879219E-4</v>
      </c>
      <c r="Y2124">
        <f t="shared" si="441"/>
        <v>5.1199468474668925E-4</v>
      </c>
      <c r="Z2124" t="str">
        <f t="shared" si="434"/>
        <v>2018-07</v>
      </c>
    </row>
    <row r="2125" spans="1:26" x14ac:dyDescent="0.35">
      <c r="A2125" s="1">
        <v>43290</v>
      </c>
      <c r="C2125">
        <v>3460.44</v>
      </c>
      <c r="D2125">
        <f t="shared" si="435"/>
        <v>3.4592945410809877E-3</v>
      </c>
      <c r="E2125" t="str">
        <f t="shared" si="429"/>
        <v>2018-07</v>
      </c>
      <c r="G2125">
        <v>5398.11</v>
      </c>
      <c r="H2125">
        <f t="shared" si="436"/>
        <v>4.1470727383874327E-3</v>
      </c>
      <c r="I2125" t="str">
        <f t="shared" si="430"/>
        <v>2018-07</v>
      </c>
      <c r="K2125">
        <v>12543.89</v>
      </c>
      <c r="L2125">
        <f t="shared" si="437"/>
        <v>3.8114970787650779E-3</v>
      </c>
      <c r="M2125" t="str">
        <f t="shared" si="431"/>
        <v>2018-07</v>
      </c>
      <c r="O2125">
        <v>8649.3977900000009</v>
      </c>
      <c r="P2125">
        <f t="shared" si="438"/>
        <v>5.4743706696624298E-3</v>
      </c>
      <c r="Q2125" t="str">
        <f t="shared" si="432"/>
        <v>2018-07</v>
      </c>
      <c r="S2125">
        <v>9927</v>
      </c>
      <c r="T2125">
        <f t="shared" si="439"/>
        <v>2.2186374570705523E-3</v>
      </c>
      <c r="U2125" t="str">
        <f t="shared" si="433"/>
        <v>2018-07</v>
      </c>
      <c r="W2125">
        <v>22033.439999999999</v>
      </c>
      <c r="X2125">
        <f t="shared" si="440"/>
        <v>4.910500222428605E-3</v>
      </c>
      <c r="Y2125">
        <f t="shared" si="441"/>
        <v>4.9225764873884487E-3</v>
      </c>
      <c r="Z2125" t="str">
        <f t="shared" si="434"/>
        <v>2018-07</v>
      </c>
    </row>
    <row r="2126" spans="1:26" x14ac:dyDescent="0.35">
      <c r="A2126" s="1">
        <v>43291</v>
      </c>
      <c r="C2126">
        <v>3473.31</v>
      </c>
      <c r="D2126">
        <f t="shared" si="435"/>
        <v>3.7122811696853075E-3</v>
      </c>
      <c r="E2126" t="str">
        <f t="shared" si="429"/>
        <v>2018-07</v>
      </c>
      <c r="G2126">
        <v>5434.36</v>
      </c>
      <c r="H2126">
        <f t="shared" si="436"/>
        <v>6.6928660437526044E-3</v>
      </c>
      <c r="I2126" t="str">
        <f t="shared" si="430"/>
        <v>2018-07</v>
      </c>
      <c r="K2126">
        <v>12609.85</v>
      </c>
      <c r="L2126">
        <f t="shared" si="437"/>
        <v>5.2445601479547861E-3</v>
      </c>
      <c r="M2126" t="str">
        <f t="shared" si="431"/>
        <v>2018-07</v>
      </c>
      <c r="O2126">
        <v>8687.22595</v>
      </c>
      <c r="P2126">
        <f t="shared" si="438"/>
        <v>4.3639662025570522E-3</v>
      </c>
      <c r="Q2126" t="str">
        <f t="shared" si="432"/>
        <v>2018-07</v>
      </c>
      <c r="S2126">
        <v>9889.2999999999993</v>
      </c>
      <c r="T2126">
        <f t="shared" si="439"/>
        <v>-3.8049530420912153E-3</v>
      </c>
      <c r="U2126" t="str">
        <f t="shared" si="433"/>
        <v>2018-07</v>
      </c>
      <c r="W2126">
        <v>22057.3</v>
      </c>
      <c r="X2126">
        <f t="shared" si="440"/>
        <v>1.0823135347304252E-3</v>
      </c>
      <c r="Y2126">
        <f t="shared" si="441"/>
        <v>1.0828994473854551E-3</v>
      </c>
      <c r="Z2126" t="str">
        <f t="shared" si="434"/>
        <v>2018-07</v>
      </c>
    </row>
    <row r="2127" spans="1:26" x14ac:dyDescent="0.35">
      <c r="A2127" s="1">
        <v>43292</v>
      </c>
      <c r="C2127">
        <v>3422.35</v>
      </c>
      <c r="D2127">
        <f t="shared" si="435"/>
        <v>-1.47805801756445E-2</v>
      </c>
      <c r="E2127" t="str">
        <f t="shared" si="429"/>
        <v>2018-07</v>
      </c>
      <c r="G2127">
        <v>5353.93</v>
      </c>
      <c r="H2127">
        <f t="shared" si="436"/>
        <v>-1.4910887673939239E-2</v>
      </c>
      <c r="I2127" t="str">
        <f t="shared" si="430"/>
        <v>2018-07</v>
      </c>
      <c r="K2127">
        <v>12417.13</v>
      </c>
      <c r="L2127">
        <f t="shared" si="437"/>
        <v>-1.5401283687407851E-2</v>
      </c>
      <c r="M2127" t="str">
        <f t="shared" si="431"/>
        <v>2018-07</v>
      </c>
      <c r="O2127">
        <v>8578.9148000000005</v>
      </c>
      <c r="P2127">
        <f t="shared" si="438"/>
        <v>-1.2546239755507832E-2</v>
      </c>
      <c r="Q2127" t="str">
        <f t="shared" si="432"/>
        <v>2018-07</v>
      </c>
      <c r="S2127">
        <v>9733.6</v>
      </c>
      <c r="T2127">
        <f t="shared" si="439"/>
        <v>-1.5869547074391366E-2</v>
      </c>
      <c r="U2127" t="str">
        <f t="shared" si="433"/>
        <v>2018-07</v>
      </c>
      <c r="W2127">
        <v>21708.06</v>
      </c>
      <c r="X2127">
        <f t="shared" si="440"/>
        <v>-1.5959992706989373E-2</v>
      </c>
      <c r="Y2127">
        <f t="shared" si="441"/>
        <v>-1.5833306887062241E-2</v>
      </c>
      <c r="Z2127" t="str">
        <f t="shared" si="434"/>
        <v>2018-07</v>
      </c>
    </row>
    <row r="2128" spans="1:26" x14ac:dyDescent="0.35">
      <c r="A2128" s="1">
        <v>43293</v>
      </c>
      <c r="C2128">
        <v>3445.49</v>
      </c>
      <c r="D2128">
        <f t="shared" si="435"/>
        <v>6.7386798659189685E-3</v>
      </c>
      <c r="E2128" t="str">
        <f t="shared" si="429"/>
        <v>2018-07</v>
      </c>
      <c r="G2128">
        <v>5405.9</v>
      </c>
      <c r="H2128">
        <f t="shared" si="436"/>
        <v>9.660079042196016E-3</v>
      </c>
      <c r="I2128" t="str">
        <f t="shared" si="430"/>
        <v>2018-07</v>
      </c>
      <c r="K2128">
        <v>12492.97</v>
      </c>
      <c r="L2128">
        <f t="shared" si="437"/>
        <v>6.0891152045589383E-3</v>
      </c>
      <c r="M2128" t="str">
        <f t="shared" si="431"/>
        <v>2018-07</v>
      </c>
      <c r="O2128">
        <v>8658.6699700000008</v>
      </c>
      <c r="P2128">
        <f t="shared" si="438"/>
        <v>9.2537023242704863E-3</v>
      </c>
      <c r="Q2128" t="str">
        <f t="shared" si="432"/>
        <v>2018-07</v>
      </c>
      <c r="S2128">
        <v>9767.4</v>
      </c>
      <c r="T2128">
        <f t="shared" si="439"/>
        <v>3.4664923692797117E-3</v>
      </c>
      <c r="U2128" t="str">
        <f t="shared" si="433"/>
        <v>2018-07</v>
      </c>
      <c r="W2128">
        <v>21790.12</v>
      </c>
      <c r="X2128">
        <f t="shared" si="440"/>
        <v>3.7730358993926564E-3</v>
      </c>
      <c r="Y2128">
        <f t="shared" si="441"/>
        <v>3.7801627598227417E-3</v>
      </c>
      <c r="Z2128" t="str">
        <f t="shared" si="434"/>
        <v>2018-07</v>
      </c>
    </row>
    <row r="2129" spans="1:26" x14ac:dyDescent="0.35">
      <c r="A2129" s="1">
        <v>43294</v>
      </c>
      <c r="C2129">
        <v>3454.54</v>
      </c>
      <c r="D2129">
        <f t="shared" si="435"/>
        <v>2.6231785048672152E-3</v>
      </c>
      <c r="E2129" t="str">
        <f t="shared" si="429"/>
        <v>2018-07</v>
      </c>
      <c r="G2129">
        <v>5429.2</v>
      </c>
      <c r="H2129">
        <f t="shared" si="436"/>
        <v>4.3008437237305446E-3</v>
      </c>
      <c r="I2129" t="str">
        <f t="shared" si="430"/>
        <v>2018-07</v>
      </c>
      <c r="K2129">
        <v>12540.73</v>
      </c>
      <c r="L2129">
        <f t="shared" si="437"/>
        <v>3.8156611244745614E-3</v>
      </c>
      <c r="M2129" t="str">
        <f t="shared" si="431"/>
        <v>2018-07</v>
      </c>
      <c r="O2129">
        <v>8674.5704800000003</v>
      </c>
      <c r="P2129">
        <f t="shared" si="438"/>
        <v>1.834684576845204E-3</v>
      </c>
      <c r="Q2129" t="str">
        <f t="shared" si="432"/>
        <v>2018-07</v>
      </c>
      <c r="S2129">
        <v>9734.7999999999993</v>
      </c>
      <c r="T2129">
        <f t="shared" si="439"/>
        <v>-3.3432156745829568E-3</v>
      </c>
      <c r="U2129" t="str">
        <f t="shared" si="433"/>
        <v>2018-07</v>
      </c>
      <c r="W2129">
        <v>21892.35</v>
      </c>
      <c r="X2129">
        <f t="shared" si="440"/>
        <v>4.6806046745225052E-3</v>
      </c>
      <c r="Y2129">
        <f t="shared" si="441"/>
        <v>4.6915758150941605E-3</v>
      </c>
      <c r="Z2129" t="str">
        <f t="shared" si="434"/>
        <v>2018-07</v>
      </c>
    </row>
    <row r="2130" spans="1:26" x14ac:dyDescent="0.35">
      <c r="A2130" s="1">
        <v>43297</v>
      </c>
      <c r="C2130">
        <v>3449.08</v>
      </c>
      <c r="D2130">
        <f t="shared" si="435"/>
        <v>-1.5817791646763515E-3</v>
      </c>
      <c r="E2130" t="str">
        <f t="shared" si="429"/>
        <v>2018-07</v>
      </c>
      <c r="G2130">
        <v>5409.43</v>
      </c>
      <c r="H2130">
        <f t="shared" si="436"/>
        <v>-3.6480665777070794E-3</v>
      </c>
      <c r="I2130" t="str">
        <f t="shared" si="430"/>
        <v>2018-07</v>
      </c>
      <c r="K2130">
        <v>12561.02</v>
      </c>
      <c r="L2130">
        <f t="shared" si="437"/>
        <v>1.6166207072360005E-3</v>
      </c>
      <c r="M2130" t="str">
        <f t="shared" si="431"/>
        <v>2018-07</v>
      </c>
      <c r="O2130">
        <v>8589.9498999999996</v>
      </c>
      <c r="P2130">
        <f t="shared" si="438"/>
        <v>-9.8029085992704917E-3</v>
      </c>
      <c r="Q2130" t="str">
        <f t="shared" si="432"/>
        <v>2018-07</v>
      </c>
      <c r="S2130">
        <v>9716.9</v>
      </c>
      <c r="T2130">
        <f t="shared" si="439"/>
        <v>-1.8404566236054228E-3</v>
      </c>
      <c r="U2130" t="str">
        <f t="shared" si="433"/>
        <v>2018-07</v>
      </c>
      <c r="W2130">
        <v>21822.959999999999</v>
      </c>
      <c r="X2130">
        <f t="shared" si="440"/>
        <v>-3.1746341626204223E-3</v>
      </c>
      <c r="Y2130">
        <f t="shared" si="441"/>
        <v>-3.1696003398447139E-3</v>
      </c>
      <c r="Z2130" t="str">
        <f t="shared" si="434"/>
        <v>2018-07</v>
      </c>
    </row>
    <row r="2131" spans="1:26" x14ac:dyDescent="0.35">
      <c r="A2131" s="1">
        <v>43298</v>
      </c>
      <c r="C2131">
        <v>3457.5</v>
      </c>
      <c r="D2131">
        <f t="shared" si="435"/>
        <v>2.4382557420524003E-3</v>
      </c>
      <c r="E2131" t="str">
        <f t="shared" si="429"/>
        <v>2018-07</v>
      </c>
      <c r="G2131">
        <v>5422.54</v>
      </c>
      <c r="H2131">
        <f t="shared" si="436"/>
        <v>2.4206134989960444E-3</v>
      </c>
      <c r="I2131" t="str">
        <f t="shared" si="430"/>
        <v>2018-07</v>
      </c>
      <c r="K2131">
        <v>12661.54</v>
      </c>
      <c r="L2131">
        <f t="shared" si="437"/>
        <v>7.9706843543419417E-3</v>
      </c>
      <c r="M2131" t="str">
        <f t="shared" si="431"/>
        <v>2018-07</v>
      </c>
      <c r="O2131">
        <v>8594.1815600000009</v>
      </c>
      <c r="P2131">
        <f t="shared" si="438"/>
        <v>4.9250788093523979E-4</v>
      </c>
      <c r="Q2131" t="str">
        <f t="shared" si="432"/>
        <v>2018-07</v>
      </c>
      <c r="S2131">
        <v>9719.4</v>
      </c>
      <c r="T2131">
        <f t="shared" si="439"/>
        <v>2.5725060981647915E-4</v>
      </c>
      <c r="U2131" t="str">
        <f t="shared" si="433"/>
        <v>2018-07</v>
      </c>
      <c r="W2131">
        <v>21977.82</v>
      </c>
      <c r="X2131">
        <f t="shared" si="440"/>
        <v>7.0711364163826528E-3</v>
      </c>
      <c r="Y2131">
        <f t="shared" si="441"/>
        <v>7.0961959330906798E-3</v>
      </c>
      <c r="Z2131" t="str">
        <f t="shared" si="434"/>
        <v>2018-07</v>
      </c>
    </row>
    <row r="2132" spans="1:26" x14ac:dyDescent="0.35">
      <c r="A2132" s="1">
        <v>43299</v>
      </c>
      <c r="C2132">
        <v>3485.08</v>
      </c>
      <c r="D2132">
        <f t="shared" si="435"/>
        <v>7.9452149159099459E-3</v>
      </c>
      <c r="E2132" t="str">
        <f t="shared" si="429"/>
        <v>2018-07</v>
      </c>
      <c r="G2132">
        <v>5447.44</v>
      </c>
      <c r="H2132">
        <f t="shared" si="436"/>
        <v>4.5814331863093952E-3</v>
      </c>
      <c r="I2132" t="str">
        <f t="shared" si="430"/>
        <v>2018-07</v>
      </c>
      <c r="K2132">
        <v>12765.94</v>
      </c>
      <c r="L2132">
        <f t="shared" si="437"/>
        <v>8.2116345503789601E-3</v>
      </c>
      <c r="M2132" t="str">
        <f t="shared" si="431"/>
        <v>2018-07</v>
      </c>
      <c r="O2132">
        <v>8603.7838400000001</v>
      </c>
      <c r="P2132">
        <f t="shared" si="438"/>
        <v>1.1166763945005583E-3</v>
      </c>
      <c r="Q2132" t="str">
        <f t="shared" si="432"/>
        <v>2018-07</v>
      </c>
      <c r="S2132">
        <v>9753.2000000000007</v>
      </c>
      <c r="T2132">
        <f t="shared" si="439"/>
        <v>3.4715481184294963E-3</v>
      </c>
      <c r="U2132" t="str">
        <f t="shared" si="433"/>
        <v>2018-07</v>
      </c>
      <c r="W2132">
        <v>21972.22</v>
      </c>
      <c r="X2132">
        <f t="shared" si="440"/>
        <v>-2.5483480926542936E-4</v>
      </c>
      <c r="Y2132">
        <f t="shared" si="441"/>
        <v>-2.548023416334534E-4</v>
      </c>
      <c r="Z2132" t="str">
        <f t="shared" si="434"/>
        <v>2018-07</v>
      </c>
    </row>
    <row r="2133" spans="1:26" x14ac:dyDescent="0.35">
      <c r="A2133" s="1">
        <v>43300</v>
      </c>
      <c r="C2133">
        <v>3471.64</v>
      </c>
      <c r="D2133">
        <f t="shared" si="435"/>
        <v>-3.8638946863579545E-3</v>
      </c>
      <c r="E2133" t="str">
        <f t="shared" si="429"/>
        <v>2018-07</v>
      </c>
      <c r="G2133">
        <v>5417.07</v>
      </c>
      <c r="H2133">
        <f t="shared" si="436"/>
        <v>-5.5906946752956807E-3</v>
      </c>
      <c r="I2133" t="str">
        <f t="shared" si="430"/>
        <v>2018-07</v>
      </c>
      <c r="K2133">
        <v>12686.29</v>
      </c>
      <c r="L2133">
        <f t="shared" si="437"/>
        <v>-6.258804042565078E-3</v>
      </c>
      <c r="M2133" t="str">
        <f t="shared" si="431"/>
        <v>2018-07</v>
      </c>
      <c r="O2133">
        <v>8599.5321999999996</v>
      </c>
      <c r="P2133">
        <f t="shared" si="438"/>
        <v>-4.9428146023435785E-4</v>
      </c>
      <c r="Q2133" t="str">
        <f t="shared" si="432"/>
        <v>2018-07</v>
      </c>
      <c r="S2133">
        <v>9721.1</v>
      </c>
      <c r="T2133">
        <f t="shared" si="439"/>
        <v>-3.2966554969090082E-3</v>
      </c>
      <c r="U2133" t="str">
        <f t="shared" si="433"/>
        <v>2018-07</v>
      </c>
      <c r="W2133">
        <v>21885.4</v>
      </c>
      <c r="X2133">
        <f t="shared" si="440"/>
        <v>-3.9591803389871097E-3</v>
      </c>
      <c r="Y2133">
        <f t="shared" si="441"/>
        <v>-3.9513531177095308E-3</v>
      </c>
      <c r="Z2133" t="str">
        <f t="shared" si="434"/>
        <v>2018-07</v>
      </c>
    </row>
    <row r="2134" spans="1:26" x14ac:dyDescent="0.35">
      <c r="A2134" s="1">
        <v>43301</v>
      </c>
      <c r="C2134">
        <v>3460.03</v>
      </c>
      <c r="D2134">
        <f t="shared" si="435"/>
        <v>-3.3498452340527101E-3</v>
      </c>
      <c r="E2134" t="str">
        <f t="shared" si="429"/>
        <v>2018-07</v>
      </c>
      <c r="G2134">
        <v>5398.32</v>
      </c>
      <c r="H2134">
        <f t="shared" si="436"/>
        <v>-3.4672848199595943E-3</v>
      </c>
      <c r="I2134" t="str">
        <f t="shared" si="430"/>
        <v>2018-07</v>
      </c>
      <c r="K2134">
        <v>12561.42</v>
      </c>
      <c r="L2134">
        <f t="shared" si="437"/>
        <v>-9.8916708215264076E-3</v>
      </c>
      <c r="M2134" t="str">
        <f t="shared" si="431"/>
        <v>2018-07</v>
      </c>
      <c r="O2134">
        <v>8603.4713499999998</v>
      </c>
      <c r="P2134">
        <f t="shared" si="438"/>
        <v>4.5796073428661094E-4</v>
      </c>
      <c r="Q2134" t="str">
        <f t="shared" si="432"/>
        <v>2018-07</v>
      </c>
      <c r="S2134">
        <v>9724.7999999999993</v>
      </c>
      <c r="T2134">
        <f t="shared" si="439"/>
        <v>3.8054294680616785E-4</v>
      </c>
      <c r="U2134" t="str">
        <f t="shared" si="433"/>
        <v>2018-07</v>
      </c>
      <c r="W2134">
        <v>21794.6</v>
      </c>
      <c r="X2134">
        <f t="shared" si="440"/>
        <v>-4.157515146029511E-3</v>
      </c>
      <c r="Y2134">
        <f t="shared" si="441"/>
        <v>-4.1488846445576913E-3</v>
      </c>
      <c r="Z2134" t="str">
        <f t="shared" si="434"/>
        <v>2018-07</v>
      </c>
    </row>
    <row r="2135" spans="1:26" x14ac:dyDescent="0.35">
      <c r="A2135" s="1">
        <v>43304</v>
      </c>
      <c r="C2135">
        <v>3454.05</v>
      </c>
      <c r="D2135">
        <f t="shared" si="435"/>
        <v>-1.7298039626743105E-3</v>
      </c>
      <c r="E2135" t="str">
        <f t="shared" si="429"/>
        <v>2018-07</v>
      </c>
      <c r="G2135">
        <v>5378.25</v>
      </c>
      <c r="H2135">
        <f t="shared" si="436"/>
        <v>-3.7247516053590421E-3</v>
      </c>
      <c r="I2135" t="str">
        <f t="shared" si="430"/>
        <v>2018-07</v>
      </c>
      <c r="K2135">
        <v>12548.57</v>
      </c>
      <c r="L2135">
        <f t="shared" si="437"/>
        <v>-1.0234971118465272E-3</v>
      </c>
      <c r="M2135" t="str">
        <f t="shared" si="431"/>
        <v>2018-07</v>
      </c>
      <c r="O2135">
        <v>8576.5265199999994</v>
      </c>
      <c r="P2135">
        <f t="shared" si="438"/>
        <v>-3.1367701320030024E-3</v>
      </c>
      <c r="Q2135" t="str">
        <f t="shared" si="432"/>
        <v>2018-07</v>
      </c>
      <c r="S2135">
        <v>9726.1</v>
      </c>
      <c r="T2135">
        <f t="shared" si="439"/>
        <v>1.3366990750416686E-4</v>
      </c>
      <c r="U2135" t="str">
        <f t="shared" si="433"/>
        <v>2018-07</v>
      </c>
      <c r="W2135">
        <v>21605.21</v>
      </c>
      <c r="X2135">
        <f t="shared" si="440"/>
        <v>-8.7277433798354578E-3</v>
      </c>
      <c r="Y2135">
        <f t="shared" si="441"/>
        <v>-8.6897671900378736E-3</v>
      </c>
      <c r="Z2135" t="str">
        <f t="shared" si="434"/>
        <v>2018-07</v>
      </c>
    </row>
    <row r="2136" spans="1:26" x14ac:dyDescent="0.35">
      <c r="A2136" s="1">
        <v>43305</v>
      </c>
      <c r="C2136">
        <v>3483.31</v>
      </c>
      <c r="D2136">
        <f t="shared" si="435"/>
        <v>8.4355355660804977E-3</v>
      </c>
      <c r="E2136" t="str">
        <f t="shared" si="429"/>
        <v>2018-07</v>
      </c>
      <c r="G2136">
        <v>5434.19</v>
      </c>
      <c r="H2136">
        <f t="shared" si="436"/>
        <v>1.0347432979201548E-2</v>
      </c>
      <c r="I2136" t="str">
        <f t="shared" si="430"/>
        <v>2018-07</v>
      </c>
      <c r="K2136">
        <v>12689.39</v>
      </c>
      <c r="L2136">
        <f t="shared" si="437"/>
        <v>1.1159496362437482E-2</v>
      </c>
      <c r="M2136" t="str">
        <f t="shared" si="431"/>
        <v>2018-07</v>
      </c>
      <c r="O2136">
        <v>8669.8766400000004</v>
      </c>
      <c r="P2136">
        <f t="shared" si="438"/>
        <v>1.0825565284096247E-2</v>
      </c>
      <c r="Q2136" t="str">
        <f t="shared" si="432"/>
        <v>2018-07</v>
      </c>
      <c r="S2136">
        <v>9773.1</v>
      </c>
      <c r="T2136">
        <f t="shared" si="439"/>
        <v>4.8207199290960347E-3</v>
      </c>
      <c r="U2136" t="str">
        <f t="shared" si="433"/>
        <v>2018-07</v>
      </c>
      <c r="W2136">
        <v>21874.69</v>
      </c>
      <c r="X2136">
        <f t="shared" si="440"/>
        <v>1.2395771405804532E-2</v>
      </c>
      <c r="Y2136">
        <f t="shared" si="441"/>
        <v>1.247291741205013E-2</v>
      </c>
      <c r="Z2136" t="str">
        <f t="shared" si="434"/>
        <v>2018-07</v>
      </c>
    </row>
    <row r="2137" spans="1:26" x14ac:dyDescent="0.35">
      <c r="A2137" s="1">
        <v>43306</v>
      </c>
      <c r="C2137">
        <v>3468.45</v>
      </c>
      <c r="D2137">
        <f t="shared" si="435"/>
        <v>-4.2751828697322868E-3</v>
      </c>
      <c r="E2137" t="str">
        <f t="shared" si="429"/>
        <v>2018-07</v>
      </c>
      <c r="G2137">
        <v>5426.41</v>
      </c>
      <c r="H2137">
        <f t="shared" si="436"/>
        <v>-1.4327019374235765E-3</v>
      </c>
      <c r="I2137" t="str">
        <f t="shared" si="430"/>
        <v>2018-07</v>
      </c>
      <c r="K2137">
        <v>12579.33</v>
      </c>
      <c r="L2137">
        <f t="shared" si="437"/>
        <v>-8.7112205125049729E-3</v>
      </c>
      <c r="M2137" t="str">
        <f t="shared" si="431"/>
        <v>2018-07</v>
      </c>
      <c r="O2137">
        <v>8623.4932200000003</v>
      </c>
      <c r="P2137">
        <f t="shared" si="438"/>
        <v>-5.364313792205689E-3</v>
      </c>
      <c r="Q2137" t="str">
        <f t="shared" si="432"/>
        <v>2018-07</v>
      </c>
      <c r="S2137">
        <v>9703.1</v>
      </c>
      <c r="T2137">
        <f t="shared" si="439"/>
        <v>-7.1882914959824082E-3</v>
      </c>
      <c r="U2137" t="str">
        <f t="shared" si="433"/>
        <v>2018-07</v>
      </c>
      <c r="W2137">
        <v>21561.46</v>
      </c>
      <c r="X2137">
        <f t="shared" si="440"/>
        <v>-1.4422798970365218E-2</v>
      </c>
      <c r="Y2137">
        <f t="shared" si="441"/>
        <v>-1.4319288639061838E-2</v>
      </c>
      <c r="Z2137" t="str">
        <f t="shared" si="434"/>
        <v>2018-07</v>
      </c>
    </row>
    <row r="2138" spans="1:26" x14ac:dyDescent="0.35">
      <c r="A2138" s="1">
        <v>43307</v>
      </c>
      <c r="C2138">
        <v>3509.26</v>
      </c>
      <c r="D2138">
        <f t="shared" si="435"/>
        <v>1.1697380754029476E-2</v>
      </c>
      <c r="E2138" t="str">
        <f t="shared" si="429"/>
        <v>2018-07</v>
      </c>
      <c r="G2138">
        <v>5480.55</v>
      </c>
      <c r="H2138">
        <f t="shared" si="436"/>
        <v>9.9276873967670213E-3</v>
      </c>
      <c r="I2138" t="str">
        <f t="shared" si="430"/>
        <v>2018-07</v>
      </c>
      <c r="K2138">
        <v>12809.23</v>
      </c>
      <c r="L2138">
        <f t="shared" si="437"/>
        <v>1.8111014099907931E-2</v>
      </c>
      <c r="M2138" t="str">
        <f t="shared" si="431"/>
        <v>2018-07</v>
      </c>
      <c r="O2138">
        <v>8627.0618300000006</v>
      </c>
      <c r="P2138">
        <f t="shared" si="438"/>
        <v>4.1373857717183146E-4</v>
      </c>
      <c r="Q2138" t="str">
        <f t="shared" si="432"/>
        <v>2018-07</v>
      </c>
      <c r="S2138">
        <v>9780</v>
      </c>
      <c r="T2138">
        <f t="shared" si="439"/>
        <v>7.8940619657711358E-3</v>
      </c>
      <c r="U2138" t="str">
        <f t="shared" si="433"/>
        <v>2018-07</v>
      </c>
      <c r="W2138">
        <v>21862.87</v>
      </c>
      <c r="X2138">
        <f t="shared" si="440"/>
        <v>1.388230241373278E-2</v>
      </c>
      <c r="Y2138">
        <f t="shared" si="441"/>
        <v>1.3979109021374243E-2</v>
      </c>
      <c r="Z2138" t="str">
        <f t="shared" si="434"/>
        <v>2018-07</v>
      </c>
    </row>
    <row r="2139" spans="1:26" x14ac:dyDescent="0.35">
      <c r="A2139" s="1">
        <v>43308</v>
      </c>
      <c r="C2139">
        <v>3527.18</v>
      </c>
      <c r="D2139">
        <f t="shared" si="435"/>
        <v>5.093495785531788E-3</v>
      </c>
      <c r="E2139" t="str">
        <f t="shared" si="429"/>
        <v>2018-07</v>
      </c>
      <c r="G2139">
        <v>5511.76</v>
      </c>
      <c r="H2139">
        <f t="shared" si="436"/>
        <v>5.6785305119067125E-3</v>
      </c>
      <c r="I2139" t="str">
        <f t="shared" si="430"/>
        <v>2018-07</v>
      </c>
      <c r="K2139">
        <v>12860.4</v>
      </c>
      <c r="L2139">
        <f t="shared" si="437"/>
        <v>3.9868177124250817E-3</v>
      </c>
      <c r="M2139" t="str">
        <f t="shared" si="431"/>
        <v>2018-07</v>
      </c>
      <c r="O2139">
        <v>8662.4873900000002</v>
      </c>
      <c r="P2139">
        <f t="shared" si="438"/>
        <v>4.0979217126164078E-3</v>
      </c>
      <c r="Q2139" t="str">
        <f t="shared" si="432"/>
        <v>2018-07</v>
      </c>
      <c r="S2139">
        <v>9867.9</v>
      </c>
      <c r="T2139">
        <f t="shared" si="439"/>
        <v>8.9475808033299929E-3</v>
      </c>
      <c r="U2139" t="str">
        <f t="shared" si="433"/>
        <v>2018-07</v>
      </c>
      <c r="W2139">
        <v>21955.08</v>
      </c>
      <c r="X2139">
        <f t="shared" si="440"/>
        <v>4.2087836658819527E-3</v>
      </c>
      <c r="Y2139">
        <f t="shared" si="441"/>
        <v>4.2176530345742697E-3</v>
      </c>
      <c r="Z2139" t="str">
        <f t="shared" si="434"/>
        <v>2018-07</v>
      </c>
    </row>
    <row r="2140" spans="1:26" x14ac:dyDescent="0.35">
      <c r="A2140" s="1">
        <v>43311</v>
      </c>
      <c r="C2140">
        <v>3512.31</v>
      </c>
      <c r="D2140">
        <f t="shared" si="435"/>
        <v>-4.2247441553901711E-3</v>
      </c>
      <c r="E2140" t="str">
        <f t="shared" si="429"/>
        <v>2018-07</v>
      </c>
      <c r="G2140">
        <v>5491.22</v>
      </c>
      <c r="H2140">
        <f t="shared" si="436"/>
        <v>-3.7335383431478194E-3</v>
      </c>
      <c r="I2140" t="str">
        <f t="shared" si="430"/>
        <v>2018-07</v>
      </c>
      <c r="K2140">
        <v>12798.2</v>
      </c>
      <c r="L2140">
        <f t="shared" si="437"/>
        <v>-4.8482864878655026E-3</v>
      </c>
      <c r="M2140" t="str">
        <f t="shared" si="431"/>
        <v>2018-07</v>
      </c>
      <c r="O2140">
        <v>8636.17857</v>
      </c>
      <c r="P2140">
        <f t="shared" si="438"/>
        <v>-3.0417189793768961E-3</v>
      </c>
      <c r="Q2140" t="str">
        <f t="shared" si="432"/>
        <v>2018-07</v>
      </c>
      <c r="S2140">
        <v>9854.1</v>
      </c>
      <c r="T2140">
        <f t="shared" si="439"/>
        <v>-1.3994526165943121E-3</v>
      </c>
      <c r="U2140" t="str">
        <f t="shared" si="433"/>
        <v>2018-07</v>
      </c>
      <c r="W2140">
        <v>21941.01</v>
      </c>
      <c r="X2140">
        <f t="shared" si="440"/>
        <v>-6.4105939649074977E-4</v>
      </c>
      <c r="Y2140">
        <f t="shared" si="441"/>
        <v>-6.4085396181673426E-4</v>
      </c>
      <c r="Z2140" t="str">
        <f t="shared" si="434"/>
        <v>2018-07</v>
      </c>
    </row>
    <row r="2141" spans="1:26" x14ac:dyDescent="0.35">
      <c r="A2141" s="1">
        <v>43312</v>
      </c>
      <c r="C2141">
        <v>3525.49</v>
      </c>
      <c r="D2141">
        <f t="shared" si="435"/>
        <v>3.745493025719662E-3</v>
      </c>
      <c r="E2141" t="str">
        <f t="shared" si="429"/>
        <v>2018-07</v>
      </c>
      <c r="G2141">
        <v>5511.3</v>
      </c>
      <c r="H2141">
        <f t="shared" si="436"/>
        <v>3.6500769449031669E-3</v>
      </c>
      <c r="I2141" t="str">
        <f t="shared" si="430"/>
        <v>2018-07</v>
      </c>
      <c r="K2141">
        <v>12805.5</v>
      </c>
      <c r="L2141">
        <f t="shared" si="437"/>
        <v>5.7023009938465341E-4</v>
      </c>
      <c r="M2141" t="str">
        <f t="shared" si="431"/>
        <v>2018-07</v>
      </c>
      <c r="O2141">
        <v>8690.1300699999993</v>
      </c>
      <c r="P2141">
        <f t="shared" si="438"/>
        <v>6.2277171086113896E-3</v>
      </c>
      <c r="Q2141" t="str">
        <f t="shared" si="432"/>
        <v>2018-07</v>
      </c>
      <c r="S2141">
        <v>9870.7000000000007</v>
      </c>
      <c r="T2141">
        <f t="shared" si="439"/>
        <v>1.6831606828991452E-3</v>
      </c>
      <c r="U2141" t="str">
        <f t="shared" si="433"/>
        <v>2018-07</v>
      </c>
      <c r="W2141">
        <v>22215.69</v>
      </c>
      <c r="X2141">
        <f t="shared" si="440"/>
        <v>1.2441307572598084E-2</v>
      </c>
      <c r="Y2141">
        <f t="shared" si="441"/>
        <v>1.2519022597410069E-2</v>
      </c>
      <c r="Z2141" t="str">
        <f t="shared" si="434"/>
        <v>2018-07</v>
      </c>
    </row>
    <row r="2142" spans="1:26" x14ac:dyDescent="0.35">
      <c r="A2142" s="1">
        <v>43313</v>
      </c>
      <c r="C2142">
        <v>3509.23</v>
      </c>
      <c r="D2142">
        <f t="shared" si="435"/>
        <v>-4.6227935032630684E-3</v>
      </c>
      <c r="E2142" t="str">
        <f t="shared" si="429"/>
        <v>2018-08</v>
      </c>
      <c r="G2142">
        <v>5498.37</v>
      </c>
      <c r="H2142">
        <f t="shared" si="436"/>
        <v>-2.3488453231835411E-3</v>
      </c>
      <c r="I2142" t="str">
        <f t="shared" si="430"/>
        <v>2018-08</v>
      </c>
      <c r="K2142">
        <v>12737.05</v>
      </c>
      <c r="L2142">
        <f t="shared" si="437"/>
        <v>-5.359696965245726E-3</v>
      </c>
      <c r="M2142" t="str">
        <f t="shared" si="431"/>
        <v>2018-08</v>
      </c>
      <c r="O2142">
        <v>8603.9487000000008</v>
      </c>
      <c r="P2142">
        <f t="shared" si="438"/>
        <v>-9.9666578997282141E-3</v>
      </c>
      <c r="Q2142" t="str">
        <f t="shared" si="432"/>
        <v>2018-08</v>
      </c>
      <c r="S2142">
        <v>9799.2999999999993</v>
      </c>
      <c r="T2142">
        <f t="shared" si="439"/>
        <v>-7.2598183624051149E-3</v>
      </c>
      <c r="U2142" t="str">
        <f t="shared" si="433"/>
        <v>2018-08</v>
      </c>
      <c r="W2142">
        <v>21791.45</v>
      </c>
      <c r="X2142">
        <f t="shared" si="440"/>
        <v>-1.9281104971122079E-2</v>
      </c>
      <c r="Y2142">
        <f t="shared" si="441"/>
        <v>-1.9096413390716112E-2</v>
      </c>
      <c r="Z2142" t="str">
        <f t="shared" si="434"/>
        <v>2018-08</v>
      </c>
    </row>
    <row r="2143" spans="1:26" x14ac:dyDescent="0.35">
      <c r="A2143" s="1">
        <v>43314</v>
      </c>
      <c r="C2143">
        <v>3469.21</v>
      </c>
      <c r="D2143">
        <f t="shared" si="435"/>
        <v>-1.1469737859631842E-2</v>
      </c>
      <c r="E2143" t="str">
        <f t="shared" si="429"/>
        <v>2018-08</v>
      </c>
      <c r="G2143">
        <v>5460.98</v>
      </c>
      <c r="H2143">
        <f t="shared" si="436"/>
        <v>-6.8234238472762955E-3</v>
      </c>
      <c r="I2143" t="str">
        <f t="shared" si="430"/>
        <v>2018-08</v>
      </c>
      <c r="K2143">
        <v>12546.33</v>
      </c>
      <c r="L2143">
        <f t="shared" si="437"/>
        <v>-1.5086876638251086E-2</v>
      </c>
      <c r="M2143" t="str">
        <f t="shared" si="431"/>
        <v>2018-08</v>
      </c>
      <c r="O2143">
        <v>8505.8723100000007</v>
      </c>
      <c r="P2143">
        <f t="shared" si="438"/>
        <v>-1.1464464082255502E-2</v>
      </c>
      <c r="Q2143" t="str">
        <f t="shared" si="432"/>
        <v>2018-08</v>
      </c>
      <c r="S2143">
        <v>9698.2000000000007</v>
      </c>
      <c r="T2143">
        <f t="shared" si="439"/>
        <v>-1.0370653274615713E-2</v>
      </c>
      <c r="U2143" t="str">
        <f t="shared" si="433"/>
        <v>2018-08</v>
      </c>
      <c r="W2143">
        <v>21414.720000000001</v>
      </c>
      <c r="X2143">
        <f t="shared" si="440"/>
        <v>-1.7439154994535886E-2</v>
      </c>
      <c r="Y2143">
        <f t="shared" si="441"/>
        <v>-1.7287973035295931E-2</v>
      </c>
      <c r="Z2143" t="str">
        <f t="shared" si="434"/>
        <v>2018-08</v>
      </c>
    </row>
    <row r="2144" spans="1:26" x14ac:dyDescent="0.35">
      <c r="A2144" s="1">
        <v>43315</v>
      </c>
      <c r="C2144">
        <v>3482.4</v>
      </c>
      <c r="D2144">
        <f t="shared" si="435"/>
        <v>3.7948089230056908E-3</v>
      </c>
      <c r="E2144" t="str">
        <f t="shared" si="429"/>
        <v>2018-08</v>
      </c>
      <c r="G2144">
        <v>5478.98</v>
      </c>
      <c r="H2144">
        <f t="shared" si="436"/>
        <v>3.2906914180621397E-3</v>
      </c>
      <c r="I2144" t="str">
        <f t="shared" si="430"/>
        <v>2018-08</v>
      </c>
      <c r="K2144">
        <v>12615.76</v>
      </c>
      <c r="L2144">
        <f t="shared" si="437"/>
        <v>5.5186334846819536E-3</v>
      </c>
      <c r="M2144" t="str">
        <f t="shared" si="431"/>
        <v>2018-08</v>
      </c>
      <c r="O2144">
        <v>8600.3865499999993</v>
      </c>
      <c r="P2144">
        <f t="shared" si="438"/>
        <v>1.1050364961406973E-2</v>
      </c>
      <c r="Q2144" t="str">
        <f t="shared" si="432"/>
        <v>2018-08</v>
      </c>
      <c r="S2144">
        <v>9739.7999999999993</v>
      </c>
      <c r="T2144">
        <f t="shared" si="439"/>
        <v>4.2802822833771948E-3</v>
      </c>
      <c r="U2144" t="str">
        <f t="shared" si="433"/>
        <v>2018-08</v>
      </c>
      <c r="W2144">
        <v>21586.85</v>
      </c>
      <c r="X2144">
        <f t="shared" si="440"/>
        <v>8.0057969677203421E-3</v>
      </c>
      <c r="Y2144">
        <f t="shared" si="441"/>
        <v>8.0379290506715651E-3</v>
      </c>
      <c r="Z2144" t="str">
        <f t="shared" si="434"/>
        <v>2018-08</v>
      </c>
    </row>
    <row r="2145" spans="1:26" x14ac:dyDescent="0.35">
      <c r="A2145" s="1">
        <v>43318</v>
      </c>
      <c r="C2145">
        <v>3483.3</v>
      </c>
      <c r="D2145">
        <f t="shared" si="435"/>
        <v>2.5840906298240019E-4</v>
      </c>
      <c r="E2145" t="str">
        <f t="shared" si="429"/>
        <v>2018-08</v>
      </c>
      <c r="G2145">
        <v>5477.18</v>
      </c>
      <c r="H2145">
        <f t="shared" si="436"/>
        <v>-3.2858227995832763E-4</v>
      </c>
      <c r="I2145" t="str">
        <f t="shared" si="430"/>
        <v>2018-08</v>
      </c>
      <c r="K2145">
        <v>12598.21</v>
      </c>
      <c r="L2145">
        <f t="shared" si="437"/>
        <v>-1.3920856441237532E-3</v>
      </c>
      <c r="M2145" t="str">
        <f t="shared" si="431"/>
        <v>2018-08</v>
      </c>
      <c r="O2145">
        <v>8579.1648999999998</v>
      </c>
      <c r="P2145">
        <f t="shared" si="438"/>
        <v>-2.4705721631935779E-3</v>
      </c>
      <c r="Q2145" t="str">
        <f t="shared" si="432"/>
        <v>2018-08</v>
      </c>
      <c r="S2145">
        <v>9722.7000000000007</v>
      </c>
      <c r="T2145">
        <f t="shared" si="439"/>
        <v>-1.7572258856955133E-3</v>
      </c>
      <c r="U2145" t="str">
        <f t="shared" si="433"/>
        <v>2018-08</v>
      </c>
      <c r="W2145">
        <v>21580.18</v>
      </c>
      <c r="X2145">
        <f t="shared" si="440"/>
        <v>-3.0903215037404887E-4</v>
      </c>
      <c r="Y2145">
        <f t="shared" si="441"/>
        <v>-3.0898440485750602E-4</v>
      </c>
      <c r="Z2145" t="str">
        <f t="shared" si="434"/>
        <v>2018-08</v>
      </c>
    </row>
    <row r="2146" spans="1:26" x14ac:dyDescent="0.35">
      <c r="A2146" s="1">
        <v>43319</v>
      </c>
      <c r="C2146">
        <v>3504.37</v>
      </c>
      <c r="D2146">
        <f t="shared" si="435"/>
        <v>6.0306407879052344E-3</v>
      </c>
      <c r="E2146" t="str">
        <f t="shared" si="429"/>
        <v>2018-08</v>
      </c>
      <c r="G2146">
        <v>5521.31</v>
      </c>
      <c r="H2146">
        <f t="shared" si="436"/>
        <v>8.0247810054140545E-3</v>
      </c>
      <c r="I2146" t="str">
        <f t="shared" si="430"/>
        <v>2018-08</v>
      </c>
      <c r="K2146">
        <v>12648.19</v>
      </c>
      <c r="L2146">
        <f t="shared" si="437"/>
        <v>3.9593815588320654E-3</v>
      </c>
      <c r="M2146" t="str">
        <f t="shared" si="431"/>
        <v>2018-08</v>
      </c>
      <c r="O2146">
        <v>8621.9542799999999</v>
      </c>
      <c r="P2146">
        <f t="shared" si="438"/>
        <v>4.9751958363255374E-3</v>
      </c>
      <c r="Q2146" t="str">
        <f t="shared" si="432"/>
        <v>2018-08</v>
      </c>
      <c r="S2146">
        <v>9772.7999999999993</v>
      </c>
      <c r="T2146">
        <f t="shared" si="439"/>
        <v>5.139658925099785E-3</v>
      </c>
      <c r="U2146" t="str">
        <f t="shared" si="433"/>
        <v>2018-08</v>
      </c>
      <c r="W2146">
        <v>21853.81</v>
      </c>
      <c r="X2146">
        <f t="shared" si="440"/>
        <v>1.2599976198440327E-2</v>
      </c>
      <c r="Y2146">
        <f t="shared" si="441"/>
        <v>1.2679690345492994E-2</v>
      </c>
      <c r="Z2146" t="str">
        <f t="shared" si="434"/>
        <v>2018-08</v>
      </c>
    </row>
    <row r="2147" spans="1:26" x14ac:dyDescent="0.35">
      <c r="A2147" s="1">
        <v>43320</v>
      </c>
      <c r="C2147">
        <v>3493.6</v>
      </c>
      <c r="D2147">
        <f t="shared" si="435"/>
        <v>-3.078037917624228E-3</v>
      </c>
      <c r="E2147" t="str">
        <f t="shared" si="429"/>
        <v>2018-08</v>
      </c>
      <c r="G2147">
        <v>5501.9</v>
      </c>
      <c r="H2147">
        <f t="shared" si="436"/>
        <v>-3.5216638457254003E-3</v>
      </c>
      <c r="I2147" t="str">
        <f t="shared" si="430"/>
        <v>2018-08</v>
      </c>
      <c r="K2147">
        <v>12633.54</v>
      </c>
      <c r="L2147">
        <f t="shared" si="437"/>
        <v>-1.1589398067103217E-3</v>
      </c>
      <c r="M2147" t="str">
        <f t="shared" si="431"/>
        <v>2018-08</v>
      </c>
      <c r="O2147">
        <v>8639.1572799999994</v>
      </c>
      <c r="P2147">
        <f t="shared" si="438"/>
        <v>1.9932674249849985E-3</v>
      </c>
      <c r="Q2147" t="str">
        <f t="shared" si="432"/>
        <v>2018-08</v>
      </c>
      <c r="S2147">
        <v>9747.1</v>
      </c>
      <c r="T2147">
        <f t="shared" si="439"/>
        <v>-2.6332117326311999E-3</v>
      </c>
      <c r="U2147" t="str">
        <f t="shared" si="433"/>
        <v>2018-08</v>
      </c>
      <c r="W2147">
        <v>21790.3</v>
      </c>
      <c r="X2147">
        <f t="shared" si="440"/>
        <v>-2.910360405035927E-3</v>
      </c>
      <c r="Y2147">
        <f t="shared" si="441"/>
        <v>-2.9061294117594155E-3</v>
      </c>
      <c r="Z2147" t="str">
        <f t="shared" si="434"/>
        <v>2018-08</v>
      </c>
    </row>
    <row r="2148" spans="1:26" x14ac:dyDescent="0.35">
      <c r="A2148" s="1">
        <v>43321</v>
      </c>
      <c r="C2148">
        <v>3494.13</v>
      </c>
      <c r="D2148">
        <f t="shared" si="435"/>
        <v>1.5169447045517288E-4</v>
      </c>
      <c r="E2148" t="str">
        <f t="shared" si="429"/>
        <v>2018-08</v>
      </c>
      <c r="G2148">
        <v>5502.25</v>
      </c>
      <c r="H2148">
        <f t="shared" si="436"/>
        <v>6.3612364447680734E-5</v>
      </c>
      <c r="I2148" t="str">
        <f t="shared" si="430"/>
        <v>2018-08</v>
      </c>
      <c r="K2148">
        <v>12676.11</v>
      </c>
      <c r="L2148">
        <f t="shared" si="437"/>
        <v>3.3639374818512668E-3</v>
      </c>
      <c r="M2148" t="str">
        <f t="shared" si="431"/>
        <v>2018-08</v>
      </c>
      <c r="O2148">
        <v>8607.2512499999993</v>
      </c>
      <c r="P2148">
        <f t="shared" si="438"/>
        <v>-3.7000244247298738E-3</v>
      </c>
      <c r="Q2148" t="str">
        <f t="shared" si="432"/>
        <v>2018-08</v>
      </c>
      <c r="S2148">
        <v>9754.6</v>
      </c>
      <c r="T2148">
        <f t="shared" si="439"/>
        <v>7.6916375185328613E-4</v>
      </c>
      <c r="U2148" t="str">
        <f t="shared" si="433"/>
        <v>2018-08</v>
      </c>
      <c r="W2148">
        <v>21634.25</v>
      </c>
      <c r="X2148">
        <f t="shared" si="440"/>
        <v>-7.1872096195549602E-3</v>
      </c>
      <c r="Y2148">
        <f t="shared" si="441"/>
        <v>-7.1614433945379032E-3</v>
      </c>
      <c r="Z2148" t="str">
        <f t="shared" si="434"/>
        <v>2018-08</v>
      </c>
    </row>
    <row r="2149" spans="1:26" x14ac:dyDescent="0.35">
      <c r="A2149" s="1">
        <v>43322</v>
      </c>
      <c r="C2149">
        <v>3426.28</v>
      </c>
      <c r="D2149">
        <f t="shared" si="435"/>
        <v>-1.9609293134650346E-2</v>
      </c>
      <c r="E2149" t="str">
        <f t="shared" si="429"/>
        <v>2018-08</v>
      </c>
      <c r="G2149">
        <v>5414.68</v>
      </c>
      <c r="H2149">
        <f t="shared" si="436"/>
        <v>-1.604331589206151E-2</v>
      </c>
      <c r="I2149" t="str">
        <f t="shared" si="430"/>
        <v>2018-08</v>
      </c>
      <c r="K2149">
        <v>12424.35</v>
      </c>
      <c r="L2149">
        <f t="shared" si="437"/>
        <v>-2.0060862876394487E-2</v>
      </c>
      <c r="M2149" t="str">
        <f t="shared" si="431"/>
        <v>2018-08</v>
      </c>
      <c r="O2149">
        <v>8572.7688600000001</v>
      </c>
      <c r="P2149">
        <f t="shared" si="438"/>
        <v>-4.0142486544088377E-3</v>
      </c>
      <c r="Q2149" t="str">
        <f t="shared" si="432"/>
        <v>2018-08</v>
      </c>
      <c r="S2149">
        <v>9602.1</v>
      </c>
      <c r="T2149">
        <f t="shared" si="439"/>
        <v>-1.5757144069845526E-2</v>
      </c>
      <c r="U2149" t="str">
        <f t="shared" si="433"/>
        <v>2018-08</v>
      </c>
      <c r="W2149">
        <v>21090.78</v>
      </c>
      <c r="X2149">
        <f t="shared" si="440"/>
        <v>-2.5441728866032742E-2</v>
      </c>
      <c r="Y2149">
        <f t="shared" si="441"/>
        <v>-2.5120815373770811E-2</v>
      </c>
      <c r="Z2149" t="str">
        <f t="shared" si="434"/>
        <v>2018-08</v>
      </c>
    </row>
    <row r="2150" spans="1:26" x14ac:dyDescent="0.35">
      <c r="A2150" s="1">
        <v>43325</v>
      </c>
      <c r="C2150">
        <v>3409.68</v>
      </c>
      <c r="D2150">
        <f t="shared" si="435"/>
        <v>-4.8566792752246053E-3</v>
      </c>
      <c r="E2150" t="str">
        <f t="shared" si="429"/>
        <v>2018-08</v>
      </c>
      <c r="G2150">
        <v>5412.32</v>
      </c>
      <c r="H2150">
        <f t="shared" si="436"/>
        <v>-4.359471760186652E-4</v>
      </c>
      <c r="I2150" t="str">
        <f t="shared" si="430"/>
        <v>2018-08</v>
      </c>
      <c r="K2150">
        <v>12358.74</v>
      </c>
      <c r="L2150">
        <f t="shared" si="437"/>
        <v>-5.2947516454149874E-3</v>
      </c>
      <c r="M2150" t="str">
        <f t="shared" si="431"/>
        <v>2018-08</v>
      </c>
      <c r="O2150">
        <v>8549.2950400000009</v>
      </c>
      <c r="P2150">
        <f t="shared" si="438"/>
        <v>-2.7419398553703688E-3</v>
      </c>
      <c r="Q2150" t="str">
        <f t="shared" si="432"/>
        <v>2018-08</v>
      </c>
      <c r="S2150">
        <v>9530.4</v>
      </c>
      <c r="T2150">
        <f t="shared" si="439"/>
        <v>-7.4951350484835861E-3</v>
      </c>
      <c r="U2150" t="str">
        <f t="shared" si="433"/>
        <v>2018-08</v>
      </c>
      <c r="W2150">
        <v>20969.259999999998</v>
      </c>
      <c r="X2150">
        <f t="shared" si="440"/>
        <v>-5.7784223757697314E-3</v>
      </c>
      <c r="Y2150">
        <f t="shared" si="441"/>
        <v>-5.7617594038722342E-3</v>
      </c>
      <c r="Z2150" t="str">
        <f t="shared" si="434"/>
        <v>2018-08</v>
      </c>
    </row>
    <row r="2151" spans="1:26" x14ac:dyDescent="0.35">
      <c r="A2151" s="1">
        <v>43326</v>
      </c>
      <c r="C2151">
        <v>3409.44</v>
      </c>
      <c r="D2151">
        <f t="shared" si="435"/>
        <v>-7.0390314321703643E-5</v>
      </c>
      <c r="E2151" t="str">
        <f t="shared" si="429"/>
        <v>2018-08</v>
      </c>
      <c r="G2151">
        <v>5403.41</v>
      </c>
      <c r="H2151">
        <f t="shared" si="436"/>
        <v>-1.6476006733861085E-3</v>
      </c>
      <c r="I2151" t="str">
        <f t="shared" si="430"/>
        <v>2018-08</v>
      </c>
      <c r="K2151">
        <v>12358.87</v>
      </c>
      <c r="L2151">
        <f t="shared" si="437"/>
        <v>1.0518816342090252E-5</v>
      </c>
      <c r="M2151" t="str">
        <f t="shared" si="431"/>
        <v>2018-08</v>
      </c>
      <c r="O2151">
        <v>8531.7209800000001</v>
      </c>
      <c r="P2151">
        <f t="shared" si="438"/>
        <v>-2.0577307790721252E-3</v>
      </c>
      <c r="Q2151" t="str">
        <f t="shared" si="432"/>
        <v>2018-08</v>
      </c>
      <c r="S2151">
        <v>9507</v>
      </c>
      <c r="T2151">
        <f t="shared" si="439"/>
        <v>-2.4583201261209036E-3</v>
      </c>
      <c r="U2151" t="str">
        <f t="shared" si="433"/>
        <v>2018-08</v>
      </c>
      <c r="W2151">
        <v>20906.349999999999</v>
      </c>
      <c r="X2151">
        <f t="shared" si="440"/>
        <v>-3.0046152081259652E-3</v>
      </c>
      <c r="Y2151">
        <f t="shared" si="441"/>
        <v>-3.0001058692581358E-3</v>
      </c>
      <c r="Z2151" t="str">
        <f t="shared" si="434"/>
        <v>2018-08</v>
      </c>
    </row>
    <row r="2152" spans="1:26" x14ac:dyDescent="0.35">
      <c r="A2152" s="1">
        <v>43328</v>
      </c>
      <c r="C2152">
        <v>3377.56</v>
      </c>
      <c r="D2152">
        <f t="shared" si="435"/>
        <v>-9.3944996222436686E-3</v>
      </c>
      <c r="E2152" t="str">
        <f t="shared" si="429"/>
        <v>2018-08</v>
      </c>
      <c r="G2152">
        <v>5349.02</v>
      </c>
      <c r="H2152">
        <f t="shared" si="436"/>
        <v>-1.0116869192416469E-2</v>
      </c>
      <c r="I2152" t="str">
        <f t="shared" si="430"/>
        <v>2018-08</v>
      </c>
      <c r="K2152">
        <v>12237.17</v>
      </c>
      <c r="L2152">
        <f t="shared" si="437"/>
        <v>-9.8959827010038377E-3</v>
      </c>
      <c r="M2152" t="str">
        <f t="shared" si="431"/>
        <v>2018-08</v>
      </c>
      <c r="O2152">
        <v>8448.7296999999999</v>
      </c>
      <c r="P2152">
        <f t="shared" si="438"/>
        <v>-9.774998601055707E-3</v>
      </c>
      <c r="Q2152" t="str">
        <f t="shared" si="432"/>
        <v>2018-08</v>
      </c>
      <c r="S2152">
        <v>9427.4</v>
      </c>
      <c r="T2152">
        <f t="shared" si="439"/>
        <v>-8.4080265487529154E-3</v>
      </c>
      <c r="U2152" t="str">
        <f t="shared" si="433"/>
        <v>2018-08</v>
      </c>
      <c r="W2152">
        <v>20524.13</v>
      </c>
      <c r="X2152">
        <f t="shared" si="440"/>
        <v>-1.8451673468054729E-2</v>
      </c>
      <c r="Y2152">
        <f t="shared" si="441"/>
        <v>-1.8282483551648066E-2</v>
      </c>
      <c r="Z2152" t="str">
        <f t="shared" si="434"/>
        <v>2018-08</v>
      </c>
    </row>
    <row r="2153" spans="1:26" x14ac:dyDescent="0.35">
      <c r="A2153" s="1">
        <v>43329</v>
      </c>
      <c r="C2153">
        <v>3372.94</v>
      </c>
      <c r="D2153">
        <f t="shared" si="435"/>
        <v>-1.3687877109334902E-3</v>
      </c>
      <c r="E2153" t="str">
        <f t="shared" si="429"/>
        <v>2018-08</v>
      </c>
      <c r="G2153">
        <v>5344.93</v>
      </c>
      <c r="H2153">
        <f t="shared" si="436"/>
        <v>-7.6491851924158404E-4</v>
      </c>
      <c r="I2153" t="str">
        <f t="shared" si="430"/>
        <v>2018-08</v>
      </c>
      <c r="K2153">
        <v>12210.55</v>
      </c>
      <c r="L2153">
        <f t="shared" si="437"/>
        <v>-2.1777090477361938E-3</v>
      </c>
      <c r="M2153" t="str">
        <f t="shared" si="431"/>
        <v>2018-08</v>
      </c>
      <c r="O2153">
        <v>8433.1047500000004</v>
      </c>
      <c r="P2153">
        <f t="shared" si="438"/>
        <v>-1.8510967523023602E-3</v>
      </c>
      <c r="Q2153" t="str">
        <f t="shared" si="432"/>
        <v>2018-08</v>
      </c>
      <c r="S2153">
        <v>9417.2999999999993</v>
      </c>
      <c r="T2153">
        <f t="shared" si="439"/>
        <v>-1.0719195282583277E-3</v>
      </c>
      <c r="U2153" t="str">
        <f t="shared" si="433"/>
        <v>2018-08</v>
      </c>
      <c r="W2153">
        <v>20415.27</v>
      </c>
      <c r="X2153">
        <f t="shared" si="440"/>
        <v>-5.3181168540860288E-3</v>
      </c>
      <c r="Y2153">
        <f t="shared" si="441"/>
        <v>-5.3040007055110538E-3</v>
      </c>
      <c r="Z2153" t="str">
        <f t="shared" si="434"/>
        <v>2018-08</v>
      </c>
    </row>
    <row r="2154" spans="1:26" x14ac:dyDescent="0.35">
      <c r="A2154" s="1">
        <v>43332</v>
      </c>
      <c r="C2154">
        <v>3393.67</v>
      </c>
      <c r="D2154">
        <f t="shared" si="435"/>
        <v>6.1271640759570827E-3</v>
      </c>
      <c r="E2154" t="str">
        <f t="shared" si="429"/>
        <v>2018-08</v>
      </c>
      <c r="G2154">
        <v>5379.65</v>
      </c>
      <c r="H2154">
        <f t="shared" si="436"/>
        <v>6.474868255873352E-3</v>
      </c>
      <c r="I2154" t="str">
        <f t="shared" si="430"/>
        <v>2018-08</v>
      </c>
      <c r="K2154">
        <v>12331.3</v>
      </c>
      <c r="L2154">
        <f t="shared" si="437"/>
        <v>9.840413366383291E-3</v>
      </c>
      <c r="M2154" t="str">
        <f t="shared" si="431"/>
        <v>2018-08</v>
      </c>
      <c r="O2154">
        <v>8471.0220499999996</v>
      </c>
      <c r="P2154">
        <f t="shared" si="438"/>
        <v>4.4861664895496037E-3</v>
      </c>
      <c r="Q2154" t="str">
        <f t="shared" si="432"/>
        <v>2018-08</v>
      </c>
      <c r="S2154">
        <v>9468.6</v>
      </c>
      <c r="T2154">
        <f t="shared" si="439"/>
        <v>5.4326377001229437E-3</v>
      </c>
      <c r="U2154" t="str">
        <f t="shared" si="433"/>
        <v>2018-08</v>
      </c>
      <c r="W2154">
        <v>20470.97</v>
      </c>
      <c r="X2154">
        <f t="shared" si="440"/>
        <v>2.724634716131118E-3</v>
      </c>
      <c r="Y2154">
        <f t="shared" si="441"/>
        <v>2.7283499067120211E-3</v>
      </c>
      <c r="Z2154" t="str">
        <f t="shared" si="434"/>
        <v>2018-08</v>
      </c>
    </row>
    <row r="2155" spans="1:26" x14ac:dyDescent="0.35">
      <c r="A2155" s="1">
        <v>43333</v>
      </c>
      <c r="C2155">
        <v>3411.66</v>
      </c>
      <c r="D2155">
        <f t="shared" si="435"/>
        <v>5.287044685841469E-3</v>
      </c>
      <c r="E2155" t="str">
        <f t="shared" si="429"/>
        <v>2018-08</v>
      </c>
      <c r="G2155">
        <v>5408.6</v>
      </c>
      <c r="H2155">
        <f t="shared" si="436"/>
        <v>5.3669630366969404E-3</v>
      </c>
      <c r="I2155" t="str">
        <f t="shared" si="430"/>
        <v>2018-08</v>
      </c>
      <c r="K2155">
        <v>12384.49</v>
      </c>
      <c r="L2155">
        <f t="shared" si="437"/>
        <v>4.3041377285292668E-3</v>
      </c>
      <c r="M2155" t="str">
        <f t="shared" si="431"/>
        <v>2018-08</v>
      </c>
      <c r="O2155">
        <v>8429.6782000000003</v>
      </c>
      <c r="P2155">
        <f t="shared" si="438"/>
        <v>-4.8925703503266875E-3</v>
      </c>
      <c r="Q2155" t="str">
        <f t="shared" si="432"/>
        <v>2018-08</v>
      </c>
      <c r="S2155">
        <v>9549</v>
      </c>
      <c r="T2155">
        <f t="shared" si="439"/>
        <v>8.455375968060513E-3</v>
      </c>
      <c r="U2155" t="str">
        <f t="shared" si="433"/>
        <v>2018-08</v>
      </c>
      <c r="W2155">
        <v>20783.79</v>
      </c>
      <c r="X2155">
        <f t="shared" si="440"/>
        <v>1.5165570981454497E-2</v>
      </c>
      <c r="Y2155">
        <f t="shared" si="441"/>
        <v>1.5281151796910438E-2</v>
      </c>
      <c r="Z2155" t="str">
        <f t="shared" si="434"/>
        <v>2018-08</v>
      </c>
    </row>
    <row r="2156" spans="1:26" x14ac:dyDescent="0.35">
      <c r="A2156" s="1">
        <v>43334</v>
      </c>
      <c r="C2156">
        <v>3420.18</v>
      </c>
      <c r="D2156">
        <f t="shared" si="435"/>
        <v>2.4942049043743604E-3</v>
      </c>
      <c r="E2156" t="str">
        <f t="shared" si="429"/>
        <v>2018-08</v>
      </c>
      <c r="G2156">
        <v>5420.61</v>
      </c>
      <c r="H2156">
        <f t="shared" si="436"/>
        <v>2.2180759120858573E-3</v>
      </c>
      <c r="I2156" t="str">
        <f t="shared" si="430"/>
        <v>2018-08</v>
      </c>
      <c r="K2156">
        <v>12385.7</v>
      </c>
      <c r="L2156">
        <f t="shared" si="437"/>
        <v>9.7698079906699759E-5</v>
      </c>
      <c r="M2156" t="str">
        <f t="shared" si="431"/>
        <v>2018-08</v>
      </c>
      <c r="O2156">
        <v>8436.2264200000009</v>
      </c>
      <c r="P2156">
        <f t="shared" si="438"/>
        <v>7.7650389665567766E-4</v>
      </c>
      <c r="Q2156" t="str">
        <f t="shared" si="432"/>
        <v>2018-08</v>
      </c>
      <c r="S2156">
        <v>9580.2000000000007</v>
      </c>
      <c r="T2156">
        <f t="shared" si="439"/>
        <v>3.2620316235081833E-3</v>
      </c>
      <c r="U2156" t="str">
        <f t="shared" si="433"/>
        <v>2018-08</v>
      </c>
      <c r="W2156">
        <v>20699.7</v>
      </c>
      <c r="X2156">
        <f t="shared" si="440"/>
        <v>-4.0541485384224989E-3</v>
      </c>
      <c r="Y2156">
        <f t="shared" si="441"/>
        <v>-4.0459415727352975E-3</v>
      </c>
      <c r="Z2156" t="str">
        <f t="shared" si="434"/>
        <v>2018-08</v>
      </c>
    </row>
    <row r="2157" spans="1:26" x14ac:dyDescent="0.35">
      <c r="A2157" s="1">
        <v>43335</v>
      </c>
      <c r="C2157">
        <v>3419.26</v>
      </c>
      <c r="D2157">
        <f t="shared" si="435"/>
        <v>-2.6902787524951227E-4</v>
      </c>
      <c r="E2157" t="str">
        <f t="shared" si="429"/>
        <v>2018-08</v>
      </c>
      <c r="G2157">
        <v>5419.33</v>
      </c>
      <c r="H2157">
        <f t="shared" si="436"/>
        <v>-2.3616366990013177E-4</v>
      </c>
      <c r="I2157" t="str">
        <f t="shared" si="430"/>
        <v>2018-08</v>
      </c>
      <c r="K2157">
        <v>12365.58</v>
      </c>
      <c r="L2157">
        <f t="shared" si="437"/>
        <v>-1.6257748634957178E-3</v>
      </c>
      <c r="M2157" t="str">
        <f t="shared" si="431"/>
        <v>2018-08</v>
      </c>
      <c r="O2157">
        <v>8387.9415200000003</v>
      </c>
      <c r="P2157">
        <f t="shared" si="438"/>
        <v>-5.7399608400187365E-3</v>
      </c>
      <c r="Q2157" t="str">
        <f t="shared" si="432"/>
        <v>2018-08</v>
      </c>
      <c r="S2157">
        <v>9567.2999999999993</v>
      </c>
      <c r="T2157">
        <f t="shared" si="439"/>
        <v>-1.347434594777412E-3</v>
      </c>
      <c r="U2157" t="str">
        <f t="shared" si="433"/>
        <v>2018-08</v>
      </c>
      <c r="W2157">
        <v>20608.509999999998</v>
      </c>
      <c r="X2157">
        <f t="shared" si="440"/>
        <v>-4.4151101261473251E-3</v>
      </c>
      <c r="Y2157">
        <f t="shared" si="441"/>
        <v>-4.4053778557178284E-3</v>
      </c>
      <c r="Z2157" t="str">
        <f t="shared" si="434"/>
        <v>2018-08</v>
      </c>
    </row>
    <row r="2158" spans="1:26" x14ac:dyDescent="0.35">
      <c r="A2158" s="1">
        <v>43336</v>
      </c>
      <c r="C2158">
        <v>3427.44</v>
      </c>
      <c r="D2158">
        <f t="shared" si="435"/>
        <v>2.3894734374316933E-3</v>
      </c>
      <c r="E2158" t="str">
        <f t="shared" si="429"/>
        <v>2018-08</v>
      </c>
      <c r="G2158">
        <v>5432.5</v>
      </c>
      <c r="H2158">
        <f t="shared" si="436"/>
        <v>2.4272415741717606E-3</v>
      </c>
      <c r="I2158" t="str">
        <f t="shared" si="430"/>
        <v>2018-08</v>
      </c>
      <c r="K2158">
        <v>12394.52</v>
      </c>
      <c r="L2158">
        <f t="shared" si="437"/>
        <v>2.3376329803692641E-3</v>
      </c>
      <c r="M2158" t="str">
        <f t="shared" si="431"/>
        <v>2018-08</v>
      </c>
      <c r="O2158">
        <v>8377.3506500000003</v>
      </c>
      <c r="P2158">
        <f t="shared" si="438"/>
        <v>-1.2634281945599899E-3</v>
      </c>
      <c r="Q2158" t="str">
        <f t="shared" si="432"/>
        <v>2018-08</v>
      </c>
      <c r="S2158">
        <v>9589.5</v>
      </c>
      <c r="T2158">
        <f t="shared" si="439"/>
        <v>2.3177158959578215E-3</v>
      </c>
      <c r="U2158" t="str">
        <f t="shared" si="433"/>
        <v>2018-08</v>
      </c>
      <c r="W2158">
        <v>20741.96</v>
      </c>
      <c r="X2158">
        <f t="shared" si="440"/>
        <v>6.4546044248070958E-3</v>
      </c>
      <c r="Y2158">
        <f t="shared" si="441"/>
        <v>6.4754802748961827E-3</v>
      </c>
      <c r="Z2158" t="str">
        <f t="shared" si="434"/>
        <v>2018-08</v>
      </c>
    </row>
    <row r="2159" spans="1:26" x14ac:dyDescent="0.35">
      <c r="A2159" s="1">
        <v>43340</v>
      </c>
      <c r="C2159">
        <v>3447.57</v>
      </c>
      <c r="D2159">
        <f t="shared" si="435"/>
        <v>5.8560082170623917E-3</v>
      </c>
      <c r="E2159" t="str">
        <f t="shared" si="429"/>
        <v>2018-08</v>
      </c>
      <c r="G2159">
        <v>5484.99</v>
      </c>
      <c r="H2159">
        <f t="shared" si="436"/>
        <v>9.6158374230274485E-3</v>
      </c>
      <c r="I2159" t="str">
        <f t="shared" si="430"/>
        <v>2018-08</v>
      </c>
      <c r="K2159">
        <v>12527.42</v>
      </c>
      <c r="L2159">
        <f t="shared" si="437"/>
        <v>1.0665402435590715E-2</v>
      </c>
      <c r="M2159" t="str">
        <f t="shared" si="431"/>
        <v>2018-08</v>
      </c>
      <c r="O2159">
        <v>8377.7719199999992</v>
      </c>
      <c r="P2159">
        <f t="shared" si="438"/>
        <v>5.0285516960791331E-5</v>
      </c>
      <c r="Q2159" t="str">
        <f t="shared" si="432"/>
        <v>2018-08</v>
      </c>
      <c r="S2159">
        <v>9606.5</v>
      </c>
      <c r="T2159">
        <f t="shared" si="439"/>
        <v>1.7712027968649171E-3</v>
      </c>
      <c r="U2159" t="str">
        <f t="shared" si="433"/>
        <v>2018-08</v>
      </c>
      <c r="W2159">
        <v>20620.05</v>
      </c>
      <c r="X2159">
        <f t="shared" si="440"/>
        <v>-5.8947982952033016E-3</v>
      </c>
      <c r="Y2159">
        <f t="shared" si="441"/>
        <v>-5.8774580608582727E-3</v>
      </c>
      <c r="Z2159" t="str">
        <f t="shared" si="434"/>
        <v>2018-08</v>
      </c>
    </row>
    <row r="2160" spans="1:26" x14ac:dyDescent="0.35">
      <c r="A2160" s="1">
        <v>43341</v>
      </c>
      <c r="C2160">
        <v>3456.13</v>
      </c>
      <c r="D2160">
        <f t="shared" si="435"/>
        <v>2.4798309273830043E-3</v>
      </c>
      <c r="E2160" t="str">
        <f t="shared" si="429"/>
        <v>2018-08</v>
      </c>
      <c r="G2160">
        <v>5501.33</v>
      </c>
      <c r="H2160">
        <f t="shared" si="436"/>
        <v>2.9746106154644857E-3</v>
      </c>
      <c r="I2160" t="str">
        <f t="shared" si="430"/>
        <v>2018-08</v>
      </c>
      <c r="K2160">
        <v>12561.68</v>
      </c>
      <c r="L2160">
        <f t="shared" si="437"/>
        <v>2.7310681765932402E-3</v>
      </c>
      <c r="M2160" t="str">
        <f t="shared" si="431"/>
        <v>2018-08</v>
      </c>
      <c r="O2160">
        <v>8403.2076899999993</v>
      </c>
      <c r="P2160">
        <f t="shared" si="438"/>
        <v>3.0315023402345065E-3</v>
      </c>
      <c r="Q2160" t="str">
        <f t="shared" si="432"/>
        <v>2018-08</v>
      </c>
      <c r="S2160">
        <v>9569.5</v>
      </c>
      <c r="T2160">
        <f t="shared" si="439"/>
        <v>-3.8589951936281869E-3</v>
      </c>
      <c r="U2160" t="str">
        <f t="shared" si="433"/>
        <v>2018-08</v>
      </c>
      <c r="W2160">
        <v>20760.07</v>
      </c>
      <c r="X2160">
        <f t="shared" si="440"/>
        <v>6.7675267448461347E-3</v>
      </c>
      <c r="Y2160">
        <f t="shared" si="441"/>
        <v>6.7904781996164145E-3</v>
      </c>
      <c r="Z2160" t="str">
        <f t="shared" si="434"/>
        <v>2018-08</v>
      </c>
    </row>
    <row r="2161" spans="1:26" x14ac:dyDescent="0.35">
      <c r="A2161" s="1">
        <v>43342</v>
      </c>
      <c r="C2161">
        <v>3430.99</v>
      </c>
      <c r="D2161">
        <f t="shared" si="435"/>
        <v>-7.3006167051873679E-3</v>
      </c>
      <c r="E2161" t="str">
        <f t="shared" si="429"/>
        <v>2018-08</v>
      </c>
      <c r="G2161">
        <v>5478.06</v>
      </c>
      <c r="H2161">
        <f t="shared" si="436"/>
        <v>-4.2388575035165058E-3</v>
      </c>
      <c r="I2161" t="str">
        <f t="shared" si="430"/>
        <v>2018-08</v>
      </c>
      <c r="K2161">
        <v>12494.24</v>
      </c>
      <c r="L2161">
        <f t="shared" si="437"/>
        <v>-5.3831719497283307E-3</v>
      </c>
      <c r="M2161" t="str">
        <f t="shared" si="431"/>
        <v>2018-08</v>
      </c>
      <c r="O2161">
        <v>8387.7527900000005</v>
      </c>
      <c r="P2161">
        <f t="shared" si="438"/>
        <v>-1.8408600726357747E-3</v>
      </c>
      <c r="Q2161" t="str">
        <f t="shared" si="432"/>
        <v>2018-08</v>
      </c>
      <c r="S2161">
        <v>9467.6</v>
      </c>
      <c r="T2161">
        <f t="shared" si="439"/>
        <v>-1.070551430747165E-2</v>
      </c>
      <c r="U2161" t="str">
        <f t="shared" si="433"/>
        <v>2018-08</v>
      </c>
      <c r="W2161">
        <v>20495.099999999999</v>
      </c>
      <c r="X2161">
        <f t="shared" si="440"/>
        <v>-1.2845596977745852E-2</v>
      </c>
      <c r="Y2161">
        <f t="shared" si="441"/>
        <v>-1.2763444439252911E-2</v>
      </c>
      <c r="Z2161" t="str">
        <f t="shared" si="434"/>
        <v>2018-08</v>
      </c>
    </row>
    <row r="2162" spans="1:26" x14ac:dyDescent="0.35">
      <c r="A2162" s="1">
        <v>43343</v>
      </c>
      <c r="C2162">
        <v>3392.9</v>
      </c>
      <c r="D2162">
        <f t="shared" si="435"/>
        <v>-1.1163836345401738E-2</v>
      </c>
      <c r="E2162" t="str">
        <f t="shared" si="429"/>
        <v>2018-08</v>
      </c>
      <c r="G2162">
        <v>5406.85</v>
      </c>
      <c r="H2162">
        <f t="shared" si="436"/>
        <v>-1.3084355484530762E-2</v>
      </c>
      <c r="I2162" t="str">
        <f t="shared" si="430"/>
        <v>2018-08</v>
      </c>
      <c r="K2162">
        <v>12364.06</v>
      </c>
      <c r="L2162">
        <f t="shared" si="437"/>
        <v>-1.0473861050767081E-2</v>
      </c>
      <c r="M2162" t="str">
        <f t="shared" si="431"/>
        <v>2018-08</v>
      </c>
      <c r="O2162">
        <v>8306.7469400000009</v>
      </c>
      <c r="P2162">
        <f t="shared" si="438"/>
        <v>-9.7045718124353867E-3</v>
      </c>
      <c r="Q2162" t="str">
        <f t="shared" si="432"/>
        <v>2018-08</v>
      </c>
      <c r="S2162">
        <v>9399.1</v>
      </c>
      <c r="T2162">
        <f t="shared" si="439"/>
        <v>-7.2615031772264235E-3</v>
      </c>
      <c r="U2162" t="str">
        <f t="shared" si="433"/>
        <v>2018-08</v>
      </c>
      <c r="W2162">
        <v>20269.47</v>
      </c>
      <c r="X2162">
        <f t="shared" si="440"/>
        <v>-1.1070020076460105E-2</v>
      </c>
      <c r="Y2162">
        <f t="shared" si="441"/>
        <v>-1.100897287644351E-2</v>
      </c>
      <c r="Z2162" t="str">
        <f t="shared" si="434"/>
        <v>2018-08</v>
      </c>
    </row>
    <row r="2163" spans="1:26" x14ac:dyDescent="0.35">
      <c r="A2163" s="1">
        <v>43346</v>
      </c>
      <c r="C2163">
        <v>3394.99</v>
      </c>
      <c r="D2163">
        <f t="shared" si="435"/>
        <v>6.1580257371469797E-4</v>
      </c>
      <c r="E2163" t="str">
        <f t="shared" si="429"/>
        <v>2018-09</v>
      </c>
      <c r="G2163">
        <v>5413.8</v>
      </c>
      <c r="H2163">
        <f t="shared" si="436"/>
        <v>1.284581047480709E-3</v>
      </c>
      <c r="I2163" t="str">
        <f t="shared" si="430"/>
        <v>2018-09</v>
      </c>
      <c r="K2163">
        <v>12346.41</v>
      </c>
      <c r="L2163">
        <f t="shared" si="437"/>
        <v>-1.4285444996867125E-3</v>
      </c>
      <c r="M2163" t="str">
        <f t="shared" si="431"/>
        <v>2018-09</v>
      </c>
      <c r="O2163">
        <v>8321.1459599999998</v>
      </c>
      <c r="P2163">
        <f t="shared" si="438"/>
        <v>1.7319119970008177E-3</v>
      </c>
      <c r="Q2163" t="str">
        <f t="shared" si="432"/>
        <v>2018-09</v>
      </c>
      <c r="S2163">
        <v>9376.1</v>
      </c>
      <c r="T2163">
        <f t="shared" si="439"/>
        <v>-2.4500417045019048E-3</v>
      </c>
      <c r="U2163" t="str">
        <f t="shared" si="433"/>
        <v>2018-09</v>
      </c>
      <c r="W2163">
        <v>20395.79</v>
      </c>
      <c r="X2163">
        <f t="shared" si="440"/>
        <v>6.2126938966304349E-3</v>
      </c>
      <c r="Y2163">
        <f t="shared" si="441"/>
        <v>6.2320327073179371E-3</v>
      </c>
      <c r="Z2163" t="str">
        <f t="shared" si="434"/>
        <v>2018-09</v>
      </c>
    </row>
    <row r="2164" spans="1:26" x14ac:dyDescent="0.35">
      <c r="A2164" s="1">
        <v>43347</v>
      </c>
      <c r="C2164">
        <v>3359.36</v>
      </c>
      <c r="D2164">
        <f t="shared" si="435"/>
        <v>-1.0550335856477968E-2</v>
      </c>
      <c r="E2164" t="str">
        <f t="shared" si="429"/>
        <v>2018-09</v>
      </c>
      <c r="G2164">
        <v>5342.7</v>
      </c>
      <c r="H2164">
        <f t="shared" si="436"/>
        <v>-1.3220106078440451E-2</v>
      </c>
      <c r="I2164" t="str">
        <f t="shared" si="430"/>
        <v>2018-09</v>
      </c>
      <c r="K2164">
        <v>12210.21</v>
      </c>
      <c r="L2164">
        <f t="shared" si="437"/>
        <v>-1.109284556494455E-2</v>
      </c>
      <c r="M2164" t="str">
        <f t="shared" si="431"/>
        <v>2018-09</v>
      </c>
      <c r="O2164">
        <v>8278.3534099999997</v>
      </c>
      <c r="P2164">
        <f t="shared" si="438"/>
        <v>-5.155895830741334E-3</v>
      </c>
      <c r="Q2164" t="str">
        <f t="shared" si="432"/>
        <v>2018-09</v>
      </c>
      <c r="S2164">
        <v>9376.2999999999993</v>
      </c>
      <c r="T2164">
        <f t="shared" si="439"/>
        <v>2.1330603016767749E-5</v>
      </c>
      <c r="U2164" t="str">
        <f t="shared" si="433"/>
        <v>2018-09</v>
      </c>
      <c r="W2164">
        <v>20601</v>
      </c>
      <c r="X2164">
        <f t="shared" si="440"/>
        <v>1.0011111303242675E-2</v>
      </c>
      <c r="Y2164">
        <f t="shared" si="441"/>
        <v>1.0061390120215943E-2</v>
      </c>
      <c r="Z2164" t="str">
        <f t="shared" si="434"/>
        <v>2018-09</v>
      </c>
    </row>
    <row r="2165" spans="1:26" x14ac:dyDescent="0.35">
      <c r="A2165" s="1">
        <v>43348</v>
      </c>
      <c r="C2165">
        <v>3315.62</v>
      </c>
      <c r="D2165">
        <f t="shared" si="435"/>
        <v>-1.3105844833979552E-2</v>
      </c>
      <c r="E2165" t="str">
        <f t="shared" si="429"/>
        <v>2018-09</v>
      </c>
      <c r="G2165">
        <v>5260.22</v>
      </c>
      <c r="H2165">
        <f t="shared" si="436"/>
        <v>-1.555829219790196E-2</v>
      </c>
      <c r="I2165" t="str">
        <f t="shared" si="430"/>
        <v>2018-09</v>
      </c>
      <c r="K2165">
        <v>12040.46</v>
      </c>
      <c r="L2165">
        <f t="shared" si="437"/>
        <v>-1.3999841860999366E-2</v>
      </c>
      <c r="M2165" t="str">
        <f t="shared" si="431"/>
        <v>2018-09</v>
      </c>
      <c r="O2165">
        <v>8197.7852000000003</v>
      </c>
      <c r="P2165">
        <f t="shared" si="438"/>
        <v>-9.7800648683091084E-3</v>
      </c>
      <c r="Q2165" t="str">
        <f t="shared" si="432"/>
        <v>2018-09</v>
      </c>
      <c r="S2165">
        <v>9301.2999999999993</v>
      </c>
      <c r="T2165">
        <f t="shared" si="439"/>
        <v>-8.0310535733660662E-3</v>
      </c>
      <c r="U2165" t="str">
        <f t="shared" si="433"/>
        <v>2018-09</v>
      </c>
      <c r="W2165">
        <v>20581.78</v>
      </c>
      <c r="X2165">
        <f t="shared" si="440"/>
        <v>-9.3339990138739345E-4</v>
      </c>
      <c r="Y2165">
        <f t="shared" si="441"/>
        <v>-9.329644192030078E-4</v>
      </c>
      <c r="Z2165" t="str">
        <f t="shared" si="434"/>
        <v>2018-09</v>
      </c>
    </row>
    <row r="2166" spans="1:26" x14ac:dyDescent="0.35">
      <c r="A2166" s="1">
        <v>43349</v>
      </c>
      <c r="C2166">
        <v>3295.95</v>
      </c>
      <c r="D2166">
        <f t="shared" si="435"/>
        <v>-5.9501927785152852E-3</v>
      </c>
      <c r="E2166" t="str">
        <f t="shared" si="429"/>
        <v>2018-09</v>
      </c>
      <c r="G2166">
        <v>5243.84</v>
      </c>
      <c r="H2166">
        <f t="shared" si="436"/>
        <v>-3.1187965943084983E-3</v>
      </c>
      <c r="I2166" t="str">
        <f t="shared" si="430"/>
        <v>2018-09</v>
      </c>
      <c r="K2166">
        <v>11955.25</v>
      </c>
      <c r="L2166">
        <f t="shared" si="437"/>
        <v>-7.1021326868661704E-3</v>
      </c>
      <c r="M2166" t="str">
        <f t="shared" si="431"/>
        <v>2018-09</v>
      </c>
      <c r="O2166">
        <v>8143.7202200000002</v>
      </c>
      <c r="P2166">
        <f t="shared" si="438"/>
        <v>-6.6169151340025115E-3</v>
      </c>
      <c r="Q2166" t="str">
        <f t="shared" si="432"/>
        <v>2018-09</v>
      </c>
      <c r="S2166">
        <v>9208.7000000000007</v>
      </c>
      <c r="T2166">
        <f t="shared" si="439"/>
        <v>-1.000548595486481E-2</v>
      </c>
      <c r="U2166" t="str">
        <f t="shared" si="433"/>
        <v>2018-09</v>
      </c>
      <c r="W2166">
        <v>20527.22</v>
      </c>
      <c r="X2166">
        <f t="shared" si="440"/>
        <v>-2.6544081361879047E-3</v>
      </c>
      <c r="Y2166">
        <f t="shared" si="441"/>
        <v>-2.650888309951699E-3</v>
      </c>
      <c r="Z2166" t="str">
        <f t="shared" si="434"/>
        <v>2018-09</v>
      </c>
    </row>
    <row r="2167" spans="1:26" x14ac:dyDescent="0.35">
      <c r="A2167" s="1">
        <v>43350</v>
      </c>
      <c r="C2167">
        <v>3293.36</v>
      </c>
      <c r="D2167">
        <f t="shared" si="435"/>
        <v>-7.8612180437163178E-4</v>
      </c>
      <c r="E2167" t="str">
        <f t="shared" si="429"/>
        <v>2018-09</v>
      </c>
      <c r="G2167">
        <v>5252.22</v>
      </c>
      <c r="H2167">
        <f t="shared" si="436"/>
        <v>1.5967899917811766E-3</v>
      </c>
      <c r="I2167" t="str">
        <f t="shared" si="430"/>
        <v>2018-09</v>
      </c>
      <c r="K2167">
        <v>11959.63</v>
      </c>
      <c r="L2167">
        <f t="shared" si="437"/>
        <v>3.6629914504895798E-4</v>
      </c>
      <c r="M2167" t="str">
        <f t="shared" si="431"/>
        <v>2018-09</v>
      </c>
      <c r="O2167">
        <v>8138.2324699999999</v>
      </c>
      <c r="P2167">
        <f t="shared" si="438"/>
        <v>-6.7408993408661362E-4</v>
      </c>
      <c r="Q2167" t="str">
        <f t="shared" si="432"/>
        <v>2018-09</v>
      </c>
      <c r="S2167">
        <v>9171.2000000000007</v>
      </c>
      <c r="T2167">
        <f t="shared" si="439"/>
        <v>-4.0805501699156064E-3</v>
      </c>
      <c r="U2167" t="str">
        <f t="shared" si="433"/>
        <v>2018-09</v>
      </c>
      <c r="W2167">
        <v>20447.689999999999</v>
      </c>
      <c r="X2167">
        <f t="shared" si="440"/>
        <v>-3.8818925957554442E-3</v>
      </c>
      <c r="Y2167">
        <f t="shared" si="441"/>
        <v>-3.8743677906702646E-3</v>
      </c>
      <c r="Z2167" t="str">
        <f t="shared" si="434"/>
        <v>2018-09</v>
      </c>
    </row>
    <row r="2168" spans="1:26" x14ac:dyDescent="0.35">
      <c r="A2168" s="1">
        <v>43353</v>
      </c>
      <c r="C2168">
        <v>3309.28</v>
      </c>
      <c r="D2168">
        <f t="shared" si="435"/>
        <v>4.8223228439997594E-3</v>
      </c>
      <c r="E2168" t="str">
        <f t="shared" si="429"/>
        <v>2018-09</v>
      </c>
      <c r="G2168">
        <v>5269.63</v>
      </c>
      <c r="H2168">
        <f t="shared" si="436"/>
        <v>3.3093069923667549E-3</v>
      </c>
      <c r="I2168" t="str">
        <f t="shared" si="430"/>
        <v>2018-09</v>
      </c>
      <c r="K2168">
        <v>11986.34</v>
      </c>
      <c r="L2168">
        <f t="shared" si="437"/>
        <v>2.2308564720787444E-3</v>
      </c>
      <c r="M2168" t="str">
        <f t="shared" si="431"/>
        <v>2018-09</v>
      </c>
      <c r="O2168">
        <v>8175.3296899999996</v>
      </c>
      <c r="P2168">
        <f t="shared" si="438"/>
        <v>4.5480298638832725E-3</v>
      </c>
      <c r="Q2168" t="str">
        <f t="shared" si="432"/>
        <v>2018-09</v>
      </c>
      <c r="S2168">
        <v>9270.7999999999993</v>
      </c>
      <c r="T2168">
        <f t="shared" si="439"/>
        <v>1.0801536534606228E-2</v>
      </c>
      <c r="U2168" t="str">
        <f t="shared" si="433"/>
        <v>2018-09</v>
      </c>
      <c r="W2168">
        <v>20918.900000000001</v>
      </c>
      <c r="X2168">
        <f t="shared" si="440"/>
        <v>2.2783138879010505E-2</v>
      </c>
      <c r="Y2168">
        <f t="shared" si="441"/>
        <v>2.3044656878112042E-2</v>
      </c>
      <c r="Z2168" t="str">
        <f t="shared" si="434"/>
        <v>2018-09</v>
      </c>
    </row>
    <row r="2169" spans="1:26" x14ac:dyDescent="0.35">
      <c r="A2169" s="1">
        <v>43354</v>
      </c>
      <c r="C2169">
        <v>3311.66</v>
      </c>
      <c r="D2169">
        <f t="shared" si="435"/>
        <v>7.1893117971483375E-4</v>
      </c>
      <c r="E2169" t="str">
        <f t="shared" si="429"/>
        <v>2018-09</v>
      </c>
      <c r="G2169">
        <v>5283.79</v>
      </c>
      <c r="H2169">
        <f t="shared" si="436"/>
        <v>2.6834918912221049E-3</v>
      </c>
      <c r="I2169" t="str">
        <f t="shared" si="430"/>
        <v>2018-09</v>
      </c>
      <c r="K2169">
        <v>11970.27</v>
      </c>
      <c r="L2169">
        <f t="shared" si="437"/>
        <v>-1.3415923547050674E-3</v>
      </c>
      <c r="M2169" t="str">
        <f t="shared" si="431"/>
        <v>2018-09</v>
      </c>
      <c r="O2169">
        <v>8164.2159799999999</v>
      </c>
      <c r="P2169">
        <f t="shared" si="438"/>
        <v>-1.3603452554090886E-3</v>
      </c>
      <c r="Q2169" t="str">
        <f t="shared" si="432"/>
        <v>2018-09</v>
      </c>
      <c r="S2169">
        <v>9284.1</v>
      </c>
      <c r="T2169">
        <f t="shared" si="439"/>
        <v>1.4335838272162033E-3</v>
      </c>
      <c r="U2169" t="str">
        <f t="shared" si="433"/>
        <v>2018-09</v>
      </c>
      <c r="W2169">
        <v>20853.84</v>
      </c>
      <c r="X2169">
        <f t="shared" si="440"/>
        <v>-3.1149526033506193E-3</v>
      </c>
      <c r="Y2169">
        <f t="shared" si="441"/>
        <v>-3.1101061719307089E-3</v>
      </c>
      <c r="Z2169" t="str">
        <f t="shared" si="434"/>
        <v>2018-09</v>
      </c>
    </row>
    <row r="2170" spans="1:26" x14ac:dyDescent="0.35">
      <c r="A2170" s="1">
        <v>43355</v>
      </c>
      <c r="C2170">
        <v>3326.6</v>
      </c>
      <c r="D2170">
        <f t="shared" si="435"/>
        <v>4.5011871257062044E-3</v>
      </c>
      <c r="E2170" t="str">
        <f t="shared" si="429"/>
        <v>2018-09</v>
      </c>
      <c r="G2170">
        <v>5332.13</v>
      </c>
      <c r="H2170">
        <f t="shared" si="436"/>
        <v>9.1071398634297012E-3</v>
      </c>
      <c r="I2170" t="str">
        <f t="shared" si="430"/>
        <v>2018-09</v>
      </c>
      <c r="K2170">
        <v>12032.3</v>
      </c>
      <c r="L2170">
        <f t="shared" si="437"/>
        <v>5.1686247008197175E-3</v>
      </c>
      <c r="M2170" t="str">
        <f t="shared" si="431"/>
        <v>2018-09</v>
      </c>
      <c r="O2170">
        <v>8212.6724799999993</v>
      </c>
      <c r="P2170">
        <f t="shared" si="438"/>
        <v>5.9176859543838018E-3</v>
      </c>
      <c r="Q2170" t="str">
        <f t="shared" si="432"/>
        <v>2018-09</v>
      </c>
      <c r="S2170">
        <v>9306.7999999999993</v>
      </c>
      <c r="T2170">
        <f t="shared" si="439"/>
        <v>2.4420561975175329E-3</v>
      </c>
      <c r="U2170" t="str">
        <f t="shared" si="433"/>
        <v>2018-09</v>
      </c>
      <c r="W2170">
        <v>20963</v>
      </c>
      <c r="X2170">
        <f t="shared" si="440"/>
        <v>5.2208750327671378E-3</v>
      </c>
      <c r="Y2170">
        <f t="shared" si="441"/>
        <v>5.234527549842132E-3</v>
      </c>
      <c r="Z2170" t="str">
        <f t="shared" si="434"/>
        <v>2018-09</v>
      </c>
    </row>
    <row r="2171" spans="1:26" x14ac:dyDescent="0.35">
      <c r="A2171" s="1">
        <v>43356</v>
      </c>
      <c r="C2171">
        <v>3333.68</v>
      </c>
      <c r="D2171">
        <f t="shared" si="435"/>
        <v>2.1260375440134002E-3</v>
      </c>
      <c r="E2171" t="str">
        <f t="shared" si="429"/>
        <v>2018-09</v>
      </c>
      <c r="G2171">
        <v>5328.12</v>
      </c>
      <c r="H2171">
        <f t="shared" si="436"/>
        <v>-7.5232760753964902E-4</v>
      </c>
      <c r="I2171" t="str">
        <f t="shared" si="430"/>
        <v>2018-09</v>
      </c>
      <c r="K2171">
        <v>12055.55</v>
      </c>
      <c r="L2171">
        <f t="shared" si="437"/>
        <v>1.9304344074081558E-3</v>
      </c>
      <c r="M2171" t="str">
        <f t="shared" si="431"/>
        <v>2018-09</v>
      </c>
      <c r="O2171">
        <v>8173.1399199999996</v>
      </c>
      <c r="P2171">
        <f t="shared" si="438"/>
        <v>-4.8252275489775896E-3</v>
      </c>
      <c r="Q2171" t="str">
        <f t="shared" si="432"/>
        <v>2018-09</v>
      </c>
      <c r="S2171">
        <v>9329.2000000000007</v>
      </c>
      <c r="T2171">
        <f t="shared" si="439"/>
        <v>2.4039505030507488E-3</v>
      </c>
      <c r="U2171" t="str">
        <f t="shared" si="433"/>
        <v>2018-09</v>
      </c>
      <c r="W2171">
        <v>20846.18</v>
      </c>
      <c r="X2171">
        <f t="shared" si="440"/>
        <v>-5.5882609518221266E-3</v>
      </c>
      <c r="Y2171">
        <f t="shared" si="441"/>
        <v>-5.572675666650752E-3</v>
      </c>
      <c r="Z2171" t="str">
        <f t="shared" si="434"/>
        <v>2018-09</v>
      </c>
    </row>
    <row r="2172" spans="1:26" x14ac:dyDescent="0.35">
      <c r="A2172" s="1">
        <v>43357</v>
      </c>
      <c r="C2172">
        <v>3344.63</v>
      </c>
      <c r="D2172">
        <f t="shared" si="435"/>
        <v>3.2792756888205586E-3</v>
      </c>
      <c r="E2172" t="str">
        <f t="shared" si="429"/>
        <v>2018-09</v>
      </c>
      <c r="G2172">
        <v>5352.57</v>
      </c>
      <c r="H2172">
        <f t="shared" si="436"/>
        <v>4.5783638901362306E-3</v>
      </c>
      <c r="I2172" t="str">
        <f t="shared" si="430"/>
        <v>2018-09</v>
      </c>
      <c r="K2172">
        <v>12124.33</v>
      </c>
      <c r="L2172">
        <f t="shared" si="437"/>
        <v>5.6890427501277837E-3</v>
      </c>
      <c r="M2172" t="str">
        <f t="shared" si="431"/>
        <v>2018-09</v>
      </c>
      <c r="O2172">
        <v>8204.6498499999998</v>
      </c>
      <c r="P2172">
        <f t="shared" si="438"/>
        <v>3.847890261284495E-3</v>
      </c>
      <c r="Q2172" t="str">
        <f t="shared" si="432"/>
        <v>2018-09</v>
      </c>
      <c r="S2172">
        <v>9365.2999999999993</v>
      </c>
      <c r="T2172">
        <f t="shared" si="439"/>
        <v>3.8621032786980837E-3</v>
      </c>
      <c r="U2172" t="str">
        <f t="shared" si="433"/>
        <v>2018-09</v>
      </c>
      <c r="W2172">
        <v>20885.43</v>
      </c>
      <c r="X2172">
        <f t="shared" si="440"/>
        <v>1.8810686466962092E-3</v>
      </c>
      <c r="Y2172">
        <f t="shared" si="441"/>
        <v>1.8828389661798947E-3</v>
      </c>
      <c r="Z2172" t="str">
        <f t="shared" si="434"/>
        <v>2018-09</v>
      </c>
    </row>
    <row r="2173" spans="1:26" x14ac:dyDescent="0.35">
      <c r="A2173" s="1">
        <v>43360</v>
      </c>
      <c r="C2173">
        <v>3346.11</v>
      </c>
      <c r="D2173">
        <f t="shared" si="435"/>
        <v>4.4240249184354473E-4</v>
      </c>
      <c r="E2173" t="str">
        <f t="shared" si="429"/>
        <v>2018-09</v>
      </c>
      <c r="G2173">
        <v>5348.87</v>
      </c>
      <c r="H2173">
        <f t="shared" si="436"/>
        <v>-6.9149575149410976E-4</v>
      </c>
      <c r="I2173" t="str">
        <f t="shared" si="430"/>
        <v>2018-09</v>
      </c>
      <c r="K2173">
        <v>12096.41</v>
      </c>
      <c r="L2173">
        <f t="shared" si="437"/>
        <v>-2.3054631994402748E-3</v>
      </c>
      <c r="M2173" t="str">
        <f t="shared" si="431"/>
        <v>2018-09</v>
      </c>
      <c r="O2173">
        <v>8215.4868200000001</v>
      </c>
      <c r="P2173">
        <f t="shared" si="438"/>
        <v>1.3199611904856766E-3</v>
      </c>
      <c r="Q2173" t="str">
        <f t="shared" si="432"/>
        <v>2018-09</v>
      </c>
      <c r="S2173">
        <v>9404.6</v>
      </c>
      <c r="T2173">
        <f t="shared" si="439"/>
        <v>4.1875617269472188E-3</v>
      </c>
      <c r="U2173" t="str">
        <f t="shared" si="433"/>
        <v>2018-09</v>
      </c>
      <c r="W2173">
        <v>21111.4</v>
      </c>
      <c r="X2173">
        <f t="shared" si="440"/>
        <v>1.0761392264545696E-2</v>
      </c>
      <c r="Y2173">
        <f t="shared" si="441"/>
        <v>1.0819504314730468E-2</v>
      </c>
      <c r="Z2173" t="str">
        <f t="shared" si="434"/>
        <v>2018-09</v>
      </c>
    </row>
    <row r="2174" spans="1:26" x14ac:dyDescent="0.35">
      <c r="A2174" s="1">
        <v>43361</v>
      </c>
      <c r="C2174">
        <v>3358.46</v>
      </c>
      <c r="D2174">
        <f t="shared" si="435"/>
        <v>3.6840584759773344E-3</v>
      </c>
      <c r="E2174" t="str">
        <f t="shared" si="429"/>
        <v>2018-09</v>
      </c>
      <c r="G2174">
        <v>5363.79</v>
      </c>
      <c r="H2174">
        <f t="shared" si="436"/>
        <v>2.7854911192876138E-3</v>
      </c>
      <c r="I2174" t="str">
        <f t="shared" si="430"/>
        <v>2018-09</v>
      </c>
      <c r="K2174">
        <v>12157.67</v>
      </c>
      <c r="L2174">
        <f t="shared" si="437"/>
        <v>5.0515319706382917E-3</v>
      </c>
      <c r="M2174" t="str">
        <f t="shared" si="431"/>
        <v>2018-09</v>
      </c>
      <c r="O2174">
        <v>8223.7945600000003</v>
      </c>
      <c r="P2174">
        <f t="shared" si="438"/>
        <v>1.0107182321655438E-3</v>
      </c>
      <c r="Q2174" t="str">
        <f t="shared" si="432"/>
        <v>2018-09</v>
      </c>
      <c r="S2174">
        <v>9447.5</v>
      </c>
      <c r="T2174">
        <f t="shared" si="439"/>
        <v>4.5512249618098518E-3</v>
      </c>
      <c r="U2174" t="str">
        <f t="shared" si="433"/>
        <v>2018-09</v>
      </c>
      <c r="W2174">
        <v>21228.23</v>
      </c>
      <c r="X2174">
        <f t="shared" si="440"/>
        <v>5.5187207123490655E-3</v>
      </c>
      <c r="Y2174">
        <f t="shared" si="441"/>
        <v>5.533976903473862E-3</v>
      </c>
      <c r="Z2174" t="str">
        <f t="shared" si="434"/>
        <v>2018-09</v>
      </c>
    </row>
    <row r="2175" spans="1:26" x14ac:dyDescent="0.35">
      <c r="A2175" s="1">
        <v>43362</v>
      </c>
      <c r="C2175">
        <v>3368.56</v>
      </c>
      <c r="D2175">
        <f t="shared" si="435"/>
        <v>3.0028177675212645E-3</v>
      </c>
      <c r="E2175" t="str">
        <f t="shared" si="429"/>
        <v>2018-09</v>
      </c>
      <c r="G2175">
        <v>5393.74</v>
      </c>
      <c r="H2175">
        <f t="shared" si="436"/>
        <v>5.5682070852877573E-3</v>
      </c>
      <c r="I2175" t="str">
        <f t="shared" si="430"/>
        <v>2018-09</v>
      </c>
      <c r="K2175">
        <v>12219.02</v>
      </c>
      <c r="L2175">
        <f t="shared" si="437"/>
        <v>5.033507792179464E-3</v>
      </c>
      <c r="M2175" t="str">
        <f t="shared" si="431"/>
        <v>2018-09</v>
      </c>
      <c r="O2175">
        <v>8259.1972499999993</v>
      </c>
      <c r="P2175">
        <f t="shared" si="438"/>
        <v>4.2956697240287356E-3</v>
      </c>
      <c r="Q2175" t="str">
        <f t="shared" si="432"/>
        <v>2018-09</v>
      </c>
      <c r="S2175">
        <v>9486.2999999999993</v>
      </c>
      <c r="T2175">
        <f t="shared" si="439"/>
        <v>4.0984962672528467E-3</v>
      </c>
      <c r="U2175" t="str">
        <f t="shared" si="433"/>
        <v>2018-09</v>
      </c>
      <c r="W2175">
        <v>21280.78</v>
      </c>
      <c r="X2175">
        <f t="shared" si="440"/>
        <v>2.47241828352125E-3</v>
      </c>
      <c r="Y2175">
        <f t="shared" si="441"/>
        <v>2.4754772300846217E-3</v>
      </c>
      <c r="Z2175" t="str">
        <f t="shared" si="434"/>
        <v>2018-09</v>
      </c>
    </row>
    <row r="2176" spans="1:26" x14ac:dyDescent="0.35">
      <c r="A2176" s="1">
        <v>43363</v>
      </c>
      <c r="C2176">
        <v>3403.12</v>
      </c>
      <c r="D2176">
        <f t="shared" si="435"/>
        <v>1.0207304557802551E-2</v>
      </c>
      <c r="E2176" t="str">
        <f t="shared" si="429"/>
        <v>2018-09</v>
      </c>
      <c r="G2176">
        <v>5451.59</v>
      </c>
      <c r="H2176">
        <f t="shared" si="436"/>
        <v>1.0668287395470466E-2</v>
      </c>
      <c r="I2176" t="str">
        <f t="shared" si="430"/>
        <v>2018-09</v>
      </c>
      <c r="K2176">
        <v>12326.48</v>
      </c>
      <c r="L2176">
        <f t="shared" si="437"/>
        <v>8.7560397272930628E-3</v>
      </c>
      <c r="M2176" t="str">
        <f t="shared" si="431"/>
        <v>2018-09</v>
      </c>
      <c r="O2176">
        <v>8299.04349</v>
      </c>
      <c r="P2176">
        <f t="shared" si="438"/>
        <v>4.8128684129166164E-3</v>
      </c>
      <c r="Q2176" t="str">
        <f t="shared" si="432"/>
        <v>2018-09</v>
      </c>
      <c r="S2176">
        <v>9583.7000000000007</v>
      </c>
      <c r="T2176">
        <f t="shared" si="439"/>
        <v>1.021508620412691E-2</v>
      </c>
      <c r="U2176" t="str">
        <f t="shared" si="433"/>
        <v>2018-09</v>
      </c>
      <c r="W2176">
        <v>21388.38</v>
      </c>
      <c r="X2176">
        <f t="shared" si="440"/>
        <v>5.043465963752841E-3</v>
      </c>
      <c r="Y2176">
        <f t="shared" si="441"/>
        <v>5.0562056465976429E-3</v>
      </c>
      <c r="Z2176" t="str">
        <f t="shared" si="434"/>
        <v>2018-09</v>
      </c>
    </row>
    <row r="2177" spans="1:26" x14ac:dyDescent="0.35">
      <c r="A2177" s="1">
        <v>43364</v>
      </c>
      <c r="C2177">
        <v>3430.81</v>
      </c>
      <c r="D2177">
        <f t="shared" si="435"/>
        <v>8.1037270016702211E-3</v>
      </c>
      <c r="E2177" t="str">
        <f t="shared" si="429"/>
        <v>2018-09</v>
      </c>
      <c r="G2177">
        <v>5494.17</v>
      </c>
      <c r="H2177">
        <f t="shared" si="436"/>
        <v>7.7802207954337744E-3</v>
      </c>
      <c r="I2177" t="str">
        <f t="shared" si="430"/>
        <v>2018-09</v>
      </c>
      <c r="K2177">
        <v>12430.88</v>
      </c>
      <c r="L2177">
        <f t="shared" si="437"/>
        <v>8.433905621351729E-3</v>
      </c>
      <c r="M2177" t="str">
        <f t="shared" si="431"/>
        <v>2018-09</v>
      </c>
      <c r="O2177">
        <v>8345.6548399999992</v>
      </c>
      <c r="P2177">
        <f t="shared" si="438"/>
        <v>5.6007589828096158E-3</v>
      </c>
      <c r="Q2177" t="str">
        <f t="shared" si="432"/>
        <v>2018-09</v>
      </c>
      <c r="S2177">
        <v>9590.4</v>
      </c>
      <c r="T2177">
        <f t="shared" si="439"/>
        <v>6.9885942732043991E-4</v>
      </c>
      <c r="U2177" t="str">
        <f t="shared" si="433"/>
        <v>2018-09</v>
      </c>
      <c r="W2177">
        <v>21536.74</v>
      </c>
      <c r="X2177">
        <f t="shared" si="440"/>
        <v>6.9125300410375025E-3</v>
      </c>
      <c r="Y2177">
        <f t="shared" si="441"/>
        <v>6.9364767224072404E-3</v>
      </c>
      <c r="Z2177" t="str">
        <f t="shared" si="434"/>
        <v>2018-09</v>
      </c>
    </row>
    <row r="2178" spans="1:26" x14ac:dyDescent="0.35">
      <c r="A2178" s="1">
        <v>43367</v>
      </c>
      <c r="C2178">
        <v>3410.44</v>
      </c>
      <c r="D2178">
        <f t="shared" si="435"/>
        <v>-5.95506967240211E-3</v>
      </c>
      <c r="E2178" t="str">
        <f t="shared" si="429"/>
        <v>2018-09</v>
      </c>
      <c r="G2178">
        <v>5476.17</v>
      </c>
      <c r="H2178">
        <f t="shared" si="436"/>
        <v>-3.2815785387022502E-3</v>
      </c>
      <c r="I2178" t="str">
        <f t="shared" si="430"/>
        <v>2018-09</v>
      </c>
      <c r="K2178">
        <v>12350.82</v>
      </c>
      <c r="L2178">
        <f t="shared" si="437"/>
        <v>-6.4612418458931233E-3</v>
      </c>
      <c r="M2178" t="str">
        <f t="shared" si="431"/>
        <v>2018-09</v>
      </c>
      <c r="O2178">
        <v>8319.9466900000007</v>
      </c>
      <c r="P2178">
        <f t="shared" si="438"/>
        <v>-3.0851776151317248E-3</v>
      </c>
      <c r="Q2178" t="str">
        <f t="shared" si="432"/>
        <v>2018-09</v>
      </c>
      <c r="S2178">
        <v>9512.7999999999993</v>
      </c>
      <c r="T2178">
        <f t="shared" si="439"/>
        <v>-8.1243379989750196E-3</v>
      </c>
      <c r="U2178" t="str">
        <f t="shared" si="433"/>
        <v>2018-09</v>
      </c>
      <c r="W2178">
        <v>21339.87</v>
      </c>
      <c r="X2178">
        <f t="shared" si="440"/>
        <v>-9.1831599330720552E-3</v>
      </c>
      <c r="Y2178">
        <f t="shared" si="441"/>
        <v>-9.1411234940851124E-3</v>
      </c>
      <c r="Z2178" t="str">
        <f t="shared" si="434"/>
        <v>2018-09</v>
      </c>
    </row>
    <row r="2179" spans="1:26" x14ac:dyDescent="0.35">
      <c r="A2179" s="1">
        <v>43368</v>
      </c>
      <c r="C2179">
        <v>3419.78</v>
      </c>
      <c r="D2179">
        <f t="shared" si="435"/>
        <v>2.7349062904880785E-3</v>
      </c>
      <c r="E2179" t="str">
        <f t="shared" si="429"/>
        <v>2018-09</v>
      </c>
      <c r="G2179">
        <v>5479.1</v>
      </c>
      <c r="H2179">
        <f t="shared" si="436"/>
        <v>5.3490239306950649E-4</v>
      </c>
      <c r="I2179" t="str">
        <f t="shared" si="430"/>
        <v>2018-09</v>
      </c>
      <c r="K2179">
        <v>12374.66</v>
      </c>
      <c r="L2179">
        <f t="shared" si="437"/>
        <v>1.9283756988889762E-3</v>
      </c>
      <c r="M2179" t="str">
        <f t="shared" si="431"/>
        <v>2018-09</v>
      </c>
      <c r="O2179">
        <v>8397.7794599999997</v>
      </c>
      <c r="P2179">
        <f t="shared" si="438"/>
        <v>9.3114735419813442E-3</v>
      </c>
      <c r="Q2179" t="str">
        <f t="shared" si="432"/>
        <v>2018-09</v>
      </c>
      <c r="S2179">
        <v>9493.6</v>
      </c>
      <c r="T2179">
        <f t="shared" si="439"/>
        <v>-2.0203727724396785E-3</v>
      </c>
      <c r="U2179" t="str">
        <f t="shared" si="433"/>
        <v>2018-09</v>
      </c>
      <c r="W2179">
        <v>21668.99</v>
      </c>
      <c r="X2179">
        <f t="shared" si="440"/>
        <v>1.5305052239196431E-2</v>
      </c>
      <c r="Y2179">
        <f t="shared" si="441"/>
        <v>1.5422774365542182E-2</v>
      </c>
      <c r="Z2179" t="str">
        <f t="shared" si="434"/>
        <v>2018-09</v>
      </c>
    </row>
    <row r="2180" spans="1:26" x14ac:dyDescent="0.35">
      <c r="A2180" s="1">
        <v>43369</v>
      </c>
      <c r="C2180">
        <v>3433.15</v>
      </c>
      <c r="D2180">
        <f t="shared" si="435"/>
        <v>3.9019855634685697E-3</v>
      </c>
      <c r="E2180" t="str">
        <f t="shared" ref="E2180:E2243" si="442">_xlfn.CONCAT(YEAR(A2180),"-",TEXT(MONTH(A2180),"00"))</f>
        <v>2018-09</v>
      </c>
      <c r="G2180">
        <v>5512.73</v>
      </c>
      <c r="H2180">
        <f t="shared" si="436"/>
        <v>6.1191093631069995E-3</v>
      </c>
      <c r="I2180" t="str">
        <f t="shared" ref="I2180:I2243" si="443">_xlfn.CONCAT(YEAR(A2180),"-",TEXT(MONTH(A2180),"00"))</f>
        <v>2018-09</v>
      </c>
      <c r="K2180">
        <v>12385.89</v>
      </c>
      <c r="L2180">
        <f t="shared" si="437"/>
        <v>9.0708815191991254E-4</v>
      </c>
      <c r="M2180" t="str">
        <f t="shared" ref="M2180:M2243" si="444">_xlfn.CONCAT(YEAR(A2180),"-",TEXT(MONTH(A2180),"00"))</f>
        <v>2018-09</v>
      </c>
      <c r="O2180">
        <v>8423.5812399999995</v>
      </c>
      <c r="P2180">
        <f t="shared" si="438"/>
        <v>3.0677423420491269E-3</v>
      </c>
      <c r="Q2180" t="str">
        <f t="shared" ref="Q2180:Q2243" si="445">_xlfn.CONCAT(YEAR(A2180),"-",TEXT(MONTH(A2180),"00"))</f>
        <v>2018-09</v>
      </c>
      <c r="S2180">
        <v>9524.7999999999993</v>
      </c>
      <c r="T2180">
        <f t="shared" si="439"/>
        <v>3.28103604819615E-3</v>
      </c>
      <c r="U2180" t="str">
        <f t="shared" ref="U2180:U2243" si="446">_xlfn.CONCAT(YEAR(A2180),"-",TEXT(MONTH(A2180),"00"))</f>
        <v>2018-09</v>
      </c>
      <c r="W2180">
        <v>21646.34</v>
      </c>
      <c r="X2180">
        <f t="shared" si="440"/>
        <v>-1.0458192083232707E-3</v>
      </c>
      <c r="Y2180">
        <f t="shared" si="441"/>
        <v>-1.0452725300072339E-3</v>
      </c>
      <c r="Z2180" t="str">
        <f t="shared" ref="Z2180:Z2243" si="447">_xlfn.CONCAT(YEAR(A2180),"-",TEXT(MONTH(A2180),"00"))</f>
        <v>2018-09</v>
      </c>
    </row>
    <row r="2181" spans="1:26" x14ac:dyDescent="0.35">
      <c r="A2181" s="1">
        <v>43370</v>
      </c>
      <c r="C2181">
        <v>3449.79</v>
      </c>
      <c r="D2181">
        <f t="shared" ref="D2181:D2244" si="448">LN(C2181/C2180)</f>
        <v>4.8351525419229706E-3</v>
      </c>
      <c r="E2181" t="str">
        <f t="shared" si="442"/>
        <v>2018-09</v>
      </c>
      <c r="G2181">
        <v>5540.41</v>
      </c>
      <c r="H2181">
        <f t="shared" ref="H2181:H2244" si="449">LN(G2181/G2180)</f>
        <v>5.0085419824314045E-3</v>
      </c>
      <c r="I2181" t="str">
        <f t="shared" si="443"/>
        <v>2018-09</v>
      </c>
      <c r="K2181">
        <v>12435.59</v>
      </c>
      <c r="L2181">
        <f t="shared" ref="L2181:L2244" si="450">LN(K2181/K2180)</f>
        <v>4.0046013710058649E-3</v>
      </c>
      <c r="M2181" t="str">
        <f t="shared" si="444"/>
        <v>2018-09</v>
      </c>
      <c r="O2181">
        <v>8468.5007700000006</v>
      </c>
      <c r="P2181">
        <f t="shared" ref="P2181:P2244" si="451">LN(O2181/O2180)</f>
        <v>5.3184250295313209E-3</v>
      </c>
      <c r="Q2181" t="str">
        <f t="shared" si="445"/>
        <v>2018-09</v>
      </c>
      <c r="S2181">
        <v>9527.5</v>
      </c>
      <c r="T2181">
        <f t="shared" ref="T2181:T2244" si="452">LN(S2181/S2180)</f>
        <v>2.834303488897915E-4</v>
      </c>
      <c r="U2181" t="str">
        <f t="shared" si="446"/>
        <v>2018-09</v>
      </c>
      <c r="W2181">
        <v>21511.07</v>
      </c>
      <c r="X2181">
        <f t="shared" ref="X2181:X2244" si="453">LN(W2181/W2180)</f>
        <v>-6.2687006922207628E-3</v>
      </c>
      <c r="Y2181">
        <f t="shared" ref="Y2181:Y2244" si="454">(W2181-W2180)/W2180</f>
        <v>-6.2490933802204175E-3</v>
      </c>
      <c r="Z2181" t="str">
        <f t="shared" si="447"/>
        <v>2018-09</v>
      </c>
    </row>
    <row r="2182" spans="1:26" x14ac:dyDescent="0.35">
      <c r="A2182" s="1">
        <v>43371</v>
      </c>
      <c r="C2182">
        <v>3399.2</v>
      </c>
      <c r="D2182">
        <f t="shared" si="448"/>
        <v>-1.4773249806959149E-2</v>
      </c>
      <c r="E2182" t="str">
        <f t="shared" si="442"/>
        <v>2018-09</v>
      </c>
      <c r="G2182">
        <v>5493.49</v>
      </c>
      <c r="H2182">
        <f t="shared" si="449"/>
        <v>-8.5047504169890424E-3</v>
      </c>
      <c r="I2182" t="str">
        <f t="shared" si="443"/>
        <v>2018-09</v>
      </c>
      <c r="K2182">
        <v>12246.73</v>
      </c>
      <c r="L2182">
        <f t="shared" si="450"/>
        <v>-1.530356027203802E-2</v>
      </c>
      <c r="M2182" t="str">
        <f t="shared" si="444"/>
        <v>2018-09</v>
      </c>
      <c r="O2182">
        <v>8433.6170500000007</v>
      </c>
      <c r="P2182">
        <f t="shared" si="451"/>
        <v>-4.1277394822623907E-3</v>
      </c>
      <c r="Q2182" t="str">
        <f t="shared" si="445"/>
        <v>2018-09</v>
      </c>
      <c r="S2182">
        <v>9389.2000000000007</v>
      </c>
      <c r="T2182">
        <f t="shared" si="452"/>
        <v>-1.4622261193283023E-2</v>
      </c>
      <c r="U2182" t="str">
        <f t="shared" si="446"/>
        <v>2018-09</v>
      </c>
      <c r="W2182">
        <v>20711.7</v>
      </c>
      <c r="X2182">
        <f t="shared" si="453"/>
        <v>-3.7868928359963527E-2</v>
      </c>
      <c r="Y2182">
        <f t="shared" si="454"/>
        <v>-3.7160866474796418E-2</v>
      </c>
      <c r="Z2182" t="str">
        <f t="shared" si="447"/>
        <v>2018-09</v>
      </c>
    </row>
    <row r="2183" spans="1:26" x14ac:dyDescent="0.35">
      <c r="A2183" s="1">
        <v>43374</v>
      </c>
      <c r="C2183">
        <v>3414.16</v>
      </c>
      <c r="D2183">
        <f t="shared" si="448"/>
        <v>4.3913793021291073E-3</v>
      </c>
      <c r="E2183" t="str">
        <f t="shared" si="442"/>
        <v>2018-10</v>
      </c>
      <c r="G2183">
        <v>5506.82</v>
      </c>
      <c r="H2183">
        <f t="shared" si="449"/>
        <v>2.4235692493553263E-3</v>
      </c>
      <c r="I2183" t="str">
        <f t="shared" si="443"/>
        <v>2018-10</v>
      </c>
      <c r="K2183">
        <v>12339.03</v>
      </c>
      <c r="L2183">
        <f t="shared" si="450"/>
        <v>7.508446648053598E-3</v>
      </c>
      <c r="M2183" t="str">
        <f t="shared" si="444"/>
        <v>2018-10</v>
      </c>
      <c r="O2183">
        <v>8445.5059600000004</v>
      </c>
      <c r="P2183">
        <f t="shared" si="451"/>
        <v>1.4087120473089273E-3</v>
      </c>
      <c r="Q2183" t="str">
        <f t="shared" si="445"/>
        <v>2018-10</v>
      </c>
      <c r="S2183">
        <v>9407</v>
      </c>
      <c r="T2183">
        <f t="shared" si="452"/>
        <v>1.8940004172191846E-3</v>
      </c>
      <c r="U2183" t="str">
        <f t="shared" si="446"/>
        <v>2018-10</v>
      </c>
      <c r="W2183">
        <v>20609.990000000002</v>
      </c>
      <c r="X2183">
        <f t="shared" si="453"/>
        <v>-4.9228482865511869E-3</v>
      </c>
      <c r="Y2183">
        <f t="shared" si="454"/>
        <v>-4.9107509282192733E-3</v>
      </c>
      <c r="Z2183" t="str">
        <f t="shared" si="447"/>
        <v>2018-10</v>
      </c>
    </row>
    <row r="2184" spans="1:26" x14ac:dyDescent="0.35">
      <c r="A2184" s="1">
        <v>43375</v>
      </c>
      <c r="C2184">
        <v>3388.99</v>
      </c>
      <c r="D2184">
        <f t="shared" si="448"/>
        <v>-7.3995472229599554E-3</v>
      </c>
      <c r="E2184" t="str">
        <f t="shared" si="442"/>
        <v>2018-10</v>
      </c>
      <c r="G2184">
        <v>5467.89</v>
      </c>
      <c r="H2184">
        <f t="shared" si="449"/>
        <v>-7.0945224586466179E-3</v>
      </c>
      <c r="I2184" t="str">
        <f t="shared" si="443"/>
        <v>2018-10</v>
      </c>
      <c r="K2184">
        <v>12287.58</v>
      </c>
      <c r="L2184">
        <f t="shared" si="450"/>
        <v>-4.1784130951051787E-3</v>
      </c>
      <c r="M2184" t="str">
        <f t="shared" si="444"/>
        <v>2018-10</v>
      </c>
      <c r="O2184">
        <v>8399.8903599999994</v>
      </c>
      <c r="P2184">
        <f t="shared" si="451"/>
        <v>-5.4158074561422966E-3</v>
      </c>
      <c r="Q2184" t="str">
        <f t="shared" si="445"/>
        <v>2018-10</v>
      </c>
      <c r="S2184">
        <v>9305.5</v>
      </c>
      <c r="T2184">
        <f t="shared" si="452"/>
        <v>-1.0848469787933081E-2</v>
      </c>
      <c r="U2184" t="str">
        <f t="shared" si="446"/>
        <v>2018-10</v>
      </c>
      <c r="W2184">
        <v>20562.310000000001</v>
      </c>
      <c r="X2184">
        <f t="shared" si="453"/>
        <v>-2.3161213395714434E-3</v>
      </c>
      <c r="Y2184">
        <f t="shared" si="454"/>
        <v>-2.3134412001170447E-3</v>
      </c>
      <c r="Z2184" t="str">
        <f t="shared" si="447"/>
        <v>2018-10</v>
      </c>
    </row>
    <row r="2185" spans="1:26" x14ac:dyDescent="0.35">
      <c r="A2185" s="1">
        <v>43377</v>
      </c>
      <c r="C2185">
        <v>3375.08</v>
      </c>
      <c r="D2185">
        <f t="shared" si="448"/>
        <v>-4.1129141503652156E-3</v>
      </c>
      <c r="E2185" t="str">
        <f t="shared" si="442"/>
        <v>2018-10</v>
      </c>
      <c r="G2185">
        <v>5410.85</v>
      </c>
      <c r="H2185">
        <f t="shared" si="449"/>
        <v>-1.0486604646819473E-2</v>
      </c>
      <c r="I2185" t="str">
        <f t="shared" si="443"/>
        <v>2018-10</v>
      </c>
      <c r="K2185">
        <v>12244.14</v>
      </c>
      <c r="L2185">
        <f t="shared" si="450"/>
        <v>-3.5415409440419025E-3</v>
      </c>
      <c r="M2185" t="str">
        <f t="shared" si="444"/>
        <v>2018-10</v>
      </c>
      <c r="O2185">
        <v>8389.4822100000001</v>
      </c>
      <c r="P2185">
        <f t="shared" si="451"/>
        <v>-1.2398499455429425E-3</v>
      </c>
      <c r="Q2185" t="str">
        <f t="shared" si="445"/>
        <v>2018-10</v>
      </c>
      <c r="S2185">
        <v>9314.5</v>
      </c>
      <c r="T2185">
        <f t="shared" si="452"/>
        <v>9.6670254574489367E-4</v>
      </c>
      <c r="U2185" t="str">
        <f t="shared" si="446"/>
        <v>2018-10</v>
      </c>
      <c r="W2185">
        <v>20612.93</v>
      </c>
      <c r="X2185">
        <f t="shared" si="453"/>
        <v>2.4587604347633095E-3</v>
      </c>
      <c r="Y2185">
        <f t="shared" si="454"/>
        <v>2.4617856651319319E-3</v>
      </c>
      <c r="Z2185" t="str">
        <f t="shared" si="447"/>
        <v>2018-10</v>
      </c>
    </row>
    <row r="2186" spans="1:26" x14ac:dyDescent="0.35">
      <c r="A2186" s="1">
        <v>43378</v>
      </c>
      <c r="C2186">
        <v>3345.51</v>
      </c>
      <c r="D2186">
        <f t="shared" si="448"/>
        <v>-8.799879421178991E-3</v>
      </c>
      <c r="E2186" t="str">
        <f t="shared" si="442"/>
        <v>2018-10</v>
      </c>
      <c r="G2186">
        <v>5359.36</v>
      </c>
      <c r="H2186">
        <f t="shared" si="449"/>
        <v>-9.5616319993779373E-3</v>
      </c>
      <c r="I2186" t="str">
        <f t="shared" si="443"/>
        <v>2018-10</v>
      </c>
      <c r="K2186">
        <v>12111.9</v>
      </c>
      <c r="L2186">
        <f t="shared" si="450"/>
        <v>-1.0859014803394781E-2</v>
      </c>
      <c r="M2186" t="str">
        <f t="shared" si="444"/>
        <v>2018-10</v>
      </c>
      <c r="O2186">
        <v>8323.5440600000002</v>
      </c>
      <c r="P2186">
        <f t="shared" si="451"/>
        <v>-7.8906705534045173E-3</v>
      </c>
      <c r="Q2186" t="str">
        <f t="shared" si="445"/>
        <v>2018-10</v>
      </c>
      <c r="S2186">
        <v>9253.9</v>
      </c>
      <c r="T2186">
        <f t="shared" si="452"/>
        <v>-6.5272414590915075E-3</v>
      </c>
      <c r="U2186" t="str">
        <f t="shared" si="446"/>
        <v>2018-10</v>
      </c>
      <c r="W2186">
        <v>20345.96</v>
      </c>
      <c r="X2186">
        <f t="shared" si="453"/>
        <v>-1.3036182414860058E-2</v>
      </c>
      <c r="Y2186">
        <f t="shared" si="454"/>
        <v>-1.2951579421266223E-2</v>
      </c>
      <c r="Z2186" t="str">
        <f t="shared" si="447"/>
        <v>2018-10</v>
      </c>
    </row>
    <row r="2187" spans="1:26" x14ac:dyDescent="0.35">
      <c r="A2187" s="1">
        <v>43381</v>
      </c>
      <c r="C2187">
        <v>3309.72</v>
      </c>
      <c r="D2187">
        <f t="shared" si="448"/>
        <v>-1.0755554660250424E-2</v>
      </c>
      <c r="E2187" t="str">
        <f t="shared" si="442"/>
        <v>2018-10</v>
      </c>
      <c r="G2187">
        <v>5300.25</v>
      </c>
      <c r="H2187">
        <f t="shared" si="449"/>
        <v>-1.1090575711595703E-2</v>
      </c>
      <c r="I2187" t="str">
        <f t="shared" si="443"/>
        <v>2018-10</v>
      </c>
      <c r="K2187">
        <v>11947.16</v>
      </c>
      <c r="L2187">
        <f t="shared" si="450"/>
        <v>-1.3694847157363996E-2</v>
      </c>
      <c r="M2187" t="str">
        <f t="shared" si="444"/>
        <v>2018-10</v>
      </c>
      <c r="O2187">
        <v>8237.6791300000004</v>
      </c>
      <c r="P2187">
        <f t="shared" si="451"/>
        <v>-1.0369487616727504E-2</v>
      </c>
      <c r="Q2187" t="str">
        <f t="shared" si="445"/>
        <v>2018-10</v>
      </c>
      <c r="S2187">
        <v>9199.2000000000007</v>
      </c>
      <c r="T2187">
        <f t="shared" si="452"/>
        <v>-5.9285605362166859E-3</v>
      </c>
      <c r="U2187" t="str">
        <f t="shared" si="446"/>
        <v>2018-10</v>
      </c>
      <c r="W2187">
        <v>19851.47</v>
      </c>
      <c r="X2187">
        <f t="shared" si="453"/>
        <v>-2.4604306574373548E-2</v>
      </c>
      <c r="Y2187">
        <f t="shared" si="454"/>
        <v>-2.4304087887718151E-2</v>
      </c>
      <c r="Z2187" t="str">
        <f t="shared" si="447"/>
        <v>2018-10</v>
      </c>
    </row>
    <row r="2188" spans="1:26" x14ac:dyDescent="0.35">
      <c r="A2188" s="1">
        <v>43382</v>
      </c>
      <c r="C2188">
        <v>3321.79</v>
      </c>
      <c r="D2188">
        <f t="shared" si="448"/>
        <v>3.640200596351503E-3</v>
      </c>
      <c r="E2188" t="str">
        <f t="shared" si="442"/>
        <v>2018-10</v>
      </c>
      <c r="G2188">
        <v>5318.55</v>
      </c>
      <c r="H2188">
        <f t="shared" si="449"/>
        <v>3.4467205553957076E-3</v>
      </c>
      <c r="I2188" t="str">
        <f t="shared" si="443"/>
        <v>2018-10</v>
      </c>
      <c r="K2188">
        <v>11977.22</v>
      </c>
      <c r="L2188">
        <f t="shared" si="450"/>
        <v>2.5129191074942446E-3</v>
      </c>
      <c r="M2188" t="str">
        <f t="shared" si="444"/>
        <v>2018-10</v>
      </c>
      <c r="O2188">
        <v>8278.4663999999993</v>
      </c>
      <c r="P2188">
        <f t="shared" si="451"/>
        <v>4.9390885835471606E-3</v>
      </c>
      <c r="Q2188" t="str">
        <f t="shared" si="445"/>
        <v>2018-10</v>
      </c>
      <c r="S2188">
        <v>9260.5</v>
      </c>
      <c r="T2188">
        <f t="shared" si="452"/>
        <v>6.641519128401302E-3</v>
      </c>
      <c r="U2188" t="str">
        <f t="shared" si="446"/>
        <v>2018-10</v>
      </c>
      <c r="W2188">
        <v>20062.25</v>
      </c>
      <c r="X2188">
        <f t="shared" si="453"/>
        <v>1.0561879946555369E-2</v>
      </c>
      <c r="Y2188">
        <f t="shared" si="454"/>
        <v>1.0617853488935521E-2</v>
      </c>
      <c r="Z2188" t="str">
        <f t="shared" si="447"/>
        <v>2018-10</v>
      </c>
    </row>
    <row r="2189" spans="1:26" x14ac:dyDescent="0.35">
      <c r="A2189" s="1">
        <v>43383</v>
      </c>
      <c r="C2189">
        <v>3266.9</v>
      </c>
      <c r="D2189">
        <f t="shared" si="448"/>
        <v>-1.6662271233244364E-2</v>
      </c>
      <c r="E2189" t="str">
        <f t="shared" si="442"/>
        <v>2018-10</v>
      </c>
      <c r="G2189">
        <v>5206.22</v>
      </c>
      <c r="H2189">
        <f t="shared" si="449"/>
        <v>-2.1346645200840279E-2</v>
      </c>
      <c r="I2189" t="str">
        <f t="shared" si="443"/>
        <v>2018-10</v>
      </c>
      <c r="K2189">
        <v>11712.5</v>
      </c>
      <c r="L2189">
        <f t="shared" si="450"/>
        <v>-2.2349864771830659E-2</v>
      </c>
      <c r="M2189" t="str">
        <f t="shared" si="444"/>
        <v>2018-10</v>
      </c>
      <c r="O2189">
        <v>8181.1570400000001</v>
      </c>
      <c r="P2189">
        <f t="shared" si="451"/>
        <v>-1.1824145806330897E-2</v>
      </c>
      <c r="Q2189" t="str">
        <f t="shared" si="445"/>
        <v>2018-10</v>
      </c>
      <c r="S2189">
        <v>9162.9</v>
      </c>
      <c r="T2189">
        <f t="shared" si="452"/>
        <v>-1.0595320413487014E-2</v>
      </c>
      <c r="U2189" t="str">
        <f t="shared" si="446"/>
        <v>2018-10</v>
      </c>
      <c r="W2189">
        <v>19719.04</v>
      </c>
      <c r="X2189">
        <f t="shared" si="453"/>
        <v>-1.725527330548245E-2</v>
      </c>
      <c r="Y2189">
        <f t="shared" si="454"/>
        <v>-1.7107253672942923E-2</v>
      </c>
      <c r="Z2189" t="str">
        <f t="shared" si="447"/>
        <v>2018-10</v>
      </c>
    </row>
    <row r="2190" spans="1:26" x14ac:dyDescent="0.35">
      <c r="A2190" s="1">
        <v>43384</v>
      </c>
      <c r="C2190">
        <v>3209.19</v>
      </c>
      <c r="D2190">
        <f t="shared" si="448"/>
        <v>-1.7822954177818175E-2</v>
      </c>
      <c r="E2190" t="str">
        <f t="shared" si="442"/>
        <v>2018-10</v>
      </c>
      <c r="G2190">
        <v>5106.37</v>
      </c>
      <c r="H2190">
        <f t="shared" si="449"/>
        <v>-1.9365284649455684E-2</v>
      </c>
      <c r="I2190" t="str">
        <f t="shared" si="443"/>
        <v>2018-10</v>
      </c>
      <c r="K2190">
        <v>11539.35</v>
      </c>
      <c r="L2190">
        <f t="shared" si="450"/>
        <v>-1.4893713894169327E-2</v>
      </c>
      <c r="M2190" t="str">
        <f t="shared" si="444"/>
        <v>2018-10</v>
      </c>
      <c r="O2190">
        <v>7990.0189300000002</v>
      </c>
      <c r="P2190">
        <f t="shared" si="451"/>
        <v>-2.3640459057782514E-2</v>
      </c>
      <c r="Q2190" t="str">
        <f t="shared" si="445"/>
        <v>2018-10</v>
      </c>
      <c r="S2190">
        <v>9007.9</v>
      </c>
      <c r="T2190">
        <f t="shared" si="452"/>
        <v>-1.7060752374856363E-2</v>
      </c>
      <c r="U2190" t="str">
        <f t="shared" si="446"/>
        <v>2018-10</v>
      </c>
      <c r="W2190">
        <v>19356.61</v>
      </c>
      <c r="X2190">
        <f t="shared" si="453"/>
        <v>-1.8550703237650356E-2</v>
      </c>
      <c r="Y2190">
        <f t="shared" si="454"/>
        <v>-1.8379697997468452E-2</v>
      </c>
      <c r="Z2190" t="str">
        <f t="shared" si="447"/>
        <v>2018-10</v>
      </c>
    </row>
    <row r="2191" spans="1:26" x14ac:dyDescent="0.35">
      <c r="A2191" s="1">
        <v>43385</v>
      </c>
      <c r="C2191">
        <v>3194.41</v>
      </c>
      <c r="D2191">
        <f t="shared" si="448"/>
        <v>-4.616161610816392E-3</v>
      </c>
      <c r="E2191" t="str">
        <f t="shared" si="442"/>
        <v>2018-10</v>
      </c>
      <c r="G2191">
        <v>5095.9799999999996</v>
      </c>
      <c r="H2191">
        <f t="shared" si="449"/>
        <v>-2.0367863466571219E-3</v>
      </c>
      <c r="I2191" t="str">
        <f t="shared" si="443"/>
        <v>2018-10</v>
      </c>
      <c r="K2191">
        <v>11523.81</v>
      </c>
      <c r="L2191">
        <f t="shared" si="450"/>
        <v>-1.3476039147946885E-3</v>
      </c>
      <c r="M2191" t="str">
        <f t="shared" si="444"/>
        <v>2018-10</v>
      </c>
      <c r="O2191">
        <v>7960.3206700000001</v>
      </c>
      <c r="P2191">
        <f t="shared" si="451"/>
        <v>-3.7238447661459818E-3</v>
      </c>
      <c r="Q2191" t="str">
        <f t="shared" si="445"/>
        <v>2018-10</v>
      </c>
      <c r="S2191">
        <v>8902</v>
      </c>
      <c r="T2191">
        <f t="shared" si="452"/>
        <v>-1.1825999498713487E-2</v>
      </c>
      <c r="U2191" t="str">
        <f t="shared" si="446"/>
        <v>2018-10</v>
      </c>
      <c r="W2191">
        <v>19255.98</v>
      </c>
      <c r="X2191">
        <f t="shared" si="453"/>
        <v>-5.2123013673485569E-3</v>
      </c>
      <c r="Y2191">
        <f t="shared" si="454"/>
        <v>-5.1987408952291238E-3</v>
      </c>
      <c r="Z2191" t="str">
        <f t="shared" si="447"/>
        <v>2018-10</v>
      </c>
    </row>
    <row r="2192" spans="1:26" x14ac:dyDescent="0.35">
      <c r="A2192" s="1">
        <v>43388</v>
      </c>
      <c r="C2192">
        <v>3210.37</v>
      </c>
      <c r="D2192">
        <f t="shared" si="448"/>
        <v>4.9837880566443796E-3</v>
      </c>
      <c r="E2192" t="str">
        <f t="shared" si="442"/>
        <v>2018-10</v>
      </c>
      <c r="G2192">
        <v>5095.07</v>
      </c>
      <c r="H2192">
        <f t="shared" si="449"/>
        <v>-1.7858807530503267E-4</v>
      </c>
      <c r="I2192" t="str">
        <f t="shared" si="443"/>
        <v>2018-10</v>
      </c>
      <c r="K2192">
        <v>11614.16</v>
      </c>
      <c r="L2192">
        <f t="shared" si="450"/>
        <v>7.809713576052927E-3</v>
      </c>
      <c r="M2192" t="str">
        <f t="shared" si="444"/>
        <v>2018-10</v>
      </c>
      <c r="O2192">
        <v>7984.3298299999997</v>
      </c>
      <c r="P2192">
        <f t="shared" si="451"/>
        <v>3.0115653078719596E-3</v>
      </c>
      <c r="Q2192" t="str">
        <f t="shared" si="445"/>
        <v>2018-10</v>
      </c>
      <c r="S2192">
        <v>8923.7000000000007</v>
      </c>
      <c r="T2192">
        <f t="shared" si="452"/>
        <v>2.4346881995398638E-3</v>
      </c>
      <c r="U2192" t="str">
        <f t="shared" si="446"/>
        <v>2018-10</v>
      </c>
      <c r="W2192">
        <v>19287.64</v>
      </c>
      <c r="X2192">
        <f t="shared" si="453"/>
        <v>1.6428144071801124E-3</v>
      </c>
      <c r="Y2192">
        <f t="shared" si="454"/>
        <v>1.6441645660205222E-3</v>
      </c>
      <c r="Z2192" t="str">
        <f t="shared" si="447"/>
        <v>2018-10</v>
      </c>
    </row>
    <row r="2193" spans="1:26" x14ac:dyDescent="0.35">
      <c r="A2193" s="1">
        <v>43389</v>
      </c>
      <c r="C2193">
        <v>3257.34</v>
      </c>
      <c r="D2193">
        <f t="shared" si="448"/>
        <v>1.4524716092271859E-2</v>
      </c>
      <c r="E2193" t="str">
        <f t="shared" si="442"/>
        <v>2018-10</v>
      </c>
      <c r="G2193">
        <v>5173.05</v>
      </c>
      <c r="H2193">
        <f t="shared" si="449"/>
        <v>1.5189051005828069E-2</v>
      </c>
      <c r="I2193" t="str">
        <f t="shared" si="443"/>
        <v>2018-10</v>
      </c>
      <c r="K2193">
        <v>11776.55</v>
      </c>
      <c r="L2193">
        <f t="shared" si="450"/>
        <v>1.3885222727282209E-2</v>
      </c>
      <c r="M2193" t="str">
        <f t="shared" si="444"/>
        <v>2018-10</v>
      </c>
      <c r="O2193">
        <v>8034.89624</v>
      </c>
      <c r="P2193">
        <f t="shared" si="451"/>
        <v>6.3132360740563807E-3</v>
      </c>
      <c r="Q2193" t="str">
        <f t="shared" si="445"/>
        <v>2018-10</v>
      </c>
      <c r="S2193">
        <v>9074.7000000000007</v>
      </c>
      <c r="T2193">
        <f t="shared" si="452"/>
        <v>1.6779662960049558E-2</v>
      </c>
      <c r="U2193" t="str">
        <f t="shared" si="446"/>
        <v>2018-10</v>
      </c>
      <c r="W2193">
        <v>19717.830000000002</v>
      </c>
      <c r="X2193">
        <f t="shared" si="453"/>
        <v>2.2058826301527022E-2</v>
      </c>
      <c r="Y2193">
        <f t="shared" si="454"/>
        <v>2.2303921060326838E-2</v>
      </c>
      <c r="Z2193" t="str">
        <f t="shared" si="447"/>
        <v>2018-10</v>
      </c>
    </row>
    <row r="2194" spans="1:26" x14ac:dyDescent="0.35">
      <c r="A2194" s="1">
        <v>43390</v>
      </c>
      <c r="C2194">
        <v>3243.08</v>
      </c>
      <c r="D2194">
        <f t="shared" si="448"/>
        <v>-4.3874158515042581E-3</v>
      </c>
      <c r="E2194" t="str">
        <f t="shared" si="442"/>
        <v>2018-10</v>
      </c>
      <c r="G2194">
        <v>5144.95</v>
      </c>
      <c r="H2194">
        <f t="shared" si="449"/>
        <v>-5.4468054800942967E-3</v>
      </c>
      <c r="I2194" t="str">
        <f t="shared" si="443"/>
        <v>2018-10</v>
      </c>
      <c r="K2194">
        <v>11715.03</v>
      </c>
      <c r="L2194">
        <f t="shared" si="450"/>
        <v>-5.2376332829693157E-3</v>
      </c>
      <c r="M2194" t="str">
        <f t="shared" si="444"/>
        <v>2018-10</v>
      </c>
      <c r="O2194">
        <v>8042.2929599999998</v>
      </c>
      <c r="P2194">
        <f t="shared" si="451"/>
        <v>9.2015095796549621E-4</v>
      </c>
      <c r="Q2194" t="str">
        <f t="shared" si="445"/>
        <v>2018-10</v>
      </c>
      <c r="S2194">
        <v>8997.2000000000007</v>
      </c>
      <c r="T2194">
        <f t="shared" si="452"/>
        <v>-8.5769039332453372E-3</v>
      </c>
      <c r="U2194" t="str">
        <f t="shared" si="446"/>
        <v>2018-10</v>
      </c>
      <c r="W2194">
        <v>19454.990000000002</v>
      </c>
      <c r="X2194">
        <f t="shared" si="453"/>
        <v>-1.3419710121927881E-2</v>
      </c>
      <c r="Y2194">
        <f t="shared" si="454"/>
        <v>-1.3330067253850962E-2</v>
      </c>
      <c r="Z2194" t="str">
        <f t="shared" si="447"/>
        <v>2018-10</v>
      </c>
    </row>
    <row r="2195" spans="1:26" x14ac:dyDescent="0.35">
      <c r="A2195" s="1">
        <v>43391</v>
      </c>
      <c r="C2195">
        <v>3211.59</v>
      </c>
      <c r="D2195">
        <f t="shared" si="448"/>
        <v>-9.7573539269702643E-3</v>
      </c>
      <c r="E2195" t="str">
        <f t="shared" si="442"/>
        <v>2018-10</v>
      </c>
      <c r="G2195">
        <v>5116.79</v>
      </c>
      <c r="H2195">
        <f t="shared" si="449"/>
        <v>-5.4883617566858743E-3</v>
      </c>
      <c r="I2195" t="str">
        <f t="shared" si="443"/>
        <v>2018-10</v>
      </c>
      <c r="K2195">
        <v>11589.21</v>
      </c>
      <c r="L2195">
        <f t="shared" si="450"/>
        <v>-1.0798139956231766E-2</v>
      </c>
      <c r="M2195" t="str">
        <f t="shared" si="444"/>
        <v>2018-10</v>
      </c>
      <c r="O2195">
        <v>7989.2809100000004</v>
      </c>
      <c r="P2195">
        <f t="shared" si="451"/>
        <v>-6.6134795810214309E-3</v>
      </c>
      <c r="Q2195" t="str">
        <f t="shared" si="445"/>
        <v>2018-10</v>
      </c>
      <c r="S2195">
        <v>8889.6</v>
      </c>
      <c r="T2195">
        <f t="shared" si="452"/>
        <v>-1.2031363682173894E-2</v>
      </c>
      <c r="U2195" t="str">
        <f t="shared" si="446"/>
        <v>2018-10</v>
      </c>
      <c r="W2195">
        <v>19087.53</v>
      </c>
      <c r="X2195">
        <f t="shared" si="453"/>
        <v>-1.9068350176953339E-2</v>
      </c>
      <c r="Y2195">
        <f t="shared" si="454"/>
        <v>-1.8887699248367782E-2</v>
      </c>
      <c r="Z2195" t="str">
        <f t="shared" si="447"/>
        <v>2018-10</v>
      </c>
    </row>
    <row r="2196" spans="1:26" x14ac:dyDescent="0.35">
      <c r="A2196" s="1">
        <v>43392</v>
      </c>
      <c r="C2196">
        <v>3210.82</v>
      </c>
      <c r="D2196">
        <f t="shared" si="448"/>
        <v>-2.3978537766646753E-4</v>
      </c>
      <c r="E2196" t="str">
        <f t="shared" si="442"/>
        <v>2018-10</v>
      </c>
      <c r="G2196">
        <v>5084.66</v>
      </c>
      <c r="H2196">
        <f t="shared" si="449"/>
        <v>-6.2991253675507017E-3</v>
      </c>
      <c r="I2196" t="str">
        <f t="shared" si="443"/>
        <v>2018-10</v>
      </c>
      <c r="K2196">
        <v>11553.83</v>
      </c>
      <c r="L2196">
        <f t="shared" si="450"/>
        <v>-3.0575090880093176E-3</v>
      </c>
      <c r="M2196" t="str">
        <f t="shared" si="444"/>
        <v>2018-10</v>
      </c>
      <c r="O2196">
        <v>7997.7288399999998</v>
      </c>
      <c r="P2196">
        <f t="shared" si="451"/>
        <v>1.0568493944044218E-3</v>
      </c>
      <c r="Q2196" t="str">
        <f t="shared" si="445"/>
        <v>2018-10</v>
      </c>
      <c r="S2196">
        <v>8892.1</v>
      </c>
      <c r="T2196">
        <f t="shared" si="452"/>
        <v>2.8118796475836322E-4</v>
      </c>
      <c r="U2196" t="str">
        <f t="shared" si="446"/>
        <v>2018-10</v>
      </c>
      <c r="W2196">
        <v>19080.16</v>
      </c>
      <c r="X2196">
        <f t="shared" si="453"/>
        <v>-3.8619052353433672E-4</v>
      </c>
      <c r="Y2196">
        <f t="shared" si="454"/>
        <v>-3.8611596157276409E-4</v>
      </c>
      <c r="Z2196" t="str">
        <f t="shared" si="447"/>
        <v>2018-10</v>
      </c>
    </row>
    <row r="2197" spans="1:26" x14ac:dyDescent="0.35">
      <c r="A2197" s="1">
        <v>43395</v>
      </c>
      <c r="C2197">
        <v>3190.09</v>
      </c>
      <c r="D2197">
        <f t="shared" si="448"/>
        <v>-6.4772266681731167E-3</v>
      </c>
      <c r="E2197" t="str">
        <f t="shared" si="442"/>
        <v>2018-10</v>
      </c>
      <c r="G2197">
        <v>5053.3100000000004</v>
      </c>
      <c r="H2197">
        <f t="shared" si="449"/>
        <v>-6.1846898203633902E-3</v>
      </c>
      <c r="I2197" t="str">
        <f t="shared" si="443"/>
        <v>2018-10</v>
      </c>
      <c r="K2197">
        <v>11524.34</v>
      </c>
      <c r="L2197">
        <f t="shared" si="450"/>
        <v>-2.5556633000753202E-3</v>
      </c>
      <c r="M2197" t="str">
        <f t="shared" si="444"/>
        <v>2018-10</v>
      </c>
      <c r="O2197">
        <v>7965.1372199999996</v>
      </c>
      <c r="P2197">
        <f t="shared" si="451"/>
        <v>-4.0834352884683107E-3</v>
      </c>
      <c r="Q2197" t="str">
        <f t="shared" si="445"/>
        <v>2018-10</v>
      </c>
      <c r="S2197">
        <v>8806.5</v>
      </c>
      <c r="T2197">
        <f t="shared" si="452"/>
        <v>-9.6731569123780798E-3</v>
      </c>
      <c r="U2197" t="str">
        <f t="shared" si="446"/>
        <v>2018-10</v>
      </c>
      <c r="W2197">
        <v>18966.22</v>
      </c>
      <c r="X2197">
        <f t="shared" si="453"/>
        <v>-5.9895496302206632E-3</v>
      </c>
      <c r="Y2197">
        <f t="shared" si="454"/>
        <v>-5.9716480364943843E-3</v>
      </c>
      <c r="Z2197" t="str">
        <f t="shared" si="447"/>
        <v>2018-10</v>
      </c>
    </row>
    <row r="2198" spans="1:26" x14ac:dyDescent="0.35">
      <c r="A2198" s="1">
        <v>43396</v>
      </c>
      <c r="C2198">
        <v>3140.94</v>
      </c>
      <c r="D2198">
        <f t="shared" si="448"/>
        <v>-1.5527011387606012E-2</v>
      </c>
      <c r="E2198" t="str">
        <f t="shared" si="442"/>
        <v>2018-10</v>
      </c>
      <c r="G2198">
        <v>4967.6899999999996</v>
      </c>
      <c r="H2198">
        <f t="shared" si="449"/>
        <v>-1.7088530792828505E-2</v>
      </c>
      <c r="I2198" t="str">
        <f t="shared" si="443"/>
        <v>2018-10</v>
      </c>
      <c r="K2198">
        <v>11274.28</v>
      </c>
      <c r="L2198">
        <f t="shared" si="450"/>
        <v>-2.1937295175025098E-2</v>
      </c>
      <c r="M2198" t="str">
        <f t="shared" si="444"/>
        <v>2018-10</v>
      </c>
      <c r="O2198">
        <v>7872.3139799999999</v>
      </c>
      <c r="P2198">
        <f t="shared" si="451"/>
        <v>-1.1722126460281632E-2</v>
      </c>
      <c r="Q2198" t="str">
        <f t="shared" si="445"/>
        <v>2018-10</v>
      </c>
      <c r="S2198">
        <v>8726.1</v>
      </c>
      <c r="T2198">
        <f t="shared" si="452"/>
        <v>-9.1715505498766708E-3</v>
      </c>
      <c r="U2198" t="str">
        <f t="shared" si="446"/>
        <v>2018-10</v>
      </c>
      <c r="W2198">
        <v>18802.47</v>
      </c>
      <c r="X2198">
        <f t="shared" si="453"/>
        <v>-8.6712579143551696E-3</v>
      </c>
      <c r="Y2198">
        <f t="shared" si="454"/>
        <v>-8.6337709886313667E-3</v>
      </c>
      <c r="Z2198" t="str">
        <f t="shared" si="447"/>
        <v>2018-10</v>
      </c>
    </row>
    <row r="2199" spans="1:26" x14ac:dyDescent="0.35">
      <c r="A2199" s="1">
        <v>43397</v>
      </c>
      <c r="C2199">
        <v>3130.33</v>
      </c>
      <c r="D2199">
        <f t="shared" si="448"/>
        <v>-3.3836878728315807E-3</v>
      </c>
      <c r="E2199" t="str">
        <f t="shared" si="442"/>
        <v>2018-10</v>
      </c>
      <c r="G2199">
        <v>4953.09</v>
      </c>
      <c r="H2199">
        <f t="shared" si="449"/>
        <v>-2.9433190817932105E-3</v>
      </c>
      <c r="I2199" t="str">
        <f t="shared" si="443"/>
        <v>2018-10</v>
      </c>
      <c r="K2199">
        <v>11191.63</v>
      </c>
      <c r="L2199">
        <f t="shared" si="450"/>
        <v>-7.3578477679840026E-3</v>
      </c>
      <c r="M2199" t="str">
        <f t="shared" si="444"/>
        <v>2018-10</v>
      </c>
      <c r="O2199">
        <v>7874.2240300000003</v>
      </c>
      <c r="P2199">
        <f t="shared" si="451"/>
        <v>2.4259935843109549E-4</v>
      </c>
      <c r="Q2199" t="str">
        <f t="shared" si="445"/>
        <v>2018-10</v>
      </c>
      <c r="S2199">
        <v>8677.4</v>
      </c>
      <c r="T2199">
        <f t="shared" si="452"/>
        <v>-5.5965900094026664E-3</v>
      </c>
      <c r="U2199" t="str">
        <f t="shared" si="446"/>
        <v>2018-10</v>
      </c>
      <c r="W2199">
        <v>18485.46</v>
      </c>
      <c r="X2199">
        <f t="shared" si="453"/>
        <v>-1.7003767063745803E-2</v>
      </c>
      <c r="Y2199">
        <f t="shared" si="454"/>
        <v>-1.6860018923045856E-2</v>
      </c>
      <c r="Z2199" t="str">
        <f t="shared" si="447"/>
        <v>2018-10</v>
      </c>
    </row>
    <row r="2200" spans="1:26" x14ac:dyDescent="0.35">
      <c r="A2200" s="1">
        <v>43398</v>
      </c>
      <c r="C2200">
        <v>3164.4</v>
      </c>
      <c r="D2200">
        <f t="shared" si="448"/>
        <v>1.0825033860628244E-2</v>
      </c>
      <c r="E2200" t="str">
        <f t="shared" si="442"/>
        <v>2018-10</v>
      </c>
      <c r="G2200">
        <v>5032.3</v>
      </c>
      <c r="H2200">
        <f t="shared" si="449"/>
        <v>1.586551181641619E-2</v>
      </c>
      <c r="I2200" t="str">
        <f t="shared" si="443"/>
        <v>2018-10</v>
      </c>
      <c r="K2200">
        <v>11307.12</v>
      </c>
      <c r="L2200">
        <f t="shared" si="450"/>
        <v>1.026643830284189E-2</v>
      </c>
      <c r="M2200" t="str">
        <f t="shared" si="444"/>
        <v>2018-10</v>
      </c>
      <c r="O2200">
        <v>7897.7817699999996</v>
      </c>
      <c r="P2200">
        <f t="shared" si="451"/>
        <v>2.9872874531760864E-3</v>
      </c>
      <c r="Q2200" t="str">
        <f t="shared" si="445"/>
        <v>2018-10</v>
      </c>
      <c r="S2200">
        <v>8785.2000000000007</v>
      </c>
      <c r="T2200">
        <f t="shared" si="452"/>
        <v>1.2346542827526339E-2</v>
      </c>
      <c r="U2200" t="str">
        <f t="shared" si="446"/>
        <v>2018-10</v>
      </c>
      <c r="W2200">
        <v>18815.32</v>
      </c>
      <c r="X2200">
        <f t="shared" si="453"/>
        <v>1.7686954486494592E-2</v>
      </c>
      <c r="Y2200">
        <f t="shared" si="454"/>
        <v>1.7844294921522137E-2</v>
      </c>
      <c r="Z2200" t="str">
        <f t="shared" si="447"/>
        <v>2018-10</v>
      </c>
    </row>
    <row r="2201" spans="1:26" x14ac:dyDescent="0.35">
      <c r="A2201" s="1">
        <v>43399</v>
      </c>
      <c r="C2201">
        <v>3134.89</v>
      </c>
      <c r="D2201">
        <f t="shared" si="448"/>
        <v>-9.3693784151069326E-3</v>
      </c>
      <c r="E2201" t="str">
        <f t="shared" si="442"/>
        <v>2018-10</v>
      </c>
      <c r="G2201">
        <v>4967.37</v>
      </c>
      <c r="H2201">
        <f t="shared" si="449"/>
        <v>-1.2986611067297435E-2</v>
      </c>
      <c r="I2201" t="str">
        <f t="shared" si="443"/>
        <v>2018-10</v>
      </c>
      <c r="K2201">
        <v>11200.62</v>
      </c>
      <c r="L2201">
        <f t="shared" si="450"/>
        <v>-9.4634818797027769E-3</v>
      </c>
      <c r="M2201" t="str">
        <f t="shared" si="444"/>
        <v>2018-10</v>
      </c>
      <c r="O2201">
        <v>7813.39894</v>
      </c>
      <c r="P2201">
        <f t="shared" si="451"/>
        <v>-1.0741858673750056E-2</v>
      </c>
      <c r="Q2201" t="str">
        <f t="shared" si="445"/>
        <v>2018-10</v>
      </c>
      <c r="S2201">
        <v>8730.4</v>
      </c>
      <c r="T2201">
        <f t="shared" si="452"/>
        <v>-6.2572996417174049E-3</v>
      </c>
      <c r="U2201" t="str">
        <f t="shared" si="446"/>
        <v>2018-10</v>
      </c>
      <c r="W2201">
        <v>18683.27</v>
      </c>
      <c r="X2201">
        <f t="shared" si="453"/>
        <v>-7.0429605935829181E-3</v>
      </c>
      <c r="Y2201">
        <f t="shared" si="454"/>
        <v>-7.0182170699195799E-3</v>
      </c>
      <c r="Z2201" t="str">
        <f t="shared" si="447"/>
        <v>2018-10</v>
      </c>
    </row>
    <row r="2202" spans="1:26" x14ac:dyDescent="0.35">
      <c r="A2202" s="1">
        <v>43402</v>
      </c>
      <c r="C2202">
        <v>3154.93</v>
      </c>
      <c r="D2202">
        <f t="shared" si="448"/>
        <v>6.3722229922896249E-3</v>
      </c>
      <c r="E2202" t="str">
        <f t="shared" si="442"/>
        <v>2018-10</v>
      </c>
      <c r="G2202">
        <v>4989.3500000000004</v>
      </c>
      <c r="H2202">
        <f t="shared" si="449"/>
        <v>4.4151157620420291E-3</v>
      </c>
      <c r="I2202" t="str">
        <f t="shared" si="443"/>
        <v>2018-10</v>
      </c>
      <c r="K2202">
        <v>11335.48</v>
      </c>
      <c r="L2202">
        <f t="shared" si="450"/>
        <v>1.1968495864858103E-2</v>
      </c>
      <c r="M2202" t="str">
        <f t="shared" si="444"/>
        <v>2018-10</v>
      </c>
      <c r="O2202">
        <v>7899.9825499999997</v>
      </c>
      <c r="P2202">
        <f t="shared" si="451"/>
        <v>1.1020477846647933E-2</v>
      </c>
      <c r="Q2202" t="str">
        <f t="shared" si="445"/>
        <v>2018-10</v>
      </c>
      <c r="S2202">
        <v>8821.2000000000007</v>
      </c>
      <c r="T2202">
        <f t="shared" si="452"/>
        <v>1.0346727369162407E-2</v>
      </c>
      <c r="U2202" t="str">
        <f t="shared" si="446"/>
        <v>2018-10</v>
      </c>
      <c r="W2202">
        <v>19039.849999999999</v>
      </c>
      <c r="X2202">
        <f t="shared" si="453"/>
        <v>1.8905680167120579E-2</v>
      </c>
      <c r="Y2202">
        <f t="shared" si="454"/>
        <v>1.9085524107931753E-2</v>
      </c>
      <c r="Z2202" t="str">
        <f t="shared" si="447"/>
        <v>2018-10</v>
      </c>
    </row>
    <row r="2203" spans="1:26" x14ac:dyDescent="0.35">
      <c r="A2203" s="1">
        <v>43403</v>
      </c>
      <c r="C2203">
        <v>3147.13</v>
      </c>
      <c r="D2203">
        <f t="shared" si="448"/>
        <v>-2.4753823298685521E-3</v>
      </c>
      <c r="E2203" t="str">
        <f t="shared" si="442"/>
        <v>2018-10</v>
      </c>
      <c r="G2203">
        <v>4978.53</v>
      </c>
      <c r="H2203">
        <f t="shared" si="449"/>
        <v>-2.1709740184815444E-3</v>
      </c>
      <c r="I2203" t="str">
        <f t="shared" si="443"/>
        <v>2018-10</v>
      </c>
      <c r="K2203">
        <v>11287.39</v>
      </c>
      <c r="L2203">
        <f t="shared" si="450"/>
        <v>-4.2514563744622405E-3</v>
      </c>
      <c r="M2203" t="str">
        <f t="shared" si="444"/>
        <v>2018-10</v>
      </c>
      <c r="O2203">
        <v>7880.2263899999998</v>
      </c>
      <c r="P2203">
        <f t="shared" si="451"/>
        <v>-2.5039174572472895E-3</v>
      </c>
      <c r="Q2203" t="str">
        <f t="shared" si="445"/>
        <v>2018-10</v>
      </c>
      <c r="S2203">
        <v>8806.1</v>
      </c>
      <c r="T2203">
        <f t="shared" si="452"/>
        <v>-1.7132520231120381E-3</v>
      </c>
      <c r="U2203" t="str">
        <f t="shared" si="446"/>
        <v>2018-10</v>
      </c>
      <c r="W2203">
        <v>18998.8</v>
      </c>
      <c r="X2203">
        <f t="shared" si="453"/>
        <v>-2.1583319037661664E-3</v>
      </c>
      <c r="Y2203">
        <f t="shared" si="454"/>
        <v>-2.1560043802865713E-3</v>
      </c>
      <c r="Z2203" t="str">
        <f t="shared" si="447"/>
        <v>2018-10</v>
      </c>
    </row>
    <row r="2204" spans="1:26" x14ac:dyDescent="0.35">
      <c r="A2204" s="1">
        <v>43404</v>
      </c>
      <c r="C2204">
        <v>3197.51</v>
      </c>
      <c r="D2204">
        <f t="shared" si="448"/>
        <v>1.5881455496867102E-2</v>
      </c>
      <c r="E2204" t="str">
        <f t="shared" si="442"/>
        <v>2018-10</v>
      </c>
      <c r="G2204">
        <v>5093.4399999999996</v>
      </c>
      <c r="H2204">
        <f t="shared" si="449"/>
        <v>2.2818770520087132E-2</v>
      </c>
      <c r="I2204" t="str">
        <f t="shared" si="443"/>
        <v>2018-10</v>
      </c>
      <c r="K2204">
        <v>11447.51</v>
      </c>
      <c r="L2204">
        <f t="shared" si="450"/>
        <v>1.4086065699757568E-2</v>
      </c>
      <c r="M2204" t="str">
        <f t="shared" si="444"/>
        <v>2018-10</v>
      </c>
      <c r="O2204">
        <v>8041.02135</v>
      </c>
      <c r="P2204">
        <f t="shared" si="451"/>
        <v>2.019947555235288E-2</v>
      </c>
      <c r="Q2204" t="str">
        <f t="shared" si="445"/>
        <v>2018-10</v>
      </c>
      <c r="S2204">
        <v>8893.5</v>
      </c>
      <c r="T2204">
        <f t="shared" si="452"/>
        <v>9.8760096706017823E-3</v>
      </c>
      <c r="U2204" t="str">
        <f t="shared" si="446"/>
        <v>2018-10</v>
      </c>
      <c r="W2204">
        <v>19050.22</v>
      </c>
      <c r="X2204">
        <f t="shared" si="453"/>
        <v>2.7028307852967259E-3</v>
      </c>
      <c r="Y2204">
        <f t="shared" si="454"/>
        <v>2.7064867254774981E-3</v>
      </c>
      <c r="Z2204" t="str">
        <f t="shared" si="447"/>
        <v>2018-10</v>
      </c>
    </row>
    <row r="2205" spans="1:26" x14ac:dyDescent="0.35">
      <c r="A2205" s="1">
        <v>43405</v>
      </c>
      <c r="C2205">
        <v>3204.21</v>
      </c>
      <c r="D2205">
        <f t="shared" si="448"/>
        <v>2.0931882201350965E-3</v>
      </c>
      <c r="E2205" t="str">
        <f t="shared" si="442"/>
        <v>2018-11</v>
      </c>
      <c r="G2205">
        <v>5085.78</v>
      </c>
      <c r="H2205">
        <f t="shared" si="449"/>
        <v>-1.5050271918463018E-3</v>
      </c>
      <c r="I2205" t="str">
        <f t="shared" si="443"/>
        <v>2018-11</v>
      </c>
      <c r="K2205">
        <v>11468.54</v>
      </c>
      <c r="L2205">
        <f t="shared" si="450"/>
        <v>1.8353953585897682E-3</v>
      </c>
      <c r="M2205" t="str">
        <f t="shared" si="444"/>
        <v>2018-11</v>
      </c>
      <c r="O2205">
        <v>8107.2582599999996</v>
      </c>
      <c r="P2205">
        <f t="shared" si="451"/>
        <v>8.2036332136600758E-3</v>
      </c>
      <c r="Q2205" t="str">
        <f t="shared" si="445"/>
        <v>2018-11</v>
      </c>
      <c r="S2205">
        <v>8954.7999999999993</v>
      </c>
      <c r="T2205">
        <f t="shared" si="452"/>
        <v>6.8690285381942714E-3</v>
      </c>
      <c r="U2205" t="str">
        <f t="shared" si="446"/>
        <v>2018-11</v>
      </c>
      <c r="W2205">
        <v>19185.14</v>
      </c>
      <c r="X2205">
        <f t="shared" si="453"/>
        <v>7.0573709775688387E-3</v>
      </c>
      <c r="Y2205">
        <f t="shared" si="454"/>
        <v>7.0823329074413965E-3</v>
      </c>
      <c r="Z2205" t="str">
        <f t="shared" si="447"/>
        <v>2018-11</v>
      </c>
    </row>
    <row r="2206" spans="1:26" x14ac:dyDescent="0.35">
      <c r="A2206" s="1">
        <v>43406</v>
      </c>
      <c r="C2206">
        <v>3214.41</v>
      </c>
      <c r="D2206">
        <f t="shared" si="448"/>
        <v>3.1782559447709308E-3</v>
      </c>
      <c r="E2206" t="str">
        <f t="shared" si="442"/>
        <v>2018-11</v>
      </c>
      <c r="G2206">
        <v>5102.13</v>
      </c>
      <c r="H2206">
        <f t="shared" si="449"/>
        <v>3.2096895313402356E-3</v>
      </c>
      <c r="I2206" t="str">
        <f t="shared" si="443"/>
        <v>2018-11</v>
      </c>
      <c r="K2206">
        <v>11518.99</v>
      </c>
      <c r="L2206">
        <f t="shared" si="450"/>
        <v>4.3893433525790809E-3</v>
      </c>
      <c r="M2206" t="str">
        <f t="shared" si="444"/>
        <v>2018-11</v>
      </c>
      <c r="O2206">
        <v>8076.93887</v>
      </c>
      <c r="P2206">
        <f t="shared" si="451"/>
        <v>-3.7467938911342012E-3</v>
      </c>
      <c r="Q2206" t="str">
        <f t="shared" si="445"/>
        <v>2018-11</v>
      </c>
      <c r="S2206">
        <v>8993</v>
      </c>
      <c r="T2206">
        <f t="shared" si="452"/>
        <v>4.2567955607890071E-3</v>
      </c>
      <c r="U2206" t="str">
        <f t="shared" si="446"/>
        <v>2018-11</v>
      </c>
      <c r="W2206">
        <v>19390.34</v>
      </c>
      <c r="X2206">
        <f t="shared" si="453"/>
        <v>1.0638982872560942E-2</v>
      </c>
      <c r="Y2206">
        <f t="shared" si="454"/>
        <v>1.0695778086581632E-2</v>
      </c>
      <c r="Z2206" t="str">
        <f t="shared" si="447"/>
        <v>2018-11</v>
      </c>
    </row>
    <row r="2207" spans="1:26" x14ac:dyDescent="0.35">
      <c r="A2207" s="1">
        <v>43409</v>
      </c>
      <c r="C2207">
        <v>3217.37</v>
      </c>
      <c r="D2207">
        <f t="shared" si="448"/>
        <v>9.2042955728389433E-4</v>
      </c>
      <c r="E2207" t="str">
        <f t="shared" si="442"/>
        <v>2018-11</v>
      </c>
      <c r="G2207">
        <v>5101.3900000000003</v>
      </c>
      <c r="H2207">
        <f t="shared" si="449"/>
        <v>-1.4504798369523145E-4</v>
      </c>
      <c r="I2207" t="str">
        <f t="shared" si="443"/>
        <v>2018-11</v>
      </c>
      <c r="K2207">
        <v>11494.96</v>
      </c>
      <c r="L2207">
        <f t="shared" si="450"/>
        <v>-2.0882993778026538E-3</v>
      </c>
      <c r="M2207" t="str">
        <f t="shared" si="444"/>
        <v>2018-11</v>
      </c>
      <c r="O2207">
        <v>8115.0228399999996</v>
      </c>
      <c r="P2207">
        <f t="shared" si="451"/>
        <v>4.7040674761588599E-3</v>
      </c>
      <c r="Q2207" t="str">
        <f t="shared" si="445"/>
        <v>2018-11</v>
      </c>
      <c r="S2207">
        <v>9010.7000000000007</v>
      </c>
      <c r="T2207">
        <f t="shared" si="452"/>
        <v>1.9662631239835493E-3</v>
      </c>
      <c r="U2207" t="str">
        <f t="shared" si="446"/>
        <v>2018-11</v>
      </c>
      <c r="W2207">
        <v>19281.03</v>
      </c>
      <c r="X2207">
        <f t="shared" si="453"/>
        <v>-5.6532929206422793E-3</v>
      </c>
      <c r="Y2207">
        <f t="shared" si="454"/>
        <v>-5.6373431306517216E-3</v>
      </c>
      <c r="Z2207" t="str">
        <f t="shared" si="447"/>
        <v>2018-11</v>
      </c>
    </row>
    <row r="2208" spans="1:26" x14ac:dyDescent="0.35">
      <c r="A2208" s="1">
        <v>43410</v>
      </c>
      <c r="C2208">
        <v>3207.42</v>
      </c>
      <c r="D2208">
        <f t="shared" si="448"/>
        <v>-3.0973799781243579E-3</v>
      </c>
      <c r="E2208" t="str">
        <f t="shared" si="442"/>
        <v>2018-11</v>
      </c>
      <c r="G2208">
        <v>5075.1899999999996</v>
      </c>
      <c r="H2208">
        <f t="shared" si="449"/>
        <v>-5.1490889644552019E-3</v>
      </c>
      <c r="I2208" t="str">
        <f t="shared" si="443"/>
        <v>2018-11</v>
      </c>
      <c r="K2208">
        <v>11484.34</v>
      </c>
      <c r="L2208">
        <f t="shared" si="450"/>
        <v>-9.2431020580246146E-4</v>
      </c>
      <c r="M2208" t="str">
        <f t="shared" si="444"/>
        <v>2018-11</v>
      </c>
      <c r="O2208">
        <v>8072.2272300000004</v>
      </c>
      <c r="P2208">
        <f t="shared" si="451"/>
        <v>-5.2875824520421831E-3</v>
      </c>
      <c r="Q2208" t="str">
        <f t="shared" si="445"/>
        <v>2018-11</v>
      </c>
      <c r="S2208">
        <v>8988.9</v>
      </c>
      <c r="T2208">
        <f t="shared" si="452"/>
        <v>-2.4222772349562268E-3</v>
      </c>
      <c r="U2208" t="str">
        <f t="shared" si="446"/>
        <v>2018-11</v>
      </c>
      <c r="W2208">
        <v>19268.29</v>
      </c>
      <c r="X2208">
        <f t="shared" si="453"/>
        <v>-6.6097147570028981E-4</v>
      </c>
      <c r="Y2208">
        <f t="shared" si="454"/>
        <v>-6.6075308217444621E-4</v>
      </c>
      <c r="Z2208" t="str">
        <f t="shared" si="447"/>
        <v>2018-11</v>
      </c>
    </row>
    <row r="2209" spans="1:26" x14ac:dyDescent="0.35">
      <c r="A2209" s="1">
        <v>43411</v>
      </c>
      <c r="C2209">
        <v>3246.16</v>
      </c>
      <c r="D2209">
        <f t="shared" si="448"/>
        <v>1.2005883659878692E-2</v>
      </c>
      <c r="E2209" t="str">
        <f t="shared" si="442"/>
        <v>2018-11</v>
      </c>
      <c r="G2209">
        <v>5137.9399999999996</v>
      </c>
      <c r="H2209">
        <f t="shared" si="449"/>
        <v>1.2288258273209477E-2</v>
      </c>
      <c r="I2209" t="str">
        <f t="shared" si="443"/>
        <v>2018-11</v>
      </c>
      <c r="K2209">
        <v>11579.1</v>
      </c>
      <c r="L2209">
        <f t="shared" si="450"/>
        <v>8.2173806877503391E-3</v>
      </c>
      <c r="M2209" t="str">
        <f t="shared" si="444"/>
        <v>2018-11</v>
      </c>
      <c r="O2209">
        <v>8165.2535399999997</v>
      </c>
      <c r="P2209">
        <f t="shared" si="451"/>
        <v>1.1458344940237414E-2</v>
      </c>
      <c r="Q2209" t="str">
        <f t="shared" si="445"/>
        <v>2018-11</v>
      </c>
      <c r="S2209">
        <v>9167.9</v>
      </c>
      <c r="T2209">
        <f t="shared" si="452"/>
        <v>1.971776958712778E-2</v>
      </c>
      <c r="U2209" t="str">
        <f t="shared" si="446"/>
        <v>2018-11</v>
      </c>
      <c r="W2209">
        <v>19540.939999999999</v>
      </c>
      <c r="X2209">
        <f t="shared" si="453"/>
        <v>1.4051012389626293E-2</v>
      </c>
      <c r="Y2209">
        <f t="shared" si="454"/>
        <v>1.4150191843697485E-2</v>
      </c>
      <c r="Z2209" t="str">
        <f t="shared" si="447"/>
        <v>2018-11</v>
      </c>
    </row>
    <row r="2210" spans="1:26" x14ac:dyDescent="0.35">
      <c r="A2210" s="1">
        <v>43412</v>
      </c>
      <c r="C2210">
        <v>3237.6</v>
      </c>
      <c r="D2210">
        <f t="shared" si="448"/>
        <v>-2.6404447337108404E-3</v>
      </c>
      <c r="E2210" t="str">
        <f t="shared" si="442"/>
        <v>2018-11</v>
      </c>
      <c r="G2210">
        <v>5131.45</v>
      </c>
      <c r="H2210">
        <f t="shared" si="449"/>
        <v>-1.2639506073913399E-3</v>
      </c>
      <c r="I2210" t="str">
        <f t="shared" si="443"/>
        <v>2018-11</v>
      </c>
      <c r="K2210">
        <v>11527.32</v>
      </c>
      <c r="L2210">
        <f t="shared" si="450"/>
        <v>-4.4818787745051353E-3</v>
      </c>
      <c r="M2210" t="str">
        <f t="shared" si="444"/>
        <v>2018-11</v>
      </c>
      <c r="O2210">
        <v>8204.9189700000006</v>
      </c>
      <c r="P2210">
        <f t="shared" si="451"/>
        <v>4.8460708159693763E-3</v>
      </c>
      <c r="Q2210" t="str">
        <f t="shared" si="445"/>
        <v>2018-11</v>
      </c>
      <c r="S2210">
        <v>9177</v>
      </c>
      <c r="T2210">
        <f t="shared" si="452"/>
        <v>9.9210142834267275E-4</v>
      </c>
      <c r="U2210" t="str">
        <f t="shared" si="446"/>
        <v>2018-11</v>
      </c>
      <c r="W2210">
        <v>19429.14</v>
      </c>
      <c r="X2210">
        <f t="shared" si="453"/>
        <v>-5.7377509474518624E-3</v>
      </c>
      <c r="Y2210">
        <f t="shared" si="454"/>
        <v>-5.7213214922106756E-3</v>
      </c>
      <c r="Z2210" t="str">
        <f t="shared" si="447"/>
        <v>2018-11</v>
      </c>
    </row>
    <row r="2211" spans="1:26" x14ac:dyDescent="0.35">
      <c r="A2211" s="1">
        <v>43413</v>
      </c>
      <c r="C2211">
        <v>3229.49</v>
      </c>
      <c r="D2211">
        <f t="shared" si="448"/>
        <v>-2.5080845484819884E-3</v>
      </c>
      <c r="E2211" t="str">
        <f t="shared" si="442"/>
        <v>2018-11</v>
      </c>
      <c r="G2211">
        <v>5106.75</v>
      </c>
      <c r="H2211">
        <f t="shared" si="449"/>
        <v>-4.8250762674655213E-3</v>
      </c>
      <c r="I2211" t="str">
        <f t="shared" si="443"/>
        <v>2018-11</v>
      </c>
      <c r="K2211">
        <v>11529.16</v>
      </c>
      <c r="L2211">
        <f t="shared" si="450"/>
        <v>1.5960805846392315E-4</v>
      </c>
      <c r="M2211" t="str">
        <f t="shared" si="444"/>
        <v>2018-11</v>
      </c>
      <c r="O2211">
        <v>8136.1535299999996</v>
      </c>
      <c r="P2211">
        <f t="shared" si="451"/>
        <v>-8.4163197872070012E-3</v>
      </c>
      <c r="Q2211" t="str">
        <f t="shared" si="445"/>
        <v>2018-11</v>
      </c>
      <c r="S2211">
        <v>9134.7999999999993</v>
      </c>
      <c r="T2211">
        <f t="shared" si="452"/>
        <v>-4.6090580615764896E-3</v>
      </c>
      <c r="U2211" t="str">
        <f t="shared" si="446"/>
        <v>2018-11</v>
      </c>
      <c r="W2211">
        <v>19258.11</v>
      </c>
      <c r="X2211">
        <f t="shared" si="453"/>
        <v>-8.8417302447058432E-3</v>
      </c>
      <c r="Y2211">
        <f t="shared" si="454"/>
        <v>-8.8027570957849317E-3</v>
      </c>
      <c r="Z2211" t="str">
        <f t="shared" si="447"/>
        <v>2018-11</v>
      </c>
    </row>
    <row r="2212" spans="1:26" x14ac:dyDescent="0.35">
      <c r="A2212" s="1">
        <v>43416</v>
      </c>
      <c r="C2212">
        <v>3194.08</v>
      </c>
      <c r="D2212">
        <f t="shared" si="448"/>
        <v>-1.1025133588830277E-2</v>
      </c>
      <c r="E2212" t="str">
        <f t="shared" si="442"/>
        <v>2018-11</v>
      </c>
      <c r="G2212">
        <v>5059.09</v>
      </c>
      <c r="H2212">
        <f t="shared" si="449"/>
        <v>-9.3765688204008549E-3</v>
      </c>
      <c r="I2212" t="str">
        <f t="shared" si="443"/>
        <v>2018-11</v>
      </c>
      <c r="K2212">
        <v>11325.44</v>
      </c>
      <c r="L2212">
        <f t="shared" si="450"/>
        <v>-1.782795548967742E-2</v>
      </c>
      <c r="M2212" t="str">
        <f t="shared" si="444"/>
        <v>2018-11</v>
      </c>
      <c r="O2212">
        <v>8059.7668299999996</v>
      </c>
      <c r="P2212">
        <f t="shared" si="451"/>
        <v>-9.4329022008446239E-3</v>
      </c>
      <c r="Q2212" t="str">
        <f t="shared" si="445"/>
        <v>2018-11</v>
      </c>
      <c r="S2212">
        <v>9076.2999999999993</v>
      </c>
      <c r="T2212">
        <f t="shared" si="452"/>
        <v>-6.4246751950801642E-3</v>
      </c>
      <c r="U2212" t="str">
        <f t="shared" si="446"/>
        <v>2018-11</v>
      </c>
      <c r="W2212">
        <v>19055.919999999998</v>
      </c>
      <c r="X2212">
        <f t="shared" si="453"/>
        <v>-1.0554456262392915E-2</v>
      </c>
      <c r="Y2212">
        <f t="shared" si="454"/>
        <v>-1.0498953427932561E-2</v>
      </c>
      <c r="Z2212" t="str">
        <f t="shared" si="447"/>
        <v>2018-11</v>
      </c>
    </row>
    <row r="2213" spans="1:26" x14ac:dyDescent="0.35">
      <c r="A2213" s="1">
        <v>43417</v>
      </c>
      <c r="C2213">
        <v>3224.82</v>
      </c>
      <c r="D2213">
        <f t="shared" si="448"/>
        <v>9.5780382943843646E-3</v>
      </c>
      <c r="E2213" t="str">
        <f t="shared" si="442"/>
        <v>2018-11</v>
      </c>
      <c r="G2213">
        <v>5101.8500000000004</v>
      </c>
      <c r="H2213">
        <f t="shared" si="449"/>
        <v>8.4165938235746078E-3</v>
      </c>
      <c r="I2213" t="str">
        <f t="shared" si="443"/>
        <v>2018-11</v>
      </c>
      <c r="K2213">
        <v>11472.22</v>
      </c>
      <c r="L2213">
        <f t="shared" si="450"/>
        <v>1.287693808879869E-2</v>
      </c>
      <c r="M2213" t="str">
        <f t="shared" si="444"/>
        <v>2018-11</v>
      </c>
      <c r="O2213">
        <v>8121.29864</v>
      </c>
      <c r="P2213">
        <f t="shared" si="451"/>
        <v>7.6054456007846605E-3</v>
      </c>
      <c r="Q2213" t="str">
        <f t="shared" si="445"/>
        <v>2018-11</v>
      </c>
      <c r="S2213">
        <v>9145.4</v>
      </c>
      <c r="T2213">
        <f t="shared" si="452"/>
        <v>7.5844000545509721E-3</v>
      </c>
      <c r="U2213" t="str">
        <f t="shared" si="446"/>
        <v>2018-11</v>
      </c>
      <c r="W2213">
        <v>19226.52</v>
      </c>
      <c r="X2213">
        <f t="shared" si="453"/>
        <v>8.9127615341330797E-3</v>
      </c>
      <c r="Y2213">
        <f t="shared" si="454"/>
        <v>8.9525984575922965E-3</v>
      </c>
      <c r="Z2213" t="str">
        <f t="shared" si="447"/>
        <v>2018-11</v>
      </c>
    </row>
    <row r="2214" spans="1:26" x14ac:dyDescent="0.35">
      <c r="A2214" s="1">
        <v>43418</v>
      </c>
      <c r="C2214">
        <v>3205.36</v>
      </c>
      <c r="D2214">
        <f t="shared" si="448"/>
        <v>-6.0527261789011895E-3</v>
      </c>
      <c r="E2214" t="str">
        <f t="shared" si="442"/>
        <v>2018-11</v>
      </c>
      <c r="G2214">
        <v>5068.8500000000004</v>
      </c>
      <c r="H2214">
        <f t="shared" si="449"/>
        <v>-6.4892516352821773E-3</v>
      </c>
      <c r="I2214" t="str">
        <f t="shared" si="443"/>
        <v>2018-11</v>
      </c>
      <c r="K2214">
        <v>11412.53</v>
      </c>
      <c r="L2214">
        <f t="shared" si="450"/>
        <v>-5.2165861860670052E-3</v>
      </c>
      <c r="M2214" t="str">
        <f t="shared" si="444"/>
        <v>2018-11</v>
      </c>
      <c r="O2214">
        <v>8066.4672200000005</v>
      </c>
      <c r="P2214">
        <f t="shared" si="451"/>
        <v>-6.7744530249849028E-3</v>
      </c>
      <c r="Q2214" t="str">
        <f t="shared" si="445"/>
        <v>2018-11</v>
      </c>
      <c r="S2214">
        <v>9106.6</v>
      </c>
      <c r="T2214">
        <f t="shared" si="452"/>
        <v>-4.2515952713036084E-3</v>
      </c>
      <c r="U2214" t="str">
        <f t="shared" si="446"/>
        <v>2018-11</v>
      </c>
      <c r="W2214">
        <v>19077.47</v>
      </c>
      <c r="X2214">
        <f t="shared" si="453"/>
        <v>-7.7825183381261785E-3</v>
      </c>
      <c r="Y2214">
        <f t="shared" si="454"/>
        <v>-7.7523129510696301E-3</v>
      </c>
      <c r="Z2214" t="str">
        <f t="shared" si="447"/>
        <v>2018-11</v>
      </c>
    </row>
    <row r="2215" spans="1:26" x14ac:dyDescent="0.35">
      <c r="A2215" s="1">
        <v>43419</v>
      </c>
      <c r="C2215">
        <v>3190.31</v>
      </c>
      <c r="D2215">
        <f t="shared" si="448"/>
        <v>-4.7063177990932003E-3</v>
      </c>
      <c r="E2215" t="str">
        <f t="shared" si="442"/>
        <v>2018-11</v>
      </c>
      <c r="G2215">
        <v>5033.62</v>
      </c>
      <c r="H2215">
        <f t="shared" si="449"/>
        <v>-6.9745602435843492E-3</v>
      </c>
      <c r="I2215" t="str">
        <f t="shared" si="443"/>
        <v>2018-11</v>
      </c>
      <c r="K2215">
        <v>11353.67</v>
      </c>
      <c r="L2215">
        <f t="shared" si="450"/>
        <v>-5.170834934907588E-3</v>
      </c>
      <c r="M2215" t="str">
        <f t="shared" si="444"/>
        <v>2018-11</v>
      </c>
      <c r="O2215">
        <v>7928.7241199999999</v>
      </c>
      <c r="P2215">
        <f t="shared" si="451"/>
        <v>-1.7223489505466264E-2</v>
      </c>
      <c r="Q2215" t="str">
        <f t="shared" si="445"/>
        <v>2018-11</v>
      </c>
      <c r="S2215">
        <v>9073.5</v>
      </c>
      <c r="T2215">
        <f t="shared" si="452"/>
        <v>-3.6413481305253132E-3</v>
      </c>
      <c r="U2215" t="str">
        <f t="shared" si="446"/>
        <v>2018-11</v>
      </c>
      <c r="W2215">
        <v>18905.36</v>
      </c>
      <c r="X2215">
        <f t="shared" si="453"/>
        <v>-9.0625779044098079E-3</v>
      </c>
      <c r="Y2215">
        <f t="shared" si="454"/>
        <v>-9.0216365167918276E-3</v>
      </c>
      <c r="Z2215" t="str">
        <f t="shared" si="447"/>
        <v>2018-11</v>
      </c>
    </row>
    <row r="2216" spans="1:26" x14ac:dyDescent="0.35">
      <c r="A2216" s="1">
        <v>43420</v>
      </c>
      <c r="C2216">
        <v>3180.74</v>
      </c>
      <c r="D2216">
        <f t="shared" si="448"/>
        <v>-3.0042166354651008E-3</v>
      </c>
      <c r="E2216" t="str">
        <f t="shared" si="442"/>
        <v>2018-11</v>
      </c>
      <c r="G2216">
        <v>5025.2</v>
      </c>
      <c r="H2216">
        <f t="shared" si="449"/>
        <v>-1.6741530252302535E-3</v>
      </c>
      <c r="I2216" t="str">
        <f t="shared" si="443"/>
        <v>2018-11</v>
      </c>
      <c r="K2216">
        <v>11341</v>
      </c>
      <c r="L2216">
        <f t="shared" si="450"/>
        <v>-1.1165618461355033E-3</v>
      </c>
      <c r="M2216" t="str">
        <f t="shared" si="444"/>
        <v>2018-11</v>
      </c>
      <c r="O2216">
        <v>7879.2447899999997</v>
      </c>
      <c r="P2216">
        <f t="shared" si="451"/>
        <v>-6.2600694455476865E-3</v>
      </c>
      <c r="Q2216" t="str">
        <f t="shared" si="445"/>
        <v>2018-11</v>
      </c>
      <c r="S2216">
        <v>9056.7999999999993</v>
      </c>
      <c r="T2216">
        <f t="shared" si="452"/>
        <v>-1.8422204511790363E-3</v>
      </c>
      <c r="U2216" t="str">
        <f t="shared" si="446"/>
        <v>2018-11</v>
      </c>
      <c r="W2216">
        <v>18878.310000000001</v>
      </c>
      <c r="X2216">
        <f t="shared" si="453"/>
        <v>-1.4318357439278141E-3</v>
      </c>
      <c r="Y2216">
        <f t="shared" si="454"/>
        <v>-1.4308111562011659E-3</v>
      </c>
      <c r="Z2216" t="str">
        <f t="shared" si="447"/>
        <v>2018-11</v>
      </c>
    </row>
    <row r="2217" spans="1:26" x14ac:dyDescent="0.35">
      <c r="A2217" s="1">
        <v>43423</v>
      </c>
      <c r="C2217">
        <v>3160.33</v>
      </c>
      <c r="D2217">
        <f t="shared" si="448"/>
        <v>-6.4374215970362551E-3</v>
      </c>
      <c r="E2217" t="str">
        <f t="shared" si="442"/>
        <v>2018-11</v>
      </c>
      <c r="G2217">
        <v>4985.45</v>
      </c>
      <c r="H2217">
        <f t="shared" si="449"/>
        <v>-7.9415839960513632E-3</v>
      </c>
      <c r="I2217" t="str">
        <f t="shared" si="443"/>
        <v>2018-11</v>
      </c>
      <c r="K2217">
        <v>11244.54</v>
      </c>
      <c r="L2217">
        <f t="shared" si="450"/>
        <v>-8.5418003284401835E-3</v>
      </c>
      <c r="M2217" t="str">
        <f t="shared" si="444"/>
        <v>2018-11</v>
      </c>
      <c r="O2217">
        <v>7858.1293699999997</v>
      </c>
      <c r="P2217">
        <f t="shared" si="451"/>
        <v>-2.6834759670080169E-3</v>
      </c>
      <c r="Q2217" t="str">
        <f t="shared" si="445"/>
        <v>2018-11</v>
      </c>
      <c r="S2217">
        <v>9006.2999999999993</v>
      </c>
      <c r="T2217">
        <f t="shared" si="452"/>
        <v>-5.591524331269848E-3</v>
      </c>
      <c r="U2217" t="str">
        <f t="shared" si="446"/>
        <v>2018-11</v>
      </c>
      <c r="W2217">
        <v>18823.13</v>
      </c>
      <c r="X2217">
        <f t="shared" si="453"/>
        <v>-2.9272112365530986E-3</v>
      </c>
      <c r="Y2217">
        <f t="shared" si="454"/>
        <v>-2.9229311310175693E-3</v>
      </c>
      <c r="Z2217" t="str">
        <f t="shared" si="447"/>
        <v>2018-11</v>
      </c>
    </row>
    <row r="2218" spans="1:26" x14ac:dyDescent="0.35">
      <c r="A2218" s="1">
        <v>43424</v>
      </c>
      <c r="C2218">
        <v>3116.07</v>
      </c>
      <c r="D2218">
        <f t="shared" si="448"/>
        <v>-1.4103860071589532E-2</v>
      </c>
      <c r="E2218" t="str">
        <f t="shared" si="442"/>
        <v>2018-11</v>
      </c>
      <c r="G2218">
        <v>4924.8900000000003</v>
      </c>
      <c r="H2218">
        <f t="shared" si="449"/>
        <v>-1.2221730802833165E-2</v>
      </c>
      <c r="I2218" t="str">
        <f t="shared" si="443"/>
        <v>2018-11</v>
      </c>
      <c r="K2218">
        <v>11066.41</v>
      </c>
      <c r="L2218">
        <f t="shared" si="450"/>
        <v>-1.5968283290460985E-2</v>
      </c>
      <c r="M2218" t="str">
        <f t="shared" si="444"/>
        <v>2018-11</v>
      </c>
      <c r="O2218">
        <v>7815.1885000000002</v>
      </c>
      <c r="P2218">
        <f t="shared" si="451"/>
        <v>-5.4795006133975107E-3</v>
      </c>
      <c r="Q2218" t="str">
        <f t="shared" si="445"/>
        <v>2018-11</v>
      </c>
      <c r="S2218">
        <v>8866.5</v>
      </c>
      <c r="T2218">
        <f t="shared" si="452"/>
        <v>-1.5644202500095839E-2</v>
      </c>
      <c r="U2218" t="str">
        <f t="shared" si="446"/>
        <v>2018-11</v>
      </c>
      <c r="W2218">
        <v>18471.38</v>
      </c>
      <c r="X2218">
        <f t="shared" si="453"/>
        <v>-1.8863925587090914E-2</v>
      </c>
      <c r="Y2218">
        <f t="shared" si="454"/>
        <v>-1.8687115267227074E-2</v>
      </c>
      <c r="Z2218" t="str">
        <f t="shared" si="447"/>
        <v>2018-11</v>
      </c>
    </row>
    <row r="2219" spans="1:26" x14ac:dyDescent="0.35">
      <c r="A2219" s="1">
        <v>43425</v>
      </c>
      <c r="C2219">
        <v>3153.91</v>
      </c>
      <c r="D2219">
        <f t="shared" si="448"/>
        <v>1.2070360485799464E-2</v>
      </c>
      <c r="E2219" t="str">
        <f t="shared" si="442"/>
        <v>2018-11</v>
      </c>
      <c r="G2219">
        <v>4975.5</v>
      </c>
      <c r="H2219">
        <f t="shared" si="449"/>
        <v>1.0223928723838611E-2</v>
      </c>
      <c r="I2219" t="str">
        <f t="shared" si="443"/>
        <v>2018-11</v>
      </c>
      <c r="K2219">
        <v>11244.17</v>
      </c>
      <c r="L2219">
        <f t="shared" si="450"/>
        <v>1.5935377890370458E-2</v>
      </c>
      <c r="M2219" t="str">
        <f t="shared" si="444"/>
        <v>2018-11</v>
      </c>
      <c r="O2219">
        <v>7909.5463799999998</v>
      </c>
      <c r="P2219">
        <f t="shared" si="451"/>
        <v>1.200134860987348E-2</v>
      </c>
      <c r="Q2219" t="str">
        <f t="shared" si="445"/>
        <v>2018-11</v>
      </c>
      <c r="S2219">
        <v>8960.6</v>
      </c>
      <c r="T2219">
        <f t="shared" si="452"/>
        <v>1.0557059080148918E-2</v>
      </c>
      <c r="U2219" t="str">
        <f t="shared" si="446"/>
        <v>2018-11</v>
      </c>
      <c r="W2219">
        <v>18731.55</v>
      </c>
      <c r="X2219">
        <f t="shared" si="453"/>
        <v>1.3986760795252736E-2</v>
      </c>
      <c r="Y2219">
        <f t="shared" si="454"/>
        <v>1.4085033170234072E-2</v>
      </c>
      <c r="Z2219" t="str">
        <f t="shared" si="447"/>
        <v>2018-11</v>
      </c>
    </row>
    <row r="2220" spans="1:26" x14ac:dyDescent="0.35">
      <c r="A2220" s="1">
        <v>43426</v>
      </c>
      <c r="C2220">
        <v>3126.67</v>
      </c>
      <c r="D2220">
        <f t="shared" si="448"/>
        <v>-8.6744124927686031E-3</v>
      </c>
      <c r="E2220" t="str">
        <f t="shared" si="442"/>
        <v>2018-11</v>
      </c>
      <c r="G2220">
        <v>4938.1400000000003</v>
      </c>
      <c r="H2220">
        <f t="shared" si="449"/>
        <v>-7.5371259926540453E-3</v>
      </c>
      <c r="I2220" t="str">
        <f t="shared" si="443"/>
        <v>2018-11</v>
      </c>
      <c r="K2220">
        <v>11138.49</v>
      </c>
      <c r="L2220">
        <f t="shared" si="450"/>
        <v>-9.4430943692294742E-3</v>
      </c>
      <c r="M2220" t="str">
        <f t="shared" si="444"/>
        <v>2018-11</v>
      </c>
      <c r="O2220">
        <v>7854.1549199999999</v>
      </c>
      <c r="P2220">
        <f t="shared" si="451"/>
        <v>-7.0277515317496708E-3</v>
      </c>
      <c r="Q2220" t="str">
        <f t="shared" si="445"/>
        <v>2018-11</v>
      </c>
      <c r="S2220">
        <v>8906.2000000000007</v>
      </c>
      <c r="T2220">
        <f t="shared" si="452"/>
        <v>-6.0895256124681189E-3</v>
      </c>
      <c r="U2220" t="str">
        <f t="shared" si="446"/>
        <v>2018-11</v>
      </c>
      <c r="W2220">
        <v>18603.04</v>
      </c>
      <c r="X2220">
        <f t="shared" si="453"/>
        <v>-6.8842597462288498E-3</v>
      </c>
      <c r="Y2220">
        <f t="shared" si="454"/>
        <v>-6.8606175143006536E-3</v>
      </c>
      <c r="Z2220" t="str">
        <f t="shared" si="447"/>
        <v>2018-11</v>
      </c>
    </row>
    <row r="2221" spans="1:26" x14ac:dyDescent="0.35">
      <c r="A2221" s="1">
        <v>43427</v>
      </c>
      <c r="C2221">
        <v>3137.21</v>
      </c>
      <c r="D2221">
        <f t="shared" si="448"/>
        <v>3.3653294595400859E-3</v>
      </c>
      <c r="E2221" t="str">
        <f t="shared" si="442"/>
        <v>2018-11</v>
      </c>
      <c r="G2221">
        <v>4946.95</v>
      </c>
      <c r="H2221">
        <f t="shared" si="449"/>
        <v>1.7824829784304859E-3</v>
      </c>
      <c r="I2221" t="str">
        <f t="shared" si="443"/>
        <v>2018-11</v>
      </c>
      <c r="K2221">
        <v>11192.69</v>
      </c>
      <c r="L2221">
        <f t="shared" si="450"/>
        <v>4.8542089068046666E-3</v>
      </c>
      <c r="M2221" t="str">
        <f t="shared" si="444"/>
        <v>2018-11</v>
      </c>
      <c r="O2221">
        <v>7857.0078299999996</v>
      </c>
      <c r="P2221">
        <f t="shared" si="451"/>
        <v>3.6316981457738671E-4</v>
      </c>
      <c r="Q2221" t="str">
        <f t="shared" si="445"/>
        <v>2018-11</v>
      </c>
      <c r="S2221">
        <v>8916.7000000000007</v>
      </c>
      <c r="T2221">
        <f t="shared" si="452"/>
        <v>1.1782595665978698E-3</v>
      </c>
      <c r="U2221" t="str">
        <f t="shared" si="446"/>
        <v>2018-11</v>
      </c>
      <c r="W2221">
        <v>18714.900000000001</v>
      </c>
      <c r="X2221">
        <f t="shared" si="453"/>
        <v>5.9949898102410228E-3</v>
      </c>
      <c r="Y2221">
        <f t="shared" si="454"/>
        <v>6.0129957254298535E-3</v>
      </c>
      <c r="Z2221" t="str">
        <f t="shared" si="447"/>
        <v>2018-11</v>
      </c>
    </row>
    <row r="2222" spans="1:26" x14ac:dyDescent="0.35">
      <c r="A2222" s="1">
        <v>43430</v>
      </c>
      <c r="C2222">
        <v>3172.71</v>
      </c>
      <c r="D2222">
        <f t="shared" si="448"/>
        <v>1.1252242362040882E-2</v>
      </c>
      <c r="E2222" t="str">
        <f t="shared" si="442"/>
        <v>2018-11</v>
      </c>
      <c r="G2222">
        <v>4994.9799999999996</v>
      </c>
      <c r="H2222">
        <f t="shared" si="449"/>
        <v>9.6621830296403088E-3</v>
      </c>
      <c r="I2222" t="str">
        <f t="shared" si="443"/>
        <v>2018-11</v>
      </c>
      <c r="K2222">
        <v>11354.72</v>
      </c>
      <c r="L2222">
        <f t="shared" si="450"/>
        <v>1.437262987060898E-2</v>
      </c>
      <c r="M2222" t="str">
        <f t="shared" si="444"/>
        <v>2018-11</v>
      </c>
      <c r="O2222">
        <v>7954.3596399999997</v>
      </c>
      <c r="P2222">
        <f t="shared" si="451"/>
        <v>1.2314309992740835E-2</v>
      </c>
      <c r="Q2222" t="str">
        <f t="shared" si="445"/>
        <v>2018-11</v>
      </c>
      <c r="S2222">
        <v>9091.2000000000007</v>
      </c>
      <c r="T2222">
        <f t="shared" si="452"/>
        <v>1.9380989693056298E-2</v>
      </c>
      <c r="U2222" t="str">
        <f t="shared" si="446"/>
        <v>2018-11</v>
      </c>
      <c r="W2222">
        <v>19233.45</v>
      </c>
      <c r="X2222">
        <f t="shared" si="453"/>
        <v>2.7330952650823186E-2</v>
      </c>
      <c r="Y2222">
        <f t="shared" si="454"/>
        <v>2.7707869131013217E-2</v>
      </c>
      <c r="Z2222" t="str">
        <f t="shared" si="447"/>
        <v>2018-11</v>
      </c>
    </row>
    <row r="2223" spans="1:26" x14ac:dyDescent="0.35">
      <c r="A2223" s="1">
        <v>43431</v>
      </c>
      <c r="C2223">
        <v>3166.42</v>
      </c>
      <c r="D2223">
        <f t="shared" si="448"/>
        <v>-1.9845001015263578E-3</v>
      </c>
      <c r="E2223" t="str">
        <f t="shared" si="442"/>
        <v>2018-11</v>
      </c>
      <c r="G2223">
        <v>4983.1499999999996</v>
      </c>
      <c r="H2223">
        <f t="shared" si="449"/>
        <v>-2.371186894312744E-3</v>
      </c>
      <c r="I2223" t="str">
        <f t="shared" si="443"/>
        <v>2018-11</v>
      </c>
      <c r="K2223">
        <v>11309.11</v>
      </c>
      <c r="L2223">
        <f t="shared" si="450"/>
        <v>-4.0249209046695281E-3</v>
      </c>
      <c r="M2223" t="str">
        <f t="shared" si="444"/>
        <v>2018-11</v>
      </c>
      <c r="O2223">
        <v>7918.4390599999997</v>
      </c>
      <c r="P2223">
        <f t="shared" si="451"/>
        <v>-4.5260627314743602E-3</v>
      </c>
      <c r="Q2223" t="str">
        <f t="shared" si="445"/>
        <v>2018-11</v>
      </c>
      <c r="S2223">
        <v>9085.6</v>
      </c>
      <c r="T2223">
        <f t="shared" si="452"/>
        <v>-6.1617008243234413E-4</v>
      </c>
      <c r="U2223" t="str">
        <f t="shared" si="446"/>
        <v>2018-11</v>
      </c>
      <c r="W2223">
        <v>19150.38</v>
      </c>
      <c r="X2223">
        <f t="shared" si="453"/>
        <v>-4.3283919136175176E-3</v>
      </c>
      <c r="Y2223">
        <f t="shared" si="454"/>
        <v>-4.3190379261130842E-3</v>
      </c>
      <c r="Z2223" t="str">
        <f t="shared" si="447"/>
        <v>2018-11</v>
      </c>
    </row>
    <row r="2224" spans="1:26" x14ac:dyDescent="0.35">
      <c r="A2224" s="1">
        <v>43432</v>
      </c>
      <c r="C2224">
        <v>3168.29</v>
      </c>
      <c r="D2224">
        <f t="shared" si="448"/>
        <v>5.9039799906178522E-4</v>
      </c>
      <c r="E2224" t="str">
        <f t="shared" si="442"/>
        <v>2018-11</v>
      </c>
      <c r="G2224">
        <v>4983.24</v>
      </c>
      <c r="H2224">
        <f t="shared" si="449"/>
        <v>1.8060702020005075E-5</v>
      </c>
      <c r="I2224" t="str">
        <f t="shared" si="443"/>
        <v>2018-11</v>
      </c>
      <c r="K2224">
        <v>11298.88</v>
      </c>
      <c r="L2224">
        <f t="shared" si="450"/>
        <v>-9.0498984635123273E-4</v>
      </c>
      <c r="M2224" t="str">
        <f t="shared" si="444"/>
        <v>2018-11</v>
      </c>
      <c r="O2224">
        <v>7906.63598</v>
      </c>
      <c r="P2224">
        <f t="shared" si="451"/>
        <v>-1.4916936771295726E-3</v>
      </c>
      <c r="Q2224" t="str">
        <f t="shared" si="445"/>
        <v>2018-11</v>
      </c>
      <c r="S2224">
        <v>9102.7000000000007</v>
      </c>
      <c r="T2224">
        <f t="shared" si="452"/>
        <v>1.8803302164896285E-3</v>
      </c>
      <c r="U2224" t="str">
        <f t="shared" si="446"/>
        <v>2018-11</v>
      </c>
      <c r="W2224">
        <v>19115.16</v>
      </c>
      <c r="X2224">
        <f t="shared" si="453"/>
        <v>-1.8408212687242699E-3</v>
      </c>
      <c r="Y2224">
        <f t="shared" si="454"/>
        <v>-1.8391279964157976E-3</v>
      </c>
      <c r="Z2224" t="str">
        <f t="shared" si="447"/>
        <v>2018-11</v>
      </c>
    </row>
    <row r="2225" spans="1:26" x14ac:dyDescent="0.35">
      <c r="A2225" s="1">
        <v>43433</v>
      </c>
      <c r="C2225">
        <v>3174.16</v>
      </c>
      <c r="D2225">
        <f t="shared" si="448"/>
        <v>1.8510202448642672E-3</v>
      </c>
      <c r="E2225" t="str">
        <f t="shared" si="442"/>
        <v>2018-11</v>
      </c>
      <c r="G2225">
        <v>5006.25</v>
      </c>
      <c r="H2225">
        <f t="shared" si="449"/>
        <v>4.6068499383283574E-3</v>
      </c>
      <c r="I2225" t="str">
        <f t="shared" si="443"/>
        <v>2018-11</v>
      </c>
      <c r="K2225">
        <v>11298.23</v>
      </c>
      <c r="L2225">
        <f t="shared" si="450"/>
        <v>-5.7529480555567728E-5</v>
      </c>
      <c r="M2225" t="str">
        <f t="shared" si="444"/>
        <v>2018-11</v>
      </c>
      <c r="O2225">
        <v>7909.1481599999997</v>
      </c>
      <c r="P2225">
        <f t="shared" si="451"/>
        <v>3.1768010980542873E-4</v>
      </c>
      <c r="Q2225" t="str">
        <f t="shared" si="445"/>
        <v>2018-11</v>
      </c>
      <c r="S2225">
        <v>9098.9</v>
      </c>
      <c r="T2225">
        <f t="shared" si="452"/>
        <v>-4.1754571633372277E-4</v>
      </c>
      <c r="U2225" t="str">
        <f t="shared" si="446"/>
        <v>2018-11</v>
      </c>
      <c r="W2225">
        <v>19159.599999999999</v>
      </c>
      <c r="X2225">
        <f t="shared" si="453"/>
        <v>2.3221579949772686E-3</v>
      </c>
      <c r="Y2225">
        <f t="shared" si="454"/>
        <v>2.3248562920738665E-3</v>
      </c>
      <c r="Z2225" t="str">
        <f t="shared" si="447"/>
        <v>2018-11</v>
      </c>
    </row>
    <row r="2226" spans="1:26" x14ac:dyDescent="0.35">
      <c r="A2226" s="1">
        <v>43434</v>
      </c>
      <c r="C2226">
        <v>3173.13</v>
      </c>
      <c r="D2226">
        <f t="shared" si="448"/>
        <v>-3.2454795953567103E-4</v>
      </c>
      <c r="E2226" t="str">
        <f t="shared" si="442"/>
        <v>2018-11</v>
      </c>
      <c r="G2226">
        <v>5003.92</v>
      </c>
      <c r="H2226">
        <f t="shared" si="449"/>
        <v>-4.655265678962538E-4</v>
      </c>
      <c r="I2226" t="str">
        <f t="shared" si="443"/>
        <v>2018-11</v>
      </c>
      <c r="K2226">
        <v>11257.24</v>
      </c>
      <c r="L2226">
        <f t="shared" si="450"/>
        <v>-3.6345990683597979E-3</v>
      </c>
      <c r="M2226" t="str">
        <f t="shared" si="444"/>
        <v>2018-11</v>
      </c>
      <c r="O2226">
        <v>7867.9611999999997</v>
      </c>
      <c r="P2226">
        <f t="shared" si="451"/>
        <v>-5.2211153036155486E-3</v>
      </c>
      <c r="Q2226" t="str">
        <f t="shared" si="445"/>
        <v>2018-11</v>
      </c>
      <c r="S2226">
        <v>9077.2000000000007</v>
      </c>
      <c r="T2226">
        <f t="shared" si="452"/>
        <v>-2.387752082125146E-3</v>
      </c>
      <c r="U2226" t="str">
        <f t="shared" si="446"/>
        <v>2018-11</v>
      </c>
      <c r="W2226">
        <v>19188.97</v>
      </c>
      <c r="X2226">
        <f t="shared" si="453"/>
        <v>1.5317392926197393E-3</v>
      </c>
      <c r="Y2226">
        <f t="shared" si="454"/>
        <v>1.5329130044469937E-3</v>
      </c>
      <c r="Z2226" t="str">
        <f t="shared" si="447"/>
        <v>2018-11</v>
      </c>
    </row>
    <row r="2227" spans="1:26" x14ac:dyDescent="0.35">
      <c r="A2227" s="1">
        <v>43437</v>
      </c>
      <c r="C2227">
        <v>3214.99</v>
      </c>
      <c r="D2227">
        <f t="shared" si="448"/>
        <v>1.3105764812857362E-2</v>
      </c>
      <c r="E2227" t="str">
        <f t="shared" si="442"/>
        <v>2018-12</v>
      </c>
      <c r="G2227">
        <v>5053.9799999999996</v>
      </c>
      <c r="H2227">
        <f t="shared" si="449"/>
        <v>9.9544464299613413E-3</v>
      </c>
      <c r="I2227" t="str">
        <f t="shared" si="443"/>
        <v>2018-12</v>
      </c>
      <c r="K2227">
        <v>11465.46</v>
      </c>
      <c r="L2227">
        <f t="shared" si="450"/>
        <v>1.832756040285809E-2</v>
      </c>
      <c r="M2227" t="str">
        <f t="shared" si="444"/>
        <v>2018-12</v>
      </c>
      <c r="O2227">
        <v>7925.8491899999999</v>
      </c>
      <c r="P2227">
        <f t="shared" si="451"/>
        <v>7.3304981880524247E-3</v>
      </c>
      <c r="Q2227" t="str">
        <f t="shared" si="445"/>
        <v>2018-12</v>
      </c>
      <c r="S2227">
        <v>9179.6</v>
      </c>
      <c r="T2227">
        <f t="shared" si="452"/>
        <v>1.1217855684989272E-2</v>
      </c>
      <c r="U2227" t="str">
        <f t="shared" si="446"/>
        <v>2018-12</v>
      </c>
      <c r="W2227">
        <v>19622.36</v>
      </c>
      <c r="X2227">
        <f t="shared" si="453"/>
        <v>2.2334097535855579E-2</v>
      </c>
      <c r="Y2227">
        <f t="shared" si="454"/>
        <v>2.2585370658247908E-2</v>
      </c>
      <c r="Z2227" t="str">
        <f t="shared" si="447"/>
        <v>2018-12</v>
      </c>
    </row>
    <row r="2228" spans="1:26" x14ac:dyDescent="0.35">
      <c r="A2228" s="1">
        <v>43438</v>
      </c>
      <c r="C2228">
        <v>3189.25</v>
      </c>
      <c r="D2228">
        <f t="shared" si="448"/>
        <v>-8.0384678285762325E-3</v>
      </c>
      <c r="E2228" t="str">
        <f t="shared" si="442"/>
        <v>2018-12</v>
      </c>
      <c r="G2228">
        <v>5012.66</v>
      </c>
      <c r="H2228">
        <f t="shared" si="449"/>
        <v>-8.2093393738474092E-3</v>
      </c>
      <c r="I2228" t="str">
        <f t="shared" si="443"/>
        <v>2018-12</v>
      </c>
      <c r="K2228">
        <v>11335.32</v>
      </c>
      <c r="L2228">
        <f t="shared" si="450"/>
        <v>-1.1415522912289153E-2</v>
      </c>
      <c r="M2228" t="str">
        <f t="shared" si="444"/>
        <v>2018-12</v>
      </c>
      <c r="O2228">
        <v>7872.8216700000003</v>
      </c>
      <c r="P2228">
        <f t="shared" si="451"/>
        <v>-6.7129342213021921E-3</v>
      </c>
      <c r="Q2228" t="str">
        <f t="shared" si="445"/>
        <v>2018-12</v>
      </c>
      <c r="S2228">
        <v>9061.7000000000007</v>
      </c>
      <c r="T2228">
        <f t="shared" si="452"/>
        <v>-1.2926890276138605E-2</v>
      </c>
      <c r="U2228" t="str">
        <f t="shared" si="446"/>
        <v>2018-12</v>
      </c>
      <c r="W2228">
        <v>19353.43</v>
      </c>
      <c r="X2228">
        <f t="shared" si="453"/>
        <v>-1.3800067577711924E-2</v>
      </c>
      <c r="Y2228">
        <f t="shared" si="454"/>
        <v>-1.3705283156562222E-2</v>
      </c>
      <c r="Z2228" t="str">
        <f t="shared" si="447"/>
        <v>2018-12</v>
      </c>
    </row>
    <row r="2229" spans="1:26" x14ac:dyDescent="0.35">
      <c r="A2229" s="1">
        <v>43439</v>
      </c>
      <c r="C2229">
        <v>3150.27</v>
      </c>
      <c r="D2229">
        <f t="shared" si="448"/>
        <v>-1.2297615986265902E-2</v>
      </c>
      <c r="E2229" t="str">
        <f t="shared" si="442"/>
        <v>2018-12</v>
      </c>
      <c r="G2229">
        <v>4944.37</v>
      </c>
      <c r="H2229">
        <f t="shared" si="449"/>
        <v>-1.3717156779895604E-2</v>
      </c>
      <c r="I2229" t="str">
        <f t="shared" si="443"/>
        <v>2018-12</v>
      </c>
      <c r="K2229">
        <v>11200.24</v>
      </c>
      <c r="L2229">
        <f t="shared" si="450"/>
        <v>-1.1988308060591315E-2</v>
      </c>
      <c r="M2229" t="str">
        <f t="shared" si="444"/>
        <v>2018-12</v>
      </c>
      <c r="O2229">
        <v>7775.0253899999998</v>
      </c>
      <c r="P2229">
        <f t="shared" si="451"/>
        <v>-1.2499809459017821E-2</v>
      </c>
      <c r="Q2229" t="str">
        <f t="shared" si="445"/>
        <v>2018-12</v>
      </c>
      <c r="S2229">
        <v>9012.2000000000007</v>
      </c>
      <c r="T2229">
        <f t="shared" si="452"/>
        <v>-5.4775254663896496E-3</v>
      </c>
      <c r="U2229" t="str">
        <f t="shared" si="446"/>
        <v>2018-12</v>
      </c>
      <c r="W2229">
        <v>19328.7</v>
      </c>
      <c r="X2229">
        <f t="shared" si="453"/>
        <v>-1.2786267648253729E-3</v>
      </c>
      <c r="Y2229">
        <f t="shared" si="454"/>
        <v>-1.2778096699137859E-3</v>
      </c>
      <c r="Z2229" t="str">
        <f t="shared" si="447"/>
        <v>2018-12</v>
      </c>
    </row>
    <row r="2230" spans="1:26" x14ac:dyDescent="0.35">
      <c r="A2230" s="1">
        <v>43440</v>
      </c>
      <c r="C2230">
        <v>3045.94</v>
      </c>
      <c r="D2230">
        <f t="shared" si="448"/>
        <v>-3.3678607135577465E-2</v>
      </c>
      <c r="E2230" t="str">
        <f t="shared" si="442"/>
        <v>2018-12</v>
      </c>
      <c r="G2230">
        <v>4780.46</v>
      </c>
      <c r="H2230">
        <f t="shared" si="449"/>
        <v>-3.3712779360090532E-2</v>
      </c>
      <c r="I2230" t="str">
        <f t="shared" si="443"/>
        <v>2018-12</v>
      </c>
      <c r="K2230">
        <v>10810.98</v>
      </c>
      <c r="L2230">
        <f t="shared" si="450"/>
        <v>-3.5372922301591316E-2</v>
      </c>
      <c r="M2230" t="str">
        <f t="shared" si="444"/>
        <v>2018-12</v>
      </c>
      <c r="O2230">
        <v>7533.0042800000001</v>
      </c>
      <c r="P2230">
        <f t="shared" si="451"/>
        <v>-3.1622786644691814E-2</v>
      </c>
      <c r="Q2230" t="str">
        <f t="shared" si="445"/>
        <v>2018-12</v>
      </c>
      <c r="S2230">
        <v>8764.5</v>
      </c>
      <c r="T2230">
        <f t="shared" si="452"/>
        <v>-2.786974327532709E-2</v>
      </c>
      <c r="U2230" t="str">
        <f t="shared" si="446"/>
        <v>2018-12</v>
      </c>
      <c r="W2230">
        <v>18643.830000000002</v>
      </c>
      <c r="X2230">
        <f t="shared" si="453"/>
        <v>-3.6075777730057934E-2</v>
      </c>
      <c r="Y2230">
        <f t="shared" si="454"/>
        <v>-3.5432801999099733E-2</v>
      </c>
      <c r="Z2230" t="str">
        <f t="shared" si="447"/>
        <v>2018-12</v>
      </c>
    </row>
    <row r="2231" spans="1:26" x14ac:dyDescent="0.35">
      <c r="A2231" s="1">
        <v>43441</v>
      </c>
      <c r="C2231">
        <v>3058.53</v>
      </c>
      <c r="D2231">
        <f t="shared" si="448"/>
        <v>4.1248520677278355E-3</v>
      </c>
      <c r="E2231" t="str">
        <f t="shared" si="442"/>
        <v>2018-12</v>
      </c>
      <c r="G2231">
        <v>4813.13</v>
      </c>
      <c r="H2231">
        <f t="shared" si="449"/>
        <v>6.8108239542003981E-3</v>
      </c>
      <c r="I2231" t="str">
        <f t="shared" si="443"/>
        <v>2018-12</v>
      </c>
      <c r="K2231">
        <v>10788.09</v>
      </c>
      <c r="L2231">
        <f t="shared" si="450"/>
        <v>-2.1195364957211854E-3</v>
      </c>
      <c r="M2231" t="str">
        <f t="shared" si="444"/>
        <v>2018-12</v>
      </c>
      <c r="O2231">
        <v>7572.80548</v>
      </c>
      <c r="P2231">
        <f t="shared" si="451"/>
        <v>5.2696668019654586E-3</v>
      </c>
      <c r="Q2231" t="str">
        <f t="shared" si="445"/>
        <v>2018-12</v>
      </c>
      <c r="S2231">
        <v>8815.5</v>
      </c>
      <c r="T2231">
        <f t="shared" si="452"/>
        <v>5.802064058213487E-3</v>
      </c>
      <c r="U2231" t="str">
        <f t="shared" si="446"/>
        <v>2018-12</v>
      </c>
      <c r="W2231">
        <v>18741.98</v>
      </c>
      <c r="X2231">
        <f t="shared" si="453"/>
        <v>5.2506673251424144E-3</v>
      </c>
      <c r="Y2231">
        <f t="shared" si="454"/>
        <v>5.2644762369104311E-3</v>
      </c>
      <c r="Z2231" t="str">
        <f t="shared" si="447"/>
        <v>2018-12</v>
      </c>
    </row>
    <row r="2232" spans="1:26" x14ac:dyDescent="0.35">
      <c r="A2232" s="1">
        <v>43444</v>
      </c>
      <c r="C2232">
        <v>3016.99</v>
      </c>
      <c r="D2232">
        <f t="shared" si="448"/>
        <v>-1.3674762761594288E-2</v>
      </c>
      <c r="E2232" t="str">
        <f t="shared" si="442"/>
        <v>2018-12</v>
      </c>
      <c r="G2232">
        <v>4742.38</v>
      </c>
      <c r="H2232">
        <f t="shared" si="449"/>
        <v>-1.4808480740235209E-2</v>
      </c>
      <c r="I2232" t="str">
        <f t="shared" si="443"/>
        <v>2018-12</v>
      </c>
      <c r="K2232">
        <v>10622.07</v>
      </c>
      <c r="L2232">
        <f t="shared" si="450"/>
        <v>-1.5508835771056394E-2</v>
      </c>
      <c r="M2232" t="str">
        <f t="shared" si="444"/>
        <v>2018-12</v>
      </c>
      <c r="O2232">
        <v>7433.3368899999996</v>
      </c>
      <c r="P2232">
        <f t="shared" si="451"/>
        <v>-1.8588735538909544E-2</v>
      </c>
      <c r="Q2232" t="str">
        <f t="shared" si="445"/>
        <v>2018-12</v>
      </c>
      <c r="S2232">
        <v>8660</v>
      </c>
      <c r="T2232">
        <f t="shared" si="452"/>
        <v>-1.7796813164334017E-2</v>
      </c>
      <c r="U2232" t="str">
        <f t="shared" si="446"/>
        <v>2018-12</v>
      </c>
      <c r="W2232">
        <v>18410.13</v>
      </c>
      <c r="X2232">
        <f t="shared" si="453"/>
        <v>-1.7864870979350373E-2</v>
      </c>
      <c r="Y2232">
        <f t="shared" si="454"/>
        <v>-1.7706240215814902E-2</v>
      </c>
      <c r="Z2232" t="str">
        <f t="shared" si="447"/>
        <v>2018-12</v>
      </c>
    </row>
    <row r="2233" spans="1:26" x14ac:dyDescent="0.35">
      <c r="A2233" s="1">
        <v>43445</v>
      </c>
      <c r="C2233">
        <v>3055.32</v>
      </c>
      <c r="D2233">
        <f t="shared" si="448"/>
        <v>1.2624687835005994E-2</v>
      </c>
      <c r="E2233" t="str">
        <f t="shared" si="442"/>
        <v>2018-12</v>
      </c>
      <c r="G2233">
        <v>4806.2</v>
      </c>
      <c r="H2233">
        <f t="shared" si="449"/>
        <v>1.3367631700038794E-2</v>
      </c>
      <c r="I2233" t="str">
        <f t="shared" si="443"/>
        <v>2018-12</v>
      </c>
      <c r="K2233">
        <v>10780.51</v>
      </c>
      <c r="L2233">
        <f t="shared" si="450"/>
        <v>1.4805962120280418E-2</v>
      </c>
      <c r="M2233" t="str">
        <f t="shared" si="444"/>
        <v>2018-12</v>
      </c>
      <c r="O2233">
        <v>7526.7833799999999</v>
      </c>
      <c r="P2233">
        <f t="shared" si="451"/>
        <v>1.2492908303041325E-2</v>
      </c>
      <c r="Q2233" t="str">
        <f t="shared" si="445"/>
        <v>2018-12</v>
      </c>
      <c r="S2233">
        <v>8735.5</v>
      </c>
      <c r="T2233">
        <f t="shared" si="452"/>
        <v>8.6804603580183399E-3</v>
      </c>
      <c r="U2233" t="str">
        <f t="shared" si="446"/>
        <v>2018-12</v>
      </c>
      <c r="W2233">
        <v>18591.009999999998</v>
      </c>
      <c r="X2233">
        <f t="shared" si="453"/>
        <v>9.777073942875459E-3</v>
      </c>
      <c r="Y2233">
        <f t="shared" si="454"/>
        <v>9.8250256787973458E-3</v>
      </c>
      <c r="Z2233" t="str">
        <f t="shared" si="447"/>
        <v>2018-12</v>
      </c>
    </row>
    <row r="2234" spans="1:26" x14ac:dyDescent="0.35">
      <c r="A2234" s="1">
        <v>43446</v>
      </c>
      <c r="C2234">
        <v>3107.97</v>
      </c>
      <c r="D2234">
        <f t="shared" si="448"/>
        <v>1.7085446493604228E-2</v>
      </c>
      <c r="E2234" t="str">
        <f t="shared" si="442"/>
        <v>2018-12</v>
      </c>
      <c r="G2234">
        <v>4909.45</v>
      </c>
      <c r="H2234">
        <f t="shared" si="449"/>
        <v>2.1255168142088773E-2</v>
      </c>
      <c r="I2234" t="str">
        <f t="shared" si="443"/>
        <v>2018-12</v>
      </c>
      <c r="K2234">
        <v>10929.43</v>
      </c>
      <c r="L2234">
        <f t="shared" si="450"/>
        <v>1.3719276588040376E-2</v>
      </c>
      <c r="M2234" t="str">
        <f t="shared" si="444"/>
        <v>2018-12</v>
      </c>
      <c r="O2234">
        <v>7650.03107</v>
      </c>
      <c r="P2234">
        <f t="shared" si="451"/>
        <v>1.6241932691878822E-2</v>
      </c>
      <c r="Q2234" t="str">
        <f t="shared" si="445"/>
        <v>2018-12</v>
      </c>
      <c r="S2234">
        <v>8853.4</v>
      </c>
      <c r="T2234">
        <f t="shared" si="452"/>
        <v>1.3406383099891978E-2</v>
      </c>
      <c r="U2234" t="str">
        <f t="shared" si="446"/>
        <v>2018-12</v>
      </c>
      <c r="W2234">
        <v>18945.8</v>
      </c>
      <c r="X2234">
        <f t="shared" si="453"/>
        <v>1.8904140537052392E-2</v>
      </c>
      <c r="Y2234">
        <f t="shared" si="454"/>
        <v>1.9083955094424721E-2</v>
      </c>
      <c r="Z2234" t="str">
        <f t="shared" si="447"/>
        <v>2018-12</v>
      </c>
    </row>
    <row r="2235" spans="1:26" x14ac:dyDescent="0.35">
      <c r="A2235" s="1">
        <v>43447</v>
      </c>
      <c r="C2235">
        <v>3112.17</v>
      </c>
      <c r="D2235">
        <f t="shared" si="448"/>
        <v>1.3504521243259788E-3</v>
      </c>
      <c r="E2235" t="str">
        <f t="shared" si="442"/>
        <v>2018-12</v>
      </c>
      <c r="G2235">
        <v>4896.92</v>
      </c>
      <c r="H2235">
        <f t="shared" si="449"/>
        <v>-2.555483184689808E-3</v>
      </c>
      <c r="I2235" t="str">
        <f t="shared" si="443"/>
        <v>2018-12</v>
      </c>
      <c r="K2235">
        <v>10924.7</v>
      </c>
      <c r="L2235">
        <f t="shared" si="450"/>
        <v>-4.3287013245164684E-4</v>
      </c>
      <c r="M2235" t="str">
        <f t="shared" si="444"/>
        <v>2018-12</v>
      </c>
      <c r="O2235">
        <v>7648.3952600000002</v>
      </c>
      <c r="P2235">
        <f t="shared" si="451"/>
        <v>-2.1385336909141695E-4</v>
      </c>
      <c r="Q2235" t="str">
        <f t="shared" si="445"/>
        <v>2018-12</v>
      </c>
      <c r="S2235">
        <v>8926.2999999999993</v>
      </c>
      <c r="T2235">
        <f t="shared" si="452"/>
        <v>8.2004092896192041E-3</v>
      </c>
      <c r="U2235" t="str">
        <f t="shared" si="446"/>
        <v>2018-12</v>
      </c>
      <c r="W2235">
        <v>19048.830000000002</v>
      </c>
      <c r="X2235">
        <f t="shared" si="453"/>
        <v>5.4234112840863824E-3</v>
      </c>
      <c r="Y2235">
        <f t="shared" si="454"/>
        <v>5.4381446019699606E-3</v>
      </c>
      <c r="Z2235" t="str">
        <f t="shared" si="447"/>
        <v>2018-12</v>
      </c>
    </row>
    <row r="2236" spans="1:26" x14ac:dyDescent="0.35">
      <c r="A2236" s="1">
        <v>43448</v>
      </c>
      <c r="C2236">
        <v>3092.6</v>
      </c>
      <c r="D2236">
        <f t="shared" si="448"/>
        <v>-6.308071014295597E-3</v>
      </c>
      <c r="E2236" t="str">
        <f t="shared" si="442"/>
        <v>2018-12</v>
      </c>
      <c r="G2236">
        <v>4853.7</v>
      </c>
      <c r="H2236">
        <f t="shared" si="449"/>
        <v>-8.865135356903156E-3</v>
      </c>
      <c r="I2236" t="str">
        <f t="shared" si="443"/>
        <v>2018-12</v>
      </c>
      <c r="K2236">
        <v>10865.77</v>
      </c>
      <c r="L2236">
        <f t="shared" si="450"/>
        <v>-5.4087996878378168E-3</v>
      </c>
      <c r="M2236" t="str">
        <f t="shared" si="444"/>
        <v>2018-12</v>
      </c>
      <c r="O2236">
        <v>7612.0034900000001</v>
      </c>
      <c r="P2236">
        <f t="shared" si="451"/>
        <v>-4.7694479786158286E-3</v>
      </c>
      <c r="Q2236" t="str">
        <f t="shared" si="445"/>
        <v>2018-12</v>
      </c>
      <c r="S2236">
        <v>8886.1</v>
      </c>
      <c r="T2236">
        <f t="shared" si="452"/>
        <v>-4.5137172140396831E-3</v>
      </c>
      <c r="U2236" t="str">
        <f t="shared" si="446"/>
        <v>2018-12</v>
      </c>
      <c r="W2236">
        <v>18910.79</v>
      </c>
      <c r="X2236">
        <f t="shared" si="453"/>
        <v>-7.2730237283639915E-3</v>
      </c>
      <c r="Y2236">
        <f t="shared" si="454"/>
        <v>-7.2466392949068715E-3</v>
      </c>
      <c r="Z2236" t="str">
        <f t="shared" si="447"/>
        <v>2018-12</v>
      </c>
    </row>
    <row r="2237" spans="1:26" x14ac:dyDescent="0.35">
      <c r="A2237" s="1">
        <v>43451</v>
      </c>
      <c r="C2237">
        <v>3063.65</v>
      </c>
      <c r="D2237">
        <f t="shared" si="448"/>
        <v>-9.4051454705776551E-3</v>
      </c>
      <c r="E2237" t="str">
        <f t="shared" si="442"/>
        <v>2018-12</v>
      </c>
      <c r="G2237">
        <v>4799.87</v>
      </c>
      <c r="H2237">
        <f t="shared" si="449"/>
        <v>-1.1152466483511789E-2</v>
      </c>
      <c r="I2237" t="str">
        <f t="shared" si="443"/>
        <v>2018-12</v>
      </c>
      <c r="K2237">
        <v>10772.2</v>
      </c>
      <c r="L2237">
        <f t="shared" si="450"/>
        <v>-8.6487395312680165E-3</v>
      </c>
      <c r="M2237" t="str">
        <f t="shared" si="444"/>
        <v>2018-12</v>
      </c>
      <c r="O2237">
        <v>7527.4797500000004</v>
      </c>
      <c r="P2237">
        <f t="shared" si="451"/>
        <v>-1.1166116686431969E-2</v>
      </c>
      <c r="Q2237" t="str">
        <f t="shared" si="445"/>
        <v>2018-12</v>
      </c>
      <c r="S2237">
        <v>8812.5</v>
      </c>
      <c r="T2237">
        <f t="shared" si="452"/>
        <v>-8.3170899694465037E-3</v>
      </c>
      <c r="U2237" t="str">
        <f t="shared" si="446"/>
        <v>2018-12</v>
      </c>
      <c r="W2237">
        <v>18693.45</v>
      </c>
      <c r="X2237">
        <f t="shared" si="453"/>
        <v>-1.155946351247541E-2</v>
      </c>
      <c r="Y2237">
        <f t="shared" si="454"/>
        <v>-1.1492909603459197E-2</v>
      </c>
      <c r="Z2237" t="str">
        <f t="shared" si="447"/>
        <v>2018-12</v>
      </c>
    </row>
    <row r="2238" spans="1:26" x14ac:dyDescent="0.35">
      <c r="A2238" s="1">
        <v>43452</v>
      </c>
      <c r="C2238">
        <v>3040.13</v>
      </c>
      <c r="D2238">
        <f t="shared" si="448"/>
        <v>-7.7067379269080694E-3</v>
      </c>
      <c r="E2238" t="str">
        <f t="shared" si="442"/>
        <v>2018-12</v>
      </c>
      <c r="G2238">
        <v>4754.08</v>
      </c>
      <c r="H2238">
        <f t="shared" si="449"/>
        <v>-9.5856374829666208E-3</v>
      </c>
      <c r="I2238" t="str">
        <f t="shared" si="443"/>
        <v>2018-12</v>
      </c>
      <c r="K2238">
        <v>10740.89</v>
      </c>
      <c r="L2238">
        <f t="shared" si="450"/>
        <v>-2.9107879999247461E-3</v>
      </c>
      <c r="M2238" t="str">
        <f t="shared" si="444"/>
        <v>2018-12</v>
      </c>
      <c r="O2238">
        <v>7452.5692300000001</v>
      </c>
      <c r="P2238">
        <f t="shared" si="451"/>
        <v>-1.0001455206856E-2</v>
      </c>
      <c r="Q2238" t="str">
        <f t="shared" si="445"/>
        <v>2018-12</v>
      </c>
      <c r="S2238">
        <v>8700.7999999999993</v>
      </c>
      <c r="T2238">
        <f t="shared" si="452"/>
        <v>-1.2756192682372569E-2</v>
      </c>
      <c r="U2238" t="str">
        <f t="shared" si="446"/>
        <v>2018-12</v>
      </c>
      <c r="W2238">
        <v>18644.849999999999</v>
      </c>
      <c r="X2238">
        <f t="shared" si="453"/>
        <v>-2.6032265767853349E-3</v>
      </c>
      <c r="Y2238">
        <f t="shared" si="454"/>
        <v>-2.599841120820511E-3</v>
      </c>
      <c r="Z2238" t="str">
        <f t="shared" si="447"/>
        <v>2018-12</v>
      </c>
    </row>
    <row r="2239" spans="1:26" x14ac:dyDescent="0.35">
      <c r="A2239" s="1">
        <v>43453</v>
      </c>
      <c r="C2239">
        <v>3051.38</v>
      </c>
      <c r="D2239">
        <f t="shared" si="448"/>
        <v>3.6936696452909202E-3</v>
      </c>
      <c r="E2239" t="str">
        <f t="shared" si="442"/>
        <v>2018-12</v>
      </c>
      <c r="G2239">
        <v>4777.45</v>
      </c>
      <c r="H2239">
        <f t="shared" si="449"/>
        <v>4.9037346219883912E-3</v>
      </c>
      <c r="I2239" t="str">
        <f t="shared" si="443"/>
        <v>2018-12</v>
      </c>
      <c r="K2239">
        <v>10766.21</v>
      </c>
      <c r="L2239">
        <f t="shared" si="450"/>
        <v>2.3545723689257147E-3</v>
      </c>
      <c r="M2239" t="str">
        <f t="shared" si="444"/>
        <v>2018-12</v>
      </c>
      <c r="O2239">
        <v>7493.75972</v>
      </c>
      <c r="P2239">
        <f t="shared" si="451"/>
        <v>5.5118008466369019E-3</v>
      </c>
      <c r="Q2239" t="str">
        <f t="shared" si="445"/>
        <v>2018-12</v>
      </c>
      <c r="S2239">
        <v>8769.1</v>
      </c>
      <c r="T2239">
        <f t="shared" si="452"/>
        <v>7.8192030850533865E-3</v>
      </c>
      <c r="U2239" t="str">
        <f t="shared" si="446"/>
        <v>2018-12</v>
      </c>
      <c r="W2239">
        <v>18941.900000000001</v>
      </c>
      <c r="X2239">
        <f t="shared" si="453"/>
        <v>1.5806430970272605E-2</v>
      </c>
      <c r="Y2239">
        <f t="shared" si="454"/>
        <v>1.5932013397801696E-2</v>
      </c>
      <c r="Z2239" t="str">
        <f t="shared" si="447"/>
        <v>2018-12</v>
      </c>
    </row>
    <row r="2240" spans="1:26" x14ac:dyDescent="0.35">
      <c r="A2240" s="1">
        <v>43454</v>
      </c>
      <c r="C2240">
        <v>3000.06</v>
      </c>
      <c r="D2240">
        <f t="shared" si="448"/>
        <v>-1.6961658838885795E-2</v>
      </c>
      <c r="E2240" t="str">
        <f t="shared" si="442"/>
        <v>2018-12</v>
      </c>
      <c r="G2240">
        <v>4692.46</v>
      </c>
      <c r="H2240">
        <f t="shared" si="449"/>
        <v>-1.7949966151388032E-2</v>
      </c>
      <c r="I2240" t="str">
        <f t="shared" si="443"/>
        <v>2018-12</v>
      </c>
      <c r="K2240">
        <v>10611.1</v>
      </c>
      <c r="L2240">
        <f t="shared" si="450"/>
        <v>-1.4511902770786175E-2</v>
      </c>
      <c r="M2240" t="str">
        <f t="shared" si="444"/>
        <v>2018-12</v>
      </c>
      <c r="O2240">
        <v>7425.3544499999998</v>
      </c>
      <c r="P2240">
        <f t="shared" si="451"/>
        <v>-9.1702159506384159E-3</v>
      </c>
      <c r="Q2240" t="str">
        <f t="shared" si="445"/>
        <v>2018-12</v>
      </c>
      <c r="S2240">
        <v>8596.5</v>
      </c>
      <c r="T2240">
        <f t="shared" si="452"/>
        <v>-1.9879034863303103E-2</v>
      </c>
      <c r="U2240" t="str">
        <f t="shared" si="446"/>
        <v>2018-12</v>
      </c>
      <c r="W2240">
        <v>18576.900000000001</v>
      </c>
      <c r="X2240">
        <f t="shared" si="453"/>
        <v>-1.9457526122108E-2</v>
      </c>
      <c r="Y2240">
        <f t="shared" si="454"/>
        <v>-1.9269450266340755E-2</v>
      </c>
      <c r="Z2240" t="str">
        <f t="shared" si="447"/>
        <v>2018-12</v>
      </c>
    </row>
    <row r="2241" spans="1:26" x14ac:dyDescent="0.35">
      <c r="A2241" s="1">
        <v>43455</v>
      </c>
      <c r="C2241">
        <v>3000.61</v>
      </c>
      <c r="D2241">
        <f t="shared" si="448"/>
        <v>1.8331286391020413E-4</v>
      </c>
      <c r="E2241" t="str">
        <f t="shared" si="442"/>
        <v>2018-12</v>
      </c>
      <c r="G2241">
        <v>4694.38</v>
      </c>
      <c r="H2241">
        <f t="shared" si="449"/>
        <v>4.0908336069988394E-4</v>
      </c>
      <c r="I2241" t="str">
        <f t="shared" si="443"/>
        <v>2018-12</v>
      </c>
      <c r="K2241">
        <v>10633.82</v>
      </c>
      <c r="L2241">
        <f t="shared" si="450"/>
        <v>2.1388650709453553E-3</v>
      </c>
      <c r="M2241" t="str">
        <f t="shared" si="444"/>
        <v>2018-12</v>
      </c>
      <c r="O2241">
        <v>7460.8174600000002</v>
      </c>
      <c r="P2241">
        <f t="shared" si="451"/>
        <v>4.7645663776831959E-3</v>
      </c>
      <c r="Q2241" t="str">
        <f t="shared" si="445"/>
        <v>2018-12</v>
      </c>
      <c r="S2241">
        <v>8556.7999999999993</v>
      </c>
      <c r="T2241">
        <f t="shared" si="452"/>
        <v>-4.6288551923325452E-3</v>
      </c>
      <c r="U2241" t="str">
        <f t="shared" si="446"/>
        <v>2018-12</v>
      </c>
      <c r="W2241">
        <v>18397.189999999999</v>
      </c>
      <c r="X2241">
        <f t="shared" si="453"/>
        <v>-9.7209378331469479E-3</v>
      </c>
      <c r="Y2241">
        <f t="shared" si="454"/>
        <v>-9.6738422449387552E-3</v>
      </c>
      <c r="Z2241" t="str">
        <f t="shared" si="447"/>
        <v>2018-12</v>
      </c>
    </row>
    <row r="2242" spans="1:26" x14ac:dyDescent="0.35">
      <c r="A2242" s="1">
        <v>43461</v>
      </c>
      <c r="C2242">
        <v>2937.36</v>
      </c>
      <c r="D2242">
        <f t="shared" si="448"/>
        <v>-2.1304382571966901E-2</v>
      </c>
      <c r="E2242" t="str">
        <f t="shared" si="442"/>
        <v>2018-12</v>
      </c>
      <c r="G2242">
        <v>4598.6099999999997</v>
      </c>
      <c r="H2242">
        <f t="shared" si="449"/>
        <v>-2.0611964643815556E-2</v>
      </c>
      <c r="I2242" t="str">
        <f t="shared" si="443"/>
        <v>2018-12</v>
      </c>
      <c r="K2242">
        <v>10381.51</v>
      </c>
      <c r="L2242">
        <f t="shared" si="450"/>
        <v>-2.4013148881078163E-2</v>
      </c>
      <c r="M2242" t="str">
        <f t="shared" si="444"/>
        <v>2018-12</v>
      </c>
      <c r="O2242">
        <v>7276.7738600000002</v>
      </c>
      <c r="P2242">
        <f t="shared" si="451"/>
        <v>-2.4977374411564987E-2</v>
      </c>
      <c r="Q2242" t="str">
        <f t="shared" si="445"/>
        <v>2018-12</v>
      </c>
      <c r="S2242">
        <v>8363.9</v>
      </c>
      <c r="T2242">
        <f t="shared" si="452"/>
        <v>-2.28014629924316E-2</v>
      </c>
      <c r="U2242" t="str">
        <f t="shared" si="446"/>
        <v>2018-12</v>
      </c>
      <c r="W2242">
        <v>18064.62</v>
      </c>
      <c r="X2242">
        <f t="shared" si="453"/>
        <v>-1.8242606333629927E-2</v>
      </c>
      <c r="Y2242">
        <f t="shared" si="454"/>
        <v>-1.8077217227196095E-2</v>
      </c>
      <c r="Z2242" t="str">
        <f t="shared" si="447"/>
        <v>2018-12</v>
      </c>
    </row>
    <row r="2243" spans="1:26" x14ac:dyDescent="0.35">
      <c r="A2243" s="1">
        <v>43462</v>
      </c>
      <c r="C2243">
        <v>2986.53</v>
      </c>
      <c r="D2243">
        <f t="shared" si="448"/>
        <v>1.6600959583130577E-2</v>
      </c>
      <c r="E2243" t="str">
        <f t="shared" si="442"/>
        <v>2018-12</v>
      </c>
      <c r="G2243">
        <v>4678.74</v>
      </c>
      <c r="H2243">
        <f t="shared" si="449"/>
        <v>1.7274758992944943E-2</v>
      </c>
      <c r="I2243" t="str">
        <f t="shared" si="443"/>
        <v>2018-12</v>
      </c>
      <c r="K2243">
        <v>10558.96</v>
      </c>
      <c r="L2243">
        <f t="shared" si="450"/>
        <v>1.6948449360314127E-2</v>
      </c>
      <c r="M2243" t="str">
        <f t="shared" si="444"/>
        <v>2018-12</v>
      </c>
      <c r="O2243">
        <v>7474.4065199999995</v>
      </c>
      <c r="P2243">
        <f t="shared" si="451"/>
        <v>2.6797107917822707E-2</v>
      </c>
      <c r="Q2243" t="str">
        <f t="shared" si="445"/>
        <v>2018-12</v>
      </c>
      <c r="S2243">
        <v>8493.7000000000007</v>
      </c>
      <c r="T2243">
        <f t="shared" si="452"/>
        <v>1.539988672560633E-2</v>
      </c>
      <c r="U2243" t="str">
        <f t="shared" si="446"/>
        <v>2018-12</v>
      </c>
      <c r="W2243">
        <v>18324.03</v>
      </c>
      <c r="X2243">
        <f t="shared" si="453"/>
        <v>1.4257983992756589E-2</v>
      </c>
      <c r="Y2243">
        <f t="shared" si="454"/>
        <v>1.4360113857916738E-2</v>
      </c>
      <c r="Z2243" t="str">
        <f t="shared" si="447"/>
        <v>2018-12</v>
      </c>
    </row>
    <row r="2244" spans="1:26" x14ac:dyDescent="0.35">
      <c r="A2244" s="1">
        <v>43467</v>
      </c>
      <c r="C2244">
        <v>2993.18</v>
      </c>
      <c r="D2244">
        <f t="shared" si="448"/>
        <v>2.2241890464491172E-3</v>
      </c>
      <c r="E2244" t="str">
        <f t="shared" ref="E2244:E2307" si="455">_xlfn.CONCAT(YEAR(A2244),"-",TEXT(MONTH(A2244),"00"))</f>
        <v>2019-01</v>
      </c>
      <c r="G2244">
        <v>4689.3900000000003</v>
      </c>
      <c r="H2244">
        <f t="shared" si="449"/>
        <v>2.2736671220375229E-3</v>
      </c>
      <c r="I2244" t="str">
        <f t="shared" ref="I2244:I2307" si="456">_xlfn.CONCAT(YEAR(A2244),"-",TEXT(MONTH(A2244),"00"))</f>
        <v>2019-01</v>
      </c>
      <c r="K2244">
        <v>10580.19</v>
      </c>
      <c r="L2244">
        <f t="shared" si="450"/>
        <v>2.0085961013219908E-3</v>
      </c>
      <c r="M2244" t="str">
        <f t="shared" ref="M2244:M2307" si="457">_xlfn.CONCAT(YEAR(A2244),"-",TEXT(MONTH(A2244),"00"))</f>
        <v>2019-01</v>
      </c>
      <c r="O2244">
        <v>7478.0549600000004</v>
      </c>
      <c r="P2244">
        <f t="shared" si="451"/>
        <v>4.8800527957037956E-4</v>
      </c>
      <c r="Q2244" t="str">
        <f t="shared" ref="Q2244:Q2307" si="458">_xlfn.CONCAT(YEAR(A2244),"-",TEXT(MONTH(A2244),"00"))</f>
        <v>2019-01</v>
      </c>
      <c r="S2244">
        <v>8550</v>
      </c>
      <c r="T2244">
        <f t="shared" si="452"/>
        <v>6.6065707300618816E-3</v>
      </c>
      <c r="U2244" t="str">
        <f t="shared" ref="U2244:U2307" si="459">_xlfn.CONCAT(YEAR(A2244),"-",TEXT(MONTH(A2244),"00"))</f>
        <v>2019-01</v>
      </c>
      <c r="W2244">
        <v>18330.990000000002</v>
      </c>
      <c r="X2244">
        <f t="shared" si="453"/>
        <v>3.7975699282915751E-4</v>
      </c>
      <c r="Y2244">
        <f t="shared" si="454"/>
        <v>3.7982910964469961E-4</v>
      </c>
      <c r="Z2244" t="str">
        <f t="shared" ref="Z2244:Z2307" si="460">_xlfn.CONCAT(YEAR(A2244),"-",TEXT(MONTH(A2244),"00"))</f>
        <v>2019-01</v>
      </c>
    </row>
    <row r="2245" spans="1:26" x14ac:dyDescent="0.35">
      <c r="A2245" s="1">
        <v>43468</v>
      </c>
      <c r="C2245">
        <v>2954.66</v>
      </c>
      <c r="D2245">
        <f t="shared" ref="D2245:D2308" si="461">LN(C2245/C2244)</f>
        <v>-1.2952782373052304E-2</v>
      </c>
      <c r="E2245" t="str">
        <f t="shared" si="455"/>
        <v>2019-01</v>
      </c>
      <c r="G2245">
        <v>4611.49</v>
      </c>
      <c r="H2245">
        <f t="shared" ref="H2245:H2308" si="462">LN(G2245/G2244)</f>
        <v>-1.6751494833780797E-2</v>
      </c>
      <c r="I2245" t="str">
        <f t="shared" si="456"/>
        <v>2019-01</v>
      </c>
      <c r="K2245">
        <v>10416.66</v>
      </c>
      <c r="L2245">
        <f t="shared" ref="L2245:L2308" si="463">LN(K2245/K2244)</f>
        <v>-1.5576937166905287E-2</v>
      </c>
      <c r="M2245" t="str">
        <f t="shared" si="457"/>
        <v>2019-01</v>
      </c>
      <c r="O2245">
        <v>7423.0459099999998</v>
      </c>
      <c r="P2245">
        <f t="shared" ref="P2245:P2308" si="464">LN(O2245/O2244)</f>
        <v>-7.3832531394049166E-3</v>
      </c>
      <c r="Q2245" t="str">
        <f t="shared" si="458"/>
        <v>2019-01</v>
      </c>
      <c r="S2245">
        <v>8523.2999999999993</v>
      </c>
      <c r="T2245">
        <f t="shared" ref="T2245:T2308" si="465">LN(S2245/S2244)</f>
        <v>-3.1276931543381594E-3</v>
      </c>
      <c r="U2245" t="str">
        <f t="shared" si="459"/>
        <v>2019-01</v>
      </c>
      <c r="W2245">
        <v>18218.400000000001</v>
      </c>
      <c r="X2245">
        <f t="shared" ref="X2245:X2308" si="466">LN(W2245/W2244)</f>
        <v>-6.1609978245720596E-3</v>
      </c>
      <c r="Y2245">
        <f t="shared" ref="Y2245:Y2308" si="467">(W2245-W2244)/W2244</f>
        <v>-6.142057793932577E-3</v>
      </c>
      <c r="Z2245" t="str">
        <f t="shared" si="460"/>
        <v>2019-01</v>
      </c>
    </row>
    <row r="2246" spans="1:26" x14ac:dyDescent="0.35">
      <c r="A2246" s="1">
        <v>43469</v>
      </c>
      <c r="C2246">
        <v>3041.85</v>
      </c>
      <c r="D2246">
        <f t="shared" si="461"/>
        <v>2.908229794006208E-2</v>
      </c>
      <c r="E2246" t="str">
        <f t="shared" si="455"/>
        <v>2019-01</v>
      </c>
      <c r="G2246">
        <v>4737.12</v>
      </c>
      <c r="H2246">
        <f t="shared" si="462"/>
        <v>2.6878340910198365E-2</v>
      </c>
      <c r="I2246" t="str">
        <f t="shared" si="456"/>
        <v>2019-01</v>
      </c>
      <c r="K2246">
        <v>10767.69</v>
      </c>
      <c r="L2246">
        <f t="shared" si="463"/>
        <v>3.3143535969407022E-2</v>
      </c>
      <c r="M2246" t="str">
        <f t="shared" si="457"/>
        <v>2019-01</v>
      </c>
      <c r="O2246">
        <v>7628.7048000000004</v>
      </c>
      <c r="P2246">
        <f t="shared" si="464"/>
        <v>2.7328606956860027E-2</v>
      </c>
      <c r="Q2246" t="str">
        <f t="shared" si="458"/>
        <v>2019-01</v>
      </c>
      <c r="S2246">
        <v>8737.7999999999993</v>
      </c>
      <c r="T2246">
        <f t="shared" si="465"/>
        <v>2.4854851940121825E-2</v>
      </c>
      <c r="U2246" t="str">
        <f t="shared" si="459"/>
        <v>2019-01</v>
      </c>
      <c r="W2246">
        <v>18831.79</v>
      </c>
      <c r="X2246">
        <f t="shared" si="466"/>
        <v>3.3114326835268645E-2</v>
      </c>
      <c r="Y2246">
        <f t="shared" si="467"/>
        <v>3.3668708558380507E-2</v>
      </c>
      <c r="Z2246" t="str">
        <f t="shared" si="460"/>
        <v>2019-01</v>
      </c>
    </row>
    <row r="2247" spans="1:26" x14ac:dyDescent="0.35">
      <c r="A2247" s="1">
        <v>43472</v>
      </c>
      <c r="C2247">
        <v>3033.64</v>
      </c>
      <c r="D2247">
        <f t="shared" si="461"/>
        <v>-2.7026643110012586E-3</v>
      </c>
      <c r="E2247" t="str">
        <f t="shared" si="455"/>
        <v>2019-01</v>
      </c>
      <c r="G2247">
        <v>4719.17</v>
      </c>
      <c r="H2247">
        <f t="shared" si="462"/>
        <v>-3.796419432809759E-3</v>
      </c>
      <c r="I2247" t="str">
        <f t="shared" si="456"/>
        <v>2019-01</v>
      </c>
      <c r="K2247">
        <v>10747.81</v>
      </c>
      <c r="L2247">
        <f t="shared" si="463"/>
        <v>-1.8479705939912655E-3</v>
      </c>
      <c r="M2247" t="str">
        <f t="shared" si="457"/>
        <v>2019-01</v>
      </c>
      <c r="O2247">
        <v>7585.8558800000001</v>
      </c>
      <c r="P2247">
        <f t="shared" si="464"/>
        <v>-5.6326349723300299E-3</v>
      </c>
      <c r="Q2247" t="str">
        <f t="shared" si="458"/>
        <v>2019-01</v>
      </c>
      <c r="S2247">
        <v>8776.2999999999993</v>
      </c>
      <c r="T2247">
        <f t="shared" si="465"/>
        <v>4.3964647927718318E-3</v>
      </c>
      <c r="U2247" t="str">
        <f t="shared" si="459"/>
        <v>2019-01</v>
      </c>
      <c r="W2247">
        <v>18953.27</v>
      </c>
      <c r="X2247">
        <f t="shared" si="466"/>
        <v>6.4300767847351465E-3</v>
      </c>
      <c r="Y2247">
        <f t="shared" si="467"/>
        <v>6.4507941093225633E-3</v>
      </c>
      <c r="Z2247" t="str">
        <f t="shared" si="460"/>
        <v>2019-01</v>
      </c>
    </row>
    <row r="2248" spans="1:26" x14ac:dyDescent="0.35">
      <c r="A2248" s="1">
        <v>43473</v>
      </c>
      <c r="C2248">
        <v>3054.94</v>
      </c>
      <c r="D2248">
        <f t="shared" si="461"/>
        <v>6.9967338505150046E-3</v>
      </c>
      <c r="E2248" t="str">
        <f t="shared" si="455"/>
        <v>2019-01</v>
      </c>
      <c r="G2248">
        <v>4773.2700000000004</v>
      </c>
      <c r="H2248">
        <f t="shared" si="462"/>
        <v>1.1398667943082667E-2</v>
      </c>
      <c r="I2248" t="str">
        <f t="shared" si="456"/>
        <v>2019-01</v>
      </c>
      <c r="K2248">
        <v>10803.98</v>
      </c>
      <c r="L2248">
        <f t="shared" si="463"/>
        <v>5.2125718729092076E-3</v>
      </c>
      <c r="M2248" t="str">
        <f t="shared" si="457"/>
        <v>2019-01</v>
      </c>
      <c r="O2248">
        <v>7622.4025099999999</v>
      </c>
      <c r="P2248">
        <f t="shared" si="464"/>
        <v>4.8061650996013552E-3</v>
      </c>
      <c r="Q2248" t="str">
        <f t="shared" si="458"/>
        <v>2019-01</v>
      </c>
      <c r="S2248">
        <v>8847.2999999999993</v>
      </c>
      <c r="T2248">
        <f t="shared" si="465"/>
        <v>8.0574211990322286E-3</v>
      </c>
      <c r="U2248" t="str">
        <f t="shared" si="459"/>
        <v>2019-01</v>
      </c>
      <c r="W2248">
        <v>19000.14</v>
      </c>
      <c r="X2248">
        <f t="shared" si="466"/>
        <v>2.4698715518113009E-3</v>
      </c>
      <c r="Y2248">
        <f t="shared" si="467"/>
        <v>2.4729241972492864E-3</v>
      </c>
      <c r="Z2248" t="str">
        <f t="shared" si="460"/>
        <v>2019-01</v>
      </c>
    </row>
    <row r="2249" spans="1:26" x14ac:dyDescent="0.35">
      <c r="A2249" s="1">
        <v>43474</v>
      </c>
      <c r="C2249">
        <v>3070.24</v>
      </c>
      <c r="D2249">
        <f t="shared" si="461"/>
        <v>4.9957819431360054E-3</v>
      </c>
      <c r="E2249" t="str">
        <f t="shared" si="455"/>
        <v>2019-01</v>
      </c>
      <c r="G2249">
        <v>4813.58</v>
      </c>
      <c r="H2249">
        <f t="shared" si="462"/>
        <v>8.4094854009651079E-3</v>
      </c>
      <c r="I2249" t="str">
        <f t="shared" si="456"/>
        <v>2019-01</v>
      </c>
      <c r="K2249">
        <v>10893.32</v>
      </c>
      <c r="L2249">
        <f t="shared" si="463"/>
        <v>8.235172570314241E-3</v>
      </c>
      <c r="M2249" t="str">
        <f t="shared" si="457"/>
        <v>2019-01</v>
      </c>
      <c r="O2249">
        <v>7651.0105700000004</v>
      </c>
      <c r="P2249">
        <f t="shared" si="464"/>
        <v>3.7461297361700498E-3</v>
      </c>
      <c r="Q2249" t="str">
        <f t="shared" si="458"/>
        <v>2019-01</v>
      </c>
      <c r="S2249">
        <v>8823.6</v>
      </c>
      <c r="T2249">
        <f t="shared" si="465"/>
        <v>-2.6823777182168056E-3</v>
      </c>
      <c r="U2249" t="str">
        <f t="shared" si="459"/>
        <v>2019-01</v>
      </c>
      <c r="W2249">
        <v>19179.16</v>
      </c>
      <c r="X2249">
        <f t="shared" si="466"/>
        <v>9.3779253154516202E-3</v>
      </c>
      <c r="Y2249">
        <f t="shared" si="467"/>
        <v>9.4220358376306927E-3</v>
      </c>
      <c r="Z2249" t="str">
        <f t="shared" si="460"/>
        <v>2019-01</v>
      </c>
    </row>
    <row r="2250" spans="1:26" x14ac:dyDescent="0.35">
      <c r="A2250" s="1">
        <v>43475</v>
      </c>
      <c r="C2250">
        <v>3075.73</v>
      </c>
      <c r="D2250">
        <f t="shared" si="461"/>
        <v>1.7865370186348668E-3</v>
      </c>
      <c r="E2250" t="str">
        <f t="shared" si="455"/>
        <v>2019-01</v>
      </c>
      <c r="G2250">
        <v>4805.66</v>
      </c>
      <c r="H2250">
        <f t="shared" si="462"/>
        <v>-1.6467001113746966E-3</v>
      </c>
      <c r="I2250" t="str">
        <f t="shared" si="456"/>
        <v>2019-01</v>
      </c>
      <c r="K2250">
        <v>10921.59</v>
      </c>
      <c r="L2250">
        <f t="shared" si="463"/>
        <v>2.5918067803369677E-3</v>
      </c>
      <c r="M2250" t="str">
        <f t="shared" si="457"/>
        <v>2019-01</v>
      </c>
      <c r="O2250">
        <v>7694.1191900000003</v>
      </c>
      <c r="P2250">
        <f t="shared" si="464"/>
        <v>5.6185557345140909E-3</v>
      </c>
      <c r="Q2250" t="str">
        <f t="shared" si="458"/>
        <v>2019-01</v>
      </c>
      <c r="S2250">
        <v>8856.7999999999993</v>
      </c>
      <c r="T2250">
        <f t="shared" si="465"/>
        <v>3.7555755550800884E-3</v>
      </c>
      <c r="U2250" t="str">
        <f t="shared" si="459"/>
        <v>2019-01</v>
      </c>
      <c r="W2250">
        <v>19300.740000000002</v>
      </c>
      <c r="X2250">
        <f t="shared" si="466"/>
        <v>6.3191642689193629E-3</v>
      </c>
      <c r="Y2250">
        <f t="shared" si="467"/>
        <v>6.3391723099448438E-3</v>
      </c>
      <c r="Z2250" t="str">
        <f t="shared" si="460"/>
        <v>2019-01</v>
      </c>
    </row>
    <row r="2251" spans="1:26" x14ac:dyDescent="0.35">
      <c r="A2251" s="1">
        <v>43476</v>
      </c>
      <c r="C2251">
        <v>3070.04</v>
      </c>
      <c r="D2251">
        <f t="shared" si="461"/>
        <v>-1.8516806277440439E-3</v>
      </c>
      <c r="E2251" t="str">
        <f t="shared" si="455"/>
        <v>2019-01</v>
      </c>
      <c r="G2251">
        <v>4781.34</v>
      </c>
      <c r="H2251">
        <f t="shared" si="462"/>
        <v>-5.0735479645726226E-3</v>
      </c>
      <c r="I2251" t="str">
        <f t="shared" si="456"/>
        <v>2019-01</v>
      </c>
      <c r="K2251">
        <v>10887.46</v>
      </c>
      <c r="L2251">
        <f t="shared" si="463"/>
        <v>-3.1298958792023985E-3</v>
      </c>
      <c r="M2251" t="str">
        <f t="shared" si="457"/>
        <v>2019-01</v>
      </c>
      <c r="O2251">
        <v>7747.78323</v>
      </c>
      <c r="P2251">
        <f t="shared" si="464"/>
        <v>6.9504721087486733E-3</v>
      </c>
      <c r="Q2251" t="str">
        <f t="shared" si="458"/>
        <v>2019-01</v>
      </c>
      <c r="S2251">
        <v>8877.1</v>
      </c>
      <c r="T2251">
        <f t="shared" si="465"/>
        <v>2.2894015266390977E-3</v>
      </c>
      <c r="U2251" t="str">
        <f t="shared" si="459"/>
        <v>2019-01</v>
      </c>
      <c r="W2251">
        <v>19290.09</v>
      </c>
      <c r="X2251">
        <f t="shared" si="466"/>
        <v>-5.5194460810367306E-4</v>
      </c>
      <c r="Y2251">
        <f t="shared" si="467"/>
        <v>-5.5179231469889005E-4</v>
      </c>
      <c r="Z2251" t="str">
        <f t="shared" si="460"/>
        <v>2019-01</v>
      </c>
    </row>
    <row r="2252" spans="1:26" x14ac:dyDescent="0.35">
      <c r="A2252" s="1">
        <v>43479</v>
      </c>
      <c r="C2252">
        <v>3055.18</v>
      </c>
      <c r="D2252">
        <f t="shared" si="461"/>
        <v>-4.8520801387301003E-3</v>
      </c>
      <c r="E2252" t="str">
        <f t="shared" si="455"/>
        <v>2019-01</v>
      </c>
      <c r="G2252">
        <v>4762.75</v>
      </c>
      <c r="H2252">
        <f t="shared" si="462"/>
        <v>-3.8956094315530363E-3</v>
      </c>
      <c r="I2252" t="str">
        <f t="shared" si="456"/>
        <v>2019-01</v>
      </c>
      <c r="K2252">
        <v>10855.91</v>
      </c>
      <c r="L2252">
        <f t="shared" si="463"/>
        <v>-2.9020360820192753E-3</v>
      </c>
      <c r="M2252" t="str">
        <f t="shared" si="457"/>
        <v>2019-01</v>
      </c>
      <c r="O2252">
        <v>7698.9812499999998</v>
      </c>
      <c r="P2252">
        <f t="shared" si="464"/>
        <v>-6.318752699050423E-3</v>
      </c>
      <c r="Q2252" t="str">
        <f t="shared" si="458"/>
        <v>2019-01</v>
      </c>
      <c r="S2252">
        <v>8818.6</v>
      </c>
      <c r="T2252">
        <f t="shared" si="465"/>
        <v>-6.6117998287541077E-3</v>
      </c>
      <c r="U2252" t="str">
        <f t="shared" si="459"/>
        <v>2019-01</v>
      </c>
      <c r="W2252">
        <v>19171.48</v>
      </c>
      <c r="X2252">
        <f t="shared" si="466"/>
        <v>-6.1677344946053899E-3</v>
      </c>
      <c r="Y2252">
        <f t="shared" si="467"/>
        <v>-6.148753064397345E-3</v>
      </c>
      <c r="Z2252" t="str">
        <f t="shared" si="460"/>
        <v>2019-01</v>
      </c>
    </row>
    <row r="2253" spans="1:26" x14ac:dyDescent="0.35">
      <c r="A2253" s="1">
        <v>43480</v>
      </c>
      <c r="C2253">
        <v>3068.05</v>
      </c>
      <c r="D2253">
        <f t="shared" si="461"/>
        <v>4.2036699428150666E-3</v>
      </c>
      <c r="E2253" t="str">
        <f t="shared" si="455"/>
        <v>2019-01</v>
      </c>
      <c r="G2253">
        <v>4786.17</v>
      </c>
      <c r="H2253">
        <f t="shared" si="462"/>
        <v>4.9052766093912563E-3</v>
      </c>
      <c r="I2253" t="str">
        <f t="shared" si="456"/>
        <v>2019-01</v>
      </c>
      <c r="K2253">
        <v>10891.79</v>
      </c>
      <c r="L2253">
        <f t="shared" si="463"/>
        <v>3.2996622681415459E-3</v>
      </c>
      <c r="M2253" t="str">
        <f t="shared" si="457"/>
        <v>2019-01</v>
      </c>
      <c r="O2253">
        <v>7706.8041800000001</v>
      </c>
      <c r="P2253">
        <f t="shared" si="464"/>
        <v>1.0155834907519807E-3</v>
      </c>
      <c r="Q2253" t="str">
        <f t="shared" si="458"/>
        <v>2019-01</v>
      </c>
      <c r="S2253">
        <v>8850.1</v>
      </c>
      <c r="T2253">
        <f t="shared" si="465"/>
        <v>3.56563113002328E-3</v>
      </c>
      <c r="U2253" t="str">
        <f t="shared" si="459"/>
        <v>2019-01</v>
      </c>
      <c r="W2253">
        <v>19165.48</v>
      </c>
      <c r="X2253">
        <f t="shared" si="466"/>
        <v>-3.1301386698318545E-4</v>
      </c>
      <c r="Y2253">
        <f t="shared" si="467"/>
        <v>-3.1296488325366638E-4</v>
      </c>
      <c r="Z2253" t="str">
        <f t="shared" si="460"/>
        <v>2019-01</v>
      </c>
    </row>
    <row r="2254" spans="1:26" x14ac:dyDescent="0.35">
      <c r="A2254" s="1">
        <v>43481</v>
      </c>
      <c r="C2254">
        <v>3077.22</v>
      </c>
      <c r="D2254">
        <f t="shared" si="461"/>
        <v>2.9844113623031746E-3</v>
      </c>
      <c r="E2254" t="str">
        <f t="shared" si="455"/>
        <v>2019-01</v>
      </c>
      <c r="G2254">
        <v>4810.74</v>
      </c>
      <c r="H2254">
        <f t="shared" si="462"/>
        <v>5.120409315611407E-3</v>
      </c>
      <c r="I2254" t="str">
        <f t="shared" si="456"/>
        <v>2019-01</v>
      </c>
      <c r="K2254">
        <v>10931.24</v>
      </c>
      <c r="L2254">
        <f t="shared" si="463"/>
        <v>3.6154505559026443E-3</v>
      </c>
      <c r="M2254" t="str">
        <f t="shared" si="457"/>
        <v>2019-01</v>
      </c>
      <c r="O2254">
        <v>7737.3707100000001</v>
      </c>
      <c r="P2254">
        <f t="shared" si="464"/>
        <v>3.9583299371257156E-3</v>
      </c>
      <c r="Q2254" t="str">
        <f t="shared" si="458"/>
        <v>2019-01</v>
      </c>
      <c r="S2254">
        <v>8912.7000000000007</v>
      </c>
      <c r="T2254">
        <f t="shared" si="465"/>
        <v>7.0484674903112388E-3</v>
      </c>
      <c r="U2254" t="str">
        <f t="shared" si="459"/>
        <v>2019-01</v>
      </c>
      <c r="W2254">
        <v>19477.77</v>
      </c>
      <c r="X2254">
        <f t="shared" si="466"/>
        <v>1.6163071100405411E-2</v>
      </c>
      <c r="Y2254">
        <f t="shared" si="467"/>
        <v>1.6294400140252206E-2</v>
      </c>
      <c r="Z2254" t="str">
        <f t="shared" si="460"/>
        <v>2019-01</v>
      </c>
    </row>
    <row r="2255" spans="1:26" x14ac:dyDescent="0.35">
      <c r="A2255" s="1">
        <v>43482</v>
      </c>
      <c r="C2255">
        <v>3069.35</v>
      </c>
      <c r="D2255">
        <f t="shared" si="461"/>
        <v>-2.5607791990282548E-3</v>
      </c>
      <c r="E2255" t="str">
        <f t="shared" si="455"/>
        <v>2019-01</v>
      </c>
      <c r="G2255">
        <v>4794.37</v>
      </c>
      <c r="H2255">
        <f t="shared" si="462"/>
        <v>-3.4086055963321628E-3</v>
      </c>
      <c r="I2255" t="str">
        <f t="shared" si="456"/>
        <v>2019-01</v>
      </c>
      <c r="K2255">
        <v>10918.62</v>
      </c>
      <c r="L2255">
        <f t="shared" si="463"/>
        <v>-1.1551562713287603E-3</v>
      </c>
      <c r="M2255" t="str">
        <f t="shared" si="457"/>
        <v>2019-01</v>
      </c>
      <c r="O2255">
        <v>7780.2962200000002</v>
      </c>
      <c r="P2255">
        <f t="shared" si="464"/>
        <v>5.5324836760052105E-3</v>
      </c>
      <c r="Q2255" t="str">
        <f t="shared" si="458"/>
        <v>2019-01</v>
      </c>
      <c r="S2255">
        <v>8908.6</v>
      </c>
      <c r="T2255">
        <f t="shared" si="465"/>
        <v>-4.6012356812757092E-4</v>
      </c>
      <c r="U2255" t="str">
        <f t="shared" si="459"/>
        <v>2019-01</v>
      </c>
      <c r="W2255">
        <v>19470.38</v>
      </c>
      <c r="X2255">
        <f t="shared" si="466"/>
        <v>-3.794788758224895E-4</v>
      </c>
      <c r="Y2255">
        <f t="shared" si="467"/>
        <v>-3.7940688282074478E-4</v>
      </c>
      <c r="Z2255" t="str">
        <f t="shared" si="460"/>
        <v>2019-01</v>
      </c>
    </row>
    <row r="2256" spans="1:26" x14ac:dyDescent="0.35">
      <c r="A2256" s="1">
        <v>43483</v>
      </c>
      <c r="C2256">
        <v>3134.92</v>
      </c>
      <c r="D2256">
        <f t="shared" si="461"/>
        <v>2.1137842620432001E-2</v>
      </c>
      <c r="E2256" t="str">
        <f t="shared" si="455"/>
        <v>2019-01</v>
      </c>
      <c r="G2256">
        <v>4875.93</v>
      </c>
      <c r="H2256">
        <f t="shared" si="462"/>
        <v>1.6868542644365974E-2</v>
      </c>
      <c r="I2256" t="str">
        <f t="shared" si="456"/>
        <v>2019-01</v>
      </c>
      <c r="K2256">
        <v>11205.54</v>
      </c>
      <c r="L2256">
        <f t="shared" si="463"/>
        <v>2.5938710158174481E-2</v>
      </c>
      <c r="M2256" t="str">
        <f t="shared" si="457"/>
        <v>2019-01</v>
      </c>
      <c r="O2256">
        <v>7906.3980199999996</v>
      </c>
      <c r="P2256">
        <f t="shared" si="464"/>
        <v>1.6077895634162766E-2</v>
      </c>
      <c r="Q2256" t="str">
        <f t="shared" si="458"/>
        <v>2019-01</v>
      </c>
      <c r="S2256">
        <v>9069.1</v>
      </c>
      <c r="T2256">
        <f t="shared" si="465"/>
        <v>1.7855928665470176E-2</v>
      </c>
      <c r="U2256" t="str">
        <f t="shared" si="459"/>
        <v>2019-01</v>
      </c>
      <c r="W2256">
        <v>19708.060000000001</v>
      </c>
      <c r="X2256">
        <f t="shared" si="466"/>
        <v>1.2133352726429028E-2</v>
      </c>
      <c r="Y2256">
        <f t="shared" si="467"/>
        <v>1.2207260464356643E-2</v>
      </c>
      <c r="Z2256" t="str">
        <f t="shared" si="460"/>
        <v>2019-01</v>
      </c>
    </row>
    <row r="2257" spans="1:26" x14ac:dyDescent="0.35">
      <c r="A2257" s="1">
        <v>43486</v>
      </c>
      <c r="C2257">
        <v>3125.07</v>
      </c>
      <c r="D2257">
        <f t="shared" si="461"/>
        <v>-3.1469724804891611E-3</v>
      </c>
      <c r="E2257" t="str">
        <f t="shared" si="455"/>
        <v>2019-01</v>
      </c>
      <c r="G2257">
        <v>4867.78</v>
      </c>
      <c r="H2257">
        <f t="shared" si="462"/>
        <v>-1.6728744801835129E-3</v>
      </c>
      <c r="I2257" t="str">
        <f t="shared" si="456"/>
        <v>2019-01</v>
      </c>
      <c r="K2257">
        <v>11136.2</v>
      </c>
      <c r="L2257">
        <f t="shared" si="463"/>
        <v>-6.2072356618363342E-3</v>
      </c>
      <c r="M2257" t="str">
        <f t="shared" si="457"/>
        <v>2019-01</v>
      </c>
      <c r="O2257">
        <v>7907.5236299999997</v>
      </c>
      <c r="P2257">
        <f t="shared" si="464"/>
        <v>1.4235684567232582E-4</v>
      </c>
      <c r="Q2257" t="str">
        <f t="shared" si="458"/>
        <v>2019-01</v>
      </c>
      <c r="S2257">
        <v>9053.7999999999993</v>
      </c>
      <c r="T2257">
        <f t="shared" si="465"/>
        <v>-1.6884718930133468E-3</v>
      </c>
      <c r="U2257" t="str">
        <f t="shared" si="459"/>
        <v>2019-01</v>
      </c>
      <c r="W2257">
        <v>19638.64</v>
      </c>
      <c r="X2257">
        <f t="shared" si="466"/>
        <v>-3.5286350332076333E-3</v>
      </c>
      <c r="Y2257">
        <f t="shared" si="467"/>
        <v>-3.5224167168154494E-3</v>
      </c>
      <c r="Z2257" t="str">
        <f t="shared" si="460"/>
        <v>2019-01</v>
      </c>
    </row>
    <row r="2258" spans="1:26" x14ac:dyDescent="0.35">
      <c r="A2258" s="1">
        <v>43487</v>
      </c>
      <c r="C2258">
        <v>3112.8</v>
      </c>
      <c r="D2258">
        <f t="shared" si="461"/>
        <v>-3.9340402492818501E-3</v>
      </c>
      <c r="E2258" t="str">
        <f t="shared" si="455"/>
        <v>2019-01</v>
      </c>
      <c r="G2258">
        <v>4847.53</v>
      </c>
      <c r="H2258">
        <f t="shared" si="462"/>
        <v>-4.1686841336496779E-3</v>
      </c>
      <c r="I2258" t="str">
        <f t="shared" si="456"/>
        <v>2019-01</v>
      </c>
      <c r="K2258">
        <v>11090.11</v>
      </c>
      <c r="L2258">
        <f t="shared" si="463"/>
        <v>-4.1473430420128051E-3</v>
      </c>
      <c r="M2258" t="str">
        <f t="shared" si="457"/>
        <v>2019-01</v>
      </c>
      <c r="O2258">
        <v>7869.6121000000003</v>
      </c>
      <c r="P2258">
        <f t="shared" si="464"/>
        <v>-4.805891717952487E-3</v>
      </c>
      <c r="Q2258" t="str">
        <f t="shared" si="458"/>
        <v>2019-01</v>
      </c>
      <c r="S2258">
        <v>9037.5</v>
      </c>
      <c r="T2258">
        <f t="shared" si="465"/>
        <v>-1.8019716007855039E-3</v>
      </c>
      <c r="U2258" t="str">
        <f t="shared" si="459"/>
        <v>2019-01</v>
      </c>
      <c r="W2258">
        <v>19437.27</v>
      </c>
      <c r="X2258">
        <f t="shared" si="466"/>
        <v>-1.030669702081234E-2</v>
      </c>
      <c r="Y2258">
        <f t="shared" si="467"/>
        <v>-1.0253765026498728E-2</v>
      </c>
      <c r="Z2258" t="str">
        <f t="shared" si="460"/>
        <v>2019-01</v>
      </c>
    </row>
    <row r="2259" spans="1:26" x14ac:dyDescent="0.35">
      <c r="A2259" s="1">
        <v>43488</v>
      </c>
      <c r="C2259">
        <v>3112.13</v>
      </c>
      <c r="D2259">
        <f t="shared" si="461"/>
        <v>-2.1526346564133665E-4</v>
      </c>
      <c r="E2259" t="str">
        <f t="shared" si="455"/>
        <v>2019-01</v>
      </c>
      <c r="G2259">
        <v>4840.38</v>
      </c>
      <c r="H2259">
        <f t="shared" si="462"/>
        <v>-1.4760668293130501E-3</v>
      </c>
      <c r="I2259" t="str">
        <f t="shared" si="456"/>
        <v>2019-01</v>
      </c>
      <c r="K2259">
        <v>11071.54</v>
      </c>
      <c r="L2259">
        <f t="shared" si="463"/>
        <v>-1.6758683894210829E-3</v>
      </c>
      <c r="M2259" t="str">
        <f t="shared" si="457"/>
        <v>2019-01</v>
      </c>
      <c r="O2259">
        <v>7847.7196599999997</v>
      </c>
      <c r="P2259">
        <f t="shared" si="464"/>
        <v>-2.7857723553037193E-3</v>
      </c>
      <c r="Q2259" t="str">
        <f t="shared" si="458"/>
        <v>2019-01</v>
      </c>
      <c r="S2259">
        <v>9128.7999999999993</v>
      </c>
      <c r="T2259">
        <f t="shared" si="465"/>
        <v>1.0051663653449746E-2</v>
      </c>
      <c r="U2259" t="str">
        <f t="shared" si="459"/>
        <v>2019-01</v>
      </c>
      <c r="W2259">
        <v>19400.150000000001</v>
      </c>
      <c r="X2259">
        <f t="shared" si="466"/>
        <v>-1.9115590738631616E-3</v>
      </c>
      <c r="Y2259">
        <f t="shared" si="467"/>
        <v>-1.9097332084186194E-3</v>
      </c>
      <c r="Z2259" t="str">
        <f t="shared" si="460"/>
        <v>2019-01</v>
      </c>
    </row>
    <row r="2260" spans="1:26" x14ac:dyDescent="0.35">
      <c r="A2260" s="1">
        <v>43489</v>
      </c>
      <c r="C2260">
        <v>3126.31</v>
      </c>
      <c r="D2260">
        <f t="shared" si="461"/>
        <v>4.5460161260266344E-3</v>
      </c>
      <c r="E2260" t="str">
        <f t="shared" si="455"/>
        <v>2019-01</v>
      </c>
      <c r="G2260">
        <v>4871.96</v>
      </c>
      <c r="H2260">
        <f t="shared" si="462"/>
        <v>6.5030901499705668E-3</v>
      </c>
      <c r="I2260" t="str">
        <f t="shared" si="456"/>
        <v>2019-01</v>
      </c>
      <c r="K2260">
        <v>11130.18</v>
      </c>
      <c r="L2260">
        <f t="shared" si="463"/>
        <v>5.2824858939483433E-3</v>
      </c>
      <c r="M2260" t="str">
        <f t="shared" si="457"/>
        <v>2019-01</v>
      </c>
      <c r="O2260">
        <v>7855.7635300000002</v>
      </c>
      <c r="P2260">
        <f t="shared" si="464"/>
        <v>1.0244696168619308E-3</v>
      </c>
      <c r="Q2260" t="str">
        <f t="shared" si="458"/>
        <v>2019-01</v>
      </c>
      <c r="S2260">
        <v>9150</v>
      </c>
      <c r="T2260">
        <f t="shared" si="465"/>
        <v>2.3196281490972695E-3</v>
      </c>
      <c r="U2260" t="str">
        <f t="shared" si="459"/>
        <v>2019-01</v>
      </c>
      <c r="W2260">
        <v>19564.48</v>
      </c>
      <c r="X2260">
        <f t="shared" si="466"/>
        <v>8.4348792379289293E-3</v>
      </c>
      <c r="Y2260">
        <f t="shared" si="467"/>
        <v>8.4705530627339522E-3</v>
      </c>
      <c r="Z2260" t="str">
        <f t="shared" si="460"/>
        <v>2019-01</v>
      </c>
    </row>
    <row r="2261" spans="1:26" x14ac:dyDescent="0.35">
      <c r="A2261" s="1">
        <v>43490</v>
      </c>
      <c r="C2261">
        <v>3163.24</v>
      </c>
      <c r="D2261">
        <f t="shared" si="461"/>
        <v>1.1743423428027611E-2</v>
      </c>
      <c r="E2261" t="str">
        <f t="shared" si="455"/>
        <v>2019-01</v>
      </c>
      <c r="G2261">
        <v>4925.82</v>
      </c>
      <c r="H2261">
        <f t="shared" si="462"/>
        <v>1.0994438033548751E-2</v>
      </c>
      <c r="I2261" t="str">
        <f t="shared" si="456"/>
        <v>2019-01</v>
      </c>
      <c r="K2261">
        <v>11281.79</v>
      </c>
      <c r="L2261">
        <f t="shared" si="463"/>
        <v>1.3529583760157015E-2</v>
      </c>
      <c r="M2261" t="str">
        <f t="shared" si="457"/>
        <v>2019-01</v>
      </c>
      <c r="O2261">
        <v>7865.8848600000001</v>
      </c>
      <c r="P2261">
        <f t="shared" si="464"/>
        <v>1.2875661822740617E-3</v>
      </c>
      <c r="Q2261" t="str">
        <f t="shared" si="458"/>
        <v>2019-01</v>
      </c>
      <c r="S2261">
        <v>9185.2000000000007</v>
      </c>
      <c r="T2261">
        <f t="shared" si="465"/>
        <v>3.8396137751483947E-3</v>
      </c>
      <c r="U2261" t="str">
        <f t="shared" si="459"/>
        <v>2019-01</v>
      </c>
      <c r="W2261">
        <v>19810.52</v>
      </c>
      <c r="X2261">
        <f t="shared" si="466"/>
        <v>1.2497432498873707E-2</v>
      </c>
      <c r="Y2261">
        <f t="shared" si="467"/>
        <v>1.2575851747657024E-2</v>
      </c>
      <c r="Z2261" t="str">
        <f t="shared" si="460"/>
        <v>2019-01</v>
      </c>
    </row>
    <row r="2262" spans="1:26" x14ac:dyDescent="0.35">
      <c r="A2262" s="1">
        <v>43493</v>
      </c>
      <c r="C2262">
        <v>3137.27</v>
      </c>
      <c r="D2262">
        <f t="shared" si="461"/>
        <v>-8.2438237786986324E-3</v>
      </c>
      <c r="E2262" t="str">
        <f t="shared" si="455"/>
        <v>2019-01</v>
      </c>
      <c r="G2262">
        <v>4888.58</v>
      </c>
      <c r="H2262">
        <f t="shared" si="462"/>
        <v>-7.5888854590122146E-3</v>
      </c>
      <c r="I2262" t="str">
        <f t="shared" si="456"/>
        <v>2019-01</v>
      </c>
      <c r="K2262">
        <v>11210.31</v>
      </c>
      <c r="L2262">
        <f t="shared" si="463"/>
        <v>-6.3560308414046538E-3</v>
      </c>
      <c r="M2262" t="str">
        <f t="shared" si="457"/>
        <v>2019-01</v>
      </c>
      <c r="O2262">
        <v>7770.2282400000004</v>
      </c>
      <c r="P2262">
        <f t="shared" si="464"/>
        <v>-1.2235497755818493E-2</v>
      </c>
      <c r="Q2262" t="str">
        <f t="shared" si="458"/>
        <v>2019-01</v>
      </c>
      <c r="S2262">
        <v>9062.4</v>
      </c>
      <c r="T2262">
        <f t="shared" si="465"/>
        <v>-1.3459507425424093E-2</v>
      </c>
      <c r="U2262" t="str">
        <f t="shared" si="459"/>
        <v>2019-01</v>
      </c>
      <c r="W2262">
        <v>19608.13</v>
      </c>
      <c r="X2262">
        <f t="shared" si="466"/>
        <v>-1.0268833584162588E-2</v>
      </c>
      <c r="Y2262">
        <f t="shared" si="467"/>
        <v>-1.0216289123152719E-2</v>
      </c>
      <c r="Z2262" t="str">
        <f t="shared" si="460"/>
        <v>2019-01</v>
      </c>
    </row>
    <row r="2263" spans="1:26" x14ac:dyDescent="0.35">
      <c r="A2263" s="1">
        <v>43494</v>
      </c>
      <c r="C2263">
        <v>3153.42</v>
      </c>
      <c r="D2263">
        <f t="shared" si="461"/>
        <v>5.1345831638371538E-3</v>
      </c>
      <c r="E2263" t="str">
        <f t="shared" si="455"/>
        <v>2019-01</v>
      </c>
      <c r="G2263">
        <v>4928.18</v>
      </c>
      <c r="H2263">
        <f t="shared" si="462"/>
        <v>8.0678787703827269E-3</v>
      </c>
      <c r="I2263" t="str">
        <f t="shared" si="456"/>
        <v>2019-01</v>
      </c>
      <c r="K2263">
        <v>11218.83</v>
      </c>
      <c r="L2263">
        <f t="shared" si="463"/>
        <v>7.5972600017657627E-4</v>
      </c>
      <c r="M2263" t="str">
        <f t="shared" si="457"/>
        <v>2019-01</v>
      </c>
      <c r="O2263">
        <v>7855.9099100000003</v>
      </c>
      <c r="P2263">
        <f t="shared" si="464"/>
        <v>1.0966564852878195E-2</v>
      </c>
      <c r="Q2263" t="str">
        <f t="shared" si="458"/>
        <v>2019-01</v>
      </c>
      <c r="S2263">
        <v>9119.1</v>
      </c>
      <c r="T2263">
        <f t="shared" si="465"/>
        <v>6.2371293689525145E-3</v>
      </c>
      <c r="U2263" t="str">
        <f t="shared" si="459"/>
        <v>2019-01</v>
      </c>
      <c r="W2263">
        <v>19701.599999999999</v>
      </c>
      <c r="X2263">
        <f t="shared" si="466"/>
        <v>4.7555745692350422E-3</v>
      </c>
      <c r="Y2263">
        <f t="shared" si="467"/>
        <v>4.7669002602490664E-3</v>
      </c>
      <c r="Z2263" t="str">
        <f t="shared" si="460"/>
        <v>2019-01</v>
      </c>
    </row>
    <row r="2264" spans="1:26" x14ac:dyDescent="0.35">
      <c r="A2264" s="1">
        <v>43495</v>
      </c>
      <c r="C2264">
        <v>3161.74</v>
      </c>
      <c r="D2264">
        <f t="shared" si="461"/>
        <v>2.6349308057802092E-3</v>
      </c>
      <c r="E2264" t="str">
        <f t="shared" si="455"/>
        <v>2019-01</v>
      </c>
      <c r="G2264">
        <v>4974.76</v>
      </c>
      <c r="H2264">
        <f t="shared" si="462"/>
        <v>9.407376702694141E-3</v>
      </c>
      <c r="I2264" t="str">
        <f t="shared" si="456"/>
        <v>2019-01</v>
      </c>
      <c r="K2264">
        <v>11181.66</v>
      </c>
      <c r="L2264">
        <f t="shared" si="463"/>
        <v>-3.3186804498244295E-3</v>
      </c>
      <c r="M2264" t="str">
        <f t="shared" si="457"/>
        <v>2019-01</v>
      </c>
      <c r="O2264">
        <v>7940.4125599999998</v>
      </c>
      <c r="P2264">
        <f t="shared" si="464"/>
        <v>1.0699130288532881E-2</v>
      </c>
      <c r="Q2264" t="str">
        <f t="shared" si="458"/>
        <v>2019-01</v>
      </c>
      <c r="S2264">
        <v>9071.5</v>
      </c>
      <c r="T2264">
        <f t="shared" si="465"/>
        <v>-5.2334841780259274E-3</v>
      </c>
      <c r="U2264" t="str">
        <f t="shared" si="459"/>
        <v>2019-01</v>
      </c>
      <c r="W2264">
        <v>19771.55</v>
      </c>
      <c r="X2264">
        <f t="shared" si="466"/>
        <v>3.5441850078643494E-3</v>
      </c>
      <c r="Y2264">
        <f t="shared" si="467"/>
        <v>3.5504730580257814E-3</v>
      </c>
      <c r="Z2264" t="str">
        <f t="shared" si="460"/>
        <v>2019-01</v>
      </c>
    </row>
    <row r="2265" spans="1:26" x14ac:dyDescent="0.35">
      <c r="A2265" s="1">
        <v>43496</v>
      </c>
      <c r="C2265">
        <v>3159.43</v>
      </c>
      <c r="D2265">
        <f t="shared" si="461"/>
        <v>-7.3087738593641965E-4</v>
      </c>
      <c r="E2265" t="str">
        <f t="shared" si="455"/>
        <v>2019-01</v>
      </c>
      <c r="G2265">
        <v>4992.72</v>
      </c>
      <c r="H2265">
        <f t="shared" si="462"/>
        <v>3.6037231952183754E-3</v>
      </c>
      <c r="I2265" t="str">
        <f t="shared" si="456"/>
        <v>2019-01</v>
      </c>
      <c r="K2265">
        <v>11173.1</v>
      </c>
      <c r="L2265">
        <f t="shared" si="463"/>
        <v>-7.6583245969712166E-4</v>
      </c>
      <c r="M2265" t="str">
        <f t="shared" si="457"/>
        <v>2019-01</v>
      </c>
      <c r="O2265">
        <v>7986.4846900000002</v>
      </c>
      <c r="P2265">
        <f t="shared" si="464"/>
        <v>5.7854656542058094E-3</v>
      </c>
      <c r="Q2265" t="str">
        <f t="shared" si="458"/>
        <v>2019-01</v>
      </c>
      <c r="S2265">
        <v>9056.7000000000007</v>
      </c>
      <c r="T2265">
        <f t="shared" si="465"/>
        <v>-1.6328155347108454E-3</v>
      </c>
      <c r="U2265" t="str">
        <f t="shared" si="459"/>
        <v>2019-01</v>
      </c>
      <c r="W2265">
        <v>19730.78</v>
      </c>
      <c r="X2265">
        <f t="shared" si="466"/>
        <v>-2.0641827697879581E-3</v>
      </c>
      <c r="Y2265">
        <f t="shared" si="467"/>
        <v>-2.0620538096406422E-3</v>
      </c>
      <c r="Z2265" t="str">
        <f t="shared" si="460"/>
        <v>2019-01</v>
      </c>
    </row>
    <row r="2266" spans="1:26" x14ac:dyDescent="0.35">
      <c r="A2266" s="1">
        <v>43497</v>
      </c>
      <c r="C2266">
        <v>3171.12</v>
      </c>
      <c r="D2266">
        <f t="shared" si="461"/>
        <v>3.6932062103320227E-3</v>
      </c>
      <c r="E2266" t="str">
        <f t="shared" si="455"/>
        <v>2019-02</v>
      </c>
      <c r="G2266">
        <v>5019.26</v>
      </c>
      <c r="H2266">
        <f t="shared" si="462"/>
        <v>5.3016610429974477E-3</v>
      </c>
      <c r="I2266" t="str">
        <f t="shared" si="456"/>
        <v>2019-02</v>
      </c>
      <c r="K2266">
        <v>11180.66</v>
      </c>
      <c r="L2266">
        <f t="shared" si="463"/>
        <v>6.7639630095625081E-4</v>
      </c>
      <c r="M2266" t="str">
        <f t="shared" si="457"/>
        <v>2019-02</v>
      </c>
      <c r="O2266">
        <v>8009.3799499999996</v>
      </c>
      <c r="P2266">
        <f t="shared" si="464"/>
        <v>2.8626493347340427E-3</v>
      </c>
      <c r="Q2266" t="str">
        <f t="shared" si="458"/>
        <v>2019-02</v>
      </c>
      <c r="S2266">
        <v>9019.4</v>
      </c>
      <c r="T2266">
        <f t="shared" si="465"/>
        <v>-4.1270022783209777E-3</v>
      </c>
      <c r="U2266" t="str">
        <f t="shared" si="459"/>
        <v>2019-02</v>
      </c>
      <c r="W2266">
        <v>19576.77</v>
      </c>
      <c r="X2266">
        <f t="shared" si="466"/>
        <v>-7.8361937130732064E-3</v>
      </c>
      <c r="Y2266">
        <f t="shared" si="467"/>
        <v>-7.8055707883823346E-3</v>
      </c>
      <c r="Z2266" t="str">
        <f t="shared" si="460"/>
        <v>2019-02</v>
      </c>
    </row>
    <row r="2267" spans="1:26" x14ac:dyDescent="0.35">
      <c r="A2267" s="1">
        <v>43500</v>
      </c>
      <c r="C2267">
        <v>3165.2</v>
      </c>
      <c r="D2267">
        <f t="shared" si="461"/>
        <v>-1.8685930390328247E-3</v>
      </c>
      <c r="E2267" t="str">
        <f t="shared" si="455"/>
        <v>2019-02</v>
      </c>
      <c r="G2267">
        <v>5000.1899999999996</v>
      </c>
      <c r="H2267">
        <f t="shared" si="462"/>
        <v>-3.8066007669788448E-3</v>
      </c>
      <c r="I2267" t="str">
        <f t="shared" si="456"/>
        <v>2019-02</v>
      </c>
      <c r="K2267">
        <v>11176.58</v>
      </c>
      <c r="L2267">
        <f t="shared" si="463"/>
        <v>-3.6498244374455154E-4</v>
      </c>
      <c r="M2267" t="str">
        <f t="shared" si="457"/>
        <v>2019-02</v>
      </c>
      <c r="O2267">
        <v>8026.6985999999997</v>
      </c>
      <c r="P2267">
        <f t="shared" si="464"/>
        <v>2.1599615740533849E-3</v>
      </c>
      <c r="Q2267" t="str">
        <f t="shared" si="458"/>
        <v>2019-02</v>
      </c>
      <c r="S2267">
        <v>8975.2000000000007</v>
      </c>
      <c r="T2267">
        <f t="shared" si="465"/>
        <v>-4.9125947664310629E-3</v>
      </c>
      <c r="U2267" t="str">
        <f t="shared" si="459"/>
        <v>2019-02</v>
      </c>
      <c r="W2267">
        <v>19605.599999999999</v>
      </c>
      <c r="X2267">
        <f t="shared" si="466"/>
        <v>1.4715804686001178E-3</v>
      </c>
      <c r="Y2267">
        <f t="shared" si="467"/>
        <v>1.4726637744632085E-3</v>
      </c>
      <c r="Z2267" t="str">
        <f t="shared" si="460"/>
        <v>2019-02</v>
      </c>
    </row>
    <row r="2268" spans="1:26" x14ac:dyDescent="0.35">
      <c r="A2268" s="1">
        <v>43501</v>
      </c>
      <c r="C2268">
        <v>3215.04</v>
      </c>
      <c r="D2268">
        <f t="shared" si="461"/>
        <v>1.5623554538911231E-2</v>
      </c>
      <c r="E2268" t="str">
        <f t="shared" si="455"/>
        <v>2019-02</v>
      </c>
      <c r="G2268">
        <v>5083.34</v>
      </c>
      <c r="H2268">
        <f t="shared" si="462"/>
        <v>1.6492614147742148E-2</v>
      </c>
      <c r="I2268" t="str">
        <f t="shared" si="456"/>
        <v>2019-02</v>
      </c>
      <c r="K2268">
        <v>11367.98</v>
      </c>
      <c r="L2268">
        <f t="shared" si="463"/>
        <v>1.6980113938794762E-2</v>
      </c>
      <c r="M2268" t="str">
        <f t="shared" si="457"/>
        <v>2019-02</v>
      </c>
      <c r="O2268">
        <v>8144.2924000000003</v>
      </c>
      <c r="P2268">
        <f t="shared" si="464"/>
        <v>1.4544052726540514E-2</v>
      </c>
      <c r="Q2268" t="str">
        <f t="shared" si="458"/>
        <v>2019-02</v>
      </c>
      <c r="S2268">
        <v>9092</v>
      </c>
      <c r="T2268">
        <f t="shared" si="465"/>
        <v>1.2929687741678813E-2</v>
      </c>
      <c r="U2268" t="str">
        <f t="shared" si="459"/>
        <v>2019-02</v>
      </c>
      <c r="W2268">
        <v>19833.490000000002</v>
      </c>
      <c r="X2268">
        <f t="shared" si="466"/>
        <v>1.1556683298308112E-2</v>
      </c>
      <c r="Y2268">
        <f t="shared" si="467"/>
        <v>1.1623719753539962E-2</v>
      </c>
      <c r="Z2268" t="str">
        <f t="shared" si="460"/>
        <v>2019-02</v>
      </c>
    </row>
    <row r="2269" spans="1:26" x14ac:dyDescent="0.35">
      <c r="A2269" s="1">
        <v>43502</v>
      </c>
      <c r="C2269">
        <v>3212.75</v>
      </c>
      <c r="D2269">
        <f t="shared" si="461"/>
        <v>-7.1253108669884523E-4</v>
      </c>
      <c r="E2269" t="str">
        <f t="shared" si="455"/>
        <v>2019-02</v>
      </c>
      <c r="G2269">
        <v>5079.05</v>
      </c>
      <c r="H2269">
        <f t="shared" si="462"/>
        <v>-8.4428963163875759E-4</v>
      </c>
      <c r="I2269" t="str">
        <f t="shared" si="456"/>
        <v>2019-02</v>
      </c>
      <c r="K2269">
        <v>11324.72</v>
      </c>
      <c r="L2269">
        <f t="shared" si="463"/>
        <v>-3.8126844671896002E-3</v>
      </c>
      <c r="M2269" t="str">
        <f t="shared" si="457"/>
        <v>2019-02</v>
      </c>
      <c r="O2269">
        <v>8166.83032</v>
      </c>
      <c r="P2269">
        <f t="shared" si="464"/>
        <v>2.763504969010551E-3</v>
      </c>
      <c r="Q2269" t="str">
        <f t="shared" si="458"/>
        <v>2019-02</v>
      </c>
      <c r="S2269">
        <v>9100.9</v>
      </c>
      <c r="T2269">
        <f t="shared" si="465"/>
        <v>9.7840374101748249E-4</v>
      </c>
      <c r="U2269" t="str">
        <f t="shared" si="459"/>
        <v>2019-02</v>
      </c>
      <c r="W2269">
        <v>19996.47</v>
      </c>
      <c r="X2269">
        <f t="shared" si="466"/>
        <v>8.1838349640929141E-3</v>
      </c>
      <c r="Y2269">
        <f t="shared" si="467"/>
        <v>8.2174140809307666E-3</v>
      </c>
      <c r="Z2269" t="str">
        <f t="shared" si="460"/>
        <v>2019-02</v>
      </c>
    </row>
    <row r="2270" spans="1:26" x14ac:dyDescent="0.35">
      <c r="A2270" s="1">
        <v>43503</v>
      </c>
      <c r="C2270">
        <v>3150.76</v>
      </c>
      <c r="D2270">
        <f t="shared" si="461"/>
        <v>-1.9483574627189339E-2</v>
      </c>
      <c r="E2270" t="str">
        <f t="shared" si="455"/>
        <v>2019-02</v>
      </c>
      <c r="G2270">
        <v>4985.5600000000004</v>
      </c>
      <c r="H2270">
        <f t="shared" si="462"/>
        <v>-1.8578502112716711E-2</v>
      </c>
      <c r="I2270" t="str">
        <f t="shared" si="456"/>
        <v>2019-02</v>
      </c>
      <c r="K2270">
        <v>11022.02</v>
      </c>
      <c r="L2270">
        <f t="shared" si="463"/>
        <v>-2.7092856989532756E-2</v>
      </c>
      <c r="M2270" t="str">
        <f t="shared" si="457"/>
        <v>2019-02</v>
      </c>
      <c r="O2270">
        <v>8103.0197500000004</v>
      </c>
      <c r="P2270">
        <f t="shared" si="464"/>
        <v>-7.8440670209697153E-3</v>
      </c>
      <c r="Q2270" t="str">
        <f t="shared" si="458"/>
        <v>2019-02</v>
      </c>
      <c r="S2270">
        <v>8938.2999999999993</v>
      </c>
      <c r="T2270">
        <f t="shared" si="465"/>
        <v>-1.8027895227502522E-2</v>
      </c>
      <c r="U2270" t="str">
        <f t="shared" si="459"/>
        <v>2019-02</v>
      </c>
      <c r="W2270">
        <v>19478.32</v>
      </c>
      <c r="X2270">
        <f t="shared" si="466"/>
        <v>-2.6253705780519623E-2</v>
      </c>
      <c r="Y2270">
        <f t="shared" si="467"/>
        <v>-2.5912073480969463E-2</v>
      </c>
      <c r="Z2270" t="str">
        <f t="shared" si="460"/>
        <v>2019-02</v>
      </c>
    </row>
    <row r="2271" spans="1:26" x14ac:dyDescent="0.35">
      <c r="A2271" s="1">
        <v>43504</v>
      </c>
      <c r="C2271">
        <v>3135.62</v>
      </c>
      <c r="D2271">
        <f t="shared" si="461"/>
        <v>-4.8167719012484293E-3</v>
      </c>
      <c r="E2271" t="str">
        <f t="shared" si="455"/>
        <v>2019-02</v>
      </c>
      <c r="G2271">
        <v>4961.6400000000003</v>
      </c>
      <c r="H2271">
        <f t="shared" si="462"/>
        <v>-4.8094028684437743E-3</v>
      </c>
      <c r="I2271" t="str">
        <f t="shared" si="456"/>
        <v>2019-02</v>
      </c>
      <c r="K2271">
        <v>10906.78</v>
      </c>
      <c r="L2271">
        <f t="shared" si="463"/>
        <v>-1.0510475801617486E-2</v>
      </c>
      <c r="M2271" t="str">
        <f t="shared" si="457"/>
        <v>2019-02</v>
      </c>
      <c r="O2271">
        <v>8069.7579299999998</v>
      </c>
      <c r="P2271">
        <f t="shared" si="464"/>
        <v>-4.1133152950615925E-3</v>
      </c>
      <c r="Q2271" t="str">
        <f t="shared" si="458"/>
        <v>2019-02</v>
      </c>
      <c r="S2271">
        <v>8856.7999999999993</v>
      </c>
      <c r="T2271">
        <f t="shared" si="465"/>
        <v>-9.159888940691762E-3</v>
      </c>
      <c r="U2271" t="str">
        <f t="shared" si="459"/>
        <v>2019-02</v>
      </c>
      <c r="W2271">
        <v>19351.900000000001</v>
      </c>
      <c r="X2271">
        <f t="shared" si="466"/>
        <v>-6.5114463256940132E-3</v>
      </c>
      <c r="Y2271">
        <f t="shared" si="467"/>
        <v>-6.4902927973253472E-3</v>
      </c>
      <c r="Z2271" t="str">
        <f t="shared" si="460"/>
        <v>2019-02</v>
      </c>
    </row>
    <row r="2272" spans="1:26" x14ac:dyDescent="0.35">
      <c r="A2272" s="1">
        <v>43507</v>
      </c>
      <c r="C2272">
        <v>3165.61</v>
      </c>
      <c r="D2272">
        <f t="shared" si="461"/>
        <v>9.5188483662194765E-3</v>
      </c>
      <c r="E2272" t="str">
        <f t="shared" si="455"/>
        <v>2019-02</v>
      </c>
      <c r="G2272">
        <v>5014.47</v>
      </c>
      <c r="H2272">
        <f t="shared" si="462"/>
        <v>1.0591401630854107E-2</v>
      </c>
      <c r="I2272" t="str">
        <f t="shared" si="456"/>
        <v>2019-02</v>
      </c>
      <c r="K2272">
        <v>11014.59</v>
      </c>
      <c r="L2272">
        <f t="shared" si="463"/>
        <v>9.8361433810183543E-3</v>
      </c>
      <c r="M2272" t="str">
        <f t="shared" si="457"/>
        <v>2019-02</v>
      </c>
      <c r="O2272">
        <v>8128.4883900000004</v>
      </c>
      <c r="P2272">
        <f t="shared" si="464"/>
        <v>7.2514908338836628E-3</v>
      </c>
      <c r="Q2272" t="str">
        <f t="shared" si="458"/>
        <v>2019-02</v>
      </c>
      <c r="S2272">
        <v>8936.4</v>
      </c>
      <c r="T2272">
        <f t="shared" si="465"/>
        <v>8.9472979593431499E-3</v>
      </c>
      <c r="U2272" t="str">
        <f t="shared" si="459"/>
        <v>2019-02</v>
      </c>
      <c r="W2272">
        <v>19586.560000000001</v>
      </c>
      <c r="X2272">
        <f t="shared" si="466"/>
        <v>1.2053010871366655E-2</v>
      </c>
      <c r="Y2272">
        <f t="shared" si="467"/>
        <v>1.2125941122060358E-2</v>
      </c>
      <c r="Z2272" t="str">
        <f t="shared" si="460"/>
        <v>2019-02</v>
      </c>
    </row>
    <row r="2273" spans="1:26" x14ac:dyDescent="0.35">
      <c r="A2273" s="1">
        <v>43508</v>
      </c>
      <c r="C2273">
        <v>3190.75</v>
      </c>
      <c r="D2273">
        <f t="shared" si="461"/>
        <v>7.9102288377678708E-3</v>
      </c>
      <c r="E2273" t="str">
        <f t="shared" si="455"/>
        <v>2019-02</v>
      </c>
      <c r="G2273">
        <v>5056.3500000000004</v>
      </c>
      <c r="H2273">
        <f t="shared" si="462"/>
        <v>8.3171462542671343E-3</v>
      </c>
      <c r="I2273" t="str">
        <f t="shared" si="456"/>
        <v>2019-02</v>
      </c>
      <c r="K2273">
        <v>11126.08</v>
      </c>
      <c r="L2273">
        <f t="shared" si="463"/>
        <v>1.007114440065101E-2</v>
      </c>
      <c r="M2273" t="str">
        <f t="shared" si="457"/>
        <v>2019-02</v>
      </c>
      <c r="O2273">
        <v>8121.8234499999999</v>
      </c>
      <c r="P2273">
        <f t="shared" si="464"/>
        <v>-8.2028461230058774E-4</v>
      </c>
      <c r="Q2273" t="str">
        <f t="shared" si="458"/>
        <v>2019-02</v>
      </c>
      <c r="S2273">
        <v>8983.1</v>
      </c>
      <c r="T2273">
        <f t="shared" si="465"/>
        <v>5.2122108011286392E-3</v>
      </c>
      <c r="U2273" t="str">
        <f t="shared" si="459"/>
        <v>2019-02</v>
      </c>
      <c r="W2273">
        <v>19805.28</v>
      </c>
      <c r="X2273">
        <f t="shared" si="466"/>
        <v>1.1104952076734292E-2</v>
      </c>
      <c r="Y2273">
        <f t="shared" si="467"/>
        <v>1.1166840935825255E-2</v>
      </c>
      <c r="Z2273" t="str">
        <f t="shared" si="460"/>
        <v>2019-02</v>
      </c>
    </row>
    <row r="2274" spans="1:26" x14ac:dyDescent="0.35">
      <c r="A2274" s="1">
        <v>43509</v>
      </c>
      <c r="C2274">
        <v>3202.37</v>
      </c>
      <c r="D2274">
        <f t="shared" si="461"/>
        <v>3.6351617976644705E-3</v>
      </c>
      <c r="E2274" t="str">
        <f t="shared" si="455"/>
        <v>2019-02</v>
      </c>
      <c r="G2274">
        <v>5074.2700000000004</v>
      </c>
      <c r="H2274">
        <f t="shared" si="462"/>
        <v>3.5377930848312653E-3</v>
      </c>
      <c r="I2274" t="str">
        <f t="shared" si="456"/>
        <v>2019-02</v>
      </c>
      <c r="K2274">
        <v>11167.22</v>
      </c>
      <c r="L2274">
        <f t="shared" si="463"/>
        <v>3.6907991818832982E-3</v>
      </c>
      <c r="M2274" t="str">
        <f t="shared" si="457"/>
        <v>2019-02</v>
      </c>
      <c r="O2274">
        <v>8197.7871799999994</v>
      </c>
      <c r="P2274">
        <f t="shared" si="464"/>
        <v>9.3095699839227455E-3</v>
      </c>
      <c r="Q2274" t="str">
        <f t="shared" si="458"/>
        <v>2019-02</v>
      </c>
      <c r="S2274">
        <v>8982.4</v>
      </c>
      <c r="T2274">
        <f t="shared" si="465"/>
        <v>-7.7927138165315697E-5</v>
      </c>
      <c r="U2274" t="str">
        <f t="shared" si="459"/>
        <v>2019-02</v>
      </c>
      <c r="W2274">
        <v>19989.900000000001</v>
      </c>
      <c r="X2274">
        <f t="shared" si="466"/>
        <v>9.2785771806252852E-3</v>
      </c>
      <c r="Y2274">
        <f t="shared" si="467"/>
        <v>9.3217566224765638E-3</v>
      </c>
      <c r="Z2274" t="str">
        <f t="shared" si="460"/>
        <v>2019-02</v>
      </c>
    </row>
    <row r="2275" spans="1:26" x14ac:dyDescent="0.35">
      <c r="A2275" s="1">
        <v>43510</v>
      </c>
      <c r="C2275">
        <v>3182.66</v>
      </c>
      <c r="D2275">
        <f t="shared" si="461"/>
        <v>-6.1738355515614639E-3</v>
      </c>
      <c r="E2275" t="str">
        <f t="shared" si="455"/>
        <v>2019-02</v>
      </c>
      <c r="G2275">
        <v>5062.5200000000004</v>
      </c>
      <c r="H2275">
        <f t="shared" si="462"/>
        <v>-2.3182891748761243E-3</v>
      </c>
      <c r="I2275" t="str">
        <f t="shared" si="456"/>
        <v>2019-02</v>
      </c>
      <c r="K2275">
        <v>11089.79</v>
      </c>
      <c r="L2275">
        <f t="shared" si="463"/>
        <v>-6.9578359694164298E-3</v>
      </c>
      <c r="M2275" t="str">
        <f t="shared" si="457"/>
        <v>2019-02</v>
      </c>
      <c r="O2275">
        <v>8157.7155899999998</v>
      </c>
      <c r="P2275">
        <f t="shared" si="464"/>
        <v>-4.9000841787384631E-3</v>
      </c>
      <c r="Q2275" t="str">
        <f t="shared" si="458"/>
        <v>2019-02</v>
      </c>
      <c r="S2275">
        <v>8952.5</v>
      </c>
      <c r="T2275">
        <f t="shared" si="465"/>
        <v>-3.3342842949755764E-3</v>
      </c>
      <c r="U2275" t="str">
        <f t="shared" si="459"/>
        <v>2019-02</v>
      </c>
      <c r="W2275">
        <v>19834.96</v>
      </c>
      <c r="X2275">
        <f t="shared" si="466"/>
        <v>-7.781108671543014E-3</v>
      </c>
      <c r="Y2275">
        <f t="shared" si="467"/>
        <v>-7.750914211677013E-3</v>
      </c>
      <c r="Z2275" t="str">
        <f t="shared" si="460"/>
        <v>2019-02</v>
      </c>
    </row>
    <row r="2276" spans="1:26" x14ac:dyDescent="0.35">
      <c r="A2276" s="1">
        <v>43511</v>
      </c>
      <c r="C2276">
        <v>3241.25</v>
      </c>
      <c r="D2276">
        <f t="shared" si="461"/>
        <v>1.8241732743970968E-2</v>
      </c>
      <c r="E2276" t="str">
        <f t="shared" si="455"/>
        <v>2019-02</v>
      </c>
      <c r="G2276">
        <v>5153.1899999999996</v>
      </c>
      <c r="H2276">
        <f t="shared" si="462"/>
        <v>1.7751557349412611E-2</v>
      </c>
      <c r="I2276" t="str">
        <f t="shared" si="456"/>
        <v>2019-02</v>
      </c>
      <c r="K2276">
        <v>11299.8</v>
      </c>
      <c r="L2276">
        <f t="shared" si="463"/>
        <v>1.8760161241990519E-2</v>
      </c>
      <c r="M2276" t="str">
        <f t="shared" si="457"/>
        <v>2019-02</v>
      </c>
      <c r="O2276">
        <v>8261.2290400000002</v>
      </c>
      <c r="P2276">
        <f t="shared" si="464"/>
        <v>1.2609193076791933E-2</v>
      </c>
      <c r="Q2276" t="str">
        <f t="shared" si="458"/>
        <v>2019-02</v>
      </c>
      <c r="S2276">
        <v>9123.2000000000007</v>
      </c>
      <c r="T2276">
        <f t="shared" si="465"/>
        <v>1.8887796845765133E-2</v>
      </c>
      <c r="U2276" t="str">
        <f t="shared" si="459"/>
        <v>2019-02</v>
      </c>
      <c r="W2276">
        <v>20212.34</v>
      </c>
      <c r="X2276">
        <f t="shared" si="466"/>
        <v>1.8847271651261481E-2</v>
      </c>
      <c r="Y2276">
        <f t="shared" si="467"/>
        <v>1.902600257323438E-2</v>
      </c>
      <c r="Z2276" t="str">
        <f t="shared" si="460"/>
        <v>2019-02</v>
      </c>
    </row>
    <row r="2277" spans="1:26" x14ac:dyDescent="0.35">
      <c r="A2277" s="1">
        <v>43514</v>
      </c>
      <c r="C2277">
        <v>3244.79</v>
      </c>
      <c r="D2277">
        <f t="shared" si="461"/>
        <v>1.0915752451428271E-3</v>
      </c>
      <c r="E2277" t="str">
        <f t="shared" si="455"/>
        <v>2019-02</v>
      </c>
      <c r="G2277">
        <v>5168.54</v>
      </c>
      <c r="H2277">
        <f t="shared" si="462"/>
        <v>2.9743097942244784E-3</v>
      </c>
      <c r="I2277" t="str">
        <f t="shared" si="456"/>
        <v>2019-02</v>
      </c>
      <c r="K2277">
        <v>11299.2</v>
      </c>
      <c r="L2277">
        <f t="shared" si="463"/>
        <v>-5.3099694689114489E-5</v>
      </c>
      <c r="M2277" t="str">
        <f t="shared" si="457"/>
        <v>2019-02</v>
      </c>
      <c r="O2277">
        <v>8250.2757700000002</v>
      </c>
      <c r="P2277">
        <f t="shared" si="464"/>
        <v>-1.3267441983936664E-3</v>
      </c>
      <c r="Q2277" t="str">
        <f t="shared" si="458"/>
        <v>2019-02</v>
      </c>
      <c r="S2277">
        <v>9155.5</v>
      </c>
      <c r="T2277">
        <f t="shared" si="465"/>
        <v>3.5341718634155916E-3</v>
      </c>
      <c r="U2277" t="str">
        <f t="shared" si="459"/>
        <v>2019-02</v>
      </c>
      <c r="W2277">
        <v>20329.830000000002</v>
      </c>
      <c r="X2277">
        <f t="shared" si="466"/>
        <v>5.7959566004674948E-3</v>
      </c>
      <c r="Y2277">
        <f t="shared" si="467"/>
        <v>5.812785654704087E-3</v>
      </c>
      <c r="Z2277" t="str">
        <f t="shared" si="460"/>
        <v>2019-02</v>
      </c>
    </row>
    <row r="2278" spans="1:26" x14ac:dyDescent="0.35">
      <c r="A2278" s="1">
        <v>43515</v>
      </c>
      <c r="C2278">
        <v>3239.41</v>
      </c>
      <c r="D2278">
        <f t="shared" si="461"/>
        <v>-1.6594186590673183E-3</v>
      </c>
      <c r="E2278" t="str">
        <f t="shared" si="455"/>
        <v>2019-02</v>
      </c>
      <c r="G2278">
        <v>5160.5200000000004</v>
      </c>
      <c r="H2278">
        <f t="shared" si="462"/>
        <v>-1.5529005759837347E-3</v>
      </c>
      <c r="I2278" t="str">
        <f t="shared" si="456"/>
        <v>2019-02</v>
      </c>
      <c r="K2278">
        <v>11309.21</v>
      </c>
      <c r="L2278">
        <f t="shared" si="463"/>
        <v>8.8551124595618452E-4</v>
      </c>
      <c r="M2278" t="str">
        <f t="shared" si="457"/>
        <v>2019-02</v>
      </c>
      <c r="O2278">
        <v>8262.8779799999993</v>
      </c>
      <c r="P2278">
        <f t="shared" si="464"/>
        <v>1.5263241216508588E-3</v>
      </c>
      <c r="Q2278" t="str">
        <f t="shared" si="458"/>
        <v>2019-02</v>
      </c>
      <c r="S2278">
        <v>9136.4</v>
      </c>
      <c r="T2278">
        <f t="shared" si="465"/>
        <v>-2.0883568072896804E-3</v>
      </c>
      <c r="U2278" t="str">
        <f t="shared" si="459"/>
        <v>2019-02</v>
      </c>
      <c r="W2278">
        <v>20228.189999999999</v>
      </c>
      <c r="X2278">
        <f t="shared" si="466"/>
        <v>-5.0120894844043707E-3</v>
      </c>
      <c r="Y2278">
        <f t="shared" si="467"/>
        <v>-4.9995499224540019E-3</v>
      </c>
      <c r="Z2278" t="str">
        <f t="shared" si="460"/>
        <v>2019-02</v>
      </c>
    </row>
    <row r="2279" spans="1:26" x14ac:dyDescent="0.35">
      <c r="A2279" s="1">
        <v>43516</v>
      </c>
      <c r="C2279">
        <v>3259.49</v>
      </c>
      <c r="D2279">
        <f t="shared" si="461"/>
        <v>6.1795269657302426E-3</v>
      </c>
      <c r="E2279" t="str">
        <f t="shared" si="455"/>
        <v>2019-02</v>
      </c>
      <c r="G2279">
        <v>5195.95</v>
      </c>
      <c r="H2279">
        <f t="shared" si="462"/>
        <v>6.8421263655035723E-3</v>
      </c>
      <c r="I2279" t="str">
        <f t="shared" si="456"/>
        <v>2019-02</v>
      </c>
      <c r="K2279">
        <v>11401.97</v>
      </c>
      <c r="L2279">
        <f t="shared" si="463"/>
        <v>8.1687094906944587E-3</v>
      </c>
      <c r="M2279" t="str">
        <f t="shared" si="457"/>
        <v>2019-02</v>
      </c>
      <c r="O2279">
        <v>8323.1523799999995</v>
      </c>
      <c r="P2279">
        <f t="shared" si="464"/>
        <v>7.2681243224093483E-3</v>
      </c>
      <c r="Q2279" t="str">
        <f t="shared" si="458"/>
        <v>2019-02</v>
      </c>
      <c r="S2279">
        <v>9181.1</v>
      </c>
      <c r="T2279">
        <f t="shared" si="465"/>
        <v>4.8805883695916472E-3</v>
      </c>
      <c r="U2279" t="str">
        <f t="shared" si="459"/>
        <v>2019-02</v>
      </c>
      <c r="W2279">
        <v>20304.21</v>
      </c>
      <c r="X2279">
        <f t="shared" si="466"/>
        <v>3.7510776138162294E-3</v>
      </c>
      <c r="Y2279">
        <f t="shared" si="467"/>
        <v>3.7581217103458313E-3</v>
      </c>
      <c r="Z2279" t="str">
        <f t="shared" si="460"/>
        <v>2019-02</v>
      </c>
    </row>
    <row r="2280" spans="1:26" x14ac:dyDescent="0.35">
      <c r="A2280" s="1">
        <v>43517</v>
      </c>
      <c r="C2280">
        <v>3263.7</v>
      </c>
      <c r="D2280">
        <f t="shared" si="461"/>
        <v>1.2907796904667291E-3</v>
      </c>
      <c r="E2280" t="str">
        <f t="shared" si="455"/>
        <v>2019-02</v>
      </c>
      <c r="G2280">
        <v>5196.1099999999997</v>
      </c>
      <c r="H2280">
        <f t="shared" si="462"/>
        <v>3.0792739844110529E-5</v>
      </c>
      <c r="I2280" t="str">
        <f t="shared" si="456"/>
        <v>2019-02</v>
      </c>
      <c r="K2280">
        <v>11423.28</v>
      </c>
      <c r="L2280">
        <f t="shared" si="463"/>
        <v>1.8672309123917083E-3</v>
      </c>
      <c r="M2280" t="str">
        <f t="shared" si="457"/>
        <v>2019-02</v>
      </c>
      <c r="O2280">
        <v>8247.9709999999995</v>
      </c>
      <c r="P2280">
        <f t="shared" si="464"/>
        <v>-9.0738441940600555E-3</v>
      </c>
      <c r="Q2280" t="str">
        <f t="shared" si="458"/>
        <v>2019-02</v>
      </c>
      <c r="S2280">
        <v>9191.2000000000007</v>
      </c>
      <c r="T2280">
        <f t="shared" si="465"/>
        <v>1.0994813950846844E-3</v>
      </c>
      <c r="U2280" t="str">
        <f t="shared" si="459"/>
        <v>2019-02</v>
      </c>
      <c r="W2280">
        <v>20209.72</v>
      </c>
      <c r="X2280">
        <f t="shared" si="466"/>
        <v>-4.6645769160504127E-3</v>
      </c>
      <c r="Y2280">
        <f t="shared" si="467"/>
        <v>-4.6537146729667377E-3</v>
      </c>
      <c r="Z2280" t="str">
        <f t="shared" si="460"/>
        <v>2019-02</v>
      </c>
    </row>
    <row r="2281" spans="1:26" x14ac:dyDescent="0.35">
      <c r="A2281" s="1">
        <v>43518</v>
      </c>
      <c r="C2281">
        <v>3270.55</v>
      </c>
      <c r="D2281">
        <f t="shared" si="461"/>
        <v>2.0966453714929504E-3</v>
      </c>
      <c r="E2281" t="str">
        <f t="shared" si="455"/>
        <v>2019-02</v>
      </c>
      <c r="G2281">
        <v>5215.8500000000004</v>
      </c>
      <c r="H2281">
        <f t="shared" si="462"/>
        <v>3.7917978269917064E-3</v>
      </c>
      <c r="I2281" t="str">
        <f t="shared" si="456"/>
        <v>2019-02</v>
      </c>
      <c r="K2281">
        <v>11457.7</v>
      </c>
      <c r="L2281">
        <f t="shared" si="463"/>
        <v>3.0086146627870416E-3</v>
      </c>
      <c r="M2281" t="str">
        <f t="shared" si="457"/>
        <v>2019-02</v>
      </c>
      <c r="O2281">
        <v>8268.1072399999994</v>
      </c>
      <c r="P2281">
        <f t="shared" si="464"/>
        <v>2.4383815194386265E-3</v>
      </c>
      <c r="Q2281" t="str">
        <f t="shared" si="458"/>
        <v>2019-02</v>
      </c>
      <c r="S2281">
        <v>9204.6</v>
      </c>
      <c r="T2281">
        <f t="shared" si="465"/>
        <v>1.4568545396277078E-3</v>
      </c>
      <c r="U2281" t="str">
        <f t="shared" si="459"/>
        <v>2019-02</v>
      </c>
      <c r="W2281">
        <v>20262.509999999998</v>
      </c>
      <c r="X2281">
        <f t="shared" si="466"/>
        <v>2.6087037920964032E-3</v>
      </c>
      <c r="Y2281">
        <f t="shared" si="467"/>
        <v>2.6121094206152896E-3</v>
      </c>
      <c r="Z2281" t="str">
        <f t="shared" si="460"/>
        <v>2019-02</v>
      </c>
    </row>
    <row r="2282" spans="1:26" x14ac:dyDescent="0.35">
      <c r="A2282" s="1">
        <v>43521</v>
      </c>
      <c r="C2282">
        <v>3280.01</v>
      </c>
      <c r="D2282">
        <f t="shared" si="461"/>
        <v>2.8883046873901582E-3</v>
      </c>
      <c r="E2282" t="str">
        <f t="shared" si="455"/>
        <v>2019-02</v>
      </c>
      <c r="G2282">
        <v>5231.8500000000004</v>
      </c>
      <c r="H2282">
        <f t="shared" si="462"/>
        <v>3.0628774770119467E-3</v>
      </c>
      <c r="I2282" t="str">
        <f t="shared" si="456"/>
        <v>2019-02</v>
      </c>
      <c r="K2282">
        <v>11505.39</v>
      </c>
      <c r="L2282">
        <f t="shared" si="463"/>
        <v>4.1536281541197729E-3</v>
      </c>
      <c r="M2282" t="str">
        <f t="shared" si="457"/>
        <v>2019-02</v>
      </c>
      <c r="O2282">
        <v>8282.0647200000003</v>
      </c>
      <c r="P2282">
        <f t="shared" si="464"/>
        <v>1.6866874063569944E-3</v>
      </c>
      <c r="Q2282" t="str">
        <f t="shared" si="458"/>
        <v>2019-02</v>
      </c>
      <c r="S2282">
        <v>9204.2999999999993</v>
      </c>
      <c r="T2282">
        <f t="shared" si="465"/>
        <v>-3.2592930596316466E-5</v>
      </c>
      <c r="U2282" t="str">
        <f t="shared" si="459"/>
        <v>2019-02</v>
      </c>
      <c r="W2282">
        <v>20436.96</v>
      </c>
      <c r="X2282">
        <f t="shared" si="466"/>
        <v>8.5726457058661401E-3</v>
      </c>
      <c r="Y2282">
        <f t="shared" si="467"/>
        <v>8.6094960594714446E-3</v>
      </c>
      <c r="Z2282" t="str">
        <f t="shared" si="460"/>
        <v>2019-02</v>
      </c>
    </row>
    <row r="2283" spans="1:26" x14ac:dyDescent="0.35">
      <c r="A2283" s="1">
        <v>43522</v>
      </c>
      <c r="C2283">
        <v>3289.32</v>
      </c>
      <c r="D2283">
        <f t="shared" si="461"/>
        <v>2.8343853126095242E-3</v>
      </c>
      <c r="E2283" t="str">
        <f t="shared" si="455"/>
        <v>2019-02</v>
      </c>
      <c r="G2283">
        <v>5238.72</v>
      </c>
      <c r="H2283">
        <f t="shared" si="462"/>
        <v>1.3122496646972939E-3</v>
      </c>
      <c r="I2283" t="str">
        <f t="shared" si="456"/>
        <v>2019-02</v>
      </c>
      <c r="K2283">
        <v>11540.79</v>
      </c>
      <c r="L2283">
        <f t="shared" si="463"/>
        <v>3.0720950579585728E-3</v>
      </c>
      <c r="M2283" t="str">
        <f t="shared" si="457"/>
        <v>2019-02</v>
      </c>
      <c r="O2283">
        <v>8327.4729599999991</v>
      </c>
      <c r="P2283">
        <f t="shared" si="464"/>
        <v>5.4677443770812864E-3</v>
      </c>
      <c r="Q2283" t="str">
        <f t="shared" si="458"/>
        <v>2019-02</v>
      </c>
      <c r="S2283">
        <v>9227.2000000000007</v>
      </c>
      <c r="T2283">
        <f t="shared" si="465"/>
        <v>2.4848777129618223E-3</v>
      </c>
      <c r="U2283" t="str">
        <f t="shared" si="459"/>
        <v>2019-02</v>
      </c>
      <c r="W2283">
        <v>20459.59</v>
      </c>
      <c r="X2283">
        <f t="shared" si="466"/>
        <v>1.1066949319548773E-3</v>
      </c>
      <c r="Y2283">
        <f t="shared" si="467"/>
        <v>1.1073075447620888E-3</v>
      </c>
      <c r="Z2283" t="str">
        <f t="shared" si="460"/>
        <v>2019-02</v>
      </c>
    </row>
    <row r="2284" spans="1:26" x14ac:dyDescent="0.35">
      <c r="A2284" s="1">
        <v>43523</v>
      </c>
      <c r="C2284">
        <v>3282.77</v>
      </c>
      <c r="D2284">
        <f t="shared" si="461"/>
        <v>-1.9932782931098791E-3</v>
      </c>
      <c r="E2284" t="str">
        <f t="shared" si="455"/>
        <v>2019-02</v>
      </c>
      <c r="G2284">
        <v>5225.3500000000004</v>
      </c>
      <c r="H2284">
        <f t="shared" si="462"/>
        <v>-2.5554124304702115E-3</v>
      </c>
      <c r="I2284" t="str">
        <f t="shared" si="456"/>
        <v>2019-02</v>
      </c>
      <c r="K2284">
        <v>11487.33</v>
      </c>
      <c r="L2284">
        <f t="shared" si="463"/>
        <v>-4.6430273977671856E-3</v>
      </c>
      <c r="M2284" t="str">
        <f t="shared" si="457"/>
        <v>2019-02</v>
      </c>
      <c r="O2284">
        <v>8315.5927900000006</v>
      </c>
      <c r="P2284">
        <f t="shared" si="464"/>
        <v>-1.427642262100423E-3</v>
      </c>
      <c r="Q2284" t="str">
        <f t="shared" si="458"/>
        <v>2019-02</v>
      </c>
      <c r="S2284">
        <v>9211.7000000000007</v>
      </c>
      <c r="T2284">
        <f t="shared" si="465"/>
        <v>-1.6812286688397242E-3</v>
      </c>
      <c r="U2284" t="str">
        <f t="shared" si="459"/>
        <v>2019-02</v>
      </c>
      <c r="W2284">
        <v>20498.79</v>
      </c>
      <c r="X2284">
        <f t="shared" si="466"/>
        <v>1.9141387901001413E-3</v>
      </c>
      <c r="Y2284">
        <f t="shared" si="467"/>
        <v>1.9159719231910672E-3</v>
      </c>
      <c r="Z2284" t="str">
        <f t="shared" si="460"/>
        <v>2019-02</v>
      </c>
    </row>
    <row r="2285" spans="1:26" x14ac:dyDescent="0.35">
      <c r="A2285" s="1">
        <v>43524</v>
      </c>
      <c r="C2285">
        <v>3298.26</v>
      </c>
      <c r="D2285">
        <f t="shared" si="461"/>
        <v>4.7074784966222305E-3</v>
      </c>
      <c r="E2285" t="str">
        <f t="shared" si="455"/>
        <v>2019-02</v>
      </c>
      <c r="G2285">
        <v>5240.53</v>
      </c>
      <c r="H2285">
        <f t="shared" si="462"/>
        <v>2.9008570029346878E-3</v>
      </c>
      <c r="I2285" t="str">
        <f t="shared" si="456"/>
        <v>2019-02</v>
      </c>
      <c r="K2285">
        <v>11515.64</v>
      </c>
      <c r="L2285">
        <f t="shared" si="463"/>
        <v>2.4614225287644949E-3</v>
      </c>
      <c r="M2285" t="str">
        <f t="shared" si="457"/>
        <v>2019-02</v>
      </c>
      <c r="O2285">
        <v>8245.7712300000003</v>
      </c>
      <c r="P2285">
        <f t="shared" si="464"/>
        <v>-8.431910993707355E-3</v>
      </c>
      <c r="Q2285" t="str">
        <f t="shared" si="458"/>
        <v>2019-02</v>
      </c>
      <c r="S2285">
        <v>9277.7000000000007</v>
      </c>
      <c r="T2285">
        <f t="shared" si="465"/>
        <v>7.1392560417464536E-3</v>
      </c>
      <c r="U2285" t="str">
        <f t="shared" si="459"/>
        <v>2019-02</v>
      </c>
      <c r="W2285">
        <v>20659.46</v>
      </c>
      <c r="X2285">
        <f t="shared" si="466"/>
        <v>7.8074658740943277E-3</v>
      </c>
      <c r="Y2285">
        <f t="shared" si="467"/>
        <v>7.8380236101739786E-3</v>
      </c>
      <c r="Z2285" t="str">
        <f t="shared" si="460"/>
        <v>2019-02</v>
      </c>
    </row>
    <row r="2286" spans="1:26" x14ac:dyDescent="0.35">
      <c r="A2286" s="1">
        <v>43525</v>
      </c>
      <c r="C2286">
        <v>3312.1</v>
      </c>
      <c r="D2286">
        <f t="shared" si="461"/>
        <v>4.1873726159071135E-3</v>
      </c>
      <c r="E2286" t="str">
        <f t="shared" si="455"/>
        <v>2019-03</v>
      </c>
      <c r="G2286">
        <v>5265.19</v>
      </c>
      <c r="H2286">
        <f t="shared" si="462"/>
        <v>4.6945940479218322E-3</v>
      </c>
      <c r="I2286" t="str">
        <f t="shared" si="456"/>
        <v>2019-03</v>
      </c>
      <c r="K2286">
        <v>11601.68</v>
      </c>
      <c r="L2286">
        <f t="shared" si="463"/>
        <v>7.4438038051881086E-3</v>
      </c>
      <c r="M2286" t="str">
        <f t="shared" si="457"/>
        <v>2019-03</v>
      </c>
      <c r="O2286">
        <v>8257.3136500000001</v>
      </c>
      <c r="P2286">
        <f t="shared" si="464"/>
        <v>1.3988199134905381E-3</v>
      </c>
      <c r="Q2286" t="str">
        <f t="shared" si="458"/>
        <v>2019-03</v>
      </c>
      <c r="S2286">
        <v>9267.7000000000007</v>
      </c>
      <c r="T2286">
        <f t="shared" si="465"/>
        <v>-1.0784346489355657E-3</v>
      </c>
      <c r="U2286" t="str">
        <f t="shared" si="459"/>
        <v>2019-03</v>
      </c>
      <c r="W2286">
        <v>20694.53</v>
      </c>
      <c r="X2286">
        <f t="shared" si="466"/>
        <v>1.6960882568864352E-3</v>
      </c>
      <c r="Y2286">
        <f t="shared" si="467"/>
        <v>1.6975274281128216E-3</v>
      </c>
      <c r="Z2286" t="str">
        <f t="shared" si="460"/>
        <v>2019-03</v>
      </c>
    </row>
    <row r="2287" spans="1:26" x14ac:dyDescent="0.35">
      <c r="A2287" s="1">
        <v>43528</v>
      </c>
      <c r="C2287">
        <v>3317.12</v>
      </c>
      <c r="D2287">
        <f t="shared" si="461"/>
        <v>1.514507275228454E-3</v>
      </c>
      <c r="E2287" t="str">
        <f t="shared" si="455"/>
        <v>2019-03</v>
      </c>
      <c r="G2287">
        <v>5286.57</v>
      </c>
      <c r="H2287">
        <f t="shared" si="462"/>
        <v>4.0524100734988027E-3</v>
      </c>
      <c r="I2287" t="str">
        <f t="shared" si="456"/>
        <v>2019-03</v>
      </c>
      <c r="K2287">
        <v>11592.66</v>
      </c>
      <c r="L2287">
        <f t="shared" si="463"/>
        <v>-7.7777599661908064E-4</v>
      </c>
      <c r="M2287" t="str">
        <f t="shared" si="457"/>
        <v>2019-03</v>
      </c>
      <c r="O2287">
        <v>8299.1112799999992</v>
      </c>
      <c r="P2287">
        <f t="shared" si="464"/>
        <v>5.0491237056945254E-3</v>
      </c>
      <c r="Q2287" t="str">
        <f t="shared" si="458"/>
        <v>2019-03</v>
      </c>
      <c r="S2287">
        <v>9259.7999999999993</v>
      </c>
      <c r="T2287">
        <f t="shared" si="465"/>
        <v>-8.5278645027882802E-4</v>
      </c>
      <c r="U2287" t="str">
        <f t="shared" si="459"/>
        <v>2019-03</v>
      </c>
      <c r="W2287">
        <v>20718.3</v>
      </c>
      <c r="X2287">
        <f t="shared" si="466"/>
        <v>1.1479535501599928E-3</v>
      </c>
      <c r="Y2287">
        <f t="shared" si="467"/>
        <v>1.1486127010374451E-3</v>
      </c>
      <c r="Z2287" t="str">
        <f t="shared" si="460"/>
        <v>2019-03</v>
      </c>
    </row>
    <row r="2288" spans="1:26" x14ac:dyDescent="0.35">
      <c r="A2288" s="1">
        <v>43529</v>
      </c>
      <c r="C2288">
        <v>3327.19</v>
      </c>
      <c r="D2288">
        <f t="shared" si="461"/>
        <v>3.031167332722805E-3</v>
      </c>
      <c r="E2288" t="str">
        <f t="shared" si="455"/>
        <v>2019-03</v>
      </c>
      <c r="G2288">
        <v>5297.52</v>
      </c>
      <c r="H2288">
        <f t="shared" si="462"/>
        <v>2.0691441412041241E-3</v>
      </c>
      <c r="I2288" t="str">
        <f t="shared" si="456"/>
        <v>2019-03</v>
      </c>
      <c r="K2288">
        <v>11620.74</v>
      </c>
      <c r="L2288">
        <f t="shared" si="463"/>
        <v>2.419293485312194E-3</v>
      </c>
      <c r="M2288" t="str">
        <f t="shared" si="457"/>
        <v>2019-03</v>
      </c>
      <c r="O2288">
        <v>8362.9699400000009</v>
      </c>
      <c r="P2288">
        <f t="shared" si="464"/>
        <v>7.6651856181546244E-3</v>
      </c>
      <c r="Q2288" t="str">
        <f t="shared" si="458"/>
        <v>2019-03</v>
      </c>
      <c r="S2288">
        <v>9258.2000000000007</v>
      </c>
      <c r="T2288">
        <f t="shared" si="465"/>
        <v>-1.7280483896529072E-4</v>
      </c>
      <c r="U2288" t="str">
        <f t="shared" si="459"/>
        <v>2019-03</v>
      </c>
      <c r="W2288">
        <v>20715.97</v>
      </c>
      <c r="X2288">
        <f t="shared" si="466"/>
        <v>-1.124672886696888E-4</v>
      </c>
      <c r="Y2288">
        <f t="shared" si="467"/>
        <v>-1.124609644612786E-4</v>
      </c>
      <c r="Z2288" t="str">
        <f t="shared" si="460"/>
        <v>2019-03</v>
      </c>
    </row>
    <row r="2289" spans="1:26" x14ac:dyDescent="0.35">
      <c r="A2289" s="1">
        <v>43530</v>
      </c>
      <c r="C2289">
        <v>3324.67</v>
      </c>
      <c r="D2289">
        <f t="shared" si="461"/>
        <v>-7.5768284977661049E-4</v>
      </c>
      <c r="E2289" t="str">
        <f t="shared" si="455"/>
        <v>2019-03</v>
      </c>
      <c r="G2289">
        <v>5288.81</v>
      </c>
      <c r="H2289">
        <f t="shared" si="462"/>
        <v>-1.645518695404771E-3</v>
      </c>
      <c r="I2289" t="str">
        <f t="shared" si="456"/>
        <v>2019-03</v>
      </c>
      <c r="K2289">
        <v>11587.63</v>
      </c>
      <c r="L2289">
        <f t="shared" si="463"/>
        <v>-2.8532828856993216E-3</v>
      </c>
      <c r="M2289" t="str">
        <f t="shared" si="457"/>
        <v>2019-03</v>
      </c>
      <c r="O2289">
        <v>8377.7272699999994</v>
      </c>
      <c r="P2289">
        <f t="shared" si="464"/>
        <v>1.7630488906699847E-3</v>
      </c>
      <c r="Q2289" t="str">
        <f t="shared" si="458"/>
        <v>2019-03</v>
      </c>
      <c r="S2289">
        <v>9296.7000000000007</v>
      </c>
      <c r="T2289">
        <f t="shared" si="465"/>
        <v>4.1498531656431435E-3</v>
      </c>
      <c r="U2289" t="str">
        <f t="shared" si="459"/>
        <v>2019-03</v>
      </c>
      <c r="W2289">
        <v>20851.560000000001</v>
      </c>
      <c r="X2289">
        <f t="shared" si="466"/>
        <v>6.523865185226305E-3</v>
      </c>
      <c r="Y2289">
        <f t="shared" si="467"/>
        <v>6.5451919461169397E-3</v>
      </c>
      <c r="Z2289" t="str">
        <f t="shared" si="460"/>
        <v>2019-03</v>
      </c>
    </row>
    <row r="2290" spans="1:26" x14ac:dyDescent="0.35">
      <c r="A2290" s="1">
        <v>43531</v>
      </c>
      <c r="C2290">
        <v>3308.85</v>
      </c>
      <c r="D2290">
        <f t="shared" si="461"/>
        <v>-4.769724065782595E-3</v>
      </c>
      <c r="E2290" t="str">
        <f t="shared" si="455"/>
        <v>2019-03</v>
      </c>
      <c r="G2290">
        <v>5267.92</v>
      </c>
      <c r="H2290">
        <f t="shared" si="462"/>
        <v>-3.9576700866520527E-3</v>
      </c>
      <c r="I2290" t="str">
        <f t="shared" si="456"/>
        <v>2019-03</v>
      </c>
      <c r="K2290">
        <v>11517.8</v>
      </c>
      <c r="L2290">
        <f t="shared" si="463"/>
        <v>-6.0444850070112749E-3</v>
      </c>
      <c r="M2290" t="str">
        <f t="shared" si="457"/>
        <v>2019-03</v>
      </c>
      <c r="O2290">
        <v>8371.6235099999994</v>
      </c>
      <c r="P2290">
        <f t="shared" si="464"/>
        <v>-7.2883544566781607E-4</v>
      </c>
      <c r="Q2290" t="str">
        <f t="shared" si="458"/>
        <v>2019-03</v>
      </c>
      <c r="S2290">
        <v>9249.9</v>
      </c>
      <c r="T2290">
        <f t="shared" si="465"/>
        <v>-5.046757824295583E-3</v>
      </c>
      <c r="U2290" t="str">
        <f t="shared" si="459"/>
        <v>2019-03</v>
      </c>
      <c r="W2290">
        <v>20697.560000000001</v>
      </c>
      <c r="X2290">
        <f t="shared" si="466"/>
        <v>-7.4129466623524803E-3</v>
      </c>
      <c r="Y2290">
        <f t="shared" si="467"/>
        <v>-7.3855385400420871E-3</v>
      </c>
      <c r="Z2290" t="str">
        <f t="shared" si="460"/>
        <v>2019-03</v>
      </c>
    </row>
    <row r="2291" spans="1:26" x14ac:dyDescent="0.35">
      <c r="A2291" s="1">
        <v>43532</v>
      </c>
      <c r="C2291">
        <v>3283.6</v>
      </c>
      <c r="D2291">
        <f t="shared" si="461"/>
        <v>-7.6603155043395363E-3</v>
      </c>
      <c r="E2291" t="str">
        <f t="shared" si="455"/>
        <v>2019-03</v>
      </c>
      <c r="G2291">
        <v>5231.22</v>
      </c>
      <c r="H2291">
        <f t="shared" si="462"/>
        <v>-6.9910772646926966E-3</v>
      </c>
      <c r="I2291" t="str">
        <f t="shared" si="456"/>
        <v>2019-03</v>
      </c>
      <c r="K2291">
        <v>11457.84</v>
      </c>
      <c r="L2291">
        <f t="shared" si="463"/>
        <v>-5.2194529617085664E-3</v>
      </c>
      <c r="M2291" t="str">
        <f t="shared" si="457"/>
        <v>2019-03</v>
      </c>
      <c r="O2291">
        <v>8223.0492099999992</v>
      </c>
      <c r="P2291">
        <f t="shared" si="464"/>
        <v>-1.7906743029252558E-2</v>
      </c>
      <c r="Q2291" t="str">
        <f t="shared" si="458"/>
        <v>2019-03</v>
      </c>
      <c r="S2291">
        <v>9129.2999999999993</v>
      </c>
      <c r="T2291">
        <f t="shared" si="465"/>
        <v>-1.3123719305161975E-2</v>
      </c>
      <c r="U2291" t="str">
        <f t="shared" si="459"/>
        <v>2019-03</v>
      </c>
      <c r="W2291">
        <v>20484.39</v>
      </c>
      <c r="X2291">
        <f t="shared" si="466"/>
        <v>-1.0352686258249449E-2</v>
      </c>
      <c r="Y2291">
        <f t="shared" si="467"/>
        <v>-1.0299281654455978E-2</v>
      </c>
      <c r="Z2291" t="str">
        <f t="shared" si="460"/>
        <v>2019-03</v>
      </c>
    </row>
    <row r="2292" spans="1:26" x14ac:dyDescent="0.35">
      <c r="A2292" s="1">
        <v>43535</v>
      </c>
      <c r="C2292">
        <v>3304.44</v>
      </c>
      <c r="D2292">
        <f t="shared" si="461"/>
        <v>6.3266372129986044E-3</v>
      </c>
      <c r="E2292" t="str">
        <f t="shared" si="455"/>
        <v>2019-03</v>
      </c>
      <c r="G2292">
        <v>5265.96</v>
      </c>
      <c r="H2292">
        <f t="shared" si="462"/>
        <v>6.6189446748741287E-3</v>
      </c>
      <c r="I2292" t="str">
        <f t="shared" si="456"/>
        <v>2019-03</v>
      </c>
      <c r="K2292">
        <v>11543.48</v>
      </c>
      <c r="L2292">
        <f t="shared" si="463"/>
        <v>7.4465635656684971E-3</v>
      </c>
      <c r="M2292" t="str">
        <f t="shared" si="457"/>
        <v>2019-03</v>
      </c>
      <c r="O2292">
        <v>8337.6623299999992</v>
      </c>
      <c r="P2292">
        <f t="shared" si="464"/>
        <v>1.384179051251763E-2</v>
      </c>
      <c r="Q2292" t="str">
        <f t="shared" si="458"/>
        <v>2019-03</v>
      </c>
      <c r="S2292">
        <v>9171.9</v>
      </c>
      <c r="T2292">
        <f t="shared" si="465"/>
        <v>4.6554408388063545E-3</v>
      </c>
      <c r="U2292" t="str">
        <f t="shared" si="459"/>
        <v>2019-03</v>
      </c>
      <c r="W2292">
        <v>20638.22</v>
      </c>
      <c r="X2292">
        <f t="shared" si="466"/>
        <v>7.4815639151690838E-3</v>
      </c>
      <c r="Y2292">
        <f t="shared" si="467"/>
        <v>7.5096207404761256E-3</v>
      </c>
      <c r="Z2292" t="str">
        <f t="shared" si="460"/>
        <v>2019-03</v>
      </c>
    </row>
    <row r="2293" spans="1:26" x14ac:dyDescent="0.35">
      <c r="A2293" s="1">
        <v>43536</v>
      </c>
      <c r="C2293">
        <v>3303.95</v>
      </c>
      <c r="D2293">
        <f t="shared" si="461"/>
        <v>-1.4829633266143173E-4</v>
      </c>
      <c r="E2293" t="str">
        <f t="shared" si="455"/>
        <v>2019-03</v>
      </c>
      <c r="G2293">
        <v>5270.25</v>
      </c>
      <c r="H2293">
        <f t="shared" si="462"/>
        <v>8.143346112260948E-4</v>
      </c>
      <c r="I2293" t="str">
        <f t="shared" si="456"/>
        <v>2019-03</v>
      </c>
      <c r="K2293">
        <v>11524.17</v>
      </c>
      <c r="L2293">
        <f t="shared" si="463"/>
        <v>-1.6742064762072079E-3</v>
      </c>
      <c r="M2293" t="str">
        <f t="shared" si="457"/>
        <v>2019-03</v>
      </c>
      <c r="O2293">
        <v>8279.8788999999997</v>
      </c>
      <c r="P2293">
        <f t="shared" si="464"/>
        <v>-6.9545382309257183E-3</v>
      </c>
      <c r="Q2293" t="str">
        <f t="shared" si="458"/>
        <v>2019-03</v>
      </c>
      <c r="S2293">
        <v>9161.7000000000007</v>
      </c>
      <c r="T2293">
        <f t="shared" si="465"/>
        <v>-1.1127112026450025E-3</v>
      </c>
      <c r="U2293" t="str">
        <f t="shared" si="459"/>
        <v>2019-03</v>
      </c>
      <c r="W2293">
        <v>20631.189999999999</v>
      </c>
      <c r="X2293">
        <f t="shared" si="466"/>
        <v>-3.4068817887139688E-4</v>
      </c>
      <c r="Y2293">
        <f t="shared" si="467"/>
        <v>-3.4063015124378331E-4</v>
      </c>
      <c r="Z2293" t="str">
        <f t="shared" si="460"/>
        <v>2019-03</v>
      </c>
    </row>
    <row r="2294" spans="1:26" x14ac:dyDescent="0.35">
      <c r="A2294" s="1">
        <v>43537</v>
      </c>
      <c r="C2294">
        <v>3323.45</v>
      </c>
      <c r="D2294">
        <f t="shared" si="461"/>
        <v>5.884677633096665E-3</v>
      </c>
      <c r="E2294" t="str">
        <f t="shared" si="455"/>
        <v>2019-03</v>
      </c>
      <c r="G2294">
        <v>5306.38</v>
      </c>
      <c r="H2294">
        <f t="shared" si="462"/>
        <v>6.8320704302068181E-3</v>
      </c>
      <c r="I2294" t="str">
        <f t="shared" si="456"/>
        <v>2019-03</v>
      </c>
      <c r="K2294">
        <v>11572.41</v>
      </c>
      <c r="L2294">
        <f t="shared" si="463"/>
        <v>4.177247899608303E-3</v>
      </c>
      <c r="M2294" t="str">
        <f t="shared" si="457"/>
        <v>2019-03</v>
      </c>
      <c r="O2294">
        <v>8362.6281099999997</v>
      </c>
      <c r="P2294">
        <f t="shared" si="464"/>
        <v>9.9444022321196982E-3</v>
      </c>
      <c r="Q2294" t="str">
        <f t="shared" si="458"/>
        <v>2019-03</v>
      </c>
      <c r="S2294">
        <v>9192.7000000000007</v>
      </c>
      <c r="T2294">
        <f t="shared" si="465"/>
        <v>3.3779398375387527E-3</v>
      </c>
      <c r="U2294" t="str">
        <f t="shared" si="459"/>
        <v>2019-03</v>
      </c>
      <c r="W2294">
        <v>20749.2</v>
      </c>
      <c r="X2294">
        <f t="shared" si="466"/>
        <v>5.7036833111031512E-3</v>
      </c>
      <c r="Y2294">
        <f t="shared" si="467"/>
        <v>5.7199802822814408E-3</v>
      </c>
      <c r="Z2294" t="str">
        <f t="shared" si="460"/>
        <v>2019-03</v>
      </c>
    </row>
    <row r="2295" spans="1:26" x14ac:dyDescent="0.35">
      <c r="A2295" s="1">
        <v>43538</v>
      </c>
      <c r="C2295">
        <v>3342.03</v>
      </c>
      <c r="D2295">
        <f t="shared" si="461"/>
        <v>5.5750067881864462E-3</v>
      </c>
      <c r="E2295" t="str">
        <f t="shared" si="455"/>
        <v>2019-03</v>
      </c>
      <c r="G2295">
        <v>5349.78</v>
      </c>
      <c r="H2295">
        <f t="shared" si="462"/>
        <v>8.1455683785896463E-3</v>
      </c>
      <c r="I2295" t="str">
        <f t="shared" si="456"/>
        <v>2019-03</v>
      </c>
      <c r="K2295">
        <v>11587.47</v>
      </c>
      <c r="L2295">
        <f t="shared" si="463"/>
        <v>1.3005250564909544E-3</v>
      </c>
      <c r="M2295" t="str">
        <f t="shared" si="457"/>
        <v>2019-03</v>
      </c>
      <c r="O2295">
        <v>8431.2267400000001</v>
      </c>
      <c r="P2295">
        <f t="shared" si="464"/>
        <v>8.1695372673706943E-3</v>
      </c>
      <c r="Q2295" t="str">
        <f t="shared" si="458"/>
        <v>2019-03</v>
      </c>
      <c r="S2295">
        <v>9209.7999999999993</v>
      </c>
      <c r="T2295">
        <f t="shared" si="465"/>
        <v>1.8584436812043754E-3</v>
      </c>
      <c r="U2295" t="str">
        <f t="shared" si="459"/>
        <v>2019-03</v>
      </c>
      <c r="W2295">
        <v>20877.43</v>
      </c>
      <c r="X2295">
        <f t="shared" si="466"/>
        <v>6.1609794311503104E-3</v>
      </c>
      <c r="Y2295">
        <f t="shared" si="467"/>
        <v>6.1799973011007437E-3</v>
      </c>
      <c r="Z2295" t="str">
        <f t="shared" si="460"/>
        <v>2019-03</v>
      </c>
    </row>
    <row r="2296" spans="1:26" x14ac:dyDescent="0.35">
      <c r="A2296" s="1">
        <v>43539</v>
      </c>
      <c r="C2296">
        <v>3386.08</v>
      </c>
      <c r="D2296">
        <f t="shared" si="461"/>
        <v>1.3094503336412096E-2</v>
      </c>
      <c r="E2296" t="str">
        <f t="shared" si="455"/>
        <v>2019-03</v>
      </c>
      <c r="G2296">
        <v>5405.32</v>
      </c>
      <c r="H2296">
        <f t="shared" si="462"/>
        <v>1.0328215211914619E-2</v>
      </c>
      <c r="I2296" t="str">
        <f t="shared" si="456"/>
        <v>2019-03</v>
      </c>
      <c r="K2296">
        <v>11685.69</v>
      </c>
      <c r="L2296">
        <f t="shared" si="463"/>
        <v>8.4406744197615853E-3</v>
      </c>
      <c r="M2296" t="str">
        <f t="shared" si="457"/>
        <v>2019-03</v>
      </c>
      <c r="O2296">
        <v>8483.0123500000009</v>
      </c>
      <c r="P2296">
        <f t="shared" si="464"/>
        <v>6.1233344915813939E-3</v>
      </c>
      <c r="Q2296" t="str">
        <f t="shared" si="458"/>
        <v>2019-03</v>
      </c>
      <c r="S2296">
        <v>9342.2000000000007</v>
      </c>
      <c r="T2296">
        <f t="shared" si="465"/>
        <v>1.4273636037854181E-2</v>
      </c>
      <c r="U2296" t="str">
        <f t="shared" si="459"/>
        <v>2019-03</v>
      </c>
      <c r="W2296">
        <v>21045.41</v>
      </c>
      <c r="X2296">
        <f t="shared" si="466"/>
        <v>8.0138129472513871E-3</v>
      </c>
      <c r="Y2296">
        <f t="shared" si="467"/>
        <v>8.0460094944636174E-3</v>
      </c>
      <c r="Z2296" t="str">
        <f t="shared" si="460"/>
        <v>2019-03</v>
      </c>
    </row>
    <row r="2297" spans="1:26" x14ac:dyDescent="0.35">
      <c r="A2297" s="1">
        <v>43542</v>
      </c>
      <c r="C2297">
        <v>3387.94</v>
      </c>
      <c r="D2297">
        <f t="shared" si="461"/>
        <v>5.4915693982131037E-4</v>
      </c>
      <c r="E2297" t="str">
        <f t="shared" si="455"/>
        <v>2019-03</v>
      </c>
      <c r="G2297">
        <v>5412.83</v>
      </c>
      <c r="H2297">
        <f t="shared" si="462"/>
        <v>1.3884076679290674E-3</v>
      </c>
      <c r="I2297" t="str">
        <f t="shared" si="456"/>
        <v>2019-03</v>
      </c>
      <c r="K2297">
        <v>11657.06</v>
      </c>
      <c r="L2297">
        <f t="shared" si="463"/>
        <v>-2.4530112652698518E-3</v>
      </c>
      <c r="M2297" t="str">
        <f t="shared" si="457"/>
        <v>2019-03</v>
      </c>
      <c r="O2297">
        <v>8527.3199600000007</v>
      </c>
      <c r="P2297">
        <f t="shared" si="464"/>
        <v>5.2095055402377154E-3</v>
      </c>
      <c r="Q2297" t="str">
        <f t="shared" si="458"/>
        <v>2019-03</v>
      </c>
      <c r="S2297">
        <v>9409.1</v>
      </c>
      <c r="T2297">
        <f t="shared" si="465"/>
        <v>7.1355355474787786E-3</v>
      </c>
      <c r="U2297" t="str">
        <f t="shared" si="459"/>
        <v>2019-03</v>
      </c>
      <c r="W2297">
        <v>21234.61</v>
      </c>
      <c r="X2297">
        <f t="shared" si="466"/>
        <v>8.94991359622559E-3</v>
      </c>
      <c r="Y2297">
        <f t="shared" si="467"/>
        <v>8.9900838235035911E-3</v>
      </c>
      <c r="Z2297" t="str">
        <f t="shared" si="460"/>
        <v>2019-03</v>
      </c>
    </row>
    <row r="2298" spans="1:26" x14ac:dyDescent="0.35">
      <c r="A2298" s="1">
        <v>43543</v>
      </c>
      <c r="C2298">
        <v>3409</v>
      </c>
      <c r="D2298">
        <f t="shared" si="461"/>
        <v>6.1969260859383833E-3</v>
      </c>
      <c r="E2298" t="str">
        <f t="shared" si="455"/>
        <v>2019-03</v>
      </c>
      <c r="G2298">
        <v>5425.9</v>
      </c>
      <c r="H2298">
        <f t="shared" si="462"/>
        <v>2.4117228374607269E-3</v>
      </c>
      <c r="I2298" t="str">
        <f t="shared" si="456"/>
        <v>2019-03</v>
      </c>
      <c r="K2298">
        <v>11788.41</v>
      </c>
      <c r="L2298">
        <f t="shared" si="463"/>
        <v>1.1204840357604688E-2</v>
      </c>
      <c r="M2298" t="str">
        <f t="shared" si="457"/>
        <v>2019-03</v>
      </c>
      <c r="O2298">
        <v>8559.2880000000005</v>
      </c>
      <c r="P2298">
        <f t="shared" si="464"/>
        <v>3.7418869064534208E-3</v>
      </c>
      <c r="Q2298" t="str">
        <f t="shared" si="458"/>
        <v>2019-03</v>
      </c>
      <c r="S2298">
        <v>9492.2999999999993</v>
      </c>
      <c r="T2298">
        <f t="shared" si="465"/>
        <v>8.8036375464894071E-3</v>
      </c>
      <c r="U2298" t="str">
        <f t="shared" si="459"/>
        <v>2019-03</v>
      </c>
      <c r="W2298">
        <v>21430.35</v>
      </c>
      <c r="X2298">
        <f t="shared" si="466"/>
        <v>9.1757439053986832E-3</v>
      </c>
      <c r="Y2298">
        <f t="shared" si="467"/>
        <v>9.2179700969312814E-3</v>
      </c>
      <c r="Z2298" t="str">
        <f t="shared" si="460"/>
        <v>2019-03</v>
      </c>
    </row>
    <row r="2299" spans="1:26" x14ac:dyDescent="0.35">
      <c r="A2299" s="1">
        <v>43544</v>
      </c>
      <c r="C2299">
        <v>3372.38</v>
      </c>
      <c r="D2299">
        <f t="shared" si="461"/>
        <v>-1.0800266601571237E-2</v>
      </c>
      <c r="E2299" t="str">
        <f t="shared" si="455"/>
        <v>2019-03</v>
      </c>
      <c r="G2299">
        <v>5382.66</v>
      </c>
      <c r="H2299">
        <f t="shared" si="462"/>
        <v>-8.0011085060360462E-3</v>
      </c>
      <c r="I2299" t="str">
        <f t="shared" si="456"/>
        <v>2019-03</v>
      </c>
      <c r="K2299">
        <v>11603.89</v>
      </c>
      <c r="L2299">
        <f t="shared" si="463"/>
        <v>-1.5776458679558899E-2</v>
      </c>
      <c r="M2299" t="str">
        <f t="shared" si="457"/>
        <v>2019-03</v>
      </c>
      <c r="O2299">
        <v>8462.5272800000002</v>
      </c>
      <c r="P2299">
        <f t="shared" si="464"/>
        <v>-1.136914725723593E-2</v>
      </c>
      <c r="Q2299" t="str">
        <f t="shared" si="458"/>
        <v>2019-03</v>
      </c>
      <c r="S2299">
        <v>9405.6</v>
      </c>
      <c r="T2299">
        <f t="shared" si="465"/>
        <v>-9.1756870652564514E-3</v>
      </c>
      <c r="U2299" t="str">
        <f t="shared" si="459"/>
        <v>2019-03</v>
      </c>
      <c r="W2299">
        <v>21330.21</v>
      </c>
      <c r="X2299">
        <f t="shared" si="466"/>
        <v>-4.6837638735120462E-3</v>
      </c>
      <c r="Y2299">
        <f t="shared" si="467"/>
        <v>-4.6728121565909764E-3</v>
      </c>
      <c r="Z2299" t="str">
        <f t="shared" si="460"/>
        <v>2019-03</v>
      </c>
    </row>
    <row r="2300" spans="1:26" x14ac:dyDescent="0.35">
      <c r="A2300" s="1">
        <v>43545</v>
      </c>
      <c r="C2300">
        <v>3367.4</v>
      </c>
      <c r="D2300">
        <f t="shared" si="461"/>
        <v>-1.4777933126324967E-3</v>
      </c>
      <c r="E2300" t="str">
        <f t="shared" si="455"/>
        <v>2019-03</v>
      </c>
      <c r="G2300">
        <v>5378.85</v>
      </c>
      <c r="H2300">
        <f t="shared" si="462"/>
        <v>-7.0807910027242417E-4</v>
      </c>
      <c r="I2300" t="str">
        <f t="shared" si="456"/>
        <v>2019-03</v>
      </c>
      <c r="K2300">
        <v>11549.96</v>
      </c>
      <c r="L2300">
        <f t="shared" si="463"/>
        <v>-4.6584129660534003E-3</v>
      </c>
      <c r="M2300" t="str">
        <f t="shared" si="457"/>
        <v>2019-03</v>
      </c>
      <c r="O2300">
        <v>8461.8782599999995</v>
      </c>
      <c r="P2300">
        <f t="shared" si="464"/>
        <v>-7.6696342307013151E-5</v>
      </c>
      <c r="Q2300" t="str">
        <f t="shared" si="458"/>
        <v>2019-03</v>
      </c>
      <c r="S2300">
        <v>9355.6</v>
      </c>
      <c r="T2300">
        <f t="shared" si="465"/>
        <v>-5.3301620767924919E-3</v>
      </c>
      <c r="U2300" t="str">
        <f t="shared" si="459"/>
        <v>2019-03</v>
      </c>
      <c r="W2300">
        <v>21373.06</v>
      </c>
      <c r="X2300">
        <f t="shared" si="466"/>
        <v>2.0068727468257434E-3</v>
      </c>
      <c r="Y2300">
        <f t="shared" si="467"/>
        <v>2.0088878637389029E-3</v>
      </c>
      <c r="Z2300" t="str">
        <f t="shared" si="460"/>
        <v>2019-03</v>
      </c>
    </row>
    <row r="2301" spans="1:26" x14ac:dyDescent="0.35">
      <c r="A2301" s="1">
        <v>43546</v>
      </c>
      <c r="C2301">
        <v>3305.73</v>
      </c>
      <c r="D2301">
        <f t="shared" si="461"/>
        <v>-1.848360686935073E-2</v>
      </c>
      <c r="E2301" t="str">
        <f t="shared" si="455"/>
        <v>2019-03</v>
      </c>
      <c r="G2301">
        <v>5269.92</v>
      </c>
      <c r="H2301">
        <f t="shared" si="462"/>
        <v>-2.0459414505677471E-2</v>
      </c>
      <c r="I2301" t="str">
        <f t="shared" si="456"/>
        <v>2019-03</v>
      </c>
      <c r="K2301">
        <v>11364.17</v>
      </c>
      <c r="L2301">
        <f t="shared" si="463"/>
        <v>-1.6216550356998073E-2</v>
      </c>
      <c r="M2301" t="str">
        <f t="shared" si="457"/>
        <v>2019-03</v>
      </c>
      <c r="O2301">
        <v>8422.3595299999997</v>
      </c>
      <c r="P2301">
        <f t="shared" si="464"/>
        <v>-4.6811473110541738E-3</v>
      </c>
      <c r="Q2301" t="str">
        <f t="shared" si="458"/>
        <v>2019-03</v>
      </c>
      <c r="S2301">
        <v>9199.4</v>
      </c>
      <c r="T2301">
        <f t="shared" si="465"/>
        <v>-1.6836829957658155E-2</v>
      </c>
      <c r="U2301" t="str">
        <f t="shared" si="459"/>
        <v>2019-03</v>
      </c>
      <c r="W2301">
        <v>21078.76</v>
      </c>
      <c r="X2301">
        <f t="shared" si="466"/>
        <v>-1.3865352056368564E-2</v>
      </c>
      <c r="Y2301">
        <f t="shared" si="467"/>
        <v>-1.3769670791173697E-2</v>
      </c>
      <c r="Z2301" t="str">
        <f t="shared" si="460"/>
        <v>2019-03</v>
      </c>
    </row>
    <row r="2302" spans="1:26" x14ac:dyDescent="0.35">
      <c r="A2302" s="1">
        <v>43549</v>
      </c>
      <c r="C2302">
        <v>3300.48</v>
      </c>
      <c r="D2302">
        <f t="shared" si="461"/>
        <v>-1.5894139318091579E-3</v>
      </c>
      <c r="E2302" t="str">
        <f t="shared" si="455"/>
        <v>2019-03</v>
      </c>
      <c r="G2302">
        <v>5260.64</v>
      </c>
      <c r="H2302">
        <f t="shared" si="462"/>
        <v>-1.7624898205336405E-3</v>
      </c>
      <c r="I2302" t="str">
        <f t="shared" si="456"/>
        <v>2019-03</v>
      </c>
      <c r="K2302">
        <v>11346.65</v>
      </c>
      <c r="L2302">
        <f t="shared" si="463"/>
        <v>-1.5428772255238817E-3</v>
      </c>
      <c r="M2302" t="str">
        <f t="shared" si="457"/>
        <v>2019-03</v>
      </c>
      <c r="O2302">
        <v>8361.0530299999991</v>
      </c>
      <c r="P2302">
        <f t="shared" si="464"/>
        <v>-7.3056385229493346E-3</v>
      </c>
      <c r="Q2302" t="str">
        <f t="shared" si="458"/>
        <v>2019-03</v>
      </c>
      <c r="S2302">
        <v>9179.9</v>
      </c>
      <c r="T2302">
        <f t="shared" si="465"/>
        <v>-2.1219532100638242E-3</v>
      </c>
      <c r="U2302" t="str">
        <f t="shared" si="459"/>
        <v>2019-03</v>
      </c>
      <c r="W2302">
        <v>21059.599999999999</v>
      </c>
      <c r="X2302">
        <f t="shared" si="466"/>
        <v>-9.0938524045140582E-4</v>
      </c>
      <c r="Y2302">
        <f t="shared" si="467"/>
        <v>-9.0897187500592336E-4</v>
      </c>
      <c r="Z2302" t="str">
        <f t="shared" si="460"/>
        <v>2019-03</v>
      </c>
    </row>
    <row r="2303" spans="1:26" x14ac:dyDescent="0.35">
      <c r="A2303" s="1">
        <v>43550</v>
      </c>
      <c r="C2303">
        <v>3319.53</v>
      </c>
      <c r="D2303">
        <f t="shared" si="461"/>
        <v>5.7552942014850901E-3</v>
      </c>
      <c r="E2303" t="str">
        <f t="shared" si="455"/>
        <v>2019-03</v>
      </c>
      <c r="G2303">
        <v>5307.38</v>
      </c>
      <c r="H2303">
        <f t="shared" si="462"/>
        <v>8.8456124729765079E-3</v>
      </c>
      <c r="I2303" t="str">
        <f t="shared" si="456"/>
        <v>2019-03</v>
      </c>
      <c r="K2303">
        <v>11419.48</v>
      </c>
      <c r="L2303">
        <f t="shared" si="463"/>
        <v>6.3981228647198435E-3</v>
      </c>
      <c r="M2303" t="str">
        <f t="shared" si="457"/>
        <v>2019-03</v>
      </c>
      <c r="O2303">
        <v>8432.9829300000001</v>
      </c>
      <c r="P2303">
        <f t="shared" si="464"/>
        <v>8.5661767092115072E-3</v>
      </c>
      <c r="Q2303" t="str">
        <f t="shared" si="458"/>
        <v>2019-03</v>
      </c>
      <c r="S2303">
        <v>9183.1</v>
      </c>
      <c r="T2303">
        <f t="shared" si="465"/>
        <v>3.4852693267914392E-4</v>
      </c>
      <c r="U2303" t="str">
        <f t="shared" si="459"/>
        <v>2019-03</v>
      </c>
      <c r="W2303">
        <v>21139.4</v>
      </c>
      <c r="X2303">
        <f t="shared" si="466"/>
        <v>3.7820846523697145E-3</v>
      </c>
      <c r="Y2303">
        <f t="shared" si="467"/>
        <v>3.7892457596536929E-3</v>
      </c>
      <c r="Z2303" t="str">
        <f t="shared" si="460"/>
        <v>2019-03</v>
      </c>
    </row>
    <row r="2304" spans="1:26" x14ac:dyDescent="0.35">
      <c r="A2304" s="1">
        <v>43551</v>
      </c>
      <c r="C2304">
        <v>3322.04</v>
      </c>
      <c r="D2304">
        <f t="shared" si="461"/>
        <v>7.5584541591735882E-4</v>
      </c>
      <c r="E2304" t="str">
        <f t="shared" si="455"/>
        <v>2019-03</v>
      </c>
      <c r="G2304">
        <v>5301.24</v>
      </c>
      <c r="H2304">
        <f t="shared" si="462"/>
        <v>-1.1575493675130041E-3</v>
      </c>
      <c r="I2304" t="str">
        <f t="shared" si="456"/>
        <v>2019-03</v>
      </c>
      <c r="K2304">
        <v>11419.04</v>
      </c>
      <c r="L2304">
        <f t="shared" si="463"/>
        <v>-3.8531393457513025E-5</v>
      </c>
      <c r="M2304" t="str">
        <f t="shared" si="457"/>
        <v>2019-03</v>
      </c>
      <c r="O2304">
        <v>8450.3285599999999</v>
      </c>
      <c r="P2304">
        <f t="shared" si="464"/>
        <v>2.0547670536246593E-3</v>
      </c>
      <c r="Q2304" t="str">
        <f t="shared" si="458"/>
        <v>2019-03</v>
      </c>
      <c r="S2304">
        <v>9229.9</v>
      </c>
      <c r="T2304">
        <f t="shared" si="465"/>
        <v>5.083375960324708E-3</v>
      </c>
      <c r="U2304" t="str">
        <f t="shared" si="459"/>
        <v>2019-03</v>
      </c>
      <c r="W2304">
        <v>21194.19</v>
      </c>
      <c r="X2304">
        <f t="shared" si="466"/>
        <v>2.5884896883232207E-3</v>
      </c>
      <c r="Y2304">
        <f t="shared" si="467"/>
        <v>2.5918427202284468E-3</v>
      </c>
      <c r="Z2304" t="str">
        <f t="shared" si="460"/>
        <v>2019-03</v>
      </c>
    </row>
    <row r="2305" spans="1:26" x14ac:dyDescent="0.35">
      <c r="A2305" s="1">
        <v>43552</v>
      </c>
      <c r="C2305">
        <v>3320.29</v>
      </c>
      <c r="D2305">
        <f t="shared" si="461"/>
        <v>-5.2692354655377272E-4</v>
      </c>
      <c r="E2305" t="str">
        <f t="shared" si="455"/>
        <v>2019-03</v>
      </c>
      <c r="G2305">
        <v>5296.54</v>
      </c>
      <c r="H2305">
        <f t="shared" si="462"/>
        <v>-8.8697827434352226E-4</v>
      </c>
      <c r="I2305" t="str">
        <f t="shared" si="456"/>
        <v>2019-03</v>
      </c>
      <c r="K2305">
        <v>11428.16</v>
      </c>
      <c r="L2305">
        <f t="shared" si="463"/>
        <v>7.9834732347005373E-4</v>
      </c>
      <c r="M2305" t="str">
        <f t="shared" si="457"/>
        <v>2019-03</v>
      </c>
      <c r="O2305">
        <v>8417.1928599999992</v>
      </c>
      <c r="P2305">
        <f t="shared" si="464"/>
        <v>-3.9289403345099975E-3</v>
      </c>
      <c r="Q2305" t="str">
        <f t="shared" si="458"/>
        <v>2019-03</v>
      </c>
      <c r="S2305">
        <v>9174.7000000000007</v>
      </c>
      <c r="T2305">
        <f t="shared" si="465"/>
        <v>-5.9985183615100359E-3</v>
      </c>
      <c r="U2305" t="str">
        <f t="shared" si="459"/>
        <v>2019-03</v>
      </c>
      <c r="W2305">
        <v>21080.97</v>
      </c>
      <c r="X2305">
        <f t="shared" si="466"/>
        <v>-5.3563497190581514E-3</v>
      </c>
      <c r="Y2305">
        <f t="shared" si="467"/>
        <v>-5.3420300563502329E-3</v>
      </c>
      <c r="Z2305" t="str">
        <f t="shared" si="460"/>
        <v>2019-03</v>
      </c>
    </row>
    <row r="2306" spans="1:26" x14ac:dyDescent="0.35">
      <c r="A2306" s="1">
        <v>43553</v>
      </c>
      <c r="C2306">
        <v>3351.71</v>
      </c>
      <c r="D2306">
        <f t="shared" si="461"/>
        <v>9.4185348527762169E-3</v>
      </c>
      <c r="E2306" t="str">
        <f t="shared" si="455"/>
        <v>2019-03</v>
      </c>
      <c r="G2306">
        <v>5350.53</v>
      </c>
      <c r="H2306">
        <f t="shared" si="462"/>
        <v>1.0141844238840032E-2</v>
      </c>
      <c r="I2306" t="str">
        <f t="shared" si="456"/>
        <v>2019-03</v>
      </c>
      <c r="K2306">
        <v>11526.04</v>
      </c>
      <c r="L2306">
        <f t="shared" si="463"/>
        <v>8.5283384526145603E-3</v>
      </c>
      <c r="M2306" t="str">
        <f t="shared" si="457"/>
        <v>2019-03</v>
      </c>
      <c r="O2306">
        <v>8428.7065000000002</v>
      </c>
      <c r="P2306">
        <f t="shared" si="464"/>
        <v>1.3669370268381033E-3</v>
      </c>
      <c r="Q2306" t="str">
        <f t="shared" si="458"/>
        <v>2019-03</v>
      </c>
      <c r="S2306">
        <v>9240.2999999999993</v>
      </c>
      <c r="T2306">
        <f t="shared" si="465"/>
        <v>7.124656800627592E-3</v>
      </c>
      <c r="U2306" t="str">
        <f t="shared" si="459"/>
        <v>2019-03</v>
      </c>
      <c r="W2306">
        <v>21286.13</v>
      </c>
      <c r="X2306">
        <f t="shared" si="466"/>
        <v>9.6849491060148462E-3</v>
      </c>
      <c r="Y2306">
        <f t="shared" si="467"/>
        <v>9.7319999981025467E-3</v>
      </c>
      <c r="Z2306" t="str">
        <f t="shared" si="460"/>
        <v>2019-03</v>
      </c>
    </row>
    <row r="2307" spans="1:26" x14ac:dyDescent="0.35">
      <c r="A2307" s="1">
        <v>43556</v>
      </c>
      <c r="C2307">
        <v>3385.38</v>
      </c>
      <c r="D2307">
        <f t="shared" si="461"/>
        <v>9.9954966699900248E-3</v>
      </c>
      <c r="E2307" t="str">
        <f t="shared" si="455"/>
        <v>2019-04</v>
      </c>
      <c r="G2307">
        <v>5405.53</v>
      </c>
      <c r="H2307">
        <f t="shared" si="462"/>
        <v>1.0226882216343942E-2</v>
      </c>
      <c r="I2307" t="str">
        <f t="shared" si="456"/>
        <v>2019-04</v>
      </c>
      <c r="K2307">
        <v>11681.99</v>
      </c>
      <c r="L2307">
        <f t="shared" si="463"/>
        <v>1.3439516176778708E-2</v>
      </c>
      <c r="M2307" t="str">
        <f t="shared" si="457"/>
        <v>2019-04</v>
      </c>
      <c r="O2307">
        <v>8566.5454399999999</v>
      </c>
      <c r="P2307">
        <f t="shared" si="464"/>
        <v>1.6221232014446654E-2</v>
      </c>
      <c r="Q2307" t="str">
        <f t="shared" si="458"/>
        <v>2019-04</v>
      </c>
      <c r="S2307">
        <v>9341.7000000000007</v>
      </c>
      <c r="T2307">
        <f t="shared" si="465"/>
        <v>1.0913895867387099E-2</v>
      </c>
      <c r="U2307" t="str">
        <f t="shared" si="459"/>
        <v>2019-04</v>
      </c>
      <c r="W2307">
        <v>21520.25</v>
      </c>
      <c r="X2307">
        <f t="shared" si="466"/>
        <v>1.0938665425701086E-2</v>
      </c>
      <c r="Y2307">
        <f t="shared" si="467"/>
        <v>1.0998711367449085E-2</v>
      </c>
      <c r="Z2307" t="str">
        <f t="shared" si="460"/>
        <v>2019-04</v>
      </c>
    </row>
    <row r="2308" spans="1:26" x14ac:dyDescent="0.35">
      <c r="A2308" s="1">
        <v>43557</v>
      </c>
      <c r="C2308">
        <v>3395.7</v>
      </c>
      <c r="D2308">
        <f t="shared" si="461"/>
        <v>3.0437652903298499E-3</v>
      </c>
      <c r="E2308" t="str">
        <f t="shared" ref="E2308:E2371" si="468">_xlfn.CONCAT(YEAR(A2308),"-",TEXT(MONTH(A2308),"00"))</f>
        <v>2019-04</v>
      </c>
      <c r="G2308">
        <v>5423.47</v>
      </c>
      <c r="H2308">
        <f t="shared" si="462"/>
        <v>3.3133283613119837E-3</v>
      </c>
      <c r="I2308" t="str">
        <f t="shared" ref="I2308:I2371" si="469">_xlfn.CONCAT(YEAR(A2308),"-",TEXT(MONTH(A2308),"00"))</f>
        <v>2019-04</v>
      </c>
      <c r="K2308">
        <v>11754.79</v>
      </c>
      <c r="L2308">
        <f t="shared" si="463"/>
        <v>6.2124774941013884E-3</v>
      </c>
      <c r="M2308" t="str">
        <f t="shared" ref="M2308:M2371" si="470">_xlfn.CONCAT(YEAR(A2308),"-",TEXT(MONTH(A2308),"00"))</f>
        <v>2019-04</v>
      </c>
      <c r="O2308">
        <v>8632.1046900000001</v>
      </c>
      <c r="P2308">
        <f t="shared" si="464"/>
        <v>7.6238038500088378E-3</v>
      </c>
      <c r="Q2308" t="str">
        <f t="shared" ref="Q2308:Q2371" si="471">_xlfn.CONCAT(YEAR(A2308),"-",TEXT(MONTH(A2308),"00"))</f>
        <v>2019-04</v>
      </c>
      <c r="S2308">
        <v>9363.5</v>
      </c>
      <c r="T2308">
        <f t="shared" si="465"/>
        <v>2.3309036920376031E-3</v>
      </c>
      <c r="U2308" t="str">
        <f t="shared" ref="U2308:U2371" si="472">_xlfn.CONCAT(YEAR(A2308),"-",TEXT(MONTH(A2308),"00"))</f>
        <v>2019-04</v>
      </c>
      <c r="W2308">
        <v>21522.92</v>
      </c>
      <c r="X2308">
        <f t="shared" si="466"/>
        <v>1.240614947004052E-4</v>
      </c>
      <c r="Y2308">
        <f t="shared" si="467"/>
        <v>1.2406919064593831E-4</v>
      </c>
      <c r="Z2308" t="str">
        <f t="shared" ref="Z2308:Z2371" si="473">_xlfn.CONCAT(YEAR(A2308),"-",TEXT(MONTH(A2308),"00"))</f>
        <v>2019-04</v>
      </c>
    </row>
    <row r="2309" spans="1:26" x14ac:dyDescent="0.35">
      <c r="A2309" s="1">
        <v>43558</v>
      </c>
      <c r="C2309">
        <v>3435.56</v>
      </c>
      <c r="D2309">
        <f t="shared" ref="D2309:D2372" si="474">LN(C2309/C2308)</f>
        <v>1.1670014718878864E-2</v>
      </c>
      <c r="E2309" t="str">
        <f t="shared" si="468"/>
        <v>2019-04</v>
      </c>
      <c r="G2309">
        <v>5468.91</v>
      </c>
      <c r="H2309">
        <f t="shared" ref="H2309:H2372" si="475">LN(G2309/G2308)</f>
        <v>8.3434958391856977E-3</v>
      </c>
      <c r="I2309" t="str">
        <f t="shared" si="469"/>
        <v>2019-04</v>
      </c>
      <c r="K2309">
        <v>11954.4</v>
      </c>
      <c r="L2309">
        <f t="shared" ref="L2309:L2372" si="476">LN(K2309/K2308)</f>
        <v>1.6838594350998829E-2</v>
      </c>
      <c r="M2309" t="str">
        <f t="shared" si="470"/>
        <v>2019-04</v>
      </c>
      <c r="O2309">
        <v>8688.9672399999999</v>
      </c>
      <c r="P2309">
        <f t="shared" ref="P2309:P2372" si="477">LN(O2309/O2308)</f>
        <v>6.5657315555092957E-3</v>
      </c>
      <c r="Q2309" t="str">
        <f t="shared" si="471"/>
        <v>2019-04</v>
      </c>
      <c r="S2309">
        <v>9487.7999999999993</v>
      </c>
      <c r="T2309">
        <f t="shared" ref="T2309:T2372" si="478">LN(S2309/S2308)</f>
        <v>1.3187610556762763E-2</v>
      </c>
      <c r="U2309" t="str">
        <f t="shared" si="472"/>
        <v>2019-04</v>
      </c>
      <c r="W2309">
        <v>21755.88</v>
      </c>
      <c r="X2309">
        <f t="shared" ref="X2309:X2372" si="479">LN(W2309/W2308)</f>
        <v>1.0765652004523483E-2</v>
      </c>
      <c r="Y2309">
        <f t="shared" ref="Y2309:Y2372" si="480">(W2309-W2308)/W2308</f>
        <v>1.0823810152154206E-2</v>
      </c>
      <c r="Z2309" t="str">
        <f t="shared" si="473"/>
        <v>2019-04</v>
      </c>
    </row>
    <row r="2310" spans="1:26" x14ac:dyDescent="0.35">
      <c r="A2310" s="1">
        <v>43559</v>
      </c>
      <c r="C2310">
        <v>3441.93</v>
      </c>
      <c r="D2310">
        <f t="shared" si="474"/>
        <v>1.8524205259576321E-3</v>
      </c>
      <c r="E2310" t="str">
        <f t="shared" si="468"/>
        <v>2019-04</v>
      </c>
      <c r="G2310">
        <v>5463.8</v>
      </c>
      <c r="H2310">
        <f t="shared" si="475"/>
        <v>-9.3480946117154354E-4</v>
      </c>
      <c r="I2310" t="str">
        <f t="shared" si="469"/>
        <v>2019-04</v>
      </c>
      <c r="K2310">
        <v>11988.01</v>
      </c>
      <c r="L2310">
        <f t="shared" si="476"/>
        <v>2.8075721765234833E-3</v>
      </c>
      <c r="M2310" t="str">
        <f t="shared" si="470"/>
        <v>2019-04</v>
      </c>
      <c r="O2310">
        <v>8631.0882500000007</v>
      </c>
      <c r="P2310">
        <f t="shared" si="477"/>
        <v>-6.6834896092722246E-3</v>
      </c>
      <c r="Q2310" t="str">
        <f t="shared" si="471"/>
        <v>2019-04</v>
      </c>
      <c r="S2310">
        <v>9534.1</v>
      </c>
      <c r="T2310">
        <f t="shared" si="478"/>
        <v>4.8680827294470775E-3</v>
      </c>
      <c r="U2310" t="str">
        <f t="shared" si="472"/>
        <v>2019-04</v>
      </c>
      <c r="W2310">
        <v>21705.599999999999</v>
      </c>
      <c r="X2310">
        <f t="shared" si="479"/>
        <v>-2.3137740560779862E-3</v>
      </c>
      <c r="Y2310">
        <f t="shared" si="480"/>
        <v>-2.3110993441774119E-3</v>
      </c>
      <c r="Z2310" t="str">
        <f t="shared" si="473"/>
        <v>2019-04</v>
      </c>
    </row>
    <row r="2311" spans="1:26" x14ac:dyDescent="0.35">
      <c r="A2311" s="1">
        <v>43560</v>
      </c>
      <c r="C2311">
        <v>3447.47</v>
      </c>
      <c r="D2311">
        <f t="shared" si="474"/>
        <v>1.608268120333469E-3</v>
      </c>
      <c r="E2311" t="str">
        <f t="shared" si="468"/>
        <v>2019-04</v>
      </c>
      <c r="G2311">
        <v>5476.2</v>
      </c>
      <c r="H2311">
        <f t="shared" si="475"/>
        <v>2.2669113912582536E-3</v>
      </c>
      <c r="I2311" t="str">
        <f t="shared" si="469"/>
        <v>2019-04</v>
      </c>
      <c r="K2311">
        <v>12009.75</v>
      </c>
      <c r="L2311">
        <f t="shared" si="476"/>
        <v>1.8118362669889577E-3</v>
      </c>
      <c r="M2311" t="str">
        <f t="shared" si="470"/>
        <v>2019-04</v>
      </c>
      <c r="O2311">
        <v>8642.0876499999995</v>
      </c>
      <c r="P2311">
        <f t="shared" si="477"/>
        <v>1.2735818300513753E-3</v>
      </c>
      <c r="Q2311" t="str">
        <f t="shared" si="471"/>
        <v>2019-04</v>
      </c>
      <c r="S2311">
        <v>9510.2999999999993</v>
      </c>
      <c r="T2311">
        <f t="shared" si="478"/>
        <v>-2.4994237035683314E-3</v>
      </c>
      <c r="U2311" t="str">
        <f t="shared" si="472"/>
        <v>2019-04</v>
      </c>
      <c r="W2311">
        <v>21758.61</v>
      </c>
      <c r="X2311">
        <f t="shared" si="479"/>
        <v>2.4392495013185562E-3</v>
      </c>
      <c r="Y2311">
        <f t="shared" si="480"/>
        <v>2.4422268907563966E-3</v>
      </c>
      <c r="Z2311" t="str">
        <f t="shared" si="473"/>
        <v>2019-04</v>
      </c>
    </row>
    <row r="2312" spans="1:26" x14ac:dyDescent="0.35">
      <c r="A2312" s="1">
        <v>43563</v>
      </c>
      <c r="C2312">
        <v>3438.06</v>
      </c>
      <c r="D2312">
        <f t="shared" si="474"/>
        <v>-2.7332698741631858E-3</v>
      </c>
      <c r="E2312" t="str">
        <f t="shared" si="468"/>
        <v>2019-04</v>
      </c>
      <c r="G2312">
        <v>5471.78</v>
      </c>
      <c r="H2312">
        <f t="shared" si="475"/>
        <v>-8.0745493509253345E-4</v>
      </c>
      <c r="I2312" t="str">
        <f t="shared" si="469"/>
        <v>2019-04</v>
      </c>
      <c r="K2312">
        <v>11963.4</v>
      </c>
      <c r="L2312">
        <f t="shared" si="476"/>
        <v>-3.8668308297871486E-3</v>
      </c>
      <c r="M2312" t="str">
        <f t="shared" si="470"/>
        <v>2019-04</v>
      </c>
      <c r="O2312">
        <v>8637.1022900000007</v>
      </c>
      <c r="P2312">
        <f t="shared" si="477"/>
        <v>-5.7703632585114507E-4</v>
      </c>
      <c r="Q2312" t="str">
        <f t="shared" si="471"/>
        <v>2019-04</v>
      </c>
      <c r="S2312">
        <v>9437.7000000000007</v>
      </c>
      <c r="T2312">
        <f t="shared" si="478"/>
        <v>-7.6631153974923783E-3</v>
      </c>
      <c r="U2312" t="str">
        <f t="shared" si="472"/>
        <v>2019-04</v>
      </c>
      <c r="W2312">
        <v>21771.96</v>
      </c>
      <c r="X2312">
        <f t="shared" si="479"/>
        <v>6.1336207720387741E-4</v>
      </c>
      <c r="Y2312">
        <f t="shared" si="480"/>
        <v>6.1355022218783945E-4</v>
      </c>
      <c r="Z2312" t="str">
        <f t="shared" si="473"/>
        <v>2019-04</v>
      </c>
    </row>
    <row r="2313" spans="1:26" x14ac:dyDescent="0.35">
      <c r="A2313" s="1">
        <v>43564</v>
      </c>
      <c r="C2313">
        <v>3417.22</v>
      </c>
      <c r="D2313">
        <f t="shared" si="474"/>
        <v>-6.0800037922172203E-3</v>
      </c>
      <c r="E2313" t="str">
        <f t="shared" si="468"/>
        <v>2019-04</v>
      </c>
      <c r="G2313">
        <v>5436.42</v>
      </c>
      <c r="H2313">
        <f t="shared" si="475"/>
        <v>-6.483218836211042E-3</v>
      </c>
      <c r="I2313" t="str">
        <f t="shared" si="469"/>
        <v>2019-04</v>
      </c>
      <c r="K2313">
        <v>11850.57</v>
      </c>
      <c r="L2313">
        <f t="shared" si="476"/>
        <v>-9.4760213686374221E-3</v>
      </c>
      <c r="M2313" t="str">
        <f t="shared" si="470"/>
        <v>2019-04</v>
      </c>
      <c r="O2313">
        <v>8588.4920099999999</v>
      </c>
      <c r="P2313">
        <f t="shared" si="477"/>
        <v>-5.6439746799033762E-3</v>
      </c>
      <c r="Q2313" t="str">
        <f t="shared" si="471"/>
        <v>2019-04</v>
      </c>
      <c r="S2313">
        <v>9407.7999999999993</v>
      </c>
      <c r="T2313">
        <f t="shared" si="478"/>
        <v>-3.1731739766704143E-3</v>
      </c>
      <c r="U2313" t="str">
        <f t="shared" si="472"/>
        <v>2019-04</v>
      </c>
      <c r="W2313">
        <v>21671.78</v>
      </c>
      <c r="X2313">
        <f t="shared" si="479"/>
        <v>-4.6119499642376851E-3</v>
      </c>
      <c r="Y2313">
        <f t="shared" si="480"/>
        <v>-4.601331253594086E-3</v>
      </c>
      <c r="Z2313" t="str">
        <f t="shared" si="473"/>
        <v>2019-04</v>
      </c>
    </row>
    <row r="2314" spans="1:26" x14ac:dyDescent="0.35">
      <c r="A2314" s="1">
        <v>43565</v>
      </c>
      <c r="C2314">
        <v>3424.65</v>
      </c>
      <c r="D2314">
        <f t="shared" si="474"/>
        <v>2.1719216882986137E-3</v>
      </c>
      <c r="E2314" t="str">
        <f t="shared" si="468"/>
        <v>2019-04</v>
      </c>
      <c r="G2314">
        <v>5449.88</v>
      </c>
      <c r="H2314">
        <f t="shared" si="475"/>
        <v>2.4728340866756013E-3</v>
      </c>
      <c r="I2314" t="str">
        <f t="shared" si="469"/>
        <v>2019-04</v>
      </c>
      <c r="K2314">
        <v>11905.91</v>
      </c>
      <c r="L2314">
        <f t="shared" si="476"/>
        <v>4.6589477986515209E-3</v>
      </c>
      <c r="M2314" t="str">
        <f t="shared" si="470"/>
        <v>2019-04</v>
      </c>
      <c r="O2314">
        <v>8631.0310200000004</v>
      </c>
      <c r="P2314">
        <f t="shared" si="477"/>
        <v>4.9407984718938145E-3</v>
      </c>
      <c r="Q2314" t="str">
        <f t="shared" si="471"/>
        <v>2019-04</v>
      </c>
      <c r="S2314">
        <v>9406.5</v>
      </c>
      <c r="T2314">
        <f t="shared" si="478"/>
        <v>-1.3819275785628357E-4</v>
      </c>
      <c r="U2314" t="str">
        <f t="shared" si="472"/>
        <v>2019-04</v>
      </c>
      <c r="W2314">
        <v>21671.759999999998</v>
      </c>
      <c r="X2314">
        <f t="shared" si="479"/>
        <v>-9.2285955417308538E-7</v>
      </c>
      <c r="Y2314">
        <f t="shared" si="480"/>
        <v>-9.2285912834278307E-7</v>
      </c>
      <c r="Z2314" t="str">
        <f t="shared" si="473"/>
        <v>2019-04</v>
      </c>
    </row>
    <row r="2315" spans="1:26" x14ac:dyDescent="0.35">
      <c r="A2315" s="1">
        <v>43566</v>
      </c>
      <c r="C2315">
        <v>3435.34</v>
      </c>
      <c r="D2315">
        <f t="shared" si="474"/>
        <v>3.1166251417207719E-3</v>
      </c>
      <c r="E2315" t="str">
        <f t="shared" si="468"/>
        <v>2019-04</v>
      </c>
      <c r="G2315">
        <v>5485.72</v>
      </c>
      <c r="H2315">
        <f t="shared" si="475"/>
        <v>6.5547621203704831E-3</v>
      </c>
      <c r="I2315" t="str">
        <f t="shared" si="469"/>
        <v>2019-04</v>
      </c>
      <c r="K2315">
        <v>11935.2</v>
      </c>
      <c r="L2315">
        <f t="shared" si="476"/>
        <v>2.4571015977160006E-3</v>
      </c>
      <c r="M2315" t="str">
        <f t="shared" si="470"/>
        <v>2019-04</v>
      </c>
      <c r="O2315">
        <v>8609.9087400000008</v>
      </c>
      <c r="P2315">
        <f t="shared" si="477"/>
        <v>-2.4502481722816979E-3</v>
      </c>
      <c r="Q2315" t="str">
        <f t="shared" si="471"/>
        <v>2019-04</v>
      </c>
      <c r="S2315">
        <v>9445.4</v>
      </c>
      <c r="T2315">
        <f t="shared" si="478"/>
        <v>4.1269108376431425E-3</v>
      </c>
      <c r="U2315" t="str">
        <f t="shared" si="472"/>
        <v>2019-04</v>
      </c>
      <c r="W2315">
        <v>21684.84</v>
      </c>
      <c r="X2315">
        <f t="shared" si="479"/>
        <v>6.0336836360872664E-4</v>
      </c>
      <c r="Y2315">
        <f t="shared" si="480"/>
        <v>6.0355042691510733E-4</v>
      </c>
      <c r="Z2315" t="str">
        <f t="shared" si="473"/>
        <v>2019-04</v>
      </c>
    </row>
    <row r="2316" spans="1:26" x14ac:dyDescent="0.35">
      <c r="A2316" s="1">
        <v>43567</v>
      </c>
      <c r="C2316">
        <v>3447.83</v>
      </c>
      <c r="D2316">
        <f t="shared" si="474"/>
        <v>3.6291457884956467E-3</v>
      </c>
      <c r="E2316" t="str">
        <f t="shared" si="468"/>
        <v>2019-04</v>
      </c>
      <c r="G2316">
        <v>5502.7</v>
      </c>
      <c r="H2316">
        <f t="shared" si="475"/>
        <v>3.0905286683948771E-3</v>
      </c>
      <c r="I2316" t="str">
        <f t="shared" si="469"/>
        <v>2019-04</v>
      </c>
      <c r="K2316">
        <v>11999.93</v>
      </c>
      <c r="L2316">
        <f t="shared" si="476"/>
        <v>5.4087993511514488E-3</v>
      </c>
      <c r="M2316" t="str">
        <f t="shared" si="470"/>
        <v>2019-04</v>
      </c>
      <c r="O2316">
        <v>8614.5890099999997</v>
      </c>
      <c r="P2316">
        <f t="shared" si="477"/>
        <v>5.434434354040171E-4</v>
      </c>
      <c r="Q2316" t="str">
        <f t="shared" si="471"/>
        <v>2019-04</v>
      </c>
      <c r="S2316">
        <v>9468.5</v>
      </c>
      <c r="T2316">
        <f t="shared" si="478"/>
        <v>2.4426492141312751E-3</v>
      </c>
      <c r="U2316" t="str">
        <f t="shared" si="472"/>
        <v>2019-04</v>
      </c>
      <c r="W2316">
        <v>21858.31</v>
      </c>
      <c r="X2316">
        <f t="shared" si="479"/>
        <v>7.9677707163105897E-3</v>
      </c>
      <c r="Y2316">
        <f t="shared" si="480"/>
        <v>7.9995978757510383E-3</v>
      </c>
      <c r="Z2316" t="str">
        <f t="shared" si="473"/>
        <v>2019-04</v>
      </c>
    </row>
    <row r="2317" spans="1:26" x14ac:dyDescent="0.35">
      <c r="A2317" s="1">
        <v>43570</v>
      </c>
      <c r="C2317">
        <v>3450.46</v>
      </c>
      <c r="D2317">
        <f t="shared" si="474"/>
        <v>7.6250784685116986E-4</v>
      </c>
      <c r="E2317" t="str">
        <f t="shared" si="468"/>
        <v>2019-04</v>
      </c>
      <c r="G2317">
        <v>5508.73</v>
      </c>
      <c r="H2317">
        <f t="shared" si="475"/>
        <v>1.0952257068805513E-3</v>
      </c>
      <c r="I2317" t="str">
        <f t="shared" si="469"/>
        <v>2019-04</v>
      </c>
      <c r="K2317">
        <v>12020.28</v>
      </c>
      <c r="L2317">
        <f t="shared" si="476"/>
        <v>1.694406907247012E-3</v>
      </c>
      <c r="M2317" t="str">
        <f t="shared" si="470"/>
        <v>2019-04</v>
      </c>
      <c r="O2317">
        <v>8621.4284900000002</v>
      </c>
      <c r="P2317">
        <f t="shared" si="477"/>
        <v>7.9362652758773529E-4</v>
      </c>
      <c r="Q2317" t="str">
        <f t="shared" si="471"/>
        <v>2019-04</v>
      </c>
      <c r="S2317">
        <v>9497.1</v>
      </c>
      <c r="T2317">
        <f t="shared" si="478"/>
        <v>3.0159891254956466E-3</v>
      </c>
      <c r="U2317" t="str">
        <f t="shared" si="472"/>
        <v>2019-04</v>
      </c>
      <c r="W2317">
        <v>21892.42</v>
      </c>
      <c r="X2317">
        <f t="shared" si="479"/>
        <v>1.5592885838108901E-3</v>
      </c>
      <c r="Y2317">
        <f t="shared" si="480"/>
        <v>1.5605049063718531E-3</v>
      </c>
      <c r="Z2317" t="str">
        <f t="shared" si="473"/>
        <v>2019-04</v>
      </c>
    </row>
    <row r="2318" spans="1:26" x14ac:dyDescent="0.35">
      <c r="A2318" s="1">
        <v>43571</v>
      </c>
      <c r="C2318">
        <v>3463.36</v>
      </c>
      <c r="D2318">
        <f t="shared" si="474"/>
        <v>3.7316606361417169E-3</v>
      </c>
      <c r="E2318" t="str">
        <f t="shared" si="468"/>
        <v>2019-04</v>
      </c>
      <c r="G2318">
        <v>5528.67</v>
      </c>
      <c r="H2318">
        <f t="shared" si="475"/>
        <v>3.6131736990767391E-3</v>
      </c>
      <c r="I2318" t="str">
        <f t="shared" si="469"/>
        <v>2019-04</v>
      </c>
      <c r="K2318">
        <v>12101.32</v>
      </c>
      <c r="L2318">
        <f t="shared" si="476"/>
        <v>6.7193142169056199E-3</v>
      </c>
      <c r="M2318" t="str">
        <f t="shared" si="470"/>
        <v>2019-04</v>
      </c>
      <c r="O2318">
        <v>8640.3222100000003</v>
      </c>
      <c r="P2318">
        <f t="shared" si="477"/>
        <v>2.1890859013558922E-3</v>
      </c>
      <c r="Q2318" t="str">
        <f t="shared" si="471"/>
        <v>2019-04</v>
      </c>
      <c r="S2318">
        <v>9497.2999999999993</v>
      </c>
      <c r="T2318">
        <f t="shared" si="478"/>
        <v>2.1058838395049526E-5</v>
      </c>
      <c r="U2318" t="str">
        <f t="shared" si="472"/>
        <v>2019-04</v>
      </c>
      <c r="W2318">
        <v>21918.93</v>
      </c>
      <c r="X2318">
        <f t="shared" si="479"/>
        <v>1.210188831681935E-3</v>
      </c>
      <c r="Y2318">
        <f t="shared" si="480"/>
        <v>1.2109214056738378E-3</v>
      </c>
      <c r="Z2318" t="str">
        <f t="shared" si="473"/>
        <v>2019-04</v>
      </c>
    </row>
    <row r="2319" spans="1:26" x14ac:dyDescent="0.35">
      <c r="A2319" s="1">
        <v>43572</v>
      </c>
      <c r="C2319">
        <v>3477.73</v>
      </c>
      <c r="D2319">
        <f t="shared" si="474"/>
        <v>4.1405659717068163E-3</v>
      </c>
      <c r="E2319" t="str">
        <f t="shared" si="468"/>
        <v>2019-04</v>
      </c>
      <c r="G2319">
        <v>5563.09</v>
      </c>
      <c r="H2319">
        <f t="shared" si="475"/>
        <v>6.2064290044940903E-3</v>
      </c>
      <c r="I2319" t="str">
        <f t="shared" si="469"/>
        <v>2019-04</v>
      </c>
      <c r="K2319">
        <v>12153.07</v>
      </c>
      <c r="L2319">
        <f t="shared" si="476"/>
        <v>4.2672752049454244E-3</v>
      </c>
      <c r="M2319" t="str">
        <f t="shared" si="470"/>
        <v>2019-04</v>
      </c>
      <c r="O2319">
        <v>8622.8398400000005</v>
      </c>
      <c r="P2319">
        <f t="shared" si="477"/>
        <v>-2.025396729261881E-3</v>
      </c>
      <c r="Q2319" t="str">
        <f t="shared" si="471"/>
        <v>2019-04</v>
      </c>
      <c r="S2319">
        <v>9549.7999999999993</v>
      </c>
      <c r="T2319">
        <f t="shared" si="478"/>
        <v>5.512664180252879E-3</v>
      </c>
      <c r="U2319" t="str">
        <f t="shared" si="472"/>
        <v>2019-04</v>
      </c>
      <c r="W2319">
        <v>22000.880000000001</v>
      </c>
      <c r="X2319">
        <f t="shared" si="479"/>
        <v>3.7318055385712509E-3</v>
      </c>
      <c r="Y2319">
        <f t="shared" si="480"/>
        <v>3.7387773946995005E-3</v>
      </c>
      <c r="Z2319" t="str">
        <f t="shared" si="473"/>
        <v>2019-04</v>
      </c>
    </row>
    <row r="2320" spans="1:26" x14ac:dyDescent="0.35">
      <c r="A2320" s="1">
        <v>43573</v>
      </c>
      <c r="C2320">
        <v>3499.23</v>
      </c>
      <c r="D2320">
        <f t="shared" si="474"/>
        <v>6.1631621954666834E-3</v>
      </c>
      <c r="E2320" t="str">
        <f t="shared" si="468"/>
        <v>2019-04</v>
      </c>
      <c r="G2320">
        <v>5580.38</v>
      </c>
      <c r="H2320">
        <f t="shared" si="475"/>
        <v>3.1031651495801011E-3</v>
      </c>
      <c r="I2320" t="str">
        <f t="shared" si="469"/>
        <v>2019-04</v>
      </c>
      <c r="K2320">
        <v>12222.39</v>
      </c>
      <c r="L2320">
        <f t="shared" si="476"/>
        <v>5.6877028679546493E-3</v>
      </c>
      <c r="M2320" t="str">
        <f t="shared" si="470"/>
        <v>2019-04</v>
      </c>
      <c r="O2320">
        <v>8623.0367100000003</v>
      </c>
      <c r="P2320">
        <f t="shared" si="477"/>
        <v>2.2830964774459758E-5</v>
      </c>
      <c r="Q2320" t="str">
        <f t="shared" si="471"/>
        <v>2019-04</v>
      </c>
      <c r="S2320">
        <v>9581.9</v>
      </c>
      <c r="T2320">
        <f t="shared" si="478"/>
        <v>3.3556903068992679E-3</v>
      </c>
      <c r="U2320" t="str">
        <f t="shared" si="472"/>
        <v>2019-04</v>
      </c>
      <c r="W2320">
        <v>21956.59</v>
      </c>
      <c r="X2320">
        <f t="shared" si="479"/>
        <v>-2.0151303060686894E-3</v>
      </c>
      <c r="Y2320">
        <f t="shared" si="480"/>
        <v>-2.0131012941300925E-3</v>
      </c>
      <c r="Z2320" t="str">
        <f t="shared" si="473"/>
        <v>2019-04</v>
      </c>
    </row>
    <row r="2321" spans="1:26" x14ac:dyDescent="0.35">
      <c r="A2321" s="1">
        <v>43578</v>
      </c>
      <c r="C2321">
        <v>3503.85</v>
      </c>
      <c r="D2321">
        <f t="shared" si="474"/>
        <v>1.3194196468508538E-3</v>
      </c>
      <c r="E2321" t="str">
        <f t="shared" si="468"/>
        <v>2019-04</v>
      </c>
      <c r="G2321">
        <v>5591.69</v>
      </c>
      <c r="H2321">
        <f t="shared" si="475"/>
        <v>2.0246926243150058E-3</v>
      </c>
      <c r="I2321" t="str">
        <f t="shared" si="469"/>
        <v>2019-04</v>
      </c>
      <c r="K2321">
        <v>12235.51</v>
      </c>
      <c r="L2321">
        <f t="shared" si="476"/>
        <v>1.0728640855076159E-3</v>
      </c>
      <c r="M2321" t="str">
        <f t="shared" si="470"/>
        <v>2019-04</v>
      </c>
      <c r="O2321">
        <v>8685.6774800000003</v>
      </c>
      <c r="P2321">
        <f t="shared" si="477"/>
        <v>7.238093227639057E-3</v>
      </c>
      <c r="Q2321" t="str">
        <f t="shared" si="471"/>
        <v>2019-04</v>
      </c>
      <c r="S2321">
        <v>9527.2000000000007</v>
      </c>
      <c r="T2321">
        <f t="shared" si="478"/>
        <v>-5.7250367002168413E-3</v>
      </c>
      <c r="U2321" t="str">
        <f t="shared" si="472"/>
        <v>2019-04</v>
      </c>
      <c r="W2321">
        <v>21896.84</v>
      </c>
      <c r="X2321">
        <f t="shared" si="479"/>
        <v>-2.7249880783828035E-3</v>
      </c>
      <c r="Y2321">
        <f t="shared" si="480"/>
        <v>-2.7212786684999812E-3</v>
      </c>
      <c r="Z2321" t="str">
        <f t="shared" si="473"/>
        <v>2019-04</v>
      </c>
    </row>
    <row r="2322" spans="1:26" x14ac:dyDescent="0.35">
      <c r="A2322" s="1">
        <v>43579</v>
      </c>
      <c r="C2322">
        <v>3502.63</v>
      </c>
      <c r="D2322">
        <f t="shared" si="474"/>
        <v>-3.4824905297084138E-4</v>
      </c>
      <c r="E2322" t="str">
        <f t="shared" si="468"/>
        <v>2019-04</v>
      </c>
      <c r="G2322">
        <v>5576.06</v>
      </c>
      <c r="H2322">
        <f t="shared" si="475"/>
        <v>-2.7991332551814819E-3</v>
      </c>
      <c r="I2322" t="str">
        <f t="shared" si="469"/>
        <v>2019-04</v>
      </c>
      <c r="K2322">
        <v>12313.16</v>
      </c>
      <c r="L2322">
        <f t="shared" si="476"/>
        <v>6.3262294022610292E-3</v>
      </c>
      <c r="M2322" t="str">
        <f t="shared" si="470"/>
        <v>2019-04</v>
      </c>
      <c r="O2322">
        <v>8652.2048099999993</v>
      </c>
      <c r="P2322">
        <f t="shared" si="477"/>
        <v>-3.8612226138381072E-3</v>
      </c>
      <c r="Q2322" t="str">
        <f t="shared" si="471"/>
        <v>2019-04</v>
      </c>
      <c r="S2322">
        <v>9456.4</v>
      </c>
      <c r="T2322">
        <f t="shared" si="478"/>
        <v>-7.4591045181434754E-3</v>
      </c>
      <c r="U2322" t="str">
        <f t="shared" si="472"/>
        <v>2019-04</v>
      </c>
      <c r="W2322">
        <v>21724.44</v>
      </c>
      <c r="X2322">
        <f t="shared" si="479"/>
        <v>-7.9044401095470646E-3</v>
      </c>
      <c r="Y2322">
        <f t="shared" si="480"/>
        <v>-7.8732821722221763E-3</v>
      </c>
      <c r="Z2322" t="str">
        <f t="shared" si="473"/>
        <v>2019-04</v>
      </c>
    </row>
    <row r="2323" spans="1:26" x14ac:dyDescent="0.35">
      <c r="A2323" s="1">
        <v>43580</v>
      </c>
      <c r="C2323">
        <v>3491.92</v>
      </c>
      <c r="D2323">
        <f t="shared" si="474"/>
        <v>-3.0623866782146722E-3</v>
      </c>
      <c r="E2323" t="str">
        <f t="shared" si="468"/>
        <v>2019-04</v>
      </c>
      <c r="G2323">
        <v>5557.67</v>
      </c>
      <c r="H2323">
        <f t="shared" si="475"/>
        <v>-3.3034781199328968E-3</v>
      </c>
      <c r="I2323" t="str">
        <f t="shared" si="469"/>
        <v>2019-04</v>
      </c>
      <c r="K2323">
        <v>12282.6</v>
      </c>
      <c r="L2323">
        <f t="shared" si="476"/>
        <v>-2.4849824299809967E-3</v>
      </c>
      <c r="M2323" t="str">
        <f t="shared" si="470"/>
        <v>2019-04</v>
      </c>
      <c r="O2323">
        <v>8612.2964200000006</v>
      </c>
      <c r="P2323">
        <f t="shared" si="477"/>
        <v>-4.6231814694394384E-3</v>
      </c>
      <c r="Q2323" t="str">
        <f t="shared" si="471"/>
        <v>2019-04</v>
      </c>
      <c r="S2323">
        <v>9501.2000000000007</v>
      </c>
      <c r="T2323">
        <f t="shared" si="478"/>
        <v>4.7263454652957887E-3</v>
      </c>
      <c r="U2323" t="str">
        <f t="shared" si="472"/>
        <v>2019-04</v>
      </c>
      <c r="W2323">
        <v>21719.88</v>
      </c>
      <c r="X2323">
        <f t="shared" si="479"/>
        <v>-2.0992387574458475E-4</v>
      </c>
      <c r="Y2323">
        <f t="shared" si="480"/>
        <v>-2.0990184326950072E-4</v>
      </c>
      <c r="Z2323" t="str">
        <f t="shared" si="473"/>
        <v>2019-04</v>
      </c>
    </row>
    <row r="2324" spans="1:26" x14ac:dyDescent="0.35">
      <c r="A2324" s="1">
        <v>43581</v>
      </c>
      <c r="C2324">
        <v>3500.41</v>
      </c>
      <c r="D2324">
        <f t="shared" si="474"/>
        <v>2.42837628433871E-3</v>
      </c>
      <c r="E2324" t="str">
        <f t="shared" si="468"/>
        <v>2019-04</v>
      </c>
      <c r="G2324">
        <v>5569.36</v>
      </c>
      <c r="H2324">
        <f t="shared" si="475"/>
        <v>2.1011903986861724E-3</v>
      </c>
      <c r="I2324" t="str">
        <f t="shared" si="469"/>
        <v>2019-04</v>
      </c>
      <c r="K2324">
        <v>12315.18</v>
      </c>
      <c r="L2324">
        <f t="shared" si="476"/>
        <v>2.649021094749363E-3</v>
      </c>
      <c r="M2324" t="str">
        <f t="shared" si="470"/>
        <v>2019-04</v>
      </c>
      <c r="O2324">
        <v>8606.0002899999999</v>
      </c>
      <c r="P2324">
        <f t="shared" si="477"/>
        <v>-7.3133021072452093E-4</v>
      </c>
      <c r="Q2324" t="str">
        <f t="shared" si="471"/>
        <v>2019-04</v>
      </c>
      <c r="S2324">
        <v>9506</v>
      </c>
      <c r="T2324">
        <f t="shared" si="478"/>
        <v>5.0507177301636278E-4</v>
      </c>
      <c r="U2324" t="str">
        <f t="shared" si="472"/>
        <v>2019-04</v>
      </c>
      <c r="W2324">
        <v>21737.97</v>
      </c>
      <c r="X2324">
        <f t="shared" si="479"/>
        <v>8.3253087968508395E-4</v>
      </c>
      <c r="Y2324">
        <f t="shared" si="480"/>
        <v>8.328775297101156E-4</v>
      </c>
      <c r="Z2324" t="str">
        <f t="shared" si="473"/>
        <v>2019-04</v>
      </c>
    </row>
    <row r="2325" spans="1:26" x14ac:dyDescent="0.35">
      <c r="A2325" s="1">
        <v>43584</v>
      </c>
      <c r="C2325">
        <v>3501.94</v>
      </c>
      <c r="D2325">
        <f t="shared" si="474"/>
        <v>4.3699615824640555E-4</v>
      </c>
      <c r="E2325" t="str">
        <f t="shared" si="468"/>
        <v>2019-04</v>
      </c>
      <c r="G2325">
        <v>5580.98</v>
      </c>
      <c r="H2325">
        <f t="shared" si="475"/>
        <v>2.0842421318995378E-3</v>
      </c>
      <c r="I2325" t="str">
        <f t="shared" si="469"/>
        <v>2019-04</v>
      </c>
      <c r="K2325">
        <v>12328.02</v>
      </c>
      <c r="L2325">
        <f t="shared" si="476"/>
        <v>1.0420725524224492E-3</v>
      </c>
      <c r="M2325" t="str">
        <f t="shared" si="470"/>
        <v>2019-04</v>
      </c>
      <c r="O2325">
        <v>8606.5697</v>
      </c>
      <c r="P2325">
        <f t="shared" si="477"/>
        <v>6.616211298346344E-5</v>
      </c>
      <c r="Q2325" t="str">
        <f t="shared" si="471"/>
        <v>2019-04</v>
      </c>
      <c r="S2325">
        <v>9517.2000000000007</v>
      </c>
      <c r="T2325">
        <f t="shared" si="478"/>
        <v>1.1775097033195003E-3</v>
      </c>
      <c r="U2325" t="str">
        <f t="shared" si="472"/>
        <v>2019-04</v>
      </c>
      <c r="W2325">
        <v>21788.54</v>
      </c>
      <c r="X2325">
        <f t="shared" si="479"/>
        <v>2.3236424309510595E-3</v>
      </c>
      <c r="Y2325">
        <f t="shared" si="480"/>
        <v>2.3263441802523284E-3</v>
      </c>
      <c r="Z2325" t="str">
        <f t="shared" si="473"/>
        <v>2019-04</v>
      </c>
    </row>
    <row r="2326" spans="1:26" x14ac:dyDescent="0.35">
      <c r="A2326" s="1">
        <v>43585</v>
      </c>
      <c r="C2326">
        <v>3514.62</v>
      </c>
      <c r="D2326">
        <f t="shared" si="474"/>
        <v>3.6143106603489287E-3</v>
      </c>
      <c r="E2326" t="str">
        <f t="shared" si="468"/>
        <v>2019-04</v>
      </c>
      <c r="G2326">
        <v>5586.41</v>
      </c>
      <c r="H2326">
        <f t="shared" si="475"/>
        <v>9.7247439695987076E-4</v>
      </c>
      <c r="I2326" t="str">
        <f t="shared" si="469"/>
        <v>2019-04</v>
      </c>
      <c r="K2326">
        <v>12344.08</v>
      </c>
      <c r="L2326">
        <f t="shared" si="476"/>
        <v>1.3018755815932669E-3</v>
      </c>
      <c r="M2326" t="str">
        <f t="shared" si="470"/>
        <v>2019-04</v>
      </c>
      <c r="O2326">
        <v>8625.1604900000002</v>
      </c>
      <c r="P2326">
        <f t="shared" si="477"/>
        <v>2.1577400537259486E-3</v>
      </c>
      <c r="Q2326" t="str">
        <f t="shared" si="471"/>
        <v>2019-04</v>
      </c>
      <c r="S2326">
        <v>9570.6</v>
      </c>
      <c r="T2326">
        <f t="shared" si="478"/>
        <v>5.5952115291832008E-3</v>
      </c>
      <c r="U2326" t="str">
        <f t="shared" si="472"/>
        <v>2019-04</v>
      </c>
      <c r="W2326">
        <v>21881.33</v>
      </c>
      <c r="X2326">
        <f t="shared" si="479"/>
        <v>4.2496183131827984E-3</v>
      </c>
      <c r="Y2326">
        <f t="shared" si="480"/>
        <v>4.2586607455112127E-3</v>
      </c>
      <c r="Z2326" t="str">
        <f t="shared" si="473"/>
        <v>2019-04</v>
      </c>
    </row>
    <row r="2327" spans="1:26" x14ac:dyDescent="0.35">
      <c r="A2327" s="1">
        <v>43587</v>
      </c>
      <c r="C2327">
        <v>3488.93</v>
      </c>
      <c r="D2327">
        <f t="shared" si="474"/>
        <v>-7.3363123623628361E-3</v>
      </c>
      <c r="E2327" t="str">
        <f t="shared" si="468"/>
        <v>2019-05</v>
      </c>
      <c r="G2327">
        <v>5538.86</v>
      </c>
      <c r="H2327">
        <f t="shared" si="475"/>
        <v>-8.5481591985788856E-3</v>
      </c>
      <c r="I2327" t="str">
        <f t="shared" si="469"/>
        <v>2019-05</v>
      </c>
      <c r="K2327">
        <v>12345.42</v>
      </c>
      <c r="L2327">
        <f t="shared" si="476"/>
        <v>1.0854816835634151E-4</v>
      </c>
      <c r="M2327" t="str">
        <f t="shared" si="470"/>
        <v>2019-05</v>
      </c>
      <c r="O2327">
        <v>8565.3481300000003</v>
      </c>
      <c r="P2327">
        <f t="shared" si="477"/>
        <v>-6.9587936795612428E-3</v>
      </c>
      <c r="Q2327" t="str">
        <f t="shared" si="471"/>
        <v>2019-05</v>
      </c>
      <c r="S2327">
        <v>9418.2000000000007</v>
      </c>
      <c r="T2327">
        <f t="shared" si="478"/>
        <v>-1.6051911897241217E-2</v>
      </c>
      <c r="U2327" t="str">
        <f t="shared" si="472"/>
        <v>2019-05</v>
      </c>
      <c r="W2327">
        <v>21710.38</v>
      </c>
      <c r="X2327">
        <f t="shared" si="479"/>
        <v>-7.8432746207669386E-3</v>
      </c>
      <c r="Y2327">
        <f t="shared" si="480"/>
        <v>-7.8125964006758603E-3</v>
      </c>
      <c r="Z2327" t="str">
        <f t="shared" si="473"/>
        <v>2019-05</v>
      </c>
    </row>
    <row r="2328" spans="1:26" x14ac:dyDescent="0.35">
      <c r="A2328" s="1">
        <v>43588</v>
      </c>
      <c r="C2328">
        <v>3502.48</v>
      </c>
      <c r="D2328">
        <f t="shared" si="474"/>
        <v>3.8761900576721499E-3</v>
      </c>
      <c r="E2328" t="str">
        <f t="shared" si="468"/>
        <v>2019-05</v>
      </c>
      <c r="G2328">
        <v>5548.84</v>
      </c>
      <c r="H2328">
        <f t="shared" si="475"/>
        <v>1.8001934928217182E-3</v>
      </c>
      <c r="I2328" t="str">
        <f t="shared" si="469"/>
        <v>2019-05</v>
      </c>
      <c r="K2328">
        <v>12412.75</v>
      </c>
      <c r="L2328">
        <f t="shared" si="476"/>
        <v>5.4390260657572733E-3</v>
      </c>
      <c r="M2328" t="str">
        <f t="shared" si="470"/>
        <v>2019-05</v>
      </c>
      <c r="O2328">
        <v>8666.7804599999999</v>
      </c>
      <c r="P2328">
        <f t="shared" si="477"/>
        <v>1.1772602666198723E-2</v>
      </c>
      <c r="Q2328" t="str">
        <f t="shared" si="471"/>
        <v>2019-05</v>
      </c>
      <c r="S2328">
        <v>9409.6</v>
      </c>
      <c r="T2328">
        <f t="shared" si="478"/>
        <v>-9.1354280352480088E-4</v>
      </c>
      <c r="U2328" t="str">
        <f t="shared" si="472"/>
        <v>2019-05</v>
      </c>
      <c r="W2328">
        <v>21763.48</v>
      </c>
      <c r="X2328">
        <f t="shared" si="479"/>
        <v>2.4428484798092805E-3</v>
      </c>
      <c r="Y2328">
        <f t="shared" si="480"/>
        <v>2.4458346652614345E-3</v>
      </c>
      <c r="Z2328" t="str">
        <f t="shared" si="473"/>
        <v>2019-05</v>
      </c>
    </row>
    <row r="2329" spans="1:26" x14ac:dyDescent="0.35">
      <c r="A2329" s="1">
        <v>43592</v>
      </c>
      <c r="C2329">
        <v>3401.16</v>
      </c>
      <c r="D2329">
        <f t="shared" si="474"/>
        <v>-2.9354739100480427E-2</v>
      </c>
      <c r="E2329" t="str">
        <f t="shared" si="468"/>
        <v>2019-05</v>
      </c>
      <c r="G2329">
        <v>5395.75</v>
      </c>
      <c r="H2329">
        <f t="shared" si="475"/>
        <v>-2.7977290246964465E-2</v>
      </c>
      <c r="I2329" t="str">
        <f t="shared" si="469"/>
        <v>2019-05</v>
      </c>
      <c r="K2329">
        <v>12092.74</v>
      </c>
      <c r="L2329">
        <f t="shared" si="476"/>
        <v>-2.611889762470938E-2</v>
      </c>
      <c r="M2329" t="str">
        <f t="shared" si="470"/>
        <v>2019-05</v>
      </c>
      <c r="O2329">
        <v>8483.8673199999994</v>
      </c>
      <c r="P2329">
        <f t="shared" si="477"/>
        <v>-2.1330981536626072E-2</v>
      </c>
      <c r="Q2329" t="str">
        <f t="shared" si="471"/>
        <v>2019-05</v>
      </c>
      <c r="S2329">
        <v>9235.1</v>
      </c>
      <c r="T2329">
        <f t="shared" si="478"/>
        <v>-1.8719002760647294E-2</v>
      </c>
      <c r="U2329" t="str">
        <f t="shared" si="472"/>
        <v>2019-05</v>
      </c>
      <c r="W2329">
        <v>21219.14</v>
      </c>
      <c r="X2329">
        <f t="shared" si="479"/>
        <v>-2.5329731110850448E-2</v>
      </c>
      <c r="Y2329">
        <f t="shared" si="480"/>
        <v>-2.5011624979093424E-2</v>
      </c>
      <c r="Z2329" t="str">
        <f t="shared" si="473"/>
        <v>2019-05</v>
      </c>
    </row>
    <row r="2330" spans="1:26" x14ac:dyDescent="0.35">
      <c r="A2330" s="1">
        <v>43593</v>
      </c>
      <c r="C2330">
        <v>3417.26</v>
      </c>
      <c r="D2330">
        <f t="shared" si="474"/>
        <v>4.7225104707484498E-3</v>
      </c>
      <c r="E2330" t="str">
        <f t="shared" si="468"/>
        <v>2019-05</v>
      </c>
      <c r="G2330">
        <v>5417.59</v>
      </c>
      <c r="H2330">
        <f t="shared" si="475"/>
        <v>4.0394604622384757E-3</v>
      </c>
      <c r="I2330" t="str">
        <f t="shared" si="469"/>
        <v>2019-05</v>
      </c>
      <c r="K2330">
        <v>12179.93</v>
      </c>
      <c r="L2330">
        <f t="shared" si="476"/>
        <v>7.1842426081365381E-3</v>
      </c>
      <c r="M2330" t="str">
        <f t="shared" si="470"/>
        <v>2019-05</v>
      </c>
      <c r="O2330">
        <v>8451.7495799999997</v>
      </c>
      <c r="P2330">
        <f t="shared" si="477"/>
        <v>-3.7929269059688757E-3</v>
      </c>
      <c r="Q2330" t="str">
        <f t="shared" si="471"/>
        <v>2019-05</v>
      </c>
      <c r="S2330">
        <v>9227</v>
      </c>
      <c r="T2330">
        <f t="shared" si="478"/>
        <v>-8.7747336648843566E-4</v>
      </c>
      <c r="U2330" t="str">
        <f t="shared" si="472"/>
        <v>2019-05</v>
      </c>
      <c r="W2330">
        <v>21203.86</v>
      </c>
      <c r="X2330">
        <f t="shared" si="479"/>
        <v>-7.203639846668845E-4</v>
      </c>
      <c r="Y2330">
        <f t="shared" si="480"/>
        <v>-7.2010458482289275E-4</v>
      </c>
      <c r="Z2330" t="str">
        <f t="shared" si="473"/>
        <v>2019-05</v>
      </c>
    </row>
    <row r="2331" spans="1:26" x14ac:dyDescent="0.35">
      <c r="A2331" s="1">
        <v>43594</v>
      </c>
      <c r="C2331">
        <v>3350.71</v>
      </c>
      <c r="D2331">
        <f t="shared" si="474"/>
        <v>-1.966679669668437E-2</v>
      </c>
      <c r="E2331" t="str">
        <f t="shared" si="468"/>
        <v>2019-05</v>
      </c>
      <c r="G2331">
        <v>5313.16</v>
      </c>
      <c r="H2331">
        <f t="shared" si="475"/>
        <v>-1.9464305291093411E-2</v>
      </c>
      <c r="I2331" t="str">
        <f t="shared" si="469"/>
        <v>2019-05</v>
      </c>
      <c r="K2331">
        <v>11973.92</v>
      </c>
      <c r="L2331">
        <f t="shared" si="476"/>
        <v>-1.705856380043342E-2</v>
      </c>
      <c r="M2331" t="str">
        <f t="shared" si="470"/>
        <v>2019-05</v>
      </c>
      <c r="O2331">
        <v>8367.3043500000003</v>
      </c>
      <c r="P2331">
        <f t="shared" si="477"/>
        <v>-1.0041699127854974E-2</v>
      </c>
      <c r="Q2331" t="str">
        <f t="shared" si="471"/>
        <v>2019-05</v>
      </c>
      <c r="S2331">
        <v>9095.2000000000007</v>
      </c>
      <c r="T2331">
        <f t="shared" si="478"/>
        <v>-1.4387166763658966E-2</v>
      </c>
      <c r="U2331" t="str">
        <f t="shared" si="472"/>
        <v>2019-05</v>
      </c>
      <c r="W2331">
        <v>20817.16</v>
      </c>
      <c r="X2331">
        <f t="shared" si="479"/>
        <v>-1.8405593994109532E-2</v>
      </c>
      <c r="Y2331">
        <f t="shared" si="480"/>
        <v>-1.8237245482662152E-2</v>
      </c>
      <c r="Z2331" t="str">
        <f t="shared" si="473"/>
        <v>2019-05</v>
      </c>
    </row>
    <row r="2332" spans="1:26" x14ac:dyDescent="0.35">
      <c r="A2332" s="1">
        <v>43595</v>
      </c>
      <c r="C2332">
        <v>3361.05</v>
      </c>
      <c r="D2332">
        <f t="shared" si="474"/>
        <v>3.0811614778477481E-3</v>
      </c>
      <c r="E2332" t="str">
        <f t="shared" si="468"/>
        <v>2019-05</v>
      </c>
      <c r="G2332">
        <v>5327.44</v>
      </c>
      <c r="H2332">
        <f t="shared" si="475"/>
        <v>2.6840607809663925E-3</v>
      </c>
      <c r="I2332" t="str">
        <f t="shared" si="469"/>
        <v>2019-05</v>
      </c>
      <c r="K2332">
        <v>12059.83</v>
      </c>
      <c r="L2332">
        <f t="shared" si="476"/>
        <v>7.1491436755831694E-3</v>
      </c>
      <c r="M2332" t="str">
        <f t="shared" si="470"/>
        <v>2019-05</v>
      </c>
      <c r="O2332">
        <v>8350.7394199999999</v>
      </c>
      <c r="P2332">
        <f t="shared" si="477"/>
        <v>-1.9816834611588595E-3</v>
      </c>
      <c r="Q2332" t="str">
        <f t="shared" si="471"/>
        <v>2019-05</v>
      </c>
      <c r="S2332">
        <v>9117.5</v>
      </c>
      <c r="T2332">
        <f t="shared" si="478"/>
        <v>2.448841867938493E-3</v>
      </c>
      <c r="U2332" t="str">
        <f t="shared" si="472"/>
        <v>2019-05</v>
      </c>
      <c r="W2332">
        <v>20874.78</v>
      </c>
      <c r="X2332">
        <f t="shared" si="479"/>
        <v>2.7640851774002701E-3</v>
      </c>
      <c r="Y2332">
        <f t="shared" si="480"/>
        <v>2.7679087829463279E-3</v>
      </c>
      <c r="Z2332" t="str">
        <f t="shared" si="473"/>
        <v>2019-05</v>
      </c>
    </row>
    <row r="2333" spans="1:26" x14ac:dyDescent="0.35">
      <c r="A2333" s="1">
        <v>43598</v>
      </c>
      <c r="C2333">
        <v>3320.78</v>
      </c>
      <c r="D2333">
        <f t="shared" si="474"/>
        <v>-1.2053730063747995E-2</v>
      </c>
      <c r="E2333" t="str">
        <f t="shared" si="468"/>
        <v>2019-05</v>
      </c>
      <c r="G2333">
        <v>5262.57</v>
      </c>
      <c r="H2333">
        <f t="shared" si="475"/>
        <v>-1.2251322026312959E-2</v>
      </c>
      <c r="I2333" t="str">
        <f t="shared" si="469"/>
        <v>2019-05</v>
      </c>
      <c r="K2333">
        <v>11876.65</v>
      </c>
      <c r="L2333">
        <f t="shared" si="476"/>
        <v>-1.530580737711478E-2</v>
      </c>
      <c r="M2333" t="str">
        <f t="shared" si="470"/>
        <v>2019-05</v>
      </c>
      <c r="O2333">
        <v>8255.9259999999995</v>
      </c>
      <c r="P2333">
        <f t="shared" si="477"/>
        <v>-1.141884271482313E-2</v>
      </c>
      <c r="Q2333" t="str">
        <f t="shared" si="471"/>
        <v>2019-05</v>
      </c>
      <c r="S2333">
        <v>9046.7999999999993</v>
      </c>
      <c r="T2333">
        <f t="shared" si="478"/>
        <v>-7.7845396771788885E-3</v>
      </c>
      <c r="U2333" t="str">
        <f t="shared" si="472"/>
        <v>2019-05</v>
      </c>
      <c r="W2333">
        <v>20593.72</v>
      </c>
      <c r="X2333">
        <f t="shared" si="479"/>
        <v>-1.3555556810164479E-2</v>
      </c>
      <c r="Y2333">
        <f t="shared" si="480"/>
        <v>-1.346409399284676E-2</v>
      </c>
      <c r="Z2333" t="str">
        <f t="shared" si="473"/>
        <v>2019-05</v>
      </c>
    </row>
    <row r="2334" spans="1:26" x14ac:dyDescent="0.35">
      <c r="A2334" s="1">
        <v>43599</v>
      </c>
      <c r="C2334">
        <v>3364.38</v>
      </c>
      <c r="D2334">
        <f t="shared" si="474"/>
        <v>1.304400139870417E-2</v>
      </c>
      <c r="E2334" t="str">
        <f t="shared" si="468"/>
        <v>2019-05</v>
      </c>
      <c r="G2334">
        <v>5341.35</v>
      </c>
      <c r="H2334">
        <f t="shared" si="475"/>
        <v>1.4858929427318774E-2</v>
      </c>
      <c r="I2334" t="str">
        <f t="shared" si="469"/>
        <v>2019-05</v>
      </c>
      <c r="K2334">
        <v>11991.62</v>
      </c>
      <c r="L2334">
        <f t="shared" si="476"/>
        <v>9.6337848695322893E-3</v>
      </c>
      <c r="M2334" t="str">
        <f t="shared" si="470"/>
        <v>2019-05</v>
      </c>
      <c r="O2334">
        <v>8344.31286</v>
      </c>
      <c r="P2334">
        <f t="shared" si="477"/>
        <v>1.0648966680937099E-2</v>
      </c>
      <c r="Q2334" t="str">
        <f t="shared" si="471"/>
        <v>2019-05</v>
      </c>
      <c r="S2334">
        <v>9127.6</v>
      </c>
      <c r="T2334">
        <f t="shared" si="478"/>
        <v>8.8916863666124602E-3</v>
      </c>
      <c r="U2334" t="str">
        <f t="shared" si="472"/>
        <v>2019-05</v>
      </c>
      <c r="W2334">
        <v>20892.66</v>
      </c>
      <c r="X2334">
        <f t="shared" si="479"/>
        <v>1.441172616563411E-2</v>
      </c>
      <c r="Y2334">
        <f t="shared" si="480"/>
        <v>1.451607577455645E-2</v>
      </c>
      <c r="Z2334" t="str">
        <f t="shared" si="473"/>
        <v>2019-05</v>
      </c>
    </row>
    <row r="2335" spans="1:26" x14ac:dyDescent="0.35">
      <c r="A2335" s="1">
        <v>43600</v>
      </c>
      <c r="C2335">
        <v>3385.78</v>
      </c>
      <c r="D2335">
        <f t="shared" si="474"/>
        <v>6.3406116880008415E-3</v>
      </c>
      <c r="E2335" t="str">
        <f t="shared" si="468"/>
        <v>2019-05</v>
      </c>
      <c r="G2335">
        <v>5374.26</v>
      </c>
      <c r="H2335">
        <f t="shared" si="475"/>
        <v>6.1424601070690721E-3</v>
      </c>
      <c r="I2335" t="str">
        <f t="shared" si="469"/>
        <v>2019-05</v>
      </c>
      <c r="K2335">
        <v>12099.57</v>
      </c>
      <c r="L2335">
        <f t="shared" si="476"/>
        <v>8.9618422747851523E-3</v>
      </c>
      <c r="M2335" t="str">
        <f t="shared" si="470"/>
        <v>2019-05</v>
      </c>
      <c r="O2335">
        <v>8376.5808300000008</v>
      </c>
      <c r="P2335">
        <f t="shared" si="477"/>
        <v>3.8596035182074189E-3</v>
      </c>
      <c r="Q2335" t="str">
        <f t="shared" si="471"/>
        <v>2019-05</v>
      </c>
      <c r="S2335">
        <v>9177.1</v>
      </c>
      <c r="T2335">
        <f t="shared" si="478"/>
        <v>5.4084601946099847E-3</v>
      </c>
      <c r="U2335" t="str">
        <f t="shared" si="472"/>
        <v>2019-05</v>
      </c>
      <c r="W2335">
        <v>20863.14</v>
      </c>
      <c r="X2335">
        <f t="shared" si="479"/>
        <v>-1.413935545148961E-3</v>
      </c>
      <c r="Y2335">
        <f t="shared" si="480"/>
        <v>-1.412936409246139E-3</v>
      </c>
      <c r="Z2335" t="str">
        <f t="shared" si="473"/>
        <v>2019-05</v>
      </c>
    </row>
    <row r="2336" spans="1:26" x14ac:dyDescent="0.35">
      <c r="A2336" s="1">
        <v>43601</v>
      </c>
      <c r="C2336">
        <v>3438.56</v>
      </c>
      <c r="D2336">
        <f t="shared" si="474"/>
        <v>1.5468470914643888E-2</v>
      </c>
      <c r="E2336" t="str">
        <f t="shared" si="468"/>
        <v>2019-05</v>
      </c>
      <c r="G2336">
        <v>5448.11</v>
      </c>
      <c r="H2336">
        <f t="shared" si="475"/>
        <v>1.3647869421990177E-2</v>
      </c>
      <c r="I2336" t="str">
        <f t="shared" si="469"/>
        <v>2019-05</v>
      </c>
      <c r="K2336">
        <v>12310.37</v>
      </c>
      <c r="L2336">
        <f t="shared" si="476"/>
        <v>1.7272081827849731E-2</v>
      </c>
      <c r="M2336" t="str">
        <f t="shared" si="470"/>
        <v>2019-05</v>
      </c>
      <c r="O2336">
        <v>8418.0156100000004</v>
      </c>
      <c r="P2336">
        <f t="shared" si="477"/>
        <v>4.9343089864777563E-3</v>
      </c>
      <c r="Q2336" t="str">
        <f t="shared" si="471"/>
        <v>2019-05</v>
      </c>
      <c r="S2336">
        <v>9304.2999999999993</v>
      </c>
      <c r="T2336">
        <f t="shared" si="478"/>
        <v>1.3765408307833222E-2</v>
      </c>
      <c r="U2336" t="str">
        <f t="shared" si="472"/>
        <v>2019-05</v>
      </c>
      <c r="W2336">
        <v>21151.8</v>
      </c>
      <c r="X2336">
        <f t="shared" si="479"/>
        <v>1.3741042684373627E-2</v>
      </c>
      <c r="Y2336">
        <f t="shared" si="480"/>
        <v>1.383588472300909E-2</v>
      </c>
      <c r="Z2336" t="str">
        <f t="shared" si="473"/>
        <v>2019-05</v>
      </c>
    </row>
    <row r="2337" spans="1:26" x14ac:dyDescent="0.35">
      <c r="A2337" s="1">
        <v>43602</v>
      </c>
      <c r="C2337">
        <v>3425.64</v>
      </c>
      <c r="D2337">
        <f t="shared" si="474"/>
        <v>-3.764463523102377E-3</v>
      </c>
      <c r="E2337" t="str">
        <f t="shared" si="468"/>
        <v>2019-05</v>
      </c>
      <c r="G2337">
        <v>5438.23</v>
      </c>
      <c r="H2337">
        <f t="shared" si="475"/>
        <v>-1.8151192618642443E-3</v>
      </c>
      <c r="I2337" t="str">
        <f t="shared" si="469"/>
        <v>2019-05</v>
      </c>
      <c r="K2337">
        <v>12238.94</v>
      </c>
      <c r="L2337">
        <f t="shared" si="476"/>
        <v>-5.8193245821208306E-3</v>
      </c>
      <c r="M2337" t="str">
        <f t="shared" si="470"/>
        <v>2019-05</v>
      </c>
      <c r="O2337">
        <v>8380.0861000000004</v>
      </c>
      <c r="P2337">
        <f t="shared" si="477"/>
        <v>-4.5159358021480628E-3</v>
      </c>
      <c r="Q2337" t="str">
        <f t="shared" si="471"/>
        <v>2019-05</v>
      </c>
      <c r="S2337">
        <v>9280.1</v>
      </c>
      <c r="T2337">
        <f t="shared" si="478"/>
        <v>-2.6043362904559701E-3</v>
      </c>
      <c r="U2337" t="str">
        <f t="shared" si="472"/>
        <v>2019-05</v>
      </c>
      <c r="W2337">
        <v>21105.279999999999</v>
      </c>
      <c r="X2337">
        <f t="shared" si="479"/>
        <v>-2.2017621091250752E-3</v>
      </c>
      <c r="Y2337">
        <f t="shared" si="480"/>
        <v>-2.1993400088881534E-3</v>
      </c>
      <c r="Z2337" t="str">
        <f t="shared" si="473"/>
        <v>2019-05</v>
      </c>
    </row>
    <row r="2338" spans="1:26" x14ac:dyDescent="0.35">
      <c r="A2338" s="1">
        <v>43605</v>
      </c>
      <c r="C2338">
        <v>3369.78</v>
      </c>
      <c r="D2338">
        <f t="shared" si="474"/>
        <v>-1.6440855237451726E-2</v>
      </c>
      <c r="E2338" t="str">
        <f t="shared" si="468"/>
        <v>2019-05</v>
      </c>
      <c r="G2338">
        <v>5358.59</v>
      </c>
      <c r="H2338">
        <f t="shared" si="475"/>
        <v>-1.4752759502309361E-2</v>
      </c>
      <c r="I2338" t="str">
        <f t="shared" si="469"/>
        <v>2019-05</v>
      </c>
      <c r="K2338">
        <v>12041.29</v>
      </c>
      <c r="L2338">
        <f t="shared" si="476"/>
        <v>-1.6281095028448826E-2</v>
      </c>
      <c r="M2338" t="str">
        <f t="shared" si="470"/>
        <v>2019-05</v>
      </c>
      <c r="O2338">
        <v>8328.8257699999995</v>
      </c>
      <c r="P2338">
        <f t="shared" si="477"/>
        <v>-6.1357066474163283E-3</v>
      </c>
      <c r="Q2338" t="str">
        <f t="shared" si="471"/>
        <v>2019-05</v>
      </c>
      <c r="S2338">
        <v>9199.7000000000007</v>
      </c>
      <c r="T2338">
        <f t="shared" si="478"/>
        <v>-8.7014477744515716E-3</v>
      </c>
      <c r="U2338" t="str">
        <f t="shared" si="472"/>
        <v>2019-05</v>
      </c>
      <c r="W2338">
        <v>20539.87</v>
      </c>
      <c r="X2338">
        <f t="shared" si="479"/>
        <v>-2.7155370778338697E-2</v>
      </c>
      <c r="Y2338">
        <f t="shared" si="480"/>
        <v>-2.6789978621463439E-2</v>
      </c>
      <c r="Z2338" t="str">
        <f t="shared" si="473"/>
        <v>2019-05</v>
      </c>
    </row>
    <row r="2339" spans="1:26" x14ac:dyDescent="0.35">
      <c r="A2339" s="1">
        <v>43606</v>
      </c>
      <c r="C2339">
        <v>3386.51</v>
      </c>
      <c r="D2339">
        <f t="shared" si="474"/>
        <v>4.952432235482215E-3</v>
      </c>
      <c r="E2339" t="str">
        <f t="shared" si="468"/>
        <v>2019-05</v>
      </c>
      <c r="G2339">
        <v>5385.46</v>
      </c>
      <c r="H2339">
        <f t="shared" si="475"/>
        <v>5.0018486549382917E-3</v>
      </c>
      <c r="I2339" t="str">
        <f t="shared" si="469"/>
        <v>2019-05</v>
      </c>
      <c r="K2339">
        <v>12143.47</v>
      </c>
      <c r="L2339">
        <f t="shared" si="476"/>
        <v>8.4499997512091102E-3</v>
      </c>
      <c r="M2339" t="str">
        <f t="shared" si="470"/>
        <v>2019-05</v>
      </c>
      <c r="O2339">
        <v>8359.95982</v>
      </c>
      <c r="P2339">
        <f t="shared" si="477"/>
        <v>3.7311386081640917E-3</v>
      </c>
      <c r="Q2339" t="str">
        <f t="shared" si="471"/>
        <v>2019-05</v>
      </c>
      <c r="S2339">
        <v>9239.1</v>
      </c>
      <c r="T2339">
        <f t="shared" si="478"/>
        <v>4.2736034845817809E-3</v>
      </c>
      <c r="U2339" t="str">
        <f t="shared" si="472"/>
        <v>2019-05</v>
      </c>
      <c r="W2339">
        <v>20698.61</v>
      </c>
      <c r="X2339">
        <f t="shared" si="479"/>
        <v>7.6986728917641783E-3</v>
      </c>
      <c r="Y2339">
        <f t="shared" si="480"/>
        <v>7.7283838700050976E-3</v>
      </c>
      <c r="Z2339" t="str">
        <f t="shared" si="473"/>
        <v>2019-05</v>
      </c>
    </row>
    <row r="2340" spans="1:26" x14ac:dyDescent="0.35">
      <c r="A2340" s="1">
        <v>43607</v>
      </c>
      <c r="C2340">
        <v>3386.72</v>
      </c>
      <c r="D2340">
        <f t="shared" si="474"/>
        <v>6.2008820036177776E-5</v>
      </c>
      <c r="E2340" t="str">
        <f t="shared" si="468"/>
        <v>2019-05</v>
      </c>
      <c r="G2340">
        <v>5378.98</v>
      </c>
      <c r="H2340">
        <f t="shared" si="475"/>
        <v>-1.2039643089183287E-3</v>
      </c>
      <c r="I2340" t="str">
        <f t="shared" si="469"/>
        <v>2019-05</v>
      </c>
      <c r="K2340">
        <v>12168.74</v>
      </c>
      <c r="L2340">
        <f t="shared" si="476"/>
        <v>2.0787916113009174E-3</v>
      </c>
      <c r="M2340" t="str">
        <f t="shared" si="470"/>
        <v>2019-05</v>
      </c>
      <c r="O2340">
        <v>8332.0658100000001</v>
      </c>
      <c r="P2340">
        <f t="shared" si="477"/>
        <v>-3.3421990336775561E-3</v>
      </c>
      <c r="Q2340" t="str">
        <f t="shared" si="471"/>
        <v>2019-05</v>
      </c>
      <c r="S2340">
        <v>9232.2000000000007</v>
      </c>
      <c r="T2340">
        <f t="shared" si="478"/>
        <v>-7.4710500299865305E-4</v>
      </c>
      <c r="U2340" t="str">
        <f t="shared" si="472"/>
        <v>2019-05</v>
      </c>
      <c r="W2340">
        <v>20573.310000000001</v>
      </c>
      <c r="X2340">
        <f t="shared" si="479"/>
        <v>-6.07194358626103E-3</v>
      </c>
      <c r="Y2340">
        <f t="shared" si="480"/>
        <v>-6.0535465908096858E-3</v>
      </c>
      <c r="Z2340" t="str">
        <f t="shared" si="473"/>
        <v>2019-05</v>
      </c>
    </row>
    <row r="2341" spans="1:26" x14ac:dyDescent="0.35">
      <c r="A2341" s="1">
        <v>43608</v>
      </c>
      <c r="C2341">
        <v>3327.2</v>
      </c>
      <c r="D2341">
        <f t="shared" si="474"/>
        <v>-1.773079194315838E-2</v>
      </c>
      <c r="E2341" t="str">
        <f t="shared" si="468"/>
        <v>2019-05</v>
      </c>
      <c r="G2341">
        <v>5281.37</v>
      </c>
      <c r="H2341">
        <f t="shared" si="475"/>
        <v>-1.8313231362265932E-2</v>
      </c>
      <c r="I2341" t="str">
        <f t="shared" si="469"/>
        <v>2019-05</v>
      </c>
      <c r="K2341">
        <v>11952.41</v>
      </c>
      <c r="L2341">
        <f t="shared" si="476"/>
        <v>-1.793743667664989E-2</v>
      </c>
      <c r="M2341" t="str">
        <f t="shared" si="470"/>
        <v>2019-05</v>
      </c>
      <c r="O2341">
        <v>8198.4551200000005</v>
      </c>
      <c r="P2341">
        <f t="shared" si="477"/>
        <v>-1.6165685310588995E-2</v>
      </c>
      <c r="Q2341" t="str">
        <f t="shared" si="471"/>
        <v>2019-05</v>
      </c>
      <c r="S2341">
        <v>9114</v>
      </c>
      <c r="T2341">
        <f t="shared" si="478"/>
        <v>-1.2885680467559708E-2</v>
      </c>
      <c r="U2341" t="str">
        <f t="shared" si="472"/>
        <v>2019-05</v>
      </c>
      <c r="W2341">
        <v>20136.39</v>
      </c>
      <c r="X2341">
        <f t="shared" si="479"/>
        <v>-2.1465978730920595E-2</v>
      </c>
      <c r="Y2341">
        <f t="shared" si="480"/>
        <v>-2.1237224345523491E-2</v>
      </c>
      <c r="Z2341" t="str">
        <f t="shared" si="473"/>
        <v>2019-05</v>
      </c>
    </row>
    <row r="2342" spans="1:26" x14ac:dyDescent="0.35">
      <c r="A2342" s="1">
        <v>43609</v>
      </c>
      <c r="C2342">
        <v>3350.7</v>
      </c>
      <c r="D2342">
        <f t="shared" si="474"/>
        <v>7.0381697861887759E-3</v>
      </c>
      <c r="E2342" t="str">
        <f t="shared" si="468"/>
        <v>2019-05</v>
      </c>
      <c r="G2342">
        <v>5316.51</v>
      </c>
      <c r="H2342">
        <f t="shared" si="475"/>
        <v>6.6315392852415922E-3</v>
      </c>
      <c r="I2342" t="str">
        <f t="shared" si="469"/>
        <v>2019-05</v>
      </c>
      <c r="K2342">
        <v>12011.04</v>
      </c>
      <c r="L2342">
        <f t="shared" si="476"/>
        <v>4.8932951630917699E-3</v>
      </c>
      <c r="M2342" t="str">
        <f t="shared" si="470"/>
        <v>2019-05</v>
      </c>
      <c r="O2342">
        <v>8257.8366100000003</v>
      </c>
      <c r="P2342">
        <f t="shared" si="477"/>
        <v>7.2169050850736088E-3</v>
      </c>
      <c r="Q2342" t="str">
        <f t="shared" si="471"/>
        <v>2019-05</v>
      </c>
      <c r="S2342">
        <v>9174.6</v>
      </c>
      <c r="T2342">
        <f t="shared" si="478"/>
        <v>6.6271034183329807E-3</v>
      </c>
      <c r="U2342" t="str">
        <f t="shared" si="472"/>
        <v>2019-05</v>
      </c>
      <c r="W2342">
        <v>20376.03</v>
      </c>
      <c r="X2342">
        <f t="shared" si="479"/>
        <v>1.1830584055407219E-2</v>
      </c>
      <c r="Y2342">
        <f t="shared" si="480"/>
        <v>1.1900842206572252E-2</v>
      </c>
      <c r="Z2342" t="str">
        <f t="shared" si="473"/>
        <v>2019-05</v>
      </c>
    </row>
    <row r="2343" spans="1:26" x14ac:dyDescent="0.35">
      <c r="A2343" s="1">
        <v>43613</v>
      </c>
      <c r="C2343">
        <v>3348.86</v>
      </c>
      <c r="D2343">
        <f t="shared" si="474"/>
        <v>-5.4928981791742683E-4</v>
      </c>
      <c r="E2343" t="str">
        <f t="shared" si="468"/>
        <v>2019-05</v>
      </c>
      <c r="G2343">
        <v>5312.69</v>
      </c>
      <c r="H2343">
        <f t="shared" si="475"/>
        <v>-7.1877472706575497E-4</v>
      </c>
      <c r="I2343" t="str">
        <f t="shared" si="469"/>
        <v>2019-05</v>
      </c>
      <c r="K2343">
        <v>12027.05</v>
      </c>
      <c r="L2343">
        <f t="shared" si="476"/>
        <v>1.3320527851668545E-3</v>
      </c>
      <c r="M2343" t="str">
        <f t="shared" si="470"/>
        <v>2019-05</v>
      </c>
      <c r="O2343">
        <v>8246.1729200000009</v>
      </c>
      <c r="P2343">
        <f t="shared" si="477"/>
        <v>-1.4134373735804006E-3</v>
      </c>
      <c r="Q2343" t="str">
        <f t="shared" si="471"/>
        <v>2019-05</v>
      </c>
      <c r="S2343">
        <v>9191.7999999999993</v>
      </c>
      <c r="T2343">
        <f t="shared" si="478"/>
        <v>1.8729859992423306E-3</v>
      </c>
      <c r="U2343" t="str">
        <f t="shared" si="472"/>
        <v>2019-05</v>
      </c>
      <c r="W2343">
        <v>20260.98</v>
      </c>
      <c r="X2343">
        <f t="shared" si="479"/>
        <v>-5.6623411710306206E-3</v>
      </c>
      <c r="Y2343">
        <f t="shared" si="480"/>
        <v>-5.6463403322432916E-3</v>
      </c>
      <c r="Z2343" t="str">
        <f t="shared" si="473"/>
        <v>2019-05</v>
      </c>
    </row>
    <row r="2344" spans="1:26" x14ac:dyDescent="0.35">
      <c r="A2344" s="1">
        <v>43614</v>
      </c>
      <c r="C2344">
        <v>3297.81</v>
      </c>
      <c r="D2344">
        <f t="shared" si="474"/>
        <v>-1.5361377610122785E-2</v>
      </c>
      <c r="E2344" t="str">
        <f t="shared" si="468"/>
        <v>2019-05</v>
      </c>
      <c r="G2344">
        <v>5222.12</v>
      </c>
      <c r="H2344">
        <f t="shared" si="475"/>
        <v>-1.7194848602704021E-2</v>
      </c>
      <c r="I2344" t="str">
        <f t="shared" si="469"/>
        <v>2019-05</v>
      </c>
      <c r="K2344">
        <v>11837.81</v>
      </c>
      <c r="L2344">
        <f t="shared" si="476"/>
        <v>-1.5859633501267831E-2</v>
      </c>
      <c r="M2344" t="str">
        <f t="shared" si="470"/>
        <v>2019-05</v>
      </c>
      <c r="O2344">
        <v>8143.6411600000001</v>
      </c>
      <c r="P2344">
        <f t="shared" si="477"/>
        <v>-1.2511807280828955E-2</v>
      </c>
      <c r="Q2344" t="str">
        <f t="shared" si="471"/>
        <v>2019-05</v>
      </c>
      <c r="S2344">
        <v>9080.5</v>
      </c>
      <c r="T2344">
        <f t="shared" si="478"/>
        <v>-1.2182525082849791E-2</v>
      </c>
      <c r="U2344" t="str">
        <f t="shared" si="472"/>
        <v>2019-05</v>
      </c>
      <c r="W2344">
        <v>19999.939999999999</v>
      </c>
      <c r="X2344">
        <f t="shared" si="479"/>
        <v>-1.296759527592738E-2</v>
      </c>
      <c r="Y2344">
        <f t="shared" si="480"/>
        <v>-1.2883878272423193E-2</v>
      </c>
      <c r="Z2344" t="str">
        <f t="shared" si="473"/>
        <v>2019-05</v>
      </c>
    </row>
    <row r="2345" spans="1:26" x14ac:dyDescent="0.35">
      <c r="A2345" s="1">
        <v>43615</v>
      </c>
      <c r="C2345">
        <v>3318.15</v>
      </c>
      <c r="D2345">
        <f t="shared" si="474"/>
        <v>6.1487868982909553E-3</v>
      </c>
      <c r="E2345" t="str">
        <f t="shared" si="468"/>
        <v>2019-05</v>
      </c>
      <c r="G2345">
        <v>5248.91</v>
      </c>
      <c r="H2345">
        <f t="shared" si="475"/>
        <v>5.1169862859235726E-3</v>
      </c>
      <c r="I2345" t="str">
        <f t="shared" si="469"/>
        <v>2019-05</v>
      </c>
      <c r="K2345">
        <v>11902.08</v>
      </c>
      <c r="L2345">
        <f t="shared" si="476"/>
        <v>5.4145286281893044E-3</v>
      </c>
      <c r="M2345" t="str">
        <f t="shared" si="470"/>
        <v>2019-05</v>
      </c>
      <c r="O2345">
        <v>8174.8773300000003</v>
      </c>
      <c r="P2345">
        <f t="shared" si="477"/>
        <v>3.8283142147838831E-3</v>
      </c>
      <c r="Q2345" t="str">
        <f t="shared" si="471"/>
        <v>2019-05</v>
      </c>
      <c r="S2345">
        <v>9157.7999999999993</v>
      </c>
      <c r="T2345">
        <f t="shared" si="478"/>
        <v>8.4767179905780778E-3</v>
      </c>
      <c r="U2345" t="str">
        <f t="shared" si="472"/>
        <v>2019-05</v>
      </c>
      <c r="W2345">
        <v>19947.919999999998</v>
      </c>
      <c r="X2345">
        <f t="shared" si="479"/>
        <v>-2.6043963007671487E-3</v>
      </c>
      <c r="Y2345">
        <f t="shared" si="480"/>
        <v>-2.601007803023431E-3</v>
      </c>
      <c r="Z2345" t="str">
        <f t="shared" si="473"/>
        <v>2019-05</v>
      </c>
    </row>
    <row r="2346" spans="1:26" x14ac:dyDescent="0.35">
      <c r="A2346" s="1">
        <v>43616</v>
      </c>
      <c r="C2346">
        <v>3280.43</v>
      </c>
      <c r="D2346">
        <f t="shared" si="474"/>
        <v>-1.1432887338510608E-2</v>
      </c>
      <c r="E2346" t="str">
        <f t="shared" si="468"/>
        <v>2019-05</v>
      </c>
      <c r="G2346">
        <v>5207.63</v>
      </c>
      <c r="H2346">
        <f t="shared" si="475"/>
        <v>-7.8955781644613511E-3</v>
      </c>
      <c r="I2346" t="str">
        <f t="shared" si="469"/>
        <v>2019-05</v>
      </c>
      <c r="K2346">
        <v>11726.84</v>
      </c>
      <c r="L2346">
        <f t="shared" si="476"/>
        <v>-1.4832943101770243E-2</v>
      </c>
      <c r="M2346" t="str">
        <f t="shared" si="470"/>
        <v>2019-05</v>
      </c>
      <c r="O2346">
        <v>8102.3180300000004</v>
      </c>
      <c r="P2346">
        <f t="shared" si="477"/>
        <v>-8.9155138852395205E-3</v>
      </c>
      <c r="Q2346" t="str">
        <f t="shared" si="471"/>
        <v>2019-05</v>
      </c>
      <c r="S2346">
        <v>9004.2000000000007</v>
      </c>
      <c r="T2346">
        <f t="shared" si="478"/>
        <v>-1.6914840019132234E-2</v>
      </c>
      <c r="U2346" t="str">
        <f t="shared" si="472"/>
        <v>2019-05</v>
      </c>
      <c r="W2346">
        <v>19802.11</v>
      </c>
      <c r="X2346">
        <f t="shared" si="479"/>
        <v>-7.3363795693847369E-3</v>
      </c>
      <c r="Y2346">
        <f t="shared" si="480"/>
        <v>-7.3095340266051637E-3</v>
      </c>
      <c r="Z2346" t="str">
        <f t="shared" si="473"/>
        <v>2019-05</v>
      </c>
    </row>
    <row r="2347" spans="1:26" x14ac:dyDescent="0.35">
      <c r="A2347" s="1">
        <v>43619</v>
      </c>
      <c r="C2347">
        <v>3300.22</v>
      </c>
      <c r="D2347">
        <f t="shared" si="474"/>
        <v>6.0146215524840476E-3</v>
      </c>
      <c r="E2347" t="str">
        <f t="shared" si="468"/>
        <v>2019-06</v>
      </c>
      <c r="G2347">
        <v>5241.46</v>
      </c>
      <c r="H2347">
        <f t="shared" si="475"/>
        <v>6.4752276425128841E-3</v>
      </c>
      <c r="I2347" t="str">
        <f t="shared" si="469"/>
        <v>2019-06</v>
      </c>
      <c r="K2347">
        <v>11792.81</v>
      </c>
      <c r="L2347">
        <f t="shared" si="476"/>
        <v>5.6097920679051049E-3</v>
      </c>
      <c r="M2347" t="str">
        <f t="shared" si="470"/>
        <v>2019-06</v>
      </c>
      <c r="O2347">
        <v>8093.7899399999997</v>
      </c>
      <c r="P2347">
        <f t="shared" si="477"/>
        <v>-1.0531037214563889E-3</v>
      </c>
      <c r="Q2347" t="str">
        <f t="shared" si="471"/>
        <v>2019-06</v>
      </c>
      <c r="S2347">
        <v>9022.7999999999993</v>
      </c>
      <c r="T2347">
        <f t="shared" si="478"/>
        <v>2.0635720419825412E-3</v>
      </c>
      <c r="U2347" t="str">
        <f t="shared" si="472"/>
        <v>2019-06</v>
      </c>
      <c r="W2347">
        <v>19874.240000000002</v>
      </c>
      <c r="X2347">
        <f t="shared" si="479"/>
        <v>3.6359231362169011E-3</v>
      </c>
      <c r="Y2347">
        <f t="shared" si="480"/>
        <v>3.6425411231429893E-3</v>
      </c>
      <c r="Z2347" t="str">
        <f t="shared" si="473"/>
        <v>2019-06</v>
      </c>
    </row>
    <row r="2348" spans="1:26" x14ac:dyDescent="0.35">
      <c r="A2348" s="1">
        <v>43620</v>
      </c>
      <c r="C2348">
        <v>3333.49</v>
      </c>
      <c r="D2348">
        <f t="shared" si="474"/>
        <v>1.0030670304492798E-2</v>
      </c>
      <c r="E2348" t="str">
        <f t="shared" si="468"/>
        <v>2019-06</v>
      </c>
      <c r="G2348">
        <v>5268.26</v>
      </c>
      <c r="H2348">
        <f t="shared" si="475"/>
        <v>5.1000517787638333E-3</v>
      </c>
      <c r="I2348" t="str">
        <f t="shared" si="469"/>
        <v>2019-06</v>
      </c>
      <c r="K2348">
        <v>11971.17</v>
      </c>
      <c r="L2348">
        <f t="shared" si="476"/>
        <v>1.501123542850788E-2</v>
      </c>
      <c r="M2348" t="str">
        <f t="shared" si="470"/>
        <v>2019-06</v>
      </c>
      <c r="O2348">
        <v>8140.0543799999996</v>
      </c>
      <c r="P2348">
        <f t="shared" si="477"/>
        <v>5.6997670223641085E-3</v>
      </c>
      <c r="Q2348" t="str">
        <f t="shared" si="471"/>
        <v>2019-06</v>
      </c>
      <c r="S2348">
        <v>9117.6</v>
      </c>
      <c r="T2348">
        <f t="shared" si="478"/>
        <v>1.0451904369544207E-2</v>
      </c>
      <c r="U2348" t="str">
        <f t="shared" si="472"/>
        <v>2019-06</v>
      </c>
      <c r="W2348">
        <v>20229.419999999998</v>
      </c>
      <c r="X2348">
        <f t="shared" si="479"/>
        <v>1.7713559661451311E-2</v>
      </c>
      <c r="Y2348">
        <f t="shared" si="480"/>
        <v>1.7871375207303353E-2</v>
      </c>
      <c r="Z2348" t="str">
        <f t="shared" si="473"/>
        <v>2019-06</v>
      </c>
    </row>
    <row r="2349" spans="1:26" x14ac:dyDescent="0.35">
      <c r="A2349" s="1">
        <v>43621</v>
      </c>
      <c r="C2349">
        <v>3339.95</v>
      </c>
      <c r="D2349">
        <f t="shared" si="474"/>
        <v>1.9360335952058438E-3</v>
      </c>
      <c r="E2349" t="str">
        <f t="shared" si="468"/>
        <v>2019-06</v>
      </c>
      <c r="G2349">
        <v>5292</v>
      </c>
      <c r="H2349">
        <f t="shared" si="475"/>
        <v>4.4961089957987052E-3</v>
      </c>
      <c r="I2349" t="str">
        <f t="shared" si="469"/>
        <v>2019-06</v>
      </c>
      <c r="K2349">
        <v>11980.81</v>
      </c>
      <c r="L2349">
        <f t="shared" si="476"/>
        <v>8.049439353661667E-4</v>
      </c>
      <c r="M2349" t="str">
        <f t="shared" si="470"/>
        <v>2019-06</v>
      </c>
      <c r="O2349">
        <v>8155.9245199999996</v>
      </c>
      <c r="P2349">
        <f t="shared" si="477"/>
        <v>1.9477375510332602E-3</v>
      </c>
      <c r="Q2349" t="str">
        <f t="shared" si="471"/>
        <v>2019-06</v>
      </c>
      <c r="S2349">
        <v>9150.5</v>
      </c>
      <c r="T2349">
        <f t="shared" si="478"/>
        <v>3.6019110438114442E-3</v>
      </c>
      <c r="U2349" t="str">
        <f t="shared" si="472"/>
        <v>2019-06</v>
      </c>
      <c r="W2349">
        <v>20155.73</v>
      </c>
      <c r="X2349">
        <f t="shared" si="479"/>
        <v>-3.649365263359473E-3</v>
      </c>
      <c r="Y2349">
        <f t="shared" si="480"/>
        <v>-3.642714422855361E-3</v>
      </c>
      <c r="Z2349" t="str">
        <f t="shared" si="473"/>
        <v>2019-06</v>
      </c>
    </row>
    <row r="2350" spans="1:26" x14ac:dyDescent="0.35">
      <c r="A2350" s="1">
        <v>43622</v>
      </c>
      <c r="C2350">
        <v>3338.41</v>
      </c>
      <c r="D2350">
        <f t="shared" si="474"/>
        <v>-4.6119107903620695E-4</v>
      </c>
      <c r="E2350" t="str">
        <f t="shared" si="468"/>
        <v>2019-06</v>
      </c>
      <c r="G2350">
        <v>5278.43</v>
      </c>
      <c r="H2350">
        <f t="shared" si="475"/>
        <v>-2.5675412362137556E-3</v>
      </c>
      <c r="I2350" t="str">
        <f t="shared" si="469"/>
        <v>2019-06</v>
      </c>
      <c r="K2350">
        <v>11953.14</v>
      </c>
      <c r="L2350">
        <f t="shared" si="476"/>
        <v>-2.312197721444165E-3</v>
      </c>
      <c r="M2350" t="str">
        <f t="shared" si="470"/>
        <v>2019-06</v>
      </c>
      <c r="O2350">
        <v>8170.7866400000003</v>
      </c>
      <c r="P2350">
        <f t="shared" si="477"/>
        <v>1.8205900697885297E-3</v>
      </c>
      <c r="Q2350" t="str">
        <f t="shared" si="471"/>
        <v>2019-06</v>
      </c>
      <c r="S2350">
        <v>9169.2000000000007</v>
      </c>
      <c r="T2350">
        <f t="shared" si="478"/>
        <v>2.0415188561845126E-3</v>
      </c>
      <c r="U2350" t="str">
        <f t="shared" si="472"/>
        <v>2019-06</v>
      </c>
      <c r="W2350">
        <v>20177.810000000001</v>
      </c>
      <c r="X2350">
        <f t="shared" si="479"/>
        <v>1.0948705323502791E-3</v>
      </c>
      <c r="Y2350">
        <f t="shared" si="480"/>
        <v>1.0954701218959446E-3</v>
      </c>
      <c r="Z2350" t="str">
        <f t="shared" si="473"/>
        <v>2019-06</v>
      </c>
    </row>
    <row r="2351" spans="1:26" x14ac:dyDescent="0.35">
      <c r="A2351" s="1">
        <v>43623</v>
      </c>
      <c r="C2351">
        <v>3378.38</v>
      </c>
      <c r="D2351">
        <f t="shared" si="474"/>
        <v>1.1901658920321329E-2</v>
      </c>
      <c r="E2351" t="str">
        <f t="shared" si="468"/>
        <v>2019-06</v>
      </c>
      <c r="G2351">
        <v>5364.05</v>
      </c>
      <c r="H2351">
        <f t="shared" si="475"/>
        <v>1.6090581761431414E-2</v>
      </c>
      <c r="I2351" t="str">
        <f t="shared" si="469"/>
        <v>2019-06</v>
      </c>
      <c r="K2351">
        <v>12045.38</v>
      </c>
      <c r="L2351">
        <f t="shared" si="476"/>
        <v>7.6871785614736829E-3</v>
      </c>
      <c r="M2351" t="str">
        <f t="shared" si="470"/>
        <v>2019-06</v>
      </c>
      <c r="O2351">
        <v>8241.6436699999995</v>
      </c>
      <c r="P2351">
        <f t="shared" si="477"/>
        <v>8.6346103409113938E-3</v>
      </c>
      <c r="Q2351" t="str">
        <f t="shared" si="471"/>
        <v>2019-06</v>
      </c>
      <c r="S2351">
        <v>9236.1</v>
      </c>
      <c r="T2351">
        <f t="shared" si="478"/>
        <v>7.2696771721720982E-3</v>
      </c>
      <c r="U2351" t="str">
        <f t="shared" si="472"/>
        <v>2019-06</v>
      </c>
      <c r="W2351">
        <v>20360.59</v>
      </c>
      <c r="X2351">
        <f t="shared" si="479"/>
        <v>9.0176839054565607E-3</v>
      </c>
      <c r="Y2351">
        <f t="shared" si="480"/>
        <v>9.0584657105998532E-3</v>
      </c>
      <c r="Z2351" t="str">
        <f t="shared" si="473"/>
        <v>2019-06</v>
      </c>
    </row>
    <row r="2352" spans="1:26" x14ac:dyDescent="0.35">
      <c r="A2352" s="1">
        <v>43627</v>
      </c>
      <c r="C2352">
        <v>3401.1</v>
      </c>
      <c r="D2352">
        <f t="shared" si="474"/>
        <v>6.7026040515641688E-3</v>
      </c>
      <c r="E2352" t="str">
        <f t="shared" si="468"/>
        <v>2019-06</v>
      </c>
      <c r="G2352">
        <v>5408.45</v>
      </c>
      <c r="H2352">
        <f t="shared" si="475"/>
        <v>8.2432585601426699E-3</v>
      </c>
      <c r="I2352" t="str">
        <f t="shared" si="469"/>
        <v>2019-06</v>
      </c>
      <c r="K2352">
        <v>12155.81</v>
      </c>
      <c r="L2352">
        <f t="shared" si="476"/>
        <v>9.1260608613896801E-3</v>
      </c>
      <c r="M2352" t="str">
        <f t="shared" si="470"/>
        <v>2019-06</v>
      </c>
      <c r="O2352">
        <v>8311.4196400000001</v>
      </c>
      <c r="P2352">
        <f t="shared" si="477"/>
        <v>8.4306308715361364E-3</v>
      </c>
      <c r="Q2352" t="str">
        <f t="shared" si="471"/>
        <v>2019-06</v>
      </c>
      <c r="S2352">
        <v>9282.1</v>
      </c>
      <c r="T2352">
        <f t="shared" si="478"/>
        <v>4.9680956695786838E-3</v>
      </c>
      <c r="U2352" t="str">
        <f t="shared" si="472"/>
        <v>2019-06</v>
      </c>
      <c r="W2352">
        <v>20609.7</v>
      </c>
      <c r="X2352">
        <f t="shared" si="479"/>
        <v>1.2160669104215966E-2</v>
      </c>
      <c r="Y2352">
        <f t="shared" si="480"/>
        <v>1.223491067793225E-2</v>
      </c>
      <c r="Z2352" t="str">
        <f t="shared" si="473"/>
        <v>2019-06</v>
      </c>
    </row>
    <row r="2353" spans="1:26" x14ac:dyDescent="0.35">
      <c r="A2353" s="1">
        <v>43628</v>
      </c>
      <c r="C2353">
        <v>3386.63</v>
      </c>
      <c r="D2353">
        <f t="shared" si="474"/>
        <v>-4.2635820575628904E-3</v>
      </c>
      <c r="E2353" t="str">
        <f t="shared" si="468"/>
        <v>2019-06</v>
      </c>
      <c r="G2353">
        <v>5374.92</v>
      </c>
      <c r="H2353">
        <f t="shared" si="475"/>
        <v>-6.2188551560369565E-3</v>
      </c>
      <c r="I2353" t="str">
        <f t="shared" si="469"/>
        <v>2019-06</v>
      </c>
      <c r="K2353">
        <v>12115.68</v>
      </c>
      <c r="L2353">
        <f t="shared" si="476"/>
        <v>-3.3067633315793359E-3</v>
      </c>
      <c r="M2353" t="str">
        <f t="shared" si="470"/>
        <v>2019-06</v>
      </c>
      <c r="O2353">
        <v>8275.4474800000007</v>
      </c>
      <c r="P2353">
        <f t="shared" si="477"/>
        <v>-4.337433481087942E-3</v>
      </c>
      <c r="Q2353" t="str">
        <f t="shared" si="471"/>
        <v>2019-06</v>
      </c>
      <c r="S2353">
        <v>9238.5</v>
      </c>
      <c r="T2353">
        <f t="shared" si="478"/>
        <v>-4.7082794880646652E-3</v>
      </c>
      <c r="U2353" t="str">
        <f t="shared" si="472"/>
        <v>2019-06</v>
      </c>
      <c r="W2353">
        <v>20463.25</v>
      </c>
      <c r="X2353">
        <f t="shared" si="479"/>
        <v>-7.1312443171500832E-3</v>
      </c>
      <c r="Y2353">
        <f t="shared" si="480"/>
        <v>-7.1058773296069676E-3</v>
      </c>
      <c r="Z2353" t="str">
        <f t="shared" si="473"/>
        <v>2019-06</v>
      </c>
    </row>
    <row r="2354" spans="1:26" x14ac:dyDescent="0.35">
      <c r="A2354" s="1">
        <v>43629</v>
      </c>
      <c r="C2354">
        <v>3390.5</v>
      </c>
      <c r="D2354">
        <f t="shared" si="474"/>
        <v>1.1420764897969525E-3</v>
      </c>
      <c r="E2354" t="str">
        <f t="shared" si="468"/>
        <v>2019-06</v>
      </c>
      <c r="G2354">
        <v>5375.63</v>
      </c>
      <c r="H2354">
        <f t="shared" si="475"/>
        <v>1.3208626554600883E-4</v>
      </c>
      <c r="I2354" t="str">
        <f t="shared" si="469"/>
        <v>2019-06</v>
      </c>
      <c r="K2354">
        <v>12169.05</v>
      </c>
      <c r="L2354">
        <f t="shared" si="476"/>
        <v>4.3953616879523023E-3</v>
      </c>
      <c r="M2354" t="str">
        <f t="shared" si="470"/>
        <v>2019-06</v>
      </c>
      <c r="O2354">
        <v>8285.3936699999995</v>
      </c>
      <c r="P2354">
        <f t="shared" si="477"/>
        <v>1.2011698084392875E-3</v>
      </c>
      <c r="Q2354" t="str">
        <f t="shared" si="471"/>
        <v>2019-06</v>
      </c>
      <c r="S2354">
        <v>9247.1</v>
      </c>
      <c r="T2354">
        <f t="shared" si="478"/>
        <v>9.3045404211400395E-4</v>
      </c>
      <c r="U2354" t="str">
        <f t="shared" si="472"/>
        <v>2019-06</v>
      </c>
      <c r="W2354">
        <v>20630.75</v>
      </c>
      <c r="X2354">
        <f t="shared" si="479"/>
        <v>8.1520868068925105E-3</v>
      </c>
      <c r="Y2354">
        <f t="shared" si="480"/>
        <v>8.1854055440851274E-3</v>
      </c>
      <c r="Z2354" t="str">
        <f t="shared" si="473"/>
        <v>2019-06</v>
      </c>
    </row>
    <row r="2355" spans="1:26" x14ac:dyDescent="0.35">
      <c r="A2355" s="1">
        <v>43630</v>
      </c>
      <c r="C2355">
        <v>3379.19</v>
      </c>
      <c r="D2355">
        <f t="shared" si="474"/>
        <v>-3.3413673366908892E-3</v>
      </c>
      <c r="E2355" t="str">
        <f t="shared" si="468"/>
        <v>2019-06</v>
      </c>
      <c r="G2355">
        <v>5367.62</v>
      </c>
      <c r="H2355">
        <f t="shared" si="475"/>
        <v>-1.491169149790456E-3</v>
      </c>
      <c r="I2355" t="str">
        <f t="shared" si="469"/>
        <v>2019-06</v>
      </c>
      <c r="K2355">
        <v>12096.4</v>
      </c>
      <c r="L2355">
        <f t="shared" si="476"/>
        <v>-5.987955473787868E-3</v>
      </c>
      <c r="M2355" t="str">
        <f t="shared" si="470"/>
        <v>2019-06</v>
      </c>
      <c r="O2355">
        <v>8254.7457300000005</v>
      </c>
      <c r="P2355">
        <f t="shared" si="477"/>
        <v>-3.7058907829524818E-3</v>
      </c>
      <c r="Q2355" t="str">
        <f t="shared" si="471"/>
        <v>2019-06</v>
      </c>
      <c r="S2355">
        <v>9194.2000000000007</v>
      </c>
      <c r="T2355">
        <f t="shared" si="478"/>
        <v>-5.7371383903672855E-3</v>
      </c>
      <c r="U2355" t="str">
        <f t="shared" si="472"/>
        <v>2019-06</v>
      </c>
      <c r="W2355">
        <v>20612.45</v>
      </c>
      <c r="X2355">
        <f t="shared" si="479"/>
        <v>-8.8741907519086717E-4</v>
      </c>
      <c r="Y2355">
        <f t="shared" si="480"/>
        <v>-8.8702543533314459E-4</v>
      </c>
      <c r="Z2355" t="str">
        <f t="shared" si="473"/>
        <v>2019-06</v>
      </c>
    </row>
    <row r="2356" spans="1:26" x14ac:dyDescent="0.35">
      <c r="A2356" s="1">
        <v>43633</v>
      </c>
      <c r="C2356">
        <v>3383.21</v>
      </c>
      <c r="D2356">
        <f t="shared" si="474"/>
        <v>1.1889271482132047E-3</v>
      </c>
      <c r="E2356" t="str">
        <f t="shared" si="468"/>
        <v>2019-06</v>
      </c>
      <c r="G2356">
        <v>5390.95</v>
      </c>
      <c r="H2356">
        <f t="shared" si="475"/>
        <v>4.3370144116120267E-3</v>
      </c>
      <c r="I2356" t="str">
        <f t="shared" si="469"/>
        <v>2019-06</v>
      </c>
      <c r="K2356">
        <v>12085.82</v>
      </c>
      <c r="L2356">
        <f t="shared" si="476"/>
        <v>-8.750231099593802E-4</v>
      </c>
      <c r="M2356" t="str">
        <f t="shared" si="470"/>
        <v>2019-06</v>
      </c>
      <c r="O2356">
        <v>8230.2778400000007</v>
      </c>
      <c r="P2356">
        <f t="shared" si="477"/>
        <v>-2.9685014235725496E-3</v>
      </c>
      <c r="Q2356" t="str">
        <f t="shared" si="471"/>
        <v>2019-06</v>
      </c>
      <c r="S2356">
        <v>9131.7000000000007</v>
      </c>
      <c r="T2356">
        <f t="shared" si="478"/>
        <v>-6.8209738480603313E-3</v>
      </c>
      <c r="U2356" t="str">
        <f t="shared" si="472"/>
        <v>2019-06</v>
      </c>
      <c r="W2356">
        <v>20626.419999999998</v>
      </c>
      <c r="X2356">
        <f t="shared" si="479"/>
        <v>6.7751616542267683E-4</v>
      </c>
      <c r="Y2356">
        <f t="shared" si="480"/>
        <v>6.7774573134186022E-4</v>
      </c>
      <c r="Z2356" t="str">
        <f t="shared" si="473"/>
        <v>2019-06</v>
      </c>
    </row>
    <row r="2357" spans="1:26" x14ac:dyDescent="0.35">
      <c r="A2357" s="1">
        <v>43634</v>
      </c>
      <c r="C2357">
        <v>3452.89</v>
      </c>
      <c r="D2357">
        <f t="shared" si="474"/>
        <v>2.0386598590357359E-2</v>
      </c>
      <c r="E2357" t="str">
        <f t="shared" si="468"/>
        <v>2019-06</v>
      </c>
      <c r="G2357">
        <v>5509.73</v>
      </c>
      <c r="H2357">
        <f t="shared" si="475"/>
        <v>2.1793998439912716E-2</v>
      </c>
      <c r="I2357" t="str">
        <f t="shared" si="469"/>
        <v>2019-06</v>
      </c>
      <c r="K2357">
        <v>12331.75</v>
      </c>
      <c r="L2357">
        <f t="shared" si="476"/>
        <v>2.0144372793000666E-2</v>
      </c>
      <c r="M2357" t="str">
        <f t="shared" si="470"/>
        <v>2019-06</v>
      </c>
      <c r="O2357">
        <v>8341.4410399999997</v>
      </c>
      <c r="P2357">
        <f t="shared" si="477"/>
        <v>1.3416214479608387E-2</v>
      </c>
      <c r="Q2357" t="str">
        <f t="shared" si="471"/>
        <v>2019-06</v>
      </c>
      <c r="S2357">
        <v>9240.7000000000007</v>
      </c>
      <c r="T2357">
        <f t="shared" si="478"/>
        <v>1.1865763743133341E-2</v>
      </c>
      <c r="U2357" t="str">
        <f t="shared" si="472"/>
        <v>2019-06</v>
      </c>
      <c r="W2357">
        <v>21133.78</v>
      </c>
      <c r="X2357">
        <f t="shared" si="479"/>
        <v>2.429992986275872E-2</v>
      </c>
      <c r="Y2357">
        <f t="shared" si="480"/>
        <v>2.4597579221212435E-2</v>
      </c>
      <c r="Z2357" t="str">
        <f t="shared" si="473"/>
        <v>2019-06</v>
      </c>
    </row>
    <row r="2358" spans="1:26" x14ac:dyDescent="0.35">
      <c r="A2358" s="1">
        <v>43635</v>
      </c>
      <c r="C2358">
        <v>3454.7</v>
      </c>
      <c r="D2358">
        <f t="shared" si="474"/>
        <v>5.24061225818218E-4</v>
      </c>
      <c r="E2358" t="str">
        <f t="shared" si="468"/>
        <v>2019-06</v>
      </c>
      <c r="G2358">
        <v>5518.45</v>
      </c>
      <c r="H2358">
        <f t="shared" si="475"/>
        <v>1.5814036073540556E-3</v>
      </c>
      <c r="I2358" t="str">
        <f t="shared" si="469"/>
        <v>2019-06</v>
      </c>
      <c r="K2358">
        <v>12308.53</v>
      </c>
      <c r="L2358">
        <f t="shared" si="476"/>
        <v>-1.884719400383616E-3</v>
      </c>
      <c r="M2358" t="str">
        <f t="shared" si="470"/>
        <v>2019-06</v>
      </c>
      <c r="O2358">
        <v>8340.2875000000004</v>
      </c>
      <c r="P2358">
        <f t="shared" si="477"/>
        <v>-1.3829981696109294E-4</v>
      </c>
      <c r="Q2358" t="str">
        <f t="shared" si="471"/>
        <v>2019-06</v>
      </c>
      <c r="S2358">
        <v>9231.2000000000007</v>
      </c>
      <c r="T2358">
        <f t="shared" si="478"/>
        <v>-1.0285894615692419E-3</v>
      </c>
      <c r="U2358" t="str">
        <f t="shared" si="472"/>
        <v>2019-06</v>
      </c>
      <c r="W2358">
        <v>21221.38</v>
      </c>
      <c r="X2358">
        <f t="shared" si="479"/>
        <v>4.1364558606278058E-3</v>
      </c>
      <c r="Y2358">
        <f t="shared" si="480"/>
        <v>4.1450228023572778E-3</v>
      </c>
      <c r="Z2358" t="str">
        <f t="shared" si="473"/>
        <v>2019-06</v>
      </c>
    </row>
    <row r="2359" spans="1:26" x14ac:dyDescent="0.35">
      <c r="A2359" s="1">
        <v>43636</v>
      </c>
      <c r="C2359">
        <v>3468.08</v>
      </c>
      <c r="D2359">
        <f t="shared" si="474"/>
        <v>3.8655039335239718E-3</v>
      </c>
      <c r="E2359" t="str">
        <f t="shared" si="468"/>
        <v>2019-06</v>
      </c>
      <c r="G2359">
        <v>5535.57</v>
      </c>
      <c r="H2359">
        <f t="shared" si="475"/>
        <v>3.097518131561314E-3</v>
      </c>
      <c r="I2359" t="str">
        <f t="shared" si="469"/>
        <v>2019-06</v>
      </c>
      <c r="K2359">
        <v>12355.39</v>
      </c>
      <c r="L2359">
        <f t="shared" si="476"/>
        <v>3.7998871537724423E-3</v>
      </c>
      <c r="M2359" t="str">
        <f t="shared" si="470"/>
        <v>2019-06</v>
      </c>
      <c r="O2359">
        <v>8352.8237499999996</v>
      </c>
      <c r="P2359">
        <f t="shared" si="477"/>
        <v>1.5019671490796632E-3</v>
      </c>
      <c r="Q2359" t="str">
        <f t="shared" si="471"/>
        <v>2019-06</v>
      </c>
      <c r="S2359">
        <v>9208.5</v>
      </c>
      <c r="T2359">
        <f t="shared" si="478"/>
        <v>-2.4620803447973042E-3</v>
      </c>
      <c r="U2359" t="str">
        <f t="shared" si="472"/>
        <v>2019-06</v>
      </c>
      <c r="W2359">
        <v>21361.439999999999</v>
      </c>
      <c r="X2359">
        <f t="shared" si="479"/>
        <v>6.5782634909613783E-3</v>
      </c>
      <c r="Y2359">
        <f t="shared" si="480"/>
        <v>6.5999477885037476E-3</v>
      </c>
      <c r="Z2359" t="str">
        <f t="shared" si="473"/>
        <v>2019-06</v>
      </c>
    </row>
    <row r="2360" spans="1:26" x14ac:dyDescent="0.35">
      <c r="A2360" s="1">
        <v>43637</v>
      </c>
      <c r="C2360">
        <v>3466.92</v>
      </c>
      <c r="D2360">
        <f t="shared" si="474"/>
        <v>-3.3453497067574648E-4</v>
      </c>
      <c r="E2360" t="str">
        <f t="shared" si="468"/>
        <v>2019-06</v>
      </c>
      <c r="G2360">
        <v>5528.33</v>
      </c>
      <c r="H2360">
        <f t="shared" si="475"/>
        <v>-1.3087611119808429E-3</v>
      </c>
      <c r="I2360" t="str">
        <f t="shared" si="469"/>
        <v>2019-06</v>
      </c>
      <c r="K2360">
        <v>12339.92</v>
      </c>
      <c r="L2360">
        <f t="shared" si="476"/>
        <v>-1.2528696358605025E-3</v>
      </c>
      <c r="M2360" t="str">
        <f t="shared" si="470"/>
        <v>2019-06</v>
      </c>
      <c r="O2360">
        <v>8299.0648999999994</v>
      </c>
      <c r="P2360">
        <f t="shared" si="477"/>
        <v>-6.4568095426003978E-3</v>
      </c>
      <c r="Q2360" t="str">
        <f t="shared" si="471"/>
        <v>2019-06</v>
      </c>
      <c r="S2360">
        <v>9227.2000000000007</v>
      </c>
      <c r="T2360">
        <f t="shared" si="478"/>
        <v>2.0286733254874264E-3</v>
      </c>
      <c r="U2360" t="str">
        <f t="shared" si="472"/>
        <v>2019-06</v>
      </c>
      <c r="W2360">
        <v>21388.63</v>
      </c>
      <c r="X2360">
        <f t="shared" si="479"/>
        <v>1.2720448722700628E-3</v>
      </c>
      <c r="Y2360">
        <f t="shared" si="480"/>
        <v>1.2728542645066218E-3</v>
      </c>
      <c r="Z2360" t="str">
        <f t="shared" si="473"/>
        <v>2019-06</v>
      </c>
    </row>
    <row r="2361" spans="1:26" x14ac:dyDescent="0.35">
      <c r="A2361" s="1">
        <v>43640</v>
      </c>
      <c r="C2361">
        <v>3455.57</v>
      </c>
      <c r="D2361">
        <f t="shared" si="474"/>
        <v>-3.2791698277646018E-3</v>
      </c>
      <c r="E2361" t="str">
        <f t="shared" si="468"/>
        <v>2019-06</v>
      </c>
      <c r="G2361">
        <v>5521.71</v>
      </c>
      <c r="H2361">
        <f t="shared" si="475"/>
        <v>-1.1981858512729328E-3</v>
      </c>
      <c r="I2361" t="str">
        <f t="shared" si="469"/>
        <v>2019-06</v>
      </c>
      <c r="K2361">
        <v>12274.57</v>
      </c>
      <c r="L2361">
        <f t="shared" si="476"/>
        <v>-5.3098929569532841E-3</v>
      </c>
      <c r="M2361" t="str">
        <f t="shared" si="470"/>
        <v>2019-06</v>
      </c>
      <c r="O2361">
        <v>8294.5280999999995</v>
      </c>
      <c r="P2361">
        <f t="shared" si="477"/>
        <v>-5.4681347349466909E-4</v>
      </c>
      <c r="Q2361" t="str">
        <f t="shared" si="471"/>
        <v>2019-06</v>
      </c>
      <c r="S2361">
        <v>9192.5</v>
      </c>
      <c r="T2361">
        <f t="shared" si="478"/>
        <v>-3.7677096857212122E-3</v>
      </c>
      <c r="U2361" t="str">
        <f t="shared" si="472"/>
        <v>2019-06</v>
      </c>
      <c r="W2361">
        <v>21284.1</v>
      </c>
      <c r="X2361">
        <f t="shared" si="479"/>
        <v>-4.8991573342084069E-3</v>
      </c>
      <c r="Y2361">
        <f t="shared" si="480"/>
        <v>-4.8871760369879917E-3</v>
      </c>
      <c r="Z2361" t="str">
        <f t="shared" si="473"/>
        <v>2019-06</v>
      </c>
    </row>
    <row r="2362" spans="1:26" x14ac:dyDescent="0.35">
      <c r="A2362" s="1">
        <v>43641</v>
      </c>
      <c r="C2362">
        <v>3444.36</v>
      </c>
      <c r="D2362">
        <f t="shared" si="474"/>
        <v>-3.249311185171942E-3</v>
      </c>
      <c r="E2362" t="str">
        <f t="shared" si="468"/>
        <v>2019-06</v>
      </c>
      <c r="G2362">
        <v>5514.57</v>
      </c>
      <c r="H2362">
        <f t="shared" si="475"/>
        <v>-1.2939144342401512E-3</v>
      </c>
      <c r="I2362" t="str">
        <f t="shared" si="469"/>
        <v>2019-06</v>
      </c>
      <c r="K2362">
        <v>12228.44</v>
      </c>
      <c r="L2362">
        <f t="shared" si="476"/>
        <v>-3.7652561460268753E-3</v>
      </c>
      <c r="M2362" t="str">
        <f t="shared" si="470"/>
        <v>2019-06</v>
      </c>
      <c r="O2362">
        <v>8291.1998600000006</v>
      </c>
      <c r="P2362">
        <f t="shared" si="477"/>
        <v>-4.01337831260694E-4</v>
      </c>
      <c r="Q2362" t="str">
        <f t="shared" si="471"/>
        <v>2019-06</v>
      </c>
      <c r="S2362">
        <v>9159.7999999999993</v>
      </c>
      <c r="T2362">
        <f t="shared" si="478"/>
        <v>-3.5635898067531415E-3</v>
      </c>
      <c r="U2362" t="str">
        <f t="shared" si="472"/>
        <v>2019-06</v>
      </c>
      <c r="W2362">
        <v>21128.41</v>
      </c>
      <c r="X2362">
        <f t="shared" si="479"/>
        <v>-7.3417347532991825E-3</v>
      </c>
      <c r="Y2362">
        <f t="shared" si="480"/>
        <v>-7.3148500523864618E-3</v>
      </c>
      <c r="Z2362" t="str">
        <f t="shared" si="473"/>
        <v>2019-06</v>
      </c>
    </row>
    <row r="2363" spans="1:26" x14ac:dyDescent="0.35">
      <c r="A2363" s="1">
        <v>43642</v>
      </c>
      <c r="C2363">
        <v>3442.95</v>
      </c>
      <c r="D2363">
        <f t="shared" si="474"/>
        <v>-4.0944868742628042E-4</v>
      </c>
      <c r="E2363" t="str">
        <f t="shared" si="468"/>
        <v>2019-06</v>
      </c>
      <c r="G2363">
        <v>5500.72</v>
      </c>
      <c r="H2363">
        <f t="shared" si="475"/>
        <v>-2.5146877292472705E-3</v>
      </c>
      <c r="I2363" t="str">
        <f t="shared" si="469"/>
        <v>2019-06</v>
      </c>
      <c r="K2363">
        <v>12245.32</v>
      </c>
      <c r="L2363">
        <f t="shared" si="476"/>
        <v>1.3794368071492898E-3</v>
      </c>
      <c r="M2363" t="str">
        <f t="shared" si="470"/>
        <v>2019-06</v>
      </c>
      <c r="O2363">
        <v>8273.1547200000005</v>
      </c>
      <c r="P2363">
        <f t="shared" si="477"/>
        <v>-2.1787926660723237E-3</v>
      </c>
      <c r="Q2363" t="str">
        <f t="shared" si="471"/>
        <v>2019-06</v>
      </c>
      <c r="S2363">
        <v>9157.4</v>
      </c>
      <c r="T2363">
        <f t="shared" si="478"/>
        <v>-2.6204878624830872E-4</v>
      </c>
      <c r="U2363" t="str">
        <f t="shared" si="472"/>
        <v>2019-06</v>
      </c>
      <c r="W2363">
        <v>21057.14</v>
      </c>
      <c r="X2363">
        <f t="shared" si="479"/>
        <v>-3.3788853200519102E-3</v>
      </c>
      <c r="Y2363">
        <f t="shared" si="480"/>
        <v>-3.3731833110016529E-3</v>
      </c>
      <c r="Z2363" t="str">
        <f t="shared" si="473"/>
        <v>2019-06</v>
      </c>
    </row>
    <row r="2364" spans="1:26" x14ac:dyDescent="0.35">
      <c r="A2364" s="1">
        <v>43643</v>
      </c>
      <c r="C2364">
        <v>3442.38</v>
      </c>
      <c r="D2364">
        <f t="shared" si="474"/>
        <v>-1.6556940663758012E-4</v>
      </c>
      <c r="E2364" t="str">
        <f t="shared" si="468"/>
        <v>2019-06</v>
      </c>
      <c r="G2364">
        <v>5493.61</v>
      </c>
      <c r="H2364">
        <f t="shared" si="475"/>
        <v>-1.293394138828792E-3</v>
      </c>
      <c r="I2364" t="str">
        <f t="shared" si="469"/>
        <v>2019-06</v>
      </c>
      <c r="K2364">
        <v>12271.03</v>
      </c>
      <c r="L2364">
        <f t="shared" si="476"/>
        <v>2.0973766017235991E-3</v>
      </c>
      <c r="M2364" t="str">
        <f t="shared" si="470"/>
        <v>2019-06</v>
      </c>
      <c r="O2364">
        <v>8256.7956799999993</v>
      </c>
      <c r="P2364">
        <f t="shared" si="477"/>
        <v>-1.9793217698751285E-3</v>
      </c>
      <c r="Q2364" t="str">
        <f t="shared" si="471"/>
        <v>2019-06</v>
      </c>
      <c r="S2364">
        <v>9147.7999999999993</v>
      </c>
      <c r="T2364">
        <f t="shared" si="478"/>
        <v>-1.0488823809762632E-3</v>
      </c>
      <c r="U2364" t="str">
        <f t="shared" si="472"/>
        <v>2019-06</v>
      </c>
      <c r="W2364">
        <v>21110.87</v>
      </c>
      <c r="X2364">
        <f t="shared" si="479"/>
        <v>2.5483786917109685E-3</v>
      </c>
      <c r="Y2364">
        <f t="shared" si="480"/>
        <v>2.5516285687419834E-3</v>
      </c>
      <c r="Z2364" t="str">
        <f t="shared" si="473"/>
        <v>2019-06</v>
      </c>
    </row>
    <row r="2365" spans="1:26" x14ac:dyDescent="0.35">
      <c r="A2365" s="1">
        <v>43644</v>
      </c>
      <c r="C2365">
        <v>3473.69</v>
      </c>
      <c r="D2365">
        <f t="shared" si="474"/>
        <v>9.054336899957308E-3</v>
      </c>
      <c r="E2365" t="str">
        <f t="shared" si="468"/>
        <v>2019-06</v>
      </c>
      <c r="G2365">
        <v>5538.97</v>
      </c>
      <c r="H2365">
        <f t="shared" si="475"/>
        <v>8.2229642735438587E-3</v>
      </c>
      <c r="I2365" t="str">
        <f t="shared" si="469"/>
        <v>2019-06</v>
      </c>
      <c r="K2365">
        <v>12398.8</v>
      </c>
      <c r="L2365">
        <f t="shared" si="476"/>
        <v>1.0358493954570275E-2</v>
      </c>
      <c r="M2365" t="str">
        <f t="shared" si="470"/>
        <v>2019-06</v>
      </c>
      <c r="O2365">
        <v>8299.0028000000002</v>
      </c>
      <c r="P2365">
        <f t="shared" si="477"/>
        <v>5.0987829419672894E-3</v>
      </c>
      <c r="Q2365" t="str">
        <f t="shared" si="471"/>
        <v>2019-06</v>
      </c>
      <c r="S2365">
        <v>9198.7999999999993</v>
      </c>
      <c r="T2365">
        <f t="shared" si="478"/>
        <v>5.5596275457176067E-3</v>
      </c>
      <c r="U2365" t="str">
        <f t="shared" si="472"/>
        <v>2019-06</v>
      </c>
      <c r="W2365">
        <v>21234.79</v>
      </c>
      <c r="X2365">
        <f t="shared" si="479"/>
        <v>5.8528006762731503E-3</v>
      </c>
      <c r="Y2365">
        <f t="shared" si="480"/>
        <v>5.8699617779846072E-3</v>
      </c>
      <c r="Z2365" t="str">
        <f t="shared" si="473"/>
        <v>2019-06</v>
      </c>
    </row>
    <row r="2366" spans="1:26" x14ac:dyDescent="0.35">
      <c r="A2366" s="1">
        <v>43647</v>
      </c>
      <c r="C2366">
        <v>3497.59</v>
      </c>
      <c r="D2366">
        <f t="shared" si="474"/>
        <v>6.8567303673471684E-3</v>
      </c>
      <c r="E2366" t="str">
        <f t="shared" si="468"/>
        <v>2019-07</v>
      </c>
      <c r="G2366">
        <v>5567.91</v>
      </c>
      <c r="H2366">
        <f t="shared" si="475"/>
        <v>5.2111962121775112E-3</v>
      </c>
      <c r="I2366" t="str">
        <f t="shared" si="469"/>
        <v>2019-07</v>
      </c>
      <c r="K2366">
        <v>12521.38</v>
      </c>
      <c r="L2366">
        <f t="shared" si="476"/>
        <v>9.8378895054273031E-3</v>
      </c>
      <c r="M2366" t="str">
        <f t="shared" si="470"/>
        <v>2019-07</v>
      </c>
      <c r="O2366">
        <v>8387.7202500000003</v>
      </c>
      <c r="P2366">
        <f t="shared" si="477"/>
        <v>1.0633398261185393E-2</v>
      </c>
      <c r="Q2366" t="str">
        <f t="shared" si="471"/>
        <v>2019-07</v>
      </c>
      <c r="S2366">
        <v>9264.6</v>
      </c>
      <c r="T2366">
        <f t="shared" si="478"/>
        <v>7.1276448077066687E-3</v>
      </c>
      <c r="U2366" t="str">
        <f t="shared" si="472"/>
        <v>2019-07</v>
      </c>
      <c r="W2366">
        <v>21254.04</v>
      </c>
      <c r="X2366">
        <f t="shared" si="479"/>
        <v>9.0612056472765088E-4</v>
      </c>
      <c r="Y2366">
        <f t="shared" si="480"/>
        <v>9.0653121599036299E-4</v>
      </c>
      <c r="Z2366" t="str">
        <f t="shared" si="473"/>
        <v>2019-07</v>
      </c>
    </row>
    <row r="2367" spans="1:26" x14ac:dyDescent="0.35">
      <c r="A2367" s="1">
        <v>43648</v>
      </c>
      <c r="C2367">
        <v>3507.98</v>
      </c>
      <c r="D2367">
        <f t="shared" si="474"/>
        <v>2.9662133467985409E-3</v>
      </c>
      <c r="E2367" t="str">
        <f t="shared" si="468"/>
        <v>2019-07</v>
      </c>
      <c r="G2367">
        <v>5576.82</v>
      </c>
      <c r="H2367">
        <f t="shared" si="475"/>
        <v>1.5989623612837115E-3</v>
      </c>
      <c r="I2367" t="str">
        <f t="shared" si="469"/>
        <v>2019-07</v>
      </c>
      <c r="K2367">
        <v>12526.72</v>
      </c>
      <c r="L2367">
        <f t="shared" si="476"/>
        <v>4.2637965202161352E-4</v>
      </c>
      <c r="M2367" t="str">
        <f t="shared" si="470"/>
        <v>2019-07</v>
      </c>
      <c r="O2367">
        <v>8433.6412700000001</v>
      </c>
      <c r="P2367">
        <f t="shared" si="477"/>
        <v>5.4598593604991081E-3</v>
      </c>
      <c r="Q2367" t="str">
        <f t="shared" si="471"/>
        <v>2019-07</v>
      </c>
      <c r="S2367">
        <v>9281.5</v>
      </c>
      <c r="T2367">
        <f t="shared" si="478"/>
        <v>1.8224860944044267E-3</v>
      </c>
      <c r="U2367" t="str">
        <f t="shared" si="472"/>
        <v>2019-07</v>
      </c>
      <c r="W2367">
        <v>21392.87</v>
      </c>
      <c r="X2367">
        <f t="shared" si="479"/>
        <v>6.5106939943191562E-3</v>
      </c>
      <c r="Y2367">
        <f t="shared" si="480"/>
        <v>6.5319346345446847E-3</v>
      </c>
      <c r="Z2367" t="str">
        <f t="shared" si="473"/>
        <v>2019-07</v>
      </c>
    </row>
    <row r="2368" spans="1:26" x14ac:dyDescent="0.35">
      <c r="A2368" s="1">
        <v>43649</v>
      </c>
      <c r="C2368">
        <v>3540.63</v>
      </c>
      <c r="D2368">
        <f t="shared" si="474"/>
        <v>9.2643041738814345E-3</v>
      </c>
      <c r="E2368" t="str">
        <f t="shared" si="468"/>
        <v>2019-07</v>
      </c>
      <c r="G2368">
        <v>5618.81</v>
      </c>
      <c r="H2368">
        <f t="shared" si="475"/>
        <v>7.5011762428169116E-3</v>
      </c>
      <c r="I2368" t="str">
        <f t="shared" si="469"/>
        <v>2019-07</v>
      </c>
      <c r="K2368">
        <v>12616.24</v>
      </c>
      <c r="L2368">
        <f t="shared" si="476"/>
        <v>7.1209100500963657E-3</v>
      </c>
      <c r="M2368" t="str">
        <f t="shared" si="470"/>
        <v>2019-07</v>
      </c>
      <c r="O2368">
        <v>8482.1557499999999</v>
      </c>
      <c r="P2368">
        <f t="shared" si="477"/>
        <v>5.7360126703510225E-3</v>
      </c>
      <c r="Q2368" t="str">
        <f t="shared" si="471"/>
        <v>2019-07</v>
      </c>
      <c r="S2368">
        <v>9394.4</v>
      </c>
      <c r="T2368">
        <f t="shared" si="478"/>
        <v>1.209059540159336E-2</v>
      </c>
      <c r="U2368" t="str">
        <f t="shared" si="472"/>
        <v>2019-07</v>
      </c>
      <c r="W2368">
        <v>21905.34</v>
      </c>
      <c r="X2368">
        <f t="shared" si="479"/>
        <v>2.3672753774087008E-2</v>
      </c>
      <c r="Y2368">
        <f t="shared" si="480"/>
        <v>2.3955177589542739E-2</v>
      </c>
      <c r="Z2368" t="str">
        <f t="shared" si="473"/>
        <v>2019-07</v>
      </c>
    </row>
    <row r="2369" spans="1:26" x14ac:dyDescent="0.35">
      <c r="A2369" s="1">
        <v>43650</v>
      </c>
      <c r="C2369">
        <v>3544.15</v>
      </c>
      <c r="D2369">
        <f t="shared" si="474"/>
        <v>9.9367949029815746E-4</v>
      </c>
      <c r="E2369" t="str">
        <f t="shared" si="468"/>
        <v>2019-07</v>
      </c>
      <c r="G2369">
        <v>5620.73</v>
      </c>
      <c r="H2369">
        <f t="shared" si="475"/>
        <v>3.4165099615732393E-4</v>
      </c>
      <c r="I2369" t="str">
        <f t="shared" si="469"/>
        <v>2019-07</v>
      </c>
      <c r="K2369">
        <v>12629.9</v>
      </c>
      <c r="L2369">
        <f t="shared" si="476"/>
        <v>1.0821457326176188E-3</v>
      </c>
      <c r="M2369" t="str">
        <f t="shared" si="470"/>
        <v>2019-07</v>
      </c>
      <c r="O2369">
        <v>8481.1494700000003</v>
      </c>
      <c r="P2369">
        <f t="shared" si="477"/>
        <v>-1.1864197314495065E-4</v>
      </c>
      <c r="Q2369" t="str">
        <f t="shared" si="471"/>
        <v>2019-07</v>
      </c>
      <c r="S2369">
        <v>9401</v>
      </c>
      <c r="T2369">
        <f t="shared" si="478"/>
        <v>7.0229952767946824E-4</v>
      </c>
      <c r="U2369" t="str">
        <f t="shared" si="472"/>
        <v>2019-07</v>
      </c>
      <c r="W2369">
        <v>22120.7</v>
      </c>
      <c r="X2369">
        <f t="shared" si="479"/>
        <v>9.7833790072227381E-3</v>
      </c>
      <c r="Y2369">
        <f t="shared" si="480"/>
        <v>9.8313927106358813E-3</v>
      </c>
      <c r="Z2369" t="str">
        <f t="shared" si="473"/>
        <v>2019-07</v>
      </c>
    </row>
    <row r="2370" spans="1:26" x14ac:dyDescent="0.35">
      <c r="A2370" s="1">
        <v>43651</v>
      </c>
      <c r="C2370">
        <v>3527.98</v>
      </c>
      <c r="D2370">
        <f t="shared" si="474"/>
        <v>-4.5728877093520132E-3</v>
      </c>
      <c r="E2370" t="str">
        <f t="shared" si="468"/>
        <v>2019-07</v>
      </c>
      <c r="G2370">
        <v>5593.72</v>
      </c>
      <c r="H2370">
        <f t="shared" si="475"/>
        <v>-4.8170088104823013E-3</v>
      </c>
      <c r="I2370" t="str">
        <f t="shared" si="469"/>
        <v>2019-07</v>
      </c>
      <c r="K2370">
        <v>12568.53</v>
      </c>
      <c r="L2370">
        <f t="shared" si="476"/>
        <v>-4.8709480185358672E-3</v>
      </c>
      <c r="M2370" t="str">
        <f t="shared" si="470"/>
        <v>2019-07</v>
      </c>
      <c r="O2370">
        <v>8422.9730400000008</v>
      </c>
      <c r="P2370">
        <f t="shared" si="477"/>
        <v>-6.883132756911812E-3</v>
      </c>
      <c r="Q2370" t="str">
        <f t="shared" si="471"/>
        <v>2019-07</v>
      </c>
      <c r="S2370">
        <v>9335</v>
      </c>
      <c r="T2370">
        <f t="shared" si="478"/>
        <v>-7.0452896027279411E-3</v>
      </c>
      <c r="U2370" t="str">
        <f t="shared" si="472"/>
        <v>2019-07</v>
      </c>
      <c r="W2370">
        <v>21985.79</v>
      </c>
      <c r="X2370">
        <f t="shared" si="479"/>
        <v>-6.1174861447815263E-3</v>
      </c>
      <c r="Y2370">
        <f t="shared" si="480"/>
        <v>-6.0988124245616032E-3</v>
      </c>
      <c r="Z2370" t="str">
        <f t="shared" si="473"/>
        <v>2019-07</v>
      </c>
    </row>
    <row r="2371" spans="1:26" x14ac:dyDescent="0.35">
      <c r="A2371" s="1">
        <v>43654</v>
      </c>
      <c r="C2371">
        <v>3523.76</v>
      </c>
      <c r="D2371">
        <f t="shared" si="474"/>
        <v>-1.1968678663023739E-3</v>
      </c>
      <c r="E2371" t="str">
        <f t="shared" si="468"/>
        <v>2019-07</v>
      </c>
      <c r="G2371">
        <v>5589.19</v>
      </c>
      <c r="H2371">
        <f t="shared" si="475"/>
        <v>-8.1016484041797213E-4</v>
      </c>
      <c r="I2371" t="str">
        <f t="shared" si="469"/>
        <v>2019-07</v>
      </c>
      <c r="K2371">
        <v>12543.51</v>
      </c>
      <c r="L2371">
        <f t="shared" si="476"/>
        <v>-1.9926703110525763E-3</v>
      </c>
      <c r="M2371" t="str">
        <f t="shared" si="470"/>
        <v>2019-07</v>
      </c>
      <c r="O2371">
        <v>8425.6988500000007</v>
      </c>
      <c r="P2371">
        <f t="shared" si="477"/>
        <v>3.2356378491748275E-4</v>
      </c>
      <c r="Q2371" t="str">
        <f t="shared" si="471"/>
        <v>2019-07</v>
      </c>
      <c r="S2371">
        <v>9284.7000000000007</v>
      </c>
      <c r="T2371">
        <f t="shared" si="478"/>
        <v>-5.4028928887077015E-3</v>
      </c>
      <c r="U2371" t="str">
        <f t="shared" si="472"/>
        <v>2019-07</v>
      </c>
      <c r="W2371">
        <v>21976</v>
      </c>
      <c r="X2371">
        <f t="shared" si="479"/>
        <v>-4.4538678528952301E-4</v>
      </c>
      <c r="Y2371">
        <f t="shared" si="480"/>
        <v>-4.4528761531884334E-4</v>
      </c>
      <c r="Z2371" t="str">
        <f t="shared" si="473"/>
        <v>2019-07</v>
      </c>
    </row>
    <row r="2372" spans="1:26" x14ac:dyDescent="0.35">
      <c r="A2372" s="1">
        <v>43655</v>
      </c>
      <c r="C2372">
        <v>3509.75</v>
      </c>
      <c r="D2372">
        <f t="shared" si="474"/>
        <v>-3.9837914580100808E-3</v>
      </c>
      <c r="E2372" t="str">
        <f t="shared" ref="E2372:E2435" si="481">_xlfn.CONCAT(YEAR(A2372),"-",TEXT(MONTH(A2372),"00"))</f>
        <v>2019-07</v>
      </c>
      <c r="G2372">
        <v>5572.1</v>
      </c>
      <c r="H2372">
        <f t="shared" si="475"/>
        <v>-3.0623724239779047E-3</v>
      </c>
      <c r="I2372" t="str">
        <f t="shared" ref="I2372:I2435" si="482">_xlfn.CONCAT(YEAR(A2372),"-",TEXT(MONTH(A2372),"00"))</f>
        <v>2019-07</v>
      </c>
      <c r="K2372">
        <v>12436.55</v>
      </c>
      <c r="L2372">
        <f t="shared" si="476"/>
        <v>-8.5636826871759875E-3</v>
      </c>
      <c r="M2372" t="str">
        <f t="shared" ref="M2372:M2435" si="483">_xlfn.CONCAT(YEAR(A2372),"-",TEXT(MONTH(A2372),"00"))</f>
        <v>2019-07</v>
      </c>
      <c r="O2372">
        <v>8382.2973899999997</v>
      </c>
      <c r="P2372">
        <f t="shared" si="477"/>
        <v>-5.1643938805628915E-3</v>
      </c>
      <c r="Q2372" t="str">
        <f t="shared" ref="Q2372:Q2435" si="484">_xlfn.CONCAT(YEAR(A2372),"-",TEXT(MONTH(A2372),"00"))</f>
        <v>2019-07</v>
      </c>
      <c r="S2372">
        <v>9273.9</v>
      </c>
      <c r="T2372">
        <f t="shared" si="478"/>
        <v>-1.1638810275730331E-3</v>
      </c>
      <c r="U2372" t="str">
        <f t="shared" ref="U2372:U2435" si="485">_xlfn.CONCAT(YEAR(A2372),"-",TEXT(MONTH(A2372),"00"))</f>
        <v>2019-07</v>
      </c>
      <c r="W2372">
        <v>21886.17</v>
      </c>
      <c r="X2372">
        <f t="shared" si="479"/>
        <v>-4.0960183042714005E-3</v>
      </c>
      <c r="Y2372">
        <f t="shared" si="480"/>
        <v>-4.0876410629778733E-3</v>
      </c>
      <c r="Z2372" t="str">
        <f t="shared" ref="Z2372:Z2435" si="486">_xlfn.CONCAT(YEAR(A2372),"-",TEXT(MONTH(A2372),"00"))</f>
        <v>2019-07</v>
      </c>
    </row>
    <row r="2373" spans="1:26" x14ac:dyDescent="0.35">
      <c r="A2373" s="1">
        <v>43656</v>
      </c>
      <c r="C2373">
        <v>3501.52</v>
      </c>
      <c r="D2373">
        <f t="shared" ref="D2373:D2436" si="487">LN(C2373/C2372)</f>
        <v>-2.347649935016806E-3</v>
      </c>
      <c r="E2373" t="str">
        <f t="shared" si="481"/>
        <v>2019-07</v>
      </c>
      <c r="G2373">
        <v>5567.59</v>
      </c>
      <c r="H2373">
        <f t="shared" ref="H2373:H2436" si="488">LN(G2373/G2372)</f>
        <v>-8.0971737030606614E-4</v>
      </c>
      <c r="I2373" t="str">
        <f t="shared" si="482"/>
        <v>2019-07</v>
      </c>
      <c r="K2373">
        <v>12373.41</v>
      </c>
      <c r="L2373">
        <f t="shared" ref="L2373:L2436" si="489">LN(K2373/K2372)</f>
        <v>-5.0899023065328324E-3</v>
      </c>
      <c r="M2373" t="str">
        <f t="shared" si="483"/>
        <v>2019-07</v>
      </c>
      <c r="O2373">
        <v>8369.4399099999991</v>
      </c>
      <c r="P2373">
        <f t="shared" ref="P2373:P2436" si="490">LN(O2373/O2372)</f>
        <v>-1.5350625782317591E-3</v>
      </c>
      <c r="Q2373" t="str">
        <f t="shared" si="484"/>
        <v>2019-07</v>
      </c>
      <c r="S2373">
        <v>9252.9</v>
      </c>
      <c r="T2373">
        <f t="shared" ref="T2373:T2436" si="491">LN(S2373/S2372)</f>
        <v>-2.2669871746500256E-3</v>
      </c>
      <c r="U2373" t="str">
        <f t="shared" si="485"/>
        <v>2019-07</v>
      </c>
      <c r="W2373">
        <v>22044.959999999999</v>
      </c>
      <c r="X2373">
        <f t="shared" ref="X2373:X2436" si="492">LN(W2373/W2372)</f>
        <v>7.2290738491518989E-3</v>
      </c>
      <c r="Y2373">
        <f t="shared" ref="Y2373:Y2436" si="493">(W2373-W2372)/W2372</f>
        <v>7.25526668211025E-3</v>
      </c>
      <c r="Z2373" t="str">
        <f t="shared" si="486"/>
        <v>2019-07</v>
      </c>
    </row>
    <row r="2374" spans="1:26" x14ac:dyDescent="0.35">
      <c r="A2374" s="1">
        <v>43657</v>
      </c>
      <c r="C2374">
        <v>3496.73</v>
      </c>
      <c r="D2374">
        <f t="shared" si="487"/>
        <v>-1.3689138707558448E-3</v>
      </c>
      <c r="E2374" t="str">
        <f t="shared" si="481"/>
        <v>2019-07</v>
      </c>
      <c r="G2374">
        <v>5551.95</v>
      </c>
      <c r="H2374">
        <f t="shared" si="488"/>
        <v>-2.8130678631909461E-3</v>
      </c>
      <c r="I2374" t="str">
        <f t="shared" si="482"/>
        <v>2019-07</v>
      </c>
      <c r="K2374">
        <v>12332.12</v>
      </c>
      <c r="L2374">
        <f t="shared" si="489"/>
        <v>-3.3425745931175551E-3</v>
      </c>
      <c r="M2374" t="str">
        <f t="shared" si="483"/>
        <v>2019-07</v>
      </c>
      <c r="O2374">
        <v>8355.2919999999995</v>
      </c>
      <c r="P2374">
        <f t="shared" si="490"/>
        <v>-1.6918553254965682E-3</v>
      </c>
      <c r="Q2374" t="str">
        <f t="shared" si="484"/>
        <v>2019-07</v>
      </c>
      <c r="S2374">
        <v>9280.2999999999993</v>
      </c>
      <c r="T2374">
        <f t="shared" si="491"/>
        <v>2.9568579590357061E-3</v>
      </c>
      <c r="U2374" t="str">
        <f t="shared" si="485"/>
        <v>2019-07</v>
      </c>
      <c r="W2374">
        <v>22169.42</v>
      </c>
      <c r="X2374">
        <f t="shared" si="492"/>
        <v>5.6298574686724197E-3</v>
      </c>
      <c r="Y2374">
        <f t="shared" si="493"/>
        <v>5.6457348981354075E-3</v>
      </c>
      <c r="Z2374" t="str">
        <f t="shared" si="486"/>
        <v>2019-07</v>
      </c>
    </row>
    <row r="2375" spans="1:26" x14ac:dyDescent="0.35">
      <c r="A2375" s="1">
        <v>43658</v>
      </c>
      <c r="C2375">
        <v>3497.63</v>
      </c>
      <c r="D2375">
        <f t="shared" si="487"/>
        <v>2.5735020930212814E-4</v>
      </c>
      <c r="E2375" t="str">
        <f t="shared" si="481"/>
        <v>2019-07</v>
      </c>
      <c r="G2375">
        <v>5572.86</v>
      </c>
      <c r="H2375">
        <f t="shared" si="488"/>
        <v>3.7591697519120605E-3</v>
      </c>
      <c r="I2375" t="str">
        <f t="shared" si="482"/>
        <v>2019-07</v>
      </c>
      <c r="K2375">
        <v>12323.32</v>
      </c>
      <c r="L2375">
        <f t="shared" si="489"/>
        <v>-7.1383843676546717E-4</v>
      </c>
      <c r="M2375" t="str">
        <f t="shared" si="483"/>
        <v>2019-07</v>
      </c>
      <c r="O2375">
        <v>8371.2748499999998</v>
      </c>
      <c r="P2375">
        <f t="shared" si="490"/>
        <v>1.9110741621657509E-3</v>
      </c>
      <c r="Q2375" t="str">
        <f t="shared" si="484"/>
        <v>2019-07</v>
      </c>
      <c r="S2375">
        <v>9293.2000000000007</v>
      </c>
      <c r="T2375">
        <f t="shared" si="491"/>
        <v>1.3890760572049831E-3</v>
      </c>
      <c r="U2375" t="str">
        <f t="shared" si="485"/>
        <v>2019-07</v>
      </c>
      <c r="W2375">
        <v>22182.7</v>
      </c>
      <c r="X2375">
        <f t="shared" si="492"/>
        <v>5.9884399649293878E-4</v>
      </c>
      <c r="Y2375">
        <f t="shared" si="493"/>
        <v>5.9902333935675696E-4</v>
      </c>
      <c r="Z2375" t="str">
        <f t="shared" si="486"/>
        <v>2019-07</v>
      </c>
    </row>
    <row r="2376" spans="1:26" x14ac:dyDescent="0.35">
      <c r="A2376" s="1">
        <v>43661</v>
      </c>
      <c r="C2376">
        <v>3502.22</v>
      </c>
      <c r="D2376">
        <f t="shared" si="487"/>
        <v>1.3114568620381753E-3</v>
      </c>
      <c r="E2376" t="str">
        <f t="shared" si="481"/>
        <v>2019-07</v>
      </c>
      <c r="G2376">
        <v>5578.21</v>
      </c>
      <c r="H2376">
        <f t="shared" si="488"/>
        <v>9.5954924693235106E-4</v>
      </c>
      <c r="I2376" t="str">
        <f t="shared" si="482"/>
        <v>2019-07</v>
      </c>
      <c r="K2376">
        <v>12387.34</v>
      </c>
      <c r="L2376">
        <f t="shared" si="489"/>
        <v>5.1815810049740778E-3</v>
      </c>
      <c r="M2376" t="str">
        <f t="shared" si="483"/>
        <v>2019-07</v>
      </c>
      <c r="O2376">
        <v>8369.9156800000001</v>
      </c>
      <c r="P2376">
        <f t="shared" si="490"/>
        <v>-1.6237435450602877E-4</v>
      </c>
      <c r="Q2376" t="str">
        <f t="shared" si="484"/>
        <v>2019-07</v>
      </c>
      <c r="S2376">
        <v>9323.6</v>
      </c>
      <c r="T2376">
        <f t="shared" si="491"/>
        <v>3.2658702913817019E-3</v>
      </c>
      <c r="U2376" t="str">
        <f t="shared" si="485"/>
        <v>2019-07</v>
      </c>
      <c r="W2376">
        <v>22178.05</v>
      </c>
      <c r="X2376">
        <f t="shared" si="492"/>
        <v>-2.0964478810801568E-4</v>
      </c>
      <c r="Y2376">
        <f t="shared" si="493"/>
        <v>-2.0962281417507585E-4</v>
      </c>
      <c r="Z2376" t="str">
        <f t="shared" si="486"/>
        <v>2019-07</v>
      </c>
    </row>
    <row r="2377" spans="1:26" x14ac:dyDescent="0.35">
      <c r="A2377" s="1">
        <v>43662</v>
      </c>
      <c r="C2377">
        <v>3521.36</v>
      </c>
      <c r="D2377">
        <f t="shared" si="487"/>
        <v>5.4502254916680209E-3</v>
      </c>
      <c r="E2377" t="str">
        <f t="shared" si="481"/>
        <v>2019-07</v>
      </c>
      <c r="G2377">
        <v>5614.38</v>
      </c>
      <c r="H2377">
        <f t="shared" si="488"/>
        <v>6.463227172909528E-3</v>
      </c>
      <c r="I2377" t="str">
        <f t="shared" si="482"/>
        <v>2019-07</v>
      </c>
      <c r="K2377">
        <v>12430.97</v>
      </c>
      <c r="L2377">
        <f t="shared" si="489"/>
        <v>3.5159561586563964E-3</v>
      </c>
      <c r="M2377" t="str">
        <f t="shared" si="483"/>
        <v>2019-07</v>
      </c>
      <c r="O2377">
        <v>8391.4803900000006</v>
      </c>
      <c r="P2377">
        <f t="shared" si="490"/>
        <v>2.5731414982822403E-3</v>
      </c>
      <c r="Q2377" t="str">
        <f t="shared" si="484"/>
        <v>2019-07</v>
      </c>
      <c r="S2377">
        <v>9377.1</v>
      </c>
      <c r="T2377">
        <f t="shared" si="491"/>
        <v>5.7217265618428534E-3</v>
      </c>
      <c r="U2377" t="str">
        <f t="shared" si="485"/>
        <v>2019-07</v>
      </c>
      <c r="W2377">
        <v>22204.080000000002</v>
      </c>
      <c r="X2377">
        <f t="shared" si="492"/>
        <v>1.172994760936174E-3</v>
      </c>
      <c r="Y2377">
        <f t="shared" si="493"/>
        <v>1.1736829883602245E-3</v>
      </c>
      <c r="Z2377" t="str">
        <f t="shared" si="486"/>
        <v>2019-07</v>
      </c>
    </row>
    <row r="2378" spans="1:26" x14ac:dyDescent="0.35">
      <c r="A2378" s="1">
        <v>43663</v>
      </c>
      <c r="C2378">
        <v>3501.58</v>
      </c>
      <c r="D2378">
        <f t="shared" si="487"/>
        <v>-5.6329834235852756E-3</v>
      </c>
      <c r="E2378" t="str">
        <f t="shared" si="481"/>
        <v>2019-07</v>
      </c>
      <c r="G2378">
        <v>5571.71</v>
      </c>
      <c r="H2378">
        <f t="shared" si="488"/>
        <v>-7.6291549528997946E-3</v>
      </c>
      <c r="I2378" t="str">
        <f t="shared" si="482"/>
        <v>2019-07</v>
      </c>
      <c r="K2378">
        <v>12341.03</v>
      </c>
      <c r="L2378">
        <f t="shared" si="489"/>
        <v>-7.2614560957203513E-3</v>
      </c>
      <c r="M2378" t="str">
        <f t="shared" si="483"/>
        <v>2019-07</v>
      </c>
      <c r="O2378">
        <v>8357.14401</v>
      </c>
      <c r="P2378">
        <f t="shared" si="490"/>
        <v>-4.1002087436423865E-3</v>
      </c>
      <c r="Q2378" t="str">
        <f t="shared" si="484"/>
        <v>2019-07</v>
      </c>
      <c r="S2378">
        <v>9284.2000000000007</v>
      </c>
      <c r="T2378">
        <f t="shared" si="491"/>
        <v>-9.9565161534606438E-3</v>
      </c>
      <c r="U2378" t="str">
        <f t="shared" si="485"/>
        <v>2019-07</v>
      </c>
      <c r="W2378">
        <v>22079.38</v>
      </c>
      <c r="X2378">
        <f t="shared" si="492"/>
        <v>-5.6319144713397303E-3</v>
      </c>
      <c r="Y2378">
        <f t="shared" si="493"/>
        <v>-5.6160849717709861E-3</v>
      </c>
      <c r="Z2378" t="str">
        <f t="shared" si="486"/>
        <v>2019-07</v>
      </c>
    </row>
    <row r="2379" spans="1:26" x14ac:dyDescent="0.35">
      <c r="A2379" s="1">
        <v>43664</v>
      </c>
      <c r="C2379">
        <v>3482.83</v>
      </c>
      <c r="D2379">
        <f t="shared" si="487"/>
        <v>-5.3691135093041588E-3</v>
      </c>
      <c r="E2379" t="str">
        <f t="shared" si="481"/>
        <v>2019-07</v>
      </c>
      <c r="G2379">
        <v>5550.55</v>
      </c>
      <c r="H2379">
        <f t="shared" si="488"/>
        <v>-3.8049866716654422E-3</v>
      </c>
      <c r="I2379" t="str">
        <f t="shared" si="482"/>
        <v>2019-07</v>
      </c>
      <c r="K2379">
        <v>12227.85</v>
      </c>
      <c r="L2379">
        <f t="shared" si="489"/>
        <v>-9.2133463644234505E-3</v>
      </c>
      <c r="M2379" t="str">
        <f t="shared" si="483"/>
        <v>2019-07</v>
      </c>
      <c r="O2379">
        <v>8330.9221400000006</v>
      </c>
      <c r="P2379">
        <f t="shared" si="490"/>
        <v>-3.1425919989348191E-3</v>
      </c>
      <c r="Q2379" t="str">
        <f t="shared" si="484"/>
        <v>2019-07</v>
      </c>
      <c r="S2379">
        <v>9225.7000000000007</v>
      </c>
      <c r="T2379">
        <f t="shared" si="491"/>
        <v>-6.3209628121603254E-3</v>
      </c>
      <c r="U2379" t="str">
        <f t="shared" si="485"/>
        <v>2019-07</v>
      </c>
      <c r="W2379">
        <v>22090.81</v>
      </c>
      <c r="X2379">
        <f t="shared" si="492"/>
        <v>5.1754363090259392E-4</v>
      </c>
      <c r="Y2379">
        <f t="shared" si="493"/>
        <v>5.1767757971466096E-4</v>
      </c>
      <c r="Z2379" t="str">
        <f t="shared" si="486"/>
        <v>2019-07</v>
      </c>
    </row>
    <row r="2380" spans="1:26" x14ac:dyDescent="0.35">
      <c r="A2380" s="1">
        <v>43665</v>
      </c>
      <c r="C2380">
        <v>3480.18</v>
      </c>
      <c r="D2380">
        <f t="shared" si="487"/>
        <v>-7.6116510760281604E-4</v>
      </c>
      <c r="E2380" t="str">
        <f t="shared" si="481"/>
        <v>2019-07</v>
      </c>
      <c r="G2380">
        <v>5552.34</v>
      </c>
      <c r="H2380">
        <f t="shared" si="488"/>
        <v>3.2243857509329886E-4</v>
      </c>
      <c r="I2380" t="str">
        <f t="shared" si="482"/>
        <v>2019-07</v>
      </c>
      <c r="K2380">
        <v>12260.07</v>
      </c>
      <c r="L2380">
        <f t="shared" si="489"/>
        <v>2.6315030915739705E-3</v>
      </c>
      <c r="M2380" t="str">
        <f t="shared" si="483"/>
        <v>2019-07</v>
      </c>
      <c r="O2380">
        <v>8360.6087900000002</v>
      </c>
      <c r="P2380">
        <f t="shared" si="490"/>
        <v>3.5570950832977291E-3</v>
      </c>
      <c r="Q2380" t="str">
        <f t="shared" si="484"/>
        <v>2019-07</v>
      </c>
      <c r="S2380">
        <v>9170.5</v>
      </c>
      <c r="T2380">
        <f t="shared" si="491"/>
        <v>-6.0012573976491648E-3</v>
      </c>
      <c r="U2380" t="str">
        <f t="shared" si="485"/>
        <v>2019-07</v>
      </c>
      <c r="W2380">
        <v>21641.46</v>
      </c>
      <c r="X2380">
        <f t="shared" si="492"/>
        <v>-2.0550765580473401E-2</v>
      </c>
      <c r="Y2380">
        <f t="shared" si="493"/>
        <v>-2.0341037743749648E-2</v>
      </c>
      <c r="Z2380" t="str">
        <f t="shared" si="486"/>
        <v>2019-07</v>
      </c>
    </row>
    <row r="2381" spans="1:26" x14ac:dyDescent="0.35">
      <c r="A2381" s="1">
        <v>43668</v>
      </c>
      <c r="C2381">
        <v>3489.92</v>
      </c>
      <c r="D2381">
        <f t="shared" si="487"/>
        <v>2.7947967288380585E-3</v>
      </c>
      <c r="E2381" t="str">
        <f t="shared" si="481"/>
        <v>2019-07</v>
      </c>
      <c r="G2381">
        <v>5567.02</v>
      </c>
      <c r="H2381">
        <f t="shared" si="488"/>
        <v>2.6404412716188892E-3</v>
      </c>
      <c r="I2381" t="str">
        <f t="shared" si="482"/>
        <v>2019-07</v>
      </c>
      <c r="K2381">
        <v>12289.4</v>
      </c>
      <c r="L2381">
        <f t="shared" si="489"/>
        <v>2.3894620906309192E-3</v>
      </c>
      <c r="M2381" t="str">
        <f t="shared" si="483"/>
        <v>2019-07</v>
      </c>
      <c r="O2381">
        <v>8361.0127799999991</v>
      </c>
      <c r="P2381">
        <f t="shared" si="490"/>
        <v>4.8319476479674492E-5</v>
      </c>
      <c r="Q2381" t="str">
        <f t="shared" si="484"/>
        <v>2019-07</v>
      </c>
      <c r="S2381">
        <v>9163.5</v>
      </c>
      <c r="T2381">
        <f t="shared" si="491"/>
        <v>-7.6360863315594774E-4</v>
      </c>
      <c r="U2381" t="str">
        <f t="shared" si="485"/>
        <v>2019-07</v>
      </c>
      <c r="W2381">
        <v>21735.7</v>
      </c>
      <c r="X2381">
        <f t="shared" si="492"/>
        <v>4.3451506863757625E-3</v>
      </c>
      <c r="Y2381">
        <f t="shared" si="493"/>
        <v>4.3546045414681635E-3</v>
      </c>
      <c r="Z2381" t="str">
        <f t="shared" si="486"/>
        <v>2019-07</v>
      </c>
    </row>
    <row r="2382" spans="1:26" x14ac:dyDescent="0.35">
      <c r="A2382" s="1">
        <v>43669</v>
      </c>
      <c r="C2382">
        <v>3532.87</v>
      </c>
      <c r="D2382">
        <f t="shared" si="487"/>
        <v>1.2231758460372758E-2</v>
      </c>
      <c r="E2382" t="str">
        <f t="shared" si="481"/>
        <v>2019-07</v>
      </c>
      <c r="G2382">
        <v>5618.16</v>
      </c>
      <c r="H2382">
        <f t="shared" si="488"/>
        <v>9.1443063684252274E-3</v>
      </c>
      <c r="I2382" t="str">
        <f t="shared" si="482"/>
        <v>2019-07</v>
      </c>
      <c r="K2382">
        <v>12490.74</v>
      </c>
      <c r="L2382">
        <f t="shared" si="489"/>
        <v>1.6250467573154521E-2</v>
      </c>
      <c r="M2382" t="str">
        <f t="shared" si="483"/>
        <v>2019-07</v>
      </c>
      <c r="O2382">
        <v>8429.7176500000005</v>
      </c>
      <c r="P2382">
        <f t="shared" si="490"/>
        <v>8.1837122851144868E-3</v>
      </c>
      <c r="Q2382" t="str">
        <f t="shared" si="484"/>
        <v>2019-07</v>
      </c>
      <c r="S2382">
        <v>9281.6</v>
      </c>
      <c r="T2382">
        <f t="shared" si="491"/>
        <v>1.2805743953868652E-2</v>
      </c>
      <c r="U2382" t="str">
        <f t="shared" si="485"/>
        <v>2019-07</v>
      </c>
      <c r="W2382">
        <v>21954.66</v>
      </c>
      <c r="X2382">
        <f t="shared" si="492"/>
        <v>1.002334763063851E-2</v>
      </c>
      <c r="Y2382">
        <f t="shared" si="493"/>
        <v>1.0073749637692787E-2</v>
      </c>
      <c r="Z2382" t="str">
        <f t="shared" si="486"/>
        <v>2019-07</v>
      </c>
    </row>
    <row r="2383" spans="1:26" x14ac:dyDescent="0.35">
      <c r="A2383" s="1">
        <v>43670</v>
      </c>
      <c r="C2383">
        <v>3532.9</v>
      </c>
      <c r="D2383">
        <f t="shared" si="487"/>
        <v>8.4916435151822431E-6</v>
      </c>
      <c r="E2383" t="str">
        <f t="shared" si="481"/>
        <v>2019-07</v>
      </c>
      <c r="G2383">
        <v>5605.87</v>
      </c>
      <c r="H2383">
        <f t="shared" si="488"/>
        <v>-2.1899451287566E-3</v>
      </c>
      <c r="I2383" t="str">
        <f t="shared" si="482"/>
        <v>2019-07</v>
      </c>
      <c r="K2383">
        <v>12522.89</v>
      </c>
      <c r="L2383">
        <f t="shared" si="489"/>
        <v>2.5705999252318311E-3</v>
      </c>
      <c r="M2383" t="str">
        <f t="shared" si="483"/>
        <v>2019-07</v>
      </c>
      <c r="O2383">
        <v>8413.4813799999993</v>
      </c>
      <c r="P2383">
        <f t="shared" si="490"/>
        <v>-1.9279324551307953E-3</v>
      </c>
      <c r="Q2383" t="str">
        <f t="shared" si="484"/>
        <v>2019-07</v>
      </c>
      <c r="S2383">
        <v>9329.7000000000007</v>
      </c>
      <c r="T2383">
        <f t="shared" si="491"/>
        <v>5.1689142717917256E-3</v>
      </c>
      <c r="U2383" t="str">
        <f t="shared" si="485"/>
        <v>2019-07</v>
      </c>
      <c r="W2383">
        <v>22080.32</v>
      </c>
      <c r="X2383">
        <f t="shared" si="492"/>
        <v>5.7072963855481235E-3</v>
      </c>
      <c r="Y2383">
        <f t="shared" si="493"/>
        <v>5.7236140300054687E-3</v>
      </c>
      <c r="Z2383" t="str">
        <f t="shared" si="486"/>
        <v>2019-07</v>
      </c>
    </row>
    <row r="2384" spans="1:26" x14ac:dyDescent="0.35">
      <c r="A2384" s="1">
        <v>43671</v>
      </c>
      <c r="C2384">
        <v>3510.15</v>
      </c>
      <c r="D2384">
        <f t="shared" si="487"/>
        <v>-6.4602918119993705E-3</v>
      </c>
      <c r="E2384" t="str">
        <f t="shared" si="481"/>
        <v>2019-07</v>
      </c>
      <c r="G2384">
        <v>5578.05</v>
      </c>
      <c r="H2384">
        <f t="shared" si="488"/>
        <v>-4.9750100824053284E-3</v>
      </c>
      <c r="I2384" t="str">
        <f t="shared" si="482"/>
        <v>2019-07</v>
      </c>
      <c r="K2384">
        <v>12362.1</v>
      </c>
      <c r="L2384">
        <f t="shared" si="489"/>
        <v>-1.2922829195277727E-2</v>
      </c>
      <c r="M2384" t="str">
        <f t="shared" si="483"/>
        <v>2019-07</v>
      </c>
      <c r="O2384">
        <v>8370.1938399999999</v>
      </c>
      <c r="P2384">
        <f t="shared" si="490"/>
        <v>-5.1583023879752544E-3</v>
      </c>
      <c r="Q2384" t="str">
        <f t="shared" si="484"/>
        <v>2019-07</v>
      </c>
      <c r="S2384">
        <v>9289.9</v>
      </c>
      <c r="T2384">
        <f t="shared" si="491"/>
        <v>-4.275071496290566E-3</v>
      </c>
      <c r="U2384" t="str">
        <f t="shared" si="485"/>
        <v>2019-07</v>
      </c>
      <c r="W2384">
        <v>21903.29</v>
      </c>
      <c r="X2384">
        <f t="shared" si="492"/>
        <v>-8.0498602076839298E-3</v>
      </c>
      <c r="Y2384">
        <f t="shared" si="493"/>
        <v>-8.0175468471470907E-3</v>
      </c>
      <c r="Z2384" t="str">
        <f t="shared" si="486"/>
        <v>2019-07</v>
      </c>
    </row>
    <row r="2385" spans="1:26" x14ac:dyDescent="0.35">
      <c r="A2385" s="1">
        <v>43672</v>
      </c>
      <c r="C2385">
        <v>3524.47</v>
      </c>
      <c r="D2385">
        <f t="shared" si="487"/>
        <v>4.0712987425218254E-3</v>
      </c>
      <c r="E2385" t="str">
        <f t="shared" si="481"/>
        <v>2019-07</v>
      </c>
      <c r="G2385">
        <v>5610.05</v>
      </c>
      <c r="H2385">
        <f t="shared" si="488"/>
        <v>5.720379199432947E-3</v>
      </c>
      <c r="I2385" t="str">
        <f t="shared" si="482"/>
        <v>2019-07</v>
      </c>
      <c r="K2385">
        <v>12419.9</v>
      </c>
      <c r="L2385">
        <f t="shared" si="489"/>
        <v>4.6646844328274428E-3</v>
      </c>
      <c r="M2385" t="str">
        <f t="shared" si="483"/>
        <v>2019-07</v>
      </c>
      <c r="O2385">
        <v>8404.9640299999992</v>
      </c>
      <c r="P2385">
        <f t="shared" si="490"/>
        <v>4.1454441218853107E-3</v>
      </c>
      <c r="Q2385" t="str">
        <f t="shared" si="484"/>
        <v>2019-07</v>
      </c>
      <c r="S2385">
        <v>9225.5</v>
      </c>
      <c r="T2385">
        <f t="shared" si="491"/>
        <v>-6.956399505363968E-3</v>
      </c>
      <c r="U2385" t="str">
        <f t="shared" si="485"/>
        <v>2019-07</v>
      </c>
      <c r="W2385">
        <v>21837.74</v>
      </c>
      <c r="X2385">
        <f t="shared" si="492"/>
        <v>-2.997188180999802E-3</v>
      </c>
      <c r="Y2385">
        <f t="shared" si="493"/>
        <v>-2.9927010965019075E-3</v>
      </c>
      <c r="Z2385" t="str">
        <f t="shared" si="486"/>
        <v>2019-07</v>
      </c>
    </row>
    <row r="2386" spans="1:26" x14ac:dyDescent="0.35">
      <c r="A2386" s="1">
        <v>43675</v>
      </c>
      <c r="C2386">
        <v>3523.58</v>
      </c>
      <c r="D2386">
        <f t="shared" si="487"/>
        <v>-2.5255212568874556E-4</v>
      </c>
      <c r="E2386" t="str">
        <f t="shared" si="481"/>
        <v>2019-07</v>
      </c>
      <c r="G2386">
        <v>5601.1</v>
      </c>
      <c r="H2386">
        <f t="shared" si="488"/>
        <v>-1.5966251278926222E-3</v>
      </c>
      <c r="I2386" t="str">
        <f t="shared" si="482"/>
        <v>2019-07</v>
      </c>
      <c r="K2386">
        <v>12417.47</v>
      </c>
      <c r="L2386">
        <f t="shared" si="489"/>
        <v>-1.9567289191675975E-4</v>
      </c>
      <c r="M2386" t="str">
        <f t="shared" si="483"/>
        <v>2019-07</v>
      </c>
      <c r="O2386">
        <v>8430.4309699999994</v>
      </c>
      <c r="P2386">
        <f t="shared" si="490"/>
        <v>3.0254068199872522E-3</v>
      </c>
      <c r="Q2386" t="str">
        <f t="shared" si="484"/>
        <v>2019-07</v>
      </c>
      <c r="S2386">
        <v>9215.4</v>
      </c>
      <c r="T2386">
        <f t="shared" si="491"/>
        <v>-1.0953913322995243E-3</v>
      </c>
      <c r="U2386" t="str">
        <f t="shared" si="485"/>
        <v>2019-07</v>
      </c>
      <c r="W2386">
        <v>21709.3</v>
      </c>
      <c r="X2386">
        <f t="shared" si="492"/>
        <v>-5.8989255043338405E-3</v>
      </c>
      <c r="Y2386">
        <f t="shared" si="493"/>
        <v>-5.8815610040234166E-3</v>
      </c>
      <c r="Z2386" t="str">
        <f t="shared" si="486"/>
        <v>2019-07</v>
      </c>
    </row>
    <row r="2387" spans="1:26" x14ac:dyDescent="0.35">
      <c r="A2387" s="1">
        <v>43676</v>
      </c>
      <c r="C2387">
        <v>3462.85</v>
      </c>
      <c r="D2387">
        <f t="shared" si="487"/>
        <v>-1.7385568786824252E-2</v>
      </c>
      <c r="E2387" t="str">
        <f t="shared" si="481"/>
        <v>2019-07</v>
      </c>
      <c r="G2387">
        <v>5511.07</v>
      </c>
      <c r="H2387">
        <f t="shared" si="488"/>
        <v>-1.6204210333546815E-2</v>
      </c>
      <c r="I2387" t="str">
        <f t="shared" si="482"/>
        <v>2019-07</v>
      </c>
      <c r="K2387">
        <v>12147.24</v>
      </c>
      <c r="L2387">
        <f t="shared" si="489"/>
        <v>-2.2002368563334207E-2</v>
      </c>
      <c r="M2387" t="str">
        <f t="shared" si="483"/>
        <v>2019-07</v>
      </c>
      <c r="O2387">
        <v>8342.0555800000002</v>
      </c>
      <c r="P2387">
        <f t="shared" si="490"/>
        <v>-1.0538235652549265E-2</v>
      </c>
      <c r="Q2387" t="str">
        <f t="shared" si="484"/>
        <v>2019-07</v>
      </c>
      <c r="S2387">
        <v>8986.6</v>
      </c>
      <c r="T2387">
        <f t="shared" si="491"/>
        <v>-2.5141418716646401E-2</v>
      </c>
      <c r="U2387" t="str">
        <f t="shared" si="485"/>
        <v>2019-07</v>
      </c>
      <c r="W2387">
        <v>21278.240000000002</v>
      </c>
      <c r="X2387">
        <f t="shared" si="492"/>
        <v>-2.0055785878348064E-2</v>
      </c>
      <c r="Y2387">
        <f t="shared" si="493"/>
        <v>-1.9856006411998438E-2</v>
      </c>
      <c r="Z2387" t="str">
        <f t="shared" si="486"/>
        <v>2019-07</v>
      </c>
    </row>
    <row r="2388" spans="1:26" x14ac:dyDescent="0.35">
      <c r="A2388" s="1">
        <v>43677</v>
      </c>
      <c r="C2388">
        <v>3466.85</v>
      </c>
      <c r="D2388">
        <f t="shared" si="487"/>
        <v>1.1544512588576457E-3</v>
      </c>
      <c r="E2388" t="str">
        <f t="shared" si="481"/>
        <v>2019-07</v>
      </c>
      <c r="G2388">
        <v>5518.9</v>
      </c>
      <c r="H2388">
        <f t="shared" si="488"/>
        <v>1.4197683792922878E-3</v>
      </c>
      <c r="I2388" t="str">
        <f t="shared" si="482"/>
        <v>2019-07</v>
      </c>
      <c r="K2388">
        <v>12189.04</v>
      </c>
      <c r="L2388">
        <f t="shared" si="489"/>
        <v>3.4352038278244322E-3</v>
      </c>
      <c r="M2388" t="str">
        <f t="shared" si="483"/>
        <v>2019-07</v>
      </c>
      <c r="O2388">
        <v>8327.1864600000008</v>
      </c>
      <c r="P2388">
        <f t="shared" si="490"/>
        <v>-1.7840192023142137E-3</v>
      </c>
      <c r="Q2388" t="str">
        <f t="shared" si="484"/>
        <v>2019-07</v>
      </c>
      <c r="S2388">
        <v>8971</v>
      </c>
      <c r="T2388">
        <f t="shared" si="491"/>
        <v>-1.7374263737075842E-3</v>
      </c>
      <c r="U2388" t="str">
        <f t="shared" si="485"/>
        <v>2019-07</v>
      </c>
      <c r="W2388">
        <v>21398.19</v>
      </c>
      <c r="X2388">
        <f t="shared" si="492"/>
        <v>5.6213847253776695E-3</v>
      </c>
      <c r="Y2388">
        <f t="shared" si="493"/>
        <v>5.6372143560744258E-3</v>
      </c>
      <c r="Z2388" t="str">
        <f t="shared" si="486"/>
        <v>2019-07</v>
      </c>
    </row>
    <row r="2389" spans="1:26" x14ac:dyDescent="0.35">
      <c r="A2389" s="1">
        <v>43678</v>
      </c>
      <c r="C2389">
        <v>3490.03</v>
      </c>
      <c r="D2389">
        <f t="shared" si="487"/>
        <v>6.6639314696693161E-3</v>
      </c>
      <c r="E2389" t="str">
        <f t="shared" si="481"/>
        <v>2019-08</v>
      </c>
      <c r="G2389">
        <v>5557.41</v>
      </c>
      <c r="H2389">
        <f t="shared" si="488"/>
        <v>6.9536073243892296E-3</v>
      </c>
      <c r="I2389" t="str">
        <f t="shared" si="482"/>
        <v>2019-08</v>
      </c>
      <c r="K2389">
        <v>12253.15</v>
      </c>
      <c r="L2389">
        <f t="shared" si="489"/>
        <v>5.2458594766190258E-3</v>
      </c>
      <c r="M2389" t="str">
        <f t="shared" si="483"/>
        <v>2019-08</v>
      </c>
      <c r="O2389">
        <v>8322.9351399999996</v>
      </c>
      <c r="P2389">
        <f t="shared" si="490"/>
        <v>-5.1066535062288673E-4</v>
      </c>
      <c r="Q2389" t="str">
        <f t="shared" si="484"/>
        <v>2019-08</v>
      </c>
      <c r="S2389">
        <v>9038.2000000000007</v>
      </c>
      <c r="T2389">
        <f t="shared" si="491"/>
        <v>7.4628869566587784E-3</v>
      </c>
      <c r="U2389" t="str">
        <f t="shared" si="485"/>
        <v>2019-08</v>
      </c>
      <c r="W2389">
        <v>21566.91</v>
      </c>
      <c r="X2389">
        <f t="shared" si="492"/>
        <v>7.853856607478284E-3</v>
      </c>
      <c r="Y2389">
        <f t="shared" si="493"/>
        <v>7.8847790397225739E-3</v>
      </c>
      <c r="Z2389" t="str">
        <f t="shared" si="486"/>
        <v>2019-08</v>
      </c>
    </row>
    <row r="2390" spans="1:26" x14ac:dyDescent="0.35">
      <c r="A2390" s="1">
        <v>43679</v>
      </c>
      <c r="C2390">
        <v>3376.12</v>
      </c>
      <c r="D2390">
        <f t="shared" si="487"/>
        <v>-3.3183211040231246E-2</v>
      </c>
      <c r="E2390" t="str">
        <f t="shared" si="481"/>
        <v>2019-08</v>
      </c>
      <c r="G2390">
        <v>5359</v>
      </c>
      <c r="H2390">
        <f t="shared" si="488"/>
        <v>-3.6354781880387925E-2</v>
      </c>
      <c r="I2390" t="str">
        <f t="shared" si="482"/>
        <v>2019-08</v>
      </c>
      <c r="K2390">
        <v>11872.44</v>
      </c>
      <c r="L2390">
        <f t="shared" si="489"/>
        <v>-3.1563299059465783E-2</v>
      </c>
      <c r="M2390" t="str">
        <f t="shared" si="483"/>
        <v>2019-08</v>
      </c>
      <c r="O2390">
        <v>8094.8489099999997</v>
      </c>
      <c r="P2390">
        <f t="shared" si="490"/>
        <v>-2.7787051522813317E-2</v>
      </c>
      <c r="Q2390" t="str">
        <f t="shared" si="484"/>
        <v>2019-08</v>
      </c>
      <c r="S2390">
        <v>8897.6</v>
      </c>
      <c r="T2390">
        <f t="shared" si="491"/>
        <v>-1.5678462082642664E-2</v>
      </c>
      <c r="U2390" t="str">
        <f t="shared" si="485"/>
        <v>2019-08</v>
      </c>
      <c r="W2390">
        <v>21046.86</v>
      </c>
      <c r="X2390">
        <f t="shared" si="492"/>
        <v>-2.440881526342862E-2</v>
      </c>
      <c r="Y2390">
        <f t="shared" si="493"/>
        <v>-2.4113329169547202E-2</v>
      </c>
      <c r="Z2390" t="str">
        <f t="shared" si="486"/>
        <v>2019-08</v>
      </c>
    </row>
    <row r="2391" spans="1:26" x14ac:dyDescent="0.35">
      <c r="A2391" s="1">
        <v>43682</v>
      </c>
      <c r="C2391">
        <v>3310.93</v>
      </c>
      <c r="D2391">
        <f t="shared" si="487"/>
        <v>-1.9498004433125236E-2</v>
      </c>
      <c r="E2391" t="str">
        <f t="shared" si="481"/>
        <v>2019-08</v>
      </c>
      <c r="G2391">
        <v>5241.55</v>
      </c>
      <c r="H2391">
        <f t="shared" si="488"/>
        <v>-2.2160134393690932E-2</v>
      </c>
      <c r="I2391" t="str">
        <f t="shared" si="482"/>
        <v>2019-08</v>
      </c>
      <c r="K2391">
        <v>11658.51</v>
      </c>
      <c r="L2391">
        <f t="shared" si="489"/>
        <v>-1.8183362283034889E-2</v>
      </c>
      <c r="M2391" t="str">
        <f t="shared" si="483"/>
        <v>2019-08</v>
      </c>
      <c r="O2391">
        <v>7832.1199500000002</v>
      </c>
      <c r="P2391">
        <f t="shared" si="490"/>
        <v>-3.2994701863870241E-2</v>
      </c>
      <c r="Q2391" t="str">
        <f t="shared" si="484"/>
        <v>2019-08</v>
      </c>
      <c r="S2391">
        <v>8777.2000000000007</v>
      </c>
      <c r="T2391">
        <f t="shared" si="491"/>
        <v>-1.3624127271585025E-2</v>
      </c>
      <c r="U2391" t="str">
        <f t="shared" si="485"/>
        <v>2019-08</v>
      </c>
      <c r="W2391">
        <v>20773.3</v>
      </c>
      <c r="X2391">
        <f t="shared" si="492"/>
        <v>-1.3082872083774365E-2</v>
      </c>
      <c r="Y2391">
        <f t="shared" si="493"/>
        <v>-1.2997663309396333E-2</v>
      </c>
      <c r="Z2391" t="str">
        <f t="shared" si="486"/>
        <v>2019-08</v>
      </c>
    </row>
    <row r="2392" spans="1:26" x14ac:dyDescent="0.35">
      <c r="A2392" s="1">
        <v>43683</v>
      </c>
      <c r="C2392">
        <v>3291.66</v>
      </c>
      <c r="D2392">
        <f t="shared" si="487"/>
        <v>-5.8371198920036073E-3</v>
      </c>
      <c r="E2392" t="str">
        <f t="shared" si="481"/>
        <v>2019-08</v>
      </c>
      <c r="G2392">
        <v>5234.6499999999996</v>
      </c>
      <c r="H2392">
        <f t="shared" si="488"/>
        <v>-1.3172717202312835E-3</v>
      </c>
      <c r="I2392" t="str">
        <f t="shared" si="482"/>
        <v>2019-08</v>
      </c>
      <c r="K2392">
        <v>11567.96</v>
      </c>
      <c r="L2392">
        <f t="shared" si="489"/>
        <v>-7.7971778540508021E-3</v>
      </c>
      <c r="M2392" t="str">
        <f t="shared" si="483"/>
        <v>2019-08</v>
      </c>
      <c r="O2392">
        <v>7781.3925300000001</v>
      </c>
      <c r="P2392">
        <f t="shared" si="490"/>
        <v>-6.4979098781009258E-3</v>
      </c>
      <c r="Q2392" t="str">
        <f t="shared" si="484"/>
        <v>2019-08</v>
      </c>
      <c r="S2392">
        <v>8699.4</v>
      </c>
      <c r="T2392">
        <f t="shared" si="491"/>
        <v>-8.9033924145114941E-3</v>
      </c>
      <c r="U2392" t="str">
        <f t="shared" si="485"/>
        <v>2019-08</v>
      </c>
      <c r="W2392">
        <v>20631.740000000002</v>
      </c>
      <c r="X2392">
        <f t="shared" si="492"/>
        <v>-6.8378415557828268E-3</v>
      </c>
      <c r="Y2392">
        <f t="shared" si="493"/>
        <v>-6.8145167113553302E-3</v>
      </c>
      <c r="Z2392" t="str">
        <f t="shared" si="486"/>
        <v>2019-08</v>
      </c>
    </row>
    <row r="2393" spans="1:26" x14ac:dyDescent="0.35">
      <c r="A2393" s="1">
        <v>43684</v>
      </c>
      <c r="C2393">
        <v>3309.99</v>
      </c>
      <c r="D2393">
        <f t="shared" si="487"/>
        <v>5.5531714358023083E-3</v>
      </c>
      <c r="E2393" t="str">
        <f t="shared" si="481"/>
        <v>2019-08</v>
      </c>
      <c r="G2393">
        <v>5266.51</v>
      </c>
      <c r="H2393">
        <f t="shared" si="488"/>
        <v>6.0679196881315393E-3</v>
      </c>
      <c r="I2393" t="str">
        <f t="shared" si="482"/>
        <v>2019-08</v>
      </c>
      <c r="K2393">
        <v>11650.15</v>
      </c>
      <c r="L2393">
        <f t="shared" si="489"/>
        <v>7.079847869531905E-3</v>
      </c>
      <c r="M2393" t="str">
        <f t="shared" si="483"/>
        <v>2019-08</v>
      </c>
      <c r="O2393">
        <v>7793.7292699999998</v>
      </c>
      <c r="P2393">
        <f t="shared" si="490"/>
        <v>1.5841600134368992E-3</v>
      </c>
      <c r="Q2393" t="str">
        <f t="shared" si="484"/>
        <v>2019-08</v>
      </c>
      <c r="S2393">
        <v>8746.1</v>
      </c>
      <c r="T2393">
        <f t="shared" si="491"/>
        <v>5.3538289586052574E-3</v>
      </c>
      <c r="U2393" t="str">
        <f t="shared" si="485"/>
        <v>2019-08</v>
      </c>
      <c r="W2393">
        <v>20538.849999999999</v>
      </c>
      <c r="X2393">
        <f t="shared" si="492"/>
        <v>-4.5124520984776029E-3</v>
      </c>
      <c r="Y2393">
        <f t="shared" si="493"/>
        <v>-4.5022862831735492E-3</v>
      </c>
      <c r="Z2393" t="str">
        <f t="shared" si="486"/>
        <v>2019-08</v>
      </c>
    </row>
    <row r="2394" spans="1:26" x14ac:dyDescent="0.35">
      <c r="A2394" s="1">
        <v>43685</v>
      </c>
      <c r="C2394">
        <v>3375.38</v>
      </c>
      <c r="D2394">
        <f t="shared" si="487"/>
        <v>1.9562742342643977E-2</v>
      </c>
      <c r="E2394" t="str">
        <f t="shared" si="481"/>
        <v>2019-08</v>
      </c>
      <c r="G2394">
        <v>5387.96</v>
      </c>
      <c r="H2394">
        <f t="shared" si="488"/>
        <v>2.2798930528663604E-2</v>
      </c>
      <c r="I2394" t="str">
        <f t="shared" si="482"/>
        <v>2019-08</v>
      </c>
      <c r="K2394">
        <v>11845.41</v>
      </c>
      <c r="L2394">
        <f t="shared" si="489"/>
        <v>1.6621395307485715E-2</v>
      </c>
      <c r="M2394" t="str">
        <f t="shared" si="483"/>
        <v>2019-08</v>
      </c>
      <c r="O2394">
        <v>7892.5706600000003</v>
      </c>
      <c r="P2394">
        <f t="shared" si="490"/>
        <v>1.2602423594132205E-2</v>
      </c>
      <c r="Q2394" t="str">
        <f t="shared" si="484"/>
        <v>2019-08</v>
      </c>
      <c r="S2394">
        <v>8869</v>
      </c>
      <c r="T2394">
        <f t="shared" si="491"/>
        <v>1.3954163670643888E-2</v>
      </c>
      <c r="U2394" t="str">
        <f t="shared" si="485"/>
        <v>2019-08</v>
      </c>
      <c r="W2394">
        <v>20841.150000000001</v>
      </c>
      <c r="X2394">
        <f t="shared" si="492"/>
        <v>1.4611183086801677E-2</v>
      </c>
      <c r="Y2394">
        <f t="shared" si="493"/>
        <v>1.4718448209125776E-2</v>
      </c>
      <c r="Z2394" t="str">
        <f t="shared" si="486"/>
        <v>2019-08</v>
      </c>
    </row>
    <row r="2395" spans="1:26" x14ac:dyDescent="0.35">
      <c r="A2395" s="1">
        <v>43686</v>
      </c>
      <c r="C2395">
        <v>3333.74</v>
      </c>
      <c r="D2395">
        <f t="shared" si="487"/>
        <v>-1.2413113694474389E-2</v>
      </c>
      <c r="E2395" t="str">
        <f t="shared" si="481"/>
        <v>2019-08</v>
      </c>
      <c r="G2395">
        <v>5327.92</v>
      </c>
      <c r="H2395">
        <f t="shared" si="488"/>
        <v>-1.1205916505239706E-2</v>
      </c>
      <c r="I2395" t="str">
        <f t="shared" si="482"/>
        <v>2019-08</v>
      </c>
      <c r="K2395">
        <v>11693.8</v>
      </c>
      <c r="L2395">
        <f t="shared" si="489"/>
        <v>-1.2881663953317038E-2</v>
      </c>
      <c r="M2395" t="str">
        <f t="shared" si="483"/>
        <v>2019-08</v>
      </c>
      <c r="O2395">
        <v>7810.9425700000002</v>
      </c>
      <c r="P2395">
        <f t="shared" si="490"/>
        <v>-1.0396250063767751E-2</v>
      </c>
      <c r="Q2395" t="str">
        <f t="shared" si="484"/>
        <v>2019-08</v>
      </c>
      <c r="S2395">
        <v>8757.7999999999993</v>
      </c>
      <c r="T2395">
        <f t="shared" si="491"/>
        <v>-1.2617318539847449E-2</v>
      </c>
      <c r="U2395" t="str">
        <f t="shared" si="485"/>
        <v>2019-08</v>
      </c>
      <c r="W2395">
        <v>20324.23</v>
      </c>
      <c r="X2395">
        <f t="shared" si="492"/>
        <v>-2.5115627366928177E-2</v>
      </c>
      <c r="Y2395">
        <f t="shared" si="493"/>
        <v>-2.4802853969190849E-2</v>
      </c>
      <c r="Z2395" t="str">
        <f t="shared" si="486"/>
        <v>2019-08</v>
      </c>
    </row>
    <row r="2396" spans="1:26" x14ac:dyDescent="0.35">
      <c r="A2396" s="1">
        <v>43689</v>
      </c>
      <c r="C2396">
        <v>3326.55</v>
      </c>
      <c r="D2396">
        <f t="shared" si="487"/>
        <v>-2.1590659845305486E-3</v>
      </c>
      <c r="E2396" t="str">
        <f t="shared" si="481"/>
        <v>2019-08</v>
      </c>
      <c r="G2396">
        <v>5310.31</v>
      </c>
      <c r="H2396">
        <f t="shared" si="488"/>
        <v>-3.3107041462564508E-3</v>
      </c>
      <c r="I2396" t="str">
        <f t="shared" si="482"/>
        <v>2019-08</v>
      </c>
      <c r="K2396">
        <v>11679.68</v>
      </c>
      <c r="L2396">
        <f t="shared" si="489"/>
        <v>-1.2082070549747244E-3</v>
      </c>
      <c r="M2396" t="str">
        <f t="shared" si="483"/>
        <v>2019-08</v>
      </c>
      <c r="O2396">
        <v>7784.9022599999998</v>
      </c>
      <c r="P2396">
        <f t="shared" si="490"/>
        <v>-3.3393938556068518E-3</v>
      </c>
      <c r="Q2396" t="str">
        <f t="shared" si="484"/>
        <v>2019-08</v>
      </c>
      <c r="S2396">
        <v>8676.4</v>
      </c>
      <c r="T2396">
        <f t="shared" si="491"/>
        <v>-9.3380357571239674E-3</v>
      </c>
      <c r="U2396" t="str">
        <f t="shared" si="485"/>
        <v>2019-08</v>
      </c>
      <c r="W2396">
        <v>20263.830000000002</v>
      </c>
      <c r="X2396">
        <f t="shared" si="492"/>
        <v>-2.9762469349601415E-3</v>
      </c>
      <c r="Y2396">
        <f t="shared" si="493"/>
        <v>-2.9718223027390372E-3</v>
      </c>
      <c r="Z2396" t="str">
        <f t="shared" si="486"/>
        <v>2019-08</v>
      </c>
    </row>
    <row r="2397" spans="1:26" x14ac:dyDescent="0.35">
      <c r="A2397" s="1">
        <v>43690</v>
      </c>
      <c r="C2397">
        <v>3357.16</v>
      </c>
      <c r="D2397">
        <f t="shared" si="487"/>
        <v>9.1596475647304568E-3</v>
      </c>
      <c r="E2397" t="str">
        <f t="shared" si="481"/>
        <v>2019-08</v>
      </c>
      <c r="G2397">
        <v>5363.07</v>
      </c>
      <c r="H2397">
        <f t="shared" si="488"/>
        <v>9.886358347563233E-3</v>
      </c>
      <c r="I2397" t="str">
        <f t="shared" si="482"/>
        <v>2019-08</v>
      </c>
      <c r="K2397">
        <v>11750.13</v>
      </c>
      <c r="L2397">
        <f t="shared" si="489"/>
        <v>6.0137245942562412E-3</v>
      </c>
      <c r="M2397" t="str">
        <f t="shared" si="483"/>
        <v>2019-08</v>
      </c>
      <c r="O2397">
        <v>7822.9298600000002</v>
      </c>
      <c r="P2397">
        <f t="shared" si="490"/>
        <v>4.8728964990259038E-3</v>
      </c>
      <c r="Q2397" t="str">
        <f t="shared" si="484"/>
        <v>2019-08</v>
      </c>
      <c r="S2397">
        <v>8695.1</v>
      </c>
      <c r="T2397">
        <f t="shared" si="491"/>
        <v>2.1529525053327102E-3</v>
      </c>
      <c r="U2397" t="str">
        <f t="shared" si="485"/>
        <v>2019-08</v>
      </c>
      <c r="W2397">
        <v>20539.43</v>
      </c>
      <c r="X2397">
        <f t="shared" si="492"/>
        <v>1.3508929982631989E-2</v>
      </c>
      <c r="Y2397">
        <f t="shared" si="493"/>
        <v>1.3600587845436846E-2</v>
      </c>
      <c r="Z2397" t="str">
        <f t="shared" si="486"/>
        <v>2019-08</v>
      </c>
    </row>
    <row r="2398" spans="1:26" x14ac:dyDescent="0.35">
      <c r="A2398" s="1">
        <v>43691</v>
      </c>
      <c r="C2398">
        <v>3288.7</v>
      </c>
      <c r="D2398">
        <f t="shared" si="487"/>
        <v>-2.0603028552683551E-2</v>
      </c>
      <c r="E2398" t="str">
        <f t="shared" si="481"/>
        <v>2019-08</v>
      </c>
      <c r="G2398">
        <v>5251.3</v>
      </c>
      <c r="H2398">
        <f t="shared" si="488"/>
        <v>-2.1060907313038165E-2</v>
      </c>
      <c r="I2398" t="str">
        <f t="shared" si="482"/>
        <v>2019-08</v>
      </c>
      <c r="K2398">
        <v>11492.66</v>
      </c>
      <c r="L2398">
        <f t="shared" si="489"/>
        <v>-2.2155733634293462E-2</v>
      </c>
      <c r="M2398" t="str">
        <f t="shared" si="483"/>
        <v>2019-08</v>
      </c>
      <c r="O2398">
        <v>7735.4121299999997</v>
      </c>
      <c r="P2398">
        <f t="shared" si="490"/>
        <v>-1.1250382997842959E-2</v>
      </c>
      <c r="Q2398" t="str">
        <f t="shared" si="484"/>
        <v>2019-08</v>
      </c>
      <c r="S2398">
        <v>8522.7000000000007</v>
      </c>
      <c r="T2398">
        <f t="shared" si="491"/>
        <v>-2.0026456555646922E-2</v>
      </c>
      <c r="U2398" t="str">
        <f t="shared" si="485"/>
        <v>2019-08</v>
      </c>
      <c r="W2398">
        <v>20020.28</v>
      </c>
      <c r="X2398">
        <f t="shared" si="492"/>
        <v>-2.5600693581814059E-2</v>
      </c>
      <c r="Y2398">
        <f t="shared" si="493"/>
        <v>-2.5275774449437079E-2</v>
      </c>
      <c r="Z2398" t="str">
        <f t="shared" si="486"/>
        <v>2019-08</v>
      </c>
    </row>
    <row r="2399" spans="1:26" x14ac:dyDescent="0.35">
      <c r="A2399" s="1">
        <v>43693</v>
      </c>
      <c r="C2399">
        <v>3329.08</v>
      </c>
      <c r="D2399">
        <f t="shared" si="487"/>
        <v>1.2203639632697409E-2</v>
      </c>
      <c r="E2399" t="str">
        <f t="shared" si="481"/>
        <v>2019-08</v>
      </c>
      <c r="G2399">
        <v>5300.79</v>
      </c>
      <c r="H2399">
        <f t="shared" si="488"/>
        <v>9.3802010554028346E-3</v>
      </c>
      <c r="I2399" t="str">
        <f t="shared" si="482"/>
        <v>2019-08</v>
      </c>
      <c r="K2399">
        <v>11562.74</v>
      </c>
      <c r="L2399">
        <f t="shared" si="489"/>
        <v>6.0792886554239551E-3</v>
      </c>
      <c r="M2399" t="str">
        <f t="shared" si="483"/>
        <v>2019-08</v>
      </c>
      <c r="O2399">
        <v>7799.15942</v>
      </c>
      <c r="P2399">
        <f t="shared" si="490"/>
        <v>8.2071974265988928E-3</v>
      </c>
      <c r="Q2399" t="str">
        <f t="shared" si="484"/>
        <v>2019-08</v>
      </c>
      <c r="S2399">
        <v>8670.4</v>
      </c>
      <c r="T2399">
        <f t="shared" si="491"/>
        <v>1.7181733782682916E-2</v>
      </c>
      <c r="U2399" t="str">
        <f t="shared" si="485"/>
        <v>2019-08</v>
      </c>
      <c r="W2399">
        <v>20322.59</v>
      </c>
      <c r="X2399">
        <f t="shared" si="492"/>
        <v>1.4987315414529457E-2</v>
      </c>
      <c r="Y2399">
        <f t="shared" si="493"/>
        <v>1.5100188408953387E-2</v>
      </c>
      <c r="Z2399" t="str">
        <f t="shared" si="486"/>
        <v>2019-08</v>
      </c>
    </row>
    <row r="2400" spans="1:26" x14ac:dyDescent="0.35">
      <c r="A2400" s="1">
        <v>43696</v>
      </c>
      <c r="C2400">
        <v>3369.19</v>
      </c>
      <c r="D2400">
        <f t="shared" si="487"/>
        <v>1.1976369846276487E-2</v>
      </c>
      <c r="E2400" t="str">
        <f t="shared" si="481"/>
        <v>2019-08</v>
      </c>
      <c r="G2400">
        <v>5371.56</v>
      </c>
      <c r="H2400">
        <f t="shared" si="488"/>
        <v>1.3262503072285419E-2</v>
      </c>
      <c r="I2400" t="str">
        <f t="shared" si="482"/>
        <v>2019-08</v>
      </c>
      <c r="K2400">
        <v>11715.37</v>
      </c>
      <c r="L2400">
        <f t="shared" si="489"/>
        <v>1.3113795521164985E-2</v>
      </c>
      <c r="M2400" t="str">
        <f t="shared" si="483"/>
        <v>2019-08</v>
      </c>
      <c r="O2400">
        <v>7865.58338</v>
      </c>
      <c r="P2400">
        <f t="shared" si="490"/>
        <v>8.4807467272838624E-3</v>
      </c>
      <c r="Q2400" t="str">
        <f t="shared" si="484"/>
        <v>2019-08</v>
      </c>
      <c r="S2400">
        <v>8733.2999999999993</v>
      </c>
      <c r="T2400">
        <f t="shared" si="491"/>
        <v>7.228379468051568E-3</v>
      </c>
      <c r="U2400" t="str">
        <f t="shared" si="485"/>
        <v>2019-08</v>
      </c>
      <c r="W2400">
        <v>20715.490000000002</v>
      </c>
      <c r="X2400">
        <f t="shared" si="492"/>
        <v>1.9148654388565164E-2</v>
      </c>
      <c r="Y2400">
        <f t="shared" si="493"/>
        <v>1.9333165703780939E-2</v>
      </c>
      <c r="Z2400" t="str">
        <f t="shared" si="486"/>
        <v>2019-08</v>
      </c>
    </row>
    <row r="2401" spans="1:26" x14ac:dyDescent="0.35">
      <c r="A2401" s="1">
        <v>43697</v>
      </c>
      <c r="C2401">
        <v>3350.23</v>
      </c>
      <c r="D2401">
        <f t="shared" si="487"/>
        <v>-5.6433591944031513E-3</v>
      </c>
      <c r="E2401" t="str">
        <f t="shared" si="481"/>
        <v>2019-08</v>
      </c>
      <c r="G2401">
        <v>5344.64</v>
      </c>
      <c r="H2401">
        <f t="shared" si="488"/>
        <v>-5.0241795836303256E-3</v>
      </c>
      <c r="I2401" t="str">
        <f t="shared" si="482"/>
        <v>2019-08</v>
      </c>
      <c r="K2401">
        <v>11651.18</v>
      </c>
      <c r="L2401">
        <f t="shared" si="489"/>
        <v>-5.4941924649271247E-3</v>
      </c>
      <c r="M2401" t="str">
        <f t="shared" si="483"/>
        <v>2019-08</v>
      </c>
      <c r="O2401">
        <v>7813.17011</v>
      </c>
      <c r="P2401">
        <f t="shared" si="490"/>
        <v>-6.6859224847851213E-3</v>
      </c>
      <c r="Q2401" t="str">
        <f t="shared" si="484"/>
        <v>2019-08</v>
      </c>
      <c r="S2401">
        <v>8618.2999999999993</v>
      </c>
      <c r="T2401">
        <f t="shared" si="491"/>
        <v>-1.3255455849013428E-2</v>
      </c>
      <c r="U2401" t="str">
        <f t="shared" si="485"/>
        <v>2019-08</v>
      </c>
      <c r="W2401">
        <v>20485.43</v>
      </c>
      <c r="X2401">
        <f t="shared" si="492"/>
        <v>-1.1167827858822806E-2</v>
      </c>
      <c r="Y2401">
        <f t="shared" si="493"/>
        <v>-1.1105699165214112E-2</v>
      </c>
      <c r="Z2401" t="str">
        <f t="shared" si="486"/>
        <v>2019-08</v>
      </c>
    </row>
    <row r="2402" spans="1:26" x14ac:dyDescent="0.35">
      <c r="A2402" s="1">
        <v>43698</v>
      </c>
      <c r="C2402">
        <v>3394.89</v>
      </c>
      <c r="D2402">
        <f t="shared" si="487"/>
        <v>1.3242359700018814E-2</v>
      </c>
      <c r="E2402" t="str">
        <f t="shared" si="481"/>
        <v>2019-08</v>
      </c>
      <c r="G2402">
        <v>5435.48</v>
      </c>
      <c r="H2402">
        <f t="shared" si="488"/>
        <v>1.68536435981715E-2</v>
      </c>
      <c r="I2402" t="str">
        <f t="shared" si="482"/>
        <v>2019-08</v>
      </c>
      <c r="K2402">
        <v>11802.85</v>
      </c>
      <c r="L2402">
        <f t="shared" si="489"/>
        <v>1.2933565296658589E-2</v>
      </c>
      <c r="M2402" t="str">
        <f t="shared" si="483"/>
        <v>2019-08</v>
      </c>
      <c r="O2402">
        <v>7879.4030199999997</v>
      </c>
      <c r="P2402">
        <f t="shared" si="490"/>
        <v>8.4413566525560011E-3</v>
      </c>
      <c r="Q2402" t="str">
        <f t="shared" si="484"/>
        <v>2019-08</v>
      </c>
      <c r="S2402">
        <v>8701.5</v>
      </c>
      <c r="T2402">
        <f t="shared" si="491"/>
        <v>9.6075751433408914E-3</v>
      </c>
      <c r="U2402" t="str">
        <f t="shared" si="485"/>
        <v>2019-08</v>
      </c>
      <c r="W2402">
        <v>20847.07</v>
      </c>
      <c r="X2402">
        <f t="shared" si="492"/>
        <v>1.7499509044418819E-2</v>
      </c>
      <c r="Y2402">
        <f t="shared" si="493"/>
        <v>1.7653522527962529E-2</v>
      </c>
      <c r="Z2402" t="str">
        <f t="shared" si="486"/>
        <v>2019-08</v>
      </c>
    </row>
    <row r="2403" spans="1:26" x14ac:dyDescent="0.35">
      <c r="A2403" s="1">
        <v>43699</v>
      </c>
      <c r="C2403">
        <v>3373.67</v>
      </c>
      <c r="D2403">
        <f t="shared" si="487"/>
        <v>-6.270187313821376E-3</v>
      </c>
      <c r="E2403" t="str">
        <f t="shared" si="481"/>
        <v>2019-08</v>
      </c>
      <c r="G2403">
        <v>5388.25</v>
      </c>
      <c r="H2403">
        <f t="shared" si="488"/>
        <v>-8.7271762630583925E-3</v>
      </c>
      <c r="I2403" t="str">
        <f t="shared" si="482"/>
        <v>2019-08</v>
      </c>
      <c r="K2403">
        <v>11747.04</v>
      </c>
      <c r="L2403">
        <f t="shared" si="489"/>
        <v>-4.7397337721140917E-3</v>
      </c>
      <c r="M2403" t="str">
        <f t="shared" si="483"/>
        <v>2019-08</v>
      </c>
      <c r="O2403">
        <v>7882.0355300000001</v>
      </c>
      <c r="P2403">
        <f t="shared" si="490"/>
        <v>3.3404438511469315E-4</v>
      </c>
      <c r="Q2403" t="str">
        <f t="shared" si="484"/>
        <v>2019-08</v>
      </c>
      <c r="S2403">
        <v>8716.4</v>
      </c>
      <c r="T2403">
        <f t="shared" si="491"/>
        <v>1.7108840485376667E-3</v>
      </c>
      <c r="U2403" t="str">
        <f t="shared" si="485"/>
        <v>2019-08</v>
      </c>
      <c r="W2403">
        <v>20816.990000000002</v>
      </c>
      <c r="X2403">
        <f t="shared" si="492"/>
        <v>-1.4439305831565978E-3</v>
      </c>
      <c r="Y2403">
        <f t="shared" si="493"/>
        <v>-1.4428886169614295E-3</v>
      </c>
      <c r="Z2403" t="str">
        <f t="shared" si="486"/>
        <v>2019-08</v>
      </c>
    </row>
    <row r="2404" spans="1:26" x14ac:dyDescent="0.35">
      <c r="A2404" s="1">
        <v>43700</v>
      </c>
      <c r="C2404">
        <v>3334.25</v>
      </c>
      <c r="D2404">
        <f t="shared" si="487"/>
        <v>-1.1753406062459167E-2</v>
      </c>
      <c r="E2404" t="str">
        <f t="shared" si="481"/>
        <v>2019-08</v>
      </c>
      <c r="G2404">
        <v>5326.87</v>
      </c>
      <c r="H2404">
        <f t="shared" si="488"/>
        <v>-1.145683322043186E-2</v>
      </c>
      <c r="I2404" t="str">
        <f t="shared" si="482"/>
        <v>2019-08</v>
      </c>
      <c r="K2404">
        <v>11611.51</v>
      </c>
      <c r="L2404">
        <f t="shared" si="489"/>
        <v>-1.1604446415119729E-2</v>
      </c>
      <c r="M2404" t="str">
        <f t="shared" si="483"/>
        <v>2019-08</v>
      </c>
      <c r="O2404">
        <v>7814.0959400000002</v>
      </c>
      <c r="P2404">
        <f t="shared" si="490"/>
        <v>-8.6569119816681459E-3</v>
      </c>
      <c r="Q2404" t="str">
        <f t="shared" si="484"/>
        <v>2019-08</v>
      </c>
      <c r="S2404">
        <v>8649.5</v>
      </c>
      <c r="T2404">
        <f t="shared" si="491"/>
        <v>-7.7047928357343032E-3</v>
      </c>
      <c r="U2404" t="str">
        <f t="shared" si="485"/>
        <v>2019-08</v>
      </c>
      <c r="W2404">
        <v>20473.86</v>
      </c>
      <c r="X2404">
        <f t="shared" si="492"/>
        <v>-1.6620529675393663E-2</v>
      </c>
      <c r="Y2404">
        <f t="shared" si="493"/>
        <v>-1.6483170717764721E-2</v>
      </c>
      <c r="Z2404" t="str">
        <f t="shared" si="486"/>
        <v>2019-08</v>
      </c>
    </row>
    <row r="2405" spans="1:26" x14ac:dyDescent="0.35">
      <c r="A2405" s="1">
        <v>43704</v>
      </c>
      <c r="C2405">
        <v>3370.47</v>
      </c>
      <c r="D2405">
        <f t="shared" si="487"/>
        <v>1.0804433994813274E-2</v>
      </c>
      <c r="E2405" t="str">
        <f t="shared" si="481"/>
        <v>2019-08</v>
      </c>
      <c r="G2405">
        <v>5387.09</v>
      </c>
      <c r="H2405">
        <f t="shared" si="488"/>
        <v>1.124152678843404E-2</v>
      </c>
      <c r="I2405" t="str">
        <f t="shared" si="482"/>
        <v>2019-08</v>
      </c>
      <c r="K2405">
        <v>11730.02</v>
      </c>
      <c r="L2405">
        <f t="shared" si="489"/>
        <v>1.0154520148224008E-2</v>
      </c>
      <c r="M2405" t="str">
        <f t="shared" si="483"/>
        <v>2019-08</v>
      </c>
      <c r="O2405">
        <v>7856.2282800000003</v>
      </c>
      <c r="P2405">
        <f t="shared" si="490"/>
        <v>5.3773541546579791E-3</v>
      </c>
      <c r="Q2405" t="str">
        <f t="shared" si="484"/>
        <v>2019-08</v>
      </c>
      <c r="S2405">
        <v>8728.9</v>
      </c>
      <c r="T2405">
        <f t="shared" si="491"/>
        <v>9.1378438167095104E-3</v>
      </c>
      <c r="U2405" t="str">
        <f t="shared" si="485"/>
        <v>2019-08</v>
      </c>
      <c r="W2405">
        <v>20991.3</v>
      </c>
      <c r="X2405">
        <f t="shared" si="492"/>
        <v>2.4959115635704472E-2</v>
      </c>
      <c r="Y2405">
        <f t="shared" si="493"/>
        <v>2.5273202024434994E-2</v>
      </c>
      <c r="Z2405" t="str">
        <f t="shared" si="486"/>
        <v>2019-08</v>
      </c>
    </row>
    <row r="2406" spans="1:26" x14ac:dyDescent="0.35">
      <c r="A2406" s="1">
        <v>43705</v>
      </c>
      <c r="C2406">
        <v>3365.38</v>
      </c>
      <c r="D2406">
        <f t="shared" si="487"/>
        <v>-1.5113166026053206E-3</v>
      </c>
      <c r="E2406" t="str">
        <f t="shared" si="481"/>
        <v>2019-08</v>
      </c>
      <c r="G2406">
        <v>5368.8</v>
      </c>
      <c r="H2406">
        <f t="shared" si="488"/>
        <v>-3.4009305838957463E-3</v>
      </c>
      <c r="I2406" t="str">
        <f t="shared" si="482"/>
        <v>2019-08</v>
      </c>
      <c r="K2406">
        <v>11701.02</v>
      </c>
      <c r="L2406">
        <f t="shared" si="489"/>
        <v>-2.4753502027893008E-3</v>
      </c>
      <c r="M2406" t="str">
        <f t="shared" si="483"/>
        <v>2019-08</v>
      </c>
      <c r="O2406">
        <v>7857.0698499999999</v>
      </c>
      <c r="P2406">
        <f t="shared" si="490"/>
        <v>1.0711564101209127E-4</v>
      </c>
      <c r="Q2406" t="str">
        <f t="shared" si="484"/>
        <v>2019-08</v>
      </c>
      <c r="S2406">
        <v>8747.1</v>
      </c>
      <c r="T2406">
        <f t="shared" si="491"/>
        <v>2.0828572419028719E-3</v>
      </c>
      <c r="U2406" t="str">
        <f t="shared" si="485"/>
        <v>2019-08</v>
      </c>
      <c r="W2406">
        <v>20990.71</v>
      </c>
      <c r="X2406">
        <f t="shared" si="492"/>
        <v>-2.8107277380909654E-5</v>
      </c>
      <c r="Y2406">
        <f t="shared" si="493"/>
        <v>-2.8106882375086133E-5</v>
      </c>
      <c r="Z2406" t="str">
        <f t="shared" si="486"/>
        <v>2019-08</v>
      </c>
    </row>
    <row r="2407" spans="1:26" x14ac:dyDescent="0.35">
      <c r="A2407" s="1">
        <v>43706</v>
      </c>
      <c r="C2407">
        <v>3411.33</v>
      </c>
      <c r="D2407">
        <f t="shared" si="487"/>
        <v>1.3561360666697936E-2</v>
      </c>
      <c r="E2407" t="str">
        <f t="shared" si="481"/>
        <v>2019-08</v>
      </c>
      <c r="G2407">
        <v>5449.97</v>
      </c>
      <c r="H2407">
        <f t="shared" si="488"/>
        <v>1.5005684210954001E-2</v>
      </c>
      <c r="I2407" t="str">
        <f t="shared" si="482"/>
        <v>2019-08</v>
      </c>
      <c r="K2407">
        <v>11838.88</v>
      </c>
      <c r="L2407">
        <f t="shared" si="489"/>
        <v>1.171301289593476E-2</v>
      </c>
      <c r="M2407" t="str">
        <f t="shared" si="483"/>
        <v>2019-08</v>
      </c>
      <c r="O2407">
        <v>7928.5565299999998</v>
      </c>
      <c r="P2407">
        <f t="shared" si="490"/>
        <v>9.0572482804043355E-3</v>
      </c>
      <c r="Q2407" t="str">
        <f t="shared" si="484"/>
        <v>2019-08</v>
      </c>
      <c r="S2407">
        <v>8794.2999999999993</v>
      </c>
      <c r="T2407">
        <f t="shared" si="491"/>
        <v>5.3815674819874841E-3</v>
      </c>
      <c r="U2407" t="str">
        <f t="shared" si="485"/>
        <v>2019-08</v>
      </c>
      <c r="W2407">
        <v>21398.17</v>
      </c>
      <c r="X2407">
        <f t="shared" si="492"/>
        <v>1.9225445460861232E-2</v>
      </c>
      <c r="Y2407">
        <f t="shared" si="493"/>
        <v>1.9411444396116147E-2</v>
      </c>
      <c r="Z2407" t="str">
        <f t="shared" si="486"/>
        <v>2019-08</v>
      </c>
    </row>
    <row r="2408" spans="1:26" x14ac:dyDescent="0.35">
      <c r="A2408" s="1">
        <v>43707</v>
      </c>
      <c r="C2408">
        <v>3426.76</v>
      </c>
      <c r="D2408">
        <f t="shared" si="487"/>
        <v>4.5129637627922279E-3</v>
      </c>
      <c r="E2408" t="str">
        <f t="shared" si="481"/>
        <v>2019-08</v>
      </c>
      <c r="G2408">
        <v>5480.48</v>
      </c>
      <c r="H2408">
        <f t="shared" si="488"/>
        <v>5.5825842920648495E-3</v>
      </c>
      <c r="I2408" t="str">
        <f t="shared" si="482"/>
        <v>2019-08</v>
      </c>
      <c r="K2408">
        <v>11939.28</v>
      </c>
      <c r="L2408">
        <f t="shared" si="489"/>
        <v>8.4447742517951598E-3</v>
      </c>
      <c r="M2408" t="str">
        <f t="shared" si="483"/>
        <v>2019-08</v>
      </c>
      <c r="O2408">
        <v>7979.8463700000002</v>
      </c>
      <c r="P2408">
        <f t="shared" si="490"/>
        <v>6.4481668004874766E-3</v>
      </c>
      <c r="Q2408" t="str">
        <f t="shared" si="484"/>
        <v>2019-08</v>
      </c>
      <c r="S2408">
        <v>8812.9</v>
      </c>
      <c r="T2408">
        <f t="shared" si="491"/>
        <v>2.1127728337161106E-3</v>
      </c>
      <c r="U2408" t="str">
        <f t="shared" si="485"/>
        <v>2019-08</v>
      </c>
      <c r="W2408">
        <v>21322.9</v>
      </c>
      <c r="X2408">
        <f t="shared" si="492"/>
        <v>-3.5237917910901969E-3</v>
      </c>
      <c r="Y2408">
        <f t="shared" si="493"/>
        <v>-3.5175905229277459E-3</v>
      </c>
      <c r="Z2408" t="str">
        <f t="shared" si="486"/>
        <v>2019-08</v>
      </c>
    </row>
    <row r="2409" spans="1:26" x14ac:dyDescent="0.35">
      <c r="A2409" s="1">
        <v>43710</v>
      </c>
      <c r="C2409">
        <v>3432.54</v>
      </c>
      <c r="D2409">
        <f t="shared" si="487"/>
        <v>1.6853035639358203E-3</v>
      </c>
      <c r="E2409" t="str">
        <f t="shared" si="481"/>
        <v>2019-09</v>
      </c>
      <c r="G2409">
        <v>5493.04</v>
      </c>
      <c r="H2409">
        <f t="shared" si="488"/>
        <v>2.289147964325112E-3</v>
      </c>
      <c r="I2409" t="str">
        <f t="shared" si="482"/>
        <v>2019-09</v>
      </c>
      <c r="K2409">
        <v>11953.78</v>
      </c>
      <c r="L2409">
        <f t="shared" si="489"/>
        <v>1.2137417124536152E-3</v>
      </c>
      <c r="M2409" t="str">
        <f t="shared" si="483"/>
        <v>2019-09</v>
      </c>
      <c r="O2409">
        <v>8013.8499499999998</v>
      </c>
      <c r="P2409">
        <f t="shared" si="490"/>
        <v>4.2521291580645349E-3</v>
      </c>
      <c r="Q2409" t="str">
        <f t="shared" si="484"/>
        <v>2019-09</v>
      </c>
      <c r="S2409">
        <v>8815.5</v>
      </c>
      <c r="T2409">
        <f t="shared" si="491"/>
        <v>2.9497855946688557E-4</v>
      </c>
      <c r="U2409" t="str">
        <f t="shared" si="485"/>
        <v>2019-09</v>
      </c>
      <c r="W2409">
        <v>21451.98</v>
      </c>
      <c r="X2409">
        <f t="shared" si="492"/>
        <v>6.0353362447490653E-3</v>
      </c>
      <c r="Y2409">
        <f t="shared" si="493"/>
        <v>6.0535855816984604E-3</v>
      </c>
      <c r="Z2409" t="str">
        <f t="shared" si="486"/>
        <v>2019-09</v>
      </c>
    </row>
    <row r="2410" spans="1:26" x14ac:dyDescent="0.35">
      <c r="A2410" s="1">
        <v>43711</v>
      </c>
      <c r="C2410">
        <v>3420.74</v>
      </c>
      <c r="D2410">
        <f t="shared" si="487"/>
        <v>-3.4436099680172387E-3</v>
      </c>
      <c r="E2410" t="str">
        <f t="shared" si="481"/>
        <v>2019-09</v>
      </c>
      <c r="G2410">
        <v>5466.07</v>
      </c>
      <c r="H2410">
        <f t="shared" si="488"/>
        <v>-4.921942465552216E-3</v>
      </c>
      <c r="I2410" t="str">
        <f t="shared" si="482"/>
        <v>2019-09</v>
      </c>
      <c r="K2410">
        <v>11910.86</v>
      </c>
      <c r="L2410">
        <f t="shared" si="489"/>
        <v>-3.5969573624633866E-3</v>
      </c>
      <c r="M2410" t="str">
        <f t="shared" si="483"/>
        <v>2019-09</v>
      </c>
      <c r="O2410">
        <v>8011.5727900000002</v>
      </c>
      <c r="P2410">
        <f t="shared" si="490"/>
        <v>-2.8419344091831832E-4</v>
      </c>
      <c r="Q2410" t="str">
        <f t="shared" si="484"/>
        <v>2019-09</v>
      </c>
      <c r="S2410">
        <v>8809.2000000000007</v>
      </c>
      <c r="T2410">
        <f t="shared" si="491"/>
        <v>-7.1490581607875335E-4</v>
      </c>
      <c r="U2410" t="str">
        <f t="shared" si="485"/>
        <v>2019-09</v>
      </c>
      <c r="W2410">
        <v>21399.23</v>
      </c>
      <c r="X2410">
        <f t="shared" si="492"/>
        <v>-2.4620087341890237E-3</v>
      </c>
      <c r="Y2410">
        <f t="shared" si="493"/>
        <v>-2.4589804763942538E-3</v>
      </c>
      <c r="Z2410" t="str">
        <f t="shared" si="486"/>
        <v>2019-09</v>
      </c>
    </row>
    <row r="2411" spans="1:26" x14ac:dyDescent="0.35">
      <c r="A2411" s="1">
        <v>43712</v>
      </c>
      <c r="C2411">
        <v>3450.83</v>
      </c>
      <c r="D2411">
        <f t="shared" si="487"/>
        <v>8.7578798807719134E-3</v>
      </c>
      <c r="E2411" t="str">
        <f t="shared" si="481"/>
        <v>2019-09</v>
      </c>
      <c r="G2411">
        <v>5532.07</v>
      </c>
      <c r="H2411">
        <f t="shared" si="488"/>
        <v>1.2002173510253143E-2</v>
      </c>
      <c r="I2411" t="str">
        <f t="shared" si="482"/>
        <v>2019-09</v>
      </c>
      <c r="K2411">
        <v>12025.04</v>
      </c>
      <c r="L2411">
        <f t="shared" si="489"/>
        <v>9.5405534009192078E-3</v>
      </c>
      <c r="M2411" t="str">
        <f t="shared" si="483"/>
        <v>2019-09</v>
      </c>
      <c r="O2411">
        <v>8095.0355600000003</v>
      </c>
      <c r="P2411">
        <f t="shared" si="490"/>
        <v>1.0363884841188824E-2</v>
      </c>
      <c r="Q2411" t="str">
        <f t="shared" si="484"/>
        <v>2019-09</v>
      </c>
      <c r="S2411">
        <v>8856.6</v>
      </c>
      <c r="T2411">
        <f t="shared" si="491"/>
        <v>5.3663138662700784E-3</v>
      </c>
      <c r="U2411" t="str">
        <f t="shared" si="485"/>
        <v>2019-09</v>
      </c>
      <c r="W2411">
        <v>21737.8</v>
      </c>
      <c r="X2411">
        <f t="shared" si="492"/>
        <v>1.5697740548193766E-2</v>
      </c>
      <c r="Y2411">
        <f t="shared" si="493"/>
        <v>1.5821597319155861E-2</v>
      </c>
      <c r="Z2411" t="str">
        <f t="shared" si="486"/>
        <v>2019-09</v>
      </c>
    </row>
    <row r="2412" spans="1:26" x14ac:dyDescent="0.35">
      <c r="A2412" s="1">
        <v>43713</v>
      </c>
      <c r="C2412">
        <v>3484.7</v>
      </c>
      <c r="D2412">
        <f t="shared" si="487"/>
        <v>9.7671754745859846E-3</v>
      </c>
      <c r="E2412" t="str">
        <f t="shared" si="481"/>
        <v>2019-09</v>
      </c>
      <c r="G2412">
        <v>5593.37</v>
      </c>
      <c r="H2412">
        <f t="shared" si="488"/>
        <v>1.1019900398649174E-2</v>
      </c>
      <c r="I2412" t="str">
        <f t="shared" si="482"/>
        <v>2019-09</v>
      </c>
      <c r="K2412">
        <v>12126.78</v>
      </c>
      <c r="L2412">
        <f t="shared" si="489"/>
        <v>8.4250877829686356E-3</v>
      </c>
      <c r="M2412" t="str">
        <f t="shared" si="483"/>
        <v>2019-09</v>
      </c>
      <c r="O2412">
        <v>8110.8350399999999</v>
      </c>
      <c r="P2412">
        <f t="shared" si="490"/>
        <v>1.9498471135114815E-3</v>
      </c>
      <c r="Q2412" t="str">
        <f t="shared" si="484"/>
        <v>2019-09</v>
      </c>
      <c r="S2412">
        <v>8992.7000000000007</v>
      </c>
      <c r="T2412">
        <f t="shared" si="491"/>
        <v>1.5250193307636734E-2</v>
      </c>
      <c r="U2412" t="str">
        <f t="shared" si="485"/>
        <v>2019-09</v>
      </c>
      <c r="W2412">
        <v>21955.07</v>
      </c>
      <c r="X2412">
        <f t="shared" si="492"/>
        <v>9.9454117281383651E-3</v>
      </c>
      <c r="Y2412">
        <f t="shared" si="493"/>
        <v>9.9950316959398124E-3</v>
      </c>
      <c r="Z2412" t="str">
        <f t="shared" si="486"/>
        <v>2019-09</v>
      </c>
    </row>
    <row r="2413" spans="1:26" x14ac:dyDescent="0.35">
      <c r="A2413" s="1">
        <v>43714</v>
      </c>
      <c r="C2413">
        <v>3495.19</v>
      </c>
      <c r="D2413">
        <f t="shared" si="487"/>
        <v>3.0057802910493274E-3</v>
      </c>
      <c r="E2413" t="str">
        <f t="shared" si="481"/>
        <v>2019-09</v>
      </c>
      <c r="G2413">
        <v>5603.99</v>
      </c>
      <c r="H2413">
        <f t="shared" si="488"/>
        <v>1.8968762608960574E-3</v>
      </c>
      <c r="I2413" t="str">
        <f t="shared" si="482"/>
        <v>2019-09</v>
      </c>
      <c r="K2413">
        <v>12191.73</v>
      </c>
      <c r="L2413">
        <f t="shared" si="489"/>
        <v>5.3416228571927012E-3</v>
      </c>
      <c r="M2413" t="str">
        <f t="shared" si="483"/>
        <v>2019-09</v>
      </c>
      <c r="O2413">
        <v>8109.8936299999996</v>
      </c>
      <c r="P2413">
        <f t="shared" si="490"/>
        <v>-1.1607493352609581E-4</v>
      </c>
      <c r="Q2413" t="str">
        <f t="shared" si="484"/>
        <v>2019-09</v>
      </c>
      <c r="S2413">
        <v>8990.1</v>
      </c>
      <c r="T2413">
        <f t="shared" si="491"/>
        <v>-2.8916520431939487E-4</v>
      </c>
      <c r="U2413" t="str">
        <f t="shared" si="485"/>
        <v>2019-09</v>
      </c>
      <c r="W2413">
        <v>21947.33</v>
      </c>
      <c r="X2413">
        <f t="shared" si="492"/>
        <v>-3.5260031707558216E-4</v>
      </c>
      <c r="Y2413">
        <f t="shared" si="493"/>
        <v>-3.5253816088939654E-4</v>
      </c>
      <c r="Z2413" t="str">
        <f t="shared" si="486"/>
        <v>2019-09</v>
      </c>
    </row>
    <row r="2414" spans="1:26" x14ac:dyDescent="0.35">
      <c r="A2414" s="1">
        <v>43717</v>
      </c>
      <c r="C2414">
        <v>3495.02</v>
      </c>
      <c r="D2414">
        <f t="shared" si="487"/>
        <v>-4.8639454332152567E-5</v>
      </c>
      <c r="E2414" t="str">
        <f t="shared" si="481"/>
        <v>2019-09</v>
      </c>
      <c r="G2414">
        <v>5588.95</v>
      </c>
      <c r="H2414">
        <f t="shared" si="488"/>
        <v>-2.6874099301502159E-3</v>
      </c>
      <c r="I2414" t="str">
        <f t="shared" si="482"/>
        <v>2019-09</v>
      </c>
      <c r="K2414">
        <v>12226.1</v>
      </c>
      <c r="L2414">
        <f t="shared" si="489"/>
        <v>2.8151578333409704E-3</v>
      </c>
      <c r="M2414" t="str">
        <f t="shared" si="483"/>
        <v>2019-09</v>
      </c>
      <c r="O2414">
        <v>8078.4612900000002</v>
      </c>
      <c r="P2414">
        <f t="shared" si="490"/>
        <v>-3.8833321428891317E-3</v>
      </c>
      <c r="Q2414" t="str">
        <f t="shared" si="484"/>
        <v>2019-09</v>
      </c>
      <c r="S2414">
        <v>9010.6</v>
      </c>
      <c r="T2414">
        <f t="shared" si="491"/>
        <v>2.2776901856722512E-3</v>
      </c>
      <c r="U2414" t="str">
        <f t="shared" si="485"/>
        <v>2019-09</v>
      </c>
      <c r="W2414">
        <v>21989.73</v>
      </c>
      <c r="X2414">
        <f t="shared" si="492"/>
        <v>1.930034151660362E-3</v>
      </c>
      <c r="Y2414">
        <f t="shared" si="493"/>
        <v>1.9318978663918488E-3</v>
      </c>
      <c r="Z2414" t="str">
        <f t="shared" si="486"/>
        <v>2019-09</v>
      </c>
    </row>
    <row r="2415" spans="1:26" x14ac:dyDescent="0.35">
      <c r="A2415" s="1">
        <v>43718</v>
      </c>
      <c r="C2415">
        <v>3498.99</v>
      </c>
      <c r="D2415">
        <f t="shared" si="487"/>
        <v>1.1352572919915765E-3</v>
      </c>
      <c r="E2415" t="str">
        <f t="shared" si="481"/>
        <v>2019-09</v>
      </c>
      <c r="G2415">
        <v>5593.21</v>
      </c>
      <c r="H2415">
        <f t="shared" si="488"/>
        <v>7.6192796491727913E-4</v>
      </c>
      <c r="I2415" t="str">
        <f t="shared" si="482"/>
        <v>2019-09</v>
      </c>
      <c r="K2415">
        <v>12268.71</v>
      </c>
      <c r="L2415">
        <f t="shared" si="489"/>
        <v>3.4791078583550541E-3</v>
      </c>
      <c r="M2415" t="str">
        <f t="shared" si="483"/>
        <v>2019-09</v>
      </c>
      <c r="O2415">
        <v>8126.9912800000002</v>
      </c>
      <c r="P2415">
        <f t="shared" si="490"/>
        <v>5.9893588117082962E-3</v>
      </c>
      <c r="Q2415" t="str">
        <f t="shared" si="484"/>
        <v>2019-09</v>
      </c>
      <c r="S2415">
        <v>9078.2000000000007</v>
      </c>
      <c r="T2415">
        <f t="shared" si="491"/>
        <v>7.4742729981539906E-3</v>
      </c>
      <c r="U2415" t="str">
        <f t="shared" si="485"/>
        <v>2019-09</v>
      </c>
      <c r="W2415">
        <v>21869.01</v>
      </c>
      <c r="X2415">
        <f t="shared" si="492"/>
        <v>-5.5049600086080454E-3</v>
      </c>
      <c r="Y2415">
        <f t="shared" si="493"/>
        <v>-5.489835482291104E-3</v>
      </c>
      <c r="Z2415" t="str">
        <f t="shared" si="486"/>
        <v>2019-09</v>
      </c>
    </row>
    <row r="2416" spans="1:26" x14ac:dyDescent="0.35">
      <c r="A2416" s="1">
        <v>43719</v>
      </c>
      <c r="C2416">
        <v>3516.82</v>
      </c>
      <c r="D2416">
        <f t="shared" si="487"/>
        <v>5.0828167771155433E-3</v>
      </c>
      <c r="E2416" t="str">
        <f t="shared" si="481"/>
        <v>2019-09</v>
      </c>
      <c r="G2416">
        <v>5618.06</v>
      </c>
      <c r="H2416">
        <f t="shared" si="488"/>
        <v>4.4330465140523601E-3</v>
      </c>
      <c r="I2416" t="str">
        <f t="shared" si="482"/>
        <v>2019-09</v>
      </c>
      <c r="K2416">
        <v>12359.07</v>
      </c>
      <c r="L2416">
        <f t="shared" si="489"/>
        <v>7.3380877587466411E-3</v>
      </c>
      <c r="M2416" t="str">
        <f t="shared" si="483"/>
        <v>2019-09</v>
      </c>
      <c r="O2416">
        <v>8212.0335699999996</v>
      </c>
      <c r="P2416">
        <f t="shared" si="490"/>
        <v>1.040980826461067E-2</v>
      </c>
      <c r="Q2416" t="str">
        <f t="shared" si="484"/>
        <v>2019-09</v>
      </c>
      <c r="S2416">
        <v>9059.5</v>
      </c>
      <c r="T2416">
        <f t="shared" si="491"/>
        <v>-2.0620041819874617E-3</v>
      </c>
      <c r="U2416" t="str">
        <f t="shared" si="485"/>
        <v>2019-09</v>
      </c>
      <c r="W2416">
        <v>21891.57</v>
      </c>
      <c r="X2416">
        <f t="shared" si="492"/>
        <v>1.0310650360950743E-3</v>
      </c>
      <c r="Y2416">
        <f t="shared" si="493"/>
        <v>1.0315967663831747E-3</v>
      </c>
      <c r="Z2416" t="str">
        <f t="shared" si="486"/>
        <v>2019-09</v>
      </c>
    </row>
    <row r="2417" spans="1:26" x14ac:dyDescent="0.35">
      <c r="A2417" s="1">
        <v>43720</v>
      </c>
      <c r="C2417">
        <v>3538.86</v>
      </c>
      <c r="D2417">
        <f t="shared" si="487"/>
        <v>6.2474691841617677E-3</v>
      </c>
      <c r="E2417" t="str">
        <f t="shared" si="481"/>
        <v>2019-09</v>
      </c>
      <c r="G2417">
        <v>5642.86</v>
      </c>
      <c r="H2417">
        <f t="shared" si="488"/>
        <v>4.4046205984467441E-3</v>
      </c>
      <c r="I2417" t="str">
        <f t="shared" si="482"/>
        <v>2019-09</v>
      </c>
      <c r="K2417">
        <v>12410.25</v>
      </c>
      <c r="L2417">
        <f t="shared" si="489"/>
        <v>4.1325375777035052E-3</v>
      </c>
      <c r="M2417" t="str">
        <f t="shared" si="483"/>
        <v>2019-09</v>
      </c>
      <c r="O2417">
        <v>8194.7352599999995</v>
      </c>
      <c r="P2417">
        <f t="shared" si="490"/>
        <v>-2.108680458538837E-3</v>
      </c>
      <c r="Q2417" t="str">
        <f t="shared" si="484"/>
        <v>2019-09</v>
      </c>
      <c r="S2417">
        <v>9082.2999999999993</v>
      </c>
      <c r="T2417">
        <f t="shared" si="491"/>
        <v>2.5135336079016072E-3</v>
      </c>
      <c r="U2417" t="str">
        <f t="shared" si="485"/>
        <v>2019-09</v>
      </c>
      <c r="W2417">
        <v>22083.17</v>
      </c>
      <c r="X2417">
        <f t="shared" si="492"/>
        <v>8.7141487339987868E-3</v>
      </c>
      <c r="Y2417">
        <f t="shared" si="493"/>
        <v>8.7522274555912865E-3</v>
      </c>
      <c r="Z2417" t="str">
        <f t="shared" si="486"/>
        <v>2019-09</v>
      </c>
    </row>
    <row r="2418" spans="1:26" x14ac:dyDescent="0.35">
      <c r="A2418" s="1">
        <v>43721</v>
      </c>
      <c r="C2418">
        <v>3550.11</v>
      </c>
      <c r="D2418">
        <f t="shared" si="487"/>
        <v>3.173947539436681E-3</v>
      </c>
      <c r="E2418" t="str">
        <f t="shared" si="481"/>
        <v>2019-09</v>
      </c>
      <c r="G2418">
        <v>5655.46</v>
      </c>
      <c r="H2418">
        <f t="shared" si="488"/>
        <v>2.2304210225090261E-3</v>
      </c>
      <c r="I2418" t="str">
        <f t="shared" si="482"/>
        <v>2019-09</v>
      </c>
      <c r="K2418">
        <v>12468.53</v>
      </c>
      <c r="L2418">
        <f t="shared" si="489"/>
        <v>4.6851257662758033E-3</v>
      </c>
      <c r="M2418" t="str">
        <f t="shared" si="483"/>
        <v>2019-09</v>
      </c>
      <c r="O2418">
        <v>8292.7161300000007</v>
      </c>
      <c r="P2418">
        <f t="shared" si="490"/>
        <v>1.1885648199738776E-2</v>
      </c>
      <c r="Q2418" t="str">
        <f t="shared" si="484"/>
        <v>2019-09</v>
      </c>
      <c r="S2418">
        <v>9137.9</v>
      </c>
      <c r="T2418">
        <f t="shared" si="491"/>
        <v>6.1031352656391149E-3</v>
      </c>
      <c r="U2418" t="str">
        <f t="shared" si="485"/>
        <v>2019-09</v>
      </c>
      <c r="W2418">
        <v>22181.41</v>
      </c>
      <c r="X2418">
        <f t="shared" si="492"/>
        <v>4.4387707417203656E-3</v>
      </c>
      <c r="Y2418">
        <f t="shared" si="493"/>
        <v>4.4486366767090783E-3</v>
      </c>
      <c r="Z2418" t="str">
        <f t="shared" si="486"/>
        <v>2019-09</v>
      </c>
    </row>
    <row r="2419" spans="1:26" x14ac:dyDescent="0.35">
      <c r="A2419" s="1">
        <v>43724</v>
      </c>
      <c r="C2419">
        <v>3518.45</v>
      </c>
      <c r="D2419">
        <f t="shared" si="487"/>
        <v>-8.9580372003773487E-3</v>
      </c>
      <c r="E2419" t="str">
        <f t="shared" si="481"/>
        <v>2019-09</v>
      </c>
      <c r="G2419">
        <v>5602.23</v>
      </c>
      <c r="H2419">
        <f t="shared" si="488"/>
        <v>-9.4567174427058181E-3</v>
      </c>
      <c r="I2419" t="str">
        <f t="shared" si="482"/>
        <v>2019-09</v>
      </c>
      <c r="K2419">
        <v>12380.31</v>
      </c>
      <c r="L2419">
        <f t="shared" si="489"/>
        <v>-7.1005624935352877E-3</v>
      </c>
      <c r="M2419" t="str">
        <f t="shared" si="483"/>
        <v>2019-09</v>
      </c>
      <c r="O2419">
        <v>8268.2759800000003</v>
      </c>
      <c r="P2419">
        <f t="shared" si="490"/>
        <v>-2.9515342535404894E-3</v>
      </c>
      <c r="Q2419" t="str">
        <f t="shared" si="484"/>
        <v>2019-09</v>
      </c>
      <c r="S2419">
        <v>9052</v>
      </c>
      <c r="T2419">
        <f t="shared" si="491"/>
        <v>-9.4448719962749485E-3</v>
      </c>
      <c r="U2419" t="str">
        <f t="shared" si="485"/>
        <v>2019-09</v>
      </c>
      <c r="W2419">
        <v>21969.24</v>
      </c>
      <c r="X2419">
        <f t="shared" si="492"/>
        <v>-9.6112575143031728E-3</v>
      </c>
      <c r="Y2419">
        <f t="shared" si="493"/>
        <v>-9.5652169992799484E-3</v>
      </c>
      <c r="Z2419" t="str">
        <f t="shared" si="486"/>
        <v>2019-09</v>
      </c>
    </row>
    <row r="2420" spans="1:26" x14ac:dyDescent="0.35">
      <c r="A2420" s="1">
        <v>43725</v>
      </c>
      <c r="C2420">
        <v>3521.26</v>
      </c>
      <c r="D2420">
        <f t="shared" si="487"/>
        <v>7.9832838262981862E-4</v>
      </c>
      <c r="E2420" t="str">
        <f t="shared" si="481"/>
        <v>2019-09</v>
      </c>
      <c r="G2420">
        <v>5615.51</v>
      </c>
      <c r="H2420">
        <f t="shared" si="488"/>
        <v>2.3676794441428823E-3</v>
      </c>
      <c r="I2420" t="str">
        <f t="shared" si="482"/>
        <v>2019-09</v>
      </c>
      <c r="K2420">
        <v>12372.61</v>
      </c>
      <c r="L2420">
        <f t="shared" si="489"/>
        <v>-6.2214884129778761E-4</v>
      </c>
      <c r="M2420" t="str">
        <f t="shared" si="483"/>
        <v>2019-09</v>
      </c>
      <c r="O2420">
        <v>8268.0181799999991</v>
      </c>
      <c r="P2420">
        <f t="shared" si="490"/>
        <v>-3.1179900106678253E-5</v>
      </c>
      <c r="Q2420" t="str">
        <f t="shared" si="484"/>
        <v>2019-09</v>
      </c>
      <c r="S2420">
        <v>9004.2000000000007</v>
      </c>
      <c r="T2420">
        <f t="shared" si="491"/>
        <v>-5.2945926234290062E-3</v>
      </c>
      <c r="U2420" t="str">
        <f t="shared" si="485"/>
        <v>2019-09</v>
      </c>
      <c r="W2420">
        <v>21801.93</v>
      </c>
      <c r="X2420">
        <f t="shared" si="492"/>
        <v>-7.644795185472549E-3</v>
      </c>
      <c r="Y2420">
        <f t="shared" si="493"/>
        <v>-7.6156480606521344E-3</v>
      </c>
      <c r="Z2420" t="str">
        <f t="shared" si="486"/>
        <v>2019-09</v>
      </c>
    </row>
    <row r="2421" spans="1:26" x14ac:dyDescent="0.35">
      <c r="A2421" s="1">
        <v>43726</v>
      </c>
      <c r="C2421">
        <v>3528.04</v>
      </c>
      <c r="D2421">
        <f t="shared" si="487"/>
        <v>1.923595843736113E-3</v>
      </c>
      <c r="E2421" t="str">
        <f t="shared" si="481"/>
        <v>2019-09</v>
      </c>
      <c r="G2421">
        <v>5620.65</v>
      </c>
      <c r="H2421">
        <f t="shared" si="488"/>
        <v>9.1490337598165771E-4</v>
      </c>
      <c r="I2421" t="str">
        <f t="shared" si="482"/>
        <v>2019-09</v>
      </c>
      <c r="K2421">
        <v>12389.62</v>
      </c>
      <c r="L2421">
        <f t="shared" si="489"/>
        <v>1.3738667862744716E-3</v>
      </c>
      <c r="M2421" t="str">
        <f t="shared" si="483"/>
        <v>2019-09</v>
      </c>
      <c r="O2421">
        <v>8250.2060899999997</v>
      </c>
      <c r="P2421">
        <f t="shared" si="490"/>
        <v>-2.1566600153611619E-3</v>
      </c>
      <c r="Q2421" t="str">
        <f t="shared" si="484"/>
        <v>2019-09</v>
      </c>
      <c r="S2421">
        <v>9031.7000000000007</v>
      </c>
      <c r="T2421">
        <f t="shared" si="491"/>
        <v>3.0494759131399103E-3</v>
      </c>
      <c r="U2421" t="str">
        <f t="shared" si="485"/>
        <v>2019-09</v>
      </c>
      <c r="W2421">
        <v>21947.7</v>
      </c>
      <c r="X2421">
        <f t="shared" si="492"/>
        <v>6.6638524455075402E-3</v>
      </c>
      <c r="Y2421">
        <f t="shared" si="493"/>
        <v>6.6861053126948131E-3</v>
      </c>
      <c r="Z2421" t="str">
        <f t="shared" si="486"/>
        <v>2019-09</v>
      </c>
    </row>
    <row r="2422" spans="1:26" x14ac:dyDescent="0.35">
      <c r="A2422" s="1">
        <v>43727</v>
      </c>
      <c r="C2422">
        <v>3552.65</v>
      </c>
      <c r="D2422">
        <f t="shared" si="487"/>
        <v>6.9513279350334198E-3</v>
      </c>
      <c r="E2422" t="str">
        <f t="shared" si="481"/>
        <v>2019-09</v>
      </c>
      <c r="G2422">
        <v>5659.08</v>
      </c>
      <c r="H2422">
        <f t="shared" si="488"/>
        <v>6.8140192530689201E-3</v>
      </c>
      <c r="I2422" t="str">
        <f t="shared" si="482"/>
        <v>2019-09</v>
      </c>
      <c r="K2422">
        <v>12457.7</v>
      </c>
      <c r="L2422">
        <f t="shared" si="489"/>
        <v>5.479880354496567E-3</v>
      </c>
      <c r="M2422" t="str">
        <f t="shared" si="483"/>
        <v>2019-09</v>
      </c>
      <c r="O2422">
        <v>8319.5149099999999</v>
      </c>
      <c r="P2422">
        <f t="shared" si="490"/>
        <v>8.3657684061894423E-3</v>
      </c>
      <c r="Q2422" t="str">
        <f t="shared" si="484"/>
        <v>2019-09</v>
      </c>
      <c r="S2422">
        <v>9136</v>
      </c>
      <c r="T2422">
        <f t="shared" si="491"/>
        <v>1.1482041852652445E-2</v>
      </c>
      <c r="U2422" t="str">
        <f t="shared" si="485"/>
        <v>2019-09</v>
      </c>
      <c r="W2422">
        <v>22128.240000000002</v>
      </c>
      <c r="X2422">
        <f t="shared" si="492"/>
        <v>8.1922704186633069E-3</v>
      </c>
      <c r="Y2422">
        <f t="shared" si="493"/>
        <v>8.2259188889952425E-3</v>
      </c>
      <c r="Z2422" t="str">
        <f t="shared" si="486"/>
        <v>2019-09</v>
      </c>
    </row>
    <row r="2423" spans="1:26" x14ac:dyDescent="0.35">
      <c r="A2423" s="1">
        <v>43728</v>
      </c>
      <c r="C2423">
        <v>3571.39</v>
      </c>
      <c r="D2423">
        <f t="shared" si="487"/>
        <v>5.2610718707811945E-3</v>
      </c>
      <c r="E2423" t="str">
        <f t="shared" si="481"/>
        <v>2019-09</v>
      </c>
      <c r="G2423">
        <v>5690.78</v>
      </c>
      <c r="H2423">
        <f t="shared" si="488"/>
        <v>5.5859865105877312E-3</v>
      </c>
      <c r="I2423" t="str">
        <f t="shared" si="482"/>
        <v>2019-09</v>
      </c>
      <c r="K2423">
        <v>12468.01</v>
      </c>
      <c r="L2423">
        <f t="shared" si="489"/>
        <v>8.2725832788511824E-4</v>
      </c>
      <c r="M2423" t="str">
        <f t="shared" si="483"/>
        <v>2019-09</v>
      </c>
      <c r="O2423">
        <v>8331.1825399999998</v>
      </c>
      <c r="P2423">
        <f t="shared" si="490"/>
        <v>1.4014586409635339E-3</v>
      </c>
      <c r="Q2423" t="str">
        <f t="shared" si="484"/>
        <v>2019-09</v>
      </c>
      <c r="S2423">
        <v>9179</v>
      </c>
      <c r="T2423">
        <f t="shared" si="491"/>
        <v>4.6956133232994302E-3</v>
      </c>
      <c r="U2423" t="str">
        <f t="shared" si="485"/>
        <v>2019-09</v>
      </c>
      <c r="W2423">
        <v>22123.25</v>
      </c>
      <c r="X2423">
        <f t="shared" si="492"/>
        <v>-2.2552913003169933E-4</v>
      </c>
      <c r="Y2423">
        <f t="shared" si="493"/>
        <v>-2.2550370024916578E-4</v>
      </c>
      <c r="Z2423" t="str">
        <f t="shared" si="486"/>
        <v>2019-09</v>
      </c>
    </row>
    <row r="2424" spans="1:26" x14ac:dyDescent="0.35">
      <c r="A2424" s="1">
        <v>43731</v>
      </c>
      <c r="C2424">
        <v>3536.97</v>
      </c>
      <c r="D2424">
        <f t="shared" si="487"/>
        <v>-9.68444733140085E-3</v>
      </c>
      <c r="E2424" t="str">
        <f t="shared" si="481"/>
        <v>2019-09</v>
      </c>
      <c r="G2424">
        <v>5630.76</v>
      </c>
      <c r="H2424">
        <f t="shared" si="488"/>
        <v>-1.0602897184209698E-2</v>
      </c>
      <c r="I2424" t="str">
        <f t="shared" si="482"/>
        <v>2019-09</v>
      </c>
      <c r="K2424">
        <v>12342.33</v>
      </c>
      <c r="L2424">
        <f t="shared" si="489"/>
        <v>-1.0131346448688855E-2</v>
      </c>
      <c r="M2424" t="str">
        <f t="shared" si="483"/>
        <v>2019-09</v>
      </c>
      <c r="O2424">
        <v>8289.5992100000003</v>
      </c>
      <c r="P2424">
        <f t="shared" si="490"/>
        <v>-5.0037859095457193E-3</v>
      </c>
      <c r="Q2424" t="str">
        <f t="shared" si="484"/>
        <v>2019-09</v>
      </c>
      <c r="S2424">
        <v>9093.6</v>
      </c>
      <c r="T2424">
        <f t="shared" si="491"/>
        <v>-9.3473968465901894E-3</v>
      </c>
      <c r="U2424" t="str">
        <f t="shared" si="485"/>
        <v>2019-09</v>
      </c>
      <c r="W2424">
        <v>21899.88</v>
      </c>
      <c r="X2424">
        <f t="shared" si="492"/>
        <v>-1.0147934365150151E-2</v>
      </c>
      <c r="Y2424">
        <f t="shared" si="493"/>
        <v>-1.009661781157827E-2</v>
      </c>
      <c r="Z2424" t="str">
        <f t="shared" si="486"/>
        <v>2019-09</v>
      </c>
    </row>
    <row r="2425" spans="1:26" x14ac:dyDescent="0.35">
      <c r="A2425" s="1">
        <v>43732</v>
      </c>
      <c r="C2425">
        <v>3532.05</v>
      </c>
      <c r="D2425">
        <f t="shared" si="487"/>
        <v>-1.3919894962611031E-3</v>
      </c>
      <c r="E2425" t="str">
        <f t="shared" si="481"/>
        <v>2019-09</v>
      </c>
      <c r="G2425">
        <v>5628.33</v>
      </c>
      <c r="H2425">
        <f t="shared" si="488"/>
        <v>-4.3165123251185576E-4</v>
      </c>
      <c r="I2425" t="str">
        <f t="shared" si="482"/>
        <v>2019-09</v>
      </c>
      <c r="K2425">
        <v>12307.15</v>
      </c>
      <c r="L2425">
        <f t="shared" si="489"/>
        <v>-2.8544232078268209E-3</v>
      </c>
      <c r="M2425" t="str">
        <f t="shared" si="483"/>
        <v>2019-09</v>
      </c>
      <c r="O2425">
        <v>8267.2396800000006</v>
      </c>
      <c r="P2425">
        <f t="shared" si="490"/>
        <v>-2.7009435486399099E-3</v>
      </c>
      <c r="Q2425" t="str">
        <f t="shared" si="484"/>
        <v>2019-09</v>
      </c>
      <c r="S2425">
        <v>9118.2000000000007</v>
      </c>
      <c r="T2425">
        <f t="shared" si="491"/>
        <v>2.7015467951137444E-3</v>
      </c>
      <c r="U2425" t="str">
        <f t="shared" si="485"/>
        <v>2019-09</v>
      </c>
      <c r="W2425">
        <v>21901.01</v>
      </c>
      <c r="X2425">
        <f t="shared" si="492"/>
        <v>5.1597125092472805E-5</v>
      </c>
      <c r="Y2425">
        <f t="shared" si="493"/>
        <v>5.1598456247129239E-5</v>
      </c>
      <c r="Z2425" t="str">
        <f t="shared" si="486"/>
        <v>2019-09</v>
      </c>
    </row>
    <row r="2426" spans="1:26" x14ac:dyDescent="0.35">
      <c r="A2426" s="1">
        <v>43733</v>
      </c>
      <c r="C2426">
        <v>3513.03</v>
      </c>
      <c r="D2426">
        <f t="shared" si="487"/>
        <v>-5.3995259700283299E-3</v>
      </c>
      <c r="E2426" t="str">
        <f t="shared" si="481"/>
        <v>2019-09</v>
      </c>
      <c r="G2426">
        <v>5583.8</v>
      </c>
      <c r="H2426">
        <f t="shared" si="488"/>
        <v>-7.9432247278816027E-3</v>
      </c>
      <c r="I2426" t="str">
        <f t="shared" si="482"/>
        <v>2019-09</v>
      </c>
      <c r="K2426">
        <v>12234.18</v>
      </c>
      <c r="L2426">
        <f t="shared" si="489"/>
        <v>-5.9467204947187598E-3</v>
      </c>
      <c r="M2426" t="str">
        <f t="shared" si="483"/>
        <v>2019-09</v>
      </c>
      <c r="O2426">
        <v>8230.6338699999997</v>
      </c>
      <c r="P2426">
        <f t="shared" si="490"/>
        <v>-4.4376470654044183E-3</v>
      </c>
      <c r="Q2426" t="str">
        <f t="shared" si="484"/>
        <v>2019-09</v>
      </c>
      <c r="S2426">
        <v>9085.2999999999993</v>
      </c>
      <c r="T2426">
        <f t="shared" si="491"/>
        <v>-3.6146934185880657E-3</v>
      </c>
      <c r="U2426" t="str">
        <f t="shared" si="485"/>
        <v>2019-09</v>
      </c>
      <c r="W2426">
        <v>21788.22</v>
      </c>
      <c r="X2426">
        <f t="shared" si="492"/>
        <v>-5.1632977087632797E-3</v>
      </c>
      <c r="Y2426">
        <f t="shared" si="493"/>
        <v>-5.1499907995109472E-3</v>
      </c>
      <c r="Z2426" t="str">
        <f t="shared" si="486"/>
        <v>2019-09</v>
      </c>
    </row>
    <row r="2427" spans="1:26" x14ac:dyDescent="0.35">
      <c r="A2427" s="1">
        <v>43734</v>
      </c>
      <c r="C2427">
        <v>3532.18</v>
      </c>
      <c r="D2427">
        <f t="shared" si="487"/>
        <v>5.4363311136926724E-3</v>
      </c>
      <c r="E2427" t="str">
        <f t="shared" si="481"/>
        <v>2019-09</v>
      </c>
      <c r="G2427">
        <v>5620.57</v>
      </c>
      <c r="H2427">
        <f t="shared" si="488"/>
        <v>6.5635340504001573E-3</v>
      </c>
      <c r="I2427" t="str">
        <f t="shared" si="482"/>
        <v>2019-09</v>
      </c>
      <c r="K2427">
        <v>12288.54</v>
      </c>
      <c r="L2427">
        <f t="shared" si="489"/>
        <v>4.4334469454585341E-3</v>
      </c>
      <c r="M2427" t="str">
        <f t="shared" si="483"/>
        <v>2019-09</v>
      </c>
      <c r="O2427">
        <v>8299.7366700000002</v>
      </c>
      <c r="P2427">
        <f t="shared" si="490"/>
        <v>8.3607566290291209E-3</v>
      </c>
      <c r="Q2427" t="str">
        <f t="shared" si="484"/>
        <v>2019-09</v>
      </c>
      <c r="S2427">
        <v>9129.7000000000007</v>
      </c>
      <c r="T2427">
        <f t="shared" si="491"/>
        <v>4.875112592570988E-3</v>
      </c>
      <c r="U2427" t="str">
        <f t="shared" si="485"/>
        <v>2019-09</v>
      </c>
      <c r="W2427">
        <v>21947.67</v>
      </c>
      <c r="X2427">
        <f t="shared" si="492"/>
        <v>7.2915267734310349E-3</v>
      </c>
      <c r="Y2427">
        <f t="shared" si="493"/>
        <v>7.3181746833838228E-3</v>
      </c>
      <c r="Z2427" t="str">
        <f t="shared" si="486"/>
        <v>2019-09</v>
      </c>
    </row>
    <row r="2428" spans="1:26" x14ac:dyDescent="0.35">
      <c r="A2428" s="1">
        <v>43735</v>
      </c>
      <c r="C2428">
        <v>3545.88</v>
      </c>
      <c r="D2428">
        <f t="shared" si="487"/>
        <v>3.8711220612823532E-3</v>
      </c>
      <c r="E2428" t="str">
        <f t="shared" si="481"/>
        <v>2019-09</v>
      </c>
      <c r="G2428">
        <v>5640.58</v>
      </c>
      <c r="H2428">
        <f t="shared" si="488"/>
        <v>3.5538148519207958E-3</v>
      </c>
      <c r="I2428" t="str">
        <f t="shared" si="482"/>
        <v>2019-09</v>
      </c>
      <c r="K2428">
        <v>12380.94</v>
      </c>
      <c r="L2428">
        <f t="shared" si="489"/>
        <v>7.4910725393552173E-3</v>
      </c>
      <c r="M2428" t="str">
        <f t="shared" si="483"/>
        <v>2019-09</v>
      </c>
      <c r="O2428">
        <v>8353.8076899999996</v>
      </c>
      <c r="P2428">
        <f t="shared" si="490"/>
        <v>6.4936579066579335E-3</v>
      </c>
      <c r="Q2428" t="str">
        <f t="shared" si="484"/>
        <v>2019-09</v>
      </c>
      <c r="S2428">
        <v>9184.1</v>
      </c>
      <c r="T2428">
        <f t="shared" si="491"/>
        <v>5.940892660213061E-3</v>
      </c>
      <c r="U2428" t="str">
        <f t="shared" si="485"/>
        <v>2019-09</v>
      </c>
      <c r="W2428">
        <v>22017.4</v>
      </c>
      <c r="X2428">
        <f t="shared" si="492"/>
        <v>3.172066300298277E-3</v>
      </c>
      <c r="Y2428">
        <f t="shared" si="493"/>
        <v>3.1771026263837212E-3</v>
      </c>
      <c r="Z2428" t="str">
        <f t="shared" si="486"/>
        <v>2019-09</v>
      </c>
    </row>
    <row r="2429" spans="1:26" x14ac:dyDescent="0.35">
      <c r="A2429" s="1">
        <v>43738</v>
      </c>
      <c r="C2429">
        <v>3569.45</v>
      </c>
      <c r="D2429">
        <f t="shared" si="487"/>
        <v>6.6251561663347473E-3</v>
      </c>
      <c r="E2429" t="str">
        <f t="shared" si="481"/>
        <v>2019-09</v>
      </c>
      <c r="G2429">
        <v>5677.79</v>
      </c>
      <c r="H2429">
        <f t="shared" si="488"/>
        <v>6.5751754109503362E-3</v>
      </c>
      <c r="I2429" t="str">
        <f t="shared" si="482"/>
        <v>2019-09</v>
      </c>
      <c r="K2429">
        <v>12428.08</v>
      </c>
      <c r="L2429">
        <f t="shared" si="489"/>
        <v>3.8002352960450399E-3</v>
      </c>
      <c r="M2429" t="str">
        <f t="shared" si="483"/>
        <v>2019-09</v>
      </c>
      <c r="O2429">
        <v>8350.6283500000009</v>
      </c>
      <c r="P2429">
        <f t="shared" si="490"/>
        <v>-3.8065817137156643E-4</v>
      </c>
      <c r="Q2429" t="str">
        <f t="shared" si="484"/>
        <v>2019-09</v>
      </c>
      <c r="S2429">
        <v>9244.6</v>
      </c>
      <c r="T2429">
        <f t="shared" si="491"/>
        <v>6.5658692527759835E-3</v>
      </c>
      <c r="U2429" t="str">
        <f t="shared" si="485"/>
        <v>2019-09</v>
      </c>
      <c r="W2429">
        <v>22107.7</v>
      </c>
      <c r="X2429">
        <f t="shared" si="492"/>
        <v>4.0929142849927139E-3</v>
      </c>
      <c r="Y2429">
        <f t="shared" si="493"/>
        <v>4.1013016977481109E-3</v>
      </c>
      <c r="Z2429" t="str">
        <f t="shared" si="486"/>
        <v>2019-09</v>
      </c>
    </row>
    <row r="2430" spans="1:26" x14ac:dyDescent="0.35">
      <c r="A2430" s="1">
        <v>43739</v>
      </c>
      <c r="C2430">
        <v>3518.25</v>
      </c>
      <c r="D2430">
        <f t="shared" si="487"/>
        <v>-1.4447815403646579E-2</v>
      </c>
      <c r="E2430" t="str">
        <f t="shared" si="481"/>
        <v>2019-10</v>
      </c>
      <c r="G2430">
        <v>5597.63</v>
      </c>
      <c r="H2430">
        <f t="shared" si="488"/>
        <v>-1.4218778638053061E-2</v>
      </c>
      <c r="I2430" t="str">
        <f t="shared" si="482"/>
        <v>2019-10</v>
      </c>
      <c r="K2430">
        <v>12263.83</v>
      </c>
      <c r="L2430">
        <f t="shared" si="489"/>
        <v>-1.330414882327843E-2</v>
      </c>
      <c r="M2430" t="str">
        <f t="shared" si="483"/>
        <v>2019-10</v>
      </c>
      <c r="O2430">
        <v>8288.9396400000005</v>
      </c>
      <c r="P2430">
        <f t="shared" si="490"/>
        <v>-7.4147348855629243E-3</v>
      </c>
      <c r="Q2430" t="str">
        <f t="shared" si="484"/>
        <v>2019-10</v>
      </c>
      <c r="S2430">
        <v>9165.9</v>
      </c>
      <c r="T2430">
        <f t="shared" si="491"/>
        <v>-8.5495211293855587E-3</v>
      </c>
      <c r="U2430" t="str">
        <f t="shared" si="485"/>
        <v>2019-10</v>
      </c>
      <c r="W2430">
        <v>21927.57</v>
      </c>
      <c r="X2430">
        <f t="shared" si="492"/>
        <v>-8.1812149537473667E-3</v>
      </c>
      <c r="Y2430">
        <f t="shared" si="493"/>
        <v>-8.1478398928880435E-3</v>
      </c>
      <c r="Z2430" t="str">
        <f t="shared" si="486"/>
        <v>2019-10</v>
      </c>
    </row>
    <row r="2431" spans="1:26" x14ac:dyDescent="0.35">
      <c r="A2431" s="1">
        <v>43740</v>
      </c>
      <c r="C2431">
        <v>3413.31</v>
      </c>
      <c r="D2431">
        <f t="shared" si="487"/>
        <v>-3.0281211912153171E-2</v>
      </c>
      <c r="E2431" t="str">
        <f t="shared" si="481"/>
        <v>2019-10</v>
      </c>
      <c r="G2431">
        <v>5422.77</v>
      </c>
      <c r="H2431">
        <f t="shared" si="488"/>
        <v>-3.1736538864542252E-2</v>
      </c>
      <c r="I2431" t="str">
        <f t="shared" si="482"/>
        <v>2019-10</v>
      </c>
      <c r="K2431">
        <v>11925.25</v>
      </c>
      <c r="L2431">
        <f t="shared" si="489"/>
        <v>-2.7996278849128683E-2</v>
      </c>
      <c r="M2431" t="str">
        <f t="shared" si="483"/>
        <v>2019-10</v>
      </c>
      <c r="O2431">
        <v>8000.6702699999996</v>
      </c>
      <c r="P2431">
        <f t="shared" si="490"/>
        <v>-3.5396730722781829E-2</v>
      </c>
      <c r="Q2431" t="str">
        <f t="shared" si="484"/>
        <v>2019-10</v>
      </c>
      <c r="S2431">
        <v>8912.2000000000007</v>
      </c>
      <c r="T2431">
        <f t="shared" si="491"/>
        <v>-2.8068951558240022E-2</v>
      </c>
      <c r="U2431" t="str">
        <f t="shared" si="485"/>
        <v>2019-10</v>
      </c>
      <c r="W2431">
        <v>21298.240000000002</v>
      </c>
      <c r="X2431">
        <f t="shared" si="492"/>
        <v>-2.9120308983266553E-2</v>
      </c>
      <c r="Y2431">
        <f t="shared" si="493"/>
        <v>-2.8700398630582328E-2</v>
      </c>
      <c r="Z2431" t="str">
        <f t="shared" si="486"/>
        <v>2019-10</v>
      </c>
    </row>
    <row r="2432" spans="1:26" x14ac:dyDescent="0.35">
      <c r="A2432" s="1">
        <v>43742</v>
      </c>
      <c r="C2432">
        <v>3446.71</v>
      </c>
      <c r="D2432">
        <f t="shared" si="487"/>
        <v>9.7376578846020603E-3</v>
      </c>
      <c r="E2432" t="str">
        <f t="shared" si="481"/>
        <v>2019-10</v>
      </c>
      <c r="G2432">
        <v>5488.32</v>
      </c>
      <c r="H2432">
        <f t="shared" si="488"/>
        <v>1.2015442751173076E-2</v>
      </c>
      <c r="I2432" t="str">
        <f t="shared" si="482"/>
        <v>2019-10</v>
      </c>
      <c r="K2432">
        <v>12012.81</v>
      </c>
      <c r="L2432">
        <f t="shared" si="489"/>
        <v>7.3155794998002654E-3</v>
      </c>
      <c r="M2432" t="str">
        <f t="shared" si="483"/>
        <v>2019-10</v>
      </c>
      <c r="O2432">
        <v>8031.5622700000004</v>
      </c>
      <c r="P2432">
        <f t="shared" si="490"/>
        <v>3.8537412871437926E-3</v>
      </c>
      <c r="Q2432" t="str">
        <f t="shared" si="484"/>
        <v>2019-10</v>
      </c>
      <c r="S2432">
        <v>8961.7999999999993</v>
      </c>
      <c r="T2432">
        <f t="shared" si="491"/>
        <v>5.5499750828901673E-3</v>
      </c>
      <c r="U2432" t="str">
        <f t="shared" si="485"/>
        <v>2019-10</v>
      </c>
      <c r="W2432">
        <v>21470.44</v>
      </c>
      <c r="X2432">
        <f t="shared" si="492"/>
        <v>8.0526651994273606E-3</v>
      </c>
      <c r="Y2432">
        <f t="shared" si="493"/>
        <v>8.0851751130608489E-3</v>
      </c>
      <c r="Z2432" t="str">
        <f t="shared" si="486"/>
        <v>2019-10</v>
      </c>
    </row>
    <row r="2433" spans="1:26" x14ac:dyDescent="0.35">
      <c r="A2433" s="1">
        <v>43745</v>
      </c>
      <c r="C2433">
        <v>3471.24</v>
      </c>
      <c r="D2433">
        <f t="shared" si="487"/>
        <v>7.0917259611078254E-3</v>
      </c>
      <c r="E2433" t="str">
        <f t="shared" si="481"/>
        <v>2019-10</v>
      </c>
      <c r="G2433">
        <v>5521.61</v>
      </c>
      <c r="H2433">
        <f t="shared" si="488"/>
        <v>6.047286667638198E-3</v>
      </c>
      <c r="I2433" t="str">
        <f t="shared" si="482"/>
        <v>2019-10</v>
      </c>
      <c r="K2433">
        <v>12097.43</v>
      </c>
      <c r="L2433">
        <f t="shared" si="489"/>
        <v>7.0194529340652312E-3</v>
      </c>
      <c r="M2433" t="str">
        <f t="shared" si="483"/>
        <v>2019-10</v>
      </c>
      <c r="O2433">
        <v>8071.4822999999997</v>
      </c>
      <c r="P2433">
        <f t="shared" si="490"/>
        <v>4.9580825047775027E-3</v>
      </c>
      <c r="Q2433" t="str">
        <f t="shared" si="484"/>
        <v>2019-10</v>
      </c>
      <c r="S2433">
        <v>9044.1</v>
      </c>
      <c r="T2433">
        <f t="shared" si="491"/>
        <v>9.1415117412814544E-3</v>
      </c>
      <c r="U2433" t="str">
        <f t="shared" si="485"/>
        <v>2019-10</v>
      </c>
      <c r="W2433">
        <v>21652.15</v>
      </c>
      <c r="X2433">
        <f t="shared" si="492"/>
        <v>8.4276512843699993E-3</v>
      </c>
      <c r="Y2433">
        <f t="shared" si="493"/>
        <v>8.4632639107537055E-3</v>
      </c>
      <c r="Z2433" t="str">
        <f t="shared" si="486"/>
        <v>2019-10</v>
      </c>
    </row>
    <row r="2434" spans="1:26" x14ac:dyDescent="0.35">
      <c r="A2434" s="1">
        <v>43746</v>
      </c>
      <c r="C2434">
        <v>3432.76</v>
      </c>
      <c r="D2434">
        <f t="shared" si="487"/>
        <v>-1.1147276496309616E-2</v>
      </c>
      <c r="E2434" t="str">
        <f t="shared" si="481"/>
        <v>2019-10</v>
      </c>
      <c r="G2434">
        <v>5456.62</v>
      </c>
      <c r="H2434">
        <f t="shared" si="488"/>
        <v>-1.1839933980542337E-2</v>
      </c>
      <c r="I2434" t="str">
        <f t="shared" si="482"/>
        <v>2019-10</v>
      </c>
      <c r="K2434">
        <v>11970.2</v>
      </c>
      <c r="L2434">
        <f t="shared" si="489"/>
        <v>-1.0572805481049784E-2</v>
      </c>
      <c r="M2434" t="str">
        <f t="shared" si="483"/>
        <v>2019-10</v>
      </c>
      <c r="O2434">
        <v>7966.1806999999999</v>
      </c>
      <c r="P2434">
        <f t="shared" si="490"/>
        <v>-1.3131977303315175E-2</v>
      </c>
      <c r="Q2434" t="str">
        <f t="shared" si="484"/>
        <v>2019-10</v>
      </c>
      <c r="S2434">
        <v>8940.1</v>
      </c>
      <c r="T2434">
        <f t="shared" si="491"/>
        <v>-1.1565836603805281E-2</v>
      </c>
      <c r="U2434" t="str">
        <f t="shared" si="485"/>
        <v>2019-10</v>
      </c>
      <c r="W2434">
        <v>21405.73</v>
      </c>
      <c r="X2434">
        <f t="shared" si="492"/>
        <v>-1.1446113480581605E-2</v>
      </c>
      <c r="Y2434">
        <f t="shared" si="493"/>
        <v>-1.1380855942712473E-2</v>
      </c>
      <c r="Z2434" t="str">
        <f t="shared" si="486"/>
        <v>2019-10</v>
      </c>
    </row>
    <row r="2435" spans="1:26" x14ac:dyDescent="0.35">
      <c r="A2435" s="1">
        <v>43747</v>
      </c>
      <c r="C2435">
        <v>3462.11</v>
      </c>
      <c r="D2435">
        <f t="shared" si="487"/>
        <v>8.5136274587676655E-3</v>
      </c>
      <c r="E2435" t="str">
        <f t="shared" si="481"/>
        <v>2019-10</v>
      </c>
      <c r="G2435">
        <v>5499.14</v>
      </c>
      <c r="H2435">
        <f t="shared" si="488"/>
        <v>7.7621659273189305E-3</v>
      </c>
      <c r="I2435" t="str">
        <f t="shared" si="482"/>
        <v>2019-10</v>
      </c>
      <c r="K2435">
        <v>12094.26</v>
      </c>
      <c r="L2435">
        <f t="shared" si="489"/>
        <v>1.0310732015480059E-2</v>
      </c>
      <c r="M2435" t="str">
        <f t="shared" si="483"/>
        <v>2019-10</v>
      </c>
      <c r="O2435">
        <v>7969.8167800000001</v>
      </c>
      <c r="P2435">
        <f t="shared" si="490"/>
        <v>4.5633542144594443E-4</v>
      </c>
      <c r="Q2435" t="str">
        <f t="shared" si="484"/>
        <v>2019-10</v>
      </c>
      <c r="S2435">
        <v>8991.9</v>
      </c>
      <c r="T2435">
        <f t="shared" si="491"/>
        <v>5.7773972878649429E-3</v>
      </c>
      <c r="U2435" t="str">
        <f t="shared" si="485"/>
        <v>2019-10</v>
      </c>
      <c r="W2435">
        <v>21533.64</v>
      </c>
      <c r="X2435">
        <f t="shared" si="492"/>
        <v>5.957720308464416E-3</v>
      </c>
      <c r="Y2435">
        <f t="shared" si="493"/>
        <v>5.9755028209736299E-3</v>
      </c>
      <c r="Z2435" t="str">
        <f t="shared" si="486"/>
        <v>2019-10</v>
      </c>
    </row>
    <row r="2436" spans="1:26" x14ac:dyDescent="0.35">
      <c r="A2436" s="1">
        <v>43748</v>
      </c>
      <c r="C2436">
        <v>3493.96</v>
      </c>
      <c r="D2436">
        <f t="shared" si="487"/>
        <v>9.1575336588699124E-3</v>
      </c>
      <c r="E2436" t="str">
        <f t="shared" ref="E2436:E2499" si="494">_xlfn.CONCAT(YEAR(A2436),"-",TEXT(MONTH(A2436),"00"))</f>
        <v>2019-10</v>
      </c>
      <c r="G2436">
        <v>5569.05</v>
      </c>
      <c r="H2436">
        <f t="shared" si="488"/>
        <v>1.2632766463813734E-2</v>
      </c>
      <c r="I2436" t="str">
        <f t="shared" ref="I2436:I2499" si="495">_xlfn.CONCAT(YEAR(A2436),"-",TEXT(MONTH(A2436),"00"))</f>
        <v>2019-10</v>
      </c>
      <c r="K2436">
        <v>12164.2</v>
      </c>
      <c r="L2436">
        <f t="shared" si="489"/>
        <v>5.7662517562938592E-3</v>
      </c>
      <c r="M2436" t="str">
        <f t="shared" ref="M2436:M2499" si="496">_xlfn.CONCAT(YEAR(A2436),"-",TEXT(MONTH(A2436),"00"))</f>
        <v>2019-10</v>
      </c>
      <c r="O2436">
        <v>8085.87806</v>
      </c>
      <c r="P2436">
        <f t="shared" si="490"/>
        <v>1.445758688879138E-2</v>
      </c>
      <c r="Q2436" t="str">
        <f t="shared" ref="Q2436:Q2499" si="497">_xlfn.CONCAT(YEAR(A2436),"-",TEXT(MONTH(A2436),"00"))</f>
        <v>2019-10</v>
      </c>
      <c r="S2436">
        <v>9104.4</v>
      </c>
      <c r="T2436">
        <f t="shared" si="491"/>
        <v>1.2433641056837095E-2</v>
      </c>
      <c r="U2436" t="str">
        <f t="shared" ref="U2436:U2499" si="498">_xlfn.CONCAT(YEAR(A2436),"-",TEXT(MONTH(A2436),"00"))</f>
        <v>2019-10</v>
      </c>
      <c r="W2436">
        <v>21756.39</v>
      </c>
      <c r="X2436">
        <f t="shared" si="492"/>
        <v>1.0291143984292921E-2</v>
      </c>
      <c r="Y2436">
        <f t="shared" si="493"/>
        <v>1.0344279926663584E-2</v>
      </c>
      <c r="Z2436" t="str">
        <f t="shared" ref="Z2436:Z2499" si="499">_xlfn.CONCAT(YEAR(A2436),"-",TEXT(MONTH(A2436),"00"))</f>
        <v>2019-10</v>
      </c>
    </row>
    <row r="2437" spans="1:26" x14ac:dyDescent="0.35">
      <c r="A2437" s="1">
        <v>43749</v>
      </c>
      <c r="C2437">
        <v>3569.92</v>
      </c>
      <c r="D2437">
        <f t="shared" ref="D2437:D2500" si="500">LN(C2437/C2436)</f>
        <v>2.1507423127453032E-2</v>
      </c>
      <c r="E2437" t="str">
        <f t="shared" si="494"/>
        <v>2019-10</v>
      </c>
      <c r="G2437">
        <v>5665.48</v>
      </c>
      <c r="H2437">
        <f t="shared" ref="H2437:H2500" si="501">LN(G2437/G2436)</f>
        <v>1.7167138853887813E-2</v>
      </c>
      <c r="I2437" t="str">
        <f t="shared" si="495"/>
        <v>2019-10</v>
      </c>
      <c r="K2437">
        <v>12511.65</v>
      </c>
      <c r="L2437">
        <f t="shared" ref="L2437:L2500" si="502">LN(K2437/K2436)</f>
        <v>2.8162998626087093E-2</v>
      </c>
      <c r="M2437" t="str">
        <f t="shared" si="496"/>
        <v>2019-10</v>
      </c>
      <c r="O2437">
        <v>8306.8285500000002</v>
      </c>
      <c r="P2437">
        <f t="shared" ref="P2437:P2500" si="503">LN(O2437/O2436)</f>
        <v>2.6958802704990903E-2</v>
      </c>
      <c r="Q2437" t="str">
        <f t="shared" si="497"/>
        <v>2019-10</v>
      </c>
      <c r="S2437">
        <v>9273.7999999999993</v>
      </c>
      <c r="T2437">
        <f t="shared" ref="T2437:T2500" si="504">LN(S2437/S2436)</f>
        <v>1.8435406919376836E-2</v>
      </c>
      <c r="U2437" t="str">
        <f t="shared" si="498"/>
        <v>2019-10</v>
      </c>
      <c r="W2437">
        <v>22165.34</v>
      </c>
      <c r="X2437">
        <f t="shared" ref="X2437:X2500" si="505">LN(W2437/W2436)</f>
        <v>1.8622300089179779E-2</v>
      </c>
      <c r="Y2437">
        <f t="shared" ref="Y2437:Y2500" si="506">(W2437-W2436)/W2436</f>
        <v>1.8796776487275728E-2</v>
      </c>
      <c r="Z2437" t="str">
        <f t="shared" si="499"/>
        <v>2019-10</v>
      </c>
    </row>
    <row r="2438" spans="1:26" x14ac:dyDescent="0.35">
      <c r="A2438" s="1">
        <v>43752</v>
      </c>
      <c r="C2438">
        <v>3556.26</v>
      </c>
      <c r="D2438">
        <f t="shared" si="500"/>
        <v>-3.8337557375363158E-3</v>
      </c>
      <c r="E2438" t="str">
        <f t="shared" si="494"/>
        <v>2019-10</v>
      </c>
      <c r="G2438">
        <v>5643.08</v>
      </c>
      <c r="H2438">
        <f t="shared" si="501"/>
        <v>-3.9616059509008008E-3</v>
      </c>
      <c r="I2438" t="str">
        <f t="shared" si="495"/>
        <v>2019-10</v>
      </c>
      <c r="K2438">
        <v>12486.56</v>
      </c>
      <c r="L2438">
        <f t="shared" si="502"/>
        <v>-2.007344399848612E-3</v>
      </c>
      <c r="M2438" t="str">
        <f t="shared" si="496"/>
        <v>2019-10</v>
      </c>
      <c r="O2438">
        <v>8220.58626</v>
      </c>
      <c r="P2438">
        <f t="shared" si="503"/>
        <v>-1.0436365731269694E-2</v>
      </c>
      <c r="Q2438" t="str">
        <f t="shared" si="497"/>
        <v>2019-10</v>
      </c>
      <c r="S2438">
        <v>9246.5</v>
      </c>
      <c r="T2438">
        <f t="shared" si="504"/>
        <v>-2.9481185264750823E-3</v>
      </c>
      <c r="U2438" t="str">
        <f t="shared" si="498"/>
        <v>2019-10</v>
      </c>
      <c r="W2438">
        <v>22097.94</v>
      </c>
      <c r="X2438">
        <f t="shared" si="505"/>
        <v>-3.0454160691255174E-3</v>
      </c>
      <c r="Y2438">
        <f t="shared" si="506"/>
        <v>-3.0407834935083991E-3</v>
      </c>
      <c r="Z2438" t="str">
        <f t="shared" si="499"/>
        <v>2019-10</v>
      </c>
    </row>
    <row r="2439" spans="1:26" x14ac:dyDescent="0.35">
      <c r="A2439" s="1">
        <v>43753</v>
      </c>
      <c r="C2439">
        <v>3598.65</v>
      </c>
      <c r="D2439">
        <f t="shared" si="500"/>
        <v>1.1849344292639861E-2</v>
      </c>
      <c r="E2439" t="str">
        <f t="shared" si="494"/>
        <v>2019-10</v>
      </c>
      <c r="G2439">
        <v>5702.05</v>
      </c>
      <c r="H2439">
        <f t="shared" si="501"/>
        <v>1.0395743562273579E-2</v>
      </c>
      <c r="I2439" t="str">
        <f t="shared" si="495"/>
        <v>2019-10</v>
      </c>
      <c r="K2439">
        <v>12629.79</v>
      </c>
      <c r="L2439">
        <f t="shared" si="502"/>
        <v>1.1405443279712825E-2</v>
      </c>
      <c r="M2439" t="str">
        <f t="shared" si="496"/>
        <v>2019-10</v>
      </c>
      <c r="O2439">
        <v>8345.4304499999998</v>
      </c>
      <c r="P2439">
        <f t="shared" si="503"/>
        <v>1.5072609876265849E-2</v>
      </c>
      <c r="Q2439" t="str">
        <f t="shared" si="497"/>
        <v>2019-10</v>
      </c>
      <c r="S2439">
        <v>9356.1</v>
      </c>
      <c r="T2439">
        <f t="shared" si="504"/>
        <v>1.1783435450364069E-2</v>
      </c>
      <c r="U2439" t="str">
        <f t="shared" si="498"/>
        <v>2019-10</v>
      </c>
      <c r="W2439">
        <v>22365.34</v>
      </c>
      <c r="X2439">
        <f t="shared" si="505"/>
        <v>1.2028047584865734E-2</v>
      </c>
      <c r="Y2439">
        <f t="shared" si="506"/>
        <v>1.2100675447575723E-2</v>
      </c>
      <c r="Z2439" t="str">
        <f t="shared" si="499"/>
        <v>2019-10</v>
      </c>
    </row>
    <row r="2440" spans="1:26" x14ac:dyDescent="0.35">
      <c r="A2440" s="1">
        <v>43754</v>
      </c>
      <c r="C2440">
        <v>3599.25</v>
      </c>
      <c r="D2440">
        <f t="shared" si="500"/>
        <v>1.6671529234618278E-4</v>
      </c>
      <c r="E2440" t="str">
        <f t="shared" si="494"/>
        <v>2019-10</v>
      </c>
      <c r="G2440">
        <v>5696.9</v>
      </c>
      <c r="H2440">
        <f t="shared" si="501"/>
        <v>-9.0359205898894366E-4</v>
      </c>
      <c r="I2440" t="str">
        <f t="shared" si="495"/>
        <v>2019-10</v>
      </c>
      <c r="K2440">
        <v>12670.11</v>
      </c>
      <c r="L2440">
        <f t="shared" si="502"/>
        <v>3.1873670753855225E-3</v>
      </c>
      <c r="M2440" t="str">
        <f t="shared" si="496"/>
        <v>2019-10</v>
      </c>
      <c r="O2440">
        <v>8310.3197999999993</v>
      </c>
      <c r="P2440">
        <f t="shared" si="503"/>
        <v>-4.2160456876154688E-3</v>
      </c>
      <c r="Q2440" t="str">
        <f t="shared" si="497"/>
        <v>2019-10</v>
      </c>
      <c r="S2440">
        <v>9386.7000000000007</v>
      </c>
      <c r="T2440">
        <f t="shared" si="504"/>
        <v>3.2652567586321018E-3</v>
      </c>
      <c r="U2440" t="str">
        <f t="shared" si="498"/>
        <v>2019-10</v>
      </c>
      <c r="W2440">
        <v>22428.09</v>
      </c>
      <c r="X2440">
        <f t="shared" si="505"/>
        <v>2.8017520001473203E-3</v>
      </c>
      <c r="Y2440">
        <f t="shared" si="506"/>
        <v>2.8056805753903136E-3</v>
      </c>
      <c r="Z2440" t="str">
        <f t="shared" si="499"/>
        <v>2019-10</v>
      </c>
    </row>
    <row r="2441" spans="1:26" x14ac:dyDescent="0.35">
      <c r="A2441" s="1">
        <v>43755</v>
      </c>
      <c r="C2441">
        <v>3588.62</v>
      </c>
      <c r="D2441">
        <f t="shared" si="500"/>
        <v>-2.9577629393935803E-3</v>
      </c>
      <c r="E2441" t="str">
        <f t="shared" si="494"/>
        <v>2019-10</v>
      </c>
      <c r="G2441">
        <v>5673.07</v>
      </c>
      <c r="H2441">
        <f t="shared" si="501"/>
        <v>-4.1917498274144692E-3</v>
      </c>
      <c r="I2441" t="str">
        <f t="shared" si="495"/>
        <v>2019-10</v>
      </c>
      <c r="K2441">
        <v>12654.95</v>
      </c>
      <c r="L2441">
        <f t="shared" si="502"/>
        <v>-1.1972332393937507E-3</v>
      </c>
      <c r="M2441" t="str">
        <f t="shared" si="496"/>
        <v>2019-10</v>
      </c>
      <c r="O2441">
        <v>8294.5919200000008</v>
      </c>
      <c r="P2441">
        <f t="shared" si="503"/>
        <v>-1.8943653502840638E-3</v>
      </c>
      <c r="Q2441" t="str">
        <f t="shared" si="497"/>
        <v>2019-10</v>
      </c>
      <c r="S2441">
        <v>9340</v>
      </c>
      <c r="T2441">
        <f t="shared" si="504"/>
        <v>-4.9875415110391622E-3</v>
      </c>
      <c r="U2441" t="str">
        <f t="shared" si="498"/>
        <v>2019-10</v>
      </c>
      <c r="W2441">
        <v>22375.67</v>
      </c>
      <c r="X2441">
        <f t="shared" si="505"/>
        <v>-2.339983247785614E-3</v>
      </c>
      <c r="Y2441">
        <f t="shared" si="506"/>
        <v>-2.3372476211751376E-3</v>
      </c>
      <c r="Z2441" t="str">
        <f t="shared" si="499"/>
        <v>2019-10</v>
      </c>
    </row>
    <row r="2442" spans="1:26" x14ac:dyDescent="0.35">
      <c r="A2442" s="1">
        <v>43756</v>
      </c>
      <c r="C2442">
        <v>3579.41</v>
      </c>
      <c r="D2442">
        <f t="shared" si="500"/>
        <v>-2.569745123347619E-3</v>
      </c>
      <c r="E2442" t="str">
        <f t="shared" si="494"/>
        <v>2019-10</v>
      </c>
      <c r="G2442">
        <v>5636.25</v>
      </c>
      <c r="H2442">
        <f t="shared" si="501"/>
        <v>-6.5114666655078863E-3</v>
      </c>
      <c r="I2442" t="str">
        <f t="shared" si="495"/>
        <v>2019-10</v>
      </c>
      <c r="K2442">
        <v>12633.6</v>
      </c>
      <c r="L2442">
        <f t="shared" si="502"/>
        <v>-1.6885116048591857E-3</v>
      </c>
      <c r="M2442" t="str">
        <f t="shared" si="496"/>
        <v>2019-10</v>
      </c>
      <c r="O2442">
        <v>8286.1507500000007</v>
      </c>
      <c r="P2442">
        <f t="shared" si="503"/>
        <v>-1.0181897032305045E-3</v>
      </c>
      <c r="Q2442" t="str">
        <f t="shared" si="497"/>
        <v>2019-10</v>
      </c>
      <c r="S2442">
        <v>9329.7999999999993</v>
      </c>
      <c r="T2442">
        <f t="shared" si="504"/>
        <v>-1.0926738384820366E-3</v>
      </c>
      <c r="U2442" t="str">
        <f t="shared" si="498"/>
        <v>2019-10</v>
      </c>
      <c r="W2442">
        <v>22321.77</v>
      </c>
      <c r="X2442">
        <f t="shared" si="505"/>
        <v>-2.4117724024655613E-3</v>
      </c>
      <c r="Y2442">
        <f t="shared" si="506"/>
        <v>-2.4088664160669968E-3</v>
      </c>
      <c r="Z2442" t="str">
        <f t="shared" si="499"/>
        <v>2019-10</v>
      </c>
    </row>
    <row r="2443" spans="1:26" x14ac:dyDescent="0.35">
      <c r="A2443" s="1">
        <v>43759</v>
      </c>
      <c r="C2443">
        <v>3600.08</v>
      </c>
      <c r="D2443">
        <f t="shared" si="500"/>
        <v>5.7580850757901645E-3</v>
      </c>
      <c r="E2443" t="str">
        <f t="shared" si="494"/>
        <v>2019-10</v>
      </c>
      <c r="G2443">
        <v>5648.35</v>
      </c>
      <c r="H2443">
        <f t="shared" si="501"/>
        <v>2.1445163563220001E-3</v>
      </c>
      <c r="I2443" t="str">
        <f t="shared" si="495"/>
        <v>2019-10</v>
      </c>
      <c r="K2443">
        <v>12747.96</v>
      </c>
      <c r="L2443">
        <f t="shared" si="502"/>
        <v>9.0113274261536275E-3</v>
      </c>
      <c r="M2443" t="str">
        <f t="shared" si="496"/>
        <v>2019-10</v>
      </c>
      <c r="O2443">
        <v>8335.3113900000008</v>
      </c>
      <c r="P2443">
        <f t="shared" si="503"/>
        <v>5.9153380051753237E-3</v>
      </c>
      <c r="Q2443" t="str">
        <f t="shared" si="497"/>
        <v>2019-10</v>
      </c>
      <c r="S2443">
        <v>9402.2999999999993</v>
      </c>
      <c r="T2443">
        <f t="shared" si="504"/>
        <v>7.7407617952754294E-3</v>
      </c>
      <c r="U2443" t="str">
        <f t="shared" si="498"/>
        <v>2019-10</v>
      </c>
      <c r="W2443">
        <v>22478.19</v>
      </c>
      <c r="X2443">
        <f t="shared" si="505"/>
        <v>6.9830703254521792E-3</v>
      </c>
      <c r="Y2443">
        <f t="shared" si="506"/>
        <v>7.0075088131451154E-3</v>
      </c>
      <c r="Z2443" t="str">
        <f t="shared" si="499"/>
        <v>2019-10</v>
      </c>
    </row>
    <row r="2444" spans="1:26" x14ac:dyDescent="0.35">
      <c r="A2444" s="1">
        <v>43760</v>
      </c>
      <c r="C2444">
        <v>3604.82</v>
      </c>
      <c r="D2444">
        <f t="shared" si="500"/>
        <v>1.315771401087053E-3</v>
      </c>
      <c r="E2444" t="str">
        <f t="shared" si="494"/>
        <v>2019-10</v>
      </c>
      <c r="G2444">
        <v>5657.69</v>
      </c>
      <c r="H2444">
        <f t="shared" si="501"/>
        <v>1.6522145905557384E-3</v>
      </c>
      <c r="I2444" t="str">
        <f t="shared" si="495"/>
        <v>2019-10</v>
      </c>
      <c r="K2444">
        <v>12754.69</v>
      </c>
      <c r="L2444">
        <f t="shared" si="502"/>
        <v>5.2778830091997401E-4</v>
      </c>
      <c r="M2444" t="str">
        <f t="shared" si="496"/>
        <v>2019-10</v>
      </c>
      <c r="O2444">
        <v>8383.6052</v>
      </c>
      <c r="P2444">
        <f t="shared" si="503"/>
        <v>5.7771619422258705E-3</v>
      </c>
      <c r="Q2444" t="str">
        <f t="shared" si="497"/>
        <v>2019-10</v>
      </c>
      <c r="S2444">
        <v>9380.2000000000007</v>
      </c>
      <c r="T2444">
        <f t="shared" si="504"/>
        <v>-2.3532554451004719E-3</v>
      </c>
      <c r="U2444" t="str">
        <f t="shared" si="498"/>
        <v>2019-10</v>
      </c>
      <c r="W2444">
        <v>22487.08</v>
      </c>
      <c r="X2444">
        <f t="shared" si="505"/>
        <v>3.9541628976469384E-4</v>
      </c>
      <c r="Y2444">
        <f t="shared" si="506"/>
        <v>3.9549447709104053E-4</v>
      </c>
      <c r="Z2444" t="str">
        <f t="shared" si="499"/>
        <v>2019-10</v>
      </c>
    </row>
    <row r="2445" spans="1:26" x14ac:dyDescent="0.35">
      <c r="A2445" s="1">
        <v>43761</v>
      </c>
      <c r="C2445">
        <v>3606.89</v>
      </c>
      <c r="D2445">
        <f t="shared" si="500"/>
        <v>5.7406636064050664E-4</v>
      </c>
      <c r="E2445" t="str">
        <f t="shared" si="494"/>
        <v>2019-10</v>
      </c>
      <c r="G2445">
        <v>5653.44</v>
      </c>
      <c r="H2445">
        <f t="shared" si="501"/>
        <v>-7.5147225785599479E-4</v>
      </c>
      <c r="I2445" t="str">
        <f t="shared" si="495"/>
        <v>2019-10</v>
      </c>
      <c r="K2445">
        <v>12798.19</v>
      </c>
      <c r="L2445">
        <f t="shared" si="502"/>
        <v>3.4047075727755816E-3</v>
      </c>
      <c r="M2445" t="str">
        <f t="shared" si="496"/>
        <v>2019-10</v>
      </c>
      <c r="O2445">
        <v>8405.9012199999997</v>
      </c>
      <c r="P2445">
        <f t="shared" si="503"/>
        <v>2.6559486084593281E-3</v>
      </c>
      <c r="Q2445" t="str">
        <f t="shared" si="497"/>
        <v>2019-10</v>
      </c>
      <c r="S2445">
        <v>9385</v>
      </c>
      <c r="T2445">
        <f t="shared" si="504"/>
        <v>5.1158528602815001E-4</v>
      </c>
      <c r="U2445" t="str">
        <f t="shared" si="498"/>
        <v>2019-10</v>
      </c>
      <c r="W2445">
        <v>22351.07</v>
      </c>
      <c r="X2445">
        <f t="shared" si="505"/>
        <v>-6.0667274254539673E-3</v>
      </c>
      <c r="Y2445">
        <f t="shared" si="506"/>
        <v>-6.0483619927532619E-3</v>
      </c>
      <c r="Z2445" t="str">
        <f t="shared" si="499"/>
        <v>2019-10</v>
      </c>
    </row>
    <row r="2446" spans="1:26" x14ac:dyDescent="0.35">
      <c r="A2446" s="1">
        <v>43762</v>
      </c>
      <c r="C2446">
        <v>3621.37</v>
      </c>
      <c r="D2446">
        <f t="shared" si="500"/>
        <v>4.0065020819613929E-3</v>
      </c>
      <c r="E2446" t="str">
        <f t="shared" si="494"/>
        <v>2019-10</v>
      </c>
      <c r="G2446">
        <v>5684.33</v>
      </c>
      <c r="H2446">
        <f t="shared" si="501"/>
        <v>5.4490568132332965E-3</v>
      </c>
      <c r="I2446" t="str">
        <f t="shared" si="495"/>
        <v>2019-10</v>
      </c>
      <c r="K2446">
        <v>12872.1</v>
      </c>
      <c r="L2446">
        <f t="shared" si="502"/>
        <v>5.7584237836371963E-3</v>
      </c>
      <c r="M2446" t="str">
        <f t="shared" si="496"/>
        <v>2019-10</v>
      </c>
      <c r="O2446">
        <v>8478.9178699999993</v>
      </c>
      <c r="P2446">
        <f t="shared" si="503"/>
        <v>8.6488466074588887E-3</v>
      </c>
      <c r="Q2446" t="str">
        <f t="shared" si="497"/>
        <v>2019-10</v>
      </c>
      <c r="S2446">
        <v>9391.7999999999993</v>
      </c>
      <c r="T2446">
        <f t="shared" si="504"/>
        <v>7.2429810162286091E-4</v>
      </c>
      <c r="U2446" t="str">
        <f t="shared" si="498"/>
        <v>2019-10</v>
      </c>
      <c r="W2446">
        <v>22527.42</v>
      </c>
      <c r="X2446">
        <f t="shared" si="505"/>
        <v>7.8590392715903231E-3</v>
      </c>
      <c r="Y2446">
        <f t="shared" si="506"/>
        <v>7.8900025815318263E-3</v>
      </c>
      <c r="Z2446" t="str">
        <f t="shared" si="499"/>
        <v>2019-10</v>
      </c>
    </row>
    <row r="2447" spans="1:26" x14ac:dyDescent="0.35">
      <c r="A2447" s="1">
        <v>43763</v>
      </c>
      <c r="C2447">
        <v>3624.68</v>
      </c>
      <c r="D2447">
        <f t="shared" si="500"/>
        <v>9.1360126696030369E-4</v>
      </c>
      <c r="E2447" t="str">
        <f t="shared" si="494"/>
        <v>2019-10</v>
      </c>
      <c r="G2447">
        <v>5722.15</v>
      </c>
      <c r="H2447">
        <f t="shared" si="501"/>
        <v>6.6313426391859959E-3</v>
      </c>
      <c r="I2447" t="str">
        <f t="shared" si="495"/>
        <v>2019-10</v>
      </c>
      <c r="K2447">
        <v>12894.51</v>
      </c>
      <c r="L2447">
        <f t="shared" si="502"/>
        <v>1.7394609264112671E-3</v>
      </c>
      <c r="M2447" t="str">
        <f t="shared" si="496"/>
        <v>2019-10</v>
      </c>
      <c r="O2447">
        <v>8477.9715099999994</v>
      </c>
      <c r="P2447">
        <f t="shared" si="503"/>
        <v>-1.1161952876784551E-4</v>
      </c>
      <c r="Q2447" t="str">
        <f t="shared" si="497"/>
        <v>2019-10</v>
      </c>
      <c r="S2447">
        <v>9430.2000000000007</v>
      </c>
      <c r="T2447">
        <f t="shared" si="504"/>
        <v>4.0803371881066837E-3</v>
      </c>
      <c r="U2447" t="str">
        <f t="shared" si="498"/>
        <v>2019-10</v>
      </c>
      <c r="W2447">
        <v>22608.99</v>
      </c>
      <c r="X2447">
        <f t="shared" si="505"/>
        <v>3.6143808867750244E-3</v>
      </c>
      <c r="Y2447">
        <f t="shared" si="506"/>
        <v>3.6209206380492464E-3</v>
      </c>
      <c r="Z2447" t="str">
        <f t="shared" si="499"/>
        <v>2019-10</v>
      </c>
    </row>
    <row r="2448" spans="1:26" x14ac:dyDescent="0.35">
      <c r="A2448" s="1">
        <v>43766</v>
      </c>
      <c r="C2448">
        <v>3625.69</v>
      </c>
      <c r="D2448">
        <f t="shared" si="500"/>
        <v>2.7860647292031514E-4</v>
      </c>
      <c r="E2448" t="str">
        <f t="shared" si="494"/>
        <v>2019-10</v>
      </c>
      <c r="G2448">
        <v>5730.57</v>
      </c>
      <c r="H2448">
        <f t="shared" si="501"/>
        <v>1.4703933243881136E-3</v>
      </c>
      <c r="I2448" t="str">
        <f t="shared" si="495"/>
        <v>2019-10</v>
      </c>
      <c r="K2448">
        <v>12941.71</v>
      </c>
      <c r="L2448">
        <f t="shared" si="502"/>
        <v>3.6537893322382549E-3</v>
      </c>
      <c r="M2448" t="str">
        <f t="shared" si="496"/>
        <v>2019-10</v>
      </c>
      <c r="O2448">
        <v>8494.8284899999999</v>
      </c>
      <c r="P2448">
        <f t="shared" si="503"/>
        <v>1.9863529344094546E-3</v>
      </c>
      <c r="Q2448" t="str">
        <f t="shared" si="497"/>
        <v>2019-10</v>
      </c>
      <c r="S2448">
        <v>9433</v>
      </c>
      <c r="T2448">
        <f t="shared" si="504"/>
        <v>2.9687433951430331E-4</v>
      </c>
      <c r="U2448" t="str">
        <f t="shared" si="498"/>
        <v>2019-10</v>
      </c>
      <c r="W2448">
        <v>22695.64</v>
      </c>
      <c r="X2448">
        <f t="shared" si="505"/>
        <v>3.825220762534485E-3</v>
      </c>
      <c r="Y2448">
        <f t="shared" si="506"/>
        <v>3.832546257041903E-3</v>
      </c>
      <c r="Z2448" t="str">
        <f t="shared" si="499"/>
        <v>2019-10</v>
      </c>
    </row>
    <row r="2449" spans="1:26" x14ac:dyDescent="0.35">
      <c r="A2449" s="1">
        <v>43767</v>
      </c>
      <c r="C2449">
        <v>3622.09</v>
      </c>
      <c r="D2449">
        <f t="shared" si="500"/>
        <v>-9.9340771824136002E-4</v>
      </c>
      <c r="E2449" t="str">
        <f t="shared" si="494"/>
        <v>2019-10</v>
      </c>
      <c r="G2449">
        <v>5740.14</v>
      </c>
      <c r="H2449">
        <f t="shared" si="501"/>
        <v>1.6685980589545163E-3</v>
      </c>
      <c r="I2449" t="str">
        <f t="shared" si="495"/>
        <v>2019-10</v>
      </c>
      <c r="K2449">
        <v>12939.62</v>
      </c>
      <c r="L2449">
        <f t="shared" si="502"/>
        <v>-1.6150638352368678E-4</v>
      </c>
      <c r="M2449" t="str">
        <f t="shared" si="496"/>
        <v>2019-10</v>
      </c>
      <c r="O2449">
        <v>8456.6605</v>
      </c>
      <c r="P2449">
        <f t="shared" si="503"/>
        <v>-4.5032096617459091E-3</v>
      </c>
      <c r="Q2449" t="str">
        <f t="shared" si="497"/>
        <v>2019-10</v>
      </c>
      <c r="S2449">
        <v>9400.1</v>
      </c>
      <c r="T2449">
        <f t="shared" si="504"/>
        <v>-3.4938521504718901E-3</v>
      </c>
      <c r="U2449" t="str">
        <f t="shared" si="498"/>
        <v>2019-10</v>
      </c>
      <c r="W2449">
        <v>22680.74</v>
      </c>
      <c r="X2449">
        <f t="shared" si="505"/>
        <v>-6.5672936164241089E-4</v>
      </c>
      <c r="Y2449">
        <f t="shared" si="506"/>
        <v>-6.5651376211456553E-4</v>
      </c>
      <c r="Z2449" t="str">
        <f t="shared" si="499"/>
        <v>2019-10</v>
      </c>
    </row>
    <row r="2450" spans="1:26" x14ac:dyDescent="0.35">
      <c r="A2450" s="1">
        <v>43768</v>
      </c>
      <c r="C2450">
        <v>3620.29</v>
      </c>
      <c r="D2450">
        <f t="shared" si="500"/>
        <v>-4.9707417646202318E-4</v>
      </c>
      <c r="E2450" t="str">
        <f t="shared" si="494"/>
        <v>2019-10</v>
      </c>
      <c r="G2450">
        <v>5765.87</v>
      </c>
      <c r="H2450">
        <f t="shared" si="501"/>
        <v>4.4724527250357199E-3</v>
      </c>
      <c r="I2450" t="str">
        <f t="shared" si="495"/>
        <v>2019-10</v>
      </c>
      <c r="K2450">
        <v>12910.23</v>
      </c>
      <c r="L2450">
        <f t="shared" si="502"/>
        <v>-2.273901988888557E-3</v>
      </c>
      <c r="M2450" t="str">
        <f t="shared" si="496"/>
        <v>2019-10</v>
      </c>
      <c r="O2450">
        <v>8484.7662400000008</v>
      </c>
      <c r="P2450">
        <f t="shared" si="503"/>
        <v>3.3179927778442028E-3</v>
      </c>
      <c r="Q2450" t="str">
        <f t="shared" si="497"/>
        <v>2019-10</v>
      </c>
      <c r="S2450">
        <v>9284.5</v>
      </c>
      <c r="T2450">
        <f t="shared" si="504"/>
        <v>-1.2373984458731013E-2</v>
      </c>
      <c r="U2450" t="str">
        <f t="shared" si="498"/>
        <v>2019-10</v>
      </c>
      <c r="W2450">
        <v>22646.080000000002</v>
      </c>
      <c r="X2450">
        <f t="shared" si="505"/>
        <v>-1.529337674932651E-3</v>
      </c>
      <c r="Y2450">
        <f t="shared" si="506"/>
        <v>-1.5281688339974732E-3</v>
      </c>
      <c r="Z2450" t="str">
        <f t="shared" si="499"/>
        <v>2019-10</v>
      </c>
    </row>
    <row r="2451" spans="1:26" x14ac:dyDescent="0.35">
      <c r="A2451" s="1">
        <v>43769</v>
      </c>
      <c r="C2451">
        <v>3604.41</v>
      </c>
      <c r="D2451">
        <f t="shared" si="500"/>
        <v>-4.396037364485619E-3</v>
      </c>
      <c r="E2451" t="str">
        <f t="shared" si="494"/>
        <v>2019-10</v>
      </c>
      <c r="G2451">
        <v>5729.86</v>
      </c>
      <c r="H2451">
        <f t="shared" si="501"/>
        <v>-6.2649553845870176E-3</v>
      </c>
      <c r="I2451" t="str">
        <f t="shared" si="495"/>
        <v>2019-10</v>
      </c>
      <c r="K2451">
        <v>12866.79</v>
      </c>
      <c r="L2451">
        <f t="shared" si="502"/>
        <v>-3.3704470976767893E-3</v>
      </c>
      <c r="M2451" t="str">
        <f t="shared" si="496"/>
        <v>2019-10</v>
      </c>
      <c r="O2451">
        <v>8413.0891900000006</v>
      </c>
      <c r="P2451">
        <f t="shared" si="503"/>
        <v>-8.4836185503152309E-3</v>
      </c>
      <c r="Q2451" t="str">
        <f t="shared" si="497"/>
        <v>2019-10</v>
      </c>
      <c r="S2451">
        <v>9257.5</v>
      </c>
      <c r="T2451">
        <f t="shared" si="504"/>
        <v>-2.9123092528824859E-3</v>
      </c>
      <c r="U2451" t="str">
        <f t="shared" si="498"/>
        <v>2019-10</v>
      </c>
      <c r="W2451">
        <v>22693.77</v>
      </c>
      <c r="X2451">
        <f t="shared" si="505"/>
        <v>2.1036689617353046E-3</v>
      </c>
      <c r="Y2451">
        <f t="shared" si="506"/>
        <v>2.1058832257061129E-3</v>
      </c>
      <c r="Z2451" t="str">
        <f t="shared" si="499"/>
        <v>2019-10</v>
      </c>
    </row>
    <row r="2452" spans="1:26" x14ac:dyDescent="0.35">
      <c r="A2452" s="1">
        <v>43770</v>
      </c>
      <c r="C2452">
        <v>3623.74</v>
      </c>
      <c r="D2452">
        <f t="shared" si="500"/>
        <v>5.3485459158971686E-3</v>
      </c>
      <c r="E2452" t="str">
        <f t="shared" si="494"/>
        <v>2019-11</v>
      </c>
      <c r="G2452">
        <v>5761.89</v>
      </c>
      <c r="H2452">
        <f t="shared" si="501"/>
        <v>5.5744482681762001E-3</v>
      </c>
      <c r="I2452" t="str">
        <f t="shared" si="495"/>
        <v>2019-11</v>
      </c>
      <c r="K2452">
        <v>12961.05</v>
      </c>
      <c r="L2452">
        <f t="shared" si="502"/>
        <v>7.2991329118610795E-3</v>
      </c>
      <c r="M2452" t="str">
        <f t="shared" si="496"/>
        <v>2019-11</v>
      </c>
      <c r="O2452">
        <v>8463.6630999999998</v>
      </c>
      <c r="P2452">
        <f t="shared" si="503"/>
        <v>5.9933404858936298E-3</v>
      </c>
      <c r="Q2452" t="str">
        <f t="shared" si="497"/>
        <v>2019-11</v>
      </c>
      <c r="S2452">
        <v>9328</v>
      </c>
      <c r="T2452">
        <f t="shared" si="504"/>
        <v>7.5865958025058983E-3</v>
      </c>
      <c r="U2452" t="str">
        <f t="shared" si="498"/>
        <v>2019-11</v>
      </c>
      <c r="W2452">
        <v>22934.32</v>
      </c>
      <c r="X2452">
        <f t="shared" si="505"/>
        <v>1.0544041121490605E-2</v>
      </c>
      <c r="Y2452">
        <f t="shared" si="506"/>
        <v>1.0599825414640197E-2</v>
      </c>
      <c r="Z2452" t="str">
        <f t="shared" si="499"/>
        <v>2019-11</v>
      </c>
    </row>
    <row r="2453" spans="1:26" x14ac:dyDescent="0.35">
      <c r="A2453" s="1">
        <v>43773</v>
      </c>
      <c r="C2453">
        <v>3665.21</v>
      </c>
      <c r="D2453">
        <f t="shared" si="500"/>
        <v>1.1378990791617737E-2</v>
      </c>
      <c r="E2453" t="str">
        <f t="shared" si="494"/>
        <v>2019-11</v>
      </c>
      <c r="G2453">
        <v>5824.3</v>
      </c>
      <c r="H2453">
        <f t="shared" si="501"/>
        <v>1.0773274670185224E-2</v>
      </c>
      <c r="I2453" t="str">
        <f t="shared" si="495"/>
        <v>2019-11</v>
      </c>
      <c r="K2453">
        <v>13136.28</v>
      </c>
      <c r="L2453">
        <f t="shared" si="502"/>
        <v>1.3429161791017157E-2</v>
      </c>
      <c r="M2453" t="str">
        <f t="shared" si="496"/>
        <v>2019-11</v>
      </c>
      <c r="O2453">
        <v>8533.2556299999997</v>
      </c>
      <c r="P2453">
        <f t="shared" si="503"/>
        <v>8.1888864680613911E-3</v>
      </c>
      <c r="Q2453" t="str">
        <f t="shared" si="497"/>
        <v>2019-11</v>
      </c>
      <c r="S2453">
        <v>9416.4</v>
      </c>
      <c r="T2453">
        <f t="shared" si="504"/>
        <v>9.4322203311542167E-3</v>
      </c>
      <c r="U2453" t="str">
        <f t="shared" si="498"/>
        <v>2019-11</v>
      </c>
      <c r="W2453">
        <v>23311.43</v>
      </c>
      <c r="X2453">
        <f t="shared" si="505"/>
        <v>1.6309319625830432E-2</v>
      </c>
      <c r="Y2453">
        <f t="shared" si="506"/>
        <v>1.6443042566773317E-2</v>
      </c>
      <c r="Z2453" t="str">
        <f t="shared" si="499"/>
        <v>2019-11</v>
      </c>
    </row>
    <row r="2454" spans="1:26" x14ac:dyDescent="0.35">
      <c r="A2454" s="1">
        <v>43774</v>
      </c>
      <c r="C2454">
        <v>3676.52</v>
      </c>
      <c r="D2454">
        <f t="shared" si="500"/>
        <v>3.0810201265517941E-3</v>
      </c>
      <c r="E2454" t="str">
        <f t="shared" si="494"/>
        <v>2019-11</v>
      </c>
      <c r="G2454">
        <v>5846.89</v>
      </c>
      <c r="H2454">
        <f t="shared" si="501"/>
        <v>3.8710753932853325E-3</v>
      </c>
      <c r="I2454" t="str">
        <f t="shared" si="495"/>
        <v>2019-11</v>
      </c>
      <c r="K2454">
        <v>13148.5</v>
      </c>
      <c r="L2454">
        <f t="shared" si="502"/>
        <v>9.2981572456817712E-4</v>
      </c>
      <c r="M2454" t="str">
        <f t="shared" si="496"/>
        <v>2019-11</v>
      </c>
      <c r="O2454">
        <v>8591.6134500000007</v>
      </c>
      <c r="P2454">
        <f t="shared" si="503"/>
        <v>6.8155903127367825E-3</v>
      </c>
      <c r="Q2454" t="str">
        <f t="shared" si="497"/>
        <v>2019-11</v>
      </c>
      <c r="S2454">
        <v>9407.9</v>
      </c>
      <c r="T2454">
        <f t="shared" si="504"/>
        <v>-9.030880912112609E-4</v>
      </c>
      <c r="U2454" t="str">
        <f t="shared" si="498"/>
        <v>2019-11</v>
      </c>
      <c r="W2454">
        <v>23364.82</v>
      </c>
      <c r="X2454">
        <f t="shared" si="505"/>
        <v>2.2876740648402542E-3</v>
      </c>
      <c r="Y2454">
        <f t="shared" si="506"/>
        <v>2.2902927877011155E-3</v>
      </c>
      <c r="Z2454" t="str">
        <f t="shared" si="499"/>
        <v>2019-11</v>
      </c>
    </row>
    <row r="2455" spans="1:26" x14ac:dyDescent="0.35">
      <c r="A2455" s="1">
        <v>43775</v>
      </c>
      <c r="C2455">
        <v>3688.74</v>
      </c>
      <c r="D2455">
        <f t="shared" si="500"/>
        <v>3.3182837300715661E-3</v>
      </c>
      <c r="E2455" t="str">
        <f t="shared" si="494"/>
        <v>2019-11</v>
      </c>
      <c r="G2455">
        <v>5866.74</v>
      </c>
      <c r="H2455">
        <f t="shared" si="501"/>
        <v>3.3892173478363703E-3</v>
      </c>
      <c r="I2455" t="str">
        <f t="shared" si="495"/>
        <v>2019-11</v>
      </c>
      <c r="K2455">
        <v>13179.89</v>
      </c>
      <c r="L2455">
        <f t="shared" si="502"/>
        <v>2.3844993843679389E-3</v>
      </c>
      <c r="M2455" t="str">
        <f t="shared" si="496"/>
        <v>2019-11</v>
      </c>
      <c r="O2455">
        <v>8594.4447600000003</v>
      </c>
      <c r="P2455">
        <f t="shared" si="503"/>
        <v>3.2948916976981082E-4</v>
      </c>
      <c r="Q2455" t="str">
        <f t="shared" si="497"/>
        <v>2019-11</v>
      </c>
      <c r="S2455">
        <v>9398.4</v>
      </c>
      <c r="T2455">
        <f t="shared" si="504"/>
        <v>-1.0102998259156905E-3</v>
      </c>
      <c r="U2455" t="str">
        <f t="shared" si="498"/>
        <v>2019-11</v>
      </c>
      <c r="W2455">
        <v>23373.22</v>
      </c>
      <c r="X2455">
        <f t="shared" si="505"/>
        <v>3.594502503932847E-4</v>
      </c>
      <c r="Y2455">
        <f t="shared" si="506"/>
        <v>3.5951486037561837E-4</v>
      </c>
      <c r="Z2455" t="str">
        <f t="shared" si="499"/>
        <v>2019-11</v>
      </c>
    </row>
    <row r="2456" spans="1:26" x14ac:dyDescent="0.35">
      <c r="A2456" s="1">
        <v>43776</v>
      </c>
      <c r="C2456">
        <v>3706.68</v>
      </c>
      <c r="D2456">
        <f t="shared" si="500"/>
        <v>4.8516609442639715E-3</v>
      </c>
      <c r="E2456" t="str">
        <f t="shared" si="494"/>
        <v>2019-11</v>
      </c>
      <c r="G2456">
        <v>5890.99</v>
      </c>
      <c r="H2456">
        <f t="shared" si="501"/>
        <v>4.1249517355693458E-3</v>
      </c>
      <c r="I2456" t="str">
        <f t="shared" si="495"/>
        <v>2019-11</v>
      </c>
      <c r="K2456">
        <v>13289.46</v>
      </c>
      <c r="L2456">
        <f t="shared" si="502"/>
        <v>8.2790567846960095E-3</v>
      </c>
      <c r="M2456" t="str">
        <f t="shared" si="496"/>
        <v>2019-11</v>
      </c>
      <c r="O2456">
        <v>8596.4264199999998</v>
      </c>
      <c r="P2456">
        <f t="shared" si="503"/>
        <v>2.3054794466534505E-4</v>
      </c>
      <c r="Q2456" t="str">
        <f t="shared" si="497"/>
        <v>2019-11</v>
      </c>
      <c r="S2456">
        <v>9447.2999999999993</v>
      </c>
      <c r="T2456">
        <f t="shared" si="504"/>
        <v>5.1895243736703664E-3</v>
      </c>
      <c r="U2456" t="str">
        <f t="shared" si="498"/>
        <v>2019-11</v>
      </c>
      <c r="W2456">
        <v>23503.03</v>
      </c>
      <c r="X2456">
        <f t="shared" si="505"/>
        <v>5.5384264661801031E-3</v>
      </c>
      <c r="Y2456">
        <f t="shared" si="506"/>
        <v>5.5537919037256167E-3</v>
      </c>
      <c r="Z2456" t="str">
        <f t="shared" si="499"/>
        <v>2019-11</v>
      </c>
    </row>
    <row r="2457" spans="1:26" x14ac:dyDescent="0.35">
      <c r="A2457" s="1">
        <v>43777</v>
      </c>
      <c r="C2457">
        <v>3699.65</v>
      </c>
      <c r="D2457">
        <f t="shared" si="500"/>
        <v>-1.8983766889258012E-3</v>
      </c>
      <c r="E2457" t="str">
        <f t="shared" si="494"/>
        <v>2019-11</v>
      </c>
      <c r="G2457">
        <v>5889.7</v>
      </c>
      <c r="H2457">
        <f t="shared" si="501"/>
        <v>-2.1900245319344085E-4</v>
      </c>
      <c r="I2457" t="str">
        <f t="shared" si="495"/>
        <v>2019-11</v>
      </c>
      <c r="K2457">
        <v>13228.56</v>
      </c>
      <c r="L2457">
        <f t="shared" si="502"/>
        <v>-4.5931111799119217E-3</v>
      </c>
      <c r="M2457" t="str">
        <f t="shared" si="496"/>
        <v>2019-11</v>
      </c>
      <c r="O2457">
        <v>8529.40121</v>
      </c>
      <c r="P2457">
        <f t="shared" si="503"/>
        <v>-7.8274234284284507E-3</v>
      </c>
      <c r="Q2457" t="str">
        <f t="shared" si="497"/>
        <v>2019-11</v>
      </c>
      <c r="S2457">
        <v>9393.7000000000007</v>
      </c>
      <c r="T2457">
        <f t="shared" si="504"/>
        <v>-5.6897345788095976E-3</v>
      </c>
      <c r="U2457" t="str">
        <f t="shared" si="498"/>
        <v>2019-11</v>
      </c>
      <c r="W2457">
        <v>23534.49</v>
      </c>
      <c r="X2457">
        <f t="shared" si="505"/>
        <v>1.33765575612873E-3</v>
      </c>
      <c r="Y2457">
        <f t="shared" si="506"/>
        <v>1.3385508166395043E-3</v>
      </c>
      <c r="Z2457" t="str">
        <f t="shared" si="499"/>
        <v>2019-11</v>
      </c>
    </row>
    <row r="2458" spans="1:26" x14ac:dyDescent="0.35">
      <c r="A2458" s="1">
        <v>43780</v>
      </c>
      <c r="C2458">
        <v>3696.82</v>
      </c>
      <c r="D2458">
        <f t="shared" si="500"/>
        <v>-7.6522993755090798E-4</v>
      </c>
      <c r="E2458" t="str">
        <f t="shared" si="494"/>
        <v>2019-11</v>
      </c>
      <c r="G2458">
        <v>5893.82</v>
      </c>
      <c r="H2458">
        <f t="shared" si="501"/>
        <v>6.9928173718677078E-4</v>
      </c>
      <c r="I2458" t="str">
        <f t="shared" si="495"/>
        <v>2019-11</v>
      </c>
      <c r="K2458">
        <v>13198.37</v>
      </c>
      <c r="L2458">
        <f t="shared" si="502"/>
        <v>-2.2847915466028806E-3</v>
      </c>
      <c r="M2458" t="str">
        <f t="shared" si="496"/>
        <v>2019-11</v>
      </c>
      <c r="O2458">
        <v>8536.13256</v>
      </c>
      <c r="P2458">
        <f t="shared" si="503"/>
        <v>7.8888248557803338E-4</v>
      </c>
      <c r="Q2458" t="str">
        <f t="shared" si="497"/>
        <v>2019-11</v>
      </c>
      <c r="S2458">
        <v>9388.5</v>
      </c>
      <c r="T2458">
        <f t="shared" si="504"/>
        <v>-5.5371576629591787E-4</v>
      </c>
      <c r="U2458" t="str">
        <f t="shared" si="498"/>
        <v>2019-11</v>
      </c>
      <c r="W2458">
        <v>23489.93</v>
      </c>
      <c r="X2458">
        <f t="shared" si="505"/>
        <v>-1.8951860900056974E-3</v>
      </c>
      <c r="Y2458">
        <f t="shared" si="506"/>
        <v>-1.8933913588100404E-3</v>
      </c>
      <c r="Z2458" t="str">
        <f t="shared" si="499"/>
        <v>2019-11</v>
      </c>
    </row>
    <row r="2459" spans="1:26" x14ac:dyDescent="0.35">
      <c r="A2459" s="1">
        <v>43781</v>
      </c>
      <c r="C2459">
        <v>3712.2</v>
      </c>
      <c r="D2459">
        <f t="shared" si="500"/>
        <v>4.1517021391786349E-3</v>
      </c>
      <c r="E2459" t="str">
        <f t="shared" si="494"/>
        <v>2019-11</v>
      </c>
      <c r="G2459">
        <v>5919.75</v>
      </c>
      <c r="H2459">
        <f t="shared" si="501"/>
        <v>4.3898739570496278E-3</v>
      </c>
      <c r="I2459" t="str">
        <f t="shared" si="495"/>
        <v>2019-11</v>
      </c>
      <c r="K2459">
        <v>13283.51</v>
      </c>
      <c r="L2459">
        <f t="shared" si="502"/>
        <v>6.4300792352425763E-3</v>
      </c>
      <c r="M2459" t="str">
        <f t="shared" si="496"/>
        <v>2019-11</v>
      </c>
      <c r="O2459">
        <v>8600.9288500000002</v>
      </c>
      <c r="P2459">
        <f t="shared" si="503"/>
        <v>7.5621598403128234E-3</v>
      </c>
      <c r="Q2459" t="str">
        <f t="shared" si="497"/>
        <v>2019-11</v>
      </c>
      <c r="S2459">
        <v>9306.7000000000007</v>
      </c>
      <c r="T2459">
        <f t="shared" si="504"/>
        <v>-8.7509651691896808E-3</v>
      </c>
      <c r="U2459" t="str">
        <f t="shared" si="498"/>
        <v>2019-11</v>
      </c>
      <c r="W2459">
        <v>23782.15</v>
      </c>
      <c r="X2459">
        <f t="shared" si="505"/>
        <v>1.2363480611829365E-2</v>
      </c>
      <c r="Y2459">
        <f t="shared" si="506"/>
        <v>1.2440224385513331E-2</v>
      </c>
      <c r="Z2459" t="str">
        <f t="shared" si="499"/>
        <v>2019-11</v>
      </c>
    </row>
    <row r="2460" spans="1:26" x14ac:dyDescent="0.35">
      <c r="A2460" s="1">
        <v>43782</v>
      </c>
      <c r="C2460">
        <v>3699.5</v>
      </c>
      <c r="D2460">
        <f t="shared" si="500"/>
        <v>-3.4270173993924138E-3</v>
      </c>
      <c r="E2460" t="str">
        <f t="shared" si="494"/>
        <v>2019-11</v>
      </c>
      <c r="G2460">
        <v>5907.09</v>
      </c>
      <c r="H2460">
        <f t="shared" si="501"/>
        <v>-2.1408939049677631E-3</v>
      </c>
      <c r="I2460" t="str">
        <f t="shared" si="495"/>
        <v>2019-11</v>
      </c>
      <c r="K2460">
        <v>13230.07</v>
      </c>
      <c r="L2460">
        <f t="shared" si="502"/>
        <v>-4.031147236043281E-3</v>
      </c>
      <c r="M2460" t="str">
        <f t="shared" si="496"/>
        <v>2019-11</v>
      </c>
      <c r="O2460">
        <v>8581.6471000000001</v>
      </c>
      <c r="P2460">
        <f t="shared" si="503"/>
        <v>-2.2443384681914012E-3</v>
      </c>
      <c r="Q2460" t="str">
        <f t="shared" si="497"/>
        <v>2019-11</v>
      </c>
      <c r="S2460">
        <v>9194.5</v>
      </c>
      <c r="T2460">
        <f t="shared" si="504"/>
        <v>-1.2129091682768231E-2</v>
      </c>
      <c r="U2460" t="str">
        <f t="shared" si="498"/>
        <v>2019-11</v>
      </c>
      <c r="W2460">
        <v>23578.43</v>
      </c>
      <c r="X2460">
        <f t="shared" si="505"/>
        <v>-8.6029882431942952E-3</v>
      </c>
      <c r="Y2460">
        <f t="shared" si="506"/>
        <v>-8.5660884318701693E-3</v>
      </c>
      <c r="Z2460" t="str">
        <f t="shared" si="499"/>
        <v>2019-11</v>
      </c>
    </row>
    <row r="2461" spans="1:26" x14ac:dyDescent="0.35">
      <c r="A2461" s="1">
        <v>43783</v>
      </c>
      <c r="C2461">
        <v>3688.81</v>
      </c>
      <c r="D2461">
        <f t="shared" si="500"/>
        <v>-2.8937625680877689E-3</v>
      </c>
      <c r="E2461" t="str">
        <f t="shared" si="494"/>
        <v>2019-11</v>
      </c>
      <c r="G2461">
        <v>5901.08</v>
      </c>
      <c r="H2461">
        <f t="shared" si="501"/>
        <v>-1.0179393621474093E-3</v>
      </c>
      <c r="I2461" t="str">
        <f t="shared" si="495"/>
        <v>2019-11</v>
      </c>
      <c r="K2461">
        <v>13180.23</v>
      </c>
      <c r="L2461">
        <f t="shared" si="502"/>
        <v>-3.7742895132054236E-3</v>
      </c>
      <c r="M2461" t="str">
        <f t="shared" si="496"/>
        <v>2019-11</v>
      </c>
      <c r="O2461">
        <v>8524.5467499999995</v>
      </c>
      <c r="P2461">
        <f t="shared" si="503"/>
        <v>-6.676010172284255E-3</v>
      </c>
      <c r="Q2461" t="str">
        <f t="shared" si="497"/>
        <v>2019-11</v>
      </c>
      <c r="S2461">
        <v>9173.2999999999993</v>
      </c>
      <c r="T2461">
        <f t="shared" si="504"/>
        <v>-2.3083885292698759E-3</v>
      </c>
      <c r="U2461" t="str">
        <f t="shared" si="498"/>
        <v>2019-11</v>
      </c>
      <c r="W2461">
        <v>23481.35</v>
      </c>
      <c r="X2461">
        <f t="shared" si="505"/>
        <v>-4.125821995395542E-3</v>
      </c>
      <c r="Y2461">
        <f t="shared" si="506"/>
        <v>-4.1173224850001352E-3</v>
      </c>
      <c r="Z2461" t="str">
        <f t="shared" si="499"/>
        <v>2019-11</v>
      </c>
    </row>
    <row r="2462" spans="1:26" x14ac:dyDescent="0.35">
      <c r="A2462" s="1">
        <v>43784</v>
      </c>
      <c r="C2462">
        <v>3711.61</v>
      </c>
      <c r="D2462">
        <f t="shared" si="500"/>
        <v>6.1618319337234349E-3</v>
      </c>
      <c r="E2462" t="str">
        <f t="shared" si="494"/>
        <v>2019-11</v>
      </c>
      <c r="G2462">
        <v>5939.27</v>
      </c>
      <c r="H2462">
        <f t="shared" si="501"/>
        <v>6.450845192002827E-3</v>
      </c>
      <c r="I2462" t="str">
        <f t="shared" si="495"/>
        <v>2019-11</v>
      </c>
      <c r="K2462">
        <v>13241.75</v>
      </c>
      <c r="L2462">
        <f t="shared" si="502"/>
        <v>4.65673739612011E-3</v>
      </c>
      <c r="M2462" t="str">
        <f t="shared" si="496"/>
        <v>2019-11</v>
      </c>
      <c r="O2462">
        <v>8528.4650299999994</v>
      </c>
      <c r="P2462">
        <f t="shared" si="503"/>
        <v>4.5954112030227064E-4</v>
      </c>
      <c r="Q2462" t="str">
        <f t="shared" si="497"/>
        <v>2019-11</v>
      </c>
      <c r="S2462">
        <v>9261.4</v>
      </c>
      <c r="T2462">
        <f t="shared" si="504"/>
        <v>9.5581344658152434E-3</v>
      </c>
      <c r="U2462" t="str">
        <f t="shared" si="498"/>
        <v>2019-11</v>
      </c>
      <c r="W2462">
        <v>23588.59</v>
      </c>
      <c r="X2462">
        <f t="shared" si="505"/>
        <v>4.556631495641097E-3</v>
      </c>
      <c r="Y2462">
        <f t="shared" si="506"/>
        <v>4.5670287270536663E-3</v>
      </c>
      <c r="Z2462" t="str">
        <f t="shared" si="499"/>
        <v>2019-11</v>
      </c>
    </row>
    <row r="2463" spans="1:26" x14ac:dyDescent="0.35">
      <c r="A2463" s="1">
        <v>43787</v>
      </c>
      <c r="C2463">
        <v>3704.92</v>
      </c>
      <c r="D2463">
        <f t="shared" si="500"/>
        <v>-1.8040786768192285E-3</v>
      </c>
      <c r="E2463" t="str">
        <f t="shared" si="494"/>
        <v>2019-11</v>
      </c>
      <c r="G2463">
        <v>5929.79</v>
      </c>
      <c r="H2463">
        <f t="shared" si="501"/>
        <v>-1.5974309702556267E-3</v>
      </c>
      <c r="I2463" t="str">
        <f t="shared" si="495"/>
        <v>2019-11</v>
      </c>
      <c r="K2463">
        <v>13207.01</v>
      </c>
      <c r="L2463">
        <f t="shared" si="502"/>
        <v>-2.626967765466177E-3</v>
      </c>
      <c r="M2463" t="str">
        <f t="shared" si="496"/>
        <v>2019-11</v>
      </c>
      <c r="O2463">
        <v>8550.7079900000008</v>
      </c>
      <c r="P2463">
        <f t="shared" si="503"/>
        <v>2.6046896473729641E-3</v>
      </c>
      <c r="Q2463" t="str">
        <f t="shared" si="497"/>
        <v>2019-11</v>
      </c>
      <c r="S2463">
        <v>9258</v>
      </c>
      <c r="T2463">
        <f t="shared" si="504"/>
        <v>-3.6718252623725459E-4</v>
      </c>
      <c r="U2463" t="str">
        <f t="shared" si="498"/>
        <v>2019-11</v>
      </c>
      <c r="W2463">
        <v>23463.98</v>
      </c>
      <c r="X2463">
        <f t="shared" si="505"/>
        <v>-5.2966412385771081E-3</v>
      </c>
      <c r="Y2463">
        <f t="shared" si="506"/>
        <v>-5.282638767302352E-3</v>
      </c>
      <c r="Z2463" t="str">
        <f t="shared" si="499"/>
        <v>2019-11</v>
      </c>
    </row>
    <row r="2464" spans="1:26" x14ac:dyDescent="0.35">
      <c r="A2464" s="1">
        <v>43788</v>
      </c>
      <c r="C2464">
        <v>3696.56</v>
      </c>
      <c r="D2464">
        <f t="shared" si="500"/>
        <v>-2.2590086185934285E-3</v>
      </c>
      <c r="E2464" t="str">
        <f t="shared" si="494"/>
        <v>2019-11</v>
      </c>
      <c r="G2464">
        <v>5909.05</v>
      </c>
      <c r="H2464">
        <f t="shared" si="501"/>
        <v>-3.5037252327376222E-3</v>
      </c>
      <c r="I2464" t="str">
        <f t="shared" si="495"/>
        <v>2019-11</v>
      </c>
      <c r="K2464">
        <v>13221.12</v>
      </c>
      <c r="L2464">
        <f t="shared" si="502"/>
        <v>1.0678017204158161E-3</v>
      </c>
      <c r="M2464" t="str">
        <f t="shared" si="496"/>
        <v>2019-11</v>
      </c>
      <c r="O2464">
        <v>8543.88256</v>
      </c>
      <c r="P2464">
        <f t="shared" si="503"/>
        <v>-7.9854856338792816E-4</v>
      </c>
      <c r="Q2464" t="str">
        <f t="shared" si="497"/>
        <v>2019-11</v>
      </c>
      <c r="S2464">
        <v>9259.2000000000007</v>
      </c>
      <c r="T2464">
        <f t="shared" si="504"/>
        <v>1.2960922835853397E-4</v>
      </c>
      <c r="U2464" t="str">
        <f t="shared" si="498"/>
        <v>2019-11</v>
      </c>
      <c r="W2464">
        <v>23329.21</v>
      </c>
      <c r="X2464">
        <f t="shared" si="505"/>
        <v>-5.7602558254733109E-3</v>
      </c>
      <c r="Y2464">
        <f t="shared" si="506"/>
        <v>-5.7436973608058156E-3</v>
      </c>
      <c r="Z2464" t="str">
        <f t="shared" si="499"/>
        <v>2019-11</v>
      </c>
    </row>
    <row r="2465" spans="1:26" x14ac:dyDescent="0.35">
      <c r="A2465" s="1">
        <v>43789</v>
      </c>
      <c r="C2465">
        <v>3683.88</v>
      </c>
      <c r="D2465">
        <f t="shared" si="500"/>
        <v>-3.4361128810545777E-3</v>
      </c>
      <c r="E2465" t="str">
        <f t="shared" si="494"/>
        <v>2019-11</v>
      </c>
      <c r="G2465">
        <v>5894.03</v>
      </c>
      <c r="H2465">
        <f t="shared" si="501"/>
        <v>-2.5450997718751076E-3</v>
      </c>
      <c r="I2465" t="str">
        <f t="shared" si="495"/>
        <v>2019-11</v>
      </c>
      <c r="K2465">
        <v>13158.14</v>
      </c>
      <c r="L2465">
        <f t="shared" si="502"/>
        <v>-4.774972433938993E-3</v>
      </c>
      <c r="M2465" t="str">
        <f t="shared" si="496"/>
        <v>2019-11</v>
      </c>
      <c r="O2465">
        <v>8479.7954100000006</v>
      </c>
      <c r="P2465">
        <f t="shared" si="503"/>
        <v>-7.5292134714937007E-3</v>
      </c>
      <c r="Q2465" t="str">
        <f t="shared" si="497"/>
        <v>2019-11</v>
      </c>
      <c r="S2465">
        <v>9225.4</v>
      </c>
      <c r="T2465">
        <f t="shared" si="504"/>
        <v>-3.6571024172785569E-3</v>
      </c>
      <c r="U2465" t="str">
        <f t="shared" si="498"/>
        <v>2019-11</v>
      </c>
      <c r="W2465">
        <v>23351.78</v>
      </c>
      <c r="X2465">
        <f t="shared" si="505"/>
        <v>9.6698899310850679E-4</v>
      </c>
      <c r="Y2465">
        <f t="shared" si="506"/>
        <v>9.6745667770146136E-4</v>
      </c>
      <c r="Z2465" t="str">
        <f t="shared" si="499"/>
        <v>2019-11</v>
      </c>
    </row>
    <row r="2466" spans="1:26" x14ac:dyDescent="0.35">
      <c r="A2466" s="1">
        <v>43790</v>
      </c>
      <c r="C2466">
        <v>3679.66</v>
      </c>
      <c r="D2466">
        <f t="shared" si="500"/>
        <v>-1.1461879644847773E-3</v>
      </c>
      <c r="E2466" t="str">
        <f t="shared" si="494"/>
        <v>2019-11</v>
      </c>
      <c r="G2466">
        <v>5881.21</v>
      </c>
      <c r="H2466">
        <f t="shared" si="501"/>
        <v>-2.177451171319011E-3</v>
      </c>
      <c r="I2466" t="str">
        <f t="shared" si="495"/>
        <v>2019-11</v>
      </c>
      <c r="K2466">
        <v>13137.7</v>
      </c>
      <c r="L2466">
        <f t="shared" si="502"/>
        <v>-1.5546188383168508E-3</v>
      </c>
      <c r="M2466" t="str">
        <f t="shared" si="496"/>
        <v>2019-11</v>
      </c>
      <c r="O2466">
        <v>8443.1211399999993</v>
      </c>
      <c r="P2466">
        <f t="shared" si="503"/>
        <v>-4.3342797685184406E-3</v>
      </c>
      <c r="Q2466" t="str">
        <f t="shared" si="497"/>
        <v>2019-11</v>
      </c>
      <c r="S2466">
        <v>9214</v>
      </c>
      <c r="T2466">
        <f t="shared" si="504"/>
        <v>-1.2364829064335262E-3</v>
      </c>
      <c r="U2466" t="str">
        <f t="shared" si="498"/>
        <v>2019-11</v>
      </c>
      <c r="W2466">
        <v>23279.78</v>
      </c>
      <c r="X2466">
        <f t="shared" si="505"/>
        <v>-3.0880398260718788E-3</v>
      </c>
      <c r="Y2466">
        <f t="shared" si="506"/>
        <v>-3.083276735221041E-3</v>
      </c>
      <c r="Z2466" t="str">
        <f t="shared" si="499"/>
        <v>2019-11</v>
      </c>
    </row>
    <row r="2467" spans="1:26" x14ac:dyDescent="0.35">
      <c r="A2467" s="1">
        <v>43791</v>
      </c>
      <c r="C2467">
        <v>3687.32</v>
      </c>
      <c r="D2467">
        <f t="shared" si="500"/>
        <v>2.0795503070434721E-3</v>
      </c>
      <c r="E2467" t="str">
        <f t="shared" si="494"/>
        <v>2019-11</v>
      </c>
      <c r="G2467">
        <v>5893.13</v>
      </c>
      <c r="H2467">
        <f t="shared" si="501"/>
        <v>2.0247426305426992E-3</v>
      </c>
      <c r="I2467" t="str">
        <f t="shared" si="495"/>
        <v>2019-11</v>
      </c>
      <c r="K2467">
        <v>13163.88</v>
      </c>
      <c r="L2467">
        <f t="shared" si="502"/>
        <v>1.9907555854953825E-3</v>
      </c>
      <c r="M2467" t="str">
        <f t="shared" si="496"/>
        <v>2019-11</v>
      </c>
      <c r="O2467">
        <v>8525.7908800000005</v>
      </c>
      <c r="P2467">
        <f t="shared" si="503"/>
        <v>9.7437471490389917E-3</v>
      </c>
      <c r="Q2467" t="str">
        <f t="shared" si="497"/>
        <v>2019-11</v>
      </c>
      <c r="S2467">
        <v>9254.7000000000007</v>
      </c>
      <c r="T2467">
        <f t="shared" si="504"/>
        <v>4.4074640755019882E-3</v>
      </c>
      <c r="U2467" t="str">
        <f t="shared" si="498"/>
        <v>2019-11</v>
      </c>
      <c r="W2467">
        <v>23259.8</v>
      </c>
      <c r="X2467">
        <f t="shared" si="505"/>
        <v>-8.5862404548969241E-4</v>
      </c>
      <c r="Y2467">
        <f t="shared" si="506"/>
        <v>-8.5825553334265036E-4</v>
      </c>
      <c r="Z2467" t="str">
        <f t="shared" si="499"/>
        <v>2019-11</v>
      </c>
    </row>
    <row r="2468" spans="1:26" x14ac:dyDescent="0.35">
      <c r="A2468" s="1">
        <v>43794</v>
      </c>
      <c r="C2468">
        <v>3707.68</v>
      </c>
      <c r="D2468">
        <f t="shared" si="500"/>
        <v>5.5064371722378831E-3</v>
      </c>
      <c r="E2468" t="str">
        <f t="shared" si="494"/>
        <v>2019-11</v>
      </c>
      <c r="G2468">
        <v>5924.86</v>
      </c>
      <c r="H2468">
        <f t="shared" si="501"/>
        <v>5.36979236632218E-3</v>
      </c>
      <c r="I2468" t="str">
        <f t="shared" si="495"/>
        <v>2019-11</v>
      </c>
      <c r="K2468">
        <v>13246.45</v>
      </c>
      <c r="L2468">
        <f t="shared" si="502"/>
        <v>6.2528767364788728E-3</v>
      </c>
      <c r="M2468" t="str">
        <f t="shared" si="496"/>
        <v>2019-11</v>
      </c>
      <c r="O2468">
        <v>8661.7101399999992</v>
      </c>
      <c r="P2468">
        <f t="shared" si="503"/>
        <v>1.5816388115105457E-2</v>
      </c>
      <c r="Q2468" t="str">
        <f t="shared" si="497"/>
        <v>2019-11</v>
      </c>
      <c r="S2468">
        <v>9319.9</v>
      </c>
      <c r="T2468">
        <f t="shared" si="504"/>
        <v>7.020368436975729E-3</v>
      </c>
      <c r="U2468" t="str">
        <f t="shared" si="498"/>
        <v>2019-11</v>
      </c>
      <c r="W2468">
        <v>23467.25</v>
      </c>
      <c r="X2468">
        <f t="shared" si="505"/>
        <v>8.879283540205769E-3</v>
      </c>
      <c r="Y2468">
        <f t="shared" si="506"/>
        <v>8.9188213140268067E-3</v>
      </c>
      <c r="Z2468" t="str">
        <f t="shared" si="499"/>
        <v>2019-11</v>
      </c>
    </row>
    <row r="2469" spans="1:26" x14ac:dyDescent="0.35">
      <c r="A2469" s="1">
        <v>43795</v>
      </c>
      <c r="C2469">
        <v>3705.55</v>
      </c>
      <c r="D2469">
        <f t="shared" si="500"/>
        <v>-5.7464831351889301E-4</v>
      </c>
      <c r="E2469" t="str">
        <f t="shared" si="494"/>
        <v>2019-11</v>
      </c>
      <c r="G2469">
        <v>5929.62</v>
      </c>
      <c r="H2469">
        <f t="shared" si="501"/>
        <v>8.0307196196212187E-4</v>
      </c>
      <c r="I2469" t="str">
        <f t="shared" si="495"/>
        <v>2019-11</v>
      </c>
      <c r="K2469">
        <v>13236.42</v>
      </c>
      <c r="L2469">
        <f t="shared" si="502"/>
        <v>-7.5747080883377437E-4</v>
      </c>
      <c r="M2469" t="str">
        <f t="shared" si="496"/>
        <v>2019-11</v>
      </c>
      <c r="O2469">
        <v>8640.5795500000004</v>
      </c>
      <c r="P2469">
        <f t="shared" si="503"/>
        <v>-2.4425207164890774E-3</v>
      </c>
      <c r="Q2469" t="str">
        <f t="shared" si="497"/>
        <v>2019-11</v>
      </c>
      <c r="S2469">
        <v>9324.7999999999993</v>
      </c>
      <c r="T2469">
        <f t="shared" si="504"/>
        <v>5.256185524906157E-4</v>
      </c>
      <c r="U2469" t="str">
        <f t="shared" si="498"/>
        <v>2019-11</v>
      </c>
      <c r="W2469">
        <v>23546.58</v>
      </c>
      <c r="X2469">
        <f t="shared" si="505"/>
        <v>3.3747548451412358E-3</v>
      </c>
      <c r="Y2469">
        <f t="shared" si="506"/>
        <v>3.3804557415121816E-3</v>
      </c>
      <c r="Z2469" t="str">
        <f t="shared" si="499"/>
        <v>2019-11</v>
      </c>
    </row>
    <row r="2470" spans="1:26" x14ac:dyDescent="0.35">
      <c r="A2470" s="1">
        <v>43796</v>
      </c>
      <c r="C2470">
        <v>3712.85</v>
      </c>
      <c r="D2470">
        <f t="shared" si="500"/>
        <v>1.9680800054676499E-3</v>
      </c>
      <c r="E2470" t="str">
        <f t="shared" si="494"/>
        <v>2019-11</v>
      </c>
      <c r="G2470">
        <v>5926.84</v>
      </c>
      <c r="H2470">
        <f t="shared" si="501"/>
        <v>-4.6894267782199907E-4</v>
      </c>
      <c r="I2470" t="str">
        <f t="shared" si="495"/>
        <v>2019-11</v>
      </c>
      <c r="K2470">
        <v>13287.07</v>
      </c>
      <c r="L2470">
        <f t="shared" si="502"/>
        <v>3.8192607057543322E-3</v>
      </c>
      <c r="M2470" t="str">
        <f t="shared" si="496"/>
        <v>2019-11</v>
      </c>
      <c r="O2470">
        <v>8702.2986799999999</v>
      </c>
      <c r="P2470">
        <f t="shared" si="503"/>
        <v>7.1175487409049073E-3</v>
      </c>
      <c r="Q2470" t="str">
        <f t="shared" si="497"/>
        <v>2019-11</v>
      </c>
      <c r="S2470">
        <v>9362.7000000000007</v>
      </c>
      <c r="T2470">
        <f t="shared" si="504"/>
        <v>4.0561928522379791E-3</v>
      </c>
      <c r="U2470" t="str">
        <f t="shared" si="498"/>
        <v>2019-11</v>
      </c>
      <c r="W2470">
        <v>23485.03</v>
      </c>
      <c r="X2470">
        <f t="shared" si="505"/>
        <v>-2.6173900973638546E-3</v>
      </c>
      <c r="Y2470">
        <f t="shared" si="506"/>
        <v>-2.6139677184543533E-3</v>
      </c>
      <c r="Z2470" t="str">
        <f t="shared" si="499"/>
        <v>2019-11</v>
      </c>
    </row>
    <row r="2471" spans="1:26" x14ac:dyDescent="0.35">
      <c r="A2471" s="1">
        <v>43797</v>
      </c>
      <c r="C2471">
        <v>3704.48</v>
      </c>
      <c r="D2471">
        <f t="shared" si="500"/>
        <v>-2.2568777586312225E-3</v>
      </c>
      <c r="E2471" t="str">
        <f t="shared" si="494"/>
        <v>2019-11</v>
      </c>
      <c r="G2471">
        <v>5912.72</v>
      </c>
      <c r="H2471">
        <f t="shared" si="501"/>
        <v>-2.3852249060617938E-3</v>
      </c>
      <c r="I2471" t="str">
        <f t="shared" si="495"/>
        <v>2019-11</v>
      </c>
      <c r="K2471">
        <v>13245.58</v>
      </c>
      <c r="L2471">
        <f t="shared" si="502"/>
        <v>-3.1274700279119668E-3</v>
      </c>
      <c r="M2471" t="str">
        <f t="shared" si="496"/>
        <v>2019-11</v>
      </c>
      <c r="O2471">
        <v>8693.8238299999994</v>
      </c>
      <c r="P2471">
        <f t="shared" si="503"/>
        <v>-9.7433789231875202E-4</v>
      </c>
      <c r="Q2471" t="str">
        <f t="shared" si="497"/>
        <v>2019-11</v>
      </c>
      <c r="S2471">
        <v>9359</v>
      </c>
      <c r="T2471">
        <f t="shared" si="504"/>
        <v>-3.9526325581255069E-4</v>
      </c>
      <c r="U2471" t="str">
        <f t="shared" si="498"/>
        <v>2019-11</v>
      </c>
      <c r="W2471">
        <v>23342.42</v>
      </c>
      <c r="X2471">
        <f t="shared" si="505"/>
        <v>-6.0908907442037766E-3</v>
      </c>
      <c r="Y2471">
        <f t="shared" si="506"/>
        <v>-6.0723788728394464E-3</v>
      </c>
      <c r="Z2471" t="str">
        <f t="shared" si="499"/>
        <v>2019-11</v>
      </c>
    </row>
    <row r="2472" spans="1:26" x14ac:dyDescent="0.35">
      <c r="A2472" s="1">
        <v>43798</v>
      </c>
      <c r="C2472">
        <v>3703.58</v>
      </c>
      <c r="D2472">
        <f t="shared" si="500"/>
        <v>-2.429785947813093E-4</v>
      </c>
      <c r="E2472" t="str">
        <f t="shared" si="494"/>
        <v>2019-11</v>
      </c>
      <c r="G2472">
        <v>5905.17</v>
      </c>
      <c r="H2472">
        <f t="shared" si="501"/>
        <v>-1.2777240314749993E-3</v>
      </c>
      <c r="I2472" t="str">
        <f t="shared" si="495"/>
        <v>2019-11</v>
      </c>
      <c r="K2472">
        <v>13236.38</v>
      </c>
      <c r="L2472">
        <f t="shared" si="502"/>
        <v>-6.9481264756240599E-4</v>
      </c>
      <c r="M2472" t="str">
        <f t="shared" si="496"/>
        <v>2019-11</v>
      </c>
      <c r="O2472">
        <v>8624.3033699999996</v>
      </c>
      <c r="P2472">
        <f t="shared" si="503"/>
        <v>-8.0286780014442588E-3</v>
      </c>
      <c r="Q2472" t="str">
        <f t="shared" si="497"/>
        <v>2019-11</v>
      </c>
      <c r="S2472">
        <v>9352</v>
      </c>
      <c r="T2472">
        <f t="shared" si="504"/>
        <v>-7.4822300535211947E-4</v>
      </c>
      <c r="U2472" t="str">
        <f t="shared" si="498"/>
        <v>2019-11</v>
      </c>
      <c r="W2472">
        <v>23259.33</v>
      </c>
      <c r="X2472">
        <f t="shared" si="505"/>
        <v>-3.565964284533615E-3</v>
      </c>
      <c r="Y2472">
        <f t="shared" si="506"/>
        <v>-3.5596137846888418E-3</v>
      </c>
      <c r="Z2472" t="str">
        <f t="shared" si="499"/>
        <v>2019-11</v>
      </c>
    </row>
    <row r="2473" spans="1:26" x14ac:dyDescent="0.35">
      <c r="A2473" s="1">
        <v>43801</v>
      </c>
      <c r="C2473">
        <v>3626.66</v>
      </c>
      <c r="D2473">
        <f t="shared" si="500"/>
        <v>-2.0987804903266669E-2</v>
      </c>
      <c r="E2473" t="str">
        <f t="shared" si="494"/>
        <v>2019-12</v>
      </c>
      <c r="G2473">
        <v>5786.74</v>
      </c>
      <c r="H2473">
        <f t="shared" si="501"/>
        <v>-2.0259145101798166E-2</v>
      </c>
      <c r="I2473" t="str">
        <f t="shared" si="495"/>
        <v>2019-12</v>
      </c>
      <c r="K2473">
        <v>12964.68</v>
      </c>
      <c r="L2473">
        <f t="shared" si="502"/>
        <v>-2.074036237687241E-2</v>
      </c>
      <c r="M2473" t="str">
        <f t="shared" si="496"/>
        <v>2019-12</v>
      </c>
      <c r="O2473">
        <v>8508.9253200000003</v>
      </c>
      <c r="P2473">
        <f t="shared" si="503"/>
        <v>-1.3468540720392145E-2</v>
      </c>
      <c r="Q2473" t="str">
        <f t="shared" si="497"/>
        <v>2019-12</v>
      </c>
      <c r="S2473">
        <v>9156.2999999999993</v>
      </c>
      <c r="T2473">
        <f t="shared" si="504"/>
        <v>-2.1148057216483194E-2</v>
      </c>
      <c r="U2473" t="str">
        <f t="shared" si="498"/>
        <v>2019-12</v>
      </c>
      <c r="W2473">
        <v>22728.59</v>
      </c>
      <c r="X2473">
        <f t="shared" si="505"/>
        <v>-2.3082738476258489E-2</v>
      </c>
      <c r="Y2473">
        <f t="shared" si="506"/>
        <v>-2.2818370090626067E-2</v>
      </c>
      <c r="Z2473" t="str">
        <f t="shared" si="499"/>
        <v>2019-12</v>
      </c>
    </row>
    <row r="2474" spans="1:26" x14ac:dyDescent="0.35">
      <c r="A2474" s="1">
        <v>43802</v>
      </c>
      <c r="C2474">
        <v>3610.99</v>
      </c>
      <c r="D2474">
        <f t="shared" si="500"/>
        <v>-4.3301415471960741E-3</v>
      </c>
      <c r="E2474" t="str">
        <f t="shared" si="494"/>
        <v>2019-12</v>
      </c>
      <c r="G2474">
        <v>5727.22</v>
      </c>
      <c r="H2474">
        <f t="shared" si="501"/>
        <v>-1.0338846093277799E-2</v>
      </c>
      <c r="I2474" t="str">
        <f t="shared" si="495"/>
        <v>2019-12</v>
      </c>
      <c r="K2474">
        <v>12989.29</v>
      </c>
      <c r="L2474">
        <f t="shared" si="502"/>
        <v>1.8964349096304443E-3</v>
      </c>
      <c r="M2474" t="str">
        <f t="shared" si="496"/>
        <v>2019-12</v>
      </c>
      <c r="O2474">
        <v>8398.37212</v>
      </c>
      <c r="P2474">
        <f t="shared" si="503"/>
        <v>-1.3077758408963271E-2</v>
      </c>
      <c r="Q2474" t="str">
        <f t="shared" si="497"/>
        <v>2019-12</v>
      </c>
      <c r="S2474">
        <v>9135.7000000000007</v>
      </c>
      <c r="T2474">
        <f t="shared" si="504"/>
        <v>-2.2523517066258096E-3</v>
      </c>
      <c r="U2474" t="str">
        <f t="shared" si="498"/>
        <v>2019-12</v>
      </c>
      <c r="W2474">
        <v>22736.52</v>
      </c>
      <c r="X2474">
        <f t="shared" si="505"/>
        <v>3.4883892639511944E-4</v>
      </c>
      <c r="Y2474">
        <f t="shared" si="506"/>
        <v>3.488997777688933E-4</v>
      </c>
      <c r="Z2474" t="str">
        <f t="shared" si="499"/>
        <v>2019-12</v>
      </c>
    </row>
    <row r="2475" spans="1:26" x14ac:dyDescent="0.35">
      <c r="A2475" s="1">
        <v>43803</v>
      </c>
      <c r="C2475">
        <v>3660.02</v>
      </c>
      <c r="D2475">
        <f t="shared" si="500"/>
        <v>1.3486638903711937E-2</v>
      </c>
      <c r="E2475" t="str">
        <f t="shared" si="494"/>
        <v>2019-12</v>
      </c>
      <c r="G2475">
        <v>5799.68</v>
      </c>
      <c r="H2475">
        <f t="shared" si="501"/>
        <v>1.2572496414949903E-2</v>
      </c>
      <c r="I2475" t="str">
        <f t="shared" si="495"/>
        <v>2019-12</v>
      </c>
      <c r="K2475">
        <v>13140.57</v>
      </c>
      <c r="L2475">
        <f t="shared" si="502"/>
        <v>1.1579219351111619E-2</v>
      </c>
      <c r="M2475" t="str">
        <f t="shared" si="496"/>
        <v>2019-12</v>
      </c>
      <c r="O2475">
        <v>8494.7331200000008</v>
      </c>
      <c r="P2475">
        <f t="shared" si="503"/>
        <v>1.1408446672815827E-2</v>
      </c>
      <c r="Q2475" t="str">
        <f t="shared" si="497"/>
        <v>2019-12</v>
      </c>
      <c r="S2475">
        <v>9270.7999999999993</v>
      </c>
      <c r="T2475">
        <f t="shared" si="504"/>
        <v>1.4679860499609164E-2</v>
      </c>
      <c r="U2475" t="str">
        <f t="shared" si="498"/>
        <v>2019-12</v>
      </c>
      <c r="W2475">
        <v>23034.2</v>
      </c>
      <c r="X2475">
        <f t="shared" si="505"/>
        <v>1.3007625715070876E-2</v>
      </c>
      <c r="Y2475">
        <f t="shared" si="506"/>
        <v>1.3092592885806635E-2</v>
      </c>
      <c r="Z2475" t="str">
        <f t="shared" si="499"/>
        <v>2019-12</v>
      </c>
    </row>
    <row r="2476" spans="1:26" x14ac:dyDescent="0.35">
      <c r="A2476" s="1">
        <v>43804</v>
      </c>
      <c r="C2476">
        <v>3648.13</v>
      </c>
      <c r="D2476">
        <f t="shared" si="500"/>
        <v>-3.2539043371676438E-3</v>
      </c>
      <c r="E2476" t="str">
        <f t="shared" si="494"/>
        <v>2019-12</v>
      </c>
      <c r="G2476">
        <v>5801.55</v>
      </c>
      <c r="H2476">
        <f t="shared" si="501"/>
        <v>3.2237961254035131E-4</v>
      </c>
      <c r="I2476" t="str">
        <f t="shared" si="495"/>
        <v>2019-12</v>
      </c>
      <c r="K2476">
        <v>13054.8</v>
      </c>
      <c r="L2476">
        <f t="shared" si="502"/>
        <v>-6.5485088781566062E-3</v>
      </c>
      <c r="M2476" t="str">
        <f t="shared" si="496"/>
        <v>2019-12</v>
      </c>
      <c r="O2476">
        <v>8457.4363200000007</v>
      </c>
      <c r="P2476">
        <f t="shared" si="503"/>
        <v>-4.4002462706492669E-3</v>
      </c>
      <c r="Q2476" t="str">
        <f t="shared" si="497"/>
        <v>2019-12</v>
      </c>
      <c r="S2476">
        <v>9243.4</v>
      </c>
      <c r="T2476">
        <f t="shared" si="504"/>
        <v>-2.9598924073624862E-3</v>
      </c>
      <c r="U2476" t="str">
        <f t="shared" si="498"/>
        <v>2019-12</v>
      </c>
      <c r="W2476">
        <v>22969.4</v>
      </c>
      <c r="X2476">
        <f t="shared" si="505"/>
        <v>-2.8171726933060564E-3</v>
      </c>
      <c r="Y2476">
        <f t="shared" si="506"/>
        <v>-2.8132081860884803E-3</v>
      </c>
      <c r="Z2476" t="str">
        <f t="shared" si="499"/>
        <v>2019-12</v>
      </c>
    </row>
    <row r="2477" spans="1:26" x14ac:dyDescent="0.35">
      <c r="A2477" s="1">
        <v>43805</v>
      </c>
      <c r="C2477">
        <v>3692.34</v>
      </c>
      <c r="D2477">
        <f t="shared" si="500"/>
        <v>1.2045695866021916E-2</v>
      </c>
      <c r="E2477" t="str">
        <f t="shared" si="494"/>
        <v>2019-12</v>
      </c>
      <c r="G2477">
        <v>5871.91</v>
      </c>
      <c r="H2477">
        <f t="shared" si="501"/>
        <v>1.205484099021108E-2</v>
      </c>
      <c r="I2477" t="str">
        <f t="shared" si="495"/>
        <v>2019-12</v>
      </c>
      <c r="K2477">
        <v>13166.58</v>
      </c>
      <c r="L2477">
        <f t="shared" si="502"/>
        <v>8.525918705922066E-3</v>
      </c>
      <c r="M2477" t="str">
        <f t="shared" si="496"/>
        <v>2019-12</v>
      </c>
      <c r="O2477">
        <v>8600.4934200000007</v>
      </c>
      <c r="P2477">
        <f t="shared" si="503"/>
        <v>1.677348379960213E-2</v>
      </c>
      <c r="Q2477" t="str">
        <f t="shared" si="497"/>
        <v>2019-12</v>
      </c>
      <c r="S2477">
        <v>9382.7000000000007</v>
      </c>
      <c r="T2477">
        <f t="shared" si="504"/>
        <v>1.4957784741254487E-2</v>
      </c>
      <c r="U2477" t="str">
        <f t="shared" si="498"/>
        <v>2019-12</v>
      </c>
      <c r="W2477">
        <v>23182.720000000001</v>
      </c>
      <c r="X2477">
        <f t="shared" si="505"/>
        <v>9.2442782317584335E-3</v>
      </c>
      <c r="Y2477">
        <f t="shared" si="506"/>
        <v>9.2871385408412801E-3</v>
      </c>
      <c r="Z2477" t="str">
        <f t="shared" si="499"/>
        <v>2019-12</v>
      </c>
    </row>
    <row r="2478" spans="1:26" x14ac:dyDescent="0.35">
      <c r="A2478" s="1">
        <v>43808</v>
      </c>
      <c r="C2478">
        <v>3672.18</v>
      </c>
      <c r="D2478">
        <f t="shared" si="500"/>
        <v>-5.474912243407749E-3</v>
      </c>
      <c r="E2478" t="str">
        <f t="shared" si="494"/>
        <v>2019-12</v>
      </c>
      <c r="G2478">
        <v>5837.25</v>
      </c>
      <c r="H2478">
        <f t="shared" si="501"/>
        <v>-5.9201686938081446E-3</v>
      </c>
      <c r="I2478" t="str">
        <f t="shared" si="495"/>
        <v>2019-12</v>
      </c>
      <c r="K2478">
        <v>13105.61</v>
      </c>
      <c r="L2478">
        <f t="shared" si="502"/>
        <v>-4.6414181273159716E-3</v>
      </c>
      <c r="M2478" t="str">
        <f t="shared" si="496"/>
        <v>2019-12</v>
      </c>
      <c r="O2478">
        <v>8601.90985</v>
      </c>
      <c r="P2478">
        <f t="shared" si="503"/>
        <v>1.6467815350779404E-4</v>
      </c>
      <c r="Q2478" t="str">
        <f t="shared" si="497"/>
        <v>2019-12</v>
      </c>
      <c r="S2478">
        <v>9354.6</v>
      </c>
      <c r="T2478">
        <f t="shared" si="504"/>
        <v>-2.999367151735433E-3</v>
      </c>
      <c r="U2478" t="str">
        <f t="shared" si="498"/>
        <v>2019-12</v>
      </c>
      <c r="W2478">
        <v>22956.9</v>
      </c>
      <c r="X2478">
        <f t="shared" si="505"/>
        <v>-9.7886286500879546E-3</v>
      </c>
      <c r="Y2478">
        <f t="shared" si="506"/>
        <v>-9.7408759627860622E-3</v>
      </c>
      <c r="Z2478" t="str">
        <f t="shared" si="499"/>
        <v>2019-12</v>
      </c>
    </row>
    <row r="2479" spans="1:26" x14ac:dyDescent="0.35">
      <c r="A2479" s="1">
        <v>43809</v>
      </c>
      <c r="C2479">
        <v>3671.78</v>
      </c>
      <c r="D2479">
        <f t="shared" si="500"/>
        <v>-1.0893305529853308E-4</v>
      </c>
      <c r="E2479" t="str">
        <f t="shared" si="494"/>
        <v>2019-12</v>
      </c>
      <c r="G2479">
        <v>5848.03</v>
      </c>
      <c r="H2479">
        <f t="shared" si="501"/>
        <v>1.845056867809326E-3</v>
      </c>
      <c r="I2479" t="str">
        <f t="shared" si="495"/>
        <v>2019-12</v>
      </c>
      <c r="K2479">
        <v>13070.72</v>
      </c>
      <c r="L2479">
        <f t="shared" si="502"/>
        <v>-2.6657687049049979E-3</v>
      </c>
      <c r="M2479" t="str">
        <f t="shared" si="496"/>
        <v>2019-12</v>
      </c>
      <c r="O2479">
        <v>8577.5230499999998</v>
      </c>
      <c r="P2479">
        <f t="shared" si="503"/>
        <v>-2.8390711756800116E-3</v>
      </c>
      <c r="Q2479" t="str">
        <f t="shared" si="497"/>
        <v>2019-12</v>
      </c>
      <c r="S2479">
        <v>9321.1</v>
      </c>
      <c r="T2479">
        <f t="shared" si="504"/>
        <v>-3.5875534443420109E-3</v>
      </c>
      <c r="U2479" t="str">
        <f t="shared" si="498"/>
        <v>2019-12</v>
      </c>
      <c r="W2479">
        <v>23122.82</v>
      </c>
      <c r="X2479">
        <f t="shared" si="505"/>
        <v>7.2014637704071183E-3</v>
      </c>
      <c r="Y2479">
        <f t="shared" si="506"/>
        <v>7.2274566688010243E-3</v>
      </c>
      <c r="Z2479" t="str">
        <f t="shared" si="499"/>
        <v>2019-12</v>
      </c>
    </row>
    <row r="2480" spans="1:26" x14ac:dyDescent="0.35">
      <c r="A2480" s="1">
        <v>43810</v>
      </c>
      <c r="C2480">
        <v>3687.45</v>
      </c>
      <c r="D2480">
        <f t="shared" si="500"/>
        <v>4.2586041426090036E-3</v>
      </c>
      <c r="E2480" t="str">
        <f t="shared" si="494"/>
        <v>2019-12</v>
      </c>
      <c r="G2480">
        <v>5860.88</v>
      </c>
      <c r="H2480">
        <f t="shared" si="501"/>
        <v>2.1949105696229534E-3</v>
      </c>
      <c r="I2480" t="str">
        <f t="shared" si="495"/>
        <v>2019-12</v>
      </c>
      <c r="K2480">
        <v>13146.74</v>
      </c>
      <c r="L2480">
        <f t="shared" si="502"/>
        <v>5.7992050374724696E-3</v>
      </c>
      <c r="M2480" t="str">
        <f t="shared" si="496"/>
        <v>2019-12</v>
      </c>
      <c r="O2480">
        <v>8569.4595200000003</v>
      </c>
      <c r="P2480">
        <f t="shared" si="503"/>
        <v>-9.4051890021837239E-4</v>
      </c>
      <c r="Q2480" t="str">
        <f t="shared" si="497"/>
        <v>2019-12</v>
      </c>
      <c r="S2480">
        <v>9392.5</v>
      </c>
      <c r="T2480">
        <f t="shared" si="504"/>
        <v>7.6308509819050683E-3</v>
      </c>
      <c r="U2480" t="str">
        <f t="shared" si="498"/>
        <v>2019-12</v>
      </c>
      <c r="W2480">
        <v>23155.64</v>
      </c>
      <c r="X2480">
        <f t="shared" si="505"/>
        <v>1.4183706848586934E-3</v>
      </c>
      <c r="Y2480">
        <f t="shared" si="506"/>
        <v>1.4193770483011895E-3</v>
      </c>
      <c r="Z2480" t="str">
        <f t="shared" si="499"/>
        <v>2019-12</v>
      </c>
    </row>
    <row r="2481" spans="1:26" x14ac:dyDescent="0.35">
      <c r="A2481" s="1">
        <v>43811</v>
      </c>
      <c r="C2481">
        <v>3706.35</v>
      </c>
      <c r="D2481">
        <f t="shared" si="500"/>
        <v>5.1124025981828395E-3</v>
      </c>
      <c r="E2481" t="str">
        <f t="shared" si="494"/>
        <v>2019-12</v>
      </c>
      <c r="G2481">
        <v>5884.26</v>
      </c>
      <c r="H2481">
        <f t="shared" si="501"/>
        <v>3.9812264275086171E-3</v>
      </c>
      <c r="I2481" t="str">
        <f t="shared" si="495"/>
        <v>2019-12</v>
      </c>
      <c r="K2481">
        <v>13221.64</v>
      </c>
      <c r="L2481">
        <f t="shared" si="502"/>
        <v>5.6810620482827144E-3</v>
      </c>
      <c r="M2481" t="str">
        <f t="shared" si="496"/>
        <v>2019-12</v>
      </c>
      <c r="O2481">
        <v>8582.1708600000002</v>
      </c>
      <c r="P2481">
        <f t="shared" si="503"/>
        <v>1.4822313734171744E-3</v>
      </c>
      <c r="Q2481" t="str">
        <f t="shared" si="497"/>
        <v>2019-12</v>
      </c>
      <c r="S2481">
        <v>9468.5</v>
      </c>
      <c r="T2481">
        <f t="shared" si="504"/>
        <v>8.0590012548357372E-3</v>
      </c>
      <c r="U2481" t="str">
        <f t="shared" si="498"/>
        <v>2019-12</v>
      </c>
      <c r="W2481">
        <v>23390.95</v>
      </c>
      <c r="X2481">
        <f t="shared" si="505"/>
        <v>1.0110816049651028E-2</v>
      </c>
      <c r="Y2481">
        <f t="shared" si="506"/>
        <v>1.0162103055670295E-2</v>
      </c>
      <c r="Z2481" t="str">
        <f t="shared" si="499"/>
        <v>2019-12</v>
      </c>
    </row>
    <row r="2482" spans="1:26" x14ac:dyDescent="0.35">
      <c r="A2482" s="1">
        <v>43812</v>
      </c>
      <c r="C2482">
        <v>3731.07</v>
      </c>
      <c r="D2482">
        <f t="shared" si="500"/>
        <v>6.6474909389419093E-3</v>
      </c>
      <c r="E2482" t="str">
        <f t="shared" si="494"/>
        <v>2019-12</v>
      </c>
      <c r="G2482">
        <v>5919.02</v>
      </c>
      <c r="H2482">
        <f t="shared" si="501"/>
        <v>5.8899052616153613E-3</v>
      </c>
      <c r="I2482" t="str">
        <f t="shared" si="495"/>
        <v>2019-12</v>
      </c>
      <c r="K2482">
        <v>13282.72</v>
      </c>
      <c r="L2482">
        <f t="shared" si="502"/>
        <v>4.60906116043522E-3</v>
      </c>
      <c r="M2482" t="str">
        <f t="shared" si="496"/>
        <v>2019-12</v>
      </c>
      <c r="O2482">
        <v>8812.7498799999994</v>
      </c>
      <c r="P2482">
        <f t="shared" si="503"/>
        <v>2.6512627430447147E-2</v>
      </c>
      <c r="Q2482" t="str">
        <f t="shared" si="497"/>
        <v>2019-12</v>
      </c>
      <c r="S2482">
        <v>9563.7000000000007</v>
      </c>
      <c r="T2482">
        <f t="shared" si="504"/>
        <v>1.0004181754673934E-2</v>
      </c>
      <c r="U2482" t="str">
        <f t="shared" si="498"/>
        <v>2019-12</v>
      </c>
      <c r="W2482">
        <v>23329.33</v>
      </c>
      <c r="X2482">
        <f t="shared" si="505"/>
        <v>-2.6378281863906144E-3</v>
      </c>
      <c r="Y2482">
        <f t="shared" si="506"/>
        <v>-2.6343521746657991E-3</v>
      </c>
      <c r="Z2482" t="str">
        <f t="shared" si="499"/>
        <v>2019-12</v>
      </c>
    </row>
    <row r="2483" spans="1:26" x14ac:dyDescent="0.35">
      <c r="A2483" s="1">
        <v>43815</v>
      </c>
      <c r="C2483">
        <v>3772.74</v>
      </c>
      <c r="D2483">
        <f t="shared" si="500"/>
        <v>1.1106472137467127E-2</v>
      </c>
      <c r="E2483" t="str">
        <f t="shared" si="494"/>
        <v>2019-12</v>
      </c>
      <c r="G2483">
        <v>5991.66</v>
      </c>
      <c r="H2483">
        <f t="shared" si="501"/>
        <v>1.2197607629888094E-2</v>
      </c>
      <c r="I2483" t="str">
        <f t="shared" si="495"/>
        <v>2019-12</v>
      </c>
      <c r="K2483">
        <v>13407.66</v>
      </c>
      <c r="L2483">
        <f t="shared" si="502"/>
        <v>9.3622430701893987E-3</v>
      </c>
      <c r="M2483" t="str">
        <f t="shared" si="496"/>
        <v>2019-12</v>
      </c>
      <c r="O2483">
        <v>8992.0901300000005</v>
      </c>
      <c r="P2483">
        <f t="shared" si="503"/>
        <v>2.0145793541502827E-2</v>
      </c>
      <c r="Q2483" t="str">
        <f t="shared" si="497"/>
        <v>2019-12</v>
      </c>
      <c r="S2483">
        <v>9680.6</v>
      </c>
      <c r="T2483">
        <f t="shared" si="504"/>
        <v>1.2149201363167279E-2</v>
      </c>
      <c r="U2483" t="str">
        <f t="shared" si="498"/>
        <v>2019-12</v>
      </c>
      <c r="W2483">
        <v>23524.76</v>
      </c>
      <c r="X2483">
        <f t="shared" si="505"/>
        <v>8.3421162739280522E-3</v>
      </c>
      <c r="Y2483">
        <f t="shared" si="506"/>
        <v>8.3770086839183404E-3</v>
      </c>
      <c r="Z2483" t="str">
        <f t="shared" si="499"/>
        <v>2019-12</v>
      </c>
    </row>
    <row r="2484" spans="1:26" x14ac:dyDescent="0.35">
      <c r="A2484" s="1">
        <v>43816</v>
      </c>
      <c r="C2484">
        <v>3745.28</v>
      </c>
      <c r="D2484">
        <f t="shared" si="500"/>
        <v>-7.3051473971093026E-3</v>
      </c>
      <c r="E2484" t="str">
        <f t="shared" si="494"/>
        <v>2019-12</v>
      </c>
      <c r="G2484">
        <v>5968.26</v>
      </c>
      <c r="H2484">
        <f t="shared" si="501"/>
        <v>-3.9130746457653126E-3</v>
      </c>
      <c r="I2484" t="str">
        <f t="shared" si="495"/>
        <v>2019-12</v>
      </c>
      <c r="K2484">
        <v>13287.83</v>
      </c>
      <c r="L2484">
        <f t="shared" si="502"/>
        <v>-8.9776066917176787E-3</v>
      </c>
      <c r="M2484" t="str">
        <f t="shared" si="496"/>
        <v>2019-12</v>
      </c>
      <c r="O2484">
        <v>8860.6933000000008</v>
      </c>
      <c r="P2484">
        <f t="shared" si="503"/>
        <v>-1.4720304335286347E-2</v>
      </c>
      <c r="Q2484" t="str">
        <f t="shared" si="497"/>
        <v>2019-12</v>
      </c>
      <c r="S2484">
        <v>9615.9</v>
      </c>
      <c r="T2484">
        <f t="shared" si="504"/>
        <v>-6.7059044343284451E-3</v>
      </c>
      <c r="U2484" t="str">
        <f t="shared" si="498"/>
        <v>2019-12</v>
      </c>
      <c r="W2484">
        <v>23630.77</v>
      </c>
      <c r="X2484">
        <f t="shared" si="505"/>
        <v>4.4961928575185574E-3</v>
      </c>
      <c r="Y2484">
        <f t="shared" si="506"/>
        <v>4.5063158986532502E-3</v>
      </c>
      <c r="Z2484" t="str">
        <f t="shared" si="499"/>
        <v>2019-12</v>
      </c>
    </row>
    <row r="2485" spans="1:26" x14ac:dyDescent="0.35">
      <c r="A2485" s="1">
        <v>43817</v>
      </c>
      <c r="C2485">
        <v>3739</v>
      </c>
      <c r="D2485">
        <f t="shared" si="500"/>
        <v>-1.6781845344817933E-3</v>
      </c>
      <c r="E2485" t="str">
        <f t="shared" si="494"/>
        <v>2019-12</v>
      </c>
      <c r="G2485">
        <v>5959.6</v>
      </c>
      <c r="H2485">
        <f t="shared" si="501"/>
        <v>-1.4520629051018572E-3</v>
      </c>
      <c r="I2485" t="str">
        <f t="shared" si="495"/>
        <v>2019-12</v>
      </c>
      <c r="K2485">
        <v>13222.16</v>
      </c>
      <c r="L2485">
        <f t="shared" si="502"/>
        <v>-4.9543688493790608E-3</v>
      </c>
      <c r="M2485" t="str">
        <f t="shared" si="496"/>
        <v>2019-12</v>
      </c>
      <c r="O2485">
        <v>8873.50533</v>
      </c>
      <c r="P2485">
        <f t="shared" si="503"/>
        <v>1.4448955372952839E-3</v>
      </c>
      <c r="Q2485" t="str">
        <f t="shared" si="497"/>
        <v>2019-12</v>
      </c>
      <c r="S2485">
        <v>9621.7999999999993</v>
      </c>
      <c r="T2485">
        <f t="shared" si="504"/>
        <v>6.1337895746175553E-4</v>
      </c>
      <c r="U2485" t="str">
        <f t="shared" si="498"/>
        <v>2019-12</v>
      </c>
      <c r="W2485">
        <v>23628.87</v>
      </c>
      <c r="X2485">
        <f t="shared" si="505"/>
        <v>-8.0406875762237349E-5</v>
      </c>
      <c r="Y2485">
        <f t="shared" si="506"/>
        <v>-8.0403643216088813E-5</v>
      </c>
      <c r="Z2485" t="str">
        <f t="shared" si="499"/>
        <v>2019-12</v>
      </c>
    </row>
    <row r="2486" spans="1:26" x14ac:dyDescent="0.35">
      <c r="A2486" s="1">
        <v>43818</v>
      </c>
      <c r="C2486">
        <v>3739.17</v>
      </c>
      <c r="D2486">
        <f t="shared" si="500"/>
        <v>4.5465668747675942E-5</v>
      </c>
      <c r="E2486" t="str">
        <f t="shared" si="494"/>
        <v>2019-12</v>
      </c>
      <c r="G2486">
        <v>5972.28</v>
      </c>
      <c r="H2486">
        <f t="shared" si="501"/>
        <v>2.125399312313315E-3</v>
      </c>
      <c r="I2486" t="str">
        <f t="shared" si="495"/>
        <v>2019-12</v>
      </c>
      <c r="K2486">
        <v>13211.96</v>
      </c>
      <c r="L2486">
        <f t="shared" si="502"/>
        <v>-7.7172990863574203E-4</v>
      </c>
      <c r="M2486" t="str">
        <f t="shared" si="496"/>
        <v>2019-12</v>
      </c>
      <c r="O2486">
        <v>8876.8574399999998</v>
      </c>
      <c r="P2486">
        <f t="shared" si="503"/>
        <v>3.7769482047025389E-4</v>
      </c>
      <c r="Q2486" t="str">
        <f t="shared" si="497"/>
        <v>2019-12</v>
      </c>
      <c r="S2486">
        <v>9617.2000000000007</v>
      </c>
      <c r="T2486">
        <f t="shared" si="504"/>
        <v>-4.7819534151005315E-4</v>
      </c>
      <c r="U2486" t="str">
        <f t="shared" si="498"/>
        <v>2019-12</v>
      </c>
      <c r="W2486">
        <v>23708.94</v>
      </c>
      <c r="X2486">
        <f t="shared" si="505"/>
        <v>3.3829227148947406E-3</v>
      </c>
      <c r="Y2486">
        <f t="shared" si="506"/>
        <v>3.3886512558577585E-3</v>
      </c>
      <c r="Z2486" t="str">
        <f t="shared" si="499"/>
        <v>2019-12</v>
      </c>
    </row>
    <row r="2487" spans="1:26" x14ac:dyDescent="0.35">
      <c r="A2487" s="1">
        <v>43819</v>
      </c>
      <c r="C2487">
        <v>3776.56</v>
      </c>
      <c r="D2487">
        <f t="shared" si="500"/>
        <v>9.9498807081636852E-3</v>
      </c>
      <c r="E2487" t="str">
        <f t="shared" si="494"/>
        <v>2019-12</v>
      </c>
      <c r="G2487">
        <v>6021.53</v>
      </c>
      <c r="H2487">
        <f t="shared" si="501"/>
        <v>8.2126158099314981E-3</v>
      </c>
      <c r="I2487" t="str">
        <f t="shared" si="495"/>
        <v>2019-12</v>
      </c>
      <c r="K2487">
        <v>13318.9</v>
      </c>
      <c r="L2487">
        <f t="shared" si="502"/>
        <v>8.061599146282631E-3</v>
      </c>
      <c r="M2487" t="str">
        <f t="shared" si="496"/>
        <v>2019-12</v>
      </c>
      <c r="O2487">
        <v>8919.6379099999995</v>
      </c>
      <c r="P2487">
        <f t="shared" si="503"/>
        <v>4.8077502409969147E-3</v>
      </c>
      <c r="Q2487" t="str">
        <f t="shared" si="497"/>
        <v>2019-12</v>
      </c>
      <c r="S2487">
        <v>9675.5</v>
      </c>
      <c r="T2487">
        <f t="shared" si="504"/>
        <v>6.0437551467775706E-3</v>
      </c>
      <c r="U2487" t="str">
        <f t="shared" si="498"/>
        <v>2019-12</v>
      </c>
      <c r="W2487">
        <v>24003.64</v>
      </c>
      <c r="X2487">
        <f t="shared" si="505"/>
        <v>1.2353293311190667E-2</v>
      </c>
      <c r="Y2487">
        <f t="shared" si="506"/>
        <v>1.2429910405104603E-2</v>
      </c>
      <c r="Z2487" t="str">
        <f t="shared" si="499"/>
        <v>2019-12</v>
      </c>
    </row>
    <row r="2488" spans="1:26" x14ac:dyDescent="0.35">
      <c r="A2488" s="1">
        <v>43822</v>
      </c>
      <c r="C2488">
        <v>3776.66</v>
      </c>
      <c r="D2488">
        <f t="shared" si="500"/>
        <v>2.6478773292857516E-5</v>
      </c>
      <c r="E2488" t="str">
        <f t="shared" si="494"/>
        <v>2019-12</v>
      </c>
      <c r="G2488">
        <v>6029.37</v>
      </c>
      <c r="H2488">
        <f t="shared" si="501"/>
        <v>1.3011478156957164E-3</v>
      </c>
      <c r="I2488" t="str">
        <f t="shared" si="495"/>
        <v>2019-12</v>
      </c>
      <c r="K2488">
        <v>13300.98</v>
      </c>
      <c r="L2488">
        <f t="shared" si="502"/>
        <v>-1.3463623958450139E-3</v>
      </c>
      <c r="M2488" t="str">
        <f t="shared" si="496"/>
        <v>2019-12</v>
      </c>
      <c r="O2488">
        <v>8890.4078100000006</v>
      </c>
      <c r="P2488">
        <f t="shared" si="503"/>
        <v>-3.2824313540974312E-3</v>
      </c>
      <c r="Q2488" t="str">
        <f t="shared" si="497"/>
        <v>2019-12</v>
      </c>
      <c r="S2488">
        <v>9659.6</v>
      </c>
      <c r="T2488">
        <f t="shared" si="504"/>
        <v>-1.6446776674625429E-3</v>
      </c>
      <c r="U2488" t="str">
        <f t="shared" si="498"/>
        <v>2019-12</v>
      </c>
      <c r="W2488">
        <v>23898.42</v>
      </c>
      <c r="X2488">
        <f t="shared" si="505"/>
        <v>-4.3931375488143092E-3</v>
      </c>
      <c r="Y2488">
        <f t="shared" si="506"/>
        <v>-4.3835018355549895E-3</v>
      </c>
      <c r="Z2488" t="str">
        <f t="shared" si="499"/>
        <v>2019-12</v>
      </c>
    </row>
    <row r="2489" spans="1:26" x14ac:dyDescent="0.35">
      <c r="A2489" s="1">
        <v>43826</v>
      </c>
      <c r="C2489">
        <v>3782.27</v>
      </c>
      <c r="D2489">
        <f t="shared" si="500"/>
        <v>1.4843373414022483E-3</v>
      </c>
      <c r="E2489" t="str">
        <f t="shared" si="494"/>
        <v>2019-12</v>
      </c>
      <c r="G2489">
        <v>6037.39</v>
      </c>
      <c r="H2489">
        <f t="shared" si="501"/>
        <v>1.3292716820290612E-3</v>
      </c>
      <c r="I2489" t="str">
        <f t="shared" si="495"/>
        <v>2019-12</v>
      </c>
      <c r="K2489">
        <v>13337.11</v>
      </c>
      <c r="L2489">
        <f t="shared" si="502"/>
        <v>2.712658614432731E-3</v>
      </c>
      <c r="M2489" t="str">
        <f t="shared" si="496"/>
        <v>2019-12</v>
      </c>
      <c r="O2489">
        <v>8949.8100599999998</v>
      </c>
      <c r="P2489">
        <f t="shared" si="503"/>
        <v>6.6593883506250546E-3</v>
      </c>
      <c r="Q2489" t="str">
        <f t="shared" si="497"/>
        <v>2019-12</v>
      </c>
      <c r="S2489">
        <v>9700.5</v>
      </c>
      <c r="T2489">
        <f t="shared" si="504"/>
        <v>4.2251910730176706E-3</v>
      </c>
      <c r="U2489" t="str">
        <f t="shared" si="498"/>
        <v>2019-12</v>
      </c>
      <c r="W2489">
        <v>23757.599999999999</v>
      </c>
      <c r="X2489">
        <f t="shared" si="505"/>
        <v>-5.9098686740016353E-3</v>
      </c>
      <c r="Y2489">
        <f t="shared" si="506"/>
        <v>-5.8924397512471419E-3</v>
      </c>
      <c r="Z2489" t="str">
        <f t="shared" si="499"/>
        <v>2019-12</v>
      </c>
    </row>
    <row r="2490" spans="1:26" x14ac:dyDescent="0.35">
      <c r="A2490" s="1">
        <v>43829</v>
      </c>
      <c r="C2490">
        <v>3748.47</v>
      </c>
      <c r="D2490">
        <f t="shared" si="500"/>
        <v>-8.9766017589099304E-3</v>
      </c>
      <c r="E2490" t="str">
        <f t="shared" si="494"/>
        <v>2019-12</v>
      </c>
      <c r="G2490">
        <v>5982.22</v>
      </c>
      <c r="H2490">
        <f t="shared" si="501"/>
        <v>-9.180062821858204E-3</v>
      </c>
      <c r="I2490" t="str">
        <f t="shared" si="495"/>
        <v>2019-12</v>
      </c>
      <c r="K2490">
        <v>13249.01</v>
      </c>
      <c r="L2490">
        <f t="shared" si="502"/>
        <v>-6.6275426784724225E-3</v>
      </c>
      <c r="M2490" t="str">
        <f t="shared" si="496"/>
        <v>2019-12</v>
      </c>
      <c r="O2490">
        <v>8878.2899799999996</v>
      </c>
      <c r="P2490">
        <f t="shared" si="503"/>
        <v>-8.0233410748877573E-3</v>
      </c>
      <c r="Q2490" t="str">
        <f t="shared" si="497"/>
        <v>2019-12</v>
      </c>
      <c r="S2490">
        <v>9612.6</v>
      </c>
      <c r="T2490">
        <f t="shared" si="504"/>
        <v>-9.1026926740334912E-3</v>
      </c>
      <c r="U2490" t="str">
        <f t="shared" si="498"/>
        <v>2019-12</v>
      </c>
      <c r="W2490">
        <v>23506.37</v>
      </c>
      <c r="X2490">
        <f t="shared" si="505"/>
        <v>-1.0631031042832178E-2</v>
      </c>
      <c r="Y2490">
        <f t="shared" si="506"/>
        <v>-1.0574721352325133E-2</v>
      </c>
      <c r="Z2490" t="str">
        <f t="shared" si="499"/>
        <v>2019-12</v>
      </c>
    </row>
    <row r="2491" spans="1:26" x14ac:dyDescent="0.35">
      <c r="A2491" s="1">
        <v>43832</v>
      </c>
      <c r="C2491">
        <v>3793.24</v>
      </c>
      <c r="D2491">
        <f t="shared" si="500"/>
        <v>1.1872778430284345E-2</v>
      </c>
      <c r="E2491" t="str">
        <f t="shared" si="494"/>
        <v>2020-01</v>
      </c>
      <c r="G2491">
        <v>6041.5</v>
      </c>
      <c r="H2491">
        <f t="shared" si="501"/>
        <v>9.8605889560669999E-3</v>
      </c>
      <c r="I2491" t="str">
        <f t="shared" si="495"/>
        <v>2020-01</v>
      </c>
      <c r="K2491">
        <v>13385.93</v>
      </c>
      <c r="L2491">
        <f t="shared" si="502"/>
        <v>1.0281322661040187E-2</v>
      </c>
      <c r="M2491" t="str">
        <f t="shared" si="496"/>
        <v>2020-01</v>
      </c>
      <c r="O2491">
        <v>8942.0304799999994</v>
      </c>
      <c r="P2491">
        <f t="shared" si="503"/>
        <v>7.1537177990843243E-3</v>
      </c>
      <c r="Q2491" t="str">
        <f t="shared" si="497"/>
        <v>2020-01</v>
      </c>
      <c r="S2491">
        <v>9691.2000000000007</v>
      </c>
      <c r="T2491">
        <f t="shared" si="504"/>
        <v>8.1435193459592596E-3</v>
      </c>
      <c r="U2491" t="str">
        <f t="shared" si="498"/>
        <v>2020-01</v>
      </c>
      <c r="W2491">
        <v>23836.26</v>
      </c>
      <c r="X2491">
        <f t="shared" si="505"/>
        <v>1.3936502446952057E-2</v>
      </c>
      <c r="Y2491">
        <f t="shared" si="506"/>
        <v>1.4034068212148428E-2</v>
      </c>
      <c r="Z2491" t="str">
        <f t="shared" si="499"/>
        <v>2020-01</v>
      </c>
    </row>
    <row r="2492" spans="1:26" x14ac:dyDescent="0.35">
      <c r="A2492" s="1">
        <v>43833</v>
      </c>
      <c r="C2492">
        <v>3773.37</v>
      </c>
      <c r="D2492">
        <f t="shared" si="500"/>
        <v>-5.2520337837557137E-3</v>
      </c>
      <c r="E2492" t="str">
        <f t="shared" si="494"/>
        <v>2020-01</v>
      </c>
      <c r="G2492">
        <v>6044.16</v>
      </c>
      <c r="H2492">
        <f t="shared" si="501"/>
        <v>4.4019110962114434E-4</v>
      </c>
      <c r="I2492" t="str">
        <f t="shared" si="495"/>
        <v>2020-01</v>
      </c>
      <c r="K2492">
        <v>13219.14</v>
      </c>
      <c r="L2492">
        <f t="shared" si="502"/>
        <v>-1.2538375963256991E-2</v>
      </c>
      <c r="M2492" t="str">
        <f t="shared" si="496"/>
        <v>2020-01</v>
      </c>
      <c r="O2492">
        <v>8929.6429599999992</v>
      </c>
      <c r="P2492">
        <f t="shared" si="503"/>
        <v>-1.3862744331587656E-3</v>
      </c>
      <c r="Q2492" t="str">
        <f t="shared" si="497"/>
        <v>2020-01</v>
      </c>
      <c r="S2492">
        <v>9646.6</v>
      </c>
      <c r="T2492">
        <f t="shared" si="504"/>
        <v>-4.6127355832321498E-3</v>
      </c>
      <c r="U2492" t="str">
        <f t="shared" si="498"/>
        <v>2020-01</v>
      </c>
      <c r="W2492">
        <v>23702.35</v>
      </c>
      <c r="X2492">
        <f t="shared" si="505"/>
        <v>-5.6337513521040649E-3</v>
      </c>
      <c r="Y2492">
        <f t="shared" si="506"/>
        <v>-5.6179115347793594E-3</v>
      </c>
      <c r="Z2492" t="str">
        <f t="shared" si="499"/>
        <v>2020-01</v>
      </c>
    </row>
    <row r="2493" spans="1:26" x14ac:dyDescent="0.35">
      <c r="A2493" s="1">
        <v>43836</v>
      </c>
      <c r="C2493">
        <v>3752.52</v>
      </c>
      <c r="D2493">
        <f t="shared" si="500"/>
        <v>-5.5408870827787261E-3</v>
      </c>
      <c r="E2493" t="str">
        <f t="shared" si="494"/>
        <v>2020-01</v>
      </c>
      <c r="G2493">
        <v>6013.59</v>
      </c>
      <c r="H2493">
        <f t="shared" si="501"/>
        <v>-5.0706086125399865E-3</v>
      </c>
      <c r="I2493" t="str">
        <f t="shared" si="495"/>
        <v>2020-01</v>
      </c>
      <c r="K2493">
        <v>13126.99</v>
      </c>
      <c r="L2493">
        <f t="shared" si="502"/>
        <v>-6.995363325129257E-3</v>
      </c>
      <c r="M2493" t="str">
        <f t="shared" si="496"/>
        <v>2020-01</v>
      </c>
      <c r="O2493">
        <v>8904.9999499999994</v>
      </c>
      <c r="P2493">
        <f t="shared" si="503"/>
        <v>-2.7635008794342809E-3</v>
      </c>
      <c r="Q2493" t="str">
        <f t="shared" si="497"/>
        <v>2020-01</v>
      </c>
      <c r="S2493">
        <v>9600.9</v>
      </c>
      <c r="T2493">
        <f t="shared" si="504"/>
        <v>-4.7486775817796164E-3</v>
      </c>
      <c r="U2493" t="str">
        <f t="shared" si="498"/>
        <v>2020-01</v>
      </c>
      <c r="W2493">
        <v>23581.29</v>
      </c>
      <c r="X2493">
        <f t="shared" si="505"/>
        <v>-5.1205983516202803E-3</v>
      </c>
      <c r="Y2493">
        <f t="shared" si="506"/>
        <v>-5.1075104367287495E-3</v>
      </c>
      <c r="Z2493" t="str">
        <f t="shared" si="499"/>
        <v>2020-01</v>
      </c>
    </row>
    <row r="2494" spans="1:26" x14ac:dyDescent="0.35">
      <c r="A2494" s="1">
        <v>43837</v>
      </c>
      <c r="C2494">
        <v>3759.25</v>
      </c>
      <c r="D2494">
        <f t="shared" si="500"/>
        <v>1.7918551288692069E-3</v>
      </c>
      <c r="E2494" t="str">
        <f t="shared" si="494"/>
        <v>2020-01</v>
      </c>
      <c r="G2494">
        <v>6012.35</v>
      </c>
      <c r="H2494">
        <f t="shared" si="501"/>
        <v>-2.0622088658251285E-4</v>
      </c>
      <c r="I2494" t="str">
        <f t="shared" si="495"/>
        <v>2020-01</v>
      </c>
      <c r="K2494">
        <v>13226.83</v>
      </c>
      <c r="L2494">
        <f t="shared" si="502"/>
        <v>7.5769264303388352E-3</v>
      </c>
      <c r="M2494" t="str">
        <f t="shared" si="496"/>
        <v>2020-01</v>
      </c>
      <c r="O2494">
        <v>8923.0461099999993</v>
      </c>
      <c r="P2494">
        <f t="shared" si="503"/>
        <v>2.0244693224085704E-3</v>
      </c>
      <c r="Q2494" t="str">
        <f t="shared" si="497"/>
        <v>2020-01</v>
      </c>
      <c r="S2494">
        <v>9579.7999999999993</v>
      </c>
      <c r="T2494">
        <f t="shared" si="504"/>
        <v>-2.2001291414111379E-3</v>
      </c>
      <c r="U2494" t="str">
        <f t="shared" si="498"/>
        <v>2020-01</v>
      </c>
      <c r="W2494">
        <v>23723.38</v>
      </c>
      <c r="X2494">
        <f t="shared" si="505"/>
        <v>6.0074587701476473E-3</v>
      </c>
      <c r="Y2494">
        <f t="shared" si="506"/>
        <v>6.0255397393442064E-3</v>
      </c>
      <c r="Z2494" t="str">
        <f t="shared" si="499"/>
        <v>2020-01</v>
      </c>
    </row>
    <row r="2495" spans="1:26" x14ac:dyDescent="0.35">
      <c r="A2495" s="1">
        <v>43838</v>
      </c>
      <c r="C2495">
        <v>3772.56</v>
      </c>
      <c r="D2495">
        <f t="shared" si="500"/>
        <v>3.5343466856626441E-3</v>
      </c>
      <c r="E2495" t="str">
        <f t="shared" si="494"/>
        <v>2020-01</v>
      </c>
      <c r="G2495">
        <v>6031</v>
      </c>
      <c r="H2495">
        <f t="shared" si="501"/>
        <v>3.0971473731252284E-3</v>
      </c>
      <c r="I2495" t="str">
        <f t="shared" si="495"/>
        <v>2020-01</v>
      </c>
      <c r="K2495">
        <v>13320.18</v>
      </c>
      <c r="L2495">
        <f t="shared" si="502"/>
        <v>7.0328360718106804E-3</v>
      </c>
      <c r="M2495" t="str">
        <f t="shared" si="496"/>
        <v>2020-01</v>
      </c>
      <c r="O2495">
        <v>8928.7153799999996</v>
      </c>
      <c r="P2495">
        <f t="shared" si="503"/>
        <v>6.3514966786507943E-4</v>
      </c>
      <c r="Q2495" t="str">
        <f t="shared" si="497"/>
        <v>2020-01</v>
      </c>
      <c r="S2495">
        <v>9591.4</v>
      </c>
      <c r="T2495">
        <f t="shared" si="504"/>
        <v>1.210148703852142E-3</v>
      </c>
      <c r="U2495" t="str">
        <f t="shared" si="498"/>
        <v>2020-01</v>
      </c>
      <c r="W2495">
        <v>23832.02</v>
      </c>
      <c r="X2495">
        <f t="shared" si="505"/>
        <v>4.5689948563037491E-3</v>
      </c>
      <c r="Y2495">
        <f t="shared" si="506"/>
        <v>4.5794486283151645E-3</v>
      </c>
      <c r="Z2495" t="str">
        <f t="shared" si="499"/>
        <v>2020-01</v>
      </c>
    </row>
    <row r="2496" spans="1:26" x14ac:dyDescent="0.35">
      <c r="A2496" s="1">
        <v>43839</v>
      </c>
      <c r="C2496">
        <v>3795.88</v>
      </c>
      <c r="D2496">
        <f t="shared" si="500"/>
        <v>6.1624519186565183E-3</v>
      </c>
      <c r="E2496" t="str">
        <f t="shared" si="494"/>
        <v>2020-01</v>
      </c>
      <c r="G2496">
        <v>6042.55</v>
      </c>
      <c r="H2496">
        <f t="shared" si="501"/>
        <v>1.913273813144213E-3</v>
      </c>
      <c r="I2496" t="str">
        <f t="shared" si="495"/>
        <v>2020-01</v>
      </c>
      <c r="K2496">
        <v>13495.06</v>
      </c>
      <c r="L2496">
        <f t="shared" si="502"/>
        <v>1.3043514016779167E-2</v>
      </c>
      <c r="M2496" t="str">
        <f t="shared" si="496"/>
        <v>2020-01</v>
      </c>
      <c r="O2496">
        <v>8936.4291099999991</v>
      </c>
      <c r="P2496">
        <f t="shared" si="503"/>
        <v>8.6355086393780458E-4</v>
      </c>
      <c r="Q2496" t="str">
        <f t="shared" si="497"/>
        <v>2020-01</v>
      </c>
      <c r="S2496">
        <v>9581.7999999999993</v>
      </c>
      <c r="T2496">
        <f t="shared" si="504"/>
        <v>-1.0013978680907473E-3</v>
      </c>
      <c r="U2496" t="str">
        <f t="shared" si="498"/>
        <v>2020-01</v>
      </c>
      <c r="W2496">
        <v>24016.7</v>
      </c>
      <c r="X2496">
        <f t="shared" si="505"/>
        <v>7.719367083093444E-3</v>
      </c>
      <c r="Y2496">
        <f t="shared" si="506"/>
        <v>7.7492382097698927E-3</v>
      </c>
      <c r="Z2496" t="str">
        <f t="shared" si="499"/>
        <v>2020-01</v>
      </c>
    </row>
    <row r="2497" spans="1:26" x14ac:dyDescent="0.35">
      <c r="A2497" s="1">
        <v>43840</v>
      </c>
      <c r="C2497">
        <v>3789.52</v>
      </c>
      <c r="D2497">
        <f t="shared" si="500"/>
        <v>-1.6769060274652269E-3</v>
      </c>
      <c r="E2497" t="str">
        <f t="shared" si="494"/>
        <v>2020-01</v>
      </c>
      <c r="G2497">
        <v>6037.11</v>
      </c>
      <c r="H2497">
        <f t="shared" si="501"/>
        <v>-9.0068766302394722E-4</v>
      </c>
      <c r="I2497" t="str">
        <f t="shared" si="495"/>
        <v>2020-01</v>
      </c>
      <c r="K2497">
        <v>13483.31</v>
      </c>
      <c r="L2497">
        <f t="shared" si="502"/>
        <v>-8.7106824785579916E-4</v>
      </c>
      <c r="M2497" t="str">
        <f t="shared" si="496"/>
        <v>2020-01</v>
      </c>
      <c r="O2497">
        <v>8911.3915400000005</v>
      </c>
      <c r="P2497">
        <f t="shared" si="503"/>
        <v>-2.805674363860569E-3</v>
      </c>
      <c r="Q2497" t="str">
        <f t="shared" si="497"/>
        <v>2020-01</v>
      </c>
      <c r="S2497">
        <v>9573.6</v>
      </c>
      <c r="T2497">
        <f t="shared" si="504"/>
        <v>-8.5615549671460298E-4</v>
      </c>
      <c r="U2497" t="str">
        <f t="shared" si="498"/>
        <v>2020-01</v>
      </c>
      <c r="W2497">
        <v>24021.4</v>
      </c>
      <c r="X2497">
        <f t="shared" si="505"/>
        <v>1.9567801453426547E-4</v>
      </c>
      <c r="Y2497">
        <f t="shared" si="506"/>
        <v>1.9569716072569203E-4</v>
      </c>
      <c r="Z2497" t="str">
        <f t="shared" si="499"/>
        <v>2020-01</v>
      </c>
    </row>
    <row r="2498" spans="1:26" x14ac:dyDescent="0.35">
      <c r="A2498" s="1">
        <v>43843</v>
      </c>
      <c r="C2498">
        <v>3779.68</v>
      </c>
      <c r="D2498">
        <f t="shared" si="500"/>
        <v>-2.6000120338347519E-3</v>
      </c>
      <c r="E2498" t="str">
        <f t="shared" si="494"/>
        <v>2020-01</v>
      </c>
      <c r="G2498">
        <v>6036.14</v>
      </c>
      <c r="H2498">
        <f t="shared" si="501"/>
        <v>-1.6068581402459549E-4</v>
      </c>
      <c r="I2498" t="str">
        <f t="shared" si="495"/>
        <v>2020-01</v>
      </c>
      <c r="K2498">
        <v>13451.52</v>
      </c>
      <c r="L2498">
        <f t="shared" si="502"/>
        <v>-2.3605134883879601E-3</v>
      </c>
      <c r="M2498" t="str">
        <f t="shared" si="496"/>
        <v>2020-01</v>
      </c>
      <c r="O2498">
        <v>8886.0603200000005</v>
      </c>
      <c r="P2498">
        <f t="shared" si="503"/>
        <v>-2.8466139203085997E-3</v>
      </c>
      <c r="Q2498" t="str">
        <f t="shared" si="497"/>
        <v>2020-01</v>
      </c>
      <c r="S2498">
        <v>9543.9</v>
      </c>
      <c r="T2498">
        <f t="shared" si="504"/>
        <v>-3.1071033235383549E-3</v>
      </c>
      <c r="U2498" t="str">
        <f t="shared" si="498"/>
        <v>2020-01</v>
      </c>
      <c r="W2498">
        <v>23896.59</v>
      </c>
      <c r="X2498">
        <f t="shared" si="505"/>
        <v>-5.2093287822963094E-3</v>
      </c>
      <c r="Y2498">
        <f t="shared" si="506"/>
        <v>-5.1957837594811835E-3</v>
      </c>
      <c r="Z2498" t="str">
        <f t="shared" si="499"/>
        <v>2020-01</v>
      </c>
    </row>
    <row r="2499" spans="1:26" x14ac:dyDescent="0.35">
      <c r="A2499" s="1">
        <v>43844</v>
      </c>
      <c r="C2499">
        <v>3774.88</v>
      </c>
      <c r="D2499">
        <f t="shared" si="500"/>
        <v>-1.2707558470454858E-3</v>
      </c>
      <c r="E2499" t="str">
        <f t="shared" si="494"/>
        <v>2020-01</v>
      </c>
      <c r="G2499">
        <v>6040.89</v>
      </c>
      <c r="H2499">
        <f t="shared" si="501"/>
        <v>7.8661728006454998E-4</v>
      </c>
      <c r="I2499" t="str">
        <f t="shared" si="495"/>
        <v>2020-01</v>
      </c>
      <c r="K2499">
        <v>13456.49</v>
      </c>
      <c r="L2499">
        <f t="shared" si="502"/>
        <v>3.6940673476164245E-4</v>
      </c>
      <c r="M2499" t="str">
        <f t="shared" si="496"/>
        <v>2020-01</v>
      </c>
      <c r="O2499">
        <v>8917.2798199999997</v>
      </c>
      <c r="P2499">
        <f t="shared" si="503"/>
        <v>3.5071544726803265E-3</v>
      </c>
      <c r="Q2499" t="str">
        <f t="shared" si="497"/>
        <v>2020-01</v>
      </c>
      <c r="S2499">
        <v>9528.2999999999993</v>
      </c>
      <c r="T2499">
        <f t="shared" si="504"/>
        <v>-1.6358892502148382E-3</v>
      </c>
      <c r="U2499" t="str">
        <f t="shared" si="498"/>
        <v>2020-01</v>
      </c>
      <c r="W2499">
        <v>23928.21</v>
      </c>
      <c r="X2499">
        <f t="shared" si="505"/>
        <v>1.3223266843739357E-3</v>
      </c>
      <c r="Y2499">
        <f t="shared" si="506"/>
        <v>1.3232013437900127E-3</v>
      </c>
      <c r="Z2499" t="str">
        <f t="shared" si="499"/>
        <v>2020-01</v>
      </c>
    </row>
    <row r="2500" spans="1:26" x14ac:dyDescent="0.35">
      <c r="A2500" s="1">
        <v>43845</v>
      </c>
      <c r="C2500">
        <v>3768.96</v>
      </c>
      <c r="D2500">
        <f t="shared" si="500"/>
        <v>-1.5694927822519141E-3</v>
      </c>
      <c r="E2500" t="str">
        <f t="shared" ref="E2500:E2563" si="507">_xlfn.CONCAT(YEAR(A2500),"-",TEXT(MONTH(A2500),"00"))</f>
        <v>2020-01</v>
      </c>
      <c r="G2500">
        <v>6032.61</v>
      </c>
      <c r="H2500">
        <f t="shared" si="501"/>
        <v>-1.3715991714228172E-3</v>
      </c>
      <c r="I2500" t="str">
        <f t="shared" ref="I2500:I2563" si="508">_xlfn.CONCAT(YEAR(A2500),"-",TEXT(MONTH(A2500),"00"))</f>
        <v>2020-01</v>
      </c>
      <c r="K2500">
        <v>13432.3</v>
      </c>
      <c r="L2500">
        <f t="shared" si="502"/>
        <v>-1.7992633008740884E-3</v>
      </c>
      <c r="M2500" t="str">
        <f t="shared" ref="M2500:M2563" si="509">_xlfn.CONCAT(YEAR(A2500),"-",TEXT(MONTH(A2500),"00"))</f>
        <v>2020-01</v>
      </c>
      <c r="O2500">
        <v>8927.1027400000003</v>
      </c>
      <c r="P2500">
        <f t="shared" si="503"/>
        <v>1.1009538670410839E-3</v>
      </c>
      <c r="Q2500" t="str">
        <f t="shared" ref="Q2500:Q2563" si="510">_xlfn.CONCAT(YEAR(A2500),"-",TEXT(MONTH(A2500),"00"))</f>
        <v>2020-01</v>
      </c>
      <c r="S2500">
        <v>9511.7000000000007</v>
      </c>
      <c r="T2500">
        <f t="shared" si="504"/>
        <v>-1.7436979207981851E-3</v>
      </c>
      <c r="U2500" t="str">
        <f t="shared" ref="U2500:U2563" si="511">_xlfn.CONCAT(YEAR(A2500),"-",TEXT(MONTH(A2500),"00"))</f>
        <v>2020-01</v>
      </c>
      <c r="W2500">
        <v>23763.86</v>
      </c>
      <c r="X2500">
        <f t="shared" si="505"/>
        <v>-6.892158406077601E-3</v>
      </c>
      <c r="Y2500">
        <f t="shared" si="506"/>
        <v>-6.8684619534849682E-3</v>
      </c>
      <c r="Z2500" t="str">
        <f t="shared" ref="Z2500:Z2563" si="512">_xlfn.CONCAT(YEAR(A2500),"-",TEXT(MONTH(A2500),"00"))</f>
        <v>2020-01</v>
      </c>
    </row>
    <row r="2501" spans="1:26" x14ac:dyDescent="0.35">
      <c r="A2501" s="1">
        <v>43846</v>
      </c>
      <c r="C2501">
        <v>3774.14</v>
      </c>
      <c r="D2501">
        <f t="shared" ref="D2501:D2564" si="513">LN(C2501/C2500)</f>
        <v>1.3734408437565094E-3</v>
      </c>
      <c r="E2501" t="str">
        <f t="shared" si="507"/>
        <v>2020-01</v>
      </c>
      <c r="G2501">
        <v>6039.03</v>
      </c>
      <c r="H2501">
        <f t="shared" ref="H2501:H2564" si="514">LN(G2501/G2500)</f>
        <v>1.0636501097237227E-3</v>
      </c>
      <c r="I2501" t="str">
        <f t="shared" si="508"/>
        <v>2020-01</v>
      </c>
      <c r="K2501">
        <v>13429.43</v>
      </c>
      <c r="L2501">
        <f t="shared" ref="L2501:L2564" si="515">LN(K2501/K2500)</f>
        <v>-2.1368690779933244E-4</v>
      </c>
      <c r="M2501" t="str">
        <f t="shared" si="509"/>
        <v>2020-01</v>
      </c>
      <c r="O2501">
        <v>8934.9488899999997</v>
      </c>
      <c r="P2501">
        <f t="shared" ref="P2501:P2564" si="516">LN(O2501/O2500)</f>
        <v>8.7852735701043731E-4</v>
      </c>
      <c r="Q2501" t="str">
        <f t="shared" si="510"/>
        <v>2020-01</v>
      </c>
      <c r="S2501">
        <v>9572.5</v>
      </c>
      <c r="T2501">
        <f t="shared" ref="T2501:T2564" si="517">LN(S2501/S2500)</f>
        <v>6.3717845866945117E-3</v>
      </c>
      <c r="U2501" t="str">
        <f t="shared" si="511"/>
        <v>2020-01</v>
      </c>
      <c r="W2501">
        <v>23940.41</v>
      </c>
      <c r="X2501">
        <f t="shared" ref="X2501:X2564" si="518">LN(W2501/W2500)</f>
        <v>7.4018869198369443E-3</v>
      </c>
      <c r="Y2501">
        <f t="shared" ref="Y2501:Y2564" si="519">(W2501-W2500)/W2500</f>
        <v>7.4293485990911939E-3</v>
      </c>
      <c r="Z2501" t="str">
        <f t="shared" si="512"/>
        <v>2020-01</v>
      </c>
    </row>
    <row r="2502" spans="1:26" x14ac:dyDescent="0.35">
      <c r="A2502" s="1">
        <v>43847</v>
      </c>
      <c r="C2502">
        <v>3808.26</v>
      </c>
      <c r="D2502">
        <f t="shared" si="513"/>
        <v>8.9998497314830155E-3</v>
      </c>
      <c r="E2502" t="str">
        <f t="shared" si="507"/>
        <v>2020-01</v>
      </c>
      <c r="G2502">
        <v>6100.72</v>
      </c>
      <c r="H2502">
        <f t="shared" si="514"/>
        <v>1.0163393977518802E-2</v>
      </c>
      <c r="I2502" t="str">
        <f t="shared" si="508"/>
        <v>2020-01</v>
      </c>
      <c r="K2502">
        <v>13526.13</v>
      </c>
      <c r="L2502">
        <f t="shared" si="515"/>
        <v>7.1748028848137467E-3</v>
      </c>
      <c r="M2502" t="str">
        <f t="shared" si="509"/>
        <v>2020-01</v>
      </c>
      <c r="O2502">
        <v>9012.1241900000005</v>
      </c>
      <c r="P2502">
        <f t="shared" si="516"/>
        <v>8.6003745963407555E-3</v>
      </c>
      <c r="Q2502" t="str">
        <f t="shared" si="510"/>
        <v>2020-01</v>
      </c>
      <c r="S2502">
        <v>9681.2999999999993</v>
      </c>
      <c r="T2502">
        <f t="shared" si="517"/>
        <v>1.1301785422729501E-2</v>
      </c>
      <c r="U2502" t="str">
        <f t="shared" si="511"/>
        <v>2020-01</v>
      </c>
      <c r="W2502">
        <v>24141.07</v>
      </c>
      <c r="X2502">
        <f t="shared" si="518"/>
        <v>8.3467133273526697E-3</v>
      </c>
      <c r="Y2502">
        <f t="shared" si="519"/>
        <v>8.3816442575544801E-3</v>
      </c>
      <c r="Z2502" t="str">
        <f t="shared" si="512"/>
        <v>2020-01</v>
      </c>
    </row>
    <row r="2503" spans="1:26" x14ac:dyDescent="0.35">
      <c r="A2503" s="1">
        <v>43850</v>
      </c>
      <c r="C2503">
        <v>3799.03</v>
      </c>
      <c r="D2503">
        <f t="shared" si="513"/>
        <v>-2.4266209199935861E-3</v>
      </c>
      <c r="E2503" t="str">
        <f t="shared" si="507"/>
        <v>2020-01</v>
      </c>
      <c r="G2503">
        <v>6078.54</v>
      </c>
      <c r="H2503">
        <f t="shared" si="514"/>
        <v>-3.6422614379052879E-3</v>
      </c>
      <c r="I2503" t="str">
        <f t="shared" si="508"/>
        <v>2020-01</v>
      </c>
      <c r="K2503">
        <v>13548.94</v>
      </c>
      <c r="L2503">
        <f t="shared" si="515"/>
        <v>1.6849452575039511E-3</v>
      </c>
      <c r="M2503" t="str">
        <f t="shared" si="509"/>
        <v>2020-01</v>
      </c>
      <c r="O2503">
        <v>8974.0815600000005</v>
      </c>
      <c r="P2503">
        <f t="shared" si="516"/>
        <v>-4.2302069996001555E-3</v>
      </c>
      <c r="Q2503" t="str">
        <f t="shared" si="510"/>
        <v>2020-01</v>
      </c>
      <c r="S2503">
        <v>9658.7999999999993</v>
      </c>
      <c r="T2503">
        <f t="shared" si="517"/>
        <v>-2.3267728864906499E-3</v>
      </c>
      <c r="U2503" t="str">
        <f t="shared" si="511"/>
        <v>2020-01</v>
      </c>
      <c r="W2503">
        <v>24002.45</v>
      </c>
      <c r="X2503">
        <f t="shared" si="518"/>
        <v>-5.7586309881040021E-3</v>
      </c>
      <c r="Y2503">
        <f t="shared" si="519"/>
        <v>-5.7420818546981963E-3</v>
      </c>
      <c r="Z2503" t="str">
        <f t="shared" si="512"/>
        <v>2020-01</v>
      </c>
    </row>
    <row r="2504" spans="1:26" x14ac:dyDescent="0.35">
      <c r="A2504" s="1">
        <v>43851</v>
      </c>
      <c r="C2504">
        <v>3789.12</v>
      </c>
      <c r="D2504">
        <f t="shared" si="513"/>
        <v>-2.6119688288053287E-3</v>
      </c>
      <c r="E2504" t="str">
        <f t="shared" si="507"/>
        <v>2020-01</v>
      </c>
      <c r="G2504">
        <v>6045.99</v>
      </c>
      <c r="H2504">
        <f t="shared" si="514"/>
        <v>-5.3692931931322817E-3</v>
      </c>
      <c r="I2504" t="str">
        <f t="shared" si="508"/>
        <v>2020-01</v>
      </c>
      <c r="K2504">
        <v>13555.87</v>
      </c>
      <c r="L2504">
        <f t="shared" si="515"/>
        <v>5.1134836591756948E-4</v>
      </c>
      <c r="M2504" t="str">
        <f t="shared" si="509"/>
        <v>2020-01</v>
      </c>
      <c r="O2504">
        <v>8951.4237499999999</v>
      </c>
      <c r="P2504">
        <f t="shared" si="516"/>
        <v>-2.5279981428591174E-3</v>
      </c>
      <c r="Q2504" t="str">
        <f t="shared" si="510"/>
        <v>2020-01</v>
      </c>
      <c r="S2504">
        <v>9611.2999999999993</v>
      </c>
      <c r="T2504">
        <f t="shared" si="517"/>
        <v>-4.9299273178675896E-3</v>
      </c>
      <c r="U2504" t="str">
        <f t="shared" si="511"/>
        <v>2020-01</v>
      </c>
      <c r="W2504">
        <v>23845.279999999999</v>
      </c>
      <c r="X2504">
        <f t="shared" si="518"/>
        <v>-6.5696142862155986E-3</v>
      </c>
      <c r="Y2504">
        <f t="shared" si="519"/>
        <v>-6.5480815500085152E-3</v>
      </c>
      <c r="Z2504" t="str">
        <f t="shared" si="512"/>
        <v>2020-01</v>
      </c>
    </row>
    <row r="2505" spans="1:26" x14ac:dyDescent="0.35">
      <c r="A2505" s="1">
        <v>43852</v>
      </c>
      <c r="C2505">
        <v>3769.79</v>
      </c>
      <c r="D2505">
        <f t="shared" si="513"/>
        <v>-5.1145051697725381E-3</v>
      </c>
      <c r="E2505" t="str">
        <f t="shared" si="507"/>
        <v>2020-01</v>
      </c>
      <c r="G2505">
        <v>6010.98</v>
      </c>
      <c r="H2505">
        <f t="shared" si="514"/>
        <v>-5.8074455517076748E-3</v>
      </c>
      <c r="I2505" t="str">
        <f t="shared" si="508"/>
        <v>2020-01</v>
      </c>
      <c r="K2505">
        <v>13515.75</v>
      </c>
      <c r="L2505">
        <f t="shared" si="515"/>
        <v>-2.9639917649558404E-3</v>
      </c>
      <c r="M2505" t="str">
        <f t="shared" si="509"/>
        <v>2020-01</v>
      </c>
      <c r="O2505">
        <v>8967.3225399999992</v>
      </c>
      <c r="P2505">
        <f t="shared" si="516"/>
        <v>1.7745431421151657E-3</v>
      </c>
      <c r="Q2505" t="str">
        <f t="shared" si="510"/>
        <v>2020-01</v>
      </c>
      <c r="S2505">
        <v>9573.7000000000007</v>
      </c>
      <c r="T2505">
        <f t="shared" si="517"/>
        <v>-3.9197339735736348E-3</v>
      </c>
      <c r="U2505" t="str">
        <f t="shared" si="511"/>
        <v>2020-01</v>
      </c>
      <c r="W2505">
        <v>23706.29</v>
      </c>
      <c r="X2505">
        <f t="shared" si="518"/>
        <v>-5.8458804125208564E-3</v>
      </c>
      <c r="Y2505">
        <f t="shared" si="519"/>
        <v>-5.8288265015130026E-3</v>
      </c>
      <c r="Z2505" t="str">
        <f t="shared" si="512"/>
        <v>2020-01</v>
      </c>
    </row>
    <row r="2506" spans="1:26" x14ac:dyDescent="0.35">
      <c r="A2506" s="1">
        <v>43853</v>
      </c>
      <c r="C2506">
        <v>3736.85</v>
      </c>
      <c r="D2506">
        <f t="shared" si="513"/>
        <v>-8.7762864419827519E-3</v>
      </c>
      <c r="E2506" t="str">
        <f t="shared" si="507"/>
        <v>2020-01</v>
      </c>
      <c r="G2506">
        <v>5971.79</v>
      </c>
      <c r="H2506">
        <f t="shared" si="514"/>
        <v>-6.5410818585410393E-3</v>
      </c>
      <c r="I2506" t="str">
        <f t="shared" si="508"/>
        <v>2020-01</v>
      </c>
      <c r="K2506">
        <v>13388.42</v>
      </c>
      <c r="L2506">
        <f t="shared" si="515"/>
        <v>-9.4655178499914311E-3</v>
      </c>
      <c r="M2506" t="str">
        <f t="shared" si="509"/>
        <v>2020-01</v>
      </c>
      <c r="O2506">
        <v>8906.4839100000008</v>
      </c>
      <c r="P2506">
        <f t="shared" si="516"/>
        <v>-6.8076002865829132E-3</v>
      </c>
      <c r="Q2506" t="str">
        <f t="shared" si="510"/>
        <v>2020-01</v>
      </c>
      <c r="S2506">
        <v>9518.5</v>
      </c>
      <c r="T2506">
        <f t="shared" si="517"/>
        <v>-5.7824822504037561E-3</v>
      </c>
      <c r="U2506" t="str">
        <f t="shared" si="511"/>
        <v>2020-01</v>
      </c>
      <c r="W2506">
        <v>23707.05</v>
      </c>
      <c r="X2506">
        <f t="shared" si="518"/>
        <v>3.2058488183333273E-5</v>
      </c>
      <c r="Y2506">
        <f t="shared" si="519"/>
        <v>3.2059002062254331E-5</v>
      </c>
      <c r="Z2506" t="str">
        <f t="shared" si="512"/>
        <v>2020-01</v>
      </c>
    </row>
    <row r="2507" spans="1:26" x14ac:dyDescent="0.35">
      <c r="A2507" s="1">
        <v>43854</v>
      </c>
      <c r="C2507">
        <v>3779.16</v>
      </c>
      <c r="D2507">
        <f t="shared" si="513"/>
        <v>1.1258752165557814E-2</v>
      </c>
      <c r="E2507" t="str">
        <f t="shared" si="507"/>
        <v>2020-01</v>
      </c>
      <c r="G2507">
        <v>6024.26</v>
      </c>
      <c r="H2507">
        <f t="shared" si="514"/>
        <v>8.7479352972244361E-3</v>
      </c>
      <c r="I2507" t="str">
        <f t="shared" si="508"/>
        <v>2020-01</v>
      </c>
      <c r="K2507">
        <v>13576.68</v>
      </c>
      <c r="L2507">
        <f t="shared" si="515"/>
        <v>1.3963460834460787E-2</v>
      </c>
      <c r="M2507" t="str">
        <f t="shared" si="509"/>
        <v>2020-01</v>
      </c>
      <c r="O2507">
        <v>8997.64509</v>
      </c>
      <c r="P2507">
        <f t="shared" si="516"/>
        <v>1.0183345728484788E-2</v>
      </c>
      <c r="Q2507" t="str">
        <f t="shared" si="510"/>
        <v>2020-01</v>
      </c>
      <c r="S2507">
        <v>9562</v>
      </c>
      <c r="T2507">
        <f t="shared" si="517"/>
        <v>4.5596368402053382E-3</v>
      </c>
      <c r="U2507" t="str">
        <f t="shared" si="511"/>
        <v>2020-01</v>
      </c>
      <c r="W2507">
        <v>23969.13</v>
      </c>
      <c r="X2507">
        <f t="shared" si="518"/>
        <v>1.0994280157811677E-2</v>
      </c>
      <c r="Y2507">
        <f t="shared" si="519"/>
        <v>1.1054939353483532E-2</v>
      </c>
      <c r="Z2507" t="str">
        <f t="shared" si="512"/>
        <v>2020-01</v>
      </c>
    </row>
    <row r="2508" spans="1:26" x14ac:dyDescent="0.35">
      <c r="A2508" s="1">
        <v>43857</v>
      </c>
      <c r="C2508">
        <v>3677.84</v>
      </c>
      <c r="D2508">
        <f t="shared" si="513"/>
        <v>-2.7176139381571592E-2</v>
      </c>
      <c r="E2508" t="str">
        <f t="shared" si="507"/>
        <v>2020-01</v>
      </c>
      <c r="G2508">
        <v>5863.02</v>
      </c>
      <c r="H2508">
        <f t="shared" si="514"/>
        <v>-2.7129821057584373E-2</v>
      </c>
      <c r="I2508" t="str">
        <f t="shared" si="508"/>
        <v>2020-01</v>
      </c>
      <c r="K2508">
        <v>13204.77</v>
      </c>
      <c r="L2508">
        <f t="shared" si="515"/>
        <v>-2.777548711624727E-2</v>
      </c>
      <c r="M2508" t="str">
        <f t="shared" si="509"/>
        <v>2020-01</v>
      </c>
      <c r="O2508">
        <v>8786.7951799999992</v>
      </c>
      <c r="P2508">
        <f t="shared" si="516"/>
        <v>-2.3712839623829349E-2</v>
      </c>
      <c r="Q2508" t="str">
        <f t="shared" si="510"/>
        <v>2020-01</v>
      </c>
      <c r="S2508">
        <v>9366.2999999999993</v>
      </c>
      <c r="T2508">
        <f t="shared" si="517"/>
        <v>-2.0678769206015687E-2</v>
      </c>
      <c r="U2508" t="str">
        <f t="shared" si="511"/>
        <v>2020-01</v>
      </c>
      <c r="W2508">
        <v>23416.13</v>
      </c>
      <c r="X2508">
        <f t="shared" si="518"/>
        <v>-2.3341651284734175E-2</v>
      </c>
      <c r="Y2508">
        <f t="shared" si="519"/>
        <v>-2.3071342180546392E-2</v>
      </c>
      <c r="Z2508" t="str">
        <f t="shared" si="512"/>
        <v>2020-01</v>
      </c>
    </row>
    <row r="2509" spans="1:26" x14ac:dyDescent="0.35">
      <c r="A2509" s="1">
        <v>43858</v>
      </c>
      <c r="C2509">
        <v>3719.22</v>
      </c>
      <c r="D2509">
        <f t="shared" si="513"/>
        <v>1.1188345547630938E-2</v>
      </c>
      <c r="E2509" t="str">
        <f t="shared" si="507"/>
        <v>2020-01</v>
      </c>
      <c r="G2509">
        <v>5925.82</v>
      </c>
      <c r="H2509">
        <f t="shared" si="514"/>
        <v>1.0654244870554722E-2</v>
      </c>
      <c r="I2509" t="str">
        <f t="shared" si="508"/>
        <v>2020-01</v>
      </c>
      <c r="K2509">
        <v>13323.69</v>
      </c>
      <c r="L2509">
        <f t="shared" si="515"/>
        <v>8.9655258217934269E-3</v>
      </c>
      <c r="M2509" t="str">
        <f t="shared" si="509"/>
        <v>2020-01</v>
      </c>
      <c r="O2509">
        <v>8832.9084700000003</v>
      </c>
      <c r="P2509">
        <f t="shared" si="516"/>
        <v>5.2342986238394741E-3</v>
      </c>
      <c r="Q2509" t="str">
        <f t="shared" si="510"/>
        <v>2020-01</v>
      </c>
      <c r="S2509">
        <v>9484.2000000000007</v>
      </c>
      <c r="T2509">
        <f t="shared" si="517"/>
        <v>1.2509115131371795E-2</v>
      </c>
      <c r="U2509" t="str">
        <f t="shared" si="511"/>
        <v>2020-01</v>
      </c>
      <c r="W2509">
        <v>24027.63</v>
      </c>
      <c r="X2509">
        <f t="shared" si="518"/>
        <v>2.5779317034184509E-2</v>
      </c>
      <c r="Y2509">
        <f t="shared" si="519"/>
        <v>2.6114477499057272E-2</v>
      </c>
      <c r="Z2509" t="str">
        <f t="shared" si="512"/>
        <v>2020-01</v>
      </c>
    </row>
    <row r="2510" spans="1:26" x14ac:dyDescent="0.35">
      <c r="A2510" s="1">
        <v>43859</v>
      </c>
      <c r="C2510">
        <v>3736.36</v>
      </c>
      <c r="D2510">
        <f t="shared" si="513"/>
        <v>4.5979065870182228E-3</v>
      </c>
      <c r="E2510" t="str">
        <f t="shared" si="507"/>
        <v>2020-01</v>
      </c>
      <c r="G2510">
        <v>5954.89</v>
      </c>
      <c r="H2510">
        <f t="shared" si="514"/>
        <v>4.8936566945420876E-3</v>
      </c>
      <c r="I2510" t="str">
        <f t="shared" si="508"/>
        <v>2020-01</v>
      </c>
      <c r="K2510">
        <v>13345</v>
      </c>
      <c r="L2510">
        <f t="shared" si="515"/>
        <v>1.5981290821189271E-3</v>
      </c>
      <c r="M2510" t="str">
        <f t="shared" si="509"/>
        <v>2020-01</v>
      </c>
      <c r="O2510">
        <v>8848.3610000000008</v>
      </c>
      <c r="P2510">
        <f t="shared" si="516"/>
        <v>1.7478986970215062E-3</v>
      </c>
      <c r="Q2510" t="str">
        <f t="shared" si="510"/>
        <v>2020-01</v>
      </c>
      <c r="S2510">
        <v>9546.7000000000007</v>
      </c>
      <c r="T2510">
        <f t="shared" si="517"/>
        <v>6.568288909083432E-3</v>
      </c>
      <c r="U2510" t="str">
        <f t="shared" si="511"/>
        <v>2020-01</v>
      </c>
      <c r="W2510">
        <v>24164.73</v>
      </c>
      <c r="X2510">
        <f t="shared" si="518"/>
        <v>5.6897138824303188E-3</v>
      </c>
      <c r="Y2510">
        <f t="shared" si="519"/>
        <v>5.705931046882216E-3</v>
      </c>
      <c r="Z2510" t="str">
        <f t="shared" si="512"/>
        <v>2020-01</v>
      </c>
    </row>
    <row r="2511" spans="1:26" x14ac:dyDescent="0.35">
      <c r="A2511" s="1">
        <v>43860</v>
      </c>
      <c r="C2511">
        <v>3690.78</v>
      </c>
      <c r="D2511">
        <f t="shared" si="513"/>
        <v>-1.2274057639129242E-2</v>
      </c>
      <c r="E2511" t="str">
        <f t="shared" si="507"/>
        <v>2020-01</v>
      </c>
      <c r="G2511">
        <v>5871.77</v>
      </c>
      <c r="H2511">
        <f t="shared" si="514"/>
        <v>-1.4056609156518218E-2</v>
      </c>
      <c r="I2511" t="str">
        <f t="shared" si="508"/>
        <v>2020-01</v>
      </c>
      <c r="K2511">
        <v>13157.12</v>
      </c>
      <c r="L2511">
        <f t="shared" si="515"/>
        <v>-1.417872589417672E-2</v>
      </c>
      <c r="M2511" t="str">
        <f t="shared" si="509"/>
        <v>2020-01</v>
      </c>
      <c r="O2511">
        <v>8757.6341900000007</v>
      </c>
      <c r="P2511">
        <f t="shared" si="516"/>
        <v>-1.0306445290280401E-2</v>
      </c>
      <c r="Q2511" t="str">
        <f t="shared" si="510"/>
        <v>2020-01</v>
      </c>
      <c r="S2511">
        <v>9477.9</v>
      </c>
      <c r="T2511">
        <f t="shared" si="517"/>
        <v>-7.2327722977174663E-3</v>
      </c>
      <c r="U2511" t="str">
        <f t="shared" si="511"/>
        <v>2020-01</v>
      </c>
      <c r="W2511">
        <v>23781.1</v>
      </c>
      <c r="X2511">
        <f t="shared" si="518"/>
        <v>-1.6002984498346917E-2</v>
      </c>
      <c r="Y2511">
        <f t="shared" si="519"/>
        <v>-1.5875617066691869E-2</v>
      </c>
      <c r="Z2511" t="str">
        <f t="shared" si="512"/>
        <v>2020-01</v>
      </c>
    </row>
    <row r="2512" spans="1:26" x14ac:dyDescent="0.35">
      <c r="A2512" s="1">
        <v>43861</v>
      </c>
      <c r="C2512">
        <v>3640.91</v>
      </c>
      <c r="D2512">
        <f t="shared" si="513"/>
        <v>-1.3604167424349221E-2</v>
      </c>
      <c r="E2512" t="str">
        <f t="shared" si="507"/>
        <v>2020-01</v>
      </c>
      <c r="G2512">
        <v>5806.34</v>
      </c>
      <c r="H2512">
        <f t="shared" si="514"/>
        <v>-1.1205697609669298E-2</v>
      </c>
      <c r="I2512" t="str">
        <f t="shared" si="508"/>
        <v>2020-01</v>
      </c>
      <c r="K2512">
        <v>12981.97</v>
      </c>
      <c r="L2512">
        <f t="shared" si="515"/>
        <v>-1.3401585245708472E-2</v>
      </c>
      <c r="M2512" t="str">
        <f t="shared" si="509"/>
        <v>2020-01</v>
      </c>
      <c r="O2512">
        <v>8675.1049299999995</v>
      </c>
      <c r="P2512">
        <f t="shared" si="516"/>
        <v>-9.4683774012215699E-3</v>
      </c>
      <c r="Q2512" t="str">
        <f t="shared" si="510"/>
        <v>2020-01</v>
      </c>
      <c r="S2512">
        <v>9367.9</v>
      </c>
      <c r="T2512">
        <f t="shared" si="517"/>
        <v>-1.1673821139254255E-2</v>
      </c>
      <c r="U2512" t="str">
        <f t="shared" si="511"/>
        <v>2020-01</v>
      </c>
      <c r="W2512">
        <v>23237.03</v>
      </c>
      <c r="X2512">
        <f t="shared" si="518"/>
        <v>-2.314402063682508E-2</v>
      </c>
      <c r="Y2512">
        <f t="shared" si="519"/>
        <v>-2.2878252057306002E-2</v>
      </c>
      <c r="Z2512" t="str">
        <f t="shared" si="512"/>
        <v>2020-01</v>
      </c>
    </row>
    <row r="2513" spans="1:26" x14ac:dyDescent="0.35">
      <c r="A2513" s="1">
        <v>43864</v>
      </c>
      <c r="C2513">
        <v>3661.27</v>
      </c>
      <c r="D2513">
        <f t="shared" si="513"/>
        <v>5.576431356256622E-3</v>
      </c>
      <c r="E2513" t="str">
        <f t="shared" si="507"/>
        <v>2020-02</v>
      </c>
      <c r="G2513">
        <v>5832.51</v>
      </c>
      <c r="H2513">
        <f t="shared" si="514"/>
        <v>4.4970154445328368E-3</v>
      </c>
      <c r="I2513" t="str">
        <f t="shared" si="508"/>
        <v>2020-02</v>
      </c>
      <c r="K2513">
        <v>13045.19</v>
      </c>
      <c r="L2513">
        <f t="shared" si="515"/>
        <v>4.8580117334418565E-3</v>
      </c>
      <c r="M2513" t="str">
        <f t="shared" si="509"/>
        <v>2020-02</v>
      </c>
      <c r="O2513">
        <v>8615.4861700000001</v>
      </c>
      <c r="P2513">
        <f t="shared" si="516"/>
        <v>-6.8961200836337513E-3</v>
      </c>
      <c r="Q2513" t="str">
        <f t="shared" si="510"/>
        <v>2020-02</v>
      </c>
      <c r="S2513">
        <v>9404.7000000000007</v>
      </c>
      <c r="T2513">
        <f t="shared" si="517"/>
        <v>3.9206127162297634E-3</v>
      </c>
      <c r="U2513" t="str">
        <f t="shared" si="511"/>
        <v>2020-02</v>
      </c>
      <c r="W2513">
        <v>23460.01</v>
      </c>
      <c r="X2513">
        <f t="shared" si="518"/>
        <v>9.5501425676006793E-3</v>
      </c>
      <c r="Y2513">
        <f t="shared" si="519"/>
        <v>9.5958906968747551E-3</v>
      </c>
      <c r="Z2513" t="str">
        <f t="shared" si="512"/>
        <v>2020-02</v>
      </c>
    </row>
    <row r="2514" spans="1:26" x14ac:dyDescent="0.35">
      <c r="A2514" s="1">
        <v>43865</v>
      </c>
      <c r="C2514">
        <v>3732.28</v>
      </c>
      <c r="D2514">
        <f t="shared" si="513"/>
        <v>1.9209225205899044E-2</v>
      </c>
      <c r="E2514" t="str">
        <f t="shared" si="507"/>
        <v>2020-02</v>
      </c>
      <c r="G2514">
        <v>5935.05</v>
      </c>
      <c r="H2514">
        <f t="shared" si="514"/>
        <v>1.7428013183350698E-2</v>
      </c>
      <c r="I2514" t="str">
        <f t="shared" si="508"/>
        <v>2020-02</v>
      </c>
      <c r="K2514">
        <v>13281.74</v>
      </c>
      <c r="L2514">
        <f t="shared" si="515"/>
        <v>1.7970676111722005E-2</v>
      </c>
      <c r="M2514" t="str">
        <f t="shared" si="509"/>
        <v>2020-02</v>
      </c>
      <c r="O2514">
        <v>8784.6094300000004</v>
      </c>
      <c r="P2514">
        <f t="shared" si="516"/>
        <v>1.943996056088856E-2</v>
      </c>
      <c r="Q2514" t="str">
        <f t="shared" si="510"/>
        <v>2020-02</v>
      </c>
      <c r="S2514">
        <v>9562.9</v>
      </c>
      <c r="T2514">
        <f t="shared" si="517"/>
        <v>1.6681464025551637E-2</v>
      </c>
      <c r="U2514" t="str">
        <f t="shared" si="511"/>
        <v>2020-02</v>
      </c>
      <c r="W2514">
        <v>23844.85</v>
      </c>
      <c r="X2514">
        <f t="shared" si="518"/>
        <v>1.6270991620737817E-2</v>
      </c>
      <c r="Y2514">
        <f t="shared" si="519"/>
        <v>1.6404085079247628E-2</v>
      </c>
      <c r="Z2514" t="str">
        <f t="shared" si="512"/>
        <v>2020-02</v>
      </c>
    </row>
    <row r="2515" spans="1:26" x14ac:dyDescent="0.35">
      <c r="A2515" s="1">
        <v>43866</v>
      </c>
      <c r="C2515">
        <v>3777.84</v>
      </c>
      <c r="D2515">
        <f t="shared" si="513"/>
        <v>1.2133110766526392E-2</v>
      </c>
      <c r="E2515" t="str">
        <f t="shared" si="507"/>
        <v>2020-02</v>
      </c>
      <c r="G2515">
        <v>5985.4</v>
      </c>
      <c r="H2515">
        <f t="shared" si="514"/>
        <v>8.4477179017288795E-3</v>
      </c>
      <c r="I2515" t="str">
        <f t="shared" si="508"/>
        <v>2020-02</v>
      </c>
      <c r="K2515">
        <v>13478.33</v>
      </c>
      <c r="L2515">
        <f t="shared" si="515"/>
        <v>1.4693051007380815E-2</v>
      </c>
      <c r="M2515" t="str">
        <f t="shared" si="509"/>
        <v>2020-02</v>
      </c>
      <c r="O2515">
        <v>8844.8477299999995</v>
      </c>
      <c r="P2515">
        <f t="shared" si="516"/>
        <v>6.8338501733847066E-3</v>
      </c>
      <c r="Q2515" t="str">
        <f t="shared" si="510"/>
        <v>2020-02</v>
      </c>
      <c r="S2515">
        <v>9717.7999999999993</v>
      </c>
      <c r="T2515">
        <f t="shared" si="517"/>
        <v>1.6068227062441057E-2</v>
      </c>
      <c r="U2515" t="str">
        <f t="shared" si="511"/>
        <v>2020-02</v>
      </c>
      <c r="W2515">
        <v>24236.63</v>
      </c>
      <c r="X2515">
        <f t="shared" si="518"/>
        <v>1.6296864029971679E-2</v>
      </c>
      <c r="Y2515">
        <f t="shared" si="519"/>
        <v>1.6430382241867846E-2</v>
      </c>
      <c r="Z2515" t="str">
        <f t="shared" si="512"/>
        <v>2020-02</v>
      </c>
    </row>
    <row r="2516" spans="1:26" x14ac:dyDescent="0.35">
      <c r="A2516" s="1">
        <v>43867</v>
      </c>
      <c r="C2516">
        <v>3805.52</v>
      </c>
      <c r="D2516">
        <f t="shared" si="513"/>
        <v>7.300226530136125E-3</v>
      </c>
      <c r="E2516" t="str">
        <f t="shared" si="507"/>
        <v>2020-02</v>
      </c>
      <c r="G2516">
        <v>6038.18</v>
      </c>
      <c r="H2516">
        <f t="shared" si="514"/>
        <v>8.7794715083573498E-3</v>
      </c>
      <c r="I2516" t="str">
        <f t="shared" si="508"/>
        <v>2020-02</v>
      </c>
      <c r="K2516">
        <v>13574.82</v>
      </c>
      <c r="L2516">
        <f t="shared" si="515"/>
        <v>7.1333954944338843E-3</v>
      </c>
      <c r="M2516" t="str">
        <f t="shared" si="509"/>
        <v>2020-02</v>
      </c>
      <c r="O2516">
        <v>8844.3693700000003</v>
      </c>
      <c r="P2516">
        <f t="shared" si="516"/>
        <v>-5.4084926134524857E-5</v>
      </c>
      <c r="Q2516" t="str">
        <f t="shared" si="510"/>
        <v>2020-02</v>
      </c>
      <c r="S2516">
        <v>9811.2999999999993</v>
      </c>
      <c r="T2516">
        <f t="shared" si="517"/>
        <v>9.575527230896325E-3</v>
      </c>
      <c r="U2516" t="str">
        <f t="shared" si="511"/>
        <v>2020-02</v>
      </c>
      <c r="W2516">
        <v>24490.35</v>
      </c>
      <c r="X2516">
        <f t="shared" si="518"/>
        <v>1.0414037276116226E-2</v>
      </c>
      <c r="Y2516">
        <f t="shared" si="519"/>
        <v>1.0468452090905274E-2</v>
      </c>
      <c r="Z2516" t="str">
        <f t="shared" si="512"/>
        <v>2020-02</v>
      </c>
    </row>
    <row r="2517" spans="1:26" x14ac:dyDescent="0.35">
      <c r="A2517" s="1">
        <v>43868</v>
      </c>
      <c r="C2517">
        <v>3798.49</v>
      </c>
      <c r="D2517">
        <f t="shared" si="513"/>
        <v>-1.8490249231396759E-3</v>
      </c>
      <c r="E2517" t="str">
        <f t="shared" si="507"/>
        <v>2020-02</v>
      </c>
      <c r="G2517">
        <v>6029.75</v>
      </c>
      <c r="H2517">
        <f t="shared" si="514"/>
        <v>-1.3970915262493228E-3</v>
      </c>
      <c r="I2517" t="str">
        <f t="shared" si="508"/>
        <v>2020-02</v>
      </c>
      <c r="K2517">
        <v>13513.81</v>
      </c>
      <c r="L2517">
        <f t="shared" si="515"/>
        <v>-4.5044805262916369E-3</v>
      </c>
      <c r="M2517" t="str">
        <f t="shared" si="509"/>
        <v>2020-02</v>
      </c>
      <c r="O2517">
        <v>8802.6954900000001</v>
      </c>
      <c r="P2517">
        <f t="shared" si="516"/>
        <v>-4.7230468975381764E-3</v>
      </c>
      <c r="Q2517" t="str">
        <f t="shared" si="510"/>
        <v>2020-02</v>
      </c>
      <c r="S2517">
        <v>9811</v>
      </c>
      <c r="T2517">
        <f t="shared" si="517"/>
        <v>-3.0577455244609861E-5</v>
      </c>
      <c r="U2517" t="str">
        <f t="shared" si="511"/>
        <v>2020-02</v>
      </c>
      <c r="W2517">
        <v>24478.32</v>
      </c>
      <c r="X2517">
        <f t="shared" si="518"/>
        <v>-4.9133457134992403E-4</v>
      </c>
      <c r="Y2517">
        <f t="shared" si="519"/>
        <v>-4.9121388628577524E-4</v>
      </c>
      <c r="Z2517" t="str">
        <f t="shared" si="512"/>
        <v>2020-02</v>
      </c>
    </row>
    <row r="2518" spans="1:26" x14ac:dyDescent="0.35">
      <c r="A2518" s="1">
        <v>43871</v>
      </c>
      <c r="C2518">
        <v>3793.18</v>
      </c>
      <c r="D2518">
        <f t="shared" si="513"/>
        <v>-1.3989019190612528E-3</v>
      </c>
      <c r="E2518" t="str">
        <f t="shared" si="507"/>
        <v>2020-02</v>
      </c>
      <c r="G2518">
        <v>6015.67</v>
      </c>
      <c r="H2518">
        <f t="shared" si="514"/>
        <v>-2.3378190901991512E-3</v>
      </c>
      <c r="I2518" t="str">
        <f t="shared" si="508"/>
        <v>2020-02</v>
      </c>
      <c r="K2518">
        <v>13494.03</v>
      </c>
      <c r="L2518">
        <f t="shared" si="515"/>
        <v>-1.4647601242109677E-3</v>
      </c>
      <c r="M2518" t="str">
        <f t="shared" si="509"/>
        <v>2020-02</v>
      </c>
      <c r="O2518">
        <v>8812.0275700000002</v>
      </c>
      <c r="P2518">
        <f t="shared" si="516"/>
        <v>1.0595773593840624E-3</v>
      </c>
      <c r="Q2518" t="str">
        <f t="shared" si="510"/>
        <v>2020-02</v>
      </c>
      <c r="S2518">
        <v>9816</v>
      </c>
      <c r="T2518">
        <f t="shared" si="517"/>
        <v>5.0950222735653443E-4</v>
      </c>
      <c r="U2518" t="str">
        <f t="shared" si="511"/>
        <v>2020-02</v>
      </c>
      <c r="W2518">
        <v>24507.7</v>
      </c>
      <c r="X2518">
        <f t="shared" si="518"/>
        <v>1.1995260493837799E-3</v>
      </c>
      <c r="Y2518">
        <f t="shared" si="519"/>
        <v>1.2002457685004943E-3</v>
      </c>
      <c r="Z2518" t="str">
        <f t="shared" si="512"/>
        <v>2020-02</v>
      </c>
    </row>
    <row r="2519" spans="1:26" x14ac:dyDescent="0.35">
      <c r="A2519" s="1">
        <v>43872</v>
      </c>
      <c r="C2519">
        <v>3825.84</v>
      </c>
      <c r="D2519">
        <f t="shared" si="513"/>
        <v>8.5733335908901413E-3</v>
      </c>
      <c r="E2519" t="str">
        <f t="shared" si="507"/>
        <v>2020-02</v>
      </c>
      <c r="G2519">
        <v>6054.76</v>
      </c>
      <c r="H2519">
        <f t="shared" si="514"/>
        <v>6.4770081359742555E-3</v>
      </c>
      <c r="I2519" t="str">
        <f t="shared" si="508"/>
        <v>2020-02</v>
      </c>
      <c r="K2519">
        <v>13627.84</v>
      </c>
      <c r="L2519">
        <f t="shared" si="515"/>
        <v>9.8673937825272152E-3</v>
      </c>
      <c r="M2519" t="str">
        <f t="shared" si="509"/>
        <v>2020-02</v>
      </c>
      <c r="O2519">
        <v>8892.6247399999993</v>
      </c>
      <c r="P2519">
        <f t="shared" si="516"/>
        <v>9.1046946700402889E-3</v>
      </c>
      <c r="Q2519" t="str">
        <f t="shared" si="510"/>
        <v>2020-02</v>
      </c>
      <c r="S2519">
        <v>9882.6</v>
      </c>
      <c r="T2519">
        <f t="shared" si="517"/>
        <v>6.7619276259378077E-3</v>
      </c>
      <c r="U2519" t="str">
        <f t="shared" si="511"/>
        <v>2020-02</v>
      </c>
      <c r="W2519">
        <v>24688.89</v>
      </c>
      <c r="X2519">
        <f t="shared" si="518"/>
        <v>7.3659909862521765E-3</v>
      </c>
      <c r="Y2519">
        <f t="shared" si="519"/>
        <v>7.3931866311403634E-3</v>
      </c>
      <c r="Z2519" t="str">
        <f t="shared" si="512"/>
        <v>2020-02</v>
      </c>
    </row>
    <row r="2520" spans="1:26" x14ac:dyDescent="0.35">
      <c r="A2520" s="1">
        <v>43873</v>
      </c>
      <c r="C2520">
        <v>3854.43</v>
      </c>
      <c r="D2520">
        <f t="shared" si="513"/>
        <v>7.4450851493938694E-3</v>
      </c>
      <c r="E2520" t="str">
        <f t="shared" si="507"/>
        <v>2020-02</v>
      </c>
      <c r="G2520">
        <v>6104.73</v>
      </c>
      <c r="H2520">
        <f t="shared" si="514"/>
        <v>8.2191409848534607E-3</v>
      </c>
      <c r="I2520" t="str">
        <f t="shared" si="508"/>
        <v>2020-02</v>
      </c>
      <c r="K2520">
        <v>13749.78</v>
      </c>
      <c r="L2520">
        <f t="shared" si="515"/>
        <v>8.9080647889738396E-3</v>
      </c>
      <c r="M2520" t="str">
        <f t="shared" si="509"/>
        <v>2020-02</v>
      </c>
      <c r="O2520">
        <v>8979.7445900000002</v>
      </c>
      <c r="P2520">
        <f t="shared" si="516"/>
        <v>9.7491875226878039E-3</v>
      </c>
      <c r="Q2520" t="str">
        <f t="shared" si="510"/>
        <v>2020-02</v>
      </c>
      <c r="S2520">
        <v>9940.4</v>
      </c>
      <c r="T2520">
        <f t="shared" si="517"/>
        <v>5.8316262729613258E-3</v>
      </c>
      <c r="U2520" t="str">
        <f t="shared" si="511"/>
        <v>2020-02</v>
      </c>
      <c r="W2520">
        <v>24861.279999999999</v>
      </c>
      <c r="X2520">
        <f t="shared" si="518"/>
        <v>6.9582282179506639E-3</v>
      </c>
      <c r="Y2520">
        <f t="shared" si="519"/>
        <v>6.9824929350813031E-3</v>
      </c>
      <c r="Z2520" t="str">
        <f t="shared" si="512"/>
        <v>2020-02</v>
      </c>
    </row>
    <row r="2521" spans="1:26" x14ac:dyDescent="0.35">
      <c r="A2521" s="1">
        <v>43874</v>
      </c>
      <c r="C2521">
        <v>3846.74</v>
      </c>
      <c r="D2521">
        <f t="shared" si="513"/>
        <v>-1.9970998058488139E-3</v>
      </c>
      <c r="E2521" t="str">
        <f t="shared" si="507"/>
        <v>2020-02</v>
      </c>
      <c r="G2521">
        <v>6093.14</v>
      </c>
      <c r="H2521">
        <f t="shared" si="514"/>
        <v>-1.9003323511198333E-3</v>
      </c>
      <c r="I2521" t="str">
        <f t="shared" si="508"/>
        <v>2020-02</v>
      </c>
      <c r="K2521">
        <v>13745.43</v>
      </c>
      <c r="L2521">
        <f t="shared" si="515"/>
        <v>-3.164187533969426E-4</v>
      </c>
      <c r="M2521" t="str">
        <f t="shared" si="509"/>
        <v>2020-02</v>
      </c>
      <c r="O2521">
        <v>8973.7782399999996</v>
      </c>
      <c r="P2521">
        <f t="shared" si="516"/>
        <v>-6.6464395607838576E-4</v>
      </c>
      <c r="Q2521" t="str">
        <f t="shared" si="510"/>
        <v>2020-02</v>
      </c>
      <c r="S2521">
        <v>9909.7999999999993</v>
      </c>
      <c r="T2521">
        <f t="shared" si="517"/>
        <v>-3.0830948039771763E-3</v>
      </c>
      <c r="U2521" t="str">
        <f t="shared" si="511"/>
        <v>2020-02</v>
      </c>
      <c r="W2521">
        <v>24892.15</v>
      </c>
      <c r="X2521">
        <f t="shared" si="518"/>
        <v>1.2409196295149378E-3</v>
      </c>
      <c r="Y2521">
        <f t="shared" si="519"/>
        <v>1.2416898888553856E-3</v>
      </c>
      <c r="Z2521" t="str">
        <f t="shared" si="512"/>
        <v>2020-02</v>
      </c>
    </row>
    <row r="2522" spans="1:26" x14ac:dyDescent="0.35">
      <c r="A2522" s="1">
        <v>43875</v>
      </c>
      <c r="C2522">
        <v>3840.97</v>
      </c>
      <c r="D2522">
        <f t="shared" si="513"/>
        <v>-1.5010974876676362E-3</v>
      </c>
      <c r="E2522" t="str">
        <f t="shared" si="507"/>
        <v>2020-02</v>
      </c>
      <c r="G2522">
        <v>6069.35</v>
      </c>
      <c r="H2522">
        <f t="shared" si="514"/>
        <v>-3.9120328715871022E-3</v>
      </c>
      <c r="I2522" t="str">
        <f t="shared" si="508"/>
        <v>2020-02</v>
      </c>
      <c r="K2522">
        <v>13744.21</v>
      </c>
      <c r="L2522">
        <f t="shared" si="515"/>
        <v>-8.8760711366347065E-5</v>
      </c>
      <c r="M2522" t="str">
        <f t="shared" si="509"/>
        <v>2020-02</v>
      </c>
      <c r="O2522">
        <v>8910.3619999999992</v>
      </c>
      <c r="P2522">
        <f t="shared" si="516"/>
        <v>-7.0919266953070768E-3</v>
      </c>
      <c r="Q2522" t="str">
        <f t="shared" si="510"/>
        <v>2020-02</v>
      </c>
      <c r="S2522">
        <v>9956.7999999999993</v>
      </c>
      <c r="T2522">
        <f t="shared" si="517"/>
        <v>4.7315683292841011E-3</v>
      </c>
      <c r="U2522" t="str">
        <f t="shared" si="511"/>
        <v>2020-02</v>
      </c>
      <c r="W2522">
        <v>24867.01</v>
      </c>
      <c r="X2522">
        <f t="shared" si="518"/>
        <v>-1.0104673044757952E-3</v>
      </c>
      <c r="Y2522">
        <f t="shared" si="519"/>
        <v>-1.0099569543009766E-3</v>
      </c>
      <c r="Z2522" t="str">
        <f t="shared" si="512"/>
        <v>2020-02</v>
      </c>
    </row>
    <row r="2523" spans="1:26" x14ac:dyDescent="0.35">
      <c r="A2523" s="1">
        <v>43878</v>
      </c>
      <c r="C2523">
        <v>3853.27</v>
      </c>
      <c r="D2523">
        <f t="shared" si="513"/>
        <v>3.1971995876488336E-3</v>
      </c>
      <c r="E2523" t="str">
        <f t="shared" si="507"/>
        <v>2020-02</v>
      </c>
      <c r="G2523">
        <v>6085.95</v>
      </c>
      <c r="H2523">
        <f t="shared" si="514"/>
        <v>2.7313205465631517E-3</v>
      </c>
      <c r="I2523" t="str">
        <f t="shared" si="508"/>
        <v>2020-02</v>
      </c>
      <c r="K2523">
        <v>13783.89</v>
      </c>
      <c r="L2523">
        <f t="shared" si="515"/>
        <v>2.8828744069940094E-3</v>
      </c>
      <c r="M2523" t="str">
        <f t="shared" si="509"/>
        <v>2020-02</v>
      </c>
      <c r="O2523">
        <v>8929.2327399999995</v>
      </c>
      <c r="P2523">
        <f t="shared" si="516"/>
        <v>2.1156026595288905E-3</v>
      </c>
      <c r="Q2523" t="str">
        <f t="shared" si="510"/>
        <v>2020-02</v>
      </c>
      <c r="S2523">
        <v>10022.200000000001</v>
      </c>
      <c r="T2523">
        <f t="shared" si="517"/>
        <v>6.5468976021838422E-3</v>
      </c>
      <c r="U2523" t="str">
        <f t="shared" si="511"/>
        <v>2020-02</v>
      </c>
      <c r="W2523">
        <v>25120.54</v>
      </c>
      <c r="X2523">
        <f t="shared" si="518"/>
        <v>1.0143812767431908E-2</v>
      </c>
      <c r="Y2523">
        <f t="shared" si="519"/>
        <v>1.0195435639427599E-2</v>
      </c>
      <c r="Z2523" t="str">
        <f t="shared" si="512"/>
        <v>2020-02</v>
      </c>
    </row>
    <row r="2524" spans="1:26" x14ac:dyDescent="0.35">
      <c r="A2524" s="1">
        <v>43879</v>
      </c>
      <c r="C2524">
        <v>3836.54</v>
      </c>
      <c r="D2524">
        <f t="shared" si="513"/>
        <v>-4.3512197039736042E-3</v>
      </c>
      <c r="E2524" t="str">
        <f t="shared" si="507"/>
        <v>2020-02</v>
      </c>
      <c r="G2524">
        <v>6056.82</v>
      </c>
      <c r="H2524">
        <f t="shared" si="514"/>
        <v>-4.7979259890875694E-3</v>
      </c>
      <c r="I2524" t="str">
        <f t="shared" si="508"/>
        <v>2020-02</v>
      </c>
      <c r="K2524">
        <v>13681.19</v>
      </c>
      <c r="L2524">
        <f t="shared" si="515"/>
        <v>-7.4786222115748747E-3</v>
      </c>
      <c r="M2524" t="str">
        <f t="shared" si="509"/>
        <v>2020-02</v>
      </c>
      <c r="O2524">
        <v>8885.1960400000007</v>
      </c>
      <c r="P2524">
        <f t="shared" si="516"/>
        <v>-4.9439463079546655E-3</v>
      </c>
      <c r="Q2524" t="str">
        <f t="shared" si="510"/>
        <v>2020-02</v>
      </c>
      <c r="S2524">
        <v>10005.799999999999</v>
      </c>
      <c r="T2524">
        <f t="shared" si="517"/>
        <v>-1.6377075759455341E-3</v>
      </c>
      <c r="U2524" t="str">
        <f t="shared" si="511"/>
        <v>2020-02</v>
      </c>
      <c r="W2524">
        <v>25223.51</v>
      </c>
      <c r="X2524">
        <f t="shared" si="518"/>
        <v>4.090657926296295E-3</v>
      </c>
      <c r="Y2524">
        <f t="shared" si="519"/>
        <v>4.0990360875999294E-3</v>
      </c>
      <c r="Z2524" t="str">
        <f t="shared" si="512"/>
        <v>2020-02</v>
      </c>
    </row>
    <row r="2525" spans="1:26" x14ac:dyDescent="0.35">
      <c r="A2525" s="1">
        <v>43880</v>
      </c>
      <c r="C2525">
        <v>3865.18</v>
      </c>
      <c r="D2525">
        <f t="shared" si="513"/>
        <v>7.437334002225052E-3</v>
      </c>
      <c r="E2525" t="str">
        <f t="shared" si="507"/>
        <v>2020-02</v>
      </c>
      <c r="G2525">
        <v>6111.24</v>
      </c>
      <c r="H2525">
        <f t="shared" si="514"/>
        <v>8.944788707721989E-3</v>
      </c>
      <c r="I2525" t="str">
        <f t="shared" si="508"/>
        <v>2020-02</v>
      </c>
      <c r="K2525">
        <v>13789</v>
      </c>
      <c r="L2525">
        <f t="shared" si="515"/>
        <v>7.8492761443692775E-3</v>
      </c>
      <c r="M2525" t="str">
        <f t="shared" si="509"/>
        <v>2020-02</v>
      </c>
      <c r="O2525">
        <v>8926.0363600000001</v>
      </c>
      <c r="P2525">
        <f t="shared" si="516"/>
        <v>4.5859141756756849E-3</v>
      </c>
      <c r="Q2525" t="str">
        <f t="shared" si="510"/>
        <v>2020-02</v>
      </c>
      <c r="S2525">
        <v>10083.6</v>
      </c>
      <c r="T2525">
        <f t="shared" si="517"/>
        <v>7.7454168809811706E-3</v>
      </c>
      <c r="U2525" t="str">
        <f t="shared" si="511"/>
        <v>2020-02</v>
      </c>
      <c r="W2525">
        <v>25477.55</v>
      </c>
      <c r="X2525">
        <f t="shared" si="518"/>
        <v>1.0021176124203656E-2</v>
      </c>
      <c r="Y2525">
        <f t="shared" si="519"/>
        <v>1.0071556258427193E-2</v>
      </c>
      <c r="Z2525" t="str">
        <f t="shared" si="512"/>
        <v>2020-02</v>
      </c>
    </row>
    <row r="2526" spans="1:26" x14ac:dyDescent="0.35">
      <c r="A2526" s="1">
        <v>43881</v>
      </c>
      <c r="C2526">
        <v>3822.98</v>
      </c>
      <c r="D2526">
        <f t="shared" si="513"/>
        <v>-1.0978029546141571E-2</v>
      </c>
      <c r="E2526" t="str">
        <f t="shared" si="507"/>
        <v>2020-02</v>
      </c>
      <c r="G2526">
        <v>6062.3</v>
      </c>
      <c r="H2526">
        <f t="shared" si="514"/>
        <v>-8.0404325542241147E-3</v>
      </c>
      <c r="I2526" t="str">
        <f t="shared" si="508"/>
        <v>2020-02</v>
      </c>
      <c r="K2526">
        <v>13664</v>
      </c>
      <c r="L2526">
        <f t="shared" si="515"/>
        <v>-9.1065358133900435E-3</v>
      </c>
      <c r="M2526" t="str">
        <f t="shared" si="509"/>
        <v>2020-02</v>
      </c>
      <c r="O2526">
        <v>8873.2558100000006</v>
      </c>
      <c r="P2526">
        <f t="shared" si="516"/>
        <v>-5.9306520954187621E-3</v>
      </c>
      <c r="Q2526" t="str">
        <f t="shared" si="510"/>
        <v>2020-02</v>
      </c>
      <c r="S2526">
        <v>9931</v>
      </c>
      <c r="T2526">
        <f t="shared" si="517"/>
        <v>-1.5249163818814327E-2</v>
      </c>
      <c r="U2526" t="str">
        <f t="shared" si="511"/>
        <v>2020-02</v>
      </c>
      <c r="W2526">
        <v>25080.16</v>
      </c>
      <c r="X2526">
        <f t="shared" si="518"/>
        <v>-1.5720576905033905E-2</v>
      </c>
      <c r="Y2526">
        <f t="shared" si="519"/>
        <v>-1.5597653620540414E-2</v>
      </c>
      <c r="Z2526" t="str">
        <f t="shared" si="512"/>
        <v>2020-02</v>
      </c>
    </row>
    <row r="2527" spans="1:26" x14ac:dyDescent="0.35">
      <c r="A2527" s="1">
        <v>43882</v>
      </c>
      <c r="C2527">
        <v>3800.38</v>
      </c>
      <c r="D2527">
        <f t="shared" si="513"/>
        <v>-5.9291614743265542E-3</v>
      </c>
      <c r="E2527" t="str">
        <f t="shared" si="507"/>
        <v>2020-02</v>
      </c>
      <c r="G2527">
        <v>6029.72</v>
      </c>
      <c r="H2527">
        <f t="shared" si="514"/>
        <v>-5.3886908619242479E-3</v>
      </c>
      <c r="I2527" t="str">
        <f t="shared" si="508"/>
        <v>2020-02</v>
      </c>
      <c r="K2527">
        <v>13579.33</v>
      </c>
      <c r="L2527">
        <f t="shared" si="515"/>
        <v>-6.2158533934641175E-3</v>
      </c>
      <c r="M2527" t="str">
        <f t="shared" si="509"/>
        <v>2020-02</v>
      </c>
      <c r="O2527">
        <v>8846.7911299999996</v>
      </c>
      <c r="P2527">
        <f t="shared" si="516"/>
        <v>-2.9869785070193475E-3</v>
      </c>
      <c r="Q2527" t="str">
        <f t="shared" si="510"/>
        <v>2020-02</v>
      </c>
      <c r="S2527">
        <v>9886.2000000000007</v>
      </c>
      <c r="T2527">
        <f t="shared" si="517"/>
        <v>-4.5213326119176878E-3</v>
      </c>
      <c r="U2527" t="str">
        <f t="shared" si="511"/>
        <v>2020-02</v>
      </c>
      <c r="W2527">
        <v>24773.15</v>
      </c>
      <c r="X2527">
        <f t="shared" si="518"/>
        <v>-1.231668995017776E-2</v>
      </c>
      <c r="Y2527">
        <f t="shared" si="519"/>
        <v>-1.2241149976714598E-2</v>
      </c>
      <c r="Z2527" t="str">
        <f t="shared" si="512"/>
        <v>2020-02</v>
      </c>
    </row>
    <row r="2528" spans="1:26" x14ac:dyDescent="0.35">
      <c r="A2528" s="1">
        <v>43885</v>
      </c>
      <c r="C2528">
        <v>3647.98</v>
      </c>
      <c r="D2528">
        <f t="shared" si="513"/>
        <v>-4.0927471991757516E-2</v>
      </c>
      <c r="E2528" t="str">
        <f t="shared" si="507"/>
        <v>2020-02</v>
      </c>
      <c r="G2528">
        <v>5791.87</v>
      </c>
      <c r="H2528">
        <f t="shared" si="514"/>
        <v>-4.0245365086637092E-2</v>
      </c>
      <c r="I2528" t="str">
        <f t="shared" si="508"/>
        <v>2020-02</v>
      </c>
      <c r="K2528">
        <v>13035.24</v>
      </c>
      <c r="L2528">
        <f t="shared" si="515"/>
        <v>-4.0892324469004052E-2</v>
      </c>
      <c r="M2528" t="str">
        <f t="shared" si="509"/>
        <v>2020-02</v>
      </c>
      <c r="O2528">
        <v>8516.9634499999993</v>
      </c>
      <c r="P2528">
        <f t="shared" si="516"/>
        <v>-3.7994934356939479E-2</v>
      </c>
      <c r="Q2528" t="str">
        <f t="shared" si="510"/>
        <v>2020-02</v>
      </c>
      <c r="S2528">
        <v>9483.5</v>
      </c>
      <c r="T2528">
        <f t="shared" si="517"/>
        <v>-4.1586398867063716E-2</v>
      </c>
      <c r="U2528" t="str">
        <f t="shared" si="511"/>
        <v>2020-02</v>
      </c>
      <c r="W2528">
        <v>23427.19</v>
      </c>
      <c r="X2528">
        <f t="shared" si="518"/>
        <v>-5.5863091763679165E-2</v>
      </c>
      <c r="Y2528">
        <f t="shared" si="519"/>
        <v>-5.4331403152203202E-2</v>
      </c>
      <c r="Z2528" t="str">
        <f t="shared" si="512"/>
        <v>2020-02</v>
      </c>
    </row>
    <row r="2529" spans="1:26" x14ac:dyDescent="0.35">
      <c r="A2529" s="1">
        <v>43886</v>
      </c>
      <c r="C2529">
        <v>3572.51</v>
      </c>
      <c r="D2529">
        <f t="shared" si="513"/>
        <v>-2.0905159762696121E-2</v>
      </c>
      <c r="E2529" t="str">
        <f t="shared" si="507"/>
        <v>2020-02</v>
      </c>
      <c r="G2529">
        <v>5679.68</v>
      </c>
      <c r="H2529">
        <f t="shared" si="514"/>
        <v>-1.95603169623021E-2</v>
      </c>
      <c r="I2529" t="str">
        <f t="shared" si="508"/>
        <v>2020-02</v>
      </c>
      <c r="K2529">
        <v>12790.49</v>
      </c>
      <c r="L2529">
        <f t="shared" si="515"/>
        <v>-1.8954533146239318E-2</v>
      </c>
      <c r="M2529" t="str">
        <f t="shared" si="509"/>
        <v>2020-02</v>
      </c>
      <c r="O2529">
        <v>8390.7612399999998</v>
      </c>
      <c r="P2529">
        <f t="shared" si="516"/>
        <v>-1.4928626545738526E-2</v>
      </c>
      <c r="Q2529" t="str">
        <f t="shared" si="510"/>
        <v>2020-02</v>
      </c>
      <c r="S2529">
        <v>9250.7999999999993</v>
      </c>
      <c r="T2529">
        <f t="shared" si="517"/>
        <v>-2.4843412171160369E-2</v>
      </c>
      <c r="U2529" t="str">
        <f t="shared" si="511"/>
        <v>2020-02</v>
      </c>
      <c r="W2529">
        <v>23090.44</v>
      </c>
      <c r="X2529">
        <f t="shared" si="518"/>
        <v>-1.4478634562655968E-2</v>
      </c>
      <c r="Y2529">
        <f t="shared" si="519"/>
        <v>-1.4374323168933193E-2</v>
      </c>
      <c r="Z2529" t="str">
        <f t="shared" si="512"/>
        <v>2020-02</v>
      </c>
    </row>
    <row r="2530" spans="1:26" x14ac:dyDescent="0.35">
      <c r="A2530" s="1">
        <v>43887</v>
      </c>
      <c r="C2530">
        <v>3577.68</v>
      </c>
      <c r="D2530">
        <f t="shared" si="513"/>
        <v>1.446115669927586E-3</v>
      </c>
      <c r="E2530" t="str">
        <f t="shared" si="507"/>
        <v>2020-02</v>
      </c>
      <c r="G2530">
        <v>5684.55</v>
      </c>
      <c r="H2530">
        <f t="shared" si="514"/>
        <v>8.5707527885597889E-4</v>
      </c>
      <c r="I2530" t="str">
        <f t="shared" si="508"/>
        <v>2020-02</v>
      </c>
      <c r="K2530">
        <v>12774.88</v>
      </c>
      <c r="L2530">
        <f t="shared" si="515"/>
        <v>-1.2211833382359282E-3</v>
      </c>
      <c r="M2530" t="str">
        <f t="shared" si="509"/>
        <v>2020-02</v>
      </c>
      <c r="O2530">
        <v>8355.9336999999996</v>
      </c>
      <c r="P2530">
        <f t="shared" si="516"/>
        <v>-4.1593389423717226E-3</v>
      </c>
      <c r="Q2530" t="str">
        <f t="shared" si="510"/>
        <v>2020-02</v>
      </c>
      <c r="S2530">
        <v>9316.7999999999993</v>
      </c>
      <c r="T2530">
        <f t="shared" si="517"/>
        <v>7.1091878296387148E-3</v>
      </c>
      <c r="U2530" t="str">
        <f t="shared" si="511"/>
        <v>2020-02</v>
      </c>
      <c r="W2530">
        <v>23422.54</v>
      </c>
      <c r="X2530">
        <f t="shared" si="518"/>
        <v>1.428012754819641E-2</v>
      </c>
      <c r="Y2530">
        <f t="shared" si="519"/>
        <v>1.438257564602503E-2</v>
      </c>
      <c r="Z2530" t="str">
        <f t="shared" si="512"/>
        <v>2020-02</v>
      </c>
    </row>
    <row r="2531" spans="1:26" x14ac:dyDescent="0.35">
      <c r="A2531" s="1">
        <v>43888</v>
      </c>
      <c r="C2531">
        <v>3455.92</v>
      </c>
      <c r="D2531">
        <f t="shared" si="513"/>
        <v>-3.4625843122408878E-2</v>
      </c>
      <c r="E2531" t="str">
        <f t="shared" si="507"/>
        <v>2020-02</v>
      </c>
      <c r="G2531">
        <v>5495.6</v>
      </c>
      <c r="H2531">
        <f t="shared" si="514"/>
        <v>-3.3804196329044418E-2</v>
      </c>
      <c r="I2531" t="str">
        <f t="shared" si="508"/>
        <v>2020-02</v>
      </c>
      <c r="K2531">
        <v>12367.46</v>
      </c>
      <c r="L2531">
        <f t="shared" si="515"/>
        <v>-3.2411912868178502E-2</v>
      </c>
      <c r="M2531" t="str">
        <f t="shared" si="509"/>
        <v>2020-02</v>
      </c>
      <c r="O2531">
        <v>7974.9378500000003</v>
      </c>
      <c r="P2531">
        <f t="shared" si="516"/>
        <v>-4.6668053707366056E-2</v>
      </c>
      <c r="Q2531" t="str">
        <f t="shared" si="510"/>
        <v>2020-02</v>
      </c>
      <c r="S2531">
        <v>8985.9</v>
      </c>
      <c r="T2531">
        <f t="shared" si="517"/>
        <v>-3.6162539936661353E-2</v>
      </c>
      <c r="U2531" t="str">
        <f t="shared" si="511"/>
        <v>2020-02</v>
      </c>
      <c r="W2531">
        <v>22799.37</v>
      </c>
      <c r="X2531">
        <f t="shared" si="518"/>
        <v>-2.6965902601692345E-2</v>
      </c>
      <c r="Y2531">
        <f t="shared" si="519"/>
        <v>-2.6605568823876567E-2</v>
      </c>
      <c r="Z2531" t="str">
        <f t="shared" si="512"/>
        <v>2020-02</v>
      </c>
    </row>
    <row r="2532" spans="1:26" x14ac:dyDescent="0.35">
      <c r="A2532" s="1">
        <v>43889</v>
      </c>
      <c r="C2532">
        <v>3329.49</v>
      </c>
      <c r="D2532">
        <f t="shared" si="513"/>
        <v>-3.726956341568103E-2</v>
      </c>
      <c r="E2532" t="str">
        <f t="shared" si="507"/>
        <v>2020-02</v>
      </c>
      <c r="G2532">
        <v>5309.9</v>
      </c>
      <c r="H2532">
        <f t="shared" si="514"/>
        <v>-3.437476938285422E-2</v>
      </c>
      <c r="I2532" t="str">
        <f t="shared" si="508"/>
        <v>2020-02</v>
      </c>
      <c r="K2532">
        <v>11890.35</v>
      </c>
      <c r="L2532">
        <f t="shared" si="515"/>
        <v>-3.9341683060385366E-2</v>
      </c>
      <c r="M2532" t="str">
        <f t="shared" si="509"/>
        <v>2020-02</v>
      </c>
      <c r="O2532">
        <v>7633.4118900000003</v>
      </c>
      <c r="P2532">
        <f t="shared" si="516"/>
        <v>-4.376894243158852E-2</v>
      </c>
      <c r="Q2532" t="str">
        <f t="shared" si="510"/>
        <v>2020-02</v>
      </c>
      <c r="S2532">
        <v>8723.2000000000007</v>
      </c>
      <c r="T2532">
        <f t="shared" si="517"/>
        <v>-2.9670539084035202E-2</v>
      </c>
      <c r="U2532" t="str">
        <f t="shared" si="511"/>
        <v>2020-02</v>
      </c>
      <c r="W2532">
        <v>21984.21</v>
      </c>
      <c r="X2532">
        <f t="shared" si="518"/>
        <v>-3.6408435603626943E-2</v>
      </c>
      <c r="Y2532">
        <f t="shared" si="519"/>
        <v>-3.5753619507907453E-2</v>
      </c>
      <c r="Z2532" t="str">
        <f t="shared" si="512"/>
        <v>2020-02</v>
      </c>
    </row>
    <row r="2533" spans="1:26" x14ac:dyDescent="0.35">
      <c r="A2533" s="1">
        <v>43892</v>
      </c>
      <c r="C2533">
        <v>3338.83</v>
      </c>
      <c r="D2533">
        <f t="shared" si="513"/>
        <v>2.8013071081866027E-3</v>
      </c>
      <c r="E2533" t="str">
        <f t="shared" si="507"/>
        <v>2020-03</v>
      </c>
      <c r="G2533">
        <v>5333.52</v>
      </c>
      <c r="H2533">
        <f t="shared" si="514"/>
        <v>4.4384302743839367E-3</v>
      </c>
      <c r="I2533" t="str">
        <f t="shared" si="508"/>
        <v>2020-03</v>
      </c>
      <c r="K2533">
        <v>11857.87</v>
      </c>
      <c r="L2533">
        <f t="shared" si="515"/>
        <v>-2.7353646085366947E-3</v>
      </c>
      <c r="M2533" t="str">
        <f t="shared" si="509"/>
        <v>2020-03</v>
      </c>
      <c r="O2533">
        <v>7624.55152</v>
      </c>
      <c r="P2533">
        <f t="shared" si="516"/>
        <v>-1.1614093910006201E-3</v>
      </c>
      <c r="Q2533" t="str">
        <f t="shared" si="510"/>
        <v>2020-03</v>
      </c>
      <c r="S2533">
        <v>8741.5</v>
      </c>
      <c r="T2533">
        <f t="shared" si="517"/>
        <v>2.0956565755447256E-3</v>
      </c>
      <c r="U2533" t="str">
        <f t="shared" si="511"/>
        <v>2020-03</v>
      </c>
      <c r="W2533">
        <v>21655.09</v>
      </c>
      <c r="X2533">
        <f t="shared" si="518"/>
        <v>-1.5083937654062881E-2</v>
      </c>
      <c r="Y2533">
        <f t="shared" si="519"/>
        <v>-1.497074491191628E-2</v>
      </c>
      <c r="Z2533" t="str">
        <f t="shared" si="512"/>
        <v>2020-03</v>
      </c>
    </row>
    <row r="2534" spans="1:26" x14ac:dyDescent="0.35">
      <c r="A2534" s="1">
        <v>43893</v>
      </c>
      <c r="C2534">
        <v>3371.97</v>
      </c>
      <c r="D2534">
        <f t="shared" si="513"/>
        <v>9.8766970846352695E-3</v>
      </c>
      <c r="E2534" t="str">
        <f t="shared" si="507"/>
        <v>2020-03</v>
      </c>
      <c r="G2534">
        <v>5393.17</v>
      </c>
      <c r="H2534">
        <f t="shared" si="514"/>
        <v>1.1121905242864452E-2</v>
      </c>
      <c r="I2534" t="str">
        <f t="shared" si="508"/>
        <v>2020-03</v>
      </c>
      <c r="K2534">
        <v>11985.39</v>
      </c>
      <c r="L2534">
        <f t="shared" si="515"/>
        <v>1.0696625870585947E-2</v>
      </c>
      <c r="M2534" t="str">
        <f t="shared" si="509"/>
        <v>2020-03</v>
      </c>
      <c r="O2534">
        <v>7712.7753599999996</v>
      </c>
      <c r="P2534">
        <f t="shared" si="516"/>
        <v>1.150458795907847E-2</v>
      </c>
      <c r="Q2534" t="str">
        <f t="shared" si="510"/>
        <v>2020-03</v>
      </c>
      <c r="S2534">
        <v>8811.6</v>
      </c>
      <c r="T2534">
        <f t="shared" si="517"/>
        <v>7.9872356078614752E-3</v>
      </c>
      <c r="U2534" t="str">
        <f t="shared" si="511"/>
        <v>2020-03</v>
      </c>
      <c r="W2534">
        <v>21748.2</v>
      </c>
      <c r="X2534">
        <f t="shared" si="518"/>
        <v>4.2904647473210192E-3</v>
      </c>
      <c r="Y2534">
        <f t="shared" si="519"/>
        <v>4.2996819685349073E-3</v>
      </c>
      <c r="Z2534" t="str">
        <f t="shared" si="512"/>
        <v>2020-03</v>
      </c>
    </row>
    <row r="2535" spans="1:26" x14ac:dyDescent="0.35">
      <c r="A2535" s="1">
        <v>43894</v>
      </c>
      <c r="C2535">
        <v>3420.56</v>
      </c>
      <c r="D2535">
        <f t="shared" si="513"/>
        <v>1.4307137057321952E-2</v>
      </c>
      <c r="E2535" t="str">
        <f t="shared" si="507"/>
        <v>2020-03</v>
      </c>
      <c r="G2535">
        <v>5464.89</v>
      </c>
      <c r="H2535">
        <f t="shared" si="514"/>
        <v>1.3210655136047305E-2</v>
      </c>
      <c r="I2535" t="str">
        <f t="shared" si="508"/>
        <v>2020-03</v>
      </c>
      <c r="K2535">
        <v>12127.69</v>
      </c>
      <c r="L2535">
        <f t="shared" si="515"/>
        <v>1.1802859854563951E-2</v>
      </c>
      <c r="M2535" t="str">
        <f t="shared" si="509"/>
        <v>2020-03</v>
      </c>
      <c r="O2535">
        <v>7868.1954999999998</v>
      </c>
      <c r="P2535">
        <f t="shared" si="516"/>
        <v>1.9950656028013519E-2</v>
      </c>
      <c r="Q2535" t="str">
        <f t="shared" si="510"/>
        <v>2020-03</v>
      </c>
      <c r="S2535">
        <v>8910</v>
      </c>
      <c r="T2535">
        <f t="shared" si="517"/>
        <v>1.1105206219289867E-2</v>
      </c>
      <c r="U2535" t="str">
        <f t="shared" si="511"/>
        <v>2020-03</v>
      </c>
      <c r="W2535">
        <v>21946.03</v>
      </c>
      <c r="X2535">
        <f t="shared" si="518"/>
        <v>9.0552620700600772E-3</v>
      </c>
      <c r="Y2535">
        <f t="shared" si="519"/>
        <v>9.0963849881828436E-3</v>
      </c>
      <c r="Z2535" t="str">
        <f t="shared" si="512"/>
        <v>2020-03</v>
      </c>
    </row>
    <row r="2536" spans="1:26" x14ac:dyDescent="0.35">
      <c r="A2536" s="1">
        <v>43895</v>
      </c>
      <c r="C2536">
        <v>3363.58</v>
      </c>
      <c r="D2536">
        <f t="shared" si="513"/>
        <v>-1.6798397411500098E-2</v>
      </c>
      <c r="E2536" t="str">
        <f t="shared" si="507"/>
        <v>2020-03</v>
      </c>
      <c r="G2536">
        <v>5361.1</v>
      </c>
      <c r="H2536">
        <f t="shared" si="514"/>
        <v>-1.9174815430329763E-2</v>
      </c>
      <c r="I2536" t="str">
        <f t="shared" si="508"/>
        <v>2020-03</v>
      </c>
      <c r="K2536">
        <v>11944.72</v>
      </c>
      <c r="L2536">
        <f t="shared" si="515"/>
        <v>-1.5201928154483246E-2</v>
      </c>
      <c r="M2536" t="str">
        <f t="shared" si="509"/>
        <v>2020-03</v>
      </c>
      <c r="O2536">
        <v>7736.8966300000002</v>
      </c>
      <c r="P2536">
        <f t="shared" si="516"/>
        <v>-1.6828092699167411E-2</v>
      </c>
      <c r="Q2536" t="str">
        <f t="shared" si="510"/>
        <v>2020-03</v>
      </c>
      <c r="S2536">
        <v>8683</v>
      </c>
      <c r="T2536">
        <f t="shared" si="517"/>
        <v>-2.5807150404209864E-2</v>
      </c>
      <c r="U2536" t="str">
        <f t="shared" si="511"/>
        <v>2020-03</v>
      </c>
      <c r="W2536">
        <v>21554.880000000001</v>
      </c>
      <c r="X2536">
        <f t="shared" si="518"/>
        <v>-1.7984016529571156E-2</v>
      </c>
      <c r="Y2536">
        <f t="shared" si="519"/>
        <v>-1.7823269174424616E-2</v>
      </c>
      <c r="Z2536" t="str">
        <f t="shared" si="512"/>
        <v>2020-03</v>
      </c>
    </row>
    <row r="2537" spans="1:26" x14ac:dyDescent="0.35">
      <c r="A2537" s="1">
        <v>43896</v>
      </c>
      <c r="C2537">
        <v>3232.07</v>
      </c>
      <c r="D2537">
        <f t="shared" si="513"/>
        <v>-3.9883084108550654E-2</v>
      </c>
      <c r="E2537" t="str">
        <f t="shared" si="507"/>
        <v>2020-03</v>
      </c>
      <c r="G2537">
        <v>5139.1099999999997</v>
      </c>
      <c r="H2537">
        <f t="shared" si="514"/>
        <v>-4.2289265184162005E-2</v>
      </c>
      <c r="I2537" t="str">
        <f t="shared" si="508"/>
        <v>2020-03</v>
      </c>
      <c r="K2537">
        <v>11541.87</v>
      </c>
      <c r="L2537">
        <f t="shared" si="515"/>
        <v>-3.4308046720107413E-2</v>
      </c>
      <c r="M2537" t="str">
        <f t="shared" si="509"/>
        <v>2020-03</v>
      </c>
      <c r="O2537">
        <v>7433.2187199999998</v>
      </c>
      <c r="P2537">
        <f t="shared" si="516"/>
        <v>-4.0041684157417698E-2</v>
      </c>
      <c r="Q2537" t="str">
        <f t="shared" si="510"/>
        <v>2020-03</v>
      </c>
      <c r="S2537">
        <v>8375.6</v>
      </c>
      <c r="T2537">
        <f t="shared" si="517"/>
        <v>-3.6044374142483675E-2</v>
      </c>
      <c r="U2537" t="str">
        <f t="shared" si="511"/>
        <v>2020-03</v>
      </c>
      <c r="W2537">
        <v>20799.89</v>
      </c>
      <c r="X2537">
        <f t="shared" si="518"/>
        <v>-3.5654542798058825E-2</v>
      </c>
      <c r="Y2537">
        <f t="shared" si="519"/>
        <v>-3.5026407013168323E-2</v>
      </c>
      <c r="Z2537" t="str">
        <f t="shared" si="512"/>
        <v>2020-03</v>
      </c>
    </row>
    <row r="2538" spans="1:26" x14ac:dyDescent="0.35">
      <c r="A2538" s="1">
        <v>43899</v>
      </c>
      <c r="C2538">
        <v>2959.07</v>
      </c>
      <c r="D2538">
        <f t="shared" si="513"/>
        <v>-8.824776906113467E-2</v>
      </c>
      <c r="E2538" t="str">
        <f t="shared" si="507"/>
        <v>2020-03</v>
      </c>
      <c r="G2538">
        <v>4707.91</v>
      </c>
      <c r="H2538">
        <f t="shared" si="514"/>
        <v>-8.7635839905917251E-2</v>
      </c>
      <c r="I2538" t="str">
        <f t="shared" si="508"/>
        <v>2020-03</v>
      </c>
      <c r="K2538">
        <v>10625.02</v>
      </c>
      <c r="L2538">
        <f t="shared" si="515"/>
        <v>-8.2769695851079392E-2</v>
      </c>
      <c r="M2538" t="str">
        <f t="shared" si="509"/>
        <v>2020-03</v>
      </c>
      <c r="O2538">
        <v>6828.6546399999997</v>
      </c>
      <c r="P2538">
        <f t="shared" si="516"/>
        <v>-8.4831294703101648E-2</v>
      </c>
      <c r="Q2538" t="str">
        <f t="shared" si="510"/>
        <v>2020-03</v>
      </c>
      <c r="S2538">
        <v>7708.7</v>
      </c>
      <c r="T2538">
        <f t="shared" si="517"/>
        <v>-8.2973155769378582E-2</v>
      </c>
      <c r="U2538" t="str">
        <f t="shared" si="511"/>
        <v>2020-03</v>
      </c>
      <c r="W2538">
        <v>18475.91</v>
      </c>
      <c r="X2538">
        <f t="shared" si="518"/>
        <v>-0.11847997685949413</v>
      </c>
      <c r="Y2538">
        <f t="shared" si="519"/>
        <v>-0.11173039857422321</v>
      </c>
      <c r="Z2538" t="str">
        <f t="shared" si="512"/>
        <v>2020-03</v>
      </c>
    </row>
    <row r="2539" spans="1:26" x14ac:dyDescent="0.35">
      <c r="A2539" s="1">
        <v>43900</v>
      </c>
      <c r="C2539">
        <v>2910.02</v>
      </c>
      <c r="D2539">
        <f t="shared" si="513"/>
        <v>-1.6715075766998839E-2</v>
      </c>
      <c r="E2539" t="str">
        <f t="shared" si="507"/>
        <v>2020-03</v>
      </c>
      <c r="G2539">
        <v>4636.6099999999997</v>
      </c>
      <c r="H2539">
        <f t="shared" si="514"/>
        <v>-1.5260577048565278E-2</v>
      </c>
      <c r="I2539" t="str">
        <f t="shared" si="508"/>
        <v>2020-03</v>
      </c>
      <c r="K2539">
        <v>10475.49</v>
      </c>
      <c r="L2539">
        <f t="shared" si="515"/>
        <v>-1.4173354404547818E-2</v>
      </c>
      <c r="M2539" t="str">
        <f t="shared" si="509"/>
        <v>2020-03</v>
      </c>
      <c r="O2539">
        <v>6808.2302</v>
      </c>
      <c r="P2539">
        <f t="shared" si="516"/>
        <v>-2.9954722815015468E-3</v>
      </c>
      <c r="Q2539" t="str">
        <f t="shared" si="510"/>
        <v>2020-03</v>
      </c>
      <c r="S2539">
        <v>7461.5</v>
      </c>
      <c r="T2539">
        <f t="shared" si="517"/>
        <v>-3.2593094777260204E-2</v>
      </c>
      <c r="U2539" t="str">
        <f t="shared" si="511"/>
        <v>2020-03</v>
      </c>
      <c r="W2539">
        <v>17870.18</v>
      </c>
      <c r="X2539">
        <f t="shared" si="518"/>
        <v>-3.333431950402703E-2</v>
      </c>
      <c r="Y2539">
        <f t="shared" si="519"/>
        <v>-3.2784853357696569E-2</v>
      </c>
      <c r="Z2539" t="str">
        <f t="shared" si="512"/>
        <v>2020-03</v>
      </c>
    </row>
    <row r="2540" spans="1:26" x14ac:dyDescent="0.35">
      <c r="A2540" s="1">
        <v>43901</v>
      </c>
      <c r="C2540">
        <v>2905.56</v>
      </c>
      <c r="D2540">
        <f t="shared" si="513"/>
        <v>-1.533811201762955E-3</v>
      </c>
      <c r="E2540" t="str">
        <f t="shared" si="507"/>
        <v>2020-03</v>
      </c>
      <c r="G2540">
        <v>4610.25</v>
      </c>
      <c r="H2540">
        <f t="shared" si="514"/>
        <v>-5.7014102960317552E-3</v>
      </c>
      <c r="I2540" t="str">
        <f t="shared" si="508"/>
        <v>2020-03</v>
      </c>
      <c r="K2540">
        <v>10438.68</v>
      </c>
      <c r="L2540">
        <f t="shared" si="515"/>
        <v>-3.5201050780224847E-3</v>
      </c>
      <c r="M2540" t="str">
        <f t="shared" si="509"/>
        <v>2020-03</v>
      </c>
      <c r="O2540">
        <v>6691.4738100000004</v>
      </c>
      <c r="P2540">
        <f t="shared" si="516"/>
        <v>-1.7298053534420928E-2</v>
      </c>
      <c r="Q2540" t="str">
        <f t="shared" si="510"/>
        <v>2020-03</v>
      </c>
      <c r="S2540">
        <v>7436.4</v>
      </c>
      <c r="T2540">
        <f t="shared" si="517"/>
        <v>-3.369605615460616E-3</v>
      </c>
      <c r="U2540" t="str">
        <f t="shared" si="511"/>
        <v>2020-03</v>
      </c>
      <c r="W2540">
        <v>17928.64</v>
      </c>
      <c r="X2540">
        <f t="shared" si="518"/>
        <v>3.2660323421776758E-3</v>
      </c>
      <c r="Y2540">
        <f t="shared" si="519"/>
        <v>3.2713716369952134E-3</v>
      </c>
      <c r="Z2540" t="str">
        <f t="shared" si="512"/>
        <v>2020-03</v>
      </c>
    </row>
    <row r="2541" spans="1:26" x14ac:dyDescent="0.35">
      <c r="A2541" s="1">
        <v>43902</v>
      </c>
      <c r="C2541">
        <v>2545.23</v>
      </c>
      <c r="D2541">
        <f t="shared" si="513"/>
        <v>-0.13240512361024367</v>
      </c>
      <c r="E2541" t="str">
        <f t="shared" si="507"/>
        <v>2020-03</v>
      </c>
      <c r="G2541">
        <v>4044.26</v>
      </c>
      <c r="H2541">
        <f t="shared" si="514"/>
        <v>-0.13098349360213232</v>
      </c>
      <c r="I2541" t="str">
        <f t="shared" si="508"/>
        <v>2020-03</v>
      </c>
      <c r="K2541">
        <v>9161.1299999999992</v>
      </c>
      <c r="L2541">
        <f t="shared" si="515"/>
        <v>-0.13054860415614691</v>
      </c>
      <c r="M2541" t="str">
        <f t="shared" si="509"/>
        <v>2020-03</v>
      </c>
      <c r="O2541">
        <v>5909.3719899999996</v>
      </c>
      <c r="P2541">
        <f t="shared" si="516"/>
        <v>-0.12429458682155861</v>
      </c>
      <c r="Q2541" t="str">
        <f t="shared" si="510"/>
        <v>2020-03</v>
      </c>
      <c r="S2541">
        <v>6390.9</v>
      </c>
      <c r="T2541">
        <f t="shared" si="517"/>
        <v>-0.15151175723179477</v>
      </c>
      <c r="U2541" t="str">
        <f t="shared" si="511"/>
        <v>2020-03</v>
      </c>
      <c r="W2541">
        <v>14894.44</v>
      </c>
      <c r="X2541">
        <f t="shared" si="518"/>
        <v>-0.18541144526082279</v>
      </c>
      <c r="Y2541">
        <f t="shared" si="519"/>
        <v>-0.16923759972870217</v>
      </c>
      <c r="Z2541" t="str">
        <f t="shared" si="512"/>
        <v>2020-03</v>
      </c>
    </row>
    <row r="2542" spans="1:26" x14ac:dyDescent="0.35">
      <c r="A2542" s="1">
        <v>43903</v>
      </c>
      <c r="C2542">
        <v>2586.02</v>
      </c>
      <c r="D2542">
        <f t="shared" si="513"/>
        <v>1.5898995071798108E-2</v>
      </c>
      <c r="E2542" t="str">
        <f t="shared" si="507"/>
        <v>2020-03</v>
      </c>
      <c r="G2542">
        <v>4118.3599999999997</v>
      </c>
      <c r="H2542">
        <f t="shared" si="514"/>
        <v>1.8156433991831943E-2</v>
      </c>
      <c r="I2542" t="str">
        <f t="shared" si="508"/>
        <v>2020-03</v>
      </c>
      <c r="K2542">
        <v>9232.08</v>
      </c>
      <c r="L2542">
        <f t="shared" si="515"/>
        <v>7.7148417165306656E-3</v>
      </c>
      <c r="M2542" t="str">
        <f t="shared" si="509"/>
        <v>2020-03</v>
      </c>
      <c r="O2542">
        <v>5979.6702699999996</v>
      </c>
      <c r="P2542">
        <f t="shared" si="516"/>
        <v>1.1825864141925822E-2</v>
      </c>
      <c r="Q2542" t="str">
        <f t="shared" si="510"/>
        <v>2020-03</v>
      </c>
      <c r="S2542">
        <v>6629.6</v>
      </c>
      <c r="T2542">
        <f t="shared" si="517"/>
        <v>3.6669367010565508E-2</v>
      </c>
      <c r="U2542" t="str">
        <f t="shared" si="511"/>
        <v>2020-03</v>
      </c>
      <c r="W2542">
        <v>15954.29</v>
      </c>
      <c r="X2542">
        <f t="shared" si="518"/>
        <v>6.8739769633771305E-2</v>
      </c>
      <c r="Y2542">
        <f t="shared" si="519"/>
        <v>7.1157425186848269E-2</v>
      </c>
      <c r="Z2542" t="str">
        <f t="shared" si="512"/>
        <v>2020-03</v>
      </c>
    </row>
    <row r="2543" spans="1:26" x14ac:dyDescent="0.35">
      <c r="A2543" s="1">
        <v>43906</v>
      </c>
      <c r="C2543">
        <v>2450.37</v>
      </c>
      <c r="D2543">
        <f t="shared" si="513"/>
        <v>-5.3880980709443381E-2</v>
      </c>
      <c r="E2543" t="str">
        <f t="shared" si="507"/>
        <v>2020-03</v>
      </c>
      <c r="G2543">
        <v>3881.46</v>
      </c>
      <c r="H2543">
        <f t="shared" si="514"/>
        <v>-5.92436543466381E-2</v>
      </c>
      <c r="I2543" t="str">
        <f t="shared" si="508"/>
        <v>2020-03</v>
      </c>
      <c r="K2543">
        <v>8742.25</v>
      </c>
      <c r="L2543">
        <f t="shared" si="515"/>
        <v>-5.4516781632317962E-2</v>
      </c>
      <c r="M2543" t="str">
        <f t="shared" si="509"/>
        <v>2020-03</v>
      </c>
      <c r="O2543">
        <v>5647.7698499999997</v>
      </c>
      <c r="P2543">
        <f t="shared" si="516"/>
        <v>-5.7104677223351087E-2</v>
      </c>
      <c r="Q2543" t="str">
        <f t="shared" si="510"/>
        <v>2020-03</v>
      </c>
      <c r="S2543">
        <v>6107.2</v>
      </c>
      <c r="T2543">
        <f t="shared" si="517"/>
        <v>-8.2076067543867579E-2</v>
      </c>
      <c r="U2543" t="str">
        <f t="shared" si="511"/>
        <v>2020-03</v>
      </c>
      <c r="W2543">
        <v>14980.34</v>
      </c>
      <c r="X2543">
        <f t="shared" si="518"/>
        <v>-6.2989083822613881E-2</v>
      </c>
      <c r="Y2543">
        <f t="shared" si="519"/>
        <v>-6.1046276581408557E-2</v>
      </c>
      <c r="Z2543" t="str">
        <f t="shared" si="512"/>
        <v>2020-03</v>
      </c>
    </row>
    <row r="2544" spans="1:26" x14ac:dyDescent="0.35">
      <c r="A2544" s="1">
        <v>43907</v>
      </c>
      <c r="C2544">
        <v>2530.5</v>
      </c>
      <c r="D2544">
        <f t="shared" si="513"/>
        <v>3.2177878109630707E-2</v>
      </c>
      <c r="E2544" t="str">
        <f t="shared" si="507"/>
        <v>2020-03</v>
      </c>
      <c r="G2544">
        <v>3991.78</v>
      </c>
      <c r="H2544">
        <f t="shared" si="514"/>
        <v>2.8025875193999693E-2</v>
      </c>
      <c r="I2544" t="str">
        <f t="shared" si="508"/>
        <v>2020-03</v>
      </c>
      <c r="K2544">
        <v>8939.1</v>
      </c>
      <c r="L2544">
        <f t="shared" si="515"/>
        <v>2.2267319369658173E-2</v>
      </c>
      <c r="M2544" t="str">
        <f t="shared" si="509"/>
        <v>2020-03</v>
      </c>
      <c r="O2544">
        <v>5825.4501399999999</v>
      </c>
      <c r="P2544">
        <f t="shared" si="516"/>
        <v>3.0975523296246699E-2</v>
      </c>
      <c r="Q2544" t="str">
        <f t="shared" si="510"/>
        <v>2020-03</v>
      </c>
      <c r="S2544">
        <v>6498.5</v>
      </c>
      <c r="T2544">
        <f t="shared" si="517"/>
        <v>6.2102978030677942E-2</v>
      </c>
      <c r="U2544" t="str">
        <f t="shared" si="511"/>
        <v>2020-03</v>
      </c>
      <c r="W2544">
        <v>15314.77</v>
      </c>
      <c r="X2544">
        <f t="shared" si="518"/>
        <v>2.2079047454974892E-2</v>
      </c>
      <c r="Y2544">
        <f t="shared" si="519"/>
        <v>2.2324593433793911E-2</v>
      </c>
      <c r="Z2544" t="str">
        <f t="shared" si="512"/>
        <v>2020-03</v>
      </c>
    </row>
    <row r="2545" spans="1:26" x14ac:dyDescent="0.35">
      <c r="A2545" s="1">
        <v>43908</v>
      </c>
      <c r="C2545">
        <v>2385.8200000000002</v>
      </c>
      <c r="D2545">
        <f t="shared" si="513"/>
        <v>-5.8874030909074032E-2</v>
      </c>
      <c r="E2545" t="str">
        <f t="shared" si="507"/>
        <v>2020-03</v>
      </c>
      <c r="G2545">
        <v>3754.84</v>
      </c>
      <c r="H2545">
        <f t="shared" si="514"/>
        <v>-6.119157225540884E-2</v>
      </c>
      <c r="I2545" t="str">
        <f t="shared" si="508"/>
        <v>2020-03</v>
      </c>
      <c r="K2545">
        <v>8441.7099999999991</v>
      </c>
      <c r="L2545">
        <f t="shared" si="515"/>
        <v>-5.7250018255819525E-2</v>
      </c>
      <c r="M2545" t="str">
        <f t="shared" si="509"/>
        <v>2020-03</v>
      </c>
      <c r="O2545">
        <v>5451.0389599999999</v>
      </c>
      <c r="P2545">
        <f t="shared" si="516"/>
        <v>-6.6430048350228407E-2</v>
      </c>
      <c r="Q2545" t="str">
        <f t="shared" si="510"/>
        <v>2020-03</v>
      </c>
      <c r="S2545">
        <v>6274.8</v>
      </c>
      <c r="T2545">
        <f t="shared" si="517"/>
        <v>-3.5029769039557887E-2</v>
      </c>
      <c r="U2545" t="str">
        <f t="shared" si="511"/>
        <v>2020-03</v>
      </c>
      <c r="W2545">
        <v>15120.48</v>
      </c>
      <c r="X2545">
        <f t="shared" si="518"/>
        <v>-1.2767605936477539E-2</v>
      </c>
      <c r="Y2545">
        <f t="shared" si="519"/>
        <v>-1.2686445829744807E-2</v>
      </c>
      <c r="Z2545" t="str">
        <f t="shared" si="512"/>
        <v>2020-03</v>
      </c>
    </row>
    <row r="2546" spans="1:26" x14ac:dyDescent="0.35">
      <c r="A2546" s="1">
        <v>43909</v>
      </c>
      <c r="C2546">
        <v>2454.08</v>
      </c>
      <c r="D2546">
        <f t="shared" si="513"/>
        <v>2.8209064831435662E-2</v>
      </c>
      <c r="E2546" t="str">
        <f t="shared" si="507"/>
        <v>2020-03</v>
      </c>
      <c r="G2546">
        <v>3855.5</v>
      </c>
      <c r="H2546">
        <f t="shared" si="514"/>
        <v>2.645502583613429E-2</v>
      </c>
      <c r="I2546" t="str">
        <f t="shared" si="508"/>
        <v>2020-03</v>
      </c>
      <c r="K2546">
        <v>8610.43</v>
      </c>
      <c r="L2546">
        <f t="shared" si="515"/>
        <v>1.9789364399589206E-2</v>
      </c>
      <c r="M2546" t="str">
        <f t="shared" si="509"/>
        <v>2020-03</v>
      </c>
      <c r="O2546">
        <v>5571.5886899999996</v>
      </c>
      <c r="P2546">
        <f t="shared" si="516"/>
        <v>2.1874010523116789E-2</v>
      </c>
      <c r="Q2546" t="str">
        <f t="shared" si="510"/>
        <v>2020-03</v>
      </c>
      <c r="S2546">
        <v>6395.8</v>
      </c>
      <c r="T2546">
        <f t="shared" si="517"/>
        <v>1.9099912939392578E-2</v>
      </c>
      <c r="U2546" t="str">
        <f t="shared" si="511"/>
        <v>2020-03</v>
      </c>
      <c r="W2546">
        <v>15466.97</v>
      </c>
      <c r="X2546">
        <f t="shared" si="518"/>
        <v>2.2656666161512816E-2</v>
      </c>
      <c r="Y2546">
        <f t="shared" si="519"/>
        <v>2.2915277821868075E-2</v>
      </c>
      <c r="Z2546" t="str">
        <f t="shared" si="512"/>
        <v>2020-03</v>
      </c>
    </row>
    <row r="2547" spans="1:26" x14ac:dyDescent="0.35">
      <c r="A2547" s="1">
        <v>43910</v>
      </c>
      <c r="C2547">
        <v>2548.5</v>
      </c>
      <c r="D2547">
        <f t="shared" si="513"/>
        <v>3.7753005203602086E-2</v>
      </c>
      <c r="E2547" t="str">
        <f t="shared" si="507"/>
        <v>2020-03</v>
      </c>
      <c r="G2547">
        <v>4048.8</v>
      </c>
      <c r="H2547">
        <f t="shared" si="514"/>
        <v>4.8919840626852874E-2</v>
      </c>
      <c r="I2547" t="str">
        <f t="shared" si="508"/>
        <v>2020-03</v>
      </c>
      <c r="K2547">
        <v>8928.9500000000007</v>
      </c>
      <c r="L2547">
        <f t="shared" si="515"/>
        <v>3.6324547667614435E-2</v>
      </c>
      <c r="M2547" t="str">
        <f t="shared" si="509"/>
        <v>2020-03</v>
      </c>
      <c r="O2547">
        <v>5657.9355999999998</v>
      </c>
      <c r="P2547">
        <f t="shared" si="516"/>
        <v>1.5378854808639042E-2</v>
      </c>
      <c r="Q2547" t="str">
        <f t="shared" si="510"/>
        <v>2020-03</v>
      </c>
      <c r="S2547">
        <v>6443.3</v>
      </c>
      <c r="T2547">
        <f t="shared" si="517"/>
        <v>7.399306293665143E-3</v>
      </c>
      <c r="U2547" t="str">
        <f t="shared" si="511"/>
        <v>2020-03</v>
      </c>
      <c r="W2547">
        <v>15731.85</v>
      </c>
      <c r="X2547">
        <f t="shared" si="518"/>
        <v>1.6980537377025307E-2</v>
      </c>
      <c r="Y2547">
        <f t="shared" si="519"/>
        <v>1.7125526201964641E-2</v>
      </c>
      <c r="Z2547" t="str">
        <f t="shared" si="512"/>
        <v>2020-03</v>
      </c>
    </row>
    <row r="2548" spans="1:26" x14ac:dyDescent="0.35">
      <c r="A2548" s="1">
        <v>43913</v>
      </c>
      <c r="C2548">
        <v>2485.54</v>
      </c>
      <c r="D2548">
        <f t="shared" si="513"/>
        <v>-2.5015011033485513E-2</v>
      </c>
      <c r="E2548" t="str">
        <f t="shared" si="507"/>
        <v>2020-03</v>
      </c>
      <c r="G2548">
        <v>3914.31</v>
      </c>
      <c r="H2548">
        <f t="shared" si="514"/>
        <v>-3.3781472218705096E-2</v>
      </c>
      <c r="I2548" t="str">
        <f t="shared" si="508"/>
        <v>2020-03</v>
      </c>
      <c r="K2548">
        <v>8741.15</v>
      </c>
      <c r="L2548">
        <f t="shared" si="515"/>
        <v>-2.1257046829126009E-2</v>
      </c>
      <c r="M2548" t="str">
        <f t="shared" si="509"/>
        <v>2020-03</v>
      </c>
      <c r="O2548">
        <v>5368.2807899999998</v>
      </c>
      <c r="P2548">
        <f t="shared" si="516"/>
        <v>-5.255138427721337E-2</v>
      </c>
      <c r="Q2548" t="str">
        <f t="shared" si="510"/>
        <v>2020-03</v>
      </c>
      <c r="S2548">
        <v>6230.2</v>
      </c>
      <c r="T2548">
        <f t="shared" si="517"/>
        <v>-3.3632396220193733E-2</v>
      </c>
      <c r="U2548" t="str">
        <f t="shared" si="511"/>
        <v>2020-03</v>
      </c>
      <c r="W2548">
        <v>15559.8</v>
      </c>
      <c r="X2548">
        <f t="shared" si="518"/>
        <v>-1.0996654620574534E-2</v>
      </c>
      <c r="Y2548">
        <f t="shared" si="519"/>
        <v>-1.0936412437189593E-2</v>
      </c>
      <c r="Z2548" t="str">
        <f t="shared" si="512"/>
        <v>2020-03</v>
      </c>
    </row>
    <row r="2549" spans="1:26" x14ac:dyDescent="0.35">
      <c r="A2549" s="1">
        <v>43914</v>
      </c>
      <c r="C2549">
        <v>2715.11</v>
      </c>
      <c r="D2549">
        <f t="shared" si="513"/>
        <v>8.8342528454463318E-2</v>
      </c>
      <c r="E2549" t="str">
        <f t="shared" si="507"/>
        <v>2020-03</v>
      </c>
      <c r="G2549">
        <v>4242.7</v>
      </c>
      <c r="H2549">
        <f t="shared" si="514"/>
        <v>8.0560790331389284E-2</v>
      </c>
      <c r="I2549" t="str">
        <f t="shared" si="508"/>
        <v>2020-03</v>
      </c>
      <c r="K2549">
        <v>9700.57</v>
      </c>
      <c r="L2549">
        <f t="shared" si="515"/>
        <v>0.10414288671040217</v>
      </c>
      <c r="M2549" t="str">
        <f t="shared" si="509"/>
        <v>2020-03</v>
      </c>
      <c r="O2549">
        <v>5935.0725300000004</v>
      </c>
      <c r="P2549">
        <f t="shared" si="516"/>
        <v>0.10037154228791045</v>
      </c>
      <c r="Q2549" t="str">
        <f t="shared" si="510"/>
        <v>2020-03</v>
      </c>
      <c r="S2549">
        <v>6717.3</v>
      </c>
      <c r="T2549">
        <f t="shared" si="517"/>
        <v>7.5277853070453454E-2</v>
      </c>
      <c r="U2549" t="str">
        <f t="shared" si="511"/>
        <v>2020-03</v>
      </c>
      <c r="W2549">
        <v>16948.599999999999</v>
      </c>
      <c r="X2549">
        <f t="shared" si="518"/>
        <v>8.5494569347824026E-2</v>
      </c>
      <c r="Y2549">
        <f t="shared" si="519"/>
        <v>8.925564595945959E-2</v>
      </c>
      <c r="Z2549" t="str">
        <f t="shared" si="512"/>
        <v>2020-03</v>
      </c>
    </row>
    <row r="2550" spans="1:26" x14ac:dyDescent="0.35">
      <c r="A2550" s="1">
        <v>43915</v>
      </c>
      <c r="C2550">
        <v>2800.14</v>
      </c>
      <c r="D2550">
        <f t="shared" si="513"/>
        <v>3.0836947712262697E-2</v>
      </c>
      <c r="E2550" t="str">
        <f t="shared" si="507"/>
        <v>2020-03</v>
      </c>
      <c r="G2550">
        <v>4432.3</v>
      </c>
      <c r="H2550">
        <f t="shared" si="514"/>
        <v>4.3718777654420081E-2</v>
      </c>
      <c r="I2550" t="str">
        <f t="shared" si="508"/>
        <v>2020-03</v>
      </c>
      <c r="K2550">
        <v>9874.26</v>
      </c>
      <c r="L2550">
        <f t="shared" si="515"/>
        <v>1.7746724600965082E-2</v>
      </c>
      <c r="M2550" t="str">
        <f t="shared" si="509"/>
        <v>2020-03</v>
      </c>
      <c r="O2550">
        <v>6184.1695600000003</v>
      </c>
      <c r="P2550">
        <f t="shared" si="516"/>
        <v>4.1113481343932196E-2</v>
      </c>
      <c r="Q2550" t="str">
        <f t="shared" si="510"/>
        <v>2020-03</v>
      </c>
      <c r="S2550">
        <v>6942.4</v>
      </c>
      <c r="T2550">
        <f t="shared" si="517"/>
        <v>3.2961247978683557E-2</v>
      </c>
      <c r="U2550" t="str">
        <f t="shared" si="511"/>
        <v>2020-03</v>
      </c>
      <c r="W2550">
        <v>17243.68</v>
      </c>
      <c r="X2550">
        <f t="shared" si="518"/>
        <v>1.7260464988366843E-2</v>
      </c>
      <c r="Y2550">
        <f t="shared" si="519"/>
        <v>1.741028757537506E-2</v>
      </c>
      <c r="Z2550" t="str">
        <f t="shared" si="512"/>
        <v>2020-03</v>
      </c>
    </row>
    <row r="2551" spans="1:26" x14ac:dyDescent="0.35">
      <c r="A2551" s="1">
        <v>43916</v>
      </c>
      <c r="C2551">
        <v>2847.78</v>
      </c>
      <c r="D2551">
        <f t="shared" si="513"/>
        <v>1.6870327443800407E-2</v>
      </c>
      <c r="E2551" t="str">
        <f t="shared" si="507"/>
        <v>2020-03</v>
      </c>
      <c r="G2551">
        <v>4543.58</v>
      </c>
      <c r="H2551">
        <f t="shared" si="514"/>
        <v>2.4796610884673134E-2</v>
      </c>
      <c r="I2551" t="str">
        <f t="shared" si="508"/>
        <v>2020-03</v>
      </c>
      <c r="K2551">
        <v>10000.959999999999</v>
      </c>
      <c r="L2551">
        <f t="shared" si="515"/>
        <v>1.2749717115911175E-2</v>
      </c>
      <c r="M2551" t="str">
        <f t="shared" si="509"/>
        <v>2020-03</v>
      </c>
      <c r="O2551">
        <v>6407.6430099999998</v>
      </c>
      <c r="P2551">
        <f t="shared" si="516"/>
        <v>3.5498768108851456E-2</v>
      </c>
      <c r="Q2551" t="str">
        <f t="shared" si="510"/>
        <v>2020-03</v>
      </c>
      <c r="S2551">
        <v>7033.2</v>
      </c>
      <c r="T2551">
        <f t="shared" si="517"/>
        <v>1.299425822629767E-2</v>
      </c>
      <c r="U2551" t="str">
        <f t="shared" si="511"/>
        <v>2020-03</v>
      </c>
      <c r="W2551">
        <v>17369.38</v>
      </c>
      <c r="X2551">
        <f t="shared" si="518"/>
        <v>7.2631863577716314E-3</v>
      </c>
      <c r="Y2551">
        <f t="shared" si="519"/>
        <v>7.2896272721368486E-3</v>
      </c>
      <c r="Z2551" t="str">
        <f t="shared" si="512"/>
        <v>2020-03</v>
      </c>
    </row>
    <row r="2552" spans="1:26" x14ac:dyDescent="0.35">
      <c r="A2552" s="1">
        <v>43917</v>
      </c>
      <c r="C2552">
        <v>2728.65</v>
      </c>
      <c r="D2552">
        <f t="shared" si="513"/>
        <v>-4.2732761980802447E-2</v>
      </c>
      <c r="E2552" t="str">
        <f t="shared" si="507"/>
        <v>2020-03</v>
      </c>
      <c r="G2552">
        <v>4351.49</v>
      </c>
      <c r="H2552">
        <f t="shared" si="514"/>
        <v>-4.3196932382858932E-2</v>
      </c>
      <c r="I2552" t="str">
        <f t="shared" si="508"/>
        <v>2020-03</v>
      </c>
      <c r="K2552">
        <v>9632.52</v>
      </c>
      <c r="L2552">
        <f t="shared" si="515"/>
        <v>-3.7536214566141812E-2</v>
      </c>
      <c r="M2552" t="str">
        <f t="shared" si="509"/>
        <v>2020-03</v>
      </c>
      <c r="O2552">
        <v>6163.2479999999996</v>
      </c>
      <c r="P2552">
        <f t="shared" si="516"/>
        <v>-3.8887586850977207E-2</v>
      </c>
      <c r="Q2552" t="str">
        <f t="shared" si="510"/>
        <v>2020-03</v>
      </c>
      <c r="S2552">
        <v>6777.9</v>
      </c>
      <c r="T2552">
        <f t="shared" si="517"/>
        <v>-3.6974474826858429E-2</v>
      </c>
      <c r="U2552" t="str">
        <f t="shared" si="511"/>
        <v>2020-03</v>
      </c>
      <c r="W2552">
        <v>16822.59</v>
      </c>
      <c r="X2552">
        <f t="shared" si="518"/>
        <v>-3.198625984743117E-2</v>
      </c>
      <c r="Y2552">
        <f t="shared" si="519"/>
        <v>-3.1480110401177291E-2</v>
      </c>
      <c r="Z2552" t="str">
        <f t="shared" si="512"/>
        <v>2020-03</v>
      </c>
    </row>
    <row r="2553" spans="1:26" x14ac:dyDescent="0.35">
      <c r="A2553" s="1">
        <v>43920</v>
      </c>
      <c r="C2553">
        <v>2765.62</v>
      </c>
      <c r="D2553">
        <f t="shared" si="513"/>
        <v>1.3457859908720565E-2</v>
      </c>
      <c r="E2553" t="str">
        <f t="shared" si="507"/>
        <v>2020-03</v>
      </c>
      <c r="G2553">
        <v>4378.51</v>
      </c>
      <c r="H2553">
        <f t="shared" si="514"/>
        <v>6.1901686780602488E-3</v>
      </c>
      <c r="I2553" t="str">
        <f t="shared" si="508"/>
        <v>2020-03</v>
      </c>
      <c r="K2553">
        <v>9815.9699999999993</v>
      </c>
      <c r="L2553">
        <f t="shared" si="515"/>
        <v>1.8865777349022464E-2</v>
      </c>
      <c r="M2553" t="str">
        <f t="shared" si="509"/>
        <v>2020-03</v>
      </c>
      <c r="O2553">
        <v>6253.9062999999996</v>
      </c>
      <c r="P2553">
        <f t="shared" si="516"/>
        <v>1.4602365198874466E-2</v>
      </c>
      <c r="Q2553" t="str">
        <f t="shared" si="510"/>
        <v>2020-03</v>
      </c>
      <c r="S2553">
        <v>6659.9</v>
      </c>
      <c r="T2553">
        <f t="shared" si="517"/>
        <v>-1.7562850036832077E-2</v>
      </c>
      <c r="U2553" t="str">
        <f t="shared" si="511"/>
        <v>2020-03</v>
      </c>
      <c r="W2553">
        <v>16872.41</v>
      </c>
      <c r="X2553">
        <f t="shared" si="518"/>
        <v>2.9571174538907978E-3</v>
      </c>
      <c r="Y2553">
        <f t="shared" si="519"/>
        <v>2.9614940386706035E-3</v>
      </c>
      <c r="Z2553" t="str">
        <f t="shared" si="512"/>
        <v>2020-03</v>
      </c>
    </row>
    <row r="2554" spans="1:26" x14ac:dyDescent="0.35">
      <c r="A2554" s="1">
        <v>43921</v>
      </c>
      <c r="C2554">
        <v>2786.9</v>
      </c>
      <c r="D2554">
        <f t="shared" si="513"/>
        <v>7.6650256776653195E-3</v>
      </c>
      <c r="E2554" t="str">
        <f t="shared" si="507"/>
        <v>2020-03</v>
      </c>
      <c r="G2554">
        <v>4396.12</v>
      </c>
      <c r="H2554">
        <f t="shared" si="514"/>
        <v>4.0138498473148874E-3</v>
      </c>
      <c r="I2554" t="str">
        <f t="shared" si="508"/>
        <v>2020-03</v>
      </c>
      <c r="K2554">
        <v>9935.84</v>
      </c>
      <c r="L2554">
        <f t="shared" si="515"/>
        <v>1.2137770832664839E-2</v>
      </c>
      <c r="M2554" t="str">
        <f t="shared" si="509"/>
        <v>2020-03</v>
      </c>
      <c r="O2554">
        <v>6409.7128899999998</v>
      </c>
      <c r="P2554">
        <f t="shared" si="516"/>
        <v>2.4608202465640744E-2</v>
      </c>
      <c r="Q2554" t="str">
        <f t="shared" si="510"/>
        <v>2020-03</v>
      </c>
      <c r="S2554">
        <v>6785.4</v>
      </c>
      <c r="T2554">
        <f t="shared" si="517"/>
        <v>1.8668775698642951E-2</v>
      </c>
      <c r="U2554" t="str">
        <f t="shared" si="511"/>
        <v>2020-03</v>
      </c>
      <c r="W2554">
        <v>17050.939999999999</v>
      </c>
      <c r="X2554">
        <f t="shared" si="518"/>
        <v>1.0525590677000065E-2</v>
      </c>
      <c r="Y2554">
        <f t="shared" si="519"/>
        <v>1.0581179570671815E-2</v>
      </c>
      <c r="Z2554" t="str">
        <f t="shared" si="512"/>
        <v>2020-03</v>
      </c>
    </row>
    <row r="2555" spans="1:26" x14ac:dyDescent="0.35">
      <c r="A2555" s="1">
        <v>43922</v>
      </c>
      <c r="C2555">
        <v>2680.3</v>
      </c>
      <c r="D2555">
        <f t="shared" si="513"/>
        <v>-3.9001138424158713E-2</v>
      </c>
      <c r="E2555" t="str">
        <f t="shared" si="507"/>
        <v>2020-04</v>
      </c>
      <c r="G2555">
        <v>4207.24</v>
      </c>
      <c r="H2555">
        <f t="shared" si="514"/>
        <v>-4.3915482953290015E-2</v>
      </c>
      <c r="I2555" t="str">
        <f t="shared" si="508"/>
        <v>2020-04</v>
      </c>
      <c r="K2555">
        <v>9544.75</v>
      </c>
      <c r="L2555">
        <f t="shared" si="515"/>
        <v>-4.015715689059967E-2</v>
      </c>
      <c r="M2555" t="str">
        <f t="shared" si="509"/>
        <v>2020-04</v>
      </c>
      <c r="O2555">
        <v>6188.50299</v>
      </c>
      <c r="P2555">
        <f t="shared" si="516"/>
        <v>-3.5121264825735056E-2</v>
      </c>
      <c r="Q2555" t="str">
        <f t="shared" si="510"/>
        <v>2020-04</v>
      </c>
      <c r="S2555">
        <v>6579.4</v>
      </c>
      <c r="T2555">
        <f t="shared" si="517"/>
        <v>-3.0829689353950019E-2</v>
      </c>
      <c r="U2555" t="str">
        <f t="shared" si="511"/>
        <v>2020-04</v>
      </c>
      <c r="W2555">
        <v>16544.97</v>
      </c>
      <c r="X2555">
        <f t="shared" si="518"/>
        <v>-3.0123206039319912E-2</v>
      </c>
      <c r="Y2555">
        <f t="shared" si="519"/>
        <v>-2.9674023836808856E-2</v>
      </c>
      <c r="Z2555" t="str">
        <f t="shared" si="512"/>
        <v>2020-04</v>
      </c>
    </row>
    <row r="2556" spans="1:26" x14ac:dyDescent="0.35">
      <c r="A2556" s="1">
        <v>43923</v>
      </c>
      <c r="C2556">
        <v>2688.49</v>
      </c>
      <c r="D2556">
        <f t="shared" si="513"/>
        <v>3.0509691580376764E-3</v>
      </c>
      <c r="E2556" t="str">
        <f t="shared" si="507"/>
        <v>2020-04</v>
      </c>
      <c r="G2556">
        <v>4220.96</v>
      </c>
      <c r="H2556">
        <f t="shared" si="514"/>
        <v>3.2557395693383032E-3</v>
      </c>
      <c r="I2556" t="str">
        <f t="shared" si="508"/>
        <v>2020-04</v>
      </c>
      <c r="K2556">
        <v>9570.82</v>
      </c>
      <c r="L2556">
        <f t="shared" si="515"/>
        <v>2.7276211133874461E-3</v>
      </c>
      <c r="M2556" t="str">
        <f t="shared" si="509"/>
        <v>2020-04</v>
      </c>
      <c r="O2556">
        <v>6250.5442300000004</v>
      </c>
      <c r="P2556">
        <f t="shared" si="516"/>
        <v>9.9753226052847893E-3</v>
      </c>
      <c r="Q2556" t="str">
        <f t="shared" si="510"/>
        <v>2020-04</v>
      </c>
      <c r="S2556">
        <v>6574.1</v>
      </c>
      <c r="T2556">
        <f t="shared" si="517"/>
        <v>-8.0586920391206547E-4</v>
      </c>
      <c r="U2556" t="str">
        <f t="shared" si="511"/>
        <v>2020-04</v>
      </c>
      <c r="W2556">
        <v>16834.03</v>
      </c>
      <c r="X2556">
        <f t="shared" si="518"/>
        <v>1.7320304760131432E-2</v>
      </c>
      <c r="Y2556">
        <f t="shared" si="519"/>
        <v>1.7471170996381236E-2</v>
      </c>
      <c r="Z2556" t="str">
        <f t="shared" si="512"/>
        <v>2020-04</v>
      </c>
    </row>
    <row r="2557" spans="1:26" x14ac:dyDescent="0.35">
      <c r="A2557" s="1">
        <v>43924</v>
      </c>
      <c r="C2557">
        <v>2662.99</v>
      </c>
      <c r="D2557">
        <f t="shared" si="513"/>
        <v>-9.530146053067937E-3</v>
      </c>
      <c r="E2557" t="str">
        <f t="shared" si="507"/>
        <v>2020-04</v>
      </c>
      <c r="G2557">
        <v>4154.58</v>
      </c>
      <c r="H2557">
        <f t="shared" si="514"/>
        <v>-1.5851250162386744E-2</v>
      </c>
      <c r="I2557" t="str">
        <f t="shared" si="508"/>
        <v>2020-04</v>
      </c>
      <c r="K2557">
        <v>9525.77</v>
      </c>
      <c r="L2557">
        <f t="shared" si="515"/>
        <v>-4.7181285842641581E-3</v>
      </c>
      <c r="M2557" t="str">
        <f t="shared" si="509"/>
        <v>2020-04</v>
      </c>
      <c r="O2557">
        <v>6138.4368700000005</v>
      </c>
      <c r="P2557">
        <f t="shared" si="516"/>
        <v>-1.8098408442873328E-2</v>
      </c>
      <c r="Q2557" t="str">
        <f t="shared" si="510"/>
        <v>2020-04</v>
      </c>
      <c r="S2557">
        <v>6581.6</v>
      </c>
      <c r="T2557">
        <f t="shared" si="517"/>
        <v>1.1401903072464138E-3</v>
      </c>
      <c r="U2557" t="str">
        <f t="shared" si="511"/>
        <v>2020-04</v>
      </c>
      <c r="W2557">
        <v>16384.349999999999</v>
      </c>
      <c r="X2557">
        <f t="shared" si="518"/>
        <v>-2.7075821961821768E-2</v>
      </c>
      <c r="Y2557">
        <f t="shared" si="519"/>
        <v>-2.6712557836715292E-2</v>
      </c>
      <c r="Z2557" t="str">
        <f t="shared" si="512"/>
        <v>2020-04</v>
      </c>
    </row>
    <row r="2558" spans="1:26" x14ac:dyDescent="0.35">
      <c r="A2558" s="1">
        <v>43927</v>
      </c>
      <c r="C2558">
        <v>2795.97</v>
      </c>
      <c r="D2558">
        <f t="shared" si="513"/>
        <v>4.8729543038872371E-2</v>
      </c>
      <c r="E2558" t="str">
        <f t="shared" si="507"/>
        <v>2020-04</v>
      </c>
      <c r="G2558">
        <v>4346.1400000000003</v>
      </c>
      <c r="H2558">
        <f t="shared" si="514"/>
        <v>4.5076754679389423E-2</v>
      </c>
      <c r="I2558" t="str">
        <f t="shared" si="508"/>
        <v>2020-04</v>
      </c>
      <c r="K2558">
        <v>10075.17</v>
      </c>
      <c r="L2558">
        <f t="shared" si="515"/>
        <v>5.6073223499113617E-2</v>
      </c>
      <c r="M2558" t="str">
        <f t="shared" si="509"/>
        <v>2020-04</v>
      </c>
      <c r="O2558">
        <v>6359.6455599999999</v>
      </c>
      <c r="P2558">
        <f t="shared" si="516"/>
        <v>3.5402517924860467E-2</v>
      </c>
      <c r="Q2558" t="str">
        <f t="shared" si="510"/>
        <v>2020-04</v>
      </c>
      <c r="S2558">
        <v>6844.3</v>
      </c>
      <c r="T2558">
        <f t="shared" si="517"/>
        <v>3.9138312211876906E-2</v>
      </c>
      <c r="U2558" t="str">
        <f t="shared" si="511"/>
        <v>2020-04</v>
      </c>
      <c r="W2558">
        <v>17039.310000000001</v>
      </c>
      <c r="X2558">
        <f t="shared" si="518"/>
        <v>3.9196416689947312E-2</v>
      </c>
      <c r="Y2558">
        <f t="shared" si="519"/>
        <v>3.9974731985095706E-2</v>
      </c>
      <c r="Z2558" t="str">
        <f t="shared" si="512"/>
        <v>2020-04</v>
      </c>
    </row>
    <row r="2559" spans="1:26" x14ac:dyDescent="0.35">
      <c r="A2559" s="1">
        <v>43928</v>
      </c>
      <c r="C2559">
        <v>2857.67</v>
      </c>
      <c r="D2559">
        <f t="shared" si="513"/>
        <v>2.1827512780378849E-2</v>
      </c>
      <c r="E2559" t="str">
        <f t="shared" si="507"/>
        <v>2020-04</v>
      </c>
      <c r="G2559">
        <v>4438.2700000000004</v>
      </c>
      <c r="H2559">
        <f t="shared" si="514"/>
        <v>2.0976566030169695E-2</v>
      </c>
      <c r="I2559" t="str">
        <f t="shared" si="508"/>
        <v>2020-04</v>
      </c>
      <c r="K2559">
        <v>10356.700000000001</v>
      </c>
      <c r="L2559">
        <f t="shared" si="515"/>
        <v>2.7559672130927089E-2</v>
      </c>
      <c r="M2559" t="str">
        <f t="shared" si="509"/>
        <v>2020-04</v>
      </c>
      <c r="O2559">
        <v>6459.3891400000002</v>
      </c>
      <c r="P2559">
        <f t="shared" si="516"/>
        <v>1.5562106712546885E-2</v>
      </c>
      <c r="Q2559" t="str">
        <f t="shared" si="510"/>
        <v>2020-04</v>
      </c>
      <c r="S2559">
        <v>7002</v>
      </c>
      <c r="T2559">
        <f t="shared" si="517"/>
        <v>2.2779633448013408E-2</v>
      </c>
      <c r="U2559" t="str">
        <f t="shared" si="511"/>
        <v>2020-04</v>
      </c>
      <c r="W2559">
        <v>17411.72</v>
      </c>
      <c r="X2559">
        <f t="shared" si="518"/>
        <v>2.162051507341916E-2</v>
      </c>
      <c r="Y2559">
        <f t="shared" si="519"/>
        <v>2.1855931959686152E-2</v>
      </c>
      <c r="Z2559" t="str">
        <f t="shared" si="512"/>
        <v>2020-04</v>
      </c>
    </row>
    <row r="2560" spans="1:26" x14ac:dyDescent="0.35">
      <c r="A2560" s="1">
        <v>43929</v>
      </c>
      <c r="C2560">
        <v>2851.27</v>
      </c>
      <c r="D2560">
        <f t="shared" si="513"/>
        <v>-2.2420984214475679E-3</v>
      </c>
      <c r="E2560" t="str">
        <f t="shared" si="507"/>
        <v>2020-04</v>
      </c>
      <c r="G2560">
        <v>4442.75</v>
      </c>
      <c r="H2560">
        <f t="shared" si="514"/>
        <v>1.0088932082131673E-3</v>
      </c>
      <c r="I2560" t="str">
        <f t="shared" si="508"/>
        <v>2020-04</v>
      </c>
      <c r="K2560">
        <v>10332.89</v>
      </c>
      <c r="L2560">
        <f t="shared" si="515"/>
        <v>-2.301641599590027E-3</v>
      </c>
      <c r="M2560" t="str">
        <f t="shared" si="509"/>
        <v>2020-04</v>
      </c>
      <c r="O2560">
        <v>6483.6081000000004</v>
      </c>
      <c r="P2560">
        <f t="shared" si="516"/>
        <v>3.7424080091645251E-3</v>
      </c>
      <c r="Q2560" t="str">
        <f t="shared" si="510"/>
        <v>2020-04</v>
      </c>
      <c r="S2560">
        <v>6951.8</v>
      </c>
      <c r="T2560">
        <f t="shared" si="517"/>
        <v>-7.1952036828647438E-3</v>
      </c>
      <c r="U2560" t="str">
        <f t="shared" si="511"/>
        <v>2020-04</v>
      </c>
      <c r="W2560">
        <v>17380.82</v>
      </c>
      <c r="X2560">
        <f t="shared" si="518"/>
        <v>-1.7762433052734539E-3</v>
      </c>
      <c r="Y2560">
        <f t="shared" si="519"/>
        <v>-1.774666718738956E-3</v>
      </c>
      <c r="Z2560" t="str">
        <f t="shared" si="512"/>
        <v>2020-04</v>
      </c>
    </row>
    <row r="2561" spans="1:26" x14ac:dyDescent="0.35">
      <c r="A2561" s="1">
        <v>43930</v>
      </c>
      <c r="C2561">
        <v>2892.79</v>
      </c>
      <c r="D2561">
        <f t="shared" si="513"/>
        <v>1.4456925292139901E-2</v>
      </c>
      <c r="E2561" t="str">
        <f t="shared" si="507"/>
        <v>2020-04</v>
      </c>
      <c r="G2561">
        <v>4506.8500000000004</v>
      </c>
      <c r="H2561">
        <f t="shared" si="514"/>
        <v>1.4324907509194549E-2</v>
      </c>
      <c r="I2561" t="str">
        <f t="shared" si="508"/>
        <v>2020-04</v>
      </c>
      <c r="K2561">
        <v>10564.74</v>
      </c>
      <c r="L2561">
        <f t="shared" si="515"/>
        <v>2.2190029534471939E-2</v>
      </c>
      <c r="M2561" t="str">
        <f t="shared" si="509"/>
        <v>2020-04</v>
      </c>
      <c r="O2561">
        <v>6650.9943599999997</v>
      </c>
      <c r="P2561">
        <f t="shared" si="516"/>
        <v>2.5489210348097289E-2</v>
      </c>
      <c r="Q2561" t="str">
        <f t="shared" si="510"/>
        <v>2020-04</v>
      </c>
      <c r="S2561">
        <v>7070.6</v>
      </c>
      <c r="T2561">
        <f t="shared" si="517"/>
        <v>1.6944723087408485E-2</v>
      </c>
      <c r="U2561" t="str">
        <f t="shared" si="511"/>
        <v>2020-04</v>
      </c>
      <c r="W2561">
        <v>17621.62</v>
      </c>
      <c r="X2561">
        <f t="shared" si="518"/>
        <v>1.3759257866177247E-2</v>
      </c>
      <c r="Y2561">
        <f t="shared" si="519"/>
        <v>1.385435209616113E-2</v>
      </c>
      <c r="Z2561" t="str">
        <f t="shared" si="512"/>
        <v>2020-04</v>
      </c>
    </row>
    <row r="2562" spans="1:26" x14ac:dyDescent="0.35">
      <c r="A2562" s="1">
        <v>43935</v>
      </c>
      <c r="C2562">
        <v>2917.74</v>
      </c>
      <c r="D2562">
        <f t="shared" si="513"/>
        <v>8.5879096546825368E-3</v>
      </c>
      <c r="E2562" t="str">
        <f t="shared" si="507"/>
        <v>2020-04</v>
      </c>
      <c r="G2562">
        <v>4523.91</v>
      </c>
      <c r="H2562">
        <f t="shared" si="514"/>
        <v>3.7782025641302764E-3</v>
      </c>
      <c r="I2562" t="str">
        <f t="shared" si="508"/>
        <v>2020-04</v>
      </c>
      <c r="K2562">
        <v>10696.56</v>
      </c>
      <c r="L2562">
        <f t="shared" si="515"/>
        <v>1.2400153244723468E-2</v>
      </c>
      <c r="M2562" t="str">
        <f t="shared" si="509"/>
        <v>2020-04</v>
      </c>
      <c r="O2562">
        <v>6658.5540499999997</v>
      </c>
      <c r="P2562">
        <f t="shared" si="516"/>
        <v>1.1359800618434353E-3</v>
      </c>
      <c r="Q2562" t="str">
        <f t="shared" si="510"/>
        <v>2020-04</v>
      </c>
      <c r="S2562">
        <v>7108.6</v>
      </c>
      <c r="T2562">
        <f t="shared" si="517"/>
        <v>5.3599767231202961E-3</v>
      </c>
      <c r="U2562" t="str">
        <f t="shared" si="511"/>
        <v>2020-04</v>
      </c>
      <c r="W2562">
        <v>17558.43</v>
      </c>
      <c r="X2562">
        <f t="shared" si="518"/>
        <v>-3.5923807928990798E-3</v>
      </c>
      <c r="Y2562">
        <f t="shared" si="519"/>
        <v>-3.5859359128161141E-3</v>
      </c>
      <c r="Z2562" t="str">
        <f t="shared" si="512"/>
        <v>2020-04</v>
      </c>
    </row>
    <row r="2563" spans="1:26" x14ac:dyDescent="0.35">
      <c r="A2563" s="1">
        <v>43936</v>
      </c>
      <c r="C2563">
        <v>2808.2</v>
      </c>
      <c r="D2563">
        <f t="shared" si="513"/>
        <v>-3.8265635307615974E-2</v>
      </c>
      <c r="E2563" t="str">
        <f t="shared" si="507"/>
        <v>2020-04</v>
      </c>
      <c r="G2563">
        <v>4353.72</v>
      </c>
      <c r="H2563">
        <f t="shared" si="514"/>
        <v>-3.8346012093991723E-2</v>
      </c>
      <c r="I2563" t="str">
        <f t="shared" si="508"/>
        <v>2020-04</v>
      </c>
      <c r="K2563">
        <v>10279.76</v>
      </c>
      <c r="L2563">
        <f t="shared" si="515"/>
        <v>-3.9745280999067836E-2</v>
      </c>
      <c r="M2563" t="str">
        <f t="shared" si="509"/>
        <v>2020-04</v>
      </c>
      <c r="O2563">
        <v>6429.3243000000002</v>
      </c>
      <c r="P2563">
        <f t="shared" si="516"/>
        <v>-3.5032904179876222E-2</v>
      </c>
      <c r="Q2563" t="str">
        <f t="shared" si="510"/>
        <v>2020-04</v>
      </c>
      <c r="S2563">
        <v>6839.5</v>
      </c>
      <c r="T2563">
        <f t="shared" si="517"/>
        <v>-3.8590689112776008E-2</v>
      </c>
      <c r="U2563" t="str">
        <f t="shared" si="511"/>
        <v>2020-04</v>
      </c>
      <c r="W2563">
        <v>16719.07</v>
      </c>
      <c r="X2563">
        <f t="shared" si="518"/>
        <v>-4.8984192364960447E-2</v>
      </c>
      <c r="Y2563">
        <f t="shared" si="519"/>
        <v>-4.7803818450738507E-2</v>
      </c>
      <c r="Z2563" t="str">
        <f t="shared" si="512"/>
        <v>2020-04</v>
      </c>
    </row>
    <row r="2564" spans="1:26" x14ac:dyDescent="0.35">
      <c r="A2564" s="1">
        <v>43937</v>
      </c>
      <c r="C2564">
        <v>2812.35</v>
      </c>
      <c r="D2564">
        <f t="shared" si="513"/>
        <v>1.4767240765276332E-3</v>
      </c>
      <c r="E2564" t="str">
        <f t="shared" ref="E2564:E2627" si="520">_xlfn.CONCAT(YEAR(A2564),"-",TEXT(MONTH(A2564),"00"))</f>
        <v>2020-04</v>
      </c>
      <c r="G2564">
        <v>4350.16</v>
      </c>
      <c r="H2564">
        <f t="shared" si="514"/>
        <v>-8.1802602943045896E-4</v>
      </c>
      <c r="I2564" t="str">
        <f t="shared" ref="I2564:I2627" si="521">_xlfn.CONCAT(YEAR(A2564),"-",TEXT(MONTH(A2564),"00"))</f>
        <v>2020-04</v>
      </c>
      <c r="K2564">
        <v>10301.540000000001</v>
      </c>
      <c r="L2564">
        <f t="shared" si="515"/>
        <v>2.1164851715208001E-3</v>
      </c>
      <c r="M2564" t="str">
        <f t="shared" ref="M2564:M2627" si="522">_xlfn.CONCAT(YEAR(A2564),"-",TEXT(MONTH(A2564),"00"))</f>
        <v>2020-04</v>
      </c>
      <c r="O2564">
        <v>6462.2522399999998</v>
      </c>
      <c r="P2564">
        <f t="shared" si="516"/>
        <v>5.1084538040661008E-3</v>
      </c>
      <c r="Q2564" t="str">
        <f t="shared" ref="Q2564:Q2627" si="523">_xlfn.CONCAT(YEAR(A2564),"-",TEXT(MONTH(A2564),"00"))</f>
        <v>2020-04</v>
      </c>
      <c r="S2564">
        <v>6763.4</v>
      </c>
      <c r="T2564">
        <f t="shared" si="517"/>
        <v>-1.1188907353879505E-2</v>
      </c>
      <c r="U2564" t="str">
        <f t="shared" ref="U2564:U2627" si="524">_xlfn.CONCAT(YEAR(A2564),"-",TEXT(MONTH(A2564),"00"))</f>
        <v>2020-04</v>
      </c>
      <c r="W2564">
        <v>16768.14</v>
      </c>
      <c r="X2564">
        <f t="shared" si="518"/>
        <v>2.9306732403932608E-3</v>
      </c>
      <c r="Y2564">
        <f t="shared" si="519"/>
        <v>2.9349718614731387E-3</v>
      </c>
      <c r="Z2564" t="str">
        <f t="shared" ref="Z2564:Z2627" si="525">_xlfn.CONCAT(YEAR(A2564),"-",TEXT(MONTH(A2564),"00"))</f>
        <v>2020-04</v>
      </c>
    </row>
    <row r="2565" spans="1:26" x14ac:dyDescent="0.35">
      <c r="A2565" s="1">
        <v>43938</v>
      </c>
      <c r="C2565">
        <v>2888.3</v>
      </c>
      <c r="D2565">
        <f t="shared" ref="D2565:D2628" si="526">LN(C2565/C2564)</f>
        <v>2.6647660977033097E-2</v>
      </c>
      <c r="E2565" t="str">
        <f t="shared" si="520"/>
        <v>2020-04</v>
      </c>
      <c r="G2565">
        <v>4499.01</v>
      </c>
      <c r="H2565">
        <f t="shared" ref="H2565:H2628" si="527">LN(G2565/G2564)</f>
        <v>3.3644746539362808E-2</v>
      </c>
      <c r="I2565" t="str">
        <f t="shared" si="521"/>
        <v>2020-04</v>
      </c>
      <c r="K2565">
        <v>10625.78</v>
      </c>
      <c r="L2565">
        <f t="shared" ref="L2565:L2628" si="528">LN(K2565/K2564)</f>
        <v>3.0989725258166095E-2</v>
      </c>
      <c r="M2565" t="str">
        <f t="shared" si="522"/>
        <v>2020-04</v>
      </c>
      <c r="O2565">
        <v>6655.5099</v>
      </c>
      <c r="P2565">
        <f t="shared" ref="P2565:P2628" si="529">LN(O2565/O2564)</f>
        <v>2.9467167000203971E-2</v>
      </c>
      <c r="Q2565" t="str">
        <f t="shared" si="523"/>
        <v>2020-04</v>
      </c>
      <c r="S2565">
        <v>6875.8</v>
      </c>
      <c r="T2565">
        <f t="shared" ref="T2565:T2628" si="530">LN(S2565/S2564)</f>
        <v>1.6482278225793331E-2</v>
      </c>
      <c r="U2565" t="str">
        <f t="shared" si="524"/>
        <v>2020-04</v>
      </c>
      <c r="W2565">
        <v>17055.47</v>
      </c>
      <c r="X2565">
        <f t="shared" ref="X2565:X2628" si="531">LN(W2565/W2564)</f>
        <v>1.6990316051387917E-2</v>
      </c>
      <c r="Y2565">
        <f t="shared" ref="Y2565:Y2628" si="532">(W2565-W2564)/W2564</f>
        <v>1.7135472389901429E-2</v>
      </c>
      <c r="Z2565" t="str">
        <f t="shared" si="525"/>
        <v>2020-04</v>
      </c>
    </row>
    <row r="2566" spans="1:26" x14ac:dyDescent="0.35">
      <c r="A2566" s="1">
        <v>43941</v>
      </c>
      <c r="C2566">
        <v>2909.5</v>
      </c>
      <c r="D2566">
        <f t="shared" si="526"/>
        <v>7.313151362622115E-3</v>
      </c>
      <c r="E2566" t="str">
        <f t="shared" si="520"/>
        <v>2020-04</v>
      </c>
      <c r="G2566">
        <v>4528.3</v>
      </c>
      <c r="H2566">
        <f t="shared" si="527"/>
        <v>6.4892205503919399E-3</v>
      </c>
      <c r="I2566" t="str">
        <f t="shared" si="521"/>
        <v>2020-04</v>
      </c>
      <c r="K2566">
        <v>10675.9</v>
      </c>
      <c r="L2566">
        <f t="shared" si="528"/>
        <v>4.7057408136876528E-3</v>
      </c>
      <c r="M2566" t="str">
        <f t="shared" si="522"/>
        <v>2020-04</v>
      </c>
      <c r="O2566">
        <v>6665.7705599999999</v>
      </c>
      <c r="P2566">
        <f t="shared" si="529"/>
        <v>1.5404918558622781E-3</v>
      </c>
      <c r="Q2566" t="str">
        <f t="shared" si="523"/>
        <v>2020-04</v>
      </c>
      <c r="S2566">
        <v>6831.5</v>
      </c>
      <c r="T2566">
        <f t="shared" si="530"/>
        <v>-6.4637316228704222E-3</v>
      </c>
      <c r="U2566" t="str">
        <f t="shared" si="524"/>
        <v>2020-04</v>
      </c>
      <c r="W2566">
        <v>17064.14</v>
      </c>
      <c r="X2566">
        <f t="shared" si="531"/>
        <v>5.0821215052612213E-4</v>
      </c>
      <c r="Y2566">
        <f t="shared" si="532"/>
        <v>5.0834131220061675E-4</v>
      </c>
      <c r="Z2566" t="str">
        <f t="shared" si="525"/>
        <v>2020-04</v>
      </c>
    </row>
    <row r="2567" spans="1:26" x14ac:dyDescent="0.35">
      <c r="A2567" s="1">
        <v>43942</v>
      </c>
      <c r="C2567">
        <v>2791.34</v>
      </c>
      <c r="D2567">
        <f t="shared" si="526"/>
        <v>-4.1459477843720699E-2</v>
      </c>
      <c r="E2567" t="str">
        <f t="shared" si="520"/>
        <v>2020-04</v>
      </c>
      <c r="G2567">
        <v>4357.46</v>
      </c>
      <c r="H2567">
        <f t="shared" si="527"/>
        <v>-3.8457274328654263E-2</v>
      </c>
      <c r="I2567" t="str">
        <f t="shared" si="521"/>
        <v>2020-04</v>
      </c>
      <c r="K2567">
        <v>10249.85</v>
      </c>
      <c r="L2567">
        <f t="shared" si="528"/>
        <v>-4.0725793363366819E-2</v>
      </c>
      <c r="M2567" t="str">
        <f t="shared" si="522"/>
        <v>2020-04</v>
      </c>
      <c r="O2567">
        <v>6382.8327300000001</v>
      </c>
      <c r="P2567">
        <f t="shared" si="529"/>
        <v>-4.3373559466673692E-2</v>
      </c>
      <c r="Q2567" t="str">
        <f t="shared" si="523"/>
        <v>2020-04</v>
      </c>
      <c r="S2567">
        <v>6634.9</v>
      </c>
      <c r="T2567">
        <f t="shared" si="530"/>
        <v>-2.9200672715865027E-2</v>
      </c>
      <c r="U2567" t="str">
        <f t="shared" si="524"/>
        <v>2020-04</v>
      </c>
      <c r="W2567">
        <v>16450.849999999999</v>
      </c>
      <c r="X2567">
        <f t="shared" si="531"/>
        <v>-3.6602037933366367E-2</v>
      </c>
      <c r="Y2567">
        <f t="shared" si="532"/>
        <v>-3.5940281783904779E-2</v>
      </c>
      <c r="Z2567" t="str">
        <f t="shared" si="525"/>
        <v>2020-04</v>
      </c>
    </row>
    <row r="2568" spans="1:26" x14ac:dyDescent="0.35">
      <c r="A2568" s="1">
        <v>43943</v>
      </c>
      <c r="C2568">
        <v>2834.9</v>
      </c>
      <c r="D2568">
        <f t="shared" si="526"/>
        <v>1.5484895918121876E-2</v>
      </c>
      <c r="E2568" t="str">
        <f t="shared" si="520"/>
        <v>2020-04</v>
      </c>
      <c r="G2568">
        <v>4411.8</v>
      </c>
      <c r="H2568">
        <f t="shared" si="527"/>
        <v>1.2393450653632843E-2</v>
      </c>
      <c r="I2568" t="str">
        <f t="shared" si="521"/>
        <v>2020-04</v>
      </c>
      <c r="K2568">
        <v>10415.030000000001</v>
      </c>
      <c r="L2568">
        <f t="shared" si="528"/>
        <v>1.59868838386651E-2</v>
      </c>
      <c r="M2568" t="str">
        <f t="shared" si="522"/>
        <v>2020-04</v>
      </c>
      <c r="O2568">
        <v>6567.7196100000001</v>
      </c>
      <c r="P2568">
        <f t="shared" si="529"/>
        <v>2.8554680537615142E-2</v>
      </c>
      <c r="Q2568" t="str">
        <f t="shared" si="523"/>
        <v>2020-04</v>
      </c>
      <c r="S2568">
        <v>6719.8</v>
      </c>
      <c r="T2568">
        <f t="shared" si="530"/>
        <v>1.2714796106861581E-2</v>
      </c>
      <c r="U2568" t="str">
        <f t="shared" si="524"/>
        <v>2020-04</v>
      </c>
      <c r="W2568">
        <v>16765.28</v>
      </c>
      <c r="X2568">
        <f t="shared" si="531"/>
        <v>1.8932933631136108E-2</v>
      </c>
      <c r="Y2568">
        <f t="shared" si="532"/>
        <v>1.9113298097058834E-2</v>
      </c>
      <c r="Z2568" t="str">
        <f t="shared" si="525"/>
        <v>2020-04</v>
      </c>
    </row>
    <row r="2569" spans="1:26" x14ac:dyDescent="0.35">
      <c r="A2569" s="1">
        <v>43944</v>
      </c>
      <c r="C2569">
        <v>2852.46</v>
      </c>
      <c r="D2569">
        <f t="shared" si="526"/>
        <v>6.1751166797556333E-3</v>
      </c>
      <c r="E2569" t="str">
        <f t="shared" si="520"/>
        <v>2020-04</v>
      </c>
      <c r="G2569">
        <v>4451</v>
      </c>
      <c r="H2569">
        <f t="shared" si="527"/>
        <v>8.8460205856226212E-3</v>
      </c>
      <c r="I2569" t="str">
        <f t="shared" si="521"/>
        <v>2020-04</v>
      </c>
      <c r="K2569">
        <v>10513.79</v>
      </c>
      <c r="L2569">
        <f t="shared" si="528"/>
        <v>9.4377736592839625E-3</v>
      </c>
      <c r="M2569" t="str">
        <f t="shared" si="522"/>
        <v>2020-04</v>
      </c>
      <c r="O2569">
        <v>6660.1374299999998</v>
      </c>
      <c r="P2569">
        <f t="shared" si="529"/>
        <v>1.3973438552348803E-2</v>
      </c>
      <c r="Q2569" t="str">
        <f t="shared" si="523"/>
        <v>2020-04</v>
      </c>
      <c r="S2569">
        <v>6746.5</v>
      </c>
      <c r="T2569">
        <f t="shared" si="530"/>
        <v>3.9654597013029638E-3</v>
      </c>
      <c r="U2569" t="str">
        <f t="shared" si="524"/>
        <v>2020-04</v>
      </c>
      <c r="W2569">
        <v>17011.11</v>
      </c>
      <c r="X2569">
        <f t="shared" si="531"/>
        <v>1.4556578770528445E-2</v>
      </c>
      <c r="Y2569">
        <f t="shared" si="532"/>
        <v>1.4663041714782082E-2</v>
      </c>
      <c r="Z2569" t="str">
        <f t="shared" si="525"/>
        <v>2020-04</v>
      </c>
    </row>
    <row r="2570" spans="1:26" x14ac:dyDescent="0.35">
      <c r="A2570" s="1">
        <v>43945</v>
      </c>
      <c r="C2570">
        <v>2809.07</v>
      </c>
      <c r="D2570">
        <f t="shared" si="526"/>
        <v>-1.5328312156812999E-2</v>
      </c>
      <c r="E2570" t="str">
        <f t="shared" si="520"/>
        <v>2020-04</v>
      </c>
      <c r="G2570">
        <v>4393.32</v>
      </c>
      <c r="H2570">
        <f t="shared" si="527"/>
        <v>-1.3043584533436896E-2</v>
      </c>
      <c r="I2570" t="str">
        <f t="shared" si="521"/>
        <v>2020-04</v>
      </c>
      <c r="K2570">
        <v>10336.09</v>
      </c>
      <c r="L2570">
        <f t="shared" si="528"/>
        <v>-1.7046074396267291E-2</v>
      </c>
      <c r="M2570" t="str">
        <f t="shared" si="522"/>
        <v>2020-04</v>
      </c>
      <c r="O2570">
        <v>6574.96738</v>
      </c>
      <c r="P2570">
        <f t="shared" si="529"/>
        <v>-1.2870502639740069E-2</v>
      </c>
      <c r="Q2570" t="str">
        <f t="shared" si="523"/>
        <v>2020-04</v>
      </c>
      <c r="S2570">
        <v>6613.9</v>
      </c>
      <c r="T2570">
        <f t="shared" si="530"/>
        <v>-1.9850356887008331E-2</v>
      </c>
      <c r="U2570" t="str">
        <f t="shared" si="524"/>
        <v>2020-04</v>
      </c>
      <c r="W2570">
        <v>16858.89</v>
      </c>
      <c r="X2570">
        <f t="shared" si="531"/>
        <v>-8.9885459031574955E-3</v>
      </c>
      <c r="Y2570">
        <f t="shared" si="532"/>
        <v>-8.9482696896323148E-3</v>
      </c>
      <c r="Z2570" t="str">
        <f t="shared" si="525"/>
        <v>2020-04</v>
      </c>
    </row>
    <row r="2571" spans="1:26" x14ac:dyDescent="0.35">
      <c r="A2571" s="1">
        <v>43948</v>
      </c>
      <c r="C2571">
        <v>2882.09</v>
      </c>
      <c r="D2571">
        <f t="shared" si="526"/>
        <v>2.5662257691476387E-2</v>
      </c>
      <c r="E2571" t="str">
        <f t="shared" si="520"/>
        <v>2020-04</v>
      </c>
      <c r="G2571">
        <v>4505.26</v>
      </c>
      <c r="H2571">
        <f t="shared" si="527"/>
        <v>2.5160397546150452E-2</v>
      </c>
      <c r="I2571" t="str">
        <f t="shared" si="521"/>
        <v>2020-04</v>
      </c>
      <c r="K2571">
        <v>10659.99</v>
      </c>
      <c r="L2571">
        <f t="shared" si="528"/>
        <v>3.0855826218277326E-2</v>
      </c>
      <c r="M2571" t="str">
        <f t="shared" si="522"/>
        <v>2020-04</v>
      </c>
      <c r="O2571">
        <v>6701.03406</v>
      </c>
      <c r="P2571">
        <f t="shared" si="529"/>
        <v>1.8992234966784038E-2</v>
      </c>
      <c r="Q2571" t="str">
        <f t="shared" si="523"/>
        <v>2020-04</v>
      </c>
      <c r="S2571">
        <v>6731.8</v>
      </c>
      <c r="T2571">
        <f t="shared" si="530"/>
        <v>1.7669072032307997E-2</v>
      </c>
      <c r="U2571" t="str">
        <f t="shared" si="524"/>
        <v>2020-04</v>
      </c>
      <c r="W2571">
        <v>17380.21</v>
      </c>
      <c r="X2571">
        <f t="shared" si="531"/>
        <v>3.0454088510631024E-2</v>
      </c>
      <c r="Y2571">
        <f t="shared" si="532"/>
        <v>3.0922557772190204E-2</v>
      </c>
      <c r="Z2571" t="str">
        <f t="shared" si="525"/>
        <v>2020-04</v>
      </c>
    </row>
    <row r="2572" spans="1:26" x14ac:dyDescent="0.35">
      <c r="A2572" s="1">
        <v>43949</v>
      </c>
      <c r="C2572">
        <v>2932.06</v>
      </c>
      <c r="D2572">
        <f t="shared" si="526"/>
        <v>1.7189522258818896E-2</v>
      </c>
      <c r="E2572" t="str">
        <f t="shared" si="520"/>
        <v>2020-04</v>
      </c>
      <c r="G2572">
        <v>4569.79</v>
      </c>
      <c r="H2572">
        <f t="shared" si="527"/>
        <v>1.4221648943907116E-2</v>
      </c>
      <c r="I2572" t="str">
        <f t="shared" si="521"/>
        <v>2020-04</v>
      </c>
      <c r="K2572">
        <v>10795.63</v>
      </c>
      <c r="L2572">
        <f t="shared" si="528"/>
        <v>1.2643941964931869E-2</v>
      </c>
      <c r="M2572" t="str">
        <f t="shared" si="522"/>
        <v>2020-04</v>
      </c>
      <c r="O2572">
        <v>6836.4326099999998</v>
      </c>
      <c r="P2572">
        <f t="shared" si="529"/>
        <v>2.0004195533675634E-2</v>
      </c>
      <c r="Q2572" t="str">
        <f t="shared" si="523"/>
        <v>2020-04</v>
      </c>
      <c r="S2572">
        <v>6836.4</v>
      </c>
      <c r="T2572">
        <f t="shared" si="530"/>
        <v>1.5418710258208469E-2</v>
      </c>
      <c r="U2572" t="str">
        <f t="shared" si="524"/>
        <v>2020-04</v>
      </c>
      <c r="W2572">
        <v>17677.150000000001</v>
      </c>
      <c r="X2572">
        <f t="shared" si="531"/>
        <v>1.6940642502400446E-2</v>
      </c>
      <c r="Y2572">
        <f t="shared" si="532"/>
        <v>1.7084948916037398E-2</v>
      </c>
      <c r="Z2572" t="str">
        <f t="shared" si="525"/>
        <v>2020-04</v>
      </c>
    </row>
    <row r="2573" spans="1:26" x14ac:dyDescent="0.35">
      <c r="A2573" s="1">
        <v>43950</v>
      </c>
      <c r="C2573">
        <v>2996.08</v>
      </c>
      <c r="D2573">
        <f t="shared" si="526"/>
        <v>2.1599519905940001E-2</v>
      </c>
      <c r="E2573" t="str">
        <f t="shared" si="520"/>
        <v>2020-04</v>
      </c>
      <c r="G2573">
        <v>4671.1099999999997</v>
      </c>
      <c r="H2573">
        <f t="shared" si="527"/>
        <v>2.1929478813468149E-2</v>
      </c>
      <c r="I2573" t="str">
        <f t="shared" si="521"/>
        <v>2020-04</v>
      </c>
      <c r="K2573">
        <v>11107.74</v>
      </c>
      <c r="L2573">
        <f t="shared" si="528"/>
        <v>2.8500740000894038E-2</v>
      </c>
      <c r="M2573" t="str">
        <f t="shared" si="522"/>
        <v>2020-04</v>
      </c>
      <c r="O2573">
        <v>7009.8759</v>
      </c>
      <c r="P2573">
        <f t="shared" si="529"/>
        <v>2.5053950273515698E-2</v>
      </c>
      <c r="Q2573" t="str">
        <f t="shared" si="523"/>
        <v>2020-04</v>
      </c>
      <c r="S2573">
        <v>7055.7</v>
      </c>
      <c r="T2573">
        <f t="shared" si="530"/>
        <v>3.1574523501600706E-2</v>
      </c>
      <c r="U2573" t="str">
        <f t="shared" si="524"/>
        <v>2020-04</v>
      </c>
      <c r="W2573">
        <v>18067.29</v>
      </c>
      <c r="X2573">
        <f t="shared" si="531"/>
        <v>2.1830275906830107E-2</v>
      </c>
      <c r="Y2573">
        <f t="shared" si="532"/>
        <v>2.2070299793801568E-2</v>
      </c>
      <c r="Z2573" t="str">
        <f t="shared" si="525"/>
        <v>2020-04</v>
      </c>
    </row>
    <row r="2574" spans="1:26" x14ac:dyDescent="0.35">
      <c r="A2574" s="1">
        <v>43951</v>
      </c>
      <c r="C2574">
        <v>2927.93</v>
      </c>
      <c r="D2574">
        <f t="shared" si="526"/>
        <v>-2.3009078858706077E-2</v>
      </c>
      <c r="E2574" t="str">
        <f t="shared" si="520"/>
        <v>2020-04</v>
      </c>
      <c r="G2574">
        <v>4572.18</v>
      </c>
      <c r="H2574">
        <f t="shared" si="527"/>
        <v>-2.1406615567482884E-2</v>
      </c>
      <c r="I2574" t="str">
        <f t="shared" si="521"/>
        <v>2020-04</v>
      </c>
      <c r="K2574">
        <v>10861.64</v>
      </c>
      <c r="L2574">
        <f t="shared" si="528"/>
        <v>-2.2404846620945568E-2</v>
      </c>
      <c r="M2574" t="str">
        <f t="shared" si="522"/>
        <v>2020-04</v>
      </c>
      <c r="O2574">
        <v>6788.7925599999999</v>
      </c>
      <c r="P2574">
        <f t="shared" si="529"/>
        <v>-3.2046898066140035E-2</v>
      </c>
      <c r="Q2574" t="str">
        <f t="shared" si="523"/>
        <v>2020-04</v>
      </c>
      <c r="S2574">
        <v>6922.3</v>
      </c>
      <c r="T2574">
        <f t="shared" si="530"/>
        <v>-1.908771644469251E-2</v>
      </c>
      <c r="U2574" t="str">
        <f t="shared" si="524"/>
        <v>2020-04</v>
      </c>
      <c r="W2574">
        <v>17690.490000000002</v>
      </c>
      <c r="X2574">
        <f t="shared" si="531"/>
        <v>-2.1075913974136391E-2</v>
      </c>
      <c r="Y2574">
        <f t="shared" si="532"/>
        <v>-2.0855369012176106E-2</v>
      </c>
      <c r="Z2574" t="str">
        <f t="shared" si="525"/>
        <v>2020-04</v>
      </c>
    </row>
    <row r="2575" spans="1:26" x14ac:dyDescent="0.35">
      <c r="A2575" s="1">
        <v>43955</v>
      </c>
      <c r="C2575">
        <v>2816.48</v>
      </c>
      <c r="D2575">
        <f t="shared" si="526"/>
        <v>-3.8807810393935403E-2</v>
      </c>
      <c r="E2575" t="str">
        <f t="shared" si="520"/>
        <v>2020-05</v>
      </c>
      <c r="G2575">
        <v>4378.2299999999996</v>
      </c>
      <c r="H2575">
        <f t="shared" si="527"/>
        <v>-4.3345582111293982E-2</v>
      </c>
      <c r="I2575" t="str">
        <f t="shared" si="521"/>
        <v>2020-05</v>
      </c>
      <c r="K2575">
        <v>10466.799999999999</v>
      </c>
      <c r="L2575">
        <f t="shared" si="528"/>
        <v>-3.7028972977372239E-2</v>
      </c>
      <c r="M2575" t="str">
        <f t="shared" si="522"/>
        <v>2020-05</v>
      </c>
      <c r="O2575">
        <v>6563.0042899999999</v>
      </c>
      <c r="P2575">
        <f t="shared" si="529"/>
        <v>-3.3824630386771908E-2</v>
      </c>
      <c r="Q2575" t="str">
        <f t="shared" si="523"/>
        <v>2020-05</v>
      </c>
      <c r="S2575">
        <v>6673.3</v>
      </c>
      <c r="T2575">
        <f t="shared" si="530"/>
        <v>-3.6633594147626597E-2</v>
      </c>
      <c r="U2575" t="str">
        <f t="shared" si="524"/>
        <v>2020-05</v>
      </c>
      <c r="W2575">
        <v>17035.61</v>
      </c>
      <c r="X2575">
        <f t="shared" si="531"/>
        <v>-3.7721347952089063E-2</v>
      </c>
      <c r="Y2575">
        <f t="shared" si="532"/>
        <v>-3.7018759796930492E-2</v>
      </c>
      <c r="Z2575" t="str">
        <f t="shared" si="525"/>
        <v>2020-05</v>
      </c>
    </row>
    <row r="2576" spans="1:26" x14ac:dyDescent="0.35">
      <c r="A2576" s="1">
        <v>43956</v>
      </c>
      <c r="C2576">
        <v>2875.91</v>
      </c>
      <c r="D2576">
        <f t="shared" si="526"/>
        <v>2.0881267590481097E-2</v>
      </c>
      <c r="E2576" t="str">
        <f t="shared" si="520"/>
        <v>2020-05</v>
      </c>
      <c r="G2576">
        <v>4483.13</v>
      </c>
      <c r="H2576">
        <f t="shared" si="527"/>
        <v>2.367693006637232E-2</v>
      </c>
      <c r="I2576" t="str">
        <f t="shared" si="521"/>
        <v>2020-05</v>
      </c>
      <c r="K2576">
        <v>10729.46</v>
      </c>
      <c r="L2576">
        <f t="shared" si="528"/>
        <v>2.4784886169482025E-2</v>
      </c>
      <c r="M2576" t="str">
        <f t="shared" si="522"/>
        <v>2020-05</v>
      </c>
      <c r="O2576">
        <v>6713.8822499999997</v>
      </c>
      <c r="P2576">
        <f t="shared" si="529"/>
        <v>2.2728891267856707E-2</v>
      </c>
      <c r="Q2576" t="str">
        <f t="shared" si="523"/>
        <v>2020-05</v>
      </c>
      <c r="S2576">
        <v>6747.7</v>
      </c>
      <c r="T2576">
        <f t="shared" si="530"/>
        <v>1.1087215876886177E-2</v>
      </c>
      <c r="U2576" t="str">
        <f t="shared" si="524"/>
        <v>2020-05</v>
      </c>
      <c r="W2576">
        <v>17387.38</v>
      </c>
      <c r="X2576">
        <f t="shared" si="531"/>
        <v>2.043879661493167E-2</v>
      </c>
      <c r="Y2576">
        <f t="shared" si="532"/>
        <v>2.0649099151718104E-2</v>
      </c>
      <c r="Z2576" t="str">
        <f t="shared" si="525"/>
        <v>2020-05</v>
      </c>
    </row>
    <row r="2577" spans="1:26" x14ac:dyDescent="0.35">
      <c r="A2577" s="1">
        <v>43957</v>
      </c>
      <c r="C2577">
        <v>2843.76</v>
      </c>
      <c r="D2577">
        <f t="shared" si="526"/>
        <v>-1.1242025711549069E-2</v>
      </c>
      <c r="E2577" t="str">
        <f t="shared" si="520"/>
        <v>2020-05</v>
      </c>
      <c r="G2577">
        <v>4433.38</v>
      </c>
      <c r="H2577">
        <f t="shared" si="527"/>
        <v>-1.1159190371414902E-2</v>
      </c>
      <c r="I2577" t="str">
        <f t="shared" si="521"/>
        <v>2020-05</v>
      </c>
      <c r="K2577">
        <v>10606.2</v>
      </c>
      <c r="L2577">
        <f t="shared" si="528"/>
        <v>-1.155449340018919E-2</v>
      </c>
      <c r="M2577" t="str">
        <f t="shared" si="522"/>
        <v>2020-05</v>
      </c>
      <c r="O2577">
        <v>6693.8804600000003</v>
      </c>
      <c r="P2577">
        <f t="shared" si="529"/>
        <v>-2.9836155771178641E-3</v>
      </c>
      <c r="Q2577" t="str">
        <f t="shared" si="523"/>
        <v>2020-05</v>
      </c>
      <c r="S2577">
        <v>6671.7</v>
      </c>
      <c r="T2577">
        <f t="shared" si="530"/>
        <v>-1.1327006061624605E-2</v>
      </c>
      <c r="U2577" t="str">
        <f t="shared" si="524"/>
        <v>2020-05</v>
      </c>
      <c r="W2577">
        <v>17159.310000000001</v>
      </c>
      <c r="X2577">
        <f t="shared" si="531"/>
        <v>-1.3203772254869304E-2</v>
      </c>
      <c r="Y2577">
        <f t="shared" si="532"/>
        <v>-1.3116984847630851E-2</v>
      </c>
      <c r="Z2577" t="str">
        <f t="shared" si="525"/>
        <v>2020-05</v>
      </c>
    </row>
    <row r="2578" spans="1:26" x14ac:dyDescent="0.35">
      <c r="A2578" s="1">
        <v>43958</v>
      </c>
      <c r="C2578">
        <v>2880.6</v>
      </c>
      <c r="D2578">
        <f t="shared" si="526"/>
        <v>1.2871485588355337E-2</v>
      </c>
      <c r="E2578" t="str">
        <f t="shared" si="520"/>
        <v>2020-05</v>
      </c>
      <c r="G2578">
        <v>4501.4399999999996</v>
      </c>
      <c r="H2578">
        <f t="shared" si="527"/>
        <v>1.5235072767207427E-2</v>
      </c>
      <c r="I2578" t="str">
        <f t="shared" si="521"/>
        <v>2020-05</v>
      </c>
      <c r="K2578">
        <v>10759.27</v>
      </c>
      <c r="L2578">
        <f t="shared" si="528"/>
        <v>1.4328972778212797E-2</v>
      </c>
      <c r="M2578" t="str">
        <f t="shared" si="522"/>
        <v>2020-05</v>
      </c>
      <c r="O2578">
        <v>6783.0360600000004</v>
      </c>
      <c r="P2578">
        <f t="shared" si="529"/>
        <v>1.3231053334973715E-2</v>
      </c>
      <c r="Q2578" t="str">
        <f t="shared" si="523"/>
        <v>2020-05</v>
      </c>
      <c r="S2578">
        <v>6730.9</v>
      </c>
      <c r="T2578">
        <f t="shared" si="530"/>
        <v>8.8341642679720042E-3</v>
      </c>
      <c r="U2578" t="str">
        <f t="shared" si="524"/>
        <v>2020-05</v>
      </c>
      <c r="W2578">
        <v>17245.04</v>
      </c>
      <c r="X2578">
        <f t="shared" si="531"/>
        <v>4.983682437845199E-3</v>
      </c>
      <c r="Y2578">
        <f t="shared" si="532"/>
        <v>4.996121638923684E-3</v>
      </c>
      <c r="Z2578" t="str">
        <f t="shared" si="525"/>
        <v>2020-05</v>
      </c>
    </row>
    <row r="2579" spans="1:26" x14ac:dyDescent="0.35">
      <c r="A2579" s="1">
        <v>43962</v>
      </c>
      <c r="C2579">
        <v>2883.75</v>
      </c>
      <c r="D2579">
        <f t="shared" si="526"/>
        <v>1.0929247230136892E-3</v>
      </c>
      <c r="E2579" t="str">
        <f t="shared" si="520"/>
        <v>2020-05</v>
      </c>
      <c r="G2579">
        <v>4490.22</v>
      </c>
      <c r="H2579">
        <f t="shared" si="527"/>
        <v>-2.4956472605542454E-3</v>
      </c>
      <c r="I2579" t="str">
        <f t="shared" si="521"/>
        <v>2020-05</v>
      </c>
      <c r="K2579">
        <v>10824.99</v>
      </c>
      <c r="L2579">
        <f t="shared" si="528"/>
        <v>6.0896415346298055E-3</v>
      </c>
      <c r="M2579" t="str">
        <f t="shared" si="522"/>
        <v>2020-05</v>
      </c>
      <c r="O2579">
        <v>6783.8663100000003</v>
      </c>
      <c r="P2579">
        <f t="shared" si="529"/>
        <v>1.2239345111992613E-4</v>
      </c>
      <c r="Q2579" t="str">
        <f t="shared" si="523"/>
        <v>2020-05</v>
      </c>
      <c r="S2579">
        <v>6672.2</v>
      </c>
      <c r="T2579">
        <f t="shared" si="530"/>
        <v>-8.7592236583699072E-3</v>
      </c>
      <c r="U2579" t="str">
        <f t="shared" si="524"/>
        <v>2020-05</v>
      </c>
      <c r="W2579">
        <v>17381.36</v>
      </c>
      <c r="X2579">
        <f t="shared" si="531"/>
        <v>7.8738017398514507E-3</v>
      </c>
      <c r="Y2579">
        <f t="shared" si="532"/>
        <v>7.9048816355311267E-3</v>
      </c>
      <c r="Z2579" t="str">
        <f t="shared" si="525"/>
        <v>2020-05</v>
      </c>
    </row>
    <row r="2580" spans="1:26" x14ac:dyDescent="0.35">
      <c r="A2580" s="1">
        <v>43963</v>
      </c>
      <c r="C2580">
        <v>2884.2</v>
      </c>
      <c r="D2580">
        <f t="shared" si="526"/>
        <v>1.5603464000661841E-4</v>
      </c>
      <c r="E2580" t="str">
        <f t="shared" si="520"/>
        <v>2020-05</v>
      </c>
      <c r="G2580">
        <v>4472.5</v>
      </c>
      <c r="H2580">
        <f t="shared" si="527"/>
        <v>-3.954161925902611E-3</v>
      </c>
      <c r="I2580" t="str">
        <f t="shared" si="521"/>
        <v>2020-05</v>
      </c>
      <c r="K2580">
        <v>10819.5</v>
      </c>
      <c r="L2580">
        <f t="shared" si="528"/>
        <v>-5.0728847089804804E-4</v>
      </c>
      <c r="M2580" t="str">
        <f t="shared" si="522"/>
        <v>2020-05</v>
      </c>
      <c r="O2580">
        <v>6790.8683799999999</v>
      </c>
      <c r="P2580">
        <f t="shared" si="529"/>
        <v>1.0316327767588345E-3</v>
      </c>
      <c r="Q2580" t="str">
        <f t="shared" si="523"/>
        <v>2020-05</v>
      </c>
      <c r="S2580">
        <v>6762.7</v>
      </c>
      <c r="T2580">
        <f t="shared" si="530"/>
        <v>1.3472577970281795E-2</v>
      </c>
      <c r="U2580" t="str">
        <f t="shared" si="524"/>
        <v>2020-05</v>
      </c>
      <c r="W2580">
        <v>17559.32</v>
      </c>
      <c r="X2580">
        <f t="shared" si="531"/>
        <v>1.0186495444718361E-2</v>
      </c>
      <c r="Y2580">
        <f t="shared" si="532"/>
        <v>1.0238554405408962E-2</v>
      </c>
      <c r="Z2580" t="str">
        <f t="shared" si="525"/>
        <v>2020-05</v>
      </c>
    </row>
    <row r="2581" spans="1:26" x14ac:dyDescent="0.35">
      <c r="A2581" s="1">
        <v>43964</v>
      </c>
      <c r="C2581">
        <v>2810.55</v>
      </c>
      <c r="D2581">
        <f t="shared" si="526"/>
        <v>-2.5867371415338715E-2</v>
      </c>
      <c r="E2581" t="str">
        <f t="shared" si="520"/>
        <v>2020-05</v>
      </c>
      <c r="G2581">
        <v>4344.95</v>
      </c>
      <c r="H2581">
        <f t="shared" si="527"/>
        <v>-2.8933285229455308E-2</v>
      </c>
      <c r="I2581" t="str">
        <f t="shared" si="521"/>
        <v>2020-05</v>
      </c>
      <c r="K2581">
        <v>10542.66</v>
      </c>
      <c r="L2581">
        <f t="shared" si="528"/>
        <v>-2.5920178440410342E-2</v>
      </c>
      <c r="M2581" t="str">
        <f t="shared" si="522"/>
        <v>2020-05</v>
      </c>
      <c r="O2581">
        <v>6670.5617599999996</v>
      </c>
      <c r="P2581">
        <f t="shared" si="529"/>
        <v>-1.7874746139322602E-2</v>
      </c>
      <c r="Q2581" t="str">
        <f t="shared" si="523"/>
        <v>2020-05</v>
      </c>
      <c r="S2581">
        <v>6631.4</v>
      </c>
      <c r="T2581">
        <f t="shared" si="530"/>
        <v>-1.9606275302664854E-2</v>
      </c>
      <c r="U2581" t="str">
        <f t="shared" si="524"/>
        <v>2020-05</v>
      </c>
      <c r="W2581">
        <v>17183.439999999999</v>
      </c>
      <c r="X2581">
        <f t="shared" si="531"/>
        <v>-2.163873374252365E-2</v>
      </c>
      <c r="Y2581">
        <f t="shared" si="532"/>
        <v>-2.140629591578723E-2</v>
      </c>
      <c r="Z2581" t="str">
        <f t="shared" si="525"/>
        <v>2020-05</v>
      </c>
    </row>
    <row r="2582" spans="1:26" x14ac:dyDescent="0.35">
      <c r="A2582" s="1">
        <v>43965</v>
      </c>
      <c r="C2582">
        <v>2760.23</v>
      </c>
      <c r="D2582">
        <f t="shared" si="526"/>
        <v>-1.8066184140131628E-2</v>
      </c>
      <c r="E2582" t="str">
        <f t="shared" si="520"/>
        <v>2020-05</v>
      </c>
      <c r="G2582">
        <v>4273.13</v>
      </c>
      <c r="H2582">
        <f t="shared" si="527"/>
        <v>-1.6667671382198317E-2</v>
      </c>
      <c r="I2582" t="str">
        <f t="shared" si="521"/>
        <v>2020-05</v>
      </c>
      <c r="K2582">
        <v>10337.02</v>
      </c>
      <c r="L2582">
        <f t="shared" si="528"/>
        <v>-1.9698256807483681E-2</v>
      </c>
      <c r="M2582" t="str">
        <f t="shared" si="522"/>
        <v>2020-05</v>
      </c>
      <c r="O2582">
        <v>6495.0438999999997</v>
      </c>
      <c r="P2582">
        <f t="shared" si="529"/>
        <v>-2.6664669124983522E-2</v>
      </c>
      <c r="Q2582" t="str">
        <f t="shared" si="523"/>
        <v>2020-05</v>
      </c>
      <c r="S2582">
        <v>6545.6</v>
      </c>
      <c r="T2582">
        <f t="shared" si="530"/>
        <v>-1.3022875100978127E-2</v>
      </c>
      <c r="U2582" t="str">
        <f t="shared" si="524"/>
        <v>2020-05</v>
      </c>
      <c r="W2582">
        <v>16867.759999999998</v>
      </c>
      <c r="X2582">
        <f t="shared" si="531"/>
        <v>-1.8542021682229053E-2</v>
      </c>
      <c r="Y2582">
        <f t="shared" si="532"/>
        <v>-1.8371175969421741E-2</v>
      </c>
      <c r="Z2582" t="str">
        <f t="shared" si="525"/>
        <v>2020-05</v>
      </c>
    </row>
    <row r="2583" spans="1:26" x14ac:dyDescent="0.35">
      <c r="A2583" s="1">
        <v>43966</v>
      </c>
      <c r="C2583">
        <v>2770.7</v>
      </c>
      <c r="D2583">
        <f t="shared" si="526"/>
        <v>3.7859862649295339E-3</v>
      </c>
      <c r="E2583" t="str">
        <f t="shared" si="520"/>
        <v>2020-05</v>
      </c>
      <c r="G2583">
        <v>4277.63</v>
      </c>
      <c r="H2583">
        <f t="shared" si="527"/>
        <v>1.0525381171823005E-3</v>
      </c>
      <c r="I2583" t="str">
        <f t="shared" si="521"/>
        <v>2020-05</v>
      </c>
      <c r="K2583">
        <v>10465.17</v>
      </c>
      <c r="L2583">
        <f t="shared" si="528"/>
        <v>1.2320974009154828E-2</v>
      </c>
      <c r="M2583" t="str">
        <f t="shared" si="522"/>
        <v>2020-05</v>
      </c>
      <c r="O2583">
        <v>6503.8782899999997</v>
      </c>
      <c r="P2583">
        <f t="shared" si="529"/>
        <v>1.3592498256460074E-3</v>
      </c>
      <c r="Q2583" t="str">
        <f t="shared" si="523"/>
        <v>2020-05</v>
      </c>
      <c r="S2583">
        <v>6474.9</v>
      </c>
      <c r="T2583">
        <f t="shared" si="530"/>
        <v>-1.0859904742099779E-2</v>
      </c>
      <c r="U2583" t="str">
        <f t="shared" si="524"/>
        <v>2020-05</v>
      </c>
      <c r="W2583">
        <v>16852.349999999999</v>
      </c>
      <c r="X2583">
        <f t="shared" si="531"/>
        <v>-9.1399470955312188E-4</v>
      </c>
      <c r="Y2583">
        <f t="shared" si="532"/>
        <v>-9.1357714361597843E-4</v>
      </c>
      <c r="Z2583" t="str">
        <f t="shared" si="525"/>
        <v>2020-05</v>
      </c>
    </row>
    <row r="2584" spans="1:26" x14ac:dyDescent="0.35">
      <c r="A2584" s="1">
        <v>43969</v>
      </c>
      <c r="C2584">
        <v>2911.88</v>
      </c>
      <c r="D2584">
        <f t="shared" si="526"/>
        <v>4.9698924838833106E-2</v>
      </c>
      <c r="E2584" t="str">
        <f t="shared" si="520"/>
        <v>2020-05</v>
      </c>
      <c r="G2584">
        <v>4498.34</v>
      </c>
      <c r="H2584">
        <f t="shared" si="527"/>
        <v>5.0309321924875861E-2</v>
      </c>
      <c r="I2584" t="str">
        <f t="shared" si="521"/>
        <v>2020-05</v>
      </c>
      <c r="K2584">
        <v>11058.87</v>
      </c>
      <c r="L2584">
        <f t="shared" si="528"/>
        <v>5.5180220501603067E-2</v>
      </c>
      <c r="M2584" t="str">
        <f t="shared" si="522"/>
        <v>2020-05</v>
      </c>
      <c r="O2584">
        <v>6753.3070100000004</v>
      </c>
      <c r="P2584">
        <f t="shared" si="529"/>
        <v>3.7633653345812035E-2</v>
      </c>
      <c r="Q2584" t="str">
        <f t="shared" si="523"/>
        <v>2020-05</v>
      </c>
      <c r="S2584">
        <v>6779.3</v>
      </c>
      <c r="T2584">
        <f t="shared" si="530"/>
        <v>4.5940688333533632E-2</v>
      </c>
      <c r="U2584" t="str">
        <f t="shared" si="524"/>
        <v>2020-05</v>
      </c>
      <c r="W2584">
        <v>17401.45</v>
      </c>
      <c r="X2584">
        <f t="shared" si="531"/>
        <v>3.2063423132506888E-2</v>
      </c>
      <c r="Y2584">
        <f t="shared" si="532"/>
        <v>3.2582992876364555E-2</v>
      </c>
      <c r="Z2584" t="str">
        <f t="shared" si="525"/>
        <v>2020-05</v>
      </c>
    </row>
    <row r="2585" spans="1:26" x14ac:dyDescent="0.35">
      <c r="A2585" s="1">
        <v>43970</v>
      </c>
      <c r="C2585">
        <v>2902.58</v>
      </c>
      <c r="D2585">
        <f t="shared" si="526"/>
        <v>-3.19892403788584E-3</v>
      </c>
      <c r="E2585" t="str">
        <f t="shared" si="520"/>
        <v>2020-05</v>
      </c>
      <c r="G2585">
        <v>4458.16</v>
      </c>
      <c r="H2585">
        <f t="shared" si="527"/>
        <v>-8.9723149776427188E-3</v>
      </c>
      <c r="I2585" t="str">
        <f t="shared" si="521"/>
        <v>2020-05</v>
      </c>
      <c r="K2585">
        <v>11075.29</v>
      </c>
      <c r="L2585">
        <f t="shared" si="528"/>
        <v>1.4836797973919443E-3</v>
      </c>
      <c r="M2585" t="str">
        <f t="shared" si="522"/>
        <v>2020-05</v>
      </c>
      <c r="O2585">
        <v>6727.1768000000002</v>
      </c>
      <c r="P2585">
        <f t="shared" si="529"/>
        <v>-3.8767514719254643E-3</v>
      </c>
      <c r="Q2585" t="str">
        <f t="shared" si="523"/>
        <v>2020-05</v>
      </c>
      <c r="S2585">
        <v>6609.1</v>
      </c>
      <c r="T2585">
        <f t="shared" si="530"/>
        <v>-2.542636452845537E-2</v>
      </c>
      <c r="U2585" t="str">
        <f t="shared" si="524"/>
        <v>2020-05</v>
      </c>
      <c r="W2585">
        <v>17034.54</v>
      </c>
      <c r="X2585">
        <f t="shared" si="531"/>
        <v>-2.1310488562098127E-2</v>
      </c>
      <c r="Y2585">
        <f t="shared" si="532"/>
        <v>-2.108502452381841E-2</v>
      </c>
      <c r="Z2585" t="str">
        <f t="shared" si="525"/>
        <v>2020-05</v>
      </c>
    </row>
    <row r="2586" spans="1:26" x14ac:dyDescent="0.35">
      <c r="A2586" s="1">
        <v>43971</v>
      </c>
      <c r="C2586">
        <v>2942.39</v>
      </c>
      <c r="D2586">
        <f t="shared" si="526"/>
        <v>1.3622179619716766E-2</v>
      </c>
      <c r="E2586" t="str">
        <f t="shared" si="520"/>
        <v>2020-05</v>
      </c>
      <c r="G2586">
        <v>4496.9799999999996</v>
      </c>
      <c r="H2586">
        <f t="shared" si="527"/>
        <v>8.6699355157974431E-3</v>
      </c>
      <c r="I2586" t="str">
        <f t="shared" si="521"/>
        <v>2020-05</v>
      </c>
      <c r="K2586">
        <v>11223.71</v>
      </c>
      <c r="L2586">
        <f t="shared" si="528"/>
        <v>1.3312004285319749E-2</v>
      </c>
      <c r="M2586" t="str">
        <f t="shared" si="522"/>
        <v>2020-05</v>
      </c>
      <c r="O2586">
        <v>6759.7758400000002</v>
      </c>
      <c r="P2586">
        <f t="shared" si="529"/>
        <v>4.8341688970894234E-3</v>
      </c>
      <c r="Q2586" t="str">
        <f t="shared" si="523"/>
        <v>2020-05</v>
      </c>
      <c r="S2586">
        <v>6683.6</v>
      </c>
      <c r="T2586">
        <f t="shared" si="530"/>
        <v>1.120927728187574E-2</v>
      </c>
      <c r="U2586" t="str">
        <f t="shared" si="524"/>
        <v>2020-05</v>
      </c>
      <c r="W2586">
        <v>17213.11</v>
      </c>
      <c r="X2586">
        <f t="shared" si="531"/>
        <v>1.0428255268054238E-2</v>
      </c>
      <c r="Y2586">
        <f t="shared" si="532"/>
        <v>1.0482819025344958E-2</v>
      </c>
      <c r="Z2586" t="str">
        <f t="shared" si="525"/>
        <v>2020-05</v>
      </c>
    </row>
    <row r="2587" spans="1:26" x14ac:dyDescent="0.35">
      <c r="A2587" s="1">
        <v>43972</v>
      </c>
      <c r="C2587">
        <v>2904.98</v>
      </c>
      <c r="D2587">
        <f t="shared" si="526"/>
        <v>-1.2795670677364623E-2</v>
      </c>
      <c r="E2587" t="str">
        <f t="shared" si="520"/>
        <v>2020-05</v>
      </c>
      <c r="G2587">
        <v>4445.45</v>
      </c>
      <c r="H2587">
        <f t="shared" si="527"/>
        <v>-1.1524959182251032E-2</v>
      </c>
      <c r="I2587" t="str">
        <f t="shared" si="521"/>
        <v>2020-05</v>
      </c>
      <c r="K2587">
        <v>11065.93</v>
      </c>
      <c r="L2587">
        <f t="shared" si="528"/>
        <v>-1.4157486201634697E-2</v>
      </c>
      <c r="M2587" t="str">
        <f t="shared" si="522"/>
        <v>2020-05</v>
      </c>
      <c r="O2587">
        <v>6715.3361500000001</v>
      </c>
      <c r="P2587">
        <f t="shared" si="529"/>
        <v>-6.5958414513684806E-3</v>
      </c>
      <c r="Q2587" t="str">
        <f t="shared" si="523"/>
        <v>2020-05</v>
      </c>
      <c r="S2587">
        <v>6686.1</v>
      </c>
      <c r="T2587">
        <f t="shared" si="530"/>
        <v>3.7397997399149486E-4</v>
      </c>
      <c r="U2587" t="str">
        <f t="shared" si="524"/>
        <v>2020-05</v>
      </c>
      <c r="W2587">
        <v>17087.060000000001</v>
      </c>
      <c r="X2587">
        <f t="shared" si="531"/>
        <v>-7.3498508863254841E-3</v>
      </c>
      <c r="Y2587">
        <f t="shared" si="532"/>
        <v>-7.322906784421831E-3</v>
      </c>
      <c r="Z2587" t="str">
        <f t="shared" si="525"/>
        <v>2020-05</v>
      </c>
    </row>
    <row r="2588" spans="1:26" x14ac:dyDescent="0.35">
      <c r="A2588" s="1">
        <v>43973</v>
      </c>
      <c r="C2588">
        <v>2905.47</v>
      </c>
      <c r="D2588">
        <f t="shared" si="526"/>
        <v>1.6866163590134866E-4</v>
      </c>
      <c r="E2588" t="str">
        <f t="shared" si="520"/>
        <v>2020-05</v>
      </c>
      <c r="G2588">
        <v>4444.5600000000004</v>
      </c>
      <c r="H2588">
        <f t="shared" si="527"/>
        <v>-2.0022474732260073E-4</v>
      </c>
      <c r="I2588" t="str">
        <f t="shared" si="521"/>
        <v>2020-05</v>
      </c>
      <c r="K2588">
        <v>11073.87</v>
      </c>
      <c r="L2588">
        <f t="shared" si="528"/>
        <v>7.1726034927164573E-4</v>
      </c>
      <c r="M2588" t="str">
        <f t="shared" si="522"/>
        <v>2020-05</v>
      </c>
      <c r="O2588">
        <v>6698.4041399999996</v>
      </c>
      <c r="P2588">
        <f t="shared" si="529"/>
        <v>-2.5245783244558944E-3</v>
      </c>
      <c r="Q2588" t="str">
        <f t="shared" si="523"/>
        <v>2020-05</v>
      </c>
      <c r="S2588">
        <v>6697.5</v>
      </c>
      <c r="T2588">
        <f t="shared" si="530"/>
        <v>1.7035779247838289E-3</v>
      </c>
      <c r="U2588" t="str">
        <f t="shared" si="524"/>
        <v>2020-05</v>
      </c>
      <c r="W2588">
        <v>17316.29</v>
      </c>
      <c r="X2588">
        <f t="shared" si="531"/>
        <v>1.3326225054825606E-2</v>
      </c>
      <c r="Y2588">
        <f t="shared" si="532"/>
        <v>1.3415414939726292E-2</v>
      </c>
      <c r="Z2588" t="str">
        <f t="shared" si="525"/>
        <v>2020-05</v>
      </c>
    </row>
    <row r="2589" spans="1:26" x14ac:dyDescent="0.35">
      <c r="A2589" s="1">
        <v>43977</v>
      </c>
      <c r="C2589">
        <v>2999.22</v>
      </c>
      <c r="D2589">
        <f t="shared" si="526"/>
        <v>3.1757087627756996E-2</v>
      </c>
      <c r="E2589" t="str">
        <f t="shared" si="520"/>
        <v>2020-05</v>
      </c>
      <c r="G2589">
        <v>4606.24</v>
      </c>
      <c r="H2589">
        <f t="shared" si="527"/>
        <v>3.5731029550065137E-2</v>
      </c>
      <c r="I2589" t="str">
        <f t="shared" si="521"/>
        <v>2020-05</v>
      </c>
      <c r="K2589">
        <v>11504.65</v>
      </c>
      <c r="L2589">
        <f t="shared" si="528"/>
        <v>3.8163022345826463E-2</v>
      </c>
      <c r="M2589" t="str">
        <f t="shared" si="522"/>
        <v>2020-05</v>
      </c>
      <c r="O2589">
        <v>6819.0433300000004</v>
      </c>
      <c r="P2589">
        <f t="shared" si="529"/>
        <v>1.7849877856539874E-2</v>
      </c>
      <c r="Q2589" t="str">
        <f t="shared" si="523"/>
        <v>2020-05</v>
      </c>
      <c r="S2589">
        <v>7003.9</v>
      </c>
      <c r="T2589">
        <f t="shared" si="530"/>
        <v>4.4732814329370853E-2</v>
      </c>
      <c r="U2589" t="str">
        <f t="shared" si="524"/>
        <v>2020-05</v>
      </c>
      <c r="W2589">
        <v>17860.46</v>
      </c>
      <c r="X2589">
        <f t="shared" si="531"/>
        <v>3.0941654039491794E-2</v>
      </c>
      <c r="Y2589">
        <f t="shared" si="532"/>
        <v>3.1425322629731786E-2</v>
      </c>
      <c r="Z2589" t="str">
        <f t="shared" si="525"/>
        <v>2020-05</v>
      </c>
    </row>
    <row r="2590" spans="1:26" x14ac:dyDescent="0.35">
      <c r="A2590" s="1">
        <v>43978</v>
      </c>
      <c r="C2590">
        <v>3051.08</v>
      </c>
      <c r="D2590">
        <f t="shared" si="526"/>
        <v>1.7143371439697439E-2</v>
      </c>
      <c r="E2590" t="str">
        <f t="shared" si="520"/>
        <v>2020-05</v>
      </c>
      <c r="G2590">
        <v>4688.74</v>
      </c>
      <c r="H2590">
        <f t="shared" si="527"/>
        <v>1.7751983657301417E-2</v>
      </c>
      <c r="I2590" t="str">
        <f t="shared" si="521"/>
        <v>2020-05</v>
      </c>
      <c r="K2590">
        <v>11657.69</v>
      </c>
      <c r="L2590">
        <f t="shared" si="528"/>
        <v>1.3214746619046423E-2</v>
      </c>
      <c r="M2590" t="str">
        <f t="shared" si="522"/>
        <v>2020-05</v>
      </c>
      <c r="O2590">
        <v>6851.8884500000004</v>
      </c>
      <c r="P2590">
        <f t="shared" si="529"/>
        <v>4.8051125886046922E-3</v>
      </c>
      <c r="Q2590" t="str">
        <f t="shared" si="523"/>
        <v>2020-05</v>
      </c>
      <c r="S2590">
        <v>7174.5</v>
      </c>
      <c r="T2590">
        <f t="shared" si="530"/>
        <v>2.4065936040326485E-2</v>
      </c>
      <c r="U2590" t="str">
        <f t="shared" si="524"/>
        <v>2020-05</v>
      </c>
      <c r="W2590">
        <v>17910.25</v>
      </c>
      <c r="X2590">
        <f t="shared" si="531"/>
        <v>2.7838436617640531E-3</v>
      </c>
      <c r="Y2590">
        <f t="shared" si="532"/>
        <v>2.7877221527329572E-3</v>
      </c>
      <c r="Z2590" t="str">
        <f t="shared" si="525"/>
        <v>2020-05</v>
      </c>
    </row>
    <row r="2591" spans="1:26" x14ac:dyDescent="0.35">
      <c r="A2591" s="1">
        <v>43979</v>
      </c>
      <c r="C2591">
        <v>3094.47</v>
      </c>
      <c r="D2591">
        <f t="shared" si="526"/>
        <v>1.4121021228852603E-2</v>
      </c>
      <c r="E2591" t="str">
        <f t="shared" si="520"/>
        <v>2020-05</v>
      </c>
      <c r="G2591">
        <v>4771.3900000000003</v>
      </c>
      <c r="H2591">
        <f t="shared" si="527"/>
        <v>1.7473777415242277E-2</v>
      </c>
      <c r="I2591" t="str">
        <f t="shared" si="521"/>
        <v>2020-05</v>
      </c>
      <c r="K2591">
        <v>11781.13</v>
      </c>
      <c r="L2591">
        <f t="shared" si="528"/>
        <v>1.0533050832231831E-2</v>
      </c>
      <c r="M2591" t="str">
        <f t="shared" si="522"/>
        <v>2020-05</v>
      </c>
      <c r="O2591">
        <v>6923.6086500000001</v>
      </c>
      <c r="P2591">
        <f t="shared" si="529"/>
        <v>1.0412814508293147E-2</v>
      </c>
      <c r="Q2591" t="str">
        <f t="shared" si="523"/>
        <v>2020-05</v>
      </c>
      <c r="S2591">
        <v>7224.1</v>
      </c>
      <c r="T2591">
        <f t="shared" si="530"/>
        <v>6.8895859589510333E-3</v>
      </c>
      <c r="U2591" t="str">
        <f t="shared" si="524"/>
        <v>2020-05</v>
      </c>
      <c r="W2591">
        <v>18351.16</v>
      </c>
      <c r="X2591">
        <f t="shared" si="531"/>
        <v>2.4319613103935329E-2</v>
      </c>
      <c r="Y2591">
        <f t="shared" si="532"/>
        <v>2.4617746820954474E-2</v>
      </c>
      <c r="Z2591" t="str">
        <f t="shared" si="525"/>
        <v>2020-05</v>
      </c>
    </row>
    <row r="2592" spans="1:26" x14ac:dyDescent="0.35">
      <c r="A2592" s="1">
        <v>43980</v>
      </c>
      <c r="C2592">
        <v>3050.2</v>
      </c>
      <c r="D2592">
        <f t="shared" si="526"/>
        <v>-1.440948529085344E-2</v>
      </c>
      <c r="E2592" t="str">
        <f t="shared" si="520"/>
        <v>2020-05</v>
      </c>
      <c r="G2592">
        <v>4695.4399999999996</v>
      </c>
      <c r="H2592">
        <f t="shared" si="527"/>
        <v>-1.6045842073328289E-2</v>
      </c>
      <c r="I2592" t="str">
        <f t="shared" si="521"/>
        <v>2020-05</v>
      </c>
      <c r="K2592">
        <v>11586.85</v>
      </c>
      <c r="L2592">
        <f t="shared" si="528"/>
        <v>-1.6628264531304445E-2</v>
      </c>
      <c r="M2592" t="str">
        <f t="shared" si="522"/>
        <v>2020-05</v>
      </c>
      <c r="O2592">
        <v>6744.0513799999999</v>
      </c>
      <c r="P2592">
        <f t="shared" si="529"/>
        <v>-2.6276275624880538E-2</v>
      </c>
      <c r="Q2592" t="str">
        <f t="shared" si="523"/>
        <v>2020-05</v>
      </c>
      <c r="S2592">
        <v>7096.5</v>
      </c>
      <c r="T2592">
        <f t="shared" si="530"/>
        <v>-1.7820954008099868E-2</v>
      </c>
      <c r="U2592" t="str">
        <f t="shared" si="524"/>
        <v>2020-05</v>
      </c>
      <c r="W2592">
        <v>18197.560000000001</v>
      </c>
      <c r="X2592">
        <f t="shared" si="531"/>
        <v>-8.4052686003914245E-3</v>
      </c>
      <c r="Y2592">
        <f t="shared" si="532"/>
        <v>-8.3700430926436555E-3</v>
      </c>
      <c r="Z2592" t="str">
        <f t="shared" si="525"/>
        <v>2020-05</v>
      </c>
    </row>
    <row r="2593" spans="1:26" x14ac:dyDescent="0.35">
      <c r="A2593" s="1">
        <v>43984</v>
      </c>
      <c r="C2593">
        <v>3159.02</v>
      </c>
      <c r="D2593">
        <f t="shared" si="526"/>
        <v>3.5054690677402543E-2</v>
      </c>
      <c r="E2593" t="str">
        <f t="shared" si="520"/>
        <v>2020-06</v>
      </c>
      <c r="G2593">
        <v>4858.97</v>
      </c>
      <c r="H2593">
        <f t="shared" si="527"/>
        <v>3.4234656305803357E-2</v>
      </c>
      <c r="I2593" t="str">
        <f t="shared" si="521"/>
        <v>2020-06</v>
      </c>
      <c r="K2593">
        <v>12021.28</v>
      </c>
      <c r="L2593">
        <f t="shared" si="528"/>
        <v>3.680757823347014E-2</v>
      </c>
      <c r="M2593" t="str">
        <f t="shared" si="522"/>
        <v>2020-06</v>
      </c>
      <c r="O2593">
        <v>6979.9834799999999</v>
      </c>
      <c r="P2593">
        <f t="shared" si="529"/>
        <v>3.4385710714807956E-2</v>
      </c>
      <c r="Q2593" t="str">
        <f t="shared" si="523"/>
        <v>2020-06</v>
      </c>
      <c r="S2593">
        <v>7408.1</v>
      </c>
      <c r="T2593">
        <f t="shared" si="530"/>
        <v>4.2972291415679785E-2</v>
      </c>
      <c r="U2593" t="str">
        <f t="shared" si="524"/>
        <v>2020-06</v>
      </c>
      <c r="W2593">
        <v>18971.09</v>
      </c>
      <c r="X2593">
        <f t="shared" si="531"/>
        <v>4.1628722281186172E-2</v>
      </c>
      <c r="Y2593">
        <f t="shared" si="532"/>
        <v>4.2507347138847122E-2</v>
      </c>
      <c r="Z2593" t="str">
        <f t="shared" si="525"/>
        <v>2020-06</v>
      </c>
    </row>
    <row r="2594" spans="1:26" x14ac:dyDescent="0.35">
      <c r="A2594" s="1">
        <v>43985</v>
      </c>
      <c r="C2594">
        <v>3269.59</v>
      </c>
      <c r="D2594">
        <f t="shared" si="526"/>
        <v>3.4402741867803274E-2</v>
      </c>
      <c r="E2594" t="str">
        <f t="shared" si="520"/>
        <v>2020-06</v>
      </c>
      <c r="G2594">
        <v>5022.38</v>
      </c>
      <c r="H2594">
        <f t="shared" si="527"/>
        <v>3.3077443642892716E-2</v>
      </c>
      <c r="I2594" t="str">
        <f t="shared" si="521"/>
        <v>2020-06</v>
      </c>
      <c r="K2594">
        <v>12487.36</v>
      </c>
      <c r="L2594">
        <f t="shared" si="528"/>
        <v>3.803852007843158E-2</v>
      </c>
      <c r="M2594" t="str">
        <f t="shared" si="522"/>
        <v>2020-06</v>
      </c>
      <c r="O2594">
        <v>7152.0251600000001</v>
      </c>
      <c r="P2594">
        <f t="shared" si="529"/>
        <v>2.4349005752814425E-2</v>
      </c>
      <c r="Q2594" t="str">
        <f t="shared" si="523"/>
        <v>2020-06</v>
      </c>
      <c r="S2594">
        <v>7626.4</v>
      </c>
      <c r="T2594">
        <f t="shared" si="530"/>
        <v>2.9041916024376124E-2</v>
      </c>
      <c r="U2594" t="str">
        <f t="shared" si="524"/>
        <v>2020-06</v>
      </c>
      <c r="W2594">
        <v>19641.810000000001</v>
      </c>
      <c r="X2594">
        <f t="shared" si="531"/>
        <v>3.4744216097194101E-2</v>
      </c>
      <c r="Y2594">
        <f t="shared" si="532"/>
        <v>3.5354847823714987E-2</v>
      </c>
      <c r="Z2594" t="str">
        <f t="shared" si="525"/>
        <v>2020-06</v>
      </c>
    </row>
    <row r="2595" spans="1:26" x14ac:dyDescent="0.35">
      <c r="A2595" s="1">
        <v>43986</v>
      </c>
      <c r="C2595">
        <v>3261.67</v>
      </c>
      <c r="D2595">
        <f t="shared" si="526"/>
        <v>-2.4252606333376552E-3</v>
      </c>
      <c r="E2595" t="str">
        <f t="shared" si="520"/>
        <v>2020-06</v>
      </c>
      <c r="G2595">
        <v>5011.9799999999996</v>
      </c>
      <c r="H2595">
        <f t="shared" si="527"/>
        <v>-2.0728783348245086E-3</v>
      </c>
      <c r="I2595" t="str">
        <f t="shared" si="521"/>
        <v>2020-06</v>
      </c>
      <c r="K2595">
        <v>12430.56</v>
      </c>
      <c r="L2595">
        <f t="shared" si="528"/>
        <v>-4.5589758999791535E-3</v>
      </c>
      <c r="M2595" t="str">
        <f t="shared" si="522"/>
        <v>2020-06</v>
      </c>
      <c r="O2595">
        <v>7053.4456200000004</v>
      </c>
      <c r="P2595">
        <f t="shared" si="529"/>
        <v>-1.387931790710901E-2</v>
      </c>
      <c r="Q2595" t="str">
        <f t="shared" si="523"/>
        <v>2020-06</v>
      </c>
      <c r="S2595">
        <v>7566.8</v>
      </c>
      <c r="T2595">
        <f t="shared" si="530"/>
        <v>-7.845655387860067E-3</v>
      </c>
      <c r="U2595" t="str">
        <f t="shared" si="524"/>
        <v>2020-06</v>
      </c>
      <c r="W2595">
        <v>19634.03</v>
      </c>
      <c r="X2595">
        <f t="shared" si="531"/>
        <v>-3.9617230856216104E-4</v>
      </c>
      <c r="Y2595">
        <f t="shared" si="532"/>
        <v>-3.9609384267552092E-4</v>
      </c>
      <c r="Z2595" t="str">
        <f t="shared" si="525"/>
        <v>2020-06</v>
      </c>
    </row>
    <row r="2596" spans="1:26" x14ac:dyDescent="0.35">
      <c r="A2596" s="1">
        <v>43987</v>
      </c>
      <c r="C2596">
        <v>3384.29</v>
      </c>
      <c r="D2596">
        <f t="shared" si="526"/>
        <v>3.6904801319877292E-2</v>
      </c>
      <c r="E2596" t="str">
        <f t="shared" si="520"/>
        <v>2020-06</v>
      </c>
      <c r="G2596">
        <v>5197.79</v>
      </c>
      <c r="H2596">
        <f t="shared" si="527"/>
        <v>3.6402488646409749E-2</v>
      </c>
      <c r="I2596" t="str">
        <f t="shared" si="521"/>
        <v>2020-06</v>
      </c>
      <c r="K2596">
        <v>12847.68</v>
      </c>
      <c r="L2596">
        <f t="shared" si="528"/>
        <v>3.3005293493346806E-2</v>
      </c>
      <c r="M2596" t="str">
        <f t="shared" si="522"/>
        <v>2020-06</v>
      </c>
      <c r="O2596">
        <v>7281.9877800000004</v>
      </c>
      <c r="P2596">
        <f t="shared" si="529"/>
        <v>3.1887633786416514E-2</v>
      </c>
      <c r="Q2596" t="str">
        <f t="shared" si="523"/>
        <v>2020-06</v>
      </c>
      <c r="S2596">
        <v>7872.6</v>
      </c>
      <c r="T2596">
        <f t="shared" si="530"/>
        <v>3.9618119548216812E-2</v>
      </c>
      <c r="U2596" t="str">
        <f t="shared" si="524"/>
        <v>2020-06</v>
      </c>
      <c r="W2596">
        <v>20187.509999999998</v>
      </c>
      <c r="X2596">
        <f t="shared" si="531"/>
        <v>2.7799811107928278E-2</v>
      </c>
      <c r="Y2596">
        <f t="shared" si="532"/>
        <v>2.8189831634157614E-2</v>
      </c>
      <c r="Z2596" t="str">
        <f t="shared" si="525"/>
        <v>2020-06</v>
      </c>
    </row>
    <row r="2597" spans="1:26" x14ac:dyDescent="0.35">
      <c r="A2597" s="1">
        <v>43990</v>
      </c>
      <c r="C2597">
        <v>3366.29</v>
      </c>
      <c r="D2597">
        <f t="shared" si="526"/>
        <v>-5.3328877398733602E-3</v>
      </c>
      <c r="E2597" t="str">
        <f t="shared" si="520"/>
        <v>2020-06</v>
      </c>
      <c r="G2597">
        <v>5175.5200000000004</v>
      </c>
      <c r="H2597">
        <f t="shared" si="527"/>
        <v>-4.2937180541523217E-3</v>
      </c>
      <c r="I2597" t="str">
        <f t="shared" si="521"/>
        <v>2020-06</v>
      </c>
      <c r="K2597">
        <v>12819.59</v>
      </c>
      <c r="L2597">
        <f t="shared" si="528"/>
        <v>-2.1887805921214981E-3</v>
      </c>
      <c r="M2597" t="str">
        <f t="shared" si="522"/>
        <v>2020-06</v>
      </c>
      <c r="O2597">
        <v>7279.1557700000003</v>
      </c>
      <c r="P2597">
        <f t="shared" si="529"/>
        <v>-3.8898181670750349E-4</v>
      </c>
      <c r="Q2597" t="str">
        <f t="shared" si="523"/>
        <v>2020-06</v>
      </c>
      <c r="S2597">
        <v>7896.1</v>
      </c>
      <c r="T2597">
        <f t="shared" si="530"/>
        <v>2.9805903337209033E-3</v>
      </c>
      <c r="U2597" t="str">
        <f t="shared" si="524"/>
        <v>2020-06</v>
      </c>
      <c r="W2597">
        <v>20231.38</v>
      </c>
      <c r="X2597">
        <f t="shared" si="531"/>
        <v>2.1707680357942534E-3</v>
      </c>
      <c r="Y2597">
        <f t="shared" si="532"/>
        <v>2.1731258585136366E-3</v>
      </c>
      <c r="Z2597" t="str">
        <f t="shared" si="525"/>
        <v>2020-06</v>
      </c>
    </row>
    <row r="2598" spans="1:26" x14ac:dyDescent="0.35">
      <c r="A2598" s="1">
        <v>43991</v>
      </c>
      <c r="C2598">
        <v>3320.71</v>
      </c>
      <c r="D2598">
        <f t="shared" si="526"/>
        <v>-1.3632632245545425E-2</v>
      </c>
      <c r="E2598" t="str">
        <f t="shared" si="520"/>
        <v>2020-06</v>
      </c>
      <c r="G2598">
        <v>5095.1099999999997</v>
      </c>
      <c r="H2598">
        <f t="shared" si="527"/>
        <v>-1.5658560959585201E-2</v>
      </c>
      <c r="I2598" t="str">
        <f t="shared" si="521"/>
        <v>2020-06</v>
      </c>
      <c r="K2598">
        <v>12617.99</v>
      </c>
      <c r="L2598">
        <f t="shared" si="528"/>
        <v>-1.5850896272181333E-2</v>
      </c>
      <c r="M2598" t="str">
        <f t="shared" si="522"/>
        <v>2020-06</v>
      </c>
      <c r="O2598">
        <v>7118.2593399999996</v>
      </c>
      <c r="P2598">
        <f t="shared" si="529"/>
        <v>-2.2351669008749474E-2</v>
      </c>
      <c r="Q2598" t="str">
        <f t="shared" si="523"/>
        <v>2020-06</v>
      </c>
      <c r="S2598">
        <v>7752.3</v>
      </c>
      <c r="T2598">
        <f t="shared" si="530"/>
        <v>-1.8379393161254885E-2</v>
      </c>
      <c r="U2598" t="str">
        <f t="shared" si="524"/>
        <v>2020-06</v>
      </c>
      <c r="W2598">
        <v>19930.2</v>
      </c>
      <c r="X2598">
        <f t="shared" si="531"/>
        <v>-1.4998695077301864E-2</v>
      </c>
      <c r="Y2598">
        <f t="shared" si="532"/>
        <v>-1.4886774901168397E-2</v>
      </c>
      <c r="Z2598" t="str">
        <f t="shared" si="525"/>
        <v>2020-06</v>
      </c>
    </row>
    <row r="2599" spans="1:26" x14ac:dyDescent="0.35">
      <c r="A2599" s="1">
        <v>43992</v>
      </c>
      <c r="C2599">
        <v>3293.71</v>
      </c>
      <c r="D2599">
        <f t="shared" si="526"/>
        <v>-8.1640264650027165E-3</v>
      </c>
      <c r="E2599" t="str">
        <f t="shared" si="520"/>
        <v>2020-06</v>
      </c>
      <c r="G2599">
        <v>5053.42</v>
      </c>
      <c r="H2599">
        <f t="shared" si="527"/>
        <v>-8.2160144407194807E-3</v>
      </c>
      <c r="I2599" t="str">
        <f t="shared" si="521"/>
        <v>2020-06</v>
      </c>
      <c r="K2599">
        <v>12530.16</v>
      </c>
      <c r="L2599">
        <f t="shared" si="528"/>
        <v>-6.9850352496786394E-3</v>
      </c>
      <c r="M2599" t="str">
        <f t="shared" si="522"/>
        <v>2020-06</v>
      </c>
      <c r="O2599">
        <v>7112.53478</v>
      </c>
      <c r="P2599">
        <f t="shared" si="529"/>
        <v>-8.0453139304895302E-4</v>
      </c>
      <c r="Q2599" t="str">
        <f t="shared" si="523"/>
        <v>2020-06</v>
      </c>
      <c r="S2599">
        <v>7663.9</v>
      </c>
      <c r="T2599">
        <f t="shared" si="530"/>
        <v>-1.1468580963322109E-2</v>
      </c>
      <c r="U2599" t="str">
        <f t="shared" si="524"/>
        <v>2020-06</v>
      </c>
      <c r="W2599">
        <v>19758.009999999998</v>
      </c>
      <c r="X2599">
        <f t="shared" si="531"/>
        <v>-8.6771905510264584E-3</v>
      </c>
      <c r="Y2599">
        <f t="shared" si="532"/>
        <v>-8.6396523868301541E-3</v>
      </c>
      <c r="Z2599" t="str">
        <f t="shared" si="525"/>
        <v>2020-06</v>
      </c>
    </row>
    <row r="2600" spans="1:26" x14ac:dyDescent="0.35">
      <c r="A2600" s="1">
        <v>43993</v>
      </c>
      <c r="C2600">
        <v>3144.57</v>
      </c>
      <c r="D2600">
        <f t="shared" si="526"/>
        <v>-4.6337433176830096E-2</v>
      </c>
      <c r="E2600" t="str">
        <f t="shared" si="520"/>
        <v>2020-06</v>
      </c>
      <c r="G2600">
        <v>4815.6000000000004</v>
      </c>
      <c r="H2600">
        <f t="shared" si="527"/>
        <v>-4.8204593716093543E-2</v>
      </c>
      <c r="I2600" t="str">
        <f t="shared" si="521"/>
        <v>2020-06</v>
      </c>
      <c r="K2600">
        <v>11970.29</v>
      </c>
      <c r="L2600">
        <f t="shared" si="528"/>
        <v>-4.5710791668840234E-2</v>
      </c>
      <c r="M2600" t="str">
        <f t="shared" si="522"/>
        <v>2020-06</v>
      </c>
      <c r="O2600">
        <v>6752.72084</v>
      </c>
      <c r="P2600">
        <f t="shared" si="529"/>
        <v>-5.1913178348977324E-2</v>
      </c>
      <c r="Q2600" t="str">
        <f t="shared" si="523"/>
        <v>2020-06</v>
      </c>
      <c r="S2600">
        <v>7278</v>
      </c>
      <c r="T2600">
        <f t="shared" si="530"/>
        <v>-5.1664893376763735E-2</v>
      </c>
      <c r="U2600" t="str">
        <f t="shared" si="524"/>
        <v>2020-06</v>
      </c>
      <c r="W2600">
        <v>18806.86</v>
      </c>
      <c r="X2600">
        <f t="shared" si="531"/>
        <v>-4.9337281850816324E-2</v>
      </c>
      <c r="Y2600">
        <f t="shared" si="532"/>
        <v>-4.8139969561711828E-2</v>
      </c>
      <c r="Z2600" t="str">
        <f t="shared" si="525"/>
        <v>2020-06</v>
      </c>
    </row>
    <row r="2601" spans="1:26" x14ac:dyDescent="0.35">
      <c r="A2601" s="1">
        <v>43994</v>
      </c>
      <c r="C2601">
        <v>3153.74</v>
      </c>
      <c r="D2601">
        <f t="shared" si="526"/>
        <v>2.9118942952842067E-3</v>
      </c>
      <c r="E2601" t="str">
        <f t="shared" si="520"/>
        <v>2020-06</v>
      </c>
      <c r="G2601">
        <v>4839.26</v>
      </c>
      <c r="H2601">
        <f t="shared" si="527"/>
        <v>4.901168398563192E-3</v>
      </c>
      <c r="I2601" t="str">
        <f t="shared" si="521"/>
        <v>2020-06</v>
      </c>
      <c r="K2601">
        <v>11949.28</v>
      </c>
      <c r="L2601">
        <f t="shared" si="528"/>
        <v>-1.7567209948332017E-3</v>
      </c>
      <c r="M2601" t="str">
        <f t="shared" si="522"/>
        <v>2020-06</v>
      </c>
      <c r="O2601">
        <v>6794.1590200000001</v>
      </c>
      <c r="P2601">
        <f t="shared" si="529"/>
        <v>6.1177643369591736E-3</v>
      </c>
      <c r="Q2601" t="str">
        <f t="shared" si="523"/>
        <v>2020-06</v>
      </c>
      <c r="S2601">
        <v>7292.7</v>
      </c>
      <c r="T2601">
        <f t="shared" si="530"/>
        <v>2.0177486307938388E-3</v>
      </c>
      <c r="U2601" t="str">
        <f t="shared" si="524"/>
        <v>2020-06</v>
      </c>
      <c r="W2601">
        <v>18888.16</v>
      </c>
      <c r="X2601">
        <f t="shared" si="531"/>
        <v>4.3135738387636768E-3</v>
      </c>
      <c r="Y2601">
        <f t="shared" si="532"/>
        <v>4.322890689886524E-3</v>
      </c>
      <c r="Z2601" t="str">
        <f t="shared" si="525"/>
        <v>2020-06</v>
      </c>
    </row>
    <row r="2602" spans="1:26" x14ac:dyDescent="0.35">
      <c r="A2602" s="1">
        <v>43997</v>
      </c>
      <c r="C2602">
        <v>3136.4</v>
      </c>
      <c r="D2602">
        <f t="shared" si="526"/>
        <v>-5.5134047650944942E-3</v>
      </c>
      <c r="E2602" t="str">
        <f t="shared" si="520"/>
        <v>2020-06</v>
      </c>
      <c r="G2602">
        <v>4815.72</v>
      </c>
      <c r="H2602">
        <f t="shared" si="527"/>
        <v>-4.8762496958297029E-3</v>
      </c>
      <c r="I2602" t="str">
        <f t="shared" si="521"/>
        <v>2020-06</v>
      </c>
      <c r="K2602">
        <v>11911.35</v>
      </c>
      <c r="L2602">
        <f t="shared" si="528"/>
        <v>-3.1792984468141496E-3</v>
      </c>
      <c r="M2602" t="str">
        <f t="shared" si="522"/>
        <v>2020-06</v>
      </c>
      <c r="O2602">
        <v>6752.0505800000001</v>
      </c>
      <c r="P2602">
        <f t="shared" si="529"/>
        <v>-6.2170270315587651E-3</v>
      </c>
      <c r="Q2602" t="str">
        <f t="shared" si="523"/>
        <v>2020-06</v>
      </c>
      <c r="S2602">
        <v>7259.3</v>
      </c>
      <c r="T2602">
        <f t="shared" si="530"/>
        <v>-4.5904423654243515E-3</v>
      </c>
      <c r="U2602" t="str">
        <f t="shared" si="524"/>
        <v>2020-06</v>
      </c>
      <c r="W2602">
        <v>18969.29</v>
      </c>
      <c r="X2602">
        <f t="shared" si="531"/>
        <v>4.2860849951604297E-3</v>
      </c>
      <c r="Y2602">
        <f t="shared" si="532"/>
        <v>4.295283394465158E-3</v>
      </c>
      <c r="Z2602" t="str">
        <f t="shared" si="525"/>
        <v>2020-06</v>
      </c>
    </row>
    <row r="2603" spans="1:26" x14ac:dyDescent="0.35">
      <c r="A2603" s="1">
        <v>43998</v>
      </c>
      <c r="C2603">
        <v>3242.65</v>
      </c>
      <c r="D2603">
        <f t="shared" si="526"/>
        <v>3.3315251365231301E-2</v>
      </c>
      <c r="E2603" t="str">
        <f t="shared" si="520"/>
        <v>2020-06</v>
      </c>
      <c r="G2603">
        <v>4952.46</v>
      </c>
      <c r="H2603">
        <f t="shared" si="527"/>
        <v>2.799885604755914E-2</v>
      </c>
      <c r="I2603" t="str">
        <f t="shared" si="521"/>
        <v>2020-06</v>
      </c>
      <c r="K2603">
        <v>12315.66</v>
      </c>
      <c r="L2603">
        <f t="shared" si="528"/>
        <v>3.3379896245974823E-2</v>
      </c>
      <c r="M2603" t="str">
        <f t="shared" si="522"/>
        <v>2020-06</v>
      </c>
      <c r="O2603">
        <v>6976.8773899999997</v>
      </c>
      <c r="P2603">
        <f t="shared" si="529"/>
        <v>3.2755202967702797E-2</v>
      </c>
      <c r="Q2603" t="str">
        <f t="shared" si="523"/>
        <v>2020-06</v>
      </c>
      <c r="S2603">
        <v>7495.3</v>
      </c>
      <c r="T2603">
        <f t="shared" si="530"/>
        <v>3.1992751982633467E-2</v>
      </c>
      <c r="U2603" t="str">
        <f t="shared" si="524"/>
        <v>2020-06</v>
      </c>
      <c r="W2603">
        <v>19625.63</v>
      </c>
      <c r="X2603">
        <f t="shared" si="531"/>
        <v>3.401500933468124E-2</v>
      </c>
      <c r="Y2603">
        <f t="shared" si="532"/>
        <v>3.4600135271272682E-2</v>
      </c>
      <c r="Z2603" t="str">
        <f t="shared" si="525"/>
        <v>2020-06</v>
      </c>
    </row>
    <row r="2604" spans="1:26" x14ac:dyDescent="0.35">
      <c r="A2604" s="1">
        <v>43999</v>
      </c>
      <c r="C2604">
        <v>3267.26</v>
      </c>
      <c r="D2604">
        <f t="shared" si="526"/>
        <v>7.5608164284035658E-3</v>
      </c>
      <c r="E2604" t="str">
        <f t="shared" si="520"/>
        <v>2020-06</v>
      </c>
      <c r="G2604">
        <v>4995.97</v>
      </c>
      <c r="H2604">
        <f t="shared" si="527"/>
        <v>8.7471646124320877E-3</v>
      </c>
      <c r="I2604" t="str">
        <f t="shared" si="521"/>
        <v>2020-06</v>
      </c>
      <c r="K2604">
        <v>12382.14</v>
      </c>
      <c r="L2604">
        <f t="shared" si="528"/>
        <v>5.3834884532155507E-3</v>
      </c>
      <c r="M2604" t="str">
        <f t="shared" si="522"/>
        <v>2020-06</v>
      </c>
      <c r="O2604">
        <v>6983.1948599999996</v>
      </c>
      <c r="P2604">
        <f t="shared" si="529"/>
        <v>9.0507703944790404E-4</v>
      </c>
      <c r="Q2604" t="str">
        <f t="shared" si="523"/>
        <v>2020-06</v>
      </c>
      <c r="S2604">
        <v>7478.7</v>
      </c>
      <c r="T2604">
        <f t="shared" si="530"/>
        <v>-2.2171773474414045E-3</v>
      </c>
      <c r="U2604" t="str">
        <f t="shared" si="524"/>
        <v>2020-06</v>
      </c>
      <c r="W2604">
        <v>19585.89</v>
      </c>
      <c r="X2604">
        <f t="shared" si="531"/>
        <v>-2.0269560377232029E-3</v>
      </c>
      <c r="Y2604">
        <f t="shared" si="532"/>
        <v>-2.0249031496059793E-3</v>
      </c>
      <c r="Z2604" t="str">
        <f t="shared" si="525"/>
        <v>2020-06</v>
      </c>
    </row>
    <row r="2605" spans="1:26" x14ac:dyDescent="0.35">
      <c r="A2605" s="1">
        <v>44000</v>
      </c>
      <c r="C2605">
        <v>3249.9</v>
      </c>
      <c r="D2605">
        <f t="shared" si="526"/>
        <v>-5.3274865307702092E-3</v>
      </c>
      <c r="E2605" t="str">
        <f t="shared" si="520"/>
        <v>2020-06</v>
      </c>
      <c r="G2605">
        <v>4958.75</v>
      </c>
      <c r="H2605">
        <f t="shared" si="527"/>
        <v>-7.4778945950564769E-3</v>
      </c>
      <c r="I2605" t="str">
        <f t="shared" si="521"/>
        <v>2020-06</v>
      </c>
      <c r="K2605">
        <v>12281.53</v>
      </c>
      <c r="L2605">
        <f t="shared" si="528"/>
        <v>-8.1586039768733916E-3</v>
      </c>
      <c r="M2605" t="str">
        <f t="shared" si="522"/>
        <v>2020-06</v>
      </c>
      <c r="O2605">
        <v>6901.3004099999998</v>
      </c>
      <c r="P2605">
        <f t="shared" si="529"/>
        <v>-1.1796669323225373E-2</v>
      </c>
      <c r="Q2605" t="str">
        <f t="shared" si="523"/>
        <v>2020-06</v>
      </c>
      <c r="S2605">
        <v>7390.2</v>
      </c>
      <c r="T2605">
        <f t="shared" si="530"/>
        <v>-1.1904181897172999E-2</v>
      </c>
      <c r="U2605" t="str">
        <f t="shared" si="524"/>
        <v>2020-06</v>
      </c>
      <c r="W2605">
        <v>19485.759999999998</v>
      </c>
      <c r="X2605">
        <f t="shared" si="531"/>
        <v>-5.1254666339696359E-3</v>
      </c>
      <c r="Y2605">
        <f t="shared" si="532"/>
        <v>-5.1123538424856377E-3</v>
      </c>
      <c r="Z2605" t="str">
        <f t="shared" si="525"/>
        <v>2020-06</v>
      </c>
    </row>
    <row r="2606" spans="1:26" x14ac:dyDescent="0.35">
      <c r="A2606" s="1">
        <v>44001</v>
      </c>
      <c r="C2606">
        <v>3269.1</v>
      </c>
      <c r="D2606">
        <f t="shared" si="526"/>
        <v>5.8904910313187083E-3</v>
      </c>
      <c r="E2606" t="str">
        <f t="shared" si="520"/>
        <v>2020-06</v>
      </c>
      <c r="G2606">
        <v>4979.45</v>
      </c>
      <c r="H2606">
        <f t="shared" si="527"/>
        <v>4.1657503239493398E-3</v>
      </c>
      <c r="I2606" t="str">
        <f t="shared" si="521"/>
        <v>2020-06</v>
      </c>
      <c r="K2606">
        <v>12330.76</v>
      </c>
      <c r="L2606">
        <f t="shared" si="528"/>
        <v>4.000445765478337E-3</v>
      </c>
      <c r="M2606" t="str">
        <f t="shared" si="522"/>
        <v>2020-06</v>
      </c>
      <c r="O2606">
        <v>6953.1740200000004</v>
      </c>
      <c r="P2606">
        <f t="shared" si="529"/>
        <v>7.4883897858656094E-3</v>
      </c>
      <c r="Q2606" t="str">
        <f t="shared" si="523"/>
        <v>2020-06</v>
      </c>
      <c r="S2606">
        <v>7414.2</v>
      </c>
      <c r="T2606">
        <f t="shared" si="530"/>
        <v>3.2422821627061419E-3</v>
      </c>
      <c r="U2606" t="str">
        <f t="shared" si="524"/>
        <v>2020-06</v>
      </c>
      <c r="W2606">
        <v>19618.93</v>
      </c>
      <c r="X2606">
        <f t="shared" si="531"/>
        <v>6.810974070149343E-3</v>
      </c>
      <c r="Y2606">
        <f t="shared" si="532"/>
        <v>6.8342215032927587E-3</v>
      </c>
      <c r="Z2606" t="str">
        <f t="shared" si="525"/>
        <v>2020-06</v>
      </c>
    </row>
    <row r="2607" spans="1:26" x14ac:dyDescent="0.35">
      <c r="A2607" s="1">
        <v>44004</v>
      </c>
      <c r="C2607">
        <v>3241.69</v>
      </c>
      <c r="D2607">
        <f t="shared" si="526"/>
        <v>-8.4199189148730386E-3</v>
      </c>
      <c r="E2607" t="str">
        <f t="shared" si="520"/>
        <v>2020-06</v>
      </c>
      <c r="G2607">
        <v>4948.7</v>
      </c>
      <c r="H2607">
        <f t="shared" si="527"/>
        <v>-6.1945273446956522E-3</v>
      </c>
      <c r="I2607" t="str">
        <f t="shared" si="521"/>
        <v>2020-06</v>
      </c>
      <c r="K2607">
        <v>12262.97</v>
      </c>
      <c r="L2607">
        <f t="shared" si="528"/>
        <v>-5.5128011638418276E-3</v>
      </c>
      <c r="M2607" t="str">
        <f t="shared" si="522"/>
        <v>2020-06</v>
      </c>
      <c r="O2607">
        <v>6911.7257499999996</v>
      </c>
      <c r="P2607">
        <f t="shared" si="529"/>
        <v>-5.9788955072310086E-3</v>
      </c>
      <c r="Q2607" t="str">
        <f t="shared" si="523"/>
        <v>2020-06</v>
      </c>
      <c r="S2607">
        <v>7345.7</v>
      </c>
      <c r="T2607">
        <f t="shared" si="530"/>
        <v>-9.2819723440962076E-3</v>
      </c>
      <c r="U2607" t="str">
        <f t="shared" si="524"/>
        <v>2020-06</v>
      </c>
      <c r="W2607">
        <v>19478.73</v>
      </c>
      <c r="X2607">
        <f t="shared" si="531"/>
        <v>-7.1718154452719961E-3</v>
      </c>
      <c r="Y2607">
        <f t="shared" si="532"/>
        <v>-7.1461593471203949E-3</v>
      </c>
      <c r="Z2607" t="str">
        <f t="shared" si="525"/>
        <v>2020-06</v>
      </c>
    </row>
    <row r="2608" spans="1:26" x14ac:dyDescent="0.35">
      <c r="A2608" s="1">
        <v>44005</v>
      </c>
      <c r="C2608">
        <v>3298.83</v>
      </c>
      <c r="D2608">
        <f t="shared" si="526"/>
        <v>1.7473061397849834E-2</v>
      </c>
      <c r="E2608" t="str">
        <f t="shared" si="520"/>
        <v>2020-06</v>
      </c>
      <c r="G2608">
        <v>5017.68</v>
      </c>
      <c r="H2608">
        <f t="shared" si="527"/>
        <v>1.3842759658689347E-2</v>
      </c>
      <c r="I2608" t="str">
        <f t="shared" si="521"/>
        <v>2020-06</v>
      </c>
      <c r="K2608">
        <v>12523.76</v>
      </c>
      <c r="L2608">
        <f t="shared" si="528"/>
        <v>2.1043487680432751E-2</v>
      </c>
      <c r="M2608" t="str">
        <f t="shared" si="522"/>
        <v>2020-06</v>
      </c>
      <c r="O2608">
        <v>6994.6610600000004</v>
      </c>
      <c r="P2608">
        <f t="shared" si="529"/>
        <v>1.1927798991144488E-2</v>
      </c>
      <c r="Q2608" t="str">
        <f t="shared" si="523"/>
        <v>2020-06</v>
      </c>
      <c r="S2608">
        <v>7438.4</v>
      </c>
      <c r="T2608">
        <f t="shared" si="530"/>
        <v>1.2540663942216758E-2</v>
      </c>
      <c r="U2608" t="str">
        <f t="shared" si="524"/>
        <v>2020-06</v>
      </c>
      <c r="W2608">
        <v>19841.580000000002</v>
      </c>
      <c r="X2608">
        <f t="shared" si="531"/>
        <v>1.845663476540647E-2</v>
      </c>
      <c r="Y2608">
        <f t="shared" si="532"/>
        <v>1.8628011169106107E-2</v>
      </c>
      <c r="Z2608" t="str">
        <f t="shared" si="525"/>
        <v>2020-06</v>
      </c>
    </row>
    <row r="2609" spans="1:26" x14ac:dyDescent="0.35">
      <c r="A2609" s="1">
        <v>44006</v>
      </c>
      <c r="C2609">
        <v>3196.12</v>
      </c>
      <c r="D2609">
        <f t="shared" si="526"/>
        <v>-3.1630286018962894E-2</v>
      </c>
      <c r="E2609" t="str">
        <f t="shared" si="520"/>
        <v>2020-06</v>
      </c>
      <c r="G2609">
        <v>4871.3599999999997</v>
      </c>
      <c r="H2609">
        <f t="shared" si="527"/>
        <v>-2.9594516595593642E-2</v>
      </c>
      <c r="I2609" t="str">
        <f t="shared" si="521"/>
        <v>2020-06</v>
      </c>
      <c r="K2609">
        <v>12093.94</v>
      </c>
      <c r="L2609">
        <f t="shared" si="528"/>
        <v>-3.4923139372938984E-2</v>
      </c>
      <c r="M2609" t="str">
        <f t="shared" si="522"/>
        <v>2020-06</v>
      </c>
      <c r="O2609">
        <v>6758.9726099999998</v>
      </c>
      <c r="P2609">
        <f t="shared" si="529"/>
        <v>-3.42762545976514E-2</v>
      </c>
      <c r="Q2609" t="str">
        <f t="shared" si="523"/>
        <v>2020-06</v>
      </c>
      <c r="S2609">
        <v>7195.5</v>
      </c>
      <c r="T2609">
        <f t="shared" si="530"/>
        <v>-3.3199941326091893E-2</v>
      </c>
      <c r="U2609" t="str">
        <f t="shared" si="524"/>
        <v>2020-06</v>
      </c>
      <c r="W2609">
        <v>19162.98</v>
      </c>
      <c r="X2609">
        <f t="shared" si="531"/>
        <v>-3.4799442974743307E-2</v>
      </c>
      <c r="Y2609">
        <f t="shared" si="532"/>
        <v>-3.4200905371447342E-2</v>
      </c>
      <c r="Z2609" t="str">
        <f t="shared" si="525"/>
        <v>2020-06</v>
      </c>
    </row>
    <row r="2610" spans="1:26" x14ac:dyDescent="0.35">
      <c r="A2610" s="1">
        <v>44007</v>
      </c>
      <c r="C2610">
        <v>3218.91</v>
      </c>
      <c r="D2610">
        <f t="shared" si="526"/>
        <v>7.105218799508109E-3</v>
      </c>
      <c r="E2610" t="str">
        <f t="shared" si="520"/>
        <v>2020-06</v>
      </c>
      <c r="G2610">
        <v>4918.58</v>
      </c>
      <c r="H2610">
        <f t="shared" si="527"/>
        <v>9.646712071127805E-3</v>
      </c>
      <c r="I2610" t="str">
        <f t="shared" si="521"/>
        <v>2020-06</v>
      </c>
      <c r="K2610">
        <v>12177.87</v>
      </c>
      <c r="L2610">
        <f t="shared" si="528"/>
        <v>6.9158694407611453E-3</v>
      </c>
      <c r="M2610" t="str">
        <f t="shared" si="522"/>
        <v>2020-06</v>
      </c>
      <c r="O2610">
        <v>6800.3454899999997</v>
      </c>
      <c r="P2610">
        <f t="shared" si="529"/>
        <v>6.1025205089577442E-3</v>
      </c>
      <c r="Q2610" t="str">
        <f t="shared" si="523"/>
        <v>2020-06</v>
      </c>
      <c r="S2610">
        <v>7270.3</v>
      </c>
      <c r="T2610">
        <f t="shared" si="530"/>
        <v>1.0341725540493552E-2</v>
      </c>
      <c r="U2610" t="str">
        <f t="shared" si="524"/>
        <v>2020-06</v>
      </c>
      <c r="W2610">
        <v>19234.75</v>
      </c>
      <c r="X2610">
        <f t="shared" si="531"/>
        <v>3.7382461712732644E-3</v>
      </c>
      <c r="Y2610">
        <f t="shared" si="532"/>
        <v>3.7452421283120079E-3</v>
      </c>
      <c r="Z2610" t="str">
        <f t="shared" si="525"/>
        <v>2020-06</v>
      </c>
    </row>
    <row r="2611" spans="1:26" x14ac:dyDescent="0.35">
      <c r="A2611" s="1">
        <v>44008</v>
      </c>
      <c r="C2611">
        <v>3204.17</v>
      </c>
      <c r="D2611">
        <f t="shared" si="526"/>
        <v>-4.5897064571296655E-3</v>
      </c>
      <c r="E2611" t="str">
        <f t="shared" si="520"/>
        <v>2020-06</v>
      </c>
      <c r="G2611">
        <v>4909.6400000000003</v>
      </c>
      <c r="H2611">
        <f t="shared" si="527"/>
        <v>-1.8192515970762014E-3</v>
      </c>
      <c r="I2611" t="str">
        <f t="shared" si="521"/>
        <v>2020-06</v>
      </c>
      <c r="K2611">
        <v>12089.39</v>
      </c>
      <c r="L2611">
        <f t="shared" si="528"/>
        <v>-7.2921617093353666E-3</v>
      </c>
      <c r="M2611" t="str">
        <f t="shared" si="522"/>
        <v>2020-06</v>
      </c>
      <c r="O2611">
        <v>6772.4876599999998</v>
      </c>
      <c r="P2611">
        <f t="shared" si="529"/>
        <v>-4.1049453434654102E-3</v>
      </c>
      <c r="Q2611" t="str">
        <f t="shared" si="523"/>
        <v>2020-06</v>
      </c>
      <c r="S2611">
        <v>7178.4</v>
      </c>
      <c r="T2611">
        <f t="shared" si="530"/>
        <v>-1.2721039166873845E-2</v>
      </c>
      <c r="U2611" t="str">
        <f t="shared" si="524"/>
        <v>2020-06</v>
      </c>
      <c r="W2611">
        <v>19124.36</v>
      </c>
      <c r="X2611">
        <f t="shared" si="531"/>
        <v>-5.7556238787877072E-3</v>
      </c>
      <c r="Y2611">
        <f t="shared" si="532"/>
        <v>-5.7390920079543233E-3</v>
      </c>
      <c r="Z2611" t="str">
        <f t="shared" si="525"/>
        <v>2020-06</v>
      </c>
    </row>
    <row r="2612" spans="1:26" x14ac:dyDescent="0.35">
      <c r="A2612" s="1">
        <v>44011</v>
      </c>
      <c r="C2612">
        <v>3232.02</v>
      </c>
      <c r="D2612">
        <f t="shared" si="526"/>
        <v>8.6542422833093581E-3</v>
      </c>
      <c r="E2612" t="str">
        <f t="shared" si="520"/>
        <v>2020-06</v>
      </c>
      <c r="G2612">
        <v>4945.46</v>
      </c>
      <c r="H2612">
        <f t="shared" si="527"/>
        <v>7.2693646412909539E-3</v>
      </c>
      <c r="I2612" t="str">
        <f t="shared" si="521"/>
        <v>2020-06</v>
      </c>
      <c r="K2612">
        <v>12232.12</v>
      </c>
      <c r="L2612">
        <f t="shared" si="528"/>
        <v>1.1737070479805366E-2</v>
      </c>
      <c r="M2612" t="str">
        <f t="shared" si="522"/>
        <v>2020-06</v>
      </c>
      <c r="O2612">
        <v>6810.8049499999997</v>
      </c>
      <c r="P2612">
        <f t="shared" si="529"/>
        <v>5.641841450068753E-3</v>
      </c>
      <c r="Q2612" t="str">
        <f t="shared" si="523"/>
        <v>2020-06</v>
      </c>
      <c r="S2612">
        <v>7278.1</v>
      </c>
      <c r="T2612">
        <f t="shared" si="530"/>
        <v>1.3793322132335988E-2</v>
      </c>
      <c r="U2612" t="str">
        <f t="shared" si="524"/>
        <v>2020-06</v>
      </c>
      <c r="W2612">
        <v>19447.02</v>
      </c>
      <c r="X2612">
        <f t="shared" si="531"/>
        <v>1.673092985810086E-2</v>
      </c>
      <c r="Y2612">
        <f t="shared" si="532"/>
        <v>1.6871675705749101E-2</v>
      </c>
      <c r="Z2612" t="str">
        <f t="shared" si="525"/>
        <v>2020-06</v>
      </c>
    </row>
    <row r="2613" spans="1:26" x14ac:dyDescent="0.35">
      <c r="A2613" s="1">
        <v>44012</v>
      </c>
      <c r="C2613">
        <v>3234.07</v>
      </c>
      <c r="D2613">
        <f t="shared" si="526"/>
        <v>6.3407718379559792E-4</v>
      </c>
      <c r="E2613" t="str">
        <f t="shared" si="520"/>
        <v>2020-06</v>
      </c>
      <c r="G2613">
        <v>4935.99</v>
      </c>
      <c r="H2613">
        <f t="shared" si="527"/>
        <v>-1.9167233349888905E-3</v>
      </c>
      <c r="I2613" t="str">
        <f t="shared" si="521"/>
        <v>2020-06</v>
      </c>
      <c r="K2613">
        <v>12310.93</v>
      </c>
      <c r="L2613">
        <f t="shared" si="528"/>
        <v>6.4222067652260906E-3</v>
      </c>
      <c r="M2613" t="str">
        <f t="shared" si="522"/>
        <v>2020-06</v>
      </c>
      <c r="O2613">
        <v>6793.1345199999996</v>
      </c>
      <c r="P2613">
        <f t="shared" si="529"/>
        <v>-2.5978415997496324E-3</v>
      </c>
      <c r="Q2613" t="str">
        <f t="shared" si="523"/>
        <v>2020-06</v>
      </c>
      <c r="S2613">
        <v>7231.4</v>
      </c>
      <c r="T2613">
        <f t="shared" si="530"/>
        <v>-6.437184087694268E-3</v>
      </c>
      <c r="U2613" t="str">
        <f t="shared" si="524"/>
        <v>2020-06</v>
      </c>
      <c r="W2613">
        <v>19375.52</v>
      </c>
      <c r="X2613">
        <f t="shared" si="531"/>
        <v>-3.6834313695426175E-3</v>
      </c>
      <c r="Y2613">
        <f t="shared" si="532"/>
        <v>-3.6766558578126621E-3</v>
      </c>
      <c r="Z2613" t="str">
        <f t="shared" si="525"/>
        <v>2020-06</v>
      </c>
    </row>
    <row r="2614" spans="1:26" x14ac:dyDescent="0.35">
      <c r="A2614" s="1">
        <v>44013</v>
      </c>
      <c r="C2614">
        <v>3228.45</v>
      </c>
      <c r="D2614">
        <f t="shared" si="526"/>
        <v>-1.7392600461493689E-3</v>
      </c>
      <c r="E2614" t="str">
        <f t="shared" si="520"/>
        <v>2020-07</v>
      </c>
      <c r="G2614">
        <v>4926.9399999999996</v>
      </c>
      <c r="H2614">
        <f t="shared" si="527"/>
        <v>-1.8351549772487438E-3</v>
      </c>
      <c r="I2614" t="str">
        <f t="shared" si="521"/>
        <v>2020-07</v>
      </c>
      <c r="K2614">
        <v>12260.57</v>
      </c>
      <c r="L2614">
        <f t="shared" si="528"/>
        <v>-4.0990635910486718E-3</v>
      </c>
      <c r="M2614" t="str">
        <f t="shared" si="522"/>
        <v>2020-07</v>
      </c>
      <c r="O2614">
        <v>6823.28647</v>
      </c>
      <c r="P2614">
        <f t="shared" si="529"/>
        <v>4.4287701306389192E-3</v>
      </c>
      <c r="Q2614" t="str">
        <f t="shared" si="523"/>
        <v>2020-07</v>
      </c>
      <c r="S2614">
        <v>7227.4</v>
      </c>
      <c r="T2614">
        <f t="shared" si="530"/>
        <v>-5.5329627659909844E-4</v>
      </c>
      <c r="U2614" t="str">
        <f t="shared" si="524"/>
        <v>2020-07</v>
      </c>
      <c r="W2614">
        <v>19330.88</v>
      </c>
      <c r="X2614">
        <f t="shared" si="531"/>
        <v>-2.3065963143994359E-3</v>
      </c>
      <c r="Y2614">
        <f t="shared" si="532"/>
        <v>-2.3039381652724374E-3</v>
      </c>
      <c r="Z2614" t="str">
        <f t="shared" si="525"/>
        <v>2020-07</v>
      </c>
    </row>
    <row r="2615" spans="1:26" x14ac:dyDescent="0.35">
      <c r="A2615" s="1">
        <v>44014</v>
      </c>
      <c r="C2615">
        <v>3320.09</v>
      </c>
      <c r="D2615">
        <f t="shared" si="526"/>
        <v>2.7989745098544558E-2</v>
      </c>
      <c r="E2615" t="str">
        <f t="shared" si="520"/>
        <v>2020-07</v>
      </c>
      <c r="G2615">
        <v>5049.38</v>
      </c>
      <c r="H2615">
        <f t="shared" si="527"/>
        <v>2.4547357781050789E-2</v>
      </c>
      <c r="I2615" t="str">
        <f t="shared" si="521"/>
        <v>2020-07</v>
      </c>
      <c r="K2615">
        <v>12608.46</v>
      </c>
      <c r="L2615">
        <f t="shared" si="528"/>
        <v>2.797959513517476E-2</v>
      </c>
      <c r="M2615" t="str">
        <f t="shared" si="522"/>
        <v>2020-07</v>
      </c>
      <c r="O2615">
        <v>6925.0267999999996</v>
      </c>
      <c r="P2615">
        <f t="shared" si="529"/>
        <v>1.4800679220169628E-2</v>
      </c>
      <c r="Q2615" t="str">
        <f t="shared" si="523"/>
        <v>2020-07</v>
      </c>
      <c r="S2615">
        <v>7498.6</v>
      </c>
      <c r="T2615">
        <f t="shared" si="530"/>
        <v>3.6836977681454199E-2</v>
      </c>
      <c r="U2615" t="str">
        <f t="shared" si="524"/>
        <v>2020-07</v>
      </c>
      <c r="W2615">
        <v>19886.88</v>
      </c>
      <c r="X2615">
        <f t="shared" si="531"/>
        <v>2.8356400541998783E-2</v>
      </c>
      <c r="Y2615">
        <f t="shared" si="532"/>
        <v>2.8762270522604248E-2</v>
      </c>
      <c r="Z2615" t="str">
        <f t="shared" si="525"/>
        <v>2020-07</v>
      </c>
    </row>
    <row r="2616" spans="1:26" x14ac:dyDescent="0.35">
      <c r="A2616" s="1">
        <v>44015</v>
      </c>
      <c r="C2616">
        <v>3294.38</v>
      </c>
      <c r="D2616">
        <f t="shared" si="526"/>
        <v>-7.7739046299531147E-3</v>
      </c>
      <c r="E2616" t="str">
        <f t="shared" si="520"/>
        <v>2020-07</v>
      </c>
      <c r="G2616">
        <v>5007.1400000000003</v>
      </c>
      <c r="H2616">
        <f t="shared" si="527"/>
        <v>-8.4005696611941568E-3</v>
      </c>
      <c r="I2616" t="str">
        <f t="shared" si="521"/>
        <v>2020-07</v>
      </c>
      <c r="K2616">
        <v>12528.18</v>
      </c>
      <c r="L2616">
        <f t="shared" si="528"/>
        <v>-6.3875102602206149E-3</v>
      </c>
      <c r="M2616" t="str">
        <f t="shared" si="522"/>
        <v>2020-07</v>
      </c>
      <c r="O2616">
        <v>6829.3340799999996</v>
      </c>
      <c r="P2616">
        <f t="shared" si="529"/>
        <v>-1.3914752540614139E-2</v>
      </c>
      <c r="Q2616" t="str">
        <f t="shared" si="523"/>
        <v>2020-07</v>
      </c>
      <c r="S2616">
        <v>7403.5</v>
      </c>
      <c r="T2616">
        <f t="shared" si="530"/>
        <v>-1.2763475084570992E-2</v>
      </c>
      <c r="U2616" t="str">
        <f t="shared" si="524"/>
        <v>2020-07</v>
      </c>
      <c r="W2616">
        <v>19726.650000000001</v>
      </c>
      <c r="X2616">
        <f t="shared" si="531"/>
        <v>-8.0897043929656891E-3</v>
      </c>
      <c r="Y2616">
        <f t="shared" si="532"/>
        <v>-8.0570707924018017E-3</v>
      </c>
      <c r="Z2616" t="str">
        <f t="shared" si="525"/>
        <v>2020-07</v>
      </c>
    </row>
    <row r="2617" spans="1:26" x14ac:dyDescent="0.35">
      <c r="A2617" s="1">
        <v>44018</v>
      </c>
      <c r="C2617">
        <v>3350.03</v>
      </c>
      <c r="D2617">
        <f t="shared" si="526"/>
        <v>1.6751314656005899E-2</v>
      </c>
      <c r="E2617" t="str">
        <f t="shared" si="520"/>
        <v>2020-07</v>
      </c>
      <c r="G2617">
        <v>5081.51</v>
      </c>
      <c r="H2617">
        <f t="shared" si="527"/>
        <v>1.4743567704891583E-2</v>
      </c>
      <c r="I2617" t="str">
        <f t="shared" si="521"/>
        <v>2020-07</v>
      </c>
      <c r="K2617">
        <v>12733.45</v>
      </c>
      <c r="L2617">
        <f t="shared" si="528"/>
        <v>1.6251882244787859E-2</v>
      </c>
      <c r="M2617" t="str">
        <f t="shared" si="522"/>
        <v>2020-07</v>
      </c>
      <c r="O2617">
        <v>6940.8296499999997</v>
      </c>
      <c r="P2617">
        <f t="shared" si="529"/>
        <v>1.619414392175594E-2</v>
      </c>
      <c r="Q2617" t="str">
        <f t="shared" si="523"/>
        <v>2020-07</v>
      </c>
      <c r="S2617">
        <v>7556.2</v>
      </c>
      <c r="T2617">
        <f t="shared" si="530"/>
        <v>2.0415556953561391E-2</v>
      </c>
      <c r="U2617" t="str">
        <f t="shared" si="524"/>
        <v>2020-07</v>
      </c>
      <c r="W2617">
        <v>20031.86</v>
      </c>
      <c r="X2617">
        <f t="shared" si="531"/>
        <v>1.5353492651804659E-2</v>
      </c>
      <c r="Y2617">
        <f t="shared" si="532"/>
        <v>1.5471963055054919E-2</v>
      </c>
      <c r="Z2617" t="str">
        <f t="shared" si="525"/>
        <v>2020-07</v>
      </c>
    </row>
    <row r="2618" spans="1:26" x14ac:dyDescent="0.35">
      <c r="A2618" s="1">
        <v>44019</v>
      </c>
      <c r="C2618">
        <v>3321.56</v>
      </c>
      <c r="D2618">
        <f t="shared" si="526"/>
        <v>-8.5347489331003626E-3</v>
      </c>
      <c r="E2618" t="str">
        <f t="shared" si="520"/>
        <v>2020-07</v>
      </c>
      <c r="G2618">
        <v>5043.7299999999996</v>
      </c>
      <c r="H2618">
        <f t="shared" si="527"/>
        <v>-7.462573791938789E-3</v>
      </c>
      <c r="I2618" t="str">
        <f t="shared" si="521"/>
        <v>2020-07</v>
      </c>
      <c r="K2618">
        <v>12616.8</v>
      </c>
      <c r="L2618">
        <f t="shared" si="528"/>
        <v>-9.2031300149002186E-3</v>
      </c>
      <c r="M2618" t="str">
        <f t="shared" si="522"/>
        <v>2020-07</v>
      </c>
      <c r="O2618">
        <v>6886.1952199999996</v>
      </c>
      <c r="P2618">
        <f t="shared" si="529"/>
        <v>-7.9025986927638448E-3</v>
      </c>
      <c r="Q2618" t="str">
        <f t="shared" si="523"/>
        <v>2020-07</v>
      </c>
      <c r="S2618">
        <v>7447.4</v>
      </c>
      <c r="T2618">
        <f t="shared" si="530"/>
        <v>-1.4503440129650623E-2</v>
      </c>
      <c r="U2618" t="str">
        <f t="shared" si="524"/>
        <v>2020-07</v>
      </c>
      <c r="W2618">
        <v>20012.68</v>
      </c>
      <c r="X2618">
        <f t="shared" si="531"/>
        <v>-9.5793341447748663E-4</v>
      </c>
      <c r="Y2618">
        <f t="shared" si="532"/>
        <v>-9.5747474273483798E-4</v>
      </c>
      <c r="Z2618" t="str">
        <f t="shared" si="525"/>
        <v>2020-07</v>
      </c>
    </row>
    <row r="2619" spans="1:26" x14ac:dyDescent="0.35">
      <c r="A2619" s="1">
        <v>44020</v>
      </c>
      <c r="C2619">
        <v>3286.09</v>
      </c>
      <c r="D2619">
        <f t="shared" si="526"/>
        <v>-1.0736143924948467E-2</v>
      </c>
      <c r="E2619" t="str">
        <f t="shared" si="520"/>
        <v>2020-07</v>
      </c>
      <c r="G2619">
        <v>4981.13</v>
      </c>
      <c r="H2619">
        <f t="shared" si="527"/>
        <v>-1.2489114797225542E-2</v>
      </c>
      <c r="I2619" t="str">
        <f t="shared" si="521"/>
        <v>2020-07</v>
      </c>
      <c r="K2619">
        <v>12494.81</v>
      </c>
      <c r="L2619">
        <f t="shared" si="528"/>
        <v>-9.7159011023418181E-3</v>
      </c>
      <c r="M2619" t="str">
        <f t="shared" si="522"/>
        <v>2020-07</v>
      </c>
      <c r="O2619">
        <v>6844.2205800000002</v>
      </c>
      <c r="P2619">
        <f t="shared" si="529"/>
        <v>-6.1141295895712731E-3</v>
      </c>
      <c r="Q2619" t="str">
        <f t="shared" si="523"/>
        <v>2020-07</v>
      </c>
      <c r="S2619">
        <v>7326.4</v>
      </c>
      <c r="T2619">
        <f t="shared" si="530"/>
        <v>-1.6380715269853411E-2</v>
      </c>
      <c r="U2619" t="str">
        <f t="shared" si="524"/>
        <v>2020-07</v>
      </c>
      <c r="W2619">
        <v>19899.53</v>
      </c>
      <c r="X2619">
        <f t="shared" si="531"/>
        <v>-5.6699592998144142E-3</v>
      </c>
      <c r="Y2619">
        <f t="shared" si="532"/>
        <v>-5.6539154176252979E-3</v>
      </c>
      <c r="Z2619" t="str">
        <f t="shared" si="525"/>
        <v>2020-07</v>
      </c>
    </row>
    <row r="2620" spans="1:26" x14ac:dyDescent="0.35">
      <c r="A2620" s="1">
        <v>44021</v>
      </c>
      <c r="C2620">
        <v>3261.17</v>
      </c>
      <c r="D2620">
        <f t="shared" si="526"/>
        <v>-7.6123814662298296E-3</v>
      </c>
      <c r="E2620" t="str">
        <f t="shared" si="520"/>
        <v>2020-07</v>
      </c>
      <c r="G2620">
        <v>4921.01</v>
      </c>
      <c r="H2620">
        <f t="shared" si="527"/>
        <v>-1.2142978938369098E-2</v>
      </c>
      <c r="I2620" t="str">
        <f t="shared" si="521"/>
        <v>2020-07</v>
      </c>
      <c r="K2620">
        <v>12489.46</v>
      </c>
      <c r="L2620">
        <f t="shared" si="528"/>
        <v>-4.2826947369469133E-4</v>
      </c>
      <c r="M2620" t="str">
        <f t="shared" si="522"/>
        <v>2020-07</v>
      </c>
      <c r="O2620">
        <v>6756.3287799999998</v>
      </c>
      <c r="P2620">
        <f t="shared" si="529"/>
        <v>-1.29249225488974E-2</v>
      </c>
      <c r="Q2620" t="str">
        <f t="shared" si="523"/>
        <v>2020-07</v>
      </c>
      <c r="S2620">
        <v>7236.9</v>
      </c>
      <c r="T2620">
        <f t="shared" si="530"/>
        <v>-1.2291325012508295E-2</v>
      </c>
      <c r="U2620" t="str">
        <f t="shared" si="524"/>
        <v>2020-07</v>
      </c>
      <c r="W2620">
        <v>19505.95</v>
      </c>
      <c r="X2620">
        <f t="shared" si="531"/>
        <v>-1.9976566128397006E-2</v>
      </c>
      <c r="Y2620">
        <f t="shared" si="532"/>
        <v>-1.9778356574250654E-2</v>
      </c>
      <c r="Z2620" t="str">
        <f t="shared" si="525"/>
        <v>2020-07</v>
      </c>
    </row>
    <row r="2621" spans="1:26" x14ac:dyDescent="0.35">
      <c r="A2621" s="1">
        <v>44022</v>
      </c>
      <c r="C2621">
        <v>3296.22</v>
      </c>
      <c r="D2621">
        <f t="shared" si="526"/>
        <v>1.0690330696041427E-2</v>
      </c>
      <c r="E2621" t="str">
        <f t="shared" si="520"/>
        <v>2020-07</v>
      </c>
      <c r="G2621">
        <v>4970.4799999999996</v>
      </c>
      <c r="H2621">
        <f t="shared" si="527"/>
        <v>1.0002620932829177E-2</v>
      </c>
      <c r="I2621" t="str">
        <f t="shared" si="521"/>
        <v>2020-07</v>
      </c>
      <c r="K2621">
        <v>12633.71</v>
      </c>
      <c r="L2621">
        <f t="shared" si="528"/>
        <v>1.148354966405918E-2</v>
      </c>
      <c r="M2621" t="str">
        <f t="shared" si="522"/>
        <v>2020-07</v>
      </c>
      <c r="O2621">
        <v>6811.2161100000003</v>
      </c>
      <c r="P2621">
        <f t="shared" si="529"/>
        <v>8.0910186590169887E-3</v>
      </c>
      <c r="Q2621" t="str">
        <f t="shared" si="523"/>
        <v>2020-07</v>
      </c>
      <c r="S2621">
        <v>7321.1</v>
      </c>
      <c r="T2621">
        <f t="shared" si="530"/>
        <v>1.1567651999188461E-2</v>
      </c>
      <c r="U2621" t="str">
        <f t="shared" si="524"/>
        <v>2020-07</v>
      </c>
      <c r="W2621">
        <v>19767.599999999999</v>
      </c>
      <c r="X2621">
        <f t="shared" si="531"/>
        <v>1.3324686526113936E-2</v>
      </c>
      <c r="Y2621">
        <f t="shared" si="532"/>
        <v>1.3413855772212982E-2</v>
      </c>
      <c r="Z2621" t="str">
        <f t="shared" si="525"/>
        <v>2020-07</v>
      </c>
    </row>
    <row r="2622" spans="1:26" x14ac:dyDescent="0.35">
      <c r="A2622" s="1">
        <v>44025</v>
      </c>
      <c r="C2622">
        <v>3350</v>
      </c>
      <c r="D2622">
        <f t="shared" si="526"/>
        <v>1.6183988444454494E-2</v>
      </c>
      <c r="E2622" t="str">
        <f t="shared" si="520"/>
        <v>2020-07</v>
      </c>
      <c r="G2622">
        <v>5056.2299999999996</v>
      </c>
      <c r="H2622">
        <f t="shared" si="527"/>
        <v>1.7104731394322649E-2</v>
      </c>
      <c r="I2622" t="str">
        <f t="shared" si="521"/>
        <v>2020-07</v>
      </c>
      <c r="K2622">
        <v>12799.97</v>
      </c>
      <c r="L2622">
        <f t="shared" si="528"/>
        <v>1.3074188893591207E-2</v>
      </c>
      <c r="M2622" t="str">
        <f t="shared" si="522"/>
        <v>2020-07</v>
      </c>
      <c r="O2622">
        <v>6853.6802299999999</v>
      </c>
      <c r="P2622">
        <f t="shared" si="529"/>
        <v>6.2150865448042051E-3</v>
      </c>
      <c r="Q2622" t="str">
        <f t="shared" si="523"/>
        <v>2020-07</v>
      </c>
      <c r="S2622">
        <v>7426.9</v>
      </c>
      <c r="T2622">
        <f t="shared" si="530"/>
        <v>1.4347954302442494E-2</v>
      </c>
      <c r="U2622" t="str">
        <f t="shared" si="524"/>
        <v>2020-07</v>
      </c>
      <c r="W2622">
        <v>20003.25</v>
      </c>
      <c r="X2622">
        <f t="shared" si="531"/>
        <v>1.1850526593496268E-2</v>
      </c>
      <c r="Y2622">
        <f t="shared" si="532"/>
        <v>1.1921022278880667E-2</v>
      </c>
      <c r="Z2622" t="str">
        <f t="shared" si="525"/>
        <v>2020-07</v>
      </c>
    </row>
    <row r="2623" spans="1:26" x14ac:dyDescent="0.35">
      <c r="A2623" s="1">
        <v>44026</v>
      </c>
      <c r="C2623">
        <v>3321.39</v>
      </c>
      <c r="D2623">
        <f t="shared" si="526"/>
        <v>-8.5769758295791958E-3</v>
      </c>
      <c r="E2623" t="str">
        <f t="shared" si="520"/>
        <v>2020-07</v>
      </c>
      <c r="G2623">
        <v>5007.46</v>
      </c>
      <c r="H2623">
        <f t="shared" si="527"/>
        <v>-9.692345808264816E-3</v>
      </c>
      <c r="I2623" t="str">
        <f t="shared" si="521"/>
        <v>2020-07</v>
      </c>
      <c r="K2623">
        <v>12697.36</v>
      </c>
      <c r="L2623">
        <f t="shared" si="528"/>
        <v>-8.0487293328251105E-3</v>
      </c>
      <c r="M2623" t="str">
        <f t="shared" si="522"/>
        <v>2020-07</v>
      </c>
      <c r="O2623">
        <v>6800.2721199999996</v>
      </c>
      <c r="P2623">
        <f t="shared" si="529"/>
        <v>-7.8231388273102467E-3</v>
      </c>
      <c r="Q2623" t="str">
        <f t="shared" si="523"/>
        <v>2020-07</v>
      </c>
      <c r="S2623">
        <v>7352</v>
      </c>
      <c r="T2623">
        <f t="shared" si="530"/>
        <v>-1.0136159156430615E-2</v>
      </c>
      <c r="U2623" t="str">
        <f t="shared" si="524"/>
        <v>2020-07</v>
      </c>
      <c r="W2623">
        <v>19879.75</v>
      </c>
      <c r="X2623">
        <f t="shared" si="531"/>
        <v>-6.1931346556561391E-3</v>
      </c>
      <c r="Y2623">
        <f t="shared" si="532"/>
        <v>-6.1739967255321007E-3</v>
      </c>
      <c r="Z2623" t="str">
        <f t="shared" si="525"/>
        <v>2020-07</v>
      </c>
    </row>
    <row r="2624" spans="1:26" x14ac:dyDescent="0.35">
      <c r="A2624" s="1">
        <v>44027</v>
      </c>
      <c r="C2624">
        <v>3378.21</v>
      </c>
      <c r="D2624">
        <f t="shared" si="526"/>
        <v>1.6962613408626655E-2</v>
      </c>
      <c r="E2624" t="str">
        <f t="shared" si="520"/>
        <v>2020-07</v>
      </c>
      <c r="G2624">
        <v>5108.9799999999996</v>
      </c>
      <c r="H2624">
        <f t="shared" si="527"/>
        <v>2.0070975172636379E-2</v>
      </c>
      <c r="I2624" t="str">
        <f t="shared" si="521"/>
        <v>2020-07</v>
      </c>
      <c r="K2624">
        <v>12930.98</v>
      </c>
      <c r="L2624">
        <f t="shared" si="528"/>
        <v>1.8231884801727577E-2</v>
      </c>
      <c r="M2624" t="str">
        <f t="shared" si="522"/>
        <v>2020-07</v>
      </c>
      <c r="O2624">
        <v>6943.0431200000003</v>
      </c>
      <c r="P2624">
        <f t="shared" si="529"/>
        <v>2.0777539295214684E-2</v>
      </c>
      <c r="Q2624" t="str">
        <f t="shared" si="523"/>
        <v>2020-07</v>
      </c>
      <c r="S2624">
        <v>7487.6</v>
      </c>
      <c r="T2624">
        <f t="shared" si="530"/>
        <v>1.8275933891651205E-2</v>
      </c>
      <c r="U2624" t="str">
        <f t="shared" si="524"/>
        <v>2020-07</v>
      </c>
      <c r="W2624">
        <v>20281.38</v>
      </c>
      <c r="X2624">
        <f t="shared" si="531"/>
        <v>2.0001598048505476E-2</v>
      </c>
      <c r="Y2624">
        <f t="shared" si="532"/>
        <v>2.0202970359285255E-2</v>
      </c>
      <c r="Z2624" t="str">
        <f t="shared" si="525"/>
        <v>2020-07</v>
      </c>
    </row>
    <row r="2625" spans="1:26" x14ac:dyDescent="0.35">
      <c r="A2625" s="1">
        <v>44028</v>
      </c>
      <c r="C2625">
        <v>3365.35</v>
      </c>
      <c r="D2625">
        <f t="shared" si="526"/>
        <v>-3.8140138411200388E-3</v>
      </c>
      <c r="E2625" t="str">
        <f t="shared" si="520"/>
        <v>2020-07</v>
      </c>
      <c r="G2625">
        <v>5085.28</v>
      </c>
      <c r="H2625">
        <f t="shared" si="527"/>
        <v>-4.6496837825627029E-3</v>
      </c>
      <c r="I2625" t="str">
        <f t="shared" si="521"/>
        <v>2020-07</v>
      </c>
      <c r="K2625">
        <v>12874.97</v>
      </c>
      <c r="L2625">
        <f t="shared" si="528"/>
        <v>-4.3408661917295937E-3</v>
      </c>
      <c r="M2625" t="str">
        <f t="shared" si="522"/>
        <v>2020-07</v>
      </c>
      <c r="O2625">
        <v>6896.6329800000003</v>
      </c>
      <c r="P2625">
        <f t="shared" si="529"/>
        <v>-6.7068497314954302E-3</v>
      </c>
      <c r="Q2625" t="str">
        <f t="shared" si="523"/>
        <v>2020-07</v>
      </c>
      <c r="S2625">
        <v>7474.7</v>
      </c>
      <c r="T2625">
        <f t="shared" si="530"/>
        <v>-1.7243342529328083E-3</v>
      </c>
      <c r="U2625" t="str">
        <f t="shared" si="524"/>
        <v>2020-07</v>
      </c>
      <c r="W2625">
        <v>20356.09</v>
      </c>
      <c r="X2625">
        <f t="shared" si="531"/>
        <v>3.6769062725117551E-3</v>
      </c>
      <c r="Y2625">
        <f t="shared" si="532"/>
        <v>3.6836743850763173E-3</v>
      </c>
      <c r="Z2625" t="str">
        <f t="shared" si="525"/>
        <v>2020-07</v>
      </c>
    </row>
    <row r="2626" spans="1:26" x14ac:dyDescent="0.35">
      <c r="A2626" s="1">
        <v>44029</v>
      </c>
      <c r="C2626">
        <v>3365.6</v>
      </c>
      <c r="D2626">
        <f t="shared" si="526"/>
        <v>7.4283719271358992E-5</v>
      </c>
      <c r="E2626" t="str">
        <f t="shared" si="520"/>
        <v>2020-07</v>
      </c>
      <c r="G2626">
        <v>5069.42</v>
      </c>
      <c r="H2626">
        <f t="shared" si="527"/>
        <v>-3.1236792610300893E-3</v>
      </c>
      <c r="I2626" t="str">
        <f t="shared" si="521"/>
        <v>2020-07</v>
      </c>
      <c r="K2626">
        <v>12919.61</v>
      </c>
      <c r="L2626">
        <f t="shared" si="528"/>
        <v>3.4611956903450184E-3</v>
      </c>
      <c r="M2626" t="str">
        <f t="shared" si="522"/>
        <v>2020-07</v>
      </c>
      <c r="O2626">
        <v>6907.5030299999999</v>
      </c>
      <c r="P2626">
        <f t="shared" si="529"/>
        <v>1.5748978768213267E-3</v>
      </c>
      <c r="Q2626" t="str">
        <f t="shared" si="523"/>
        <v>2020-07</v>
      </c>
      <c r="S2626">
        <v>7440.4</v>
      </c>
      <c r="T2626">
        <f t="shared" si="530"/>
        <v>-4.5993738514455082E-3</v>
      </c>
      <c r="U2626" t="str">
        <f t="shared" si="524"/>
        <v>2020-07</v>
      </c>
      <c r="W2626">
        <v>20419.39</v>
      </c>
      <c r="X2626">
        <f t="shared" si="531"/>
        <v>3.1048095988159183E-3</v>
      </c>
      <c r="Y2626">
        <f t="shared" si="532"/>
        <v>3.1096345123252682E-3</v>
      </c>
      <c r="Z2626" t="str">
        <f t="shared" si="525"/>
        <v>2020-07</v>
      </c>
    </row>
    <row r="2627" spans="1:26" x14ac:dyDescent="0.35">
      <c r="A2627" s="1">
        <v>44032</v>
      </c>
      <c r="C2627">
        <v>3388.34</v>
      </c>
      <c r="D2627">
        <f t="shared" si="526"/>
        <v>6.7338726517521983E-3</v>
      </c>
      <c r="E2627" t="str">
        <f t="shared" si="520"/>
        <v>2020-07</v>
      </c>
      <c r="G2627">
        <v>5093.18</v>
      </c>
      <c r="H2627">
        <f t="shared" si="527"/>
        <v>4.6759772680644079E-3</v>
      </c>
      <c r="I2627" t="str">
        <f t="shared" si="521"/>
        <v>2020-07</v>
      </c>
      <c r="K2627">
        <v>13046.92</v>
      </c>
      <c r="L2627">
        <f t="shared" si="528"/>
        <v>9.8057784466891538E-3</v>
      </c>
      <c r="M2627" t="str">
        <f t="shared" si="522"/>
        <v>2020-07</v>
      </c>
      <c r="O2627">
        <v>6924.9488199999996</v>
      </c>
      <c r="P2627">
        <f t="shared" si="529"/>
        <v>2.5224449633973532E-3</v>
      </c>
      <c r="Q2627" t="str">
        <f t="shared" si="523"/>
        <v>2020-07</v>
      </c>
      <c r="S2627">
        <v>7478</v>
      </c>
      <c r="T2627">
        <f t="shared" si="530"/>
        <v>5.0407657142633542E-3</v>
      </c>
      <c r="U2627" t="str">
        <f t="shared" si="524"/>
        <v>2020-07</v>
      </c>
      <c r="W2627">
        <v>20621.48</v>
      </c>
      <c r="X2627">
        <f t="shared" si="531"/>
        <v>9.848311372392015E-3</v>
      </c>
      <c r="Y2627">
        <f t="shared" si="532"/>
        <v>9.8969655802646477E-3</v>
      </c>
      <c r="Z2627" t="str">
        <f t="shared" si="525"/>
        <v>2020-07</v>
      </c>
    </row>
    <row r="2628" spans="1:26" x14ac:dyDescent="0.35">
      <c r="A2628" s="1">
        <v>44033</v>
      </c>
      <c r="C2628">
        <v>3405.35</v>
      </c>
      <c r="D2628">
        <f t="shared" si="526"/>
        <v>5.0075983877020617E-3</v>
      </c>
      <c r="E2628" t="str">
        <f t="shared" ref="E2628:E2691" si="533">_xlfn.CONCAT(YEAR(A2628),"-",TEXT(MONTH(A2628),"00"))</f>
        <v>2020-07</v>
      </c>
      <c r="G2628">
        <v>5104.28</v>
      </c>
      <c r="H2628">
        <f t="shared" si="527"/>
        <v>2.1770135668946187E-3</v>
      </c>
      <c r="I2628" t="str">
        <f t="shared" ref="I2628:I2691" si="534">_xlfn.CONCAT(YEAR(A2628),"-",TEXT(MONTH(A2628),"00"))</f>
        <v>2020-07</v>
      </c>
      <c r="K2628">
        <v>13171.83</v>
      </c>
      <c r="L2628">
        <f t="shared" si="528"/>
        <v>9.5283676792090721E-3</v>
      </c>
      <c r="M2628" t="str">
        <f t="shared" ref="M2628:M2691" si="535">_xlfn.CONCAT(YEAR(A2628),"-",TEXT(MONTH(A2628),"00"))</f>
        <v>2020-07</v>
      </c>
      <c r="O2628">
        <v>6937.7535099999996</v>
      </c>
      <c r="P2628">
        <f t="shared" si="529"/>
        <v>1.8473589545199335E-3</v>
      </c>
      <c r="Q2628" t="str">
        <f t="shared" ref="Q2628:Q2691" si="536">_xlfn.CONCAT(YEAR(A2628),"-",TEXT(MONTH(A2628),"00"))</f>
        <v>2020-07</v>
      </c>
      <c r="S2628">
        <v>7494.5</v>
      </c>
      <c r="T2628">
        <f t="shared" si="530"/>
        <v>2.2040416335913837E-3</v>
      </c>
      <c r="U2628" t="str">
        <f t="shared" ref="U2628:U2691" si="537">_xlfn.CONCAT(YEAR(A2628),"-",TEXT(MONTH(A2628),"00"))</f>
        <v>2020-07</v>
      </c>
      <c r="W2628">
        <v>20723.419999999998</v>
      </c>
      <c r="X2628">
        <f t="shared" si="531"/>
        <v>4.9312106969159721E-3</v>
      </c>
      <c r="Y2628">
        <f t="shared" si="532"/>
        <v>4.943389126289611E-3</v>
      </c>
      <c r="Z2628" t="str">
        <f t="shared" ref="Z2628:Z2691" si="538">_xlfn.CONCAT(YEAR(A2628),"-",TEXT(MONTH(A2628),"00"))</f>
        <v>2020-07</v>
      </c>
    </row>
    <row r="2629" spans="1:26" x14ac:dyDescent="0.35">
      <c r="A2629" s="1">
        <v>44034</v>
      </c>
      <c r="C2629">
        <v>3370.76</v>
      </c>
      <c r="D2629">
        <f t="shared" ref="D2629:D2692" si="539">LN(C2629/C2628)</f>
        <v>-1.0209486107176102E-2</v>
      </c>
      <c r="E2629" t="str">
        <f t="shared" si="533"/>
        <v>2020-07</v>
      </c>
      <c r="G2629">
        <v>5037.12</v>
      </c>
      <c r="H2629">
        <f t="shared" ref="H2629:H2692" si="540">LN(G2629/G2628)</f>
        <v>-1.3244913287642126E-2</v>
      </c>
      <c r="I2629" t="str">
        <f t="shared" si="534"/>
        <v>2020-07</v>
      </c>
      <c r="K2629">
        <v>13104.25</v>
      </c>
      <c r="L2629">
        <f t="shared" ref="L2629:L2692" si="541">LN(K2629/K2628)</f>
        <v>-5.1438531934347364E-3</v>
      </c>
      <c r="M2629" t="str">
        <f t="shared" si="535"/>
        <v>2020-07</v>
      </c>
      <c r="O2629">
        <v>6829.0431600000002</v>
      </c>
      <c r="P2629">
        <f t="shared" ref="P2629:P2692" si="542">LN(O2629/O2628)</f>
        <v>-1.5793450322479675E-2</v>
      </c>
      <c r="Q2629" t="str">
        <f t="shared" si="536"/>
        <v>2020-07</v>
      </c>
      <c r="S2629">
        <v>7390.1</v>
      </c>
      <c r="T2629">
        <f t="shared" ref="T2629:T2692" si="543">LN(S2629/S2628)</f>
        <v>-1.4028151520227584E-2</v>
      </c>
      <c r="U2629" t="str">
        <f t="shared" si="537"/>
        <v>2020-07</v>
      </c>
      <c r="W2629">
        <v>20598.78</v>
      </c>
      <c r="X2629">
        <f t="shared" ref="X2629:X2692" si="544">LN(W2629/W2628)</f>
        <v>-6.0326109449857545E-3</v>
      </c>
      <c r="Y2629">
        <f t="shared" ref="Y2629:Y2692" si="545">(W2629-W2628)/W2628</f>
        <v>-6.0144512826550553E-3</v>
      </c>
      <c r="Z2629" t="str">
        <f t="shared" si="538"/>
        <v>2020-07</v>
      </c>
    </row>
    <row r="2630" spans="1:26" x14ac:dyDescent="0.35">
      <c r="A2630" s="1">
        <v>44035</v>
      </c>
      <c r="C2630">
        <v>3371.74</v>
      </c>
      <c r="D2630">
        <f t="shared" si="539"/>
        <v>2.9069336504274518E-4</v>
      </c>
      <c r="E2630" t="str">
        <f t="shared" si="533"/>
        <v>2020-07</v>
      </c>
      <c r="G2630">
        <v>5033.76</v>
      </c>
      <c r="H2630">
        <f t="shared" si="540"/>
        <v>-6.6727041225190305E-4</v>
      </c>
      <c r="I2630" t="str">
        <f t="shared" si="534"/>
        <v>2020-07</v>
      </c>
      <c r="K2630">
        <v>13103.39</v>
      </c>
      <c r="L2630">
        <f t="shared" si="541"/>
        <v>-6.5629717159527325E-5</v>
      </c>
      <c r="M2630" t="str">
        <f t="shared" si="535"/>
        <v>2020-07</v>
      </c>
      <c r="O2630">
        <v>6812.8057500000004</v>
      </c>
      <c r="P2630">
        <f t="shared" si="542"/>
        <v>-2.3805303482156591E-3</v>
      </c>
      <c r="Q2630" t="str">
        <f t="shared" si="536"/>
        <v>2020-07</v>
      </c>
      <c r="S2630">
        <v>7384.9</v>
      </c>
      <c r="T2630">
        <f t="shared" si="543"/>
        <v>-7.0389173803062002E-4</v>
      </c>
      <c r="U2630" t="str">
        <f t="shared" si="537"/>
        <v>2020-07</v>
      </c>
      <c r="W2630">
        <v>20454.46</v>
      </c>
      <c r="X2630">
        <f t="shared" si="544"/>
        <v>-7.0308991212506677E-3</v>
      </c>
      <c r="Y2630">
        <f t="shared" si="545"/>
        <v>-7.0062401753890145E-3</v>
      </c>
      <c r="Z2630" t="str">
        <f t="shared" si="538"/>
        <v>2020-07</v>
      </c>
    </row>
    <row r="2631" spans="1:26" x14ac:dyDescent="0.35">
      <c r="A2631" s="1">
        <v>44036</v>
      </c>
      <c r="C2631">
        <v>3310.89</v>
      </c>
      <c r="D2631">
        <f t="shared" si="539"/>
        <v>-1.8211896169630506E-2</v>
      </c>
      <c r="E2631" t="str">
        <f t="shared" si="533"/>
        <v>2020-07</v>
      </c>
      <c r="G2631">
        <v>4956.43</v>
      </c>
      <c r="H2631">
        <f t="shared" si="540"/>
        <v>-1.5481496249941122E-2</v>
      </c>
      <c r="I2631" t="str">
        <f t="shared" si="534"/>
        <v>2020-07</v>
      </c>
      <c r="K2631">
        <v>12838.06</v>
      </c>
      <c r="L2631">
        <f t="shared" si="541"/>
        <v>-2.0456778851806495E-2</v>
      </c>
      <c r="M2631" t="str">
        <f t="shared" si="535"/>
        <v>2020-07</v>
      </c>
      <c r="O2631">
        <v>6729.0965800000004</v>
      </c>
      <c r="P2631">
        <f t="shared" si="542"/>
        <v>-1.2363142811709147E-2</v>
      </c>
      <c r="Q2631" t="str">
        <f t="shared" si="536"/>
        <v>2020-07</v>
      </c>
      <c r="S2631">
        <v>7294.7</v>
      </c>
      <c r="T2631">
        <f t="shared" si="543"/>
        <v>-1.2289317858697194E-2</v>
      </c>
      <c r="U2631" t="str">
        <f t="shared" si="537"/>
        <v>2020-07</v>
      </c>
      <c r="W2631">
        <v>20075.27</v>
      </c>
      <c r="X2631">
        <f t="shared" si="544"/>
        <v>-1.8712242313029523E-2</v>
      </c>
      <c r="Y2631">
        <f t="shared" si="545"/>
        <v>-1.8538255226488439E-2</v>
      </c>
      <c r="Z2631" t="str">
        <f t="shared" si="538"/>
        <v>2020-07</v>
      </c>
    </row>
    <row r="2632" spans="1:26" x14ac:dyDescent="0.35">
      <c r="A2632" s="1">
        <v>44039</v>
      </c>
      <c r="C2632">
        <v>3302.84</v>
      </c>
      <c r="D2632">
        <f t="shared" si="539"/>
        <v>-2.4343309978894704E-3</v>
      </c>
      <c r="E2632" t="str">
        <f t="shared" si="533"/>
        <v>2020-07</v>
      </c>
      <c r="G2632">
        <v>4939.62</v>
      </c>
      <c r="H2632">
        <f t="shared" si="540"/>
        <v>-3.3973183579501499E-3</v>
      </c>
      <c r="I2632" t="str">
        <f t="shared" si="534"/>
        <v>2020-07</v>
      </c>
      <c r="K2632">
        <v>12838.66</v>
      </c>
      <c r="L2632">
        <f t="shared" si="541"/>
        <v>4.6734941231454881E-5</v>
      </c>
      <c r="M2632" t="str">
        <f t="shared" si="535"/>
        <v>2020-07</v>
      </c>
      <c r="O2632">
        <v>6691.1979799999999</v>
      </c>
      <c r="P2632">
        <f t="shared" si="542"/>
        <v>-5.6479685414048261E-3</v>
      </c>
      <c r="Q2632" t="str">
        <f t="shared" si="536"/>
        <v>2020-07</v>
      </c>
      <c r="S2632">
        <v>7170.6</v>
      </c>
      <c r="T2632">
        <f t="shared" si="543"/>
        <v>-1.7158723952804773E-2</v>
      </c>
      <c r="U2632" t="str">
        <f t="shared" si="537"/>
        <v>2020-07</v>
      </c>
      <c r="W2632">
        <v>20019.96</v>
      </c>
      <c r="X2632">
        <f t="shared" si="544"/>
        <v>-2.7589334234347858E-3</v>
      </c>
      <c r="Y2632">
        <f t="shared" si="545"/>
        <v>-2.7551310642397989E-3</v>
      </c>
      <c r="Z2632" t="str">
        <f t="shared" si="538"/>
        <v>2020-07</v>
      </c>
    </row>
    <row r="2633" spans="1:26" x14ac:dyDescent="0.35">
      <c r="A2633" s="1">
        <v>44040</v>
      </c>
      <c r="C2633">
        <v>3303.56</v>
      </c>
      <c r="D2633">
        <f t="shared" si="539"/>
        <v>2.1797045375706299E-4</v>
      </c>
      <c r="E2633" t="str">
        <f t="shared" si="533"/>
        <v>2020-07</v>
      </c>
      <c r="G2633">
        <v>4928.9399999999996</v>
      </c>
      <c r="H2633">
        <f t="shared" si="540"/>
        <v>-2.1644503695599834E-3</v>
      </c>
      <c r="I2633" t="str">
        <f t="shared" si="534"/>
        <v>2020-07</v>
      </c>
      <c r="K2633">
        <v>12835.28</v>
      </c>
      <c r="L2633">
        <f t="shared" si="541"/>
        <v>-2.6330201126329003E-4</v>
      </c>
      <c r="M2633" t="str">
        <f t="shared" si="535"/>
        <v>2020-07</v>
      </c>
      <c r="O2633">
        <v>6762.8170799999998</v>
      </c>
      <c r="P2633">
        <f t="shared" si="542"/>
        <v>1.064660269552177E-2</v>
      </c>
      <c r="Q2633" t="str">
        <f t="shared" si="536"/>
        <v>2020-07</v>
      </c>
      <c r="S2633">
        <v>7246.4</v>
      </c>
      <c r="T2633">
        <f t="shared" si="543"/>
        <v>1.051546070105908E-2</v>
      </c>
      <c r="U2633" t="str">
        <f t="shared" si="537"/>
        <v>2020-07</v>
      </c>
      <c r="W2633">
        <v>19902.63</v>
      </c>
      <c r="X2633">
        <f t="shared" si="544"/>
        <v>-5.8778920810832842E-3</v>
      </c>
      <c r="Y2633">
        <f t="shared" si="545"/>
        <v>-5.860651070231814E-3</v>
      </c>
      <c r="Z2633" t="str">
        <f t="shared" si="538"/>
        <v>2020-07</v>
      </c>
    </row>
    <row r="2634" spans="1:26" x14ac:dyDescent="0.35">
      <c r="A2634" s="1">
        <v>44041</v>
      </c>
      <c r="C2634">
        <v>3300.16</v>
      </c>
      <c r="D2634">
        <f t="shared" si="539"/>
        <v>-1.0297227321651376E-3</v>
      </c>
      <c r="E2634" t="str">
        <f t="shared" si="533"/>
        <v>2020-07</v>
      </c>
      <c r="G2634">
        <v>4958.74</v>
      </c>
      <c r="H2634">
        <f t="shared" si="540"/>
        <v>6.0277214124954794E-3</v>
      </c>
      <c r="I2634" t="str">
        <f t="shared" si="534"/>
        <v>2020-07</v>
      </c>
      <c r="K2634">
        <v>12822.26</v>
      </c>
      <c r="L2634">
        <f t="shared" si="541"/>
        <v>-1.0149064265388063E-3</v>
      </c>
      <c r="M2634" t="str">
        <f t="shared" si="535"/>
        <v>2020-07</v>
      </c>
      <c r="O2634">
        <v>6756.3752400000003</v>
      </c>
      <c r="P2634">
        <f t="shared" si="542"/>
        <v>-9.529919147619457E-4</v>
      </c>
      <c r="Q2634" t="str">
        <f t="shared" si="536"/>
        <v>2020-07</v>
      </c>
      <c r="S2634">
        <v>7206.2</v>
      </c>
      <c r="T2634">
        <f t="shared" si="543"/>
        <v>-5.5630272301602952E-3</v>
      </c>
      <c r="U2634" t="str">
        <f t="shared" si="537"/>
        <v>2020-07</v>
      </c>
      <c r="W2634">
        <v>19880.57</v>
      </c>
      <c r="X2634">
        <f t="shared" si="544"/>
        <v>-1.1090109524109627E-3</v>
      </c>
      <c r="Y2634">
        <f t="shared" si="545"/>
        <v>-1.1083962270313677E-3</v>
      </c>
      <c r="Z2634" t="str">
        <f t="shared" si="538"/>
        <v>2020-07</v>
      </c>
    </row>
    <row r="2635" spans="1:26" x14ac:dyDescent="0.35">
      <c r="A2635" s="1">
        <v>44042</v>
      </c>
      <c r="C2635">
        <v>3208.2</v>
      </c>
      <c r="D2635">
        <f t="shared" si="539"/>
        <v>-2.8260919944963256E-2</v>
      </c>
      <c r="E2635" t="str">
        <f t="shared" si="533"/>
        <v>2020-07</v>
      </c>
      <c r="G2635">
        <v>4852.9399999999996</v>
      </c>
      <c r="H2635">
        <f t="shared" si="540"/>
        <v>-2.1566969346964667E-2</v>
      </c>
      <c r="I2635" t="str">
        <f t="shared" si="534"/>
        <v>2020-07</v>
      </c>
      <c r="K2635">
        <v>12379.65</v>
      </c>
      <c r="L2635">
        <f t="shared" si="541"/>
        <v>-3.5128727555956203E-2</v>
      </c>
      <c r="M2635" t="str">
        <f t="shared" si="535"/>
        <v>2020-07</v>
      </c>
      <c r="O2635">
        <v>6627.3525399999999</v>
      </c>
      <c r="P2635">
        <f t="shared" si="542"/>
        <v>-1.9281129927416235E-2</v>
      </c>
      <c r="Q2635" t="str">
        <f t="shared" si="536"/>
        <v>2020-07</v>
      </c>
      <c r="S2635">
        <v>6996.6</v>
      </c>
      <c r="T2635">
        <f t="shared" si="543"/>
        <v>-2.9517449817446858E-2</v>
      </c>
      <c r="U2635" t="str">
        <f t="shared" si="537"/>
        <v>2020-07</v>
      </c>
      <c r="W2635">
        <v>19228.47</v>
      </c>
      <c r="X2635">
        <f t="shared" si="544"/>
        <v>-3.3350879596743037E-2</v>
      </c>
      <c r="Y2635">
        <f t="shared" si="545"/>
        <v>-3.280087039757907E-2</v>
      </c>
      <c r="Z2635" t="str">
        <f t="shared" si="538"/>
        <v>2020-07</v>
      </c>
    </row>
    <row r="2636" spans="1:26" x14ac:dyDescent="0.35">
      <c r="A2636" s="1">
        <v>44043</v>
      </c>
      <c r="C2636">
        <v>3174.32</v>
      </c>
      <c r="D2636">
        <f t="shared" si="539"/>
        <v>-1.0616596022656315E-2</v>
      </c>
      <c r="E2636" t="str">
        <f t="shared" si="533"/>
        <v>2020-07</v>
      </c>
      <c r="G2636">
        <v>4783.6899999999996</v>
      </c>
      <c r="H2636">
        <f t="shared" si="540"/>
        <v>-1.4372491642487866E-2</v>
      </c>
      <c r="I2636" t="str">
        <f t="shared" si="534"/>
        <v>2020-07</v>
      </c>
      <c r="K2636">
        <v>12313.36</v>
      </c>
      <c r="L2636">
        <f t="shared" si="541"/>
        <v>-5.3691436766083404E-3</v>
      </c>
      <c r="M2636" t="str">
        <f t="shared" si="535"/>
        <v>2020-07</v>
      </c>
      <c r="O2636">
        <v>6552.0107099999996</v>
      </c>
      <c r="P2636">
        <f t="shared" si="542"/>
        <v>-1.1433428051610199E-2</v>
      </c>
      <c r="Q2636" t="str">
        <f t="shared" si="536"/>
        <v>2020-07</v>
      </c>
      <c r="S2636">
        <v>6877.4</v>
      </c>
      <c r="T2636">
        <f t="shared" si="543"/>
        <v>-1.7183643228533892E-2</v>
      </c>
      <c r="U2636" t="str">
        <f t="shared" si="537"/>
        <v>2020-07</v>
      </c>
      <c r="W2636">
        <v>19091.93</v>
      </c>
      <c r="X2636">
        <f t="shared" si="544"/>
        <v>-7.1262605730693486E-3</v>
      </c>
      <c r="Y2636">
        <f t="shared" si="545"/>
        <v>-7.1009289870697387E-3</v>
      </c>
      <c r="Z2636" t="str">
        <f t="shared" si="538"/>
        <v>2020-07</v>
      </c>
    </row>
    <row r="2637" spans="1:26" x14ac:dyDescent="0.35">
      <c r="A2637" s="1">
        <v>44046</v>
      </c>
      <c r="C2637">
        <v>3248.28</v>
      </c>
      <c r="D2637">
        <f t="shared" si="539"/>
        <v>2.303218930243478E-2</v>
      </c>
      <c r="E2637" t="str">
        <f t="shared" si="533"/>
        <v>2020-08</v>
      </c>
      <c r="G2637">
        <v>4875.93</v>
      </c>
      <c r="H2637">
        <f t="shared" si="540"/>
        <v>1.9098640268784509E-2</v>
      </c>
      <c r="I2637" t="str">
        <f t="shared" si="534"/>
        <v>2020-08</v>
      </c>
      <c r="K2637">
        <v>12646.98</v>
      </c>
      <c r="L2637">
        <f t="shared" si="541"/>
        <v>2.6733599719179473E-2</v>
      </c>
      <c r="M2637" t="str">
        <f t="shared" si="535"/>
        <v>2020-08</v>
      </c>
      <c r="O2637">
        <v>6704.9923699999999</v>
      </c>
      <c r="P2637">
        <f t="shared" si="542"/>
        <v>2.3080397611428785E-2</v>
      </c>
      <c r="Q2637" t="str">
        <f t="shared" si="536"/>
        <v>2020-08</v>
      </c>
      <c r="S2637">
        <v>6975</v>
      </c>
      <c r="T2637">
        <f t="shared" si="543"/>
        <v>1.4091654163757952E-2</v>
      </c>
      <c r="U2637" t="str">
        <f t="shared" si="537"/>
        <v>2020-08</v>
      </c>
      <c r="W2637">
        <v>19379.79</v>
      </c>
      <c r="X2637">
        <f t="shared" si="544"/>
        <v>1.4965037810824734E-2</v>
      </c>
      <c r="Y2637">
        <f t="shared" si="545"/>
        <v>1.5077574661126485E-2</v>
      </c>
      <c r="Z2637" t="str">
        <f t="shared" si="538"/>
        <v>2020-08</v>
      </c>
    </row>
    <row r="2638" spans="1:26" x14ac:dyDescent="0.35">
      <c r="A2638" s="1">
        <v>44047</v>
      </c>
      <c r="C2638">
        <v>3254.29</v>
      </c>
      <c r="D2638">
        <f t="shared" si="539"/>
        <v>1.8485004271616601E-3</v>
      </c>
      <c r="E2638" t="str">
        <f t="shared" si="533"/>
        <v>2020-08</v>
      </c>
      <c r="G2638">
        <v>4889.5200000000004</v>
      </c>
      <c r="H2638">
        <f t="shared" si="540"/>
        <v>2.7832836731743172E-3</v>
      </c>
      <c r="I2638" t="str">
        <f t="shared" si="534"/>
        <v>2020-08</v>
      </c>
      <c r="K2638">
        <v>12600.87</v>
      </c>
      <c r="L2638">
        <f t="shared" si="541"/>
        <v>-3.6525923010818232E-3</v>
      </c>
      <c r="M2638" t="str">
        <f t="shared" si="535"/>
        <v>2020-08</v>
      </c>
      <c r="O2638">
        <v>6695.5629099999996</v>
      </c>
      <c r="P2638">
        <f t="shared" si="542"/>
        <v>-1.4073240040097057E-3</v>
      </c>
      <c r="Q2638" t="str">
        <f t="shared" si="536"/>
        <v>2020-08</v>
      </c>
      <c r="S2638">
        <v>7021.6</v>
      </c>
      <c r="T2638">
        <f t="shared" si="543"/>
        <v>6.6587845883415951E-3</v>
      </c>
      <c r="U2638" t="str">
        <f t="shared" si="537"/>
        <v>2020-08</v>
      </c>
      <c r="W2638">
        <v>19613.95</v>
      </c>
      <c r="X2638">
        <f t="shared" si="544"/>
        <v>1.2010277276729521E-2</v>
      </c>
      <c r="Y2638">
        <f t="shared" si="545"/>
        <v>1.2082690266509587E-2</v>
      </c>
      <c r="Z2638" t="str">
        <f t="shared" si="538"/>
        <v>2020-08</v>
      </c>
    </row>
    <row r="2639" spans="1:26" x14ac:dyDescent="0.35">
      <c r="A2639" s="1">
        <v>44048</v>
      </c>
      <c r="C2639">
        <v>3268.38</v>
      </c>
      <c r="D2639">
        <f t="shared" si="539"/>
        <v>4.3203234000929059E-3</v>
      </c>
      <c r="E2639" t="str">
        <f t="shared" si="533"/>
        <v>2020-08</v>
      </c>
      <c r="G2639">
        <v>4933.34</v>
      </c>
      <c r="H2639">
        <f t="shared" si="540"/>
        <v>8.9221042927795213E-3</v>
      </c>
      <c r="I2639" t="str">
        <f t="shared" si="534"/>
        <v>2020-08</v>
      </c>
      <c r="K2639">
        <v>12660.25</v>
      </c>
      <c r="L2639">
        <f t="shared" si="541"/>
        <v>4.7013045636401483E-3</v>
      </c>
      <c r="M2639" t="str">
        <f t="shared" si="535"/>
        <v>2020-08</v>
      </c>
      <c r="O2639">
        <v>6749.4870199999996</v>
      </c>
      <c r="P2639">
        <f t="shared" si="542"/>
        <v>8.0214501872442195E-3</v>
      </c>
      <c r="Q2639" t="str">
        <f t="shared" si="536"/>
        <v>2020-08</v>
      </c>
      <c r="S2639">
        <v>7039.7</v>
      </c>
      <c r="T2639">
        <f t="shared" si="543"/>
        <v>2.5744433298297625E-3</v>
      </c>
      <c r="U2639" t="str">
        <f t="shared" si="537"/>
        <v>2020-08</v>
      </c>
      <c r="W2639">
        <v>19740.2</v>
      </c>
      <c r="X2639">
        <f t="shared" si="544"/>
        <v>6.4161178989414897E-3</v>
      </c>
      <c r="Y2639">
        <f t="shared" si="545"/>
        <v>6.4367452756838878E-3</v>
      </c>
      <c r="Z2639" t="str">
        <f t="shared" si="538"/>
        <v>2020-08</v>
      </c>
    </row>
    <row r="2640" spans="1:26" x14ac:dyDescent="0.35">
      <c r="A2640" s="1">
        <v>44049</v>
      </c>
      <c r="C2640">
        <v>3240.39</v>
      </c>
      <c r="D2640">
        <f t="shared" si="539"/>
        <v>-8.6007563769603113E-3</v>
      </c>
      <c r="E2640" t="str">
        <f t="shared" si="533"/>
        <v>2020-08</v>
      </c>
      <c r="G2640">
        <v>4885.13</v>
      </c>
      <c r="H2640">
        <f t="shared" si="540"/>
        <v>-9.8203462339578156E-3</v>
      </c>
      <c r="I2640" t="str">
        <f t="shared" si="534"/>
        <v>2020-08</v>
      </c>
      <c r="K2640">
        <v>12591.68</v>
      </c>
      <c r="L2640">
        <f t="shared" si="541"/>
        <v>-5.4308853649203438E-3</v>
      </c>
      <c r="M2640" t="str">
        <f t="shared" si="535"/>
        <v>2020-08</v>
      </c>
      <c r="O2640">
        <v>6675.7999499999996</v>
      </c>
      <c r="P2640">
        <f t="shared" si="542"/>
        <v>-1.097746515710012E-2</v>
      </c>
      <c r="Q2640" t="str">
        <f t="shared" si="536"/>
        <v>2020-08</v>
      </c>
      <c r="S2640">
        <v>6957.9</v>
      </c>
      <c r="T2640">
        <f t="shared" si="543"/>
        <v>-1.1687850945089269E-2</v>
      </c>
      <c r="U2640" t="str">
        <f t="shared" si="537"/>
        <v>2020-08</v>
      </c>
      <c r="W2640">
        <v>19475.150000000001</v>
      </c>
      <c r="X2640">
        <f t="shared" si="544"/>
        <v>-1.3517871756834081E-2</v>
      </c>
      <c r="Y2640">
        <f t="shared" si="545"/>
        <v>-1.3426915634086749E-2</v>
      </c>
      <c r="Z2640" t="str">
        <f t="shared" si="538"/>
        <v>2020-08</v>
      </c>
    </row>
    <row r="2641" spans="1:26" x14ac:dyDescent="0.35">
      <c r="A2641" s="1">
        <v>44050</v>
      </c>
      <c r="C2641">
        <v>3252.65</v>
      </c>
      <c r="D2641">
        <f t="shared" si="539"/>
        <v>3.7763557809115246E-3</v>
      </c>
      <c r="E2641" t="str">
        <f t="shared" si="533"/>
        <v>2020-08</v>
      </c>
      <c r="G2641">
        <v>4889.5200000000004</v>
      </c>
      <c r="H2641">
        <f t="shared" si="540"/>
        <v>8.9824194117820117E-4</v>
      </c>
      <c r="I2641" t="str">
        <f t="shared" si="534"/>
        <v>2020-08</v>
      </c>
      <c r="K2641">
        <v>12674.88</v>
      </c>
      <c r="L2641">
        <f t="shared" si="541"/>
        <v>6.585803585286187E-3</v>
      </c>
      <c r="M2641" t="str">
        <f t="shared" si="535"/>
        <v>2020-08</v>
      </c>
      <c r="O2641">
        <v>6684.6538799999998</v>
      </c>
      <c r="P2641">
        <f t="shared" si="542"/>
        <v>1.3253937940696323E-3</v>
      </c>
      <c r="Q2641" t="str">
        <f t="shared" si="536"/>
        <v>2020-08</v>
      </c>
      <c r="S2641">
        <v>6950.5</v>
      </c>
      <c r="T2641">
        <f t="shared" si="543"/>
        <v>-1.0641052455011176E-3</v>
      </c>
      <c r="U2641" t="str">
        <f t="shared" si="537"/>
        <v>2020-08</v>
      </c>
      <c r="W2641">
        <v>19516.43</v>
      </c>
      <c r="X2641">
        <f t="shared" si="544"/>
        <v>2.1173810049532789E-3</v>
      </c>
      <c r="Y2641">
        <f t="shared" si="545"/>
        <v>2.1196242390943759E-3</v>
      </c>
      <c r="Z2641" t="str">
        <f t="shared" si="538"/>
        <v>2020-08</v>
      </c>
    </row>
    <row r="2642" spans="1:26" x14ac:dyDescent="0.35">
      <c r="A2642" s="1">
        <v>44053</v>
      </c>
      <c r="C2642">
        <v>3259.71</v>
      </c>
      <c r="D2642">
        <f t="shared" si="539"/>
        <v>2.1681856548999069E-3</v>
      </c>
      <c r="E2642" t="str">
        <f t="shared" si="533"/>
        <v>2020-08</v>
      </c>
      <c r="G2642">
        <v>4909.51</v>
      </c>
      <c r="H2642">
        <f t="shared" si="540"/>
        <v>4.0800013328131613E-3</v>
      </c>
      <c r="I2642" t="str">
        <f t="shared" si="534"/>
        <v>2020-08</v>
      </c>
      <c r="K2642">
        <v>12687.53</v>
      </c>
      <c r="L2642">
        <f t="shared" si="541"/>
        <v>9.9753935442151794E-4</v>
      </c>
      <c r="M2642" t="str">
        <f t="shared" si="535"/>
        <v>2020-08</v>
      </c>
      <c r="O2642">
        <v>6736.3200999999999</v>
      </c>
      <c r="P2642">
        <f t="shared" si="542"/>
        <v>7.699362998347033E-3</v>
      </c>
      <c r="Q2642" t="str">
        <f t="shared" si="536"/>
        <v>2020-08</v>
      </c>
      <c r="S2642">
        <v>7053.9</v>
      </c>
      <c r="T2642">
        <f t="shared" si="543"/>
        <v>1.4767055924522631E-2</v>
      </c>
      <c r="U2642" t="str">
        <f t="shared" si="537"/>
        <v>2020-08</v>
      </c>
      <c r="W2642">
        <v>19651.57</v>
      </c>
      <c r="X2642">
        <f t="shared" si="544"/>
        <v>6.9005584280184776E-3</v>
      </c>
      <c r="Y2642">
        <f t="shared" si="545"/>
        <v>6.9244221407296011E-3</v>
      </c>
      <c r="Z2642" t="str">
        <f t="shared" si="538"/>
        <v>2020-08</v>
      </c>
    </row>
    <row r="2643" spans="1:26" x14ac:dyDescent="0.35">
      <c r="A2643" s="1">
        <v>44054</v>
      </c>
      <c r="C2643">
        <v>3332.12</v>
      </c>
      <c r="D2643">
        <f t="shared" si="539"/>
        <v>2.1970503695367349E-2</v>
      </c>
      <c r="E2643" t="str">
        <f t="shared" si="533"/>
        <v>2020-08</v>
      </c>
      <c r="G2643">
        <v>5027.99</v>
      </c>
      <c r="H2643">
        <f t="shared" si="540"/>
        <v>2.3846161371220868E-2</v>
      </c>
      <c r="I2643" t="str">
        <f t="shared" si="534"/>
        <v>2020-08</v>
      </c>
      <c r="K2643">
        <v>12946.89</v>
      </c>
      <c r="L2643">
        <f t="shared" si="541"/>
        <v>2.0235983532466573E-2</v>
      </c>
      <c r="M2643" t="str">
        <f t="shared" si="535"/>
        <v>2020-08</v>
      </c>
      <c r="O2643">
        <v>6843.9648800000004</v>
      </c>
      <c r="P2643">
        <f t="shared" si="542"/>
        <v>1.5853427919938538E-2</v>
      </c>
      <c r="Q2643" t="str">
        <f t="shared" si="536"/>
        <v>2020-08</v>
      </c>
      <c r="S2643">
        <v>7263.5</v>
      </c>
      <c r="T2643">
        <f t="shared" si="543"/>
        <v>2.9281150971268162E-2</v>
      </c>
      <c r="U2643" t="str">
        <f t="shared" si="537"/>
        <v>2020-08</v>
      </c>
      <c r="W2643">
        <v>20209.11</v>
      </c>
      <c r="X2643">
        <f t="shared" si="544"/>
        <v>2.7976259498292858E-2</v>
      </c>
      <c r="Y2643">
        <f t="shared" si="545"/>
        <v>2.8371270081728885E-2</v>
      </c>
      <c r="Z2643" t="str">
        <f t="shared" si="538"/>
        <v>2020-08</v>
      </c>
    </row>
    <row r="2644" spans="1:26" x14ac:dyDescent="0.35">
      <c r="A2644" s="1">
        <v>44055</v>
      </c>
      <c r="C2644">
        <v>3363.18</v>
      </c>
      <c r="D2644">
        <f t="shared" si="539"/>
        <v>9.2782169035457093E-3</v>
      </c>
      <c r="E2644" t="str">
        <f t="shared" si="533"/>
        <v>2020-08</v>
      </c>
      <c r="G2644">
        <v>5073.3100000000004</v>
      </c>
      <c r="H2644">
        <f t="shared" si="540"/>
        <v>8.9731626796376186E-3</v>
      </c>
      <c r="I2644" t="str">
        <f t="shared" si="534"/>
        <v>2020-08</v>
      </c>
      <c r="K2644">
        <v>13058.63</v>
      </c>
      <c r="L2644">
        <f t="shared" si="541"/>
        <v>8.5936130227318927E-3</v>
      </c>
      <c r="M2644" t="str">
        <f t="shared" si="535"/>
        <v>2020-08</v>
      </c>
      <c r="O2644">
        <v>6946.9034300000003</v>
      </c>
      <c r="P2644">
        <f t="shared" si="542"/>
        <v>1.4928786134944139E-2</v>
      </c>
      <c r="Q2644" t="str">
        <f t="shared" si="536"/>
        <v>2020-08</v>
      </c>
      <c r="S2644">
        <v>7296</v>
      </c>
      <c r="T2644">
        <f t="shared" si="543"/>
        <v>4.4644464412290537E-3</v>
      </c>
      <c r="U2644" t="str">
        <f t="shared" si="537"/>
        <v>2020-08</v>
      </c>
      <c r="W2644">
        <v>20437.36</v>
      </c>
      <c r="X2644">
        <f t="shared" si="544"/>
        <v>1.1231105640404703E-2</v>
      </c>
      <c r="Y2644">
        <f t="shared" si="545"/>
        <v>1.1294411282832347E-2</v>
      </c>
      <c r="Z2644" t="str">
        <f t="shared" si="538"/>
        <v>2020-08</v>
      </c>
    </row>
    <row r="2645" spans="1:26" x14ac:dyDescent="0.35">
      <c r="A2645" s="1">
        <v>44056</v>
      </c>
      <c r="C2645">
        <v>3342.85</v>
      </c>
      <c r="D2645">
        <f t="shared" si="539"/>
        <v>-6.0632184114783544E-3</v>
      </c>
      <c r="E2645" t="str">
        <f t="shared" si="533"/>
        <v>2020-08</v>
      </c>
      <c r="G2645">
        <v>5042.38</v>
      </c>
      <c r="H2645">
        <f t="shared" si="540"/>
        <v>-6.1152716996156521E-3</v>
      </c>
      <c r="I2645" t="str">
        <f t="shared" si="534"/>
        <v>2020-08</v>
      </c>
      <c r="K2645">
        <v>12993.71</v>
      </c>
      <c r="L2645">
        <f t="shared" si="541"/>
        <v>-4.9838236700595773E-3</v>
      </c>
      <c r="M2645" t="str">
        <f t="shared" si="535"/>
        <v>2020-08</v>
      </c>
      <c r="O2645">
        <v>6846.7385599999998</v>
      </c>
      <c r="P2645">
        <f t="shared" si="542"/>
        <v>-1.4523594385651841E-2</v>
      </c>
      <c r="Q2645" t="str">
        <f t="shared" si="536"/>
        <v>2020-08</v>
      </c>
      <c r="S2645">
        <v>7250.5</v>
      </c>
      <c r="T2645">
        <f t="shared" si="543"/>
        <v>-6.2558207662173834E-3</v>
      </c>
      <c r="U2645" t="str">
        <f t="shared" si="537"/>
        <v>2020-08</v>
      </c>
      <c r="W2645">
        <v>20257.310000000001</v>
      </c>
      <c r="X2645">
        <f t="shared" si="544"/>
        <v>-8.8488824146026029E-3</v>
      </c>
      <c r="Y2645">
        <f t="shared" si="545"/>
        <v>-8.8098462815157756E-3</v>
      </c>
      <c r="Z2645" t="str">
        <f t="shared" si="538"/>
        <v>2020-08</v>
      </c>
    </row>
    <row r="2646" spans="1:26" x14ac:dyDescent="0.35">
      <c r="A2646" s="1">
        <v>44057</v>
      </c>
      <c r="C2646">
        <v>3305.05</v>
      </c>
      <c r="D2646">
        <f t="shared" si="539"/>
        <v>-1.1372134771668336E-2</v>
      </c>
      <c r="E2646" t="str">
        <f t="shared" si="533"/>
        <v>2020-08</v>
      </c>
      <c r="G2646">
        <v>4962.93</v>
      </c>
      <c r="H2646">
        <f t="shared" si="540"/>
        <v>-1.5881900710193589E-2</v>
      </c>
      <c r="I2646" t="str">
        <f t="shared" si="534"/>
        <v>2020-08</v>
      </c>
      <c r="K2646">
        <v>12901.34</v>
      </c>
      <c r="L2646">
        <f t="shared" si="541"/>
        <v>-7.1342122744854032E-3</v>
      </c>
      <c r="M2646" t="str">
        <f t="shared" si="535"/>
        <v>2020-08</v>
      </c>
      <c r="O2646">
        <v>6735.8053200000004</v>
      </c>
      <c r="P2646">
        <f t="shared" si="542"/>
        <v>-1.6335041166834329E-2</v>
      </c>
      <c r="Q2646" t="str">
        <f t="shared" si="536"/>
        <v>2020-08</v>
      </c>
      <c r="S2646">
        <v>7154.3</v>
      </c>
      <c r="T2646">
        <f t="shared" si="543"/>
        <v>-1.3356857466164815E-2</v>
      </c>
      <c r="U2646" t="str">
        <f t="shared" si="537"/>
        <v>2020-08</v>
      </c>
      <c r="W2646">
        <v>20028.11</v>
      </c>
      <c r="X2646">
        <f t="shared" si="544"/>
        <v>-1.1378929303121406E-2</v>
      </c>
      <c r="Y2646">
        <f t="shared" si="545"/>
        <v>-1.1314434147475688E-2</v>
      </c>
      <c r="Z2646" t="str">
        <f t="shared" si="538"/>
        <v>2020-08</v>
      </c>
    </row>
    <row r="2647" spans="1:26" x14ac:dyDescent="0.35">
      <c r="A2647" s="1">
        <v>44060</v>
      </c>
      <c r="C2647">
        <v>3305.85</v>
      </c>
      <c r="D2647">
        <f t="shared" si="539"/>
        <v>2.4202453641854435E-4</v>
      </c>
      <c r="E2647" t="str">
        <f t="shared" si="533"/>
        <v>2020-08</v>
      </c>
      <c r="G2647">
        <v>4971.9399999999996</v>
      </c>
      <c r="H2647">
        <f t="shared" si="540"/>
        <v>1.8138138637307807E-3</v>
      </c>
      <c r="I2647" t="str">
        <f t="shared" si="534"/>
        <v>2020-08</v>
      </c>
      <c r="K2647">
        <v>12920.66</v>
      </c>
      <c r="L2647">
        <f t="shared" si="541"/>
        <v>1.4963986991811153E-3</v>
      </c>
      <c r="M2647" t="str">
        <f t="shared" si="535"/>
        <v>2020-08</v>
      </c>
      <c r="O2647">
        <v>6765.06963</v>
      </c>
      <c r="P2647">
        <f t="shared" si="542"/>
        <v>4.3351791555155048E-3</v>
      </c>
      <c r="Q2647" t="str">
        <f t="shared" si="536"/>
        <v>2020-08</v>
      </c>
      <c r="S2647">
        <v>7090.1</v>
      </c>
      <c r="T2647">
        <f t="shared" si="543"/>
        <v>-9.0141297227220724E-3</v>
      </c>
      <c r="U2647" t="str">
        <f t="shared" si="537"/>
        <v>2020-08</v>
      </c>
      <c r="W2647">
        <v>19950.32</v>
      </c>
      <c r="X2647">
        <f t="shared" si="544"/>
        <v>-3.8916034558985485E-3</v>
      </c>
      <c r="Y2647">
        <f t="shared" si="545"/>
        <v>-3.8840409804020886E-3</v>
      </c>
      <c r="Z2647" t="str">
        <f t="shared" si="538"/>
        <v>2020-08</v>
      </c>
    </row>
    <row r="2648" spans="1:26" x14ac:dyDescent="0.35">
      <c r="A2648" s="1">
        <v>44061</v>
      </c>
      <c r="C2648">
        <v>3289.64</v>
      </c>
      <c r="D2648">
        <f t="shared" si="539"/>
        <v>-4.9154900208715248E-3</v>
      </c>
      <c r="E2648" t="str">
        <f t="shared" si="533"/>
        <v>2020-08</v>
      </c>
      <c r="G2648">
        <v>4938.0600000000004</v>
      </c>
      <c r="H2648">
        <f t="shared" si="540"/>
        <v>-6.8375644797557316E-3</v>
      </c>
      <c r="I2648" t="str">
        <f t="shared" si="534"/>
        <v>2020-08</v>
      </c>
      <c r="K2648">
        <v>12881.76</v>
      </c>
      <c r="L2648">
        <f t="shared" si="541"/>
        <v>-3.0152233373334542E-3</v>
      </c>
      <c r="M2648" t="str">
        <f t="shared" si="535"/>
        <v>2020-08</v>
      </c>
      <c r="O2648">
        <v>6737.9411600000003</v>
      </c>
      <c r="P2648">
        <f t="shared" si="542"/>
        <v>-4.0181418680676744E-3</v>
      </c>
      <c r="Q2648" t="str">
        <f t="shared" si="536"/>
        <v>2020-08</v>
      </c>
      <c r="S2648">
        <v>7043.5</v>
      </c>
      <c r="T2648">
        <f t="shared" si="543"/>
        <v>-6.5942390987013978E-3</v>
      </c>
      <c r="U2648" t="str">
        <f t="shared" si="537"/>
        <v>2020-08</v>
      </c>
      <c r="W2648">
        <v>19845.61</v>
      </c>
      <c r="X2648">
        <f t="shared" si="544"/>
        <v>-5.2623593236483931E-3</v>
      </c>
      <c r="Y2648">
        <f t="shared" si="545"/>
        <v>-5.2485373668191351E-3</v>
      </c>
      <c r="Z2648" t="str">
        <f t="shared" si="538"/>
        <v>2020-08</v>
      </c>
    </row>
    <row r="2649" spans="1:26" x14ac:dyDescent="0.35">
      <c r="A2649" s="1">
        <v>44062</v>
      </c>
      <c r="C2649">
        <v>3317.62</v>
      </c>
      <c r="D2649">
        <f t="shared" si="539"/>
        <v>8.4695220883661271E-3</v>
      </c>
      <c r="E2649" t="str">
        <f t="shared" si="533"/>
        <v>2020-08</v>
      </c>
      <c r="G2649">
        <v>4977.2299999999996</v>
      </c>
      <c r="H2649">
        <f t="shared" si="540"/>
        <v>7.9009698690510072E-3</v>
      </c>
      <c r="I2649" t="str">
        <f t="shared" si="534"/>
        <v>2020-08</v>
      </c>
      <c r="K2649">
        <v>12977.33</v>
      </c>
      <c r="L2649">
        <f t="shared" si="541"/>
        <v>7.3916317342615761E-3</v>
      </c>
      <c r="M2649" t="str">
        <f t="shared" si="535"/>
        <v>2020-08</v>
      </c>
      <c r="O2649">
        <v>6774.2226600000004</v>
      </c>
      <c r="P2649">
        <f t="shared" si="542"/>
        <v>5.3702112670189379E-3</v>
      </c>
      <c r="Q2649" t="str">
        <f t="shared" si="536"/>
        <v>2020-08</v>
      </c>
      <c r="S2649">
        <v>7094.3</v>
      </c>
      <c r="T2649">
        <f t="shared" si="543"/>
        <v>7.1864389975684548E-3</v>
      </c>
      <c r="U2649" t="str">
        <f t="shared" si="537"/>
        <v>2020-08</v>
      </c>
      <c r="W2649">
        <v>20055.400000000001</v>
      </c>
      <c r="X2649">
        <f t="shared" si="544"/>
        <v>1.0515620190115916E-2</v>
      </c>
      <c r="Y2649">
        <f t="shared" si="545"/>
        <v>1.0571103634506617E-2</v>
      </c>
      <c r="Z2649" t="str">
        <f t="shared" si="538"/>
        <v>2020-08</v>
      </c>
    </row>
    <row r="2650" spans="1:26" x14ac:dyDescent="0.35">
      <c r="A2650" s="1">
        <v>44063</v>
      </c>
      <c r="C2650">
        <v>3273.98</v>
      </c>
      <c r="D2650">
        <f t="shared" si="539"/>
        <v>-1.3241288191374692E-2</v>
      </c>
      <c r="E2650" t="str">
        <f t="shared" si="533"/>
        <v>2020-08</v>
      </c>
      <c r="G2650">
        <v>4911.24</v>
      </c>
      <c r="H2650">
        <f t="shared" si="540"/>
        <v>-1.3347055639559279E-2</v>
      </c>
      <c r="I2650" t="str">
        <f t="shared" si="534"/>
        <v>2020-08</v>
      </c>
      <c r="K2650">
        <v>12830</v>
      </c>
      <c r="L2650">
        <f t="shared" si="541"/>
        <v>-1.141781041044789E-2</v>
      </c>
      <c r="M2650" t="str">
        <f t="shared" si="535"/>
        <v>2020-08</v>
      </c>
      <c r="O2650">
        <v>6690.0563499999998</v>
      </c>
      <c r="P2650">
        <f t="shared" si="542"/>
        <v>-1.250232652756433E-2</v>
      </c>
      <c r="Q2650" t="str">
        <f t="shared" si="536"/>
        <v>2020-08</v>
      </c>
      <c r="S2650">
        <v>6993.3</v>
      </c>
      <c r="T2650">
        <f t="shared" si="543"/>
        <v>-1.4339096871343635E-2</v>
      </c>
      <c r="U2650" t="str">
        <f t="shared" si="537"/>
        <v>2020-08</v>
      </c>
      <c r="W2650">
        <v>19766.96</v>
      </c>
      <c r="X2650">
        <f t="shared" si="544"/>
        <v>-1.4486587150849118E-2</v>
      </c>
      <c r="Y2650">
        <f t="shared" si="545"/>
        <v>-1.438216141288642E-2</v>
      </c>
      <c r="Z2650" t="str">
        <f t="shared" si="538"/>
        <v>2020-08</v>
      </c>
    </row>
    <row r="2651" spans="1:26" x14ac:dyDescent="0.35">
      <c r="A2651" s="1">
        <v>44064</v>
      </c>
      <c r="C2651">
        <v>3259.75</v>
      </c>
      <c r="D2651">
        <f t="shared" si="539"/>
        <v>-4.3558648733484535E-3</v>
      </c>
      <c r="E2651" t="str">
        <f t="shared" si="533"/>
        <v>2020-08</v>
      </c>
      <c r="G2651">
        <v>4896.33</v>
      </c>
      <c r="H2651">
        <f t="shared" si="540"/>
        <v>-3.0405108475485281E-3</v>
      </c>
      <c r="I2651" t="str">
        <f t="shared" si="534"/>
        <v>2020-08</v>
      </c>
      <c r="K2651">
        <v>12764.8</v>
      </c>
      <c r="L2651">
        <f t="shared" si="541"/>
        <v>-5.094795898594697E-3</v>
      </c>
      <c r="M2651" t="str">
        <f t="shared" si="535"/>
        <v>2020-08</v>
      </c>
      <c r="O2651">
        <v>6667.1806200000001</v>
      </c>
      <c r="P2651">
        <f t="shared" si="542"/>
        <v>-3.4252222097268946E-3</v>
      </c>
      <c r="Q2651" t="str">
        <f t="shared" si="536"/>
        <v>2020-08</v>
      </c>
      <c r="S2651">
        <v>6982.1</v>
      </c>
      <c r="T2651">
        <f t="shared" si="543"/>
        <v>-1.6028167204879202E-3</v>
      </c>
      <c r="U2651" t="str">
        <f t="shared" si="537"/>
        <v>2020-08</v>
      </c>
      <c r="W2651">
        <v>19695.43</v>
      </c>
      <c r="X2651">
        <f t="shared" si="544"/>
        <v>-3.6252278860406727E-3</v>
      </c>
      <c r="Y2651">
        <f t="shared" si="545"/>
        <v>-3.6186646808613384E-3</v>
      </c>
      <c r="Z2651" t="str">
        <f t="shared" si="538"/>
        <v>2020-08</v>
      </c>
    </row>
    <row r="2652" spans="1:26" x14ac:dyDescent="0.35">
      <c r="A2652" s="1">
        <v>44067</v>
      </c>
      <c r="C2652">
        <v>3331.74</v>
      </c>
      <c r="D2652">
        <f t="shared" si="539"/>
        <v>2.1844184726073093E-2</v>
      </c>
      <c r="E2652" t="str">
        <f t="shared" si="533"/>
        <v>2020-08</v>
      </c>
      <c r="G2652">
        <v>5007.8900000000003</v>
      </c>
      <c r="H2652">
        <f t="shared" si="540"/>
        <v>2.2528723800937352E-2</v>
      </c>
      <c r="I2652" t="str">
        <f t="shared" si="534"/>
        <v>2020-08</v>
      </c>
      <c r="K2652">
        <v>13066.54</v>
      </c>
      <c r="L2652">
        <f t="shared" si="541"/>
        <v>2.3363381474819818E-2</v>
      </c>
      <c r="M2652" t="str">
        <f t="shared" si="535"/>
        <v>2020-08</v>
      </c>
      <c r="O2652">
        <v>6761.2471500000001</v>
      </c>
      <c r="P2652">
        <f t="shared" si="542"/>
        <v>1.4010287769352689E-2</v>
      </c>
      <c r="Q2652" t="str">
        <f t="shared" si="536"/>
        <v>2020-08</v>
      </c>
      <c r="S2652">
        <v>7109.1</v>
      </c>
      <c r="T2652">
        <f t="shared" si="543"/>
        <v>1.8025922400494269E-2</v>
      </c>
      <c r="U2652" t="str">
        <f t="shared" si="537"/>
        <v>2020-08</v>
      </c>
      <c r="W2652">
        <v>20113.36</v>
      </c>
      <c r="X2652">
        <f t="shared" si="544"/>
        <v>2.0997641745218031E-2</v>
      </c>
      <c r="Y2652">
        <f t="shared" si="545"/>
        <v>2.1219643338581604E-2</v>
      </c>
      <c r="Z2652" t="str">
        <f t="shared" si="538"/>
        <v>2020-08</v>
      </c>
    </row>
    <row r="2653" spans="1:26" x14ac:dyDescent="0.35">
      <c r="A2653" s="1">
        <v>44068</v>
      </c>
      <c r="C2653">
        <v>3329.71</v>
      </c>
      <c r="D2653">
        <f t="shared" si="539"/>
        <v>-6.0947693455291874E-4</v>
      </c>
      <c r="E2653" t="str">
        <f t="shared" si="533"/>
        <v>2020-08</v>
      </c>
      <c r="G2653">
        <v>5008.2700000000004</v>
      </c>
      <c r="H2653">
        <f t="shared" si="540"/>
        <v>7.5877382186805863E-5</v>
      </c>
      <c r="I2653" t="str">
        <f t="shared" si="534"/>
        <v>2020-08</v>
      </c>
      <c r="K2653">
        <v>13061.62</v>
      </c>
      <c r="L2653">
        <f t="shared" si="541"/>
        <v>-3.766051691471239E-4</v>
      </c>
      <c r="M2653" t="str">
        <f t="shared" si="535"/>
        <v>2020-08</v>
      </c>
      <c r="O2653">
        <v>6707.0506500000001</v>
      </c>
      <c r="P2653">
        <f t="shared" si="542"/>
        <v>-8.0480537830958897E-3</v>
      </c>
      <c r="Q2653" t="str">
        <f t="shared" si="536"/>
        <v>2020-08</v>
      </c>
      <c r="S2653">
        <v>7108.4</v>
      </c>
      <c r="T2653">
        <f t="shared" si="543"/>
        <v>-9.8470195261672063E-5</v>
      </c>
      <c r="U2653" t="str">
        <f t="shared" si="537"/>
        <v>2020-08</v>
      </c>
      <c r="W2653">
        <v>20030.05</v>
      </c>
      <c r="X2653">
        <f t="shared" si="544"/>
        <v>-4.1506249520500797E-3</v>
      </c>
      <c r="Y2653">
        <f t="shared" si="545"/>
        <v>-4.1420230135592118E-3</v>
      </c>
      <c r="Z2653" t="str">
        <f t="shared" si="538"/>
        <v>2020-08</v>
      </c>
    </row>
    <row r="2654" spans="1:26" x14ac:dyDescent="0.35">
      <c r="A2654" s="1">
        <v>44069</v>
      </c>
      <c r="C2654">
        <v>3356.76</v>
      </c>
      <c r="D2654">
        <f t="shared" si="539"/>
        <v>8.0910099252972933E-3</v>
      </c>
      <c r="E2654" t="str">
        <f t="shared" si="533"/>
        <v>2020-08</v>
      </c>
      <c r="G2654">
        <v>5048.43</v>
      </c>
      <c r="H2654">
        <f t="shared" si="540"/>
        <v>7.9867577789830176E-3</v>
      </c>
      <c r="I2654" t="str">
        <f t="shared" si="534"/>
        <v>2020-08</v>
      </c>
      <c r="K2654">
        <v>13190.15</v>
      </c>
      <c r="L2654">
        <f t="shared" si="541"/>
        <v>9.7921798816423544E-3</v>
      </c>
      <c r="M2654" t="str">
        <f t="shared" si="535"/>
        <v>2020-08</v>
      </c>
      <c r="O2654">
        <v>6751.7375300000003</v>
      </c>
      <c r="P2654">
        <f t="shared" si="542"/>
        <v>6.640574710918298E-3</v>
      </c>
      <c r="Q2654" t="str">
        <f t="shared" si="536"/>
        <v>2020-08</v>
      </c>
      <c r="S2654">
        <v>7123</v>
      </c>
      <c r="T2654">
        <f t="shared" si="543"/>
        <v>2.0518016670226821E-3</v>
      </c>
      <c r="U2654" t="str">
        <f t="shared" si="537"/>
        <v>2020-08</v>
      </c>
      <c r="W2654">
        <v>20137.29</v>
      </c>
      <c r="X2654">
        <f t="shared" si="544"/>
        <v>5.3396742130894801E-3</v>
      </c>
      <c r="Y2654">
        <f t="shared" si="545"/>
        <v>5.3539556815884936E-3</v>
      </c>
      <c r="Z2654" t="str">
        <f t="shared" si="538"/>
        <v>2020-08</v>
      </c>
    </row>
    <row r="2655" spans="1:26" x14ac:dyDescent="0.35">
      <c r="A2655" s="1">
        <v>44070</v>
      </c>
      <c r="C2655">
        <v>3331.04</v>
      </c>
      <c r="D2655">
        <f t="shared" si="539"/>
        <v>-7.6916554929357256E-3</v>
      </c>
      <c r="E2655" t="str">
        <f t="shared" si="533"/>
        <v>2020-08</v>
      </c>
      <c r="G2655">
        <v>5015.97</v>
      </c>
      <c r="H2655">
        <f t="shared" si="540"/>
        <v>-6.450481410016284E-3</v>
      </c>
      <c r="I2655" t="str">
        <f t="shared" si="534"/>
        <v>2020-08</v>
      </c>
      <c r="K2655">
        <v>13096.36</v>
      </c>
      <c r="L2655">
        <f t="shared" si="541"/>
        <v>-7.1360099155428833E-3</v>
      </c>
      <c r="M2655" t="str">
        <f t="shared" si="535"/>
        <v>2020-08</v>
      </c>
      <c r="O2655">
        <v>6704.91381</v>
      </c>
      <c r="P2655">
        <f t="shared" si="542"/>
        <v>-6.9592215466527411E-3</v>
      </c>
      <c r="Q2655" t="str">
        <f t="shared" si="536"/>
        <v>2020-08</v>
      </c>
      <c r="S2655">
        <v>7090.7</v>
      </c>
      <c r="T2655">
        <f t="shared" si="543"/>
        <v>-4.544918719238164E-3</v>
      </c>
      <c r="U2655" t="str">
        <f t="shared" si="537"/>
        <v>2020-08</v>
      </c>
      <c r="W2655">
        <v>19847.38</v>
      </c>
      <c r="X2655">
        <f t="shared" si="544"/>
        <v>-1.4501311645987723E-2</v>
      </c>
      <c r="Y2655">
        <f t="shared" si="545"/>
        <v>-1.4396674031113414E-2</v>
      </c>
      <c r="Z2655" t="str">
        <f t="shared" si="538"/>
        <v>2020-08</v>
      </c>
    </row>
    <row r="2656" spans="1:26" x14ac:dyDescent="0.35">
      <c r="A2656" s="1">
        <v>44071</v>
      </c>
      <c r="C2656">
        <v>3315.54</v>
      </c>
      <c r="D2656">
        <f t="shared" si="539"/>
        <v>-4.6640612459997351E-3</v>
      </c>
      <c r="E2656" t="str">
        <f t="shared" si="533"/>
        <v>2020-08</v>
      </c>
      <c r="G2656">
        <v>5002.9399999999996</v>
      </c>
      <c r="H2656">
        <f t="shared" si="540"/>
        <v>-2.60108282165394E-3</v>
      </c>
      <c r="I2656" t="str">
        <f t="shared" si="534"/>
        <v>2020-08</v>
      </c>
      <c r="K2656">
        <v>13033.2</v>
      </c>
      <c r="L2656">
        <f t="shared" si="541"/>
        <v>-4.83438090886889E-3</v>
      </c>
      <c r="M2656" t="str">
        <f t="shared" si="535"/>
        <v>2020-08</v>
      </c>
      <c r="O2656">
        <v>6684.8765599999997</v>
      </c>
      <c r="P2656">
        <f t="shared" si="542"/>
        <v>-2.9929169021122642E-3</v>
      </c>
      <c r="Q2656" t="str">
        <f t="shared" si="536"/>
        <v>2020-08</v>
      </c>
      <c r="S2656">
        <v>7133</v>
      </c>
      <c r="T2656">
        <f t="shared" si="543"/>
        <v>5.9478370189224869E-3</v>
      </c>
      <c r="U2656" t="str">
        <f t="shared" si="537"/>
        <v>2020-08</v>
      </c>
      <c r="W2656">
        <v>19841.009999999998</v>
      </c>
      <c r="X2656">
        <f t="shared" si="544"/>
        <v>-3.210006782689049E-4</v>
      </c>
      <c r="Y2656">
        <f t="shared" si="545"/>
        <v>-3.2094916306346828E-4</v>
      </c>
      <c r="Z2656" t="str">
        <f t="shared" si="538"/>
        <v>2020-08</v>
      </c>
    </row>
    <row r="2657" spans="1:26" x14ac:dyDescent="0.35">
      <c r="A2657" s="1">
        <v>44075</v>
      </c>
      <c r="C2657">
        <v>3277.58</v>
      </c>
      <c r="D2657">
        <f t="shared" si="539"/>
        <v>-1.1515161093292441E-2</v>
      </c>
      <c r="E2657" t="str">
        <f t="shared" si="533"/>
        <v>2020-09</v>
      </c>
      <c r="G2657">
        <v>4938.1000000000004</v>
      </c>
      <c r="H2657">
        <f t="shared" si="540"/>
        <v>-1.3045097798088209E-2</v>
      </c>
      <c r="I2657" t="str">
        <f t="shared" si="534"/>
        <v>2020-09</v>
      </c>
      <c r="K2657">
        <v>12974.25</v>
      </c>
      <c r="L2657">
        <f t="shared" si="541"/>
        <v>-4.5333241787942728E-3</v>
      </c>
      <c r="M2657" t="str">
        <f t="shared" si="535"/>
        <v>2020-09</v>
      </c>
      <c r="O2657">
        <v>6578.2280499999997</v>
      </c>
      <c r="P2657">
        <f t="shared" si="542"/>
        <v>-1.6082329404578277E-2</v>
      </c>
      <c r="Q2657" t="str">
        <f t="shared" si="536"/>
        <v>2020-09</v>
      </c>
      <c r="S2657">
        <v>6956.9</v>
      </c>
      <c r="T2657">
        <f t="shared" si="543"/>
        <v>-2.4997930469490639E-2</v>
      </c>
      <c r="U2657" t="str">
        <f t="shared" si="537"/>
        <v>2020-09</v>
      </c>
      <c r="W2657">
        <v>19595.02</v>
      </c>
      <c r="X2657">
        <f t="shared" si="544"/>
        <v>-1.2475555499448829E-2</v>
      </c>
      <c r="Y2657">
        <f t="shared" si="545"/>
        <v>-1.2398058364972247E-2</v>
      </c>
      <c r="Z2657" t="str">
        <f t="shared" si="538"/>
        <v>2020-09</v>
      </c>
    </row>
    <row r="2658" spans="1:26" x14ac:dyDescent="0.35">
      <c r="A2658" s="1">
        <v>44076</v>
      </c>
      <c r="C2658">
        <v>3337.77</v>
      </c>
      <c r="D2658">
        <f t="shared" si="539"/>
        <v>1.819757412460047E-2</v>
      </c>
      <c r="E2658" t="str">
        <f t="shared" si="533"/>
        <v>2020-09</v>
      </c>
      <c r="G2658">
        <v>5031.74</v>
      </c>
      <c r="H2658">
        <f t="shared" si="540"/>
        <v>1.878520691511102E-2</v>
      </c>
      <c r="I2658" t="str">
        <f t="shared" si="534"/>
        <v>2020-09</v>
      </c>
      <c r="K2658">
        <v>13243.43</v>
      </c>
      <c r="L2658">
        <f t="shared" si="541"/>
        <v>2.0534956488772019E-2</v>
      </c>
      <c r="M2658" t="str">
        <f t="shared" si="535"/>
        <v>2020-09</v>
      </c>
      <c r="O2658">
        <v>6683.0673200000001</v>
      </c>
      <c r="P2658">
        <f t="shared" si="542"/>
        <v>1.5811646040361931E-2</v>
      </c>
      <c r="Q2658" t="str">
        <f t="shared" si="536"/>
        <v>2020-09</v>
      </c>
      <c r="S2658">
        <v>6996.9</v>
      </c>
      <c r="T2658">
        <f t="shared" si="543"/>
        <v>5.7332209958600357E-3</v>
      </c>
      <c r="U2658" t="str">
        <f t="shared" si="537"/>
        <v>2020-09</v>
      </c>
      <c r="W2658">
        <v>19858.21</v>
      </c>
      <c r="X2658">
        <f t="shared" si="544"/>
        <v>1.3342071318964543E-2</v>
      </c>
      <c r="Y2658">
        <f t="shared" si="545"/>
        <v>1.3431473915311068E-2</v>
      </c>
      <c r="Z2658" t="str">
        <f t="shared" si="538"/>
        <v>2020-09</v>
      </c>
    </row>
    <row r="2659" spans="1:26" x14ac:dyDescent="0.35">
      <c r="A2659" s="1">
        <v>44077</v>
      </c>
      <c r="C2659">
        <v>3304.22</v>
      </c>
      <c r="D2659">
        <f t="shared" si="539"/>
        <v>-1.0102479932233089E-2</v>
      </c>
      <c r="E2659" t="str">
        <f t="shared" si="533"/>
        <v>2020-09</v>
      </c>
      <c r="G2659">
        <v>5009.5200000000004</v>
      </c>
      <c r="H2659">
        <f t="shared" si="540"/>
        <v>-4.4257466232353621E-3</v>
      </c>
      <c r="I2659" t="str">
        <f t="shared" si="534"/>
        <v>2020-09</v>
      </c>
      <c r="K2659">
        <v>13057.77</v>
      </c>
      <c r="L2659">
        <f t="shared" si="541"/>
        <v>-1.4118221515901022E-2</v>
      </c>
      <c r="M2659" t="str">
        <f t="shared" si="535"/>
        <v>2020-09</v>
      </c>
      <c r="O2659">
        <v>6557.4330499999996</v>
      </c>
      <c r="P2659">
        <f t="shared" si="542"/>
        <v>-1.8977838775358642E-2</v>
      </c>
      <c r="Q2659" t="str">
        <f t="shared" si="536"/>
        <v>2020-09</v>
      </c>
      <c r="S2659">
        <v>7006</v>
      </c>
      <c r="T2659">
        <f t="shared" si="543"/>
        <v>1.2997309530244118E-3</v>
      </c>
      <c r="U2659" t="str">
        <f t="shared" si="537"/>
        <v>2020-09</v>
      </c>
      <c r="W2659">
        <v>19551.48</v>
      </c>
      <c r="X2659">
        <f t="shared" si="544"/>
        <v>-1.5566536747745659E-2</v>
      </c>
      <c r="Y2659">
        <f t="shared" si="545"/>
        <v>-1.5446004448537888E-2</v>
      </c>
      <c r="Z2659" t="str">
        <f t="shared" si="538"/>
        <v>2020-09</v>
      </c>
    </row>
    <row r="2660" spans="1:26" x14ac:dyDescent="0.35">
      <c r="A2660" s="1">
        <v>44078</v>
      </c>
      <c r="C2660">
        <v>3260.59</v>
      </c>
      <c r="D2660">
        <f t="shared" si="539"/>
        <v>-1.3292278799886472E-2</v>
      </c>
      <c r="E2660" t="str">
        <f t="shared" si="533"/>
        <v>2020-09</v>
      </c>
      <c r="G2660">
        <v>4965.07</v>
      </c>
      <c r="H2660">
        <f t="shared" si="540"/>
        <v>-8.9127060350375643E-3</v>
      </c>
      <c r="I2660" t="str">
        <f t="shared" si="534"/>
        <v>2020-09</v>
      </c>
      <c r="K2660">
        <v>12842.66</v>
      </c>
      <c r="L2660">
        <f t="shared" si="541"/>
        <v>-1.6610916970808985E-2</v>
      </c>
      <c r="M2660" t="str">
        <f t="shared" si="535"/>
        <v>2020-09</v>
      </c>
      <c r="O2660">
        <v>6489.9716600000002</v>
      </c>
      <c r="P2660">
        <f t="shared" si="542"/>
        <v>-1.0341059034767277E-2</v>
      </c>
      <c r="Q2660" t="str">
        <f t="shared" si="536"/>
        <v>2020-09</v>
      </c>
      <c r="S2660">
        <v>6989.7</v>
      </c>
      <c r="T2660">
        <f t="shared" si="543"/>
        <v>-2.3292879055350408E-3</v>
      </c>
      <c r="U2660" t="str">
        <f t="shared" si="537"/>
        <v>2020-09</v>
      </c>
      <c r="W2660">
        <v>19391.25</v>
      </c>
      <c r="X2660">
        <f t="shared" si="544"/>
        <v>-8.2290534944270254E-3</v>
      </c>
      <c r="Y2660">
        <f t="shared" si="545"/>
        <v>-8.1952875178758627E-3</v>
      </c>
      <c r="Z2660" t="str">
        <f t="shared" si="538"/>
        <v>2020-09</v>
      </c>
    </row>
    <row r="2661" spans="1:26" x14ac:dyDescent="0.35">
      <c r="A2661" s="1">
        <v>44081</v>
      </c>
      <c r="C2661">
        <v>3314.07</v>
      </c>
      <c r="D2661">
        <f t="shared" si="539"/>
        <v>1.6268880693340152E-2</v>
      </c>
      <c r="E2661" t="str">
        <f t="shared" si="533"/>
        <v>2020-09</v>
      </c>
      <c r="G2661">
        <v>5053.72</v>
      </c>
      <c r="H2661">
        <f t="shared" si="540"/>
        <v>1.7697209680637881E-2</v>
      </c>
      <c r="I2661" t="str">
        <f t="shared" si="534"/>
        <v>2020-09</v>
      </c>
      <c r="K2661">
        <v>13100.28</v>
      </c>
      <c r="L2661">
        <f t="shared" si="541"/>
        <v>1.9861162109364477E-2</v>
      </c>
      <c r="M2661" t="str">
        <f t="shared" si="535"/>
        <v>2020-09</v>
      </c>
      <c r="O2661">
        <v>6619.77891</v>
      </c>
      <c r="P2661">
        <f t="shared" si="542"/>
        <v>1.9803808121811647E-2</v>
      </c>
      <c r="Q2661" t="str">
        <f t="shared" si="536"/>
        <v>2020-09</v>
      </c>
      <c r="S2661">
        <v>7080.7</v>
      </c>
      <c r="T2661">
        <f t="shared" si="543"/>
        <v>1.2935136005043689E-2</v>
      </c>
      <c r="U2661" t="str">
        <f t="shared" si="537"/>
        <v>2020-09</v>
      </c>
      <c r="W2661">
        <v>19738.009999999998</v>
      </c>
      <c r="X2661">
        <f t="shared" si="544"/>
        <v>1.772428499022714E-2</v>
      </c>
      <c r="Y2661">
        <f t="shared" si="545"/>
        <v>1.7882292270998437E-2</v>
      </c>
      <c r="Z2661" t="str">
        <f t="shared" si="538"/>
        <v>2020-09</v>
      </c>
    </row>
    <row r="2662" spans="1:26" x14ac:dyDescent="0.35">
      <c r="A2662" s="1">
        <v>44082</v>
      </c>
      <c r="C2662">
        <v>3267.37</v>
      </c>
      <c r="D2662">
        <f t="shared" si="539"/>
        <v>-1.4191661336026673E-2</v>
      </c>
      <c r="E2662" t="str">
        <f t="shared" si="533"/>
        <v>2020-09</v>
      </c>
      <c r="G2662">
        <v>4973.5200000000004</v>
      </c>
      <c r="H2662">
        <f t="shared" si="540"/>
        <v>-1.5996766854018959E-2</v>
      </c>
      <c r="I2662" t="str">
        <f t="shared" si="534"/>
        <v>2020-09</v>
      </c>
      <c r="K2662">
        <v>12968.33</v>
      </c>
      <c r="L2662">
        <f t="shared" si="541"/>
        <v>-1.0123372660105651E-2</v>
      </c>
      <c r="M2662" t="str">
        <f t="shared" si="535"/>
        <v>2020-09</v>
      </c>
      <c r="O2662">
        <v>6558.2200300000004</v>
      </c>
      <c r="P2662">
        <f t="shared" si="542"/>
        <v>-9.3427428630089657E-3</v>
      </c>
      <c r="Q2662" t="str">
        <f t="shared" si="536"/>
        <v>2020-09</v>
      </c>
      <c r="S2662">
        <v>6955</v>
      </c>
      <c r="T2662">
        <f t="shared" si="543"/>
        <v>-1.7911947499397375E-2</v>
      </c>
      <c r="U2662" t="str">
        <f t="shared" si="537"/>
        <v>2020-09</v>
      </c>
      <c r="W2662">
        <v>19380.18</v>
      </c>
      <c r="X2662">
        <f t="shared" si="544"/>
        <v>-1.8295324041446726E-2</v>
      </c>
      <c r="Y2662">
        <f t="shared" si="545"/>
        <v>-1.812898058112232E-2</v>
      </c>
      <c r="Z2662" t="str">
        <f t="shared" si="538"/>
        <v>2020-09</v>
      </c>
    </row>
    <row r="2663" spans="1:26" x14ac:dyDescent="0.35">
      <c r="A2663" s="1">
        <v>44083</v>
      </c>
      <c r="C2663">
        <v>3324.83</v>
      </c>
      <c r="D2663">
        <f t="shared" si="539"/>
        <v>1.7433165025368264E-2</v>
      </c>
      <c r="E2663" t="str">
        <f t="shared" si="533"/>
        <v>2020-09</v>
      </c>
      <c r="G2663">
        <v>5042.9799999999996</v>
      </c>
      <c r="H2663">
        <f t="shared" si="540"/>
        <v>1.386933827820159E-2</v>
      </c>
      <c r="I2663" t="str">
        <f t="shared" si="534"/>
        <v>2020-09</v>
      </c>
      <c r="K2663">
        <v>13237.21</v>
      </c>
      <c r="L2663">
        <f t="shared" si="541"/>
        <v>2.0521571863305069E-2</v>
      </c>
      <c r="M2663" t="str">
        <f t="shared" si="535"/>
        <v>2020-09</v>
      </c>
      <c r="O2663">
        <v>6628.6925600000004</v>
      </c>
      <c r="P2663">
        <f t="shared" si="542"/>
        <v>1.0688354900617845E-2</v>
      </c>
      <c r="Q2663" t="str">
        <f t="shared" si="536"/>
        <v>2020-09</v>
      </c>
      <c r="S2663">
        <v>7020.9</v>
      </c>
      <c r="T2663">
        <f t="shared" si="543"/>
        <v>9.4305895729434579E-3</v>
      </c>
      <c r="U2663" t="str">
        <f t="shared" si="537"/>
        <v>2020-09</v>
      </c>
      <c r="W2663">
        <v>19771.32</v>
      </c>
      <c r="X2663">
        <f t="shared" si="544"/>
        <v>1.998150843851448E-2</v>
      </c>
      <c r="Y2663">
        <f t="shared" si="545"/>
        <v>2.0182475085370695E-2</v>
      </c>
      <c r="Z2663" t="str">
        <f t="shared" si="538"/>
        <v>2020-09</v>
      </c>
    </row>
    <row r="2664" spans="1:26" x14ac:dyDescent="0.35">
      <c r="A2664" s="1">
        <v>44084</v>
      </c>
      <c r="C2664">
        <v>3312.77</v>
      </c>
      <c r="D2664">
        <f t="shared" si="539"/>
        <v>-3.6338475566076323E-3</v>
      </c>
      <c r="E2664" t="str">
        <f t="shared" si="533"/>
        <v>2020-09</v>
      </c>
      <c r="G2664">
        <v>5023.93</v>
      </c>
      <c r="H2664">
        <f t="shared" si="540"/>
        <v>-3.7846812455948342E-3</v>
      </c>
      <c r="I2664" t="str">
        <f t="shared" si="534"/>
        <v>2020-09</v>
      </c>
      <c r="K2664">
        <v>13208.89</v>
      </c>
      <c r="L2664">
        <f t="shared" si="541"/>
        <v>-2.1417154760202299E-3</v>
      </c>
      <c r="M2664" t="str">
        <f t="shared" si="535"/>
        <v>2020-09</v>
      </c>
      <c r="O2664">
        <v>6495.41201</v>
      </c>
      <c r="P2664">
        <f t="shared" si="542"/>
        <v>-2.0311501087244374E-2</v>
      </c>
      <c r="Q2664" t="str">
        <f t="shared" si="536"/>
        <v>2020-09</v>
      </c>
      <c r="S2664">
        <v>6999.2</v>
      </c>
      <c r="T2664">
        <f t="shared" si="543"/>
        <v>-3.0955581384320028E-3</v>
      </c>
      <c r="U2664" t="str">
        <f t="shared" si="537"/>
        <v>2020-09</v>
      </c>
      <c r="W2664">
        <v>19820.22</v>
      </c>
      <c r="X2664">
        <f t="shared" si="544"/>
        <v>2.4702259556317434E-3</v>
      </c>
      <c r="Y2664">
        <f t="shared" si="545"/>
        <v>2.4732794775463376E-3</v>
      </c>
      <c r="Z2664" t="str">
        <f t="shared" si="538"/>
        <v>2020-09</v>
      </c>
    </row>
    <row r="2665" spans="1:26" x14ac:dyDescent="0.35">
      <c r="A2665" s="1">
        <v>44085</v>
      </c>
      <c r="C2665">
        <v>3315.81</v>
      </c>
      <c r="D2665">
        <f t="shared" si="539"/>
        <v>9.17240257532327E-4</v>
      </c>
      <c r="E2665" t="str">
        <f t="shared" si="533"/>
        <v>2020-09</v>
      </c>
      <c r="G2665">
        <v>5034.1400000000003</v>
      </c>
      <c r="H2665">
        <f t="shared" si="540"/>
        <v>2.0302112645724309E-3</v>
      </c>
      <c r="I2665" t="str">
        <f t="shared" si="534"/>
        <v>2020-09</v>
      </c>
      <c r="K2665">
        <v>13202.84</v>
      </c>
      <c r="L2665">
        <f t="shared" si="541"/>
        <v>-4.5812978595610629E-4</v>
      </c>
      <c r="M2665" t="str">
        <f t="shared" si="535"/>
        <v>2020-09</v>
      </c>
      <c r="O2665">
        <v>6517.2255599999999</v>
      </c>
      <c r="P2665">
        <f t="shared" si="542"/>
        <v>3.3526747080221786E-3</v>
      </c>
      <c r="Q2665" t="str">
        <f t="shared" si="536"/>
        <v>2020-09</v>
      </c>
      <c r="S2665">
        <v>6943.2</v>
      </c>
      <c r="T2665">
        <f t="shared" si="543"/>
        <v>-8.0330934620197261E-3</v>
      </c>
      <c r="U2665" t="str">
        <f t="shared" si="537"/>
        <v>2020-09</v>
      </c>
      <c r="W2665">
        <v>19820.75</v>
      </c>
      <c r="X2665">
        <f t="shared" si="544"/>
        <v>2.6740011661192169E-5</v>
      </c>
      <c r="Y2665">
        <f t="shared" si="545"/>
        <v>2.6740369178487214E-5</v>
      </c>
      <c r="Z2665" t="str">
        <f t="shared" si="538"/>
        <v>2020-09</v>
      </c>
    </row>
    <row r="2666" spans="1:26" x14ac:dyDescent="0.35">
      <c r="A2666" s="1">
        <v>44088</v>
      </c>
      <c r="C2666">
        <v>3316.79</v>
      </c>
      <c r="D2666">
        <f t="shared" si="539"/>
        <v>2.9551005853863072E-4</v>
      </c>
      <c r="E2666" t="str">
        <f t="shared" si="533"/>
        <v>2020-09</v>
      </c>
      <c r="G2666">
        <v>5051.88</v>
      </c>
      <c r="H2666">
        <f t="shared" si="540"/>
        <v>3.5177440246332327E-3</v>
      </c>
      <c r="I2666" t="str">
        <f t="shared" si="534"/>
        <v>2020-09</v>
      </c>
      <c r="K2666">
        <v>13193.66</v>
      </c>
      <c r="L2666">
        <f t="shared" si="541"/>
        <v>-6.9554678613422164E-4</v>
      </c>
      <c r="M2666" t="str">
        <f t="shared" si="535"/>
        <v>2020-09</v>
      </c>
      <c r="O2666">
        <v>6534.5736100000004</v>
      </c>
      <c r="P2666">
        <f t="shared" si="542"/>
        <v>2.6583400480296488E-3</v>
      </c>
      <c r="Q2666" t="str">
        <f t="shared" si="536"/>
        <v>2020-09</v>
      </c>
      <c r="S2666">
        <v>6951.1</v>
      </c>
      <c r="T2666">
        <f t="shared" si="543"/>
        <v>1.137157086187755E-3</v>
      </c>
      <c r="U2666" t="str">
        <f t="shared" si="537"/>
        <v>2020-09</v>
      </c>
      <c r="W2666">
        <v>19793.8</v>
      </c>
      <c r="X2666">
        <f t="shared" si="544"/>
        <v>-1.3606113994796922E-3</v>
      </c>
      <c r="Y2666">
        <f t="shared" si="545"/>
        <v>-1.3596861874551028E-3</v>
      </c>
      <c r="Z2666" t="str">
        <f t="shared" si="538"/>
        <v>2020-09</v>
      </c>
    </row>
    <row r="2667" spans="1:26" x14ac:dyDescent="0.35">
      <c r="A2667" s="1">
        <v>44089</v>
      </c>
      <c r="C2667">
        <v>3332.26</v>
      </c>
      <c r="D2667">
        <f t="shared" si="539"/>
        <v>4.6533047321441739E-3</v>
      </c>
      <c r="E2667" t="str">
        <f t="shared" si="533"/>
        <v>2020-09</v>
      </c>
      <c r="G2667">
        <v>5067.93</v>
      </c>
      <c r="H2667">
        <f t="shared" si="540"/>
        <v>3.1719989717905878E-3</v>
      </c>
      <c r="I2667" t="str">
        <f t="shared" si="534"/>
        <v>2020-09</v>
      </c>
      <c r="K2667">
        <v>13217.67</v>
      </c>
      <c r="L2667">
        <f t="shared" si="541"/>
        <v>1.8181596015167851E-3</v>
      </c>
      <c r="M2667" t="str">
        <f t="shared" si="535"/>
        <v>2020-09</v>
      </c>
      <c r="O2667">
        <v>6641.2492400000001</v>
      </c>
      <c r="P2667">
        <f t="shared" si="542"/>
        <v>1.6192986530056325E-2</v>
      </c>
      <c r="Q2667" t="str">
        <f t="shared" si="536"/>
        <v>2020-09</v>
      </c>
      <c r="S2667">
        <v>7036</v>
      </c>
      <c r="T2667">
        <f t="shared" si="543"/>
        <v>1.2139906441226129E-2</v>
      </c>
      <c r="U2667" t="str">
        <f t="shared" si="537"/>
        <v>2020-09</v>
      </c>
      <c r="W2667">
        <v>19956.95</v>
      </c>
      <c r="X2667">
        <f t="shared" si="544"/>
        <v>8.2086962446167779E-3</v>
      </c>
      <c r="Y2667">
        <f t="shared" si="545"/>
        <v>8.2424799684750506E-3</v>
      </c>
      <c r="Z2667" t="str">
        <f t="shared" si="538"/>
        <v>2020-09</v>
      </c>
    </row>
    <row r="2668" spans="1:26" x14ac:dyDescent="0.35">
      <c r="A2668" s="1">
        <v>44090</v>
      </c>
      <c r="C2668">
        <v>3338.84</v>
      </c>
      <c r="D2668">
        <f t="shared" si="539"/>
        <v>1.9726888020985124E-3</v>
      </c>
      <c r="E2668" t="str">
        <f t="shared" si="533"/>
        <v>2020-09</v>
      </c>
      <c r="G2668">
        <v>5074.42</v>
      </c>
      <c r="H2668">
        <f t="shared" si="540"/>
        <v>1.279782473647569E-3</v>
      </c>
      <c r="I2668" t="str">
        <f t="shared" si="534"/>
        <v>2020-09</v>
      </c>
      <c r="K2668">
        <v>13255.37</v>
      </c>
      <c r="L2668">
        <f t="shared" si="541"/>
        <v>2.8481825650283022E-3</v>
      </c>
      <c r="M2668" t="str">
        <f t="shared" si="535"/>
        <v>2020-09</v>
      </c>
      <c r="O2668">
        <v>6667.16741</v>
      </c>
      <c r="P2668">
        <f t="shared" si="542"/>
        <v>3.8950092184328322E-3</v>
      </c>
      <c r="Q2668" t="str">
        <f t="shared" si="536"/>
        <v>2020-09</v>
      </c>
      <c r="S2668">
        <v>7110.8</v>
      </c>
      <c r="T2668">
        <f t="shared" si="543"/>
        <v>1.0574928191081693E-2</v>
      </c>
      <c r="U2668" t="str">
        <f t="shared" si="537"/>
        <v>2020-09</v>
      </c>
      <c r="W2668">
        <v>19963.990000000002</v>
      </c>
      <c r="X2668">
        <f t="shared" si="544"/>
        <v>3.5269710948588348E-4</v>
      </c>
      <c r="Y2668">
        <f t="shared" si="545"/>
        <v>3.5275931442434205E-4</v>
      </c>
      <c r="Z2668" t="str">
        <f t="shared" si="538"/>
        <v>2020-09</v>
      </c>
    </row>
    <row r="2669" spans="1:26" x14ac:dyDescent="0.35">
      <c r="A2669" s="1">
        <v>44091</v>
      </c>
      <c r="C2669">
        <v>3316.57</v>
      </c>
      <c r="D2669">
        <f t="shared" si="539"/>
        <v>-6.6923249258995258E-3</v>
      </c>
      <c r="E2669" t="str">
        <f t="shared" si="533"/>
        <v>2020-09</v>
      </c>
      <c r="G2669">
        <v>5039.5</v>
      </c>
      <c r="H2669">
        <f t="shared" si="540"/>
        <v>-6.9053618696599366E-3</v>
      </c>
      <c r="I2669" t="str">
        <f t="shared" si="534"/>
        <v>2020-09</v>
      </c>
      <c r="K2669">
        <v>13208.12</v>
      </c>
      <c r="L2669">
        <f t="shared" si="541"/>
        <v>-3.5709613667784731E-3</v>
      </c>
      <c r="M2669" t="str">
        <f t="shared" si="535"/>
        <v>2020-09</v>
      </c>
      <c r="O2669">
        <v>6621.0340900000001</v>
      </c>
      <c r="P2669">
        <f t="shared" si="542"/>
        <v>-6.94352886663152E-3</v>
      </c>
      <c r="Q2669" t="str">
        <f t="shared" si="536"/>
        <v>2020-09</v>
      </c>
      <c r="S2669">
        <v>7086.2</v>
      </c>
      <c r="T2669">
        <f t="shared" si="543"/>
        <v>-3.4655243530614084E-3</v>
      </c>
      <c r="U2669" t="str">
        <f t="shared" si="537"/>
        <v>2020-09</v>
      </c>
      <c r="W2669">
        <v>19739.73</v>
      </c>
      <c r="X2669">
        <f t="shared" si="544"/>
        <v>-1.1296794605371238E-2</v>
      </c>
      <c r="Y2669">
        <f t="shared" si="545"/>
        <v>-1.1233225422373084E-2</v>
      </c>
      <c r="Z2669" t="str">
        <f t="shared" si="538"/>
        <v>2020-09</v>
      </c>
    </row>
    <row r="2670" spans="1:26" x14ac:dyDescent="0.35">
      <c r="A2670" s="1">
        <v>44092</v>
      </c>
      <c r="C2670">
        <v>3283.69</v>
      </c>
      <c r="D2670">
        <f t="shared" si="539"/>
        <v>-9.9633262912419002E-3</v>
      </c>
      <c r="E2670" t="str">
        <f t="shared" si="533"/>
        <v>2020-09</v>
      </c>
      <c r="G2670">
        <v>4978.18</v>
      </c>
      <c r="H2670">
        <f t="shared" si="540"/>
        <v>-1.2242508421079512E-2</v>
      </c>
      <c r="I2670" t="str">
        <f t="shared" si="534"/>
        <v>2020-09</v>
      </c>
      <c r="K2670">
        <v>13116.25</v>
      </c>
      <c r="L2670">
        <f t="shared" si="541"/>
        <v>-6.979872489357393E-3</v>
      </c>
      <c r="M2670" t="str">
        <f t="shared" si="535"/>
        <v>2020-09</v>
      </c>
      <c r="O2670">
        <v>6556.32096</v>
      </c>
      <c r="P2670">
        <f t="shared" si="542"/>
        <v>-9.8219483343752745E-3</v>
      </c>
      <c r="Q2670" t="str">
        <f t="shared" si="536"/>
        <v>2020-09</v>
      </c>
      <c r="S2670">
        <v>6929.8</v>
      </c>
      <c r="T2670">
        <f t="shared" si="543"/>
        <v>-2.2318277956838727E-2</v>
      </c>
      <c r="U2670" t="str">
        <f t="shared" si="537"/>
        <v>2020-09</v>
      </c>
      <c r="W2670">
        <v>19524.939999999999</v>
      </c>
      <c r="X2670">
        <f t="shared" si="544"/>
        <v>-1.0940733362569953E-2</v>
      </c>
      <c r="Y2670">
        <f t="shared" si="545"/>
        <v>-1.0881101210604243E-2</v>
      </c>
      <c r="Z2670" t="str">
        <f t="shared" si="538"/>
        <v>2020-09</v>
      </c>
    </row>
    <row r="2671" spans="1:26" x14ac:dyDescent="0.35">
      <c r="A2671" s="1">
        <v>44095</v>
      </c>
      <c r="C2671">
        <v>3160.95</v>
      </c>
      <c r="D2671">
        <f t="shared" si="539"/>
        <v>-3.809517472856723E-2</v>
      </c>
      <c r="E2671" t="str">
        <f t="shared" si="533"/>
        <v>2020-09</v>
      </c>
      <c r="G2671">
        <v>4792.04</v>
      </c>
      <c r="H2671">
        <f t="shared" si="540"/>
        <v>-3.8108154367996784E-2</v>
      </c>
      <c r="I2671" t="str">
        <f t="shared" si="534"/>
        <v>2020-09</v>
      </c>
      <c r="K2671">
        <v>12542.44</v>
      </c>
      <c r="L2671">
        <f t="shared" si="541"/>
        <v>-4.4733825860454796E-2</v>
      </c>
      <c r="M2671" t="str">
        <f t="shared" si="535"/>
        <v>2020-09</v>
      </c>
      <c r="O2671">
        <v>6322.8744699999997</v>
      </c>
      <c r="P2671">
        <f t="shared" si="542"/>
        <v>-3.6255690402661397E-2</v>
      </c>
      <c r="Q2671" t="str">
        <f t="shared" si="536"/>
        <v>2020-09</v>
      </c>
      <c r="S2671">
        <v>6692.3</v>
      </c>
      <c r="T2671">
        <f t="shared" si="543"/>
        <v>-3.4873340989394194E-2</v>
      </c>
      <c r="U2671" t="str">
        <f t="shared" si="537"/>
        <v>2020-09</v>
      </c>
      <c r="W2671">
        <v>18793.349999999999</v>
      </c>
      <c r="X2671">
        <f t="shared" si="544"/>
        <v>-3.8189538880905094E-2</v>
      </c>
      <c r="Y2671">
        <f t="shared" si="545"/>
        <v>-3.7469513350617219E-2</v>
      </c>
      <c r="Z2671" t="str">
        <f t="shared" si="538"/>
        <v>2020-09</v>
      </c>
    </row>
    <row r="2672" spans="1:26" x14ac:dyDescent="0.35">
      <c r="A2672" s="1">
        <v>44096</v>
      </c>
      <c r="C2672">
        <v>3164.13</v>
      </c>
      <c r="D2672">
        <f t="shared" si="539"/>
        <v>1.0055209635085318E-3</v>
      </c>
      <c r="E2672" t="str">
        <f t="shared" si="533"/>
        <v>2020-09</v>
      </c>
      <c r="G2672">
        <v>4772.84</v>
      </c>
      <c r="H2672">
        <f t="shared" si="540"/>
        <v>-4.0146924558178585E-3</v>
      </c>
      <c r="I2672" t="str">
        <f t="shared" si="534"/>
        <v>2020-09</v>
      </c>
      <c r="K2672">
        <v>12594.39</v>
      </c>
      <c r="L2672">
        <f t="shared" si="541"/>
        <v>4.1333830847538958E-3</v>
      </c>
      <c r="M2672" t="str">
        <f t="shared" si="535"/>
        <v>2020-09</v>
      </c>
      <c r="O2672">
        <v>6336.0014199999996</v>
      </c>
      <c r="P2672">
        <f t="shared" si="542"/>
        <v>2.0739526667754864E-3</v>
      </c>
      <c r="Q2672" t="str">
        <f t="shared" si="536"/>
        <v>2020-09</v>
      </c>
      <c r="S2672">
        <v>6648.6</v>
      </c>
      <c r="T2672">
        <f t="shared" si="543"/>
        <v>-6.551305578901304E-3</v>
      </c>
      <c r="U2672" t="str">
        <f t="shared" si="537"/>
        <v>2020-09</v>
      </c>
      <c r="W2672">
        <v>18895.59</v>
      </c>
      <c r="X2672">
        <f t="shared" si="544"/>
        <v>5.4254776490377079E-3</v>
      </c>
      <c r="Y2672">
        <f t="shared" si="545"/>
        <v>5.4402222062592143E-3</v>
      </c>
      <c r="Z2672" t="str">
        <f t="shared" si="538"/>
        <v>2020-09</v>
      </c>
    </row>
    <row r="2673" spans="1:26" x14ac:dyDescent="0.35">
      <c r="A2673" s="1">
        <v>44097</v>
      </c>
      <c r="C2673">
        <v>3180.11</v>
      </c>
      <c r="D2673">
        <f t="shared" si="539"/>
        <v>5.0376510960895128E-3</v>
      </c>
      <c r="E2673" t="str">
        <f t="shared" si="533"/>
        <v>2020-09</v>
      </c>
      <c r="G2673">
        <v>4802.26</v>
      </c>
      <c r="H2673">
        <f t="shared" si="540"/>
        <v>6.1451248720432831E-3</v>
      </c>
      <c r="I2673" t="str">
        <f t="shared" si="534"/>
        <v>2020-09</v>
      </c>
      <c r="K2673">
        <v>12642.97</v>
      </c>
      <c r="L2673">
        <f t="shared" si="541"/>
        <v>3.8498527581185063E-3</v>
      </c>
      <c r="M2673" t="str">
        <f t="shared" si="535"/>
        <v>2020-09</v>
      </c>
      <c r="O2673">
        <v>6442.6727000000001</v>
      </c>
      <c r="P2673">
        <f t="shared" si="542"/>
        <v>1.6695590920826914E-2</v>
      </c>
      <c r="Q2673" t="str">
        <f t="shared" si="536"/>
        <v>2020-09</v>
      </c>
      <c r="S2673">
        <v>6654.2</v>
      </c>
      <c r="T2673">
        <f t="shared" si="543"/>
        <v>8.4192806488748442E-4</v>
      </c>
      <c r="U2673" t="str">
        <f t="shared" si="537"/>
        <v>2020-09</v>
      </c>
      <c r="W2673">
        <v>18929.89</v>
      </c>
      <c r="X2673">
        <f t="shared" si="544"/>
        <v>1.8135928163448799E-3</v>
      </c>
      <c r="Y2673">
        <f t="shared" si="545"/>
        <v>1.8152383704345444E-3</v>
      </c>
      <c r="Z2673" t="str">
        <f t="shared" si="538"/>
        <v>2020-09</v>
      </c>
    </row>
    <row r="2674" spans="1:26" x14ac:dyDescent="0.35">
      <c r="A2674" s="1">
        <v>44098</v>
      </c>
      <c r="C2674">
        <v>3159.64</v>
      </c>
      <c r="D2674">
        <f t="shared" si="539"/>
        <v>-6.4576903304422364E-3</v>
      </c>
      <c r="E2674" t="str">
        <f t="shared" si="533"/>
        <v>2020-09</v>
      </c>
      <c r="G2674">
        <v>4762.62</v>
      </c>
      <c r="H2674">
        <f t="shared" si="540"/>
        <v>-8.2887034541667907E-3</v>
      </c>
      <c r="I2674" t="str">
        <f t="shared" si="534"/>
        <v>2020-09</v>
      </c>
      <c r="K2674">
        <v>12606.57</v>
      </c>
      <c r="L2674">
        <f t="shared" si="541"/>
        <v>-2.8832228401798523E-3</v>
      </c>
      <c r="M2674" t="str">
        <f t="shared" si="535"/>
        <v>2020-09</v>
      </c>
      <c r="O2674">
        <v>6366.4657900000002</v>
      </c>
      <c r="P2674">
        <f t="shared" si="542"/>
        <v>-1.1898974971267033E-2</v>
      </c>
      <c r="Q2674" t="str">
        <f t="shared" si="536"/>
        <v>2020-09</v>
      </c>
      <c r="S2674">
        <v>6643.4</v>
      </c>
      <c r="T2674">
        <f t="shared" si="543"/>
        <v>-1.6243536239129103E-3</v>
      </c>
      <c r="U2674" t="str">
        <f t="shared" si="537"/>
        <v>2020-09</v>
      </c>
      <c r="W2674">
        <v>18906.830000000002</v>
      </c>
      <c r="X2674">
        <f t="shared" si="544"/>
        <v>-1.2189218756358036E-3</v>
      </c>
      <c r="Y2674">
        <f t="shared" si="545"/>
        <v>-1.2181792921140942E-3</v>
      </c>
      <c r="Z2674" t="str">
        <f t="shared" si="538"/>
        <v>2020-09</v>
      </c>
    </row>
    <row r="2675" spans="1:26" x14ac:dyDescent="0.35">
      <c r="A2675" s="1">
        <v>44099</v>
      </c>
      <c r="C2675">
        <v>3137.06</v>
      </c>
      <c r="D2675">
        <f t="shared" si="539"/>
        <v>-7.1720414786868025E-3</v>
      </c>
      <c r="E2675" t="str">
        <f t="shared" si="533"/>
        <v>2020-09</v>
      </c>
      <c r="G2675">
        <v>4729.66</v>
      </c>
      <c r="H2675">
        <f t="shared" si="540"/>
        <v>-6.9446186723079789E-3</v>
      </c>
      <c r="I2675" t="str">
        <f t="shared" si="534"/>
        <v>2020-09</v>
      </c>
      <c r="K2675">
        <v>12469.2</v>
      </c>
      <c r="L2675">
        <f t="shared" si="541"/>
        <v>-1.0956502967757159E-2</v>
      </c>
      <c r="M2675" t="str">
        <f t="shared" si="535"/>
        <v>2020-09</v>
      </c>
      <c r="O2675">
        <v>6387.7646100000002</v>
      </c>
      <c r="P2675">
        <f t="shared" si="542"/>
        <v>3.3398863170515099E-3</v>
      </c>
      <c r="Q2675" t="str">
        <f t="shared" si="536"/>
        <v>2020-09</v>
      </c>
      <c r="S2675">
        <v>6628.3</v>
      </c>
      <c r="T2675">
        <f t="shared" si="543"/>
        <v>-2.2755195665416948E-3</v>
      </c>
      <c r="U2675" t="str">
        <f t="shared" si="537"/>
        <v>2020-09</v>
      </c>
      <c r="W2675">
        <v>18698.36</v>
      </c>
      <c r="X2675">
        <f t="shared" si="544"/>
        <v>-1.1087412966650013E-2</v>
      </c>
      <c r="Y2675">
        <f t="shared" si="545"/>
        <v>-1.1026174139186799E-2</v>
      </c>
      <c r="Z2675" t="str">
        <f t="shared" si="538"/>
        <v>2020-09</v>
      </c>
    </row>
    <row r="2676" spans="1:26" x14ac:dyDescent="0.35">
      <c r="A2676" s="1">
        <v>44102</v>
      </c>
      <c r="C2676">
        <v>3223.19</v>
      </c>
      <c r="D2676">
        <f t="shared" si="539"/>
        <v>2.7085496803698768E-2</v>
      </c>
      <c r="E2676" t="str">
        <f t="shared" si="533"/>
        <v>2020-09</v>
      </c>
      <c r="G2676">
        <v>4843.2700000000004</v>
      </c>
      <c r="H2676">
        <f t="shared" si="540"/>
        <v>2.3736794121447094E-2</v>
      </c>
      <c r="I2676" t="str">
        <f t="shared" si="534"/>
        <v>2020-09</v>
      </c>
      <c r="K2676">
        <v>12870.87</v>
      </c>
      <c r="L2676">
        <f t="shared" si="541"/>
        <v>3.1705014726456128E-2</v>
      </c>
      <c r="M2676" t="str">
        <f t="shared" si="535"/>
        <v>2020-09</v>
      </c>
      <c r="O2676">
        <v>6536.1836300000004</v>
      </c>
      <c r="P2676">
        <f t="shared" si="542"/>
        <v>2.2969071433406183E-2</v>
      </c>
      <c r="Q2676" t="str">
        <f t="shared" si="536"/>
        <v>2020-09</v>
      </c>
      <c r="S2676">
        <v>6791.5</v>
      </c>
      <c r="T2676">
        <f t="shared" si="543"/>
        <v>2.4323469217777692E-2</v>
      </c>
      <c r="U2676" t="str">
        <f t="shared" si="537"/>
        <v>2020-09</v>
      </c>
      <c r="W2676">
        <v>19160.099999999999</v>
      </c>
      <c r="X2676">
        <f t="shared" si="544"/>
        <v>2.4394172255910167E-2</v>
      </c>
      <c r="Y2676">
        <f t="shared" si="545"/>
        <v>2.4694144299286031E-2</v>
      </c>
      <c r="Z2676" t="str">
        <f t="shared" si="538"/>
        <v>2020-09</v>
      </c>
    </row>
    <row r="2677" spans="1:26" x14ac:dyDescent="0.35">
      <c r="A2677" s="1">
        <v>44103</v>
      </c>
      <c r="C2677">
        <v>3214.3</v>
      </c>
      <c r="D2677">
        <f t="shared" si="539"/>
        <v>-2.7619477937330219E-3</v>
      </c>
      <c r="E2677" t="str">
        <f t="shared" si="533"/>
        <v>2020-09</v>
      </c>
      <c r="G2677">
        <v>4832.07</v>
      </c>
      <c r="H2677">
        <f t="shared" si="540"/>
        <v>-2.3151651523682388E-3</v>
      </c>
      <c r="I2677" t="str">
        <f t="shared" si="534"/>
        <v>2020-09</v>
      </c>
      <c r="K2677">
        <v>12825.82</v>
      </c>
      <c r="L2677">
        <f t="shared" si="541"/>
        <v>-3.5062917561774847E-3</v>
      </c>
      <c r="M2677" t="str">
        <f t="shared" si="535"/>
        <v>2020-09</v>
      </c>
      <c r="O2677">
        <v>6458.2096600000004</v>
      </c>
      <c r="P2677">
        <f t="shared" si="542"/>
        <v>-1.2001315359685015E-2</v>
      </c>
      <c r="Q2677" t="str">
        <f t="shared" si="536"/>
        <v>2020-09</v>
      </c>
      <c r="S2677">
        <v>6713.6</v>
      </c>
      <c r="T2677">
        <f t="shared" si="543"/>
        <v>-1.153651050062207E-2</v>
      </c>
      <c r="U2677" t="str">
        <f t="shared" si="537"/>
        <v>2020-09</v>
      </c>
      <c r="W2677">
        <v>19061.18</v>
      </c>
      <c r="X2677">
        <f t="shared" si="544"/>
        <v>-5.1761856673920694E-3</v>
      </c>
      <c r="Y2677">
        <f t="shared" si="545"/>
        <v>-5.1628123026496867E-3</v>
      </c>
      <c r="Z2677" t="str">
        <f t="shared" si="538"/>
        <v>2020-09</v>
      </c>
    </row>
    <row r="2678" spans="1:26" x14ac:dyDescent="0.35">
      <c r="A2678" s="1">
        <v>44104</v>
      </c>
      <c r="C2678">
        <v>3193.61</v>
      </c>
      <c r="D2678">
        <f t="shared" si="539"/>
        <v>-6.4576661969986144E-3</v>
      </c>
      <c r="E2678" t="str">
        <f t="shared" si="533"/>
        <v>2020-09</v>
      </c>
      <c r="G2678">
        <v>4803.4399999999996</v>
      </c>
      <c r="H2678">
        <f t="shared" si="540"/>
        <v>-5.9426193849623178E-3</v>
      </c>
      <c r="I2678" t="str">
        <f t="shared" si="534"/>
        <v>2020-09</v>
      </c>
      <c r="K2678">
        <v>12760.73</v>
      </c>
      <c r="L2678">
        <f t="shared" si="541"/>
        <v>-5.0878403231826809E-3</v>
      </c>
      <c r="M2678" t="str">
        <f t="shared" si="535"/>
        <v>2020-09</v>
      </c>
      <c r="O2678">
        <v>6461.1173099999996</v>
      </c>
      <c r="P2678">
        <f t="shared" si="542"/>
        <v>4.5012407470525803E-4</v>
      </c>
      <c r="Q2678" t="str">
        <f t="shared" si="536"/>
        <v>2020-09</v>
      </c>
      <c r="S2678">
        <v>6716.6</v>
      </c>
      <c r="T2678">
        <f t="shared" si="543"/>
        <v>4.4675433722474775E-4</v>
      </c>
      <c r="U2678" t="str">
        <f t="shared" si="537"/>
        <v>2020-09</v>
      </c>
      <c r="W2678">
        <v>19015.27</v>
      </c>
      <c r="X2678">
        <f t="shared" si="544"/>
        <v>-2.4114654726399964E-3</v>
      </c>
      <c r="Y2678">
        <f t="shared" si="545"/>
        <v>-2.4085602255474138E-3</v>
      </c>
      <c r="Z2678" t="str">
        <f t="shared" si="538"/>
        <v>2020-09</v>
      </c>
    </row>
    <row r="2679" spans="1:26" x14ac:dyDescent="0.35">
      <c r="A2679" s="1">
        <v>44105</v>
      </c>
      <c r="C2679">
        <v>3194.09</v>
      </c>
      <c r="D2679">
        <f t="shared" si="539"/>
        <v>1.5028883664016925E-4</v>
      </c>
      <c r="E2679" t="str">
        <f t="shared" si="533"/>
        <v>2020-10</v>
      </c>
      <c r="G2679">
        <v>4824.04</v>
      </c>
      <c r="H2679">
        <f t="shared" si="540"/>
        <v>4.2794233668841742E-3</v>
      </c>
      <c r="I2679" t="str">
        <f t="shared" si="534"/>
        <v>2020-10</v>
      </c>
      <c r="K2679">
        <v>12730.77</v>
      </c>
      <c r="L2679">
        <f t="shared" si="541"/>
        <v>-2.3505885330204926E-3</v>
      </c>
      <c r="M2679" t="str">
        <f t="shared" si="535"/>
        <v>2020-10</v>
      </c>
      <c r="O2679">
        <v>6454.6299099999997</v>
      </c>
      <c r="P2679">
        <f t="shared" si="542"/>
        <v>-1.0045722380701027E-3</v>
      </c>
      <c r="Q2679" t="str">
        <f t="shared" si="536"/>
        <v>2020-10</v>
      </c>
      <c r="S2679">
        <v>6730.7</v>
      </c>
      <c r="T2679">
        <f t="shared" si="543"/>
        <v>2.0970760178369891E-3</v>
      </c>
      <c r="U2679" t="str">
        <f t="shared" si="537"/>
        <v>2020-10</v>
      </c>
      <c r="W2679">
        <v>19061.5</v>
      </c>
      <c r="X2679">
        <f t="shared" si="544"/>
        <v>2.4282533794718251E-3</v>
      </c>
      <c r="Y2679">
        <f t="shared" si="545"/>
        <v>2.4312039744899525E-3</v>
      </c>
      <c r="Z2679" t="str">
        <f t="shared" si="538"/>
        <v>2020-10</v>
      </c>
    </row>
    <row r="2680" spans="1:26" x14ac:dyDescent="0.35">
      <c r="A2680" s="1">
        <v>44106</v>
      </c>
      <c r="C2680">
        <v>3190.93</v>
      </c>
      <c r="D2680">
        <f t="shared" si="539"/>
        <v>-9.8981687073734716E-4</v>
      </c>
      <c r="E2680" t="str">
        <f t="shared" si="533"/>
        <v>2020-10</v>
      </c>
      <c r="G2680">
        <v>4824.88</v>
      </c>
      <c r="H2680">
        <f t="shared" si="540"/>
        <v>1.7411275088244043E-4</v>
      </c>
      <c r="I2680" t="str">
        <f t="shared" si="534"/>
        <v>2020-10</v>
      </c>
      <c r="K2680">
        <v>12689.04</v>
      </c>
      <c r="L2680">
        <f t="shared" si="541"/>
        <v>-3.2832690320612301E-3</v>
      </c>
      <c r="M2680" t="str">
        <f t="shared" si="535"/>
        <v>2020-10</v>
      </c>
      <c r="O2680">
        <v>6513.0836099999997</v>
      </c>
      <c r="P2680">
        <f t="shared" si="542"/>
        <v>9.0153280787556057E-3</v>
      </c>
      <c r="Q2680" t="str">
        <f t="shared" si="536"/>
        <v>2020-10</v>
      </c>
      <c r="S2680">
        <v>6754.5</v>
      </c>
      <c r="T2680">
        <f t="shared" si="543"/>
        <v>3.5297992927509911E-3</v>
      </c>
      <c r="U2680" t="str">
        <f t="shared" si="537"/>
        <v>2020-10</v>
      </c>
      <c r="W2680">
        <v>19064.310000000001</v>
      </c>
      <c r="X2680">
        <f t="shared" si="544"/>
        <v>1.4740670454413209E-4</v>
      </c>
      <c r="Y2680">
        <f t="shared" si="545"/>
        <v>1.4741756944633473E-4</v>
      </c>
      <c r="Z2680" t="str">
        <f t="shared" si="538"/>
        <v>2020-10</v>
      </c>
    </row>
    <row r="2681" spans="1:26" x14ac:dyDescent="0.35">
      <c r="A2681" s="1">
        <v>44109</v>
      </c>
      <c r="C2681">
        <v>3220.22</v>
      </c>
      <c r="D2681">
        <f t="shared" si="539"/>
        <v>9.1372698452414011E-3</v>
      </c>
      <c r="E2681" t="str">
        <f t="shared" si="533"/>
        <v>2020-10</v>
      </c>
      <c r="G2681">
        <v>4871.87</v>
      </c>
      <c r="H2681">
        <f t="shared" si="540"/>
        <v>9.6919829492152186E-3</v>
      </c>
      <c r="I2681" t="str">
        <f t="shared" si="534"/>
        <v>2020-10</v>
      </c>
      <c r="K2681">
        <v>12828.31</v>
      </c>
      <c r="L2681">
        <f t="shared" si="541"/>
        <v>1.0915818679561583E-2</v>
      </c>
      <c r="M2681" t="str">
        <f t="shared" si="535"/>
        <v>2020-10</v>
      </c>
      <c r="O2681">
        <v>6543.9397900000004</v>
      </c>
      <c r="P2681">
        <f t="shared" si="542"/>
        <v>4.726381579512955E-3</v>
      </c>
      <c r="Q2681" t="str">
        <f t="shared" si="536"/>
        <v>2020-10</v>
      </c>
      <c r="S2681">
        <v>6837.9</v>
      </c>
      <c r="T2681">
        <f t="shared" si="543"/>
        <v>1.2271717523465548E-2</v>
      </c>
      <c r="U2681" t="str">
        <f t="shared" si="537"/>
        <v>2020-10</v>
      </c>
      <c r="W2681">
        <v>19265.509999999998</v>
      </c>
      <c r="X2681">
        <f t="shared" si="544"/>
        <v>1.0498449926238185E-2</v>
      </c>
      <c r="Y2681">
        <f t="shared" si="545"/>
        <v>1.0553752010956445E-2</v>
      </c>
      <c r="Z2681" t="str">
        <f t="shared" si="538"/>
        <v>2020-10</v>
      </c>
    </row>
    <row r="2682" spans="1:26" x14ac:dyDescent="0.35">
      <c r="A2682" s="1">
        <v>44110</v>
      </c>
      <c r="C2682">
        <v>3233.3</v>
      </c>
      <c r="D2682">
        <f t="shared" si="539"/>
        <v>4.0536073059612016E-3</v>
      </c>
      <c r="E2682" t="str">
        <f t="shared" si="533"/>
        <v>2020-10</v>
      </c>
      <c r="G2682">
        <v>4895.46</v>
      </c>
      <c r="H2682">
        <f t="shared" si="540"/>
        <v>4.8303980449664469E-3</v>
      </c>
      <c r="I2682" t="str">
        <f t="shared" si="534"/>
        <v>2020-10</v>
      </c>
      <c r="K2682">
        <v>12906.02</v>
      </c>
      <c r="L2682">
        <f t="shared" si="541"/>
        <v>6.0394217532288895E-3</v>
      </c>
      <c r="M2682" t="str">
        <f t="shared" si="535"/>
        <v>2020-10</v>
      </c>
      <c r="O2682">
        <v>6542.8633099999997</v>
      </c>
      <c r="P2682">
        <f t="shared" si="542"/>
        <v>-1.6451382269651945E-4</v>
      </c>
      <c r="Q2682" t="str">
        <f t="shared" si="536"/>
        <v>2020-10</v>
      </c>
      <c r="S2682">
        <v>6936.2</v>
      </c>
      <c r="T2682">
        <f t="shared" si="543"/>
        <v>1.4273407174890703E-2</v>
      </c>
      <c r="U2682" t="str">
        <f t="shared" si="537"/>
        <v>2020-10</v>
      </c>
      <c r="W2682">
        <v>19429.810000000001</v>
      </c>
      <c r="X2682">
        <f t="shared" si="544"/>
        <v>8.4920340427967894E-3</v>
      </c>
      <c r="Y2682">
        <f t="shared" si="545"/>
        <v>8.5281936476118685E-3</v>
      </c>
      <c r="Z2682" t="str">
        <f t="shared" si="538"/>
        <v>2020-10</v>
      </c>
    </row>
    <row r="2683" spans="1:26" x14ac:dyDescent="0.35">
      <c r="A2683" s="1">
        <v>44111</v>
      </c>
      <c r="C2683">
        <v>3233.43</v>
      </c>
      <c r="D2683">
        <f t="shared" si="539"/>
        <v>4.0205791804302814E-5</v>
      </c>
      <c r="E2683" t="str">
        <f t="shared" si="533"/>
        <v>2020-10</v>
      </c>
      <c r="G2683">
        <v>4882</v>
      </c>
      <c r="H2683">
        <f t="shared" si="540"/>
        <v>-2.7532730387661384E-3</v>
      </c>
      <c r="I2683" t="str">
        <f t="shared" si="534"/>
        <v>2020-10</v>
      </c>
      <c r="K2683">
        <v>12928.57</v>
      </c>
      <c r="L2683">
        <f t="shared" si="541"/>
        <v>1.7457219740544686E-3</v>
      </c>
      <c r="M2683" t="str">
        <f t="shared" si="535"/>
        <v>2020-10</v>
      </c>
      <c r="O2683">
        <v>6525.6204299999999</v>
      </c>
      <c r="P2683">
        <f t="shared" si="542"/>
        <v>-2.6388508948700577E-3</v>
      </c>
      <c r="Q2683" t="str">
        <f t="shared" si="536"/>
        <v>2020-10</v>
      </c>
      <c r="S2683">
        <v>6910.1</v>
      </c>
      <c r="T2683">
        <f t="shared" si="543"/>
        <v>-3.7699646710630755E-3</v>
      </c>
      <c r="U2683" t="str">
        <f t="shared" si="537"/>
        <v>2020-10</v>
      </c>
      <c r="W2683">
        <v>19435.080000000002</v>
      </c>
      <c r="X2683">
        <f t="shared" si="544"/>
        <v>2.7119593197366687E-4</v>
      </c>
      <c r="Y2683">
        <f t="shared" si="545"/>
        <v>2.7123270891482912E-4</v>
      </c>
      <c r="Z2683" t="str">
        <f t="shared" si="538"/>
        <v>2020-10</v>
      </c>
    </row>
    <row r="2684" spans="1:26" x14ac:dyDescent="0.35">
      <c r="A2684" s="1">
        <v>44112</v>
      </c>
      <c r="C2684">
        <v>3255.76</v>
      </c>
      <c r="D2684">
        <f t="shared" si="539"/>
        <v>6.8822420483225649E-3</v>
      </c>
      <c r="E2684" t="str">
        <f t="shared" si="533"/>
        <v>2020-10</v>
      </c>
      <c r="G2684">
        <v>4911.9399999999996</v>
      </c>
      <c r="H2684">
        <f t="shared" si="540"/>
        <v>6.1140038157561291E-3</v>
      </c>
      <c r="I2684" t="str">
        <f t="shared" si="534"/>
        <v>2020-10</v>
      </c>
      <c r="K2684">
        <v>13042.21</v>
      </c>
      <c r="L2684">
        <f t="shared" si="541"/>
        <v>8.7514295129275319E-3</v>
      </c>
      <c r="M2684" t="str">
        <f t="shared" si="535"/>
        <v>2020-10</v>
      </c>
      <c r="O2684">
        <v>6580.1556899999996</v>
      </c>
      <c r="P2684">
        <f t="shared" si="542"/>
        <v>8.3223724056006518E-3</v>
      </c>
      <c r="Q2684" t="str">
        <f t="shared" si="536"/>
        <v>2020-10</v>
      </c>
      <c r="S2684">
        <v>6992.8</v>
      </c>
      <c r="T2684">
        <f t="shared" si="543"/>
        <v>1.1896938829248799E-2</v>
      </c>
      <c r="U2684" t="str">
        <f t="shared" si="537"/>
        <v>2020-10</v>
      </c>
      <c r="W2684">
        <v>19582.43</v>
      </c>
      <c r="X2684">
        <f t="shared" si="544"/>
        <v>7.5530550519034905E-3</v>
      </c>
      <c r="Y2684">
        <f t="shared" si="545"/>
        <v>7.5816513232772149E-3</v>
      </c>
      <c r="Z2684" t="str">
        <f t="shared" si="538"/>
        <v>2020-10</v>
      </c>
    </row>
    <row r="2685" spans="1:26" x14ac:dyDescent="0.35">
      <c r="A2685" s="1">
        <v>44113</v>
      </c>
      <c r="C2685">
        <v>3273.12</v>
      </c>
      <c r="D2685">
        <f t="shared" si="539"/>
        <v>5.3179231084525954E-3</v>
      </c>
      <c r="E2685" t="str">
        <f t="shared" si="533"/>
        <v>2020-10</v>
      </c>
      <c r="G2685">
        <v>4946.8100000000004</v>
      </c>
      <c r="H2685">
        <f t="shared" si="540"/>
        <v>7.0739486060515241E-3</v>
      </c>
      <c r="I2685" t="str">
        <f t="shared" si="534"/>
        <v>2020-10</v>
      </c>
      <c r="K2685">
        <v>13051.23</v>
      </c>
      <c r="L2685">
        <f t="shared" si="541"/>
        <v>6.9136153449163068E-4</v>
      </c>
      <c r="M2685" t="str">
        <f t="shared" si="535"/>
        <v>2020-10</v>
      </c>
      <c r="O2685">
        <v>6625.7957399999996</v>
      </c>
      <c r="P2685">
        <f t="shared" si="542"/>
        <v>6.912070206035118E-3</v>
      </c>
      <c r="Q2685" t="str">
        <f t="shared" si="536"/>
        <v>2020-10</v>
      </c>
      <c r="S2685">
        <v>6950.9</v>
      </c>
      <c r="T2685">
        <f t="shared" si="543"/>
        <v>-6.0099006884981807E-3</v>
      </c>
      <c r="U2685" t="str">
        <f t="shared" si="537"/>
        <v>2020-10</v>
      </c>
      <c r="W2685">
        <v>19595.38</v>
      </c>
      <c r="X2685">
        <f t="shared" si="544"/>
        <v>6.610885331077036E-4</v>
      </c>
      <c r="Y2685">
        <f t="shared" si="545"/>
        <v>6.6130710029351446E-4</v>
      </c>
      <c r="Z2685" t="str">
        <f t="shared" si="538"/>
        <v>2020-10</v>
      </c>
    </row>
    <row r="2686" spans="1:26" x14ac:dyDescent="0.35">
      <c r="A2686" s="1">
        <v>44116</v>
      </c>
      <c r="C2686">
        <v>3298.12</v>
      </c>
      <c r="D2686">
        <f t="shared" si="539"/>
        <v>7.6089507054446538E-3</v>
      </c>
      <c r="E2686" t="str">
        <f t="shared" si="533"/>
        <v>2020-10</v>
      </c>
      <c r="G2686">
        <v>4979.29</v>
      </c>
      <c r="H2686">
        <f t="shared" si="540"/>
        <v>6.5443861987524703E-3</v>
      </c>
      <c r="I2686" t="str">
        <f t="shared" si="534"/>
        <v>2020-10</v>
      </c>
      <c r="K2686">
        <v>13138.41</v>
      </c>
      <c r="L2686">
        <f t="shared" si="541"/>
        <v>6.6576189678687336E-3</v>
      </c>
      <c r="M2686" t="str">
        <f t="shared" si="535"/>
        <v>2020-10</v>
      </c>
      <c r="O2686">
        <v>6637.5435600000001</v>
      </c>
      <c r="P2686">
        <f t="shared" si="542"/>
        <v>1.7714729008205977E-3</v>
      </c>
      <c r="Q2686" t="str">
        <f t="shared" si="536"/>
        <v>2020-10</v>
      </c>
      <c r="S2686">
        <v>6951</v>
      </c>
      <c r="T2686">
        <f t="shared" si="543"/>
        <v>1.4386522705839039E-5</v>
      </c>
      <c r="U2686" t="str">
        <f t="shared" si="537"/>
        <v>2020-10</v>
      </c>
      <c r="W2686">
        <v>19718.77</v>
      </c>
      <c r="X2686">
        <f t="shared" si="544"/>
        <v>6.2771498382680887E-3</v>
      </c>
      <c r="Y2686">
        <f t="shared" si="545"/>
        <v>6.2968924307668138E-3</v>
      </c>
      <c r="Z2686" t="str">
        <f t="shared" si="538"/>
        <v>2020-10</v>
      </c>
    </row>
    <row r="2687" spans="1:26" x14ac:dyDescent="0.35">
      <c r="A2687" s="1">
        <v>44117</v>
      </c>
      <c r="C2687">
        <v>3279.19</v>
      </c>
      <c r="D2687">
        <f t="shared" si="539"/>
        <v>-5.7561684846932203E-3</v>
      </c>
      <c r="E2687" t="str">
        <f t="shared" si="533"/>
        <v>2020-10</v>
      </c>
      <c r="G2687">
        <v>4947.6099999999997</v>
      </c>
      <c r="H2687">
        <f t="shared" si="540"/>
        <v>-6.382678892666336E-3</v>
      </c>
      <c r="I2687" t="str">
        <f t="shared" si="534"/>
        <v>2020-10</v>
      </c>
      <c r="K2687">
        <v>13018.99</v>
      </c>
      <c r="L2687">
        <f t="shared" si="541"/>
        <v>-9.1309403617958248E-3</v>
      </c>
      <c r="M2687" t="str">
        <f t="shared" si="535"/>
        <v>2020-10</v>
      </c>
      <c r="O2687">
        <v>6591.8621400000002</v>
      </c>
      <c r="P2687">
        <f t="shared" si="542"/>
        <v>-6.9060700980565076E-3</v>
      </c>
      <c r="Q2687" t="str">
        <f t="shared" si="536"/>
        <v>2020-10</v>
      </c>
      <c r="S2687">
        <v>6875.2</v>
      </c>
      <c r="T2687">
        <f t="shared" si="543"/>
        <v>-1.0964800079755215E-2</v>
      </c>
      <c r="U2687" t="str">
        <f t="shared" si="537"/>
        <v>2020-10</v>
      </c>
      <c r="W2687">
        <v>19558.689999999999</v>
      </c>
      <c r="X2687">
        <f t="shared" si="544"/>
        <v>-8.1512850553278181E-3</v>
      </c>
      <c r="Y2687">
        <f t="shared" si="545"/>
        <v>-8.1181534142343425E-3</v>
      </c>
      <c r="Z2687" t="str">
        <f t="shared" si="538"/>
        <v>2020-10</v>
      </c>
    </row>
    <row r="2688" spans="1:26" x14ac:dyDescent="0.35">
      <c r="A2688" s="1">
        <v>44118</v>
      </c>
      <c r="C2688">
        <v>3273.28</v>
      </c>
      <c r="D2688">
        <f t="shared" si="539"/>
        <v>-1.8039003925611574E-3</v>
      </c>
      <c r="E2688" t="str">
        <f t="shared" si="533"/>
        <v>2020-10</v>
      </c>
      <c r="G2688">
        <v>4941.66</v>
      </c>
      <c r="H2688">
        <f t="shared" si="540"/>
        <v>-1.2033245564053465E-3</v>
      </c>
      <c r="I2688" t="str">
        <f t="shared" si="534"/>
        <v>2020-10</v>
      </c>
      <c r="K2688">
        <v>13028.06</v>
      </c>
      <c r="L2688">
        <f t="shared" si="541"/>
        <v>6.9643206171847015E-4</v>
      </c>
      <c r="M2688" t="str">
        <f t="shared" si="535"/>
        <v>2020-10</v>
      </c>
      <c r="O2688">
        <v>6573.9716600000002</v>
      </c>
      <c r="P2688">
        <f t="shared" si="542"/>
        <v>-2.717714849408177E-3</v>
      </c>
      <c r="Q2688" t="str">
        <f t="shared" si="536"/>
        <v>2020-10</v>
      </c>
      <c r="S2688">
        <v>6916.6</v>
      </c>
      <c r="T2688">
        <f t="shared" si="543"/>
        <v>6.00358536933609E-3</v>
      </c>
      <c r="U2688" t="str">
        <f t="shared" si="537"/>
        <v>2020-10</v>
      </c>
      <c r="W2688">
        <v>19607.73</v>
      </c>
      <c r="X2688">
        <f t="shared" si="544"/>
        <v>2.5041872924456755E-3</v>
      </c>
      <c r="Y2688">
        <f t="shared" si="545"/>
        <v>2.5073253883568314E-3</v>
      </c>
      <c r="Z2688" t="str">
        <f t="shared" si="538"/>
        <v>2020-10</v>
      </c>
    </row>
    <row r="2689" spans="1:26" x14ac:dyDescent="0.35">
      <c r="A2689" s="1">
        <v>44119</v>
      </c>
      <c r="C2689">
        <v>3192.69</v>
      </c>
      <c r="D2689">
        <f t="shared" si="539"/>
        <v>-2.4928718645785997E-2</v>
      </c>
      <c r="E2689" t="str">
        <f t="shared" si="533"/>
        <v>2020-10</v>
      </c>
      <c r="G2689">
        <v>4837.42</v>
      </c>
      <c r="H2689">
        <f t="shared" si="540"/>
        <v>-2.1319786390802294E-2</v>
      </c>
      <c r="I2689" t="str">
        <f t="shared" si="534"/>
        <v>2020-10</v>
      </c>
      <c r="K2689">
        <v>12703.75</v>
      </c>
      <c r="L2689">
        <f t="shared" si="541"/>
        <v>-2.5208267398694736E-2</v>
      </c>
      <c r="M2689" t="str">
        <f t="shared" si="535"/>
        <v>2020-10</v>
      </c>
      <c r="O2689">
        <v>6443.34645</v>
      </c>
      <c r="P2689">
        <f t="shared" si="542"/>
        <v>-2.0070124065055008E-2</v>
      </c>
      <c r="Q2689" t="str">
        <f t="shared" si="536"/>
        <v>2020-10</v>
      </c>
      <c r="S2689">
        <v>6816.8</v>
      </c>
      <c r="T2689">
        <f t="shared" si="543"/>
        <v>-1.4534165876320469E-2</v>
      </c>
      <c r="U2689" t="str">
        <f t="shared" si="537"/>
        <v>2020-10</v>
      </c>
      <c r="W2689">
        <v>19065.439999999999</v>
      </c>
      <c r="X2689">
        <f t="shared" si="544"/>
        <v>-2.8046604257485615E-2</v>
      </c>
      <c r="Y2689">
        <f t="shared" si="545"/>
        <v>-2.7656949580599124E-2</v>
      </c>
      <c r="Z2689" t="str">
        <f t="shared" si="538"/>
        <v>2020-10</v>
      </c>
    </row>
    <row r="2690" spans="1:26" x14ac:dyDescent="0.35">
      <c r="A2690" s="1">
        <v>44120</v>
      </c>
      <c r="C2690">
        <v>3245.47</v>
      </c>
      <c r="D2690">
        <f t="shared" si="539"/>
        <v>1.639635623992727E-2</v>
      </c>
      <c r="E2690" t="str">
        <f t="shared" si="533"/>
        <v>2020-10</v>
      </c>
      <c r="G2690">
        <v>4935.8599999999997</v>
      </c>
      <c r="H2690">
        <f t="shared" si="540"/>
        <v>2.0145402402391592E-2</v>
      </c>
      <c r="I2690" t="str">
        <f t="shared" si="534"/>
        <v>2020-10</v>
      </c>
      <c r="K2690">
        <v>12908.99</v>
      </c>
      <c r="L2690">
        <f t="shared" si="541"/>
        <v>1.6026742401090432E-2</v>
      </c>
      <c r="M2690" t="str">
        <f t="shared" si="535"/>
        <v>2020-10</v>
      </c>
      <c r="O2690">
        <v>6528.2576900000004</v>
      </c>
      <c r="P2690">
        <f t="shared" si="542"/>
        <v>1.3092051207916599E-2</v>
      </c>
      <c r="Q2690" t="str">
        <f t="shared" si="536"/>
        <v>2020-10</v>
      </c>
      <c r="S2690">
        <v>6849.7</v>
      </c>
      <c r="T2690">
        <f t="shared" si="543"/>
        <v>4.8147021630304898E-3</v>
      </c>
      <c r="U2690" t="str">
        <f t="shared" si="537"/>
        <v>2020-10</v>
      </c>
      <c r="W2690">
        <v>19389.68</v>
      </c>
      <c r="X2690">
        <f t="shared" si="544"/>
        <v>1.6863693782456037E-2</v>
      </c>
      <c r="Y2690">
        <f t="shared" si="545"/>
        <v>1.7006688542200003E-2</v>
      </c>
      <c r="Z2690" t="str">
        <f t="shared" si="538"/>
        <v>2020-10</v>
      </c>
    </row>
    <row r="2691" spans="1:26" x14ac:dyDescent="0.35">
      <c r="A2691" s="1">
        <v>44123</v>
      </c>
      <c r="C2691">
        <v>3242.51</v>
      </c>
      <c r="D2691">
        <f t="shared" si="539"/>
        <v>-9.1245663684799629E-4</v>
      </c>
      <c r="E2691" t="str">
        <f t="shared" si="533"/>
        <v>2020-10</v>
      </c>
      <c r="G2691">
        <v>4942.62</v>
      </c>
      <c r="H2691">
        <f t="shared" si="540"/>
        <v>1.3686318249791238E-3</v>
      </c>
      <c r="I2691" t="str">
        <f t="shared" si="534"/>
        <v>2020-10</v>
      </c>
      <c r="K2691">
        <v>12854.66</v>
      </c>
      <c r="L2691">
        <f t="shared" si="541"/>
        <v>-4.2175763554403532E-3</v>
      </c>
      <c r="M2691" t="str">
        <f t="shared" si="535"/>
        <v>2020-10</v>
      </c>
      <c r="O2691">
        <v>6484.0032499999998</v>
      </c>
      <c r="P2691">
        <f t="shared" si="542"/>
        <v>-6.8019863466736467E-3</v>
      </c>
      <c r="Q2691" t="str">
        <f t="shared" si="536"/>
        <v>2020-10</v>
      </c>
      <c r="S2691">
        <v>6860.2</v>
      </c>
      <c r="T2691">
        <f t="shared" si="543"/>
        <v>1.5317401371197396E-3</v>
      </c>
      <c r="U2691" t="str">
        <f t="shared" si="537"/>
        <v>2020-10</v>
      </c>
      <c r="W2691">
        <v>19374.21</v>
      </c>
      <c r="X2691">
        <f t="shared" si="544"/>
        <v>-7.9816555156300587E-4</v>
      </c>
      <c r="Y2691">
        <f t="shared" si="545"/>
        <v>-7.9784710216987409E-4</v>
      </c>
      <c r="Z2691" t="str">
        <f t="shared" si="538"/>
        <v>2020-10</v>
      </c>
    </row>
    <row r="2692" spans="1:26" x14ac:dyDescent="0.35">
      <c r="A2692" s="1">
        <v>44124</v>
      </c>
      <c r="C2692">
        <v>3227.87</v>
      </c>
      <c r="D2692">
        <f t="shared" si="539"/>
        <v>-4.5252442616820297E-3</v>
      </c>
      <c r="E2692" t="str">
        <f t="shared" ref="E2692:E2755" si="546">_xlfn.CONCAT(YEAR(A2692),"-",TEXT(MONTH(A2692),"00"))</f>
        <v>2020-10</v>
      </c>
      <c r="G2692">
        <v>4929.28</v>
      </c>
      <c r="H2692">
        <f t="shared" si="540"/>
        <v>-2.7026222145276973E-3</v>
      </c>
      <c r="I2692" t="str">
        <f t="shared" ref="I2692:I2755" si="547">_xlfn.CONCAT(YEAR(A2692),"-",TEXT(MONTH(A2692),"00"))</f>
        <v>2020-10</v>
      </c>
      <c r="K2692">
        <v>12736.95</v>
      </c>
      <c r="L2692">
        <f t="shared" si="541"/>
        <v>-9.1991734867423857E-3</v>
      </c>
      <c r="M2692" t="str">
        <f t="shared" ref="M2692:M2755" si="548">_xlfn.CONCAT(YEAR(A2692),"-",TEXT(MONTH(A2692),"00"))</f>
        <v>2020-10</v>
      </c>
      <c r="O2692">
        <v>6443.4350899999999</v>
      </c>
      <c r="P2692">
        <f t="shared" si="542"/>
        <v>-6.2763081292418026E-3</v>
      </c>
      <c r="Q2692" t="str">
        <f t="shared" ref="Q2692:Q2755" si="549">_xlfn.CONCAT(YEAR(A2692),"-",TEXT(MONTH(A2692),"00"))</f>
        <v>2020-10</v>
      </c>
      <c r="S2692">
        <v>6927.3</v>
      </c>
      <c r="T2692">
        <f t="shared" si="543"/>
        <v>9.7335310625945581E-3</v>
      </c>
      <c r="U2692" t="str">
        <f t="shared" ref="U2692:U2755" si="550">_xlfn.CONCAT(YEAR(A2692),"-",TEXT(MONTH(A2692),"00"))</f>
        <v>2020-10</v>
      </c>
      <c r="W2692">
        <v>19482.13</v>
      </c>
      <c r="X2692">
        <f t="shared" si="544"/>
        <v>5.5548349381271331E-3</v>
      </c>
      <c r="Y2692">
        <f t="shared" si="545"/>
        <v>5.5702916402785921E-3</v>
      </c>
      <c r="Z2692" t="str">
        <f t="shared" ref="Z2692:Z2755" si="551">_xlfn.CONCAT(YEAR(A2692),"-",TEXT(MONTH(A2692),"00"))</f>
        <v>2020-10</v>
      </c>
    </row>
    <row r="2693" spans="1:26" x14ac:dyDescent="0.35">
      <c r="A2693" s="1">
        <v>44125</v>
      </c>
      <c r="C2693">
        <v>3180.7</v>
      </c>
      <c r="D2693">
        <f t="shared" ref="D2693:D2756" si="552">LN(C2693/C2692)</f>
        <v>-1.4721178627993855E-2</v>
      </c>
      <c r="E2693" t="str">
        <f t="shared" si="546"/>
        <v>2020-10</v>
      </c>
      <c r="G2693">
        <v>4853.95</v>
      </c>
      <c r="H2693">
        <f t="shared" ref="H2693:H2756" si="553">LN(G2693/G2692)</f>
        <v>-1.5400126295800854E-2</v>
      </c>
      <c r="I2693" t="str">
        <f t="shared" si="547"/>
        <v>2020-10</v>
      </c>
      <c r="K2693">
        <v>12557.64</v>
      </c>
      <c r="L2693">
        <f t="shared" ref="L2693:L2756" si="554">LN(K2693/K2692)</f>
        <v>-1.4177972732923807E-2</v>
      </c>
      <c r="M2693" t="str">
        <f t="shared" si="548"/>
        <v>2020-10</v>
      </c>
      <c r="O2693">
        <v>6400.6577799999995</v>
      </c>
      <c r="P2693">
        <f t="shared" ref="P2693:P2756" si="555">LN(O2693/O2692)</f>
        <v>-6.661033768552072E-3</v>
      </c>
      <c r="Q2693" t="str">
        <f t="shared" si="549"/>
        <v>2020-10</v>
      </c>
      <c r="S2693">
        <v>6811.5</v>
      </c>
      <c r="T2693">
        <f t="shared" ref="T2693:T2756" si="556">LN(S2693/S2692)</f>
        <v>-1.6857766670375612E-2</v>
      </c>
      <c r="U2693" t="str">
        <f t="shared" si="550"/>
        <v>2020-10</v>
      </c>
      <c r="W2693">
        <v>19085.95</v>
      </c>
      <c r="X2693">
        <f t="shared" ref="X2693:X2756" si="557">LN(W2693/W2692)</f>
        <v>-2.0545172882330372E-2</v>
      </c>
      <c r="Y2693">
        <f t="shared" ref="Y2693:Y2756" si="558">(W2693-W2692)/W2692</f>
        <v>-2.0335558791569518E-2</v>
      </c>
      <c r="Z2693" t="str">
        <f t="shared" si="551"/>
        <v>2020-10</v>
      </c>
    </row>
    <row r="2694" spans="1:26" x14ac:dyDescent="0.35">
      <c r="A2694" s="1">
        <v>44126</v>
      </c>
      <c r="C2694">
        <v>3171.41</v>
      </c>
      <c r="D2694">
        <f t="shared" si="552"/>
        <v>-2.9250144042038922E-3</v>
      </c>
      <c r="E2694" t="str">
        <f t="shared" si="546"/>
        <v>2020-10</v>
      </c>
      <c r="G2694">
        <v>4851.38</v>
      </c>
      <c r="H2694">
        <f t="shared" si="553"/>
        <v>-5.2960590934461225E-4</v>
      </c>
      <c r="I2694" t="str">
        <f t="shared" si="547"/>
        <v>2020-10</v>
      </c>
      <c r="K2694">
        <v>12543.06</v>
      </c>
      <c r="L2694">
        <f t="shared" si="554"/>
        <v>-1.1617207201199561E-3</v>
      </c>
      <c r="M2694" t="str">
        <f t="shared" si="548"/>
        <v>2020-10</v>
      </c>
      <c r="O2694">
        <v>6409.1416300000001</v>
      </c>
      <c r="P2694">
        <f t="shared" si="555"/>
        <v>1.3245876799303879E-3</v>
      </c>
      <c r="Q2694" t="str">
        <f t="shared" si="549"/>
        <v>2020-10</v>
      </c>
      <c r="S2694">
        <v>6796.6</v>
      </c>
      <c r="T2694">
        <f t="shared" si="556"/>
        <v>-2.1898730835996417E-3</v>
      </c>
      <c r="U2694" t="str">
        <f t="shared" si="550"/>
        <v>2020-10</v>
      </c>
      <c r="W2694">
        <v>19076.95</v>
      </c>
      <c r="X2694">
        <f t="shared" si="557"/>
        <v>-4.7166227759672E-4</v>
      </c>
      <c r="Y2694">
        <f t="shared" si="558"/>
        <v>-4.7155106243074093E-4</v>
      </c>
      <c r="Z2694" t="str">
        <f t="shared" si="551"/>
        <v>2020-10</v>
      </c>
    </row>
    <row r="2695" spans="1:26" x14ac:dyDescent="0.35">
      <c r="A2695" s="1">
        <v>44127</v>
      </c>
      <c r="C2695">
        <v>3198.86</v>
      </c>
      <c r="D2695">
        <f t="shared" si="552"/>
        <v>8.6182123836556646E-3</v>
      </c>
      <c r="E2695" t="str">
        <f t="shared" si="546"/>
        <v>2020-10</v>
      </c>
      <c r="G2695">
        <v>4909.6400000000003</v>
      </c>
      <c r="H2695">
        <f t="shared" si="553"/>
        <v>1.1937418803651744E-2</v>
      </c>
      <c r="I2695" t="str">
        <f t="shared" si="547"/>
        <v>2020-10</v>
      </c>
      <c r="K2695">
        <v>12645.75</v>
      </c>
      <c r="L2695">
        <f t="shared" si="554"/>
        <v>8.153665768359665E-3</v>
      </c>
      <c r="M2695" t="str">
        <f t="shared" si="548"/>
        <v>2020-10</v>
      </c>
      <c r="O2695">
        <v>6448.6337000000003</v>
      </c>
      <c r="P2695">
        <f t="shared" si="555"/>
        <v>6.1429280220415671E-3</v>
      </c>
      <c r="Q2695" t="str">
        <f t="shared" si="549"/>
        <v>2020-10</v>
      </c>
      <c r="S2695">
        <v>6893.4</v>
      </c>
      <c r="T2695">
        <f t="shared" si="556"/>
        <v>1.4141944964858214E-2</v>
      </c>
      <c r="U2695" t="str">
        <f t="shared" si="550"/>
        <v>2020-10</v>
      </c>
      <c r="W2695">
        <v>19285.41</v>
      </c>
      <c r="X2695">
        <f t="shared" si="557"/>
        <v>1.0868051488095753E-2</v>
      </c>
      <c r="Y2695">
        <f t="shared" si="558"/>
        <v>1.0927323288051766E-2</v>
      </c>
      <c r="Z2695" t="str">
        <f t="shared" si="551"/>
        <v>2020-10</v>
      </c>
    </row>
    <row r="2696" spans="1:26" x14ac:dyDescent="0.35">
      <c r="A2696" s="1">
        <v>44130</v>
      </c>
      <c r="C2696">
        <v>3105.25</v>
      </c>
      <c r="D2696">
        <f t="shared" si="552"/>
        <v>-2.9700268891408553E-2</v>
      </c>
      <c r="E2696" t="str">
        <f t="shared" si="546"/>
        <v>2020-10</v>
      </c>
      <c r="G2696">
        <v>4816.12</v>
      </c>
      <c r="H2696">
        <f t="shared" si="553"/>
        <v>-1.923199472318415E-2</v>
      </c>
      <c r="I2696" t="str">
        <f t="shared" si="547"/>
        <v>2020-10</v>
      </c>
      <c r="K2696">
        <v>12177.18</v>
      </c>
      <c r="L2696">
        <f t="shared" si="554"/>
        <v>-3.7757481962442961E-2</v>
      </c>
      <c r="M2696" t="str">
        <f t="shared" si="548"/>
        <v>2020-10</v>
      </c>
      <c r="O2696">
        <v>6383.6616599999998</v>
      </c>
      <c r="P2696">
        <f t="shared" si="555"/>
        <v>-1.0126418288531629E-2</v>
      </c>
      <c r="Q2696" t="str">
        <f t="shared" si="549"/>
        <v>2020-10</v>
      </c>
      <c r="S2696">
        <v>6796.9</v>
      </c>
      <c r="T2696">
        <f t="shared" si="556"/>
        <v>-1.4097806222069768E-2</v>
      </c>
      <c r="U2696" t="str">
        <f t="shared" si="550"/>
        <v>2020-10</v>
      </c>
      <c r="W2696">
        <v>18945.14</v>
      </c>
      <c r="X2696">
        <f t="shared" si="557"/>
        <v>-1.7801417224992844E-2</v>
      </c>
      <c r="Y2696">
        <f t="shared" si="558"/>
        <v>-1.7643908011289386E-2</v>
      </c>
      <c r="Z2696" t="str">
        <f t="shared" si="551"/>
        <v>2020-10</v>
      </c>
    </row>
    <row r="2697" spans="1:26" x14ac:dyDescent="0.35">
      <c r="A2697" s="1">
        <v>44131</v>
      </c>
      <c r="C2697">
        <v>3070.6</v>
      </c>
      <c r="D2697">
        <f t="shared" si="552"/>
        <v>-1.1221245199504463E-2</v>
      </c>
      <c r="E2697" t="str">
        <f t="shared" si="546"/>
        <v>2020-10</v>
      </c>
      <c r="G2697">
        <v>4730.66</v>
      </c>
      <c r="H2697">
        <f t="shared" si="553"/>
        <v>-1.7903896986143461E-2</v>
      </c>
      <c r="I2697" t="str">
        <f t="shared" si="547"/>
        <v>2020-10</v>
      </c>
      <c r="K2697">
        <v>12063.57</v>
      </c>
      <c r="L2697">
        <f t="shared" si="554"/>
        <v>-9.3735409873289943E-3</v>
      </c>
      <c r="M2697" t="str">
        <f t="shared" si="548"/>
        <v>2020-10</v>
      </c>
      <c r="O2697">
        <v>6329.7466700000004</v>
      </c>
      <c r="P2697">
        <f t="shared" si="555"/>
        <v>-8.4816458046397883E-3</v>
      </c>
      <c r="Q2697" t="str">
        <f t="shared" si="549"/>
        <v>2020-10</v>
      </c>
      <c r="S2697">
        <v>6651.3</v>
      </c>
      <c r="T2697">
        <f t="shared" si="556"/>
        <v>-2.1654301599030229E-2</v>
      </c>
      <c r="U2697" t="str">
        <f t="shared" si="550"/>
        <v>2020-10</v>
      </c>
      <c r="W2697">
        <v>18654.95</v>
      </c>
      <c r="X2697">
        <f t="shared" si="557"/>
        <v>-1.5435907832928345E-2</v>
      </c>
      <c r="Y2697">
        <f t="shared" si="558"/>
        <v>-1.53173848279822E-2</v>
      </c>
      <c r="Z2697" t="str">
        <f t="shared" si="551"/>
        <v>2020-10</v>
      </c>
    </row>
    <row r="2698" spans="1:26" x14ac:dyDescent="0.35">
      <c r="A2698" s="1">
        <v>44132</v>
      </c>
      <c r="C2698">
        <v>2963.54</v>
      </c>
      <c r="D2698">
        <f t="shared" si="552"/>
        <v>-3.5488482534428586E-2</v>
      </c>
      <c r="E2698" t="str">
        <f t="shared" si="546"/>
        <v>2020-10</v>
      </c>
      <c r="G2698">
        <v>4571.12</v>
      </c>
      <c r="H2698">
        <f t="shared" si="553"/>
        <v>-3.4306476187290449E-2</v>
      </c>
      <c r="I2698" t="str">
        <f t="shared" si="547"/>
        <v>2020-10</v>
      </c>
      <c r="K2698">
        <v>11560.51</v>
      </c>
      <c r="L2698">
        <f t="shared" si="554"/>
        <v>-4.2595187476155275E-2</v>
      </c>
      <c r="M2698" t="str">
        <f t="shared" si="548"/>
        <v>2020-10</v>
      </c>
      <c r="O2698">
        <v>6171.4383500000004</v>
      </c>
      <c r="P2698">
        <f t="shared" si="555"/>
        <v>-2.5328284133880153E-2</v>
      </c>
      <c r="Q2698" t="str">
        <f t="shared" si="549"/>
        <v>2020-10</v>
      </c>
      <c r="S2698">
        <v>6474.4</v>
      </c>
      <c r="T2698">
        <f t="shared" si="556"/>
        <v>-2.6956385084782004E-2</v>
      </c>
      <c r="U2698" t="str">
        <f t="shared" si="550"/>
        <v>2020-10</v>
      </c>
      <c r="W2698">
        <v>17897.79</v>
      </c>
      <c r="X2698">
        <f t="shared" si="557"/>
        <v>-4.1434284885656529E-2</v>
      </c>
      <c r="Y2698">
        <f t="shared" si="558"/>
        <v>-4.0587618835751363E-2</v>
      </c>
      <c r="Z2698" t="str">
        <f t="shared" si="551"/>
        <v>2020-10</v>
      </c>
    </row>
    <row r="2699" spans="1:26" x14ac:dyDescent="0.35">
      <c r="A2699" s="1">
        <v>44133</v>
      </c>
      <c r="C2699">
        <v>2960.03</v>
      </c>
      <c r="D2699">
        <f t="shared" si="552"/>
        <v>-1.1850962884889804E-3</v>
      </c>
      <c r="E2699" t="str">
        <f t="shared" si="546"/>
        <v>2020-10</v>
      </c>
      <c r="G2699">
        <v>4569.67</v>
      </c>
      <c r="H2699">
        <f t="shared" si="553"/>
        <v>-3.1725923299015058E-4</v>
      </c>
      <c r="I2699" t="str">
        <f t="shared" si="547"/>
        <v>2020-10</v>
      </c>
      <c r="K2699">
        <v>11598.07</v>
      </c>
      <c r="L2699">
        <f t="shared" si="554"/>
        <v>3.2437250412656739E-3</v>
      </c>
      <c r="M2699" t="str">
        <f t="shared" si="548"/>
        <v>2020-10</v>
      </c>
      <c r="O2699">
        <v>6179.2816499999999</v>
      </c>
      <c r="P2699">
        <f t="shared" si="555"/>
        <v>1.2700961651409336E-3</v>
      </c>
      <c r="Q2699" t="str">
        <f t="shared" si="549"/>
        <v>2020-10</v>
      </c>
      <c r="S2699">
        <v>6411.8</v>
      </c>
      <c r="T2699">
        <f t="shared" si="556"/>
        <v>-9.7158964544215454E-3</v>
      </c>
      <c r="U2699" t="str">
        <f t="shared" si="550"/>
        <v>2020-10</v>
      </c>
      <c r="W2699">
        <v>17872.28</v>
      </c>
      <c r="X2699">
        <f t="shared" si="557"/>
        <v>-1.4263323680858021E-3</v>
      </c>
      <c r="Y2699">
        <f t="shared" si="558"/>
        <v>-1.4253156395287929E-3</v>
      </c>
      <c r="Z2699" t="str">
        <f t="shared" si="551"/>
        <v>2020-10</v>
      </c>
    </row>
    <row r="2700" spans="1:26" x14ac:dyDescent="0.35">
      <c r="A2700" s="1">
        <v>44134</v>
      </c>
      <c r="C2700">
        <v>2958.21</v>
      </c>
      <c r="D2700">
        <f t="shared" si="552"/>
        <v>-6.1504773627737324E-4</v>
      </c>
      <c r="E2700" t="str">
        <f t="shared" si="546"/>
        <v>2020-10</v>
      </c>
      <c r="G2700">
        <v>4594.24</v>
      </c>
      <c r="H2700">
        <f t="shared" si="553"/>
        <v>5.3623527239965128E-3</v>
      </c>
      <c r="I2700" t="str">
        <f t="shared" si="547"/>
        <v>2020-10</v>
      </c>
      <c r="K2700">
        <v>11556.48</v>
      </c>
      <c r="L2700">
        <f t="shared" si="554"/>
        <v>-3.592386354077372E-3</v>
      </c>
      <c r="M2700" t="str">
        <f t="shared" si="548"/>
        <v>2020-10</v>
      </c>
      <c r="O2700">
        <v>6197.9244699999999</v>
      </c>
      <c r="P2700">
        <f t="shared" si="555"/>
        <v>3.0124462528334089E-3</v>
      </c>
      <c r="Q2700" t="str">
        <f t="shared" si="549"/>
        <v>2020-10</v>
      </c>
      <c r="S2700">
        <v>6452.2</v>
      </c>
      <c r="T2700">
        <f t="shared" si="556"/>
        <v>6.2811151777082425E-3</v>
      </c>
      <c r="U2700" t="str">
        <f t="shared" si="550"/>
        <v>2020-10</v>
      </c>
      <c r="W2700">
        <v>17943.11</v>
      </c>
      <c r="X2700">
        <f t="shared" si="557"/>
        <v>3.9552880669722701E-3</v>
      </c>
      <c r="Y2700">
        <f t="shared" si="558"/>
        <v>3.9631205419790733E-3</v>
      </c>
      <c r="Z2700" t="str">
        <f t="shared" si="551"/>
        <v>2020-10</v>
      </c>
    </row>
    <row r="2701" spans="1:26" x14ac:dyDescent="0.35">
      <c r="A2701" s="1">
        <v>44137</v>
      </c>
      <c r="C2701">
        <v>3019.54</v>
      </c>
      <c r="D2701">
        <f t="shared" si="552"/>
        <v>2.0520146220970373E-2</v>
      </c>
      <c r="E2701" t="str">
        <f t="shared" si="546"/>
        <v>2020-11</v>
      </c>
      <c r="G2701">
        <v>4691.1400000000003</v>
      </c>
      <c r="H2701">
        <f t="shared" si="553"/>
        <v>2.0872278326655107E-2</v>
      </c>
      <c r="I2701" t="str">
        <f t="shared" si="547"/>
        <v>2020-11</v>
      </c>
      <c r="K2701">
        <v>11788.28</v>
      </c>
      <c r="L2701">
        <f t="shared" si="554"/>
        <v>1.9859498957148319E-2</v>
      </c>
      <c r="M2701" t="str">
        <f t="shared" si="548"/>
        <v>2020-11</v>
      </c>
      <c r="O2701">
        <v>6276.00515</v>
      </c>
      <c r="P2701">
        <f t="shared" si="555"/>
        <v>1.2519182354599107E-2</v>
      </c>
      <c r="Q2701" t="str">
        <f t="shared" si="549"/>
        <v>2020-11</v>
      </c>
      <c r="S2701">
        <v>6585.6</v>
      </c>
      <c r="T2701">
        <f t="shared" si="556"/>
        <v>2.0464289294897135E-2</v>
      </c>
      <c r="U2701" t="str">
        <f t="shared" si="550"/>
        <v>2020-11</v>
      </c>
      <c r="W2701">
        <v>18400.03</v>
      </c>
      <c r="X2701">
        <f t="shared" si="557"/>
        <v>2.5146097812216803E-2</v>
      </c>
      <c r="Y2701">
        <f t="shared" si="558"/>
        <v>2.5464927763358652E-2</v>
      </c>
      <c r="Z2701" t="str">
        <f t="shared" si="551"/>
        <v>2020-11</v>
      </c>
    </row>
    <row r="2702" spans="1:26" x14ac:dyDescent="0.35">
      <c r="A2702" s="1">
        <v>44138</v>
      </c>
      <c r="C2702">
        <v>3098.72</v>
      </c>
      <c r="D2702">
        <f t="shared" si="552"/>
        <v>2.5884621092847632E-2</v>
      </c>
      <c r="E2702" t="str">
        <f t="shared" si="546"/>
        <v>2020-11</v>
      </c>
      <c r="G2702">
        <v>4805.6099999999997</v>
      </c>
      <c r="H2702">
        <f t="shared" si="553"/>
        <v>2.4108362173412414E-2</v>
      </c>
      <c r="I2702" t="str">
        <f t="shared" si="547"/>
        <v>2020-11</v>
      </c>
      <c r="K2702">
        <v>12088.98</v>
      </c>
      <c r="L2702">
        <f t="shared" si="554"/>
        <v>2.5188476259455337E-2</v>
      </c>
      <c r="M2702" t="str">
        <f t="shared" si="548"/>
        <v>2020-11</v>
      </c>
      <c r="O2702">
        <v>6444.5147399999996</v>
      </c>
      <c r="P2702">
        <f t="shared" si="555"/>
        <v>2.6495685624933207E-2</v>
      </c>
      <c r="Q2702" t="str">
        <f t="shared" si="549"/>
        <v>2020-11</v>
      </c>
      <c r="S2702">
        <v>6751.6</v>
      </c>
      <c r="T2702">
        <f t="shared" si="556"/>
        <v>2.4894066615097014E-2</v>
      </c>
      <c r="U2702" t="str">
        <f t="shared" si="550"/>
        <v>2020-11</v>
      </c>
      <c r="W2702">
        <v>18986.240000000002</v>
      </c>
      <c r="X2702">
        <f t="shared" si="557"/>
        <v>3.136221122460791E-2</v>
      </c>
      <c r="Y2702">
        <f t="shared" si="558"/>
        <v>3.1859187186108001E-2</v>
      </c>
      <c r="Z2702" t="str">
        <f t="shared" si="551"/>
        <v>2020-11</v>
      </c>
    </row>
    <row r="2703" spans="1:26" x14ac:dyDescent="0.35">
      <c r="A2703" s="1">
        <v>44139</v>
      </c>
      <c r="C2703">
        <v>3161.07</v>
      </c>
      <c r="D2703">
        <f t="shared" si="552"/>
        <v>1.9921454881858942E-2</v>
      </c>
      <c r="E2703" t="str">
        <f t="shared" si="546"/>
        <v>2020-11</v>
      </c>
      <c r="G2703">
        <v>4922.8500000000004</v>
      </c>
      <c r="H2703">
        <f t="shared" si="553"/>
        <v>2.4103645628526137E-2</v>
      </c>
      <c r="I2703" t="str">
        <f t="shared" si="547"/>
        <v>2020-11</v>
      </c>
      <c r="K2703">
        <v>12324.22</v>
      </c>
      <c r="L2703">
        <f t="shared" si="554"/>
        <v>1.9272138100125777E-2</v>
      </c>
      <c r="M2703" t="str">
        <f t="shared" si="548"/>
        <v>2020-11</v>
      </c>
      <c r="O2703">
        <v>6527.0789800000002</v>
      </c>
      <c r="P2703">
        <f t="shared" si="555"/>
        <v>1.2730179003718652E-2</v>
      </c>
      <c r="Q2703" t="str">
        <f t="shared" si="549"/>
        <v>2020-11</v>
      </c>
      <c r="S2703">
        <v>6781.9</v>
      </c>
      <c r="T2703">
        <f t="shared" si="556"/>
        <v>4.4777848490987699E-3</v>
      </c>
      <c r="U2703" t="str">
        <f t="shared" si="550"/>
        <v>2020-11</v>
      </c>
      <c r="W2703">
        <v>19358.28</v>
      </c>
      <c r="X2703">
        <f t="shared" si="557"/>
        <v>1.9405728653452227E-2</v>
      </c>
      <c r="Y2703">
        <f t="shared" si="558"/>
        <v>1.9595243713341724E-2</v>
      </c>
      <c r="Z2703" t="str">
        <f t="shared" si="551"/>
        <v>2020-11</v>
      </c>
    </row>
    <row r="2704" spans="1:26" x14ac:dyDescent="0.35">
      <c r="A2704" s="1">
        <v>44140</v>
      </c>
      <c r="C2704">
        <v>3215.56</v>
      </c>
      <c r="D2704">
        <f t="shared" si="552"/>
        <v>1.7090948157026557E-2</v>
      </c>
      <c r="E2704" t="str">
        <f t="shared" si="546"/>
        <v>2020-11</v>
      </c>
      <c r="G2704">
        <v>4983.99</v>
      </c>
      <c r="H2704">
        <f t="shared" si="553"/>
        <v>1.2343143976807709E-2</v>
      </c>
      <c r="I2704" t="str">
        <f t="shared" si="547"/>
        <v>2020-11</v>
      </c>
      <c r="K2704">
        <v>12568.09</v>
      </c>
      <c r="L2704">
        <f t="shared" si="554"/>
        <v>1.9594630049547691E-2</v>
      </c>
      <c r="M2704" t="str">
        <f t="shared" si="548"/>
        <v>2020-11</v>
      </c>
      <c r="O2704">
        <v>6555.19427</v>
      </c>
      <c r="P2704">
        <f t="shared" si="555"/>
        <v>4.2982336094192124E-3</v>
      </c>
      <c r="Q2704" t="str">
        <f t="shared" si="549"/>
        <v>2020-11</v>
      </c>
      <c r="S2704">
        <v>6924.2</v>
      </c>
      <c r="T2704">
        <f t="shared" si="556"/>
        <v>2.0765223252614241E-2</v>
      </c>
      <c r="U2704" t="str">
        <f t="shared" si="550"/>
        <v>2020-11</v>
      </c>
      <c r="W2704">
        <v>19731.38</v>
      </c>
      <c r="X2704">
        <f t="shared" si="557"/>
        <v>1.9090026909424986E-2</v>
      </c>
      <c r="Y2704">
        <f t="shared" si="558"/>
        <v>1.9273406521653897E-2</v>
      </c>
      <c r="Z2704" t="str">
        <f t="shared" si="551"/>
        <v>2020-11</v>
      </c>
    </row>
    <row r="2705" spans="1:26" x14ac:dyDescent="0.35">
      <c r="A2705" s="1">
        <v>44141</v>
      </c>
      <c r="C2705">
        <v>3204.05</v>
      </c>
      <c r="D2705">
        <f t="shared" si="552"/>
        <v>-3.5858914586880909E-3</v>
      </c>
      <c r="E2705" t="str">
        <f t="shared" si="546"/>
        <v>2020-11</v>
      </c>
      <c r="G2705">
        <v>4960.88</v>
      </c>
      <c r="H2705">
        <f t="shared" si="553"/>
        <v>-4.6476307078708902E-3</v>
      </c>
      <c r="I2705" t="str">
        <f t="shared" si="547"/>
        <v>2020-11</v>
      </c>
      <c r="K2705">
        <v>12480.02</v>
      </c>
      <c r="L2705">
        <f t="shared" si="554"/>
        <v>-7.0320964675008946E-3</v>
      </c>
      <c r="M2705" t="str">
        <f t="shared" si="548"/>
        <v>2020-11</v>
      </c>
      <c r="O2705">
        <v>6543.2541899999997</v>
      </c>
      <c r="P2705">
        <f t="shared" si="555"/>
        <v>-1.823129410123181E-3</v>
      </c>
      <c r="Q2705" t="str">
        <f t="shared" si="549"/>
        <v>2020-11</v>
      </c>
      <c r="S2705">
        <v>6870.4</v>
      </c>
      <c r="T2705">
        <f t="shared" si="556"/>
        <v>-7.8001932320238693E-3</v>
      </c>
      <c r="U2705" t="str">
        <f t="shared" si="550"/>
        <v>2020-11</v>
      </c>
      <c r="W2705">
        <v>19681.68</v>
      </c>
      <c r="X2705">
        <f t="shared" si="557"/>
        <v>-2.5220080015694885E-3</v>
      </c>
      <c r="Y2705">
        <f t="shared" si="558"/>
        <v>-2.518830411253583E-3</v>
      </c>
      <c r="Z2705" t="str">
        <f t="shared" si="551"/>
        <v>2020-11</v>
      </c>
    </row>
    <row r="2706" spans="1:26" x14ac:dyDescent="0.35">
      <c r="A2706" s="1">
        <v>44144</v>
      </c>
      <c r="C2706">
        <v>3407.91</v>
      </c>
      <c r="D2706">
        <f t="shared" si="552"/>
        <v>6.1683565590173725E-2</v>
      </c>
      <c r="E2706" t="str">
        <f t="shared" si="546"/>
        <v>2020-11</v>
      </c>
      <c r="G2706">
        <v>5336.32</v>
      </c>
      <c r="H2706">
        <f t="shared" si="553"/>
        <v>7.2953132475463048E-2</v>
      </c>
      <c r="I2706" t="str">
        <f t="shared" si="547"/>
        <v>2020-11</v>
      </c>
      <c r="K2706">
        <v>13095.97</v>
      </c>
      <c r="L2706">
        <f t="shared" si="554"/>
        <v>4.8175583786300387E-2</v>
      </c>
      <c r="M2706" t="str">
        <f t="shared" si="548"/>
        <v>2020-11</v>
      </c>
      <c r="O2706">
        <v>6878.2500099999997</v>
      </c>
      <c r="P2706">
        <f t="shared" si="555"/>
        <v>4.9929636294126167E-2</v>
      </c>
      <c r="Q2706" t="str">
        <f t="shared" si="549"/>
        <v>2020-11</v>
      </c>
      <c r="S2706">
        <v>7459.4</v>
      </c>
      <c r="T2706">
        <f t="shared" si="556"/>
        <v>8.2252653324339217E-2</v>
      </c>
      <c r="U2706" t="str">
        <f t="shared" si="550"/>
        <v>2020-11</v>
      </c>
      <c r="W2706">
        <v>20750.18</v>
      </c>
      <c r="X2706">
        <f t="shared" si="557"/>
        <v>5.2866667503568769E-2</v>
      </c>
      <c r="Y2706">
        <f t="shared" si="558"/>
        <v>5.4289064754634769E-2</v>
      </c>
      <c r="Z2706" t="str">
        <f t="shared" si="551"/>
        <v>2020-11</v>
      </c>
    </row>
    <row r="2707" spans="1:26" x14ac:dyDescent="0.35">
      <c r="A2707" s="1">
        <v>44145</v>
      </c>
      <c r="C2707">
        <v>3442.62</v>
      </c>
      <c r="D2707">
        <f t="shared" si="552"/>
        <v>1.013360923327726E-2</v>
      </c>
      <c r="E2707" t="str">
        <f t="shared" si="546"/>
        <v>2020-11</v>
      </c>
      <c r="G2707">
        <v>5418.97</v>
      </c>
      <c r="H2707">
        <f t="shared" si="553"/>
        <v>1.5369483661700505E-2</v>
      </c>
      <c r="I2707" t="str">
        <f t="shared" si="547"/>
        <v>2020-11</v>
      </c>
      <c r="K2707">
        <v>13163.11</v>
      </c>
      <c r="L2707">
        <f t="shared" si="554"/>
        <v>5.1136708755307606E-3</v>
      </c>
      <c r="M2707" t="str">
        <f t="shared" si="548"/>
        <v>2020-11</v>
      </c>
      <c r="O2707">
        <v>7051.7261799999997</v>
      </c>
      <c r="P2707">
        <f t="shared" si="555"/>
        <v>2.4908174501808222E-2</v>
      </c>
      <c r="Q2707" t="str">
        <f t="shared" si="549"/>
        <v>2020-11</v>
      </c>
      <c r="S2707">
        <v>7711.4</v>
      </c>
      <c r="T2707">
        <f t="shared" si="556"/>
        <v>3.3224771425063387E-2</v>
      </c>
      <c r="U2707" t="str">
        <f t="shared" si="550"/>
        <v>2020-11</v>
      </c>
      <c r="W2707">
        <v>20851.580000000002</v>
      </c>
      <c r="X2707">
        <f t="shared" si="557"/>
        <v>4.874803412319894E-3</v>
      </c>
      <c r="Y2707">
        <f t="shared" si="558"/>
        <v>4.8867045972613952E-3</v>
      </c>
      <c r="Z2707" t="str">
        <f t="shared" si="551"/>
        <v>2020-11</v>
      </c>
    </row>
    <row r="2708" spans="1:26" x14ac:dyDescent="0.35">
      <c r="A2708" s="1">
        <v>44146</v>
      </c>
      <c r="C2708">
        <v>3467.3</v>
      </c>
      <c r="D2708">
        <f t="shared" si="552"/>
        <v>7.1433836997694469E-3</v>
      </c>
      <c r="E2708" t="str">
        <f t="shared" si="546"/>
        <v>2020-11</v>
      </c>
      <c r="G2708">
        <v>5445.21</v>
      </c>
      <c r="H2708">
        <f t="shared" si="553"/>
        <v>4.8305626424440347E-3</v>
      </c>
      <c r="I2708" t="str">
        <f t="shared" si="547"/>
        <v>2020-11</v>
      </c>
      <c r="K2708">
        <v>13216.18</v>
      </c>
      <c r="L2708">
        <f t="shared" si="554"/>
        <v>4.0236163746630686E-3</v>
      </c>
      <c r="M2708" t="str">
        <f t="shared" si="548"/>
        <v>2020-11</v>
      </c>
      <c r="O2708">
        <v>7156.7556400000003</v>
      </c>
      <c r="P2708">
        <f t="shared" si="555"/>
        <v>1.4784320295627942E-2</v>
      </c>
      <c r="Q2708" t="str">
        <f t="shared" si="549"/>
        <v>2020-11</v>
      </c>
      <c r="S2708">
        <v>7793.7</v>
      </c>
      <c r="T2708">
        <f t="shared" si="556"/>
        <v>1.0615961576950781E-2</v>
      </c>
      <c r="U2708" t="str">
        <f t="shared" si="550"/>
        <v>2020-11</v>
      </c>
      <c r="W2708">
        <v>20993.02</v>
      </c>
      <c r="X2708">
        <f t="shared" si="557"/>
        <v>6.7602767700526709E-3</v>
      </c>
      <c r="Y2708">
        <f t="shared" si="558"/>
        <v>6.7831790204866335E-3</v>
      </c>
      <c r="Z2708" t="str">
        <f t="shared" si="551"/>
        <v>2020-11</v>
      </c>
    </row>
    <row r="2709" spans="1:26" x14ac:dyDescent="0.35">
      <c r="A2709" s="1">
        <v>44147</v>
      </c>
      <c r="C2709">
        <v>3428.2</v>
      </c>
      <c r="D2709">
        <f t="shared" si="552"/>
        <v>-1.1340851009882727E-2</v>
      </c>
      <c r="E2709" t="str">
        <f t="shared" si="546"/>
        <v>2020-11</v>
      </c>
      <c r="G2709">
        <v>5362.57</v>
      </c>
      <c r="H2709">
        <f t="shared" si="553"/>
        <v>-1.5292985352338882E-2</v>
      </c>
      <c r="I2709" t="str">
        <f t="shared" si="547"/>
        <v>2020-11</v>
      </c>
      <c r="K2709">
        <v>13052.95</v>
      </c>
      <c r="L2709">
        <f t="shared" si="554"/>
        <v>-1.2427674678319407E-2</v>
      </c>
      <c r="M2709" t="str">
        <f t="shared" si="548"/>
        <v>2020-11</v>
      </c>
      <c r="O2709">
        <v>7045.8929699999999</v>
      </c>
      <c r="P2709">
        <f t="shared" si="555"/>
        <v>-1.5611865751471426E-2</v>
      </c>
      <c r="Q2709" t="str">
        <f t="shared" si="549"/>
        <v>2020-11</v>
      </c>
      <c r="S2709">
        <v>7726</v>
      </c>
      <c r="T2709">
        <f t="shared" si="556"/>
        <v>-8.7244507845885121E-3</v>
      </c>
      <c r="U2709" t="str">
        <f t="shared" si="550"/>
        <v>2020-11</v>
      </c>
      <c r="W2709">
        <v>20817.73</v>
      </c>
      <c r="X2709">
        <f t="shared" si="557"/>
        <v>-8.3849740566643086E-3</v>
      </c>
      <c r="Y2709">
        <f t="shared" si="558"/>
        <v>-8.3499182109101431E-3</v>
      </c>
      <c r="Z2709" t="str">
        <f t="shared" si="551"/>
        <v>2020-11</v>
      </c>
    </row>
    <row r="2710" spans="1:26" x14ac:dyDescent="0.35">
      <c r="A2710" s="1">
        <v>44148</v>
      </c>
      <c r="C2710">
        <v>3432.07</v>
      </c>
      <c r="D2710">
        <f t="shared" si="552"/>
        <v>1.1282355972915162E-3</v>
      </c>
      <c r="E2710" t="str">
        <f t="shared" si="546"/>
        <v>2020-11</v>
      </c>
      <c r="G2710">
        <v>5380.16</v>
      </c>
      <c r="H2710">
        <f t="shared" si="553"/>
        <v>3.2747757264349866E-3</v>
      </c>
      <c r="I2710" t="str">
        <f t="shared" si="547"/>
        <v>2020-11</v>
      </c>
      <c r="K2710">
        <v>13076.72</v>
      </c>
      <c r="L2710">
        <f t="shared" si="554"/>
        <v>1.8193881941026384E-3</v>
      </c>
      <c r="M2710" t="str">
        <f t="shared" si="548"/>
        <v>2020-11</v>
      </c>
      <c r="O2710">
        <v>7043.8484099999996</v>
      </c>
      <c r="P2710">
        <f t="shared" si="555"/>
        <v>-2.9021966538765717E-4</v>
      </c>
      <c r="Q2710" t="str">
        <f t="shared" si="549"/>
        <v>2020-11</v>
      </c>
      <c r="S2710">
        <v>7783.7</v>
      </c>
      <c r="T2710">
        <f t="shared" si="556"/>
        <v>7.4405393008118471E-3</v>
      </c>
      <c r="U2710" t="str">
        <f t="shared" si="550"/>
        <v>2020-11</v>
      </c>
      <c r="W2710">
        <v>20903.580000000002</v>
      </c>
      <c r="X2710">
        <f t="shared" si="557"/>
        <v>4.1154087044317587E-3</v>
      </c>
      <c r="Y2710">
        <f t="shared" si="558"/>
        <v>4.1238886276266521E-3</v>
      </c>
      <c r="Z2710" t="str">
        <f t="shared" si="551"/>
        <v>2020-11</v>
      </c>
    </row>
    <row r="2711" spans="1:26" x14ac:dyDescent="0.35">
      <c r="A2711" s="1">
        <v>44151</v>
      </c>
      <c r="C2711">
        <v>3466.21</v>
      </c>
      <c r="D2711">
        <f t="shared" si="552"/>
        <v>9.8982003446155525E-3</v>
      </c>
      <c r="E2711" t="str">
        <f t="shared" si="546"/>
        <v>2020-11</v>
      </c>
      <c r="G2711">
        <v>5471.48</v>
      </c>
      <c r="H2711">
        <f t="shared" si="553"/>
        <v>1.6831033056492514E-2</v>
      </c>
      <c r="I2711" t="str">
        <f t="shared" si="547"/>
        <v>2020-11</v>
      </c>
      <c r="K2711">
        <v>13138.61</v>
      </c>
      <c r="L2711">
        <f t="shared" si="554"/>
        <v>4.7216735385211053E-3</v>
      </c>
      <c r="M2711" t="str">
        <f t="shared" si="548"/>
        <v>2020-11</v>
      </c>
      <c r="O2711">
        <v>7156.0348000000004</v>
      </c>
      <c r="P2711">
        <f t="shared" si="555"/>
        <v>1.5801358727171064E-2</v>
      </c>
      <c r="Q2711" t="str">
        <f t="shared" si="549"/>
        <v>2020-11</v>
      </c>
      <c r="S2711">
        <v>7986.2</v>
      </c>
      <c r="T2711">
        <f t="shared" si="556"/>
        <v>2.5683248609233478E-2</v>
      </c>
      <c r="U2711" t="str">
        <f t="shared" si="550"/>
        <v>2020-11</v>
      </c>
      <c r="W2711">
        <v>21317.01</v>
      </c>
      <c r="X2711">
        <f t="shared" si="557"/>
        <v>1.9584909392091641E-2</v>
      </c>
      <c r="Y2711">
        <f t="shared" si="558"/>
        <v>1.9777951910629501E-2</v>
      </c>
      <c r="Z2711" t="str">
        <f t="shared" si="551"/>
        <v>2020-11</v>
      </c>
    </row>
    <row r="2712" spans="1:26" x14ac:dyDescent="0.35">
      <c r="A2712" s="1">
        <v>44152</v>
      </c>
      <c r="C2712">
        <v>3468.48</v>
      </c>
      <c r="D2712">
        <f t="shared" si="552"/>
        <v>6.5467961252131408E-4</v>
      </c>
      <c r="E2712" t="str">
        <f t="shared" si="546"/>
        <v>2020-11</v>
      </c>
      <c r="G2712">
        <v>5483</v>
      </c>
      <c r="H2712">
        <f t="shared" si="553"/>
        <v>2.1032498569926242E-3</v>
      </c>
      <c r="I2712" t="str">
        <f t="shared" si="547"/>
        <v>2020-11</v>
      </c>
      <c r="K2712">
        <v>13133.47</v>
      </c>
      <c r="L2712">
        <f t="shared" si="554"/>
        <v>-3.9128992189297088E-4</v>
      </c>
      <c r="M2712" t="str">
        <f t="shared" si="548"/>
        <v>2020-11</v>
      </c>
      <c r="O2712">
        <v>7105.2600400000001</v>
      </c>
      <c r="P2712">
        <f t="shared" si="555"/>
        <v>-7.120668229554648E-3</v>
      </c>
      <c r="Q2712" t="str">
        <f t="shared" si="549"/>
        <v>2020-11</v>
      </c>
      <c r="S2712">
        <v>7934.3</v>
      </c>
      <c r="T2712">
        <f t="shared" si="556"/>
        <v>-6.5199188282744572E-3</v>
      </c>
      <c r="U2712" t="str">
        <f t="shared" si="550"/>
        <v>2020-11</v>
      </c>
      <c r="W2712">
        <v>21435.11</v>
      </c>
      <c r="X2712">
        <f t="shared" si="557"/>
        <v>5.5248862704590524E-3</v>
      </c>
      <c r="Y2712">
        <f t="shared" si="558"/>
        <v>5.5401766007522717E-3</v>
      </c>
      <c r="Z2712" t="str">
        <f t="shared" si="551"/>
        <v>2020-11</v>
      </c>
    </row>
    <row r="2713" spans="1:26" x14ac:dyDescent="0.35">
      <c r="A2713" s="1">
        <v>44153</v>
      </c>
      <c r="C2713">
        <v>3482.17</v>
      </c>
      <c r="D2713">
        <f t="shared" si="552"/>
        <v>3.9392050247646377E-3</v>
      </c>
      <c r="E2713" t="str">
        <f t="shared" si="546"/>
        <v>2020-11</v>
      </c>
      <c r="G2713">
        <v>5511.45</v>
      </c>
      <c r="H2713">
        <f t="shared" si="553"/>
        <v>5.1753500176831852E-3</v>
      </c>
      <c r="I2713" t="str">
        <f t="shared" si="547"/>
        <v>2020-11</v>
      </c>
      <c r="K2713">
        <v>13201.89</v>
      </c>
      <c r="L2713">
        <f t="shared" si="554"/>
        <v>5.1960674879628563E-3</v>
      </c>
      <c r="M2713" t="str">
        <f t="shared" si="548"/>
        <v>2020-11</v>
      </c>
      <c r="O2713">
        <v>7148.5639700000002</v>
      </c>
      <c r="P2713">
        <f t="shared" si="555"/>
        <v>6.076132720467039E-3</v>
      </c>
      <c r="Q2713" t="str">
        <f t="shared" si="549"/>
        <v>2020-11</v>
      </c>
      <c r="S2713">
        <v>7981.5</v>
      </c>
      <c r="T2713">
        <f t="shared" si="556"/>
        <v>5.9312303965361633E-3</v>
      </c>
      <c r="U2713" t="str">
        <f t="shared" si="550"/>
        <v>2020-11</v>
      </c>
      <c r="W2713">
        <v>21622.66</v>
      </c>
      <c r="X2713">
        <f t="shared" si="557"/>
        <v>8.7116070399713575E-3</v>
      </c>
      <c r="Y2713">
        <f t="shared" si="558"/>
        <v>8.7496635193380981E-3</v>
      </c>
      <c r="Z2713" t="str">
        <f t="shared" si="551"/>
        <v>2020-11</v>
      </c>
    </row>
    <row r="2714" spans="1:26" x14ac:dyDescent="0.35">
      <c r="A2714" s="1">
        <v>44154</v>
      </c>
      <c r="C2714">
        <v>3451.97</v>
      </c>
      <c r="D2714">
        <f t="shared" si="552"/>
        <v>-8.7105801007314396E-3</v>
      </c>
      <c r="E2714" t="str">
        <f t="shared" si="546"/>
        <v>2020-11</v>
      </c>
      <c r="G2714">
        <v>5474.66</v>
      </c>
      <c r="H2714">
        <f t="shared" si="553"/>
        <v>-6.6975731219644265E-3</v>
      </c>
      <c r="I2714" t="str">
        <f t="shared" si="547"/>
        <v>2020-11</v>
      </c>
      <c r="K2714">
        <v>13086.16</v>
      </c>
      <c r="L2714">
        <f t="shared" si="554"/>
        <v>-8.804817980893628E-3</v>
      </c>
      <c r="M2714" t="str">
        <f t="shared" si="548"/>
        <v>2020-11</v>
      </c>
      <c r="O2714">
        <v>7077.6174700000001</v>
      </c>
      <c r="P2714">
        <f t="shared" si="555"/>
        <v>-9.9741576426988394E-3</v>
      </c>
      <c r="Q2714" t="str">
        <f t="shared" si="549"/>
        <v>2020-11</v>
      </c>
      <c r="S2714">
        <v>7930.2</v>
      </c>
      <c r="T2714">
        <f t="shared" si="556"/>
        <v>-6.448107712717672E-3</v>
      </c>
      <c r="U2714" t="str">
        <f t="shared" si="550"/>
        <v>2020-11</v>
      </c>
      <c r="W2714">
        <v>21536.240000000002</v>
      </c>
      <c r="X2714">
        <f t="shared" si="557"/>
        <v>-4.0047413395596322E-3</v>
      </c>
      <c r="Y2714">
        <f t="shared" si="558"/>
        <v>-3.9967330568948618E-3</v>
      </c>
      <c r="Z2714" t="str">
        <f t="shared" si="551"/>
        <v>2020-11</v>
      </c>
    </row>
    <row r="2715" spans="1:26" x14ac:dyDescent="0.35">
      <c r="A2715" s="1">
        <v>44155</v>
      </c>
      <c r="C2715">
        <v>3467.6</v>
      </c>
      <c r="D2715">
        <f t="shared" si="552"/>
        <v>4.5176294430672136E-3</v>
      </c>
      <c r="E2715" t="str">
        <f t="shared" si="546"/>
        <v>2020-11</v>
      </c>
      <c r="G2715">
        <v>5495.89</v>
      </c>
      <c r="H2715">
        <f t="shared" si="553"/>
        <v>3.8703668460832231E-3</v>
      </c>
      <c r="I2715" t="str">
        <f t="shared" si="547"/>
        <v>2020-11</v>
      </c>
      <c r="K2715">
        <v>13137.25</v>
      </c>
      <c r="L2715">
        <f t="shared" si="554"/>
        <v>3.8965233462128139E-3</v>
      </c>
      <c r="M2715" t="str">
        <f t="shared" si="548"/>
        <v>2020-11</v>
      </c>
      <c r="O2715">
        <v>7114.4384300000002</v>
      </c>
      <c r="P2715">
        <f t="shared" si="555"/>
        <v>5.1889652743122216E-3</v>
      </c>
      <c r="Q2715" t="str">
        <f t="shared" si="549"/>
        <v>2020-11</v>
      </c>
      <c r="S2715">
        <v>7977.9</v>
      </c>
      <c r="T2715">
        <f t="shared" si="556"/>
        <v>5.9969629251868158E-3</v>
      </c>
      <c r="U2715" t="str">
        <f t="shared" si="550"/>
        <v>2020-11</v>
      </c>
      <c r="W2715">
        <v>21706.959999999999</v>
      </c>
      <c r="X2715">
        <f t="shared" si="557"/>
        <v>7.8958489174021079E-3</v>
      </c>
      <c r="Y2715">
        <f t="shared" si="558"/>
        <v>7.927103338372786E-3</v>
      </c>
      <c r="Z2715" t="str">
        <f t="shared" si="551"/>
        <v>2020-11</v>
      </c>
    </row>
    <row r="2716" spans="1:26" x14ac:dyDescent="0.35">
      <c r="A2716" s="1">
        <v>44158</v>
      </c>
      <c r="C2716">
        <v>3463.04</v>
      </c>
      <c r="D2716">
        <f t="shared" si="552"/>
        <v>-1.3158959801695062E-3</v>
      </c>
      <c r="E2716" t="str">
        <f t="shared" si="546"/>
        <v>2020-11</v>
      </c>
      <c r="G2716">
        <v>5492.15</v>
      </c>
      <c r="H2716">
        <f t="shared" si="553"/>
        <v>-6.8074017648810537E-4</v>
      </c>
      <c r="I2716" t="str">
        <f t="shared" si="547"/>
        <v>2020-11</v>
      </c>
      <c r="K2716">
        <v>13126.97</v>
      </c>
      <c r="L2716">
        <f t="shared" si="554"/>
        <v>-7.8281407366862768E-4</v>
      </c>
      <c r="M2716" t="str">
        <f t="shared" si="548"/>
        <v>2020-11</v>
      </c>
      <c r="O2716">
        <v>7120.6889700000002</v>
      </c>
      <c r="P2716">
        <f t="shared" si="555"/>
        <v>8.7818538269012522E-4</v>
      </c>
      <c r="Q2716" t="str">
        <f t="shared" si="549"/>
        <v>2020-11</v>
      </c>
      <c r="S2716">
        <v>7981.2</v>
      </c>
      <c r="T2716">
        <f t="shared" si="556"/>
        <v>4.135571613728252E-4</v>
      </c>
      <c r="U2716" t="str">
        <f t="shared" si="550"/>
        <v>2020-11</v>
      </c>
      <c r="W2716">
        <v>21701.79</v>
      </c>
      <c r="X2716">
        <f t="shared" si="557"/>
        <v>-2.3820082469287634E-4</v>
      </c>
      <c r="Y2716">
        <f t="shared" si="558"/>
        <v>-2.3817245712887727E-4</v>
      </c>
      <c r="Z2716" t="str">
        <f t="shared" si="551"/>
        <v>2020-11</v>
      </c>
    </row>
    <row r="2717" spans="1:26" x14ac:dyDescent="0.35">
      <c r="A2717" s="1">
        <v>44159</v>
      </c>
      <c r="C2717">
        <v>3507.98</v>
      </c>
      <c r="D2717">
        <f t="shared" si="552"/>
        <v>1.2893557207229839E-2</v>
      </c>
      <c r="E2717" t="str">
        <f t="shared" si="546"/>
        <v>2020-11</v>
      </c>
      <c r="G2717">
        <v>5558.42</v>
      </c>
      <c r="H2717">
        <f t="shared" si="553"/>
        <v>1.1994095228693175E-2</v>
      </c>
      <c r="I2717" t="str">
        <f t="shared" si="547"/>
        <v>2020-11</v>
      </c>
      <c r="K2717">
        <v>13292.44</v>
      </c>
      <c r="L2717">
        <f t="shared" si="554"/>
        <v>1.2526560109965015E-2</v>
      </c>
      <c r="M2717" t="str">
        <f t="shared" si="548"/>
        <v>2020-11</v>
      </c>
      <c r="O2717">
        <v>7228.5390600000001</v>
      </c>
      <c r="P2717">
        <f t="shared" si="555"/>
        <v>1.5032463170619638E-2</v>
      </c>
      <c r="Q2717" t="str">
        <f t="shared" si="549"/>
        <v>2020-11</v>
      </c>
      <c r="S2717">
        <v>8143.2</v>
      </c>
      <c r="T2717">
        <f t="shared" si="556"/>
        <v>2.0094447059754328E-2</v>
      </c>
      <c r="U2717" t="str">
        <f t="shared" si="550"/>
        <v>2020-11</v>
      </c>
      <c r="W2717">
        <v>22145.06</v>
      </c>
      <c r="X2717">
        <f t="shared" si="557"/>
        <v>2.0219701163020038E-2</v>
      </c>
      <c r="Y2717">
        <f t="shared" si="558"/>
        <v>2.0425504071323167E-2</v>
      </c>
      <c r="Z2717" t="str">
        <f t="shared" si="551"/>
        <v>2020-11</v>
      </c>
    </row>
    <row r="2718" spans="1:26" x14ac:dyDescent="0.35">
      <c r="A2718" s="1">
        <v>44160</v>
      </c>
      <c r="C2718">
        <v>3511.9</v>
      </c>
      <c r="D2718">
        <f t="shared" si="552"/>
        <v>1.1168283239751686E-3</v>
      </c>
      <c r="E2718" t="str">
        <f t="shared" si="546"/>
        <v>2020-11</v>
      </c>
      <c r="G2718">
        <v>5571.29</v>
      </c>
      <c r="H2718">
        <f t="shared" si="553"/>
        <v>2.3127297542344539E-3</v>
      </c>
      <c r="I2718" t="str">
        <f t="shared" si="547"/>
        <v>2020-11</v>
      </c>
      <c r="K2718">
        <v>13289.8</v>
      </c>
      <c r="L2718">
        <f t="shared" si="554"/>
        <v>-1.9862885962067053E-4</v>
      </c>
      <c r="M2718" t="str">
        <f t="shared" si="548"/>
        <v>2020-11</v>
      </c>
      <c r="O2718">
        <v>7176.8357900000001</v>
      </c>
      <c r="P2718">
        <f t="shared" si="555"/>
        <v>-7.1783612097254743E-3</v>
      </c>
      <c r="Q2718" t="str">
        <f t="shared" si="549"/>
        <v>2020-11</v>
      </c>
      <c r="S2718">
        <v>8164.7</v>
      </c>
      <c r="T2718">
        <f t="shared" si="556"/>
        <v>2.6367603991402856E-3</v>
      </c>
      <c r="U2718" t="str">
        <f t="shared" si="550"/>
        <v>2020-11</v>
      </c>
      <c r="W2718">
        <v>22303.58</v>
      </c>
      <c r="X2718">
        <f t="shared" si="557"/>
        <v>7.1327569110916367E-3</v>
      </c>
      <c r="Y2718">
        <f t="shared" si="558"/>
        <v>7.1582556109579488E-3</v>
      </c>
      <c r="Z2718" t="str">
        <f t="shared" si="551"/>
        <v>2020-11</v>
      </c>
    </row>
    <row r="2719" spans="1:26" x14ac:dyDescent="0.35">
      <c r="A2719" s="1">
        <v>44161</v>
      </c>
      <c r="C2719">
        <v>3510.94</v>
      </c>
      <c r="D2719">
        <f t="shared" si="552"/>
        <v>-2.7339367150024525E-4</v>
      </c>
      <c r="E2719" t="str">
        <f t="shared" si="546"/>
        <v>2020-11</v>
      </c>
      <c r="G2719">
        <v>5566.79</v>
      </c>
      <c r="H2719">
        <f t="shared" si="553"/>
        <v>-8.0803877236422907E-4</v>
      </c>
      <c r="I2719" t="str">
        <f t="shared" si="547"/>
        <v>2020-11</v>
      </c>
      <c r="K2719">
        <v>13286.57</v>
      </c>
      <c r="L2719">
        <f t="shared" si="554"/>
        <v>-2.4307307701565593E-4</v>
      </c>
      <c r="M2719" t="str">
        <f t="shared" si="548"/>
        <v>2020-11</v>
      </c>
      <c r="O2719">
        <v>7132.5918899999997</v>
      </c>
      <c r="P2719">
        <f t="shared" si="555"/>
        <v>-6.1839008494564375E-3</v>
      </c>
      <c r="Q2719" t="str">
        <f t="shared" si="549"/>
        <v>2020-11</v>
      </c>
      <c r="S2719">
        <v>8104.6</v>
      </c>
      <c r="T2719">
        <f t="shared" si="556"/>
        <v>-7.3881818370528608E-3</v>
      </c>
      <c r="U2719" t="str">
        <f t="shared" si="550"/>
        <v>2020-11</v>
      </c>
      <c r="W2719">
        <v>22201.439999999999</v>
      </c>
      <c r="X2719">
        <f t="shared" si="557"/>
        <v>-4.5900520583363894E-3</v>
      </c>
      <c r="Y2719">
        <f t="shared" si="558"/>
        <v>-4.5795338685539746E-3</v>
      </c>
      <c r="Z2719" t="str">
        <f t="shared" si="551"/>
        <v>2020-11</v>
      </c>
    </row>
    <row r="2720" spans="1:26" x14ac:dyDescent="0.35">
      <c r="A2720" s="1">
        <v>44162</v>
      </c>
      <c r="C2720">
        <v>3527.79</v>
      </c>
      <c r="D2720">
        <f t="shared" si="552"/>
        <v>4.7878046715256325E-3</v>
      </c>
      <c r="E2720" t="str">
        <f t="shared" si="546"/>
        <v>2020-11</v>
      </c>
      <c r="G2720">
        <v>5598.18</v>
      </c>
      <c r="H2720">
        <f t="shared" si="553"/>
        <v>5.6229587193691831E-3</v>
      </c>
      <c r="I2720" t="str">
        <f t="shared" si="547"/>
        <v>2020-11</v>
      </c>
      <c r="K2720">
        <v>13335.68</v>
      </c>
      <c r="L2720">
        <f t="shared" si="554"/>
        <v>3.6893993336955086E-3</v>
      </c>
      <c r="M2720" t="str">
        <f t="shared" si="548"/>
        <v>2020-11</v>
      </c>
      <c r="O2720">
        <v>7091.8343100000002</v>
      </c>
      <c r="P2720">
        <f t="shared" si="555"/>
        <v>-5.7306623084051357E-3</v>
      </c>
      <c r="Q2720" t="str">
        <f t="shared" si="549"/>
        <v>2020-11</v>
      </c>
      <c r="S2720">
        <v>8190.7</v>
      </c>
      <c r="T2720">
        <f t="shared" si="556"/>
        <v>1.0567562580007931E-2</v>
      </c>
      <c r="U2720" t="str">
        <f t="shared" si="550"/>
        <v>2020-11</v>
      </c>
      <c r="W2720">
        <v>22352.46</v>
      </c>
      <c r="X2720">
        <f t="shared" si="557"/>
        <v>6.7792304772672949E-3</v>
      </c>
      <c r="Y2720">
        <f t="shared" si="558"/>
        <v>6.8022614749313759E-3</v>
      </c>
      <c r="Z2720" t="str">
        <f t="shared" si="551"/>
        <v>2020-11</v>
      </c>
    </row>
    <row r="2721" spans="1:26" x14ac:dyDescent="0.35">
      <c r="A2721" s="1">
        <v>44165</v>
      </c>
      <c r="C2721">
        <v>3492.54</v>
      </c>
      <c r="D2721">
        <f t="shared" si="552"/>
        <v>-1.0042347366200065E-2</v>
      </c>
      <c r="E2721" t="str">
        <f t="shared" si="546"/>
        <v>2020-11</v>
      </c>
      <c r="G2721">
        <v>5518.55</v>
      </c>
      <c r="H2721">
        <f t="shared" si="553"/>
        <v>-1.4326400294313183E-2</v>
      </c>
      <c r="I2721" t="str">
        <f t="shared" si="547"/>
        <v>2020-11</v>
      </c>
      <c r="K2721">
        <v>13291.16</v>
      </c>
      <c r="L2721">
        <f t="shared" si="554"/>
        <v>-3.3439973715539604E-3</v>
      </c>
      <c r="M2721" t="str">
        <f t="shared" si="548"/>
        <v>2020-11</v>
      </c>
      <c r="O2721">
        <v>6999.5344699999996</v>
      </c>
      <c r="P2721">
        <f t="shared" si="555"/>
        <v>-1.3100382436790264E-2</v>
      </c>
      <c r="Q2721" t="str">
        <f t="shared" si="549"/>
        <v>2020-11</v>
      </c>
      <c r="S2721">
        <v>8076.9</v>
      </c>
      <c r="T2721">
        <f t="shared" si="556"/>
        <v>-1.3991228749040657E-2</v>
      </c>
      <c r="U2721" t="str">
        <f t="shared" si="550"/>
        <v>2020-11</v>
      </c>
      <c r="W2721">
        <v>22060.98</v>
      </c>
      <c r="X2721">
        <f t="shared" si="557"/>
        <v>-1.3125944980734107E-2</v>
      </c>
      <c r="Y2721">
        <f t="shared" si="558"/>
        <v>-1.304017544377664E-2</v>
      </c>
      <c r="Z2721" t="str">
        <f t="shared" si="551"/>
        <v>2020-11</v>
      </c>
    </row>
    <row r="2722" spans="1:26" x14ac:dyDescent="0.35">
      <c r="A2722" s="1">
        <v>44166</v>
      </c>
      <c r="C2722">
        <v>3525.24</v>
      </c>
      <c r="D2722">
        <f t="shared" si="552"/>
        <v>9.3192538557205981E-3</v>
      </c>
      <c r="E2722" t="str">
        <f t="shared" si="546"/>
        <v>2020-12</v>
      </c>
      <c r="G2722">
        <v>5581.64</v>
      </c>
      <c r="H2722">
        <f t="shared" si="553"/>
        <v>1.1367495398264886E-2</v>
      </c>
      <c r="I2722" t="str">
        <f t="shared" si="547"/>
        <v>2020-12</v>
      </c>
      <c r="K2722">
        <v>13382.3</v>
      </c>
      <c r="L2722">
        <f t="shared" si="554"/>
        <v>6.8337856949180729E-3</v>
      </c>
      <c r="M2722" t="str">
        <f t="shared" si="548"/>
        <v>2020-12</v>
      </c>
      <c r="O2722">
        <v>7113.0503799999997</v>
      </c>
      <c r="P2722">
        <f t="shared" si="555"/>
        <v>1.6087535974333784E-2</v>
      </c>
      <c r="Q2722" t="str">
        <f t="shared" si="549"/>
        <v>2020-12</v>
      </c>
      <c r="S2722">
        <v>8140.8</v>
      </c>
      <c r="T2722">
        <f t="shared" si="556"/>
        <v>7.8803197345088359E-3</v>
      </c>
      <c r="U2722" t="str">
        <f t="shared" si="550"/>
        <v>2020-12</v>
      </c>
      <c r="W2722">
        <v>22099.919999999998</v>
      </c>
      <c r="X2722">
        <f t="shared" si="557"/>
        <v>1.76355147165549E-3</v>
      </c>
      <c r="Y2722">
        <f t="shared" si="558"/>
        <v>1.7651074430963035E-3</v>
      </c>
      <c r="Z2722" t="str">
        <f t="shared" si="551"/>
        <v>2020-12</v>
      </c>
    </row>
    <row r="2723" spans="1:26" x14ac:dyDescent="0.35">
      <c r="A2723" s="1">
        <v>44167</v>
      </c>
      <c r="C2723">
        <v>3521.32</v>
      </c>
      <c r="D2723">
        <f t="shared" si="552"/>
        <v>-1.1125997378502916E-3</v>
      </c>
      <c r="E2723" t="str">
        <f t="shared" si="546"/>
        <v>2020-12</v>
      </c>
      <c r="G2723">
        <v>5583.01</v>
      </c>
      <c r="H2723">
        <f t="shared" si="553"/>
        <v>2.4541745722004253E-4</v>
      </c>
      <c r="I2723" t="str">
        <f t="shared" si="547"/>
        <v>2020-12</v>
      </c>
      <c r="K2723">
        <v>13313.24</v>
      </c>
      <c r="L2723">
        <f t="shared" si="554"/>
        <v>-5.1739095037957126E-3</v>
      </c>
      <c r="M2723" t="str">
        <f t="shared" si="548"/>
        <v>2020-12</v>
      </c>
      <c r="O2723">
        <v>7136.29234</v>
      </c>
      <c r="P2723">
        <f t="shared" si="555"/>
        <v>3.2621828344129374E-3</v>
      </c>
      <c r="Q2723" t="str">
        <f t="shared" si="549"/>
        <v>2020-12</v>
      </c>
      <c r="S2723">
        <v>8220.7999999999993</v>
      </c>
      <c r="T2723">
        <f t="shared" si="556"/>
        <v>9.7790726498706883E-3</v>
      </c>
      <c r="U2723" t="str">
        <f t="shared" si="550"/>
        <v>2020-12</v>
      </c>
      <c r="W2723">
        <v>21972.2</v>
      </c>
      <c r="X2723">
        <f t="shared" si="557"/>
        <v>-5.7959706746229557E-3</v>
      </c>
      <c r="Y2723">
        <f t="shared" si="558"/>
        <v>-5.7792064405661888E-3</v>
      </c>
      <c r="Z2723" t="str">
        <f t="shared" si="551"/>
        <v>2020-12</v>
      </c>
    </row>
    <row r="2724" spans="1:26" x14ac:dyDescent="0.35">
      <c r="A2724" s="1">
        <v>44168</v>
      </c>
      <c r="C2724">
        <v>3517.1</v>
      </c>
      <c r="D2724">
        <f t="shared" si="552"/>
        <v>-1.1991329035973004E-3</v>
      </c>
      <c r="E2724" t="str">
        <f t="shared" si="546"/>
        <v>2020-12</v>
      </c>
      <c r="G2724">
        <v>5574.36</v>
      </c>
      <c r="H2724">
        <f t="shared" si="553"/>
        <v>-1.5505449282438731E-3</v>
      </c>
      <c r="I2724" t="str">
        <f t="shared" si="547"/>
        <v>2020-12</v>
      </c>
      <c r="K2724">
        <v>13252.86</v>
      </c>
      <c r="L2724">
        <f t="shared" si="554"/>
        <v>-4.545650582432989E-3</v>
      </c>
      <c r="M2724" t="str">
        <f t="shared" si="548"/>
        <v>2020-12</v>
      </c>
      <c r="O2724">
        <v>7206.3050599999997</v>
      </c>
      <c r="P2724">
        <f t="shared" si="555"/>
        <v>9.7629842289711291E-3</v>
      </c>
      <c r="Q2724" t="str">
        <f t="shared" si="549"/>
        <v>2020-12</v>
      </c>
      <c r="S2724">
        <v>8200.7000000000007</v>
      </c>
      <c r="T2724">
        <f t="shared" si="556"/>
        <v>-2.4480114530184014E-3</v>
      </c>
      <c r="U2724" t="str">
        <f t="shared" si="550"/>
        <v>2020-12</v>
      </c>
      <c r="W2724">
        <v>22007.4</v>
      </c>
      <c r="X2724">
        <f t="shared" si="557"/>
        <v>1.6007425040839732E-3</v>
      </c>
      <c r="Y2724">
        <f t="shared" si="558"/>
        <v>1.6020243762573036E-3</v>
      </c>
      <c r="Z2724" t="str">
        <f t="shared" si="551"/>
        <v>2020-12</v>
      </c>
    </row>
    <row r="2725" spans="1:26" x14ac:dyDescent="0.35">
      <c r="A2725" s="1">
        <v>44169</v>
      </c>
      <c r="C2725">
        <v>3539.27</v>
      </c>
      <c r="D2725">
        <f t="shared" si="552"/>
        <v>6.2837047797634242E-3</v>
      </c>
      <c r="E2725" t="str">
        <f t="shared" si="546"/>
        <v>2020-12</v>
      </c>
      <c r="G2725">
        <v>5609.15</v>
      </c>
      <c r="H2725">
        <f t="shared" si="553"/>
        <v>6.2216803534235407E-3</v>
      </c>
      <c r="I2725" t="str">
        <f t="shared" si="547"/>
        <v>2020-12</v>
      </c>
      <c r="K2725">
        <v>13298.96</v>
      </c>
      <c r="L2725">
        <f t="shared" si="554"/>
        <v>3.4724584847805533E-3</v>
      </c>
      <c r="M2725" t="str">
        <f t="shared" si="548"/>
        <v>2020-12</v>
      </c>
      <c r="O2725">
        <v>7267.0659400000004</v>
      </c>
      <c r="P2725">
        <f t="shared" si="555"/>
        <v>8.3962798932154508E-3</v>
      </c>
      <c r="Q2725" t="str">
        <f t="shared" si="549"/>
        <v>2020-12</v>
      </c>
      <c r="S2725">
        <v>8322.9</v>
      </c>
      <c r="T2725">
        <f t="shared" si="556"/>
        <v>1.4791235312895458E-2</v>
      </c>
      <c r="U2725" t="str">
        <f t="shared" si="550"/>
        <v>2020-12</v>
      </c>
      <c r="W2725">
        <v>22178.799999999999</v>
      </c>
      <c r="X2725">
        <f t="shared" si="557"/>
        <v>7.7581172261869018E-3</v>
      </c>
      <c r="Y2725">
        <f t="shared" si="558"/>
        <v>7.7882893935675183E-3</v>
      </c>
      <c r="Z2725" t="str">
        <f t="shared" si="551"/>
        <v>2020-12</v>
      </c>
    </row>
    <row r="2726" spans="1:26" x14ac:dyDescent="0.35">
      <c r="A2726" s="1">
        <v>44172</v>
      </c>
      <c r="C2726">
        <v>3530.08</v>
      </c>
      <c r="D2726">
        <f t="shared" si="552"/>
        <v>-2.5999576133205575E-3</v>
      </c>
      <c r="E2726" t="str">
        <f t="shared" si="546"/>
        <v>2020-12</v>
      </c>
      <c r="G2726">
        <v>5573.38</v>
      </c>
      <c r="H2726">
        <f t="shared" si="553"/>
        <v>-6.3975007443771272E-3</v>
      </c>
      <c r="I2726" t="str">
        <f t="shared" si="547"/>
        <v>2020-12</v>
      </c>
      <c r="K2726">
        <v>13271</v>
      </c>
      <c r="L2726">
        <f t="shared" si="554"/>
        <v>-2.1046332264473564E-3</v>
      </c>
      <c r="M2726" t="str">
        <f t="shared" si="548"/>
        <v>2020-12</v>
      </c>
      <c r="O2726">
        <v>7220.4922100000003</v>
      </c>
      <c r="P2726">
        <f t="shared" si="555"/>
        <v>-6.4295017777775887E-3</v>
      </c>
      <c r="Q2726" t="str">
        <f t="shared" si="549"/>
        <v>2020-12</v>
      </c>
      <c r="S2726">
        <v>8275.6</v>
      </c>
      <c r="T2726">
        <f t="shared" si="556"/>
        <v>-5.6993256058533153E-3</v>
      </c>
      <c r="U2726" t="str">
        <f t="shared" si="550"/>
        <v>2020-12</v>
      </c>
      <c r="W2726">
        <v>22107.18</v>
      </c>
      <c r="X2726">
        <f t="shared" si="557"/>
        <v>-3.2344350260793673E-3</v>
      </c>
      <c r="Y2726">
        <f t="shared" si="558"/>
        <v>-3.2292098760978495E-3</v>
      </c>
      <c r="Z2726" t="str">
        <f t="shared" si="551"/>
        <v>2020-12</v>
      </c>
    </row>
    <row r="2727" spans="1:26" x14ac:dyDescent="0.35">
      <c r="A2727" s="1">
        <v>44173</v>
      </c>
      <c r="C2727">
        <v>3525.87</v>
      </c>
      <c r="D2727">
        <f t="shared" si="552"/>
        <v>-1.1933192552641587E-3</v>
      </c>
      <c r="E2727" t="str">
        <f t="shared" si="546"/>
        <v>2020-12</v>
      </c>
      <c r="G2727">
        <v>5560.67</v>
      </c>
      <c r="H2727">
        <f t="shared" si="553"/>
        <v>-2.2830875594942834E-3</v>
      </c>
      <c r="I2727" t="str">
        <f t="shared" si="547"/>
        <v>2020-12</v>
      </c>
      <c r="K2727">
        <v>13278.49</v>
      </c>
      <c r="L2727">
        <f t="shared" si="554"/>
        <v>5.6422930901548689E-4</v>
      </c>
      <c r="M2727" t="str">
        <f t="shared" si="548"/>
        <v>2020-12</v>
      </c>
      <c r="O2727">
        <v>7233.9209899999996</v>
      </c>
      <c r="P2727">
        <f t="shared" si="555"/>
        <v>1.8580877241782734E-3</v>
      </c>
      <c r="Q2727" t="str">
        <f t="shared" si="549"/>
        <v>2020-12</v>
      </c>
      <c r="S2727">
        <v>8227.6</v>
      </c>
      <c r="T2727">
        <f t="shared" si="556"/>
        <v>-5.8170700655799943E-3</v>
      </c>
      <c r="U2727" t="str">
        <f t="shared" si="550"/>
        <v>2020-12</v>
      </c>
      <c r="W2727">
        <v>22053.42</v>
      </c>
      <c r="X2727">
        <f t="shared" si="557"/>
        <v>-2.434750730628191E-3</v>
      </c>
      <c r="Y2727">
        <f t="shared" si="558"/>
        <v>-2.4317891291427509E-3</v>
      </c>
      <c r="Z2727" t="str">
        <f t="shared" si="551"/>
        <v>2020-12</v>
      </c>
    </row>
    <row r="2728" spans="1:26" x14ac:dyDescent="0.35">
      <c r="A2728" s="1">
        <v>44174</v>
      </c>
      <c r="C2728">
        <v>3529.02</v>
      </c>
      <c r="D2728">
        <f t="shared" si="552"/>
        <v>8.9299768226841112E-4</v>
      </c>
      <c r="E2728" t="str">
        <f t="shared" si="546"/>
        <v>2020-12</v>
      </c>
      <c r="G2728">
        <v>5546.82</v>
      </c>
      <c r="H2728">
        <f t="shared" si="553"/>
        <v>-2.4938140260107634E-3</v>
      </c>
      <c r="I2728" t="str">
        <f t="shared" si="547"/>
        <v>2020-12</v>
      </c>
      <c r="K2728">
        <v>13340.26</v>
      </c>
      <c r="L2728">
        <f t="shared" si="554"/>
        <v>4.6410977882900516E-3</v>
      </c>
      <c r="M2728" t="str">
        <f t="shared" si="548"/>
        <v>2020-12</v>
      </c>
      <c r="O2728">
        <v>7270.6363099999999</v>
      </c>
      <c r="P2728">
        <f t="shared" si="555"/>
        <v>5.0626017269172641E-3</v>
      </c>
      <c r="Q2728" t="str">
        <f t="shared" si="549"/>
        <v>2020-12</v>
      </c>
      <c r="S2728">
        <v>8235.2999999999993</v>
      </c>
      <c r="T2728">
        <f t="shared" si="556"/>
        <v>9.3543671667621208E-4</v>
      </c>
      <c r="U2728" t="str">
        <f t="shared" si="550"/>
        <v>2020-12</v>
      </c>
      <c r="W2728">
        <v>21969.59</v>
      </c>
      <c r="X2728">
        <f t="shared" si="557"/>
        <v>-3.8084674957694492E-3</v>
      </c>
      <c r="Y2728">
        <f t="shared" si="558"/>
        <v>-3.8012244812821827E-3</v>
      </c>
      <c r="Z2728" t="str">
        <f t="shared" si="551"/>
        <v>2020-12</v>
      </c>
    </row>
    <row r="2729" spans="1:26" x14ac:dyDescent="0.35">
      <c r="A2729" s="1">
        <v>44175</v>
      </c>
      <c r="C2729">
        <v>3522.31</v>
      </c>
      <c r="D2729">
        <f t="shared" si="552"/>
        <v>-1.9031876327927882E-3</v>
      </c>
      <c r="E2729" t="str">
        <f t="shared" si="546"/>
        <v>2020-12</v>
      </c>
      <c r="G2729">
        <v>5549.65</v>
      </c>
      <c r="H2729">
        <f t="shared" si="553"/>
        <v>5.1007213309419276E-4</v>
      </c>
      <c r="I2729" t="str">
        <f t="shared" si="547"/>
        <v>2020-12</v>
      </c>
      <c r="K2729">
        <v>13295.73</v>
      </c>
      <c r="L2729">
        <f t="shared" si="554"/>
        <v>-3.3435995047181298E-3</v>
      </c>
      <c r="M2729" t="str">
        <f t="shared" si="548"/>
        <v>2020-12</v>
      </c>
      <c r="O2729">
        <v>7247.7562399999997</v>
      </c>
      <c r="P2729">
        <f t="shared" si="555"/>
        <v>-3.151876333788758E-3</v>
      </c>
      <c r="Q2729" t="str">
        <f t="shared" si="549"/>
        <v>2020-12</v>
      </c>
      <c r="S2729">
        <v>8182.3</v>
      </c>
      <c r="T2729">
        <f t="shared" si="556"/>
        <v>-6.4565081516464555E-3</v>
      </c>
      <c r="U2729" t="str">
        <f t="shared" si="550"/>
        <v>2020-12</v>
      </c>
      <c r="W2729">
        <v>21915.51</v>
      </c>
      <c r="X2729">
        <f t="shared" si="557"/>
        <v>-2.464619079143391E-3</v>
      </c>
      <c r="Y2729">
        <f t="shared" si="558"/>
        <v>-2.4615843991627404E-3</v>
      </c>
      <c r="Z2729" t="str">
        <f t="shared" si="551"/>
        <v>2020-12</v>
      </c>
    </row>
    <row r="2730" spans="1:26" x14ac:dyDescent="0.35">
      <c r="A2730" s="1">
        <v>44176</v>
      </c>
      <c r="C2730">
        <v>3485.84</v>
      </c>
      <c r="D2730">
        <f t="shared" si="552"/>
        <v>-1.0407976204869586E-2</v>
      </c>
      <c r="E2730" t="str">
        <f t="shared" si="546"/>
        <v>2020-12</v>
      </c>
      <c r="G2730">
        <v>5507.55</v>
      </c>
      <c r="H2730">
        <f t="shared" si="553"/>
        <v>-7.6149845242916032E-3</v>
      </c>
      <c r="I2730" t="str">
        <f t="shared" si="547"/>
        <v>2020-12</v>
      </c>
      <c r="K2730">
        <v>13114.3</v>
      </c>
      <c r="L2730">
        <f t="shared" si="554"/>
        <v>-1.3739693152542622E-2</v>
      </c>
      <c r="M2730" t="str">
        <f t="shared" si="548"/>
        <v>2020-12</v>
      </c>
      <c r="O2730">
        <v>7145.9367400000001</v>
      </c>
      <c r="P2730">
        <f t="shared" si="555"/>
        <v>-1.4148029771416812E-2</v>
      </c>
      <c r="Q2730" t="str">
        <f t="shared" si="549"/>
        <v>2020-12</v>
      </c>
      <c r="S2730">
        <v>8063.1</v>
      </c>
      <c r="T2730">
        <f t="shared" si="556"/>
        <v>-1.4675186729285828E-2</v>
      </c>
      <c r="U2730" t="str">
        <f t="shared" si="550"/>
        <v>2020-12</v>
      </c>
      <c r="W2730">
        <v>21702.16</v>
      </c>
      <c r="X2730">
        <f t="shared" si="557"/>
        <v>-9.7828105684542414E-3</v>
      </c>
      <c r="Y2730">
        <f t="shared" si="558"/>
        <v>-9.7351145376036678E-3</v>
      </c>
      <c r="Z2730" t="str">
        <f t="shared" si="551"/>
        <v>2020-12</v>
      </c>
    </row>
    <row r="2731" spans="1:26" x14ac:dyDescent="0.35">
      <c r="A2731" s="1">
        <v>44179</v>
      </c>
      <c r="C2731">
        <v>3503.96</v>
      </c>
      <c r="D2731">
        <f t="shared" si="552"/>
        <v>5.18470931660708E-3</v>
      </c>
      <c r="E2731" t="str">
        <f t="shared" si="546"/>
        <v>2020-12</v>
      </c>
      <c r="G2731">
        <v>5527.84</v>
      </c>
      <c r="H2731">
        <f t="shared" si="553"/>
        <v>3.6772643040082725E-3</v>
      </c>
      <c r="I2731" t="str">
        <f t="shared" si="547"/>
        <v>2020-12</v>
      </c>
      <c r="K2731">
        <v>13223.16</v>
      </c>
      <c r="L2731">
        <f t="shared" si="554"/>
        <v>8.2665997348868835E-3</v>
      </c>
      <c r="M2731" t="str">
        <f t="shared" si="548"/>
        <v>2020-12</v>
      </c>
      <c r="O2731">
        <v>7164.16788</v>
      </c>
      <c r="P2731">
        <f t="shared" si="555"/>
        <v>2.5480107026066784E-3</v>
      </c>
      <c r="Q2731" t="str">
        <f t="shared" si="549"/>
        <v>2020-12</v>
      </c>
      <c r="S2731">
        <v>8140.8</v>
      </c>
      <c r="T2731">
        <f t="shared" si="556"/>
        <v>9.5903573259415731E-3</v>
      </c>
      <c r="U2731" t="str">
        <f t="shared" si="550"/>
        <v>2020-12</v>
      </c>
      <c r="W2731">
        <v>21759.73</v>
      </c>
      <c r="X2731">
        <f t="shared" si="557"/>
        <v>2.6492190592993826E-3</v>
      </c>
      <c r="Y2731">
        <f t="shared" si="558"/>
        <v>2.6527313410277921E-3</v>
      </c>
      <c r="Z2731" t="str">
        <f t="shared" si="551"/>
        <v>2020-12</v>
      </c>
    </row>
    <row r="2732" spans="1:26" x14ac:dyDescent="0.35">
      <c r="A2732" s="1">
        <v>44180</v>
      </c>
      <c r="C2732">
        <v>3521.5</v>
      </c>
      <c r="D2732">
        <f t="shared" si="552"/>
        <v>4.9932777194546876E-3</v>
      </c>
      <c r="E2732" t="str">
        <f t="shared" si="546"/>
        <v>2020-12</v>
      </c>
      <c r="G2732">
        <v>5530.31</v>
      </c>
      <c r="H2732">
        <f t="shared" si="553"/>
        <v>4.4672934280658226E-4</v>
      </c>
      <c r="I2732" t="str">
        <f t="shared" si="547"/>
        <v>2020-12</v>
      </c>
      <c r="K2732">
        <v>13362.87</v>
      </c>
      <c r="L2732">
        <f t="shared" si="554"/>
        <v>1.0510127767147994E-2</v>
      </c>
      <c r="M2732" t="str">
        <f t="shared" si="548"/>
        <v>2020-12</v>
      </c>
      <c r="O2732">
        <v>7192.9847499999996</v>
      </c>
      <c r="P2732">
        <f t="shared" si="555"/>
        <v>4.0142930064483431E-3</v>
      </c>
      <c r="Q2732" t="str">
        <f t="shared" si="549"/>
        <v>2020-12</v>
      </c>
      <c r="S2732">
        <v>8152.4</v>
      </c>
      <c r="T2732">
        <f t="shared" si="556"/>
        <v>1.4239071465306894E-3</v>
      </c>
      <c r="U2732" t="str">
        <f t="shared" si="550"/>
        <v>2020-12</v>
      </c>
      <c r="W2732">
        <v>21935.05</v>
      </c>
      <c r="X2732">
        <f t="shared" si="557"/>
        <v>8.0248002551005452E-3</v>
      </c>
      <c r="Y2732">
        <f t="shared" si="558"/>
        <v>8.057085267142548E-3</v>
      </c>
      <c r="Z2732" t="str">
        <f t="shared" si="551"/>
        <v>2020-12</v>
      </c>
    </row>
    <row r="2733" spans="1:26" x14ac:dyDescent="0.35">
      <c r="A2733" s="1">
        <v>44181</v>
      </c>
      <c r="C2733">
        <v>3543</v>
      </c>
      <c r="D2733">
        <f t="shared" si="552"/>
        <v>6.0867906800070445E-3</v>
      </c>
      <c r="E2733" t="str">
        <f t="shared" si="546"/>
        <v>2020-12</v>
      </c>
      <c r="G2733">
        <v>5547.68</v>
      </c>
      <c r="H2733">
        <f t="shared" si="553"/>
        <v>3.1359505171933387E-3</v>
      </c>
      <c r="I2733" t="str">
        <f t="shared" si="547"/>
        <v>2020-12</v>
      </c>
      <c r="K2733">
        <v>13565.98</v>
      </c>
      <c r="L2733">
        <f t="shared" si="554"/>
        <v>1.5085222851689107E-2</v>
      </c>
      <c r="M2733" t="str">
        <f t="shared" si="548"/>
        <v>2020-12</v>
      </c>
      <c r="O2733">
        <v>7273.95255</v>
      </c>
      <c r="P2733">
        <f t="shared" si="555"/>
        <v>1.1193612543895193E-2</v>
      </c>
      <c r="Q2733" t="str">
        <f t="shared" si="549"/>
        <v>2020-12</v>
      </c>
      <c r="S2733">
        <v>8139.5</v>
      </c>
      <c r="T2733">
        <f t="shared" si="556"/>
        <v>-1.5836093636597953E-3</v>
      </c>
      <c r="U2733" t="str">
        <f t="shared" si="550"/>
        <v>2020-12</v>
      </c>
      <c r="W2733">
        <v>21986.52</v>
      </c>
      <c r="X2733">
        <f t="shared" si="557"/>
        <v>2.3437242138920076E-3</v>
      </c>
      <c r="Y2733">
        <f t="shared" si="558"/>
        <v>2.346472882441625E-3</v>
      </c>
      <c r="Z2733" t="str">
        <f t="shared" si="551"/>
        <v>2020-12</v>
      </c>
    </row>
    <row r="2734" spans="1:26" x14ac:dyDescent="0.35">
      <c r="A2734" s="1">
        <v>44182</v>
      </c>
      <c r="C2734">
        <v>3560.87</v>
      </c>
      <c r="D2734">
        <f t="shared" si="552"/>
        <v>5.031071146653735E-3</v>
      </c>
      <c r="E2734" t="str">
        <f t="shared" si="546"/>
        <v>2020-12</v>
      </c>
      <c r="G2734">
        <v>5549.46</v>
      </c>
      <c r="H2734">
        <f t="shared" si="553"/>
        <v>3.2080338091887461E-4</v>
      </c>
      <c r="I2734" t="str">
        <f t="shared" si="547"/>
        <v>2020-12</v>
      </c>
      <c r="K2734">
        <v>13667.25</v>
      </c>
      <c r="L2734">
        <f t="shared" si="554"/>
        <v>7.4372718032562225E-3</v>
      </c>
      <c r="M2734" t="str">
        <f t="shared" si="548"/>
        <v>2020-12</v>
      </c>
      <c r="O2734">
        <v>7271.35599</v>
      </c>
      <c r="P2734">
        <f t="shared" si="555"/>
        <v>-3.5703058762090667E-4</v>
      </c>
      <c r="Q2734" t="str">
        <f t="shared" si="549"/>
        <v>2020-12</v>
      </c>
      <c r="S2734">
        <v>8153.4</v>
      </c>
      <c r="T2734">
        <f t="shared" si="556"/>
        <v>1.7062651059421734E-3</v>
      </c>
      <c r="U2734" t="str">
        <f t="shared" si="550"/>
        <v>2020-12</v>
      </c>
      <c r="W2734">
        <v>22012.07</v>
      </c>
      <c r="X2734">
        <f t="shared" si="557"/>
        <v>1.1614009845283824E-3</v>
      </c>
      <c r="Y2734">
        <f t="shared" si="558"/>
        <v>1.1620756718207007E-3</v>
      </c>
      <c r="Z2734" t="str">
        <f t="shared" si="551"/>
        <v>2020-12</v>
      </c>
    </row>
    <row r="2735" spans="1:26" x14ac:dyDescent="0.35">
      <c r="A2735" s="1">
        <v>44183</v>
      </c>
      <c r="C2735">
        <v>3545.74</v>
      </c>
      <c r="D2735">
        <f t="shared" si="552"/>
        <v>-4.2580141191831669E-3</v>
      </c>
      <c r="E2735" t="str">
        <f t="shared" si="546"/>
        <v>2020-12</v>
      </c>
      <c r="G2735">
        <v>5527.84</v>
      </c>
      <c r="H2735">
        <f t="shared" si="553"/>
        <v>-3.9034832409187347E-3</v>
      </c>
      <c r="I2735" t="str">
        <f t="shared" si="547"/>
        <v>2020-12</v>
      </c>
      <c r="K2735">
        <v>13630.51</v>
      </c>
      <c r="L2735">
        <f t="shared" si="554"/>
        <v>-2.6917975822296041E-3</v>
      </c>
      <c r="M2735" t="str">
        <f t="shared" si="548"/>
        <v>2020-12</v>
      </c>
      <c r="O2735">
        <v>7206.8018499999998</v>
      </c>
      <c r="P2735">
        <f t="shared" si="555"/>
        <v>-8.9175112610871375E-3</v>
      </c>
      <c r="Q2735" t="str">
        <f t="shared" si="549"/>
        <v>2020-12</v>
      </c>
      <c r="S2735">
        <v>8037.4</v>
      </c>
      <c r="T2735">
        <f t="shared" si="556"/>
        <v>-1.4329370365657021E-2</v>
      </c>
      <c r="U2735" t="str">
        <f t="shared" si="550"/>
        <v>2020-12</v>
      </c>
      <c r="W2735">
        <v>21976.12</v>
      </c>
      <c r="X2735">
        <f t="shared" si="557"/>
        <v>-1.6345299956162054E-3</v>
      </c>
      <c r="Y2735">
        <f t="shared" si="558"/>
        <v>-1.6331948789914228E-3</v>
      </c>
      <c r="Z2735" t="str">
        <f t="shared" si="551"/>
        <v>2020-12</v>
      </c>
    </row>
    <row r="2736" spans="1:26" x14ac:dyDescent="0.35">
      <c r="A2736" s="1">
        <v>44186</v>
      </c>
      <c r="C2736">
        <v>3448.68</v>
      </c>
      <c r="D2736">
        <f t="shared" si="552"/>
        <v>-2.7755333776571574E-2</v>
      </c>
      <c r="E2736" t="str">
        <f t="shared" si="546"/>
        <v>2020-12</v>
      </c>
      <c r="G2736">
        <v>5393.34</v>
      </c>
      <c r="H2736">
        <f t="shared" si="553"/>
        <v>-2.4632283431022903E-2</v>
      </c>
      <c r="I2736" t="str">
        <f t="shared" si="547"/>
        <v>2020-12</v>
      </c>
      <c r="K2736">
        <v>13246.3</v>
      </c>
      <c r="L2736">
        <f t="shared" si="554"/>
        <v>-2.8592394316919123E-2</v>
      </c>
      <c r="M2736" t="str">
        <f t="shared" si="548"/>
        <v>2020-12</v>
      </c>
      <c r="O2736">
        <v>7004.15056</v>
      </c>
      <c r="P2736">
        <f t="shared" si="555"/>
        <v>-2.8522370980979629E-2</v>
      </c>
      <c r="Q2736" t="str">
        <f t="shared" si="549"/>
        <v>2020-12</v>
      </c>
      <c r="S2736">
        <v>7789.8</v>
      </c>
      <c r="T2736">
        <f t="shared" si="556"/>
        <v>-3.1290462194586879E-2</v>
      </c>
      <c r="U2736" t="str">
        <f t="shared" si="550"/>
        <v>2020-12</v>
      </c>
      <c r="W2736">
        <v>21410.51</v>
      </c>
      <c r="X2736">
        <f t="shared" si="557"/>
        <v>-2.6074486317987478E-2</v>
      </c>
      <c r="Y2736">
        <f t="shared" si="558"/>
        <v>-2.573748232172015E-2</v>
      </c>
      <c r="Z2736" t="str">
        <f t="shared" si="551"/>
        <v>2020-12</v>
      </c>
    </row>
    <row r="2737" spans="1:26" x14ac:dyDescent="0.35">
      <c r="A2737" s="1">
        <v>44187</v>
      </c>
      <c r="C2737">
        <v>3497.49</v>
      </c>
      <c r="D2737">
        <f t="shared" si="552"/>
        <v>1.4054019234045534E-2</v>
      </c>
      <c r="E2737" t="str">
        <f t="shared" si="546"/>
        <v>2020-12</v>
      </c>
      <c r="G2737">
        <v>5466.86</v>
      </c>
      <c r="H2737">
        <f t="shared" si="553"/>
        <v>1.3539552334929365E-2</v>
      </c>
      <c r="I2737" t="str">
        <f t="shared" si="547"/>
        <v>2020-12</v>
      </c>
      <c r="K2737">
        <v>13418.11</v>
      </c>
      <c r="L2737">
        <f t="shared" si="554"/>
        <v>1.2887018897166459E-2</v>
      </c>
      <c r="M2737" t="str">
        <f t="shared" si="548"/>
        <v>2020-12</v>
      </c>
      <c r="O2737">
        <v>7079.6598000000004</v>
      </c>
      <c r="P2737">
        <f t="shared" si="555"/>
        <v>1.0722945223292911E-2</v>
      </c>
      <c r="Q2737" t="str">
        <f t="shared" si="549"/>
        <v>2020-12</v>
      </c>
      <c r="S2737">
        <v>7934.2</v>
      </c>
      <c r="T2737">
        <f t="shared" si="556"/>
        <v>1.8367344128014395E-2</v>
      </c>
      <c r="U2737" t="str">
        <f t="shared" si="550"/>
        <v>2020-12</v>
      </c>
      <c r="W2737">
        <v>21844.33</v>
      </c>
      <c r="X2737">
        <f t="shared" si="557"/>
        <v>2.0059468336590548E-2</v>
      </c>
      <c r="Y2737">
        <f t="shared" si="558"/>
        <v>2.0262011507432724E-2</v>
      </c>
      <c r="Z2737" t="str">
        <f t="shared" si="551"/>
        <v>2020-12</v>
      </c>
    </row>
    <row r="2738" spans="1:26" x14ac:dyDescent="0.35">
      <c r="A2738" s="1">
        <v>44188</v>
      </c>
      <c r="C2738">
        <v>3539.26</v>
      </c>
      <c r="D2738">
        <f t="shared" si="552"/>
        <v>1.1872097377569562E-2</v>
      </c>
      <c r="E2738" t="str">
        <f t="shared" si="546"/>
        <v>2020-12</v>
      </c>
      <c r="G2738">
        <v>5527.59</v>
      </c>
      <c r="H2738">
        <f t="shared" si="553"/>
        <v>1.1047504451803407E-2</v>
      </c>
      <c r="I2738" t="str">
        <f t="shared" si="547"/>
        <v>2020-12</v>
      </c>
      <c r="K2738">
        <v>13587.23</v>
      </c>
      <c r="L2738">
        <f t="shared" si="554"/>
        <v>1.2525093994586138E-2</v>
      </c>
      <c r="M2738" t="str">
        <f t="shared" si="548"/>
        <v>2020-12</v>
      </c>
      <c r="O2738">
        <v>7186.5263999999997</v>
      </c>
      <c r="P2738">
        <f t="shared" si="555"/>
        <v>1.4982083853291655E-2</v>
      </c>
      <c r="Q2738" t="str">
        <f t="shared" si="549"/>
        <v>2020-12</v>
      </c>
      <c r="S2738">
        <v>8073.6</v>
      </c>
      <c r="T2738">
        <f t="shared" si="556"/>
        <v>1.7416949724461468E-2</v>
      </c>
      <c r="U2738" t="str">
        <f t="shared" si="550"/>
        <v>2020-12</v>
      </c>
      <c r="W2738">
        <v>22130.18</v>
      </c>
      <c r="X2738">
        <f t="shared" si="557"/>
        <v>1.3000896485929704E-2</v>
      </c>
      <c r="Y2738">
        <f t="shared" si="558"/>
        <v>1.3085775576545425E-2</v>
      </c>
      <c r="Z2738" t="str">
        <f t="shared" si="551"/>
        <v>2020-12</v>
      </c>
    </row>
    <row r="2739" spans="1:26" x14ac:dyDescent="0.35">
      <c r="A2739" s="1">
        <v>44194</v>
      </c>
      <c r="C2739">
        <v>3581.37</v>
      </c>
      <c r="D2739">
        <f t="shared" si="552"/>
        <v>1.1827743027091223E-2</v>
      </c>
      <c r="E2739" t="str">
        <f t="shared" si="546"/>
        <v>2020-12</v>
      </c>
      <c r="G2739">
        <v>5611.79</v>
      </c>
      <c r="H2739">
        <f t="shared" si="553"/>
        <v>1.5117825883245218E-2</v>
      </c>
      <c r="I2739" t="str">
        <f t="shared" si="547"/>
        <v>2020-12</v>
      </c>
      <c r="K2739">
        <v>13761.38</v>
      </c>
      <c r="L2739">
        <f t="shared" si="554"/>
        <v>1.2735737129355135E-2</v>
      </c>
      <c r="M2739" t="str">
        <f t="shared" si="548"/>
        <v>2020-12</v>
      </c>
      <c r="O2739">
        <v>7275.7513900000004</v>
      </c>
      <c r="P2739">
        <f t="shared" si="555"/>
        <v>1.2339152015960595E-2</v>
      </c>
      <c r="Q2739" t="str">
        <f t="shared" si="549"/>
        <v>2020-12</v>
      </c>
      <c r="S2739">
        <v>8174.8</v>
      </c>
      <c r="T2739">
        <f t="shared" si="556"/>
        <v>1.2456772187642339E-2</v>
      </c>
      <c r="U2739" t="str">
        <f t="shared" si="550"/>
        <v>2020-12</v>
      </c>
      <c r="W2739">
        <v>22259.35</v>
      </c>
      <c r="X2739">
        <f t="shared" si="557"/>
        <v>5.819857276707815E-3</v>
      </c>
      <c r="Y2739">
        <f t="shared" si="558"/>
        <v>5.8368255477360895E-3</v>
      </c>
      <c r="Z2739" t="str">
        <f t="shared" si="551"/>
        <v>2020-12</v>
      </c>
    </row>
    <row r="2740" spans="1:26" x14ac:dyDescent="0.35">
      <c r="A2740" s="1">
        <v>44195</v>
      </c>
      <c r="C2740">
        <v>3571.59</v>
      </c>
      <c r="D2740">
        <f t="shared" si="552"/>
        <v>-2.7345339815418924E-3</v>
      </c>
      <c r="E2740" t="str">
        <f t="shared" si="546"/>
        <v>2020-12</v>
      </c>
      <c r="G2740">
        <v>5599.41</v>
      </c>
      <c r="H2740">
        <f t="shared" si="553"/>
        <v>-2.2085066776001902E-3</v>
      </c>
      <c r="I2740" t="str">
        <f t="shared" si="547"/>
        <v>2020-12</v>
      </c>
      <c r="K2740">
        <v>13718.78</v>
      </c>
      <c r="L2740">
        <f t="shared" si="554"/>
        <v>-3.1004211128874441E-3</v>
      </c>
      <c r="M2740" t="str">
        <f t="shared" si="548"/>
        <v>2020-12</v>
      </c>
      <c r="O2740">
        <v>7254.6664600000004</v>
      </c>
      <c r="P2740">
        <f t="shared" si="555"/>
        <v>-2.9021801047855703E-3</v>
      </c>
      <c r="Q2740" t="str">
        <f t="shared" si="549"/>
        <v>2020-12</v>
      </c>
      <c r="S2740">
        <v>8154.4</v>
      </c>
      <c r="T2740">
        <f t="shared" si="556"/>
        <v>-2.4985927801779773E-3</v>
      </c>
      <c r="U2740" t="str">
        <f t="shared" si="550"/>
        <v>2020-12</v>
      </c>
      <c r="W2740">
        <v>22232.9</v>
      </c>
      <c r="X2740">
        <f t="shared" si="557"/>
        <v>-1.188971253012483E-3</v>
      </c>
      <c r="Y2740">
        <f t="shared" si="558"/>
        <v>-1.1882647067410815E-3</v>
      </c>
      <c r="Z2740" t="str">
        <f t="shared" si="551"/>
        <v>2020-12</v>
      </c>
    </row>
    <row r="2741" spans="1:26" x14ac:dyDescent="0.35">
      <c r="A2741" s="1">
        <v>44200</v>
      </c>
      <c r="C2741">
        <v>3564.39</v>
      </c>
      <c r="D2741">
        <f t="shared" si="552"/>
        <v>-2.0179435601718949E-3</v>
      </c>
      <c r="E2741" t="str">
        <f t="shared" si="546"/>
        <v>2021-01</v>
      </c>
      <c r="G2741">
        <v>5588.96</v>
      </c>
      <c r="H2741">
        <f t="shared" si="553"/>
        <v>-1.8680117012119762E-3</v>
      </c>
      <c r="I2741" t="str">
        <f t="shared" si="547"/>
        <v>2021-01</v>
      </c>
      <c r="K2741">
        <v>13726.74</v>
      </c>
      <c r="L2741">
        <f t="shared" si="554"/>
        <v>5.8005825527722747E-4</v>
      </c>
      <c r="M2741" t="str">
        <f t="shared" si="548"/>
        <v>2021-01</v>
      </c>
      <c r="O2741">
        <v>7276.1057799999999</v>
      </c>
      <c r="P2741">
        <f t="shared" si="555"/>
        <v>2.9508872898451758E-3</v>
      </c>
      <c r="Q2741" t="str">
        <f t="shared" si="549"/>
        <v>2021-01</v>
      </c>
      <c r="S2741">
        <v>8099.2</v>
      </c>
      <c r="T2741">
        <f t="shared" si="556"/>
        <v>-6.7923675033981059E-3</v>
      </c>
      <c r="U2741" t="str">
        <f t="shared" si="550"/>
        <v>2021-01</v>
      </c>
      <c r="W2741">
        <v>22315.87</v>
      </c>
      <c r="X2741">
        <f t="shared" si="557"/>
        <v>3.7249107409142936E-3</v>
      </c>
      <c r="Y2741">
        <f t="shared" si="558"/>
        <v>3.7318568427869292E-3</v>
      </c>
      <c r="Z2741" t="str">
        <f t="shared" si="551"/>
        <v>2021-01</v>
      </c>
    </row>
    <row r="2742" spans="1:26" x14ac:dyDescent="0.35">
      <c r="A2742" s="1">
        <v>44201</v>
      </c>
      <c r="C2742">
        <v>3547.85</v>
      </c>
      <c r="D2742">
        <f t="shared" si="552"/>
        <v>-4.6511450169512726E-3</v>
      </c>
      <c r="E2742" t="str">
        <f t="shared" si="546"/>
        <v>2021-01</v>
      </c>
      <c r="G2742">
        <v>5564.6</v>
      </c>
      <c r="H2742">
        <f t="shared" si="553"/>
        <v>-4.3681190101328548E-3</v>
      </c>
      <c r="I2742" t="str">
        <f t="shared" si="547"/>
        <v>2021-01</v>
      </c>
      <c r="K2742">
        <v>13651.22</v>
      </c>
      <c r="L2742">
        <f t="shared" si="554"/>
        <v>-5.5168603900519805E-3</v>
      </c>
      <c r="M2742" t="str">
        <f t="shared" si="548"/>
        <v>2021-01</v>
      </c>
      <c r="O2742">
        <v>7328.8458700000001</v>
      </c>
      <c r="P2742">
        <f t="shared" si="555"/>
        <v>7.2222518103906962E-3</v>
      </c>
      <c r="Q2742" t="str">
        <f t="shared" si="549"/>
        <v>2021-01</v>
      </c>
      <c r="S2742">
        <v>8091.5</v>
      </c>
      <c r="T2742">
        <f t="shared" si="556"/>
        <v>-9.5116339386481434E-4</v>
      </c>
      <c r="U2742" t="str">
        <f t="shared" si="550"/>
        <v>2021-01</v>
      </c>
      <c r="W2742">
        <v>22200.6</v>
      </c>
      <c r="X2742">
        <f t="shared" si="557"/>
        <v>-5.178769009535537E-3</v>
      </c>
      <c r="Y2742">
        <f t="shared" si="558"/>
        <v>-5.1653823041629314E-3</v>
      </c>
      <c r="Z2742" t="str">
        <f t="shared" si="551"/>
        <v>2021-01</v>
      </c>
    </row>
    <row r="2743" spans="1:26" x14ac:dyDescent="0.35">
      <c r="A2743" s="1">
        <v>44202</v>
      </c>
      <c r="C2743">
        <v>3611.08</v>
      </c>
      <c r="D2743">
        <f t="shared" si="552"/>
        <v>1.7665110363469384E-2</v>
      </c>
      <c r="E2743" t="str">
        <f t="shared" si="546"/>
        <v>2021-01</v>
      </c>
      <c r="G2743">
        <v>5630.6</v>
      </c>
      <c r="H2743">
        <f t="shared" si="553"/>
        <v>1.1790904072822617E-2</v>
      </c>
      <c r="I2743" t="str">
        <f t="shared" si="547"/>
        <v>2021-01</v>
      </c>
      <c r="K2743">
        <v>13891.97</v>
      </c>
      <c r="L2743">
        <f t="shared" si="554"/>
        <v>1.7482080436793425E-2</v>
      </c>
      <c r="M2743" t="str">
        <f t="shared" si="548"/>
        <v>2021-01</v>
      </c>
      <c r="O2743">
        <v>7568.37997</v>
      </c>
      <c r="P2743">
        <f t="shared" si="555"/>
        <v>3.2160987373262145E-2</v>
      </c>
      <c r="Q2743" t="str">
        <f t="shared" si="549"/>
        <v>2021-01</v>
      </c>
      <c r="S2743">
        <v>8350.2999999999993</v>
      </c>
      <c r="T2743">
        <f t="shared" si="556"/>
        <v>3.1483338386273207E-2</v>
      </c>
      <c r="U2743" t="str">
        <f t="shared" si="550"/>
        <v>2021-01</v>
      </c>
      <c r="W2743">
        <v>22734.32</v>
      </c>
      <c r="X2743">
        <f t="shared" si="557"/>
        <v>2.3756361458971153E-2</v>
      </c>
      <c r="Y2743">
        <f t="shared" si="558"/>
        <v>2.4040791690314731E-2</v>
      </c>
      <c r="Z2743" t="str">
        <f t="shared" si="551"/>
        <v>2021-01</v>
      </c>
    </row>
    <row r="2744" spans="1:26" x14ac:dyDescent="0.35">
      <c r="A2744" s="1">
        <v>44203</v>
      </c>
      <c r="C2744">
        <v>3622.42</v>
      </c>
      <c r="D2744">
        <f t="shared" si="552"/>
        <v>3.1354141950993659E-3</v>
      </c>
      <c r="E2744" t="str">
        <f t="shared" si="546"/>
        <v>2021-01</v>
      </c>
      <c r="G2744">
        <v>5669.85</v>
      </c>
      <c r="H2744">
        <f t="shared" si="553"/>
        <v>6.946653953994711E-3</v>
      </c>
      <c r="I2744" t="str">
        <f t="shared" si="547"/>
        <v>2021-01</v>
      </c>
      <c r="K2744">
        <v>13968.24</v>
      </c>
      <c r="L2744">
        <f t="shared" si="554"/>
        <v>5.4752057169920026E-3</v>
      </c>
      <c r="M2744" t="str">
        <f t="shared" si="548"/>
        <v>2021-01</v>
      </c>
      <c r="O2744">
        <v>7573.6257999999998</v>
      </c>
      <c r="P2744">
        <f t="shared" si="555"/>
        <v>6.9288445527676676E-4</v>
      </c>
      <c r="Q2744" t="str">
        <f t="shared" si="549"/>
        <v>2021-01</v>
      </c>
      <c r="S2744">
        <v>8385.7999999999993</v>
      </c>
      <c r="T2744">
        <f t="shared" si="556"/>
        <v>4.2423328304988118E-3</v>
      </c>
      <c r="U2744" t="str">
        <f t="shared" si="550"/>
        <v>2021-01</v>
      </c>
      <c r="W2744">
        <v>22746.080000000002</v>
      </c>
      <c r="X2744">
        <f t="shared" si="557"/>
        <v>5.1714585896742919E-4</v>
      </c>
      <c r="Y2744">
        <f t="shared" si="558"/>
        <v>5.1727960194111972E-4</v>
      </c>
      <c r="Z2744" t="str">
        <f t="shared" si="551"/>
        <v>2021-01</v>
      </c>
    </row>
    <row r="2745" spans="1:26" x14ac:dyDescent="0.35">
      <c r="A2745" s="1">
        <v>44204</v>
      </c>
      <c r="C2745">
        <v>3645.05</v>
      </c>
      <c r="D2745">
        <f t="shared" si="552"/>
        <v>6.2277720148197734E-3</v>
      </c>
      <c r="E2745" t="str">
        <f t="shared" si="546"/>
        <v>2021-01</v>
      </c>
      <c r="G2745">
        <v>5706.88</v>
      </c>
      <c r="H2745">
        <f t="shared" si="553"/>
        <v>6.5098021610574975E-3</v>
      </c>
      <c r="I2745" t="str">
        <f t="shared" si="547"/>
        <v>2021-01</v>
      </c>
      <c r="K2745">
        <v>14049.53</v>
      </c>
      <c r="L2745">
        <f t="shared" si="554"/>
        <v>5.8027621827106812E-3</v>
      </c>
      <c r="M2745" t="str">
        <f t="shared" si="548"/>
        <v>2021-01</v>
      </c>
      <c r="O2745">
        <v>7632.5840900000003</v>
      </c>
      <c r="P2745">
        <f t="shared" si="555"/>
        <v>7.7545405292458918E-3</v>
      </c>
      <c r="Q2745" t="str">
        <f t="shared" si="549"/>
        <v>2021-01</v>
      </c>
      <c r="S2745">
        <v>8407.7000000000007</v>
      </c>
      <c r="T2745">
        <f t="shared" si="556"/>
        <v>2.6081534420456264E-3</v>
      </c>
      <c r="U2745" t="str">
        <f t="shared" si="550"/>
        <v>2021-01</v>
      </c>
      <c r="W2745">
        <v>22793.94</v>
      </c>
      <c r="X2745">
        <f t="shared" si="557"/>
        <v>2.101888300452757E-3</v>
      </c>
      <c r="Y2745">
        <f t="shared" si="558"/>
        <v>2.1040988161475272E-3</v>
      </c>
      <c r="Z2745" t="str">
        <f t="shared" si="551"/>
        <v>2021-01</v>
      </c>
    </row>
    <row r="2746" spans="1:26" x14ac:dyDescent="0.35">
      <c r="A2746" s="1">
        <v>44207</v>
      </c>
      <c r="C2746">
        <v>3620.62</v>
      </c>
      <c r="D2746">
        <f t="shared" si="552"/>
        <v>-6.7248008969067246E-3</v>
      </c>
      <c r="E2746" t="str">
        <f t="shared" si="546"/>
        <v>2021-01</v>
      </c>
      <c r="G2746">
        <v>5662.43</v>
      </c>
      <c r="H2746">
        <f t="shared" si="553"/>
        <v>-7.8193358224860655E-3</v>
      </c>
      <c r="I2746" t="str">
        <f t="shared" si="547"/>
        <v>2021-01</v>
      </c>
      <c r="K2746">
        <v>13936.66</v>
      </c>
      <c r="L2746">
        <f t="shared" si="554"/>
        <v>-8.0661649171413115E-3</v>
      </c>
      <c r="M2746" t="str">
        <f t="shared" si="548"/>
        <v>2021-01</v>
      </c>
      <c r="O2746">
        <v>7557.8401000000003</v>
      </c>
      <c r="P2746">
        <f t="shared" si="555"/>
        <v>-9.8410146132608331E-3</v>
      </c>
      <c r="Q2746" t="str">
        <f t="shared" si="549"/>
        <v>2021-01</v>
      </c>
      <c r="S2746">
        <v>8357.5</v>
      </c>
      <c r="T2746">
        <f t="shared" si="556"/>
        <v>-5.988613321504372E-3</v>
      </c>
      <c r="U2746" t="str">
        <f t="shared" si="550"/>
        <v>2021-01</v>
      </c>
      <c r="W2746">
        <v>22722.01</v>
      </c>
      <c r="X2746">
        <f t="shared" si="557"/>
        <v>-3.1606529087090055E-3</v>
      </c>
      <c r="Y2746">
        <f t="shared" si="558"/>
        <v>-3.1556633034920813E-3</v>
      </c>
      <c r="Z2746" t="str">
        <f t="shared" si="551"/>
        <v>2021-01</v>
      </c>
    </row>
    <row r="2747" spans="1:26" x14ac:dyDescent="0.35">
      <c r="A2747" s="1">
        <v>44208</v>
      </c>
      <c r="C2747">
        <v>3612.13</v>
      </c>
      <c r="D2747">
        <f t="shared" si="552"/>
        <v>-2.3476558430409016E-3</v>
      </c>
      <c r="E2747" t="str">
        <f t="shared" si="546"/>
        <v>2021-01</v>
      </c>
      <c r="G2747">
        <v>5650.97</v>
      </c>
      <c r="H2747">
        <f t="shared" si="553"/>
        <v>-2.0259168631257644E-3</v>
      </c>
      <c r="I2747" t="str">
        <f t="shared" si="547"/>
        <v>2021-01</v>
      </c>
      <c r="K2747">
        <v>13925.06</v>
      </c>
      <c r="L2747">
        <f t="shared" si="554"/>
        <v>-8.3268374459659756E-4</v>
      </c>
      <c r="M2747" t="str">
        <f t="shared" si="548"/>
        <v>2021-01</v>
      </c>
      <c r="O2747">
        <v>7557.9461700000002</v>
      </c>
      <c r="P2747">
        <f t="shared" si="555"/>
        <v>1.4034334450953355E-5</v>
      </c>
      <c r="Q2747" t="str">
        <f t="shared" si="549"/>
        <v>2021-01</v>
      </c>
      <c r="S2747">
        <v>8345.9</v>
      </c>
      <c r="T2747">
        <f t="shared" si="556"/>
        <v>-1.3889390022206779E-3</v>
      </c>
      <c r="U2747" t="str">
        <f t="shared" si="550"/>
        <v>2021-01</v>
      </c>
      <c r="W2747">
        <v>22646.07</v>
      </c>
      <c r="X2747">
        <f t="shared" si="557"/>
        <v>-3.3477313090413594E-3</v>
      </c>
      <c r="Y2747">
        <f t="shared" si="558"/>
        <v>-3.342133904526875E-3</v>
      </c>
      <c r="Z2747" t="str">
        <f t="shared" si="551"/>
        <v>2021-01</v>
      </c>
    </row>
    <row r="2748" spans="1:26" x14ac:dyDescent="0.35">
      <c r="A2748" s="1">
        <v>44209</v>
      </c>
      <c r="C2748">
        <v>3616.51</v>
      </c>
      <c r="D2748">
        <f t="shared" si="552"/>
        <v>1.2118463600425873E-3</v>
      </c>
      <c r="E2748" t="str">
        <f t="shared" si="546"/>
        <v>2021-01</v>
      </c>
      <c r="G2748">
        <v>5662.67</v>
      </c>
      <c r="H2748">
        <f t="shared" si="553"/>
        <v>2.0683005948430983E-3</v>
      </c>
      <c r="I2748" t="str">
        <f t="shared" si="547"/>
        <v>2021-01</v>
      </c>
      <c r="K2748">
        <v>13939.71</v>
      </c>
      <c r="L2748">
        <f t="shared" si="554"/>
        <v>1.0515070714622063E-3</v>
      </c>
      <c r="M2748" t="str">
        <f t="shared" si="548"/>
        <v>2021-01</v>
      </c>
      <c r="O2748">
        <v>7563.4108299999998</v>
      </c>
      <c r="P2748">
        <f t="shared" si="555"/>
        <v>7.2277378781492626E-4</v>
      </c>
      <c r="Q2748" t="str">
        <f t="shared" si="549"/>
        <v>2021-01</v>
      </c>
      <c r="S2748">
        <v>8361.1</v>
      </c>
      <c r="T2748">
        <f t="shared" si="556"/>
        <v>1.8195970783323003E-3</v>
      </c>
      <c r="U2748" t="str">
        <f t="shared" si="550"/>
        <v>2021-01</v>
      </c>
      <c r="W2748">
        <v>22743.65</v>
      </c>
      <c r="X2748">
        <f t="shared" si="557"/>
        <v>4.2996586156776135E-3</v>
      </c>
      <c r="Y2748">
        <f t="shared" si="558"/>
        <v>4.3089154100469417E-3</v>
      </c>
      <c r="Z2748" t="str">
        <f t="shared" si="551"/>
        <v>2021-01</v>
      </c>
    </row>
    <row r="2749" spans="1:26" x14ac:dyDescent="0.35">
      <c r="A2749" s="1">
        <v>44210</v>
      </c>
      <c r="C2749">
        <v>3641.37</v>
      </c>
      <c r="D2749">
        <f t="shared" si="552"/>
        <v>6.850512056478221E-3</v>
      </c>
      <c r="E2749" t="str">
        <f t="shared" si="546"/>
        <v>2021-01</v>
      </c>
      <c r="G2749">
        <v>5681.14</v>
      </c>
      <c r="H2749">
        <f t="shared" si="553"/>
        <v>3.2564043864595034E-3</v>
      </c>
      <c r="I2749" t="str">
        <f t="shared" si="547"/>
        <v>2021-01</v>
      </c>
      <c r="K2749">
        <v>13988.7</v>
      </c>
      <c r="L2749">
        <f t="shared" si="554"/>
        <v>3.508259170280162E-3</v>
      </c>
      <c r="M2749" t="str">
        <f t="shared" si="548"/>
        <v>2021-01</v>
      </c>
      <c r="O2749">
        <v>7653.4629699999996</v>
      </c>
      <c r="P2749">
        <f t="shared" si="555"/>
        <v>1.1835964793465712E-2</v>
      </c>
      <c r="Q2749" t="str">
        <f t="shared" si="549"/>
        <v>2021-01</v>
      </c>
      <c r="S2749">
        <v>8372.4</v>
      </c>
      <c r="T2749">
        <f t="shared" si="556"/>
        <v>1.3505843628257971E-3</v>
      </c>
      <c r="U2749" t="str">
        <f t="shared" si="550"/>
        <v>2021-01</v>
      </c>
      <c r="W2749">
        <v>22637.72</v>
      </c>
      <c r="X2749">
        <f t="shared" si="557"/>
        <v>-4.6684440064161028E-3</v>
      </c>
      <c r="Y2749">
        <f t="shared" si="558"/>
        <v>-4.6575637595548773E-3</v>
      </c>
      <c r="Z2749" t="str">
        <f t="shared" si="551"/>
        <v>2021-01</v>
      </c>
    </row>
    <row r="2750" spans="1:26" x14ac:dyDescent="0.35">
      <c r="A2750" s="1">
        <v>44211</v>
      </c>
      <c r="C2750">
        <v>3599.55</v>
      </c>
      <c r="D2750">
        <f t="shared" si="552"/>
        <v>-1.1551146815323283E-2</v>
      </c>
      <c r="E2750" t="str">
        <f t="shared" si="546"/>
        <v>2021-01</v>
      </c>
      <c r="G2750">
        <v>5611.69</v>
      </c>
      <c r="H2750">
        <f t="shared" si="553"/>
        <v>-1.2299994879572116E-2</v>
      </c>
      <c r="I2750" t="str">
        <f t="shared" si="547"/>
        <v>2021-01</v>
      </c>
      <c r="K2750">
        <v>13787.73</v>
      </c>
      <c r="L2750">
        <f t="shared" si="554"/>
        <v>-1.4470794625481207E-2</v>
      </c>
      <c r="M2750" t="str">
        <f t="shared" si="548"/>
        <v>2021-01</v>
      </c>
      <c r="O2750">
        <v>7577.8129900000004</v>
      </c>
      <c r="P2750">
        <f t="shared" si="555"/>
        <v>-9.9335869520554409E-3</v>
      </c>
      <c r="Q2750" t="str">
        <f t="shared" si="549"/>
        <v>2021-01</v>
      </c>
      <c r="S2750">
        <v>8230.7000000000007</v>
      </c>
      <c r="T2750">
        <f t="shared" si="556"/>
        <v>-1.7069516001012332E-2</v>
      </c>
      <c r="U2750" t="str">
        <f t="shared" si="550"/>
        <v>2021-01</v>
      </c>
      <c r="W2750">
        <v>22381.35</v>
      </c>
      <c r="X2750">
        <f t="shared" si="557"/>
        <v>-1.1389518769624454E-2</v>
      </c>
      <c r="Y2750">
        <f t="shared" si="558"/>
        <v>-1.1324903744723523E-2</v>
      </c>
      <c r="Z2750" t="str">
        <f t="shared" si="551"/>
        <v>2021-01</v>
      </c>
    </row>
    <row r="2751" spans="1:26" x14ac:dyDescent="0.35">
      <c r="A2751" s="1">
        <v>44214</v>
      </c>
      <c r="C2751">
        <v>3602.67</v>
      </c>
      <c r="D2751">
        <f t="shared" si="552"/>
        <v>8.663995810093537E-4</v>
      </c>
      <c r="E2751" t="str">
        <f t="shared" si="546"/>
        <v>2021-01</v>
      </c>
      <c r="G2751">
        <v>5617.27</v>
      </c>
      <c r="H2751">
        <f t="shared" si="553"/>
        <v>9.9385881850262313E-4</v>
      </c>
      <c r="I2751" t="str">
        <f t="shared" si="547"/>
        <v>2021-01</v>
      </c>
      <c r="K2751">
        <v>13848.35</v>
      </c>
      <c r="L2751">
        <f t="shared" si="554"/>
        <v>4.3870257449190944E-3</v>
      </c>
      <c r="M2751" t="str">
        <f t="shared" si="548"/>
        <v>2021-01</v>
      </c>
      <c r="O2751">
        <v>7558.8528100000003</v>
      </c>
      <c r="P2751">
        <f t="shared" si="555"/>
        <v>-2.505200308540686E-3</v>
      </c>
      <c r="Q2751" t="str">
        <f t="shared" si="549"/>
        <v>2021-01</v>
      </c>
      <c r="S2751">
        <v>8254.5</v>
      </c>
      <c r="T2751">
        <f t="shared" si="556"/>
        <v>2.8874404357443107E-3</v>
      </c>
      <c r="U2751" t="str">
        <f t="shared" si="550"/>
        <v>2021-01</v>
      </c>
      <c r="W2751">
        <v>22498.89</v>
      </c>
      <c r="X2751">
        <f t="shared" si="557"/>
        <v>5.2379518797969144E-3</v>
      </c>
      <c r="Y2751">
        <f t="shared" si="558"/>
        <v>5.2516939326716612E-3</v>
      </c>
      <c r="Z2751" t="str">
        <f t="shared" si="551"/>
        <v>2021-01</v>
      </c>
    </row>
    <row r="2752" spans="1:26" x14ac:dyDescent="0.35">
      <c r="A2752" s="1">
        <v>44215</v>
      </c>
      <c r="C2752">
        <v>3595.42</v>
      </c>
      <c r="D2752">
        <f t="shared" si="552"/>
        <v>-2.0144239518122041E-3</v>
      </c>
      <c r="E2752" t="str">
        <f t="shared" si="546"/>
        <v>2021-01</v>
      </c>
      <c r="G2752">
        <v>5598.61</v>
      </c>
      <c r="H2752">
        <f t="shared" si="553"/>
        <v>-3.3274281138193982E-3</v>
      </c>
      <c r="I2752" t="str">
        <f t="shared" si="547"/>
        <v>2021-01</v>
      </c>
      <c r="K2752">
        <v>13815.06</v>
      </c>
      <c r="L2752">
        <f t="shared" si="554"/>
        <v>-2.4067904911035071E-3</v>
      </c>
      <c r="M2752" t="str">
        <f t="shared" si="548"/>
        <v>2021-01</v>
      </c>
      <c r="O2752">
        <v>7545.9074099999998</v>
      </c>
      <c r="P2752">
        <f t="shared" si="555"/>
        <v>-1.7140825780749924E-3</v>
      </c>
      <c r="Q2752" t="str">
        <f t="shared" si="549"/>
        <v>2021-01</v>
      </c>
      <c r="S2752">
        <v>8199</v>
      </c>
      <c r="T2752">
        <f t="shared" si="556"/>
        <v>-6.7463105717455027E-3</v>
      </c>
      <c r="U2752" t="str">
        <f t="shared" si="550"/>
        <v>2021-01</v>
      </c>
      <c r="W2752">
        <v>22441.72</v>
      </c>
      <c r="X2752">
        <f t="shared" si="557"/>
        <v>-2.5442481016341952E-3</v>
      </c>
      <c r="Y2752">
        <f t="shared" si="558"/>
        <v>-2.5410142455915938E-3</v>
      </c>
      <c r="Z2752" t="str">
        <f t="shared" si="551"/>
        <v>2021-01</v>
      </c>
    </row>
    <row r="2753" spans="1:26" x14ac:dyDescent="0.35">
      <c r="A2753" s="1">
        <v>44216</v>
      </c>
      <c r="C2753">
        <v>3624.04</v>
      </c>
      <c r="D2753">
        <f t="shared" si="552"/>
        <v>7.9286123693033516E-3</v>
      </c>
      <c r="E2753" t="str">
        <f t="shared" si="546"/>
        <v>2021-01</v>
      </c>
      <c r="G2753">
        <v>5628.44</v>
      </c>
      <c r="H2753">
        <f t="shared" si="553"/>
        <v>5.3139640770213407E-3</v>
      </c>
      <c r="I2753" t="str">
        <f t="shared" si="547"/>
        <v>2021-01</v>
      </c>
      <c r="K2753">
        <v>13921.37</v>
      </c>
      <c r="L2753">
        <f t="shared" si="554"/>
        <v>7.6657681323493597E-3</v>
      </c>
      <c r="M2753" t="str">
        <f t="shared" si="548"/>
        <v>2021-01</v>
      </c>
      <c r="O2753">
        <v>7594.9781400000002</v>
      </c>
      <c r="P2753">
        <f t="shared" si="555"/>
        <v>6.481906444267169E-3</v>
      </c>
      <c r="Q2753" t="str">
        <f t="shared" si="549"/>
        <v>2021-01</v>
      </c>
      <c r="S2753">
        <v>8204.1</v>
      </c>
      <c r="T2753">
        <f t="shared" si="556"/>
        <v>6.2183369781782698E-4</v>
      </c>
      <c r="U2753" t="str">
        <f t="shared" si="550"/>
        <v>2021-01</v>
      </c>
      <c r="W2753">
        <v>22650.78</v>
      </c>
      <c r="X2753">
        <f t="shared" si="557"/>
        <v>9.2725618637148378E-3</v>
      </c>
      <c r="Y2753">
        <f t="shared" si="558"/>
        <v>9.3156852505065415E-3</v>
      </c>
      <c r="Z2753" t="str">
        <f t="shared" si="551"/>
        <v>2021-01</v>
      </c>
    </row>
    <row r="2754" spans="1:26" x14ac:dyDescent="0.35">
      <c r="A2754" s="1">
        <v>44217</v>
      </c>
      <c r="C2754">
        <v>3618.35</v>
      </c>
      <c r="D2754">
        <f t="shared" si="552"/>
        <v>-1.5713048236057168E-3</v>
      </c>
      <c r="E2754" t="str">
        <f t="shared" si="546"/>
        <v>2021-01</v>
      </c>
      <c r="G2754">
        <v>5590.79</v>
      </c>
      <c r="H2754">
        <f t="shared" si="553"/>
        <v>-6.7117157479182499E-3</v>
      </c>
      <c r="I2754" t="str">
        <f t="shared" si="547"/>
        <v>2021-01</v>
      </c>
      <c r="K2754">
        <v>13906.67</v>
      </c>
      <c r="L2754">
        <f t="shared" si="554"/>
        <v>-1.0564884459923233E-3</v>
      </c>
      <c r="M2754" t="str">
        <f t="shared" si="548"/>
        <v>2021-01</v>
      </c>
      <c r="O2754">
        <v>7578.2704899999999</v>
      </c>
      <c r="P2754">
        <f t="shared" si="555"/>
        <v>-2.2022517603144933E-3</v>
      </c>
      <c r="Q2754" t="str">
        <f t="shared" si="549"/>
        <v>2021-01</v>
      </c>
      <c r="S2754">
        <v>8122.1</v>
      </c>
      <c r="T2754">
        <f t="shared" si="556"/>
        <v>-1.0045287885182481E-2</v>
      </c>
      <c r="U2754" t="str">
        <f t="shared" si="550"/>
        <v>2021-01</v>
      </c>
      <c r="W2754">
        <v>22428.93</v>
      </c>
      <c r="X2754">
        <f t="shared" si="557"/>
        <v>-9.8426449958464949E-3</v>
      </c>
      <c r="Y2754">
        <f t="shared" si="558"/>
        <v>-9.7943646973745954E-3</v>
      </c>
      <c r="Z2754" t="str">
        <f t="shared" si="551"/>
        <v>2021-01</v>
      </c>
    </row>
    <row r="2755" spans="1:26" x14ac:dyDescent="0.35">
      <c r="A2755" s="1">
        <v>44218</v>
      </c>
      <c r="C2755">
        <v>3602.41</v>
      </c>
      <c r="D2755">
        <f t="shared" si="552"/>
        <v>-4.4150548952763711E-3</v>
      </c>
      <c r="E2755" t="str">
        <f t="shared" si="546"/>
        <v>2021-01</v>
      </c>
      <c r="G2755">
        <v>5559.57</v>
      </c>
      <c r="H2755">
        <f t="shared" si="553"/>
        <v>-5.5998338319807597E-3</v>
      </c>
      <c r="I2755" t="str">
        <f t="shared" si="547"/>
        <v>2021-01</v>
      </c>
      <c r="K2755">
        <v>13873.97</v>
      </c>
      <c r="L2755">
        <f t="shared" si="554"/>
        <v>-2.3541585148592449E-3</v>
      </c>
      <c r="M2755" t="str">
        <f t="shared" si="548"/>
        <v>2021-01</v>
      </c>
      <c r="O2755">
        <v>7527.0701499999996</v>
      </c>
      <c r="P2755">
        <f t="shared" si="555"/>
        <v>-6.77913028284773E-3</v>
      </c>
      <c r="Q2755" t="str">
        <f t="shared" si="549"/>
        <v>2021-01</v>
      </c>
      <c r="S2755">
        <v>8036.4</v>
      </c>
      <c r="T2755">
        <f t="shared" si="556"/>
        <v>-1.0607519704808365E-2</v>
      </c>
      <c r="U2755" t="str">
        <f t="shared" si="550"/>
        <v>2021-01</v>
      </c>
      <c r="W2755">
        <v>22088.36</v>
      </c>
      <c r="X2755">
        <f t="shared" si="557"/>
        <v>-1.5300870488717925E-2</v>
      </c>
      <c r="Y2755">
        <f t="shared" si="558"/>
        <v>-1.5184406924449794E-2</v>
      </c>
      <c r="Z2755" t="str">
        <f t="shared" si="551"/>
        <v>2021-01</v>
      </c>
    </row>
    <row r="2756" spans="1:26" x14ac:dyDescent="0.35">
      <c r="A2756" s="1">
        <v>44221</v>
      </c>
      <c r="C2756">
        <v>3553.14</v>
      </c>
      <c r="D2756">
        <f t="shared" si="552"/>
        <v>-1.3771346344795042E-2</v>
      </c>
      <c r="E2756" t="str">
        <f t="shared" ref="E2756:E2819" si="559">_xlfn.CONCAT(YEAR(A2756),"-",TEXT(MONTH(A2756),"00"))</f>
        <v>2021-01</v>
      </c>
      <c r="G2756">
        <v>5472.36</v>
      </c>
      <c r="H2756">
        <f t="shared" si="553"/>
        <v>-1.5810799512346218E-2</v>
      </c>
      <c r="I2756" t="str">
        <f t="shared" ref="I2756:I2819" si="560">_xlfn.CONCAT(YEAR(A2756),"-",TEXT(MONTH(A2756),"00"))</f>
        <v>2021-01</v>
      </c>
      <c r="K2756">
        <v>13643.95</v>
      </c>
      <c r="L2756">
        <f t="shared" si="554"/>
        <v>-1.6718222707564741E-2</v>
      </c>
      <c r="M2756" t="str">
        <f t="shared" ref="M2756:M2819" si="561">_xlfn.CONCAT(YEAR(A2756),"-",TEXT(MONTH(A2756),"00"))</f>
        <v>2021-01</v>
      </c>
      <c r="O2756">
        <v>7472.4643500000002</v>
      </c>
      <c r="P2756">
        <f t="shared" si="555"/>
        <v>-7.2810314528715522E-3</v>
      </c>
      <c r="Q2756" t="str">
        <f t="shared" ref="Q2756:Q2819" si="562">_xlfn.CONCAT(YEAR(A2756),"-",TEXT(MONTH(A2756),"00"))</f>
        <v>2021-01</v>
      </c>
      <c r="S2756">
        <v>7897.3</v>
      </c>
      <c r="T2756">
        <f t="shared" si="556"/>
        <v>-1.7460292818203167E-2</v>
      </c>
      <c r="U2756" t="str">
        <f t="shared" ref="U2756:U2819" si="563">_xlfn.CONCAT(YEAR(A2756),"-",TEXT(MONTH(A2756),"00"))</f>
        <v>2021-01</v>
      </c>
      <c r="W2756">
        <v>21735.95</v>
      </c>
      <c r="X2756">
        <f t="shared" si="557"/>
        <v>-1.6083201147475197E-2</v>
      </c>
      <c r="Y2756">
        <f t="shared" si="558"/>
        <v>-1.595455706082298E-2</v>
      </c>
      <c r="Z2756" t="str">
        <f t="shared" ref="Z2756:Z2819" si="564">_xlfn.CONCAT(YEAR(A2756),"-",TEXT(MONTH(A2756),"00"))</f>
        <v>2021-01</v>
      </c>
    </row>
    <row r="2757" spans="1:26" x14ac:dyDescent="0.35">
      <c r="A2757" s="1">
        <v>44222</v>
      </c>
      <c r="C2757">
        <v>3592.83</v>
      </c>
      <c r="D2757">
        <f t="shared" ref="D2757:D2820" si="565">LN(C2757/C2756)</f>
        <v>1.110847320619341E-2</v>
      </c>
      <c r="E2757" t="str">
        <f t="shared" si="559"/>
        <v>2021-01</v>
      </c>
      <c r="G2757">
        <v>5523.52</v>
      </c>
      <c r="H2757">
        <f t="shared" ref="H2757:H2820" si="566">LN(G2757/G2756)</f>
        <v>9.3053705862865127E-3</v>
      </c>
      <c r="I2757" t="str">
        <f t="shared" si="560"/>
        <v>2021-01</v>
      </c>
      <c r="K2757">
        <v>13870.99</v>
      </c>
      <c r="L2757">
        <f t="shared" ref="L2757:L2820" si="567">LN(K2757/K2756)</f>
        <v>1.6503408917135157E-2</v>
      </c>
      <c r="M2757" t="str">
        <f t="shared" si="561"/>
        <v>2021-01</v>
      </c>
      <c r="O2757">
        <v>7516.0701900000004</v>
      </c>
      <c r="P2757">
        <f t="shared" ref="P2757:P2820" si="568">LN(O2757/O2756)</f>
        <v>5.8185759134137252E-3</v>
      </c>
      <c r="Q2757" t="str">
        <f t="shared" si="562"/>
        <v>2021-01</v>
      </c>
      <c r="S2757">
        <v>7964.9</v>
      </c>
      <c r="T2757">
        <f t="shared" ref="T2757:T2820" si="569">LN(S2757/S2756)</f>
        <v>8.5234594517242662E-3</v>
      </c>
      <c r="U2757" t="str">
        <f t="shared" si="563"/>
        <v>2021-01</v>
      </c>
      <c r="W2757">
        <v>21987</v>
      </c>
      <c r="X2757">
        <f t="shared" ref="X2757:X2820" si="570">LN(W2757/W2756)</f>
        <v>1.1483797821669549E-2</v>
      </c>
      <c r="Y2757">
        <f t="shared" ref="Y2757:Y2820" si="571">(W2757-W2756)/W2756</f>
        <v>1.1549989763502367E-2</v>
      </c>
      <c r="Z2757" t="str">
        <f t="shared" si="564"/>
        <v>2021-01</v>
      </c>
    </row>
    <row r="2758" spans="1:26" x14ac:dyDescent="0.35">
      <c r="A2758" s="1">
        <v>44223</v>
      </c>
      <c r="C2758">
        <v>3536.38</v>
      </c>
      <c r="D2758">
        <f t="shared" si="565"/>
        <v>-1.5836587725248256E-2</v>
      </c>
      <c r="E2758" t="str">
        <f t="shared" si="559"/>
        <v>2021-01</v>
      </c>
      <c r="G2758">
        <v>5459.62</v>
      </c>
      <c r="H2758">
        <f t="shared" si="566"/>
        <v>-1.1636147950959264E-2</v>
      </c>
      <c r="I2758" t="str">
        <f t="shared" si="560"/>
        <v>2021-01</v>
      </c>
      <c r="K2758">
        <v>13620.46</v>
      </c>
      <c r="L2758">
        <f t="shared" si="567"/>
        <v>-1.8226534839327253E-2</v>
      </c>
      <c r="M2758" t="str">
        <f t="shared" si="561"/>
        <v>2021-01</v>
      </c>
      <c r="O2758">
        <v>7431.78287</v>
      </c>
      <c r="P2758">
        <f t="shared" si="568"/>
        <v>-1.1277634721230625E-2</v>
      </c>
      <c r="Q2758" t="str">
        <f t="shared" si="562"/>
        <v>2021-01</v>
      </c>
      <c r="S2758">
        <v>7852.7</v>
      </c>
      <c r="T2758">
        <f t="shared" si="569"/>
        <v>-1.418696665339882E-2</v>
      </c>
      <c r="U2758" t="str">
        <f t="shared" si="563"/>
        <v>2021-01</v>
      </c>
      <c r="W2758">
        <v>21662.73</v>
      </c>
      <c r="X2758">
        <f t="shared" si="570"/>
        <v>-1.4858097200034667E-2</v>
      </c>
      <c r="Y2758">
        <f t="shared" si="571"/>
        <v>-1.4748260335652906E-2</v>
      </c>
      <c r="Z2758" t="str">
        <f t="shared" si="564"/>
        <v>2021-01</v>
      </c>
    </row>
    <row r="2759" spans="1:26" x14ac:dyDescent="0.35">
      <c r="A2759" s="1">
        <v>44224</v>
      </c>
      <c r="C2759">
        <v>3557.04</v>
      </c>
      <c r="D2759">
        <f t="shared" si="565"/>
        <v>5.8251332699504003E-3</v>
      </c>
      <c r="E2759" t="str">
        <f t="shared" si="559"/>
        <v>2021-01</v>
      </c>
      <c r="G2759">
        <v>5510.52</v>
      </c>
      <c r="H2759">
        <f t="shared" si="566"/>
        <v>9.2798023123607104E-3</v>
      </c>
      <c r="I2759" t="str">
        <f t="shared" si="560"/>
        <v>2021-01</v>
      </c>
      <c r="K2759">
        <v>13665.93</v>
      </c>
      <c r="L2759">
        <f t="shared" si="567"/>
        <v>3.3328001313752006E-3</v>
      </c>
      <c r="M2759" t="str">
        <f t="shared" si="561"/>
        <v>2021-01</v>
      </c>
      <c r="O2759">
        <v>7387.8709200000003</v>
      </c>
      <c r="P2759">
        <f t="shared" si="568"/>
        <v>-5.9261949215593628E-3</v>
      </c>
      <c r="Q2759" t="str">
        <f t="shared" si="562"/>
        <v>2021-01</v>
      </c>
      <c r="S2759">
        <v>7932.5</v>
      </c>
      <c r="T2759">
        <f t="shared" si="569"/>
        <v>1.0110822773223524E-2</v>
      </c>
      <c r="U2759" t="str">
        <f t="shared" si="563"/>
        <v>2021-01</v>
      </c>
      <c r="W2759">
        <v>21916.5</v>
      </c>
      <c r="X2759">
        <f t="shared" si="570"/>
        <v>1.1646505386323724E-2</v>
      </c>
      <c r="Y2759">
        <f t="shared" si="571"/>
        <v>1.1714589989350392E-2</v>
      </c>
      <c r="Z2759" t="str">
        <f t="shared" si="564"/>
        <v>2021-01</v>
      </c>
    </row>
    <row r="2760" spans="1:26" x14ac:dyDescent="0.35">
      <c r="A2760" s="1">
        <v>44225</v>
      </c>
      <c r="C2760">
        <v>3481.44</v>
      </c>
      <c r="D2760">
        <f t="shared" si="565"/>
        <v>-2.1482737033557263E-2</v>
      </c>
      <c r="E2760" t="str">
        <f t="shared" si="559"/>
        <v>2021-01</v>
      </c>
      <c r="G2760">
        <v>5399.21</v>
      </c>
      <c r="H2760">
        <f t="shared" si="566"/>
        <v>-2.0406346006003374E-2</v>
      </c>
      <c r="I2760" t="str">
        <f t="shared" si="560"/>
        <v>2021-01</v>
      </c>
      <c r="K2760">
        <v>13432.87</v>
      </c>
      <c r="L2760">
        <f t="shared" si="567"/>
        <v>-1.7201185769832972E-2</v>
      </c>
      <c r="M2760" t="str">
        <f t="shared" si="561"/>
        <v>2021-01</v>
      </c>
      <c r="O2760">
        <v>7238.7608600000003</v>
      </c>
      <c r="P2760">
        <f t="shared" si="568"/>
        <v>-2.038955079307616E-2</v>
      </c>
      <c r="Q2760" t="str">
        <f t="shared" si="562"/>
        <v>2021-01</v>
      </c>
      <c r="S2760">
        <v>7757.5</v>
      </c>
      <c r="T2760">
        <f t="shared" si="569"/>
        <v>-2.230812713481533E-2</v>
      </c>
      <c r="U2760" t="str">
        <f t="shared" si="563"/>
        <v>2021-01</v>
      </c>
      <c r="W2760">
        <v>21572.53</v>
      </c>
      <c r="X2760">
        <f t="shared" si="570"/>
        <v>-1.5819031739348944E-2</v>
      </c>
      <c r="Y2760">
        <f t="shared" si="571"/>
        <v>-1.5694568019528718E-2</v>
      </c>
      <c r="Z2760" t="str">
        <f t="shared" si="564"/>
        <v>2021-01</v>
      </c>
    </row>
    <row r="2761" spans="1:26" x14ac:dyDescent="0.35">
      <c r="A2761" s="1">
        <v>44228</v>
      </c>
      <c r="C2761">
        <v>3530.85</v>
      </c>
      <c r="D2761">
        <f t="shared" si="565"/>
        <v>1.4092633859233745E-2</v>
      </c>
      <c r="E2761" t="str">
        <f t="shared" si="559"/>
        <v>2021-02</v>
      </c>
      <c r="G2761">
        <v>5461.68</v>
      </c>
      <c r="H2761">
        <f t="shared" si="566"/>
        <v>1.1503788165350514E-2</v>
      </c>
      <c r="I2761" t="str">
        <f t="shared" si="560"/>
        <v>2021-02</v>
      </c>
      <c r="K2761">
        <v>13622.02</v>
      </c>
      <c r="L2761">
        <f t="shared" si="567"/>
        <v>1.3982912656681324E-2</v>
      </c>
      <c r="M2761" t="str">
        <f t="shared" si="561"/>
        <v>2021-02</v>
      </c>
      <c r="O2761">
        <v>7326.8235199999999</v>
      </c>
      <c r="P2761">
        <f t="shared" si="568"/>
        <v>1.2092028815676149E-2</v>
      </c>
      <c r="Q2761" t="str">
        <f t="shared" si="562"/>
        <v>2021-02</v>
      </c>
      <c r="S2761">
        <v>7798.2</v>
      </c>
      <c r="T2761">
        <f t="shared" si="569"/>
        <v>5.2328204930623566E-3</v>
      </c>
      <c r="U2761" t="str">
        <f t="shared" si="563"/>
        <v>2021-02</v>
      </c>
      <c r="W2761">
        <v>21825.51</v>
      </c>
      <c r="X2761">
        <f t="shared" si="570"/>
        <v>1.165872309147715E-2</v>
      </c>
      <c r="Y2761">
        <f t="shared" si="571"/>
        <v>1.1726950895421149E-2</v>
      </c>
      <c r="Z2761" t="str">
        <f t="shared" si="564"/>
        <v>2021-02</v>
      </c>
    </row>
    <row r="2762" spans="1:26" x14ac:dyDescent="0.35">
      <c r="A2762" s="1">
        <v>44229</v>
      </c>
      <c r="C2762">
        <v>3590.46</v>
      </c>
      <c r="D2762">
        <f t="shared" si="565"/>
        <v>1.6741692836192153E-2</v>
      </c>
      <c r="E2762" t="str">
        <f t="shared" si="559"/>
        <v>2021-02</v>
      </c>
      <c r="G2762">
        <v>5563.11</v>
      </c>
      <c r="H2762">
        <f t="shared" si="566"/>
        <v>1.8400869664232385E-2</v>
      </c>
      <c r="I2762" t="str">
        <f t="shared" si="560"/>
        <v>2021-02</v>
      </c>
      <c r="K2762">
        <v>13835.16</v>
      </c>
      <c r="L2762">
        <f t="shared" si="567"/>
        <v>1.5525577012485345E-2</v>
      </c>
      <c r="M2762" t="str">
        <f t="shared" si="561"/>
        <v>2021-02</v>
      </c>
      <c r="O2762">
        <v>7399.34458</v>
      </c>
      <c r="P2762">
        <f t="shared" si="568"/>
        <v>9.8493573858397156E-3</v>
      </c>
      <c r="Q2762" t="str">
        <f t="shared" si="562"/>
        <v>2021-02</v>
      </c>
      <c r="S2762">
        <v>7950.9</v>
      </c>
      <c r="T2762">
        <f t="shared" si="569"/>
        <v>1.939219197245886E-2</v>
      </c>
      <c r="U2762" t="str">
        <f t="shared" si="563"/>
        <v>2021-02</v>
      </c>
      <c r="W2762">
        <v>22066.87</v>
      </c>
      <c r="X2762">
        <f t="shared" si="570"/>
        <v>1.0997919583670237E-2</v>
      </c>
      <c r="Y2762">
        <f t="shared" si="571"/>
        <v>1.1058619019670129E-2</v>
      </c>
      <c r="Z2762" t="str">
        <f t="shared" si="564"/>
        <v>2021-02</v>
      </c>
    </row>
    <row r="2763" spans="1:26" x14ac:dyDescent="0.35">
      <c r="A2763" s="1">
        <v>44230</v>
      </c>
      <c r="C2763">
        <v>3609.75</v>
      </c>
      <c r="D2763">
        <f t="shared" si="565"/>
        <v>5.3581898726905337E-3</v>
      </c>
      <c r="E2763" t="str">
        <f t="shared" si="559"/>
        <v>2021-02</v>
      </c>
      <c r="G2763">
        <v>5563.05</v>
      </c>
      <c r="H2763">
        <f t="shared" si="566"/>
        <v>-1.0785392264726133E-5</v>
      </c>
      <c r="I2763" t="str">
        <f t="shared" si="560"/>
        <v>2021-02</v>
      </c>
      <c r="K2763">
        <v>13933.63</v>
      </c>
      <c r="L2763">
        <f t="shared" si="567"/>
        <v>7.0921644582423145E-3</v>
      </c>
      <c r="M2763" t="str">
        <f t="shared" si="561"/>
        <v>2021-02</v>
      </c>
      <c r="O2763">
        <v>7390.3554999999997</v>
      </c>
      <c r="P2763">
        <f t="shared" si="568"/>
        <v>-1.2155866661622719E-3</v>
      </c>
      <c r="Q2763" t="str">
        <f t="shared" si="562"/>
        <v>2021-02</v>
      </c>
      <c r="S2763">
        <v>8012.8</v>
      </c>
      <c r="T2763">
        <f t="shared" si="569"/>
        <v>7.7551332376135235E-3</v>
      </c>
      <c r="U2763" t="str">
        <f t="shared" si="563"/>
        <v>2021-02</v>
      </c>
      <c r="W2763">
        <v>22527.9</v>
      </c>
      <c r="X2763">
        <f t="shared" si="570"/>
        <v>2.0677152311415318E-2</v>
      </c>
      <c r="Y2763">
        <f t="shared" si="571"/>
        <v>2.0892405674207647E-2</v>
      </c>
      <c r="Z2763" t="str">
        <f t="shared" si="564"/>
        <v>2021-02</v>
      </c>
    </row>
    <row r="2764" spans="1:26" x14ac:dyDescent="0.35">
      <c r="A2764" s="1">
        <v>44231</v>
      </c>
      <c r="C2764">
        <v>3642.12</v>
      </c>
      <c r="D2764">
        <f t="shared" si="565"/>
        <v>8.9274118225804531E-3</v>
      </c>
      <c r="E2764" t="str">
        <f t="shared" si="559"/>
        <v>2021-02</v>
      </c>
      <c r="G2764">
        <v>5608.54</v>
      </c>
      <c r="H2764">
        <f t="shared" si="566"/>
        <v>8.1439171005421654E-3</v>
      </c>
      <c r="I2764" t="str">
        <f t="shared" si="560"/>
        <v>2021-02</v>
      </c>
      <c r="K2764">
        <v>14060.29</v>
      </c>
      <c r="L2764">
        <f t="shared" si="567"/>
        <v>9.0491695568940215E-3</v>
      </c>
      <c r="M2764" t="str">
        <f t="shared" si="561"/>
        <v>2021-02</v>
      </c>
      <c r="O2764">
        <v>7427.5407699999996</v>
      </c>
      <c r="P2764">
        <f t="shared" si="568"/>
        <v>5.0189780493696068E-3</v>
      </c>
      <c r="Q2764" t="str">
        <f t="shared" si="562"/>
        <v>2021-02</v>
      </c>
      <c r="S2764">
        <v>8122.6</v>
      </c>
      <c r="T2764">
        <f t="shared" si="569"/>
        <v>1.3610036922255146E-2</v>
      </c>
      <c r="U2764" t="str">
        <f t="shared" si="563"/>
        <v>2021-02</v>
      </c>
      <c r="W2764">
        <v>22900.55</v>
      </c>
      <c r="X2764">
        <f t="shared" si="570"/>
        <v>1.6406386693702757E-2</v>
      </c>
      <c r="Y2764">
        <f t="shared" si="571"/>
        <v>1.6541710501200634E-2</v>
      </c>
      <c r="Z2764" t="str">
        <f t="shared" si="564"/>
        <v>2021-02</v>
      </c>
    </row>
    <row r="2765" spans="1:26" x14ac:dyDescent="0.35">
      <c r="A2765" s="1">
        <v>44232</v>
      </c>
      <c r="C2765">
        <v>3655.77</v>
      </c>
      <c r="D2765">
        <f t="shared" si="565"/>
        <v>3.7408116367328484E-3</v>
      </c>
      <c r="E2765" t="str">
        <f t="shared" si="559"/>
        <v>2021-02</v>
      </c>
      <c r="G2765">
        <v>5659.26</v>
      </c>
      <c r="H2765">
        <f t="shared" si="566"/>
        <v>9.0027055086891183E-3</v>
      </c>
      <c r="I2765" t="str">
        <f t="shared" si="560"/>
        <v>2021-02</v>
      </c>
      <c r="K2765">
        <v>14056.72</v>
      </c>
      <c r="L2765">
        <f t="shared" si="567"/>
        <v>-2.539388092251398E-4</v>
      </c>
      <c r="M2765" t="str">
        <f t="shared" si="561"/>
        <v>2021-02</v>
      </c>
      <c r="O2765">
        <v>7403.0544</v>
      </c>
      <c r="P2765">
        <f t="shared" si="568"/>
        <v>-3.3021455942394001E-3</v>
      </c>
      <c r="Q2765" t="str">
        <f t="shared" si="562"/>
        <v>2021-02</v>
      </c>
      <c r="S2765">
        <v>8214.7000000000007</v>
      </c>
      <c r="T2765">
        <f t="shared" si="569"/>
        <v>1.1274932293021192E-2</v>
      </c>
      <c r="U2765" t="str">
        <f t="shared" si="563"/>
        <v>2021-02</v>
      </c>
      <c r="W2765">
        <v>23083.42</v>
      </c>
      <c r="X2765">
        <f t="shared" si="570"/>
        <v>7.953683165897214E-3</v>
      </c>
      <c r="Y2765">
        <f t="shared" si="571"/>
        <v>7.9853977306221461E-3</v>
      </c>
      <c r="Z2765" t="str">
        <f t="shared" si="564"/>
        <v>2021-02</v>
      </c>
    </row>
    <row r="2766" spans="1:26" x14ac:dyDescent="0.35">
      <c r="A2766" s="1">
        <v>44235</v>
      </c>
      <c r="C2766">
        <v>3665.51</v>
      </c>
      <c r="D2766">
        <f t="shared" si="565"/>
        <v>2.6607384900501764E-3</v>
      </c>
      <c r="E2766" t="str">
        <f t="shared" si="559"/>
        <v>2021-02</v>
      </c>
      <c r="G2766">
        <v>5686.03</v>
      </c>
      <c r="H2766">
        <f t="shared" si="566"/>
        <v>4.7191477135325238E-3</v>
      </c>
      <c r="I2766" t="str">
        <f t="shared" si="560"/>
        <v>2021-02</v>
      </c>
      <c r="K2766">
        <v>14059.91</v>
      </c>
      <c r="L2766">
        <f t="shared" si="567"/>
        <v>2.26911974421349E-4</v>
      </c>
      <c r="M2766" t="str">
        <f t="shared" si="561"/>
        <v>2021-02</v>
      </c>
      <c r="O2766">
        <v>7441.3836899999997</v>
      </c>
      <c r="P2766">
        <f t="shared" si="568"/>
        <v>5.1641395853601786E-3</v>
      </c>
      <c r="Q2766" t="str">
        <f t="shared" si="562"/>
        <v>2021-02</v>
      </c>
      <c r="S2766">
        <v>8219</v>
      </c>
      <c r="T2766">
        <f t="shared" si="569"/>
        <v>5.2331490755363065E-4</v>
      </c>
      <c r="U2766" t="str">
        <f t="shared" si="563"/>
        <v>2021-02</v>
      </c>
      <c r="W2766">
        <v>23425.919999999998</v>
      </c>
      <c r="X2766">
        <f t="shared" si="570"/>
        <v>1.4728490727962012E-2</v>
      </c>
      <c r="Y2766">
        <f t="shared" si="571"/>
        <v>1.4837489418812291E-2</v>
      </c>
      <c r="Z2766" t="str">
        <f t="shared" si="564"/>
        <v>2021-02</v>
      </c>
    </row>
    <row r="2767" spans="1:26" x14ac:dyDescent="0.35">
      <c r="A2767" s="1">
        <v>44236</v>
      </c>
      <c r="C2767">
        <v>3661.13</v>
      </c>
      <c r="D2767">
        <f t="shared" si="565"/>
        <v>-1.1956368872457119E-3</v>
      </c>
      <c r="E2767" t="str">
        <f t="shared" si="559"/>
        <v>2021-02</v>
      </c>
      <c r="G2767">
        <v>5691.54</v>
      </c>
      <c r="H2767">
        <f t="shared" si="566"/>
        <v>9.6857245101707168E-4</v>
      </c>
      <c r="I2767" t="str">
        <f t="shared" si="560"/>
        <v>2021-02</v>
      </c>
      <c r="K2767">
        <v>14011.8</v>
      </c>
      <c r="L2767">
        <f t="shared" si="567"/>
        <v>-3.427653470552548E-3</v>
      </c>
      <c r="M2767" t="str">
        <f t="shared" si="561"/>
        <v>2021-02</v>
      </c>
      <c r="O2767">
        <v>7445.0611200000003</v>
      </c>
      <c r="P2767">
        <f t="shared" si="568"/>
        <v>4.94064247272227E-4</v>
      </c>
      <c r="Q2767" t="str">
        <f t="shared" si="562"/>
        <v>2021-02</v>
      </c>
      <c r="S2767">
        <v>8101</v>
      </c>
      <c r="T2767">
        <f t="shared" si="569"/>
        <v>-1.4461036318008795E-2</v>
      </c>
      <c r="U2767" t="str">
        <f t="shared" si="563"/>
        <v>2021-02</v>
      </c>
      <c r="W2767">
        <v>23300.49</v>
      </c>
      <c r="X2767">
        <f t="shared" si="570"/>
        <v>-5.3687112394421683E-3</v>
      </c>
      <c r="Y2767">
        <f t="shared" si="571"/>
        <v>-5.3543254651256672E-3</v>
      </c>
      <c r="Z2767" t="str">
        <f t="shared" si="564"/>
        <v>2021-02</v>
      </c>
    </row>
    <row r="2768" spans="1:26" x14ac:dyDescent="0.35">
      <c r="A2768" s="1">
        <v>44237</v>
      </c>
      <c r="C2768">
        <v>3648.37</v>
      </c>
      <c r="D2768">
        <f t="shared" si="565"/>
        <v>-3.4913504238398823E-3</v>
      </c>
      <c r="E2768" t="str">
        <f t="shared" si="559"/>
        <v>2021-02</v>
      </c>
      <c r="G2768">
        <v>5670.8</v>
      </c>
      <c r="H2768">
        <f t="shared" si="566"/>
        <v>-3.6506605213450696E-3</v>
      </c>
      <c r="I2768" t="str">
        <f t="shared" si="560"/>
        <v>2021-02</v>
      </c>
      <c r="K2768">
        <v>13932.97</v>
      </c>
      <c r="L2768">
        <f t="shared" si="567"/>
        <v>-5.6418577859211286E-3</v>
      </c>
      <c r="M2768" t="str">
        <f t="shared" si="561"/>
        <v>2021-02</v>
      </c>
      <c r="O2768">
        <v>7445.6611199999998</v>
      </c>
      <c r="P2768">
        <f t="shared" si="568"/>
        <v>8.0587091835245903E-5</v>
      </c>
      <c r="Q2768" t="str">
        <f t="shared" si="562"/>
        <v>2021-02</v>
      </c>
      <c r="S2768">
        <v>8065.4</v>
      </c>
      <c r="T2768">
        <f t="shared" si="569"/>
        <v>-4.4042034768952002E-3</v>
      </c>
      <c r="U2768" t="str">
        <f t="shared" si="563"/>
        <v>2021-02</v>
      </c>
      <c r="W2768">
        <v>23264.68</v>
      </c>
      <c r="X2768">
        <f t="shared" si="570"/>
        <v>-1.538059758374243E-3</v>
      </c>
      <c r="Y2768">
        <f t="shared" si="571"/>
        <v>-1.5368775506438409E-3</v>
      </c>
      <c r="Z2768" t="str">
        <f t="shared" si="564"/>
        <v>2021-02</v>
      </c>
    </row>
    <row r="2769" spans="1:26" x14ac:dyDescent="0.35">
      <c r="A2769" s="1">
        <v>44238</v>
      </c>
      <c r="C2769">
        <v>3671.68</v>
      </c>
      <c r="D2769">
        <f t="shared" si="565"/>
        <v>6.368830483845022E-3</v>
      </c>
      <c r="E2769" t="str">
        <f t="shared" si="559"/>
        <v>2021-02</v>
      </c>
      <c r="G2769">
        <v>5669.82</v>
      </c>
      <c r="H2769">
        <f t="shared" si="566"/>
        <v>-1.72830057340741E-4</v>
      </c>
      <c r="I2769" t="str">
        <f t="shared" si="560"/>
        <v>2021-02</v>
      </c>
      <c r="K2769">
        <v>14040.91</v>
      </c>
      <c r="L2769">
        <f t="shared" si="567"/>
        <v>7.7172373445128471E-3</v>
      </c>
      <c r="M2769" t="str">
        <f t="shared" si="561"/>
        <v>2021-02</v>
      </c>
      <c r="O2769">
        <v>7435.3221700000004</v>
      </c>
      <c r="P2769">
        <f t="shared" si="568"/>
        <v>-1.3895522173635109E-3</v>
      </c>
      <c r="Q2769" t="str">
        <f t="shared" si="562"/>
        <v>2021-02</v>
      </c>
      <c r="S2769">
        <v>8037.6</v>
      </c>
      <c r="T2769">
        <f t="shared" si="569"/>
        <v>-3.4527762054914861E-3</v>
      </c>
      <c r="U2769" t="str">
        <f t="shared" si="563"/>
        <v>2021-02</v>
      </c>
      <c r="W2769">
        <v>23307.24</v>
      </c>
      <c r="X2769">
        <f t="shared" si="570"/>
        <v>1.8277112838699081E-3</v>
      </c>
      <c r="Y2769">
        <f t="shared" si="571"/>
        <v>1.8293825661905218E-3</v>
      </c>
      <c r="Z2769" t="str">
        <f t="shared" si="564"/>
        <v>2021-02</v>
      </c>
    </row>
    <row r="2770" spans="1:26" x14ac:dyDescent="0.35">
      <c r="A2770" s="1">
        <v>44239</v>
      </c>
      <c r="C2770">
        <v>3695.61</v>
      </c>
      <c r="D2770">
        <f t="shared" si="565"/>
        <v>6.4963057400318162E-3</v>
      </c>
      <c r="E2770" t="str">
        <f t="shared" si="559"/>
        <v>2021-02</v>
      </c>
      <c r="G2770">
        <v>5703.67</v>
      </c>
      <c r="H2770">
        <f t="shared" si="566"/>
        <v>5.9524560969335871E-3</v>
      </c>
      <c r="I2770" t="str">
        <f t="shared" si="560"/>
        <v>2021-02</v>
      </c>
      <c r="K2770">
        <v>14049.89</v>
      </c>
      <c r="L2770">
        <f t="shared" si="567"/>
        <v>6.3935525552130798E-4</v>
      </c>
      <c r="M2770" t="str">
        <f t="shared" si="561"/>
        <v>2021-02</v>
      </c>
      <c r="O2770">
        <v>7533.4405399999996</v>
      </c>
      <c r="P2770">
        <f t="shared" si="568"/>
        <v>1.3109937968974623E-2</v>
      </c>
      <c r="Q2770" t="str">
        <f t="shared" si="562"/>
        <v>2021-02</v>
      </c>
      <c r="S2770">
        <v>8055</v>
      </c>
      <c r="T2770">
        <f t="shared" si="569"/>
        <v>2.1624854629702715E-3</v>
      </c>
      <c r="U2770" t="str">
        <f t="shared" si="563"/>
        <v>2021-02</v>
      </c>
      <c r="W2770">
        <v>23410.6</v>
      </c>
      <c r="X2770">
        <f t="shared" si="570"/>
        <v>4.4248693280523835E-3</v>
      </c>
      <c r="Y2770">
        <f t="shared" si="571"/>
        <v>4.4346735177565825E-3</v>
      </c>
      <c r="Z2770" t="str">
        <f t="shared" si="564"/>
        <v>2021-02</v>
      </c>
    </row>
    <row r="2771" spans="1:26" x14ac:dyDescent="0.35">
      <c r="A2771" s="1">
        <v>44242</v>
      </c>
      <c r="C2771">
        <v>3734.2</v>
      </c>
      <c r="D2771">
        <f t="shared" si="565"/>
        <v>1.0387976817752061E-2</v>
      </c>
      <c r="E2771" t="str">
        <f t="shared" si="559"/>
        <v>2021-02</v>
      </c>
      <c r="G2771">
        <v>5786.25</v>
      </c>
      <c r="H2771">
        <f t="shared" si="566"/>
        <v>1.4374586062410903E-2</v>
      </c>
      <c r="I2771" t="str">
        <f t="shared" si="560"/>
        <v>2021-02</v>
      </c>
      <c r="K2771">
        <v>14109.48</v>
      </c>
      <c r="L2771">
        <f t="shared" si="567"/>
        <v>4.232345322476347E-3</v>
      </c>
      <c r="M2771" t="str">
        <f t="shared" si="561"/>
        <v>2021-02</v>
      </c>
      <c r="O2771">
        <v>7748.0011800000002</v>
      </c>
      <c r="P2771">
        <f t="shared" si="568"/>
        <v>2.8083049359782505E-2</v>
      </c>
      <c r="Q2771" t="str">
        <f t="shared" si="562"/>
        <v>2021-02</v>
      </c>
      <c r="S2771">
        <v>8203.5</v>
      </c>
      <c r="T2771">
        <f t="shared" si="569"/>
        <v>1.8267875843862257E-2</v>
      </c>
      <c r="U2771" t="str">
        <f t="shared" si="563"/>
        <v>2021-02</v>
      </c>
      <c r="W2771">
        <v>23604.31</v>
      </c>
      <c r="X2771">
        <f t="shared" si="570"/>
        <v>8.2404112289132681E-3</v>
      </c>
      <c r="Y2771">
        <f t="shared" si="571"/>
        <v>8.2744568699650058E-3</v>
      </c>
      <c r="Z2771" t="str">
        <f t="shared" si="564"/>
        <v>2021-02</v>
      </c>
    </row>
    <row r="2772" spans="1:26" x14ac:dyDescent="0.35">
      <c r="A2772" s="1">
        <v>44243</v>
      </c>
      <c r="C2772">
        <v>3726.4</v>
      </c>
      <c r="D2772">
        <f t="shared" si="565"/>
        <v>-2.0909854011587764E-3</v>
      </c>
      <c r="E2772" t="str">
        <f t="shared" si="559"/>
        <v>2021-02</v>
      </c>
      <c r="G2772">
        <v>5786.53</v>
      </c>
      <c r="H2772">
        <f t="shared" si="566"/>
        <v>4.8389410332650386E-5</v>
      </c>
      <c r="I2772" t="str">
        <f t="shared" si="560"/>
        <v>2021-02</v>
      </c>
      <c r="K2772">
        <v>14064.6</v>
      </c>
      <c r="L2772">
        <f t="shared" si="567"/>
        <v>-3.1859097412281711E-3</v>
      </c>
      <c r="M2772" t="str">
        <f t="shared" si="561"/>
        <v>2021-02</v>
      </c>
      <c r="O2772">
        <v>7754.3058199999996</v>
      </c>
      <c r="P2772">
        <f t="shared" si="568"/>
        <v>8.1338091776777264E-4</v>
      </c>
      <c r="Q2772" t="str">
        <f t="shared" si="562"/>
        <v>2021-02</v>
      </c>
      <c r="S2772">
        <v>8153.7</v>
      </c>
      <c r="T2772">
        <f t="shared" si="569"/>
        <v>-6.0890805112178599E-3</v>
      </c>
      <c r="U2772" t="str">
        <f t="shared" si="563"/>
        <v>2021-02</v>
      </c>
      <c r="W2772">
        <v>23440.81</v>
      </c>
      <c r="X2772">
        <f t="shared" si="570"/>
        <v>-6.9508020501569774E-3</v>
      </c>
      <c r="Y2772">
        <f t="shared" si="571"/>
        <v>-6.9267010982316359E-3</v>
      </c>
      <c r="Z2772" t="str">
        <f t="shared" si="564"/>
        <v>2021-02</v>
      </c>
    </row>
    <row r="2773" spans="1:26" x14ac:dyDescent="0.35">
      <c r="A2773" s="1">
        <v>44244</v>
      </c>
      <c r="C2773">
        <v>3699.85</v>
      </c>
      <c r="D2773">
        <f t="shared" si="565"/>
        <v>-7.1503418600912206E-3</v>
      </c>
      <c r="E2773" t="str">
        <f t="shared" si="559"/>
        <v>2021-02</v>
      </c>
      <c r="G2773">
        <v>5765.84</v>
      </c>
      <c r="H2773">
        <f t="shared" si="566"/>
        <v>-3.5819528151744729E-3</v>
      </c>
      <c r="I2773" t="str">
        <f t="shared" si="560"/>
        <v>2021-02</v>
      </c>
      <c r="K2773">
        <v>13909.27</v>
      </c>
      <c r="L2773">
        <f t="shared" si="567"/>
        <v>-1.1105477820694206E-2</v>
      </c>
      <c r="M2773" t="str">
        <f t="shared" si="561"/>
        <v>2021-02</v>
      </c>
      <c r="O2773">
        <v>7719.9029</v>
      </c>
      <c r="P2773">
        <f t="shared" si="568"/>
        <v>-4.4464925224953315E-3</v>
      </c>
      <c r="Q2773" t="str">
        <f t="shared" si="562"/>
        <v>2021-02</v>
      </c>
      <c r="S2773">
        <v>8122.7</v>
      </c>
      <c r="T2773">
        <f t="shared" si="569"/>
        <v>-3.8092007426930273E-3</v>
      </c>
      <c r="U2773" t="str">
        <f t="shared" si="563"/>
        <v>2021-02</v>
      </c>
      <c r="W2773">
        <v>23178.560000000001</v>
      </c>
      <c r="X2773">
        <f t="shared" si="570"/>
        <v>-1.1250806963240613E-2</v>
      </c>
      <c r="Y2773">
        <f t="shared" si="571"/>
        <v>-1.1187753324223863E-2</v>
      </c>
      <c r="Z2773" t="str">
        <f t="shared" si="564"/>
        <v>2021-02</v>
      </c>
    </row>
    <row r="2774" spans="1:26" x14ac:dyDescent="0.35">
      <c r="A2774" s="1">
        <v>44245</v>
      </c>
      <c r="C2774">
        <v>3681.04</v>
      </c>
      <c r="D2774">
        <f t="shared" si="565"/>
        <v>-5.0969573376717968E-3</v>
      </c>
      <c r="E2774" t="str">
        <f t="shared" si="559"/>
        <v>2021-02</v>
      </c>
      <c r="G2774">
        <v>5728.33</v>
      </c>
      <c r="H2774">
        <f t="shared" si="566"/>
        <v>-6.5268102278054144E-3</v>
      </c>
      <c r="I2774" t="str">
        <f t="shared" si="560"/>
        <v>2021-02</v>
      </c>
      <c r="K2774">
        <v>13886.93</v>
      </c>
      <c r="L2774">
        <f t="shared" si="567"/>
        <v>-1.6074143091600989E-3</v>
      </c>
      <c r="M2774" t="str">
        <f t="shared" si="561"/>
        <v>2021-02</v>
      </c>
      <c r="O2774">
        <v>7647.8962600000004</v>
      </c>
      <c r="P2774">
        <f t="shared" si="568"/>
        <v>-9.37117491081744E-3</v>
      </c>
      <c r="Q2774" t="str">
        <f t="shared" si="562"/>
        <v>2021-02</v>
      </c>
      <c r="S2774">
        <v>8058.1</v>
      </c>
      <c r="T2774">
        <f t="shared" si="569"/>
        <v>-7.98481449943538E-3</v>
      </c>
      <c r="U2774" t="str">
        <f t="shared" si="563"/>
        <v>2021-02</v>
      </c>
      <c r="W2774">
        <v>22921.83</v>
      </c>
      <c r="X2774">
        <f t="shared" si="570"/>
        <v>-1.1137981871310019E-2</v>
      </c>
      <c r="Y2774">
        <f t="shared" si="571"/>
        <v>-1.1076184197810372E-2</v>
      </c>
      <c r="Z2774" t="str">
        <f t="shared" si="564"/>
        <v>2021-02</v>
      </c>
    </row>
    <row r="2775" spans="1:26" x14ac:dyDescent="0.35">
      <c r="A2775" s="1">
        <v>44246</v>
      </c>
      <c r="C2775">
        <v>3713.46</v>
      </c>
      <c r="D2775">
        <f t="shared" si="565"/>
        <v>8.7687356096668272E-3</v>
      </c>
      <c r="E2775" t="str">
        <f t="shared" si="559"/>
        <v>2021-02</v>
      </c>
      <c r="G2775">
        <v>5773.55</v>
      </c>
      <c r="H2775">
        <f t="shared" si="566"/>
        <v>7.863102899653359E-3</v>
      </c>
      <c r="I2775" t="str">
        <f t="shared" si="560"/>
        <v>2021-02</v>
      </c>
      <c r="K2775">
        <v>13993.23</v>
      </c>
      <c r="L2775">
        <f t="shared" si="567"/>
        <v>7.6255312093116397E-3</v>
      </c>
      <c r="M2775" t="str">
        <f t="shared" si="561"/>
        <v>2021-02</v>
      </c>
      <c r="O2775">
        <v>7659.6546900000003</v>
      </c>
      <c r="P2775">
        <f t="shared" si="568"/>
        <v>1.5362917753579544E-3</v>
      </c>
      <c r="Q2775" t="str">
        <f t="shared" si="562"/>
        <v>2021-02</v>
      </c>
      <c r="S2775">
        <v>8151.6</v>
      </c>
      <c r="T2775">
        <f t="shared" si="569"/>
        <v>1.1536430283665779E-2</v>
      </c>
      <c r="U2775" t="str">
        <f t="shared" si="563"/>
        <v>2021-02</v>
      </c>
      <c r="W2775">
        <v>23136.31</v>
      </c>
      <c r="X2775">
        <f t="shared" si="570"/>
        <v>9.3135133272011748E-3</v>
      </c>
      <c r="Y2775">
        <f t="shared" si="571"/>
        <v>9.3570190512711916E-3</v>
      </c>
      <c r="Z2775" t="str">
        <f t="shared" si="564"/>
        <v>2021-02</v>
      </c>
    </row>
    <row r="2776" spans="1:26" x14ac:dyDescent="0.35">
      <c r="A2776" s="1">
        <v>44249</v>
      </c>
      <c r="C2776">
        <v>3699.85</v>
      </c>
      <c r="D2776">
        <f t="shared" si="565"/>
        <v>-3.6717782719949839E-3</v>
      </c>
      <c r="E2776" t="str">
        <f t="shared" si="559"/>
        <v>2021-02</v>
      </c>
      <c r="G2776">
        <v>5767.44</v>
      </c>
      <c r="H2776">
        <f t="shared" si="566"/>
        <v>-1.0588347396268368E-3</v>
      </c>
      <c r="I2776" t="str">
        <f t="shared" si="560"/>
        <v>2021-02</v>
      </c>
      <c r="K2776">
        <v>13950.04</v>
      </c>
      <c r="L2776">
        <f t="shared" si="567"/>
        <v>-3.0912655815409315E-3</v>
      </c>
      <c r="M2776" t="str">
        <f t="shared" si="561"/>
        <v>2021-02</v>
      </c>
      <c r="O2776">
        <v>7654.2181399999999</v>
      </c>
      <c r="P2776">
        <f t="shared" si="568"/>
        <v>-7.1001637387783998E-4</v>
      </c>
      <c r="Q2776" t="str">
        <f t="shared" si="562"/>
        <v>2021-02</v>
      </c>
      <c r="S2776">
        <v>8112.2</v>
      </c>
      <c r="T2776">
        <f t="shared" si="569"/>
        <v>-4.8451256258704558E-3</v>
      </c>
      <c r="U2776" t="str">
        <f t="shared" si="563"/>
        <v>2021-02</v>
      </c>
      <c r="W2776">
        <v>23009.18</v>
      </c>
      <c r="X2776">
        <f t="shared" si="570"/>
        <v>-5.5099781858314436E-3</v>
      </c>
      <c r="Y2776">
        <f t="shared" si="571"/>
        <v>-5.494826098025183E-3</v>
      </c>
      <c r="Z2776" t="str">
        <f t="shared" si="564"/>
        <v>2021-02</v>
      </c>
    </row>
    <row r="2777" spans="1:26" x14ac:dyDescent="0.35">
      <c r="A2777" s="1">
        <v>44250</v>
      </c>
      <c r="C2777">
        <v>3689.1</v>
      </c>
      <c r="D2777">
        <f t="shared" si="565"/>
        <v>-2.9097524234740339E-3</v>
      </c>
      <c r="E2777" t="str">
        <f t="shared" si="559"/>
        <v>2021-02</v>
      </c>
      <c r="G2777">
        <v>5779.84</v>
      </c>
      <c r="H2777">
        <f t="shared" si="566"/>
        <v>2.1476927495196791E-3</v>
      </c>
      <c r="I2777" t="str">
        <f t="shared" si="560"/>
        <v>2021-02</v>
      </c>
      <c r="K2777">
        <v>13864.81</v>
      </c>
      <c r="L2777">
        <f t="shared" si="567"/>
        <v>-6.1284002430703772E-3</v>
      </c>
      <c r="M2777" t="str">
        <f t="shared" si="561"/>
        <v>2021-02</v>
      </c>
      <c r="O2777">
        <v>7687.5305799999996</v>
      </c>
      <c r="P2777">
        <f t="shared" si="568"/>
        <v>4.3427242828631219E-3</v>
      </c>
      <c r="Q2777" t="str">
        <f t="shared" si="562"/>
        <v>2021-02</v>
      </c>
      <c r="S2777">
        <v>8252.1</v>
      </c>
      <c r="T2777">
        <f t="shared" si="569"/>
        <v>1.7098612032688351E-2</v>
      </c>
      <c r="U2777" t="str">
        <f t="shared" si="563"/>
        <v>2021-02</v>
      </c>
      <c r="W2777">
        <v>22939.38</v>
      </c>
      <c r="X2777">
        <f t="shared" si="570"/>
        <v>-3.0381824236075188E-3</v>
      </c>
      <c r="Y2777">
        <f t="shared" si="571"/>
        <v>-3.0335718178570148E-3</v>
      </c>
      <c r="Z2777" t="str">
        <f t="shared" si="564"/>
        <v>2021-02</v>
      </c>
    </row>
    <row r="2778" spans="1:26" x14ac:dyDescent="0.35">
      <c r="A2778" s="1">
        <v>44251</v>
      </c>
      <c r="C2778">
        <v>3705.99</v>
      </c>
      <c r="D2778">
        <f t="shared" si="565"/>
        <v>4.5679036681159704E-3</v>
      </c>
      <c r="E2778" t="str">
        <f t="shared" si="559"/>
        <v>2021-02</v>
      </c>
      <c r="G2778">
        <v>5797.98</v>
      </c>
      <c r="H2778">
        <f t="shared" si="566"/>
        <v>3.1335803879391842E-3</v>
      </c>
      <c r="I2778" t="str">
        <f t="shared" si="560"/>
        <v>2021-02</v>
      </c>
      <c r="K2778">
        <v>13976</v>
      </c>
      <c r="L2778">
        <f t="shared" si="567"/>
        <v>7.9875974280495168E-3</v>
      </c>
      <c r="M2778" t="str">
        <f t="shared" si="561"/>
        <v>2021-02</v>
      </c>
      <c r="O2778">
        <v>7733.3335500000003</v>
      </c>
      <c r="P2778">
        <f t="shared" si="568"/>
        <v>5.9404070104924055E-3</v>
      </c>
      <c r="Q2778" t="str">
        <f t="shared" si="562"/>
        <v>2021-02</v>
      </c>
      <c r="S2778">
        <v>8269.6</v>
      </c>
      <c r="T2778">
        <f t="shared" si="569"/>
        <v>2.118426862200597E-3</v>
      </c>
      <c r="U2778" t="str">
        <f t="shared" si="563"/>
        <v>2021-02</v>
      </c>
      <c r="W2778">
        <v>23098.15</v>
      </c>
      <c r="X2778">
        <f t="shared" si="570"/>
        <v>6.8974434315990461E-3</v>
      </c>
      <c r="Y2778">
        <f t="shared" si="571"/>
        <v>6.9212855796451532E-3</v>
      </c>
      <c r="Z2778" t="str">
        <f t="shared" si="564"/>
        <v>2021-02</v>
      </c>
    </row>
    <row r="2779" spans="1:26" x14ac:dyDescent="0.35">
      <c r="A2779" s="1">
        <v>44252</v>
      </c>
      <c r="C2779">
        <v>3685.28</v>
      </c>
      <c r="D2779">
        <f t="shared" si="565"/>
        <v>-5.603923060031918E-3</v>
      </c>
      <c r="E2779" t="str">
        <f t="shared" si="559"/>
        <v>2021-02</v>
      </c>
      <c r="G2779">
        <v>5783.89</v>
      </c>
      <c r="H2779">
        <f t="shared" si="566"/>
        <v>-2.4331143331981363E-3</v>
      </c>
      <c r="I2779" t="str">
        <f t="shared" si="560"/>
        <v>2021-02</v>
      </c>
      <c r="K2779">
        <v>13879.33</v>
      </c>
      <c r="L2779">
        <f t="shared" si="567"/>
        <v>-6.9408898115458622E-3</v>
      </c>
      <c r="M2779" t="str">
        <f t="shared" si="561"/>
        <v>2021-02</v>
      </c>
      <c r="O2779">
        <v>7660.6744799999997</v>
      </c>
      <c r="P2779">
        <f t="shared" si="568"/>
        <v>-9.43998592594366E-3</v>
      </c>
      <c r="Q2779" t="str">
        <f t="shared" si="562"/>
        <v>2021-02</v>
      </c>
      <c r="S2779">
        <v>8317.7999999999993</v>
      </c>
      <c r="T2779">
        <f t="shared" si="569"/>
        <v>5.811656518110166E-3</v>
      </c>
      <c r="U2779" t="str">
        <f t="shared" si="563"/>
        <v>2021-02</v>
      </c>
      <c r="W2779">
        <v>23063.55</v>
      </c>
      <c r="X2779">
        <f t="shared" si="570"/>
        <v>-1.4990785209181283E-3</v>
      </c>
      <c r="Y2779">
        <f t="shared" si="571"/>
        <v>-1.4979554639658233E-3</v>
      </c>
      <c r="Z2779" t="str">
        <f t="shared" si="564"/>
        <v>2021-02</v>
      </c>
    </row>
    <row r="2780" spans="1:26" x14ac:dyDescent="0.35">
      <c r="A2780" s="1">
        <v>44253</v>
      </c>
      <c r="C2780">
        <v>3636.44</v>
      </c>
      <c r="D2780">
        <f t="shared" si="565"/>
        <v>-1.3341325377389454E-2</v>
      </c>
      <c r="E2780" t="str">
        <f t="shared" si="559"/>
        <v>2021-02</v>
      </c>
      <c r="G2780">
        <v>5703.22</v>
      </c>
      <c r="H2780">
        <f t="shared" si="566"/>
        <v>-1.4045539076652168E-2</v>
      </c>
      <c r="I2780" t="str">
        <f t="shared" si="560"/>
        <v>2021-02</v>
      </c>
      <c r="K2780">
        <v>13786.29</v>
      </c>
      <c r="L2780">
        <f t="shared" si="567"/>
        <v>-6.7260629445452394E-3</v>
      </c>
      <c r="M2780" t="str">
        <f t="shared" si="561"/>
        <v>2021-02</v>
      </c>
      <c r="O2780">
        <v>7484.3900100000001</v>
      </c>
      <c r="P2780">
        <f t="shared" si="568"/>
        <v>-2.3280512534737289E-2</v>
      </c>
      <c r="Q2780" t="str">
        <f t="shared" si="562"/>
        <v>2021-02</v>
      </c>
      <c r="S2780">
        <v>8225</v>
      </c>
      <c r="T2780">
        <f t="shared" si="569"/>
        <v>-1.1219500138812693E-2</v>
      </c>
      <c r="U2780" t="str">
        <f t="shared" si="563"/>
        <v>2021-02</v>
      </c>
      <c r="W2780">
        <v>22848.58</v>
      </c>
      <c r="X2780">
        <f t="shared" si="570"/>
        <v>-9.3644782306037712E-3</v>
      </c>
      <c r="Y2780">
        <f t="shared" si="571"/>
        <v>-9.3207680517525503E-3</v>
      </c>
      <c r="Z2780" t="str">
        <f t="shared" si="564"/>
        <v>2021-02</v>
      </c>
    </row>
    <row r="2781" spans="1:26" x14ac:dyDescent="0.35">
      <c r="A2781" s="1">
        <v>44256</v>
      </c>
      <c r="C2781">
        <v>3706.62</v>
      </c>
      <c r="D2781">
        <f t="shared" si="565"/>
        <v>1.911522905194633E-2</v>
      </c>
      <c r="E2781" t="str">
        <f t="shared" si="559"/>
        <v>2021-03</v>
      </c>
      <c r="G2781">
        <v>5792.79</v>
      </c>
      <c r="H2781">
        <f t="shared" si="566"/>
        <v>1.5583113191752302E-2</v>
      </c>
      <c r="I2781" t="str">
        <f t="shared" si="560"/>
        <v>2021-03</v>
      </c>
      <c r="K2781">
        <v>14012.82</v>
      </c>
      <c r="L2781">
        <f t="shared" si="567"/>
        <v>1.6298004814758578E-2</v>
      </c>
      <c r="M2781" t="str">
        <f t="shared" si="561"/>
        <v>2021-03</v>
      </c>
      <c r="O2781">
        <v>7616.1239999999998</v>
      </c>
      <c r="P2781">
        <f t="shared" si="568"/>
        <v>1.7448059308412107E-2</v>
      </c>
      <c r="Q2781" t="str">
        <f t="shared" si="562"/>
        <v>2021-03</v>
      </c>
      <c r="S2781">
        <v>8378.1</v>
      </c>
      <c r="T2781">
        <f t="shared" si="569"/>
        <v>1.8442861825091077E-2</v>
      </c>
      <c r="U2781" t="str">
        <f t="shared" si="563"/>
        <v>2021-03</v>
      </c>
      <c r="W2781">
        <v>23264.86</v>
      </c>
      <c r="X2781">
        <f t="shared" si="570"/>
        <v>1.8055096666428887E-2</v>
      </c>
      <c r="Y2781">
        <f t="shared" si="571"/>
        <v>1.8219075321092112E-2</v>
      </c>
      <c r="Z2781" t="str">
        <f t="shared" si="564"/>
        <v>2021-03</v>
      </c>
    </row>
    <row r="2782" spans="1:26" x14ac:dyDescent="0.35">
      <c r="A2782" s="1">
        <v>44257</v>
      </c>
      <c r="C2782">
        <v>3707.72</v>
      </c>
      <c r="D2782">
        <f t="shared" si="565"/>
        <v>2.9672229977877214E-4</v>
      </c>
      <c r="E2782" t="str">
        <f t="shared" si="559"/>
        <v>2021-03</v>
      </c>
      <c r="G2782">
        <v>5809.73</v>
      </c>
      <c r="H2782">
        <f t="shared" si="566"/>
        <v>2.9200573732095017E-3</v>
      </c>
      <c r="I2782" t="str">
        <f t="shared" si="560"/>
        <v>2021-03</v>
      </c>
      <c r="K2782">
        <v>14039.8</v>
      </c>
      <c r="L2782">
        <f t="shared" si="567"/>
        <v>1.9235285915359527E-3</v>
      </c>
      <c r="M2782" t="str">
        <f t="shared" si="561"/>
        <v>2021-03</v>
      </c>
      <c r="O2782">
        <v>7647.4221900000002</v>
      </c>
      <c r="P2782">
        <f t="shared" si="568"/>
        <v>4.1010435551814958E-3</v>
      </c>
      <c r="Q2782" t="str">
        <f t="shared" si="562"/>
        <v>2021-03</v>
      </c>
      <c r="S2782">
        <v>8355.7999999999993</v>
      </c>
      <c r="T2782">
        <f t="shared" si="569"/>
        <v>-2.6652499657315318E-3</v>
      </c>
      <c r="U2782" t="str">
        <f t="shared" si="563"/>
        <v>2021-03</v>
      </c>
      <c r="W2782">
        <v>23083.55</v>
      </c>
      <c r="X2782">
        <f t="shared" si="570"/>
        <v>-7.8238250185912756E-3</v>
      </c>
      <c r="Y2782">
        <f t="shared" si="571"/>
        <v>-7.7932985627251275E-3</v>
      </c>
      <c r="Z2782" t="str">
        <f t="shared" si="564"/>
        <v>2021-03</v>
      </c>
    </row>
    <row r="2783" spans="1:26" x14ac:dyDescent="0.35">
      <c r="A2783" s="1">
        <v>44258</v>
      </c>
      <c r="C2783">
        <v>3712.78</v>
      </c>
      <c r="D2783">
        <f t="shared" si="565"/>
        <v>1.3637897134338372E-3</v>
      </c>
      <c r="E2783" t="str">
        <f t="shared" si="559"/>
        <v>2021-03</v>
      </c>
      <c r="G2783">
        <v>5830.06</v>
      </c>
      <c r="H2783">
        <f t="shared" si="566"/>
        <v>3.4931937213472288E-3</v>
      </c>
      <c r="I2783" t="str">
        <f t="shared" si="560"/>
        <v>2021-03</v>
      </c>
      <c r="K2783">
        <v>14080.03</v>
      </c>
      <c r="L2783">
        <f t="shared" si="567"/>
        <v>2.8613279274858636E-3</v>
      </c>
      <c r="M2783" t="str">
        <f t="shared" si="561"/>
        <v>2021-03</v>
      </c>
      <c r="O2783">
        <v>7726.8427000000001</v>
      </c>
      <c r="P2783">
        <f t="shared" si="568"/>
        <v>1.033170913085087E-2</v>
      </c>
      <c r="Q2783" t="str">
        <f t="shared" si="562"/>
        <v>2021-03</v>
      </c>
      <c r="S2783">
        <v>8329.2999999999993</v>
      </c>
      <c r="T2783">
        <f t="shared" si="569"/>
        <v>-3.1764894765111537E-3</v>
      </c>
      <c r="U2783" t="str">
        <f t="shared" si="563"/>
        <v>2021-03</v>
      </c>
      <c r="W2783">
        <v>23046.77</v>
      </c>
      <c r="X2783">
        <f t="shared" si="570"/>
        <v>-1.5946131652090165E-3</v>
      </c>
      <c r="Y2783">
        <f t="shared" si="571"/>
        <v>-1.5933424451611141E-3</v>
      </c>
      <c r="Z2783" t="str">
        <f t="shared" si="564"/>
        <v>2021-03</v>
      </c>
    </row>
    <row r="2784" spans="1:26" x14ac:dyDescent="0.35">
      <c r="A2784" s="1">
        <v>44259</v>
      </c>
      <c r="C2784">
        <v>3704.85</v>
      </c>
      <c r="D2784">
        <f t="shared" si="565"/>
        <v>-2.1381500617104142E-3</v>
      </c>
      <c r="E2784" t="str">
        <f t="shared" si="559"/>
        <v>2021-03</v>
      </c>
      <c r="G2784">
        <v>5830.65</v>
      </c>
      <c r="H2784">
        <f t="shared" si="566"/>
        <v>1.0119452426195029E-4</v>
      </c>
      <c r="I2784" t="str">
        <f t="shared" si="560"/>
        <v>2021-03</v>
      </c>
      <c r="K2784">
        <v>14056.34</v>
      </c>
      <c r="L2784">
        <f t="shared" si="567"/>
        <v>-1.6839418587447958E-3</v>
      </c>
      <c r="M2784" t="str">
        <f t="shared" si="561"/>
        <v>2021-03</v>
      </c>
      <c r="O2784">
        <v>7721.0983100000003</v>
      </c>
      <c r="P2784">
        <f t="shared" si="568"/>
        <v>-7.4370950291061414E-4</v>
      </c>
      <c r="Q2784" t="str">
        <f t="shared" si="562"/>
        <v>2021-03</v>
      </c>
      <c r="S2784">
        <v>8354</v>
      </c>
      <c r="T2784">
        <f t="shared" si="569"/>
        <v>2.961047040699724E-3</v>
      </c>
      <c r="U2784" t="str">
        <f t="shared" si="563"/>
        <v>2021-03</v>
      </c>
      <c r="W2784">
        <v>23093.1</v>
      </c>
      <c r="X2784">
        <f t="shared" si="570"/>
        <v>2.0082421372612895E-3</v>
      </c>
      <c r="Y2784">
        <f t="shared" si="571"/>
        <v>2.0102600060658438E-3</v>
      </c>
      <c r="Z2784" t="str">
        <f t="shared" si="564"/>
        <v>2021-03</v>
      </c>
    </row>
    <row r="2785" spans="1:26" x14ac:dyDescent="0.35">
      <c r="A2785" s="1">
        <v>44260</v>
      </c>
      <c r="C2785">
        <v>3669.54</v>
      </c>
      <c r="D2785">
        <f t="shared" si="565"/>
        <v>-9.5764584872828473E-3</v>
      </c>
      <c r="E2785" t="str">
        <f t="shared" si="559"/>
        <v>2021-03</v>
      </c>
      <c r="G2785">
        <v>5782.65</v>
      </c>
      <c r="H2785">
        <f t="shared" si="566"/>
        <v>-8.2664313046653462E-3</v>
      </c>
      <c r="I2785" t="str">
        <f t="shared" si="560"/>
        <v>2021-03</v>
      </c>
      <c r="K2785">
        <v>13920.69</v>
      </c>
      <c r="L2785">
        <f t="shared" si="567"/>
        <v>-9.69731690740952E-3</v>
      </c>
      <c r="M2785" t="str">
        <f t="shared" si="561"/>
        <v>2021-03</v>
      </c>
      <c r="O2785">
        <v>7695.34411</v>
      </c>
      <c r="P2785">
        <f t="shared" si="568"/>
        <v>-3.3411371127819597E-3</v>
      </c>
      <c r="Q2785" t="str">
        <f t="shared" si="562"/>
        <v>2021-03</v>
      </c>
      <c r="S2785">
        <v>8286.7999999999993</v>
      </c>
      <c r="T2785">
        <f t="shared" si="569"/>
        <v>-8.0765786853869755E-3</v>
      </c>
      <c r="U2785" t="str">
        <f t="shared" si="563"/>
        <v>2021-03</v>
      </c>
      <c r="W2785">
        <v>22965.63</v>
      </c>
      <c r="X2785">
        <f t="shared" si="570"/>
        <v>-5.5351211571564585E-3</v>
      </c>
      <c r="Y2785">
        <f t="shared" si="571"/>
        <v>-5.5198305987501691E-3</v>
      </c>
      <c r="Z2785" t="str">
        <f t="shared" si="564"/>
        <v>2021-03</v>
      </c>
    </row>
    <row r="2786" spans="1:26" x14ac:dyDescent="0.35">
      <c r="A2786" s="1">
        <v>44263</v>
      </c>
      <c r="C2786">
        <v>3763.24</v>
      </c>
      <c r="D2786">
        <f t="shared" si="565"/>
        <v>2.5213974866092004E-2</v>
      </c>
      <c r="E2786" t="str">
        <f t="shared" si="559"/>
        <v>2021-03</v>
      </c>
      <c r="G2786">
        <v>5902.99</v>
      </c>
      <c r="H2786">
        <f t="shared" si="566"/>
        <v>2.0596947079009737E-2</v>
      </c>
      <c r="I2786" t="str">
        <f t="shared" si="560"/>
        <v>2021-03</v>
      </c>
      <c r="K2786">
        <v>14380.91</v>
      </c>
      <c r="L2786">
        <f t="shared" si="567"/>
        <v>3.2525409983946228E-2</v>
      </c>
      <c r="M2786" t="str">
        <f t="shared" si="561"/>
        <v>2021-03</v>
      </c>
      <c r="O2786">
        <v>7842.2906400000002</v>
      </c>
      <c r="P2786">
        <f t="shared" si="568"/>
        <v>1.8915480217881437E-2</v>
      </c>
      <c r="Q2786" t="str">
        <f t="shared" si="562"/>
        <v>2021-03</v>
      </c>
      <c r="S2786">
        <v>8444.2000000000007</v>
      </c>
      <c r="T2786">
        <f t="shared" si="569"/>
        <v>1.8815927773110877E-2</v>
      </c>
      <c r="U2786" t="str">
        <f t="shared" si="563"/>
        <v>2021-03</v>
      </c>
      <c r="W2786">
        <v>23681.57</v>
      </c>
      <c r="X2786">
        <f t="shared" si="570"/>
        <v>3.0698358041916535E-2</v>
      </c>
      <c r="Y2786">
        <f t="shared" si="571"/>
        <v>3.1174411501012543E-2</v>
      </c>
      <c r="Z2786" t="str">
        <f t="shared" si="564"/>
        <v>2021-03</v>
      </c>
    </row>
    <row r="2787" spans="1:26" x14ac:dyDescent="0.35">
      <c r="A2787" s="1">
        <v>44264</v>
      </c>
      <c r="C2787">
        <v>3786.05</v>
      </c>
      <c r="D2787">
        <f t="shared" si="565"/>
        <v>6.0429707730478123E-3</v>
      </c>
      <c r="E2787" t="str">
        <f t="shared" si="559"/>
        <v>2021-03</v>
      </c>
      <c r="G2787">
        <v>5924.97</v>
      </c>
      <c r="H2787">
        <f t="shared" si="566"/>
        <v>3.7166215139906667E-3</v>
      </c>
      <c r="I2787" t="str">
        <f t="shared" si="560"/>
        <v>2021-03</v>
      </c>
      <c r="K2787">
        <v>14437.94</v>
      </c>
      <c r="L2787">
        <f t="shared" si="567"/>
        <v>3.9578313808623098E-3</v>
      </c>
      <c r="M2787" t="str">
        <f t="shared" si="561"/>
        <v>2021-03</v>
      </c>
      <c r="O2787">
        <v>7865.0868799999998</v>
      </c>
      <c r="P2787">
        <f t="shared" si="568"/>
        <v>2.9026177000190997E-3</v>
      </c>
      <c r="Q2787" t="str">
        <f t="shared" si="562"/>
        <v>2021-03</v>
      </c>
      <c r="S2787">
        <v>8496.4</v>
      </c>
      <c r="T2787">
        <f t="shared" si="569"/>
        <v>6.1627292078852104E-3</v>
      </c>
      <c r="U2787" t="str">
        <f t="shared" si="563"/>
        <v>2021-03</v>
      </c>
      <c r="W2787">
        <v>23816.5</v>
      </c>
      <c r="X2787">
        <f t="shared" si="570"/>
        <v>5.6815092889635765E-3</v>
      </c>
      <c r="Y2787">
        <f t="shared" si="571"/>
        <v>5.6976796724203796E-3</v>
      </c>
      <c r="Z2787" t="str">
        <f t="shared" si="564"/>
        <v>2021-03</v>
      </c>
    </row>
    <row r="2788" spans="1:26" x14ac:dyDescent="0.35">
      <c r="A2788" s="1">
        <v>44265</v>
      </c>
      <c r="C2788">
        <v>3819.92</v>
      </c>
      <c r="D2788">
        <f t="shared" si="565"/>
        <v>8.9062207404370878E-3</v>
      </c>
      <c r="E2788" t="str">
        <f t="shared" si="559"/>
        <v>2021-03</v>
      </c>
      <c r="G2788">
        <v>5990.55</v>
      </c>
      <c r="H2788">
        <f t="shared" si="566"/>
        <v>1.1007603894449363E-2</v>
      </c>
      <c r="I2788" t="str">
        <f t="shared" si="560"/>
        <v>2021-03</v>
      </c>
      <c r="K2788">
        <v>14540.25</v>
      </c>
      <c r="L2788">
        <f t="shared" si="567"/>
        <v>7.061201897190502E-3</v>
      </c>
      <c r="M2788" t="str">
        <f t="shared" si="561"/>
        <v>2021-03</v>
      </c>
      <c r="O2788">
        <v>7853.4991600000003</v>
      </c>
      <c r="P2788">
        <f t="shared" si="568"/>
        <v>-1.4743975151038514E-3</v>
      </c>
      <c r="Q2788" t="str">
        <f t="shared" si="562"/>
        <v>2021-03</v>
      </c>
      <c r="S2788">
        <v>8525.2000000000007</v>
      </c>
      <c r="T2788">
        <f t="shared" si="569"/>
        <v>3.3839389343537449E-3</v>
      </c>
      <c r="U2788" t="str">
        <f t="shared" si="563"/>
        <v>2021-03</v>
      </c>
      <c r="W2788">
        <v>23925.96</v>
      </c>
      <c r="X2788">
        <f t="shared" si="570"/>
        <v>4.5854441432140571E-3</v>
      </c>
      <c r="Y2788">
        <f t="shared" si="571"/>
        <v>4.5959733797996819E-3</v>
      </c>
      <c r="Z2788" t="str">
        <f t="shared" si="564"/>
        <v>2021-03</v>
      </c>
    </row>
    <row r="2789" spans="1:26" x14ac:dyDescent="0.35">
      <c r="A2789" s="1">
        <v>44266</v>
      </c>
      <c r="C2789">
        <v>3845.64</v>
      </c>
      <c r="D2789">
        <f t="shared" si="565"/>
        <v>6.7105590505228E-3</v>
      </c>
      <c r="E2789" t="str">
        <f t="shared" si="559"/>
        <v>2021-03</v>
      </c>
      <c r="G2789">
        <v>6033.76</v>
      </c>
      <c r="H2789">
        <f t="shared" si="566"/>
        <v>7.1871377236116304E-3</v>
      </c>
      <c r="I2789" t="str">
        <f t="shared" si="560"/>
        <v>2021-03</v>
      </c>
      <c r="K2789">
        <v>14569.39</v>
      </c>
      <c r="L2789">
        <f t="shared" si="567"/>
        <v>2.0020865756917605E-3</v>
      </c>
      <c r="M2789" t="str">
        <f t="shared" si="561"/>
        <v>2021-03</v>
      </c>
      <c r="O2789">
        <v>7861.2872699999998</v>
      </c>
      <c r="P2789">
        <f t="shared" si="568"/>
        <v>9.911824983819767E-4</v>
      </c>
      <c r="Q2789" t="str">
        <f t="shared" si="562"/>
        <v>2021-03</v>
      </c>
      <c r="S2789">
        <v>8593</v>
      </c>
      <c r="T2789">
        <f t="shared" si="569"/>
        <v>7.9214350261392584E-3</v>
      </c>
      <c r="U2789" t="str">
        <f t="shared" si="563"/>
        <v>2021-03</v>
      </c>
      <c r="W2789">
        <v>24121.37</v>
      </c>
      <c r="X2789">
        <f t="shared" si="570"/>
        <v>8.1341076567480845E-3</v>
      </c>
      <c r="Y2789">
        <f t="shared" si="571"/>
        <v>8.1672793902522554E-3</v>
      </c>
      <c r="Z2789" t="str">
        <f t="shared" si="564"/>
        <v>2021-03</v>
      </c>
    </row>
    <row r="2790" spans="1:26" x14ac:dyDescent="0.35">
      <c r="A2790" s="1">
        <v>44267</v>
      </c>
      <c r="C2790">
        <v>3833.36</v>
      </c>
      <c r="D2790">
        <f t="shared" si="565"/>
        <v>-3.1983358426969657E-3</v>
      </c>
      <c r="E2790" t="str">
        <f t="shared" si="559"/>
        <v>2021-03</v>
      </c>
      <c r="G2790">
        <v>6046.55</v>
      </c>
      <c r="H2790">
        <f t="shared" si="566"/>
        <v>2.1174961203763169E-3</v>
      </c>
      <c r="I2790" t="str">
        <f t="shared" si="560"/>
        <v>2021-03</v>
      </c>
      <c r="K2790">
        <v>14502.39</v>
      </c>
      <c r="L2790">
        <f t="shared" si="567"/>
        <v>-4.6092890508197867E-3</v>
      </c>
      <c r="M2790" t="str">
        <f t="shared" si="561"/>
        <v>2021-03</v>
      </c>
      <c r="O2790">
        <v>7878.5725899999998</v>
      </c>
      <c r="P2790">
        <f t="shared" si="568"/>
        <v>2.1963762196796502E-3</v>
      </c>
      <c r="Q2790" t="str">
        <f t="shared" si="562"/>
        <v>2021-03</v>
      </c>
      <c r="S2790">
        <v>8644.5</v>
      </c>
      <c r="T2790">
        <f t="shared" si="569"/>
        <v>5.9753622316077249E-3</v>
      </c>
      <c r="U2790" t="str">
        <f t="shared" si="563"/>
        <v>2021-03</v>
      </c>
      <c r="W2790">
        <v>24113.22</v>
      </c>
      <c r="X2790">
        <f t="shared" si="570"/>
        <v>-3.3793176546362307E-4</v>
      </c>
      <c r="Y2790">
        <f t="shared" si="571"/>
        <v>-3.3787467295588177E-4</v>
      </c>
      <c r="Z2790" t="str">
        <f t="shared" si="564"/>
        <v>2021-03</v>
      </c>
    </row>
    <row r="2791" spans="1:26" x14ac:dyDescent="0.35">
      <c r="A2791" s="1">
        <v>44270</v>
      </c>
      <c r="C2791">
        <v>3829.84</v>
      </c>
      <c r="D2791">
        <f t="shared" si="565"/>
        <v>-9.186763356204262E-4</v>
      </c>
      <c r="E2791" t="str">
        <f t="shared" si="559"/>
        <v>2021-03</v>
      </c>
      <c r="G2791">
        <v>6035.97</v>
      </c>
      <c r="H2791">
        <f t="shared" si="566"/>
        <v>-1.7512907413500963E-3</v>
      </c>
      <c r="I2791" t="str">
        <f t="shared" si="560"/>
        <v>2021-03</v>
      </c>
      <c r="K2791">
        <v>14461.42</v>
      </c>
      <c r="L2791">
        <f t="shared" si="567"/>
        <v>-2.8290495846611374E-3</v>
      </c>
      <c r="M2791" t="str">
        <f t="shared" si="561"/>
        <v>2021-03</v>
      </c>
      <c r="O2791">
        <v>7861.6349799999998</v>
      </c>
      <c r="P2791">
        <f t="shared" si="568"/>
        <v>-2.1521465282103437E-3</v>
      </c>
      <c r="Q2791" t="str">
        <f t="shared" si="562"/>
        <v>2021-03</v>
      </c>
      <c r="S2791">
        <v>8635.4</v>
      </c>
      <c r="T2791">
        <f t="shared" si="569"/>
        <v>-1.0532469332856949E-3</v>
      </c>
      <c r="U2791" t="str">
        <f t="shared" si="563"/>
        <v>2021-03</v>
      </c>
      <c r="W2791">
        <v>24139.45</v>
      </c>
      <c r="X2791">
        <f t="shared" si="570"/>
        <v>1.087193831289849E-3</v>
      </c>
      <c r="Y2791">
        <f t="shared" si="571"/>
        <v>1.0877850407369717E-3</v>
      </c>
      <c r="Z2791" t="str">
        <f t="shared" si="564"/>
        <v>2021-03</v>
      </c>
    </row>
    <row r="2792" spans="1:26" x14ac:dyDescent="0.35">
      <c r="A2792" s="1">
        <v>44271</v>
      </c>
      <c r="C2792">
        <v>3850.96</v>
      </c>
      <c r="D2792">
        <f t="shared" si="565"/>
        <v>5.4994410033202667E-3</v>
      </c>
      <c r="E2792" t="str">
        <f t="shared" si="559"/>
        <v>2021-03</v>
      </c>
      <c r="G2792">
        <v>6055.43</v>
      </c>
      <c r="H2792">
        <f t="shared" si="566"/>
        <v>3.2188194587490556E-3</v>
      </c>
      <c r="I2792" t="str">
        <f t="shared" si="560"/>
        <v>2021-03</v>
      </c>
      <c r="K2792">
        <v>14557.58</v>
      </c>
      <c r="L2792">
        <f t="shared" si="567"/>
        <v>6.6274063176189908E-3</v>
      </c>
      <c r="M2792" t="str">
        <f t="shared" si="561"/>
        <v>2021-03</v>
      </c>
      <c r="O2792">
        <v>7941.0697899999996</v>
      </c>
      <c r="P2792">
        <f t="shared" si="568"/>
        <v>1.0053402908011731E-2</v>
      </c>
      <c r="Q2792" t="str">
        <f t="shared" si="562"/>
        <v>2021-03</v>
      </c>
      <c r="S2792">
        <v>8657.7000000000007</v>
      </c>
      <c r="T2792">
        <f t="shared" si="569"/>
        <v>2.5790647554046059E-3</v>
      </c>
      <c r="U2792" t="str">
        <f t="shared" si="563"/>
        <v>2021-03</v>
      </c>
      <c r="W2792">
        <v>24261.119999999999</v>
      </c>
      <c r="X2792">
        <f t="shared" si="570"/>
        <v>5.0276373310890353E-3</v>
      </c>
      <c r="Y2792">
        <f t="shared" si="571"/>
        <v>5.0402971070176933E-3</v>
      </c>
      <c r="Z2792" t="str">
        <f t="shared" si="564"/>
        <v>2021-03</v>
      </c>
    </row>
    <row r="2793" spans="1:26" x14ac:dyDescent="0.35">
      <c r="A2793" s="1">
        <v>44272</v>
      </c>
      <c r="C2793">
        <v>3849.74</v>
      </c>
      <c r="D2793">
        <f t="shared" si="565"/>
        <v>-3.1685431459666506E-4</v>
      </c>
      <c r="E2793" t="str">
        <f t="shared" si="559"/>
        <v>2021-03</v>
      </c>
      <c r="G2793">
        <v>6054.82</v>
      </c>
      <c r="H2793">
        <f t="shared" si="566"/>
        <v>-1.0074110782461267E-4</v>
      </c>
      <c r="I2793" t="str">
        <f t="shared" si="560"/>
        <v>2021-03</v>
      </c>
      <c r="K2793">
        <v>14596.61</v>
      </c>
      <c r="L2793">
        <f t="shared" si="567"/>
        <v>2.677489809664538E-3</v>
      </c>
      <c r="M2793" t="str">
        <f t="shared" si="561"/>
        <v>2021-03</v>
      </c>
      <c r="O2793">
        <v>7870.0941300000004</v>
      </c>
      <c r="P2793">
        <f t="shared" si="568"/>
        <v>-8.977977472431042E-3</v>
      </c>
      <c r="Q2793" t="str">
        <f t="shared" si="562"/>
        <v>2021-03</v>
      </c>
      <c r="S2793">
        <v>8599.5</v>
      </c>
      <c r="T2793">
        <f t="shared" si="569"/>
        <v>-6.7450363504025076E-3</v>
      </c>
      <c r="U2793" t="str">
        <f t="shared" si="563"/>
        <v>2021-03</v>
      </c>
      <c r="W2793">
        <v>24281.05</v>
      </c>
      <c r="X2793">
        <f t="shared" si="570"/>
        <v>8.2114174623247453E-4</v>
      </c>
      <c r="Y2793">
        <f t="shared" si="571"/>
        <v>8.2147897541417266E-4</v>
      </c>
      <c r="Z2793" t="str">
        <f t="shared" si="564"/>
        <v>2021-03</v>
      </c>
    </row>
    <row r="2794" spans="1:26" x14ac:dyDescent="0.35">
      <c r="A2794" s="1">
        <v>44273</v>
      </c>
      <c r="C2794">
        <v>3867.54</v>
      </c>
      <c r="D2794">
        <f t="shared" si="565"/>
        <v>4.6130324584371168E-3</v>
      </c>
      <c r="E2794" t="str">
        <f t="shared" si="559"/>
        <v>2021-03</v>
      </c>
      <c r="G2794">
        <v>6062.79</v>
      </c>
      <c r="H2794">
        <f t="shared" si="566"/>
        <v>1.3154411058392947E-3</v>
      </c>
      <c r="I2794" t="str">
        <f t="shared" si="560"/>
        <v>2021-03</v>
      </c>
      <c r="K2794">
        <v>14775.52</v>
      </c>
      <c r="L2794">
        <f t="shared" si="567"/>
        <v>1.2182447285511525E-2</v>
      </c>
      <c r="M2794" t="str">
        <f t="shared" si="561"/>
        <v>2021-03</v>
      </c>
      <c r="O2794">
        <v>7928.2870300000004</v>
      </c>
      <c r="P2794">
        <f t="shared" si="568"/>
        <v>7.3669779959428814E-3</v>
      </c>
      <c r="Q2794" t="str">
        <f t="shared" si="562"/>
        <v>2021-03</v>
      </c>
      <c r="S2794">
        <v>8624.6</v>
      </c>
      <c r="T2794">
        <f t="shared" si="569"/>
        <v>2.914522995981615E-3</v>
      </c>
      <c r="U2794" t="str">
        <f t="shared" si="563"/>
        <v>2021-03</v>
      </c>
      <c r="W2794">
        <v>24360.49</v>
      </c>
      <c r="X2794">
        <f t="shared" si="570"/>
        <v>3.266346856161052E-3</v>
      </c>
      <c r="Y2794">
        <f t="shared" si="571"/>
        <v>3.2716871799202394E-3</v>
      </c>
      <c r="Z2794" t="str">
        <f t="shared" si="564"/>
        <v>2021-03</v>
      </c>
    </row>
    <row r="2795" spans="1:26" x14ac:dyDescent="0.35">
      <c r="A2795" s="1">
        <v>44274</v>
      </c>
      <c r="C2795">
        <v>3837.02</v>
      </c>
      <c r="D2795">
        <f t="shared" si="565"/>
        <v>-7.9226223534217283E-3</v>
      </c>
      <c r="E2795" t="str">
        <f t="shared" si="559"/>
        <v>2021-03</v>
      </c>
      <c r="G2795">
        <v>5997.96</v>
      </c>
      <c r="H2795">
        <f t="shared" si="566"/>
        <v>-1.0750678756138029E-2</v>
      </c>
      <c r="I2795" t="str">
        <f t="shared" si="560"/>
        <v>2021-03</v>
      </c>
      <c r="K2795">
        <v>14621</v>
      </c>
      <c r="L2795">
        <f t="shared" si="567"/>
        <v>-1.051290582299455E-2</v>
      </c>
      <c r="M2795" t="str">
        <f t="shared" si="561"/>
        <v>2021-03</v>
      </c>
      <c r="O2795">
        <v>7819.5989200000004</v>
      </c>
      <c r="P2795">
        <f t="shared" si="568"/>
        <v>-1.380373672430211E-2</v>
      </c>
      <c r="Q2795" t="str">
        <f t="shared" si="562"/>
        <v>2021-03</v>
      </c>
      <c r="S2795">
        <v>8493</v>
      </c>
      <c r="T2795">
        <f t="shared" si="569"/>
        <v>-1.5376290232519529E-2</v>
      </c>
      <c r="U2795" t="str">
        <f t="shared" si="563"/>
        <v>2021-03</v>
      </c>
      <c r="W2795">
        <v>24199.42</v>
      </c>
      <c r="X2795">
        <f t="shared" si="570"/>
        <v>-6.6338916486422227E-3</v>
      </c>
      <c r="Y2795">
        <f t="shared" si="571"/>
        <v>-6.6119359668054024E-3</v>
      </c>
      <c r="Z2795" t="str">
        <f t="shared" si="564"/>
        <v>2021-03</v>
      </c>
    </row>
    <row r="2796" spans="1:26" x14ac:dyDescent="0.35">
      <c r="A2796" s="1">
        <v>44277</v>
      </c>
      <c r="C2796">
        <v>3833.84</v>
      </c>
      <c r="D2796">
        <f t="shared" si="565"/>
        <v>-8.2911177681979946E-4</v>
      </c>
      <c r="E2796" t="str">
        <f t="shared" si="559"/>
        <v>2021-03</v>
      </c>
      <c r="G2796">
        <v>5968.48</v>
      </c>
      <c r="H2796">
        <f t="shared" si="566"/>
        <v>-4.9271227933020403E-3</v>
      </c>
      <c r="I2796" t="str">
        <f t="shared" si="560"/>
        <v>2021-03</v>
      </c>
      <c r="K2796">
        <v>14657.21</v>
      </c>
      <c r="L2796">
        <f t="shared" si="567"/>
        <v>2.4735131322487498E-3</v>
      </c>
      <c r="M2796" t="str">
        <f t="shared" si="561"/>
        <v>2021-03</v>
      </c>
      <c r="O2796">
        <v>7809.19247</v>
      </c>
      <c r="P2796">
        <f t="shared" si="568"/>
        <v>-1.3317026605891792E-3</v>
      </c>
      <c r="Q2796" t="str">
        <f t="shared" si="562"/>
        <v>2021-03</v>
      </c>
      <c r="S2796">
        <v>8343.5</v>
      </c>
      <c r="T2796">
        <f t="shared" si="569"/>
        <v>-1.775950219305179E-2</v>
      </c>
      <c r="U2796" t="str">
        <f t="shared" si="563"/>
        <v>2021-03</v>
      </c>
      <c r="W2796">
        <v>24262.84</v>
      </c>
      <c r="X2796">
        <f t="shared" si="570"/>
        <v>2.6172958588190445E-3</v>
      </c>
      <c r="Y2796">
        <f t="shared" si="571"/>
        <v>2.6207239677645952E-3</v>
      </c>
      <c r="Z2796" t="str">
        <f t="shared" si="564"/>
        <v>2021-03</v>
      </c>
    </row>
    <row r="2797" spans="1:26" x14ac:dyDescent="0.35">
      <c r="A2797" s="1">
        <v>44278</v>
      </c>
      <c r="C2797">
        <v>3827.02</v>
      </c>
      <c r="D2797">
        <f t="shared" si="565"/>
        <v>-1.7804794244190322E-3</v>
      </c>
      <c r="E2797" t="str">
        <f t="shared" si="559"/>
        <v>2021-03</v>
      </c>
      <c r="G2797">
        <v>5945.3</v>
      </c>
      <c r="H2797">
        <f t="shared" si="566"/>
        <v>-3.8912971785046674E-3</v>
      </c>
      <c r="I2797" t="str">
        <f t="shared" si="560"/>
        <v>2021-03</v>
      </c>
      <c r="K2797">
        <v>14662.02</v>
      </c>
      <c r="L2797">
        <f t="shared" si="567"/>
        <v>3.281123033009766E-4</v>
      </c>
      <c r="M2797" t="str">
        <f t="shared" si="561"/>
        <v>2021-03</v>
      </c>
      <c r="O2797">
        <v>7774.3825900000002</v>
      </c>
      <c r="P2797">
        <f t="shared" si="568"/>
        <v>-4.4675163128644379E-3</v>
      </c>
      <c r="Q2797" t="str">
        <f t="shared" si="562"/>
        <v>2021-03</v>
      </c>
      <c r="S2797">
        <v>8390.2999999999993</v>
      </c>
      <c r="T2797">
        <f t="shared" si="569"/>
        <v>5.5934840884301279E-3</v>
      </c>
      <c r="U2797" t="str">
        <f t="shared" si="563"/>
        <v>2021-03</v>
      </c>
      <c r="W2797">
        <v>24113.86</v>
      </c>
      <c r="X2797">
        <f t="shared" si="570"/>
        <v>-6.1591828698258355E-3</v>
      </c>
      <c r="Y2797">
        <f t="shared" si="571"/>
        <v>-6.1402539851064244E-3</v>
      </c>
      <c r="Z2797" t="str">
        <f t="shared" si="564"/>
        <v>2021-03</v>
      </c>
    </row>
    <row r="2798" spans="1:26" x14ac:dyDescent="0.35">
      <c r="A2798" s="1">
        <v>44279</v>
      </c>
      <c r="C2798">
        <v>3832.55</v>
      </c>
      <c r="D2798">
        <f t="shared" si="565"/>
        <v>1.4439455376288673E-3</v>
      </c>
      <c r="E2798" t="str">
        <f t="shared" si="559"/>
        <v>2021-03</v>
      </c>
      <c r="G2798">
        <v>5947.29</v>
      </c>
      <c r="H2798">
        <f t="shared" si="566"/>
        <v>3.3466217511460956E-4</v>
      </c>
      <c r="I2798" t="str">
        <f t="shared" si="560"/>
        <v>2021-03</v>
      </c>
      <c r="K2798">
        <v>14610.39</v>
      </c>
      <c r="L2798">
        <f t="shared" si="567"/>
        <v>-3.5275574193476826E-3</v>
      </c>
      <c r="M2798" t="str">
        <f t="shared" si="561"/>
        <v>2021-03</v>
      </c>
      <c r="O2798">
        <v>7783.3652300000003</v>
      </c>
      <c r="P2798">
        <f t="shared" si="568"/>
        <v>1.1547482453220855E-3</v>
      </c>
      <c r="Q2798" t="str">
        <f t="shared" si="562"/>
        <v>2021-03</v>
      </c>
      <c r="S2798">
        <v>8443.7000000000007</v>
      </c>
      <c r="T2798">
        <f t="shared" si="569"/>
        <v>6.3443244759887512E-3</v>
      </c>
      <c r="U2798" t="str">
        <f t="shared" si="563"/>
        <v>2021-03</v>
      </c>
      <c r="W2798">
        <v>24208.66</v>
      </c>
      <c r="X2798">
        <f t="shared" si="570"/>
        <v>3.9236414665531532E-3</v>
      </c>
      <c r="Y2798">
        <f t="shared" si="571"/>
        <v>3.9313490250005292E-3</v>
      </c>
      <c r="Z2798" t="str">
        <f t="shared" si="564"/>
        <v>2021-03</v>
      </c>
    </row>
    <row r="2799" spans="1:26" x14ac:dyDescent="0.35">
      <c r="A2799" s="1">
        <v>44280</v>
      </c>
      <c r="C2799">
        <v>3832.57</v>
      </c>
      <c r="D2799">
        <f t="shared" si="565"/>
        <v>5.2184440687605747E-6</v>
      </c>
      <c r="E2799" t="str">
        <f t="shared" si="559"/>
        <v>2021-03</v>
      </c>
      <c r="G2799">
        <v>5952.41</v>
      </c>
      <c r="H2799">
        <f t="shared" si="566"/>
        <v>8.6052594871271766E-4</v>
      </c>
      <c r="I2799" t="str">
        <f t="shared" si="560"/>
        <v>2021-03</v>
      </c>
      <c r="K2799">
        <v>14621.36</v>
      </c>
      <c r="L2799">
        <f t="shared" si="567"/>
        <v>7.5055379954885187E-4</v>
      </c>
      <c r="M2799" t="str">
        <f t="shared" si="561"/>
        <v>2021-03</v>
      </c>
      <c r="O2799">
        <v>7787.5851000000002</v>
      </c>
      <c r="P2799">
        <f t="shared" si="568"/>
        <v>5.4201831151953349E-4</v>
      </c>
      <c r="Q2799" t="str">
        <f t="shared" si="562"/>
        <v>2021-03</v>
      </c>
      <c r="S2799">
        <v>8409.5</v>
      </c>
      <c r="T2799">
        <f t="shared" si="569"/>
        <v>-4.0585819838888223E-3</v>
      </c>
      <c r="U2799" t="str">
        <f t="shared" si="563"/>
        <v>2021-03</v>
      </c>
      <c r="W2799">
        <v>24218.55</v>
      </c>
      <c r="X2799">
        <f t="shared" si="570"/>
        <v>4.0844806617991957E-4</v>
      </c>
      <c r="Y2799">
        <f t="shared" si="571"/>
        <v>4.0853149244937214E-4</v>
      </c>
      <c r="Z2799" t="str">
        <f t="shared" si="564"/>
        <v>2021-03</v>
      </c>
    </row>
    <row r="2800" spans="1:26" x14ac:dyDescent="0.35">
      <c r="A2800" s="1">
        <v>44281</v>
      </c>
      <c r="C2800">
        <v>3866.68</v>
      </c>
      <c r="D2800">
        <f t="shared" si="565"/>
        <v>8.8606612769113E-3</v>
      </c>
      <c r="E2800" t="str">
        <f t="shared" si="559"/>
        <v>2021-03</v>
      </c>
      <c r="G2800">
        <v>5988.81</v>
      </c>
      <c r="H2800">
        <f t="shared" si="566"/>
        <v>6.0965483832586377E-3</v>
      </c>
      <c r="I2800" t="str">
        <f t="shared" si="560"/>
        <v>2021-03</v>
      </c>
      <c r="K2800">
        <v>14748.94</v>
      </c>
      <c r="L2800">
        <f t="shared" si="567"/>
        <v>8.687742545627283E-3</v>
      </c>
      <c r="M2800" t="str">
        <f t="shared" si="561"/>
        <v>2021-03</v>
      </c>
      <c r="O2800">
        <v>7885.7470599999997</v>
      </c>
      <c r="P2800">
        <f t="shared" si="568"/>
        <v>1.2526148555795431E-2</v>
      </c>
      <c r="Q2800" t="str">
        <f t="shared" si="562"/>
        <v>2021-03</v>
      </c>
      <c r="S2800">
        <v>8498.2000000000007</v>
      </c>
      <c r="T2800">
        <f t="shared" si="569"/>
        <v>1.0492357179726734E-2</v>
      </c>
      <c r="U2800" t="str">
        <f t="shared" si="563"/>
        <v>2021-03</v>
      </c>
      <c r="W2800">
        <v>24393.26</v>
      </c>
      <c r="X2800">
        <f t="shared" si="570"/>
        <v>7.1879961775553735E-3</v>
      </c>
      <c r="Y2800">
        <f t="shared" si="571"/>
        <v>7.2138918308486321E-3</v>
      </c>
      <c r="Z2800" t="str">
        <f t="shared" si="564"/>
        <v>2021-03</v>
      </c>
    </row>
    <row r="2801" spans="1:26" x14ac:dyDescent="0.35">
      <c r="A2801" s="1">
        <v>44284</v>
      </c>
      <c r="C2801">
        <v>3882.87</v>
      </c>
      <c r="D2801">
        <f t="shared" si="565"/>
        <v>4.178313206354152E-3</v>
      </c>
      <c r="E2801" t="str">
        <f t="shared" si="559"/>
        <v>2021-03</v>
      </c>
      <c r="G2801">
        <v>6015.51</v>
      </c>
      <c r="H2801">
        <f t="shared" si="566"/>
        <v>4.4484059120361253E-3</v>
      </c>
      <c r="I2801" t="str">
        <f t="shared" si="560"/>
        <v>2021-03</v>
      </c>
      <c r="K2801">
        <v>14817.72</v>
      </c>
      <c r="L2801">
        <f t="shared" si="567"/>
        <v>4.6525460818821378E-3</v>
      </c>
      <c r="M2801" t="str">
        <f t="shared" si="561"/>
        <v>2021-03</v>
      </c>
      <c r="O2801">
        <v>7882.7034400000002</v>
      </c>
      <c r="P2801">
        <f t="shared" si="568"/>
        <v>-3.8603920376291688E-4</v>
      </c>
      <c r="Q2801" t="str">
        <f t="shared" si="562"/>
        <v>2021-03</v>
      </c>
      <c r="S2801">
        <v>8492.1</v>
      </c>
      <c r="T2801">
        <f t="shared" si="569"/>
        <v>-7.1805680442372025E-4</v>
      </c>
      <c r="U2801" t="str">
        <f t="shared" si="563"/>
        <v>2021-03</v>
      </c>
      <c r="W2801">
        <v>24421.4</v>
      </c>
      <c r="X2801">
        <f t="shared" si="570"/>
        <v>1.152932464022136E-3</v>
      </c>
      <c r="Y2801">
        <f t="shared" si="571"/>
        <v>1.1535973461523001E-3</v>
      </c>
      <c r="Z2801" t="str">
        <f t="shared" si="564"/>
        <v>2021-03</v>
      </c>
    </row>
    <row r="2802" spans="1:26" x14ac:dyDescent="0.35">
      <c r="A2802" s="1">
        <v>44285</v>
      </c>
      <c r="C2802">
        <v>3926.2</v>
      </c>
      <c r="D2802">
        <f t="shared" si="565"/>
        <v>1.1097466071315523E-2</v>
      </c>
      <c r="E2802" t="str">
        <f t="shared" si="559"/>
        <v>2021-03</v>
      </c>
      <c r="G2802">
        <v>6088.04</v>
      </c>
      <c r="H2802">
        <f t="shared" si="566"/>
        <v>1.1985056977768775E-2</v>
      </c>
      <c r="I2802" t="str">
        <f t="shared" si="560"/>
        <v>2021-03</v>
      </c>
      <c r="K2802">
        <v>15008.61</v>
      </c>
      <c r="L2802">
        <f t="shared" si="567"/>
        <v>1.2800274548661575E-2</v>
      </c>
      <c r="M2802" t="str">
        <f t="shared" si="561"/>
        <v>2021-03</v>
      </c>
      <c r="O2802">
        <v>7928.5470500000001</v>
      </c>
      <c r="P2802">
        <f t="shared" si="568"/>
        <v>5.798875742816843E-3</v>
      </c>
      <c r="Q2802" t="str">
        <f t="shared" si="562"/>
        <v>2021-03</v>
      </c>
      <c r="S2802">
        <v>8595.2000000000007</v>
      </c>
      <c r="T2802">
        <f t="shared" si="569"/>
        <v>1.2067588346073164E-2</v>
      </c>
      <c r="U2802" t="str">
        <f t="shared" si="563"/>
        <v>2021-03</v>
      </c>
      <c r="W2802">
        <v>24636.39</v>
      </c>
      <c r="X2802">
        <f t="shared" si="570"/>
        <v>8.7648210948750218E-3</v>
      </c>
      <c r="Y2802">
        <f t="shared" si="571"/>
        <v>8.8033446075981708E-3</v>
      </c>
      <c r="Z2802" t="str">
        <f t="shared" si="564"/>
        <v>2021-03</v>
      </c>
    </row>
    <row r="2803" spans="1:26" x14ac:dyDescent="0.35">
      <c r="A2803" s="1">
        <v>44286</v>
      </c>
      <c r="C2803">
        <v>3919.21</v>
      </c>
      <c r="D2803">
        <f t="shared" si="565"/>
        <v>-1.7819341116922576E-3</v>
      </c>
      <c r="E2803" t="str">
        <f t="shared" si="559"/>
        <v>2021-03</v>
      </c>
      <c r="G2803">
        <v>6067.23</v>
      </c>
      <c r="H2803">
        <f t="shared" si="566"/>
        <v>-3.4240325934948514E-3</v>
      </c>
      <c r="I2803" t="str">
        <f t="shared" si="560"/>
        <v>2021-03</v>
      </c>
      <c r="K2803">
        <v>15008.34</v>
      </c>
      <c r="L2803">
        <f t="shared" si="567"/>
        <v>-1.7989835743312551E-5</v>
      </c>
      <c r="M2803" t="str">
        <f t="shared" si="561"/>
        <v>2021-03</v>
      </c>
      <c r="O2803">
        <v>7884.9441699999998</v>
      </c>
      <c r="P2803">
        <f t="shared" si="568"/>
        <v>-5.5146570602959714E-3</v>
      </c>
      <c r="Q2803" t="str">
        <f t="shared" si="562"/>
        <v>2021-03</v>
      </c>
      <c r="S2803">
        <v>8580</v>
      </c>
      <c r="T2803">
        <f t="shared" si="569"/>
        <v>-1.7699944068558502E-3</v>
      </c>
      <c r="U2803" t="str">
        <f t="shared" si="563"/>
        <v>2021-03</v>
      </c>
      <c r="W2803">
        <v>24648.560000000001</v>
      </c>
      <c r="X2803">
        <f t="shared" si="570"/>
        <v>4.9386274095270205E-4</v>
      </c>
      <c r="Y2803">
        <f t="shared" si="571"/>
        <v>4.9398471123414964E-4</v>
      </c>
      <c r="Z2803" t="str">
        <f t="shared" si="564"/>
        <v>2021-03</v>
      </c>
    </row>
    <row r="2804" spans="1:26" x14ac:dyDescent="0.35">
      <c r="A2804" s="1">
        <v>44287</v>
      </c>
      <c r="C2804">
        <v>3945.96</v>
      </c>
      <c r="D2804">
        <f t="shared" si="565"/>
        <v>6.8021678215012347E-3</v>
      </c>
      <c r="E2804" t="str">
        <f t="shared" si="559"/>
        <v>2021-04</v>
      </c>
      <c r="G2804">
        <v>6102.96</v>
      </c>
      <c r="H2804">
        <f t="shared" si="566"/>
        <v>5.8717411406449789E-3</v>
      </c>
      <c r="I2804" t="str">
        <f t="shared" si="560"/>
        <v>2021-04</v>
      </c>
      <c r="K2804">
        <v>15107.17</v>
      </c>
      <c r="L2804">
        <f t="shared" si="567"/>
        <v>6.5634189682879547E-3</v>
      </c>
      <c r="M2804" t="str">
        <f t="shared" si="561"/>
        <v>2021-04</v>
      </c>
      <c r="O2804">
        <v>7908.1583899999996</v>
      </c>
      <c r="P2804">
        <f t="shared" si="568"/>
        <v>2.9397943349846701E-3</v>
      </c>
      <c r="Q2804" t="str">
        <f t="shared" si="562"/>
        <v>2021-04</v>
      </c>
      <c r="S2804">
        <v>8577.6</v>
      </c>
      <c r="T2804">
        <f t="shared" si="569"/>
        <v>-2.7975940873462967E-4</v>
      </c>
      <c r="U2804" t="str">
        <f t="shared" si="563"/>
        <v>2021-04</v>
      </c>
      <c r="W2804">
        <v>24710</v>
      </c>
      <c r="X2804">
        <f t="shared" si="570"/>
        <v>2.489539068107127E-3</v>
      </c>
      <c r="Y2804">
        <f t="shared" si="571"/>
        <v>2.4926405437071652E-3</v>
      </c>
      <c r="Z2804" t="str">
        <f t="shared" si="564"/>
        <v>2021-04</v>
      </c>
    </row>
    <row r="2805" spans="1:26" x14ac:dyDescent="0.35">
      <c r="A2805" s="1">
        <v>44292</v>
      </c>
      <c r="C2805">
        <v>3970.42</v>
      </c>
      <c r="D2805">
        <f t="shared" si="565"/>
        <v>6.1796118526432388E-3</v>
      </c>
      <c r="E2805" t="str">
        <f t="shared" si="559"/>
        <v>2021-04</v>
      </c>
      <c r="G2805">
        <v>6131.34</v>
      </c>
      <c r="H2805">
        <f t="shared" si="566"/>
        <v>4.6394237357003845E-3</v>
      </c>
      <c r="I2805" t="str">
        <f t="shared" si="560"/>
        <v>2021-04</v>
      </c>
      <c r="K2805">
        <v>15212.68</v>
      </c>
      <c r="L2805">
        <f t="shared" si="567"/>
        <v>6.9598250585681696E-3</v>
      </c>
      <c r="M2805" t="str">
        <f t="shared" si="561"/>
        <v>2021-04</v>
      </c>
      <c r="O2805">
        <v>7955.0529800000004</v>
      </c>
      <c r="P2805">
        <f t="shared" si="568"/>
        <v>5.9123875375981724E-3</v>
      </c>
      <c r="Q2805" t="str">
        <f t="shared" si="562"/>
        <v>2021-04</v>
      </c>
      <c r="S2805">
        <v>8634.6</v>
      </c>
      <c r="T2805">
        <f t="shared" si="569"/>
        <v>6.6232333309096843E-3</v>
      </c>
      <c r="U2805" t="str">
        <f t="shared" si="563"/>
        <v>2021-04</v>
      </c>
      <c r="W2805">
        <v>24761.119999999999</v>
      </c>
      <c r="X2805">
        <f t="shared" si="570"/>
        <v>2.066661041627138E-3</v>
      </c>
      <c r="Y2805">
        <f t="shared" si="571"/>
        <v>2.0687980574665716E-3</v>
      </c>
      <c r="Z2805" t="str">
        <f t="shared" si="564"/>
        <v>2021-04</v>
      </c>
    </row>
    <row r="2806" spans="1:26" x14ac:dyDescent="0.35">
      <c r="A2806" s="1">
        <v>44293</v>
      </c>
      <c r="C2806">
        <v>3956.77</v>
      </c>
      <c r="D2806">
        <f t="shared" si="565"/>
        <v>-3.4438466823271019E-3</v>
      </c>
      <c r="E2806" t="str">
        <f t="shared" si="559"/>
        <v>2021-04</v>
      </c>
      <c r="G2806">
        <v>6130.66</v>
      </c>
      <c r="H2806">
        <f t="shared" si="566"/>
        <v>-1.1091176002239025E-4</v>
      </c>
      <c r="I2806" t="str">
        <f t="shared" si="560"/>
        <v>2021-04</v>
      </c>
      <c r="K2806">
        <v>15176.36</v>
      </c>
      <c r="L2806">
        <f t="shared" si="567"/>
        <v>-2.390336601188473E-3</v>
      </c>
      <c r="M2806" t="str">
        <f t="shared" si="561"/>
        <v>2021-04</v>
      </c>
      <c r="O2806">
        <v>7963.1431899999998</v>
      </c>
      <c r="P2806">
        <f t="shared" si="568"/>
        <v>1.0164733001375654E-3</v>
      </c>
      <c r="Q2806" t="str">
        <f t="shared" si="562"/>
        <v>2021-04</v>
      </c>
      <c r="S2806">
        <v>8597.4</v>
      </c>
      <c r="T2806">
        <f t="shared" si="569"/>
        <v>-4.3175554535708604E-3</v>
      </c>
      <c r="U2806" t="str">
        <f t="shared" si="563"/>
        <v>2021-04</v>
      </c>
      <c r="W2806">
        <v>24740.73</v>
      </c>
      <c r="X2806">
        <f t="shared" si="570"/>
        <v>-8.2380764166000494E-4</v>
      </c>
      <c r="Y2806">
        <f t="shared" si="571"/>
        <v>-8.2346840530636003E-4</v>
      </c>
      <c r="Z2806" t="str">
        <f t="shared" si="564"/>
        <v>2021-04</v>
      </c>
    </row>
    <row r="2807" spans="1:26" x14ac:dyDescent="0.35">
      <c r="A2807" s="1">
        <v>44294</v>
      </c>
      <c r="C2807">
        <v>3977.83</v>
      </c>
      <c r="D2807">
        <f t="shared" si="565"/>
        <v>5.3084086039562736E-3</v>
      </c>
      <c r="E2807" t="str">
        <f t="shared" si="559"/>
        <v>2021-04</v>
      </c>
      <c r="G2807">
        <v>6165.72</v>
      </c>
      <c r="H2807">
        <f t="shared" si="566"/>
        <v>5.7025067553880303E-3</v>
      </c>
      <c r="I2807" t="str">
        <f t="shared" si="560"/>
        <v>2021-04</v>
      </c>
      <c r="K2807">
        <v>15202.68</v>
      </c>
      <c r="L2807">
        <f t="shared" si="567"/>
        <v>1.7327740827553771E-3</v>
      </c>
      <c r="M2807" t="str">
        <f t="shared" si="561"/>
        <v>2021-04</v>
      </c>
      <c r="O2807">
        <v>8000.8474100000003</v>
      </c>
      <c r="P2807">
        <f t="shared" si="568"/>
        <v>4.7236672900487281E-3</v>
      </c>
      <c r="Q2807" t="str">
        <f t="shared" si="562"/>
        <v>2021-04</v>
      </c>
      <c r="S2807">
        <v>8637.7999999999993</v>
      </c>
      <c r="T2807">
        <f t="shared" si="569"/>
        <v>4.6880887942311782E-3</v>
      </c>
      <c r="U2807" t="str">
        <f t="shared" si="563"/>
        <v>2021-04</v>
      </c>
      <c r="W2807">
        <v>24576.51</v>
      </c>
      <c r="X2807">
        <f t="shared" si="570"/>
        <v>-6.6597646974180472E-3</v>
      </c>
      <c r="Y2807">
        <f t="shared" si="571"/>
        <v>-6.6376376121481126E-3</v>
      </c>
      <c r="Z2807" t="str">
        <f t="shared" si="564"/>
        <v>2021-04</v>
      </c>
    </row>
    <row r="2808" spans="1:26" x14ac:dyDescent="0.35">
      <c r="A2808" s="1">
        <v>44295</v>
      </c>
      <c r="C2808">
        <v>3978.84</v>
      </c>
      <c r="D2808">
        <f t="shared" si="565"/>
        <v>2.5387505210727333E-4</v>
      </c>
      <c r="E2808" t="str">
        <f t="shared" si="559"/>
        <v>2021-04</v>
      </c>
      <c r="G2808">
        <v>6169.41</v>
      </c>
      <c r="H2808">
        <f t="shared" si="566"/>
        <v>5.9829123974685804E-4</v>
      </c>
      <c r="I2808" t="str">
        <f t="shared" si="560"/>
        <v>2021-04</v>
      </c>
      <c r="K2808">
        <v>15234.16</v>
      </c>
      <c r="L2808">
        <f t="shared" si="567"/>
        <v>2.0685466181733169E-3</v>
      </c>
      <c r="M2808" t="str">
        <f t="shared" si="561"/>
        <v>2021-04</v>
      </c>
      <c r="O2808">
        <v>7977.5210299999999</v>
      </c>
      <c r="P2808">
        <f t="shared" si="568"/>
        <v>-2.9197469890482356E-3</v>
      </c>
      <c r="Q2808" t="str">
        <f t="shared" si="562"/>
        <v>2021-04</v>
      </c>
      <c r="S2808">
        <v>8565.7999999999993</v>
      </c>
      <c r="T2808">
        <f t="shared" si="569"/>
        <v>-8.3703899625750516E-3</v>
      </c>
      <c r="U2808" t="str">
        <f t="shared" si="563"/>
        <v>2021-04</v>
      </c>
      <c r="W2808">
        <v>24429.41</v>
      </c>
      <c r="X2808">
        <f t="shared" si="570"/>
        <v>-6.0033743595157545E-3</v>
      </c>
      <c r="Y2808">
        <f t="shared" si="571"/>
        <v>-5.9853901143815192E-3</v>
      </c>
      <c r="Z2808" t="str">
        <f t="shared" si="564"/>
        <v>2021-04</v>
      </c>
    </row>
    <row r="2809" spans="1:26" x14ac:dyDescent="0.35">
      <c r="A2809" s="1">
        <v>44298</v>
      </c>
      <c r="C2809">
        <v>3961.9</v>
      </c>
      <c r="D2809">
        <f t="shared" si="565"/>
        <v>-4.2666113480439851E-3</v>
      </c>
      <c r="E2809" t="str">
        <f t="shared" si="559"/>
        <v>2021-04</v>
      </c>
      <c r="G2809">
        <v>6161.68</v>
      </c>
      <c r="H2809">
        <f t="shared" si="566"/>
        <v>-1.2537417231639598E-3</v>
      </c>
      <c r="I2809" t="str">
        <f t="shared" si="560"/>
        <v>2021-04</v>
      </c>
      <c r="K2809">
        <v>15215</v>
      </c>
      <c r="L2809">
        <f t="shared" si="567"/>
        <v>-1.258491369141277E-3</v>
      </c>
      <c r="M2809" t="str">
        <f t="shared" si="561"/>
        <v>2021-04</v>
      </c>
      <c r="O2809">
        <v>7945.3823599999996</v>
      </c>
      <c r="P2809">
        <f t="shared" si="568"/>
        <v>-4.0367906350076282E-3</v>
      </c>
      <c r="Q2809" t="str">
        <f t="shared" si="562"/>
        <v>2021-04</v>
      </c>
      <c r="S2809">
        <v>8532.6</v>
      </c>
      <c r="T2809">
        <f t="shared" si="569"/>
        <v>-3.8834091755626382E-3</v>
      </c>
      <c r="U2809" t="str">
        <f t="shared" si="563"/>
        <v>2021-04</v>
      </c>
      <c r="W2809">
        <v>24457.18</v>
      </c>
      <c r="X2809">
        <f t="shared" si="570"/>
        <v>1.1360989992120251E-3</v>
      </c>
      <c r="Y2809">
        <f t="shared" si="571"/>
        <v>1.1367446041472323E-3</v>
      </c>
      <c r="Z2809" t="str">
        <f t="shared" si="564"/>
        <v>2021-04</v>
      </c>
    </row>
    <row r="2810" spans="1:26" x14ac:dyDescent="0.35">
      <c r="A2810" s="1">
        <v>44299</v>
      </c>
      <c r="C2810">
        <v>3966.99</v>
      </c>
      <c r="D2810">
        <f t="shared" si="565"/>
        <v>1.2839125525034463E-3</v>
      </c>
      <c r="E2810" t="str">
        <f t="shared" si="559"/>
        <v>2021-04</v>
      </c>
      <c r="G2810">
        <v>6184.1</v>
      </c>
      <c r="H2810">
        <f t="shared" si="566"/>
        <v>3.6320142828019817E-3</v>
      </c>
      <c r="I2810" t="str">
        <f t="shared" si="560"/>
        <v>2021-04</v>
      </c>
      <c r="K2810">
        <v>15234.36</v>
      </c>
      <c r="L2810">
        <f t="shared" si="567"/>
        <v>1.271619673371658E-3</v>
      </c>
      <c r="M2810" t="str">
        <f t="shared" si="561"/>
        <v>2021-04</v>
      </c>
      <c r="O2810">
        <v>7928.8541699999996</v>
      </c>
      <c r="P2810">
        <f t="shared" si="568"/>
        <v>-2.0823925536757526E-3</v>
      </c>
      <c r="Q2810" t="str">
        <f t="shared" si="562"/>
        <v>2021-04</v>
      </c>
      <c r="S2810">
        <v>8525.1</v>
      </c>
      <c r="T2810">
        <f t="shared" si="569"/>
        <v>-8.7936831850779973E-4</v>
      </c>
      <c r="U2810" t="str">
        <f t="shared" si="563"/>
        <v>2021-04</v>
      </c>
      <c r="W2810">
        <v>24600.35</v>
      </c>
      <c r="X2810">
        <f t="shared" si="570"/>
        <v>5.8368371366176253E-3</v>
      </c>
      <c r="Y2810">
        <f t="shared" si="571"/>
        <v>5.8539046611260272E-3</v>
      </c>
      <c r="Z2810" t="str">
        <f t="shared" si="564"/>
        <v>2021-04</v>
      </c>
    </row>
    <row r="2811" spans="1:26" x14ac:dyDescent="0.35">
      <c r="A2811" s="1">
        <v>44300</v>
      </c>
      <c r="C2811">
        <v>3976.28</v>
      </c>
      <c r="D2811">
        <f t="shared" si="565"/>
        <v>2.339088117544469E-3</v>
      </c>
      <c r="E2811" t="str">
        <f t="shared" si="559"/>
        <v>2021-04</v>
      </c>
      <c r="G2811">
        <v>6208.58</v>
      </c>
      <c r="H2811">
        <f t="shared" si="566"/>
        <v>3.9507244342253051E-3</v>
      </c>
      <c r="I2811" t="str">
        <f t="shared" si="560"/>
        <v>2021-04</v>
      </c>
      <c r="K2811">
        <v>15209.15</v>
      </c>
      <c r="L2811">
        <f t="shared" si="567"/>
        <v>-1.6561825993429819E-3</v>
      </c>
      <c r="M2811" t="str">
        <f t="shared" si="561"/>
        <v>2021-04</v>
      </c>
      <c r="O2811">
        <v>7988.1890400000002</v>
      </c>
      <c r="P2811">
        <f t="shared" si="568"/>
        <v>7.4555486294773984E-3</v>
      </c>
      <c r="Q2811" t="str">
        <f t="shared" si="562"/>
        <v>2021-04</v>
      </c>
      <c r="S2811">
        <v>8588.4</v>
      </c>
      <c r="T2811">
        <f t="shared" si="569"/>
        <v>7.3977022443541887E-3</v>
      </c>
      <c r="U2811" t="str">
        <f t="shared" si="563"/>
        <v>2021-04</v>
      </c>
      <c r="W2811">
        <v>24574.74</v>
      </c>
      <c r="X2811">
        <f t="shared" si="570"/>
        <v>-1.0415843596971136E-3</v>
      </c>
      <c r="Y2811">
        <f t="shared" si="571"/>
        <v>-1.0410420989944024E-3</v>
      </c>
      <c r="Z2811" t="str">
        <f t="shared" si="564"/>
        <v>2021-04</v>
      </c>
    </row>
    <row r="2812" spans="1:26" x14ac:dyDescent="0.35">
      <c r="A2812" s="1">
        <v>44301</v>
      </c>
      <c r="C2812">
        <v>3993.43</v>
      </c>
      <c r="D2812">
        <f t="shared" si="565"/>
        <v>4.3038018879060832E-3</v>
      </c>
      <c r="E2812" t="str">
        <f t="shared" si="559"/>
        <v>2021-04</v>
      </c>
      <c r="G2812">
        <v>6234.14</v>
      </c>
      <c r="H2812">
        <f t="shared" si="566"/>
        <v>4.108432232296436E-3</v>
      </c>
      <c r="I2812" t="str">
        <f t="shared" si="560"/>
        <v>2021-04</v>
      </c>
      <c r="K2812">
        <v>15255.33</v>
      </c>
      <c r="L2812">
        <f t="shared" si="567"/>
        <v>3.0317297634169737E-3</v>
      </c>
      <c r="M2812" t="str">
        <f t="shared" si="561"/>
        <v>2021-04</v>
      </c>
      <c r="O2812">
        <v>8042.8965399999997</v>
      </c>
      <c r="P2812">
        <f t="shared" si="568"/>
        <v>6.8252037079624831E-3</v>
      </c>
      <c r="Q2812" t="str">
        <f t="shared" si="562"/>
        <v>2021-04</v>
      </c>
      <c r="S2812">
        <v>8571.6</v>
      </c>
      <c r="T2812">
        <f t="shared" si="569"/>
        <v>-1.9580425836248946E-3</v>
      </c>
      <c r="U2812" t="str">
        <f t="shared" si="563"/>
        <v>2021-04</v>
      </c>
      <c r="W2812">
        <v>24528.69</v>
      </c>
      <c r="X2812">
        <f t="shared" si="570"/>
        <v>-1.8756332704386574E-3</v>
      </c>
      <c r="Y2812">
        <f t="shared" si="571"/>
        <v>-1.873875369586938E-3</v>
      </c>
      <c r="Z2812" t="str">
        <f t="shared" si="564"/>
        <v>2021-04</v>
      </c>
    </row>
    <row r="2813" spans="1:26" x14ac:dyDescent="0.35">
      <c r="A2813" s="1">
        <v>44302</v>
      </c>
      <c r="C2813">
        <v>4032.99</v>
      </c>
      <c r="D2813">
        <f t="shared" si="565"/>
        <v>9.8575256064983869E-3</v>
      </c>
      <c r="E2813" t="str">
        <f t="shared" si="559"/>
        <v>2021-04</v>
      </c>
      <c r="G2813">
        <v>6287.07</v>
      </c>
      <c r="H2813">
        <f t="shared" si="566"/>
        <v>8.4545048409929643E-3</v>
      </c>
      <c r="I2813" t="str">
        <f t="shared" si="560"/>
        <v>2021-04</v>
      </c>
      <c r="K2813">
        <v>15459.75</v>
      </c>
      <c r="L2813">
        <f t="shared" si="567"/>
        <v>1.3310922078887804E-2</v>
      </c>
      <c r="M2813" t="str">
        <f t="shared" si="561"/>
        <v>2021-04</v>
      </c>
      <c r="O2813">
        <v>8100.4942600000004</v>
      </c>
      <c r="P2813">
        <f t="shared" si="568"/>
        <v>7.1357950900949978E-3</v>
      </c>
      <c r="Q2813" t="str">
        <f t="shared" si="562"/>
        <v>2021-04</v>
      </c>
      <c r="S2813">
        <v>8613.5</v>
      </c>
      <c r="T2813">
        <f t="shared" si="569"/>
        <v>4.8763269374967463E-3</v>
      </c>
      <c r="U2813" t="str">
        <f t="shared" si="563"/>
        <v>2021-04</v>
      </c>
      <c r="W2813">
        <v>24744.38</v>
      </c>
      <c r="X2813">
        <f t="shared" si="570"/>
        <v>8.7549396739266417E-3</v>
      </c>
      <c r="Y2813">
        <f t="shared" si="571"/>
        <v>8.7933762463467211E-3</v>
      </c>
      <c r="Z2813" t="str">
        <f t="shared" si="564"/>
        <v>2021-04</v>
      </c>
    </row>
    <row r="2814" spans="1:26" x14ac:dyDescent="0.35">
      <c r="A2814" s="1">
        <v>44305</v>
      </c>
      <c r="C2814">
        <v>4019.91</v>
      </c>
      <c r="D2814">
        <f t="shared" si="565"/>
        <v>-3.24852202378115E-3</v>
      </c>
      <c r="E2814" t="str">
        <f t="shared" si="559"/>
        <v>2021-04</v>
      </c>
      <c r="G2814">
        <v>6296.69</v>
      </c>
      <c r="H2814">
        <f t="shared" si="566"/>
        <v>1.5289550776650632E-3</v>
      </c>
      <c r="I2814" t="str">
        <f t="shared" si="560"/>
        <v>2021-04</v>
      </c>
      <c r="K2814">
        <v>15368.39</v>
      </c>
      <c r="L2814">
        <f t="shared" si="567"/>
        <v>-5.9270697134129599E-3</v>
      </c>
      <c r="M2814" t="str">
        <f t="shared" si="561"/>
        <v>2021-04</v>
      </c>
      <c r="O2814">
        <v>8132.83925</v>
      </c>
      <c r="P2814">
        <f t="shared" si="568"/>
        <v>3.9850142651452741E-3</v>
      </c>
      <c r="Q2814" t="str">
        <f t="shared" si="562"/>
        <v>2021-04</v>
      </c>
      <c r="S2814">
        <v>8711.4</v>
      </c>
      <c r="T2814">
        <f t="shared" si="569"/>
        <v>1.1301772831273153E-2</v>
      </c>
      <c r="U2814" t="str">
        <f t="shared" si="563"/>
        <v>2021-04</v>
      </c>
      <c r="W2814">
        <v>24691.46</v>
      </c>
      <c r="X2814">
        <f t="shared" si="570"/>
        <v>-2.1409576620571814E-3</v>
      </c>
      <c r="Y2814">
        <f t="shared" si="571"/>
        <v>-2.1386674469112536E-3</v>
      </c>
      <c r="Z2814" t="str">
        <f t="shared" si="564"/>
        <v>2021-04</v>
      </c>
    </row>
    <row r="2815" spans="1:26" x14ac:dyDescent="0.35">
      <c r="A2815" s="1">
        <v>44306</v>
      </c>
      <c r="C2815">
        <v>3940.46</v>
      </c>
      <c r="D2815">
        <f t="shared" si="565"/>
        <v>-1.9962046556632817E-2</v>
      </c>
      <c r="E2815" t="str">
        <f t="shared" si="559"/>
        <v>2021-04</v>
      </c>
      <c r="G2815">
        <v>6165.11</v>
      </c>
      <c r="H2815">
        <f t="shared" si="566"/>
        <v>-2.1118119385507506E-2</v>
      </c>
      <c r="I2815" t="str">
        <f t="shared" si="560"/>
        <v>2021-04</v>
      </c>
      <c r="K2815">
        <v>15129.51</v>
      </c>
      <c r="L2815">
        <f t="shared" si="567"/>
        <v>-1.566566126413068E-2</v>
      </c>
      <c r="M2815" t="str">
        <f t="shared" si="561"/>
        <v>2021-04</v>
      </c>
      <c r="O2815">
        <v>7949.0097900000001</v>
      </c>
      <c r="P2815">
        <f t="shared" si="568"/>
        <v>-2.2862727643318891E-2</v>
      </c>
      <c r="Q2815" t="str">
        <f t="shared" si="562"/>
        <v>2021-04</v>
      </c>
      <c r="S2815">
        <v>8459.4</v>
      </c>
      <c r="T2815">
        <f t="shared" si="569"/>
        <v>-2.9354263618326659E-2</v>
      </c>
      <c r="U2815" t="str">
        <f t="shared" si="563"/>
        <v>2021-04</v>
      </c>
      <c r="W2815">
        <v>24088.65</v>
      </c>
      <c r="X2815">
        <f t="shared" si="570"/>
        <v>-2.4716659655186539E-2</v>
      </c>
      <c r="Y2815">
        <f t="shared" si="571"/>
        <v>-2.4413704171401679E-2</v>
      </c>
      <c r="Z2815" t="str">
        <f t="shared" si="564"/>
        <v>2021-04</v>
      </c>
    </row>
    <row r="2816" spans="1:26" x14ac:dyDescent="0.35">
      <c r="A2816" s="1">
        <v>44307</v>
      </c>
      <c r="C2816">
        <v>3976.41</v>
      </c>
      <c r="D2816">
        <f t="shared" si="565"/>
        <v>9.0819344262531732E-3</v>
      </c>
      <c r="E2816" t="str">
        <f t="shared" si="559"/>
        <v>2021-04</v>
      </c>
      <c r="G2816">
        <v>6210.55</v>
      </c>
      <c r="H2816">
        <f t="shared" si="566"/>
        <v>7.3434797339670572E-3</v>
      </c>
      <c r="I2816" t="str">
        <f t="shared" si="560"/>
        <v>2021-04</v>
      </c>
      <c r="K2816">
        <v>15195.97</v>
      </c>
      <c r="L2816">
        <f t="shared" si="567"/>
        <v>4.3831198319684251E-3</v>
      </c>
      <c r="M2816" t="str">
        <f t="shared" si="561"/>
        <v>2021-04</v>
      </c>
      <c r="O2816">
        <v>7985.6492900000003</v>
      </c>
      <c r="P2816">
        <f t="shared" si="568"/>
        <v>4.598725882730869E-3</v>
      </c>
      <c r="Q2816" t="str">
        <f t="shared" si="562"/>
        <v>2021-04</v>
      </c>
      <c r="S2816">
        <v>8519.7999999999993</v>
      </c>
      <c r="T2816">
        <f t="shared" si="569"/>
        <v>7.1146172700643617E-3</v>
      </c>
      <c r="U2816" t="str">
        <f t="shared" si="563"/>
        <v>2021-04</v>
      </c>
      <c r="W2816">
        <v>24161.38</v>
      </c>
      <c r="X2816">
        <f t="shared" si="570"/>
        <v>3.014715434743933E-3</v>
      </c>
      <c r="Y2816">
        <f t="shared" si="571"/>
        <v>3.0192642593088264E-3</v>
      </c>
      <c r="Z2816" t="str">
        <f t="shared" si="564"/>
        <v>2021-04</v>
      </c>
    </row>
    <row r="2817" spans="1:26" x14ac:dyDescent="0.35">
      <c r="A2817" s="1">
        <v>44308</v>
      </c>
      <c r="C2817">
        <v>4014.8</v>
      </c>
      <c r="D2817">
        <f t="shared" si="565"/>
        <v>9.6081307672760356E-3</v>
      </c>
      <c r="E2817" t="str">
        <f t="shared" si="559"/>
        <v>2021-04</v>
      </c>
      <c r="G2817">
        <v>6267.28</v>
      </c>
      <c r="H2817">
        <f t="shared" si="566"/>
        <v>9.0929898677596221E-3</v>
      </c>
      <c r="I2817" t="str">
        <f t="shared" si="560"/>
        <v>2021-04</v>
      </c>
      <c r="K2817">
        <v>15320.52</v>
      </c>
      <c r="L2817">
        <f t="shared" si="567"/>
        <v>8.1628451754638346E-3</v>
      </c>
      <c r="M2817" t="str">
        <f t="shared" si="561"/>
        <v>2021-04</v>
      </c>
      <c r="O2817">
        <v>7997.8396499999999</v>
      </c>
      <c r="P2817">
        <f t="shared" si="568"/>
        <v>1.5253693870496752E-3</v>
      </c>
      <c r="Q2817" t="str">
        <f t="shared" si="562"/>
        <v>2021-04</v>
      </c>
      <c r="S2817">
        <v>8656.7999999999993</v>
      </c>
      <c r="T2817">
        <f t="shared" si="569"/>
        <v>1.595227288800416E-2</v>
      </c>
      <c r="U2817" t="str">
        <f t="shared" si="563"/>
        <v>2021-04</v>
      </c>
      <c r="W2817">
        <v>24398.41</v>
      </c>
      <c r="X2817">
        <f t="shared" si="570"/>
        <v>9.7624756007958832E-3</v>
      </c>
      <c r="Y2817">
        <f t="shared" si="571"/>
        <v>9.8102840152341809E-3</v>
      </c>
      <c r="Z2817" t="str">
        <f t="shared" si="564"/>
        <v>2021-04</v>
      </c>
    </row>
    <row r="2818" spans="1:26" x14ac:dyDescent="0.35">
      <c r="A2818" s="1">
        <v>44309</v>
      </c>
      <c r="C2818">
        <v>4013.34</v>
      </c>
      <c r="D2818">
        <f t="shared" si="565"/>
        <v>-3.6372061675444579E-4</v>
      </c>
      <c r="E2818" t="str">
        <f t="shared" si="559"/>
        <v>2021-04</v>
      </c>
      <c r="G2818">
        <v>6257.94</v>
      </c>
      <c r="H2818">
        <f t="shared" si="566"/>
        <v>-1.4913912460150268E-3</v>
      </c>
      <c r="I2818" t="str">
        <f t="shared" si="560"/>
        <v>2021-04</v>
      </c>
      <c r="K2818">
        <v>15279.62</v>
      </c>
      <c r="L2818">
        <f t="shared" si="567"/>
        <v>-2.6731919759709552E-3</v>
      </c>
      <c r="M2818" t="str">
        <f t="shared" si="561"/>
        <v>2021-04</v>
      </c>
      <c r="O2818">
        <v>7960.6431499999999</v>
      </c>
      <c r="P2818">
        <f t="shared" si="568"/>
        <v>-4.6616671304333295E-3</v>
      </c>
      <c r="Q2818" t="str">
        <f t="shared" si="562"/>
        <v>2021-04</v>
      </c>
      <c r="S2818">
        <v>8618.6</v>
      </c>
      <c r="T2818">
        <f t="shared" si="569"/>
        <v>-4.4224807831578271E-3</v>
      </c>
      <c r="U2818" t="str">
        <f t="shared" si="563"/>
        <v>2021-04</v>
      </c>
      <c r="W2818">
        <v>24386.09</v>
      </c>
      <c r="X2818">
        <f t="shared" si="570"/>
        <v>-5.0507846803421615E-4</v>
      </c>
      <c r="Y2818">
        <f t="shared" si="571"/>
        <v>-5.0495093737664505E-4</v>
      </c>
      <c r="Z2818" t="str">
        <f t="shared" si="564"/>
        <v>2021-04</v>
      </c>
    </row>
    <row r="2819" spans="1:26" x14ac:dyDescent="0.35">
      <c r="A2819" s="1">
        <v>44312</v>
      </c>
      <c r="C2819">
        <v>4020.83</v>
      </c>
      <c r="D2819">
        <f t="shared" si="565"/>
        <v>1.8645366403532656E-3</v>
      </c>
      <c r="E2819" t="str">
        <f t="shared" si="559"/>
        <v>2021-04</v>
      </c>
      <c r="G2819">
        <v>6275.52</v>
      </c>
      <c r="H2819">
        <f t="shared" si="566"/>
        <v>2.8052926373181978E-3</v>
      </c>
      <c r="I2819" t="str">
        <f t="shared" si="560"/>
        <v>2021-04</v>
      </c>
      <c r="K2819">
        <v>15296.34</v>
      </c>
      <c r="L2819">
        <f t="shared" si="567"/>
        <v>1.0936697762937858E-3</v>
      </c>
      <c r="M2819" t="str">
        <f t="shared" si="561"/>
        <v>2021-04</v>
      </c>
      <c r="O2819">
        <v>7998.74658</v>
      </c>
      <c r="P2819">
        <f t="shared" si="568"/>
        <v>4.7750575736106313E-3</v>
      </c>
      <c r="Q2819" t="str">
        <f t="shared" si="562"/>
        <v>2021-04</v>
      </c>
      <c r="S2819">
        <v>8701.9</v>
      </c>
      <c r="T2819">
        <f t="shared" si="569"/>
        <v>9.6187341291913905E-3</v>
      </c>
      <c r="U2819" t="str">
        <f t="shared" si="563"/>
        <v>2021-04</v>
      </c>
      <c r="W2819">
        <v>24513.84</v>
      </c>
      <c r="X2819">
        <f t="shared" si="570"/>
        <v>5.2249682416411055E-3</v>
      </c>
      <c r="Y2819">
        <f t="shared" si="571"/>
        <v>5.2386421931519154E-3</v>
      </c>
      <c r="Z2819" t="str">
        <f t="shared" si="564"/>
        <v>2021-04</v>
      </c>
    </row>
    <row r="2820" spans="1:26" x14ac:dyDescent="0.35">
      <c r="A2820" s="1">
        <v>44313</v>
      </c>
      <c r="C2820">
        <v>4011.91</v>
      </c>
      <c r="D2820">
        <f t="shared" si="565"/>
        <v>-2.2209118349289978E-3</v>
      </c>
      <c r="E2820" t="str">
        <f t="shared" ref="E2820:E2883" si="572">_xlfn.CONCAT(YEAR(A2820),"-",TEXT(MONTH(A2820),"00"))</f>
        <v>2021-04</v>
      </c>
      <c r="G2820">
        <v>6273.76</v>
      </c>
      <c r="H2820">
        <f t="shared" si="566"/>
        <v>-2.8049418158488754E-4</v>
      </c>
      <c r="I2820" t="str">
        <f t="shared" ref="I2820:I2883" si="573">_xlfn.CONCAT(YEAR(A2820),"-",TEXT(MONTH(A2820),"00"))</f>
        <v>2021-04</v>
      </c>
      <c r="K2820">
        <v>15249.27</v>
      </c>
      <c r="L2820">
        <f t="shared" si="567"/>
        <v>-3.0819510402676402E-3</v>
      </c>
      <c r="M2820" t="str">
        <f t="shared" ref="M2820:M2883" si="574">_xlfn.CONCAT(YEAR(A2820),"-",TEXT(MONTH(A2820),"00"))</f>
        <v>2021-04</v>
      </c>
      <c r="O2820">
        <v>8000.7251100000003</v>
      </c>
      <c r="P2820">
        <f t="shared" si="568"/>
        <v>2.4732441775834424E-4</v>
      </c>
      <c r="Q2820" t="str">
        <f t="shared" ref="Q2820:Q2883" si="575">_xlfn.CONCAT(YEAR(A2820),"-",TEXT(MONTH(A2820),"00"))</f>
        <v>2021-04</v>
      </c>
      <c r="S2820">
        <v>8756.7000000000007</v>
      </c>
      <c r="T2820">
        <f t="shared" si="569"/>
        <v>6.2777290242833706E-3</v>
      </c>
      <c r="U2820" t="str">
        <f t="shared" ref="U2820:U2883" si="576">_xlfn.CONCAT(YEAR(A2820),"-",TEXT(MONTH(A2820),"00"))</f>
        <v>2021-04</v>
      </c>
      <c r="W2820">
        <v>24473.06</v>
      </c>
      <c r="X2820">
        <f t="shared" si="570"/>
        <v>-1.6649352957713605E-3</v>
      </c>
      <c r="Y2820">
        <f t="shared" si="571"/>
        <v>-1.6635500598844912E-3</v>
      </c>
      <c r="Z2820" t="str">
        <f t="shared" ref="Z2820:Z2883" si="577">_xlfn.CONCAT(YEAR(A2820),"-",TEXT(MONTH(A2820),"00"))</f>
        <v>2021-04</v>
      </c>
    </row>
    <row r="2821" spans="1:26" x14ac:dyDescent="0.35">
      <c r="A2821" s="1">
        <v>44314</v>
      </c>
      <c r="C2821">
        <v>4015.03</v>
      </c>
      <c r="D2821">
        <f t="shared" ref="D2821:D2884" si="578">LN(C2821/C2820)</f>
        <v>7.7738220470673146E-4</v>
      </c>
      <c r="E2821" t="str">
        <f t="shared" si="572"/>
        <v>2021-04</v>
      </c>
      <c r="G2821">
        <v>6306.98</v>
      </c>
      <c r="H2821">
        <f t="shared" ref="H2821:H2884" si="579">LN(G2821/G2820)</f>
        <v>5.2811006679809123E-3</v>
      </c>
      <c r="I2821" t="str">
        <f t="shared" si="573"/>
        <v>2021-04</v>
      </c>
      <c r="K2821">
        <v>15292.18</v>
      </c>
      <c r="L2821">
        <f t="shared" ref="L2821:L2884" si="580">LN(K2821/K2820)</f>
        <v>2.8099535702594517E-3</v>
      </c>
      <c r="M2821" t="str">
        <f t="shared" si="574"/>
        <v>2021-04</v>
      </c>
      <c r="O2821">
        <v>8014.8443399999996</v>
      </c>
      <c r="P2821">
        <f t="shared" ref="P2821:P2884" si="581">LN(O2821/O2820)</f>
        <v>1.7631884650670421E-3</v>
      </c>
      <c r="Q2821" t="str">
        <f t="shared" si="575"/>
        <v>2021-04</v>
      </c>
      <c r="S2821">
        <v>8799.6</v>
      </c>
      <c r="T2821">
        <f t="shared" ref="T2821:T2884" si="582">LN(S2821/S2820)</f>
        <v>4.8871442599985786E-3</v>
      </c>
      <c r="U2821" t="str">
        <f t="shared" si="576"/>
        <v>2021-04</v>
      </c>
      <c r="W2821">
        <v>24459.57</v>
      </c>
      <c r="X2821">
        <f t="shared" ref="X2821:X2884" si="583">LN(W2821/W2820)</f>
        <v>-5.5137033679812924E-4</v>
      </c>
      <c r="Y2821">
        <f t="shared" ref="Y2821:Y2884" si="584">(W2821-W2820)/W2820</f>
        <v>-5.512183601070565E-4</v>
      </c>
      <c r="Z2821" t="str">
        <f t="shared" si="577"/>
        <v>2021-04</v>
      </c>
    </row>
    <row r="2822" spans="1:26" x14ac:dyDescent="0.35">
      <c r="A2822" s="1">
        <v>44315</v>
      </c>
      <c r="C2822">
        <v>3996.9</v>
      </c>
      <c r="D2822">
        <f t="shared" si="578"/>
        <v>-4.5257586987456876E-3</v>
      </c>
      <c r="E2822" t="str">
        <f t="shared" si="572"/>
        <v>2021-04</v>
      </c>
      <c r="G2822">
        <v>6302.57</v>
      </c>
      <c r="H2822">
        <f t="shared" si="579"/>
        <v>-6.9946987478574176E-4</v>
      </c>
      <c r="I2822" t="str">
        <f t="shared" si="573"/>
        <v>2021-04</v>
      </c>
      <c r="K2822">
        <v>15154.2</v>
      </c>
      <c r="L2822">
        <f t="shared" si="580"/>
        <v>-9.0638653678250004E-3</v>
      </c>
      <c r="M2822" t="str">
        <f t="shared" si="574"/>
        <v>2021-04</v>
      </c>
      <c r="O2822">
        <v>8009.3211899999997</v>
      </c>
      <c r="P2822">
        <f t="shared" si="581"/>
        <v>-6.8935261663142784E-4</v>
      </c>
      <c r="Q2822" t="str">
        <f t="shared" si="575"/>
        <v>2021-04</v>
      </c>
      <c r="S2822">
        <v>8823.2000000000007</v>
      </c>
      <c r="T2822">
        <f t="shared" si="582"/>
        <v>2.6783501041830866E-3</v>
      </c>
      <c r="U2822" t="str">
        <f t="shared" si="576"/>
        <v>2021-04</v>
      </c>
      <c r="W2822">
        <v>24278.2</v>
      </c>
      <c r="X2822">
        <f t="shared" si="583"/>
        <v>-7.442722029959774E-3</v>
      </c>
      <c r="Y2822">
        <f t="shared" si="584"/>
        <v>-7.4150935605163532E-3</v>
      </c>
      <c r="Z2822" t="str">
        <f t="shared" si="577"/>
        <v>2021-04</v>
      </c>
    </row>
    <row r="2823" spans="1:26" x14ac:dyDescent="0.35">
      <c r="A2823" s="1">
        <v>44316</v>
      </c>
      <c r="C2823">
        <v>3974.74</v>
      </c>
      <c r="D2823">
        <f t="shared" si="578"/>
        <v>-5.5597234901243455E-3</v>
      </c>
      <c r="E2823" t="str">
        <f t="shared" si="572"/>
        <v>2021-04</v>
      </c>
      <c r="G2823">
        <v>6269.48</v>
      </c>
      <c r="H2823">
        <f t="shared" si="579"/>
        <v>-5.2640701256338124E-3</v>
      </c>
      <c r="I2823" t="str">
        <f t="shared" si="573"/>
        <v>2021-04</v>
      </c>
      <c r="K2823">
        <v>15135.91</v>
      </c>
      <c r="L2823">
        <f t="shared" si="580"/>
        <v>-1.2076550545965332E-3</v>
      </c>
      <c r="M2823" t="str">
        <f t="shared" si="574"/>
        <v>2021-04</v>
      </c>
      <c r="O2823">
        <v>8014.6730100000004</v>
      </c>
      <c r="P2823">
        <f t="shared" si="581"/>
        <v>6.6797580331078217E-4</v>
      </c>
      <c r="Q2823" t="str">
        <f t="shared" si="575"/>
        <v>2021-04</v>
      </c>
      <c r="S2823">
        <v>8815</v>
      </c>
      <c r="T2823">
        <f t="shared" si="582"/>
        <v>-9.2980015996663873E-4</v>
      </c>
      <c r="U2823" t="str">
        <f t="shared" si="576"/>
        <v>2021-04</v>
      </c>
      <c r="W2823">
        <v>24141.16</v>
      </c>
      <c r="X2823">
        <f t="shared" si="583"/>
        <v>-5.6605608136439207E-3</v>
      </c>
      <c r="Y2823">
        <f t="shared" si="584"/>
        <v>-5.6445700257844846E-3</v>
      </c>
      <c r="Z2823" t="str">
        <f t="shared" si="577"/>
        <v>2021-04</v>
      </c>
    </row>
    <row r="2824" spans="1:26" x14ac:dyDescent="0.35">
      <c r="A2824" s="1">
        <v>44320</v>
      </c>
      <c r="C2824">
        <v>3924.8</v>
      </c>
      <c r="D2824">
        <f t="shared" si="578"/>
        <v>-1.264394263992674E-2</v>
      </c>
      <c r="E2824" t="str">
        <f t="shared" si="572"/>
        <v>2021-05</v>
      </c>
      <c r="G2824">
        <v>6251.75</v>
      </c>
      <c r="H2824">
        <f t="shared" si="579"/>
        <v>-2.8319920406880222E-3</v>
      </c>
      <c r="I2824" t="str">
        <f t="shared" si="573"/>
        <v>2021-05</v>
      </c>
      <c r="K2824">
        <v>14856.48</v>
      </c>
      <c r="L2824">
        <f t="shared" si="580"/>
        <v>-1.8633932496901442E-2</v>
      </c>
      <c r="M2824" t="str">
        <f t="shared" si="574"/>
        <v>2021-05</v>
      </c>
      <c r="O2824">
        <v>8000.4147899999998</v>
      </c>
      <c r="P2824">
        <f t="shared" si="581"/>
        <v>-1.7805988884031141E-3</v>
      </c>
      <c r="Q2824" t="str">
        <f t="shared" si="575"/>
        <v>2021-05</v>
      </c>
      <c r="S2824">
        <v>8830.4</v>
      </c>
      <c r="T2824">
        <f t="shared" si="582"/>
        <v>1.7454978532662306E-3</v>
      </c>
      <c r="U2824" t="str">
        <f t="shared" si="576"/>
        <v>2021-05</v>
      </c>
      <c r="W2824">
        <v>23977.53</v>
      </c>
      <c r="X2824">
        <f t="shared" si="583"/>
        <v>-6.801125746741305E-3</v>
      </c>
      <c r="Y2824">
        <f t="shared" si="584"/>
        <v>-6.7780504333677842E-3</v>
      </c>
      <c r="Z2824" t="str">
        <f t="shared" si="577"/>
        <v>2021-05</v>
      </c>
    </row>
    <row r="2825" spans="1:26" x14ac:dyDescent="0.35">
      <c r="A2825" s="1">
        <v>44321</v>
      </c>
      <c r="C2825">
        <v>4002.79</v>
      </c>
      <c r="D2825">
        <f t="shared" si="578"/>
        <v>1.9676223457731262E-2</v>
      </c>
      <c r="E2825" t="str">
        <f t="shared" si="572"/>
        <v>2021-05</v>
      </c>
      <c r="G2825">
        <v>6339.47</v>
      </c>
      <c r="H2825">
        <f t="shared" si="579"/>
        <v>1.3933744184639425E-2</v>
      </c>
      <c r="I2825" t="str">
        <f t="shared" si="573"/>
        <v>2021-05</v>
      </c>
      <c r="K2825">
        <v>15170.78</v>
      </c>
      <c r="L2825">
        <f t="shared" si="580"/>
        <v>2.0935075603399727E-2</v>
      </c>
      <c r="M2825" t="str">
        <f t="shared" si="574"/>
        <v>2021-05</v>
      </c>
      <c r="O2825">
        <v>8159.1085999999996</v>
      </c>
      <c r="P2825">
        <f t="shared" si="581"/>
        <v>1.9641533727056529E-2</v>
      </c>
      <c r="Q2825" t="str">
        <f t="shared" si="575"/>
        <v>2021-05</v>
      </c>
      <c r="S2825">
        <v>8967.7999999999993</v>
      </c>
      <c r="T2825">
        <f t="shared" si="582"/>
        <v>1.5440070301573216E-2</v>
      </c>
      <c r="U2825" t="str">
        <f t="shared" si="576"/>
        <v>2021-05</v>
      </c>
      <c r="W2825">
        <v>24463.89</v>
      </c>
      <c r="X2825">
        <f t="shared" si="583"/>
        <v>2.0081010981558758E-2</v>
      </c>
      <c r="Y2825">
        <f t="shared" si="584"/>
        <v>2.0283990886467481E-2</v>
      </c>
      <c r="Z2825" t="str">
        <f t="shared" si="577"/>
        <v>2021-05</v>
      </c>
    </row>
    <row r="2826" spans="1:26" x14ac:dyDescent="0.35">
      <c r="A2826" s="1">
        <v>44322</v>
      </c>
      <c r="C2826">
        <v>3999.44</v>
      </c>
      <c r="D2826">
        <f t="shared" si="578"/>
        <v>-8.372666608433163E-4</v>
      </c>
      <c r="E2826" t="str">
        <f t="shared" si="572"/>
        <v>2021-05</v>
      </c>
      <c r="G2826">
        <v>6357.09</v>
      </c>
      <c r="H2826">
        <f t="shared" si="579"/>
        <v>2.7755567353077953E-3</v>
      </c>
      <c r="I2826" t="str">
        <f t="shared" si="573"/>
        <v>2021-05</v>
      </c>
      <c r="K2826">
        <v>15196.74</v>
      </c>
      <c r="L2826">
        <f t="shared" si="580"/>
        <v>1.7097218557027582E-3</v>
      </c>
      <c r="M2826" t="str">
        <f t="shared" si="574"/>
        <v>2021-05</v>
      </c>
      <c r="O2826">
        <v>8154.9188999999997</v>
      </c>
      <c r="P2826">
        <f t="shared" si="581"/>
        <v>-5.1363160839464365E-4</v>
      </c>
      <c r="Q2826" t="str">
        <f t="shared" si="575"/>
        <v>2021-05</v>
      </c>
      <c r="S2826">
        <v>8982.2000000000007</v>
      </c>
      <c r="T2826">
        <f t="shared" si="582"/>
        <v>1.6044571687065712E-3</v>
      </c>
      <c r="U2826" t="str">
        <f t="shared" si="576"/>
        <v>2021-05</v>
      </c>
      <c r="W2826">
        <v>24495.07</v>
      </c>
      <c r="X2826">
        <f t="shared" si="583"/>
        <v>1.2737200388015138E-3</v>
      </c>
      <c r="Y2826">
        <f t="shared" si="584"/>
        <v>1.2745315646857591E-3</v>
      </c>
      <c r="Z2826" t="str">
        <f t="shared" si="577"/>
        <v>2021-05</v>
      </c>
    </row>
    <row r="2827" spans="1:26" x14ac:dyDescent="0.35">
      <c r="A2827" s="1">
        <v>44323</v>
      </c>
      <c r="C2827">
        <v>4034.25</v>
      </c>
      <c r="D2827">
        <f t="shared" si="578"/>
        <v>8.66605952034878E-3</v>
      </c>
      <c r="E2827" t="str">
        <f t="shared" si="572"/>
        <v>2021-05</v>
      </c>
      <c r="G2827">
        <v>6385.51</v>
      </c>
      <c r="H2827">
        <f t="shared" si="579"/>
        <v>4.460635525458093E-3</v>
      </c>
      <c r="I2827" t="str">
        <f t="shared" si="573"/>
        <v>2021-05</v>
      </c>
      <c r="K2827">
        <v>15399.65</v>
      </c>
      <c r="L2827">
        <f t="shared" si="580"/>
        <v>1.326385072333734E-2</v>
      </c>
      <c r="M2827" t="str">
        <f t="shared" si="574"/>
        <v>2021-05</v>
      </c>
      <c r="O2827">
        <v>8204.0659400000004</v>
      </c>
      <c r="P2827">
        <f t="shared" si="581"/>
        <v>6.0085865160976583E-3</v>
      </c>
      <c r="Q2827" t="str">
        <f t="shared" si="575"/>
        <v>2021-05</v>
      </c>
      <c r="S2827">
        <v>9059.2000000000007</v>
      </c>
      <c r="T2827">
        <f t="shared" si="582"/>
        <v>8.5359747620638634E-3</v>
      </c>
      <c r="U2827" t="str">
        <f t="shared" si="576"/>
        <v>2021-05</v>
      </c>
      <c r="W2827">
        <v>24612.04</v>
      </c>
      <c r="X2827">
        <f t="shared" si="583"/>
        <v>4.7638812878700162E-3</v>
      </c>
      <c r="Y2827">
        <f t="shared" si="584"/>
        <v>4.7752466108486793E-3</v>
      </c>
      <c r="Z2827" t="str">
        <f t="shared" si="577"/>
        <v>2021-05</v>
      </c>
    </row>
    <row r="2828" spans="1:26" x14ac:dyDescent="0.35">
      <c r="A2828" s="1">
        <v>44326</v>
      </c>
      <c r="C2828">
        <v>4023.35</v>
      </c>
      <c r="D2828">
        <f t="shared" si="578"/>
        <v>-2.7055219045030686E-3</v>
      </c>
      <c r="E2828" t="str">
        <f t="shared" si="572"/>
        <v>2021-05</v>
      </c>
      <c r="G2828">
        <v>6385.99</v>
      </c>
      <c r="H2828">
        <f t="shared" si="579"/>
        <v>7.5167364871199234E-5</v>
      </c>
      <c r="I2828" t="str">
        <f t="shared" si="573"/>
        <v>2021-05</v>
      </c>
      <c r="K2828">
        <v>15400.41</v>
      </c>
      <c r="L2828">
        <f t="shared" si="580"/>
        <v>4.9350553223280724E-5</v>
      </c>
      <c r="M2828" t="str">
        <f t="shared" si="574"/>
        <v>2021-05</v>
      </c>
      <c r="O2828">
        <v>8285.4743400000007</v>
      </c>
      <c r="P2828">
        <f t="shared" si="581"/>
        <v>9.8740243857744613E-3</v>
      </c>
      <c r="Q2828" t="str">
        <f t="shared" si="575"/>
        <v>2021-05</v>
      </c>
      <c r="S2828">
        <v>9144.2999999999993</v>
      </c>
      <c r="T2828">
        <f t="shared" si="582"/>
        <v>9.3499184178324236E-3</v>
      </c>
      <c r="U2828" t="str">
        <f t="shared" si="576"/>
        <v>2021-05</v>
      </c>
      <c r="W2828">
        <v>24802.9</v>
      </c>
      <c r="X2828">
        <f t="shared" si="583"/>
        <v>7.7248277179953369E-3</v>
      </c>
      <c r="Y2828">
        <f t="shared" si="584"/>
        <v>7.7547411754572389E-3</v>
      </c>
      <c r="Z2828" t="str">
        <f t="shared" si="577"/>
        <v>2021-05</v>
      </c>
    </row>
    <row r="2829" spans="1:26" x14ac:dyDescent="0.35">
      <c r="A2829" s="1">
        <v>44327</v>
      </c>
      <c r="C2829">
        <v>3946.06</v>
      </c>
      <c r="D2829">
        <f t="shared" si="578"/>
        <v>-1.9397276178836194E-2</v>
      </c>
      <c r="E2829" t="str">
        <f t="shared" si="572"/>
        <v>2021-05</v>
      </c>
      <c r="G2829">
        <v>6267.39</v>
      </c>
      <c r="H2829">
        <f t="shared" si="579"/>
        <v>-1.8746528327207582E-2</v>
      </c>
      <c r="I2829" t="str">
        <f t="shared" si="573"/>
        <v>2021-05</v>
      </c>
      <c r="K2829">
        <v>15119.75</v>
      </c>
      <c r="L2829">
        <f t="shared" si="580"/>
        <v>-1.8392296218653077E-2</v>
      </c>
      <c r="M2829" t="str">
        <f t="shared" si="574"/>
        <v>2021-05</v>
      </c>
      <c r="O2829">
        <v>8090.9469200000003</v>
      </c>
      <c r="P2829">
        <f t="shared" si="581"/>
        <v>-2.3758129677812767E-2</v>
      </c>
      <c r="Q2829" t="str">
        <f t="shared" si="575"/>
        <v>2021-05</v>
      </c>
      <c r="S2829">
        <v>8987.2000000000007</v>
      </c>
      <c r="T2829">
        <f t="shared" si="582"/>
        <v>-1.7329391557244538E-2</v>
      </c>
      <c r="U2829" t="str">
        <f t="shared" si="576"/>
        <v>2021-05</v>
      </c>
      <c r="W2829">
        <v>24396.01</v>
      </c>
      <c r="X2829">
        <f t="shared" si="583"/>
        <v>-1.654098748099812E-2</v>
      </c>
      <c r="Y2829">
        <f t="shared" si="584"/>
        <v>-1.6404936519520016E-2</v>
      </c>
      <c r="Z2829" t="str">
        <f t="shared" si="577"/>
        <v>2021-05</v>
      </c>
    </row>
    <row r="2830" spans="1:26" x14ac:dyDescent="0.35">
      <c r="A2830" s="1">
        <v>44328</v>
      </c>
      <c r="C2830">
        <v>3947.43</v>
      </c>
      <c r="D2830">
        <f t="shared" si="578"/>
        <v>3.4712149220594374E-4</v>
      </c>
      <c r="E2830" t="str">
        <f t="shared" si="572"/>
        <v>2021-05</v>
      </c>
      <c r="G2830">
        <v>6279.35</v>
      </c>
      <c r="H2830">
        <f t="shared" si="579"/>
        <v>1.9064718998749999E-3</v>
      </c>
      <c r="I2830" t="str">
        <f t="shared" si="573"/>
        <v>2021-05</v>
      </c>
      <c r="K2830">
        <v>15150.22</v>
      </c>
      <c r="L2830">
        <f t="shared" si="580"/>
        <v>2.0132170789301136E-3</v>
      </c>
      <c r="M2830" t="str">
        <f t="shared" si="574"/>
        <v>2021-05</v>
      </c>
      <c r="O2830">
        <v>8161.0383300000003</v>
      </c>
      <c r="P2830">
        <f t="shared" si="581"/>
        <v>8.6256347759612745E-3</v>
      </c>
      <c r="Q2830" t="str">
        <f t="shared" si="575"/>
        <v>2021-05</v>
      </c>
      <c r="S2830">
        <v>9007.7000000000007</v>
      </c>
      <c r="T2830">
        <f t="shared" si="582"/>
        <v>2.2784243167040456E-3</v>
      </c>
      <c r="U2830" t="str">
        <f t="shared" si="576"/>
        <v>2021-05</v>
      </c>
      <c r="W2830">
        <v>24452.93</v>
      </c>
      <c r="X2830">
        <f t="shared" si="583"/>
        <v>2.3304508045024729E-3</v>
      </c>
      <c r="Y2830">
        <f t="shared" si="584"/>
        <v>2.3331684156549328E-3</v>
      </c>
      <c r="Z2830" t="str">
        <f t="shared" si="577"/>
        <v>2021-05</v>
      </c>
    </row>
    <row r="2831" spans="1:26" x14ac:dyDescent="0.35">
      <c r="A2831" s="1">
        <v>44329</v>
      </c>
      <c r="C2831">
        <v>3952.45</v>
      </c>
      <c r="D2831">
        <f t="shared" si="578"/>
        <v>1.2709055519051231E-3</v>
      </c>
      <c r="E2831" t="str">
        <f t="shared" si="572"/>
        <v>2021-05</v>
      </c>
      <c r="G2831">
        <v>6288.33</v>
      </c>
      <c r="H2831">
        <f t="shared" si="579"/>
        <v>1.4290627272910176E-3</v>
      </c>
      <c r="I2831" t="str">
        <f t="shared" si="573"/>
        <v>2021-05</v>
      </c>
      <c r="K2831">
        <v>15199.68</v>
      </c>
      <c r="L2831">
        <f t="shared" si="580"/>
        <v>3.2593216969540439E-3</v>
      </c>
      <c r="M2831" t="str">
        <f t="shared" si="574"/>
        <v>2021-05</v>
      </c>
      <c r="O2831">
        <v>8091.4125199999999</v>
      </c>
      <c r="P2831">
        <f t="shared" si="581"/>
        <v>-8.5680906332971998E-3</v>
      </c>
      <c r="Q2831" t="str">
        <f t="shared" si="575"/>
        <v>2021-05</v>
      </c>
      <c r="S2831">
        <v>8966.2000000000007</v>
      </c>
      <c r="T2831">
        <f t="shared" si="582"/>
        <v>-4.6178151370847038E-3</v>
      </c>
      <c r="U2831" t="str">
        <f t="shared" si="576"/>
        <v>2021-05</v>
      </c>
      <c r="W2831">
        <v>24486.01</v>
      </c>
      <c r="X2831">
        <f t="shared" si="583"/>
        <v>1.3518889063838871E-3</v>
      </c>
      <c r="Y2831">
        <f t="shared" si="584"/>
        <v>1.3528031201168165E-3</v>
      </c>
      <c r="Z2831" t="str">
        <f t="shared" si="577"/>
        <v>2021-05</v>
      </c>
    </row>
    <row r="2832" spans="1:26" x14ac:dyDescent="0.35">
      <c r="A2832" s="1">
        <v>44330</v>
      </c>
      <c r="C2832">
        <v>4017.44</v>
      </c>
      <c r="D2832">
        <f t="shared" si="578"/>
        <v>1.6309244057052225E-2</v>
      </c>
      <c r="E2832" t="str">
        <f t="shared" si="572"/>
        <v>2021-05</v>
      </c>
      <c r="G2832">
        <v>6385.14</v>
      </c>
      <c r="H2832">
        <f t="shared" si="579"/>
        <v>1.5277880968238507E-2</v>
      </c>
      <c r="I2832" t="str">
        <f t="shared" si="573"/>
        <v>2021-05</v>
      </c>
      <c r="K2832">
        <v>15416.64</v>
      </c>
      <c r="L2832">
        <f t="shared" si="580"/>
        <v>1.4173070560056695E-2</v>
      </c>
      <c r="M2832" t="str">
        <f t="shared" si="574"/>
        <v>2021-05</v>
      </c>
      <c r="O2832">
        <v>8181.0801799999999</v>
      </c>
      <c r="P2832">
        <f t="shared" si="581"/>
        <v>1.1020876670266399E-2</v>
      </c>
      <c r="Q2832" t="str">
        <f t="shared" si="575"/>
        <v>2021-05</v>
      </c>
      <c r="S2832">
        <v>9145.6</v>
      </c>
      <c r="T2832">
        <f t="shared" si="582"/>
        <v>1.9810937337705975E-2</v>
      </c>
      <c r="U2832" t="str">
        <f t="shared" si="576"/>
        <v>2021-05</v>
      </c>
      <c r="W2832">
        <v>24766.09</v>
      </c>
      <c r="X2832">
        <f t="shared" si="583"/>
        <v>1.1373444752403388E-2</v>
      </c>
      <c r="Y2832">
        <f t="shared" si="584"/>
        <v>1.143836827641587E-2</v>
      </c>
      <c r="Z2832" t="str">
        <f t="shared" si="577"/>
        <v>2021-05</v>
      </c>
    </row>
    <row r="2833" spans="1:26" x14ac:dyDescent="0.35">
      <c r="A2833" s="1">
        <v>44333</v>
      </c>
      <c r="C2833">
        <v>4006.84</v>
      </c>
      <c r="D2833">
        <f t="shared" si="578"/>
        <v>-2.6419831226556952E-3</v>
      </c>
      <c r="E2833" t="str">
        <f t="shared" si="572"/>
        <v>2021-05</v>
      </c>
      <c r="G2833">
        <v>6367.35</v>
      </c>
      <c r="H2833">
        <f t="shared" si="579"/>
        <v>-2.790045166128349E-3</v>
      </c>
      <c r="I2833" t="str">
        <f t="shared" si="573"/>
        <v>2021-05</v>
      </c>
      <c r="K2833">
        <v>15396.62</v>
      </c>
      <c r="L2833">
        <f t="shared" si="580"/>
        <v>-1.2994407483697414E-3</v>
      </c>
      <c r="M2833" t="str">
        <f t="shared" si="574"/>
        <v>2021-05</v>
      </c>
      <c r="O2833">
        <v>8180.1140299999997</v>
      </c>
      <c r="P2833">
        <f t="shared" si="581"/>
        <v>-1.1810262609466838E-4</v>
      </c>
      <c r="Q2833" t="str">
        <f t="shared" si="575"/>
        <v>2021-05</v>
      </c>
      <c r="S2833">
        <v>9155.6</v>
      </c>
      <c r="T2833">
        <f t="shared" si="582"/>
        <v>1.0928246229997599E-3</v>
      </c>
      <c r="U2833" t="str">
        <f t="shared" si="576"/>
        <v>2021-05</v>
      </c>
      <c r="W2833">
        <v>24862.68</v>
      </c>
      <c r="X2833">
        <f t="shared" si="583"/>
        <v>3.892505172209325E-3</v>
      </c>
      <c r="Y2833">
        <f t="shared" si="584"/>
        <v>3.9000908096514285E-3</v>
      </c>
      <c r="Z2833" t="str">
        <f t="shared" si="577"/>
        <v>2021-05</v>
      </c>
    </row>
    <row r="2834" spans="1:26" x14ac:dyDescent="0.35">
      <c r="A2834" s="1">
        <v>44334</v>
      </c>
      <c r="C2834">
        <v>4005.34</v>
      </c>
      <c r="D2834">
        <f t="shared" si="578"/>
        <v>-3.7442993480542341E-4</v>
      </c>
      <c r="E2834" t="str">
        <f t="shared" si="572"/>
        <v>2021-05</v>
      </c>
      <c r="G2834">
        <v>6353.67</v>
      </c>
      <c r="H2834">
        <f t="shared" si="579"/>
        <v>-2.1507717578360063E-3</v>
      </c>
      <c r="I2834" t="str">
        <f t="shared" si="573"/>
        <v>2021-05</v>
      </c>
      <c r="K2834">
        <v>15386.58</v>
      </c>
      <c r="L2834">
        <f t="shared" si="580"/>
        <v>-6.5230387717997657E-4</v>
      </c>
      <c r="M2834" t="str">
        <f t="shared" si="574"/>
        <v>2021-05</v>
      </c>
      <c r="O2834">
        <v>8171.9708899999996</v>
      </c>
      <c r="P2834">
        <f t="shared" si="581"/>
        <v>-9.959758297469624E-4</v>
      </c>
      <c r="Q2834" t="str">
        <f t="shared" si="575"/>
        <v>2021-05</v>
      </c>
      <c r="S2834">
        <v>9183.9</v>
      </c>
      <c r="T2834">
        <f t="shared" si="582"/>
        <v>3.0862370798318754E-3</v>
      </c>
      <c r="U2834" t="str">
        <f t="shared" si="576"/>
        <v>2021-05</v>
      </c>
      <c r="W2834">
        <v>24880.45</v>
      </c>
      <c r="X2834">
        <f t="shared" si="583"/>
        <v>7.1447055124662466E-4</v>
      </c>
      <c r="Y2834">
        <f t="shared" si="584"/>
        <v>7.1472584612762731E-4</v>
      </c>
      <c r="Z2834" t="str">
        <f t="shared" si="577"/>
        <v>2021-05</v>
      </c>
    </row>
    <row r="2835" spans="1:26" x14ac:dyDescent="0.35">
      <c r="A2835" s="1">
        <v>44335</v>
      </c>
      <c r="C2835">
        <v>3936.74</v>
      </c>
      <c r="D2835">
        <f t="shared" si="578"/>
        <v>-1.7275501150912968E-2</v>
      </c>
      <c r="E2835" t="str">
        <f t="shared" si="572"/>
        <v>2021-05</v>
      </c>
      <c r="G2835">
        <v>6262.55</v>
      </c>
      <c r="H2835">
        <f t="shared" si="579"/>
        <v>-1.4445148299087831E-2</v>
      </c>
      <c r="I2835" t="str">
        <f t="shared" si="573"/>
        <v>2021-05</v>
      </c>
      <c r="K2835">
        <v>15113.56</v>
      </c>
      <c r="L2835">
        <f t="shared" si="580"/>
        <v>-1.7903346840299574E-2</v>
      </c>
      <c r="M2835" t="str">
        <f t="shared" si="574"/>
        <v>2021-05</v>
      </c>
      <c r="O2835">
        <v>8058.3843699999998</v>
      </c>
      <c r="P2835">
        <f t="shared" si="581"/>
        <v>-1.3997028732078521E-2</v>
      </c>
      <c r="Q2835" t="str">
        <f t="shared" si="575"/>
        <v>2021-05</v>
      </c>
      <c r="S2835">
        <v>9070.7000000000007</v>
      </c>
      <c r="T2835">
        <f t="shared" si="582"/>
        <v>-1.2402512358904607E-2</v>
      </c>
      <c r="U2835" t="str">
        <f t="shared" si="576"/>
        <v>2021-05</v>
      </c>
      <c r="W2835">
        <v>24486.69</v>
      </c>
      <c r="X2835">
        <f t="shared" si="583"/>
        <v>-1.5952649901639866E-2</v>
      </c>
      <c r="Y2835">
        <f t="shared" si="584"/>
        <v>-1.5826080316071536E-2</v>
      </c>
      <c r="Z2835" t="str">
        <f t="shared" si="577"/>
        <v>2021-05</v>
      </c>
    </row>
    <row r="2836" spans="1:26" x14ac:dyDescent="0.35">
      <c r="A2836" s="1">
        <v>44336</v>
      </c>
      <c r="C2836">
        <v>3999.91</v>
      </c>
      <c r="D2836">
        <f t="shared" si="578"/>
        <v>1.5918891217987185E-2</v>
      </c>
      <c r="E2836" t="str">
        <f t="shared" si="572"/>
        <v>2021-05</v>
      </c>
      <c r="G2836">
        <v>6343.58</v>
      </c>
      <c r="H2836">
        <f t="shared" si="579"/>
        <v>1.2855827442383368E-2</v>
      </c>
      <c r="I2836" t="str">
        <f t="shared" si="573"/>
        <v>2021-05</v>
      </c>
      <c r="K2836">
        <v>15370.26</v>
      </c>
      <c r="L2836">
        <f t="shared" si="580"/>
        <v>1.6842119384446706E-2</v>
      </c>
      <c r="M2836" t="str">
        <f t="shared" si="574"/>
        <v>2021-05</v>
      </c>
      <c r="O2836">
        <v>8147.0471600000001</v>
      </c>
      <c r="P2836">
        <f t="shared" si="581"/>
        <v>1.0942463892136026E-2</v>
      </c>
      <c r="Q2836" t="str">
        <f t="shared" si="575"/>
        <v>2021-05</v>
      </c>
      <c r="S2836">
        <v>9124.2999999999993</v>
      </c>
      <c r="T2836">
        <f t="shared" si="582"/>
        <v>5.8917455399631448E-3</v>
      </c>
      <c r="U2836" t="str">
        <f t="shared" si="576"/>
        <v>2021-05</v>
      </c>
      <c r="W2836">
        <v>24702.11</v>
      </c>
      <c r="X2836">
        <f t="shared" si="583"/>
        <v>8.7589604641351917E-3</v>
      </c>
      <c r="Y2836">
        <f t="shared" si="584"/>
        <v>8.7974324010310044E-3</v>
      </c>
      <c r="Z2836" t="str">
        <f t="shared" si="577"/>
        <v>2021-05</v>
      </c>
    </row>
    <row r="2837" spans="1:26" x14ac:dyDescent="0.35">
      <c r="A2837" s="1">
        <v>44337</v>
      </c>
      <c r="C2837">
        <v>4025.78</v>
      </c>
      <c r="D2837">
        <f t="shared" si="578"/>
        <v>6.4468200490128292E-3</v>
      </c>
      <c r="E2837" t="str">
        <f t="shared" si="572"/>
        <v>2021-05</v>
      </c>
      <c r="G2837">
        <v>6386.41</v>
      </c>
      <c r="H2837">
        <f t="shared" si="579"/>
        <v>6.7290173221788057E-3</v>
      </c>
      <c r="I2837" t="str">
        <f t="shared" si="573"/>
        <v>2021-05</v>
      </c>
      <c r="K2837">
        <v>15437.51</v>
      </c>
      <c r="L2837">
        <f t="shared" si="580"/>
        <v>4.3657886835693381E-3</v>
      </c>
      <c r="M2837" t="str">
        <f t="shared" si="574"/>
        <v>2021-05</v>
      </c>
      <c r="O2837">
        <v>8161.5698199999997</v>
      </c>
      <c r="P2837">
        <f t="shared" si="581"/>
        <v>1.7809804297323516E-3</v>
      </c>
      <c r="Q2837" t="str">
        <f t="shared" si="575"/>
        <v>2021-05</v>
      </c>
      <c r="S2837">
        <v>9204</v>
      </c>
      <c r="T2837">
        <f t="shared" si="582"/>
        <v>8.6969879758725301E-3</v>
      </c>
      <c r="U2837" t="str">
        <f t="shared" si="576"/>
        <v>2021-05</v>
      </c>
      <c r="W2837">
        <v>24975</v>
      </c>
      <c r="X2837">
        <f t="shared" si="583"/>
        <v>1.0986659447987173E-2</v>
      </c>
      <c r="Y2837">
        <f t="shared" si="584"/>
        <v>1.104723442653277E-2</v>
      </c>
      <c r="Z2837" t="str">
        <f t="shared" si="577"/>
        <v>2021-05</v>
      </c>
    </row>
    <row r="2838" spans="1:26" x14ac:dyDescent="0.35">
      <c r="A2838" s="1">
        <v>44341</v>
      </c>
      <c r="C2838">
        <v>4036.04</v>
      </c>
      <c r="D2838">
        <f t="shared" si="578"/>
        <v>2.5453323292512356E-3</v>
      </c>
      <c r="E2838" t="str">
        <f t="shared" si="572"/>
        <v>2021-05</v>
      </c>
      <c r="G2838">
        <v>6390.27</v>
      </c>
      <c r="H2838">
        <f t="shared" si="579"/>
        <v>6.0422584230611723E-4</v>
      </c>
      <c r="I2838" t="str">
        <f t="shared" si="573"/>
        <v>2021-05</v>
      </c>
      <c r="K2838">
        <v>15465.09</v>
      </c>
      <c r="L2838">
        <f t="shared" si="580"/>
        <v>1.7849635514621512E-3</v>
      </c>
      <c r="M2838" t="str">
        <f t="shared" si="574"/>
        <v>2021-05</v>
      </c>
      <c r="O2838">
        <v>8121.5898999999999</v>
      </c>
      <c r="P2838">
        <f t="shared" si="581"/>
        <v>-4.9105948755532184E-3</v>
      </c>
      <c r="Q2838" t="str">
        <f t="shared" si="575"/>
        <v>2021-05</v>
      </c>
      <c r="S2838">
        <v>9208.7000000000007</v>
      </c>
      <c r="T2838">
        <f t="shared" si="582"/>
        <v>5.1051720845726734E-4</v>
      </c>
      <c r="U2838" t="str">
        <f t="shared" si="576"/>
        <v>2021-05</v>
      </c>
      <c r="W2838">
        <v>24892.9</v>
      </c>
      <c r="X2838">
        <f t="shared" si="583"/>
        <v>-3.2927022865037858E-3</v>
      </c>
      <c r="Y2838">
        <f t="shared" si="584"/>
        <v>-3.287287287287229E-3</v>
      </c>
      <c r="Z2838" t="str">
        <f t="shared" si="577"/>
        <v>2021-05</v>
      </c>
    </row>
    <row r="2839" spans="1:26" x14ac:dyDescent="0.35">
      <c r="A2839" s="1">
        <v>44342</v>
      </c>
      <c r="C2839">
        <v>4031.67</v>
      </c>
      <c r="D2839">
        <f t="shared" si="578"/>
        <v>-1.0833310635578353E-3</v>
      </c>
      <c r="E2839" t="str">
        <f t="shared" si="572"/>
        <v>2021-05</v>
      </c>
      <c r="G2839">
        <v>6391.6</v>
      </c>
      <c r="H2839">
        <f t="shared" si="579"/>
        <v>2.081072651811767E-4</v>
      </c>
      <c r="I2839" t="str">
        <f t="shared" si="573"/>
        <v>2021-05</v>
      </c>
      <c r="K2839">
        <v>15450.72</v>
      </c>
      <c r="L2839">
        <f t="shared" si="580"/>
        <v>-9.296215130624603E-4</v>
      </c>
      <c r="M2839" t="str">
        <f t="shared" si="574"/>
        <v>2021-05</v>
      </c>
      <c r="O2839">
        <v>8133.95946</v>
      </c>
      <c r="P2839">
        <f t="shared" si="581"/>
        <v>1.5218879551262205E-3</v>
      </c>
      <c r="Q2839" t="str">
        <f t="shared" si="575"/>
        <v>2021-05</v>
      </c>
      <c r="S2839">
        <v>9196.9</v>
      </c>
      <c r="T2839">
        <f t="shared" si="582"/>
        <v>-1.2822186309258765E-3</v>
      </c>
      <c r="U2839" t="str">
        <f t="shared" si="576"/>
        <v>2021-05</v>
      </c>
      <c r="W2839">
        <v>24778.04</v>
      </c>
      <c r="X2839">
        <f t="shared" si="583"/>
        <v>-4.6248452205718783E-3</v>
      </c>
      <c r="Y2839">
        <f t="shared" si="584"/>
        <v>-4.6141670918213862E-3</v>
      </c>
      <c r="Z2839" t="str">
        <f t="shared" si="577"/>
        <v>2021-05</v>
      </c>
    </row>
    <row r="2840" spans="1:26" x14ac:dyDescent="0.35">
      <c r="A2840" s="1">
        <v>44343</v>
      </c>
      <c r="C2840">
        <v>4039.21</v>
      </c>
      <c r="D2840">
        <f t="shared" si="578"/>
        <v>1.8684461158060448E-3</v>
      </c>
      <c r="E2840" t="str">
        <f t="shared" si="572"/>
        <v>2021-05</v>
      </c>
      <c r="G2840">
        <v>6435.71</v>
      </c>
      <c r="H2840">
        <f t="shared" si="579"/>
        <v>6.8775407889673443E-3</v>
      </c>
      <c r="I2840" t="str">
        <f t="shared" si="573"/>
        <v>2021-05</v>
      </c>
      <c r="K2840">
        <v>15406.73</v>
      </c>
      <c r="L2840">
        <f t="shared" si="580"/>
        <v>-2.8511772554330357E-3</v>
      </c>
      <c r="M2840" t="str">
        <f t="shared" si="574"/>
        <v>2021-05</v>
      </c>
      <c r="O2840">
        <v>8165.8091000000004</v>
      </c>
      <c r="P2840">
        <f t="shared" si="581"/>
        <v>3.9079917506541157E-3</v>
      </c>
      <c r="Q2840" t="str">
        <f t="shared" si="575"/>
        <v>2021-05</v>
      </c>
      <c r="S2840">
        <v>9186.1</v>
      </c>
      <c r="T2840">
        <f t="shared" si="582"/>
        <v>-1.1749987752335323E-3</v>
      </c>
      <c r="U2840" t="str">
        <f t="shared" si="576"/>
        <v>2021-05</v>
      </c>
      <c r="W2840">
        <v>25056.19</v>
      </c>
      <c r="X2840">
        <f t="shared" si="583"/>
        <v>1.1163125766148542E-2</v>
      </c>
      <c r="Y2840">
        <f t="shared" si="584"/>
        <v>1.1225665952593418E-2</v>
      </c>
      <c r="Z2840" t="str">
        <f t="shared" si="577"/>
        <v>2021-05</v>
      </c>
    </row>
    <row r="2841" spans="1:26" x14ac:dyDescent="0.35">
      <c r="A2841" s="1">
        <v>44344</v>
      </c>
      <c r="C2841">
        <v>4070.56</v>
      </c>
      <c r="D2841">
        <f t="shared" si="578"/>
        <v>7.7314538298916503E-3</v>
      </c>
      <c r="E2841" t="str">
        <f t="shared" si="572"/>
        <v>2021-05</v>
      </c>
      <c r="G2841">
        <v>6484.11</v>
      </c>
      <c r="H2841">
        <f t="shared" si="579"/>
        <v>7.4923994939851491E-3</v>
      </c>
      <c r="I2841" t="str">
        <f t="shared" si="573"/>
        <v>2021-05</v>
      </c>
      <c r="K2841">
        <v>15519.98</v>
      </c>
      <c r="L2841">
        <f t="shared" si="580"/>
        <v>7.3237991502163712E-3</v>
      </c>
      <c r="M2841" t="str">
        <f t="shared" si="574"/>
        <v>2021-05</v>
      </c>
      <c r="O2841">
        <v>8171.4608799999996</v>
      </c>
      <c r="P2841">
        <f t="shared" si="581"/>
        <v>6.9188796321316653E-4</v>
      </c>
      <c r="Q2841" t="str">
        <f t="shared" si="575"/>
        <v>2021-05</v>
      </c>
      <c r="S2841">
        <v>9224.6</v>
      </c>
      <c r="T2841">
        <f t="shared" si="582"/>
        <v>4.1823565774785736E-3</v>
      </c>
      <c r="U2841" t="str">
        <f t="shared" si="576"/>
        <v>2021-05</v>
      </c>
      <c r="W2841">
        <v>25169.39</v>
      </c>
      <c r="X2841">
        <f t="shared" si="583"/>
        <v>4.5076708592215083E-3</v>
      </c>
      <c r="Y2841">
        <f t="shared" si="584"/>
        <v>4.5178456900271243E-3</v>
      </c>
      <c r="Z2841" t="str">
        <f t="shared" si="577"/>
        <v>2021-05</v>
      </c>
    </row>
    <row r="2842" spans="1:26" x14ac:dyDescent="0.35">
      <c r="A2842" s="1">
        <v>44348</v>
      </c>
      <c r="C2842">
        <v>4071.75</v>
      </c>
      <c r="D2842">
        <f t="shared" si="578"/>
        <v>2.9230034436722967E-4</v>
      </c>
      <c r="E2842" t="str">
        <f t="shared" si="572"/>
        <v>2021-06</v>
      </c>
      <c r="G2842">
        <v>6489.4</v>
      </c>
      <c r="H2842">
        <f t="shared" si="579"/>
        <v>8.155079532336084E-4</v>
      </c>
      <c r="I2842" t="str">
        <f t="shared" si="573"/>
        <v>2021-06</v>
      </c>
      <c r="K2842">
        <v>15567.36</v>
      </c>
      <c r="L2842">
        <f t="shared" si="580"/>
        <v>3.048188534995235E-3</v>
      </c>
      <c r="M2842" t="str">
        <f t="shared" si="574"/>
        <v>2021-06</v>
      </c>
      <c r="O2842">
        <v>8196.3863399999991</v>
      </c>
      <c r="P2842">
        <f t="shared" si="581"/>
        <v>3.0456637250450527E-3</v>
      </c>
      <c r="Q2842" t="str">
        <f t="shared" si="575"/>
        <v>2021-06</v>
      </c>
      <c r="S2842">
        <v>9189.7000000000007</v>
      </c>
      <c r="T2842">
        <f t="shared" si="582"/>
        <v>-3.7905368965877005E-3</v>
      </c>
      <c r="U2842" t="str">
        <f t="shared" si="576"/>
        <v>2021-06</v>
      </c>
      <c r="W2842">
        <v>25321.82</v>
      </c>
      <c r="X2842">
        <f t="shared" si="583"/>
        <v>6.0379009766337848E-3</v>
      </c>
      <c r="Y2842">
        <f t="shared" si="584"/>
        <v>6.0561658427161049E-3</v>
      </c>
      <c r="Z2842" t="str">
        <f t="shared" si="577"/>
        <v>2021-06</v>
      </c>
    </row>
    <row r="2843" spans="1:26" x14ac:dyDescent="0.35">
      <c r="A2843" s="1">
        <v>44349</v>
      </c>
      <c r="C2843">
        <v>4088.5</v>
      </c>
      <c r="D2843">
        <f t="shared" si="578"/>
        <v>4.1052721483618637E-3</v>
      </c>
      <c r="E2843" t="str">
        <f t="shared" si="572"/>
        <v>2021-06</v>
      </c>
      <c r="G2843">
        <v>6521.52</v>
      </c>
      <c r="H2843">
        <f t="shared" si="579"/>
        <v>4.9374010833308501E-3</v>
      </c>
      <c r="I2843" t="str">
        <f t="shared" si="573"/>
        <v>2021-06</v>
      </c>
      <c r="K2843">
        <v>15602.71</v>
      </c>
      <c r="L2843">
        <f t="shared" si="580"/>
        <v>2.2682024875498989E-3</v>
      </c>
      <c r="M2843" t="str">
        <f t="shared" si="574"/>
        <v>2021-06</v>
      </c>
      <c r="O2843">
        <v>8250.56502</v>
      </c>
      <c r="P2843">
        <f t="shared" si="581"/>
        <v>6.5883183803493606E-3</v>
      </c>
      <c r="Q2843" t="str">
        <f t="shared" si="575"/>
        <v>2021-06</v>
      </c>
      <c r="S2843">
        <v>9180.7000000000007</v>
      </c>
      <c r="T2843">
        <f t="shared" si="582"/>
        <v>-9.7983720768849455E-4</v>
      </c>
      <c r="U2843" t="str">
        <f t="shared" si="576"/>
        <v>2021-06</v>
      </c>
      <c r="W2843">
        <v>25379.69</v>
      </c>
      <c r="X2843">
        <f t="shared" si="583"/>
        <v>2.2827732400988276E-3</v>
      </c>
      <c r="Y2843">
        <f t="shared" si="584"/>
        <v>2.2853807506726998E-3</v>
      </c>
      <c r="Z2843" t="str">
        <f t="shared" si="577"/>
        <v>2021-06</v>
      </c>
    </row>
    <row r="2844" spans="1:26" x14ac:dyDescent="0.35">
      <c r="A2844" s="1">
        <v>44350</v>
      </c>
      <c r="C2844">
        <v>4079.24</v>
      </c>
      <c r="D2844">
        <f t="shared" si="578"/>
        <v>-2.2674580648798389E-3</v>
      </c>
      <c r="E2844" t="str">
        <f t="shared" si="572"/>
        <v>2021-06</v>
      </c>
      <c r="G2844">
        <v>6507.92</v>
      </c>
      <c r="H2844">
        <f t="shared" si="579"/>
        <v>-2.0875808843757006E-3</v>
      </c>
      <c r="I2844" t="str">
        <f t="shared" si="573"/>
        <v>2021-06</v>
      </c>
      <c r="K2844">
        <v>15632.67</v>
      </c>
      <c r="L2844">
        <f t="shared" si="580"/>
        <v>1.9183380632978499E-3</v>
      </c>
      <c r="M2844" t="str">
        <f t="shared" si="574"/>
        <v>2021-06</v>
      </c>
      <c r="O2844">
        <v>8217.84411</v>
      </c>
      <c r="P2844">
        <f t="shared" si="581"/>
        <v>-3.9737843284775335E-3</v>
      </c>
      <c r="Q2844" t="str">
        <f t="shared" si="575"/>
        <v>2021-06</v>
      </c>
      <c r="S2844">
        <v>9142.4</v>
      </c>
      <c r="T2844">
        <f t="shared" si="582"/>
        <v>-4.1805213943027861E-3</v>
      </c>
      <c r="U2844" t="str">
        <f t="shared" si="576"/>
        <v>2021-06</v>
      </c>
      <c r="W2844">
        <v>25452.33</v>
      </c>
      <c r="X2844">
        <f t="shared" si="583"/>
        <v>2.8580429991216139E-3</v>
      </c>
      <c r="Y2844">
        <f t="shared" si="584"/>
        <v>2.8621310977400851E-3</v>
      </c>
      <c r="Z2844" t="str">
        <f t="shared" si="577"/>
        <v>2021-06</v>
      </c>
    </row>
    <row r="2845" spans="1:26" x14ac:dyDescent="0.35">
      <c r="A2845" s="1">
        <v>44351</v>
      </c>
      <c r="C2845">
        <v>4089.38</v>
      </c>
      <c r="D2845">
        <f t="shared" si="578"/>
        <v>2.4826727668310678E-3</v>
      </c>
      <c r="E2845" t="str">
        <f t="shared" si="572"/>
        <v>2021-06</v>
      </c>
      <c r="G2845">
        <v>6515.66</v>
      </c>
      <c r="H2845">
        <f t="shared" si="579"/>
        <v>1.1886134091020895E-3</v>
      </c>
      <c r="I2845" t="str">
        <f t="shared" si="573"/>
        <v>2021-06</v>
      </c>
      <c r="K2845">
        <v>15692.9</v>
      </c>
      <c r="L2845">
        <f t="shared" si="580"/>
        <v>3.845425588099141E-3</v>
      </c>
      <c r="M2845" t="str">
        <f t="shared" si="574"/>
        <v>2021-06</v>
      </c>
      <c r="O2845">
        <v>8233.3593099999998</v>
      </c>
      <c r="P2845">
        <f t="shared" si="581"/>
        <v>1.8862090758801364E-3</v>
      </c>
      <c r="Q2845" t="str">
        <f t="shared" si="575"/>
        <v>2021-06</v>
      </c>
      <c r="S2845">
        <v>9088.2999999999993</v>
      </c>
      <c r="T2845">
        <f t="shared" si="582"/>
        <v>-5.9350610569777681E-3</v>
      </c>
      <c r="U2845" t="str">
        <f t="shared" si="576"/>
        <v>2021-06</v>
      </c>
      <c r="W2845">
        <v>25570.46</v>
      </c>
      <c r="X2845">
        <f t="shared" si="583"/>
        <v>4.630488104348531E-3</v>
      </c>
      <c r="Y2845">
        <f t="shared" si="584"/>
        <v>4.6412253809375165E-3</v>
      </c>
      <c r="Z2845" t="str">
        <f t="shared" si="577"/>
        <v>2021-06</v>
      </c>
    </row>
    <row r="2846" spans="1:26" x14ac:dyDescent="0.35">
      <c r="A2846" s="1">
        <v>44354</v>
      </c>
      <c r="C2846">
        <v>4097.6499999999996</v>
      </c>
      <c r="D2846">
        <f t="shared" si="578"/>
        <v>2.0202693315708128E-3</v>
      </c>
      <c r="E2846" t="str">
        <f t="shared" si="572"/>
        <v>2021-06</v>
      </c>
      <c r="G2846">
        <v>6543.56</v>
      </c>
      <c r="H2846">
        <f t="shared" si="579"/>
        <v>4.2728497487723753E-3</v>
      </c>
      <c r="I2846" t="str">
        <f t="shared" si="573"/>
        <v>2021-06</v>
      </c>
      <c r="K2846">
        <v>15677.15</v>
      </c>
      <c r="L2846">
        <f t="shared" si="580"/>
        <v>-1.0041425705981867E-3</v>
      </c>
      <c r="M2846" t="str">
        <f t="shared" si="574"/>
        <v>2021-06</v>
      </c>
      <c r="O2846">
        <v>8229.1906199999994</v>
      </c>
      <c r="P2846">
        <f t="shared" si="581"/>
        <v>-5.0644524776870129E-4</v>
      </c>
      <c r="Q2846" t="str">
        <f t="shared" si="575"/>
        <v>2021-06</v>
      </c>
      <c r="S2846">
        <v>9163.6</v>
      </c>
      <c r="T2846">
        <f t="shared" si="582"/>
        <v>8.2512425797168516E-3</v>
      </c>
      <c r="U2846" t="str">
        <f t="shared" si="576"/>
        <v>2021-06</v>
      </c>
      <c r="W2846">
        <v>25824.71</v>
      </c>
      <c r="X2846">
        <f t="shared" si="583"/>
        <v>9.894006540689268E-3</v>
      </c>
      <c r="Y2846">
        <f t="shared" si="584"/>
        <v>9.943114046442653E-3</v>
      </c>
      <c r="Z2846" t="str">
        <f t="shared" si="577"/>
        <v>2021-06</v>
      </c>
    </row>
    <row r="2847" spans="1:26" x14ac:dyDescent="0.35">
      <c r="A2847" s="1">
        <v>44355</v>
      </c>
      <c r="C2847">
        <v>4096.01</v>
      </c>
      <c r="D2847">
        <f t="shared" si="578"/>
        <v>-4.003095129404945E-4</v>
      </c>
      <c r="E2847" t="str">
        <f t="shared" si="572"/>
        <v>2021-06</v>
      </c>
      <c r="G2847">
        <v>6551.01</v>
      </c>
      <c r="H2847">
        <f t="shared" si="579"/>
        <v>1.1378763569679983E-3</v>
      </c>
      <c r="I2847" t="str">
        <f t="shared" si="573"/>
        <v>2021-06</v>
      </c>
      <c r="K2847">
        <v>15640.6</v>
      </c>
      <c r="L2847">
        <f t="shared" si="580"/>
        <v>-2.3341406451195001E-3</v>
      </c>
      <c r="M2847" t="str">
        <f t="shared" si="574"/>
        <v>2021-06</v>
      </c>
      <c r="O2847">
        <v>8242.8422800000008</v>
      </c>
      <c r="P2847">
        <f t="shared" si="581"/>
        <v>1.6575565637264177E-3</v>
      </c>
      <c r="Q2847" t="str">
        <f t="shared" si="575"/>
        <v>2021-06</v>
      </c>
      <c r="S2847">
        <v>9153.6</v>
      </c>
      <c r="T2847">
        <f t="shared" si="582"/>
        <v>-1.0918700449286847E-3</v>
      </c>
      <c r="U2847" t="str">
        <f t="shared" si="576"/>
        <v>2021-06</v>
      </c>
      <c r="W2847">
        <v>25809.16</v>
      </c>
      <c r="X2847">
        <f t="shared" si="583"/>
        <v>-6.0231783788858501E-4</v>
      </c>
      <c r="Y2847">
        <f t="shared" si="584"/>
        <v>-6.0213648091301988E-4</v>
      </c>
      <c r="Z2847" t="str">
        <f t="shared" si="577"/>
        <v>2021-06</v>
      </c>
    </row>
    <row r="2848" spans="1:26" x14ac:dyDescent="0.35">
      <c r="A2848" s="1">
        <v>44356</v>
      </c>
      <c r="C2848">
        <v>4096.8500000000004</v>
      </c>
      <c r="D2848">
        <f t="shared" si="578"/>
        <v>2.050565987808448E-4</v>
      </c>
      <c r="E2848" t="str">
        <f t="shared" si="572"/>
        <v>2021-06</v>
      </c>
      <c r="G2848">
        <v>6563.45</v>
      </c>
      <c r="H2848">
        <f t="shared" si="579"/>
        <v>1.8971431124300969E-3</v>
      </c>
      <c r="I2848" t="str">
        <f t="shared" si="573"/>
        <v>2021-06</v>
      </c>
      <c r="K2848">
        <v>15581.14</v>
      </c>
      <c r="L2848">
        <f t="shared" si="580"/>
        <v>-3.8088890552108387E-3</v>
      </c>
      <c r="M2848" t="str">
        <f t="shared" si="574"/>
        <v>2021-06</v>
      </c>
      <c r="O2848">
        <v>8208.0630000000001</v>
      </c>
      <c r="P2848">
        <f t="shared" si="581"/>
        <v>-4.2282574999767744E-3</v>
      </c>
      <c r="Q2848" t="str">
        <f t="shared" si="575"/>
        <v>2021-06</v>
      </c>
      <c r="S2848">
        <v>9156.1</v>
      </c>
      <c r="T2848">
        <f t="shared" si="582"/>
        <v>2.7307929846311085E-4</v>
      </c>
      <c r="U2848" t="str">
        <f t="shared" si="576"/>
        <v>2021-06</v>
      </c>
      <c r="W2848">
        <v>25741.75</v>
      </c>
      <c r="X2848">
        <f t="shared" si="583"/>
        <v>-2.6152802509969196E-3</v>
      </c>
      <c r="Y2848">
        <f t="shared" si="584"/>
        <v>-2.6118633849377452E-3</v>
      </c>
      <c r="Z2848" t="str">
        <f t="shared" si="577"/>
        <v>2021-06</v>
      </c>
    </row>
    <row r="2849" spans="1:26" x14ac:dyDescent="0.35">
      <c r="A2849" s="1">
        <v>44357</v>
      </c>
      <c r="C2849">
        <v>4096.07</v>
      </c>
      <c r="D2849">
        <f t="shared" si="578"/>
        <v>-1.9040830433042502E-4</v>
      </c>
      <c r="E2849" t="str">
        <f t="shared" si="572"/>
        <v>2021-06</v>
      </c>
      <c r="G2849">
        <v>6546.49</v>
      </c>
      <c r="H2849">
        <f t="shared" si="579"/>
        <v>-2.5873511948029987E-3</v>
      </c>
      <c r="I2849" t="str">
        <f t="shared" si="573"/>
        <v>2021-06</v>
      </c>
      <c r="K2849">
        <v>15571.22</v>
      </c>
      <c r="L2849">
        <f t="shared" si="580"/>
        <v>-6.3686990875163609E-4</v>
      </c>
      <c r="M2849" t="str">
        <f t="shared" si="574"/>
        <v>2021-06</v>
      </c>
      <c r="O2849">
        <v>8245.9684600000001</v>
      </c>
      <c r="P2849">
        <f t="shared" si="581"/>
        <v>4.6074455550465833E-3</v>
      </c>
      <c r="Q2849" t="str">
        <f t="shared" si="575"/>
        <v>2021-06</v>
      </c>
      <c r="S2849">
        <v>9133.7999999999993</v>
      </c>
      <c r="T2849">
        <f t="shared" si="582"/>
        <v>-2.4385055194642274E-3</v>
      </c>
      <c r="U2849" t="str">
        <f t="shared" si="576"/>
        <v>2021-06</v>
      </c>
      <c r="W2849">
        <v>25638.19</v>
      </c>
      <c r="X2849">
        <f t="shared" si="583"/>
        <v>-4.0311506879526331E-3</v>
      </c>
      <c r="Y2849">
        <f t="shared" si="584"/>
        <v>-4.023036506842049E-3</v>
      </c>
      <c r="Z2849" t="str">
        <f t="shared" si="577"/>
        <v>2021-06</v>
      </c>
    </row>
    <row r="2850" spans="1:26" x14ac:dyDescent="0.35">
      <c r="A2850" s="1">
        <v>44358</v>
      </c>
      <c r="C2850">
        <v>4126.7</v>
      </c>
      <c r="D2850">
        <f t="shared" si="578"/>
        <v>7.4500786652168024E-3</v>
      </c>
      <c r="E2850" t="str">
        <f t="shared" si="572"/>
        <v>2021-06</v>
      </c>
      <c r="G2850">
        <v>6600.66</v>
      </c>
      <c r="H2850">
        <f t="shared" si="579"/>
        <v>8.240615882005517E-3</v>
      </c>
      <c r="I2850" t="str">
        <f t="shared" si="573"/>
        <v>2021-06</v>
      </c>
      <c r="K2850">
        <v>15693.27</v>
      </c>
      <c r="L2850">
        <f t="shared" si="580"/>
        <v>7.8076194431703373E-3</v>
      </c>
      <c r="M2850" t="str">
        <f t="shared" si="574"/>
        <v>2021-06</v>
      </c>
      <c r="O2850">
        <v>8318.2538100000002</v>
      </c>
      <c r="P2850">
        <f t="shared" si="581"/>
        <v>8.7279448071505041E-3</v>
      </c>
      <c r="Q2850" t="str">
        <f t="shared" si="575"/>
        <v>2021-06</v>
      </c>
      <c r="S2850">
        <v>9205</v>
      </c>
      <c r="T2850">
        <f t="shared" si="582"/>
        <v>7.7649963739148814E-3</v>
      </c>
      <c r="U2850" t="str">
        <f t="shared" si="576"/>
        <v>2021-06</v>
      </c>
      <c r="W2850">
        <v>25717.42</v>
      </c>
      <c r="X2850">
        <f t="shared" si="583"/>
        <v>3.0855465589733006E-3</v>
      </c>
      <c r="Y2850">
        <f t="shared" si="584"/>
        <v>3.0903117575772536E-3</v>
      </c>
      <c r="Z2850" t="str">
        <f t="shared" si="577"/>
        <v>2021-06</v>
      </c>
    </row>
    <row r="2851" spans="1:26" x14ac:dyDescent="0.35">
      <c r="A2851" s="1">
        <v>44361</v>
      </c>
      <c r="C2851">
        <v>4132.67</v>
      </c>
      <c r="D2851">
        <f t="shared" si="578"/>
        <v>1.4456310928558241E-3</v>
      </c>
      <c r="E2851" t="str">
        <f t="shared" si="572"/>
        <v>2021-06</v>
      </c>
      <c r="G2851">
        <v>6616.35</v>
      </c>
      <c r="H2851">
        <f t="shared" si="579"/>
        <v>2.3742143450354103E-3</v>
      </c>
      <c r="I2851" t="str">
        <f t="shared" si="573"/>
        <v>2021-06</v>
      </c>
      <c r="K2851">
        <v>15673.64</v>
      </c>
      <c r="L2851">
        <f t="shared" si="580"/>
        <v>-1.2516376374141795E-3</v>
      </c>
      <c r="M2851" t="str">
        <f t="shared" si="574"/>
        <v>2021-06</v>
      </c>
      <c r="O2851">
        <v>8320.4994900000002</v>
      </c>
      <c r="P2851">
        <f t="shared" si="581"/>
        <v>2.6993368711527861E-4</v>
      </c>
      <c r="Q2851" t="str">
        <f t="shared" si="575"/>
        <v>2021-06</v>
      </c>
      <c r="S2851">
        <v>9281.1</v>
      </c>
      <c r="T2851">
        <f t="shared" si="582"/>
        <v>8.2332595711699444E-3</v>
      </c>
      <c r="U2851" t="str">
        <f t="shared" si="576"/>
        <v>2021-06</v>
      </c>
      <c r="W2851">
        <v>25757.83</v>
      </c>
      <c r="X2851">
        <f t="shared" si="583"/>
        <v>1.5700752614644705E-3</v>
      </c>
      <c r="Y2851">
        <f t="shared" si="584"/>
        <v>1.5713084749560218E-3</v>
      </c>
      <c r="Z2851" t="str">
        <f t="shared" si="577"/>
        <v>2021-06</v>
      </c>
    </row>
    <row r="2852" spans="1:26" x14ac:dyDescent="0.35">
      <c r="A2852" s="1">
        <v>44362</v>
      </c>
      <c r="C2852">
        <v>4143.5200000000004</v>
      </c>
      <c r="D2852">
        <f t="shared" si="578"/>
        <v>2.6219809395264903E-3</v>
      </c>
      <c r="E2852" t="str">
        <f t="shared" si="572"/>
        <v>2021-06</v>
      </c>
      <c r="G2852">
        <v>6639.52</v>
      </c>
      <c r="H2852">
        <f t="shared" si="579"/>
        <v>3.4958133409803442E-3</v>
      </c>
      <c r="I2852" t="str">
        <f t="shared" si="573"/>
        <v>2021-06</v>
      </c>
      <c r="K2852">
        <v>15729.52</v>
      </c>
      <c r="L2852">
        <f t="shared" si="580"/>
        <v>3.558881270523877E-3</v>
      </c>
      <c r="M2852" t="str">
        <f t="shared" si="574"/>
        <v>2021-06</v>
      </c>
      <c r="O2852">
        <v>8328.4537600000003</v>
      </c>
      <c r="P2852">
        <f t="shared" si="581"/>
        <v>9.5552801257461093E-4</v>
      </c>
      <c r="Q2852" t="str">
        <f t="shared" si="575"/>
        <v>2021-06</v>
      </c>
      <c r="S2852">
        <v>9230.7000000000007</v>
      </c>
      <c r="T2852">
        <f t="shared" si="582"/>
        <v>-5.4451889638269637E-3</v>
      </c>
      <c r="U2852" t="str">
        <f t="shared" si="576"/>
        <v>2021-06</v>
      </c>
      <c r="W2852">
        <v>25736.75</v>
      </c>
      <c r="X2852">
        <f t="shared" si="583"/>
        <v>-8.187269874817925E-4</v>
      </c>
      <c r="Y2852">
        <f t="shared" si="584"/>
        <v>-8.1839192199039063E-4</v>
      </c>
      <c r="Z2852" t="str">
        <f t="shared" si="577"/>
        <v>2021-06</v>
      </c>
    </row>
    <row r="2853" spans="1:26" x14ac:dyDescent="0.35">
      <c r="A2853" s="1">
        <v>44363</v>
      </c>
      <c r="C2853">
        <v>4151.76</v>
      </c>
      <c r="D2853">
        <f t="shared" si="578"/>
        <v>1.9866725921685699E-3</v>
      </c>
      <c r="E2853" t="str">
        <f t="shared" si="572"/>
        <v>2021-06</v>
      </c>
      <c r="G2853">
        <v>6652.65</v>
      </c>
      <c r="H2853">
        <f t="shared" si="579"/>
        <v>1.9755998110955338E-3</v>
      </c>
      <c r="I2853" t="str">
        <f t="shared" si="573"/>
        <v>2021-06</v>
      </c>
      <c r="K2853">
        <v>15710.57</v>
      </c>
      <c r="L2853">
        <f t="shared" si="580"/>
        <v>-1.2054674331256666E-3</v>
      </c>
      <c r="M2853" t="str">
        <f t="shared" si="574"/>
        <v>2021-06</v>
      </c>
      <c r="O2853">
        <v>8361.8872599999995</v>
      </c>
      <c r="P2853">
        <f t="shared" si="581"/>
        <v>4.0063345235696558E-3</v>
      </c>
      <c r="Q2853" t="str">
        <f t="shared" si="575"/>
        <v>2021-06</v>
      </c>
      <c r="S2853">
        <v>9202.2000000000007</v>
      </c>
      <c r="T2853">
        <f t="shared" si="582"/>
        <v>-3.0922993897320411E-3</v>
      </c>
      <c r="U2853" t="str">
        <f t="shared" si="576"/>
        <v>2021-06</v>
      </c>
      <c r="W2853">
        <v>25767.54</v>
      </c>
      <c r="X2853">
        <f t="shared" si="583"/>
        <v>1.1956287007521451E-3</v>
      </c>
      <c r="Y2853">
        <f t="shared" si="584"/>
        <v>1.1963437496964797E-3</v>
      </c>
      <c r="Z2853" t="str">
        <f t="shared" si="577"/>
        <v>2021-06</v>
      </c>
    </row>
    <row r="2854" spans="1:26" x14ac:dyDescent="0.35">
      <c r="A2854" s="1">
        <v>44364</v>
      </c>
      <c r="C2854">
        <v>4158.1400000000003</v>
      </c>
      <c r="D2854">
        <f t="shared" si="578"/>
        <v>1.5355181779737497E-3</v>
      </c>
      <c r="E2854" t="str">
        <f t="shared" si="572"/>
        <v>2021-06</v>
      </c>
      <c r="G2854">
        <v>6666.26</v>
      </c>
      <c r="H2854">
        <f t="shared" si="579"/>
        <v>2.04371149548103E-3</v>
      </c>
      <c r="I2854" t="str">
        <f t="shared" si="573"/>
        <v>2021-06</v>
      </c>
      <c r="K2854">
        <v>15727.67</v>
      </c>
      <c r="L2854">
        <f t="shared" si="580"/>
        <v>1.0878472641192144E-3</v>
      </c>
      <c r="M2854" t="str">
        <f t="shared" si="574"/>
        <v>2021-06</v>
      </c>
      <c r="O2854">
        <v>8356.0913999999993</v>
      </c>
      <c r="P2854">
        <f t="shared" si="581"/>
        <v>-6.9336854054838403E-4</v>
      </c>
      <c r="Q2854" t="str">
        <f t="shared" si="575"/>
        <v>2021-06</v>
      </c>
      <c r="S2854">
        <v>9195.9</v>
      </c>
      <c r="T2854">
        <f t="shared" si="582"/>
        <v>-6.8485335401361901E-4</v>
      </c>
      <c r="U2854" t="str">
        <f t="shared" si="576"/>
        <v>2021-06</v>
      </c>
      <c r="W2854">
        <v>25713.599999999999</v>
      </c>
      <c r="X2854">
        <f t="shared" si="583"/>
        <v>-2.0955254580052591E-3</v>
      </c>
      <c r="Y2854">
        <f t="shared" si="584"/>
        <v>-2.0933313773841946E-3</v>
      </c>
      <c r="Z2854" t="str">
        <f t="shared" si="577"/>
        <v>2021-06</v>
      </c>
    </row>
    <row r="2855" spans="1:26" x14ac:dyDescent="0.35">
      <c r="A2855" s="1">
        <v>44365</v>
      </c>
      <c r="C2855">
        <v>4083.37</v>
      </c>
      <c r="D2855">
        <f t="shared" si="578"/>
        <v>-1.8145231028521714E-2</v>
      </c>
      <c r="E2855" t="str">
        <f t="shared" si="572"/>
        <v>2021-06</v>
      </c>
      <c r="G2855">
        <v>6569.16</v>
      </c>
      <c r="H2855">
        <f t="shared" si="579"/>
        <v>-1.4673012584069278E-2</v>
      </c>
      <c r="I2855" t="str">
        <f t="shared" si="573"/>
        <v>2021-06</v>
      </c>
      <c r="K2855">
        <v>15448.04</v>
      </c>
      <c r="L2855">
        <f t="shared" si="580"/>
        <v>-1.7939447041170599E-2</v>
      </c>
      <c r="M2855" t="str">
        <f t="shared" si="574"/>
        <v>2021-06</v>
      </c>
      <c r="O2855">
        <v>8165.6758300000001</v>
      </c>
      <c r="P2855">
        <f t="shared" si="581"/>
        <v>-2.3051287299374931E-2</v>
      </c>
      <c r="Q2855" t="str">
        <f t="shared" si="575"/>
        <v>2021-06</v>
      </c>
      <c r="S2855">
        <v>9030.6</v>
      </c>
      <c r="T2855">
        <f t="shared" si="582"/>
        <v>-1.8138922144403619E-2</v>
      </c>
      <c r="U2855" t="str">
        <f t="shared" si="576"/>
        <v>2021-06</v>
      </c>
      <c r="W2855">
        <v>25218.16</v>
      </c>
      <c r="X2855">
        <f t="shared" si="583"/>
        <v>-1.9455664907322305E-2</v>
      </c>
      <c r="Y2855">
        <f t="shared" si="584"/>
        <v>-1.9267624914442113E-2</v>
      </c>
      <c r="Z2855" t="str">
        <f t="shared" si="577"/>
        <v>2021-06</v>
      </c>
    </row>
    <row r="2856" spans="1:26" x14ac:dyDescent="0.35">
      <c r="A2856" s="1">
        <v>44368</v>
      </c>
      <c r="C2856">
        <v>4112.33</v>
      </c>
      <c r="D2856">
        <f t="shared" si="578"/>
        <v>7.0671499769120062E-3</v>
      </c>
      <c r="E2856" t="str">
        <f t="shared" si="572"/>
        <v>2021-06</v>
      </c>
      <c r="G2856">
        <v>6602.54</v>
      </c>
      <c r="H2856">
        <f t="shared" si="579"/>
        <v>5.0684530408080016E-3</v>
      </c>
      <c r="I2856" t="str">
        <f t="shared" si="573"/>
        <v>2021-06</v>
      </c>
      <c r="K2856">
        <v>15603.24</v>
      </c>
      <c r="L2856">
        <f t="shared" si="580"/>
        <v>9.9964505433086832E-3</v>
      </c>
      <c r="M2856" t="str">
        <f t="shared" si="574"/>
        <v>2021-06</v>
      </c>
      <c r="O2856">
        <v>8252.6701200000007</v>
      </c>
      <c r="P2856">
        <f t="shared" si="581"/>
        <v>1.0597304308935525E-2</v>
      </c>
      <c r="Q2856" t="str">
        <f t="shared" si="575"/>
        <v>2021-06</v>
      </c>
      <c r="S2856">
        <v>9051.7000000000007</v>
      </c>
      <c r="T2856">
        <f t="shared" si="582"/>
        <v>2.3337749707473187E-3</v>
      </c>
      <c r="U2856" t="str">
        <f t="shared" si="576"/>
        <v>2021-06</v>
      </c>
      <c r="W2856">
        <v>25397.72</v>
      </c>
      <c r="X2856">
        <f t="shared" si="583"/>
        <v>7.0950363106079802E-3</v>
      </c>
      <c r="Y2856">
        <f t="shared" si="584"/>
        <v>7.1202657132796885E-3</v>
      </c>
      <c r="Z2856" t="str">
        <f t="shared" si="577"/>
        <v>2021-06</v>
      </c>
    </row>
    <row r="2857" spans="1:26" x14ac:dyDescent="0.35">
      <c r="A2857" s="1">
        <v>44369</v>
      </c>
      <c r="C2857">
        <v>4123.13</v>
      </c>
      <c r="D2857">
        <f t="shared" si="578"/>
        <v>2.6228058156310932E-3</v>
      </c>
      <c r="E2857" t="str">
        <f t="shared" si="572"/>
        <v>2021-06</v>
      </c>
      <c r="G2857">
        <v>6611.5</v>
      </c>
      <c r="H2857">
        <f t="shared" si="579"/>
        <v>1.3561335326959653E-3</v>
      </c>
      <c r="I2857" t="str">
        <f t="shared" si="573"/>
        <v>2021-06</v>
      </c>
      <c r="K2857">
        <v>15636.33</v>
      </c>
      <c r="L2857">
        <f t="shared" si="580"/>
        <v>2.11846785185582E-3</v>
      </c>
      <c r="M2857" t="str">
        <f t="shared" si="574"/>
        <v>2021-06</v>
      </c>
      <c r="O2857">
        <v>8280.4901000000009</v>
      </c>
      <c r="P2857">
        <f t="shared" si="581"/>
        <v>3.3653585746938534E-3</v>
      </c>
      <c r="Q2857" t="str">
        <f t="shared" si="575"/>
        <v>2021-06</v>
      </c>
      <c r="S2857">
        <v>9053.2999999999993</v>
      </c>
      <c r="T2857">
        <f t="shared" si="582"/>
        <v>1.7674675550010633E-4</v>
      </c>
      <c r="U2857" t="str">
        <f t="shared" si="576"/>
        <v>2021-06</v>
      </c>
      <c r="W2857">
        <v>25315.57</v>
      </c>
      <c r="X2857">
        <f t="shared" si="583"/>
        <v>-3.2397847528827235E-3</v>
      </c>
      <c r="Y2857">
        <f t="shared" si="584"/>
        <v>-3.2345423132470732E-3</v>
      </c>
      <c r="Z2857" t="str">
        <f t="shared" si="577"/>
        <v>2021-06</v>
      </c>
    </row>
    <row r="2858" spans="1:26" x14ac:dyDescent="0.35">
      <c r="A2858" s="1">
        <v>44370</v>
      </c>
      <c r="C2858">
        <v>4075.94</v>
      </c>
      <c r="D2858">
        <f t="shared" si="578"/>
        <v>-1.1511188728589713E-2</v>
      </c>
      <c r="E2858" t="str">
        <f t="shared" si="572"/>
        <v>2021-06</v>
      </c>
      <c r="G2858">
        <v>6551.07</v>
      </c>
      <c r="H2858">
        <f t="shared" si="579"/>
        <v>-9.1821619305462992E-3</v>
      </c>
      <c r="I2858" t="str">
        <f t="shared" si="573"/>
        <v>2021-06</v>
      </c>
      <c r="K2858">
        <v>15456.39</v>
      </c>
      <c r="L2858">
        <f t="shared" si="580"/>
        <v>-1.1574542778905973E-2</v>
      </c>
      <c r="M2858" t="str">
        <f t="shared" si="574"/>
        <v>2021-06</v>
      </c>
      <c r="O2858">
        <v>8275.3937499999993</v>
      </c>
      <c r="P2858">
        <f t="shared" si="581"/>
        <v>-6.1565425405833902E-4</v>
      </c>
      <c r="Q2858" t="str">
        <f t="shared" si="575"/>
        <v>2021-06</v>
      </c>
      <c r="S2858">
        <v>8954.1</v>
      </c>
      <c r="T2858">
        <f t="shared" si="582"/>
        <v>-1.1017804181085888E-2</v>
      </c>
      <c r="U2858" t="str">
        <f t="shared" si="576"/>
        <v>2021-06</v>
      </c>
      <c r="W2858">
        <v>25077.14</v>
      </c>
      <c r="X2858">
        <f t="shared" si="583"/>
        <v>-9.4629472885657592E-3</v>
      </c>
      <c r="Y2858">
        <f t="shared" si="584"/>
        <v>-9.4183144997327852E-3</v>
      </c>
      <c r="Z2858" t="str">
        <f t="shared" si="577"/>
        <v>2021-06</v>
      </c>
    </row>
    <row r="2859" spans="1:26" x14ac:dyDescent="0.35">
      <c r="A2859" s="1">
        <v>44371</v>
      </c>
      <c r="C2859">
        <v>4122.43</v>
      </c>
      <c r="D2859">
        <f t="shared" si="578"/>
        <v>1.1341400381483803E-2</v>
      </c>
      <c r="E2859" t="str">
        <f t="shared" si="572"/>
        <v>2021-06</v>
      </c>
      <c r="G2859">
        <v>6631.15</v>
      </c>
      <c r="H2859">
        <f t="shared" si="579"/>
        <v>1.2149848069155016E-2</v>
      </c>
      <c r="I2859" t="str">
        <f t="shared" si="573"/>
        <v>2021-06</v>
      </c>
      <c r="K2859">
        <v>15589.23</v>
      </c>
      <c r="L2859">
        <f t="shared" si="580"/>
        <v>8.5577811438329737E-3</v>
      </c>
      <c r="M2859" t="str">
        <f t="shared" si="574"/>
        <v>2021-06</v>
      </c>
      <c r="O2859">
        <v>8295.6604800000005</v>
      </c>
      <c r="P2859">
        <f t="shared" si="581"/>
        <v>2.4460411297382448E-3</v>
      </c>
      <c r="Q2859" t="str">
        <f t="shared" si="575"/>
        <v>2021-06</v>
      </c>
      <c r="S2859">
        <v>9074.1</v>
      </c>
      <c r="T2859">
        <f t="shared" si="582"/>
        <v>1.3312673729777048E-2</v>
      </c>
      <c r="U2859" t="str">
        <f t="shared" si="576"/>
        <v>2021-06</v>
      </c>
      <c r="W2859">
        <v>25422.22</v>
      </c>
      <c r="X2859">
        <f t="shared" si="583"/>
        <v>1.3666920582326509E-2</v>
      </c>
      <c r="Y2859">
        <f t="shared" si="584"/>
        <v>1.3760739861084708E-2</v>
      </c>
      <c r="Z2859" t="str">
        <f t="shared" si="577"/>
        <v>2021-06</v>
      </c>
    </row>
    <row r="2860" spans="1:26" x14ac:dyDescent="0.35">
      <c r="A2860" s="1">
        <v>44372</v>
      </c>
      <c r="C2860">
        <v>4120.66</v>
      </c>
      <c r="D2860">
        <f t="shared" si="578"/>
        <v>-4.2945061310830333E-4</v>
      </c>
      <c r="E2860" t="str">
        <f t="shared" si="572"/>
        <v>2021-06</v>
      </c>
      <c r="G2860">
        <v>6622.87</v>
      </c>
      <c r="H2860">
        <f t="shared" si="579"/>
        <v>-1.2494324102643103E-3</v>
      </c>
      <c r="I2860" t="str">
        <f t="shared" si="573"/>
        <v>2021-06</v>
      </c>
      <c r="K2860">
        <v>15607.97</v>
      </c>
      <c r="L2860">
        <f t="shared" si="580"/>
        <v>1.2013900128224596E-3</v>
      </c>
      <c r="M2860" t="str">
        <f t="shared" si="574"/>
        <v>2021-06</v>
      </c>
      <c r="O2860">
        <v>8310.7686300000005</v>
      </c>
      <c r="P2860">
        <f t="shared" si="581"/>
        <v>1.8195548324371007E-3</v>
      </c>
      <c r="Q2860" t="str">
        <f t="shared" si="575"/>
        <v>2021-06</v>
      </c>
      <c r="S2860">
        <v>9095</v>
      </c>
      <c r="T2860">
        <f t="shared" si="582"/>
        <v>2.3006102909121974E-3</v>
      </c>
      <c r="U2860" t="str">
        <f t="shared" si="576"/>
        <v>2021-06</v>
      </c>
      <c r="W2860">
        <v>25510.5</v>
      </c>
      <c r="X2860">
        <f t="shared" si="583"/>
        <v>3.4665373616084892E-3</v>
      </c>
      <c r="Y2860">
        <f t="shared" si="584"/>
        <v>3.4725527510972225E-3</v>
      </c>
      <c r="Z2860" t="str">
        <f t="shared" si="577"/>
        <v>2021-06</v>
      </c>
    </row>
    <row r="2861" spans="1:26" x14ac:dyDescent="0.35">
      <c r="A2861" s="1">
        <v>44375</v>
      </c>
      <c r="C2861">
        <v>4089.91</v>
      </c>
      <c r="D2861">
        <f t="shared" si="578"/>
        <v>-7.4903797838519392E-3</v>
      </c>
      <c r="E2861" t="str">
        <f t="shared" si="572"/>
        <v>2021-06</v>
      </c>
      <c r="G2861">
        <v>6558.02</v>
      </c>
      <c r="H2861">
        <f t="shared" si="579"/>
        <v>-9.8400826150011871E-3</v>
      </c>
      <c r="I2861" t="str">
        <f t="shared" si="573"/>
        <v>2021-06</v>
      </c>
      <c r="K2861">
        <v>15554.18</v>
      </c>
      <c r="L2861">
        <f t="shared" si="580"/>
        <v>-3.4522684361078244E-3</v>
      </c>
      <c r="M2861" t="str">
        <f t="shared" si="574"/>
        <v>2021-06</v>
      </c>
      <c r="O2861">
        <v>8236.86895</v>
      </c>
      <c r="P2861">
        <f t="shared" si="581"/>
        <v>-8.9318092609461872E-3</v>
      </c>
      <c r="Q2861" t="str">
        <f t="shared" si="575"/>
        <v>2021-06</v>
      </c>
      <c r="S2861">
        <v>8913.7000000000007</v>
      </c>
      <c r="T2861">
        <f t="shared" si="582"/>
        <v>-2.0135392936898439E-2</v>
      </c>
      <c r="U2861" t="str">
        <f t="shared" si="576"/>
        <v>2021-06</v>
      </c>
      <c r="W2861">
        <v>25227.1</v>
      </c>
      <c r="X2861">
        <f t="shared" si="583"/>
        <v>-1.1171318600608741E-2</v>
      </c>
      <c r="Y2861">
        <f t="shared" si="584"/>
        <v>-1.1109151133846905E-2</v>
      </c>
      <c r="Z2861" t="str">
        <f t="shared" si="577"/>
        <v>2021-06</v>
      </c>
    </row>
    <row r="2862" spans="1:26" x14ac:dyDescent="0.35">
      <c r="A2862" s="1">
        <v>44376</v>
      </c>
      <c r="C2862">
        <v>4107.51</v>
      </c>
      <c r="D2862">
        <f t="shared" si="578"/>
        <v>4.2940405746057396E-3</v>
      </c>
      <c r="E2862" t="str">
        <f t="shared" si="572"/>
        <v>2021-06</v>
      </c>
      <c r="G2862">
        <v>6567.43</v>
      </c>
      <c r="H2862">
        <f t="shared" si="579"/>
        <v>1.4338558468017283E-3</v>
      </c>
      <c r="I2862" t="str">
        <f t="shared" si="573"/>
        <v>2021-06</v>
      </c>
      <c r="K2862">
        <v>15690.59</v>
      </c>
      <c r="L2862">
        <f t="shared" si="580"/>
        <v>8.7317568154772606E-3</v>
      </c>
      <c r="M2862" t="str">
        <f t="shared" si="574"/>
        <v>2021-06</v>
      </c>
      <c r="O2862">
        <v>8246.3668099999995</v>
      </c>
      <c r="P2862">
        <f t="shared" si="581"/>
        <v>1.1524267673478086E-3</v>
      </c>
      <c r="Q2862" t="str">
        <f t="shared" si="575"/>
        <v>2021-06</v>
      </c>
      <c r="S2862">
        <v>8915.1</v>
      </c>
      <c r="T2862">
        <f t="shared" si="582"/>
        <v>1.5704926892179353E-4</v>
      </c>
      <c r="U2862" t="str">
        <f t="shared" si="576"/>
        <v>2021-06</v>
      </c>
      <c r="W2862">
        <v>25357.360000000001</v>
      </c>
      <c r="X2862">
        <f t="shared" si="583"/>
        <v>5.1502096859412727E-3</v>
      </c>
      <c r="Y2862">
        <f t="shared" si="584"/>
        <v>5.1634948131177201E-3</v>
      </c>
      <c r="Z2862" t="str">
        <f t="shared" si="577"/>
        <v>2021-06</v>
      </c>
    </row>
    <row r="2863" spans="1:26" x14ac:dyDescent="0.35">
      <c r="A2863" s="1">
        <v>44377</v>
      </c>
      <c r="C2863">
        <v>4064.3</v>
      </c>
      <c r="D2863">
        <f t="shared" si="578"/>
        <v>-1.0575479047891597E-2</v>
      </c>
      <c r="E2863" t="str">
        <f t="shared" si="572"/>
        <v>2021-06</v>
      </c>
      <c r="G2863">
        <v>6507.83</v>
      </c>
      <c r="H2863">
        <f t="shared" si="579"/>
        <v>-9.116516655645163E-3</v>
      </c>
      <c r="I2863" t="str">
        <f t="shared" si="573"/>
        <v>2021-06</v>
      </c>
      <c r="K2863">
        <v>15531.04</v>
      </c>
      <c r="L2863">
        <f t="shared" si="580"/>
        <v>-1.0220567528366684E-2</v>
      </c>
      <c r="M2863" t="str">
        <f t="shared" si="574"/>
        <v>2021-06</v>
      </c>
      <c r="O2863">
        <v>8196.2263500000008</v>
      </c>
      <c r="P2863">
        <f t="shared" si="581"/>
        <v>-6.0988695556208174E-3</v>
      </c>
      <c r="Q2863" t="str">
        <f t="shared" si="575"/>
        <v>2021-06</v>
      </c>
      <c r="S2863">
        <v>8821.2000000000007</v>
      </c>
      <c r="T2863">
        <f t="shared" si="582"/>
        <v>-1.0588553116203712E-2</v>
      </c>
      <c r="U2863" t="str">
        <f t="shared" si="576"/>
        <v>2021-06</v>
      </c>
      <c r="W2863">
        <v>25102.04</v>
      </c>
      <c r="X2863">
        <f t="shared" si="583"/>
        <v>-1.0119905468262521E-2</v>
      </c>
      <c r="Y2863">
        <f t="shared" si="584"/>
        <v>-1.0068871522903004E-2</v>
      </c>
      <c r="Z2863" t="str">
        <f t="shared" si="577"/>
        <v>2021-06</v>
      </c>
    </row>
    <row r="2864" spans="1:26" x14ac:dyDescent="0.35">
      <c r="A2864" s="1">
        <v>44378</v>
      </c>
      <c r="C2864">
        <v>4078.89</v>
      </c>
      <c r="D2864">
        <f t="shared" si="578"/>
        <v>3.583366128487607E-3</v>
      </c>
      <c r="E2864" t="str">
        <f t="shared" si="572"/>
        <v>2021-07</v>
      </c>
      <c r="G2864">
        <v>6553.82</v>
      </c>
      <c r="H2864">
        <f t="shared" si="579"/>
        <v>7.0420184362018834E-3</v>
      </c>
      <c r="I2864" t="str">
        <f t="shared" si="573"/>
        <v>2021-07</v>
      </c>
      <c r="K2864">
        <v>15603.81</v>
      </c>
      <c r="L2864">
        <f t="shared" si="580"/>
        <v>4.6745131265125504E-3</v>
      </c>
      <c r="M2864" t="str">
        <f t="shared" si="574"/>
        <v>2021-07</v>
      </c>
      <c r="O2864">
        <v>8277.9097399999991</v>
      </c>
      <c r="P2864">
        <f t="shared" si="581"/>
        <v>9.9166425415774511E-3</v>
      </c>
      <c r="Q2864" t="str">
        <f t="shared" si="575"/>
        <v>2021-07</v>
      </c>
      <c r="S2864">
        <v>8932.2999999999993</v>
      </c>
      <c r="T2864">
        <f t="shared" si="582"/>
        <v>1.2516005330524566E-2</v>
      </c>
      <c r="U2864" t="str">
        <f t="shared" si="576"/>
        <v>2021-07</v>
      </c>
      <c r="W2864">
        <v>25286.06</v>
      </c>
      <c r="X2864">
        <f t="shared" si="583"/>
        <v>7.304138005923921E-3</v>
      </c>
      <c r="Y2864">
        <f t="shared" si="584"/>
        <v>7.3308782871830507E-3</v>
      </c>
      <c r="Z2864" t="str">
        <f t="shared" si="577"/>
        <v>2021-07</v>
      </c>
    </row>
    <row r="2865" spans="1:26" x14ac:dyDescent="0.35">
      <c r="A2865" s="1">
        <v>44379</v>
      </c>
      <c r="C2865">
        <v>4084.31</v>
      </c>
      <c r="D2865">
        <f t="shared" si="578"/>
        <v>1.3279108184155893E-3</v>
      </c>
      <c r="E2865" t="str">
        <f t="shared" si="572"/>
        <v>2021-07</v>
      </c>
      <c r="G2865">
        <v>6552.86</v>
      </c>
      <c r="H2865">
        <f t="shared" si="579"/>
        <v>-1.4649018694542416E-4</v>
      </c>
      <c r="I2865" t="str">
        <f t="shared" si="573"/>
        <v>2021-07</v>
      </c>
      <c r="K2865">
        <v>15650.09</v>
      </c>
      <c r="L2865">
        <f t="shared" si="580"/>
        <v>2.9615525631056117E-3</v>
      </c>
      <c r="M2865" t="str">
        <f t="shared" si="574"/>
        <v>2021-07</v>
      </c>
      <c r="O2865">
        <v>8302.0617299999994</v>
      </c>
      <c r="P2865">
        <f t="shared" si="581"/>
        <v>2.9133954937076993E-3</v>
      </c>
      <c r="Q2865" t="str">
        <f t="shared" si="575"/>
        <v>2021-07</v>
      </c>
      <c r="S2865">
        <v>8907.6</v>
      </c>
      <c r="T2865">
        <f t="shared" si="582"/>
        <v>-2.7690755870653245E-3</v>
      </c>
      <c r="U2865" t="str">
        <f t="shared" si="576"/>
        <v>2021-07</v>
      </c>
      <c r="W2865">
        <v>25282.41</v>
      </c>
      <c r="X2865">
        <f t="shared" si="583"/>
        <v>-1.4435872813001074E-4</v>
      </c>
      <c r="Y2865">
        <f t="shared" si="584"/>
        <v>-1.4434830891018431E-4</v>
      </c>
      <c r="Z2865" t="str">
        <f t="shared" si="577"/>
        <v>2021-07</v>
      </c>
    </row>
    <row r="2866" spans="1:26" x14ac:dyDescent="0.35">
      <c r="A2866" s="1">
        <v>44382</v>
      </c>
      <c r="C2866">
        <v>4087.37</v>
      </c>
      <c r="D2866">
        <f t="shared" si="578"/>
        <v>7.4892804001805901E-4</v>
      </c>
      <c r="E2866" t="str">
        <f t="shared" si="572"/>
        <v>2021-07</v>
      </c>
      <c r="G2866">
        <v>6567.54</v>
      </c>
      <c r="H2866">
        <f t="shared" si="579"/>
        <v>2.2377375881534036E-3</v>
      </c>
      <c r="I2866" t="str">
        <f t="shared" si="573"/>
        <v>2021-07</v>
      </c>
      <c r="K2866">
        <v>15661.97</v>
      </c>
      <c r="L2866">
        <f t="shared" si="580"/>
        <v>7.5881309438217124E-4</v>
      </c>
      <c r="M2866" t="str">
        <f t="shared" si="574"/>
        <v>2021-07</v>
      </c>
      <c r="O2866">
        <v>8365.70255</v>
      </c>
      <c r="P2866">
        <f t="shared" si="581"/>
        <v>7.6364326011591375E-3</v>
      </c>
      <c r="Q2866" t="str">
        <f t="shared" si="575"/>
        <v>2021-07</v>
      </c>
      <c r="S2866">
        <v>8946.4</v>
      </c>
      <c r="T2866">
        <f t="shared" si="582"/>
        <v>4.3463718024768843E-3</v>
      </c>
      <c r="U2866" t="str">
        <f t="shared" si="576"/>
        <v>2021-07</v>
      </c>
      <c r="W2866">
        <v>25441.34</v>
      </c>
      <c r="X2866">
        <f t="shared" si="583"/>
        <v>6.2665130274199071E-3</v>
      </c>
      <c r="Y2866">
        <f t="shared" si="584"/>
        <v>6.2861886979920147E-3</v>
      </c>
      <c r="Z2866" t="str">
        <f t="shared" si="577"/>
        <v>2021-07</v>
      </c>
    </row>
    <row r="2867" spans="1:26" x14ac:dyDescent="0.35">
      <c r="A2867" s="1">
        <v>44383</v>
      </c>
      <c r="C2867">
        <v>4052.67</v>
      </c>
      <c r="D2867">
        <f t="shared" si="578"/>
        <v>-8.525808274475178E-3</v>
      </c>
      <c r="E2867" t="str">
        <f t="shared" si="572"/>
        <v>2021-07</v>
      </c>
      <c r="G2867">
        <v>6507.48</v>
      </c>
      <c r="H2867">
        <f t="shared" si="579"/>
        <v>-9.187048651662524E-3</v>
      </c>
      <c r="I2867" t="str">
        <f t="shared" si="573"/>
        <v>2021-07</v>
      </c>
      <c r="K2867">
        <v>15511.38</v>
      </c>
      <c r="L2867">
        <f t="shared" si="580"/>
        <v>-9.6615327773785127E-3</v>
      </c>
      <c r="M2867" t="str">
        <f t="shared" si="574"/>
        <v>2021-07</v>
      </c>
      <c r="O2867">
        <v>8281.2548000000006</v>
      </c>
      <c r="P2867">
        <f t="shared" si="581"/>
        <v>-1.0145814953090122E-2</v>
      </c>
      <c r="Q2867" t="str">
        <f t="shared" si="575"/>
        <v>2021-07</v>
      </c>
      <c r="S2867">
        <v>8860.7999999999993</v>
      </c>
      <c r="T2867">
        <f t="shared" si="582"/>
        <v>-9.6141627373359396E-3</v>
      </c>
      <c r="U2867" t="str">
        <f t="shared" si="576"/>
        <v>2021-07</v>
      </c>
      <c r="W2867">
        <v>25227.919999999998</v>
      </c>
      <c r="X2867">
        <f t="shared" si="583"/>
        <v>-8.4240923241006571E-3</v>
      </c>
      <c r="Y2867">
        <f t="shared" si="584"/>
        <v>-8.3887090852919656E-3</v>
      </c>
      <c r="Z2867" t="str">
        <f t="shared" si="577"/>
        <v>2021-07</v>
      </c>
    </row>
    <row r="2868" spans="1:26" x14ac:dyDescent="0.35">
      <c r="A2868" s="1">
        <v>44384</v>
      </c>
      <c r="C2868">
        <v>4078.53</v>
      </c>
      <c r="D2868">
        <f t="shared" si="578"/>
        <v>6.3607062151191654E-3</v>
      </c>
      <c r="E2868" t="str">
        <f t="shared" si="572"/>
        <v>2021-07</v>
      </c>
      <c r="G2868">
        <v>6527.72</v>
      </c>
      <c r="H2868">
        <f t="shared" si="579"/>
        <v>3.1054400800606266E-3</v>
      </c>
      <c r="I2868" t="str">
        <f t="shared" si="573"/>
        <v>2021-07</v>
      </c>
      <c r="K2868">
        <v>15692.71</v>
      </c>
      <c r="L2868">
        <f t="shared" si="580"/>
        <v>1.1622325223600587E-2</v>
      </c>
      <c r="M2868" t="str">
        <f t="shared" si="574"/>
        <v>2021-07</v>
      </c>
      <c r="O2868">
        <v>8361.2392299999992</v>
      </c>
      <c r="P2868">
        <f t="shared" si="581"/>
        <v>9.6121465557662648E-3</v>
      </c>
      <c r="Q2868" t="str">
        <f t="shared" si="575"/>
        <v>2021-07</v>
      </c>
      <c r="S2868">
        <v>8854.5</v>
      </c>
      <c r="T2868">
        <f t="shared" si="582"/>
        <v>-7.1124962778889558E-4</v>
      </c>
      <c r="U2868" t="str">
        <f t="shared" si="576"/>
        <v>2021-07</v>
      </c>
      <c r="W2868">
        <v>25284.99</v>
      </c>
      <c r="X2868">
        <f t="shared" si="583"/>
        <v>2.2596213238459135E-3</v>
      </c>
      <c r="Y2868">
        <f t="shared" si="584"/>
        <v>2.2621761920920691E-3</v>
      </c>
      <c r="Z2868" t="str">
        <f t="shared" si="577"/>
        <v>2021-07</v>
      </c>
    </row>
    <row r="2869" spans="1:26" x14ac:dyDescent="0.35">
      <c r="A2869" s="1">
        <v>44385</v>
      </c>
      <c r="C2869">
        <v>3991.66</v>
      </c>
      <c r="D2869">
        <f t="shared" si="578"/>
        <v>-2.1529444895566685E-2</v>
      </c>
      <c r="E2869" t="str">
        <f t="shared" si="572"/>
        <v>2021-07</v>
      </c>
      <c r="G2869">
        <v>6396.73</v>
      </c>
      <c r="H2869">
        <f t="shared" si="579"/>
        <v>-2.0270802292465046E-2</v>
      </c>
      <c r="I2869" t="str">
        <f t="shared" si="573"/>
        <v>2021-07</v>
      </c>
      <c r="K2869">
        <v>15420.64</v>
      </c>
      <c r="L2869">
        <f t="shared" si="580"/>
        <v>-1.7489401495499889E-2</v>
      </c>
      <c r="M2869" t="str">
        <f t="shared" si="574"/>
        <v>2021-07</v>
      </c>
      <c r="O2869">
        <v>8175.0342099999998</v>
      </c>
      <c r="P2869">
        <f t="shared" si="581"/>
        <v>-2.2521747880694179E-2</v>
      </c>
      <c r="Q2869" t="str">
        <f t="shared" si="575"/>
        <v>2021-07</v>
      </c>
      <c r="S2869">
        <v>8650.1</v>
      </c>
      <c r="T2869">
        <f t="shared" si="582"/>
        <v>-2.3354922796111434E-2</v>
      </c>
      <c r="U2869" t="str">
        <f t="shared" si="576"/>
        <v>2021-07</v>
      </c>
      <c r="W2869">
        <v>24641.47</v>
      </c>
      <c r="X2869">
        <f t="shared" si="583"/>
        <v>-2.5780143063774713E-2</v>
      </c>
      <c r="Y2869">
        <f t="shared" si="584"/>
        <v>-2.5450672513613822E-2</v>
      </c>
      <c r="Z2869" t="str">
        <f t="shared" si="577"/>
        <v>2021-07</v>
      </c>
    </row>
    <row r="2870" spans="1:26" x14ac:dyDescent="0.35">
      <c r="A2870" s="1">
        <v>44386</v>
      </c>
      <c r="C2870">
        <v>4068.09</v>
      </c>
      <c r="D2870">
        <f t="shared" si="578"/>
        <v>1.8966417354052467E-2</v>
      </c>
      <c r="E2870" t="str">
        <f t="shared" si="572"/>
        <v>2021-07</v>
      </c>
      <c r="G2870">
        <v>6529.42</v>
      </c>
      <c r="H2870">
        <f t="shared" si="579"/>
        <v>2.0531196224000531E-2</v>
      </c>
      <c r="I2870" t="str">
        <f t="shared" si="573"/>
        <v>2021-07</v>
      </c>
      <c r="K2870">
        <v>15687.93</v>
      </c>
      <c r="L2870">
        <f t="shared" si="580"/>
        <v>1.7184755061458501E-2</v>
      </c>
      <c r="M2870" t="str">
        <f t="shared" si="574"/>
        <v>2021-07</v>
      </c>
      <c r="O2870">
        <v>8316.0610899999992</v>
      </c>
      <c r="P2870">
        <f t="shared" si="581"/>
        <v>1.7103814564588742E-2</v>
      </c>
      <c r="Q2870" t="str">
        <f t="shared" si="575"/>
        <v>2021-07</v>
      </c>
      <c r="S2870">
        <v>8776.6</v>
      </c>
      <c r="T2870">
        <f t="shared" si="582"/>
        <v>1.4518207342439237E-2</v>
      </c>
      <c r="U2870" t="str">
        <f t="shared" si="576"/>
        <v>2021-07</v>
      </c>
      <c r="W2870">
        <v>25051.82</v>
      </c>
      <c r="X2870">
        <f t="shared" si="583"/>
        <v>1.6515683605572953E-2</v>
      </c>
      <c r="Y2870">
        <f t="shared" si="584"/>
        <v>1.6652821442876522E-2</v>
      </c>
      <c r="Z2870" t="str">
        <f t="shared" si="577"/>
        <v>2021-07</v>
      </c>
    </row>
    <row r="2871" spans="1:26" x14ac:dyDescent="0.35">
      <c r="A2871" s="1">
        <v>44389</v>
      </c>
      <c r="C2871">
        <v>4093.38</v>
      </c>
      <c r="D2871">
        <f t="shared" si="578"/>
        <v>6.1974328019765686E-3</v>
      </c>
      <c r="E2871" t="str">
        <f t="shared" si="572"/>
        <v>2021-07</v>
      </c>
      <c r="G2871">
        <v>6559.25</v>
      </c>
      <c r="H2871">
        <f t="shared" si="579"/>
        <v>4.5581486350320683E-3</v>
      </c>
      <c r="I2871" t="str">
        <f t="shared" si="573"/>
        <v>2021-07</v>
      </c>
      <c r="K2871">
        <v>15790.51</v>
      </c>
      <c r="L2871">
        <f t="shared" si="580"/>
        <v>6.5174997944095377E-3</v>
      </c>
      <c r="M2871" t="str">
        <f t="shared" si="574"/>
        <v>2021-07</v>
      </c>
      <c r="O2871">
        <v>8341.6326900000004</v>
      </c>
      <c r="P2871">
        <f t="shared" si="581"/>
        <v>3.0702473493761789E-3</v>
      </c>
      <c r="Q2871" t="str">
        <f t="shared" si="575"/>
        <v>2021-07</v>
      </c>
      <c r="S2871">
        <v>8816.7000000000007</v>
      </c>
      <c r="T2871">
        <f t="shared" si="582"/>
        <v>4.55856143434402E-3</v>
      </c>
      <c r="U2871" t="str">
        <f t="shared" si="576"/>
        <v>2021-07</v>
      </c>
      <c r="W2871">
        <v>25283.200000000001</v>
      </c>
      <c r="X2871">
        <f t="shared" si="583"/>
        <v>9.1936639640087994E-3</v>
      </c>
      <c r="Y2871">
        <f t="shared" si="584"/>
        <v>9.2360555041510368E-3</v>
      </c>
      <c r="Z2871" t="str">
        <f t="shared" si="577"/>
        <v>2021-07</v>
      </c>
    </row>
    <row r="2872" spans="1:26" x14ac:dyDescent="0.35">
      <c r="A2872" s="1">
        <v>44390</v>
      </c>
      <c r="C2872">
        <v>4094.56</v>
      </c>
      <c r="D2872">
        <f t="shared" si="578"/>
        <v>2.8822878725756569E-4</v>
      </c>
      <c r="E2872" t="str">
        <f t="shared" si="572"/>
        <v>2021-07</v>
      </c>
      <c r="G2872">
        <v>6558.47</v>
      </c>
      <c r="H2872">
        <f t="shared" si="579"/>
        <v>-1.1892310567978837E-4</v>
      </c>
      <c r="I2872" t="str">
        <f t="shared" si="573"/>
        <v>2021-07</v>
      </c>
      <c r="K2872">
        <v>15789.64</v>
      </c>
      <c r="L2872">
        <f t="shared" si="580"/>
        <v>-5.5097901702222564E-5</v>
      </c>
      <c r="M2872" t="str">
        <f t="shared" si="574"/>
        <v>2021-07</v>
      </c>
      <c r="O2872">
        <v>8354.8266899999999</v>
      </c>
      <c r="P2872">
        <f t="shared" si="581"/>
        <v>1.5804551667017376E-3</v>
      </c>
      <c r="Q2872" t="str">
        <f t="shared" si="575"/>
        <v>2021-07</v>
      </c>
      <c r="S2872">
        <v>8694.7999999999993</v>
      </c>
      <c r="T2872">
        <f t="shared" si="582"/>
        <v>-1.3922504530815255E-2</v>
      </c>
      <c r="U2872" t="str">
        <f t="shared" si="576"/>
        <v>2021-07</v>
      </c>
      <c r="W2872">
        <v>25156.65</v>
      </c>
      <c r="X2872">
        <f t="shared" si="583"/>
        <v>-5.0178684327358064E-3</v>
      </c>
      <c r="Y2872">
        <f t="shared" si="584"/>
        <v>-5.005299962030094E-3</v>
      </c>
      <c r="Z2872" t="str">
        <f t="shared" si="577"/>
        <v>2021-07</v>
      </c>
    </row>
    <row r="2873" spans="1:26" x14ac:dyDescent="0.35">
      <c r="A2873" s="1">
        <v>44391</v>
      </c>
      <c r="C2873">
        <v>4099.5</v>
      </c>
      <c r="D2873">
        <f t="shared" si="578"/>
        <v>1.2057516294721646E-3</v>
      </c>
      <c r="E2873" t="str">
        <f t="shared" si="572"/>
        <v>2021-07</v>
      </c>
      <c r="G2873">
        <v>6558.38</v>
      </c>
      <c r="H2873">
        <f t="shared" si="579"/>
        <v>-1.3722806924179088E-5</v>
      </c>
      <c r="I2873" t="str">
        <f t="shared" si="573"/>
        <v>2021-07</v>
      </c>
      <c r="K2873">
        <v>15788.98</v>
      </c>
      <c r="L2873">
        <f t="shared" si="580"/>
        <v>-4.1800433337227246E-5</v>
      </c>
      <c r="M2873" t="str">
        <f t="shared" si="574"/>
        <v>2021-07</v>
      </c>
      <c r="O2873">
        <v>8302.3194700000004</v>
      </c>
      <c r="P2873">
        <f t="shared" si="581"/>
        <v>-6.3044885853447852E-3</v>
      </c>
      <c r="Q2873" t="str">
        <f t="shared" si="575"/>
        <v>2021-07</v>
      </c>
      <c r="S2873">
        <v>8658.2999999999993</v>
      </c>
      <c r="T2873">
        <f t="shared" si="582"/>
        <v>-4.2067473624329988E-3</v>
      </c>
      <c r="U2873" t="str">
        <f t="shared" si="576"/>
        <v>2021-07</v>
      </c>
      <c r="W2873">
        <v>25194.33</v>
      </c>
      <c r="X2873">
        <f t="shared" si="583"/>
        <v>1.4966940875387924E-3</v>
      </c>
      <c r="Y2873">
        <f t="shared" si="584"/>
        <v>1.4978146931328411E-3</v>
      </c>
      <c r="Z2873" t="str">
        <f t="shared" si="577"/>
        <v>2021-07</v>
      </c>
    </row>
    <row r="2874" spans="1:26" x14ac:dyDescent="0.35">
      <c r="A2874" s="1">
        <v>44392</v>
      </c>
      <c r="C2874">
        <v>4056.39</v>
      </c>
      <c r="D2874">
        <f t="shared" si="578"/>
        <v>-1.0571599541544244E-2</v>
      </c>
      <c r="E2874" t="str">
        <f t="shared" si="572"/>
        <v>2021-07</v>
      </c>
      <c r="G2874">
        <v>6493.36</v>
      </c>
      <c r="H2874">
        <f t="shared" si="579"/>
        <v>-9.9635049249847986E-3</v>
      </c>
      <c r="I2874" t="str">
        <f t="shared" si="573"/>
        <v>2021-07</v>
      </c>
      <c r="K2874">
        <v>15629.66</v>
      </c>
      <c r="L2874">
        <f t="shared" si="580"/>
        <v>-1.0141837176524577E-2</v>
      </c>
      <c r="M2874" t="str">
        <f t="shared" si="574"/>
        <v>2021-07</v>
      </c>
      <c r="O2874">
        <v>8213.8599099999992</v>
      </c>
      <c r="P2874">
        <f t="shared" si="581"/>
        <v>-1.0711969618436037E-2</v>
      </c>
      <c r="Q2874" t="str">
        <f t="shared" si="575"/>
        <v>2021-07</v>
      </c>
      <c r="S2874">
        <v>8527</v>
      </c>
      <c r="T2874">
        <f t="shared" si="582"/>
        <v>-1.5280798694227668E-2</v>
      </c>
      <c r="U2874" t="str">
        <f t="shared" si="576"/>
        <v>2021-07</v>
      </c>
      <c r="W2874">
        <v>24875.5</v>
      </c>
      <c r="X2874">
        <f t="shared" si="583"/>
        <v>-1.2735585855923584E-2</v>
      </c>
      <c r="Y2874">
        <f t="shared" si="584"/>
        <v>-1.2654831464063611E-2</v>
      </c>
      <c r="Z2874" t="str">
        <f t="shared" si="577"/>
        <v>2021-07</v>
      </c>
    </row>
    <row r="2875" spans="1:26" x14ac:dyDescent="0.35">
      <c r="A2875" s="1">
        <v>44393</v>
      </c>
      <c r="C2875">
        <v>4035.77</v>
      </c>
      <c r="D2875">
        <f t="shared" si="578"/>
        <v>-5.0963017609723348E-3</v>
      </c>
      <c r="E2875" t="str">
        <f t="shared" si="572"/>
        <v>2021-07</v>
      </c>
      <c r="G2875">
        <v>6460.08</v>
      </c>
      <c r="H2875">
        <f t="shared" si="579"/>
        <v>-5.1384146952677904E-3</v>
      </c>
      <c r="I2875" t="str">
        <f t="shared" si="573"/>
        <v>2021-07</v>
      </c>
      <c r="K2875">
        <v>15540.31</v>
      </c>
      <c r="L2875">
        <f t="shared" si="580"/>
        <v>-5.7330978972761149E-3</v>
      </c>
      <c r="M2875" t="str">
        <f t="shared" si="574"/>
        <v>2021-07</v>
      </c>
      <c r="O2875">
        <v>8175.21497</v>
      </c>
      <c r="P2875">
        <f t="shared" si="581"/>
        <v>-4.7159478988796251E-3</v>
      </c>
      <c r="Q2875" t="str">
        <f t="shared" si="575"/>
        <v>2021-07</v>
      </c>
      <c r="S2875">
        <v>8506.2000000000007</v>
      </c>
      <c r="T2875">
        <f t="shared" si="582"/>
        <v>-2.4422903904085997E-3</v>
      </c>
      <c r="U2875" t="str">
        <f t="shared" si="576"/>
        <v>2021-07</v>
      </c>
      <c r="W2875">
        <v>24792.78</v>
      </c>
      <c r="X2875">
        <f t="shared" si="583"/>
        <v>-3.3309015927617102E-3</v>
      </c>
      <c r="Y2875">
        <f t="shared" si="584"/>
        <v>-3.3253602942654886E-3</v>
      </c>
      <c r="Z2875" t="str">
        <f t="shared" si="577"/>
        <v>2021-07</v>
      </c>
    </row>
    <row r="2876" spans="1:26" x14ac:dyDescent="0.35">
      <c r="A2876" s="1">
        <v>44396</v>
      </c>
      <c r="C2876">
        <v>3928.53</v>
      </c>
      <c r="D2876">
        <f t="shared" si="578"/>
        <v>-2.6931803644515546E-2</v>
      </c>
      <c r="E2876" t="str">
        <f t="shared" si="572"/>
        <v>2021-07</v>
      </c>
      <c r="G2876">
        <v>6295.97</v>
      </c>
      <c r="H2876">
        <f t="shared" si="579"/>
        <v>-2.5731955445123904E-2</v>
      </c>
      <c r="I2876" t="str">
        <f t="shared" si="573"/>
        <v>2021-07</v>
      </c>
      <c r="K2876">
        <v>15133.2</v>
      </c>
      <c r="L2876">
        <f t="shared" si="580"/>
        <v>-2.6546287492788645E-2</v>
      </c>
      <c r="M2876" t="str">
        <f t="shared" si="574"/>
        <v>2021-07</v>
      </c>
      <c r="O2876">
        <v>7929.7238200000002</v>
      </c>
      <c r="P2876">
        <f t="shared" si="581"/>
        <v>-3.0488804660108719E-2</v>
      </c>
      <c r="Q2876" t="str">
        <f t="shared" si="575"/>
        <v>2021-07</v>
      </c>
      <c r="S2876">
        <v>8301.7000000000007</v>
      </c>
      <c r="T2876">
        <f t="shared" si="582"/>
        <v>-2.4334996262447561E-2</v>
      </c>
      <c r="U2876" t="str">
        <f t="shared" si="576"/>
        <v>2021-07</v>
      </c>
      <c r="W2876">
        <v>23965.919999999998</v>
      </c>
      <c r="X2876">
        <f t="shared" si="583"/>
        <v>-3.39196605598963E-2</v>
      </c>
      <c r="Y2876">
        <f t="shared" si="584"/>
        <v>-3.3350838429575085E-2</v>
      </c>
      <c r="Z2876" t="str">
        <f t="shared" si="577"/>
        <v>2021-07</v>
      </c>
    </row>
    <row r="2877" spans="1:26" x14ac:dyDescent="0.35">
      <c r="A2877" s="1">
        <v>44397</v>
      </c>
      <c r="C2877">
        <v>3956.34</v>
      </c>
      <c r="D2877">
        <f t="shared" si="578"/>
        <v>7.0540453597016835E-3</v>
      </c>
      <c r="E2877" t="str">
        <f t="shared" si="572"/>
        <v>2021-07</v>
      </c>
      <c r="G2877">
        <v>6346.85</v>
      </c>
      <c r="H2877">
        <f t="shared" si="579"/>
        <v>8.0488806588874268E-3</v>
      </c>
      <c r="I2877" t="str">
        <f t="shared" si="573"/>
        <v>2021-07</v>
      </c>
      <c r="K2877">
        <v>15216.27</v>
      </c>
      <c r="L2877">
        <f t="shared" si="580"/>
        <v>5.4742443574062249E-3</v>
      </c>
      <c r="M2877" t="str">
        <f t="shared" si="574"/>
        <v>2021-07</v>
      </c>
      <c r="O2877">
        <v>7963.1348200000002</v>
      </c>
      <c r="P2877">
        <f t="shared" si="581"/>
        <v>4.2045361350174166E-3</v>
      </c>
      <c r="Q2877" t="str">
        <f t="shared" si="575"/>
        <v>2021-07</v>
      </c>
      <c r="S2877">
        <v>8358</v>
      </c>
      <c r="T2877">
        <f t="shared" si="582"/>
        <v>6.7588509186673161E-3</v>
      </c>
      <c r="U2877" t="str">
        <f t="shared" si="576"/>
        <v>2021-07</v>
      </c>
      <c r="W2877">
        <v>24107.33</v>
      </c>
      <c r="X2877">
        <f t="shared" si="583"/>
        <v>5.8831224376586768E-3</v>
      </c>
      <c r="Y2877">
        <f t="shared" si="584"/>
        <v>5.9004619893583679E-3</v>
      </c>
      <c r="Z2877" t="str">
        <f t="shared" si="577"/>
        <v>2021-07</v>
      </c>
    </row>
    <row r="2878" spans="1:26" x14ac:dyDescent="0.35">
      <c r="A2878" s="1">
        <v>44398</v>
      </c>
      <c r="C2878">
        <v>4026.68</v>
      </c>
      <c r="D2878">
        <f t="shared" si="578"/>
        <v>1.7622859624590346E-2</v>
      </c>
      <c r="E2878" t="str">
        <f t="shared" si="572"/>
        <v>2021-07</v>
      </c>
      <c r="G2878">
        <v>6464.48</v>
      </c>
      <c r="H2878">
        <f t="shared" si="579"/>
        <v>1.8363949055067538E-2</v>
      </c>
      <c r="I2878" t="str">
        <f t="shared" si="573"/>
        <v>2021-07</v>
      </c>
      <c r="K2878">
        <v>15422.5</v>
      </c>
      <c r="L2878">
        <f t="shared" si="580"/>
        <v>1.3462231976558176E-2</v>
      </c>
      <c r="M2878" t="str">
        <f t="shared" si="574"/>
        <v>2021-07</v>
      </c>
      <c r="O2878">
        <v>8128.7576900000004</v>
      </c>
      <c r="P2878">
        <f t="shared" si="581"/>
        <v>2.058536228873236E-2</v>
      </c>
      <c r="Q2878" t="str">
        <f t="shared" si="575"/>
        <v>2021-07</v>
      </c>
      <c r="S2878">
        <v>8567</v>
      </c>
      <c r="T2878">
        <f t="shared" si="582"/>
        <v>2.4698448956183266E-2</v>
      </c>
      <c r="U2878" t="str">
        <f t="shared" si="576"/>
        <v>2021-07</v>
      </c>
      <c r="W2878">
        <v>24675.61</v>
      </c>
      <c r="X2878">
        <f t="shared" si="583"/>
        <v>2.3299362761732549E-2</v>
      </c>
      <c r="Y2878">
        <f t="shared" si="584"/>
        <v>2.3572913300643365E-2</v>
      </c>
      <c r="Z2878" t="str">
        <f t="shared" si="577"/>
        <v>2021-07</v>
      </c>
    </row>
    <row r="2879" spans="1:26" x14ac:dyDescent="0.35">
      <c r="A2879" s="1">
        <v>44399</v>
      </c>
      <c r="C2879">
        <v>4059.05</v>
      </c>
      <c r="D2879">
        <f t="shared" si="578"/>
        <v>8.0067409945371627E-3</v>
      </c>
      <c r="E2879" t="str">
        <f t="shared" si="572"/>
        <v>2021-07</v>
      </c>
      <c r="G2879">
        <v>6481.59</v>
      </c>
      <c r="H2879">
        <f t="shared" si="579"/>
        <v>2.64327474857718E-3</v>
      </c>
      <c r="I2879" t="str">
        <f t="shared" si="573"/>
        <v>2021-07</v>
      </c>
      <c r="K2879">
        <v>15514.54</v>
      </c>
      <c r="L2879">
        <f t="shared" si="580"/>
        <v>5.9501666321162723E-3</v>
      </c>
      <c r="M2879" t="str">
        <f t="shared" si="574"/>
        <v>2021-07</v>
      </c>
      <c r="O2879">
        <v>8154.8599700000004</v>
      </c>
      <c r="P2879">
        <f t="shared" si="581"/>
        <v>3.2059586391651991E-3</v>
      </c>
      <c r="Q2879" t="str">
        <f t="shared" si="575"/>
        <v>2021-07</v>
      </c>
      <c r="S2879">
        <v>8621.7999999999993</v>
      </c>
      <c r="T2879">
        <f t="shared" si="582"/>
        <v>6.3762665998575111E-3</v>
      </c>
      <c r="U2879" t="str">
        <f t="shared" si="576"/>
        <v>2021-07</v>
      </c>
      <c r="W2879">
        <v>24805.21</v>
      </c>
      <c r="X2879">
        <f t="shared" si="583"/>
        <v>5.2384053603590844E-3</v>
      </c>
      <c r="Y2879">
        <f t="shared" si="584"/>
        <v>5.2521497948783656E-3</v>
      </c>
      <c r="Z2879" t="str">
        <f t="shared" si="577"/>
        <v>2021-07</v>
      </c>
    </row>
    <row r="2880" spans="1:26" x14ac:dyDescent="0.35">
      <c r="A2880" s="1">
        <v>44400</v>
      </c>
      <c r="C2880">
        <v>4109.1000000000004</v>
      </c>
      <c r="D2880">
        <f t="shared" si="578"/>
        <v>1.2255070340855889E-2</v>
      </c>
      <c r="E2880" t="str">
        <f t="shared" si="572"/>
        <v>2021-07</v>
      </c>
      <c r="G2880">
        <v>6568.82</v>
      </c>
      <c r="H2880">
        <f t="shared" si="579"/>
        <v>1.3368361467778431E-2</v>
      </c>
      <c r="I2880" t="str">
        <f t="shared" si="573"/>
        <v>2021-07</v>
      </c>
      <c r="K2880">
        <v>15669.29</v>
      </c>
      <c r="L2880">
        <f t="shared" si="580"/>
        <v>9.9250970990345123E-3</v>
      </c>
      <c r="M2880" t="str">
        <f t="shared" si="574"/>
        <v>2021-07</v>
      </c>
      <c r="O2880">
        <v>8216.5595900000008</v>
      </c>
      <c r="P2880">
        <f t="shared" si="581"/>
        <v>7.5375152278208584E-3</v>
      </c>
      <c r="Q2880" t="str">
        <f t="shared" si="575"/>
        <v>2021-07</v>
      </c>
      <c r="S2880">
        <v>8717.2000000000007</v>
      </c>
      <c r="T2880">
        <f t="shared" si="582"/>
        <v>1.1004205857754632E-2</v>
      </c>
      <c r="U2880" t="str">
        <f t="shared" si="576"/>
        <v>2021-07</v>
      </c>
      <c r="W2880">
        <v>25124.91</v>
      </c>
      <c r="X2880">
        <f t="shared" si="583"/>
        <v>1.2806072531022726E-2</v>
      </c>
      <c r="Y2880">
        <f t="shared" si="584"/>
        <v>1.2888421424370152E-2</v>
      </c>
      <c r="Z2880" t="str">
        <f t="shared" si="577"/>
        <v>2021-07</v>
      </c>
    </row>
    <row r="2881" spans="1:26" x14ac:dyDescent="0.35">
      <c r="A2881" s="1">
        <v>44403</v>
      </c>
      <c r="C2881">
        <v>4102.59</v>
      </c>
      <c r="D2881">
        <f t="shared" si="578"/>
        <v>-1.5855448424915103E-3</v>
      </c>
      <c r="E2881" t="str">
        <f t="shared" si="572"/>
        <v>2021-07</v>
      </c>
      <c r="G2881">
        <v>6578.6</v>
      </c>
      <c r="H2881">
        <f t="shared" si="579"/>
        <v>1.4877446379454728E-3</v>
      </c>
      <c r="I2881" t="str">
        <f t="shared" si="573"/>
        <v>2021-07</v>
      </c>
      <c r="K2881">
        <v>15618.98</v>
      </c>
      <c r="L2881">
        <f t="shared" si="580"/>
        <v>-3.2159044497508684E-3</v>
      </c>
      <c r="M2881" t="str">
        <f t="shared" si="574"/>
        <v>2021-07</v>
      </c>
      <c r="O2881">
        <v>8224.48747</v>
      </c>
      <c r="P2881">
        <f t="shared" si="581"/>
        <v>9.6440093937120823E-4</v>
      </c>
      <c r="Q2881" t="str">
        <f t="shared" si="575"/>
        <v>2021-07</v>
      </c>
      <c r="S2881">
        <v>8775.2000000000007</v>
      </c>
      <c r="T2881">
        <f t="shared" si="582"/>
        <v>6.6314756754682685E-3</v>
      </c>
      <c r="U2881" t="str">
        <f t="shared" si="576"/>
        <v>2021-07</v>
      </c>
      <c r="W2881">
        <v>25296.400000000001</v>
      </c>
      <c r="X2881">
        <f t="shared" si="583"/>
        <v>6.8023088355472642E-3</v>
      </c>
      <c r="Y2881">
        <f t="shared" si="584"/>
        <v>6.8254970863577862E-3</v>
      </c>
      <c r="Z2881" t="str">
        <f t="shared" si="577"/>
        <v>2021-07</v>
      </c>
    </row>
    <row r="2882" spans="1:26" x14ac:dyDescent="0.35">
      <c r="A2882" s="1">
        <v>44404</v>
      </c>
      <c r="C2882">
        <v>4064.83</v>
      </c>
      <c r="D2882">
        <f t="shared" si="578"/>
        <v>-9.2465598771851974E-3</v>
      </c>
      <c r="E2882" t="str">
        <f t="shared" si="572"/>
        <v>2021-07</v>
      </c>
      <c r="G2882">
        <v>6531.92</v>
      </c>
      <c r="H2882">
        <f t="shared" si="579"/>
        <v>-7.1210291061010291E-3</v>
      </c>
      <c r="I2882" t="str">
        <f t="shared" si="573"/>
        <v>2021-07</v>
      </c>
      <c r="K2882">
        <v>15519.13</v>
      </c>
      <c r="L2882">
        <f t="shared" si="580"/>
        <v>-6.4133849002505714E-3</v>
      </c>
      <c r="M2882" t="str">
        <f t="shared" si="574"/>
        <v>2021-07</v>
      </c>
      <c r="O2882">
        <v>8207.2128100000009</v>
      </c>
      <c r="P2882">
        <f t="shared" si="581"/>
        <v>-2.1026024172564519E-3</v>
      </c>
      <c r="Q2882" t="str">
        <f t="shared" si="575"/>
        <v>2021-07</v>
      </c>
      <c r="S2882">
        <v>8699.2000000000007</v>
      </c>
      <c r="T2882">
        <f t="shared" si="582"/>
        <v>-8.6984937054681768E-3</v>
      </c>
      <c r="U2882" t="str">
        <f t="shared" si="576"/>
        <v>2021-07</v>
      </c>
      <c r="W2882">
        <v>25086.55</v>
      </c>
      <c r="X2882">
        <f t="shared" si="583"/>
        <v>-8.3302471772296258E-3</v>
      </c>
      <c r="Y2882">
        <f t="shared" si="584"/>
        <v>-8.2956468114040796E-3</v>
      </c>
      <c r="Z2882" t="str">
        <f t="shared" si="577"/>
        <v>2021-07</v>
      </c>
    </row>
    <row r="2883" spans="1:26" x14ac:dyDescent="0.35">
      <c r="A2883" s="1">
        <v>44405</v>
      </c>
      <c r="C2883">
        <v>4103.03</v>
      </c>
      <c r="D2883">
        <f t="shared" si="578"/>
        <v>9.3538034493761343E-3</v>
      </c>
      <c r="E2883" t="str">
        <f t="shared" si="572"/>
        <v>2021-07</v>
      </c>
      <c r="G2883">
        <v>6609.31</v>
      </c>
      <c r="H2883">
        <f t="shared" si="579"/>
        <v>1.1778333487089883E-2</v>
      </c>
      <c r="I2883" t="str">
        <f t="shared" si="573"/>
        <v>2021-07</v>
      </c>
      <c r="K2883">
        <v>15570.36</v>
      </c>
      <c r="L2883">
        <f t="shared" si="580"/>
        <v>3.2956504830890586E-3</v>
      </c>
      <c r="M2883" t="str">
        <f t="shared" si="574"/>
        <v>2021-07</v>
      </c>
      <c r="O2883">
        <v>8246.6486800000002</v>
      </c>
      <c r="P2883">
        <f t="shared" si="581"/>
        <v>4.7935185957978209E-3</v>
      </c>
      <c r="Q2883" t="str">
        <f t="shared" si="575"/>
        <v>2021-07</v>
      </c>
      <c r="S2883">
        <v>8733.7000000000007</v>
      </c>
      <c r="T2883">
        <f t="shared" si="582"/>
        <v>3.9580385409126069E-3</v>
      </c>
      <c r="U2883" t="str">
        <f t="shared" si="576"/>
        <v>2021-07</v>
      </c>
      <c r="W2883">
        <v>25261.67</v>
      </c>
      <c r="X2883">
        <f t="shared" si="583"/>
        <v>6.9563812261454203E-3</v>
      </c>
      <c r="Y2883">
        <f t="shared" si="584"/>
        <v>6.9806330483864459E-3</v>
      </c>
      <c r="Z2883" t="str">
        <f t="shared" si="577"/>
        <v>2021-07</v>
      </c>
    </row>
    <row r="2884" spans="1:26" x14ac:dyDescent="0.35">
      <c r="A2884" s="1">
        <v>44406</v>
      </c>
      <c r="C2884">
        <v>4116.7700000000004</v>
      </c>
      <c r="D2884">
        <f t="shared" si="578"/>
        <v>3.3431501489734356E-3</v>
      </c>
      <c r="E2884" t="str">
        <f t="shared" ref="E2884:E2947" si="585">_xlfn.CONCAT(YEAR(A2884),"-",TEXT(MONTH(A2884),"00"))</f>
        <v>2021-07</v>
      </c>
      <c r="G2884">
        <v>6633.77</v>
      </c>
      <c r="H2884">
        <f t="shared" si="579"/>
        <v>3.6940089185419963E-3</v>
      </c>
      <c r="I2884" t="str">
        <f t="shared" ref="I2884:I2947" si="586">_xlfn.CONCAT(YEAR(A2884),"-",TEXT(MONTH(A2884),"00"))</f>
        <v>2021-07</v>
      </c>
      <c r="K2884">
        <v>15640.47</v>
      </c>
      <c r="L2884">
        <f t="shared" si="580"/>
        <v>4.4926788506383436E-3</v>
      </c>
      <c r="M2884" t="str">
        <f t="shared" ref="M2884:M2947" si="587">_xlfn.CONCAT(YEAR(A2884),"-",TEXT(MONTH(A2884),"00"))</f>
        <v>2021-07</v>
      </c>
      <c r="O2884">
        <v>8317.2179500000002</v>
      </c>
      <c r="P2884">
        <f t="shared" si="581"/>
        <v>8.5209206951187312E-3</v>
      </c>
      <c r="Q2884" t="str">
        <f t="shared" ref="Q2884:Q2947" si="588">_xlfn.CONCAT(YEAR(A2884),"-",TEXT(MONTH(A2884),"00"))</f>
        <v>2021-07</v>
      </c>
      <c r="S2884">
        <v>8786.2999999999993</v>
      </c>
      <c r="T2884">
        <f t="shared" si="582"/>
        <v>6.0045842512702358E-3</v>
      </c>
      <c r="U2884" t="str">
        <f t="shared" ref="U2884:U2947" si="589">_xlfn.CONCAT(YEAR(A2884),"-",TEXT(MONTH(A2884),"00"))</f>
        <v>2021-07</v>
      </c>
      <c r="W2884">
        <v>25516.46</v>
      </c>
      <c r="X2884">
        <f t="shared" si="583"/>
        <v>1.0035506953533327E-2</v>
      </c>
      <c r="Y2884">
        <f t="shared" si="584"/>
        <v>1.0086031525231741E-2</v>
      </c>
      <c r="Z2884" t="str">
        <f t="shared" ref="Z2884:Z2947" si="590">_xlfn.CONCAT(YEAR(A2884),"-",TEXT(MONTH(A2884),"00"))</f>
        <v>2021-07</v>
      </c>
    </row>
    <row r="2885" spans="1:26" x14ac:dyDescent="0.35">
      <c r="A2885" s="1">
        <v>44407</v>
      </c>
      <c r="C2885">
        <v>4089.3</v>
      </c>
      <c r="D2885">
        <f t="shared" ref="D2885:D2948" si="591">LN(C2885/C2884)</f>
        <v>-6.6950690426512667E-3</v>
      </c>
      <c r="E2885" t="str">
        <f t="shared" si="585"/>
        <v>2021-07</v>
      </c>
      <c r="G2885">
        <v>6612.76</v>
      </c>
      <c r="H2885">
        <f t="shared" ref="H2885:H2948" si="592">LN(G2885/G2884)</f>
        <v>-3.1721541592955225E-3</v>
      </c>
      <c r="I2885" t="str">
        <f t="shared" si="586"/>
        <v>2021-07</v>
      </c>
      <c r="K2885">
        <v>15544.39</v>
      </c>
      <c r="L2885">
        <f t="shared" ref="L2885:L2948" si="593">LN(K2885/K2884)</f>
        <v>-6.1619839892380728E-3</v>
      </c>
      <c r="M2885" t="str">
        <f t="shared" si="587"/>
        <v>2021-07</v>
      </c>
      <c r="O2885">
        <v>8242.0050300000003</v>
      </c>
      <c r="P2885">
        <f t="shared" ref="P2885:P2948" si="594">LN(O2885/O2884)</f>
        <v>-9.0841747005022452E-3</v>
      </c>
      <c r="Q2885" t="str">
        <f t="shared" si="588"/>
        <v>2021-07</v>
      </c>
      <c r="S2885">
        <v>8675.7000000000007</v>
      </c>
      <c r="T2885">
        <f t="shared" ref="T2885:T2948" si="595">LN(S2885/S2884)</f>
        <v>-1.2667675981523213E-2</v>
      </c>
      <c r="U2885" t="str">
        <f t="shared" si="589"/>
        <v>2021-07</v>
      </c>
      <c r="W2885">
        <v>25363.02</v>
      </c>
      <c r="X2885">
        <f t="shared" ref="X2885:X2948" si="596">LN(W2885/W2884)</f>
        <v>-6.0315264688179668E-3</v>
      </c>
      <c r="Y2885">
        <f t="shared" ref="Y2885:Y2948" si="597">(W2885-W2884)/W2884</f>
        <v>-6.0133733284318709E-3</v>
      </c>
      <c r="Z2885" t="str">
        <f t="shared" si="590"/>
        <v>2021-07</v>
      </c>
    </row>
    <row r="2886" spans="1:26" x14ac:dyDescent="0.35">
      <c r="A2886" s="1">
        <v>44410</v>
      </c>
      <c r="C2886">
        <v>4116.62</v>
      </c>
      <c r="D2886">
        <f t="shared" si="591"/>
        <v>6.6586320464645712E-3</v>
      </c>
      <c r="E2886" t="str">
        <f t="shared" si="585"/>
        <v>2021-08</v>
      </c>
      <c r="G2886">
        <v>6675.9</v>
      </c>
      <c r="H2886">
        <f t="shared" si="592"/>
        <v>9.5029107759157811E-3</v>
      </c>
      <c r="I2886" t="str">
        <f t="shared" si="586"/>
        <v>2021-08</v>
      </c>
      <c r="K2886">
        <v>15568.73</v>
      </c>
      <c r="L2886">
        <f t="shared" si="593"/>
        <v>1.5646135755842971E-3</v>
      </c>
      <c r="M2886" t="str">
        <f t="shared" si="587"/>
        <v>2021-08</v>
      </c>
      <c r="O2886">
        <v>8289.8483099999994</v>
      </c>
      <c r="P2886">
        <f t="shared" si="594"/>
        <v>5.7880278252531924E-3</v>
      </c>
      <c r="Q2886" t="str">
        <f t="shared" si="588"/>
        <v>2021-08</v>
      </c>
      <c r="S2886">
        <v>8758.7000000000007</v>
      </c>
      <c r="T2886">
        <f t="shared" si="595"/>
        <v>9.5214778889968314E-3</v>
      </c>
      <c r="U2886" t="str">
        <f t="shared" si="589"/>
        <v>2021-08</v>
      </c>
      <c r="W2886">
        <v>25351.599999999999</v>
      </c>
      <c r="X2886">
        <f t="shared" si="596"/>
        <v>-4.5036323620386643E-4</v>
      </c>
      <c r="Y2886">
        <f t="shared" si="597"/>
        <v>-4.5026183790423583E-4</v>
      </c>
      <c r="Z2886" t="str">
        <f t="shared" si="590"/>
        <v>2021-08</v>
      </c>
    </row>
    <row r="2887" spans="1:26" x14ac:dyDescent="0.35">
      <c r="A2887" s="1">
        <v>44411</v>
      </c>
      <c r="C2887">
        <v>4117.95</v>
      </c>
      <c r="D2887">
        <f t="shared" si="591"/>
        <v>3.2302840623505894E-4</v>
      </c>
      <c r="E2887" t="str">
        <f t="shared" si="585"/>
        <v>2021-08</v>
      </c>
      <c r="G2887">
        <v>6723.81</v>
      </c>
      <c r="H2887">
        <f t="shared" si="592"/>
        <v>7.1509314992032006E-3</v>
      </c>
      <c r="I2887" t="str">
        <f t="shared" si="586"/>
        <v>2021-08</v>
      </c>
      <c r="K2887">
        <v>15555.08</v>
      </c>
      <c r="L2887">
        <f t="shared" si="593"/>
        <v>-8.7714202568174289E-4</v>
      </c>
      <c r="M2887" t="str">
        <f t="shared" si="587"/>
        <v>2021-08</v>
      </c>
      <c r="O2887">
        <v>8332.5164499999992</v>
      </c>
      <c r="P2887">
        <f t="shared" si="594"/>
        <v>5.1338343647710982E-3</v>
      </c>
      <c r="Q2887" t="str">
        <f t="shared" si="588"/>
        <v>2021-08</v>
      </c>
      <c r="S2887">
        <v>8772.7999999999993</v>
      </c>
      <c r="T2887">
        <f t="shared" si="595"/>
        <v>1.6085335584713751E-3</v>
      </c>
      <c r="U2887" t="str">
        <f t="shared" si="589"/>
        <v>2021-08</v>
      </c>
      <c r="W2887">
        <v>25356.15</v>
      </c>
      <c r="X2887">
        <f t="shared" si="596"/>
        <v>1.7945974775907309E-4</v>
      </c>
      <c r="Y2887">
        <f t="shared" si="597"/>
        <v>1.7947585162289206E-4</v>
      </c>
      <c r="Z2887" t="str">
        <f t="shared" si="590"/>
        <v>2021-08</v>
      </c>
    </row>
    <row r="2888" spans="1:26" x14ac:dyDescent="0.35">
      <c r="A2888" s="1">
        <v>44412</v>
      </c>
      <c r="C2888">
        <v>4144.8999999999996</v>
      </c>
      <c r="D2888">
        <f t="shared" si="591"/>
        <v>6.5231961284130764E-3</v>
      </c>
      <c r="E2888" t="str">
        <f t="shared" si="585"/>
        <v>2021-08</v>
      </c>
      <c r="G2888">
        <v>6746.23</v>
      </c>
      <c r="H2888">
        <f t="shared" si="592"/>
        <v>3.3288721791064012E-3</v>
      </c>
      <c r="I2888" t="str">
        <f t="shared" si="586"/>
        <v>2021-08</v>
      </c>
      <c r="K2888">
        <v>15692.13</v>
      </c>
      <c r="L2888">
        <f t="shared" si="593"/>
        <v>8.7720394119583777E-3</v>
      </c>
      <c r="M2888" t="str">
        <f t="shared" si="587"/>
        <v>2021-08</v>
      </c>
      <c r="O2888">
        <v>8363.52477</v>
      </c>
      <c r="P2888">
        <f t="shared" si="594"/>
        <v>3.714456049034906E-3</v>
      </c>
      <c r="Q2888" t="str">
        <f t="shared" si="588"/>
        <v>2021-08</v>
      </c>
      <c r="S2888">
        <v>8792.9</v>
      </c>
      <c r="T2888">
        <f t="shared" si="595"/>
        <v>2.2885519817328775E-3</v>
      </c>
      <c r="U2888" t="str">
        <f t="shared" si="589"/>
        <v>2021-08</v>
      </c>
      <c r="W2888">
        <v>25490.22</v>
      </c>
      <c r="X2888">
        <f t="shared" si="596"/>
        <v>5.2735450223948821E-3</v>
      </c>
      <c r="Y2888">
        <f t="shared" si="597"/>
        <v>5.2874746363308191E-3</v>
      </c>
      <c r="Z2888" t="str">
        <f t="shared" si="590"/>
        <v>2021-08</v>
      </c>
    </row>
    <row r="2889" spans="1:26" x14ac:dyDescent="0.35">
      <c r="A2889" s="1">
        <v>44413</v>
      </c>
      <c r="C2889">
        <v>4161.08</v>
      </c>
      <c r="D2889">
        <f t="shared" si="591"/>
        <v>3.8959931196622432E-3</v>
      </c>
      <c r="E2889" t="str">
        <f t="shared" si="585"/>
        <v>2021-08</v>
      </c>
      <c r="G2889">
        <v>6781.19</v>
      </c>
      <c r="H2889">
        <f t="shared" si="592"/>
        <v>5.1687724389699839E-3</v>
      </c>
      <c r="I2889" t="str">
        <f t="shared" si="586"/>
        <v>2021-08</v>
      </c>
      <c r="K2889">
        <v>15744.67</v>
      </c>
      <c r="L2889">
        <f t="shared" si="593"/>
        <v>3.342582509573934E-3</v>
      </c>
      <c r="M2889" t="str">
        <f t="shared" si="587"/>
        <v>2021-08</v>
      </c>
      <c r="O2889">
        <v>8378.6392699999997</v>
      </c>
      <c r="P2889">
        <f t="shared" si="594"/>
        <v>1.8055615833247312E-3</v>
      </c>
      <c r="Q2889" t="str">
        <f t="shared" si="588"/>
        <v>2021-08</v>
      </c>
      <c r="S2889">
        <v>8836.5</v>
      </c>
      <c r="T2889">
        <f t="shared" si="595"/>
        <v>4.9462929983349994E-3</v>
      </c>
      <c r="U2889" t="str">
        <f t="shared" si="589"/>
        <v>2021-08</v>
      </c>
      <c r="W2889">
        <v>25665.55</v>
      </c>
      <c r="X2889">
        <f t="shared" si="596"/>
        <v>6.8547765592322238E-3</v>
      </c>
      <c r="Y2889">
        <f t="shared" si="597"/>
        <v>6.878324314187877E-3</v>
      </c>
      <c r="Z2889" t="str">
        <f t="shared" si="590"/>
        <v>2021-08</v>
      </c>
    </row>
    <row r="2890" spans="1:26" x14ac:dyDescent="0.35">
      <c r="A2890" s="1">
        <v>44414</v>
      </c>
      <c r="C2890">
        <v>4174.54</v>
      </c>
      <c r="D2890">
        <f t="shared" si="591"/>
        <v>3.2295166283329403E-3</v>
      </c>
      <c r="E2890" t="str">
        <f t="shared" si="585"/>
        <v>2021-08</v>
      </c>
      <c r="G2890">
        <v>6816.96</v>
      </c>
      <c r="H2890">
        <f t="shared" si="592"/>
        <v>5.2610219043788672E-3</v>
      </c>
      <c r="I2890" t="str">
        <f t="shared" si="586"/>
        <v>2021-08</v>
      </c>
      <c r="K2890">
        <v>15761.45</v>
      </c>
      <c r="L2890">
        <f t="shared" si="593"/>
        <v>1.0651899749376621E-3</v>
      </c>
      <c r="M2890" t="str">
        <f t="shared" si="587"/>
        <v>2021-08</v>
      </c>
      <c r="O2890">
        <v>8401.3971299999994</v>
      </c>
      <c r="P2890">
        <f t="shared" si="594"/>
        <v>2.7124939912103996E-3</v>
      </c>
      <c r="Q2890" t="str">
        <f t="shared" si="588"/>
        <v>2021-08</v>
      </c>
      <c r="S2890">
        <v>8879</v>
      </c>
      <c r="T2890">
        <f t="shared" si="595"/>
        <v>4.798067402475111E-3</v>
      </c>
      <c r="U2890" t="str">
        <f t="shared" si="589"/>
        <v>2021-08</v>
      </c>
      <c r="W2890">
        <v>26000.28</v>
      </c>
      <c r="X2890">
        <f t="shared" si="596"/>
        <v>1.2957681448630886E-2</v>
      </c>
      <c r="Y2890">
        <f t="shared" si="597"/>
        <v>1.3041995982942098E-2</v>
      </c>
      <c r="Z2890" t="str">
        <f t="shared" si="590"/>
        <v>2021-08</v>
      </c>
    </row>
    <row r="2891" spans="1:26" x14ac:dyDescent="0.35">
      <c r="A2891" s="1">
        <v>44417</v>
      </c>
      <c r="C2891">
        <v>4177.1499999999996</v>
      </c>
      <c r="D2891">
        <f t="shared" si="591"/>
        <v>6.250232192446688E-4</v>
      </c>
      <c r="E2891" t="str">
        <f t="shared" si="585"/>
        <v>2021-08</v>
      </c>
      <c r="G2891">
        <v>6813.18</v>
      </c>
      <c r="H2891">
        <f t="shared" si="592"/>
        <v>-5.5465315791418347E-4</v>
      </c>
      <c r="I2891" t="str">
        <f t="shared" si="586"/>
        <v>2021-08</v>
      </c>
      <c r="K2891">
        <v>15745.41</v>
      </c>
      <c r="L2891">
        <f t="shared" si="593"/>
        <v>-1.0181910470126582E-3</v>
      </c>
      <c r="M2891" t="str">
        <f t="shared" si="587"/>
        <v>2021-08</v>
      </c>
      <c r="O2891">
        <v>8411.5219199999992</v>
      </c>
      <c r="P2891">
        <f t="shared" si="594"/>
        <v>1.2044061110154589E-3</v>
      </c>
      <c r="Q2891" t="str">
        <f t="shared" si="588"/>
        <v>2021-08</v>
      </c>
      <c r="S2891">
        <v>8865.9</v>
      </c>
      <c r="T2891">
        <f t="shared" si="595"/>
        <v>-1.4764808344740318E-3</v>
      </c>
      <c r="U2891" t="str">
        <f t="shared" si="589"/>
        <v>2021-08</v>
      </c>
      <c r="W2891">
        <v>26139.43</v>
      </c>
      <c r="X2891">
        <f t="shared" si="596"/>
        <v>5.3375951022444617E-3</v>
      </c>
      <c r="Y2891">
        <f t="shared" si="597"/>
        <v>5.351865441449148E-3</v>
      </c>
      <c r="Z2891" t="str">
        <f t="shared" si="590"/>
        <v>2021-08</v>
      </c>
    </row>
    <row r="2892" spans="1:26" x14ac:dyDescent="0.35">
      <c r="A2892" s="1">
        <v>44418</v>
      </c>
      <c r="C2892">
        <v>4187.82</v>
      </c>
      <c r="D2892">
        <f t="shared" si="591"/>
        <v>2.5511163308103478E-3</v>
      </c>
      <c r="E2892" t="str">
        <f t="shared" si="585"/>
        <v>2021-08</v>
      </c>
      <c r="G2892">
        <v>6820.21</v>
      </c>
      <c r="H2892">
        <f t="shared" si="592"/>
        <v>1.0312916483823399E-3</v>
      </c>
      <c r="I2892" t="str">
        <f t="shared" si="586"/>
        <v>2021-08</v>
      </c>
      <c r="K2892">
        <v>15770.71</v>
      </c>
      <c r="L2892">
        <f t="shared" si="593"/>
        <v>1.6055279288624629E-3</v>
      </c>
      <c r="M2892" t="str">
        <f t="shared" si="587"/>
        <v>2021-08</v>
      </c>
      <c r="O2892">
        <v>8454.9902999999995</v>
      </c>
      <c r="P2892">
        <f t="shared" si="594"/>
        <v>5.1544119699236824E-3</v>
      </c>
      <c r="Q2892" t="str">
        <f t="shared" si="588"/>
        <v>2021-08</v>
      </c>
      <c r="S2892">
        <v>8899</v>
      </c>
      <c r="T2892">
        <f t="shared" si="595"/>
        <v>3.7264536590094397E-3</v>
      </c>
      <c r="U2892" t="str">
        <f t="shared" si="589"/>
        <v>2021-08</v>
      </c>
      <c r="W2892">
        <v>26201.21</v>
      </c>
      <c r="X2892">
        <f t="shared" si="596"/>
        <v>2.3606906102384626E-3</v>
      </c>
      <c r="Y2892">
        <f t="shared" si="597"/>
        <v>2.3634792342449255E-3</v>
      </c>
      <c r="Z2892" t="str">
        <f t="shared" si="590"/>
        <v>2021-08</v>
      </c>
    </row>
    <row r="2893" spans="1:26" x14ac:dyDescent="0.35">
      <c r="A2893" s="1">
        <v>44419</v>
      </c>
      <c r="C2893">
        <v>4206.33</v>
      </c>
      <c r="D2893">
        <f t="shared" si="591"/>
        <v>4.4102214045964819E-3</v>
      </c>
      <c r="E2893" t="str">
        <f t="shared" si="585"/>
        <v>2021-08</v>
      </c>
      <c r="G2893">
        <v>6857.99</v>
      </c>
      <c r="H2893">
        <f t="shared" si="592"/>
        <v>5.5241327184313684E-3</v>
      </c>
      <c r="I2893" t="str">
        <f t="shared" si="586"/>
        <v>2021-08</v>
      </c>
      <c r="K2893">
        <v>15826.09</v>
      </c>
      <c r="L2893">
        <f t="shared" si="593"/>
        <v>3.5054218597470308E-3</v>
      </c>
      <c r="M2893" t="str">
        <f t="shared" si="587"/>
        <v>2021-08</v>
      </c>
      <c r="O2893">
        <v>8529.8197999999993</v>
      </c>
      <c r="P2893">
        <f t="shared" si="594"/>
        <v>8.811400741080019E-3</v>
      </c>
      <c r="Q2893" t="str">
        <f t="shared" si="588"/>
        <v>2021-08</v>
      </c>
      <c r="S2893">
        <v>8975.7999999999993</v>
      </c>
      <c r="T2893">
        <f t="shared" si="595"/>
        <v>8.5931560174470224E-3</v>
      </c>
      <c r="U2893" t="str">
        <f t="shared" si="589"/>
        <v>2021-08</v>
      </c>
      <c r="W2893">
        <v>26457.06</v>
      </c>
      <c r="X2893">
        <f t="shared" si="596"/>
        <v>9.7174484956551923E-3</v>
      </c>
      <c r="Y2893">
        <f t="shared" si="597"/>
        <v>9.7648162050532096E-3</v>
      </c>
      <c r="Z2893" t="str">
        <f t="shared" si="590"/>
        <v>2021-08</v>
      </c>
    </row>
    <row r="2894" spans="1:26" x14ac:dyDescent="0.35">
      <c r="A2894" s="1">
        <v>44420</v>
      </c>
      <c r="C2894">
        <v>4226.33</v>
      </c>
      <c r="D2894">
        <f t="shared" si="591"/>
        <v>4.7434706251270539E-3</v>
      </c>
      <c r="E2894" t="str">
        <f t="shared" si="585"/>
        <v>2021-08</v>
      </c>
      <c r="G2894">
        <v>6882.47</v>
      </c>
      <c r="H2894">
        <f t="shared" si="592"/>
        <v>3.5632032553038172E-3</v>
      </c>
      <c r="I2894" t="str">
        <f t="shared" si="586"/>
        <v>2021-08</v>
      </c>
      <c r="K2894">
        <v>15937.51</v>
      </c>
      <c r="L2894">
        <f t="shared" si="593"/>
        <v>7.0156063541635845E-3</v>
      </c>
      <c r="M2894" t="str">
        <f t="shared" si="587"/>
        <v>2021-08</v>
      </c>
      <c r="O2894">
        <v>8467.2737199999992</v>
      </c>
      <c r="P2894">
        <f t="shared" si="594"/>
        <v>-7.3596538421037243E-3</v>
      </c>
      <c r="Q2894" t="str">
        <f t="shared" si="588"/>
        <v>2021-08</v>
      </c>
      <c r="S2894">
        <v>8979.4</v>
      </c>
      <c r="T2894">
        <f t="shared" si="595"/>
        <v>4.0099804493846128E-4</v>
      </c>
      <c r="U2894" t="str">
        <f t="shared" si="589"/>
        <v>2021-08</v>
      </c>
      <c r="W2894">
        <v>26557.84</v>
      </c>
      <c r="X2894">
        <f t="shared" si="596"/>
        <v>3.8019545975450015E-3</v>
      </c>
      <c r="Y2894">
        <f t="shared" si="597"/>
        <v>3.8091911950911715E-3</v>
      </c>
      <c r="Z2894" t="str">
        <f t="shared" si="590"/>
        <v>2021-08</v>
      </c>
    </row>
    <row r="2895" spans="1:26" x14ac:dyDescent="0.35">
      <c r="A2895" s="1">
        <v>44421</v>
      </c>
      <c r="C2895">
        <v>4229.7</v>
      </c>
      <c r="D2895">
        <f t="shared" si="591"/>
        <v>7.9706438563171178E-4</v>
      </c>
      <c r="E2895" t="str">
        <f t="shared" si="585"/>
        <v>2021-08</v>
      </c>
      <c r="G2895">
        <v>6896.04</v>
      </c>
      <c r="H2895">
        <f t="shared" si="592"/>
        <v>1.9697346647015428E-3</v>
      </c>
      <c r="I2895" t="str">
        <f t="shared" si="586"/>
        <v>2021-08</v>
      </c>
      <c r="K2895">
        <v>15977.44</v>
      </c>
      <c r="L2895">
        <f t="shared" si="593"/>
        <v>2.5022768849565311E-3</v>
      </c>
      <c r="M2895" t="str">
        <f t="shared" si="587"/>
        <v>2021-08</v>
      </c>
      <c r="O2895">
        <v>8483.2077599999993</v>
      </c>
      <c r="P2895">
        <f t="shared" si="594"/>
        <v>1.8800698625883649E-3</v>
      </c>
      <c r="Q2895" t="str">
        <f t="shared" si="588"/>
        <v>2021-08</v>
      </c>
      <c r="S2895">
        <v>8999.7999999999993</v>
      </c>
      <c r="T2895">
        <f t="shared" si="595"/>
        <v>2.2692899299690842E-3</v>
      </c>
      <c r="U2895" t="str">
        <f t="shared" si="589"/>
        <v>2021-08</v>
      </c>
      <c r="W2895">
        <v>26652.560000000001</v>
      </c>
      <c r="X2895">
        <f t="shared" si="596"/>
        <v>3.5602100359603873E-3</v>
      </c>
      <c r="Y2895">
        <f t="shared" si="597"/>
        <v>3.5665551114097064E-3</v>
      </c>
      <c r="Z2895" t="str">
        <f t="shared" si="590"/>
        <v>2021-08</v>
      </c>
    </row>
    <row r="2896" spans="1:26" x14ac:dyDescent="0.35">
      <c r="A2896" s="1">
        <v>44424</v>
      </c>
      <c r="C2896">
        <v>4202.4399999999996</v>
      </c>
      <c r="D2896">
        <f t="shared" si="591"/>
        <v>-6.4657595745177951E-3</v>
      </c>
      <c r="E2896" t="str">
        <f t="shared" si="585"/>
        <v>2021-08</v>
      </c>
      <c r="G2896">
        <v>6838.77</v>
      </c>
      <c r="H2896">
        <f t="shared" si="592"/>
        <v>-8.3394429059258039E-3</v>
      </c>
      <c r="I2896" t="str">
        <f t="shared" si="586"/>
        <v>2021-08</v>
      </c>
      <c r="K2896">
        <v>15925.73</v>
      </c>
      <c r="L2896">
        <f t="shared" si="593"/>
        <v>-3.2416869723615968E-3</v>
      </c>
      <c r="M2896" t="str">
        <f t="shared" si="587"/>
        <v>2021-08</v>
      </c>
      <c r="O2896">
        <v>8412.2299000000003</v>
      </c>
      <c r="P2896">
        <f t="shared" si="594"/>
        <v>-8.402064389551489E-3</v>
      </c>
      <c r="Q2896" t="str">
        <f t="shared" si="588"/>
        <v>2021-08</v>
      </c>
      <c r="S2896">
        <v>8926.6</v>
      </c>
      <c r="T2896">
        <f t="shared" si="595"/>
        <v>-8.1667715599460632E-3</v>
      </c>
      <c r="U2896" t="str">
        <f t="shared" si="589"/>
        <v>2021-08</v>
      </c>
      <c r="W2896">
        <v>26448.76</v>
      </c>
      <c r="X2896">
        <f t="shared" si="596"/>
        <v>-7.6759297379152061E-3</v>
      </c>
      <c r="Y2896">
        <f t="shared" si="597"/>
        <v>-7.6465450223169142E-3</v>
      </c>
      <c r="Z2896" t="str">
        <f t="shared" si="590"/>
        <v>2021-08</v>
      </c>
    </row>
    <row r="2897" spans="1:26" x14ac:dyDescent="0.35">
      <c r="A2897" s="1">
        <v>44425</v>
      </c>
      <c r="C2897">
        <v>4196.3999999999996</v>
      </c>
      <c r="D2897">
        <f t="shared" si="591"/>
        <v>-1.4382941075769145E-3</v>
      </c>
      <c r="E2897" t="str">
        <f t="shared" si="585"/>
        <v>2021-08</v>
      </c>
      <c r="G2897">
        <v>6819.84</v>
      </c>
      <c r="H2897">
        <f t="shared" si="592"/>
        <v>-2.771879733066758E-3</v>
      </c>
      <c r="I2897" t="str">
        <f t="shared" si="586"/>
        <v>2021-08</v>
      </c>
      <c r="K2897">
        <v>15921.95</v>
      </c>
      <c r="L2897">
        <f t="shared" si="593"/>
        <v>-2.3737992957411657E-4</v>
      </c>
      <c r="M2897" t="str">
        <f t="shared" si="587"/>
        <v>2021-08</v>
      </c>
      <c r="O2897">
        <v>8418.7459999999992</v>
      </c>
      <c r="P2897">
        <f t="shared" si="594"/>
        <v>7.7429857475500539E-4</v>
      </c>
      <c r="Q2897" t="str">
        <f t="shared" si="588"/>
        <v>2021-08</v>
      </c>
      <c r="S2897">
        <v>8865.7000000000007</v>
      </c>
      <c r="T2897">
        <f t="shared" si="595"/>
        <v>-6.845684687371823E-3</v>
      </c>
      <c r="U2897" t="str">
        <f t="shared" si="589"/>
        <v>2021-08</v>
      </c>
      <c r="W2897">
        <v>26224.79</v>
      </c>
      <c r="X2897">
        <f t="shared" si="596"/>
        <v>-8.5041296740028804E-3</v>
      </c>
      <c r="Y2897">
        <f t="shared" si="597"/>
        <v>-8.4680718491149509E-3</v>
      </c>
      <c r="Z2897" t="str">
        <f t="shared" si="590"/>
        <v>2021-08</v>
      </c>
    </row>
    <row r="2898" spans="1:26" x14ac:dyDescent="0.35">
      <c r="A2898" s="1">
        <v>44426</v>
      </c>
      <c r="C2898">
        <v>4189.42</v>
      </c>
      <c r="D2898">
        <f t="shared" si="591"/>
        <v>-1.6647153437491541E-3</v>
      </c>
      <c r="E2898" t="str">
        <f t="shared" si="585"/>
        <v>2021-08</v>
      </c>
      <c r="G2898">
        <v>6770.11</v>
      </c>
      <c r="H2898">
        <f t="shared" si="592"/>
        <v>-7.3186762238111221E-3</v>
      </c>
      <c r="I2898" t="str">
        <f t="shared" si="586"/>
        <v>2021-08</v>
      </c>
      <c r="K2898">
        <v>15965.97</v>
      </c>
      <c r="L2898">
        <f t="shared" si="593"/>
        <v>2.7609218765327079E-3</v>
      </c>
      <c r="M2898" t="str">
        <f t="shared" si="587"/>
        <v>2021-08</v>
      </c>
      <c r="O2898">
        <v>8425.5902800000003</v>
      </c>
      <c r="P2898">
        <f t="shared" si="594"/>
        <v>8.1265064564075217E-4</v>
      </c>
      <c r="Q2898" t="str">
        <f t="shared" si="588"/>
        <v>2021-08</v>
      </c>
      <c r="S2898">
        <v>8970.2000000000007</v>
      </c>
      <c r="T2898">
        <f t="shared" si="595"/>
        <v>1.171807374641431E-2</v>
      </c>
      <c r="U2898" t="str">
        <f t="shared" si="589"/>
        <v>2021-08</v>
      </c>
      <c r="W2898">
        <v>26357.21</v>
      </c>
      <c r="X2898">
        <f t="shared" si="596"/>
        <v>5.0367152235091433E-3</v>
      </c>
      <c r="Y2898">
        <f t="shared" si="597"/>
        <v>5.0494207961245159E-3</v>
      </c>
      <c r="Z2898" t="str">
        <f t="shared" si="590"/>
        <v>2021-08</v>
      </c>
    </row>
    <row r="2899" spans="1:26" x14ac:dyDescent="0.35">
      <c r="A2899" s="1">
        <v>44427</v>
      </c>
      <c r="C2899">
        <v>4124.71</v>
      </c>
      <c r="D2899">
        <f t="shared" si="591"/>
        <v>-1.5566585246476803E-2</v>
      </c>
      <c r="E2899" t="str">
        <f t="shared" si="585"/>
        <v>2021-08</v>
      </c>
      <c r="G2899">
        <v>6605.89</v>
      </c>
      <c r="H2899">
        <f t="shared" si="592"/>
        <v>-2.4555659644756037E-2</v>
      </c>
      <c r="I2899" t="str">
        <f t="shared" si="586"/>
        <v>2021-08</v>
      </c>
      <c r="K2899">
        <v>15765.81</v>
      </c>
      <c r="L2899">
        <f t="shared" si="593"/>
        <v>-1.2615910913406718E-2</v>
      </c>
      <c r="M2899" t="str">
        <f t="shared" si="587"/>
        <v>2021-08</v>
      </c>
      <c r="O2899">
        <v>8246.2075999999997</v>
      </c>
      <c r="P2899">
        <f t="shared" si="594"/>
        <v>-2.1520126881511482E-2</v>
      </c>
      <c r="Q2899" t="str">
        <f t="shared" si="588"/>
        <v>2021-08</v>
      </c>
      <c r="S2899">
        <v>8902.2000000000007</v>
      </c>
      <c r="T2899">
        <f t="shared" si="595"/>
        <v>-7.6095351635103118E-3</v>
      </c>
      <c r="U2899" t="str">
        <f t="shared" si="589"/>
        <v>2021-08</v>
      </c>
      <c r="W2899">
        <v>25928.78</v>
      </c>
      <c r="X2899">
        <f t="shared" si="596"/>
        <v>-1.6388313153124369E-2</v>
      </c>
      <c r="Y2899">
        <f t="shared" si="597"/>
        <v>-1.625475534018966E-2</v>
      </c>
      <c r="Z2899" t="str">
        <f t="shared" si="590"/>
        <v>2021-08</v>
      </c>
    </row>
    <row r="2900" spans="1:26" x14ac:dyDescent="0.35">
      <c r="A2900" s="1">
        <v>44428</v>
      </c>
      <c r="C2900">
        <v>4147.5</v>
      </c>
      <c r="D2900">
        <f t="shared" si="591"/>
        <v>5.5100287974950536E-3</v>
      </c>
      <c r="E2900" t="str">
        <f t="shared" si="585"/>
        <v>2021-08</v>
      </c>
      <c r="G2900">
        <v>6626.11</v>
      </c>
      <c r="H2900">
        <f t="shared" si="592"/>
        <v>3.0562297065911577E-3</v>
      </c>
      <c r="I2900" t="str">
        <f t="shared" si="586"/>
        <v>2021-08</v>
      </c>
      <c r="K2900">
        <v>15808.04</v>
      </c>
      <c r="L2900">
        <f t="shared" si="593"/>
        <v>2.675000051107778E-3</v>
      </c>
      <c r="M2900" t="str">
        <f t="shared" si="587"/>
        <v>2021-08</v>
      </c>
      <c r="O2900">
        <v>8253.7726399999992</v>
      </c>
      <c r="P2900">
        <f t="shared" si="594"/>
        <v>9.1697570785512607E-4</v>
      </c>
      <c r="Q2900" t="str">
        <f t="shared" si="588"/>
        <v>2021-08</v>
      </c>
      <c r="S2900">
        <v>8915.2999999999993</v>
      </c>
      <c r="T2900">
        <f t="shared" si="595"/>
        <v>1.4704646959979766E-3</v>
      </c>
      <c r="U2900" t="str">
        <f t="shared" si="589"/>
        <v>2021-08</v>
      </c>
      <c r="W2900">
        <v>25918.27</v>
      </c>
      <c r="X2900">
        <f t="shared" si="596"/>
        <v>-4.0542326492862165E-4</v>
      </c>
      <c r="Y2900">
        <f t="shared" si="597"/>
        <v>-4.0534109202200794E-4</v>
      </c>
      <c r="Z2900" t="str">
        <f t="shared" si="590"/>
        <v>2021-08</v>
      </c>
    </row>
    <row r="2901" spans="1:26" x14ac:dyDescent="0.35">
      <c r="A2901" s="1">
        <v>44431</v>
      </c>
      <c r="C2901">
        <v>4176.42</v>
      </c>
      <c r="D2901">
        <f t="shared" si="591"/>
        <v>6.9486771532215061E-3</v>
      </c>
      <c r="E2901" t="str">
        <f t="shared" si="585"/>
        <v>2021-08</v>
      </c>
      <c r="G2901">
        <v>6683.1</v>
      </c>
      <c r="H2901">
        <f t="shared" si="592"/>
        <v>8.5640467491631574E-3</v>
      </c>
      <c r="I2901" t="str">
        <f t="shared" si="586"/>
        <v>2021-08</v>
      </c>
      <c r="K2901">
        <v>15852.79</v>
      </c>
      <c r="L2901">
        <f t="shared" si="593"/>
        <v>2.8268387025753832E-3</v>
      </c>
      <c r="M2901" t="str">
        <f t="shared" si="587"/>
        <v>2021-08</v>
      </c>
      <c r="O2901">
        <v>8309.9048000000003</v>
      </c>
      <c r="P2901">
        <f t="shared" si="594"/>
        <v>6.7777672062297881E-3</v>
      </c>
      <c r="Q2901" t="str">
        <f t="shared" si="588"/>
        <v>2021-08</v>
      </c>
      <c r="S2901">
        <v>8968.1</v>
      </c>
      <c r="T2901">
        <f t="shared" si="595"/>
        <v>5.9049345672770688E-3</v>
      </c>
      <c r="U2901" t="str">
        <f t="shared" si="589"/>
        <v>2021-08</v>
      </c>
      <c r="W2901">
        <v>26046.03</v>
      </c>
      <c r="X2901">
        <f t="shared" si="596"/>
        <v>4.9172319237420128E-3</v>
      </c>
      <c r="Y2901">
        <f t="shared" si="597"/>
        <v>4.9293413487859492E-3</v>
      </c>
      <c r="Z2901" t="str">
        <f t="shared" si="590"/>
        <v>2021-08</v>
      </c>
    </row>
    <row r="2902" spans="1:26" x14ac:dyDescent="0.35">
      <c r="A2902" s="1">
        <v>44432</v>
      </c>
      <c r="C2902">
        <v>4178.08</v>
      </c>
      <c r="D2902">
        <f t="shared" si="591"/>
        <v>3.9739063303508384E-4</v>
      </c>
      <c r="E2902" t="str">
        <f t="shared" si="585"/>
        <v>2021-08</v>
      </c>
      <c r="G2902">
        <v>6664.31</v>
      </c>
      <c r="H2902">
        <f t="shared" si="592"/>
        <v>-2.815529366773168E-3</v>
      </c>
      <c r="I2902" t="str">
        <f t="shared" si="586"/>
        <v>2021-08</v>
      </c>
      <c r="K2902">
        <v>15905.85</v>
      </c>
      <c r="L2902">
        <f t="shared" si="593"/>
        <v>3.3414560175970593E-3</v>
      </c>
      <c r="M2902" t="str">
        <f t="shared" si="587"/>
        <v>2021-08</v>
      </c>
      <c r="O2902">
        <v>8323.1148400000002</v>
      </c>
      <c r="P2902">
        <f t="shared" si="594"/>
        <v>1.5884118534556738E-3</v>
      </c>
      <c r="Q2902" t="str">
        <f t="shared" si="588"/>
        <v>2021-08</v>
      </c>
      <c r="S2902">
        <v>8948.6</v>
      </c>
      <c r="T2902">
        <f t="shared" si="595"/>
        <v>-2.1767409957834153E-3</v>
      </c>
      <c r="U2902" t="str">
        <f t="shared" si="589"/>
        <v>2021-08</v>
      </c>
      <c r="W2902">
        <v>26027.91</v>
      </c>
      <c r="X2902">
        <f t="shared" si="596"/>
        <v>-6.9593354108893443E-4</v>
      </c>
      <c r="Y2902">
        <f t="shared" si="597"/>
        <v>-6.956914355085586E-4</v>
      </c>
      <c r="Z2902" t="str">
        <f t="shared" si="590"/>
        <v>2021-08</v>
      </c>
    </row>
    <row r="2903" spans="1:26" x14ac:dyDescent="0.35">
      <c r="A2903" s="1">
        <v>44433</v>
      </c>
      <c r="C2903">
        <v>4181.12</v>
      </c>
      <c r="D2903">
        <f t="shared" si="591"/>
        <v>7.2734236147480361E-4</v>
      </c>
      <c r="E2903" t="str">
        <f t="shared" si="585"/>
        <v>2021-08</v>
      </c>
      <c r="G2903">
        <v>6676.48</v>
      </c>
      <c r="H2903">
        <f t="shared" si="592"/>
        <v>1.8244801658497797E-3</v>
      </c>
      <c r="I2903" t="str">
        <f t="shared" si="586"/>
        <v>2021-08</v>
      </c>
      <c r="K2903">
        <v>15860.66</v>
      </c>
      <c r="L2903">
        <f t="shared" si="593"/>
        <v>-2.8451366224160144E-3</v>
      </c>
      <c r="M2903" t="str">
        <f t="shared" si="587"/>
        <v>2021-08</v>
      </c>
      <c r="O2903">
        <v>8352.7507299999997</v>
      </c>
      <c r="P2903">
        <f t="shared" si="594"/>
        <v>3.5543487773693717E-3</v>
      </c>
      <c r="Q2903" t="str">
        <f t="shared" si="588"/>
        <v>2021-08</v>
      </c>
      <c r="S2903">
        <v>8977.4</v>
      </c>
      <c r="T2903">
        <f t="shared" si="595"/>
        <v>3.2132126273970996E-3</v>
      </c>
      <c r="U2903" t="str">
        <f t="shared" si="589"/>
        <v>2021-08</v>
      </c>
      <c r="W2903">
        <v>26060.27</v>
      </c>
      <c r="X2903">
        <f t="shared" si="596"/>
        <v>1.2425085369919952E-3</v>
      </c>
      <c r="Y2903">
        <f t="shared" si="597"/>
        <v>1.2432807705267377E-3</v>
      </c>
      <c r="Z2903" t="str">
        <f t="shared" si="590"/>
        <v>2021-08</v>
      </c>
    </row>
    <row r="2904" spans="1:26" x14ac:dyDescent="0.35">
      <c r="A2904" s="1">
        <v>44434</v>
      </c>
      <c r="C2904">
        <v>4169.87</v>
      </c>
      <c r="D2904">
        <f t="shared" si="591"/>
        <v>-2.6942929653880196E-3</v>
      </c>
      <c r="E2904" t="str">
        <f t="shared" si="585"/>
        <v>2021-08</v>
      </c>
      <c r="G2904">
        <v>6666.03</v>
      </c>
      <c r="H2904">
        <f t="shared" si="592"/>
        <v>-1.5664222304116293E-3</v>
      </c>
      <c r="I2904" t="str">
        <f t="shared" si="586"/>
        <v>2021-08</v>
      </c>
      <c r="K2904">
        <v>15793.62</v>
      </c>
      <c r="L2904">
        <f t="shared" si="593"/>
        <v>-4.2357684480240215E-3</v>
      </c>
      <c r="M2904" t="str">
        <f t="shared" si="587"/>
        <v>2021-08</v>
      </c>
      <c r="O2904">
        <v>8307.1216700000004</v>
      </c>
      <c r="P2904">
        <f t="shared" si="594"/>
        <v>-5.4777339223519962E-3</v>
      </c>
      <c r="Q2904" t="str">
        <f t="shared" si="588"/>
        <v>2021-08</v>
      </c>
      <c r="S2904">
        <v>8892.7000000000007</v>
      </c>
      <c r="T2904">
        <f t="shared" si="595"/>
        <v>-9.4795926469102808E-3</v>
      </c>
      <c r="U2904" t="str">
        <f t="shared" si="589"/>
        <v>2021-08</v>
      </c>
      <c r="W2904">
        <v>25861.52</v>
      </c>
      <c r="X2904">
        <f t="shared" si="596"/>
        <v>-7.6557826971636392E-3</v>
      </c>
      <c r="Y2904">
        <f t="shared" si="597"/>
        <v>-7.6265518354184355E-3</v>
      </c>
      <c r="Z2904" t="str">
        <f t="shared" si="590"/>
        <v>2021-08</v>
      </c>
    </row>
    <row r="2905" spans="1:26" x14ac:dyDescent="0.35">
      <c r="A2905" s="1">
        <v>44435</v>
      </c>
      <c r="C2905">
        <v>4190.9799999999996</v>
      </c>
      <c r="D2905">
        <f t="shared" si="591"/>
        <v>5.0497365359855502E-3</v>
      </c>
      <c r="E2905" t="str">
        <f t="shared" si="585"/>
        <v>2021-08</v>
      </c>
      <c r="G2905">
        <v>6681.92</v>
      </c>
      <c r="H2905">
        <f t="shared" si="592"/>
        <v>2.3808910740939567E-3</v>
      </c>
      <c r="I2905" t="str">
        <f t="shared" si="586"/>
        <v>2021-08</v>
      </c>
      <c r="K2905">
        <v>15851.75</v>
      </c>
      <c r="L2905">
        <f t="shared" si="593"/>
        <v>3.6738433067653674E-3</v>
      </c>
      <c r="M2905" t="str">
        <f t="shared" si="587"/>
        <v>2021-08</v>
      </c>
      <c r="O2905">
        <v>8345.5030700000007</v>
      </c>
      <c r="P2905">
        <f t="shared" si="594"/>
        <v>4.6096598659947701E-3</v>
      </c>
      <c r="Q2905" t="str">
        <f t="shared" si="588"/>
        <v>2021-08</v>
      </c>
      <c r="S2905">
        <v>8922.2000000000007</v>
      </c>
      <c r="T2905">
        <f t="shared" si="595"/>
        <v>3.311837502725689E-3</v>
      </c>
      <c r="U2905" t="str">
        <f t="shared" si="589"/>
        <v>2021-08</v>
      </c>
      <c r="W2905">
        <v>26006.63</v>
      </c>
      <c r="X2905">
        <f t="shared" si="596"/>
        <v>5.5953558625816422E-3</v>
      </c>
      <c r="Y2905">
        <f t="shared" si="597"/>
        <v>5.611039103656729E-3</v>
      </c>
      <c r="Z2905" t="str">
        <f t="shared" si="590"/>
        <v>2021-08</v>
      </c>
    </row>
    <row r="2906" spans="1:26" x14ac:dyDescent="0.35">
      <c r="A2906" s="1">
        <v>44439</v>
      </c>
      <c r="C2906">
        <v>4196.41</v>
      </c>
      <c r="D2906">
        <f t="shared" si="591"/>
        <v>1.2948010665107415E-3</v>
      </c>
      <c r="E2906" t="str">
        <f t="shared" si="585"/>
        <v>2021-08</v>
      </c>
      <c r="G2906">
        <v>6680.18</v>
      </c>
      <c r="H2906">
        <f t="shared" si="592"/>
        <v>-2.6043810626096876E-4</v>
      </c>
      <c r="I2906" t="str">
        <f t="shared" si="586"/>
        <v>2021-08</v>
      </c>
      <c r="K2906">
        <v>15835.09</v>
      </c>
      <c r="L2906">
        <f t="shared" si="593"/>
        <v>-1.0515407364781234E-3</v>
      </c>
      <c r="M2906" t="str">
        <f t="shared" si="587"/>
        <v>2021-08</v>
      </c>
      <c r="O2906">
        <v>8292.5480100000004</v>
      </c>
      <c r="P2906">
        <f t="shared" si="594"/>
        <v>-6.3655579079890954E-3</v>
      </c>
      <c r="Q2906" t="str">
        <f t="shared" si="588"/>
        <v>2021-08</v>
      </c>
      <c r="S2906">
        <v>8846.6</v>
      </c>
      <c r="T2906">
        <f t="shared" si="595"/>
        <v>-8.5093485408388684E-3</v>
      </c>
      <c r="U2906" t="str">
        <f t="shared" si="589"/>
        <v>2021-08</v>
      </c>
      <c r="W2906">
        <v>26009.29</v>
      </c>
      <c r="X2906">
        <f t="shared" si="596"/>
        <v>1.0227638008969184E-4</v>
      </c>
      <c r="Y2906">
        <f t="shared" si="597"/>
        <v>1.0228161049700997E-4</v>
      </c>
      <c r="Z2906" t="str">
        <f t="shared" si="590"/>
        <v>2021-08</v>
      </c>
    </row>
    <row r="2907" spans="1:26" x14ac:dyDescent="0.35">
      <c r="A2907" s="1">
        <v>44440</v>
      </c>
      <c r="C2907">
        <v>4227.2700000000004</v>
      </c>
      <c r="D2907">
        <f t="shared" si="591"/>
        <v>7.3269967661395621E-3</v>
      </c>
      <c r="E2907" t="str">
        <f t="shared" si="585"/>
        <v>2021-09</v>
      </c>
      <c r="G2907">
        <v>6758.69</v>
      </c>
      <c r="H2907">
        <f t="shared" si="592"/>
        <v>1.1684151000201788E-2</v>
      </c>
      <c r="I2907" t="str">
        <f t="shared" si="586"/>
        <v>2021-09</v>
      </c>
      <c r="K2907">
        <v>15824.29</v>
      </c>
      <c r="L2907">
        <f t="shared" si="593"/>
        <v>-6.8226228175875163E-4</v>
      </c>
      <c r="M2907" t="str">
        <f t="shared" si="587"/>
        <v>2021-09</v>
      </c>
      <c r="O2907">
        <v>8318.1460599999991</v>
      </c>
      <c r="P2907">
        <f t="shared" si="594"/>
        <v>3.0821192848523265E-3</v>
      </c>
      <c r="Q2907" t="str">
        <f t="shared" si="588"/>
        <v>2021-09</v>
      </c>
      <c r="S2907">
        <v>8991.5</v>
      </c>
      <c r="T2907">
        <f t="shared" si="595"/>
        <v>1.6246482210583283E-2</v>
      </c>
      <c r="U2907" t="str">
        <f t="shared" si="589"/>
        <v>2021-09</v>
      </c>
      <c r="W2907">
        <v>26181.66</v>
      </c>
      <c r="X2907">
        <f t="shared" si="596"/>
        <v>6.6053837580597853E-3</v>
      </c>
      <c r="Y2907">
        <f t="shared" si="597"/>
        <v>6.6272474181340198E-3</v>
      </c>
      <c r="Z2907" t="str">
        <f t="shared" si="590"/>
        <v>2021-09</v>
      </c>
    </row>
    <row r="2908" spans="1:26" x14ac:dyDescent="0.35">
      <c r="A2908" s="1">
        <v>44441</v>
      </c>
      <c r="C2908">
        <v>4232.1000000000004</v>
      </c>
      <c r="D2908">
        <f t="shared" si="591"/>
        <v>1.1419291329875694E-3</v>
      </c>
      <c r="E2908" t="str">
        <f t="shared" si="585"/>
        <v>2021-09</v>
      </c>
      <c r="G2908">
        <v>6763.08</v>
      </c>
      <c r="H2908">
        <f t="shared" si="592"/>
        <v>6.4932329927852692E-4</v>
      </c>
      <c r="I2908" t="str">
        <f t="shared" si="586"/>
        <v>2021-09</v>
      </c>
      <c r="K2908">
        <v>15840.59</v>
      </c>
      <c r="L2908">
        <f t="shared" si="593"/>
        <v>1.0295318624131077E-3</v>
      </c>
      <c r="M2908" t="str">
        <f t="shared" si="587"/>
        <v>2021-09</v>
      </c>
      <c r="O2908">
        <v>8351.5436000000009</v>
      </c>
      <c r="P2908">
        <f t="shared" si="594"/>
        <v>4.006983377237594E-3</v>
      </c>
      <c r="Q2908" t="str">
        <f t="shared" si="588"/>
        <v>2021-09</v>
      </c>
      <c r="S2908">
        <v>8981.4</v>
      </c>
      <c r="T2908">
        <f t="shared" si="595"/>
        <v>-1.1239144560065829E-3</v>
      </c>
      <c r="U2908" t="str">
        <f t="shared" si="589"/>
        <v>2021-09</v>
      </c>
      <c r="W2908">
        <v>26233.38</v>
      </c>
      <c r="X2908">
        <f t="shared" si="596"/>
        <v>1.9734800082505813E-3</v>
      </c>
      <c r="Y2908">
        <f t="shared" si="597"/>
        <v>1.9754286015478454E-3</v>
      </c>
      <c r="Z2908" t="str">
        <f t="shared" si="590"/>
        <v>2021-09</v>
      </c>
    </row>
    <row r="2909" spans="1:26" x14ac:dyDescent="0.35">
      <c r="A2909" s="1">
        <v>44442</v>
      </c>
      <c r="C2909">
        <v>4201.9799999999996</v>
      </c>
      <c r="D2909">
        <f t="shared" si="591"/>
        <v>-7.142480993215369E-3</v>
      </c>
      <c r="E2909" t="str">
        <f t="shared" si="585"/>
        <v>2021-09</v>
      </c>
      <c r="G2909">
        <v>6689.99</v>
      </c>
      <c r="H2909">
        <f t="shared" si="592"/>
        <v>-1.0866028222070405E-2</v>
      </c>
      <c r="I2909" t="str">
        <f t="shared" si="586"/>
        <v>2021-09</v>
      </c>
      <c r="K2909">
        <v>15781.2</v>
      </c>
      <c r="L2909">
        <f t="shared" si="593"/>
        <v>-3.7562750135747536E-3</v>
      </c>
      <c r="M2909" t="str">
        <f t="shared" si="587"/>
        <v>2021-09</v>
      </c>
      <c r="O2909">
        <v>8329.4758500000007</v>
      </c>
      <c r="P2909">
        <f t="shared" si="594"/>
        <v>-2.6458530235504065E-3</v>
      </c>
      <c r="Q2909" t="str">
        <f t="shared" si="588"/>
        <v>2021-09</v>
      </c>
      <c r="S2909">
        <v>8864</v>
      </c>
      <c r="T2909">
        <f t="shared" si="595"/>
        <v>-1.3157642162180018E-2</v>
      </c>
      <c r="U2909" t="str">
        <f t="shared" si="589"/>
        <v>2021-09</v>
      </c>
      <c r="W2909">
        <v>26064.78</v>
      </c>
      <c r="X2909">
        <f t="shared" si="596"/>
        <v>-6.4476679138279125E-3</v>
      </c>
      <c r="Y2909">
        <f t="shared" si="597"/>
        <v>-6.4269263053408354E-3</v>
      </c>
      <c r="Z2909" t="str">
        <f t="shared" si="590"/>
        <v>2021-09</v>
      </c>
    </row>
    <row r="2910" spans="1:26" x14ac:dyDescent="0.35">
      <c r="A2910" s="1">
        <v>44445</v>
      </c>
      <c r="C2910">
        <v>4246.13</v>
      </c>
      <c r="D2910">
        <f t="shared" si="591"/>
        <v>1.0452137090500576E-2</v>
      </c>
      <c r="E2910" t="str">
        <f t="shared" si="585"/>
        <v>2021-09</v>
      </c>
      <c r="G2910">
        <v>6743.5</v>
      </c>
      <c r="H2910">
        <f t="shared" si="592"/>
        <v>7.966698604066241E-3</v>
      </c>
      <c r="I2910" t="str">
        <f t="shared" si="586"/>
        <v>2021-09</v>
      </c>
      <c r="K2910">
        <v>15932.12</v>
      </c>
      <c r="L2910">
        <f t="shared" si="593"/>
        <v>9.5178391482967344E-3</v>
      </c>
      <c r="M2910" t="str">
        <f t="shared" si="587"/>
        <v>2021-09</v>
      </c>
      <c r="O2910">
        <v>8374.4481300000007</v>
      </c>
      <c r="P2910">
        <f t="shared" si="594"/>
        <v>5.3846495848530081E-3</v>
      </c>
      <c r="Q2910" t="str">
        <f t="shared" si="588"/>
        <v>2021-09</v>
      </c>
      <c r="S2910">
        <v>8882.2999999999993</v>
      </c>
      <c r="T2910">
        <f t="shared" si="595"/>
        <v>2.0624024711169498E-3</v>
      </c>
      <c r="U2910" t="str">
        <f t="shared" si="589"/>
        <v>2021-09</v>
      </c>
      <c r="W2910">
        <v>26263.43</v>
      </c>
      <c r="X2910">
        <f t="shared" si="596"/>
        <v>7.5924995057687263E-3</v>
      </c>
      <c r="Y2910">
        <f t="shared" si="597"/>
        <v>7.6213956150791018E-3</v>
      </c>
      <c r="Z2910" t="str">
        <f t="shared" si="590"/>
        <v>2021-09</v>
      </c>
    </row>
    <row r="2911" spans="1:26" x14ac:dyDescent="0.35">
      <c r="A2911" s="1">
        <v>44446</v>
      </c>
      <c r="C2911">
        <v>4225.01</v>
      </c>
      <c r="D2911">
        <f t="shared" si="591"/>
        <v>-4.9863521934729749E-3</v>
      </c>
      <c r="E2911" t="str">
        <f t="shared" si="585"/>
        <v>2021-09</v>
      </c>
      <c r="G2911">
        <v>6726.07</v>
      </c>
      <c r="H2911">
        <f t="shared" si="592"/>
        <v>-2.5880573364856691E-3</v>
      </c>
      <c r="I2911" t="str">
        <f t="shared" si="586"/>
        <v>2021-09</v>
      </c>
      <c r="K2911">
        <v>15843.09</v>
      </c>
      <c r="L2911">
        <f t="shared" si="593"/>
        <v>-5.6037541830252762E-3</v>
      </c>
      <c r="M2911" t="str">
        <f t="shared" si="587"/>
        <v>2021-09</v>
      </c>
      <c r="O2911">
        <v>8323.3273399999998</v>
      </c>
      <c r="P2911">
        <f t="shared" si="594"/>
        <v>-6.1230850553551184E-3</v>
      </c>
      <c r="Q2911" t="str">
        <f t="shared" si="588"/>
        <v>2021-09</v>
      </c>
      <c r="S2911">
        <v>8894.5</v>
      </c>
      <c r="T2911">
        <f t="shared" si="595"/>
        <v>1.3725757071423265E-3</v>
      </c>
      <c r="U2911" t="str">
        <f t="shared" si="589"/>
        <v>2021-09</v>
      </c>
      <c r="W2911">
        <v>26073.73</v>
      </c>
      <c r="X2911">
        <f t="shared" si="596"/>
        <v>-7.2491832089314513E-3</v>
      </c>
      <c r="Y2911">
        <f t="shared" si="597"/>
        <v>-7.2229712569912129E-3</v>
      </c>
      <c r="Z2911" t="str">
        <f t="shared" si="590"/>
        <v>2021-09</v>
      </c>
    </row>
    <row r="2912" spans="1:26" x14ac:dyDescent="0.35">
      <c r="A2912" s="1">
        <v>44447</v>
      </c>
      <c r="C2912">
        <v>4177.1499999999996</v>
      </c>
      <c r="D2912">
        <f t="shared" si="591"/>
        <v>-1.1392431859119076E-2</v>
      </c>
      <c r="E2912" t="str">
        <f t="shared" si="585"/>
        <v>2021-09</v>
      </c>
      <c r="G2912">
        <v>6668.89</v>
      </c>
      <c r="H2912">
        <f t="shared" si="592"/>
        <v>-8.5375913511721181E-3</v>
      </c>
      <c r="I2912" t="str">
        <f t="shared" si="586"/>
        <v>2021-09</v>
      </c>
      <c r="K2912">
        <v>15610.28</v>
      </c>
      <c r="L2912">
        <f t="shared" si="593"/>
        <v>-1.4803771532852403E-2</v>
      </c>
      <c r="M2912" t="str">
        <f t="shared" si="587"/>
        <v>2021-09</v>
      </c>
      <c r="O2912">
        <v>8267.4120999999996</v>
      </c>
      <c r="P2912">
        <f t="shared" si="594"/>
        <v>-6.7405617346879207E-3</v>
      </c>
      <c r="Q2912" t="str">
        <f t="shared" si="588"/>
        <v>2021-09</v>
      </c>
      <c r="S2912">
        <v>8838.7000000000007</v>
      </c>
      <c r="T2912">
        <f t="shared" si="595"/>
        <v>-6.2933011713737011E-3</v>
      </c>
      <c r="U2912" t="str">
        <f t="shared" si="589"/>
        <v>2021-09</v>
      </c>
      <c r="W2912">
        <v>25876.89</v>
      </c>
      <c r="X2912">
        <f t="shared" si="596"/>
        <v>-7.5780016476687832E-3</v>
      </c>
      <c r="Y2912">
        <f t="shared" si="597"/>
        <v>-7.549360985175506E-3</v>
      </c>
      <c r="Z2912" t="str">
        <f t="shared" si="590"/>
        <v>2021-09</v>
      </c>
    </row>
    <row r="2913" spans="1:26" x14ac:dyDescent="0.35">
      <c r="A2913" s="1">
        <v>44448</v>
      </c>
      <c r="C2913">
        <v>4177.1099999999997</v>
      </c>
      <c r="D2913">
        <f t="shared" si="591"/>
        <v>-9.575952867179436E-6</v>
      </c>
      <c r="E2913" t="str">
        <f t="shared" si="585"/>
        <v>2021-09</v>
      </c>
      <c r="G2913">
        <v>6684.72</v>
      </c>
      <c r="H2913">
        <f t="shared" si="592"/>
        <v>2.3708955728416596E-3</v>
      </c>
      <c r="I2913" t="str">
        <f t="shared" si="586"/>
        <v>2021-09</v>
      </c>
      <c r="K2913">
        <v>15623.15</v>
      </c>
      <c r="L2913">
        <f t="shared" si="593"/>
        <v>8.24117026430129E-4</v>
      </c>
      <c r="M2913" t="str">
        <f t="shared" si="587"/>
        <v>2021-09</v>
      </c>
      <c r="O2913">
        <v>8226.3757600000008</v>
      </c>
      <c r="P2913">
        <f t="shared" si="594"/>
        <v>-4.9759855069566525E-3</v>
      </c>
      <c r="Q2913" t="str">
        <f t="shared" si="588"/>
        <v>2021-09</v>
      </c>
      <c r="S2913">
        <v>8800.6</v>
      </c>
      <c r="T2913">
        <f t="shared" si="595"/>
        <v>-4.3199060337455516E-3</v>
      </c>
      <c r="U2913" t="str">
        <f t="shared" si="589"/>
        <v>2021-09</v>
      </c>
      <c r="W2913">
        <v>25909.83</v>
      </c>
      <c r="X2913">
        <f t="shared" si="596"/>
        <v>1.2721409829529852E-3</v>
      </c>
      <c r="Y2913">
        <f t="shared" si="597"/>
        <v>1.2729504975289661E-3</v>
      </c>
      <c r="Z2913" t="str">
        <f t="shared" si="590"/>
        <v>2021-09</v>
      </c>
    </row>
    <row r="2914" spans="1:26" x14ac:dyDescent="0.35">
      <c r="A2914" s="1">
        <v>44449</v>
      </c>
      <c r="C2914">
        <v>4170.3500000000004</v>
      </c>
      <c r="D2914">
        <f t="shared" si="591"/>
        <v>-1.6196547159928851E-3</v>
      </c>
      <c r="E2914" t="str">
        <f t="shared" si="585"/>
        <v>2021-09</v>
      </c>
      <c r="G2914">
        <v>6663.77</v>
      </c>
      <c r="H2914">
        <f t="shared" si="592"/>
        <v>-3.1389343965548392E-3</v>
      </c>
      <c r="I2914" t="str">
        <f t="shared" si="586"/>
        <v>2021-09</v>
      </c>
      <c r="K2914">
        <v>15609.81</v>
      </c>
      <c r="L2914">
        <f t="shared" si="593"/>
        <v>-8.5422584418417061E-4</v>
      </c>
      <c r="M2914" t="str">
        <f t="shared" si="587"/>
        <v>2021-09</v>
      </c>
      <c r="O2914">
        <v>8239.4903799999993</v>
      </c>
      <c r="P2914">
        <f t="shared" si="594"/>
        <v>1.5929466038003008E-3</v>
      </c>
      <c r="Q2914" t="str">
        <f t="shared" si="588"/>
        <v>2021-09</v>
      </c>
      <c r="S2914">
        <v>8695.2999999999993</v>
      </c>
      <c r="T2914">
        <f t="shared" si="595"/>
        <v>-1.2037251179328331E-2</v>
      </c>
      <c r="U2914" t="str">
        <f t="shared" si="589"/>
        <v>2021-09</v>
      </c>
      <c r="W2914">
        <v>25686.47</v>
      </c>
      <c r="X2914">
        <f t="shared" si="596"/>
        <v>-8.6580392502686107E-3</v>
      </c>
      <c r="Y2914">
        <f t="shared" si="597"/>
        <v>-8.6206663648507372E-3</v>
      </c>
      <c r="Z2914" t="str">
        <f t="shared" si="590"/>
        <v>2021-09</v>
      </c>
    </row>
    <row r="2915" spans="1:26" x14ac:dyDescent="0.35">
      <c r="A2915" s="1">
        <v>44452</v>
      </c>
      <c r="C2915">
        <v>4189.53</v>
      </c>
      <c r="D2915">
        <f t="shared" si="591"/>
        <v>4.5885906623440399E-3</v>
      </c>
      <c r="E2915" t="str">
        <f t="shared" si="585"/>
        <v>2021-09</v>
      </c>
      <c r="G2915">
        <v>6676.93</v>
      </c>
      <c r="H2915">
        <f t="shared" si="592"/>
        <v>1.9729106071852973E-3</v>
      </c>
      <c r="I2915" t="str">
        <f t="shared" si="586"/>
        <v>2021-09</v>
      </c>
      <c r="K2915">
        <v>15701.42</v>
      </c>
      <c r="L2915">
        <f t="shared" si="593"/>
        <v>5.8515913557071987E-3</v>
      </c>
      <c r="M2915" t="str">
        <f t="shared" si="587"/>
        <v>2021-09</v>
      </c>
      <c r="O2915">
        <v>8283.1199699999997</v>
      </c>
      <c r="P2915">
        <f t="shared" si="594"/>
        <v>5.2812104724961704E-3</v>
      </c>
      <c r="Q2915" t="str">
        <f t="shared" si="588"/>
        <v>2021-09</v>
      </c>
      <c r="S2915">
        <v>8816.1</v>
      </c>
      <c r="T2915">
        <f t="shared" si="595"/>
        <v>1.3796945560191599E-2</v>
      </c>
      <c r="U2915" t="str">
        <f t="shared" si="589"/>
        <v>2021-09</v>
      </c>
      <c r="W2915">
        <v>25925.73</v>
      </c>
      <c r="X2915">
        <f t="shared" si="596"/>
        <v>9.2715177387298342E-3</v>
      </c>
      <c r="Y2915">
        <f t="shared" si="597"/>
        <v>9.3146313993319584E-3</v>
      </c>
      <c r="Z2915" t="str">
        <f t="shared" si="590"/>
        <v>2021-09</v>
      </c>
    </row>
    <row r="2916" spans="1:26" x14ac:dyDescent="0.35">
      <c r="A2916" s="1">
        <v>44453</v>
      </c>
      <c r="C2916">
        <v>4191.67</v>
      </c>
      <c r="D2916">
        <f t="shared" si="591"/>
        <v>5.106667413988361E-4</v>
      </c>
      <c r="E2916" t="str">
        <f t="shared" si="585"/>
        <v>2021-09</v>
      </c>
      <c r="G2916">
        <v>6652.97</v>
      </c>
      <c r="H2916">
        <f t="shared" si="592"/>
        <v>-3.5949295649559407E-3</v>
      </c>
      <c r="I2916" t="str">
        <f t="shared" si="586"/>
        <v>2021-09</v>
      </c>
      <c r="K2916">
        <v>15722.99</v>
      </c>
      <c r="L2916">
        <f t="shared" si="593"/>
        <v>1.3728183528423845E-3</v>
      </c>
      <c r="M2916" t="str">
        <f t="shared" si="587"/>
        <v>2021-09</v>
      </c>
      <c r="O2916">
        <v>8240.1198600000007</v>
      </c>
      <c r="P2916">
        <f t="shared" si="594"/>
        <v>-5.204815461796272E-3</v>
      </c>
      <c r="Q2916" t="str">
        <f t="shared" si="588"/>
        <v>2021-09</v>
      </c>
      <c r="S2916">
        <v>8780</v>
      </c>
      <c r="T2916">
        <f t="shared" si="595"/>
        <v>-4.103187711906142E-3</v>
      </c>
      <c r="U2916" t="str">
        <f t="shared" si="589"/>
        <v>2021-09</v>
      </c>
      <c r="W2916">
        <v>26027.07</v>
      </c>
      <c r="X2916">
        <f t="shared" si="596"/>
        <v>3.9012383752175619E-3</v>
      </c>
      <c r="Y2916">
        <f t="shared" si="597"/>
        <v>3.9088581112277322E-3</v>
      </c>
      <c r="Z2916" t="str">
        <f t="shared" si="590"/>
        <v>2021-09</v>
      </c>
    </row>
    <row r="2917" spans="1:26" x14ac:dyDescent="0.35">
      <c r="A2917" s="1">
        <v>44454</v>
      </c>
      <c r="C2917">
        <v>4145.9399999999996</v>
      </c>
      <c r="D2917">
        <f t="shared" si="591"/>
        <v>-1.0969680417163646E-2</v>
      </c>
      <c r="E2917" t="str">
        <f t="shared" si="585"/>
        <v>2021-09</v>
      </c>
      <c r="G2917">
        <v>6583.62</v>
      </c>
      <c r="H2917">
        <f t="shared" si="592"/>
        <v>-1.0478625470840797E-2</v>
      </c>
      <c r="I2917" t="str">
        <f t="shared" si="586"/>
        <v>2021-09</v>
      </c>
      <c r="K2917">
        <v>15616</v>
      </c>
      <c r="L2917">
        <f t="shared" si="593"/>
        <v>-6.8279428062605514E-3</v>
      </c>
      <c r="M2917" t="str">
        <f t="shared" si="587"/>
        <v>2021-09</v>
      </c>
      <c r="O2917">
        <v>8218.9941699999999</v>
      </c>
      <c r="P2917">
        <f t="shared" si="594"/>
        <v>-2.5670520980156392E-3</v>
      </c>
      <c r="Q2917" t="str">
        <f t="shared" si="588"/>
        <v>2021-09</v>
      </c>
      <c r="S2917">
        <v>8635.4</v>
      </c>
      <c r="T2917">
        <f t="shared" si="595"/>
        <v>-1.6606374017617317E-2</v>
      </c>
      <c r="U2917" t="str">
        <f t="shared" si="589"/>
        <v>2021-09</v>
      </c>
      <c r="W2917">
        <v>25762.1</v>
      </c>
      <c r="X2917">
        <f t="shared" si="596"/>
        <v>-1.0232730590313908E-2</v>
      </c>
      <c r="Y2917">
        <f t="shared" si="597"/>
        <v>-1.0180554322864662E-2</v>
      </c>
      <c r="Z2917" t="str">
        <f t="shared" si="590"/>
        <v>2021-09</v>
      </c>
    </row>
    <row r="2918" spans="1:26" x14ac:dyDescent="0.35">
      <c r="A2918" s="1">
        <v>44455</v>
      </c>
      <c r="C2918">
        <v>4169.87</v>
      </c>
      <c r="D2918">
        <f t="shared" si="591"/>
        <v>5.7553181359642344E-3</v>
      </c>
      <c r="E2918" t="str">
        <f t="shared" si="585"/>
        <v>2021-09</v>
      </c>
      <c r="G2918">
        <v>6622.59</v>
      </c>
      <c r="H2918">
        <f t="shared" si="592"/>
        <v>5.9017860709262354E-3</v>
      </c>
      <c r="I2918" t="str">
        <f t="shared" si="586"/>
        <v>2021-09</v>
      </c>
      <c r="K2918">
        <v>15651.75</v>
      </c>
      <c r="L2918">
        <f t="shared" si="593"/>
        <v>2.2867021501759171E-3</v>
      </c>
      <c r="M2918" t="str">
        <f t="shared" si="587"/>
        <v>2021-09</v>
      </c>
      <c r="O2918">
        <v>8236.3738799999992</v>
      </c>
      <c r="P2918">
        <f t="shared" si="594"/>
        <v>2.1123461243230746E-3</v>
      </c>
      <c r="Q2918" t="str">
        <f t="shared" si="588"/>
        <v>2021-09</v>
      </c>
      <c r="S2918">
        <v>8733.7000000000007</v>
      </c>
      <c r="T2918">
        <f t="shared" si="595"/>
        <v>1.1319072321023756E-2</v>
      </c>
      <c r="U2918" t="str">
        <f t="shared" si="589"/>
        <v>2021-09</v>
      </c>
      <c r="W2918">
        <v>25963.93</v>
      </c>
      <c r="X2918">
        <f t="shared" si="596"/>
        <v>7.8038474743493402E-3</v>
      </c>
      <c r="Y2918">
        <f t="shared" si="597"/>
        <v>7.8343768559240804E-3</v>
      </c>
      <c r="Z2918" t="str">
        <f t="shared" si="590"/>
        <v>2021-09</v>
      </c>
    </row>
    <row r="2919" spans="1:26" x14ac:dyDescent="0.35">
      <c r="A2919" s="1">
        <v>44456</v>
      </c>
      <c r="C2919">
        <v>4130.84</v>
      </c>
      <c r="D2919">
        <f t="shared" si="591"/>
        <v>-9.4040841422632204E-3</v>
      </c>
      <c r="E2919" t="str">
        <f t="shared" si="585"/>
        <v>2021-09</v>
      </c>
      <c r="G2919">
        <v>6570.19</v>
      </c>
      <c r="H2919">
        <f t="shared" si="592"/>
        <v>-7.943780697066697E-3</v>
      </c>
      <c r="I2919" t="str">
        <f t="shared" si="586"/>
        <v>2021-09</v>
      </c>
      <c r="K2919">
        <v>15490.17</v>
      </c>
      <c r="L2919">
        <f t="shared" si="593"/>
        <v>-1.0377102629892167E-2</v>
      </c>
      <c r="M2919" t="str">
        <f t="shared" si="587"/>
        <v>2021-09</v>
      </c>
      <c r="O2919">
        <v>8163.8375500000002</v>
      </c>
      <c r="P2919">
        <f t="shared" si="594"/>
        <v>-8.8458375429248514E-3</v>
      </c>
      <c r="Q2919" t="str">
        <f t="shared" si="588"/>
        <v>2021-09</v>
      </c>
      <c r="S2919">
        <v>8760.9</v>
      </c>
      <c r="T2919">
        <f t="shared" si="595"/>
        <v>3.1095334465314323E-3</v>
      </c>
      <c r="U2919" t="str">
        <f t="shared" si="589"/>
        <v>2021-09</v>
      </c>
      <c r="W2919">
        <v>25709.56</v>
      </c>
      <c r="X2919">
        <f t="shared" si="596"/>
        <v>-9.8453599590018273E-3</v>
      </c>
      <c r="Y2919">
        <f t="shared" si="597"/>
        <v>-9.7970530655412721E-3</v>
      </c>
      <c r="Z2919" t="str">
        <f t="shared" si="590"/>
        <v>2021-09</v>
      </c>
    </row>
    <row r="2920" spans="1:26" x14ac:dyDescent="0.35">
      <c r="A2920" s="1">
        <v>44459</v>
      </c>
      <c r="C2920">
        <v>4043.63</v>
      </c>
      <c r="D2920">
        <f t="shared" si="591"/>
        <v>-2.133797272083152E-2</v>
      </c>
      <c r="E2920" t="str">
        <f t="shared" si="585"/>
        <v>2021-09</v>
      </c>
      <c r="G2920">
        <v>6455.81</v>
      </c>
      <c r="H2920">
        <f t="shared" si="592"/>
        <v>-1.7562250861683771E-2</v>
      </c>
      <c r="I2920" t="str">
        <f t="shared" si="586"/>
        <v>2021-09</v>
      </c>
      <c r="K2920">
        <v>15132.06</v>
      </c>
      <c r="L2920">
        <f t="shared" si="593"/>
        <v>-2.3389957321040773E-2</v>
      </c>
      <c r="M2920" t="str">
        <f t="shared" si="587"/>
        <v>2021-09</v>
      </c>
      <c r="O2920">
        <v>8035.9109399999998</v>
      </c>
      <c r="P2920">
        <f t="shared" si="594"/>
        <v>-1.5793982152371999E-2</v>
      </c>
      <c r="Q2920" t="str">
        <f t="shared" si="588"/>
        <v>2021-09</v>
      </c>
      <c r="S2920">
        <v>8655.4</v>
      </c>
      <c r="T2920">
        <f t="shared" si="595"/>
        <v>-1.2115235776639009E-2</v>
      </c>
      <c r="U2920" t="str">
        <f t="shared" si="589"/>
        <v>2021-09</v>
      </c>
      <c r="W2920">
        <v>25048.26</v>
      </c>
      <c r="X2920">
        <f t="shared" si="596"/>
        <v>-2.6058543127417177E-2</v>
      </c>
      <c r="Y2920">
        <f t="shared" si="597"/>
        <v>-2.5721949344913054E-2</v>
      </c>
      <c r="Z2920" t="str">
        <f t="shared" si="590"/>
        <v>2021-09</v>
      </c>
    </row>
    <row r="2921" spans="1:26" x14ac:dyDescent="0.35">
      <c r="A2921" s="1">
        <v>44460</v>
      </c>
      <c r="C2921">
        <v>4097.51</v>
      </c>
      <c r="D2921">
        <f t="shared" si="591"/>
        <v>1.3236668743666469E-2</v>
      </c>
      <c r="E2921" t="str">
        <f t="shared" si="585"/>
        <v>2021-09</v>
      </c>
      <c r="G2921">
        <v>6552.73</v>
      </c>
      <c r="H2921">
        <f t="shared" si="592"/>
        <v>1.4901256158874079E-2</v>
      </c>
      <c r="I2921" t="str">
        <f t="shared" si="586"/>
        <v>2021-09</v>
      </c>
      <c r="K2921">
        <v>15348.53</v>
      </c>
      <c r="L2921">
        <f t="shared" si="593"/>
        <v>1.4204032105108138E-2</v>
      </c>
      <c r="M2921" t="str">
        <f t="shared" si="587"/>
        <v>2021-09</v>
      </c>
      <c r="O2921">
        <v>8132.1750300000003</v>
      </c>
      <c r="P2921">
        <f t="shared" si="594"/>
        <v>1.190805488179672E-2</v>
      </c>
      <c r="Q2921" t="str">
        <f t="shared" si="588"/>
        <v>2021-09</v>
      </c>
      <c r="S2921">
        <v>8756</v>
      </c>
      <c r="T2921">
        <f t="shared" si="595"/>
        <v>1.155577604029223E-2</v>
      </c>
      <c r="U2921" t="str">
        <f t="shared" si="589"/>
        <v>2021-09</v>
      </c>
      <c r="W2921">
        <v>25353.360000000001</v>
      </c>
      <c r="X2921">
        <f t="shared" si="596"/>
        <v>1.2106901592163337E-2</v>
      </c>
      <c r="Y2921">
        <f t="shared" si="597"/>
        <v>1.2180486788303945E-2</v>
      </c>
      <c r="Z2921" t="str">
        <f t="shared" si="590"/>
        <v>2021-09</v>
      </c>
    </row>
    <row r="2922" spans="1:26" x14ac:dyDescent="0.35">
      <c r="A2922" s="1">
        <v>44461</v>
      </c>
      <c r="C2922">
        <v>4150.1899999999996</v>
      </c>
      <c r="D2922">
        <f t="shared" si="591"/>
        <v>1.2774644181743965E-2</v>
      </c>
      <c r="E2922" t="str">
        <f t="shared" si="585"/>
        <v>2021-09</v>
      </c>
      <c r="G2922">
        <v>6637</v>
      </c>
      <c r="H2922">
        <f t="shared" si="592"/>
        <v>1.2778297457945204E-2</v>
      </c>
      <c r="I2922" t="str">
        <f t="shared" si="586"/>
        <v>2021-09</v>
      </c>
      <c r="K2922">
        <v>15506.74</v>
      </c>
      <c r="L2922">
        <f t="shared" si="593"/>
        <v>1.0255064144837001E-2</v>
      </c>
      <c r="M2922" t="str">
        <f t="shared" si="587"/>
        <v>2021-09</v>
      </c>
      <c r="O2922">
        <v>8241.0950699999994</v>
      </c>
      <c r="P2922">
        <f t="shared" si="594"/>
        <v>1.3304812791138411E-2</v>
      </c>
      <c r="Q2922" t="str">
        <f t="shared" si="588"/>
        <v>2021-09</v>
      </c>
      <c r="S2922">
        <v>8808.4</v>
      </c>
      <c r="T2922">
        <f t="shared" si="595"/>
        <v>5.9666319892835518E-3</v>
      </c>
      <c r="U2922" t="str">
        <f t="shared" si="589"/>
        <v>2021-09</v>
      </c>
      <c r="W2922">
        <v>25717.46</v>
      </c>
      <c r="X2922">
        <f t="shared" si="596"/>
        <v>1.42588730280426E-2</v>
      </c>
      <c r="Y2922">
        <f t="shared" si="597"/>
        <v>1.4361015660251679E-2</v>
      </c>
      <c r="Z2922" t="str">
        <f t="shared" si="590"/>
        <v>2021-09</v>
      </c>
    </row>
    <row r="2923" spans="1:26" x14ac:dyDescent="0.35">
      <c r="A2923" s="1">
        <v>44462</v>
      </c>
      <c r="C2923">
        <v>4194.92</v>
      </c>
      <c r="D2923">
        <f t="shared" si="591"/>
        <v>1.0720153088395617E-2</v>
      </c>
      <c r="E2923" t="str">
        <f t="shared" si="585"/>
        <v>2021-09</v>
      </c>
      <c r="G2923">
        <v>6701.98</v>
      </c>
      <c r="H2923">
        <f t="shared" si="592"/>
        <v>9.7429509630522337E-3</v>
      </c>
      <c r="I2923" t="str">
        <f t="shared" si="586"/>
        <v>2021-09</v>
      </c>
      <c r="K2923">
        <v>15643.97</v>
      </c>
      <c r="L2923">
        <f t="shared" si="593"/>
        <v>8.8107711033886364E-3</v>
      </c>
      <c r="M2923" t="str">
        <f t="shared" si="587"/>
        <v>2021-09</v>
      </c>
      <c r="O2923">
        <v>8284.3937999999998</v>
      </c>
      <c r="P2923">
        <f t="shared" si="594"/>
        <v>5.2402478889686755E-3</v>
      </c>
      <c r="Q2923" t="str">
        <f t="shared" si="588"/>
        <v>2021-09</v>
      </c>
      <c r="S2923">
        <v>8876.9</v>
      </c>
      <c r="T2923">
        <f t="shared" si="595"/>
        <v>7.7465853058038478E-3</v>
      </c>
      <c r="U2923" t="str">
        <f t="shared" si="589"/>
        <v>2021-09</v>
      </c>
      <c r="W2923">
        <v>26081.13</v>
      </c>
      <c r="X2923">
        <f t="shared" si="596"/>
        <v>1.4041925679967756E-2</v>
      </c>
      <c r="Y2923">
        <f t="shared" si="597"/>
        <v>1.4140976597222351E-2</v>
      </c>
      <c r="Z2923" t="str">
        <f t="shared" si="590"/>
        <v>2021-09</v>
      </c>
    </row>
    <row r="2924" spans="1:26" x14ac:dyDescent="0.35">
      <c r="A2924" s="1">
        <v>44463</v>
      </c>
      <c r="C2924">
        <v>4158.51</v>
      </c>
      <c r="D2924">
        <f t="shared" si="591"/>
        <v>-8.7174323785651538E-3</v>
      </c>
      <c r="E2924" t="str">
        <f t="shared" si="585"/>
        <v>2021-09</v>
      </c>
      <c r="G2924">
        <v>6638.46</v>
      </c>
      <c r="H2924">
        <f t="shared" si="592"/>
        <v>-9.5229962487318014E-3</v>
      </c>
      <c r="I2924" t="str">
        <f t="shared" si="586"/>
        <v>2021-09</v>
      </c>
      <c r="K2924">
        <v>15531.75</v>
      </c>
      <c r="L2924">
        <f t="shared" si="593"/>
        <v>-7.1992232856460201E-3</v>
      </c>
      <c r="M2924" t="str">
        <f t="shared" si="587"/>
        <v>2021-09</v>
      </c>
      <c r="O2924">
        <v>8233.5478299999995</v>
      </c>
      <c r="P2924">
        <f t="shared" si="594"/>
        <v>-6.1564729718167543E-3</v>
      </c>
      <c r="Q2924" t="str">
        <f t="shared" si="588"/>
        <v>2021-09</v>
      </c>
      <c r="S2924">
        <v>8873.1</v>
      </c>
      <c r="T2924">
        <f t="shared" si="595"/>
        <v>-4.2816902062569776E-4</v>
      </c>
      <c r="U2924" t="str">
        <f t="shared" si="589"/>
        <v>2021-09</v>
      </c>
      <c r="W2924">
        <v>25968.84</v>
      </c>
      <c r="X2924">
        <f t="shared" si="596"/>
        <v>-4.3147065869836281E-3</v>
      </c>
      <c r="Y2924">
        <f t="shared" si="597"/>
        <v>-4.3054116136839495E-3</v>
      </c>
      <c r="Z2924" t="str">
        <f t="shared" si="590"/>
        <v>2021-09</v>
      </c>
    </row>
    <row r="2925" spans="1:26" x14ac:dyDescent="0.35">
      <c r="A2925" s="1">
        <v>44466</v>
      </c>
      <c r="C2925">
        <v>4165.4799999999996</v>
      </c>
      <c r="D2925">
        <f t="shared" si="591"/>
        <v>1.6746780399720504E-3</v>
      </c>
      <c r="E2925" t="str">
        <f t="shared" si="585"/>
        <v>2021-09</v>
      </c>
      <c r="G2925">
        <v>6650.91</v>
      </c>
      <c r="H2925">
        <f t="shared" si="592"/>
        <v>1.873678532890671E-3</v>
      </c>
      <c r="I2925" t="str">
        <f t="shared" si="586"/>
        <v>2021-09</v>
      </c>
      <c r="K2925">
        <v>15573.88</v>
      </c>
      <c r="L2925">
        <f t="shared" si="593"/>
        <v>2.708836037833924E-3</v>
      </c>
      <c r="M2925" t="str">
        <f t="shared" si="587"/>
        <v>2021-09</v>
      </c>
      <c r="O2925">
        <v>8273.0268699999997</v>
      </c>
      <c r="P2925">
        <f t="shared" si="594"/>
        <v>4.7834412644863003E-3</v>
      </c>
      <c r="Q2925" t="str">
        <f t="shared" si="588"/>
        <v>2021-09</v>
      </c>
      <c r="S2925">
        <v>9002.9</v>
      </c>
      <c r="T2925">
        <f t="shared" si="595"/>
        <v>1.4522519720932429E-2</v>
      </c>
      <c r="U2925" t="str">
        <f t="shared" si="589"/>
        <v>2021-09</v>
      </c>
      <c r="W2925">
        <v>26132.240000000002</v>
      </c>
      <c r="X2925">
        <f t="shared" si="596"/>
        <v>6.2724433246908948E-3</v>
      </c>
      <c r="Y2925">
        <f t="shared" si="597"/>
        <v>6.2921562919253018E-3</v>
      </c>
      <c r="Z2925" t="str">
        <f t="shared" si="590"/>
        <v>2021-09</v>
      </c>
    </row>
    <row r="2926" spans="1:26" x14ac:dyDescent="0.35">
      <c r="A2926" s="1">
        <v>44467</v>
      </c>
      <c r="C2926">
        <v>4058.82</v>
      </c>
      <c r="D2926">
        <f t="shared" si="591"/>
        <v>-2.5939224101476015E-2</v>
      </c>
      <c r="E2926" t="str">
        <f t="shared" si="585"/>
        <v>2021-09</v>
      </c>
      <c r="G2926">
        <v>6506.5</v>
      </c>
      <c r="H2926">
        <f t="shared" si="592"/>
        <v>-2.1952010176324102E-2</v>
      </c>
      <c r="I2926" t="str">
        <f t="shared" si="586"/>
        <v>2021-09</v>
      </c>
      <c r="K2926">
        <v>15248.56</v>
      </c>
      <c r="L2926">
        <f t="shared" si="593"/>
        <v>-2.1110079610025864E-2</v>
      </c>
      <c r="M2926" t="str">
        <f t="shared" si="587"/>
        <v>2021-09</v>
      </c>
      <c r="O2926">
        <v>8139.8898300000001</v>
      </c>
      <c r="P2926">
        <f t="shared" si="594"/>
        <v>-1.6223802592851465E-2</v>
      </c>
      <c r="Q2926" t="str">
        <f t="shared" si="588"/>
        <v>2021-09</v>
      </c>
      <c r="S2926">
        <v>8769.4</v>
      </c>
      <c r="T2926">
        <f t="shared" si="595"/>
        <v>-2.6278358663646497E-2</v>
      </c>
      <c r="U2926" t="str">
        <f t="shared" si="589"/>
        <v>2021-09</v>
      </c>
      <c r="W2926">
        <v>25573.25</v>
      </c>
      <c r="X2926">
        <f t="shared" si="596"/>
        <v>-2.1622917779325443E-2</v>
      </c>
      <c r="Y2926">
        <f t="shared" si="597"/>
        <v>-2.1390818391381742E-2</v>
      </c>
      <c r="Z2926" t="str">
        <f t="shared" si="590"/>
        <v>2021-09</v>
      </c>
    </row>
    <row r="2927" spans="1:26" x14ac:dyDescent="0.35">
      <c r="A2927" s="1">
        <v>44468</v>
      </c>
      <c r="C2927">
        <v>4080.22</v>
      </c>
      <c r="D2927">
        <f t="shared" si="591"/>
        <v>5.2586175555342628E-3</v>
      </c>
      <c r="E2927" t="str">
        <f t="shared" si="585"/>
        <v>2021-09</v>
      </c>
      <c r="G2927">
        <v>6560.8</v>
      </c>
      <c r="H2927">
        <f t="shared" si="592"/>
        <v>8.3108695053894285E-3</v>
      </c>
      <c r="I2927" t="str">
        <f t="shared" si="586"/>
        <v>2021-09</v>
      </c>
      <c r="K2927">
        <v>15365.27</v>
      </c>
      <c r="L2927">
        <f t="shared" si="593"/>
        <v>7.6246954673959482E-3</v>
      </c>
      <c r="M2927" t="str">
        <f t="shared" si="587"/>
        <v>2021-09</v>
      </c>
      <c r="O2927">
        <v>8225.7605399999993</v>
      </c>
      <c r="P2927">
        <f t="shared" si="594"/>
        <v>1.0494113721115186E-2</v>
      </c>
      <c r="Q2927" t="str">
        <f t="shared" si="588"/>
        <v>2021-09</v>
      </c>
      <c r="S2927">
        <v>8879.4</v>
      </c>
      <c r="T2927">
        <f t="shared" si="595"/>
        <v>1.2465598161356204E-2</v>
      </c>
      <c r="U2927" t="str">
        <f t="shared" si="589"/>
        <v>2021-09</v>
      </c>
      <c r="W2927">
        <v>25736.85</v>
      </c>
      <c r="X2927">
        <f t="shared" si="596"/>
        <v>6.3769337577980947E-3</v>
      </c>
      <c r="Y2927">
        <f t="shared" si="597"/>
        <v>6.3973096888349564E-3</v>
      </c>
      <c r="Z2927" t="str">
        <f t="shared" si="590"/>
        <v>2021-09</v>
      </c>
    </row>
    <row r="2928" spans="1:26" x14ac:dyDescent="0.35">
      <c r="A2928" s="1">
        <v>44469</v>
      </c>
      <c r="C2928">
        <v>4048.08</v>
      </c>
      <c r="D2928">
        <f t="shared" si="591"/>
        <v>-7.9082138952504284E-3</v>
      </c>
      <c r="E2928" t="str">
        <f t="shared" si="585"/>
        <v>2021-09</v>
      </c>
      <c r="G2928">
        <v>6520.01</v>
      </c>
      <c r="H2928">
        <f t="shared" si="592"/>
        <v>-6.2366370603476849E-3</v>
      </c>
      <c r="I2928" t="str">
        <f t="shared" si="586"/>
        <v>2021-09</v>
      </c>
      <c r="K2928">
        <v>15260.69</v>
      </c>
      <c r="L2928">
        <f t="shared" si="593"/>
        <v>-6.8295267471458372E-3</v>
      </c>
      <c r="M2928" t="str">
        <f t="shared" si="587"/>
        <v>2021-09</v>
      </c>
      <c r="O2928">
        <v>8243.9114699999991</v>
      </c>
      <c r="P2928">
        <f t="shared" si="594"/>
        <v>2.2041650055447419E-3</v>
      </c>
      <c r="Q2928" t="str">
        <f t="shared" si="588"/>
        <v>2021-09</v>
      </c>
      <c r="S2928">
        <v>8796.2999999999993</v>
      </c>
      <c r="T2928">
        <f t="shared" si="595"/>
        <v>-9.4028086308104303E-3</v>
      </c>
      <c r="U2928" t="str">
        <f t="shared" si="589"/>
        <v>2021-09</v>
      </c>
      <c r="W2928">
        <v>25683.81</v>
      </c>
      <c r="X2928">
        <f t="shared" si="596"/>
        <v>-2.0629847540308026E-3</v>
      </c>
      <c r="Y2928">
        <f t="shared" si="597"/>
        <v>-2.0608582635403025E-3</v>
      </c>
      <c r="Z2928" t="str">
        <f t="shared" si="590"/>
        <v>2021-09</v>
      </c>
    </row>
    <row r="2929" spans="1:26" x14ac:dyDescent="0.35">
      <c r="A2929" s="1">
        <v>44470</v>
      </c>
      <c r="C2929">
        <v>4035.3</v>
      </c>
      <c r="D2929">
        <f t="shared" si="591"/>
        <v>-3.1620462352231534E-3</v>
      </c>
      <c r="E2929" t="str">
        <f t="shared" si="585"/>
        <v>2021-10</v>
      </c>
      <c r="G2929">
        <v>6517.69</v>
      </c>
      <c r="H2929">
        <f t="shared" si="592"/>
        <v>-3.5589099679970369E-4</v>
      </c>
      <c r="I2929" t="str">
        <f t="shared" si="586"/>
        <v>2021-10</v>
      </c>
      <c r="K2929">
        <v>15156.44</v>
      </c>
      <c r="L2929">
        <f t="shared" si="593"/>
        <v>-6.8547169440704783E-3</v>
      </c>
      <c r="M2929" t="str">
        <f t="shared" si="587"/>
        <v>2021-10</v>
      </c>
      <c r="O2929">
        <v>8217.1334200000001</v>
      </c>
      <c r="P2929">
        <f t="shared" si="594"/>
        <v>-3.2535083647625479E-3</v>
      </c>
      <c r="Q2929" t="str">
        <f t="shared" si="588"/>
        <v>2021-10</v>
      </c>
      <c r="S2929">
        <v>8799.5</v>
      </c>
      <c r="T2929">
        <f t="shared" si="595"/>
        <v>3.6372316521878059E-4</v>
      </c>
      <c r="U2929" t="str">
        <f t="shared" si="589"/>
        <v>2021-10</v>
      </c>
      <c r="W2929">
        <v>25615.31</v>
      </c>
      <c r="X2929">
        <f t="shared" si="596"/>
        <v>-2.6706127010682661E-3</v>
      </c>
      <c r="Y2929">
        <f t="shared" si="597"/>
        <v>-2.66704978739525E-3</v>
      </c>
      <c r="Z2929" t="str">
        <f t="shared" si="590"/>
        <v>2021-10</v>
      </c>
    </row>
    <row r="2930" spans="1:26" x14ac:dyDescent="0.35">
      <c r="A2930" s="1">
        <v>44473</v>
      </c>
      <c r="C2930">
        <v>3996.41</v>
      </c>
      <c r="D2930">
        <f t="shared" si="591"/>
        <v>-9.684190274885934E-3</v>
      </c>
      <c r="E2930" t="str">
        <f t="shared" si="585"/>
        <v>2021-10</v>
      </c>
      <c r="G2930">
        <v>6477.66</v>
      </c>
      <c r="H2930">
        <f t="shared" si="592"/>
        <v>-6.160684646162832E-3</v>
      </c>
      <c r="I2930" t="str">
        <f t="shared" si="586"/>
        <v>2021-10</v>
      </c>
      <c r="K2930">
        <v>15036.55</v>
      </c>
      <c r="L2930">
        <f t="shared" si="593"/>
        <v>-7.941620231353216E-3</v>
      </c>
      <c r="M2930" t="str">
        <f t="shared" si="587"/>
        <v>2021-10</v>
      </c>
      <c r="O2930">
        <v>8211.1906400000007</v>
      </c>
      <c r="P2930">
        <f t="shared" si="594"/>
        <v>-7.2347979471436502E-4</v>
      </c>
      <c r="Q2930" t="str">
        <f t="shared" si="588"/>
        <v>2021-10</v>
      </c>
      <c r="S2930">
        <v>8791.7000000000007</v>
      </c>
      <c r="T2930">
        <f t="shared" si="595"/>
        <v>-8.8680709800084733E-4</v>
      </c>
      <c r="U2930" t="str">
        <f t="shared" si="589"/>
        <v>2021-10</v>
      </c>
      <c r="W2930">
        <v>25460.799999999999</v>
      </c>
      <c r="X2930">
        <f t="shared" si="596"/>
        <v>-6.0502051279693134E-3</v>
      </c>
      <c r="Y2930">
        <f t="shared" si="597"/>
        <v>-6.0319394924364389E-3</v>
      </c>
      <c r="Z2930" t="str">
        <f t="shared" si="590"/>
        <v>2021-10</v>
      </c>
    </row>
    <row r="2931" spans="1:26" x14ac:dyDescent="0.35">
      <c r="A2931" s="1">
        <v>44474</v>
      </c>
      <c r="C2931">
        <v>4065.43</v>
      </c>
      <c r="D2931">
        <f t="shared" si="591"/>
        <v>1.7123060337540234E-2</v>
      </c>
      <c r="E2931" t="str">
        <f t="shared" si="585"/>
        <v>2021-10</v>
      </c>
      <c r="G2931">
        <v>6576.28</v>
      </c>
      <c r="H2931">
        <f t="shared" si="592"/>
        <v>1.5109901886087339E-2</v>
      </c>
      <c r="I2931" t="str">
        <f t="shared" si="586"/>
        <v>2021-10</v>
      </c>
      <c r="K2931">
        <v>15194.49</v>
      </c>
      <c r="L2931">
        <f t="shared" si="593"/>
        <v>1.0448958222921363E-2</v>
      </c>
      <c r="M2931" t="str">
        <f t="shared" si="587"/>
        <v>2021-10</v>
      </c>
      <c r="O2931">
        <v>8319.3277199999993</v>
      </c>
      <c r="P2931">
        <f t="shared" si="594"/>
        <v>1.3083512591766183E-2</v>
      </c>
      <c r="Q2931" t="str">
        <f t="shared" si="588"/>
        <v>2021-10</v>
      </c>
      <c r="S2931">
        <v>8927.4</v>
      </c>
      <c r="T2931">
        <f t="shared" si="595"/>
        <v>1.5317104489441957E-2</v>
      </c>
      <c r="U2931" t="str">
        <f t="shared" si="589"/>
        <v>2021-10</v>
      </c>
      <c r="W2931">
        <v>25956.02</v>
      </c>
      <c r="X2931">
        <f t="shared" si="596"/>
        <v>1.9263552819594004E-2</v>
      </c>
      <c r="Y2931">
        <f t="shared" si="597"/>
        <v>1.9450292213913201E-2</v>
      </c>
      <c r="Z2931" t="str">
        <f t="shared" si="590"/>
        <v>2021-10</v>
      </c>
    </row>
    <row r="2932" spans="1:26" x14ac:dyDescent="0.35">
      <c r="A2932" s="1">
        <v>44475</v>
      </c>
      <c r="C2932">
        <v>4012.65</v>
      </c>
      <c r="D2932">
        <f t="shared" si="591"/>
        <v>-1.3067647528192059E-2</v>
      </c>
      <c r="E2932" t="str">
        <f t="shared" si="585"/>
        <v>2021-10</v>
      </c>
      <c r="G2932">
        <v>6493.12</v>
      </c>
      <c r="H2932">
        <f t="shared" si="592"/>
        <v>-1.272608112571901E-2</v>
      </c>
      <c r="I2932" t="str">
        <f t="shared" si="586"/>
        <v>2021-10</v>
      </c>
      <c r="K2932">
        <v>14973.33</v>
      </c>
      <c r="L2932">
        <f t="shared" si="593"/>
        <v>-1.4662243549102725E-2</v>
      </c>
      <c r="M2932" t="str">
        <f t="shared" si="587"/>
        <v>2021-10</v>
      </c>
      <c r="O2932">
        <v>8214.6774700000005</v>
      </c>
      <c r="P2932">
        <f t="shared" si="594"/>
        <v>-1.2658959073008536E-2</v>
      </c>
      <c r="Q2932" t="str">
        <f t="shared" si="588"/>
        <v>2021-10</v>
      </c>
      <c r="S2932">
        <v>8775</v>
      </c>
      <c r="T2932">
        <f t="shared" si="595"/>
        <v>-1.7218429727640049E-2</v>
      </c>
      <c r="U2932" t="str">
        <f t="shared" si="589"/>
        <v>2021-10</v>
      </c>
      <c r="W2932">
        <v>25605.73</v>
      </c>
      <c r="X2932">
        <f t="shared" si="596"/>
        <v>-1.3587412728637102E-2</v>
      </c>
      <c r="Y2932">
        <f t="shared" si="597"/>
        <v>-1.3495520499676023E-2</v>
      </c>
      <c r="Z2932" t="str">
        <f t="shared" si="590"/>
        <v>2021-10</v>
      </c>
    </row>
    <row r="2933" spans="1:26" x14ac:dyDescent="0.35">
      <c r="A2933" s="1">
        <v>44476</v>
      </c>
      <c r="C2933">
        <v>4098.34</v>
      </c>
      <c r="D2933">
        <f t="shared" si="591"/>
        <v>2.1130142741263607E-2</v>
      </c>
      <c r="E2933" t="str">
        <f t="shared" si="585"/>
        <v>2021-10</v>
      </c>
      <c r="G2933">
        <v>6600.19</v>
      </c>
      <c r="H2933">
        <f t="shared" si="592"/>
        <v>1.6355281699682346E-2</v>
      </c>
      <c r="I2933" t="str">
        <f t="shared" si="586"/>
        <v>2021-10</v>
      </c>
      <c r="K2933">
        <v>15250.86</v>
      </c>
      <c r="L2933">
        <f t="shared" si="593"/>
        <v>1.836527632187275E-2</v>
      </c>
      <c r="M2933" t="str">
        <f t="shared" si="587"/>
        <v>2021-10</v>
      </c>
      <c r="O2933">
        <v>8343.4632099999999</v>
      </c>
      <c r="P2933">
        <f t="shared" si="594"/>
        <v>1.5555893563827666E-2</v>
      </c>
      <c r="Q2933" t="str">
        <f t="shared" si="588"/>
        <v>2021-10</v>
      </c>
      <c r="S2933">
        <v>8962.7999999999993</v>
      </c>
      <c r="T2933">
        <f t="shared" si="595"/>
        <v>2.1175908816954716E-2</v>
      </c>
      <c r="U2933" t="str">
        <f t="shared" si="589"/>
        <v>2021-10</v>
      </c>
      <c r="W2933">
        <v>25992.29</v>
      </c>
      <c r="X2933">
        <f t="shared" si="596"/>
        <v>1.4983801018980763E-2</v>
      </c>
      <c r="Y2933">
        <f t="shared" si="597"/>
        <v>1.509662095163861E-2</v>
      </c>
      <c r="Z2933" t="str">
        <f t="shared" si="590"/>
        <v>2021-10</v>
      </c>
    </row>
    <row r="2934" spans="1:26" x14ac:dyDescent="0.35">
      <c r="A2934" s="1">
        <v>44477</v>
      </c>
      <c r="C2934">
        <v>4073.29</v>
      </c>
      <c r="D2934">
        <f t="shared" si="591"/>
        <v>-6.1309869553542121E-3</v>
      </c>
      <c r="E2934" t="str">
        <f t="shared" si="585"/>
        <v>2021-10</v>
      </c>
      <c r="G2934">
        <v>6559.99</v>
      </c>
      <c r="H2934">
        <f t="shared" si="592"/>
        <v>-6.1093579322127733E-3</v>
      </c>
      <c r="I2934" t="str">
        <f t="shared" si="586"/>
        <v>2021-10</v>
      </c>
      <c r="K2934">
        <v>15206.13</v>
      </c>
      <c r="L2934">
        <f t="shared" si="593"/>
        <v>-2.9372588794208147E-3</v>
      </c>
      <c r="M2934" t="str">
        <f t="shared" si="587"/>
        <v>2021-10</v>
      </c>
      <c r="O2934">
        <v>8355.2494200000001</v>
      </c>
      <c r="P2934">
        <f t="shared" si="594"/>
        <v>1.4116312099444858E-3</v>
      </c>
      <c r="Q2934" t="str">
        <f t="shared" si="588"/>
        <v>2021-10</v>
      </c>
      <c r="S2934">
        <v>8955</v>
      </c>
      <c r="T2934">
        <f t="shared" si="595"/>
        <v>-8.7064265620906075E-4</v>
      </c>
      <c r="U2934" t="str">
        <f t="shared" si="589"/>
        <v>2021-10</v>
      </c>
      <c r="W2934">
        <v>26051.01</v>
      </c>
      <c r="X2934">
        <f t="shared" si="596"/>
        <v>2.2565834571472809E-3</v>
      </c>
      <c r="Y2934">
        <f t="shared" si="597"/>
        <v>2.2591314578283609E-3</v>
      </c>
      <c r="Z2934" t="str">
        <f t="shared" si="590"/>
        <v>2021-10</v>
      </c>
    </row>
    <row r="2935" spans="1:26" x14ac:dyDescent="0.35">
      <c r="A2935" s="1">
        <v>44480</v>
      </c>
      <c r="C2935">
        <v>4072.52</v>
      </c>
      <c r="D2935">
        <f t="shared" si="591"/>
        <v>-1.8905425053941918E-4</v>
      </c>
      <c r="E2935" t="str">
        <f t="shared" si="585"/>
        <v>2021-10</v>
      </c>
      <c r="G2935">
        <v>6570.54</v>
      </c>
      <c r="H2935">
        <f t="shared" si="592"/>
        <v>1.6069423351899549E-3</v>
      </c>
      <c r="I2935" t="str">
        <f t="shared" si="586"/>
        <v>2021-10</v>
      </c>
      <c r="K2935">
        <v>15199.14</v>
      </c>
      <c r="L2935">
        <f t="shared" si="593"/>
        <v>-4.5978872235922228E-4</v>
      </c>
      <c r="M2935" t="str">
        <f t="shared" si="587"/>
        <v>2021-10</v>
      </c>
      <c r="O2935">
        <v>8412.0581600000005</v>
      </c>
      <c r="P2935">
        <f t="shared" si="594"/>
        <v>6.7761573644933033E-3</v>
      </c>
      <c r="Q2935" t="str">
        <f t="shared" si="588"/>
        <v>2021-10</v>
      </c>
      <c r="S2935">
        <v>8899</v>
      </c>
      <c r="T2935">
        <f t="shared" si="595"/>
        <v>-6.2731246379499738E-3</v>
      </c>
      <c r="U2935" t="str">
        <f t="shared" si="589"/>
        <v>2021-10</v>
      </c>
      <c r="W2935">
        <v>25930.46</v>
      </c>
      <c r="X2935">
        <f t="shared" si="596"/>
        <v>-4.6381995782297679E-3</v>
      </c>
      <c r="Y2935">
        <f t="shared" si="597"/>
        <v>-4.6274597414840838E-3</v>
      </c>
      <c r="Z2935" t="str">
        <f t="shared" si="590"/>
        <v>2021-10</v>
      </c>
    </row>
    <row r="2936" spans="1:26" x14ac:dyDescent="0.35">
      <c r="A2936" s="1">
        <v>44481</v>
      </c>
      <c r="C2936">
        <v>4055.09</v>
      </c>
      <c r="D2936">
        <f t="shared" si="591"/>
        <v>-4.2890903280574117E-3</v>
      </c>
      <c r="E2936" t="str">
        <f t="shared" si="585"/>
        <v>2021-10</v>
      </c>
      <c r="G2936">
        <v>6548.11</v>
      </c>
      <c r="H2936">
        <f t="shared" si="592"/>
        <v>-3.419562509392913E-3</v>
      </c>
      <c r="I2936" t="str">
        <f t="shared" si="586"/>
        <v>2021-10</v>
      </c>
      <c r="K2936">
        <v>15146.87</v>
      </c>
      <c r="L2936">
        <f t="shared" si="593"/>
        <v>-3.4449373537573241E-3</v>
      </c>
      <c r="M2936" t="str">
        <f t="shared" si="587"/>
        <v>2021-10</v>
      </c>
      <c r="O2936">
        <v>8403.7504300000001</v>
      </c>
      <c r="P2936">
        <f t="shared" si="594"/>
        <v>-9.8808578028810419E-4</v>
      </c>
      <c r="Q2936" t="str">
        <f t="shared" si="588"/>
        <v>2021-10</v>
      </c>
      <c r="S2936">
        <v>8935.9</v>
      </c>
      <c r="T2936">
        <f t="shared" si="595"/>
        <v>4.1379601402116856E-3</v>
      </c>
      <c r="U2936" t="str">
        <f t="shared" si="589"/>
        <v>2021-10</v>
      </c>
      <c r="W2936">
        <v>25990.02</v>
      </c>
      <c r="X2936">
        <f t="shared" si="596"/>
        <v>2.2942787172064794E-3</v>
      </c>
      <c r="Y2936">
        <f t="shared" si="597"/>
        <v>2.2969125885156419E-3</v>
      </c>
      <c r="Z2936" t="str">
        <f t="shared" si="590"/>
        <v>2021-10</v>
      </c>
    </row>
    <row r="2937" spans="1:26" x14ac:dyDescent="0.35">
      <c r="A2937" s="1">
        <v>44482</v>
      </c>
      <c r="C2937">
        <v>4083.28</v>
      </c>
      <c r="D2937">
        <f t="shared" si="591"/>
        <v>6.9277048705547722E-3</v>
      </c>
      <c r="E2937" t="str">
        <f t="shared" si="585"/>
        <v>2021-10</v>
      </c>
      <c r="G2937">
        <v>6597.38</v>
      </c>
      <c r="H2937">
        <f t="shared" si="592"/>
        <v>7.4961421316928649E-3</v>
      </c>
      <c r="I2937" t="str">
        <f t="shared" si="586"/>
        <v>2021-10</v>
      </c>
      <c r="K2937">
        <v>15249.38</v>
      </c>
      <c r="L2937">
        <f t="shared" si="593"/>
        <v>6.7449365387928966E-3</v>
      </c>
      <c r="M2937" t="str">
        <f t="shared" si="587"/>
        <v>2021-10</v>
      </c>
      <c r="O2937">
        <v>8414.9860499999995</v>
      </c>
      <c r="P2937">
        <f t="shared" si="594"/>
        <v>1.336083918642834E-3</v>
      </c>
      <c r="Q2937" t="str">
        <f t="shared" si="588"/>
        <v>2021-10</v>
      </c>
      <c r="S2937">
        <v>8881.4</v>
      </c>
      <c r="T2937">
        <f t="shared" si="595"/>
        <v>-6.117668779862937E-3</v>
      </c>
      <c r="U2937" t="str">
        <f t="shared" si="589"/>
        <v>2021-10</v>
      </c>
      <c r="W2937">
        <v>25958.69</v>
      </c>
      <c r="X2937">
        <f t="shared" si="596"/>
        <v>-1.2061898668316354E-3</v>
      </c>
      <c r="Y2937">
        <f t="shared" si="597"/>
        <v>-1.2054627122257599E-3</v>
      </c>
      <c r="Z2937" t="str">
        <f t="shared" si="590"/>
        <v>2021-10</v>
      </c>
    </row>
    <row r="2938" spans="1:26" x14ac:dyDescent="0.35">
      <c r="A2938" s="1">
        <v>44483</v>
      </c>
      <c r="C2938">
        <v>4149.0600000000004</v>
      </c>
      <c r="D2938">
        <f t="shared" si="591"/>
        <v>1.5981215549308755E-2</v>
      </c>
      <c r="E2938" t="str">
        <f t="shared" si="585"/>
        <v>2021-10</v>
      </c>
      <c r="G2938">
        <v>6685.21</v>
      </c>
      <c r="H2938">
        <f t="shared" si="592"/>
        <v>1.32250231509932E-2</v>
      </c>
      <c r="I2938" t="str">
        <f t="shared" si="586"/>
        <v>2021-10</v>
      </c>
      <c r="K2938">
        <v>15462.72</v>
      </c>
      <c r="L2938">
        <f t="shared" si="593"/>
        <v>1.3893119099038174E-2</v>
      </c>
      <c r="M2938" t="str">
        <f t="shared" si="587"/>
        <v>2021-10</v>
      </c>
      <c r="O2938">
        <v>8512.0392900000006</v>
      </c>
      <c r="P2938">
        <f t="shared" si="594"/>
        <v>1.146737853771734E-2</v>
      </c>
      <c r="Q2938" t="str">
        <f t="shared" si="588"/>
        <v>2021-10</v>
      </c>
      <c r="S2938">
        <v>8925</v>
      </c>
      <c r="T2938">
        <f t="shared" si="595"/>
        <v>4.8971254306289218E-3</v>
      </c>
      <c r="U2938" t="str">
        <f t="shared" si="589"/>
        <v>2021-10</v>
      </c>
      <c r="W2938">
        <v>26277.57</v>
      </c>
      <c r="X2938">
        <f t="shared" si="596"/>
        <v>1.2209295274751548E-2</v>
      </c>
      <c r="Y2938">
        <f t="shared" si="597"/>
        <v>1.2284132982057301E-2</v>
      </c>
      <c r="Z2938" t="str">
        <f t="shared" si="590"/>
        <v>2021-10</v>
      </c>
    </row>
    <row r="2939" spans="1:26" x14ac:dyDescent="0.35">
      <c r="A2939" s="1">
        <v>44484</v>
      </c>
      <c r="C2939">
        <v>4182.91</v>
      </c>
      <c r="D2939">
        <f t="shared" si="591"/>
        <v>8.1253740078310339E-3</v>
      </c>
      <c r="E2939" t="str">
        <f t="shared" si="585"/>
        <v>2021-10</v>
      </c>
      <c r="G2939">
        <v>6727.52</v>
      </c>
      <c r="H2939">
        <f t="shared" si="592"/>
        <v>6.308952813968283E-3</v>
      </c>
      <c r="I2939" t="str">
        <f t="shared" si="586"/>
        <v>2021-10</v>
      </c>
      <c r="K2939">
        <v>15587.36</v>
      </c>
      <c r="L2939">
        <f t="shared" si="593"/>
        <v>8.0283638217996528E-3</v>
      </c>
      <c r="M2939" t="str">
        <f t="shared" si="587"/>
        <v>2021-10</v>
      </c>
      <c r="O2939">
        <v>8583.5088199999991</v>
      </c>
      <c r="P2939">
        <f t="shared" si="594"/>
        <v>8.3612348560800232E-3</v>
      </c>
      <c r="Q2939" t="str">
        <f t="shared" si="588"/>
        <v>2021-10</v>
      </c>
      <c r="S2939">
        <v>8997</v>
      </c>
      <c r="T2939">
        <f t="shared" si="595"/>
        <v>8.0348607692788815E-3</v>
      </c>
      <c r="U2939" t="str">
        <f t="shared" si="589"/>
        <v>2021-10</v>
      </c>
      <c r="W2939">
        <v>26489.18</v>
      </c>
      <c r="X2939">
        <f t="shared" si="596"/>
        <v>8.0206241397086687E-3</v>
      </c>
      <c r="Y2939">
        <f t="shared" si="597"/>
        <v>8.0528755132228957E-3</v>
      </c>
      <c r="Z2939" t="str">
        <f t="shared" si="590"/>
        <v>2021-10</v>
      </c>
    </row>
    <row r="2940" spans="1:26" x14ac:dyDescent="0.35">
      <c r="A2940" s="1">
        <v>44487</v>
      </c>
      <c r="C2940">
        <v>4151.3999999999996</v>
      </c>
      <c r="D2940">
        <f t="shared" si="591"/>
        <v>-7.5615498192947231E-3</v>
      </c>
      <c r="E2940" t="str">
        <f t="shared" si="585"/>
        <v>2021-10</v>
      </c>
      <c r="G2940">
        <v>6673.1</v>
      </c>
      <c r="H2940">
        <f t="shared" si="592"/>
        <v>-8.1220569143342081E-3</v>
      </c>
      <c r="I2940" t="str">
        <f t="shared" si="586"/>
        <v>2021-10</v>
      </c>
      <c r="K2940">
        <v>15474.47</v>
      </c>
      <c r="L2940">
        <f t="shared" si="593"/>
        <v>-7.2687602142984184E-3</v>
      </c>
      <c r="M2940" t="str">
        <f t="shared" si="587"/>
        <v>2021-10</v>
      </c>
      <c r="O2940">
        <v>8512.3212299999996</v>
      </c>
      <c r="P2940">
        <f t="shared" si="594"/>
        <v>-8.3281129071300641E-3</v>
      </c>
      <c r="Q2940" t="str">
        <f t="shared" si="588"/>
        <v>2021-10</v>
      </c>
      <c r="S2940">
        <v>8936</v>
      </c>
      <c r="T2940">
        <f t="shared" si="595"/>
        <v>-6.8031266680821899E-3</v>
      </c>
      <c r="U2940" t="str">
        <f t="shared" si="589"/>
        <v>2021-10</v>
      </c>
      <c r="W2940">
        <v>26268.62</v>
      </c>
      <c r="X2940">
        <f t="shared" si="596"/>
        <v>-8.3612768144905592E-3</v>
      </c>
      <c r="Y2940">
        <f t="shared" si="597"/>
        <v>-8.3264185603329852E-3</v>
      </c>
      <c r="Z2940" t="str">
        <f t="shared" si="590"/>
        <v>2021-10</v>
      </c>
    </row>
    <row r="2941" spans="1:26" x14ac:dyDescent="0.35">
      <c r="A2941" s="1">
        <v>44488</v>
      </c>
      <c r="C2941">
        <v>4166.83</v>
      </c>
      <c r="D2941">
        <f t="shared" si="591"/>
        <v>3.7099281211624914E-3</v>
      </c>
      <c r="E2941" t="str">
        <f t="shared" si="585"/>
        <v>2021-10</v>
      </c>
      <c r="G2941">
        <v>6669.85</v>
      </c>
      <c r="H2941">
        <f t="shared" si="592"/>
        <v>-4.8714865367444619E-4</v>
      </c>
      <c r="I2941" t="str">
        <f t="shared" si="586"/>
        <v>2021-10</v>
      </c>
      <c r="K2941">
        <v>15515.83</v>
      </c>
      <c r="L2941">
        <f t="shared" si="593"/>
        <v>2.6692238898401704E-3</v>
      </c>
      <c r="M2941" t="str">
        <f t="shared" si="587"/>
        <v>2021-10</v>
      </c>
      <c r="O2941">
        <v>8557.9461499999998</v>
      </c>
      <c r="P2941">
        <f t="shared" si="594"/>
        <v>5.3455552427486555E-3</v>
      </c>
      <c r="Q2941" t="str">
        <f t="shared" si="588"/>
        <v>2021-10</v>
      </c>
      <c r="S2941">
        <v>8996.2999999999993</v>
      </c>
      <c r="T2941">
        <f t="shared" si="595"/>
        <v>6.725319928867728E-3</v>
      </c>
      <c r="U2941" t="str">
        <f t="shared" si="589"/>
        <v>2021-10</v>
      </c>
      <c r="W2941">
        <v>26332.99</v>
      </c>
      <c r="X2941">
        <f t="shared" si="596"/>
        <v>2.4474548262514674E-3</v>
      </c>
      <c r="Y2941">
        <f t="shared" si="597"/>
        <v>2.4504522887004577E-3</v>
      </c>
      <c r="Z2941" t="str">
        <f t="shared" si="590"/>
        <v>2021-10</v>
      </c>
    </row>
    <row r="2942" spans="1:26" x14ac:dyDescent="0.35">
      <c r="A2942" s="1">
        <v>44489</v>
      </c>
      <c r="C2942">
        <v>4172.17</v>
      </c>
      <c r="D2942">
        <f t="shared" si="591"/>
        <v>1.2807292792706127E-3</v>
      </c>
      <c r="E2942" t="str">
        <f t="shared" si="585"/>
        <v>2021-10</v>
      </c>
      <c r="G2942">
        <v>6705.61</v>
      </c>
      <c r="H2942">
        <f t="shared" si="592"/>
        <v>5.3471185593850492E-3</v>
      </c>
      <c r="I2942" t="str">
        <f t="shared" si="586"/>
        <v>2021-10</v>
      </c>
      <c r="K2942">
        <v>15522.92</v>
      </c>
      <c r="L2942">
        <f t="shared" si="593"/>
        <v>4.5684830241641454E-4</v>
      </c>
      <c r="M2942" t="str">
        <f t="shared" si="587"/>
        <v>2021-10</v>
      </c>
      <c r="O2942">
        <v>8570.3048199999994</v>
      </c>
      <c r="P2942">
        <f t="shared" si="594"/>
        <v>1.4430746217290776E-3</v>
      </c>
      <c r="Q2942" t="str">
        <f t="shared" si="588"/>
        <v>2021-10</v>
      </c>
      <c r="S2942">
        <v>9017.9</v>
      </c>
      <c r="T2942">
        <f t="shared" si="595"/>
        <v>2.3981093083977377E-3</v>
      </c>
      <c r="U2942" t="str">
        <f t="shared" si="589"/>
        <v>2021-10</v>
      </c>
      <c r="W2942">
        <v>26581.77</v>
      </c>
      <c r="X2942">
        <f t="shared" si="596"/>
        <v>9.4031167508775628E-3</v>
      </c>
      <c r="Y2942">
        <f t="shared" si="597"/>
        <v>9.4474649479606692E-3</v>
      </c>
      <c r="Z2942" t="str">
        <f t="shared" si="590"/>
        <v>2021-10</v>
      </c>
    </row>
    <row r="2943" spans="1:26" x14ac:dyDescent="0.35">
      <c r="A2943" s="1">
        <v>44490</v>
      </c>
      <c r="C2943">
        <v>4155.7299999999996</v>
      </c>
      <c r="D2943">
        <f t="shared" si="591"/>
        <v>-3.9481793383012156E-3</v>
      </c>
      <c r="E2943" t="str">
        <f t="shared" si="585"/>
        <v>2021-10</v>
      </c>
      <c r="G2943">
        <v>6686.17</v>
      </c>
      <c r="H2943">
        <f t="shared" si="592"/>
        <v>-2.9032755399195495E-3</v>
      </c>
      <c r="I2943" t="str">
        <f t="shared" si="586"/>
        <v>2021-10</v>
      </c>
      <c r="K2943">
        <v>15472.56</v>
      </c>
      <c r="L2943">
        <f t="shared" si="593"/>
        <v>-3.2495089163897314E-3</v>
      </c>
      <c r="M2943" t="str">
        <f t="shared" si="587"/>
        <v>2021-10</v>
      </c>
      <c r="O2943">
        <v>8526.8949599999996</v>
      </c>
      <c r="P2943">
        <f t="shared" si="594"/>
        <v>-5.078019072140544E-3</v>
      </c>
      <c r="Q2943" t="str">
        <f t="shared" si="588"/>
        <v>2021-10</v>
      </c>
      <c r="S2943">
        <v>8944.2999999999993</v>
      </c>
      <c r="T2943">
        <f t="shared" si="595"/>
        <v>-8.1950331145874897E-3</v>
      </c>
      <c r="U2943" t="str">
        <f t="shared" si="589"/>
        <v>2021-10</v>
      </c>
      <c r="W2943">
        <v>26525.15</v>
      </c>
      <c r="X2943">
        <f t="shared" si="596"/>
        <v>-2.1323029636408724E-3</v>
      </c>
      <c r="Y2943">
        <f t="shared" si="597"/>
        <v>-2.1300312206447868E-3</v>
      </c>
      <c r="Z2943" t="str">
        <f t="shared" si="590"/>
        <v>2021-10</v>
      </c>
    </row>
    <row r="2944" spans="1:26" x14ac:dyDescent="0.35">
      <c r="A2944" s="1">
        <v>44491</v>
      </c>
      <c r="C2944">
        <v>4188.8100000000004</v>
      </c>
      <c r="D2944">
        <f t="shared" si="591"/>
        <v>7.9285792363426397E-3</v>
      </c>
      <c r="E2944" t="str">
        <f t="shared" si="585"/>
        <v>2021-10</v>
      </c>
      <c r="G2944">
        <v>6733.69</v>
      </c>
      <c r="H2944">
        <f t="shared" si="592"/>
        <v>7.0820706947026116E-3</v>
      </c>
      <c r="I2944" t="str">
        <f t="shared" si="586"/>
        <v>2021-10</v>
      </c>
      <c r="K2944">
        <v>15542.98</v>
      </c>
      <c r="L2944">
        <f t="shared" si="593"/>
        <v>4.5409572753986865E-3</v>
      </c>
      <c r="M2944" t="str">
        <f t="shared" si="587"/>
        <v>2021-10</v>
      </c>
      <c r="O2944">
        <v>8519.4794700000002</v>
      </c>
      <c r="P2944">
        <f t="shared" si="594"/>
        <v>-8.7003726196712263E-4</v>
      </c>
      <c r="Q2944" t="str">
        <f t="shared" si="588"/>
        <v>2021-10</v>
      </c>
      <c r="S2944">
        <v>8906.4</v>
      </c>
      <c r="T2944">
        <f t="shared" si="595"/>
        <v>-4.2463384572171484E-3</v>
      </c>
      <c r="U2944" t="str">
        <f t="shared" si="589"/>
        <v>2021-10</v>
      </c>
      <c r="W2944">
        <v>26571.73</v>
      </c>
      <c r="X2944">
        <f t="shared" si="596"/>
        <v>1.754529153095728E-3</v>
      </c>
      <c r="Y2944">
        <f t="shared" si="597"/>
        <v>1.7560692399476764E-3</v>
      </c>
      <c r="Z2944" t="str">
        <f t="shared" si="590"/>
        <v>2021-10</v>
      </c>
    </row>
    <row r="2945" spans="1:26" x14ac:dyDescent="0.35">
      <c r="A2945" s="1">
        <v>44494</v>
      </c>
      <c r="C2945">
        <v>4188.3100000000004</v>
      </c>
      <c r="D2945">
        <f t="shared" si="591"/>
        <v>-1.1937276787103289E-4</v>
      </c>
      <c r="E2945" t="str">
        <f t="shared" si="585"/>
        <v>2021-10</v>
      </c>
      <c r="G2945">
        <v>6712.87</v>
      </c>
      <c r="H2945">
        <f t="shared" si="592"/>
        <v>-3.0967052744976845E-3</v>
      </c>
      <c r="I2945" t="str">
        <f t="shared" si="586"/>
        <v>2021-10</v>
      </c>
      <c r="K2945">
        <v>15599.23</v>
      </c>
      <c r="L2945">
        <f t="shared" si="593"/>
        <v>3.6124643158841618E-3</v>
      </c>
      <c r="M2945" t="str">
        <f t="shared" si="587"/>
        <v>2021-10</v>
      </c>
      <c r="O2945">
        <v>8562.7072499999995</v>
      </c>
      <c r="P2945">
        <f t="shared" si="594"/>
        <v>5.0611637705623904E-3</v>
      </c>
      <c r="Q2945" t="str">
        <f t="shared" si="588"/>
        <v>2021-10</v>
      </c>
      <c r="S2945">
        <v>8920.9</v>
      </c>
      <c r="T2945">
        <f t="shared" si="595"/>
        <v>1.6267189307981381E-3</v>
      </c>
      <c r="U2945" t="str">
        <f t="shared" si="589"/>
        <v>2021-10</v>
      </c>
      <c r="W2945">
        <v>26815.79</v>
      </c>
      <c r="X2945">
        <f t="shared" si="596"/>
        <v>9.1430244438585433E-3</v>
      </c>
      <c r="Y2945">
        <f t="shared" si="597"/>
        <v>9.1849495685829008E-3</v>
      </c>
      <c r="Z2945" t="str">
        <f t="shared" si="590"/>
        <v>2021-10</v>
      </c>
    </row>
    <row r="2946" spans="1:26" x14ac:dyDescent="0.35">
      <c r="A2946" s="1">
        <v>44495</v>
      </c>
      <c r="C2946">
        <v>4223.97</v>
      </c>
      <c r="D2946">
        <f t="shared" si="591"/>
        <v>8.4781328247248017E-3</v>
      </c>
      <c r="E2946" t="str">
        <f t="shared" si="585"/>
        <v>2021-10</v>
      </c>
      <c r="G2946">
        <v>6766.51</v>
      </c>
      <c r="H2946">
        <f t="shared" si="592"/>
        <v>7.9588650435395165E-3</v>
      </c>
      <c r="I2946" t="str">
        <f t="shared" si="586"/>
        <v>2021-10</v>
      </c>
      <c r="K2946">
        <v>15757.06</v>
      </c>
      <c r="L2946">
        <f t="shared" si="593"/>
        <v>1.0066964741160643E-2</v>
      </c>
      <c r="M2946" t="str">
        <f t="shared" si="587"/>
        <v>2021-10</v>
      </c>
      <c r="O2946">
        <v>8642.4485399999994</v>
      </c>
      <c r="P2946">
        <f t="shared" si="594"/>
        <v>9.2695308252991934E-3</v>
      </c>
      <c r="Q2946" t="str">
        <f t="shared" si="588"/>
        <v>2021-10</v>
      </c>
      <c r="S2946">
        <v>9001.6</v>
      </c>
      <c r="T2946">
        <f t="shared" si="595"/>
        <v>9.005500950242112E-3</v>
      </c>
      <c r="U2946" t="str">
        <f t="shared" si="589"/>
        <v>2021-10</v>
      </c>
      <c r="W2946">
        <v>26970.95</v>
      </c>
      <c r="X2946">
        <f t="shared" si="596"/>
        <v>5.7694677311746888E-3</v>
      </c>
      <c r="Y2946">
        <f t="shared" si="597"/>
        <v>5.7861431641581269E-3</v>
      </c>
      <c r="Z2946" t="str">
        <f t="shared" si="590"/>
        <v>2021-10</v>
      </c>
    </row>
    <row r="2947" spans="1:26" x14ac:dyDescent="0.35">
      <c r="A2947" s="1">
        <v>44496</v>
      </c>
      <c r="C2947">
        <v>4220.88</v>
      </c>
      <c r="D2947">
        <f t="shared" si="591"/>
        <v>-7.3180699193043947E-4</v>
      </c>
      <c r="E2947" t="str">
        <f t="shared" si="585"/>
        <v>2021-10</v>
      </c>
      <c r="G2947">
        <v>6753.52</v>
      </c>
      <c r="H2947">
        <f t="shared" si="592"/>
        <v>-1.9215939605394775E-3</v>
      </c>
      <c r="I2947" t="str">
        <f t="shared" si="586"/>
        <v>2021-10</v>
      </c>
      <c r="K2947">
        <v>15705.81</v>
      </c>
      <c r="L2947">
        <f t="shared" si="593"/>
        <v>-3.2578112122493325E-3</v>
      </c>
      <c r="M2947" t="str">
        <f t="shared" si="587"/>
        <v>2021-10</v>
      </c>
      <c r="O2947">
        <v>8589.7110799999991</v>
      </c>
      <c r="P2947">
        <f t="shared" si="594"/>
        <v>-6.1208375284436236E-3</v>
      </c>
      <c r="Q2947" t="str">
        <f t="shared" si="588"/>
        <v>2021-10</v>
      </c>
      <c r="S2947">
        <v>8972.2999999999993</v>
      </c>
      <c r="T2947">
        <f t="shared" si="595"/>
        <v>-3.2602858537773144E-3</v>
      </c>
      <c r="U2947" t="str">
        <f t="shared" si="589"/>
        <v>2021-10</v>
      </c>
      <c r="W2947">
        <v>26806.19</v>
      </c>
      <c r="X2947">
        <f t="shared" si="596"/>
        <v>-6.1275298580326671E-3</v>
      </c>
      <c r="Y2947">
        <f t="shared" si="597"/>
        <v>-6.1087948329592405E-3</v>
      </c>
      <c r="Z2947" t="str">
        <f t="shared" si="590"/>
        <v>2021-10</v>
      </c>
    </row>
    <row r="2948" spans="1:26" x14ac:dyDescent="0.35">
      <c r="A2948" s="1">
        <v>44497</v>
      </c>
      <c r="C2948">
        <v>4233.87</v>
      </c>
      <c r="D2948">
        <f t="shared" si="591"/>
        <v>3.0728313010508178E-3</v>
      </c>
      <c r="E2948" t="str">
        <f t="shared" ref="E2948:E3011" si="598">_xlfn.CONCAT(YEAR(A2948),"-",TEXT(MONTH(A2948),"00"))</f>
        <v>2021-10</v>
      </c>
      <c r="G2948">
        <v>6804.22</v>
      </c>
      <c r="H2948">
        <f t="shared" si="592"/>
        <v>7.4791574904034619E-3</v>
      </c>
      <c r="I2948" t="str">
        <f t="shared" ref="I2948:I3011" si="599">_xlfn.CONCAT(YEAR(A2948),"-",TEXT(MONTH(A2948),"00"))</f>
        <v>2021-10</v>
      </c>
      <c r="K2948">
        <v>15696.33</v>
      </c>
      <c r="L2948">
        <f t="shared" si="593"/>
        <v>-6.0378052502118044E-4</v>
      </c>
      <c r="M2948" t="str">
        <f t="shared" ref="M2948:M3011" si="600">_xlfn.CONCAT(YEAR(A2948),"-",TEXT(MONTH(A2948),"00"))</f>
        <v>2021-10</v>
      </c>
      <c r="O2948">
        <v>8561.7991299999994</v>
      </c>
      <c r="P2948">
        <f t="shared" si="594"/>
        <v>-3.2547541643281048E-3</v>
      </c>
      <c r="Q2948" t="str">
        <f t="shared" ref="Q2948:Q3011" si="601">_xlfn.CONCAT(YEAR(A2948),"-",TEXT(MONTH(A2948),"00"))</f>
        <v>2021-10</v>
      </c>
      <c r="S2948">
        <v>9025.7999999999993</v>
      </c>
      <c r="T2948">
        <f t="shared" si="595"/>
        <v>5.9450894900725483E-3</v>
      </c>
      <c r="U2948" t="str">
        <f t="shared" ref="U2948:U3011" si="602">_xlfn.CONCAT(YEAR(A2948),"-",TEXT(MONTH(A2948),"00"))</f>
        <v>2021-10</v>
      </c>
      <c r="W2948">
        <v>26890.35</v>
      </c>
      <c r="X2948">
        <f t="shared" si="596"/>
        <v>3.1346551905745302E-3</v>
      </c>
      <c r="Y2948">
        <f t="shared" si="597"/>
        <v>3.1395733597351901E-3</v>
      </c>
      <c r="Z2948" t="str">
        <f t="shared" ref="Z2948:Z3011" si="603">_xlfn.CONCAT(YEAR(A2948),"-",TEXT(MONTH(A2948),"00"))</f>
        <v>2021-10</v>
      </c>
    </row>
    <row r="2949" spans="1:26" x14ac:dyDescent="0.35">
      <c r="A2949" s="1">
        <v>44498</v>
      </c>
      <c r="C2949">
        <v>4250.5600000000004</v>
      </c>
      <c r="D2949">
        <f t="shared" ref="D2949:D3012" si="604">LN(C2949/C2948)</f>
        <v>3.9342705468694752E-3</v>
      </c>
      <c r="E2949" t="str">
        <f t="shared" si="598"/>
        <v>2021-10</v>
      </c>
      <c r="G2949">
        <v>6830.34</v>
      </c>
      <c r="H2949">
        <f t="shared" ref="H2949:H3012" si="605">LN(G2949/G2948)</f>
        <v>3.8314447922620271E-3</v>
      </c>
      <c r="I2949" t="str">
        <f t="shared" si="599"/>
        <v>2021-10</v>
      </c>
      <c r="K2949">
        <v>15688.77</v>
      </c>
      <c r="L2949">
        <f t="shared" ref="L2949:L3012" si="606">LN(K2949/K2948)</f>
        <v>-4.8175727630094504E-4</v>
      </c>
      <c r="M2949" t="str">
        <f t="shared" si="600"/>
        <v>2021-10</v>
      </c>
      <c r="O2949">
        <v>8576.0719800000006</v>
      </c>
      <c r="P2949">
        <f t="shared" ref="P2949:P3012" si="607">LN(O2949/O2948)</f>
        <v>1.6656506760104215E-3</v>
      </c>
      <c r="Q2949" t="str">
        <f t="shared" si="601"/>
        <v>2021-10</v>
      </c>
      <c r="S2949">
        <v>9057.7000000000007</v>
      </c>
      <c r="T2949">
        <f t="shared" ref="T2949:T3012" si="608">LN(S2949/S2948)</f>
        <v>3.52808174183411E-3</v>
      </c>
      <c r="U2949" t="str">
        <f t="shared" si="602"/>
        <v>2021-10</v>
      </c>
      <c r="W2949">
        <v>26875.96</v>
      </c>
      <c r="X2949">
        <f t="shared" ref="X2949:X3012" si="609">LN(W2949/W2948)</f>
        <v>-5.3527944705856079E-4</v>
      </c>
      <c r="Y2949">
        <f t="shared" ref="Y2949:Y3012" si="610">(W2949-W2948)/W2948</f>
        <v>-5.3513621057366004E-4</v>
      </c>
      <c r="Z2949" t="str">
        <f t="shared" si="603"/>
        <v>2021-10</v>
      </c>
    </row>
    <row r="2950" spans="1:26" x14ac:dyDescent="0.35">
      <c r="A2950" s="1">
        <v>44501</v>
      </c>
      <c r="C2950">
        <v>4280.47</v>
      </c>
      <c r="D2950">
        <f t="shared" si="604"/>
        <v>7.012077686800843E-3</v>
      </c>
      <c r="E2950" t="str">
        <f t="shared" si="598"/>
        <v>2021-11</v>
      </c>
      <c r="G2950">
        <v>6893.29</v>
      </c>
      <c r="H2950">
        <f t="shared" si="605"/>
        <v>9.1740219610653654E-3</v>
      </c>
      <c r="I2950" t="str">
        <f t="shared" si="599"/>
        <v>2021-11</v>
      </c>
      <c r="K2950">
        <v>15806.29</v>
      </c>
      <c r="L2950">
        <f t="shared" si="606"/>
        <v>7.4627922869324676E-3</v>
      </c>
      <c r="M2950" t="str">
        <f t="shared" si="600"/>
        <v>2021-11</v>
      </c>
      <c r="O2950">
        <v>8587.4201499999999</v>
      </c>
      <c r="P2950">
        <f t="shared" si="607"/>
        <v>1.322361622879754E-3</v>
      </c>
      <c r="Q2950" t="str">
        <f t="shared" si="601"/>
        <v>2021-11</v>
      </c>
      <c r="S2950">
        <v>9182.6</v>
      </c>
      <c r="T2950">
        <f t="shared" si="608"/>
        <v>1.369516424128144E-2</v>
      </c>
      <c r="U2950" t="str">
        <f t="shared" si="602"/>
        <v>2021-11</v>
      </c>
      <c r="W2950">
        <v>27206</v>
      </c>
      <c r="X2950">
        <f t="shared" si="609"/>
        <v>1.2205330471156184E-2</v>
      </c>
      <c r="Y2950">
        <f t="shared" si="610"/>
        <v>1.2280119482243643E-2</v>
      </c>
      <c r="Z2950" t="str">
        <f t="shared" si="603"/>
        <v>2021-11</v>
      </c>
    </row>
    <row r="2951" spans="1:26" x14ac:dyDescent="0.35">
      <c r="A2951" s="1">
        <v>44502</v>
      </c>
      <c r="C2951">
        <v>4296.22</v>
      </c>
      <c r="D2951">
        <f t="shared" si="604"/>
        <v>3.6727496748574584E-3</v>
      </c>
      <c r="E2951" t="str">
        <f t="shared" si="598"/>
        <v>2021-11</v>
      </c>
      <c r="G2951">
        <v>6927.03</v>
      </c>
      <c r="H2951">
        <f t="shared" si="605"/>
        <v>4.8826752248227953E-3</v>
      </c>
      <c r="I2951" t="str">
        <f t="shared" si="599"/>
        <v>2021-11</v>
      </c>
      <c r="K2951">
        <v>15954.45</v>
      </c>
      <c r="L2951">
        <f t="shared" si="606"/>
        <v>9.3298251062097527E-3</v>
      </c>
      <c r="M2951" t="str">
        <f t="shared" si="600"/>
        <v>2021-11</v>
      </c>
      <c r="O2951">
        <v>8553.5385800000004</v>
      </c>
      <c r="P2951">
        <f t="shared" si="607"/>
        <v>-3.9532927720391572E-3</v>
      </c>
      <c r="Q2951" t="str">
        <f t="shared" si="601"/>
        <v>2021-11</v>
      </c>
      <c r="S2951">
        <v>9105.7000000000007</v>
      </c>
      <c r="T2951">
        <f t="shared" si="608"/>
        <v>-8.4097978737137195E-3</v>
      </c>
      <c r="U2951" t="str">
        <f t="shared" si="602"/>
        <v>2021-11</v>
      </c>
      <c r="W2951">
        <v>27189.63</v>
      </c>
      <c r="X2951">
        <f t="shared" si="609"/>
        <v>-6.0188660354493489E-4</v>
      </c>
      <c r="Y2951">
        <f t="shared" si="610"/>
        <v>-6.0170550613831443E-4</v>
      </c>
      <c r="Z2951" t="str">
        <f t="shared" si="603"/>
        <v>2021-11</v>
      </c>
    </row>
    <row r="2952" spans="1:26" x14ac:dyDescent="0.35">
      <c r="A2952" s="1">
        <v>44503</v>
      </c>
      <c r="C2952">
        <v>4309.6099999999997</v>
      </c>
      <c r="D2952">
        <f t="shared" si="604"/>
        <v>3.1118464588002883E-3</v>
      </c>
      <c r="E2952" t="str">
        <f t="shared" si="598"/>
        <v>2021-11</v>
      </c>
      <c r="G2952">
        <v>6950.65</v>
      </c>
      <c r="H2952">
        <f t="shared" si="605"/>
        <v>3.4040304730916359E-3</v>
      </c>
      <c r="I2952" t="str">
        <f t="shared" si="599"/>
        <v>2021-11</v>
      </c>
      <c r="K2952">
        <v>15959.98</v>
      </c>
      <c r="L2952">
        <f t="shared" si="606"/>
        <v>3.4655170437601667E-4</v>
      </c>
      <c r="M2952" t="str">
        <f t="shared" si="600"/>
        <v>2021-11</v>
      </c>
      <c r="O2952">
        <v>8547.35743</v>
      </c>
      <c r="P2952">
        <f t="shared" si="607"/>
        <v>-7.2290367306713339E-4</v>
      </c>
      <c r="Q2952" t="str">
        <f t="shared" si="601"/>
        <v>2021-11</v>
      </c>
      <c r="S2952">
        <v>9030.7999999999993</v>
      </c>
      <c r="T2952">
        <f t="shared" si="608"/>
        <v>-8.2596339774171443E-3</v>
      </c>
      <c r="U2952" t="str">
        <f t="shared" si="602"/>
        <v>2021-11</v>
      </c>
      <c r="W2952">
        <v>27377.87</v>
      </c>
      <c r="X2952">
        <f t="shared" si="609"/>
        <v>6.8993722162719274E-3</v>
      </c>
      <c r="Y2952">
        <f t="shared" si="610"/>
        <v>6.9232277158607141E-3</v>
      </c>
      <c r="Z2952" t="str">
        <f t="shared" si="603"/>
        <v>2021-11</v>
      </c>
    </row>
    <row r="2953" spans="1:26" x14ac:dyDescent="0.35">
      <c r="A2953" s="1">
        <v>44504</v>
      </c>
      <c r="C2953">
        <v>4333.34</v>
      </c>
      <c r="D2953">
        <f t="shared" si="604"/>
        <v>5.4911944713220513E-3</v>
      </c>
      <c r="E2953" t="str">
        <f t="shared" si="598"/>
        <v>2021-11</v>
      </c>
      <c r="G2953">
        <v>6987.79</v>
      </c>
      <c r="H2953">
        <f t="shared" si="605"/>
        <v>5.329159920018374E-3</v>
      </c>
      <c r="I2953" t="str">
        <f t="shared" si="599"/>
        <v>2021-11</v>
      </c>
      <c r="K2953">
        <v>16029.65</v>
      </c>
      <c r="L2953">
        <f t="shared" si="606"/>
        <v>4.3557934339142146E-3</v>
      </c>
      <c r="M2953" t="str">
        <f t="shared" si="600"/>
        <v>2021-11</v>
      </c>
      <c r="O2953">
        <v>8506.1527399999995</v>
      </c>
      <c r="P2953">
        <f t="shared" si="607"/>
        <v>-4.8324092546527721E-3</v>
      </c>
      <c r="Q2953" t="str">
        <f t="shared" si="601"/>
        <v>2021-11</v>
      </c>
      <c r="S2953">
        <v>9039.4</v>
      </c>
      <c r="T2953">
        <f t="shared" si="608"/>
        <v>9.5184343829114509E-4</v>
      </c>
      <c r="U2953" t="str">
        <f t="shared" si="602"/>
        <v>2021-11</v>
      </c>
      <c r="W2953">
        <v>27522.05</v>
      </c>
      <c r="X2953">
        <f t="shared" si="609"/>
        <v>5.2524787459097E-3</v>
      </c>
      <c r="Y2953">
        <f t="shared" si="610"/>
        <v>5.2662971955086462E-3</v>
      </c>
      <c r="Z2953" t="str">
        <f t="shared" si="603"/>
        <v>2021-11</v>
      </c>
    </row>
    <row r="2954" spans="1:26" x14ac:dyDescent="0.35">
      <c r="A2954" s="1">
        <v>44505</v>
      </c>
      <c r="C2954">
        <v>4363.04</v>
      </c>
      <c r="D2954">
        <f t="shared" si="604"/>
        <v>6.8304548493317184E-3</v>
      </c>
      <c r="E2954" t="str">
        <f t="shared" si="598"/>
        <v>2021-11</v>
      </c>
      <c r="G2954">
        <v>7040.79</v>
      </c>
      <c r="H2954">
        <f t="shared" si="605"/>
        <v>7.556039479939684E-3</v>
      </c>
      <c r="I2954" t="str">
        <f t="shared" si="599"/>
        <v>2021-11</v>
      </c>
      <c r="K2954">
        <v>16054.36</v>
      </c>
      <c r="L2954">
        <f t="shared" si="606"/>
        <v>1.540331453931304E-3</v>
      </c>
      <c r="M2954" t="str">
        <f t="shared" si="600"/>
        <v>2021-11</v>
      </c>
      <c r="O2954">
        <v>8526.8692800000008</v>
      </c>
      <c r="P2954">
        <f t="shared" si="607"/>
        <v>2.4325161079328558E-3</v>
      </c>
      <c r="Q2954" t="str">
        <f t="shared" si="601"/>
        <v>2021-11</v>
      </c>
      <c r="S2954">
        <v>9130.6</v>
      </c>
      <c r="T2954">
        <f t="shared" si="608"/>
        <v>1.0038609342725676E-2</v>
      </c>
      <c r="U2954" t="str">
        <f t="shared" si="602"/>
        <v>2021-11</v>
      </c>
      <c r="W2954">
        <v>27795.93</v>
      </c>
      <c r="X2954">
        <f t="shared" si="609"/>
        <v>9.9021055310710617E-3</v>
      </c>
      <c r="Y2954">
        <f t="shared" si="610"/>
        <v>9.9512935991323687E-3</v>
      </c>
      <c r="Z2954" t="str">
        <f t="shared" si="603"/>
        <v>2021-11</v>
      </c>
    </row>
    <row r="2955" spans="1:26" x14ac:dyDescent="0.35">
      <c r="A2955" s="1">
        <v>44508</v>
      </c>
      <c r="C2955">
        <v>4352.53</v>
      </c>
      <c r="D2955">
        <f t="shared" si="604"/>
        <v>-2.4117768761954179E-3</v>
      </c>
      <c r="E2955" t="str">
        <f t="shared" si="598"/>
        <v>2021-11</v>
      </c>
      <c r="G2955">
        <v>7047.48</v>
      </c>
      <c r="H2955">
        <f t="shared" si="605"/>
        <v>9.4972633302078762E-4</v>
      </c>
      <c r="I2955" t="str">
        <f t="shared" si="599"/>
        <v>2021-11</v>
      </c>
      <c r="K2955">
        <v>16046.52</v>
      </c>
      <c r="L2955">
        <f t="shared" si="606"/>
        <v>-4.8846013915387735E-4</v>
      </c>
      <c r="M2955" t="str">
        <f t="shared" si="600"/>
        <v>2021-11</v>
      </c>
      <c r="O2955">
        <v>8542.9676500000005</v>
      </c>
      <c r="P2955">
        <f t="shared" si="607"/>
        <v>1.8861779217618278E-3</v>
      </c>
      <c r="Q2955" t="str">
        <f t="shared" si="601"/>
        <v>2021-11</v>
      </c>
      <c r="S2955">
        <v>9070.7999999999993</v>
      </c>
      <c r="T2955">
        <f t="shared" si="608"/>
        <v>-6.5709467587032576E-3</v>
      </c>
      <c r="U2955" t="str">
        <f t="shared" si="602"/>
        <v>2021-11</v>
      </c>
      <c r="W2955">
        <v>27711.09</v>
      </c>
      <c r="X2955">
        <f t="shared" si="609"/>
        <v>-3.056913019907734E-3</v>
      </c>
      <c r="Y2955">
        <f t="shared" si="610"/>
        <v>-3.0522454186638166E-3</v>
      </c>
      <c r="Z2955" t="str">
        <f t="shared" si="603"/>
        <v>2021-11</v>
      </c>
    </row>
    <row r="2956" spans="1:26" x14ac:dyDescent="0.35">
      <c r="A2956" s="1">
        <v>44509</v>
      </c>
      <c r="C2956">
        <v>4344.63</v>
      </c>
      <c r="D2956">
        <f t="shared" si="604"/>
        <v>-1.8166854864639088E-3</v>
      </c>
      <c r="E2956" t="str">
        <f t="shared" si="598"/>
        <v>2021-11</v>
      </c>
      <c r="G2956">
        <v>7043.27</v>
      </c>
      <c r="H2956">
        <f t="shared" si="605"/>
        <v>-5.9755515146773098E-4</v>
      </c>
      <c r="I2956" t="str">
        <f t="shared" si="599"/>
        <v>2021-11</v>
      </c>
      <c r="K2956">
        <v>16040.47</v>
      </c>
      <c r="L2956">
        <f t="shared" si="606"/>
        <v>-3.7709988202045428E-4</v>
      </c>
      <c r="M2956" t="str">
        <f t="shared" si="600"/>
        <v>2021-11</v>
      </c>
      <c r="O2956">
        <v>8512.1077100000002</v>
      </c>
      <c r="P2956">
        <f t="shared" si="607"/>
        <v>-3.6188610167328735E-3</v>
      </c>
      <c r="Q2956" t="str">
        <f t="shared" si="601"/>
        <v>2021-11</v>
      </c>
      <c r="S2956">
        <v>9074.9</v>
      </c>
      <c r="T2956">
        <f t="shared" si="608"/>
        <v>4.5189770246094693E-4</v>
      </c>
      <c r="U2956" t="str">
        <f t="shared" si="602"/>
        <v>2021-11</v>
      </c>
      <c r="W2956">
        <v>27441.27</v>
      </c>
      <c r="X2956">
        <f t="shared" si="609"/>
        <v>-9.7846094955357475E-3</v>
      </c>
      <c r="Y2956">
        <f t="shared" si="610"/>
        <v>-9.7368959503216831E-3</v>
      </c>
      <c r="Z2956" t="str">
        <f t="shared" si="603"/>
        <v>2021-11</v>
      </c>
    </row>
    <row r="2957" spans="1:26" x14ac:dyDescent="0.35">
      <c r="A2957" s="1">
        <v>44510</v>
      </c>
      <c r="C2957">
        <v>4348.82</v>
      </c>
      <c r="D2957">
        <f t="shared" si="604"/>
        <v>9.6394419348852978E-4</v>
      </c>
      <c r="E2957" t="str">
        <f t="shared" si="598"/>
        <v>2021-11</v>
      </c>
      <c r="G2957">
        <v>7045.16</v>
      </c>
      <c r="H2957">
        <f t="shared" si="605"/>
        <v>2.6830527054299972E-4</v>
      </c>
      <c r="I2957" t="str">
        <f t="shared" si="599"/>
        <v>2021-11</v>
      </c>
      <c r="K2957">
        <v>16067.83</v>
      </c>
      <c r="L2957">
        <f t="shared" si="606"/>
        <v>1.7042326514984697E-3</v>
      </c>
      <c r="M2957" t="str">
        <f t="shared" si="600"/>
        <v>2021-11</v>
      </c>
      <c r="O2957">
        <v>8581.5739099999992</v>
      </c>
      <c r="P2957">
        <f t="shared" si="607"/>
        <v>8.1277496512573138E-3</v>
      </c>
      <c r="Q2957" t="str">
        <f t="shared" si="601"/>
        <v>2021-11</v>
      </c>
      <c r="S2957">
        <v>9141.7999999999993</v>
      </c>
      <c r="T2957">
        <f t="shared" si="608"/>
        <v>7.3449418128177235E-3</v>
      </c>
      <c r="U2957" t="str">
        <f t="shared" si="602"/>
        <v>2021-11</v>
      </c>
      <c r="W2957">
        <v>27561</v>
      </c>
      <c r="X2957">
        <f t="shared" si="609"/>
        <v>4.3536453719364085E-3</v>
      </c>
      <c r="Y2957">
        <f t="shared" si="610"/>
        <v>4.3631362542622685E-3</v>
      </c>
      <c r="Z2957" t="str">
        <f t="shared" si="603"/>
        <v>2021-11</v>
      </c>
    </row>
    <row r="2958" spans="1:26" x14ac:dyDescent="0.35">
      <c r="A2958" s="1">
        <v>44511</v>
      </c>
      <c r="C2958">
        <v>4358</v>
      </c>
      <c r="D2958">
        <f t="shared" si="604"/>
        <v>2.1086925884852285E-3</v>
      </c>
      <c r="E2958" t="str">
        <f t="shared" si="598"/>
        <v>2021-11</v>
      </c>
      <c r="G2958">
        <v>7059.55</v>
      </c>
      <c r="H2958">
        <f t="shared" si="605"/>
        <v>2.0404538615360164E-3</v>
      </c>
      <c r="I2958" t="str">
        <f t="shared" si="599"/>
        <v>2021-11</v>
      </c>
      <c r="K2958">
        <v>16083.11</v>
      </c>
      <c r="L2958">
        <f t="shared" si="606"/>
        <v>9.505166038960382E-4</v>
      </c>
      <c r="M2958" t="str">
        <f t="shared" si="600"/>
        <v>2021-11</v>
      </c>
      <c r="O2958">
        <v>8621.6475900000005</v>
      </c>
      <c r="P2958">
        <f t="shared" si="607"/>
        <v>4.6588660714917832E-3</v>
      </c>
      <c r="Q2958" t="str">
        <f t="shared" si="601"/>
        <v>2021-11</v>
      </c>
      <c r="S2958">
        <v>9092.2000000000007</v>
      </c>
      <c r="T2958">
        <f t="shared" si="608"/>
        <v>-5.4403995105975628E-3</v>
      </c>
      <c r="U2958" t="str">
        <f t="shared" si="602"/>
        <v>2021-11</v>
      </c>
      <c r="W2958">
        <v>27633.200000000001</v>
      </c>
      <c r="X2958">
        <f t="shared" si="609"/>
        <v>2.6162184135892757E-3</v>
      </c>
      <c r="Y2958">
        <f t="shared" si="610"/>
        <v>2.6196436994303809E-3</v>
      </c>
      <c r="Z2958" t="str">
        <f t="shared" si="603"/>
        <v>2021-11</v>
      </c>
    </row>
    <row r="2959" spans="1:26" x14ac:dyDescent="0.35">
      <c r="A2959" s="1">
        <v>44512</v>
      </c>
      <c r="C2959">
        <v>4370.33</v>
      </c>
      <c r="D2959">
        <f t="shared" si="604"/>
        <v>2.8252846081079533E-3</v>
      </c>
      <c r="E2959" t="str">
        <f t="shared" si="598"/>
        <v>2021-11</v>
      </c>
      <c r="G2959">
        <v>7091.4</v>
      </c>
      <c r="H2959">
        <f t="shared" si="605"/>
        <v>4.5014721671729485E-3</v>
      </c>
      <c r="I2959" t="str">
        <f t="shared" si="599"/>
        <v>2021-11</v>
      </c>
      <c r="K2959">
        <v>16094.07</v>
      </c>
      <c r="L2959">
        <f t="shared" si="606"/>
        <v>6.8122815137019023E-4</v>
      </c>
      <c r="M2959" t="str">
        <f t="shared" si="600"/>
        <v>2021-11</v>
      </c>
      <c r="O2959">
        <v>8614.17137</v>
      </c>
      <c r="P2959">
        <f t="shared" si="607"/>
        <v>-8.6752135030309968E-4</v>
      </c>
      <c r="Q2959" t="str">
        <f t="shared" si="601"/>
        <v>2021-11</v>
      </c>
      <c r="S2959">
        <v>9080.7999999999993</v>
      </c>
      <c r="T2959">
        <f t="shared" si="608"/>
        <v>-1.2546086496826915E-3</v>
      </c>
      <c r="U2959" t="str">
        <f t="shared" si="602"/>
        <v>2021-11</v>
      </c>
      <c r="W2959">
        <v>27732.39</v>
      </c>
      <c r="X2959">
        <f t="shared" si="609"/>
        <v>3.583095786444267E-3</v>
      </c>
      <c r="Y2959">
        <f t="shared" si="610"/>
        <v>3.5895227479987367E-3</v>
      </c>
      <c r="Z2959" t="str">
        <f t="shared" si="603"/>
        <v>2021-11</v>
      </c>
    </row>
    <row r="2960" spans="1:26" x14ac:dyDescent="0.35">
      <c r="A2960" s="1">
        <v>44515</v>
      </c>
      <c r="C2960">
        <v>4386.1899999999996</v>
      </c>
      <c r="D2960">
        <f t="shared" si="604"/>
        <v>3.622447580334062E-3</v>
      </c>
      <c r="E2960" t="str">
        <f t="shared" si="598"/>
        <v>2021-11</v>
      </c>
      <c r="G2960">
        <v>7128.63</v>
      </c>
      <c r="H2960">
        <f t="shared" si="605"/>
        <v>5.2362878371579151E-3</v>
      </c>
      <c r="I2960" t="str">
        <f t="shared" si="599"/>
        <v>2021-11</v>
      </c>
      <c r="K2960">
        <v>16148.64</v>
      </c>
      <c r="L2960">
        <f t="shared" si="606"/>
        <v>3.3849544349631952E-3</v>
      </c>
      <c r="M2960" t="str">
        <f t="shared" si="600"/>
        <v>2021-11</v>
      </c>
      <c r="O2960">
        <v>8667.1365499999993</v>
      </c>
      <c r="P2960">
        <f t="shared" si="607"/>
        <v>6.1297843993089254E-3</v>
      </c>
      <c r="Q2960" t="str">
        <f t="shared" si="601"/>
        <v>2021-11</v>
      </c>
      <c r="S2960">
        <v>9095.7000000000007</v>
      </c>
      <c r="T2960">
        <f t="shared" si="608"/>
        <v>1.6394799149968026E-3</v>
      </c>
      <c r="U2960" t="str">
        <f t="shared" si="602"/>
        <v>2021-11</v>
      </c>
      <c r="W2960">
        <v>27868.13</v>
      </c>
      <c r="X2960">
        <f t="shared" si="609"/>
        <v>4.8826978480912544E-3</v>
      </c>
      <c r="Y2960">
        <f t="shared" si="610"/>
        <v>4.8946376421217788E-3</v>
      </c>
      <c r="Z2960" t="str">
        <f t="shared" si="603"/>
        <v>2021-11</v>
      </c>
    </row>
    <row r="2961" spans="1:26" x14ac:dyDescent="0.35">
      <c r="A2961" s="1">
        <v>44516</v>
      </c>
      <c r="C2961">
        <v>4401.49</v>
      </c>
      <c r="D2961">
        <f t="shared" si="604"/>
        <v>3.4821512526293655E-3</v>
      </c>
      <c r="E2961" t="str">
        <f t="shared" si="598"/>
        <v>2021-11</v>
      </c>
      <c r="G2961">
        <v>7152.6</v>
      </c>
      <c r="H2961">
        <f t="shared" si="605"/>
        <v>3.3568568686031027E-3</v>
      </c>
      <c r="I2961" t="str">
        <f t="shared" si="599"/>
        <v>2021-11</v>
      </c>
      <c r="K2961">
        <v>16247.86</v>
      </c>
      <c r="L2961">
        <f t="shared" si="606"/>
        <v>6.1253721994165254E-3</v>
      </c>
      <c r="M2961" t="str">
        <f t="shared" si="600"/>
        <v>2021-11</v>
      </c>
      <c r="O2961">
        <v>8685.9004399999994</v>
      </c>
      <c r="P2961">
        <f t="shared" si="607"/>
        <v>2.1626067326233778E-3</v>
      </c>
      <c r="Q2961" t="str">
        <f t="shared" si="601"/>
        <v>2021-11</v>
      </c>
      <c r="S2961">
        <v>9040.2000000000007</v>
      </c>
      <c r="T2961">
        <f t="shared" si="608"/>
        <v>-6.1204763208285795E-3</v>
      </c>
      <c r="U2961" t="str">
        <f t="shared" si="602"/>
        <v>2021-11</v>
      </c>
      <c r="W2961">
        <v>27804.93</v>
      </c>
      <c r="X2961">
        <f t="shared" si="609"/>
        <v>-2.2703989020235269E-3</v>
      </c>
      <c r="Y2961">
        <f t="shared" si="610"/>
        <v>-2.2678234958714749E-3</v>
      </c>
      <c r="Z2961" t="str">
        <f t="shared" si="603"/>
        <v>2021-11</v>
      </c>
    </row>
    <row r="2962" spans="1:26" x14ac:dyDescent="0.35">
      <c r="A2962" s="1">
        <v>44517</v>
      </c>
      <c r="C2962">
        <v>4400.8100000000004</v>
      </c>
      <c r="D2962">
        <f t="shared" si="604"/>
        <v>-1.5450507284507561E-4</v>
      </c>
      <c r="E2962" t="str">
        <f t="shared" si="598"/>
        <v>2021-11</v>
      </c>
      <c r="G2962">
        <v>7156.85</v>
      </c>
      <c r="H2962">
        <f t="shared" si="605"/>
        <v>5.9401306478846063E-4</v>
      </c>
      <c r="I2962" t="str">
        <f t="shared" si="599"/>
        <v>2021-11</v>
      </c>
      <c r="K2962">
        <v>16251.13</v>
      </c>
      <c r="L2962">
        <f t="shared" si="606"/>
        <v>2.0123702373731924E-4</v>
      </c>
      <c r="M2962" t="str">
        <f t="shared" si="600"/>
        <v>2021-11</v>
      </c>
      <c r="O2962">
        <v>8690.3064900000008</v>
      </c>
      <c r="P2962">
        <f t="shared" si="607"/>
        <v>5.0713600640039859E-4</v>
      </c>
      <c r="Q2962" t="str">
        <f t="shared" si="601"/>
        <v>2021-11</v>
      </c>
      <c r="S2962">
        <v>8993.4</v>
      </c>
      <c r="T2962">
        <f t="shared" si="608"/>
        <v>-5.1903230706928476E-3</v>
      </c>
      <c r="U2962" t="str">
        <f t="shared" si="602"/>
        <v>2021-11</v>
      </c>
      <c r="W2962">
        <v>27824.94</v>
      </c>
      <c r="X2962">
        <f t="shared" si="609"/>
        <v>7.1939772151126023E-4</v>
      </c>
      <c r="Y2962">
        <f t="shared" si="610"/>
        <v>7.196565501153356E-4</v>
      </c>
      <c r="Z2962" t="str">
        <f t="shared" si="603"/>
        <v>2021-11</v>
      </c>
    </row>
    <row r="2963" spans="1:26" x14ac:dyDescent="0.35">
      <c r="A2963" s="1">
        <v>44518</v>
      </c>
      <c r="C2963">
        <v>4383.7</v>
      </c>
      <c r="D2963">
        <f t="shared" si="604"/>
        <v>-3.8954982433585502E-3</v>
      </c>
      <c r="E2963" t="str">
        <f t="shared" si="598"/>
        <v>2021-11</v>
      </c>
      <c r="G2963">
        <v>7141.98</v>
      </c>
      <c r="H2963">
        <f t="shared" si="605"/>
        <v>-2.0798912023669383E-3</v>
      </c>
      <c r="I2963" t="str">
        <f t="shared" si="599"/>
        <v>2021-11</v>
      </c>
      <c r="K2963">
        <v>16221.73</v>
      </c>
      <c r="L2963">
        <f t="shared" si="606"/>
        <v>-1.8107433735765021E-3</v>
      </c>
      <c r="M2963" t="str">
        <f t="shared" si="600"/>
        <v>2021-11</v>
      </c>
      <c r="O2963">
        <v>8613.9796000000006</v>
      </c>
      <c r="P2963">
        <f t="shared" si="607"/>
        <v>-8.8217895390211628E-3</v>
      </c>
      <c r="Q2963" t="str">
        <f t="shared" si="601"/>
        <v>2021-11</v>
      </c>
      <c r="S2963">
        <v>8903.2000000000007</v>
      </c>
      <c r="T2963">
        <f t="shared" si="608"/>
        <v>-1.0080212305389647E-2</v>
      </c>
      <c r="U2963" t="str">
        <f t="shared" si="602"/>
        <v>2021-11</v>
      </c>
      <c r="W2963">
        <v>27661.82</v>
      </c>
      <c r="X2963">
        <f t="shared" si="609"/>
        <v>-5.8796177653901698E-3</v>
      </c>
      <c r="Y2963">
        <f t="shared" si="610"/>
        <v>-5.8623666394248828E-3</v>
      </c>
      <c r="Z2963" t="str">
        <f t="shared" si="603"/>
        <v>2021-11</v>
      </c>
    </row>
    <row r="2964" spans="1:26" x14ac:dyDescent="0.35">
      <c r="A2964" s="1">
        <v>44519</v>
      </c>
      <c r="C2964">
        <v>4356.47</v>
      </c>
      <c r="D2964">
        <f t="shared" si="604"/>
        <v>-6.2310202437091721E-3</v>
      </c>
      <c r="E2964" t="str">
        <f t="shared" si="598"/>
        <v>2021-11</v>
      </c>
      <c r="G2964">
        <v>7112.29</v>
      </c>
      <c r="H2964">
        <f t="shared" si="605"/>
        <v>-4.1657752990357328E-3</v>
      </c>
      <c r="I2964" t="str">
        <f t="shared" si="599"/>
        <v>2021-11</v>
      </c>
      <c r="K2964">
        <v>16159.97</v>
      </c>
      <c r="L2964">
        <f t="shared" si="606"/>
        <v>-3.814504790439115E-3</v>
      </c>
      <c r="M2964" t="str">
        <f t="shared" si="600"/>
        <v>2021-11</v>
      </c>
      <c r="O2964">
        <v>8603.3243000000002</v>
      </c>
      <c r="P2964">
        <f t="shared" si="607"/>
        <v>-1.2377433101281765E-3</v>
      </c>
      <c r="Q2964" t="str">
        <f t="shared" si="601"/>
        <v>2021-11</v>
      </c>
      <c r="S2964">
        <v>8753.2000000000007</v>
      </c>
      <c r="T2964">
        <f t="shared" si="608"/>
        <v>-1.6991414879010479E-2</v>
      </c>
      <c r="U2964" t="str">
        <f t="shared" si="602"/>
        <v>2021-11</v>
      </c>
      <c r="W2964">
        <v>27337.46</v>
      </c>
      <c r="X2964">
        <f t="shared" si="609"/>
        <v>-1.179520024943246E-2</v>
      </c>
      <c r="Y2964">
        <f t="shared" si="610"/>
        <v>-1.1725909575002679E-2</v>
      </c>
      <c r="Z2964" t="str">
        <f t="shared" si="603"/>
        <v>2021-11</v>
      </c>
    </row>
    <row r="2965" spans="1:26" x14ac:dyDescent="0.35">
      <c r="A2965" s="1">
        <v>44522</v>
      </c>
      <c r="C2965">
        <v>4338.6899999999996</v>
      </c>
      <c r="D2965">
        <f t="shared" si="604"/>
        <v>-4.0896371731088729E-3</v>
      </c>
      <c r="E2965" t="str">
        <f t="shared" si="598"/>
        <v>2021-11</v>
      </c>
      <c r="G2965">
        <v>7105</v>
      </c>
      <c r="H2965">
        <f t="shared" si="605"/>
        <v>-1.0255119841955931E-3</v>
      </c>
      <c r="I2965" t="str">
        <f t="shared" si="599"/>
        <v>2021-11</v>
      </c>
      <c r="K2965">
        <v>16115.69</v>
      </c>
      <c r="L2965">
        <f t="shared" si="606"/>
        <v>-2.7438650538053212E-3</v>
      </c>
      <c r="M2965" t="str">
        <f t="shared" si="600"/>
        <v>2021-11</v>
      </c>
      <c r="O2965">
        <v>8639.7253899999996</v>
      </c>
      <c r="P2965">
        <f t="shared" si="607"/>
        <v>4.2221236648072149E-3</v>
      </c>
      <c r="Q2965" t="str">
        <f t="shared" si="601"/>
        <v>2021-11</v>
      </c>
      <c r="S2965">
        <v>8821.2999999999993</v>
      </c>
      <c r="T2965">
        <f t="shared" si="608"/>
        <v>7.7499036497049008E-3</v>
      </c>
      <c r="U2965" t="str">
        <f t="shared" si="602"/>
        <v>2021-11</v>
      </c>
      <c r="W2965">
        <v>27382.87</v>
      </c>
      <c r="X2965">
        <f t="shared" si="609"/>
        <v>1.6597125939861366E-3</v>
      </c>
      <c r="Y2965">
        <f t="shared" si="610"/>
        <v>1.6610906792364709E-3</v>
      </c>
      <c r="Z2965" t="str">
        <f t="shared" si="603"/>
        <v>2021-11</v>
      </c>
    </row>
    <row r="2966" spans="1:26" x14ac:dyDescent="0.35">
      <c r="A2966" s="1">
        <v>44523</v>
      </c>
      <c r="C2966">
        <v>4283.82</v>
      </c>
      <c r="D2966">
        <f t="shared" si="604"/>
        <v>-1.2727324334428977E-2</v>
      </c>
      <c r="E2966" t="str">
        <f t="shared" si="598"/>
        <v>2021-11</v>
      </c>
      <c r="G2966">
        <v>7044.62</v>
      </c>
      <c r="H2966">
        <f t="shared" si="605"/>
        <v>-8.5345566169827622E-3</v>
      </c>
      <c r="I2966" t="str">
        <f t="shared" si="599"/>
        <v>2021-11</v>
      </c>
      <c r="K2966">
        <v>15937</v>
      </c>
      <c r="L2966">
        <f t="shared" si="606"/>
        <v>-1.114988172428071E-2</v>
      </c>
      <c r="M2966" t="str">
        <f t="shared" si="600"/>
        <v>2021-11</v>
      </c>
      <c r="O2966">
        <v>8635.5706499999997</v>
      </c>
      <c r="P2966">
        <f t="shared" si="607"/>
        <v>-4.8100363322112823E-4</v>
      </c>
      <c r="Q2966" t="str">
        <f t="shared" si="601"/>
        <v>2021-11</v>
      </c>
      <c r="S2966">
        <v>8815.1</v>
      </c>
      <c r="T2966">
        <f t="shared" si="608"/>
        <v>-7.0309136279586028E-4</v>
      </c>
      <c r="U2966" t="str">
        <f t="shared" si="602"/>
        <v>2021-11</v>
      </c>
      <c r="W2966">
        <v>26939.4</v>
      </c>
      <c r="X2966">
        <f t="shared" si="609"/>
        <v>-1.6327736384937619E-2</v>
      </c>
      <c r="Y2966">
        <f t="shared" si="610"/>
        <v>-1.6195161427563932E-2</v>
      </c>
      <c r="Z2966" t="str">
        <f t="shared" si="603"/>
        <v>2021-11</v>
      </c>
    </row>
    <row r="2967" spans="1:26" x14ac:dyDescent="0.35">
      <c r="A2967" s="1">
        <v>44524</v>
      </c>
      <c r="C2967">
        <v>4276.25</v>
      </c>
      <c r="D2967">
        <f t="shared" si="604"/>
        <v>-1.7686775863714279E-3</v>
      </c>
      <c r="E2967" t="str">
        <f t="shared" si="598"/>
        <v>2021-11</v>
      </c>
      <c r="G2967">
        <v>7042.23</v>
      </c>
      <c r="H2967">
        <f t="shared" si="605"/>
        <v>-3.3932355678278198E-4</v>
      </c>
      <c r="I2967" t="str">
        <f t="shared" si="599"/>
        <v>2021-11</v>
      </c>
      <c r="K2967">
        <v>15878.39</v>
      </c>
      <c r="L2967">
        <f t="shared" si="606"/>
        <v>-3.6843845887812544E-3</v>
      </c>
      <c r="M2967" t="str">
        <f t="shared" si="600"/>
        <v>2021-11</v>
      </c>
      <c r="O2967">
        <v>8670.5646099999994</v>
      </c>
      <c r="P2967">
        <f t="shared" si="607"/>
        <v>4.0441158199368971E-3</v>
      </c>
      <c r="Q2967" t="str">
        <f t="shared" si="601"/>
        <v>2021-11</v>
      </c>
      <c r="S2967">
        <v>8792</v>
      </c>
      <c r="T2967">
        <f t="shared" si="608"/>
        <v>-2.623942983656825E-3</v>
      </c>
      <c r="U2967" t="str">
        <f t="shared" si="602"/>
        <v>2021-11</v>
      </c>
      <c r="W2967">
        <v>27109.3</v>
      </c>
      <c r="X2967">
        <f t="shared" si="609"/>
        <v>6.2869434275779337E-3</v>
      </c>
      <c r="Y2967">
        <f t="shared" si="610"/>
        <v>6.3067477375144884E-3</v>
      </c>
      <c r="Z2967" t="str">
        <f t="shared" si="603"/>
        <v>2021-11</v>
      </c>
    </row>
    <row r="2968" spans="1:26" x14ac:dyDescent="0.35">
      <c r="A2968" s="1">
        <v>44525</v>
      </c>
      <c r="C2968">
        <v>4293.24</v>
      </c>
      <c r="D2968">
        <f t="shared" si="604"/>
        <v>3.9652353316872255E-3</v>
      </c>
      <c r="E2968" t="str">
        <f t="shared" si="598"/>
        <v>2021-11</v>
      </c>
      <c r="G2968">
        <v>7075.87</v>
      </c>
      <c r="H2968">
        <f t="shared" si="605"/>
        <v>4.7655227919135273E-3</v>
      </c>
      <c r="I2968" t="str">
        <f t="shared" si="599"/>
        <v>2021-11</v>
      </c>
      <c r="K2968">
        <v>15917.98</v>
      </c>
      <c r="L2968">
        <f t="shared" si="606"/>
        <v>2.4902226549018249E-3</v>
      </c>
      <c r="M2968" t="str">
        <f t="shared" si="600"/>
        <v>2021-11</v>
      </c>
      <c r="O2968">
        <v>8689.6235699999997</v>
      </c>
      <c r="P2968">
        <f t="shared" si="607"/>
        <v>2.1957097998647436E-3</v>
      </c>
      <c r="Q2968" t="str">
        <f t="shared" si="601"/>
        <v>2021-11</v>
      </c>
      <c r="S2968">
        <v>8840.9</v>
      </c>
      <c r="T2968">
        <f t="shared" si="608"/>
        <v>5.5464643207011419E-3</v>
      </c>
      <c r="U2968" t="str">
        <f t="shared" si="602"/>
        <v>2021-11</v>
      </c>
      <c r="W2968">
        <v>27098.83</v>
      </c>
      <c r="X2968">
        <f t="shared" si="609"/>
        <v>-3.8628892493395206E-4</v>
      </c>
      <c r="Y2968">
        <f t="shared" si="610"/>
        <v>-3.8621432497325741E-4</v>
      </c>
      <c r="Z2968" t="str">
        <f t="shared" si="603"/>
        <v>2021-11</v>
      </c>
    </row>
    <row r="2969" spans="1:26" x14ac:dyDescent="0.35">
      <c r="A2969" s="1">
        <v>44526</v>
      </c>
      <c r="C2969">
        <v>4089.58</v>
      </c>
      <c r="D2969">
        <f t="shared" si="604"/>
        <v>-4.8599417346133204E-2</v>
      </c>
      <c r="E2969" t="str">
        <f t="shared" si="598"/>
        <v>2021-11</v>
      </c>
      <c r="G2969">
        <v>6739.73</v>
      </c>
      <c r="H2969">
        <f t="shared" si="605"/>
        <v>-4.8670539392574569E-2</v>
      </c>
      <c r="I2969" t="str">
        <f t="shared" si="599"/>
        <v>2021-11</v>
      </c>
      <c r="K2969">
        <v>15257.04</v>
      </c>
      <c r="L2969">
        <f t="shared" si="606"/>
        <v>-4.2408252068594075E-2</v>
      </c>
      <c r="M2969" t="str">
        <f t="shared" si="600"/>
        <v>2021-11</v>
      </c>
      <c r="O2969">
        <v>8309.0141600000006</v>
      </c>
      <c r="P2969">
        <f t="shared" si="607"/>
        <v>-4.478865187503514E-2</v>
      </c>
      <c r="Q2969" t="str">
        <f t="shared" si="601"/>
        <v>2021-11</v>
      </c>
      <c r="S2969">
        <v>8402.7000000000007</v>
      </c>
      <c r="T2969">
        <f t="shared" si="608"/>
        <v>-5.0835598648421236E-2</v>
      </c>
      <c r="U2969" t="str">
        <f t="shared" si="602"/>
        <v>2021-11</v>
      </c>
      <c r="W2969">
        <v>25852.99</v>
      </c>
      <c r="X2969">
        <f t="shared" si="609"/>
        <v>-4.7064291945019016E-2</v>
      </c>
      <c r="Y2969">
        <f t="shared" si="610"/>
        <v>-4.5973940572342054E-2</v>
      </c>
      <c r="Z2969" t="str">
        <f t="shared" si="603"/>
        <v>2021-11</v>
      </c>
    </row>
    <row r="2970" spans="1:26" x14ac:dyDescent="0.35">
      <c r="A2970" s="1">
        <v>44529</v>
      </c>
      <c r="C2970">
        <v>4109.51</v>
      </c>
      <c r="D2970">
        <f t="shared" si="604"/>
        <v>4.861524694282175E-3</v>
      </c>
      <c r="E2970" t="str">
        <f t="shared" si="598"/>
        <v>2021-11</v>
      </c>
      <c r="G2970">
        <v>6776.25</v>
      </c>
      <c r="H2970">
        <f t="shared" si="605"/>
        <v>5.4039868177734604E-3</v>
      </c>
      <c r="I2970" t="str">
        <f t="shared" si="599"/>
        <v>2021-11</v>
      </c>
      <c r="K2970">
        <v>15280.86</v>
      </c>
      <c r="L2970">
        <f t="shared" si="606"/>
        <v>1.5600290020516424E-3</v>
      </c>
      <c r="M2970" t="str">
        <f t="shared" si="600"/>
        <v>2021-11</v>
      </c>
      <c r="O2970">
        <v>8392.7444899999991</v>
      </c>
      <c r="P2970">
        <f t="shared" si="607"/>
        <v>1.0026612553200965E-2</v>
      </c>
      <c r="Q2970" t="str">
        <f t="shared" si="601"/>
        <v>2021-11</v>
      </c>
      <c r="S2970">
        <v>8455.2000000000007</v>
      </c>
      <c r="T2970">
        <f t="shared" si="608"/>
        <v>6.2285539394004502E-3</v>
      </c>
      <c r="U2970" t="str">
        <f t="shared" si="602"/>
        <v>2021-11</v>
      </c>
      <c r="W2970">
        <v>26041.55</v>
      </c>
      <c r="X2970">
        <f t="shared" si="609"/>
        <v>7.2670778015180466E-3</v>
      </c>
      <c r="Y2970">
        <f t="shared" si="610"/>
        <v>7.2935470906845849E-3</v>
      </c>
      <c r="Z2970" t="str">
        <f t="shared" si="603"/>
        <v>2021-11</v>
      </c>
    </row>
    <row r="2971" spans="1:26" x14ac:dyDescent="0.35">
      <c r="A2971" s="1">
        <v>44530</v>
      </c>
      <c r="C2971">
        <v>4063.06</v>
      </c>
      <c r="D2971">
        <f t="shared" si="604"/>
        <v>-1.1367415679719788E-2</v>
      </c>
      <c r="E2971" t="str">
        <f t="shared" si="598"/>
        <v>2021-11</v>
      </c>
      <c r="G2971">
        <v>6721.16</v>
      </c>
      <c r="H2971">
        <f t="shared" si="605"/>
        <v>-8.1630929066871926E-3</v>
      </c>
      <c r="I2971" t="str">
        <f t="shared" si="599"/>
        <v>2021-11</v>
      </c>
      <c r="K2971">
        <v>15100.13</v>
      </c>
      <c r="L2971">
        <f t="shared" si="606"/>
        <v>-1.1897711821732396E-2</v>
      </c>
      <c r="M2971" t="str">
        <f t="shared" si="600"/>
        <v>2021-11</v>
      </c>
      <c r="O2971">
        <v>8278.3613100000002</v>
      </c>
      <c r="P2971">
        <f t="shared" si="607"/>
        <v>-1.37225420205628E-2</v>
      </c>
      <c r="Q2971" t="str">
        <f t="shared" si="601"/>
        <v>2021-11</v>
      </c>
      <c r="S2971">
        <v>8305.1</v>
      </c>
      <c r="T2971">
        <f t="shared" si="608"/>
        <v>-1.7911852781040648E-2</v>
      </c>
      <c r="U2971" t="str">
        <f t="shared" si="602"/>
        <v>2021-11</v>
      </c>
      <c r="W2971">
        <v>25814.34</v>
      </c>
      <c r="X2971">
        <f t="shared" si="609"/>
        <v>-8.7631879047240825E-3</v>
      </c>
      <c r="Y2971">
        <f t="shared" si="610"/>
        <v>-8.7249030875657992E-3</v>
      </c>
      <c r="Z2971" t="str">
        <f t="shared" si="603"/>
        <v>2021-11</v>
      </c>
    </row>
    <row r="2972" spans="1:26" x14ac:dyDescent="0.35">
      <c r="A2972" s="1">
        <v>44531</v>
      </c>
      <c r="C2972">
        <v>4179.1499999999996</v>
      </c>
      <c r="D2972">
        <f t="shared" si="604"/>
        <v>2.8171492266305692E-2</v>
      </c>
      <c r="E2972" t="str">
        <f t="shared" si="598"/>
        <v>2021-12</v>
      </c>
      <c r="G2972">
        <v>6881.87</v>
      </c>
      <c r="H2972">
        <f t="shared" si="605"/>
        <v>2.3629658653549834E-2</v>
      </c>
      <c r="I2972" t="str">
        <f t="shared" si="599"/>
        <v>2021-12</v>
      </c>
      <c r="K2972">
        <v>15472.67</v>
      </c>
      <c r="L2972">
        <f t="shared" si="606"/>
        <v>2.4371888751095711E-2</v>
      </c>
      <c r="M2972" t="str">
        <f t="shared" si="600"/>
        <v>2021-12</v>
      </c>
      <c r="O2972">
        <v>8421.4897600000004</v>
      </c>
      <c r="P2972">
        <f t="shared" si="607"/>
        <v>1.7141704329936166E-2</v>
      </c>
      <c r="Q2972" t="str">
        <f t="shared" si="601"/>
        <v>2021-12</v>
      </c>
      <c r="S2972">
        <v>8452.6</v>
      </c>
      <c r="T2972">
        <f t="shared" si="608"/>
        <v>1.7604302417244633E-2</v>
      </c>
      <c r="U2972" t="str">
        <f t="shared" si="602"/>
        <v>2021-12</v>
      </c>
      <c r="W2972">
        <v>26371.919999999998</v>
      </c>
      <c r="X2972">
        <f t="shared" si="609"/>
        <v>2.136965625235503E-2</v>
      </c>
      <c r="Y2972">
        <f t="shared" si="610"/>
        <v>2.1599622535381426E-2</v>
      </c>
      <c r="Z2972" t="str">
        <f t="shared" si="603"/>
        <v>2021-12</v>
      </c>
    </row>
    <row r="2973" spans="1:26" x14ac:dyDescent="0.35">
      <c r="A2973" s="1">
        <v>44532</v>
      </c>
      <c r="C2973">
        <v>4108.0200000000004</v>
      </c>
      <c r="D2973">
        <f t="shared" si="604"/>
        <v>-1.7166715972466624E-2</v>
      </c>
      <c r="E2973" t="str">
        <f t="shared" si="598"/>
        <v>2021-12</v>
      </c>
      <c r="G2973">
        <v>6795.75</v>
      </c>
      <c r="H2973">
        <f t="shared" si="605"/>
        <v>-1.2593000551130882E-2</v>
      </c>
      <c r="I2973" t="str">
        <f t="shared" si="599"/>
        <v>2021-12</v>
      </c>
      <c r="K2973">
        <v>15263.11</v>
      </c>
      <c r="L2973">
        <f t="shared" si="606"/>
        <v>-1.3636435928316537E-2</v>
      </c>
      <c r="M2973" t="str">
        <f t="shared" si="600"/>
        <v>2021-12</v>
      </c>
      <c r="O2973">
        <v>8390.0514399999993</v>
      </c>
      <c r="P2973">
        <f t="shared" si="607"/>
        <v>-3.7400921513789957E-3</v>
      </c>
      <c r="Q2973" t="str">
        <f t="shared" si="601"/>
        <v>2021-12</v>
      </c>
      <c r="S2973">
        <v>8300.7999999999993</v>
      </c>
      <c r="T2973">
        <f t="shared" si="608"/>
        <v>-1.8122190649271817E-2</v>
      </c>
      <c r="U2973" t="str">
        <f t="shared" si="602"/>
        <v>2021-12</v>
      </c>
      <c r="W2973">
        <v>26005.4</v>
      </c>
      <c r="X2973">
        <f t="shared" si="609"/>
        <v>-1.399559896193864E-2</v>
      </c>
      <c r="Y2973">
        <f t="shared" si="610"/>
        <v>-1.3898115874763643E-2</v>
      </c>
      <c r="Z2973" t="str">
        <f t="shared" si="603"/>
        <v>2021-12</v>
      </c>
    </row>
    <row r="2974" spans="1:26" x14ac:dyDescent="0.35">
      <c r="A2974" s="1">
        <v>44533</v>
      </c>
      <c r="C2974">
        <v>4080.15</v>
      </c>
      <c r="D2974">
        <f t="shared" si="604"/>
        <v>-6.8074081574853807E-3</v>
      </c>
      <c r="E2974" t="str">
        <f t="shared" si="598"/>
        <v>2021-12</v>
      </c>
      <c r="G2974">
        <v>6765.52</v>
      </c>
      <c r="H2974">
        <f t="shared" si="605"/>
        <v>-4.4582918962402926E-3</v>
      </c>
      <c r="I2974" t="str">
        <f t="shared" si="599"/>
        <v>2021-12</v>
      </c>
      <c r="K2974">
        <v>15169.98</v>
      </c>
      <c r="L2974">
        <f t="shared" si="606"/>
        <v>-6.1203309101120536E-3</v>
      </c>
      <c r="M2974" t="str">
        <f t="shared" si="600"/>
        <v>2021-12</v>
      </c>
      <c r="O2974">
        <v>8335.0853000000006</v>
      </c>
      <c r="P2974">
        <f t="shared" si="607"/>
        <v>-6.572901465181794E-3</v>
      </c>
      <c r="Q2974" t="str">
        <f t="shared" si="601"/>
        <v>2021-12</v>
      </c>
      <c r="S2974">
        <v>8241.7000000000007</v>
      </c>
      <c r="T2974">
        <f t="shared" si="608"/>
        <v>-7.1452623780623864E-3</v>
      </c>
      <c r="U2974" t="str">
        <f t="shared" si="602"/>
        <v>2021-12</v>
      </c>
      <c r="W2974">
        <v>25938.52</v>
      </c>
      <c r="X2974">
        <f t="shared" si="609"/>
        <v>-2.5750862452104191E-3</v>
      </c>
      <c r="Y2974">
        <f t="shared" si="610"/>
        <v>-2.5717735547232889E-3</v>
      </c>
      <c r="Z2974" t="str">
        <f t="shared" si="603"/>
        <v>2021-12</v>
      </c>
    </row>
    <row r="2975" spans="1:26" x14ac:dyDescent="0.35">
      <c r="A2975" s="1">
        <v>44536</v>
      </c>
      <c r="C2975">
        <v>4137.1099999999997</v>
      </c>
      <c r="D2975">
        <f t="shared" si="604"/>
        <v>1.3863723995566631E-2</v>
      </c>
      <c r="E2975" t="str">
        <f t="shared" si="598"/>
        <v>2021-12</v>
      </c>
      <c r="G2975">
        <v>6865.78</v>
      </c>
      <c r="H2975">
        <f t="shared" si="605"/>
        <v>1.4710527684423871E-2</v>
      </c>
      <c r="I2975" t="str">
        <f t="shared" si="599"/>
        <v>2021-12</v>
      </c>
      <c r="K2975">
        <v>15380.79</v>
      </c>
      <c r="L2975">
        <f t="shared" si="606"/>
        <v>1.3800853199953968E-2</v>
      </c>
      <c r="M2975" t="str">
        <f t="shared" si="600"/>
        <v>2021-12</v>
      </c>
      <c r="O2975">
        <v>8498.6824300000007</v>
      </c>
      <c r="P2975">
        <f t="shared" si="607"/>
        <v>1.9437393142358282E-2</v>
      </c>
      <c r="Q2975" t="str">
        <f t="shared" si="601"/>
        <v>2021-12</v>
      </c>
      <c r="S2975">
        <v>8439.7000000000007</v>
      </c>
      <c r="T2975">
        <f t="shared" si="608"/>
        <v>2.3740129630559301E-2</v>
      </c>
      <c r="U2975" t="str">
        <f t="shared" si="602"/>
        <v>2021-12</v>
      </c>
      <c r="W2975">
        <v>26498.07</v>
      </c>
      <c r="X2975">
        <f t="shared" si="609"/>
        <v>2.1342777632347893E-2</v>
      </c>
      <c r="Y2975">
        <f t="shared" si="610"/>
        <v>2.1572163716356958E-2</v>
      </c>
      <c r="Z2975" t="str">
        <f t="shared" si="603"/>
        <v>2021-12</v>
      </c>
    </row>
    <row r="2976" spans="1:26" x14ac:dyDescent="0.35">
      <c r="A2976" s="1">
        <v>44537</v>
      </c>
      <c r="C2976">
        <v>4276.2</v>
      </c>
      <c r="D2976">
        <f t="shared" si="604"/>
        <v>3.3067288312028716E-2</v>
      </c>
      <c r="E2976" t="str">
        <f t="shared" si="598"/>
        <v>2021-12</v>
      </c>
      <c r="G2976">
        <v>7065.39</v>
      </c>
      <c r="H2976">
        <f t="shared" si="605"/>
        <v>2.8658563735120712E-2</v>
      </c>
      <c r="I2976" t="str">
        <f t="shared" si="599"/>
        <v>2021-12</v>
      </c>
      <c r="K2976">
        <v>15813.94</v>
      </c>
      <c r="L2976">
        <f t="shared" si="606"/>
        <v>2.7772501367086307E-2</v>
      </c>
      <c r="M2976" t="str">
        <f t="shared" si="600"/>
        <v>2021-12</v>
      </c>
      <c r="O2976">
        <v>8634.3700900000003</v>
      </c>
      <c r="P2976">
        <f t="shared" si="607"/>
        <v>1.5839617226267391E-2</v>
      </c>
      <c r="Q2976" t="str">
        <f t="shared" si="601"/>
        <v>2021-12</v>
      </c>
      <c r="S2976">
        <v>8559.5</v>
      </c>
      <c r="T2976">
        <f t="shared" si="608"/>
        <v>1.4095014280266171E-2</v>
      </c>
      <c r="U2976" t="str">
        <f t="shared" si="602"/>
        <v>2021-12</v>
      </c>
      <c r="W2976">
        <v>27137.98</v>
      </c>
      <c r="X2976">
        <f t="shared" si="609"/>
        <v>2.3862322598254482E-2</v>
      </c>
      <c r="Y2976">
        <f t="shared" si="610"/>
        <v>2.4149305968321461E-2</v>
      </c>
      <c r="Z2976" t="str">
        <f t="shared" si="603"/>
        <v>2021-12</v>
      </c>
    </row>
    <row r="2977" spans="1:26" x14ac:dyDescent="0.35">
      <c r="A2977" s="1">
        <v>44538</v>
      </c>
      <c r="C2977">
        <v>4233.09</v>
      </c>
      <c r="D2977">
        <f t="shared" si="604"/>
        <v>-1.0132541924324213E-2</v>
      </c>
      <c r="E2977" t="str">
        <f t="shared" si="598"/>
        <v>2021-12</v>
      </c>
      <c r="G2977">
        <v>7014.57</v>
      </c>
      <c r="H2977">
        <f t="shared" si="605"/>
        <v>-7.2188018560163693E-3</v>
      </c>
      <c r="I2977" t="str">
        <f t="shared" si="599"/>
        <v>2021-12</v>
      </c>
      <c r="K2977">
        <v>15687.09</v>
      </c>
      <c r="L2977">
        <f t="shared" si="606"/>
        <v>-8.0537484427514808E-3</v>
      </c>
      <c r="M2977" t="str">
        <f t="shared" si="600"/>
        <v>2021-12</v>
      </c>
      <c r="O2977">
        <v>8557.6289400000005</v>
      </c>
      <c r="P2977">
        <f t="shared" si="607"/>
        <v>-8.9276016788734716E-3</v>
      </c>
      <c r="Q2977" t="str">
        <f t="shared" si="601"/>
        <v>2021-12</v>
      </c>
      <c r="S2977">
        <v>8478.4</v>
      </c>
      <c r="T2977">
        <f t="shared" si="608"/>
        <v>-9.5200244763354504E-3</v>
      </c>
      <c r="U2977" t="str">
        <f t="shared" si="602"/>
        <v>2021-12</v>
      </c>
      <c r="W2977">
        <v>26751.93</v>
      </c>
      <c r="X2977">
        <f t="shared" si="609"/>
        <v>-1.4327602477431237E-2</v>
      </c>
      <c r="Y2977">
        <f t="shared" si="610"/>
        <v>-1.4225450825743084E-2</v>
      </c>
      <c r="Z2977" t="str">
        <f t="shared" si="603"/>
        <v>2021-12</v>
      </c>
    </row>
    <row r="2978" spans="1:26" x14ac:dyDescent="0.35">
      <c r="A2978" s="1">
        <v>44539</v>
      </c>
      <c r="C2978">
        <v>4208.3</v>
      </c>
      <c r="D2978">
        <f t="shared" si="604"/>
        <v>-5.8734571595536085E-3</v>
      </c>
      <c r="E2978" t="str">
        <f t="shared" si="598"/>
        <v>2021-12</v>
      </c>
      <c r="G2978">
        <v>7008.23</v>
      </c>
      <c r="H2978">
        <f t="shared" si="605"/>
        <v>-9.0424172518945945E-4</v>
      </c>
      <c r="I2978" t="str">
        <f t="shared" si="599"/>
        <v>2021-12</v>
      </c>
      <c r="K2978">
        <v>15639.26</v>
      </c>
      <c r="L2978">
        <f t="shared" si="606"/>
        <v>-3.0536616725082943E-3</v>
      </c>
      <c r="M2978" t="str">
        <f t="shared" si="600"/>
        <v>2021-12</v>
      </c>
      <c r="O2978">
        <v>8567.6250799999998</v>
      </c>
      <c r="P2978">
        <f t="shared" si="607"/>
        <v>1.1674152247438427E-3</v>
      </c>
      <c r="Q2978" t="str">
        <f t="shared" si="601"/>
        <v>2021-12</v>
      </c>
      <c r="S2978">
        <v>8399.6</v>
      </c>
      <c r="T2978">
        <f t="shared" si="608"/>
        <v>-9.3376670885344897E-3</v>
      </c>
      <c r="U2978" t="str">
        <f t="shared" si="602"/>
        <v>2021-12</v>
      </c>
      <c r="W2978">
        <v>26817.38</v>
      </c>
      <c r="X2978">
        <f t="shared" si="609"/>
        <v>2.443564517327751E-3</v>
      </c>
      <c r="Y2978">
        <f t="shared" si="610"/>
        <v>2.4465524543463117E-3</v>
      </c>
      <c r="Z2978" t="str">
        <f t="shared" si="603"/>
        <v>2021-12</v>
      </c>
    </row>
    <row r="2979" spans="1:26" x14ac:dyDescent="0.35">
      <c r="A2979" s="1">
        <v>44540</v>
      </c>
      <c r="C2979">
        <v>4199.16</v>
      </c>
      <c r="D2979">
        <f t="shared" si="604"/>
        <v>-2.1742603832095612E-3</v>
      </c>
      <c r="E2979" t="str">
        <f t="shared" si="598"/>
        <v>2021-12</v>
      </c>
      <c r="G2979">
        <v>6991.68</v>
      </c>
      <c r="H2979">
        <f t="shared" si="605"/>
        <v>-2.3643020147180267E-3</v>
      </c>
      <c r="I2979" t="str">
        <f t="shared" si="599"/>
        <v>2021-12</v>
      </c>
      <c r="K2979">
        <v>15623.31</v>
      </c>
      <c r="L2979">
        <f t="shared" si="606"/>
        <v>-1.0203896470394568E-3</v>
      </c>
      <c r="M2979" t="str">
        <f t="shared" si="600"/>
        <v>2021-12</v>
      </c>
      <c r="O2979">
        <v>8547.3396100000009</v>
      </c>
      <c r="P2979">
        <f t="shared" si="607"/>
        <v>-2.3704962138716254E-3</v>
      </c>
      <c r="Q2979" t="str">
        <f t="shared" si="601"/>
        <v>2021-12</v>
      </c>
      <c r="S2979">
        <v>8360.2000000000007</v>
      </c>
      <c r="T2979">
        <f t="shared" si="608"/>
        <v>-4.7017354124007458E-3</v>
      </c>
      <c r="U2979" t="str">
        <f t="shared" si="602"/>
        <v>2021-12</v>
      </c>
      <c r="W2979">
        <v>26721.98</v>
      </c>
      <c r="X2979">
        <f t="shared" si="609"/>
        <v>-3.5637370699516439E-3</v>
      </c>
      <c r="Y2979">
        <f t="shared" si="610"/>
        <v>-3.5573944956592126E-3</v>
      </c>
      <c r="Z2979" t="str">
        <f t="shared" si="603"/>
        <v>2021-12</v>
      </c>
    </row>
    <row r="2980" spans="1:26" x14ac:dyDescent="0.35">
      <c r="A2980" s="1">
        <v>44543</v>
      </c>
      <c r="C2980">
        <v>4183.04</v>
      </c>
      <c r="D2980">
        <f t="shared" si="604"/>
        <v>-3.8462503573732871E-3</v>
      </c>
      <c r="E2980" t="str">
        <f t="shared" si="598"/>
        <v>2021-12</v>
      </c>
      <c r="G2980">
        <v>6942.91</v>
      </c>
      <c r="H2980">
        <f t="shared" si="605"/>
        <v>-6.999875724643943E-3</v>
      </c>
      <c r="I2980" t="str">
        <f t="shared" si="599"/>
        <v>2021-12</v>
      </c>
      <c r="K2980">
        <v>15621.72</v>
      </c>
      <c r="L2980">
        <f t="shared" si="606"/>
        <v>-1.0177618657252866E-4</v>
      </c>
      <c r="M2980" t="str">
        <f t="shared" si="600"/>
        <v>2021-12</v>
      </c>
      <c r="O2980">
        <v>8460.9064699999999</v>
      </c>
      <c r="P2980">
        <f t="shared" si="607"/>
        <v>-1.0163762171866259E-2</v>
      </c>
      <c r="Q2980" t="str">
        <f t="shared" si="601"/>
        <v>2021-12</v>
      </c>
      <c r="S2980">
        <v>8322.7000000000007</v>
      </c>
      <c r="T2980">
        <f t="shared" si="608"/>
        <v>-4.4956288365151538E-3</v>
      </c>
      <c r="U2980" t="str">
        <f t="shared" si="602"/>
        <v>2021-12</v>
      </c>
      <c r="W2980">
        <v>26551.02</v>
      </c>
      <c r="X2980">
        <f t="shared" si="609"/>
        <v>-6.4182826903612447E-3</v>
      </c>
      <c r="Y2980">
        <f t="shared" si="610"/>
        <v>-6.3977295095647528E-3</v>
      </c>
      <c r="Z2980" t="str">
        <f t="shared" si="603"/>
        <v>2021-12</v>
      </c>
    </row>
    <row r="2981" spans="1:26" x14ac:dyDescent="0.35">
      <c r="A2981" s="1">
        <v>44544</v>
      </c>
      <c r="C2981">
        <v>4144.51</v>
      </c>
      <c r="D2981">
        <f t="shared" si="604"/>
        <v>-9.2536880464601356E-3</v>
      </c>
      <c r="E2981" t="str">
        <f t="shared" si="598"/>
        <v>2021-12</v>
      </c>
      <c r="G2981">
        <v>6895.31</v>
      </c>
      <c r="H2981">
        <f t="shared" si="605"/>
        <v>-6.8795246402634323E-3</v>
      </c>
      <c r="I2981" t="str">
        <f t="shared" si="599"/>
        <v>2021-12</v>
      </c>
      <c r="K2981">
        <v>15453.56</v>
      </c>
      <c r="L2981">
        <f t="shared" si="606"/>
        <v>-1.0822856073224411E-2</v>
      </c>
      <c r="M2981" t="str">
        <f t="shared" si="600"/>
        <v>2021-12</v>
      </c>
      <c r="O2981">
        <v>8471.2712800000008</v>
      </c>
      <c r="P2981">
        <f t="shared" si="607"/>
        <v>1.2242738586423147E-3</v>
      </c>
      <c r="Q2981" t="str">
        <f t="shared" si="601"/>
        <v>2021-12</v>
      </c>
      <c r="S2981">
        <v>8378.5</v>
      </c>
      <c r="T2981">
        <f t="shared" si="608"/>
        <v>6.6821794397316633E-3</v>
      </c>
      <c r="U2981" t="str">
        <f t="shared" si="602"/>
        <v>2021-12</v>
      </c>
      <c r="W2981">
        <v>26556.67</v>
      </c>
      <c r="X2981">
        <f t="shared" si="609"/>
        <v>2.1277521282944879E-4</v>
      </c>
      <c r="Y2981">
        <f t="shared" si="610"/>
        <v>2.1279785108059191E-4</v>
      </c>
      <c r="Z2981" t="str">
        <f t="shared" si="603"/>
        <v>2021-12</v>
      </c>
    </row>
    <row r="2982" spans="1:26" x14ac:dyDescent="0.35">
      <c r="A2982" s="1">
        <v>44545</v>
      </c>
      <c r="C2982">
        <v>4159.68</v>
      </c>
      <c r="D2982">
        <f t="shared" si="604"/>
        <v>3.6535813546952948E-3</v>
      </c>
      <c r="E2982" t="str">
        <f t="shared" si="598"/>
        <v>2021-12</v>
      </c>
      <c r="G2982">
        <v>6927.63</v>
      </c>
      <c r="H2982">
        <f t="shared" si="605"/>
        <v>4.6762930168296407E-3</v>
      </c>
      <c r="I2982" t="str">
        <f t="shared" si="599"/>
        <v>2021-12</v>
      </c>
      <c r="K2982">
        <v>15476.35</v>
      </c>
      <c r="L2982">
        <f t="shared" si="606"/>
        <v>1.4736547325447857E-3</v>
      </c>
      <c r="M2982" t="str">
        <f t="shared" si="600"/>
        <v>2021-12</v>
      </c>
      <c r="O2982">
        <v>8413.8498199999995</v>
      </c>
      <c r="P2982">
        <f t="shared" si="607"/>
        <v>-6.8014533053535314E-3</v>
      </c>
      <c r="Q2982" t="str">
        <f t="shared" si="601"/>
        <v>2021-12</v>
      </c>
      <c r="S2982">
        <v>8275</v>
      </c>
      <c r="T2982">
        <f t="shared" si="608"/>
        <v>-1.2429979595515126E-2</v>
      </c>
      <c r="U2982" t="str">
        <f t="shared" si="602"/>
        <v>2021-12</v>
      </c>
      <c r="W2982">
        <v>26666.080000000002</v>
      </c>
      <c r="X2982">
        <f t="shared" si="609"/>
        <v>4.1114055218506047E-3</v>
      </c>
      <c r="Y2982">
        <f t="shared" si="610"/>
        <v>4.1198689444122139E-3</v>
      </c>
      <c r="Z2982" t="str">
        <f t="shared" si="603"/>
        <v>2021-12</v>
      </c>
    </row>
    <row r="2983" spans="1:26" x14ac:dyDescent="0.35">
      <c r="A2983" s="1">
        <v>44546</v>
      </c>
      <c r="C2983">
        <v>4201.87</v>
      </c>
      <c r="D2983">
        <f t="shared" si="604"/>
        <v>1.0091516057973737E-2</v>
      </c>
      <c r="E2983" t="str">
        <f t="shared" si="598"/>
        <v>2021-12</v>
      </c>
      <c r="G2983">
        <v>7005.07</v>
      </c>
      <c r="H2983">
        <f t="shared" si="605"/>
        <v>1.1116409233837962E-2</v>
      </c>
      <c r="I2983" t="str">
        <f t="shared" si="599"/>
        <v>2021-12</v>
      </c>
      <c r="K2983">
        <v>15636.4</v>
      </c>
      <c r="L2983">
        <f t="shared" si="606"/>
        <v>1.0288477348275373E-2</v>
      </c>
      <c r="M2983" t="str">
        <f t="shared" si="600"/>
        <v>2021-12</v>
      </c>
      <c r="O2983">
        <v>8544.2714799999994</v>
      </c>
      <c r="P2983">
        <f t="shared" si="607"/>
        <v>1.5381919871967187E-2</v>
      </c>
      <c r="Q2983" t="str">
        <f t="shared" si="601"/>
        <v>2021-12</v>
      </c>
      <c r="S2983">
        <v>8380</v>
      </c>
      <c r="T2983">
        <f t="shared" si="608"/>
        <v>1.2608993230865036E-2</v>
      </c>
      <c r="U2983" t="str">
        <f t="shared" si="602"/>
        <v>2021-12</v>
      </c>
      <c r="W2983">
        <v>26782.44</v>
      </c>
      <c r="X2983">
        <f t="shared" si="609"/>
        <v>4.3541031194660887E-3</v>
      </c>
      <c r="Y2983">
        <f t="shared" si="610"/>
        <v>4.3635959991118658E-3</v>
      </c>
      <c r="Z2983" t="str">
        <f t="shared" si="603"/>
        <v>2021-12</v>
      </c>
    </row>
    <row r="2984" spans="1:26" x14ac:dyDescent="0.35">
      <c r="A2984" s="1">
        <v>44547</v>
      </c>
      <c r="C2984">
        <v>4161.3500000000004</v>
      </c>
      <c r="D2984">
        <f t="shared" si="604"/>
        <v>-9.6901234365261747E-3</v>
      </c>
      <c r="E2984" t="str">
        <f t="shared" si="598"/>
        <v>2021-12</v>
      </c>
      <c r="G2984">
        <v>6926.63</v>
      </c>
      <c r="H2984">
        <f t="shared" si="605"/>
        <v>-1.1260769163814244E-2</v>
      </c>
      <c r="I2984" t="str">
        <f t="shared" si="599"/>
        <v>2021-12</v>
      </c>
      <c r="K2984">
        <v>15531.69</v>
      </c>
      <c r="L2984">
        <f t="shared" si="606"/>
        <v>-6.7190767182785304E-3</v>
      </c>
      <c r="M2984" t="str">
        <f t="shared" si="600"/>
        <v>2021-12</v>
      </c>
      <c r="O2984">
        <v>8555.7693600000002</v>
      </c>
      <c r="P2984">
        <f t="shared" si="607"/>
        <v>1.3447782774720163E-3</v>
      </c>
      <c r="Q2984" t="str">
        <f t="shared" si="601"/>
        <v>2021-12</v>
      </c>
      <c r="S2984">
        <v>8311.6</v>
      </c>
      <c r="T2984">
        <f t="shared" si="608"/>
        <v>-8.1957850504036159E-3</v>
      </c>
      <c r="U2984" t="str">
        <f t="shared" si="602"/>
        <v>2021-12</v>
      </c>
      <c r="W2984">
        <v>26611.41</v>
      </c>
      <c r="X2984">
        <f t="shared" si="609"/>
        <v>-6.4063776987826693E-3</v>
      </c>
      <c r="Y2984">
        <f t="shared" si="610"/>
        <v>-6.3859006124908279E-3</v>
      </c>
      <c r="Z2984" t="str">
        <f t="shared" si="603"/>
        <v>2021-12</v>
      </c>
    </row>
    <row r="2985" spans="1:26" x14ac:dyDescent="0.35">
      <c r="A2985" s="1">
        <v>44550</v>
      </c>
      <c r="C2985">
        <v>4107.13</v>
      </c>
      <c r="D2985">
        <f t="shared" si="604"/>
        <v>-1.3115053110601169E-2</v>
      </c>
      <c r="E2985" t="str">
        <f t="shared" si="598"/>
        <v>2021-12</v>
      </c>
      <c r="G2985">
        <v>6870.1</v>
      </c>
      <c r="H2985">
        <f t="shared" si="605"/>
        <v>-8.1947412683921403E-3</v>
      </c>
      <c r="I2985" t="str">
        <f t="shared" si="599"/>
        <v>2021-12</v>
      </c>
      <c r="K2985">
        <v>15239.67</v>
      </c>
      <c r="L2985">
        <f t="shared" si="606"/>
        <v>-1.8980556394743463E-2</v>
      </c>
      <c r="M2985" t="str">
        <f t="shared" si="600"/>
        <v>2021-12</v>
      </c>
      <c r="O2985">
        <v>8427.25756</v>
      </c>
      <c r="P2985">
        <f t="shared" si="607"/>
        <v>-1.5134434347517463E-2</v>
      </c>
      <c r="Q2985" t="str">
        <f t="shared" si="601"/>
        <v>2021-12</v>
      </c>
      <c r="S2985">
        <v>8242.4</v>
      </c>
      <c r="T2985">
        <f t="shared" si="608"/>
        <v>-8.3605657948668862E-3</v>
      </c>
      <c r="U2985" t="str">
        <f t="shared" si="602"/>
        <v>2021-12</v>
      </c>
      <c r="W2985">
        <v>26177.759999999998</v>
      </c>
      <c r="X2985">
        <f t="shared" si="609"/>
        <v>-1.6429875860617841E-2</v>
      </c>
      <c r="Y2985">
        <f t="shared" si="610"/>
        <v>-1.6295641606363639E-2</v>
      </c>
      <c r="Z2985" t="str">
        <f t="shared" si="603"/>
        <v>2021-12</v>
      </c>
    </row>
    <row r="2986" spans="1:26" x14ac:dyDescent="0.35">
      <c r="A2986" s="1">
        <v>44551</v>
      </c>
      <c r="C2986">
        <v>4174.99</v>
      </c>
      <c r="D2986">
        <f t="shared" si="604"/>
        <v>1.6387475342005551E-2</v>
      </c>
      <c r="E2986" t="str">
        <f t="shared" si="598"/>
        <v>2021-12</v>
      </c>
      <c r="G2986">
        <v>6964.99</v>
      </c>
      <c r="H2986">
        <f t="shared" si="605"/>
        <v>1.3717509311481951E-2</v>
      </c>
      <c r="I2986" t="str">
        <f t="shared" si="599"/>
        <v>2021-12</v>
      </c>
      <c r="K2986">
        <v>15447.44</v>
      </c>
      <c r="L2986">
        <f t="shared" si="606"/>
        <v>1.3541397341058059E-2</v>
      </c>
      <c r="M2986" t="str">
        <f t="shared" si="600"/>
        <v>2021-12</v>
      </c>
      <c r="O2986">
        <v>8581.1116600000005</v>
      </c>
      <c r="P2986">
        <f t="shared" si="607"/>
        <v>1.8092069222162624E-2</v>
      </c>
      <c r="Q2986" t="str">
        <f t="shared" si="601"/>
        <v>2021-12</v>
      </c>
      <c r="S2986">
        <v>8387.5</v>
      </c>
      <c r="T2986">
        <f t="shared" si="608"/>
        <v>1.745093864907897E-2</v>
      </c>
      <c r="U2986" t="str">
        <f t="shared" si="602"/>
        <v>2021-12</v>
      </c>
      <c r="W2986">
        <v>26653.3</v>
      </c>
      <c r="X2986">
        <f t="shared" si="609"/>
        <v>1.8002775014161105E-2</v>
      </c>
      <c r="Y2986">
        <f t="shared" si="610"/>
        <v>1.8165801810391756E-2</v>
      </c>
      <c r="Z2986" t="str">
        <f t="shared" si="603"/>
        <v>2021-12</v>
      </c>
    </row>
    <row r="2987" spans="1:26" x14ac:dyDescent="0.35">
      <c r="A2987" s="1">
        <v>44552</v>
      </c>
      <c r="C2987">
        <v>4217.0600000000004</v>
      </c>
      <c r="D2987">
        <f t="shared" si="604"/>
        <v>1.0026239697093584E-2</v>
      </c>
      <c r="E2987" t="str">
        <f t="shared" si="598"/>
        <v>2021-12</v>
      </c>
      <c r="G2987">
        <v>7051.67</v>
      </c>
      <c r="H2987">
        <f t="shared" si="605"/>
        <v>1.2368296724739557E-2</v>
      </c>
      <c r="I2987" t="str">
        <f t="shared" si="599"/>
        <v>2021-12</v>
      </c>
      <c r="K2987">
        <v>15593.47</v>
      </c>
      <c r="L2987">
        <f t="shared" si="606"/>
        <v>9.4089430569492625E-3</v>
      </c>
      <c r="M2987" t="str">
        <f t="shared" si="600"/>
        <v>2021-12</v>
      </c>
      <c r="O2987">
        <v>8655.8877799999991</v>
      </c>
      <c r="P2987">
        <f t="shared" si="607"/>
        <v>8.6762883926101726E-3</v>
      </c>
      <c r="Q2987" t="str">
        <f t="shared" si="601"/>
        <v>2021-12</v>
      </c>
      <c r="S2987">
        <v>8459.1</v>
      </c>
      <c r="T2987">
        <f t="shared" si="608"/>
        <v>8.5002826825378817E-3</v>
      </c>
      <c r="U2987" t="str">
        <f t="shared" si="602"/>
        <v>2021-12</v>
      </c>
      <c r="W2987">
        <v>26827.93</v>
      </c>
      <c r="X2987">
        <f t="shared" si="609"/>
        <v>6.5305386818382298E-3</v>
      </c>
      <c r="Y2987">
        <f t="shared" si="610"/>
        <v>6.5519091444586983E-3</v>
      </c>
      <c r="Z2987" t="str">
        <f t="shared" si="603"/>
        <v>2021-12</v>
      </c>
    </row>
    <row r="2988" spans="1:26" x14ac:dyDescent="0.35">
      <c r="A2988" s="1">
        <v>44553</v>
      </c>
      <c r="C2988">
        <v>4265.8599999999997</v>
      </c>
      <c r="D2988">
        <f t="shared" si="604"/>
        <v>1.1505599095431224E-2</v>
      </c>
      <c r="E2988" t="str">
        <f t="shared" si="598"/>
        <v>2021-12</v>
      </c>
      <c r="G2988">
        <v>7106.15</v>
      </c>
      <c r="H2988">
        <f t="shared" si="605"/>
        <v>7.6961380927844034E-3</v>
      </c>
      <c r="I2988" t="str">
        <f t="shared" si="599"/>
        <v>2021-12</v>
      </c>
      <c r="K2988">
        <v>15756.31</v>
      </c>
      <c r="L2988">
        <f t="shared" si="606"/>
        <v>1.0388683080776622E-2</v>
      </c>
      <c r="M2988" t="str">
        <f t="shared" si="600"/>
        <v>2021-12</v>
      </c>
      <c r="O2988">
        <v>8726.7774599999993</v>
      </c>
      <c r="P2988">
        <f t="shared" si="607"/>
        <v>8.156410081816912E-3</v>
      </c>
      <c r="Q2988" t="str">
        <f t="shared" si="601"/>
        <v>2021-12</v>
      </c>
      <c r="S2988">
        <v>8563.7000000000007</v>
      </c>
      <c r="T2988">
        <f t="shared" si="608"/>
        <v>1.2289554773875994E-2</v>
      </c>
      <c r="U2988" t="str">
        <f t="shared" si="602"/>
        <v>2021-12</v>
      </c>
      <c r="W2988">
        <v>27016.22</v>
      </c>
      <c r="X2988">
        <f t="shared" si="609"/>
        <v>6.9939173527525196E-3</v>
      </c>
      <c r="Y2988">
        <f t="shared" si="610"/>
        <v>7.0184319103263233E-3</v>
      </c>
      <c r="Z2988" t="str">
        <f t="shared" si="603"/>
        <v>2021-12</v>
      </c>
    </row>
    <row r="2989" spans="1:26" x14ac:dyDescent="0.35">
      <c r="A2989" s="1">
        <v>44559</v>
      </c>
      <c r="C2989">
        <v>4284.83</v>
      </c>
      <c r="D2989">
        <f t="shared" si="604"/>
        <v>4.4370761009635612E-3</v>
      </c>
      <c r="E2989" t="str">
        <f t="shared" si="598"/>
        <v>2021-12</v>
      </c>
      <c r="G2989">
        <v>7161.52</v>
      </c>
      <c r="H2989">
        <f t="shared" si="605"/>
        <v>7.7616426468246798E-3</v>
      </c>
      <c r="I2989" t="str">
        <f t="shared" si="599"/>
        <v>2021-12</v>
      </c>
      <c r="K2989">
        <v>15852.25</v>
      </c>
      <c r="L2989">
        <f t="shared" si="606"/>
        <v>6.070526124939836E-3</v>
      </c>
      <c r="M2989" t="str">
        <f t="shared" si="600"/>
        <v>2021-12</v>
      </c>
      <c r="O2989">
        <v>8823.9321400000008</v>
      </c>
      <c r="P2989">
        <f t="shared" si="607"/>
        <v>1.1071423847625375E-2</v>
      </c>
      <c r="Q2989" t="str">
        <f t="shared" si="601"/>
        <v>2021-12</v>
      </c>
      <c r="S2989">
        <v>8673.7000000000007</v>
      </c>
      <c r="T2989">
        <f t="shared" si="608"/>
        <v>1.2763118941409525E-2</v>
      </c>
      <c r="U2989" t="str">
        <f t="shared" si="602"/>
        <v>2021-12</v>
      </c>
      <c r="W2989">
        <v>27344.25</v>
      </c>
      <c r="X2989">
        <f t="shared" si="609"/>
        <v>1.2068842732406524E-2</v>
      </c>
      <c r="Y2989">
        <f t="shared" si="610"/>
        <v>1.2141965086159308E-2</v>
      </c>
      <c r="Z2989" t="str">
        <f t="shared" si="603"/>
        <v>2021-12</v>
      </c>
    </row>
    <row r="2990" spans="1:26" x14ac:dyDescent="0.35">
      <c r="A2990" s="1">
        <v>44560</v>
      </c>
      <c r="C2990">
        <v>4306.07</v>
      </c>
      <c r="D2990">
        <f t="shared" si="604"/>
        <v>4.9447772126171349E-3</v>
      </c>
      <c r="E2990" t="str">
        <f t="shared" si="598"/>
        <v>2021-12</v>
      </c>
      <c r="G2990">
        <v>7173.23</v>
      </c>
      <c r="H2990">
        <f t="shared" si="605"/>
        <v>1.633792372349546E-3</v>
      </c>
      <c r="I2990" t="str">
        <f t="shared" si="599"/>
        <v>2021-12</v>
      </c>
      <c r="K2990">
        <v>15884.86</v>
      </c>
      <c r="L2990">
        <f t="shared" si="606"/>
        <v>2.0550082522423252E-3</v>
      </c>
      <c r="M2990" t="str">
        <f t="shared" si="600"/>
        <v>2021-12</v>
      </c>
      <c r="O2990">
        <v>8823.4196100000008</v>
      </c>
      <c r="P2990">
        <f t="shared" si="607"/>
        <v>-5.8085769174254214E-5</v>
      </c>
      <c r="Q2990" t="str">
        <f t="shared" si="601"/>
        <v>2021-12</v>
      </c>
      <c r="S2990">
        <v>8713.7999999999993</v>
      </c>
      <c r="T2990">
        <f t="shared" si="608"/>
        <v>4.6125171640525667E-3</v>
      </c>
      <c r="U2990" t="str">
        <f t="shared" si="602"/>
        <v>2021-12</v>
      </c>
      <c r="W2990">
        <v>27346.83</v>
      </c>
      <c r="X2990">
        <f t="shared" si="609"/>
        <v>9.4348109487600462E-5</v>
      </c>
      <c r="Y2990">
        <f t="shared" si="610"/>
        <v>9.4352560410387781E-5</v>
      </c>
      <c r="Z2990" t="str">
        <f t="shared" si="603"/>
        <v>2021-12</v>
      </c>
    </row>
    <row r="2991" spans="1:26" x14ac:dyDescent="0.35">
      <c r="A2991" s="1">
        <v>44565</v>
      </c>
      <c r="C2991">
        <v>4367.62</v>
      </c>
      <c r="D2991">
        <f t="shared" si="604"/>
        <v>1.4192583124731524E-2</v>
      </c>
      <c r="E2991" t="str">
        <f t="shared" si="598"/>
        <v>2022-01</v>
      </c>
      <c r="G2991">
        <v>7317.41</v>
      </c>
      <c r="H2991">
        <f t="shared" si="605"/>
        <v>1.9900398908468172E-2</v>
      </c>
      <c r="I2991" t="str">
        <f t="shared" si="599"/>
        <v>2022-01</v>
      </c>
      <c r="K2991">
        <v>16152.61</v>
      </c>
      <c r="L2991">
        <f t="shared" si="606"/>
        <v>1.6715192181594084E-2</v>
      </c>
      <c r="M2991" t="str">
        <f t="shared" si="600"/>
        <v>2022-01</v>
      </c>
      <c r="O2991">
        <v>8995.0159700000004</v>
      </c>
      <c r="P2991">
        <f t="shared" si="607"/>
        <v>1.9261137069105306E-2</v>
      </c>
      <c r="Q2991" t="str">
        <f t="shared" si="601"/>
        <v>2022-01</v>
      </c>
      <c r="S2991">
        <v>8795.7999999999993</v>
      </c>
      <c r="T2991">
        <f t="shared" si="608"/>
        <v>9.3663589663315686E-3</v>
      </c>
      <c r="U2991" t="str">
        <f t="shared" si="602"/>
        <v>2022-01</v>
      </c>
      <c r="W2991">
        <v>27954.84</v>
      </c>
      <c r="X2991">
        <f t="shared" si="609"/>
        <v>2.1989733763578934E-2</v>
      </c>
      <c r="Y2991">
        <f t="shared" si="610"/>
        <v>2.2233289927936745E-2</v>
      </c>
      <c r="Z2991" t="str">
        <f t="shared" si="603"/>
        <v>2022-01</v>
      </c>
    </row>
    <row r="2992" spans="1:26" x14ac:dyDescent="0.35">
      <c r="A2992" s="1">
        <v>44566</v>
      </c>
      <c r="C2992">
        <v>4392.1499999999996</v>
      </c>
      <c r="D2992">
        <f t="shared" si="604"/>
        <v>5.6006183082864579E-3</v>
      </c>
      <c r="E2992" t="str">
        <f t="shared" si="598"/>
        <v>2022-01</v>
      </c>
      <c r="G2992">
        <v>7376.37</v>
      </c>
      <c r="H2992">
        <f t="shared" si="605"/>
        <v>8.0252074602666403E-3</v>
      </c>
      <c r="I2992" t="str">
        <f t="shared" si="599"/>
        <v>2022-01</v>
      </c>
      <c r="K2992">
        <v>16271.75</v>
      </c>
      <c r="L2992">
        <f t="shared" si="606"/>
        <v>7.3488288547249574E-3</v>
      </c>
      <c r="M2992" t="str">
        <f t="shared" si="600"/>
        <v>2022-01</v>
      </c>
      <c r="O2992">
        <v>9006.8553400000001</v>
      </c>
      <c r="P2992">
        <f t="shared" si="607"/>
        <v>1.3153489993462078E-3</v>
      </c>
      <c r="Q2992" t="str">
        <f t="shared" si="601"/>
        <v>2022-01</v>
      </c>
      <c r="S2992">
        <v>8790.7999999999993</v>
      </c>
      <c r="T2992">
        <f t="shared" si="608"/>
        <v>-5.6861475608901329E-4</v>
      </c>
      <c r="U2992" t="str">
        <f t="shared" si="602"/>
        <v>2022-01</v>
      </c>
      <c r="W2992">
        <v>28162.67</v>
      </c>
      <c r="X2992">
        <f t="shared" si="609"/>
        <v>7.4069911580018138E-3</v>
      </c>
      <c r="Y2992">
        <f t="shared" si="610"/>
        <v>7.4344907715443234E-3</v>
      </c>
      <c r="Z2992" t="str">
        <f t="shared" si="603"/>
        <v>2022-01</v>
      </c>
    </row>
    <row r="2993" spans="1:26" x14ac:dyDescent="0.35">
      <c r="A2993" s="1">
        <v>44567</v>
      </c>
      <c r="C2993">
        <v>4324.8100000000004</v>
      </c>
      <c r="D2993">
        <f t="shared" si="604"/>
        <v>-1.5450647846467399E-2</v>
      </c>
      <c r="E2993" t="str">
        <f t="shared" si="598"/>
        <v>2022-01</v>
      </c>
      <c r="G2993">
        <v>7249.66</v>
      </c>
      <c r="H2993">
        <f t="shared" si="605"/>
        <v>-1.7327076470810263E-2</v>
      </c>
      <c r="I2993" t="str">
        <f t="shared" si="599"/>
        <v>2022-01</v>
      </c>
      <c r="K2993">
        <v>16052.03</v>
      </c>
      <c r="L2993">
        <f t="shared" si="606"/>
        <v>-1.359515404412256E-2</v>
      </c>
      <c r="M2993" t="str">
        <f t="shared" si="600"/>
        <v>2022-01</v>
      </c>
      <c r="O2993">
        <v>8924.4826900000007</v>
      </c>
      <c r="P2993">
        <f t="shared" si="607"/>
        <v>-9.187627749976569E-3</v>
      </c>
      <c r="Q2993" t="str">
        <f t="shared" si="601"/>
        <v>2022-01</v>
      </c>
      <c r="S2993">
        <v>8789.9</v>
      </c>
      <c r="T2993">
        <f t="shared" si="608"/>
        <v>-1.0238500182428052E-4</v>
      </c>
      <c r="U2993" t="str">
        <f t="shared" si="602"/>
        <v>2022-01</v>
      </c>
      <c r="W2993">
        <v>27655.69</v>
      </c>
      <c r="X2993">
        <f t="shared" si="609"/>
        <v>-1.8165848720433423E-2</v>
      </c>
      <c r="Y2993">
        <f t="shared" si="610"/>
        <v>-1.8001844285360714E-2</v>
      </c>
      <c r="Z2993" t="str">
        <f t="shared" si="603"/>
        <v>2022-01</v>
      </c>
    </row>
    <row r="2994" spans="1:26" x14ac:dyDescent="0.35">
      <c r="A2994" s="1">
        <v>44568</v>
      </c>
      <c r="C2994">
        <v>4305.83</v>
      </c>
      <c r="D2994">
        <f t="shared" si="604"/>
        <v>-4.3982904158363515E-3</v>
      </c>
      <c r="E2994" t="str">
        <f t="shared" si="598"/>
        <v>2022-01</v>
      </c>
      <c r="G2994">
        <v>7219.48</v>
      </c>
      <c r="H2994">
        <f t="shared" si="605"/>
        <v>-4.1716430648319845E-3</v>
      </c>
      <c r="I2994" t="str">
        <f t="shared" si="599"/>
        <v>2022-01</v>
      </c>
      <c r="K2994">
        <v>15947.74</v>
      </c>
      <c r="L2994">
        <f t="shared" si="606"/>
        <v>-6.5181949274011738E-3</v>
      </c>
      <c r="M2994" t="str">
        <f t="shared" si="600"/>
        <v>2022-01</v>
      </c>
      <c r="O2994">
        <v>8950.4360699999997</v>
      </c>
      <c r="P2994">
        <f t="shared" si="607"/>
        <v>2.9038899237849524E-3</v>
      </c>
      <c r="Q2994" t="str">
        <f t="shared" si="601"/>
        <v>2022-01</v>
      </c>
      <c r="S2994">
        <v>8751.7999999999993</v>
      </c>
      <c r="T2994">
        <f t="shared" si="608"/>
        <v>-4.3439415691394687E-3</v>
      </c>
      <c r="U2994" t="str">
        <f t="shared" si="602"/>
        <v>2022-01</v>
      </c>
      <c r="W2994">
        <v>27618.47</v>
      </c>
      <c r="X2994">
        <f t="shared" si="609"/>
        <v>-1.3467416103846504E-3</v>
      </c>
      <c r="Y2994">
        <f t="shared" si="610"/>
        <v>-1.3458351608655408E-3</v>
      </c>
      <c r="Z2994" t="str">
        <f t="shared" si="603"/>
        <v>2022-01</v>
      </c>
    </row>
    <row r="2995" spans="1:26" x14ac:dyDescent="0.35">
      <c r="A2995" s="1">
        <v>44571</v>
      </c>
      <c r="C2995">
        <v>4239.5200000000004</v>
      </c>
      <c r="D2995">
        <f t="shared" si="604"/>
        <v>-1.5519863078950933E-2</v>
      </c>
      <c r="E2995" t="str">
        <f t="shared" si="598"/>
        <v>2022-01</v>
      </c>
      <c r="G2995">
        <v>7115.77</v>
      </c>
      <c r="H2995">
        <f t="shared" si="605"/>
        <v>-1.4469480398061608E-2</v>
      </c>
      <c r="I2995" t="str">
        <f t="shared" si="599"/>
        <v>2022-01</v>
      </c>
      <c r="K2995">
        <v>15768.27</v>
      </c>
      <c r="L2995">
        <f t="shared" si="606"/>
        <v>-1.1317433410024641E-2</v>
      </c>
      <c r="M2995" t="str">
        <f t="shared" si="600"/>
        <v>2022-01</v>
      </c>
      <c r="O2995">
        <v>8913.4015099999997</v>
      </c>
      <c r="P2995">
        <f t="shared" si="607"/>
        <v>-4.1463221877464833E-3</v>
      </c>
      <c r="Q2995" t="str">
        <f t="shared" si="601"/>
        <v>2022-01</v>
      </c>
      <c r="S2995">
        <v>8706.9</v>
      </c>
      <c r="T2995">
        <f t="shared" si="608"/>
        <v>-5.1435787304889439E-3</v>
      </c>
      <c r="U2995" t="str">
        <f t="shared" si="602"/>
        <v>2022-01</v>
      </c>
      <c r="W2995">
        <v>27353.71</v>
      </c>
      <c r="X2995">
        <f t="shared" si="609"/>
        <v>-9.6325831422293846E-3</v>
      </c>
      <c r="Y2995">
        <f t="shared" si="610"/>
        <v>-9.5863384177328446E-3</v>
      </c>
      <c r="Z2995" t="str">
        <f t="shared" si="603"/>
        <v>2022-01</v>
      </c>
    </row>
    <row r="2996" spans="1:26" x14ac:dyDescent="0.35">
      <c r="A2996" s="1">
        <v>44572</v>
      </c>
      <c r="C2996">
        <v>4281.54</v>
      </c>
      <c r="D2996">
        <f t="shared" si="604"/>
        <v>9.8627026723747575E-3</v>
      </c>
      <c r="E2996" t="str">
        <f t="shared" si="598"/>
        <v>2022-01</v>
      </c>
      <c r="G2996">
        <v>7183.38</v>
      </c>
      <c r="H2996">
        <f t="shared" si="605"/>
        <v>9.4565766279784188E-3</v>
      </c>
      <c r="I2996" t="str">
        <f t="shared" si="599"/>
        <v>2022-01</v>
      </c>
      <c r="K2996">
        <v>15941.81</v>
      </c>
      <c r="L2996">
        <f t="shared" si="606"/>
        <v>1.0945524739732856E-2</v>
      </c>
      <c r="M2996" t="str">
        <f t="shared" si="600"/>
        <v>2022-01</v>
      </c>
      <c r="O2996">
        <v>8984.4975599999998</v>
      </c>
      <c r="P2996">
        <f t="shared" si="607"/>
        <v>7.9446669883809582E-3</v>
      </c>
      <c r="Q2996" t="str">
        <f t="shared" si="601"/>
        <v>2022-01</v>
      </c>
      <c r="S2996">
        <v>8755.9</v>
      </c>
      <c r="T2996">
        <f t="shared" si="608"/>
        <v>5.6119440868692971E-3</v>
      </c>
      <c r="U2996" t="str">
        <f t="shared" si="602"/>
        <v>2022-01</v>
      </c>
      <c r="W2996">
        <v>27535.48</v>
      </c>
      <c r="X2996">
        <f t="shared" si="609"/>
        <v>6.6231862583063421E-3</v>
      </c>
      <c r="Y2996">
        <f t="shared" si="610"/>
        <v>6.6451680594698283E-3</v>
      </c>
      <c r="Z2996" t="str">
        <f t="shared" si="603"/>
        <v>2022-01</v>
      </c>
    </row>
    <row r="2997" spans="1:26" x14ac:dyDescent="0.35">
      <c r="A2997" s="1">
        <v>44573</v>
      </c>
      <c r="C2997">
        <v>4316.3900000000003</v>
      </c>
      <c r="D2997">
        <f t="shared" si="604"/>
        <v>8.1066467987084487E-3</v>
      </c>
      <c r="E2997" t="str">
        <f t="shared" si="598"/>
        <v>2022-01</v>
      </c>
      <c r="G2997">
        <v>7237.19</v>
      </c>
      <c r="H2997">
        <f t="shared" si="605"/>
        <v>7.4629851317352712E-3</v>
      </c>
      <c r="I2997" t="str">
        <f t="shared" si="599"/>
        <v>2022-01</v>
      </c>
      <c r="K2997">
        <v>16010.32</v>
      </c>
      <c r="L2997">
        <f t="shared" si="606"/>
        <v>4.2882965854618947E-3</v>
      </c>
      <c r="M2997" t="str">
        <f t="shared" si="600"/>
        <v>2022-01</v>
      </c>
      <c r="O2997">
        <v>9045.0389799999994</v>
      </c>
      <c r="P2997">
        <f t="shared" si="607"/>
        <v>6.7158295957626332E-3</v>
      </c>
      <c r="Q2997" t="str">
        <f t="shared" si="601"/>
        <v>2022-01</v>
      </c>
      <c r="S2997">
        <v>8770.2999999999993</v>
      </c>
      <c r="T2997">
        <f t="shared" si="608"/>
        <v>1.6432544693479186E-3</v>
      </c>
      <c r="U2997" t="str">
        <f t="shared" si="602"/>
        <v>2022-01</v>
      </c>
      <c r="W2997">
        <v>27714.26</v>
      </c>
      <c r="X2997">
        <f t="shared" si="609"/>
        <v>6.4717272512138319E-3</v>
      </c>
      <c r="Y2997">
        <f t="shared" si="610"/>
        <v>6.4927141273730775E-3</v>
      </c>
      <c r="Z2997" t="str">
        <f t="shared" si="603"/>
        <v>2022-01</v>
      </c>
    </row>
    <row r="2998" spans="1:26" x14ac:dyDescent="0.35">
      <c r="A2998" s="1">
        <v>44574</v>
      </c>
      <c r="C2998">
        <v>4315.8999999999996</v>
      </c>
      <c r="D2998">
        <f t="shared" si="604"/>
        <v>-1.1352723333593826E-4</v>
      </c>
      <c r="E2998" t="str">
        <f t="shared" si="598"/>
        <v>2022-01</v>
      </c>
      <c r="G2998">
        <v>7201.14</v>
      </c>
      <c r="H2998">
        <f t="shared" si="605"/>
        <v>-4.9936626900579104E-3</v>
      </c>
      <c r="I2998" t="str">
        <f t="shared" si="599"/>
        <v>2022-01</v>
      </c>
      <c r="K2998">
        <v>16031.59</v>
      </c>
      <c r="L2998">
        <f t="shared" si="606"/>
        <v>1.3276364064590343E-3</v>
      </c>
      <c r="M2998" t="str">
        <f t="shared" si="600"/>
        <v>2022-01</v>
      </c>
      <c r="O2998">
        <v>9050.0894399999997</v>
      </c>
      <c r="P2998">
        <f t="shared" si="607"/>
        <v>5.5821213466082328E-4</v>
      </c>
      <c r="Q2998" t="str">
        <f t="shared" si="601"/>
        <v>2022-01</v>
      </c>
      <c r="S2998">
        <v>8816.9</v>
      </c>
      <c r="T2998">
        <f t="shared" si="608"/>
        <v>5.2993209896782826E-3</v>
      </c>
      <c r="U2998" t="str">
        <f t="shared" si="602"/>
        <v>2022-01</v>
      </c>
      <c r="W2998">
        <v>27844.45</v>
      </c>
      <c r="X2998">
        <f t="shared" si="609"/>
        <v>4.6865824743451663E-3</v>
      </c>
      <c r="Y2998">
        <f t="shared" si="610"/>
        <v>4.6975816781686516E-3</v>
      </c>
      <c r="Z2998" t="str">
        <f t="shared" si="603"/>
        <v>2022-01</v>
      </c>
    </row>
    <row r="2999" spans="1:26" x14ac:dyDescent="0.35">
      <c r="A2999" s="1">
        <v>44575</v>
      </c>
      <c r="C2999">
        <v>4272.1899999999996</v>
      </c>
      <c r="D2999">
        <f t="shared" si="604"/>
        <v>-1.0179301201674221E-2</v>
      </c>
      <c r="E2999" t="str">
        <f t="shared" si="598"/>
        <v>2022-01</v>
      </c>
      <c r="G2999">
        <v>7143</v>
      </c>
      <c r="H2999">
        <f t="shared" si="605"/>
        <v>-8.106490649108275E-3</v>
      </c>
      <c r="I2999" t="str">
        <f t="shared" si="599"/>
        <v>2022-01</v>
      </c>
      <c r="K2999">
        <v>15883.24</v>
      </c>
      <c r="L2999">
        <f t="shared" si="606"/>
        <v>-9.2966854887884462E-3</v>
      </c>
      <c r="M2999" t="str">
        <f t="shared" si="600"/>
        <v>2022-01</v>
      </c>
      <c r="O2999">
        <v>9034.0751799999998</v>
      </c>
      <c r="P2999">
        <f t="shared" si="607"/>
        <v>-1.7710814430788938E-3</v>
      </c>
      <c r="Q2999" t="str">
        <f t="shared" si="601"/>
        <v>2022-01</v>
      </c>
      <c r="S2999">
        <v>8806.6</v>
      </c>
      <c r="T2999">
        <f t="shared" si="608"/>
        <v>-1.1688939396545979E-3</v>
      </c>
      <c r="U2999" t="str">
        <f t="shared" si="602"/>
        <v>2022-01</v>
      </c>
      <c r="W2999">
        <v>27543.96</v>
      </c>
      <c r="X2999">
        <f t="shared" si="609"/>
        <v>-1.085039083360927E-2</v>
      </c>
      <c r="Y2999">
        <f t="shared" si="610"/>
        <v>-1.0791737671241544E-2</v>
      </c>
      <c r="Z2999" t="str">
        <f t="shared" si="603"/>
        <v>2022-01</v>
      </c>
    </row>
    <row r="3000" spans="1:26" x14ac:dyDescent="0.35">
      <c r="A3000" s="1">
        <v>44578</v>
      </c>
      <c r="C3000">
        <v>4302.1400000000003</v>
      </c>
      <c r="D3000">
        <f t="shared" si="604"/>
        <v>6.9859969949688664E-3</v>
      </c>
      <c r="E3000" t="str">
        <f t="shared" si="598"/>
        <v>2022-01</v>
      </c>
      <c r="G3000">
        <v>7201.64</v>
      </c>
      <c r="H3000">
        <f t="shared" si="605"/>
        <v>8.175921689532616E-3</v>
      </c>
      <c r="I3000" t="str">
        <f t="shared" si="599"/>
        <v>2022-01</v>
      </c>
      <c r="K3000">
        <v>15933.72</v>
      </c>
      <c r="L3000">
        <f t="shared" si="606"/>
        <v>3.173153082915622E-3</v>
      </c>
      <c r="M3000" t="str">
        <f t="shared" si="600"/>
        <v>2022-01</v>
      </c>
      <c r="O3000">
        <v>9104.5303800000002</v>
      </c>
      <c r="P3000">
        <f t="shared" si="607"/>
        <v>7.7685745028118966E-3</v>
      </c>
      <c r="Q3000" t="str">
        <f t="shared" si="601"/>
        <v>2022-01</v>
      </c>
      <c r="S3000">
        <v>8838.7000000000007</v>
      </c>
      <c r="T3000">
        <f t="shared" si="608"/>
        <v>3.6383666371068357E-3</v>
      </c>
      <c r="U3000" t="str">
        <f t="shared" si="602"/>
        <v>2022-01</v>
      </c>
      <c r="W3000">
        <v>27688.560000000001</v>
      </c>
      <c r="X3000">
        <f t="shared" si="609"/>
        <v>5.2360576836351074E-3</v>
      </c>
      <c r="Y3000">
        <f t="shared" si="610"/>
        <v>5.2497897905748551E-3</v>
      </c>
      <c r="Z3000" t="str">
        <f t="shared" si="603"/>
        <v>2022-01</v>
      </c>
    </row>
    <row r="3001" spans="1:26" x14ac:dyDescent="0.35">
      <c r="A3001" s="1">
        <v>44579</v>
      </c>
      <c r="C3001">
        <v>4257.82</v>
      </c>
      <c r="D3001">
        <f t="shared" si="604"/>
        <v>-1.0355281109315263E-2</v>
      </c>
      <c r="E3001" t="str">
        <f t="shared" si="598"/>
        <v>2022-01</v>
      </c>
      <c r="G3001">
        <v>7133.83</v>
      </c>
      <c r="H3001">
        <f t="shared" si="605"/>
        <v>-9.4605207582367738E-3</v>
      </c>
      <c r="I3001" t="str">
        <f t="shared" si="599"/>
        <v>2022-01</v>
      </c>
      <c r="K3001">
        <v>15772.56</v>
      </c>
      <c r="L3001">
        <f t="shared" si="606"/>
        <v>-1.0165896972281437E-2</v>
      </c>
      <c r="M3001" t="str">
        <f t="shared" si="600"/>
        <v>2022-01</v>
      </c>
      <c r="O3001">
        <v>9069.1794000000009</v>
      </c>
      <c r="P3001">
        <f t="shared" si="607"/>
        <v>-3.8903476520506684E-3</v>
      </c>
      <c r="Q3001" t="str">
        <f t="shared" si="601"/>
        <v>2022-01</v>
      </c>
      <c r="S3001">
        <v>8781.6</v>
      </c>
      <c r="T3001">
        <f t="shared" si="608"/>
        <v>-6.4811836208439949E-3</v>
      </c>
      <c r="U3001" t="str">
        <f t="shared" si="602"/>
        <v>2022-01</v>
      </c>
      <c r="W3001">
        <v>27483.279999999999</v>
      </c>
      <c r="X3001">
        <f t="shared" si="609"/>
        <v>-7.4415117313309442E-3</v>
      </c>
      <c r="Y3001">
        <f t="shared" si="610"/>
        <v>-7.4138922356382008E-3</v>
      </c>
      <c r="Z3001" t="str">
        <f t="shared" si="603"/>
        <v>2022-01</v>
      </c>
    </row>
    <row r="3002" spans="1:26" x14ac:dyDescent="0.35">
      <c r="A3002" s="1">
        <v>44580</v>
      </c>
      <c r="C3002">
        <v>4268.28</v>
      </c>
      <c r="D3002">
        <f t="shared" si="604"/>
        <v>2.453643576254644E-3</v>
      </c>
      <c r="E3002" t="str">
        <f t="shared" si="598"/>
        <v>2022-01</v>
      </c>
      <c r="G3002">
        <v>7172.98</v>
      </c>
      <c r="H3002">
        <f t="shared" si="605"/>
        <v>5.4729318026250058E-3</v>
      </c>
      <c r="I3002" t="str">
        <f t="shared" si="599"/>
        <v>2022-01</v>
      </c>
      <c r="K3002">
        <v>15809.72</v>
      </c>
      <c r="L3002">
        <f t="shared" si="606"/>
        <v>2.3532194096328157E-3</v>
      </c>
      <c r="M3002" t="str">
        <f t="shared" si="600"/>
        <v>2022-01</v>
      </c>
      <c r="O3002">
        <v>9116.4234099999994</v>
      </c>
      <c r="P3002">
        <f t="shared" si="607"/>
        <v>5.195771267741494E-3</v>
      </c>
      <c r="Q3002" t="str">
        <f t="shared" si="601"/>
        <v>2022-01</v>
      </c>
      <c r="S3002">
        <v>8774.9</v>
      </c>
      <c r="T3002">
        <f t="shared" si="608"/>
        <v>-7.6325011537129578E-4</v>
      </c>
      <c r="U3002" t="str">
        <f t="shared" si="602"/>
        <v>2022-01</v>
      </c>
      <c r="W3002">
        <v>27370.85</v>
      </c>
      <c r="X3002">
        <f t="shared" si="609"/>
        <v>-4.0992412945885619E-3</v>
      </c>
      <c r="Y3002">
        <f t="shared" si="610"/>
        <v>-4.0908508736948535E-3</v>
      </c>
      <c r="Z3002" t="str">
        <f t="shared" si="603"/>
        <v>2022-01</v>
      </c>
    </row>
    <row r="3003" spans="1:26" x14ac:dyDescent="0.35">
      <c r="A3003" s="1">
        <v>44581</v>
      </c>
      <c r="C3003">
        <v>4299.6099999999997</v>
      </c>
      <c r="D3003">
        <f t="shared" si="604"/>
        <v>7.3133851255951388E-3</v>
      </c>
      <c r="E3003" t="str">
        <f t="shared" si="598"/>
        <v>2022-01</v>
      </c>
      <c r="G3003">
        <v>7194.16</v>
      </c>
      <c r="H3003">
        <f t="shared" si="605"/>
        <v>2.9483968755397469E-3</v>
      </c>
      <c r="I3003" t="str">
        <f t="shared" si="599"/>
        <v>2022-01</v>
      </c>
      <c r="K3003">
        <v>15912.33</v>
      </c>
      <c r="L3003">
        <f t="shared" si="606"/>
        <v>6.4693396468555944E-3</v>
      </c>
      <c r="M3003" t="str">
        <f t="shared" si="600"/>
        <v>2022-01</v>
      </c>
      <c r="O3003">
        <v>9125.1815399999996</v>
      </c>
      <c r="P3003">
        <f t="shared" si="607"/>
        <v>9.6023685382537265E-4</v>
      </c>
      <c r="Q3003" t="str">
        <f t="shared" si="601"/>
        <v>2022-01</v>
      </c>
      <c r="S3003">
        <v>8814.6</v>
      </c>
      <c r="T3003">
        <f t="shared" si="608"/>
        <v>4.5140643467009535E-3</v>
      </c>
      <c r="U3003" t="str">
        <f t="shared" si="602"/>
        <v>2022-01</v>
      </c>
      <c r="W3003">
        <v>27570</v>
      </c>
      <c r="X3003">
        <f t="shared" si="609"/>
        <v>7.2496465647210271E-3</v>
      </c>
      <c r="Y3003">
        <f t="shared" si="610"/>
        <v>7.2759888713723343E-3</v>
      </c>
      <c r="Z3003" t="str">
        <f t="shared" si="603"/>
        <v>2022-01</v>
      </c>
    </row>
    <row r="3004" spans="1:26" x14ac:dyDescent="0.35">
      <c r="A3004" s="1">
        <v>44582</v>
      </c>
      <c r="C3004">
        <v>4229.5600000000004</v>
      </c>
      <c r="D3004">
        <f t="shared" si="604"/>
        <v>-1.6426352176500385E-2</v>
      </c>
      <c r="E3004" t="str">
        <f t="shared" si="598"/>
        <v>2022-01</v>
      </c>
      <c r="G3004">
        <v>7068.59</v>
      </c>
      <c r="H3004">
        <f t="shared" si="605"/>
        <v>-1.7608559992602114E-2</v>
      </c>
      <c r="I3004" t="str">
        <f t="shared" si="599"/>
        <v>2022-01</v>
      </c>
      <c r="K3004">
        <v>15603.88</v>
      </c>
      <c r="L3004">
        <f t="shared" si="606"/>
        <v>-1.9574679122448403E-2</v>
      </c>
      <c r="M3004" t="str">
        <f t="shared" si="600"/>
        <v>2022-01</v>
      </c>
      <c r="O3004">
        <v>8954.5144</v>
      </c>
      <c r="P3004">
        <f t="shared" si="607"/>
        <v>-1.8879986711822463E-2</v>
      </c>
      <c r="Q3004" t="str">
        <f t="shared" si="601"/>
        <v>2022-01</v>
      </c>
      <c r="S3004">
        <v>8694.7000000000007</v>
      </c>
      <c r="T3004">
        <f t="shared" si="608"/>
        <v>-1.3695792998974936E-2</v>
      </c>
      <c r="U3004" t="str">
        <f t="shared" si="602"/>
        <v>2022-01</v>
      </c>
      <c r="W3004">
        <v>27061.4</v>
      </c>
      <c r="X3004">
        <f t="shared" si="609"/>
        <v>-1.8619866750364433E-2</v>
      </c>
      <c r="Y3004">
        <f t="shared" si="610"/>
        <v>-1.8447587957925227E-2</v>
      </c>
      <c r="Z3004" t="str">
        <f t="shared" si="603"/>
        <v>2022-01</v>
      </c>
    </row>
    <row r="3005" spans="1:26" x14ac:dyDescent="0.35">
      <c r="A3005" s="1">
        <v>44585</v>
      </c>
      <c r="C3005">
        <v>4054.36</v>
      </c>
      <c r="D3005">
        <f t="shared" si="604"/>
        <v>-4.2305123464082502E-2</v>
      </c>
      <c r="E3005" t="str">
        <f t="shared" si="598"/>
        <v>2022-01</v>
      </c>
      <c r="G3005">
        <v>6787.79</v>
      </c>
      <c r="H3005">
        <f t="shared" si="605"/>
        <v>-4.0535615843825694E-2</v>
      </c>
      <c r="I3005" t="str">
        <f t="shared" si="599"/>
        <v>2022-01</v>
      </c>
      <c r="K3005">
        <v>15011.13</v>
      </c>
      <c r="L3005">
        <f t="shared" si="606"/>
        <v>-3.8727675322720791E-2</v>
      </c>
      <c r="M3005" t="str">
        <f t="shared" si="600"/>
        <v>2022-01</v>
      </c>
      <c r="O3005">
        <v>8667.9423000000006</v>
      </c>
      <c r="P3005">
        <f t="shared" si="607"/>
        <v>-3.2526380369602398E-2</v>
      </c>
      <c r="Q3005" t="str">
        <f t="shared" si="601"/>
        <v>2022-01</v>
      </c>
      <c r="S3005">
        <v>8417.7999999999993</v>
      </c>
      <c r="T3005">
        <f t="shared" si="608"/>
        <v>-3.2365133169682904E-2</v>
      </c>
      <c r="U3005" t="str">
        <f t="shared" si="602"/>
        <v>2022-01</v>
      </c>
      <c r="W3005">
        <v>25972.9</v>
      </c>
      <c r="X3005">
        <f t="shared" si="609"/>
        <v>-4.105467153658076E-2</v>
      </c>
      <c r="Y3005">
        <f t="shared" si="610"/>
        <v>-4.0223343951162907E-2</v>
      </c>
      <c r="Z3005" t="str">
        <f t="shared" si="603"/>
        <v>2022-01</v>
      </c>
    </row>
    <row r="3006" spans="1:26" x14ac:dyDescent="0.35">
      <c r="A3006" s="1">
        <v>44586</v>
      </c>
      <c r="C3006">
        <v>4078.26</v>
      </c>
      <c r="D3006">
        <f t="shared" si="604"/>
        <v>5.8775815921579405E-3</v>
      </c>
      <c r="E3006" t="str">
        <f t="shared" si="598"/>
        <v>2022-01</v>
      </c>
      <c r="G3006">
        <v>6837.96</v>
      </c>
      <c r="H3006">
        <f t="shared" si="605"/>
        <v>7.3640315904877195E-3</v>
      </c>
      <c r="I3006" t="str">
        <f t="shared" si="599"/>
        <v>2022-01</v>
      </c>
      <c r="K3006">
        <v>15123.87</v>
      </c>
      <c r="L3006">
        <f t="shared" si="606"/>
        <v>7.4823644258097486E-3</v>
      </c>
      <c r="M3006" t="str">
        <f t="shared" si="600"/>
        <v>2022-01</v>
      </c>
      <c r="O3006">
        <v>8814.6675300000006</v>
      </c>
      <c r="P3006">
        <f t="shared" si="607"/>
        <v>1.6785671762287794E-2</v>
      </c>
      <c r="Q3006" t="str">
        <f t="shared" si="601"/>
        <v>2022-01</v>
      </c>
      <c r="S3006">
        <v>8479.5</v>
      </c>
      <c r="T3006">
        <f t="shared" si="608"/>
        <v>7.3029743476766065E-3</v>
      </c>
      <c r="U3006" t="str">
        <f t="shared" si="602"/>
        <v>2022-01</v>
      </c>
      <c r="W3006">
        <v>26028.89</v>
      </c>
      <c r="X3006">
        <f t="shared" si="609"/>
        <v>2.1533882443602096E-3</v>
      </c>
      <c r="Y3006">
        <f t="shared" si="610"/>
        <v>2.1557084499612272E-3</v>
      </c>
      <c r="Z3006" t="str">
        <f t="shared" si="603"/>
        <v>2022-01</v>
      </c>
    </row>
    <row r="3007" spans="1:26" x14ac:dyDescent="0.35">
      <c r="A3007" s="1">
        <v>44587</v>
      </c>
      <c r="C3007">
        <v>4164.6000000000004</v>
      </c>
      <c r="D3007">
        <f t="shared" si="604"/>
        <v>2.0949805728065742E-2</v>
      </c>
      <c r="E3007" t="str">
        <f t="shared" si="598"/>
        <v>2022-01</v>
      </c>
      <c r="G3007">
        <v>6981.96</v>
      </c>
      <c r="H3007">
        <f t="shared" si="605"/>
        <v>2.0840238112604093E-2</v>
      </c>
      <c r="I3007" t="str">
        <f t="shared" si="599"/>
        <v>2022-01</v>
      </c>
      <c r="K3007">
        <v>15459.39</v>
      </c>
      <c r="L3007">
        <f t="shared" si="606"/>
        <v>2.1942295336369849E-2</v>
      </c>
      <c r="M3007" t="str">
        <f t="shared" si="600"/>
        <v>2022-01</v>
      </c>
      <c r="O3007">
        <v>8948.1188099999999</v>
      </c>
      <c r="P3007">
        <f t="shared" si="607"/>
        <v>1.5026222621141219E-2</v>
      </c>
      <c r="Q3007" t="str">
        <f t="shared" si="601"/>
        <v>2022-01</v>
      </c>
      <c r="S3007">
        <v>8620.2000000000007</v>
      </c>
      <c r="T3007">
        <f t="shared" si="608"/>
        <v>1.6456800461273263E-2</v>
      </c>
      <c r="U3007" t="str">
        <f t="shared" si="602"/>
        <v>2022-01</v>
      </c>
      <c r="W3007">
        <v>26619.25</v>
      </c>
      <c r="X3007">
        <f t="shared" si="609"/>
        <v>2.2427563271908237E-2</v>
      </c>
      <c r="Y3007">
        <f t="shared" si="610"/>
        <v>2.2680951819305416E-2</v>
      </c>
      <c r="Z3007" t="str">
        <f t="shared" si="603"/>
        <v>2022-01</v>
      </c>
    </row>
    <row r="3008" spans="1:26" x14ac:dyDescent="0.35">
      <c r="A3008" s="1">
        <v>44588</v>
      </c>
      <c r="C3008">
        <v>4184.97</v>
      </c>
      <c r="D3008">
        <f t="shared" si="604"/>
        <v>4.8793028655076806E-3</v>
      </c>
      <c r="E3008" t="str">
        <f t="shared" si="598"/>
        <v>2022-01</v>
      </c>
      <c r="G3008">
        <v>7023.8</v>
      </c>
      <c r="H3008">
        <f t="shared" si="605"/>
        <v>5.9747024743689913E-3</v>
      </c>
      <c r="I3008" t="str">
        <f t="shared" si="599"/>
        <v>2022-01</v>
      </c>
      <c r="K3008">
        <v>15524.27</v>
      </c>
      <c r="L3008">
        <f t="shared" si="606"/>
        <v>4.1880200615593867E-3</v>
      </c>
      <c r="M3008" t="str">
        <f t="shared" si="600"/>
        <v>2022-01</v>
      </c>
      <c r="O3008">
        <v>9069.3767499999994</v>
      </c>
      <c r="P3008">
        <f t="shared" si="607"/>
        <v>1.3460224853087607E-2</v>
      </c>
      <c r="Q3008" t="str">
        <f t="shared" si="601"/>
        <v>2022-01</v>
      </c>
      <c r="S3008">
        <v>8706</v>
      </c>
      <c r="T3008">
        <f t="shared" si="608"/>
        <v>9.9041568675144083E-3</v>
      </c>
      <c r="U3008" t="str">
        <f t="shared" si="602"/>
        <v>2022-01</v>
      </c>
      <c r="W3008">
        <v>26882.47</v>
      </c>
      <c r="X3008">
        <f t="shared" si="609"/>
        <v>9.8397630492562099E-3</v>
      </c>
      <c r="Y3008">
        <f t="shared" si="610"/>
        <v>9.8883326915672372E-3</v>
      </c>
      <c r="Z3008" t="str">
        <f t="shared" si="603"/>
        <v>2022-01</v>
      </c>
    </row>
    <row r="3009" spans="1:26" x14ac:dyDescent="0.35">
      <c r="A3009" s="1">
        <v>44589</v>
      </c>
      <c r="C3009">
        <v>4136.91</v>
      </c>
      <c r="D3009">
        <f t="shared" si="604"/>
        <v>-1.1550403109181923E-2</v>
      </c>
      <c r="E3009" t="str">
        <f t="shared" si="598"/>
        <v>2022-01</v>
      </c>
      <c r="G3009">
        <v>6965.88</v>
      </c>
      <c r="H3009">
        <f t="shared" si="605"/>
        <v>-8.2804368567522598E-3</v>
      </c>
      <c r="I3009" t="str">
        <f t="shared" si="599"/>
        <v>2022-01</v>
      </c>
      <c r="K3009">
        <v>15318.95</v>
      </c>
      <c r="L3009">
        <f t="shared" si="606"/>
        <v>-1.3313981675435151E-2</v>
      </c>
      <c r="M3009" t="str">
        <f t="shared" si="600"/>
        <v>2022-01</v>
      </c>
      <c r="O3009">
        <v>8964.5064299999995</v>
      </c>
      <c r="P3009">
        <f t="shared" si="607"/>
        <v>-1.1630495893490423E-2</v>
      </c>
      <c r="Q3009" t="str">
        <f t="shared" si="601"/>
        <v>2022-01</v>
      </c>
      <c r="S3009">
        <v>8609.7999999999993</v>
      </c>
      <c r="T3009">
        <f t="shared" si="608"/>
        <v>-1.1111353763975863E-2</v>
      </c>
      <c r="U3009" t="str">
        <f t="shared" si="602"/>
        <v>2022-01</v>
      </c>
      <c r="W3009">
        <v>26565.41</v>
      </c>
      <c r="X3009">
        <f t="shared" si="609"/>
        <v>-1.1864407688957862E-2</v>
      </c>
      <c r="Y3009">
        <f t="shared" si="610"/>
        <v>-1.1794303127651637E-2</v>
      </c>
      <c r="Z3009" t="str">
        <f t="shared" si="603"/>
        <v>2022-01</v>
      </c>
    </row>
    <row r="3010" spans="1:26" x14ac:dyDescent="0.35">
      <c r="A3010" s="1">
        <v>44592</v>
      </c>
      <c r="C3010">
        <v>4174.6000000000004</v>
      </c>
      <c r="D3010">
        <f t="shared" si="604"/>
        <v>9.069412981887218E-3</v>
      </c>
      <c r="E3010" t="str">
        <f t="shared" si="598"/>
        <v>2022-01</v>
      </c>
      <c r="G3010">
        <v>6999.2</v>
      </c>
      <c r="H3010">
        <f t="shared" si="605"/>
        <v>4.7719115433410321E-3</v>
      </c>
      <c r="I3010" t="str">
        <f t="shared" si="599"/>
        <v>2022-01</v>
      </c>
      <c r="K3010">
        <v>15471.2</v>
      </c>
      <c r="L3010">
        <f t="shared" si="606"/>
        <v>9.8896069613407037E-3</v>
      </c>
      <c r="M3010" t="str">
        <f t="shared" si="600"/>
        <v>2022-01</v>
      </c>
      <c r="O3010">
        <v>8940.0784100000001</v>
      </c>
      <c r="P3010">
        <f t="shared" si="607"/>
        <v>-2.7286904863054193E-3</v>
      </c>
      <c r="Q3010" t="str">
        <f t="shared" si="601"/>
        <v>2022-01</v>
      </c>
      <c r="S3010">
        <v>8612.7999999999993</v>
      </c>
      <c r="T3010">
        <f t="shared" si="608"/>
        <v>3.4837945842583251E-4</v>
      </c>
      <c r="U3010" t="str">
        <f t="shared" si="602"/>
        <v>2022-01</v>
      </c>
      <c r="W3010">
        <v>26814.05</v>
      </c>
      <c r="X3010">
        <f t="shared" si="609"/>
        <v>9.3160102498500673E-3</v>
      </c>
      <c r="Y3010">
        <f t="shared" si="610"/>
        <v>9.3595393408194873E-3</v>
      </c>
      <c r="Z3010" t="str">
        <f t="shared" si="603"/>
        <v>2022-01</v>
      </c>
    </row>
    <row r="3011" spans="1:26" x14ac:dyDescent="0.35">
      <c r="A3011" s="1">
        <v>44593</v>
      </c>
      <c r="C3011">
        <v>4224.45</v>
      </c>
      <c r="D3011">
        <f t="shared" si="604"/>
        <v>1.1870529490847196E-2</v>
      </c>
      <c r="E3011" t="str">
        <f t="shared" si="598"/>
        <v>2022-02</v>
      </c>
      <c r="G3011">
        <v>7099.49</v>
      </c>
      <c r="H3011">
        <f t="shared" si="605"/>
        <v>1.4227093671467643E-2</v>
      </c>
      <c r="I3011" t="str">
        <f t="shared" si="599"/>
        <v>2022-02</v>
      </c>
      <c r="K3011">
        <v>15619.39</v>
      </c>
      <c r="L3011">
        <f t="shared" si="606"/>
        <v>9.5328600862205504E-3</v>
      </c>
      <c r="M3011" t="str">
        <f t="shared" si="600"/>
        <v>2022-02</v>
      </c>
      <c r="O3011">
        <v>9050.9777400000003</v>
      </c>
      <c r="P3011">
        <f t="shared" si="607"/>
        <v>1.2328429604784962E-2</v>
      </c>
      <c r="Q3011" t="str">
        <f t="shared" si="601"/>
        <v>2022-02</v>
      </c>
      <c r="S3011">
        <v>8726.7000000000007</v>
      </c>
      <c r="T3011">
        <f t="shared" si="608"/>
        <v>1.3137822691495505E-2</v>
      </c>
      <c r="U3011" t="str">
        <f t="shared" si="602"/>
        <v>2022-02</v>
      </c>
      <c r="W3011">
        <v>27224.89</v>
      </c>
      <c r="X3011">
        <f t="shared" si="609"/>
        <v>1.5205624531644313E-2</v>
      </c>
      <c r="Y3011">
        <f t="shared" si="610"/>
        <v>1.5321818225892774E-2</v>
      </c>
      <c r="Z3011" t="str">
        <f t="shared" si="603"/>
        <v>2022-02</v>
      </c>
    </row>
    <row r="3012" spans="1:26" x14ac:dyDescent="0.35">
      <c r="A3012" s="1">
        <v>44594</v>
      </c>
      <c r="C3012">
        <v>4222.05</v>
      </c>
      <c r="D3012">
        <f t="shared" si="604"/>
        <v>-5.68282735947125E-4</v>
      </c>
      <c r="E3012" t="str">
        <f t="shared" ref="E3012:E3075" si="611">_xlfn.CONCAT(YEAR(A3012),"-",TEXT(MONTH(A3012),"00"))</f>
        <v>2022-02</v>
      </c>
      <c r="G3012">
        <v>7115.27</v>
      </c>
      <c r="H3012">
        <f t="shared" si="605"/>
        <v>2.2202283376123494E-3</v>
      </c>
      <c r="I3012" t="str">
        <f t="shared" ref="I3012:I3075" si="612">_xlfn.CONCAT(YEAR(A3012),"-",TEXT(MONTH(A3012),"00"))</f>
        <v>2022-02</v>
      </c>
      <c r="K3012">
        <v>15613.77</v>
      </c>
      <c r="L3012">
        <f t="shared" si="606"/>
        <v>-3.5987393274667019E-4</v>
      </c>
      <c r="M3012" t="str">
        <f t="shared" ref="M3012:M3075" si="613">_xlfn.CONCAT(YEAR(A3012),"-",TEXT(MONTH(A3012),"00"))</f>
        <v>2022-02</v>
      </c>
      <c r="O3012">
        <v>9102.8179600000003</v>
      </c>
      <c r="P3012">
        <f t="shared" si="607"/>
        <v>5.7112420750131832E-3</v>
      </c>
      <c r="Q3012" t="str">
        <f t="shared" ref="Q3012:Q3075" si="614">_xlfn.CONCAT(YEAR(A3012),"-",TEXT(MONTH(A3012),"00"))</f>
        <v>2022-02</v>
      </c>
      <c r="S3012">
        <v>8713.2000000000007</v>
      </c>
      <c r="T3012">
        <f t="shared" si="608"/>
        <v>-1.5481743239868968E-3</v>
      </c>
      <c r="U3012" t="str">
        <f t="shared" ref="U3012:U3075" si="615">_xlfn.CONCAT(YEAR(A3012),"-",TEXT(MONTH(A3012),"00"))</f>
        <v>2022-02</v>
      </c>
      <c r="W3012">
        <v>27388.73</v>
      </c>
      <c r="X3012">
        <f t="shared" si="609"/>
        <v>5.9999865058383787E-3</v>
      </c>
      <c r="Y3012">
        <f t="shared" si="610"/>
        <v>6.0180224786950528E-3</v>
      </c>
      <c r="Z3012" t="str">
        <f t="shared" ref="Z3012:Z3075" si="616">_xlfn.CONCAT(YEAR(A3012),"-",TEXT(MONTH(A3012),"00"))</f>
        <v>2022-02</v>
      </c>
    </row>
    <row r="3013" spans="1:26" x14ac:dyDescent="0.35">
      <c r="A3013" s="1">
        <v>44595</v>
      </c>
      <c r="C3013">
        <v>4141.0200000000004</v>
      </c>
      <c r="D3013">
        <f t="shared" ref="D3013:D3076" si="617">LN(C3013/C3012)</f>
        <v>-1.9378657781534098E-2</v>
      </c>
      <c r="E3013" t="str">
        <f t="shared" si="611"/>
        <v>2022-02</v>
      </c>
      <c r="G3013">
        <v>7005.63</v>
      </c>
      <c r="H3013">
        <f t="shared" ref="H3013:H3076" si="618">LN(G3013/G3012)</f>
        <v>-1.5529067313834081E-2</v>
      </c>
      <c r="I3013" t="str">
        <f t="shared" si="612"/>
        <v>2022-02</v>
      </c>
      <c r="K3013">
        <v>15368.47</v>
      </c>
      <c r="L3013">
        <f t="shared" ref="L3013:L3076" si="619">LN(K3013/K3012)</f>
        <v>-1.5835209191149387E-2</v>
      </c>
      <c r="M3013" t="str">
        <f t="shared" si="613"/>
        <v>2022-02</v>
      </c>
      <c r="O3013">
        <v>8952.5039099999995</v>
      </c>
      <c r="P3013">
        <f t="shared" ref="P3013:P3076" si="620">LN(O3013/O3012)</f>
        <v>-1.6650771880404345E-2</v>
      </c>
      <c r="Q3013" t="str">
        <f t="shared" si="614"/>
        <v>2022-02</v>
      </c>
      <c r="S3013">
        <v>8689.4</v>
      </c>
      <c r="T3013">
        <f t="shared" ref="T3013:T3076" si="621">LN(S3013/S3012)</f>
        <v>-2.7352251776426059E-3</v>
      </c>
      <c r="U3013" t="str">
        <f t="shared" si="615"/>
        <v>2022-02</v>
      </c>
      <c r="W3013">
        <v>27088.959999999999</v>
      </c>
      <c r="X3013">
        <f t="shared" ref="X3013:X3076" si="622">LN(W3013/W3012)</f>
        <v>-1.1005350102610464E-2</v>
      </c>
      <c r="Y3013">
        <f t="shared" ref="Y3013:Y3076" si="623">(W3013-W3012)/W3012</f>
        <v>-1.094501278445552E-2</v>
      </c>
      <c r="Z3013" t="str">
        <f t="shared" si="616"/>
        <v>2022-02</v>
      </c>
    </row>
    <row r="3014" spans="1:26" x14ac:dyDescent="0.35">
      <c r="A3014" s="1">
        <v>44596</v>
      </c>
      <c r="C3014">
        <v>4086.58</v>
      </c>
      <c r="D3014">
        <f t="shared" si="617"/>
        <v>-1.3233699865768637E-2</v>
      </c>
      <c r="E3014" t="str">
        <f t="shared" si="611"/>
        <v>2022-02</v>
      </c>
      <c r="G3014">
        <v>6951.38</v>
      </c>
      <c r="H3014">
        <f t="shared" si="618"/>
        <v>-7.7739104880399767E-3</v>
      </c>
      <c r="I3014" t="str">
        <f t="shared" si="612"/>
        <v>2022-02</v>
      </c>
      <c r="K3014">
        <v>15099.56</v>
      </c>
      <c r="L3014">
        <f t="shared" si="619"/>
        <v>-1.7652403704796295E-2</v>
      </c>
      <c r="M3014" t="str">
        <f t="shared" si="613"/>
        <v>2022-02</v>
      </c>
      <c r="O3014">
        <v>8882.0040200000003</v>
      </c>
      <c r="P3014">
        <f t="shared" si="620"/>
        <v>-7.9060501692928102E-3</v>
      </c>
      <c r="Q3014" t="str">
        <f t="shared" si="614"/>
        <v>2022-02</v>
      </c>
      <c r="S3014">
        <v>8589.2999999999993</v>
      </c>
      <c r="T3014">
        <f t="shared" si="621"/>
        <v>-1.1586649443529794E-2</v>
      </c>
      <c r="U3014" t="str">
        <f t="shared" si="615"/>
        <v>2022-02</v>
      </c>
      <c r="W3014">
        <v>26603.59</v>
      </c>
      <c r="X3014">
        <f t="shared" si="622"/>
        <v>-1.8080095722986921E-2</v>
      </c>
      <c r="Y3014">
        <f t="shared" si="623"/>
        <v>-1.7917631389318713E-2</v>
      </c>
      <c r="Z3014" t="str">
        <f t="shared" si="616"/>
        <v>2022-02</v>
      </c>
    </row>
    <row r="3015" spans="1:26" x14ac:dyDescent="0.35">
      <c r="A3015" s="1">
        <v>44599</v>
      </c>
      <c r="C3015">
        <v>4120.5600000000004</v>
      </c>
      <c r="D3015">
        <f t="shared" si="617"/>
        <v>8.2806420176629557E-3</v>
      </c>
      <c r="E3015" t="str">
        <f t="shared" si="611"/>
        <v>2022-02</v>
      </c>
      <c r="G3015">
        <v>7009.25</v>
      </c>
      <c r="H3015">
        <f t="shared" si="618"/>
        <v>8.2905042912698006E-3</v>
      </c>
      <c r="I3015" t="str">
        <f t="shared" si="612"/>
        <v>2022-02</v>
      </c>
      <c r="K3015">
        <v>15206.64</v>
      </c>
      <c r="L3015">
        <f t="shared" si="619"/>
        <v>7.0665702462800687E-3</v>
      </c>
      <c r="M3015" t="str">
        <f t="shared" si="613"/>
        <v>2022-02</v>
      </c>
      <c r="O3015">
        <v>8964.9351100000003</v>
      </c>
      <c r="P3015">
        <f t="shared" si="620"/>
        <v>9.2936594119723531E-3</v>
      </c>
      <c r="Q3015" t="str">
        <f t="shared" si="614"/>
        <v>2022-02</v>
      </c>
      <c r="S3015">
        <v>8558.4</v>
      </c>
      <c r="T3015">
        <f t="shared" si="621"/>
        <v>-3.6039857760433408E-3</v>
      </c>
      <c r="U3015" t="str">
        <f t="shared" si="615"/>
        <v>2022-02</v>
      </c>
      <c r="W3015">
        <v>26328.93</v>
      </c>
      <c r="X3015">
        <f t="shared" si="622"/>
        <v>-1.0377834460042382E-2</v>
      </c>
      <c r="Y3015">
        <f t="shared" si="623"/>
        <v>-1.0324170534878933E-2</v>
      </c>
      <c r="Z3015" t="str">
        <f t="shared" si="616"/>
        <v>2022-02</v>
      </c>
    </row>
    <row r="3016" spans="1:26" x14ac:dyDescent="0.35">
      <c r="A3016" s="1">
        <v>44600</v>
      </c>
      <c r="C3016">
        <v>4129.25</v>
      </c>
      <c r="D3016">
        <f t="shared" si="617"/>
        <v>2.1067159641334054E-3</v>
      </c>
      <c r="E3016" t="str">
        <f t="shared" si="611"/>
        <v>2022-02</v>
      </c>
      <c r="G3016">
        <v>7028.41</v>
      </c>
      <c r="H3016">
        <f t="shared" si="618"/>
        <v>2.7298013911241708E-3</v>
      </c>
      <c r="I3016" t="str">
        <f t="shared" si="612"/>
        <v>2022-02</v>
      </c>
      <c r="K3016">
        <v>15242.38</v>
      </c>
      <c r="L3016">
        <f t="shared" si="619"/>
        <v>2.3475314747934788E-3</v>
      </c>
      <c r="M3016" t="str">
        <f t="shared" si="613"/>
        <v>2022-02</v>
      </c>
      <c r="O3016">
        <v>8973.6797200000001</v>
      </c>
      <c r="P3016">
        <f t="shared" si="620"/>
        <v>9.7494826390262372E-4</v>
      </c>
      <c r="Q3016" t="str">
        <f t="shared" si="614"/>
        <v>2022-02</v>
      </c>
      <c r="S3016">
        <v>8674.6</v>
      </c>
      <c r="T3016">
        <f t="shared" si="621"/>
        <v>1.3485958464911851E-2</v>
      </c>
      <c r="U3016" t="str">
        <f t="shared" si="615"/>
        <v>2022-02</v>
      </c>
      <c r="W3016">
        <v>26411.73</v>
      </c>
      <c r="X3016">
        <f t="shared" si="622"/>
        <v>3.1398950269746866E-3</v>
      </c>
      <c r="Y3016">
        <f t="shared" si="623"/>
        <v>3.1448296607571699E-3</v>
      </c>
      <c r="Z3016" t="str">
        <f t="shared" si="616"/>
        <v>2022-02</v>
      </c>
    </row>
    <row r="3017" spans="1:26" x14ac:dyDescent="0.35">
      <c r="A3017" s="1">
        <v>44601</v>
      </c>
      <c r="C3017">
        <v>4204.09</v>
      </c>
      <c r="D3017">
        <f t="shared" si="617"/>
        <v>1.7962068549173392E-2</v>
      </c>
      <c r="E3017" t="str">
        <f t="shared" si="611"/>
        <v>2022-02</v>
      </c>
      <c r="G3017">
        <v>7130.88</v>
      </c>
      <c r="H3017">
        <f t="shared" si="618"/>
        <v>1.4474142270686446E-2</v>
      </c>
      <c r="I3017" t="str">
        <f t="shared" si="612"/>
        <v>2022-02</v>
      </c>
      <c r="K3017">
        <v>15482.01</v>
      </c>
      <c r="L3017">
        <f t="shared" si="619"/>
        <v>1.5598998649140702E-2</v>
      </c>
      <c r="M3017" t="str">
        <f t="shared" si="613"/>
        <v>2022-02</v>
      </c>
      <c r="O3017">
        <v>9047.4089299999996</v>
      </c>
      <c r="P3017">
        <f t="shared" si="620"/>
        <v>8.1825934946283679E-3</v>
      </c>
      <c r="Q3017" t="str">
        <f t="shared" si="614"/>
        <v>2022-02</v>
      </c>
      <c r="S3017">
        <v>8846.4</v>
      </c>
      <c r="T3017">
        <f t="shared" si="621"/>
        <v>1.9611381341771039E-2</v>
      </c>
      <c r="U3017" t="str">
        <f t="shared" si="615"/>
        <v>2022-02</v>
      </c>
      <c r="W3017">
        <v>27128.99</v>
      </c>
      <c r="X3017">
        <f t="shared" si="622"/>
        <v>2.679466816315303E-2</v>
      </c>
      <c r="Y3017">
        <f t="shared" si="623"/>
        <v>2.7156873101459165E-2</v>
      </c>
      <c r="Z3017" t="str">
        <f t="shared" si="616"/>
        <v>2022-02</v>
      </c>
    </row>
    <row r="3018" spans="1:26" x14ac:dyDescent="0.35">
      <c r="A3018" s="1">
        <v>44602</v>
      </c>
      <c r="C3018">
        <v>4197.07</v>
      </c>
      <c r="D3018">
        <f t="shared" si="617"/>
        <v>-1.6711981759301405E-3</v>
      </c>
      <c r="E3018" t="str">
        <f t="shared" si="611"/>
        <v>2022-02</v>
      </c>
      <c r="G3018">
        <v>7101.55</v>
      </c>
      <c r="H3018">
        <f t="shared" si="618"/>
        <v>-4.1215788899093006E-3</v>
      </c>
      <c r="I3018" t="str">
        <f t="shared" si="612"/>
        <v>2022-02</v>
      </c>
      <c r="K3018">
        <v>15490.44</v>
      </c>
      <c r="L3018">
        <f t="shared" si="619"/>
        <v>5.4435475451024946E-4</v>
      </c>
      <c r="M3018" t="str">
        <f t="shared" si="613"/>
        <v>2022-02</v>
      </c>
      <c r="O3018">
        <v>9109.1765200000009</v>
      </c>
      <c r="P3018">
        <f t="shared" si="620"/>
        <v>6.8039035703459242E-3</v>
      </c>
      <c r="Q3018" t="str">
        <f t="shared" si="614"/>
        <v>2022-02</v>
      </c>
      <c r="S3018">
        <v>8886.2000000000007</v>
      </c>
      <c r="T3018">
        <f t="shared" si="621"/>
        <v>4.4889149737768579E-3</v>
      </c>
      <c r="U3018" t="str">
        <f t="shared" si="615"/>
        <v>2022-02</v>
      </c>
      <c r="W3018">
        <v>27190.2</v>
      </c>
      <c r="X3018">
        <f t="shared" si="622"/>
        <v>2.2537164456371051E-3</v>
      </c>
      <c r="Y3018">
        <f t="shared" si="623"/>
        <v>2.2562579734814723E-3</v>
      </c>
      <c r="Z3018" t="str">
        <f t="shared" si="616"/>
        <v>2022-02</v>
      </c>
    </row>
    <row r="3019" spans="1:26" x14ac:dyDescent="0.35">
      <c r="A3019" s="1">
        <v>44603</v>
      </c>
      <c r="C3019">
        <v>4155.2299999999996</v>
      </c>
      <c r="D3019">
        <f t="shared" si="617"/>
        <v>-1.0018881022942431E-2</v>
      </c>
      <c r="E3019" t="str">
        <f t="shared" si="611"/>
        <v>2022-02</v>
      </c>
      <c r="G3019">
        <v>7011.6</v>
      </c>
      <c r="H3019">
        <f t="shared" si="618"/>
        <v>-1.2747149714040302E-2</v>
      </c>
      <c r="I3019" t="str">
        <f t="shared" si="612"/>
        <v>2022-02</v>
      </c>
      <c r="K3019">
        <v>15425.12</v>
      </c>
      <c r="L3019">
        <f t="shared" si="619"/>
        <v>-4.2257101084073947E-3</v>
      </c>
      <c r="M3019" t="str">
        <f t="shared" si="613"/>
        <v>2022-02</v>
      </c>
      <c r="O3019">
        <v>9142.5404099999996</v>
      </c>
      <c r="P3019">
        <f t="shared" si="620"/>
        <v>3.6559768366150403E-3</v>
      </c>
      <c r="Q3019" t="str">
        <f t="shared" si="614"/>
        <v>2022-02</v>
      </c>
      <c r="S3019">
        <v>8798.1</v>
      </c>
      <c r="T3019">
        <f t="shared" si="621"/>
        <v>-9.9637224937798828E-3</v>
      </c>
      <c r="U3019" t="str">
        <f t="shared" si="615"/>
        <v>2022-02</v>
      </c>
      <c r="W3019">
        <v>26966.1</v>
      </c>
      <c r="X3019">
        <f t="shared" si="622"/>
        <v>-8.2760926842704655E-3</v>
      </c>
      <c r="Y3019">
        <f t="shared" si="623"/>
        <v>-8.2419401107752862E-3</v>
      </c>
      <c r="Z3019" t="str">
        <f t="shared" si="616"/>
        <v>2022-02</v>
      </c>
    </row>
    <row r="3020" spans="1:26" x14ac:dyDescent="0.35">
      <c r="A3020" s="1">
        <v>44606</v>
      </c>
      <c r="C3020">
        <v>4064.45</v>
      </c>
      <c r="D3020">
        <f t="shared" si="617"/>
        <v>-2.2089349276656858E-2</v>
      </c>
      <c r="E3020" t="str">
        <f t="shared" si="611"/>
        <v>2022-02</v>
      </c>
      <c r="G3020">
        <v>6852.2</v>
      </c>
      <c r="H3020">
        <f t="shared" si="618"/>
        <v>-2.2996151772273623E-2</v>
      </c>
      <c r="I3020" t="str">
        <f t="shared" si="612"/>
        <v>2022-02</v>
      </c>
      <c r="K3020">
        <v>15113.97</v>
      </c>
      <c r="L3020">
        <f t="shared" si="619"/>
        <v>-2.0377867657887502E-2</v>
      </c>
      <c r="M3020" t="str">
        <f t="shared" si="613"/>
        <v>2022-02</v>
      </c>
      <c r="O3020">
        <v>9010.6051499999994</v>
      </c>
      <c r="P3020">
        <f t="shared" si="620"/>
        <v>-1.4536057421278186E-2</v>
      </c>
      <c r="Q3020" t="str">
        <f t="shared" si="614"/>
        <v>2022-02</v>
      </c>
      <c r="S3020">
        <v>8573.7999999999993</v>
      </c>
      <c r="T3020">
        <f t="shared" si="621"/>
        <v>-2.5824747513239085E-2</v>
      </c>
      <c r="U3020" t="str">
        <f t="shared" si="615"/>
        <v>2022-02</v>
      </c>
      <c r="W3020">
        <v>26415.41</v>
      </c>
      <c r="X3020">
        <f t="shared" si="622"/>
        <v>-2.0632969598686698E-2</v>
      </c>
      <c r="Y3020">
        <f t="shared" si="623"/>
        <v>-2.0421566336993435E-2</v>
      </c>
      <c r="Z3020" t="str">
        <f t="shared" si="616"/>
        <v>2022-02</v>
      </c>
    </row>
    <row r="3021" spans="1:26" x14ac:dyDescent="0.35">
      <c r="A3021" s="1">
        <v>44607</v>
      </c>
      <c r="C3021">
        <v>4143.71</v>
      </c>
      <c r="D3021">
        <f t="shared" si="617"/>
        <v>1.93130893207317E-2</v>
      </c>
      <c r="E3021" t="str">
        <f t="shared" si="611"/>
        <v>2022-02</v>
      </c>
      <c r="G3021">
        <v>6979.97</v>
      </c>
      <c r="H3021">
        <f t="shared" si="618"/>
        <v>1.8474850176794309E-2</v>
      </c>
      <c r="I3021" t="str">
        <f t="shared" si="612"/>
        <v>2022-02</v>
      </c>
      <c r="K3021">
        <v>15412.71</v>
      </c>
      <c r="L3021">
        <f t="shared" si="619"/>
        <v>1.9573012019865863E-2</v>
      </c>
      <c r="M3021" t="str">
        <f t="shared" si="613"/>
        <v>2022-02</v>
      </c>
      <c r="O3021">
        <v>9064.5220000000008</v>
      </c>
      <c r="P3021">
        <f t="shared" si="620"/>
        <v>5.9658789084628882E-3</v>
      </c>
      <c r="Q3021" t="str">
        <f t="shared" si="614"/>
        <v>2022-02</v>
      </c>
      <c r="S3021">
        <v>8718</v>
      </c>
      <c r="T3021">
        <f t="shared" si="621"/>
        <v>1.6678812247911505E-2</v>
      </c>
      <c r="U3021" t="str">
        <f t="shared" si="615"/>
        <v>2022-02</v>
      </c>
      <c r="W3021">
        <v>26967.98</v>
      </c>
      <c r="X3021">
        <f t="shared" si="622"/>
        <v>2.0702684331959795E-2</v>
      </c>
      <c r="Y3021">
        <f t="shared" si="623"/>
        <v>2.0918471452837557E-2</v>
      </c>
      <c r="Z3021" t="str">
        <f t="shared" si="616"/>
        <v>2022-02</v>
      </c>
    </row>
    <row r="3022" spans="1:26" x14ac:dyDescent="0.35">
      <c r="A3022" s="1">
        <v>44608</v>
      </c>
      <c r="C3022">
        <v>4137.22</v>
      </c>
      <c r="D3022">
        <f t="shared" si="617"/>
        <v>-1.5674571162380855E-3</v>
      </c>
      <c r="E3022" t="str">
        <f t="shared" si="611"/>
        <v>2022-02</v>
      </c>
      <c r="G3022">
        <v>6964.98</v>
      </c>
      <c r="H3022">
        <f t="shared" si="618"/>
        <v>-2.1498830434881428E-3</v>
      </c>
      <c r="I3022" t="str">
        <f t="shared" si="612"/>
        <v>2022-02</v>
      </c>
      <c r="K3022">
        <v>15370.3</v>
      </c>
      <c r="L3022">
        <f t="shared" si="619"/>
        <v>-2.7554177991395592E-3</v>
      </c>
      <c r="M3022" t="str">
        <f t="shared" si="613"/>
        <v>2022-02</v>
      </c>
      <c r="O3022">
        <v>9078.4119699999992</v>
      </c>
      <c r="P3022">
        <f t="shared" si="620"/>
        <v>1.5311716105788002E-3</v>
      </c>
      <c r="Q3022" t="str">
        <f t="shared" si="614"/>
        <v>2022-02</v>
      </c>
      <c r="S3022">
        <v>8737.2000000000007</v>
      </c>
      <c r="T3022">
        <f t="shared" si="621"/>
        <v>2.1999183903278429E-3</v>
      </c>
      <c r="U3022" t="str">
        <f t="shared" si="615"/>
        <v>2022-02</v>
      </c>
      <c r="W3022">
        <v>26969.32</v>
      </c>
      <c r="X3022">
        <f t="shared" si="622"/>
        <v>4.9687322141618415E-5</v>
      </c>
      <c r="Y3022">
        <f t="shared" si="623"/>
        <v>4.9688556577101643E-5</v>
      </c>
      <c r="Z3022" t="str">
        <f t="shared" si="616"/>
        <v>2022-02</v>
      </c>
    </row>
    <row r="3023" spans="1:26" x14ac:dyDescent="0.35">
      <c r="A3023" s="1">
        <v>44609</v>
      </c>
      <c r="C3023">
        <v>4113.1899999999996</v>
      </c>
      <c r="D3023">
        <f t="shared" si="617"/>
        <v>-5.8251815243784612E-3</v>
      </c>
      <c r="E3023" t="str">
        <f t="shared" si="611"/>
        <v>2022-02</v>
      </c>
      <c r="G3023">
        <v>6946.82</v>
      </c>
      <c r="H3023">
        <f t="shared" si="618"/>
        <v>-2.6107348171741838E-3</v>
      </c>
      <c r="I3023" t="str">
        <f t="shared" si="612"/>
        <v>2022-02</v>
      </c>
      <c r="K3023">
        <v>15267.63</v>
      </c>
      <c r="L3023">
        <f t="shared" si="619"/>
        <v>-6.7021750046736949E-3</v>
      </c>
      <c r="M3023" t="str">
        <f t="shared" si="613"/>
        <v>2022-02</v>
      </c>
      <c r="O3023">
        <v>9040.3317999999999</v>
      </c>
      <c r="P3023">
        <f t="shared" si="620"/>
        <v>-4.2034068754517664E-3</v>
      </c>
      <c r="Q3023" t="str">
        <f t="shared" si="614"/>
        <v>2022-02</v>
      </c>
      <c r="S3023">
        <v>8671.1</v>
      </c>
      <c r="T3023">
        <f t="shared" si="621"/>
        <v>-7.5941151828153924E-3</v>
      </c>
      <c r="U3023" t="str">
        <f t="shared" si="615"/>
        <v>2022-02</v>
      </c>
      <c r="W3023">
        <v>26669.27</v>
      </c>
      <c r="X3023">
        <f t="shared" si="622"/>
        <v>-1.1187957393167138E-2</v>
      </c>
      <c r="Y3023">
        <f t="shared" si="623"/>
        <v>-1.112560494665788E-2</v>
      </c>
      <c r="Z3023" t="str">
        <f t="shared" si="616"/>
        <v>2022-02</v>
      </c>
    </row>
    <row r="3024" spans="1:26" x14ac:dyDescent="0.35">
      <c r="A3024" s="1">
        <v>44610</v>
      </c>
      <c r="C3024">
        <v>4074.28</v>
      </c>
      <c r="D3024">
        <f t="shared" si="617"/>
        <v>-9.5048392075673081E-3</v>
      </c>
      <c r="E3024" t="str">
        <f t="shared" si="611"/>
        <v>2022-02</v>
      </c>
      <c r="G3024">
        <v>6929.63</v>
      </c>
      <c r="H3024">
        <f t="shared" si="618"/>
        <v>-2.4775801870452032E-3</v>
      </c>
      <c r="I3024" t="str">
        <f t="shared" si="612"/>
        <v>2022-02</v>
      </c>
      <c r="K3024">
        <v>15042.51</v>
      </c>
      <c r="L3024">
        <f t="shared" si="619"/>
        <v>-1.4854708002698622E-2</v>
      </c>
      <c r="M3024" t="str">
        <f t="shared" si="613"/>
        <v>2022-02</v>
      </c>
      <c r="O3024">
        <v>9014.0876599999992</v>
      </c>
      <c r="P3024">
        <f t="shared" si="620"/>
        <v>-2.9072281767588398E-3</v>
      </c>
      <c r="Q3024" t="str">
        <f t="shared" si="614"/>
        <v>2022-02</v>
      </c>
      <c r="S3024">
        <v>8590</v>
      </c>
      <c r="T3024">
        <f t="shared" si="621"/>
        <v>-9.3969210275493039E-3</v>
      </c>
      <c r="U3024" t="str">
        <f t="shared" si="615"/>
        <v>2022-02</v>
      </c>
      <c r="W3024">
        <v>26506.79</v>
      </c>
      <c r="X3024">
        <f t="shared" si="622"/>
        <v>-6.1110396538725572E-3</v>
      </c>
      <c r="Y3024">
        <f t="shared" si="623"/>
        <v>-6.0924052289395084E-3</v>
      </c>
      <c r="Z3024" t="str">
        <f t="shared" si="616"/>
        <v>2022-02</v>
      </c>
    </row>
    <row r="3025" spans="1:26" x14ac:dyDescent="0.35">
      <c r="A3025" s="1">
        <v>44613</v>
      </c>
      <c r="C3025">
        <v>3985.71</v>
      </c>
      <c r="D3025">
        <f t="shared" si="617"/>
        <v>-2.1978579462642894E-2</v>
      </c>
      <c r="E3025" t="str">
        <f t="shared" si="611"/>
        <v>2022-02</v>
      </c>
      <c r="G3025">
        <v>6788.34</v>
      </c>
      <c r="H3025">
        <f t="shared" si="618"/>
        <v>-2.059998621419078E-2</v>
      </c>
      <c r="I3025" t="str">
        <f t="shared" si="612"/>
        <v>2022-02</v>
      </c>
      <c r="K3025">
        <v>14731.12</v>
      </c>
      <c r="L3025">
        <f t="shared" si="619"/>
        <v>-2.0917930009156864E-2</v>
      </c>
      <c r="M3025" t="str">
        <f t="shared" si="613"/>
        <v>2022-02</v>
      </c>
      <c r="O3025">
        <v>8989.6468999999997</v>
      </c>
      <c r="P3025">
        <f t="shared" si="620"/>
        <v>-2.7150783558385658E-3</v>
      </c>
      <c r="Q3025" t="str">
        <f t="shared" si="614"/>
        <v>2022-02</v>
      </c>
      <c r="S3025">
        <v>8488.9</v>
      </c>
      <c r="T3025">
        <f t="shared" si="621"/>
        <v>-1.1839308260241625E-2</v>
      </c>
      <c r="U3025" t="str">
        <f t="shared" si="615"/>
        <v>2022-02</v>
      </c>
      <c r="W3025">
        <v>26050.03</v>
      </c>
      <c r="X3025">
        <f t="shared" si="622"/>
        <v>-1.7382006756698539E-2</v>
      </c>
      <c r="Y3025">
        <f t="shared" si="623"/>
        <v>-1.7231811169892773E-2</v>
      </c>
      <c r="Z3025" t="str">
        <f t="shared" si="616"/>
        <v>2022-02</v>
      </c>
    </row>
    <row r="3026" spans="1:26" x14ac:dyDescent="0.35">
      <c r="A3026" s="1">
        <v>44614</v>
      </c>
      <c r="C3026">
        <v>3985.47</v>
      </c>
      <c r="D3026">
        <f t="shared" si="617"/>
        <v>-6.0216931513982541E-5</v>
      </c>
      <c r="E3026" t="str">
        <f t="shared" si="611"/>
        <v>2022-02</v>
      </c>
      <c r="G3026">
        <v>6787.6</v>
      </c>
      <c r="H3026">
        <f t="shared" si="618"/>
        <v>-1.090163923429769E-4</v>
      </c>
      <c r="I3026" t="str">
        <f t="shared" si="612"/>
        <v>2022-02</v>
      </c>
      <c r="K3026">
        <v>14693</v>
      </c>
      <c r="L3026">
        <f t="shared" si="619"/>
        <v>-2.5910729922972034E-3</v>
      </c>
      <c r="M3026" t="str">
        <f t="shared" si="613"/>
        <v>2022-02</v>
      </c>
      <c r="O3026">
        <v>8988.5557399999998</v>
      </c>
      <c r="P3026">
        <f t="shared" si="620"/>
        <v>-1.2138699548445615E-4</v>
      </c>
      <c r="Q3026" t="str">
        <f t="shared" si="614"/>
        <v>2022-02</v>
      </c>
      <c r="S3026">
        <v>8493.2000000000007</v>
      </c>
      <c r="T3026">
        <f t="shared" si="621"/>
        <v>5.0641558957931687E-4</v>
      </c>
      <c r="U3026" t="str">
        <f t="shared" si="615"/>
        <v>2022-02</v>
      </c>
      <c r="W3026">
        <v>26043.96</v>
      </c>
      <c r="X3026">
        <f t="shared" si="622"/>
        <v>-2.3304031914122306E-4</v>
      </c>
      <c r="Y3026">
        <f t="shared" si="623"/>
        <v>-2.3301316735526635E-4</v>
      </c>
      <c r="Z3026" t="str">
        <f t="shared" si="616"/>
        <v>2022-02</v>
      </c>
    </row>
    <row r="3027" spans="1:26" x14ac:dyDescent="0.35">
      <c r="A3027" s="1">
        <v>44615</v>
      </c>
      <c r="C3027">
        <v>3973.41</v>
      </c>
      <c r="D3027">
        <f t="shared" si="617"/>
        <v>-3.0305794861419729E-3</v>
      </c>
      <c r="E3027" t="str">
        <f t="shared" si="611"/>
        <v>2022-02</v>
      </c>
      <c r="G3027">
        <v>6780.67</v>
      </c>
      <c r="H3027">
        <f t="shared" si="618"/>
        <v>-1.0215009876131215E-3</v>
      </c>
      <c r="I3027" t="str">
        <f t="shared" si="612"/>
        <v>2022-02</v>
      </c>
      <c r="K3027">
        <v>14631.36</v>
      </c>
      <c r="L3027">
        <f t="shared" si="619"/>
        <v>-4.2040195103517477E-3</v>
      </c>
      <c r="M3027" t="str">
        <f t="shared" si="613"/>
        <v>2022-02</v>
      </c>
      <c r="O3027">
        <v>8982.3052700000007</v>
      </c>
      <c r="P3027">
        <f t="shared" si="620"/>
        <v>-6.956227916477207E-4</v>
      </c>
      <c r="Q3027" t="str">
        <f t="shared" si="614"/>
        <v>2022-02</v>
      </c>
      <c r="S3027">
        <v>8440.1</v>
      </c>
      <c r="T3027">
        <f t="shared" si="621"/>
        <v>-6.2716864465947294E-3</v>
      </c>
      <c r="U3027" t="str">
        <f t="shared" si="615"/>
        <v>2022-02</v>
      </c>
      <c r="W3027">
        <v>25955.08</v>
      </c>
      <c r="X3027">
        <f t="shared" si="622"/>
        <v>-3.4185279788533861E-3</v>
      </c>
      <c r="Y3027">
        <f t="shared" si="623"/>
        <v>-3.4126914647387486E-3</v>
      </c>
      <c r="Z3027" t="str">
        <f t="shared" si="616"/>
        <v>2022-02</v>
      </c>
    </row>
    <row r="3028" spans="1:26" x14ac:dyDescent="0.35">
      <c r="A3028" s="1">
        <v>44616</v>
      </c>
      <c r="C3028">
        <v>3829.29</v>
      </c>
      <c r="D3028">
        <f t="shared" si="617"/>
        <v>-3.6945260667213785E-2</v>
      </c>
      <c r="E3028" t="str">
        <f t="shared" si="611"/>
        <v>2022-02</v>
      </c>
      <c r="G3028">
        <v>6521.05</v>
      </c>
      <c r="H3028">
        <f t="shared" si="618"/>
        <v>-3.9040511211597038E-2</v>
      </c>
      <c r="I3028" t="str">
        <f t="shared" si="612"/>
        <v>2022-02</v>
      </c>
      <c r="K3028">
        <v>14052.1</v>
      </c>
      <c r="L3028">
        <f t="shared" si="619"/>
        <v>-4.039531958049021E-2</v>
      </c>
      <c r="M3028" t="str">
        <f t="shared" si="613"/>
        <v>2022-02</v>
      </c>
      <c r="O3028">
        <v>8627.9444600000006</v>
      </c>
      <c r="P3028">
        <f t="shared" si="620"/>
        <v>-4.0250269625699123E-2</v>
      </c>
      <c r="Q3028" t="str">
        <f t="shared" si="614"/>
        <v>2022-02</v>
      </c>
      <c r="S3028">
        <v>8198.5</v>
      </c>
      <c r="T3028">
        <f t="shared" si="621"/>
        <v>-2.9042946171120899E-2</v>
      </c>
      <c r="U3028" t="str">
        <f t="shared" si="615"/>
        <v>2022-02</v>
      </c>
      <c r="W3028">
        <v>24879.88</v>
      </c>
      <c r="X3028">
        <f t="shared" si="622"/>
        <v>-4.2307906823974124E-2</v>
      </c>
      <c r="Y3028">
        <f t="shared" si="623"/>
        <v>-4.1425416527323386E-2</v>
      </c>
      <c r="Z3028" t="str">
        <f t="shared" si="616"/>
        <v>2022-02</v>
      </c>
    </row>
    <row r="3029" spans="1:26" x14ac:dyDescent="0.35">
      <c r="A3029" s="1">
        <v>44617</v>
      </c>
      <c r="C3029">
        <v>3970.69</v>
      </c>
      <c r="D3029">
        <f t="shared" si="617"/>
        <v>3.6260475705722661E-2</v>
      </c>
      <c r="E3029" t="str">
        <f t="shared" si="611"/>
        <v>2022-02</v>
      </c>
      <c r="G3029">
        <v>6752.43</v>
      </c>
      <c r="H3029">
        <f t="shared" si="618"/>
        <v>3.486703418266239E-2</v>
      </c>
      <c r="I3029" t="str">
        <f t="shared" si="612"/>
        <v>2022-02</v>
      </c>
      <c r="K3029">
        <v>14567.23</v>
      </c>
      <c r="L3029">
        <f t="shared" si="619"/>
        <v>3.6002634651574099E-2</v>
      </c>
      <c r="M3029" t="str">
        <f t="shared" si="613"/>
        <v>2022-02</v>
      </c>
      <c r="O3029">
        <v>8917.2611500000003</v>
      </c>
      <c r="P3029">
        <f t="shared" si="620"/>
        <v>3.2982562154608167E-2</v>
      </c>
      <c r="Q3029" t="str">
        <f t="shared" si="614"/>
        <v>2022-02</v>
      </c>
      <c r="S3029">
        <v>8486.6</v>
      </c>
      <c r="T3029">
        <f t="shared" si="621"/>
        <v>3.4537238262966133E-2</v>
      </c>
      <c r="U3029" t="str">
        <f t="shared" si="615"/>
        <v>2022-02</v>
      </c>
      <c r="W3029">
        <v>25773.03</v>
      </c>
      <c r="X3029">
        <f t="shared" si="622"/>
        <v>3.5269151623976189E-2</v>
      </c>
      <c r="Y3029">
        <f t="shared" si="623"/>
        <v>3.5898485040924542E-2</v>
      </c>
      <c r="Z3029" t="str">
        <f t="shared" si="616"/>
        <v>2022-02</v>
      </c>
    </row>
    <row r="3030" spans="1:26" x14ac:dyDescent="0.35">
      <c r="A3030" s="1">
        <v>44620</v>
      </c>
      <c r="C3030">
        <v>3924.23</v>
      </c>
      <c r="D3030">
        <f t="shared" si="617"/>
        <v>-1.1769729478530031E-2</v>
      </c>
      <c r="E3030" t="str">
        <f t="shared" si="611"/>
        <v>2022-02</v>
      </c>
      <c r="G3030">
        <v>6658.83</v>
      </c>
      <c r="H3030">
        <f t="shared" si="618"/>
        <v>-1.3958646656143169E-2</v>
      </c>
      <c r="I3030" t="str">
        <f t="shared" si="612"/>
        <v>2022-02</v>
      </c>
      <c r="K3030">
        <v>14461.02</v>
      </c>
      <c r="L3030">
        <f t="shared" si="619"/>
        <v>-7.31773179262329E-3</v>
      </c>
      <c r="M3030" t="str">
        <f t="shared" si="613"/>
        <v>2022-02</v>
      </c>
      <c r="O3030">
        <v>8913.2910100000008</v>
      </c>
      <c r="P3030">
        <f t="shared" si="620"/>
        <v>-4.453188022427521E-4</v>
      </c>
      <c r="Q3030" t="str">
        <f t="shared" si="614"/>
        <v>2022-02</v>
      </c>
      <c r="S3030">
        <v>8479.2000000000007</v>
      </c>
      <c r="T3030">
        <f t="shared" si="621"/>
        <v>-8.7234323984400656E-4</v>
      </c>
      <c r="U3030" t="str">
        <f t="shared" si="615"/>
        <v>2022-02</v>
      </c>
      <c r="W3030">
        <v>25415.89</v>
      </c>
      <c r="X3030">
        <f t="shared" si="622"/>
        <v>-1.3954027356722182E-2</v>
      </c>
      <c r="Y3030">
        <f t="shared" si="623"/>
        <v>-1.3857121184431921E-2</v>
      </c>
      <c r="Z3030" t="str">
        <f t="shared" si="616"/>
        <v>2022-02</v>
      </c>
    </row>
    <row r="3031" spans="1:26" x14ac:dyDescent="0.35">
      <c r="A3031" s="1">
        <v>44621</v>
      </c>
      <c r="C3031">
        <v>3765.85</v>
      </c>
      <c r="D3031">
        <f t="shared" si="617"/>
        <v>-4.1196554261628986E-2</v>
      </c>
      <c r="E3031" t="str">
        <f t="shared" si="611"/>
        <v>2022-03</v>
      </c>
      <c r="G3031">
        <v>6396.49</v>
      </c>
      <c r="H3031">
        <f t="shared" si="618"/>
        <v>-4.0194391025072281E-2</v>
      </c>
      <c r="I3031" t="str">
        <f t="shared" si="612"/>
        <v>2022-03</v>
      </c>
      <c r="K3031">
        <v>13904.85</v>
      </c>
      <c r="L3031">
        <f t="shared" si="619"/>
        <v>-3.9219053520690821E-2</v>
      </c>
      <c r="M3031" t="str">
        <f t="shared" si="613"/>
        <v>2022-03</v>
      </c>
      <c r="O3031">
        <v>8784.4947900000006</v>
      </c>
      <c r="P3031">
        <f t="shared" si="620"/>
        <v>-1.4555322944592181E-2</v>
      </c>
      <c r="Q3031" t="str">
        <f t="shared" si="614"/>
        <v>2022-03</v>
      </c>
      <c r="S3031">
        <v>8188.2</v>
      </c>
      <c r="T3031">
        <f t="shared" si="621"/>
        <v>-3.4922012240922132E-2</v>
      </c>
      <c r="U3031" t="str">
        <f t="shared" si="615"/>
        <v>2022-03</v>
      </c>
      <c r="W3031">
        <v>24363.56</v>
      </c>
      <c r="X3031">
        <f t="shared" si="622"/>
        <v>-4.2285995596260041E-2</v>
      </c>
      <c r="Y3031">
        <f t="shared" si="623"/>
        <v>-4.1404412751235471E-2</v>
      </c>
      <c r="Z3031" t="str">
        <f t="shared" si="616"/>
        <v>2022-03</v>
      </c>
    </row>
    <row r="3032" spans="1:26" x14ac:dyDescent="0.35">
      <c r="A3032" s="1">
        <v>44622</v>
      </c>
      <c r="C3032">
        <v>3820.59</v>
      </c>
      <c r="D3032">
        <f t="shared" si="617"/>
        <v>1.4431261570744976E-2</v>
      </c>
      <c r="E3032" t="str">
        <f t="shared" si="611"/>
        <v>2022-03</v>
      </c>
      <c r="G3032">
        <v>6498.02</v>
      </c>
      <c r="H3032">
        <f t="shared" si="618"/>
        <v>1.5748112693515039E-2</v>
      </c>
      <c r="I3032" t="str">
        <f t="shared" si="612"/>
        <v>2022-03</v>
      </c>
      <c r="K3032">
        <v>14000.11</v>
      </c>
      <c r="L3032">
        <f t="shared" si="619"/>
        <v>6.8274865860213814E-3</v>
      </c>
      <c r="M3032" t="str">
        <f t="shared" si="613"/>
        <v>2022-03</v>
      </c>
      <c r="O3032">
        <v>8939.1598699999995</v>
      </c>
      <c r="P3032">
        <f t="shared" si="620"/>
        <v>1.7453398763939285E-2</v>
      </c>
      <c r="Q3032" t="str">
        <f t="shared" si="614"/>
        <v>2022-03</v>
      </c>
      <c r="S3032">
        <v>8321</v>
      </c>
      <c r="T3032">
        <f t="shared" si="621"/>
        <v>1.6088346428306779E-2</v>
      </c>
      <c r="U3032" t="str">
        <f t="shared" si="615"/>
        <v>2022-03</v>
      </c>
      <c r="W3032">
        <v>24534.33</v>
      </c>
      <c r="X3032">
        <f t="shared" si="622"/>
        <v>6.9847878623320574E-3</v>
      </c>
      <c r="Y3032">
        <f t="shared" si="623"/>
        <v>7.0092383871651117E-3</v>
      </c>
      <c r="Z3032" t="str">
        <f t="shared" si="616"/>
        <v>2022-03</v>
      </c>
    </row>
    <row r="3033" spans="1:26" x14ac:dyDescent="0.35">
      <c r="A3033" s="1">
        <v>44623</v>
      </c>
      <c r="C3033">
        <v>3741.78</v>
      </c>
      <c r="D3033">
        <f t="shared" si="617"/>
        <v>-2.0843426920266549E-2</v>
      </c>
      <c r="E3033" t="str">
        <f t="shared" si="611"/>
        <v>2022-03</v>
      </c>
      <c r="G3033">
        <v>6378.37</v>
      </c>
      <c r="H3033">
        <f t="shared" si="618"/>
        <v>-1.8584936291085003E-2</v>
      </c>
      <c r="I3033" t="str">
        <f t="shared" si="612"/>
        <v>2022-03</v>
      </c>
      <c r="K3033">
        <v>13698.4</v>
      </c>
      <c r="L3033">
        <f t="shared" si="619"/>
        <v>-2.1786149034624315E-2</v>
      </c>
      <c r="M3033" t="str">
        <f t="shared" si="613"/>
        <v>2022-03</v>
      </c>
      <c r="O3033">
        <v>8734.3069300000006</v>
      </c>
      <c r="P3033">
        <f t="shared" si="620"/>
        <v>-2.3183014076833739E-2</v>
      </c>
      <c r="Q3033" t="str">
        <f t="shared" si="614"/>
        <v>2022-03</v>
      </c>
      <c r="S3033">
        <v>8011.4</v>
      </c>
      <c r="T3033">
        <f t="shared" si="621"/>
        <v>-3.7916912587439712E-2</v>
      </c>
      <c r="U3033" t="str">
        <f t="shared" si="615"/>
        <v>2022-03</v>
      </c>
      <c r="W3033">
        <v>23958.83</v>
      </c>
      <c r="X3033">
        <f t="shared" si="622"/>
        <v>-2.3736420572232967E-2</v>
      </c>
      <c r="Y3033">
        <f t="shared" si="623"/>
        <v>-2.3456927497103038E-2</v>
      </c>
      <c r="Z3033" t="str">
        <f t="shared" si="616"/>
        <v>2022-03</v>
      </c>
    </row>
    <row r="3034" spans="1:26" x14ac:dyDescent="0.35">
      <c r="A3034" s="1">
        <v>44624</v>
      </c>
      <c r="C3034">
        <v>3556.01</v>
      </c>
      <c r="D3034">
        <f t="shared" si="617"/>
        <v>-5.0922304237598151E-2</v>
      </c>
      <c r="E3034" t="str">
        <f t="shared" si="611"/>
        <v>2022-03</v>
      </c>
      <c r="G3034">
        <v>6061.66</v>
      </c>
      <c r="H3034">
        <f t="shared" si="618"/>
        <v>-5.0928888858496689E-2</v>
      </c>
      <c r="I3034" t="str">
        <f t="shared" si="612"/>
        <v>2022-03</v>
      </c>
      <c r="K3034">
        <v>13094.54</v>
      </c>
      <c r="L3034">
        <f t="shared" si="619"/>
        <v>-4.5083688261365135E-2</v>
      </c>
      <c r="M3034" t="str">
        <f t="shared" si="613"/>
        <v>2022-03</v>
      </c>
      <c r="O3034">
        <v>8459.2612000000008</v>
      </c>
      <c r="P3034">
        <f t="shared" si="620"/>
        <v>-3.1996755220233326E-2</v>
      </c>
      <c r="Q3034" t="str">
        <f t="shared" si="614"/>
        <v>2022-03</v>
      </c>
      <c r="S3034">
        <v>7720.9</v>
      </c>
      <c r="T3034">
        <f t="shared" si="621"/>
        <v>-3.693458977824382E-2</v>
      </c>
      <c r="U3034" t="str">
        <f t="shared" si="615"/>
        <v>2022-03</v>
      </c>
      <c r="W3034">
        <v>22464.86</v>
      </c>
      <c r="X3034">
        <f t="shared" si="622"/>
        <v>-6.4384630082924402E-2</v>
      </c>
      <c r="Y3034">
        <f t="shared" si="623"/>
        <v>-6.2355716034547641E-2</v>
      </c>
      <c r="Z3034" t="str">
        <f t="shared" si="616"/>
        <v>2022-03</v>
      </c>
    </row>
    <row r="3035" spans="1:26" x14ac:dyDescent="0.35">
      <c r="A3035" s="1">
        <v>44627</v>
      </c>
      <c r="C3035">
        <v>3512.22</v>
      </c>
      <c r="D3035">
        <f t="shared" si="617"/>
        <v>-1.2390813616246157E-2</v>
      </c>
      <c r="E3035" t="str">
        <f t="shared" si="611"/>
        <v>2022-03</v>
      </c>
      <c r="G3035">
        <v>5982.27</v>
      </c>
      <c r="H3035">
        <f t="shared" si="618"/>
        <v>-1.3183595367300922E-2</v>
      </c>
      <c r="I3035" t="str">
        <f t="shared" si="612"/>
        <v>2022-03</v>
      </c>
      <c r="K3035">
        <v>12834.65</v>
      </c>
      <c r="L3035">
        <f t="shared" si="619"/>
        <v>-2.0046804665786504E-2</v>
      </c>
      <c r="M3035" t="str">
        <f t="shared" si="613"/>
        <v>2022-03</v>
      </c>
      <c r="O3035">
        <v>8391.0530400000007</v>
      </c>
      <c r="P3035">
        <f t="shared" si="620"/>
        <v>-8.0958172733350386E-3</v>
      </c>
      <c r="Q3035" t="str">
        <f t="shared" si="614"/>
        <v>2022-03</v>
      </c>
      <c r="S3035">
        <v>7644.6</v>
      </c>
      <c r="T3035">
        <f t="shared" si="621"/>
        <v>-9.9314213193560739E-3</v>
      </c>
      <c r="U3035" t="str">
        <f t="shared" si="615"/>
        <v>2022-03</v>
      </c>
      <c r="W3035">
        <v>22160.28</v>
      </c>
      <c r="X3035">
        <f t="shared" si="622"/>
        <v>-1.3650813408071921E-2</v>
      </c>
      <c r="Y3035">
        <f t="shared" si="623"/>
        <v>-1.3558063571284296E-2</v>
      </c>
      <c r="Z3035" t="str">
        <f t="shared" si="616"/>
        <v>2022-03</v>
      </c>
    </row>
    <row r="3036" spans="1:26" x14ac:dyDescent="0.35">
      <c r="A3036" s="1">
        <v>44628</v>
      </c>
      <c r="C3036">
        <v>3505.29</v>
      </c>
      <c r="D3036">
        <f t="shared" si="617"/>
        <v>-1.9750601716984335E-3</v>
      </c>
      <c r="E3036" t="str">
        <f t="shared" si="611"/>
        <v>2022-03</v>
      </c>
      <c r="G3036">
        <v>5962.96</v>
      </c>
      <c r="H3036">
        <f t="shared" si="618"/>
        <v>-3.2330925098026401E-3</v>
      </c>
      <c r="I3036" t="str">
        <f t="shared" si="612"/>
        <v>2022-03</v>
      </c>
      <c r="K3036">
        <v>12831.51</v>
      </c>
      <c r="L3036">
        <f t="shared" si="619"/>
        <v>-2.4468015594580097E-4</v>
      </c>
      <c r="M3036" t="str">
        <f t="shared" si="613"/>
        <v>2022-03</v>
      </c>
      <c r="O3036">
        <v>8358.4593600000007</v>
      </c>
      <c r="P3036">
        <f t="shared" si="620"/>
        <v>-3.8919008939114104E-3</v>
      </c>
      <c r="Q3036" t="str">
        <f t="shared" si="614"/>
        <v>2022-03</v>
      </c>
      <c r="S3036">
        <v>7783.4</v>
      </c>
      <c r="T3036">
        <f t="shared" si="621"/>
        <v>1.7993744487353809E-2</v>
      </c>
      <c r="U3036" t="str">
        <f t="shared" si="615"/>
        <v>2022-03</v>
      </c>
      <c r="W3036">
        <v>22338.13</v>
      </c>
      <c r="X3036">
        <f t="shared" si="622"/>
        <v>7.9935866028519459E-3</v>
      </c>
      <c r="Y3036">
        <f t="shared" si="623"/>
        <v>8.0256206149020761E-3</v>
      </c>
      <c r="Z3036" t="str">
        <f t="shared" si="616"/>
        <v>2022-03</v>
      </c>
    </row>
    <row r="3037" spans="1:26" x14ac:dyDescent="0.35">
      <c r="A3037" s="1">
        <v>44629</v>
      </c>
      <c r="C3037">
        <v>3766.02</v>
      </c>
      <c r="D3037">
        <f t="shared" si="617"/>
        <v>7.1745484887073829E-2</v>
      </c>
      <c r="E3037" t="str">
        <f t="shared" si="611"/>
        <v>2022-03</v>
      </c>
      <c r="G3037">
        <v>6387.83</v>
      </c>
      <c r="H3037">
        <f t="shared" si="618"/>
        <v>6.8827615514802667E-2</v>
      </c>
      <c r="I3037" t="str">
        <f t="shared" si="612"/>
        <v>2022-03</v>
      </c>
      <c r="K3037">
        <v>13847.93</v>
      </c>
      <c r="L3037">
        <f t="shared" si="619"/>
        <v>7.6231898370033968E-2</v>
      </c>
      <c r="M3037" t="str">
        <f t="shared" si="613"/>
        <v>2022-03</v>
      </c>
      <c r="O3037">
        <v>8545.6248699999996</v>
      </c>
      <c r="P3037">
        <f t="shared" si="620"/>
        <v>2.214531783642653E-2</v>
      </c>
      <c r="Q3037" t="str">
        <f t="shared" si="614"/>
        <v>2022-03</v>
      </c>
      <c r="S3037">
        <v>8163.1</v>
      </c>
      <c r="T3037">
        <f t="shared" si="621"/>
        <v>4.7630738071714411E-2</v>
      </c>
      <c r="U3037" t="str">
        <f t="shared" si="615"/>
        <v>2022-03</v>
      </c>
      <c r="W3037">
        <v>23889.49</v>
      </c>
      <c r="X3037">
        <f t="shared" si="622"/>
        <v>6.7143529484392839E-2</v>
      </c>
      <c r="Y3037">
        <f t="shared" si="623"/>
        <v>6.9448964617897763E-2</v>
      </c>
      <c r="Z3037" t="str">
        <f t="shared" si="616"/>
        <v>2022-03</v>
      </c>
    </row>
    <row r="3038" spans="1:26" x14ac:dyDescent="0.35">
      <c r="A3038" s="1">
        <v>44630</v>
      </c>
      <c r="C3038">
        <v>3651.39</v>
      </c>
      <c r="D3038">
        <f t="shared" si="617"/>
        <v>-3.0910823877368643E-2</v>
      </c>
      <c r="E3038" t="str">
        <f t="shared" si="611"/>
        <v>2022-03</v>
      </c>
      <c r="G3038">
        <v>6207.2</v>
      </c>
      <c r="H3038">
        <f t="shared" si="618"/>
        <v>-2.8684709002800714E-2</v>
      </c>
      <c r="I3038" t="str">
        <f t="shared" si="612"/>
        <v>2022-03</v>
      </c>
      <c r="K3038">
        <v>13442.1</v>
      </c>
      <c r="L3038">
        <f t="shared" si="619"/>
        <v>-2.9744190090317174E-2</v>
      </c>
      <c r="M3038" t="str">
        <f t="shared" si="613"/>
        <v>2022-03</v>
      </c>
      <c r="O3038">
        <v>8460.7716899999996</v>
      </c>
      <c r="P3038">
        <f t="shared" si="620"/>
        <v>-9.9790550985126309E-3</v>
      </c>
      <c r="Q3038" t="str">
        <f t="shared" si="614"/>
        <v>2022-03</v>
      </c>
      <c r="S3038">
        <v>8069.3</v>
      </c>
      <c r="T3038">
        <f t="shared" si="621"/>
        <v>-1.1557261288792468E-2</v>
      </c>
      <c r="U3038" t="str">
        <f t="shared" si="615"/>
        <v>2022-03</v>
      </c>
      <c r="W3038">
        <v>22886.69</v>
      </c>
      <c r="X3038">
        <f t="shared" si="622"/>
        <v>-4.2883094388188943E-2</v>
      </c>
      <c r="Y3038">
        <f t="shared" si="623"/>
        <v>-4.197661816974757E-2</v>
      </c>
      <c r="Z3038" t="str">
        <f t="shared" si="616"/>
        <v>2022-03</v>
      </c>
    </row>
    <row r="3039" spans="1:26" x14ac:dyDescent="0.35">
      <c r="A3039" s="1">
        <v>44631</v>
      </c>
      <c r="C3039">
        <v>3686.78</v>
      </c>
      <c r="D3039">
        <f t="shared" si="617"/>
        <v>9.6455313461137025E-3</v>
      </c>
      <c r="E3039" t="str">
        <f t="shared" si="611"/>
        <v>2022-03</v>
      </c>
      <c r="G3039">
        <v>6260.25</v>
      </c>
      <c r="H3039">
        <f t="shared" si="618"/>
        <v>8.510211819216176E-3</v>
      </c>
      <c r="I3039" t="str">
        <f t="shared" si="612"/>
        <v>2022-03</v>
      </c>
      <c r="K3039">
        <v>13628.11</v>
      </c>
      <c r="L3039">
        <f t="shared" si="619"/>
        <v>1.3742998494159688E-2</v>
      </c>
      <c r="M3039" t="str">
        <f t="shared" si="613"/>
        <v>2022-03</v>
      </c>
      <c r="O3039">
        <v>8549.9278599999998</v>
      </c>
      <c r="P3039">
        <f t="shared" si="620"/>
        <v>1.0482459715939198E-2</v>
      </c>
      <c r="Q3039" t="str">
        <f t="shared" si="614"/>
        <v>2022-03</v>
      </c>
      <c r="S3039">
        <v>8142.1</v>
      </c>
      <c r="T3039">
        <f t="shared" si="621"/>
        <v>8.9813944964310579E-3</v>
      </c>
      <c r="U3039" t="str">
        <f t="shared" si="615"/>
        <v>2022-03</v>
      </c>
      <c r="W3039">
        <v>23041.200000000001</v>
      </c>
      <c r="X3039">
        <f t="shared" si="622"/>
        <v>6.7283989273596752E-3</v>
      </c>
      <c r="Y3039">
        <f t="shared" si="623"/>
        <v>6.751085456219403E-3</v>
      </c>
      <c r="Z3039" t="str">
        <f t="shared" si="616"/>
        <v>2022-03</v>
      </c>
    </row>
    <row r="3040" spans="1:26" x14ac:dyDescent="0.35">
      <c r="A3040" s="1">
        <v>44634</v>
      </c>
      <c r="C3040">
        <v>3741.1</v>
      </c>
      <c r="D3040">
        <f t="shared" si="617"/>
        <v>1.4626237465323313E-2</v>
      </c>
      <c r="E3040" t="str">
        <f t="shared" si="611"/>
        <v>2022-03</v>
      </c>
      <c r="G3040">
        <v>6369.94</v>
      </c>
      <c r="H3040">
        <f t="shared" si="618"/>
        <v>1.7369929970616458E-2</v>
      </c>
      <c r="I3040" t="str">
        <f t="shared" si="612"/>
        <v>2022-03</v>
      </c>
      <c r="K3040">
        <v>13929.11</v>
      </c>
      <c r="L3040">
        <f t="shared" si="619"/>
        <v>2.1846323484215141E-2</v>
      </c>
      <c r="M3040" t="str">
        <f t="shared" si="613"/>
        <v>2022-03</v>
      </c>
      <c r="O3040">
        <v>8538.4358699999993</v>
      </c>
      <c r="P3040">
        <f t="shared" si="620"/>
        <v>-1.3450078561105759E-3</v>
      </c>
      <c r="Q3040" t="str">
        <f t="shared" si="614"/>
        <v>2022-03</v>
      </c>
      <c r="S3040">
        <v>8234.4</v>
      </c>
      <c r="T3040">
        <f t="shared" si="621"/>
        <v>1.1272369230252658E-2</v>
      </c>
      <c r="U3040" t="str">
        <f t="shared" si="615"/>
        <v>2022-03</v>
      </c>
      <c r="W3040">
        <v>23426.7</v>
      </c>
      <c r="X3040">
        <f t="shared" si="622"/>
        <v>1.659247972494925E-2</v>
      </c>
      <c r="Y3040">
        <f t="shared" si="623"/>
        <v>1.6730899432321231E-2</v>
      </c>
      <c r="Z3040" t="str">
        <f t="shared" si="616"/>
        <v>2022-03</v>
      </c>
    </row>
    <row r="3041" spans="1:26" x14ac:dyDescent="0.35">
      <c r="A3041" s="1">
        <v>44635</v>
      </c>
      <c r="C3041">
        <v>3738.11</v>
      </c>
      <c r="D3041">
        <f t="shared" si="617"/>
        <v>-7.9954972765489379E-4</v>
      </c>
      <c r="E3041" t="str">
        <f t="shared" si="611"/>
        <v>2022-03</v>
      </c>
      <c r="G3041">
        <v>6355</v>
      </c>
      <c r="H3041">
        <f t="shared" si="618"/>
        <v>-2.348145746017757E-3</v>
      </c>
      <c r="I3041" t="str">
        <f t="shared" si="612"/>
        <v>2022-03</v>
      </c>
      <c r="K3041">
        <v>13917.27</v>
      </c>
      <c r="L3041">
        <f t="shared" si="619"/>
        <v>-8.5037988517746319E-4</v>
      </c>
      <c r="M3041" t="str">
        <f t="shared" si="613"/>
        <v>2022-03</v>
      </c>
      <c r="O3041">
        <v>8555.9955599999994</v>
      </c>
      <c r="P3041">
        <f t="shared" si="620"/>
        <v>2.0544346558807273E-3</v>
      </c>
      <c r="Q3041" t="str">
        <f t="shared" si="614"/>
        <v>2022-03</v>
      </c>
      <c r="S3041">
        <v>8236.1</v>
      </c>
      <c r="T3041">
        <f t="shared" si="621"/>
        <v>2.0642967803488632E-4</v>
      </c>
      <c r="U3041" t="str">
        <f t="shared" si="615"/>
        <v>2022-03</v>
      </c>
      <c r="W3041">
        <v>23499.86</v>
      </c>
      <c r="X3041">
        <f t="shared" si="622"/>
        <v>3.1180661558757867E-3</v>
      </c>
      <c r="Y3041">
        <f t="shared" si="623"/>
        <v>3.1229323805742957E-3</v>
      </c>
      <c r="Z3041" t="str">
        <f t="shared" si="616"/>
        <v>2022-03</v>
      </c>
    </row>
    <row r="3042" spans="1:26" x14ac:dyDescent="0.35">
      <c r="A3042" s="1">
        <v>44636</v>
      </c>
      <c r="C3042">
        <v>3889.69</v>
      </c>
      <c r="D3042">
        <f t="shared" si="617"/>
        <v>3.9749326836379391E-2</v>
      </c>
      <c r="E3042" t="str">
        <f t="shared" si="611"/>
        <v>2022-03</v>
      </c>
      <c r="G3042">
        <v>6588.64</v>
      </c>
      <c r="H3042">
        <f t="shared" si="618"/>
        <v>3.6105049282232272E-2</v>
      </c>
      <c r="I3042" t="str">
        <f t="shared" si="612"/>
        <v>2022-03</v>
      </c>
      <c r="K3042">
        <v>14440.74</v>
      </c>
      <c r="L3042">
        <f t="shared" si="619"/>
        <v>3.6922863706576131E-2</v>
      </c>
      <c r="M3042" t="str">
        <f t="shared" si="613"/>
        <v>2022-03</v>
      </c>
      <c r="O3042">
        <v>8689.0749699999997</v>
      </c>
      <c r="P3042">
        <f t="shared" si="620"/>
        <v>1.5434213684438657E-2</v>
      </c>
      <c r="Q3042" t="str">
        <f t="shared" si="614"/>
        <v>2022-03</v>
      </c>
      <c r="S3042">
        <v>8380.4</v>
      </c>
      <c r="T3042">
        <f t="shared" si="621"/>
        <v>1.7368715143472619E-2</v>
      </c>
      <c r="U3042" t="str">
        <f t="shared" si="615"/>
        <v>2022-03</v>
      </c>
      <c r="W3042">
        <v>24284.85</v>
      </c>
      <c r="X3042">
        <f t="shared" si="622"/>
        <v>3.2858235440818846E-2</v>
      </c>
      <c r="Y3042">
        <f t="shared" si="623"/>
        <v>3.3404028789958663E-2</v>
      </c>
      <c r="Z3042" t="str">
        <f t="shared" si="616"/>
        <v>2022-03</v>
      </c>
    </row>
    <row r="3043" spans="1:26" x14ac:dyDescent="0.35">
      <c r="A3043" s="1">
        <v>44637</v>
      </c>
      <c r="C3043">
        <v>3885.32</v>
      </c>
      <c r="D3043">
        <f t="shared" si="617"/>
        <v>-1.1241144281931067E-3</v>
      </c>
      <c r="E3043" t="str">
        <f t="shared" si="611"/>
        <v>2022-03</v>
      </c>
      <c r="G3043">
        <v>6612.52</v>
      </c>
      <c r="H3043">
        <f t="shared" si="618"/>
        <v>3.6178678308633463E-3</v>
      </c>
      <c r="I3043" t="str">
        <f t="shared" si="612"/>
        <v>2022-03</v>
      </c>
      <c r="K3043">
        <v>14388.06</v>
      </c>
      <c r="L3043">
        <f t="shared" si="619"/>
        <v>-3.6546827225500968E-3</v>
      </c>
      <c r="M3043" t="str">
        <f t="shared" si="613"/>
        <v>2022-03</v>
      </c>
      <c r="O3043">
        <v>8740.67965</v>
      </c>
      <c r="P3043">
        <f t="shared" si="620"/>
        <v>5.9214638315593926E-3</v>
      </c>
      <c r="Q3043" t="str">
        <f t="shared" si="614"/>
        <v>2022-03</v>
      </c>
      <c r="S3043">
        <v>8412</v>
      </c>
      <c r="T3043">
        <f t="shared" si="621"/>
        <v>3.7636117887332181E-3</v>
      </c>
      <c r="U3043" t="str">
        <f t="shared" si="615"/>
        <v>2022-03</v>
      </c>
      <c r="W3043">
        <v>24123.58</v>
      </c>
      <c r="X3043">
        <f t="shared" si="622"/>
        <v>-6.6629137372791669E-3</v>
      </c>
      <c r="Y3043">
        <f t="shared" si="623"/>
        <v>-6.6407657448984371E-3</v>
      </c>
      <c r="Z3043" t="str">
        <f t="shared" si="616"/>
        <v>2022-03</v>
      </c>
    </row>
    <row r="3044" spans="1:26" x14ac:dyDescent="0.35">
      <c r="A3044" s="1">
        <v>44638</v>
      </c>
      <c r="C3044">
        <v>3902.44</v>
      </c>
      <c r="D3044">
        <f t="shared" si="617"/>
        <v>4.3966500195731254E-3</v>
      </c>
      <c r="E3044" t="str">
        <f t="shared" si="611"/>
        <v>2022-03</v>
      </c>
      <c r="G3044">
        <v>6620.24</v>
      </c>
      <c r="H3044">
        <f t="shared" si="618"/>
        <v>1.166801313686502E-3</v>
      </c>
      <c r="I3044" t="str">
        <f t="shared" si="612"/>
        <v>2022-03</v>
      </c>
      <c r="K3044">
        <v>14413.09</v>
      </c>
      <c r="L3044">
        <f t="shared" si="619"/>
        <v>1.7381254777306526E-3</v>
      </c>
      <c r="M3044" t="str">
        <f t="shared" si="613"/>
        <v>2022-03</v>
      </c>
      <c r="O3044">
        <v>8830.9055000000008</v>
      </c>
      <c r="P3044">
        <f t="shared" si="620"/>
        <v>1.0269607687597611E-2</v>
      </c>
      <c r="Q3044" t="str">
        <f t="shared" si="614"/>
        <v>2022-03</v>
      </c>
      <c r="S3044">
        <v>8417.6</v>
      </c>
      <c r="T3044">
        <f t="shared" si="621"/>
        <v>6.6549415395245959E-4</v>
      </c>
      <c r="U3044" t="str">
        <f t="shared" si="615"/>
        <v>2022-03</v>
      </c>
      <c r="W3044">
        <v>24222.16</v>
      </c>
      <c r="X3044">
        <f t="shared" si="622"/>
        <v>4.078131253131851E-3</v>
      </c>
      <c r="Y3044">
        <f t="shared" si="623"/>
        <v>4.0864581459301684E-3</v>
      </c>
      <c r="Z3044" t="str">
        <f t="shared" si="616"/>
        <v>2022-03</v>
      </c>
    </row>
    <row r="3045" spans="1:26" x14ac:dyDescent="0.35">
      <c r="A3045" s="1">
        <v>44641</v>
      </c>
      <c r="C3045">
        <v>3881.8</v>
      </c>
      <c r="D3045">
        <f t="shared" si="617"/>
        <v>-5.3030349449981872E-3</v>
      </c>
      <c r="E3045" t="str">
        <f t="shared" si="611"/>
        <v>2022-03</v>
      </c>
      <c r="G3045">
        <v>6582.33</v>
      </c>
      <c r="H3045">
        <f t="shared" si="618"/>
        <v>-5.7428370673013552E-3</v>
      </c>
      <c r="I3045" t="str">
        <f t="shared" si="612"/>
        <v>2022-03</v>
      </c>
      <c r="K3045">
        <v>14326.97</v>
      </c>
      <c r="L3045">
        <f t="shared" si="619"/>
        <v>-5.9930464836438881E-3</v>
      </c>
      <c r="M3045" t="str">
        <f t="shared" si="613"/>
        <v>2022-03</v>
      </c>
      <c r="O3045">
        <v>8890.2522900000004</v>
      </c>
      <c r="P3045">
        <f t="shared" si="620"/>
        <v>6.6978707112112321E-3</v>
      </c>
      <c r="Q3045" t="str">
        <f t="shared" si="614"/>
        <v>2022-03</v>
      </c>
      <c r="S3045">
        <v>8389.2000000000007</v>
      </c>
      <c r="T3045">
        <f t="shared" si="621"/>
        <v>-3.3795876706029281E-3</v>
      </c>
      <c r="U3045" t="str">
        <f t="shared" si="615"/>
        <v>2022-03</v>
      </c>
      <c r="W3045">
        <v>24294.71</v>
      </c>
      <c r="X3045">
        <f t="shared" si="622"/>
        <v>2.9907145319219472E-3</v>
      </c>
      <c r="Y3045">
        <f t="shared" si="623"/>
        <v>2.9951911803075891E-3</v>
      </c>
      <c r="Z3045" t="str">
        <f t="shared" si="616"/>
        <v>2022-03</v>
      </c>
    </row>
    <row r="3046" spans="1:26" x14ac:dyDescent="0.35">
      <c r="A3046" s="1">
        <v>44642</v>
      </c>
      <c r="C3046">
        <v>3926.12</v>
      </c>
      <c r="D3046">
        <f t="shared" si="617"/>
        <v>1.1352697263694299E-2</v>
      </c>
      <c r="E3046" t="str">
        <f t="shared" si="611"/>
        <v>2022-03</v>
      </c>
      <c r="G3046">
        <v>6659.41</v>
      </c>
      <c r="H3046">
        <f t="shared" si="618"/>
        <v>1.1642106038610062E-2</v>
      </c>
      <c r="I3046" t="str">
        <f t="shared" si="612"/>
        <v>2022-03</v>
      </c>
      <c r="K3046">
        <v>14473.2</v>
      </c>
      <c r="L3046">
        <f t="shared" si="619"/>
        <v>1.0154888434506581E-2</v>
      </c>
      <c r="M3046" t="str">
        <f t="shared" si="613"/>
        <v>2022-03</v>
      </c>
      <c r="O3046">
        <v>8988.6141200000002</v>
      </c>
      <c r="P3046">
        <f t="shared" si="620"/>
        <v>1.1003250445938808E-2</v>
      </c>
      <c r="Q3046" t="str">
        <f t="shared" si="614"/>
        <v>2022-03</v>
      </c>
      <c r="S3046">
        <v>8487.2000000000007</v>
      </c>
      <c r="T3046">
        <f t="shared" si="621"/>
        <v>1.1613981839122073E-2</v>
      </c>
      <c r="U3046" t="str">
        <f t="shared" si="615"/>
        <v>2022-03</v>
      </c>
      <c r="W3046">
        <v>24533.84</v>
      </c>
      <c r="X3046">
        <f t="shared" si="622"/>
        <v>9.7947578532279825E-3</v>
      </c>
      <c r="Y3046">
        <f t="shared" si="623"/>
        <v>9.842883491920711E-3</v>
      </c>
      <c r="Z3046" t="str">
        <f t="shared" si="616"/>
        <v>2022-03</v>
      </c>
    </row>
    <row r="3047" spans="1:26" x14ac:dyDescent="0.35">
      <c r="A3047" s="1">
        <v>44643</v>
      </c>
      <c r="C3047">
        <v>3869.22</v>
      </c>
      <c r="D3047">
        <f t="shared" si="617"/>
        <v>-1.4598724508099644E-2</v>
      </c>
      <c r="E3047" t="str">
        <f t="shared" si="611"/>
        <v>2022-03</v>
      </c>
      <c r="G3047">
        <v>6581.43</v>
      </c>
      <c r="H3047">
        <f t="shared" si="618"/>
        <v>-1.1778845086025403E-2</v>
      </c>
      <c r="I3047" t="str">
        <f t="shared" si="612"/>
        <v>2022-03</v>
      </c>
      <c r="K3047">
        <v>14283.65</v>
      </c>
      <c r="L3047">
        <f t="shared" si="619"/>
        <v>-1.3183136903413334E-2</v>
      </c>
      <c r="M3047" t="str">
        <f t="shared" si="613"/>
        <v>2022-03</v>
      </c>
      <c r="O3047">
        <v>8953.2983000000004</v>
      </c>
      <c r="P3047">
        <f t="shared" si="620"/>
        <v>-3.936689108970744E-3</v>
      </c>
      <c r="Q3047" t="str">
        <f t="shared" si="614"/>
        <v>2022-03</v>
      </c>
      <c r="S3047">
        <v>8328.4</v>
      </c>
      <c r="T3047">
        <f t="shared" si="621"/>
        <v>-1.8887785264022797E-2</v>
      </c>
      <c r="U3047" t="str">
        <f t="shared" si="615"/>
        <v>2022-03</v>
      </c>
      <c r="W3047">
        <v>24298.66</v>
      </c>
      <c r="X3047">
        <f t="shared" si="622"/>
        <v>-9.6321842342877752E-3</v>
      </c>
      <c r="Y3047">
        <f t="shared" si="623"/>
        <v>-9.5859433337789884E-3</v>
      </c>
      <c r="Z3047" t="str">
        <f t="shared" si="616"/>
        <v>2022-03</v>
      </c>
    </row>
    <row r="3048" spans="1:26" x14ac:dyDescent="0.35">
      <c r="A3048" s="1">
        <v>44644</v>
      </c>
      <c r="C3048">
        <v>3863.39</v>
      </c>
      <c r="D3048">
        <f t="shared" si="617"/>
        <v>-1.5078999470215738E-3</v>
      </c>
      <c r="E3048" t="str">
        <f t="shared" si="611"/>
        <v>2022-03</v>
      </c>
      <c r="G3048">
        <v>6555.77</v>
      </c>
      <c r="H3048">
        <f t="shared" si="618"/>
        <v>-3.9064690545974352E-3</v>
      </c>
      <c r="I3048" t="str">
        <f t="shared" si="612"/>
        <v>2022-03</v>
      </c>
      <c r="K3048">
        <v>14273.79</v>
      </c>
      <c r="L3048">
        <f t="shared" si="619"/>
        <v>-6.9053811488741391E-4</v>
      </c>
      <c r="M3048" t="str">
        <f t="shared" si="613"/>
        <v>2022-03</v>
      </c>
      <c r="O3048">
        <v>8946.0489300000008</v>
      </c>
      <c r="P3048">
        <f t="shared" si="620"/>
        <v>-8.1001505845116793E-4</v>
      </c>
      <c r="Q3048" t="str">
        <f t="shared" si="614"/>
        <v>2022-03</v>
      </c>
      <c r="S3048">
        <v>8305.1</v>
      </c>
      <c r="T3048">
        <f t="shared" si="621"/>
        <v>-2.8015769669421341E-3</v>
      </c>
      <c r="U3048" t="str">
        <f t="shared" si="615"/>
        <v>2022-03</v>
      </c>
      <c r="W3048">
        <v>24401.48</v>
      </c>
      <c r="X3048">
        <f t="shared" si="622"/>
        <v>4.2225814042833702E-3</v>
      </c>
      <c r="Y3048">
        <f t="shared" si="623"/>
        <v>4.2315090626396561E-3</v>
      </c>
      <c r="Z3048" t="str">
        <f t="shared" si="616"/>
        <v>2022-03</v>
      </c>
    </row>
    <row r="3049" spans="1:26" x14ac:dyDescent="0.35">
      <c r="A3049" s="1">
        <v>44645</v>
      </c>
      <c r="C3049">
        <v>3867.73</v>
      </c>
      <c r="D3049">
        <f t="shared" si="617"/>
        <v>1.1227352455772715E-3</v>
      </c>
      <c r="E3049" t="str">
        <f t="shared" si="611"/>
        <v>2022-03</v>
      </c>
      <c r="G3049">
        <v>6553.68</v>
      </c>
      <c r="H3049">
        <f t="shared" si="618"/>
        <v>-3.1885395919843841E-4</v>
      </c>
      <c r="I3049" t="str">
        <f t="shared" si="612"/>
        <v>2022-03</v>
      </c>
      <c r="K3049">
        <v>14305.76</v>
      </c>
      <c r="L3049">
        <f t="shared" si="619"/>
        <v>2.2372649908831209E-3</v>
      </c>
      <c r="M3049" t="str">
        <f t="shared" si="613"/>
        <v>2022-03</v>
      </c>
      <c r="O3049">
        <v>8983.9689999999991</v>
      </c>
      <c r="P3049">
        <f t="shared" si="620"/>
        <v>4.229792372115071E-3</v>
      </c>
      <c r="Q3049" t="str">
        <f t="shared" si="614"/>
        <v>2022-03</v>
      </c>
      <c r="S3049">
        <v>8330.6</v>
      </c>
      <c r="T3049">
        <f t="shared" si="621"/>
        <v>3.0656984643657129E-3</v>
      </c>
      <c r="U3049" t="str">
        <f t="shared" si="615"/>
        <v>2022-03</v>
      </c>
      <c r="W3049">
        <v>24558.74</v>
      </c>
      <c r="X3049">
        <f t="shared" si="622"/>
        <v>6.4240128339290558E-3</v>
      </c>
      <c r="Y3049">
        <f t="shared" si="623"/>
        <v>6.444691059722691E-3</v>
      </c>
      <c r="Z3049" t="str">
        <f t="shared" si="616"/>
        <v>2022-03</v>
      </c>
    </row>
    <row r="3050" spans="1:26" x14ac:dyDescent="0.35">
      <c r="A3050" s="1">
        <v>44648</v>
      </c>
      <c r="C3050">
        <v>3887.1</v>
      </c>
      <c r="D3050">
        <f t="shared" si="617"/>
        <v>4.9956066820976541E-3</v>
      </c>
      <c r="E3050" t="str">
        <f t="shared" si="611"/>
        <v>2022-03</v>
      </c>
      <c r="G3050">
        <v>6589.11</v>
      </c>
      <c r="H3050">
        <f t="shared" si="618"/>
        <v>5.3915623434623184E-3</v>
      </c>
      <c r="I3050" t="str">
        <f t="shared" si="612"/>
        <v>2022-03</v>
      </c>
      <c r="K3050">
        <v>14417.37</v>
      </c>
      <c r="L3050">
        <f t="shared" si="619"/>
        <v>7.7714762792990173E-3</v>
      </c>
      <c r="M3050" t="str">
        <f t="shared" si="613"/>
        <v>2022-03</v>
      </c>
      <c r="O3050">
        <v>8897.8899899999997</v>
      </c>
      <c r="P3050">
        <f t="shared" si="620"/>
        <v>-9.6275979964212249E-3</v>
      </c>
      <c r="Q3050" t="str">
        <f t="shared" si="614"/>
        <v>2022-03</v>
      </c>
      <c r="S3050">
        <v>8365.6</v>
      </c>
      <c r="T3050">
        <f t="shared" si="621"/>
        <v>4.1925769059164052E-3</v>
      </c>
      <c r="U3050" t="str">
        <f t="shared" si="615"/>
        <v>2022-03</v>
      </c>
      <c r="W3050">
        <v>24712.6</v>
      </c>
      <c r="X3050">
        <f t="shared" si="622"/>
        <v>6.2454359923970306E-3</v>
      </c>
      <c r="Y3050">
        <f t="shared" si="623"/>
        <v>6.2649793922651131E-3</v>
      </c>
      <c r="Z3050" t="str">
        <f t="shared" si="616"/>
        <v>2022-03</v>
      </c>
    </row>
    <row r="3051" spans="1:26" x14ac:dyDescent="0.35">
      <c r="A3051" s="1">
        <v>44649</v>
      </c>
      <c r="C3051">
        <v>4002.18</v>
      </c>
      <c r="D3051">
        <f t="shared" si="617"/>
        <v>2.9175834340590259E-2</v>
      </c>
      <c r="E3051" t="str">
        <f t="shared" si="611"/>
        <v>2022-03</v>
      </c>
      <c r="G3051">
        <v>6792.16</v>
      </c>
      <c r="H3051">
        <f t="shared" si="618"/>
        <v>3.0350719574462594E-2</v>
      </c>
      <c r="I3051" t="str">
        <f t="shared" si="612"/>
        <v>2022-03</v>
      </c>
      <c r="K3051">
        <v>14820.33</v>
      </c>
      <c r="L3051">
        <f t="shared" si="619"/>
        <v>2.7566157179566037E-2</v>
      </c>
      <c r="M3051" t="str">
        <f t="shared" si="613"/>
        <v>2022-03</v>
      </c>
      <c r="O3051">
        <v>8901.8459800000001</v>
      </c>
      <c r="P3051">
        <f t="shared" si="620"/>
        <v>4.4449985907684135E-4</v>
      </c>
      <c r="Q3051" t="str">
        <f t="shared" si="614"/>
        <v>2022-03</v>
      </c>
      <c r="S3051">
        <v>8614.6</v>
      </c>
      <c r="T3051">
        <f t="shared" si="621"/>
        <v>2.9330378955490018E-2</v>
      </c>
      <c r="U3051" t="str">
        <f t="shared" si="615"/>
        <v>2022-03</v>
      </c>
      <c r="W3051">
        <v>25307.98</v>
      </c>
      <c r="X3051">
        <f t="shared" si="622"/>
        <v>2.3806525996675033E-2</v>
      </c>
      <c r="Y3051">
        <f t="shared" si="623"/>
        <v>2.40921635117309E-2</v>
      </c>
      <c r="Z3051" t="str">
        <f t="shared" si="616"/>
        <v>2022-03</v>
      </c>
    </row>
    <row r="3052" spans="1:26" x14ac:dyDescent="0.35">
      <c r="A3052" s="1">
        <v>44650</v>
      </c>
      <c r="C3052">
        <v>3959.14</v>
      </c>
      <c r="D3052">
        <f t="shared" si="617"/>
        <v>-1.0812382697302794E-2</v>
      </c>
      <c r="E3052" t="str">
        <f t="shared" si="611"/>
        <v>2022-03</v>
      </c>
      <c r="G3052">
        <v>6741.59</v>
      </c>
      <c r="H3052">
        <f t="shared" si="618"/>
        <v>-7.4732037101056855E-3</v>
      </c>
      <c r="I3052" t="str">
        <f t="shared" si="612"/>
        <v>2022-03</v>
      </c>
      <c r="K3052">
        <v>14606.05</v>
      </c>
      <c r="L3052">
        <f t="shared" si="619"/>
        <v>-1.4564060383730502E-2</v>
      </c>
      <c r="M3052" t="str">
        <f t="shared" si="613"/>
        <v>2022-03</v>
      </c>
      <c r="O3052">
        <v>8928.4834599999995</v>
      </c>
      <c r="P3052">
        <f t="shared" si="620"/>
        <v>2.987886444468818E-3</v>
      </c>
      <c r="Q3052" t="str">
        <f t="shared" si="614"/>
        <v>2022-03</v>
      </c>
      <c r="S3052">
        <v>8550.6</v>
      </c>
      <c r="T3052">
        <f t="shared" si="621"/>
        <v>-7.45698233264761E-3</v>
      </c>
      <c r="U3052" t="str">
        <f t="shared" si="615"/>
        <v>2022-03</v>
      </c>
      <c r="W3052">
        <v>25300.25</v>
      </c>
      <c r="X3052">
        <f t="shared" si="622"/>
        <v>-3.0548391279887376E-4</v>
      </c>
      <c r="Y3052">
        <f t="shared" si="623"/>
        <v>-3.0543725733936741E-4</v>
      </c>
      <c r="Z3052" t="str">
        <f t="shared" si="616"/>
        <v>2022-03</v>
      </c>
    </row>
    <row r="3053" spans="1:26" x14ac:dyDescent="0.35">
      <c r="A3053" s="1">
        <v>44651</v>
      </c>
      <c r="C3053">
        <v>3902.52</v>
      </c>
      <c r="D3053">
        <f t="shared" si="617"/>
        <v>-1.4404331649784507E-2</v>
      </c>
      <c r="E3053" t="str">
        <f t="shared" si="611"/>
        <v>2022-03</v>
      </c>
      <c r="G3053">
        <v>6659.87</v>
      </c>
      <c r="H3053">
        <f t="shared" si="618"/>
        <v>-1.2195837305236493E-2</v>
      </c>
      <c r="I3053" t="str">
        <f t="shared" si="612"/>
        <v>2022-03</v>
      </c>
      <c r="K3053">
        <v>14414.75</v>
      </c>
      <c r="L3053">
        <f t="shared" si="619"/>
        <v>-1.318383854824318E-2</v>
      </c>
      <c r="M3053" t="str">
        <f t="shared" si="613"/>
        <v>2022-03</v>
      </c>
      <c r="O3053">
        <v>8910.7128200000006</v>
      </c>
      <c r="P3053">
        <f t="shared" si="620"/>
        <v>-1.9923146311283907E-3</v>
      </c>
      <c r="Q3053" t="str">
        <f t="shared" si="614"/>
        <v>2022-03</v>
      </c>
      <c r="S3053">
        <v>8445.1</v>
      </c>
      <c r="T3053">
        <f t="shared" si="621"/>
        <v>-1.2415064409200481E-2</v>
      </c>
      <c r="U3053" t="str">
        <f t="shared" si="615"/>
        <v>2022-03</v>
      </c>
      <c r="W3053">
        <v>25021.26</v>
      </c>
      <c r="X3053">
        <f t="shared" si="622"/>
        <v>-1.108841362459104E-2</v>
      </c>
      <c r="Y3053">
        <f t="shared" si="623"/>
        <v>-1.1027163763203984E-2</v>
      </c>
      <c r="Z3053" t="str">
        <f t="shared" si="616"/>
        <v>2022-03</v>
      </c>
    </row>
    <row r="3054" spans="1:26" x14ac:dyDescent="0.35">
      <c r="A3054" s="1">
        <v>44652</v>
      </c>
      <c r="C3054">
        <v>3918.68</v>
      </c>
      <c r="D3054">
        <f t="shared" si="617"/>
        <v>4.132364086395026E-3</v>
      </c>
      <c r="E3054" t="str">
        <f t="shared" si="611"/>
        <v>2022-04</v>
      </c>
      <c r="G3054">
        <v>6684.31</v>
      </c>
      <c r="H3054">
        <f t="shared" si="618"/>
        <v>3.6630242289105355E-3</v>
      </c>
      <c r="I3054" t="str">
        <f t="shared" si="612"/>
        <v>2022-04</v>
      </c>
      <c r="K3054">
        <v>14446.48</v>
      </c>
      <c r="L3054">
        <f t="shared" si="619"/>
        <v>2.198798373027621E-3</v>
      </c>
      <c r="M3054" t="str">
        <f t="shared" si="613"/>
        <v>2022-04</v>
      </c>
      <c r="O3054">
        <v>8947.8423500000008</v>
      </c>
      <c r="P3054">
        <f t="shared" si="620"/>
        <v>4.1581844830722242E-3</v>
      </c>
      <c r="Q3054" t="str">
        <f t="shared" si="614"/>
        <v>2022-04</v>
      </c>
      <c r="S3054">
        <v>8503.7000000000007</v>
      </c>
      <c r="T3054">
        <f t="shared" si="621"/>
        <v>6.9149713850338934E-3</v>
      </c>
      <c r="U3054" t="str">
        <f t="shared" si="615"/>
        <v>2022-04</v>
      </c>
      <c r="W3054">
        <v>25163.3</v>
      </c>
      <c r="X3054">
        <f t="shared" si="622"/>
        <v>5.6607203207933764E-3</v>
      </c>
      <c r="Y3054">
        <f t="shared" si="623"/>
        <v>5.6767724726892602E-3</v>
      </c>
      <c r="Z3054" t="str">
        <f t="shared" si="616"/>
        <v>2022-04</v>
      </c>
    </row>
    <row r="3055" spans="1:26" x14ac:dyDescent="0.35">
      <c r="A3055" s="1">
        <v>44655</v>
      </c>
      <c r="C3055">
        <v>3951.12</v>
      </c>
      <c r="D3055">
        <f t="shared" si="617"/>
        <v>8.2442206251030353E-3</v>
      </c>
      <c r="E3055" t="str">
        <f t="shared" si="611"/>
        <v>2022-04</v>
      </c>
      <c r="G3055">
        <v>6731.37</v>
      </c>
      <c r="H3055">
        <f t="shared" si="618"/>
        <v>7.0156999905269073E-3</v>
      </c>
      <c r="I3055" t="str">
        <f t="shared" si="612"/>
        <v>2022-04</v>
      </c>
      <c r="K3055">
        <v>14518.16</v>
      </c>
      <c r="L3055">
        <f t="shared" si="619"/>
        <v>4.9494933361214971E-3</v>
      </c>
      <c r="M3055" t="str">
        <f t="shared" si="613"/>
        <v>2022-04</v>
      </c>
      <c r="O3055">
        <v>9025.2471700000006</v>
      </c>
      <c r="P3055">
        <f t="shared" si="620"/>
        <v>8.6134660910881667E-3</v>
      </c>
      <c r="Q3055" t="str">
        <f t="shared" si="614"/>
        <v>2022-04</v>
      </c>
      <c r="S3055">
        <v>8520.7999999999993</v>
      </c>
      <c r="T3055">
        <f t="shared" si="621"/>
        <v>2.0088702459010936E-3</v>
      </c>
      <c r="U3055" t="str">
        <f t="shared" si="615"/>
        <v>2022-04</v>
      </c>
      <c r="W3055">
        <v>25175.86</v>
      </c>
      <c r="X3055">
        <f t="shared" si="622"/>
        <v>4.9901509125855562E-4</v>
      </c>
      <c r="Y3055">
        <f t="shared" si="623"/>
        <v>4.9913962000219803E-4</v>
      </c>
      <c r="Z3055" t="str">
        <f t="shared" si="616"/>
        <v>2022-04</v>
      </c>
    </row>
    <row r="3056" spans="1:26" x14ac:dyDescent="0.35">
      <c r="A3056" s="1">
        <v>44656</v>
      </c>
      <c r="C3056">
        <v>3917.85</v>
      </c>
      <c r="D3056">
        <f t="shared" si="617"/>
        <v>-8.4560490754767587E-3</v>
      </c>
      <c r="E3056" t="str">
        <f t="shared" si="611"/>
        <v>2022-04</v>
      </c>
      <c r="G3056">
        <v>6645.51</v>
      </c>
      <c r="H3056">
        <f t="shared" si="618"/>
        <v>-1.2837250405920072E-2</v>
      </c>
      <c r="I3056" t="str">
        <f t="shared" si="612"/>
        <v>2022-04</v>
      </c>
      <c r="K3056">
        <v>14424.36</v>
      </c>
      <c r="L3056">
        <f t="shared" si="619"/>
        <v>-6.4818356114609687E-3</v>
      </c>
      <c r="M3056" t="str">
        <f t="shared" si="613"/>
        <v>2022-04</v>
      </c>
      <c r="O3056">
        <v>9128.2322000000004</v>
      </c>
      <c r="P3056">
        <f t="shared" si="620"/>
        <v>1.1346159346784979E-2</v>
      </c>
      <c r="Q3056" t="str">
        <f t="shared" si="614"/>
        <v>2022-04</v>
      </c>
      <c r="S3056">
        <v>8623.2999999999993</v>
      </c>
      <c r="T3056">
        <f t="shared" si="621"/>
        <v>1.1957608894285871E-2</v>
      </c>
      <c r="U3056" t="str">
        <f t="shared" si="615"/>
        <v>2022-04</v>
      </c>
      <c r="W3056">
        <v>24960.38</v>
      </c>
      <c r="X3056">
        <f t="shared" si="622"/>
        <v>-8.5958311507274843E-3</v>
      </c>
      <c r="Y3056">
        <f t="shared" si="623"/>
        <v>-8.5589926222976922E-3</v>
      </c>
      <c r="Z3056" t="str">
        <f t="shared" si="616"/>
        <v>2022-04</v>
      </c>
    </row>
    <row r="3057" spans="1:26" x14ac:dyDescent="0.35">
      <c r="A3057" s="1">
        <v>44657</v>
      </c>
      <c r="C3057">
        <v>3824.69</v>
      </c>
      <c r="D3057">
        <f t="shared" si="617"/>
        <v>-2.4065615707781332E-2</v>
      </c>
      <c r="E3057" t="str">
        <f t="shared" si="611"/>
        <v>2022-04</v>
      </c>
      <c r="G3057">
        <v>6498.83</v>
      </c>
      <c r="H3057">
        <f t="shared" si="618"/>
        <v>-2.2319277956140197E-2</v>
      </c>
      <c r="I3057" t="str">
        <f t="shared" si="612"/>
        <v>2022-04</v>
      </c>
      <c r="K3057">
        <v>14151.69</v>
      </c>
      <c r="L3057">
        <f t="shared" si="619"/>
        <v>-1.9084392405748236E-2</v>
      </c>
      <c r="M3057" t="str">
        <f t="shared" si="613"/>
        <v>2022-04</v>
      </c>
      <c r="O3057">
        <v>9095.7797200000005</v>
      </c>
      <c r="P3057">
        <f t="shared" si="620"/>
        <v>-3.5615115316770043E-3</v>
      </c>
      <c r="Q3057" t="str">
        <f t="shared" si="614"/>
        <v>2022-04</v>
      </c>
      <c r="S3057">
        <v>8482.1</v>
      </c>
      <c r="T3057">
        <f t="shared" si="621"/>
        <v>-1.6509781385956063E-2</v>
      </c>
      <c r="U3057" t="str">
        <f t="shared" si="615"/>
        <v>2022-04</v>
      </c>
      <c r="W3057">
        <v>24447.360000000001</v>
      </c>
      <c r="X3057">
        <f t="shared" si="622"/>
        <v>-2.0767533113323192E-2</v>
      </c>
      <c r="Y3057">
        <f t="shared" si="623"/>
        <v>-2.055337298550745E-2</v>
      </c>
      <c r="Z3057" t="str">
        <f t="shared" si="616"/>
        <v>2022-04</v>
      </c>
    </row>
    <row r="3058" spans="1:26" x14ac:dyDescent="0.35">
      <c r="A3058" s="1">
        <v>44658</v>
      </c>
      <c r="C3058">
        <v>3802.01</v>
      </c>
      <c r="D3058">
        <f t="shared" si="617"/>
        <v>-5.9475439850678559E-3</v>
      </c>
      <c r="E3058" t="str">
        <f t="shared" si="611"/>
        <v>2022-04</v>
      </c>
      <c r="G3058">
        <v>6461.68</v>
      </c>
      <c r="H3058">
        <f t="shared" si="618"/>
        <v>-5.732814795871238E-3</v>
      </c>
      <c r="I3058" t="str">
        <f t="shared" si="612"/>
        <v>2022-04</v>
      </c>
      <c r="K3058">
        <v>14078.15</v>
      </c>
      <c r="L3058">
        <f t="shared" si="619"/>
        <v>-5.2101015347237279E-3</v>
      </c>
      <c r="M3058" t="str">
        <f t="shared" si="613"/>
        <v>2022-04</v>
      </c>
      <c r="O3058">
        <v>9063.2828699999991</v>
      </c>
      <c r="P3058">
        <f t="shared" si="620"/>
        <v>-3.579136811706708E-3</v>
      </c>
      <c r="Q3058" t="str">
        <f t="shared" si="614"/>
        <v>2022-04</v>
      </c>
      <c r="S3058">
        <v>8467.4</v>
      </c>
      <c r="T3058">
        <f t="shared" si="621"/>
        <v>-1.7345648763298657E-3</v>
      </c>
      <c r="U3058" t="str">
        <f t="shared" si="615"/>
        <v>2022-04</v>
      </c>
      <c r="W3058">
        <v>24302.71</v>
      </c>
      <c r="X3058">
        <f t="shared" si="622"/>
        <v>-5.9343678689277564E-3</v>
      </c>
      <c r="Y3058">
        <f t="shared" si="623"/>
        <v>-5.916794287808641E-3</v>
      </c>
      <c r="Z3058" t="str">
        <f t="shared" si="616"/>
        <v>2022-04</v>
      </c>
    </row>
    <row r="3059" spans="1:26" x14ac:dyDescent="0.35">
      <c r="A3059" s="1">
        <v>44659</v>
      </c>
      <c r="C3059">
        <v>3858.37</v>
      </c>
      <c r="D3059">
        <f t="shared" si="617"/>
        <v>1.4714940241360382E-2</v>
      </c>
      <c r="E3059" t="str">
        <f t="shared" si="611"/>
        <v>2022-04</v>
      </c>
      <c r="G3059">
        <v>6548.22</v>
      </c>
      <c r="H3059">
        <f t="shared" si="618"/>
        <v>1.3303911085915497E-2</v>
      </c>
      <c r="I3059" t="str">
        <f t="shared" si="612"/>
        <v>2022-04</v>
      </c>
      <c r="K3059">
        <v>14283.67</v>
      </c>
      <c r="L3059">
        <f t="shared" si="619"/>
        <v>1.4492976641245447E-2</v>
      </c>
      <c r="M3059" t="str">
        <f t="shared" si="613"/>
        <v>2022-04</v>
      </c>
      <c r="O3059">
        <v>9193.3136400000003</v>
      </c>
      <c r="P3059">
        <f t="shared" si="620"/>
        <v>1.4245039457832497E-2</v>
      </c>
      <c r="Q3059" t="str">
        <f t="shared" si="614"/>
        <v>2022-04</v>
      </c>
      <c r="S3059">
        <v>8606.4</v>
      </c>
      <c r="T3059">
        <f t="shared" si="621"/>
        <v>1.6282616758022426E-2</v>
      </c>
      <c r="U3059" t="str">
        <f t="shared" si="615"/>
        <v>2022-04</v>
      </c>
      <c r="W3059">
        <v>24819.15</v>
      </c>
      <c r="X3059">
        <f t="shared" si="622"/>
        <v>2.1027665852630346E-2</v>
      </c>
      <c r="Y3059">
        <f t="shared" si="623"/>
        <v>2.125030500713716E-2</v>
      </c>
      <c r="Z3059" t="str">
        <f t="shared" si="616"/>
        <v>2022-04</v>
      </c>
    </row>
    <row r="3060" spans="1:26" x14ac:dyDescent="0.35">
      <c r="A3060" s="1">
        <v>44662</v>
      </c>
      <c r="C3060">
        <v>3839.62</v>
      </c>
      <c r="D3060">
        <f t="shared" si="617"/>
        <v>-4.8714111291701659E-3</v>
      </c>
      <c r="E3060" t="str">
        <f t="shared" si="611"/>
        <v>2022-04</v>
      </c>
      <c r="G3060">
        <v>6555.81</v>
      </c>
      <c r="H3060">
        <f t="shared" si="618"/>
        <v>1.1584223859039252E-3</v>
      </c>
      <c r="I3060" t="str">
        <f t="shared" si="612"/>
        <v>2022-04</v>
      </c>
      <c r="K3060">
        <v>14192.78</v>
      </c>
      <c r="L3060">
        <f t="shared" si="619"/>
        <v>-6.3835420948977371E-3</v>
      </c>
      <c r="M3060" t="str">
        <f t="shared" si="613"/>
        <v>2022-04</v>
      </c>
      <c r="O3060">
        <v>9121.9422500000001</v>
      </c>
      <c r="P3060">
        <f t="shared" si="620"/>
        <v>-7.7936941418013401E-3</v>
      </c>
      <c r="Q3060" t="str">
        <f t="shared" si="614"/>
        <v>2022-04</v>
      </c>
      <c r="S3060">
        <v>8585</v>
      </c>
      <c r="T3060">
        <f t="shared" si="621"/>
        <v>-2.4896181874021843E-3</v>
      </c>
      <c r="U3060" t="str">
        <f t="shared" si="615"/>
        <v>2022-04</v>
      </c>
      <c r="W3060">
        <v>24749.49</v>
      </c>
      <c r="X3060">
        <f t="shared" si="622"/>
        <v>-2.8106498729058484E-3</v>
      </c>
      <c r="Y3060">
        <f t="shared" si="623"/>
        <v>-2.8067036945261963E-3</v>
      </c>
      <c r="Z3060" t="str">
        <f t="shared" si="616"/>
        <v>2022-04</v>
      </c>
    </row>
    <row r="3061" spans="1:26" x14ac:dyDescent="0.35">
      <c r="A3061" s="1">
        <v>44663</v>
      </c>
      <c r="C3061">
        <v>3831.47</v>
      </c>
      <c r="D3061">
        <f t="shared" si="617"/>
        <v>-2.1248618035931985E-3</v>
      </c>
      <c r="E3061" t="str">
        <f t="shared" si="611"/>
        <v>2022-04</v>
      </c>
      <c r="G3061">
        <v>6537.41</v>
      </c>
      <c r="H3061">
        <f t="shared" si="618"/>
        <v>-2.8106168097180705E-3</v>
      </c>
      <c r="I3061" t="str">
        <f t="shared" si="612"/>
        <v>2022-04</v>
      </c>
      <c r="K3061">
        <v>14124.95</v>
      </c>
      <c r="L3061">
        <f t="shared" si="619"/>
        <v>-4.7906473948678445E-3</v>
      </c>
      <c r="M3061" t="str">
        <f t="shared" si="613"/>
        <v>2022-04</v>
      </c>
      <c r="O3061">
        <v>9100.0983699999997</v>
      </c>
      <c r="P3061">
        <f t="shared" si="620"/>
        <v>-2.3975240664829344E-3</v>
      </c>
      <c r="Q3061" t="str">
        <f t="shared" si="614"/>
        <v>2022-04</v>
      </c>
      <c r="S3061">
        <v>8578</v>
      </c>
      <c r="T3061">
        <f t="shared" si="621"/>
        <v>-8.1570825475017078E-4</v>
      </c>
      <c r="U3061" t="str">
        <f t="shared" si="615"/>
        <v>2022-04</v>
      </c>
      <c r="W3061">
        <v>24667.27</v>
      </c>
      <c r="X3061">
        <f t="shared" si="622"/>
        <v>-3.3276190453936545E-3</v>
      </c>
      <c r="Y3061">
        <f t="shared" si="623"/>
        <v>-3.3220886571804576E-3</v>
      </c>
      <c r="Z3061" t="str">
        <f t="shared" si="616"/>
        <v>2022-04</v>
      </c>
    </row>
    <row r="3062" spans="1:26" x14ac:dyDescent="0.35">
      <c r="A3062" s="1">
        <v>44664</v>
      </c>
      <c r="C3062">
        <v>3827.96</v>
      </c>
      <c r="D3062">
        <f t="shared" si="617"/>
        <v>-9.1651735069083579E-4</v>
      </c>
      <c r="E3062" t="str">
        <f t="shared" si="611"/>
        <v>2022-04</v>
      </c>
      <c r="G3062">
        <v>6542.14</v>
      </c>
      <c r="H3062">
        <f t="shared" si="618"/>
        <v>7.2326650476422258E-4</v>
      </c>
      <c r="I3062" t="str">
        <f t="shared" si="612"/>
        <v>2022-04</v>
      </c>
      <c r="K3062">
        <v>14076.44</v>
      </c>
      <c r="L3062">
        <f t="shared" si="619"/>
        <v>-3.440259352076723E-3</v>
      </c>
      <c r="M3062" t="str">
        <f t="shared" si="613"/>
        <v>2022-04</v>
      </c>
      <c r="O3062">
        <v>9121.7602599999991</v>
      </c>
      <c r="P3062">
        <f t="shared" si="620"/>
        <v>2.3775730724445148E-3</v>
      </c>
      <c r="Q3062" t="str">
        <f t="shared" si="614"/>
        <v>2022-04</v>
      </c>
      <c r="S3062">
        <v>8617.7999999999993</v>
      </c>
      <c r="T3062">
        <f t="shared" si="621"/>
        <v>4.6290455890062284E-3</v>
      </c>
      <c r="U3062" t="str">
        <f t="shared" si="615"/>
        <v>2022-04</v>
      </c>
      <c r="W3062">
        <v>24722.16</v>
      </c>
      <c r="X3062">
        <f t="shared" si="622"/>
        <v>2.2227437165838956E-3</v>
      </c>
      <c r="Y3062">
        <f t="shared" si="623"/>
        <v>2.2252158426935538E-3</v>
      </c>
      <c r="Z3062" t="str">
        <f t="shared" si="616"/>
        <v>2022-04</v>
      </c>
    </row>
    <row r="3063" spans="1:26" x14ac:dyDescent="0.35">
      <c r="A3063" s="1">
        <v>44665</v>
      </c>
      <c r="C3063">
        <v>3848.68</v>
      </c>
      <c r="D3063">
        <f t="shared" si="617"/>
        <v>5.3982081525684586E-3</v>
      </c>
      <c r="E3063" t="str">
        <f t="shared" si="611"/>
        <v>2022-04</v>
      </c>
      <c r="G3063">
        <v>6589.35</v>
      </c>
      <c r="H3063">
        <f t="shared" si="618"/>
        <v>7.1903802847067735E-3</v>
      </c>
      <c r="I3063" t="str">
        <f t="shared" si="612"/>
        <v>2022-04</v>
      </c>
      <c r="K3063">
        <v>14163.85</v>
      </c>
      <c r="L3063">
        <f t="shared" si="619"/>
        <v>6.1904661136776892E-3</v>
      </c>
      <c r="M3063" t="str">
        <f t="shared" si="613"/>
        <v>2022-04</v>
      </c>
      <c r="O3063">
        <v>9194.4409799999994</v>
      </c>
      <c r="P3063">
        <f t="shared" si="620"/>
        <v>7.9362636963665068E-3</v>
      </c>
      <c r="Q3063" t="str">
        <f t="shared" si="614"/>
        <v>2022-04</v>
      </c>
      <c r="S3063">
        <v>8699</v>
      </c>
      <c r="T3063">
        <f t="shared" si="621"/>
        <v>9.3782448417087695E-3</v>
      </c>
      <c r="U3063" t="str">
        <f t="shared" si="615"/>
        <v>2022-04</v>
      </c>
      <c r="W3063">
        <v>24862.35</v>
      </c>
      <c r="X3063">
        <f t="shared" si="622"/>
        <v>5.6546035664114735E-3</v>
      </c>
      <c r="Y3063">
        <f t="shared" si="623"/>
        <v>5.6706210136977797E-3</v>
      </c>
      <c r="Z3063" t="str">
        <f t="shared" si="616"/>
        <v>2022-04</v>
      </c>
    </row>
    <row r="3064" spans="1:26" x14ac:dyDescent="0.35">
      <c r="A3064" s="1">
        <v>44670</v>
      </c>
      <c r="C3064">
        <v>3830.76</v>
      </c>
      <c r="D3064">
        <f t="shared" si="617"/>
        <v>-4.6670154402744897E-3</v>
      </c>
      <c r="E3064" t="str">
        <f t="shared" si="611"/>
        <v>2022-04</v>
      </c>
      <c r="G3064">
        <v>6534.79</v>
      </c>
      <c r="H3064">
        <f t="shared" si="618"/>
        <v>-8.3144974550181314E-3</v>
      </c>
      <c r="I3064" t="str">
        <f t="shared" si="612"/>
        <v>2022-04</v>
      </c>
      <c r="K3064">
        <v>14153.46</v>
      </c>
      <c r="L3064">
        <f t="shared" si="619"/>
        <v>-7.3382679825552129E-4</v>
      </c>
      <c r="M3064" t="str">
        <f t="shared" si="613"/>
        <v>2022-04</v>
      </c>
      <c r="O3064">
        <v>9158.0074999999997</v>
      </c>
      <c r="P3064">
        <f t="shared" si="620"/>
        <v>-3.9704269326264743E-3</v>
      </c>
      <c r="Q3064" t="str">
        <f t="shared" si="614"/>
        <v>2022-04</v>
      </c>
      <c r="S3064">
        <v>8694</v>
      </c>
      <c r="T3064">
        <f t="shared" si="621"/>
        <v>-5.7494395880342399E-4</v>
      </c>
      <c r="U3064" t="str">
        <f t="shared" si="615"/>
        <v>2022-04</v>
      </c>
      <c r="W3064">
        <v>24624.41</v>
      </c>
      <c r="X3064">
        <f t="shared" si="622"/>
        <v>-9.6163835991282132E-3</v>
      </c>
      <c r="Y3064">
        <f t="shared" si="623"/>
        <v>-9.5702940389785635E-3</v>
      </c>
      <c r="Z3064" t="str">
        <f t="shared" si="616"/>
        <v>2022-04</v>
      </c>
    </row>
    <row r="3065" spans="1:26" x14ac:dyDescent="0.35">
      <c r="A3065" s="1">
        <v>44671</v>
      </c>
      <c r="C3065">
        <v>3896.81</v>
      </c>
      <c r="D3065">
        <f t="shared" si="617"/>
        <v>1.7095052787460888E-2</v>
      </c>
      <c r="E3065" t="str">
        <f t="shared" si="611"/>
        <v>2022-04</v>
      </c>
      <c r="G3065">
        <v>6624.91</v>
      </c>
      <c r="H3065">
        <f t="shared" si="618"/>
        <v>1.3696574974019351E-2</v>
      </c>
      <c r="I3065" t="str">
        <f t="shared" si="612"/>
        <v>2022-04</v>
      </c>
      <c r="K3065">
        <v>14362.03</v>
      </c>
      <c r="L3065">
        <f t="shared" si="619"/>
        <v>1.4628801364932836E-2</v>
      </c>
      <c r="M3065" t="str">
        <f t="shared" si="613"/>
        <v>2022-04</v>
      </c>
      <c r="O3065">
        <v>9182.7861499999999</v>
      </c>
      <c r="P3065">
        <f t="shared" si="620"/>
        <v>2.7020275729065738E-3</v>
      </c>
      <c r="Q3065" t="str">
        <f t="shared" si="614"/>
        <v>2022-04</v>
      </c>
      <c r="S3065">
        <v>8769.5</v>
      </c>
      <c r="T3065">
        <f t="shared" si="621"/>
        <v>8.6466596494550914E-3</v>
      </c>
      <c r="U3065" t="str">
        <f t="shared" si="615"/>
        <v>2022-04</v>
      </c>
      <c r="W3065">
        <v>24878.23</v>
      </c>
      <c r="X3065">
        <f t="shared" si="622"/>
        <v>1.0254896480945179E-2</v>
      </c>
      <c r="Y3065">
        <f t="shared" si="623"/>
        <v>1.0307658132722762E-2</v>
      </c>
      <c r="Z3065" t="str">
        <f t="shared" si="616"/>
        <v>2022-04</v>
      </c>
    </row>
    <row r="3066" spans="1:26" x14ac:dyDescent="0.35">
      <c r="A3066" s="1">
        <v>44672</v>
      </c>
      <c r="C3066">
        <v>3928.03</v>
      </c>
      <c r="D3066">
        <f t="shared" si="617"/>
        <v>7.9797582225218724E-3</v>
      </c>
      <c r="E3066" t="str">
        <f t="shared" si="611"/>
        <v>2022-04</v>
      </c>
      <c r="G3066">
        <v>6715.1</v>
      </c>
      <c r="H3066">
        <f t="shared" si="618"/>
        <v>1.3521935022728301E-2</v>
      </c>
      <c r="I3066" t="str">
        <f t="shared" si="612"/>
        <v>2022-04</v>
      </c>
      <c r="K3066">
        <v>14502.41</v>
      </c>
      <c r="L3066">
        <f t="shared" si="619"/>
        <v>9.7269239807355502E-3</v>
      </c>
      <c r="M3066" t="str">
        <f t="shared" si="613"/>
        <v>2022-04</v>
      </c>
      <c r="O3066">
        <v>9169.1560499999996</v>
      </c>
      <c r="P3066">
        <f t="shared" si="620"/>
        <v>-1.4854125364647602E-3</v>
      </c>
      <c r="Q3066" t="str">
        <f t="shared" si="614"/>
        <v>2022-04</v>
      </c>
      <c r="S3066">
        <v>8814.6</v>
      </c>
      <c r="T3066">
        <f t="shared" si="621"/>
        <v>5.1296454062439607E-3</v>
      </c>
      <c r="U3066" t="str">
        <f t="shared" si="615"/>
        <v>2022-04</v>
      </c>
      <c r="W3066">
        <v>24805.62</v>
      </c>
      <c r="X3066">
        <f t="shared" si="622"/>
        <v>-2.9228834598672465E-3</v>
      </c>
      <c r="Y3066">
        <f t="shared" si="623"/>
        <v>-2.9186159947874341E-3</v>
      </c>
      <c r="Z3066" t="str">
        <f t="shared" si="616"/>
        <v>2022-04</v>
      </c>
    </row>
    <row r="3067" spans="1:26" x14ac:dyDescent="0.35">
      <c r="A3067" s="1">
        <v>44673</v>
      </c>
      <c r="C3067">
        <v>3840.01</v>
      </c>
      <c r="D3067">
        <f t="shared" si="617"/>
        <v>-2.2663057174684482E-2</v>
      </c>
      <c r="E3067" t="str">
        <f t="shared" si="611"/>
        <v>2022-04</v>
      </c>
      <c r="G3067">
        <v>6581.42</v>
      </c>
      <c r="H3067">
        <f t="shared" si="618"/>
        <v>-2.0108194371378781E-2</v>
      </c>
      <c r="I3067" t="str">
        <f t="shared" si="612"/>
        <v>2022-04</v>
      </c>
      <c r="K3067">
        <v>14142.09</v>
      </c>
      <c r="L3067">
        <f t="shared" si="619"/>
        <v>-2.5159385328383806E-2</v>
      </c>
      <c r="M3067" t="str">
        <f t="shared" si="613"/>
        <v>2022-04</v>
      </c>
      <c r="O3067">
        <v>8957.7703099999999</v>
      </c>
      <c r="P3067">
        <f t="shared" si="620"/>
        <v>-2.332390153876443E-2</v>
      </c>
      <c r="Q3067" t="str">
        <f t="shared" si="614"/>
        <v>2022-04</v>
      </c>
      <c r="S3067">
        <v>8652.2999999999993</v>
      </c>
      <c r="T3067">
        <f t="shared" si="621"/>
        <v>-1.8584256068818264E-2</v>
      </c>
      <c r="U3067" t="str">
        <f t="shared" si="615"/>
        <v>2022-04</v>
      </c>
      <c r="W3067">
        <v>24279.63</v>
      </c>
      <c r="X3067">
        <f t="shared" si="622"/>
        <v>-2.1432513205888466E-2</v>
      </c>
      <c r="Y3067">
        <f t="shared" si="623"/>
        <v>-2.1204468987269739E-2</v>
      </c>
      <c r="Z3067" t="str">
        <f t="shared" si="616"/>
        <v>2022-04</v>
      </c>
    </row>
    <row r="3068" spans="1:26" x14ac:dyDescent="0.35">
      <c r="A3068" s="1">
        <v>44676</v>
      </c>
      <c r="C3068">
        <v>3757.59</v>
      </c>
      <c r="D3068">
        <f t="shared" si="617"/>
        <v>-2.1697176308957331E-2</v>
      </c>
      <c r="E3068" t="str">
        <f t="shared" si="611"/>
        <v>2022-04</v>
      </c>
      <c r="G3068">
        <v>6449.38</v>
      </c>
      <c r="H3068">
        <f t="shared" si="618"/>
        <v>-2.0266525369236749E-2</v>
      </c>
      <c r="I3068" t="str">
        <f t="shared" si="612"/>
        <v>2022-04</v>
      </c>
      <c r="K3068">
        <v>13924.17</v>
      </c>
      <c r="L3068">
        <f t="shared" si="619"/>
        <v>-1.552927817389318E-2</v>
      </c>
      <c r="M3068" t="str">
        <f t="shared" si="613"/>
        <v>2022-04</v>
      </c>
      <c r="O3068">
        <v>8768.4810300000008</v>
      </c>
      <c r="P3068">
        <f t="shared" si="620"/>
        <v>-2.1357755989379057E-2</v>
      </c>
      <c r="Q3068" t="str">
        <f t="shared" si="614"/>
        <v>2022-04</v>
      </c>
      <c r="S3068">
        <v>8574.6</v>
      </c>
      <c r="T3068">
        <f t="shared" si="621"/>
        <v>-9.0208368198140369E-3</v>
      </c>
      <c r="U3068" t="str">
        <f t="shared" si="615"/>
        <v>2022-04</v>
      </c>
      <c r="W3068">
        <v>23908.55</v>
      </c>
      <c r="X3068">
        <f t="shared" si="622"/>
        <v>-1.5401591646115624E-2</v>
      </c>
      <c r="Y3068">
        <f t="shared" si="623"/>
        <v>-1.5283593695620639E-2</v>
      </c>
      <c r="Z3068" t="str">
        <f t="shared" si="616"/>
        <v>2022-04</v>
      </c>
    </row>
    <row r="3069" spans="1:26" x14ac:dyDescent="0.35">
      <c r="A3069" s="1">
        <v>44677</v>
      </c>
      <c r="C3069">
        <v>3721.36</v>
      </c>
      <c r="D3069">
        <f t="shared" si="617"/>
        <v>-9.6886015833009455E-3</v>
      </c>
      <c r="E3069" t="str">
        <f t="shared" si="611"/>
        <v>2022-04</v>
      </c>
      <c r="G3069">
        <v>6414.57</v>
      </c>
      <c r="H3069">
        <f t="shared" si="618"/>
        <v>-5.4120367330062931E-3</v>
      </c>
      <c r="I3069" t="str">
        <f t="shared" si="612"/>
        <v>2022-04</v>
      </c>
      <c r="K3069">
        <v>13756.4</v>
      </c>
      <c r="L3069">
        <f t="shared" si="619"/>
        <v>-1.2122008642298175E-2</v>
      </c>
      <c r="M3069" t="str">
        <f t="shared" si="613"/>
        <v>2022-04</v>
      </c>
      <c r="O3069">
        <v>8739.5279399999999</v>
      </c>
      <c r="P3069">
        <f t="shared" si="620"/>
        <v>-3.307413931844601E-3</v>
      </c>
      <c r="Q3069" t="str">
        <f t="shared" si="614"/>
        <v>2022-04</v>
      </c>
      <c r="S3069">
        <v>8439.2999999999993</v>
      </c>
      <c r="T3069">
        <f t="shared" si="621"/>
        <v>-1.590497795400533E-2</v>
      </c>
      <c r="U3069" t="str">
        <f t="shared" si="615"/>
        <v>2022-04</v>
      </c>
      <c r="W3069">
        <v>23681.759999999998</v>
      </c>
      <c r="X3069">
        <f t="shared" si="622"/>
        <v>-9.5310039711190789E-3</v>
      </c>
      <c r="Y3069">
        <f t="shared" si="623"/>
        <v>-9.4857279090534933E-3</v>
      </c>
      <c r="Z3069" t="str">
        <f t="shared" si="616"/>
        <v>2022-04</v>
      </c>
    </row>
    <row r="3070" spans="1:26" x14ac:dyDescent="0.35">
      <c r="A3070" s="1">
        <v>44678</v>
      </c>
      <c r="C3070">
        <v>3734.64</v>
      </c>
      <c r="D3070">
        <f t="shared" si="617"/>
        <v>3.5622355265739394E-3</v>
      </c>
      <c r="E3070" t="str">
        <f t="shared" si="611"/>
        <v>2022-04</v>
      </c>
      <c r="G3070">
        <v>6445.26</v>
      </c>
      <c r="H3070">
        <f t="shared" si="618"/>
        <v>4.7730115038876709E-3</v>
      </c>
      <c r="I3070" t="str">
        <f t="shared" si="612"/>
        <v>2022-04</v>
      </c>
      <c r="K3070">
        <v>13793.94</v>
      </c>
      <c r="L3070">
        <f t="shared" si="619"/>
        <v>2.7251949147017477E-3</v>
      </c>
      <c r="M3070" t="str">
        <f t="shared" si="613"/>
        <v>2022-04</v>
      </c>
      <c r="O3070">
        <v>8834.3880399999998</v>
      </c>
      <c r="P3070">
        <f t="shared" si="620"/>
        <v>1.0795661183955004E-2</v>
      </c>
      <c r="Q3070" t="str">
        <f t="shared" si="614"/>
        <v>2022-04</v>
      </c>
      <c r="S3070">
        <v>8477.7000000000007</v>
      </c>
      <c r="T3070">
        <f t="shared" si="621"/>
        <v>4.5398198205193283E-3</v>
      </c>
      <c r="U3070" t="str">
        <f t="shared" si="615"/>
        <v>2022-04</v>
      </c>
      <c r="W3070">
        <v>23830.11</v>
      </c>
      <c r="X3070">
        <f t="shared" si="622"/>
        <v>6.2447755519974071E-3</v>
      </c>
      <c r="Y3070">
        <f t="shared" si="623"/>
        <v>6.2643148144395601E-3</v>
      </c>
      <c r="Z3070" t="str">
        <f t="shared" si="616"/>
        <v>2022-04</v>
      </c>
    </row>
    <row r="3071" spans="1:26" x14ac:dyDescent="0.35">
      <c r="A3071" s="1">
        <v>44679</v>
      </c>
      <c r="C3071">
        <v>3777.02</v>
      </c>
      <c r="D3071">
        <f t="shared" si="617"/>
        <v>1.1283910526910135E-2</v>
      </c>
      <c r="E3071" t="str">
        <f t="shared" si="611"/>
        <v>2022-04</v>
      </c>
      <c r="G3071">
        <v>6508.14</v>
      </c>
      <c r="H3071">
        <f t="shared" si="618"/>
        <v>9.7087241833169538E-3</v>
      </c>
      <c r="I3071" t="str">
        <f t="shared" si="612"/>
        <v>2022-04</v>
      </c>
      <c r="K3071">
        <v>13979.84</v>
      </c>
      <c r="L3071">
        <f t="shared" si="619"/>
        <v>1.3386926536483261E-2</v>
      </c>
      <c r="M3071" t="str">
        <f t="shared" si="613"/>
        <v>2022-04</v>
      </c>
      <c r="O3071">
        <v>8902.7436699999998</v>
      </c>
      <c r="P3071">
        <f t="shared" si="620"/>
        <v>7.7076688073492257E-3</v>
      </c>
      <c r="Q3071" t="str">
        <f t="shared" si="614"/>
        <v>2022-04</v>
      </c>
      <c r="S3071">
        <v>8512.2000000000007</v>
      </c>
      <c r="T3071">
        <f t="shared" si="621"/>
        <v>4.0612419636766837E-3</v>
      </c>
      <c r="U3071" t="str">
        <f t="shared" si="615"/>
        <v>2022-04</v>
      </c>
      <c r="W3071">
        <v>24055.56</v>
      </c>
      <c r="X3071">
        <f t="shared" si="622"/>
        <v>9.4162477336029744E-3</v>
      </c>
      <c r="Y3071">
        <f t="shared" si="623"/>
        <v>9.4607200722111959E-3</v>
      </c>
      <c r="Z3071" t="str">
        <f t="shared" si="616"/>
        <v>2022-04</v>
      </c>
    </row>
    <row r="3072" spans="1:26" x14ac:dyDescent="0.35">
      <c r="A3072" s="1">
        <v>44680</v>
      </c>
      <c r="C3072">
        <v>3802.86</v>
      </c>
      <c r="D3072">
        <f t="shared" si="617"/>
        <v>6.8180763020337116E-3</v>
      </c>
      <c r="E3072" t="str">
        <f t="shared" si="611"/>
        <v>2022-04</v>
      </c>
      <c r="G3072">
        <v>6533.77</v>
      </c>
      <c r="H3072">
        <f t="shared" si="618"/>
        <v>3.9304109589197835E-3</v>
      </c>
      <c r="I3072" t="str">
        <f t="shared" si="612"/>
        <v>2022-04</v>
      </c>
      <c r="K3072">
        <v>14097.88</v>
      </c>
      <c r="L3072">
        <f t="shared" si="619"/>
        <v>8.4081396509514475E-3</v>
      </c>
      <c r="M3072" t="str">
        <f t="shared" si="613"/>
        <v>2022-04</v>
      </c>
      <c r="O3072">
        <v>8995.6725700000006</v>
      </c>
      <c r="P3072">
        <f t="shared" si="620"/>
        <v>1.0384129388558136E-2</v>
      </c>
      <c r="Q3072" t="str">
        <f t="shared" si="614"/>
        <v>2022-04</v>
      </c>
      <c r="S3072">
        <v>8584.2000000000007</v>
      </c>
      <c r="T3072">
        <f t="shared" si="621"/>
        <v>8.4228756543484624E-3</v>
      </c>
      <c r="U3072" t="str">
        <f t="shared" si="615"/>
        <v>2022-04</v>
      </c>
      <c r="W3072">
        <v>24252.16</v>
      </c>
      <c r="X3072">
        <f t="shared" si="622"/>
        <v>8.1395307179369936E-3</v>
      </c>
      <c r="Y3072">
        <f t="shared" si="623"/>
        <v>8.1727467579220166E-3</v>
      </c>
      <c r="Z3072" t="str">
        <f t="shared" si="616"/>
        <v>2022-04</v>
      </c>
    </row>
    <row r="3073" spans="1:26" x14ac:dyDescent="0.35">
      <c r="A3073" s="1">
        <v>44684</v>
      </c>
      <c r="C3073">
        <v>3761.19</v>
      </c>
      <c r="D3073">
        <f t="shared" si="617"/>
        <v>-1.1018018534859071E-2</v>
      </c>
      <c r="E3073" t="str">
        <f t="shared" si="611"/>
        <v>2022-05</v>
      </c>
      <c r="G3073">
        <v>6476.18</v>
      </c>
      <c r="H3073">
        <f t="shared" si="618"/>
        <v>-8.853281705318905E-3</v>
      </c>
      <c r="I3073" t="str">
        <f t="shared" si="612"/>
        <v>2022-05</v>
      </c>
      <c r="K3073">
        <v>14039.47</v>
      </c>
      <c r="L3073">
        <f t="shared" si="619"/>
        <v>-4.1517828724125629E-3</v>
      </c>
      <c r="M3073" t="str">
        <f t="shared" si="613"/>
        <v>2022-05</v>
      </c>
      <c r="O3073">
        <v>8979.2591300000004</v>
      </c>
      <c r="P3073">
        <f t="shared" si="620"/>
        <v>-1.8262594635476814E-3</v>
      </c>
      <c r="Q3073" t="str">
        <f t="shared" si="614"/>
        <v>2022-05</v>
      </c>
      <c r="S3073">
        <v>8590.2000000000007</v>
      </c>
      <c r="T3073">
        <f t="shared" si="621"/>
        <v>6.9871439399344303E-4</v>
      </c>
      <c r="U3073" t="str">
        <f t="shared" si="615"/>
        <v>2022-05</v>
      </c>
      <c r="W3073">
        <v>24242.25</v>
      </c>
      <c r="X3073">
        <f t="shared" si="622"/>
        <v>-4.0870690613400903E-4</v>
      </c>
      <c r="Y3073">
        <f t="shared" si="623"/>
        <v>-4.0862339684382152E-4</v>
      </c>
      <c r="Z3073" t="str">
        <f t="shared" si="616"/>
        <v>2022-05</v>
      </c>
    </row>
    <row r="3074" spans="1:26" x14ac:dyDescent="0.35">
      <c r="A3074" s="1">
        <v>44685</v>
      </c>
      <c r="C3074">
        <v>3724.99</v>
      </c>
      <c r="D3074">
        <f t="shared" si="617"/>
        <v>-9.6712294271508667E-3</v>
      </c>
      <c r="E3074" t="str">
        <f t="shared" si="611"/>
        <v>2022-05</v>
      </c>
      <c r="G3074">
        <v>6395.68</v>
      </c>
      <c r="H3074">
        <f t="shared" si="618"/>
        <v>-1.2508067913703135E-2</v>
      </c>
      <c r="I3074" t="str">
        <f t="shared" si="612"/>
        <v>2022-05</v>
      </c>
      <c r="K3074">
        <v>13970.82</v>
      </c>
      <c r="L3074">
        <f t="shared" si="619"/>
        <v>-4.9017798428331698E-3</v>
      </c>
      <c r="M3074" t="str">
        <f t="shared" si="613"/>
        <v>2022-05</v>
      </c>
      <c r="O3074">
        <v>8875.0748199999998</v>
      </c>
      <c r="P3074">
        <f t="shared" si="620"/>
        <v>-1.1670610934961917E-2</v>
      </c>
      <c r="Q3074" t="str">
        <f t="shared" si="614"/>
        <v>2022-05</v>
      </c>
      <c r="S3074">
        <v>8500.5</v>
      </c>
      <c r="T3074">
        <f t="shared" si="621"/>
        <v>-1.0497033316553319E-2</v>
      </c>
      <c r="U3074" t="str">
        <f t="shared" si="615"/>
        <v>2022-05</v>
      </c>
      <c r="W3074">
        <v>23902.06</v>
      </c>
      <c r="X3074">
        <f t="shared" si="622"/>
        <v>-1.4132330983890008E-2</v>
      </c>
      <c r="Y3074">
        <f t="shared" si="623"/>
        <v>-1.4032938361744421E-2</v>
      </c>
      <c r="Z3074" t="str">
        <f t="shared" si="616"/>
        <v>2022-05</v>
      </c>
    </row>
    <row r="3075" spans="1:26" x14ac:dyDescent="0.35">
      <c r="A3075" s="1">
        <v>44686</v>
      </c>
      <c r="C3075">
        <v>3696.63</v>
      </c>
      <c r="D3075">
        <f t="shared" si="617"/>
        <v>-7.6425734649940872E-3</v>
      </c>
      <c r="E3075" t="str">
        <f t="shared" si="611"/>
        <v>2022-05</v>
      </c>
      <c r="G3075">
        <v>6368.4</v>
      </c>
      <c r="H3075">
        <f t="shared" si="618"/>
        <v>-4.2745018108462296E-3</v>
      </c>
      <c r="I3075" t="str">
        <f t="shared" si="612"/>
        <v>2022-05</v>
      </c>
      <c r="K3075">
        <v>13902.52</v>
      </c>
      <c r="L3075">
        <f t="shared" si="619"/>
        <v>-4.9007500858312923E-3</v>
      </c>
      <c r="M3075" t="str">
        <f t="shared" si="613"/>
        <v>2022-05</v>
      </c>
      <c r="O3075">
        <v>8807.4726699999992</v>
      </c>
      <c r="P3075">
        <f t="shared" si="620"/>
        <v>-7.6462375572219814E-3</v>
      </c>
      <c r="Q3075" t="str">
        <f t="shared" si="614"/>
        <v>2022-05</v>
      </c>
      <c r="S3075">
        <v>8434.7000000000007</v>
      </c>
      <c r="T3075">
        <f t="shared" si="621"/>
        <v>-7.7708360238607855E-3</v>
      </c>
      <c r="U3075" t="str">
        <f t="shared" si="615"/>
        <v>2022-05</v>
      </c>
      <c r="W3075">
        <v>23759.71</v>
      </c>
      <c r="X3075">
        <f t="shared" si="622"/>
        <v>-5.9733586589745128E-3</v>
      </c>
      <c r="Y3075">
        <f t="shared" si="623"/>
        <v>-5.9555536217381338E-3</v>
      </c>
      <c r="Z3075" t="str">
        <f t="shared" si="616"/>
        <v>2022-05</v>
      </c>
    </row>
    <row r="3076" spans="1:26" x14ac:dyDescent="0.35">
      <c r="A3076" s="1">
        <v>44687</v>
      </c>
      <c r="C3076">
        <v>3629.17</v>
      </c>
      <c r="D3076">
        <f t="shared" si="617"/>
        <v>-1.8417621804576626E-2</v>
      </c>
      <c r="E3076" t="str">
        <f t="shared" ref="E3076:E3139" si="624">_xlfn.CONCAT(YEAR(A3076),"-",TEXT(MONTH(A3076),"00"))</f>
        <v>2022-05</v>
      </c>
      <c r="G3076">
        <v>6258.36</v>
      </c>
      <c r="H3076">
        <f t="shared" si="618"/>
        <v>-1.7430090681348858E-2</v>
      </c>
      <c r="I3076" t="str">
        <f t="shared" ref="I3076:I3139" si="625">_xlfn.CONCAT(YEAR(A3076),"-",TEXT(MONTH(A3076),"00"))</f>
        <v>2022-05</v>
      </c>
      <c r="K3076">
        <v>13674.29</v>
      </c>
      <c r="L3076">
        <f t="shared" si="619"/>
        <v>-1.6552691269794119E-2</v>
      </c>
      <c r="M3076" t="str">
        <f t="shared" ref="M3076:M3139" si="626">_xlfn.CONCAT(YEAR(A3076),"-",TEXT(MONTH(A3076),"00"))</f>
        <v>2022-05</v>
      </c>
      <c r="O3076">
        <v>8637.7873600000003</v>
      </c>
      <c r="P3076">
        <f t="shared" si="620"/>
        <v>-1.9454070765192719E-2</v>
      </c>
      <c r="Q3076" t="str">
        <f t="shared" ref="Q3076:Q3139" si="627">_xlfn.CONCAT(YEAR(A3076),"-",TEXT(MONTH(A3076),"00"))</f>
        <v>2022-05</v>
      </c>
      <c r="S3076">
        <v>8322</v>
      </c>
      <c r="T3076">
        <f t="shared" si="621"/>
        <v>-1.345153871103633E-2</v>
      </c>
      <c r="U3076" t="str">
        <f t="shared" ref="U3076:U3139" si="628">_xlfn.CONCAT(YEAR(A3076),"-",TEXT(MONTH(A3076),"00"))</f>
        <v>2022-05</v>
      </c>
      <c r="W3076">
        <v>23475.72</v>
      </c>
      <c r="X3076">
        <f t="shared" si="622"/>
        <v>-1.2024593482251411E-2</v>
      </c>
      <c r="Y3076">
        <f t="shared" si="623"/>
        <v>-1.1952586963392986E-2</v>
      </c>
      <c r="Z3076" t="str">
        <f t="shared" ref="Z3076:Z3139" si="629">_xlfn.CONCAT(YEAR(A3076),"-",TEXT(MONTH(A3076),"00"))</f>
        <v>2022-05</v>
      </c>
    </row>
    <row r="3077" spans="1:26" x14ac:dyDescent="0.35">
      <c r="A3077" s="1">
        <v>44690</v>
      </c>
      <c r="C3077">
        <v>3526.86</v>
      </c>
      <c r="D3077">
        <f t="shared" ref="D3077:D3140" si="630">LN(C3077/C3076)</f>
        <v>-2.859601531925168E-2</v>
      </c>
      <c r="E3077" t="str">
        <f t="shared" si="624"/>
        <v>2022-05</v>
      </c>
      <c r="G3077">
        <v>6086.02</v>
      </c>
      <c r="H3077">
        <f t="shared" ref="H3077:H3140" si="631">LN(G3077/G3076)</f>
        <v>-2.7923832258290402E-2</v>
      </c>
      <c r="I3077" t="str">
        <f t="shared" si="625"/>
        <v>2022-05</v>
      </c>
      <c r="K3077">
        <v>13380.67</v>
      </c>
      <c r="L3077">
        <f t="shared" ref="L3077:L3140" si="632">LN(K3077/K3076)</f>
        <v>-2.1706299214134667E-2</v>
      </c>
      <c r="M3077" t="str">
        <f t="shared" si="626"/>
        <v>2022-05</v>
      </c>
      <c r="O3077">
        <v>8427.3056400000005</v>
      </c>
      <c r="P3077">
        <f t="shared" ref="P3077:P3140" si="633">LN(O3077/O3076)</f>
        <v>-2.4669352158633528E-2</v>
      </c>
      <c r="Q3077" t="str">
        <f t="shared" si="627"/>
        <v>2022-05</v>
      </c>
      <c r="S3077">
        <v>8139.2</v>
      </c>
      <c r="T3077">
        <f t="shared" ref="T3077:T3140" si="634">LN(S3077/S3076)</f>
        <v>-2.2210715474386005E-2</v>
      </c>
      <c r="U3077" t="str">
        <f t="shared" si="628"/>
        <v>2022-05</v>
      </c>
      <c r="W3077">
        <v>22832.560000000001</v>
      </c>
      <c r="X3077">
        <f t="shared" ref="X3077:X3140" si="635">LN(W3077/W3076)</f>
        <v>-2.7779108137124163E-2</v>
      </c>
      <c r="Y3077">
        <f t="shared" ref="Y3077:Y3140" si="636">(W3077-W3076)/W3076</f>
        <v>-2.739681679624735E-2</v>
      </c>
      <c r="Z3077" t="str">
        <f t="shared" si="629"/>
        <v>2022-05</v>
      </c>
    </row>
    <row r="3078" spans="1:26" x14ac:dyDescent="0.35">
      <c r="A3078" s="1">
        <v>44691</v>
      </c>
      <c r="C3078">
        <v>3554.8</v>
      </c>
      <c r="D3078">
        <f t="shared" si="630"/>
        <v>7.8908462068444686E-3</v>
      </c>
      <c r="E3078" t="str">
        <f t="shared" si="624"/>
        <v>2022-05</v>
      </c>
      <c r="G3078">
        <v>6116.91</v>
      </c>
      <c r="H3078">
        <f t="shared" si="631"/>
        <v>5.0627293574618511E-3</v>
      </c>
      <c r="I3078" t="str">
        <f t="shared" si="625"/>
        <v>2022-05</v>
      </c>
      <c r="K3078">
        <v>13534.74</v>
      </c>
      <c r="L3078">
        <f t="shared" si="632"/>
        <v>1.1448585239996962E-2</v>
      </c>
      <c r="M3078" t="str">
        <f t="shared" si="626"/>
        <v>2022-05</v>
      </c>
      <c r="O3078">
        <v>8464.4046099999996</v>
      </c>
      <c r="P3078">
        <f t="shared" si="633"/>
        <v>4.3925723448966225E-3</v>
      </c>
      <c r="Q3078" t="str">
        <f t="shared" si="627"/>
        <v>2022-05</v>
      </c>
      <c r="S3078">
        <v>8139.2</v>
      </c>
      <c r="T3078">
        <f t="shared" si="634"/>
        <v>0</v>
      </c>
      <c r="U3078" t="str">
        <f t="shared" si="628"/>
        <v>2022-05</v>
      </c>
      <c r="W3078">
        <v>23069.78</v>
      </c>
      <c r="X3078">
        <f t="shared" si="635"/>
        <v>1.0335948532623922E-2</v>
      </c>
      <c r="Y3078">
        <f t="shared" si="636"/>
        <v>1.0389548959906271E-2</v>
      </c>
      <c r="Z3078" t="str">
        <f t="shared" si="629"/>
        <v>2022-05</v>
      </c>
    </row>
    <row r="3079" spans="1:26" x14ac:dyDescent="0.35">
      <c r="A3079" s="1">
        <v>44692</v>
      </c>
      <c r="C3079">
        <v>3647.87</v>
      </c>
      <c r="D3079">
        <f t="shared" si="630"/>
        <v>2.5844632730013337E-2</v>
      </c>
      <c r="E3079" t="str">
        <f t="shared" si="624"/>
        <v>2022-05</v>
      </c>
      <c r="G3079">
        <v>6269.73</v>
      </c>
      <c r="H3079">
        <f t="shared" si="631"/>
        <v>2.4676224459134193E-2</v>
      </c>
      <c r="I3079" t="str">
        <f t="shared" si="625"/>
        <v>2022-05</v>
      </c>
      <c r="K3079">
        <v>13828.64</v>
      </c>
      <c r="L3079">
        <f t="shared" si="632"/>
        <v>2.1482090467812746E-2</v>
      </c>
      <c r="M3079" t="str">
        <f t="shared" si="626"/>
        <v>2022-05</v>
      </c>
      <c r="O3079">
        <v>8574.9445799999994</v>
      </c>
      <c r="P3079">
        <f t="shared" si="633"/>
        <v>1.2974852445030096E-2</v>
      </c>
      <c r="Q3079" t="str">
        <f t="shared" si="627"/>
        <v>2022-05</v>
      </c>
      <c r="S3079">
        <v>8312.6</v>
      </c>
      <c r="T3079">
        <f t="shared" si="634"/>
        <v>2.1080540898436185E-2</v>
      </c>
      <c r="U3079" t="str">
        <f t="shared" si="628"/>
        <v>2022-05</v>
      </c>
      <c r="W3079">
        <v>23724.2</v>
      </c>
      <c r="X3079">
        <f t="shared" si="635"/>
        <v>2.7972088276516122E-2</v>
      </c>
      <c r="Y3079">
        <f t="shared" si="636"/>
        <v>2.836698052603891E-2</v>
      </c>
      <c r="Z3079" t="str">
        <f t="shared" si="629"/>
        <v>2022-05</v>
      </c>
    </row>
    <row r="3080" spans="1:26" x14ac:dyDescent="0.35">
      <c r="A3080" s="1">
        <v>44693</v>
      </c>
      <c r="C3080">
        <v>3613.43</v>
      </c>
      <c r="D3080">
        <f t="shared" si="630"/>
        <v>-9.4859758591273897E-3</v>
      </c>
      <c r="E3080" t="str">
        <f t="shared" si="624"/>
        <v>2022-05</v>
      </c>
      <c r="G3080">
        <v>6206.26</v>
      </c>
      <c r="H3080">
        <f t="shared" si="631"/>
        <v>-1.0174831427668889E-2</v>
      </c>
      <c r="I3080" t="str">
        <f t="shared" si="625"/>
        <v>2022-05</v>
      </c>
      <c r="K3080">
        <v>13739.64</v>
      </c>
      <c r="L3080">
        <f t="shared" si="632"/>
        <v>-6.456718315017828E-3</v>
      </c>
      <c r="M3080" t="str">
        <f t="shared" si="626"/>
        <v>2022-05</v>
      </c>
      <c r="O3080">
        <v>8514.0839199999991</v>
      </c>
      <c r="P3080">
        <f t="shared" si="633"/>
        <v>-7.1228059933731601E-3</v>
      </c>
      <c r="Q3080" t="str">
        <f t="shared" si="627"/>
        <v>2022-05</v>
      </c>
      <c r="S3080">
        <v>8200.4</v>
      </c>
      <c r="T3080">
        <f t="shared" si="634"/>
        <v>-1.3589502416516804E-2</v>
      </c>
      <c r="U3080" t="str">
        <f t="shared" si="628"/>
        <v>2022-05</v>
      </c>
      <c r="W3080">
        <v>23566.23</v>
      </c>
      <c r="X3080">
        <f t="shared" si="635"/>
        <v>-6.6808691555202693E-3</v>
      </c>
      <c r="Y3080">
        <f t="shared" si="636"/>
        <v>-6.658601765286128E-3</v>
      </c>
      <c r="Z3080" t="str">
        <f t="shared" si="629"/>
        <v>2022-05</v>
      </c>
    </row>
    <row r="3081" spans="1:26" x14ac:dyDescent="0.35">
      <c r="A3081" s="1">
        <v>44694</v>
      </c>
      <c r="C3081">
        <v>3703.42</v>
      </c>
      <c r="D3081">
        <f t="shared" si="630"/>
        <v>2.459925729676336E-2</v>
      </c>
      <c r="E3081" t="str">
        <f t="shared" si="624"/>
        <v>2022-05</v>
      </c>
      <c r="G3081">
        <v>6362.68</v>
      </c>
      <c r="H3081">
        <f t="shared" si="631"/>
        <v>2.4891212153673088E-2</v>
      </c>
      <c r="I3081" t="str">
        <f t="shared" si="625"/>
        <v>2022-05</v>
      </c>
      <c r="K3081">
        <v>14027.93</v>
      </c>
      <c r="L3081">
        <f t="shared" si="632"/>
        <v>2.0765256667929589E-2</v>
      </c>
      <c r="M3081" t="str">
        <f t="shared" si="626"/>
        <v>2022-05</v>
      </c>
      <c r="O3081">
        <v>8720.19247</v>
      </c>
      <c r="P3081">
        <f t="shared" si="633"/>
        <v>2.391958586102182E-2</v>
      </c>
      <c r="Q3081" t="str">
        <f t="shared" si="627"/>
        <v>2022-05</v>
      </c>
      <c r="S3081">
        <v>8338.1</v>
      </c>
      <c r="T3081">
        <f t="shared" si="634"/>
        <v>1.6652439102164421E-2</v>
      </c>
      <c r="U3081" t="str">
        <f t="shared" si="628"/>
        <v>2022-05</v>
      </c>
      <c r="W3081">
        <v>24048.29</v>
      </c>
      <c r="X3081">
        <f t="shared" si="635"/>
        <v>2.0249137085813756E-2</v>
      </c>
      <c r="Y3081">
        <f t="shared" si="636"/>
        <v>2.0455541679768097E-2</v>
      </c>
      <c r="Z3081" t="str">
        <f t="shared" si="629"/>
        <v>2022-05</v>
      </c>
    </row>
    <row r="3082" spans="1:26" x14ac:dyDescent="0.35">
      <c r="A3082" s="1">
        <v>44697</v>
      </c>
      <c r="C3082">
        <v>3685.34</v>
      </c>
      <c r="D3082">
        <f t="shared" si="630"/>
        <v>-4.8939297217606825E-3</v>
      </c>
      <c r="E3082" t="str">
        <f t="shared" si="624"/>
        <v>2022-05</v>
      </c>
      <c r="G3082">
        <v>6347.77</v>
      </c>
      <c r="H3082">
        <f t="shared" si="631"/>
        <v>-2.3461021189590953E-3</v>
      </c>
      <c r="I3082" t="str">
        <f t="shared" si="625"/>
        <v>2022-05</v>
      </c>
      <c r="K3082">
        <v>13964.38</v>
      </c>
      <c r="L3082">
        <f t="shared" si="632"/>
        <v>-4.54054053999521E-3</v>
      </c>
      <c r="M3082" t="str">
        <f t="shared" si="626"/>
        <v>2022-05</v>
      </c>
      <c r="O3082">
        <v>8790.20478</v>
      </c>
      <c r="P3082">
        <f t="shared" si="633"/>
        <v>7.9966984290379441E-3</v>
      </c>
      <c r="Q3082" t="str">
        <f t="shared" si="627"/>
        <v>2022-05</v>
      </c>
      <c r="S3082">
        <v>8353.7000000000007</v>
      </c>
      <c r="T3082">
        <f t="shared" si="634"/>
        <v>1.8691818188562742E-3</v>
      </c>
      <c r="U3082" t="str">
        <f t="shared" si="628"/>
        <v>2022-05</v>
      </c>
      <c r="W3082">
        <v>24033.05</v>
      </c>
      <c r="X3082">
        <f t="shared" si="635"/>
        <v>-6.3392578120185096E-4</v>
      </c>
      <c r="Y3082">
        <f t="shared" si="636"/>
        <v>-6.3372489270553537E-4</v>
      </c>
      <c r="Z3082" t="str">
        <f t="shared" si="629"/>
        <v>2022-05</v>
      </c>
    </row>
    <row r="3083" spans="1:26" x14ac:dyDescent="0.35">
      <c r="A3083" s="1">
        <v>44698</v>
      </c>
      <c r="C3083">
        <v>3741.51</v>
      </c>
      <c r="D3083">
        <f t="shared" si="630"/>
        <v>1.512648593147573E-2</v>
      </c>
      <c r="E3083" t="str">
        <f t="shared" si="624"/>
        <v>2022-05</v>
      </c>
      <c r="G3083">
        <v>6430.19</v>
      </c>
      <c r="H3083">
        <f t="shared" si="631"/>
        <v>1.2900516678364529E-2</v>
      </c>
      <c r="I3083" t="str">
        <f t="shared" si="625"/>
        <v>2022-05</v>
      </c>
      <c r="K3083">
        <v>14185.94</v>
      </c>
      <c r="L3083">
        <f t="shared" si="632"/>
        <v>1.5741531543360422E-2</v>
      </c>
      <c r="M3083" t="str">
        <f t="shared" si="626"/>
        <v>2022-05</v>
      </c>
      <c r="O3083">
        <v>8900.3629299999993</v>
      </c>
      <c r="P3083">
        <f t="shared" si="633"/>
        <v>1.2454046204308828E-2</v>
      </c>
      <c r="Q3083" t="str">
        <f t="shared" si="627"/>
        <v>2022-05</v>
      </c>
      <c r="S3083">
        <v>8475.7000000000007</v>
      </c>
      <c r="T3083">
        <f t="shared" si="634"/>
        <v>1.4498691236565605E-2</v>
      </c>
      <c r="U3083" t="str">
        <f t="shared" si="628"/>
        <v>2022-05</v>
      </c>
      <c r="W3083">
        <v>24301.65</v>
      </c>
      <c r="X3083">
        <f t="shared" si="635"/>
        <v>1.1114282904277567E-2</v>
      </c>
      <c r="Y3083">
        <f t="shared" si="636"/>
        <v>1.1176276003253943E-2</v>
      </c>
      <c r="Z3083" t="str">
        <f t="shared" si="629"/>
        <v>2022-05</v>
      </c>
    </row>
    <row r="3084" spans="1:26" x14ac:dyDescent="0.35">
      <c r="A3084" s="1">
        <v>44699</v>
      </c>
      <c r="C3084">
        <v>3690.74</v>
      </c>
      <c r="D3084">
        <f t="shared" si="630"/>
        <v>-1.3662293307551671E-2</v>
      </c>
      <c r="E3084" t="str">
        <f t="shared" si="624"/>
        <v>2022-05</v>
      </c>
      <c r="G3084">
        <v>6352.94</v>
      </c>
      <c r="H3084">
        <f t="shared" si="631"/>
        <v>-1.2086388919277503E-2</v>
      </c>
      <c r="I3084" t="str">
        <f t="shared" si="625"/>
        <v>2022-05</v>
      </c>
      <c r="K3084">
        <v>14007.76</v>
      </c>
      <c r="L3084">
        <f t="shared" si="632"/>
        <v>-1.2639871478927506E-2</v>
      </c>
      <c r="M3084" t="str">
        <f t="shared" si="626"/>
        <v>2022-05</v>
      </c>
      <c r="O3084">
        <v>8782.8614899999993</v>
      </c>
      <c r="P3084">
        <f t="shared" si="633"/>
        <v>-1.3289789985683739E-2</v>
      </c>
      <c r="Q3084" t="str">
        <f t="shared" si="627"/>
        <v>2022-05</v>
      </c>
      <c r="S3084">
        <v>8476.4</v>
      </c>
      <c r="T3084">
        <f t="shared" si="634"/>
        <v>8.2585638404246225E-5</v>
      </c>
      <c r="U3084" t="str">
        <f t="shared" si="628"/>
        <v>2022-05</v>
      </c>
      <c r="W3084">
        <v>24085.82</v>
      </c>
      <c r="X3084">
        <f t="shared" si="635"/>
        <v>-8.9209636864809698E-3</v>
      </c>
      <c r="Y3084">
        <f t="shared" si="636"/>
        <v>-8.8812899535628959E-3</v>
      </c>
      <c r="Z3084" t="str">
        <f t="shared" si="629"/>
        <v>2022-05</v>
      </c>
    </row>
    <row r="3085" spans="1:26" x14ac:dyDescent="0.35">
      <c r="A3085" s="1">
        <v>44700</v>
      </c>
      <c r="C3085">
        <v>3640.55</v>
      </c>
      <c r="D3085">
        <f t="shared" si="630"/>
        <v>-1.3692210816536788E-2</v>
      </c>
      <c r="E3085" t="str">
        <f t="shared" si="624"/>
        <v>2022-05</v>
      </c>
      <c r="G3085">
        <v>6272.71</v>
      </c>
      <c r="H3085">
        <f t="shared" si="631"/>
        <v>-1.2709219710892056E-2</v>
      </c>
      <c r="I3085" t="str">
        <f t="shared" si="625"/>
        <v>2022-05</v>
      </c>
      <c r="K3085">
        <v>13882.3</v>
      </c>
      <c r="L3085">
        <f t="shared" si="632"/>
        <v>-8.9968143671588351E-3</v>
      </c>
      <c r="M3085" t="str">
        <f t="shared" si="626"/>
        <v>2022-05</v>
      </c>
      <c r="O3085">
        <v>8616.7230500000005</v>
      </c>
      <c r="P3085">
        <f t="shared" si="633"/>
        <v>-1.9097408787439762E-2</v>
      </c>
      <c r="Q3085" t="str">
        <f t="shared" si="627"/>
        <v>2022-05</v>
      </c>
      <c r="S3085">
        <v>8406</v>
      </c>
      <c r="T3085">
        <f t="shared" si="634"/>
        <v>-8.3400947813487974E-3</v>
      </c>
      <c r="U3085" t="str">
        <f t="shared" si="628"/>
        <v>2022-05</v>
      </c>
      <c r="W3085">
        <v>24065.05</v>
      </c>
      <c r="X3085">
        <f t="shared" si="635"/>
        <v>-8.6270513027866184E-4</v>
      </c>
      <c r="Y3085">
        <f t="shared" si="636"/>
        <v>-8.6233310719753097E-4</v>
      </c>
      <c r="Z3085" t="str">
        <f t="shared" si="629"/>
        <v>2022-05</v>
      </c>
    </row>
    <row r="3086" spans="1:26" x14ac:dyDescent="0.35">
      <c r="A3086" s="1">
        <v>44701</v>
      </c>
      <c r="C3086">
        <v>3657.03</v>
      </c>
      <c r="D3086">
        <f t="shared" si="630"/>
        <v>4.5165734435840821E-3</v>
      </c>
      <c r="E3086" t="str">
        <f t="shared" si="624"/>
        <v>2022-05</v>
      </c>
      <c r="G3086">
        <v>6285.24</v>
      </c>
      <c r="H3086">
        <f t="shared" si="631"/>
        <v>1.9955492987466139E-3</v>
      </c>
      <c r="I3086" t="str">
        <f t="shared" si="625"/>
        <v>2022-05</v>
      </c>
      <c r="K3086">
        <v>13981.91</v>
      </c>
      <c r="L3086">
        <f t="shared" si="632"/>
        <v>7.1497038189013273E-3</v>
      </c>
      <c r="M3086" t="str">
        <f t="shared" si="626"/>
        <v>2022-05</v>
      </c>
      <c r="O3086">
        <v>8737.1154200000001</v>
      </c>
      <c r="P3086">
        <f t="shared" si="633"/>
        <v>1.3875235927618509E-2</v>
      </c>
      <c r="Q3086" t="str">
        <f t="shared" si="627"/>
        <v>2022-05</v>
      </c>
      <c r="S3086">
        <v>8484.5</v>
      </c>
      <c r="T3086">
        <f t="shared" si="634"/>
        <v>9.2952328478188573E-3</v>
      </c>
      <c r="U3086" t="str">
        <f t="shared" si="628"/>
        <v>2022-05</v>
      </c>
      <c r="W3086">
        <v>24095</v>
      </c>
      <c r="X3086">
        <f t="shared" si="635"/>
        <v>1.2437696331694134E-3</v>
      </c>
      <c r="Y3086">
        <f t="shared" si="636"/>
        <v>1.2445434353970063E-3</v>
      </c>
      <c r="Z3086" t="str">
        <f t="shared" si="629"/>
        <v>2022-05</v>
      </c>
    </row>
    <row r="3087" spans="1:26" x14ac:dyDescent="0.35">
      <c r="A3087" s="1">
        <v>44704</v>
      </c>
      <c r="C3087">
        <v>3708.39</v>
      </c>
      <c r="D3087">
        <f t="shared" si="630"/>
        <v>1.3946477587275553E-2</v>
      </c>
      <c r="E3087" t="str">
        <f t="shared" si="624"/>
        <v>2022-05</v>
      </c>
      <c r="G3087">
        <v>6358.74</v>
      </c>
      <c r="H3087">
        <f t="shared" si="631"/>
        <v>1.1626217046813981E-2</v>
      </c>
      <c r="I3087" t="str">
        <f t="shared" si="625"/>
        <v>2022-05</v>
      </c>
      <c r="K3087">
        <v>14175.4</v>
      </c>
      <c r="L3087">
        <f t="shared" si="632"/>
        <v>1.3743716688859641E-2</v>
      </c>
      <c r="M3087" t="str">
        <f t="shared" si="626"/>
        <v>2022-05</v>
      </c>
      <c r="O3087">
        <v>8844.1429200000002</v>
      </c>
      <c r="P3087">
        <f t="shared" si="633"/>
        <v>1.2175331260327228E-2</v>
      </c>
      <c r="Q3087" t="str">
        <f t="shared" si="627"/>
        <v>2022-05</v>
      </c>
      <c r="S3087">
        <v>8625.7999999999993</v>
      </c>
      <c r="T3087">
        <f t="shared" si="634"/>
        <v>1.6516742808516768E-2</v>
      </c>
      <c r="U3087" t="str">
        <f t="shared" si="628"/>
        <v>2022-05</v>
      </c>
      <c r="W3087">
        <v>24136.560000000001</v>
      </c>
      <c r="X3087">
        <f t="shared" si="635"/>
        <v>1.7233533514534689E-3</v>
      </c>
      <c r="Y3087">
        <f t="shared" si="636"/>
        <v>1.7248391782528039E-3</v>
      </c>
      <c r="Z3087" t="str">
        <f t="shared" si="629"/>
        <v>2022-05</v>
      </c>
    </row>
    <row r="3088" spans="1:26" x14ac:dyDescent="0.35">
      <c r="A3088" s="1">
        <v>44705</v>
      </c>
      <c r="C3088">
        <v>3647.56</v>
      </c>
      <c r="D3088">
        <f t="shared" si="630"/>
        <v>-1.6539369263779254E-2</v>
      </c>
      <c r="E3088" t="str">
        <f t="shared" si="624"/>
        <v>2022-05</v>
      </c>
      <c r="G3088">
        <v>6253.14</v>
      </c>
      <c r="H3088">
        <f t="shared" si="631"/>
        <v>-1.6746506929785975E-2</v>
      </c>
      <c r="I3088" t="str">
        <f t="shared" si="625"/>
        <v>2022-05</v>
      </c>
      <c r="K3088">
        <v>13919.75</v>
      </c>
      <c r="L3088">
        <f t="shared" si="632"/>
        <v>-1.8199372935681191E-2</v>
      </c>
      <c r="M3088" t="str">
        <f t="shared" si="626"/>
        <v>2022-05</v>
      </c>
      <c r="O3088">
        <v>8742.5521599999993</v>
      </c>
      <c r="P3088">
        <f t="shared" si="633"/>
        <v>-1.1553266778787642E-2</v>
      </c>
      <c r="Q3088" t="str">
        <f t="shared" si="627"/>
        <v>2022-05</v>
      </c>
      <c r="S3088">
        <v>8631.2000000000007</v>
      </c>
      <c r="T3088">
        <f t="shared" si="634"/>
        <v>6.2583301573292344E-4</v>
      </c>
      <c r="U3088" t="str">
        <f t="shared" si="628"/>
        <v>2022-05</v>
      </c>
      <c r="W3088">
        <v>23876.080000000002</v>
      </c>
      <c r="X3088">
        <f t="shared" si="635"/>
        <v>-1.0850582497960339E-2</v>
      </c>
      <c r="Y3088">
        <f t="shared" si="636"/>
        <v>-1.0791927267183043E-2</v>
      </c>
      <c r="Z3088" t="str">
        <f t="shared" si="629"/>
        <v>2022-05</v>
      </c>
    </row>
    <row r="3089" spans="1:26" x14ac:dyDescent="0.35">
      <c r="A3089" s="1">
        <v>44706</v>
      </c>
      <c r="C3089">
        <v>3677.1</v>
      </c>
      <c r="D3089">
        <f t="shared" si="630"/>
        <v>8.0659471305526195E-3</v>
      </c>
      <c r="E3089" t="str">
        <f t="shared" si="624"/>
        <v>2022-05</v>
      </c>
      <c r="G3089">
        <v>6298.64</v>
      </c>
      <c r="H3089">
        <f t="shared" si="631"/>
        <v>7.2499994899967784E-3</v>
      </c>
      <c r="I3089" t="str">
        <f t="shared" si="625"/>
        <v>2022-05</v>
      </c>
      <c r="K3089">
        <v>14007.93</v>
      </c>
      <c r="L3089">
        <f t="shared" si="632"/>
        <v>6.3149028516960434E-3</v>
      </c>
      <c r="M3089" t="str">
        <f t="shared" si="626"/>
        <v>2022-05</v>
      </c>
      <c r="O3089">
        <v>8847.9683700000005</v>
      </c>
      <c r="P3089">
        <f t="shared" si="633"/>
        <v>1.1985713760033895E-2</v>
      </c>
      <c r="Q3089" t="str">
        <f t="shared" si="627"/>
        <v>2022-05</v>
      </c>
      <c r="S3089">
        <v>8760.2000000000007</v>
      </c>
      <c r="T3089">
        <f t="shared" si="634"/>
        <v>1.4835190482910534E-2</v>
      </c>
      <c r="U3089" t="str">
        <f t="shared" si="628"/>
        <v>2022-05</v>
      </c>
      <c r="W3089">
        <v>24250.45</v>
      </c>
      <c r="X3089">
        <f t="shared" si="635"/>
        <v>1.5558052966560543E-2</v>
      </c>
      <c r="Y3089">
        <f t="shared" si="636"/>
        <v>1.5679709567064565E-2</v>
      </c>
      <c r="Z3089" t="str">
        <f t="shared" si="629"/>
        <v>2022-05</v>
      </c>
    </row>
    <row r="3090" spans="1:26" x14ac:dyDescent="0.35">
      <c r="A3090" s="1">
        <v>44707</v>
      </c>
      <c r="C3090">
        <v>3740.31</v>
      </c>
      <c r="D3090">
        <f t="shared" si="630"/>
        <v>1.7044097658887571E-2</v>
      </c>
      <c r="E3090" t="str">
        <f t="shared" si="624"/>
        <v>2022-05</v>
      </c>
      <c r="G3090">
        <v>6410.58</v>
      </c>
      <c r="H3090">
        <f t="shared" si="631"/>
        <v>1.7616013380846885E-2</v>
      </c>
      <c r="I3090" t="str">
        <f t="shared" si="625"/>
        <v>2022-05</v>
      </c>
      <c r="K3090">
        <v>14231.29</v>
      </c>
      <c r="L3090">
        <f t="shared" si="632"/>
        <v>1.5819463715240848E-2</v>
      </c>
      <c r="M3090" t="str">
        <f t="shared" si="626"/>
        <v>2022-05</v>
      </c>
      <c r="O3090">
        <v>8885.5659400000004</v>
      </c>
      <c r="P3090">
        <f t="shared" si="633"/>
        <v>4.2402857407332619E-3</v>
      </c>
      <c r="Q3090" t="str">
        <f t="shared" si="627"/>
        <v>2022-05</v>
      </c>
      <c r="S3090">
        <v>8888.7999999999993</v>
      </c>
      <c r="T3090">
        <f t="shared" si="634"/>
        <v>1.4573321549757868E-2</v>
      </c>
      <c r="U3090" t="str">
        <f t="shared" si="628"/>
        <v>2022-05</v>
      </c>
      <c r="W3090">
        <v>24546.5</v>
      </c>
      <c r="X3090">
        <f t="shared" si="635"/>
        <v>1.2134103973208405E-2</v>
      </c>
      <c r="Y3090">
        <f t="shared" si="636"/>
        <v>1.2208020882086694E-2</v>
      </c>
      <c r="Z3090" t="str">
        <f t="shared" si="629"/>
        <v>2022-05</v>
      </c>
    </row>
    <row r="3091" spans="1:26" x14ac:dyDescent="0.35">
      <c r="A3091" s="1">
        <v>44708</v>
      </c>
      <c r="C3091">
        <v>3808.86</v>
      </c>
      <c r="D3091">
        <f t="shared" si="630"/>
        <v>1.8161436075183817E-2</v>
      </c>
      <c r="E3091" t="str">
        <f t="shared" si="624"/>
        <v>2022-05</v>
      </c>
      <c r="G3091">
        <v>6515.75</v>
      </c>
      <c r="H3091">
        <f t="shared" si="631"/>
        <v>1.6272572448856978E-2</v>
      </c>
      <c r="I3091" t="str">
        <f t="shared" si="625"/>
        <v>2022-05</v>
      </c>
      <c r="K3091">
        <v>14462.19</v>
      </c>
      <c r="L3091">
        <f t="shared" si="632"/>
        <v>1.6094596003220413E-2</v>
      </c>
      <c r="M3091" t="str">
        <f t="shared" si="626"/>
        <v>2022-05</v>
      </c>
      <c r="O3091">
        <v>8929.0284100000008</v>
      </c>
      <c r="P3091">
        <f t="shared" si="633"/>
        <v>4.8794326021385295E-3</v>
      </c>
      <c r="Q3091" t="str">
        <f t="shared" si="627"/>
        <v>2022-05</v>
      </c>
      <c r="S3091">
        <v>8933.6</v>
      </c>
      <c r="T3091">
        <f t="shared" si="634"/>
        <v>5.0273918617835455E-3</v>
      </c>
      <c r="U3091" t="str">
        <f t="shared" si="628"/>
        <v>2022-05</v>
      </c>
      <c r="W3091">
        <v>24636.26</v>
      </c>
      <c r="X3091">
        <f t="shared" si="635"/>
        <v>3.6500635448577703E-3</v>
      </c>
      <c r="Y3091">
        <f t="shared" si="636"/>
        <v>3.6567331391440081E-3</v>
      </c>
      <c r="Z3091" t="str">
        <f t="shared" si="629"/>
        <v>2022-05</v>
      </c>
    </row>
    <row r="3092" spans="1:26" x14ac:dyDescent="0.35">
      <c r="A3092" s="1">
        <v>44711</v>
      </c>
      <c r="C3092">
        <v>3841.62</v>
      </c>
      <c r="D3092">
        <f t="shared" si="630"/>
        <v>8.5642208682344227E-3</v>
      </c>
      <c r="E3092" t="str">
        <f t="shared" si="624"/>
        <v>2022-05</v>
      </c>
      <c r="G3092">
        <v>6562.39</v>
      </c>
      <c r="H3092">
        <f t="shared" si="631"/>
        <v>7.1325429651133577E-3</v>
      </c>
      <c r="I3092" t="str">
        <f t="shared" si="625"/>
        <v>2022-05</v>
      </c>
      <c r="K3092">
        <v>14575.98</v>
      </c>
      <c r="L3092">
        <f t="shared" si="632"/>
        <v>7.837310853072715E-3</v>
      </c>
      <c r="M3092" t="str">
        <f t="shared" si="626"/>
        <v>2022-05</v>
      </c>
      <c r="O3092">
        <v>8916.9997500000009</v>
      </c>
      <c r="P3092">
        <f t="shared" si="633"/>
        <v>-1.3480491808858456E-3</v>
      </c>
      <c r="Q3092" t="str">
        <f t="shared" si="627"/>
        <v>2022-05</v>
      </c>
      <c r="S3092">
        <v>8930.7999999999993</v>
      </c>
      <c r="T3092">
        <f t="shared" si="634"/>
        <v>-3.1347260730053334E-4</v>
      </c>
      <c r="U3092" t="str">
        <f t="shared" si="628"/>
        <v>2022-05</v>
      </c>
      <c r="W3092">
        <v>24808.65</v>
      </c>
      <c r="X3092">
        <f t="shared" si="635"/>
        <v>6.973041249897026E-3</v>
      </c>
      <c r="Y3092">
        <f t="shared" si="636"/>
        <v>6.9974095093980606E-3</v>
      </c>
      <c r="Z3092" t="str">
        <f t="shared" si="629"/>
        <v>2022-05</v>
      </c>
    </row>
    <row r="3093" spans="1:26" x14ac:dyDescent="0.35">
      <c r="A3093" s="1">
        <v>44712</v>
      </c>
      <c r="C3093">
        <v>3789.21</v>
      </c>
      <c r="D3093">
        <f t="shared" si="630"/>
        <v>-1.3736598540148854E-2</v>
      </c>
      <c r="E3093" t="str">
        <f t="shared" si="624"/>
        <v>2022-05</v>
      </c>
      <c r="G3093">
        <v>6468.8</v>
      </c>
      <c r="H3093">
        <f t="shared" si="631"/>
        <v>-1.4364245968128637E-2</v>
      </c>
      <c r="I3093" t="str">
        <f t="shared" si="625"/>
        <v>2022-05</v>
      </c>
      <c r="K3093">
        <v>14388.35</v>
      </c>
      <c r="L3093">
        <f t="shared" si="632"/>
        <v>-1.2956117033522513E-2</v>
      </c>
      <c r="M3093" t="str">
        <f t="shared" si="626"/>
        <v>2022-05</v>
      </c>
      <c r="O3093">
        <v>8946.0183699999998</v>
      </c>
      <c r="P3093">
        <f t="shared" si="633"/>
        <v>3.24901932384227E-3</v>
      </c>
      <c r="Q3093" t="str">
        <f t="shared" si="627"/>
        <v>2022-05</v>
      </c>
      <c r="S3093">
        <v>8851.5</v>
      </c>
      <c r="T3093">
        <f t="shared" si="634"/>
        <v>-8.9190403589487662E-3</v>
      </c>
      <c r="U3093" t="str">
        <f t="shared" si="628"/>
        <v>2022-05</v>
      </c>
      <c r="W3093">
        <v>24505.08</v>
      </c>
      <c r="X3093">
        <f t="shared" si="635"/>
        <v>-1.2311939684261582E-2</v>
      </c>
      <c r="Y3093">
        <f t="shared" si="636"/>
        <v>-1.2236457848371423E-2</v>
      </c>
      <c r="Z3093" t="str">
        <f t="shared" si="629"/>
        <v>2022-05</v>
      </c>
    </row>
    <row r="3094" spans="1:26" x14ac:dyDescent="0.35">
      <c r="A3094" s="1">
        <v>44713</v>
      </c>
      <c r="C3094">
        <v>3759.54</v>
      </c>
      <c r="D3094">
        <f t="shared" si="630"/>
        <v>-7.8609446031780907E-3</v>
      </c>
      <c r="E3094" t="str">
        <f t="shared" si="624"/>
        <v>2022-06</v>
      </c>
      <c r="G3094">
        <v>6418.89</v>
      </c>
      <c r="H3094">
        <f t="shared" si="631"/>
        <v>-7.7454143472045212E-3</v>
      </c>
      <c r="I3094" t="str">
        <f t="shared" si="625"/>
        <v>2022-06</v>
      </c>
      <c r="K3094">
        <v>14340.47</v>
      </c>
      <c r="L3094">
        <f t="shared" si="632"/>
        <v>-3.3332412769391481E-3</v>
      </c>
      <c r="M3094" t="str">
        <f t="shared" si="626"/>
        <v>2022-06</v>
      </c>
      <c r="O3094">
        <v>8829.3905900000009</v>
      </c>
      <c r="P3094">
        <f t="shared" si="633"/>
        <v>-1.3122562061123978E-2</v>
      </c>
      <c r="Q3094" t="str">
        <f t="shared" si="627"/>
        <v>2022-06</v>
      </c>
      <c r="S3094">
        <v>8747.2000000000007</v>
      </c>
      <c r="T3094">
        <f t="shared" si="634"/>
        <v>-1.1853287024598251E-2</v>
      </c>
      <c r="U3094" t="str">
        <f t="shared" si="628"/>
        <v>2022-06</v>
      </c>
      <c r="W3094">
        <v>24283.56</v>
      </c>
      <c r="X3094">
        <f t="shared" si="635"/>
        <v>-9.0808648180552998E-3</v>
      </c>
      <c r="Y3094">
        <f t="shared" si="636"/>
        <v>-9.0397582868531924E-3</v>
      </c>
      <c r="Z3094" t="str">
        <f t="shared" si="629"/>
        <v>2022-06</v>
      </c>
    </row>
    <row r="3095" spans="1:26" x14ac:dyDescent="0.35">
      <c r="A3095" s="1">
        <v>44718</v>
      </c>
      <c r="C3095">
        <v>3838.42</v>
      </c>
      <c r="D3095">
        <f t="shared" si="630"/>
        <v>2.0764214102024423E-2</v>
      </c>
      <c r="E3095" t="str">
        <f t="shared" si="624"/>
        <v>2022-06</v>
      </c>
      <c r="G3095">
        <v>6548.78</v>
      </c>
      <c r="H3095">
        <f t="shared" si="631"/>
        <v>2.0033567199548231E-2</v>
      </c>
      <c r="I3095" t="str">
        <f t="shared" si="625"/>
        <v>2022-06</v>
      </c>
      <c r="K3095">
        <v>14653.81</v>
      </c>
      <c r="L3095">
        <f t="shared" si="632"/>
        <v>2.1614759822925923E-2</v>
      </c>
      <c r="M3095" t="str">
        <f t="shared" si="626"/>
        <v>2022-06</v>
      </c>
      <c r="O3095">
        <v>8915.7161799999994</v>
      </c>
      <c r="P3095">
        <f t="shared" si="633"/>
        <v>9.7295859774412866E-3</v>
      </c>
      <c r="Q3095" t="str">
        <f t="shared" si="627"/>
        <v>2022-06</v>
      </c>
      <c r="S3095">
        <v>8836.2999999999993</v>
      </c>
      <c r="T3095">
        <f t="shared" si="634"/>
        <v>1.0134587837402443E-2</v>
      </c>
      <c r="U3095" t="str">
        <f t="shared" si="628"/>
        <v>2022-06</v>
      </c>
      <c r="W3095">
        <v>24565.67</v>
      </c>
      <c r="X3095">
        <f t="shared" si="635"/>
        <v>1.1550361648321883E-2</v>
      </c>
      <c r="Y3095">
        <f t="shared" si="636"/>
        <v>1.1617324642679942E-2</v>
      </c>
      <c r="Z3095" t="str">
        <f t="shared" si="629"/>
        <v>2022-06</v>
      </c>
    </row>
    <row r="3096" spans="1:26" x14ac:dyDescent="0.35">
      <c r="A3096" s="1">
        <v>44719</v>
      </c>
      <c r="C3096">
        <v>3806.74</v>
      </c>
      <c r="D3096">
        <f t="shared" si="630"/>
        <v>-8.2876437715616921E-3</v>
      </c>
      <c r="E3096" t="str">
        <f t="shared" si="624"/>
        <v>2022-06</v>
      </c>
      <c r="G3096">
        <v>6500.35</v>
      </c>
      <c r="H3096">
        <f t="shared" si="631"/>
        <v>-7.4227511509274606E-3</v>
      </c>
      <c r="I3096" t="str">
        <f t="shared" si="625"/>
        <v>2022-06</v>
      </c>
      <c r="K3096">
        <v>14556.62</v>
      </c>
      <c r="L3096">
        <f t="shared" si="632"/>
        <v>-6.65449694850108E-3</v>
      </c>
      <c r="M3096" t="str">
        <f t="shared" si="626"/>
        <v>2022-06</v>
      </c>
      <c r="O3096">
        <v>8942.4657000000007</v>
      </c>
      <c r="P3096">
        <f t="shared" si="633"/>
        <v>2.9957741706748663E-3</v>
      </c>
      <c r="Q3096" t="str">
        <f t="shared" si="627"/>
        <v>2022-06</v>
      </c>
      <c r="S3096">
        <v>8841.6</v>
      </c>
      <c r="T3096">
        <f t="shared" si="634"/>
        <v>5.9961875096017534E-4</v>
      </c>
      <c r="U3096" t="str">
        <f t="shared" si="628"/>
        <v>2022-06</v>
      </c>
      <c r="W3096">
        <v>24366.19</v>
      </c>
      <c r="X3096">
        <f t="shared" si="635"/>
        <v>-8.1534241735402458E-3</v>
      </c>
      <c r="Y3096">
        <f t="shared" si="636"/>
        <v>-8.1202751644876593E-3</v>
      </c>
      <c r="Z3096" t="str">
        <f t="shared" si="629"/>
        <v>2022-06</v>
      </c>
    </row>
    <row r="3097" spans="1:26" x14ac:dyDescent="0.35">
      <c r="A3097" s="1">
        <v>44720</v>
      </c>
      <c r="C3097">
        <v>3788.93</v>
      </c>
      <c r="D3097">
        <f t="shared" si="630"/>
        <v>-4.6895224882647626E-3</v>
      </c>
      <c r="E3097" t="str">
        <f t="shared" si="624"/>
        <v>2022-06</v>
      </c>
      <c r="G3097">
        <v>6448.63</v>
      </c>
      <c r="H3097">
        <f t="shared" si="631"/>
        <v>-7.9883164596129385E-3</v>
      </c>
      <c r="I3097" t="str">
        <f t="shared" si="625"/>
        <v>2022-06</v>
      </c>
      <c r="K3097">
        <v>14445.99</v>
      </c>
      <c r="L3097">
        <f t="shared" si="632"/>
        <v>-7.6290055668019078E-3</v>
      </c>
      <c r="M3097" t="str">
        <f t="shared" si="626"/>
        <v>2022-06</v>
      </c>
      <c r="O3097">
        <v>8880.3209999999999</v>
      </c>
      <c r="P3097">
        <f t="shared" si="633"/>
        <v>-6.9736515278608028E-3</v>
      </c>
      <c r="Q3097" t="str">
        <f t="shared" si="627"/>
        <v>2022-06</v>
      </c>
      <c r="S3097">
        <v>8842.7000000000007</v>
      </c>
      <c r="T3097">
        <f t="shared" si="634"/>
        <v>1.2440413263952168E-4</v>
      </c>
      <c r="U3097" t="str">
        <f t="shared" si="628"/>
        <v>2022-06</v>
      </c>
      <c r="W3097">
        <v>24236.67</v>
      </c>
      <c r="X3097">
        <f t="shared" si="635"/>
        <v>-5.3297401262675957E-3</v>
      </c>
      <c r="Y3097">
        <f t="shared" si="636"/>
        <v>-5.3155622606571012E-3</v>
      </c>
      <c r="Z3097" t="str">
        <f t="shared" si="629"/>
        <v>2022-06</v>
      </c>
    </row>
    <row r="3098" spans="1:26" x14ac:dyDescent="0.35">
      <c r="A3098" s="1">
        <v>44721</v>
      </c>
      <c r="C3098">
        <v>3724.45</v>
      </c>
      <c r="D3098">
        <f t="shared" si="630"/>
        <v>-1.716446741094035E-2</v>
      </c>
      <c r="E3098" t="str">
        <f t="shared" si="624"/>
        <v>2022-06</v>
      </c>
      <c r="G3098">
        <v>6358.46</v>
      </c>
      <c r="H3098">
        <f t="shared" si="631"/>
        <v>-1.4081495479148755E-2</v>
      </c>
      <c r="I3098" t="str">
        <f t="shared" si="625"/>
        <v>2022-06</v>
      </c>
      <c r="K3098">
        <v>14198.8</v>
      </c>
      <c r="L3098">
        <f t="shared" si="632"/>
        <v>-1.7259413401231084E-2</v>
      </c>
      <c r="M3098" t="str">
        <f t="shared" si="626"/>
        <v>2022-06</v>
      </c>
      <c r="O3098">
        <v>8783.7746999999999</v>
      </c>
      <c r="P3098">
        <f t="shared" si="633"/>
        <v>-1.0931469468248543E-2</v>
      </c>
      <c r="Q3098" t="str">
        <f t="shared" si="627"/>
        <v>2022-06</v>
      </c>
      <c r="S3098">
        <v>8711.2000000000007</v>
      </c>
      <c r="T3098">
        <f t="shared" si="634"/>
        <v>-1.4982705829885734E-2</v>
      </c>
      <c r="U3098" t="str">
        <f t="shared" si="628"/>
        <v>2022-06</v>
      </c>
      <c r="W3098">
        <v>23776.97</v>
      </c>
      <c r="X3098">
        <f t="shared" si="635"/>
        <v>-1.9149310380555083E-2</v>
      </c>
      <c r="Y3098">
        <f t="shared" si="636"/>
        <v>-1.8967127084702523E-2</v>
      </c>
      <c r="Z3098" t="str">
        <f t="shared" si="629"/>
        <v>2022-06</v>
      </c>
    </row>
    <row r="3099" spans="1:26" x14ac:dyDescent="0.35">
      <c r="A3099" s="1">
        <v>44722</v>
      </c>
      <c r="C3099">
        <v>3599.2</v>
      </c>
      <c r="D3099">
        <f t="shared" si="630"/>
        <v>-3.4207591378502933E-2</v>
      </c>
      <c r="E3099" t="str">
        <f t="shared" si="624"/>
        <v>2022-06</v>
      </c>
      <c r="G3099">
        <v>6187.23</v>
      </c>
      <c r="H3099">
        <f t="shared" si="631"/>
        <v>-2.7298719087945515E-2</v>
      </c>
      <c r="I3099" t="str">
        <f t="shared" si="625"/>
        <v>2022-06</v>
      </c>
      <c r="K3099">
        <v>13761.83</v>
      </c>
      <c r="L3099">
        <f t="shared" si="632"/>
        <v>-3.1258636145738788E-2</v>
      </c>
      <c r="M3099" t="str">
        <f t="shared" si="626"/>
        <v>2022-06</v>
      </c>
      <c r="O3099">
        <v>8565.7496200000005</v>
      </c>
      <c r="P3099">
        <f t="shared" si="633"/>
        <v>-2.5134586277167664E-2</v>
      </c>
      <c r="Q3099" t="str">
        <f t="shared" si="627"/>
        <v>2022-06</v>
      </c>
      <c r="S3099">
        <v>8390.6</v>
      </c>
      <c r="T3099">
        <f t="shared" si="634"/>
        <v>-3.7497522420788805E-2</v>
      </c>
      <c r="U3099" t="str">
        <f t="shared" si="628"/>
        <v>2022-06</v>
      </c>
      <c r="W3099">
        <v>22547.48</v>
      </c>
      <c r="X3099">
        <f t="shared" si="635"/>
        <v>-5.3094157104921262E-2</v>
      </c>
      <c r="Y3099">
        <f t="shared" si="636"/>
        <v>-5.1709280030214175E-2</v>
      </c>
      <c r="Z3099" t="str">
        <f t="shared" si="629"/>
        <v>2022-06</v>
      </c>
    </row>
    <row r="3100" spans="1:26" x14ac:dyDescent="0.35">
      <c r="A3100" s="1">
        <v>44725</v>
      </c>
      <c r="C3100">
        <v>3502.5</v>
      </c>
      <c r="D3100">
        <f t="shared" si="630"/>
        <v>-2.7234599315800429E-2</v>
      </c>
      <c r="E3100" t="str">
        <f t="shared" si="624"/>
        <v>2022-06</v>
      </c>
      <c r="G3100">
        <v>6022.32</v>
      </c>
      <c r="H3100">
        <f t="shared" si="631"/>
        <v>-2.7014923439140835E-2</v>
      </c>
      <c r="I3100" t="str">
        <f t="shared" si="625"/>
        <v>2022-06</v>
      </c>
      <c r="K3100">
        <v>13427.03</v>
      </c>
      <c r="L3100">
        <f t="shared" si="632"/>
        <v>-2.4628978456212047E-2</v>
      </c>
      <c r="M3100" t="str">
        <f t="shared" si="626"/>
        <v>2022-06</v>
      </c>
      <c r="O3100">
        <v>8405.0523099999991</v>
      </c>
      <c r="P3100">
        <f t="shared" si="633"/>
        <v>-1.893865873636958E-2</v>
      </c>
      <c r="Q3100" t="str">
        <f t="shared" si="627"/>
        <v>2022-06</v>
      </c>
      <c r="S3100">
        <v>8183.3</v>
      </c>
      <c r="T3100">
        <f t="shared" si="634"/>
        <v>-2.5016539384557109E-2</v>
      </c>
      <c r="U3100" t="str">
        <f t="shared" si="628"/>
        <v>2022-06</v>
      </c>
      <c r="W3100">
        <v>21918.04</v>
      </c>
      <c r="X3100">
        <f t="shared" si="635"/>
        <v>-2.8313266017467198E-2</v>
      </c>
      <c r="Y3100">
        <f t="shared" si="636"/>
        <v>-2.7916201721877511E-2</v>
      </c>
      <c r="Z3100" t="str">
        <f t="shared" si="629"/>
        <v>2022-06</v>
      </c>
    </row>
    <row r="3101" spans="1:26" x14ac:dyDescent="0.35">
      <c r="A3101" s="1">
        <v>44726</v>
      </c>
      <c r="C3101">
        <v>3475.18</v>
      </c>
      <c r="D3101">
        <f t="shared" si="630"/>
        <v>-7.8307229926176843E-3</v>
      </c>
      <c r="E3101" t="str">
        <f t="shared" si="624"/>
        <v>2022-06</v>
      </c>
      <c r="G3101">
        <v>5949.84</v>
      </c>
      <c r="H3101">
        <f t="shared" si="631"/>
        <v>-1.2108238700264643E-2</v>
      </c>
      <c r="I3101" t="str">
        <f t="shared" si="625"/>
        <v>2022-06</v>
      </c>
      <c r="K3101">
        <v>13304.39</v>
      </c>
      <c r="L3101">
        <f t="shared" si="632"/>
        <v>-9.1757834392419829E-3</v>
      </c>
      <c r="M3101" t="str">
        <f t="shared" si="626"/>
        <v>2022-06</v>
      </c>
      <c r="O3101">
        <v>8273.8563099999992</v>
      </c>
      <c r="P3101">
        <f t="shared" si="633"/>
        <v>-1.5732289078291568E-2</v>
      </c>
      <c r="Q3101" t="str">
        <f t="shared" si="627"/>
        <v>2022-06</v>
      </c>
      <c r="S3101">
        <v>8066.4</v>
      </c>
      <c r="T3101">
        <f t="shared" si="634"/>
        <v>-1.4388206147499786E-2</v>
      </c>
      <c r="U3101" t="str">
        <f t="shared" si="628"/>
        <v>2022-06</v>
      </c>
      <c r="W3101">
        <v>21846.89</v>
      </c>
      <c r="X3101">
        <f t="shared" si="635"/>
        <v>-3.251464708536093E-3</v>
      </c>
      <c r="Y3101">
        <f t="shared" si="636"/>
        <v>-3.2461844215998076E-3</v>
      </c>
      <c r="Z3101" t="str">
        <f t="shared" si="629"/>
        <v>2022-06</v>
      </c>
    </row>
    <row r="3102" spans="1:26" x14ac:dyDescent="0.35">
      <c r="A3102" s="1">
        <v>44727</v>
      </c>
      <c r="C3102">
        <v>3532.32</v>
      </c>
      <c r="D3102">
        <f t="shared" si="630"/>
        <v>1.6308602627854264E-2</v>
      </c>
      <c r="E3102" t="str">
        <f t="shared" si="624"/>
        <v>2022-06</v>
      </c>
      <c r="G3102">
        <v>6030.13</v>
      </c>
      <c r="H3102">
        <f t="shared" si="631"/>
        <v>1.340424093933699E-2</v>
      </c>
      <c r="I3102" t="str">
        <f t="shared" si="625"/>
        <v>2022-06</v>
      </c>
      <c r="K3102">
        <v>13485.29</v>
      </c>
      <c r="L3102">
        <f t="shared" si="632"/>
        <v>1.3505405783952767E-2</v>
      </c>
      <c r="M3102" t="str">
        <f t="shared" si="626"/>
        <v>2022-06</v>
      </c>
      <c r="O3102">
        <v>8451.7836900000002</v>
      </c>
      <c r="P3102">
        <f t="shared" si="633"/>
        <v>2.1276805227896455E-2</v>
      </c>
      <c r="Q3102" t="str">
        <f t="shared" si="627"/>
        <v>2022-06</v>
      </c>
      <c r="S3102">
        <v>8174.7</v>
      </c>
      <c r="T3102">
        <f t="shared" si="634"/>
        <v>1.3336732765381753E-2</v>
      </c>
      <c r="U3102" t="str">
        <f t="shared" si="628"/>
        <v>2022-06</v>
      </c>
      <c r="W3102">
        <v>22473.56</v>
      </c>
      <c r="X3102">
        <f t="shared" si="635"/>
        <v>2.8280929799795726E-2</v>
      </c>
      <c r="Y3102">
        <f t="shared" si="636"/>
        <v>2.8684632000252754E-2</v>
      </c>
      <c r="Z3102" t="str">
        <f t="shared" si="629"/>
        <v>2022-06</v>
      </c>
    </row>
    <row r="3103" spans="1:26" x14ac:dyDescent="0.35">
      <c r="A3103" s="1">
        <v>44728</v>
      </c>
      <c r="C3103">
        <v>3427.91</v>
      </c>
      <c r="D3103">
        <f t="shared" si="630"/>
        <v>-3.0004132849109633E-2</v>
      </c>
      <c r="E3103" t="str">
        <f t="shared" si="624"/>
        <v>2022-06</v>
      </c>
      <c r="G3103">
        <v>5886.24</v>
      </c>
      <c r="H3103">
        <f t="shared" si="631"/>
        <v>-2.4151145679321629E-2</v>
      </c>
      <c r="I3103" t="str">
        <f t="shared" si="625"/>
        <v>2022-06</v>
      </c>
      <c r="K3103">
        <v>13038.49</v>
      </c>
      <c r="L3103">
        <f t="shared" si="632"/>
        <v>-3.3693709489359049E-2</v>
      </c>
      <c r="M3103" t="str">
        <f t="shared" si="626"/>
        <v>2022-06</v>
      </c>
      <c r="O3103">
        <v>8259.1716300000007</v>
      </c>
      <c r="P3103">
        <f t="shared" si="633"/>
        <v>-2.3053211088322319E-2</v>
      </c>
      <c r="Q3103" t="str">
        <f t="shared" si="627"/>
        <v>2022-06</v>
      </c>
      <c r="S3103">
        <v>8078.1</v>
      </c>
      <c r="T3103">
        <f t="shared" si="634"/>
        <v>-1.188732249584456E-2</v>
      </c>
      <c r="U3103" t="str">
        <f t="shared" si="628"/>
        <v>2022-06</v>
      </c>
      <c r="W3103">
        <v>21726.639999999999</v>
      </c>
      <c r="X3103">
        <f t="shared" si="635"/>
        <v>-3.38003497446328E-2</v>
      </c>
      <c r="Y3103">
        <f t="shared" si="636"/>
        <v>-3.3235499849601127E-2</v>
      </c>
      <c r="Z3103" t="str">
        <f t="shared" si="629"/>
        <v>2022-06</v>
      </c>
    </row>
    <row r="3104" spans="1:26" x14ac:dyDescent="0.35">
      <c r="A3104" s="1">
        <v>44729</v>
      </c>
      <c r="C3104">
        <v>3438.46</v>
      </c>
      <c r="D3104">
        <f t="shared" si="630"/>
        <v>3.0729507154414349E-3</v>
      </c>
      <c r="E3104" t="str">
        <f t="shared" si="624"/>
        <v>2022-06</v>
      </c>
      <c r="G3104">
        <v>5882.65</v>
      </c>
      <c r="H3104">
        <f t="shared" si="631"/>
        <v>-6.1008304289539728E-4</v>
      </c>
      <c r="I3104" t="str">
        <f t="shared" si="625"/>
        <v>2022-06</v>
      </c>
      <c r="K3104">
        <v>13126.26</v>
      </c>
      <c r="L3104">
        <f t="shared" si="632"/>
        <v>6.7090516225411416E-3</v>
      </c>
      <c r="M3104" t="str">
        <f t="shared" si="626"/>
        <v>2022-06</v>
      </c>
      <c r="O3104">
        <v>8169.7622499999998</v>
      </c>
      <c r="P3104">
        <f t="shared" si="633"/>
        <v>-1.0884487497586935E-2</v>
      </c>
      <c r="Q3104" t="str">
        <f t="shared" si="627"/>
        <v>2022-06</v>
      </c>
      <c r="S3104">
        <v>8145.9</v>
      </c>
      <c r="T3104">
        <f t="shared" si="634"/>
        <v>8.3580368208017071E-3</v>
      </c>
      <c r="U3104" t="str">
        <f t="shared" si="628"/>
        <v>2022-06</v>
      </c>
      <c r="W3104">
        <v>21788.87</v>
      </c>
      <c r="X3104">
        <f t="shared" si="635"/>
        <v>2.860131590871345E-3</v>
      </c>
      <c r="Y3104">
        <f t="shared" si="636"/>
        <v>2.8642256695006483E-3</v>
      </c>
      <c r="Z3104" t="str">
        <f t="shared" si="629"/>
        <v>2022-06</v>
      </c>
    </row>
    <row r="3105" spans="1:26" x14ac:dyDescent="0.35">
      <c r="A3105" s="1">
        <v>44732</v>
      </c>
      <c r="C3105">
        <v>3469.83</v>
      </c>
      <c r="D3105">
        <f t="shared" si="630"/>
        <v>9.081904673591986E-3</v>
      </c>
      <c r="E3105" t="str">
        <f t="shared" si="624"/>
        <v>2022-06</v>
      </c>
      <c r="G3105">
        <v>5920.09</v>
      </c>
      <c r="H3105">
        <f t="shared" si="631"/>
        <v>6.3443108262639224E-3</v>
      </c>
      <c r="I3105" t="str">
        <f t="shared" si="625"/>
        <v>2022-06</v>
      </c>
      <c r="K3105">
        <v>13265.6</v>
      </c>
      <c r="L3105">
        <f t="shared" si="632"/>
        <v>1.0559414509834955E-2</v>
      </c>
      <c r="M3105" t="str">
        <f t="shared" si="626"/>
        <v>2022-06</v>
      </c>
      <c r="O3105">
        <v>8293.3250700000008</v>
      </c>
      <c r="P3105">
        <f t="shared" si="633"/>
        <v>1.5011174738445635E-2</v>
      </c>
      <c r="Q3105" t="str">
        <f t="shared" si="627"/>
        <v>2022-06</v>
      </c>
      <c r="S3105">
        <v>8286</v>
      </c>
      <c r="T3105">
        <f t="shared" si="634"/>
        <v>1.7052610468002619E-2</v>
      </c>
      <c r="U3105" t="str">
        <f t="shared" si="628"/>
        <v>2022-06</v>
      </c>
      <c r="W3105">
        <v>22004.05</v>
      </c>
      <c r="X3105">
        <f t="shared" si="635"/>
        <v>9.8272383636898077E-3</v>
      </c>
      <c r="Y3105">
        <f t="shared" si="636"/>
        <v>9.8756842369521827E-3</v>
      </c>
      <c r="Z3105" t="str">
        <f t="shared" si="629"/>
        <v>2022-06</v>
      </c>
    </row>
    <row r="3106" spans="1:26" x14ac:dyDescent="0.35">
      <c r="A3106" s="1">
        <v>44733</v>
      </c>
      <c r="C3106">
        <v>3494</v>
      </c>
      <c r="D3106">
        <f t="shared" si="630"/>
        <v>6.9416103076795485E-3</v>
      </c>
      <c r="E3106" t="str">
        <f t="shared" si="624"/>
        <v>2022-06</v>
      </c>
      <c r="G3106">
        <v>5964.66</v>
      </c>
      <c r="H3106">
        <f t="shared" si="631"/>
        <v>7.5004032805312737E-3</v>
      </c>
      <c r="I3106" t="str">
        <f t="shared" si="625"/>
        <v>2022-06</v>
      </c>
      <c r="K3106">
        <v>13292.4</v>
      </c>
      <c r="L3106">
        <f t="shared" si="632"/>
        <v>2.0182249489331182E-3</v>
      </c>
      <c r="M3106" t="str">
        <f t="shared" si="626"/>
        <v>2022-06</v>
      </c>
      <c r="O3106">
        <v>8332.0635700000003</v>
      </c>
      <c r="P3106">
        <f t="shared" si="633"/>
        <v>4.6601701706235135E-3</v>
      </c>
      <c r="Q3106" t="str">
        <f t="shared" si="627"/>
        <v>2022-06</v>
      </c>
      <c r="S3106">
        <v>8235.6</v>
      </c>
      <c r="T3106">
        <f t="shared" si="634"/>
        <v>-6.1011229347577474E-3</v>
      </c>
      <c r="U3106" t="str">
        <f t="shared" si="628"/>
        <v>2022-06</v>
      </c>
      <c r="W3106">
        <v>22089.41</v>
      </c>
      <c r="X3106">
        <f t="shared" si="635"/>
        <v>3.871780832519294E-3</v>
      </c>
      <c r="Y3106">
        <f t="shared" si="636"/>
        <v>3.8792858587396676E-3</v>
      </c>
      <c r="Z3106" t="str">
        <f t="shared" si="629"/>
        <v>2022-06</v>
      </c>
    </row>
    <row r="3107" spans="1:26" x14ac:dyDescent="0.35">
      <c r="A3107" s="1">
        <v>44734</v>
      </c>
      <c r="C3107">
        <v>3464.64</v>
      </c>
      <c r="D3107">
        <f t="shared" si="630"/>
        <v>-8.4384805714684697E-3</v>
      </c>
      <c r="E3107" t="str">
        <f t="shared" si="624"/>
        <v>2022-06</v>
      </c>
      <c r="G3107">
        <v>5916.63</v>
      </c>
      <c r="H3107">
        <f t="shared" si="631"/>
        <v>-8.0850247125745477E-3</v>
      </c>
      <c r="I3107" t="str">
        <f t="shared" si="625"/>
        <v>2022-06</v>
      </c>
      <c r="K3107">
        <v>13144.28</v>
      </c>
      <c r="L3107">
        <f t="shared" si="632"/>
        <v>-1.1205760325243121E-2</v>
      </c>
      <c r="M3107" t="str">
        <f t="shared" si="626"/>
        <v>2022-06</v>
      </c>
      <c r="O3107">
        <v>8222.15445</v>
      </c>
      <c r="P3107">
        <f t="shared" si="633"/>
        <v>-1.3278879723946807E-2</v>
      </c>
      <c r="Q3107" t="str">
        <f t="shared" si="627"/>
        <v>2022-06</v>
      </c>
      <c r="S3107">
        <v>8145.4</v>
      </c>
      <c r="T3107">
        <f t="shared" si="634"/>
        <v>-1.1012869988930694E-2</v>
      </c>
      <c r="U3107" t="str">
        <f t="shared" si="628"/>
        <v>2022-06</v>
      </c>
      <c r="W3107">
        <v>21788.57</v>
      </c>
      <c r="X3107">
        <f t="shared" si="635"/>
        <v>-1.3712787788398087E-2</v>
      </c>
      <c r="Y3107">
        <f t="shared" si="636"/>
        <v>-1.3619195804686506E-2</v>
      </c>
      <c r="Z3107" t="str">
        <f t="shared" si="629"/>
        <v>2022-06</v>
      </c>
    </row>
    <row r="3108" spans="1:26" x14ac:dyDescent="0.35">
      <c r="A3108" s="1">
        <v>44735</v>
      </c>
      <c r="C3108">
        <v>3436.29</v>
      </c>
      <c r="D3108">
        <f t="shared" si="630"/>
        <v>-8.2163301142485802E-3</v>
      </c>
      <c r="E3108" t="str">
        <f t="shared" si="624"/>
        <v>2022-06</v>
      </c>
      <c r="G3108">
        <v>5883.33</v>
      </c>
      <c r="H3108">
        <f t="shared" si="631"/>
        <v>-5.6441019122163288E-3</v>
      </c>
      <c r="I3108" t="str">
        <f t="shared" si="625"/>
        <v>2022-06</v>
      </c>
      <c r="K3108">
        <v>12912.59</v>
      </c>
      <c r="L3108">
        <f t="shared" si="632"/>
        <v>-1.7783878591721116E-2</v>
      </c>
      <c r="M3108" t="str">
        <f t="shared" si="626"/>
        <v>2022-06</v>
      </c>
      <c r="O3108">
        <v>8168.8136500000001</v>
      </c>
      <c r="P3108">
        <f t="shared" si="633"/>
        <v>-6.50858301655023E-3</v>
      </c>
      <c r="Q3108" t="str">
        <f t="shared" si="627"/>
        <v>2022-06</v>
      </c>
      <c r="S3108">
        <v>8106.4</v>
      </c>
      <c r="T3108">
        <f t="shared" si="634"/>
        <v>-4.799477579550882E-3</v>
      </c>
      <c r="U3108" t="str">
        <f t="shared" si="628"/>
        <v>2022-06</v>
      </c>
      <c r="W3108">
        <v>21615</v>
      </c>
      <c r="X3108">
        <f t="shared" si="635"/>
        <v>-7.9980022492806072E-3</v>
      </c>
      <c r="Y3108">
        <f t="shared" si="636"/>
        <v>-7.9661033284882717E-3</v>
      </c>
      <c r="Z3108" t="str">
        <f t="shared" si="629"/>
        <v>2022-06</v>
      </c>
    </row>
    <row r="3109" spans="1:26" x14ac:dyDescent="0.35">
      <c r="A3109" s="1">
        <v>44736</v>
      </c>
      <c r="C3109">
        <v>3533.17</v>
      </c>
      <c r="D3109">
        <f t="shared" si="630"/>
        <v>2.7803083940196056E-2</v>
      </c>
      <c r="E3109" t="str">
        <f t="shared" si="624"/>
        <v>2022-06</v>
      </c>
      <c r="G3109">
        <v>6073.35</v>
      </c>
      <c r="H3109">
        <f t="shared" si="631"/>
        <v>3.1787419258241689E-2</v>
      </c>
      <c r="I3109" t="str">
        <f t="shared" si="625"/>
        <v>2022-06</v>
      </c>
      <c r="K3109">
        <v>13118.13</v>
      </c>
      <c r="L3109">
        <f t="shared" si="632"/>
        <v>1.5792438457916617E-2</v>
      </c>
      <c r="M3109" t="str">
        <f t="shared" si="626"/>
        <v>2022-06</v>
      </c>
      <c r="O3109">
        <v>8385.7864699999991</v>
      </c>
      <c r="P3109">
        <f t="shared" si="633"/>
        <v>2.6214495498640612E-2</v>
      </c>
      <c r="Q3109" t="str">
        <f t="shared" si="627"/>
        <v>2022-06</v>
      </c>
      <c r="S3109">
        <v>8244.1</v>
      </c>
      <c r="T3109">
        <f t="shared" si="634"/>
        <v>1.684391983663782E-2</v>
      </c>
      <c r="U3109" t="str">
        <f t="shared" si="628"/>
        <v>2022-06</v>
      </c>
      <c r="W3109">
        <v>22119.200000000001</v>
      </c>
      <c r="X3109">
        <f t="shared" si="635"/>
        <v>2.3058491515240014E-2</v>
      </c>
      <c r="Y3109">
        <f t="shared" si="636"/>
        <v>2.3326393708073132E-2</v>
      </c>
      <c r="Z3109" t="str">
        <f t="shared" si="629"/>
        <v>2022-06</v>
      </c>
    </row>
    <row r="3110" spans="1:26" x14ac:dyDescent="0.35">
      <c r="A3110" s="1">
        <v>44739</v>
      </c>
      <c r="C3110">
        <v>3538.88</v>
      </c>
      <c r="D3110">
        <f t="shared" si="630"/>
        <v>1.6148079385143507E-3</v>
      </c>
      <c r="E3110" t="str">
        <f t="shared" si="624"/>
        <v>2022-06</v>
      </c>
      <c r="G3110">
        <v>6047.31</v>
      </c>
      <c r="H3110">
        <f t="shared" si="631"/>
        <v>-4.2968023298458847E-3</v>
      </c>
      <c r="I3110" t="str">
        <f t="shared" si="625"/>
        <v>2022-06</v>
      </c>
      <c r="K3110">
        <v>13186.07</v>
      </c>
      <c r="L3110">
        <f t="shared" si="632"/>
        <v>5.1657264680148784E-3</v>
      </c>
      <c r="M3110" t="str">
        <f t="shared" si="626"/>
        <v>2022-06</v>
      </c>
      <c r="O3110">
        <v>8417.8157300000003</v>
      </c>
      <c r="P3110">
        <f t="shared" si="633"/>
        <v>3.8121943626623802E-3</v>
      </c>
      <c r="Q3110" t="str">
        <f t="shared" si="627"/>
        <v>2022-06</v>
      </c>
      <c r="S3110">
        <v>8242.6</v>
      </c>
      <c r="T3110">
        <f t="shared" si="634"/>
        <v>-1.8196485702281421E-4</v>
      </c>
      <c r="U3110" t="str">
        <f t="shared" si="628"/>
        <v>2022-06</v>
      </c>
      <c r="W3110">
        <v>21928.81</v>
      </c>
      <c r="X3110">
        <f t="shared" si="635"/>
        <v>-8.6447122432501446E-3</v>
      </c>
      <c r="Y3110">
        <f t="shared" si="636"/>
        <v>-8.6074541574740239E-3</v>
      </c>
      <c r="Z3110" t="str">
        <f t="shared" si="629"/>
        <v>2022-06</v>
      </c>
    </row>
    <row r="3111" spans="1:26" x14ac:dyDescent="0.35">
      <c r="A3111" s="1">
        <v>44740</v>
      </c>
      <c r="C3111">
        <v>3549.29</v>
      </c>
      <c r="D3111">
        <f t="shared" si="630"/>
        <v>2.9372905797991878E-3</v>
      </c>
      <c r="E3111" t="str">
        <f t="shared" si="624"/>
        <v>2022-06</v>
      </c>
      <c r="G3111">
        <v>6086.02</v>
      </c>
      <c r="H3111">
        <f t="shared" si="631"/>
        <v>6.3807926328797717E-3</v>
      </c>
      <c r="I3111" t="str">
        <f t="shared" si="625"/>
        <v>2022-06</v>
      </c>
      <c r="K3111">
        <v>13231.82</v>
      </c>
      <c r="L3111">
        <f t="shared" si="632"/>
        <v>3.4635654653592429E-3</v>
      </c>
      <c r="M3111" t="str">
        <f t="shared" si="626"/>
        <v>2022-06</v>
      </c>
      <c r="O3111">
        <v>8486.3310399999991</v>
      </c>
      <c r="P3111">
        <f t="shared" si="633"/>
        <v>8.1063760424310814E-3</v>
      </c>
      <c r="Q3111" t="str">
        <f t="shared" si="627"/>
        <v>2022-06</v>
      </c>
      <c r="S3111">
        <v>8317.5</v>
      </c>
      <c r="T3111">
        <f t="shared" si="634"/>
        <v>9.0459007789090561E-3</v>
      </c>
      <c r="U3111" t="str">
        <f t="shared" si="628"/>
        <v>2022-06</v>
      </c>
      <c r="W3111">
        <v>22101.23</v>
      </c>
      <c r="X3111">
        <f t="shared" si="635"/>
        <v>7.8319656919757889E-3</v>
      </c>
      <c r="Y3111">
        <f t="shared" si="636"/>
        <v>7.8627157606818727E-3</v>
      </c>
      <c r="Z3111" t="str">
        <f t="shared" si="629"/>
        <v>2022-06</v>
      </c>
    </row>
    <row r="3112" spans="1:26" x14ac:dyDescent="0.35">
      <c r="A3112" s="1">
        <v>44741</v>
      </c>
      <c r="C3112">
        <v>3514.32</v>
      </c>
      <c r="D3112">
        <f t="shared" si="630"/>
        <v>-9.9015335516829655E-3</v>
      </c>
      <c r="E3112" t="str">
        <f t="shared" si="624"/>
        <v>2022-06</v>
      </c>
      <c r="G3112">
        <v>6031.48</v>
      </c>
      <c r="H3112">
        <f t="shared" si="631"/>
        <v>-9.0019176069981253E-3</v>
      </c>
      <c r="I3112" t="str">
        <f t="shared" si="625"/>
        <v>2022-06</v>
      </c>
      <c r="K3112">
        <v>13003.35</v>
      </c>
      <c r="L3112">
        <f t="shared" si="632"/>
        <v>-1.7417518230807734E-2</v>
      </c>
      <c r="M3112" t="str">
        <f t="shared" si="626"/>
        <v>2022-06</v>
      </c>
      <c r="O3112">
        <v>8485.5392499999998</v>
      </c>
      <c r="P3112">
        <f t="shared" si="633"/>
        <v>-9.3306157429265239E-5</v>
      </c>
      <c r="Q3112" t="str">
        <f t="shared" si="627"/>
        <v>2022-06</v>
      </c>
      <c r="S3112">
        <v>8188</v>
      </c>
      <c r="T3112">
        <f t="shared" si="634"/>
        <v>-1.5692061111451636E-2</v>
      </c>
      <c r="U3112" t="str">
        <f t="shared" si="628"/>
        <v>2022-06</v>
      </c>
      <c r="W3112">
        <v>21833.5</v>
      </c>
      <c r="X3112">
        <f t="shared" si="635"/>
        <v>-1.2187775551813558E-2</v>
      </c>
      <c r="Y3112">
        <f t="shared" si="636"/>
        <v>-1.211380543073845E-2</v>
      </c>
      <c r="Z3112" t="str">
        <f t="shared" si="629"/>
        <v>2022-06</v>
      </c>
    </row>
    <row r="3113" spans="1:26" x14ac:dyDescent="0.35">
      <c r="A3113" s="1">
        <v>44742</v>
      </c>
      <c r="C3113">
        <v>3454.86</v>
      </c>
      <c r="D3113">
        <f t="shared" si="630"/>
        <v>-1.706411451841942E-2</v>
      </c>
      <c r="E3113" t="str">
        <f t="shared" si="624"/>
        <v>2022-06</v>
      </c>
      <c r="G3113">
        <v>5922.86</v>
      </c>
      <c r="H3113">
        <f t="shared" si="631"/>
        <v>-1.8172979748203668E-2</v>
      </c>
      <c r="I3113" t="str">
        <f t="shared" si="625"/>
        <v>2022-06</v>
      </c>
      <c r="K3113">
        <v>12783.77</v>
      </c>
      <c r="L3113">
        <f t="shared" si="632"/>
        <v>-1.7030618949243549E-2</v>
      </c>
      <c r="M3113" t="str">
        <f t="shared" si="626"/>
        <v>2022-06</v>
      </c>
      <c r="O3113">
        <v>8327.79954</v>
      </c>
      <c r="P3113">
        <f t="shared" si="633"/>
        <v>-1.8764189578388445E-2</v>
      </c>
      <c r="Q3113" t="str">
        <f t="shared" si="627"/>
        <v>2022-06</v>
      </c>
      <c r="S3113">
        <v>8098.7</v>
      </c>
      <c r="T3113">
        <f t="shared" si="634"/>
        <v>-1.0966112828323013E-2</v>
      </c>
      <c r="U3113" t="str">
        <f t="shared" si="628"/>
        <v>2022-06</v>
      </c>
      <c r="W3113">
        <v>21293.86</v>
      </c>
      <c r="X3113">
        <f t="shared" si="635"/>
        <v>-2.5026719282904855E-2</v>
      </c>
      <c r="Y3113">
        <f t="shared" si="636"/>
        <v>-2.4716147204983142E-2</v>
      </c>
      <c r="Z3113" t="str">
        <f t="shared" si="629"/>
        <v>2022-06</v>
      </c>
    </row>
    <row r="3114" spans="1:26" x14ac:dyDescent="0.35">
      <c r="A3114" s="1">
        <v>44743</v>
      </c>
      <c r="C3114">
        <v>3448.31</v>
      </c>
      <c r="D3114">
        <f t="shared" si="630"/>
        <v>-1.897679461942337E-3</v>
      </c>
      <c r="E3114" t="str">
        <f t="shared" si="624"/>
        <v>2022-07</v>
      </c>
      <c r="G3114">
        <v>5931.06</v>
      </c>
      <c r="H3114">
        <f t="shared" si="631"/>
        <v>1.3835087984341151E-3</v>
      </c>
      <c r="I3114" t="str">
        <f t="shared" si="625"/>
        <v>2022-07</v>
      </c>
      <c r="K3114">
        <v>12813.03</v>
      </c>
      <c r="L3114">
        <f t="shared" si="632"/>
        <v>2.2862242737164747E-3</v>
      </c>
      <c r="M3114" t="str">
        <f t="shared" si="626"/>
        <v>2022-07</v>
      </c>
      <c r="O3114">
        <v>8301.6302500000002</v>
      </c>
      <c r="P3114">
        <f t="shared" si="633"/>
        <v>-3.1473492396067297E-3</v>
      </c>
      <c r="Q3114" t="str">
        <f t="shared" si="627"/>
        <v>2022-07</v>
      </c>
      <c r="S3114">
        <v>8176.1</v>
      </c>
      <c r="T3114">
        <f t="shared" si="634"/>
        <v>9.5117093355966478E-3</v>
      </c>
      <c r="U3114" t="str">
        <f t="shared" si="628"/>
        <v>2022-07</v>
      </c>
      <c r="W3114">
        <v>21354.65</v>
      </c>
      <c r="X3114">
        <f t="shared" si="635"/>
        <v>2.850746305968392E-3</v>
      </c>
      <c r="Y3114">
        <f t="shared" si="636"/>
        <v>2.8548135471915788E-3</v>
      </c>
      <c r="Z3114" t="str">
        <f t="shared" si="629"/>
        <v>2022-07</v>
      </c>
    </row>
    <row r="3115" spans="1:26" x14ac:dyDescent="0.35">
      <c r="A3115" s="1">
        <v>44746</v>
      </c>
      <c r="C3115">
        <v>3452.42</v>
      </c>
      <c r="D3115">
        <f t="shared" si="630"/>
        <v>1.191178465459534E-3</v>
      </c>
      <c r="E3115" t="str">
        <f t="shared" si="624"/>
        <v>2022-07</v>
      </c>
      <c r="G3115">
        <v>5954.65</v>
      </c>
      <c r="H3115">
        <f t="shared" si="631"/>
        <v>3.969477797311727E-3</v>
      </c>
      <c r="I3115" t="str">
        <f t="shared" si="625"/>
        <v>2022-07</v>
      </c>
      <c r="K3115">
        <v>12773.38</v>
      </c>
      <c r="L3115">
        <f t="shared" si="632"/>
        <v>-3.0993040241895941E-3</v>
      </c>
      <c r="M3115" t="str">
        <f t="shared" si="626"/>
        <v>2022-07</v>
      </c>
      <c r="O3115">
        <v>8403.9742999999999</v>
      </c>
      <c r="P3115">
        <f t="shared" si="633"/>
        <v>1.2252813732319054E-2</v>
      </c>
      <c r="Q3115" t="str">
        <f t="shared" si="627"/>
        <v>2022-07</v>
      </c>
      <c r="S3115">
        <v>8161.8</v>
      </c>
      <c r="T3115">
        <f t="shared" si="634"/>
        <v>-1.7505314210144449E-3</v>
      </c>
      <c r="U3115" t="str">
        <f t="shared" si="628"/>
        <v>2022-07</v>
      </c>
      <c r="W3115">
        <v>21343.93</v>
      </c>
      <c r="X3115">
        <f t="shared" si="635"/>
        <v>-5.021244371703345E-4</v>
      </c>
      <c r="Y3115">
        <f t="shared" si="636"/>
        <v>-5.019983937925072E-4</v>
      </c>
      <c r="Z3115" t="str">
        <f t="shared" si="629"/>
        <v>2022-07</v>
      </c>
    </row>
    <row r="3116" spans="1:26" x14ac:dyDescent="0.35">
      <c r="A3116" s="1">
        <v>44747</v>
      </c>
      <c r="C3116">
        <v>3359.83</v>
      </c>
      <c r="D3116">
        <f t="shared" si="630"/>
        <v>-2.7185056961036843E-2</v>
      </c>
      <c r="E3116" t="str">
        <f t="shared" si="624"/>
        <v>2022-07</v>
      </c>
      <c r="G3116">
        <v>5794.96</v>
      </c>
      <c r="H3116">
        <f t="shared" si="631"/>
        <v>-2.7183852674881624E-2</v>
      </c>
      <c r="I3116" t="str">
        <f t="shared" si="625"/>
        <v>2022-07</v>
      </c>
      <c r="K3116">
        <v>12401.2</v>
      </c>
      <c r="L3116">
        <f t="shared" si="632"/>
        <v>-2.9570075750333238E-2</v>
      </c>
      <c r="M3116" t="str">
        <f t="shared" si="626"/>
        <v>2022-07</v>
      </c>
      <c r="O3116">
        <v>8176.8379000000004</v>
      </c>
      <c r="P3116">
        <f t="shared" si="633"/>
        <v>-2.7399213823441491E-2</v>
      </c>
      <c r="Q3116" t="str">
        <f t="shared" si="627"/>
        <v>2022-07</v>
      </c>
      <c r="S3116">
        <v>7959.4</v>
      </c>
      <c r="T3116">
        <f t="shared" si="634"/>
        <v>-2.5111112754412971E-2</v>
      </c>
      <c r="U3116" t="str">
        <f t="shared" si="628"/>
        <v>2022-07</v>
      </c>
      <c r="W3116">
        <v>20705.060000000001</v>
      </c>
      <c r="X3116">
        <f t="shared" si="635"/>
        <v>-3.0389275273547851E-2</v>
      </c>
      <c r="Y3116">
        <f t="shared" si="636"/>
        <v>-2.9932163383219444E-2</v>
      </c>
      <c r="Z3116" t="str">
        <f t="shared" si="629"/>
        <v>2022-07</v>
      </c>
    </row>
    <row r="3117" spans="1:26" x14ac:dyDescent="0.35">
      <c r="A3117" s="1">
        <v>44748</v>
      </c>
      <c r="C3117">
        <v>3421.84</v>
      </c>
      <c r="D3117">
        <f t="shared" si="630"/>
        <v>1.8288040636981917E-2</v>
      </c>
      <c r="E3117" t="str">
        <f t="shared" si="624"/>
        <v>2022-07</v>
      </c>
      <c r="G3117">
        <v>5912.38</v>
      </c>
      <c r="H3117">
        <f t="shared" si="631"/>
        <v>2.0059883363262816E-2</v>
      </c>
      <c r="I3117" t="str">
        <f t="shared" si="625"/>
        <v>2022-07</v>
      </c>
      <c r="K3117">
        <v>12594.52</v>
      </c>
      <c r="L3117">
        <f t="shared" si="632"/>
        <v>1.5468556594881274E-2</v>
      </c>
      <c r="M3117" t="str">
        <f t="shared" si="626"/>
        <v>2022-07</v>
      </c>
      <c r="O3117">
        <v>8320.6952600000004</v>
      </c>
      <c r="P3117">
        <f t="shared" si="633"/>
        <v>1.7440305158561657E-2</v>
      </c>
      <c r="Q3117" t="str">
        <f t="shared" si="627"/>
        <v>2022-07</v>
      </c>
      <c r="S3117">
        <v>7948.6</v>
      </c>
      <c r="T3117">
        <f t="shared" si="634"/>
        <v>-1.3578076011160091E-3</v>
      </c>
      <c r="U3117" t="str">
        <f t="shared" si="628"/>
        <v>2022-07</v>
      </c>
      <c r="W3117">
        <v>20920.990000000002</v>
      </c>
      <c r="X3117">
        <f t="shared" si="635"/>
        <v>1.0374846368680739E-2</v>
      </c>
      <c r="Y3117">
        <f t="shared" si="636"/>
        <v>1.0428851691325708E-2</v>
      </c>
      <c r="Z3117" t="str">
        <f t="shared" si="629"/>
        <v>2022-07</v>
      </c>
    </row>
    <row r="3118" spans="1:26" x14ac:dyDescent="0.35">
      <c r="A3118" s="1">
        <v>44749</v>
      </c>
      <c r="C3118">
        <v>3488.5</v>
      </c>
      <c r="D3118">
        <f t="shared" si="630"/>
        <v>1.9293426303137042E-2</v>
      </c>
      <c r="E3118" t="str">
        <f t="shared" si="624"/>
        <v>2022-07</v>
      </c>
      <c r="G3118">
        <v>6006.7</v>
      </c>
      <c r="H3118">
        <f t="shared" si="631"/>
        <v>1.5827055257253069E-2</v>
      </c>
      <c r="I3118" t="str">
        <f t="shared" si="625"/>
        <v>2022-07</v>
      </c>
      <c r="K3118">
        <v>12843.22</v>
      </c>
      <c r="L3118">
        <f t="shared" si="632"/>
        <v>1.9554246921162578E-2</v>
      </c>
      <c r="M3118" t="str">
        <f t="shared" si="626"/>
        <v>2022-07</v>
      </c>
      <c r="O3118">
        <v>8500.88357</v>
      </c>
      <c r="P3118">
        <f t="shared" si="633"/>
        <v>2.1424291260058379E-2</v>
      </c>
      <c r="Q3118" t="str">
        <f t="shared" si="627"/>
        <v>2022-07</v>
      </c>
      <c r="S3118">
        <v>8122.5</v>
      </c>
      <c r="T3118">
        <f t="shared" si="634"/>
        <v>2.1642176031344888E-2</v>
      </c>
      <c r="U3118" t="str">
        <f t="shared" si="628"/>
        <v>2022-07</v>
      </c>
      <c r="W3118">
        <v>21558.07</v>
      </c>
      <c r="X3118">
        <f t="shared" si="635"/>
        <v>2.9997263195849534E-2</v>
      </c>
      <c r="Y3118">
        <f t="shared" si="636"/>
        <v>3.0451713805130544E-2</v>
      </c>
      <c r="Z3118" t="str">
        <f t="shared" si="629"/>
        <v>2022-07</v>
      </c>
    </row>
    <row r="3119" spans="1:26" x14ac:dyDescent="0.35">
      <c r="A3119" s="1">
        <v>44750</v>
      </c>
      <c r="C3119">
        <v>3506.55</v>
      </c>
      <c r="D3119">
        <f t="shared" si="630"/>
        <v>5.1608037288652514E-3</v>
      </c>
      <c r="E3119" t="str">
        <f t="shared" si="624"/>
        <v>2022-07</v>
      </c>
      <c r="G3119">
        <v>6033.13</v>
      </c>
      <c r="H3119">
        <f t="shared" si="631"/>
        <v>4.3904344920467544E-3</v>
      </c>
      <c r="I3119" t="str">
        <f t="shared" si="625"/>
        <v>2022-07</v>
      </c>
      <c r="K3119">
        <v>13015.23</v>
      </c>
      <c r="L3119">
        <f t="shared" si="632"/>
        <v>1.3304164569137819E-2</v>
      </c>
      <c r="M3119" t="str">
        <f t="shared" si="626"/>
        <v>2022-07</v>
      </c>
      <c r="O3119">
        <v>8507.0924099999993</v>
      </c>
      <c r="P3119">
        <f t="shared" si="633"/>
        <v>7.301092479324421E-4</v>
      </c>
      <c r="Q3119" t="str">
        <f t="shared" si="627"/>
        <v>2022-07</v>
      </c>
      <c r="S3119">
        <v>8100.3</v>
      </c>
      <c r="T3119">
        <f t="shared" si="634"/>
        <v>-2.7368905315423241E-3</v>
      </c>
      <c r="U3119" t="str">
        <f t="shared" si="628"/>
        <v>2022-07</v>
      </c>
      <c r="W3119">
        <v>21774.18</v>
      </c>
      <c r="X3119">
        <f t="shared" si="635"/>
        <v>9.9746397563451571E-3</v>
      </c>
      <c r="Y3119">
        <f t="shared" si="636"/>
        <v>1.0024552290627157E-2</v>
      </c>
      <c r="Z3119" t="str">
        <f t="shared" si="629"/>
        <v>2022-07</v>
      </c>
    </row>
    <row r="3120" spans="1:26" x14ac:dyDescent="0.35">
      <c r="A3120" s="1">
        <v>44753</v>
      </c>
      <c r="C3120">
        <v>3471.69</v>
      </c>
      <c r="D3120">
        <f t="shared" si="630"/>
        <v>-9.9911410284081806E-3</v>
      </c>
      <c r="E3120" t="str">
        <f t="shared" si="624"/>
        <v>2022-07</v>
      </c>
      <c r="G3120">
        <v>5996.3</v>
      </c>
      <c r="H3120">
        <f t="shared" si="631"/>
        <v>-6.1233350340031316E-3</v>
      </c>
      <c r="I3120" t="str">
        <f t="shared" si="625"/>
        <v>2022-07</v>
      </c>
      <c r="K3120">
        <v>12832.44</v>
      </c>
      <c r="L3120">
        <f t="shared" si="632"/>
        <v>-1.4143870394298111E-2</v>
      </c>
      <c r="M3120" t="str">
        <f t="shared" si="626"/>
        <v>2022-07</v>
      </c>
      <c r="O3120">
        <v>8498.0401000000002</v>
      </c>
      <c r="P3120">
        <f t="shared" si="633"/>
        <v>-1.0646563147610993E-3</v>
      </c>
      <c r="Q3120" t="str">
        <f t="shared" si="627"/>
        <v>2022-07</v>
      </c>
      <c r="S3120">
        <v>8065.2</v>
      </c>
      <c r="T3120">
        <f t="shared" si="634"/>
        <v>-4.3425882477925934E-3</v>
      </c>
      <c r="U3120" t="str">
        <f t="shared" si="628"/>
        <v>2022-07</v>
      </c>
      <c r="W3120">
        <v>21567.7</v>
      </c>
      <c r="X3120">
        <f t="shared" si="635"/>
        <v>-9.5280390273580814E-3</v>
      </c>
      <c r="Y3120">
        <f t="shared" si="636"/>
        <v>-9.4827910855885076E-3</v>
      </c>
      <c r="Z3120" t="str">
        <f t="shared" si="629"/>
        <v>2022-07</v>
      </c>
    </row>
    <row r="3121" spans="1:26" x14ac:dyDescent="0.35">
      <c r="A3121" s="1">
        <v>44754</v>
      </c>
      <c r="C3121">
        <v>3487.05</v>
      </c>
      <c r="D3121">
        <f t="shared" si="630"/>
        <v>4.4145994664301262E-3</v>
      </c>
      <c r="E3121" t="str">
        <f t="shared" si="624"/>
        <v>2022-07</v>
      </c>
      <c r="G3121">
        <v>6044.2</v>
      </c>
      <c r="H3121">
        <f t="shared" si="631"/>
        <v>7.9565221871453241E-3</v>
      </c>
      <c r="I3121" t="str">
        <f t="shared" si="625"/>
        <v>2022-07</v>
      </c>
      <c r="K3121">
        <v>12905.48</v>
      </c>
      <c r="L3121">
        <f t="shared" si="632"/>
        <v>5.6756875514648924E-3</v>
      </c>
      <c r="M3121" t="str">
        <f t="shared" si="626"/>
        <v>2022-07</v>
      </c>
      <c r="O3121">
        <v>8534.7487999999994</v>
      </c>
      <c r="P3121">
        <f t="shared" si="633"/>
        <v>4.3103636228290247E-3</v>
      </c>
      <c r="Q3121" t="str">
        <f t="shared" si="627"/>
        <v>2022-07</v>
      </c>
      <c r="S3121">
        <v>8014.8</v>
      </c>
      <c r="T3121">
        <f t="shared" si="634"/>
        <v>-6.2686772443298041E-3</v>
      </c>
      <c r="U3121" t="str">
        <f t="shared" si="628"/>
        <v>2022-07</v>
      </c>
      <c r="W3121">
        <v>21485.7</v>
      </c>
      <c r="X3121">
        <f t="shared" si="635"/>
        <v>-3.8092275710215214E-3</v>
      </c>
      <c r="Y3121">
        <f t="shared" si="636"/>
        <v>-3.8019816670298639E-3</v>
      </c>
      <c r="Z3121" t="str">
        <f t="shared" si="629"/>
        <v>2022-07</v>
      </c>
    </row>
    <row r="3122" spans="1:26" x14ac:dyDescent="0.35">
      <c r="A3122" s="1">
        <v>44755</v>
      </c>
      <c r="C3122">
        <v>3453.97</v>
      </c>
      <c r="D3122">
        <f t="shared" si="630"/>
        <v>-9.5318124592086648E-3</v>
      </c>
      <c r="E3122" t="str">
        <f t="shared" si="624"/>
        <v>2022-07</v>
      </c>
      <c r="G3122">
        <v>6000.24</v>
      </c>
      <c r="H3122">
        <f t="shared" si="631"/>
        <v>-7.2996661033642336E-3</v>
      </c>
      <c r="I3122" t="str">
        <f t="shared" si="625"/>
        <v>2022-07</v>
      </c>
      <c r="K3122">
        <v>12756.32</v>
      </c>
      <c r="L3122">
        <f t="shared" si="632"/>
        <v>-1.1625192297481733E-2</v>
      </c>
      <c r="M3122" t="str">
        <f t="shared" si="626"/>
        <v>2022-07</v>
      </c>
      <c r="O3122">
        <v>8462.4323700000004</v>
      </c>
      <c r="P3122">
        <f t="shared" si="633"/>
        <v>-8.5092775834237008E-3</v>
      </c>
      <c r="Q3122" t="str">
        <f t="shared" si="627"/>
        <v>2022-07</v>
      </c>
      <c r="S3122">
        <v>7944.9</v>
      </c>
      <c r="T3122">
        <f t="shared" si="634"/>
        <v>-8.75961916039566E-3</v>
      </c>
      <c r="U3122" t="str">
        <f t="shared" si="628"/>
        <v>2022-07</v>
      </c>
      <c r="W3122">
        <v>21286.33</v>
      </c>
      <c r="X3122">
        <f t="shared" si="635"/>
        <v>-9.3225149202992835E-3</v>
      </c>
      <c r="Y3122">
        <f t="shared" si="636"/>
        <v>-9.2791949994647134E-3</v>
      </c>
      <c r="Z3122" t="str">
        <f t="shared" si="629"/>
        <v>2022-07</v>
      </c>
    </row>
    <row r="3123" spans="1:26" x14ac:dyDescent="0.35">
      <c r="A3123" s="1">
        <v>44756</v>
      </c>
      <c r="C3123">
        <v>3396.61</v>
      </c>
      <c r="D3123">
        <f t="shared" si="630"/>
        <v>-1.6746418700043498E-2</v>
      </c>
      <c r="E3123" t="str">
        <f t="shared" si="624"/>
        <v>2022-07</v>
      </c>
      <c r="G3123">
        <v>5915.41</v>
      </c>
      <c r="H3123">
        <f t="shared" si="631"/>
        <v>-1.4238658099836122E-2</v>
      </c>
      <c r="I3123" t="str">
        <f t="shared" si="625"/>
        <v>2022-07</v>
      </c>
      <c r="K3123">
        <v>12519.66</v>
      </c>
      <c r="L3123">
        <f t="shared" si="632"/>
        <v>-1.8726626313400049E-2</v>
      </c>
      <c r="M3123" t="str">
        <f t="shared" si="626"/>
        <v>2022-07</v>
      </c>
      <c r="O3123">
        <v>8300.3665099999998</v>
      </c>
      <c r="P3123">
        <f t="shared" si="633"/>
        <v>-1.9336974819297498E-2</v>
      </c>
      <c r="Q3123" t="str">
        <f t="shared" si="627"/>
        <v>2022-07</v>
      </c>
      <c r="S3123">
        <v>7804.3</v>
      </c>
      <c r="T3123">
        <f t="shared" si="634"/>
        <v>-1.7855349530355776E-2</v>
      </c>
      <c r="U3123" t="str">
        <f t="shared" si="628"/>
        <v>2022-07</v>
      </c>
      <c r="W3123">
        <v>20554.330000000002</v>
      </c>
      <c r="X3123">
        <f t="shared" si="635"/>
        <v>-3.4993458303244532E-2</v>
      </c>
      <c r="Y3123">
        <f t="shared" si="636"/>
        <v>-3.4388267023953867E-2</v>
      </c>
      <c r="Z3123" t="str">
        <f t="shared" si="629"/>
        <v>2022-07</v>
      </c>
    </row>
    <row r="3124" spans="1:26" x14ac:dyDescent="0.35">
      <c r="A3124" s="1">
        <v>44757</v>
      </c>
      <c r="C3124">
        <v>3477.2</v>
      </c>
      <c r="D3124">
        <f t="shared" si="630"/>
        <v>2.344949681798273E-2</v>
      </c>
      <c r="E3124" t="str">
        <f t="shared" si="624"/>
        <v>2022-07</v>
      </c>
      <c r="G3124">
        <v>6036</v>
      </c>
      <c r="H3124">
        <f t="shared" si="631"/>
        <v>2.0180730577362197E-2</v>
      </c>
      <c r="I3124" t="str">
        <f t="shared" si="625"/>
        <v>2022-07</v>
      </c>
      <c r="K3124">
        <v>12864.72</v>
      </c>
      <c r="L3124">
        <f t="shared" si="632"/>
        <v>2.718847226590785E-2</v>
      </c>
      <c r="M3124" t="str">
        <f t="shared" si="626"/>
        <v>2022-07</v>
      </c>
      <c r="O3124">
        <v>8418.8139599999995</v>
      </c>
      <c r="P3124">
        <f t="shared" si="633"/>
        <v>1.4169286816122525E-2</v>
      </c>
      <c r="Q3124" t="str">
        <f t="shared" si="627"/>
        <v>2022-07</v>
      </c>
      <c r="S3124">
        <v>7945.9</v>
      </c>
      <c r="T3124">
        <f t="shared" si="634"/>
        <v>1.7981208518112284E-2</v>
      </c>
      <c r="U3124" t="str">
        <f t="shared" si="628"/>
        <v>2022-07</v>
      </c>
      <c r="W3124">
        <v>20933.259999999998</v>
      </c>
      <c r="X3124">
        <f t="shared" si="635"/>
        <v>1.8267657272149292E-2</v>
      </c>
      <c r="Y3124">
        <f t="shared" si="636"/>
        <v>1.8435531588721046E-2</v>
      </c>
      <c r="Z3124" t="str">
        <f t="shared" si="629"/>
        <v>2022-07</v>
      </c>
    </row>
    <row r="3125" spans="1:26" x14ac:dyDescent="0.35">
      <c r="A3125" s="1">
        <v>44760</v>
      </c>
      <c r="C3125">
        <v>3511.86</v>
      </c>
      <c r="D3125">
        <f t="shared" si="630"/>
        <v>9.9184394297943228E-3</v>
      </c>
      <c r="E3125" t="str">
        <f t="shared" si="624"/>
        <v>2022-07</v>
      </c>
      <c r="G3125">
        <v>6091.91</v>
      </c>
      <c r="H3125">
        <f t="shared" si="631"/>
        <v>9.2201205447762866E-3</v>
      </c>
      <c r="I3125" t="str">
        <f t="shared" si="625"/>
        <v>2022-07</v>
      </c>
      <c r="K3125">
        <v>12959.81</v>
      </c>
      <c r="L3125">
        <f t="shared" si="632"/>
        <v>7.3643493032415084E-3</v>
      </c>
      <c r="M3125" t="str">
        <f t="shared" si="626"/>
        <v>2022-07</v>
      </c>
      <c r="O3125">
        <v>8509.1713899999995</v>
      </c>
      <c r="P3125">
        <f t="shared" si="633"/>
        <v>1.0675610391871008E-2</v>
      </c>
      <c r="Q3125" t="str">
        <f t="shared" si="627"/>
        <v>2022-07</v>
      </c>
      <c r="S3125">
        <v>7963.1</v>
      </c>
      <c r="T3125">
        <f t="shared" si="634"/>
        <v>2.1622989127667398E-3</v>
      </c>
      <c r="U3125" t="str">
        <f t="shared" si="628"/>
        <v>2022-07</v>
      </c>
      <c r="W3125">
        <v>21169.119999999999</v>
      </c>
      <c r="X3125">
        <f t="shared" si="635"/>
        <v>1.1204234410628683E-2</v>
      </c>
      <c r="Y3125">
        <f t="shared" si="636"/>
        <v>1.1267236923441479E-2</v>
      </c>
      <c r="Z3125" t="str">
        <f t="shared" si="629"/>
        <v>2022-07</v>
      </c>
    </row>
    <row r="3126" spans="1:26" x14ac:dyDescent="0.35">
      <c r="A3126" s="1">
        <v>44761</v>
      </c>
      <c r="C3126">
        <v>3587.44</v>
      </c>
      <c r="D3126">
        <f t="shared" si="630"/>
        <v>2.1293044554637031E-2</v>
      </c>
      <c r="E3126" t="str">
        <f t="shared" si="624"/>
        <v>2022-07</v>
      </c>
      <c r="G3126">
        <v>6201.22</v>
      </c>
      <c r="H3126">
        <f t="shared" si="631"/>
        <v>1.7784385436713339E-2</v>
      </c>
      <c r="I3126" t="str">
        <f t="shared" si="625"/>
        <v>2022-07</v>
      </c>
      <c r="K3126">
        <v>13308.41</v>
      </c>
      <c r="L3126">
        <f t="shared" si="632"/>
        <v>2.65431358950406E-2</v>
      </c>
      <c r="M3126" t="str">
        <f t="shared" si="626"/>
        <v>2022-07</v>
      </c>
      <c r="O3126">
        <v>8555.1928800000005</v>
      </c>
      <c r="P3126">
        <f t="shared" si="633"/>
        <v>5.3938841026622232E-3</v>
      </c>
      <c r="Q3126" t="str">
        <f t="shared" si="627"/>
        <v>2022-07</v>
      </c>
      <c r="S3126">
        <v>8125.1</v>
      </c>
      <c r="T3126">
        <f t="shared" si="634"/>
        <v>2.0139664554788841E-2</v>
      </c>
      <c r="U3126" t="str">
        <f t="shared" si="628"/>
        <v>2022-07</v>
      </c>
      <c r="W3126">
        <v>21696.2</v>
      </c>
      <c r="X3126">
        <f t="shared" si="635"/>
        <v>2.4593613978760039E-2</v>
      </c>
      <c r="Y3126">
        <f t="shared" si="636"/>
        <v>2.4898531445804159E-2</v>
      </c>
      <c r="Z3126" t="str">
        <f t="shared" si="629"/>
        <v>2022-07</v>
      </c>
    </row>
    <row r="3127" spans="1:26" x14ac:dyDescent="0.35">
      <c r="A3127" s="1">
        <v>44762</v>
      </c>
      <c r="C3127">
        <v>3585.24</v>
      </c>
      <c r="D3127">
        <f t="shared" si="630"/>
        <v>-6.1343878968252543E-4</v>
      </c>
      <c r="E3127" t="str">
        <f t="shared" si="624"/>
        <v>2022-07</v>
      </c>
      <c r="G3127">
        <v>6184.66</v>
      </c>
      <c r="H3127">
        <f t="shared" si="631"/>
        <v>-2.6740142593800879E-3</v>
      </c>
      <c r="I3127" t="str">
        <f t="shared" si="625"/>
        <v>2022-07</v>
      </c>
      <c r="K3127">
        <v>13281.98</v>
      </c>
      <c r="L3127">
        <f t="shared" si="632"/>
        <v>-1.987936897807345E-3</v>
      </c>
      <c r="M3127" t="str">
        <f t="shared" si="626"/>
        <v>2022-07</v>
      </c>
      <c r="O3127">
        <v>8533.8356700000004</v>
      </c>
      <c r="P3127">
        <f t="shared" si="633"/>
        <v>-2.4995243067006379E-3</v>
      </c>
      <c r="Q3127" t="str">
        <f t="shared" si="627"/>
        <v>2022-07</v>
      </c>
      <c r="S3127">
        <v>8028.9</v>
      </c>
      <c r="T3127">
        <f t="shared" si="634"/>
        <v>-1.1910503558549871E-2</v>
      </c>
      <c r="U3127" t="str">
        <f t="shared" si="628"/>
        <v>2022-07</v>
      </c>
      <c r="W3127">
        <v>21348.42</v>
      </c>
      <c r="X3127">
        <f t="shared" si="635"/>
        <v>-1.6159397752271432E-2</v>
      </c>
      <c r="Y3127">
        <f t="shared" si="636"/>
        <v>-1.6029535125966873E-2</v>
      </c>
      <c r="Z3127" t="str">
        <f t="shared" si="629"/>
        <v>2022-07</v>
      </c>
    </row>
    <row r="3128" spans="1:26" x14ac:dyDescent="0.35">
      <c r="A3128" s="1">
        <v>44763</v>
      </c>
      <c r="C3128">
        <v>3596.51</v>
      </c>
      <c r="D3128">
        <f t="shared" si="630"/>
        <v>3.1385133849105239E-3</v>
      </c>
      <c r="E3128" t="str">
        <f t="shared" si="624"/>
        <v>2022-07</v>
      </c>
      <c r="G3128">
        <v>6201.11</v>
      </c>
      <c r="H3128">
        <f t="shared" si="631"/>
        <v>2.6562756570362753E-3</v>
      </c>
      <c r="I3128" t="str">
        <f t="shared" si="625"/>
        <v>2022-07</v>
      </c>
      <c r="K3128">
        <v>13246.64</v>
      </c>
      <c r="L3128">
        <f t="shared" si="632"/>
        <v>-2.6642939515865273E-3</v>
      </c>
      <c r="M3128" t="str">
        <f t="shared" si="626"/>
        <v>2022-07</v>
      </c>
      <c r="O3128">
        <v>8534.3876999999993</v>
      </c>
      <c r="P3128">
        <f t="shared" si="633"/>
        <v>6.4685115518325206E-5</v>
      </c>
      <c r="Q3128" t="str">
        <f t="shared" si="627"/>
        <v>2022-07</v>
      </c>
      <c r="S3128">
        <v>8012.7</v>
      </c>
      <c r="T3128">
        <f t="shared" si="634"/>
        <v>-2.0197493401122105E-3</v>
      </c>
      <c r="U3128" t="str">
        <f t="shared" si="628"/>
        <v>2022-07</v>
      </c>
      <c r="W3128">
        <v>21196.59</v>
      </c>
      <c r="X3128">
        <f t="shared" si="635"/>
        <v>-7.1374125685448606E-3</v>
      </c>
      <c r="Y3128">
        <f t="shared" si="636"/>
        <v>-7.1120017312755754E-3</v>
      </c>
      <c r="Z3128" t="str">
        <f t="shared" si="629"/>
        <v>2022-07</v>
      </c>
    </row>
    <row r="3129" spans="1:26" x14ac:dyDescent="0.35">
      <c r="A3129" s="1">
        <v>44764</v>
      </c>
      <c r="C3129">
        <v>3596.49</v>
      </c>
      <c r="D3129">
        <f t="shared" si="630"/>
        <v>-5.56096204655829E-6</v>
      </c>
      <c r="E3129" t="str">
        <f t="shared" si="624"/>
        <v>2022-07</v>
      </c>
      <c r="G3129">
        <v>6216.82</v>
      </c>
      <c r="H3129">
        <f t="shared" si="631"/>
        <v>2.5302137121500979E-3</v>
      </c>
      <c r="I3129" t="str">
        <f t="shared" si="625"/>
        <v>2022-07</v>
      </c>
      <c r="K3129">
        <v>13253.68</v>
      </c>
      <c r="L3129">
        <f t="shared" si="632"/>
        <v>5.3131435134465277E-4</v>
      </c>
      <c r="M3129" t="str">
        <f t="shared" si="626"/>
        <v>2022-07</v>
      </c>
      <c r="O3129">
        <v>8549.3080699999991</v>
      </c>
      <c r="P3129">
        <f t="shared" si="633"/>
        <v>1.7467384100602632E-3</v>
      </c>
      <c r="Q3129" t="str">
        <f t="shared" si="627"/>
        <v>2022-07</v>
      </c>
      <c r="S3129">
        <v>8051.6</v>
      </c>
      <c r="T3129">
        <f t="shared" si="634"/>
        <v>4.8430465110318273E-3</v>
      </c>
      <c r="U3129" t="str">
        <f t="shared" si="628"/>
        <v>2022-07</v>
      </c>
      <c r="W3129">
        <v>21211.98</v>
      </c>
      <c r="X3129">
        <f t="shared" si="635"/>
        <v>7.2579672814230092E-4</v>
      </c>
      <c r="Y3129">
        <f t="shared" si="636"/>
        <v>7.2606018232175161E-4</v>
      </c>
      <c r="Z3129" t="str">
        <f t="shared" si="629"/>
        <v>2022-07</v>
      </c>
    </row>
    <row r="3130" spans="1:26" x14ac:dyDescent="0.35">
      <c r="A3130" s="1">
        <v>44767</v>
      </c>
      <c r="C3130">
        <v>3604.16</v>
      </c>
      <c r="D3130">
        <f t="shared" si="630"/>
        <v>2.1303640368095784E-3</v>
      </c>
      <c r="E3130" t="str">
        <f t="shared" si="624"/>
        <v>2022-07</v>
      </c>
      <c r="G3130">
        <v>6237.55</v>
      </c>
      <c r="H3130">
        <f t="shared" si="631"/>
        <v>3.328955080674652E-3</v>
      </c>
      <c r="I3130" t="str">
        <f t="shared" si="625"/>
        <v>2022-07</v>
      </c>
      <c r="K3130">
        <v>13210.32</v>
      </c>
      <c r="L3130">
        <f t="shared" si="632"/>
        <v>-3.2769074063186934E-3</v>
      </c>
      <c r="M3130" t="str">
        <f t="shared" si="626"/>
        <v>2022-07</v>
      </c>
      <c r="O3130">
        <v>8614.4429400000008</v>
      </c>
      <c r="P3130">
        <f t="shared" si="633"/>
        <v>7.5898540640759677E-3</v>
      </c>
      <c r="Q3130" t="str">
        <f t="shared" si="627"/>
        <v>2022-07</v>
      </c>
      <c r="S3130">
        <v>8085.6</v>
      </c>
      <c r="T3130">
        <f t="shared" si="634"/>
        <v>4.2138723335761203E-3</v>
      </c>
      <c r="U3130" t="str">
        <f t="shared" si="628"/>
        <v>2022-07</v>
      </c>
      <c r="W3130">
        <v>21382.71</v>
      </c>
      <c r="X3130">
        <f t="shared" si="635"/>
        <v>8.0165351280625571E-3</v>
      </c>
      <c r="Y3130">
        <f t="shared" si="636"/>
        <v>8.0487535817023951E-3</v>
      </c>
      <c r="Z3130" t="str">
        <f t="shared" si="629"/>
        <v>2022-07</v>
      </c>
    </row>
    <row r="3131" spans="1:26" x14ac:dyDescent="0.35">
      <c r="A3131" s="1">
        <v>44768</v>
      </c>
      <c r="C3131">
        <v>3575.36</v>
      </c>
      <c r="D3131">
        <f t="shared" si="630"/>
        <v>-8.0228635003585652E-3</v>
      </c>
      <c r="E3131" t="str">
        <f t="shared" si="624"/>
        <v>2022-07</v>
      </c>
      <c r="G3131">
        <v>6211.45</v>
      </c>
      <c r="H3131">
        <f t="shared" si="631"/>
        <v>-4.1931140238228972E-3</v>
      </c>
      <c r="I3131" t="str">
        <f t="shared" si="625"/>
        <v>2022-07</v>
      </c>
      <c r="K3131">
        <v>13096.93</v>
      </c>
      <c r="L3131">
        <f t="shared" si="632"/>
        <v>-8.6204907159609188E-3</v>
      </c>
      <c r="M3131" t="str">
        <f t="shared" si="626"/>
        <v>2022-07</v>
      </c>
      <c r="O3131">
        <v>8675.6213100000004</v>
      </c>
      <c r="P3131">
        <f t="shared" si="633"/>
        <v>7.0767377649998894E-3</v>
      </c>
      <c r="Q3131" t="str">
        <f t="shared" si="627"/>
        <v>2022-07</v>
      </c>
      <c r="S3131">
        <v>8069.6</v>
      </c>
      <c r="T3131">
        <f t="shared" si="634"/>
        <v>-1.9807870198271437E-3</v>
      </c>
      <c r="U3131" t="str">
        <f t="shared" si="628"/>
        <v>2022-07</v>
      </c>
      <c r="W3131">
        <v>21159.98</v>
      </c>
      <c r="X3131">
        <f t="shared" si="635"/>
        <v>-1.047098972990307E-2</v>
      </c>
      <c r="Y3131">
        <f t="shared" si="636"/>
        <v>-1.0416359759824623E-2</v>
      </c>
      <c r="Z3131" t="str">
        <f t="shared" si="629"/>
        <v>2022-07</v>
      </c>
    </row>
    <row r="3132" spans="1:26" x14ac:dyDescent="0.35">
      <c r="A3132" s="1">
        <v>44769</v>
      </c>
      <c r="C3132">
        <v>3607.78</v>
      </c>
      <c r="D3132">
        <f t="shared" si="630"/>
        <v>9.0267543546970024E-3</v>
      </c>
      <c r="E3132" t="str">
        <f t="shared" si="624"/>
        <v>2022-07</v>
      </c>
      <c r="G3132">
        <v>6257.94</v>
      </c>
      <c r="H3132">
        <f t="shared" si="631"/>
        <v>7.4566944192691505E-3</v>
      </c>
      <c r="I3132" t="str">
        <f t="shared" si="625"/>
        <v>2022-07</v>
      </c>
      <c r="K3132">
        <v>13166.38</v>
      </c>
      <c r="L3132">
        <f t="shared" si="632"/>
        <v>5.2887592525038074E-3</v>
      </c>
      <c r="M3132" t="str">
        <f t="shared" si="626"/>
        <v>2022-07</v>
      </c>
      <c r="O3132">
        <v>8749.4155800000008</v>
      </c>
      <c r="P3132">
        <f t="shared" si="633"/>
        <v>8.4699632642125135E-3</v>
      </c>
      <c r="Q3132" t="str">
        <f t="shared" si="627"/>
        <v>2022-07</v>
      </c>
      <c r="S3132">
        <v>8124.4</v>
      </c>
      <c r="T3132">
        <f t="shared" si="634"/>
        <v>6.7679645767048562E-3</v>
      </c>
      <c r="U3132" t="str">
        <f t="shared" si="628"/>
        <v>2022-07</v>
      </c>
      <c r="W3132">
        <v>21480.7</v>
      </c>
      <c r="X3132">
        <f t="shared" si="635"/>
        <v>1.5043195753980092E-2</v>
      </c>
      <c r="Y3132">
        <f t="shared" si="636"/>
        <v>1.5156914136969939E-2</v>
      </c>
      <c r="Z3132" t="str">
        <f t="shared" si="629"/>
        <v>2022-07</v>
      </c>
    </row>
    <row r="3133" spans="1:26" x14ac:dyDescent="0.35">
      <c r="A3133" s="1">
        <v>44770</v>
      </c>
      <c r="C3133">
        <v>3652.2</v>
      </c>
      <c r="D3133">
        <f t="shared" si="630"/>
        <v>1.2237101014263452E-2</v>
      </c>
      <c r="E3133" t="str">
        <f t="shared" si="624"/>
        <v>2022-07</v>
      </c>
      <c r="G3133">
        <v>6339.21</v>
      </c>
      <c r="H3133">
        <f t="shared" si="631"/>
        <v>1.290309753394942E-2</v>
      </c>
      <c r="I3133" t="str">
        <f t="shared" si="625"/>
        <v>2022-07</v>
      </c>
      <c r="K3133">
        <v>13282.11</v>
      </c>
      <c r="L3133">
        <f t="shared" si="632"/>
        <v>8.7514061194346529E-3</v>
      </c>
      <c r="M3133" t="str">
        <f t="shared" si="626"/>
        <v>2022-07</v>
      </c>
      <c r="O3133">
        <v>8771.2032400000007</v>
      </c>
      <c r="P3133">
        <f t="shared" si="633"/>
        <v>2.4870892352231336E-3</v>
      </c>
      <c r="Q3133" t="str">
        <f t="shared" si="627"/>
        <v>2022-07</v>
      </c>
      <c r="S3133">
        <v>8084.9</v>
      </c>
      <c r="T3133">
        <f t="shared" si="634"/>
        <v>-4.8737549664121475E-3</v>
      </c>
      <c r="U3133" t="str">
        <f t="shared" si="628"/>
        <v>2022-07</v>
      </c>
      <c r="W3133">
        <v>21932.06</v>
      </c>
      <c r="X3133">
        <f t="shared" si="635"/>
        <v>2.0794635702627819E-2</v>
      </c>
      <c r="Y3133">
        <f t="shared" si="636"/>
        <v>2.101235062172092E-2</v>
      </c>
      <c r="Z3133" t="str">
        <f t="shared" si="629"/>
        <v>2022-07</v>
      </c>
    </row>
    <row r="3134" spans="1:26" x14ac:dyDescent="0.35">
      <c r="A3134" s="1">
        <v>44771</v>
      </c>
      <c r="C3134">
        <v>3708.1</v>
      </c>
      <c r="D3134">
        <f t="shared" si="630"/>
        <v>1.5189890310451858E-2</v>
      </c>
      <c r="E3134" t="str">
        <f t="shared" si="624"/>
        <v>2022-07</v>
      </c>
      <c r="G3134">
        <v>6448.5</v>
      </c>
      <c r="H3134">
        <f t="shared" si="631"/>
        <v>1.7093390615340265E-2</v>
      </c>
      <c r="I3134" t="str">
        <f t="shared" si="625"/>
        <v>2022-07</v>
      </c>
      <c r="K3134">
        <v>13484.05</v>
      </c>
      <c r="L3134">
        <f t="shared" si="632"/>
        <v>1.5089488493940853E-2</v>
      </c>
      <c r="M3134" t="str">
        <f t="shared" si="626"/>
        <v>2022-07</v>
      </c>
      <c r="O3134">
        <v>8859.0487099999991</v>
      </c>
      <c r="P3134">
        <f t="shared" si="633"/>
        <v>9.9653932610309776E-3</v>
      </c>
      <c r="Q3134" t="str">
        <f t="shared" si="627"/>
        <v>2022-07</v>
      </c>
      <c r="S3134">
        <v>8156.2</v>
      </c>
      <c r="T3134">
        <f t="shared" si="634"/>
        <v>8.7802498671961399E-3</v>
      </c>
      <c r="U3134" t="str">
        <f t="shared" si="628"/>
        <v>2022-07</v>
      </c>
      <c r="W3134">
        <v>22405.48</v>
      </c>
      <c r="X3134">
        <f t="shared" si="635"/>
        <v>2.1356078531277224E-2</v>
      </c>
      <c r="Y3134">
        <f t="shared" si="636"/>
        <v>2.1585751634821272E-2</v>
      </c>
      <c r="Z3134" t="str">
        <f t="shared" si="629"/>
        <v>2022-07</v>
      </c>
    </row>
    <row r="3135" spans="1:26" x14ac:dyDescent="0.35">
      <c r="A3135" s="1">
        <v>44774</v>
      </c>
      <c r="C3135">
        <v>3706.62</v>
      </c>
      <c r="D3135">
        <f t="shared" si="630"/>
        <v>-3.9920590923332017E-4</v>
      </c>
      <c r="E3135" t="str">
        <f t="shared" si="624"/>
        <v>2022-08</v>
      </c>
      <c r="G3135">
        <v>6436.86</v>
      </c>
      <c r="H3135">
        <f t="shared" si="631"/>
        <v>-1.8067020504273815E-3</v>
      </c>
      <c r="I3135" t="str">
        <f t="shared" si="625"/>
        <v>2022-08</v>
      </c>
      <c r="K3135">
        <v>13479.63</v>
      </c>
      <c r="L3135">
        <f t="shared" si="632"/>
        <v>-3.2784842718724835E-4</v>
      </c>
      <c r="M3135" t="str">
        <f t="shared" si="626"/>
        <v>2022-08</v>
      </c>
      <c r="O3135">
        <v>8858.7266199999995</v>
      </c>
      <c r="P3135">
        <f t="shared" si="633"/>
        <v>-3.6357837712253668E-5</v>
      </c>
      <c r="Q3135" t="str">
        <f t="shared" si="627"/>
        <v>2022-08</v>
      </c>
      <c r="S3135">
        <v>8085.1</v>
      </c>
      <c r="T3135">
        <f t="shared" si="634"/>
        <v>-8.755512699600336E-3</v>
      </c>
      <c r="U3135" t="str">
        <f t="shared" si="628"/>
        <v>2022-08</v>
      </c>
      <c r="W3135">
        <v>22429.47</v>
      </c>
      <c r="X3135">
        <f t="shared" si="635"/>
        <v>1.0701473867809029E-3</v>
      </c>
      <c r="Y3135">
        <f t="shared" si="636"/>
        <v>1.0707201988085773E-3</v>
      </c>
      <c r="Z3135" t="str">
        <f t="shared" si="629"/>
        <v>2022-08</v>
      </c>
    </row>
    <row r="3136" spans="1:26" x14ac:dyDescent="0.35">
      <c r="A3136" s="1">
        <v>44775</v>
      </c>
      <c r="C3136">
        <v>3684.63</v>
      </c>
      <c r="D3136">
        <f t="shared" si="630"/>
        <v>-5.9502966024720435E-3</v>
      </c>
      <c r="E3136" t="str">
        <f t="shared" si="624"/>
        <v>2022-08</v>
      </c>
      <c r="G3136">
        <v>6409.8</v>
      </c>
      <c r="H3136">
        <f t="shared" si="631"/>
        <v>-4.2127743741217647E-3</v>
      </c>
      <c r="I3136" t="str">
        <f t="shared" si="625"/>
        <v>2022-08</v>
      </c>
      <c r="K3136">
        <v>13449.2</v>
      </c>
      <c r="L3136">
        <f t="shared" si="632"/>
        <v>-2.2600323112731014E-3</v>
      </c>
      <c r="M3136" t="str">
        <f t="shared" si="626"/>
        <v>2022-08</v>
      </c>
      <c r="O3136">
        <v>8876.3972099999992</v>
      </c>
      <c r="P3136">
        <f t="shared" si="633"/>
        <v>1.9927231427075663E-3</v>
      </c>
      <c r="Q3136" t="str">
        <f t="shared" si="627"/>
        <v>2022-08</v>
      </c>
      <c r="S3136">
        <v>8096.9</v>
      </c>
      <c r="T3136">
        <f t="shared" si="634"/>
        <v>1.4584108381549628E-3</v>
      </c>
      <c r="U3136" t="str">
        <f t="shared" si="628"/>
        <v>2022-08</v>
      </c>
      <c r="W3136">
        <v>22351.02</v>
      </c>
      <c r="X3136">
        <f t="shared" si="635"/>
        <v>-3.5037615826263558E-3</v>
      </c>
      <c r="Y3136">
        <f t="shared" si="636"/>
        <v>-3.4976305726350521E-3</v>
      </c>
      <c r="Z3136" t="str">
        <f t="shared" si="629"/>
        <v>2022-08</v>
      </c>
    </row>
    <row r="3137" spans="1:26" x14ac:dyDescent="0.35">
      <c r="A3137" s="1">
        <v>44776</v>
      </c>
      <c r="C3137">
        <v>3732.54</v>
      </c>
      <c r="D3137">
        <f t="shared" si="630"/>
        <v>1.291885350707199E-2</v>
      </c>
      <c r="E3137" t="str">
        <f t="shared" si="624"/>
        <v>2022-08</v>
      </c>
      <c r="G3137">
        <v>6472.06</v>
      </c>
      <c r="H3137">
        <f t="shared" si="631"/>
        <v>9.6663812200317376E-3</v>
      </c>
      <c r="I3137" t="str">
        <f t="shared" si="625"/>
        <v>2022-08</v>
      </c>
      <c r="K3137">
        <v>13587.56</v>
      </c>
      <c r="L3137">
        <f t="shared" si="632"/>
        <v>1.0235043535979024E-2</v>
      </c>
      <c r="M3137" t="str">
        <f t="shared" si="626"/>
        <v>2022-08</v>
      </c>
      <c r="O3137">
        <v>8907.6741099999999</v>
      </c>
      <c r="P3137">
        <f t="shared" si="633"/>
        <v>3.5174096734248649E-3</v>
      </c>
      <c r="Q3137" t="str">
        <f t="shared" si="627"/>
        <v>2022-08</v>
      </c>
      <c r="S3137">
        <v>8142.1</v>
      </c>
      <c r="T3137">
        <f t="shared" si="634"/>
        <v>5.5668596254280014E-3</v>
      </c>
      <c r="U3137" t="str">
        <f t="shared" si="628"/>
        <v>2022-08</v>
      </c>
      <c r="W3137">
        <v>22574.9</v>
      </c>
      <c r="X3137">
        <f t="shared" si="635"/>
        <v>9.9667120122821588E-3</v>
      </c>
      <c r="Y3137">
        <f t="shared" si="636"/>
        <v>1.0016545106218912E-2</v>
      </c>
      <c r="Z3137" t="str">
        <f t="shared" si="629"/>
        <v>2022-08</v>
      </c>
    </row>
    <row r="3138" spans="1:26" x14ac:dyDescent="0.35">
      <c r="A3138" s="1">
        <v>44777</v>
      </c>
      <c r="C3138">
        <v>3754.6</v>
      </c>
      <c r="D3138">
        <f t="shared" si="630"/>
        <v>5.8927878565096133E-3</v>
      </c>
      <c r="E3138" t="str">
        <f t="shared" si="624"/>
        <v>2022-08</v>
      </c>
      <c r="G3138">
        <v>6513.39</v>
      </c>
      <c r="H3138">
        <f t="shared" si="631"/>
        <v>6.3656075932440699E-3</v>
      </c>
      <c r="I3138" t="str">
        <f t="shared" si="625"/>
        <v>2022-08</v>
      </c>
      <c r="K3138">
        <v>13662.68</v>
      </c>
      <c r="L3138">
        <f t="shared" si="632"/>
        <v>5.5133599033245538E-3</v>
      </c>
      <c r="M3138" t="str">
        <f t="shared" si="626"/>
        <v>2022-08</v>
      </c>
      <c r="O3138">
        <v>8836.9773100000002</v>
      </c>
      <c r="P3138">
        <f t="shared" si="633"/>
        <v>-7.9682798373181887E-3</v>
      </c>
      <c r="Q3138" t="str">
        <f t="shared" si="627"/>
        <v>2022-08</v>
      </c>
      <c r="S3138">
        <v>8161.1</v>
      </c>
      <c r="T3138">
        <f t="shared" si="634"/>
        <v>2.3308318123922349E-3</v>
      </c>
      <c r="U3138" t="str">
        <f t="shared" si="628"/>
        <v>2022-08</v>
      </c>
      <c r="W3138">
        <v>22645.84</v>
      </c>
      <c r="X3138">
        <f t="shared" si="635"/>
        <v>3.1375009871097885E-3</v>
      </c>
      <c r="Y3138">
        <f t="shared" si="636"/>
        <v>3.1424280949195207E-3</v>
      </c>
      <c r="Z3138" t="str">
        <f t="shared" si="629"/>
        <v>2022-08</v>
      </c>
    </row>
    <row r="3139" spans="1:26" x14ac:dyDescent="0.35">
      <c r="A3139" s="1">
        <v>44778</v>
      </c>
      <c r="C3139">
        <v>3725.39</v>
      </c>
      <c r="D3139">
        <f t="shared" si="630"/>
        <v>-7.8102105704764115E-3</v>
      </c>
      <c r="E3139" t="str">
        <f t="shared" si="624"/>
        <v>2022-08</v>
      </c>
      <c r="G3139">
        <v>6472.35</v>
      </c>
      <c r="H3139">
        <f t="shared" si="631"/>
        <v>-6.3208006070548826E-3</v>
      </c>
      <c r="I3139" t="str">
        <f t="shared" si="625"/>
        <v>2022-08</v>
      </c>
      <c r="K3139">
        <v>13573.93</v>
      </c>
      <c r="L3139">
        <f t="shared" si="632"/>
        <v>-6.5169868136365806E-3</v>
      </c>
      <c r="M3139" t="str">
        <f t="shared" si="626"/>
        <v>2022-08</v>
      </c>
      <c r="O3139">
        <v>8824.2344799999992</v>
      </c>
      <c r="P3139">
        <f t="shared" si="633"/>
        <v>-1.4430303382075038E-3</v>
      </c>
      <c r="Q3139" t="str">
        <f t="shared" si="627"/>
        <v>2022-08</v>
      </c>
      <c r="S3139">
        <v>8168</v>
      </c>
      <c r="T3139">
        <f t="shared" si="634"/>
        <v>8.4511705001237851E-4</v>
      </c>
      <c r="U3139" t="str">
        <f t="shared" si="628"/>
        <v>2022-08</v>
      </c>
      <c r="W3139">
        <v>22586.880000000001</v>
      </c>
      <c r="X3139">
        <f t="shared" si="635"/>
        <v>-2.6069638700608583E-3</v>
      </c>
      <c r="Y3139">
        <f t="shared" si="636"/>
        <v>-2.6035686907617084E-3</v>
      </c>
      <c r="Z3139" t="str">
        <f t="shared" si="629"/>
        <v>2022-08</v>
      </c>
    </row>
    <row r="3140" spans="1:26" x14ac:dyDescent="0.35">
      <c r="A3140" s="1">
        <v>44781</v>
      </c>
      <c r="C3140">
        <v>3757.22</v>
      </c>
      <c r="D3140">
        <f t="shared" si="630"/>
        <v>8.5077778993635968E-3</v>
      </c>
      <c r="E3140" t="str">
        <f t="shared" ref="E3140:E3203" si="637">_xlfn.CONCAT(YEAR(A3140),"-",TEXT(MONTH(A3140),"00"))</f>
        <v>2022-08</v>
      </c>
      <c r="G3140">
        <v>6524.44</v>
      </c>
      <c r="H3140">
        <f t="shared" si="631"/>
        <v>8.0158683669178787E-3</v>
      </c>
      <c r="I3140" t="str">
        <f t="shared" ref="I3140:I3203" si="638">_xlfn.CONCAT(YEAR(A3140),"-",TEXT(MONTH(A3140),"00"))</f>
        <v>2022-08</v>
      </c>
      <c r="K3140">
        <v>13687.69</v>
      </c>
      <c r="L3140">
        <f t="shared" si="632"/>
        <v>8.3458474082813636E-3</v>
      </c>
      <c r="M3140" t="str">
        <f t="shared" ref="M3140:M3203" si="639">_xlfn.CONCAT(YEAR(A3140),"-",TEXT(MONTH(A3140),"00"))</f>
        <v>2022-08</v>
      </c>
      <c r="O3140">
        <v>8862.7483800000009</v>
      </c>
      <c r="P3140">
        <f t="shared" si="633"/>
        <v>4.3550628366513704E-3</v>
      </c>
      <c r="Q3140" t="str">
        <f t="shared" ref="Q3140:Q3203" si="640">_xlfn.CONCAT(YEAR(A3140),"-",TEXT(MONTH(A3140),"00"))</f>
        <v>2022-08</v>
      </c>
      <c r="S3140">
        <v>8272.5</v>
      </c>
      <c r="T3140">
        <f t="shared" si="634"/>
        <v>1.2712679951265812E-2</v>
      </c>
      <c r="U3140" t="str">
        <f t="shared" ref="U3140:U3203" si="641">_xlfn.CONCAT(YEAR(A3140),"-",TEXT(MONTH(A3140),"00"))</f>
        <v>2022-08</v>
      </c>
      <c r="W3140">
        <v>22727.94</v>
      </c>
      <c r="X3140">
        <f t="shared" si="635"/>
        <v>6.2257979014406261E-3</v>
      </c>
      <c r="Y3140">
        <f t="shared" si="636"/>
        <v>6.2452184631076827E-3</v>
      </c>
      <c r="Z3140" t="str">
        <f t="shared" ref="Z3140:Z3203" si="642">_xlfn.CONCAT(YEAR(A3140),"-",TEXT(MONTH(A3140),"00"))</f>
        <v>2022-08</v>
      </c>
    </row>
    <row r="3141" spans="1:26" x14ac:dyDescent="0.35">
      <c r="A3141" s="1">
        <v>44782</v>
      </c>
      <c r="C3141">
        <v>3715.37</v>
      </c>
      <c r="D3141">
        <f t="shared" ref="D3141:D3204" si="643">LN(C3141/C3140)</f>
        <v>-1.1201052795170965E-2</v>
      </c>
      <c r="E3141" t="str">
        <f t="shared" si="637"/>
        <v>2022-08</v>
      </c>
      <c r="G3141">
        <v>6490</v>
      </c>
      <c r="H3141">
        <f t="shared" ref="H3141:H3204" si="644">LN(G3141/G3140)</f>
        <v>-5.2925950548999229E-3</v>
      </c>
      <c r="I3141" t="str">
        <f t="shared" si="638"/>
        <v>2022-08</v>
      </c>
      <c r="K3141">
        <v>13534.97</v>
      </c>
      <c r="L3141">
        <f t="shared" ref="L3141:L3204" si="645">LN(K3141/K3140)</f>
        <v>-1.1220182170909736E-2</v>
      </c>
      <c r="M3141" t="str">
        <f t="shared" si="639"/>
        <v>2022-08</v>
      </c>
      <c r="O3141">
        <v>8854.8949400000001</v>
      </c>
      <c r="P3141">
        <f t="shared" ref="P3141:P3204" si="646">LN(O3141/O3140)</f>
        <v>-8.8651073650085311E-4</v>
      </c>
      <c r="Q3141" t="str">
        <f t="shared" si="640"/>
        <v>2022-08</v>
      </c>
      <c r="S3141">
        <v>8311.9</v>
      </c>
      <c r="T3141">
        <f t="shared" ref="T3141:T3204" si="647">LN(S3141/S3140)</f>
        <v>4.7514621120802666E-3</v>
      </c>
      <c r="U3141" t="str">
        <f t="shared" si="641"/>
        <v>2022-08</v>
      </c>
      <c r="W3141">
        <v>22488.49</v>
      </c>
      <c r="X3141">
        <f t="shared" ref="X3141:X3204" si="648">LN(W3141/W3140)</f>
        <v>-1.059138186724364E-2</v>
      </c>
      <c r="Y3141">
        <f t="shared" ref="Y3141:Y3204" si="649">(W3141-W3140)/W3140</f>
        <v>-1.0535490677993567E-2</v>
      </c>
      <c r="Z3141" t="str">
        <f t="shared" si="642"/>
        <v>2022-08</v>
      </c>
    </row>
    <row r="3142" spans="1:26" x14ac:dyDescent="0.35">
      <c r="A3142" s="1">
        <v>44783</v>
      </c>
      <c r="C3142">
        <v>3749.35</v>
      </c>
      <c r="D3142">
        <f t="shared" si="643"/>
        <v>9.1042221831868081E-3</v>
      </c>
      <c r="E3142" t="str">
        <f t="shared" si="637"/>
        <v>2022-08</v>
      </c>
      <c r="G3142">
        <v>6523.44</v>
      </c>
      <c r="H3142">
        <f t="shared" si="644"/>
        <v>5.1393134486991529E-3</v>
      </c>
      <c r="I3142" t="str">
        <f t="shared" si="638"/>
        <v>2022-08</v>
      </c>
      <c r="K3142">
        <v>13700.93</v>
      </c>
      <c r="L3142">
        <f t="shared" si="645"/>
        <v>1.2187007153792569E-2</v>
      </c>
      <c r="M3142" t="str">
        <f t="shared" si="639"/>
        <v>2022-08</v>
      </c>
      <c r="O3142">
        <v>8905.2865199999997</v>
      </c>
      <c r="P3142">
        <f t="shared" si="646"/>
        <v>5.6746847254260961E-3</v>
      </c>
      <c r="Q3142" t="str">
        <f t="shared" si="640"/>
        <v>2022-08</v>
      </c>
      <c r="S3142">
        <v>8352.7999999999993</v>
      </c>
      <c r="T3142">
        <f t="shared" si="647"/>
        <v>4.9085890680528616E-3</v>
      </c>
      <c r="U3142" t="str">
        <f t="shared" si="641"/>
        <v>2022-08</v>
      </c>
      <c r="W3142">
        <v>22702.44</v>
      </c>
      <c r="X3142">
        <f t="shared" si="648"/>
        <v>9.4687849319780287E-3</v>
      </c>
      <c r="Y3142">
        <f t="shared" si="649"/>
        <v>9.5137557034730685E-3</v>
      </c>
      <c r="Z3142" t="str">
        <f t="shared" si="642"/>
        <v>2022-08</v>
      </c>
    </row>
    <row r="3143" spans="1:26" x14ac:dyDescent="0.35">
      <c r="A3143" s="1">
        <v>44784</v>
      </c>
      <c r="C3143">
        <v>3757.05</v>
      </c>
      <c r="D3143">
        <f t="shared" si="643"/>
        <v>2.0515833690641109E-3</v>
      </c>
      <c r="E3143" t="str">
        <f t="shared" si="637"/>
        <v>2022-08</v>
      </c>
      <c r="G3143">
        <v>6544.67</v>
      </c>
      <c r="H3143">
        <f t="shared" si="644"/>
        <v>3.2491337579589074E-3</v>
      </c>
      <c r="I3143" t="str">
        <f t="shared" si="638"/>
        <v>2022-08</v>
      </c>
      <c r="K3143">
        <v>13694.51</v>
      </c>
      <c r="L3143">
        <f t="shared" si="645"/>
        <v>-4.6869114841912056E-4</v>
      </c>
      <c r="M3143" t="str">
        <f t="shared" si="639"/>
        <v>2022-08</v>
      </c>
      <c r="O3143">
        <v>8834.7806199999995</v>
      </c>
      <c r="P3143">
        <f t="shared" si="646"/>
        <v>-7.94881672977003E-3</v>
      </c>
      <c r="Q3143" t="str">
        <f t="shared" si="640"/>
        <v>2022-08</v>
      </c>
      <c r="S3143">
        <v>8380</v>
      </c>
      <c r="T3143">
        <f t="shared" si="647"/>
        <v>3.2511025002281242E-3</v>
      </c>
      <c r="U3143" t="str">
        <f t="shared" si="641"/>
        <v>2022-08</v>
      </c>
      <c r="W3143">
        <v>22858.18</v>
      </c>
      <c r="X3143">
        <f t="shared" si="648"/>
        <v>6.8366324514856349E-3</v>
      </c>
      <c r="Y3143">
        <f t="shared" si="649"/>
        <v>6.8600555711192989E-3</v>
      </c>
      <c r="Z3143" t="str">
        <f t="shared" si="642"/>
        <v>2022-08</v>
      </c>
    </row>
    <row r="3144" spans="1:26" x14ac:dyDescent="0.35">
      <c r="A3144" s="1">
        <v>44785</v>
      </c>
      <c r="C3144">
        <v>3776.81</v>
      </c>
      <c r="D3144">
        <f t="shared" si="643"/>
        <v>5.245662996464704E-3</v>
      </c>
      <c r="E3144" t="str">
        <f t="shared" si="637"/>
        <v>2022-08</v>
      </c>
      <c r="G3144">
        <v>6553.86</v>
      </c>
      <c r="H3144">
        <f t="shared" si="644"/>
        <v>1.4032111249011609E-3</v>
      </c>
      <c r="I3144" t="str">
        <f t="shared" si="638"/>
        <v>2022-08</v>
      </c>
      <c r="K3144">
        <v>13795.85</v>
      </c>
      <c r="L3144">
        <f t="shared" si="645"/>
        <v>7.3727997053785847E-3</v>
      </c>
      <c r="M3144" t="str">
        <f t="shared" si="639"/>
        <v>2022-08</v>
      </c>
      <c r="O3144">
        <v>8869.8737299999993</v>
      </c>
      <c r="P3144">
        <f t="shared" si="646"/>
        <v>3.9642859177293766E-3</v>
      </c>
      <c r="Q3144" t="str">
        <f t="shared" si="640"/>
        <v>2022-08</v>
      </c>
      <c r="S3144">
        <v>8400.4</v>
      </c>
      <c r="T3144">
        <f t="shared" si="647"/>
        <v>2.4314092691442991E-3</v>
      </c>
      <c r="U3144" t="str">
        <f t="shared" si="641"/>
        <v>2022-08</v>
      </c>
      <c r="W3144">
        <v>22970.73</v>
      </c>
      <c r="X3144">
        <f t="shared" si="648"/>
        <v>4.9117566302850418E-3</v>
      </c>
      <c r="Y3144">
        <f t="shared" si="649"/>
        <v>4.9238390808016771E-3</v>
      </c>
      <c r="Z3144" t="str">
        <f t="shared" si="642"/>
        <v>2022-08</v>
      </c>
    </row>
    <row r="3145" spans="1:26" x14ac:dyDescent="0.35">
      <c r="A3145" s="1">
        <v>44789</v>
      </c>
      <c r="C3145">
        <v>3805.22</v>
      </c>
      <c r="D3145">
        <f t="shared" si="643"/>
        <v>7.4940703113165171E-3</v>
      </c>
      <c r="E3145" t="str">
        <f t="shared" si="637"/>
        <v>2022-08</v>
      </c>
      <c r="G3145">
        <v>6592.58</v>
      </c>
      <c r="H3145">
        <f t="shared" si="644"/>
        <v>5.8905851260144422E-3</v>
      </c>
      <c r="I3145" t="str">
        <f t="shared" si="638"/>
        <v>2022-08</v>
      </c>
      <c r="K3145">
        <v>13910.12</v>
      </c>
      <c r="L3145">
        <f t="shared" si="645"/>
        <v>8.2488104865151794E-3</v>
      </c>
      <c r="M3145" t="str">
        <f t="shared" si="639"/>
        <v>2022-08</v>
      </c>
      <c r="O3145">
        <v>8956.3915899999993</v>
      </c>
      <c r="P3145">
        <f t="shared" si="646"/>
        <v>9.706860946803942E-3</v>
      </c>
      <c r="Q3145" t="str">
        <f t="shared" si="640"/>
        <v>2022-08</v>
      </c>
      <c r="S3145">
        <v>8511.9</v>
      </c>
      <c r="T3145">
        <f t="shared" si="647"/>
        <v>1.3185860646842061E-2</v>
      </c>
      <c r="U3145" t="str">
        <f t="shared" si="641"/>
        <v>2022-08</v>
      </c>
      <c r="W3145">
        <v>22997.83</v>
      </c>
      <c r="X3145">
        <f t="shared" si="648"/>
        <v>1.1790668726422342E-3</v>
      </c>
      <c r="Y3145">
        <f t="shared" si="649"/>
        <v>1.1797622452574289E-3</v>
      </c>
      <c r="Z3145" t="str">
        <f t="shared" si="642"/>
        <v>2022-08</v>
      </c>
    </row>
    <row r="3146" spans="1:26" x14ac:dyDescent="0.35">
      <c r="A3146" s="1">
        <v>44790</v>
      </c>
      <c r="C3146">
        <v>3756.06</v>
      </c>
      <c r="D3146">
        <f t="shared" si="643"/>
        <v>-1.3003272642552148E-2</v>
      </c>
      <c r="E3146" t="str">
        <f t="shared" si="637"/>
        <v>2022-08</v>
      </c>
      <c r="G3146">
        <v>6528.32</v>
      </c>
      <c r="H3146">
        <f t="shared" si="644"/>
        <v>-9.7951381053449828E-3</v>
      </c>
      <c r="I3146" t="str">
        <f t="shared" si="638"/>
        <v>2022-08</v>
      </c>
      <c r="K3146">
        <v>13626.71</v>
      </c>
      <c r="L3146">
        <f t="shared" si="645"/>
        <v>-2.0584795523849963E-2</v>
      </c>
      <c r="M3146" t="str">
        <f t="shared" si="639"/>
        <v>2022-08</v>
      </c>
      <c r="O3146">
        <v>8902.0787</v>
      </c>
      <c r="P3146">
        <f t="shared" si="646"/>
        <v>-6.0826102767234406E-3</v>
      </c>
      <c r="Q3146" t="str">
        <f t="shared" si="640"/>
        <v>2022-08</v>
      </c>
      <c r="S3146">
        <v>8434.7999999999993</v>
      </c>
      <c r="T3146">
        <f t="shared" si="647"/>
        <v>-9.0991794222552193E-3</v>
      </c>
      <c r="U3146" t="str">
        <f t="shared" si="641"/>
        <v>2022-08</v>
      </c>
      <c r="W3146">
        <v>22757.81</v>
      </c>
      <c r="X3146">
        <f t="shared" si="648"/>
        <v>-1.049148046460107E-2</v>
      </c>
      <c r="Y3146">
        <f t="shared" si="649"/>
        <v>-1.0436636847911322E-2</v>
      </c>
      <c r="Z3146" t="str">
        <f t="shared" si="642"/>
        <v>2022-08</v>
      </c>
    </row>
    <row r="3147" spans="1:26" x14ac:dyDescent="0.35">
      <c r="A3147" s="1">
        <v>44791</v>
      </c>
      <c r="C3147">
        <v>3777.38</v>
      </c>
      <c r="D3147">
        <f t="shared" si="643"/>
        <v>5.6601119591591729E-3</v>
      </c>
      <c r="E3147" t="str">
        <f t="shared" si="637"/>
        <v>2022-08</v>
      </c>
      <c r="G3147">
        <v>6557.4</v>
      </c>
      <c r="H3147">
        <f t="shared" si="644"/>
        <v>4.444546860318325E-3</v>
      </c>
      <c r="I3147" t="str">
        <f t="shared" si="638"/>
        <v>2022-08</v>
      </c>
      <c r="K3147">
        <v>13697.41</v>
      </c>
      <c r="L3147">
        <f t="shared" si="645"/>
        <v>5.1749266053559536E-3</v>
      </c>
      <c r="M3147" t="str">
        <f t="shared" si="639"/>
        <v>2022-08</v>
      </c>
      <c r="O3147">
        <v>8922.4046999999991</v>
      </c>
      <c r="P3147">
        <f t="shared" si="646"/>
        <v>2.2806841976139827E-3</v>
      </c>
      <c r="Q3147" t="str">
        <f t="shared" si="640"/>
        <v>2022-08</v>
      </c>
      <c r="S3147">
        <v>8430.2999999999993</v>
      </c>
      <c r="T3147">
        <f t="shared" si="647"/>
        <v>-5.3364641855571085E-4</v>
      </c>
      <c r="U3147" t="str">
        <f t="shared" si="641"/>
        <v>2022-08</v>
      </c>
      <c r="W3147">
        <v>22985.7</v>
      </c>
      <c r="X3147">
        <f t="shared" si="648"/>
        <v>9.9639002513657367E-3</v>
      </c>
      <c r="Y3147">
        <f t="shared" si="649"/>
        <v>1.0013705185164978E-2</v>
      </c>
      <c r="Z3147" t="str">
        <f t="shared" si="642"/>
        <v>2022-08</v>
      </c>
    </row>
    <row r="3148" spans="1:26" x14ac:dyDescent="0.35">
      <c r="A3148" s="1">
        <v>44792</v>
      </c>
      <c r="C3148">
        <v>3730.32</v>
      </c>
      <c r="D3148">
        <f t="shared" si="643"/>
        <v>-1.2536626757864953E-2</v>
      </c>
      <c r="E3148" t="str">
        <f t="shared" si="637"/>
        <v>2022-08</v>
      </c>
      <c r="G3148">
        <v>6495.83</v>
      </c>
      <c r="H3148">
        <f t="shared" si="644"/>
        <v>-9.4337503623469852E-3</v>
      </c>
      <c r="I3148" t="str">
        <f t="shared" si="638"/>
        <v>2022-08</v>
      </c>
      <c r="K3148">
        <v>13544.52</v>
      </c>
      <c r="L3148">
        <f t="shared" si="645"/>
        <v>-1.1224726388426278E-2</v>
      </c>
      <c r="M3148" t="str">
        <f t="shared" si="639"/>
        <v>2022-08</v>
      </c>
      <c r="O3148">
        <v>8896.2859000000008</v>
      </c>
      <c r="P3148">
        <f t="shared" si="646"/>
        <v>-2.9316204307712943E-3</v>
      </c>
      <c r="Q3148" t="str">
        <f t="shared" si="640"/>
        <v>2022-08</v>
      </c>
      <c r="S3148">
        <v>8338.1</v>
      </c>
      <c r="T3148">
        <f t="shared" si="647"/>
        <v>-1.0996985898719733E-2</v>
      </c>
      <c r="U3148" t="str">
        <f t="shared" si="641"/>
        <v>2022-08</v>
      </c>
      <c r="W3148">
        <v>22534.57</v>
      </c>
      <c r="X3148">
        <f t="shared" si="648"/>
        <v>-1.9821708907120966E-2</v>
      </c>
      <c r="Y3148">
        <f t="shared" si="649"/>
        <v>-1.9626550420478863E-2</v>
      </c>
      <c r="Z3148" t="str">
        <f t="shared" si="642"/>
        <v>2022-08</v>
      </c>
    </row>
    <row r="3149" spans="1:26" x14ac:dyDescent="0.35">
      <c r="A3149" s="1">
        <v>44795</v>
      </c>
      <c r="C3149">
        <v>3658.22</v>
      </c>
      <c r="D3149">
        <f t="shared" si="643"/>
        <v>-1.9517330546225547E-2</v>
      </c>
      <c r="E3149" t="str">
        <f t="shared" si="637"/>
        <v>2022-08</v>
      </c>
      <c r="G3149">
        <v>6378.74</v>
      </c>
      <c r="H3149">
        <f t="shared" si="644"/>
        <v>-1.8189846876654894E-2</v>
      </c>
      <c r="I3149" t="str">
        <f t="shared" si="638"/>
        <v>2022-08</v>
      </c>
      <c r="K3149">
        <v>13230.57</v>
      </c>
      <c r="L3149">
        <f t="shared" si="645"/>
        <v>-2.3451976379345135E-2</v>
      </c>
      <c r="M3149" t="str">
        <f t="shared" si="639"/>
        <v>2022-08</v>
      </c>
      <c r="O3149">
        <v>8931.7737899999993</v>
      </c>
      <c r="P3149">
        <f t="shared" si="646"/>
        <v>3.9811328309340708E-3</v>
      </c>
      <c r="Q3149" t="str">
        <f t="shared" si="640"/>
        <v>2022-08</v>
      </c>
      <c r="S3149">
        <v>8284.7999999999993</v>
      </c>
      <c r="T3149">
        <f t="shared" si="647"/>
        <v>-6.4128620953661161E-3</v>
      </c>
      <c r="U3149" t="str">
        <f t="shared" si="641"/>
        <v>2022-08</v>
      </c>
      <c r="W3149">
        <v>22165.66</v>
      </c>
      <c r="X3149">
        <f t="shared" si="648"/>
        <v>-1.6506330103032037E-2</v>
      </c>
      <c r="Y3149">
        <f t="shared" si="649"/>
        <v>-1.6370847102917866E-2</v>
      </c>
      <c r="Z3149" t="str">
        <f t="shared" si="642"/>
        <v>2022-08</v>
      </c>
    </row>
    <row r="3150" spans="1:26" x14ac:dyDescent="0.35">
      <c r="A3150" s="1">
        <v>44796</v>
      </c>
      <c r="C3150">
        <v>3652.52</v>
      </c>
      <c r="D3150">
        <f t="shared" si="643"/>
        <v>-1.5593499850895197E-3</v>
      </c>
      <c r="E3150" t="str">
        <f t="shared" si="637"/>
        <v>2022-08</v>
      </c>
      <c r="G3150">
        <v>6362.02</v>
      </c>
      <c r="H3150">
        <f t="shared" si="644"/>
        <v>-2.6246487020187498E-3</v>
      </c>
      <c r="I3150" t="str">
        <f t="shared" si="638"/>
        <v>2022-08</v>
      </c>
      <c r="K3150">
        <v>13194.23</v>
      </c>
      <c r="L3150">
        <f t="shared" si="645"/>
        <v>-2.7504482841297292E-3</v>
      </c>
      <c r="M3150" t="str">
        <f t="shared" si="639"/>
        <v>2022-08</v>
      </c>
      <c r="O3150">
        <v>8891.3333399999992</v>
      </c>
      <c r="P3150">
        <f t="shared" si="646"/>
        <v>-4.5379875804264207E-3</v>
      </c>
      <c r="Q3150" t="str">
        <f t="shared" si="640"/>
        <v>2022-08</v>
      </c>
      <c r="S3150">
        <v>8226.2999999999993</v>
      </c>
      <c r="T3150">
        <f t="shared" si="647"/>
        <v>-7.0861717017295751E-3</v>
      </c>
      <c r="U3150" t="str">
        <f t="shared" si="641"/>
        <v>2022-08</v>
      </c>
      <c r="W3150">
        <v>22380.06</v>
      </c>
      <c r="X3150">
        <f t="shared" si="648"/>
        <v>9.6261394166944313E-3</v>
      </c>
      <c r="Y3150">
        <f t="shared" si="649"/>
        <v>9.6726197189707618E-3</v>
      </c>
      <c r="Z3150" t="str">
        <f t="shared" si="642"/>
        <v>2022-08</v>
      </c>
    </row>
    <row r="3151" spans="1:26" x14ac:dyDescent="0.35">
      <c r="A3151" s="1">
        <v>44797</v>
      </c>
      <c r="C3151">
        <v>3667.46</v>
      </c>
      <c r="D3151">
        <f t="shared" si="643"/>
        <v>4.0819840340885457E-3</v>
      </c>
      <c r="E3151" t="str">
        <f t="shared" si="637"/>
        <v>2022-08</v>
      </c>
      <c r="G3151">
        <v>6386.76</v>
      </c>
      <c r="H3151">
        <f t="shared" si="644"/>
        <v>3.8811605590051146E-3</v>
      </c>
      <c r="I3151" t="str">
        <f t="shared" si="638"/>
        <v>2022-08</v>
      </c>
      <c r="K3151">
        <v>13220.06</v>
      </c>
      <c r="L3151">
        <f t="shared" si="645"/>
        <v>1.9557601762763247E-3</v>
      </c>
      <c r="M3151" t="str">
        <f t="shared" si="639"/>
        <v>2022-08</v>
      </c>
      <c r="O3151">
        <v>8846.7542799999992</v>
      </c>
      <c r="P3151">
        <f t="shared" si="646"/>
        <v>-5.026376553151201E-3</v>
      </c>
      <c r="Q3151" t="str">
        <f t="shared" si="640"/>
        <v>2022-08</v>
      </c>
      <c r="S3151">
        <v>8199.4</v>
      </c>
      <c r="T3151">
        <f t="shared" si="647"/>
        <v>-3.2753580119602665E-3</v>
      </c>
      <c r="U3151" t="str">
        <f t="shared" si="641"/>
        <v>2022-08</v>
      </c>
      <c r="W3151">
        <v>22431.47</v>
      </c>
      <c r="X3151">
        <f t="shared" si="648"/>
        <v>2.2944997662421489E-3</v>
      </c>
      <c r="Y3151">
        <f t="shared" si="649"/>
        <v>2.2971341453061275E-3</v>
      </c>
      <c r="Z3151" t="str">
        <f t="shared" si="642"/>
        <v>2022-08</v>
      </c>
    </row>
    <row r="3152" spans="1:26" x14ac:dyDescent="0.35">
      <c r="A3152" s="1">
        <v>44798</v>
      </c>
      <c r="C3152">
        <v>3674.54</v>
      </c>
      <c r="D3152">
        <f t="shared" si="643"/>
        <v>1.9286303989573728E-3</v>
      </c>
      <c r="E3152" t="str">
        <f t="shared" si="637"/>
        <v>2022-08</v>
      </c>
      <c r="G3152">
        <v>6381.56</v>
      </c>
      <c r="H3152">
        <f t="shared" si="644"/>
        <v>-8.1451597195075786E-4</v>
      </c>
      <c r="I3152" t="str">
        <f t="shared" si="638"/>
        <v>2022-08</v>
      </c>
      <c r="K3152">
        <v>13271.96</v>
      </c>
      <c r="L3152">
        <f t="shared" si="645"/>
        <v>3.918166028675168E-3</v>
      </c>
      <c r="M3152" t="str">
        <f t="shared" si="639"/>
        <v>2022-08</v>
      </c>
      <c r="O3152">
        <v>8876.4186900000004</v>
      </c>
      <c r="P3152">
        <f t="shared" si="646"/>
        <v>3.3475312520774942E-3</v>
      </c>
      <c r="Q3152" t="str">
        <f t="shared" si="640"/>
        <v>2022-08</v>
      </c>
      <c r="S3152">
        <v>8187.5</v>
      </c>
      <c r="T3152">
        <f t="shared" si="647"/>
        <v>-1.4523799000211817E-3</v>
      </c>
      <c r="U3152" t="str">
        <f t="shared" si="641"/>
        <v>2022-08</v>
      </c>
      <c r="W3152">
        <v>22454.43</v>
      </c>
      <c r="X3152">
        <f t="shared" si="648"/>
        <v>1.0230385044082383E-3</v>
      </c>
      <c r="Y3152">
        <f t="shared" si="649"/>
        <v>1.0235619867979729E-3</v>
      </c>
      <c r="Z3152" t="str">
        <f t="shared" si="642"/>
        <v>2022-08</v>
      </c>
    </row>
    <row r="3153" spans="1:26" x14ac:dyDescent="0.35">
      <c r="A3153" s="1">
        <v>44799</v>
      </c>
      <c r="C3153">
        <v>3603.68</v>
      </c>
      <c r="D3153">
        <f t="shared" si="643"/>
        <v>-1.9472409191415085E-2</v>
      </c>
      <c r="E3153" t="str">
        <f t="shared" si="637"/>
        <v>2022-08</v>
      </c>
      <c r="G3153">
        <v>6274.26</v>
      </c>
      <c r="H3153">
        <f t="shared" si="644"/>
        <v>-1.6957031797671673E-2</v>
      </c>
      <c r="I3153" t="str">
        <f t="shared" si="638"/>
        <v>2022-08</v>
      </c>
      <c r="K3153">
        <v>12971.47</v>
      </c>
      <c r="L3153">
        <f t="shared" si="645"/>
        <v>-2.2901208640395163E-2</v>
      </c>
      <c r="M3153" t="str">
        <f t="shared" si="639"/>
        <v>2022-08</v>
      </c>
      <c r="O3153">
        <v>8747.5552800000005</v>
      </c>
      <c r="P3153">
        <f t="shared" si="646"/>
        <v>-1.4623910221212351E-2</v>
      </c>
      <c r="Q3153" t="str">
        <f t="shared" si="640"/>
        <v>2022-08</v>
      </c>
      <c r="S3153">
        <v>8063.9</v>
      </c>
      <c r="T3153">
        <f t="shared" si="647"/>
        <v>-1.5211290502898857E-2</v>
      </c>
      <c r="U3153" t="str">
        <f t="shared" si="641"/>
        <v>2022-08</v>
      </c>
      <c r="W3153">
        <v>21895.25</v>
      </c>
      <c r="X3153">
        <f t="shared" si="648"/>
        <v>-2.5218203795814364E-2</v>
      </c>
      <c r="Y3153">
        <f t="shared" si="649"/>
        <v>-2.4902881079590988E-2</v>
      </c>
      <c r="Z3153" t="str">
        <f t="shared" si="642"/>
        <v>2022-08</v>
      </c>
    </row>
    <row r="3154" spans="1:26" x14ac:dyDescent="0.35">
      <c r="A3154" s="1">
        <v>44803</v>
      </c>
      <c r="C3154">
        <v>3561.92</v>
      </c>
      <c r="D3154">
        <f t="shared" si="643"/>
        <v>-1.1655820248207053E-2</v>
      </c>
      <c r="E3154" t="str">
        <f t="shared" si="637"/>
        <v>2022-08</v>
      </c>
      <c r="G3154">
        <v>6210.22</v>
      </c>
      <c r="H3154">
        <f t="shared" si="644"/>
        <v>-1.0259227727953331E-2</v>
      </c>
      <c r="I3154" t="str">
        <f t="shared" si="638"/>
        <v>2022-08</v>
      </c>
      <c r="K3154">
        <v>12961.14</v>
      </c>
      <c r="L3154">
        <f t="shared" si="645"/>
        <v>-7.9668036085607367E-4</v>
      </c>
      <c r="M3154" t="str">
        <f t="shared" si="639"/>
        <v>2022-08</v>
      </c>
      <c r="O3154">
        <v>8556.4995099999996</v>
      </c>
      <c r="P3154">
        <f t="shared" si="646"/>
        <v>-2.2083093990638812E-2</v>
      </c>
      <c r="Q3154" t="str">
        <f t="shared" si="640"/>
        <v>2022-08</v>
      </c>
      <c r="S3154">
        <v>7979.8</v>
      </c>
      <c r="T3154">
        <f t="shared" si="647"/>
        <v>-1.0483961967469256E-2</v>
      </c>
      <c r="U3154" t="str">
        <f t="shared" si="641"/>
        <v>2022-08</v>
      </c>
      <c r="W3154">
        <v>21825.22</v>
      </c>
      <c r="X3154">
        <f t="shared" si="648"/>
        <v>-3.2035364620316004E-3</v>
      </c>
      <c r="Y3154">
        <f t="shared" si="649"/>
        <v>-3.198410614174254E-3</v>
      </c>
      <c r="Z3154" t="str">
        <f t="shared" si="642"/>
        <v>2022-08</v>
      </c>
    </row>
    <row r="3155" spans="1:26" x14ac:dyDescent="0.35">
      <c r="A3155" s="1">
        <v>44804</v>
      </c>
      <c r="C3155">
        <v>3517.25</v>
      </c>
      <c r="D3155">
        <f t="shared" si="643"/>
        <v>-1.2620291047538441E-2</v>
      </c>
      <c r="E3155" t="str">
        <f t="shared" si="637"/>
        <v>2022-08</v>
      </c>
      <c r="G3155">
        <v>6125.1</v>
      </c>
      <c r="H3155">
        <f t="shared" si="644"/>
        <v>-1.3801239220827898E-2</v>
      </c>
      <c r="I3155" t="str">
        <f t="shared" si="638"/>
        <v>2022-08</v>
      </c>
      <c r="K3155">
        <v>12834.96</v>
      </c>
      <c r="L3155">
        <f t="shared" si="645"/>
        <v>-9.7829521787089549E-3</v>
      </c>
      <c r="M3155" t="str">
        <f t="shared" si="639"/>
        <v>2022-08</v>
      </c>
      <c r="O3155">
        <v>8422.3437200000008</v>
      </c>
      <c r="P3155">
        <f t="shared" si="646"/>
        <v>-1.5803029703387303E-2</v>
      </c>
      <c r="Q3155" t="str">
        <f t="shared" si="640"/>
        <v>2022-08</v>
      </c>
      <c r="S3155">
        <v>7886.1</v>
      </c>
      <c r="T3155">
        <f t="shared" si="647"/>
        <v>-1.1811632415991442E-2</v>
      </c>
      <c r="U3155" t="str">
        <f t="shared" si="641"/>
        <v>2022-08</v>
      </c>
      <c r="W3155">
        <v>21559.32</v>
      </c>
      <c r="X3155">
        <f t="shared" si="648"/>
        <v>-1.2257976203416438E-2</v>
      </c>
      <c r="Y3155">
        <f t="shared" si="649"/>
        <v>-1.2183153251147133E-2</v>
      </c>
      <c r="Z3155" t="str">
        <f t="shared" si="642"/>
        <v>2022-08</v>
      </c>
    </row>
    <row r="3156" spans="1:26" x14ac:dyDescent="0.35">
      <c r="A3156" s="1">
        <v>44805</v>
      </c>
      <c r="C3156">
        <v>3456.7</v>
      </c>
      <c r="D3156">
        <f t="shared" si="643"/>
        <v>-1.7365057546811846E-2</v>
      </c>
      <c r="E3156" t="str">
        <f t="shared" si="637"/>
        <v>2022-09</v>
      </c>
      <c r="G3156">
        <v>6034.31</v>
      </c>
      <c r="H3156">
        <f t="shared" si="644"/>
        <v>-1.4933567872320471E-2</v>
      </c>
      <c r="I3156" t="str">
        <f t="shared" si="638"/>
        <v>2022-09</v>
      </c>
      <c r="K3156">
        <v>12630.23</v>
      </c>
      <c r="L3156">
        <f t="shared" si="645"/>
        <v>-1.6079551033619945E-2</v>
      </c>
      <c r="M3156" t="str">
        <f t="shared" si="639"/>
        <v>2022-09</v>
      </c>
      <c r="O3156">
        <v>8297.3532300000006</v>
      </c>
      <c r="P3156">
        <f t="shared" si="646"/>
        <v>-1.4951565070404391E-2</v>
      </c>
      <c r="Q3156" t="str">
        <f t="shared" si="640"/>
        <v>2022-09</v>
      </c>
      <c r="S3156">
        <v>7806</v>
      </c>
      <c r="T3156">
        <f t="shared" si="647"/>
        <v>-1.0209047316587552E-2</v>
      </c>
      <c r="U3156" t="str">
        <f t="shared" si="641"/>
        <v>2022-09</v>
      </c>
      <c r="W3156">
        <v>21302.16</v>
      </c>
      <c r="X3156">
        <f t="shared" si="648"/>
        <v>-1.1999729630126642E-2</v>
      </c>
      <c r="Y3156">
        <f t="shared" si="649"/>
        <v>-1.1928019993209426E-2</v>
      </c>
      <c r="Z3156" t="str">
        <f t="shared" si="642"/>
        <v>2022-09</v>
      </c>
    </row>
    <row r="3157" spans="1:26" x14ac:dyDescent="0.35">
      <c r="A3157" s="1">
        <v>44806</v>
      </c>
      <c r="C3157">
        <v>3544.38</v>
      </c>
      <c r="D3157">
        <f t="shared" si="643"/>
        <v>2.5048873742732798E-2</v>
      </c>
      <c r="E3157" t="str">
        <f t="shared" si="637"/>
        <v>2022-09</v>
      </c>
      <c r="G3157">
        <v>6167.51</v>
      </c>
      <c r="H3157">
        <f t="shared" si="644"/>
        <v>2.1833675866767255E-2</v>
      </c>
      <c r="I3157" t="str">
        <f t="shared" si="638"/>
        <v>2022-09</v>
      </c>
      <c r="K3157">
        <v>13050.27</v>
      </c>
      <c r="L3157">
        <f t="shared" si="645"/>
        <v>3.2715676403598883E-2</v>
      </c>
      <c r="M3157" t="str">
        <f t="shared" si="639"/>
        <v>2022-09</v>
      </c>
      <c r="O3157">
        <v>8416.0916300000008</v>
      </c>
      <c r="P3157">
        <f t="shared" si="646"/>
        <v>1.4208967535971369E-2</v>
      </c>
      <c r="Q3157" t="str">
        <f t="shared" si="640"/>
        <v>2022-09</v>
      </c>
      <c r="S3157">
        <v>7932.2</v>
      </c>
      <c r="T3157">
        <f t="shared" si="647"/>
        <v>1.6037755902985382E-2</v>
      </c>
      <c r="U3157" t="str">
        <f t="shared" si="641"/>
        <v>2022-09</v>
      </c>
      <c r="W3157">
        <v>21921.26</v>
      </c>
      <c r="X3157">
        <f t="shared" si="648"/>
        <v>2.8648466155032574E-2</v>
      </c>
      <c r="Y3157">
        <f t="shared" si="649"/>
        <v>2.9062780487988004E-2</v>
      </c>
      <c r="Z3157" t="str">
        <f t="shared" si="642"/>
        <v>2022-09</v>
      </c>
    </row>
    <row r="3158" spans="1:26" x14ac:dyDescent="0.35">
      <c r="A3158" s="1">
        <v>44809</v>
      </c>
      <c r="C3158">
        <v>3490.01</v>
      </c>
      <c r="D3158">
        <f t="shared" si="643"/>
        <v>-1.5458648931362758E-2</v>
      </c>
      <c r="E3158" t="str">
        <f t="shared" si="637"/>
        <v>2022-09</v>
      </c>
      <c r="G3158">
        <v>6093.22</v>
      </c>
      <c r="H3158">
        <f t="shared" si="644"/>
        <v>-1.2118513200016405E-2</v>
      </c>
      <c r="I3158" t="str">
        <f t="shared" si="638"/>
        <v>2022-09</v>
      </c>
      <c r="K3158">
        <v>12760.78</v>
      </c>
      <c r="L3158">
        <f t="shared" si="645"/>
        <v>-2.243241863482949E-2</v>
      </c>
      <c r="M3158" t="str">
        <f t="shared" si="639"/>
        <v>2022-09</v>
      </c>
      <c r="O3158">
        <v>8452.2151200000008</v>
      </c>
      <c r="P3158">
        <f t="shared" si="646"/>
        <v>4.28300786280514E-3</v>
      </c>
      <c r="Q3158" t="str">
        <f t="shared" si="640"/>
        <v>2022-09</v>
      </c>
      <c r="S3158">
        <v>7862.7</v>
      </c>
      <c r="T3158">
        <f t="shared" si="647"/>
        <v>-8.8003657564620901E-3</v>
      </c>
      <c r="U3158" t="str">
        <f t="shared" si="641"/>
        <v>2022-09</v>
      </c>
      <c r="W3158">
        <v>21480.19</v>
      </c>
      <c r="X3158">
        <f t="shared" si="648"/>
        <v>-2.0325827140467288E-2</v>
      </c>
      <c r="Y3158">
        <f t="shared" si="649"/>
        <v>-2.0120649999133249E-2</v>
      </c>
      <c r="Z3158" t="str">
        <f t="shared" si="642"/>
        <v>2022-09</v>
      </c>
    </row>
    <row r="3159" spans="1:26" x14ac:dyDescent="0.35">
      <c r="A3159" s="1">
        <v>44810</v>
      </c>
      <c r="C3159">
        <v>3500.14</v>
      </c>
      <c r="D3159">
        <f t="shared" si="643"/>
        <v>2.8983661556456824E-3</v>
      </c>
      <c r="E3159" t="str">
        <f t="shared" si="637"/>
        <v>2022-09</v>
      </c>
      <c r="G3159">
        <v>6104.61</v>
      </c>
      <c r="H3159">
        <f t="shared" si="644"/>
        <v>1.8675458356829917E-3</v>
      </c>
      <c r="I3159" t="str">
        <f t="shared" si="638"/>
        <v>2022-09</v>
      </c>
      <c r="K3159">
        <v>12871.44</v>
      </c>
      <c r="L3159">
        <f t="shared" si="645"/>
        <v>8.634498885898052E-3</v>
      </c>
      <c r="M3159" t="str">
        <f t="shared" si="639"/>
        <v>2022-09</v>
      </c>
      <c r="O3159">
        <v>8494.7091700000001</v>
      </c>
      <c r="P3159">
        <f t="shared" si="646"/>
        <v>5.0149677112952401E-3</v>
      </c>
      <c r="Q3159" t="str">
        <f t="shared" si="640"/>
        <v>2022-09</v>
      </c>
      <c r="S3159">
        <v>7842.2</v>
      </c>
      <c r="T3159">
        <f t="shared" si="647"/>
        <v>-2.6106516619842407E-3</v>
      </c>
      <c r="U3159" t="str">
        <f t="shared" si="641"/>
        <v>2022-09</v>
      </c>
      <c r="W3159">
        <v>21480.61</v>
      </c>
      <c r="X3159">
        <f t="shared" si="648"/>
        <v>1.9552708516364253E-5</v>
      </c>
      <c r="Y3159">
        <f t="shared" si="649"/>
        <v>1.9552899671832128E-5</v>
      </c>
      <c r="Z3159" t="str">
        <f t="shared" si="642"/>
        <v>2022-09</v>
      </c>
    </row>
    <row r="3160" spans="1:26" x14ac:dyDescent="0.35">
      <c r="A3160" s="1">
        <v>44811</v>
      </c>
      <c r="C3160">
        <v>3502.09</v>
      </c>
      <c r="D3160">
        <f t="shared" si="643"/>
        <v>5.5696543827023508E-4</v>
      </c>
      <c r="E3160" t="str">
        <f t="shared" si="637"/>
        <v>2022-09</v>
      </c>
      <c r="G3160">
        <v>6105.92</v>
      </c>
      <c r="H3160">
        <f t="shared" si="644"/>
        <v>2.1456890160001049E-4</v>
      </c>
      <c r="I3160" t="str">
        <f t="shared" si="638"/>
        <v>2022-09</v>
      </c>
      <c r="K3160">
        <v>12915.97</v>
      </c>
      <c r="L3160">
        <f t="shared" si="645"/>
        <v>3.4536267318892523E-3</v>
      </c>
      <c r="M3160" t="str">
        <f t="shared" si="639"/>
        <v>2022-09</v>
      </c>
      <c r="O3160">
        <v>8342.4100899999994</v>
      </c>
      <c r="P3160">
        <f t="shared" si="646"/>
        <v>-1.8091364864846794E-2</v>
      </c>
      <c r="Q3160" t="str">
        <f t="shared" si="640"/>
        <v>2022-09</v>
      </c>
      <c r="S3160">
        <v>7855.9</v>
      </c>
      <c r="T3160">
        <f t="shared" si="647"/>
        <v>1.7454346039501177E-3</v>
      </c>
      <c r="U3160" t="str">
        <f t="shared" si="641"/>
        <v>2022-09</v>
      </c>
      <c r="W3160">
        <v>21489.360000000001</v>
      </c>
      <c r="X3160">
        <f t="shared" si="648"/>
        <v>4.0726116964657474E-4</v>
      </c>
      <c r="Y3160">
        <f t="shared" si="649"/>
        <v>4.0734411173611924E-4</v>
      </c>
      <c r="Z3160" t="str">
        <f t="shared" si="642"/>
        <v>2022-09</v>
      </c>
    </row>
    <row r="3161" spans="1:26" x14ac:dyDescent="0.35">
      <c r="A3161" s="1">
        <v>44812</v>
      </c>
      <c r="C3161">
        <v>3512.38</v>
      </c>
      <c r="D3161">
        <f t="shared" si="643"/>
        <v>2.933937241544424E-3</v>
      </c>
      <c r="E3161" t="str">
        <f t="shared" si="637"/>
        <v>2022-09</v>
      </c>
      <c r="G3161">
        <v>6125.9</v>
      </c>
      <c r="H3161">
        <f t="shared" si="644"/>
        <v>3.2668920520165109E-3</v>
      </c>
      <c r="I3161" t="str">
        <f t="shared" si="638"/>
        <v>2022-09</v>
      </c>
      <c r="K3161">
        <v>12904.32</v>
      </c>
      <c r="L3161">
        <f t="shared" si="645"/>
        <v>-9.023911652858294E-4</v>
      </c>
      <c r="M3161" t="str">
        <f t="shared" si="639"/>
        <v>2022-09</v>
      </c>
      <c r="O3161">
        <v>8364.2263899999998</v>
      </c>
      <c r="P3161">
        <f t="shared" si="646"/>
        <v>2.6116941524127494E-3</v>
      </c>
      <c r="Q3161" t="str">
        <f t="shared" si="640"/>
        <v>2022-09</v>
      </c>
      <c r="S3161">
        <v>7916.8</v>
      </c>
      <c r="T3161">
        <f t="shared" si="647"/>
        <v>7.7222419290645236E-3</v>
      </c>
      <c r="U3161" t="str">
        <f t="shared" si="641"/>
        <v>2022-09</v>
      </c>
      <c r="W3161">
        <v>21678.080000000002</v>
      </c>
      <c r="X3161">
        <f t="shared" si="648"/>
        <v>8.7436828467673464E-3</v>
      </c>
      <c r="Y3161">
        <f t="shared" si="649"/>
        <v>8.7820204975858351E-3</v>
      </c>
      <c r="Z3161" t="str">
        <f t="shared" si="642"/>
        <v>2022-09</v>
      </c>
    </row>
    <row r="3162" spans="1:26" x14ac:dyDescent="0.35">
      <c r="A3162" s="1">
        <v>44813</v>
      </c>
      <c r="C3162">
        <v>3570.04</v>
      </c>
      <c r="D3162">
        <f t="shared" si="643"/>
        <v>1.6282929835366586E-2</v>
      </c>
      <c r="E3162" t="str">
        <f t="shared" si="637"/>
        <v>2022-09</v>
      </c>
      <c r="G3162">
        <v>6212.33</v>
      </c>
      <c r="H3162">
        <f t="shared" si="644"/>
        <v>1.4010342451373999E-2</v>
      </c>
      <c r="I3162" t="str">
        <f t="shared" si="638"/>
        <v>2022-09</v>
      </c>
      <c r="K3162">
        <v>13088.21</v>
      </c>
      <c r="L3162">
        <f t="shared" si="645"/>
        <v>1.414968593642274E-2</v>
      </c>
      <c r="M3162" t="str">
        <f t="shared" si="639"/>
        <v>2022-09</v>
      </c>
      <c r="O3162">
        <v>8482.1725800000004</v>
      </c>
      <c r="P3162">
        <f t="shared" si="646"/>
        <v>1.4002769068965448E-2</v>
      </c>
      <c r="Q3162" t="str">
        <f t="shared" si="640"/>
        <v>2022-09</v>
      </c>
      <c r="S3162">
        <v>8033.1</v>
      </c>
      <c r="T3162">
        <f t="shared" si="647"/>
        <v>1.4583421987536172E-2</v>
      </c>
      <c r="U3162" t="str">
        <f t="shared" si="641"/>
        <v>2022-09</v>
      </c>
      <c r="W3162">
        <v>22094.560000000001</v>
      </c>
      <c r="X3162">
        <f t="shared" si="648"/>
        <v>1.9029812612632889E-2</v>
      </c>
      <c r="Y3162">
        <f t="shared" si="649"/>
        <v>1.9212033538025485E-2</v>
      </c>
      <c r="Z3162" t="str">
        <f t="shared" si="642"/>
        <v>2022-09</v>
      </c>
    </row>
    <row r="3163" spans="1:26" x14ac:dyDescent="0.35">
      <c r="A3163" s="1">
        <v>44816</v>
      </c>
      <c r="C3163">
        <v>3646.51</v>
      </c>
      <c r="D3163">
        <f t="shared" si="643"/>
        <v>2.1193745583503374E-2</v>
      </c>
      <c r="E3163" t="str">
        <f t="shared" si="637"/>
        <v>2022-09</v>
      </c>
      <c r="G3163">
        <v>6333.59</v>
      </c>
      <c r="H3163">
        <f t="shared" si="644"/>
        <v>1.9331189129720976E-2</v>
      </c>
      <c r="I3163" t="str">
        <f t="shared" si="638"/>
        <v>2022-09</v>
      </c>
      <c r="K3163">
        <v>13402.27</v>
      </c>
      <c r="L3163">
        <f t="shared" si="645"/>
        <v>2.3712270630933379E-2</v>
      </c>
      <c r="M3163" t="str">
        <f t="shared" si="639"/>
        <v>2022-09</v>
      </c>
      <c r="O3163">
        <v>8625.9570500000009</v>
      </c>
      <c r="P3163">
        <f t="shared" si="646"/>
        <v>1.6809301618627915E-2</v>
      </c>
      <c r="Q3163" t="str">
        <f t="shared" si="640"/>
        <v>2022-09</v>
      </c>
      <c r="S3163">
        <v>8194.2999999999993</v>
      </c>
      <c r="T3163">
        <f t="shared" si="647"/>
        <v>1.9868284846192921E-2</v>
      </c>
      <c r="U3163" t="str">
        <f t="shared" si="641"/>
        <v>2022-09</v>
      </c>
      <c r="W3163">
        <v>22610.400000000001</v>
      </c>
      <c r="X3163">
        <f t="shared" si="648"/>
        <v>2.307855304370782E-2</v>
      </c>
      <c r="Y3163">
        <f t="shared" si="649"/>
        <v>2.3346923405580384E-2</v>
      </c>
      <c r="Z3163" t="str">
        <f t="shared" si="642"/>
        <v>2022-09</v>
      </c>
    </row>
    <row r="3164" spans="1:26" x14ac:dyDescent="0.35">
      <c r="A3164" s="1">
        <v>44817</v>
      </c>
      <c r="C3164">
        <v>3586.18</v>
      </c>
      <c r="D3164">
        <f t="shared" si="643"/>
        <v>-1.6682976667300533E-2</v>
      </c>
      <c r="E3164" t="str">
        <f t="shared" si="637"/>
        <v>2022-09</v>
      </c>
      <c r="G3164">
        <v>6245.69</v>
      </c>
      <c r="H3164">
        <f t="shared" si="644"/>
        <v>-1.3975590128090434E-2</v>
      </c>
      <c r="I3164" t="str">
        <f t="shared" si="638"/>
        <v>2022-09</v>
      </c>
      <c r="K3164">
        <v>13188.95</v>
      </c>
      <c r="L3164">
        <f t="shared" si="645"/>
        <v>-1.6044737796299304E-2</v>
      </c>
      <c r="M3164" t="str">
        <f t="shared" si="639"/>
        <v>2022-09</v>
      </c>
      <c r="O3164">
        <v>8513.1677</v>
      </c>
      <c r="P3164">
        <f t="shared" si="646"/>
        <v>-1.316181308906089E-2</v>
      </c>
      <c r="Q3164" t="str">
        <f t="shared" si="640"/>
        <v>2022-09</v>
      </c>
      <c r="S3164">
        <v>8064</v>
      </c>
      <c r="T3164">
        <f t="shared" si="647"/>
        <v>-1.6029079280693376E-2</v>
      </c>
      <c r="U3164" t="str">
        <f t="shared" si="641"/>
        <v>2022-09</v>
      </c>
      <c r="W3164">
        <v>22303.86</v>
      </c>
      <c r="X3164">
        <f t="shared" si="648"/>
        <v>-1.3650219763021373E-2</v>
      </c>
      <c r="Y3164">
        <f t="shared" si="649"/>
        <v>-1.3557477974737327E-2</v>
      </c>
      <c r="Z3164" t="str">
        <f t="shared" si="642"/>
        <v>2022-09</v>
      </c>
    </row>
    <row r="3165" spans="1:26" x14ac:dyDescent="0.35">
      <c r="A3165" s="1">
        <v>44818</v>
      </c>
      <c r="C3165">
        <v>3567.56</v>
      </c>
      <c r="D3165">
        <f t="shared" si="643"/>
        <v>-5.2056803989980463E-3</v>
      </c>
      <c r="E3165" t="str">
        <f t="shared" si="637"/>
        <v>2022-09</v>
      </c>
      <c r="G3165">
        <v>6222.41</v>
      </c>
      <c r="H3165">
        <f t="shared" si="644"/>
        <v>-3.7343343498663813E-3</v>
      </c>
      <c r="I3165" t="str">
        <f t="shared" si="638"/>
        <v>2022-09</v>
      </c>
      <c r="K3165">
        <v>13028</v>
      </c>
      <c r="L3165">
        <f t="shared" si="645"/>
        <v>-1.2278470384588576E-2</v>
      </c>
      <c r="M3165" t="str">
        <f t="shared" si="639"/>
        <v>2022-09</v>
      </c>
      <c r="O3165">
        <v>8418.72307</v>
      </c>
      <c r="P3165">
        <f t="shared" si="646"/>
        <v>-1.1155943632094805E-2</v>
      </c>
      <c r="Q3165" t="str">
        <f t="shared" si="640"/>
        <v>2022-09</v>
      </c>
      <c r="S3165">
        <v>8055.6</v>
      </c>
      <c r="T3165">
        <f t="shared" si="647"/>
        <v>-1.0422095784436427E-3</v>
      </c>
      <c r="U3165" t="str">
        <f t="shared" si="641"/>
        <v>2022-09</v>
      </c>
      <c r="W3165">
        <v>22413.46</v>
      </c>
      <c r="X3165">
        <f t="shared" si="648"/>
        <v>4.9019135969042187E-3</v>
      </c>
      <c r="Y3165">
        <f t="shared" si="649"/>
        <v>4.9139476305894375E-3</v>
      </c>
      <c r="Z3165" t="str">
        <f t="shared" si="642"/>
        <v>2022-09</v>
      </c>
    </row>
    <row r="3166" spans="1:26" x14ac:dyDescent="0.35">
      <c r="A3166" s="1">
        <v>44819</v>
      </c>
      <c r="C3166">
        <v>3541.79</v>
      </c>
      <c r="D3166">
        <f t="shared" si="643"/>
        <v>-7.2496396623177991E-3</v>
      </c>
      <c r="E3166" t="str">
        <f t="shared" si="637"/>
        <v>2022-09</v>
      </c>
      <c r="G3166">
        <v>6157.84</v>
      </c>
      <c r="H3166">
        <f t="shared" si="644"/>
        <v>-1.0431224812074057E-2</v>
      </c>
      <c r="I3166" t="str">
        <f t="shared" si="638"/>
        <v>2022-09</v>
      </c>
      <c r="K3166">
        <v>12956.66</v>
      </c>
      <c r="L3166">
        <f t="shared" si="645"/>
        <v>-5.4909457537289826E-3</v>
      </c>
      <c r="M3166" t="str">
        <f t="shared" si="639"/>
        <v>2022-09</v>
      </c>
      <c r="O3166">
        <v>8355.53125</v>
      </c>
      <c r="P3166">
        <f t="shared" si="646"/>
        <v>-7.5344176534762617E-3</v>
      </c>
      <c r="Q3166" t="str">
        <f t="shared" si="640"/>
        <v>2022-09</v>
      </c>
      <c r="S3166">
        <v>8085.5</v>
      </c>
      <c r="T3166">
        <f t="shared" si="647"/>
        <v>3.7048322852923192E-3</v>
      </c>
      <c r="U3166" t="str">
        <f t="shared" si="641"/>
        <v>2022-09</v>
      </c>
      <c r="W3166">
        <v>22365.82</v>
      </c>
      <c r="X3166">
        <f t="shared" si="648"/>
        <v>-2.1277706105951814E-3</v>
      </c>
      <c r="Y3166">
        <f t="shared" si="649"/>
        <v>-2.1255085114033896E-3</v>
      </c>
      <c r="Z3166" t="str">
        <f t="shared" si="642"/>
        <v>2022-09</v>
      </c>
    </row>
    <row r="3167" spans="1:26" x14ac:dyDescent="0.35">
      <c r="A3167" s="1">
        <v>44820</v>
      </c>
      <c r="C3167">
        <v>3500.41</v>
      </c>
      <c r="D3167">
        <f t="shared" si="643"/>
        <v>-1.175214457363544E-2</v>
      </c>
      <c r="E3167" t="str">
        <f t="shared" si="637"/>
        <v>2022-09</v>
      </c>
      <c r="G3167">
        <v>6077.3</v>
      </c>
      <c r="H3167">
        <f t="shared" si="644"/>
        <v>-1.3165548304470254E-2</v>
      </c>
      <c r="I3167" t="str">
        <f t="shared" si="638"/>
        <v>2022-09</v>
      </c>
      <c r="K3167">
        <v>12741.26</v>
      </c>
      <c r="L3167">
        <f t="shared" si="645"/>
        <v>-1.6764395307730946E-2</v>
      </c>
      <c r="M3167" t="str">
        <f t="shared" si="639"/>
        <v>2022-09</v>
      </c>
      <c r="O3167">
        <v>8241.8748799999994</v>
      </c>
      <c r="P3167">
        <f t="shared" si="646"/>
        <v>-1.3695892685736791E-2</v>
      </c>
      <c r="Q3167" t="str">
        <f t="shared" si="640"/>
        <v>2022-09</v>
      </c>
      <c r="S3167">
        <v>7984.7</v>
      </c>
      <c r="T3167">
        <f t="shared" si="647"/>
        <v>-1.2545123519256155E-2</v>
      </c>
      <c r="U3167" t="str">
        <f t="shared" si="641"/>
        <v>2022-09</v>
      </c>
      <c r="W3167">
        <v>22110.89</v>
      </c>
      <c r="X3167">
        <f t="shared" si="648"/>
        <v>-1.1463653305445614E-2</v>
      </c>
      <c r="Y3167">
        <f t="shared" si="649"/>
        <v>-1.1398195997285157E-2</v>
      </c>
      <c r="Z3167" t="str">
        <f t="shared" si="642"/>
        <v>2022-09</v>
      </c>
    </row>
    <row r="3168" spans="1:26" x14ac:dyDescent="0.35">
      <c r="A3168" s="1">
        <v>44824</v>
      </c>
      <c r="C3168">
        <v>3467.09</v>
      </c>
      <c r="D3168">
        <f t="shared" si="643"/>
        <v>-9.5644790834660542E-3</v>
      </c>
      <c r="E3168" t="str">
        <f t="shared" si="637"/>
        <v>2022-09</v>
      </c>
      <c r="G3168">
        <v>5979.47</v>
      </c>
      <c r="H3168">
        <f t="shared" si="644"/>
        <v>-1.6228583126212295E-2</v>
      </c>
      <c r="I3168" t="str">
        <f t="shared" si="638"/>
        <v>2022-09</v>
      </c>
      <c r="K3168">
        <v>12670.83</v>
      </c>
      <c r="L3168">
        <f t="shared" si="645"/>
        <v>-5.5430450885465572E-3</v>
      </c>
      <c r="M3168" t="str">
        <f t="shared" si="639"/>
        <v>2022-09</v>
      </c>
      <c r="O3168">
        <v>8204.5332099999996</v>
      </c>
      <c r="P3168">
        <f t="shared" si="646"/>
        <v>-4.5410200164988437E-3</v>
      </c>
      <c r="Q3168" t="str">
        <f t="shared" si="640"/>
        <v>2022-09</v>
      </c>
      <c r="S3168">
        <v>7873.1</v>
      </c>
      <c r="T3168">
        <f t="shared" si="647"/>
        <v>-1.4075324756428882E-2</v>
      </c>
      <c r="U3168" t="str">
        <f t="shared" si="641"/>
        <v>2022-09</v>
      </c>
      <c r="W3168">
        <v>21773.75</v>
      </c>
      <c r="X3168">
        <f t="shared" si="648"/>
        <v>-1.5365131528738305E-2</v>
      </c>
      <c r="Y3168">
        <f t="shared" si="649"/>
        <v>-1.5247690165343839E-2</v>
      </c>
      <c r="Z3168" t="str">
        <f t="shared" si="642"/>
        <v>2022-09</v>
      </c>
    </row>
    <row r="3169" spans="1:26" x14ac:dyDescent="0.35">
      <c r="A3169" s="1">
        <v>44825</v>
      </c>
      <c r="C3169">
        <v>3491.87</v>
      </c>
      <c r="D3169">
        <f t="shared" si="643"/>
        <v>7.1217839264232641E-3</v>
      </c>
      <c r="E3169" t="str">
        <f t="shared" si="637"/>
        <v>2022-09</v>
      </c>
      <c r="G3169">
        <v>6031.33</v>
      </c>
      <c r="H3169">
        <f t="shared" si="644"/>
        <v>8.6356149936566394E-3</v>
      </c>
      <c r="I3169" t="str">
        <f t="shared" si="638"/>
        <v>2022-09</v>
      </c>
      <c r="K3169">
        <v>12767.15</v>
      </c>
      <c r="L3169">
        <f t="shared" si="645"/>
        <v>7.5729645457086022E-3</v>
      </c>
      <c r="M3169" t="str">
        <f t="shared" si="639"/>
        <v>2022-09</v>
      </c>
      <c r="O3169">
        <v>8296.5206600000001</v>
      </c>
      <c r="P3169">
        <f t="shared" si="646"/>
        <v>1.1149397320784751E-2</v>
      </c>
      <c r="Q3169" t="str">
        <f t="shared" si="640"/>
        <v>2022-09</v>
      </c>
      <c r="S3169">
        <v>7872.2</v>
      </c>
      <c r="T3169">
        <f t="shared" si="647"/>
        <v>-1.1431982889882009E-4</v>
      </c>
      <c r="U3169" t="str">
        <f t="shared" si="641"/>
        <v>2022-09</v>
      </c>
      <c r="W3169">
        <v>22035.81</v>
      </c>
      <c r="X3169">
        <f t="shared" si="648"/>
        <v>1.1963741509271252E-2</v>
      </c>
      <c r="Y3169">
        <f t="shared" si="649"/>
        <v>1.2035593317641716E-2</v>
      </c>
      <c r="Z3169" t="str">
        <f t="shared" si="642"/>
        <v>2022-09</v>
      </c>
    </row>
    <row r="3170" spans="1:26" x14ac:dyDescent="0.35">
      <c r="A3170" s="1">
        <v>44826</v>
      </c>
      <c r="C3170">
        <v>3427.14</v>
      </c>
      <c r="D3170">
        <f t="shared" si="643"/>
        <v>-1.871131521953729E-2</v>
      </c>
      <c r="E3170" t="str">
        <f t="shared" si="637"/>
        <v>2022-09</v>
      </c>
      <c r="G3170">
        <v>5918.5</v>
      </c>
      <c r="H3170">
        <f t="shared" si="644"/>
        <v>-1.8884511854083054E-2</v>
      </c>
      <c r="I3170" t="str">
        <f t="shared" si="638"/>
        <v>2022-09</v>
      </c>
      <c r="K3170">
        <v>12531.63</v>
      </c>
      <c r="L3170">
        <f t="shared" si="645"/>
        <v>-1.8619617573089536E-2</v>
      </c>
      <c r="M3170" t="str">
        <f t="shared" si="639"/>
        <v>2022-09</v>
      </c>
      <c r="O3170">
        <v>8195.6131399999995</v>
      </c>
      <c r="P3170">
        <f t="shared" si="646"/>
        <v>-1.2237201135365455E-2</v>
      </c>
      <c r="Q3170" t="str">
        <f t="shared" si="640"/>
        <v>2022-09</v>
      </c>
      <c r="S3170">
        <v>7774.7</v>
      </c>
      <c r="T3170">
        <f t="shared" si="647"/>
        <v>-1.246269381941134E-2</v>
      </c>
      <c r="U3170" t="str">
        <f t="shared" si="641"/>
        <v>2022-09</v>
      </c>
      <c r="W3170">
        <v>21799.11</v>
      </c>
      <c r="X3170">
        <f t="shared" si="648"/>
        <v>-1.0799714045226812E-2</v>
      </c>
      <c r="Y3170">
        <f t="shared" si="649"/>
        <v>-1.0741606503232725E-2</v>
      </c>
      <c r="Z3170" t="str">
        <f t="shared" si="642"/>
        <v>2022-09</v>
      </c>
    </row>
    <row r="3171" spans="1:26" x14ac:dyDescent="0.35">
      <c r="A3171" s="1">
        <v>44827</v>
      </c>
      <c r="C3171">
        <v>3348.6</v>
      </c>
      <c r="D3171">
        <f t="shared" si="643"/>
        <v>-2.3183746074936236E-2</v>
      </c>
      <c r="E3171" t="str">
        <f t="shared" si="637"/>
        <v>2022-09</v>
      </c>
      <c r="G3171">
        <v>5783.41</v>
      </c>
      <c r="H3171">
        <f t="shared" si="644"/>
        <v>-2.3089564290769284E-2</v>
      </c>
      <c r="I3171" t="str">
        <f t="shared" si="638"/>
        <v>2022-09</v>
      </c>
      <c r="K3171">
        <v>12284.19</v>
      </c>
      <c r="L3171">
        <f t="shared" si="645"/>
        <v>-1.9942778503137512E-2</v>
      </c>
      <c r="M3171" t="str">
        <f t="shared" si="639"/>
        <v>2022-09</v>
      </c>
      <c r="O3171">
        <v>7878.3007699999998</v>
      </c>
      <c r="P3171">
        <f t="shared" si="646"/>
        <v>-3.948678589732485E-2</v>
      </c>
      <c r="Q3171" t="str">
        <f t="shared" si="640"/>
        <v>2022-09</v>
      </c>
      <c r="S3171">
        <v>7583.5</v>
      </c>
      <c r="T3171">
        <f t="shared" si="647"/>
        <v>-2.4900037602551696E-2</v>
      </c>
      <c r="U3171" t="str">
        <f t="shared" si="641"/>
        <v>2022-09</v>
      </c>
      <c r="W3171">
        <v>21066.55</v>
      </c>
      <c r="X3171">
        <f t="shared" si="648"/>
        <v>-3.418266877889508E-2</v>
      </c>
      <c r="Y3171">
        <f t="shared" si="649"/>
        <v>-3.3605041673719763E-2</v>
      </c>
      <c r="Z3171" t="str">
        <f t="shared" si="642"/>
        <v>2022-09</v>
      </c>
    </row>
    <row r="3172" spans="1:26" x14ac:dyDescent="0.35">
      <c r="A3172" s="1">
        <v>44830</v>
      </c>
      <c r="C3172">
        <v>3342.56</v>
      </c>
      <c r="D3172">
        <f t="shared" si="643"/>
        <v>-1.805367571703741E-3</v>
      </c>
      <c r="E3172" t="str">
        <f t="shared" si="637"/>
        <v>2022-09</v>
      </c>
      <c r="G3172">
        <v>5769.39</v>
      </c>
      <c r="H3172">
        <f t="shared" si="644"/>
        <v>-2.4271184271411452E-3</v>
      </c>
      <c r="I3172" t="str">
        <f t="shared" si="638"/>
        <v>2022-09</v>
      </c>
      <c r="K3172">
        <v>12227.92</v>
      </c>
      <c r="L3172">
        <f t="shared" si="645"/>
        <v>-4.5912080880682491E-3</v>
      </c>
      <c r="M3172" t="str">
        <f t="shared" si="639"/>
        <v>2022-09</v>
      </c>
      <c r="O3172">
        <v>7793.6777099999999</v>
      </c>
      <c r="P3172">
        <f t="shared" si="646"/>
        <v>-1.0799387269349415E-2</v>
      </c>
      <c r="Q3172" t="str">
        <f t="shared" si="640"/>
        <v>2022-09</v>
      </c>
      <c r="S3172">
        <v>7508.5</v>
      </c>
      <c r="T3172">
        <f t="shared" si="647"/>
        <v>-9.9391223711162192E-3</v>
      </c>
      <c r="U3172" t="str">
        <f t="shared" si="641"/>
        <v>2022-09</v>
      </c>
      <c r="W3172">
        <v>21207.25</v>
      </c>
      <c r="X3172">
        <f t="shared" si="648"/>
        <v>6.656629853139342E-3</v>
      </c>
      <c r="Y3172">
        <f t="shared" si="649"/>
        <v>6.6788344555705958E-3</v>
      </c>
      <c r="Z3172" t="str">
        <f t="shared" si="642"/>
        <v>2022-09</v>
      </c>
    </row>
    <row r="3173" spans="1:26" x14ac:dyDescent="0.35">
      <c r="A3173" s="1">
        <v>44831</v>
      </c>
      <c r="C3173">
        <v>3328.65</v>
      </c>
      <c r="D3173">
        <f t="shared" si="643"/>
        <v>-4.1701640806431385E-3</v>
      </c>
      <c r="E3173" t="str">
        <f t="shared" si="637"/>
        <v>2022-09</v>
      </c>
      <c r="G3173">
        <v>5753.82</v>
      </c>
      <c r="H3173">
        <f t="shared" si="644"/>
        <v>-2.702373639882088E-3</v>
      </c>
      <c r="I3173" t="str">
        <f t="shared" si="638"/>
        <v>2022-09</v>
      </c>
      <c r="K3173">
        <v>12139.68</v>
      </c>
      <c r="L3173">
        <f t="shared" si="645"/>
        <v>-7.2424355047780199E-3</v>
      </c>
      <c r="M3173" t="str">
        <f t="shared" si="639"/>
        <v>2022-09</v>
      </c>
      <c r="O3173">
        <v>7782.0374499999998</v>
      </c>
      <c r="P3173">
        <f t="shared" si="646"/>
        <v>-1.4946680839354185E-3</v>
      </c>
      <c r="Q3173" t="str">
        <f t="shared" si="640"/>
        <v>2022-09</v>
      </c>
      <c r="S3173">
        <v>7445.7</v>
      </c>
      <c r="T3173">
        <f t="shared" si="647"/>
        <v>-8.3990275879788356E-3</v>
      </c>
      <c r="U3173" t="str">
        <f t="shared" si="641"/>
        <v>2022-09</v>
      </c>
      <c r="W3173">
        <v>20961.38</v>
      </c>
      <c r="X3173">
        <f t="shared" si="648"/>
        <v>-1.1661407367662769E-2</v>
      </c>
      <c r="Y3173">
        <f t="shared" si="649"/>
        <v>-1.1593676690754293E-2</v>
      </c>
      <c r="Z3173" t="str">
        <f t="shared" si="642"/>
        <v>2022-09</v>
      </c>
    </row>
    <row r="3174" spans="1:26" x14ac:dyDescent="0.35">
      <c r="A3174" s="1">
        <v>44832</v>
      </c>
      <c r="C3174">
        <v>3335.3</v>
      </c>
      <c r="D3174">
        <f t="shared" si="643"/>
        <v>1.9958139564063403E-3</v>
      </c>
      <c r="E3174" t="str">
        <f t="shared" si="637"/>
        <v>2022-09</v>
      </c>
      <c r="G3174">
        <v>5765.01</v>
      </c>
      <c r="H3174">
        <f t="shared" si="644"/>
        <v>1.9429062708764466E-3</v>
      </c>
      <c r="I3174" t="str">
        <f t="shared" si="638"/>
        <v>2022-09</v>
      </c>
      <c r="K3174">
        <v>12183.28</v>
      </c>
      <c r="L3174">
        <f t="shared" si="645"/>
        <v>3.585093812500871E-3</v>
      </c>
      <c r="M3174" t="str">
        <f t="shared" si="639"/>
        <v>2022-09</v>
      </c>
      <c r="O3174">
        <v>7842.2532300000003</v>
      </c>
      <c r="P3174">
        <f t="shared" si="646"/>
        <v>7.7080079177056296E-3</v>
      </c>
      <c r="Q3174" t="str">
        <f t="shared" si="640"/>
        <v>2022-09</v>
      </c>
      <c r="S3174">
        <v>7442.2</v>
      </c>
      <c r="T3174">
        <f t="shared" si="647"/>
        <v>-4.7018049079836977E-4</v>
      </c>
      <c r="U3174" t="str">
        <f t="shared" si="641"/>
        <v>2022-09</v>
      </c>
      <c r="W3174">
        <v>20852.669999999998</v>
      </c>
      <c r="X3174">
        <f t="shared" si="648"/>
        <v>-5.1996993800617966E-3</v>
      </c>
      <c r="Y3174">
        <f t="shared" si="649"/>
        <v>-5.1862043434164522E-3</v>
      </c>
      <c r="Z3174" t="str">
        <f t="shared" si="642"/>
        <v>2022-09</v>
      </c>
    </row>
    <row r="3175" spans="1:26" x14ac:dyDescent="0.35">
      <c r="A3175" s="1">
        <v>44833</v>
      </c>
      <c r="C3175">
        <v>3279.04</v>
      </c>
      <c r="D3175">
        <f t="shared" si="643"/>
        <v>-1.7011933715149429E-2</v>
      </c>
      <c r="E3175" t="str">
        <f t="shared" si="637"/>
        <v>2022-09</v>
      </c>
      <c r="G3175">
        <v>5676.87</v>
      </c>
      <c r="H3175">
        <f t="shared" si="644"/>
        <v>-1.5406863817208892E-2</v>
      </c>
      <c r="I3175" t="str">
        <f t="shared" si="638"/>
        <v>2022-09</v>
      </c>
      <c r="K3175">
        <v>11975.55</v>
      </c>
      <c r="L3175">
        <f t="shared" si="645"/>
        <v>-1.7197448692053932E-2</v>
      </c>
      <c r="M3175" t="str">
        <f t="shared" si="639"/>
        <v>2022-09</v>
      </c>
      <c r="O3175">
        <v>7785.4322199999997</v>
      </c>
      <c r="P3175">
        <f t="shared" si="646"/>
        <v>-7.271871522289571E-3</v>
      </c>
      <c r="Q3175" t="str">
        <f t="shared" si="640"/>
        <v>2022-09</v>
      </c>
      <c r="S3175">
        <v>7300.1</v>
      </c>
      <c r="T3175">
        <f t="shared" si="647"/>
        <v>-1.9278457368764077E-2</v>
      </c>
      <c r="U3175" t="str">
        <f t="shared" si="641"/>
        <v>2022-09</v>
      </c>
      <c r="W3175">
        <v>20352.98</v>
      </c>
      <c r="X3175">
        <f t="shared" si="648"/>
        <v>-2.4254659085958842E-2</v>
      </c>
      <c r="Y3175">
        <f t="shared" si="649"/>
        <v>-2.3962878614585025E-2</v>
      </c>
      <c r="Z3175" t="str">
        <f t="shared" si="642"/>
        <v>2022-09</v>
      </c>
    </row>
    <row r="3176" spans="1:26" x14ac:dyDescent="0.35">
      <c r="A3176" s="1">
        <v>44834</v>
      </c>
      <c r="C3176">
        <v>3318.2</v>
      </c>
      <c r="D3176">
        <f t="shared" si="643"/>
        <v>1.1871770597901796E-2</v>
      </c>
      <c r="E3176" t="str">
        <f t="shared" si="637"/>
        <v>2022-09</v>
      </c>
      <c r="G3176">
        <v>5762.34</v>
      </c>
      <c r="H3176">
        <f t="shared" si="644"/>
        <v>1.4943617702924577E-2</v>
      </c>
      <c r="I3176" t="str">
        <f t="shared" si="638"/>
        <v>2022-09</v>
      </c>
      <c r="K3176">
        <v>12114.36</v>
      </c>
      <c r="L3176">
        <f t="shared" si="645"/>
        <v>1.152445453815181E-2</v>
      </c>
      <c r="M3176" t="str">
        <f t="shared" si="639"/>
        <v>2022-09</v>
      </c>
      <c r="O3176">
        <v>7837.3958400000001</v>
      </c>
      <c r="P3176">
        <f t="shared" si="646"/>
        <v>6.652292584814457E-3</v>
      </c>
      <c r="Q3176" t="str">
        <f t="shared" si="640"/>
        <v>2022-09</v>
      </c>
      <c r="S3176">
        <v>7366.8</v>
      </c>
      <c r="T3176">
        <f t="shared" si="647"/>
        <v>9.0953725486568101E-3</v>
      </c>
      <c r="U3176" t="str">
        <f t="shared" si="641"/>
        <v>2022-09</v>
      </c>
      <c r="W3176">
        <v>20648.849999999999</v>
      </c>
      <c r="X3176">
        <f t="shared" si="648"/>
        <v>1.4432289269513073E-2</v>
      </c>
      <c r="Y3176">
        <f t="shared" si="649"/>
        <v>1.4536937588500503E-2</v>
      </c>
      <c r="Z3176" t="str">
        <f t="shared" si="642"/>
        <v>2022-09</v>
      </c>
    </row>
    <row r="3177" spans="1:26" x14ac:dyDescent="0.35">
      <c r="A3177" s="1">
        <v>44837</v>
      </c>
      <c r="C3177">
        <v>3342.17</v>
      </c>
      <c r="D3177">
        <f t="shared" si="643"/>
        <v>7.1978293962303239E-3</v>
      </c>
      <c r="E3177" t="str">
        <f t="shared" si="637"/>
        <v>2022-10</v>
      </c>
      <c r="G3177">
        <v>5794.15</v>
      </c>
      <c r="H3177">
        <f t="shared" si="644"/>
        <v>5.5051456519721554E-3</v>
      </c>
      <c r="I3177" t="str">
        <f t="shared" si="638"/>
        <v>2022-10</v>
      </c>
      <c r="K3177">
        <v>12209.48</v>
      </c>
      <c r="L3177">
        <f t="shared" si="645"/>
        <v>7.8211733739140272E-3</v>
      </c>
      <c r="M3177" t="str">
        <f t="shared" si="639"/>
        <v>2022-10</v>
      </c>
      <c r="O3177">
        <v>7942.8199199999999</v>
      </c>
      <c r="P3177">
        <f t="shared" si="646"/>
        <v>1.3361749940733365E-2</v>
      </c>
      <c r="Q3177" t="str">
        <f t="shared" si="640"/>
        <v>2022-10</v>
      </c>
      <c r="S3177">
        <v>7462</v>
      </c>
      <c r="T3177">
        <f t="shared" si="647"/>
        <v>1.2840055559652118E-2</v>
      </c>
      <c r="U3177" t="str">
        <f t="shared" si="641"/>
        <v>2022-10</v>
      </c>
      <c r="W3177">
        <v>20972.57</v>
      </c>
      <c r="X3177">
        <f t="shared" si="648"/>
        <v>1.5555765653226094E-2</v>
      </c>
      <c r="Y3177">
        <f t="shared" si="649"/>
        <v>1.5677386391978302E-2</v>
      </c>
      <c r="Z3177" t="str">
        <f t="shared" si="642"/>
        <v>2022-10</v>
      </c>
    </row>
    <row r="3178" spans="1:26" x14ac:dyDescent="0.35">
      <c r="A3178" s="1">
        <v>44838</v>
      </c>
      <c r="C3178">
        <v>3484.48</v>
      </c>
      <c r="D3178">
        <f t="shared" si="643"/>
        <v>4.1698525552211062E-2</v>
      </c>
      <c r="E3178" t="str">
        <f t="shared" si="637"/>
        <v>2022-10</v>
      </c>
      <c r="G3178">
        <v>6039.69</v>
      </c>
      <c r="H3178">
        <f t="shared" si="644"/>
        <v>4.1503898263681768E-2</v>
      </c>
      <c r="I3178" t="str">
        <f t="shared" si="638"/>
        <v>2022-10</v>
      </c>
      <c r="K3178">
        <v>12670.48</v>
      </c>
      <c r="L3178">
        <f t="shared" si="645"/>
        <v>3.7062179209475618E-2</v>
      </c>
      <c r="M3178" t="str">
        <f t="shared" si="639"/>
        <v>2022-10</v>
      </c>
      <c r="O3178">
        <v>8141.9658300000001</v>
      </c>
      <c r="P3178">
        <f t="shared" si="646"/>
        <v>2.4763287455120114E-2</v>
      </c>
      <c r="Q3178" t="str">
        <f t="shared" si="640"/>
        <v>2022-10</v>
      </c>
      <c r="S3178">
        <v>7696.6</v>
      </c>
      <c r="T3178">
        <f t="shared" si="647"/>
        <v>3.0955198103478118E-2</v>
      </c>
      <c r="U3178" t="str">
        <f t="shared" si="641"/>
        <v>2022-10</v>
      </c>
      <c r="W3178">
        <v>21690.65</v>
      </c>
      <c r="X3178">
        <f t="shared" si="648"/>
        <v>3.3665898679944017E-2</v>
      </c>
      <c r="Y3178">
        <f t="shared" si="649"/>
        <v>3.4239008380947199E-2</v>
      </c>
      <c r="Z3178" t="str">
        <f t="shared" si="642"/>
        <v>2022-10</v>
      </c>
    </row>
    <row r="3179" spans="1:26" x14ac:dyDescent="0.35">
      <c r="A3179" s="1">
        <v>44839</v>
      </c>
      <c r="C3179">
        <v>3447.72</v>
      </c>
      <c r="D3179">
        <f t="shared" si="643"/>
        <v>-1.0605679168058277E-2</v>
      </c>
      <c r="E3179" t="str">
        <f t="shared" si="637"/>
        <v>2022-10</v>
      </c>
      <c r="G3179">
        <v>5985.46</v>
      </c>
      <c r="H3179">
        <f t="shared" si="644"/>
        <v>-9.0194912561147554E-3</v>
      </c>
      <c r="I3179" t="str">
        <f t="shared" si="638"/>
        <v>2022-10</v>
      </c>
      <c r="K3179">
        <v>12517.18</v>
      </c>
      <c r="L3179">
        <f t="shared" si="645"/>
        <v>-1.2172777697517595E-2</v>
      </c>
      <c r="M3179" t="str">
        <f t="shared" si="639"/>
        <v>2022-10</v>
      </c>
      <c r="O3179">
        <v>8073.72325</v>
      </c>
      <c r="P3179">
        <f t="shared" si="646"/>
        <v>-8.4169081617492224E-3</v>
      </c>
      <c r="Q3179" t="str">
        <f t="shared" si="640"/>
        <v>2022-10</v>
      </c>
      <c r="S3179">
        <v>7579.9</v>
      </c>
      <c r="T3179">
        <f t="shared" si="647"/>
        <v>-1.52786659473244E-2</v>
      </c>
      <c r="U3179" t="str">
        <f t="shared" si="641"/>
        <v>2022-10</v>
      </c>
      <c r="W3179">
        <v>21360.720000000001</v>
      </c>
      <c r="X3179">
        <f t="shared" si="648"/>
        <v>-1.5327570727757468E-2</v>
      </c>
      <c r="Y3179">
        <f t="shared" si="649"/>
        <v>-1.5210701385159056E-2</v>
      </c>
      <c r="Z3179" t="str">
        <f t="shared" si="642"/>
        <v>2022-10</v>
      </c>
    </row>
    <row r="3180" spans="1:26" x14ac:dyDescent="0.35">
      <c r="A3180" s="1">
        <v>44840</v>
      </c>
      <c r="C3180">
        <v>3433.45</v>
      </c>
      <c r="D3180">
        <f t="shared" si="643"/>
        <v>-4.1475564348231074E-3</v>
      </c>
      <c r="E3180" t="str">
        <f t="shared" si="637"/>
        <v>2022-10</v>
      </c>
      <c r="G3180">
        <v>5936.42</v>
      </c>
      <c r="H3180">
        <f t="shared" si="644"/>
        <v>-8.2269367910865459E-3</v>
      </c>
      <c r="I3180" t="str">
        <f t="shared" si="638"/>
        <v>2022-10</v>
      </c>
      <c r="K3180">
        <v>12470.78</v>
      </c>
      <c r="L3180">
        <f t="shared" si="645"/>
        <v>-3.7137928290303327E-3</v>
      </c>
      <c r="M3180" t="str">
        <f t="shared" si="639"/>
        <v>2022-10</v>
      </c>
      <c r="O3180">
        <v>7954.4605600000004</v>
      </c>
      <c r="P3180">
        <f t="shared" si="646"/>
        <v>-1.4881897101573751E-2</v>
      </c>
      <c r="Q3180" t="str">
        <f t="shared" si="640"/>
        <v>2022-10</v>
      </c>
      <c r="S3180">
        <v>7511.1</v>
      </c>
      <c r="T3180">
        <f t="shared" si="647"/>
        <v>-9.1180805334556796E-3</v>
      </c>
      <c r="U3180" t="str">
        <f t="shared" si="641"/>
        <v>2022-10</v>
      </c>
      <c r="W3180">
        <v>21140.55</v>
      </c>
      <c r="X3180">
        <f t="shared" si="648"/>
        <v>-1.036072425608262E-2</v>
      </c>
      <c r="Y3180">
        <f t="shared" si="649"/>
        <v>-1.0307236834713525E-2</v>
      </c>
      <c r="Z3180" t="str">
        <f t="shared" si="642"/>
        <v>2022-10</v>
      </c>
    </row>
    <row r="3181" spans="1:26" x14ac:dyDescent="0.35">
      <c r="A3181" s="1">
        <v>44841</v>
      </c>
      <c r="C3181">
        <v>3375.46</v>
      </c>
      <c r="D3181">
        <f t="shared" si="643"/>
        <v>-1.7033975239384574E-2</v>
      </c>
      <c r="E3181" t="str">
        <f t="shared" si="637"/>
        <v>2022-10</v>
      </c>
      <c r="G3181">
        <v>5866.94</v>
      </c>
      <c r="H3181">
        <f t="shared" si="644"/>
        <v>-1.1773054879298962E-2</v>
      </c>
      <c r="I3181" t="str">
        <f t="shared" si="638"/>
        <v>2022-10</v>
      </c>
      <c r="K3181">
        <v>12273</v>
      </c>
      <c r="L3181">
        <f t="shared" si="645"/>
        <v>-1.5986580240685472E-2</v>
      </c>
      <c r="M3181" t="str">
        <f t="shared" si="639"/>
        <v>2022-10</v>
      </c>
      <c r="O3181">
        <v>7948.6852600000002</v>
      </c>
      <c r="P3181">
        <f t="shared" si="646"/>
        <v>-7.2630916162785277E-4</v>
      </c>
      <c r="Q3181" t="str">
        <f t="shared" si="640"/>
        <v>2022-10</v>
      </c>
      <c r="S3181">
        <v>7436.9</v>
      </c>
      <c r="T3181">
        <f t="shared" si="647"/>
        <v>-9.9278310730061114E-3</v>
      </c>
      <c r="U3181" t="str">
        <f t="shared" si="641"/>
        <v>2022-10</v>
      </c>
      <c r="W3181">
        <v>20901.560000000001</v>
      </c>
      <c r="X3181">
        <f t="shared" si="648"/>
        <v>-1.1369199799403899E-2</v>
      </c>
      <c r="Y3181">
        <f t="shared" si="649"/>
        <v>-1.1304814680791085E-2</v>
      </c>
      <c r="Z3181" t="str">
        <f t="shared" si="642"/>
        <v>2022-10</v>
      </c>
    </row>
    <row r="3182" spans="1:26" x14ac:dyDescent="0.35">
      <c r="A3182" s="1">
        <v>44844</v>
      </c>
      <c r="C3182">
        <v>3356.88</v>
      </c>
      <c r="D3182">
        <f t="shared" si="643"/>
        <v>-5.519640176271965E-3</v>
      </c>
      <c r="E3182" t="str">
        <f t="shared" si="637"/>
        <v>2022-10</v>
      </c>
      <c r="G3182">
        <v>5840.55</v>
      </c>
      <c r="H3182">
        <f t="shared" si="644"/>
        <v>-4.5082327119142455E-3</v>
      </c>
      <c r="I3182" t="str">
        <f t="shared" si="638"/>
        <v>2022-10</v>
      </c>
      <c r="K3182">
        <v>12272.94</v>
      </c>
      <c r="L3182">
        <f t="shared" si="645"/>
        <v>-4.8887921994154026E-6</v>
      </c>
      <c r="M3182" t="str">
        <f t="shared" si="639"/>
        <v>2022-10</v>
      </c>
      <c r="O3182">
        <v>7917.90254</v>
      </c>
      <c r="P3182">
        <f t="shared" si="646"/>
        <v>-3.8801989450938301E-3</v>
      </c>
      <c r="Q3182" t="str">
        <f t="shared" si="640"/>
        <v>2022-10</v>
      </c>
      <c r="S3182">
        <v>7413.5</v>
      </c>
      <c r="T3182">
        <f t="shared" si="647"/>
        <v>-3.151432872714314E-3</v>
      </c>
      <c r="U3182" t="str">
        <f t="shared" si="641"/>
        <v>2022-10</v>
      </c>
      <c r="W3182">
        <v>20912.96</v>
      </c>
      <c r="X3182">
        <f t="shared" si="648"/>
        <v>5.452651510741679E-4</v>
      </c>
      <c r="Y3182">
        <f t="shared" si="649"/>
        <v>5.4541383513947365E-4</v>
      </c>
      <c r="Z3182" t="str">
        <f t="shared" si="642"/>
        <v>2022-10</v>
      </c>
    </row>
    <row r="3183" spans="1:26" x14ac:dyDescent="0.35">
      <c r="A3183" s="1">
        <v>44845</v>
      </c>
      <c r="C3183">
        <v>3340.35</v>
      </c>
      <c r="D3183">
        <f t="shared" si="643"/>
        <v>-4.9363792393829009E-3</v>
      </c>
      <c r="E3183" t="str">
        <f t="shared" si="637"/>
        <v>2022-10</v>
      </c>
      <c r="G3183">
        <v>5833.2</v>
      </c>
      <c r="H3183">
        <f t="shared" si="644"/>
        <v>-1.2592356305772662E-3</v>
      </c>
      <c r="I3183" t="str">
        <f t="shared" si="638"/>
        <v>2022-10</v>
      </c>
      <c r="K3183">
        <v>12220.25</v>
      </c>
      <c r="L3183">
        <f t="shared" si="645"/>
        <v>-4.3024270238509145E-3</v>
      </c>
      <c r="M3183" t="str">
        <f t="shared" si="639"/>
        <v>2022-10</v>
      </c>
      <c r="O3183">
        <v>7870.2444699999996</v>
      </c>
      <c r="P3183">
        <f t="shared" si="646"/>
        <v>-6.0372144651308505E-3</v>
      </c>
      <c r="Q3183" t="str">
        <f t="shared" si="640"/>
        <v>2022-10</v>
      </c>
      <c r="S3183">
        <v>7355.9</v>
      </c>
      <c r="T3183">
        <f t="shared" si="647"/>
        <v>-7.7999501710256441E-3</v>
      </c>
      <c r="U3183" t="str">
        <f t="shared" si="641"/>
        <v>2022-10</v>
      </c>
      <c r="W3183">
        <v>20730.5</v>
      </c>
      <c r="X3183">
        <f t="shared" si="648"/>
        <v>-8.7630166944568707E-3</v>
      </c>
      <c r="Y3183">
        <f t="shared" si="649"/>
        <v>-8.7247333710770321E-3</v>
      </c>
      <c r="Z3183" t="str">
        <f t="shared" si="642"/>
        <v>2022-10</v>
      </c>
    </row>
    <row r="3184" spans="1:26" x14ac:dyDescent="0.35">
      <c r="A3184" s="1">
        <v>44846</v>
      </c>
      <c r="C3184">
        <v>3331.53</v>
      </c>
      <c r="D3184">
        <f t="shared" si="643"/>
        <v>-2.6439339850038227E-3</v>
      </c>
      <c r="E3184" t="str">
        <f t="shared" si="637"/>
        <v>2022-10</v>
      </c>
      <c r="G3184">
        <v>5818.47</v>
      </c>
      <c r="H3184">
        <f t="shared" si="644"/>
        <v>-2.5283942726035775E-3</v>
      </c>
      <c r="I3184" t="str">
        <f t="shared" si="638"/>
        <v>2022-10</v>
      </c>
      <c r="K3184">
        <v>12172.26</v>
      </c>
      <c r="L3184">
        <f t="shared" si="645"/>
        <v>-3.9348194932213683E-3</v>
      </c>
      <c r="M3184" t="str">
        <f t="shared" si="639"/>
        <v>2022-10</v>
      </c>
      <c r="O3184">
        <v>7798.1926299999996</v>
      </c>
      <c r="P3184">
        <f t="shared" si="646"/>
        <v>-9.1971327361302629E-3</v>
      </c>
      <c r="Q3184" t="str">
        <f t="shared" si="640"/>
        <v>2022-10</v>
      </c>
      <c r="S3184">
        <v>7261.1</v>
      </c>
      <c r="T3184">
        <f t="shared" si="647"/>
        <v>-1.2971379793959473E-2</v>
      </c>
      <c r="U3184" t="str">
        <f t="shared" si="641"/>
        <v>2022-10</v>
      </c>
      <c r="W3184">
        <v>20466.77</v>
      </c>
      <c r="X3184">
        <f t="shared" si="648"/>
        <v>-1.2803450458019656E-2</v>
      </c>
      <c r="Y3184">
        <f t="shared" si="649"/>
        <v>-1.2721834977448665E-2</v>
      </c>
      <c r="Z3184" t="str">
        <f t="shared" si="642"/>
        <v>2022-10</v>
      </c>
    </row>
    <row r="3185" spans="1:26" x14ac:dyDescent="0.35">
      <c r="A3185" s="1">
        <v>44847</v>
      </c>
      <c r="C3185">
        <v>3362.4</v>
      </c>
      <c r="D3185">
        <f t="shared" si="643"/>
        <v>9.223346776135323E-3</v>
      </c>
      <c r="E3185" t="str">
        <f t="shared" si="637"/>
        <v>2022-10</v>
      </c>
      <c r="G3185">
        <v>5879.19</v>
      </c>
      <c r="H3185">
        <f t="shared" si="644"/>
        <v>1.0381656734719719E-2</v>
      </c>
      <c r="I3185" t="str">
        <f t="shared" si="638"/>
        <v>2022-10</v>
      </c>
      <c r="K3185">
        <v>12355.58</v>
      </c>
      <c r="L3185">
        <f t="shared" si="645"/>
        <v>1.4948190589472218E-2</v>
      </c>
      <c r="M3185" t="str">
        <f t="shared" si="639"/>
        <v>2022-10</v>
      </c>
      <c r="O3185">
        <v>7939.3052500000003</v>
      </c>
      <c r="P3185">
        <f t="shared" si="646"/>
        <v>1.793377868757454E-2</v>
      </c>
      <c r="Q3185" t="str">
        <f t="shared" si="640"/>
        <v>2022-10</v>
      </c>
      <c r="S3185">
        <v>7348.8</v>
      </c>
      <c r="T3185">
        <f t="shared" si="647"/>
        <v>1.2005702078433404E-2</v>
      </c>
      <c r="U3185" t="str">
        <f t="shared" si="641"/>
        <v>2022-10</v>
      </c>
      <c r="W3185">
        <v>20785.82</v>
      </c>
      <c r="X3185">
        <f t="shared" si="648"/>
        <v>1.5468428121777192E-2</v>
      </c>
      <c r="Y3185">
        <f t="shared" si="649"/>
        <v>1.5588683509904068E-2</v>
      </c>
      <c r="Z3185" t="str">
        <f t="shared" si="642"/>
        <v>2022-10</v>
      </c>
    </row>
    <row r="3186" spans="1:26" x14ac:dyDescent="0.35">
      <c r="A3186" s="1">
        <v>44848</v>
      </c>
      <c r="C3186">
        <v>3381.73</v>
      </c>
      <c r="D3186">
        <f t="shared" si="643"/>
        <v>5.7324081631774902E-3</v>
      </c>
      <c r="E3186" t="str">
        <f t="shared" si="637"/>
        <v>2022-10</v>
      </c>
      <c r="G3186">
        <v>5931.92</v>
      </c>
      <c r="H3186">
        <f t="shared" si="644"/>
        <v>8.928940688688292E-3</v>
      </c>
      <c r="I3186" t="str">
        <f t="shared" si="638"/>
        <v>2022-10</v>
      </c>
      <c r="K3186">
        <v>12437.81</v>
      </c>
      <c r="L3186">
        <f t="shared" si="645"/>
        <v>6.633243901641812E-3</v>
      </c>
      <c r="M3186" t="str">
        <f t="shared" si="639"/>
        <v>2022-10</v>
      </c>
      <c r="O3186">
        <v>7877.2335000000003</v>
      </c>
      <c r="P3186">
        <f t="shared" si="646"/>
        <v>-7.8490078836591353E-3</v>
      </c>
      <c r="Q3186" t="str">
        <f t="shared" si="640"/>
        <v>2022-10</v>
      </c>
      <c r="S3186">
        <v>7382.5</v>
      </c>
      <c r="T3186">
        <f t="shared" si="647"/>
        <v>4.5753000465486001E-3</v>
      </c>
      <c r="U3186" t="str">
        <f t="shared" si="641"/>
        <v>2022-10</v>
      </c>
      <c r="W3186">
        <v>20930.810000000001</v>
      </c>
      <c r="X3186">
        <f t="shared" si="648"/>
        <v>6.9512126851173344E-3</v>
      </c>
      <c r="Y3186">
        <f t="shared" si="649"/>
        <v>6.9754284411200325E-3</v>
      </c>
      <c r="Z3186" t="str">
        <f t="shared" si="642"/>
        <v>2022-10</v>
      </c>
    </row>
    <row r="3187" spans="1:26" x14ac:dyDescent="0.35">
      <c r="A3187" s="1">
        <v>44851</v>
      </c>
      <c r="C3187">
        <v>3441.64</v>
      </c>
      <c r="D3187">
        <f t="shared" si="643"/>
        <v>1.7560689093002575E-2</v>
      </c>
      <c r="E3187" t="str">
        <f t="shared" si="637"/>
        <v>2022-10</v>
      </c>
      <c r="G3187">
        <v>6040.66</v>
      </c>
      <c r="H3187">
        <f t="shared" si="644"/>
        <v>1.8165339492126911E-2</v>
      </c>
      <c r="I3187" t="str">
        <f t="shared" si="638"/>
        <v>2022-10</v>
      </c>
      <c r="K3187">
        <v>12649.03</v>
      </c>
      <c r="L3187">
        <f t="shared" si="645"/>
        <v>1.6839505594369305E-2</v>
      </c>
      <c r="M3187" t="str">
        <f t="shared" si="639"/>
        <v>2022-10</v>
      </c>
      <c r="O3187">
        <v>8011.1325900000002</v>
      </c>
      <c r="P3187">
        <f t="shared" si="646"/>
        <v>1.685538454136221E-2</v>
      </c>
      <c r="Q3187" t="str">
        <f t="shared" si="640"/>
        <v>2022-10</v>
      </c>
      <c r="S3187">
        <v>7557.1</v>
      </c>
      <c r="T3187">
        <f t="shared" si="647"/>
        <v>2.33751840794145E-2</v>
      </c>
      <c r="U3187" t="str">
        <f t="shared" si="641"/>
        <v>2022-10</v>
      </c>
      <c r="W3187">
        <v>21319.73</v>
      </c>
      <c r="X3187">
        <f t="shared" si="648"/>
        <v>1.841069891327847E-2</v>
      </c>
      <c r="Y3187">
        <f t="shared" si="649"/>
        <v>1.858122069809999E-2</v>
      </c>
      <c r="Z3187" t="str">
        <f t="shared" si="642"/>
        <v>2022-10</v>
      </c>
    </row>
    <row r="3188" spans="1:26" x14ac:dyDescent="0.35">
      <c r="A3188" s="1">
        <v>44852</v>
      </c>
      <c r="C3188">
        <v>3463.83</v>
      </c>
      <c r="D3188">
        <f t="shared" si="643"/>
        <v>6.4268113184908632E-3</v>
      </c>
      <c r="E3188" t="str">
        <f t="shared" si="637"/>
        <v>2022-10</v>
      </c>
      <c r="G3188">
        <v>6067</v>
      </c>
      <c r="H3188">
        <f t="shared" si="644"/>
        <v>4.3509714599565203E-3</v>
      </c>
      <c r="I3188" t="str">
        <f t="shared" si="638"/>
        <v>2022-10</v>
      </c>
      <c r="K3188">
        <v>12765.61</v>
      </c>
      <c r="L3188">
        <f t="shared" si="645"/>
        <v>9.1743040774582753E-3</v>
      </c>
      <c r="M3188" t="str">
        <f t="shared" si="639"/>
        <v>2022-10</v>
      </c>
      <c r="O3188">
        <v>7962.1894899999998</v>
      </c>
      <c r="P3188">
        <f t="shared" si="646"/>
        <v>-6.128124496813327E-3</v>
      </c>
      <c r="Q3188" t="str">
        <f t="shared" si="640"/>
        <v>2022-10</v>
      </c>
      <c r="S3188">
        <v>7611.3</v>
      </c>
      <c r="T3188">
        <f t="shared" si="647"/>
        <v>7.1464664269037465E-3</v>
      </c>
      <c r="U3188" t="str">
        <f t="shared" si="641"/>
        <v>2022-10</v>
      </c>
      <c r="W3188">
        <v>21518.78</v>
      </c>
      <c r="X3188">
        <f t="shared" si="648"/>
        <v>9.2931071843991506E-3</v>
      </c>
      <c r="Y3188">
        <f t="shared" si="649"/>
        <v>9.3364221779543774E-3</v>
      </c>
      <c r="Z3188" t="str">
        <f t="shared" si="642"/>
        <v>2022-10</v>
      </c>
    </row>
    <row r="3189" spans="1:26" x14ac:dyDescent="0.35">
      <c r="A3189" s="1">
        <v>44853</v>
      </c>
      <c r="C3189">
        <v>3471.24</v>
      </c>
      <c r="D3189">
        <f t="shared" si="643"/>
        <v>2.1369655446559898E-3</v>
      </c>
      <c r="E3189" t="str">
        <f t="shared" si="637"/>
        <v>2022-10</v>
      </c>
      <c r="G3189">
        <v>6040.72</v>
      </c>
      <c r="H3189">
        <f t="shared" si="644"/>
        <v>-4.3410388198108323E-3</v>
      </c>
      <c r="I3189" t="str">
        <f t="shared" si="638"/>
        <v>2022-10</v>
      </c>
      <c r="K3189">
        <v>12741.41</v>
      </c>
      <c r="L3189">
        <f t="shared" si="645"/>
        <v>-1.8975174098075798E-3</v>
      </c>
      <c r="M3189" t="str">
        <f t="shared" si="639"/>
        <v>2022-10</v>
      </c>
      <c r="O3189">
        <v>7937.5730100000001</v>
      </c>
      <c r="P3189">
        <f t="shared" si="646"/>
        <v>-3.096461304841841E-3</v>
      </c>
      <c r="Q3189" t="str">
        <f t="shared" si="640"/>
        <v>2022-10</v>
      </c>
      <c r="S3189">
        <v>7583.6</v>
      </c>
      <c r="T3189">
        <f t="shared" si="647"/>
        <v>-3.6459641965126402E-3</v>
      </c>
      <c r="U3189" t="str">
        <f t="shared" si="641"/>
        <v>2022-10</v>
      </c>
      <c r="W3189">
        <v>21472.11</v>
      </c>
      <c r="X3189">
        <f t="shared" si="648"/>
        <v>-2.1711585097797378E-3</v>
      </c>
      <c r="Y3189">
        <f t="shared" si="649"/>
        <v>-2.1688032499982924E-3</v>
      </c>
      <c r="Z3189" t="str">
        <f t="shared" si="642"/>
        <v>2022-10</v>
      </c>
    </row>
    <row r="3190" spans="1:26" x14ac:dyDescent="0.35">
      <c r="A3190" s="1">
        <v>44854</v>
      </c>
      <c r="C3190">
        <v>3492.85</v>
      </c>
      <c r="D3190">
        <f t="shared" si="643"/>
        <v>6.2061430456049329E-3</v>
      </c>
      <c r="E3190" t="str">
        <f t="shared" si="637"/>
        <v>2022-10</v>
      </c>
      <c r="G3190">
        <v>6086.9</v>
      </c>
      <c r="H3190">
        <f t="shared" si="644"/>
        <v>7.6157107824065149E-3</v>
      </c>
      <c r="I3190" t="str">
        <f t="shared" si="638"/>
        <v>2022-10</v>
      </c>
      <c r="K3190">
        <v>12767.41</v>
      </c>
      <c r="L3190">
        <f t="shared" si="645"/>
        <v>2.038511307355263E-3</v>
      </c>
      <c r="M3190" t="str">
        <f t="shared" si="639"/>
        <v>2022-10</v>
      </c>
      <c r="O3190">
        <v>7972.4275299999999</v>
      </c>
      <c r="P3190">
        <f t="shared" si="646"/>
        <v>4.3814675771532072E-3</v>
      </c>
      <c r="Q3190" t="str">
        <f t="shared" si="640"/>
        <v>2022-10</v>
      </c>
      <c r="S3190">
        <v>7644.4</v>
      </c>
      <c r="T3190">
        <f t="shared" si="647"/>
        <v>7.9853326869428597E-3</v>
      </c>
      <c r="U3190" t="str">
        <f t="shared" si="641"/>
        <v>2022-10</v>
      </c>
      <c r="W3190">
        <v>21701.5</v>
      </c>
      <c r="X3190">
        <f t="shared" si="648"/>
        <v>1.0626498854425327E-2</v>
      </c>
      <c r="Y3190">
        <f t="shared" si="649"/>
        <v>1.068316062091706E-2</v>
      </c>
      <c r="Z3190" t="str">
        <f t="shared" si="642"/>
        <v>2022-10</v>
      </c>
    </row>
    <row r="3191" spans="1:26" x14ac:dyDescent="0.35">
      <c r="A3191" s="1">
        <v>44855</v>
      </c>
      <c r="C3191">
        <v>3476.63</v>
      </c>
      <c r="D3191">
        <f t="shared" si="643"/>
        <v>-4.6545880852243799E-3</v>
      </c>
      <c r="E3191" t="str">
        <f t="shared" si="637"/>
        <v>2022-10</v>
      </c>
      <c r="G3191">
        <v>6035.39</v>
      </c>
      <c r="H3191">
        <f t="shared" si="644"/>
        <v>-8.4984454289281051E-3</v>
      </c>
      <c r="I3191" t="str">
        <f t="shared" si="638"/>
        <v>2022-10</v>
      </c>
      <c r="K3191">
        <v>12730.9</v>
      </c>
      <c r="L3191">
        <f t="shared" si="645"/>
        <v>-2.8637211604402063E-3</v>
      </c>
      <c r="M3191" t="str">
        <f t="shared" si="639"/>
        <v>2022-10</v>
      </c>
      <c r="O3191">
        <v>7976.3349699999999</v>
      </c>
      <c r="P3191">
        <f t="shared" si="646"/>
        <v>4.8999915550576871E-4</v>
      </c>
      <c r="Q3191" t="str">
        <f t="shared" si="640"/>
        <v>2022-10</v>
      </c>
      <c r="S3191">
        <v>7545.6</v>
      </c>
      <c r="T3191">
        <f t="shared" si="647"/>
        <v>-1.3008741711829032E-2</v>
      </c>
      <c r="U3191" t="str">
        <f t="shared" si="641"/>
        <v>2022-10</v>
      </c>
      <c r="W3191">
        <v>21567.55</v>
      </c>
      <c r="X3191">
        <f t="shared" si="648"/>
        <v>-6.1915123124823496E-3</v>
      </c>
      <c r="Y3191">
        <f t="shared" si="649"/>
        <v>-6.1723843973919192E-3</v>
      </c>
      <c r="Z3191" t="str">
        <f t="shared" si="642"/>
        <v>2022-10</v>
      </c>
    </row>
    <row r="3192" spans="1:26" x14ac:dyDescent="0.35">
      <c r="A3192" s="1">
        <v>44858</v>
      </c>
      <c r="C3192">
        <v>3527.79</v>
      </c>
      <c r="D3192">
        <f t="shared" si="643"/>
        <v>1.4608178774931421E-2</v>
      </c>
      <c r="E3192" t="str">
        <f t="shared" si="637"/>
        <v>2022-10</v>
      </c>
      <c r="G3192">
        <v>6131.36</v>
      </c>
      <c r="H3192">
        <f t="shared" si="644"/>
        <v>1.5776109553428772E-2</v>
      </c>
      <c r="I3192" t="str">
        <f t="shared" si="638"/>
        <v>2022-10</v>
      </c>
      <c r="K3192">
        <v>12931.45</v>
      </c>
      <c r="L3192">
        <f t="shared" si="645"/>
        <v>1.5630219594857123E-2</v>
      </c>
      <c r="M3192" t="str">
        <f t="shared" si="639"/>
        <v>2022-10</v>
      </c>
      <c r="O3192">
        <v>8011.6236699999999</v>
      </c>
      <c r="P3192">
        <f t="shared" si="646"/>
        <v>4.4144168871972844E-3</v>
      </c>
      <c r="Q3192" t="str">
        <f t="shared" si="640"/>
        <v>2022-10</v>
      </c>
      <c r="S3192">
        <v>7680.5</v>
      </c>
      <c r="T3192">
        <f t="shared" si="647"/>
        <v>1.7720037286203076E-2</v>
      </c>
      <c r="U3192" t="str">
        <f t="shared" si="641"/>
        <v>2022-10</v>
      </c>
      <c r="W3192">
        <v>21982.95</v>
      </c>
      <c r="X3192">
        <f t="shared" si="648"/>
        <v>1.9077282621652501E-2</v>
      </c>
      <c r="Y3192">
        <f t="shared" si="649"/>
        <v>1.9260416690815668E-2</v>
      </c>
      <c r="Z3192" t="str">
        <f t="shared" si="642"/>
        <v>2022-10</v>
      </c>
    </row>
    <row r="3193" spans="1:26" x14ac:dyDescent="0.35">
      <c r="A3193" s="1">
        <v>44859</v>
      </c>
      <c r="C3193">
        <v>3585.58</v>
      </c>
      <c r="D3193">
        <f t="shared" si="643"/>
        <v>1.6248633618536699E-2</v>
      </c>
      <c r="E3193" t="str">
        <f t="shared" si="637"/>
        <v>2022-10</v>
      </c>
      <c r="G3193">
        <v>6250.55</v>
      </c>
      <c r="H3193">
        <f t="shared" si="644"/>
        <v>1.92528748292803E-2</v>
      </c>
      <c r="I3193" t="str">
        <f t="shared" si="638"/>
        <v>2022-10</v>
      </c>
      <c r="K3193">
        <v>13052.96</v>
      </c>
      <c r="L3193">
        <f t="shared" si="645"/>
        <v>9.3525991713186638E-3</v>
      </c>
      <c r="M3193" t="str">
        <f t="shared" si="639"/>
        <v>2022-10</v>
      </c>
      <c r="O3193">
        <v>8081.6370900000002</v>
      </c>
      <c r="P3193">
        <f t="shared" si="646"/>
        <v>8.7010162522545339E-3</v>
      </c>
      <c r="Q3193" t="str">
        <f t="shared" si="640"/>
        <v>2022-10</v>
      </c>
      <c r="S3193">
        <v>7794.9</v>
      </c>
      <c r="T3193">
        <f t="shared" si="647"/>
        <v>1.4785024484018292E-2</v>
      </c>
      <c r="U3193" t="str">
        <f t="shared" si="641"/>
        <v>2022-10</v>
      </c>
      <c r="W3193">
        <v>22289.85</v>
      </c>
      <c r="X3193">
        <f t="shared" si="648"/>
        <v>1.3864265009469308E-2</v>
      </c>
      <c r="Y3193">
        <f t="shared" si="649"/>
        <v>1.3960819635217194E-2</v>
      </c>
      <c r="Z3193" t="str">
        <f t="shared" si="642"/>
        <v>2022-10</v>
      </c>
    </row>
    <row r="3194" spans="1:26" x14ac:dyDescent="0.35">
      <c r="A3194" s="1">
        <v>44860</v>
      </c>
      <c r="C3194">
        <v>3605.31</v>
      </c>
      <c r="D3194">
        <f t="shared" si="643"/>
        <v>5.4875125361191412E-3</v>
      </c>
      <c r="E3194" t="str">
        <f t="shared" si="637"/>
        <v>2022-10</v>
      </c>
      <c r="G3194">
        <v>6276.31</v>
      </c>
      <c r="H3194">
        <f t="shared" si="644"/>
        <v>4.1127682931815374E-3</v>
      </c>
      <c r="I3194" t="str">
        <f t="shared" si="638"/>
        <v>2022-10</v>
      </c>
      <c r="K3194">
        <v>13195.81</v>
      </c>
      <c r="L3194">
        <f t="shared" si="645"/>
        <v>1.0884426987838225E-2</v>
      </c>
      <c r="M3194" t="str">
        <f t="shared" si="639"/>
        <v>2022-10</v>
      </c>
      <c r="O3194">
        <v>8131.0072200000004</v>
      </c>
      <c r="P3194">
        <f t="shared" si="646"/>
        <v>6.0903430261121305E-3</v>
      </c>
      <c r="Q3194" t="str">
        <f t="shared" si="640"/>
        <v>2022-10</v>
      </c>
      <c r="S3194">
        <v>7870.6</v>
      </c>
      <c r="T3194">
        <f t="shared" si="647"/>
        <v>9.6646247140244369E-3</v>
      </c>
      <c r="U3194" t="str">
        <f t="shared" si="641"/>
        <v>2022-10</v>
      </c>
      <c r="W3194">
        <v>22389.78</v>
      </c>
      <c r="X3194">
        <f t="shared" si="648"/>
        <v>4.4731868472602911E-3</v>
      </c>
      <c r="Y3194">
        <f t="shared" si="649"/>
        <v>4.4832064818740502E-3</v>
      </c>
      <c r="Z3194" t="str">
        <f t="shared" si="642"/>
        <v>2022-10</v>
      </c>
    </row>
    <row r="3195" spans="1:26" x14ac:dyDescent="0.35">
      <c r="A3195" s="1">
        <v>44861</v>
      </c>
      <c r="C3195">
        <v>3604.51</v>
      </c>
      <c r="D3195">
        <f t="shared" si="643"/>
        <v>-2.2191954952628589E-4</v>
      </c>
      <c r="E3195" t="str">
        <f t="shared" si="637"/>
        <v>2022-10</v>
      </c>
      <c r="G3195">
        <v>6244.03</v>
      </c>
      <c r="H3195">
        <f t="shared" si="644"/>
        <v>-5.1564209156475544E-3</v>
      </c>
      <c r="I3195" t="str">
        <f t="shared" si="638"/>
        <v>2022-10</v>
      </c>
      <c r="K3195">
        <v>13211.23</v>
      </c>
      <c r="L3195">
        <f t="shared" si="645"/>
        <v>1.1678705188191863E-3</v>
      </c>
      <c r="M3195" t="str">
        <f t="shared" si="639"/>
        <v>2022-10</v>
      </c>
      <c r="O3195">
        <v>8204.4311899999993</v>
      </c>
      <c r="P3195">
        <f t="shared" si="646"/>
        <v>8.9895921520620481E-3</v>
      </c>
      <c r="Q3195" t="str">
        <f t="shared" si="640"/>
        <v>2022-10</v>
      </c>
      <c r="S3195">
        <v>7921.1</v>
      </c>
      <c r="T3195">
        <f t="shared" si="647"/>
        <v>6.3957866659488027E-3</v>
      </c>
      <c r="U3195" t="str">
        <f t="shared" si="641"/>
        <v>2022-10</v>
      </c>
      <c r="W3195">
        <v>22590.41</v>
      </c>
      <c r="X3195">
        <f t="shared" si="648"/>
        <v>8.9208751916430868E-3</v>
      </c>
      <c r="Y3195">
        <f t="shared" si="649"/>
        <v>8.9607847866303748E-3</v>
      </c>
      <c r="Z3195" t="str">
        <f t="shared" si="642"/>
        <v>2022-10</v>
      </c>
    </row>
    <row r="3196" spans="1:26" x14ac:dyDescent="0.35">
      <c r="A3196" s="1">
        <v>44862</v>
      </c>
      <c r="C3196">
        <v>3613.02</v>
      </c>
      <c r="D3196">
        <f t="shared" si="643"/>
        <v>2.3581485476553282E-3</v>
      </c>
      <c r="E3196" t="str">
        <f t="shared" si="637"/>
        <v>2022-10</v>
      </c>
      <c r="G3196">
        <v>6273.05</v>
      </c>
      <c r="H3196">
        <f t="shared" si="644"/>
        <v>4.636872496711299E-3</v>
      </c>
      <c r="I3196" t="str">
        <f t="shared" si="638"/>
        <v>2022-10</v>
      </c>
      <c r="K3196">
        <v>13243.33</v>
      </c>
      <c r="L3196">
        <f t="shared" si="645"/>
        <v>2.4268039804165326E-3</v>
      </c>
      <c r="M3196" t="str">
        <f t="shared" si="639"/>
        <v>2022-10</v>
      </c>
      <c r="O3196">
        <v>8217.6725700000006</v>
      </c>
      <c r="P3196">
        <f t="shared" si="646"/>
        <v>1.6126293029339626E-3</v>
      </c>
      <c r="Q3196" t="str">
        <f t="shared" si="640"/>
        <v>2022-10</v>
      </c>
      <c r="S3196">
        <v>7916.5</v>
      </c>
      <c r="T3196">
        <f t="shared" si="647"/>
        <v>-5.8089611170285282E-4</v>
      </c>
      <c r="U3196" t="str">
        <f t="shared" si="641"/>
        <v>2022-10</v>
      </c>
      <c r="W3196">
        <v>22529.200000000001</v>
      </c>
      <c r="X3196">
        <f t="shared" si="648"/>
        <v>-2.7132343364890499E-3</v>
      </c>
      <c r="Y3196">
        <f t="shared" si="649"/>
        <v>-2.709556842925787E-3</v>
      </c>
      <c r="Z3196" t="str">
        <f t="shared" si="642"/>
        <v>2022-10</v>
      </c>
    </row>
    <row r="3197" spans="1:26" x14ac:dyDescent="0.35">
      <c r="A3197" s="1">
        <v>44865</v>
      </c>
      <c r="C3197">
        <v>3617.54</v>
      </c>
      <c r="D3197">
        <f t="shared" si="643"/>
        <v>1.2502491062314418E-3</v>
      </c>
      <c r="E3197" t="str">
        <f t="shared" si="637"/>
        <v>2022-10</v>
      </c>
      <c r="G3197">
        <v>6266.77</v>
      </c>
      <c r="H3197">
        <f t="shared" si="644"/>
        <v>-1.0016093572346246E-3</v>
      </c>
      <c r="I3197" t="str">
        <f t="shared" si="638"/>
        <v>2022-10</v>
      </c>
      <c r="K3197">
        <v>13253.74</v>
      </c>
      <c r="L3197">
        <f t="shared" si="645"/>
        <v>7.8574729474563225E-4</v>
      </c>
      <c r="M3197" t="str">
        <f t="shared" si="639"/>
        <v>2022-10</v>
      </c>
      <c r="O3197">
        <v>8228.9946400000008</v>
      </c>
      <c r="P3197">
        <f t="shared" si="646"/>
        <v>1.3768226284366107E-3</v>
      </c>
      <c r="Q3197" t="str">
        <f t="shared" si="640"/>
        <v>2022-10</v>
      </c>
      <c r="S3197">
        <v>7956.5</v>
      </c>
      <c r="T3197">
        <f t="shared" si="647"/>
        <v>5.0400157087496797E-3</v>
      </c>
      <c r="U3197" t="str">
        <f t="shared" si="641"/>
        <v>2022-10</v>
      </c>
      <c r="W3197">
        <v>22652.11</v>
      </c>
      <c r="X3197">
        <f t="shared" si="648"/>
        <v>5.4407587206680265E-3</v>
      </c>
      <c r="Y3197">
        <f t="shared" si="649"/>
        <v>5.455586527706259E-3</v>
      </c>
      <c r="Z3197" t="str">
        <f t="shared" si="642"/>
        <v>2022-10</v>
      </c>
    </row>
    <row r="3198" spans="1:26" x14ac:dyDescent="0.35">
      <c r="A3198" s="1">
        <v>44866</v>
      </c>
      <c r="C3198">
        <v>3651.02</v>
      </c>
      <c r="D3198">
        <f t="shared" si="643"/>
        <v>9.2123437873170427E-3</v>
      </c>
      <c r="E3198" t="str">
        <f t="shared" si="637"/>
        <v>2022-11</v>
      </c>
      <c r="G3198">
        <v>6328.25</v>
      </c>
      <c r="H3198">
        <f t="shared" si="644"/>
        <v>9.7626662446493682E-3</v>
      </c>
      <c r="I3198" t="str">
        <f t="shared" si="638"/>
        <v>2022-11</v>
      </c>
      <c r="K3198">
        <v>13338.74</v>
      </c>
      <c r="L3198">
        <f t="shared" si="645"/>
        <v>6.3928064987764715E-3</v>
      </c>
      <c r="M3198" t="str">
        <f t="shared" si="639"/>
        <v>2022-11</v>
      </c>
      <c r="O3198">
        <v>8352.5838700000004</v>
      </c>
      <c r="P3198">
        <f t="shared" si="646"/>
        <v>1.4907087234959806E-2</v>
      </c>
      <c r="Q3198" t="str">
        <f t="shared" si="640"/>
        <v>2022-11</v>
      </c>
      <c r="S3198">
        <v>7999</v>
      </c>
      <c r="T3198">
        <f t="shared" si="647"/>
        <v>5.327329198583244E-3</v>
      </c>
      <c r="U3198" t="str">
        <f t="shared" si="641"/>
        <v>2022-11</v>
      </c>
      <c r="W3198">
        <v>22795.64</v>
      </c>
      <c r="X3198">
        <f t="shared" si="648"/>
        <v>6.3162852806849679E-3</v>
      </c>
      <c r="Y3198">
        <f t="shared" si="649"/>
        <v>6.3362750754785684E-3</v>
      </c>
      <c r="Z3198" t="str">
        <f t="shared" si="642"/>
        <v>2022-11</v>
      </c>
    </row>
    <row r="3199" spans="1:26" x14ac:dyDescent="0.35">
      <c r="A3199" s="1">
        <v>44867</v>
      </c>
      <c r="C3199">
        <v>3622.01</v>
      </c>
      <c r="D3199">
        <f t="shared" si="643"/>
        <v>-7.9774602467546397E-3</v>
      </c>
      <c r="E3199" t="str">
        <f t="shared" si="637"/>
        <v>2022-11</v>
      </c>
      <c r="G3199">
        <v>6276.88</v>
      </c>
      <c r="H3199">
        <f t="shared" si="644"/>
        <v>-8.1506948983195663E-3</v>
      </c>
      <c r="I3199" t="str">
        <f t="shared" si="638"/>
        <v>2022-11</v>
      </c>
      <c r="K3199">
        <v>13256.74</v>
      </c>
      <c r="L3199">
        <f t="shared" si="645"/>
        <v>-6.1664809088357482E-3</v>
      </c>
      <c r="M3199" t="str">
        <f t="shared" si="639"/>
        <v>2022-11</v>
      </c>
      <c r="O3199">
        <v>8296.0241100000003</v>
      </c>
      <c r="P3199">
        <f t="shared" si="646"/>
        <v>-6.794559360491342E-3</v>
      </c>
      <c r="Q3199" t="str">
        <f t="shared" si="640"/>
        <v>2022-11</v>
      </c>
      <c r="S3199">
        <v>7968.6</v>
      </c>
      <c r="T3199">
        <f t="shared" si="647"/>
        <v>-3.8077152145618346E-3</v>
      </c>
      <c r="U3199" t="str">
        <f t="shared" si="641"/>
        <v>2022-11</v>
      </c>
      <c r="W3199">
        <v>22802.97</v>
      </c>
      <c r="X3199">
        <f t="shared" si="648"/>
        <v>3.2150103098061702E-4</v>
      </c>
      <c r="Y3199">
        <f t="shared" si="649"/>
        <v>3.2155271797597025E-4</v>
      </c>
      <c r="Z3199" t="str">
        <f t="shared" si="642"/>
        <v>2022-11</v>
      </c>
    </row>
    <row r="3200" spans="1:26" x14ac:dyDescent="0.35">
      <c r="A3200" s="1">
        <v>44868</v>
      </c>
      <c r="C3200">
        <v>3593.18</v>
      </c>
      <c r="D3200">
        <f t="shared" si="643"/>
        <v>-7.9915160748055079E-3</v>
      </c>
      <c r="E3200" t="str">
        <f t="shared" si="637"/>
        <v>2022-11</v>
      </c>
      <c r="G3200">
        <v>6243.28</v>
      </c>
      <c r="H3200">
        <f t="shared" si="644"/>
        <v>-5.3673564337522817E-3</v>
      </c>
      <c r="I3200" t="str">
        <f t="shared" si="638"/>
        <v>2022-11</v>
      </c>
      <c r="K3200">
        <v>13130.19</v>
      </c>
      <c r="L3200">
        <f t="shared" si="645"/>
        <v>-9.5919434562418814E-3</v>
      </c>
      <c r="M3200" t="str">
        <f t="shared" si="639"/>
        <v>2022-11</v>
      </c>
      <c r="O3200">
        <v>8243.2869100000007</v>
      </c>
      <c r="P3200">
        <f t="shared" si="646"/>
        <v>-6.3772159150229249E-3</v>
      </c>
      <c r="Q3200" t="str">
        <f t="shared" si="640"/>
        <v>2022-11</v>
      </c>
      <c r="S3200">
        <v>7868.9</v>
      </c>
      <c r="T3200">
        <f t="shared" si="647"/>
        <v>-1.259053727508189E-2</v>
      </c>
      <c r="U3200" t="str">
        <f t="shared" si="641"/>
        <v>2022-11</v>
      </c>
      <c r="W3200">
        <v>22706.02</v>
      </c>
      <c r="X3200">
        <f t="shared" si="648"/>
        <v>-4.2607030683757402E-3</v>
      </c>
      <c r="Y3200">
        <f t="shared" si="649"/>
        <v>-4.2516391505141972E-3</v>
      </c>
      <c r="Z3200" t="str">
        <f t="shared" si="642"/>
        <v>2022-11</v>
      </c>
    </row>
    <row r="3201" spans="1:26" x14ac:dyDescent="0.35">
      <c r="A3201" s="1">
        <v>44869</v>
      </c>
      <c r="C3201">
        <v>3688.33</v>
      </c>
      <c r="D3201">
        <f t="shared" si="643"/>
        <v>2.6136176795748117E-2</v>
      </c>
      <c r="E3201" t="str">
        <f t="shared" si="637"/>
        <v>2022-11</v>
      </c>
      <c r="G3201">
        <v>6416.44</v>
      </c>
      <c r="H3201">
        <f t="shared" si="644"/>
        <v>2.7357761460302176E-2</v>
      </c>
      <c r="I3201" t="str">
        <f t="shared" si="638"/>
        <v>2022-11</v>
      </c>
      <c r="K3201">
        <v>13459.85</v>
      </c>
      <c r="L3201">
        <f t="shared" si="645"/>
        <v>2.4797021135885118E-2</v>
      </c>
      <c r="M3201" t="str">
        <f t="shared" si="639"/>
        <v>2022-11</v>
      </c>
      <c r="O3201">
        <v>8377.0776700000006</v>
      </c>
      <c r="P3201">
        <f t="shared" si="646"/>
        <v>1.6099965716530065E-2</v>
      </c>
      <c r="Q3201" t="str">
        <f t="shared" si="640"/>
        <v>2022-11</v>
      </c>
      <c r="S3201">
        <v>7942.7</v>
      </c>
      <c r="T3201">
        <f t="shared" si="647"/>
        <v>9.3349864558110712E-3</v>
      </c>
      <c r="U3201" t="str">
        <f t="shared" si="641"/>
        <v>2022-11</v>
      </c>
      <c r="W3201">
        <v>23282.46</v>
      </c>
      <c r="X3201">
        <f t="shared" si="648"/>
        <v>2.5070199817232141E-2</v>
      </c>
      <c r="Y3201">
        <f t="shared" si="649"/>
        <v>2.5387099984937857E-2</v>
      </c>
      <c r="Z3201" t="str">
        <f t="shared" si="642"/>
        <v>2022-11</v>
      </c>
    </row>
    <row r="3202" spans="1:26" x14ac:dyDescent="0.35">
      <c r="A3202" s="1">
        <v>44872</v>
      </c>
      <c r="C3202">
        <v>3708.8</v>
      </c>
      <c r="D3202">
        <f t="shared" si="643"/>
        <v>5.534593079365417E-3</v>
      </c>
      <c r="E3202" t="str">
        <f t="shared" si="637"/>
        <v>2022-11</v>
      </c>
      <c r="G3202">
        <v>6416.61</v>
      </c>
      <c r="H3202">
        <f t="shared" si="644"/>
        <v>2.6494091429563879E-5</v>
      </c>
      <c r="I3202" t="str">
        <f t="shared" si="638"/>
        <v>2022-11</v>
      </c>
      <c r="K3202">
        <v>13533.52</v>
      </c>
      <c r="L3202">
        <f t="shared" si="645"/>
        <v>5.4583909241739505E-3</v>
      </c>
      <c r="M3202" t="str">
        <f t="shared" si="639"/>
        <v>2022-11</v>
      </c>
      <c r="O3202">
        <v>8389.6712100000004</v>
      </c>
      <c r="P3202">
        <f t="shared" si="646"/>
        <v>1.5022044474294202E-3</v>
      </c>
      <c r="Q3202" t="str">
        <f t="shared" si="640"/>
        <v>2022-11</v>
      </c>
      <c r="S3202">
        <v>7962.3</v>
      </c>
      <c r="T3202">
        <f t="shared" si="647"/>
        <v>2.4646350105703547E-3</v>
      </c>
      <c r="U3202" t="str">
        <f t="shared" si="641"/>
        <v>2022-11</v>
      </c>
      <c r="W3202">
        <v>23493</v>
      </c>
      <c r="X3202">
        <f t="shared" si="648"/>
        <v>9.0022170532725772E-3</v>
      </c>
      <c r="Y3202">
        <f t="shared" si="649"/>
        <v>9.0428588731603487E-3</v>
      </c>
      <c r="Z3202" t="str">
        <f t="shared" si="642"/>
        <v>2022-11</v>
      </c>
    </row>
    <row r="3203" spans="1:26" x14ac:dyDescent="0.35">
      <c r="A3203" s="1">
        <v>44873</v>
      </c>
      <c r="C3203">
        <v>3739.28</v>
      </c>
      <c r="D3203">
        <f t="shared" si="643"/>
        <v>8.1847053610838005E-3</v>
      </c>
      <c r="E3203" t="str">
        <f t="shared" si="637"/>
        <v>2022-11</v>
      </c>
      <c r="G3203">
        <v>6441.5</v>
      </c>
      <c r="H3203">
        <f t="shared" si="644"/>
        <v>3.8714913915849462E-3</v>
      </c>
      <c r="I3203" t="str">
        <f t="shared" si="638"/>
        <v>2022-11</v>
      </c>
      <c r="K3203">
        <v>13688.75</v>
      </c>
      <c r="L3203">
        <f t="shared" si="645"/>
        <v>1.1404756659930224E-2</v>
      </c>
      <c r="M3203" t="str">
        <f t="shared" si="639"/>
        <v>2022-11</v>
      </c>
      <c r="O3203">
        <v>8385.2586200000005</v>
      </c>
      <c r="P3203">
        <f t="shared" si="646"/>
        <v>-5.2609341994179894E-4</v>
      </c>
      <c r="Q3203" t="str">
        <f t="shared" si="640"/>
        <v>2022-11</v>
      </c>
      <c r="S3203">
        <v>7998.9</v>
      </c>
      <c r="T3203">
        <f t="shared" si="647"/>
        <v>4.5861293824216868E-3</v>
      </c>
      <c r="U3203" t="str">
        <f t="shared" si="641"/>
        <v>2022-11</v>
      </c>
      <c r="W3203">
        <v>23694.17</v>
      </c>
      <c r="X3203">
        <f t="shared" si="648"/>
        <v>8.5265218821069123E-3</v>
      </c>
      <c r="Y3203">
        <f t="shared" si="649"/>
        <v>8.5629762056782122E-3</v>
      </c>
      <c r="Z3203" t="str">
        <f t="shared" si="642"/>
        <v>2022-11</v>
      </c>
    </row>
    <row r="3204" spans="1:26" x14ac:dyDescent="0.35">
      <c r="A3204" s="1">
        <v>44874</v>
      </c>
      <c r="C3204">
        <v>3728.03</v>
      </c>
      <c r="D3204">
        <f t="shared" si="643"/>
        <v>-3.0131355231128171E-3</v>
      </c>
      <c r="E3204" t="str">
        <f t="shared" ref="E3204:E3267" si="650">_xlfn.CONCAT(YEAR(A3204),"-",TEXT(MONTH(A3204),"00"))</f>
        <v>2022-11</v>
      </c>
      <c r="G3204">
        <v>6430.57</v>
      </c>
      <c r="H3204">
        <f t="shared" si="644"/>
        <v>-1.6982509614839661E-3</v>
      </c>
      <c r="I3204" t="str">
        <f t="shared" ref="I3204:I3267" si="651">_xlfn.CONCAT(YEAR(A3204),"-",TEXT(MONTH(A3204),"00"))</f>
        <v>2022-11</v>
      </c>
      <c r="K3204">
        <v>13666.32</v>
      </c>
      <c r="L3204">
        <f t="shared" si="645"/>
        <v>-1.6399157470109707E-3</v>
      </c>
      <c r="M3204" t="str">
        <f t="shared" ref="M3204:M3267" si="652">_xlfn.CONCAT(YEAR(A3204),"-",TEXT(MONTH(A3204),"00"))</f>
        <v>2022-11</v>
      </c>
      <c r="O3204">
        <v>8280.0467499999995</v>
      </c>
      <c r="P3204">
        <f t="shared" si="646"/>
        <v>-1.2626623455368273E-2</v>
      </c>
      <c r="Q3204" t="str">
        <f t="shared" ref="Q3204:Q3267" si="653">_xlfn.CONCAT(YEAR(A3204),"-",TEXT(MONTH(A3204),"00"))</f>
        <v>2022-11</v>
      </c>
      <c r="S3204">
        <v>8040.4</v>
      </c>
      <c r="T3204">
        <f t="shared" si="647"/>
        <v>5.1748009712597751E-3</v>
      </c>
      <c r="U3204" t="str">
        <f t="shared" ref="U3204:U3267" si="654">_xlfn.CONCAT(YEAR(A3204),"-",TEXT(MONTH(A3204),"00"))</f>
        <v>2022-11</v>
      </c>
      <c r="W3204">
        <v>23780.07</v>
      </c>
      <c r="X3204">
        <f t="shared" si="648"/>
        <v>3.6188085894121535E-3</v>
      </c>
      <c r="Y3204">
        <f t="shared" si="649"/>
        <v>3.6253643828841214E-3</v>
      </c>
      <c r="Z3204" t="str">
        <f t="shared" ref="Z3204:Z3267" si="655">_xlfn.CONCAT(YEAR(A3204),"-",TEXT(MONTH(A3204),"00"))</f>
        <v>2022-11</v>
      </c>
    </row>
    <row r="3205" spans="1:26" x14ac:dyDescent="0.35">
      <c r="A3205" s="1">
        <v>44875</v>
      </c>
      <c r="C3205">
        <v>3846.56</v>
      </c>
      <c r="D3205">
        <f t="shared" ref="D3205:D3268" si="656">LN(C3205/C3204)</f>
        <v>3.1299298390055103E-2</v>
      </c>
      <c r="E3205" t="str">
        <f t="shared" si="650"/>
        <v>2022-11</v>
      </c>
      <c r="G3205">
        <v>6556.83</v>
      </c>
      <c r="H3205">
        <f t="shared" ref="H3205:H3268" si="657">LN(G3205/G3204)</f>
        <v>1.9444073166653603E-2</v>
      </c>
      <c r="I3205" t="str">
        <f t="shared" si="651"/>
        <v>2022-11</v>
      </c>
      <c r="K3205">
        <v>14146.09</v>
      </c>
      <c r="L3205">
        <f t="shared" ref="L3205:L3268" si="658">LN(K3205/K3204)</f>
        <v>3.4503848955274981E-2</v>
      </c>
      <c r="M3205" t="str">
        <f t="shared" si="652"/>
        <v>2022-11</v>
      </c>
      <c r="O3205">
        <v>8466.7710700000007</v>
      </c>
      <c r="P3205">
        <f t="shared" ref="P3205:P3268" si="659">LN(O3205/O3204)</f>
        <v>2.2300601866221566E-2</v>
      </c>
      <c r="Q3205" t="str">
        <f t="shared" si="653"/>
        <v>2022-11</v>
      </c>
      <c r="S3205">
        <v>8133.2</v>
      </c>
      <c r="T3205">
        <f t="shared" ref="T3205:T3268" si="660">LN(S3205/S3204)</f>
        <v>1.1475616856945566E-2</v>
      </c>
      <c r="U3205" t="str">
        <f t="shared" si="654"/>
        <v>2022-11</v>
      </c>
      <c r="W3205">
        <v>24394.28</v>
      </c>
      <c r="X3205">
        <f t="shared" ref="X3205:X3268" si="661">LN(W3205/W3204)</f>
        <v>2.5500843679094928E-2</v>
      </c>
      <c r="Y3205">
        <f t="shared" ref="Y3205:Y3268" si="662">(W3205-W3204)/W3204</f>
        <v>2.5828771740369103E-2</v>
      </c>
      <c r="Z3205" t="str">
        <f t="shared" si="655"/>
        <v>2022-11</v>
      </c>
    </row>
    <row r="3206" spans="1:26" x14ac:dyDescent="0.35">
      <c r="A3206" s="1">
        <v>44876</v>
      </c>
      <c r="C3206">
        <v>3868.5</v>
      </c>
      <c r="D3206">
        <f t="shared" si="656"/>
        <v>5.6875926160503036E-3</v>
      </c>
      <c r="E3206" t="str">
        <f t="shared" si="650"/>
        <v>2022-11</v>
      </c>
      <c r="G3206">
        <v>6594.62</v>
      </c>
      <c r="H3206">
        <f t="shared" si="657"/>
        <v>5.7469106459613201E-3</v>
      </c>
      <c r="I3206" t="str">
        <f t="shared" si="651"/>
        <v>2022-11</v>
      </c>
      <c r="K3206">
        <v>14224.86</v>
      </c>
      <c r="L3206">
        <f t="shared" si="658"/>
        <v>5.5528773200998029E-3</v>
      </c>
      <c r="M3206" t="str">
        <f t="shared" si="652"/>
        <v>2022-11</v>
      </c>
      <c r="O3206">
        <v>8349.0189499999997</v>
      </c>
      <c r="P3206">
        <f t="shared" si="659"/>
        <v>-1.4005175440526374E-2</v>
      </c>
      <c r="Q3206" t="str">
        <f t="shared" si="653"/>
        <v>2022-11</v>
      </c>
      <c r="S3206">
        <v>8098.1</v>
      </c>
      <c r="T3206">
        <f t="shared" si="660"/>
        <v>-4.3249837922440569E-3</v>
      </c>
      <c r="U3206" t="str">
        <f t="shared" si="654"/>
        <v>2022-11</v>
      </c>
      <c r="W3206">
        <v>24455.57</v>
      </c>
      <c r="X3206">
        <f t="shared" si="661"/>
        <v>2.5093232491156612E-3</v>
      </c>
      <c r="Y3206">
        <f t="shared" si="662"/>
        <v>2.5124742357635018E-3</v>
      </c>
      <c r="Z3206" t="str">
        <f t="shared" si="655"/>
        <v>2022-11</v>
      </c>
    </row>
    <row r="3207" spans="1:26" x14ac:dyDescent="0.35">
      <c r="A3207" s="1">
        <v>44879</v>
      </c>
      <c r="C3207">
        <v>3887.51</v>
      </c>
      <c r="D3207">
        <f t="shared" si="656"/>
        <v>4.9020148419388751E-3</v>
      </c>
      <c r="E3207" t="str">
        <f t="shared" si="650"/>
        <v>2022-11</v>
      </c>
      <c r="G3207">
        <v>6609.17</v>
      </c>
      <c r="H3207">
        <f t="shared" si="657"/>
        <v>2.2039135565464748E-3</v>
      </c>
      <c r="I3207" t="str">
        <f t="shared" si="651"/>
        <v>2022-11</v>
      </c>
      <c r="K3207">
        <v>14313.3</v>
      </c>
      <c r="L3207">
        <f t="shared" si="658"/>
        <v>6.1980368126911657E-3</v>
      </c>
      <c r="M3207" t="str">
        <f t="shared" si="652"/>
        <v>2022-11</v>
      </c>
      <c r="O3207">
        <v>8401.2024799999999</v>
      </c>
      <c r="P3207">
        <f t="shared" si="659"/>
        <v>6.2308070427062687E-3</v>
      </c>
      <c r="Q3207" t="str">
        <f t="shared" si="653"/>
        <v>2022-11</v>
      </c>
      <c r="S3207">
        <v>8166.5</v>
      </c>
      <c r="T3207">
        <f t="shared" si="660"/>
        <v>8.410954249251406E-3</v>
      </c>
      <c r="U3207" t="str">
        <f t="shared" si="654"/>
        <v>2022-11</v>
      </c>
      <c r="W3207">
        <v>24596.69</v>
      </c>
      <c r="X3207">
        <f t="shared" si="661"/>
        <v>5.7538792031022667E-3</v>
      </c>
      <c r="Y3207">
        <f t="shared" si="662"/>
        <v>5.7704645608341572E-3</v>
      </c>
      <c r="Z3207" t="str">
        <f t="shared" si="655"/>
        <v>2022-11</v>
      </c>
    </row>
    <row r="3208" spans="1:26" x14ac:dyDescent="0.35">
      <c r="A3208" s="1">
        <v>44880</v>
      </c>
      <c r="C3208">
        <v>3915.09</v>
      </c>
      <c r="D3208">
        <f t="shared" si="656"/>
        <v>7.0694678349708662E-3</v>
      </c>
      <c r="E3208" t="str">
        <f t="shared" si="650"/>
        <v>2022-11</v>
      </c>
      <c r="G3208">
        <v>6641.66</v>
      </c>
      <c r="H3208">
        <f t="shared" si="657"/>
        <v>4.9038535864301507E-3</v>
      </c>
      <c r="I3208" t="str">
        <f t="shared" si="651"/>
        <v>2022-11</v>
      </c>
      <c r="K3208">
        <v>14378.51</v>
      </c>
      <c r="L3208">
        <f t="shared" si="658"/>
        <v>4.5455558419727682E-3</v>
      </c>
      <c r="M3208" t="str">
        <f t="shared" si="652"/>
        <v>2022-11</v>
      </c>
      <c r="O3208">
        <v>8438.8426099999997</v>
      </c>
      <c r="P3208">
        <f t="shared" si="659"/>
        <v>4.4703197029959639E-3</v>
      </c>
      <c r="Q3208" t="str">
        <f t="shared" si="653"/>
        <v>2022-11</v>
      </c>
      <c r="S3208">
        <v>8188.4</v>
      </c>
      <c r="T3208">
        <f t="shared" si="660"/>
        <v>2.6780980732722345E-3</v>
      </c>
      <c r="U3208" t="str">
        <f t="shared" si="654"/>
        <v>2022-11</v>
      </c>
      <c r="W3208">
        <v>24699.75</v>
      </c>
      <c r="X3208">
        <f t="shared" si="661"/>
        <v>4.1812410854769073E-3</v>
      </c>
      <c r="Y3208">
        <f t="shared" si="662"/>
        <v>4.1899946700145957E-3</v>
      </c>
      <c r="Z3208" t="str">
        <f t="shared" si="655"/>
        <v>2022-11</v>
      </c>
    </row>
    <row r="3209" spans="1:26" x14ac:dyDescent="0.35">
      <c r="A3209" s="1">
        <v>44881</v>
      </c>
      <c r="C3209">
        <v>3882.78</v>
      </c>
      <c r="D3209">
        <f t="shared" si="656"/>
        <v>-8.28692576362881E-3</v>
      </c>
      <c r="E3209" t="str">
        <f t="shared" si="650"/>
        <v>2022-11</v>
      </c>
      <c r="G3209">
        <v>6607.22</v>
      </c>
      <c r="H3209">
        <f t="shared" si="657"/>
        <v>-5.198941732913364E-3</v>
      </c>
      <c r="I3209" t="str">
        <f t="shared" si="651"/>
        <v>2022-11</v>
      </c>
      <c r="K3209">
        <v>14234.03</v>
      </c>
      <c r="L3209">
        <f t="shared" si="658"/>
        <v>-1.0099154286381869E-2</v>
      </c>
      <c r="M3209" t="str">
        <f t="shared" si="652"/>
        <v>2022-11</v>
      </c>
      <c r="O3209">
        <v>8420.8787599999996</v>
      </c>
      <c r="P3209">
        <f t="shared" si="659"/>
        <v>-2.1309790836629033E-3</v>
      </c>
      <c r="Q3209" t="str">
        <f t="shared" si="653"/>
        <v>2022-11</v>
      </c>
      <c r="S3209">
        <v>8101.4</v>
      </c>
      <c r="T3209">
        <f t="shared" si="660"/>
        <v>-1.0681632334789828E-2</v>
      </c>
      <c r="U3209" t="str">
        <f t="shared" si="654"/>
        <v>2022-11</v>
      </c>
      <c r="W3209">
        <v>24531.27</v>
      </c>
      <c r="X3209">
        <f t="shared" si="661"/>
        <v>-6.8444918562455296E-3</v>
      </c>
      <c r="Y3209">
        <f t="shared" si="662"/>
        <v>-6.8211216712719585E-3</v>
      </c>
      <c r="Z3209" t="str">
        <f t="shared" si="655"/>
        <v>2022-11</v>
      </c>
    </row>
    <row r="3210" spans="1:26" x14ac:dyDescent="0.35">
      <c r="A3210" s="1">
        <v>44882</v>
      </c>
      <c r="C3210">
        <v>3878.42</v>
      </c>
      <c r="D3210">
        <f t="shared" si="656"/>
        <v>-1.1235377154690781E-3</v>
      </c>
      <c r="E3210" t="str">
        <f t="shared" si="650"/>
        <v>2022-11</v>
      </c>
      <c r="G3210">
        <v>6576.12</v>
      </c>
      <c r="H3210">
        <f t="shared" si="657"/>
        <v>-4.7180847480710712E-3</v>
      </c>
      <c r="I3210" t="str">
        <f t="shared" si="651"/>
        <v>2022-11</v>
      </c>
      <c r="K3210">
        <v>14266.38</v>
      </c>
      <c r="L3210">
        <f t="shared" si="658"/>
        <v>2.2701437553436341E-3</v>
      </c>
      <c r="M3210" t="str">
        <f t="shared" si="652"/>
        <v>2022-11</v>
      </c>
      <c r="O3210">
        <v>8402.0283999999992</v>
      </c>
      <c r="P3210">
        <f t="shared" si="659"/>
        <v>-2.241035715167566E-3</v>
      </c>
      <c r="Q3210" t="str">
        <f t="shared" si="653"/>
        <v>2022-11</v>
      </c>
      <c r="S3210">
        <v>8040.7</v>
      </c>
      <c r="T3210">
        <f t="shared" si="660"/>
        <v>-7.5207421719564078E-3</v>
      </c>
      <c r="U3210" t="str">
        <f t="shared" si="654"/>
        <v>2022-11</v>
      </c>
      <c r="W3210">
        <v>24339.67</v>
      </c>
      <c r="X3210">
        <f t="shared" si="661"/>
        <v>-7.8411007308367472E-3</v>
      </c>
      <c r="Y3210">
        <f t="shared" si="662"/>
        <v>-7.8104394921258528E-3</v>
      </c>
      <c r="Z3210" t="str">
        <f t="shared" si="655"/>
        <v>2022-11</v>
      </c>
    </row>
    <row r="3211" spans="1:26" x14ac:dyDescent="0.35">
      <c r="A3211" s="1">
        <v>44883</v>
      </c>
      <c r="C3211">
        <v>3924.84</v>
      </c>
      <c r="D3211">
        <f t="shared" si="656"/>
        <v>1.1897731867089589E-2</v>
      </c>
      <c r="E3211" t="str">
        <f t="shared" si="650"/>
        <v>2022-11</v>
      </c>
      <c r="G3211">
        <v>6644.46</v>
      </c>
      <c r="H3211">
        <f t="shared" si="657"/>
        <v>1.0338518992184522E-2</v>
      </c>
      <c r="I3211" t="str">
        <f t="shared" si="651"/>
        <v>2022-11</v>
      </c>
      <c r="K3211">
        <v>14431.86</v>
      </c>
      <c r="L3211">
        <f t="shared" si="658"/>
        <v>1.1532542348206488E-2</v>
      </c>
      <c r="M3211" t="str">
        <f t="shared" si="652"/>
        <v>2022-11</v>
      </c>
      <c r="O3211">
        <v>8490.5247299999992</v>
      </c>
      <c r="P3211">
        <f t="shared" si="659"/>
        <v>1.0477651178013962E-2</v>
      </c>
      <c r="Q3211" t="str">
        <f t="shared" si="653"/>
        <v>2022-11</v>
      </c>
      <c r="S3211">
        <v>8127.8</v>
      </c>
      <c r="T3211">
        <f t="shared" si="660"/>
        <v>1.0774140156590738E-2</v>
      </c>
      <c r="U3211" t="str">
        <f t="shared" si="654"/>
        <v>2022-11</v>
      </c>
      <c r="W3211">
        <v>24675.18</v>
      </c>
      <c r="X3211">
        <f t="shared" si="661"/>
        <v>1.3690350587627889E-2</v>
      </c>
      <c r="Y3211">
        <f t="shared" si="662"/>
        <v>1.3784492558855648E-2</v>
      </c>
      <c r="Z3211" t="str">
        <f t="shared" si="655"/>
        <v>2022-11</v>
      </c>
    </row>
    <row r="3212" spans="1:26" x14ac:dyDescent="0.35">
      <c r="A3212" s="1">
        <v>44886</v>
      </c>
      <c r="C3212">
        <v>3909.28</v>
      </c>
      <c r="D3212">
        <f t="shared" si="656"/>
        <v>-3.9723722539504649E-3</v>
      </c>
      <c r="E3212" t="str">
        <f t="shared" si="650"/>
        <v>2022-11</v>
      </c>
      <c r="G3212">
        <v>6634.45</v>
      </c>
      <c r="H3212">
        <f t="shared" si="657"/>
        <v>-1.5076541517456566E-3</v>
      </c>
      <c r="I3212" t="str">
        <f t="shared" si="651"/>
        <v>2022-11</v>
      </c>
      <c r="K3212">
        <v>14379.93</v>
      </c>
      <c r="L3212">
        <f t="shared" si="658"/>
        <v>-3.6047781990196123E-3</v>
      </c>
      <c r="M3212" t="str">
        <f t="shared" si="652"/>
        <v>2022-11</v>
      </c>
      <c r="O3212">
        <v>8501.4357500000006</v>
      </c>
      <c r="P3212">
        <f t="shared" si="659"/>
        <v>1.2842569299153673E-3</v>
      </c>
      <c r="Q3212" t="str">
        <f t="shared" si="653"/>
        <v>2022-11</v>
      </c>
      <c r="S3212">
        <v>8188.4</v>
      </c>
      <c r="T3212">
        <f t="shared" si="660"/>
        <v>7.4282343501554902E-3</v>
      </c>
      <c r="U3212" t="str">
        <f t="shared" si="654"/>
        <v>2022-11</v>
      </c>
      <c r="W3212">
        <v>24356.05</v>
      </c>
      <c r="X3212">
        <f t="shared" si="661"/>
        <v>-1.3017601499297777E-2</v>
      </c>
      <c r="Y3212">
        <f t="shared" si="662"/>
        <v>-1.2933238987517052E-2</v>
      </c>
      <c r="Z3212" t="str">
        <f t="shared" si="655"/>
        <v>2022-11</v>
      </c>
    </row>
    <row r="3213" spans="1:26" x14ac:dyDescent="0.35">
      <c r="A3213" s="1">
        <v>44887</v>
      </c>
      <c r="C3213">
        <v>3929.9</v>
      </c>
      <c r="D3213">
        <f t="shared" si="656"/>
        <v>5.2607664464888512E-3</v>
      </c>
      <c r="E3213" t="str">
        <f t="shared" si="650"/>
        <v>2022-11</v>
      </c>
      <c r="G3213">
        <v>6657.53</v>
      </c>
      <c r="H3213">
        <f t="shared" si="657"/>
        <v>3.4727742888125425E-3</v>
      </c>
      <c r="I3213" t="str">
        <f t="shared" si="651"/>
        <v>2022-11</v>
      </c>
      <c r="K3213">
        <v>14422.35</v>
      </c>
      <c r="L3213">
        <f t="shared" si="658"/>
        <v>2.9456022697981312E-3</v>
      </c>
      <c r="M3213" t="str">
        <f t="shared" si="652"/>
        <v>2022-11</v>
      </c>
      <c r="O3213">
        <v>8600.8784799999994</v>
      </c>
      <c r="P3213">
        <f t="shared" si="659"/>
        <v>1.1629285882843248E-2</v>
      </c>
      <c r="Q3213" t="str">
        <f t="shared" si="653"/>
        <v>2022-11</v>
      </c>
      <c r="S3213">
        <v>8325</v>
      </c>
      <c r="T3213">
        <f t="shared" si="660"/>
        <v>1.6544517282178348E-2</v>
      </c>
      <c r="U3213" t="str">
        <f t="shared" si="654"/>
        <v>2022-11</v>
      </c>
      <c r="W3213">
        <v>24590.5</v>
      </c>
      <c r="X3213">
        <f t="shared" si="661"/>
        <v>9.5799108638016731E-3</v>
      </c>
      <c r="Y3213">
        <f t="shared" si="662"/>
        <v>9.6259450937241763E-3</v>
      </c>
      <c r="Z3213" t="str">
        <f t="shared" si="655"/>
        <v>2022-11</v>
      </c>
    </row>
    <row r="3214" spans="1:26" x14ac:dyDescent="0.35">
      <c r="A3214" s="1">
        <v>44888</v>
      </c>
      <c r="C3214">
        <v>3946.44</v>
      </c>
      <c r="D3214">
        <f t="shared" si="656"/>
        <v>4.1999264412001516E-3</v>
      </c>
      <c r="E3214" t="str">
        <f t="shared" si="650"/>
        <v>2022-11</v>
      </c>
      <c r="G3214">
        <v>6679.09</v>
      </c>
      <c r="H3214">
        <f t="shared" si="657"/>
        <v>3.2332058320126322E-3</v>
      </c>
      <c r="I3214" t="str">
        <f t="shared" si="651"/>
        <v>2022-11</v>
      </c>
      <c r="K3214">
        <v>14427.59</v>
      </c>
      <c r="L3214">
        <f t="shared" si="658"/>
        <v>3.6325899170818409E-4</v>
      </c>
      <c r="M3214" t="str">
        <f t="shared" si="652"/>
        <v>2022-11</v>
      </c>
      <c r="O3214">
        <v>8665.2679700000008</v>
      </c>
      <c r="P3214">
        <f t="shared" si="659"/>
        <v>7.4585013721583469E-3</v>
      </c>
      <c r="Q3214" t="str">
        <f t="shared" si="653"/>
        <v>2022-11</v>
      </c>
      <c r="S3214">
        <v>8331.2000000000007</v>
      </c>
      <c r="T3214">
        <f t="shared" si="660"/>
        <v>7.4446755999015013E-4</v>
      </c>
      <c r="U3214" t="str">
        <f t="shared" si="654"/>
        <v>2022-11</v>
      </c>
      <c r="W3214">
        <v>24581.14</v>
      </c>
      <c r="X3214">
        <f t="shared" si="661"/>
        <v>-3.8070725780356337E-4</v>
      </c>
      <c r="Y3214">
        <f t="shared" si="662"/>
        <v>-3.8063479799111777E-4</v>
      </c>
      <c r="Z3214" t="str">
        <f t="shared" si="655"/>
        <v>2022-11</v>
      </c>
    </row>
    <row r="3215" spans="1:26" x14ac:dyDescent="0.35">
      <c r="A3215" s="1">
        <v>44889</v>
      </c>
      <c r="C3215">
        <v>3961.99</v>
      </c>
      <c r="D3215">
        <f t="shared" si="656"/>
        <v>3.932517589372712E-3</v>
      </c>
      <c r="E3215" t="str">
        <f t="shared" si="650"/>
        <v>2022-11</v>
      </c>
      <c r="G3215">
        <v>6707.32</v>
      </c>
      <c r="H3215">
        <f t="shared" si="657"/>
        <v>4.2177166019751623E-3</v>
      </c>
      <c r="I3215" t="str">
        <f t="shared" si="651"/>
        <v>2022-11</v>
      </c>
      <c r="K3215">
        <v>14539.56</v>
      </c>
      <c r="L3215">
        <f t="shared" si="658"/>
        <v>7.7308646289696312E-3</v>
      </c>
      <c r="M3215" t="str">
        <f t="shared" si="652"/>
        <v>2022-11</v>
      </c>
      <c r="O3215">
        <v>8696.8064599999998</v>
      </c>
      <c r="P3215">
        <f t="shared" si="659"/>
        <v>3.6330364573355367E-3</v>
      </c>
      <c r="Q3215" t="str">
        <f t="shared" si="653"/>
        <v>2022-11</v>
      </c>
      <c r="S3215">
        <v>8388.1</v>
      </c>
      <c r="T3215">
        <f t="shared" si="660"/>
        <v>6.8065313351495689E-3</v>
      </c>
      <c r="U3215" t="str">
        <f t="shared" si="654"/>
        <v>2022-11</v>
      </c>
      <c r="W3215">
        <v>24730.89</v>
      </c>
      <c r="X3215">
        <f t="shared" si="661"/>
        <v>6.0735873310021242E-3</v>
      </c>
      <c r="Y3215">
        <f t="shared" si="662"/>
        <v>6.09206896018655E-3</v>
      </c>
      <c r="Z3215" t="str">
        <f t="shared" si="655"/>
        <v>2022-11</v>
      </c>
    </row>
    <row r="3216" spans="1:26" x14ac:dyDescent="0.35">
      <c r="A3216" s="1">
        <v>44890</v>
      </c>
      <c r="C3216">
        <v>3962.41</v>
      </c>
      <c r="D3216">
        <f t="shared" si="656"/>
        <v>1.0600171631745089E-4</v>
      </c>
      <c r="E3216" t="str">
        <f t="shared" si="650"/>
        <v>2022-11</v>
      </c>
      <c r="G3216">
        <v>6712.48</v>
      </c>
      <c r="H3216">
        <f t="shared" si="657"/>
        <v>7.6901298891101125E-4</v>
      </c>
      <c r="I3216" t="str">
        <f t="shared" si="651"/>
        <v>2022-11</v>
      </c>
      <c r="K3216">
        <v>14541.38</v>
      </c>
      <c r="L3216">
        <f t="shared" si="658"/>
        <v>1.2516789363597913E-4</v>
      </c>
      <c r="M3216" t="str">
        <f t="shared" si="652"/>
        <v>2022-11</v>
      </c>
      <c r="O3216">
        <v>8701.83295</v>
      </c>
      <c r="P3216">
        <f t="shared" si="659"/>
        <v>5.7780266851844089E-4</v>
      </c>
      <c r="Q3216" t="str">
        <f t="shared" si="653"/>
        <v>2022-11</v>
      </c>
      <c r="S3216">
        <v>8416.6</v>
      </c>
      <c r="T3216">
        <f t="shared" si="660"/>
        <v>3.3919114681630596E-3</v>
      </c>
      <c r="U3216" t="str">
        <f t="shared" si="654"/>
        <v>2022-11</v>
      </c>
      <c r="W3216">
        <v>24718.81</v>
      </c>
      <c r="X3216">
        <f t="shared" si="661"/>
        <v>-4.8857729127967553E-4</v>
      </c>
      <c r="Y3216">
        <f t="shared" si="662"/>
        <v>-4.8845795683042986E-4</v>
      </c>
      <c r="Z3216" t="str">
        <f t="shared" si="655"/>
        <v>2022-11</v>
      </c>
    </row>
    <row r="3217" spans="1:26" x14ac:dyDescent="0.35">
      <c r="A3217" s="1">
        <v>44893</v>
      </c>
      <c r="C3217">
        <v>3935.51</v>
      </c>
      <c r="D3217">
        <f t="shared" si="656"/>
        <v>-6.8119464413701385E-3</v>
      </c>
      <c r="E3217" t="str">
        <f t="shared" si="650"/>
        <v>2022-11</v>
      </c>
      <c r="G3217">
        <v>6665.2</v>
      </c>
      <c r="H3217">
        <f t="shared" si="657"/>
        <v>-7.0685196323841933E-3</v>
      </c>
      <c r="I3217" t="str">
        <f t="shared" si="651"/>
        <v>2022-11</v>
      </c>
      <c r="K3217">
        <v>14383.36</v>
      </c>
      <c r="L3217">
        <f t="shared" si="658"/>
        <v>-1.0926395335828669E-2</v>
      </c>
      <c r="M3217" t="str">
        <f t="shared" si="652"/>
        <v>2022-11</v>
      </c>
      <c r="O3217">
        <v>8649.5384799999993</v>
      </c>
      <c r="P3217">
        <f t="shared" si="659"/>
        <v>-6.0277227707771826E-3</v>
      </c>
      <c r="Q3217" t="str">
        <f t="shared" si="653"/>
        <v>2022-11</v>
      </c>
      <c r="S3217">
        <v>8323.2000000000007</v>
      </c>
      <c r="T3217">
        <f t="shared" si="660"/>
        <v>-1.1159149957614908E-2</v>
      </c>
      <c r="U3217" t="str">
        <f t="shared" si="654"/>
        <v>2022-11</v>
      </c>
      <c r="W3217">
        <v>24440.880000000001</v>
      </c>
      <c r="X3217">
        <f t="shared" si="661"/>
        <v>-1.1307352070368244E-2</v>
      </c>
      <c r="Y3217">
        <f t="shared" si="662"/>
        <v>-1.1243664237882013E-2</v>
      </c>
      <c r="Z3217" t="str">
        <f t="shared" si="655"/>
        <v>2022-11</v>
      </c>
    </row>
    <row r="3218" spans="1:26" x14ac:dyDescent="0.35">
      <c r="A3218" s="1">
        <v>44894</v>
      </c>
      <c r="C3218">
        <v>3934.44</v>
      </c>
      <c r="D3218">
        <f t="shared" si="656"/>
        <v>-2.7192040777720289E-4</v>
      </c>
      <c r="E3218" t="str">
        <f t="shared" si="650"/>
        <v>2022-11</v>
      </c>
      <c r="G3218">
        <v>6668.97</v>
      </c>
      <c r="H3218">
        <f t="shared" si="657"/>
        <v>5.6546453216878637E-4</v>
      </c>
      <c r="I3218" t="str">
        <f t="shared" si="651"/>
        <v>2022-11</v>
      </c>
      <c r="K3218">
        <v>14355.45</v>
      </c>
      <c r="L3218">
        <f t="shared" si="658"/>
        <v>-1.9423218132184708E-3</v>
      </c>
      <c r="M3218" t="str">
        <f t="shared" si="652"/>
        <v>2022-11</v>
      </c>
      <c r="O3218">
        <v>8696.9199200000003</v>
      </c>
      <c r="P3218">
        <f t="shared" si="659"/>
        <v>5.4629661853721045E-3</v>
      </c>
      <c r="Q3218" t="str">
        <f t="shared" si="653"/>
        <v>2022-11</v>
      </c>
      <c r="S3218">
        <v>8322.1</v>
      </c>
      <c r="T3218">
        <f t="shared" si="660"/>
        <v>-1.3216944141611006E-4</v>
      </c>
      <c r="U3218" t="str">
        <f t="shared" si="654"/>
        <v>2022-11</v>
      </c>
      <c r="W3218">
        <v>24465.95</v>
      </c>
      <c r="X3218">
        <f t="shared" si="661"/>
        <v>1.0252147684014787E-3</v>
      </c>
      <c r="Y3218">
        <f t="shared" si="662"/>
        <v>1.0257404807028105E-3</v>
      </c>
      <c r="Z3218" t="str">
        <f t="shared" si="655"/>
        <v>2022-11</v>
      </c>
    </row>
    <row r="3219" spans="1:26" x14ac:dyDescent="0.35">
      <c r="A3219" s="1">
        <v>44895</v>
      </c>
      <c r="C3219">
        <v>3964.72</v>
      </c>
      <c r="D3219">
        <f t="shared" si="656"/>
        <v>7.6666755240109566E-3</v>
      </c>
      <c r="E3219" t="str">
        <f t="shared" si="650"/>
        <v>2022-11</v>
      </c>
      <c r="G3219">
        <v>6738.55</v>
      </c>
      <c r="H3219">
        <f t="shared" si="657"/>
        <v>1.0379343034020657E-2</v>
      </c>
      <c r="I3219" t="str">
        <f t="shared" si="651"/>
        <v>2022-11</v>
      </c>
      <c r="K3219">
        <v>14397.04</v>
      </c>
      <c r="L3219">
        <f t="shared" si="658"/>
        <v>2.8929688528878924E-3</v>
      </c>
      <c r="M3219" t="str">
        <f t="shared" si="652"/>
        <v>2022-11</v>
      </c>
      <c r="O3219">
        <v>8768.2924000000003</v>
      </c>
      <c r="P3219">
        <f t="shared" si="659"/>
        <v>8.1731473973143641E-3</v>
      </c>
      <c r="Q3219" t="str">
        <f t="shared" si="653"/>
        <v>2022-11</v>
      </c>
      <c r="S3219">
        <v>8363.2000000000007</v>
      </c>
      <c r="T3219">
        <f t="shared" si="660"/>
        <v>4.926502145741138E-3</v>
      </c>
      <c r="U3219" t="str">
        <f t="shared" si="654"/>
        <v>2022-11</v>
      </c>
      <c r="W3219">
        <v>24610.29</v>
      </c>
      <c r="X3219">
        <f t="shared" si="661"/>
        <v>5.8822931910273574E-3</v>
      </c>
      <c r="Y3219">
        <f t="shared" si="662"/>
        <v>5.899627850134581E-3</v>
      </c>
      <c r="Z3219" t="str">
        <f t="shared" si="655"/>
        <v>2022-11</v>
      </c>
    </row>
    <row r="3220" spans="1:26" x14ac:dyDescent="0.35">
      <c r="A3220" s="1">
        <v>44896</v>
      </c>
      <c r="C3220">
        <v>3984.5</v>
      </c>
      <c r="D3220">
        <f t="shared" si="656"/>
        <v>4.97659916909984E-3</v>
      </c>
      <c r="E3220" t="str">
        <f t="shared" si="650"/>
        <v>2022-12</v>
      </c>
      <c r="G3220">
        <v>6753.97</v>
      </c>
      <c r="H3220">
        <f t="shared" si="657"/>
        <v>2.2857118927309783E-3</v>
      </c>
      <c r="I3220" t="str">
        <f t="shared" si="651"/>
        <v>2022-12</v>
      </c>
      <c r="K3220">
        <v>14490.3</v>
      </c>
      <c r="L3220">
        <f t="shared" si="658"/>
        <v>6.4568301550543055E-3</v>
      </c>
      <c r="M3220" t="str">
        <f t="shared" si="652"/>
        <v>2022-12</v>
      </c>
      <c r="O3220">
        <v>8818.7178700000004</v>
      </c>
      <c r="P3220">
        <f t="shared" si="659"/>
        <v>5.734415049100606E-3</v>
      </c>
      <c r="Q3220" t="str">
        <f t="shared" si="653"/>
        <v>2022-12</v>
      </c>
      <c r="S3220">
        <v>8407.9</v>
      </c>
      <c r="T3220">
        <f t="shared" si="660"/>
        <v>5.3306110925780198E-3</v>
      </c>
      <c r="U3220" t="str">
        <f t="shared" si="654"/>
        <v>2022-12</v>
      </c>
      <c r="W3220">
        <v>24685.67</v>
      </c>
      <c r="X3220">
        <f t="shared" si="661"/>
        <v>3.0582651703031068E-3</v>
      </c>
      <c r="Y3220">
        <f t="shared" si="662"/>
        <v>3.0629464341946958E-3</v>
      </c>
      <c r="Z3220" t="str">
        <f t="shared" si="655"/>
        <v>2022-12</v>
      </c>
    </row>
    <row r="3221" spans="1:26" x14ac:dyDescent="0.35">
      <c r="A3221" s="1">
        <v>44897</v>
      </c>
      <c r="C3221">
        <v>3977.9</v>
      </c>
      <c r="D3221">
        <f t="shared" si="656"/>
        <v>-1.6577920002890021E-3</v>
      </c>
      <c r="E3221" t="str">
        <f t="shared" si="650"/>
        <v>2022-12</v>
      </c>
      <c r="G3221">
        <v>6742.25</v>
      </c>
      <c r="H3221">
        <f t="shared" si="657"/>
        <v>-1.7367830319944618E-3</v>
      </c>
      <c r="I3221" t="str">
        <f t="shared" si="651"/>
        <v>2022-12</v>
      </c>
      <c r="K3221">
        <v>14529.39</v>
      </c>
      <c r="L3221">
        <f t="shared" si="658"/>
        <v>2.6940345429158127E-3</v>
      </c>
      <c r="M3221" t="str">
        <f t="shared" si="652"/>
        <v>2022-12</v>
      </c>
      <c r="O3221">
        <v>8813.2087900000006</v>
      </c>
      <c r="P3221">
        <f t="shared" si="659"/>
        <v>-6.2489826387167162E-4</v>
      </c>
      <c r="Q3221" t="str">
        <f t="shared" si="653"/>
        <v>2022-12</v>
      </c>
      <c r="S3221">
        <v>8382.6</v>
      </c>
      <c r="T3221">
        <f t="shared" si="660"/>
        <v>-3.0136111667393409E-3</v>
      </c>
      <c r="U3221" t="str">
        <f t="shared" si="654"/>
        <v>2022-12</v>
      </c>
      <c r="W3221">
        <v>24621.72</v>
      </c>
      <c r="X3221">
        <f t="shared" si="661"/>
        <v>-2.5939331145791019E-3</v>
      </c>
      <c r="Y3221">
        <f t="shared" si="662"/>
        <v>-2.5905717770673066E-3</v>
      </c>
      <c r="Z3221" t="str">
        <f t="shared" si="655"/>
        <v>2022-12</v>
      </c>
    </row>
    <row r="3222" spans="1:26" x14ac:dyDescent="0.35">
      <c r="A3222" s="1">
        <v>44900</v>
      </c>
      <c r="C3222">
        <v>3956.53</v>
      </c>
      <c r="D3222">
        <f t="shared" si="656"/>
        <v>-5.3866633577681041E-3</v>
      </c>
      <c r="E3222" t="str">
        <f t="shared" si="650"/>
        <v>2022-12</v>
      </c>
      <c r="G3222">
        <v>6696.96</v>
      </c>
      <c r="H3222">
        <f t="shared" si="657"/>
        <v>-6.7400050228338757E-3</v>
      </c>
      <c r="I3222" t="str">
        <f t="shared" si="651"/>
        <v>2022-12</v>
      </c>
      <c r="K3222">
        <v>14447.61</v>
      </c>
      <c r="L3222">
        <f t="shared" si="658"/>
        <v>-5.6444916401098364E-3</v>
      </c>
      <c r="M3222" t="str">
        <f t="shared" si="652"/>
        <v>2022-12</v>
      </c>
      <c r="O3222">
        <v>8783.9706800000004</v>
      </c>
      <c r="P3222">
        <f t="shared" si="659"/>
        <v>-3.3230481004476813E-3</v>
      </c>
      <c r="Q3222" t="str">
        <f t="shared" si="653"/>
        <v>2022-12</v>
      </c>
      <c r="S3222">
        <v>8370.1</v>
      </c>
      <c r="T3222">
        <f t="shared" si="660"/>
        <v>-1.492297041042899E-3</v>
      </c>
      <c r="U3222" t="str">
        <f t="shared" si="654"/>
        <v>2022-12</v>
      </c>
      <c r="W3222">
        <v>24547.84</v>
      </c>
      <c r="X3222">
        <f t="shared" si="661"/>
        <v>-3.0051135539568906E-3</v>
      </c>
      <c r="Y3222">
        <f t="shared" si="662"/>
        <v>-3.0006027198750135E-3</v>
      </c>
      <c r="Z3222" t="str">
        <f t="shared" si="655"/>
        <v>2022-12</v>
      </c>
    </row>
    <row r="3223" spans="1:26" x14ac:dyDescent="0.35">
      <c r="A3223" s="1">
        <v>44901</v>
      </c>
      <c r="C3223">
        <v>3939.19</v>
      </c>
      <c r="D3223">
        <f t="shared" si="656"/>
        <v>-4.3922600793485662E-3</v>
      </c>
      <c r="E3223" t="str">
        <f t="shared" si="650"/>
        <v>2022-12</v>
      </c>
      <c r="G3223">
        <v>6687.79</v>
      </c>
      <c r="H3223">
        <f t="shared" si="657"/>
        <v>-1.3702163185293308E-3</v>
      </c>
      <c r="I3223" t="str">
        <f t="shared" si="651"/>
        <v>2022-12</v>
      </c>
      <c r="K3223">
        <v>14343.19</v>
      </c>
      <c r="L3223">
        <f t="shared" si="658"/>
        <v>-7.253737850472705E-3</v>
      </c>
      <c r="M3223" t="str">
        <f t="shared" si="652"/>
        <v>2022-12</v>
      </c>
      <c r="O3223">
        <v>8736.9246899999998</v>
      </c>
      <c r="P3223">
        <f t="shared" si="659"/>
        <v>-5.3702852592288014E-3</v>
      </c>
      <c r="Q3223" t="str">
        <f t="shared" si="653"/>
        <v>2022-12</v>
      </c>
      <c r="S3223">
        <v>8331.9</v>
      </c>
      <c r="T3223">
        <f t="shared" si="660"/>
        <v>-4.574310454921621E-3</v>
      </c>
      <c r="U3223" t="str">
        <f t="shared" si="654"/>
        <v>2022-12</v>
      </c>
      <c r="W3223">
        <v>24265.45</v>
      </c>
      <c r="X3223">
        <f t="shared" si="661"/>
        <v>-1.1570338748041522E-2</v>
      </c>
      <c r="Y3223">
        <f t="shared" si="662"/>
        <v>-1.1503659792470516E-2</v>
      </c>
      <c r="Z3223" t="str">
        <f t="shared" si="655"/>
        <v>2022-12</v>
      </c>
    </row>
    <row r="3224" spans="1:26" x14ac:dyDescent="0.35">
      <c r="A3224" s="1">
        <v>44902</v>
      </c>
      <c r="C3224">
        <v>3920.9</v>
      </c>
      <c r="D3224">
        <f t="shared" si="656"/>
        <v>-4.6538991313265299E-3</v>
      </c>
      <c r="E3224" t="str">
        <f t="shared" si="650"/>
        <v>2022-12</v>
      </c>
      <c r="G3224">
        <v>6660.59</v>
      </c>
      <c r="H3224">
        <f t="shared" si="657"/>
        <v>-4.0754065507450105E-3</v>
      </c>
      <c r="I3224" t="str">
        <f t="shared" si="651"/>
        <v>2022-12</v>
      </c>
      <c r="K3224">
        <v>14261.19</v>
      </c>
      <c r="L3224">
        <f t="shared" si="658"/>
        <v>-5.7334033895946185E-3</v>
      </c>
      <c r="M3224" t="str">
        <f t="shared" si="652"/>
        <v>2022-12</v>
      </c>
      <c r="O3224">
        <v>8703.9226600000002</v>
      </c>
      <c r="P3224">
        <f t="shared" si="659"/>
        <v>-3.784457111050975E-3</v>
      </c>
      <c r="Q3224" t="str">
        <f t="shared" si="653"/>
        <v>2022-12</v>
      </c>
      <c r="S3224">
        <v>8290.5</v>
      </c>
      <c r="T3224">
        <f t="shared" si="660"/>
        <v>-4.9812404471043775E-3</v>
      </c>
      <c r="U3224" t="str">
        <f t="shared" si="654"/>
        <v>2022-12</v>
      </c>
      <c r="W3224">
        <v>24241.35</v>
      </c>
      <c r="X3224">
        <f t="shared" si="661"/>
        <v>-9.9367519535447377E-4</v>
      </c>
      <c r="Y3224">
        <f t="shared" si="662"/>
        <v>-9.9318166364119288E-4</v>
      </c>
      <c r="Z3224" t="str">
        <f t="shared" si="655"/>
        <v>2022-12</v>
      </c>
    </row>
    <row r="3225" spans="1:26" x14ac:dyDescent="0.35">
      <c r="A3225" s="1">
        <v>44903</v>
      </c>
      <c r="C3225">
        <v>3921.27</v>
      </c>
      <c r="D3225">
        <f t="shared" si="656"/>
        <v>9.4361637218824798E-5</v>
      </c>
      <c r="E3225" t="str">
        <f t="shared" si="650"/>
        <v>2022-12</v>
      </c>
      <c r="G3225">
        <v>6647.31</v>
      </c>
      <c r="H3225">
        <f t="shared" si="657"/>
        <v>-1.9958076643388722E-3</v>
      </c>
      <c r="I3225" t="str">
        <f t="shared" si="651"/>
        <v>2022-12</v>
      </c>
      <c r="K3225">
        <v>14264.56</v>
      </c>
      <c r="L3225">
        <f t="shared" si="658"/>
        <v>2.3627775015049572E-4</v>
      </c>
      <c r="M3225" t="str">
        <f t="shared" si="652"/>
        <v>2022-12</v>
      </c>
      <c r="O3225">
        <v>8669.8148500000007</v>
      </c>
      <c r="P3225">
        <f t="shared" si="659"/>
        <v>-3.9263691878145155E-3</v>
      </c>
      <c r="Q3225" t="str">
        <f t="shared" si="653"/>
        <v>2022-12</v>
      </c>
      <c r="S3225">
        <v>8225.2000000000007</v>
      </c>
      <c r="T3225">
        <f t="shared" si="660"/>
        <v>-7.9076684940638797E-3</v>
      </c>
      <c r="U3225" t="str">
        <f t="shared" si="654"/>
        <v>2022-12</v>
      </c>
      <c r="W3225">
        <v>24207.42</v>
      </c>
      <c r="X3225">
        <f t="shared" si="661"/>
        <v>-1.4006549824520601E-3</v>
      </c>
      <c r="Y3225">
        <f t="shared" si="662"/>
        <v>-1.3996745230773159E-3</v>
      </c>
      <c r="Z3225" t="str">
        <f t="shared" si="655"/>
        <v>2022-12</v>
      </c>
    </row>
    <row r="3226" spans="1:26" x14ac:dyDescent="0.35">
      <c r="A3226" s="1">
        <v>44904</v>
      </c>
      <c r="C3226">
        <v>3942.62</v>
      </c>
      <c r="D3226">
        <f t="shared" si="656"/>
        <v>5.4298960073235732E-3</v>
      </c>
      <c r="E3226" t="str">
        <f t="shared" si="650"/>
        <v>2022-12</v>
      </c>
      <c r="G3226">
        <v>6677.64</v>
      </c>
      <c r="H3226">
        <f t="shared" si="657"/>
        <v>4.5523701597498367E-3</v>
      </c>
      <c r="I3226" t="str">
        <f t="shared" si="651"/>
        <v>2022-12</v>
      </c>
      <c r="K3226">
        <v>14370.72</v>
      </c>
      <c r="L3226">
        <f t="shared" si="658"/>
        <v>7.4146637549803857E-3</v>
      </c>
      <c r="M3226" t="str">
        <f t="shared" si="652"/>
        <v>2022-12</v>
      </c>
      <c r="O3226">
        <v>8710.9190999999992</v>
      </c>
      <c r="P3226">
        <f t="shared" si="659"/>
        <v>4.7298723689330816E-3</v>
      </c>
      <c r="Q3226" t="str">
        <f t="shared" si="653"/>
        <v>2022-12</v>
      </c>
      <c r="S3226">
        <v>8289.2000000000007</v>
      </c>
      <c r="T3226">
        <f t="shared" si="660"/>
        <v>7.7508502159692643E-3</v>
      </c>
      <c r="U3226" t="str">
        <f t="shared" si="654"/>
        <v>2022-12</v>
      </c>
      <c r="W3226">
        <v>24277.49</v>
      </c>
      <c r="X3226">
        <f t="shared" si="661"/>
        <v>2.8903858450938223E-3</v>
      </c>
      <c r="Y3226">
        <f t="shared" si="662"/>
        <v>2.8945670377100636E-3</v>
      </c>
      <c r="Z3226" t="str">
        <f t="shared" si="655"/>
        <v>2022-12</v>
      </c>
    </row>
    <row r="3227" spans="1:26" x14ac:dyDescent="0.35">
      <c r="A3227" s="1">
        <v>44907</v>
      </c>
      <c r="C3227">
        <v>3921.82</v>
      </c>
      <c r="D3227">
        <f t="shared" si="656"/>
        <v>-5.2896451620822859E-3</v>
      </c>
      <c r="E3227" t="str">
        <f t="shared" si="650"/>
        <v>2022-12</v>
      </c>
      <c r="G3227">
        <v>6650.55</v>
      </c>
      <c r="H3227">
        <f t="shared" si="657"/>
        <v>-4.0650736978959734E-3</v>
      </c>
      <c r="I3227" t="str">
        <f t="shared" si="651"/>
        <v>2022-12</v>
      </c>
      <c r="K3227">
        <v>14306.63</v>
      </c>
      <c r="L3227">
        <f t="shared" si="658"/>
        <v>-4.4697370365159479E-3</v>
      </c>
      <c r="M3227" t="str">
        <f t="shared" si="652"/>
        <v>2022-12</v>
      </c>
      <c r="O3227">
        <v>8681.5458099999996</v>
      </c>
      <c r="P3227">
        <f t="shared" si="659"/>
        <v>-3.3777061593510266E-3</v>
      </c>
      <c r="Q3227" t="str">
        <f t="shared" si="653"/>
        <v>2022-12</v>
      </c>
      <c r="S3227">
        <v>8258.9</v>
      </c>
      <c r="T3227">
        <f t="shared" si="660"/>
        <v>-3.6620559293083165E-3</v>
      </c>
      <c r="U3227" t="str">
        <f t="shared" si="654"/>
        <v>2022-12</v>
      </c>
      <c r="W3227">
        <v>24303.68</v>
      </c>
      <c r="X3227">
        <f t="shared" si="661"/>
        <v>1.0781956275309186E-3</v>
      </c>
      <c r="Y3227">
        <f t="shared" si="662"/>
        <v>1.078777089394278E-3</v>
      </c>
      <c r="Z3227" t="str">
        <f t="shared" si="655"/>
        <v>2022-12</v>
      </c>
    </row>
    <row r="3228" spans="1:26" x14ac:dyDescent="0.35">
      <c r="A3228" s="1">
        <v>44908</v>
      </c>
      <c r="C3228">
        <v>3986.83</v>
      </c>
      <c r="D3228">
        <f t="shared" si="656"/>
        <v>1.6440597145404356E-2</v>
      </c>
      <c r="E3228" t="str">
        <f t="shared" si="650"/>
        <v>2022-12</v>
      </c>
      <c r="G3228">
        <v>6744.98</v>
      </c>
      <c r="H3228">
        <f t="shared" si="657"/>
        <v>1.4098966481281727E-2</v>
      </c>
      <c r="I3228" t="str">
        <f t="shared" si="651"/>
        <v>2022-12</v>
      </c>
      <c r="K3228">
        <v>14497.89</v>
      </c>
      <c r="L3228">
        <f t="shared" si="658"/>
        <v>1.328005541311989E-2</v>
      </c>
      <c r="M3228" t="str">
        <f t="shared" si="652"/>
        <v>2022-12</v>
      </c>
      <c r="O3228">
        <v>8741.2379299999993</v>
      </c>
      <c r="P3228">
        <f t="shared" si="659"/>
        <v>6.8522176995808749E-3</v>
      </c>
      <c r="Q3228" t="str">
        <f t="shared" si="653"/>
        <v>2022-12</v>
      </c>
      <c r="S3228">
        <v>8327.7000000000007</v>
      </c>
      <c r="T3228">
        <f t="shared" si="660"/>
        <v>8.2959008571797353E-3</v>
      </c>
      <c r="U3228" t="str">
        <f t="shared" si="654"/>
        <v>2022-12</v>
      </c>
      <c r="W3228">
        <v>24636.94</v>
      </c>
      <c r="X3228">
        <f t="shared" si="661"/>
        <v>1.3619163431831902E-2</v>
      </c>
      <c r="Y3228">
        <f t="shared" si="662"/>
        <v>1.3712326692912283E-2</v>
      </c>
      <c r="Z3228" t="str">
        <f t="shared" si="655"/>
        <v>2022-12</v>
      </c>
    </row>
    <row r="3229" spans="1:26" x14ac:dyDescent="0.35">
      <c r="A3229" s="1">
        <v>44909</v>
      </c>
      <c r="C3229">
        <v>3975.26</v>
      </c>
      <c r="D3229">
        <f t="shared" si="656"/>
        <v>-2.9062741425340249E-3</v>
      </c>
      <c r="E3229" t="str">
        <f t="shared" si="650"/>
        <v>2022-12</v>
      </c>
      <c r="G3229">
        <v>6730.79</v>
      </c>
      <c r="H3229">
        <f t="shared" si="657"/>
        <v>-2.1060028843888075E-3</v>
      </c>
      <c r="I3229" t="str">
        <f t="shared" si="651"/>
        <v>2022-12</v>
      </c>
      <c r="K3229">
        <v>14460.2</v>
      </c>
      <c r="L3229">
        <f t="shared" si="658"/>
        <v>-2.6030737028761111E-3</v>
      </c>
      <c r="M3229" t="str">
        <f t="shared" si="652"/>
        <v>2022-12</v>
      </c>
      <c r="O3229">
        <v>8739.3874099999994</v>
      </c>
      <c r="P3229">
        <f t="shared" si="659"/>
        <v>-2.117224036233686E-4</v>
      </c>
      <c r="Q3229" t="str">
        <f t="shared" si="653"/>
        <v>2022-12</v>
      </c>
      <c r="S3229">
        <v>8360.6</v>
      </c>
      <c r="T3229">
        <f t="shared" si="660"/>
        <v>3.9428872471042814E-3</v>
      </c>
      <c r="U3229" t="str">
        <f t="shared" si="654"/>
        <v>2022-12</v>
      </c>
      <c r="W3229">
        <v>24573.93</v>
      </c>
      <c r="X3229">
        <f t="shared" si="661"/>
        <v>-2.5608177394077624E-3</v>
      </c>
      <c r="Y3229">
        <f t="shared" si="662"/>
        <v>-2.5575416427526471E-3</v>
      </c>
      <c r="Z3229" t="str">
        <f t="shared" si="655"/>
        <v>2022-12</v>
      </c>
    </row>
    <row r="3230" spans="1:26" x14ac:dyDescent="0.35">
      <c r="A3230" s="1">
        <v>44910</v>
      </c>
      <c r="C3230">
        <v>3835.7</v>
      </c>
      <c r="D3230">
        <f t="shared" si="656"/>
        <v>-3.5738207274425234E-2</v>
      </c>
      <c r="E3230" t="str">
        <f t="shared" si="650"/>
        <v>2022-12</v>
      </c>
      <c r="G3230">
        <v>6522.77</v>
      </c>
      <c r="H3230">
        <f t="shared" si="657"/>
        <v>-3.1393389269003341E-2</v>
      </c>
      <c r="I3230" t="str">
        <f t="shared" si="651"/>
        <v>2022-12</v>
      </c>
      <c r="K3230">
        <v>13986.23</v>
      </c>
      <c r="L3230">
        <f t="shared" si="658"/>
        <v>-3.3326773730709969E-2</v>
      </c>
      <c r="M3230" t="str">
        <f t="shared" si="652"/>
        <v>2022-12</v>
      </c>
      <c r="O3230">
        <v>8519.1811500000003</v>
      </c>
      <c r="P3230">
        <f t="shared" si="659"/>
        <v>-2.5519869754467864E-2</v>
      </c>
      <c r="Q3230" t="str">
        <f t="shared" si="653"/>
        <v>2022-12</v>
      </c>
      <c r="S3230">
        <v>8218.7999999999993</v>
      </c>
      <c r="T3230">
        <f t="shared" si="660"/>
        <v>-1.7105981846448574E-2</v>
      </c>
      <c r="U3230" t="str">
        <f t="shared" si="654"/>
        <v>2022-12</v>
      </c>
      <c r="W3230">
        <v>23726.05</v>
      </c>
      <c r="X3230">
        <f t="shared" si="661"/>
        <v>-3.5112524272791386E-2</v>
      </c>
      <c r="Y3230">
        <f t="shared" si="662"/>
        <v>-3.4503231676821781E-2</v>
      </c>
      <c r="Z3230" t="str">
        <f t="shared" si="655"/>
        <v>2022-12</v>
      </c>
    </row>
    <row r="3231" spans="1:26" x14ac:dyDescent="0.35">
      <c r="A3231" s="1">
        <v>44911</v>
      </c>
      <c r="C3231">
        <v>3804.02</v>
      </c>
      <c r="D3231">
        <f t="shared" si="656"/>
        <v>-8.2935452049621387E-3</v>
      </c>
      <c r="E3231" t="str">
        <f t="shared" si="650"/>
        <v>2022-12</v>
      </c>
      <c r="G3231">
        <v>6452.63</v>
      </c>
      <c r="H3231">
        <f t="shared" si="657"/>
        <v>-1.0811332705118422E-2</v>
      </c>
      <c r="I3231" t="str">
        <f t="shared" si="651"/>
        <v>2022-12</v>
      </c>
      <c r="K3231">
        <v>13893.07</v>
      </c>
      <c r="L3231">
        <f t="shared" si="658"/>
        <v>-6.6831195002694764E-3</v>
      </c>
      <c r="M3231" t="str">
        <f t="shared" si="652"/>
        <v>2022-12</v>
      </c>
      <c r="O3231">
        <v>8421.0487099999991</v>
      </c>
      <c r="P3231">
        <f t="shared" si="659"/>
        <v>-1.1585856687736115E-2</v>
      </c>
      <c r="Q3231" t="str">
        <f t="shared" si="653"/>
        <v>2022-12</v>
      </c>
      <c r="S3231">
        <v>8112.5</v>
      </c>
      <c r="T3231">
        <f t="shared" si="660"/>
        <v>-1.3018130979514294E-2</v>
      </c>
      <c r="U3231" t="str">
        <f t="shared" si="654"/>
        <v>2022-12</v>
      </c>
      <c r="W3231">
        <v>23688.16</v>
      </c>
      <c r="X3231">
        <f t="shared" si="661"/>
        <v>-1.5982553781063219E-3</v>
      </c>
      <c r="Y3231">
        <f t="shared" si="662"/>
        <v>-1.5969788481436824E-3</v>
      </c>
      <c r="Z3231" t="str">
        <f t="shared" si="655"/>
        <v>2022-12</v>
      </c>
    </row>
    <row r="3232" spans="1:26" x14ac:dyDescent="0.35">
      <c r="A3232" s="1">
        <v>44914</v>
      </c>
      <c r="C3232">
        <v>3811.24</v>
      </c>
      <c r="D3232">
        <f t="shared" si="656"/>
        <v>1.8961932129229282E-3</v>
      </c>
      <c r="E3232" t="str">
        <f t="shared" si="650"/>
        <v>2022-12</v>
      </c>
      <c r="G3232">
        <v>6473.29</v>
      </c>
      <c r="H3232">
        <f t="shared" si="657"/>
        <v>3.196680405465216E-3</v>
      </c>
      <c r="I3232" t="str">
        <f t="shared" si="651"/>
        <v>2022-12</v>
      </c>
      <c r="K3232">
        <v>13942.87</v>
      </c>
      <c r="L3232">
        <f t="shared" si="658"/>
        <v>3.5781118318231808E-3</v>
      </c>
      <c r="M3232" t="str">
        <f t="shared" si="652"/>
        <v>2022-12</v>
      </c>
      <c r="O3232">
        <v>8439.3521999999994</v>
      </c>
      <c r="P3232">
        <f t="shared" si="659"/>
        <v>2.1711817278804719E-3</v>
      </c>
      <c r="Q3232" t="str">
        <f t="shared" si="653"/>
        <v>2022-12</v>
      </c>
      <c r="S3232">
        <v>8136.8</v>
      </c>
      <c r="T3232">
        <f t="shared" si="660"/>
        <v>2.9909002990409755E-3</v>
      </c>
      <c r="U3232" t="str">
        <f t="shared" si="654"/>
        <v>2022-12</v>
      </c>
      <c r="W3232">
        <v>23683.54</v>
      </c>
      <c r="X3232">
        <f t="shared" si="661"/>
        <v>-1.9505316527151652E-4</v>
      </c>
      <c r="Y3232">
        <f t="shared" si="662"/>
        <v>-1.9503414363964872E-4</v>
      </c>
      <c r="Z3232" t="str">
        <f t="shared" si="655"/>
        <v>2022-12</v>
      </c>
    </row>
    <row r="3233" spans="1:26" x14ac:dyDescent="0.35">
      <c r="A3233" s="1">
        <v>44915</v>
      </c>
      <c r="C3233">
        <v>3802.49</v>
      </c>
      <c r="D3233">
        <f t="shared" si="656"/>
        <v>-2.298480206730616E-3</v>
      </c>
      <c r="E3233" t="str">
        <f t="shared" si="650"/>
        <v>2022-12</v>
      </c>
      <c r="G3233">
        <v>6450.43</v>
      </c>
      <c r="H3233">
        <f t="shared" si="657"/>
        <v>-3.5376847906758895E-3</v>
      </c>
      <c r="I3233" t="str">
        <f t="shared" si="651"/>
        <v>2022-12</v>
      </c>
      <c r="K3233">
        <v>13884.66</v>
      </c>
      <c r="L3233">
        <f t="shared" si="658"/>
        <v>-4.1836328918208173E-3</v>
      </c>
      <c r="M3233" t="str">
        <f t="shared" si="652"/>
        <v>2022-12</v>
      </c>
      <c r="O3233">
        <v>8431.6004400000002</v>
      </c>
      <c r="P3233">
        <f t="shared" si="659"/>
        <v>-9.1894757941858888E-4</v>
      </c>
      <c r="Q3233" t="str">
        <f t="shared" si="653"/>
        <v>2022-12</v>
      </c>
      <c r="S3233">
        <v>8185.2</v>
      </c>
      <c r="T3233">
        <f t="shared" si="660"/>
        <v>5.9306631372874124E-3</v>
      </c>
      <c r="U3233" t="str">
        <f t="shared" si="654"/>
        <v>2022-12</v>
      </c>
      <c r="W3233">
        <v>23718.25</v>
      </c>
      <c r="X3233">
        <f t="shared" si="661"/>
        <v>1.4645019187560862E-3</v>
      </c>
      <c r="Y3233">
        <f t="shared" si="662"/>
        <v>1.4655748253850195E-3</v>
      </c>
      <c r="Z3233" t="str">
        <f t="shared" si="655"/>
        <v>2022-12</v>
      </c>
    </row>
    <row r="3234" spans="1:26" x14ac:dyDescent="0.35">
      <c r="A3234" s="1">
        <v>44916</v>
      </c>
      <c r="C3234">
        <v>3872.15</v>
      </c>
      <c r="D3234">
        <f t="shared" si="656"/>
        <v>1.8153793034321405E-2</v>
      </c>
      <c r="E3234" t="str">
        <f t="shared" si="650"/>
        <v>2022-12</v>
      </c>
      <c r="G3234">
        <v>6580.24</v>
      </c>
      <c r="H3234">
        <f t="shared" si="657"/>
        <v>1.9924423583969057E-2</v>
      </c>
      <c r="I3234" t="str">
        <f t="shared" si="651"/>
        <v>2022-12</v>
      </c>
      <c r="K3234">
        <v>14097.82</v>
      </c>
      <c r="L3234">
        <f t="shared" si="658"/>
        <v>1.5235541899062217E-2</v>
      </c>
      <c r="M3234" t="str">
        <f t="shared" si="652"/>
        <v>2022-12</v>
      </c>
      <c r="O3234">
        <v>8535.5301500000005</v>
      </c>
      <c r="P3234">
        <f t="shared" si="659"/>
        <v>1.225086461044227E-2</v>
      </c>
      <c r="Q3234" t="str">
        <f t="shared" si="653"/>
        <v>2022-12</v>
      </c>
      <c r="S3234">
        <v>8302.2999999999993</v>
      </c>
      <c r="T3234">
        <f t="shared" si="660"/>
        <v>1.4204939382299641E-2</v>
      </c>
      <c r="U3234" t="str">
        <f t="shared" si="654"/>
        <v>2022-12</v>
      </c>
      <c r="W3234">
        <v>24111.97</v>
      </c>
      <c r="X3234">
        <f t="shared" si="661"/>
        <v>1.6463603684800359E-2</v>
      </c>
      <c r="Y3234">
        <f t="shared" si="662"/>
        <v>1.6599875623201591E-2</v>
      </c>
      <c r="Z3234" t="str">
        <f t="shared" si="655"/>
        <v>2022-12</v>
      </c>
    </row>
    <row r="3235" spans="1:26" x14ac:dyDescent="0.35">
      <c r="A3235" s="1">
        <v>44917</v>
      </c>
      <c r="C3235">
        <v>3823.29</v>
      </c>
      <c r="D3235">
        <f t="shared" si="656"/>
        <v>-1.2698599839009856E-2</v>
      </c>
      <c r="E3235" t="str">
        <f t="shared" si="650"/>
        <v>2022-12</v>
      </c>
      <c r="G3235">
        <v>6517.97</v>
      </c>
      <c r="H3235">
        <f t="shared" si="657"/>
        <v>-9.5082410702619427E-3</v>
      </c>
      <c r="I3235" t="str">
        <f t="shared" si="651"/>
        <v>2022-12</v>
      </c>
      <c r="K3235">
        <v>13914.07</v>
      </c>
      <c r="L3235">
        <f t="shared" si="658"/>
        <v>-1.3119617108777407E-2</v>
      </c>
      <c r="M3235" t="str">
        <f t="shared" si="652"/>
        <v>2022-12</v>
      </c>
      <c r="O3235">
        <v>8482.5899700000009</v>
      </c>
      <c r="P3235">
        <f t="shared" si="659"/>
        <v>-6.2216449758005811E-3</v>
      </c>
      <c r="Q3235" t="str">
        <f t="shared" si="653"/>
        <v>2022-12</v>
      </c>
      <c r="S3235">
        <v>8272.1</v>
      </c>
      <c r="T3235">
        <f t="shared" si="660"/>
        <v>-3.644178180979334E-3</v>
      </c>
      <c r="U3235" t="str">
        <f t="shared" si="654"/>
        <v>2022-12</v>
      </c>
      <c r="W3235">
        <v>23813.3</v>
      </c>
      <c r="X3235">
        <f t="shared" si="661"/>
        <v>-1.2464149566484846E-2</v>
      </c>
      <c r="Y3235">
        <f t="shared" si="662"/>
        <v>-1.2386793779189418E-2</v>
      </c>
      <c r="Z3235" t="str">
        <f t="shared" si="655"/>
        <v>2022-12</v>
      </c>
    </row>
    <row r="3236" spans="1:26" x14ac:dyDescent="0.35">
      <c r="A3236" s="1">
        <v>44918</v>
      </c>
      <c r="C3236">
        <v>3817.01</v>
      </c>
      <c r="D3236">
        <f t="shared" si="656"/>
        <v>-1.6439148761920289E-3</v>
      </c>
      <c r="E3236" t="str">
        <f t="shared" si="650"/>
        <v>2022-12</v>
      </c>
      <c r="G3236">
        <v>6504.9</v>
      </c>
      <c r="H3236">
        <f t="shared" si="657"/>
        <v>-2.0072387097868345E-3</v>
      </c>
      <c r="I3236" t="str">
        <f t="shared" si="651"/>
        <v>2022-12</v>
      </c>
      <c r="K3236">
        <v>13940.93</v>
      </c>
      <c r="L3236">
        <f t="shared" si="658"/>
        <v>1.9285592048196353E-3</v>
      </c>
      <c r="M3236" t="str">
        <f t="shared" si="652"/>
        <v>2022-12</v>
      </c>
      <c r="O3236">
        <v>8480.5752300000004</v>
      </c>
      <c r="P3236">
        <f t="shared" si="659"/>
        <v>-2.3754293325800767E-4</v>
      </c>
      <c r="Q3236" t="str">
        <f t="shared" si="653"/>
        <v>2022-12</v>
      </c>
      <c r="S3236">
        <v>8269.1</v>
      </c>
      <c r="T3236">
        <f t="shared" si="660"/>
        <v>-3.6273064020667632E-4</v>
      </c>
      <c r="U3236" t="str">
        <f t="shared" si="654"/>
        <v>2022-12</v>
      </c>
      <c r="W3236">
        <v>23877.55</v>
      </c>
      <c r="X3236">
        <f t="shared" si="661"/>
        <v>2.6944388230131754E-3</v>
      </c>
      <c r="Y3236">
        <f t="shared" si="662"/>
        <v>2.6980720857671973E-3</v>
      </c>
      <c r="Z3236" t="str">
        <f t="shared" si="655"/>
        <v>2022-12</v>
      </c>
    </row>
    <row r="3237" spans="1:26" x14ac:dyDescent="0.35">
      <c r="A3237" s="1">
        <v>44923</v>
      </c>
      <c r="C3237">
        <v>3808.82</v>
      </c>
      <c r="D3237">
        <f t="shared" si="656"/>
        <v>-2.147963736113426E-3</v>
      </c>
      <c r="E3237" t="str">
        <f t="shared" si="650"/>
        <v>2022-12</v>
      </c>
      <c r="G3237">
        <v>6510.49</v>
      </c>
      <c r="H3237">
        <f t="shared" si="657"/>
        <v>8.5898314898235576E-4</v>
      </c>
      <c r="I3237" t="str">
        <f t="shared" si="651"/>
        <v>2022-12</v>
      </c>
      <c r="K3237">
        <v>13925.6</v>
      </c>
      <c r="L3237">
        <f t="shared" si="658"/>
        <v>-1.100244741377098E-3</v>
      </c>
      <c r="M3237" t="str">
        <f t="shared" si="652"/>
        <v>2022-12</v>
      </c>
      <c r="O3237">
        <v>8495.2635599999994</v>
      </c>
      <c r="P3237">
        <f t="shared" si="659"/>
        <v>1.7304987220020458E-3</v>
      </c>
      <c r="Q3237" t="str">
        <f t="shared" si="653"/>
        <v>2022-12</v>
      </c>
      <c r="S3237">
        <v>8258.5</v>
      </c>
      <c r="T3237">
        <f t="shared" si="660"/>
        <v>-1.2827030486425588E-3</v>
      </c>
      <c r="U3237" t="str">
        <f t="shared" si="654"/>
        <v>2022-12</v>
      </c>
      <c r="W3237">
        <v>23770.44</v>
      </c>
      <c r="X3237">
        <f t="shared" si="661"/>
        <v>-4.4958950175422426E-3</v>
      </c>
      <c r="Y3237">
        <f t="shared" si="662"/>
        <v>-4.4858036105044526E-3</v>
      </c>
      <c r="Z3237" t="str">
        <f t="shared" si="655"/>
        <v>2022-12</v>
      </c>
    </row>
    <row r="3238" spans="1:26" x14ac:dyDescent="0.35">
      <c r="A3238" s="1">
        <v>44924</v>
      </c>
      <c r="C3238">
        <v>3850.07</v>
      </c>
      <c r="D3238">
        <f t="shared" si="656"/>
        <v>1.0771900070512361E-2</v>
      </c>
      <c r="E3238" t="str">
        <f t="shared" si="650"/>
        <v>2022-12</v>
      </c>
      <c r="G3238">
        <v>6573.47</v>
      </c>
      <c r="H3238">
        <f t="shared" si="657"/>
        <v>9.6271291601722365E-3</v>
      </c>
      <c r="I3238" t="str">
        <f t="shared" si="651"/>
        <v>2022-12</v>
      </c>
      <c r="K3238">
        <v>14071.72</v>
      </c>
      <c r="L3238">
        <f t="shared" si="658"/>
        <v>1.0438236711803158E-2</v>
      </c>
      <c r="M3238" t="str">
        <f t="shared" si="652"/>
        <v>2022-12</v>
      </c>
      <c r="O3238">
        <v>8488.2061099999992</v>
      </c>
      <c r="P3238">
        <f t="shared" si="659"/>
        <v>-8.3109641826533862E-4</v>
      </c>
      <c r="Q3238" t="str">
        <f t="shared" si="653"/>
        <v>2022-12</v>
      </c>
      <c r="S3238">
        <v>8318.2999999999993</v>
      </c>
      <c r="T3238">
        <f t="shared" si="660"/>
        <v>7.2149340534425942E-3</v>
      </c>
      <c r="U3238" t="str">
        <f t="shared" si="654"/>
        <v>2022-12</v>
      </c>
      <c r="W3238">
        <v>24056.55</v>
      </c>
      <c r="X3238">
        <f t="shared" si="661"/>
        <v>1.1964516815199432E-2</v>
      </c>
      <c r="Y3238">
        <f t="shared" si="662"/>
        <v>1.2036377955140948E-2</v>
      </c>
      <c r="Z3238" t="str">
        <f t="shared" si="655"/>
        <v>2022-12</v>
      </c>
    </row>
    <row r="3239" spans="1:26" x14ac:dyDescent="0.35">
      <c r="A3239" s="1">
        <v>44925</v>
      </c>
      <c r="C3239">
        <v>3793.62</v>
      </c>
      <c r="D3239">
        <f t="shared" si="656"/>
        <v>-1.4770621600365541E-2</v>
      </c>
      <c r="E3239" t="str">
        <f t="shared" si="650"/>
        <v>2022-12</v>
      </c>
      <c r="G3239">
        <v>6473.76</v>
      </c>
      <c r="H3239">
        <f t="shared" si="657"/>
        <v>-1.5284767910778853E-2</v>
      </c>
      <c r="I3239" t="str">
        <f t="shared" si="651"/>
        <v>2022-12</v>
      </c>
      <c r="K3239">
        <v>13923.59</v>
      </c>
      <c r="L3239">
        <f t="shared" si="658"/>
        <v>-1.0582585614122347E-2</v>
      </c>
      <c r="M3239" t="str">
        <f t="shared" si="652"/>
        <v>2022-12</v>
      </c>
      <c r="O3239">
        <v>8416.6885000000002</v>
      </c>
      <c r="P3239">
        <f t="shared" si="659"/>
        <v>-8.4612224240597656E-3</v>
      </c>
      <c r="Q3239" t="str">
        <f t="shared" si="653"/>
        <v>2022-12</v>
      </c>
      <c r="S3239">
        <v>8229.1</v>
      </c>
      <c r="T3239">
        <f t="shared" si="660"/>
        <v>-1.0781254337857723E-2</v>
      </c>
      <c r="U3239" t="str">
        <f t="shared" si="654"/>
        <v>2022-12</v>
      </c>
      <c r="W3239">
        <v>23706.959999999999</v>
      </c>
      <c r="X3239">
        <f t="shared" si="661"/>
        <v>-1.4638632829481545E-2</v>
      </c>
      <c r="Y3239">
        <f t="shared" si="662"/>
        <v>-1.4532008953902375E-2</v>
      </c>
      <c r="Z3239" t="str">
        <f t="shared" si="655"/>
        <v>2022-12</v>
      </c>
    </row>
    <row r="3240" spans="1:26" x14ac:dyDescent="0.35">
      <c r="A3240" s="1">
        <v>44929</v>
      </c>
      <c r="C3240">
        <v>3882.29</v>
      </c>
      <c r="D3240">
        <f t="shared" si="656"/>
        <v>2.3104477365357569E-2</v>
      </c>
      <c r="E3240" t="str">
        <f t="shared" si="650"/>
        <v>2023-01</v>
      </c>
      <c r="G3240">
        <v>6623.89</v>
      </c>
      <c r="H3240">
        <f t="shared" si="657"/>
        <v>2.292572721035949E-2</v>
      </c>
      <c r="I3240" t="str">
        <f t="shared" si="651"/>
        <v>2023-01</v>
      </c>
      <c r="K3240">
        <v>14181.67</v>
      </c>
      <c r="L3240">
        <f t="shared" si="658"/>
        <v>1.8365761724586368E-2</v>
      </c>
      <c r="M3240" t="str">
        <f t="shared" si="652"/>
        <v>2023-01</v>
      </c>
      <c r="O3240">
        <v>8570.5183799999995</v>
      </c>
      <c r="P3240">
        <f t="shared" si="659"/>
        <v>1.8111757419035718E-2</v>
      </c>
      <c r="Q3240" t="str">
        <f t="shared" si="653"/>
        <v>2023-01</v>
      </c>
      <c r="S3240">
        <v>8397.4</v>
      </c>
      <c r="T3240">
        <f t="shared" si="660"/>
        <v>2.0245481432770041E-2</v>
      </c>
      <c r="U3240" t="str">
        <f t="shared" si="654"/>
        <v>2023-01</v>
      </c>
      <c r="W3240">
        <v>24436.47</v>
      </c>
      <c r="X3240">
        <f t="shared" si="661"/>
        <v>3.0308012605415231E-2</v>
      </c>
      <c r="Y3240">
        <f t="shared" si="662"/>
        <v>3.0771975824821152E-2</v>
      </c>
      <c r="Z3240" t="str">
        <f t="shared" si="655"/>
        <v>2023-01</v>
      </c>
    </row>
    <row r="3241" spans="1:26" x14ac:dyDescent="0.35">
      <c r="A3241" s="1">
        <v>44930</v>
      </c>
      <c r="C3241">
        <v>3973.97</v>
      </c>
      <c r="D3241">
        <f t="shared" si="656"/>
        <v>2.3340409314603041E-2</v>
      </c>
      <c r="E3241" t="str">
        <f t="shared" si="650"/>
        <v>2023-01</v>
      </c>
      <c r="G3241">
        <v>6776.43</v>
      </c>
      <c r="H3241">
        <f t="shared" si="657"/>
        <v>2.2767603939424383E-2</v>
      </c>
      <c r="I3241" t="str">
        <f t="shared" si="651"/>
        <v>2023-01</v>
      </c>
      <c r="K3241">
        <v>14490.78</v>
      </c>
      <c r="L3241">
        <f t="shared" si="658"/>
        <v>2.1562299432909989E-2</v>
      </c>
      <c r="M3241" t="str">
        <f t="shared" si="652"/>
        <v>2023-01</v>
      </c>
      <c r="O3241">
        <v>8628.5380000000005</v>
      </c>
      <c r="P3241">
        <f t="shared" si="659"/>
        <v>6.7468631774297242E-3</v>
      </c>
      <c r="Q3241" t="str">
        <f t="shared" si="653"/>
        <v>2023-01</v>
      </c>
      <c r="S3241">
        <v>8559.7999999999993</v>
      </c>
      <c r="T3241">
        <f t="shared" si="660"/>
        <v>1.9154691267352596E-2</v>
      </c>
      <c r="U3241" t="str">
        <f t="shared" si="654"/>
        <v>2023-01</v>
      </c>
      <c r="W3241">
        <v>24860.560000000001</v>
      </c>
      <c r="X3241">
        <f t="shared" si="661"/>
        <v>1.7205923455552597E-2</v>
      </c>
      <c r="Y3241">
        <f t="shared" si="662"/>
        <v>1.7354797972047524E-2</v>
      </c>
      <c r="Z3241" t="str">
        <f t="shared" si="655"/>
        <v>2023-01</v>
      </c>
    </row>
    <row r="3242" spans="1:26" x14ac:dyDescent="0.35">
      <c r="A3242" s="1">
        <v>44931</v>
      </c>
      <c r="C3242">
        <v>3959.48</v>
      </c>
      <c r="D3242">
        <f t="shared" si="656"/>
        <v>-3.6528915194304992E-3</v>
      </c>
      <c r="E3242" t="str">
        <f t="shared" si="650"/>
        <v>2023-01</v>
      </c>
      <c r="G3242">
        <v>6761.5</v>
      </c>
      <c r="H3242">
        <f t="shared" si="657"/>
        <v>-2.2056556730264292E-3</v>
      </c>
      <c r="I3242" t="str">
        <f t="shared" si="651"/>
        <v>2023-01</v>
      </c>
      <c r="K3242">
        <v>14436.31</v>
      </c>
      <c r="L3242">
        <f t="shared" si="658"/>
        <v>-3.7660244690160731E-3</v>
      </c>
      <c r="M3242" t="str">
        <f t="shared" si="652"/>
        <v>2023-01</v>
      </c>
      <c r="O3242">
        <v>8631.6703799999996</v>
      </c>
      <c r="P3242">
        <f t="shared" si="659"/>
        <v>3.6295970076661666E-4</v>
      </c>
      <c r="Q3242" t="str">
        <f t="shared" si="653"/>
        <v>2023-01</v>
      </c>
      <c r="S3242">
        <v>8607.6</v>
      </c>
      <c r="T3242">
        <f t="shared" si="660"/>
        <v>5.5687085435364879E-3</v>
      </c>
      <c r="U3242" t="str">
        <f t="shared" si="654"/>
        <v>2023-01</v>
      </c>
      <c r="W3242">
        <v>24832.7</v>
      </c>
      <c r="X3242">
        <f t="shared" si="661"/>
        <v>-1.1212789387919195E-3</v>
      </c>
      <c r="Y3242">
        <f t="shared" si="662"/>
        <v>-1.1206505404544619E-3</v>
      </c>
      <c r="Z3242" t="str">
        <f t="shared" si="655"/>
        <v>2023-01</v>
      </c>
    </row>
    <row r="3243" spans="1:26" x14ac:dyDescent="0.35">
      <c r="A3243" s="1">
        <v>44932</v>
      </c>
      <c r="C3243">
        <v>4017.83</v>
      </c>
      <c r="D3243">
        <f t="shared" si="656"/>
        <v>1.4629252378144379E-2</v>
      </c>
      <c r="E3243" t="str">
        <f t="shared" si="650"/>
        <v>2023-01</v>
      </c>
      <c r="G3243">
        <v>6860.95</v>
      </c>
      <c r="H3243">
        <f t="shared" si="657"/>
        <v>1.4601157183511945E-2</v>
      </c>
      <c r="I3243" t="str">
        <f t="shared" si="651"/>
        <v>2023-01</v>
      </c>
      <c r="K3243">
        <v>14610.02</v>
      </c>
      <c r="L3243">
        <f t="shared" si="658"/>
        <v>1.1961034044541272E-2</v>
      </c>
      <c r="M3243" t="str">
        <f t="shared" si="652"/>
        <v>2023-01</v>
      </c>
      <c r="O3243">
        <v>8746.7885600000009</v>
      </c>
      <c r="P3243">
        <f t="shared" si="659"/>
        <v>1.3248569879751038E-2</v>
      </c>
      <c r="Q3243" t="str">
        <f t="shared" si="653"/>
        <v>2023-01</v>
      </c>
      <c r="S3243">
        <v>8701.1</v>
      </c>
      <c r="T3243">
        <f t="shared" si="660"/>
        <v>1.0803920511439068E-2</v>
      </c>
      <c r="U3243" t="str">
        <f t="shared" si="654"/>
        <v>2023-01</v>
      </c>
      <c r="W3243">
        <v>25180.35</v>
      </c>
      <c r="X3243">
        <f t="shared" si="661"/>
        <v>1.3902595403686619E-2</v>
      </c>
      <c r="Y3243">
        <f t="shared" si="662"/>
        <v>1.3999685898029525E-2</v>
      </c>
      <c r="Z3243" t="str">
        <f t="shared" si="655"/>
        <v>2023-01</v>
      </c>
    </row>
    <row r="3244" spans="1:26" x14ac:dyDescent="0.35">
      <c r="A3244" s="1">
        <v>44935</v>
      </c>
      <c r="C3244">
        <v>4068.62</v>
      </c>
      <c r="D3244">
        <f t="shared" si="656"/>
        <v>1.2561919728552581E-2</v>
      </c>
      <c r="E3244" t="str">
        <f t="shared" si="650"/>
        <v>2023-01</v>
      </c>
      <c r="G3244">
        <v>6907.36</v>
      </c>
      <c r="H3244">
        <f t="shared" si="657"/>
        <v>6.7415936704220249E-3</v>
      </c>
      <c r="I3244" t="str">
        <f t="shared" si="651"/>
        <v>2023-01</v>
      </c>
      <c r="K3244">
        <v>14792.83</v>
      </c>
      <c r="L3244">
        <f t="shared" si="658"/>
        <v>1.2435009235146333E-2</v>
      </c>
      <c r="M3244" t="str">
        <f t="shared" si="652"/>
        <v>2023-01</v>
      </c>
      <c r="O3244">
        <v>8763.3156600000002</v>
      </c>
      <c r="P3244">
        <f t="shared" si="659"/>
        <v>1.8877220489612774E-3</v>
      </c>
      <c r="Q3244" t="str">
        <f t="shared" si="653"/>
        <v>2023-01</v>
      </c>
      <c r="S3244">
        <v>8694.9</v>
      </c>
      <c r="T3244">
        <f t="shared" si="660"/>
        <v>-7.1280757214489036E-4</v>
      </c>
      <c r="U3244" t="str">
        <f t="shared" si="654"/>
        <v>2023-01</v>
      </c>
      <c r="W3244">
        <v>25385.09</v>
      </c>
      <c r="X3244">
        <f t="shared" si="661"/>
        <v>8.098065353730111E-3</v>
      </c>
      <c r="Y3244">
        <f t="shared" si="662"/>
        <v>8.1309433744964476E-3</v>
      </c>
      <c r="Z3244" t="str">
        <f t="shared" si="655"/>
        <v>2023-01</v>
      </c>
    </row>
    <row r="3245" spans="1:26" x14ac:dyDescent="0.35">
      <c r="A3245" s="1">
        <v>44936</v>
      </c>
      <c r="C3245">
        <v>4057.46</v>
      </c>
      <c r="D3245">
        <f t="shared" si="656"/>
        <v>-2.7467135485557651E-3</v>
      </c>
      <c r="E3245" t="str">
        <f t="shared" si="650"/>
        <v>2023-01</v>
      </c>
      <c r="G3245">
        <v>6869.14</v>
      </c>
      <c r="H3245">
        <f t="shared" si="657"/>
        <v>-5.5485933373769928E-3</v>
      </c>
      <c r="I3245" t="str">
        <f t="shared" si="651"/>
        <v>2023-01</v>
      </c>
      <c r="K3245">
        <v>14774.6</v>
      </c>
      <c r="L3245">
        <f t="shared" si="658"/>
        <v>-1.233113754560167E-3</v>
      </c>
      <c r="M3245" t="str">
        <f t="shared" si="652"/>
        <v>2023-01</v>
      </c>
      <c r="O3245">
        <v>8708.8093000000008</v>
      </c>
      <c r="P3245">
        <f t="shared" si="659"/>
        <v>-6.2392567526591359E-3</v>
      </c>
      <c r="Q3245" t="str">
        <f t="shared" si="653"/>
        <v>2023-01</v>
      </c>
      <c r="S3245">
        <v>8712.7000000000007</v>
      </c>
      <c r="T3245">
        <f t="shared" si="660"/>
        <v>2.0450844692951257E-3</v>
      </c>
      <c r="U3245" t="str">
        <f t="shared" si="654"/>
        <v>2023-01</v>
      </c>
      <c r="W3245">
        <v>25364.61</v>
      </c>
      <c r="X3245">
        <f t="shared" si="661"/>
        <v>-8.0709841089648591E-4</v>
      </c>
      <c r="Y3245">
        <f t="shared" si="662"/>
        <v>-8.06772794581369E-4</v>
      </c>
      <c r="Z3245" t="str">
        <f t="shared" si="655"/>
        <v>2023-01</v>
      </c>
    </row>
    <row r="3246" spans="1:26" x14ac:dyDescent="0.35">
      <c r="A3246" s="1">
        <v>44937</v>
      </c>
      <c r="C3246">
        <v>4099.76</v>
      </c>
      <c r="D3246">
        <f t="shared" si="656"/>
        <v>1.0371273340670256E-2</v>
      </c>
      <c r="E3246" t="str">
        <f t="shared" si="650"/>
        <v>2023-01</v>
      </c>
      <c r="G3246">
        <v>6924.19</v>
      </c>
      <c r="H3246">
        <f t="shared" si="657"/>
        <v>7.9821612753100089E-3</v>
      </c>
      <c r="I3246" t="str">
        <f t="shared" si="651"/>
        <v>2023-01</v>
      </c>
      <c r="K3246">
        <v>14947.91</v>
      </c>
      <c r="L3246">
        <f t="shared" si="658"/>
        <v>1.1662000565103369E-2</v>
      </c>
      <c r="M3246" t="str">
        <f t="shared" si="652"/>
        <v>2023-01</v>
      </c>
      <c r="O3246">
        <v>8712.6158500000001</v>
      </c>
      <c r="P3246">
        <f t="shared" si="659"/>
        <v>4.3699640273987947E-4</v>
      </c>
      <c r="Q3246" t="str">
        <f t="shared" si="653"/>
        <v>2023-01</v>
      </c>
      <c r="S3246">
        <v>8726.2999999999993</v>
      </c>
      <c r="T3246">
        <f t="shared" si="660"/>
        <v>1.5597227773494996E-3</v>
      </c>
      <c r="U3246" t="str">
        <f t="shared" si="654"/>
        <v>2023-01</v>
      </c>
      <c r="W3246">
        <v>25546.86</v>
      </c>
      <c r="X3246">
        <f t="shared" si="661"/>
        <v>7.1595174325427609E-3</v>
      </c>
      <c r="Y3246">
        <f t="shared" si="662"/>
        <v>7.1852080516909191E-3</v>
      </c>
      <c r="Z3246" t="str">
        <f t="shared" si="655"/>
        <v>2023-01</v>
      </c>
    </row>
    <row r="3247" spans="1:26" x14ac:dyDescent="0.35">
      <c r="A3247" s="1">
        <v>44938</v>
      </c>
      <c r="C3247">
        <v>4126.68</v>
      </c>
      <c r="D3247">
        <f t="shared" si="656"/>
        <v>6.5447741893278153E-3</v>
      </c>
      <c r="E3247" t="str">
        <f t="shared" si="650"/>
        <v>2023-01</v>
      </c>
      <c r="G3247">
        <v>6975.68</v>
      </c>
      <c r="H3247">
        <f t="shared" si="657"/>
        <v>7.4087362717690317E-3</v>
      </c>
      <c r="I3247" t="str">
        <f t="shared" si="651"/>
        <v>2023-01</v>
      </c>
      <c r="K3247">
        <v>15058.3</v>
      </c>
      <c r="L3247">
        <f t="shared" si="658"/>
        <v>7.3578434612536717E-3</v>
      </c>
      <c r="M3247" t="str">
        <f t="shared" si="652"/>
        <v>2023-01</v>
      </c>
      <c r="O3247">
        <v>8785.4470600000004</v>
      </c>
      <c r="P3247">
        <f t="shared" si="659"/>
        <v>8.3245363742999526E-3</v>
      </c>
      <c r="Q3247" t="str">
        <f t="shared" si="653"/>
        <v>2023-01</v>
      </c>
      <c r="S3247">
        <v>8828.1</v>
      </c>
      <c r="T3247">
        <f t="shared" si="660"/>
        <v>1.159836180016174E-2</v>
      </c>
      <c r="U3247" t="str">
        <f t="shared" si="654"/>
        <v>2023-01</v>
      </c>
      <c r="W3247">
        <v>25733.96</v>
      </c>
      <c r="X3247">
        <f t="shared" si="661"/>
        <v>7.2971075821675812E-3</v>
      </c>
      <c r="Y3247">
        <f t="shared" si="662"/>
        <v>7.3237963491403065E-3</v>
      </c>
      <c r="Z3247" t="str">
        <f t="shared" si="655"/>
        <v>2023-01</v>
      </c>
    </row>
    <row r="3248" spans="1:26" x14ac:dyDescent="0.35">
      <c r="A3248" s="1">
        <v>44939</v>
      </c>
      <c r="C3248">
        <v>4150.8</v>
      </c>
      <c r="D3248">
        <f t="shared" si="656"/>
        <v>5.8278771480949456E-3</v>
      </c>
      <c r="E3248" t="str">
        <f t="shared" si="650"/>
        <v>2023-01</v>
      </c>
      <c r="G3248">
        <v>7023.5</v>
      </c>
      <c r="H3248">
        <f t="shared" si="657"/>
        <v>6.8318552939141087E-3</v>
      </c>
      <c r="I3248" t="str">
        <f t="shared" si="651"/>
        <v>2023-01</v>
      </c>
      <c r="K3248">
        <v>15086.52</v>
      </c>
      <c r="L3248">
        <f t="shared" si="658"/>
        <v>1.8722956875341591E-3</v>
      </c>
      <c r="M3248" t="str">
        <f t="shared" si="652"/>
        <v>2023-01</v>
      </c>
      <c r="O3248">
        <v>8844.5004300000001</v>
      </c>
      <c r="P3248">
        <f t="shared" si="659"/>
        <v>6.6992361595833647E-3</v>
      </c>
      <c r="Q3248" t="str">
        <f t="shared" si="653"/>
        <v>2023-01</v>
      </c>
      <c r="S3248">
        <v>8881.7000000000007</v>
      </c>
      <c r="T3248">
        <f t="shared" si="660"/>
        <v>6.0531641985935832E-3</v>
      </c>
      <c r="U3248" t="str">
        <f t="shared" si="654"/>
        <v>2023-01</v>
      </c>
      <c r="W3248">
        <v>25783.48</v>
      </c>
      <c r="X3248">
        <f t="shared" si="661"/>
        <v>1.9224563662904612E-3</v>
      </c>
      <c r="Y3248">
        <f t="shared" si="662"/>
        <v>1.9243054702813107E-3</v>
      </c>
      <c r="Z3248" t="str">
        <f t="shared" si="655"/>
        <v>2023-01</v>
      </c>
    </row>
    <row r="3249" spans="1:26" x14ac:dyDescent="0.35">
      <c r="A3249" s="1">
        <v>44942</v>
      </c>
      <c r="C3249">
        <v>4157</v>
      </c>
      <c r="D3249">
        <f t="shared" si="656"/>
        <v>1.4925735215139987E-3</v>
      </c>
      <c r="E3249" t="str">
        <f t="shared" si="650"/>
        <v>2023-01</v>
      </c>
      <c r="G3249">
        <v>7043.31</v>
      </c>
      <c r="H3249">
        <f t="shared" si="657"/>
        <v>2.8165608401740836E-3</v>
      </c>
      <c r="I3249" t="str">
        <f t="shared" si="651"/>
        <v>2023-01</v>
      </c>
      <c r="K3249">
        <v>15134.04</v>
      </c>
      <c r="L3249">
        <f t="shared" si="658"/>
        <v>3.1448814426668515E-3</v>
      </c>
      <c r="M3249" t="str">
        <f t="shared" si="652"/>
        <v>2023-01</v>
      </c>
      <c r="O3249">
        <v>8860.9315100000003</v>
      </c>
      <c r="P3249">
        <f t="shared" si="659"/>
        <v>1.8560501401676105E-3</v>
      </c>
      <c r="Q3249" t="str">
        <f t="shared" si="653"/>
        <v>2023-01</v>
      </c>
      <c r="S3249">
        <v>8871.1</v>
      </c>
      <c r="T3249">
        <f t="shared" si="660"/>
        <v>-1.1941779617510833E-3</v>
      </c>
      <c r="U3249" t="str">
        <f t="shared" si="654"/>
        <v>2023-01</v>
      </c>
      <c r="W3249">
        <v>25901.33</v>
      </c>
      <c r="X3249">
        <f t="shared" si="661"/>
        <v>4.5603419744037017E-3</v>
      </c>
      <c r="Y3249">
        <f t="shared" si="662"/>
        <v>4.5707561585946578E-3</v>
      </c>
      <c r="Z3249" t="str">
        <f t="shared" si="655"/>
        <v>2023-01</v>
      </c>
    </row>
    <row r="3250" spans="1:26" x14ac:dyDescent="0.35">
      <c r="A3250" s="1">
        <v>44943</v>
      </c>
      <c r="C3250">
        <v>4174.33</v>
      </c>
      <c r="D3250">
        <f t="shared" si="656"/>
        <v>4.1602061122629624E-3</v>
      </c>
      <c r="E3250" t="str">
        <f t="shared" si="650"/>
        <v>2023-01</v>
      </c>
      <c r="G3250">
        <v>7077.16</v>
      </c>
      <c r="H3250">
        <f t="shared" si="657"/>
        <v>4.7944671589872532E-3</v>
      </c>
      <c r="I3250" t="str">
        <f t="shared" si="651"/>
        <v>2023-01</v>
      </c>
      <c r="K3250">
        <v>15187.07</v>
      </c>
      <c r="L3250">
        <f t="shared" si="658"/>
        <v>3.4978966185428492E-3</v>
      </c>
      <c r="M3250" t="str">
        <f t="shared" si="652"/>
        <v>2023-01</v>
      </c>
      <c r="O3250">
        <v>8928.70802</v>
      </c>
      <c r="P3250">
        <f t="shared" si="659"/>
        <v>7.6198101506489398E-3</v>
      </c>
      <c r="Q3250" t="str">
        <f t="shared" si="653"/>
        <v>2023-01</v>
      </c>
      <c r="S3250">
        <v>8890.4</v>
      </c>
      <c r="T3250">
        <f t="shared" si="660"/>
        <v>2.1732407281048051E-3</v>
      </c>
      <c r="U3250" t="str">
        <f t="shared" si="654"/>
        <v>2023-01</v>
      </c>
      <c r="W3250">
        <v>25981.19</v>
      </c>
      <c r="X3250">
        <f t="shared" si="661"/>
        <v>3.0784959200259605E-3</v>
      </c>
      <c r="Y3250">
        <f t="shared" si="662"/>
        <v>3.0832393548901518E-3</v>
      </c>
      <c r="Z3250" t="str">
        <f t="shared" si="655"/>
        <v>2023-01</v>
      </c>
    </row>
    <row r="3251" spans="1:26" x14ac:dyDescent="0.35">
      <c r="A3251" s="1">
        <v>44944</v>
      </c>
      <c r="C3251">
        <v>4174.34</v>
      </c>
      <c r="D3251">
        <f t="shared" si="656"/>
        <v>2.3955911541656787E-6</v>
      </c>
      <c r="E3251" t="str">
        <f t="shared" si="650"/>
        <v>2023-01</v>
      </c>
      <c r="G3251">
        <v>7083.39</v>
      </c>
      <c r="H3251">
        <f t="shared" si="657"/>
        <v>8.7990938232762074E-4</v>
      </c>
      <c r="I3251" t="str">
        <f t="shared" si="651"/>
        <v>2023-01</v>
      </c>
      <c r="K3251">
        <v>15181.8</v>
      </c>
      <c r="L3251">
        <f t="shared" si="658"/>
        <v>-3.4706592987493213E-4</v>
      </c>
      <c r="M3251" t="str">
        <f t="shared" si="652"/>
        <v>2023-01</v>
      </c>
      <c r="O3251">
        <v>8954.9668600000005</v>
      </c>
      <c r="P3251">
        <f t="shared" si="659"/>
        <v>2.9366289699504231E-3</v>
      </c>
      <c r="Q3251" t="str">
        <f t="shared" si="653"/>
        <v>2023-01</v>
      </c>
      <c r="S3251">
        <v>8933.2999999999993</v>
      </c>
      <c r="T3251">
        <f t="shared" si="660"/>
        <v>4.8138246091566214E-3</v>
      </c>
      <c r="U3251" t="str">
        <f t="shared" si="654"/>
        <v>2023-01</v>
      </c>
      <c r="W3251">
        <v>26052.39</v>
      </c>
      <c r="X3251">
        <f t="shared" si="661"/>
        <v>2.736695973551073E-3</v>
      </c>
      <c r="Y3251">
        <f t="shared" si="662"/>
        <v>2.7404441443983408E-3</v>
      </c>
      <c r="Z3251" t="str">
        <f t="shared" si="655"/>
        <v>2023-01</v>
      </c>
    </row>
    <row r="3252" spans="1:26" x14ac:dyDescent="0.35">
      <c r="A3252" s="1">
        <v>44945</v>
      </c>
      <c r="C3252">
        <v>4094.28</v>
      </c>
      <c r="D3252">
        <f t="shared" si="656"/>
        <v>-1.9365384303591346E-2</v>
      </c>
      <c r="E3252" t="str">
        <f t="shared" si="650"/>
        <v>2023-01</v>
      </c>
      <c r="G3252">
        <v>6951.87</v>
      </c>
      <c r="H3252">
        <f t="shared" si="657"/>
        <v>-1.8741918536841817E-2</v>
      </c>
      <c r="I3252" t="str">
        <f t="shared" si="651"/>
        <v>2023-01</v>
      </c>
      <c r="K3252">
        <v>14920.36</v>
      </c>
      <c r="L3252">
        <f t="shared" si="658"/>
        <v>-1.7370618842027168E-2</v>
      </c>
      <c r="M3252" t="str">
        <f t="shared" si="652"/>
        <v>2023-01</v>
      </c>
      <c r="O3252">
        <v>8862.5387499999997</v>
      </c>
      <c r="P3252">
        <f t="shared" si="659"/>
        <v>-1.0375070575858621E-2</v>
      </c>
      <c r="Q3252" t="str">
        <f t="shared" si="653"/>
        <v>2023-01</v>
      </c>
      <c r="S3252">
        <v>8793.1</v>
      </c>
      <c r="T3252">
        <f t="shared" si="660"/>
        <v>-1.5818544483443681E-2</v>
      </c>
      <c r="U3252" t="str">
        <f t="shared" si="654"/>
        <v>2023-01</v>
      </c>
      <c r="W3252">
        <v>25596.28</v>
      </c>
      <c r="X3252">
        <f t="shared" si="661"/>
        <v>-1.7662482205352624E-2</v>
      </c>
      <c r="Y3252">
        <f t="shared" si="662"/>
        <v>-1.7507414866735859E-2</v>
      </c>
      <c r="Z3252" t="str">
        <f t="shared" si="655"/>
        <v>2023-01</v>
      </c>
    </row>
    <row r="3253" spans="1:26" x14ac:dyDescent="0.35">
      <c r="A3253" s="1">
        <v>44946</v>
      </c>
      <c r="C3253">
        <v>4119.8999999999996</v>
      </c>
      <c r="D3253">
        <f t="shared" si="656"/>
        <v>6.2380135518826513E-3</v>
      </c>
      <c r="E3253" t="str">
        <f t="shared" si="650"/>
        <v>2023-01</v>
      </c>
      <c r="G3253">
        <v>6995.99</v>
      </c>
      <c r="H3253">
        <f t="shared" si="657"/>
        <v>6.3264396336375189E-3</v>
      </c>
      <c r="I3253" t="str">
        <f t="shared" si="651"/>
        <v>2023-01</v>
      </c>
      <c r="K3253">
        <v>15033.56</v>
      </c>
      <c r="L3253">
        <f t="shared" si="658"/>
        <v>7.558312161328691E-3</v>
      </c>
      <c r="M3253" t="str">
        <f t="shared" si="652"/>
        <v>2023-01</v>
      </c>
      <c r="O3253">
        <v>8876.2724400000006</v>
      </c>
      <c r="P3253">
        <f t="shared" si="659"/>
        <v>1.5484344014879581E-3</v>
      </c>
      <c r="Q3253" t="str">
        <f t="shared" si="653"/>
        <v>2023-01</v>
      </c>
      <c r="S3253">
        <v>8918.2000000000007</v>
      </c>
      <c r="T3253">
        <f t="shared" si="660"/>
        <v>1.412680949183993E-2</v>
      </c>
      <c r="U3253" t="str">
        <f t="shared" si="654"/>
        <v>2023-01</v>
      </c>
      <c r="W3253">
        <v>25775.52</v>
      </c>
      <c r="X3253">
        <f t="shared" si="661"/>
        <v>6.9781758606657267E-3</v>
      </c>
      <c r="Y3253">
        <f t="shared" si="662"/>
        <v>7.0025800624153823E-3</v>
      </c>
      <c r="Z3253" t="str">
        <f t="shared" si="655"/>
        <v>2023-01</v>
      </c>
    </row>
    <row r="3254" spans="1:26" x14ac:dyDescent="0.35">
      <c r="A3254" s="1">
        <v>44949</v>
      </c>
      <c r="C3254">
        <v>4150.82</v>
      </c>
      <c r="D3254">
        <f t="shared" si="656"/>
        <v>7.4770138634394851E-3</v>
      </c>
      <c r="E3254" t="str">
        <f t="shared" si="650"/>
        <v>2023-01</v>
      </c>
      <c r="G3254">
        <v>7032.02</v>
      </c>
      <c r="H3254">
        <f t="shared" si="657"/>
        <v>5.1368767527886034E-3</v>
      </c>
      <c r="I3254" t="str">
        <f t="shared" si="651"/>
        <v>2023-01</v>
      </c>
      <c r="K3254">
        <v>15102.95</v>
      </c>
      <c r="L3254">
        <f t="shared" si="658"/>
        <v>4.6050536460031984E-3</v>
      </c>
      <c r="M3254" t="str">
        <f t="shared" si="652"/>
        <v>2023-01</v>
      </c>
      <c r="O3254">
        <v>8863.9034499999998</v>
      </c>
      <c r="P3254">
        <f t="shared" si="659"/>
        <v>-1.3944610336458752E-3</v>
      </c>
      <c r="Q3254" t="str">
        <f t="shared" si="653"/>
        <v>2023-01</v>
      </c>
      <c r="S3254">
        <v>8944.1</v>
      </c>
      <c r="T3254">
        <f t="shared" si="660"/>
        <v>2.8999645231730441E-3</v>
      </c>
      <c r="U3254" t="str">
        <f t="shared" si="654"/>
        <v>2023-01</v>
      </c>
      <c r="W3254">
        <v>25821.45</v>
      </c>
      <c r="X3254">
        <f t="shared" si="661"/>
        <v>1.7803375714369859E-3</v>
      </c>
      <c r="Y3254">
        <f t="shared" si="662"/>
        <v>1.7819233132833126E-3</v>
      </c>
      <c r="Z3254" t="str">
        <f t="shared" si="655"/>
        <v>2023-01</v>
      </c>
    </row>
    <row r="3255" spans="1:26" x14ac:dyDescent="0.35">
      <c r="A3255" s="1">
        <v>44950</v>
      </c>
      <c r="C3255">
        <v>4153.0200000000004</v>
      </c>
      <c r="D3255">
        <f t="shared" si="656"/>
        <v>5.2987534718276124E-4</v>
      </c>
      <c r="E3255" t="str">
        <f t="shared" si="650"/>
        <v>2023-01</v>
      </c>
      <c r="G3255">
        <v>7050.48</v>
      </c>
      <c r="H3255">
        <f t="shared" si="657"/>
        <v>2.6216950929736863E-3</v>
      </c>
      <c r="I3255" t="str">
        <f t="shared" si="651"/>
        <v>2023-01</v>
      </c>
      <c r="K3255">
        <v>15093.11</v>
      </c>
      <c r="L3255">
        <f t="shared" si="658"/>
        <v>-6.5174068062581519E-4</v>
      </c>
      <c r="M3255" t="str">
        <f t="shared" si="652"/>
        <v>2023-01</v>
      </c>
      <c r="O3255">
        <v>8785.1175500000008</v>
      </c>
      <c r="P3255">
        <f t="shared" si="659"/>
        <v>-8.9281352597567632E-3</v>
      </c>
      <c r="Q3255" t="str">
        <f t="shared" si="653"/>
        <v>2023-01</v>
      </c>
      <c r="S3255">
        <v>8967.1</v>
      </c>
      <c r="T3255">
        <f t="shared" si="660"/>
        <v>2.5682268794864362E-3</v>
      </c>
      <c r="U3255" t="str">
        <f t="shared" si="654"/>
        <v>2023-01</v>
      </c>
      <c r="W3255">
        <v>25884.31</v>
      </c>
      <c r="X3255">
        <f t="shared" si="661"/>
        <v>2.4314517751525323E-3</v>
      </c>
      <c r="Y3255">
        <f t="shared" si="662"/>
        <v>2.4344101512502429E-3</v>
      </c>
      <c r="Z3255" t="str">
        <f t="shared" si="655"/>
        <v>2023-01</v>
      </c>
    </row>
    <row r="3256" spans="1:26" x14ac:dyDescent="0.35">
      <c r="A3256" s="1">
        <v>44951</v>
      </c>
      <c r="C3256">
        <v>4148.1099999999997</v>
      </c>
      <c r="D3256">
        <f t="shared" si="656"/>
        <v>-1.1829716129244171E-3</v>
      </c>
      <c r="E3256" t="str">
        <f t="shared" si="650"/>
        <v>2023-01</v>
      </c>
      <c r="G3256">
        <v>7043.88</v>
      </c>
      <c r="H3256">
        <f t="shared" si="657"/>
        <v>-9.3654489915310926E-4</v>
      </c>
      <c r="I3256" t="str">
        <f t="shared" si="651"/>
        <v>2023-01</v>
      </c>
      <c r="K3256">
        <v>15081.64</v>
      </c>
      <c r="L3256">
        <f t="shared" si="658"/>
        <v>-7.6023831530910282E-4</v>
      </c>
      <c r="M3256" t="str">
        <f t="shared" si="652"/>
        <v>2023-01</v>
      </c>
      <c r="O3256">
        <v>8798.6953200000007</v>
      </c>
      <c r="P3256">
        <f t="shared" si="659"/>
        <v>1.5443490895836922E-3</v>
      </c>
      <c r="Q3256" t="str">
        <f t="shared" si="653"/>
        <v>2023-01</v>
      </c>
      <c r="S3256">
        <v>8957.5</v>
      </c>
      <c r="T3256">
        <f t="shared" si="660"/>
        <v>-1.0711537125398908E-3</v>
      </c>
      <c r="U3256" t="str">
        <f t="shared" si="654"/>
        <v>2023-01</v>
      </c>
      <c r="W3256">
        <v>25875.3</v>
      </c>
      <c r="X3256">
        <f t="shared" si="661"/>
        <v>-3.4814791266810671E-4</v>
      </c>
      <c r="Y3256">
        <f t="shared" si="662"/>
        <v>-3.4808731621596391E-4</v>
      </c>
      <c r="Z3256" t="str">
        <f t="shared" si="655"/>
        <v>2023-01</v>
      </c>
    </row>
    <row r="3257" spans="1:26" x14ac:dyDescent="0.35">
      <c r="A3257" s="1">
        <v>44952</v>
      </c>
      <c r="C3257">
        <v>4173.9799999999996</v>
      </c>
      <c r="D3257">
        <f t="shared" si="656"/>
        <v>6.2172082567804442E-3</v>
      </c>
      <c r="E3257" t="str">
        <f t="shared" si="650"/>
        <v>2023-01</v>
      </c>
      <c r="G3257">
        <v>7095.99</v>
      </c>
      <c r="H3257">
        <f t="shared" si="657"/>
        <v>7.3706810479189575E-3</v>
      </c>
      <c r="I3257" t="str">
        <f t="shared" si="651"/>
        <v>2023-01</v>
      </c>
      <c r="K3257">
        <v>15132.85</v>
      </c>
      <c r="L3257">
        <f t="shared" si="658"/>
        <v>3.3897675609154336E-3</v>
      </c>
      <c r="M3257" t="str">
        <f t="shared" si="652"/>
        <v>2023-01</v>
      </c>
      <c r="O3257">
        <v>8839.7364199999993</v>
      </c>
      <c r="P3257">
        <f t="shared" si="659"/>
        <v>4.653608061156226E-3</v>
      </c>
      <c r="Q3257" t="str">
        <f t="shared" si="653"/>
        <v>2023-01</v>
      </c>
      <c r="S3257">
        <v>9035.6</v>
      </c>
      <c r="T3257">
        <f t="shared" si="660"/>
        <v>8.6811600540111535E-3</v>
      </c>
      <c r="U3257" t="str">
        <f t="shared" si="654"/>
        <v>2023-01</v>
      </c>
      <c r="W3257">
        <v>26217.56</v>
      </c>
      <c r="X3257">
        <f t="shared" si="661"/>
        <v>1.3140569550310744E-2</v>
      </c>
      <c r="Y3257">
        <f t="shared" si="662"/>
        <v>1.3227286253686027E-2</v>
      </c>
      <c r="Z3257" t="str">
        <f t="shared" si="655"/>
        <v>2023-01</v>
      </c>
    </row>
    <row r="3258" spans="1:26" x14ac:dyDescent="0.35">
      <c r="A3258" s="1">
        <v>44953</v>
      </c>
      <c r="C3258">
        <v>4178.01</v>
      </c>
      <c r="D3258">
        <f t="shared" si="656"/>
        <v>9.6503954453076889E-4</v>
      </c>
      <c r="E3258" t="str">
        <f t="shared" si="650"/>
        <v>2023-01</v>
      </c>
      <c r="G3258">
        <v>7097.21</v>
      </c>
      <c r="H3258">
        <f t="shared" si="657"/>
        <v>1.7191331102285316E-4</v>
      </c>
      <c r="I3258" t="str">
        <f t="shared" si="651"/>
        <v>2023-01</v>
      </c>
      <c r="K3258">
        <v>15150.03</v>
      </c>
      <c r="L3258">
        <f t="shared" si="658"/>
        <v>1.1346346082750627E-3</v>
      </c>
      <c r="M3258" t="str">
        <f t="shared" si="652"/>
        <v>2023-01</v>
      </c>
      <c r="O3258">
        <v>8854.85772</v>
      </c>
      <c r="P3258">
        <f t="shared" si="659"/>
        <v>1.7091438844378179E-3</v>
      </c>
      <c r="Q3258" t="str">
        <f t="shared" si="653"/>
        <v>2023-01</v>
      </c>
      <c r="S3258">
        <v>9060.2000000000007</v>
      </c>
      <c r="T3258">
        <f t="shared" si="660"/>
        <v>2.7188646154420858E-3</v>
      </c>
      <c r="U3258" t="str">
        <f t="shared" si="654"/>
        <v>2023-01</v>
      </c>
      <c r="W3258">
        <v>26435.75</v>
      </c>
      <c r="X3258">
        <f t="shared" si="661"/>
        <v>8.2878454906288607E-3</v>
      </c>
      <c r="Y3258">
        <f t="shared" si="662"/>
        <v>8.3222847587646857E-3</v>
      </c>
      <c r="Z3258" t="str">
        <f t="shared" si="655"/>
        <v>2023-01</v>
      </c>
    </row>
    <row r="3259" spans="1:26" x14ac:dyDescent="0.35">
      <c r="A3259" s="1">
        <v>44956</v>
      </c>
      <c r="C3259">
        <v>4158.63</v>
      </c>
      <c r="D3259">
        <f t="shared" si="656"/>
        <v>-4.6493635111426214E-3</v>
      </c>
      <c r="E3259" t="str">
        <f t="shared" si="650"/>
        <v>2023-01</v>
      </c>
      <c r="G3259">
        <v>7082.01</v>
      </c>
      <c r="H3259">
        <f t="shared" si="657"/>
        <v>-2.14398335344834E-3</v>
      </c>
      <c r="I3259" t="str">
        <f t="shared" si="651"/>
        <v>2023-01</v>
      </c>
      <c r="K3259">
        <v>15126.08</v>
      </c>
      <c r="L3259">
        <f t="shared" si="658"/>
        <v>-1.5821058250672204E-3</v>
      </c>
      <c r="M3259" t="str">
        <f t="shared" si="652"/>
        <v>2023-01</v>
      </c>
      <c r="O3259">
        <v>8863.9112000000005</v>
      </c>
      <c r="P3259">
        <f t="shared" si="659"/>
        <v>1.0219085568250704E-3</v>
      </c>
      <c r="Q3259" t="str">
        <f t="shared" si="653"/>
        <v>2023-01</v>
      </c>
      <c r="S3259">
        <v>9049.2999999999993</v>
      </c>
      <c r="T3259">
        <f t="shared" si="660"/>
        <v>-1.2037882124048473E-3</v>
      </c>
      <c r="U3259" t="str">
        <f t="shared" si="654"/>
        <v>2023-01</v>
      </c>
      <c r="W3259">
        <v>26335.98</v>
      </c>
      <c r="X3259">
        <f t="shared" si="661"/>
        <v>-3.7811956845560119E-3</v>
      </c>
      <c r="Y3259">
        <f t="shared" si="662"/>
        <v>-3.7740559658795548E-3</v>
      </c>
      <c r="Z3259" t="str">
        <f t="shared" si="655"/>
        <v>2023-01</v>
      </c>
    </row>
    <row r="3260" spans="1:26" x14ac:dyDescent="0.35">
      <c r="A3260" s="1">
        <v>44957</v>
      </c>
      <c r="C3260">
        <v>4163.45</v>
      </c>
      <c r="D3260">
        <f t="shared" si="656"/>
        <v>1.1583643846151692E-3</v>
      </c>
      <c r="E3260" t="str">
        <f t="shared" si="650"/>
        <v>2023-01</v>
      </c>
      <c r="G3260">
        <v>7082.42</v>
      </c>
      <c r="H3260">
        <f t="shared" si="657"/>
        <v>5.7891493002562485E-5</v>
      </c>
      <c r="I3260" t="str">
        <f t="shared" si="651"/>
        <v>2023-01</v>
      </c>
      <c r="K3260">
        <v>15128.27</v>
      </c>
      <c r="L3260">
        <f t="shared" si="658"/>
        <v>1.4477257014788844E-4</v>
      </c>
      <c r="M3260" t="str">
        <f t="shared" si="652"/>
        <v>2023-01</v>
      </c>
      <c r="O3260">
        <v>8816.7486599999993</v>
      </c>
      <c r="P3260">
        <f t="shared" si="659"/>
        <v>-5.3349425002857612E-3</v>
      </c>
      <c r="Q3260" t="str">
        <f t="shared" si="653"/>
        <v>2023-01</v>
      </c>
      <c r="S3260">
        <v>9034</v>
      </c>
      <c r="T3260">
        <f t="shared" si="660"/>
        <v>-1.6921694216079284E-3</v>
      </c>
      <c r="U3260" t="str">
        <f t="shared" si="654"/>
        <v>2023-01</v>
      </c>
      <c r="W3260">
        <v>26599.74</v>
      </c>
      <c r="X3260">
        <f t="shared" si="661"/>
        <v>9.9653762261899953E-3</v>
      </c>
      <c r="Y3260">
        <f t="shared" si="662"/>
        <v>1.0015195941066254E-2</v>
      </c>
      <c r="Z3260" t="str">
        <f t="shared" si="655"/>
        <v>2023-01</v>
      </c>
    </row>
    <row r="3261" spans="1:26" x14ac:dyDescent="0.35">
      <c r="A3261" s="1">
        <v>44958</v>
      </c>
      <c r="C3261">
        <v>4171.4399999999996</v>
      </c>
      <c r="D3261">
        <f t="shared" si="656"/>
        <v>1.9172424465066613E-3</v>
      </c>
      <c r="E3261" t="str">
        <f t="shared" si="650"/>
        <v>2023-02</v>
      </c>
      <c r="G3261">
        <v>7077.11</v>
      </c>
      <c r="H3261">
        <f t="shared" si="657"/>
        <v>-7.5002493005388944E-4</v>
      </c>
      <c r="I3261" t="str">
        <f t="shared" si="651"/>
        <v>2023-02</v>
      </c>
      <c r="K3261">
        <v>15180.74</v>
      </c>
      <c r="L3261">
        <f t="shared" si="658"/>
        <v>3.4623402358998313E-3</v>
      </c>
      <c r="M3261" t="str">
        <f t="shared" si="652"/>
        <v>2023-02</v>
      </c>
      <c r="O3261">
        <v>8752.9496899999995</v>
      </c>
      <c r="P3261">
        <f t="shared" si="659"/>
        <v>-7.2624184137679475E-3</v>
      </c>
      <c r="Q3261" t="str">
        <f t="shared" si="653"/>
        <v>2023-02</v>
      </c>
      <c r="S3261">
        <v>9098.1</v>
      </c>
      <c r="T3261">
        <f t="shared" si="660"/>
        <v>7.0703632816819682E-3</v>
      </c>
      <c r="U3261" t="str">
        <f t="shared" si="654"/>
        <v>2023-02</v>
      </c>
      <c r="W3261">
        <v>26703.87</v>
      </c>
      <c r="X3261">
        <f t="shared" si="661"/>
        <v>3.9070574192948534E-3</v>
      </c>
      <c r="Y3261">
        <f t="shared" si="662"/>
        <v>3.9146999181194015E-3</v>
      </c>
      <c r="Z3261" t="str">
        <f t="shared" si="655"/>
        <v>2023-02</v>
      </c>
    </row>
    <row r="3262" spans="1:26" x14ac:dyDescent="0.35">
      <c r="A3262" s="1">
        <v>44959</v>
      </c>
      <c r="C3262">
        <v>4241.12</v>
      </c>
      <c r="D3262">
        <f t="shared" si="656"/>
        <v>1.6566085364347585E-2</v>
      </c>
      <c r="E3262" t="str">
        <f t="shared" si="650"/>
        <v>2023-02</v>
      </c>
      <c r="G3262">
        <v>7166.27</v>
      </c>
      <c r="H3262">
        <f t="shared" si="657"/>
        <v>1.2519663814331351E-2</v>
      </c>
      <c r="I3262" t="str">
        <f t="shared" si="651"/>
        <v>2023-02</v>
      </c>
      <c r="K3262">
        <v>15509.19</v>
      </c>
      <c r="L3262">
        <f t="shared" si="658"/>
        <v>2.140523232091647E-2</v>
      </c>
      <c r="M3262" t="str">
        <f t="shared" si="652"/>
        <v>2023-02</v>
      </c>
      <c r="O3262">
        <v>8777.1600600000002</v>
      </c>
      <c r="P3262">
        <f t="shared" si="659"/>
        <v>2.7621487529684192E-3</v>
      </c>
      <c r="Q3262" t="str">
        <f t="shared" si="653"/>
        <v>2023-02</v>
      </c>
      <c r="S3262">
        <v>9229.7000000000007</v>
      </c>
      <c r="T3262">
        <f t="shared" si="660"/>
        <v>1.4360944763883164E-2</v>
      </c>
      <c r="U3262" t="str">
        <f t="shared" si="654"/>
        <v>2023-02</v>
      </c>
      <c r="W3262">
        <v>27100.62</v>
      </c>
      <c r="X3262">
        <f t="shared" si="661"/>
        <v>1.4748107129646791E-2</v>
      </c>
      <c r="Y3262">
        <f t="shared" si="662"/>
        <v>1.4857397073907265E-2</v>
      </c>
      <c r="Z3262" t="str">
        <f t="shared" si="655"/>
        <v>2023-02</v>
      </c>
    </row>
    <row r="3263" spans="1:26" x14ac:dyDescent="0.35">
      <c r="A3263" s="1">
        <v>44960</v>
      </c>
      <c r="C3263">
        <v>4257.9799999999996</v>
      </c>
      <c r="D3263">
        <f t="shared" si="656"/>
        <v>3.9674841138475931E-3</v>
      </c>
      <c r="E3263" t="str">
        <f t="shared" si="650"/>
        <v>2023-02</v>
      </c>
      <c r="G3263">
        <v>7233.94</v>
      </c>
      <c r="H3263">
        <f t="shared" si="657"/>
        <v>9.3985432325782593E-3</v>
      </c>
      <c r="I3263" t="str">
        <f t="shared" si="651"/>
        <v>2023-02</v>
      </c>
      <c r="K3263">
        <v>15476.43</v>
      </c>
      <c r="L3263">
        <f t="shared" si="658"/>
        <v>-2.1145300437091104E-3</v>
      </c>
      <c r="M3263" t="str">
        <f t="shared" si="652"/>
        <v>2023-02</v>
      </c>
      <c r="O3263">
        <v>8814.2480400000004</v>
      </c>
      <c r="P3263">
        <f t="shared" si="659"/>
        <v>4.2166078736283457E-3</v>
      </c>
      <c r="Q3263" t="str">
        <f t="shared" si="653"/>
        <v>2023-02</v>
      </c>
      <c r="S3263">
        <v>9225.6</v>
      </c>
      <c r="T3263">
        <f t="shared" si="660"/>
        <v>-4.4431681603132952E-4</v>
      </c>
      <c r="U3263" t="str">
        <f t="shared" si="654"/>
        <v>2023-02</v>
      </c>
      <c r="W3263">
        <v>26950.74</v>
      </c>
      <c r="X3263">
        <f t="shared" si="661"/>
        <v>-5.5458506186699405E-3</v>
      </c>
      <c r="Y3263">
        <f t="shared" si="662"/>
        <v>-5.5305007782108818E-3</v>
      </c>
      <c r="Z3263" t="str">
        <f t="shared" si="655"/>
        <v>2023-02</v>
      </c>
    </row>
    <row r="3264" spans="1:26" x14ac:dyDescent="0.35">
      <c r="A3264" s="1">
        <v>44963</v>
      </c>
      <c r="C3264">
        <v>4205.45</v>
      </c>
      <c r="D3264">
        <f t="shared" si="656"/>
        <v>-1.2413566262438168E-2</v>
      </c>
      <c r="E3264" t="str">
        <f t="shared" si="650"/>
        <v>2023-02</v>
      </c>
      <c r="G3264">
        <v>7137.1</v>
      </c>
      <c r="H3264">
        <f t="shared" si="657"/>
        <v>-1.3477307948881431E-2</v>
      </c>
      <c r="I3264" t="str">
        <f t="shared" si="651"/>
        <v>2023-02</v>
      </c>
      <c r="K3264">
        <v>15345.91</v>
      </c>
      <c r="L3264">
        <f t="shared" si="658"/>
        <v>-8.4692323917974661E-3</v>
      </c>
      <c r="M3264" t="str">
        <f t="shared" si="652"/>
        <v>2023-02</v>
      </c>
      <c r="O3264">
        <v>8786.9467499999992</v>
      </c>
      <c r="P3264">
        <f t="shared" si="659"/>
        <v>-3.1022112101723115E-3</v>
      </c>
      <c r="Q3264" t="str">
        <f t="shared" si="653"/>
        <v>2023-02</v>
      </c>
      <c r="S3264">
        <v>9159.2000000000007</v>
      </c>
      <c r="T3264">
        <f t="shared" si="660"/>
        <v>-7.2233898344803912E-3</v>
      </c>
      <c r="U3264" t="str">
        <f t="shared" si="654"/>
        <v>2023-02</v>
      </c>
      <c r="W3264">
        <v>27022.33</v>
      </c>
      <c r="X3264">
        <f t="shared" si="661"/>
        <v>2.6528060006159198E-3</v>
      </c>
      <c r="Y3264">
        <f t="shared" si="662"/>
        <v>2.6563278039860925E-3</v>
      </c>
      <c r="Z3264" t="str">
        <f t="shared" si="655"/>
        <v>2023-02</v>
      </c>
    </row>
    <row r="3265" spans="1:26" x14ac:dyDescent="0.35">
      <c r="A3265" s="1">
        <v>44964</v>
      </c>
      <c r="C3265">
        <v>4209.3100000000004</v>
      </c>
      <c r="D3265">
        <f t="shared" si="656"/>
        <v>9.1743561806724623E-4</v>
      </c>
      <c r="E3265" t="str">
        <f t="shared" si="650"/>
        <v>2023-02</v>
      </c>
      <c r="G3265">
        <v>7132.35</v>
      </c>
      <c r="H3265">
        <f t="shared" si="657"/>
        <v>-6.6575799003421845E-4</v>
      </c>
      <c r="I3265" t="str">
        <f t="shared" si="651"/>
        <v>2023-02</v>
      </c>
      <c r="K3265">
        <v>15320.88</v>
      </c>
      <c r="L3265">
        <f t="shared" si="658"/>
        <v>-1.6323851018042871E-3</v>
      </c>
      <c r="M3265" t="str">
        <f t="shared" si="652"/>
        <v>2023-02</v>
      </c>
      <c r="O3265">
        <v>8832.3594799999992</v>
      </c>
      <c r="P3265">
        <f t="shared" si="659"/>
        <v>5.1548942926132922E-3</v>
      </c>
      <c r="Q3265" t="str">
        <f t="shared" si="653"/>
        <v>2023-02</v>
      </c>
      <c r="S3265">
        <v>9172.4</v>
      </c>
      <c r="T3265">
        <f t="shared" si="660"/>
        <v>1.4401364072302268E-3</v>
      </c>
      <c r="U3265" t="str">
        <f t="shared" si="654"/>
        <v>2023-02</v>
      </c>
      <c r="W3265">
        <v>27118.74</v>
      </c>
      <c r="X3265">
        <f t="shared" si="661"/>
        <v>3.5614405812154993E-3</v>
      </c>
      <c r="Y3265">
        <f t="shared" si="662"/>
        <v>3.5677900462321292E-3</v>
      </c>
      <c r="Z3265" t="str">
        <f t="shared" si="655"/>
        <v>2023-02</v>
      </c>
    </row>
    <row r="3266" spans="1:26" x14ac:dyDescent="0.35">
      <c r="A3266" s="1">
        <v>44965</v>
      </c>
      <c r="C3266">
        <v>4209.1499999999996</v>
      </c>
      <c r="D3266">
        <f t="shared" si="656"/>
        <v>-3.8011702857732972E-5</v>
      </c>
      <c r="E3266" t="str">
        <f t="shared" si="650"/>
        <v>2023-02</v>
      </c>
      <c r="G3266">
        <v>7119.83</v>
      </c>
      <c r="H3266">
        <f t="shared" si="657"/>
        <v>-1.7569246558133884E-3</v>
      </c>
      <c r="I3266" t="str">
        <f t="shared" si="651"/>
        <v>2023-02</v>
      </c>
      <c r="K3266">
        <v>15412.05</v>
      </c>
      <c r="L3266">
        <f t="shared" si="658"/>
        <v>5.9330670679044045E-3</v>
      </c>
      <c r="M3266" t="str">
        <f t="shared" si="652"/>
        <v>2023-02</v>
      </c>
      <c r="O3266">
        <v>8881.8413799999998</v>
      </c>
      <c r="P3266">
        <f t="shared" si="659"/>
        <v>5.5867074208469873E-3</v>
      </c>
      <c r="Q3266" t="str">
        <f t="shared" si="653"/>
        <v>2023-02</v>
      </c>
      <c r="S3266">
        <v>9227.2999999999993</v>
      </c>
      <c r="T3266">
        <f t="shared" si="660"/>
        <v>5.9675063094321431E-3</v>
      </c>
      <c r="U3266" t="str">
        <f t="shared" si="654"/>
        <v>2023-02</v>
      </c>
      <c r="W3266">
        <v>27160.73</v>
      </c>
      <c r="X3266">
        <f t="shared" si="661"/>
        <v>1.5471782748124241E-3</v>
      </c>
      <c r="Y3266">
        <f t="shared" si="662"/>
        <v>1.5483757726206292E-3</v>
      </c>
      <c r="Z3266" t="str">
        <f t="shared" si="655"/>
        <v>2023-02</v>
      </c>
    </row>
    <row r="3267" spans="1:26" x14ac:dyDescent="0.35">
      <c r="A3267" s="1">
        <v>44966</v>
      </c>
      <c r="C3267">
        <v>4250.1400000000003</v>
      </c>
      <c r="D3267">
        <f t="shared" si="656"/>
        <v>9.6911964980840159E-3</v>
      </c>
      <c r="E3267" t="str">
        <f t="shared" si="650"/>
        <v>2023-02</v>
      </c>
      <c r="G3267">
        <v>7188.36</v>
      </c>
      <c r="H3267">
        <f t="shared" si="657"/>
        <v>9.5792024052872172E-3</v>
      </c>
      <c r="I3267" t="str">
        <f t="shared" si="651"/>
        <v>2023-02</v>
      </c>
      <c r="K3267">
        <v>15523.42</v>
      </c>
      <c r="L3267">
        <f t="shared" si="658"/>
        <v>7.2001803200069511E-3</v>
      </c>
      <c r="M3267" t="str">
        <f t="shared" si="652"/>
        <v>2023-02</v>
      </c>
      <c r="O3267">
        <v>8936.3832299999995</v>
      </c>
      <c r="P3267">
        <f t="shared" si="659"/>
        <v>6.1220488060638734E-3</v>
      </c>
      <c r="Q3267" t="str">
        <f t="shared" si="653"/>
        <v>2023-02</v>
      </c>
      <c r="S3267">
        <v>9243.5</v>
      </c>
      <c r="T3267">
        <f t="shared" si="660"/>
        <v>1.7541204662350489E-3</v>
      </c>
      <c r="U3267" t="str">
        <f t="shared" si="654"/>
        <v>2023-02</v>
      </c>
      <c r="W3267">
        <v>27503.75</v>
      </c>
      <c r="X3267">
        <f t="shared" si="661"/>
        <v>1.2550178921505166E-2</v>
      </c>
      <c r="Y3267">
        <f t="shared" si="662"/>
        <v>1.2629262910091166E-2</v>
      </c>
      <c r="Z3267" t="str">
        <f t="shared" si="655"/>
        <v>2023-02</v>
      </c>
    </row>
    <row r="3268" spans="1:26" x14ac:dyDescent="0.35">
      <c r="A3268" s="1">
        <v>44967</v>
      </c>
      <c r="C3268">
        <v>4197.9399999999996</v>
      </c>
      <c r="D3268">
        <f t="shared" si="656"/>
        <v>-1.2357994794193155E-2</v>
      </c>
      <c r="E3268" t="str">
        <f t="shared" ref="E3268:E3331" si="663">_xlfn.CONCAT(YEAR(A3268),"-",TEXT(MONTH(A3268),"00"))</f>
        <v>2023-02</v>
      </c>
      <c r="G3268">
        <v>7129.73</v>
      </c>
      <c r="H3268">
        <f t="shared" si="657"/>
        <v>-8.1896855931367276E-3</v>
      </c>
      <c r="I3268" t="str">
        <f t="shared" ref="I3268:I3331" si="664">_xlfn.CONCAT(YEAR(A3268),"-",TEXT(MONTH(A3268),"00"))</f>
        <v>2023-02</v>
      </c>
      <c r="K3268">
        <v>15307.98</v>
      </c>
      <c r="L3268">
        <f t="shared" si="658"/>
        <v>-1.3975590247734185E-2</v>
      </c>
      <c r="M3268" t="str">
        <f t="shared" ref="M3268:M3331" si="665">_xlfn.CONCAT(YEAR(A3268),"-",TEXT(MONTH(A3268),"00"))</f>
        <v>2023-02</v>
      </c>
      <c r="O3268">
        <v>8902.8534</v>
      </c>
      <c r="P3268">
        <f t="shared" si="659"/>
        <v>-3.7591148297923221E-3</v>
      </c>
      <c r="Q3268" t="str">
        <f t="shared" ref="Q3268:Q3331" si="666">_xlfn.CONCAT(YEAR(A3268),"-",TEXT(MONTH(A3268),"00"))</f>
        <v>2023-02</v>
      </c>
      <c r="S3268">
        <v>9117.4</v>
      </c>
      <c r="T3268">
        <f t="shared" si="660"/>
        <v>-1.3735926088650468E-2</v>
      </c>
      <c r="U3268" t="str">
        <f t="shared" ref="U3268:U3331" si="667">_xlfn.CONCAT(YEAR(A3268),"-",TEXT(MONTH(A3268),"00"))</f>
        <v>2023-02</v>
      </c>
      <c r="W3268">
        <v>27268.17</v>
      </c>
      <c r="X3268">
        <f t="shared" si="661"/>
        <v>-8.6022711171437494E-3</v>
      </c>
      <c r="Y3268">
        <f t="shared" si="662"/>
        <v>-8.5653774485298095E-3</v>
      </c>
      <c r="Z3268" t="str">
        <f t="shared" ref="Z3268:Z3331" si="668">_xlfn.CONCAT(YEAR(A3268),"-",TEXT(MONTH(A3268),"00"))</f>
        <v>2023-02</v>
      </c>
    </row>
    <row r="3269" spans="1:26" x14ac:dyDescent="0.35">
      <c r="A3269" s="1">
        <v>44970</v>
      </c>
      <c r="C3269">
        <v>4241.3599999999997</v>
      </c>
      <c r="D3269">
        <f t="shared" ref="D3269:D3332" si="669">LN(C3269/C3268)</f>
        <v>1.0290043753996373E-2</v>
      </c>
      <c r="E3269" t="str">
        <f t="shared" si="663"/>
        <v>2023-02</v>
      </c>
      <c r="G3269">
        <v>7208.59</v>
      </c>
      <c r="H3269">
        <f t="shared" ref="H3269:H3332" si="670">LN(G3269/G3268)</f>
        <v>1.1000004905842931E-2</v>
      </c>
      <c r="I3269" t="str">
        <f t="shared" si="664"/>
        <v>2023-02</v>
      </c>
      <c r="K3269">
        <v>15397.34</v>
      </c>
      <c r="L3269">
        <f t="shared" ref="L3269:L3332" si="671">LN(K3269/K3268)</f>
        <v>5.8205061715825264E-3</v>
      </c>
      <c r="M3269" t="str">
        <f t="shared" si="665"/>
        <v>2023-02</v>
      </c>
      <c r="O3269">
        <v>8998.3323400000008</v>
      </c>
      <c r="P3269">
        <f t="shared" ref="P3269:P3332" si="672">LN(O3269/O3268)</f>
        <v>1.0667432515013314E-2</v>
      </c>
      <c r="Q3269" t="str">
        <f t="shared" si="666"/>
        <v>2023-02</v>
      </c>
      <c r="S3269">
        <v>9210.2999999999993</v>
      </c>
      <c r="T3269">
        <f t="shared" ref="T3269:T3332" si="673">LN(S3269/S3268)</f>
        <v>1.013774730490675E-2</v>
      </c>
      <c r="U3269" t="str">
        <f t="shared" si="667"/>
        <v>2023-02</v>
      </c>
      <c r="W3269">
        <v>27438.61</v>
      </c>
      <c r="X3269">
        <f t="shared" ref="X3269:X3332" si="674">LN(W3269/W3268)</f>
        <v>6.2310577028808168E-3</v>
      </c>
      <c r="Y3269">
        <f t="shared" ref="Y3269:Y3332" si="675">(W3269-W3268)/W3268</f>
        <v>6.2505111270760869E-3</v>
      </c>
      <c r="Z3269" t="str">
        <f t="shared" si="668"/>
        <v>2023-02</v>
      </c>
    </row>
    <row r="3270" spans="1:26" x14ac:dyDescent="0.35">
      <c r="A3270" s="1">
        <v>44971</v>
      </c>
      <c r="C3270">
        <v>4238.76</v>
      </c>
      <c r="D3270">
        <f t="shared" si="669"/>
        <v>-6.1319888904137461E-4</v>
      </c>
      <c r="E3270" t="str">
        <f t="shared" si="663"/>
        <v>2023-02</v>
      </c>
      <c r="G3270">
        <v>7213.81</v>
      </c>
      <c r="H3270">
        <f t="shared" si="670"/>
        <v>7.2387400542732851E-4</v>
      </c>
      <c r="I3270" t="str">
        <f t="shared" si="664"/>
        <v>2023-02</v>
      </c>
      <c r="K3270">
        <v>15380.56</v>
      </c>
      <c r="L3270">
        <f t="shared" si="671"/>
        <v>-1.0903928898695851E-3</v>
      </c>
      <c r="M3270" t="str">
        <f t="shared" si="665"/>
        <v>2023-02</v>
      </c>
      <c r="O3270">
        <v>9023.7050999999992</v>
      </c>
      <c r="P3270">
        <f t="shared" si="672"/>
        <v>2.8157500891177016E-3</v>
      </c>
      <c r="Q3270" t="str">
        <f t="shared" si="666"/>
        <v>2023-02</v>
      </c>
      <c r="S3270">
        <v>9263.2000000000007</v>
      </c>
      <c r="T3270">
        <f t="shared" si="673"/>
        <v>5.7271382893066287E-3</v>
      </c>
      <c r="U3270" t="str">
        <f t="shared" si="667"/>
        <v>2023-02</v>
      </c>
      <c r="W3270">
        <v>27498.26</v>
      </c>
      <c r="X3270">
        <f t="shared" si="674"/>
        <v>2.1715843454985125E-3</v>
      </c>
      <c r="Y3270">
        <f t="shared" si="675"/>
        <v>2.1739439424955497E-3</v>
      </c>
      <c r="Z3270" t="str">
        <f t="shared" si="668"/>
        <v>2023-02</v>
      </c>
    </row>
    <row r="3271" spans="1:26" x14ac:dyDescent="0.35">
      <c r="A3271" s="1">
        <v>44972</v>
      </c>
      <c r="C3271">
        <v>4280.04</v>
      </c>
      <c r="D3271">
        <f t="shared" si="669"/>
        <v>9.6915817034170619E-3</v>
      </c>
      <c r="E3271" t="str">
        <f t="shared" si="663"/>
        <v>2023-02</v>
      </c>
      <c r="G3271">
        <v>7300.86</v>
      </c>
      <c r="H3271">
        <f t="shared" si="670"/>
        <v>1.1994904976915159E-2</v>
      </c>
      <c r="I3271" t="str">
        <f t="shared" si="664"/>
        <v>2023-02</v>
      </c>
      <c r="K3271">
        <v>15506.34</v>
      </c>
      <c r="L3271">
        <f t="shared" si="671"/>
        <v>8.1445982144625478E-3</v>
      </c>
      <c r="M3271" t="str">
        <f t="shared" si="665"/>
        <v>2023-02</v>
      </c>
      <c r="O3271">
        <v>9001.0264499999994</v>
      </c>
      <c r="P3271">
        <f t="shared" si="672"/>
        <v>-2.5163938674267047E-3</v>
      </c>
      <c r="Q3271" t="str">
        <f t="shared" si="666"/>
        <v>2023-02</v>
      </c>
      <c r="S3271">
        <v>9294.7999999999993</v>
      </c>
      <c r="T3271">
        <f t="shared" si="673"/>
        <v>3.4055426813942788E-3</v>
      </c>
      <c r="U3271" t="str">
        <f t="shared" si="667"/>
        <v>2023-02</v>
      </c>
      <c r="W3271">
        <v>27533.69</v>
      </c>
      <c r="X3271">
        <f t="shared" si="674"/>
        <v>1.2876158266282858E-3</v>
      </c>
      <c r="Y3271">
        <f t="shared" si="675"/>
        <v>1.2884451598028492E-3</v>
      </c>
      <c r="Z3271" t="str">
        <f t="shared" si="668"/>
        <v>2023-02</v>
      </c>
    </row>
    <row r="3272" spans="1:26" x14ac:dyDescent="0.35">
      <c r="A3272" s="1">
        <v>44973</v>
      </c>
      <c r="C3272">
        <v>4297.24</v>
      </c>
      <c r="D3272">
        <f t="shared" si="669"/>
        <v>4.0106008093578243E-3</v>
      </c>
      <c r="E3272" t="str">
        <f t="shared" si="663"/>
        <v>2023-02</v>
      </c>
      <c r="G3272">
        <v>7366.16</v>
      </c>
      <c r="H3272">
        <f t="shared" si="670"/>
        <v>8.9043897750399007E-3</v>
      </c>
      <c r="I3272" t="str">
        <f t="shared" si="664"/>
        <v>2023-02</v>
      </c>
      <c r="K3272">
        <v>15533.64</v>
      </c>
      <c r="L3272">
        <f t="shared" si="671"/>
        <v>1.7590222055045911E-3</v>
      </c>
      <c r="M3272" t="str">
        <f t="shared" si="665"/>
        <v>2023-02</v>
      </c>
      <c r="O3272">
        <v>9004.6360199999999</v>
      </c>
      <c r="P3272">
        <f t="shared" si="672"/>
        <v>4.00937211209836E-4</v>
      </c>
      <c r="Q3272" t="str">
        <f t="shared" si="666"/>
        <v>2023-02</v>
      </c>
      <c r="S3272">
        <v>9327.2999999999993</v>
      </c>
      <c r="T3272">
        <f t="shared" si="673"/>
        <v>3.4904799133112811E-3</v>
      </c>
      <c r="U3272" t="str">
        <f t="shared" si="667"/>
        <v>2023-02</v>
      </c>
      <c r="W3272">
        <v>27853.74</v>
      </c>
      <c r="X3272">
        <f t="shared" si="674"/>
        <v>1.1556902430813178E-2</v>
      </c>
      <c r="Y3272">
        <f t="shared" si="675"/>
        <v>1.1623941433204301E-2</v>
      </c>
      <c r="Z3272" t="str">
        <f t="shared" si="668"/>
        <v>2023-02</v>
      </c>
    </row>
    <row r="3273" spans="1:26" x14ac:dyDescent="0.35">
      <c r="A3273" s="1">
        <v>44974</v>
      </c>
      <c r="C3273">
        <v>4274.92</v>
      </c>
      <c r="D3273">
        <f t="shared" si="669"/>
        <v>-5.2075673904516352E-3</v>
      </c>
      <c r="E3273" t="str">
        <f t="shared" si="663"/>
        <v>2023-02</v>
      </c>
      <c r="G3273">
        <v>7347.72</v>
      </c>
      <c r="H3273">
        <f t="shared" si="670"/>
        <v>-2.5064781898458096E-3</v>
      </c>
      <c r="I3273" t="str">
        <f t="shared" si="664"/>
        <v>2023-02</v>
      </c>
      <c r="K3273">
        <v>15482</v>
      </c>
      <c r="L3273">
        <f t="shared" si="671"/>
        <v>-3.3299359753588215E-3</v>
      </c>
      <c r="M3273" t="str">
        <f t="shared" si="665"/>
        <v>2023-02</v>
      </c>
      <c r="O3273">
        <v>9009.4959500000004</v>
      </c>
      <c r="P3273">
        <f t="shared" si="672"/>
        <v>5.3956861490772428E-4</v>
      </c>
      <c r="Q3273" t="str">
        <f t="shared" si="666"/>
        <v>2023-02</v>
      </c>
      <c r="S3273">
        <v>9333</v>
      </c>
      <c r="T3273">
        <f t="shared" si="673"/>
        <v>6.1092267297772494E-4</v>
      </c>
      <c r="U3273" t="str">
        <f t="shared" si="667"/>
        <v>2023-02</v>
      </c>
      <c r="W3273">
        <v>27751.14</v>
      </c>
      <c r="X3273">
        <f t="shared" si="674"/>
        <v>-3.6903277711709272E-3</v>
      </c>
      <c r="Y3273">
        <f t="shared" si="675"/>
        <v>-3.6835268800528109E-3</v>
      </c>
      <c r="Z3273" t="str">
        <f t="shared" si="668"/>
        <v>2023-02</v>
      </c>
    </row>
    <row r="3274" spans="1:26" x14ac:dyDescent="0.35">
      <c r="A3274" s="1">
        <v>44977</v>
      </c>
      <c r="C3274">
        <v>4271.18</v>
      </c>
      <c r="D3274">
        <f t="shared" si="669"/>
        <v>-8.7525309527330269E-4</v>
      </c>
      <c r="E3274" t="str">
        <f t="shared" si="663"/>
        <v>2023-02</v>
      </c>
      <c r="G3274">
        <v>7335.61</v>
      </c>
      <c r="H3274">
        <f t="shared" si="670"/>
        <v>-1.6494899652542705E-3</v>
      </c>
      <c r="I3274" t="str">
        <f t="shared" si="664"/>
        <v>2023-02</v>
      </c>
      <c r="K3274">
        <v>15477.55</v>
      </c>
      <c r="L3274">
        <f t="shared" si="671"/>
        <v>-2.8747188060852997E-4</v>
      </c>
      <c r="M3274" t="str">
        <f t="shared" si="665"/>
        <v>2023-02</v>
      </c>
      <c r="O3274">
        <v>9026.7860000000001</v>
      </c>
      <c r="P3274">
        <f t="shared" si="672"/>
        <v>1.9172527180762338E-3</v>
      </c>
      <c r="Q3274" t="str">
        <f t="shared" si="666"/>
        <v>2023-02</v>
      </c>
      <c r="S3274">
        <v>9281.2999999999993</v>
      </c>
      <c r="T3274">
        <f t="shared" si="673"/>
        <v>-5.5548833897603464E-3</v>
      </c>
      <c r="U3274" t="str">
        <f t="shared" si="667"/>
        <v>2023-02</v>
      </c>
      <c r="W3274">
        <v>27597.01</v>
      </c>
      <c r="X3274">
        <f t="shared" si="674"/>
        <v>-5.5694869084285557E-3</v>
      </c>
      <c r="Y3274">
        <f t="shared" si="675"/>
        <v>-5.5540060696605987E-3</v>
      </c>
      <c r="Z3274" t="str">
        <f t="shared" si="668"/>
        <v>2023-02</v>
      </c>
    </row>
    <row r="3275" spans="1:26" x14ac:dyDescent="0.35">
      <c r="A3275" s="1">
        <v>44978</v>
      </c>
      <c r="C3275">
        <v>4250.3999999999996</v>
      </c>
      <c r="D3275">
        <f t="shared" si="669"/>
        <v>-4.8770395134627329E-3</v>
      </c>
      <c r="E3275" t="str">
        <f t="shared" si="663"/>
        <v>2023-02</v>
      </c>
      <c r="G3275">
        <v>7308.65</v>
      </c>
      <c r="H3275">
        <f t="shared" si="670"/>
        <v>-3.6819928706830021E-3</v>
      </c>
      <c r="I3275" t="str">
        <f t="shared" si="664"/>
        <v>2023-02</v>
      </c>
      <c r="K3275">
        <v>15397.62</v>
      </c>
      <c r="L3275">
        <f t="shared" si="671"/>
        <v>-5.1776348802544045E-3</v>
      </c>
      <c r="M3275" t="str">
        <f t="shared" si="665"/>
        <v>2023-02</v>
      </c>
      <c r="O3275">
        <v>9075.5231199999998</v>
      </c>
      <c r="P3275">
        <f t="shared" si="672"/>
        <v>5.3846431894871679E-3</v>
      </c>
      <c r="Q3275" t="str">
        <f t="shared" si="666"/>
        <v>2023-02</v>
      </c>
      <c r="S3275">
        <v>9252.1</v>
      </c>
      <c r="T3275">
        <f t="shared" si="673"/>
        <v>-3.1510704092241088E-3</v>
      </c>
      <c r="U3275" t="str">
        <f t="shared" si="667"/>
        <v>2023-02</v>
      </c>
      <c r="W3275">
        <v>27409.34</v>
      </c>
      <c r="X3275">
        <f t="shared" si="674"/>
        <v>-6.8236022998525827E-3</v>
      </c>
      <c r="Y3275">
        <f t="shared" si="675"/>
        <v>-6.8003743883847658E-3</v>
      </c>
      <c r="Z3275" t="str">
        <f t="shared" si="668"/>
        <v>2023-02</v>
      </c>
    </row>
    <row r="3276" spans="1:26" x14ac:dyDescent="0.35">
      <c r="A3276" s="1">
        <v>44979</v>
      </c>
      <c r="C3276">
        <v>4242.88</v>
      </c>
      <c r="D3276">
        <f t="shared" si="669"/>
        <v>-1.770812210379401E-3</v>
      </c>
      <c r="E3276" t="str">
        <f t="shared" si="663"/>
        <v>2023-02</v>
      </c>
      <c r="G3276">
        <v>7299.26</v>
      </c>
      <c r="H3276">
        <f t="shared" si="670"/>
        <v>-1.2856050308771552E-3</v>
      </c>
      <c r="I3276" t="str">
        <f t="shared" si="664"/>
        <v>2023-02</v>
      </c>
      <c r="K3276">
        <v>15399.89</v>
      </c>
      <c r="L3276">
        <f t="shared" si="671"/>
        <v>1.4741451527158463E-4</v>
      </c>
      <c r="M3276" t="str">
        <f t="shared" si="665"/>
        <v>2023-02</v>
      </c>
      <c r="O3276">
        <v>9009.6374300000007</v>
      </c>
      <c r="P3276">
        <f t="shared" si="672"/>
        <v>-7.2861925996385683E-3</v>
      </c>
      <c r="Q3276" t="str">
        <f t="shared" si="666"/>
        <v>2023-02</v>
      </c>
      <c r="S3276">
        <v>9172.7000000000007</v>
      </c>
      <c r="T3276">
        <f t="shared" si="673"/>
        <v>-8.6188714686849868E-3</v>
      </c>
      <c r="U3276" t="str">
        <f t="shared" si="667"/>
        <v>2023-02</v>
      </c>
      <c r="W3276">
        <v>27101.53</v>
      </c>
      <c r="X3276">
        <f t="shared" si="674"/>
        <v>-1.1293647364876489E-2</v>
      </c>
      <c r="Y3276">
        <f t="shared" si="675"/>
        <v>-1.1230113530643251E-2</v>
      </c>
      <c r="Z3276" t="str">
        <f t="shared" si="668"/>
        <v>2023-02</v>
      </c>
    </row>
    <row r="3277" spans="1:26" x14ac:dyDescent="0.35">
      <c r="A3277" s="1">
        <v>44980</v>
      </c>
      <c r="C3277">
        <v>4258.16</v>
      </c>
      <c r="D3277">
        <f t="shared" si="669"/>
        <v>3.5948581480123865E-3</v>
      </c>
      <c r="E3277" t="str">
        <f t="shared" si="663"/>
        <v>2023-02</v>
      </c>
      <c r="G3277">
        <v>7317.43</v>
      </c>
      <c r="H3277">
        <f t="shared" si="670"/>
        <v>2.4862002764447846E-3</v>
      </c>
      <c r="I3277" t="str">
        <f t="shared" si="664"/>
        <v>2023-02</v>
      </c>
      <c r="K3277">
        <v>15475.69</v>
      </c>
      <c r="L3277">
        <f t="shared" si="671"/>
        <v>4.9100390849464663E-3</v>
      </c>
      <c r="M3277" t="str">
        <f t="shared" si="665"/>
        <v>2023-02</v>
      </c>
      <c r="O3277">
        <v>8964.0748500000009</v>
      </c>
      <c r="P3277">
        <f t="shared" si="672"/>
        <v>-5.0699239963015175E-3</v>
      </c>
      <c r="Q3277" t="str">
        <f t="shared" si="666"/>
        <v>2023-02</v>
      </c>
      <c r="S3277">
        <v>9231.6</v>
      </c>
      <c r="T3277">
        <f t="shared" si="673"/>
        <v>6.4006999548120525E-3</v>
      </c>
      <c r="U3277" t="str">
        <f t="shared" si="667"/>
        <v>2023-02</v>
      </c>
      <c r="W3277">
        <v>27277.62</v>
      </c>
      <c r="X3277">
        <f t="shared" si="674"/>
        <v>6.4764019110122575E-3</v>
      </c>
      <c r="Y3277">
        <f t="shared" si="675"/>
        <v>6.497419149398582E-3</v>
      </c>
      <c r="Z3277" t="str">
        <f t="shared" si="668"/>
        <v>2023-02</v>
      </c>
    </row>
    <row r="3278" spans="1:26" x14ac:dyDescent="0.35">
      <c r="A3278" s="1">
        <v>44981</v>
      </c>
      <c r="C3278">
        <v>4178.82</v>
      </c>
      <c r="D3278">
        <f t="shared" si="669"/>
        <v>-1.880823205948208E-2</v>
      </c>
      <c r="E3278" t="str">
        <f t="shared" si="663"/>
        <v>2023-02</v>
      </c>
      <c r="G3278">
        <v>7187.27</v>
      </c>
      <c r="H3278">
        <f t="shared" si="670"/>
        <v>-1.7947767818046762E-2</v>
      </c>
      <c r="I3278" t="str">
        <f t="shared" si="664"/>
        <v>2023-02</v>
      </c>
      <c r="K3278">
        <v>15209.74</v>
      </c>
      <c r="L3278">
        <f t="shared" si="671"/>
        <v>-1.7334393513873704E-2</v>
      </c>
      <c r="M3278" t="str">
        <f t="shared" si="665"/>
        <v>2023-02</v>
      </c>
      <c r="O3278">
        <v>8923.71976</v>
      </c>
      <c r="P3278">
        <f t="shared" si="672"/>
        <v>-4.5120328518652303E-3</v>
      </c>
      <c r="Q3278" t="str">
        <f t="shared" si="666"/>
        <v>2023-02</v>
      </c>
      <c r="S3278">
        <v>9201.5</v>
      </c>
      <c r="T3278">
        <f t="shared" si="673"/>
        <v>-3.2658670276401102E-3</v>
      </c>
      <c r="U3278" t="str">
        <f t="shared" si="667"/>
        <v>2023-02</v>
      </c>
      <c r="W3278">
        <v>26986.35</v>
      </c>
      <c r="X3278">
        <f t="shared" si="674"/>
        <v>-1.0735403155098628E-2</v>
      </c>
      <c r="Y3278">
        <f t="shared" si="675"/>
        <v>-1.0677984369604109E-2</v>
      </c>
      <c r="Z3278" t="str">
        <f t="shared" si="668"/>
        <v>2023-02</v>
      </c>
    </row>
    <row r="3279" spans="1:26" x14ac:dyDescent="0.35">
      <c r="A3279" s="1">
        <v>44984</v>
      </c>
      <c r="C3279">
        <v>4248.01</v>
      </c>
      <c r="D3279">
        <f t="shared" si="669"/>
        <v>1.6421727953084008E-2</v>
      </c>
      <c r="E3279" t="str">
        <f t="shared" si="663"/>
        <v>2023-02</v>
      </c>
      <c r="G3279">
        <v>7295.55</v>
      </c>
      <c r="H3279">
        <f t="shared" si="670"/>
        <v>1.495316762685015E-2</v>
      </c>
      <c r="I3279" t="str">
        <f t="shared" si="664"/>
        <v>2023-02</v>
      </c>
      <c r="K3279">
        <v>15381.43</v>
      </c>
      <c r="L3279">
        <f t="shared" si="671"/>
        <v>1.1224925540686381E-2</v>
      </c>
      <c r="M3279" t="str">
        <f t="shared" si="665"/>
        <v>2023-02</v>
      </c>
      <c r="O3279">
        <v>9026.4589699999997</v>
      </c>
      <c r="P3279">
        <f t="shared" si="672"/>
        <v>1.144727676045448E-2</v>
      </c>
      <c r="Q3279" t="str">
        <f t="shared" si="666"/>
        <v>2023-02</v>
      </c>
      <c r="S3279">
        <v>9314.2999999999993</v>
      </c>
      <c r="T3279">
        <f t="shared" si="673"/>
        <v>1.2184339375336748E-2</v>
      </c>
      <c r="U3279" t="str">
        <f t="shared" si="667"/>
        <v>2023-02</v>
      </c>
      <c r="W3279">
        <v>27444.31</v>
      </c>
      <c r="X3279">
        <f t="shared" si="674"/>
        <v>1.6827677881857465E-2</v>
      </c>
      <c r="Y3279">
        <f t="shared" si="675"/>
        <v>1.6970060789992081E-2</v>
      </c>
      <c r="Z3279" t="str">
        <f t="shared" si="668"/>
        <v>2023-02</v>
      </c>
    </row>
    <row r="3280" spans="1:26" x14ac:dyDescent="0.35">
      <c r="A3280" s="1">
        <v>44985</v>
      </c>
      <c r="C3280">
        <v>4238.38</v>
      </c>
      <c r="D3280">
        <f t="shared" si="669"/>
        <v>-2.2695172230932591E-3</v>
      </c>
      <c r="E3280" t="str">
        <f t="shared" si="663"/>
        <v>2023-02</v>
      </c>
      <c r="G3280">
        <v>7267.93</v>
      </c>
      <c r="H3280">
        <f t="shared" si="670"/>
        <v>-3.7930540110833284E-3</v>
      </c>
      <c r="I3280" t="str">
        <f t="shared" si="664"/>
        <v>2023-02</v>
      </c>
      <c r="K3280">
        <v>15365.14</v>
      </c>
      <c r="L3280">
        <f t="shared" si="671"/>
        <v>-1.0596304904400386E-3</v>
      </c>
      <c r="M3280" t="str">
        <f t="shared" si="665"/>
        <v>2023-02</v>
      </c>
      <c r="O3280">
        <v>8985.7616400000006</v>
      </c>
      <c r="P3280">
        <f t="shared" si="672"/>
        <v>-4.5188652898419382E-3</v>
      </c>
      <c r="Q3280" t="str">
        <f t="shared" si="666"/>
        <v>2023-02</v>
      </c>
      <c r="S3280">
        <v>9394.6</v>
      </c>
      <c r="T3280">
        <f t="shared" si="673"/>
        <v>8.5842025023910359E-3</v>
      </c>
      <c r="U3280" t="str">
        <f t="shared" si="667"/>
        <v>2023-02</v>
      </c>
      <c r="W3280">
        <v>27478.37</v>
      </c>
      <c r="X3280">
        <f t="shared" si="674"/>
        <v>1.2402892344749506E-3</v>
      </c>
      <c r="Y3280">
        <f t="shared" si="675"/>
        <v>1.2410587112591889E-3</v>
      </c>
      <c r="Z3280" t="str">
        <f t="shared" si="668"/>
        <v>2023-02</v>
      </c>
    </row>
    <row r="3281" spans="1:26" x14ac:dyDescent="0.35">
      <c r="A3281" s="1">
        <v>44986</v>
      </c>
      <c r="C3281">
        <v>4215.75</v>
      </c>
      <c r="D3281">
        <f t="shared" si="669"/>
        <v>-5.3536091945809699E-3</v>
      </c>
      <c r="E3281" t="str">
        <f t="shared" si="663"/>
        <v>2023-03</v>
      </c>
      <c r="G3281">
        <v>7234.25</v>
      </c>
      <c r="H3281">
        <f t="shared" si="670"/>
        <v>-4.6448272676501336E-3</v>
      </c>
      <c r="I3281" t="str">
        <f t="shared" si="664"/>
        <v>2023-03</v>
      </c>
      <c r="K3281">
        <v>15305.02</v>
      </c>
      <c r="L3281">
        <f t="shared" si="671"/>
        <v>-3.9204279992315696E-3</v>
      </c>
      <c r="M3281" t="str">
        <f t="shared" si="665"/>
        <v>2023-03</v>
      </c>
      <c r="O3281">
        <v>8922.7569999999996</v>
      </c>
      <c r="P3281">
        <f t="shared" si="672"/>
        <v>-7.0363050356989911E-3</v>
      </c>
      <c r="Q3281" t="str">
        <f t="shared" si="666"/>
        <v>2023-03</v>
      </c>
      <c r="S3281">
        <v>9322.9</v>
      </c>
      <c r="T3281">
        <f t="shared" si="673"/>
        <v>-7.6613170249162504E-3</v>
      </c>
      <c r="U3281" t="str">
        <f t="shared" si="667"/>
        <v>2023-03</v>
      </c>
      <c r="W3281">
        <v>27315.08</v>
      </c>
      <c r="X3281">
        <f t="shared" si="674"/>
        <v>-5.9602190917133402E-3</v>
      </c>
      <c r="Y3281">
        <f t="shared" si="675"/>
        <v>-5.942492222064018E-3</v>
      </c>
      <c r="Z3281" t="str">
        <f t="shared" si="668"/>
        <v>2023-03</v>
      </c>
    </row>
    <row r="3282" spans="1:26" x14ac:dyDescent="0.35">
      <c r="A3282" s="1">
        <v>44987</v>
      </c>
      <c r="C3282">
        <v>4240.59</v>
      </c>
      <c r="D3282">
        <f t="shared" si="669"/>
        <v>5.8748989385110726E-3</v>
      </c>
      <c r="E3282" t="str">
        <f t="shared" si="663"/>
        <v>2023-03</v>
      </c>
      <c r="G3282">
        <v>7284.22</v>
      </c>
      <c r="H3282">
        <f t="shared" si="670"/>
        <v>6.8836726347430398E-3</v>
      </c>
      <c r="I3282" t="str">
        <f t="shared" si="664"/>
        <v>2023-03</v>
      </c>
      <c r="K3282">
        <v>15327.64</v>
      </c>
      <c r="L3282">
        <f t="shared" si="671"/>
        <v>1.4768553636136451E-3</v>
      </c>
      <c r="M3282" t="str">
        <f t="shared" si="665"/>
        <v>2023-03</v>
      </c>
      <c r="O3282">
        <v>8960.6969100000006</v>
      </c>
      <c r="P3282">
        <f t="shared" si="672"/>
        <v>4.2430245422482617E-3</v>
      </c>
      <c r="Q3282" t="str">
        <f t="shared" si="666"/>
        <v>2023-03</v>
      </c>
      <c r="S3282">
        <v>9327.2999999999993</v>
      </c>
      <c r="T3282">
        <f t="shared" si="673"/>
        <v>4.7184481470790115E-4</v>
      </c>
      <c r="U3282" t="str">
        <f t="shared" si="667"/>
        <v>2023-03</v>
      </c>
      <c r="W3282">
        <v>27397.599999999999</v>
      </c>
      <c r="X3282">
        <f t="shared" si="674"/>
        <v>3.0164876797165621E-3</v>
      </c>
      <c r="Y3282">
        <f t="shared" si="675"/>
        <v>3.0210418567325008E-3</v>
      </c>
      <c r="Z3282" t="str">
        <f t="shared" si="668"/>
        <v>2023-03</v>
      </c>
    </row>
    <row r="3283" spans="1:26" x14ac:dyDescent="0.35">
      <c r="A3283" s="1">
        <v>44988</v>
      </c>
      <c r="C3283">
        <v>4294.8</v>
      </c>
      <c r="D3283">
        <f t="shared" si="669"/>
        <v>1.2702578071175313E-2</v>
      </c>
      <c r="E3283" t="str">
        <f t="shared" si="663"/>
        <v>2023-03</v>
      </c>
      <c r="G3283">
        <v>7348.12</v>
      </c>
      <c r="H3283">
        <f t="shared" si="670"/>
        <v>8.7341335996275037E-3</v>
      </c>
      <c r="I3283" t="str">
        <f t="shared" si="664"/>
        <v>2023-03</v>
      </c>
      <c r="K3283">
        <v>15578.39</v>
      </c>
      <c r="L3283">
        <f t="shared" si="671"/>
        <v>1.622696296794815E-2</v>
      </c>
      <c r="M3283" t="str">
        <f t="shared" si="665"/>
        <v>2023-03</v>
      </c>
      <c r="O3283">
        <v>8983.0391600000003</v>
      </c>
      <c r="P3283">
        <f t="shared" si="672"/>
        <v>2.4902574869480189E-3</v>
      </c>
      <c r="Q3283" t="str">
        <f t="shared" si="666"/>
        <v>2023-03</v>
      </c>
      <c r="S3283">
        <v>9464.2000000000007</v>
      </c>
      <c r="T3283">
        <f t="shared" si="673"/>
        <v>1.45706752556015E-2</v>
      </c>
      <c r="U3283" t="str">
        <f t="shared" si="667"/>
        <v>2023-03</v>
      </c>
      <c r="W3283">
        <v>27825.08</v>
      </c>
      <c r="X3283">
        <f t="shared" si="674"/>
        <v>1.5482353952972776E-2</v>
      </c>
      <c r="Y3283">
        <f t="shared" si="675"/>
        <v>1.5602826524951208E-2</v>
      </c>
      <c r="Z3283" t="str">
        <f t="shared" si="668"/>
        <v>2023-03</v>
      </c>
    </row>
    <row r="3284" spans="1:26" x14ac:dyDescent="0.35">
      <c r="A3284" s="1">
        <v>44991</v>
      </c>
      <c r="C3284">
        <v>4313.78</v>
      </c>
      <c r="D3284">
        <f t="shared" si="669"/>
        <v>4.4095613339905707E-3</v>
      </c>
      <c r="E3284" t="str">
        <f t="shared" si="663"/>
        <v>2023-03</v>
      </c>
      <c r="G3284">
        <v>7373.21</v>
      </c>
      <c r="H3284">
        <f t="shared" si="670"/>
        <v>3.4086627082401417E-3</v>
      </c>
      <c r="I3284" t="str">
        <f t="shared" si="664"/>
        <v>2023-03</v>
      </c>
      <c r="K3284">
        <v>15653.58</v>
      </c>
      <c r="L3284">
        <f t="shared" si="671"/>
        <v>4.8149473289873677E-3</v>
      </c>
      <c r="M3284" t="str">
        <f t="shared" si="665"/>
        <v>2023-03</v>
      </c>
      <c r="O3284">
        <v>8936.1348999999991</v>
      </c>
      <c r="P3284">
        <f t="shared" si="672"/>
        <v>-5.2351036901171792E-3</v>
      </c>
      <c r="Q3284" t="str">
        <f t="shared" si="666"/>
        <v>2023-03</v>
      </c>
      <c r="S3284">
        <v>9511</v>
      </c>
      <c r="T3284">
        <f t="shared" si="673"/>
        <v>4.9327643340150431E-3</v>
      </c>
      <c r="U3284" t="str">
        <f t="shared" si="667"/>
        <v>2023-03</v>
      </c>
      <c r="W3284">
        <v>27949.29</v>
      </c>
      <c r="X3284">
        <f t="shared" si="674"/>
        <v>4.4540245042021982E-3</v>
      </c>
      <c r="Y3284">
        <f t="shared" si="675"/>
        <v>4.4639584144950933E-3</v>
      </c>
      <c r="Z3284" t="str">
        <f t="shared" si="668"/>
        <v>2023-03</v>
      </c>
    </row>
    <row r="3285" spans="1:26" x14ac:dyDescent="0.35">
      <c r="A3285" s="1">
        <v>44992</v>
      </c>
      <c r="C3285">
        <v>4278.96</v>
      </c>
      <c r="D3285">
        <f t="shared" si="669"/>
        <v>-8.1045604993464342E-3</v>
      </c>
      <c r="E3285" t="str">
        <f t="shared" si="663"/>
        <v>2023-03</v>
      </c>
      <c r="G3285">
        <v>7339.27</v>
      </c>
      <c r="H3285">
        <f t="shared" si="670"/>
        <v>-4.6137782626135358E-3</v>
      </c>
      <c r="I3285" t="str">
        <f t="shared" si="664"/>
        <v>2023-03</v>
      </c>
      <c r="K3285">
        <v>15559.53</v>
      </c>
      <c r="L3285">
        <f t="shared" si="671"/>
        <v>-6.0263321810484572E-3</v>
      </c>
      <c r="M3285" t="str">
        <f t="shared" si="665"/>
        <v>2023-03</v>
      </c>
      <c r="O3285">
        <v>8881.0294300000005</v>
      </c>
      <c r="P3285">
        <f t="shared" si="672"/>
        <v>-6.1856808059926926E-3</v>
      </c>
      <c r="Q3285" t="str">
        <f t="shared" si="666"/>
        <v>2023-03</v>
      </c>
      <c r="S3285">
        <v>9411.1</v>
      </c>
      <c r="T3285">
        <f t="shared" si="673"/>
        <v>-1.0559179816700317E-2</v>
      </c>
      <c r="U3285" t="str">
        <f t="shared" si="667"/>
        <v>2023-03</v>
      </c>
      <c r="W3285">
        <v>27761.57</v>
      </c>
      <c r="X3285">
        <f t="shared" si="674"/>
        <v>-6.7391065386590617E-3</v>
      </c>
      <c r="Y3285">
        <f t="shared" si="675"/>
        <v>-6.7164496844106291E-3</v>
      </c>
      <c r="Z3285" t="str">
        <f t="shared" si="668"/>
        <v>2023-03</v>
      </c>
    </row>
    <row r="3286" spans="1:26" x14ac:dyDescent="0.35">
      <c r="A3286" s="1">
        <v>44993</v>
      </c>
      <c r="C3286">
        <v>4288.45</v>
      </c>
      <c r="D3286">
        <f t="shared" si="669"/>
        <v>2.2153728796246237E-3</v>
      </c>
      <c r="E3286" t="str">
        <f t="shared" si="663"/>
        <v>2023-03</v>
      </c>
      <c r="G3286">
        <v>7324.76</v>
      </c>
      <c r="H3286">
        <f t="shared" si="670"/>
        <v>-1.9789927783283607E-3</v>
      </c>
      <c r="I3286" t="str">
        <f t="shared" si="664"/>
        <v>2023-03</v>
      </c>
      <c r="K3286">
        <v>15631.87</v>
      </c>
      <c r="L3286">
        <f t="shared" si="671"/>
        <v>4.6384663530188528E-3</v>
      </c>
      <c r="M3286" t="str">
        <f t="shared" si="665"/>
        <v>2023-03</v>
      </c>
      <c r="O3286">
        <v>8897.0017599999992</v>
      </c>
      <c r="P3286">
        <f t="shared" si="672"/>
        <v>1.7968619952121662E-3</v>
      </c>
      <c r="Q3286" t="str">
        <f t="shared" si="666"/>
        <v>2023-03</v>
      </c>
      <c r="S3286">
        <v>9466.1</v>
      </c>
      <c r="T3286">
        <f t="shared" si="673"/>
        <v>5.8271518689422784E-3</v>
      </c>
      <c r="U3286" t="str">
        <f t="shared" si="667"/>
        <v>2023-03</v>
      </c>
      <c r="W3286">
        <v>27911.52</v>
      </c>
      <c r="X3286">
        <f t="shared" si="674"/>
        <v>5.3868165967196598E-3</v>
      </c>
      <c r="Y3286">
        <f t="shared" si="675"/>
        <v>5.4013515806202866E-3</v>
      </c>
      <c r="Z3286" t="str">
        <f t="shared" si="668"/>
        <v>2023-03</v>
      </c>
    </row>
    <row r="3287" spans="1:26" x14ac:dyDescent="0.35">
      <c r="A3287" s="1">
        <v>44994</v>
      </c>
      <c r="C3287">
        <v>4286.12</v>
      </c>
      <c r="D3287">
        <f t="shared" si="669"/>
        <v>-5.4346749920950485E-4</v>
      </c>
      <c r="E3287" t="str">
        <f t="shared" si="663"/>
        <v>2023-03</v>
      </c>
      <c r="G3287">
        <v>7315.88</v>
      </c>
      <c r="H3287">
        <f t="shared" si="670"/>
        <v>-1.2130618728312592E-3</v>
      </c>
      <c r="I3287" t="str">
        <f t="shared" si="664"/>
        <v>2023-03</v>
      </c>
      <c r="K3287">
        <v>15633.21</v>
      </c>
      <c r="L3287">
        <f t="shared" si="671"/>
        <v>8.5718635667674715E-5</v>
      </c>
      <c r="M3287" t="str">
        <f t="shared" si="665"/>
        <v>2023-03</v>
      </c>
      <c r="O3287">
        <v>8884.2546600000005</v>
      </c>
      <c r="P3287">
        <f t="shared" si="672"/>
        <v>-1.4337684449943246E-3</v>
      </c>
      <c r="Q3287" t="str">
        <f t="shared" si="666"/>
        <v>2023-03</v>
      </c>
      <c r="S3287">
        <v>9423.2000000000007</v>
      </c>
      <c r="T3287">
        <f t="shared" si="673"/>
        <v>-4.5422618900526589E-3</v>
      </c>
      <c r="U3287" t="str">
        <f t="shared" si="667"/>
        <v>2023-03</v>
      </c>
      <c r="W3287">
        <v>27710.53</v>
      </c>
      <c r="X3287">
        <f t="shared" si="674"/>
        <v>-7.2270214710002242E-3</v>
      </c>
      <c r="Y3287">
        <f t="shared" si="675"/>
        <v>-7.2009693488567297E-3</v>
      </c>
      <c r="Z3287" t="str">
        <f t="shared" si="668"/>
        <v>2023-03</v>
      </c>
    </row>
    <row r="3288" spans="1:26" x14ac:dyDescent="0.35">
      <c r="A3288" s="1">
        <v>44995</v>
      </c>
      <c r="C3288">
        <v>4229.53</v>
      </c>
      <c r="D3288">
        <f t="shared" si="669"/>
        <v>-1.3291019019123995E-2</v>
      </c>
      <c r="E3288" t="str">
        <f t="shared" si="663"/>
        <v>2023-03</v>
      </c>
      <c r="G3288">
        <v>7220.67</v>
      </c>
      <c r="H3288">
        <f t="shared" si="670"/>
        <v>-1.3099581605191781E-2</v>
      </c>
      <c r="I3288" t="str">
        <f t="shared" si="664"/>
        <v>2023-03</v>
      </c>
      <c r="K3288">
        <v>15427.97</v>
      </c>
      <c r="L3288">
        <f t="shared" si="671"/>
        <v>-1.3215401799577885E-2</v>
      </c>
      <c r="M3288" t="str">
        <f t="shared" si="665"/>
        <v>2023-03</v>
      </c>
      <c r="O3288">
        <v>8758.5622800000001</v>
      </c>
      <c r="P3288">
        <f t="shared" si="672"/>
        <v>-1.4248802446177721E-2</v>
      </c>
      <c r="Q3288" t="str">
        <f t="shared" si="666"/>
        <v>2023-03</v>
      </c>
      <c r="S3288">
        <v>9285</v>
      </c>
      <c r="T3288">
        <f t="shared" si="673"/>
        <v>-1.477453885776869E-2</v>
      </c>
      <c r="U3288" t="str">
        <f t="shared" si="667"/>
        <v>2023-03</v>
      </c>
      <c r="W3288">
        <v>27281.96</v>
      </c>
      <c r="X3288">
        <f t="shared" si="674"/>
        <v>-1.5586807459363031E-2</v>
      </c>
      <c r="Y3288">
        <f t="shared" si="675"/>
        <v>-1.546596185637733E-2</v>
      </c>
      <c r="Z3288" t="str">
        <f t="shared" si="668"/>
        <v>2023-03</v>
      </c>
    </row>
    <row r="3289" spans="1:26" x14ac:dyDescent="0.35">
      <c r="A3289" s="1">
        <v>44998</v>
      </c>
      <c r="C3289">
        <v>4096.54</v>
      </c>
      <c r="D3289">
        <f t="shared" si="669"/>
        <v>-3.1948160788665518E-2</v>
      </c>
      <c r="E3289" t="str">
        <f t="shared" si="663"/>
        <v>2023-03</v>
      </c>
      <c r="G3289">
        <v>7011.5</v>
      </c>
      <c r="H3289">
        <f t="shared" si="670"/>
        <v>-2.9396088198651926E-2</v>
      </c>
      <c r="I3289" t="str">
        <f t="shared" si="664"/>
        <v>2023-03</v>
      </c>
      <c r="K3289">
        <v>14959.47</v>
      </c>
      <c r="L3289">
        <f t="shared" si="671"/>
        <v>-3.0837551716362273E-2</v>
      </c>
      <c r="M3289" t="str">
        <f t="shared" si="665"/>
        <v>2023-03</v>
      </c>
      <c r="O3289">
        <v>8558.8163800000002</v>
      </c>
      <c r="P3289">
        <f t="shared" si="672"/>
        <v>-2.3069860962406444E-2</v>
      </c>
      <c r="Q3289" t="str">
        <f t="shared" si="666"/>
        <v>2023-03</v>
      </c>
      <c r="S3289">
        <v>8958.9</v>
      </c>
      <c r="T3289">
        <f t="shared" si="673"/>
        <v>-3.5752743211563132E-2</v>
      </c>
      <c r="U3289" t="str">
        <f t="shared" si="667"/>
        <v>2023-03</v>
      </c>
      <c r="W3289">
        <v>26183.54</v>
      </c>
      <c r="X3289">
        <f t="shared" si="674"/>
        <v>-4.109470883756957E-2</v>
      </c>
      <c r="Y3289">
        <f t="shared" si="675"/>
        <v>-4.0261770048779427E-2</v>
      </c>
      <c r="Z3289" t="str">
        <f t="shared" si="668"/>
        <v>2023-03</v>
      </c>
    </row>
    <row r="3290" spans="1:26" x14ac:dyDescent="0.35">
      <c r="A3290" s="1">
        <v>44999</v>
      </c>
      <c r="C3290">
        <v>4179.47</v>
      </c>
      <c r="D3290">
        <f t="shared" si="669"/>
        <v>2.0041729254107021E-2</v>
      </c>
      <c r="E3290" t="str">
        <f t="shared" si="663"/>
        <v>2023-03</v>
      </c>
      <c r="G3290">
        <v>7141.57</v>
      </c>
      <c r="H3290">
        <f t="shared" si="670"/>
        <v>1.8380981950293484E-2</v>
      </c>
      <c r="I3290" t="str">
        <f t="shared" si="664"/>
        <v>2023-03</v>
      </c>
      <c r="K3290">
        <v>15232.83</v>
      </c>
      <c r="L3290">
        <f t="shared" si="671"/>
        <v>1.8108422999407136E-2</v>
      </c>
      <c r="M3290" t="str">
        <f t="shared" si="665"/>
        <v>2023-03</v>
      </c>
      <c r="O3290">
        <v>8658.9016699999993</v>
      </c>
      <c r="P3290">
        <f t="shared" si="672"/>
        <v>1.1625979357905367E-2</v>
      </c>
      <c r="Q3290" t="str">
        <f t="shared" si="666"/>
        <v>2023-03</v>
      </c>
      <c r="S3290">
        <v>9159</v>
      </c>
      <c r="T3290">
        <f t="shared" si="673"/>
        <v>2.2089550827744428E-2</v>
      </c>
      <c r="U3290" t="str">
        <f t="shared" si="667"/>
        <v>2023-03</v>
      </c>
      <c r="W3290">
        <v>26800.98</v>
      </c>
      <c r="X3290">
        <f t="shared" si="674"/>
        <v>2.3307484948313147E-2</v>
      </c>
      <c r="Y3290">
        <f t="shared" si="675"/>
        <v>2.3581226984586447E-2</v>
      </c>
      <c r="Z3290" t="str">
        <f t="shared" si="668"/>
        <v>2023-03</v>
      </c>
    </row>
    <row r="3291" spans="1:26" x14ac:dyDescent="0.35">
      <c r="A3291" s="1">
        <v>45000</v>
      </c>
      <c r="C3291">
        <v>4034.92</v>
      </c>
      <c r="D3291">
        <f t="shared" si="669"/>
        <v>-3.5197969231823917E-2</v>
      </c>
      <c r="E3291" t="str">
        <f t="shared" si="663"/>
        <v>2023-03</v>
      </c>
      <c r="G3291">
        <v>6885.71</v>
      </c>
      <c r="H3291">
        <f t="shared" si="670"/>
        <v>-3.6484390540453292E-2</v>
      </c>
      <c r="I3291" t="str">
        <f t="shared" si="664"/>
        <v>2023-03</v>
      </c>
      <c r="K3291">
        <v>14735.26</v>
      </c>
      <c r="L3291">
        <f t="shared" si="671"/>
        <v>-3.3209706013910677E-2</v>
      </c>
      <c r="M3291" t="str">
        <f t="shared" si="665"/>
        <v>2023-03</v>
      </c>
      <c r="O3291">
        <v>8387.2965000000004</v>
      </c>
      <c r="P3291">
        <f t="shared" si="672"/>
        <v>-3.1869646878043049E-2</v>
      </c>
      <c r="Q3291" t="str">
        <f t="shared" si="666"/>
        <v>2023-03</v>
      </c>
      <c r="S3291">
        <v>8759.1</v>
      </c>
      <c r="T3291">
        <f t="shared" si="673"/>
        <v>-4.4643842476664919E-2</v>
      </c>
      <c r="U3291" t="str">
        <f t="shared" si="667"/>
        <v>2023-03</v>
      </c>
      <c r="W3291">
        <v>25565.84</v>
      </c>
      <c r="X3291">
        <f t="shared" si="674"/>
        <v>-4.7181368598001393E-2</v>
      </c>
      <c r="Y3291">
        <f t="shared" si="675"/>
        <v>-4.6085628212102672E-2</v>
      </c>
      <c r="Z3291" t="str">
        <f t="shared" si="668"/>
        <v>2023-03</v>
      </c>
    </row>
    <row r="3292" spans="1:26" x14ac:dyDescent="0.35">
      <c r="A3292" s="1">
        <v>45001</v>
      </c>
      <c r="C3292">
        <v>4116.9799999999996</v>
      </c>
      <c r="D3292">
        <f t="shared" si="669"/>
        <v>2.0133409862329164E-2</v>
      </c>
      <c r="E3292" t="str">
        <f t="shared" si="663"/>
        <v>2023-03</v>
      </c>
      <c r="G3292">
        <v>7025.72</v>
      </c>
      <c r="H3292">
        <f t="shared" si="670"/>
        <v>2.012945147674948E-2</v>
      </c>
      <c r="I3292" t="str">
        <f t="shared" si="664"/>
        <v>2023-03</v>
      </c>
      <c r="K3292">
        <v>14967.1</v>
      </c>
      <c r="L3292">
        <f t="shared" si="671"/>
        <v>1.5611197793599561E-2</v>
      </c>
      <c r="M3292" t="str">
        <f t="shared" si="665"/>
        <v>2023-03</v>
      </c>
      <c r="O3292">
        <v>8469.2053599999999</v>
      </c>
      <c r="P3292">
        <f t="shared" si="672"/>
        <v>9.7184463725599034E-3</v>
      </c>
      <c r="Q3292" t="str">
        <f t="shared" si="666"/>
        <v>2023-03</v>
      </c>
      <c r="S3292">
        <v>8890.2000000000007</v>
      </c>
      <c r="T3292">
        <f t="shared" si="673"/>
        <v>1.4856386516421285E-2</v>
      </c>
      <c r="U3292" t="str">
        <f t="shared" si="667"/>
        <v>2023-03</v>
      </c>
      <c r="W3292">
        <v>25918.76</v>
      </c>
      <c r="X3292">
        <f t="shared" si="674"/>
        <v>1.3709945419128995E-2</v>
      </c>
      <c r="Y3292">
        <f t="shared" si="675"/>
        <v>1.3804357689792249E-2</v>
      </c>
      <c r="Z3292" t="str">
        <f t="shared" si="668"/>
        <v>2023-03</v>
      </c>
    </row>
    <row r="3293" spans="1:26" x14ac:dyDescent="0.35">
      <c r="A3293" s="1">
        <v>45002</v>
      </c>
      <c r="C3293">
        <v>4064.99</v>
      </c>
      <c r="D3293">
        <f t="shared" si="669"/>
        <v>-1.2708601897577715E-2</v>
      </c>
      <c r="E3293" t="str">
        <f t="shared" si="663"/>
        <v>2023-03</v>
      </c>
      <c r="G3293">
        <v>6925.4</v>
      </c>
      <c r="H3293">
        <f t="shared" si="670"/>
        <v>-1.4381888933048644E-2</v>
      </c>
      <c r="I3293" t="str">
        <f t="shared" si="664"/>
        <v>2023-03</v>
      </c>
      <c r="K3293">
        <v>14768.2</v>
      </c>
      <c r="L3293">
        <f t="shared" si="671"/>
        <v>-1.3378238426334467E-2</v>
      </c>
      <c r="M3293" t="str">
        <f t="shared" si="665"/>
        <v>2023-03</v>
      </c>
      <c r="O3293">
        <v>8374.5759400000006</v>
      </c>
      <c r="P3293">
        <f t="shared" si="672"/>
        <v>-1.1236243681610253E-2</v>
      </c>
      <c r="Q3293" t="str">
        <f t="shared" si="666"/>
        <v>2023-03</v>
      </c>
      <c r="S3293">
        <v>8719.2999999999993</v>
      </c>
      <c r="T3293">
        <f t="shared" si="673"/>
        <v>-1.9410586991305157E-2</v>
      </c>
      <c r="U3293" t="str">
        <f t="shared" si="667"/>
        <v>2023-03</v>
      </c>
      <c r="W3293">
        <v>25494.54</v>
      </c>
      <c r="X3293">
        <f t="shared" si="674"/>
        <v>-1.6502719242689815E-2</v>
      </c>
      <c r="Y3293">
        <f t="shared" si="675"/>
        <v>-1.63672953490058E-2</v>
      </c>
      <c r="Z3293" t="str">
        <f t="shared" si="668"/>
        <v>2023-03</v>
      </c>
    </row>
    <row r="3294" spans="1:26" x14ac:dyDescent="0.35">
      <c r="A3294" s="1">
        <v>45005</v>
      </c>
      <c r="C3294">
        <v>4119.42</v>
      </c>
      <c r="D3294">
        <f t="shared" si="669"/>
        <v>1.3301093780288644E-2</v>
      </c>
      <c r="E3294" t="str">
        <f t="shared" si="663"/>
        <v>2023-03</v>
      </c>
      <c r="G3294">
        <v>7013.14</v>
      </c>
      <c r="H3294">
        <f t="shared" si="670"/>
        <v>1.2589720143401968E-2</v>
      </c>
      <c r="I3294" t="str">
        <f t="shared" si="664"/>
        <v>2023-03</v>
      </c>
      <c r="K3294">
        <v>14933.38</v>
      </c>
      <c r="L3294">
        <f t="shared" si="671"/>
        <v>1.1122755283920493E-2</v>
      </c>
      <c r="M3294" t="str">
        <f t="shared" si="665"/>
        <v>2023-03</v>
      </c>
      <c r="O3294">
        <v>8476.1507799999999</v>
      </c>
      <c r="P3294">
        <f t="shared" si="672"/>
        <v>1.2055986899935091E-2</v>
      </c>
      <c r="Q3294" t="str">
        <f t="shared" si="666"/>
        <v>2023-03</v>
      </c>
      <c r="S3294">
        <v>8833.1</v>
      </c>
      <c r="T3294">
        <f t="shared" si="673"/>
        <v>1.29670694115407E-2</v>
      </c>
      <c r="U3294" t="str">
        <f t="shared" si="667"/>
        <v>2023-03</v>
      </c>
      <c r="W3294">
        <v>25899.57</v>
      </c>
      <c r="X3294">
        <f t="shared" si="674"/>
        <v>1.5762054660204271E-2</v>
      </c>
      <c r="Y3294">
        <f t="shared" si="675"/>
        <v>1.5886931084067364E-2</v>
      </c>
      <c r="Z3294" t="str">
        <f t="shared" si="668"/>
        <v>2023-03</v>
      </c>
    </row>
    <row r="3295" spans="1:26" x14ac:dyDescent="0.35">
      <c r="A3295" s="1">
        <v>45006</v>
      </c>
      <c r="C3295">
        <v>4181.6000000000004</v>
      </c>
      <c r="D3295">
        <f t="shared" si="669"/>
        <v>1.4981571664138743E-2</v>
      </c>
      <c r="E3295" t="str">
        <f t="shared" si="663"/>
        <v>2023-03</v>
      </c>
      <c r="G3295">
        <v>7112.91</v>
      </c>
      <c r="H3295">
        <f t="shared" si="670"/>
        <v>1.4125910500741835E-2</v>
      </c>
      <c r="I3295" t="str">
        <f t="shared" si="664"/>
        <v>2023-03</v>
      </c>
      <c r="K3295">
        <v>15195.34</v>
      </c>
      <c r="L3295">
        <f t="shared" si="671"/>
        <v>1.7389826151982535E-2</v>
      </c>
      <c r="M3295" t="str">
        <f t="shared" si="665"/>
        <v>2023-03</v>
      </c>
      <c r="O3295">
        <v>8543.7098299999998</v>
      </c>
      <c r="P3295">
        <f t="shared" si="672"/>
        <v>7.938890497284478E-3</v>
      </c>
      <c r="Q3295" t="str">
        <f t="shared" si="666"/>
        <v>2023-03</v>
      </c>
      <c r="S3295">
        <v>9049.4</v>
      </c>
      <c r="T3295">
        <f t="shared" si="673"/>
        <v>2.4192428290618587E-2</v>
      </c>
      <c r="U3295" t="str">
        <f t="shared" si="667"/>
        <v>2023-03</v>
      </c>
      <c r="W3295">
        <v>26554.33</v>
      </c>
      <c r="X3295">
        <f t="shared" si="674"/>
        <v>2.4966456651633582E-2</v>
      </c>
      <c r="Y3295">
        <f t="shared" si="675"/>
        <v>2.5280728598969095E-2</v>
      </c>
      <c r="Z3295" t="str">
        <f t="shared" si="668"/>
        <v>2023-03</v>
      </c>
    </row>
    <row r="3296" spans="1:26" x14ac:dyDescent="0.35">
      <c r="A3296" s="1">
        <v>45007</v>
      </c>
      <c r="C3296">
        <v>4195.7</v>
      </c>
      <c r="D3296">
        <f t="shared" si="669"/>
        <v>3.3662428979781924E-3</v>
      </c>
      <c r="E3296" t="str">
        <f t="shared" si="663"/>
        <v>2023-03</v>
      </c>
      <c r="G3296">
        <v>7131.12</v>
      </c>
      <c r="H3296">
        <f t="shared" si="670"/>
        <v>2.5568620566962718E-3</v>
      </c>
      <c r="I3296" t="str">
        <f t="shared" si="664"/>
        <v>2023-03</v>
      </c>
      <c r="K3296">
        <v>15216.19</v>
      </c>
      <c r="L3296">
        <f t="shared" si="671"/>
        <v>1.3711906810860296E-3</v>
      </c>
      <c r="M3296" t="str">
        <f t="shared" si="665"/>
        <v>2023-03</v>
      </c>
      <c r="O3296">
        <v>8584.6308000000008</v>
      </c>
      <c r="P3296">
        <f t="shared" si="672"/>
        <v>4.7781683864330992E-3</v>
      </c>
      <c r="Q3296" t="str">
        <f t="shared" si="666"/>
        <v>2023-03</v>
      </c>
      <c r="S3296">
        <v>9009.2999999999993</v>
      </c>
      <c r="T3296">
        <f t="shared" si="673"/>
        <v>-4.4410800232919231E-3</v>
      </c>
      <c r="U3296" t="str">
        <f t="shared" si="667"/>
        <v>2023-03</v>
      </c>
      <c r="W3296">
        <v>26523.33</v>
      </c>
      <c r="X3296">
        <f t="shared" si="674"/>
        <v>-1.1680998568832446E-3</v>
      </c>
      <c r="Y3296">
        <f t="shared" si="675"/>
        <v>-1.1674178938048897E-3</v>
      </c>
      <c r="Z3296" t="str">
        <f t="shared" si="668"/>
        <v>2023-03</v>
      </c>
    </row>
    <row r="3297" spans="1:26" x14ac:dyDescent="0.35">
      <c r="A3297" s="1">
        <v>45008</v>
      </c>
      <c r="C3297">
        <v>4207.1400000000003</v>
      </c>
      <c r="D3297">
        <f t="shared" si="669"/>
        <v>2.7228906103507161E-3</v>
      </c>
      <c r="E3297" t="str">
        <f t="shared" si="663"/>
        <v>2023-03</v>
      </c>
      <c r="G3297">
        <v>7139.25</v>
      </c>
      <c r="H3297">
        <f t="shared" si="670"/>
        <v>1.1394239784376899E-3</v>
      </c>
      <c r="I3297" t="str">
        <f t="shared" si="664"/>
        <v>2023-03</v>
      </c>
      <c r="K3297">
        <v>15210.39</v>
      </c>
      <c r="L3297">
        <f t="shared" si="671"/>
        <v>-3.8124561289852864E-4</v>
      </c>
      <c r="M3297" t="str">
        <f t="shared" si="665"/>
        <v>2023-03</v>
      </c>
      <c r="O3297">
        <v>8486.9886800000004</v>
      </c>
      <c r="P3297">
        <f t="shared" si="672"/>
        <v>-1.143924100097848E-2</v>
      </c>
      <c r="Q3297" t="str">
        <f t="shared" si="666"/>
        <v>2023-03</v>
      </c>
      <c r="S3297">
        <v>8970</v>
      </c>
      <c r="T3297">
        <f t="shared" si="673"/>
        <v>-4.3717010774642993E-3</v>
      </c>
      <c r="U3297" t="str">
        <f t="shared" si="667"/>
        <v>2023-03</v>
      </c>
      <c r="W3297">
        <v>26482.21</v>
      </c>
      <c r="X3297">
        <f t="shared" si="674"/>
        <v>-1.5515362450376153E-3</v>
      </c>
      <c r="Y3297">
        <f t="shared" si="675"/>
        <v>-1.5503332349294985E-3</v>
      </c>
      <c r="Z3297" t="str">
        <f t="shared" si="668"/>
        <v>2023-03</v>
      </c>
    </row>
    <row r="3298" spans="1:26" x14ac:dyDescent="0.35">
      <c r="A3298" s="1">
        <v>45009</v>
      </c>
      <c r="C3298">
        <v>4130.62</v>
      </c>
      <c r="D3298">
        <f t="shared" si="669"/>
        <v>-1.8355565153627053E-2</v>
      </c>
      <c r="E3298" t="str">
        <f t="shared" si="663"/>
        <v>2023-03</v>
      </c>
      <c r="G3298">
        <v>7015.1</v>
      </c>
      <c r="H3298">
        <f t="shared" si="670"/>
        <v>-1.7542760197068706E-2</v>
      </c>
      <c r="I3298" t="str">
        <f t="shared" si="664"/>
        <v>2023-03</v>
      </c>
      <c r="K3298">
        <v>14957.23</v>
      </c>
      <c r="L3298">
        <f t="shared" si="671"/>
        <v>-1.6783951993901664E-2</v>
      </c>
      <c r="M3298" t="str">
        <f t="shared" si="665"/>
        <v>2023-03</v>
      </c>
      <c r="O3298">
        <v>8414.9087600000003</v>
      </c>
      <c r="P3298">
        <f t="shared" si="672"/>
        <v>-8.5292621410972373E-3</v>
      </c>
      <c r="Q3298" t="str">
        <f t="shared" si="666"/>
        <v>2023-03</v>
      </c>
      <c r="S3298">
        <v>8792.5</v>
      </c>
      <c r="T3298">
        <f t="shared" si="673"/>
        <v>-1.9986590704704248E-2</v>
      </c>
      <c r="U3298" t="str">
        <f t="shared" si="667"/>
        <v>2023-03</v>
      </c>
      <c r="W3298">
        <v>25892.18</v>
      </c>
      <c r="X3298">
        <f t="shared" si="674"/>
        <v>-2.2532194187411845E-2</v>
      </c>
      <c r="Y3298">
        <f t="shared" si="675"/>
        <v>-2.2280240206538609E-2</v>
      </c>
      <c r="Z3298" t="str">
        <f t="shared" si="668"/>
        <v>2023-03</v>
      </c>
    </row>
    <row r="3299" spans="1:26" x14ac:dyDescent="0.35">
      <c r="A3299" s="1">
        <v>45012</v>
      </c>
      <c r="C3299">
        <v>4164.62</v>
      </c>
      <c r="D3299">
        <f t="shared" si="669"/>
        <v>8.1975181906289493E-3</v>
      </c>
      <c r="E3299" t="str">
        <f t="shared" si="663"/>
        <v>2023-03</v>
      </c>
      <c r="G3299">
        <v>7078.27</v>
      </c>
      <c r="H3299">
        <f t="shared" si="670"/>
        <v>8.9645589444295893E-3</v>
      </c>
      <c r="I3299" t="str">
        <f t="shared" si="664"/>
        <v>2023-03</v>
      </c>
      <c r="K3299">
        <v>15127.68</v>
      </c>
      <c r="L3299">
        <f t="shared" si="671"/>
        <v>1.1331383329025935E-2</v>
      </c>
      <c r="M3299" t="str">
        <f t="shared" si="665"/>
        <v>2023-03</v>
      </c>
      <c r="O3299">
        <v>8504.8420800000004</v>
      </c>
      <c r="P3299">
        <f t="shared" si="672"/>
        <v>1.0630672733294261E-2</v>
      </c>
      <c r="Q3299" t="str">
        <f t="shared" si="666"/>
        <v>2023-03</v>
      </c>
      <c r="S3299">
        <v>8906.1</v>
      </c>
      <c r="T3299">
        <f t="shared" si="673"/>
        <v>1.2837349855830505E-2</v>
      </c>
      <c r="U3299" t="str">
        <f t="shared" si="667"/>
        <v>2023-03</v>
      </c>
      <c r="W3299">
        <v>26206.67</v>
      </c>
      <c r="X3299">
        <f t="shared" si="674"/>
        <v>1.2072965906324078E-2</v>
      </c>
      <c r="Y3299">
        <f t="shared" si="675"/>
        <v>1.2146138332114096E-2</v>
      </c>
      <c r="Z3299" t="str">
        <f t="shared" si="668"/>
        <v>2023-03</v>
      </c>
    </row>
    <row r="3300" spans="1:26" x14ac:dyDescent="0.35">
      <c r="A3300" s="1">
        <v>45013</v>
      </c>
      <c r="C3300">
        <v>4168.21</v>
      </c>
      <c r="D3300">
        <f t="shared" si="669"/>
        <v>8.6165209709427204E-4</v>
      </c>
      <c r="E3300" t="str">
        <f t="shared" si="663"/>
        <v>2023-03</v>
      </c>
      <c r="G3300">
        <v>7088.34</v>
      </c>
      <c r="H3300">
        <f t="shared" si="670"/>
        <v>1.4216529848760028E-3</v>
      </c>
      <c r="I3300" t="str">
        <f t="shared" si="664"/>
        <v>2023-03</v>
      </c>
      <c r="K3300">
        <v>15142.02</v>
      </c>
      <c r="L3300">
        <f t="shared" si="671"/>
        <v>9.4748220648232118E-4</v>
      </c>
      <c r="M3300" t="str">
        <f t="shared" si="665"/>
        <v>2023-03</v>
      </c>
      <c r="O3300">
        <v>8521.0830100000003</v>
      </c>
      <c r="P3300">
        <f t="shared" si="672"/>
        <v>1.9077888385038318E-3</v>
      </c>
      <c r="Q3300" t="str">
        <f t="shared" si="666"/>
        <v>2023-03</v>
      </c>
      <c r="S3300">
        <v>8944.2999999999993</v>
      </c>
      <c r="T3300">
        <f t="shared" si="673"/>
        <v>4.2800226677466684E-3</v>
      </c>
      <c r="U3300" t="str">
        <f t="shared" si="667"/>
        <v>2023-03</v>
      </c>
      <c r="W3300">
        <v>26329.46</v>
      </c>
      <c r="X3300">
        <f t="shared" si="674"/>
        <v>4.6745058530322037E-3</v>
      </c>
      <c r="Y3300">
        <f t="shared" si="675"/>
        <v>4.6854483992052739E-3</v>
      </c>
      <c r="Z3300" t="str">
        <f t="shared" si="668"/>
        <v>2023-03</v>
      </c>
    </row>
    <row r="3301" spans="1:26" x14ac:dyDescent="0.35">
      <c r="A3301" s="1">
        <v>45014</v>
      </c>
      <c r="C3301">
        <v>4231.2700000000004</v>
      </c>
      <c r="D3301">
        <f t="shared" si="669"/>
        <v>1.501549734387525E-2</v>
      </c>
      <c r="E3301" t="str">
        <f t="shared" si="663"/>
        <v>2023-03</v>
      </c>
      <c r="G3301">
        <v>7186.99</v>
      </c>
      <c r="H3301">
        <f t="shared" si="670"/>
        <v>1.3821266534572338E-2</v>
      </c>
      <c r="I3301" t="str">
        <f t="shared" si="664"/>
        <v>2023-03</v>
      </c>
      <c r="K3301">
        <v>15328.78</v>
      </c>
      <c r="L3301">
        <f t="shared" si="671"/>
        <v>1.2258446689203993E-2</v>
      </c>
      <c r="M3301" t="str">
        <f t="shared" si="665"/>
        <v>2023-03</v>
      </c>
      <c r="O3301">
        <v>8598.8732400000008</v>
      </c>
      <c r="P3301">
        <f t="shared" si="672"/>
        <v>9.0877294584150482E-3</v>
      </c>
      <c r="Q3301" t="str">
        <f t="shared" si="666"/>
        <v>2023-03</v>
      </c>
      <c r="S3301">
        <v>9070.7000000000007</v>
      </c>
      <c r="T3301">
        <f t="shared" si="673"/>
        <v>1.4032980767706073E-2</v>
      </c>
      <c r="U3301" t="str">
        <f t="shared" si="667"/>
        <v>2023-03</v>
      </c>
      <c r="W3301">
        <v>26739.01</v>
      </c>
      <c r="X3301">
        <f t="shared" si="674"/>
        <v>1.543508342945748E-2</v>
      </c>
      <c r="Y3301">
        <f t="shared" si="675"/>
        <v>1.5554819582323347E-2</v>
      </c>
      <c r="Z3301" t="str">
        <f t="shared" si="668"/>
        <v>2023-03</v>
      </c>
    </row>
    <row r="3302" spans="1:26" x14ac:dyDescent="0.35">
      <c r="A3302" s="1">
        <v>45015</v>
      </c>
      <c r="C3302">
        <v>4285.42</v>
      </c>
      <c r="D3302">
        <f t="shared" si="669"/>
        <v>1.2716379179636491E-2</v>
      </c>
      <c r="E3302" t="str">
        <f t="shared" si="663"/>
        <v>2023-03</v>
      </c>
      <c r="G3302">
        <v>7263.37</v>
      </c>
      <c r="H3302">
        <f t="shared" si="670"/>
        <v>1.0571461378722108E-2</v>
      </c>
      <c r="I3302" t="str">
        <f t="shared" si="664"/>
        <v>2023-03</v>
      </c>
      <c r="K3302">
        <v>15522.4</v>
      </c>
      <c r="L3302">
        <f t="shared" si="671"/>
        <v>1.2552034775998063E-2</v>
      </c>
      <c r="M3302" t="str">
        <f t="shared" si="665"/>
        <v>2023-03</v>
      </c>
      <c r="O3302">
        <v>8655.3549700000003</v>
      </c>
      <c r="P3302">
        <f t="shared" si="672"/>
        <v>6.5470250031442875E-3</v>
      </c>
      <c r="Q3302" t="str">
        <f t="shared" si="666"/>
        <v>2023-03</v>
      </c>
      <c r="S3302">
        <v>9207.1</v>
      </c>
      <c r="T3302">
        <f t="shared" si="673"/>
        <v>1.4925486890625457E-2</v>
      </c>
      <c r="U3302" t="str">
        <f t="shared" si="667"/>
        <v>2023-03</v>
      </c>
      <c r="W3302">
        <v>27021.040000000001</v>
      </c>
      <c r="X3302">
        <f t="shared" si="674"/>
        <v>1.0492273996549189E-2</v>
      </c>
      <c r="Y3302">
        <f t="shared" si="675"/>
        <v>1.0547510921309447E-2</v>
      </c>
      <c r="Z3302" t="str">
        <f t="shared" si="668"/>
        <v>2023-03</v>
      </c>
    </row>
    <row r="3303" spans="1:26" x14ac:dyDescent="0.35">
      <c r="A3303" s="1">
        <v>45016</v>
      </c>
      <c r="C3303">
        <v>4315.05</v>
      </c>
      <c r="D3303">
        <f t="shared" si="669"/>
        <v>6.8903483712606179E-3</v>
      </c>
      <c r="E3303" t="str">
        <f t="shared" si="663"/>
        <v>2023-03</v>
      </c>
      <c r="G3303">
        <v>7322.39</v>
      </c>
      <c r="H3303">
        <f t="shared" si="670"/>
        <v>8.0928689521244102E-3</v>
      </c>
      <c r="I3303" t="str">
        <f t="shared" si="664"/>
        <v>2023-03</v>
      </c>
      <c r="K3303">
        <v>15628.84</v>
      </c>
      <c r="L3303">
        <f t="shared" si="671"/>
        <v>6.8337834534976053E-3</v>
      </c>
      <c r="M3303" t="str">
        <f t="shared" si="665"/>
        <v>2023-03</v>
      </c>
      <c r="O3303">
        <v>8670.2296000000006</v>
      </c>
      <c r="P3303">
        <f t="shared" si="672"/>
        <v>1.7170714897980564E-3</v>
      </c>
      <c r="Q3303" t="str">
        <f t="shared" si="666"/>
        <v>2023-03</v>
      </c>
      <c r="S3303">
        <v>9232.5</v>
      </c>
      <c r="T3303">
        <f t="shared" si="673"/>
        <v>2.7549421966719524E-3</v>
      </c>
      <c r="U3303" t="str">
        <f t="shared" si="667"/>
        <v>2023-03</v>
      </c>
      <c r="W3303">
        <v>27113.95</v>
      </c>
      <c r="X3303">
        <f t="shared" si="674"/>
        <v>3.4325337909676405E-3</v>
      </c>
      <c r="Y3303">
        <f t="shared" si="675"/>
        <v>3.4384316813860553E-3</v>
      </c>
      <c r="Z3303" t="str">
        <f t="shared" si="668"/>
        <v>2023-03</v>
      </c>
    </row>
    <row r="3304" spans="1:26" x14ac:dyDescent="0.35">
      <c r="A3304" s="1">
        <v>45019</v>
      </c>
      <c r="C3304">
        <v>4311.05</v>
      </c>
      <c r="D3304">
        <f t="shared" si="669"/>
        <v>-9.2741801896605502E-4</v>
      </c>
      <c r="E3304" t="str">
        <f t="shared" si="663"/>
        <v>2023-04</v>
      </c>
      <c r="G3304">
        <v>7345.96</v>
      </c>
      <c r="H3304">
        <f t="shared" si="670"/>
        <v>3.2137248273953509E-3</v>
      </c>
      <c r="I3304" t="str">
        <f t="shared" si="664"/>
        <v>2023-04</v>
      </c>
      <c r="K3304">
        <v>15580.92</v>
      </c>
      <c r="L3304">
        <f t="shared" si="671"/>
        <v>-3.0708366650226337E-3</v>
      </c>
      <c r="M3304" t="str">
        <f t="shared" si="665"/>
        <v>2023-04</v>
      </c>
      <c r="O3304">
        <v>8735.6213599999992</v>
      </c>
      <c r="P3304">
        <f t="shared" si="672"/>
        <v>7.5138030083278257E-3</v>
      </c>
      <c r="Q3304" t="str">
        <f t="shared" si="666"/>
        <v>2023-04</v>
      </c>
      <c r="S3304">
        <v>9157.4</v>
      </c>
      <c r="T3304">
        <f t="shared" si="673"/>
        <v>-8.1675721442926487E-3</v>
      </c>
      <c r="U3304" t="str">
        <f t="shared" si="667"/>
        <v>2023-04</v>
      </c>
      <c r="W3304">
        <v>27179.37</v>
      </c>
      <c r="X3304">
        <f t="shared" si="674"/>
        <v>2.4098740567168138E-3</v>
      </c>
      <c r="Y3304">
        <f t="shared" si="675"/>
        <v>2.4127801371618025E-3</v>
      </c>
      <c r="Z3304" t="str">
        <f t="shared" si="668"/>
        <v>2023-04</v>
      </c>
    </row>
    <row r="3305" spans="1:26" x14ac:dyDescent="0.35">
      <c r="A3305" s="1">
        <v>45020</v>
      </c>
      <c r="C3305">
        <v>4315.32</v>
      </c>
      <c r="D3305">
        <f t="shared" si="669"/>
        <v>9.8998775817484659E-4</v>
      </c>
      <c r="E3305" t="str">
        <f t="shared" si="663"/>
        <v>2023-04</v>
      </c>
      <c r="G3305">
        <v>7344.96</v>
      </c>
      <c r="H3305">
        <f t="shared" si="670"/>
        <v>-1.3613851297866674E-4</v>
      </c>
      <c r="I3305" t="str">
        <f t="shared" si="664"/>
        <v>2023-04</v>
      </c>
      <c r="K3305">
        <v>15603.47</v>
      </c>
      <c r="L3305">
        <f t="shared" si="671"/>
        <v>1.4462366543302443E-3</v>
      </c>
      <c r="M3305" t="str">
        <f t="shared" si="665"/>
        <v>2023-04</v>
      </c>
      <c r="O3305">
        <v>8714.2054499999995</v>
      </c>
      <c r="P3305">
        <f t="shared" si="672"/>
        <v>-2.454571152551883E-3</v>
      </c>
      <c r="Q3305" t="str">
        <f t="shared" si="666"/>
        <v>2023-04</v>
      </c>
      <c r="S3305">
        <v>9183.2000000000007</v>
      </c>
      <c r="T3305">
        <f t="shared" si="673"/>
        <v>2.8134321688613592E-3</v>
      </c>
      <c r="U3305" t="str">
        <f t="shared" si="667"/>
        <v>2023-04</v>
      </c>
      <c r="W3305">
        <v>27026.560000000001</v>
      </c>
      <c r="X3305">
        <f t="shared" si="674"/>
        <v>-5.6381434578061107E-3</v>
      </c>
      <c r="Y3305">
        <f t="shared" si="675"/>
        <v>-5.6222789564289999E-3</v>
      </c>
      <c r="Z3305" t="str">
        <f t="shared" si="668"/>
        <v>2023-04</v>
      </c>
    </row>
    <row r="3306" spans="1:26" x14ac:dyDescent="0.35">
      <c r="A3306" s="1">
        <v>45021</v>
      </c>
      <c r="C3306">
        <v>4298.3599999999997</v>
      </c>
      <c r="D3306">
        <f t="shared" si="669"/>
        <v>-3.9379270920061353E-3</v>
      </c>
      <c r="E3306" t="str">
        <f t="shared" si="663"/>
        <v>2023-04</v>
      </c>
      <c r="G3306">
        <v>7316.3</v>
      </c>
      <c r="H3306">
        <f t="shared" si="670"/>
        <v>-3.9096280273486338E-3</v>
      </c>
      <c r="I3306" t="str">
        <f t="shared" si="664"/>
        <v>2023-04</v>
      </c>
      <c r="K3306">
        <v>15520.17</v>
      </c>
      <c r="L3306">
        <f t="shared" si="671"/>
        <v>-5.3528571144011682E-3</v>
      </c>
      <c r="M3306" t="str">
        <f t="shared" si="665"/>
        <v>2023-04</v>
      </c>
      <c r="O3306">
        <v>8756.4401999999991</v>
      </c>
      <c r="P3306">
        <f t="shared" si="672"/>
        <v>4.8349480748360344E-3</v>
      </c>
      <c r="Q3306" t="str">
        <f t="shared" si="666"/>
        <v>2023-04</v>
      </c>
      <c r="S3306">
        <v>9254.6</v>
      </c>
      <c r="T3306">
        <f t="shared" si="673"/>
        <v>7.7449974411595039E-3</v>
      </c>
      <c r="U3306" t="str">
        <f t="shared" si="667"/>
        <v>2023-04</v>
      </c>
      <c r="W3306">
        <v>26867.39</v>
      </c>
      <c r="X3306">
        <f t="shared" si="674"/>
        <v>-5.9068026296353188E-3</v>
      </c>
      <c r="Y3306">
        <f t="shared" si="675"/>
        <v>-5.889391768689833E-3</v>
      </c>
      <c r="Z3306" t="str">
        <f t="shared" si="668"/>
        <v>2023-04</v>
      </c>
    </row>
    <row r="3307" spans="1:26" x14ac:dyDescent="0.35">
      <c r="A3307" s="1">
        <v>45022</v>
      </c>
      <c r="C3307">
        <v>4309.45</v>
      </c>
      <c r="D3307">
        <f t="shared" si="669"/>
        <v>2.5767311629889826E-3</v>
      </c>
      <c r="E3307" t="str">
        <f t="shared" si="663"/>
        <v>2023-04</v>
      </c>
      <c r="G3307">
        <v>7324.75</v>
      </c>
      <c r="H3307">
        <f t="shared" si="670"/>
        <v>1.1542889257560157E-3</v>
      </c>
      <c r="I3307" t="str">
        <f t="shared" si="664"/>
        <v>2023-04</v>
      </c>
      <c r="K3307">
        <v>15597.89</v>
      </c>
      <c r="L3307">
        <f t="shared" si="671"/>
        <v>4.9951803939320243E-3</v>
      </c>
      <c r="M3307" t="str">
        <f t="shared" si="665"/>
        <v>2023-04</v>
      </c>
      <c r="O3307">
        <v>8824.1322700000001</v>
      </c>
      <c r="P3307">
        <f t="shared" si="672"/>
        <v>7.7008191447214391E-3</v>
      </c>
      <c r="Q3307" t="str">
        <f t="shared" si="666"/>
        <v>2023-04</v>
      </c>
      <c r="S3307">
        <v>9312.2999999999993</v>
      </c>
      <c r="T3307">
        <f t="shared" si="673"/>
        <v>6.2153817546776588E-3</v>
      </c>
      <c r="U3307" t="str">
        <f t="shared" si="667"/>
        <v>2023-04</v>
      </c>
      <c r="W3307">
        <v>27213.86</v>
      </c>
      <c r="X3307">
        <f t="shared" si="674"/>
        <v>1.2813118785492905E-2</v>
      </c>
      <c r="Y3307">
        <f t="shared" si="675"/>
        <v>1.2895558519082098E-2</v>
      </c>
      <c r="Z3307" t="str">
        <f t="shared" si="668"/>
        <v>2023-04</v>
      </c>
    </row>
    <row r="3308" spans="1:26" x14ac:dyDescent="0.35">
      <c r="A3308" s="1">
        <v>45027</v>
      </c>
      <c r="C3308">
        <v>4333.29</v>
      </c>
      <c r="D3308">
        <f t="shared" si="669"/>
        <v>5.5167829794624621E-3</v>
      </c>
      <c r="E3308" t="str">
        <f t="shared" si="663"/>
        <v>2023-04</v>
      </c>
      <c r="G3308">
        <v>7390.28</v>
      </c>
      <c r="H3308">
        <f t="shared" si="670"/>
        <v>8.9065986537141036E-3</v>
      </c>
      <c r="I3308" t="str">
        <f t="shared" si="664"/>
        <v>2023-04</v>
      </c>
      <c r="K3308">
        <v>15655.17</v>
      </c>
      <c r="L3308">
        <f t="shared" si="671"/>
        <v>3.6655651725783127E-3</v>
      </c>
      <c r="M3308" t="str">
        <f t="shared" si="665"/>
        <v>2023-04</v>
      </c>
      <c r="O3308">
        <v>8864.3911800000005</v>
      </c>
      <c r="P3308">
        <f t="shared" si="672"/>
        <v>4.5519887094601979E-3</v>
      </c>
      <c r="Q3308" t="str">
        <f t="shared" si="666"/>
        <v>2023-04</v>
      </c>
      <c r="S3308">
        <v>9237.7000000000007</v>
      </c>
      <c r="T3308">
        <f t="shared" si="673"/>
        <v>-8.0431700454768034E-3</v>
      </c>
      <c r="U3308" t="str">
        <f t="shared" si="667"/>
        <v>2023-04</v>
      </c>
      <c r="W3308">
        <v>27525.51</v>
      </c>
      <c r="X3308">
        <f t="shared" si="674"/>
        <v>1.1386808702975957E-2</v>
      </c>
      <c r="Y3308">
        <f t="shared" si="675"/>
        <v>1.145188517909616E-2</v>
      </c>
      <c r="Z3308" t="str">
        <f t="shared" si="668"/>
        <v>2023-04</v>
      </c>
    </row>
    <row r="3309" spans="1:26" x14ac:dyDescent="0.35">
      <c r="A3309" s="1">
        <v>45028</v>
      </c>
      <c r="C3309">
        <v>4334.03</v>
      </c>
      <c r="D3309">
        <f t="shared" si="669"/>
        <v>1.7075635878173586E-4</v>
      </c>
      <c r="E3309" t="str">
        <f t="shared" si="663"/>
        <v>2023-04</v>
      </c>
      <c r="G3309">
        <v>7396.94</v>
      </c>
      <c r="H3309">
        <f t="shared" si="670"/>
        <v>9.0077789473974536E-4</v>
      </c>
      <c r="I3309" t="str">
        <f t="shared" si="664"/>
        <v>2023-04</v>
      </c>
      <c r="K3309">
        <v>15703.6</v>
      </c>
      <c r="L3309">
        <f t="shared" si="671"/>
        <v>3.0887715623988472E-3</v>
      </c>
      <c r="M3309" t="str">
        <f t="shared" si="665"/>
        <v>2023-04</v>
      </c>
      <c r="O3309">
        <v>8883.7124899999999</v>
      </c>
      <c r="P3309">
        <f t="shared" si="672"/>
        <v>2.1772824851678547E-3</v>
      </c>
      <c r="Q3309" t="str">
        <f t="shared" si="666"/>
        <v>2023-04</v>
      </c>
      <c r="S3309">
        <v>9278.7000000000007</v>
      </c>
      <c r="T3309">
        <f t="shared" si="673"/>
        <v>4.4285138587132145E-3</v>
      </c>
      <c r="U3309" t="str">
        <f t="shared" si="667"/>
        <v>2023-04</v>
      </c>
      <c r="W3309">
        <v>27629.34</v>
      </c>
      <c r="X3309">
        <f t="shared" si="674"/>
        <v>3.7650405233174691E-3</v>
      </c>
      <c r="Y3309">
        <f t="shared" si="675"/>
        <v>3.7721371920084951E-3</v>
      </c>
      <c r="Z3309" t="str">
        <f t="shared" si="668"/>
        <v>2023-04</v>
      </c>
    </row>
    <row r="3310" spans="1:26" x14ac:dyDescent="0.35">
      <c r="A3310" s="1">
        <v>45029</v>
      </c>
      <c r="C3310">
        <v>4363.24</v>
      </c>
      <c r="D3310">
        <f t="shared" si="669"/>
        <v>6.7170755483815531E-3</v>
      </c>
      <c r="E3310" t="str">
        <f t="shared" si="663"/>
        <v>2023-04</v>
      </c>
      <c r="G3310">
        <v>7480.83</v>
      </c>
      <c r="H3310">
        <f t="shared" si="670"/>
        <v>1.1277347221019696E-2</v>
      </c>
      <c r="I3310" t="str">
        <f t="shared" si="664"/>
        <v>2023-04</v>
      </c>
      <c r="K3310">
        <v>15729.46</v>
      </c>
      <c r="L3310">
        <f t="shared" si="671"/>
        <v>1.6454017416267751E-3</v>
      </c>
      <c r="M3310" t="str">
        <f t="shared" si="665"/>
        <v>2023-04</v>
      </c>
      <c r="O3310">
        <v>8888.3599900000008</v>
      </c>
      <c r="P3310">
        <f t="shared" si="672"/>
        <v>5.2301160837287691E-4</v>
      </c>
      <c r="Q3310" t="str">
        <f t="shared" si="666"/>
        <v>2023-04</v>
      </c>
      <c r="S3310">
        <v>9310</v>
      </c>
      <c r="T3310">
        <f t="shared" si="673"/>
        <v>3.3676405107521405E-3</v>
      </c>
      <c r="U3310" t="str">
        <f t="shared" si="667"/>
        <v>2023-04</v>
      </c>
      <c r="W3310">
        <v>27626.61</v>
      </c>
      <c r="X3310">
        <f t="shared" si="674"/>
        <v>-9.8812888104230566E-5</v>
      </c>
      <c r="Y3310">
        <f t="shared" si="675"/>
        <v>-9.8808006271578085E-5</v>
      </c>
      <c r="Z3310" t="str">
        <f t="shared" si="668"/>
        <v>2023-04</v>
      </c>
    </row>
    <row r="3311" spans="1:26" x14ac:dyDescent="0.35">
      <c r="A3311" s="1">
        <v>45030</v>
      </c>
      <c r="C3311">
        <v>4390.75</v>
      </c>
      <c r="D3311">
        <f t="shared" si="669"/>
        <v>6.2851546691180329E-3</v>
      </c>
      <c r="E3311" t="str">
        <f t="shared" si="663"/>
        <v>2023-04</v>
      </c>
      <c r="G3311">
        <v>7519.61</v>
      </c>
      <c r="H3311">
        <f t="shared" si="670"/>
        <v>5.1705265174155678E-3</v>
      </c>
      <c r="I3311" t="str">
        <f t="shared" si="664"/>
        <v>2023-04</v>
      </c>
      <c r="K3311">
        <v>15807.5</v>
      </c>
      <c r="L3311">
        <f t="shared" si="671"/>
        <v>4.9491237767654971E-3</v>
      </c>
      <c r="M3311" t="str">
        <f t="shared" si="665"/>
        <v>2023-04</v>
      </c>
      <c r="O3311">
        <v>8895.1579099999999</v>
      </c>
      <c r="P3311">
        <f t="shared" si="672"/>
        <v>7.6451918786089987E-4</v>
      </c>
      <c r="Q3311" t="str">
        <f t="shared" si="666"/>
        <v>2023-04</v>
      </c>
      <c r="S3311">
        <v>9362.9</v>
      </c>
      <c r="T3311">
        <f t="shared" si="673"/>
        <v>5.6659802732424141E-3</v>
      </c>
      <c r="U3311" t="str">
        <f t="shared" si="667"/>
        <v>2023-04</v>
      </c>
      <c r="W3311">
        <v>27872.240000000002</v>
      </c>
      <c r="X3311">
        <f t="shared" si="674"/>
        <v>8.8517727425540954E-3</v>
      </c>
      <c r="Y3311">
        <f t="shared" si="675"/>
        <v>8.8910655342802104E-3</v>
      </c>
      <c r="Z3311" t="str">
        <f t="shared" si="668"/>
        <v>2023-04</v>
      </c>
    </row>
    <row r="3312" spans="1:26" x14ac:dyDescent="0.35">
      <c r="A3312" s="1">
        <v>45033</v>
      </c>
      <c r="C3312">
        <v>4367.6099999999997</v>
      </c>
      <c r="D3312">
        <f t="shared" si="669"/>
        <v>-5.2841065775964457E-3</v>
      </c>
      <c r="E3312" t="str">
        <f t="shared" si="663"/>
        <v>2023-04</v>
      </c>
      <c r="G3312">
        <v>7498.18</v>
      </c>
      <c r="H3312">
        <f t="shared" si="670"/>
        <v>-2.8539504874777787E-3</v>
      </c>
      <c r="I3312" t="str">
        <f t="shared" si="664"/>
        <v>2023-04</v>
      </c>
      <c r="K3312">
        <v>15789.53</v>
      </c>
      <c r="L3312">
        <f t="shared" si="671"/>
        <v>-1.1374488005644918E-3</v>
      </c>
      <c r="M3312" t="str">
        <f t="shared" si="665"/>
        <v>2023-04</v>
      </c>
      <c r="O3312">
        <v>8922.2164200000007</v>
      </c>
      <c r="P3312">
        <f t="shared" si="672"/>
        <v>3.0373196746916603E-3</v>
      </c>
      <c r="Q3312" t="str">
        <f t="shared" si="666"/>
        <v>2023-04</v>
      </c>
      <c r="S3312">
        <v>9378.5</v>
      </c>
      <c r="T3312">
        <f t="shared" si="673"/>
        <v>1.6647639560406432E-3</v>
      </c>
      <c r="U3312" t="str">
        <f t="shared" si="667"/>
        <v>2023-04</v>
      </c>
      <c r="W3312">
        <v>27700.21</v>
      </c>
      <c r="X3312">
        <f t="shared" si="674"/>
        <v>-6.1912170332203151E-3</v>
      </c>
      <c r="Y3312">
        <f t="shared" si="675"/>
        <v>-6.1720909406636302E-3</v>
      </c>
      <c r="Z3312" t="str">
        <f t="shared" si="668"/>
        <v>2023-04</v>
      </c>
    </row>
    <row r="3313" spans="1:26" x14ac:dyDescent="0.35">
      <c r="A3313" s="1">
        <v>45034</v>
      </c>
      <c r="C3313">
        <v>4393.95</v>
      </c>
      <c r="D3313">
        <f t="shared" si="669"/>
        <v>6.0126460021729224E-3</v>
      </c>
      <c r="E3313" t="str">
        <f t="shared" si="663"/>
        <v>2023-04</v>
      </c>
      <c r="G3313">
        <v>7533.63</v>
      </c>
      <c r="H3313">
        <f t="shared" si="670"/>
        <v>4.7166729384328079E-3</v>
      </c>
      <c r="I3313" t="str">
        <f t="shared" si="664"/>
        <v>2023-04</v>
      </c>
      <c r="K3313">
        <v>15882.67</v>
      </c>
      <c r="L3313">
        <f t="shared" si="671"/>
        <v>5.8815155557974935E-3</v>
      </c>
      <c r="M3313" t="str">
        <f t="shared" si="665"/>
        <v>2023-04</v>
      </c>
      <c r="O3313">
        <v>8961.3883100000003</v>
      </c>
      <c r="P3313">
        <f t="shared" si="672"/>
        <v>4.3807669916013543E-3</v>
      </c>
      <c r="Q3313" t="str">
        <f t="shared" si="666"/>
        <v>2023-04</v>
      </c>
      <c r="S3313">
        <v>9421.9</v>
      </c>
      <c r="T3313">
        <f t="shared" si="673"/>
        <v>4.6169312454027991E-3</v>
      </c>
      <c r="U3313" t="str">
        <f t="shared" si="667"/>
        <v>2023-04</v>
      </c>
      <c r="W3313">
        <v>27891.43</v>
      </c>
      <c r="X3313">
        <f t="shared" si="674"/>
        <v>6.8794787906523002E-3</v>
      </c>
      <c r="Y3313">
        <f t="shared" si="675"/>
        <v>6.9031967627682664E-3</v>
      </c>
      <c r="Z3313" t="str">
        <f t="shared" si="668"/>
        <v>2023-04</v>
      </c>
    </row>
    <row r="3314" spans="1:26" x14ac:dyDescent="0.35">
      <c r="A3314" s="1">
        <v>45035</v>
      </c>
      <c r="C3314">
        <v>4393.57</v>
      </c>
      <c r="D3314">
        <f t="shared" si="669"/>
        <v>-8.6486289701097311E-5</v>
      </c>
      <c r="E3314" t="str">
        <f t="shared" si="663"/>
        <v>2023-04</v>
      </c>
      <c r="G3314">
        <v>7549.44</v>
      </c>
      <c r="H3314">
        <f t="shared" si="670"/>
        <v>2.0963909588989807E-3</v>
      </c>
      <c r="I3314" t="str">
        <f t="shared" si="664"/>
        <v>2023-04</v>
      </c>
      <c r="K3314">
        <v>15895.2</v>
      </c>
      <c r="L3314">
        <f t="shared" si="671"/>
        <v>7.8859915087807584E-4</v>
      </c>
      <c r="M3314" t="str">
        <f t="shared" si="665"/>
        <v>2023-04</v>
      </c>
      <c r="O3314">
        <v>8969.1304099999998</v>
      </c>
      <c r="P3314">
        <f t="shared" si="672"/>
        <v>8.6356681611232634E-4</v>
      </c>
      <c r="Q3314" t="str">
        <f t="shared" si="666"/>
        <v>2023-04</v>
      </c>
      <c r="S3314">
        <v>9494.7999999999993</v>
      </c>
      <c r="T3314">
        <f t="shared" si="673"/>
        <v>7.7075135609980562E-3</v>
      </c>
      <c r="U3314" t="str">
        <f t="shared" si="667"/>
        <v>2023-04</v>
      </c>
      <c r="W3314">
        <v>27933.61</v>
      </c>
      <c r="X3314">
        <f t="shared" si="674"/>
        <v>1.5111501228397123E-3</v>
      </c>
      <c r="Y3314">
        <f t="shared" si="675"/>
        <v>1.5122924855412681E-3</v>
      </c>
      <c r="Z3314" t="str">
        <f t="shared" si="668"/>
        <v>2023-04</v>
      </c>
    </row>
    <row r="3315" spans="1:26" x14ac:dyDescent="0.35">
      <c r="A3315" s="1">
        <v>45036</v>
      </c>
      <c r="C3315">
        <v>4384.8599999999997</v>
      </c>
      <c r="D3315">
        <f t="shared" si="669"/>
        <v>-1.984410164060587E-3</v>
      </c>
      <c r="E3315" t="str">
        <f t="shared" si="663"/>
        <v>2023-04</v>
      </c>
      <c r="G3315">
        <v>7538.71</v>
      </c>
      <c r="H3315">
        <f t="shared" si="670"/>
        <v>-1.4223084750435851E-3</v>
      </c>
      <c r="I3315" t="str">
        <f t="shared" si="664"/>
        <v>2023-04</v>
      </c>
      <c r="K3315">
        <v>15795.97</v>
      </c>
      <c r="L3315">
        <f t="shared" si="671"/>
        <v>-6.2623326491340467E-3</v>
      </c>
      <c r="M3315" t="str">
        <f t="shared" si="665"/>
        <v>2023-04</v>
      </c>
      <c r="O3315">
        <v>8970.5108</v>
      </c>
      <c r="P3315">
        <f t="shared" si="672"/>
        <v>1.5389271017923764E-4</v>
      </c>
      <c r="Q3315" t="str">
        <f t="shared" si="666"/>
        <v>2023-04</v>
      </c>
      <c r="S3315">
        <v>9450.9</v>
      </c>
      <c r="T3315">
        <f t="shared" si="673"/>
        <v>-4.6343052586298034E-3</v>
      </c>
      <c r="U3315" t="str">
        <f t="shared" si="667"/>
        <v>2023-04</v>
      </c>
      <c r="W3315">
        <v>27627.119999999999</v>
      </c>
      <c r="X3315">
        <f t="shared" si="674"/>
        <v>-1.103272433064242E-2</v>
      </c>
      <c r="Y3315">
        <f t="shared" si="675"/>
        <v>-1.0972087030641639E-2</v>
      </c>
      <c r="Z3315" t="str">
        <f t="shared" si="668"/>
        <v>2023-04</v>
      </c>
    </row>
    <row r="3316" spans="1:26" x14ac:dyDescent="0.35">
      <c r="A3316" s="1">
        <v>45037</v>
      </c>
      <c r="C3316">
        <v>4408.59</v>
      </c>
      <c r="D3316">
        <f t="shared" si="669"/>
        <v>5.3972121532157458E-3</v>
      </c>
      <c r="E3316" t="str">
        <f t="shared" si="663"/>
        <v>2023-04</v>
      </c>
      <c r="G3316">
        <v>7577</v>
      </c>
      <c r="H3316">
        <f t="shared" si="670"/>
        <v>5.0662630996696351E-3</v>
      </c>
      <c r="I3316" t="str">
        <f t="shared" si="664"/>
        <v>2023-04</v>
      </c>
      <c r="K3316">
        <v>15881.66</v>
      </c>
      <c r="L3316">
        <f t="shared" si="671"/>
        <v>5.4101401531207235E-3</v>
      </c>
      <c r="M3316" t="str">
        <f t="shared" si="665"/>
        <v>2023-04</v>
      </c>
      <c r="O3316">
        <v>8960.0724900000005</v>
      </c>
      <c r="P3316">
        <f t="shared" si="672"/>
        <v>-1.1643024669478537E-3</v>
      </c>
      <c r="Q3316" t="str">
        <f t="shared" si="666"/>
        <v>2023-04</v>
      </c>
      <c r="S3316">
        <v>9415.6</v>
      </c>
      <c r="T3316">
        <f t="shared" si="673"/>
        <v>-3.7420868939950064E-3</v>
      </c>
      <c r="U3316" t="str">
        <f t="shared" si="667"/>
        <v>2023-04</v>
      </c>
      <c r="W3316">
        <v>27745.81</v>
      </c>
      <c r="X3316">
        <f t="shared" si="674"/>
        <v>4.2869388263233601E-3</v>
      </c>
      <c r="Y3316">
        <f t="shared" si="675"/>
        <v>4.2961408934410221E-3</v>
      </c>
      <c r="Z3316" t="str">
        <f t="shared" si="668"/>
        <v>2023-04</v>
      </c>
    </row>
    <row r="3317" spans="1:26" x14ac:dyDescent="0.35">
      <c r="A3317" s="1">
        <v>45040</v>
      </c>
      <c r="C3317">
        <v>4401.8</v>
      </c>
      <c r="D3317">
        <f t="shared" si="669"/>
        <v>-1.5413622653038593E-3</v>
      </c>
      <c r="E3317" t="str">
        <f t="shared" si="663"/>
        <v>2023-04</v>
      </c>
      <c r="G3317">
        <v>7573.86</v>
      </c>
      <c r="H3317">
        <f t="shared" si="670"/>
        <v>-4.14497928824798E-4</v>
      </c>
      <c r="I3317" t="str">
        <f t="shared" si="664"/>
        <v>2023-04</v>
      </c>
      <c r="K3317">
        <v>15863.95</v>
      </c>
      <c r="L3317">
        <f t="shared" si="671"/>
        <v>-1.1157449384178652E-3</v>
      </c>
      <c r="M3317" t="str">
        <f t="shared" si="665"/>
        <v>2023-04</v>
      </c>
      <c r="O3317">
        <v>8940.4848299999994</v>
      </c>
      <c r="P3317">
        <f t="shared" si="672"/>
        <v>-2.1884980973279019E-3</v>
      </c>
      <c r="Q3317" t="str">
        <f t="shared" si="666"/>
        <v>2023-04</v>
      </c>
      <c r="S3317">
        <v>9406.4</v>
      </c>
      <c r="T3317">
        <f t="shared" si="673"/>
        <v>-9.7757950618158678E-4</v>
      </c>
      <c r="U3317" t="str">
        <f t="shared" si="667"/>
        <v>2023-04</v>
      </c>
      <c r="W3317">
        <v>27537.07</v>
      </c>
      <c r="X3317">
        <f t="shared" si="674"/>
        <v>-7.5517408649788806E-3</v>
      </c>
      <c r="Y3317">
        <f t="shared" si="675"/>
        <v>-7.5232981123997313E-3</v>
      </c>
      <c r="Z3317" t="str">
        <f t="shared" si="668"/>
        <v>2023-04</v>
      </c>
    </row>
    <row r="3318" spans="1:26" x14ac:dyDescent="0.35">
      <c r="A3318" s="1">
        <v>45041</v>
      </c>
      <c r="C3318">
        <v>4377.8500000000004</v>
      </c>
      <c r="D3318">
        <f t="shared" si="669"/>
        <v>-5.45581188491856E-3</v>
      </c>
      <c r="E3318" t="str">
        <f t="shared" si="663"/>
        <v>2023-04</v>
      </c>
      <c r="G3318">
        <v>7531.61</v>
      </c>
      <c r="H3318">
        <f t="shared" si="670"/>
        <v>-5.5940146420309636E-3</v>
      </c>
      <c r="I3318" t="str">
        <f t="shared" si="664"/>
        <v>2023-04</v>
      </c>
      <c r="K3318">
        <v>15872.13</v>
      </c>
      <c r="L3318">
        <f t="shared" si="671"/>
        <v>5.1550161085723949E-4</v>
      </c>
      <c r="M3318" t="str">
        <f t="shared" si="665"/>
        <v>2023-04</v>
      </c>
      <c r="O3318">
        <v>8921.4088300000003</v>
      </c>
      <c r="P3318">
        <f t="shared" si="672"/>
        <v>-2.1359445549929751E-3</v>
      </c>
      <c r="Q3318" t="str">
        <f t="shared" si="666"/>
        <v>2023-04</v>
      </c>
      <c r="S3318">
        <v>9290.2999999999993</v>
      </c>
      <c r="T3318">
        <f t="shared" si="673"/>
        <v>-1.2419463573563208E-2</v>
      </c>
      <c r="U3318" t="str">
        <f t="shared" si="667"/>
        <v>2023-04</v>
      </c>
      <c r="W3318">
        <v>27253.48</v>
      </c>
      <c r="X3318">
        <f t="shared" si="674"/>
        <v>-1.0351877558685914E-2</v>
      </c>
      <c r="Y3318">
        <f t="shared" si="675"/>
        <v>-1.0298481283593357E-2</v>
      </c>
      <c r="Z3318" t="str">
        <f t="shared" si="668"/>
        <v>2023-04</v>
      </c>
    </row>
    <row r="3319" spans="1:26" x14ac:dyDescent="0.35">
      <c r="A3319" s="1">
        <v>45042</v>
      </c>
      <c r="C3319">
        <v>4347.71</v>
      </c>
      <c r="D3319">
        <f t="shared" si="669"/>
        <v>-6.9084665910258154E-3</v>
      </c>
      <c r="E3319" t="str">
        <f t="shared" si="663"/>
        <v>2023-04</v>
      </c>
      <c r="G3319">
        <v>7466.66</v>
      </c>
      <c r="H3319">
        <f t="shared" si="670"/>
        <v>-8.661053043037624E-3</v>
      </c>
      <c r="I3319" t="str">
        <f t="shared" si="664"/>
        <v>2023-04</v>
      </c>
      <c r="K3319">
        <v>15795.73</v>
      </c>
      <c r="L3319">
        <f t="shared" si="671"/>
        <v>-4.8250906897715044E-3</v>
      </c>
      <c r="M3319" t="str">
        <f t="shared" si="665"/>
        <v>2023-04</v>
      </c>
      <c r="O3319">
        <v>8867.5586899999998</v>
      </c>
      <c r="P3319">
        <f t="shared" si="672"/>
        <v>-6.05434850895154E-3</v>
      </c>
      <c r="Q3319" t="str">
        <f t="shared" si="666"/>
        <v>2023-04</v>
      </c>
      <c r="S3319">
        <v>9293.7000000000007</v>
      </c>
      <c r="T3319">
        <f t="shared" si="673"/>
        <v>3.6590615991575814E-4</v>
      </c>
      <c r="U3319" t="str">
        <f t="shared" si="667"/>
        <v>2023-04</v>
      </c>
      <c r="W3319">
        <v>27107.51</v>
      </c>
      <c r="X3319">
        <f t="shared" si="674"/>
        <v>-5.3704081117731828E-3</v>
      </c>
      <c r="Y3319">
        <f t="shared" si="675"/>
        <v>-5.3560132504179708E-3</v>
      </c>
      <c r="Z3319" t="str">
        <f t="shared" si="668"/>
        <v>2023-04</v>
      </c>
    </row>
    <row r="3320" spans="1:26" x14ac:dyDescent="0.35">
      <c r="A3320" s="1">
        <v>45043</v>
      </c>
      <c r="C3320">
        <v>4358.05</v>
      </c>
      <c r="D3320">
        <f t="shared" si="669"/>
        <v>2.3754399069440772E-3</v>
      </c>
      <c r="E3320" t="str">
        <f t="shared" si="663"/>
        <v>2023-04</v>
      </c>
      <c r="G3320">
        <v>7483.84</v>
      </c>
      <c r="H3320">
        <f t="shared" si="670"/>
        <v>2.2982519062249374E-3</v>
      </c>
      <c r="I3320" t="str">
        <f t="shared" si="664"/>
        <v>2023-04</v>
      </c>
      <c r="K3320">
        <v>15800.45</v>
      </c>
      <c r="L3320">
        <f t="shared" si="671"/>
        <v>2.9877029660611842E-4</v>
      </c>
      <c r="M3320" t="str">
        <f t="shared" si="665"/>
        <v>2023-04</v>
      </c>
      <c r="O3320">
        <v>8868.06034</v>
      </c>
      <c r="P3320">
        <f t="shared" si="672"/>
        <v>5.6569776254765368E-5</v>
      </c>
      <c r="Q3320" t="str">
        <f t="shared" si="666"/>
        <v>2023-04</v>
      </c>
      <c r="S3320">
        <v>9314.6</v>
      </c>
      <c r="T3320">
        <f t="shared" si="673"/>
        <v>2.2463103871167463E-3</v>
      </c>
      <c r="U3320" t="str">
        <f t="shared" si="667"/>
        <v>2023-04</v>
      </c>
      <c r="W3320">
        <v>27158</v>
      </c>
      <c r="X3320">
        <f t="shared" si="674"/>
        <v>1.8608510108757117E-3</v>
      </c>
      <c r="Y3320">
        <f t="shared" si="675"/>
        <v>1.8625834685665193E-3</v>
      </c>
      <c r="Z3320" t="str">
        <f t="shared" si="668"/>
        <v>2023-04</v>
      </c>
    </row>
    <row r="3321" spans="1:26" x14ac:dyDescent="0.35">
      <c r="A3321" s="1">
        <v>45044</v>
      </c>
      <c r="C3321">
        <v>4359.3100000000004</v>
      </c>
      <c r="D3321">
        <f t="shared" si="669"/>
        <v>2.8907834683315412E-4</v>
      </c>
      <c r="E3321" t="str">
        <f t="shared" si="663"/>
        <v>2023-04</v>
      </c>
      <c r="G3321">
        <v>7491.5</v>
      </c>
      <c r="H3321">
        <f t="shared" si="670"/>
        <v>1.0230152594938393E-3</v>
      </c>
      <c r="I3321" t="str">
        <f t="shared" si="664"/>
        <v>2023-04</v>
      </c>
      <c r="K3321">
        <v>15922.38</v>
      </c>
      <c r="L3321">
        <f t="shared" si="671"/>
        <v>7.6872460900352744E-3</v>
      </c>
      <c r="M3321" t="str">
        <f t="shared" si="665"/>
        <v>2023-04</v>
      </c>
      <c r="O3321">
        <v>8972.2072100000005</v>
      </c>
      <c r="P3321">
        <f t="shared" si="672"/>
        <v>1.167561560541212E-2</v>
      </c>
      <c r="Q3321" t="str">
        <f t="shared" si="666"/>
        <v>2023-04</v>
      </c>
      <c r="S3321">
        <v>9241</v>
      </c>
      <c r="T3321">
        <f t="shared" si="673"/>
        <v>-7.932956733419344E-3</v>
      </c>
      <c r="U3321" t="str">
        <f t="shared" si="667"/>
        <v>2023-04</v>
      </c>
      <c r="W3321">
        <v>27077.439999999999</v>
      </c>
      <c r="X3321">
        <f t="shared" si="674"/>
        <v>-2.9707534131807995E-3</v>
      </c>
      <c r="Y3321">
        <f t="shared" si="675"/>
        <v>-2.9663450916857393E-3</v>
      </c>
      <c r="Z3321" t="str">
        <f t="shared" si="668"/>
        <v>2023-04</v>
      </c>
    </row>
    <row r="3322" spans="1:26" x14ac:dyDescent="0.35">
      <c r="A3322" s="1">
        <v>45048</v>
      </c>
      <c r="C3322">
        <v>4294.8500000000004</v>
      </c>
      <c r="D3322">
        <f t="shared" si="669"/>
        <v>-1.4897157460534457E-2</v>
      </c>
      <c r="E3322" t="str">
        <f t="shared" si="663"/>
        <v>2023-05</v>
      </c>
      <c r="G3322">
        <v>7383.2</v>
      </c>
      <c r="H3322">
        <f t="shared" si="670"/>
        <v>-1.4561895531831872E-2</v>
      </c>
      <c r="I3322" t="str">
        <f t="shared" si="664"/>
        <v>2023-05</v>
      </c>
      <c r="K3322">
        <v>15726.94</v>
      </c>
      <c r="L3322">
        <f t="shared" si="671"/>
        <v>-1.2350501323786858E-2</v>
      </c>
      <c r="M3322" t="str">
        <f t="shared" si="665"/>
        <v>2023-05</v>
      </c>
      <c r="O3322">
        <v>8818.1492199999993</v>
      </c>
      <c r="P3322">
        <f t="shared" si="672"/>
        <v>-1.7319702579143816E-2</v>
      </c>
      <c r="Q3322" t="str">
        <f t="shared" si="666"/>
        <v>2023-05</v>
      </c>
      <c r="S3322">
        <v>9082</v>
      </c>
      <c r="T3322">
        <f t="shared" si="673"/>
        <v>-1.7355672230143952E-2</v>
      </c>
      <c r="U3322" t="str">
        <f t="shared" si="667"/>
        <v>2023-05</v>
      </c>
      <c r="W3322">
        <v>26630.09</v>
      </c>
      <c r="X3322">
        <f t="shared" si="674"/>
        <v>-1.6659129396277627E-2</v>
      </c>
      <c r="Y3322">
        <f t="shared" si="675"/>
        <v>-1.6521133460179343E-2</v>
      </c>
      <c r="Z3322" t="str">
        <f t="shared" si="668"/>
        <v>2023-05</v>
      </c>
    </row>
    <row r="3323" spans="1:26" x14ac:dyDescent="0.35">
      <c r="A3323" s="1">
        <v>45049</v>
      </c>
      <c r="C3323">
        <v>4310.18</v>
      </c>
      <c r="D3323">
        <f t="shared" si="669"/>
        <v>3.5630360889266099E-3</v>
      </c>
      <c r="E3323" t="str">
        <f t="shared" si="663"/>
        <v>2023-05</v>
      </c>
      <c r="G3323">
        <v>7403.83</v>
      </c>
      <c r="H3323">
        <f t="shared" si="670"/>
        <v>2.7902849165649482E-3</v>
      </c>
      <c r="I3323" t="str">
        <f t="shared" si="664"/>
        <v>2023-05</v>
      </c>
      <c r="K3323">
        <v>15815.06</v>
      </c>
      <c r="L3323">
        <f t="shared" si="671"/>
        <v>5.5874852107463072E-3</v>
      </c>
      <c r="M3323" t="str">
        <f t="shared" si="665"/>
        <v>2023-05</v>
      </c>
      <c r="O3323">
        <v>8848.72199</v>
      </c>
      <c r="P3323">
        <f t="shared" si="672"/>
        <v>3.4610316852589636E-3</v>
      </c>
      <c r="Q3323" t="str">
        <f t="shared" si="666"/>
        <v>2023-05</v>
      </c>
      <c r="S3323">
        <v>9076.7000000000007</v>
      </c>
      <c r="T3323">
        <f t="shared" si="673"/>
        <v>-5.8374224481916933E-4</v>
      </c>
      <c r="U3323" t="str">
        <f t="shared" si="667"/>
        <v>2023-05</v>
      </c>
      <c r="W3323">
        <v>26835.31</v>
      </c>
      <c r="X3323">
        <f t="shared" si="674"/>
        <v>7.6767781724337248E-3</v>
      </c>
      <c r="Y3323">
        <f t="shared" si="675"/>
        <v>7.7063201814188825E-3</v>
      </c>
      <c r="Z3323" t="str">
        <f t="shared" si="668"/>
        <v>2023-05</v>
      </c>
    </row>
    <row r="3324" spans="1:26" x14ac:dyDescent="0.35">
      <c r="A3324" s="1">
        <v>45050</v>
      </c>
      <c r="C3324">
        <v>4287.03</v>
      </c>
      <c r="D3324">
        <f t="shared" si="669"/>
        <v>-5.3854810926750925E-3</v>
      </c>
      <c r="E3324" t="str">
        <f t="shared" si="663"/>
        <v>2023-05</v>
      </c>
      <c r="G3324">
        <v>7340.77</v>
      </c>
      <c r="H3324">
        <f t="shared" si="670"/>
        <v>-8.5536921293241433E-3</v>
      </c>
      <c r="I3324" t="str">
        <f t="shared" si="664"/>
        <v>2023-05</v>
      </c>
      <c r="K3324">
        <v>15734.24</v>
      </c>
      <c r="L3324">
        <f t="shared" si="671"/>
        <v>-5.1234212353323703E-3</v>
      </c>
      <c r="M3324" t="str">
        <f t="shared" si="665"/>
        <v>2023-05</v>
      </c>
      <c r="O3324">
        <v>8800.2225299999991</v>
      </c>
      <c r="P3324">
        <f t="shared" si="672"/>
        <v>-5.4960320179702846E-3</v>
      </c>
      <c r="Q3324" t="str">
        <f t="shared" si="666"/>
        <v>2023-05</v>
      </c>
      <c r="S3324">
        <v>9043.6</v>
      </c>
      <c r="T3324">
        <f t="shared" si="673"/>
        <v>-3.6533652109159791E-3</v>
      </c>
      <c r="U3324" t="str">
        <f t="shared" si="667"/>
        <v>2023-05</v>
      </c>
      <c r="W3324">
        <v>26670.29</v>
      </c>
      <c r="X3324">
        <f t="shared" si="674"/>
        <v>-6.1683458639779443E-3</v>
      </c>
      <c r="Y3324">
        <f t="shared" si="675"/>
        <v>-6.1493606744248688E-3</v>
      </c>
      <c r="Z3324" t="str">
        <f t="shared" si="668"/>
        <v>2023-05</v>
      </c>
    </row>
    <row r="3325" spans="1:26" x14ac:dyDescent="0.35">
      <c r="A3325" s="1">
        <v>45051</v>
      </c>
      <c r="C3325">
        <v>4340.43</v>
      </c>
      <c r="D3325">
        <f t="shared" si="669"/>
        <v>1.2379236053408167E-2</v>
      </c>
      <c r="E3325" t="str">
        <f t="shared" si="663"/>
        <v>2023-05</v>
      </c>
      <c r="G3325">
        <v>7432.93</v>
      </c>
      <c r="H3325">
        <f t="shared" si="670"/>
        <v>1.247638647967461E-2</v>
      </c>
      <c r="I3325" t="str">
        <f t="shared" si="664"/>
        <v>2023-05</v>
      </c>
      <c r="K3325">
        <v>15961.02</v>
      </c>
      <c r="L3325">
        <f t="shared" si="671"/>
        <v>1.4310270372290733E-2</v>
      </c>
      <c r="M3325" t="str">
        <f t="shared" si="665"/>
        <v>2023-05</v>
      </c>
      <c r="O3325">
        <v>8917.0750399999997</v>
      </c>
      <c r="P3325">
        <f t="shared" si="672"/>
        <v>1.3190973839236612E-2</v>
      </c>
      <c r="Q3325" t="str">
        <f t="shared" si="666"/>
        <v>2023-05</v>
      </c>
      <c r="S3325">
        <v>9147.2999999999993</v>
      </c>
      <c r="T3325">
        <f t="shared" si="673"/>
        <v>1.140142855494247E-2</v>
      </c>
      <c r="U3325" t="str">
        <f t="shared" si="667"/>
        <v>2023-05</v>
      </c>
      <c r="W3325">
        <v>27348.57</v>
      </c>
      <c r="X3325">
        <f t="shared" si="674"/>
        <v>2.5114030533515651E-2</v>
      </c>
      <c r="Y3325">
        <f t="shared" si="675"/>
        <v>2.5432044420964257E-2</v>
      </c>
      <c r="Z3325" t="str">
        <f t="shared" si="668"/>
        <v>2023-05</v>
      </c>
    </row>
    <row r="3326" spans="1:26" x14ac:dyDescent="0.35">
      <c r="A3326" s="1">
        <v>45055</v>
      </c>
      <c r="C3326">
        <v>4323.09</v>
      </c>
      <c r="D3326">
        <f t="shared" si="669"/>
        <v>-4.0029972008270775E-3</v>
      </c>
      <c r="E3326" t="str">
        <f t="shared" si="663"/>
        <v>2023-05</v>
      </c>
      <c r="G3326">
        <v>7397.17</v>
      </c>
      <c r="H3326">
        <f t="shared" si="670"/>
        <v>-4.82263360438593E-3</v>
      </c>
      <c r="I3326" t="str">
        <f t="shared" si="664"/>
        <v>2023-05</v>
      </c>
      <c r="K3326">
        <v>15955.48</v>
      </c>
      <c r="L3326">
        <f t="shared" si="671"/>
        <v>-3.4715586330827879E-4</v>
      </c>
      <c r="M3326" t="str">
        <f t="shared" si="665"/>
        <v>2023-05</v>
      </c>
      <c r="O3326">
        <v>8938.4484799999991</v>
      </c>
      <c r="P3326">
        <f t="shared" si="672"/>
        <v>2.3940435221009369E-3</v>
      </c>
      <c r="Q3326" t="str">
        <f t="shared" si="666"/>
        <v>2023-05</v>
      </c>
      <c r="S3326">
        <v>9183.2000000000007</v>
      </c>
      <c r="T3326">
        <f t="shared" si="673"/>
        <v>3.9169739941833847E-3</v>
      </c>
      <c r="U3326" t="str">
        <f t="shared" si="667"/>
        <v>2023-05</v>
      </c>
      <c r="W3326">
        <v>27383.53</v>
      </c>
      <c r="X3326">
        <f t="shared" si="674"/>
        <v>1.2774954644365418E-3</v>
      </c>
      <c r="Y3326">
        <f t="shared" si="675"/>
        <v>1.2783118093559966E-3</v>
      </c>
      <c r="Z3326" t="str">
        <f t="shared" si="668"/>
        <v>2023-05</v>
      </c>
    </row>
    <row r="3327" spans="1:26" x14ac:dyDescent="0.35">
      <c r="A3327" s="1">
        <v>45056</v>
      </c>
      <c r="C3327">
        <v>4306.76</v>
      </c>
      <c r="D3327">
        <f t="shared" si="669"/>
        <v>-3.7845430664247524E-3</v>
      </c>
      <c r="E3327" t="str">
        <f t="shared" si="663"/>
        <v>2023-05</v>
      </c>
      <c r="G3327">
        <v>7361.2</v>
      </c>
      <c r="H3327">
        <f t="shared" si="670"/>
        <v>-4.8745317028570916E-3</v>
      </c>
      <c r="I3327" t="str">
        <f t="shared" si="664"/>
        <v>2023-05</v>
      </c>
      <c r="K3327">
        <v>15896.23</v>
      </c>
      <c r="L3327">
        <f t="shared" si="671"/>
        <v>-3.7203696969905966E-3</v>
      </c>
      <c r="M3327" t="str">
        <f t="shared" si="665"/>
        <v>2023-05</v>
      </c>
      <c r="O3327">
        <v>8905.70507</v>
      </c>
      <c r="P3327">
        <f t="shared" si="672"/>
        <v>-3.6699355515438553E-3</v>
      </c>
      <c r="Q3327" t="str">
        <f t="shared" si="666"/>
        <v>2023-05</v>
      </c>
      <c r="S3327">
        <v>9167.7000000000007</v>
      </c>
      <c r="T3327">
        <f t="shared" si="673"/>
        <v>-1.6892908452483544E-3</v>
      </c>
      <c r="U3327" t="str">
        <f t="shared" si="667"/>
        <v>2023-05</v>
      </c>
      <c r="W3327">
        <v>27264.77</v>
      </c>
      <c r="X3327">
        <f t="shared" si="674"/>
        <v>-4.346345154563328E-3</v>
      </c>
      <c r="Y3327">
        <f t="shared" si="675"/>
        <v>-4.3369134658679288E-3</v>
      </c>
      <c r="Z3327" t="str">
        <f t="shared" si="668"/>
        <v>2023-05</v>
      </c>
    </row>
    <row r="3328" spans="1:26" x14ac:dyDescent="0.35">
      <c r="A3328" s="1">
        <v>45057</v>
      </c>
      <c r="C3328">
        <v>4309.75</v>
      </c>
      <c r="D3328">
        <f t="shared" si="669"/>
        <v>6.9401651481011217E-4</v>
      </c>
      <c r="E3328" t="str">
        <f t="shared" si="663"/>
        <v>2023-05</v>
      </c>
      <c r="G3328">
        <v>7381.78</v>
      </c>
      <c r="H3328">
        <f t="shared" si="670"/>
        <v>2.7918390131891685E-3</v>
      </c>
      <c r="I3328" t="str">
        <f t="shared" si="664"/>
        <v>2023-05</v>
      </c>
      <c r="K3328">
        <v>15834.91</v>
      </c>
      <c r="L3328">
        <f t="shared" si="671"/>
        <v>-3.8649778314572966E-3</v>
      </c>
      <c r="M3328" t="str">
        <f t="shared" si="665"/>
        <v>2023-05</v>
      </c>
      <c r="O3328">
        <v>8854.2560699999995</v>
      </c>
      <c r="P3328">
        <f t="shared" si="672"/>
        <v>-5.7938351910356203E-3</v>
      </c>
      <c r="Q3328" t="str">
        <f t="shared" si="666"/>
        <v>2023-05</v>
      </c>
      <c r="S3328">
        <v>9182.7999999999993</v>
      </c>
      <c r="T3328">
        <f t="shared" si="673"/>
        <v>1.6457320953774141E-3</v>
      </c>
      <c r="U3328" t="str">
        <f t="shared" si="667"/>
        <v>2023-05</v>
      </c>
      <c r="W3328">
        <v>27098.89</v>
      </c>
      <c r="X3328">
        <f t="shared" si="674"/>
        <v>-6.1026249817874587E-3</v>
      </c>
      <c r="Y3328">
        <f t="shared" si="675"/>
        <v>-6.0840417872588329E-3</v>
      </c>
      <c r="Z3328" t="str">
        <f t="shared" si="668"/>
        <v>2023-05</v>
      </c>
    </row>
    <row r="3329" spans="1:26" x14ac:dyDescent="0.35">
      <c r="A3329" s="1">
        <v>45058</v>
      </c>
      <c r="C3329">
        <v>4317.88</v>
      </c>
      <c r="D3329">
        <f t="shared" si="669"/>
        <v>1.884643269680907E-3</v>
      </c>
      <c r="E3329" t="str">
        <f t="shared" si="663"/>
        <v>2023-05</v>
      </c>
      <c r="G3329">
        <v>7414.85</v>
      </c>
      <c r="H3329">
        <f t="shared" si="670"/>
        <v>4.4699441781860926E-3</v>
      </c>
      <c r="I3329" t="str">
        <f t="shared" si="664"/>
        <v>2023-05</v>
      </c>
      <c r="K3329">
        <v>15913.82</v>
      </c>
      <c r="L3329">
        <f t="shared" si="671"/>
        <v>4.9709177336495439E-3</v>
      </c>
      <c r="M3329" t="str">
        <f t="shared" si="665"/>
        <v>2023-05</v>
      </c>
      <c r="O3329">
        <v>8897.9476799999993</v>
      </c>
      <c r="P3329">
        <f t="shared" si="672"/>
        <v>4.9223971103398313E-3</v>
      </c>
      <c r="Q3329" t="str">
        <f t="shared" si="666"/>
        <v>2023-05</v>
      </c>
      <c r="S3329">
        <v>9234.1</v>
      </c>
      <c r="T3329">
        <f t="shared" si="673"/>
        <v>5.570984549872436E-3</v>
      </c>
      <c r="U3329" t="str">
        <f t="shared" si="667"/>
        <v>2023-05</v>
      </c>
      <c r="W3329">
        <v>27347.32</v>
      </c>
      <c r="X3329">
        <f t="shared" si="674"/>
        <v>9.1257673984712455E-3</v>
      </c>
      <c r="Y3329">
        <f t="shared" si="675"/>
        <v>9.1675341683736967E-3</v>
      </c>
      <c r="Z3329" t="str">
        <f t="shared" si="668"/>
        <v>2023-05</v>
      </c>
    </row>
    <row r="3330" spans="1:26" x14ac:dyDescent="0.35">
      <c r="A3330" s="1">
        <v>45061</v>
      </c>
      <c r="C3330">
        <v>4316.41</v>
      </c>
      <c r="D3330">
        <f t="shared" si="669"/>
        <v>-3.4050281243814471E-4</v>
      </c>
      <c r="E3330" t="str">
        <f t="shared" si="663"/>
        <v>2023-05</v>
      </c>
      <c r="G3330">
        <v>7418.21</v>
      </c>
      <c r="H3330">
        <f t="shared" si="670"/>
        <v>4.5304206380459189E-4</v>
      </c>
      <c r="I3330" t="str">
        <f t="shared" si="664"/>
        <v>2023-05</v>
      </c>
      <c r="K3330">
        <v>15917.24</v>
      </c>
      <c r="L3330">
        <f t="shared" si="671"/>
        <v>2.1488445644984489E-4</v>
      </c>
      <c r="M3330" t="str">
        <f t="shared" si="665"/>
        <v>2023-05</v>
      </c>
      <c r="O3330">
        <v>8960.1906500000005</v>
      </c>
      <c r="P3330">
        <f t="shared" si="672"/>
        <v>6.9708522687184004E-3</v>
      </c>
      <c r="Q3330" t="str">
        <f t="shared" si="666"/>
        <v>2023-05</v>
      </c>
      <c r="S3330">
        <v>9201.5</v>
      </c>
      <c r="T3330">
        <f t="shared" si="673"/>
        <v>-3.5366393260392445E-3</v>
      </c>
      <c r="U3330" t="str">
        <f t="shared" si="667"/>
        <v>2023-05</v>
      </c>
      <c r="W3330">
        <v>27245.46</v>
      </c>
      <c r="X3330">
        <f t="shared" si="674"/>
        <v>-3.7316333112457378E-3</v>
      </c>
      <c r="Y3330">
        <f t="shared" si="675"/>
        <v>-3.7246794201406422E-3</v>
      </c>
      <c r="Z3330" t="str">
        <f t="shared" si="668"/>
        <v>2023-05</v>
      </c>
    </row>
    <row r="3331" spans="1:26" x14ac:dyDescent="0.35">
      <c r="A3331" s="1">
        <v>45062</v>
      </c>
      <c r="C3331">
        <v>4315.51</v>
      </c>
      <c r="D3331">
        <f t="shared" si="669"/>
        <v>-2.0852834670870353E-4</v>
      </c>
      <c r="E3331" t="str">
        <f t="shared" si="663"/>
        <v>2023-05</v>
      </c>
      <c r="G3331">
        <v>7406.01</v>
      </c>
      <c r="H3331">
        <f t="shared" si="670"/>
        <v>-1.6459554370242002E-3</v>
      </c>
      <c r="I3331" t="str">
        <f t="shared" si="664"/>
        <v>2023-05</v>
      </c>
      <c r="K3331">
        <v>15897.93</v>
      </c>
      <c r="L3331">
        <f t="shared" si="671"/>
        <v>-1.2138864806405299E-3</v>
      </c>
      <c r="M3331" t="str">
        <f t="shared" si="665"/>
        <v>2023-05</v>
      </c>
      <c r="O3331">
        <v>8905.1471199999996</v>
      </c>
      <c r="P3331">
        <f t="shared" si="672"/>
        <v>-6.1620670015130209E-3</v>
      </c>
      <c r="Q3331" t="str">
        <f t="shared" si="666"/>
        <v>2023-05</v>
      </c>
      <c r="S3331">
        <v>9191.4</v>
      </c>
      <c r="T3331">
        <f t="shared" si="673"/>
        <v>-1.0982499785437681E-3</v>
      </c>
      <c r="U3331" t="str">
        <f t="shared" si="667"/>
        <v>2023-05</v>
      </c>
      <c r="W3331">
        <v>27198.87</v>
      </c>
      <c r="X3331">
        <f t="shared" si="674"/>
        <v>-1.71147340310336E-3</v>
      </c>
      <c r="Y3331">
        <f t="shared" si="675"/>
        <v>-1.7100096676657375E-3</v>
      </c>
      <c r="Z3331" t="str">
        <f t="shared" si="668"/>
        <v>2023-05</v>
      </c>
    </row>
    <row r="3332" spans="1:26" x14ac:dyDescent="0.35">
      <c r="A3332" s="1">
        <v>45063</v>
      </c>
      <c r="C3332">
        <v>4323.2299999999996</v>
      </c>
      <c r="D3332">
        <f t="shared" si="669"/>
        <v>1.7872981603995772E-3</v>
      </c>
      <c r="E3332" t="str">
        <f t="shared" ref="E3332:E3395" si="676">_xlfn.CONCAT(YEAR(A3332),"-",TEXT(MONTH(A3332),"00"))</f>
        <v>2023-05</v>
      </c>
      <c r="G3332">
        <v>7399.44</v>
      </c>
      <c r="H3332">
        <f t="shared" si="670"/>
        <v>-8.8751107615819814E-4</v>
      </c>
      <c r="I3332" t="str">
        <f t="shared" ref="I3332:I3395" si="677">_xlfn.CONCAT(YEAR(A3332),"-",TEXT(MONTH(A3332),"00"))</f>
        <v>2023-05</v>
      </c>
      <c r="K3332">
        <v>15951.3</v>
      </c>
      <c r="L3332">
        <f t="shared" si="671"/>
        <v>3.3514185400611708E-3</v>
      </c>
      <c r="M3332" t="str">
        <f t="shared" ref="M3332:M3395" si="678">_xlfn.CONCAT(YEAR(A3332),"-",TEXT(MONTH(A3332),"00"))</f>
        <v>2023-05</v>
      </c>
      <c r="O3332">
        <v>8907.1451699999998</v>
      </c>
      <c r="P3332">
        <f t="shared" si="672"/>
        <v>2.243450731495248E-4</v>
      </c>
      <c r="Q3332" t="str">
        <f t="shared" ref="Q3332:Q3395" si="679">_xlfn.CONCAT(YEAR(A3332),"-",TEXT(MONTH(A3332),"00"))</f>
        <v>2023-05</v>
      </c>
      <c r="S3332">
        <v>9211.6</v>
      </c>
      <c r="T3332">
        <f t="shared" si="673"/>
        <v>2.195295127155614E-3</v>
      </c>
      <c r="U3332" t="str">
        <f t="shared" ref="U3332:U3395" si="680">_xlfn.CONCAT(YEAR(A3332),"-",TEXT(MONTH(A3332),"00"))</f>
        <v>2023-05</v>
      </c>
      <c r="W3332">
        <v>27196.46</v>
      </c>
      <c r="X3332">
        <f t="shared" si="674"/>
        <v>-8.8610548059058037E-5</v>
      </c>
      <c r="Y3332">
        <f t="shared" si="675"/>
        <v>-8.8606622260404742E-5</v>
      </c>
      <c r="Z3332" t="str">
        <f t="shared" ref="Z3332:Z3395" si="681">_xlfn.CONCAT(YEAR(A3332),"-",TEXT(MONTH(A3332),"00"))</f>
        <v>2023-05</v>
      </c>
    </row>
    <row r="3333" spans="1:26" x14ac:dyDescent="0.35">
      <c r="A3333" s="1">
        <v>45064</v>
      </c>
      <c r="C3333">
        <v>4367.45</v>
      </c>
      <c r="D3333">
        <f t="shared" ref="D3333:D3396" si="682">LN(C3333/C3332)</f>
        <v>1.0176506699749573E-2</v>
      </c>
      <c r="E3333" t="str">
        <f t="shared" si="676"/>
        <v>2023-05</v>
      </c>
      <c r="G3333">
        <v>7446.89</v>
      </c>
      <c r="H3333">
        <f t="shared" ref="H3333:H3396" si="683">LN(G3333/G3332)</f>
        <v>6.3921738997710824E-3</v>
      </c>
      <c r="I3333" t="str">
        <f t="shared" si="677"/>
        <v>2023-05</v>
      </c>
      <c r="K3333">
        <v>16163.36</v>
      </c>
      <c r="L3333">
        <f t="shared" ref="L3333:L3396" si="684">LN(K3333/K3332)</f>
        <v>1.3206621660776283E-2</v>
      </c>
      <c r="M3333" t="str">
        <f t="shared" si="678"/>
        <v>2023-05</v>
      </c>
      <c r="O3333">
        <v>8916.9888300000002</v>
      </c>
      <c r="P3333">
        <f t="shared" ref="P3333:P3396" si="685">LN(O3333/O3332)</f>
        <v>1.1045317546159018E-3</v>
      </c>
      <c r="Q3333" t="str">
        <f t="shared" si="679"/>
        <v>2023-05</v>
      </c>
      <c r="S3333">
        <v>9213.1</v>
      </c>
      <c r="T3333">
        <f t="shared" ref="T3333:T3396" si="686">LN(S3333/S3332)</f>
        <v>1.6282490388588812E-4</v>
      </c>
      <c r="U3333" t="str">
        <f t="shared" si="680"/>
        <v>2023-05</v>
      </c>
      <c r="W3333">
        <v>27235.65</v>
      </c>
      <c r="X3333">
        <f t="shared" ref="X3333:X3396" si="687">LN(W3333/W3332)</f>
        <v>1.4399591260250697E-3</v>
      </c>
      <c r="Y3333">
        <f t="shared" ref="Y3333:Y3396" si="688">(W3333-W3332)/W3332</f>
        <v>1.4409963649681735E-3</v>
      </c>
      <c r="Z3333" t="str">
        <f t="shared" si="681"/>
        <v>2023-05</v>
      </c>
    </row>
    <row r="3334" spans="1:26" x14ac:dyDescent="0.35">
      <c r="A3334" s="1">
        <v>45065</v>
      </c>
      <c r="C3334">
        <v>4395.3</v>
      </c>
      <c r="D3334">
        <f t="shared" si="682"/>
        <v>6.3564734296055704E-3</v>
      </c>
      <c r="E3334" t="str">
        <f t="shared" si="676"/>
        <v>2023-05</v>
      </c>
      <c r="G3334">
        <v>7491.96</v>
      </c>
      <c r="H3334">
        <f t="shared" si="683"/>
        <v>6.0339499686215175E-3</v>
      </c>
      <c r="I3334" t="str">
        <f t="shared" si="677"/>
        <v>2023-05</v>
      </c>
      <c r="K3334">
        <v>16275.38</v>
      </c>
      <c r="L3334">
        <f t="shared" si="684"/>
        <v>6.906584243876311E-3</v>
      </c>
      <c r="M3334" t="str">
        <f t="shared" si="678"/>
        <v>2023-05</v>
      </c>
      <c r="O3334">
        <v>8936.7801799999997</v>
      </c>
      <c r="P3334">
        <f t="shared" si="685"/>
        <v>2.2170509874570141E-3</v>
      </c>
      <c r="Q3334" t="str">
        <f t="shared" si="679"/>
        <v>2023-05</v>
      </c>
      <c r="S3334">
        <v>9251.5</v>
      </c>
      <c r="T3334">
        <f t="shared" si="686"/>
        <v>4.159316244023826E-3</v>
      </c>
      <c r="U3334" t="str">
        <f t="shared" si="680"/>
        <v>2023-05</v>
      </c>
      <c r="W3334">
        <v>27520.33</v>
      </c>
      <c r="X3334">
        <f t="shared" si="687"/>
        <v>1.0398227373028082E-2</v>
      </c>
      <c r="Y3334">
        <f t="shared" si="688"/>
        <v>1.0452476808888361E-2</v>
      </c>
      <c r="Z3334" t="str">
        <f t="shared" si="681"/>
        <v>2023-05</v>
      </c>
    </row>
    <row r="3335" spans="1:26" x14ac:dyDescent="0.35">
      <c r="A3335" s="1">
        <v>45068</v>
      </c>
      <c r="C3335">
        <v>4385.63</v>
      </c>
      <c r="D3335">
        <f t="shared" si="682"/>
        <v>-2.2025010811169529E-3</v>
      </c>
      <c r="E3335" t="str">
        <f t="shared" si="676"/>
        <v>2023-05</v>
      </c>
      <c r="G3335">
        <v>7478.16</v>
      </c>
      <c r="H3335">
        <f t="shared" si="683"/>
        <v>-1.8436731180511282E-3</v>
      </c>
      <c r="I3335" t="str">
        <f t="shared" si="677"/>
        <v>2023-05</v>
      </c>
      <c r="K3335">
        <v>16223.99</v>
      </c>
      <c r="L3335">
        <f t="shared" si="684"/>
        <v>-3.1625254785987889E-3</v>
      </c>
      <c r="M3335" t="str">
        <f t="shared" si="678"/>
        <v>2023-05</v>
      </c>
      <c r="O3335">
        <v>8929.0903600000001</v>
      </c>
      <c r="P3335">
        <f t="shared" si="685"/>
        <v>-8.6083915784096628E-4</v>
      </c>
      <c r="Q3335" t="str">
        <f t="shared" si="679"/>
        <v>2023-05</v>
      </c>
      <c r="S3335">
        <v>9305</v>
      </c>
      <c r="T3335">
        <f t="shared" si="686"/>
        <v>5.7661895545802477E-3</v>
      </c>
      <c r="U3335" t="str">
        <f t="shared" si="680"/>
        <v>2023-05</v>
      </c>
      <c r="W3335">
        <v>27310.7</v>
      </c>
      <c r="X3335">
        <f t="shared" si="687"/>
        <v>-7.6464374784259072E-3</v>
      </c>
      <c r="Y3335">
        <f t="shared" si="688"/>
        <v>-7.6172778451421555E-3</v>
      </c>
      <c r="Z3335" t="str">
        <f t="shared" si="681"/>
        <v>2023-05</v>
      </c>
    </row>
    <row r="3336" spans="1:26" x14ac:dyDescent="0.35">
      <c r="A3336" s="1">
        <v>45069</v>
      </c>
      <c r="C3336">
        <v>4342.38</v>
      </c>
      <c r="D3336">
        <f t="shared" si="682"/>
        <v>-9.9107022122900418E-3</v>
      </c>
      <c r="E3336" t="str">
        <f t="shared" si="676"/>
        <v>2023-05</v>
      </c>
      <c r="G3336">
        <v>7378.71</v>
      </c>
      <c r="H3336">
        <f t="shared" si="683"/>
        <v>-1.3387945835559809E-2</v>
      </c>
      <c r="I3336" t="str">
        <f t="shared" si="677"/>
        <v>2023-05</v>
      </c>
      <c r="K3336">
        <v>16152.86</v>
      </c>
      <c r="L3336">
        <f t="shared" si="684"/>
        <v>-4.393887264371437E-3</v>
      </c>
      <c r="M3336" t="str">
        <f t="shared" si="678"/>
        <v>2023-05</v>
      </c>
      <c r="O3336">
        <v>8951.8702699999994</v>
      </c>
      <c r="P3336">
        <f t="shared" si="685"/>
        <v>2.5479528528048636E-3</v>
      </c>
      <c r="Q3336" t="str">
        <f t="shared" si="679"/>
        <v>2023-05</v>
      </c>
      <c r="S3336">
        <v>9267</v>
      </c>
      <c r="T3336">
        <f t="shared" si="686"/>
        <v>-4.0921874896597387E-3</v>
      </c>
      <c r="U3336" t="str">
        <f t="shared" si="680"/>
        <v>2023-05</v>
      </c>
      <c r="W3336">
        <v>27174.97</v>
      </c>
      <c r="X3336">
        <f t="shared" si="687"/>
        <v>-4.9822377430699142E-3</v>
      </c>
      <c r="Y3336">
        <f t="shared" si="688"/>
        <v>-4.9698469830505828E-3</v>
      </c>
      <c r="Z3336" t="str">
        <f t="shared" si="681"/>
        <v>2023-05</v>
      </c>
    </row>
    <row r="3337" spans="1:26" x14ac:dyDescent="0.35">
      <c r="A3337" s="1">
        <v>45070</v>
      </c>
      <c r="C3337">
        <v>4263.74</v>
      </c>
      <c r="D3337">
        <f t="shared" si="682"/>
        <v>-1.8275875505133796E-2</v>
      </c>
      <c r="E3337" t="str">
        <f t="shared" si="676"/>
        <v>2023-05</v>
      </c>
      <c r="G3337">
        <v>7253.46</v>
      </c>
      <c r="H3337">
        <f t="shared" si="683"/>
        <v>-1.7120230183235791E-2</v>
      </c>
      <c r="I3337" t="str">
        <f t="shared" si="677"/>
        <v>2023-05</v>
      </c>
      <c r="K3337">
        <v>15842.13</v>
      </c>
      <c r="L3337">
        <f t="shared" si="684"/>
        <v>-1.9424276730392501E-2</v>
      </c>
      <c r="M3337" t="str">
        <f t="shared" si="678"/>
        <v>2023-05</v>
      </c>
      <c r="O3337">
        <v>8773.0086599999995</v>
      </c>
      <c r="P3337">
        <f t="shared" si="685"/>
        <v>-2.018266890559612E-2</v>
      </c>
      <c r="Q3337" t="str">
        <f t="shared" si="679"/>
        <v>2023-05</v>
      </c>
      <c r="S3337">
        <v>9163.5</v>
      </c>
      <c r="T3337">
        <f t="shared" si="686"/>
        <v>-1.1231500828760068E-2</v>
      </c>
      <c r="U3337" t="str">
        <f t="shared" si="680"/>
        <v>2023-05</v>
      </c>
      <c r="W3337">
        <v>26524.54</v>
      </c>
      <c r="X3337">
        <f t="shared" si="687"/>
        <v>-2.4225986831217662E-2</v>
      </c>
      <c r="Y3337">
        <f t="shared" si="688"/>
        <v>-2.3934893028400777E-2</v>
      </c>
      <c r="Z3337" t="str">
        <f t="shared" si="681"/>
        <v>2023-05</v>
      </c>
    </row>
    <row r="3338" spans="1:26" x14ac:dyDescent="0.35">
      <c r="A3338" s="1">
        <v>45071</v>
      </c>
      <c r="C3338">
        <v>4269.6400000000003</v>
      </c>
      <c r="D3338">
        <f t="shared" si="682"/>
        <v>1.3828051581297519E-3</v>
      </c>
      <c r="E3338" t="str">
        <f t="shared" si="676"/>
        <v>2023-05</v>
      </c>
      <c r="G3338">
        <v>7229.27</v>
      </c>
      <c r="H3338">
        <f t="shared" si="683"/>
        <v>-3.34053351750822E-3</v>
      </c>
      <c r="I3338" t="str">
        <f t="shared" si="677"/>
        <v>2023-05</v>
      </c>
      <c r="K3338">
        <v>15793.8</v>
      </c>
      <c r="L3338">
        <f t="shared" si="684"/>
        <v>-3.0553890843940247E-3</v>
      </c>
      <c r="M3338" t="str">
        <f t="shared" si="678"/>
        <v>2023-05</v>
      </c>
      <c r="O3338">
        <v>8698.7621400000007</v>
      </c>
      <c r="P3338">
        <f t="shared" si="685"/>
        <v>-8.4990774865654553E-3</v>
      </c>
      <c r="Q3338" t="str">
        <f t="shared" si="679"/>
        <v>2023-05</v>
      </c>
      <c r="S3338">
        <v>9116.1</v>
      </c>
      <c r="T3338">
        <f t="shared" si="686"/>
        <v>-5.18612072896045E-3</v>
      </c>
      <c r="U3338" t="str">
        <f t="shared" si="680"/>
        <v>2023-05</v>
      </c>
      <c r="W3338">
        <v>26408</v>
      </c>
      <c r="X3338">
        <f t="shared" si="687"/>
        <v>-4.4033476687125664E-3</v>
      </c>
      <c r="Y3338">
        <f t="shared" si="688"/>
        <v>-4.3936671474793104E-3</v>
      </c>
      <c r="Z3338" t="str">
        <f t="shared" si="681"/>
        <v>2023-05</v>
      </c>
    </row>
    <row r="3339" spans="1:26" x14ac:dyDescent="0.35">
      <c r="A3339" s="1">
        <v>45072</v>
      </c>
      <c r="C3339">
        <v>4337.5</v>
      </c>
      <c r="D3339">
        <f t="shared" si="682"/>
        <v>1.576863072014845E-2</v>
      </c>
      <c r="E3339" t="str">
        <f t="shared" si="676"/>
        <v>2023-05</v>
      </c>
      <c r="G3339">
        <v>7319.18</v>
      </c>
      <c r="H3339">
        <f t="shared" si="683"/>
        <v>1.2360236955442255E-2</v>
      </c>
      <c r="I3339" t="str">
        <f t="shared" si="677"/>
        <v>2023-05</v>
      </c>
      <c r="K3339">
        <v>15983.97</v>
      </c>
      <c r="L3339">
        <f t="shared" si="684"/>
        <v>1.1968887068943434E-2</v>
      </c>
      <c r="M3339" t="str">
        <f t="shared" si="678"/>
        <v>2023-05</v>
      </c>
      <c r="O3339">
        <v>8782.6638800000001</v>
      </c>
      <c r="P3339">
        <f t="shared" si="685"/>
        <v>9.5990320398858901E-3</v>
      </c>
      <c r="Q3339" t="str">
        <f t="shared" si="679"/>
        <v>2023-05</v>
      </c>
      <c r="S3339">
        <v>9191.1</v>
      </c>
      <c r="T3339">
        <f t="shared" si="686"/>
        <v>8.1935434788496103E-3</v>
      </c>
      <c r="U3339" t="str">
        <f t="shared" si="680"/>
        <v>2023-05</v>
      </c>
      <c r="W3339">
        <v>26713.4</v>
      </c>
      <c r="X3339">
        <f t="shared" si="687"/>
        <v>1.149831761852574E-2</v>
      </c>
      <c r="Y3339">
        <f t="shared" si="688"/>
        <v>1.1564677370493845E-2</v>
      </c>
      <c r="Z3339" t="str">
        <f t="shared" si="681"/>
        <v>2023-05</v>
      </c>
    </row>
    <row r="3340" spans="1:26" x14ac:dyDescent="0.35">
      <c r="A3340" s="1">
        <v>45076</v>
      </c>
      <c r="C3340">
        <v>4291.58</v>
      </c>
      <c r="D3340">
        <f t="shared" si="682"/>
        <v>-1.0643181769949864E-2</v>
      </c>
      <c r="E3340" t="str">
        <f t="shared" si="676"/>
        <v>2023-05</v>
      </c>
      <c r="G3340">
        <v>7209.75</v>
      </c>
      <c r="H3340">
        <f t="shared" si="683"/>
        <v>-1.5064023208481606E-2</v>
      </c>
      <c r="I3340" t="str">
        <f t="shared" si="677"/>
        <v>2023-05</v>
      </c>
      <c r="K3340">
        <v>15908.91</v>
      </c>
      <c r="L3340">
        <f t="shared" si="684"/>
        <v>-4.7070153956425146E-3</v>
      </c>
      <c r="M3340" t="str">
        <f t="shared" si="678"/>
        <v>2023-05</v>
      </c>
      <c r="O3340">
        <v>8698.6870500000005</v>
      </c>
      <c r="P3340">
        <f t="shared" si="685"/>
        <v>-9.6076643398491281E-3</v>
      </c>
      <c r="Q3340" t="str">
        <f t="shared" si="679"/>
        <v>2023-05</v>
      </c>
      <c r="S3340">
        <v>9167.5</v>
      </c>
      <c r="T3340">
        <f t="shared" si="686"/>
        <v>-2.5710035623393718E-3</v>
      </c>
      <c r="U3340" t="str">
        <f t="shared" si="680"/>
        <v>2023-05</v>
      </c>
      <c r="W3340">
        <v>26575.759999999998</v>
      </c>
      <c r="X3340">
        <f t="shared" si="687"/>
        <v>-5.1657900436506135E-3</v>
      </c>
      <c r="Y3340">
        <f t="shared" si="688"/>
        <v>-5.1524702958067135E-3</v>
      </c>
      <c r="Z3340" t="str">
        <f t="shared" si="681"/>
        <v>2023-05</v>
      </c>
    </row>
    <row r="3341" spans="1:26" x14ac:dyDescent="0.35">
      <c r="A3341" s="1">
        <v>45077</v>
      </c>
      <c r="C3341">
        <v>4218.04</v>
      </c>
      <c r="D3341">
        <f t="shared" si="682"/>
        <v>-1.7284398324031929E-2</v>
      </c>
      <c r="E3341" t="str">
        <f t="shared" si="676"/>
        <v>2023-05</v>
      </c>
      <c r="G3341">
        <v>7098.7</v>
      </c>
      <c r="H3341">
        <f t="shared" si="683"/>
        <v>-1.5522607940771274E-2</v>
      </c>
      <c r="I3341" t="str">
        <f t="shared" si="677"/>
        <v>2023-05</v>
      </c>
      <c r="K3341">
        <v>15664.02</v>
      </c>
      <c r="L3341">
        <f t="shared" si="684"/>
        <v>-1.5512967031502893E-2</v>
      </c>
      <c r="M3341" t="str">
        <f t="shared" si="678"/>
        <v>2023-05</v>
      </c>
      <c r="O3341">
        <v>8670.3643699999993</v>
      </c>
      <c r="P3341">
        <f t="shared" si="685"/>
        <v>-3.2612840411833889E-3</v>
      </c>
      <c r="Q3341" t="str">
        <f t="shared" si="679"/>
        <v>2023-05</v>
      </c>
      <c r="S3341">
        <v>9050.2000000000007</v>
      </c>
      <c r="T3341">
        <f t="shared" si="686"/>
        <v>-1.2877764048184553E-2</v>
      </c>
      <c r="U3341" t="str">
        <f t="shared" si="680"/>
        <v>2023-05</v>
      </c>
      <c r="W3341">
        <v>26051.33</v>
      </c>
      <c r="X3341">
        <f t="shared" si="687"/>
        <v>-1.9930699567498888E-2</v>
      </c>
      <c r="Y3341">
        <f t="shared" si="688"/>
        <v>-1.9733396147466588E-2</v>
      </c>
      <c r="Z3341" t="str">
        <f t="shared" si="681"/>
        <v>2023-05</v>
      </c>
    </row>
    <row r="3342" spans="1:26" x14ac:dyDescent="0.35">
      <c r="A3342" s="1">
        <v>45078</v>
      </c>
      <c r="C3342">
        <v>4257.6099999999997</v>
      </c>
      <c r="D3342">
        <f t="shared" si="682"/>
        <v>9.3374048006081931E-3</v>
      </c>
      <c r="E3342" t="str">
        <f t="shared" si="676"/>
        <v>2023-06</v>
      </c>
      <c r="G3342">
        <v>7137.43</v>
      </c>
      <c r="H3342">
        <f t="shared" si="683"/>
        <v>5.4410988873926577E-3</v>
      </c>
      <c r="I3342" t="str">
        <f t="shared" si="677"/>
        <v>2023-06</v>
      </c>
      <c r="K3342">
        <v>15853.66</v>
      </c>
      <c r="L3342">
        <f t="shared" si="684"/>
        <v>1.2034025892648922E-2</v>
      </c>
      <c r="M3342" t="str">
        <f t="shared" si="678"/>
        <v>2023-06</v>
      </c>
      <c r="O3342">
        <v>8724.4938600000005</v>
      </c>
      <c r="P3342">
        <f t="shared" si="685"/>
        <v>6.2236396530223909E-3</v>
      </c>
      <c r="Q3342" t="str">
        <f t="shared" si="679"/>
        <v>2023-06</v>
      </c>
      <c r="S3342">
        <v>9167.5</v>
      </c>
      <c r="T3342">
        <f t="shared" si="686"/>
        <v>1.2877764048184663E-2</v>
      </c>
      <c r="U3342" t="str">
        <f t="shared" si="680"/>
        <v>2023-06</v>
      </c>
      <c r="W3342">
        <v>26575.69</v>
      </c>
      <c r="X3342">
        <f t="shared" si="687"/>
        <v>1.9928065584794739E-2</v>
      </c>
      <c r="Y3342">
        <f t="shared" si="688"/>
        <v>2.0127955079452638E-2</v>
      </c>
      <c r="Z3342" t="str">
        <f t="shared" si="681"/>
        <v>2023-06</v>
      </c>
    </row>
    <row r="3343" spans="1:26" x14ac:dyDescent="0.35">
      <c r="A3343" s="1">
        <v>45079</v>
      </c>
      <c r="C3343">
        <v>4323.5200000000004</v>
      </c>
      <c r="D3343">
        <f t="shared" si="682"/>
        <v>1.53619153098533E-2</v>
      </c>
      <c r="E3343" t="str">
        <f t="shared" si="676"/>
        <v>2023-06</v>
      </c>
      <c r="G3343">
        <v>7270.69</v>
      </c>
      <c r="H3343">
        <f t="shared" si="683"/>
        <v>1.8498430054655044E-2</v>
      </c>
      <c r="I3343" t="str">
        <f t="shared" si="677"/>
        <v>2023-06</v>
      </c>
      <c r="K3343">
        <v>16051.23</v>
      </c>
      <c r="L3343">
        <f t="shared" si="684"/>
        <v>1.2385093660629592E-2</v>
      </c>
      <c r="M3343" t="str">
        <f t="shared" si="678"/>
        <v>2023-06</v>
      </c>
      <c r="O3343">
        <v>8843.1966400000001</v>
      </c>
      <c r="P3343">
        <f t="shared" si="685"/>
        <v>1.3513966053189847E-2</v>
      </c>
      <c r="Q3343" t="str">
        <f t="shared" si="679"/>
        <v>2023-06</v>
      </c>
      <c r="S3343">
        <v>9317.2999999999993</v>
      </c>
      <c r="T3343">
        <f t="shared" si="686"/>
        <v>1.6208266192313449E-2</v>
      </c>
      <c r="U3343" t="str">
        <f t="shared" si="680"/>
        <v>2023-06</v>
      </c>
      <c r="W3343">
        <v>27068.33</v>
      </c>
      <c r="X3343">
        <f t="shared" si="687"/>
        <v>1.8367521670259585E-2</v>
      </c>
      <c r="Y3343">
        <f t="shared" si="688"/>
        <v>1.8537242118643132E-2</v>
      </c>
      <c r="Z3343" t="str">
        <f t="shared" si="681"/>
        <v>2023-06</v>
      </c>
    </row>
    <row r="3344" spans="1:26" x14ac:dyDescent="0.35">
      <c r="A3344" s="1">
        <v>45082</v>
      </c>
      <c r="C3344">
        <v>4293.24</v>
      </c>
      <c r="D3344">
        <f t="shared" si="682"/>
        <v>-7.0281926480926672E-3</v>
      </c>
      <c r="E3344" t="str">
        <f t="shared" si="676"/>
        <v>2023-06</v>
      </c>
      <c r="G3344">
        <v>7200.91</v>
      </c>
      <c r="H3344">
        <f t="shared" si="683"/>
        <v>-9.6437907086787279E-3</v>
      </c>
      <c r="I3344" t="str">
        <f t="shared" si="677"/>
        <v>2023-06</v>
      </c>
      <c r="K3344">
        <v>15963.89</v>
      </c>
      <c r="L3344">
        <f t="shared" si="684"/>
        <v>-5.4561854945779009E-3</v>
      </c>
      <c r="M3344" t="str">
        <f t="shared" si="678"/>
        <v>2023-06</v>
      </c>
      <c r="O3344">
        <v>8823.14</v>
      </c>
      <c r="P3344">
        <f t="shared" si="685"/>
        <v>-2.270606411029016E-3</v>
      </c>
      <c r="Q3344" t="str">
        <f t="shared" si="679"/>
        <v>2023-06</v>
      </c>
      <c r="S3344">
        <v>9289.1</v>
      </c>
      <c r="T3344">
        <f t="shared" si="686"/>
        <v>-3.0312173867541384E-3</v>
      </c>
      <c r="U3344" t="str">
        <f t="shared" si="680"/>
        <v>2023-06</v>
      </c>
      <c r="W3344">
        <v>26856.85</v>
      </c>
      <c r="X3344">
        <f t="shared" si="687"/>
        <v>-7.8435003534575512E-3</v>
      </c>
      <c r="Y3344">
        <f t="shared" si="688"/>
        <v>-7.8128203697828118E-3</v>
      </c>
      <c r="Z3344" t="str">
        <f t="shared" si="681"/>
        <v>2023-06</v>
      </c>
    </row>
    <row r="3345" spans="1:26" x14ac:dyDescent="0.35">
      <c r="A3345" s="1">
        <v>45083</v>
      </c>
      <c r="C3345">
        <v>4295.22</v>
      </c>
      <c r="D3345">
        <f t="shared" si="682"/>
        <v>4.6108383460584444E-4</v>
      </c>
      <c r="E3345" t="str">
        <f t="shared" si="676"/>
        <v>2023-06</v>
      </c>
      <c r="G3345">
        <v>7209</v>
      </c>
      <c r="H3345">
        <f t="shared" si="683"/>
        <v>1.1228384979458511E-3</v>
      </c>
      <c r="I3345" t="str">
        <f t="shared" si="677"/>
        <v>2023-06</v>
      </c>
      <c r="K3345">
        <v>15992.44</v>
      </c>
      <c r="L3345">
        <f t="shared" si="684"/>
        <v>1.786813917366322E-3</v>
      </c>
      <c r="M3345" t="str">
        <f t="shared" si="678"/>
        <v>2023-06</v>
      </c>
      <c r="O3345">
        <v>8869.2364099999995</v>
      </c>
      <c r="P3345">
        <f t="shared" si="685"/>
        <v>5.2108900735337955E-3</v>
      </c>
      <c r="Q3345" t="str">
        <f t="shared" si="679"/>
        <v>2023-06</v>
      </c>
      <c r="S3345">
        <v>9310.7999999999993</v>
      </c>
      <c r="T3345">
        <f t="shared" si="686"/>
        <v>2.3333469368635134E-3</v>
      </c>
      <c r="U3345" t="str">
        <f t="shared" si="680"/>
        <v>2023-06</v>
      </c>
      <c r="W3345">
        <v>27036.67</v>
      </c>
      <c r="X3345">
        <f t="shared" si="687"/>
        <v>6.6731832436313348E-3</v>
      </c>
      <c r="Y3345">
        <f t="shared" si="688"/>
        <v>6.6954985413404666E-3</v>
      </c>
      <c r="Z3345" t="str">
        <f t="shared" si="681"/>
        <v>2023-06</v>
      </c>
    </row>
    <row r="3346" spans="1:26" x14ac:dyDescent="0.35">
      <c r="A3346" s="1">
        <v>45084</v>
      </c>
      <c r="C3346">
        <v>4291.91</v>
      </c>
      <c r="D3346">
        <f t="shared" si="682"/>
        <v>-7.7092117248334232E-4</v>
      </c>
      <c r="E3346" t="str">
        <f t="shared" si="676"/>
        <v>2023-06</v>
      </c>
      <c r="G3346">
        <v>7202.79</v>
      </c>
      <c r="H3346">
        <f t="shared" si="683"/>
        <v>-8.6179445916741734E-4</v>
      </c>
      <c r="I3346" t="str">
        <f t="shared" si="677"/>
        <v>2023-06</v>
      </c>
      <c r="K3346">
        <v>15960.56</v>
      </c>
      <c r="L3346">
        <f t="shared" si="684"/>
        <v>-1.9954314510796851E-3</v>
      </c>
      <c r="M3346" t="str">
        <f t="shared" si="678"/>
        <v>2023-06</v>
      </c>
      <c r="O3346">
        <v>8865.7106100000001</v>
      </c>
      <c r="P3346">
        <f t="shared" si="685"/>
        <v>-3.976104402764047E-4</v>
      </c>
      <c r="Q3346" t="str">
        <f t="shared" si="679"/>
        <v>2023-06</v>
      </c>
      <c r="S3346">
        <v>9359.7999999999993</v>
      </c>
      <c r="T3346">
        <f t="shared" si="686"/>
        <v>5.2489060340776099E-3</v>
      </c>
      <c r="U3346" t="str">
        <f t="shared" si="680"/>
        <v>2023-06</v>
      </c>
      <c r="W3346">
        <v>27055.5</v>
      </c>
      <c r="X3346">
        <f t="shared" si="687"/>
        <v>6.9621909273030996E-4</v>
      </c>
      <c r="Y3346">
        <f t="shared" si="688"/>
        <v>6.9646150949809085E-4</v>
      </c>
      <c r="Z3346" t="str">
        <f t="shared" si="681"/>
        <v>2023-06</v>
      </c>
    </row>
    <row r="3347" spans="1:26" x14ac:dyDescent="0.35">
      <c r="A3347" s="1">
        <v>45085</v>
      </c>
      <c r="C3347">
        <v>4297.68</v>
      </c>
      <c r="D3347">
        <f t="shared" si="682"/>
        <v>1.3434869109896377E-3</v>
      </c>
      <c r="E3347" t="str">
        <f t="shared" si="676"/>
        <v>2023-06</v>
      </c>
      <c r="G3347">
        <v>7222.15</v>
      </c>
      <c r="H3347">
        <f t="shared" si="683"/>
        <v>2.6842415461430921E-3</v>
      </c>
      <c r="I3347" t="str">
        <f t="shared" si="677"/>
        <v>2023-06</v>
      </c>
      <c r="K3347">
        <v>15989.96</v>
      </c>
      <c r="L3347">
        <f t="shared" si="684"/>
        <v>1.840346153855481E-3</v>
      </c>
      <c r="M3347" t="str">
        <f t="shared" si="678"/>
        <v>2023-06</v>
      </c>
      <c r="O3347">
        <v>8846.2805700000008</v>
      </c>
      <c r="P3347">
        <f t="shared" si="685"/>
        <v>-2.1939992626044185E-3</v>
      </c>
      <c r="Q3347" t="str">
        <f t="shared" si="679"/>
        <v>2023-06</v>
      </c>
      <c r="S3347">
        <v>9338.2999999999993</v>
      </c>
      <c r="T3347">
        <f t="shared" si="686"/>
        <v>-2.299699913407565E-3</v>
      </c>
      <c r="U3347" t="str">
        <f t="shared" si="680"/>
        <v>2023-06</v>
      </c>
      <c r="W3347">
        <v>27275.040000000001</v>
      </c>
      <c r="X3347">
        <f t="shared" si="687"/>
        <v>8.0816864662872512E-3</v>
      </c>
      <c r="Y3347">
        <f t="shared" si="688"/>
        <v>8.1144314464711743E-3</v>
      </c>
      <c r="Z3347" t="str">
        <f t="shared" si="681"/>
        <v>2023-06</v>
      </c>
    </row>
    <row r="3348" spans="1:26" x14ac:dyDescent="0.35">
      <c r="A3348" s="1">
        <v>45086</v>
      </c>
      <c r="C3348">
        <v>4289.79</v>
      </c>
      <c r="D3348">
        <f t="shared" si="682"/>
        <v>-1.8375615216439864E-3</v>
      </c>
      <c r="E3348" t="str">
        <f t="shared" si="676"/>
        <v>2023-06</v>
      </c>
      <c r="G3348">
        <v>7213.14</v>
      </c>
      <c r="H3348">
        <f t="shared" si="683"/>
        <v>-1.2483297765467089E-3</v>
      </c>
      <c r="I3348" t="str">
        <f t="shared" si="677"/>
        <v>2023-06</v>
      </c>
      <c r="K3348">
        <v>15949.84</v>
      </c>
      <c r="L3348">
        <f t="shared" si="684"/>
        <v>-2.5122274466798087E-3</v>
      </c>
      <c r="M3348" t="str">
        <f t="shared" si="678"/>
        <v>2023-06</v>
      </c>
      <c r="O3348">
        <v>8852.7738700000009</v>
      </c>
      <c r="P3348">
        <f t="shared" si="685"/>
        <v>7.3374544536665713E-4</v>
      </c>
      <c r="Q3348" t="str">
        <f t="shared" si="679"/>
        <v>2023-06</v>
      </c>
      <c r="S3348">
        <v>9309.7000000000007</v>
      </c>
      <c r="T3348">
        <f t="shared" si="686"/>
        <v>-3.0673554723284905E-3</v>
      </c>
      <c r="U3348" t="str">
        <f t="shared" si="680"/>
        <v>2023-06</v>
      </c>
      <c r="W3348">
        <v>27162.02</v>
      </c>
      <c r="X3348">
        <f t="shared" si="687"/>
        <v>-4.1523242581044369E-3</v>
      </c>
      <c r="Y3348">
        <f t="shared" si="688"/>
        <v>-4.1437152796109716E-3</v>
      </c>
      <c r="Z3348" t="str">
        <f t="shared" si="681"/>
        <v>2023-06</v>
      </c>
    </row>
    <row r="3349" spans="1:26" x14ac:dyDescent="0.35">
      <c r="A3349" s="1">
        <v>45089</v>
      </c>
      <c r="C3349">
        <v>4316.49</v>
      </c>
      <c r="D3349">
        <f t="shared" si="682"/>
        <v>6.2047913061597671E-3</v>
      </c>
      <c r="E3349" t="str">
        <f t="shared" si="676"/>
        <v>2023-06</v>
      </c>
      <c r="G3349">
        <v>7250.35</v>
      </c>
      <c r="H3349">
        <f t="shared" si="683"/>
        <v>5.1453808305398025E-3</v>
      </c>
      <c r="I3349" t="str">
        <f t="shared" si="677"/>
        <v>2023-06</v>
      </c>
      <c r="K3349">
        <v>16097.87</v>
      </c>
      <c r="L3349">
        <f t="shared" si="684"/>
        <v>9.2381672690241765E-3</v>
      </c>
      <c r="M3349" t="str">
        <f t="shared" si="678"/>
        <v>2023-06</v>
      </c>
      <c r="O3349">
        <v>8800.4253000000008</v>
      </c>
      <c r="P3349">
        <f t="shared" si="685"/>
        <v>-5.9307916870411639E-3</v>
      </c>
      <c r="Q3349" t="str">
        <f t="shared" si="679"/>
        <v>2023-06</v>
      </c>
      <c r="S3349">
        <v>9344.4</v>
      </c>
      <c r="T3349">
        <f t="shared" si="686"/>
        <v>3.720366034695363E-3</v>
      </c>
      <c r="U3349" t="str">
        <f t="shared" si="680"/>
        <v>2023-06</v>
      </c>
      <c r="W3349">
        <v>27410.47</v>
      </c>
      <c r="X3349">
        <f t="shared" si="687"/>
        <v>9.1053831899090571E-3</v>
      </c>
      <c r="Y3349">
        <f t="shared" si="688"/>
        <v>9.146963296544245E-3</v>
      </c>
      <c r="Z3349" t="str">
        <f t="shared" si="681"/>
        <v>2023-06</v>
      </c>
    </row>
    <row r="3350" spans="1:26" x14ac:dyDescent="0.35">
      <c r="A3350" s="1">
        <v>45090</v>
      </c>
      <c r="C3350">
        <v>4347.55</v>
      </c>
      <c r="D3350">
        <f t="shared" si="682"/>
        <v>7.1698960437387819E-3</v>
      </c>
      <c r="E3350" t="str">
        <f t="shared" si="676"/>
        <v>2023-06</v>
      </c>
      <c r="G3350">
        <v>7290.8</v>
      </c>
      <c r="H3350">
        <f t="shared" si="683"/>
        <v>5.5635358052309484E-3</v>
      </c>
      <c r="I3350" t="str">
        <f t="shared" si="677"/>
        <v>2023-06</v>
      </c>
      <c r="K3350">
        <v>16230.68</v>
      </c>
      <c r="L3350">
        <f t="shared" si="684"/>
        <v>8.2163132674849416E-3</v>
      </c>
      <c r="M3350" t="str">
        <f t="shared" si="678"/>
        <v>2023-06</v>
      </c>
      <c r="O3350">
        <v>8875.1072000000004</v>
      </c>
      <c r="P3350">
        <f t="shared" si="685"/>
        <v>8.4503642999893217E-3</v>
      </c>
      <c r="Q3350" t="str">
        <f t="shared" si="679"/>
        <v>2023-06</v>
      </c>
      <c r="S3350">
        <v>9333.7000000000007</v>
      </c>
      <c r="T3350">
        <f t="shared" si="686"/>
        <v>-1.1457269390871053E-3</v>
      </c>
      <c r="U3350" t="str">
        <f t="shared" si="680"/>
        <v>2023-06</v>
      </c>
      <c r="W3350">
        <v>27566.03</v>
      </c>
      <c r="X3350">
        <f t="shared" si="687"/>
        <v>5.659160374514134E-3</v>
      </c>
      <c r="Y3350">
        <f t="shared" si="688"/>
        <v>5.675203672173358E-3</v>
      </c>
      <c r="Z3350" t="str">
        <f t="shared" si="681"/>
        <v>2023-06</v>
      </c>
    </row>
    <row r="3351" spans="1:26" x14ac:dyDescent="0.35">
      <c r="A3351" s="1">
        <v>45091</v>
      </c>
      <c r="C3351">
        <v>4375.9799999999996</v>
      </c>
      <c r="D3351">
        <f t="shared" si="682"/>
        <v>6.5180266825921934E-3</v>
      </c>
      <c r="E3351" t="str">
        <f t="shared" si="676"/>
        <v>2023-06</v>
      </c>
      <c r="G3351">
        <v>7328.53</v>
      </c>
      <c r="H3351">
        <f t="shared" si="683"/>
        <v>5.1616707153481775E-3</v>
      </c>
      <c r="I3351" t="str">
        <f t="shared" si="677"/>
        <v>2023-06</v>
      </c>
      <c r="K3351">
        <v>16310.79</v>
      </c>
      <c r="L3351">
        <f t="shared" si="684"/>
        <v>4.9235736328240125E-3</v>
      </c>
      <c r="M3351" t="str">
        <f t="shared" si="678"/>
        <v>2023-06</v>
      </c>
      <c r="O3351">
        <v>8885.7286199999999</v>
      </c>
      <c r="P3351">
        <f t="shared" si="685"/>
        <v>1.196049710028961E-3</v>
      </c>
      <c r="Q3351" t="str">
        <f t="shared" si="679"/>
        <v>2023-06</v>
      </c>
      <c r="S3351">
        <v>9432.7999999999993</v>
      </c>
      <c r="T3351">
        <f t="shared" si="686"/>
        <v>1.0561470830609784E-2</v>
      </c>
      <c r="U3351" t="str">
        <f t="shared" si="680"/>
        <v>2023-06</v>
      </c>
      <c r="W3351">
        <v>27809.09</v>
      </c>
      <c r="X3351">
        <f t="shared" si="687"/>
        <v>8.7787280992325262E-3</v>
      </c>
      <c r="Y3351">
        <f t="shared" si="688"/>
        <v>8.81737413766151E-3</v>
      </c>
      <c r="Z3351" t="str">
        <f t="shared" si="681"/>
        <v>2023-06</v>
      </c>
    </row>
    <row r="3352" spans="1:26" x14ac:dyDescent="0.35">
      <c r="A3352" s="1">
        <v>45092</v>
      </c>
      <c r="C3352">
        <v>4365.12</v>
      </c>
      <c r="D3352">
        <f t="shared" si="682"/>
        <v>-2.4848144027051701E-3</v>
      </c>
      <c r="E3352" t="str">
        <f t="shared" si="676"/>
        <v>2023-06</v>
      </c>
      <c r="G3352">
        <v>7290.91</v>
      </c>
      <c r="H3352">
        <f t="shared" si="683"/>
        <v>-5.1465833216198277E-3</v>
      </c>
      <c r="I3352" t="str">
        <f t="shared" si="677"/>
        <v>2023-06</v>
      </c>
      <c r="K3352">
        <v>16290.12</v>
      </c>
      <c r="L3352">
        <f t="shared" si="684"/>
        <v>-1.2680629325838807E-3</v>
      </c>
      <c r="M3352" t="str">
        <f t="shared" si="678"/>
        <v>2023-06</v>
      </c>
      <c r="O3352">
        <v>8903.8188300000002</v>
      </c>
      <c r="P3352">
        <f t="shared" si="685"/>
        <v>2.0338028594005489E-3</v>
      </c>
      <c r="Q3352" t="str">
        <f t="shared" si="679"/>
        <v>2023-06</v>
      </c>
      <c r="S3352">
        <v>9430.7999999999993</v>
      </c>
      <c r="T3352">
        <f t="shared" si="686"/>
        <v>-2.1204860233403817E-4</v>
      </c>
      <c r="U3352" t="str">
        <f t="shared" si="680"/>
        <v>2023-06</v>
      </c>
      <c r="W3352">
        <v>27731.78</v>
      </c>
      <c r="X3352">
        <f t="shared" si="687"/>
        <v>-2.7838976929934725E-3</v>
      </c>
      <c r="Y3352">
        <f t="shared" si="688"/>
        <v>-2.7800262432176423E-3</v>
      </c>
      <c r="Z3352" t="str">
        <f t="shared" si="681"/>
        <v>2023-06</v>
      </c>
    </row>
    <row r="3353" spans="1:26" x14ac:dyDescent="0.35">
      <c r="A3353" s="1">
        <v>45093</v>
      </c>
      <c r="C3353">
        <v>4394.82</v>
      </c>
      <c r="D3353">
        <f t="shared" si="682"/>
        <v>6.7808943444178892E-3</v>
      </c>
      <c r="E3353" t="str">
        <f t="shared" si="676"/>
        <v>2023-06</v>
      </c>
      <c r="G3353">
        <v>7388.65</v>
      </c>
      <c r="H3353">
        <f t="shared" si="683"/>
        <v>1.3316672213499066E-2</v>
      </c>
      <c r="I3353" t="str">
        <f t="shared" si="677"/>
        <v>2023-06</v>
      </c>
      <c r="K3353">
        <v>16357.63</v>
      </c>
      <c r="L3353">
        <f t="shared" si="684"/>
        <v>4.135666085578811E-3</v>
      </c>
      <c r="M3353" t="str">
        <f t="shared" si="678"/>
        <v>2023-06</v>
      </c>
      <c r="O3353">
        <v>8965.9017199999998</v>
      </c>
      <c r="P3353">
        <f t="shared" si="685"/>
        <v>6.9484175322012676E-3</v>
      </c>
      <c r="Q3353" t="str">
        <f t="shared" si="679"/>
        <v>2023-06</v>
      </c>
      <c r="S3353">
        <v>9495</v>
      </c>
      <c r="T3353">
        <f t="shared" si="686"/>
        <v>6.7844155862568098E-3</v>
      </c>
      <c r="U3353" t="str">
        <f t="shared" si="680"/>
        <v>2023-06</v>
      </c>
      <c r="W3353">
        <v>27861.8</v>
      </c>
      <c r="X3353">
        <f t="shared" si="687"/>
        <v>4.6775270476083252E-3</v>
      </c>
      <c r="Y3353">
        <f t="shared" si="688"/>
        <v>4.688483754017969E-3</v>
      </c>
      <c r="Z3353" t="str">
        <f t="shared" si="681"/>
        <v>2023-06</v>
      </c>
    </row>
    <row r="3354" spans="1:26" x14ac:dyDescent="0.35">
      <c r="A3354" s="1">
        <v>45096</v>
      </c>
      <c r="C3354">
        <v>4362.38</v>
      </c>
      <c r="D3354">
        <f t="shared" si="682"/>
        <v>-7.4087946801433269E-3</v>
      </c>
      <c r="E3354" t="str">
        <f t="shared" si="676"/>
        <v>2023-06</v>
      </c>
      <c r="G3354">
        <v>7314.05</v>
      </c>
      <c r="H3354">
        <f t="shared" si="683"/>
        <v>-1.0147883067506873E-2</v>
      </c>
      <c r="I3354" t="str">
        <f t="shared" si="677"/>
        <v>2023-06</v>
      </c>
      <c r="K3354">
        <v>16201.2</v>
      </c>
      <c r="L3354">
        <f t="shared" si="684"/>
        <v>-9.6091415858411099E-3</v>
      </c>
      <c r="M3354" t="str">
        <f t="shared" si="678"/>
        <v>2023-06</v>
      </c>
      <c r="O3354">
        <v>8880.1065899999994</v>
      </c>
      <c r="P3354">
        <f t="shared" si="685"/>
        <v>-9.615123952983742E-3</v>
      </c>
      <c r="Q3354" t="str">
        <f t="shared" si="679"/>
        <v>2023-06</v>
      </c>
      <c r="S3354">
        <v>9431.9</v>
      </c>
      <c r="T3354">
        <f t="shared" si="686"/>
        <v>-6.6677832906418526E-3</v>
      </c>
      <c r="U3354" t="str">
        <f t="shared" si="680"/>
        <v>2023-06</v>
      </c>
      <c r="W3354">
        <v>27754.18</v>
      </c>
      <c r="X3354">
        <f t="shared" si="687"/>
        <v>-3.8701155432600103E-3</v>
      </c>
      <c r="Y3354">
        <f t="shared" si="688"/>
        <v>-3.8626362977265999E-3</v>
      </c>
      <c r="Z3354" t="str">
        <f t="shared" si="681"/>
        <v>2023-06</v>
      </c>
    </row>
    <row r="3355" spans="1:26" x14ac:dyDescent="0.35">
      <c r="A3355" s="1">
        <v>45097</v>
      </c>
      <c r="C3355">
        <v>4343.1400000000003</v>
      </c>
      <c r="D3355">
        <f t="shared" si="682"/>
        <v>-4.4201911720518731E-3</v>
      </c>
      <c r="E3355" t="str">
        <f t="shared" si="676"/>
        <v>2023-06</v>
      </c>
      <c r="G3355">
        <v>7294.17</v>
      </c>
      <c r="H3355">
        <f t="shared" si="683"/>
        <v>-2.7217569659439282E-3</v>
      </c>
      <c r="I3355" t="str">
        <f t="shared" si="677"/>
        <v>2023-06</v>
      </c>
      <c r="K3355">
        <v>16111.32</v>
      </c>
      <c r="L3355">
        <f t="shared" si="684"/>
        <v>-5.5631830515189152E-3</v>
      </c>
      <c r="M3355" t="str">
        <f t="shared" si="678"/>
        <v>2023-06</v>
      </c>
      <c r="O3355">
        <v>8845.3091199999999</v>
      </c>
      <c r="P3355">
        <f t="shared" si="685"/>
        <v>-3.9262847508474957E-3</v>
      </c>
      <c r="Q3355" t="str">
        <f t="shared" si="679"/>
        <v>2023-06</v>
      </c>
      <c r="S3355">
        <v>9439.7999999999993</v>
      </c>
      <c r="T3355">
        <f t="shared" si="686"/>
        <v>8.3723251868812168E-4</v>
      </c>
      <c r="U3355" t="str">
        <f t="shared" si="680"/>
        <v>2023-06</v>
      </c>
      <c r="W3355">
        <v>27576.11</v>
      </c>
      <c r="X3355">
        <f t="shared" si="687"/>
        <v>-6.436641296890408E-3</v>
      </c>
      <c r="Y3355">
        <f t="shared" si="688"/>
        <v>-6.4159704952551182E-3</v>
      </c>
      <c r="Z3355" t="str">
        <f t="shared" si="681"/>
        <v>2023-06</v>
      </c>
    </row>
    <row r="3356" spans="1:26" x14ac:dyDescent="0.35">
      <c r="A3356" s="1">
        <v>45098</v>
      </c>
      <c r="C3356">
        <v>4322.75</v>
      </c>
      <c r="D3356">
        <f t="shared" si="682"/>
        <v>-4.705815012079285E-3</v>
      </c>
      <c r="E3356" t="str">
        <f t="shared" si="676"/>
        <v>2023-06</v>
      </c>
      <c r="G3356">
        <v>7260.97</v>
      </c>
      <c r="H3356">
        <f t="shared" si="683"/>
        <v>-4.5619702151492103E-3</v>
      </c>
      <c r="I3356" t="str">
        <f t="shared" si="677"/>
        <v>2023-06</v>
      </c>
      <c r="K3356">
        <v>16023.13</v>
      </c>
      <c r="L3356">
        <f t="shared" si="684"/>
        <v>-5.4888271876369042E-3</v>
      </c>
      <c r="M3356" t="str">
        <f t="shared" si="678"/>
        <v>2023-06</v>
      </c>
      <c r="O3356">
        <v>8789.0711900000006</v>
      </c>
      <c r="P3356">
        <f t="shared" si="685"/>
        <v>-6.3782361122660374E-3</v>
      </c>
      <c r="Q3356" t="str">
        <f t="shared" si="679"/>
        <v>2023-06</v>
      </c>
      <c r="S3356">
        <v>9436.4</v>
      </c>
      <c r="T3356">
        <f t="shared" si="686"/>
        <v>-3.6024200175558931E-4</v>
      </c>
      <c r="U3356" t="str">
        <f t="shared" si="680"/>
        <v>2023-06</v>
      </c>
      <c r="W3356">
        <v>27609.37</v>
      </c>
      <c r="X3356">
        <f t="shared" si="687"/>
        <v>1.2053896795726838E-3</v>
      </c>
      <c r="Y3356">
        <f t="shared" si="688"/>
        <v>1.2061164536984513E-3</v>
      </c>
      <c r="Z3356" t="str">
        <f t="shared" si="681"/>
        <v>2023-06</v>
      </c>
    </row>
    <row r="3357" spans="1:26" x14ac:dyDescent="0.35">
      <c r="A3357" s="1">
        <v>45099</v>
      </c>
      <c r="C3357">
        <v>4304.47</v>
      </c>
      <c r="D3357">
        <f t="shared" si="682"/>
        <v>-4.2377561617510722E-3</v>
      </c>
      <c r="E3357" t="str">
        <f t="shared" si="676"/>
        <v>2023-06</v>
      </c>
      <c r="G3357">
        <v>7203.28</v>
      </c>
      <c r="H3357">
        <f t="shared" si="683"/>
        <v>-7.9769508836326723E-3</v>
      </c>
      <c r="I3357" t="str">
        <f t="shared" si="677"/>
        <v>2023-06</v>
      </c>
      <c r="K3357">
        <v>15988.16</v>
      </c>
      <c r="L3357">
        <f t="shared" si="684"/>
        <v>-2.1848550252763495E-3</v>
      </c>
      <c r="M3357" t="str">
        <f t="shared" si="678"/>
        <v>2023-06</v>
      </c>
      <c r="O3357">
        <v>8719.6118700000006</v>
      </c>
      <c r="P3357">
        <f t="shared" si="685"/>
        <v>-7.9343128381297954E-3</v>
      </c>
      <c r="Q3357" t="str">
        <f t="shared" si="679"/>
        <v>2023-06</v>
      </c>
      <c r="S3357">
        <v>9364.7000000000007</v>
      </c>
      <c r="T3357">
        <f t="shared" si="686"/>
        <v>-7.6272502773740824E-3</v>
      </c>
      <c r="U3357" t="str">
        <f t="shared" si="680"/>
        <v>2023-06</v>
      </c>
      <c r="W3357">
        <v>27410.080000000002</v>
      </c>
      <c r="X3357">
        <f t="shared" si="687"/>
        <v>-7.2443789088357125E-3</v>
      </c>
      <c r="Y3357">
        <f t="shared" si="688"/>
        <v>-7.2182016467596775E-3</v>
      </c>
      <c r="Z3357" t="str">
        <f t="shared" si="681"/>
        <v>2023-06</v>
      </c>
    </row>
    <row r="3358" spans="1:26" x14ac:dyDescent="0.35">
      <c r="A3358" s="1">
        <v>45100</v>
      </c>
      <c r="C3358">
        <v>4271.6099999999997</v>
      </c>
      <c r="D3358">
        <f t="shared" si="682"/>
        <v>-7.6632122853290139E-3</v>
      </c>
      <c r="E3358" t="str">
        <f t="shared" si="676"/>
        <v>2023-06</v>
      </c>
      <c r="G3358">
        <v>7163.42</v>
      </c>
      <c r="H3358">
        <f t="shared" si="683"/>
        <v>-5.5489572799797791E-3</v>
      </c>
      <c r="I3358" t="str">
        <f t="shared" si="677"/>
        <v>2023-06</v>
      </c>
      <c r="K3358">
        <v>15829.94</v>
      </c>
      <c r="L3358">
        <f t="shared" si="684"/>
        <v>-9.9453646905299595E-3</v>
      </c>
      <c r="M3358" t="str">
        <f t="shared" si="678"/>
        <v>2023-06</v>
      </c>
      <c r="O3358">
        <v>8704.6010600000009</v>
      </c>
      <c r="P3358">
        <f t="shared" si="685"/>
        <v>-1.7229832731977339E-3</v>
      </c>
      <c r="Q3358" t="str">
        <f t="shared" si="679"/>
        <v>2023-06</v>
      </c>
      <c r="S3358">
        <v>9265.7999999999993</v>
      </c>
      <c r="T3358">
        <f t="shared" si="686"/>
        <v>-1.0617098738292656E-2</v>
      </c>
      <c r="U3358" t="str">
        <f t="shared" si="680"/>
        <v>2023-06</v>
      </c>
      <c r="W3358">
        <v>27209.66</v>
      </c>
      <c r="X3358">
        <f t="shared" si="687"/>
        <v>-7.3387716422803678E-3</v>
      </c>
      <c r="Y3358">
        <f t="shared" si="688"/>
        <v>-7.3119086117224711E-3</v>
      </c>
      <c r="Z3358" t="str">
        <f t="shared" si="681"/>
        <v>2023-06</v>
      </c>
    </row>
    <row r="3359" spans="1:26" x14ac:dyDescent="0.35">
      <c r="A3359" s="1">
        <v>45103</v>
      </c>
      <c r="C3359">
        <v>4280.57</v>
      </c>
      <c r="D3359">
        <f t="shared" si="682"/>
        <v>2.0953729407719177E-3</v>
      </c>
      <c r="E3359" t="str">
        <f t="shared" si="676"/>
        <v>2023-06</v>
      </c>
      <c r="G3359">
        <v>7184.35</v>
      </c>
      <c r="H3359">
        <f t="shared" si="683"/>
        <v>2.9175286258837055E-3</v>
      </c>
      <c r="I3359" t="str">
        <f t="shared" si="677"/>
        <v>2023-06</v>
      </c>
      <c r="K3359">
        <v>15813.06</v>
      </c>
      <c r="L3359">
        <f t="shared" si="684"/>
        <v>-1.0669027336967975E-3</v>
      </c>
      <c r="M3359" t="str">
        <f t="shared" si="678"/>
        <v>2023-06</v>
      </c>
      <c r="O3359">
        <v>8692.3132100000003</v>
      </c>
      <c r="P3359">
        <f t="shared" si="685"/>
        <v>-1.4126473066124671E-3</v>
      </c>
      <c r="Q3359" t="str">
        <f t="shared" si="679"/>
        <v>2023-06</v>
      </c>
      <c r="S3359">
        <v>9274</v>
      </c>
      <c r="T3359">
        <f t="shared" si="686"/>
        <v>8.8458349439592533E-4</v>
      </c>
      <c r="U3359" t="str">
        <f t="shared" si="680"/>
        <v>2023-06</v>
      </c>
      <c r="W3359">
        <v>27242.91</v>
      </c>
      <c r="X3359">
        <f t="shared" si="687"/>
        <v>1.2212464584329843E-3</v>
      </c>
      <c r="Y3359">
        <f t="shared" si="688"/>
        <v>1.2219924835517974E-3</v>
      </c>
      <c r="Z3359" t="str">
        <f t="shared" si="681"/>
        <v>2023-06</v>
      </c>
    </row>
    <row r="3360" spans="1:26" x14ac:dyDescent="0.35">
      <c r="A3360" s="1">
        <v>45104</v>
      </c>
      <c r="C3360">
        <v>4305.26</v>
      </c>
      <c r="D3360">
        <f t="shared" si="682"/>
        <v>5.7513526492059168E-3</v>
      </c>
      <c r="E3360" t="str">
        <f t="shared" si="676"/>
        <v>2023-06</v>
      </c>
      <c r="G3360">
        <v>7215.58</v>
      </c>
      <c r="H3360">
        <f t="shared" si="683"/>
        <v>4.3375278857333693E-3</v>
      </c>
      <c r="I3360" t="str">
        <f t="shared" si="677"/>
        <v>2023-06</v>
      </c>
      <c r="K3360">
        <v>15846.86</v>
      </c>
      <c r="L3360">
        <f t="shared" si="684"/>
        <v>2.1351925615298545E-3</v>
      </c>
      <c r="M3360" t="str">
        <f t="shared" si="678"/>
        <v>2023-06</v>
      </c>
      <c r="O3360">
        <v>8680.8664100000005</v>
      </c>
      <c r="P3360">
        <f t="shared" si="685"/>
        <v>-1.3177555181954285E-3</v>
      </c>
      <c r="Q3360" t="str">
        <f t="shared" si="679"/>
        <v>2023-06</v>
      </c>
      <c r="S3360">
        <v>9393</v>
      </c>
      <c r="T3360">
        <f t="shared" si="686"/>
        <v>1.2749945043109291E-2</v>
      </c>
      <c r="U3360" t="str">
        <f t="shared" si="680"/>
        <v>2023-06</v>
      </c>
      <c r="W3360">
        <v>27401.09</v>
      </c>
      <c r="X3360">
        <f t="shared" si="687"/>
        <v>5.7894898552594094E-3</v>
      </c>
      <c r="Y3360">
        <f t="shared" si="688"/>
        <v>5.8062813407231571E-3</v>
      </c>
      <c r="Z3360" t="str">
        <f t="shared" si="681"/>
        <v>2023-06</v>
      </c>
    </row>
    <row r="3361" spans="1:26" x14ac:dyDescent="0.35">
      <c r="A3361" s="1">
        <v>45105</v>
      </c>
      <c r="C3361">
        <v>4344.75</v>
      </c>
      <c r="D3361">
        <f t="shared" si="682"/>
        <v>9.130688717046748E-3</v>
      </c>
      <c r="E3361" t="str">
        <f t="shared" si="676"/>
        <v>2023-06</v>
      </c>
      <c r="G3361">
        <v>7286.32</v>
      </c>
      <c r="H3361">
        <f t="shared" si="683"/>
        <v>9.7560403929305827E-3</v>
      </c>
      <c r="I3361" t="str">
        <f t="shared" si="677"/>
        <v>2023-06</v>
      </c>
      <c r="K3361">
        <v>15949</v>
      </c>
      <c r="L3361">
        <f t="shared" si="684"/>
        <v>6.4247578986822507E-3</v>
      </c>
      <c r="M3361" t="str">
        <f t="shared" si="678"/>
        <v>2023-06</v>
      </c>
      <c r="O3361">
        <v>8694.5465600000007</v>
      </c>
      <c r="P3361">
        <f t="shared" si="685"/>
        <v>1.5746564240320669E-3</v>
      </c>
      <c r="Q3361" t="str">
        <f t="shared" si="679"/>
        <v>2023-06</v>
      </c>
      <c r="S3361">
        <v>9481.2999999999993</v>
      </c>
      <c r="T3361">
        <f t="shared" si="686"/>
        <v>9.3567066546707857E-3</v>
      </c>
      <c r="U3361" t="str">
        <f t="shared" si="680"/>
        <v>2023-06</v>
      </c>
      <c r="W3361">
        <v>27637.46</v>
      </c>
      <c r="X3361">
        <f t="shared" si="687"/>
        <v>8.5893052489288517E-3</v>
      </c>
      <c r="Y3361">
        <f t="shared" si="688"/>
        <v>8.6262991727700973E-3</v>
      </c>
      <c r="Z3361" t="str">
        <f t="shared" si="681"/>
        <v>2023-06</v>
      </c>
    </row>
    <row r="3362" spans="1:26" x14ac:dyDescent="0.35">
      <c r="A3362" s="1">
        <v>45106</v>
      </c>
      <c r="C3362">
        <v>4354.6899999999996</v>
      </c>
      <c r="D3362">
        <f t="shared" si="682"/>
        <v>2.2852055593676275E-3</v>
      </c>
      <c r="E3362" t="str">
        <f t="shared" si="676"/>
        <v>2023-06</v>
      </c>
      <c r="G3362">
        <v>7312.73</v>
      </c>
      <c r="H3362">
        <f t="shared" si="683"/>
        <v>3.6180475865884298E-3</v>
      </c>
      <c r="I3362" t="str">
        <f t="shared" si="677"/>
        <v>2023-06</v>
      </c>
      <c r="K3362">
        <v>15946.72</v>
      </c>
      <c r="L3362">
        <f t="shared" si="684"/>
        <v>-1.4296589033793686E-4</v>
      </c>
      <c r="M3362" t="str">
        <f t="shared" si="678"/>
        <v>2023-06</v>
      </c>
      <c r="O3362">
        <v>8676.5352399999992</v>
      </c>
      <c r="P3362">
        <f t="shared" si="685"/>
        <v>-2.0737138494726212E-3</v>
      </c>
      <c r="Q3362" t="str">
        <f t="shared" si="679"/>
        <v>2023-06</v>
      </c>
      <c r="S3362">
        <v>9510.6</v>
      </c>
      <c r="T3362">
        <f t="shared" si="686"/>
        <v>3.0855283827156479E-3</v>
      </c>
      <c r="U3362" t="str">
        <f t="shared" si="680"/>
        <v>2023-06</v>
      </c>
      <c r="W3362">
        <v>27928.44</v>
      </c>
      <c r="X3362">
        <f t="shared" si="687"/>
        <v>1.0473425603074234E-2</v>
      </c>
      <c r="Y3362">
        <f t="shared" si="688"/>
        <v>1.05284639037017E-2</v>
      </c>
      <c r="Z3362" t="str">
        <f t="shared" si="681"/>
        <v>2023-06</v>
      </c>
    </row>
    <row r="3363" spans="1:26" x14ac:dyDescent="0.35">
      <c r="A3363" s="1">
        <v>45107</v>
      </c>
      <c r="C3363">
        <v>4399.09</v>
      </c>
      <c r="D3363">
        <f t="shared" si="682"/>
        <v>1.0144276130494276E-2</v>
      </c>
      <c r="E3363" t="str">
        <f t="shared" si="676"/>
        <v>2023-06</v>
      </c>
      <c r="G3363">
        <v>7400.06</v>
      </c>
      <c r="H3363">
        <f t="shared" si="683"/>
        <v>1.1871443230568922E-2</v>
      </c>
      <c r="I3363" t="str">
        <f t="shared" si="677"/>
        <v>2023-06</v>
      </c>
      <c r="K3363">
        <v>16147.9</v>
      </c>
      <c r="L3363">
        <f t="shared" si="684"/>
        <v>1.253684480387587E-2</v>
      </c>
      <c r="M3363" t="str">
        <f t="shared" si="678"/>
        <v>2023-06</v>
      </c>
      <c r="O3363">
        <v>8771.8387500000008</v>
      </c>
      <c r="P3363">
        <f t="shared" si="685"/>
        <v>1.0924164948015661E-2</v>
      </c>
      <c r="Q3363" t="str">
        <f t="shared" si="679"/>
        <v>2023-06</v>
      </c>
      <c r="S3363">
        <v>9593</v>
      </c>
      <c r="T3363">
        <f t="shared" si="686"/>
        <v>8.6266997860455982E-3</v>
      </c>
      <c r="U3363" t="str">
        <f t="shared" si="680"/>
        <v>2023-06</v>
      </c>
      <c r="W3363">
        <v>28230.83</v>
      </c>
      <c r="X3363">
        <f t="shared" si="687"/>
        <v>1.0769118702591141E-2</v>
      </c>
      <c r="Y3363">
        <f t="shared" si="688"/>
        <v>1.0827314379177751E-2</v>
      </c>
      <c r="Z3363" t="str">
        <f t="shared" si="681"/>
        <v>2023-06</v>
      </c>
    </row>
    <row r="3364" spans="1:26" x14ac:dyDescent="0.35">
      <c r="A3364" s="1">
        <v>45110</v>
      </c>
      <c r="C3364">
        <v>4398.1499999999996</v>
      </c>
      <c r="D3364">
        <f t="shared" si="682"/>
        <v>-2.1370338960355402E-4</v>
      </c>
      <c r="E3364" t="str">
        <f t="shared" si="676"/>
        <v>2023-07</v>
      </c>
      <c r="G3364">
        <v>7386.7</v>
      </c>
      <c r="H3364">
        <f t="shared" si="683"/>
        <v>-1.8070224491911924E-3</v>
      </c>
      <c r="I3364" t="str">
        <f t="shared" si="677"/>
        <v>2023-07</v>
      </c>
      <c r="K3364">
        <v>16081.04</v>
      </c>
      <c r="L3364">
        <f t="shared" si="684"/>
        <v>-4.1490719778614054E-3</v>
      </c>
      <c r="M3364" t="str">
        <f t="shared" si="678"/>
        <v>2023-07</v>
      </c>
      <c r="O3364">
        <v>8755.3701199999996</v>
      </c>
      <c r="P3364">
        <f t="shared" si="685"/>
        <v>-1.8792079182285871E-3</v>
      </c>
      <c r="Q3364" t="str">
        <f t="shared" si="679"/>
        <v>2023-07</v>
      </c>
      <c r="S3364">
        <v>9644.7999999999993</v>
      </c>
      <c r="T3364">
        <f t="shared" si="686"/>
        <v>5.3852441741739825E-3</v>
      </c>
      <c r="U3364" t="str">
        <f t="shared" si="680"/>
        <v>2023-07</v>
      </c>
      <c r="W3364">
        <v>28446.9</v>
      </c>
      <c r="X3364">
        <f t="shared" si="687"/>
        <v>7.624548363012267E-3</v>
      </c>
      <c r="Y3364">
        <f t="shared" si="688"/>
        <v>7.6536892468269512E-3</v>
      </c>
      <c r="Z3364" t="str">
        <f t="shared" si="681"/>
        <v>2023-07</v>
      </c>
    </row>
    <row r="3365" spans="1:26" x14ac:dyDescent="0.35">
      <c r="A3365" s="1">
        <v>45111</v>
      </c>
      <c r="C3365">
        <v>4390.99</v>
      </c>
      <c r="D3365">
        <f t="shared" si="682"/>
        <v>-1.6292837715386119E-3</v>
      </c>
      <c r="E3365" t="str">
        <f t="shared" si="676"/>
        <v>2023-07</v>
      </c>
      <c r="G3365">
        <v>7369.93</v>
      </c>
      <c r="H3365">
        <f t="shared" si="683"/>
        <v>-2.272877644753004E-3</v>
      </c>
      <c r="I3365" t="str">
        <f t="shared" si="677"/>
        <v>2023-07</v>
      </c>
      <c r="K3365">
        <v>16039.17</v>
      </c>
      <c r="L3365">
        <f t="shared" si="684"/>
        <v>-2.6070828126870129E-3</v>
      </c>
      <c r="M3365" t="str">
        <f t="shared" si="678"/>
        <v>2023-07</v>
      </c>
      <c r="O3365">
        <v>8778.64329</v>
      </c>
      <c r="P3365">
        <f t="shared" si="685"/>
        <v>2.6546328125927501E-3</v>
      </c>
      <c r="Q3365" t="str">
        <f t="shared" si="679"/>
        <v>2023-07</v>
      </c>
      <c r="S3365">
        <v>9588.4</v>
      </c>
      <c r="T3365">
        <f t="shared" si="686"/>
        <v>-5.8648754928665812E-3</v>
      </c>
      <c r="U3365" t="str">
        <f t="shared" si="680"/>
        <v>2023-07</v>
      </c>
      <c r="W3365">
        <v>28386.880000000001</v>
      </c>
      <c r="X3365">
        <f t="shared" si="687"/>
        <v>-2.1121249479726396E-3</v>
      </c>
      <c r="Y3365">
        <f t="shared" si="688"/>
        <v>-2.1098959816359757E-3</v>
      </c>
      <c r="Z3365" t="str">
        <f t="shared" si="681"/>
        <v>2023-07</v>
      </c>
    </row>
    <row r="3366" spans="1:26" x14ac:dyDescent="0.35">
      <c r="A3366" s="1">
        <v>45112</v>
      </c>
      <c r="C3366">
        <v>4350.71</v>
      </c>
      <c r="D3366">
        <f t="shared" si="682"/>
        <v>-9.2156640187007737E-3</v>
      </c>
      <c r="E3366" t="str">
        <f t="shared" si="676"/>
        <v>2023-07</v>
      </c>
      <c r="G3366">
        <v>7310.81</v>
      </c>
      <c r="H3366">
        <f t="shared" si="683"/>
        <v>-8.0541334548419486E-3</v>
      </c>
      <c r="I3366" t="str">
        <f t="shared" si="677"/>
        <v>2023-07</v>
      </c>
      <c r="K3366">
        <v>15937.58</v>
      </c>
      <c r="L3366">
        <f t="shared" si="684"/>
        <v>-6.3540129497167202E-3</v>
      </c>
      <c r="M3366" t="str">
        <f t="shared" si="678"/>
        <v>2023-07</v>
      </c>
      <c r="O3366">
        <v>8707.6886799999993</v>
      </c>
      <c r="P3366">
        <f t="shared" si="685"/>
        <v>-8.1154812284223166E-3</v>
      </c>
      <c r="Q3366" t="str">
        <f t="shared" si="679"/>
        <v>2023-07</v>
      </c>
      <c r="S3366">
        <v>9486.2999999999993</v>
      </c>
      <c r="T3366">
        <f t="shared" si="686"/>
        <v>-1.0705382008358206E-2</v>
      </c>
      <c r="U3366" t="str">
        <f t="shared" si="680"/>
        <v>2023-07</v>
      </c>
      <c r="W3366">
        <v>28220.18</v>
      </c>
      <c r="X3366">
        <f t="shared" si="687"/>
        <v>-5.8897417349903051E-3</v>
      </c>
      <c r="Y3366">
        <f t="shared" si="688"/>
        <v>-5.8724312076565205E-3</v>
      </c>
      <c r="Z3366" t="str">
        <f t="shared" si="681"/>
        <v>2023-07</v>
      </c>
    </row>
    <row r="3367" spans="1:26" x14ac:dyDescent="0.35">
      <c r="A3367" s="1">
        <v>45113</v>
      </c>
      <c r="C3367">
        <v>4223.09</v>
      </c>
      <c r="D3367">
        <f t="shared" si="682"/>
        <v>-2.977196258440885E-2</v>
      </c>
      <c r="E3367" t="str">
        <f t="shared" si="676"/>
        <v>2023-07</v>
      </c>
      <c r="G3367">
        <v>7082.29</v>
      </c>
      <c r="H3367">
        <f t="shared" si="683"/>
        <v>-3.1756773000750325E-2</v>
      </c>
      <c r="I3367" t="str">
        <f t="shared" si="677"/>
        <v>2023-07</v>
      </c>
      <c r="K3367">
        <v>15528.54</v>
      </c>
      <c r="L3367">
        <f t="shared" si="684"/>
        <v>-2.6000221363130682E-2</v>
      </c>
      <c r="M3367" t="str">
        <f t="shared" si="678"/>
        <v>2023-07</v>
      </c>
      <c r="O3367">
        <v>8521.9280299999991</v>
      </c>
      <c r="P3367">
        <f t="shared" si="685"/>
        <v>-2.1563781858282904E-2</v>
      </c>
      <c r="Q3367" t="str">
        <f t="shared" si="679"/>
        <v>2023-07</v>
      </c>
      <c r="S3367">
        <v>9285</v>
      </c>
      <c r="T3367">
        <f t="shared" si="686"/>
        <v>-2.1448457704090665E-2</v>
      </c>
      <c r="U3367" t="str">
        <f t="shared" si="680"/>
        <v>2023-07</v>
      </c>
      <c r="W3367">
        <v>27506.91</v>
      </c>
      <c r="X3367">
        <f t="shared" si="687"/>
        <v>-2.5600079023228254E-2</v>
      </c>
      <c r="Y3367">
        <f t="shared" si="688"/>
        <v>-2.5275175424111413E-2</v>
      </c>
      <c r="Z3367" t="str">
        <f t="shared" si="681"/>
        <v>2023-07</v>
      </c>
    </row>
    <row r="3368" spans="1:26" x14ac:dyDescent="0.35">
      <c r="A3368" s="1">
        <v>45114</v>
      </c>
      <c r="C3368">
        <v>4236.6000000000004</v>
      </c>
      <c r="D3368">
        <f t="shared" si="682"/>
        <v>3.1939731799031949E-3</v>
      </c>
      <c r="E3368" t="str">
        <f t="shared" si="676"/>
        <v>2023-07</v>
      </c>
      <c r="G3368">
        <v>7111.88</v>
      </c>
      <c r="H3368">
        <f t="shared" si="683"/>
        <v>4.1693234425408893E-3</v>
      </c>
      <c r="I3368" t="str">
        <f t="shared" si="677"/>
        <v>2023-07</v>
      </c>
      <c r="K3368">
        <v>15603.4</v>
      </c>
      <c r="L3368">
        <f t="shared" si="684"/>
        <v>4.8092180753094476E-3</v>
      </c>
      <c r="M3368" t="str">
        <f t="shared" si="678"/>
        <v>2023-07</v>
      </c>
      <c r="O3368">
        <v>8498.3979299999992</v>
      </c>
      <c r="P3368">
        <f t="shared" si="685"/>
        <v>-2.7649429330265695E-3</v>
      </c>
      <c r="Q3368" t="str">
        <f t="shared" si="679"/>
        <v>2023-07</v>
      </c>
      <c r="S3368">
        <v>9248.7999999999993</v>
      </c>
      <c r="T3368">
        <f t="shared" si="686"/>
        <v>-3.9063814256943318E-3</v>
      </c>
      <c r="U3368" t="str">
        <f t="shared" si="680"/>
        <v>2023-07</v>
      </c>
      <c r="W3368">
        <v>27778.32</v>
      </c>
      <c r="X3368">
        <f t="shared" si="687"/>
        <v>9.8186144994203868E-3</v>
      </c>
      <c r="Y3368">
        <f t="shared" si="688"/>
        <v>9.8669752436751287E-3</v>
      </c>
      <c r="Z3368" t="str">
        <f t="shared" si="681"/>
        <v>2023-07</v>
      </c>
    </row>
    <row r="3369" spans="1:26" x14ac:dyDescent="0.35">
      <c r="A3369" s="1">
        <v>45117</v>
      </c>
      <c r="C3369">
        <v>4256.51</v>
      </c>
      <c r="D3369">
        <f t="shared" si="682"/>
        <v>4.688514919051848E-3</v>
      </c>
      <c r="E3369" t="str">
        <f t="shared" si="676"/>
        <v>2023-07</v>
      </c>
      <c r="G3369">
        <v>7143.69</v>
      </c>
      <c r="H3369">
        <f t="shared" si="683"/>
        <v>4.4628243972151486E-3</v>
      </c>
      <c r="I3369" t="str">
        <f t="shared" si="677"/>
        <v>2023-07</v>
      </c>
      <c r="K3369">
        <v>15673.16</v>
      </c>
      <c r="L3369">
        <f t="shared" si="684"/>
        <v>4.4608560328155029E-3</v>
      </c>
      <c r="M3369" t="str">
        <f t="shared" si="678"/>
        <v>2023-07</v>
      </c>
      <c r="O3369">
        <v>8502.9671799999996</v>
      </c>
      <c r="P3369">
        <f t="shared" si="685"/>
        <v>5.375156736473944E-4</v>
      </c>
      <c r="Q3369" t="str">
        <f t="shared" si="679"/>
        <v>2023-07</v>
      </c>
      <c r="S3369">
        <v>9252.9</v>
      </c>
      <c r="T3369">
        <f t="shared" si="686"/>
        <v>4.4320252378043468E-4</v>
      </c>
      <c r="U3369" t="str">
        <f t="shared" si="680"/>
        <v>2023-07</v>
      </c>
      <c r="W3369">
        <v>27872</v>
      </c>
      <c r="X3369">
        <f t="shared" si="687"/>
        <v>3.3667403345779704E-3</v>
      </c>
      <c r="Y3369">
        <f t="shared" si="688"/>
        <v>3.3724141704754027E-3</v>
      </c>
      <c r="Z3369" t="str">
        <f t="shared" si="681"/>
        <v>2023-07</v>
      </c>
    </row>
    <row r="3370" spans="1:26" x14ac:dyDescent="0.35">
      <c r="A3370" s="1">
        <v>45118</v>
      </c>
      <c r="C3370">
        <v>4286.5600000000004</v>
      </c>
      <c r="D3370">
        <f t="shared" si="682"/>
        <v>7.0349707852432634E-3</v>
      </c>
      <c r="E3370" t="str">
        <f t="shared" si="676"/>
        <v>2023-07</v>
      </c>
      <c r="G3370">
        <v>7220.01</v>
      </c>
      <c r="H3370">
        <f t="shared" si="683"/>
        <v>1.0626888369745867E-2</v>
      </c>
      <c r="I3370" t="str">
        <f t="shared" si="677"/>
        <v>2023-07</v>
      </c>
      <c r="K3370">
        <v>15790.34</v>
      </c>
      <c r="L3370">
        <f t="shared" si="684"/>
        <v>7.4486653924226076E-3</v>
      </c>
      <c r="M3370" t="str">
        <f t="shared" si="678"/>
        <v>2023-07</v>
      </c>
      <c r="O3370">
        <v>8553.3041900000007</v>
      </c>
      <c r="P3370">
        <f t="shared" si="685"/>
        <v>5.9024806829170206E-3</v>
      </c>
      <c r="Q3370" t="str">
        <f t="shared" si="679"/>
        <v>2023-07</v>
      </c>
      <c r="S3370">
        <v>9331.1</v>
      </c>
      <c r="T3370">
        <f t="shared" si="686"/>
        <v>8.4158912566591696E-3</v>
      </c>
      <c r="U3370" t="str">
        <f t="shared" si="680"/>
        <v>2023-07</v>
      </c>
      <c r="W3370">
        <v>28061.59</v>
      </c>
      <c r="X3370">
        <f t="shared" si="687"/>
        <v>6.7791366896677177E-3</v>
      </c>
      <c r="Y3370">
        <f t="shared" si="688"/>
        <v>6.802167049368547E-3</v>
      </c>
      <c r="Z3370" t="str">
        <f t="shared" si="681"/>
        <v>2023-07</v>
      </c>
    </row>
    <row r="3371" spans="1:26" x14ac:dyDescent="0.35">
      <c r="A3371" s="1">
        <v>45119</v>
      </c>
      <c r="C3371">
        <v>4360.46</v>
      </c>
      <c r="D3371">
        <f t="shared" si="682"/>
        <v>1.7093009910367093E-2</v>
      </c>
      <c r="E3371" t="str">
        <f t="shared" si="676"/>
        <v>2023-07</v>
      </c>
      <c r="G3371">
        <v>7333.01</v>
      </c>
      <c r="H3371">
        <f t="shared" si="683"/>
        <v>1.5529734863755539E-2</v>
      </c>
      <c r="I3371" t="str">
        <f t="shared" si="677"/>
        <v>2023-07</v>
      </c>
      <c r="K3371">
        <v>16023</v>
      </c>
      <c r="L3371">
        <f t="shared" si="684"/>
        <v>1.4626829374436257E-2</v>
      </c>
      <c r="M3371" t="str">
        <f t="shared" si="678"/>
        <v>2023-07</v>
      </c>
      <c r="O3371">
        <v>8657.9020400000009</v>
      </c>
      <c r="P3371">
        <f t="shared" si="685"/>
        <v>1.2154771299526232E-2</v>
      </c>
      <c r="Q3371" t="str">
        <f t="shared" si="679"/>
        <v>2023-07</v>
      </c>
      <c r="S3371">
        <v>9453.7000000000007</v>
      </c>
      <c r="T3371">
        <f t="shared" si="686"/>
        <v>1.3053292108183109E-2</v>
      </c>
      <c r="U3371" t="str">
        <f t="shared" si="680"/>
        <v>2023-07</v>
      </c>
      <c r="W3371">
        <v>28552.18</v>
      </c>
      <c r="X3371">
        <f t="shared" si="687"/>
        <v>1.7331553095142387E-2</v>
      </c>
      <c r="Y3371">
        <f t="shared" si="688"/>
        <v>1.7482615917344676E-2</v>
      </c>
      <c r="Z3371" t="str">
        <f t="shared" si="681"/>
        <v>2023-07</v>
      </c>
    </row>
    <row r="3372" spans="1:26" x14ac:dyDescent="0.35">
      <c r="A3372" s="1">
        <v>45120</v>
      </c>
      <c r="C3372">
        <v>4391.76</v>
      </c>
      <c r="D3372">
        <f t="shared" si="682"/>
        <v>7.1525015225230928E-3</v>
      </c>
      <c r="E3372" t="str">
        <f t="shared" si="676"/>
        <v>2023-07</v>
      </c>
      <c r="G3372">
        <v>7369.8</v>
      </c>
      <c r="H3372">
        <f t="shared" si="683"/>
        <v>5.0044959818839954E-3</v>
      </c>
      <c r="I3372" t="str">
        <f t="shared" si="677"/>
        <v>2023-07</v>
      </c>
      <c r="K3372">
        <v>16141.03</v>
      </c>
      <c r="L3372">
        <f t="shared" si="684"/>
        <v>7.3392873845758069E-3</v>
      </c>
      <c r="M3372" t="str">
        <f t="shared" si="678"/>
        <v>2023-07</v>
      </c>
      <c r="O3372">
        <v>8707.0242699999999</v>
      </c>
      <c r="P3372">
        <f t="shared" si="685"/>
        <v>5.657652690554061E-3</v>
      </c>
      <c r="Q3372" t="str">
        <f t="shared" si="679"/>
        <v>2023-07</v>
      </c>
      <c r="S3372">
        <v>9478.7000000000007</v>
      </c>
      <c r="T3372">
        <f t="shared" si="686"/>
        <v>2.6409767943573236E-3</v>
      </c>
      <c r="U3372" t="str">
        <f t="shared" si="680"/>
        <v>2023-07</v>
      </c>
      <c r="W3372">
        <v>28774.77</v>
      </c>
      <c r="X3372">
        <f t="shared" si="687"/>
        <v>7.7656710715771331E-3</v>
      </c>
      <c r="Y3372">
        <f t="shared" si="688"/>
        <v>7.795902099244266E-3</v>
      </c>
      <c r="Z3372" t="str">
        <f t="shared" si="681"/>
        <v>2023-07</v>
      </c>
    </row>
    <row r="3373" spans="1:26" x14ac:dyDescent="0.35">
      <c r="A3373" s="1">
        <v>45121</v>
      </c>
      <c r="C3373">
        <v>4400.1099999999997</v>
      </c>
      <c r="D3373">
        <f t="shared" si="682"/>
        <v>1.8994827063161625E-3</v>
      </c>
      <c r="E3373" t="str">
        <f t="shared" si="676"/>
        <v>2023-07</v>
      </c>
      <c r="G3373">
        <v>7374.54</v>
      </c>
      <c r="H3373">
        <f t="shared" si="683"/>
        <v>6.4295860829185992E-4</v>
      </c>
      <c r="I3373" t="str">
        <f t="shared" si="677"/>
        <v>2023-07</v>
      </c>
      <c r="K3373">
        <v>16105.07</v>
      </c>
      <c r="L3373">
        <f t="shared" si="684"/>
        <v>-2.2303481603528513E-3</v>
      </c>
      <c r="M3373" t="str">
        <f t="shared" si="678"/>
        <v>2023-07</v>
      </c>
      <c r="O3373">
        <v>8674.2162499999995</v>
      </c>
      <c r="P3373">
        <f t="shared" si="685"/>
        <v>-3.7751113248528467E-3</v>
      </c>
      <c r="Q3373" t="str">
        <f t="shared" si="679"/>
        <v>2023-07</v>
      </c>
      <c r="S3373">
        <v>9438.2999999999993</v>
      </c>
      <c r="T3373">
        <f t="shared" si="686"/>
        <v>-4.2712968675130102E-3</v>
      </c>
      <c r="U3373" t="str">
        <f t="shared" si="680"/>
        <v>2023-07</v>
      </c>
      <c r="W3373">
        <v>28663.3</v>
      </c>
      <c r="X3373">
        <f t="shared" si="687"/>
        <v>-3.8814026983819698E-3</v>
      </c>
      <c r="Y3373">
        <f t="shared" si="688"/>
        <v>-3.8738797912199179E-3</v>
      </c>
      <c r="Z3373" t="str">
        <f t="shared" si="681"/>
        <v>2023-07</v>
      </c>
    </row>
    <row r="3374" spans="1:26" x14ac:dyDescent="0.35">
      <c r="A3374" s="1">
        <v>45124</v>
      </c>
      <c r="C3374">
        <v>4356.79</v>
      </c>
      <c r="D3374">
        <f t="shared" si="682"/>
        <v>-9.8939929395746359E-3</v>
      </c>
      <c r="E3374" t="str">
        <f t="shared" si="676"/>
        <v>2023-07</v>
      </c>
      <c r="G3374">
        <v>7291.66</v>
      </c>
      <c r="H3374">
        <f t="shared" si="683"/>
        <v>-1.1302298109822416E-2</v>
      </c>
      <c r="I3374" t="str">
        <f t="shared" si="677"/>
        <v>2023-07</v>
      </c>
      <c r="K3374">
        <v>16068.65</v>
      </c>
      <c r="L3374">
        <f t="shared" si="684"/>
        <v>-2.2639604966999418E-3</v>
      </c>
      <c r="M3374" t="str">
        <f t="shared" si="678"/>
        <v>2023-07</v>
      </c>
      <c r="O3374">
        <v>8620.9331000000002</v>
      </c>
      <c r="P3374">
        <f t="shared" si="685"/>
        <v>-6.1616488531251708E-3</v>
      </c>
      <c r="Q3374" t="str">
        <f t="shared" si="679"/>
        <v>2023-07</v>
      </c>
      <c r="S3374">
        <v>9438</v>
      </c>
      <c r="T3374">
        <f t="shared" si="686"/>
        <v>-3.1785890245920244E-5</v>
      </c>
      <c r="U3374" t="str">
        <f t="shared" si="680"/>
        <v>2023-07</v>
      </c>
      <c r="W3374">
        <v>28608.54</v>
      </c>
      <c r="X3374">
        <f t="shared" si="687"/>
        <v>-1.9122841762142003E-3</v>
      </c>
      <c r="Y3374">
        <f t="shared" si="688"/>
        <v>-1.9104569257551783E-3</v>
      </c>
      <c r="Z3374" t="str">
        <f t="shared" si="681"/>
        <v>2023-07</v>
      </c>
    </row>
    <row r="3375" spans="1:26" x14ac:dyDescent="0.35">
      <c r="A3375" s="1">
        <v>45125</v>
      </c>
      <c r="C3375">
        <v>4369.7299999999996</v>
      </c>
      <c r="D3375">
        <f t="shared" si="682"/>
        <v>2.9656746295622784E-3</v>
      </c>
      <c r="E3375" t="str">
        <f t="shared" si="676"/>
        <v>2023-07</v>
      </c>
      <c r="G3375">
        <v>7319.18</v>
      </c>
      <c r="H3375">
        <f t="shared" si="683"/>
        <v>3.7670705509436461E-3</v>
      </c>
      <c r="I3375" t="str">
        <f t="shared" si="677"/>
        <v>2023-07</v>
      </c>
      <c r="K3375">
        <v>16125.49</v>
      </c>
      <c r="L3375">
        <f t="shared" si="684"/>
        <v>3.5310810637758897E-3</v>
      </c>
      <c r="M3375" t="str">
        <f t="shared" si="678"/>
        <v>2023-07</v>
      </c>
      <c r="O3375">
        <v>8663.2946200000006</v>
      </c>
      <c r="P3375">
        <f t="shared" si="685"/>
        <v>4.901764256477037E-3</v>
      </c>
      <c r="Q3375" t="str">
        <f t="shared" si="679"/>
        <v>2023-07</v>
      </c>
      <c r="S3375">
        <v>9455.7000000000007</v>
      </c>
      <c r="T3375">
        <f t="shared" si="686"/>
        <v>1.8736409679451099E-3</v>
      </c>
      <c r="U3375" t="str">
        <f t="shared" si="680"/>
        <v>2023-07</v>
      </c>
      <c r="W3375">
        <v>28706.76</v>
      </c>
      <c r="X3375">
        <f t="shared" si="687"/>
        <v>3.4273604481712019E-3</v>
      </c>
      <c r="Y3375">
        <f t="shared" si="688"/>
        <v>3.4332405638315524E-3</v>
      </c>
      <c r="Z3375" t="str">
        <f t="shared" si="681"/>
        <v>2023-07</v>
      </c>
    </row>
    <row r="3376" spans="1:26" x14ac:dyDescent="0.35">
      <c r="A3376" s="1">
        <v>45126</v>
      </c>
      <c r="C3376">
        <v>4362.28</v>
      </c>
      <c r="D3376">
        <f t="shared" si="682"/>
        <v>-1.7063658442147093E-3</v>
      </c>
      <c r="E3376" t="str">
        <f t="shared" si="676"/>
        <v>2023-07</v>
      </c>
      <c r="G3376">
        <v>7326.94</v>
      </c>
      <c r="H3376">
        <f t="shared" si="683"/>
        <v>1.0596664135124501E-3</v>
      </c>
      <c r="I3376" t="str">
        <f t="shared" si="677"/>
        <v>2023-07</v>
      </c>
      <c r="K3376">
        <v>16108.93</v>
      </c>
      <c r="L3376">
        <f t="shared" si="684"/>
        <v>-1.0274732076374533E-3</v>
      </c>
      <c r="M3376" t="str">
        <f t="shared" si="678"/>
        <v>2023-07</v>
      </c>
      <c r="O3376">
        <v>8752.3296800000007</v>
      </c>
      <c r="P3376">
        <f t="shared" si="685"/>
        <v>1.0224822740847768E-2</v>
      </c>
      <c r="Q3376" t="str">
        <f t="shared" si="679"/>
        <v>2023-07</v>
      </c>
      <c r="S3376">
        <v>9451.7999999999993</v>
      </c>
      <c r="T3376">
        <f t="shared" si="686"/>
        <v>-4.1253471429973009E-4</v>
      </c>
      <c r="U3376" t="str">
        <f t="shared" si="680"/>
        <v>2023-07</v>
      </c>
      <c r="W3376">
        <v>28712.31</v>
      </c>
      <c r="X3376">
        <f t="shared" si="687"/>
        <v>1.9331556631919437E-4</v>
      </c>
      <c r="Y3376">
        <f t="shared" si="688"/>
        <v>1.9333425297744889E-4</v>
      </c>
      <c r="Z3376" t="str">
        <f t="shared" si="681"/>
        <v>2023-07</v>
      </c>
    </row>
    <row r="3377" spans="1:26" x14ac:dyDescent="0.35">
      <c r="A3377" s="1">
        <v>45127</v>
      </c>
      <c r="C3377">
        <v>4373.7299999999996</v>
      </c>
      <c r="D3377">
        <f t="shared" si="682"/>
        <v>2.6213354967450143E-3</v>
      </c>
      <c r="E3377" t="str">
        <f t="shared" si="676"/>
        <v>2023-07</v>
      </c>
      <c r="G3377">
        <v>7384.91</v>
      </c>
      <c r="H3377">
        <f t="shared" si="683"/>
        <v>7.880762789923031E-3</v>
      </c>
      <c r="I3377" t="str">
        <f t="shared" si="677"/>
        <v>2023-07</v>
      </c>
      <c r="K3377">
        <v>16204.22</v>
      </c>
      <c r="L3377">
        <f t="shared" si="684"/>
        <v>5.8979255334684708E-3</v>
      </c>
      <c r="M3377" t="str">
        <f t="shared" si="678"/>
        <v>2023-07</v>
      </c>
      <c r="O3377">
        <v>8834.4732700000004</v>
      </c>
      <c r="P3377">
        <f t="shared" si="685"/>
        <v>9.34157135749983E-3</v>
      </c>
      <c r="Q3377" t="str">
        <f t="shared" si="679"/>
        <v>2023-07</v>
      </c>
      <c r="S3377">
        <v>9519.6</v>
      </c>
      <c r="T3377">
        <f t="shared" si="686"/>
        <v>7.1476315559792711E-3</v>
      </c>
      <c r="U3377" t="str">
        <f t="shared" si="680"/>
        <v>2023-07</v>
      </c>
      <c r="W3377">
        <v>28815.75</v>
      </c>
      <c r="X3377">
        <f t="shared" si="687"/>
        <v>3.5961619938895016E-3</v>
      </c>
      <c r="Y3377">
        <f t="shared" si="688"/>
        <v>3.6026359425625695E-3</v>
      </c>
      <c r="Z3377" t="str">
        <f t="shared" si="681"/>
        <v>2023-07</v>
      </c>
    </row>
    <row r="3378" spans="1:26" x14ac:dyDescent="0.35">
      <c r="A3378" s="1">
        <v>45128</v>
      </c>
      <c r="C3378">
        <v>4391.41</v>
      </c>
      <c r="D3378">
        <f t="shared" si="682"/>
        <v>4.03416807438903E-3</v>
      </c>
      <c r="E3378" t="str">
        <f t="shared" si="676"/>
        <v>2023-07</v>
      </c>
      <c r="G3378">
        <v>7432.77</v>
      </c>
      <c r="H3378">
        <f t="shared" si="683"/>
        <v>6.4598731289754541E-3</v>
      </c>
      <c r="I3378" t="str">
        <f t="shared" si="677"/>
        <v>2023-07</v>
      </c>
      <c r="K3378">
        <v>16177.22</v>
      </c>
      <c r="L3378">
        <f t="shared" si="684"/>
        <v>-1.6676223328652908E-3</v>
      </c>
      <c r="M3378" t="str">
        <f t="shared" si="678"/>
        <v>2023-07</v>
      </c>
      <c r="O3378">
        <v>8859.0348900000008</v>
      </c>
      <c r="P3378">
        <f t="shared" si="685"/>
        <v>2.7763443580344663E-3</v>
      </c>
      <c r="Q3378" t="str">
        <f t="shared" si="679"/>
        <v>2023-07</v>
      </c>
      <c r="S3378">
        <v>9571.5</v>
      </c>
      <c r="T3378">
        <f t="shared" si="686"/>
        <v>5.4371018805536193E-3</v>
      </c>
      <c r="U3378" t="str">
        <f t="shared" si="680"/>
        <v>2023-07</v>
      </c>
      <c r="W3378">
        <v>28855.09</v>
      </c>
      <c r="X3378">
        <f t="shared" si="687"/>
        <v>1.3642945412953747E-3</v>
      </c>
      <c r="Y3378">
        <f t="shared" si="688"/>
        <v>1.3652256144643172E-3</v>
      </c>
      <c r="Z3378" t="str">
        <f t="shared" si="681"/>
        <v>2023-07</v>
      </c>
    </row>
    <row r="3379" spans="1:26" x14ac:dyDescent="0.35">
      <c r="A3379" s="1">
        <v>45131</v>
      </c>
      <c r="C3379">
        <v>4383.03</v>
      </c>
      <c r="D3379">
        <f t="shared" si="682"/>
        <v>-1.9100939884119149E-3</v>
      </c>
      <c r="E3379" t="str">
        <f t="shared" si="676"/>
        <v>2023-07</v>
      </c>
      <c r="G3379">
        <v>7427.31</v>
      </c>
      <c r="H3379">
        <f t="shared" si="683"/>
        <v>-7.3485475794279149E-4</v>
      </c>
      <c r="I3379" t="str">
        <f t="shared" si="677"/>
        <v>2023-07</v>
      </c>
      <c r="K3379">
        <v>16190.95</v>
      </c>
      <c r="L3379">
        <f t="shared" si="684"/>
        <v>8.4836435445581149E-4</v>
      </c>
      <c r="M3379" t="str">
        <f t="shared" si="678"/>
        <v>2023-07</v>
      </c>
      <c r="O3379">
        <v>8891.1448199999995</v>
      </c>
      <c r="P3379">
        <f t="shared" si="685"/>
        <v>3.6179875979553285E-3</v>
      </c>
      <c r="Q3379" t="str">
        <f t="shared" si="679"/>
        <v>2023-07</v>
      </c>
      <c r="S3379">
        <v>9543.5</v>
      </c>
      <c r="T3379">
        <f t="shared" si="686"/>
        <v>-2.9296385065642593E-3</v>
      </c>
      <c r="U3379" t="str">
        <f t="shared" si="680"/>
        <v>2023-07</v>
      </c>
      <c r="W3379">
        <v>28908.42</v>
      </c>
      <c r="X3379">
        <f t="shared" si="687"/>
        <v>1.8464949637782429E-3</v>
      </c>
      <c r="Y3379">
        <f t="shared" si="688"/>
        <v>1.8482007853726364E-3</v>
      </c>
      <c r="Z3379" t="str">
        <f t="shared" si="681"/>
        <v>2023-07</v>
      </c>
    </row>
    <row r="3380" spans="1:26" x14ac:dyDescent="0.35">
      <c r="A3380" s="1">
        <v>45132</v>
      </c>
      <c r="C3380">
        <v>4391.3</v>
      </c>
      <c r="D3380">
        <f t="shared" si="682"/>
        <v>1.8850447723942033E-3</v>
      </c>
      <c r="E3380" t="str">
        <f t="shared" si="676"/>
        <v>2023-07</v>
      </c>
      <c r="G3380">
        <v>7415.45</v>
      </c>
      <c r="H3380">
        <f t="shared" si="683"/>
        <v>-1.5980858713721556E-3</v>
      </c>
      <c r="I3380" t="str">
        <f t="shared" si="677"/>
        <v>2023-07</v>
      </c>
      <c r="K3380">
        <v>16211.59</v>
      </c>
      <c r="L3380">
        <f t="shared" si="684"/>
        <v>1.2739743730941252E-3</v>
      </c>
      <c r="M3380" t="str">
        <f t="shared" si="678"/>
        <v>2023-07</v>
      </c>
      <c r="O3380">
        <v>8970.7480899999991</v>
      </c>
      <c r="P3380">
        <f t="shared" si="685"/>
        <v>8.9132543134735117E-3</v>
      </c>
      <c r="Q3380" t="str">
        <f t="shared" si="679"/>
        <v>2023-07</v>
      </c>
      <c r="S3380">
        <v>9519.2000000000007</v>
      </c>
      <c r="T3380">
        <f t="shared" si="686"/>
        <v>-2.5494828290031986E-3</v>
      </c>
      <c r="U3380" t="str">
        <f t="shared" si="680"/>
        <v>2023-07</v>
      </c>
      <c r="W3380">
        <v>28966.41</v>
      </c>
      <c r="X3380">
        <f t="shared" si="687"/>
        <v>2.0039806391490846E-3</v>
      </c>
      <c r="Y3380">
        <f t="shared" si="688"/>
        <v>2.005989950332865E-3</v>
      </c>
      <c r="Z3380" t="str">
        <f t="shared" si="681"/>
        <v>2023-07</v>
      </c>
    </row>
    <row r="3381" spans="1:26" x14ac:dyDescent="0.35">
      <c r="A3381" s="1">
        <v>45133</v>
      </c>
      <c r="C3381">
        <v>4346.1499999999996</v>
      </c>
      <c r="D3381">
        <f t="shared" si="682"/>
        <v>-1.0334915077895124E-2</v>
      </c>
      <c r="E3381" t="str">
        <f t="shared" si="676"/>
        <v>2023-07</v>
      </c>
      <c r="G3381">
        <v>7315.07</v>
      </c>
      <c r="H3381">
        <f t="shared" si="683"/>
        <v>-1.3629057739183973E-2</v>
      </c>
      <c r="I3381" t="str">
        <f t="shared" si="677"/>
        <v>2023-07</v>
      </c>
      <c r="K3381">
        <v>16131.46</v>
      </c>
      <c r="L3381">
        <f t="shared" si="684"/>
        <v>-4.9550159275105849E-3</v>
      </c>
      <c r="M3381" t="str">
        <f t="shared" si="678"/>
        <v>2023-07</v>
      </c>
      <c r="O3381">
        <v>8954.7538199999999</v>
      </c>
      <c r="P3381">
        <f t="shared" si="685"/>
        <v>-1.7845273538037783E-3</v>
      </c>
      <c r="Q3381" t="str">
        <f t="shared" si="679"/>
        <v>2023-07</v>
      </c>
      <c r="S3381">
        <v>9600.5</v>
      </c>
      <c r="T3381">
        <f t="shared" si="686"/>
        <v>8.5043687920275043E-3</v>
      </c>
      <c r="U3381" t="str">
        <f t="shared" si="680"/>
        <v>2023-07</v>
      </c>
      <c r="W3381">
        <v>28980.45</v>
      </c>
      <c r="X3381">
        <f t="shared" si="687"/>
        <v>4.8458191780340417E-4</v>
      </c>
      <c r="Y3381">
        <f t="shared" si="688"/>
        <v>4.846993465880264E-4</v>
      </c>
      <c r="Z3381" t="str">
        <f t="shared" si="681"/>
        <v>2023-07</v>
      </c>
    </row>
    <row r="3382" spans="1:26" x14ac:dyDescent="0.35">
      <c r="A3382" s="1">
        <v>45134</v>
      </c>
      <c r="C3382">
        <v>4447.4399999999996</v>
      </c>
      <c r="D3382">
        <f t="shared" si="682"/>
        <v>2.3038254007011243E-2</v>
      </c>
      <c r="E3382" t="str">
        <f t="shared" si="676"/>
        <v>2023-07</v>
      </c>
      <c r="G3382">
        <v>7465.24</v>
      </c>
      <c r="H3382">
        <f t="shared" si="683"/>
        <v>2.032097670355023E-2</v>
      </c>
      <c r="I3382" t="str">
        <f t="shared" si="677"/>
        <v>2023-07</v>
      </c>
      <c r="K3382">
        <v>16406.03</v>
      </c>
      <c r="L3382">
        <f t="shared" si="684"/>
        <v>1.6877547568132218E-2</v>
      </c>
      <c r="M3382" t="str">
        <f t="shared" si="678"/>
        <v>2023-07</v>
      </c>
      <c r="O3382">
        <v>8988.4195799999998</v>
      </c>
      <c r="P3382">
        <f t="shared" si="685"/>
        <v>3.7524911289645553E-3</v>
      </c>
      <c r="Q3382" t="str">
        <f t="shared" si="679"/>
        <v>2023-07</v>
      </c>
      <c r="S3382">
        <v>9694.7000000000007</v>
      </c>
      <c r="T3382">
        <f t="shared" si="686"/>
        <v>9.7641639795558906E-3</v>
      </c>
      <c r="U3382" t="str">
        <f t="shared" si="680"/>
        <v>2023-07</v>
      </c>
      <c r="W3382">
        <v>29597.81</v>
      </c>
      <c r="X3382">
        <f t="shared" si="687"/>
        <v>2.1078907384103566E-2</v>
      </c>
      <c r="Y3382">
        <f t="shared" si="688"/>
        <v>2.1302636777551783E-2</v>
      </c>
      <c r="Z3382" t="str">
        <f t="shared" si="681"/>
        <v>2023-07</v>
      </c>
    </row>
    <row r="3383" spans="1:26" x14ac:dyDescent="0.35">
      <c r="A3383" s="1">
        <v>45135</v>
      </c>
      <c r="C3383">
        <v>4466.5</v>
      </c>
      <c r="D3383">
        <f t="shared" si="682"/>
        <v>4.2764544180306906E-3</v>
      </c>
      <c r="E3383" t="str">
        <f t="shared" si="676"/>
        <v>2023-07</v>
      </c>
      <c r="G3383">
        <v>7476.47</v>
      </c>
      <c r="H3383">
        <f t="shared" si="683"/>
        <v>1.5031749531409842E-3</v>
      </c>
      <c r="I3383" t="str">
        <f t="shared" si="677"/>
        <v>2023-07</v>
      </c>
      <c r="K3383">
        <v>16469.75</v>
      </c>
      <c r="L3383">
        <f t="shared" si="684"/>
        <v>3.8764147826262398E-3</v>
      </c>
      <c r="M3383" t="str">
        <f t="shared" si="678"/>
        <v>2023-07</v>
      </c>
      <c r="O3383">
        <v>8983.1614100000006</v>
      </c>
      <c r="P3383">
        <f t="shared" si="685"/>
        <v>-5.8516500612451432E-4</v>
      </c>
      <c r="Q3383" t="str">
        <f t="shared" si="679"/>
        <v>2023-07</v>
      </c>
      <c r="S3383">
        <v>9685.1</v>
      </c>
      <c r="T3383">
        <f t="shared" si="686"/>
        <v>-9.9072237951112227E-4</v>
      </c>
      <c r="U3383" t="str">
        <f t="shared" si="680"/>
        <v>2023-07</v>
      </c>
      <c r="W3383">
        <v>29500.2</v>
      </c>
      <c r="X3383">
        <f t="shared" si="687"/>
        <v>-3.3033291225838357E-3</v>
      </c>
      <c r="Y3383">
        <f t="shared" si="688"/>
        <v>-3.2978791336251085E-3</v>
      </c>
      <c r="Z3383" t="str">
        <f t="shared" si="681"/>
        <v>2023-07</v>
      </c>
    </row>
    <row r="3384" spans="1:26" x14ac:dyDescent="0.35">
      <c r="A3384" s="1">
        <v>45138</v>
      </c>
      <c r="C3384">
        <v>4471.3100000000004</v>
      </c>
      <c r="D3384">
        <f t="shared" si="682"/>
        <v>1.0763264075556468E-3</v>
      </c>
      <c r="E3384" t="str">
        <f t="shared" si="676"/>
        <v>2023-07</v>
      </c>
      <c r="G3384">
        <v>7497.78</v>
      </c>
      <c r="H3384">
        <f t="shared" si="683"/>
        <v>2.8462212646349701E-3</v>
      </c>
      <c r="I3384" t="str">
        <f t="shared" si="677"/>
        <v>2023-07</v>
      </c>
      <c r="K3384">
        <v>16446.830000000002</v>
      </c>
      <c r="L3384">
        <f t="shared" si="684"/>
        <v>-1.3926114866240208E-3</v>
      </c>
      <c r="M3384" t="str">
        <f t="shared" si="678"/>
        <v>2023-07</v>
      </c>
      <c r="O3384">
        <v>8994.1867700000003</v>
      </c>
      <c r="P3384">
        <f t="shared" si="685"/>
        <v>1.2265837288033873E-3</v>
      </c>
      <c r="Q3384" t="str">
        <f t="shared" si="679"/>
        <v>2023-07</v>
      </c>
      <c r="S3384">
        <v>9641.5</v>
      </c>
      <c r="T3384">
        <f t="shared" si="686"/>
        <v>-4.5119238733561879E-3</v>
      </c>
      <c r="U3384" t="str">
        <f t="shared" si="680"/>
        <v>2023-07</v>
      </c>
      <c r="W3384">
        <v>29644.71</v>
      </c>
      <c r="X3384">
        <f t="shared" si="687"/>
        <v>4.8866517023067012E-3</v>
      </c>
      <c r="Y3384">
        <f t="shared" si="688"/>
        <v>4.8986108568754919E-3</v>
      </c>
      <c r="Z3384" t="str">
        <f t="shared" si="681"/>
        <v>2023-07</v>
      </c>
    </row>
    <row r="3385" spans="1:26" x14ac:dyDescent="0.35">
      <c r="A3385" s="1">
        <v>45139</v>
      </c>
      <c r="C3385">
        <v>4407.54</v>
      </c>
      <c r="D3385">
        <f t="shared" si="682"/>
        <v>-1.4364719879013983E-2</v>
      </c>
      <c r="E3385" t="str">
        <f t="shared" si="676"/>
        <v>2023-08</v>
      </c>
      <c r="G3385">
        <v>7406.08</v>
      </c>
      <c r="H3385">
        <f t="shared" si="683"/>
        <v>-1.230569224014889E-2</v>
      </c>
      <c r="I3385" t="str">
        <f t="shared" si="677"/>
        <v>2023-08</v>
      </c>
      <c r="K3385">
        <v>16240.4</v>
      </c>
      <c r="L3385">
        <f t="shared" si="684"/>
        <v>-1.2630788502104355E-2</v>
      </c>
      <c r="M3385" t="str">
        <f t="shared" si="678"/>
        <v>2023-08</v>
      </c>
      <c r="O3385">
        <v>8916.2660799999994</v>
      </c>
      <c r="P3385">
        <f t="shared" si="685"/>
        <v>-8.7011961419264251E-3</v>
      </c>
      <c r="Q3385" t="str">
        <f t="shared" si="679"/>
        <v>2023-08</v>
      </c>
      <c r="S3385">
        <v>9502.9</v>
      </c>
      <c r="T3385">
        <f t="shared" si="686"/>
        <v>-1.4479682996450693E-2</v>
      </c>
      <c r="U3385" t="str">
        <f t="shared" si="680"/>
        <v>2023-08</v>
      </c>
      <c r="W3385">
        <v>29356.16</v>
      </c>
      <c r="X3385">
        <f t="shared" si="687"/>
        <v>-9.7812896843196724E-3</v>
      </c>
      <c r="Y3385">
        <f t="shared" si="688"/>
        <v>-9.733608458305015E-3</v>
      </c>
      <c r="Z3385" t="str">
        <f t="shared" si="681"/>
        <v>2023-08</v>
      </c>
    </row>
    <row r="3386" spans="1:26" x14ac:dyDescent="0.35">
      <c r="A3386" s="1">
        <v>45140</v>
      </c>
      <c r="C3386">
        <v>4336.5</v>
      </c>
      <c r="D3386">
        <f t="shared" si="682"/>
        <v>-1.6249139545924919E-2</v>
      </c>
      <c r="E3386" t="str">
        <f t="shared" si="676"/>
        <v>2023-08</v>
      </c>
      <c r="G3386">
        <v>7312.84</v>
      </c>
      <c r="H3386">
        <f t="shared" si="683"/>
        <v>-1.2669577281891319E-2</v>
      </c>
      <c r="I3386" t="str">
        <f t="shared" si="677"/>
        <v>2023-08</v>
      </c>
      <c r="K3386">
        <v>16020.02</v>
      </c>
      <c r="L3386">
        <f t="shared" si="684"/>
        <v>-1.3662774893192354E-2</v>
      </c>
      <c r="M3386" t="str">
        <f t="shared" si="678"/>
        <v>2023-08</v>
      </c>
      <c r="O3386">
        <v>8787.2617499999997</v>
      </c>
      <c r="P3386">
        <f t="shared" si="685"/>
        <v>-1.4574113663541156E-2</v>
      </c>
      <c r="Q3386" t="str">
        <f t="shared" si="679"/>
        <v>2023-08</v>
      </c>
      <c r="S3386">
        <v>9328.7000000000007</v>
      </c>
      <c r="T3386">
        <f t="shared" si="686"/>
        <v>-1.8501345506864792E-2</v>
      </c>
      <c r="U3386" t="str">
        <f t="shared" si="680"/>
        <v>2023-08</v>
      </c>
      <c r="W3386">
        <v>28974.54</v>
      </c>
      <c r="X3386">
        <f t="shared" si="687"/>
        <v>-1.3084891656963214E-2</v>
      </c>
      <c r="Y3386">
        <f t="shared" si="688"/>
        <v>-1.2999656630839965E-2</v>
      </c>
      <c r="Z3386" t="str">
        <f t="shared" si="681"/>
        <v>2023-08</v>
      </c>
    </row>
    <row r="3387" spans="1:26" x14ac:dyDescent="0.35">
      <c r="A3387" s="1">
        <v>45141</v>
      </c>
      <c r="C3387">
        <v>4304.63</v>
      </c>
      <c r="D3387">
        <f t="shared" si="682"/>
        <v>-7.3763835300490483E-3</v>
      </c>
      <c r="E3387" t="str">
        <f t="shared" si="676"/>
        <v>2023-08</v>
      </c>
      <c r="G3387">
        <v>7260.53</v>
      </c>
      <c r="H3387">
        <f t="shared" si="683"/>
        <v>-7.1788782766236429E-3</v>
      </c>
      <c r="I3387" t="str">
        <f t="shared" si="677"/>
        <v>2023-08</v>
      </c>
      <c r="K3387">
        <v>15893.38</v>
      </c>
      <c r="L3387">
        <f t="shared" si="684"/>
        <v>-7.9365197526000617E-3</v>
      </c>
      <c r="M3387" t="str">
        <f t="shared" si="678"/>
        <v>2023-08</v>
      </c>
      <c r="O3387">
        <v>8741.5231399999993</v>
      </c>
      <c r="P3387">
        <f t="shared" si="685"/>
        <v>-5.2186975987010917E-3</v>
      </c>
      <c r="Q3387" t="str">
        <f t="shared" si="679"/>
        <v>2023-08</v>
      </c>
      <c r="S3387">
        <v>9307.1</v>
      </c>
      <c r="T3387">
        <f t="shared" si="686"/>
        <v>-2.3181199275183837E-3</v>
      </c>
      <c r="U3387" t="str">
        <f t="shared" si="680"/>
        <v>2023-08</v>
      </c>
      <c r="W3387">
        <v>28702.74</v>
      </c>
      <c r="X3387">
        <f t="shared" si="687"/>
        <v>-9.4249247529893752E-3</v>
      </c>
      <c r="Y3387">
        <f t="shared" si="688"/>
        <v>-9.3806493562969169E-3</v>
      </c>
      <c r="Z3387" t="str">
        <f t="shared" si="681"/>
        <v>2023-08</v>
      </c>
    </row>
    <row r="3388" spans="1:26" x14ac:dyDescent="0.35">
      <c r="A3388" s="1">
        <v>45142</v>
      </c>
      <c r="C3388">
        <v>4332.91</v>
      </c>
      <c r="D3388">
        <f t="shared" si="682"/>
        <v>6.5481841012062052E-3</v>
      </c>
      <c r="E3388" t="str">
        <f t="shared" si="676"/>
        <v>2023-08</v>
      </c>
      <c r="G3388">
        <v>7315.07</v>
      </c>
      <c r="H3388">
        <f t="shared" si="683"/>
        <v>7.4837748773376005E-3</v>
      </c>
      <c r="I3388" t="str">
        <f t="shared" si="677"/>
        <v>2023-08</v>
      </c>
      <c r="K3388">
        <v>15951.86</v>
      </c>
      <c r="L3388">
        <f t="shared" si="684"/>
        <v>3.6727665256988395E-3</v>
      </c>
      <c r="M3388" t="str">
        <f t="shared" si="678"/>
        <v>2023-08</v>
      </c>
      <c r="O3388">
        <v>8762.7131900000004</v>
      </c>
      <c r="P3388">
        <f t="shared" si="685"/>
        <v>2.4211350842923132E-3</v>
      </c>
      <c r="Q3388" t="str">
        <f t="shared" si="679"/>
        <v>2023-08</v>
      </c>
      <c r="S3388">
        <v>9368.4</v>
      </c>
      <c r="T3388">
        <f t="shared" si="686"/>
        <v>6.5647741854198E-3</v>
      </c>
      <c r="U3388" t="str">
        <f t="shared" si="680"/>
        <v>2023-08</v>
      </c>
      <c r="W3388">
        <v>28586.37</v>
      </c>
      <c r="X3388">
        <f t="shared" si="687"/>
        <v>-4.0625577898188332E-3</v>
      </c>
      <c r="Y3388">
        <f t="shared" si="688"/>
        <v>-4.0543167655771751E-3</v>
      </c>
      <c r="Z3388" t="str">
        <f t="shared" si="681"/>
        <v>2023-08</v>
      </c>
    </row>
    <row r="3389" spans="1:26" x14ac:dyDescent="0.35">
      <c r="A3389" s="1">
        <v>45145</v>
      </c>
      <c r="C3389">
        <v>4337.5</v>
      </c>
      <c r="D3389">
        <f t="shared" si="682"/>
        <v>1.0587735594472557E-3</v>
      </c>
      <c r="E3389" t="str">
        <f t="shared" si="676"/>
        <v>2023-08</v>
      </c>
      <c r="G3389">
        <v>7319.76</v>
      </c>
      <c r="H3389">
        <f t="shared" si="683"/>
        <v>6.4093674618084947E-4</v>
      </c>
      <c r="I3389" t="str">
        <f t="shared" si="677"/>
        <v>2023-08</v>
      </c>
      <c r="K3389">
        <v>15950.76</v>
      </c>
      <c r="L3389">
        <f t="shared" si="684"/>
        <v>-6.8959853481416741E-5</v>
      </c>
      <c r="M3389" t="str">
        <f t="shared" si="678"/>
        <v>2023-08</v>
      </c>
      <c r="O3389">
        <v>8772.7124600000006</v>
      </c>
      <c r="P3389">
        <f t="shared" si="685"/>
        <v>1.1404651684409585E-3</v>
      </c>
      <c r="Q3389" t="str">
        <f t="shared" si="679"/>
        <v>2023-08</v>
      </c>
      <c r="S3389">
        <v>9358.6</v>
      </c>
      <c r="T3389">
        <f t="shared" si="686"/>
        <v>-1.0466172792846901E-3</v>
      </c>
      <c r="U3389" t="str">
        <f t="shared" si="680"/>
        <v>2023-08</v>
      </c>
      <c r="W3389">
        <v>28547.61</v>
      </c>
      <c r="X3389">
        <f t="shared" si="687"/>
        <v>-1.356810988704853E-3</v>
      </c>
      <c r="Y3389">
        <f t="shared" si="688"/>
        <v>-1.3558909368345264E-3</v>
      </c>
      <c r="Z3389" t="str">
        <f t="shared" si="681"/>
        <v>2023-08</v>
      </c>
    </row>
    <row r="3390" spans="1:26" x14ac:dyDescent="0.35">
      <c r="A3390" s="1">
        <v>45146</v>
      </c>
      <c r="C3390">
        <v>4288.8500000000004</v>
      </c>
      <c r="D3390">
        <f t="shared" si="682"/>
        <v>-1.1279513537033404E-2</v>
      </c>
      <c r="E3390" t="str">
        <f t="shared" si="676"/>
        <v>2023-08</v>
      </c>
      <c r="G3390">
        <v>7269.47</v>
      </c>
      <c r="H3390">
        <f t="shared" si="683"/>
        <v>-6.8941540009261199E-3</v>
      </c>
      <c r="I3390" t="str">
        <f t="shared" si="677"/>
        <v>2023-08</v>
      </c>
      <c r="K3390">
        <v>15774.93</v>
      </c>
      <c r="L3390">
        <f t="shared" si="684"/>
        <v>-1.1084505982021287E-2</v>
      </c>
      <c r="M3390" t="str">
        <f t="shared" si="678"/>
        <v>2023-08</v>
      </c>
      <c r="O3390">
        <v>8754.7167399999998</v>
      </c>
      <c r="P3390">
        <f t="shared" si="685"/>
        <v>-2.0534359167052999E-3</v>
      </c>
      <c r="Q3390" t="str">
        <f t="shared" si="679"/>
        <v>2023-08</v>
      </c>
      <c r="S3390">
        <v>9301.7999999999993</v>
      </c>
      <c r="T3390">
        <f t="shared" si="686"/>
        <v>-6.0877768345894588E-3</v>
      </c>
      <c r="U3390" t="str">
        <f t="shared" si="680"/>
        <v>2023-08</v>
      </c>
      <c r="W3390">
        <v>27942.25</v>
      </c>
      <c r="X3390">
        <f t="shared" si="687"/>
        <v>-2.1433339520333126E-2</v>
      </c>
      <c r="Y3390">
        <f t="shared" si="688"/>
        <v>-2.1205277779821168E-2</v>
      </c>
      <c r="Z3390" t="str">
        <f t="shared" si="681"/>
        <v>2023-08</v>
      </c>
    </row>
    <row r="3391" spans="1:26" x14ac:dyDescent="0.35">
      <c r="A3391" s="1">
        <v>45147</v>
      </c>
      <c r="C3391">
        <v>4317.33</v>
      </c>
      <c r="D3391">
        <f t="shared" si="682"/>
        <v>6.6185238894502568E-3</v>
      </c>
      <c r="E3391" t="str">
        <f t="shared" si="676"/>
        <v>2023-08</v>
      </c>
      <c r="G3391">
        <v>7322.04</v>
      </c>
      <c r="H3391">
        <f t="shared" si="683"/>
        <v>7.2055911218304996E-3</v>
      </c>
      <c r="I3391" t="str">
        <f t="shared" si="677"/>
        <v>2023-08</v>
      </c>
      <c r="K3391">
        <v>15852.58</v>
      </c>
      <c r="L3391">
        <f t="shared" si="684"/>
        <v>4.9102920854657353E-3</v>
      </c>
      <c r="M3391" t="str">
        <f t="shared" si="678"/>
        <v>2023-08</v>
      </c>
      <c r="O3391">
        <v>8793.3337499999998</v>
      </c>
      <c r="P3391">
        <f t="shared" si="685"/>
        <v>4.4012948744103228E-3</v>
      </c>
      <c r="Q3391" t="str">
        <f t="shared" si="679"/>
        <v>2023-08</v>
      </c>
      <c r="S3391">
        <v>9354.4</v>
      </c>
      <c r="T3391">
        <f t="shared" si="686"/>
        <v>5.6388910257372492E-3</v>
      </c>
      <c r="U3391" t="str">
        <f t="shared" si="680"/>
        <v>2023-08</v>
      </c>
      <c r="W3391">
        <v>28308.09</v>
      </c>
      <c r="X3391">
        <f t="shared" si="687"/>
        <v>1.3007749228765669E-2</v>
      </c>
      <c r="Y3391">
        <f t="shared" si="688"/>
        <v>1.3092718016623577E-2</v>
      </c>
      <c r="Z3391" t="str">
        <f t="shared" si="681"/>
        <v>2023-08</v>
      </c>
    </row>
    <row r="3392" spans="1:26" x14ac:dyDescent="0.35">
      <c r="A3392" s="1">
        <v>45148</v>
      </c>
      <c r="C3392">
        <v>4384.04</v>
      </c>
      <c r="D3392">
        <f t="shared" si="682"/>
        <v>1.5333518066286869E-2</v>
      </c>
      <c r="E3392" t="str">
        <f t="shared" si="676"/>
        <v>2023-08</v>
      </c>
      <c r="G3392">
        <v>7433.62</v>
      </c>
      <c r="H3392">
        <f t="shared" si="683"/>
        <v>1.5123976405396623E-2</v>
      </c>
      <c r="I3392" t="str">
        <f t="shared" si="677"/>
        <v>2023-08</v>
      </c>
      <c r="K3392">
        <v>15996.52</v>
      </c>
      <c r="L3392">
        <f t="shared" si="684"/>
        <v>9.0389354812794535E-3</v>
      </c>
      <c r="M3392" t="str">
        <f t="shared" si="678"/>
        <v>2023-08</v>
      </c>
      <c r="O3392">
        <v>8796.7054900000003</v>
      </c>
      <c r="P3392">
        <f t="shared" si="685"/>
        <v>3.8336924611617404E-4</v>
      </c>
      <c r="Q3392" t="str">
        <f t="shared" si="679"/>
        <v>2023-08</v>
      </c>
      <c r="S3392">
        <v>9502.2000000000007</v>
      </c>
      <c r="T3392">
        <f t="shared" si="686"/>
        <v>1.5676529899626718E-2</v>
      </c>
      <c r="U3392" t="str">
        <f t="shared" si="680"/>
        <v>2023-08</v>
      </c>
      <c r="W3392">
        <v>28575.05</v>
      </c>
      <c r="X3392">
        <f t="shared" si="687"/>
        <v>9.386329938868088E-3</v>
      </c>
      <c r="Y3392">
        <f t="shared" si="688"/>
        <v>9.4305196853619981E-3</v>
      </c>
      <c r="Z3392" t="str">
        <f t="shared" si="681"/>
        <v>2023-08</v>
      </c>
    </row>
    <row r="3393" spans="1:26" x14ac:dyDescent="0.35">
      <c r="A3393" s="1">
        <v>45149</v>
      </c>
      <c r="C3393">
        <v>4321.33</v>
      </c>
      <c r="D3393">
        <f t="shared" si="682"/>
        <v>-1.4407448447649768E-2</v>
      </c>
      <c r="E3393" t="str">
        <f t="shared" si="676"/>
        <v>2023-08</v>
      </c>
      <c r="G3393">
        <v>7340.19</v>
      </c>
      <c r="H3393">
        <f t="shared" si="683"/>
        <v>-1.2648226226791588E-2</v>
      </c>
      <c r="I3393" t="str">
        <f t="shared" si="677"/>
        <v>2023-08</v>
      </c>
      <c r="K3393">
        <v>15832.17</v>
      </c>
      <c r="L3393">
        <f t="shared" si="684"/>
        <v>-1.0327252594274045E-2</v>
      </c>
      <c r="M3393" t="str">
        <f t="shared" si="678"/>
        <v>2023-08</v>
      </c>
      <c r="O3393">
        <v>8722.8569100000004</v>
      </c>
      <c r="P3393">
        <f t="shared" si="685"/>
        <v>-8.4304636951918789E-3</v>
      </c>
      <c r="Q3393" t="str">
        <f t="shared" si="679"/>
        <v>2023-08</v>
      </c>
      <c r="S3393">
        <v>9434.2999999999993</v>
      </c>
      <c r="T3393">
        <f t="shared" si="686"/>
        <v>-7.1713665143331032E-3</v>
      </c>
      <c r="U3393" t="str">
        <f t="shared" si="680"/>
        <v>2023-08</v>
      </c>
      <c r="W3393">
        <v>28274.74</v>
      </c>
      <c r="X3393">
        <f t="shared" si="687"/>
        <v>-1.0565132903013452E-2</v>
      </c>
      <c r="Y3393">
        <f t="shared" si="688"/>
        <v>-1.0509517918603736E-2</v>
      </c>
      <c r="Z3393" t="str">
        <f t="shared" si="681"/>
        <v>2023-08</v>
      </c>
    </row>
    <row r="3394" spans="1:26" x14ac:dyDescent="0.35">
      <c r="A3394" s="1">
        <v>45152</v>
      </c>
      <c r="C3394">
        <v>4330.2299999999996</v>
      </c>
      <c r="D3394">
        <f t="shared" si="682"/>
        <v>2.0574331425772373E-3</v>
      </c>
      <c r="E3394" t="str">
        <f t="shared" si="676"/>
        <v>2023-08</v>
      </c>
      <c r="G3394">
        <v>7348.84</v>
      </c>
      <c r="H3394">
        <f t="shared" si="683"/>
        <v>1.1777497901310544E-3</v>
      </c>
      <c r="I3394" t="str">
        <f t="shared" si="677"/>
        <v>2023-08</v>
      </c>
      <c r="K3394">
        <v>15904.25</v>
      </c>
      <c r="L3394">
        <f t="shared" si="684"/>
        <v>4.5424231176145304E-3</v>
      </c>
      <c r="M3394" t="str">
        <f t="shared" si="678"/>
        <v>2023-08</v>
      </c>
      <c r="O3394">
        <v>8722.3905200000008</v>
      </c>
      <c r="P3394">
        <f t="shared" si="685"/>
        <v>-5.3469003748057812E-5</v>
      </c>
      <c r="Q3394" t="str">
        <f t="shared" si="679"/>
        <v>2023-08</v>
      </c>
      <c r="S3394">
        <v>9429.6</v>
      </c>
      <c r="T3394">
        <f t="shared" si="686"/>
        <v>-4.9830629904241801E-4</v>
      </c>
      <c r="U3394" t="str">
        <f t="shared" si="680"/>
        <v>2023-08</v>
      </c>
      <c r="W3394">
        <v>28435.49</v>
      </c>
      <c r="X3394">
        <f t="shared" si="687"/>
        <v>5.6691863368383694E-3</v>
      </c>
      <c r="Y3394">
        <f t="shared" si="688"/>
        <v>5.6852865844212886E-3</v>
      </c>
      <c r="Z3394" t="str">
        <f t="shared" si="681"/>
        <v>2023-08</v>
      </c>
    </row>
    <row r="3395" spans="1:26" x14ac:dyDescent="0.35">
      <c r="A3395" s="1">
        <v>45154</v>
      </c>
      <c r="C3395">
        <v>4284.2700000000004</v>
      </c>
      <c r="D3395">
        <f t="shared" si="682"/>
        <v>-1.0670482577027423E-2</v>
      </c>
      <c r="E3395" t="str">
        <f t="shared" si="676"/>
        <v>2023-08</v>
      </c>
      <c r="G3395">
        <v>7260.25</v>
      </c>
      <c r="H3395">
        <f t="shared" si="683"/>
        <v>-1.2128214134580394E-2</v>
      </c>
      <c r="I3395" t="str">
        <f t="shared" si="677"/>
        <v>2023-08</v>
      </c>
      <c r="K3395">
        <v>15789.45</v>
      </c>
      <c r="L3395">
        <f t="shared" si="684"/>
        <v>-7.2443736179307553E-3</v>
      </c>
      <c r="M3395" t="str">
        <f t="shared" si="678"/>
        <v>2023-08</v>
      </c>
      <c r="O3395">
        <v>8604.3127600000007</v>
      </c>
      <c r="P3395">
        <f t="shared" si="685"/>
        <v>-1.3629781273161945E-2</v>
      </c>
      <c r="Q3395" t="str">
        <f t="shared" si="679"/>
        <v>2023-08</v>
      </c>
      <c r="S3395">
        <v>9350.5</v>
      </c>
      <c r="T3395">
        <f t="shared" si="686"/>
        <v>-8.4238601235851144E-3</v>
      </c>
      <c r="U3395" t="str">
        <f t="shared" si="680"/>
        <v>2023-08</v>
      </c>
      <c r="W3395">
        <v>28169.96</v>
      </c>
      <c r="X3395">
        <f t="shared" si="687"/>
        <v>-9.3818509574745152E-3</v>
      </c>
      <c r="Y3395">
        <f t="shared" si="688"/>
        <v>-9.3379787019672415E-3</v>
      </c>
      <c r="Z3395" t="str">
        <f t="shared" si="681"/>
        <v>2023-08</v>
      </c>
    </row>
    <row r="3396" spans="1:26" x14ac:dyDescent="0.35">
      <c r="A3396" s="1">
        <v>45155</v>
      </c>
      <c r="C3396">
        <v>4227.83</v>
      </c>
      <c r="D3396">
        <f t="shared" si="682"/>
        <v>-1.3261316746193626E-2</v>
      </c>
      <c r="E3396" t="str">
        <f t="shared" ref="E3396:E3459" si="689">_xlfn.CONCAT(YEAR(A3396),"-",TEXT(MONTH(A3396),"00"))</f>
        <v>2023-08</v>
      </c>
      <c r="G3396">
        <v>7191.74</v>
      </c>
      <c r="H3396">
        <f t="shared" si="683"/>
        <v>-9.4811182688859692E-3</v>
      </c>
      <c r="I3396" t="str">
        <f t="shared" ref="I3396:I3459" si="690">_xlfn.CONCAT(YEAR(A3396),"-",TEXT(MONTH(A3396),"00"))</f>
        <v>2023-08</v>
      </c>
      <c r="K3396">
        <v>15676.9</v>
      </c>
      <c r="L3396">
        <f t="shared" si="684"/>
        <v>-7.153704194034753E-3</v>
      </c>
      <c r="M3396" t="str">
        <f t="shared" ref="M3396:M3459" si="691">_xlfn.CONCAT(YEAR(A3396),"-",TEXT(MONTH(A3396),"00"))</f>
        <v>2023-08</v>
      </c>
      <c r="O3396">
        <v>8574.9475600000005</v>
      </c>
      <c r="P3396">
        <f t="shared" si="685"/>
        <v>-3.4186836980448915E-3</v>
      </c>
      <c r="Q3396" t="str">
        <f t="shared" ref="Q3396:Q3459" si="692">_xlfn.CONCAT(YEAR(A3396),"-",TEXT(MONTH(A3396),"00"))</f>
        <v>2023-08</v>
      </c>
      <c r="S3396">
        <v>9278</v>
      </c>
      <c r="T3396">
        <f t="shared" si="686"/>
        <v>-7.7838114770856373E-3</v>
      </c>
      <c r="U3396" t="str">
        <f t="shared" ref="U3396:U3459" si="693">_xlfn.CONCAT(YEAR(A3396),"-",TEXT(MONTH(A3396),"00"))</f>
        <v>2023-08</v>
      </c>
      <c r="W3396">
        <v>27879.35</v>
      </c>
      <c r="X3396">
        <f t="shared" si="687"/>
        <v>-1.0369890520158801E-2</v>
      </c>
      <c r="Y3396">
        <f t="shared" si="688"/>
        <v>-1.031630857835796E-2</v>
      </c>
      <c r="Z3396" t="str">
        <f t="shared" ref="Z3396:Z3459" si="694">_xlfn.CONCAT(YEAR(A3396),"-",TEXT(MONTH(A3396),"00"))</f>
        <v>2023-08</v>
      </c>
    </row>
    <row r="3397" spans="1:26" x14ac:dyDescent="0.35">
      <c r="A3397" s="1">
        <v>45156</v>
      </c>
      <c r="C3397">
        <v>4212.95</v>
      </c>
      <c r="D3397">
        <f t="shared" ref="D3397:D3460" si="695">LN(C3397/C3396)</f>
        <v>-3.5257441644677228E-3</v>
      </c>
      <c r="E3397" t="str">
        <f t="shared" si="689"/>
        <v>2023-08</v>
      </c>
      <c r="G3397">
        <v>7164.11</v>
      </c>
      <c r="H3397">
        <f t="shared" ref="H3397:H3460" si="696">LN(G3397/G3396)</f>
        <v>-3.8493066055308883E-3</v>
      </c>
      <c r="I3397" t="str">
        <f t="shared" si="690"/>
        <v>2023-08</v>
      </c>
      <c r="K3397">
        <v>15574.26</v>
      </c>
      <c r="L3397">
        <f t="shared" ref="L3397:L3460" si="697">LN(K3397/K3396)</f>
        <v>-6.5687397883399225E-3</v>
      </c>
      <c r="M3397" t="str">
        <f t="shared" si="691"/>
        <v>2023-08</v>
      </c>
      <c r="O3397">
        <v>8512.7996299999995</v>
      </c>
      <c r="P3397">
        <f t="shared" ref="P3397:P3460" si="698">LN(O3397/O3396)</f>
        <v>-7.2740078999856224E-3</v>
      </c>
      <c r="Q3397" t="str">
        <f t="shared" si="692"/>
        <v>2023-08</v>
      </c>
      <c r="S3397">
        <v>9267.7000000000007</v>
      </c>
      <c r="T3397">
        <f t="shared" ref="T3397:T3460" si="699">LN(S3397/S3396)</f>
        <v>-1.1107697265693417E-3</v>
      </c>
      <c r="U3397" t="str">
        <f t="shared" si="693"/>
        <v>2023-08</v>
      </c>
      <c r="W3397">
        <v>27761.98</v>
      </c>
      <c r="X3397">
        <f t="shared" ref="X3397:X3460" si="700">LN(W3397/W3396)</f>
        <v>-4.2188126733469535E-3</v>
      </c>
      <c r="Y3397">
        <f t="shared" ref="Y3397:Y3460" si="701">(W3397-W3396)/W3396</f>
        <v>-4.2099259846445124E-3</v>
      </c>
      <c r="Z3397" t="str">
        <f t="shared" si="694"/>
        <v>2023-08</v>
      </c>
    </row>
    <row r="3398" spans="1:26" x14ac:dyDescent="0.35">
      <c r="A3398" s="1">
        <v>45159</v>
      </c>
      <c r="C3398">
        <v>4224.87</v>
      </c>
      <c r="D3398">
        <f t="shared" si="695"/>
        <v>2.8253762060654365E-3</v>
      </c>
      <c r="E3398" t="str">
        <f t="shared" si="689"/>
        <v>2023-08</v>
      </c>
      <c r="G3398">
        <v>7198.06</v>
      </c>
      <c r="H3398">
        <f t="shared" si="696"/>
        <v>4.7277066397732699E-3</v>
      </c>
      <c r="I3398" t="str">
        <f t="shared" si="690"/>
        <v>2023-08</v>
      </c>
      <c r="K3398">
        <v>15603.28</v>
      </c>
      <c r="L3398">
        <f t="shared" si="697"/>
        <v>1.8615970587056228E-3</v>
      </c>
      <c r="M3398" t="str">
        <f t="shared" si="691"/>
        <v>2023-08</v>
      </c>
      <c r="O3398">
        <v>8492.7545200000004</v>
      </c>
      <c r="P3398">
        <f t="shared" si="698"/>
        <v>-2.3574791044062749E-3</v>
      </c>
      <c r="Q3398" t="str">
        <f t="shared" si="692"/>
        <v>2023-08</v>
      </c>
      <c r="S3398">
        <v>9262.7999999999993</v>
      </c>
      <c r="T3398">
        <f t="shared" si="699"/>
        <v>-5.28857841311229E-4</v>
      </c>
      <c r="U3398" t="str">
        <f t="shared" si="693"/>
        <v>2023-08</v>
      </c>
      <c r="W3398">
        <v>27986.92</v>
      </c>
      <c r="X3398">
        <f t="shared" si="700"/>
        <v>8.0697994293785508E-3</v>
      </c>
      <c r="Y3398">
        <f t="shared" si="701"/>
        <v>8.1024480242402989E-3</v>
      </c>
      <c r="Z3398" t="str">
        <f t="shared" si="694"/>
        <v>2023-08</v>
      </c>
    </row>
    <row r="3399" spans="1:26" x14ac:dyDescent="0.35">
      <c r="A3399" s="1">
        <v>45160</v>
      </c>
      <c r="C3399">
        <v>4260.37</v>
      </c>
      <c r="D3399">
        <f t="shared" si="695"/>
        <v>8.3675198647572488E-3</v>
      </c>
      <c r="E3399" t="str">
        <f t="shared" si="689"/>
        <v>2023-08</v>
      </c>
      <c r="G3399">
        <v>7240.88</v>
      </c>
      <c r="H3399">
        <f t="shared" si="696"/>
        <v>5.931200701828507E-3</v>
      </c>
      <c r="I3399" t="str">
        <f t="shared" si="690"/>
        <v>2023-08</v>
      </c>
      <c r="K3399">
        <v>15705.62</v>
      </c>
      <c r="L3399">
        <f t="shared" si="697"/>
        <v>6.5374615197012582E-3</v>
      </c>
      <c r="M3399" t="str">
        <f t="shared" si="691"/>
        <v>2023-08</v>
      </c>
      <c r="O3399">
        <v>8533.9289000000008</v>
      </c>
      <c r="P3399">
        <f t="shared" si="698"/>
        <v>4.8364627737238434E-3</v>
      </c>
      <c r="Q3399" t="str">
        <f t="shared" si="692"/>
        <v>2023-08</v>
      </c>
      <c r="S3399">
        <v>9314</v>
      </c>
      <c r="T3399">
        <f t="shared" si="699"/>
        <v>5.5122657985141937E-3</v>
      </c>
      <c r="U3399" t="str">
        <f t="shared" si="693"/>
        <v>2023-08</v>
      </c>
      <c r="W3399">
        <v>28164.99</v>
      </c>
      <c r="X3399">
        <f t="shared" si="700"/>
        <v>6.3424591231752729E-3</v>
      </c>
      <c r="Y3399">
        <f t="shared" si="701"/>
        <v>6.3626151073431217E-3</v>
      </c>
      <c r="Z3399" t="str">
        <f t="shared" si="694"/>
        <v>2023-08</v>
      </c>
    </row>
    <row r="3400" spans="1:26" x14ac:dyDescent="0.35">
      <c r="A3400" s="1">
        <v>45161</v>
      </c>
      <c r="C3400">
        <v>4266.67</v>
      </c>
      <c r="D3400">
        <f t="shared" si="695"/>
        <v>1.4776525374139572E-3</v>
      </c>
      <c r="E3400" t="str">
        <f t="shared" si="689"/>
        <v>2023-08</v>
      </c>
      <c r="G3400">
        <v>7246.62</v>
      </c>
      <c r="H3400">
        <f t="shared" si="696"/>
        <v>7.9240728909063095E-4</v>
      </c>
      <c r="I3400" t="str">
        <f t="shared" si="690"/>
        <v>2023-08</v>
      </c>
      <c r="K3400">
        <v>15728.41</v>
      </c>
      <c r="L3400">
        <f t="shared" si="697"/>
        <v>1.4500211390720719E-3</v>
      </c>
      <c r="M3400" t="str">
        <f t="shared" si="691"/>
        <v>2023-08</v>
      </c>
      <c r="O3400">
        <v>8572.6283800000001</v>
      </c>
      <c r="P3400">
        <f t="shared" si="698"/>
        <v>4.5245276867534124E-3</v>
      </c>
      <c r="Q3400" t="str">
        <f t="shared" si="692"/>
        <v>2023-08</v>
      </c>
      <c r="S3400">
        <v>9315.6</v>
      </c>
      <c r="T3400">
        <f t="shared" si="699"/>
        <v>1.7176965731257313E-4</v>
      </c>
      <c r="U3400" t="str">
        <f t="shared" si="693"/>
        <v>2023-08</v>
      </c>
      <c r="W3400">
        <v>28233.8</v>
      </c>
      <c r="X3400">
        <f t="shared" si="700"/>
        <v>2.4401244828979318E-3</v>
      </c>
      <c r="Y3400">
        <f t="shared" si="701"/>
        <v>2.4431040096232121E-3</v>
      </c>
      <c r="Z3400" t="str">
        <f t="shared" si="694"/>
        <v>2023-08</v>
      </c>
    </row>
    <row r="3401" spans="1:26" x14ac:dyDescent="0.35">
      <c r="A3401" s="1">
        <v>45162</v>
      </c>
      <c r="C3401">
        <v>4232.22</v>
      </c>
      <c r="D3401">
        <f t="shared" si="695"/>
        <v>-8.1069854251985159E-3</v>
      </c>
      <c r="E3401" t="str">
        <f t="shared" si="689"/>
        <v>2023-08</v>
      </c>
      <c r="G3401">
        <v>7214.46</v>
      </c>
      <c r="H3401">
        <f t="shared" si="696"/>
        <v>-4.447807911775516E-3</v>
      </c>
      <c r="I3401" t="str">
        <f t="shared" si="690"/>
        <v>2023-08</v>
      </c>
      <c r="K3401">
        <v>15621.49</v>
      </c>
      <c r="L3401">
        <f t="shared" si="697"/>
        <v>-6.8211008366189842E-3</v>
      </c>
      <c r="M3401" t="str">
        <f t="shared" si="691"/>
        <v>2023-08</v>
      </c>
      <c r="O3401">
        <v>8555.5628099999994</v>
      </c>
      <c r="P3401">
        <f t="shared" si="698"/>
        <v>-1.9926885983117663E-3</v>
      </c>
      <c r="Q3401" t="str">
        <f t="shared" si="692"/>
        <v>2023-08</v>
      </c>
      <c r="S3401">
        <v>9324.7000000000007</v>
      </c>
      <c r="T3401">
        <f t="shared" si="699"/>
        <v>9.7637921309545229E-4</v>
      </c>
      <c r="U3401" t="str">
        <f t="shared" si="693"/>
        <v>2023-08</v>
      </c>
      <c r="W3401">
        <v>28072.12</v>
      </c>
      <c r="X3401">
        <f t="shared" si="700"/>
        <v>-5.7429287849972335E-3</v>
      </c>
      <c r="Y3401">
        <f t="shared" si="701"/>
        <v>-5.726469692354564E-3</v>
      </c>
      <c r="Z3401" t="str">
        <f t="shared" si="694"/>
        <v>2023-08</v>
      </c>
    </row>
    <row r="3402" spans="1:26" x14ac:dyDescent="0.35">
      <c r="A3402" s="1">
        <v>45163</v>
      </c>
      <c r="C3402">
        <v>4236.25</v>
      </c>
      <c r="D3402">
        <f t="shared" si="695"/>
        <v>9.5176585716594503E-4</v>
      </c>
      <c r="E3402" t="str">
        <f t="shared" si="689"/>
        <v>2023-08</v>
      </c>
      <c r="G3402">
        <v>7229.6</v>
      </c>
      <c r="H3402">
        <f t="shared" si="696"/>
        <v>2.0963642555765537E-3</v>
      </c>
      <c r="I3402" t="str">
        <f t="shared" si="690"/>
        <v>2023-08</v>
      </c>
      <c r="K3402">
        <v>15631.82</v>
      </c>
      <c r="L3402">
        <f t="shared" si="697"/>
        <v>6.610500056583638E-4</v>
      </c>
      <c r="M3402" t="str">
        <f t="shared" si="691"/>
        <v>2023-08</v>
      </c>
      <c r="O3402">
        <v>8552.6133300000001</v>
      </c>
      <c r="P3402">
        <f t="shared" si="698"/>
        <v>-3.4480356118447495E-4</v>
      </c>
      <c r="Q3402" t="str">
        <f t="shared" si="692"/>
        <v>2023-08</v>
      </c>
      <c r="S3402">
        <v>9338.9</v>
      </c>
      <c r="T3402">
        <f t="shared" si="699"/>
        <v>1.5216788550992963E-3</v>
      </c>
      <c r="U3402" t="str">
        <f t="shared" si="693"/>
        <v>2023-08</v>
      </c>
      <c r="W3402">
        <v>28208.45</v>
      </c>
      <c r="X3402">
        <f t="shared" si="700"/>
        <v>4.8446654555045756E-3</v>
      </c>
      <c r="Y3402">
        <f t="shared" si="701"/>
        <v>4.8564198215169264E-3</v>
      </c>
      <c r="Z3402" t="str">
        <f t="shared" si="694"/>
        <v>2023-08</v>
      </c>
    </row>
    <row r="3403" spans="1:26" x14ac:dyDescent="0.35">
      <c r="A3403" s="1">
        <v>45167</v>
      </c>
      <c r="C3403">
        <v>4326.47</v>
      </c>
      <c r="D3403">
        <f t="shared" si="695"/>
        <v>2.1073523090166552E-2</v>
      </c>
      <c r="E3403" t="str">
        <f t="shared" si="689"/>
        <v>2023-08</v>
      </c>
      <c r="G3403">
        <v>7373.43</v>
      </c>
      <c r="H3403">
        <f t="shared" si="696"/>
        <v>1.9699288601890175E-2</v>
      </c>
      <c r="I3403" t="str">
        <f t="shared" si="690"/>
        <v>2023-08</v>
      </c>
      <c r="K3403">
        <v>15930.88</v>
      </c>
      <c r="L3403">
        <f t="shared" si="697"/>
        <v>1.8950783685772438E-2</v>
      </c>
      <c r="M3403" t="str">
        <f t="shared" si="691"/>
        <v>2023-08</v>
      </c>
      <c r="O3403">
        <v>8672.3901100000003</v>
      </c>
      <c r="P3403">
        <f t="shared" si="698"/>
        <v>1.390753981672194E-2</v>
      </c>
      <c r="Q3403" t="str">
        <f t="shared" si="692"/>
        <v>2023-08</v>
      </c>
      <c r="S3403">
        <v>9581.2000000000007</v>
      </c>
      <c r="T3403">
        <f t="shared" si="699"/>
        <v>2.561437281291153E-2</v>
      </c>
      <c r="U3403" t="str">
        <f t="shared" si="693"/>
        <v>2023-08</v>
      </c>
      <c r="W3403">
        <v>28889.759999999998</v>
      </c>
      <c r="X3403">
        <f t="shared" si="700"/>
        <v>2.3865628621419058E-2</v>
      </c>
      <c r="Y3403">
        <f t="shared" si="701"/>
        <v>2.4152691835247864E-2</v>
      </c>
      <c r="Z3403" t="str">
        <f t="shared" si="694"/>
        <v>2023-08</v>
      </c>
    </row>
    <row r="3404" spans="1:26" x14ac:dyDescent="0.35">
      <c r="A3404" s="1">
        <v>45168</v>
      </c>
      <c r="C3404">
        <v>4315.3100000000004</v>
      </c>
      <c r="D3404">
        <f t="shared" si="695"/>
        <v>-2.5828026642446176E-3</v>
      </c>
      <c r="E3404" t="str">
        <f t="shared" si="689"/>
        <v>2023-08</v>
      </c>
      <c r="G3404">
        <v>7364.4</v>
      </c>
      <c r="H3404">
        <f t="shared" si="696"/>
        <v>-1.2254180065846857E-3</v>
      </c>
      <c r="I3404" t="str">
        <f t="shared" si="690"/>
        <v>2023-08</v>
      </c>
      <c r="K3404">
        <v>15891.93</v>
      </c>
      <c r="L3404">
        <f t="shared" si="697"/>
        <v>-2.4479308678407763E-3</v>
      </c>
      <c r="M3404" t="str">
        <f t="shared" si="691"/>
        <v>2023-08</v>
      </c>
      <c r="O3404">
        <v>8698.0768599999992</v>
      </c>
      <c r="P3404">
        <f t="shared" si="698"/>
        <v>2.9575219558256459E-3</v>
      </c>
      <c r="Q3404" t="str">
        <f t="shared" si="692"/>
        <v>2023-08</v>
      </c>
      <c r="S3404">
        <v>9551.1</v>
      </c>
      <c r="T3404">
        <f t="shared" si="699"/>
        <v>-3.1465139929728256E-3</v>
      </c>
      <c r="U3404" t="str">
        <f t="shared" si="693"/>
        <v>2023-08</v>
      </c>
      <c r="W3404">
        <v>28916.7</v>
      </c>
      <c r="X3404">
        <f t="shared" si="700"/>
        <v>9.3207582510257164E-4</v>
      </c>
      <c r="Y3404">
        <f t="shared" si="701"/>
        <v>9.3251034276512954E-4</v>
      </c>
      <c r="Z3404" t="str">
        <f t="shared" si="694"/>
        <v>2023-08</v>
      </c>
    </row>
    <row r="3405" spans="1:26" x14ac:dyDescent="0.35">
      <c r="A3405" s="1">
        <v>45169</v>
      </c>
      <c r="C3405">
        <v>4297.1099999999997</v>
      </c>
      <c r="D3405">
        <f t="shared" si="695"/>
        <v>-4.2264606445489555E-3</v>
      </c>
      <c r="E3405" t="str">
        <f t="shared" si="689"/>
        <v>2023-08</v>
      </c>
      <c r="G3405">
        <v>7316.7</v>
      </c>
      <c r="H3405">
        <f t="shared" si="696"/>
        <v>-6.4981735495655245E-3</v>
      </c>
      <c r="I3405" t="str">
        <f t="shared" si="690"/>
        <v>2023-08</v>
      </c>
      <c r="K3405">
        <v>15947.08</v>
      </c>
      <c r="L3405">
        <f t="shared" si="697"/>
        <v>3.4643071600864409E-3</v>
      </c>
      <c r="M3405" t="str">
        <f t="shared" si="691"/>
        <v>2023-08</v>
      </c>
      <c r="O3405">
        <v>8690.9957699999995</v>
      </c>
      <c r="P3405">
        <f t="shared" si="698"/>
        <v>-8.1442990573148859E-4</v>
      </c>
      <c r="Q3405" t="str">
        <f t="shared" si="692"/>
        <v>2023-08</v>
      </c>
      <c r="S3405">
        <v>9505.9</v>
      </c>
      <c r="T3405">
        <f t="shared" si="699"/>
        <v>-4.7436726409321632E-3</v>
      </c>
      <c r="U3405" t="str">
        <f t="shared" si="693"/>
        <v>2023-08</v>
      </c>
      <c r="W3405">
        <v>28831.52</v>
      </c>
      <c r="X3405">
        <f t="shared" si="700"/>
        <v>-2.9500497773030376E-3</v>
      </c>
      <c r="Y3405">
        <f t="shared" si="701"/>
        <v>-2.9457026562505501E-3</v>
      </c>
      <c r="Z3405" t="str">
        <f t="shared" si="694"/>
        <v>2023-08</v>
      </c>
    </row>
    <row r="3406" spans="1:26" x14ac:dyDescent="0.35">
      <c r="A3406" s="1">
        <v>45170</v>
      </c>
      <c r="C3406">
        <v>4282.6400000000003</v>
      </c>
      <c r="D3406">
        <f t="shared" si="695"/>
        <v>-3.3730618536487044E-3</v>
      </c>
      <c r="E3406" t="str">
        <f t="shared" si="689"/>
        <v>2023-09</v>
      </c>
      <c r="G3406">
        <v>7296.77</v>
      </c>
      <c r="H3406">
        <f t="shared" si="696"/>
        <v>-2.7276221672839322E-3</v>
      </c>
      <c r="I3406" t="str">
        <f t="shared" si="690"/>
        <v>2023-09</v>
      </c>
      <c r="K3406">
        <v>15840.34</v>
      </c>
      <c r="L3406">
        <f t="shared" si="697"/>
        <v>-6.7158895684153643E-3</v>
      </c>
      <c r="M3406" t="str">
        <f t="shared" si="691"/>
        <v>2023-09</v>
      </c>
      <c r="O3406">
        <v>8713.9367600000005</v>
      </c>
      <c r="P3406">
        <f t="shared" si="698"/>
        <v>2.6361496369776004E-3</v>
      </c>
      <c r="Q3406" t="str">
        <f t="shared" si="692"/>
        <v>2023-09</v>
      </c>
      <c r="S3406">
        <v>9449.6</v>
      </c>
      <c r="T3406">
        <f t="shared" si="699"/>
        <v>-5.9402458972327441E-3</v>
      </c>
      <c r="U3406" t="str">
        <f t="shared" si="693"/>
        <v>2023-09</v>
      </c>
      <c r="W3406">
        <v>28650.49</v>
      </c>
      <c r="X3406">
        <f t="shared" si="700"/>
        <v>-6.2986871373079201E-3</v>
      </c>
      <c r="Y3406">
        <f t="shared" si="701"/>
        <v>-6.2788919904326525E-3</v>
      </c>
      <c r="Z3406" t="str">
        <f t="shared" si="694"/>
        <v>2023-09</v>
      </c>
    </row>
    <row r="3407" spans="1:26" x14ac:dyDescent="0.35">
      <c r="A3407" s="1">
        <v>45173</v>
      </c>
      <c r="C3407">
        <v>4279.87</v>
      </c>
      <c r="D3407">
        <f t="shared" si="695"/>
        <v>-6.4700656621281783E-4</v>
      </c>
      <c r="E3407" t="str">
        <f t="shared" si="689"/>
        <v>2023-09</v>
      </c>
      <c r="G3407">
        <v>7279.51</v>
      </c>
      <c r="H3407">
        <f t="shared" si="696"/>
        <v>-2.3682322330425437E-3</v>
      </c>
      <c r="I3407" t="str">
        <f t="shared" si="690"/>
        <v>2023-09</v>
      </c>
      <c r="K3407">
        <v>15824.85</v>
      </c>
      <c r="L3407">
        <f t="shared" si="697"/>
        <v>-9.7836149005100918E-4</v>
      </c>
      <c r="M3407" t="str">
        <f t="shared" si="691"/>
        <v>2023-09</v>
      </c>
      <c r="O3407">
        <v>8719.7430100000001</v>
      </c>
      <c r="P3407">
        <f t="shared" si="698"/>
        <v>6.6609577453285746E-4</v>
      </c>
      <c r="Q3407" t="str">
        <f t="shared" si="692"/>
        <v>2023-09</v>
      </c>
      <c r="S3407">
        <v>9416.2999999999993</v>
      </c>
      <c r="T3407">
        <f t="shared" si="699"/>
        <v>-3.5301824543293035E-3</v>
      </c>
      <c r="U3407" t="str">
        <f t="shared" si="693"/>
        <v>2023-09</v>
      </c>
      <c r="W3407">
        <v>28647.33</v>
      </c>
      <c r="X3407">
        <f t="shared" si="700"/>
        <v>-1.1030088066886223E-4</v>
      </c>
      <c r="Y3407">
        <f t="shared" si="701"/>
        <v>-1.1029479775039988E-4</v>
      </c>
      <c r="Z3407" t="str">
        <f t="shared" si="694"/>
        <v>2023-09</v>
      </c>
    </row>
    <row r="3408" spans="1:26" x14ac:dyDescent="0.35">
      <c r="A3408" s="1">
        <v>45174</v>
      </c>
      <c r="C3408">
        <v>4269.16</v>
      </c>
      <c r="D3408">
        <f t="shared" si="695"/>
        <v>-2.5055487237529944E-3</v>
      </c>
      <c r="E3408" t="str">
        <f t="shared" si="689"/>
        <v>2023-09</v>
      </c>
      <c r="G3408">
        <v>7254.72</v>
      </c>
      <c r="H3408">
        <f t="shared" si="696"/>
        <v>-3.4112607326948342E-3</v>
      </c>
      <c r="I3408" t="str">
        <f t="shared" si="690"/>
        <v>2023-09</v>
      </c>
      <c r="K3408">
        <v>15771.71</v>
      </c>
      <c r="L3408">
        <f t="shared" si="697"/>
        <v>-3.3636604809569809E-3</v>
      </c>
      <c r="M3408" t="str">
        <f t="shared" si="691"/>
        <v>2023-09</v>
      </c>
      <c r="O3408">
        <v>8718.2521500000003</v>
      </c>
      <c r="P3408">
        <f t="shared" si="698"/>
        <v>-1.7098984028298675E-4</v>
      </c>
      <c r="Q3408" t="str">
        <f t="shared" si="692"/>
        <v>2023-09</v>
      </c>
      <c r="S3408">
        <v>9392</v>
      </c>
      <c r="T3408">
        <f t="shared" si="699"/>
        <v>-2.583967027396503E-3</v>
      </c>
      <c r="U3408" t="str">
        <f t="shared" si="693"/>
        <v>2023-09</v>
      </c>
      <c r="W3408">
        <v>28652.18</v>
      </c>
      <c r="X3408">
        <f t="shared" si="700"/>
        <v>1.692859157638158E-4</v>
      </c>
      <c r="Y3408">
        <f t="shared" si="701"/>
        <v>1.6930024543294417E-4</v>
      </c>
      <c r="Z3408" t="str">
        <f t="shared" si="694"/>
        <v>2023-09</v>
      </c>
    </row>
    <row r="3409" spans="1:26" x14ac:dyDescent="0.35">
      <c r="A3409" s="1">
        <v>45175</v>
      </c>
      <c r="C3409">
        <v>4238.26</v>
      </c>
      <c r="D3409">
        <f t="shared" si="695"/>
        <v>-7.2642789193390345E-3</v>
      </c>
      <c r="E3409" t="str">
        <f t="shared" si="689"/>
        <v>2023-09</v>
      </c>
      <c r="G3409">
        <v>7194.09</v>
      </c>
      <c r="H3409">
        <f t="shared" si="696"/>
        <v>-8.3924358977957667E-3</v>
      </c>
      <c r="I3409" t="str">
        <f t="shared" si="690"/>
        <v>2023-09</v>
      </c>
      <c r="K3409">
        <v>15741.37</v>
      </c>
      <c r="L3409">
        <f t="shared" si="697"/>
        <v>-1.9255502397359937E-3</v>
      </c>
      <c r="M3409" t="str">
        <f t="shared" si="691"/>
        <v>2023-09</v>
      </c>
      <c r="O3409">
        <v>8659.7894099999994</v>
      </c>
      <c r="P3409">
        <f t="shared" si="698"/>
        <v>-6.7283715893376519E-3</v>
      </c>
      <c r="Q3409" t="str">
        <f t="shared" si="692"/>
        <v>2023-09</v>
      </c>
      <c r="S3409">
        <v>9314.4</v>
      </c>
      <c r="T3409">
        <f t="shared" si="699"/>
        <v>-8.2966733450715122E-3</v>
      </c>
      <c r="U3409" t="str">
        <f t="shared" si="693"/>
        <v>2023-09</v>
      </c>
      <c r="W3409">
        <v>28211.46</v>
      </c>
      <c r="X3409">
        <f t="shared" si="700"/>
        <v>-1.5501252644837817E-2</v>
      </c>
      <c r="Y3409">
        <f t="shared" si="701"/>
        <v>-1.5381726626036872E-2</v>
      </c>
      <c r="Z3409" t="str">
        <f t="shared" si="694"/>
        <v>2023-09</v>
      </c>
    </row>
    <row r="3410" spans="1:26" x14ac:dyDescent="0.35">
      <c r="A3410" s="1">
        <v>45176</v>
      </c>
      <c r="C3410">
        <v>4221.0200000000004</v>
      </c>
      <c r="D3410">
        <f t="shared" si="695"/>
        <v>-4.0760026547134766E-3</v>
      </c>
      <c r="E3410" t="str">
        <f t="shared" si="689"/>
        <v>2023-09</v>
      </c>
      <c r="G3410">
        <v>7196.1</v>
      </c>
      <c r="H3410">
        <f t="shared" si="696"/>
        <v>2.7935698042519451E-4</v>
      </c>
      <c r="I3410" t="str">
        <f t="shared" si="690"/>
        <v>2023-09</v>
      </c>
      <c r="K3410">
        <v>15718.66</v>
      </c>
      <c r="L3410">
        <f t="shared" si="697"/>
        <v>-1.4437369541403671E-3</v>
      </c>
      <c r="M3410" t="str">
        <f t="shared" si="691"/>
        <v>2023-09</v>
      </c>
      <c r="O3410">
        <v>8672.9686999999994</v>
      </c>
      <c r="P3410">
        <f t="shared" si="698"/>
        <v>1.5207380679146377E-3</v>
      </c>
      <c r="Q3410" t="str">
        <f t="shared" si="692"/>
        <v>2023-09</v>
      </c>
      <c r="S3410">
        <v>9310</v>
      </c>
      <c r="T3410">
        <f t="shared" si="699"/>
        <v>-4.724984516934704E-4</v>
      </c>
      <c r="U3410" t="str">
        <f t="shared" si="693"/>
        <v>2023-09</v>
      </c>
      <c r="W3410">
        <v>28155.58</v>
      </c>
      <c r="X3410">
        <f t="shared" si="700"/>
        <v>-1.9827196285694209E-3</v>
      </c>
      <c r="Y3410">
        <f t="shared" si="701"/>
        <v>-1.9807553384332956E-3</v>
      </c>
      <c r="Z3410" t="str">
        <f t="shared" si="694"/>
        <v>2023-09</v>
      </c>
    </row>
    <row r="3411" spans="1:26" x14ac:dyDescent="0.35">
      <c r="A3411" s="1">
        <v>45177</v>
      </c>
      <c r="C3411">
        <v>4237.1899999999996</v>
      </c>
      <c r="D3411">
        <f t="shared" si="695"/>
        <v>3.823508685500012E-3</v>
      </c>
      <c r="E3411" t="str">
        <f t="shared" si="689"/>
        <v>2023-09</v>
      </c>
      <c r="G3411">
        <v>7240.77</v>
      </c>
      <c r="H3411">
        <f t="shared" si="696"/>
        <v>6.1883417326860819E-3</v>
      </c>
      <c r="I3411" t="str">
        <f t="shared" si="690"/>
        <v>2023-09</v>
      </c>
      <c r="K3411">
        <v>15744.75</v>
      </c>
      <c r="L3411">
        <f t="shared" si="697"/>
        <v>1.6584347329066664E-3</v>
      </c>
      <c r="M3411" t="str">
        <f t="shared" si="691"/>
        <v>2023-09</v>
      </c>
      <c r="O3411">
        <v>8705.57719</v>
      </c>
      <c r="P3411">
        <f t="shared" si="698"/>
        <v>3.7527337989268655E-3</v>
      </c>
      <c r="Q3411" t="str">
        <f t="shared" si="692"/>
        <v>2023-09</v>
      </c>
      <c r="S3411">
        <v>9364.6</v>
      </c>
      <c r="T3411">
        <f t="shared" si="699"/>
        <v>5.84753146850823E-3</v>
      </c>
      <c r="U3411" t="str">
        <f t="shared" si="693"/>
        <v>2023-09</v>
      </c>
      <c r="W3411">
        <v>28233.200000000001</v>
      </c>
      <c r="X3411">
        <f t="shared" si="700"/>
        <v>2.7530316855472149E-3</v>
      </c>
      <c r="Y3411">
        <f t="shared" si="701"/>
        <v>2.7568247572949652E-3</v>
      </c>
      <c r="Z3411" t="str">
        <f t="shared" si="694"/>
        <v>2023-09</v>
      </c>
    </row>
    <row r="3412" spans="1:26" x14ac:dyDescent="0.35">
      <c r="A3412" s="1">
        <v>45180</v>
      </c>
      <c r="C3412">
        <v>4254.33</v>
      </c>
      <c r="D3412">
        <f t="shared" si="695"/>
        <v>4.0369741289595024E-3</v>
      </c>
      <c r="E3412" t="str">
        <f t="shared" si="689"/>
        <v>2023-09</v>
      </c>
      <c r="G3412">
        <v>7278.27</v>
      </c>
      <c r="H3412">
        <f t="shared" si="696"/>
        <v>5.1656422720821431E-3</v>
      </c>
      <c r="I3412" t="str">
        <f t="shared" si="690"/>
        <v>2023-09</v>
      </c>
      <c r="K3412">
        <v>15800.99</v>
      </c>
      <c r="L3412">
        <f t="shared" si="697"/>
        <v>3.56561992742003E-3</v>
      </c>
      <c r="M3412" t="str">
        <f t="shared" si="691"/>
        <v>2023-09</v>
      </c>
      <c r="O3412">
        <v>8731.8208699999996</v>
      </c>
      <c r="P3412">
        <f t="shared" si="698"/>
        <v>3.0100476830911657E-3</v>
      </c>
      <c r="Q3412" t="str">
        <f t="shared" si="692"/>
        <v>2023-09</v>
      </c>
      <c r="S3412">
        <v>9435.2000000000007</v>
      </c>
      <c r="T3412">
        <f t="shared" si="699"/>
        <v>7.5107535066187394E-3</v>
      </c>
      <c r="U3412" t="str">
        <f t="shared" si="693"/>
        <v>2023-09</v>
      </c>
      <c r="W3412">
        <v>28525.1</v>
      </c>
      <c r="X3412">
        <f t="shared" si="700"/>
        <v>1.0285811010180843E-2</v>
      </c>
      <c r="Y3412">
        <f t="shared" si="701"/>
        <v>1.033889180114184E-2</v>
      </c>
      <c r="Z3412" t="str">
        <f t="shared" si="694"/>
        <v>2023-09</v>
      </c>
    </row>
    <row r="3413" spans="1:26" x14ac:dyDescent="0.35">
      <c r="A3413" s="1">
        <v>45181</v>
      </c>
      <c r="C3413">
        <v>4242.2700000000004</v>
      </c>
      <c r="D3413">
        <f t="shared" si="695"/>
        <v>-2.8387844782593436E-3</v>
      </c>
      <c r="E3413" t="str">
        <f t="shared" si="689"/>
        <v>2023-09</v>
      </c>
      <c r="G3413">
        <v>7252.88</v>
      </c>
      <c r="H3413">
        <f t="shared" si="696"/>
        <v>-3.4945652392993349E-3</v>
      </c>
      <c r="I3413" t="str">
        <f t="shared" si="690"/>
        <v>2023-09</v>
      </c>
      <c r="K3413">
        <v>15715.53</v>
      </c>
      <c r="L3413">
        <f t="shared" si="697"/>
        <v>-5.4232008772543182E-3</v>
      </c>
      <c r="M3413" t="str">
        <f t="shared" si="691"/>
        <v>2023-09</v>
      </c>
      <c r="O3413">
        <v>8759.5373799999998</v>
      </c>
      <c r="P3413">
        <f t="shared" si="698"/>
        <v>3.1691687748563527E-3</v>
      </c>
      <c r="Q3413" t="str">
        <f t="shared" si="692"/>
        <v>2023-09</v>
      </c>
      <c r="S3413">
        <v>9455.4</v>
      </c>
      <c r="T3413">
        <f t="shared" si="699"/>
        <v>2.1386306098408452E-3</v>
      </c>
      <c r="U3413" t="str">
        <f t="shared" si="693"/>
        <v>2023-09</v>
      </c>
      <c r="W3413">
        <v>28584.58</v>
      </c>
      <c r="X3413">
        <f t="shared" si="700"/>
        <v>2.0830101484245376E-3</v>
      </c>
      <c r="Y3413">
        <f t="shared" si="701"/>
        <v>2.0851811211881188E-3</v>
      </c>
      <c r="Z3413" t="str">
        <f t="shared" si="694"/>
        <v>2023-09</v>
      </c>
    </row>
    <row r="3414" spans="1:26" x14ac:dyDescent="0.35">
      <c r="A3414" s="1">
        <v>45182</v>
      </c>
      <c r="C3414">
        <v>4223.4799999999996</v>
      </c>
      <c r="D3414">
        <f t="shared" si="695"/>
        <v>-4.4390705738489179E-3</v>
      </c>
      <c r="E3414" t="str">
        <f t="shared" si="689"/>
        <v>2023-09</v>
      </c>
      <c r="G3414">
        <v>7222.57</v>
      </c>
      <c r="H3414">
        <f t="shared" si="696"/>
        <v>-4.1877861202135307E-3</v>
      </c>
      <c r="I3414" t="str">
        <f t="shared" si="690"/>
        <v>2023-09</v>
      </c>
      <c r="K3414">
        <v>15654.03</v>
      </c>
      <c r="L3414">
        <f t="shared" si="697"/>
        <v>-3.9210035966783571E-3</v>
      </c>
      <c r="M3414" t="str">
        <f t="shared" si="691"/>
        <v>2023-09</v>
      </c>
      <c r="O3414">
        <v>8754.9804499999991</v>
      </c>
      <c r="P3414">
        <f t="shared" si="698"/>
        <v>-5.2036032588006554E-4</v>
      </c>
      <c r="Q3414" t="str">
        <f t="shared" si="692"/>
        <v>2023-09</v>
      </c>
      <c r="S3414">
        <v>9424.1</v>
      </c>
      <c r="T3414">
        <f t="shared" si="699"/>
        <v>-3.3157688155780619E-3</v>
      </c>
      <c r="U3414" t="str">
        <f t="shared" si="693"/>
        <v>2023-09</v>
      </c>
      <c r="W3414">
        <v>28481.77</v>
      </c>
      <c r="X3414">
        <f t="shared" si="700"/>
        <v>-3.6031780981579907E-3</v>
      </c>
      <c r="Y3414">
        <f t="shared" si="701"/>
        <v>-3.5966944415486007E-3</v>
      </c>
      <c r="Z3414" t="str">
        <f t="shared" si="694"/>
        <v>2023-09</v>
      </c>
    </row>
    <row r="3415" spans="1:26" x14ac:dyDescent="0.35">
      <c r="A3415" s="1">
        <v>45183</v>
      </c>
      <c r="C3415">
        <v>4279.75</v>
      </c>
      <c r="D3415">
        <f t="shared" si="695"/>
        <v>1.3235163907569633E-2</v>
      </c>
      <c r="E3415" t="str">
        <f t="shared" si="689"/>
        <v>2023-09</v>
      </c>
      <c r="G3415">
        <v>7308.67</v>
      </c>
      <c r="H3415">
        <f t="shared" si="696"/>
        <v>1.1850469417462477E-2</v>
      </c>
      <c r="I3415" t="str">
        <f t="shared" si="690"/>
        <v>2023-09</v>
      </c>
      <c r="K3415">
        <v>15805.29</v>
      </c>
      <c r="L3415">
        <f t="shared" si="697"/>
        <v>9.6163022992086181E-3</v>
      </c>
      <c r="M3415" t="str">
        <f t="shared" si="691"/>
        <v>2023-09</v>
      </c>
      <c r="O3415">
        <v>8944.8413099999998</v>
      </c>
      <c r="P3415">
        <f t="shared" si="698"/>
        <v>2.1454243440474783E-2</v>
      </c>
      <c r="Q3415" t="str">
        <f t="shared" si="692"/>
        <v>2023-09</v>
      </c>
      <c r="S3415">
        <v>9549</v>
      </c>
      <c r="T3415">
        <f t="shared" si="699"/>
        <v>1.3166198909700054E-2</v>
      </c>
      <c r="U3415" t="str">
        <f t="shared" si="693"/>
        <v>2023-09</v>
      </c>
      <c r="W3415">
        <v>28872.73</v>
      </c>
      <c r="X3415">
        <f t="shared" si="700"/>
        <v>1.3633317544025797E-2</v>
      </c>
      <c r="Y3415">
        <f t="shared" si="701"/>
        <v>1.3726674992460058E-2</v>
      </c>
      <c r="Z3415" t="str">
        <f t="shared" si="694"/>
        <v>2023-09</v>
      </c>
    </row>
    <row r="3416" spans="1:26" x14ac:dyDescent="0.35">
      <c r="A3416" s="1">
        <v>45184</v>
      </c>
      <c r="C3416">
        <v>4295.05</v>
      </c>
      <c r="D3416">
        <f t="shared" si="695"/>
        <v>3.5686001392458639E-3</v>
      </c>
      <c r="E3416" t="str">
        <f t="shared" si="689"/>
        <v>2023-09</v>
      </c>
      <c r="G3416">
        <v>7378.82</v>
      </c>
      <c r="H3416">
        <f t="shared" si="696"/>
        <v>9.5524195657658052E-3</v>
      </c>
      <c r="I3416" t="str">
        <f t="shared" si="690"/>
        <v>2023-09</v>
      </c>
      <c r="K3416">
        <v>15893.53</v>
      </c>
      <c r="L3416">
        <f t="shared" si="697"/>
        <v>5.567414050398763E-3</v>
      </c>
      <c r="M3416" t="str">
        <f t="shared" si="691"/>
        <v>2023-09</v>
      </c>
      <c r="O3416">
        <v>8959.9992500000008</v>
      </c>
      <c r="P3416">
        <f t="shared" si="698"/>
        <v>1.6931671153904814E-3</v>
      </c>
      <c r="Q3416" t="str">
        <f t="shared" si="692"/>
        <v>2023-09</v>
      </c>
      <c r="S3416">
        <v>9549.7000000000007</v>
      </c>
      <c r="T3416">
        <f t="shared" si="699"/>
        <v>7.3303418590262806E-5</v>
      </c>
      <c r="U3416" t="str">
        <f t="shared" si="693"/>
        <v>2023-09</v>
      </c>
      <c r="W3416">
        <v>28895.39</v>
      </c>
      <c r="X3416">
        <f t="shared" si="700"/>
        <v>7.8451579044648253E-4</v>
      </c>
      <c r="Y3416">
        <f t="shared" si="701"/>
        <v>7.8482360344864699E-4</v>
      </c>
      <c r="Z3416" t="str">
        <f t="shared" si="694"/>
        <v>2023-09</v>
      </c>
    </row>
    <row r="3417" spans="1:26" x14ac:dyDescent="0.35">
      <c r="A3417" s="1">
        <v>45187</v>
      </c>
      <c r="C3417">
        <v>4245.88</v>
      </c>
      <c r="D3417">
        <f t="shared" si="695"/>
        <v>-1.1514095823853985E-2</v>
      </c>
      <c r="E3417" t="str">
        <f t="shared" si="689"/>
        <v>2023-09</v>
      </c>
      <c r="G3417">
        <v>7276.14</v>
      </c>
      <c r="H3417">
        <f t="shared" si="696"/>
        <v>-1.4013232417280674E-2</v>
      </c>
      <c r="I3417" t="str">
        <f t="shared" si="690"/>
        <v>2023-09</v>
      </c>
      <c r="K3417">
        <v>15727.12</v>
      </c>
      <c r="L3417">
        <f t="shared" si="697"/>
        <v>-1.0525497503901554E-2</v>
      </c>
      <c r="M3417" t="str">
        <f t="shared" si="691"/>
        <v>2023-09</v>
      </c>
      <c r="O3417">
        <v>8871.8847100000003</v>
      </c>
      <c r="P3417">
        <f t="shared" si="698"/>
        <v>-9.8828881329947361E-3</v>
      </c>
      <c r="Q3417" t="str">
        <f t="shared" si="692"/>
        <v>2023-09</v>
      </c>
      <c r="S3417">
        <v>9482.1</v>
      </c>
      <c r="T3417">
        <f t="shared" si="699"/>
        <v>-7.103929664091492E-3</v>
      </c>
      <c r="U3417" t="str">
        <f t="shared" si="693"/>
        <v>2023-09</v>
      </c>
      <c r="W3417">
        <v>28585.86</v>
      </c>
      <c r="X3417">
        <f t="shared" si="700"/>
        <v>-1.0769876850833492E-2</v>
      </c>
      <c r="Y3417">
        <f t="shared" si="701"/>
        <v>-1.0712089367888748E-2</v>
      </c>
      <c r="Z3417" t="str">
        <f t="shared" si="694"/>
        <v>2023-09</v>
      </c>
    </row>
    <row r="3418" spans="1:26" x14ac:dyDescent="0.35">
      <c r="A3418" s="1">
        <v>45188</v>
      </c>
      <c r="C3418">
        <v>4242.7</v>
      </c>
      <c r="D3418">
        <f t="shared" si="695"/>
        <v>-7.4924195772706323E-4</v>
      </c>
      <c r="E3418" t="str">
        <f t="shared" si="689"/>
        <v>2023-09</v>
      </c>
      <c r="G3418">
        <v>7282.12</v>
      </c>
      <c r="H3418">
        <f t="shared" si="696"/>
        <v>8.2152679459326493E-4</v>
      </c>
      <c r="I3418" t="str">
        <f t="shared" si="690"/>
        <v>2023-09</v>
      </c>
      <c r="K3418">
        <v>15664.48</v>
      </c>
      <c r="L3418">
        <f t="shared" si="697"/>
        <v>-3.9908818371563433E-3</v>
      </c>
      <c r="M3418" t="str">
        <f t="shared" si="691"/>
        <v>2023-09</v>
      </c>
      <c r="O3418">
        <v>8880.3834700000007</v>
      </c>
      <c r="P3418">
        <f t="shared" si="698"/>
        <v>9.5748448177042779E-4</v>
      </c>
      <c r="Q3418" t="str">
        <f t="shared" si="692"/>
        <v>2023-09</v>
      </c>
      <c r="S3418">
        <v>9527.2000000000007</v>
      </c>
      <c r="T3418">
        <f t="shared" si="699"/>
        <v>4.7450547490850582E-3</v>
      </c>
      <c r="U3418" t="str">
        <f t="shared" si="693"/>
        <v>2023-09</v>
      </c>
      <c r="W3418">
        <v>28757.63</v>
      </c>
      <c r="X3418">
        <f t="shared" si="700"/>
        <v>5.9909333650076824E-3</v>
      </c>
      <c r="Y3418">
        <f t="shared" si="701"/>
        <v>6.0089148970854976E-3</v>
      </c>
      <c r="Z3418" t="str">
        <f t="shared" si="694"/>
        <v>2023-09</v>
      </c>
    </row>
    <row r="3419" spans="1:26" x14ac:dyDescent="0.35">
      <c r="A3419" s="1">
        <v>45189</v>
      </c>
      <c r="C3419">
        <v>4275.9799999999996</v>
      </c>
      <c r="D3419">
        <f t="shared" si="695"/>
        <v>7.8134568529694224E-3</v>
      </c>
      <c r="E3419" t="str">
        <f t="shared" si="689"/>
        <v>2023-09</v>
      </c>
      <c r="G3419">
        <v>7330.79</v>
      </c>
      <c r="H3419">
        <f t="shared" si="696"/>
        <v>6.6612577463000672E-3</v>
      </c>
      <c r="I3419" t="str">
        <f t="shared" si="690"/>
        <v>2023-09</v>
      </c>
      <c r="K3419">
        <v>15781.59</v>
      </c>
      <c r="L3419">
        <f t="shared" si="697"/>
        <v>7.448341965566989E-3</v>
      </c>
      <c r="M3419" t="str">
        <f t="shared" si="691"/>
        <v>2023-09</v>
      </c>
      <c r="O3419">
        <v>8943.0738799999999</v>
      </c>
      <c r="P3419">
        <f t="shared" si="698"/>
        <v>7.0346249095509083E-3</v>
      </c>
      <c r="Q3419" t="str">
        <f t="shared" si="692"/>
        <v>2023-09</v>
      </c>
      <c r="S3419">
        <v>9645.7999999999993</v>
      </c>
      <c r="T3419">
        <f t="shared" si="699"/>
        <v>1.2371721977180797E-2</v>
      </c>
      <c r="U3419" t="str">
        <f t="shared" si="693"/>
        <v>2023-09</v>
      </c>
      <c r="W3419">
        <v>29229.3</v>
      </c>
      <c r="X3419">
        <f t="shared" si="700"/>
        <v>1.6268507500100546E-2</v>
      </c>
      <c r="Y3419">
        <f t="shared" si="701"/>
        <v>1.6401560212020192E-2</v>
      </c>
      <c r="Z3419" t="str">
        <f t="shared" si="694"/>
        <v>2023-09</v>
      </c>
    </row>
    <row r="3420" spans="1:26" x14ac:dyDescent="0.35">
      <c r="A3420" s="1">
        <v>45190</v>
      </c>
      <c r="C3420">
        <v>4212.59</v>
      </c>
      <c r="D3420">
        <f t="shared" si="695"/>
        <v>-1.4935655447969749E-2</v>
      </c>
      <c r="E3420" t="str">
        <f t="shared" si="689"/>
        <v>2023-09</v>
      </c>
      <c r="G3420">
        <v>7213.9</v>
      </c>
      <c r="H3420">
        <f t="shared" si="696"/>
        <v>-1.6073565902909717E-2</v>
      </c>
      <c r="I3420" t="str">
        <f t="shared" si="690"/>
        <v>2023-09</v>
      </c>
      <c r="K3420">
        <v>15571.86</v>
      </c>
      <c r="L3420">
        <f t="shared" si="697"/>
        <v>-1.337863158597514E-2</v>
      </c>
      <c r="M3420" t="str">
        <f t="shared" si="691"/>
        <v>2023-09</v>
      </c>
      <c r="O3420">
        <v>8861.1101899999994</v>
      </c>
      <c r="P3420">
        <f t="shared" si="698"/>
        <v>-9.2073041609194821E-3</v>
      </c>
      <c r="Q3420" t="str">
        <f t="shared" si="692"/>
        <v>2023-09</v>
      </c>
      <c r="S3420">
        <v>9548.9</v>
      </c>
      <c r="T3420">
        <f t="shared" si="699"/>
        <v>-1.0096622836363889E-2</v>
      </c>
      <c r="U3420" t="str">
        <f t="shared" si="693"/>
        <v>2023-09</v>
      </c>
      <c r="W3420">
        <v>28708.55</v>
      </c>
      <c r="X3420">
        <f t="shared" si="700"/>
        <v>-1.79766430307206E-2</v>
      </c>
      <c r="Y3420">
        <f t="shared" si="701"/>
        <v>-1.7816027068728982E-2</v>
      </c>
      <c r="Z3420" t="str">
        <f t="shared" si="694"/>
        <v>2023-09</v>
      </c>
    </row>
    <row r="3421" spans="1:26" x14ac:dyDescent="0.35">
      <c r="A3421" s="1">
        <v>45191</v>
      </c>
      <c r="C3421">
        <v>4207.16</v>
      </c>
      <c r="D3421">
        <f t="shared" si="695"/>
        <v>-1.2898246985482394E-3</v>
      </c>
      <c r="E3421" t="str">
        <f t="shared" si="689"/>
        <v>2023-09</v>
      </c>
      <c r="G3421">
        <v>7184.82</v>
      </c>
      <c r="H3421">
        <f t="shared" si="696"/>
        <v>-4.0392534250335704E-3</v>
      </c>
      <c r="I3421" t="str">
        <f t="shared" si="690"/>
        <v>2023-09</v>
      </c>
      <c r="K3421">
        <v>15557.29</v>
      </c>
      <c r="L3421">
        <f t="shared" si="697"/>
        <v>-9.361001546109699E-4</v>
      </c>
      <c r="M3421" t="str">
        <f t="shared" si="691"/>
        <v>2023-09</v>
      </c>
      <c r="O3421">
        <v>8834.7658900000006</v>
      </c>
      <c r="P3421">
        <f t="shared" si="698"/>
        <v>-2.9774529775464589E-3</v>
      </c>
      <c r="Q3421" t="str">
        <f t="shared" si="692"/>
        <v>2023-09</v>
      </c>
      <c r="S3421">
        <v>9502</v>
      </c>
      <c r="T3421">
        <f t="shared" si="699"/>
        <v>-4.9236618477364689E-3</v>
      </c>
      <c r="U3421" t="str">
        <f t="shared" si="693"/>
        <v>2023-09</v>
      </c>
      <c r="W3421">
        <v>28575.9</v>
      </c>
      <c r="X3421">
        <f t="shared" si="700"/>
        <v>-4.6312825591684958E-3</v>
      </c>
      <c r="Y3421">
        <f t="shared" si="701"/>
        <v>-4.6205747068381311E-3</v>
      </c>
      <c r="Z3421" t="str">
        <f t="shared" si="694"/>
        <v>2023-09</v>
      </c>
    </row>
    <row r="3422" spans="1:26" x14ac:dyDescent="0.35">
      <c r="A3422" s="1">
        <v>45194</v>
      </c>
      <c r="C3422">
        <v>4167.37</v>
      </c>
      <c r="D3422">
        <f t="shared" si="695"/>
        <v>-9.5026943418382633E-3</v>
      </c>
      <c r="E3422" t="str">
        <f t="shared" si="689"/>
        <v>2023-09</v>
      </c>
      <c r="G3422">
        <v>7123.88</v>
      </c>
      <c r="H3422">
        <f t="shared" si="696"/>
        <v>-8.5179462089635949E-3</v>
      </c>
      <c r="I3422" t="str">
        <f t="shared" si="690"/>
        <v>2023-09</v>
      </c>
      <c r="K3422">
        <v>15405.49</v>
      </c>
      <c r="L3422">
        <f t="shared" si="697"/>
        <v>-9.8053996600572166E-3</v>
      </c>
      <c r="M3422" t="str">
        <f t="shared" si="691"/>
        <v>2023-09</v>
      </c>
      <c r="O3422">
        <v>8792.5362100000002</v>
      </c>
      <c r="P3422">
        <f t="shared" si="698"/>
        <v>-4.791403761191775E-3</v>
      </c>
      <c r="Q3422" t="str">
        <f t="shared" si="692"/>
        <v>2023-09</v>
      </c>
      <c r="S3422">
        <v>9386</v>
      </c>
      <c r="T3422">
        <f t="shared" si="699"/>
        <v>-1.2283085392503701E-2</v>
      </c>
      <c r="U3422" t="str">
        <f t="shared" si="693"/>
        <v>2023-09</v>
      </c>
      <c r="W3422">
        <v>28382.19</v>
      </c>
      <c r="X3422">
        <f t="shared" si="700"/>
        <v>-6.8018694741731863E-3</v>
      </c>
      <c r="Y3422">
        <f t="shared" si="701"/>
        <v>-6.778789119502894E-3</v>
      </c>
      <c r="Z3422" t="str">
        <f t="shared" si="694"/>
        <v>2023-09</v>
      </c>
    </row>
    <row r="3423" spans="1:26" x14ac:dyDescent="0.35">
      <c r="A3423" s="1">
        <v>45195</v>
      </c>
      <c r="C3423">
        <v>4129.18</v>
      </c>
      <c r="D3423">
        <f t="shared" si="695"/>
        <v>-9.2063013506914152E-3</v>
      </c>
      <c r="E3423" t="str">
        <f t="shared" si="689"/>
        <v>2023-09</v>
      </c>
      <c r="G3423">
        <v>7074.02</v>
      </c>
      <c r="H3423">
        <f t="shared" si="696"/>
        <v>-7.023602782118399E-3</v>
      </c>
      <c r="I3423" t="str">
        <f t="shared" si="690"/>
        <v>2023-09</v>
      </c>
      <c r="K3423">
        <v>15255.87</v>
      </c>
      <c r="L3423">
        <f t="shared" si="697"/>
        <v>-9.7595923730986796E-3</v>
      </c>
      <c r="M3423" t="str">
        <f t="shared" si="691"/>
        <v>2023-09</v>
      </c>
      <c r="O3423">
        <v>8781.5912700000008</v>
      </c>
      <c r="P3423">
        <f t="shared" si="698"/>
        <v>-1.2455743737495872E-3</v>
      </c>
      <c r="Q3423" t="str">
        <f t="shared" si="692"/>
        <v>2023-09</v>
      </c>
      <c r="S3423">
        <v>9366.9</v>
      </c>
      <c r="T3423">
        <f t="shared" si="699"/>
        <v>-2.0370189788817489E-3</v>
      </c>
      <c r="U3423" t="str">
        <f t="shared" si="693"/>
        <v>2023-09</v>
      </c>
      <c r="W3423">
        <v>28098.880000000001</v>
      </c>
      <c r="X3423">
        <f t="shared" si="700"/>
        <v>-1.003211787958549E-2</v>
      </c>
      <c r="Y3423">
        <f t="shared" si="701"/>
        <v>-9.981964041534416E-3</v>
      </c>
      <c r="Z3423" t="str">
        <f t="shared" si="694"/>
        <v>2023-09</v>
      </c>
    </row>
    <row r="3424" spans="1:26" x14ac:dyDescent="0.35">
      <c r="A3424" s="1">
        <v>45196</v>
      </c>
      <c r="C3424">
        <v>4131.68</v>
      </c>
      <c r="D3424">
        <f t="shared" si="695"/>
        <v>6.0526387720440404E-4</v>
      </c>
      <c r="E3424" t="str">
        <f t="shared" si="689"/>
        <v>2023-09</v>
      </c>
      <c r="G3424">
        <v>7071.79</v>
      </c>
      <c r="H3424">
        <f t="shared" si="696"/>
        <v>-3.1528770971378772E-4</v>
      </c>
      <c r="I3424" t="str">
        <f t="shared" si="690"/>
        <v>2023-09</v>
      </c>
      <c r="K3424">
        <v>15217.45</v>
      </c>
      <c r="L3424">
        <f t="shared" si="697"/>
        <v>-2.5215513345380222E-3</v>
      </c>
      <c r="M3424" t="str">
        <f t="shared" si="691"/>
        <v>2023-09</v>
      </c>
      <c r="O3424">
        <v>8765.8566599999995</v>
      </c>
      <c r="P3424">
        <f t="shared" si="698"/>
        <v>-1.7933792172991673E-3</v>
      </c>
      <c r="Q3424" t="str">
        <f t="shared" si="692"/>
        <v>2023-09</v>
      </c>
      <c r="S3424">
        <v>9331.9</v>
      </c>
      <c r="T3424">
        <f t="shared" si="699"/>
        <v>-3.7435601081206782E-3</v>
      </c>
      <c r="U3424" t="str">
        <f t="shared" si="693"/>
        <v>2023-09</v>
      </c>
      <c r="W3424">
        <v>28012.3</v>
      </c>
      <c r="X3424">
        <f t="shared" si="700"/>
        <v>-3.0860184623497117E-3</v>
      </c>
      <c r="Y3424">
        <f t="shared" si="701"/>
        <v>-3.0812616018859734E-3</v>
      </c>
      <c r="Z3424" t="str">
        <f t="shared" si="694"/>
        <v>2023-09</v>
      </c>
    </row>
    <row r="3425" spans="1:26" x14ac:dyDescent="0.35">
      <c r="A3425" s="1">
        <v>45197</v>
      </c>
      <c r="C3425">
        <v>4161.5600000000004</v>
      </c>
      <c r="D3425">
        <f t="shared" si="695"/>
        <v>7.2059000567032787E-3</v>
      </c>
      <c r="E3425" t="str">
        <f t="shared" si="689"/>
        <v>2023-09</v>
      </c>
      <c r="G3425">
        <v>7116.24</v>
      </c>
      <c r="H3425">
        <f t="shared" si="696"/>
        <v>6.2658657233545505E-3</v>
      </c>
      <c r="I3425" t="str">
        <f t="shared" si="690"/>
        <v>2023-09</v>
      </c>
      <c r="K3425">
        <v>15323.5</v>
      </c>
      <c r="L3425">
        <f t="shared" si="697"/>
        <v>6.9448020598389384E-3</v>
      </c>
      <c r="M3425" t="str">
        <f t="shared" si="691"/>
        <v>2023-09</v>
      </c>
      <c r="O3425">
        <v>8784.1039999999994</v>
      </c>
      <c r="P3425">
        <f t="shared" si="698"/>
        <v>2.0794743565481517E-3</v>
      </c>
      <c r="Q3425" t="str">
        <f t="shared" si="692"/>
        <v>2023-09</v>
      </c>
      <c r="S3425">
        <v>9426.7999999999993</v>
      </c>
      <c r="T3425">
        <f t="shared" si="699"/>
        <v>1.0118058246579412E-2</v>
      </c>
      <c r="U3425" t="str">
        <f t="shared" si="693"/>
        <v>2023-09</v>
      </c>
      <c r="W3425">
        <v>28163.03</v>
      </c>
      <c r="X3425">
        <f t="shared" si="700"/>
        <v>5.3664255014887067E-3</v>
      </c>
      <c r="Y3425">
        <f t="shared" si="701"/>
        <v>5.3808505549347808E-3</v>
      </c>
      <c r="Z3425" t="str">
        <f t="shared" si="694"/>
        <v>2023-09</v>
      </c>
    </row>
    <row r="3426" spans="1:26" x14ac:dyDescent="0.35">
      <c r="A3426" s="1">
        <v>45198</v>
      </c>
      <c r="C3426">
        <v>4174.66</v>
      </c>
      <c r="D3426">
        <f t="shared" si="695"/>
        <v>3.1429138826423089E-3</v>
      </c>
      <c r="E3426" t="str">
        <f t="shared" si="689"/>
        <v>2023-09</v>
      </c>
      <c r="G3426">
        <v>7135.06</v>
      </c>
      <c r="H3426">
        <f t="shared" si="696"/>
        <v>2.6411640959488258E-3</v>
      </c>
      <c r="I3426" t="str">
        <f t="shared" si="690"/>
        <v>2023-09</v>
      </c>
      <c r="K3426">
        <v>15386.58</v>
      </c>
      <c r="L3426">
        <f t="shared" si="697"/>
        <v>4.1081031839821491E-3</v>
      </c>
      <c r="M3426" t="str">
        <f t="shared" si="691"/>
        <v>2023-09</v>
      </c>
      <c r="O3426">
        <v>8778.9964500000006</v>
      </c>
      <c r="P3426">
        <f t="shared" si="698"/>
        <v>-5.8162283573142358E-4</v>
      </c>
      <c r="Q3426" t="str">
        <f t="shared" si="692"/>
        <v>2023-09</v>
      </c>
      <c r="S3426">
        <v>9428</v>
      </c>
      <c r="T3426">
        <f t="shared" si="699"/>
        <v>1.2728854208167198E-4</v>
      </c>
      <c r="U3426" t="str">
        <f t="shared" si="693"/>
        <v>2023-09</v>
      </c>
      <c r="W3426">
        <v>28243.26</v>
      </c>
      <c r="X3426">
        <f t="shared" si="700"/>
        <v>2.8447201226902276E-3</v>
      </c>
      <c r="Y3426">
        <f t="shared" si="701"/>
        <v>2.8487701784928529E-3</v>
      </c>
      <c r="Z3426" t="str">
        <f t="shared" si="694"/>
        <v>2023-09</v>
      </c>
    </row>
    <row r="3427" spans="1:26" x14ac:dyDescent="0.35">
      <c r="A3427" s="1">
        <v>45201</v>
      </c>
      <c r="C3427">
        <v>4137.63</v>
      </c>
      <c r="D3427">
        <f t="shared" si="695"/>
        <v>-8.9097577117251327E-3</v>
      </c>
      <c r="E3427" t="str">
        <f t="shared" si="689"/>
        <v>2023-10</v>
      </c>
      <c r="G3427">
        <v>7068.16</v>
      </c>
      <c r="H3427">
        <f t="shared" si="696"/>
        <v>-9.4204687041289353E-3</v>
      </c>
      <c r="I3427" t="str">
        <f t="shared" si="690"/>
        <v>2023-10</v>
      </c>
      <c r="K3427">
        <v>15247.21</v>
      </c>
      <c r="L3427">
        <f t="shared" si="697"/>
        <v>-9.0991654373432807E-3</v>
      </c>
      <c r="M3427" t="str">
        <f t="shared" si="691"/>
        <v>2023-10</v>
      </c>
      <c r="O3427">
        <v>8670.0159899999999</v>
      </c>
      <c r="P3427">
        <f t="shared" si="698"/>
        <v>-1.2491466488508303E-2</v>
      </c>
      <c r="Q3427" t="str">
        <f t="shared" si="692"/>
        <v>2023-10</v>
      </c>
      <c r="S3427">
        <v>9319</v>
      </c>
      <c r="T3427">
        <f t="shared" si="699"/>
        <v>-1.162865827036628E-2</v>
      </c>
      <c r="U3427" t="str">
        <f t="shared" si="693"/>
        <v>2023-10</v>
      </c>
      <c r="W3427">
        <v>27849.65</v>
      </c>
      <c r="X3427">
        <f t="shared" si="700"/>
        <v>-1.4034446086577846E-2</v>
      </c>
      <c r="Y3427">
        <f t="shared" si="701"/>
        <v>-1.3936422353510076E-2</v>
      </c>
      <c r="Z3427" t="str">
        <f t="shared" si="694"/>
        <v>2023-10</v>
      </c>
    </row>
    <row r="3428" spans="1:26" x14ac:dyDescent="0.35">
      <c r="A3428" s="1">
        <v>45202</v>
      </c>
      <c r="C3428">
        <v>4095.59</v>
      </c>
      <c r="D3428">
        <f t="shared" si="695"/>
        <v>-1.0212375078310451E-2</v>
      </c>
      <c r="E3428" t="str">
        <f t="shared" si="689"/>
        <v>2023-10</v>
      </c>
      <c r="G3428">
        <v>6997.05</v>
      </c>
      <c r="H3428">
        <f t="shared" si="696"/>
        <v>-1.0111559781580837E-2</v>
      </c>
      <c r="I3428" t="str">
        <f t="shared" si="690"/>
        <v>2023-10</v>
      </c>
      <c r="K3428">
        <v>15085.21</v>
      </c>
      <c r="L3428">
        <f t="shared" si="697"/>
        <v>-1.0681741868390082E-2</v>
      </c>
      <c r="M3428" t="str">
        <f t="shared" si="691"/>
        <v>2023-10</v>
      </c>
      <c r="O3428">
        <v>8621.8870200000001</v>
      </c>
      <c r="P3428">
        <f t="shared" si="698"/>
        <v>-5.5666625305577271E-3</v>
      </c>
      <c r="Q3428" t="str">
        <f t="shared" si="692"/>
        <v>2023-10</v>
      </c>
      <c r="S3428">
        <v>9165.5</v>
      </c>
      <c r="T3428">
        <f t="shared" si="699"/>
        <v>-1.6608891626236098E-2</v>
      </c>
      <c r="U3428" t="str">
        <f t="shared" si="693"/>
        <v>2023-10</v>
      </c>
      <c r="W3428">
        <v>27482.21</v>
      </c>
      <c r="X3428">
        <f t="shared" si="700"/>
        <v>-1.3281512723723706E-2</v>
      </c>
      <c r="Y3428">
        <f t="shared" si="701"/>
        <v>-1.3193702613856989E-2</v>
      </c>
      <c r="Z3428" t="str">
        <f t="shared" si="694"/>
        <v>2023-10</v>
      </c>
    </row>
    <row r="3429" spans="1:26" x14ac:dyDescent="0.35">
      <c r="A3429" s="1">
        <v>45203</v>
      </c>
      <c r="C3429">
        <v>4099.8500000000004</v>
      </c>
      <c r="D3429">
        <f t="shared" si="695"/>
        <v>1.0396026042957909E-3</v>
      </c>
      <c r="E3429" t="str">
        <f t="shared" si="689"/>
        <v>2023-10</v>
      </c>
      <c r="G3429">
        <v>6996.73</v>
      </c>
      <c r="H3429">
        <f t="shared" si="696"/>
        <v>-4.5734604953937225E-5</v>
      </c>
      <c r="I3429" t="str">
        <f t="shared" si="690"/>
        <v>2023-10</v>
      </c>
      <c r="K3429">
        <v>15099.92</v>
      </c>
      <c r="L3429">
        <f t="shared" si="697"/>
        <v>9.7465216578350206E-4</v>
      </c>
      <c r="M3429" t="str">
        <f t="shared" si="691"/>
        <v>2023-10</v>
      </c>
      <c r="O3429">
        <v>8568.8824600000007</v>
      </c>
      <c r="P3429">
        <f t="shared" si="698"/>
        <v>-6.1666498443961265E-3</v>
      </c>
      <c r="Q3429" t="str">
        <f t="shared" si="692"/>
        <v>2023-10</v>
      </c>
      <c r="S3429">
        <v>9102.9</v>
      </c>
      <c r="T3429">
        <f t="shared" si="699"/>
        <v>-6.8533911039026126E-3</v>
      </c>
      <c r="U3429" t="str">
        <f t="shared" si="693"/>
        <v>2023-10</v>
      </c>
      <c r="W3429">
        <v>27435.59</v>
      </c>
      <c r="X3429">
        <f t="shared" si="700"/>
        <v>-1.6978105895993022E-3</v>
      </c>
      <c r="Y3429">
        <f t="shared" si="701"/>
        <v>-1.6963701245277939E-3</v>
      </c>
      <c r="Z3429" t="str">
        <f t="shared" si="694"/>
        <v>2023-10</v>
      </c>
    </row>
    <row r="3430" spans="1:26" x14ac:dyDescent="0.35">
      <c r="A3430" s="1">
        <v>45204</v>
      </c>
      <c r="C3430">
        <v>4099.8100000000004</v>
      </c>
      <c r="D3430">
        <f t="shared" si="695"/>
        <v>-9.7565020989178045E-6</v>
      </c>
      <c r="E3430" t="str">
        <f t="shared" si="689"/>
        <v>2023-10</v>
      </c>
      <c r="G3430">
        <v>6998.25</v>
      </c>
      <c r="H3430">
        <f t="shared" si="696"/>
        <v>2.1722074715027273E-4</v>
      </c>
      <c r="I3430" t="str">
        <f t="shared" si="690"/>
        <v>2023-10</v>
      </c>
      <c r="K3430">
        <v>15070.22</v>
      </c>
      <c r="L3430">
        <f t="shared" si="697"/>
        <v>-1.9688347216067319E-3</v>
      </c>
      <c r="M3430" t="str">
        <f t="shared" si="691"/>
        <v>2023-10</v>
      </c>
      <c r="O3430">
        <v>8614.2518199999995</v>
      </c>
      <c r="P3430">
        <f t="shared" si="698"/>
        <v>5.2806973035990756E-3</v>
      </c>
      <c r="Q3430" t="str">
        <f t="shared" si="692"/>
        <v>2023-10</v>
      </c>
      <c r="S3430">
        <v>9157.7000000000007</v>
      </c>
      <c r="T3430">
        <f t="shared" si="699"/>
        <v>6.0020113808029497E-3</v>
      </c>
      <c r="U3430" t="str">
        <f t="shared" si="693"/>
        <v>2023-10</v>
      </c>
      <c r="W3430">
        <v>27490.81</v>
      </c>
      <c r="X3430">
        <f t="shared" si="700"/>
        <v>2.0106913471112085E-3</v>
      </c>
      <c r="Y3430">
        <f t="shared" si="701"/>
        <v>2.0127141424697323E-3</v>
      </c>
      <c r="Z3430" t="str">
        <f t="shared" si="694"/>
        <v>2023-10</v>
      </c>
    </row>
    <row r="3431" spans="1:26" x14ac:dyDescent="0.35">
      <c r="A3431" s="1">
        <v>45205</v>
      </c>
      <c r="C3431">
        <v>4144.43</v>
      </c>
      <c r="D3431">
        <f t="shared" si="695"/>
        <v>1.0824632879736569E-2</v>
      </c>
      <c r="E3431" t="str">
        <f t="shared" si="689"/>
        <v>2023-10</v>
      </c>
      <c r="G3431">
        <v>7060.15</v>
      </c>
      <c r="H3431">
        <f t="shared" si="696"/>
        <v>8.8061799382674697E-3</v>
      </c>
      <c r="I3431" t="str">
        <f t="shared" si="690"/>
        <v>2023-10</v>
      </c>
      <c r="K3431">
        <v>15229.77</v>
      </c>
      <c r="L3431">
        <f t="shared" si="697"/>
        <v>1.0531453948228289E-2</v>
      </c>
      <c r="M3431" t="str">
        <f t="shared" si="691"/>
        <v>2023-10</v>
      </c>
      <c r="O3431">
        <v>8667.0471400000006</v>
      </c>
      <c r="P3431">
        <f t="shared" si="698"/>
        <v>6.110129148940182E-3</v>
      </c>
      <c r="Q3431" t="str">
        <f t="shared" si="692"/>
        <v>2023-10</v>
      </c>
      <c r="S3431">
        <v>9235.7999999999993</v>
      </c>
      <c r="T3431">
        <f t="shared" si="699"/>
        <v>8.4921814077640028E-3</v>
      </c>
      <c r="U3431" t="str">
        <f t="shared" si="693"/>
        <v>2023-10</v>
      </c>
      <c r="W3431">
        <v>27810.61</v>
      </c>
      <c r="X3431">
        <f t="shared" si="700"/>
        <v>1.1565835558073162E-2</v>
      </c>
      <c r="Y3431">
        <f t="shared" si="701"/>
        <v>1.1632978438976489E-2</v>
      </c>
      <c r="Z3431" t="str">
        <f t="shared" si="694"/>
        <v>2023-10</v>
      </c>
    </row>
    <row r="3432" spans="1:26" x14ac:dyDescent="0.35">
      <c r="A3432" s="1">
        <v>45208</v>
      </c>
      <c r="C3432">
        <v>4112.57</v>
      </c>
      <c r="D3432">
        <f t="shared" si="695"/>
        <v>-7.717126829559719E-3</v>
      </c>
      <c r="E3432" t="str">
        <f t="shared" si="689"/>
        <v>2023-10</v>
      </c>
      <c r="G3432">
        <v>7021.4</v>
      </c>
      <c r="H3432">
        <f t="shared" si="696"/>
        <v>-5.5036693847801445E-3</v>
      </c>
      <c r="I3432" t="str">
        <f t="shared" si="690"/>
        <v>2023-10</v>
      </c>
      <c r="K3432">
        <v>15128.11</v>
      </c>
      <c r="L3432">
        <f t="shared" si="697"/>
        <v>-6.697462405465664E-3</v>
      </c>
      <c r="M3432" t="str">
        <f t="shared" si="691"/>
        <v>2023-10</v>
      </c>
      <c r="O3432">
        <v>8674.0677300000007</v>
      </c>
      <c r="P3432">
        <f t="shared" si="698"/>
        <v>8.0970461659502315E-4</v>
      </c>
      <c r="Q3432" t="str">
        <f t="shared" si="692"/>
        <v>2023-10</v>
      </c>
      <c r="S3432">
        <v>9151.2999999999993</v>
      </c>
      <c r="T3432">
        <f t="shared" si="699"/>
        <v>-9.191291163695027E-3</v>
      </c>
      <c r="U3432" t="str">
        <f t="shared" si="693"/>
        <v>2023-10</v>
      </c>
      <c r="W3432">
        <v>27682.06</v>
      </c>
      <c r="X3432">
        <f t="shared" si="700"/>
        <v>-4.6330526156200223E-3</v>
      </c>
      <c r="Y3432">
        <f t="shared" si="701"/>
        <v>-4.6223365830522691E-3</v>
      </c>
      <c r="Z3432" t="str">
        <f t="shared" si="694"/>
        <v>2023-10</v>
      </c>
    </row>
    <row r="3433" spans="1:26" x14ac:dyDescent="0.35">
      <c r="A3433" s="1">
        <v>45209</v>
      </c>
      <c r="C3433">
        <v>4205.2299999999996</v>
      </c>
      <c r="D3433">
        <f t="shared" si="695"/>
        <v>2.2280851495407084E-2</v>
      </c>
      <c r="E3433" t="str">
        <f t="shared" si="689"/>
        <v>2023-10</v>
      </c>
      <c r="G3433">
        <v>7162.43</v>
      </c>
      <c r="H3433">
        <f t="shared" si="696"/>
        <v>1.988668051560023E-2</v>
      </c>
      <c r="I3433" t="str">
        <f t="shared" si="690"/>
        <v>2023-10</v>
      </c>
      <c r="K3433">
        <v>15423.52</v>
      </c>
      <c r="L3433">
        <f t="shared" si="697"/>
        <v>1.9339014437236998E-2</v>
      </c>
      <c r="M3433" t="str">
        <f t="shared" si="691"/>
        <v>2023-10</v>
      </c>
      <c r="O3433">
        <v>8830.9625199999991</v>
      </c>
      <c r="P3433">
        <f t="shared" si="698"/>
        <v>1.7926160562109588E-2</v>
      </c>
      <c r="Q3433" t="str">
        <f t="shared" si="692"/>
        <v>2023-10</v>
      </c>
      <c r="S3433">
        <v>9352.1</v>
      </c>
      <c r="T3433">
        <f t="shared" si="699"/>
        <v>2.1704971314261537E-2</v>
      </c>
      <c r="U3433" t="str">
        <f t="shared" si="693"/>
        <v>2023-10</v>
      </c>
      <c r="W3433">
        <v>28318.22</v>
      </c>
      <c r="X3433">
        <f t="shared" si="700"/>
        <v>2.2720863797225467E-2</v>
      </c>
      <c r="Y3433">
        <f t="shared" si="701"/>
        <v>2.2980948672172513E-2</v>
      </c>
      <c r="Z3433" t="str">
        <f t="shared" si="694"/>
        <v>2023-10</v>
      </c>
    </row>
    <row r="3434" spans="1:26" x14ac:dyDescent="0.35">
      <c r="A3434" s="1">
        <v>45210</v>
      </c>
      <c r="C3434">
        <v>4200.8</v>
      </c>
      <c r="D3434">
        <f t="shared" si="695"/>
        <v>-1.0540053771201903E-3</v>
      </c>
      <c r="E3434" t="str">
        <f t="shared" si="689"/>
        <v>2023-10</v>
      </c>
      <c r="G3434">
        <v>7131.21</v>
      </c>
      <c r="H3434">
        <f t="shared" si="696"/>
        <v>-4.3683833714854093E-3</v>
      </c>
      <c r="I3434" t="str">
        <f t="shared" si="690"/>
        <v>2023-10</v>
      </c>
      <c r="K3434">
        <v>15460.01</v>
      </c>
      <c r="L3434">
        <f t="shared" si="697"/>
        <v>2.3630729376051892E-3</v>
      </c>
      <c r="M3434" t="str">
        <f t="shared" si="691"/>
        <v>2023-10</v>
      </c>
      <c r="O3434">
        <v>8834.1198199999999</v>
      </c>
      <c r="P3434">
        <f t="shared" si="698"/>
        <v>3.5746224929527422E-4</v>
      </c>
      <c r="Q3434" t="str">
        <f t="shared" si="692"/>
        <v>2023-10</v>
      </c>
      <c r="S3434">
        <v>9360.4</v>
      </c>
      <c r="T3434">
        <f t="shared" si="699"/>
        <v>8.8710760660666707E-4</v>
      </c>
      <c r="U3434" t="str">
        <f t="shared" si="693"/>
        <v>2023-10</v>
      </c>
      <c r="W3434">
        <v>28419.06</v>
      </c>
      <c r="X3434">
        <f t="shared" si="700"/>
        <v>3.5546330800345035E-3</v>
      </c>
      <c r="Y3434">
        <f t="shared" si="701"/>
        <v>3.5609582805698997E-3</v>
      </c>
      <c r="Z3434" t="str">
        <f t="shared" si="694"/>
        <v>2023-10</v>
      </c>
    </row>
    <row r="3435" spans="1:26" x14ac:dyDescent="0.35">
      <c r="A3435" s="1">
        <v>45211</v>
      </c>
      <c r="C3435">
        <v>4198.2299999999996</v>
      </c>
      <c r="D3435">
        <f t="shared" si="695"/>
        <v>-6.1197544959572172E-4</v>
      </c>
      <c r="E3435" t="str">
        <f t="shared" si="689"/>
        <v>2023-10</v>
      </c>
      <c r="G3435">
        <v>7104.53</v>
      </c>
      <c r="H3435">
        <f t="shared" si="696"/>
        <v>-3.7483167348596495E-3</v>
      </c>
      <c r="I3435" t="str">
        <f t="shared" si="690"/>
        <v>2023-10</v>
      </c>
      <c r="K3435">
        <v>15425.03</v>
      </c>
      <c r="L3435">
        <f t="shared" si="697"/>
        <v>-2.2651753053853007E-3</v>
      </c>
      <c r="M3435" t="str">
        <f t="shared" si="691"/>
        <v>2023-10</v>
      </c>
      <c r="O3435">
        <v>8841.9718200000007</v>
      </c>
      <c r="P3435">
        <f t="shared" si="698"/>
        <v>8.8843175022970927E-4</v>
      </c>
      <c r="Q3435" t="str">
        <f t="shared" si="692"/>
        <v>2023-10</v>
      </c>
      <c r="S3435">
        <v>9336</v>
      </c>
      <c r="T3435">
        <f t="shared" si="699"/>
        <v>-2.6101296348648574E-3</v>
      </c>
      <c r="U3435" t="str">
        <f t="shared" si="693"/>
        <v>2023-10</v>
      </c>
      <c r="W3435">
        <v>28493.35</v>
      </c>
      <c r="X3435">
        <f t="shared" si="700"/>
        <v>2.6106798919443069E-3</v>
      </c>
      <c r="Y3435">
        <f t="shared" si="701"/>
        <v>2.6140906842097252E-3</v>
      </c>
      <c r="Z3435" t="str">
        <f t="shared" si="694"/>
        <v>2023-10</v>
      </c>
    </row>
    <row r="3436" spans="1:26" x14ac:dyDescent="0.35">
      <c r="A3436" s="1">
        <v>45212</v>
      </c>
      <c r="C3436">
        <v>4136.12</v>
      </c>
      <c r="D3436">
        <f t="shared" si="695"/>
        <v>-1.4904857567021569E-2</v>
      </c>
      <c r="E3436" t="str">
        <f t="shared" si="689"/>
        <v>2023-10</v>
      </c>
      <c r="G3436">
        <v>7003.53</v>
      </c>
      <c r="H3436">
        <f t="shared" si="696"/>
        <v>-1.4318301102556994E-2</v>
      </c>
      <c r="I3436" t="str">
        <f t="shared" si="690"/>
        <v>2023-10</v>
      </c>
      <c r="K3436">
        <v>15186.66</v>
      </c>
      <c r="L3436">
        <f t="shared" si="697"/>
        <v>-1.5574103754999225E-2</v>
      </c>
      <c r="M3436" t="str">
        <f t="shared" si="691"/>
        <v>2023-10</v>
      </c>
      <c r="O3436">
        <v>8776.8907799999997</v>
      </c>
      <c r="P3436">
        <f t="shared" si="698"/>
        <v>-7.3876886921005096E-3</v>
      </c>
      <c r="Q3436" t="str">
        <f t="shared" si="692"/>
        <v>2023-10</v>
      </c>
      <c r="S3436">
        <v>9232.9</v>
      </c>
      <c r="T3436">
        <f t="shared" si="699"/>
        <v>-1.1104702968326947E-2</v>
      </c>
      <c r="U3436" t="str">
        <f t="shared" si="693"/>
        <v>2023-10</v>
      </c>
      <c r="W3436">
        <v>28237.02</v>
      </c>
      <c r="X3436">
        <f t="shared" si="700"/>
        <v>-9.0368437371500642E-3</v>
      </c>
      <c r="Y3436">
        <f t="shared" si="701"/>
        <v>-8.9961341856958955E-3</v>
      </c>
      <c r="Z3436" t="str">
        <f t="shared" si="694"/>
        <v>2023-10</v>
      </c>
    </row>
    <row r="3437" spans="1:26" x14ac:dyDescent="0.35">
      <c r="A3437" s="1">
        <v>45215</v>
      </c>
      <c r="C3437">
        <v>4149.8599999999997</v>
      </c>
      <c r="D3437">
        <f t="shared" si="695"/>
        <v>3.3164484089167013E-3</v>
      </c>
      <c r="E3437" t="str">
        <f t="shared" si="689"/>
        <v>2023-10</v>
      </c>
      <c r="G3437">
        <v>7022.19</v>
      </c>
      <c r="H3437">
        <f t="shared" si="696"/>
        <v>2.6608275381804552E-3</v>
      </c>
      <c r="I3437" t="str">
        <f t="shared" si="690"/>
        <v>2023-10</v>
      </c>
      <c r="K3437">
        <v>15237.99</v>
      </c>
      <c r="L3437">
        <f t="shared" si="697"/>
        <v>3.37424086728843E-3</v>
      </c>
      <c r="M3437" t="str">
        <f t="shared" si="691"/>
        <v>2023-10</v>
      </c>
      <c r="O3437">
        <v>8826.5559900000007</v>
      </c>
      <c r="P3437">
        <f t="shared" si="698"/>
        <v>5.6426837796825892E-3</v>
      </c>
      <c r="Q3437" t="str">
        <f t="shared" si="692"/>
        <v>2023-10</v>
      </c>
      <c r="S3437">
        <v>9287.1</v>
      </c>
      <c r="T3437">
        <f t="shared" si="699"/>
        <v>5.8531484598230718E-3</v>
      </c>
      <c r="U3437" t="str">
        <f t="shared" si="693"/>
        <v>2023-10</v>
      </c>
      <c r="W3437">
        <v>28391.599999999999</v>
      </c>
      <c r="X3437">
        <f t="shared" si="700"/>
        <v>5.4594437916609092E-3</v>
      </c>
      <c r="Y3437">
        <f t="shared" si="701"/>
        <v>5.4743737122401057E-3</v>
      </c>
      <c r="Z3437" t="str">
        <f t="shared" si="694"/>
        <v>2023-10</v>
      </c>
    </row>
    <row r="3438" spans="1:26" x14ac:dyDescent="0.35">
      <c r="A3438" s="1">
        <v>45216</v>
      </c>
      <c r="C3438">
        <v>4152.32</v>
      </c>
      <c r="D3438">
        <f t="shared" si="695"/>
        <v>5.9261545088033242E-4</v>
      </c>
      <c r="E3438" t="str">
        <f t="shared" si="689"/>
        <v>2023-10</v>
      </c>
      <c r="G3438">
        <v>7029.7</v>
      </c>
      <c r="H3438">
        <f t="shared" si="696"/>
        <v>1.0688954603313538E-3</v>
      </c>
      <c r="I3438" t="str">
        <f t="shared" si="690"/>
        <v>2023-10</v>
      </c>
      <c r="K3438">
        <v>15251.69</v>
      </c>
      <c r="L3438">
        <f t="shared" si="697"/>
        <v>8.9866478900470876E-4</v>
      </c>
      <c r="M3438" t="str">
        <f t="shared" si="691"/>
        <v>2023-10</v>
      </c>
      <c r="O3438">
        <v>8844.6276300000009</v>
      </c>
      <c r="P3438">
        <f t="shared" si="698"/>
        <v>2.0453238094979001E-3</v>
      </c>
      <c r="Q3438" t="str">
        <f t="shared" si="692"/>
        <v>2023-10</v>
      </c>
      <c r="S3438">
        <v>9298.5</v>
      </c>
      <c r="T3438">
        <f t="shared" si="699"/>
        <v>1.2267563521956085E-3</v>
      </c>
      <c r="U3438" t="str">
        <f t="shared" si="693"/>
        <v>2023-10</v>
      </c>
      <c r="W3438">
        <v>28367.360000000001</v>
      </c>
      <c r="X3438">
        <f t="shared" si="700"/>
        <v>-8.5413832366535716E-4</v>
      </c>
      <c r="Y3438">
        <f t="shared" si="701"/>
        <v>-8.5377365136159861E-4</v>
      </c>
      <c r="Z3438" t="str">
        <f t="shared" si="694"/>
        <v>2023-10</v>
      </c>
    </row>
    <row r="3439" spans="1:26" x14ac:dyDescent="0.35">
      <c r="A3439" s="1">
        <v>45217</v>
      </c>
      <c r="C3439">
        <v>4105.8599999999997</v>
      </c>
      <c r="D3439">
        <f t="shared" si="695"/>
        <v>-1.1251992613475358E-2</v>
      </c>
      <c r="E3439" t="str">
        <f t="shared" si="689"/>
        <v>2023-10</v>
      </c>
      <c r="G3439">
        <v>6965.99</v>
      </c>
      <c r="H3439">
        <f t="shared" si="696"/>
        <v>-9.1042942600932722E-3</v>
      </c>
      <c r="I3439" t="str">
        <f t="shared" si="690"/>
        <v>2023-10</v>
      </c>
      <c r="K3439">
        <v>15094.91</v>
      </c>
      <c r="L3439">
        <f t="shared" si="697"/>
        <v>-1.0332715683629702E-2</v>
      </c>
      <c r="M3439" t="str">
        <f t="shared" si="691"/>
        <v>2023-10</v>
      </c>
      <c r="O3439">
        <v>8751.7285800000009</v>
      </c>
      <c r="P3439">
        <f t="shared" si="698"/>
        <v>-1.0558994375605847E-2</v>
      </c>
      <c r="Q3439" t="str">
        <f t="shared" si="692"/>
        <v>2023-10</v>
      </c>
      <c r="S3439">
        <v>9212.7000000000007</v>
      </c>
      <c r="T3439">
        <f t="shared" si="699"/>
        <v>-9.2701299144923883E-3</v>
      </c>
      <c r="U3439" t="str">
        <f t="shared" si="693"/>
        <v>2023-10</v>
      </c>
      <c r="W3439">
        <v>28135.79</v>
      </c>
      <c r="X3439">
        <f t="shared" si="700"/>
        <v>-8.1967570493441198E-3</v>
      </c>
      <c r="Y3439">
        <f t="shared" si="701"/>
        <v>-8.1632552341846295E-3</v>
      </c>
      <c r="Z3439" t="str">
        <f t="shared" si="694"/>
        <v>2023-10</v>
      </c>
    </row>
    <row r="3440" spans="1:26" x14ac:dyDescent="0.35">
      <c r="A3440" s="1">
        <v>45218</v>
      </c>
      <c r="C3440">
        <v>4090.33</v>
      </c>
      <c r="D3440">
        <f t="shared" si="695"/>
        <v>-3.7895701747564727E-3</v>
      </c>
      <c r="E3440" t="str">
        <f t="shared" si="689"/>
        <v>2023-10</v>
      </c>
      <c r="G3440">
        <v>6921.37</v>
      </c>
      <c r="H3440">
        <f t="shared" si="696"/>
        <v>-6.4260094853529331E-3</v>
      </c>
      <c r="I3440" t="str">
        <f t="shared" si="690"/>
        <v>2023-10</v>
      </c>
      <c r="K3440">
        <v>15045.23</v>
      </c>
      <c r="L3440">
        <f t="shared" si="697"/>
        <v>-3.2966034657989575E-3</v>
      </c>
      <c r="M3440" t="str">
        <f t="shared" si="691"/>
        <v>2023-10</v>
      </c>
      <c r="O3440">
        <v>8615.5778300000002</v>
      </c>
      <c r="P3440">
        <f t="shared" si="698"/>
        <v>-1.567929258018461E-2</v>
      </c>
      <c r="Q3440" t="str">
        <f t="shared" si="692"/>
        <v>2023-10</v>
      </c>
      <c r="S3440">
        <v>9146.7999999999993</v>
      </c>
      <c r="T3440">
        <f t="shared" si="699"/>
        <v>-7.1788755706516565E-3</v>
      </c>
      <c r="U3440" t="str">
        <f t="shared" si="693"/>
        <v>2023-10</v>
      </c>
      <c r="W3440">
        <v>27746.82</v>
      </c>
      <c r="X3440">
        <f t="shared" si="700"/>
        <v>-1.3921192364928666E-2</v>
      </c>
      <c r="Y3440">
        <f t="shared" si="701"/>
        <v>-1.3824740659494584E-2</v>
      </c>
      <c r="Z3440" t="str">
        <f t="shared" si="694"/>
        <v>2023-10</v>
      </c>
    </row>
    <row r="3441" spans="1:26" x14ac:dyDescent="0.35">
      <c r="A3441" s="1">
        <v>45219</v>
      </c>
      <c r="C3441">
        <v>4024.68</v>
      </c>
      <c r="D3441">
        <f t="shared" si="695"/>
        <v>-1.6180246792063199E-2</v>
      </c>
      <c r="E3441" t="str">
        <f t="shared" si="689"/>
        <v>2023-10</v>
      </c>
      <c r="G3441">
        <v>6816.22</v>
      </c>
      <c r="H3441">
        <f t="shared" si="696"/>
        <v>-1.5308660911926087E-2</v>
      </c>
      <c r="I3441" t="str">
        <f t="shared" si="690"/>
        <v>2023-10</v>
      </c>
      <c r="K3441">
        <v>14798.47</v>
      </c>
      <c r="L3441">
        <f t="shared" si="697"/>
        <v>-1.6537200388298826E-2</v>
      </c>
      <c r="M3441" t="str">
        <f t="shared" si="691"/>
        <v>2023-10</v>
      </c>
      <c r="O3441">
        <v>8495.3361199999999</v>
      </c>
      <c r="P3441">
        <f t="shared" si="698"/>
        <v>-1.4054619133359448E-2</v>
      </c>
      <c r="Q3441" t="str">
        <f t="shared" si="692"/>
        <v>2023-10</v>
      </c>
      <c r="S3441">
        <v>9029.1</v>
      </c>
      <c r="T3441">
        <f t="shared" si="699"/>
        <v>-1.2951396655157628E-2</v>
      </c>
      <c r="U3441" t="str">
        <f t="shared" si="693"/>
        <v>2023-10</v>
      </c>
      <c r="W3441">
        <v>27357</v>
      </c>
      <c r="X3441">
        <f t="shared" si="700"/>
        <v>-1.4148801411748516E-2</v>
      </c>
      <c r="Y3441">
        <f t="shared" si="701"/>
        <v>-1.4049177527370693E-2</v>
      </c>
      <c r="Z3441" t="str">
        <f t="shared" si="694"/>
        <v>2023-10</v>
      </c>
    </row>
    <row r="3442" spans="1:26" x14ac:dyDescent="0.35">
      <c r="A3442" s="1">
        <v>45222</v>
      </c>
      <c r="C3442">
        <v>4041.75</v>
      </c>
      <c r="D3442">
        <f t="shared" si="695"/>
        <v>4.232361895181583E-3</v>
      </c>
      <c r="E3442" t="str">
        <f t="shared" si="689"/>
        <v>2023-10</v>
      </c>
      <c r="G3442">
        <v>6850.47</v>
      </c>
      <c r="H3442">
        <f t="shared" si="696"/>
        <v>5.0121970576174407E-3</v>
      </c>
      <c r="I3442" t="str">
        <f t="shared" si="690"/>
        <v>2023-10</v>
      </c>
      <c r="K3442">
        <v>14800.72</v>
      </c>
      <c r="L3442">
        <f t="shared" si="697"/>
        <v>1.520311876328114E-4</v>
      </c>
      <c r="M3442" t="str">
        <f t="shared" si="691"/>
        <v>2023-10</v>
      </c>
      <c r="O3442">
        <v>8459.7909299999992</v>
      </c>
      <c r="P3442">
        <f t="shared" si="698"/>
        <v>-4.192860598343456E-3</v>
      </c>
      <c r="Q3442" t="str">
        <f t="shared" si="692"/>
        <v>2023-10</v>
      </c>
      <c r="S3442">
        <v>8995.5</v>
      </c>
      <c r="T3442">
        <f t="shared" si="699"/>
        <v>-3.7282423931079937E-3</v>
      </c>
      <c r="U3442" t="str">
        <f t="shared" si="693"/>
        <v>2023-10</v>
      </c>
      <c r="W3442">
        <v>27558.78</v>
      </c>
      <c r="X3442">
        <f t="shared" si="700"/>
        <v>7.3487404923036201E-3</v>
      </c>
      <c r="Y3442">
        <f t="shared" si="701"/>
        <v>7.3758087509594927E-3</v>
      </c>
      <c r="Z3442" t="str">
        <f t="shared" si="694"/>
        <v>2023-10</v>
      </c>
    </row>
    <row r="3443" spans="1:26" x14ac:dyDescent="0.35">
      <c r="A3443" s="1">
        <v>45223</v>
      </c>
      <c r="C3443">
        <v>4065.37</v>
      </c>
      <c r="D3443">
        <f t="shared" si="695"/>
        <v>5.8269932682524905E-3</v>
      </c>
      <c r="E3443" t="str">
        <f t="shared" si="689"/>
        <v>2023-10</v>
      </c>
      <c r="G3443">
        <v>6893.65</v>
      </c>
      <c r="H3443">
        <f t="shared" si="696"/>
        <v>6.2834349623986192E-3</v>
      </c>
      <c r="I3443" t="str">
        <f t="shared" si="690"/>
        <v>2023-10</v>
      </c>
      <c r="K3443">
        <v>14879.94</v>
      </c>
      <c r="L3443">
        <f t="shared" si="697"/>
        <v>5.338168903340954E-3</v>
      </c>
      <c r="M3443" t="str">
        <f t="shared" si="691"/>
        <v>2023-10</v>
      </c>
      <c r="O3443">
        <v>8486.9521399999994</v>
      </c>
      <c r="P3443">
        <f t="shared" si="698"/>
        <v>3.2054812119164311E-3</v>
      </c>
      <c r="Q3443" t="str">
        <f t="shared" si="692"/>
        <v>2023-10</v>
      </c>
      <c r="S3443">
        <v>8975.7999999999993</v>
      </c>
      <c r="T3443">
        <f t="shared" si="699"/>
        <v>-2.1923854023647655E-3</v>
      </c>
      <c r="U3443" t="str">
        <f t="shared" si="693"/>
        <v>2023-10</v>
      </c>
      <c r="W3443">
        <v>27572.74</v>
      </c>
      <c r="X3443">
        <f t="shared" si="700"/>
        <v>5.0642537330214095E-4</v>
      </c>
      <c r="Y3443">
        <f t="shared" si="701"/>
        <v>5.0655362828117814E-4</v>
      </c>
      <c r="Z3443" t="str">
        <f t="shared" si="694"/>
        <v>2023-10</v>
      </c>
    </row>
    <row r="3444" spans="1:26" x14ac:dyDescent="0.35">
      <c r="A3444" s="1">
        <v>45224</v>
      </c>
      <c r="C3444">
        <v>4073.35</v>
      </c>
      <c r="D3444">
        <f t="shared" si="695"/>
        <v>1.9609969521652178E-3</v>
      </c>
      <c r="E3444" t="str">
        <f t="shared" si="689"/>
        <v>2023-10</v>
      </c>
      <c r="G3444">
        <v>6915.07</v>
      </c>
      <c r="H3444">
        <f t="shared" si="696"/>
        <v>3.1023899652258364E-3</v>
      </c>
      <c r="I3444" t="str">
        <f t="shared" si="690"/>
        <v>2023-10</v>
      </c>
      <c r="K3444">
        <v>14892.18</v>
      </c>
      <c r="L3444">
        <f t="shared" si="697"/>
        <v>8.2224582526275124E-4</v>
      </c>
      <c r="M3444" t="str">
        <f t="shared" si="691"/>
        <v>2023-10</v>
      </c>
      <c r="O3444">
        <v>8502.4776500000007</v>
      </c>
      <c r="P3444">
        <f t="shared" si="698"/>
        <v>1.8276674983974861E-3</v>
      </c>
      <c r="Q3444" t="str">
        <f t="shared" si="692"/>
        <v>2023-10</v>
      </c>
      <c r="S3444">
        <v>8984.7999999999993</v>
      </c>
      <c r="T3444">
        <f t="shared" si="699"/>
        <v>1.0021937745168324E-3</v>
      </c>
      <c r="U3444" t="str">
        <f t="shared" si="693"/>
        <v>2023-10</v>
      </c>
      <c r="W3444">
        <v>27428.6</v>
      </c>
      <c r="X3444">
        <f t="shared" si="700"/>
        <v>-5.241338846651661E-3</v>
      </c>
      <c r="Y3444">
        <f t="shared" si="701"/>
        <v>-5.2276269968092775E-3</v>
      </c>
      <c r="Z3444" t="str">
        <f t="shared" si="694"/>
        <v>2023-10</v>
      </c>
    </row>
    <row r="3445" spans="1:26" x14ac:dyDescent="0.35">
      <c r="A3445" s="1">
        <v>45225</v>
      </c>
      <c r="C3445">
        <v>4049.4</v>
      </c>
      <c r="D3445">
        <f t="shared" si="695"/>
        <v>-5.8970347247178506E-3</v>
      </c>
      <c r="E3445" t="str">
        <f t="shared" si="689"/>
        <v>2023-10</v>
      </c>
      <c r="G3445">
        <v>6888.96</v>
      </c>
      <c r="H3445">
        <f t="shared" si="696"/>
        <v>-3.7829577504310458E-3</v>
      </c>
      <c r="I3445" t="str">
        <f t="shared" si="690"/>
        <v>2023-10</v>
      </c>
      <c r="K3445">
        <v>14731.05</v>
      </c>
      <c r="L3445">
        <f t="shared" si="697"/>
        <v>-1.087873193427165E-2</v>
      </c>
      <c r="M3445" t="str">
        <f t="shared" si="691"/>
        <v>2023-10</v>
      </c>
      <c r="O3445">
        <v>8455.4154999999992</v>
      </c>
      <c r="P3445">
        <f t="shared" si="698"/>
        <v>-5.5504855948140521E-3</v>
      </c>
      <c r="Q3445" t="str">
        <f t="shared" si="692"/>
        <v>2023-10</v>
      </c>
      <c r="S3445">
        <v>8962.7999999999993</v>
      </c>
      <c r="T3445">
        <f t="shared" si="699"/>
        <v>-2.4515824978050731E-3</v>
      </c>
      <c r="U3445" t="str">
        <f t="shared" si="693"/>
        <v>2023-10</v>
      </c>
      <c r="W3445">
        <v>27507.9</v>
      </c>
      <c r="X3445">
        <f t="shared" si="700"/>
        <v>2.8869715062969895E-3</v>
      </c>
      <c r="Y3445">
        <f t="shared" si="701"/>
        <v>2.8911428217263334E-3</v>
      </c>
      <c r="Z3445" t="str">
        <f t="shared" si="694"/>
        <v>2023-10</v>
      </c>
    </row>
    <row r="3446" spans="1:26" x14ac:dyDescent="0.35">
      <c r="A3446" s="1">
        <v>45226</v>
      </c>
      <c r="C3446">
        <v>4014.36</v>
      </c>
      <c r="D3446">
        <f t="shared" si="695"/>
        <v>-8.6907895440353905E-3</v>
      </c>
      <c r="E3446" t="str">
        <f t="shared" si="689"/>
        <v>2023-10</v>
      </c>
      <c r="G3446">
        <v>6795.38</v>
      </c>
      <c r="H3446">
        <f t="shared" si="696"/>
        <v>-1.3677160723649971E-2</v>
      </c>
      <c r="I3446" t="str">
        <f t="shared" si="690"/>
        <v>2023-10</v>
      </c>
      <c r="K3446">
        <v>14687.41</v>
      </c>
      <c r="L3446">
        <f t="shared" si="697"/>
        <v>-2.966846803713711E-3</v>
      </c>
      <c r="M3446" t="str">
        <f t="shared" si="691"/>
        <v>2023-10</v>
      </c>
      <c r="O3446">
        <v>8358.4814299999998</v>
      </c>
      <c r="P3446">
        <f t="shared" si="698"/>
        <v>-1.1530360194723172E-2</v>
      </c>
      <c r="Q3446" t="str">
        <f t="shared" si="692"/>
        <v>2023-10</v>
      </c>
      <c r="S3446">
        <v>8918.2999999999993</v>
      </c>
      <c r="T3446">
        <f t="shared" si="699"/>
        <v>-4.9773326998475403E-3</v>
      </c>
      <c r="U3446" t="str">
        <f t="shared" si="693"/>
        <v>2023-10</v>
      </c>
      <c r="W3446">
        <v>27287.45</v>
      </c>
      <c r="X3446">
        <f t="shared" si="700"/>
        <v>-8.0463466113210522E-3</v>
      </c>
      <c r="Y3446">
        <f t="shared" si="701"/>
        <v>-8.0140614150844194E-3</v>
      </c>
      <c r="Z3446" t="str">
        <f t="shared" si="694"/>
        <v>2023-10</v>
      </c>
    </row>
    <row r="3447" spans="1:26" x14ac:dyDescent="0.35">
      <c r="A3447" s="1">
        <v>45229</v>
      </c>
      <c r="C3447">
        <v>4028.32</v>
      </c>
      <c r="D3447">
        <f t="shared" si="695"/>
        <v>3.471483142324182E-3</v>
      </c>
      <c r="E3447" t="str">
        <f t="shared" si="689"/>
        <v>2023-10</v>
      </c>
      <c r="G3447">
        <v>6825.07</v>
      </c>
      <c r="H3447">
        <f t="shared" si="696"/>
        <v>4.3596279160932998E-3</v>
      </c>
      <c r="I3447" t="str">
        <f t="shared" si="690"/>
        <v>2023-10</v>
      </c>
      <c r="K3447">
        <v>14716.54</v>
      </c>
      <c r="L3447">
        <f t="shared" si="697"/>
        <v>1.9813670972722319E-3</v>
      </c>
      <c r="M3447" t="str">
        <f t="shared" si="691"/>
        <v>2023-10</v>
      </c>
      <c r="O3447">
        <v>8393.5939500000004</v>
      </c>
      <c r="P3447">
        <f t="shared" si="698"/>
        <v>4.1920264353055171E-3</v>
      </c>
      <c r="Q3447" t="str">
        <f t="shared" si="692"/>
        <v>2023-10</v>
      </c>
      <c r="S3447">
        <v>9013.9</v>
      </c>
      <c r="T3447">
        <f t="shared" si="699"/>
        <v>1.0662484883877742E-2</v>
      </c>
      <c r="U3447" t="str">
        <f t="shared" si="693"/>
        <v>2023-10</v>
      </c>
      <c r="W3447">
        <v>27339.91</v>
      </c>
      <c r="X3447">
        <f t="shared" si="700"/>
        <v>1.9206498767877708E-3</v>
      </c>
      <c r="Y3447">
        <f t="shared" si="701"/>
        <v>1.922495506175884E-3</v>
      </c>
      <c r="Z3447" t="str">
        <f t="shared" si="694"/>
        <v>2023-10</v>
      </c>
    </row>
    <row r="3448" spans="1:26" x14ac:dyDescent="0.35">
      <c r="A3448" s="1">
        <v>45230</v>
      </c>
      <c r="C3448">
        <v>4061.12</v>
      </c>
      <c r="D3448">
        <f t="shared" si="695"/>
        <v>8.1093820460946368E-3</v>
      </c>
      <c r="E3448" t="str">
        <f t="shared" si="689"/>
        <v>2023-10</v>
      </c>
      <c r="G3448">
        <v>6885.65</v>
      </c>
      <c r="H3448">
        <f t="shared" si="696"/>
        <v>8.8369384293913739E-3</v>
      </c>
      <c r="I3448" t="str">
        <f t="shared" si="690"/>
        <v>2023-10</v>
      </c>
      <c r="K3448">
        <v>14810.34</v>
      </c>
      <c r="L3448">
        <f t="shared" si="697"/>
        <v>6.3535541540626966E-3</v>
      </c>
      <c r="M3448" t="str">
        <f t="shared" si="691"/>
        <v>2023-10</v>
      </c>
      <c r="O3448">
        <v>8410.8042100000002</v>
      </c>
      <c r="P3448">
        <f t="shared" si="698"/>
        <v>2.0483049560416464E-3</v>
      </c>
      <c r="Q3448" t="str">
        <f t="shared" si="692"/>
        <v>2023-10</v>
      </c>
      <c r="S3448">
        <v>9017.2999999999993</v>
      </c>
      <c r="T3448">
        <f t="shared" si="699"/>
        <v>3.7712410048086907E-4</v>
      </c>
      <c r="U3448" t="str">
        <f t="shared" si="693"/>
        <v>2023-10</v>
      </c>
      <c r="W3448">
        <v>27741.91</v>
      </c>
      <c r="X3448">
        <f t="shared" si="700"/>
        <v>1.4596726746978131E-2</v>
      </c>
      <c r="Y3448">
        <f t="shared" si="701"/>
        <v>1.4703779200443601E-2</v>
      </c>
      <c r="Z3448" t="str">
        <f t="shared" si="694"/>
        <v>2023-10</v>
      </c>
    </row>
    <row r="3449" spans="1:26" x14ac:dyDescent="0.35">
      <c r="A3449" s="1">
        <v>45231</v>
      </c>
      <c r="C3449">
        <v>4091.71</v>
      </c>
      <c r="D3449">
        <f t="shared" si="695"/>
        <v>7.5041779480963348E-3</v>
      </c>
      <c r="E3449" t="str">
        <f t="shared" si="689"/>
        <v>2023-11</v>
      </c>
      <c r="G3449">
        <v>6932.63</v>
      </c>
      <c r="H3449">
        <f t="shared" si="696"/>
        <v>6.7997147277769456E-3</v>
      </c>
      <c r="I3449" t="str">
        <f t="shared" si="690"/>
        <v>2023-11</v>
      </c>
      <c r="K3449">
        <v>14923.27</v>
      </c>
      <c r="L3449">
        <f t="shared" si="697"/>
        <v>7.5961541850605337E-3</v>
      </c>
      <c r="M3449" t="str">
        <f t="shared" si="691"/>
        <v>2023-11</v>
      </c>
      <c r="O3449">
        <v>8443.6202599999997</v>
      </c>
      <c r="P3449">
        <f t="shared" si="698"/>
        <v>3.8940625384379286E-3</v>
      </c>
      <c r="Q3449" t="str">
        <f t="shared" si="692"/>
        <v>2023-11</v>
      </c>
      <c r="S3449">
        <v>9075</v>
      </c>
      <c r="T3449">
        <f t="shared" si="699"/>
        <v>6.3784256975190729E-3</v>
      </c>
      <c r="U3449" t="str">
        <f t="shared" si="693"/>
        <v>2023-11</v>
      </c>
      <c r="W3449">
        <v>27985.439999999999</v>
      </c>
      <c r="X3449">
        <f t="shared" si="700"/>
        <v>8.7401087709820646E-3</v>
      </c>
      <c r="Y3449">
        <f t="shared" si="701"/>
        <v>8.7784150406370297E-3</v>
      </c>
      <c r="Z3449" t="str">
        <f t="shared" si="694"/>
        <v>2023-11</v>
      </c>
    </row>
    <row r="3450" spans="1:26" x14ac:dyDescent="0.35">
      <c r="A3450" s="1">
        <v>45232</v>
      </c>
      <c r="C3450">
        <v>4169.62</v>
      </c>
      <c r="D3450">
        <f t="shared" si="695"/>
        <v>1.886192897230371E-2</v>
      </c>
      <c r="E3450" t="str">
        <f t="shared" si="689"/>
        <v>2023-11</v>
      </c>
      <c r="G3450">
        <v>7060.69</v>
      </c>
      <c r="H3450">
        <f t="shared" si="696"/>
        <v>1.8303529854719437E-2</v>
      </c>
      <c r="I3450" t="str">
        <f t="shared" si="690"/>
        <v>2023-11</v>
      </c>
      <c r="K3450">
        <v>15143.6</v>
      </c>
      <c r="L3450">
        <f t="shared" si="697"/>
        <v>1.465626079486732E-2</v>
      </c>
      <c r="M3450" t="str">
        <f t="shared" si="691"/>
        <v>2023-11</v>
      </c>
      <c r="O3450">
        <v>8548.6556799999998</v>
      </c>
      <c r="P3450">
        <f t="shared" si="698"/>
        <v>1.2362882779944429E-2</v>
      </c>
      <c r="Q3450" t="str">
        <f t="shared" si="692"/>
        <v>2023-11</v>
      </c>
      <c r="S3450">
        <v>9260.4</v>
      </c>
      <c r="T3450">
        <f t="shared" si="699"/>
        <v>2.0223864118506081E-2</v>
      </c>
      <c r="U3450" t="str">
        <f t="shared" si="693"/>
        <v>2023-11</v>
      </c>
      <c r="W3450">
        <v>28479.39</v>
      </c>
      <c r="X3450">
        <f t="shared" si="700"/>
        <v>1.749629284675263E-2</v>
      </c>
      <c r="Y3450">
        <f t="shared" si="701"/>
        <v>1.7650249558341793E-2</v>
      </c>
      <c r="Z3450" t="str">
        <f t="shared" si="694"/>
        <v>2023-11</v>
      </c>
    </row>
    <row r="3451" spans="1:26" x14ac:dyDescent="0.35">
      <c r="A3451" s="1">
        <v>45233</v>
      </c>
      <c r="C3451">
        <v>4174.67</v>
      </c>
      <c r="D3451">
        <f t="shared" si="695"/>
        <v>1.210408702611787E-3</v>
      </c>
      <c r="E3451" t="str">
        <f t="shared" si="689"/>
        <v>2023-11</v>
      </c>
      <c r="G3451">
        <v>7047.5</v>
      </c>
      <c r="H3451">
        <f t="shared" si="696"/>
        <v>-1.8698364344402743E-3</v>
      </c>
      <c r="I3451" t="str">
        <f t="shared" si="690"/>
        <v>2023-11</v>
      </c>
      <c r="K3451">
        <v>15189.25</v>
      </c>
      <c r="L3451">
        <f t="shared" si="697"/>
        <v>3.0099403428796431E-3</v>
      </c>
      <c r="M3451" t="str">
        <f t="shared" si="691"/>
        <v>2023-11</v>
      </c>
      <c r="O3451">
        <v>8555.5712299999996</v>
      </c>
      <c r="P3451">
        <f t="shared" si="698"/>
        <v>8.0863641639277806E-4</v>
      </c>
      <c r="Q3451" t="str">
        <f t="shared" si="692"/>
        <v>2023-11</v>
      </c>
      <c r="S3451">
        <v>9293.9</v>
      </c>
      <c r="T3451">
        <f t="shared" si="699"/>
        <v>3.611026705611922E-3</v>
      </c>
      <c r="U3451" t="str">
        <f t="shared" si="693"/>
        <v>2023-11</v>
      </c>
      <c r="W3451">
        <v>28674.83</v>
      </c>
      <c r="X3451">
        <f t="shared" si="700"/>
        <v>6.8390667136374751E-3</v>
      </c>
      <c r="Y3451">
        <f t="shared" si="701"/>
        <v>6.8625065354279823E-3</v>
      </c>
      <c r="Z3451" t="str">
        <f t="shared" si="694"/>
        <v>2023-11</v>
      </c>
    </row>
    <row r="3452" spans="1:26" x14ac:dyDescent="0.35">
      <c r="A3452" s="1">
        <v>45236</v>
      </c>
      <c r="C3452">
        <v>4158.6400000000003</v>
      </c>
      <c r="D3452">
        <f t="shared" si="695"/>
        <v>-3.847215517424413E-3</v>
      </c>
      <c r="E3452" t="str">
        <f t="shared" si="689"/>
        <v>2023-11</v>
      </c>
      <c r="G3452">
        <v>7013.73</v>
      </c>
      <c r="H3452">
        <f t="shared" si="696"/>
        <v>-4.8032874687663025E-3</v>
      </c>
      <c r="I3452" t="str">
        <f t="shared" si="690"/>
        <v>2023-11</v>
      </c>
      <c r="K3452">
        <v>15135.97</v>
      </c>
      <c r="L3452">
        <f t="shared" si="697"/>
        <v>-3.5139105222114376E-3</v>
      </c>
      <c r="M3452" t="str">
        <f t="shared" si="691"/>
        <v>2023-11</v>
      </c>
      <c r="O3452">
        <v>8547.4207299999998</v>
      </c>
      <c r="P3452">
        <f t="shared" si="698"/>
        <v>-9.531081621350397E-4</v>
      </c>
      <c r="Q3452" t="str">
        <f t="shared" si="692"/>
        <v>2023-11</v>
      </c>
      <c r="S3452">
        <v>9241.5</v>
      </c>
      <c r="T3452">
        <f t="shared" si="699"/>
        <v>-5.6540608344345187E-3</v>
      </c>
      <c r="U3452" t="str">
        <f t="shared" si="693"/>
        <v>2023-11</v>
      </c>
      <c r="W3452">
        <v>28592.6</v>
      </c>
      <c r="X3452">
        <f t="shared" si="700"/>
        <v>-2.8717914009354839E-3</v>
      </c>
      <c r="Y3452">
        <f t="shared" si="701"/>
        <v>-2.8676717525440674E-3</v>
      </c>
      <c r="Z3452" t="str">
        <f t="shared" si="694"/>
        <v>2023-11</v>
      </c>
    </row>
    <row r="3453" spans="1:26" x14ac:dyDescent="0.35">
      <c r="A3453" s="1">
        <v>45237</v>
      </c>
      <c r="C3453">
        <v>4153.37</v>
      </c>
      <c r="D3453">
        <f t="shared" si="695"/>
        <v>-1.2680448426200606E-3</v>
      </c>
      <c r="E3453" t="str">
        <f t="shared" si="689"/>
        <v>2023-11</v>
      </c>
      <c r="G3453">
        <v>6986.23</v>
      </c>
      <c r="H3453">
        <f t="shared" si="696"/>
        <v>-3.9285877058389783E-3</v>
      </c>
      <c r="I3453" t="str">
        <f t="shared" si="690"/>
        <v>2023-11</v>
      </c>
      <c r="K3453">
        <v>15152.64</v>
      </c>
      <c r="L3453">
        <f t="shared" si="697"/>
        <v>1.1007439220991017E-3</v>
      </c>
      <c r="M3453" t="str">
        <f t="shared" si="691"/>
        <v>2023-11</v>
      </c>
      <c r="O3453">
        <v>8517.0001799999991</v>
      </c>
      <c r="P3453">
        <f t="shared" si="698"/>
        <v>-3.5653811384275167E-3</v>
      </c>
      <c r="Q3453" t="str">
        <f t="shared" si="692"/>
        <v>2023-11</v>
      </c>
      <c r="S3453">
        <v>9235.9</v>
      </c>
      <c r="T3453">
        <f t="shared" si="699"/>
        <v>-6.0614590488485356E-4</v>
      </c>
      <c r="U3453" t="str">
        <f t="shared" si="693"/>
        <v>2023-11</v>
      </c>
      <c r="W3453">
        <v>28395.9</v>
      </c>
      <c r="X3453">
        <f t="shared" si="700"/>
        <v>-6.9031745395961661E-3</v>
      </c>
      <c r="Y3453">
        <f t="shared" si="701"/>
        <v>-6.8794023628490275E-3</v>
      </c>
      <c r="Z3453" t="str">
        <f t="shared" si="694"/>
        <v>2023-11</v>
      </c>
    </row>
    <row r="3454" spans="1:26" x14ac:dyDescent="0.35">
      <c r="A3454" s="1">
        <v>45238</v>
      </c>
      <c r="C3454">
        <v>4178.49</v>
      </c>
      <c r="D3454">
        <f t="shared" si="695"/>
        <v>6.029884350557636E-3</v>
      </c>
      <c r="E3454" t="str">
        <f t="shared" si="689"/>
        <v>2023-11</v>
      </c>
      <c r="G3454">
        <v>7034.16</v>
      </c>
      <c r="H3454">
        <f t="shared" si="696"/>
        <v>6.8372116206484408E-3</v>
      </c>
      <c r="I3454" t="str">
        <f t="shared" si="690"/>
        <v>2023-11</v>
      </c>
      <c r="K3454">
        <v>15229.6</v>
      </c>
      <c r="L3454">
        <f t="shared" si="697"/>
        <v>5.0661284093829412E-3</v>
      </c>
      <c r="M3454" t="str">
        <f t="shared" si="691"/>
        <v>2023-11</v>
      </c>
      <c r="O3454">
        <v>8496.6326300000001</v>
      </c>
      <c r="P3454">
        <f t="shared" si="698"/>
        <v>-2.3942634659154787E-3</v>
      </c>
      <c r="Q3454" t="str">
        <f t="shared" si="692"/>
        <v>2023-11</v>
      </c>
      <c r="S3454">
        <v>9283.7999999999993</v>
      </c>
      <c r="T3454">
        <f t="shared" si="699"/>
        <v>5.172881505831564E-3</v>
      </c>
      <c r="U3454" t="str">
        <f t="shared" si="693"/>
        <v>2023-11</v>
      </c>
      <c r="W3454">
        <v>28433.33</v>
      </c>
      <c r="X3454">
        <f t="shared" si="700"/>
        <v>1.3172800480478371E-3</v>
      </c>
      <c r="Y3454">
        <f t="shared" si="701"/>
        <v>1.3181480424991033E-3</v>
      </c>
      <c r="Z3454" t="str">
        <f t="shared" si="694"/>
        <v>2023-11</v>
      </c>
    </row>
    <row r="3455" spans="1:26" x14ac:dyDescent="0.35">
      <c r="A3455" s="1">
        <v>45239</v>
      </c>
      <c r="C3455">
        <v>4229.2</v>
      </c>
      <c r="D3455">
        <f t="shared" si="695"/>
        <v>1.2062912623046885E-2</v>
      </c>
      <c r="E3455" t="str">
        <f t="shared" si="689"/>
        <v>2023-11</v>
      </c>
      <c r="G3455">
        <v>7113.66</v>
      </c>
      <c r="H3455">
        <f t="shared" si="696"/>
        <v>1.123859884790428E-2</v>
      </c>
      <c r="I3455" t="str">
        <f t="shared" si="690"/>
        <v>2023-11</v>
      </c>
      <c r="K3455">
        <v>15352.54</v>
      </c>
      <c r="L3455">
        <f t="shared" si="697"/>
        <v>8.0400300474347576E-3</v>
      </c>
      <c r="M3455" t="str">
        <f t="shared" si="691"/>
        <v>2023-11</v>
      </c>
      <c r="O3455">
        <v>8543.5501100000001</v>
      </c>
      <c r="P3455">
        <f t="shared" si="698"/>
        <v>5.5067013394567536E-3</v>
      </c>
      <c r="Q3455" t="str">
        <f t="shared" si="692"/>
        <v>2023-11</v>
      </c>
      <c r="S3455">
        <v>9405.2000000000007</v>
      </c>
      <c r="T3455">
        <f t="shared" si="699"/>
        <v>1.2991782069769304E-2</v>
      </c>
      <c r="U3455" t="str">
        <f t="shared" si="693"/>
        <v>2023-11</v>
      </c>
      <c r="W3455">
        <v>28644.09</v>
      </c>
      <c r="X3455">
        <f t="shared" si="700"/>
        <v>7.3850905628056593E-3</v>
      </c>
      <c r="Y3455">
        <f t="shared" si="701"/>
        <v>7.4124275981743391E-3</v>
      </c>
      <c r="Z3455" t="str">
        <f t="shared" si="694"/>
        <v>2023-11</v>
      </c>
    </row>
    <row r="3456" spans="1:26" x14ac:dyDescent="0.35">
      <c r="A3456" s="1">
        <v>45240</v>
      </c>
      <c r="C3456">
        <v>4197.3599999999997</v>
      </c>
      <c r="D3456">
        <f t="shared" si="695"/>
        <v>-7.5570936493259914E-3</v>
      </c>
      <c r="E3456" t="str">
        <f t="shared" si="689"/>
        <v>2023-11</v>
      </c>
      <c r="G3456">
        <v>7045.04</v>
      </c>
      <c r="H3456">
        <f t="shared" si="696"/>
        <v>-9.693056179889423E-3</v>
      </c>
      <c r="I3456" t="str">
        <f t="shared" si="690"/>
        <v>2023-11</v>
      </c>
      <c r="K3456">
        <v>15234.39</v>
      </c>
      <c r="L3456">
        <f t="shared" si="697"/>
        <v>-7.7255604038015801E-3</v>
      </c>
      <c r="M3456" t="str">
        <f t="shared" si="691"/>
        <v>2023-11</v>
      </c>
      <c r="O3456">
        <v>8420.6235899999992</v>
      </c>
      <c r="P3456">
        <f t="shared" si="698"/>
        <v>-1.449273908472897E-2</v>
      </c>
      <c r="Q3456" t="str">
        <f t="shared" si="692"/>
        <v>2023-11</v>
      </c>
      <c r="S3456">
        <v>9371.7000000000007</v>
      </c>
      <c r="T3456">
        <f t="shared" si="699"/>
        <v>-3.5682179213812944E-3</v>
      </c>
      <c r="U3456" t="str">
        <f t="shared" si="693"/>
        <v>2023-11</v>
      </c>
      <c r="W3456">
        <v>28504.43</v>
      </c>
      <c r="X3456">
        <f t="shared" si="700"/>
        <v>-4.8876253672590813E-3</v>
      </c>
      <c r="Y3456">
        <f t="shared" si="701"/>
        <v>-4.8757003626227905E-3</v>
      </c>
      <c r="Z3456" t="str">
        <f t="shared" si="694"/>
        <v>2023-11</v>
      </c>
    </row>
    <row r="3457" spans="1:26" x14ac:dyDescent="0.35">
      <c r="A3457" s="1">
        <v>45243</v>
      </c>
      <c r="C3457">
        <v>4232.1899999999996</v>
      </c>
      <c r="D3457">
        <f t="shared" si="695"/>
        <v>8.2638333515388952E-3</v>
      </c>
      <c r="E3457" t="str">
        <f t="shared" si="689"/>
        <v>2023-11</v>
      </c>
      <c r="G3457">
        <v>7087.06</v>
      </c>
      <c r="H3457">
        <f t="shared" si="696"/>
        <v>5.9467628778211296E-3</v>
      </c>
      <c r="I3457" t="str">
        <f t="shared" si="690"/>
        <v>2023-11</v>
      </c>
      <c r="K3457">
        <v>15345</v>
      </c>
      <c r="L3457">
        <f t="shared" si="697"/>
        <v>7.2343158186243383E-3</v>
      </c>
      <c r="M3457" t="str">
        <f t="shared" si="691"/>
        <v>2023-11</v>
      </c>
      <c r="O3457">
        <v>8517.2103999999999</v>
      </c>
      <c r="P3457">
        <f t="shared" si="698"/>
        <v>1.1404983305966935E-2</v>
      </c>
      <c r="Q3457" t="str">
        <f t="shared" si="692"/>
        <v>2023-11</v>
      </c>
      <c r="S3457">
        <v>9461.7000000000007</v>
      </c>
      <c r="T3457">
        <f t="shared" si="699"/>
        <v>9.5575610459348644E-3</v>
      </c>
      <c r="U3457" t="str">
        <f t="shared" si="693"/>
        <v>2023-11</v>
      </c>
      <c r="W3457">
        <v>28925.26</v>
      </c>
      <c r="X3457">
        <f t="shared" si="700"/>
        <v>1.4655748011617301E-2</v>
      </c>
      <c r="Y3457">
        <f t="shared" si="701"/>
        <v>1.4763670068126187E-2</v>
      </c>
      <c r="Z3457" t="str">
        <f t="shared" si="694"/>
        <v>2023-11</v>
      </c>
    </row>
    <row r="3458" spans="1:26" x14ac:dyDescent="0.35">
      <c r="A3458" s="1">
        <v>45244</v>
      </c>
      <c r="C3458">
        <v>4291.72</v>
      </c>
      <c r="D3458">
        <f t="shared" si="695"/>
        <v>1.3967995410492044E-2</v>
      </c>
      <c r="E3458" t="str">
        <f t="shared" si="689"/>
        <v>2023-11</v>
      </c>
      <c r="G3458">
        <v>7185.68</v>
      </c>
      <c r="H3458">
        <f t="shared" si="696"/>
        <v>1.3819570669218087E-2</v>
      </c>
      <c r="I3458" t="str">
        <f t="shared" si="690"/>
        <v>2023-11</v>
      </c>
      <c r="K3458">
        <v>15614.43</v>
      </c>
      <c r="L3458">
        <f t="shared" si="697"/>
        <v>1.7405798634926792E-2</v>
      </c>
      <c r="M3458" t="str">
        <f t="shared" si="691"/>
        <v>2023-11</v>
      </c>
      <c r="O3458">
        <v>8549.0473399999992</v>
      </c>
      <c r="P3458">
        <f t="shared" si="698"/>
        <v>3.7309851306048781E-3</v>
      </c>
      <c r="Q3458" t="str">
        <f t="shared" si="692"/>
        <v>2023-11</v>
      </c>
      <c r="S3458">
        <v>9623.2999999999993</v>
      </c>
      <c r="T3458">
        <f t="shared" si="699"/>
        <v>1.693517026161134E-2</v>
      </c>
      <c r="U3458" t="str">
        <f t="shared" si="693"/>
        <v>2023-11</v>
      </c>
      <c r="W3458">
        <v>29344.43</v>
      </c>
      <c r="X3458">
        <f t="shared" si="700"/>
        <v>1.4387487925570933E-2</v>
      </c>
      <c r="Y3458">
        <f t="shared" si="701"/>
        <v>1.4491485988371475E-2</v>
      </c>
      <c r="Z3458" t="str">
        <f t="shared" si="694"/>
        <v>2023-11</v>
      </c>
    </row>
    <row r="3459" spans="1:26" x14ac:dyDescent="0.35">
      <c r="A3459" s="1">
        <v>45245</v>
      </c>
      <c r="C3459">
        <v>4315.53</v>
      </c>
      <c r="D3459">
        <f t="shared" si="695"/>
        <v>5.5325593502567562E-3</v>
      </c>
      <c r="E3459" t="str">
        <f t="shared" si="689"/>
        <v>2023-11</v>
      </c>
      <c r="G3459">
        <v>7209.61</v>
      </c>
      <c r="H3459">
        <f t="shared" si="696"/>
        <v>3.3247016271013958E-3</v>
      </c>
      <c r="I3459" t="str">
        <f t="shared" si="690"/>
        <v>2023-11</v>
      </c>
      <c r="K3459">
        <v>15748.17</v>
      </c>
      <c r="L3459">
        <f t="shared" si="697"/>
        <v>8.5286813381889991E-3</v>
      </c>
      <c r="M3459" t="str">
        <f t="shared" si="691"/>
        <v>2023-11</v>
      </c>
      <c r="O3459">
        <v>8569.1803</v>
      </c>
      <c r="P3459">
        <f t="shared" si="698"/>
        <v>2.3522259087001146E-3</v>
      </c>
      <c r="Q3459" t="str">
        <f t="shared" si="692"/>
        <v>2023-11</v>
      </c>
      <c r="S3459">
        <v>9640.7000000000007</v>
      </c>
      <c r="T3459">
        <f t="shared" si="699"/>
        <v>1.80647889658246E-3</v>
      </c>
      <c r="U3459" t="str">
        <f t="shared" si="693"/>
        <v>2023-11</v>
      </c>
      <c r="W3459">
        <v>29466.93</v>
      </c>
      <c r="X3459">
        <f t="shared" si="700"/>
        <v>4.1658678581827707E-3</v>
      </c>
      <c r="Y3459">
        <f t="shared" si="701"/>
        <v>4.1745571476426704E-3</v>
      </c>
      <c r="Z3459" t="str">
        <f t="shared" si="694"/>
        <v>2023-11</v>
      </c>
    </row>
    <row r="3460" spans="1:26" x14ac:dyDescent="0.35">
      <c r="A3460" s="1">
        <v>45246</v>
      </c>
      <c r="C3460">
        <v>4302.45</v>
      </c>
      <c r="D3460">
        <f t="shared" si="695"/>
        <v>-3.0355164536586873E-3</v>
      </c>
      <c r="E3460" t="str">
        <f t="shared" ref="E3460:E3523" si="702">_xlfn.CONCAT(YEAR(A3460),"-",TEXT(MONTH(A3460),"00"))</f>
        <v>2023-11</v>
      </c>
      <c r="G3460">
        <v>7168.4</v>
      </c>
      <c r="H3460">
        <f t="shared" si="696"/>
        <v>-5.7323806072326587E-3</v>
      </c>
      <c r="I3460" t="str">
        <f t="shared" ref="I3460:I3523" si="703">_xlfn.CONCAT(YEAR(A3460),"-",TEXT(MONTH(A3460),"00"))</f>
        <v>2023-11</v>
      </c>
      <c r="K3460">
        <v>15786.61</v>
      </c>
      <c r="L3460">
        <f t="shared" si="697"/>
        <v>2.4379443293558157E-3</v>
      </c>
      <c r="M3460" t="str">
        <f t="shared" ref="M3460:M3523" si="704">_xlfn.CONCAT(YEAR(A3460),"-",TEXT(MONTH(A3460),"00"))</f>
        <v>2023-11</v>
      </c>
      <c r="O3460">
        <v>8478.9412799999991</v>
      </c>
      <c r="P3460">
        <f t="shared" si="698"/>
        <v>-1.0586487474313979E-2</v>
      </c>
      <c r="Q3460" t="str">
        <f t="shared" ref="Q3460:Q3523" si="705">_xlfn.CONCAT(YEAR(A3460),"-",TEXT(MONTH(A3460),"00"))</f>
        <v>2023-11</v>
      </c>
      <c r="S3460">
        <v>9667.4</v>
      </c>
      <c r="T3460">
        <f t="shared" si="699"/>
        <v>2.765680415887119E-3</v>
      </c>
      <c r="U3460" t="str">
        <f t="shared" ref="U3460:U3523" si="706">_xlfn.CONCAT(YEAR(A3460),"-",TEXT(MONTH(A3460),"00"))</f>
        <v>2023-11</v>
      </c>
      <c r="W3460">
        <v>29258.1</v>
      </c>
      <c r="X3460">
        <f t="shared" si="700"/>
        <v>-7.1121591684696105E-3</v>
      </c>
      <c r="Y3460">
        <f t="shared" si="701"/>
        <v>-7.0869276168233934E-3</v>
      </c>
      <c r="Z3460" t="str">
        <f t="shared" ref="Z3460:Z3523" si="707">_xlfn.CONCAT(YEAR(A3460),"-",TEXT(MONTH(A3460),"00"))</f>
        <v>2023-11</v>
      </c>
    </row>
    <row r="3461" spans="1:26" x14ac:dyDescent="0.35">
      <c r="A3461" s="1">
        <v>45247</v>
      </c>
      <c r="C3461">
        <v>4340.7700000000004</v>
      </c>
      <c r="D3461">
        <f t="shared" ref="D3461:D3524" si="708">LN(C3461/C3460)</f>
        <v>8.8671238446624053E-3</v>
      </c>
      <c r="E3461" t="str">
        <f t="shared" si="702"/>
        <v>2023-11</v>
      </c>
      <c r="G3461">
        <v>7233.91</v>
      </c>
      <c r="H3461">
        <f t="shared" ref="H3461:H3524" si="709">LN(G3461/G3460)</f>
        <v>9.0972145157622517E-3</v>
      </c>
      <c r="I3461" t="str">
        <f t="shared" si="703"/>
        <v>2023-11</v>
      </c>
      <c r="K3461">
        <v>15919.16</v>
      </c>
      <c r="L3461">
        <f t="shared" ref="L3461:L3524" si="710">LN(K3461/K3460)</f>
        <v>8.3613028309109071E-3</v>
      </c>
      <c r="M3461" t="str">
        <f t="shared" si="704"/>
        <v>2023-11</v>
      </c>
      <c r="O3461">
        <v>8569.5916400000006</v>
      </c>
      <c r="P3461">
        <f t="shared" ref="P3461:P3524" si="711">LN(O3461/O3460)</f>
        <v>1.0634488579821478E-2</v>
      </c>
      <c r="Q3461" t="str">
        <f t="shared" si="705"/>
        <v>2023-11</v>
      </c>
      <c r="S3461">
        <v>9761.4</v>
      </c>
      <c r="T3461">
        <f t="shared" ref="T3461:T3524" si="712">LN(S3461/S3460)</f>
        <v>9.6764322510938926E-3</v>
      </c>
      <c r="U3461" t="str">
        <f t="shared" si="706"/>
        <v>2023-11</v>
      </c>
      <c r="W3461">
        <v>29498.43</v>
      </c>
      <c r="X3461">
        <f t="shared" ref="X3461:X3524" si="713">LN(W3461/W3460)</f>
        <v>8.1805831718680406E-3</v>
      </c>
      <c r="Y3461">
        <f t="shared" ref="Y3461:Y3524" si="714">(W3461-W3460)/W3460</f>
        <v>8.2141355727132579E-3</v>
      </c>
      <c r="Z3461" t="str">
        <f t="shared" si="707"/>
        <v>2023-11</v>
      </c>
    </row>
    <row r="3462" spans="1:26" x14ac:dyDescent="0.35">
      <c r="A3462" s="1">
        <v>45250</v>
      </c>
      <c r="C3462">
        <v>4342.41</v>
      </c>
      <c r="D3462">
        <f t="shared" si="708"/>
        <v>3.7774179954825271E-4</v>
      </c>
      <c r="E3462" t="str">
        <f t="shared" si="702"/>
        <v>2023-11</v>
      </c>
      <c r="G3462">
        <v>7246.93</v>
      </c>
      <c r="H3462">
        <f t="shared" si="709"/>
        <v>1.7982387083240968E-3</v>
      </c>
      <c r="I3462" t="str">
        <f t="shared" si="703"/>
        <v>2023-11</v>
      </c>
      <c r="K3462">
        <v>15901.33</v>
      </c>
      <c r="L3462">
        <f t="shared" si="710"/>
        <v>-1.1206616784362766E-3</v>
      </c>
      <c r="M3462" t="str">
        <f t="shared" si="704"/>
        <v>2023-11</v>
      </c>
      <c r="O3462">
        <v>8567.5622899999998</v>
      </c>
      <c r="P3462">
        <f t="shared" si="711"/>
        <v>-2.3683629356147359E-4</v>
      </c>
      <c r="Q3462" t="str">
        <f t="shared" si="705"/>
        <v>2023-11</v>
      </c>
      <c r="S3462">
        <v>9839</v>
      </c>
      <c r="T3462">
        <f t="shared" si="712"/>
        <v>7.9182471225858475E-3</v>
      </c>
      <c r="U3462" t="str">
        <f t="shared" si="706"/>
        <v>2023-11</v>
      </c>
      <c r="W3462">
        <v>29541.9</v>
      </c>
      <c r="X3462">
        <f t="shared" si="713"/>
        <v>1.4725530109698461E-3</v>
      </c>
      <c r="Y3462">
        <f t="shared" si="714"/>
        <v>1.4736377495345062E-3</v>
      </c>
      <c r="Z3462" t="str">
        <f t="shared" si="707"/>
        <v>2023-11</v>
      </c>
    </row>
    <row r="3463" spans="1:26" x14ac:dyDescent="0.35">
      <c r="A3463" s="1">
        <v>45251</v>
      </c>
      <c r="C3463">
        <v>4331.8999999999996</v>
      </c>
      <c r="D3463">
        <f t="shared" si="708"/>
        <v>-2.4232486832983266E-3</v>
      </c>
      <c r="E3463" t="str">
        <f t="shared" si="702"/>
        <v>2023-11</v>
      </c>
      <c r="G3463">
        <v>7229.45</v>
      </c>
      <c r="H3463">
        <f t="shared" si="709"/>
        <v>-2.4149695566700125E-3</v>
      </c>
      <c r="I3463" t="str">
        <f t="shared" si="703"/>
        <v>2023-11</v>
      </c>
      <c r="K3463">
        <v>15900.53</v>
      </c>
      <c r="L3463">
        <f t="shared" si="710"/>
        <v>-5.0311522669908852E-5</v>
      </c>
      <c r="M3463" t="str">
        <f t="shared" si="704"/>
        <v>2023-11</v>
      </c>
      <c r="O3463">
        <v>8595.9645199999995</v>
      </c>
      <c r="P3463">
        <f t="shared" si="711"/>
        <v>3.3096060314069878E-3</v>
      </c>
      <c r="Q3463" t="str">
        <f t="shared" si="705"/>
        <v>2023-11</v>
      </c>
      <c r="S3463">
        <v>9827.5</v>
      </c>
      <c r="T3463">
        <f t="shared" si="712"/>
        <v>-1.1695015697500476E-3</v>
      </c>
      <c r="U3463" t="str">
        <f t="shared" si="706"/>
        <v>2023-11</v>
      </c>
      <c r="W3463">
        <v>29153.42</v>
      </c>
      <c r="X3463">
        <f t="shared" si="713"/>
        <v>-1.3237364501702297E-2</v>
      </c>
      <c r="Y3463">
        <f t="shared" si="714"/>
        <v>-1.3150135908658657E-2</v>
      </c>
      <c r="Z3463" t="str">
        <f t="shared" si="707"/>
        <v>2023-11</v>
      </c>
    </row>
    <row r="3464" spans="1:26" x14ac:dyDescent="0.35">
      <c r="A3464" s="1">
        <v>45252</v>
      </c>
      <c r="C3464">
        <v>4352.0200000000004</v>
      </c>
      <c r="D3464">
        <f t="shared" si="708"/>
        <v>4.6338602848674543E-3</v>
      </c>
      <c r="E3464" t="str">
        <f t="shared" si="702"/>
        <v>2023-11</v>
      </c>
      <c r="G3464">
        <v>7260.73</v>
      </c>
      <c r="H3464">
        <f t="shared" si="709"/>
        <v>4.3174133914698175E-3</v>
      </c>
      <c r="I3464" t="str">
        <f t="shared" si="703"/>
        <v>2023-11</v>
      </c>
      <c r="K3464">
        <v>15957.82</v>
      </c>
      <c r="L3464">
        <f t="shared" si="710"/>
        <v>3.5965492095242474E-3</v>
      </c>
      <c r="M3464" t="str">
        <f t="shared" si="704"/>
        <v>2023-11</v>
      </c>
      <c r="O3464">
        <v>8568.0683200000003</v>
      </c>
      <c r="P3464">
        <f t="shared" si="711"/>
        <v>-3.2505443007166982E-3</v>
      </c>
      <c r="Q3464" t="str">
        <f t="shared" si="705"/>
        <v>2023-11</v>
      </c>
      <c r="S3464">
        <v>9887.4</v>
      </c>
      <c r="T3464">
        <f t="shared" si="712"/>
        <v>6.0766409487238776E-3</v>
      </c>
      <c r="U3464" t="str">
        <f t="shared" si="706"/>
        <v>2023-11</v>
      </c>
      <c r="W3464">
        <v>29154.91</v>
      </c>
      <c r="X3464">
        <f t="shared" si="713"/>
        <v>5.1107620483158455E-5</v>
      </c>
      <c r="Y3464">
        <f t="shared" si="714"/>
        <v>5.1108926499930398E-5</v>
      </c>
      <c r="Z3464" t="str">
        <f t="shared" si="707"/>
        <v>2023-11</v>
      </c>
    </row>
    <row r="3465" spans="1:26" x14ac:dyDescent="0.35">
      <c r="A3465" s="1">
        <v>45253</v>
      </c>
      <c r="C3465">
        <v>4361.32</v>
      </c>
      <c r="D3465">
        <f t="shared" si="708"/>
        <v>2.1346587029758739E-3</v>
      </c>
      <c r="E3465" t="str">
        <f t="shared" si="702"/>
        <v>2023-11</v>
      </c>
      <c r="G3465">
        <v>7277.93</v>
      </c>
      <c r="H3465">
        <f t="shared" si="709"/>
        <v>2.3661063708015299E-3</v>
      </c>
      <c r="I3465" t="str">
        <f t="shared" si="703"/>
        <v>2023-11</v>
      </c>
      <c r="K3465">
        <v>15994.73</v>
      </c>
      <c r="L3465">
        <f t="shared" si="710"/>
        <v>2.3103017704216014E-3</v>
      </c>
      <c r="M3465" t="str">
        <f t="shared" si="704"/>
        <v>2023-11</v>
      </c>
      <c r="O3465">
        <v>8599.3237300000001</v>
      </c>
      <c r="P3465">
        <f t="shared" si="711"/>
        <v>3.6412571511086323E-3</v>
      </c>
      <c r="Q3465" t="str">
        <f t="shared" si="705"/>
        <v>2023-11</v>
      </c>
      <c r="S3465">
        <v>9905.5</v>
      </c>
      <c r="T3465">
        <f t="shared" si="712"/>
        <v>1.82893916964192E-3</v>
      </c>
      <c r="U3465" t="str">
        <f t="shared" si="706"/>
        <v>2023-11</v>
      </c>
      <c r="W3465">
        <v>29235.71</v>
      </c>
      <c r="X3465">
        <f t="shared" si="713"/>
        <v>2.7675695710566595E-3</v>
      </c>
      <c r="Y3465">
        <f t="shared" si="714"/>
        <v>2.7714028271738542E-3</v>
      </c>
      <c r="Z3465" t="str">
        <f t="shared" si="707"/>
        <v>2023-11</v>
      </c>
    </row>
    <row r="3466" spans="1:26" x14ac:dyDescent="0.35">
      <c r="A3466" s="1">
        <v>45254</v>
      </c>
      <c r="C3466">
        <v>4372.1000000000004</v>
      </c>
      <c r="D3466">
        <f t="shared" si="708"/>
        <v>2.4686790455013294E-3</v>
      </c>
      <c r="E3466" t="str">
        <f t="shared" si="702"/>
        <v>2023-11</v>
      </c>
      <c r="G3466">
        <v>7292.8</v>
      </c>
      <c r="H3466">
        <f t="shared" si="709"/>
        <v>2.0410789524440602E-3</v>
      </c>
      <c r="I3466" t="str">
        <f t="shared" si="703"/>
        <v>2023-11</v>
      </c>
      <c r="K3466">
        <v>16029.49</v>
      </c>
      <c r="L3466">
        <f t="shared" si="710"/>
        <v>2.1708577851949243E-3</v>
      </c>
      <c r="M3466" t="str">
        <f t="shared" si="704"/>
        <v>2023-11</v>
      </c>
      <c r="O3466">
        <v>8629.1221600000008</v>
      </c>
      <c r="P3466">
        <f t="shared" si="711"/>
        <v>3.4592162177241753E-3</v>
      </c>
      <c r="Q3466" t="str">
        <f t="shared" si="705"/>
        <v>2023-11</v>
      </c>
      <c r="S3466">
        <v>9939</v>
      </c>
      <c r="T3466">
        <f t="shared" si="712"/>
        <v>3.3762535536242372E-3</v>
      </c>
      <c r="U3466" t="str">
        <f t="shared" si="706"/>
        <v>2023-11</v>
      </c>
      <c r="W3466">
        <v>29432.3</v>
      </c>
      <c r="X3466">
        <f t="shared" si="713"/>
        <v>6.7018034464038471E-3</v>
      </c>
      <c r="Y3466">
        <f t="shared" si="714"/>
        <v>6.7243107829431936E-3</v>
      </c>
      <c r="Z3466" t="str">
        <f t="shared" si="707"/>
        <v>2023-11</v>
      </c>
    </row>
    <row r="3467" spans="1:26" x14ac:dyDescent="0.35">
      <c r="A3467" s="1">
        <v>45257</v>
      </c>
      <c r="C3467">
        <v>4354.41</v>
      </c>
      <c r="D3467">
        <f t="shared" si="708"/>
        <v>-4.0543182169281199E-3</v>
      </c>
      <c r="E3467" t="str">
        <f t="shared" si="702"/>
        <v>2023-11</v>
      </c>
      <c r="G3467">
        <v>7265.49</v>
      </c>
      <c r="H3467">
        <f t="shared" si="709"/>
        <v>-3.7518186593272608E-3</v>
      </c>
      <c r="I3467" t="str">
        <f t="shared" si="703"/>
        <v>2023-11</v>
      </c>
      <c r="K3467">
        <v>15966.37</v>
      </c>
      <c r="L3467">
        <f t="shared" si="710"/>
        <v>-3.945515568757189E-3</v>
      </c>
      <c r="M3467" t="str">
        <f t="shared" si="704"/>
        <v>2023-11</v>
      </c>
      <c r="O3467">
        <v>8600.2069499999998</v>
      </c>
      <c r="P3467">
        <f t="shared" si="711"/>
        <v>-3.3565134152803927E-3</v>
      </c>
      <c r="Q3467" t="str">
        <f t="shared" si="705"/>
        <v>2023-11</v>
      </c>
      <c r="S3467">
        <v>9936.1</v>
      </c>
      <c r="T3467">
        <f t="shared" si="712"/>
        <v>-2.9182243315306996E-4</v>
      </c>
      <c r="U3467" t="str">
        <f t="shared" si="706"/>
        <v>2023-11</v>
      </c>
      <c r="W3467">
        <v>29342.29</v>
      </c>
      <c r="X3467">
        <f t="shared" si="713"/>
        <v>-3.0628906256103725E-3</v>
      </c>
      <c r="Y3467">
        <f t="shared" si="714"/>
        <v>-3.0582047614355116E-3</v>
      </c>
      <c r="Z3467" t="str">
        <f t="shared" si="707"/>
        <v>2023-11</v>
      </c>
    </row>
    <row r="3468" spans="1:26" x14ac:dyDescent="0.35">
      <c r="A3468" s="1">
        <v>45258</v>
      </c>
      <c r="C3468">
        <v>4348.0200000000004</v>
      </c>
      <c r="D3468">
        <f t="shared" si="708"/>
        <v>-1.4685555984749723E-3</v>
      </c>
      <c r="E3468" t="str">
        <f t="shared" si="702"/>
        <v>2023-11</v>
      </c>
      <c r="G3468">
        <v>7250.13</v>
      </c>
      <c r="H3468">
        <f t="shared" si="709"/>
        <v>-2.1163416695937323E-3</v>
      </c>
      <c r="I3468" t="str">
        <f t="shared" si="703"/>
        <v>2023-11</v>
      </c>
      <c r="K3468">
        <v>15992.67</v>
      </c>
      <c r="L3468">
        <f t="shared" si="710"/>
        <v>1.6458570681025851E-3</v>
      </c>
      <c r="M3468" t="str">
        <f t="shared" si="704"/>
        <v>2023-11</v>
      </c>
      <c r="O3468">
        <v>8612.1694800000005</v>
      </c>
      <c r="P3468">
        <f t="shared" si="711"/>
        <v>1.3899919020124686E-3</v>
      </c>
      <c r="Q3468" t="str">
        <f t="shared" si="705"/>
        <v>2023-11</v>
      </c>
      <c r="S3468">
        <v>10003.4</v>
      </c>
      <c r="T3468">
        <f t="shared" si="712"/>
        <v>6.7504456544282615E-3</v>
      </c>
      <c r="U3468" t="str">
        <f t="shared" si="706"/>
        <v>2023-11</v>
      </c>
      <c r="W3468">
        <v>29376.74</v>
      </c>
      <c r="X3468">
        <f t="shared" si="713"/>
        <v>1.1733846404701081E-3</v>
      </c>
      <c r="Y3468">
        <f t="shared" si="714"/>
        <v>1.1740733255652756E-3</v>
      </c>
      <c r="Z3468" t="str">
        <f t="shared" si="707"/>
        <v>2023-11</v>
      </c>
    </row>
    <row r="3469" spans="1:26" x14ac:dyDescent="0.35">
      <c r="A3469" s="1">
        <v>45259</v>
      </c>
      <c r="C3469">
        <v>4370.53</v>
      </c>
      <c r="D3469">
        <f t="shared" si="708"/>
        <v>5.163714153635944E-3</v>
      </c>
      <c r="E3469" t="str">
        <f t="shared" si="702"/>
        <v>2023-11</v>
      </c>
      <c r="G3469">
        <v>7267.64</v>
      </c>
      <c r="H3469">
        <f t="shared" si="709"/>
        <v>2.4122173709306741E-3</v>
      </c>
      <c r="I3469" t="str">
        <f t="shared" si="703"/>
        <v>2023-11</v>
      </c>
      <c r="K3469">
        <v>16166.45</v>
      </c>
      <c r="L3469">
        <f t="shared" si="710"/>
        <v>1.0807614855201547E-2</v>
      </c>
      <c r="M3469" t="str">
        <f t="shared" si="704"/>
        <v>2023-11</v>
      </c>
      <c r="O3469">
        <v>8588.1099699999995</v>
      </c>
      <c r="P3469">
        <f t="shared" si="711"/>
        <v>-2.7975738140288888E-3</v>
      </c>
      <c r="Q3469" t="str">
        <f t="shared" si="705"/>
        <v>2023-11</v>
      </c>
      <c r="S3469">
        <v>10062.6</v>
      </c>
      <c r="T3469">
        <f t="shared" si="712"/>
        <v>5.9005453763565233E-3</v>
      </c>
      <c r="U3469" t="str">
        <f t="shared" si="706"/>
        <v>2023-11</v>
      </c>
      <c r="W3469">
        <v>29688.45</v>
      </c>
      <c r="X3469">
        <f t="shared" si="713"/>
        <v>1.0554876530261369E-2</v>
      </c>
      <c r="Y3469">
        <f t="shared" si="714"/>
        <v>1.0610775736177639E-2</v>
      </c>
      <c r="Z3469" t="str">
        <f t="shared" si="707"/>
        <v>2023-11</v>
      </c>
    </row>
    <row r="3470" spans="1:26" x14ac:dyDescent="0.35">
      <c r="A3470" s="1">
        <v>45260</v>
      </c>
      <c r="C3470">
        <v>4382.47</v>
      </c>
      <c r="D3470">
        <f t="shared" si="708"/>
        <v>2.7282091639230493E-3</v>
      </c>
      <c r="E3470" t="str">
        <f t="shared" si="702"/>
        <v>2023-11</v>
      </c>
      <c r="G3470">
        <v>7310.77</v>
      </c>
      <c r="H3470">
        <f t="shared" si="709"/>
        <v>5.9169862604101231E-3</v>
      </c>
      <c r="I3470" t="str">
        <f t="shared" si="703"/>
        <v>2023-11</v>
      </c>
      <c r="K3470">
        <v>16215.43</v>
      </c>
      <c r="L3470">
        <f t="shared" si="710"/>
        <v>3.0251509395700887E-3</v>
      </c>
      <c r="M3470" t="str">
        <f t="shared" si="704"/>
        <v>2023-11</v>
      </c>
      <c r="O3470">
        <v>8637.8627199999992</v>
      </c>
      <c r="P3470">
        <f t="shared" si="711"/>
        <v>5.7764968330953122E-3</v>
      </c>
      <c r="Q3470" t="str">
        <f t="shared" si="705"/>
        <v>2023-11</v>
      </c>
      <c r="S3470">
        <v>10058.200000000001</v>
      </c>
      <c r="T3470">
        <f t="shared" si="712"/>
        <v>-4.3735836250410637E-4</v>
      </c>
      <c r="U3470" t="str">
        <f t="shared" si="706"/>
        <v>2023-11</v>
      </c>
      <c r="W3470">
        <v>29737.38</v>
      </c>
      <c r="X3470">
        <f t="shared" si="713"/>
        <v>1.6467590291099335E-3</v>
      </c>
      <c r="Y3470">
        <f t="shared" si="714"/>
        <v>1.6481156813508381E-3</v>
      </c>
      <c r="Z3470" t="str">
        <f t="shared" si="707"/>
        <v>2023-11</v>
      </c>
    </row>
    <row r="3471" spans="1:26" x14ac:dyDescent="0.35">
      <c r="A3471" s="1">
        <v>45261</v>
      </c>
      <c r="C3471">
        <v>4418.51</v>
      </c>
      <c r="D3471">
        <f t="shared" si="708"/>
        <v>8.190042802907813E-3</v>
      </c>
      <c r="E3471" t="str">
        <f t="shared" si="702"/>
        <v>2023-12</v>
      </c>
      <c r="G3471">
        <v>7346.15</v>
      </c>
      <c r="H3471">
        <f t="shared" si="709"/>
        <v>4.8277630931535739E-3</v>
      </c>
      <c r="I3471" t="str">
        <f t="shared" si="703"/>
        <v>2023-12</v>
      </c>
      <c r="K3471">
        <v>16397.52</v>
      </c>
      <c r="L3471">
        <f t="shared" si="710"/>
        <v>1.1166845819900661E-2</v>
      </c>
      <c r="M3471" t="str">
        <f t="shared" si="704"/>
        <v>2023-12</v>
      </c>
      <c r="O3471">
        <v>8783.7803899999999</v>
      </c>
      <c r="P3471">
        <f t="shared" si="711"/>
        <v>1.6751701471710522E-2</v>
      </c>
      <c r="Q3471" t="str">
        <f t="shared" si="705"/>
        <v>2023-12</v>
      </c>
      <c r="S3471">
        <v>10140.799999999999</v>
      </c>
      <c r="T3471">
        <f t="shared" si="712"/>
        <v>8.1786682934685672E-3</v>
      </c>
      <c r="U3471" t="str">
        <f t="shared" si="706"/>
        <v>2023-12</v>
      </c>
      <c r="W3471">
        <v>29928.45</v>
      </c>
      <c r="X3471">
        <f t="shared" si="713"/>
        <v>6.4046927074311606E-3</v>
      </c>
      <c r="Y3471">
        <f t="shared" si="714"/>
        <v>6.4252466088135438E-3</v>
      </c>
      <c r="Z3471" t="str">
        <f t="shared" si="707"/>
        <v>2023-12</v>
      </c>
    </row>
    <row r="3472" spans="1:26" x14ac:dyDescent="0.35">
      <c r="A3472" s="1">
        <v>45264</v>
      </c>
      <c r="C3472">
        <v>4414.95</v>
      </c>
      <c r="D3472">
        <f t="shared" si="708"/>
        <v>-8.0602622137605643E-4</v>
      </c>
      <c r="E3472" t="str">
        <f t="shared" si="702"/>
        <v>2023-12</v>
      </c>
      <c r="G3472">
        <v>7332.59</v>
      </c>
      <c r="H3472">
        <f t="shared" si="709"/>
        <v>-1.8475705485993341E-3</v>
      </c>
      <c r="I3472" t="str">
        <f t="shared" si="703"/>
        <v>2023-12</v>
      </c>
      <c r="K3472">
        <v>16404.759999999998</v>
      </c>
      <c r="L3472">
        <f t="shared" si="710"/>
        <v>4.4143273684420155E-4</v>
      </c>
      <c r="M3472" t="str">
        <f t="shared" si="704"/>
        <v>2023-12</v>
      </c>
      <c r="O3472">
        <v>8759.3368900000005</v>
      </c>
      <c r="P3472">
        <f t="shared" si="711"/>
        <v>-2.7866787216914934E-3</v>
      </c>
      <c r="Q3472" t="str">
        <f t="shared" si="705"/>
        <v>2023-12</v>
      </c>
      <c r="S3472">
        <v>10178.299999999999</v>
      </c>
      <c r="T3472">
        <f t="shared" si="712"/>
        <v>3.6911125567535038E-3</v>
      </c>
      <c r="U3472" t="str">
        <f t="shared" si="706"/>
        <v>2023-12</v>
      </c>
      <c r="W3472">
        <v>29914.09</v>
      </c>
      <c r="X3472">
        <f t="shared" si="713"/>
        <v>-4.799261620789852E-4</v>
      </c>
      <c r="Y3472">
        <f t="shared" si="714"/>
        <v>-4.7981101593970227E-4</v>
      </c>
      <c r="Z3472" t="str">
        <f t="shared" si="707"/>
        <v>2023-12</v>
      </c>
    </row>
    <row r="3473" spans="1:26" x14ac:dyDescent="0.35">
      <c r="A3473" s="1">
        <v>45265</v>
      </c>
      <c r="C3473">
        <v>4452.7700000000004</v>
      </c>
      <c r="D3473">
        <f t="shared" si="708"/>
        <v>8.529865469498835E-3</v>
      </c>
      <c r="E3473" t="str">
        <f t="shared" si="702"/>
        <v>2023-12</v>
      </c>
      <c r="G3473">
        <v>7386.99</v>
      </c>
      <c r="H3473">
        <f t="shared" si="709"/>
        <v>7.3915488999576444E-3</v>
      </c>
      <c r="I3473" t="str">
        <f t="shared" si="703"/>
        <v>2023-12</v>
      </c>
      <c r="K3473">
        <v>16533.11</v>
      </c>
      <c r="L3473">
        <f t="shared" si="710"/>
        <v>7.7935002870427022E-3</v>
      </c>
      <c r="M3473" t="str">
        <f t="shared" si="704"/>
        <v>2023-12</v>
      </c>
      <c r="O3473">
        <v>8741.1540800000002</v>
      </c>
      <c r="P3473">
        <f t="shared" si="711"/>
        <v>-2.0779778777565328E-3</v>
      </c>
      <c r="Q3473" t="str">
        <f t="shared" si="705"/>
        <v>2023-12</v>
      </c>
      <c r="S3473">
        <v>10238.4</v>
      </c>
      <c r="T3473">
        <f t="shared" si="712"/>
        <v>5.8873543318406635E-3</v>
      </c>
      <c r="U3473" t="str">
        <f t="shared" si="706"/>
        <v>2023-12</v>
      </c>
      <c r="W3473">
        <v>30082.880000000001</v>
      </c>
      <c r="X3473">
        <f t="shared" si="713"/>
        <v>5.6266323219275509E-3</v>
      </c>
      <c r="Y3473">
        <f t="shared" si="714"/>
        <v>5.6424915482971693E-3</v>
      </c>
      <c r="Z3473" t="str">
        <f t="shared" si="707"/>
        <v>2023-12</v>
      </c>
    </row>
    <row r="3474" spans="1:26" x14ac:dyDescent="0.35">
      <c r="A3474" s="1">
        <v>45266</v>
      </c>
      <c r="C3474">
        <v>4483.26</v>
      </c>
      <c r="D3474">
        <f t="shared" si="708"/>
        <v>6.8240859356588955E-3</v>
      </c>
      <c r="E3474" t="str">
        <f t="shared" si="702"/>
        <v>2023-12</v>
      </c>
      <c r="G3474">
        <v>7435.99</v>
      </c>
      <c r="H3474">
        <f t="shared" si="709"/>
        <v>6.6113802330966037E-3</v>
      </c>
      <c r="I3474" t="str">
        <f t="shared" si="703"/>
        <v>2023-12</v>
      </c>
      <c r="K3474">
        <v>16656.439999999999</v>
      </c>
      <c r="L3474">
        <f t="shared" si="710"/>
        <v>7.4318915234917807E-3</v>
      </c>
      <c r="M3474" t="str">
        <f t="shared" si="704"/>
        <v>2023-12</v>
      </c>
      <c r="O3474">
        <v>8769.3373900000006</v>
      </c>
      <c r="P3474">
        <f t="shared" si="711"/>
        <v>3.2190226510570743E-3</v>
      </c>
      <c r="Q3474" t="str">
        <f t="shared" si="705"/>
        <v>2023-12</v>
      </c>
      <c r="S3474">
        <v>10258.1</v>
      </c>
      <c r="T3474">
        <f t="shared" si="712"/>
        <v>1.9222800054859929E-3</v>
      </c>
      <c r="U3474" t="str">
        <f t="shared" si="706"/>
        <v>2023-12</v>
      </c>
      <c r="W3474">
        <v>30326.29</v>
      </c>
      <c r="X3474">
        <f t="shared" si="713"/>
        <v>8.0587539051983435E-3</v>
      </c>
      <c r="Y3474">
        <f t="shared" si="714"/>
        <v>8.091313065770293E-3</v>
      </c>
      <c r="Z3474" t="str">
        <f t="shared" si="707"/>
        <v>2023-12</v>
      </c>
    </row>
    <row r="3475" spans="1:26" x14ac:dyDescent="0.35">
      <c r="A3475" s="1">
        <v>45267</v>
      </c>
      <c r="C3475">
        <v>4473.7700000000004</v>
      </c>
      <c r="D3475">
        <f t="shared" si="708"/>
        <v>-2.1190067580416712E-3</v>
      </c>
      <c r="E3475" t="str">
        <f t="shared" si="702"/>
        <v>2023-12</v>
      </c>
      <c r="G3475">
        <v>7428.52</v>
      </c>
      <c r="H3475">
        <f t="shared" si="709"/>
        <v>-1.0050786240297952E-3</v>
      </c>
      <c r="I3475" t="str">
        <f t="shared" si="703"/>
        <v>2023-12</v>
      </c>
      <c r="K3475">
        <v>16628.990000000002</v>
      </c>
      <c r="L3475">
        <f t="shared" si="710"/>
        <v>-1.6493706839879657E-3</v>
      </c>
      <c r="M3475" t="str">
        <f t="shared" si="704"/>
        <v>2023-12</v>
      </c>
      <c r="O3475">
        <v>8756.7424800000008</v>
      </c>
      <c r="P3475">
        <f t="shared" si="711"/>
        <v>-1.4372765914109991E-3</v>
      </c>
      <c r="Q3475" t="str">
        <f t="shared" si="705"/>
        <v>2023-12</v>
      </c>
      <c r="S3475">
        <v>10146</v>
      </c>
      <c r="T3475">
        <f t="shared" si="712"/>
        <v>-1.0988098264046483E-2</v>
      </c>
      <c r="U3475" t="str">
        <f t="shared" si="706"/>
        <v>2023-12</v>
      </c>
      <c r="W3475">
        <v>30121.77</v>
      </c>
      <c r="X3475">
        <f t="shared" si="713"/>
        <v>-6.7668269391187256E-3</v>
      </c>
      <c r="Y3475">
        <f t="shared" si="714"/>
        <v>-6.7439835205691306E-3</v>
      </c>
      <c r="Z3475" t="str">
        <f t="shared" si="707"/>
        <v>2023-12</v>
      </c>
    </row>
    <row r="3476" spans="1:26" x14ac:dyDescent="0.35">
      <c r="A3476" s="1">
        <v>45268</v>
      </c>
      <c r="C3476">
        <v>4523.3100000000004</v>
      </c>
      <c r="D3476">
        <f t="shared" si="708"/>
        <v>1.1012573117034991E-2</v>
      </c>
      <c r="E3476" t="str">
        <f t="shared" si="702"/>
        <v>2023-12</v>
      </c>
      <c r="G3476">
        <v>7526.55</v>
      </c>
      <c r="H3476">
        <f t="shared" si="709"/>
        <v>1.3110123065176893E-2</v>
      </c>
      <c r="I3476" t="str">
        <f t="shared" si="703"/>
        <v>2023-12</v>
      </c>
      <c r="K3476">
        <v>16759.22</v>
      </c>
      <c r="L3476">
        <f t="shared" si="710"/>
        <v>7.8009968449463812E-3</v>
      </c>
      <c r="M3476" t="str">
        <f t="shared" si="704"/>
        <v>2023-12</v>
      </c>
      <c r="O3476">
        <v>8811.6754000000001</v>
      </c>
      <c r="P3476">
        <f t="shared" si="711"/>
        <v>6.2536193526775696E-3</v>
      </c>
      <c r="Q3476" t="str">
        <f t="shared" si="705"/>
        <v>2023-12</v>
      </c>
      <c r="S3476">
        <v>10223.4</v>
      </c>
      <c r="T3476">
        <f t="shared" si="712"/>
        <v>7.5996713226131919E-3</v>
      </c>
      <c r="U3476" t="str">
        <f t="shared" si="706"/>
        <v>2023-12</v>
      </c>
      <c r="W3476">
        <v>30403.9</v>
      </c>
      <c r="X3476">
        <f t="shared" si="713"/>
        <v>9.3227235121289675E-3</v>
      </c>
      <c r="Y3476">
        <f t="shared" si="714"/>
        <v>9.3663154588857506E-3</v>
      </c>
      <c r="Z3476" t="str">
        <f t="shared" si="707"/>
        <v>2023-12</v>
      </c>
    </row>
    <row r="3477" spans="1:26" x14ac:dyDescent="0.35">
      <c r="A3477" s="1">
        <v>45271</v>
      </c>
      <c r="C3477">
        <v>4540.1899999999996</v>
      </c>
      <c r="D3477">
        <f t="shared" si="708"/>
        <v>3.7248346701917968E-3</v>
      </c>
      <c r="E3477" t="str">
        <f t="shared" si="702"/>
        <v>2023-12</v>
      </c>
      <c r="G3477">
        <v>7551.53</v>
      </c>
      <c r="H3477">
        <f t="shared" si="709"/>
        <v>3.3134222466162013E-3</v>
      </c>
      <c r="I3477" t="str">
        <f t="shared" si="703"/>
        <v>2023-12</v>
      </c>
      <c r="K3477">
        <v>16794.43</v>
      </c>
      <c r="L3477">
        <f t="shared" si="710"/>
        <v>2.0987292246308679E-3</v>
      </c>
      <c r="M3477" t="str">
        <f t="shared" si="704"/>
        <v>2023-12</v>
      </c>
      <c r="O3477">
        <v>8806.8191999999999</v>
      </c>
      <c r="P3477">
        <f t="shared" si="711"/>
        <v>-5.5126164104617322E-4</v>
      </c>
      <c r="Q3477" t="str">
        <f t="shared" si="705"/>
        <v>2023-12</v>
      </c>
      <c r="S3477">
        <v>10198</v>
      </c>
      <c r="T3477">
        <f t="shared" si="712"/>
        <v>-2.4875878341473899E-3</v>
      </c>
      <c r="U3477" t="str">
        <f t="shared" si="706"/>
        <v>2023-12</v>
      </c>
      <c r="W3477">
        <v>30426.58</v>
      </c>
      <c r="X3477">
        <f t="shared" si="713"/>
        <v>7.4567884556929758E-4</v>
      </c>
      <c r="Y3477">
        <f t="shared" si="714"/>
        <v>7.459569331566111E-4</v>
      </c>
      <c r="Z3477" t="str">
        <f t="shared" si="707"/>
        <v>2023-12</v>
      </c>
    </row>
    <row r="3478" spans="1:26" x14ac:dyDescent="0.35">
      <c r="A3478" s="1">
        <v>45272</v>
      </c>
      <c r="C3478">
        <v>4536.6099999999997</v>
      </c>
      <c r="D3478">
        <f t="shared" si="708"/>
        <v>-7.888242961475064E-4</v>
      </c>
      <c r="E3478" t="str">
        <f t="shared" si="702"/>
        <v>2023-12</v>
      </c>
      <c r="G3478">
        <v>7543.55</v>
      </c>
      <c r="H3478">
        <f t="shared" si="709"/>
        <v>-1.0572982380204772E-3</v>
      </c>
      <c r="I3478" t="str">
        <f t="shared" si="703"/>
        <v>2023-12</v>
      </c>
      <c r="K3478">
        <v>16791.740000000002</v>
      </c>
      <c r="L3478">
        <f t="shared" si="710"/>
        <v>-1.6018498124377315E-4</v>
      </c>
      <c r="M3478" t="str">
        <f t="shared" si="704"/>
        <v>2023-12</v>
      </c>
      <c r="O3478">
        <v>8771.2318899999991</v>
      </c>
      <c r="P3478">
        <f t="shared" si="711"/>
        <v>-4.0490676058215136E-3</v>
      </c>
      <c r="Q3478" t="str">
        <f t="shared" si="705"/>
        <v>2023-12</v>
      </c>
      <c r="S3478">
        <v>10118.700000000001</v>
      </c>
      <c r="T3478">
        <f t="shared" si="712"/>
        <v>-7.8064255231676894E-3</v>
      </c>
      <c r="U3478" t="str">
        <f t="shared" si="706"/>
        <v>2023-12</v>
      </c>
      <c r="W3478">
        <v>30342.15</v>
      </c>
      <c r="X3478">
        <f t="shared" si="713"/>
        <v>-2.7787335468816123E-3</v>
      </c>
      <c r="Y3478">
        <f t="shared" si="714"/>
        <v>-2.7748764402703257E-3</v>
      </c>
      <c r="Z3478" t="str">
        <f t="shared" si="707"/>
        <v>2023-12</v>
      </c>
    </row>
    <row r="3479" spans="1:26" x14ac:dyDescent="0.35">
      <c r="A3479" s="1">
        <v>45273</v>
      </c>
      <c r="C3479">
        <v>4530.1899999999996</v>
      </c>
      <c r="D3479">
        <f t="shared" si="708"/>
        <v>-1.4161558814447021E-3</v>
      </c>
      <c r="E3479" t="str">
        <f t="shared" si="702"/>
        <v>2023-12</v>
      </c>
      <c r="G3479">
        <v>7531.22</v>
      </c>
      <c r="H3479">
        <f t="shared" si="709"/>
        <v>-1.6358462184938418E-3</v>
      </c>
      <c r="I3479" t="str">
        <f t="shared" si="703"/>
        <v>2023-12</v>
      </c>
      <c r="K3479">
        <v>16766.05</v>
      </c>
      <c r="L3479">
        <f t="shared" si="710"/>
        <v>-1.5310903977064378E-3</v>
      </c>
      <c r="M3479" t="str">
        <f t="shared" si="704"/>
        <v>2023-12</v>
      </c>
      <c r="O3479">
        <v>8755.1824500000002</v>
      </c>
      <c r="P3479">
        <f t="shared" si="711"/>
        <v>-1.831457841266032E-3</v>
      </c>
      <c r="Q3479" t="str">
        <f t="shared" si="705"/>
        <v>2023-12</v>
      </c>
      <c r="S3479">
        <v>10096.1</v>
      </c>
      <c r="T3479">
        <f t="shared" si="712"/>
        <v>-2.2359864471554695E-3</v>
      </c>
      <c r="U3479" t="str">
        <f t="shared" si="706"/>
        <v>2023-12</v>
      </c>
      <c r="W3479">
        <v>30295.69</v>
      </c>
      <c r="X3479">
        <f t="shared" si="713"/>
        <v>-1.5323767829252236E-3</v>
      </c>
      <c r="Y3479">
        <f t="shared" si="714"/>
        <v>-1.5312032931088524E-3</v>
      </c>
      <c r="Z3479" t="str">
        <f t="shared" si="707"/>
        <v>2023-12</v>
      </c>
    </row>
    <row r="3480" spans="1:26" x14ac:dyDescent="0.35">
      <c r="A3480" s="1">
        <v>45274</v>
      </c>
      <c r="C3480">
        <v>4539.16</v>
      </c>
      <c r="D3480">
        <f t="shared" si="708"/>
        <v>1.9780916879055554E-3</v>
      </c>
      <c r="E3480" t="str">
        <f t="shared" si="702"/>
        <v>2023-12</v>
      </c>
      <c r="G3480">
        <v>7575.85</v>
      </c>
      <c r="H3480">
        <f t="shared" si="709"/>
        <v>5.9085090408417902E-3</v>
      </c>
      <c r="I3480" t="str">
        <f t="shared" si="703"/>
        <v>2023-12</v>
      </c>
      <c r="K3480">
        <v>16752.23</v>
      </c>
      <c r="L3480">
        <f t="shared" si="710"/>
        <v>-8.2462469930679849E-4</v>
      </c>
      <c r="M3480" t="str">
        <f t="shared" si="704"/>
        <v>2023-12</v>
      </c>
      <c r="O3480">
        <v>8885.4666400000006</v>
      </c>
      <c r="P3480">
        <f t="shared" si="711"/>
        <v>1.4771175164029645E-2</v>
      </c>
      <c r="Q3480" t="str">
        <f t="shared" si="705"/>
        <v>2023-12</v>
      </c>
      <c r="S3480">
        <v>10171.700000000001</v>
      </c>
      <c r="T3480">
        <f t="shared" si="712"/>
        <v>7.4601437371855971E-3</v>
      </c>
      <c r="U3480" t="str">
        <f t="shared" si="706"/>
        <v>2023-12</v>
      </c>
      <c r="W3480">
        <v>30359.06</v>
      </c>
      <c r="X3480">
        <f t="shared" si="713"/>
        <v>2.0895320830398635E-3</v>
      </c>
      <c r="Y3480">
        <f t="shared" si="714"/>
        <v>2.0917166765306427E-3</v>
      </c>
      <c r="Z3480" t="str">
        <f t="shared" si="707"/>
        <v>2023-12</v>
      </c>
    </row>
    <row r="3481" spans="1:26" x14ac:dyDescent="0.35">
      <c r="A3481" s="1">
        <v>45275</v>
      </c>
      <c r="C3481">
        <v>4549.4399999999996</v>
      </c>
      <c r="D3481">
        <f t="shared" si="708"/>
        <v>2.2621755570578833E-3</v>
      </c>
      <c r="E3481" t="str">
        <f t="shared" si="702"/>
        <v>2023-12</v>
      </c>
      <c r="G3481">
        <v>7596.91</v>
      </c>
      <c r="H3481">
        <f t="shared" si="709"/>
        <v>2.7760293479395784E-3</v>
      </c>
      <c r="I3481" t="str">
        <f t="shared" si="703"/>
        <v>2023-12</v>
      </c>
      <c r="K3481">
        <v>16751.439999999999</v>
      </c>
      <c r="L3481">
        <f t="shared" si="710"/>
        <v>-4.7159012737796163E-5</v>
      </c>
      <c r="M3481" t="str">
        <f t="shared" si="704"/>
        <v>2023-12</v>
      </c>
      <c r="O3481">
        <v>8823.5774700000002</v>
      </c>
      <c r="P3481">
        <f t="shared" si="711"/>
        <v>-6.989583579772073E-3</v>
      </c>
      <c r="Q3481" t="str">
        <f t="shared" si="705"/>
        <v>2023-12</v>
      </c>
      <c r="S3481">
        <v>10095.6</v>
      </c>
      <c r="T3481">
        <f t="shared" si="712"/>
        <v>-7.5096690371952929E-3</v>
      </c>
      <c r="U3481" t="str">
        <f t="shared" si="706"/>
        <v>2023-12</v>
      </c>
      <c r="W3481">
        <v>30373.89</v>
      </c>
      <c r="X3481">
        <f t="shared" si="713"/>
        <v>4.8836752684480484E-4</v>
      </c>
      <c r="Y3481">
        <f t="shared" si="714"/>
        <v>4.8848679768076183E-4</v>
      </c>
      <c r="Z3481" t="str">
        <f t="shared" si="707"/>
        <v>2023-12</v>
      </c>
    </row>
    <row r="3482" spans="1:26" x14ac:dyDescent="0.35">
      <c r="A3482" s="1">
        <v>45278</v>
      </c>
      <c r="C3482">
        <v>4521.13</v>
      </c>
      <c r="D3482">
        <f t="shared" si="708"/>
        <v>-6.2421858658488674E-3</v>
      </c>
      <c r="E3482" t="str">
        <f t="shared" si="702"/>
        <v>2023-12</v>
      </c>
      <c r="G3482">
        <v>7568.86</v>
      </c>
      <c r="H3482">
        <f t="shared" si="709"/>
        <v>-3.6991240121954966E-3</v>
      </c>
      <c r="I3482" t="str">
        <f t="shared" si="703"/>
        <v>2023-12</v>
      </c>
      <c r="K3482">
        <v>16650.55</v>
      </c>
      <c r="L3482">
        <f t="shared" si="710"/>
        <v>-6.0409758112003643E-3</v>
      </c>
      <c r="M3482" t="str">
        <f t="shared" si="704"/>
        <v>2023-12</v>
      </c>
      <c r="O3482">
        <v>8816.4362600000004</v>
      </c>
      <c r="P3482">
        <f t="shared" si="711"/>
        <v>-8.0966041176860752E-4</v>
      </c>
      <c r="Q3482" t="str">
        <f t="shared" si="705"/>
        <v>2023-12</v>
      </c>
      <c r="S3482">
        <v>10054.9</v>
      </c>
      <c r="T3482">
        <f t="shared" si="712"/>
        <v>-4.0396074883160531E-3</v>
      </c>
      <c r="U3482" t="str">
        <f t="shared" si="706"/>
        <v>2023-12</v>
      </c>
      <c r="W3482">
        <v>30241.02</v>
      </c>
      <c r="X3482">
        <f t="shared" si="713"/>
        <v>-4.3840768819032386E-3</v>
      </c>
      <c r="Y3482">
        <f t="shared" si="714"/>
        <v>-4.3744808452259153E-3</v>
      </c>
      <c r="Z3482" t="str">
        <f t="shared" si="707"/>
        <v>2023-12</v>
      </c>
    </row>
    <row r="3483" spans="1:26" x14ac:dyDescent="0.35">
      <c r="A3483" s="1">
        <v>45279</v>
      </c>
      <c r="C3483">
        <v>4535.3999999999996</v>
      </c>
      <c r="D3483">
        <f t="shared" si="708"/>
        <v>3.1513199447016252E-3</v>
      </c>
      <c r="E3483" t="str">
        <f t="shared" si="702"/>
        <v>2023-12</v>
      </c>
      <c r="G3483">
        <v>7574.67</v>
      </c>
      <c r="H3483">
        <f t="shared" si="709"/>
        <v>7.6732443295209909E-4</v>
      </c>
      <c r="I3483" t="str">
        <f t="shared" si="703"/>
        <v>2023-12</v>
      </c>
      <c r="K3483">
        <v>16744.41</v>
      </c>
      <c r="L3483">
        <f t="shared" si="710"/>
        <v>5.6212223131869542E-3</v>
      </c>
      <c r="M3483" t="str">
        <f t="shared" si="704"/>
        <v>2023-12</v>
      </c>
      <c r="O3483">
        <v>8863.5945400000001</v>
      </c>
      <c r="P3483">
        <f t="shared" si="711"/>
        <v>5.3346504167575762E-3</v>
      </c>
      <c r="Q3483" t="str">
        <f t="shared" si="705"/>
        <v>2023-12</v>
      </c>
      <c r="S3483">
        <v>10106.700000000001</v>
      </c>
      <c r="T3483">
        <f t="shared" si="712"/>
        <v>5.1384923793414573E-3</v>
      </c>
      <c r="U3483" t="str">
        <f t="shared" si="706"/>
        <v>2023-12</v>
      </c>
      <c r="W3483">
        <v>30363.53</v>
      </c>
      <c r="X3483">
        <f t="shared" si="713"/>
        <v>4.0429362769688658E-3</v>
      </c>
      <c r="Y3483">
        <f t="shared" si="714"/>
        <v>4.0511199688369774E-3</v>
      </c>
      <c r="Z3483" t="str">
        <f t="shared" si="707"/>
        <v>2023-12</v>
      </c>
    </row>
    <row r="3484" spans="1:26" x14ac:dyDescent="0.35">
      <c r="A3484" s="1">
        <v>45280</v>
      </c>
      <c r="C3484">
        <v>4533.82</v>
      </c>
      <c r="D3484">
        <f t="shared" si="708"/>
        <v>-3.4843129089043317E-4</v>
      </c>
      <c r="E3484" t="str">
        <f t="shared" si="702"/>
        <v>2023-12</v>
      </c>
      <c r="G3484">
        <v>7583.43</v>
      </c>
      <c r="H3484">
        <f t="shared" si="709"/>
        <v>1.1558178103084715E-3</v>
      </c>
      <c r="I3484" t="str">
        <f t="shared" si="703"/>
        <v>2023-12</v>
      </c>
      <c r="K3484">
        <v>16733.05</v>
      </c>
      <c r="L3484">
        <f t="shared" si="710"/>
        <v>-6.7866561178910024E-4</v>
      </c>
      <c r="M3484" t="str">
        <f t="shared" si="704"/>
        <v>2023-12</v>
      </c>
      <c r="O3484">
        <v>8921.1229800000001</v>
      </c>
      <c r="P3484">
        <f t="shared" si="711"/>
        <v>6.4694466564938023E-3</v>
      </c>
      <c r="Q3484" t="str">
        <f t="shared" si="705"/>
        <v>2023-12</v>
      </c>
      <c r="S3484">
        <v>10101</v>
      </c>
      <c r="T3484">
        <f t="shared" si="712"/>
        <v>-5.64141406609557E-4</v>
      </c>
      <c r="U3484" t="str">
        <f t="shared" si="706"/>
        <v>2023-12</v>
      </c>
      <c r="W3484">
        <v>30361.21</v>
      </c>
      <c r="X3484">
        <f t="shared" si="713"/>
        <v>-7.6410372481792001E-5</v>
      </c>
      <c r="Y3484">
        <f t="shared" si="714"/>
        <v>-7.6407453283584254E-5</v>
      </c>
      <c r="Z3484" t="str">
        <f t="shared" si="707"/>
        <v>2023-12</v>
      </c>
    </row>
    <row r="3485" spans="1:26" x14ac:dyDescent="0.35">
      <c r="A3485" s="1">
        <v>45281</v>
      </c>
      <c r="C3485">
        <v>4524.8599999999997</v>
      </c>
      <c r="D3485">
        <f t="shared" si="708"/>
        <v>-1.978213806416104E-3</v>
      </c>
      <c r="E3485" t="str">
        <f t="shared" si="702"/>
        <v>2023-12</v>
      </c>
      <c r="G3485">
        <v>7571.4</v>
      </c>
      <c r="H3485">
        <f t="shared" si="709"/>
        <v>-1.5876129955686431E-3</v>
      </c>
      <c r="I3485" t="str">
        <f t="shared" si="703"/>
        <v>2023-12</v>
      </c>
      <c r="K3485">
        <v>16687.419999999998</v>
      </c>
      <c r="L3485">
        <f t="shared" si="710"/>
        <v>-2.7306634738186288E-3</v>
      </c>
      <c r="M3485" t="str">
        <f t="shared" si="704"/>
        <v>2023-12</v>
      </c>
      <c r="O3485">
        <v>8870.0219099999995</v>
      </c>
      <c r="P3485">
        <f t="shared" si="711"/>
        <v>-5.7445668442387687E-3</v>
      </c>
      <c r="Q3485" t="str">
        <f t="shared" si="705"/>
        <v>2023-12</v>
      </c>
      <c r="S3485">
        <v>10104.299999999999</v>
      </c>
      <c r="T3485">
        <f t="shared" si="712"/>
        <v>3.2664697176890183E-4</v>
      </c>
      <c r="U3485" t="str">
        <f t="shared" si="706"/>
        <v>2023-12</v>
      </c>
      <c r="W3485">
        <v>30274.26</v>
      </c>
      <c r="X3485">
        <f t="shared" si="713"/>
        <v>-2.86796027468385E-3</v>
      </c>
      <c r="Y3485">
        <f t="shared" si="714"/>
        <v>-2.863851605387293E-3</v>
      </c>
      <c r="Z3485" t="str">
        <f t="shared" si="707"/>
        <v>2023-12</v>
      </c>
    </row>
    <row r="3486" spans="1:26" x14ac:dyDescent="0.35">
      <c r="A3486" s="1">
        <v>45282</v>
      </c>
      <c r="C3486">
        <v>4521.47</v>
      </c>
      <c r="D3486">
        <f t="shared" si="708"/>
        <v>-7.4947523662822015E-4</v>
      </c>
      <c r="E3486" t="str">
        <f t="shared" si="702"/>
        <v>2023-12</v>
      </c>
      <c r="G3486">
        <v>7568.82</v>
      </c>
      <c r="H3486">
        <f t="shared" si="709"/>
        <v>-3.4081407337191563E-4</v>
      </c>
      <c r="I3486" t="str">
        <f t="shared" si="703"/>
        <v>2023-12</v>
      </c>
      <c r="K3486">
        <v>16706.18</v>
      </c>
      <c r="L3486">
        <f t="shared" si="710"/>
        <v>1.1235687061930753E-3</v>
      </c>
      <c r="M3486" t="str">
        <f t="shared" si="704"/>
        <v>2023-12</v>
      </c>
      <c r="O3486">
        <v>8880.5060400000002</v>
      </c>
      <c r="P3486">
        <f t="shared" si="711"/>
        <v>1.1812754244461634E-3</v>
      </c>
      <c r="Q3486" t="str">
        <f t="shared" si="705"/>
        <v>2023-12</v>
      </c>
      <c r="S3486">
        <v>10111.9</v>
      </c>
      <c r="T3486">
        <f t="shared" si="712"/>
        <v>7.5187229628042858E-4</v>
      </c>
      <c r="U3486" t="str">
        <f t="shared" si="706"/>
        <v>2023-12</v>
      </c>
      <c r="W3486">
        <v>30353.29</v>
      </c>
      <c r="X3486">
        <f t="shared" si="713"/>
        <v>2.6070670763566127E-3</v>
      </c>
      <c r="Y3486">
        <f t="shared" si="714"/>
        <v>2.6104684309377828E-3</v>
      </c>
      <c r="Z3486" t="str">
        <f t="shared" si="707"/>
        <v>2023-12</v>
      </c>
    </row>
    <row r="3487" spans="1:26" x14ac:dyDescent="0.35">
      <c r="A3487" s="1">
        <v>45287</v>
      </c>
      <c r="C3487">
        <v>4528.38</v>
      </c>
      <c r="D3487">
        <f t="shared" si="708"/>
        <v>1.5270974309758325E-3</v>
      </c>
      <c r="E3487" t="str">
        <f t="shared" si="702"/>
        <v>2023-12</v>
      </c>
      <c r="G3487">
        <v>7571.82</v>
      </c>
      <c r="H3487">
        <f t="shared" si="709"/>
        <v>3.9628444230373726E-4</v>
      </c>
      <c r="I3487" t="str">
        <f t="shared" si="703"/>
        <v>2023-12</v>
      </c>
      <c r="K3487">
        <v>16742.07</v>
      </c>
      <c r="L3487">
        <f t="shared" si="710"/>
        <v>2.1460024828659791E-3</v>
      </c>
      <c r="M3487" t="str">
        <f t="shared" si="704"/>
        <v>2023-12</v>
      </c>
      <c r="O3487">
        <v>8897.0833399999992</v>
      </c>
      <c r="P3487">
        <f t="shared" si="711"/>
        <v>1.8649665542889839E-3</v>
      </c>
      <c r="Q3487" t="str">
        <f t="shared" si="705"/>
        <v>2023-12</v>
      </c>
      <c r="S3487">
        <v>10121.799999999999</v>
      </c>
      <c r="T3487">
        <f t="shared" si="712"/>
        <v>9.7856554065851907E-4</v>
      </c>
      <c r="U3487" t="str">
        <f t="shared" si="706"/>
        <v>2023-12</v>
      </c>
      <c r="W3487">
        <v>30421.51</v>
      </c>
      <c r="X3487">
        <f t="shared" si="713"/>
        <v>2.2450103876212198E-3</v>
      </c>
      <c r="Y3487">
        <f t="shared" si="714"/>
        <v>2.2475323103359644E-3</v>
      </c>
      <c r="Z3487" t="str">
        <f t="shared" si="707"/>
        <v>2023-12</v>
      </c>
    </row>
    <row r="3488" spans="1:26" x14ac:dyDescent="0.35">
      <c r="A3488" s="1">
        <v>45288</v>
      </c>
      <c r="C3488">
        <v>4514.38</v>
      </c>
      <c r="D3488">
        <f t="shared" si="708"/>
        <v>-3.0964022456984345E-3</v>
      </c>
      <c r="E3488" t="str">
        <f t="shared" si="702"/>
        <v>2023-12</v>
      </c>
      <c r="G3488">
        <v>7535.16</v>
      </c>
      <c r="H3488">
        <f t="shared" si="709"/>
        <v>-4.853395180486832E-3</v>
      </c>
      <c r="I3488" t="str">
        <f t="shared" si="703"/>
        <v>2023-12</v>
      </c>
      <c r="K3488">
        <v>16701.55</v>
      </c>
      <c r="L3488">
        <f t="shared" si="710"/>
        <v>-2.4231838435658437E-3</v>
      </c>
      <c r="M3488" t="str">
        <f t="shared" si="704"/>
        <v>2023-12</v>
      </c>
      <c r="O3488">
        <v>8883.8707699999995</v>
      </c>
      <c r="P3488">
        <f t="shared" si="711"/>
        <v>-1.486148870311196E-3</v>
      </c>
      <c r="Q3488" t="str">
        <f t="shared" si="705"/>
        <v>2023-12</v>
      </c>
      <c r="S3488">
        <v>10086.200000000001</v>
      </c>
      <c r="T3488">
        <f t="shared" si="712"/>
        <v>-3.5233607312352938E-3</v>
      </c>
      <c r="U3488" t="str">
        <f t="shared" si="706"/>
        <v>2023-12</v>
      </c>
      <c r="W3488">
        <v>30331.17</v>
      </c>
      <c r="X3488">
        <f t="shared" si="713"/>
        <v>-2.9740273708710606E-3</v>
      </c>
      <c r="Y3488">
        <f t="shared" si="714"/>
        <v>-2.969609332344126E-3</v>
      </c>
      <c r="Z3488" t="str">
        <f t="shared" si="707"/>
        <v>2023-12</v>
      </c>
    </row>
    <row r="3489" spans="1:26" x14ac:dyDescent="0.35">
      <c r="A3489" s="1">
        <v>45289</v>
      </c>
      <c r="C3489">
        <v>4521.4399999999996</v>
      </c>
      <c r="D3489">
        <f t="shared" si="708"/>
        <v>1.5626697824154458E-3</v>
      </c>
      <c r="E3489" t="str">
        <f t="shared" si="702"/>
        <v>2023-12</v>
      </c>
      <c r="G3489">
        <v>7543.18</v>
      </c>
      <c r="H3489">
        <f t="shared" si="709"/>
        <v>1.0637776779541363E-3</v>
      </c>
      <c r="I3489" t="str">
        <f t="shared" si="703"/>
        <v>2023-12</v>
      </c>
      <c r="K3489">
        <v>16751.64</v>
      </c>
      <c r="L3489">
        <f t="shared" si="710"/>
        <v>2.9946344389420233E-3</v>
      </c>
      <c r="M3489" t="str">
        <f t="shared" si="704"/>
        <v>2023-12</v>
      </c>
      <c r="O3489">
        <v>8920.7648300000001</v>
      </c>
      <c r="P3489">
        <f t="shared" si="711"/>
        <v>4.144326638841395E-3</v>
      </c>
      <c r="Q3489" t="str">
        <f t="shared" si="705"/>
        <v>2023-12</v>
      </c>
      <c r="S3489">
        <v>10102.1</v>
      </c>
      <c r="T3489">
        <f t="shared" si="712"/>
        <v>1.575170102241272E-3</v>
      </c>
      <c r="U3489" t="str">
        <f t="shared" si="706"/>
        <v>2023-12</v>
      </c>
      <c r="W3489">
        <v>30351.62</v>
      </c>
      <c r="X3489">
        <f t="shared" si="713"/>
        <v>6.739967221070024E-4</v>
      </c>
      <c r="Y3489">
        <f t="shared" si="714"/>
        <v>6.7422390893594707E-4</v>
      </c>
      <c r="Z3489" t="str">
        <f t="shared" si="707"/>
        <v>2023-12</v>
      </c>
    </row>
    <row r="3490" spans="1:26" x14ac:dyDescent="0.35">
      <c r="A3490" s="1">
        <v>45293</v>
      </c>
      <c r="C3490">
        <v>4512.8100000000004</v>
      </c>
      <c r="D3490">
        <f t="shared" si="708"/>
        <v>-1.9105078174693401E-3</v>
      </c>
      <c r="E3490" t="str">
        <f t="shared" si="702"/>
        <v>2024-01</v>
      </c>
      <c r="G3490">
        <v>7530.86</v>
      </c>
      <c r="H3490">
        <f t="shared" si="709"/>
        <v>-1.6345986534684238E-3</v>
      </c>
      <c r="I3490" t="str">
        <f t="shared" si="703"/>
        <v>2024-01</v>
      </c>
      <c r="K3490">
        <v>16769.36</v>
      </c>
      <c r="L3490">
        <f t="shared" si="710"/>
        <v>1.0572477939548312E-3</v>
      </c>
      <c r="M3490" t="str">
        <f t="shared" si="704"/>
        <v>2024-01</v>
      </c>
      <c r="O3490">
        <v>8907.4935800000003</v>
      </c>
      <c r="P3490">
        <f t="shared" si="711"/>
        <v>-1.4887884330705657E-3</v>
      </c>
      <c r="Q3490" t="str">
        <f t="shared" si="705"/>
        <v>2024-01</v>
      </c>
      <c r="S3490">
        <v>10182.1</v>
      </c>
      <c r="T3490">
        <f t="shared" si="712"/>
        <v>7.8879536583472444E-3</v>
      </c>
      <c r="U3490" t="str">
        <f t="shared" si="706"/>
        <v>2024-01</v>
      </c>
      <c r="W3490">
        <v>30524.63</v>
      </c>
      <c r="X3490">
        <f t="shared" si="713"/>
        <v>5.6840053649540702E-3</v>
      </c>
      <c r="Y3490">
        <f t="shared" si="714"/>
        <v>5.7001899733853433E-3</v>
      </c>
      <c r="Z3490" t="str">
        <f t="shared" si="707"/>
        <v>2024-01</v>
      </c>
    </row>
    <row r="3491" spans="1:26" x14ac:dyDescent="0.35">
      <c r="A3491" s="1">
        <v>45294</v>
      </c>
      <c r="C3491">
        <v>4448.13</v>
      </c>
      <c r="D3491">
        <f t="shared" si="708"/>
        <v>-1.4436236220440523E-2</v>
      </c>
      <c r="E3491" t="str">
        <f t="shared" si="702"/>
        <v>2024-01</v>
      </c>
      <c r="G3491">
        <v>7411.86</v>
      </c>
      <c r="H3491">
        <f t="shared" si="709"/>
        <v>-1.5927825162246976E-2</v>
      </c>
      <c r="I3491" t="str">
        <f t="shared" si="703"/>
        <v>2024-01</v>
      </c>
      <c r="K3491">
        <v>16538.39</v>
      </c>
      <c r="L3491">
        <f t="shared" si="710"/>
        <v>-1.3869066644501011E-2</v>
      </c>
      <c r="M3491" t="str">
        <f t="shared" si="704"/>
        <v>2024-01</v>
      </c>
      <c r="O3491">
        <v>8906.4878399999998</v>
      </c>
      <c r="P3491">
        <f t="shared" si="711"/>
        <v>-1.1291580218450082E-4</v>
      </c>
      <c r="Q3491" t="str">
        <f t="shared" si="705"/>
        <v>2024-01</v>
      </c>
      <c r="S3491">
        <v>10053.4</v>
      </c>
      <c r="T3491">
        <f t="shared" si="712"/>
        <v>-1.2720390935714625E-2</v>
      </c>
      <c r="U3491" t="str">
        <f t="shared" si="706"/>
        <v>2024-01</v>
      </c>
      <c r="W3491">
        <v>30100.84</v>
      </c>
      <c r="X3491">
        <f t="shared" si="713"/>
        <v>-1.3980820369002932E-2</v>
      </c>
      <c r="Y3491">
        <f t="shared" si="714"/>
        <v>-1.388354256873878E-2</v>
      </c>
      <c r="Z3491" t="str">
        <f t="shared" si="707"/>
        <v>2024-01</v>
      </c>
    </row>
    <row r="3492" spans="1:26" x14ac:dyDescent="0.35">
      <c r="A3492" s="1">
        <v>45295</v>
      </c>
      <c r="C3492">
        <v>4474.01</v>
      </c>
      <c r="D3492">
        <f t="shared" si="708"/>
        <v>5.8013150618862249E-3</v>
      </c>
      <c r="E3492" t="str">
        <f t="shared" si="702"/>
        <v>2024-01</v>
      </c>
      <c r="G3492">
        <v>7450.63</v>
      </c>
      <c r="H3492">
        <f t="shared" si="709"/>
        <v>5.2171726190777985E-3</v>
      </c>
      <c r="I3492" t="str">
        <f t="shared" si="703"/>
        <v>2024-01</v>
      </c>
      <c r="K3492">
        <v>16617.29</v>
      </c>
      <c r="L3492">
        <f t="shared" si="710"/>
        <v>4.7593744983974928E-3</v>
      </c>
      <c r="M3492" t="str">
        <f t="shared" si="704"/>
        <v>2024-01</v>
      </c>
      <c r="O3492">
        <v>8945.3604400000004</v>
      </c>
      <c r="P3492">
        <f t="shared" si="711"/>
        <v>4.3550293313420743E-3</v>
      </c>
      <c r="Q3492" t="str">
        <f t="shared" si="705"/>
        <v>2024-01</v>
      </c>
      <c r="S3492">
        <v>10182.4</v>
      </c>
      <c r="T3492">
        <f t="shared" si="712"/>
        <v>1.2749853971882538E-2</v>
      </c>
      <c r="U3492" t="str">
        <f t="shared" si="706"/>
        <v>2024-01</v>
      </c>
      <c r="W3492">
        <v>30403.96</v>
      </c>
      <c r="X3492">
        <f t="shared" si="713"/>
        <v>1.0019784744380382E-2</v>
      </c>
      <c r="Y3492">
        <f t="shared" si="714"/>
        <v>1.0070150866221639E-2</v>
      </c>
      <c r="Z3492" t="str">
        <f t="shared" si="707"/>
        <v>2024-01</v>
      </c>
    </row>
    <row r="3493" spans="1:26" x14ac:dyDescent="0.35">
      <c r="A3493" s="1">
        <v>45296</v>
      </c>
      <c r="C3493">
        <v>4463.51</v>
      </c>
      <c r="D3493">
        <f t="shared" si="708"/>
        <v>-2.3496461727038989E-3</v>
      </c>
      <c r="E3493" t="str">
        <f t="shared" si="702"/>
        <v>2024-01</v>
      </c>
      <c r="G3493">
        <v>7420.69</v>
      </c>
      <c r="H3493">
        <f t="shared" si="709"/>
        <v>-4.0265478049886835E-3</v>
      </c>
      <c r="I3493" t="str">
        <f t="shared" si="703"/>
        <v>2024-01</v>
      </c>
      <c r="K3493">
        <v>16594.21</v>
      </c>
      <c r="L3493">
        <f t="shared" si="710"/>
        <v>-1.3898802351856676E-3</v>
      </c>
      <c r="M3493" t="str">
        <f t="shared" si="704"/>
        <v>2024-01</v>
      </c>
      <c r="O3493">
        <v>8938.6623099999997</v>
      </c>
      <c r="P3493">
        <f t="shared" si="711"/>
        <v>-7.4906304994405855E-4</v>
      </c>
      <c r="Q3493" t="str">
        <f t="shared" si="705"/>
        <v>2024-01</v>
      </c>
      <c r="S3493">
        <v>10164.5</v>
      </c>
      <c r="T3493">
        <f t="shared" si="712"/>
        <v>-1.7594822422942193E-3</v>
      </c>
      <c r="U3493" t="str">
        <f t="shared" si="706"/>
        <v>2024-01</v>
      </c>
      <c r="W3493">
        <v>30440.95</v>
      </c>
      <c r="X3493">
        <f t="shared" si="713"/>
        <v>1.2158783555451687E-3</v>
      </c>
      <c r="Y3493">
        <f t="shared" si="714"/>
        <v>1.216617835308348E-3</v>
      </c>
      <c r="Z3493" t="str">
        <f t="shared" si="707"/>
        <v>2024-01</v>
      </c>
    </row>
    <row r="3494" spans="1:26" x14ac:dyDescent="0.35">
      <c r="A3494" s="1">
        <v>45299</v>
      </c>
      <c r="C3494">
        <v>4485.4799999999996</v>
      </c>
      <c r="D3494">
        <f t="shared" si="708"/>
        <v>4.9100611664544443E-3</v>
      </c>
      <c r="E3494" t="str">
        <f t="shared" si="702"/>
        <v>2024-01</v>
      </c>
      <c r="G3494">
        <v>7450.24</v>
      </c>
      <c r="H3494">
        <f t="shared" si="709"/>
        <v>3.9742018681287929E-3</v>
      </c>
      <c r="I3494" t="str">
        <f t="shared" si="703"/>
        <v>2024-01</v>
      </c>
      <c r="K3494">
        <v>16716.47</v>
      </c>
      <c r="L3494">
        <f t="shared" si="710"/>
        <v>7.3406216261606792E-3</v>
      </c>
      <c r="M3494" t="str">
        <f t="shared" si="704"/>
        <v>2024-01</v>
      </c>
      <c r="O3494">
        <v>8950.2410799999998</v>
      </c>
      <c r="P3494">
        <f t="shared" si="711"/>
        <v>1.2945200009779343E-3</v>
      </c>
      <c r="Q3494" t="str">
        <f t="shared" si="705"/>
        <v>2024-01</v>
      </c>
      <c r="S3494">
        <v>10209</v>
      </c>
      <c r="T3494">
        <f t="shared" si="712"/>
        <v>4.3684267078966483E-3</v>
      </c>
      <c r="U3494" t="str">
        <f t="shared" si="706"/>
        <v>2024-01</v>
      </c>
      <c r="W3494">
        <v>30569.919999999998</v>
      </c>
      <c r="X3494">
        <f t="shared" si="713"/>
        <v>4.2277775124944647E-3</v>
      </c>
      <c r="Y3494">
        <f t="shared" si="714"/>
        <v>4.2367271717866075E-3</v>
      </c>
      <c r="Z3494" t="str">
        <f t="shared" si="707"/>
        <v>2024-01</v>
      </c>
    </row>
    <row r="3495" spans="1:26" x14ac:dyDescent="0.35">
      <c r="A3495" s="1">
        <v>45300</v>
      </c>
      <c r="C3495">
        <v>4467.17</v>
      </c>
      <c r="D3495">
        <f t="shared" si="708"/>
        <v>-4.0904146882679215E-3</v>
      </c>
      <c r="E3495" t="str">
        <f t="shared" si="702"/>
        <v>2024-01</v>
      </c>
      <c r="G3495">
        <v>7426.62</v>
      </c>
      <c r="H3495">
        <f t="shared" si="709"/>
        <v>-3.1754039289306987E-3</v>
      </c>
      <c r="I3495" t="str">
        <f t="shared" si="703"/>
        <v>2024-01</v>
      </c>
      <c r="K3495">
        <v>16688.36</v>
      </c>
      <c r="L3495">
        <f t="shared" si="710"/>
        <v>-1.6829905516676574E-3</v>
      </c>
      <c r="M3495" t="str">
        <f t="shared" si="704"/>
        <v>2024-01</v>
      </c>
      <c r="O3495">
        <v>8932.7616199999993</v>
      </c>
      <c r="P3495">
        <f t="shared" si="711"/>
        <v>-1.9548691972740687E-3</v>
      </c>
      <c r="Q3495" t="str">
        <f t="shared" si="705"/>
        <v>2024-01</v>
      </c>
      <c r="S3495">
        <v>10060.299999999999</v>
      </c>
      <c r="T3495">
        <f t="shared" si="712"/>
        <v>-1.4672698886366055E-2</v>
      </c>
      <c r="U3495" t="str">
        <f t="shared" si="706"/>
        <v>2024-01</v>
      </c>
      <c r="W3495">
        <v>30408.78</v>
      </c>
      <c r="X3495">
        <f t="shared" si="713"/>
        <v>-5.2851364522035846E-3</v>
      </c>
      <c r="Y3495">
        <f t="shared" si="714"/>
        <v>-5.2711946907286452E-3</v>
      </c>
      <c r="Z3495" t="str">
        <f t="shared" si="707"/>
        <v>2024-01</v>
      </c>
    </row>
    <row r="3496" spans="1:26" x14ac:dyDescent="0.35">
      <c r="A3496" s="1">
        <v>45301</v>
      </c>
      <c r="C3496">
        <v>4468.9799999999996</v>
      </c>
      <c r="D3496">
        <f t="shared" si="708"/>
        <v>4.0509615992380431E-4</v>
      </c>
      <c r="E3496" t="str">
        <f t="shared" si="702"/>
        <v>2024-01</v>
      </c>
      <c r="G3496">
        <v>7426.08</v>
      </c>
      <c r="H3496">
        <f t="shared" si="709"/>
        <v>-7.2714052022627805E-5</v>
      </c>
      <c r="I3496" t="str">
        <f t="shared" si="703"/>
        <v>2024-01</v>
      </c>
      <c r="K3496">
        <v>16689.810000000001</v>
      </c>
      <c r="L3496">
        <f t="shared" si="710"/>
        <v>8.6883133551868283E-5</v>
      </c>
      <c r="M3496" t="str">
        <f t="shared" si="704"/>
        <v>2024-01</v>
      </c>
      <c r="O3496">
        <v>8884.6094499999999</v>
      </c>
      <c r="P3496">
        <f t="shared" si="711"/>
        <v>-5.4050945048426139E-3</v>
      </c>
      <c r="Q3496" t="str">
        <f t="shared" si="705"/>
        <v>2024-01</v>
      </c>
      <c r="S3496">
        <v>10067.1</v>
      </c>
      <c r="T3496">
        <f t="shared" si="712"/>
        <v>6.7569584335008391E-4</v>
      </c>
      <c r="U3496" t="str">
        <f t="shared" si="706"/>
        <v>2024-01</v>
      </c>
      <c r="W3496">
        <v>30450.78</v>
      </c>
      <c r="X3496">
        <f t="shared" si="713"/>
        <v>1.3802270889764984E-3</v>
      </c>
      <c r="Y3496">
        <f t="shared" si="714"/>
        <v>1.3811800407645424E-3</v>
      </c>
      <c r="Z3496" t="str">
        <f t="shared" si="707"/>
        <v>2024-01</v>
      </c>
    </row>
    <row r="3497" spans="1:26" x14ac:dyDescent="0.35">
      <c r="A3497" s="1">
        <v>45302</v>
      </c>
      <c r="C3497">
        <v>4442.28</v>
      </c>
      <c r="D3497">
        <f t="shared" si="708"/>
        <v>-5.9924365124874321E-3</v>
      </c>
      <c r="E3497" t="str">
        <f t="shared" si="702"/>
        <v>2024-01</v>
      </c>
      <c r="G3497">
        <v>7387.62</v>
      </c>
      <c r="H3497">
        <f t="shared" si="709"/>
        <v>-5.1925024016189862E-3</v>
      </c>
      <c r="I3497" t="str">
        <f t="shared" si="703"/>
        <v>2024-01</v>
      </c>
      <c r="K3497">
        <v>16547.03</v>
      </c>
      <c r="L3497">
        <f t="shared" si="710"/>
        <v>-8.5917240211030761E-3</v>
      </c>
      <c r="M3497" t="str">
        <f t="shared" si="704"/>
        <v>2024-01</v>
      </c>
      <c r="O3497">
        <v>8801.1872299999995</v>
      </c>
      <c r="P3497">
        <f t="shared" si="711"/>
        <v>-9.4338796504325351E-3</v>
      </c>
      <c r="Q3497" t="str">
        <f t="shared" si="705"/>
        <v>2024-01</v>
      </c>
      <c r="S3497">
        <v>10004.9</v>
      </c>
      <c r="T3497">
        <f t="shared" si="712"/>
        <v>-6.1977081606147235E-3</v>
      </c>
      <c r="U3497" t="str">
        <f t="shared" si="706"/>
        <v>2024-01</v>
      </c>
      <c r="W3497">
        <v>30249.16</v>
      </c>
      <c r="X3497">
        <f t="shared" si="713"/>
        <v>-6.6431940951201399E-3</v>
      </c>
      <c r="Y3497">
        <f t="shared" si="714"/>
        <v>-6.6211768631213716E-3</v>
      </c>
      <c r="Z3497" t="str">
        <f t="shared" si="707"/>
        <v>2024-01</v>
      </c>
    </row>
    <row r="3498" spans="1:26" x14ac:dyDescent="0.35">
      <c r="A3498" s="1">
        <v>45303</v>
      </c>
      <c r="C3498">
        <v>4480.0200000000004</v>
      </c>
      <c r="D3498">
        <f t="shared" si="708"/>
        <v>8.4597525479408776E-3</v>
      </c>
      <c r="E3498" t="str">
        <f t="shared" si="702"/>
        <v>2024-01</v>
      </c>
      <c r="G3498">
        <v>7465.14</v>
      </c>
      <c r="H3498">
        <f t="shared" si="709"/>
        <v>1.0438558746386399E-2</v>
      </c>
      <c r="I3498" t="str">
        <f t="shared" si="703"/>
        <v>2024-01</v>
      </c>
      <c r="K3498">
        <v>16704.560000000001</v>
      </c>
      <c r="L3498">
        <f t="shared" si="710"/>
        <v>9.4751065169668049E-3</v>
      </c>
      <c r="M3498" t="str">
        <f t="shared" si="704"/>
        <v>2024-01</v>
      </c>
      <c r="O3498">
        <v>8871.3797400000003</v>
      </c>
      <c r="P3498">
        <f t="shared" si="711"/>
        <v>7.9437106368569523E-3</v>
      </c>
      <c r="Q3498" t="str">
        <f t="shared" si="705"/>
        <v>2024-01</v>
      </c>
      <c r="S3498">
        <v>10094.799999999999</v>
      </c>
      <c r="T3498">
        <f t="shared" si="712"/>
        <v>8.9454667972831518E-3</v>
      </c>
      <c r="U3498" t="str">
        <f t="shared" si="706"/>
        <v>2024-01</v>
      </c>
      <c r="W3498">
        <v>30470.55</v>
      </c>
      <c r="X3498">
        <f t="shared" si="713"/>
        <v>7.2922278799701758E-3</v>
      </c>
      <c r="Y3498">
        <f t="shared" si="714"/>
        <v>7.3188809209908451E-3</v>
      </c>
      <c r="Z3498" t="str">
        <f t="shared" si="707"/>
        <v>2024-01</v>
      </c>
    </row>
    <row r="3499" spans="1:26" x14ac:dyDescent="0.35">
      <c r="A3499" s="1">
        <v>45306</v>
      </c>
      <c r="C3499">
        <v>4454.68</v>
      </c>
      <c r="D3499">
        <f t="shared" si="708"/>
        <v>-5.6722817648886406E-3</v>
      </c>
      <c r="E3499" t="str">
        <f t="shared" si="702"/>
        <v>2024-01</v>
      </c>
      <c r="G3499">
        <v>7411.68</v>
      </c>
      <c r="H3499">
        <f t="shared" si="709"/>
        <v>-7.187050742971708E-3</v>
      </c>
      <c r="I3499" t="str">
        <f t="shared" si="703"/>
        <v>2024-01</v>
      </c>
      <c r="K3499">
        <v>16622.22</v>
      </c>
      <c r="L3499">
        <f t="shared" si="710"/>
        <v>-4.9413815281867486E-3</v>
      </c>
      <c r="M3499" t="str">
        <f t="shared" si="704"/>
        <v>2024-01</v>
      </c>
      <c r="O3499">
        <v>8830.4356399999997</v>
      </c>
      <c r="P3499">
        <f t="shared" si="711"/>
        <v>-4.6259857689331116E-3</v>
      </c>
      <c r="Q3499" t="str">
        <f t="shared" si="705"/>
        <v>2024-01</v>
      </c>
      <c r="S3499">
        <v>10076.9</v>
      </c>
      <c r="T3499">
        <f t="shared" si="712"/>
        <v>-1.7747641198741727E-3</v>
      </c>
      <c r="U3499" t="str">
        <f t="shared" si="706"/>
        <v>2024-01</v>
      </c>
      <c r="W3499">
        <v>30327.72</v>
      </c>
      <c r="X3499">
        <f t="shared" si="713"/>
        <v>-4.6984975973184051E-3</v>
      </c>
      <c r="Y3499">
        <f t="shared" si="714"/>
        <v>-4.6874769244400942E-3</v>
      </c>
      <c r="Z3499" t="str">
        <f t="shared" si="707"/>
        <v>2024-01</v>
      </c>
    </row>
    <row r="3500" spans="1:26" x14ac:dyDescent="0.35">
      <c r="A3500" s="1">
        <v>45307</v>
      </c>
      <c r="C3500">
        <v>4446.51</v>
      </c>
      <c r="D3500">
        <f t="shared" si="708"/>
        <v>-1.8357101228697991E-3</v>
      </c>
      <c r="E3500" t="str">
        <f t="shared" si="702"/>
        <v>2024-01</v>
      </c>
      <c r="G3500">
        <v>7398</v>
      </c>
      <c r="H3500">
        <f t="shared" si="709"/>
        <v>-1.8474408482644688E-3</v>
      </c>
      <c r="I3500" t="str">
        <f t="shared" si="703"/>
        <v>2024-01</v>
      </c>
      <c r="K3500">
        <v>16571.68</v>
      </c>
      <c r="L3500">
        <f t="shared" si="710"/>
        <v>-3.0451401645644905E-3</v>
      </c>
      <c r="M3500" t="str">
        <f t="shared" si="704"/>
        <v>2024-01</v>
      </c>
      <c r="O3500">
        <v>8784.3176399999993</v>
      </c>
      <c r="P3500">
        <f t="shared" si="711"/>
        <v>-5.2363044366516365E-3</v>
      </c>
      <c r="Q3500" t="str">
        <f t="shared" si="705"/>
        <v>2024-01</v>
      </c>
      <c r="S3500">
        <v>9994.1</v>
      </c>
      <c r="T3500">
        <f t="shared" si="712"/>
        <v>-8.2507567851009683E-3</v>
      </c>
      <c r="U3500" t="str">
        <f t="shared" si="706"/>
        <v>2024-01</v>
      </c>
      <c r="W3500">
        <v>30337.62</v>
      </c>
      <c r="X3500">
        <f t="shared" si="713"/>
        <v>3.2638076660839534E-4</v>
      </c>
      <c r="Y3500">
        <f t="shared" si="714"/>
        <v>3.2643403460589244E-4</v>
      </c>
      <c r="Z3500" t="str">
        <f t="shared" si="707"/>
        <v>2024-01</v>
      </c>
    </row>
    <row r="3501" spans="1:26" x14ac:dyDescent="0.35">
      <c r="A3501" s="1">
        <v>45308</v>
      </c>
      <c r="C3501">
        <v>4403.08</v>
      </c>
      <c r="D3501">
        <f t="shared" si="708"/>
        <v>-9.8152227763961351E-3</v>
      </c>
      <c r="E3501" t="str">
        <f t="shared" si="702"/>
        <v>2024-01</v>
      </c>
      <c r="G3501">
        <v>7318.69</v>
      </c>
      <c r="H3501">
        <f t="shared" si="709"/>
        <v>-1.0778343201240527E-2</v>
      </c>
      <c r="I3501" t="str">
        <f t="shared" si="703"/>
        <v>2024-01</v>
      </c>
      <c r="K3501">
        <v>16431.689999999999</v>
      </c>
      <c r="L3501">
        <f t="shared" si="710"/>
        <v>-8.4834269695432604E-3</v>
      </c>
      <c r="M3501" t="str">
        <f t="shared" si="704"/>
        <v>2024-01</v>
      </c>
      <c r="O3501">
        <v>8687.9093499999999</v>
      </c>
      <c r="P3501">
        <f t="shared" si="711"/>
        <v>-1.1035716110274338E-2</v>
      </c>
      <c r="Q3501" t="str">
        <f t="shared" si="705"/>
        <v>2024-01</v>
      </c>
      <c r="S3501">
        <v>9867.7999999999993</v>
      </c>
      <c r="T3501">
        <f t="shared" si="712"/>
        <v>-1.2717987945249452E-2</v>
      </c>
      <c r="U3501" t="str">
        <f t="shared" si="706"/>
        <v>2024-01</v>
      </c>
      <c r="W3501">
        <v>30098.86</v>
      </c>
      <c r="X3501">
        <f t="shared" si="713"/>
        <v>-7.9012292620662793E-3</v>
      </c>
      <c r="Y3501">
        <f t="shared" si="714"/>
        <v>-7.8700965995354422E-3</v>
      </c>
      <c r="Z3501" t="str">
        <f t="shared" si="707"/>
        <v>2024-01</v>
      </c>
    </row>
    <row r="3502" spans="1:26" x14ac:dyDescent="0.35">
      <c r="A3502" s="1">
        <v>45309</v>
      </c>
      <c r="C3502">
        <v>4453.05</v>
      </c>
      <c r="D3502">
        <f t="shared" si="708"/>
        <v>1.128495862339683E-2</v>
      </c>
      <c r="E3502" t="str">
        <f t="shared" si="702"/>
        <v>2024-01</v>
      </c>
      <c r="G3502">
        <v>7401.35</v>
      </c>
      <c r="H3502">
        <f t="shared" si="709"/>
        <v>1.1231065794762178E-2</v>
      </c>
      <c r="I3502" t="str">
        <f t="shared" si="703"/>
        <v>2024-01</v>
      </c>
      <c r="K3502">
        <v>16567.349999999999</v>
      </c>
      <c r="L3502">
        <f t="shared" si="710"/>
        <v>8.2221036885274136E-3</v>
      </c>
      <c r="M3502" t="str">
        <f t="shared" si="704"/>
        <v>2024-01</v>
      </c>
      <c r="O3502">
        <v>8709.8269099999998</v>
      </c>
      <c r="P3502">
        <f t="shared" si="711"/>
        <v>2.5195889013881474E-3</v>
      </c>
      <c r="Q3502" t="str">
        <f t="shared" si="705"/>
        <v>2024-01</v>
      </c>
      <c r="S3502">
        <v>9880.2999999999993</v>
      </c>
      <c r="T3502">
        <f t="shared" si="712"/>
        <v>1.2659447409514883E-3</v>
      </c>
      <c r="U3502" t="str">
        <f t="shared" si="706"/>
        <v>2024-01</v>
      </c>
      <c r="W3502">
        <v>30350.53</v>
      </c>
      <c r="X3502">
        <f t="shared" si="713"/>
        <v>8.3266830020381089E-3</v>
      </c>
      <c r="Y3502">
        <f t="shared" si="714"/>
        <v>8.3614462474657925E-3</v>
      </c>
      <c r="Z3502" t="str">
        <f t="shared" si="707"/>
        <v>2024-01</v>
      </c>
    </row>
    <row r="3503" spans="1:26" x14ac:dyDescent="0.35">
      <c r="A3503" s="1">
        <v>45310</v>
      </c>
      <c r="C3503">
        <v>4448.83</v>
      </c>
      <c r="D3503">
        <f t="shared" si="708"/>
        <v>-9.4811440192879776E-4</v>
      </c>
      <c r="E3503" t="str">
        <f t="shared" si="702"/>
        <v>2024-01</v>
      </c>
      <c r="G3503">
        <v>7371.64</v>
      </c>
      <c r="H3503">
        <f t="shared" si="709"/>
        <v>-4.022210812363129E-3</v>
      </c>
      <c r="I3503" t="str">
        <f t="shared" si="703"/>
        <v>2024-01</v>
      </c>
      <c r="K3503">
        <v>16555.13</v>
      </c>
      <c r="L3503">
        <f t="shared" si="710"/>
        <v>-7.3786748784674132E-4</v>
      </c>
      <c r="M3503" t="str">
        <f t="shared" si="704"/>
        <v>2024-01</v>
      </c>
      <c r="O3503">
        <v>8693.9364399999995</v>
      </c>
      <c r="P3503">
        <f t="shared" si="711"/>
        <v>-1.8260963558475289E-3</v>
      </c>
      <c r="Q3503" t="str">
        <f t="shared" si="705"/>
        <v>2024-01</v>
      </c>
      <c r="S3503">
        <v>9858.2999999999993</v>
      </c>
      <c r="T3503">
        <f t="shared" si="712"/>
        <v>-2.2291357147839162E-3</v>
      </c>
      <c r="U3503" t="str">
        <f t="shared" si="706"/>
        <v>2024-01</v>
      </c>
      <c r="W3503">
        <v>30283.61</v>
      </c>
      <c r="X3503">
        <f t="shared" si="713"/>
        <v>-2.2073382147886579E-3</v>
      </c>
      <c r="Y3503">
        <f t="shared" si="714"/>
        <v>-2.2049038352871682E-3</v>
      </c>
      <c r="Z3503" t="str">
        <f t="shared" si="707"/>
        <v>2024-01</v>
      </c>
    </row>
    <row r="3504" spans="1:26" x14ac:dyDescent="0.35">
      <c r="A3504" s="1">
        <v>45313</v>
      </c>
      <c r="C3504">
        <v>4480.32</v>
      </c>
      <c r="D3504">
        <f t="shared" si="708"/>
        <v>7.0533321874665048E-3</v>
      </c>
      <c r="E3504" t="str">
        <f t="shared" si="702"/>
        <v>2024-01</v>
      </c>
      <c r="G3504">
        <v>7413.25</v>
      </c>
      <c r="H3504">
        <f t="shared" si="709"/>
        <v>5.6287344524762516E-3</v>
      </c>
      <c r="I3504" t="str">
        <f t="shared" si="703"/>
        <v>2024-01</v>
      </c>
      <c r="K3504">
        <v>16683.36</v>
      </c>
      <c r="L3504">
        <f t="shared" si="710"/>
        <v>7.7157919125590401E-3</v>
      </c>
      <c r="M3504" t="str">
        <f t="shared" si="704"/>
        <v>2024-01</v>
      </c>
      <c r="O3504">
        <v>8741.8464499999991</v>
      </c>
      <c r="P3504">
        <f t="shared" si="711"/>
        <v>5.4956099055169872E-3</v>
      </c>
      <c r="Q3504" t="str">
        <f t="shared" si="705"/>
        <v>2024-01</v>
      </c>
      <c r="S3504">
        <v>9968.1</v>
      </c>
      <c r="T3504">
        <f t="shared" si="712"/>
        <v>1.1076254141031052E-2</v>
      </c>
      <c r="U3504" t="str">
        <f t="shared" si="706"/>
        <v>2024-01</v>
      </c>
      <c r="W3504">
        <v>30182.32</v>
      </c>
      <c r="X3504">
        <f t="shared" si="713"/>
        <v>-3.350319584774704E-3</v>
      </c>
      <c r="Y3504">
        <f t="shared" si="714"/>
        <v>-3.3447135265577939E-3</v>
      </c>
      <c r="Z3504" t="str">
        <f t="shared" si="707"/>
        <v>2024-01</v>
      </c>
    </row>
    <row r="3505" spans="1:26" x14ac:dyDescent="0.35">
      <c r="A3505" s="1">
        <v>45314</v>
      </c>
      <c r="C3505">
        <v>4465.91</v>
      </c>
      <c r="D3505">
        <f t="shared" si="708"/>
        <v>-3.2214714940483583E-3</v>
      </c>
      <c r="E3505" t="str">
        <f t="shared" si="702"/>
        <v>2024-01</v>
      </c>
      <c r="G3505">
        <v>7388.04</v>
      </c>
      <c r="H3505">
        <f t="shared" si="709"/>
        <v>-3.4064631363951124E-3</v>
      </c>
      <c r="I3505" t="str">
        <f t="shared" si="703"/>
        <v>2024-01</v>
      </c>
      <c r="K3505">
        <v>16627.09</v>
      </c>
      <c r="L3505">
        <f t="shared" si="710"/>
        <v>-3.3785225671874091E-3</v>
      </c>
      <c r="M3505" t="str">
        <f t="shared" si="704"/>
        <v>2024-01</v>
      </c>
      <c r="O3505">
        <v>8747.6338899999992</v>
      </c>
      <c r="P3505">
        <f t="shared" si="711"/>
        <v>6.618195736791463E-4</v>
      </c>
      <c r="Q3505" t="str">
        <f t="shared" si="705"/>
        <v>2024-01</v>
      </c>
      <c r="S3505">
        <v>9859.2000000000007</v>
      </c>
      <c r="T3505">
        <f t="shared" si="712"/>
        <v>-1.0984964677293044E-2</v>
      </c>
      <c r="U3505" t="str">
        <f t="shared" si="706"/>
        <v>2024-01</v>
      </c>
      <c r="W3505">
        <v>30077.46</v>
      </c>
      <c r="X3505">
        <f t="shared" si="713"/>
        <v>-3.4802684590292182E-3</v>
      </c>
      <c r="Y3505">
        <f t="shared" si="714"/>
        <v>-3.4742193443048973E-3</v>
      </c>
      <c r="Z3505" t="str">
        <f t="shared" si="707"/>
        <v>2024-01</v>
      </c>
    </row>
    <row r="3506" spans="1:26" x14ac:dyDescent="0.35">
      <c r="A3506" s="1">
        <v>45315</v>
      </c>
      <c r="C3506">
        <v>4564.1099999999997</v>
      </c>
      <c r="D3506">
        <f t="shared" si="708"/>
        <v>2.1750532421219708E-2</v>
      </c>
      <c r="E3506" t="str">
        <f t="shared" si="702"/>
        <v>2024-01</v>
      </c>
      <c r="G3506">
        <v>7455.64</v>
      </c>
      <c r="H3506">
        <f t="shared" si="709"/>
        <v>9.1083164483113498E-3</v>
      </c>
      <c r="I3506" t="str">
        <f t="shared" si="703"/>
        <v>2024-01</v>
      </c>
      <c r="K3506">
        <v>16889.919999999998</v>
      </c>
      <c r="L3506">
        <f t="shared" si="710"/>
        <v>1.5683701351746317E-2</v>
      </c>
      <c r="M3506" t="str">
        <f t="shared" si="704"/>
        <v>2024-01</v>
      </c>
      <c r="O3506">
        <v>8799.8842000000004</v>
      </c>
      <c r="P3506">
        <f t="shared" si="711"/>
        <v>5.9553110766476947E-3</v>
      </c>
      <c r="Q3506" t="str">
        <f t="shared" si="705"/>
        <v>2024-01</v>
      </c>
      <c r="S3506">
        <v>9974</v>
      </c>
      <c r="T3506">
        <f t="shared" si="712"/>
        <v>1.1576677703718957E-2</v>
      </c>
      <c r="U3506" t="str">
        <f t="shared" si="706"/>
        <v>2024-01</v>
      </c>
      <c r="W3506">
        <v>30338.35</v>
      </c>
      <c r="X3506">
        <f t="shared" si="713"/>
        <v>8.6365347627029472E-3</v>
      </c>
      <c r="Y3506">
        <f t="shared" si="714"/>
        <v>8.6739372274121356E-3</v>
      </c>
      <c r="Z3506" t="str">
        <f t="shared" si="707"/>
        <v>2024-01</v>
      </c>
    </row>
    <row r="3507" spans="1:26" x14ac:dyDescent="0.35">
      <c r="A3507" s="1">
        <v>45316</v>
      </c>
      <c r="C3507">
        <v>4582.26</v>
      </c>
      <c r="D3507">
        <f t="shared" si="708"/>
        <v>3.9687928268504697E-3</v>
      </c>
      <c r="E3507" t="str">
        <f t="shared" si="702"/>
        <v>2024-01</v>
      </c>
      <c r="G3507">
        <v>7464.2</v>
      </c>
      <c r="H3507">
        <f t="shared" si="709"/>
        <v>1.1474655142722596E-3</v>
      </c>
      <c r="I3507" t="str">
        <f t="shared" si="703"/>
        <v>2024-01</v>
      </c>
      <c r="K3507">
        <v>16906.919999999998</v>
      </c>
      <c r="L3507">
        <f t="shared" si="710"/>
        <v>1.0060112977278806E-3</v>
      </c>
      <c r="M3507" t="str">
        <f t="shared" si="704"/>
        <v>2024-01</v>
      </c>
      <c r="O3507">
        <v>8816.4120399999993</v>
      </c>
      <c r="P3507">
        <f t="shared" si="711"/>
        <v>1.8764267612601615E-3</v>
      </c>
      <c r="Q3507" t="str">
        <f t="shared" si="705"/>
        <v>2024-01</v>
      </c>
      <c r="S3507">
        <v>9916.6</v>
      </c>
      <c r="T3507">
        <f t="shared" si="712"/>
        <v>-5.77158651207466E-3</v>
      </c>
      <c r="U3507" t="str">
        <f t="shared" si="706"/>
        <v>2024-01</v>
      </c>
      <c r="W3507">
        <v>30157.8</v>
      </c>
      <c r="X3507">
        <f t="shared" si="713"/>
        <v>-5.968992607488695E-3</v>
      </c>
      <c r="Y3507">
        <f t="shared" si="714"/>
        <v>-5.9512135630315852E-3</v>
      </c>
      <c r="Z3507" t="str">
        <f t="shared" si="707"/>
        <v>2024-01</v>
      </c>
    </row>
    <row r="3508" spans="1:26" x14ac:dyDescent="0.35">
      <c r="A3508" s="1">
        <v>45317</v>
      </c>
      <c r="C3508">
        <v>4635.47</v>
      </c>
      <c r="D3508">
        <f t="shared" si="708"/>
        <v>1.1545270048747378E-2</v>
      </c>
      <c r="E3508" t="str">
        <f t="shared" si="702"/>
        <v>2024-01</v>
      </c>
      <c r="G3508">
        <v>7634.14</v>
      </c>
      <c r="H3508">
        <f t="shared" si="709"/>
        <v>2.251203469448837E-2</v>
      </c>
      <c r="I3508" t="str">
        <f t="shared" si="703"/>
        <v>2024-01</v>
      </c>
      <c r="K3508">
        <v>16961.39</v>
      </c>
      <c r="L3508">
        <f t="shared" si="710"/>
        <v>3.2165789768628631E-3</v>
      </c>
      <c r="M3508" t="str">
        <f t="shared" si="704"/>
        <v>2024-01</v>
      </c>
      <c r="O3508">
        <v>8934.5452100000002</v>
      </c>
      <c r="P3508">
        <f t="shared" si="711"/>
        <v>1.3310258415899744E-2</v>
      </c>
      <c r="Q3508" t="str">
        <f t="shared" si="705"/>
        <v>2024-01</v>
      </c>
      <c r="S3508">
        <v>9936.6</v>
      </c>
      <c r="T3508">
        <f t="shared" si="712"/>
        <v>2.0147892295072005E-3</v>
      </c>
      <c r="U3508" t="str">
        <f t="shared" si="706"/>
        <v>2024-01</v>
      </c>
      <c r="W3508">
        <v>30379.33</v>
      </c>
      <c r="X3508">
        <f t="shared" si="713"/>
        <v>7.3188467594422187E-3</v>
      </c>
      <c r="Y3508">
        <f t="shared" si="714"/>
        <v>7.345694977750449E-3</v>
      </c>
      <c r="Z3508" t="str">
        <f t="shared" si="707"/>
        <v>2024-01</v>
      </c>
    </row>
    <row r="3509" spans="1:26" x14ac:dyDescent="0.35">
      <c r="A3509" s="1">
        <v>45320</v>
      </c>
      <c r="C3509">
        <v>4639.3599999999997</v>
      </c>
      <c r="D3509">
        <f t="shared" si="708"/>
        <v>8.3882944012858888E-4</v>
      </c>
      <c r="E3509" t="str">
        <f t="shared" si="702"/>
        <v>2024-01</v>
      </c>
      <c r="G3509">
        <v>7640.81</v>
      </c>
      <c r="H3509">
        <f t="shared" si="709"/>
        <v>8.7332533644081075E-4</v>
      </c>
      <c r="I3509" t="str">
        <f t="shared" si="703"/>
        <v>2024-01</v>
      </c>
      <c r="K3509">
        <v>16941.71</v>
      </c>
      <c r="L3509">
        <f t="shared" si="710"/>
        <v>-1.1609559132010571E-3</v>
      </c>
      <c r="M3509" t="str">
        <f t="shared" si="704"/>
        <v>2024-01</v>
      </c>
      <c r="O3509">
        <v>8953.5739400000002</v>
      </c>
      <c r="P3509">
        <f t="shared" si="711"/>
        <v>2.1275279997894306E-3</v>
      </c>
      <c r="Q3509" t="str">
        <f t="shared" si="705"/>
        <v>2024-01</v>
      </c>
      <c r="S3509">
        <v>9890.2999999999993</v>
      </c>
      <c r="T3509">
        <f t="shared" si="712"/>
        <v>-4.6704309964249215E-3</v>
      </c>
      <c r="U3509" t="str">
        <f t="shared" si="706"/>
        <v>2024-01</v>
      </c>
      <c r="W3509">
        <v>30233.61</v>
      </c>
      <c r="X3509">
        <f t="shared" si="713"/>
        <v>-4.8082234830310513E-3</v>
      </c>
      <c r="Y3509">
        <f t="shared" si="714"/>
        <v>-4.7966824811475819E-3</v>
      </c>
      <c r="Z3509" t="str">
        <f t="shared" si="707"/>
        <v>2024-01</v>
      </c>
    </row>
    <row r="3510" spans="1:26" x14ac:dyDescent="0.35">
      <c r="A3510" s="1">
        <v>45321</v>
      </c>
      <c r="C3510">
        <v>4662.7</v>
      </c>
      <c r="D3510">
        <f t="shared" si="708"/>
        <v>5.0182538019887795E-3</v>
      </c>
      <c r="E3510" t="str">
        <f t="shared" si="702"/>
        <v>2024-01</v>
      </c>
      <c r="G3510">
        <v>7677.47</v>
      </c>
      <c r="H3510">
        <f t="shared" si="709"/>
        <v>4.786447302211486E-3</v>
      </c>
      <c r="I3510" t="str">
        <f t="shared" si="703"/>
        <v>2024-01</v>
      </c>
      <c r="K3510">
        <v>16972.34</v>
      </c>
      <c r="L3510">
        <f t="shared" si="710"/>
        <v>1.8063314955531055E-3</v>
      </c>
      <c r="M3510" t="str">
        <f t="shared" si="704"/>
        <v>2024-01</v>
      </c>
      <c r="O3510">
        <v>8969.1371099999997</v>
      </c>
      <c r="P3510">
        <f t="shared" si="711"/>
        <v>1.7366986354111374E-3</v>
      </c>
      <c r="Q3510" t="str">
        <f t="shared" si="705"/>
        <v>2024-01</v>
      </c>
      <c r="S3510">
        <v>10039.299999999999</v>
      </c>
      <c r="T3510">
        <f t="shared" si="712"/>
        <v>1.4952911872476991E-2</v>
      </c>
      <c r="U3510" t="str">
        <f t="shared" si="706"/>
        <v>2024-01</v>
      </c>
      <c r="W3510">
        <v>30623.27</v>
      </c>
      <c r="X3510">
        <f t="shared" si="713"/>
        <v>1.2805958014844484E-2</v>
      </c>
      <c r="Y3510">
        <f t="shared" si="714"/>
        <v>1.288830543226561E-2</v>
      </c>
      <c r="Z3510" t="str">
        <f t="shared" si="707"/>
        <v>2024-01</v>
      </c>
    </row>
    <row r="3511" spans="1:26" x14ac:dyDescent="0.35">
      <c r="A3511" s="1">
        <v>45322</v>
      </c>
      <c r="C3511">
        <v>4648.3999999999996</v>
      </c>
      <c r="D3511">
        <f t="shared" si="708"/>
        <v>-3.0716051257284388E-3</v>
      </c>
      <c r="E3511" t="str">
        <f t="shared" si="702"/>
        <v>2024-01</v>
      </c>
      <c r="G3511">
        <v>7656.75</v>
      </c>
      <c r="H3511">
        <f t="shared" si="709"/>
        <v>-2.7024540681287652E-3</v>
      </c>
      <c r="I3511" t="str">
        <f t="shared" si="703"/>
        <v>2024-01</v>
      </c>
      <c r="K3511">
        <v>16903.759999999998</v>
      </c>
      <c r="L3511">
        <f t="shared" si="710"/>
        <v>-4.0488777449777308E-3</v>
      </c>
      <c r="M3511" t="str">
        <f t="shared" si="704"/>
        <v>2024-01</v>
      </c>
      <c r="O3511">
        <v>8944.2939399999996</v>
      </c>
      <c r="P3511">
        <f t="shared" si="711"/>
        <v>-2.7736937561518415E-3</v>
      </c>
      <c r="Q3511" t="str">
        <f t="shared" si="705"/>
        <v>2024-01</v>
      </c>
      <c r="S3511">
        <v>10077.700000000001</v>
      </c>
      <c r="T3511">
        <f t="shared" si="712"/>
        <v>3.8176712868474875E-3</v>
      </c>
      <c r="U3511" t="str">
        <f t="shared" si="706"/>
        <v>2024-01</v>
      </c>
      <c r="W3511">
        <v>30744.240000000002</v>
      </c>
      <c r="X3511">
        <f t="shared" si="713"/>
        <v>3.9424821599580778E-3</v>
      </c>
      <c r="Y3511">
        <f t="shared" si="714"/>
        <v>3.9502639659318274E-3</v>
      </c>
      <c r="Z3511" t="str">
        <f t="shared" si="707"/>
        <v>2024-01</v>
      </c>
    </row>
    <row r="3512" spans="1:26" x14ac:dyDescent="0.35">
      <c r="A3512" s="1">
        <v>45323</v>
      </c>
      <c r="C3512">
        <v>4638.6000000000004</v>
      </c>
      <c r="D3512">
        <f t="shared" si="708"/>
        <v>-2.1104777942344347E-3</v>
      </c>
      <c r="E3512" t="str">
        <f t="shared" si="702"/>
        <v>2024-02</v>
      </c>
      <c r="G3512">
        <v>7588.75</v>
      </c>
      <c r="H3512">
        <f t="shared" si="709"/>
        <v>-8.920724272590639E-3</v>
      </c>
      <c r="I3512" t="str">
        <f t="shared" si="703"/>
        <v>2024-02</v>
      </c>
      <c r="K3512">
        <v>16859.04</v>
      </c>
      <c r="L3512">
        <f t="shared" si="710"/>
        <v>-2.6490709391498888E-3</v>
      </c>
      <c r="M3512" t="str">
        <f t="shared" si="704"/>
        <v>2024-02</v>
      </c>
      <c r="O3512">
        <v>8928.8560600000001</v>
      </c>
      <c r="P3512">
        <f t="shared" si="711"/>
        <v>-1.7274944639518034E-3</v>
      </c>
      <c r="Q3512" t="str">
        <f t="shared" si="705"/>
        <v>2024-02</v>
      </c>
      <c r="S3512">
        <v>10014</v>
      </c>
      <c r="T3512">
        <f t="shared" si="712"/>
        <v>-6.3409480965096673E-3</v>
      </c>
      <c r="U3512" t="str">
        <f t="shared" si="706"/>
        <v>2024-02</v>
      </c>
      <c r="W3512">
        <v>30689.11</v>
      </c>
      <c r="X3512">
        <f t="shared" si="713"/>
        <v>-1.7947910963369282E-3</v>
      </c>
      <c r="Y3512">
        <f t="shared" si="714"/>
        <v>-1.7931814219509417E-3</v>
      </c>
      <c r="Z3512" t="str">
        <f t="shared" si="707"/>
        <v>2024-02</v>
      </c>
    </row>
    <row r="3513" spans="1:26" x14ac:dyDescent="0.35">
      <c r="A3513" s="1">
        <v>45324</v>
      </c>
      <c r="C3513">
        <v>4654.55</v>
      </c>
      <c r="D3513">
        <f t="shared" si="708"/>
        <v>3.4326392367677225E-3</v>
      </c>
      <c r="E3513" t="str">
        <f t="shared" si="702"/>
        <v>2024-02</v>
      </c>
      <c r="G3513">
        <v>7592.26</v>
      </c>
      <c r="H3513">
        <f t="shared" si="709"/>
        <v>4.6241983406201031E-4</v>
      </c>
      <c r="I3513" t="str">
        <f t="shared" si="703"/>
        <v>2024-02</v>
      </c>
      <c r="K3513">
        <v>16918.21</v>
      </c>
      <c r="L3513">
        <f t="shared" si="710"/>
        <v>3.5035451687228077E-3</v>
      </c>
      <c r="M3513" t="str">
        <f t="shared" si="704"/>
        <v>2024-02</v>
      </c>
      <c r="O3513">
        <v>8911.3964400000004</v>
      </c>
      <c r="P3513">
        <f t="shared" si="711"/>
        <v>-1.957329423917614E-3</v>
      </c>
      <c r="Q3513" t="str">
        <f t="shared" si="705"/>
        <v>2024-02</v>
      </c>
      <c r="S3513">
        <v>10062.5</v>
      </c>
      <c r="T3513">
        <f t="shared" si="712"/>
        <v>4.8315288369286877E-3</v>
      </c>
      <c r="U3513" t="str">
        <f t="shared" si="706"/>
        <v>2024-02</v>
      </c>
      <c r="W3513">
        <v>30717.95</v>
      </c>
      <c r="X3513">
        <f t="shared" si="713"/>
        <v>9.393057449893548E-4</v>
      </c>
      <c r="Y3513">
        <f t="shared" si="714"/>
        <v>9.3974703078714714E-4</v>
      </c>
      <c r="Z3513" t="str">
        <f t="shared" si="707"/>
        <v>2024-02</v>
      </c>
    </row>
    <row r="3514" spans="1:26" x14ac:dyDescent="0.35">
      <c r="A3514" s="1">
        <v>45327</v>
      </c>
      <c r="C3514">
        <v>4655.2700000000004</v>
      </c>
      <c r="D3514">
        <f t="shared" si="708"/>
        <v>1.5467538608388983E-4</v>
      </c>
      <c r="E3514" t="str">
        <f t="shared" si="702"/>
        <v>2024-02</v>
      </c>
      <c r="G3514">
        <v>7589.96</v>
      </c>
      <c r="H3514">
        <f t="shared" si="709"/>
        <v>-3.0298599514374126E-4</v>
      </c>
      <c r="I3514" t="str">
        <f t="shared" si="703"/>
        <v>2024-02</v>
      </c>
      <c r="K3514">
        <v>16904.060000000001</v>
      </c>
      <c r="L3514">
        <f t="shared" si="710"/>
        <v>-8.3672685633147869E-4</v>
      </c>
      <c r="M3514" t="str">
        <f t="shared" si="704"/>
        <v>2024-02</v>
      </c>
      <c r="O3514">
        <v>8886.7504399999998</v>
      </c>
      <c r="P3514">
        <f t="shared" si="711"/>
        <v>-2.7695035802748295E-3</v>
      </c>
      <c r="Q3514" t="str">
        <f t="shared" si="705"/>
        <v>2024-02</v>
      </c>
      <c r="S3514">
        <v>9941.2999999999993</v>
      </c>
      <c r="T3514">
        <f t="shared" si="712"/>
        <v>-1.2117845919524074E-2</v>
      </c>
      <c r="U3514" t="str">
        <f t="shared" si="706"/>
        <v>2024-02</v>
      </c>
      <c r="W3514">
        <v>30952.79</v>
      </c>
      <c r="X3514">
        <f t="shared" si="713"/>
        <v>7.6159661815783236E-3</v>
      </c>
      <c r="Y3514">
        <f t="shared" si="714"/>
        <v>7.6450414171518651E-3</v>
      </c>
      <c r="Z3514" t="str">
        <f t="shared" si="707"/>
        <v>2024-02</v>
      </c>
    </row>
    <row r="3515" spans="1:26" x14ac:dyDescent="0.35">
      <c r="A3515" s="1">
        <v>45328</v>
      </c>
      <c r="C3515">
        <v>4690.87</v>
      </c>
      <c r="D3515">
        <f t="shared" si="708"/>
        <v>7.6181551258921575E-3</v>
      </c>
      <c r="E3515" t="str">
        <f t="shared" si="702"/>
        <v>2024-02</v>
      </c>
      <c r="G3515">
        <v>7638.97</v>
      </c>
      <c r="H3515">
        <f t="shared" si="709"/>
        <v>6.436456034482012E-3</v>
      </c>
      <c r="I3515" t="str">
        <f t="shared" si="703"/>
        <v>2024-02</v>
      </c>
      <c r="K3515">
        <v>17033.240000000002</v>
      </c>
      <c r="L3515">
        <f t="shared" si="710"/>
        <v>7.612899311275647E-3</v>
      </c>
      <c r="M3515" t="str">
        <f t="shared" si="704"/>
        <v>2024-02</v>
      </c>
      <c r="O3515">
        <v>8998.4485999999997</v>
      </c>
      <c r="P3515">
        <f t="shared" si="711"/>
        <v>1.249073180495028E-2</v>
      </c>
      <c r="Q3515" t="str">
        <f t="shared" si="705"/>
        <v>2024-02</v>
      </c>
      <c r="S3515">
        <v>10003</v>
      </c>
      <c r="T3515">
        <f t="shared" si="712"/>
        <v>6.1872511778859191E-3</v>
      </c>
      <c r="U3515" t="str">
        <f t="shared" si="706"/>
        <v>2024-02</v>
      </c>
      <c r="W3515">
        <v>31116.75</v>
      </c>
      <c r="X3515">
        <f t="shared" si="713"/>
        <v>5.2831189456807428E-3</v>
      </c>
      <c r="Y3515">
        <f t="shared" si="714"/>
        <v>5.297099227565564E-3</v>
      </c>
      <c r="Z3515" t="str">
        <f t="shared" si="707"/>
        <v>2024-02</v>
      </c>
    </row>
    <row r="3516" spans="1:26" x14ac:dyDescent="0.35">
      <c r="A3516" s="1">
        <v>45329</v>
      </c>
      <c r="C3516">
        <v>4678.8500000000004</v>
      </c>
      <c r="D3516">
        <f t="shared" si="708"/>
        <v>-2.565713082963818E-3</v>
      </c>
      <c r="E3516" t="str">
        <f t="shared" si="702"/>
        <v>2024-02</v>
      </c>
      <c r="G3516">
        <v>7611.26</v>
      </c>
      <c r="H3516">
        <f t="shared" si="709"/>
        <v>-3.6340475514854528E-3</v>
      </c>
      <c r="I3516" t="str">
        <f t="shared" si="703"/>
        <v>2024-02</v>
      </c>
      <c r="K3516">
        <v>16921.96</v>
      </c>
      <c r="L3516">
        <f t="shared" si="710"/>
        <v>-6.5545423617532472E-3</v>
      </c>
      <c r="M3516" t="str">
        <f t="shared" si="704"/>
        <v>2024-02</v>
      </c>
      <c r="O3516">
        <v>8945.4446100000005</v>
      </c>
      <c r="P3516">
        <f t="shared" si="711"/>
        <v>-5.9077641111961541E-3</v>
      </c>
      <c r="Q3516" t="str">
        <f t="shared" si="705"/>
        <v>2024-02</v>
      </c>
      <c r="S3516">
        <v>9888.2000000000007</v>
      </c>
      <c r="T3516">
        <f t="shared" si="712"/>
        <v>-1.1542920955045465E-2</v>
      </c>
      <c r="U3516" t="str">
        <f t="shared" si="706"/>
        <v>2024-02</v>
      </c>
      <c r="W3516">
        <v>30976.02</v>
      </c>
      <c r="X3516">
        <f t="shared" si="713"/>
        <v>-4.5329026541183499E-3</v>
      </c>
      <c r="Y3516">
        <f t="shared" si="714"/>
        <v>-4.5226445563884259E-3</v>
      </c>
      <c r="Z3516" t="str">
        <f t="shared" si="707"/>
        <v>2024-02</v>
      </c>
    </row>
    <row r="3517" spans="1:26" x14ac:dyDescent="0.35">
      <c r="A3517" s="1">
        <v>45330</v>
      </c>
      <c r="C3517">
        <v>4710.78</v>
      </c>
      <c r="D3517">
        <f t="shared" si="708"/>
        <v>6.8011461747307647E-3</v>
      </c>
      <c r="E3517" t="str">
        <f t="shared" si="702"/>
        <v>2024-02</v>
      </c>
      <c r="G3517">
        <v>7665.63</v>
      </c>
      <c r="H3517">
        <f t="shared" si="709"/>
        <v>7.1179709426184576E-3</v>
      </c>
      <c r="I3517" t="str">
        <f t="shared" si="703"/>
        <v>2024-02</v>
      </c>
      <c r="K3517">
        <v>16963.830000000002</v>
      </c>
      <c r="L3517">
        <f t="shared" si="710"/>
        <v>2.4712436279926081E-3</v>
      </c>
      <c r="M3517" t="str">
        <f t="shared" si="704"/>
        <v>2024-02</v>
      </c>
      <c r="O3517">
        <v>8895.5881499999996</v>
      </c>
      <c r="P3517">
        <f t="shared" si="711"/>
        <v>-5.5889802400886594E-3</v>
      </c>
      <c r="Q3517" t="str">
        <f t="shared" si="705"/>
        <v>2024-02</v>
      </c>
      <c r="S3517">
        <v>9905.4</v>
      </c>
      <c r="T3517">
        <f t="shared" si="712"/>
        <v>1.7379359317424754E-3</v>
      </c>
      <c r="U3517" t="str">
        <f t="shared" si="706"/>
        <v>2024-02</v>
      </c>
      <c r="W3517">
        <v>31064.15</v>
      </c>
      <c r="X3517">
        <f t="shared" si="713"/>
        <v>2.8410644032571646E-3</v>
      </c>
      <c r="Y3517">
        <f t="shared" si="714"/>
        <v>2.8451040514566113E-3</v>
      </c>
      <c r="Z3517" t="str">
        <f t="shared" si="707"/>
        <v>2024-02</v>
      </c>
    </row>
    <row r="3518" spans="1:26" x14ac:dyDescent="0.35">
      <c r="A3518" s="1">
        <v>45331</v>
      </c>
      <c r="C3518">
        <v>4715.87</v>
      </c>
      <c r="D3518">
        <f t="shared" si="708"/>
        <v>1.0799171486524258E-3</v>
      </c>
      <c r="E3518" t="str">
        <f t="shared" si="702"/>
        <v>2024-02</v>
      </c>
      <c r="G3518">
        <v>7647.52</v>
      </c>
      <c r="H3518">
        <f t="shared" si="709"/>
        <v>-2.3652884538017446E-3</v>
      </c>
      <c r="I3518" t="str">
        <f t="shared" si="703"/>
        <v>2024-02</v>
      </c>
      <c r="K3518">
        <v>16926.5</v>
      </c>
      <c r="L3518">
        <f t="shared" si="710"/>
        <v>-2.2029891769939636E-3</v>
      </c>
      <c r="M3518" t="str">
        <f t="shared" si="704"/>
        <v>2024-02</v>
      </c>
      <c r="O3518">
        <v>8867.2061400000002</v>
      </c>
      <c r="P3518">
        <f t="shared" si="711"/>
        <v>-3.1956722225650186E-3</v>
      </c>
      <c r="Q3518" t="str">
        <f t="shared" si="705"/>
        <v>2024-02</v>
      </c>
      <c r="S3518">
        <v>9896.6</v>
      </c>
      <c r="T3518">
        <f t="shared" si="712"/>
        <v>-8.8879916971074037E-4</v>
      </c>
      <c r="U3518" t="str">
        <f t="shared" si="706"/>
        <v>2024-02</v>
      </c>
      <c r="W3518">
        <v>31156.06</v>
      </c>
      <c r="X3518">
        <f t="shared" si="713"/>
        <v>2.9543476902602526E-3</v>
      </c>
      <c r="Y3518">
        <f t="shared" si="714"/>
        <v>2.9587160762486612E-3</v>
      </c>
      <c r="Z3518" t="str">
        <f t="shared" si="707"/>
        <v>2024-02</v>
      </c>
    </row>
    <row r="3519" spans="1:26" x14ac:dyDescent="0.35">
      <c r="A3519" s="1">
        <v>45334</v>
      </c>
      <c r="C3519">
        <v>4746.3500000000004</v>
      </c>
      <c r="D3519">
        <f t="shared" si="708"/>
        <v>6.4424850456206726E-3</v>
      </c>
      <c r="E3519" t="str">
        <f t="shared" si="702"/>
        <v>2024-02</v>
      </c>
      <c r="G3519">
        <v>7689.8</v>
      </c>
      <c r="H3519">
        <f t="shared" si="709"/>
        <v>5.5133631037648416E-3</v>
      </c>
      <c r="I3519" t="str">
        <f t="shared" si="703"/>
        <v>2024-02</v>
      </c>
      <c r="K3519">
        <v>17037.349999999999</v>
      </c>
      <c r="L3519">
        <f t="shared" si="710"/>
        <v>6.5275517115827896E-3</v>
      </c>
      <c r="M3519" t="str">
        <f t="shared" si="704"/>
        <v>2024-02</v>
      </c>
      <c r="O3519">
        <v>8878.8204000000005</v>
      </c>
      <c r="P3519">
        <f t="shared" si="711"/>
        <v>1.3089422166788107E-3</v>
      </c>
      <c r="Q3519" t="str">
        <f t="shared" si="705"/>
        <v>2024-02</v>
      </c>
      <c r="S3519">
        <v>9984.7000000000007</v>
      </c>
      <c r="T3519">
        <f t="shared" si="712"/>
        <v>8.8626575387851028E-3</v>
      </c>
      <c r="U3519" t="str">
        <f t="shared" si="706"/>
        <v>2024-02</v>
      </c>
      <c r="W3519">
        <v>31456.73</v>
      </c>
      <c r="X3519">
        <f t="shared" si="713"/>
        <v>9.6041818661733551E-3</v>
      </c>
      <c r="Y3519">
        <f t="shared" si="714"/>
        <v>9.6504500248105266E-3</v>
      </c>
      <c r="Z3519" t="str">
        <f t="shared" si="707"/>
        <v>2024-02</v>
      </c>
    </row>
    <row r="3520" spans="1:26" x14ac:dyDescent="0.35">
      <c r="A3520" s="1">
        <v>45335</v>
      </c>
      <c r="C3520">
        <v>4689.28</v>
      </c>
      <c r="D3520">
        <f t="shared" si="708"/>
        <v>-1.2096849057723333E-2</v>
      </c>
      <c r="E3520" t="str">
        <f t="shared" si="702"/>
        <v>2024-02</v>
      </c>
      <c r="G3520">
        <v>7625.31</v>
      </c>
      <c r="H3520">
        <f t="shared" si="709"/>
        <v>-8.4217979722449841E-3</v>
      </c>
      <c r="I3520" t="str">
        <f t="shared" si="703"/>
        <v>2024-02</v>
      </c>
      <c r="K3520">
        <v>16880.830000000002</v>
      </c>
      <c r="L3520">
        <f t="shared" si="710"/>
        <v>-9.2293343002207654E-3</v>
      </c>
      <c r="M3520" t="str">
        <f t="shared" si="704"/>
        <v>2024-02</v>
      </c>
      <c r="O3520">
        <v>8833.8523600000008</v>
      </c>
      <c r="P3520">
        <f t="shared" si="711"/>
        <v>-5.077510008766121E-3</v>
      </c>
      <c r="Q3520" t="str">
        <f t="shared" si="705"/>
        <v>2024-02</v>
      </c>
      <c r="S3520">
        <v>9925.4</v>
      </c>
      <c r="T3520">
        <f t="shared" si="712"/>
        <v>-5.9567933206730829E-3</v>
      </c>
      <c r="U3520" t="str">
        <f t="shared" si="706"/>
        <v>2024-02</v>
      </c>
      <c r="W3520">
        <v>31134.17</v>
      </c>
      <c r="X3520">
        <f t="shared" si="713"/>
        <v>-1.0307020847538841E-2</v>
      </c>
      <c r="Y3520">
        <f t="shared" si="714"/>
        <v>-1.025408553273024E-2</v>
      </c>
      <c r="Z3520" t="str">
        <f t="shared" si="707"/>
        <v>2024-02</v>
      </c>
    </row>
    <row r="3521" spans="1:26" x14ac:dyDescent="0.35">
      <c r="A3521" s="1">
        <v>45336</v>
      </c>
      <c r="C3521">
        <v>4709.22</v>
      </c>
      <c r="D3521">
        <f t="shared" si="708"/>
        <v>4.2432366693398345E-3</v>
      </c>
      <c r="E3521" t="str">
        <f t="shared" si="702"/>
        <v>2024-02</v>
      </c>
      <c r="G3521">
        <v>7677.35</v>
      </c>
      <c r="H3521">
        <f t="shared" si="709"/>
        <v>6.8014581273215828E-3</v>
      </c>
      <c r="I3521" t="str">
        <f t="shared" si="703"/>
        <v>2024-02</v>
      </c>
      <c r="K3521">
        <v>16945.48</v>
      </c>
      <c r="L3521">
        <f t="shared" si="710"/>
        <v>3.8224730228250832E-3</v>
      </c>
      <c r="M3521" t="str">
        <f t="shared" si="704"/>
        <v>2024-02</v>
      </c>
      <c r="O3521">
        <v>8861.1851299999998</v>
      </c>
      <c r="P3521">
        <f t="shared" si="711"/>
        <v>3.0893171889388544E-3</v>
      </c>
      <c r="Q3521" t="str">
        <f t="shared" si="705"/>
        <v>2024-02</v>
      </c>
      <c r="S3521">
        <v>9916.6</v>
      </c>
      <c r="T3521">
        <f t="shared" si="712"/>
        <v>-8.8700741628594982E-4</v>
      </c>
      <c r="U3521" t="str">
        <f t="shared" si="706"/>
        <v>2024-02</v>
      </c>
      <c r="W3521">
        <v>31329.38</v>
      </c>
      <c r="X3521">
        <f t="shared" si="713"/>
        <v>6.250385561730327E-3</v>
      </c>
      <c r="Y3521">
        <f t="shared" si="714"/>
        <v>6.2699599828742111E-3</v>
      </c>
      <c r="Z3521" t="str">
        <f t="shared" si="707"/>
        <v>2024-02</v>
      </c>
    </row>
    <row r="3522" spans="1:26" x14ac:dyDescent="0.35">
      <c r="A3522" s="1">
        <v>45337</v>
      </c>
      <c r="C3522">
        <v>4743.17</v>
      </c>
      <c r="D3522">
        <f t="shared" si="708"/>
        <v>7.18339932828462E-3</v>
      </c>
      <c r="E3522" t="str">
        <f t="shared" si="702"/>
        <v>2024-02</v>
      </c>
      <c r="G3522">
        <v>7743.42</v>
      </c>
      <c r="H3522">
        <f t="shared" si="709"/>
        <v>8.5690149430838365E-3</v>
      </c>
      <c r="I3522" t="str">
        <f t="shared" si="703"/>
        <v>2024-02</v>
      </c>
      <c r="K3522">
        <v>17046.689999999999</v>
      </c>
      <c r="L3522">
        <f t="shared" si="710"/>
        <v>5.9549183876318346E-3</v>
      </c>
      <c r="M3522" t="str">
        <f t="shared" si="704"/>
        <v>2024-02</v>
      </c>
      <c r="O3522">
        <v>8885.9050499999994</v>
      </c>
      <c r="P3522">
        <f t="shared" si="711"/>
        <v>2.7858015862031707E-3</v>
      </c>
      <c r="Q3522" t="str">
        <f t="shared" si="705"/>
        <v>2024-02</v>
      </c>
      <c r="S3522">
        <v>9927.2999999999993</v>
      </c>
      <c r="T3522">
        <f t="shared" si="712"/>
        <v>1.078417149551469E-3</v>
      </c>
      <c r="U3522" t="str">
        <f t="shared" si="706"/>
        <v>2024-02</v>
      </c>
      <c r="W3522">
        <v>31694.44</v>
      </c>
      <c r="X3522">
        <f t="shared" si="713"/>
        <v>1.1584955749088053E-2</v>
      </c>
      <c r="Y3522">
        <f t="shared" si="714"/>
        <v>1.165232123967974E-2</v>
      </c>
      <c r="Z3522" t="str">
        <f t="shared" si="707"/>
        <v>2024-02</v>
      </c>
    </row>
    <row r="3523" spans="1:26" x14ac:dyDescent="0.35">
      <c r="A3523" s="1">
        <v>45338</v>
      </c>
      <c r="C3523">
        <v>4765.6499999999996</v>
      </c>
      <c r="D3523">
        <f t="shared" si="708"/>
        <v>4.7282505885875691E-3</v>
      </c>
      <c r="E3523" t="str">
        <f t="shared" si="702"/>
        <v>2024-02</v>
      </c>
      <c r="G3523">
        <v>7768.18</v>
      </c>
      <c r="H3523">
        <f t="shared" si="709"/>
        <v>3.1924522330355129E-3</v>
      </c>
      <c r="I3523" t="str">
        <f t="shared" si="703"/>
        <v>2024-02</v>
      </c>
      <c r="K3523">
        <v>17117.439999999999</v>
      </c>
      <c r="L3523">
        <f t="shared" si="710"/>
        <v>4.1417768366387294E-3</v>
      </c>
      <c r="M3523" t="str">
        <f t="shared" si="704"/>
        <v>2024-02</v>
      </c>
      <c r="O3523">
        <v>9021.0836600000002</v>
      </c>
      <c r="P3523">
        <f t="shared" si="711"/>
        <v>1.5098147439026505E-2</v>
      </c>
      <c r="Q3523" t="str">
        <f t="shared" si="705"/>
        <v>2024-02</v>
      </c>
      <c r="S3523">
        <v>9886.4</v>
      </c>
      <c r="T3523">
        <f t="shared" si="712"/>
        <v>-4.1284624368295416E-3</v>
      </c>
      <c r="U3523" t="str">
        <f t="shared" si="706"/>
        <v>2024-02</v>
      </c>
      <c r="W3523">
        <v>31732.39</v>
      </c>
      <c r="X3523">
        <f t="shared" si="713"/>
        <v>1.1966546185152782E-3</v>
      </c>
      <c r="Y3523">
        <f t="shared" si="714"/>
        <v>1.1973708953368707E-3</v>
      </c>
      <c r="Z3523" t="str">
        <f t="shared" si="707"/>
        <v>2024-02</v>
      </c>
    </row>
    <row r="3524" spans="1:26" x14ac:dyDescent="0.35">
      <c r="A3524" s="1">
        <v>45341</v>
      </c>
      <c r="C3524">
        <v>4763.07</v>
      </c>
      <c r="D3524">
        <f t="shared" si="708"/>
        <v>-5.4152080511284009E-4</v>
      </c>
      <c r="E3524" t="str">
        <f t="shared" ref="E3524:E3587" si="715">_xlfn.CONCAT(YEAR(A3524),"-",TEXT(MONTH(A3524),"00"))</f>
        <v>2024-02</v>
      </c>
      <c r="G3524">
        <v>7768.55</v>
      </c>
      <c r="H3524">
        <f t="shared" si="709"/>
        <v>4.7629069961204291E-5</v>
      </c>
      <c r="I3524" t="str">
        <f t="shared" ref="I3524:I3587" si="716">_xlfn.CONCAT(YEAR(A3524),"-",TEXT(MONTH(A3524),"00"))</f>
        <v>2024-02</v>
      </c>
      <c r="K3524">
        <v>17092.259999999998</v>
      </c>
      <c r="L3524">
        <f t="shared" si="710"/>
        <v>-1.4720973611132239E-3</v>
      </c>
      <c r="M3524" t="str">
        <f t="shared" ref="M3524:M3587" si="717">_xlfn.CONCAT(YEAR(A3524),"-",TEXT(MONTH(A3524),"00"))</f>
        <v>2024-02</v>
      </c>
      <c r="O3524">
        <v>9030.2100499999997</v>
      </c>
      <c r="P3524">
        <f t="shared" si="711"/>
        <v>1.0111619614885643E-3</v>
      </c>
      <c r="Q3524" t="str">
        <f t="shared" ref="Q3524:Q3587" si="718">_xlfn.CONCAT(YEAR(A3524),"-",TEXT(MONTH(A3524),"00"))</f>
        <v>2024-02</v>
      </c>
      <c r="S3524">
        <v>9944.7999999999993</v>
      </c>
      <c r="T3524">
        <f t="shared" si="712"/>
        <v>5.889726170790496E-3</v>
      </c>
      <c r="U3524" t="str">
        <f t="shared" ref="U3524:U3587" si="719">_xlfn.CONCAT(YEAR(A3524),"-",TEXT(MONTH(A3524),"00"))</f>
        <v>2024-02</v>
      </c>
      <c r="W3524">
        <v>31676.05</v>
      </c>
      <c r="X3524">
        <f t="shared" si="713"/>
        <v>-1.7770509675490386E-3</v>
      </c>
      <c r="Y3524">
        <f t="shared" si="714"/>
        <v>-1.7754729473575784E-3</v>
      </c>
      <c r="Z3524" t="str">
        <f t="shared" ref="Z3524:Z3587" si="720">_xlfn.CONCAT(YEAR(A3524),"-",TEXT(MONTH(A3524),"00"))</f>
        <v>2024-02</v>
      </c>
    </row>
    <row r="3525" spans="1:26" x14ac:dyDescent="0.35">
      <c r="A3525" s="1">
        <v>45342</v>
      </c>
      <c r="C3525">
        <v>4760.28</v>
      </c>
      <c r="D3525">
        <f t="shared" ref="D3525:D3588" si="721">LN(C3525/C3524)</f>
        <v>-5.8592828780209736E-4</v>
      </c>
      <c r="E3525" t="str">
        <f t="shared" si="715"/>
        <v>2024-02</v>
      </c>
      <c r="G3525">
        <v>7795.22</v>
      </c>
      <c r="H3525">
        <f t="shared" ref="H3525:H3588" si="722">LN(G3525/G3524)</f>
        <v>3.4271935533246637E-3</v>
      </c>
      <c r="I3525" t="str">
        <f t="shared" si="716"/>
        <v>2024-02</v>
      </c>
      <c r="K3525">
        <v>17068.43</v>
      </c>
      <c r="L3525">
        <f t="shared" ref="L3525:L3588" si="723">LN(K3525/K3524)</f>
        <v>-1.3951711083955098E-3</v>
      </c>
      <c r="M3525" t="str">
        <f t="shared" si="717"/>
        <v>2024-02</v>
      </c>
      <c r="O3525">
        <v>9020.7379199999996</v>
      </c>
      <c r="P3525">
        <f t="shared" ref="P3525:P3588" si="724">LN(O3525/O3524)</f>
        <v>-1.0494884684335399E-3</v>
      </c>
      <c r="Q3525" t="str">
        <f t="shared" si="718"/>
        <v>2024-02</v>
      </c>
      <c r="S3525">
        <v>10038.200000000001</v>
      </c>
      <c r="T3525">
        <f t="shared" ref="T3525:T3588" si="725">LN(S3525/S3524)</f>
        <v>9.3480138265941669E-3</v>
      </c>
      <c r="U3525" t="str">
        <f t="shared" si="719"/>
        <v>2024-02</v>
      </c>
      <c r="W3525">
        <v>31701.48</v>
      </c>
      <c r="X3525">
        <f t="shared" ref="X3525:X3588" si="726">LN(W3525/W3524)</f>
        <v>8.0249266150732225E-4</v>
      </c>
      <c r="Y3525">
        <f t="shared" ref="Y3525:Y3588" si="727">(W3525-W3524)/W3524</f>
        <v>8.0281474489402223E-4</v>
      </c>
      <c r="Z3525" t="str">
        <f t="shared" si="720"/>
        <v>2024-02</v>
      </c>
    </row>
    <row r="3526" spans="1:26" x14ac:dyDescent="0.35">
      <c r="A3526" s="1">
        <v>45343</v>
      </c>
      <c r="C3526">
        <v>4775.3100000000004</v>
      </c>
      <c r="D3526">
        <f t="shared" si="721"/>
        <v>3.1524032486506038E-3</v>
      </c>
      <c r="E3526" t="str">
        <f t="shared" si="715"/>
        <v>2024-02</v>
      </c>
      <c r="G3526">
        <v>7812.09</v>
      </c>
      <c r="H3526">
        <f t="shared" si="722"/>
        <v>2.1618083539113485E-3</v>
      </c>
      <c r="I3526" t="str">
        <f t="shared" si="716"/>
        <v>2024-02</v>
      </c>
      <c r="K3526">
        <v>17118.12</v>
      </c>
      <c r="L3526">
        <f t="shared" si="723"/>
        <v>2.9069932469090007E-3</v>
      </c>
      <c r="M3526" t="str">
        <f t="shared" si="717"/>
        <v>2024-02</v>
      </c>
      <c r="O3526">
        <v>8944.3214399999997</v>
      </c>
      <c r="P3526">
        <f t="shared" si="724"/>
        <v>-8.5072850969229227E-3</v>
      </c>
      <c r="Q3526" t="str">
        <f t="shared" si="718"/>
        <v>2024-02</v>
      </c>
      <c r="S3526">
        <v>10107.200000000001</v>
      </c>
      <c r="T3526">
        <f t="shared" si="725"/>
        <v>6.8502258403362274E-3</v>
      </c>
      <c r="U3526" t="str">
        <f t="shared" si="719"/>
        <v>2024-02</v>
      </c>
      <c r="W3526">
        <v>32018.400000000001</v>
      </c>
      <c r="X3526">
        <f t="shared" si="726"/>
        <v>9.9473700600099593E-3</v>
      </c>
      <c r="Y3526">
        <f t="shared" si="727"/>
        <v>9.9970096033371904E-3</v>
      </c>
      <c r="Z3526" t="str">
        <f t="shared" si="720"/>
        <v>2024-02</v>
      </c>
    </row>
    <row r="3527" spans="1:26" x14ac:dyDescent="0.35">
      <c r="A3527" s="1">
        <v>45344</v>
      </c>
      <c r="C3527">
        <v>4855.3599999999997</v>
      </c>
      <c r="D3527">
        <f t="shared" si="721"/>
        <v>1.6624356063384228E-2</v>
      </c>
      <c r="E3527" t="str">
        <f t="shared" si="715"/>
        <v>2024-02</v>
      </c>
      <c r="G3527">
        <v>7911.6</v>
      </c>
      <c r="H3527">
        <f t="shared" si="722"/>
        <v>1.2657503239720827E-2</v>
      </c>
      <c r="I3527" t="str">
        <f t="shared" si="716"/>
        <v>2024-02</v>
      </c>
      <c r="K3527">
        <v>17370.45</v>
      </c>
      <c r="L3527">
        <f t="shared" si="723"/>
        <v>1.4632935053605588E-2</v>
      </c>
      <c r="M3527" t="str">
        <f t="shared" si="717"/>
        <v>2024-02</v>
      </c>
      <c r="O3527">
        <v>8989.1487899999993</v>
      </c>
      <c r="P3527">
        <f t="shared" si="724"/>
        <v>4.9993049632213278E-3</v>
      </c>
      <c r="Q3527" t="str">
        <f t="shared" si="718"/>
        <v>2024-02</v>
      </c>
      <c r="S3527">
        <v>10138.9</v>
      </c>
      <c r="T3527">
        <f t="shared" si="725"/>
        <v>3.1314698538929906E-3</v>
      </c>
      <c r="U3527" t="str">
        <f t="shared" si="719"/>
        <v>2024-02</v>
      </c>
      <c r="W3527">
        <v>32356.26</v>
      </c>
      <c r="X3527">
        <f t="shared" si="726"/>
        <v>1.0496773176758291E-2</v>
      </c>
      <c r="Y3527">
        <f t="shared" si="727"/>
        <v>1.0552057566898938E-2</v>
      </c>
      <c r="Z3527" t="str">
        <f t="shared" si="720"/>
        <v>2024-02</v>
      </c>
    </row>
    <row r="3528" spans="1:26" x14ac:dyDescent="0.35">
      <c r="A3528" s="1">
        <v>45345</v>
      </c>
      <c r="C3528">
        <v>4872.57</v>
      </c>
      <c r="D3528">
        <f t="shared" si="721"/>
        <v>3.5382692833583586E-3</v>
      </c>
      <c r="E3528" t="str">
        <f t="shared" si="715"/>
        <v>2024-02</v>
      </c>
      <c r="G3528">
        <v>7966.68</v>
      </c>
      <c r="H3528">
        <f t="shared" si="722"/>
        <v>6.9378069830048827E-3</v>
      </c>
      <c r="I3528" t="str">
        <f t="shared" si="716"/>
        <v>2024-02</v>
      </c>
      <c r="K3528">
        <v>17419.330000000002</v>
      </c>
      <c r="L3528">
        <f t="shared" si="723"/>
        <v>2.8100224930401314E-3</v>
      </c>
      <c r="M3528" t="str">
        <f t="shared" si="717"/>
        <v>2024-02</v>
      </c>
      <c r="O3528">
        <v>9025.4242799999993</v>
      </c>
      <c r="P3528">
        <f t="shared" si="724"/>
        <v>4.0273548410113425E-3</v>
      </c>
      <c r="Q3528" t="str">
        <f t="shared" si="718"/>
        <v>2024-02</v>
      </c>
      <c r="S3528">
        <v>10130.6</v>
      </c>
      <c r="T3528">
        <f t="shared" si="725"/>
        <v>-8.1896449975601482E-4</v>
      </c>
      <c r="U3528" t="str">
        <f t="shared" si="719"/>
        <v>2024-02</v>
      </c>
      <c r="W3528">
        <v>32700.92</v>
      </c>
      <c r="X3528">
        <f t="shared" si="726"/>
        <v>1.0595701336685961E-2</v>
      </c>
      <c r="Y3528">
        <f t="shared" si="727"/>
        <v>1.0652034567653984E-2</v>
      </c>
      <c r="Z3528" t="str">
        <f t="shared" si="720"/>
        <v>2024-02</v>
      </c>
    </row>
    <row r="3529" spans="1:26" x14ac:dyDescent="0.35">
      <c r="A3529" s="1">
        <v>45348</v>
      </c>
      <c r="C3529">
        <v>4864.29</v>
      </c>
      <c r="D3529">
        <f t="shared" si="721"/>
        <v>-1.7007540410089162E-3</v>
      </c>
      <c r="E3529" t="str">
        <f t="shared" si="715"/>
        <v>2024-02</v>
      </c>
      <c r="G3529">
        <v>7929.82</v>
      </c>
      <c r="H3529">
        <f t="shared" si="722"/>
        <v>-4.6375071318455544E-3</v>
      </c>
      <c r="I3529" t="str">
        <f t="shared" si="716"/>
        <v>2024-02</v>
      </c>
      <c r="K3529">
        <v>17423.23</v>
      </c>
      <c r="L3529">
        <f t="shared" si="723"/>
        <v>2.238641486896249E-4</v>
      </c>
      <c r="M3529" t="str">
        <f t="shared" si="717"/>
        <v>2024-02</v>
      </c>
      <c r="O3529">
        <v>8981.6677500000005</v>
      </c>
      <c r="P3529">
        <f t="shared" si="724"/>
        <v>-4.8599314148684031E-3</v>
      </c>
      <c r="Q3529" t="str">
        <f t="shared" si="718"/>
        <v>2024-02</v>
      </c>
      <c r="S3529">
        <v>10138.4</v>
      </c>
      <c r="T3529">
        <f t="shared" si="725"/>
        <v>7.6964826928129903E-4</v>
      </c>
      <c r="U3529" t="str">
        <f t="shared" si="719"/>
        <v>2024-02</v>
      </c>
      <c r="W3529">
        <v>32557.81</v>
      </c>
      <c r="X3529">
        <f t="shared" si="726"/>
        <v>-4.3859336340192024E-3</v>
      </c>
      <c r="Y3529">
        <f t="shared" si="727"/>
        <v>-4.376329473299129E-3</v>
      </c>
      <c r="Z3529" t="str">
        <f t="shared" si="720"/>
        <v>2024-02</v>
      </c>
    </row>
    <row r="3530" spans="1:26" x14ac:dyDescent="0.35">
      <c r="A3530" s="1">
        <v>45349</v>
      </c>
      <c r="C3530">
        <v>4885.74</v>
      </c>
      <c r="D3530">
        <f t="shared" si="721"/>
        <v>4.3999935602019417E-3</v>
      </c>
      <c r="E3530" t="str">
        <f t="shared" si="715"/>
        <v>2024-02</v>
      </c>
      <c r="G3530">
        <v>7948.4</v>
      </c>
      <c r="H3530">
        <f t="shared" si="722"/>
        <v>2.3403137732474271E-3</v>
      </c>
      <c r="I3530" t="str">
        <f t="shared" si="716"/>
        <v>2024-02</v>
      </c>
      <c r="K3530">
        <v>17556.490000000002</v>
      </c>
      <c r="L3530">
        <f t="shared" si="723"/>
        <v>7.6193088273761016E-3</v>
      </c>
      <c r="M3530" t="str">
        <f t="shared" si="717"/>
        <v>2024-02</v>
      </c>
      <c r="O3530">
        <v>8982.28658</v>
      </c>
      <c r="P3530">
        <f t="shared" si="724"/>
        <v>6.8896857437613897E-5</v>
      </c>
      <c r="Q3530" t="str">
        <f t="shared" si="718"/>
        <v>2024-02</v>
      </c>
      <c r="S3530">
        <v>10113.799999999999</v>
      </c>
      <c r="T3530">
        <f t="shared" si="725"/>
        <v>-2.4293668933486261E-3</v>
      </c>
      <c r="U3530" t="str">
        <f t="shared" si="719"/>
        <v>2024-02</v>
      </c>
      <c r="W3530">
        <v>32706.44</v>
      </c>
      <c r="X3530">
        <f t="shared" si="726"/>
        <v>4.5547219787285603E-3</v>
      </c>
      <c r="Y3530">
        <f t="shared" si="727"/>
        <v>4.5651104911539619E-3</v>
      </c>
      <c r="Z3530" t="str">
        <f t="shared" si="720"/>
        <v>2024-02</v>
      </c>
    </row>
    <row r="3531" spans="1:26" x14ac:dyDescent="0.35">
      <c r="A3531" s="1">
        <v>45350</v>
      </c>
      <c r="C3531">
        <v>4883.7700000000004</v>
      </c>
      <c r="D3531">
        <f t="shared" si="721"/>
        <v>-4.0329556481346864E-4</v>
      </c>
      <c r="E3531" t="str">
        <f t="shared" si="715"/>
        <v>2024-02</v>
      </c>
      <c r="G3531">
        <v>7954.39</v>
      </c>
      <c r="H3531">
        <f t="shared" si="722"/>
        <v>7.5332696756708712E-4</v>
      </c>
      <c r="I3531" t="str">
        <f t="shared" si="716"/>
        <v>2024-02</v>
      </c>
      <c r="K3531">
        <v>17601.22</v>
      </c>
      <c r="L3531">
        <f t="shared" si="723"/>
        <v>2.5445357012331606E-3</v>
      </c>
      <c r="M3531" t="str">
        <f t="shared" si="717"/>
        <v>2024-02</v>
      </c>
      <c r="O3531">
        <v>8906.8321500000002</v>
      </c>
      <c r="P3531">
        <f t="shared" si="724"/>
        <v>-8.4358406475470403E-3</v>
      </c>
      <c r="Q3531" t="str">
        <f t="shared" si="718"/>
        <v>2024-02</v>
      </c>
      <c r="S3531">
        <v>10068.6</v>
      </c>
      <c r="T3531">
        <f t="shared" si="725"/>
        <v>-4.4791576393346808E-3</v>
      </c>
      <c r="U3531" t="str">
        <f t="shared" si="719"/>
        <v>2024-02</v>
      </c>
      <c r="W3531">
        <v>32617.96</v>
      </c>
      <c r="X3531">
        <f t="shared" si="726"/>
        <v>-2.7089434915062507E-3</v>
      </c>
      <c r="Y3531">
        <f t="shared" si="727"/>
        <v>-2.7052776150507229E-3</v>
      </c>
      <c r="Z3531" t="str">
        <f t="shared" si="720"/>
        <v>2024-02</v>
      </c>
    </row>
    <row r="3532" spans="1:26" x14ac:dyDescent="0.35">
      <c r="A3532" s="1">
        <v>45351</v>
      </c>
      <c r="C3532">
        <v>4877.7700000000004</v>
      </c>
      <c r="D3532">
        <f t="shared" si="721"/>
        <v>-1.229314381871439E-3</v>
      </c>
      <c r="E3532" t="str">
        <f t="shared" si="715"/>
        <v>2024-02</v>
      </c>
      <c r="G3532">
        <v>7927.43</v>
      </c>
      <c r="H3532">
        <f t="shared" si="722"/>
        <v>-3.3950801477858642E-3</v>
      </c>
      <c r="I3532" t="str">
        <f t="shared" si="716"/>
        <v>2024-02</v>
      </c>
      <c r="K3532">
        <v>17678.189999999999</v>
      </c>
      <c r="L3532">
        <f t="shared" si="723"/>
        <v>4.3634585796204287E-3</v>
      </c>
      <c r="M3532" t="str">
        <f t="shared" si="717"/>
        <v>2024-02</v>
      </c>
      <c r="O3532">
        <v>8914.4066999999995</v>
      </c>
      <c r="P3532">
        <f t="shared" si="724"/>
        <v>8.5005880004948532E-4</v>
      </c>
      <c r="Q3532" t="str">
        <f t="shared" si="718"/>
        <v>2024-02</v>
      </c>
      <c r="S3532">
        <v>10001.299999999999</v>
      </c>
      <c r="T3532">
        <f t="shared" si="725"/>
        <v>-6.7065857082562064E-3</v>
      </c>
      <c r="U3532" t="str">
        <f t="shared" si="719"/>
        <v>2024-02</v>
      </c>
      <c r="W3532">
        <v>32580.94</v>
      </c>
      <c r="X3532">
        <f t="shared" si="726"/>
        <v>-1.1356021030536048E-3</v>
      </c>
      <c r="Y3532">
        <f t="shared" si="727"/>
        <v>-1.1349575509933924E-3</v>
      </c>
      <c r="Z3532" t="str">
        <f t="shared" si="720"/>
        <v>2024-02</v>
      </c>
    </row>
    <row r="3533" spans="1:26" x14ac:dyDescent="0.35">
      <c r="A3533" s="1">
        <v>45352</v>
      </c>
      <c r="C3533">
        <v>4894.8599999999997</v>
      </c>
      <c r="D3533">
        <f t="shared" si="721"/>
        <v>3.497526749992617E-3</v>
      </c>
      <c r="E3533" t="str">
        <f t="shared" si="715"/>
        <v>2024-03</v>
      </c>
      <c r="G3533">
        <v>7934.17</v>
      </c>
      <c r="H3533">
        <f t="shared" si="722"/>
        <v>8.4985126414247319E-4</v>
      </c>
      <c r="I3533" t="str">
        <f t="shared" si="716"/>
        <v>2024-03</v>
      </c>
      <c r="K3533">
        <v>17735.07</v>
      </c>
      <c r="L3533">
        <f t="shared" si="723"/>
        <v>3.2123588121079263E-3</v>
      </c>
      <c r="M3533" t="str">
        <f t="shared" si="717"/>
        <v>2024-03</v>
      </c>
      <c r="O3533">
        <v>8971.1865699999998</v>
      </c>
      <c r="P3533">
        <f t="shared" si="724"/>
        <v>6.3492510301347308E-3</v>
      </c>
      <c r="Q3533" t="str">
        <f t="shared" si="718"/>
        <v>2024-03</v>
      </c>
      <c r="S3533">
        <v>10064.700000000001</v>
      </c>
      <c r="T3533">
        <f t="shared" si="725"/>
        <v>6.3191678434472449E-3</v>
      </c>
      <c r="U3533" t="str">
        <f t="shared" si="719"/>
        <v>2024-03</v>
      </c>
      <c r="W3533">
        <v>32934.29</v>
      </c>
      <c r="X3533">
        <f t="shared" si="726"/>
        <v>1.0786909432643725E-2</v>
      </c>
      <c r="Y3533">
        <f t="shared" si="727"/>
        <v>1.0845297895027037E-2</v>
      </c>
      <c r="Z3533" t="str">
        <f t="shared" si="720"/>
        <v>2024-03</v>
      </c>
    </row>
    <row r="3534" spans="1:26" x14ac:dyDescent="0.35">
      <c r="A3534" s="1">
        <v>45355</v>
      </c>
      <c r="C3534">
        <v>4912.92</v>
      </c>
      <c r="D3534">
        <f t="shared" si="721"/>
        <v>3.6827947633973992E-3</v>
      </c>
      <c r="E3534" t="str">
        <f t="shared" si="715"/>
        <v>2024-03</v>
      </c>
      <c r="G3534">
        <v>7956.41</v>
      </c>
      <c r="H3534">
        <f t="shared" si="722"/>
        <v>2.799144464362325E-3</v>
      </c>
      <c r="I3534" t="str">
        <f t="shared" si="716"/>
        <v>2024-03</v>
      </c>
      <c r="K3534">
        <v>17716.169999999998</v>
      </c>
      <c r="L3534">
        <f t="shared" si="723"/>
        <v>-1.0662533547832467E-3</v>
      </c>
      <c r="M3534" t="str">
        <f t="shared" si="717"/>
        <v>2024-03</v>
      </c>
      <c r="O3534">
        <v>8933.6553399999993</v>
      </c>
      <c r="P3534">
        <f t="shared" si="724"/>
        <v>-4.1923056520227313E-3</v>
      </c>
      <c r="Q3534" t="str">
        <f t="shared" si="718"/>
        <v>2024-03</v>
      </c>
      <c r="S3534">
        <v>10069.799999999999</v>
      </c>
      <c r="T3534">
        <f t="shared" si="725"/>
        <v>5.0659317182639855E-4</v>
      </c>
      <c r="U3534" t="str">
        <f t="shared" si="719"/>
        <v>2024-03</v>
      </c>
      <c r="W3534">
        <v>32912.339999999997</v>
      </c>
      <c r="X3534">
        <f t="shared" si="726"/>
        <v>-6.6670081105287373E-4</v>
      </c>
      <c r="Y3534">
        <f t="shared" si="727"/>
        <v>-6.6647861544925869E-4</v>
      </c>
      <c r="Z3534" t="str">
        <f t="shared" si="720"/>
        <v>2024-03</v>
      </c>
    </row>
    <row r="3535" spans="1:26" x14ac:dyDescent="0.35">
      <c r="A3535" s="1">
        <v>45356</v>
      </c>
      <c r="C3535">
        <v>4893.07</v>
      </c>
      <c r="D3535">
        <f t="shared" si="721"/>
        <v>-4.0485513676957047E-3</v>
      </c>
      <c r="E3535" t="str">
        <f t="shared" si="715"/>
        <v>2024-03</v>
      </c>
      <c r="G3535">
        <v>7932.82</v>
      </c>
      <c r="H3535">
        <f t="shared" si="722"/>
        <v>-2.9693090643599456E-3</v>
      </c>
      <c r="I3535" t="str">
        <f t="shared" si="716"/>
        <v>2024-03</v>
      </c>
      <c r="K3535">
        <v>17698.400000000001</v>
      </c>
      <c r="L3535">
        <f t="shared" si="723"/>
        <v>-1.0035418468352462E-3</v>
      </c>
      <c r="M3535" t="str">
        <f t="shared" si="717"/>
        <v>2024-03</v>
      </c>
      <c r="O3535">
        <v>8949.3867200000004</v>
      </c>
      <c r="P3535">
        <f t="shared" si="724"/>
        <v>1.7593633124695772E-3</v>
      </c>
      <c r="Q3535" t="str">
        <f t="shared" si="718"/>
        <v>2024-03</v>
      </c>
      <c r="S3535">
        <v>10117.1</v>
      </c>
      <c r="T3535">
        <f t="shared" si="725"/>
        <v>4.6862159679210546E-3</v>
      </c>
      <c r="U3535" t="str">
        <f t="shared" si="719"/>
        <v>2024-03</v>
      </c>
      <c r="W3535">
        <v>33146.160000000003</v>
      </c>
      <c r="X3535">
        <f t="shared" si="726"/>
        <v>7.0792093824100849E-3</v>
      </c>
      <c r="Y3535">
        <f t="shared" si="727"/>
        <v>7.10432621928453E-3</v>
      </c>
      <c r="Z3535" t="str">
        <f t="shared" si="720"/>
        <v>2024-03</v>
      </c>
    </row>
    <row r="3536" spans="1:26" x14ac:dyDescent="0.35">
      <c r="A3536" s="1">
        <v>45357</v>
      </c>
      <c r="C3536">
        <v>4915.49</v>
      </c>
      <c r="D3536">
        <f t="shared" si="721"/>
        <v>4.5715250854333669E-3</v>
      </c>
      <c r="E3536" t="str">
        <f t="shared" si="715"/>
        <v>2024-03</v>
      </c>
      <c r="G3536">
        <v>7954.74</v>
      </c>
      <c r="H3536">
        <f t="shared" si="722"/>
        <v>2.7593933755338416E-3</v>
      </c>
      <c r="I3536" t="str">
        <f t="shared" si="716"/>
        <v>2024-03</v>
      </c>
      <c r="K3536">
        <v>17716.71</v>
      </c>
      <c r="L3536">
        <f t="shared" si="723"/>
        <v>1.0340220110240533E-3</v>
      </c>
      <c r="M3536" t="str">
        <f t="shared" si="717"/>
        <v>2024-03</v>
      </c>
      <c r="O3536">
        <v>8976.8048699999999</v>
      </c>
      <c r="P3536">
        <f t="shared" si="724"/>
        <v>3.0590068440178543E-3</v>
      </c>
      <c r="Q3536" t="str">
        <f t="shared" si="718"/>
        <v>2024-03</v>
      </c>
      <c r="S3536">
        <v>10197.200000000001</v>
      </c>
      <c r="T3536">
        <f t="shared" si="725"/>
        <v>7.8861112736183514E-3</v>
      </c>
      <c r="U3536" t="str">
        <f t="shared" si="719"/>
        <v>2024-03</v>
      </c>
      <c r="W3536">
        <v>33363.839999999997</v>
      </c>
      <c r="X3536">
        <f t="shared" si="726"/>
        <v>6.5458059616437022E-3</v>
      </c>
      <c r="Y3536">
        <f t="shared" si="727"/>
        <v>6.5672765714035351E-3</v>
      </c>
      <c r="Z3536" t="str">
        <f t="shared" si="720"/>
        <v>2024-03</v>
      </c>
    </row>
    <row r="3537" spans="1:26" x14ac:dyDescent="0.35">
      <c r="A3537" s="1">
        <v>45358</v>
      </c>
      <c r="C3537">
        <v>4974.22</v>
      </c>
      <c r="D3537">
        <f t="shared" si="721"/>
        <v>1.1877130957341739E-2</v>
      </c>
      <c r="E3537" t="str">
        <f t="shared" si="715"/>
        <v>2024-03</v>
      </c>
      <c r="G3537">
        <v>8016.22</v>
      </c>
      <c r="H3537">
        <f t="shared" si="722"/>
        <v>7.6990116666951491E-3</v>
      </c>
      <c r="I3537" t="str">
        <f t="shared" si="716"/>
        <v>2024-03</v>
      </c>
      <c r="K3537">
        <v>17842.849999999999</v>
      </c>
      <c r="L3537">
        <f t="shared" si="723"/>
        <v>7.0946057312182642E-3</v>
      </c>
      <c r="M3537" t="str">
        <f t="shared" si="717"/>
        <v>2024-03</v>
      </c>
      <c r="O3537">
        <v>8997.16086</v>
      </c>
      <c r="P3537">
        <f t="shared" si="724"/>
        <v>2.2650536902942917E-3</v>
      </c>
      <c r="Q3537" t="str">
        <f t="shared" si="718"/>
        <v>2024-03</v>
      </c>
      <c r="S3537">
        <v>10319.6</v>
      </c>
      <c r="T3537">
        <f t="shared" si="725"/>
        <v>1.1931826810727067E-2</v>
      </c>
      <c r="U3537" t="str">
        <f t="shared" si="719"/>
        <v>2024-03</v>
      </c>
      <c r="W3537">
        <v>33418.68</v>
      </c>
      <c r="X3537">
        <f t="shared" si="726"/>
        <v>1.6423463003991793E-3</v>
      </c>
      <c r="Y3537">
        <f t="shared" si="727"/>
        <v>1.6436956897048958E-3</v>
      </c>
      <c r="Z3537" t="str">
        <f t="shared" si="720"/>
        <v>2024-03</v>
      </c>
    </row>
    <row r="3538" spans="1:26" x14ac:dyDescent="0.35">
      <c r="A3538" s="1">
        <v>45359</v>
      </c>
      <c r="C3538">
        <v>4961.1099999999997</v>
      </c>
      <c r="D3538">
        <f t="shared" si="721"/>
        <v>-2.6390683769768634E-3</v>
      </c>
      <c r="E3538" t="str">
        <f t="shared" si="715"/>
        <v>2024-03</v>
      </c>
      <c r="G3538">
        <v>8028.01</v>
      </c>
      <c r="H3538">
        <f t="shared" si="722"/>
        <v>1.4696874978957306E-3</v>
      </c>
      <c r="I3538" t="str">
        <f t="shared" si="716"/>
        <v>2024-03</v>
      </c>
      <c r="K3538">
        <v>17814.509999999998</v>
      </c>
      <c r="L3538">
        <f t="shared" si="723"/>
        <v>-1.5895739879413554E-3</v>
      </c>
      <c r="M3538" t="str">
        <f t="shared" si="717"/>
        <v>2024-03</v>
      </c>
      <c r="O3538">
        <v>8997.1660400000001</v>
      </c>
      <c r="P3538">
        <f t="shared" si="724"/>
        <v>5.7573701197383722E-7</v>
      </c>
      <c r="Q3538" t="str">
        <f t="shared" si="718"/>
        <v>2024-03</v>
      </c>
      <c r="S3538">
        <v>10305.700000000001</v>
      </c>
      <c r="T3538">
        <f t="shared" si="725"/>
        <v>-1.3478593867117727E-3</v>
      </c>
      <c r="U3538" t="str">
        <f t="shared" si="719"/>
        <v>2024-03</v>
      </c>
      <c r="W3538">
        <v>33403.800000000003</v>
      </c>
      <c r="X3538">
        <f t="shared" si="726"/>
        <v>-4.4535911405697609E-4</v>
      </c>
      <c r="Y3538">
        <f t="shared" si="727"/>
        <v>-4.4525995640753557E-4</v>
      </c>
      <c r="Z3538" t="str">
        <f t="shared" si="720"/>
        <v>2024-03</v>
      </c>
    </row>
    <row r="3539" spans="1:26" x14ac:dyDescent="0.35">
      <c r="A3539" s="1">
        <v>45362</v>
      </c>
      <c r="C3539">
        <v>4930.42</v>
      </c>
      <c r="D3539">
        <f t="shared" si="721"/>
        <v>-6.2053288984220169E-3</v>
      </c>
      <c r="E3539" t="str">
        <f t="shared" si="715"/>
        <v>2024-03</v>
      </c>
      <c r="G3539">
        <v>8019.73</v>
      </c>
      <c r="H3539">
        <f t="shared" si="722"/>
        <v>-1.0319210972703236E-3</v>
      </c>
      <c r="I3539" t="str">
        <f t="shared" si="716"/>
        <v>2024-03</v>
      </c>
      <c r="K3539">
        <v>17746.27</v>
      </c>
      <c r="L3539">
        <f t="shared" si="723"/>
        <v>-3.8379407742676155E-3</v>
      </c>
      <c r="M3539" t="str">
        <f t="shared" si="717"/>
        <v>2024-03</v>
      </c>
      <c r="O3539">
        <v>8991.7773099999995</v>
      </c>
      <c r="P3539">
        <f t="shared" si="724"/>
        <v>-5.9911580756476343E-4</v>
      </c>
      <c r="Q3539" t="str">
        <f t="shared" si="718"/>
        <v>2024-03</v>
      </c>
      <c r="S3539">
        <v>10325.700000000001</v>
      </c>
      <c r="T3539">
        <f t="shared" si="725"/>
        <v>1.9387929335734802E-3</v>
      </c>
      <c r="U3539" t="str">
        <f t="shared" si="719"/>
        <v>2024-03</v>
      </c>
      <c r="W3539">
        <v>33315.07</v>
      </c>
      <c r="X3539">
        <f t="shared" si="726"/>
        <v>-2.6598187982211242E-3</v>
      </c>
      <c r="Y3539">
        <f t="shared" si="727"/>
        <v>-2.6562846143254118E-3</v>
      </c>
      <c r="Z3539" t="str">
        <f t="shared" si="720"/>
        <v>2024-03</v>
      </c>
    </row>
    <row r="3540" spans="1:26" x14ac:dyDescent="0.35">
      <c r="A3540" s="1">
        <v>45363</v>
      </c>
      <c r="C3540">
        <v>4983.2</v>
      </c>
      <c r="D3540">
        <f t="shared" si="721"/>
        <v>1.0648077834123046E-2</v>
      </c>
      <c r="E3540" t="str">
        <f t="shared" si="715"/>
        <v>2024-03</v>
      </c>
      <c r="G3540">
        <v>8087.48</v>
      </c>
      <c r="H3540">
        <f t="shared" si="722"/>
        <v>8.4124313955700383E-3</v>
      </c>
      <c r="I3540" t="str">
        <f t="shared" si="716"/>
        <v>2024-03</v>
      </c>
      <c r="K3540">
        <v>17965.11</v>
      </c>
      <c r="L3540">
        <f t="shared" si="723"/>
        <v>1.2256190570040662E-2</v>
      </c>
      <c r="M3540" t="str">
        <f t="shared" si="717"/>
        <v>2024-03</v>
      </c>
      <c r="O3540">
        <v>9071.1606400000001</v>
      </c>
      <c r="P3540">
        <f t="shared" si="724"/>
        <v>8.789693161418595E-3</v>
      </c>
      <c r="Q3540" t="str">
        <f t="shared" si="718"/>
        <v>2024-03</v>
      </c>
      <c r="S3540">
        <v>10388.9</v>
      </c>
      <c r="T3540">
        <f t="shared" si="725"/>
        <v>6.1019953173868423E-3</v>
      </c>
      <c r="U3540" t="str">
        <f t="shared" si="719"/>
        <v>2024-03</v>
      </c>
      <c r="W3540">
        <v>33753.120000000003</v>
      </c>
      <c r="X3540">
        <f t="shared" si="726"/>
        <v>1.3063010322330386E-2</v>
      </c>
      <c r="Y3540">
        <f t="shared" si="727"/>
        <v>1.3148704175017579E-2</v>
      </c>
      <c r="Z3540" t="str">
        <f t="shared" si="720"/>
        <v>2024-03</v>
      </c>
    </row>
    <row r="3541" spans="1:26" x14ac:dyDescent="0.35">
      <c r="A3541" s="1">
        <v>45364</v>
      </c>
      <c r="C3541">
        <v>5000.55</v>
      </c>
      <c r="D3541">
        <f t="shared" si="721"/>
        <v>3.4756514267452561E-3</v>
      </c>
      <c r="E3541" t="str">
        <f t="shared" si="715"/>
        <v>2024-03</v>
      </c>
      <c r="G3541">
        <v>8137.58</v>
      </c>
      <c r="H3541">
        <f t="shared" si="722"/>
        <v>6.175651643674741E-3</v>
      </c>
      <c r="I3541" t="str">
        <f t="shared" si="716"/>
        <v>2024-03</v>
      </c>
      <c r="K3541">
        <v>17961.38</v>
      </c>
      <c r="L3541">
        <f t="shared" si="723"/>
        <v>-2.076462250223136E-4</v>
      </c>
      <c r="M3541" t="str">
        <f t="shared" si="717"/>
        <v>2024-03</v>
      </c>
      <c r="O3541">
        <v>9084.4374499999994</v>
      </c>
      <c r="P3541">
        <f t="shared" si="724"/>
        <v>1.4625585233669196E-3</v>
      </c>
      <c r="Q3541" t="str">
        <f t="shared" si="718"/>
        <v>2024-03</v>
      </c>
      <c r="S3541">
        <v>10560.5</v>
      </c>
      <c r="T3541">
        <f t="shared" si="725"/>
        <v>1.6382697165493142E-2</v>
      </c>
      <c r="U3541" t="str">
        <f t="shared" si="719"/>
        <v>2024-03</v>
      </c>
      <c r="W3541">
        <v>33885.43</v>
      </c>
      <c r="X3541">
        <f t="shared" si="726"/>
        <v>3.9122709981176482E-3</v>
      </c>
      <c r="Y3541">
        <f t="shared" si="727"/>
        <v>3.9199339201827169E-3</v>
      </c>
      <c r="Z3541" t="str">
        <f t="shared" si="720"/>
        <v>2024-03</v>
      </c>
    </row>
    <row r="3542" spans="1:26" x14ac:dyDescent="0.35">
      <c r="A3542" s="1">
        <v>45365</v>
      </c>
      <c r="C3542">
        <v>4993.12</v>
      </c>
      <c r="D3542">
        <f t="shared" si="721"/>
        <v>-1.486941507769298E-3</v>
      </c>
      <c r="E3542" t="str">
        <f t="shared" si="715"/>
        <v>2024-03</v>
      </c>
      <c r="G3542">
        <v>8161.42</v>
      </c>
      <c r="H3542">
        <f t="shared" si="722"/>
        <v>2.925334928654052E-3</v>
      </c>
      <c r="I3542" t="str">
        <f t="shared" si="716"/>
        <v>2024-03</v>
      </c>
      <c r="K3542">
        <v>17942.04</v>
      </c>
      <c r="L3542">
        <f t="shared" si="723"/>
        <v>-1.0773347982215608E-3</v>
      </c>
      <c r="M3542" t="str">
        <f t="shared" si="717"/>
        <v>2024-03</v>
      </c>
      <c r="O3542">
        <v>9068.8808300000001</v>
      </c>
      <c r="P3542">
        <f t="shared" si="724"/>
        <v>-1.713915171671523E-3</v>
      </c>
      <c r="Q3542" t="str">
        <f t="shared" si="718"/>
        <v>2024-03</v>
      </c>
      <c r="S3542">
        <v>10490.5</v>
      </c>
      <c r="T3542">
        <f t="shared" si="725"/>
        <v>-6.6505399274413438E-3</v>
      </c>
      <c r="U3542" t="str">
        <f t="shared" si="719"/>
        <v>2024-03</v>
      </c>
      <c r="W3542">
        <v>33786.18</v>
      </c>
      <c r="X3542">
        <f t="shared" si="726"/>
        <v>-2.9332853515259419E-3</v>
      </c>
      <c r="Y3542">
        <f t="shared" si="727"/>
        <v>-2.9289874733772008E-3</v>
      </c>
      <c r="Z3542" t="str">
        <f t="shared" si="720"/>
        <v>2024-03</v>
      </c>
    </row>
    <row r="3543" spans="1:26" x14ac:dyDescent="0.35">
      <c r="A3543" s="1">
        <v>45366</v>
      </c>
      <c r="C3543">
        <v>4986.0200000000004</v>
      </c>
      <c r="D3543">
        <f t="shared" si="721"/>
        <v>-1.4229685520053405E-3</v>
      </c>
      <c r="E3543" t="str">
        <f t="shared" si="715"/>
        <v>2024-03</v>
      </c>
      <c r="G3543">
        <v>8164.35</v>
      </c>
      <c r="H3543">
        <f t="shared" si="722"/>
        <v>3.5894172605127882E-4</v>
      </c>
      <c r="I3543" t="str">
        <f t="shared" si="716"/>
        <v>2024-03</v>
      </c>
      <c r="K3543">
        <v>17936.650000000001</v>
      </c>
      <c r="L3543">
        <f t="shared" si="723"/>
        <v>-3.0045690299992716E-4</v>
      </c>
      <c r="M3543" t="str">
        <f t="shared" si="717"/>
        <v>2024-03</v>
      </c>
      <c r="O3543">
        <v>9037.3327100000006</v>
      </c>
      <c r="P3543">
        <f t="shared" si="724"/>
        <v>-3.4847873473179912E-3</v>
      </c>
      <c r="Q3543" t="str">
        <f t="shared" si="718"/>
        <v>2024-03</v>
      </c>
      <c r="S3543">
        <v>10597.9</v>
      </c>
      <c r="T3543">
        <f t="shared" si="725"/>
        <v>1.0185782568842023E-2</v>
      </c>
      <c r="U3543" t="str">
        <f t="shared" si="719"/>
        <v>2024-03</v>
      </c>
      <c r="W3543">
        <v>33940.03</v>
      </c>
      <c r="X3543">
        <f t="shared" si="726"/>
        <v>4.5433005816262161E-3</v>
      </c>
      <c r="Y3543">
        <f t="shared" si="727"/>
        <v>4.5536370196334287E-3</v>
      </c>
      <c r="Z3543" t="str">
        <f t="shared" si="720"/>
        <v>2024-03</v>
      </c>
    </row>
    <row r="3544" spans="1:26" x14ac:dyDescent="0.35">
      <c r="A3544" s="1">
        <v>45369</v>
      </c>
      <c r="C3544">
        <v>4982.76</v>
      </c>
      <c r="D3544">
        <f t="shared" si="721"/>
        <v>-6.5404194218578594E-4</v>
      </c>
      <c r="E3544" t="str">
        <f t="shared" si="715"/>
        <v>2024-03</v>
      </c>
      <c r="G3544">
        <v>8148.14</v>
      </c>
      <c r="H3544">
        <f t="shared" si="722"/>
        <v>-1.987434822722069E-3</v>
      </c>
      <c r="I3544" t="str">
        <f t="shared" si="716"/>
        <v>2024-03</v>
      </c>
      <c r="K3544">
        <v>17932.68</v>
      </c>
      <c r="L3544">
        <f t="shared" si="723"/>
        <v>-2.2135902824009504E-4</v>
      </c>
      <c r="M3544" t="str">
        <f t="shared" si="717"/>
        <v>2024-03</v>
      </c>
      <c r="O3544">
        <v>9041.2594300000001</v>
      </c>
      <c r="P3544">
        <f t="shared" si="724"/>
        <v>4.3440551469287877E-4</v>
      </c>
      <c r="Q3544" t="str">
        <f t="shared" si="718"/>
        <v>2024-03</v>
      </c>
      <c r="S3544">
        <v>10596.7</v>
      </c>
      <c r="T3544">
        <f t="shared" si="725"/>
        <v>-1.1323639052220181E-4</v>
      </c>
      <c r="U3544" t="str">
        <f t="shared" si="719"/>
        <v>2024-03</v>
      </c>
      <c r="W3544">
        <v>33940.959999999999</v>
      </c>
      <c r="X3544">
        <f t="shared" si="726"/>
        <v>2.7400896777033819E-5</v>
      </c>
      <c r="Y3544">
        <f t="shared" si="727"/>
        <v>2.7401272185095037E-5</v>
      </c>
      <c r="Z3544" t="str">
        <f t="shared" si="720"/>
        <v>2024-03</v>
      </c>
    </row>
    <row r="3545" spans="1:26" x14ac:dyDescent="0.35">
      <c r="A3545" s="1">
        <v>45370</v>
      </c>
      <c r="C3545">
        <v>5007.92</v>
      </c>
      <c r="D3545">
        <f t="shared" si="721"/>
        <v>5.036704846726533E-3</v>
      </c>
      <c r="E3545" t="str">
        <f t="shared" si="715"/>
        <v>2024-03</v>
      </c>
      <c r="G3545">
        <v>8201.0499999999993</v>
      </c>
      <c r="H3545">
        <f t="shared" si="722"/>
        <v>6.4725145056172984E-3</v>
      </c>
      <c r="I3545" t="str">
        <f t="shared" si="716"/>
        <v>2024-03</v>
      </c>
      <c r="K3545">
        <v>17987.490000000002</v>
      </c>
      <c r="L3545">
        <f t="shared" si="723"/>
        <v>3.0517696624756184E-3</v>
      </c>
      <c r="M3545" t="str">
        <f t="shared" si="717"/>
        <v>2024-03</v>
      </c>
      <c r="O3545">
        <v>9067.4299499999997</v>
      </c>
      <c r="P3545">
        <f t="shared" si="724"/>
        <v>2.8903845740098754E-3</v>
      </c>
      <c r="Q3545" t="str">
        <f t="shared" si="718"/>
        <v>2024-03</v>
      </c>
      <c r="S3545">
        <v>10701.4</v>
      </c>
      <c r="T3545">
        <f t="shared" si="725"/>
        <v>9.8319421374645014E-3</v>
      </c>
      <c r="U3545" t="str">
        <f t="shared" si="719"/>
        <v>2024-03</v>
      </c>
      <c r="W3545">
        <v>34262.36</v>
      </c>
      <c r="X3545">
        <f t="shared" si="726"/>
        <v>9.4248309053386724E-3</v>
      </c>
      <c r="Y3545">
        <f t="shared" si="727"/>
        <v>9.4693844841159912E-3</v>
      </c>
      <c r="Z3545" t="str">
        <f t="shared" si="720"/>
        <v>2024-03</v>
      </c>
    </row>
    <row r="3546" spans="1:26" x14ac:dyDescent="0.35">
      <c r="A3546" s="1">
        <v>45371</v>
      </c>
      <c r="C3546">
        <v>5000.3100000000004</v>
      </c>
      <c r="D3546">
        <f t="shared" si="721"/>
        <v>-1.5207487171302334E-3</v>
      </c>
      <c r="E3546" t="str">
        <f t="shared" si="715"/>
        <v>2024-03</v>
      </c>
      <c r="G3546">
        <v>8161.41</v>
      </c>
      <c r="H3546">
        <f t="shared" si="722"/>
        <v>-4.8452466866712009E-3</v>
      </c>
      <c r="I3546" t="str">
        <f t="shared" si="716"/>
        <v>2024-03</v>
      </c>
      <c r="K3546">
        <v>18015.13</v>
      </c>
      <c r="L3546">
        <f t="shared" si="723"/>
        <v>1.5354441110293038E-3</v>
      </c>
      <c r="M3546" t="str">
        <f t="shared" si="717"/>
        <v>2024-03</v>
      </c>
      <c r="O3546">
        <v>9059.2299000000003</v>
      </c>
      <c r="P3546">
        <f t="shared" si="724"/>
        <v>-9.0475031000937945E-4</v>
      </c>
      <c r="Q3546" t="str">
        <f t="shared" si="718"/>
        <v>2024-03</v>
      </c>
      <c r="S3546">
        <v>10752.5</v>
      </c>
      <c r="T3546">
        <f t="shared" si="725"/>
        <v>4.763711645351487E-3</v>
      </c>
      <c r="U3546" t="str">
        <f t="shared" si="719"/>
        <v>2024-03</v>
      </c>
      <c r="W3546">
        <v>34293.29</v>
      </c>
      <c r="X3546">
        <f t="shared" si="726"/>
        <v>9.0233269172161938E-4</v>
      </c>
      <c r="Y3546">
        <f t="shared" si="727"/>
        <v>9.0273991633968854E-4</v>
      </c>
      <c r="Z3546" t="str">
        <f t="shared" si="720"/>
        <v>2024-03</v>
      </c>
    </row>
    <row r="3547" spans="1:26" x14ac:dyDescent="0.35">
      <c r="A3547" s="1">
        <v>45372</v>
      </c>
      <c r="C3547">
        <v>5052.3100000000004</v>
      </c>
      <c r="D3547">
        <f t="shared" si="721"/>
        <v>1.0345653930400557E-2</v>
      </c>
      <c r="E3547" t="str">
        <f t="shared" si="715"/>
        <v>2024-03</v>
      </c>
      <c r="G3547">
        <v>8179.72</v>
      </c>
      <c r="H3547">
        <f t="shared" si="722"/>
        <v>2.2409720334722093E-3</v>
      </c>
      <c r="I3547" t="str">
        <f t="shared" si="716"/>
        <v>2024-03</v>
      </c>
      <c r="K3547">
        <v>18179.25</v>
      </c>
      <c r="L3547">
        <f t="shared" si="723"/>
        <v>9.0688733902105755E-3</v>
      </c>
      <c r="M3547" t="str">
        <f t="shared" si="717"/>
        <v>2024-03</v>
      </c>
      <c r="O3547">
        <v>9187.8387199999997</v>
      </c>
      <c r="P3547">
        <f t="shared" si="724"/>
        <v>1.4096614900176108E-2</v>
      </c>
      <c r="Q3547" t="str">
        <f t="shared" si="718"/>
        <v>2024-03</v>
      </c>
      <c r="S3547">
        <v>10867.5</v>
      </c>
      <c r="T3547">
        <f t="shared" si="725"/>
        <v>1.0638398205055797E-2</v>
      </c>
      <c r="U3547" t="str">
        <f t="shared" si="719"/>
        <v>2024-03</v>
      </c>
      <c r="W3547">
        <v>34327.949999999997</v>
      </c>
      <c r="X3547">
        <f t="shared" si="726"/>
        <v>1.0101829389107836E-3</v>
      </c>
      <c r="Y3547">
        <f t="shared" si="727"/>
        <v>1.0106933455494127E-3</v>
      </c>
      <c r="Z3547" t="str">
        <f t="shared" si="720"/>
        <v>2024-03</v>
      </c>
    </row>
    <row r="3548" spans="1:26" x14ac:dyDescent="0.35">
      <c r="A3548" s="1">
        <v>45373</v>
      </c>
      <c r="C3548">
        <v>5031.1499999999996</v>
      </c>
      <c r="D3548">
        <f t="shared" si="721"/>
        <v>-4.1969782317675527E-3</v>
      </c>
      <c r="E3548" t="str">
        <f t="shared" si="715"/>
        <v>2024-03</v>
      </c>
      <c r="G3548">
        <v>8151.92</v>
      </c>
      <c r="H3548">
        <f t="shared" si="722"/>
        <v>-3.404437870369256E-3</v>
      </c>
      <c r="I3548" t="str">
        <f t="shared" si="716"/>
        <v>2024-03</v>
      </c>
      <c r="K3548">
        <v>18205.939999999999</v>
      </c>
      <c r="L3548">
        <f t="shared" si="723"/>
        <v>1.4670806878914365E-3</v>
      </c>
      <c r="M3548" t="str">
        <f t="shared" si="717"/>
        <v>2024-03</v>
      </c>
      <c r="O3548">
        <v>9241.7309499999992</v>
      </c>
      <c r="P3548">
        <f t="shared" si="724"/>
        <v>5.8484690178206558E-3</v>
      </c>
      <c r="Q3548" t="str">
        <f t="shared" si="718"/>
        <v>2024-03</v>
      </c>
      <c r="S3548">
        <v>10943.2</v>
      </c>
      <c r="T3548">
        <f t="shared" si="725"/>
        <v>6.9415749122875214E-3</v>
      </c>
      <c r="U3548" t="str">
        <f t="shared" si="719"/>
        <v>2024-03</v>
      </c>
      <c r="W3548">
        <v>34343.61</v>
      </c>
      <c r="X3548">
        <f t="shared" si="726"/>
        <v>4.5608401124011517E-4</v>
      </c>
      <c r="Y3548">
        <f t="shared" si="727"/>
        <v>4.5618803336649853E-4</v>
      </c>
      <c r="Z3548" t="str">
        <f t="shared" si="720"/>
        <v>2024-03</v>
      </c>
    </row>
    <row r="3549" spans="1:26" x14ac:dyDescent="0.35">
      <c r="A3549" s="1">
        <v>45376</v>
      </c>
      <c r="C3549">
        <v>5044.1899999999996</v>
      </c>
      <c r="D3549">
        <f t="shared" si="721"/>
        <v>2.5884996994692331E-3</v>
      </c>
      <c r="E3549" t="str">
        <f t="shared" si="715"/>
        <v>2024-03</v>
      </c>
      <c r="G3549">
        <v>8151.6</v>
      </c>
      <c r="H3549">
        <f t="shared" si="722"/>
        <v>-3.9255326462106198E-5</v>
      </c>
      <c r="I3549" t="str">
        <f t="shared" si="716"/>
        <v>2024-03</v>
      </c>
      <c r="K3549">
        <v>18261.310000000001</v>
      </c>
      <c r="L3549">
        <f t="shared" si="723"/>
        <v>3.0366996441871068E-3</v>
      </c>
      <c r="M3549" t="str">
        <f t="shared" si="717"/>
        <v>2024-03</v>
      </c>
      <c r="O3549">
        <v>9234.8514200000009</v>
      </c>
      <c r="P3549">
        <f t="shared" si="724"/>
        <v>-7.446756310392677E-4</v>
      </c>
      <c r="Q3549" t="str">
        <f t="shared" si="718"/>
        <v>2024-03</v>
      </c>
      <c r="S3549">
        <v>10952.2</v>
      </c>
      <c r="T3549">
        <f t="shared" si="725"/>
        <v>8.2209053105899315E-4</v>
      </c>
      <c r="U3549" t="str">
        <f t="shared" si="719"/>
        <v>2024-03</v>
      </c>
      <c r="W3549">
        <v>34639.410000000003</v>
      </c>
      <c r="X3549">
        <f t="shared" si="726"/>
        <v>8.5760760541540339E-3</v>
      </c>
      <c r="Y3549">
        <f t="shared" si="727"/>
        <v>8.6129559472636359E-3</v>
      </c>
      <c r="Z3549" t="str">
        <f t="shared" si="720"/>
        <v>2024-03</v>
      </c>
    </row>
    <row r="3550" spans="1:26" x14ac:dyDescent="0.35">
      <c r="A3550" s="1">
        <v>45377</v>
      </c>
      <c r="C3550">
        <v>5064.18</v>
      </c>
      <c r="D3550">
        <f t="shared" si="721"/>
        <v>3.9551433235801769E-3</v>
      </c>
      <c r="E3550" t="str">
        <f t="shared" si="715"/>
        <v>2024-03</v>
      </c>
      <c r="G3550">
        <v>8184.75</v>
      </c>
      <c r="H3550">
        <f t="shared" si="722"/>
        <v>4.0584396760523752E-3</v>
      </c>
      <c r="I3550" t="str">
        <f t="shared" si="716"/>
        <v>2024-03</v>
      </c>
      <c r="K3550">
        <v>18384.349999999999</v>
      </c>
      <c r="L3550">
        <f t="shared" si="723"/>
        <v>6.7151451143186748E-3</v>
      </c>
      <c r="M3550" t="str">
        <f t="shared" si="717"/>
        <v>2024-03</v>
      </c>
      <c r="O3550">
        <v>9246.0744099999993</v>
      </c>
      <c r="P3550">
        <f t="shared" si="724"/>
        <v>1.2145486089654859E-3</v>
      </c>
      <c r="Q3550" t="str">
        <f t="shared" si="718"/>
        <v>2024-03</v>
      </c>
      <c r="S3550">
        <v>10991.5</v>
      </c>
      <c r="T3550">
        <f t="shared" si="725"/>
        <v>3.5818974938782058E-3</v>
      </c>
      <c r="U3550" t="str">
        <f t="shared" si="719"/>
        <v>2024-03</v>
      </c>
      <c r="W3550">
        <v>34688.17</v>
      </c>
      <c r="X3550">
        <f t="shared" si="726"/>
        <v>1.4066554188111099E-3</v>
      </c>
      <c r="Y3550">
        <f t="shared" si="727"/>
        <v>1.4076452225945753E-3</v>
      </c>
      <c r="Z3550" t="str">
        <f t="shared" si="720"/>
        <v>2024-03</v>
      </c>
    </row>
    <row r="3551" spans="1:26" x14ac:dyDescent="0.35">
      <c r="A3551" s="1">
        <v>45378</v>
      </c>
      <c r="C3551">
        <v>5081.74</v>
      </c>
      <c r="D3551">
        <f t="shared" si="721"/>
        <v>3.4614933950913519E-3</v>
      </c>
      <c r="E3551" t="str">
        <f t="shared" si="715"/>
        <v>2024-03</v>
      </c>
      <c r="G3551">
        <v>8204.81</v>
      </c>
      <c r="H3551">
        <f t="shared" si="722"/>
        <v>2.4479009829418757E-3</v>
      </c>
      <c r="I3551" t="str">
        <f t="shared" si="716"/>
        <v>2024-03</v>
      </c>
      <c r="K3551">
        <v>18477.09</v>
      </c>
      <c r="L3551">
        <f t="shared" si="723"/>
        <v>5.0318270624144252E-3</v>
      </c>
      <c r="M3551" t="str">
        <f t="shared" si="717"/>
        <v>2024-03</v>
      </c>
      <c r="O3551">
        <v>9258.2533899999999</v>
      </c>
      <c r="P3551">
        <f t="shared" si="724"/>
        <v>1.3163387387238365E-3</v>
      </c>
      <c r="Q3551" t="str">
        <f t="shared" si="718"/>
        <v>2024-03</v>
      </c>
      <c r="S3551">
        <v>11111.3</v>
      </c>
      <c r="T3551">
        <f t="shared" si="725"/>
        <v>1.0840361689338988E-2</v>
      </c>
      <c r="U3551" t="str">
        <f t="shared" si="719"/>
        <v>2024-03</v>
      </c>
      <c r="W3551">
        <v>34759.69</v>
      </c>
      <c r="X3551">
        <f t="shared" si="726"/>
        <v>2.0596754250997878E-3</v>
      </c>
      <c r="Y3551">
        <f t="shared" si="727"/>
        <v>2.0617980135592068E-3</v>
      </c>
      <c r="Z3551" t="str">
        <f t="shared" si="720"/>
        <v>2024-03</v>
      </c>
    </row>
    <row r="3552" spans="1:26" x14ac:dyDescent="0.35">
      <c r="A3552" s="1">
        <v>45379</v>
      </c>
      <c r="C3552">
        <v>5083.42</v>
      </c>
      <c r="D3552">
        <f t="shared" si="721"/>
        <v>3.3054079134937865E-4</v>
      </c>
      <c r="E3552" t="str">
        <f t="shared" si="715"/>
        <v>2024-03</v>
      </c>
      <c r="G3552">
        <v>8205.81</v>
      </c>
      <c r="H3552">
        <f t="shared" si="722"/>
        <v>1.2187229991778818E-4</v>
      </c>
      <c r="I3552" t="str">
        <f t="shared" si="716"/>
        <v>2024-03</v>
      </c>
      <c r="K3552">
        <v>18492.490000000002</v>
      </c>
      <c r="L3552">
        <f t="shared" si="723"/>
        <v>8.3311743821498706E-4</v>
      </c>
      <c r="M3552" t="str">
        <f t="shared" si="717"/>
        <v>2024-03</v>
      </c>
      <c r="O3552">
        <v>9299.9099200000001</v>
      </c>
      <c r="P3552">
        <f t="shared" si="724"/>
        <v>4.489302013964953E-3</v>
      </c>
      <c r="Q3552" t="str">
        <f t="shared" si="718"/>
        <v>2024-03</v>
      </c>
      <c r="S3552">
        <v>11074.6</v>
      </c>
      <c r="T3552">
        <f t="shared" si="725"/>
        <v>-3.3084106099123493E-3</v>
      </c>
      <c r="U3552" t="str">
        <f t="shared" si="719"/>
        <v>2024-03</v>
      </c>
      <c r="W3552">
        <v>34750.35</v>
      </c>
      <c r="X3552">
        <f t="shared" si="726"/>
        <v>-2.6873815800465995E-4</v>
      </c>
      <c r="Y3552">
        <f t="shared" si="727"/>
        <v>-2.6870205114038078E-4</v>
      </c>
      <c r="Z3552" t="str">
        <f t="shared" si="720"/>
        <v>2024-03</v>
      </c>
    </row>
    <row r="3553" spans="1:26" x14ac:dyDescent="0.35">
      <c r="A3553" s="1">
        <v>45384</v>
      </c>
      <c r="C3553">
        <v>5042</v>
      </c>
      <c r="D3553">
        <f t="shared" si="721"/>
        <v>-8.181434654575168E-3</v>
      </c>
      <c r="E3553" t="str">
        <f t="shared" si="715"/>
        <v>2024-04</v>
      </c>
      <c r="G3553">
        <v>8130.05</v>
      </c>
      <c r="H3553">
        <f t="shared" si="722"/>
        <v>-9.2753663597230276E-3</v>
      </c>
      <c r="I3553" t="str">
        <f t="shared" si="716"/>
        <v>2024-04</v>
      </c>
      <c r="K3553">
        <v>18283.13</v>
      </c>
      <c r="L3553">
        <f t="shared" si="723"/>
        <v>-1.1385926968428675E-2</v>
      </c>
      <c r="M3553" t="str">
        <f t="shared" si="717"/>
        <v>2024-04</v>
      </c>
      <c r="O3553">
        <v>9264.4828600000001</v>
      </c>
      <c r="P3553">
        <f t="shared" si="724"/>
        <v>-3.8166724250329855E-3</v>
      </c>
      <c r="Q3553" t="str">
        <f t="shared" si="718"/>
        <v>2024-04</v>
      </c>
      <c r="S3553">
        <v>10975.6</v>
      </c>
      <c r="T3553">
        <f t="shared" si="725"/>
        <v>-8.9795707266874716E-3</v>
      </c>
      <c r="U3553" t="str">
        <f t="shared" si="719"/>
        <v>2024-04</v>
      </c>
      <c r="W3553">
        <v>34325.230000000003</v>
      </c>
      <c r="X3553">
        <f t="shared" si="726"/>
        <v>-1.2308991615440999E-2</v>
      </c>
      <c r="Y3553">
        <f t="shared" si="727"/>
        <v>-1.2233545849178363E-2</v>
      </c>
      <c r="Z3553" t="str">
        <f t="shared" si="720"/>
        <v>2024-04</v>
      </c>
    </row>
    <row r="3554" spans="1:26" x14ac:dyDescent="0.35">
      <c r="A3554" s="1">
        <v>45385</v>
      </c>
      <c r="C3554">
        <v>5069.25</v>
      </c>
      <c r="D3554">
        <f t="shared" si="721"/>
        <v>5.3900489007081701E-3</v>
      </c>
      <c r="E3554" t="str">
        <f t="shared" si="715"/>
        <v>2024-04</v>
      </c>
      <c r="G3554">
        <v>8153.23</v>
      </c>
      <c r="H3554">
        <f t="shared" si="722"/>
        <v>2.8470941552292553E-3</v>
      </c>
      <c r="I3554" t="str">
        <f t="shared" si="716"/>
        <v>2024-04</v>
      </c>
      <c r="K3554">
        <v>18367.72</v>
      </c>
      <c r="L3554">
        <f t="shared" si="723"/>
        <v>4.6159993669841123E-3</v>
      </c>
      <c r="M3554" t="str">
        <f t="shared" si="717"/>
        <v>2024-04</v>
      </c>
      <c r="O3554">
        <v>9267.5529700000006</v>
      </c>
      <c r="P3554">
        <f t="shared" si="724"/>
        <v>3.313300337048621E-4</v>
      </c>
      <c r="Q3554" t="str">
        <f t="shared" si="718"/>
        <v>2024-04</v>
      </c>
      <c r="S3554">
        <v>11032.3</v>
      </c>
      <c r="T3554">
        <f t="shared" si="725"/>
        <v>5.152706569051247E-3</v>
      </c>
      <c r="U3554" t="str">
        <f t="shared" si="719"/>
        <v>2024-04</v>
      </c>
      <c r="W3554">
        <v>34480.870000000003</v>
      </c>
      <c r="X3554">
        <f t="shared" si="726"/>
        <v>4.524025208647379E-3</v>
      </c>
      <c r="Y3554">
        <f t="shared" si="727"/>
        <v>4.5342740602174964E-3</v>
      </c>
      <c r="Z3554" t="str">
        <f t="shared" si="720"/>
        <v>2024-04</v>
      </c>
    </row>
    <row r="3555" spans="1:26" x14ac:dyDescent="0.35">
      <c r="A3555" s="1">
        <v>45386</v>
      </c>
      <c r="C3555">
        <v>5070.76</v>
      </c>
      <c r="D3555">
        <f t="shared" si="721"/>
        <v>2.9783008323700308E-4</v>
      </c>
      <c r="E3555" t="str">
        <f t="shared" si="715"/>
        <v>2024-04</v>
      </c>
      <c r="G3555">
        <v>8151.55</v>
      </c>
      <c r="H3555">
        <f t="shared" si="722"/>
        <v>-2.0607453838014355E-4</v>
      </c>
      <c r="I3555" t="str">
        <f t="shared" si="716"/>
        <v>2024-04</v>
      </c>
      <c r="K3555">
        <v>18403.13</v>
      </c>
      <c r="L3555">
        <f t="shared" si="723"/>
        <v>1.9259827252211339E-3</v>
      </c>
      <c r="M3555" t="str">
        <f t="shared" si="717"/>
        <v>2024-04</v>
      </c>
      <c r="O3555">
        <v>9303.1239299999997</v>
      </c>
      <c r="P3555">
        <f t="shared" si="724"/>
        <v>3.8308785074146839E-3</v>
      </c>
      <c r="Q3555" t="str">
        <f t="shared" si="718"/>
        <v>2024-04</v>
      </c>
      <c r="S3555">
        <v>11090.9</v>
      </c>
      <c r="T3555">
        <f t="shared" si="725"/>
        <v>5.2976185225939399E-3</v>
      </c>
      <c r="U3555" t="str">
        <f t="shared" si="719"/>
        <v>2024-04</v>
      </c>
      <c r="W3555">
        <v>34454.58</v>
      </c>
      <c r="X3555">
        <f t="shared" si="726"/>
        <v>-7.6274257365621352E-4</v>
      </c>
      <c r="Y3555">
        <f t="shared" si="727"/>
        <v>-7.6245175948289219E-4</v>
      </c>
      <c r="Z3555" t="str">
        <f t="shared" si="720"/>
        <v>2024-04</v>
      </c>
    </row>
    <row r="3556" spans="1:26" x14ac:dyDescent="0.35">
      <c r="A3556" s="1">
        <v>45387</v>
      </c>
      <c r="C3556">
        <v>5014.75</v>
      </c>
      <c r="D3556">
        <f t="shared" si="721"/>
        <v>-1.1107138027003289E-2</v>
      </c>
      <c r="E3556" t="str">
        <f t="shared" si="715"/>
        <v>2024-04</v>
      </c>
      <c r="G3556">
        <v>8061.31</v>
      </c>
      <c r="H3556">
        <f t="shared" si="722"/>
        <v>-1.1132018889985679E-2</v>
      </c>
      <c r="I3556" t="str">
        <f t="shared" si="716"/>
        <v>2024-04</v>
      </c>
      <c r="K3556">
        <v>18175.04</v>
      </c>
      <c r="L3556">
        <f t="shared" si="723"/>
        <v>-1.247153460127781E-2</v>
      </c>
      <c r="M3556" t="str">
        <f t="shared" si="717"/>
        <v>2024-04</v>
      </c>
      <c r="O3556">
        <v>9224.5761000000002</v>
      </c>
      <c r="P3556">
        <f t="shared" si="724"/>
        <v>-8.4790125555925556E-3</v>
      </c>
      <c r="Q3556" t="str">
        <f t="shared" si="718"/>
        <v>2024-04</v>
      </c>
      <c r="S3556">
        <v>10916</v>
      </c>
      <c r="T3556">
        <f t="shared" si="725"/>
        <v>-1.5895349416326841E-2</v>
      </c>
      <c r="U3556" t="str">
        <f t="shared" si="719"/>
        <v>2024-04</v>
      </c>
      <c r="W3556">
        <v>34010.879999999997</v>
      </c>
      <c r="X3556">
        <f t="shared" si="726"/>
        <v>-1.2961461494994289E-2</v>
      </c>
      <c r="Y3556">
        <f t="shared" si="727"/>
        <v>-1.2877823499807699E-2</v>
      </c>
      <c r="Z3556" t="str">
        <f t="shared" si="720"/>
        <v>2024-04</v>
      </c>
    </row>
    <row r="3557" spans="1:26" x14ac:dyDescent="0.35">
      <c r="A3557" s="1">
        <v>45390</v>
      </c>
      <c r="C3557">
        <v>5046.05</v>
      </c>
      <c r="D3557">
        <f t="shared" si="721"/>
        <v>6.2221892857881114E-3</v>
      </c>
      <c r="E3557" t="str">
        <f t="shared" si="715"/>
        <v>2024-04</v>
      </c>
      <c r="G3557">
        <v>8119.3</v>
      </c>
      <c r="H3557">
        <f t="shared" si="722"/>
        <v>7.1678692318348737E-3</v>
      </c>
      <c r="I3557" t="str">
        <f t="shared" si="716"/>
        <v>2024-04</v>
      </c>
      <c r="K3557">
        <v>18318.97</v>
      </c>
      <c r="L3557">
        <f t="shared" si="723"/>
        <v>7.8879107155343103E-3</v>
      </c>
      <c r="M3557" t="str">
        <f t="shared" si="717"/>
        <v>2024-04</v>
      </c>
      <c r="O3557">
        <v>9259.81646</v>
      </c>
      <c r="P3557">
        <f t="shared" si="724"/>
        <v>3.8129900760244307E-3</v>
      </c>
      <c r="Q3557" t="str">
        <f t="shared" si="718"/>
        <v>2024-04</v>
      </c>
      <c r="S3557">
        <v>10911.8</v>
      </c>
      <c r="T3557">
        <f t="shared" si="725"/>
        <v>-3.848303587016366E-4</v>
      </c>
      <c r="U3557" t="str">
        <f t="shared" si="719"/>
        <v>2024-04</v>
      </c>
      <c r="W3557">
        <v>34315.96</v>
      </c>
      <c r="X3557">
        <f t="shared" si="726"/>
        <v>8.9300786459373983E-3</v>
      </c>
      <c r="Y3557">
        <f t="shared" si="727"/>
        <v>8.9700707538294157E-3</v>
      </c>
      <c r="Z3557" t="str">
        <f t="shared" si="720"/>
        <v>2024-04</v>
      </c>
    </row>
    <row r="3558" spans="1:26" x14ac:dyDescent="0.35">
      <c r="A3558" s="1">
        <v>45391</v>
      </c>
      <c r="C3558">
        <v>4990.8999999999996</v>
      </c>
      <c r="D3558">
        <f t="shared" si="721"/>
        <v>-1.0989504786627304E-2</v>
      </c>
      <c r="E3558" t="str">
        <f t="shared" si="715"/>
        <v>2024-04</v>
      </c>
      <c r="G3558">
        <v>8049.17</v>
      </c>
      <c r="H3558">
        <f t="shared" si="722"/>
        <v>-8.6749630363436164E-3</v>
      </c>
      <c r="I3558" t="str">
        <f t="shared" si="716"/>
        <v>2024-04</v>
      </c>
      <c r="K3558">
        <v>18076.689999999999</v>
      </c>
      <c r="L3558">
        <f t="shared" si="723"/>
        <v>-1.3313871975527506E-2</v>
      </c>
      <c r="M3558" t="str">
        <f t="shared" si="717"/>
        <v>2024-04</v>
      </c>
      <c r="O3558">
        <v>9261.5190500000008</v>
      </c>
      <c r="P3558">
        <f t="shared" si="724"/>
        <v>1.8385175344150446E-4</v>
      </c>
      <c r="Q3558" t="str">
        <f t="shared" si="718"/>
        <v>2024-04</v>
      </c>
      <c r="S3558">
        <v>10816</v>
      </c>
      <c r="T3558">
        <f t="shared" si="725"/>
        <v>-8.8182531867821521E-3</v>
      </c>
      <c r="U3558" t="str">
        <f t="shared" si="719"/>
        <v>2024-04</v>
      </c>
      <c r="W3558">
        <v>33946.29</v>
      </c>
      <c r="X3558">
        <f t="shared" si="726"/>
        <v>-1.0830982390143047E-2</v>
      </c>
      <c r="Y3558">
        <f t="shared" si="727"/>
        <v>-1.0772538492293331E-2</v>
      </c>
      <c r="Z3558" t="str">
        <f t="shared" si="720"/>
        <v>2024-04</v>
      </c>
    </row>
    <row r="3559" spans="1:26" x14ac:dyDescent="0.35">
      <c r="A3559" s="1">
        <v>45392</v>
      </c>
      <c r="C3559">
        <v>5000.83</v>
      </c>
      <c r="D3559">
        <f t="shared" si="721"/>
        <v>1.9876444357943878E-3</v>
      </c>
      <c r="E3559" t="str">
        <f t="shared" si="715"/>
        <v>2024-04</v>
      </c>
      <c r="G3559">
        <v>8045.38</v>
      </c>
      <c r="H3559">
        <f t="shared" si="722"/>
        <v>-4.7096688879840951E-4</v>
      </c>
      <c r="I3559" t="str">
        <f t="shared" si="716"/>
        <v>2024-04</v>
      </c>
      <c r="K3559">
        <v>18097.3</v>
      </c>
      <c r="L3559">
        <f t="shared" si="723"/>
        <v>1.1394928914436613E-3</v>
      </c>
      <c r="M3559" t="str">
        <f t="shared" si="717"/>
        <v>2024-04</v>
      </c>
      <c r="O3559">
        <v>9294.50504</v>
      </c>
      <c r="P3559">
        <f t="shared" si="724"/>
        <v>3.5552901403326071E-3</v>
      </c>
      <c r="Q3559" t="str">
        <f t="shared" si="718"/>
        <v>2024-04</v>
      </c>
      <c r="S3559">
        <v>10775</v>
      </c>
      <c r="T3559">
        <f t="shared" si="725"/>
        <v>-3.7978833107968424E-3</v>
      </c>
      <c r="U3559" t="str">
        <f t="shared" si="719"/>
        <v>2024-04</v>
      </c>
      <c r="W3559">
        <v>34039.629999999997</v>
      </c>
      <c r="X3559">
        <f t="shared" si="726"/>
        <v>2.7458643980059921E-3</v>
      </c>
      <c r="Y3559">
        <f t="shared" si="727"/>
        <v>2.7496377365537296E-3</v>
      </c>
      <c r="Z3559" t="str">
        <f t="shared" si="720"/>
        <v>2024-04</v>
      </c>
    </row>
    <row r="3560" spans="1:26" x14ac:dyDescent="0.35">
      <c r="A3560" s="1">
        <v>45393</v>
      </c>
      <c r="C3560">
        <v>4966.68</v>
      </c>
      <c r="D3560">
        <f t="shared" si="721"/>
        <v>-6.8522898141661357E-3</v>
      </c>
      <c r="E3560" t="str">
        <f t="shared" si="715"/>
        <v>2024-04</v>
      </c>
      <c r="G3560">
        <v>8023.74</v>
      </c>
      <c r="H3560">
        <f t="shared" si="722"/>
        <v>-2.6933662928373802E-3</v>
      </c>
      <c r="I3560" t="str">
        <f t="shared" si="716"/>
        <v>2024-04</v>
      </c>
      <c r="K3560">
        <v>17954.48</v>
      </c>
      <c r="L3560">
        <f t="shared" si="723"/>
        <v>-7.9230899073806146E-3</v>
      </c>
      <c r="M3560" t="str">
        <f t="shared" si="717"/>
        <v>2024-04</v>
      </c>
      <c r="O3560">
        <v>9268.5837499999998</v>
      </c>
      <c r="P3560">
        <f t="shared" si="724"/>
        <v>-2.7927794928151537E-3</v>
      </c>
      <c r="Q3560" t="str">
        <f t="shared" si="718"/>
        <v>2024-04</v>
      </c>
      <c r="S3560">
        <v>10649.8</v>
      </c>
      <c r="T3560">
        <f t="shared" si="725"/>
        <v>-1.1687523353434511E-2</v>
      </c>
      <c r="U3560" t="str">
        <f t="shared" si="719"/>
        <v>2024-04</v>
      </c>
      <c r="W3560">
        <v>33713.94</v>
      </c>
      <c r="X3560">
        <f t="shared" si="726"/>
        <v>-9.6140324004480894E-3</v>
      </c>
      <c r="Y3560">
        <f t="shared" si="727"/>
        <v>-9.5679653392235775E-3</v>
      </c>
      <c r="Z3560" t="str">
        <f t="shared" si="720"/>
        <v>2024-04</v>
      </c>
    </row>
    <row r="3561" spans="1:26" x14ac:dyDescent="0.35">
      <c r="A3561" s="1">
        <v>45394</v>
      </c>
      <c r="C3561">
        <v>4955.01</v>
      </c>
      <c r="D3561">
        <f t="shared" si="721"/>
        <v>-2.3524229000726564E-3</v>
      </c>
      <c r="E3561" t="str">
        <f t="shared" si="715"/>
        <v>2024-04</v>
      </c>
      <c r="G3561">
        <v>8010.83</v>
      </c>
      <c r="H3561">
        <f t="shared" si="722"/>
        <v>-1.6102711565831535E-3</v>
      </c>
      <c r="I3561" t="str">
        <f t="shared" si="716"/>
        <v>2024-04</v>
      </c>
      <c r="K3561">
        <v>17930.32</v>
      </c>
      <c r="L3561">
        <f t="shared" si="723"/>
        <v>-1.3465313252668291E-3</v>
      </c>
      <c r="M3561" t="str">
        <f t="shared" si="717"/>
        <v>2024-04</v>
      </c>
      <c r="O3561">
        <v>9353.2207699999999</v>
      </c>
      <c r="P3561">
        <f t="shared" si="724"/>
        <v>9.0901612367354952E-3</v>
      </c>
      <c r="Q3561" t="str">
        <f t="shared" si="718"/>
        <v>2024-04</v>
      </c>
      <c r="S3561">
        <v>10686</v>
      </c>
      <c r="T3561">
        <f t="shared" si="725"/>
        <v>3.3933608992025265E-3</v>
      </c>
      <c r="U3561" t="str">
        <f t="shared" si="719"/>
        <v>2024-04</v>
      </c>
      <c r="W3561">
        <v>33764.15</v>
      </c>
      <c r="X3561">
        <f t="shared" si="726"/>
        <v>1.488187032759173E-3</v>
      </c>
      <c r="Y3561">
        <f t="shared" si="727"/>
        <v>1.489294932600554E-3</v>
      </c>
      <c r="Z3561" t="str">
        <f t="shared" si="720"/>
        <v>2024-04</v>
      </c>
    </row>
    <row r="3562" spans="1:26" x14ac:dyDescent="0.35">
      <c r="A3562" s="1">
        <v>45397</v>
      </c>
      <c r="C3562">
        <v>4984.4799999999996</v>
      </c>
      <c r="D3562">
        <f t="shared" si="721"/>
        <v>5.9298990906260672E-3</v>
      </c>
      <c r="E3562" t="str">
        <f t="shared" si="715"/>
        <v>2024-04</v>
      </c>
      <c r="G3562">
        <v>8045.11</v>
      </c>
      <c r="H3562">
        <f t="shared" si="722"/>
        <v>4.2700772533013397E-3</v>
      </c>
      <c r="I3562" t="str">
        <f t="shared" si="716"/>
        <v>2024-04</v>
      </c>
      <c r="K3562">
        <v>18026.580000000002</v>
      </c>
      <c r="L3562">
        <f t="shared" si="723"/>
        <v>5.3542007214606776E-3</v>
      </c>
      <c r="M3562" t="str">
        <f t="shared" si="717"/>
        <v>2024-04</v>
      </c>
      <c r="O3562">
        <v>9330.0651300000009</v>
      </c>
      <c r="P3562">
        <f t="shared" si="724"/>
        <v>-2.4787558227250196E-3</v>
      </c>
      <c r="Q3562" t="str">
        <f t="shared" si="718"/>
        <v>2024-04</v>
      </c>
      <c r="S3562">
        <v>10687.2</v>
      </c>
      <c r="T3562">
        <f t="shared" si="725"/>
        <v>1.1229015788565603E-4</v>
      </c>
      <c r="U3562" t="str">
        <f t="shared" si="719"/>
        <v>2024-04</v>
      </c>
      <c r="W3562">
        <v>33954.28</v>
      </c>
      <c r="X3562">
        <f t="shared" si="726"/>
        <v>5.6153250923281226E-3</v>
      </c>
      <c r="Y3562">
        <f t="shared" si="727"/>
        <v>5.6311205820373791E-3</v>
      </c>
      <c r="Z3562" t="str">
        <f t="shared" si="720"/>
        <v>2024-04</v>
      </c>
    </row>
    <row r="3563" spans="1:26" x14ac:dyDescent="0.35">
      <c r="A3563" s="1">
        <v>45398</v>
      </c>
      <c r="C3563">
        <v>4916.99</v>
      </c>
      <c r="D3563">
        <f t="shared" si="721"/>
        <v>-1.3632530366700958E-2</v>
      </c>
      <c r="E3563" t="str">
        <f t="shared" si="715"/>
        <v>2024-04</v>
      </c>
      <c r="G3563">
        <v>7932.61</v>
      </c>
      <c r="H3563">
        <f t="shared" si="722"/>
        <v>-1.4082342057841793E-2</v>
      </c>
      <c r="I3563" t="str">
        <f t="shared" si="716"/>
        <v>2024-04</v>
      </c>
      <c r="K3563">
        <v>17766.23</v>
      </c>
      <c r="L3563">
        <f t="shared" si="723"/>
        <v>-1.454787102224899E-2</v>
      </c>
      <c r="M3563" t="str">
        <f t="shared" si="717"/>
        <v>2024-04</v>
      </c>
      <c r="O3563">
        <v>9152.5813300000009</v>
      </c>
      <c r="P3563">
        <f t="shared" si="724"/>
        <v>-1.9206043472814887E-2</v>
      </c>
      <c r="Q3563" t="str">
        <f t="shared" si="718"/>
        <v>2024-04</v>
      </c>
      <c r="S3563">
        <v>10526.9</v>
      </c>
      <c r="T3563">
        <f t="shared" si="725"/>
        <v>-1.5112877851937189E-2</v>
      </c>
      <c r="U3563" t="str">
        <f t="shared" si="719"/>
        <v>2024-04</v>
      </c>
      <c r="W3563">
        <v>33393.85</v>
      </c>
      <c r="X3563">
        <f t="shared" si="726"/>
        <v>-1.6643162513722578E-2</v>
      </c>
      <c r="Y3563">
        <f t="shared" si="727"/>
        <v>-1.6505430243256531E-2</v>
      </c>
      <c r="Z3563" t="str">
        <f t="shared" si="720"/>
        <v>2024-04</v>
      </c>
    </row>
    <row r="3564" spans="1:26" x14ac:dyDescent="0.35">
      <c r="A3564" s="1">
        <v>45399</v>
      </c>
      <c r="C3564">
        <v>4914.13</v>
      </c>
      <c r="D3564">
        <f t="shared" si="721"/>
        <v>-5.8182589179682281E-4</v>
      </c>
      <c r="E3564" t="str">
        <f t="shared" si="715"/>
        <v>2024-04</v>
      </c>
      <c r="G3564">
        <v>7981.51</v>
      </c>
      <c r="H3564">
        <f t="shared" si="722"/>
        <v>6.145505237032934E-3</v>
      </c>
      <c r="I3564" t="str">
        <f t="shared" si="716"/>
        <v>2024-04</v>
      </c>
      <c r="K3564">
        <v>17770.02</v>
      </c>
      <c r="L3564">
        <f t="shared" si="723"/>
        <v>2.1330331784429429E-4</v>
      </c>
      <c r="M3564" t="str">
        <f t="shared" si="717"/>
        <v>2024-04</v>
      </c>
      <c r="O3564">
        <v>9158.9359399999994</v>
      </c>
      <c r="P3564">
        <f t="shared" si="724"/>
        <v>6.9405611358074775E-4</v>
      </c>
      <c r="Q3564" t="str">
        <f t="shared" si="718"/>
        <v>2024-04</v>
      </c>
      <c r="S3564">
        <v>10633.9</v>
      </c>
      <c r="T3564">
        <f t="shared" si="725"/>
        <v>1.0113125397267796E-2</v>
      </c>
      <c r="U3564" t="str">
        <f t="shared" si="719"/>
        <v>2024-04</v>
      </c>
      <c r="W3564">
        <v>33632.71</v>
      </c>
      <c r="X3564">
        <f t="shared" si="726"/>
        <v>7.1273540267240421E-3</v>
      </c>
      <c r="Y3564">
        <f t="shared" si="727"/>
        <v>7.1528140660630799E-3</v>
      </c>
      <c r="Z3564" t="str">
        <f t="shared" si="720"/>
        <v>2024-04</v>
      </c>
    </row>
    <row r="3565" spans="1:26" x14ac:dyDescent="0.35">
      <c r="A3565" s="1">
        <v>45400</v>
      </c>
      <c r="C3565">
        <v>4936.57</v>
      </c>
      <c r="D3565">
        <f t="shared" si="721"/>
        <v>4.5560292804226743E-3</v>
      </c>
      <c r="E3565" t="str">
        <f t="shared" si="715"/>
        <v>2024-04</v>
      </c>
      <c r="G3565">
        <v>8023.26</v>
      </c>
      <c r="H3565">
        <f t="shared" si="722"/>
        <v>5.2172064578548992E-3</v>
      </c>
      <c r="I3565" t="str">
        <f t="shared" si="716"/>
        <v>2024-04</v>
      </c>
      <c r="K3565">
        <v>17837.400000000001</v>
      </c>
      <c r="L3565">
        <f t="shared" si="723"/>
        <v>3.7846089621272421E-3</v>
      </c>
      <c r="M3565" t="str">
        <f t="shared" si="717"/>
        <v>2024-04</v>
      </c>
      <c r="O3565">
        <v>9205.0497899999991</v>
      </c>
      <c r="P3565">
        <f t="shared" si="724"/>
        <v>5.0222155042022537E-3</v>
      </c>
      <c r="Q3565" t="str">
        <f t="shared" si="718"/>
        <v>2024-04</v>
      </c>
      <c r="S3565">
        <v>10765</v>
      </c>
      <c r="T3565">
        <f t="shared" si="725"/>
        <v>1.2253119577530436E-2</v>
      </c>
      <c r="U3565" t="str">
        <f t="shared" si="719"/>
        <v>2024-04</v>
      </c>
      <c r="W3565">
        <v>33881.5</v>
      </c>
      <c r="X3565">
        <f t="shared" si="726"/>
        <v>7.3700373931809464E-3</v>
      </c>
      <c r="Y3565">
        <f t="shared" si="727"/>
        <v>7.3972629621579964E-3</v>
      </c>
      <c r="Z3565" t="str">
        <f t="shared" si="720"/>
        <v>2024-04</v>
      </c>
    </row>
    <row r="3566" spans="1:26" x14ac:dyDescent="0.35">
      <c r="A3566" s="1">
        <v>45401</v>
      </c>
      <c r="C3566">
        <v>4918.09</v>
      </c>
      <c r="D3566">
        <f t="shared" si="721"/>
        <v>-3.7505143073805463E-3</v>
      </c>
      <c r="E3566" t="str">
        <f t="shared" si="715"/>
        <v>2024-04</v>
      </c>
      <c r="G3566">
        <v>8022.41</v>
      </c>
      <c r="H3566">
        <f t="shared" si="722"/>
        <v>-1.0594758595878074E-4</v>
      </c>
      <c r="I3566" t="str">
        <f t="shared" si="716"/>
        <v>2024-04</v>
      </c>
      <c r="K3566">
        <v>17737.36</v>
      </c>
      <c r="L3566">
        <f t="shared" si="723"/>
        <v>-5.6242270477561722E-3</v>
      </c>
      <c r="M3566" t="str">
        <f t="shared" si="717"/>
        <v>2024-04</v>
      </c>
      <c r="O3566">
        <v>9182.4274000000005</v>
      </c>
      <c r="P3566">
        <f t="shared" si="724"/>
        <v>-2.4606313504093431E-3</v>
      </c>
      <c r="Q3566" t="str">
        <f t="shared" si="718"/>
        <v>2024-04</v>
      </c>
      <c r="S3566">
        <v>10729.5</v>
      </c>
      <c r="T3566">
        <f t="shared" si="725"/>
        <v>-3.3031735819152438E-3</v>
      </c>
      <c r="U3566" t="str">
        <f t="shared" si="719"/>
        <v>2024-04</v>
      </c>
      <c r="W3566">
        <v>33922.160000000003</v>
      </c>
      <c r="X3566">
        <f t="shared" si="726"/>
        <v>1.1993454298449154E-3</v>
      </c>
      <c r="Y3566">
        <f t="shared" si="727"/>
        <v>1.2000649321902363E-3</v>
      </c>
      <c r="Z3566" t="str">
        <f t="shared" si="720"/>
        <v>2024-04</v>
      </c>
    </row>
    <row r="3567" spans="1:26" x14ac:dyDescent="0.35">
      <c r="A3567" s="1">
        <v>45404</v>
      </c>
      <c r="C3567">
        <v>4936.8500000000004</v>
      </c>
      <c r="D3567">
        <f t="shared" si="721"/>
        <v>3.8072322430249585E-3</v>
      </c>
      <c r="E3567" t="str">
        <f t="shared" si="715"/>
        <v>2024-04</v>
      </c>
      <c r="G3567">
        <v>8040.36</v>
      </c>
      <c r="H3567">
        <f t="shared" si="722"/>
        <v>2.2349828170245573E-3</v>
      </c>
      <c r="I3567" t="str">
        <f t="shared" si="716"/>
        <v>2024-04</v>
      </c>
      <c r="K3567">
        <v>17860.8</v>
      </c>
      <c r="L3567">
        <f t="shared" si="723"/>
        <v>6.9352177056300531E-3</v>
      </c>
      <c r="M3567" t="str">
        <f t="shared" si="717"/>
        <v>2024-04</v>
      </c>
      <c r="O3567">
        <v>9303.2888399999993</v>
      </c>
      <c r="P3567">
        <f t="shared" si="724"/>
        <v>1.3076384016615521E-2</v>
      </c>
      <c r="Q3567" t="str">
        <f t="shared" si="718"/>
        <v>2024-04</v>
      </c>
      <c r="S3567">
        <v>10890.2</v>
      </c>
      <c r="T3567">
        <f t="shared" si="725"/>
        <v>1.4866345014725699E-2</v>
      </c>
      <c r="U3567" t="str">
        <f t="shared" si="719"/>
        <v>2024-04</v>
      </c>
      <c r="W3567">
        <v>33724.82</v>
      </c>
      <c r="X3567">
        <f t="shared" si="726"/>
        <v>-5.8344233488513055E-3</v>
      </c>
      <c r="Y3567">
        <f t="shared" si="727"/>
        <v>-5.817436153829938E-3</v>
      </c>
      <c r="Z3567" t="str">
        <f t="shared" si="720"/>
        <v>2024-04</v>
      </c>
    </row>
    <row r="3568" spans="1:26" x14ac:dyDescent="0.35">
      <c r="A3568" s="1">
        <v>45405</v>
      </c>
      <c r="C3568">
        <v>5008.17</v>
      </c>
      <c r="D3568">
        <f t="shared" si="721"/>
        <v>1.4343102916975086E-2</v>
      </c>
      <c r="E3568" t="str">
        <f t="shared" si="715"/>
        <v>2024-04</v>
      </c>
      <c r="G3568">
        <v>8105.78</v>
      </c>
      <c r="H3568">
        <f t="shared" si="722"/>
        <v>8.1035291401175564E-3</v>
      </c>
      <c r="I3568" t="str">
        <f t="shared" si="716"/>
        <v>2024-04</v>
      </c>
      <c r="K3568">
        <v>18137.650000000001</v>
      </c>
      <c r="L3568">
        <f t="shared" si="723"/>
        <v>1.5381521056289395E-2</v>
      </c>
      <c r="M3568" t="str">
        <f t="shared" si="717"/>
        <v>2024-04</v>
      </c>
      <c r="O3568">
        <v>9356.7906999999996</v>
      </c>
      <c r="P3568">
        <f t="shared" si="724"/>
        <v>5.7343814097132019E-3</v>
      </c>
      <c r="Q3568" t="str">
        <f t="shared" si="718"/>
        <v>2024-04</v>
      </c>
      <c r="S3568">
        <v>11075.4</v>
      </c>
      <c r="T3568">
        <f t="shared" si="725"/>
        <v>1.6863130411335348E-2</v>
      </c>
      <c r="U3568" t="str">
        <f t="shared" si="719"/>
        <v>2024-04</v>
      </c>
      <c r="W3568">
        <v>34363.75</v>
      </c>
      <c r="X3568">
        <f t="shared" si="726"/>
        <v>1.8768164901359307E-2</v>
      </c>
      <c r="Y3568">
        <f t="shared" si="727"/>
        <v>1.8945393926490944E-2</v>
      </c>
      <c r="Z3568" t="str">
        <f t="shared" si="720"/>
        <v>2024-04</v>
      </c>
    </row>
    <row r="3569" spans="1:26" x14ac:dyDescent="0.35">
      <c r="A3569" s="1">
        <v>45406</v>
      </c>
      <c r="C3569">
        <v>4989.88</v>
      </c>
      <c r="D3569">
        <f t="shared" si="721"/>
        <v>-3.6587175304818023E-3</v>
      </c>
      <c r="E3569" t="str">
        <f t="shared" si="715"/>
        <v>2024-04</v>
      </c>
      <c r="G3569">
        <v>8091.86</v>
      </c>
      <c r="H3569">
        <f t="shared" si="722"/>
        <v>-1.7187693302030656E-3</v>
      </c>
      <c r="I3569" t="str">
        <f t="shared" si="716"/>
        <v>2024-04</v>
      </c>
      <c r="K3569">
        <v>18088.7</v>
      </c>
      <c r="L3569">
        <f t="shared" si="723"/>
        <v>-2.7024544173625642E-3</v>
      </c>
      <c r="M3569" t="str">
        <f t="shared" si="717"/>
        <v>2024-04</v>
      </c>
      <c r="O3569">
        <v>9360.2627900000007</v>
      </c>
      <c r="P3569">
        <f t="shared" si="724"/>
        <v>3.7100818691179738E-4</v>
      </c>
      <c r="Q3569" t="str">
        <f t="shared" si="718"/>
        <v>2024-04</v>
      </c>
      <c r="S3569">
        <v>11027.8</v>
      </c>
      <c r="T3569">
        <f t="shared" si="725"/>
        <v>-4.3070753180720778E-3</v>
      </c>
      <c r="U3569" t="str">
        <f t="shared" si="719"/>
        <v>2024-04</v>
      </c>
      <c r="W3569">
        <v>34271.120000000003</v>
      </c>
      <c r="X3569">
        <f t="shared" si="726"/>
        <v>-2.6992126958177761E-3</v>
      </c>
      <c r="Y3569">
        <f t="shared" si="727"/>
        <v>-2.6955730966497365E-3</v>
      </c>
      <c r="Z3569" t="str">
        <f t="shared" si="720"/>
        <v>2024-04</v>
      </c>
    </row>
    <row r="3570" spans="1:26" x14ac:dyDescent="0.35">
      <c r="A3570" s="1">
        <v>45407</v>
      </c>
      <c r="C3570">
        <v>4939.01</v>
      </c>
      <c r="D3570">
        <f t="shared" si="721"/>
        <v>-1.0246955120280158E-2</v>
      </c>
      <c r="E3570" t="str">
        <f t="shared" si="715"/>
        <v>2024-04</v>
      </c>
      <c r="G3570">
        <v>8016.65</v>
      </c>
      <c r="H3570">
        <f t="shared" si="722"/>
        <v>-9.3379892383517252E-3</v>
      </c>
      <c r="I3570" t="str">
        <f t="shared" si="716"/>
        <v>2024-04</v>
      </c>
      <c r="K3570">
        <v>17917.28</v>
      </c>
      <c r="L3570">
        <f t="shared" si="723"/>
        <v>-9.5218236053762027E-3</v>
      </c>
      <c r="M3570" t="str">
        <f t="shared" si="717"/>
        <v>2024-04</v>
      </c>
      <c r="O3570">
        <v>9421.9488299999994</v>
      </c>
      <c r="P3570">
        <f t="shared" si="724"/>
        <v>6.5685834066303381E-3</v>
      </c>
      <c r="Q3570" t="str">
        <f t="shared" si="718"/>
        <v>2024-04</v>
      </c>
      <c r="S3570">
        <v>10983.7</v>
      </c>
      <c r="T3570">
        <f t="shared" si="725"/>
        <v>-4.0070017042012455E-3</v>
      </c>
      <c r="U3570" t="str">
        <f t="shared" si="719"/>
        <v>2024-04</v>
      </c>
      <c r="W3570">
        <v>33939.75</v>
      </c>
      <c r="X3570">
        <f t="shared" si="726"/>
        <v>-9.7161231591808266E-3</v>
      </c>
      <c r="Y3570">
        <f t="shared" si="727"/>
        <v>-9.6690741358905867E-3</v>
      </c>
      <c r="Z3570" t="str">
        <f t="shared" si="720"/>
        <v>2024-04</v>
      </c>
    </row>
    <row r="3571" spans="1:26" x14ac:dyDescent="0.35">
      <c r="A3571" s="1">
        <v>45408</v>
      </c>
      <c r="C3571">
        <v>5006.8500000000004</v>
      </c>
      <c r="D3571">
        <f t="shared" si="721"/>
        <v>1.3642068582543652E-2</v>
      </c>
      <c r="E3571" t="str">
        <f t="shared" si="715"/>
        <v>2024-04</v>
      </c>
      <c r="G3571">
        <v>8088.24</v>
      </c>
      <c r="H3571">
        <f t="shared" si="722"/>
        <v>8.8905259890022046E-3</v>
      </c>
      <c r="I3571" t="str">
        <f t="shared" si="716"/>
        <v>2024-04</v>
      </c>
      <c r="K3571">
        <v>18161.009999999998</v>
      </c>
      <c r="L3571">
        <f t="shared" si="723"/>
        <v>1.351137805480037E-2</v>
      </c>
      <c r="M3571" t="str">
        <f t="shared" si="717"/>
        <v>2024-04</v>
      </c>
      <c r="O3571">
        <v>9504.45975</v>
      </c>
      <c r="P3571">
        <f t="shared" si="724"/>
        <v>8.7191864622613996E-3</v>
      </c>
      <c r="Q3571" t="str">
        <f t="shared" si="718"/>
        <v>2024-04</v>
      </c>
      <c r="S3571">
        <v>11154.6</v>
      </c>
      <c r="T3571">
        <f t="shared" si="725"/>
        <v>1.5439613243890496E-2</v>
      </c>
      <c r="U3571" t="str">
        <f t="shared" si="719"/>
        <v>2024-04</v>
      </c>
      <c r="W3571">
        <v>34249.769999999997</v>
      </c>
      <c r="X3571">
        <f t="shared" si="726"/>
        <v>9.0929555181615412E-3</v>
      </c>
      <c r="Y3571">
        <f t="shared" si="727"/>
        <v>9.1344220272688154E-3</v>
      </c>
      <c r="Z3571" t="str">
        <f t="shared" si="720"/>
        <v>2024-04</v>
      </c>
    </row>
    <row r="3572" spans="1:26" x14ac:dyDescent="0.35">
      <c r="A3572" s="1">
        <v>45411</v>
      </c>
      <c r="C3572">
        <v>4981.09</v>
      </c>
      <c r="D3572">
        <f t="shared" si="721"/>
        <v>-5.1582322515168443E-3</v>
      </c>
      <c r="E3572" t="str">
        <f t="shared" si="715"/>
        <v>2024-04</v>
      </c>
      <c r="G3572">
        <v>8065.15</v>
      </c>
      <c r="H3572">
        <f t="shared" si="722"/>
        <v>-2.8588445801404462E-3</v>
      </c>
      <c r="I3572" t="str">
        <f t="shared" si="716"/>
        <v>2024-04</v>
      </c>
      <c r="K3572">
        <v>18118.32</v>
      </c>
      <c r="L3572">
        <f t="shared" si="723"/>
        <v>-2.353407281959262E-3</v>
      </c>
      <c r="M3572" t="str">
        <f t="shared" si="717"/>
        <v>2024-04</v>
      </c>
      <c r="O3572">
        <v>9542.3399100000006</v>
      </c>
      <c r="P3572">
        <f t="shared" si="724"/>
        <v>3.9775931514787572E-3</v>
      </c>
      <c r="Q3572" t="str">
        <f t="shared" si="718"/>
        <v>2024-04</v>
      </c>
      <c r="S3572">
        <v>11100.8</v>
      </c>
      <c r="T3572">
        <f t="shared" si="725"/>
        <v>-4.8347910887960414E-3</v>
      </c>
      <c r="U3572" t="str">
        <f t="shared" si="719"/>
        <v>2024-04</v>
      </c>
      <c r="W3572">
        <v>34296.31</v>
      </c>
      <c r="X3572">
        <f t="shared" si="726"/>
        <v>1.3579188525859234E-3</v>
      </c>
      <c r="Y3572">
        <f t="shared" si="727"/>
        <v>1.3588412418536206E-3</v>
      </c>
      <c r="Z3572" t="str">
        <f t="shared" si="720"/>
        <v>2024-04</v>
      </c>
    </row>
    <row r="3573" spans="1:26" x14ac:dyDescent="0.35">
      <c r="A3573" s="1">
        <v>45412</v>
      </c>
      <c r="C3573">
        <v>4921.22</v>
      </c>
      <c r="D3573">
        <f t="shared" si="721"/>
        <v>-1.2092275343783997E-2</v>
      </c>
      <c r="E3573" t="str">
        <f t="shared" si="715"/>
        <v>2024-04</v>
      </c>
      <c r="G3573">
        <v>7984.93</v>
      </c>
      <c r="H3573">
        <f t="shared" si="722"/>
        <v>-9.9962950968011145E-3</v>
      </c>
      <c r="I3573" t="str">
        <f t="shared" si="716"/>
        <v>2024-04</v>
      </c>
      <c r="K3573">
        <v>17932.169999999998</v>
      </c>
      <c r="L3573">
        <f t="shared" si="723"/>
        <v>-1.0327274577711492E-2</v>
      </c>
      <c r="M3573" t="str">
        <f t="shared" si="717"/>
        <v>2024-04</v>
      </c>
      <c r="O3573">
        <v>9538.2183600000008</v>
      </c>
      <c r="P3573">
        <f t="shared" si="724"/>
        <v>-4.3201566807226895E-4</v>
      </c>
      <c r="Q3573" t="str">
        <f t="shared" si="718"/>
        <v>2024-04</v>
      </c>
      <c r="S3573">
        <v>10854.4</v>
      </c>
      <c r="T3573">
        <f t="shared" si="725"/>
        <v>-2.2446650057956003E-2</v>
      </c>
      <c r="U3573" t="str">
        <f t="shared" si="719"/>
        <v>2024-04</v>
      </c>
      <c r="W3573">
        <v>33746.660000000003</v>
      </c>
      <c r="X3573">
        <f t="shared" si="726"/>
        <v>-1.6156318751386112E-2</v>
      </c>
      <c r="Y3573">
        <f t="shared" si="727"/>
        <v>-1.6026505475370215E-2</v>
      </c>
      <c r="Z3573" t="str">
        <f t="shared" si="720"/>
        <v>2024-04</v>
      </c>
    </row>
    <row r="3574" spans="1:26" x14ac:dyDescent="0.35">
      <c r="A3574" s="1">
        <v>45414</v>
      </c>
      <c r="C3574">
        <v>4890.6099999999997</v>
      </c>
      <c r="D3574">
        <f t="shared" si="721"/>
        <v>-6.2394271619114466E-3</v>
      </c>
      <c r="E3574" t="str">
        <f t="shared" si="715"/>
        <v>2024-05</v>
      </c>
      <c r="G3574">
        <v>7914.65</v>
      </c>
      <c r="H3574">
        <f t="shared" si="722"/>
        <v>-8.8405426719860795E-3</v>
      </c>
      <c r="I3574" t="str">
        <f t="shared" si="716"/>
        <v>2024-05</v>
      </c>
      <c r="K3574">
        <v>17896.5</v>
      </c>
      <c r="L3574">
        <f t="shared" si="723"/>
        <v>-1.9911435051832914E-3</v>
      </c>
      <c r="M3574" t="str">
        <f t="shared" si="717"/>
        <v>2024-05</v>
      </c>
      <c r="O3574">
        <v>9543.9609400000008</v>
      </c>
      <c r="P3574">
        <f t="shared" si="724"/>
        <v>6.0187886122201539E-4</v>
      </c>
      <c r="Q3574" t="str">
        <f t="shared" si="718"/>
        <v>2024-05</v>
      </c>
      <c r="S3574">
        <v>10872</v>
      </c>
      <c r="T3574">
        <f t="shared" si="725"/>
        <v>1.6201491135051948E-3</v>
      </c>
      <c r="U3574" t="str">
        <f t="shared" si="719"/>
        <v>2024-05</v>
      </c>
      <c r="W3574">
        <v>33736.400000000001</v>
      </c>
      <c r="X3574">
        <f t="shared" si="726"/>
        <v>-3.0407631423525654E-4</v>
      </c>
      <c r="Y3574">
        <f t="shared" si="727"/>
        <v>-3.0403008771837082E-4</v>
      </c>
      <c r="Z3574" t="str">
        <f t="shared" si="720"/>
        <v>2024-05</v>
      </c>
    </row>
    <row r="3575" spans="1:26" x14ac:dyDescent="0.35">
      <c r="A3575" s="1">
        <v>45415</v>
      </c>
      <c r="C3575">
        <v>4921.4799999999996</v>
      </c>
      <c r="D3575">
        <f t="shared" si="721"/>
        <v>6.29225819405919E-3</v>
      </c>
      <c r="E3575" t="str">
        <f t="shared" si="715"/>
        <v>2024-05</v>
      </c>
      <c r="G3575">
        <v>7957.57</v>
      </c>
      <c r="H3575">
        <f t="shared" si="722"/>
        <v>5.4082043485670648E-3</v>
      </c>
      <c r="I3575" t="str">
        <f t="shared" si="716"/>
        <v>2024-05</v>
      </c>
      <c r="K3575">
        <v>18001.599999999999</v>
      </c>
      <c r="L3575">
        <f t="shared" si="723"/>
        <v>5.855479832842697E-3</v>
      </c>
      <c r="M3575" t="str">
        <f t="shared" si="717"/>
        <v>2024-05</v>
      </c>
      <c r="O3575">
        <v>9570.9592200000006</v>
      </c>
      <c r="P3575">
        <f t="shared" si="724"/>
        <v>2.8248402532935453E-3</v>
      </c>
      <c r="Q3575" t="str">
        <f t="shared" si="718"/>
        <v>2024-05</v>
      </c>
      <c r="S3575">
        <v>10854.7</v>
      </c>
      <c r="T3575">
        <f t="shared" si="725"/>
        <v>-1.5925109341222278E-3</v>
      </c>
      <c r="U3575" t="str">
        <f t="shared" si="719"/>
        <v>2024-05</v>
      </c>
      <c r="W3575">
        <v>33629.21</v>
      </c>
      <c r="X3575">
        <f t="shared" si="726"/>
        <v>-3.182338598638256E-3</v>
      </c>
      <c r="Y3575">
        <f t="shared" si="727"/>
        <v>-3.1772803262945164E-3</v>
      </c>
      <c r="Z3575" t="str">
        <f t="shared" si="720"/>
        <v>2024-05</v>
      </c>
    </row>
    <row r="3576" spans="1:26" x14ac:dyDescent="0.35">
      <c r="A3576" s="1">
        <v>45419</v>
      </c>
      <c r="C3576">
        <v>5016.1000000000004</v>
      </c>
      <c r="D3576">
        <f t="shared" si="721"/>
        <v>1.9043441058857784E-2</v>
      </c>
      <c r="E3576" t="str">
        <f t="shared" si="715"/>
        <v>2024-05</v>
      </c>
      <c r="G3576">
        <v>8075.68</v>
      </c>
      <c r="H3576">
        <f t="shared" si="722"/>
        <v>1.473339922146673E-2</v>
      </c>
      <c r="I3576" t="str">
        <f t="shared" si="716"/>
        <v>2024-05</v>
      </c>
      <c r="K3576">
        <v>18430.05</v>
      </c>
      <c r="L3576">
        <f t="shared" si="723"/>
        <v>2.3521841811368446E-2</v>
      </c>
      <c r="M3576" t="str">
        <f t="shared" si="717"/>
        <v>2024-05</v>
      </c>
      <c r="O3576">
        <v>9669.9483799999998</v>
      </c>
      <c r="P3576">
        <f t="shared" si="724"/>
        <v>1.0289538874803612E-2</v>
      </c>
      <c r="Q3576" t="str">
        <f t="shared" si="718"/>
        <v>2024-05</v>
      </c>
      <c r="S3576">
        <v>11080.9</v>
      </c>
      <c r="T3576">
        <f t="shared" si="725"/>
        <v>2.0624739542470953E-2</v>
      </c>
      <c r="U3576" t="str">
        <f t="shared" si="719"/>
        <v>2024-05</v>
      </c>
      <c r="W3576">
        <v>34242.49</v>
      </c>
      <c r="X3576">
        <f t="shared" si="726"/>
        <v>1.8072236046499119E-2</v>
      </c>
      <c r="Y3576">
        <f t="shared" si="727"/>
        <v>1.8236527114374641E-2</v>
      </c>
      <c r="Z3576" t="str">
        <f t="shared" si="720"/>
        <v>2024-05</v>
      </c>
    </row>
    <row r="3577" spans="1:26" x14ac:dyDescent="0.35">
      <c r="A3577" s="1">
        <v>45420</v>
      </c>
      <c r="C3577">
        <v>5038.17</v>
      </c>
      <c r="D3577">
        <f t="shared" si="721"/>
        <v>4.3901815741021763E-3</v>
      </c>
      <c r="E3577" t="str">
        <f t="shared" si="715"/>
        <v>2024-05</v>
      </c>
      <c r="G3577">
        <v>8131.41</v>
      </c>
      <c r="H3577">
        <f t="shared" si="722"/>
        <v>6.8772641669631101E-3</v>
      </c>
      <c r="I3577" t="str">
        <f t="shared" si="716"/>
        <v>2024-05</v>
      </c>
      <c r="K3577">
        <v>18498.38</v>
      </c>
      <c r="L3577">
        <f t="shared" si="723"/>
        <v>3.7006760364096209E-3</v>
      </c>
      <c r="M3577" t="str">
        <f t="shared" si="717"/>
        <v>2024-05</v>
      </c>
      <c r="O3577">
        <v>9716.0726699999996</v>
      </c>
      <c r="P3577">
        <f t="shared" si="724"/>
        <v>4.758519235653228E-3</v>
      </c>
      <c r="Q3577" t="str">
        <f t="shared" si="718"/>
        <v>2024-05</v>
      </c>
      <c r="S3577">
        <v>11153</v>
      </c>
      <c r="T3577">
        <f t="shared" si="725"/>
        <v>6.485614555208746E-3</v>
      </c>
      <c r="U3577" t="str">
        <f t="shared" si="719"/>
        <v>2024-05</v>
      </c>
      <c r="W3577">
        <v>34151.410000000003</v>
      </c>
      <c r="X3577">
        <f t="shared" si="726"/>
        <v>-2.66339699420695E-3</v>
      </c>
      <c r="Y3577">
        <f t="shared" si="727"/>
        <v>-2.6598532992196094E-3</v>
      </c>
      <c r="Z3577" t="str">
        <f t="shared" si="720"/>
        <v>2024-05</v>
      </c>
    </row>
    <row r="3578" spans="1:26" x14ac:dyDescent="0.35">
      <c r="A3578" s="1">
        <v>45421</v>
      </c>
      <c r="C3578">
        <v>5054.41</v>
      </c>
      <c r="D3578">
        <f t="shared" si="721"/>
        <v>3.2182086277820284E-3</v>
      </c>
      <c r="E3578" t="str">
        <f t="shared" si="715"/>
        <v>2024-05</v>
      </c>
      <c r="G3578">
        <v>8187.65</v>
      </c>
      <c r="H3578">
        <f t="shared" si="722"/>
        <v>6.8925811477451087E-3</v>
      </c>
      <c r="I3578" t="str">
        <f t="shared" si="716"/>
        <v>2024-05</v>
      </c>
      <c r="K3578">
        <v>18686.599999999999</v>
      </c>
      <c r="L3578">
        <f t="shared" si="723"/>
        <v>1.0123528773583993E-2</v>
      </c>
      <c r="M3578" t="str">
        <f t="shared" si="717"/>
        <v>2024-05</v>
      </c>
      <c r="O3578">
        <v>9733.1304700000001</v>
      </c>
      <c r="P3578">
        <f t="shared" si="724"/>
        <v>1.7540877382859362E-3</v>
      </c>
      <c r="Q3578" t="str">
        <f t="shared" si="718"/>
        <v>2024-05</v>
      </c>
      <c r="S3578">
        <v>11050.1</v>
      </c>
      <c r="T3578">
        <f t="shared" si="725"/>
        <v>-9.2690423158313384E-3</v>
      </c>
      <c r="U3578" t="str">
        <f t="shared" si="719"/>
        <v>2024-05</v>
      </c>
      <c r="W3578">
        <v>34339.32</v>
      </c>
      <c r="X3578">
        <f t="shared" si="726"/>
        <v>5.4871796952322468E-3</v>
      </c>
      <c r="Y3578">
        <f t="shared" si="727"/>
        <v>5.502261839262162E-3</v>
      </c>
      <c r="Z3578" t="str">
        <f t="shared" si="720"/>
        <v>2024-05</v>
      </c>
    </row>
    <row r="3579" spans="1:26" x14ac:dyDescent="0.35">
      <c r="A3579" s="1">
        <v>45422</v>
      </c>
      <c r="C3579">
        <v>5085.08</v>
      </c>
      <c r="D3579">
        <f t="shared" si="721"/>
        <v>6.0496323855467734E-3</v>
      </c>
      <c r="E3579" t="str">
        <f t="shared" si="715"/>
        <v>2024-05</v>
      </c>
      <c r="G3579">
        <v>8219.14</v>
      </c>
      <c r="H3579">
        <f t="shared" si="722"/>
        <v>3.838659319451061E-3</v>
      </c>
      <c r="I3579" t="str">
        <f t="shared" si="716"/>
        <v>2024-05</v>
      </c>
      <c r="K3579">
        <v>18772.849999999999</v>
      </c>
      <c r="L3579">
        <f t="shared" si="723"/>
        <v>4.6049876555813067E-3</v>
      </c>
      <c r="M3579" t="str">
        <f t="shared" si="717"/>
        <v>2024-05</v>
      </c>
      <c r="O3579">
        <v>9810.4288799999995</v>
      </c>
      <c r="P3579">
        <f t="shared" si="724"/>
        <v>7.910413010434738E-3</v>
      </c>
      <c r="Q3579" t="str">
        <f t="shared" si="718"/>
        <v>2024-05</v>
      </c>
      <c r="S3579">
        <v>11105.5</v>
      </c>
      <c r="T3579">
        <f t="shared" si="725"/>
        <v>5.0010033998579232E-3</v>
      </c>
      <c r="U3579" t="str">
        <f t="shared" si="719"/>
        <v>2024-05</v>
      </c>
      <c r="W3579">
        <v>34657.35</v>
      </c>
      <c r="X3579">
        <f t="shared" si="726"/>
        <v>9.218771060440405E-3</v>
      </c>
      <c r="Y3579">
        <f t="shared" si="727"/>
        <v>9.2613948092157578E-3</v>
      </c>
      <c r="Z3579" t="str">
        <f t="shared" si="720"/>
        <v>2024-05</v>
      </c>
    </row>
    <row r="3580" spans="1:26" x14ac:dyDescent="0.35">
      <c r="A3580" s="1">
        <v>45425</v>
      </c>
      <c r="C3580">
        <v>5078.96</v>
      </c>
      <c r="D3580">
        <f t="shared" si="721"/>
        <v>-1.2042457014348259E-3</v>
      </c>
      <c r="E3580" t="str">
        <f t="shared" si="715"/>
        <v>2024-05</v>
      </c>
      <c r="G3580">
        <v>8209.2800000000007</v>
      </c>
      <c r="H3580">
        <f t="shared" si="722"/>
        <v>-1.2003590343937077E-3</v>
      </c>
      <c r="I3580" t="str">
        <f t="shared" si="716"/>
        <v>2024-05</v>
      </c>
      <c r="K3580">
        <v>18742.22</v>
      </c>
      <c r="L3580">
        <f t="shared" si="723"/>
        <v>-1.6329441371830539E-3</v>
      </c>
      <c r="M3580" t="str">
        <f t="shared" si="717"/>
        <v>2024-05</v>
      </c>
      <c r="O3580">
        <v>9792.5411700000004</v>
      </c>
      <c r="P3580">
        <f t="shared" si="724"/>
        <v>-1.8250004891246323E-3</v>
      </c>
      <c r="Q3580" t="str">
        <f t="shared" si="718"/>
        <v>2024-05</v>
      </c>
      <c r="S3580">
        <v>11152</v>
      </c>
      <c r="T3580">
        <f t="shared" si="725"/>
        <v>4.1783729217416288E-3</v>
      </c>
      <c r="U3580" t="str">
        <f t="shared" si="719"/>
        <v>2024-05</v>
      </c>
      <c r="W3580">
        <v>34815.910000000003</v>
      </c>
      <c r="X3580">
        <f t="shared" si="726"/>
        <v>4.564641858243932E-3</v>
      </c>
      <c r="Y3580">
        <f t="shared" si="727"/>
        <v>4.575075705442134E-3</v>
      </c>
      <c r="Z3580" t="str">
        <f t="shared" si="720"/>
        <v>2024-05</v>
      </c>
    </row>
    <row r="3581" spans="1:26" x14ac:dyDescent="0.35">
      <c r="A3581" s="1">
        <v>45426</v>
      </c>
      <c r="C3581">
        <v>5080.29</v>
      </c>
      <c r="D3581">
        <f t="shared" si="721"/>
        <v>2.6183035314573244E-4</v>
      </c>
      <c r="E3581" t="str">
        <f t="shared" si="715"/>
        <v>2024-05</v>
      </c>
      <c r="G3581">
        <v>8225.7999999999993</v>
      </c>
      <c r="H3581">
        <f t="shared" si="722"/>
        <v>2.0103346699525812E-3</v>
      </c>
      <c r="I3581" t="str">
        <f t="shared" si="716"/>
        <v>2024-05</v>
      </c>
      <c r="K3581">
        <v>18716.419999999998</v>
      </c>
      <c r="L3581">
        <f t="shared" si="723"/>
        <v>-1.3775195297938126E-3</v>
      </c>
      <c r="M3581" t="str">
        <f t="shared" si="717"/>
        <v>2024-05</v>
      </c>
      <c r="O3581">
        <v>9805.6777299999994</v>
      </c>
      <c r="P3581">
        <f t="shared" si="724"/>
        <v>1.3405873293302602E-3</v>
      </c>
      <c r="Q3581" t="str">
        <f t="shared" si="718"/>
        <v>2024-05</v>
      </c>
      <c r="S3581">
        <v>11239.3</v>
      </c>
      <c r="T3581">
        <f t="shared" si="725"/>
        <v>7.7977109279767495E-3</v>
      </c>
      <c r="U3581" t="str">
        <f t="shared" si="719"/>
        <v>2024-05</v>
      </c>
      <c r="W3581">
        <v>35151.42</v>
      </c>
      <c r="X3581">
        <f t="shared" si="726"/>
        <v>9.5905495219606104E-3</v>
      </c>
      <c r="Y3581">
        <f t="shared" si="727"/>
        <v>9.6366862161579216E-3</v>
      </c>
      <c r="Z3581" t="str">
        <f t="shared" si="720"/>
        <v>2024-05</v>
      </c>
    </row>
    <row r="3582" spans="1:26" x14ac:dyDescent="0.35">
      <c r="A3582" s="1">
        <v>45427</v>
      </c>
      <c r="C3582">
        <v>5100.8999999999996</v>
      </c>
      <c r="D3582">
        <f t="shared" si="721"/>
        <v>4.0486481742275883E-3</v>
      </c>
      <c r="E3582" t="str">
        <f t="shared" si="715"/>
        <v>2024-05</v>
      </c>
      <c r="G3582">
        <v>8239.99</v>
      </c>
      <c r="H3582">
        <f t="shared" si="722"/>
        <v>1.7235739691640415E-3</v>
      </c>
      <c r="I3582" t="str">
        <f t="shared" si="716"/>
        <v>2024-05</v>
      </c>
      <c r="K3582">
        <v>18869.36</v>
      </c>
      <c r="L3582">
        <f t="shared" si="723"/>
        <v>8.138229091441922E-3</v>
      </c>
      <c r="M3582" t="str">
        <f t="shared" si="717"/>
        <v>2024-05</v>
      </c>
      <c r="O3582">
        <v>9845.6649400000006</v>
      </c>
      <c r="P3582">
        <f t="shared" si="724"/>
        <v>4.0696725777244151E-3</v>
      </c>
      <c r="Q3582" t="str">
        <f t="shared" si="718"/>
        <v>2024-05</v>
      </c>
      <c r="S3582">
        <v>11362.8</v>
      </c>
      <c r="T3582">
        <f t="shared" si="725"/>
        <v>1.092829684917295E-2</v>
      </c>
      <c r="U3582" t="str">
        <f t="shared" si="719"/>
        <v>2024-05</v>
      </c>
      <c r="W3582">
        <v>35366.199999999997</v>
      </c>
      <c r="X3582">
        <f t="shared" si="726"/>
        <v>6.0915460320936816E-3</v>
      </c>
      <c r="Y3582">
        <f t="shared" si="727"/>
        <v>6.1101372291645362E-3</v>
      </c>
      <c r="Z3582" t="str">
        <f t="shared" si="720"/>
        <v>2024-05</v>
      </c>
    </row>
    <row r="3583" spans="1:26" x14ac:dyDescent="0.35">
      <c r="A3583" s="1">
        <v>45428</v>
      </c>
      <c r="C3583">
        <v>5072.45</v>
      </c>
      <c r="D3583">
        <f t="shared" si="721"/>
        <v>-5.5930591526106794E-3</v>
      </c>
      <c r="E3583" t="str">
        <f t="shared" si="715"/>
        <v>2024-05</v>
      </c>
      <c r="G3583">
        <v>8188.49</v>
      </c>
      <c r="H3583">
        <f t="shared" si="722"/>
        <v>-6.2696206462602173E-3</v>
      </c>
      <c r="I3583" t="str">
        <f t="shared" si="716"/>
        <v>2024-05</v>
      </c>
      <c r="K3583">
        <v>18738.810000000001</v>
      </c>
      <c r="L3583">
        <f t="shared" si="723"/>
        <v>-6.9426682756647557E-3</v>
      </c>
      <c r="M3583" t="str">
        <f t="shared" si="717"/>
        <v>2024-05</v>
      </c>
      <c r="O3583">
        <v>9835.6489899999997</v>
      </c>
      <c r="P3583">
        <f t="shared" si="724"/>
        <v>-1.0178132314018489E-3</v>
      </c>
      <c r="Q3583" t="str">
        <f t="shared" si="718"/>
        <v>2024-05</v>
      </c>
      <c r="S3583">
        <v>11299.3</v>
      </c>
      <c r="T3583">
        <f t="shared" si="725"/>
        <v>-5.6040848984662914E-3</v>
      </c>
      <c r="U3583" t="str">
        <f t="shared" si="719"/>
        <v>2024-05</v>
      </c>
      <c r="W3583">
        <v>35410.129999999997</v>
      </c>
      <c r="X3583">
        <f t="shared" si="726"/>
        <v>1.2413756305644178E-3</v>
      </c>
      <c r="Y3583">
        <f t="shared" si="727"/>
        <v>1.2421464562209197E-3</v>
      </c>
      <c r="Z3583" t="str">
        <f t="shared" si="720"/>
        <v>2024-05</v>
      </c>
    </row>
    <row r="3584" spans="1:26" x14ac:dyDescent="0.35">
      <c r="A3584" s="1">
        <v>45429</v>
      </c>
      <c r="C3584">
        <v>5064.1400000000003</v>
      </c>
      <c r="D3584">
        <f t="shared" si="721"/>
        <v>-1.6396050075321484E-3</v>
      </c>
      <c r="E3584" t="str">
        <f t="shared" si="715"/>
        <v>2024-05</v>
      </c>
      <c r="G3584">
        <v>8167.5</v>
      </c>
      <c r="H3584">
        <f t="shared" si="722"/>
        <v>-2.566645189062459E-3</v>
      </c>
      <c r="I3584" t="str">
        <f t="shared" si="716"/>
        <v>2024-05</v>
      </c>
      <c r="K3584">
        <v>18704.419999999998</v>
      </c>
      <c r="L3584">
        <f t="shared" si="723"/>
        <v>-1.8369146929929215E-3</v>
      </c>
      <c r="M3584" t="str">
        <f t="shared" si="717"/>
        <v>2024-05</v>
      </c>
      <c r="O3584">
        <v>9839.5180999999993</v>
      </c>
      <c r="P3584">
        <f t="shared" si="724"/>
        <v>3.9329882507984758E-4</v>
      </c>
      <c r="Q3584" t="str">
        <f t="shared" si="718"/>
        <v>2024-05</v>
      </c>
      <c r="S3584">
        <v>11327.7</v>
      </c>
      <c r="T3584">
        <f t="shared" si="725"/>
        <v>2.5102766529829651E-3</v>
      </c>
      <c r="U3584" t="str">
        <f t="shared" si="719"/>
        <v>2024-05</v>
      </c>
      <c r="W3584">
        <v>35398.82</v>
      </c>
      <c r="X3584">
        <f t="shared" si="726"/>
        <v>-3.1945114554527137E-4</v>
      </c>
      <c r="Y3584">
        <f t="shared" si="727"/>
        <v>-3.1940012646092155E-4</v>
      </c>
      <c r="Z3584" t="str">
        <f t="shared" si="720"/>
        <v>2024-05</v>
      </c>
    </row>
    <row r="3585" spans="1:26" x14ac:dyDescent="0.35">
      <c r="A3585" s="1">
        <v>45432</v>
      </c>
      <c r="C3585">
        <v>5074.34</v>
      </c>
      <c r="D3585">
        <f t="shared" si="721"/>
        <v>2.0121366203590279E-3</v>
      </c>
      <c r="E3585" t="str">
        <f t="shared" si="715"/>
        <v>2024-05</v>
      </c>
      <c r="G3585">
        <v>8195.9699999999993</v>
      </c>
      <c r="H3585">
        <f t="shared" si="722"/>
        <v>3.4797055547577654E-3</v>
      </c>
      <c r="I3585" t="str">
        <f t="shared" si="716"/>
        <v>2024-05</v>
      </c>
      <c r="K3585">
        <v>18768.96</v>
      </c>
      <c r="L3585">
        <f t="shared" si="723"/>
        <v>3.4445819306767184E-3</v>
      </c>
      <c r="M3585" t="str">
        <f t="shared" si="717"/>
        <v>2024-05</v>
      </c>
      <c r="O3585">
        <v>9860.0198400000008</v>
      </c>
      <c r="P3585">
        <f t="shared" si="724"/>
        <v>2.0814444952237973E-3</v>
      </c>
      <c r="Q3585" t="str">
        <f t="shared" si="718"/>
        <v>2024-05</v>
      </c>
      <c r="S3585">
        <v>11339.5</v>
      </c>
      <c r="T3585">
        <f t="shared" si="725"/>
        <v>1.0411520669451474E-3</v>
      </c>
      <c r="U3585" t="str">
        <f t="shared" si="719"/>
        <v>2024-05</v>
      </c>
      <c r="W3585">
        <v>34825.01</v>
      </c>
      <c r="X3585">
        <f t="shared" si="726"/>
        <v>-1.6342679434963397E-2</v>
      </c>
      <c r="Y3585">
        <f t="shared" si="727"/>
        <v>-1.620986236264366E-2</v>
      </c>
      <c r="Z3585" t="str">
        <f t="shared" si="720"/>
        <v>2024-05</v>
      </c>
    </row>
    <row r="3586" spans="1:26" x14ac:dyDescent="0.35">
      <c r="A3586" s="1">
        <v>45433</v>
      </c>
      <c r="C3586">
        <v>5046.99</v>
      </c>
      <c r="D3586">
        <f t="shared" si="721"/>
        <v>-5.4044412285408237E-3</v>
      </c>
      <c r="E3586" t="str">
        <f t="shared" si="715"/>
        <v>2024-05</v>
      </c>
      <c r="G3586">
        <v>8141.46</v>
      </c>
      <c r="H3586">
        <f t="shared" si="722"/>
        <v>-6.6730449373290568E-3</v>
      </c>
      <c r="I3586" t="str">
        <f t="shared" si="716"/>
        <v>2024-05</v>
      </c>
      <c r="K3586">
        <v>18726.759999999998</v>
      </c>
      <c r="L3586">
        <f t="shared" si="723"/>
        <v>-2.2509245224659486E-3</v>
      </c>
      <c r="M3586" t="str">
        <f t="shared" si="717"/>
        <v>2024-05</v>
      </c>
      <c r="O3586">
        <v>9854.0857400000004</v>
      </c>
      <c r="P3586">
        <f t="shared" si="724"/>
        <v>-6.0201566387489539E-4</v>
      </c>
      <c r="Q3586" t="str">
        <f t="shared" si="718"/>
        <v>2024-05</v>
      </c>
      <c r="S3586">
        <v>11334.9</v>
      </c>
      <c r="T3586">
        <f t="shared" si="725"/>
        <v>-4.0574392822806258E-4</v>
      </c>
      <c r="U3586" t="str">
        <f t="shared" si="719"/>
        <v>2024-05</v>
      </c>
      <c r="W3586">
        <v>34603.61</v>
      </c>
      <c r="X3586">
        <f t="shared" si="726"/>
        <v>-6.377794934614568E-3</v>
      </c>
      <c r="Y3586">
        <f t="shared" si="727"/>
        <v>-6.3574999691314218E-3</v>
      </c>
      <c r="Z3586" t="str">
        <f t="shared" si="720"/>
        <v>2024-05</v>
      </c>
    </row>
    <row r="3587" spans="1:26" x14ac:dyDescent="0.35">
      <c r="A3587" s="1">
        <v>45434</v>
      </c>
      <c r="C3587">
        <v>5025.17</v>
      </c>
      <c r="D3587">
        <f t="shared" si="721"/>
        <v>-4.3327417624276316E-3</v>
      </c>
      <c r="E3587" t="str">
        <f t="shared" si="715"/>
        <v>2024-05</v>
      </c>
      <c r="G3587">
        <v>8092.11</v>
      </c>
      <c r="H3587">
        <f t="shared" si="722"/>
        <v>-6.0800122246477848E-3</v>
      </c>
      <c r="I3587" t="str">
        <f t="shared" si="716"/>
        <v>2024-05</v>
      </c>
      <c r="K3587">
        <v>18680.2</v>
      </c>
      <c r="L3587">
        <f t="shared" si="723"/>
        <v>-2.4893775941353018E-3</v>
      </c>
      <c r="M3587" t="str">
        <f t="shared" si="717"/>
        <v>2024-05</v>
      </c>
      <c r="O3587">
        <v>9837.8202999999994</v>
      </c>
      <c r="P3587">
        <f t="shared" si="724"/>
        <v>-1.651992820410769E-3</v>
      </c>
      <c r="Q3587" t="str">
        <f t="shared" si="718"/>
        <v>2024-05</v>
      </c>
      <c r="S3587">
        <v>11329</v>
      </c>
      <c r="T3587">
        <f t="shared" si="725"/>
        <v>-5.2065179719991655E-4</v>
      </c>
      <c r="U3587" t="str">
        <f t="shared" si="719"/>
        <v>2024-05</v>
      </c>
      <c r="W3587">
        <v>34460.519999999997</v>
      </c>
      <c r="X3587">
        <f t="shared" si="726"/>
        <v>-4.1436909359451142E-3</v>
      </c>
      <c r="Y3587">
        <f t="shared" si="727"/>
        <v>-4.1351176943678356E-3</v>
      </c>
      <c r="Z3587" t="str">
        <f t="shared" si="720"/>
        <v>2024-05</v>
      </c>
    </row>
    <row r="3588" spans="1:26" x14ac:dyDescent="0.35">
      <c r="A3588" s="1">
        <v>45435</v>
      </c>
      <c r="C3588">
        <v>5037.6000000000004</v>
      </c>
      <c r="D3588">
        <f t="shared" si="721"/>
        <v>2.4704939737354918E-3</v>
      </c>
      <c r="E3588" t="str">
        <f t="shared" ref="E3588:E3651" si="728">_xlfn.CONCAT(YEAR(A3588),"-",TEXT(MONTH(A3588),"00"))</f>
        <v>2024-05</v>
      </c>
      <c r="G3588">
        <v>8102.33</v>
      </c>
      <c r="H3588">
        <f t="shared" si="722"/>
        <v>1.2621617489398361E-3</v>
      </c>
      <c r="I3588" t="str">
        <f t="shared" ref="I3588:I3651" si="729">_xlfn.CONCAT(YEAR(A3588),"-",TEXT(MONTH(A3588),"00"))</f>
        <v>2024-05</v>
      </c>
      <c r="K3588">
        <v>18691.32</v>
      </c>
      <c r="L3588">
        <f t="shared" si="723"/>
        <v>5.9510559528631554E-4</v>
      </c>
      <c r="M3588" t="str">
        <f t="shared" ref="M3588:M3651" si="730">_xlfn.CONCAT(YEAR(A3588),"-",TEXT(MONTH(A3588),"00"))</f>
        <v>2024-05</v>
      </c>
      <c r="O3588">
        <v>9799.2504900000004</v>
      </c>
      <c r="P3588">
        <f t="shared" si="724"/>
        <v>-3.9282701591292013E-3</v>
      </c>
      <c r="Q3588" t="str">
        <f t="shared" ref="Q3588:Q3651" si="731">_xlfn.CONCAT(YEAR(A3588),"-",TEXT(MONTH(A3588),"00"))</f>
        <v>2024-05</v>
      </c>
      <c r="S3588">
        <v>11311.1</v>
      </c>
      <c r="T3588">
        <f t="shared" si="725"/>
        <v>-1.5812654299021437E-3</v>
      </c>
      <c r="U3588" t="str">
        <f t="shared" ref="U3588:U3651" si="732">_xlfn.CONCAT(YEAR(A3588),"-",TEXT(MONTH(A3588),"00"))</f>
        <v>2024-05</v>
      </c>
      <c r="W3588">
        <v>34467.67</v>
      </c>
      <c r="X3588">
        <f t="shared" si="726"/>
        <v>2.0746228867019276E-4</v>
      </c>
      <c r="Y3588">
        <f t="shared" si="727"/>
        <v>2.074838104590835E-4</v>
      </c>
      <c r="Z3588" t="str">
        <f t="shared" ref="Z3588:Z3651" si="733">_xlfn.CONCAT(YEAR(A3588),"-",TEXT(MONTH(A3588),"00"))</f>
        <v>2024-05</v>
      </c>
    </row>
    <row r="3589" spans="1:26" x14ac:dyDescent="0.35">
      <c r="A3589" s="1">
        <v>45436</v>
      </c>
      <c r="C3589">
        <v>5035.41</v>
      </c>
      <c r="D3589">
        <f t="shared" ref="D3589:D3652" si="734">LN(C3589/C3588)</f>
        <v>-4.3482534704249968E-4</v>
      </c>
      <c r="E3589" t="str">
        <f t="shared" si="728"/>
        <v>2024-05</v>
      </c>
      <c r="G3589">
        <v>8094.97</v>
      </c>
      <c r="H3589">
        <f t="shared" ref="H3589:H3652" si="735">LN(G3589/G3588)</f>
        <v>-9.0879350343018401E-4</v>
      </c>
      <c r="I3589" t="str">
        <f t="shared" si="729"/>
        <v>2024-05</v>
      </c>
      <c r="K3589">
        <v>18693.37</v>
      </c>
      <c r="L3589">
        <f t="shared" ref="L3589:L3652" si="736">LN(K3589/K3588)</f>
        <v>1.0967056311305027E-4</v>
      </c>
      <c r="M3589" t="str">
        <f t="shared" si="730"/>
        <v>2024-05</v>
      </c>
      <c r="O3589">
        <v>9764.5608100000009</v>
      </c>
      <c r="P3589">
        <f t="shared" ref="P3589:P3652" si="737">LN(O3589/O3588)</f>
        <v>-3.5463147567553776E-3</v>
      </c>
      <c r="Q3589" t="str">
        <f t="shared" si="731"/>
        <v>2024-05</v>
      </c>
      <c r="S3589">
        <v>11246</v>
      </c>
      <c r="T3589">
        <f t="shared" ref="T3589:T3652" si="738">LN(S3589/S3588)</f>
        <v>-5.7720345914394587E-3</v>
      </c>
      <c r="U3589" t="str">
        <f t="shared" si="732"/>
        <v>2024-05</v>
      </c>
      <c r="W3589">
        <v>34490.71</v>
      </c>
      <c r="X3589">
        <f t="shared" ref="X3589:X3652" si="739">LN(W3589/W3588)</f>
        <v>6.6822917990072041E-4</v>
      </c>
      <c r="Y3589">
        <f t="shared" ref="Y3589:Y3652" si="740">(W3589-W3588)/W3588</f>
        <v>6.6845249475815669E-4</v>
      </c>
      <c r="Z3589" t="str">
        <f t="shared" si="733"/>
        <v>2024-05</v>
      </c>
    </row>
    <row r="3590" spans="1:26" x14ac:dyDescent="0.35">
      <c r="A3590" s="1">
        <v>45440</v>
      </c>
      <c r="C3590">
        <v>5030.3500000000004</v>
      </c>
      <c r="D3590">
        <f t="shared" si="734"/>
        <v>-1.0053886494855884E-3</v>
      </c>
      <c r="E3590" t="str">
        <f t="shared" si="728"/>
        <v>2024-05</v>
      </c>
      <c r="G3590">
        <v>8057.8</v>
      </c>
      <c r="H3590">
        <f t="shared" si="735"/>
        <v>-4.6023147248498153E-3</v>
      </c>
      <c r="I3590" t="str">
        <f t="shared" si="729"/>
        <v>2024-05</v>
      </c>
      <c r="K3590">
        <v>18677.87</v>
      </c>
      <c r="L3590">
        <f t="shared" si="736"/>
        <v>-8.2951493655488643E-4</v>
      </c>
      <c r="M3590" t="str">
        <f t="shared" si="730"/>
        <v>2024-05</v>
      </c>
      <c r="O3590">
        <v>9697.8076199999996</v>
      </c>
      <c r="P3590">
        <f t="shared" si="737"/>
        <v>-6.8597459761421059E-3</v>
      </c>
      <c r="Q3590" t="str">
        <f t="shared" si="731"/>
        <v>2024-05</v>
      </c>
      <c r="S3590">
        <v>11276</v>
      </c>
      <c r="T3590">
        <f t="shared" si="738"/>
        <v>2.6640633818562497E-3</v>
      </c>
      <c r="U3590" t="str">
        <f t="shared" si="732"/>
        <v>2024-05</v>
      </c>
      <c r="W3590">
        <v>34659.550000000003</v>
      </c>
      <c r="X3590">
        <f t="shared" si="739"/>
        <v>4.8832885232888363E-3</v>
      </c>
      <c r="Y3590">
        <f t="shared" si="740"/>
        <v>4.8952312086357102E-3</v>
      </c>
      <c r="Z3590" t="str">
        <f t="shared" si="733"/>
        <v>2024-05</v>
      </c>
    </row>
    <row r="3591" spans="1:26" x14ac:dyDescent="0.35">
      <c r="A3591" s="1">
        <v>45441</v>
      </c>
      <c r="C3591">
        <v>4963.2</v>
      </c>
      <c r="D3591">
        <f t="shared" si="734"/>
        <v>-1.3438870195785308E-2</v>
      </c>
      <c r="E3591" t="str">
        <f t="shared" si="728"/>
        <v>2024-05</v>
      </c>
      <c r="G3591">
        <v>7935.03</v>
      </c>
      <c r="H3591">
        <f t="shared" si="735"/>
        <v>-1.5353431716966865E-2</v>
      </c>
      <c r="I3591" t="str">
        <f t="shared" si="729"/>
        <v>2024-05</v>
      </c>
      <c r="K3591">
        <v>18473.29</v>
      </c>
      <c r="L3591">
        <f t="shared" si="736"/>
        <v>-1.1013495562935101E-2</v>
      </c>
      <c r="M3591" t="str">
        <f t="shared" si="730"/>
        <v>2024-05</v>
      </c>
      <c r="O3591">
        <v>9621.31113</v>
      </c>
      <c r="P3591">
        <f t="shared" si="737"/>
        <v>-7.9192939161099873E-3</v>
      </c>
      <c r="Q3591" t="str">
        <f t="shared" si="731"/>
        <v>2024-05</v>
      </c>
      <c r="S3591">
        <v>11145.1</v>
      </c>
      <c r="T3591">
        <f t="shared" si="738"/>
        <v>-1.1676633820819862E-2</v>
      </c>
      <c r="U3591" t="str">
        <f t="shared" si="732"/>
        <v>2024-05</v>
      </c>
      <c r="W3591">
        <v>34150.54</v>
      </c>
      <c r="X3591">
        <f t="shared" si="739"/>
        <v>-1.4794902453874681E-2</v>
      </c>
      <c r="Y3591">
        <f t="shared" si="740"/>
        <v>-1.4685995634680831E-2</v>
      </c>
      <c r="Z3591" t="str">
        <f t="shared" si="733"/>
        <v>2024-05</v>
      </c>
    </row>
    <row r="3592" spans="1:26" x14ac:dyDescent="0.35">
      <c r="A3592" s="1">
        <v>45442</v>
      </c>
      <c r="C3592">
        <v>4982.18</v>
      </c>
      <c r="D3592">
        <f t="shared" si="734"/>
        <v>3.8168522554766653E-3</v>
      </c>
      <c r="E3592" t="str">
        <f t="shared" si="728"/>
        <v>2024-05</v>
      </c>
      <c r="G3592">
        <v>7978.51</v>
      </c>
      <c r="H3592">
        <f t="shared" si="735"/>
        <v>5.4645425464251839E-3</v>
      </c>
      <c r="I3592" t="str">
        <f t="shared" si="729"/>
        <v>2024-05</v>
      </c>
      <c r="K3592">
        <v>18496.79</v>
      </c>
      <c r="L3592">
        <f t="shared" si="736"/>
        <v>1.2712984751484348E-3</v>
      </c>
      <c r="M3592" t="str">
        <f t="shared" si="730"/>
        <v>2024-05</v>
      </c>
      <c r="O3592">
        <v>9674.5210399999996</v>
      </c>
      <c r="P3592">
        <f t="shared" si="737"/>
        <v>5.515185290393557E-3</v>
      </c>
      <c r="Q3592" t="str">
        <f t="shared" si="731"/>
        <v>2024-05</v>
      </c>
      <c r="S3592">
        <v>11338.2</v>
      </c>
      <c r="T3592">
        <f t="shared" si="738"/>
        <v>1.7177616110864748E-2</v>
      </c>
      <c r="U3592" t="str">
        <f t="shared" si="732"/>
        <v>2024-05</v>
      </c>
      <c r="W3592">
        <v>34447.57</v>
      </c>
      <c r="X3592">
        <f t="shared" si="739"/>
        <v>8.6600594783666773E-3</v>
      </c>
      <c r="Y3592">
        <f t="shared" si="740"/>
        <v>8.6976662740910933E-3</v>
      </c>
      <c r="Z3592" t="str">
        <f t="shared" si="733"/>
        <v>2024-05</v>
      </c>
    </row>
    <row r="3593" spans="1:26" x14ac:dyDescent="0.35">
      <c r="A3593" s="1">
        <v>45443</v>
      </c>
      <c r="C3593">
        <v>4983.67</v>
      </c>
      <c r="D3593">
        <f t="shared" si="734"/>
        <v>2.9902115948000029E-4</v>
      </c>
      <c r="E3593" t="str">
        <f t="shared" si="728"/>
        <v>2024-05</v>
      </c>
      <c r="G3593">
        <v>7992.87</v>
      </c>
      <c r="H3593">
        <f t="shared" si="735"/>
        <v>1.7982170444285001E-3</v>
      </c>
      <c r="I3593" t="str">
        <f t="shared" si="729"/>
        <v>2024-05</v>
      </c>
      <c r="K3593">
        <v>18497.939999999999</v>
      </c>
      <c r="L3593">
        <f t="shared" si="736"/>
        <v>6.2171017351236562E-5</v>
      </c>
      <c r="M3593" t="str">
        <f t="shared" si="730"/>
        <v>2024-05</v>
      </c>
      <c r="O3593">
        <v>9711.9560600000004</v>
      </c>
      <c r="P3593">
        <f t="shared" si="737"/>
        <v>3.8619772261962552E-3</v>
      </c>
      <c r="Q3593" t="str">
        <f t="shared" si="731"/>
        <v>2024-05</v>
      </c>
      <c r="S3593">
        <v>11322</v>
      </c>
      <c r="T3593">
        <f t="shared" si="738"/>
        <v>-1.4298199274428978E-3</v>
      </c>
      <c r="U3593" t="str">
        <f t="shared" si="732"/>
        <v>2024-05</v>
      </c>
      <c r="W3593">
        <v>34492.410000000003</v>
      </c>
      <c r="X3593">
        <f t="shared" si="739"/>
        <v>1.300841872108134E-3</v>
      </c>
      <c r="Y3593">
        <f t="shared" si="740"/>
        <v>1.3016883338941988E-3</v>
      </c>
      <c r="Z3593" t="str">
        <f t="shared" si="733"/>
        <v>2024-05</v>
      </c>
    </row>
    <row r="3594" spans="1:26" x14ac:dyDescent="0.35">
      <c r="A3594" s="1">
        <v>45446</v>
      </c>
      <c r="C3594">
        <v>5003.54</v>
      </c>
      <c r="D3594">
        <f t="shared" si="734"/>
        <v>3.9790945052967522E-3</v>
      </c>
      <c r="E3594" t="str">
        <f t="shared" si="728"/>
        <v>2024-06</v>
      </c>
      <c r="G3594">
        <v>7998.02</v>
      </c>
      <c r="H3594">
        <f t="shared" si="735"/>
        <v>6.4411676624085931E-4</v>
      </c>
      <c r="I3594" t="str">
        <f t="shared" si="729"/>
        <v>2024-06</v>
      </c>
      <c r="K3594">
        <v>18608.16</v>
      </c>
      <c r="L3594">
        <f t="shared" si="736"/>
        <v>5.9408196587150339E-3</v>
      </c>
      <c r="M3594" t="str">
        <f t="shared" si="730"/>
        <v>2024-06</v>
      </c>
      <c r="O3594">
        <v>9700.4760900000001</v>
      </c>
      <c r="P3594">
        <f t="shared" si="737"/>
        <v>-1.1827442588910689E-3</v>
      </c>
      <c r="Q3594" t="str">
        <f t="shared" si="731"/>
        <v>2024-06</v>
      </c>
      <c r="S3594">
        <v>11397.2</v>
      </c>
      <c r="T3594">
        <f t="shared" si="738"/>
        <v>6.6199755828270064E-3</v>
      </c>
      <c r="U3594" t="str">
        <f t="shared" si="732"/>
        <v>2024-06</v>
      </c>
      <c r="W3594">
        <v>34670.06</v>
      </c>
      <c r="X3594">
        <f t="shared" si="739"/>
        <v>5.1371904644968202E-3</v>
      </c>
      <c r="Y3594">
        <f t="shared" si="740"/>
        <v>5.1504084521781504E-3</v>
      </c>
      <c r="Z3594" t="str">
        <f t="shared" si="733"/>
        <v>2024-06</v>
      </c>
    </row>
    <row r="3595" spans="1:26" x14ac:dyDescent="0.35">
      <c r="A3595" s="1">
        <v>45447</v>
      </c>
      <c r="C3595">
        <v>4953.37</v>
      </c>
      <c r="D3595">
        <f t="shared" si="734"/>
        <v>-1.0077508903619269E-2</v>
      </c>
      <c r="E3595" t="str">
        <f t="shared" si="728"/>
        <v>2024-06</v>
      </c>
      <c r="G3595">
        <v>7937.9</v>
      </c>
      <c r="H3595">
        <f t="shared" si="735"/>
        <v>-7.5452543967788549E-3</v>
      </c>
      <c r="I3595" t="str">
        <f t="shared" si="729"/>
        <v>2024-06</v>
      </c>
      <c r="K3595">
        <v>18405.64</v>
      </c>
      <c r="L3595">
        <f t="shared" si="736"/>
        <v>-1.0943054805741011E-2</v>
      </c>
      <c r="M3595" t="str">
        <f t="shared" si="730"/>
        <v>2024-06</v>
      </c>
      <c r="O3595">
        <v>9674.9168599999994</v>
      </c>
      <c r="P3595">
        <f t="shared" si="737"/>
        <v>-2.6383201509122558E-3</v>
      </c>
      <c r="Q3595" t="str">
        <f t="shared" si="731"/>
        <v>2024-06</v>
      </c>
      <c r="S3595">
        <v>11286.4</v>
      </c>
      <c r="T3595">
        <f t="shared" si="738"/>
        <v>-9.7692501376993521E-3</v>
      </c>
      <c r="U3595" t="str">
        <f t="shared" si="732"/>
        <v>2024-06</v>
      </c>
      <c r="W3595">
        <v>34276.019999999997</v>
      </c>
      <c r="X3595">
        <f t="shared" si="739"/>
        <v>-1.1430505992901177E-2</v>
      </c>
      <c r="Y3595">
        <f t="shared" si="740"/>
        <v>-1.1365425961189593E-2</v>
      </c>
      <c r="Z3595" t="str">
        <f t="shared" si="733"/>
        <v>2024-06</v>
      </c>
    </row>
    <row r="3596" spans="1:26" x14ac:dyDescent="0.35">
      <c r="A3596" s="1">
        <v>45448</v>
      </c>
      <c r="C3596">
        <v>5035.66</v>
      </c>
      <c r="D3596">
        <f t="shared" si="734"/>
        <v>1.6476446986297633E-2</v>
      </c>
      <c r="E3596" t="str">
        <f t="shared" si="728"/>
        <v>2024-06</v>
      </c>
      <c r="G3596">
        <v>8006.57</v>
      </c>
      <c r="H3596">
        <f t="shared" si="735"/>
        <v>8.6136979886945256E-3</v>
      </c>
      <c r="I3596" t="str">
        <f t="shared" si="729"/>
        <v>2024-06</v>
      </c>
      <c r="K3596">
        <v>18575.939999999999</v>
      </c>
      <c r="L3596">
        <f t="shared" si="736"/>
        <v>9.2100555902792959E-3</v>
      </c>
      <c r="M3596" t="str">
        <f t="shared" si="730"/>
        <v>2024-06</v>
      </c>
      <c r="O3596">
        <v>9699.8828300000005</v>
      </c>
      <c r="P3596">
        <f t="shared" si="737"/>
        <v>2.577160457668308E-3</v>
      </c>
      <c r="Q3596" t="str">
        <f t="shared" si="731"/>
        <v>2024-06</v>
      </c>
      <c r="S3596">
        <v>11353.1</v>
      </c>
      <c r="T3596">
        <f t="shared" si="738"/>
        <v>5.8923733285253443E-3</v>
      </c>
      <c r="U3596" t="str">
        <f t="shared" si="732"/>
        <v>2024-06</v>
      </c>
      <c r="W3596">
        <v>34507.839999999997</v>
      </c>
      <c r="X3596">
        <f t="shared" si="739"/>
        <v>6.7405602922186673E-3</v>
      </c>
      <c r="Y3596">
        <f t="shared" si="740"/>
        <v>6.7633289979408262E-3</v>
      </c>
      <c r="Z3596" t="str">
        <f t="shared" si="733"/>
        <v>2024-06</v>
      </c>
    </row>
    <row r="3597" spans="1:26" x14ac:dyDescent="0.35">
      <c r="A3597" s="1">
        <v>45449</v>
      </c>
      <c r="C3597">
        <v>5069.09</v>
      </c>
      <c r="D3597">
        <f t="shared" si="734"/>
        <v>6.6167143108390178E-3</v>
      </c>
      <c r="E3597" t="str">
        <f t="shared" si="728"/>
        <v>2024-06</v>
      </c>
      <c r="G3597">
        <v>8040.12</v>
      </c>
      <c r="H3597">
        <f t="shared" si="735"/>
        <v>4.1815538140548992E-3</v>
      </c>
      <c r="I3597" t="str">
        <f t="shared" si="729"/>
        <v>2024-06</v>
      </c>
      <c r="K3597">
        <v>18652.669999999998</v>
      </c>
      <c r="L3597">
        <f t="shared" si="736"/>
        <v>4.1221044056178923E-3</v>
      </c>
      <c r="M3597" t="str">
        <f t="shared" si="730"/>
        <v>2024-06</v>
      </c>
      <c r="O3597">
        <v>9729.6783599999999</v>
      </c>
      <c r="P3597">
        <f t="shared" si="737"/>
        <v>3.0670330703895629E-3</v>
      </c>
      <c r="Q3597" t="str">
        <f t="shared" si="731"/>
        <v>2024-06</v>
      </c>
      <c r="S3597">
        <v>11444</v>
      </c>
      <c r="T3597">
        <f t="shared" si="738"/>
        <v>7.9747407997426169E-3</v>
      </c>
      <c r="U3597" t="str">
        <f t="shared" si="732"/>
        <v>2024-06</v>
      </c>
      <c r="W3597">
        <v>34834.300000000003</v>
      </c>
      <c r="X3597">
        <f t="shared" si="739"/>
        <v>9.4159889502923571E-3</v>
      </c>
      <c r="Y3597">
        <f t="shared" si="740"/>
        <v>9.4604588406578451E-3</v>
      </c>
      <c r="Z3597" t="str">
        <f t="shared" si="733"/>
        <v>2024-06</v>
      </c>
    </row>
    <row r="3598" spans="1:26" x14ac:dyDescent="0.35">
      <c r="A3598" s="1">
        <v>45450</v>
      </c>
      <c r="C3598">
        <v>5051.3100000000004</v>
      </c>
      <c r="D3598">
        <f t="shared" si="734"/>
        <v>-3.5136987258941208E-3</v>
      </c>
      <c r="E3598" t="str">
        <f t="shared" si="728"/>
        <v>2024-06</v>
      </c>
      <c r="G3598">
        <v>8001.8</v>
      </c>
      <c r="H3598">
        <f t="shared" si="735"/>
        <v>-4.7774920814948841E-3</v>
      </c>
      <c r="I3598" t="str">
        <f t="shared" si="729"/>
        <v>2024-06</v>
      </c>
      <c r="K3598">
        <v>18557.27</v>
      </c>
      <c r="L3598">
        <f t="shared" si="736"/>
        <v>-5.1276733598348669E-3</v>
      </c>
      <c r="M3598" t="str">
        <f t="shared" si="730"/>
        <v>2024-06</v>
      </c>
      <c r="O3598">
        <v>9709.7721299999994</v>
      </c>
      <c r="P3598">
        <f t="shared" si="737"/>
        <v>-2.048024656678317E-3</v>
      </c>
      <c r="Q3598" t="str">
        <f t="shared" si="731"/>
        <v>2024-06</v>
      </c>
      <c r="S3598">
        <v>11404.9</v>
      </c>
      <c r="T3598">
        <f t="shared" si="738"/>
        <v>-3.4224875741260168E-3</v>
      </c>
      <c r="U3598" t="str">
        <f t="shared" si="732"/>
        <v>2024-06</v>
      </c>
      <c r="W3598">
        <v>34660.379999999997</v>
      </c>
      <c r="X3598">
        <f t="shared" si="739"/>
        <v>-5.0052856736562141E-3</v>
      </c>
      <c r="Y3598">
        <f t="shared" si="740"/>
        <v>-4.9927801046671105E-3</v>
      </c>
      <c r="Z3598" t="str">
        <f t="shared" si="733"/>
        <v>2024-06</v>
      </c>
    </row>
    <row r="3599" spans="1:26" x14ac:dyDescent="0.35">
      <c r="A3599" s="1">
        <v>45453</v>
      </c>
      <c r="C3599">
        <v>5016.4799999999996</v>
      </c>
      <c r="D3599">
        <f t="shared" si="734"/>
        <v>-6.9191230557929303E-3</v>
      </c>
      <c r="E3599" t="str">
        <f t="shared" si="728"/>
        <v>2024-06</v>
      </c>
      <c r="G3599">
        <v>7893.98</v>
      </c>
      <c r="H3599">
        <f t="shared" si="735"/>
        <v>-1.3566072703486224E-2</v>
      </c>
      <c r="I3599" t="str">
        <f t="shared" si="729"/>
        <v>2024-06</v>
      </c>
      <c r="K3599">
        <v>18494.89</v>
      </c>
      <c r="L3599">
        <f t="shared" si="736"/>
        <v>-3.3671483086044392E-3</v>
      </c>
      <c r="M3599" t="str">
        <f t="shared" si="730"/>
        <v>2024-06</v>
      </c>
      <c r="O3599">
        <v>9739.6617000000006</v>
      </c>
      <c r="P3599">
        <f t="shared" si="737"/>
        <v>3.0735695230401133E-3</v>
      </c>
      <c r="Q3599" t="str">
        <f t="shared" si="731"/>
        <v>2024-06</v>
      </c>
      <c r="S3599">
        <v>11357.2</v>
      </c>
      <c r="T3599">
        <f t="shared" si="738"/>
        <v>-4.1911835748816391E-3</v>
      </c>
      <c r="U3599" t="str">
        <f t="shared" si="732"/>
        <v>2024-06</v>
      </c>
      <c r="W3599">
        <v>34542.01</v>
      </c>
      <c r="X3599">
        <f t="shared" si="739"/>
        <v>-3.4209834498946244E-3</v>
      </c>
      <c r="Y3599">
        <f t="shared" si="740"/>
        <v>-3.415138553010537E-3</v>
      </c>
      <c r="Z3599" t="str">
        <f t="shared" si="733"/>
        <v>2024-06</v>
      </c>
    </row>
    <row r="3600" spans="1:26" x14ac:dyDescent="0.35">
      <c r="A3600" s="1">
        <v>45454</v>
      </c>
      <c r="C3600">
        <v>4965.09</v>
      </c>
      <c r="D3600">
        <f t="shared" si="734"/>
        <v>-1.0297068311102664E-2</v>
      </c>
      <c r="E3600" t="str">
        <f t="shared" si="728"/>
        <v>2024-06</v>
      </c>
      <c r="G3600">
        <v>7789.21</v>
      </c>
      <c r="H3600">
        <f t="shared" si="735"/>
        <v>-1.3361000994292634E-2</v>
      </c>
      <c r="I3600" t="str">
        <f t="shared" si="729"/>
        <v>2024-06</v>
      </c>
      <c r="K3600">
        <v>18369.939999999999</v>
      </c>
      <c r="L3600">
        <f t="shared" si="736"/>
        <v>-6.7788446865204299E-3</v>
      </c>
      <c r="M3600" t="str">
        <f t="shared" si="730"/>
        <v>2024-06</v>
      </c>
      <c r="O3600">
        <v>9659.4461699999993</v>
      </c>
      <c r="P3600">
        <f t="shared" si="737"/>
        <v>-8.2700697089579615E-3</v>
      </c>
      <c r="Q3600" t="str">
        <f t="shared" si="731"/>
        <v>2024-06</v>
      </c>
      <c r="S3600">
        <v>11175.5</v>
      </c>
      <c r="T3600">
        <f t="shared" si="738"/>
        <v>-1.6128021810843215E-2</v>
      </c>
      <c r="U3600" t="str">
        <f t="shared" si="732"/>
        <v>2024-06</v>
      </c>
      <c r="W3600">
        <v>33874.480000000003</v>
      </c>
      <c r="X3600">
        <f t="shared" si="739"/>
        <v>-1.9514335895781623E-2</v>
      </c>
      <c r="Y3600">
        <f t="shared" si="740"/>
        <v>-1.9325163764355311E-2</v>
      </c>
      <c r="Z3600" t="str">
        <f t="shared" si="733"/>
        <v>2024-06</v>
      </c>
    </row>
    <row r="3601" spans="1:26" x14ac:dyDescent="0.35">
      <c r="A3601" s="1">
        <v>45455</v>
      </c>
      <c r="C3601">
        <v>5034.43</v>
      </c>
      <c r="D3601">
        <f t="shared" si="734"/>
        <v>1.3868887993834471E-2</v>
      </c>
      <c r="E3601" t="str">
        <f t="shared" si="728"/>
        <v>2024-06</v>
      </c>
      <c r="G3601">
        <v>7864.7</v>
      </c>
      <c r="H3601">
        <f t="shared" si="735"/>
        <v>9.6449494348920927E-3</v>
      </c>
      <c r="I3601" t="str">
        <f t="shared" si="729"/>
        <v>2024-06</v>
      </c>
      <c r="K3601">
        <v>18630.86</v>
      </c>
      <c r="L3601">
        <f t="shared" si="736"/>
        <v>1.4103712625375844E-2</v>
      </c>
      <c r="M3601" t="str">
        <f t="shared" si="730"/>
        <v>2024-06</v>
      </c>
      <c r="O3601">
        <v>9732.2073099999998</v>
      </c>
      <c r="P3601">
        <f t="shared" si="737"/>
        <v>7.5044123023331718E-3</v>
      </c>
      <c r="Q3601" t="str">
        <f t="shared" si="731"/>
        <v>2024-06</v>
      </c>
      <c r="S3601">
        <v>11245.4</v>
      </c>
      <c r="T3601">
        <f t="shared" si="738"/>
        <v>6.2352739156711998E-3</v>
      </c>
      <c r="U3601" t="str">
        <f t="shared" si="732"/>
        <v>2024-06</v>
      </c>
      <c r="W3601">
        <v>34358.83</v>
      </c>
      <c r="X3601">
        <f t="shared" si="739"/>
        <v>1.419711678540859E-2</v>
      </c>
      <c r="Y3601">
        <f t="shared" si="740"/>
        <v>1.4298374469512107E-2</v>
      </c>
      <c r="Z3601" t="str">
        <f t="shared" si="733"/>
        <v>2024-06</v>
      </c>
    </row>
    <row r="3602" spans="1:26" x14ac:dyDescent="0.35">
      <c r="A3602" s="1">
        <v>45456</v>
      </c>
      <c r="C3602">
        <v>4935.5</v>
      </c>
      <c r="D3602">
        <f t="shared" si="734"/>
        <v>-1.9846327339092182E-2</v>
      </c>
      <c r="E3602" t="str">
        <f t="shared" si="728"/>
        <v>2024-06</v>
      </c>
      <c r="G3602">
        <v>7708.02</v>
      </c>
      <c r="H3602">
        <f t="shared" si="735"/>
        <v>-2.0123046852693414E-2</v>
      </c>
      <c r="I3602" t="str">
        <f t="shared" si="729"/>
        <v>2024-06</v>
      </c>
      <c r="K3602">
        <v>18265.68</v>
      </c>
      <c r="L3602">
        <f t="shared" si="736"/>
        <v>-1.9795456423714081E-2</v>
      </c>
      <c r="M3602" t="str">
        <f t="shared" si="730"/>
        <v>2024-06</v>
      </c>
      <c r="O3602">
        <v>9692.9797699999999</v>
      </c>
      <c r="P3602">
        <f t="shared" si="737"/>
        <v>-4.0388381499166558E-3</v>
      </c>
      <c r="Q3602" t="str">
        <f t="shared" si="731"/>
        <v>2024-06</v>
      </c>
      <c r="S3602">
        <v>11066.1</v>
      </c>
      <c r="T3602">
        <f t="shared" si="738"/>
        <v>-1.6072775019639555E-2</v>
      </c>
      <c r="U3602" t="str">
        <f t="shared" si="732"/>
        <v>2024-06</v>
      </c>
      <c r="W3602">
        <v>33609.85</v>
      </c>
      <c r="X3602">
        <f t="shared" si="739"/>
        <v>-2.2039866544345026E-2</v>
      </c>
      <c r="Y3602">
        <f t="shared" si="740"/>
        <v>-2.1798763229132167E-2</v>
      </c>
      <c r="Z3602" t="str">
        <f t="shared" si="733"/>
        <v>2024-06</v>
      </c>
    </row>
    <row r="3603" spans="1:26" x14ac:dyDescent="0.35">
      <c r="A3603" s="1">
        <v>45457</v>
      </c>
      <c r="C3603">
        <v>4839.1400000000003</v>
      </c>
      <c r="D3603">
        <f t="shared" si="734"/>
        <v>-1.971696588569714E-2</v>
      </c>
      <c r="E3603" t="str">
        <f t="shared" si="728"/>
        <v>2024-06</v>
      </c>
      <c r="G3603">
        <v>7503.27</v>
      </c>
      <c r="H3603">
        <f t="shared" si="735"/>
        <v>-2.6922419733668875E-2</v>
      </c>
      <c r="I3603" t="str">
        <f t="shared" si="729"/>
        <v>2024-06</v>
      </c>
      <c r="K3603">
        <v>18002.02</v>
      </c>
      <c r="L3603">
        <f t="shared" si="736"/>
        <v>-1.4539915406534657E-2</v>
      </c>
      <c r="M3603" t="str">
        <f t="shared" si="730"/>
        <v>2024-06</v>
      </c>
      <c r="O3603">
        <v>9658.8368200000004</v>
      </c>
      <c r="P3603">
        <f t="shared" si="737"/>
        <v>-3.5286594691101821E-3</v>
      </c>
      <c r="Q3603" t="str">
        <f t="shared" si="731"/>
        <v>2024-06</v>
      </c>
      <c r="S3603">
        <v>10992.3</v>
      </c>
      <c r="T3603">
        <f t="shared" si="738"/>
        <v>-6.6913534400674527E-3</v>
      </c>
      <c r="U3603" t="str">
        <f t="shared" si="732"/>
        <v>2024-06</v>
      </c>
      <c r="W3603">
        <v>32665.21</v>
      </c>
      <c r="X3603">
        <f t="shared" si="739"/>
        <v>-2.8508581598120131E-2</v>
      </c>
      <c r="Y3603">
        <f t="shared" si="740"/>
        <v>-2.8106046292976597E-2</v>
      </c>
      <c r="Z3603" t="str">
        <f t="shared" si="733"/>
        <v>2024-06</v>
      </c>
    </row>
    <row r="3604" spans="1:26" x14ac:dyDescent="0.35">
      <c r="A3604" s="1">
        <v>45460</v>
      </c>
      <c r="C3604">
        <v>4880.42</v>
      </c>
      <c r="D3604">
        <f t="shared" si="734"/>
        <v>8.4942627452887429E-3</v>
      </c>
      <c r="E3604" t="str">
        <f t="shared" si="728"/>
        <v>2024-06</v>
      </c>
      <c r="G3604">
        <v>7571.57</v>
      </c>
      <c r="H3604">
        <f t="shared" si="735"/>
        <v>9.0615180457534628E-3</v>
      </c>
      <c r="I3604" t="str">
        <f t="shared" si="729"/>
        <v>2024-06</v>
      </c>
      <c r="K3604">
        <v>18068.21</v>
      </c>
      <c r="L3604">
        <f t="shared" si="736"/>
        <v>3.6700666613376223E-3</v>
      </c>
      <c r="M3604" t="str">
        <f t="shared" si="730"/>
        <v>2024-06</v>
      </c>
      <c r="O3604">
        <v>9638.4835800000001</v>
      </c>
      <c r="P3604">
        <f t="shared" si="737"/>
        <v>-2.1094376965619444E-3</v>
      </c>
      <c r="Q3604" t="str">
        <f t="shared" si="731"/>
        <v>2024-06</v>
      </c>
      <c r="S3604">
        <v>10959.5</v>
      </c>
      <c r="T3604">
        <f t="shared" si="738"/>
        <v>-2.9883676427075951E-3</v>
      </c>
      <c r="U3604" t="str">
        <f t="shared" si="732"/>
        <v>2024-06</v>
      </c>
      <c r="W3604">
        <v>32908.050000000003</v>
      </c>
      <c r="X3604">
        <f t="shared" si="739"/>
        <v>7.4067115214307708E-3</v>
      </c>
      <c r="Y3604">
        <f t="shared" si="740"/>
        <v>7.4342090560570034E-3</v>
      </c>
      <c r="Z3604" t="str">
        <f t="shared" si="733"/>
        <v>2024-06</v>
      </c>
    </row>
    <row r="3605" spans="1:26" x14ac:dyDescent="0.35">
      <c r="A3605" s="1">
        <v>45461</v>
      </c>
      <c r="C3605">
        <v>4915.47</v>
      </c>
      <c r="D3605">
        <f t="shared" si="734"/>
        <v>7.1560929277016084E-3</v>
      </c>
      <c r="E3605" t="str">
        <f t="shared" si="728"/>
        <v>2024-06</v>
      </c>
      <c r="G3605">
        <v>7628.8</v>
      </c>
      <c r="H3605">
        <f t="shared" si="735"/>
        <v>7.5301154411476423E-3</v>
      </c>
      <c r="I3605" t="str">
        <f t="shared" si="729"/>
        <v>2024-06</v>
      </c>
      <c r="K3605">
        <v>18131.97</v>
      </c>
      <c r="L3605">
        <f t="shared" si="736"/>
        <v>3.5226380605305726E-3</v>
      </c>
      <c r="M3605" t="str">
        <f t="shared" si="730"/>
        <v>2024-06</v>
      </c>
      <c r="O3605">
        <v>9688.5897700000005</v>
      </c>
      <c r="P3605">
        <f t="shared" si="737"/>
        <v>5.185089470292838E-3</v>
      </c>
      <c r="Q3605" t="str">
        <f t="shared" si="731"/>
        <v>2024-06</v>
      </c>
      <c r="S3605">
        <v>11067.7</v>
      </c>
      <c r="T3605">
        <f t="shared" si="738"/>
        <v>9.8242963480062607E-3</v>
      </c>
      <c r="U3605" t="str">
        <f t="shared" si="732"/>
        <v>2024-06</v>
      </c>
      <c r="W3605">
        <v>33315.68</v>
      </c>
      <c r="X3605">
        <f t="shared" si="739"/>
        <v>1.2310848339455867E-2</v>
      </c>
      <c r="Y3605">
        <f t="shared" si="740"/>
        <v>1.2386938758145723E-2</v>
      </c>
      <c r="Z3605" t="str">
        <f t="shared" si="733"/>
        <v>2024-06</v>
      </c>
    </row>
    <row r="3606" spans="1:26" x14ac:dyDescent="0.35">
      <c r="A3606" s="1">
        <v>45462</v>
      </c>
      <c r="C3606">
        <v>4885.45</v>
      </c>
      <c r="D3606">
        <f t="shared" si="734"/>
        <v>-6.1259746802141395E-3</v>
      </c>
      <c r="E3606" t="str">
        <f t="shared" si="728"/>
        <v>2024-06</v>
      </c>
      <c r="G3606">
        <v>7570.2</v>
      </c>
      <c r="H3606">
        <f t="shared" si="735"/>
        <v>-7.7110718291706921E-3</v>
      </c>
      <c r="I3606" t="str">
        <f t="shared" si="729"/>
        <v>2024-06</v>
      </c>
      <c r="K3606">
        <v>18067.91</v>
      </c>
      <c r="L3606">
        <f t="shared" si="736"/>
        <v>-3.5392419460615406E-3</v>
      </c>
      <c r="M3606" t="str">
        <f t="shared" si="730"/>
        <v>2024-06</v>
      </c>
      <c r="O3606">
        <v>9712.2177599999995</v>
      </c>
      <c r="P3606">
        <f t="shared" si="737"/>
        <v>2.4357750723039799E-3</v>
      </c>
      <c r="Q3606" t="str">
        <f t="shared" si="731"/>
        <v>2024-06</v>
      </c>
      <c r="S3606">
        <v>11056.4</v>
      </c>
      <c r="T3606">
        <f t="shared" si="738"/>
        <v>-1.0215105683499311E-3</v>
      </c>
      <c r="U3606" t="str">
        <f t="shared" si="732"/>
        <v>2024-06</v>
      </c>
      <c r="W3606">
        <v>33220.31</v>
      </c>
      <c r="X3606">
        <f t="shared" si="739"/>
        <v>-2.8667211628854257E-3</v>
      </c>
      <c r="Y3606">
        <f t="shared" si="740"/>
        <v>-2.8626160414556333E-3</v>
      </c>
      <c r="Z3606" t="str">
        <f t="shared" si="733"/>
        <v>2024-06</v>
      </c>
    </row>
    <row r="3607" spans="1:26" x14ac:dyDescent="0.35">
      <c r="A3607" s="1">
        <v>45463</v>
      </c>
      <c r="C3607">
        <v>4947.7299999999996</v>
      </c>
      <c r="D3607">
        <f t="shared" si="734"/>
        <v>1.2667485556475171E-2</v>
      </c>
      <c r="E3607" t="str">
        <f t="shared" si="728"/>
        <v>2024-06</v>
      </c>
      <c r="G3607">
        <v>7671.34</v>
      </c>
      <c r="H3607">
        <f t="shared" si="735"/>
        <v>1.3271819589404911E-2</v>
      </c>
      <c r="I3607" t="str">
        <f t="shared" si="729"/>
        <v>2024-06</v>
      </c>
      <c r="K3607">
        <v>18254.18</v>
      </c>
      <c r="L3607">
        <f t="shared" si="736"/>
        <v>1.0256658300732569E-2</v>
      </c>
      <c r="M3607" t="str">
        <f t="shared" si="730"/>
        <v>2024-06</v>
      </c>
      <c r="O3607">
        <v>9783.70795</v>
      </c>
      <c r="P3607">
        <f t="shared" si="737"/>
        <v>7.3338923725847858E-3</v>
      </c>
      <c r="Q3607" t="str">
        <f t="shared" si="731"/>
        <v>2024-06</v>
      </c>
      <c r="S3607">
        <v>11160.5</v>
      </c>
      <c r="T3607">
        <f t="shared" si="738"/>
        <v>9.3713129960039682E-3</v>
      </c>
      <c r="U3607" t="str">
        <f t="shared" si="732"/>
        <v>2024-06</v>
      </c>
      <c r="W3607">
        <v>33675.15</v>
      </c>
      <c r="X3607">
        <f t="shared" si="739"/>
        <v>1.3598740760008428E-2</v>
      </c>
      <c r="Y3607">
        <f t="shared" si="740"/>
        <v>1.3691624190141628E-2</v>
      </c>
      <c r="Z3607" t="str">
        <f t="shared" si="733"/>
        <v>2024-06</v>
      </c>
    </row>
    <row r="3608" spans="1:26" x14ac:dyDescent="0.35">
      <c r="A3608" s="1">
        <v>45464</v>
      </c>
      <c r="C3608">
        <v>4907.3</v>
      </c>
      <c r="D3608">
        <f t="shared" si="734"/>
        <v>-8.204993149384391E-3</v>
      </c>
      <c r="E3608" t="str">
        <f t="shared" si="728"/>
        <v>2024-06</v>
      </c>
      <c r="G3608">
        <v>7628.57</v>
      </c>
      <c r="H3608">
        <f t="shared" si="735"/>
        <v>-5.5908971241176528E-3</v>
      </c>
      <c r="I3608" t="str">
        <f t="shared" si="729"/>
        <v>2024-06</v>
      </c>
      <c r="K3608">
        <v>18163.52</v>
      </c>
      <c r="L3608">
        <f t="shared" si="736"/>
        <v>-4.9789079093284566E-3</v>
      </c>
      <c r="M3608" t="str">
        <f t="shared" si="730"/>
        <v>2024-06</v>
      </c>
      <c r="O3608">
        <v>9737.7986400000009</v>
      </c>
      <c r="P3608">
        <f t="shared" si="737"/>
        <v>-4.7034683951751076E-3</v>
      </c>
      <c r="Q3608" t="str">
        <f t="shared" si="731"/>
        <v>2024-06</v>
      </c>
      <c r="S3608">
        <v>11032.3</v>
      </c>
      <c r="T3608">
        <f t="shared" si="738"/>
        <v>-1.1553425077104822E-2</v>
      </c>
      <c r="U3608" t="str">
        <f t="shared" si="732"/>
        <v>2024-06</v>
      </c>
      <c r="W3608">
        <v>33308.769999999997</v>
      </c>
      <c r="X3608">
        <f t="shared" si="739"/>
        <v>-1.0939450953772925E-2</v>
      </c>
      <c r="Y3608">
        <f t="shared" si="740"/>
        <v>-1.0879832755013849E-2</v>
      </c>
      <c r="Z3608" t="str">
        <f t="shared" si="733"/>
        <v>2024-06</v>
      </c>
    </row>
    <row r="3609" spans="1:26" x14ac:dyDescent="0.35">
      <c r="A3609" s="1">
        <v>45467</v>
      </c>
      <c r="C3609">
        <v>4950.9799999999996</v>
      </c>
      <c r="D3609">
        <f t="shared" si="734"/>
        <v>8.8616443931889746E-3</v>
      </c>
      <c r="E3609" t="str">
        <f t="shared" si="728"/>
        <v>2024-06</v>
      </c>
      <c r="G3609">
        <v>7706.89</v>
      </c>
      <c r="H3609">
        <f t="shared" si="735"/>
        <v>1.0214324310030672E-2</v>
      </c>
      <c r="I3609" t="str">
        <f t="shared" si="729"/>
        <v>2024-06</v>
      </c>
      <c r="K3609">
        <v>18325.580000000002</v>
      </c>
      <c r="L3609">
        <f t="shared" si="736"/>
        <v>8.8827110330268241E-3</v>
      </c>
      <c r="M3609" t="str">
        <f t="shared" si="730"/>
        <v>2024-06</v>
      </c>
      <c r="O3609">
        <v>9788.4092099999998</v>
      </c>
      <c r="P3609">
        <f t="shared" si="737"/>
        <v>5.1838722321217038E-3</v>
      </c>
      <c r="Q3609" t="str">
        <f t="shared" si="731"/>
        <v>2024-06</v>
      </c>
      <c r="S3609">
        <v>11172.1</v>
      </c>
      <c r="T3609">
        <f t="shared" si="738"/>
        <v>1.2592265251846358E-2</v>
      </c>
      <c r="U3609" t="str">
        <f t="shared" si="732"/>
        <v>2024-06</v>
      </c>
      <c r="W3609">
        <v>33834.910000000003</v>
      </c>
      <c r="X3609">
        <f t="shared" si="739"/>
        <v>1.5672384037443327E-2</v>
      </c>
      <c r="Y3609">
        <f t="shared" si="740"/>
        <v>1.5795839954462647E-2</v>
      </c>
      <c r="Z3609" t="str">
        <f t="shared" si="733"/>
        <v>2024-06</v>
      </c>
    </row>
    <row r="3610" spans="1:26" x14ac:dyDescent="0.35">
      <c r="A3610" s="1">
        <v>45468</v>
      </c>
      <c r="C3610">
        <v>4935.97</v>
      </c>
      <c r="D3610">
        <f t="shared" si="734"/>
        <v>-3.0363279943339699E-3</v>
      </c>
      <c r="E3610" t="str">
        <f t="shared" si="728"/>
        <v>2024-06</v>
      </c>
      <c r="G3610">
        <v>7662.3</v>
      </c>
      <c r="H3610">
        <f t="shared" si="735"/>
        <v>-5.8025341751672174E-3</v>
      </c>
      <c r="I3610" t="str">
        <f t="shared" si="729"/>
        <v>2024-06</v>
      </c>
      <c r="K3610">
        <v>18177.62</v>
      </c>
      <c r="L3610">
        <f t="shared" si="736"/>
        <v>-8.106730934025046E-3</v>
      </c>
      <c r="M3610" t="str">
        <f t="shared" si="730"/>
        <v>2024-06</v>
      </c>
      <c r="O3610">
        <v>9768.6809400000002</v>
      </c>
      <c r="P3610">
        <f t="shared" si="737"/>
        <v>-2.0175063407085274E-3</v>
      </c>
      <c r="Q3610" t="str">
        <f t="shared" si="731"/>
        <v>2024-06</v>
      </c>
      <c r="S3610">
        <v>11118.9</v>
      </c>
      <c r="T3610">
        <f t="shared" si="738"/>
        <v>-4.7732359255358032E-3</v>
      </c>
      <c r="U3610" t="str">
        <f t="shared" si="732"/>
        <v>2024-06</v>
      </c>
      <c r="W3610">
        <v>33707.21</v>
      </c>
      <c r="X3610">
        <f t="shared" si="739"/>
        <v>-3.7813486506162058E-3</v>
      </c>
      <c r="Y3610">
        <f t="shared" si="740"/>
        <v>-3.7742083546255731E-3</v>
      </c>
      <c r="Z3610" t="str">
        <f t="shared" si="733"/>
        <v>2024-06</v>
      </c>
    </row>
    <row r="3611" spans="1:26" x14ac:dyDescent="0.35">
      <c r="A3611" s="1">
        <v>45469</v>
      </c>
      <c r="C3611">
        <v>4915.9399999999996</v>
      </c>
      <c r="D3611">
        <f t="shared" si="734"/>
        <v>-4.066222204276446E-3</v>
      </c>
      <c r="E3611" t="str">
        <f t="shared" si="728"/>
        <v>2024-06</v>
      </c>
      <c r="G3611">
        <v>7609.15</v>
      </c>
      <c r="H3611">
        <f t="shared" si="735"/>
        <v>-6.9607292825124923E-3</v>
      </c>
      <c r="I3611" t="str">
        <f t="shared" si="729"/>
        <v>2024-06</v>
      </c>
      <c r="K3611">
        <v>18155.240000000002</v>
      </c>
      <c r="L3611">
        <f t="shared" si="736"/>
        <v>-1.2319428104738423E-3</v>
      </c>
      <c r="M3611" t="str">
        <f t="shared" si="730"/>
        <v>2024-06</v>
      </c>
      <c r="O3611">
        <v>9722.2445800000005</v>
      </c>
      <c r="P3611">
        <f t="shared" si="737"/>
        <v>-4.7649299990468862E-3</v>
      </c>
      <c r="Q3611" t="str">
        <f t="shared" si="731"/>
        <v>2024-06</v>
      </c>
      <c r="S3611">
        <v>11030.5</v>
      </c>
      <c r="T3611">
        <f t="shared" si="738"/>
        <v>-7.9821999124550114E-3</v>
      </c>
      <c r="U3611" t="str">
        <f t="shared" si="732"/>
        <v>2024-06</v>
      </c>
      <c r="W3611">
        <v>33541.980000000003</v>
      </c>
      <c r="X3611">
        <f t="shared" si="739"/>
        <v>-4.9139724206537488E-3</v>
      </c>
      <c r="Y3611">
        <f t="shared" si="740"/>
        <v>-4.9019186102912679E-3</v>
      </c>
      <c r="Z3611" t="str">
        <f t="shared" si="733"/>
        <v>2024-06</v>
      </c>
    </row>
    <row r="3612" spans="1:26" x14ac:dyDescent="0.35">
      <c r="A3612" s="1">
        <v>45470</v>
      </c>
      <c r="C3612">
        <v>4902.6000000000004</v>
      </c>
      <c r="D3612">
        <f t="shared" si="734"/>
        <v>-2.717309947974542E-3</v>
      </c>
      <c r="E3612" t="str">
        <f t="shared" si="728"/>
        <v>2024-06</v>
      </c>
      <c r="G3612">
        <v>7530.72</v>
      </c>
      <c r="H3612">
        <f t="shared" si="735"/>
        <v>-1.0360815726633476E-2</v>
      </c>
      <c r="I3612" t="str">
        <f t="shared" si="729"/>
        <v>2024-06</v>
      </c>
      <c r="K3612">
        <v>18210.55</v>
      </c>
      <c r="L3612">
        <f t="shared" si="736"/>
        <v>3.0418721907897336E-3</v>
      </c>
      <c r="M3612" t="str">
        <f t="shared" si="730"/>
        <v>2024-06</v>
      </c>
      <c r="O3612">
        <v>9664.8110300000008</v>
      </c>
      <c r="P3612">
        <f t="shared" si="737"/>
        <v>-5.9249552044192003E-3</v>
      </c>
      <c r="Q3612" t="str">
        <f t="shared" si="731"/>
        <v>2024-06</v>
      </c>
      <c r="S3612">
        <v>10951.5</v>
      </c>
      <c r="T3612">
        <f t="shared" si="738"/>
        <v>-7.1877299715676453E-3</v>
      </c>
      <c r="U3612" t="str">
        <f t="shared" si="732"/>
        <v>2024-06</v>
      </c>
      <c r="W3612">
        <v>33186.89</v>
      </c>
      <c r="X3612">
        <f t="shared" si="739"/>
        <v>-1.0642870222968941E-2</v>
      </c>
      <c r="Y3612">
        <f t="shared" si="740"/>
        <v>-1.0586435267089293E-2</v>
      </c>
      <c r="Z3612" t="str">
        <f t="shared" si="733"/>
        <v>2024-06</v>
      </c>
    </row>
    <row r="3613" spans="1:26" x14ac:dyDescent="0.35">
      <c r="A3613" s="1">
        <v>45471</v>
      </c>
      <c r="C3613">
        <v>4894.0200000000004</v>
      </c>
      <c r="D3613">
        <f t="shared" si="734"/>
        <v>-1.7516249877520943E-3</v>
      </c>
      <c r="E3613" t="str">
        <f t="shared" si="728"/>
        <v>2024-06</v>
      </c>
      <c r="G3613">
        <v>7479.4</v>
      </c>
      <c r="H3613">
        <f t="shared" si="735"/>
        <v>-6.8380799052827701E-3</v>
      </c>
      <c r="I3613" t="str">
        <f t="shared" si="729"/>
        <v>2024-06</v>
      </c>
      <c r="K3613">
        <v>18235.45</v>
      </c>
      <c r="L3613">
        <f t="shared" si="736"/>
        <v>1.366405305062799E-3</v>
      </c>
      <c r="M3613" t="str">
        <f t="shared" si="730"/>
        <v>2024-06</v>
      </c>
      <c r="O3613">
        <v>9631.4674400000004</v>
      </c>
      <c r="P3613">
        <f t="shared" si="737"/>
        <v>-3.4559641372250375E-3</v>
      </c>
      <c r="Q3613" t="str">
        <f t="shared" si="731"/>
        <v>2024-06</v>
      </c>
      <c r="S3613">
        <v>10943.7</v>
      </c>
      <c r="T3613">
        <f t="shared" si="738"/>
        <v>-7.1248495834353354E-4</v>
      </c>
      <c r="U3613" t="str">
        <f t="shared" si="732"/>
        <v>2024-06</v>
      </c>
      <c r="W3613">
        <v>33154.050000000003</v>
      </c>
      <c r="X3613">
        <f t="shared" si="739"/>
        <v>-9.900373037345137E-4</v>
      </c>
      <c r="Y3613">
        <f t="shared" si="740"/>
        <v>-9.8954737849784994E-4</v>
      </c>
      <c r="Z3613" t="str">
        <f t="shared" si="733"/>
        <v>2024-06</v>
      </c>
    </row>
    <row r="3614" spans="1:26" x14ac:dyDescent="0.35">
      <c r="A3614" s="1">
        <v>45474</v>
      </c>
      <c r="C3614">
        <v>4929.99</v>
      </c>
      <c r="D3614">
        <f t="shared" si="734"/>
        <v>7.3229080061478526E-3</v>
      </c>
      <c r="E3614" t="str">
        <f t="shared" si="728"/>
        <v>2024-07</v>
      </c>
      <c r="G3614">
        <v>7561.13</v>
      </c>
      <c r="H3614">
        <f t="shared" si="735"/>
        <v>1.0868075055915314E-2</v>
      </c>
      <c r="I3614" t="str">
        <f t="shared" si="729"/>
        <v>2024-07</v>
      </c>
      <c r="K3614">
        <v>18290.66</v>
      </c>
      <c r="L3614">
        <f t="shared" si="736"/>
        <v>3.0230452706899889E-3</v>
      </c>
      <c r="M3614" t="str">
        <f t="shared" si="730"/>
        <v>2024-07</v>
      </c>
      <c r="O3614">
        <v>9625.6807800000006</v>
      </c>
      <c r="P3614">
        <f t="shared" si="737"/>
        <v>-6.0098827802152746E-4</v>
      </c>
      <c r="Q3614" t="str">
        <f t="shared" si="731"/>
        <v>2024-07</v>
      </c>
      <c r="S3614">
        <v>11057</v>
      </c>
      <c r="T3614">
        <f t="shared" si="738"/>
        <v>1.0299763336495188E-2</v>
      </c>
      <c r="U3614" t="str">
        <f t="shared" si="732"/>
        <v>2024-07</v>
      </c>
      <c r="W3614">
        <v>33716.54</v>
      </c>
      <c r="X3614">
        <f t="shared" si="739"/>
        <v>1.6823637026563039E-2</v>
      </c>
      <c r="Y3614">
        <f t="shared" si="740"/>
        <v>1.6965951369440475E-2</v>
      </c>
      <c r="Z3614" t="str">
        <f t="shared" si="733"/>
        <v>2024-07</v>
      </c>
    </row>
    <row r="3615" spans="1:26" x14ac:dyDescent="0.35">
      <c r="A3615" s="1">
        <v>45475</v>
      </c>
      <c r="C3615">
        <v>4906.33</v>
      </c>
      <c r="D3615">
        <f t="shared" si="734"/>
        <v>-4.8107515068470047E-3</v>
      </c>
      <c r="E3615" t="str">
        <f t="shared" si="728"/>
        <v>2024-07</v>
      </c>
      <c r="G3615">
        <v>7538.29</v>
      </c>
      <c r="H3615">
        <f t="shared" si="735"/>
        <v>-3.0252840731575777E-3</v>
      </c>
      <c r="I3615" t="str">
        <f t="shared" si="729"/>
        <v>2024-07</v>
      </c>
      <c r="K3615">
        <v>18164.060000000001</v>
      </c>
      <c r="L3615">
        <f t="shared" si="736"/>
        <v>-6.9456305768038845E-3</v>
      </c>
      <c r="M3615" t="str">
        <f t="shared" si="730"/>
        <v>2024-07</v>
      </c>
      <c r="O3615">
        <v>9586.2245199999998</v>
      </c>
      <c r="P3615">
        <f t="shared" si="737"/>
        <v>-4.1074859424430074E-3</v>
      </c>
      <c r="Q3615" t="str">
        <f t="shared" si="731"/>
        <v>2024-07</v>
      </c>
      <c r="S3615">
        <v>10912.8</v>
      </c>
      <c r="T3615">
        <f t="shared" si="738"/>
        <v>-1.3127299363491302E-2</v>
      </c>
      <c r="U3615" t="str">
        <f t="shared" si="732"/>
        <v>2024-07</v>
      </c>
      <c r="W3615">
        <v>33481.4</v>
      </c>
      <c r="X3615">
        <f t="shared" si="739"/>
        <v>-6.9984573851840978E-3</v>
      </c>
      <c r="Y3615">
        <f t="shared" si="740"/>
        <v>-6.9740252113650869E-3</v>
      </c>
      <c r="Z3615" t="str">
        <f t="shared" si="733"/>
        <v>2024-07</v>
      </c>
    </row>
    <row r="3616" spans="1:26" x14ac:dyDescent="0.35">
      <c r="A3616" s="1">
        <v>45476</v>
      </c>
      <c r="C3616">
        <v>4965.8</v>
      </c>
      <c r="D3616">
        <f t="shared" si="734"/>
        <v>1.2048204264569276E-2</v>
      </c>
      <c r="E3616" t="str">
        <f t="shared" si="728"/>
        <v>2024-07</v>
      </c>
      <c r="G3616">
        <v>7632.08</v>
      </c>
      <c r="H3616">
        <f t="shared" si="735"/>
        <v>1.2365050423248021E-2</v>
      </c>
      <c r="I3616" t="str">
        <f t="shared" si="729"/>
        <v>2024-07</v>
      </c>
      <c r="K3616">
        <v>18374.53</v>
      </c>
      <c r="L3616">
        <f t="shared" si="736"/>
        <v>1.1520550073057806E-2</v>
      </c>
      <c r="M3616" t="str">
        <f t="shared" si="730"/>
        <v>2024-07</v>
      </c>
      <c r="O3616">
        <v>9653.0626599999996</v>
      </c>
      <c r="P3616">
        <f t="shared" si="737"/>
        <v>6.9481169719153744E-3</v>
      </c>
      <c r="Q3616" t="str">
        <f t="shared" si="731"/>
        <v>2024-07</v>
      </c>
      <c r="S3616">
        <v>11056.8</v>
      </c>
      <c r="T3616">
        <f t="shared" si="738"/>
        <v>1.3109211110906438E-2</v>
      </c>
      <c r="U3616" t="str">
        <f t="shared" si="732"/>
        <v>2024-07</v>
      </c>
      <c r="W3616">
        <v>33844.949999999997</v>
      </c>
      <c r="X3616">
        <f t="shared" si="739"/>
        <v>1.0799739879821498E-2</v>
      </c>
      <c r="Y3616">
        <f t="shared" si="740"/>
        <v>1.0858267575429809E-2</v>
      </c>
      <c r="Z3616" t="str">
        <f t="shared" si="733"/>
        <v>2024-07</v>
      </c>
    </row>
    <row r="3617" spans="1:26" x14ac:dyDescent="0.35">
      <c r="A3617" s="1">
        <v>45477</v>
      </c>
      <c r="C3617">
        <v>4987.4799999999996</v>
      </c>
      <c r="D3617">
        <f t="shared" si="734"/>
        <v>4.3563597701811929E-3</v>
      </c>
      <c r="E3617" t="str">
        <f t="shared" si="728"/>
        <v>2024-07</v>
      </c>
      <c r="G3617">
        <v>7695.78</v>
      </c>
      <c r="H3617">
        <f t="shared" si="735"/>
        <v>8.311710404882473E-3</v>
      </c>
      <c r="I3617" t="str">
        <f t="shared" si="729"/>
        <v>2024-07</v>
      </c>
      <c r="K3617">
        <v>18450.48</v>
      </c>
      <c r="L3617">
        <f t="shared" si="736"/>
        <v>4.1249198678024925E-3</v>
      </c>
      <c r="M3617" t="str">
        <f t="shared" si="730"/>
        <v>2024-07</v>
      </c>
      <c r="O3617">
        <v>9726.8515399999997</v>
      </c>
      <c r="P3617">
        <f t="shared" si="737"/>
        <v>7.615022008256778E-3</v>
      </c>
      <c r="Q3617" t="str">
        <f t="shared" si="731"/>
        <v>2024-07</v>
      </c>
      <c r="S3617">
        <v>11066.3</v>
      </c>
      <c r="T3617">
        <f t="shared" si="738"/>
        <v>8.5883086763852493E-4</v>
      </c>
      <c r="U3617" t="str">
        <f t="shared" si="732"/>
        <v>2024-07</v>
      </c>
      <c r="W3617">
        <v>34106.01</v>
      </c>
      <c r="X3617">
        <f t="shared" si="739"/>
        <v>7.6838144578325121E-3</v>
      </c>
      <c r="Y3617">
        <f t="shared" si="740"/>
        <v>7.7134107156312821E-3</v>
      </c>
      <c r="Z3617" t="str">
        <f t="shared" si="733"/>
        <v>2024-07</v>
      </c>
    </row>
    <row r="3618" spans="1:26" x14ac:dyDescent="0.35">
      <c r="A3618" s="1">
        <v>45478</v>
      </c>
      <c r="C3618">
        <v>4979.3900000000003</v>
      </c>
      <c r="D3618">
        <f t="shared" si="734"/>
        <v>-1.6233786086645035E-3</v>
      </c>
      <c r="E3618" t="str">
        <f t="shared" si="728"/>
        <v>2024-07</v>
      </c>
      <c r="G3618">
        <v>7675.62</v>
      </c>
      <c r="H3618">
        <f t="shared" si="735"/>
        <v>-2.6230547066756517E-3</v>
      </c>
      <c r="I3618" t="str">
        <f t="shared" si="729"/>
        <v>2024-07</v>
      </c>
      <c r="K3618">
        <v>18475.45</v>
      </c>
      <c r="L3618">
        <f t="shared" si="736"/>
        <v>1.3524373688637724E-3</v>
      </c>
      <c r="M3618" t="str">
        <f t="shared" si="730"/>
        <v>2024-07</v>
      </c>
      <c r="O3618">
        <v>9698.3092699999997</v>
      </c>
      <c r="P3618">
        <f t="shared" si="737"/>
        <v>-2.9386928447998248E-3</v>
      </c>
      <c r="Q3618" t="str">
        <f t="shared" si="731"/>
        <v>2024-07</v>
      </c>
      <c r="S3618">
        <v>11023.5</v>
      </c>
      <c r="T3618">
        <f t="shared" si="738"/>
        <v>-3.8750965204196546E-3</v>
      </c>
      <c r="U3618" t="str">
        <f t="shared" si="732"/>
        <v>2024-07</v>
      </c>
      <c r="W3618">
        <v>33987.67</v>
      </c>
      <c r="X3618">
        <f t="shared" si="739"/>
        <v>-3.475803309230239E-3</v>
      </c>
      <c r="Y3618">
        <f t="shared" si="740"/>
        <v>-3.4697696974815809E-3</v>
      </c>
      <c r="Z3618" t="str">
        <f t="shared" si="733"/>
        <v>2024-07</v>
      </c>
    </row>
    <row r="3619" spans="1:26" x14ac:dyDescent="0.35">
      <c r="A3619" s="1">
        <v>45481</v>
      </c>
      <c r="C3619">
        <v>4969.83</v>
      </c>
      <c r="D3619">
        <f t="shared" si="734"/>
        <v>-1.9217592820777439E-3</v>
      </c>
      <c r="E3619" t="str">
        <f t="shared" si="728"/>
        <v>2024-07</v>
      </c>
      <c r="G3619">
        <v>7627.45</v>
      </c>
      <c r="H3619">
        <f t="shared" si="735"/>
        <v>-6.2954896101400024E-3</v>
      </c>
      <c r="I3619" t="str">
        <f t="shared" si="729"/>
        <v>2024-07</v>
      </c>
      <c r="K3619">
        <v>18472.05</v>
      </c>
      <c r="L3619">
        <f t="shared" si="736"/>
        <v>-1.840449291344954E-4</v>
      </c>
      <c r="M3619" t="str">
        <f t="shared" si="730"/>
        <v>2024-07</v>
      </c>
      <c r="O3619">
        <v>9697.9999299999999</v>
      </c>
      <c r="P3619">
        <f t="shared" si="737"/>
        <v>-3.189678993420482E-5</v>
      </c>
      <c r="Q3619" t="str">
        <f t="shared" si="731"/>
        <v>2024-07</v>
      </c>
      <c r="S3619">
        <v>11022.1</v>
      </c>
      <c r="T3619">
        <f t="shared" si="738"/>
        <v>-1.2700947144846892E-4</v>
      </c>
      <c r="U3619" t="str">
        <f t="shared" si="732"/>
        <v>2024-07</v>
      </c>
      <c r="W3619">
        <v>34046.54</v>
      </c>
      <c r="X3619">
        <f t="shared" si="739"/>
        <v>1.7306003756894037E-3</v>
      </c>
      <c r="Y3619">
        <f t="shared" si="740"/>
        <v>1.7320987287449425E-3</v>
      </c>
      <c r="Z3619" t="str">
        <f t="shared" si="733"/>
        <v>2024-07</v>
      </c>
    </row>
    <row r="3620" spans="1:26" x14ac:dyDescent="0.35">
      <c r="A3620" s="1">
        <v>45482</v>
      </c>
      <c r="C3620">
        <v>4903.62</v>
      </c>
      <c r="D3620">
        <f t="shared" si="734"/>
        <v>-1.341192642564823E-2</v>
      </c>
      <c r="E3620" t="str">
        <f t="shared" si="728"/>
        <v>2024-07</v>
      </c>
      <c r="G3620">
        <v>7508.66</v>
      </c>
      <c r="H3620">
        <f t="shared" si="735"/>
        <v>-1.5696561265320957E-2</v>
      </c>
      <c r="I3620" t="str">
        <f t="shared" si="729"/>
        <v>2024-07</v>
      </c>
      <c r="K3620">
        <v>18236.189999999999</v>
      </c>
      <c r="L3620">
        <f t="shared" si="736"/>
        <v>-1.2850697599568648E-2</v>
      </c>
      <c r="M3620" t="str">
        <f t="shared" si="730"/>
        <v>2024-07</v>
      </c>
      <c r="O3620">
        <v>9625.4570999999996</v>
      </c>
      <c r="P3620">
        <f t="shared" si="737"/>
        <v>-7.5083015098960926E-3</v>
      </c>
      <c r="Q3620" t="str">
        <f t="shared" si="731"/>
        <v>2024-07</v>
      </c>
      <c r="S3620">
        <v>10898.8</v>
      </c>
      <c r="T3620">
        <f t="shared" si="738"/>
        <v>-1.1249656752012248E-2</v>
      </c>
      <c r="U3620" t="str">
        <f t="shared" si="732"/>
        <v>2024-07</v>
      </c>
      <c r="W3620">
        <v>33864.47</v>
      </c>
      <c r="X3620">
        <f t="shared" si="739"/>
        <v>-5.3620299927769162E-3</v>
      </c>
      <c r="Y3620">
        <f t="shared" si="740"/>
        <v>-5.347679969829525E-3</v>
      </c>
      <c r="Z3620" t="str">
        <f t="shared" si="733"/>
        <v>2024-07</v>
      </c>
    </row>
    <row r="3621" spans="1:26" x14ac:dyDescent="0.35">
      <c r="A3621" s="1">
        <v>45483</v>
      </c>
      <c r="C3621">
        <v>4958.8599999999997</v>
      </c>
      <c r="D3621">
        <f t="shared" si="734"/>
        <v>1.1202167743705953E-2</v>
      </c>
      <c r="E3621" t="str">
        <f t="shared" si="728"/>
        <v>2024-07</v>
      </c>
      <c r="G3621">
        <v>7573.55</v>
      </c>
      <c r="H3621">
        <f t="shared" si="735"/>
        <v>8.6048928364495375E-3</v>
      </c>
      <c r="I3621" t="str">
        <f t="shared" si="729"/>
        <v>2024-07</v>
      </c>
      <c r="K3621">
        <v>18407.22</v>
      </c>
      <c r="L3621">
        <f t="shared" si="736"/>
        <v>9.3348977055105458E-3</v>
      </c>
      <c r="M3621" t="str">
        <f t="shared" si="730"/>
        <v>2024-07</v>
      </c>
      <c r="O3621">
        <v>9721.4213999999993</v>
      </c>
      <c r="P3621">
        <f t="shared" si="737"/>
        <v>9.920472393735346E-3</v>
      </c>
      <c r="Q3621" t="str">
        <f t="shared" si="731"/>
        <v>2024-07</v>
      </c>
      <c r="S3621">
        <v>11071.6</v>
      </c>
      <c r="T3621">
        <f t="shared" si="738"/>
        <v>1.573057962364402E-2</v>
      </c>
      <c r="U3621" t="str">
        <f t="shared" si="732"/>
        <v>2024-07</v>
      </c>
      <c r="W3621">
        <v>34306.400000000001</v>
      </c>
      <c r="X3621">
        <f t="shared" si="739"/>
        <v>1.296554351972571E-2</v>
      </c>
      <c r="Y3621">
        <f t="shared" si="740"/>
        <v>1.3049960622445893E-2</v>
      </c>
      <c r="Z3621" t="str">
        <f t="shared" si="733"/>
        <v>2024-07</v>
      </c>
    </row>
    <row r="3622" spans="1:26" x14ac:dyDescent="0.35">
      <c r="A3622" s="1">
        <v>45484</v>
      </c>
      <c r="C3622">
        <v>4976.13</v>
      </c>
      <c r="D3622">
        <f t="shared" si="734"/>
        <v>3.4766048873507449E-3</v>
      </c>
      <c r="E3622" t="str">
        <f t="shared" si="728"/>
        <v>2024-07</v>
      </c>
      <c r="G3622">
        <v>7627.13</v>
      </c>
      <c r="H3622">
        <f t="shared" si="735"/>
        <v>7.0497138158900985E-3</v>
      </c>
      <c r="I3622" t="str">
        <f t="shared" si="729"/>
        <v>2024-07</v>
      </c>
      <c r="K3622">
        <v>18534.560000000001</v>
      </c>
      <c r="L3622">
        <f t="shared" si="736"/>
        <v>6.8941184945676866E-3</v>
      </c>
      <c r="M3622" t="str">
        <f t="shared" si="730"/>
        <v>2024-07</v>
      </c>
      <c r="O3622">
        <v>9770.0876700000008</v>
      </c>
      <c r="P3622">
        <f t="shared" si="737"/>
        <v>4.9935970533363941E-3</v>
      </c>
      <c r="Q3622" t="str">
        <f t="shared" si="731"/>
        <v>2024-07</v>
      </c>
      <c r="S3622">
        <v>11170</v>
      </c>
      <c r="T3622">
        <f t="shared" si="738"/>
        <v>8.8483420260274913E-3</v>
      </c>
      <c r="U3622" t="str">
        <f t="shared" si="732"/>
        <v>2024-07</v>
      </c>
      <c r="W3622">
        <v>34318.11</v>
      </c>
      <c r="X3622">
        <f t="shared" si="739"/>
        <v>3.4127748565797929E-4</v>
      </c>
      <c r="Y3622">
        <f t="shared" si="740"/>
        <v>3.413357274444164E-4</v>
      </c>
      <c r="Z3622" t="str">
        <f t="shared" si="733"/>
        <v>2024-07</v>
      </c>
    </row>
    <row r="3623" spans="1:26" x14ac:dyDescent="0.35">
      <c r="A3623" s="1">
        <v>45485</v>
      </c>
      <c r="C3623">
        <v>5043.0200000000004</v>
      </c>
      <c r="D3623">
        <f t="shared" si="734"/>
        <v>1.3352628482496399E-2</v>
      </c>
      <c r="E3623" t="str">
        <f t="shared" si="728"/>
        <v>2024-07</v>
      </c>
      <c r="G3623">
        <v>7724.32</v>
      </c>
      <c r="H3623">
        <f t="shared" si="735"/>
        <v>1.2662165272908994E-2</v>
      </c>
      <c r="I3623" t="str">
        <f t="shared" si="729"/>
        <v>2024-07</v>
      </c>
      <c r="K3623">
        <v>18748.18</v>
      </c>
      <c r="L3623">
        <f t="shared" si="736"/>
        <v>1.1459583589958756E-2</v>
      </c>
      <c r="M3623" t="str">
        <f t="shared" si="730"/>
        <v>2024-07</v>
      </c>
      <c r="O3623">
        <v>9828.5687500000004</v>
      </c>
      <c r="P3623">
        <f t="shared" si="737"/>
        <v>5.9678839525246609E-3</v>
      </c>
      <c r="Q3623" t="str">
        <f t="shared" si="731"/>
        <v>2024-07</v>
      </c>
      <c r="S3623">
        <v>11250.6</v>
      </c>
      <c r="T3623">
        <f t="shared" si="738"/>
        <v>7.1898474804815652E-3</v>
      </c>
      <c r="U3623" t="str">
        <f t="shared" si="732"/>
        <v>2024-07</v>
      </c>
      <c r="W3623">
        <v>34580.519999999997</v>
      </c>
      <c r="X3623">
        <f t="shared" si="739"/>
        <v>7.6173145627784801E-3</v>
      </c>
      <c r="Y3623">
        <f t="shared" si="740"/>
        <v>7.6464001076981284E-3</v>
      </c>
      <c r="Z3623" t="str">
        <f t="shared" si="733"/>
        <v>2024-07</v>
      </c>
    </row>
    <row r="3624" spans="1:26" x14ac:dyDescent="0.35">
      <c r="A3624" s="1">
        <v>45488</v>
      </c>
      <c r="C3624">
        <v>4983.1099999999997</v>
      </c>
      <c r="D3624">
        <f t="shared" si="734"/>
        <v>-1.1950914869236993E-2</v>
      </c>
      <c r="E3624" t="str">
        <f t="shared" si="728"/>
        <v>2024-07</v>
      </c>
      <c r="G3624">
        <v>7632.71</v>
      </c>
      <c r="H3624">
        <f t="shared" si="735"/>
        <v>-1.1930833850206874E-2</v>
      </c>
      <c r="I3624" t="str">
        <f t="shared" si="729"/>
        <v>2024-07</v>
      </c>
      <c r="K3624">
        <v>18590.89</v>
      </c>
      <c r="L3624">
        <f t="shared" si="736"/>
        <v>-8.4250052493863008E-3</v>
      </c>
      <c r="M3624" t="str">
        <f t="shared" si="730"/>
        <v>2024-07</v>
      </c>
      <c r="O3624">
        <v>9736.8670399999992</v>
      </c>
      <c r="P3624">
        <f t="shared" si="737"/>
        <v>-9.3739165814076316E-3</v>
      </c>
      <c r="Q3624" t="str">
        <f t="shared" si="731"/>
        <v>2024-07</v>
      </c>
      <c r="S3624">
        <v>11143</v>
      </c>
      <c r="T3624">
        <f t="shared" si="738"/>
        <v>-9.6099624966740158E-3</v>
      </c>
      <c r="U3624" t="str">
        <f t="shared" si="732"/>
        <v>2024-07</v>
      </c>
      <c r="W3624">
        <v>34375.919999999998</v>
      </c>
      <c r="X3624">
        <f t="shared" si="739"/>
        <v>-5.9341984711065599E-3</v>
      </c>
      <c r="Y3624">
        <f t="shared" si="740"/>
        <v>-5.9166258922653146E-3</v>
      </c>
      <c r="Z3624" t="str">
        <f t="shared" si="733"/>
        <v>2024-07</v>
      </c>
    </row>
    <row r="3625" spans="1:26" x14ac:dyDescent="0.35">
      <c r="A3625" s="1">
        <v>45489</v>
      </c>
      <c r="C3625">
        <v>4947.83</v>
      </c>
      <c r="D3625">
        <f t="shared" si="734"/>
        <v>-7.1050974868766374E-3</v>
      </c>
      <c r="E3625" t="str">
        <f t="shared" si="728"/>
        <v>2024-07</v>
      </c>
      <c r="G3625">
        <v>7580.03</v>
      </c>
      <c r="H3625">
        <f t="shared" si="735"/>
        <v>-6.9258017390392114E-3</v>
      </c>
      <c r="I3625" t="str">
        <f t="shared" si="729"/>
        <v>2024-07</v>
      </c>
      <c r="K3625">
        <v>18518.03</v>
      </c>
      <c r="L3625">
        <f t="shared" si="736"/>
        <v>-3.9268237191887618E-3</v>
      </c>
      <c r="M3625" t="str">
        <f t="shared" si="730"/>
        <v>2024-07</v>
      </c>
      <c r="O3625">
        <v>9714.0489899999993</v>
      </c>
      <c r="P3625">
        <f t="shared" si="737"/>
        <v>-2.3462196260683921E-3</v>
      </c>
      <c r="Q3625" t="str">
        <f t="shared" si="731"/>
        <v>2024-07</v>
      </c>
      <c r="S3625">
        <v>11090.5</v>
      </c>
      <c r="T3625">
        <f t="shared" si="738"/>
        <v>-4.7226120562098538E-3</v>
      </c>
      <c r="U3625" t="str">
        <f t="shared" si="732"/>
        <v>2024-07</v>
      </c>
      <c r="W3625">
        <v>34369.19</v>
      </c>
      <c r="X3625">
        <f t="shared" si="739"/>
        <v>-1.9579574522455304E-4</v>
      </c>
      <c r="Y3625">
        <f t="shared" si="740"/>
        <v>-1.9577657848854447E-4</v>
      </c>
      <c r="Z3625" t="str">
        <f t="shared" si="733"/>
        <v>2024-07</v>
      </c>
    </row>
    <row r="3626" spans="1:26" x14ac:dyDescent="0.35">
      <c r="A3626" s="1">
        <v>45490</v>
      </c>
      <c r="C3626">
        <v>4891.46</v>
      </c>
      <c r="D3626">
        <f t="shared" si="734"/>
        <v>-1.1458269192696838E-2</v>
      </c>
      <c r="E3626" t="str">
        <f t="shared" si="728"/>
        <v>2024-07</v>
      </c>
      <c r="G3626">
        <v>7570.81</v>
      </c>
      <c r="H3626">
        <f t="shared" si="735"/>
        <v>-1.217094383961012E-3</v>
      </c>
      <c r="I3626" t="str">
        <f t="shared" si="729"/>
        <v>2024-07</v>
      </c>
      <c r="K3626">
        <v>18437.3</v>
      </c>
      <c r="L3626">
        <f t="shared" si="736"/>
        <v>-4.3690654863268981E-3</v>
      </c>
      <c r="M3626" t="str">
        <f t="shared" si="730"/>
        <v>2024-07</v>
      </c>
      <c r="O3626">
        <v>9741.0548799999997</v>
      </c>
      <c r="P3626">
        <f t="shared" si="737"/>
        <v>2.7762285440352166E-3</v>
      </c>
      <c r="Q3626" t="str">
        <f t="shared" si="731"/>
        <v>2024-07</v>
      </c>
      <c r="S3626">
        <v>11105.2</v>
      </c>
      <c r="T3626">
        <f t="shared" si="738"/>
        <v>1.3245810809553757E-3</v>
      </c>
      <c r="U3626" t="str">
        <f t="shared" si="732"/>
        <v>2024-07</v>
      </c>
      <c r="W3626">
        <v>34379.64</v>
      </c>
      <c r="X3626">
        <f t="shared" si="739"/>
        <v>3.0400517595654598E-4</v>
      </c>
      <c r="Y3626">
        <f t="shared" si="740"/>
        <v>3.0405139021306841E-4</v>
      </c>
      <c r="Z3626" t="str">
        <f t="shared" si="733"/>
        <v>2024-07</v>
      </c>
    </row>
    <row r="3627" spans="1:26" x14ac:dyDescent="0.35">
      <c r="A3627" s="1">
        <v>45491</v>
      </c>
      <c r="C3627">
        <v>4870.12</v>
      </c>
      <c r="D3627">
        <f t="shared" si="734"/>
        <v>-4.3722499832246258E-3</v>
      </c>
      <c r="E3627" t="str">
        <f t="shared" si="728"/>
        <v>2024-07</v>
      </c>
      <c r="G3627">
        <v>7586.55</v>
      </c>
      <c r="H3627">
        <f t="shared" si="735"/>
        <v>2.0768795697641263E-3</v>
      </c>
      <c r="I3627" t="str">
        <f t="shared" si="729"/>
        <v>2024-07</v>
      </c>
      <c r="K3627">
        <v>18354.759999999998</v>
      </c>
      <c r="L3627">
        <f t="shared" si="736"/>
        <v>-4.4868451765432372E-3</v>
      </c>
      <c r="M3627" t="str">
        <f t="shared" si="730"/>
        <v>2024-07</v>
      </c>
      <c r="O3627">
        <v>9750.2595299999994</v>
      </c>
      <c r="P3627">
        <f t="shared" si="737"/>
        <v>9.4448742559218837E-4</v>
      </c>
      <c r="Q3627" t="str">
        <f t="shared" si="731"/>
        <v>2024-07</v>
      </c>
      <c r="S3627">
        <v>11147.5</v>
      </c>
      <c r="T3627">
        <f t="shared" si="738"/>
        <v>3.8017904298322486E-3</v>
      </c>
      <c r="U3627" t="str">
        <f t="shared" si="732"/>
        <v>2024-07</v>
      </c>
      <c r="W3627">
        <v>34529.129999999997</v>
      </c>
      <c r="X3627">
        <f t="shared" si="739"/>
        <v>4.3387869066087419E-3</v>
      </c>
      <c r="Y3627">
        <f t="shared" si="740"/>
        <v>4.3482130702938706E-3</v>
      </c>
      <c r="Z3627" t="str">
        <f t="shared" si="733"/>
        <v>2024-07</v>
      </c>
    </row>
    <row r="3628" spans="1:26" x14ac:dyDescent="0.35">
      <c r="A3628" s="1">
        <v>45492</v>
      </c>
      <c r="C3628">
        <v>4827.24</v>
      </c>
      <c r="D3628">
        <f t="shared" si="734"/>
        <v>-8.8437016824829684E-3</v>
      </c>
      <c r="E3628" t="str">
        <f t="shared" si="728"/>
        <v>2024-07</v>
      </c>
      <c r="G3628">
        <v>7534.52</v>
      </c>
      <c r="H3628">
        <f t="shared" si="735"/>
        <v>-6.8818152871751928E-3</v>
      </c>
      <c r="I3628" t="str">
        <f t="shared" si="729"/>
        <v>2024-07</v>
      </c>
      <c r="K3628">
        <v>18171.93</v>
      </c>
      <c r="L3628">
        <f t="shared" si="736"/>
        <v>-1.0010845597419741E-2</v>
      </c>
      <c r="M3628" t="str">
        <f t="shared" si="730"/>
        <v>2024-07</v>
      </c>
      <c r="O3628">
        <v>9675.9731800000009</v>
      </c>
      <c r="P3628">
        <f t="shared" si="737"/>
        <v>-7.6480821796214475E-3</v>
      </c>
      <c r="Q3628" t="str">
        <f t="shared" si="731"/>
        <v>2024-07</v>
      </c>
      <c r="S3628">
        <v>11087.5</v>
      </c>
      <c r="T3628">
        <f t="shared" si="738"/>
        <v>-5.3969098837968058E-3</v>
      </c>
      <c r="U3628" t="str">
        <f t="shared" si="732"/>
        <v>2024-07</v>
      </c>
      <c r="W3628">
        <v>34215.839999999997</v>
      </c>
      <c r="X3628">
        <f t="shared" si="739"/>
        <v>-9.1146208635148277E-3</v>
      </c>
      <c r="Y3628">
        <f t="shared" si="740"/>
        <v>-9.073208621242437E-3</v>
      </c>
      <c r="Z3628" t="str">
        <f t="shared" si="733"/>
        <v>2024-07</v>
      </c>
    </row>
    <row r="3629" spans="1:26" x14ac:dyDescent="0.35">
      <c r="A3629" s="1">
        <v>45495</v>
      </c>
      <c r="C3629">
        <v>4897.4399999999996</v>
      </c>
      <c r="D3629">
        <f t="shared" si="734"/>
        <v>1.4437743847444052E-2</v>
      </c>
      <c r="E3629" t="str">
        <f t="shared" si="728"/>
        <v>2024-07</v>
      </c>
      <c r="G3629">
        <v>7622.02</v>
      </c>
      <c r="H3629">
        <f t="shared" si="735"/>
        <v>1.1546299102715079E-2</v>
      </c>
      <c r="I3629" t="str">
        <f t="shared" si="729"/>
        <v>2024-07</v>
      </c>
      <c r="K3629">
        <v>18407.07</v>
      </c>
      <c r="L3629">
        <f t="shared" si="736"/>
        <v>1.2856734134809832E-2</v>
      </c>
      <c r="M3629" t="str">
        <f t="shared" si="730"/>
        <v>2024-07</v>
      </c>
      <c r="O3629">
        <v>9729.1787700000004</v>
      </c>
      <c r="P3629">
        <f t="shared" si="737"/>
        <v>5.4836698485207711E-3</v>
      </c>
      <c r="Q3629" t="str">
        <f t="shared" si="731"/>
        <v>2024-07</v>
      </c>
      <c r="S3629">
        <v>11143.8</v>
      </c>
      <c r="T3629">
        <f t="shared" si="738"/>
        <v>5.0649418035161797E-3</v>
      </c>
      <c r="U3629" t="str">
        <f t="shared" si="732"/>
        <v>2024-07</v>
      </c>
      <c r="W3629">
        <v>34615.050000000003</v>
      </c>
      <c r="X3629">
        <f t="shared" si="739"/>
        <v>1.1599863850654406E-2</v>
      </c>
      <c r="Y3629">
        <f t="shared" si="740"/>
        <v>1.166740316765587E-2</v>
      </c>
      <c r="Z3629" t="str">
        <f t="shared" si="733"/>
        <v>2024-07</v>
      </c>
    </row>
    <row r="3630" spans="1:26" x14ac:dyDescent="0.35">
      <c r="A3630" s="1">
        <v>45496</v>
      </c>
      <c r="C3630">
        <v>4916.8</v>
      </c>
      <c r="D3630">
        <f t="shared" si="734"/>
        <v>3.9452927811157081E-3</v>
      </c>
      <c r="E3630" t="str">
        <f t="shared" si="728"/>
        <v>2024-07</v>
      </c>
      <c r="G3630">
        <v>7598.63</v>
      </c>
      <c r="H3630">
        <f t="shared" si="735"/>
        <v>-3.0734585463976271E-3</v>
      </c>
      <c r="I3630" t="str">
        <f t="shared" si="729"/>
        <v>2024-07</v>
      </c>
      <c r="K3630">
        <v>18557.7</v>
      </c>
      <c r="L3630">
        <f t="shared" si="736"/>
        <v>8.1499673208204684E-3</v>
      </c>
      <c r="M3630" t="str">
        <f t="shared" si="730"/>
        <v>2024-07</v>
      </c>
      <c r="O3630">
        <v>9715.3549000000003</v>
      </c>
      <c r="P3630">
        <f t="shared" si="737"/>
        <v>-1.4218774863545309E-3</v>
      </c>
      <c r="Q3630" t="str">
        <f t="shared" si="731"/>
        <v>2024-07</v>
      </c>
      <c r="S3630">
        <v>11212.7</v>
      </c>
      <c r="T3630">
        <f t="shared" si="738"/>
        <v>6.1637750218475782E-3</v>
      </c>
      <c r="U3630" t="str">
        <f t="shared" si="732"/>
        <v>2024-07</v>
      </c>
      <c r="W3630">
        <v>34637.75</v>
      </c>
      <c r="X3630">
        <f t="shared" si="739"/>
        <v>6.555691845810341E-4</v>
      </c>
      <c r="Y3630">
        <f t="shared" si="740"/>
        <v>6.5578411702415824E-4</v>
      </c>
      <c r="Z3630" t="str">
        <f t="shared" si="733"/>
        <v>2024-07</v>
      </c>
    </row>
    <row r="3631" spans="1:26" x14ac:dyDescent="0.35">
      <c r="A3631" s="1">
        <v>45497</v>
      </c>
      <c r="C3631">
        <v>4861.87</v>
      </c>
      <c r="D3631">
        <f t="shared" si="734"/>
        <v>-1.1234774825531832E-2</v>
      </c>
      <c r="E3631" t="str">
        <f t="shared" si="728"/>
        <v>2024-07</v>
      </c>
      <c r="G3631">
        <v>7513.73</v>
      </c>
      <c r="H3631">
        <f t="shared" si="735"/>
        <v>-1.1235954304067083E-2</v>
      </c>
      <c r="I3631" t="str">
        <f t="shared" si="729"/>
        <v>2024-07</v>
      </c>
      <c r="K3631">
        <v>18387.46</v>
      </c>
      <c r="L3631">
        <f t="shared" si="736"/>
        <v>-9.2158867309455987E-3</v>
      </c>
      <c r="M3631" t="str">
        <f t="shared" si="730"/>
        <v>2024-07</v>
      </c>
      <c r="O3631">
        <v>9712.8925400000007</v>
      </c>
      <c r="P3631">
        <f t="shared" si="737"/>
        <v>-2.5348246369503308E-4</v>
      </c>
      <c r="Q3631" t="str">
        <f t="shared" si="731"/>
        <v>2024-07</v>
      </c>
      <c r="S3631">
        <v>11210.1</v>
      </c>
      <c r="T3631">
        <f t="shared" si="738"/>
        <v>-2.3190681018008175E-4</v>
      </c>
      <c r="U3631" t="str">
        <f t="shared" si="732"/>
        <v>2024-07</v>
      </c>
      <c r="W3631">
        <v>34471.65</v>
      </c>
      <c r="X3631">
        <f t="shared" si="739"/>
        <v>-4.8068806798159036E-3</v>
      </c>
      <c r="Y3631">
        <f t="shared" si="740"/>
        <v>-4.7953461180359159E-3</v>
      </c>
      <c r="Z3631" t="str">
        <f t="shared" si="733"/>
        <v>2024-07</v>
      </c>
    </row>
    <row r="3632" spans="1:26" x14ac:dyDescent="0.35">
      <c r="A3632" s="1">
        <v>45498</v>
      </c>
      <c r="C3632">
        <v>4811.28</v>
      </c>
      <c r="D3632">
        <f t="shared" si="734"/>
        <v>-1.0459976586358007E-2</v>
      </c>
      <c r="E3632" t="str">
        <f t="shared" si="728"/>
        <v>2024-07</v>
      </c>
      <c r="G3632">
        <v>7427.02</v>
      </c>
      <c r="H3632">
        <f t="shared" si="735"/>
        <v>-1.160731202009465E-2</v>
      </c>
      <c r="I3632" t="str">
        <f t="shared" si="729"/>
        <v>2024-07</v>
      </c>
      <c r="K3632">
        <v>18298.72</v>
      </c>
      <c r="L3632">
        <f t="shared" si="736"/>
        <v>-4.8377984884054705E-3</v>
      </c>
      <c r="M3632" t="str">
        <f t="shared" si="730"/>
        <v>2024-07</v>
      </c>
      <c r="O3632">
        <v>9709.5145499999999</v>
      </c>
      <c r="P3632">
        <f t="shared" si="737"/>
        <v>-3.4784463309910833E-4</v>
      </c>
      <c r="Q3632" t="str">
        <f t="shared" si="731"/>
        <v>2024-07</v>
      </c>
      <c r="S3632">
        <v>11145.6</v>
      </c>
      <c r="T3632">
        <f t="shared" si="738"/>
        <v>-5.7703564613363666E-3</v>
      </c>
      <c r="U3632" t="str">
        <f t="shared" si="732"/>
        <v>2024-07</v>
      </c>
      <c r="W3632">
        <v>33771.07</v>
      </c>
      <c r="X3632">
        <f t="shared" si="739"/>
        <v>-2.0532728271234809E-2</v>
      </c>
      <c r="Y3632">
        <f t="shared" si="740"/>
        <v>-2.0323367172734745E-2</v>
      </c>
      <c r="Z3632" t="str">
        <f t="shared" si="733"/>
        <v>2024-07</v>
      </c>
    </row>
    <row r="3633" spans="1:26" x14ac:dyDescent="0.35">
      <c r="A3633" s="1">
        <v>45499</v>
      </c>
      <c r="C3633">
        <v>4862.5</v>
      </c>
      <c r="D3633">
        <f t="shared" si="734"/>
        <v>1.058954796237129E-2</v>
      </c>
      <c r="E3633" t="str">
        <f t="shared" si="728"/>
        <v>2024-07</v>
      </c>
      <c r="G3633">
        <v>7517.68</v>
      </c>
      <c r="H3633">
        <f t="shared" si="735"/>
        <v>1.2132878163380408E-2</v>
      </c>
      <c r="I3633" t="str">
        <f t="shared" si="729"/>
        <v>2024-07</v>
      </c>
      <c r="K3633">
        <v>18417.55</v>
      </c>
      <c r="L3633">
        <f t="shared" si="736"/>
        <v>6.4729023345375348E-3</v>
      </c>
      <c r="M3633" t="str">
        <f t="shared" si="730"/>
        <v>2024-07</v>
      </c>
      <c r="O3633">
        <v>9817.7846800000007</v>
      </c>
      <c r="P3633">
        <f t="shared" si="737"/>
        <v>1.1089218045716642E-2</v>
      </c>
      <c r="Q3633" t="str">
        <f t="shared" si="731"/>
        <v>2024-07</v>
      </c>
      <c r="S3633">
        <v>11165.9</v>
      </c>
      <c r="T3633">
        <f t="shared" si="738"/>
        <v>1.8196898999678429E-3</v>
      </c>
      <c r="U3633" t="str">
        <f t="shared" si="732"/>
        <v>2024-07</v>
      </c>
      <c r="W3633">
        <v>33812.44</v>
      </c>
      <c r="X3633">
        <f t="shared" si="739"/>
        <v>1.2242632904738632E-3</v>
      </c>
      <c r="Y3633">
        <f t="shared" si="740"/>
        <v>1.2250130066948611E-3</v>
      </c>
      <c r="Z3633" t="str">
        <f t="shared" si="733"/>
        <v>2024-07</v>
      </c>
    </row>
    <row r="3634" spans="1:26" x14ac:dyDescent="0.35">
      <c r="A3634" s="1">
        <v>45502</v>
      </c>
      <c r="C3634">
        <v>4815.3900000000003</v>
      </c>
      <c r="D3634">
        <f t="shared" si="734"/>
        <v>-9.7356700898110857E-3</v>
      </c>
      <c r="E3634" t="str">
        <f t="shared" si="728"/>
        <v>2024-07</v>
      </c>
      <c r="G3634">
        <v>7443.84</v>
      </c>
      <c r="H3634">
        <f t="shared" si="735"/>
        <v>-9.8707349957712666E-3</v>
      </c>
      <c r="I3634" t="str">
        <f t="shared" si="729"/>
        <v>2024-07</v>
      </c>
      <c r="K3634">
        <v>18320.669999999998</v>
      </c>
      <c r="L3634">
        <f t="shared" si="736"/>
        <v>-5.2740837507864865E-3</v>
      </c>
      <c r="M3634" t="str">
        <f t="shared" si="730"/>
        <v>2024-07</v>
      </c>
      <c r="O3634">
        <v>9849.36859</v>
      </c>
      <c r="P3634">
        <f t="shared" si="737"/>
        <v>3.211846342774449E-3</v>
      </c>
      <c r="Q3634" t="str">
        <f t="shared" si="731"/>
        <v>2024-07</v>
      </c>
      <c r="S3634">
        <v>11117.8</v>
      </c>
      <c r="T3634">
        <f t="shared" si="738"/>
        <v>-4.3170635669513898E-3</v>
      </c>
      <c r="U3634" t="str">
        <f t="shared" si="732"/>
        <v>2024-07</v>
      </c>
      <c r="W3634">
        <v>33640.83</v>
      </c>
      <c r="X3634">
        <f t="shared" si="739"/>
        <v>-5.0882743047466986E-3</v>
      </c>
      <c r="Y3634">
        <f t="shared" si="740"/>
        <v>-5.0753509655026546E-3</v>
      </c>
      <c r="Z3634" t="str">
        <f t="shared" si="733"/>
        <v>2024-07</v>
      </c>
    </row>
    <row r="3635" spans="1:26" x14ac:dyDescent="0.35">
      <c r="A3635" s="1">
        <v>45503</v>
      </c>
      <c r="C3635">
        <v>4841</v>
      </c>
      <c r="D3635">
        <f t="shared" si="734"/>
        <v>5.3042721028036411E-3</v>
      </c>
      <c r="E3635" t="str">
        <f t="shared" si="728"/>
        <v>2024-07</v>
      </c>
      <c r="G3635">
        <v>7474.94</v>
      </c>
      <c r="H3635">
        <f t="shared" si="735"/>
        <v>4.1692477602003159E-3</v>
      </c>
      <c r="I3635" t="str">
        <f t="shared" si="729"/>
        <v>2024-07</v>
      </c>
      <c r="K3635">
        <v>18411.18</v>
      </c>
      <c r="L3635">
        <f t="shared" si="736"/>
        <v>4.9281581615240018E-3</v>
      </c>
      <c r="M3635" t="str">
        <f t="shared" si="730"/>
        <v>2024-07</v>
      </c>
      <c r="O3635">
        <v>9820.0275500000007</v>
      </c>
      <c r="P3635">
        <f t="shared" si="737"/>
        <v>-2.9834227298500861E-3</v>
      </c>
      <c r="Q3635" t="str">
        <f t="shared" si="731"/>
        <v>2024-07</v>
      </c>
      <c r="S3635">
        <v>11202.6</v>
      </c>
      <c r="T3635">
        <f t="shared" si="738"/>
        <v>7.5984666946466387E-3</v>
      </c>
      <c r="U3635" t="str">
        <f t="shared" si="732"/>
        <v>2024-07</v>
      </c>
      <c r="W3635">
        <v>33908.019999999997</v>
      </c>
      <c r="X3635">
        <f t="shared" si="739"/>
        <v>7.911056768596117E-3</v>
      </c>
      <c r="Y3635">
        <f t="shared" si="740"/>
        <v>7.9424318603314795E-3</v>
      </c>
      <c r="Z3635" t="str">
        <f t="shared" si="733"/>
        <v>2024-07</v>
      </c>
    </row>
    <row r="3636" spans="1:26" x14ac:dyDescent="0.35">
      <c r="A3636" s="1">
        <v>45504</v>
      </c>
      <c r="C3636">
        <v>4872.9399999999996</v>
      </c>
      <c r="D3636">
        <f t="shared" si="734"/>
        <v>6.5761400843194918E-3</v>
      </c>
      <c r="E3636" t="str">
        <f t="shared" si="728"/>
        <v>2024-07</v>
      </c>
      <c r="G3636">
        <v>7531.49</v>
      </c>
      <c r="H3636">
        <f t="shared" si="735"/>
        <v>7.5368049144137099E-3</v>
      </c>
      <c r="I3636" t="str">
        <f t="shared" si="729"/>
        <v>2024-07</v>
      </c>
      <c r="K3636">
        <v>18508.650000000001</v>
      </c>
      <c r="L3636">
        <f t="shared" si="736"/>
        <v>5.2801015850241616E-3</v>
      </c>
      <c r="M3636" t="str">
        <f t="shared" si="730"/>
        <v>2024-07</v>
      </c>
      <c r="O3636">
        <v>9937.9923500000004</v>
      </c>
      <c r="P3636">
        <f t="shared" si="737"/>
        <v>1.1941095545821706E-2</v>
      </c>
      <c r="Q3636" t="str">
        <f t="shared" si="731"/>
        <v>2024-07</v>
      </c>
      <c r="S3636">
        <v>11065</v>
      </c>
      <c r="T3636">
        <f t="shared" si="738"/>
        <v>-1.2358920714195061E-2</v>
      </c>
      <c r="U3636" t="str">
        <f t="shared" si="732"/>
        <v>2024-07</v>
      </c>
      <c r="W3636">
        <v>33763.86</v>
      </c>
      <c r="X3636">
        <f t="shared" si="739"/>
        <v>-4.260564892564509E-3</v>
      </c>
      <c r="Y3636">
        <f t="shared" si="740"/>
        <v>-4.2515015621671873E-3</v>
      </c>
      <c r="Z3636" t="str">
        <f t="shared" si="733"/>
        <v>2024-07</v>
      </c>
    </row>
    <row r="3637" spans="1:26" x14ac:dyDescent="0.35">
      <c r="A3637" s="1">
        <v>45505</v>
      </c>
      <c r="C3637">
        <v>4765.72</v>
      </c>
      <c r="D3637">
        <f t="shared" si="734"/>
        <v>-2.2248823566595608E-2</v>
      </c>
      <c r="E3637" t="str">
        <f t="shared" si="728"/>
        <v>2024-08</v>
      </c>
      <c r="G3637">
        <v>7370.45</v>
      </c>
      <c r="H3637">
        <f t="shared" si="735"/>
        <v>-2.1614134721195572E-2</v>
      </c>
      <c r="I3637" t="str">
        <f t="shared" si="729"/>
        <v>2024-08</v>
      </c>
      <c r="K3637">
        <v>18083.05</v>
      </c>
      <c r="L3637">
        <f t="shared" si="736"/>
        <v>-2.3263154949246231E-2</v>
      </c>
      <c r="M3637" t="str">
        <f t="shared" si="730"/>
        <v>2024-08</v>
      </c>
      <c r="O3637">
        <v>9794.7314499999993</v>
      </c>
      <c r="P3637">
        <f t="shared" si="737"/>
        <v>-1.4520389436107738E-2</v>
      </c>
      <c r="Q3637" t="str">
        <f t="shared" si="731"/>
        <v>2024-08</v>
      </c>
      <c r="S3637">
        <v>10854.3</v>
      </c>
      <c r="T3637">
        <f t="shared" si="738"/>
        <v>-1.9225658663887757E-2</v>
      </c>
      <c r="U3637" t="str">
        <f t="shared" si="732"/>
        <v>2024-08</v>
      </c>
      <c r="W3637">
        <v>32857.43</v>
      </c>
      <c r="X3637">
        <f t="shared" si="739"/>
        <v>-2.7213100724597844E-2</v>
      </c>
      <c r="Y3637">
        <f t="shared" si="740"/>
        <v>-2.6846160361996534E-2</v>
      </c>
      <c r="Z3637" t="str">
        <f t="shared" si="733"/>
        <v>2024-08</v>
      </c>
    </row>
    <row r="3638" spans="1:26" x14ac:dyDescent="0.35">
      <c r="A3638" s="1">
        <v>45506</v>
      </c>
      <c r="C3638">
        <v>4638.7</v>
      </c>
      <c r="D3638">
        <f t="shared" si="734"/>
        <v>-2.7014472906533613E-2</v>
      </c>
      <c r="E3638" t="str">
        <f t="shared" si="728"/>
        <v>2024-08</v>
      </c>
      <c r="G3638">
        <v>7251.8</v>
      </c>
      <c r="H3638">
        <f t="shared" si="735"/>
        <v>-1.6229048768599923E-2</v>
      </c>
      <c r="I3638" t="str">
        <f t="shared" si="729"/>
        <v>2024-08</v>
      </c>
      <c r="K3638">
        <v>17661.22</v>
      </c>
      <c r="L3638">
        <f t="shared" si="736"/>
        <v>-2.3603759964523893E-2</v>
      </c>
      <c r="M3638" t="str">
        <f t="shared" si="730"/>
        <v>2024-08</v>
      </c>
      <c r="O3638">
        <v>9580.8619999999992</v>
      </c>
      <c r="P3638">
        <f t="shared" si="737"/>
        <v>-2.2077066913070844E-2</v>
      </c>
      <c r="Q3638" t="str">
        <f t="shared" si="731"/>
        <v>2024-08</v>
      </c>
      <c r="S3638">
        <v>10672.9</v>
      </c>
      <c r="T3638">
        <f t="shared" si="738"/>
        <v>-1.685349638808769E-2</v>
      </c>
      <c r="U3638" t="str">
        <f t="shared" si="732"/>
        <v>2024-08</v>
      </c>
      <c r="W3638">
        <v>32018.82</v>
      </c>
      <c r="X3638">
        <f t="shared" si="739"/>
        <v>-2.5854044038132948E-2</v>
      </c>
      <c r="Y3638">
        <f t="shared" si="740"/>
        <v>-2.5522689997361344E-2</v>
      </c>
      <c r="Z3638" t="str">
        <f t="shared" si="733"/>
        <v>2024-08</v>
      </c>
    </row>
    <row r="3639" spans="1:26" x14ac:dyDescent="0.35">
      <c r="A3639" s="1">
        <v>45509</v>
      </c>
      <c r="C3639">
        <v>4571.6000000000004</v>
      </c>
      <c r="D3639">
        <f t="shared" si="734"/>
        <v>-1.4570901527441737E-2</v>
      </c>
      <c r="E3639" t="str">
        <f t="shared" si="728"/>
        <v>2024-08</v>
      </c>
      <c r="G3639">
        <v>7148.99</v>
      </c>
      <c r="H3639">
        <f t="shared" si="735"/>
        <v>-1.4278625926599064E-2</v>
      </c>
      <c r="I3639" t="str">
        <f t="shared" si="729"/>
        <v>2024-08</v>
      </c>
      <c r="K3639">
        <v>17339</v>
      </c>
      <c r="L3639">
        <f t="shared" si="736"/>
        <v>-1.8412975899886917E-2</v>
      </c>
      <c r="M3639" t="str">
        <f t="shared" si="730"/>
        <v>2024-08</v>
      </c>
      <c r="O3639">
        <v>9327.8343199999999</v>
      </c>
      <c r="P3639">
        <f t="shared" si="737"/>
        <v>-2.6764699185710571E-2</v>
      </c>
      <c r="Q3639" t="str">
        <f t="shared" si="731"/>
        <v>2024-08</v>
      </c>
      <c r="S3639">
        <v>10423.4</v>
      </c>
      <c r="T3639">
        <f t="shared" si="738"/>
        <v>-2.3654539763231404E-2</v>
      </c>
      <c r="U3639" t="str">
        <f t="shared" si="732"/>
        <v>2024-08</v>
      </c>
      <c r="W3639">
        <v>31293.52</v>
      </c>
      <c r="X3639">
        <f t="shared" si="739"/>
        <v>-2.2912807563294675E-2</v>
      </c>
      <c r="Y3639">
        <f t="shared" si="740"/>
        <v>-2.2652302614524809E-2</v>
      </c>
      <c r="Z3639" t="str">
        <f t="shared" si="733"/>
        <v>2024-08</v>
      </c>
    </row>
    <row r="3640" spans="1:26" x14ac:dyDescent="0.35">
      <c r="A3640" s="1">
        <v>45510</v>
      </c>
      <c r="C3640">
        <v>4575.22</v>
      </c>
      <c r="D3640">
        <f t="shared" si="734"/>
        <v>7.9153196170919323E-4</v>
      </c>
      <c r="E3640" t="str">
        <f t="shared" si="728"/>
        <v>2024-08</v>
      </c>
      <c r="G3640">
        <v>7130.04</v>
      </c>
      <c r="H3640">
        <f t="shared" si="735"/>
        <v>-2.6542434780571686E-3</v>
      </c>
      <c r="I3640" t="str">
        <f t="shared" si="729"/>
        <v>2024-08</v>
      </c>
      <c r="K3640">
        <v>17354.32</v>
      </c>
      <c r="L3640">
        <f t="shared" si="736"/>
        <v>8.8316719159654497E-4</v>
      </c>
      <c r="M3640" t="str">
        <f t="shared" si="730"/>
        <v>2024-08</v>
      </c>
      <c r="O3640">
        <v>9331.9085300000006</v>
      </c>
      <c r="P3640">
        <f t="shared" si="737"/>
        <v>4.3668448139887737E-4</v>
      </c>
      <c r="Q3640" t="str">
        <f t="shared" si="731"/>
        <v>2024-08</v>
      </c>
      <c r="S3640">
        <v>10390.5</v>
      </c>
      <c r="T3640">
        <f t="shared" si="738"/>
        <v>-3.1613515391738928E-3</v>
      </c>
      <c r="U3640" t="str">
        <f t="shared" si="732"/>
        <v>2024-08</v>
      </c>
      <c r="W3640">
        <v>31107.13</v>
      </c>
      <c r="X3640">
        <f t="shared" si="739"/>
        <v>-5.9739939995149764E-3</v>
      </c>
      <c r="Y3640">
        <f t="shared" si="740"/>
        <v>-5.9561851782733112E-3</v>
      </c>
      <c r="Z3640" t="str">
        <f t="shared" si="733"/>
        <v>2024-08</v>
      </c>
    </row>
    <row r="3641" spans="1:26" x14ac:dyDescent="0.35">
      <c r="A3641" s="1">
        <v>45511</v>
      </c>
      <c r="C3641">
        <v>4668.0600000000004</v>
      </c>
      <c r="D3641">
        <f t="shared" si="734"/>
        <v>2.0088782809126408E-2</v>
      </c>
      <c r="E3641" t="str">
        <f t="shared" si="728"/>
        <v>2024-08</v>
      </c>
      <c r="G3641">
        <v>7266.01</v>
      </c>
      <c r="H3641">
        <f t="shared" si="735"/>
        <v>1.8890465562470996E-2</v>
      </c>
      <c r="I3641" t="str">
        <f t="shared" si="729"/>
        <v>2024-08</v>
      </c>
      <c r="K3641">
        <v>17615.150000000001</v>
      </c>
      <c r="L3641">
        <f t="shared" si="736"/>
        <v>1.491786047258249E-2</v>
      </c>
      <c r="M3641" t="str">
        <f t="shared" si="730"/>
        <v>2024-08</v>
      </c>
      <c r="O3641">
        <v>9502.3540599999997</v>
      </c>
      <c r="P3641">
        <f t="shared" si="737"/>
        <v>1.8100011345910789E-2</v>
      </c>
      <c r="Q3641" t="str">
        <f t="shared" si="731"/>
        <v>2024-08</v>
      </c>
      <c r="S3641">
        <v>10599</v>
      </c>
      <c r="T3641">
        <f t="shared" si="738"/>
        <v>1.9867729896485394E-2</v>
      </c>
      <c r="U3641" t="str">
        <f t="shared" si="732"/>
        <v>2024-08</v>
      </c>
      <c r="W3641">
        <v>31831.64</v>
      </c>
      <c r="X3641">
        <f t="shared" si="739"/>
        <v>2.3023710327273083E-2</v>
      </c>
      <c r="Y3641">
        <f t="shared" si="740"/>
        <v>2.3290801819389906E-2</v>
      </c>
      <c r="Z3641" t="str">
        <f t="shared" si="733"/>
        <v>2024-08</v>
      </c>
    </row>
    <row r="3642" spans="1:26" x14ac:dyDescent="0.35">
      <c r="A3642" s="1">
        <v>45512</v>
      </c>
      <c r="C3642">
        <v>4668.74</v>
      </c>
      <c r="D3642">
        <f t="shared" si="734"/>
        <v>1.4566018361790523E-4</v>
      </c>
      <c r="E3642" t="str">
        <f t="shared" si="728"/>
        <v>2024-08</v>
      </c>
      <c r="G3642">
        <v>7247.45</v>
      </c>
      <c r="H3642">
        <f t="shared" si="735"/>
        <v>-2.5576272119057063E-3</v>
      </c>
      <c r="I3642" t="str">
        <f t="shared" si="729"/>
        <v>2024-08</v>
      </c>
      <c r="K3642">
        <v>17680.400000000001</v>
      </c>
      <c r="L3642">
        <f t="shared" si="736"/>
        <v>3.6973541612432422E-3</v>
      </c>
      <c r="M3642" t="str">
        <f t="shared" si="730"/>
        <v>2024-08</v>
      </c>
      <c r="O3642">
        <v>9513.5399899999993</v>
      </c>
      <c r="P3642">
        <f t="shared" si="737"/>
        <v>1.1764822901095876E-3</v>
      </c>
      <c r="Q3642" t="str">
        <f t="shared" si="731"/>
        <v>2024-08</v>
      </c>
      <c r="S3642">
        <v>10558</v>
      </c>
      <c r="T3642">
        <f t="shared" si="738"/>
        <v>-3.8757906436933725E-3</v>
      </c>
      <c r="U3642" t="str">
        <f t="shared" si="732"/>
        <v>2024-08</v>
      </c>
      <c r="W3642">
        <v>31741.91</v>
      </c>
      <c r="X3642">
        <f t="shared" si="739"/>
        <v>-2.8228739652049768E-3</v>
      </c>
      <c r="Y3642">
        <f t="shared" si="740"/>
        <v>-2.8188934029160788E-3</v>
      </c>
      <c r="Z3642" t="str">
        <f t="shared" si="733"/>
        <v>2024-08</v>
      </c>
    </row>
    <row r="3643" spans="1:26" x14ac:dyDescent="0.35">
      <c r="A3643" s="1">
        <v>45513</v>
      </c>
      <c r="C3643">
        <v>4675.28</v>
      </c>
      <c r="D3643">
        <f t="shared" si="734"/>
        <v>1.3998259995022621E-3</v>
      </c>
      <c r="E3643" t="str">
        <f t="shared" si="728"/>
        <v>2024-08</v>
      </c>
      <c r="G3643">
        <v>7269.71</v>
      </c>
      <c r="H3643">
        <f t="shared" si="735"/>
        <v>3.0667179318579151E-3</v>
      </c>
      <c r="I3643" t="str">
        <f t="shared" si="729"/>
        <v>2024-08</v>
      </c>
      <c r="K3643">
        <v>17722.88</v>
      </c>
      <c r="L3643">
        <f t="shared" si="736"/>
        <v>2.3997787994014994E-3</v>
      </c>
      <c r="M3643" t="str">
        <f t="shared" si="730"/>
        <v>2024-08</v>
      </c>
      <c r="O3643">
        <v>9543.7878700000001</v>
      </c>
      <c r="P3643">
        <f t="shared" si="737"/>
        <v>3.1744120290723541E-3</v>
      </c>
      <c r="Q3643" t="str">
        <f t="shared" si="731"/>
        <v>2024-08</v>
      </c>
      <c r="S3643">
        <v>10638.5</v>
      </c>
      <c r="T3643">
        <f t="shared" si="738"/>
        <v>7.5956301302110537E-3</v>
      </c>
      <c r="U3643" t="str">
        <f t="shared" si="732"/>
        <v>2024-08</v>
      </c>
      <c r="W3643">
        <v>31782.23</v>
      </c>
      <c r="X3643">
        <f t="shared" si="739"/>
        <v>1.2694388437074664E-3</v>
      </c>
      <c r="Y3643">
        <f t="shared" si="740"/>
        <v>1.270244922249471E-3</v>
      </c>
      <c r="Z3643" t="str">
        <f t="shared" si="733"/>
        <v>2024-08</v>
      </c>
    </row>
    <row r="3644" spans="1:26" x14ac:dyDescent="0.35">
      <c r="A3644" s="1">
        <v>45516</v>
      </c>
      <c r="C3644">
        <v>4671.88</v>
      </c>
      <c r="D3644">
        <f t="shared" si="734"/>
        <v>-7.2749373070597452E-4</v>
      </c>
      <c r="E3644" t="str">
        <f t="shared" si="728"/>
        <v>2024-08</v>
      </c>
      <c r="G3644">
        <v>7250.67</v>
      </c>
      <c r="H3644">
        <f t="shared" si="735"/>
        <v>-2.6225224012725486E-3</v>
      </c>
      <c r="I3644" t="str">
        <f t="shared" si="729"/>
        <v>2024-08</v>
      </c>
      <c r="K3644">
        <v>17726.47</v>
      </c>
      <c r="L3644">
        <f t="shared" si="736"/>
        <v>2.0254250147163177E-4</v>
      </c>
      <c r="M3644" t="str">
        <f t="shared" si="730"/>
        <v>2024-08</v>
      </c>
      <c r="O3644">
        <v>9589.5238900000004</v>
      </c>
      <c r="P3644">
        <f t="shared" si="737"/>
        <v>4.7807831372952119E-3</v>
      </c>
      <c r="Q3644" t="str">
        <f t="shared" si="731"/>
        <v>2024-08</v>
      </c>
      <c r="S3644">
        <v>10646.2</v>
      </c>
      <c r="T3644">
        <f t="shared" si="738"/>
        <v>7.2352444111547338E-4</v>
      </c>
      <c r="U3644" t="str">
        <f t="shared" si="732"/>
        <v>2024-08</v>
      </c>
      <c r="W3644">
        <v>31928.32</v>
      </c>
      <c r="X3644">
        <f t="shared" si="739"/>
        <v>4.5860616819826351E-3</v>
      </c>
      <c r="Y3644">
        <f t="shared" si="740"/>
        <v>4.5965937569516094E-3</v>
      </c>
      <c r="Z3644" t="str">
        <f t="shared" si="733"/>
        <v>2024-08</v>
      </c>
    </row>
    <row r="3645" spans="1:26" x14ac:dyDescent="0.35">
      <c r="A3645" s="1">
        <v>45517</v>
      </c>
      <c r="C3645">
        <v>4694.92</v>
      </c>
      <c r="D3645">
        <f t="shared" si="734"/>
        <v>4.9195128468773842E-3</v>
      </c>
      <c r="E3645" t="str">
        <f t="shared" si="728"/>
        <v>2024-08</v>
      </c>
      <c r="G3645">
        <v>7275.87</v>
      </c>
      <c r="H3645">
        <f t="shared" si="735"/>
        <v>3.4695151465963989E-3</v>
      </c>
      <c r="I3645" t="str">
        <f t="shared" si="729"/>
        <v>2024-08</v>
      </c>
      <c r="K3645">
        <v>17812.05</v>
      </c>
      <c r="L3645">
        <f t="shared" si="736"/>
        <v>4.8161918630244072E-3</v>
      </c>
      <c r="M3645" t="str">
        <f t="shared" si="730"/>
        <v>2024-08</v>
      </c>
      <c r="O3645">
        <v>9641.0435099999995</v>
      </c>
      <c r="P3645">
        <f t="shared" si="737"/>
        <v>5.3581095332410518E-3</v>
      </c>
      <c r="Q3645" t="str">
        <f t="shared" si="731"/>
        <v>2024-08</v>
      </c>
      <c r="S3645">
        <v>10723.8</v>
      </c>
      <c r="T3645">
        <f t="shared" si="738"/>
        <v>7.2625494694998176E-3</v>
      </c>
      <c r="U3645" t="str">
        <f t="shared" si="732"/>
        <v>2024-08</v>
      </c>
      <c r="W3645">
        <v>32006.45</v>
      </c>
      <c r="X3645">
        <f t="shared" si="739"/>
        <v>2.4440547417885349E-3</v>
      </c>
      <c r="Y3645">
        <f t="shared" si="740"/>
        <v>2.4470438782873958E-3</v>
      </c>
      <c r="Z3645" t="str">
        <f t="shared" si="733"/>
        <v>2024-08</v>
      </c>
    </row>
    <row r="3646" spans="1:26" x14ac:dyDescent="0.35">
      <c r="A3646" s="1">
        <v>45518</v>
      </c>
      <c r="C3646">
        <v>4727.6000000000004</v>
      </c>
      <c r="D3646">
        <f t="shared" si="734"/>
        <v>6.9366010445153815E-3</v>
      </c>
      <c r="E3646" t="str">
        <f t="shared" si="728"/>
        <v>2024-08</v>
      </c>
      <c r="G3646">
        <v>7333.36</v>
      </c>
      <c r="H3646">
        <f t="shared" si="735"/>
        <v>7.8704075108392852E-3</v>
      </c>
      <c r="I3646" t="str">
        <f t="shared" si="729"/>
        <v>2024-08</v>
      </c>
      <c r="K3646">
        <v>17885.599999999999</v>
      </c>
      <c r="L3646">
        <f t="shared" si="736"/>
        <v>4.1207252620566173E-3</v>
      </c>
      <c r="M3646" t="str">
        <f t="shared" si="730"/>
        <v>2024-08</v>
      </c>
      <c r="O3646">
        <v>9648.9489799999992</v>
      </c>
      <c r="P3646">
        <f t="shared" si="737"/>
        <v>8.1964474031639544E-4</v>
      </c>
      <c r="Q3646" t="str">
        <f t="shared" si="731"/>
        <v>2024-08</v>
      </c>
      <c r="S3646">
        <v>10753</v>
      </c>
      <c r="T3646">
        <f t="shared" si="738"/>
        <v>2.7192149661383939E-3</v>
      </c>
      <c r="U3646" t="str">
        <f t="shared" si="732"/>
        <v>2024-08</v>
      </c>
      <c r="W3646">
        <v>32328.03</v>
      </c>
      <c r="X3646">
        <f t="shared" si="739"/>
        <v>9.9972107751285597E-3</v>
      </c>
      <c r="Y3646">
        <f t="shared" si="740"/>
        <v>1.004734983104962E-2</v>
      </c>
      <c r="Z3646" t="str">
        <f t="shared" si="733"/>
        <v>2024-08</v>
      </c>
    </row>
    <row r="3647" spans="1:26" x14ac:dyDescent="0.35">
      <c r="A3647" s="1">
        <v>45520</v>
      </c>
      <c r="C3647">
        <v>4840.5200000000004</v>
      </c>
      <c r="D3647">
        <f t="shared" si="734"/>
        <v>2.360447881807046E-2</v>
      </c>
      <c r="E3647" t="str">
        <f t="shared" si="728"/>
        <v>2024-08</v>
      </c>
      <c r="G3647">
        <v>7449.7</v>
      </c>
      <c r="H3647">
        <f t="shared" si="735"/>
        <v>1.5739962077065229E-2</v>
      </c>
      <c r="I3647" t="str">
        <f t="shared" si="729"/>
        <v>2024-08</v>
      </c>
      <c r="K3647">
        <v>18322.400000000001</v>
      </c>
      <c r="L3647">
        <f t="shared" si="736"/>
        <v>2.4128435218561489E-2</v>
      </c>
      <c r="M3647" t="str">
        <f t="shared" si="730"/>
        <v>2024-08</v>
      </c>
      <c r="O3647">
        <v>9759.3355699999993</v>
      </c>
      <c r="P3647">
        <f t="shared" si="737"/>
        <v>1.1375325833707298E-2</v>
      </c>
      <c r="Q3647" t="str">
        <f t="shared" si="731"/>
        <v>2024-08</v>
      </c>
      <c r="S3647">
        <v>10949.7</v>
      </c>
      <c r="T3647">
        <f t="shared" si="738"/>
        <v>1.8127273218534849E-2</v>
      </c>
      <c r="U3647" t="str">
        <f t="shared" si="732"/>
        <v>2024-08</v>
      </c>
      <c r="W3647">
        <v>33040.81</v>
      </c>
      <c r="X3647">
        <f t="shared" si="739"/>
        <v>2.1808808326906501E-2</v>
      </c>
      <c r="Y3647">
        <f t="shared" si="740"/>
        <v>2.2048358653465702E-2</v>
      </c>
      <c r="Z3647" t="str">
        <f t="shared" si="733"/>
        <v>2024-08</v>
      </c>
    </row>
    <row r="3648" spans="1:26" x14ac:dyDescent="0.35">
      <c r="A3648" s="1">
        <v>45523</v>
      </c>
      <c r="C3648">
        <v>4871.41</v>
      </c>
      <c r="D3648">
        <f t="shared" si="734"/>
        <v>6.3612699361562533E-3</v>
      </c>
      <c r="E3648" t="str">
        <f t="shared" si="728"/>
        <v>2024-08</v>
      </c>
      <c r="G3648">
        <v>7502.01</v>
      </c>
      <c r="H3648">
        <f t="shared" si="735"/>
        <v>6.9972215123834851E-3</v>
      </c>
      <c r="I3648" t="str">
        <f t="shared" si="729"/>
        <v>2024-08</v>
      </c>
      <c r="K3648">
        <v>18421.689999999999</v>
      </c>
      <c r="L3648">
        <f t="shared" si="736"/>
        <v>5.4044196859788767E-3</v>
      </c>
      <c r="M3648" t="str">
        <f t="shared" si="730"/>
        <v>2024-08</v>
      </c>
      <c r="O3648">
        <v>9796.8028799999993</v>
      </c>
      <c r="P3648">
        <f t="shared" si="737"/>
        <v>3.8317744516468597E-3</v>
      </c>
      <c r="Q3648" t="str">
        <f t="shared" si="731"/>
        <v>2024-08</v>
      </c>
      <c r="S3648">
        <v>11102.5</v>
      </c>
      <c r="T3648">
        <f t="shared" si="738"/>
        <v>1.3858249557196051E-2</v>
      </c>
      <c r="U3648" t="str">
        <f t="shared" si="732"/>
        <v>2024-08</v>
      </c>
      <c r="W3648">
        <v>33266.32</v>
      </c>
      <c r="X3648">
        <f t="shared" si="739"/>
        <v>6.8020096625575925E-3</v>
      </c>
      <c r="Y3648">
        <f t="shared" si="740"/>
        <v>6.8251958714087837E-3</v>
      </c>
      <c r="Z3648" t="str">
        <f t="shared" si="733"/>
        <v>2024-08</v>
      </c>
    </row>
    <row r="3649" spans="1:26" x14ac:dyDescent="0.35">
      <c r="A3649" s="1">
        <v>45524</v>
      </c>
      <c r="C3649">
        <v>4857.58</v>
      </c>
      <c r="D3649">
        <f t="shared" si="734"/>
        <v>-2.8430513990842675E-3</v>
      </c>
      <c r="E3649" t="str">
        <f t="shared" si="728"/>
        <v>2024-08</v>
      </c>
      <c r="G3649">
        <v>7485.73</v>
      </c>
      <c r="H3649">
        <f t="shared" si="735"/>
        <v>-2.1724431305588454E-3</v>
      </c>
      <c r="I3649" t="str">
        <f t="shared" si="729"/>
        <v>2024-08</v>
      </c>
      <c r="K3649">
        <v>18357.52</v>
      </c>
      <c r="L3649">
        <f t="shared" si="736"/>
        <v>-3.4894749024501149E-3</v>
      </c>
      <c r="M3649" t="str">
        <f t="shared" si="730"/>
        <v>2024-08</v>
      </c>
      <c r="O3649">
        <v>9695.00612</v>
      </c>
      <c r="P3649">
        <f t="shared" si="737"/>
        <v>-1.0445175767412895E-2</v>
      </c>
      <c r="Q3649" t="str">
        <f t="shared" si="731"/>
        <v>2024-08</v>
      </c>
      <c r="S3649">
        <v>11087.8</v>
      </c>
      <c r="T3649">
        <f t="shared" si="738"/>
        <v>-1.3249034172884736E-3</v>
      </c>
      <c r="U3649" t="str">
        <f t="shared" si="732"/>
        <v>2024-08</v>
      </c>
      <c r="W3649">
        <v>33075.620000000003</v>
      </c>
      <c r="X3649">
        <f t="shared" si="739"/>
        <v>-5.7490186521107966E-3</v>
      </c>
      <c r="Y3649">
        <f t="shared" si="740"/>
        <v>-5.7325246675916392E-3</v>
      </c>
      <c r="Z3649" t="str">
        <f t="shared" si="733"/>
        <v>2024-08</v>
      </c>
    </row>
    <row r="3650" spans="1:26" x14ac:dyDescent="0.35">
      <c r="A3650" s="1">
        <v>45525</v>
      </c>
      <c r="C3650">
        <v>4885.28</v>
      </c>
      <c r="D3650">
        <f t="shared" si="734"/>
        <v>5.6862306624147051E-3</v>
      </c>
      <c r="E3650" t="str">
        <f t="shared" si="728"/>
        <v>2024-08</v>
      </c>
      <c r="G3650">
        <v>7524.72</v>
      </c>
      <c r="H3650">
        <f t="shared" si="735"/>
        <v>5.1950591342097259E-3</v>
      </c>
      <c r="I3650" t="str">
        <f t="shared" si="729"/>
        <v>2024-08</v>
      </c>
      <c r="K3650">
        <v>18448.95</v>
      </c>
      <c r="L3650">
        <f t="shared" si="736"/>
        <v>4.9681584819602706E-3</v>
      </c>
      <c r="M3650" t="str">
        <f t="shared" si="730"/>
        <v>2024-08</v>
      </c>
      <c r="O3650">
        <v>9727.4192800000001</v>
      </c>
      <c r="P3650">
        <f t="shared" si="737"/>
        <v>3.3377077706272067E-3</v>
      </c>
      <c r="Q3650" t="str">
        <f t="shared" si="731"/>
        <v>2024-08</v>
      </c>
      <c r="S3650">
        <v>11114.9</v>
      </c>
      <c r="T3650">
        <f t="shared" si="738"/>
        <v>2.441145757753979E-3</v>
      </c>
      <c r="U3650" t="str">
        <f t="shared" si="732"/>
        <v>2024-08</v>
      </c>
      <c r="W3650">
        <v>33312.410000000003</v>
      </c>
      <c r="X3650">
        <f t="shared" si="739"/>
        <v>7.1335451326414046E-3</v>
      </c>
      <c r="Y3650">
        <f t="shared" si="740"/>
        <v>7.1590494751119062E-3</v>
      </c>
      <c r="Z3650" t="str">
        <f t="shared" si="733"/>
        <v>2024-08</v>
      </c>
    </row>
    <row r="3651" spans="1:26" x14ac:dyDescent="0.35">
      <c r="A3651" s="1">
        <v>45526</v>
      </c>
      <c r="C3651">
        <v>4885</v>
      </c>
      <c r="D3651">
        <f t="shared" si="734"/>
        <v>-5.7316678759780401E-5</v>
      </c>
      <c r="E3651" t="str">
        <f t="shared" si="728"/>
        <v>2024-08</v>
      </c>
      <c r="G3651">
        <v>7524.11</v>
      </c>
      <c r="H3651">
        <f t="shared" si="735"/>
        <v>-8.1069425375180818E-5</v>
      </c>
      <c r="I3651" t="str">
        <f t="shared" si="729"/>
        <v>2024-08</v>
      </c>
      <c r="K3651">
        <v>18493.39</v>
      </c>
      <c r="L3651">
        <f t="shared" si="736"/>
        <v>2.4059126431314557E-3</v>
      </c>
      <c r="M3651" t="str">
        <f t="shared" si="730"/>
        <v>2024-08</v>
      </c>
      <c r="O3651">
        <v>9762.0853299999999</v>
      </c>
      <c r="P3651">
        <f t="shared" si="737"/>
        <v>3.5574107451594684E-3</v>
      </c>
      <c r="Q3651" t="str">
        <f t="shared" si="731"/>
        <v>2024-08</v>
      </c>
      <c r="S3651">
        <v>11156.3</v>
      </c>
      <c r="T3651">
        <f t="shared" si="738"/>
        <v>3.7178102380004711E-3</v>
      </c>
      <c r="U3651" t="str">
        <f t="shared" si="732"/>
        <v>2024-08</v>
      </c>
      <c r="W3651">
        <v>33310.93</v>
      </c>
      <c r="X3651">
        <f t="shared" si="739"/>
        <v>-4.4428874332833214E-5</v>
      </c>
      <c r="Y3651">
        <f t="shared" si="740"/>
        <v>-4.4427887385007604E-5</v>
      </c>
      <c r="Z3651" t="str">
        <f t="shared" si="733"/>
        <v>2024-08</v>
      </c>
    </row>
    <row r="3652" spans="1:26" x14ac:dyDescent="0.35">
      <c r="A3652" s="1">
        <v>45527</v>
      </c>
      <c r="C3652">
        <v>4909.2</v>
      </c>
      <c r="D3652">
        <f t="shared" si="734"/>
        <v>4.9417102464701301E-3</v>
      </c>
      <c r="E3652" t="str">
        <f t="shared" ref="E3652:E3715" si="741">_xlfn.CONCAT(YEAR(A3652),"-",TEXT(MONTH(A3652),"00"))</f>
        <v>2024-08</v>
      </c>
      <c r="G3652">
        <v>7577.04</v>
      </c>
      <c r="H3652">
        <f t="shared" si="735"/>
        <v>7.0100908545684109E-3</v>
      </c>
      <c r="I3652" t="str">
        <f t="shared" ref="I3652:I3715" si="742">_xlfn.CONCAT(YEAR(A3652),"-",TEXT(MONTH(A3652),"00"))</f>
        <v>2024-08</v>
      </c>
      <c r="K3652">
        <v>18633.099999999999</v>
      </c>
      <c r="L3652">
        <f t="shared" si="736"/>
        <v>7.5261981120847221E-3</v>
      </c>
      <c r="M3652" t="str">
        <f t="shared" ref="M3652:M3715" si="743">_xlfn.CONCAT(YEAR(A3652),"-",TEXT(MONTH(A3652),"00"))</f>
        <v>2024-08</v>
      </c>
      <c r="O3652">
        <v>9831.0136000000002</v>
      </c>
      <c r="P3652">
        <f t="shared" si="737"/>
        <v>7.0360032995113219E-3</v>
      </c>
      <c r="Q3652" t="str">
        <f t="shared" ref="Q3652:Q3715" si="744">_xlfn.CONCAT(YEAR(A3652),"-",TEXT(MONTH(A3652),"00"))</f>
        <v>2024-08</v>
      </c>
      <c r="S3652">
        <v>11278.1</v>
      </c>
      <c r="T3652">
        <f t="shared" si="738"/>
        <v>1.0858431403452169E-2</v>
      </c>
      <c r="U3652" t="str">
        <f t="shared" ref="U3652:U3715" si="745">_xlfn.CONCAT(YEAR(A3652),"-",TEXT(MONTH(A3652),"00"))</f>
        <v>2024-08</v>
      </c>
      <c r="W3652">
        <v>33650.17</v>
      </c>
      <c r="X3652">
        <f t="shared" si="739"/>
        <v>1.0132536724393394E-2</v>
      </c>
      <c r="Y3652">
        <f t="shared" si="740"/>
        <v>1.0184044696440417E-2</v>
      </c>
      <c r="Z3652" t="str">
        <f t="shared" ref="Z3652:Z3715" si="746">_xlfn.CONCAT(YEAR(A3652),"-",TEXT(MONTH(A3652),"00"))</f>
        <v>2024-08</v>
      </c>
    </row>
    <row r="3653" spans="1:26" x14ac:dyDescent="0.35">
      <c r="A3653" s="1">
        <v>45531</v>
      </c>
      <c r="C3653">
        <v>4898.78</v>
      </c>
      <c r="D3653">
        <f t="shared" ref="D3653:D3716" si="747">LN(C3653/C3652)</f>
        <v>-2.1248012170363411E-3</v>
      </c>
      <c r="E3653" t="str">
        <f t="shared" si="741"/>
        <v>2024-08</v>
      </c>
      <c r="G3653">
        <v>7565.78</v>
      </c>
      <c r="H3653">
        <f t="shared" ref="H3653:H3716" si="748">LN(G3653/G3652)</f>
        <v>-1.4871737332013977E-3</v>
      </c>
      <c r="I3653" t="str">
        <f t="shared" si="742"/>
        <v>2024-08</v>
      </c>
      <c r="K3653">
        <v>18681.810000000001</v>
      </c>
      <c r="L3653">
        <f t="shared" ref="L3653:L3716" si="749">LN(K3653/K3652)</f>
        <v>2.610754128439884E-3</v>
      </c>
      <c r="M3653" t="str">
        <f t="shared" si="743"/>
        <v>2024-08</v>
      </c>
      <c r="O3653">
        <v>9890.3342499999999</v>
      </c>
      <c r="P3653">
        <f t="shared" ref="P3653:P3716" si="750">LN(O3653/O3652)</f>
        <v>6.0159000649942299E-3</v>
      </c>
      <c r="Q3653" t="str">
        <f t="shared" si="744"/>
        <v>2024-08</v>
      </c>
      <c r="S3653">
        <v>11326.9</v>
      </c>
      <c r="T3653">
        <f t="shared" ref="T3653:T3716" si="751">LN(S3653/S3652)</f>
        <v>4.3176355506022099E-3</v>
      </c>
      <c r="U3653" t="str">
        <f t="shared" si="745"/>
        <v>2024-08</v>
      </c>
      <c r="W3653">
        <v>33778.800000000003</v>
      </c>
      <c r="X3653">
        <f t="shared" ref="X3653:X3716" si="752">LN(W3653/W3652)</f>
        <v>3.8152786860579601E-3</v>
      </c>
      <c r="Y3653">
        <f t="shared" ref="Y3653:Y3716" si="753">(W3653-W3652)/W3652</f>
        <v>3.8225661267091565E-3</v>
      </c>
      <c r="Z3653" t="str">
        <f t="shared" si="746"/>
        <v>2024-08</v>
      </c>
    </row>
    <row r="3654" spans="1:26" x14ac:dyDescent="0.35">
      <c r="A3654" s="1">
        <v>45532</v>
      </c>
      <c r="C3654">
        <v>4913.03</v>
      </c>
      <c r="D3654">
        <f t="shared" si="747"/>
        <v>2.9046648924162372E-3</v>
      </c>
      <c r="E3654" t="str">
        <f t="shared" si="741"/>
        <v>2024-08</v>
      </c>
      <c r="G3654">
        <v>7577.67</v>
      </c>
      <c r="H3654">
        <f t="shared" si="748"/>
        <v>1.5703162018283359E-3</v>
      </c>
      <c r="I3654" t="str">
        <f t="shared" si="742"/>
        <v>2024-08</v>
      </c>
      <c r="K3654">
        <v>18782.29</v>
      </c>
      <c r="L3654">
        <f t="shared" si="749"/>
        <v>5.3640813967983265E-3</v>
      </c>
      <c r="M3654" t="str">
        <f t="shared" si="743"/>
        <v>2024-08</v>
      </c>
      <c r="O3654">
        <v>9898.5160699999997</v>
      </c>
      <c r="P3654">
        <f t="shared" si="750"/>
        <v>8.2691215850443241E-4</v>
      </c>
      <c r="Q3654" t="str">
        <f t="shared" si="744"/>
        <v>2024-08</v>
      </c>
      <c r="S3654">
        <v>11332</v>
      </c>
      <c r="T3654">
        <f t="shared" si="751"/>
        <v>4.5015425162936494E-4</v>
      </c>
      <c r="U3654" t="str">
        <f t="shared" si="745"/>
        <v>2024-08</v>
      </c>
      <c r="W3654">
        <v>33880.050000000003</v>
      </c>
      <c r="X3654">
        <f t="shared" si="752"/>
        <v>2.9929588097181237E-3</v>
      </c>
      <c r="Y3654">
        <f t="shared" si="753"/>
        <v>2.9974421826707873E-3</v>
      </c>
      <c r="Z3654" t="str">
        <f t="shared" si="746"/>
        <v>2024-08</v>
      </c>
    </row>
    <row r="3655" spans="1:26" x14ac:dyDescent="0.35">
      <c r="A3655" s="1">
        <v>45533</v>
      </c>
      <c r="C3655">
        <v>4966.2700000000004</v>
      </c>
      <c r="D3655">
        <f t="shared" si="747"/>
        <v>1.0778195905455304E-2</v>
      </c>
      <c r="E3655" t="str">
        <f t="shared" si="741"/>
        <v>2024-08</v>
      </c>
      <c r="G3655">
        <v>7640.95</v>
      </c>
      <c r="H3655">
        <f t="shared" si="748"/>
        <v>8.3161764597496184E-3</v>
      </c>
      <c r="I3655" t="str">
        <f t="shared" si="742"/>
        <v>2024-08</v>
      </c>
      <c r="K3655">
        <v>18912.57</v>
      </c>
      <c r="L3655">
        <f t="shared" si="749"/>
        <v>6.9123757849909586E-3</v>
      </c>
      <c r="M3655" t="str">
        <f t="shared" si="743"/>
        <v>2024-08</v>
      </c>
      <c r="O3655">
        <v>9968.3084400000007</v>
      </c>
      <c r="P3655">
        <f t="shared" si="750"/>
        <v>7.0260505975927312E-3</v>
      </c>
      <c r="Q3655" t="str">
        <f t="shared" si="744"/>
        <v>2024-08</v>
      </c>
      <c r="S3655">
        <v>11358.6</v>
      </c>
      <c r="T3655">
        <f t="shared" si="751"/>
        <v>2.3445842935121931E-3</v>
      </c>
      <c r="U3655" t="str">
        <f t="shared" si="745"/>
        <v>2024-08</v>
      </c>
      <c r="W3655">
        <v>34192.06</v>
      </c>
      <c r="X3655">
        <f t="shared" si="752"/>
        <v>9.167107792000603E-3</v>
      </c>
      <c r="Y3655">
        <f t="shared" si="753"/>
        <v>9.209254413733001E-3</v>
      </c>
      <c r="Z3655" t="str">
        <f t="shared" si="746"/>
        <v>2024-08</v>
      </c>
    </row>
    <row r="3656" spans="1:26" x14ac:dyDescent="0.35">
      <c r="A3656" s="1">
        <v>45534</v>
      </c>
      <c r="C3656">
        <v>4957.9799999999996</v>
      </c>
      <c r="D3656">
        <f t="shared" si="747"/>
        <v>-1.6706556018195732E-3</v>
      </c>
      <c r="E3656" t="str">
        <f t="shared" si="741"/>
        <v>2024-08</v>
      </c>
      <c r="G3656">
        <v>7630.95</v>
      </c>
      <c r="H3656">
        <f t="shared" si="748"/>
        <v>-1.3095949330729805E-3</v>
      </c>
      <c r="I3656" t="str">
        <f t="shared" si="742"/>
        <v>2024-08</v>
      </c>
      <c r="K3656">
        <v>18906.919999999998</v>
      </c>
      <c r="L3656">
        <f t="shared" si="749"/>
        <v>-2.9878774367580882E-4</v>
      </c>
      <c r="M3656" t="str">
        <f t="shared" si="743"/>
        <v>2024-08</v>
      </c>
      <c r="O3656">
        <v>9945.0686900000001</v>
      </c>
      <c r="P3656">
        <f t="shared" si="750"/>
        <v>-2.3340853135098419E-3</v>
      </c>
      <c r="Q3656" t="str">
        <f t="shared" si="744"/>
        <v>2024-08</v>
      </c>
      <c r="S3656">
        <v>11401.9</v>
      </c>
      <c r="T3656">
        <f t="shared" si="751"/>
        <v>3.8048419179883687E-3</v>
      </c>
      <c r="U3656" t="str">
        <f t="shared" si="745"/>
        <v>2024-08</v>
      </c>
      <c r="W3656">
        <v>34372.67</v>
      </c>
      <c r="X3656">
        <f t="shared" si="752"/>
        <v>5.2683184995664847E-3</v>
      </c>
      <c r="Y3656">
        <f t="shared" si="753"/>
        <v>5.2822204921259674E-3</v>
      </c>
      <c r="Z3656" t="str">
        <f t="shared" si="746"/>
        <v>2024-08</v>
      </c>
    </row>
    <row r="3657" spans="1:26" x14ac:dyDescent="0.35">
      <c r="A3657" s="1">
        <v>45537</v>
      </c>
      <c r="C3657">
        <v>4973.07</v>
      </c>
      <c r="D3657">
        <f t="shared" si="747"/>
        <v>3.0389559237602474E-3</v>
      </c>
      <c r="E3657" t="str">
        <f t="shared" si="741"/>
        <v>2024-09</v>
      </c>
      <c r="G3657">
        <v>7646.42</v>
      </c>
      <c r="H3657">
        <f t="shared" si="748"/>
        <v>2.0252183834689672E-3</v>
      </c>
      <c r="I3657" t="str">
        <f t="shared" si="742"/>
        <v>2024-09</v>
      </c>
      <c r="K3657">
        <v>18930.849999999999</v>
      </c>
      <c r="L3657">
        <f t="shared" si="749"/>
        <v>1.2648738649491257E-3</v>
      </c>
      <c r="M3657" t="str">
        <f t="shared" si="743"/>
        <v>2024-09</v>
      </c>
      <c r="O3657">
        <v>9932.9102899999998</v>
      </c>
      <c r="P3657">
        <f t="shared" si="750"/>
        <v>-1.2233035892088039E-3</v>
      </c>
      <c r="Q3657" t="str">
        <f t="shared" si="744"/>
        <v>2024-09</v>
      </c>
      <c r="S3657">
        <v>11395.3</v>
      </c>
      <c r="T3657">
        <f t="shared" si="751"/>
        <v>-5.790184921301945E-4</v>
      </c>
      <c r="U3657" t="str">
        <f t="shared" si="745"/>
        <v>2024-09</v>
      </c>
      <c r="W3657">
        <v>34320.6</v>
      </c>
      <c r="X3657">
        <f t="shared" si="752"/>
        <v>-1.5160148868356906E-3</v>
      </c>
      <c r="Y3657">
        <f t="shared" si="753"/>
        <v>-1.5148663167568802E-3</v>
      </c>
      <c r="Z3657" t="str">
        <f t="shared" si="746"/>
        <v>2024-09</v>
      </c>
    </row>
    <row r="3658" spans="1:26" x14ac:dyDescent="0.35">
      <c r="A3658" s="1">
        <v>45538</v>
      </c>
      <c r="C3658">
        <v>4912.5200000000004</v>
      </c>
      <c r="D3658">
        <f t="shared" si="747"/>
        <v>-1.2250307210080238E-2</v>
      </c>
      <c r="E3658" t="str">
        <f t="shared" si="741"/>
        <v>2024-09</v>
      </c>
      <c r="G3658">
        <v>7575.1</v>
      </c>
      <c r="H3658">
        <f t="shared" si="748"/>
        <v>-9.3710118198680279E-3</v>
      </c>
      <c r="I3658" t="str">
        <f t="shared" si="742"/>
        <v>2024-09</v>
      </c>
      <c r="K3658">
        <v>18747.11</v>
      </c>
      <c r="L3658">
        <f t="shared" si="749"/>
        <v>-9.7532592813576388E-3</v>
      </c>
      <c r="M3658" t="str">
        <f t="shared" si="743"/>
        <v>2024-09</v>
      </c>
      <c r="O3658">
        <v>9850.0517600000003</v>
      </c>
      <c r="P3658">
        <f t="shared" si="750"/>
        <v>-8.3768056887839823E-3</v>
      </c>
      <c r="Q3658" t="str">
        <f t="shared" si="744"/>
        <v>2024-09</v>
      </c>
      <c r="S3658">
        <v>11279.2</v>
      </c>
      <c r="T3658">
        <f t="shared" si="751"/>
        <v>-1.0240668118626096E-2</v>
      </c>
      <c r="U3658" t="str">
        <f t="shared" si="745"/>
        <v>2024-09</v>
      </c>
      <c r="W3658">
        <v>33863.43</v>
      </c>
      <c r="X3658">
        <f t="shared" si="752"/>
        <v>-1.3410085941482649E-2</v>
      </c>
      <c r="Y3658">
        <f t="shared" si="753"/>
        <v>-1.3320571318683189E-2</v>
      </c>
      <c r="Z3658" t="str">
        <f t="shared" si="746"/>
        <v>2024-09</v>
      </c>
    </row>
    <row r="3659" spans="1:26" x14ac:dyDescent="0.35">
      <c r="A3659" s="1">
        <v>45539</v>
      </c>
      <c r="C3659">
        <v>4848.18</v>
      </c>
      <c r="D3659">
        <f t="shared" si="747"/>
        <v>-1.3183671643280466E-2</v>
      </c>
      <c r="E3659" t="str">
        <f t="shared" si="741"/>
        <v>2024-09</v>
      </c>
      <c r="G3659">
        <v>7500.97</v>
      </c>
      <c r="H3659">
        <f t="shared" si="748"/>
        <v>-9.834207115664597E-3</v>
      </c>
      <c r="I3659" t="str">
        <f t="shared" si="742"/>
        <v>2024-09</v>
      </c>
      <c r="K3659">
        <v>18591.849999999999</v>
      </c>
      <c r="L3659">
        <f t="shared" si="749"/>
        <v>-8.3162945525999624E-3</v>
      </c>
      <c r="M3659" t="str">
        <f t="shared" si="743"/>
        <v>2024-09</v>
      </c>
      <c r="O3659">
        <v>9810.8714099999997</v>
      </c>
      <c r="P3659">
        <f t="shared" si="750"/>
        <v>-3.9856116141164782E-3</v>
      </c>
      <c r="Q3659" t="str">
        <f t="shared" si="744"/>
        <v>2024-09</v>
      </c>
      <c r="S3659">
        <v>11213.9</v>
      </c>
      <c r="T3659">
        <f t="shared" si="751"/>
        <v>-5.8062413319418535E-3</v>
      </c>
      <c r="U3659" t="str">
        <f t="shared" si="745"/>
        <v>2024-09</v>
      </c>
      <c r="W3659">
        <v>33682.26</v>
      </c>
      <c r="X3659">
        <f t="shared" si="752"/>
        <v>-5.3643817822983239E-3</v>
      </c>
      <c r="Y3659">
        <f t="shared" si="753"/>
        <v>-5.3500191799826019E-3</v>
      </c>
      <c r="Z3659" t="str">
        <f t="shared" si="746"/>
        <v>2024-09</v>
      </c>
    </row>
    <row r="3660" spans="1:26" x14ac:dyDescent="0.35">
      <c r="A3660" s="1">
        <v>45540</v>
      </c>
      <c r="C3660">
        <v>4815.1499999999996</v>
      </c>
      <c r="D3660">
        <f t="shared" si="747"/>
        <v>-6.8361793778008708E-3</v>
      </c>
      <c r="E3660" t="str">
        <f t="shared" si="741"/>
        <v>2024-09</v>
      </c>
      <c r="G3660">
        <v>7431.96</v>
      </c>
      <c r="H3660">
        <f t="shared" si="748"/>
        <v>-9.242726147033916E-3</v>
      </c>
      <c r="I3660" t="str">
        <f t="shared" si="742"/>
        <v>2024-09</v>
      </c>
      <c r="K3660">
        <v>18576.5</v>
      </c>
      <c r="L3660">
        <f t="shared" si="749"/>
        <v>-8.2597160609405331E-4</v>
      </c>
      <c r="M3660" t="str">
        <f t="shared" si="743"/>
        <v>2024-09</v>
      </c>
      <c r="O3660">
        <v>9780.0239500000007</v>
      </c>
      <c r="P3660">
        <f t="shared" si="750"/>
        <v>-3.1491654594264693E-3</v>
      </c>
      <c r="Q3660" t="str">
        <f t="shared" si="744"/>
        <v>2024-09</v>
      </c>
      <c r="S3660">
        <v>11273.5</v>
      </c>
      <c r="T3660">
        <f t="shared" si="751"/>
        <v>5.3007586073571464E-3</v>
      </c>
      <c r="U3660" t="str">
        <f t="shared" si="745"/>
        <v>2024-09</v>
      </c>
      <c r="W3660">
        <v>33684.800000000003</v>
      </c>
      <c r="X3660">
        <f t="shared" si="752"/>
        <v>7.5407773508365884E-5</v>
      </c>
      <c r="Y3660">
        <f t="shared" si="753"/>
        <v>7.5410616746051864E-5</v>
      </c>
      <c r="Z3660" t="str">
        <f t="shared" si="746"/>
        <v>2024-09</v>
      </c>
    </row>
    <row r="3661" spans="1:26" x14ac:dyDescent="0.35">
      <c r="A3661" s="1">
        <v>45541</v>
      </c>
      <c r="C3661">
        <v>4738.0600000000004</v>
      </c>
      <c r="D3661">
        <f t="shared" si="747"/>
        <v>-1.6139428185291706E-2</v>
      </c>
      <c r="E3661" t="str">
        <f t="shared" si="741"/>
        <v>2024-09</v>
      </c>
      <c r="G3661">
        <v>7352.3</v>
      </c>
      <c r="H3661">
        <f t="shared" si="748"/>
        <v>-1.077642992178565E-2</v>
      </c>
      <c r="I3661" t="str">
        <f t="shared" si="742"/>
        <v>2024-09</v>
      </c>
      <c r="K3661">
        <v>18301.900000000001</v>
      </c>
      <c r="L3661">
        <f t="shared" si="749"/>
        <v>-1.4892461450098694E-2</v>
      </c>
      <c r="M3661" t="str">
        <f t="shared" si="743"/>
        <v>2024-09</v>
      </c>
      <c r="O3661">
        <v>9690.4293899999993</v>
      </c>
      <c r="P3661">
        <f t="shared" si="750"/>
        <v>-9.2031953045883276E-3</v>
      </c>
      <c r="Q3661" t="str">
        <f t="shared" si="744"/>
        <v>2024-09</v>
      </c>
      <c r="S3661">
        <v>11173</v>
      </c>
      <c r="T3661">
        <f t="shared" si="751"/>
        <v>-8.954685279228906E-3</v>
      </c>
      <c r="U3661" t="str">
        <f t="shared" si="745"/>
        <v>2024-09</v>
      </c>
      <c r="W3661">
        <v>33291.39</v>
      </c>
      <c r="X3661">
        <f t="shared" si="752"/>
        <v>-1.1747892038341366E-2</v>
      </c>
      <c r="Y3661">
        <f t="shared" si="753"/>
        <v>-1.1679154989787782E-2</v>
      </c>
      <c r="Z3661" t="str">
        <f t="shared" si="746"/>
        <v>2024-09</v>
      </c>
    </row>
    <row r="3662" spans="1:26" x14ac:dyDescent="0.35">
      <c r="A3662" s="1">
        <v>45544</v>
      </c>
      <c r="C3662">
        <v>4778.66</v>
      </c>
      <c r="D3662">
        <f t="shared" si="747"/>
        <v>8.5324032466676508E-3</v>
      </c>
      <c r="E3662" t="str">
        <f t="shared" si="741"/>
        <v>2024-09</v>
      </c>
      <c r="G3662">
        <v>7425.26</v>
      </c>
      <c r="H3662">
        <f t="shared" si="748"/>
        <v>9.8745114667610299E-3</v>
      </c>
      <c r="I3662" t="str">
        <f t="shared" si="742"/>
        <v>2024-09</v>
      </c>
      <c r="K3662">
        <v>18443.560000000001</v>
      </c>
      <c r="L3662">
        <f t="shared" si="749"/>
        <v>7.7103784688395249E-3</v>
      </c>
      <c r="M3662" t="str">
        <f t="shared" si="743"/>
        <v>2024-09</v>
      </c>
      <c r="O3662">
        <v>9803.8909800000001</v>
      </c>
      <c r="P3662">
        <f t="shared" si="750"/>
        <v>1.1640608038603756E-2</v>
      </c>
      <c r="Q3662" t="str">
        <f t="shared" si="744"/>
        <v>2024-09</v>
      </c>
      <c r="S3662">
        <v>11272.8</v>
      </c>
      <c r="T3662">
        <f t="shared" si="751"/>
        <v>8.8925908335569584E-3</v>
      </c>
      <c r="U3662" t="str">
        <f t="shared" si="745"/>
        <v>2024-09</v>
      </c>
      <c r="W3662">
        <v>33590.339999999997</v>
      </c>
      <c r="X3662">
        <f t="shared" si="752"/>
        <v>8.9397206372979609E-3</v>
      </c>
      <c r="Y3662">
        <f t="shared" si="753"/>
        <v>8.9797992814357429E-3</v>
      </c>
      <c r="Z3662" t="str">
        <f t="shared" si="746"/>
        <v>2024-09</v>
      </c>
    </row>
    <row r="3663" spans="1:26" x14ac:dyDescent="0.35">
      <c r="A3663" s="1">
        <v>45545</v>
      </c>
      <c r="C3663">
        <v>4747.2</v>
      </c>
      <c r="D3663">
        <f t="shared" si="747"/>
        <v>-6.6052019197857855E-3</v>
      </c>
      <c r="E3663" t="str">
        <f t="shared" si="741"/>
        <v>2024-09</v>
      </c>
      <c r="G3663">
        <v>7407.55</v>
      </c>
      <c r="H3663">
        <f t="shared" si="748"/>
        <v>-2.3879505522763867E-3</v>
      </c>
      <c r="I3663" t="str">
        <f t="shared" si="742"/>
        <v>2024-09</v>
      </c>
      <c r="K3663">
        <v>18265.919999999998</v>
      </c>
      <c r="L3663">
        <f t="shared" si="749"/>
        <v>-9.6782295253619571E-3</v>
      </c>
      <c r="M3663" t="str">
        <f t="shared" si="743"/>
        <v>2024-09</v>
      </c>
      <c r="O3663">
        <v>9724.8341899999996</v>
      </c>
      <c r="P3663">
        <f t="shared" si="750"/>
        <v>-8.0965061653047402E-3</v>
      </c>
      <c r="Q3663" t="str">
        <f t="shared" si="744"/>
        <v>2024-09</v>
      </c>
      <c r="S3663">
        <v>11203.5</v>
      </c>
      <c r="T3663">
        <f t="shared" si="751"/>
        <v>-6.1665149156639038E-3</v>
      </c>
      <c r="U3663" t="str">
        <f t="shared" si="745"/>
        <v>2024-09</v>
      </c>
      <c r="W3663">
        <v>33213.29</v>
      </c>
      <c r="X3663">
        <f t="shared" si="752"/>
        <v>-1.1288428605000535E-2</v>
      </c>
      <c r="Y3663">
        <f t="shared" si="753"/>
        <v>-1.1224953364568375E-2</v>
      </c>
      <c r="Z3663" t="str">
        <f t="shared" si="746"/>
        <v>2024-09</v>
      </c>
    </row>
    <row r="3664" spans="1:26" x14ac:dyDescent="0.35">
      <c r="A3664" s="1">
        <v>45546</v>
      </c>
      <c r="C3664">
        <v>4763.58</v>
      </c>
      <c r="D3664">
        <f t="shared" si="747"/>
        <v>3.4445158431375129E-3</v>
      </c>
      <c r="E3664" t="str">
        <f t="shared" si="741"/>
        <v>2024-09</v>
      </c>
      <c r="G3664">
        <v>7396.83</v>
      </c>
      <c r="H3664">
        <f t="shared" si="748"/>
        <v>-1.4482203069126978E-3</v>
      </c>
      <c r="I3664" t="str">
        <f t="shared" si="742"/>
        <v>2024-09</v>
      </c>
      <c r="K3664">
        <v>18330.27</v>
      </c>
      <c r="L3664">
        <f t="shared" si="749"/>
        <v>3.5167631560207445E-3</v>
      </c>
      <c r="M3664" t="str">
        <f t="shared" si="743"/>
        <v>2024-09</v>
      </c>
      <c r="O3664">
        <v>9697.2036800000005</v>
      </c>
      <c r="P3664">
        <f t="shared" si="750"/>
        <v>-2.8452759515136478E-3</v>
      </c>
      <c r="Q3664" t="str">
        <f t="shared" si="744"/>
        <v>2024-09</v>
      </c>
      <c r="S3664">
        <v>11278.9</v>
      </c>
      <c r="T3664">
        <f t="shared" si="751"/>
        <v>6.7074941011594346E-3</v>
      </c>
      <c r="U3664" t="str">
        <f t="shared" si="745"/>
        <v>2024-09</v>
      </c>
      <c r="W3664">
        <v>33174.42</v>
      </c>
      <c r="X3664">
        <f t="shared" si="752"/>
        <v>-1.17100000713031E-3</v>
      </c>
      <c r="Y3664">
        <f t="shared" si="753"/>
        <v>-1.1703146541641198E-3</v>
      </c>
      <c r="Z3664" t="str">
        <f t="shared" si="746"/>
        <v>2024-09</v>
      </c>
    </row>
    <row r="3665" spans="1:26" x14ac:dyDescent="0.35">
      <c r="A3665" s="1">
        <v>45547</v>
      </c>
      <c r="C3665">
        <v>4814.08</v>
      </c>
      <c r="D3665">
        <f t="shared" si="747"/>
        <v>1.0545471022167305E-2</v>
      </c>
      <c r="E3665" t="str">
        <f t="shared" si="741"/>
        <v>2024-09</v>
      </c>
      <c r="G3665">
        <v>7435.07</v>
      </c>
      <c r="H3665">
        <f t="shared" si="748"/>
        <v>5.156464745670059E-3</v>
      </c>
      <c r="I3665" t="str">
        <f t="shared" si="742"/>
        <v>2024-09</v>
      </c>
      <c r="K3665">
        <v>18518.39</v>
      </c>
      <c r="L3665">
        <f t="shared" si="749"/>
        <v>1.0210500699751554E-2</v>
      </c>
      <c r="M3665" t="str">
        <f t="shared" si="743"/>
        <v>2024-09</v>
      </c>
      <c r="O3665">
        <v>9767.4071399999993</v>
      </c>
      <c r="P3665">
        <f t="shared" si="750"/>
        <v>7.21347732706752E-3</v>
      </c>
      <c r="Q3665" t="str">
        <f t="shared" si="744"/>
        <v>2024-09</v>
      </c>
      <c r="S3665">
        <v>11400.2</v>
      </c>
      <c r="T3665">
        <f t="shared" si="751"/>
        <v>1.0697175521953971E-2</v>
      </c>
      <c r="U3665" t="str">
        <f t="shared" si="745"/>
        <v>2024-09</v>
      </c>
      <c r="W3665">
        <v>33453.78</v>
      </c>
      <c r="X3665">
        <f t="shared" si="752"/>
        <v>8.3856876530368253E-3</v>
      </c>
      <c r="Y3665">
        <f t="shared" si="753"/>
        <v>8.4209460180464518E-3</v>
      </c>
      <c r="Z3665" t="str">
        <f t="shared" si="746"/>
        <v>2024-09</v>
      </c>
    </row>
    <row r="3666" spans="1:26" x14ac:dyDescent="0.35">
      <c r="A3666" s="1">
        <v>45548</v>
      </c>
      <c r="C3666">
        <v>4843.99</v>
      </c>
      <c r="D3666">
        <f t="shared" si="747"/>
        <v>6.1938038594109065E-3</v>
      </c>
      <c r="E3666" t="str">
        <f t="shared" si="741"/>
        <v>2024-09</v>
      </c>
      <c r="G3666">
        <v>7465.25</v>
      </c>
      <c r="H3666">
        <f t="shared" si="748"/>
        <v>4.0509252514210814E-3</v>
      </c>
      <c r="I3666" t="str">
        <f t="shared" si="742"/>
        <v>2024-09</v>
      </c>
      <c r="K3666">
        <v>18699.400000000001</v>
      </c>
      <c r="L3666">
        <f t="shared" si="749"/>
        <v>9.727145390510384E-3</v>
      </c>
      <c r="M3666" t="str">
        <f t="shared" si="743"/>
        <v>2024-09</v>
      </c>
      <c r="O3666">
        <v>9800.9694</v>
      </c>
      <c r="P3666">
        <f t="shared" si="750"/>
        <v>3.4302582885262652E-3</v>
      </c>
      <c r="Q3666" t="str">
        <f t="shared" si="744"/>
        <v>2024-09</v>
      </c>
      <c r="S3666">
        <v>11540.2</v>
      </c>
      <c r="T3666">
        <f t="shared" si="751"/>
        <v>1.22056928460963E-2</v>
      </c>
      <c r="U3666" t="str">
        <f t="shared" si="745"/>
        <v>2024-09</v>
      </c>
      <c r="W3666">
        <v>33568.47</v>
      </c>
      <c r="X3666">
        <f t="shared" si="752"/>
        <v>3.4224488717842783E-3</v>
      </c>
      <c r="Y3666">
        <f t="shared" si="753"/>
        <v>3.4283121369245071E-3</v>
      </c>
      <c r="Z3666" t="str">
        <f t="shared" si="746"/>
        <v>2024-09</v>
      </c>
    </row>
    <row r="3667" spans="1:26" x14ac:dyDescent="0.35">
      <c r="A3667" s="1">
        <v>45551</v>
      </c>
      <c r="C3667">
        <v>4827.63</v>
      </c>
      <c r="D3667">
        <f t="shared" si="747"/>
        <v>-3.3830972688794754E-3</v>
      </c>
      <c r="E3667" t="str">
        <f t="shared" si="741"/>
        <v>2024-09</v>
      </c>
      <c r="G3667">
        <v>7449.44</v>
      </c>
      <c r="H3667">
        <f t="shared" si="748"/>
        <v>-2.1200582676136853E-3</v>
      </c>
      <c r="I3667" t="str">
        <f t="shared" si="742"/>
        <v>2024-09</v>
      </c>
      <c r="K3667">
        <v>18633.11</v>
      </c>
      <c r="L3667">
        <f t="shared" si="749"/>
        <v>-3.5513320519060267E-3</v>
      </c>
      <c r="M3667" t="str">
        <f t="shared" si="743"/>
        <v>2024-09</v>
      </c>
      <c r="O3667">
        <v>9824.1851999999999</v>
      </c>
      <c r="P3667">
        <f t="shared" si="750"/>
        <v>2.3659238668506271E-3</v>
      </c>
      <c r="Q3667" t="str">
        <f t="shared" si="744"/>
        <v>2024-09</v>
      </c>
      <c r="S3667">
        <v>11581</v>
      </c>
      <c r="T3667">
        <f t="shared" si="751"/>
        <v>3.5292322499371801E-3</v>
      </c>
      <c r="U3667" t="str">
        <f t="shared" si="745"/>
        <v>2024-09</v>
      </c>
      <c r="W3667">
        <v>33569.980000000003</v>
      </c>
      <c r="X3667">
        <f t="shared" si="752"/>
        <v>4.4981675932453369E-5</v>
      </c>
      <c r="Y3667">
        <f t="shared" si="753"/>
        <v>4.4982687623297614E-5</v>
      </c>
      <c r="Z3667" t="str">
        <f t="shared" si="746"/>
        <v>2024-09</v>
      </c>
    </row>
    <row r="3668" spans="1:26" x14ac:dyDescent="0.35">
      <c r="A3668" s="1">
        <v>45552</v>
      </c>
      <c r="C3668">
        <v>4860.78</v>
      </c>
      <c r="D3668">
        <f t="shared" si="747"/>
        <v>6.8432548515499026E-3</v>
      </c>
      <c r="E3668" t="str">
        <f t="shared" si="741"/>
        <v>2024-09</v>
      </c>
      <c r="G3668">
        <v>7487.42</v>
      </c>
      <c r="H3668">
        <f t="shared" si="748"/>
        <v>5.085417129371105E-3</v>
      </c>
      <c r="I3668" t="str">
        <f t="shared" si="742"/>
        <v>2024-09</v>
      </c>
      <c r="K3668">
        <v>18726.080000000002</v>
      </c>
      <c r="L3668">
        <f t="shared" si="749"/>
        <v>4.9770989101863916E-3</v>
      </c>
      <c r="M3668" t="str">
        <f t="shared" si="743"/>
        <v>2024-09</v>
      </c>
      <c r="O3668">
        <v>9833.7204700000002</v>
      </c>
      <c r="P3668">
        <f t="shared" si="750"/>
        <v>9.7012071457681459E-4</v>
      </c>
      <c r="Q3668" t="str">
        <f t="shared" si="744"/>
        <v>2024-09</v>
      </c>
      <c r="S3668">
        <v>11703.4</v>
      </c>
      <c r="T3668">
        <f t="shared" si="751"/>
        <v>1.0513573676563102E-2</v>
      </c>
      <c r="U3668" t="str">
        <f t="shared" si="745"/>
        <v>2024-09</v>
      </c>
      <c r="W3668">
        <v>33780.28</v>
      </c>
      <c r="X3668">
        <f t="shared" si="752"/>
        <v>6.244985051927626E-3</v>
      </c>
      <c r="Y3668">
        <f t="shared" si="753"/>
        <v>6.2645256267652117E-3</v>
      </c>
      <c r="Z3668" t="str">
        <f t="shared" si="746"/>
        <v>2024-09</v>
      </c>
    </row>
    <row r="3669" spans="1:26" x14ac:dyDescent="0.35">
      <c r="A3669" s="1">
        <v>45553</v>
      </c>
      <c r="C3669">
        <v>4835.3</v>
      </c>
      <c r="D3669">
        <f t="shared" si="747"/>
        <v>-5.2557443116160217E-3</v>
      </c>
      <c r="E3669" t="str">
        <f t="shared" si="741"/>
        <v>2024-09</v>
      </c>
      <c r="G3669">
        <v>7444.9</v>
      </c>
      <c r="H3669">
        <f t="shared" si="748"/>
        <v>-5.6950446980456862E-3</v>
      </c>
      <c r="I3669" t="str">
        <f t="shared" si="742"/>
        <v>2024-09</v>
      </c>
      <c r="K3669">
        <v>18711.490000000002</v>
      </c>
      <c r="L3669">
        <f t="shared" si="749"/>
        <v>-7.7943096940497113E-4</v>
      </c>
      <c r="M3669" t="str">
        <f t="shared" si="743"/>
        <v>2024-09</v>
      </c>
      <c r="O3669">
        <v>9802.1724599999998</v>
      </c>
      <c r="P3669">
        <f t="shared" si="750"/>
        <v>-3.2133030321286355E-3</v>
      </c>
      <c r="Q3669" t="str">
        <f t="shared" si="744"/>
        <v>2024-09</v>
      </c>
      <c r="S3669">
        <v>11684.7</v>
      </c>
      <c r="T3669">
        <f t="shared" si="751"/>
        <v>-1.5991041585136172E-3</v>
      </c>
      <c r="U3669" t="str">
        <f t="shared" si="745"/>
        <v>2024-09</v>
      </c>
      <c r="W3669">
        <v>33655.49</v>
      </c>
      <c r="X3669">
        <f t="shared" si="752"/>
        <v>-3.7010074161559986E-3</v>
      </c>
      <c r="Y3669">
        <f t="shared" si="753"/>
        <v>-3.6941671294613565E-3</v>
      </c>
      <c r="Z3669" t="str">
        <f t="shared" si="746"/>
        <v>2024-09</v>
      </c>
    </row>
    <row r="3670" spans="1:26" x14ac:dyDescent="0.35">
      <c r="A3670" s="1">
        <v>45554</v>
      </c>
      <c r="C3670">
        <v>4943.38</v>
      </c>
      <c r="D3670">
        <f t="shared" si="747"/>
        <v>2.2106133210649262E-2</v>
      </c>
      <c r="E3670" t="str">
        <f t="shared" si="741"/>
        <v>2024-09</v>
      </c>
      <c r="G3670">
        <v>7615.41</v>
      </c>
      <c r="H3670">
        <f t="shared" si="748"/>
        <v>2.2644591788511841E-2</v>
      </c>
      <c r="I3670" t="str">
        <f t="shared" si="742"/>
        <v>2024-09</v>
      </c>
      <c r="K3670">
        <v>19002.38</v>
      </c>
      <c r="L3670">
        <f t="shared" si="749"/>
        <v>1.5426460806394631E-2</v>
      </c>
      <c r="M3670" t="str">
        <f t="shared" si="743"/>
        <v>2024-09</v>
      </c>
      <c r="O3670">
        <v>9915.1784100000004</v>
      </c>
      <c r="P3670">
        <f t="shared" si="750"/>
        <v>1.1462715057360073E-2</v>
      </c>
      <c r="Q3670" t="str">
        <f t="shared" si="744"/>
        <v>2024-09</v>
      </c>
      <c r="S3670">
        <v>11778.1</v>
      </c>
      <c r="T3670">
        <f t="shared" si="751"/>
        <v>7.9615811718869185E-3</v>
      </c>
      <c r="U3670" t="str">
        <f t="shared" si="745"/>
        <v>2024-09</v>
      </c>
      <c r="W3670">
        <v>34044.86</v>
      </c>
      <c r="X3670">
        <f t="shared" si="752"/>
        <v>1.1502873864534562E-2</v>
      </c>
      <c r="Y3670">
        <f t="shared" si="753"/>
        <v>1.1569286318517504E-2</v>
      </c>
      <c r="Z3670" t="str">
        <f t="shared" si="746"/>
        <v>2024-09</v>
      </c>
    </row>
    <row r="3671" spans="1:26" x14ac:dyDescent="0.35">
      <c r="A3671" s="1">
        <v>45555</v>
      </c>
      <c r="C3671">
        <v>4871.54</v>
      </c>
      <c r="D3671">
        <f t="shared" si="747"/>
        <v>-1.4639198887992394E-2</v>
      </c>
      <c r="E3671" t="str">
        <f t="shared" si="741"/>
        <v>2024-09</v>
      </c>
      <c r="G3671">
        <v>7500.26</v>
      </c>
      <c r="H3671">
        <f t="shared" si="748"/>
        <v>-1.5236139392774524E-2</v>
      </c>
      <c r="I3671" t="str">
        <f t="shared" si="742"/>
        <v>2024-09</v>
      </c>
      <c r="K3671">
        <v>18720.009999999998</v>
      </c>
      <c r="L3671">
        <f t="shared" si="749"/>
        <v>-1.4971229242223581E-2</v>
      </c>
      <c r="M3671" t="str">
        <f t="shared" si="743"/>
        <v>2024-09</v>
      </c>
      <c r="O3671">
        <v>9815.0032900000006</v>
      </c>
      <c r="P3671">
        <f t="shared" si="750"/>
        <v>-1.0154592828842063E-2</v>
      </c>
      <c r="Q3671" t="str">
        <f t="shared" si="744"/>
        <v>2024-09</v>
      </c>
      <c r="S3671">
        <v>11753.3</v>
      </c>
      <c r="T3671">
        <f t="shared" si="751"/>
        <v>-2.107822669456803E-3</v>
      </c>
      <c r="U3671" t="str">
        <f t="shared" si="745"/>
        <v>2024-09</v>
      </c>
      <c r="W3671">
        <v>33762.25</v>
      </c>
      <c r="X3671">
        <f t="shared" si="752"/>
        <v>-8.33575229565915E-3</v>
      </c>
      <c r="Y3671">
        <f t="shared" si="753"/>
        <v>-8.3011062462880029E-3</v>
      </c>
      <c r="Z3671" t="str">
        <f t="shared" si="746"/>
        <v>2024-09</v>
      </c>
    </row>
    <row r="3672" spans="1:26" x14ac:dyDescent="0.35">
      <c r="A3672" s="1">
        <v>45558</v>
      </c>
      <c r="C3672">
        <v>4885.57</v>
      </c>
      <c r="D3672">
        <f t="shared" si="747"/>
        <v>2.8758535405731221E-3</v>
      </c>
      <c r="E3672" t="str">
        <f t="shared" si="741"/>
        <v>2024-09</v>
      </c>
      <c r="G3672">
        <v>7508.08</v>
      </c>
      <c r="H3672">
        <f t="shared" si="748"/>
        <v>1.042087360450821E-3</v>
      </c>
      <c r="I3672" t="str">
        <f t="shared" si="742"/>
        <v>2024-09</v>
      </c>
      <c r="K3672">
        <v>18846.79</v>
      </c>
      <c r="L3672">
        <f t="shared" si="749"/>
        <v>6.7496023782031437E-3</v>
      </c>
      <c r="M3672" t="str">
        <f t="shared" si="743"/>
        <v>2024-09</v>
      </c>
      <c r="O3672">
        <v>9906.4548799999993</v>
      </c>
      <c r="P3672">
        <f t="shared" si="750"/>
        <v>9.2743898268402552E-3</v>
      </c>
      <c r="Q3672" t="str">
        <f t="shared" si="744"/>
        <v>2024-09</v>
      </c>
      <c r="S3672">
        <v>11797.9</v>
      </c>
      <c r="T3672">
        <f t="shared" si="751"/>
        <v>3.7874973093579628E-3</v>
      </c>
      <c r="U3672" t="str">
        <f t="shared" si="745"/>
        <v>2024-09</v>
      </c>
      <c r="W3672">
        <v>33679.800000000003</v>
      </c>
      <c r="X3672">
        <f t="shared" si="752"/>
        <v>-2.4450633121659831E-3</v>
      </c>
      <c r="Y3672">
        <f t="shared" si="753"/>
        <v>-2.4420765796117584E-3</v>
      </c>
      <c r="Z3672" t="str">
        <f t="shared" si="746"/>
        <v>2024-09</v>
      </c>
    </row>
    <row r="3673" spans="1:26" x14ac:dyDescent="0.35">
      <c r="A3673" s="1">
        <v>45559</v>
      </c>
      <c r="C3673">
        <v>4940.72</v>
      </c>
      <c r="D3673">
        <f t="shared" si="747"/>
        <v>1.1225107153913059E-2</v>
      </c>
      <c r="E3673" t="str">
        <f t="shared" si="741"/>
        <v>2024-09</v>
      </c>
      <c r="G3673">
        <v>7604.01</v>
      </c>
      <c r="H3673">
        <f t="shared" si="748"/>
        <v>1.2695965754127845E-2</v>
      </c>
      <c r="I3673" t="str">
        <f t="shared" si="742"/>
        <v>2024-09</v>
      </c>
      <c r="K3673">
        <v>18996.63</v>
      </c>
      <c r="L3673">
        <f t="shared" si="749"/>
        <v>7.9189873982087149E-3</v>
      </c>
      <c r="M3673" t="str">
        <f t="shared" si="743"/>
        <v>2024-09</v>
      </c>
      <c r="O3673">
        <v>9939.4604500000005</v>
      </c>
      <c r="P3673">
        <f t="shared" si="750"/>
        <v>3.3261857546972784E-3</v>
      </c>
      <c r="Q3673" t="str">
        <f t="shared" si="744"/>
        <v>2024-09</v>
      </c>
      <c r="S3673">
        <v>11837</v>
      </c>
      <c r="T3673">
        <f t="shared" si="751"/>
        <v>3.3086694396781643E-3</v>
      </c>
      <c r="U3673" t="str">
        <f t="shared" si="745"/>
        <v>2024-09</v>
      </c>
      <c r="W3673">
        <v>33881.26</v>
      </c>
      <c r="X3673">
        <f t="shared" si="752"/>
        <v>5.9638080607499148E-3</v>
      </c>
      <c r="Y3673">
        <f t="shared" si="753"/>
        <v>5.9816269692812641E-3</v>
      </c>
      <c r="Z3673" t="str">
        <f t="shared" si="746"/>
        <v>2024-09</v>
      </c>
    </row>
    <row r="3674" spans="1:26" x14ac:dyDescent="0.35">
      <c r="A3674" s="1">
        <v>45560</v>
      </c>
      <c r="C3674">
        <v>4916.8900000000003</v>
      </c>
      <c r="D3674">
        <f t="shared" si="747"/>
        <v>-4.8348527524271637E-3</v>
      </c>
      <c r="E3674" t="str">
        <f t="shared" si="741"/>
        <v>2024-09</v>
      </c>
      <c r="G3674">
        <v>7565.62</v>
      </c>
      <c r="H3674">
        <f t="shared" si="748"/>
        <v>-5.0614394624995734E-3</v>
      </c>
      <c r="I3674" t="str">
        <f t="shared" si="742"/>
        <v>2024-09</v>
      </c>
      <c r="K3674">
        <v>18918.5</v>
      </c>
      <c r="L3674">
        <f t="shared" si="749"/>
        <v>-4.1213157168686005E-3</v>
      </c>
      <c r="M3674" t="str">
        <f t="shared" si="743"/>
        <v>2024-09</v>
      </c>
      <c r="O3674">
        <v>9900.9049900000009</v>
      </c>
      <c r="P3674">
        <f t="shared" si="750"/>
        <v>-3.8865724171966054E-3</v>
      </c>
      <c r="Q3674" t="str">
        <f t="shared" si="744"/>
        <v>2024-09</v>
      </c>
      <c r="S3674">
        <v>11792.6</v>
      </c>
      <c r="T3674">
        <f t="shared" si="751"/>
        <v>-3.7580028653514111E-3</v>
      </c>
      <c r="U3674" t="str">
        <f t="shared" si="745"/>
        <v>2024-09</v>
      </c>
      <c r="W3674">
        <v>33840.54</v>
      </c>
      <c r="X3674">
        <f t="shared" si="752"/>
        <v>-1.2025671174519348E-3</v>
      </c>
      <c r="Y3674">
        <f t="shared" si="753"/>
        <v>-1.20184432338116E-3</v>
      </c>
      <c r="Z3674" t="str">
        <f t="shared" si="746"/>
        <v>2024-09</v>
      </c>
    </row>
    <row r="3675" spans="1:26" x14ac:dyDescent="0.35">
      <c r="A3675" s="1">
        <v>45561</v>
      </c>
      <c r="C3675">
        <v>5032.59</v>
      </c>
      <c r="D3675">
        <f t="shared" si="747"/>
        <v>2.325854531257927E-2</v>
      </c>
      <c r="E3675" t="str">
        <f t="shared" si="741"/>
        <v>2024-09</v>
      </c>
      <c r="G3675">
        <v>7742.09</v>
      </c>
      <c r="H3675">
        <f t="shared" si="748"/>
        <v>2.3057376730877824E-2</v>
      </c>
      <c r="I3675" t="str">
        <f t="shared" si="742"/>
        <v>2024-09</v>
      </c>
      <c r="K3675">
        <v>19238.36</v>
      </c>
      <c r="L3675">
        <f t="shared" si="749"/>
        <v>1.6765923222383346E-2</v>
      </c>
      <c r="M3675" t="str">
        <f t="shared" si="743"/>
        <v>2024-09</v>
      </c>
      <c r="O3675">
        <v>9947.2327999999998</v>
      </c>
      <c r="P3675">
        <f t="shared" si="750"/>
        <v>4.6682358438942641E-3</v>
      </c>
      <c r="Q3675" t="str">
        <f t="shared" si="744"/>
        <v>2024-09</v>
      </c>
      <c r="S3675">
        <v>11953.2</v>
      </c>
      <c r="T3675">
        <f t="shared" si="751"/>
        <v>1.352680885057821E-2</v>
      </c>
      <c r="U3675" t="str">
        <f t="shared" si="745"/>
        <v>2024-09</v>
      </c>
      <c r="W3675">
        <v>34409.339999999997</v>
      </c>
      <c r="X3675">
        <f t="shared" si="752"/>
        <v>1.666854709713558E-2</v>
      </c>
      <c r="Y3675">
        <f t="shared" si="753"/>
        <v>1.6808242421663355E-2</v>
      </c>
      <c r="Z3675" t="str">
        <f t="shared" si="746"/>
        <v>2024-09</v>
      </c>
    </row>
    <row r="3676" spans="1:26" x14ac:dyDescent="0.35">
      <c r="A3676" s="1">
        <v>45562</v>
      </c>
      <c r="C3676">
        <v>5067.45</v>
      </c>
      <c r="D3676">
        <f t="shared" si="747"/>
        <v>6.9029703696310207E-3</v>
      </c>
      <c r="E3676" t="str">
        <f t="shared" si="741"/>
        <v>2024-09</v>
      </c>
      <c r="G3676">
        <v>7791.79</v>
      </c>
      <c r="H3676">
        <f t="shared" si="748"/>
        <v>6.3989382673573774E-3</v>
      </c>
      <c r="I3676" t="str">
        <f t="shared" si="742"/>
        <v>2024-09</v>
      </c>
      <c r="K3676">
        <v>19473.63</v>
      </c>
      <c r="L3676">
        <f t="shared" si="749"/>
        <v>1.2155040164907134E-2</v>
      </c>
      <c r="M3676" t="str">
        <f t="shared" si="743"/>
        <v>2024-09</v>
      </c>
      <c r="O3676">
        <v>9985.3596699999998</v>
      </c>
      <c r="P3676">
        <f t="shared" si="750"/>
        <v>3.8255853127578676E-3</v>
      </c>
      <c r="Q3676" t="str">
        <f t="shared" si="744"/>
        <v>2024-09</v>
      </c>
      <c r="S3676">
        <v>11967.9</v>
      </c>
      <c r="T3676">
        <f t="shared" si="751"/>
        <v>1.229040625256432E-3</v>
      </c>
      <c r="U3676" t="str">
        <f t="shared" si="745"/>
        <v>2024-09</v>
      </c>
      <c r="W3676">
        <v>34727.4</v>
      </c>
      <c r="X3676">
        <f t="shared" si="752"/>
        <v>9.2009615683067945E-3</v>
      </c>
      <c r="Y3676">
        <f t="shared" si="753"/>
        <v>9.2434205364010178E-3</v>
      </c>
      <c r="Z3676" t="str">
        <f t="shared" si="746"/>
        <v>2024-09</v>
      </c>
    </row>
    <row r="3677" spans="1:26" x14ac:dyDescent="0.35">
      <c r="A3677" s="1">
        <v>45565</v>
      </c>
      <c r="C3677">
        <v>5000.45</v>
      </c>
      <c r="D3677">
        <f t="shared" si="747"/>
        <v>-1.3309824112773526E-2</v>
      </c>
      <c r="E3677" t="str">
        <f t="shared" si="741"/>
        <v>2024-09</v>
      </c>
      <c r="G3677">
        <v>7635.75</v>
      </c>
      <c r="H3677">
        <f t="shared" si="748"/>
        <v>-2.022944958509322E-2</v>
      </c>
      <c r="I3677" t="str">
        <f t="shared" si="742"/>
        <v>2024-09</v>
      </c>
      <c r="K3677">
        <v>19324.93</v>
      </c>
      <c r="L3677">
        <f t="shared" si="749"/>
        <v>-7.6652704682161517E-3</v>
      </c>
      <c r="M3677" t="str">
        <f t="shared" si="743"/>
        <v>2024-09</v>
      </c>
      <c r="O3677">
        <v>9902.3684900000007</v>
      </c>
      <c r="P3677">
        <f t="shared" si="750"/>
        <v>-8.3460173095618664E-3</v>
      </c>
      <c r="Q3677" t="str">
        <f t="shared" si="744"/>
        <v>2024-09</v>
      </c>
      <c r="S3677">
        <v>11877.3</v>
      </c>
      <c r="T3677">
        <f t="shared" si="751"/>
        <v>-7.599050205373702E-3</v>
      </c>
      <c r="U3677" t="str">
        <f t="shared" si="745"/>
        <v>2024-09</v>
      </c>
      <c r="W3677">
        <v>34125.26</v>
      </c>
      <c r="X3677">
        <f t="shared" si="752"/>
        <v>-1.7491128199236722E-2</v>
      </c>
      <c r="Y3677">
        <f t="shared" si="753"/>
        <v>-1.7339046401400604E-2</v>
      </c>
      <c r="Z3677" t="str">
        <f t="shared" si="746"/>
        <v>2024-09</v>
      </c>
    </row>
    <row r="3678" spans="1:26" x14ac:dyDescent="0.35">
      <c r="A3678" s="1">
        <v>45566</v>
      </c>
      <c r="C3678">
        <v>4954.1499999999996</v>
      </c>
      <c r="D3678">
        <f t="shared" si="747"/>
        <v>-9.3022992127844324E-3</v>
      </c>
      <c r="E3678" t="str">
        <f t="shared" si="741"/>
        <v>2024-10</v>
      </c>
      <c r="G3678">
        <v>7574.07</v>
      </c>
      <c r="H3678">
        <f t="shared" si="748"/>
        <v>-8.1105940922055718E-3</v>
      </c>
      <c r="I3678" t="str">
        <f t="shared" si="742"/>
        <v>2024-10</v>
      </c>
      <c r="K3678">
        <v>19213.14</v>
      </c>
      <c r="L3678">
        <f t="shared" si="749"/>
        <v>-5.801552259997636E-3</v>
      </c>
      <c r="M3678" t="str">
        <f t="shared" si="743"/>
        <v>2024-10</v>
      </c>
      <c r="O3678">
        <v>9924.64228</v>
      </c>
      <c r="P3678">
        <f t="shared" si="750"/>
        <v>2.2468136653115379E-3</v>
      </c>
      <c r="Q3678" t="str">
        <f t="shared" si="744"/>
        <v>2024-10</v>
      </c>
      <c r="S3678">
        <v>11673.5</v>
      </c>
      <c r="T3678">
        <f t="shared" si="751"/>
        <v>-1.730769973351081E-2</v>
      </c>
      <c r="U3678" t="str">
        <f t="shared" si="745"/>
        <v>2024-10</v>
      </c>
      <c r="W3678">
        <v>33771.08</v>
      </c>
      <c r="X3678">
        <f t="shared" si="752"/>
        <v>-1.0433057589356864E-2</v>
      </c>
      <c r="Y3678">
        <f t="shared" si="753"/>
        <v>-1.037882202216189E-2</v>
      </c>
      <c r="Z3678" t="str">
        <f t="shared" si="746"/>
        <v>2024-10</v>
      </c>
    </row>
    <row r="3679" spans="1:26" x14ac:dyDescent="0.35">
      <c r="A3679" s="1">
        <v>45567</v>
      </c>
      <c r="C3679">
        <v>4963.29</v>
      </c>
      <c r="D3679">
        <f t="shared" si="747"/>
        <v>1.8432181263970094E-3</v>
      </c>
      <c r="E3679" t="str">
        <f t="shared" si="741"/>
        <v>2024-10</v>
      </c>
      <c r="G3679">
        <v>7577.59</v>
      </c>
      <c r="H3679">
        <f t="shared" si="748"/>
        <v>4.646355664430952E-4</v>
      </c>
      <c r="I3679" t="str">
        <f t="shared" si="742"/>
        <v>2024-10</v>
      </c>
      <c r="K3679">
        <v>19164.75</v>
      </c>
      <c r="L3679">
        <f t="shared" si="749"/>
        <v>-2.5217658210956988E-3</v>
      </c>
      <c r="M3679" t="str">
        <f t="shared" si="743"/>
        <v>2024-10</v>
      </c>
      <c r="O3679">
        <v>9959.9894100000001</v>
      </c>
      <c r="P3679">
        <f t="shared" si="750"/>
        <v>3.555224736595696E-3</v>
      </c>
      <c r="Q3679" t="str">
        <f t="shared" si="744"/>
        <v>2024-10</v>
      </c>
      <c r="S3679">
        <v>11609.8</v>
      </c>
      <c r="T3679">
        <f t="shared" si="751"/>
        <v>-5.4717466107879371E-3</v>
      </c>
      <c r="U3679" t="str">
        <f t="shared" si="745"/>
        <v>2024-10</v>
      </c>
      <c r="W3679">
        <v>33675.26</v>
      </c>
      <c r="X3679">
        <f t="shared" si="752"/>
        <v>-2.8413718065662605E-3</v>
      </c>
      <c r="Y3679">
        <f t="shared" si="753"/>
        <v>-2.8373389302326045E-3</v>
      </c>
      <c r="Z3679" t="str">
        <f t="shared" si="746"/>
        <v>2024-10</v>
      </c>
    </row>
    <row r="3680" spans="1:26" x14ac:dyDescent="0.35">
      <c r="A3680" s="1">
        <v>45568</v>
      </c>
      <c r="C3680">
        <v>4921.33</v>
      </c>
      <c r="D3680">
        <f t="shared" si="747"/>
        <v>-8.4900081217613513E-3</v>
      </c>
      <c r="E3680" t="str">
        <f t="shared" si="741"/>
        <v>2024-10</v>
      </c>
      <c r="G3680">
        <v>7477.78</v>
      </c>
      <c r="H3680">
        <f t="shared" si="748"/>
        <v>-1.3259250656276532E-2</v>
      </c>
      <c r="I3680" t="str">
        <f t="shared" si="742"/>
        <v>2024-10</v>
      </c>
      <c r="K3680">
        <v>19015.41</v>
      </c>
      <c r="L3680">
        <f t="shared" si="749"/>
        <v>-7.8229510622974917E-3</v>
      </c>
      <c r="M3680" t="str">
        <f t="shared" si="743"/>
        <v>2024-10</v>
      </c>
      <c r="O3680">
        <v>9855.6731600000003</v>
      </c>
      <c r="P3680">
        <f t="shared" si="750"/>
        <v>-1.0528763627595203E-2</v>
      </c>
      <c r="Q3680" t="str">
        <f t="shared" si="744"/>
        <v>2024-10</v>
      </c>
      <c r="S3680">
        <v>11618</v>
      </c>
      <c r="T3680">
        <f t="shared" si="751"/>
        <v>7.0605053777340204E-4</v>
      </c>
      <c r="U3680" t="str">
        <f t="shared" si="745"/>
        <v>2024-10</v>
      </c>
      <c r="W3680">
        <v>33170.03</v>
      </c>
      <c r="X3680">
        <f t="shared" si="752"/>
        <v>-1.5116685737527592E-2</v>
      </c>
      <c r="Y3680">
        <f t="shared" si="753"/>
        <v>-1.5003002203991986E-2</v>
      </c>
      <c r="Z3680" t="str">
        <f t="shared" si="746"/>
        <v>2024-10</v>
      </c>
    </row>
    <row r="3681" spans="1:26" x14ac:dyDescent="0.35">
      <c r="A3681" s="1">
        <v>45569</v>
      </c>
      <c r="C3681">
        <v>4954.9399999999996</v>
      </c>
      <c r="D3681">
        <f t="shared" si="747"/>
        <v>6.8062395516151099E-3</v>
      </c>
      <c r="E3681" t="str">
        <f t="shared" si="741"/>
        <v>2024-10</v>
      </c>
      <c r="G3681">
        <v>7541.36</v>
      </c>
      <c r="H3681">
        <f t="shared" si="748"/>
        <v>8.4665806164543507E-3</v>
      </c>
      <c r="I3681" t="str">
        <f t="shared" si="742"/>
        <v>2024-10</v>
      </c>
      <c r="K3681">
        <v>19120.93</v>
      </c>
      <c r="L3681">
        <f t="shared" si="749"/>
        <v>5.533843535160462E-3</v>
      </c>
      <c r="M3681" t="str">
        <f t="shared" si="743"/>
        <v>2024-10</v>
      </c>
      <c r="O3681">
        <v>9908.8013200000005</v>
      </c>
      <c r="P3681">
        <f t="shared" si="750"/>
        <v>5.3761397012362985E-3</v>
      </c>
      <c r="Q3681" t="str">
        <f t="shared" si="744"/>
        <v>2024-10</v>
      </c>
      <c r="S3681">
        <v>11659.2</v>
      </c>
      <c r="T3681">
        <f t="shared" si="751"/>
        <v>3.5399483635399783E-3</v>
      </c>
      <c r="U3681" t="str">
        <f t="shared" si="745"/>
        <v>2024-10</v>
      </c>
      <c r="W3681">
        <v>33594.120000000003</v>
      </c>
      <c r="X3681">
        <f t="shared" si="752"/>
        <v>1.2704294264604532E-2</v>
      </c>
      <c r="Y3681">
        <f t="shared" si="753"/>
        <v>1.2785336642746593E-2</v>
      </c>
      <c r="Z3681" t="str">
        <f t="shared" si="746"/>
        <v>2024-10</v>
      </c>
    </row>
    <row r="3682" spans="1:26" x14ac:dyDescent="0.35">
      <c r="A3682" s="1">
        <v>45572</v>
      </c>
      <c r="C3682">
        <v>4969.71</v>
      </c>
      <c r="D3682">
        <f t="shared" si="747"/>
        <v>2.9764295776909411E-3</v>
      </c>
      <c r="E3682" t="str">
        <f t="shared" si="741"/>
        <v>2024-10</v>
      </c>
      <c r="G3682">
        <v>7576.02</v>
      </c>
      <c r="H3682">
        <f t="shared" si="748"/>
        <v>4.58545868812219E-3</v>
      </c>
      <c r="I3682" t="str">
        <f t="shared" si="742"/>
        <v>2024-10</v>
      </c>
      <c r="K3682">
        <v>19104.099999999999</v>
      </c>
      <c r="L3682">
        <f t="shared" si="749"/>
        <v>-8.8057490537055648E-4</v>
      </c>
      <c r="M3682" t="str">
        <f t="shared" si="743"/>
        <v>2024-10</v>
      </c>
      <c r="O3682">
        <v>9895.7015499999998</v>
      </c>
      <c r="P3682">
        <f t="shared" si="750"/>
        <v>-1.3229084311247785E-3</v>
      </c>
      <c r="Q3682" t="str">
        <f t="shared" si="744"/>
        <v>2024-10</v>
      </c>
      <c r="S3682">
        <v>11717.5</v>
      </c>
      <c r="T3682">
        <f t="shared" si="751"/>
        <v>4.9878828808433157E-3</v>
      </c>
      <c r="U3682" t="str">
        <f t="shared" si="745"/>
        <v>2024-10</v>
      </c>
      <c r="W3682">
        <v>33814.519999999997</v>
      </c>
      <c r="X3682">
        <f t="shared" si="752"/>
        <v>6.5392443873557539E-3</v>
      </c>
      <c r="Y3682">
        <f t="shared" si="753"/>
        <v>6.5606719271108799E-3</v>
      </c>
      <c r="Z3682" t="str">
        <f t="shared" si="746"/>
        <v>2024-10</v>
      </c>
    </row>
    <row r="3683" spans="1:26" x14ac:dyDescent="0.35">
      <c r="A3683" s="1">
        <v>45573</v>
      </c>
      <c r="C3683">
        <v>4949</v>
      </c>
      <c r="D3683">
        <f t="shared" si="747"/>
        <v>-4.1759523357514121E-3</v>
      </c>
      <c r="E3683" t="str">
        <f t="shared" si="741"/>
        <v>2024-10</v>
      </c>
      <c r="G3683">
        <v>7521.32</v>
      </c>
      <c r="H3683">
        <f t="shared" si="748"/>
        <v>-7.2463413230972867E-3</v>
      </c>
      <c r="I3683" t="str">
        <f t="shared" si="742"/>
        <v>2024-10</v>
      </c>
      <c r="K3683">
        <v>19066.47</v>
      </c>
      <c r="L3683">
        <f t="shared" si="749"/>
        <v>-1.9716767232229628E-3</v>
      </c>
      <c r="M3683" t="str">
        <f t="shared" si="743"/>
        <v>2024-10</v>
      </c>
      <c r="O3683">
        <v>9766.6457399999999</v>
      </c>
      <c r="P3683">
        <f t="shared" si="750"/>
        <v>-1.3127391294945589E-2</v>
      </c>
      <c r="Q3683" t="str">
        <f t="shared" si="744"/>
        <v>2024-10</v>
      </c>
      <c r="S3683">
        <v>11734.7</v>
      </c>
      <c r="T3683">
        <f t="shared" si="751"/>
        <v>1.4668136109941105E-3</v>
      </c>
      <c r="U3683" t="str">
        <f t="shared" si="745"/>
        <v>2024-10</v>
      </c>
      <c r="W3683">
        <v>33733.9</v>
      </c>
      <c r="X3683">
        <f t="shared" si="752"/>
        <v>-2.3870295790916407E-3</v>
      </c>
      <c r="Y3683">
        <f t="shared" si="753"/>
        <v>-2.3841828894804761E-3</v>
      </c>
      <c r="Z3683" t="str">
        <f t="shared" si="746"/>
        <v>2024-10</v>
      </c>
    </row>
    <row r="3684" spans="1:26" x14ac:dyDescent="0.35">
      <c r="A3684" s="1">
        <v>45574</v>
      </c>
      <c r="C3684">
        <v>4982.57</v>
      </c>
      <c r="D3684">
        <f t="shared" si="747"/>
        <v>6.760286208477375E-3</v>
      </c>
      <c r="E3684" t="str">
        <f t="shared" si="741"/>
        <v>2024-10</v>
      </c>
      <c r="G3684">
        <v>7560.09</v>
      </c>
      <c r="H3684">
        <f t="shared" si="748"/>
        <v>5.141440409767219E-3</v>
      </c>
      <c r="I3684" t="str">
        <f t="shared" si="742"/>
        <v>2024-10</v>
      </c>
      <c r="K3684">
        <v>19254.93</v>
      </c>
      <c r="L3684">
        <f t="shared" si="749"/>
        <v>9.8358368617613347E-3</v>
      </c>
      <c r="M3684" t="str">
        <f t="shared" si="743"/>
        <v>2024-10</v>
      </c>
      <c r="O3684">
        <v>9845.4756300000008</v>
      </c>
      <c r="P3684">
        <f t="shared" si="750"/>
        <v>8.0389380670275006E-3</v>
      </c>
      <c r="Q3684" t="str">
        <f t="shared" si="744"/>
        <v>2024-10</v>
      </c>
      <c r="S3684">
        <v>11741.5</v>
      </c>
      <c r="T3684">
        <f t="shared" si="751"/>
        <v>5.7931012601456844E-4</v>
      </c>
      <c r="U3684" t="str">
        <f t="shared" si="745"/>
        <v>2024-10</v>
      </c>
      <c r="W3684">
        <v>33933.03</v>
      </c>
      <c r="X3684">
        <f t="shared" si="752"/>
        <v>5.8856098489553886E-3</v>
      </c>
      <c r="Y3684">
        <f t="shared" si="753"/>
        <v>5.9029640806428363E-3</v>
      </c>
      <c r="Z3684" t="str">
        <f t="shared" si="746"/>
        <v>2024-10</v>
      </c>
    </row>
    <row r="3685" spans="1:26" x14ac:dyDescent="0.35">
      <c r="A3685" s="1">
        <v>45575</v>
      </c>
      <c r="C3685">
        <v>4970.34</v>
      </c>
      <c r="D3685">
        <f t="shared" si="747"/>
        <v>-2.4575739468013095E-3</v>
      </c>
      <c r="E3685" t="str">
        <f t="shared" si="741"/>
        <v>2024-10</v>
      </c>
      <c r="G3685">
        <v>7541.59</v>
      </c>
      <c r="H3685">
        <f t="shared" si="748"/>
        <v>-2.4500597621330451E-3</v>
      </c>
      <c r="I3685" t="str">
        <f t="shared" si="742"/>
        <v>2024-10</v>
      </c>
      <c r="K3685">
        <v>19210.900000000001</v>
      </c>
      <c r="L3685">
        <f t="shared" si="749"/>
        <v>-2.2893055592356371E-3</v>
      </c>
      <c r="M3685" t="str">
        <f t="shared" si="743"/>
        <v>2024-10</v>
      </c>
      <c r="O3685">
        <v>9845.8472899999997</v>
      </c>
      <c r="P3685">
        <f t="shared" si="750"/>
        <v>3.7748606485546122E-5</v>
      </c>
      <c r="Q3685" t="str">
        <f t="shared" si="744"/>
        <v>2024-10</v>
      </c>
      <c r="S3685">
        <v>11656.7</v>
      </c>
      <c r="T3685">
        <f t="shared" si="751"/>
        <v>-7.2484525547089765E-3</v>
      </c>
      <c r="U3685" t="str">
        <f t="shared" si="745"/>
        <v>2024-10</v>
      </c>
      <c r="W3685">
        <v>34077.42</v>
      </c>
      <c r="X3685">
        <f t="shared" si="752"/>
        <v>4.2461185579617299E-3</v>
      </c>
      <c r="Y3685">
        <f t="shared" si="753"/>
        <v>4.2551460921703551E-3</v>
      </c>
      <c r="Z3685" t="str">
        <f t="shared" si="746"/>
        <v>2024-10</v>
      </c>
    </row>
    <row r="3686" spans="1:26" x14ac:dyDescent="0.35">
      <c r="A3686" s="1">
        <v>45576</v>
      </c>
      <c r="C3686">
        <v>5003.92</v>
      </c>
      <c r="D3686">
        <f t="shared" si="747"/>
        <v>6.7333570352109649E-3</v>
      </c>
      <c r="E3686" t="str">
        <f t="shared" si="741"/>
        <v>2024-10</v>
      </c>
      <c r="G3686">
        <v>7577.89</v>
      </c>
      <c r="H3686">
        <f t="shared" si="748"/>
        <v>4.8017616673511707E-3</v>
      </c>
      <c r="I3686" t="str">
        <f t="shared" si="742"/>
        <v>2024-10</v>
      </c>
      <c r="K3686">
        <v>19373.830000000002</v>
      </c>
      <c r="L3686">
        <f t="shared" si="749"/>
        <v>8.4453600376056554E-3</v>
      </c>
      <c r="M3686" t="str">
        <f t="shared" si="743"/>
        <v>2024-10</v>
      </c>
      <c r="O3686">
        <v>9858.3797599999998</v>
      </c>
      <c r="P3686">
        <f t="shared" si="750"/>
        <v>1.272059204163073E-3</v>
      </c>
      <c r="Q3686" t="str">
        <f t="shared" si="744"/>
        <v>2024-10</v>
      </c>
      <c r="S3686">
        <v>11720</v>
      </c>
      <c r="T3686">
        <f t="shared" si="751"/>
        <v>5.4156621518426495E-3</v>
      </c>
      <c r="U3686" t="str">
        <f t="shared" si="745"/>
        <v>2024-10</v>
      </c>
      <c r="W3686">
        <v>34308.01</v>
      </c>
      <c r="X3686">
        <f t="shared" si="752"/>
        <v>6.7438597352857633E-3</v>
      </c>
      <c r="Y3686">
        <f t="shared" si="753"/>
        <v>6.7666507617068364E-3</v>
      </c>
      <c r="Z3686" t="str">
        <f t="shared" si="746"/>
        <v>2024-10</v>
      </c>
    </row>
    <row r="3687" spans="1:26" x14ac:dyDescent="0.35">
      <c r="A3687" s="1">
        <v>45579</v>
      </c>
      <c r="C3687">
        <v>5041.01</v>
      </c>
      <c r="D3687">
        <f t="shared" si="747"/>
        <v>7.38485356527645E-3</v>
      </c>
      <c r="E3687" t="str">
        <f t="shared" si="741"/>
        <v>2024-10</v>
      </c>
      <c r="G3687">
        <v>7602.06</v>
      </c>
      <c r="H3687">
        <f t="shared" si="748"/>
        <v>3.184466408033014E-3</v>
      </c>
      <c r="I3687" t="str">
        <f t="shared" si="742"/>
        <v>2024-10</v>
      </c>
      <c r="K3687">
        <v>19508.29</v>
      </c>
      <c r="L3687">
        <f t="shared" si="749"/>
        <v>6.9163171141751198E-3</v>
      </c>
      <c r="M3687" t="str">
        <f t="shared" si="743"/>
        <v>2024-10</v>
      </c>
      <c r="O3687">
        <v>9928.0680900000007</v>
      </c>
      <c r="P3687">
        <f t="shared" si="750"/>
        <v>7.0440756909495731E-3</v>
      </c>
      <c r="Q3687" t="str">
        <f t="shared" si="744"/>
        <v>2024-10</v>
      </c>
      <c r="S3687">
        <v>11850.9</v>
      </c>
      <c r="T3687">
        <f t="shared" si="751"/>
        <v>1.1107029915355131E-2</v>
      </c>
      <c r="U3687" t="str">
        <f t="shared" si="745"/>
        <v>2024-10</v>
      </c>
      <c r="W3687">
        <v>34680.550000000003</v>
      </c>
      <c r="X3687">
        <f t="shared" si="752"/>
        <v>1.0800156466135366E-2</v>
      </c>
      <c r="Y3687">
        <f t="shared" si="753"/>
        <v>1.0858688685237088E-2</v>
      </c>
      <c r="Z3687" t="str">
        <f t="shared" si="746"/>
        <v>2024-10</v>
      </c>
    </row>
    <row r="3688" spans="1:26" x14ac:dyDescent="0.35">
      <c r="A3688" s="1">
        <v>45580</v>
      </c>
      <c r="C3688">
        <v>4946.7299999999996</v>
      </c>
      <c r="D3688">
        <f t="shared" si="747"/>
        <v>-1.8879706608247178E-2</v>
      </c>
      <c r="E3688" t="str">
        <f t="shared" si="741"/>
        <v>2024-10</v>
      </c>
      <c r="G3688">
        <v>7521.97</v>
      </c>
      <c r="H3688">
        <f t="shared" si="748"/>
        <v>-1.0591191456528952E-2</v>
      </c>
      <c r="I3688" t="str">
        <f t="shared" si="742"/>
        <v>2024-10</v>
      </c>
      <c r="K3688">
        <v>19486.189999999999</v>
      </c>
      <c r="L3688">
        <f t="shared" si="749"/>
        <v>-1.1334938876574716E-3</v>
      </c>
      <c r="M3688" t="str">
        <f t="shared" si="743"/>
        <v>2024-10</v>
      </c>
      <c r="O3688">
        <v>9900.6510199999993</v>
      </c>
      <c r="P3688">
        <f t="shared" si="750"/>
        <v>-2.7653916846896876E-3</v>
      </c>
      <c r="Q3688" t="str">
        <f t="shared" si="744"/>
        <v>2024-10</v>
      </c>
      <c r="S3688">
        <v>11930.2</v>
      </c>
      <c r="T3688">
        <f t="shared" si="751"/>
        <v>6.6691863644274046E-3</v>
      </c>
      <c r="U3688" t="str">
        <f t="shared" si="745"/>
        <v>2024-10</v>
      </c>
      <c r="W3688">
        <v>34578.449999999997</v>
      </c>
      <c r="X3688">
        <f t="shared" si="752"/>
        <v>-2.9483554183927694E-3</v>
      </c>
      <c r="Y3688">
        <f t="shared" si="753"/>
        <v>-2.9440132869866771E-3</v>
      </c>
      <c r="Z3688" t="str">
        <f t="shared" si="746"/>
        <v>2024-10</v>
      </c>
    </row>
    <row r="3689" spans="1:26" x14ac:dyDescent="0.35">
      <c r="A3689" s="1">
        <v>45581</v>
      </c>
      <c r="C3689">
        <v>4908.71</v>
      </c>
      <c r="D3689">
        <f t="shared" si="747"/>
        <v>-7.7155740608149271E-3</v>
      </c>
      <c r="E3689" t="str">
        <f t="shared" si="741"/>
        <v>2024-10</v>
      </c>
      <c r="G3689">
        <v>7492</v>
      </c>
      <c r="H3689">
        <f t="shared" si="748"/>
        <v>-3.9922871573655257E-3</v>
      </c>
      <c r="I3689" t="str">
        <f t="shared" si="742"/>
        <v>2024-10</v>
      </c>
      <c r="K3689">
        <v>19432.810000000001</v>
      </c>
      <c r="L3689">
        <f t="shared" si="749"/>
        <v>-2.7431348941526581E-3</v>
      </c>
      <c r="M3689" t="str">
        <f t="shared" si="743"/>
        <v>2024-10</v>
      </c>
      <c r="O3689">
        <v>9966.0679299999993</v>
      </c>
      <c r="P3689">
        <f t="shared" si="750"/>
        <v>6.5856014365413169E-3</v>
      </c>
      <c r="Q3689" t="str">
        <f t="shared" si="744"/>
        <v>2024-10</v>
      </c>
      <c r="S3689">
        <v>11996.7</v>
      </c>
      <c r="T3689">
        <f t="shared" si="751"/>
        <v>5.5586115399176511E-3</v>
      </c>
      <c r="U3689" t="str">
        <f t="shared" si="745"/>
        <v>2024-10</v>
      </c>
      <c r="W3689">
        <v>34660</v>
      </c>
      <c r="X3689">
        <f t="shared" si="752"/>
        <v>2.3556286343783713E-3</v>
      </c>
      <c r="Y3689">
        <f t="shared" si="753"/>
        <v>2.3584053073519178E-3</v>
      </c>
      <c r="Z3689" t="str">
        <f t="shared" si="746"/>
        <v>2024-10</v>
      </c>
    </row>
    <row r="3690" spans="1:26" x14ac:dyDescent="0.35">
      <c r="A3690" s="1">
        <v>45582</v>
      </c>
      <c r="C3690">
        <v>4947.3</v>
      </c>
      <c r="D3690">
        <f t="shared" si="747"/>
        <v>7.8307950578467254E-3</v>
      </c>
      <c r="E3690" t="str">
        <f t="shared" si="741"/>
        <v>2024-10</v>
      </c>
      <c r="G3690">
        <v>7583.73</v>
      </c>
      <c r="H3690">
        <f t="shared" si="748"/>
        <v>1.2169378471315728E-2</v>
      </c>
      <c r="I3690" t="str">
        <f t="shared" si="742"/>
        <v>2024-10</v>
      </c>
      <c r="K3690">
        <v>19583.39</v>
      </c>
      <c r="L3690">
        <f t="shared" si="749"/>
        <v>7.7188833173658872E-3</v>
      </c>
      <c r="M3690" t="str">
        <f t="shared" si="743"/>
        <v>2024-10</v>
      </c>
      <c r="O3690">
        <v>10077.648160000001</v>
      </c>
      <c r="P3690">
        <f t="shared" si="750"/>
        <v>1.1133801949174254E-2</v>
      </c>
      <c r="Q3690" t="str">
        <f t="shared" si="744"/>
        <v>2024-10</v>
      </c>
      <c r="S3690">
        <v>11904.5</v>
      </c>
      <c r="T3690">
        <f t="shared" si="751"/>
        <v>-7.7151320717467574E-3</v>
      </c>
      <c r="U3690" t="str">
        <f t="shared" si="745"/>
        <v>2024-10</v>
      </c>
      <c r="W3690">
        <v>35038.730000000003</v>
      </c>
      <c r="X3690">
        <f t="shared" si="752"/>
        <v>1.0867736831653171E-2</v>
      </c>
      <c r="Y3690">
        <f t="shared" si="753"/>
        <v>1.0927005193306498E-2</v>
      </c>
      <c r="Z3690" t="str">
        <f t="shared" si="746"/>
        <v>2024-10</v>
      </c>
    </row>
    <row r="3691" spans="1:26" x14ac:dyDescent="0.35">
      <c r="A3691" s="1">
        <v>45583</v>
      </c>
      <c r="C3691">
        <v>4986.2700000000004</v>
      </c>
      <c r="D3691">
        <f t="shared" si="747"/>
        <v>7.8461620390716542E-3</v>
      </c>
      <c r="E3691" t="str">
        <f t="shared" si="741"/>
        <v>2024-10</v>
      </c>
      <c r="G3691">
        <v>7613.05</v>
      </c>
      <c r="H3691">
        <f t="shared" si="748"/>
        <v>3.8587169624727303E-3</v>
      </c>
      <c r="I3691" t="str">
        <f t="shared" si="742"/>
        <v>2024-10</v>
      </c>
      <c r="K3691">
        <v>19657.37</v>
      </c>
      <c r="L3691">
        <f t="shared" si="749"/>
        <v>3.770573640733463E-3</v>
      </c>
      <c r="M3691" t="str">
        <f t="shared" si="743"/>
        <v>2024-10</v>
      </c>
      <c r="O3691">
        <v>10032.66891</v>
      </c>
      <c r="P3691">
        <f t="shared" si="750"/>
        <v>-4.4732586608626744E-3</v>
      </c>
      <c r="Q3691" t="str">
        <f t="shared" si="744"/>
        <v>2024-10</v>
      </c>
      <c r="S3691">
        <v>11925.2</v>
      </c>
      <c r="T3691">
        <f t="shared" si="751"/>
        <v>1.737328225414845E-3</v>
      </c>
      <c r="U3691" t="str">
        <f t="shared" si="745"/>
        <v>2024-10</v>
      </c>
      <c r="W3691">
        <v>35204.26</v>
      </c>
      <c r="X3691">
        <f t="shared" si="752"/>
        <v>4.7130768895515228E-3</v>
      </c>
      <c r="Y3691">
        <f t="shared" si="753"/>
        <v>4.7242009056834774E-3</v>
      </c>
      <c r="Z3691" t="str">
        <f t="shared" si="746"/>
        <v>2024-10</v>
      </c>
    </row>
    <row r="3692" spans="1:26" x14ac:dyDescent="0.35">
      <c r="A3692" s="1">
        <v>45586</v>
      </c>
      <c r="C3692">
        <v>4941.22</v>
      </c>
      <c r="D3692">
        <f t="shared" si="747"/>
        <v>-9.0758709876652289E-3</v>
      </c>
      <c r="E3692" t="str">
        <f t="shared" si="741"/>
        <v>2024-10</v>
      </c>
      <c r="G3692">
        <v>7536.23</v>
      </c>
      <c r="H3692">
        <f t="shared" si="748"/>
        <v>-1.0141823037448129E-2</v>
      </c>
      <c r="I3692" t="str">
        <f t="shared" si="742"/>
        <v>2024-10</v>
      </c>
      <c r="K3692">
        <v>19461.189999999999</v>
      </c>
      <c r="L3692">
        <f t="shared" si="749"/>
        <v>-1.0030105642382299E-2</v>
      </c>
      <c r="M3692" t="str">
        <f t="shared" si="743"/>
        <v>2024-10</v>
      </c>
      <c r="O3692">
        <v>9985.1171900000008</v>
      </c>
      <c r="P3692">
        <f t="shared" si="750"/>
        <v>-4.7509558954768657E-3</v>
      </c>
      <c r="Q3692" t="str">
        <f t="shared" si="744"/>
        <v>2024-10</v>
      </c>
      <c r="S3692">
        <v>11841.1</v>
      </c>
      <c r="T3692">
        <f t="shared" si="751"/>
        <v>-7.0772775764095346E-3</v>
      </c>
      <c r="U3692" t="str">
        <f t="shared" si="745"/>
        <v>2024-10</v>
      </c>
      <c r="W3692">
        <v>34955.949999999997</v>
      </c>
      <c r="X3692">
        <f t="shared" si="752"/>
        <v>-7.078400613997486E-3</v>
      </c>
      <c r="Y3692">
        <f t="shared" si="753"/>
        <v>-7.0534077409951223E-3</v>
      </c>
      <c r="Z3692" t="str">
        <f t="shared" si="746"/>
        <v>2024-10</v>
      </c>
    </row>
    <row r="3693" spans="1:26" x14ac:dyDescent="0.35">
      <c r="A3693" s="1">
        <v>45587</v>
      </c>
      <c r="C3693">
        <v>4939.3100000000004</v>
      </c>
      <c r="D3693">
        <f t="shared" si="747"/>
        <v>-3.866189412493554E-4</v>
      </c>
      <c r="E3693" t="str">
        <f t="shared" si="741"/>
        <v>2024-10</v>
      </c>
      <c r="G3693">
        <v>7535.1</v>
      </c>
      <c r="H3693">
        <f t="shared" si="748"/>
        <v>-1.4995358765500209E-4</v>
      </c>
      <c r="I3693" t="str">
        <f t="shared" si="742"/>
        <v>2024-10</v>
      </c>
      <c r="K3693">
        <v>19421.91</v>
      </c>
      <c r="L3693">
        <f t="shared" si="749"/>
        <v>-2.0204157262155163E-3</v>
      </c>
      <c r="M3693" t="str">
        <f t="shared" si="743"/>
        <v>2024-10</v>
      </c>
      <c r="O3693">
        <v>9971.9982</v>
      </c>
      <c r="P3693">
        <f t="shared" si="750"/>
        <v>-1.314718247932617E-3</v>
      </c>
      <c r="Q3693" t="str">
        <f t="shared" si="744"/>
        <v>2024-10</v>
      </c>
      <c r="S3693">
        <v>11832.7</v>
      </c>
      <c r="T3693">
        <f t="shared" si="751"/>
        <v>-7.0964529163190348E-4</v>
      </c>
      <c r="U3693" t="str">
        <f t="shared" si="745"/>
        <v>2024-10</v>
      </c>
      <c r="W3693">
        <v>34733.519999999997</v>
      </c>
      <c r="X3693">
        <f t="shared" si="752"/>
        <v>-6.3834824777215414E-3</v>
      </c>
      <c r="Y3693">
        <f t="shared" si="753"/>
        <v>-6.3631513376120608E-3</v>
      </c>
      <c r="Z3693" t="str">
        <f t="shared" si="746"/>
        <v>2024-10</v>
      </c>
    </row>
    <row r="3694" spans="1:26" x14ac:dyDescent="0.35">
      <c r="A3694" s="1">
        <v>45588</v>
      </c>
      <c r="C3694">
        <v>4922.55</v>
      </c>
      <c r="D3694">
        <f t="shared" si="747"/>
        <v>-3.3989564109719807E-3</v>
      </c>
      <c r="E3694" t="str">
        <f t="shared" si="741"/>
        <v>2024-10</v>
      </c>
      <c r="G3694">
        <v>7497.48</v>
      </c>
      <c r="H3694">
        <f t="shared" si="748"/>
        <v>-5.0051393089101228E-3</v>
      </c>
      <c r="I3694" t="str">
        <f t="shared" si="742"/>
        <v>2024-10</v>
      </c>
      <c r="K3694">
        <v>19377.62</v>
      </c>
      <c r="L3694">
        <f t="shared" si="749"/>
        <v>-2.2830183374520359E-3</v>
      </c>
      <c r="M3694" t="str">
        <f t="shared" si="743"/>
        <v>2024-10</v>
      </c>
      <c r="O3694">
        <v>9911.4412499999999</v>
      </c>
      <c r="P3694">
        <f t="shared" si="750"/>
        <v>-6.0912134833222224E-3</v>
      </c>
      <c r="Q3694" t="str">
        <f t="shared" si="744"/>
        <v>2024-10</v>
      </c>
      <c r="S3694">
        <v>11865.2</v>
      </c>
      <c r="T3694">
        <f t="shared" si="751"/>
        <v>2.742860791509997E-3</v>
      </c>
      <c r="U3694" t="str">
        <f t="shared" si="745"/>
        <v>2024-10</v>
      </c>
      <c r="W3694">
        <v>34697.230000000003</v>
      </c>
      <c r="X3694">
        <f t="shared" si="752"/>
        <v>-1.0453582398209783E-3</v>
      </c>
      <c r="Y3694">
        <f t="shared" si="753"/>
        <v>-1.0448120432364357E-3</v>
      </c>
      <c r="Z3694" t="str">
        <f t="shared" si="746"/>
        <v>2024-10</v>
      </c>
    </row>
    <row r="3695" spans="1:26" x14ac:dyDescent="0.35">
      <c r="A3695" s="1">
        <v>45589</v>
      </c>
      <c r="C3695">
        <v>4935.45</v>
      </c>
      <c r="D3695">
        <f t="shared" si="747"/>
        <v>2.6171652187602246E-3</v>
      </c>
      <c r="E3695" t="str">
        <f t="shared" si="741"/>
        <v>2024-10</v>
      </c>
      <c r="G3695">
        <v>7503.28</v>
      </c>
      <c r="H3695">
        <f t="shared" si="748"/>
        <v>7.7329419163106063E-4</v>
      </c>
      <c r="I3695" t="str">
        <f t="shared" si="742"/>
        <v>2024-10</v>
      </c>
      <c r="K3695">
        <v>19443</v>
      </c>
      <c r="L3695">
        <f t="shared" si="749"/>
        <v>3.3683162100116553E-3</v>
      </c>
      <c r="M3695" t="str">
        <f t="shared" si="743"/>
        <v>2024-10</v>
      </c>
      <c r="O3695">
        <v>9913.1592600000004</v>
      </c>
      <c r="P3695">
        <f t="shared" si="750"/>
        <v>1.7332102136791876E-4</v>
      </c>
      <c r="Q3695" t="str">
        <f t="shared" si="744"/>
        <v>2024-10</v>
      </c>
      <c r="S3695">
        <v>11839.8</v>
      </c>
      <c r="T3695">
        <f t="shared" si="751"/>
        <v>-2.1430086244052008E-3</v>
      </c>
      <c r="U3695" t="str">
        <f t="shared" si="745"/>
        <v>2024-10</v>
      </c>
      <c r="W3695">
        <v>34698.81</v>
      </c>
      <c r="X3695">
        <f t="shared" si="752"/>
        <v>4.5535739511086628E-5</v>
      </c>
      <c r="Y3695">
        <f t="shared" si="753"/>
        <v>4.5536776278523388E-5</v>
      </c>
      <c r="Z3695" t="str">
        <f t="shared" si="746"/>
        <v>2024-10</v>
      </c>
    </row>
    <row r="3696" spans="1:26" x14ac:dyDescent="0.35">
      <c r="A3696" s="1">
        <v>45590</v>
      </c>
      <c r="C3696">
        <v>4943.09</v>
      </c>
      <c r="D3696">
        <f t="shared" si="747"/>
        <v>1.5467875866795717E-3</v>
      </c>
      <c r="E3696" t="str">
        <f t="shared" si="741"/>
        <v>2024-10</v>
      </c>
      <c r="G3696">
        <v>7497.54</v>
      </c>
      <c r="H3696">
        <f t="shared" si="748"/>
        <v>-7.6529153474882755E-4</v>
      </c>
      <c r="I3696" t="str">
        <f t="shared" si="742"/>
        <v>2024-10</v>
      </c>
      <c r="K3696">
        <v>19463.59</v>
      </c>
      <c r="L3696">
        <f t="shared" si="749"/>
        <v>1.0584326162850039E-3</v>
      </c>
      <c r="M3696" t="str">
        <f t="shared" si="743"/>
        <v>2024-10</v>
      </c>
      <c r="O3696">
        <v>9907.0057099999995</v>
      </c>
      <c r="P3696">
        <f t="shared" si="750"/>
        <v>-6.2093834304916961E-4</v>
      </c>
      <c r="Q3696" t="str">
        <f t="shared" si="744"/>
        <v>2024-10</v>
      </c>
      <c r="S3696">
        <v>11812.5</v>
      </c>
      <c r="T3696">
        <f t="shared" si="751"/>
        <v>-2.3084446014369525E-3</v>
      </c>
      <c r="U3696" t="str">
        <f t="shared" si="745"/>
        <v>2024-10</v>
      </c>
      <c r="W3696">
        <v>34776.1</v>
      </c>
      <c r="X3696">
        <f t="shared" si="752"/>
        <v>2.2249768120744967E-3</v>
      </c>
      <c r="Y3696">
        <f t="shared" si="753"/>
        <v>2.2274539098026958E-3</v>
      </c>
      <c r="Z3696" t="str">
        <f t="shared" si="746"/>
        <v>2024-10</v>
      </c>
    </row>
    <row r="3697" spans="1:26" x14ac:dyDescent="0.35">
      <c r="A3697" s="1">
        <v>45593</v>
      </c>
      <c r="C3697">
        <v>4969.83</v>
      </c>
      <c r="D3697">
        <f t="shared" si="747"/>
        <v>5.3949925668148237E-3</v>
      </c>
      <c r="E3697" t="str">
        <f t="shared" si="741"/>
        <v>2024-10</v>
      </c>
      <c r="G3697">
        <v>7556.94</v>
      </c>
      <c r="H3697">
        <f t="shared" si="748"/>
        <v>7.8913796099694903E-3</v>
      </c>
      <c r="I3697" t="str">
        <f t="shared" si="742"/>
        <v>2024-10</v>
      </c>
      <c r="K3697">
        <v>19531.62</v>
      </c>
      <c r="L3697">
        <f t="shared" si="749"/>
        <v>3.4891500272659238E-3</v>
      </c>
      <c r="M3697" t="str">
        <f t="shared" si="743"/>
        <v>2024-10</v>
      </c>
      <c r="O3697">
        <v>9941.3648499999999</v>
      </c>
      <c r="P3697">
        <f t="shared" si="750"/>
        <v>3.4621657447271477E-3</v>
      </c>
      <c r="Q3697" t="str">
        <f t="shared" si="744"/>
        <v>2024-10</v>
      </c>
      <c r="S3697">
        <v>11904</v>
      </c>
      <c r="T3697">
        <f t="shared" si="751"/>
        <v>7.7161852708749964E-3</v>
      </c>
      <c r="U3697" t="str">
        <f t="shared" si="745"/>
        <v>2024-10</v>
      </c>
      <c r="W3697">
        <v>35016.44</v>
      </c>
      <c r="X3697">
        <f t="shared" si="752"/>
        <v>6.8872962651949816E-3</v>
      </c>
      <c r="Y3697">
        <f t="shared" si="753"/>
        <v>6.9110682336433298E-3</v>
      </c>
      <c r="Z3697" t="str">
        <f t="shared" si="746"/>
        <v>2024-10</v>
      </c>
    </row>
    <row r="3698" spans="1:26" x14ac:dyDescent="0.35">
      <c r="A3698" s="1">
        <v>45594</v>
      </c>
      <c r="C3698">
        <v>4950.0200000000004</v>
      </c>
      <c r="D3698">
        <f t="shared" si="747"/>
        <v>-3.9940173156597057E-3</v>
      </c>
      <c r="E3698" t="str">
        <f t="shared" si="741"/>
        <v>2024-10</v>
      </c>
      <c r="G3698">
        <v>7511.11</v>
      </c>
      <c r="H3698">
        <f t="shared" si="748"/>
        <v>-6.0830885647748679E-3</v>
      </c>
      <c r="I3698" t="str">
        <f t="shared" si="742"/>
        <v>2024-10</v>
      </c>
      <c r="K3698">
        <v>19478.07</v>
      </c>
      <c r="L3698">
        <f t="shared" si="749"/>
        <v>-2.745473426558535E-3</v>
      </c>
      <c r="M3698" t="str">
        <f t="shared" si="743"/>
        <v>2024-10</v>
      </c>
      <c r="O3698">
        <v>9887.7207500000004</v>
      </c>
      <c r="P3698">
        <f t="shared" si="750"/>
        <v>-5.410661081650732E-3</v>
      </c>
      <c r="Q3698" t="str">
        <f t="shared" si="744"/>
        <v>2024-10</v>
      </c>
      <c r="S3698">
        <v>11795.3</v>
      </c>
      <c r="T3698">
        <f t="shared" si="751"/>
        <v>-9.1733310484026151E-3</v>
      </c>
      <c r="U3698" t="str">
        <f t="shared" si="745"/>
        <v>2024-10</v>
      </c>
      <c r="W3698">
        <v>34925.589999999997</v>
      </c>
      <c r="X3698">
        <f t="shared" si="752"/>
        <v>-2.5978671506932845E-3</v>
      </c>
      <c r="Y3698">
        <f t="shared" si="753"/>
        <v>-2.5944956140603048E-3</v>
      </c>
      <c r="Z3698" t="str">
        <f t="shared" si="746"/>
        <v>2024-10</v>
      </c>
    </row>
    <row r="3699" spans="1:26" x14ac:dyDescent="0.35">
      <c r="A3699" s="1">
        <v>45595</v>
      </c>
      <c r="C3699">
        <v>4885.75</v>
      </c>
      <c r="D3699">
        <f t="shared" si="747"/>
        <v>-1.3068812048427837E-2</v>
      </c>
      <c r="E3699" t="str">
        <f t="shared" si="741"/>
        <v>2024-10</v>
      </c>
      <c r="G3699">
        <v>7428.36</v>
      </c>
      <c r="H3699">
        <f t="shared" si="748"/>
        <v>-1.1078150201078772E-2</v>
      </c>
      <c r="I3699" t="str">
        <f t="shared" si="742"/>
        <v>2024-10</v>
      </c>
      <c r="K3699">
        <v>19257.34</v>
      </c>
      <c r="L3699">
        <f t="shared" si="749"/>
        <v>-1.1396930571465324E-2</v>
      </c>
      <c r="M3699" t="str">
        <f t="shared" si="743"/>
        <v>2024-10</v>
      </c>
      <c r="O3699">
        <v>9745.5989499999996</v>
      </c>
      <c r="P3699">
        <f t="shared" si="750"/>
        <v>-1.4477865654804902E-2</v>
      </c>
      <c r="Q3699" t="str">
        <f t="shared" si="744"/>
        <v>2024-10</v>
      </c>
      <c r="S3699">
        <v>11715</v>
      </c>
      <c r="T3699">
        <f t="shared" si="751"/>
        <v>-6.831075082574435E-3</v>
      </c>
      <c r="U3699" t="str">
        <f t="shared" si="745"/>
        <v>2024-10</v>
      </c>
      <c r="W3699">
        <v>34502.699999999997</v>
      </c>
      <c r="X3699">
        <f t="shared" si="752"/>
        <v>-1.2182216498554983E-2</v>
      </c>
      <c r="Y3699">
        <f t="shared" si="753"/>
        <v>-1.2108313703505066E-2</v>
      </c>
      <c r="Z3699" t="str">
        <f t="shared" si="746"/>
        <v>2024-10</v>
      </c>
    </row>
    <row r="3700" spans="1:26" x14ac:dyDescent="0.35">
      <c r="A3700" s="1">
        <v>45596</v>
      </c>
      <c r="C3700">
        <v>4827.63</v>
      </c>
      <c r="D3700">
        <f t="shared" si="747"/>
        <v>-1.1967140917792603E-2</v>
      </c>
      <c r="E3700" t="str">
        <f t="shared" si="741"/>
        <v>2024-10</v>
      </c>
      <c r="G3700">
        <v>7350.37</v>
      </c>
      <c r="H3700">
        <f t="shared" si="748"/>
        <v>-1.0554455488837565E-2</v>
      </c>
      <c r="I3700" t="str">
        <f t="shared" si="742"/>
        <v>2024-10</v>
      </c>
      <c r="K3700">
        <v>19077.54</v>
      </c>
      <c r="L3700">
        <f t="shared" si="749"/>
        <v>-9.3805598689775879E-3</v>
      </c>
      <c r="M3700" t="str">
        <f t="shared" si="743"/>
        <v>2024-10</v>
      </c>
      <c r="O3700">
        <v>9601.9044400000002</v>
      </c>
      <c r="P3700">
        <f t="shared" si="750"/>
        <v>-1.4854335393235715E-2</v>
      </c>
      <c r="Q3700" t="str">
        <f t="shared" si="744"/>
        <v>2024-10</v>
      </c>
      <c r="S3700">
        <v>11672.6</v>
      </c>
      <c r="T3700">
        <f t="shared" si="751"/>
        <v>-3.6258569885027816E-3</v>
      </c>
      <c r="U3700" t="str">
        <f t="shared" si="745"/>
        <v>2024-10</v>
      </c>
      <c r="W3700">
        <v>34281.24</v>
      </c>
      <c r="X3700">
        <f t="shared" si="752"/>
        <v>-6.4393160738450712E-3</v>
      </c>
      <c r="Y3700">
        <f t="shared" si="753"/>
        <v>-6.4186281073654854E-3</v>
      </c>
      <c r="Z3700" t="str">
        <f t="shared" si="746"/>
        <v>2024-10</v>
      </c>
    </row>
    <row r="3701" spans="1:26" x14ac:dyDescent="0.35">
      <c r="A3701" s="1">
        <v>45597</v>
      </c>
      <c r="C3701">
        <v>4877.75</v>
      </c>
      <c r="D3701">
        <f t="shared" si="747"/>
        <v>1.0328383957614424E-2</v>
      </c>
      <c r="E3701" t="str">
        <f t="shared" si="741"/>
        <v>2024-11</v>
      </c>
      <c r="G3701">
        <v>7409.11</v>
      </c>
      <c r="H3701">
        <f t="shared" si="748"/>
        <v>7.9596720384657975E-3</v>
      </c>
      <c r="I3701" t="str">
        <f t="shared" si="742"/>
        <v>2024-11</v>
      </c>
      <c r="K3701">
        <v>19254.97</v>
      </c>
      <c r="L3701">
        <f t="shared" si="749"/>
        <v>9.2574823385468772E-3</v>
      </c>
      <c r="M3701" t="str">
        <f t="shared" si="743"/>
        <v>2024-11</v>
      </c>
      <c r="O3701">
        <v>9755.8319699999993</v>
      </c>
      <c r="P3701">
        <f t="shared" si="750"/>
        <v>1.5903798992207077E-2</v>
      </c>
      <c r="Q3701" t="str">
        <f t="shared" si="744"/>
        <v>2024-11</v>
      </c>
      <c r="S3701">
        <v>11843</v>
      </c>
      <c r="T3701">
        <f t="shared" si="751"/>
        <v>1.4492760768101789E-2</v>
      </c>
      <c r="U3701" t="str">
        <f t="shared" si="745"/>
        <v>2024-11</v>
      </c>
      <c r="W3701">
        <v>34676.17</v>
      </c>
      <c r="X3701">
        <f t="shared" si="752"/>
        <v>1.1454441749807486E-2</v>
      </c>
      <c r="Y3701">
        <f t="shared" si="753"/>
        <v>1.1520295065172681E-2</v>
      </c>
      <c r="Z3701" t="str">
        <f t="shared" si="746"/>
        <v>2024-11</v>
      </c>
    </row>
    <row r="3702" spans="1:26" x14ac:dyDescent="0.35">
      <c r="A3702" s="1">
        <v>45600</v>
      </c>
      <c r="C3702">
        <v>4852.1000000000004</v>
      </c>
      <c r="D3702">
        <f t="shared" si="747"/>
        <v>-5.2724470407434507E-3</v>
      </c>
      <c r="E3702" t="str">
        <f t="shared" si="741"/>
        <v>2024-11</v>
      </c>
      <c r="G3702">
        <v>7371.71</v>
      </c>
      <c r="H3702">
        <f t="shared" si="748"/>
        <v>-5.0606231342384539E-3</v>
      </c>
      <c r="I3702" t="str">
        <f t="shared" si="742"/>
        <v>2024-11</v>
      </c>
      <c r="K3702">
        <v>19147.849999999999</v>
      </c>
      <c r="L3702">
        <f t="shared" si="749"/>
        <v>-5.5787714455212039E-3</v>
      </c>
      <c r="M3702" t="str">
        <f t="shared" si="743"/>
        <v>2024-11</v>
      </c>
      <c r="O3702">
        <v>9737.8100300000006</v>
      </c>
      <c r="P3702">
        <f t="shared" si="750"/>
        <v>-1.8490075004447852E-3</v>
      </c>
      <c r="Q3702" t="str">
        <f t="shared" si="744"/>
        <v>2024-11</v>
      </c>
      <c r="S3702">
        <v>11805.1</v>
      </c>
      <c r="T3702">
        <f t="shared" si="751"/>
        <v>-3.205334250890402E-3</v>
      </c>
      <c r="U3702" t="str">
        <f t="shared" si="745"/>
        <v>2024-11</v>
      </c>
      <c r="W3702">
        <v>34540.730000000003</v>
      </c>
      <c r="X3702">
        <f t="shared" si="752"/>
        <v>-3.9135001093866927E-3</v>
      </c>
      <c r="Y3702">
        <f t="shared" si="753"/>
        <v>-3.905852347591878E-3</v>
      </c>
      <c r="Z3702" t="str">
        <f t="shared" si="746"/>
        <v>2024-11</v>
      </c>
    </row>
    <row r="3703" spans="1:26" x14ac:dyDescent="0.35">
      <c r="A3703" s="1">
        <v>45601</v>
      </c>
      <c r="C3703">
        <v>4870.33</v>
      </c>
      <c r="D3703">
        <f t="shared" si="747"/>
        <v>3.7500956786248379E-3</v>
      </c>
      <c r="E3703" t="str">
        <f t="shared" si="741"/>
        <v>2024-11</v>
      </c>
      <c r="G3703">
        <v>7407.15</v>
      </c>
      <c r="H3703">
        <f t="shared" si="748"/>
        <v>4.7960489419073713E-3</v>
      </c>
      <c r="I3703" t="str">
        <f t="shared" si="742"/>
        <v>2024-11</v>
      </c>
      <c r="K3703">
        <v>19256.27</v>
      </c>
      <c r="L3703">
        <f t="shared" si="749"/>
        <v>5.6462842028612709E-3</v>
      </c>
      <c r="M3703" t="str">
        <f t="shared" si="743"/>
        <v>2024-11</v>
      </c>
      <c r="O3703">
        <v>9745.55638</v>
      </c>
      <c r="P3703">
        <f t="shared" si="750"/>
        <v>7.9517576635989087E-4</v>
      </c>
      <c r="Q3703" t="str">
        <f t="shared" si="744"/>
        <v>2024-11</v>
      </c>
      <c r="S3703">
        <v>11839.2</v>
      </c>
      <c r="T3703">
        <f t="shared" si="751"/>
        <v>2.884418117033449E-3</v>
      </c>
      <c r="U3703" t="str">
        <f t="shared" si="745"/>
        <v>2024-11</v>
      </c>
      <c r="W3703">
        <v>34472.06</v>
      </c>
      <c r="X3703">
        <f t="shared" si="752"/>
        <v>-1.9900665561613435E-3</v>
      </c>
      <c r="Y3703">
        <f t="shared" si="753"/>
        <v>-1.9880876866240384E-3</v>
      </c>
      <c r="Z3703" t="str">
        <f t="shared" si="746"/>
        <v>2024-11</v>
      </c>
    </row>
    <row r="3704" spans="1:26" x14ac:dyDescent="0.35">
      <c r="A3704" s="1">
        <v>45602</v>
      </c>
      <c r="C3704">
        <v>4800.63</v>
      </c>
      <c r="D3704">
        <f t="shared" si="747"/>
        <v>-1.4414537304434811E-2</v>
      </c>
      <c r="E3704" t="str">
        <f t="shared" si="741"/>
        <v>2024-11</v>
      </c>
      <c r="G3704">
        <v>7369.61</v>
      </c>
      <c r="H3704">
        <f t="shared" si="748"/>
        <v>-5.0809623708549089E-3</v>
      </c>
      <c r="I3704" t="str">
        <f t="shared" si="742"/>
        <v>2024-11</v>
      </c>
      <c r="K3704">
        <v>19039.310000000001</v>
      </c>
      <c r="L3704">
        <f t="shared" si="749"/>
        <v>-1.1330932775370494E-2</v>
      </c>
      <c r="M3704" t="str">
        <f t="shared" si="743"/>
        <v>2024-11</v>
      </c>
      <c r="O3704">
        <v>9813.4152300000005</v>
      </c>
      <c r="P3704">
        <f t="shared" si="750"/>
        <v>6.9389253820779E-3</v>
      </c>
      <c r="Q3704" t="str">
        <f t="shared" si="744"/>
        <v>2024-11</v>
      </c>
      <c r="S3704">
        <v>11495.3</v>
      </c>
      <c r="T3704">
        <f t="shared" si="751"/>
        <v>-2.9477803427300973E-2</v>
      </c>
      <c r="U3704" t="str">
        <f t="shared" si="745"/>
        <v>2024-11</v>
      </c>
      <c r="W3704">
        <v>33940.720000000001</v>
      </c>
      <c r="X3704">
        <f t="shared" si="752"/>
        <v>-1.5533667367108402E-2</v>
      </c>
      <c r="Y3704">
        <f t="shared" si="753"/>
        <v>-1.541364223664024E-2</v>
      </c>
      <c r="Z3704" t="str">
        <f t="shared" si="746"/>
        <v>2024-11</v>
      </c>
    </row>
    <row r="3705" spans="1:26" x14ac:dyDescent="0.35">
      <c r="A3705" s="1">
        <v>45603</v>
      </c>
      <c r="C3705">
        <v>4851.96</v>
      </c>
      <c r="D3705">
        <f t="shared" si="747"/>
        <v>1.0635587723420629E-2</v>
      </c>
      <c r="E3705" t="str">
        <f t="shared" si="741"/>
        <v>2024-11</v>
      </c>
      <c r="G3705">
        <v>7425.6</v>
      </c>
      <c r="H3705">
        <f t="shared" si="748"/>
        <v>7.5687019357170791E-3</v>
      </c>
      <c r="I3705" t="str">
        <f t="shared" si="742"/>
        <v>2024-11</v>
      </c>
      <c r="K3705">
        <v>19362.52</v>
      </c>
      <c r="L3705">
        <f t="shared" si="749"/>
        <v>1.6833449456166463E-2</v>
      </c>
      <c r="M3705" t="str">
        <f t="shared" si="743"/>
        <v>2024-11</v>
      </c>
      <c r="O3705">
        <v>9786.9701600000008</v>
      </c>
      <c r="P3705">
        <f t="shared" si="750"/>
        <v>-2.6984251095525597E-3</v>
      </c>
      <c r="Q3705" t="str">
        <f t="shared" si="744"/>
        <v>2024-11</v>
      </c>
      <c r="S3705">
        <v>11570.1</v>
      </c>
      <c r="T3705">
        <f t="shared" si="751"/>
        <v>6.4859280323849838E-3</v>
      </c>
      <c r="U3705" t="str">
        <f t="shared" si="745"/>
        <v>2024-11</v>
      </c>
      <c r="W3705">
        <v>33981.230000000003</v>
      </c>
      <c r="X3705">
        <f t="shared" si="752"/>
        <v>1.1928398640899101E-3</v>
      </c>
      <c r="Y3705">
        <f t="shared" si="753"/>
        <v>1.1935515805204496E-3</v>
      </c>
      <c r="Z3705" t="str">
        <f t="shared" si="746"/>
        <v>2024-11</v>
      </c>
    </row>
    <row r="3706" spans="1:26" x14ac:dyDescent="0.35">
      <c r="A3706" s="1">
        <v>45604</v>
      </c>
      <c r="C3706">
        <v>4802.76</v>
      </c>
      <c r="D3706">
        <f t="shared" si="747"/>
        <v>-1.019199436005053E-2</v>
      </c>
      <c r="E3706" t="str">
        <f t="shared" si="741"/>
        <v>2024-11</v>
      </c>
      <c r="G3706">
        <v>7338.67</v>
      </c>
      <c r="H3706">
        <f t="shared" si="748"/>
        <v>-1.1775862206937797E-2</v>
      </c>
      <c r="I3706" t="str">
        <f t="shared" si="742"/>
        <v>2024-11</v>
      </c>
      <c r="K3706">
        <v>19215.48</v>
      </c>
      <c r="L3706">
        <f t="shared" si="749"/>
        <v>-7.62303447812395E-3</v>
      </c>
      <c r="M3706" t="str">
        <f t="shared" si="743"/>
        <v>2024-11</v>
      </c>
      <c r="O3706">
        <v>9721.6933300000001</v>
      </c>
      <c r="P3706">
        <f t="shared" si="750"/>
        <v>-6.6921112918198839E-3</v>
      </c>
      <c r="Q3706" t="str">
        <f t="shared" si="744"/>
        <v>2024-11</v>
      </c>
      <c r="S3706">
        <v>11551.6</v>
      </c>
      <c r="T3706">
        <f t="shared" si="751"/>
        <v>-1.6002286983910693E-3</v>
      </c>
      <c r="U3706" t="str">
        <f t="shared" si="745"/>
        <v>2024-11</v>
      </c>
      <c r="W3706">
        <v>33816.58</v>
      </c>
      <c r="X3706">
        <f t="shared" si="752"/>
        <v>-4.8570985904598839E-3</v>
      </c>
      <c r="Y3706">
        <f t="shared" si="753"/>
        <v>-4.8453219615652949E-3</v>
      </c>
      <c r="Z3706" t="str">
        <f t="shared" si="746"/>
        <v>2024-11</v>
      </c>
    </row>
    <row r="3707" spans="1:26" x14ac:dyDescent="0.35">
      <c r="A3707" s="1">
        <v>45607</v>
      </c>
      <c r="C3707">
        <v>4854.03</v>
      </c>
      <c r="D3707">
        <f t="shared" si="747"/>
        <v>1.0618535090338433E-2</v>
      </c>
      <c r="E3707" t="str">
        <f t="shared" si="741"/>
        <v>2024-11</v>
      </c>
      <c r="G3707">
        <v>7426.88</v>
      </c>
      <c r="H3707">
        <f t="shared" si="748"/>
        <v>1.1948223994756159E-2</v>
      </c>
      <c r="I3707" t="str">
        <f t="shared" si="742"/>
        <v>2024-11</v>
      </c>
      <c r="K3707">
        <v>19448.599999999999</v>
      </c>
      <c r="L3707">
        <f t="shared" si="749"/>
        <v>1.2058883850567024E-2</v>
      </c>
      <c r="M3707" t="str">
        <f t="shared" si="743"/>
        <v>2024-11</v>
      </c>
      <c r="O3707">
        <v>9815.2356199999995</v>
      </c>
      <c r="P3707">
        <f t="shared" si="750"/>
        <v>9.5760193486344632E-3</v>
      </c>
      <c r="Q3707" t="str">
        <f t="shared" si="744"/>
        <v>2024-11</v>
      </c>
      <c r="S3707">
        <v>11597.3</v>
      </c>
      <c r="T3707">
        <f t="shared" si="751"/>
        <v>3.9483568869431353E-3</v>
      </c>
      <c r="U3707" t="str">
        <f t="shared" si="745"/>
        <v>2024-11</v>
      </c>
      <c r="W3707">
        <v>34343.83</v>
      </c>
      <c r="X3707">
        <f t="shared" si="752"/>
        <v>1.5471166229943514E-2</v>
      </c>
      <c r="Y3707">
        <f t="shared" si="753"/>
        <v>1.5591464305379195E-2</v>
      </c>
      <c r="Z3707" t="str">
        <f t="shared" si="746"/>
        <v>2024-11</v>
      </c>
    </row>
    <row r="3708" spans="1:26" x14ac:dyDescent="0.35">
      <c r="A3708" s="1">
        <v>45608</v>
      </c>
      <c r="C3708">
        <v>4744.6899999999996</v>
      </c>
      <c r="D3708">
        <f t="shared" si="747"/>
        <v>-2.2783189755704217E-2</v>
      </c>
      <c r="E3708" t="str">
        <f t="shared" si="741"/>
        <v>2024-11</v>
      </c>
      <c r="G3708">
        <v>7226.98</v>
      </c>
      <c r="H3708">
        <f t="shared" si="748"/>
        <v>-2.7284606395605732E-2</v>
      </c>
      <c r="I3708" t="str">
        <f t="shared" si="742"/>
        <v>2024-11</v>
      </c>
      <c r="K3708">
        <v>19033.64</v>
      </c>
      <c r="L3708">
        <f t="shared" si="749"/>
        <v>-2.1567148091244503E-2</v>
      </c>
      <c r="M3708" t="str">
        <f t="shared" si="743"/>
        <v>2024-11</v>
      </c>
      <c r="O3708">
        <v>9634.4045800000004</v>
      </c>
      <c r="P3708">
        <f t="shared" si="750"/>
        <v>-1.8595331209465559E-2</v>
      </c>
      <c r="Q3708" t="str">
        <f t="shared" si="744"/>
        <v>2024-11</v>
      </c>
      <c r="S3708">
        <v>11382.6</v>
      </c>
      <c r="T3708">
        <f t="shared" si="751"/>
        <v>-1.8686438794719738E-2</v>
      </c>
      <c r="U3708" t="str">
        <f t="shared" si="745"/>
        <v>2024-11</v>
      </c>
      <c r="W3708">
        <v>33607.14</v>
      </c>
      <c r="X3708">
        <f t="shared" si="752"/>
        <v>-2.1683836597305082E-2</v>
      </c>
      <c r="Y3708">
        <f t="shared" si="753"/>
        <v>-2.1450432290166889E-2</v>
      </c>
      <c r="Z3708" t="str">
        <f t="shared" si="746"/>
        <v>2024-11</v>
      </c>
    </row>
    <row r="3709" spans="1:26" x14ac:dyDescent="0.35">
      <c r="A3709" s="1">
        <v>45609</v>
      </c>
      <c r="C3709">
        <v>4740.34</v>
      </c>
      <c r="D3709">
        <f t="shared" si="747"/>
        <v>-9.1723490700141598E-4</v>
      </c>
      <c r="E3709" t="str">
        <f t="shared" si="741"/>
        <v>2024-11</v>
      </c>
      <c r="G3709">
        <v>7216.83</v>
      </c>
      <c r="H3709">
        <f t="shared" si="748"/>
        <v>-1.4054465782584399E-3</v>
      </c>
      <c r="I3709" t="str">
        <f t="shared" si="742"/>
        <v>2024-11</v>
      </c>
      <c r="K3709">
        <v>19003.11</v>
      </c>
      <c r="L3709">
        <f t="shared" si="749"/>
        <v>-1.60528996595157E-3</v>
      </c>
      <c r="M3709" t="str">
        <f t="shared" si="743"/>
        <v>2024-11</v>
      </c>
      <c r="O3709">
        <v>9657.0625700000001</v>
      </c>
      <c r="P3709">
        <f t="shared" si="750"/>
        <v>2.3490178577404283E-3</v>
      </c>
      <c r="Q3709" t="str">
        <f t="shared" si="744"/>
        <v>2024-11</v>
      </c>
      <c r="S3709">
        <v>11377.1</v>
      </c>
      <c r="T3709">
        <f t="shared" si="751"/>
        <v>-4.8331042211111812E-4</v>
      </c>
      <c r="U3709" t="str">
        <f t="shared" si="745"/>
        <v>2024-11</v>
      </c>
      <c r="W3709">
        <v>33707.519999999997</v>
      </c>
      <c r="X3709">
        <f t="shared" si="752"/>
        <v>2.9824134714460768E-3</v>
      </c>
      <c r="Y3709">
        <f t="shared" si="753"/>
        <v>2.9868652911255581E-3</v>
      </c>
      <c r="Z3709" t="str">
        <f t="shared" si="746"/>
        <v>2024-11</v>
      </c>
    </row>
    <row r="3710" spans="1:26" x14ac:dyDescent="0.35">
      <c r="A3710" s="1">
        <v>45610</v>
      </c>
      <c r="C3710">
        <v>4833.53</v>
      </c>
      <c r="D3710">
        <f t="shared" si="747"/>
        <v>1.9468186493469118E-2</v>
      </c>
      <c r="E3710" t="str">
        <f t="shared" si="741"/>
        <v>2024-11</v>
      </c>
      <c r="G3710">
        <v>7311.8</v>
      </c>
      <c r="H3710">
        <f t="shared" si="748"/>
        <v>1.307368316144639E-2</v>
      </c>
      <c r="I3710" t="str">
        <f t="shared" si="742"/>
        <v>2024-11</v>
      </c>
      <c r="K3710">
        <v>19263.7</v>
      </c>
      <c r="L3710">
        <f t="shared" si="749"/>
        <v>1.3619845933279758E-2</v>
      </c>
      <c r="M3710" t="str">
        <f t="shared" si="743"/>
        <v>2024-11</v>
      </c>
      <c r="O3710">
        <v>9710.0413499999995</v>
      </c>
      <c r="P3710">
        <f t="shared" si="750"/>
        <v>5.4710205889124215E-3</v>
      </c>
      <c r="Q3710" t="str">
        <f t="shared" si="744"/>
        <v>2024-11</v>
      </c>
      <c r="S3710">
        <v>11524.3</v>
      </c>
      <c r="T3710">
        <f t="shared" si="751"/>
        <v>1.285528632869231E-2</v>
      </c>
      <c r="U3710" t="str">
        <f t="shared" si="745"/>
        <v>2024-11</v>
      </c>
      <c r="W3710">
        <v>34358.160000000003</v>
      </c>
      <c r="X3710">
        <f t="shared" si="752"/>
        <v>1.9118587176210948E-2</v>
      </c>
      <c r="Y3710">
        <f t="shared" si="753"/>
        <v>1.9302517657781015E-2</v>
      </c>
      <c r="Z3710" t="str">
        <f t="shared" si="746"/>
        <v>2024-11</v>
      </c>
    </row>
    <row r="3711" spans="1:26" x14ac:dyDescent="0.35">
      <c r="A3711" s="1">
        <v>45611</v>
      </c>
      <c r="C3711">
        <v>4794.8500000000004</v>
      </c>
      <c r="D3711">
        <f t="shared" si="747"/>
        <v>-8.0346243257256051E-3</v>
      </c>
      <c r="E3711" t="str">
        <f t="shared" si="741"/>
        <v>2024-11</v>
      </c>
      <c r="G3711">
        <v>7269.63</v>
      </c>
      <c r="H3711">
        <f t="shared" si="748"/>
        <v>-5.7840853151768321E-3</v>
      </c>
      <c r="I3711" t="str">
        <f t="shared" si="742"/>
        <v>2024-11</v>
      </c>
      <c r="K3711">
        <v>19210.810000000001</v>
      </c>
      <c r="L3711">
        <f t="shared" si="749"/>
        <v>-2.7493544851418979E-3</v>
      </c>
      <c r="M3711" t="str">
        <f t="shared" si="743"/>
        <v>2024-11</v>
      </c>
      <c r="O3711">
        <v>9652.0242199999993</v>
      </c>
      <c r="P3711">
        <f t="shared" si="750"/>
        <v>-5.9928837064323233E-3</v>
      </c>
      <c r="Q3711" t="str">
        <f t="shared" si="744"/>
        <v>2024-11</v>
      </c>
      <c r="S3711">
        <v>11635.9</v>
      </c>
      <c r="T3711">
        <f t="shared" si="751"/>
        <v>9.6372970664643873E-3</v>
      </c>
      <c r="U3711" t="str">
        <f t="shared" si="745"/>
        <v>2024-11</v>
      </c>
      <c r="W3711">
        <v>34191.79</v>
      </c>
      <c r="X3711">
        <f t="shared" si="752"/>
        <v>-4.8539882715103082E-3</v>
      </c>
      <c r="Y3711">
        <f t="shared" si="753"/>
        <v>-4.8422267082987736E-3</v>
      </c>
      <c r="Z3711" t="str">
        <f t="shared" si="746"/>
        <v>2024-11</v>
      </c>
    </row>
    <row r="3712" spans="1:26" x14ac:dyDescent="0.35">
      <c r="A3712" s="1">
        <v>45614</v>
      </c>
      <c r="C3712">
        <v>4790.33</v>
      </c>
      <c r="D3712">
        <f t="shared" si="747"/>
        <v>-9.4312268210676139E-4</v>
      </c>
      <c r="E3712" t="str">
        <f t="shared" si="741"/>
        <v>2024-11</v>
      </c>
      <c r="G3712">
        <v>7278.23</v>
      </c>
      <c r="H3712">
        <f t="shared" si="748"/>
        <v>1.1823046141201902E-3</v>
      </c>
      <c r="I3712" t="str">
        <f t="shared" si="742"/>
        <v>2024-11</v>
      </c>
      <c r="K3712">
        <v>19189.189999999999</v>
      </c>
      <c r="L3712">
        <f t="shared" si="749"/>
        <v>-1.1260417856490811E-3</v>
      </c>
      <c r="M3712" t="str">
        <f t="shared" si="743"/>
        <v>2024-11</v>
      </c>
      <c r="O3712">
        <v>9698.1066100000007</v>
      </c>
      <c r="P3712">
        <f t="shared" si="750"/>
        <v>4.7630145268540043E-3</v>
      </c>
      <c r="Q3712" t="str">
        <f t="shared" si="744"/>
        <v>2024-11</v>
      </c>
      <c r="S3712">
        <v>11674.8</v>
      </c>
      <c r="T3712">
        <f t="shared" si="751"/>
        <v>3.3375262097817908E-3</v>
      </c>
      <c r="U3712" t="str">
        <f t="shared" si="745"/>
        <v>2024-11</v>
      </c>
      <c r="W3712">
        <v>33758.43</v>
      </c>
      <c r="X3712">
        <f t="shared" si="752"/>
        <v>-1.2755392863337321E-2</v>
      </c>
      <c r="Y3712">
        <f t="shared" si="753"/>
        <v>-1.2674387623461672E-2</v>
      </c>
      <c r="Z3712" t="str">
        <f t="shared" si="746"/>
        <v>2024-11</v>
      </c>
    </row>
    <row r="3713" spans="1:26" x14ac:dyDescent="0.35">
      <c r="A3713" s="1">
        <v>45615</v>
      </c>
      <c r="C3713">
        <v>4751.2299999999996</v>
      </c>
      <c r="D3713">
        <f t="shared" si="747"/>
        <v>-8.1957706840698179E-3</v>
      </c>
      <c r="E3713" t="str">
        <f t="shared" si="741"/>
        <v>2024-11</v>
      </c>
      <c r="G3713">
        <v>7229.64</v>
      </c>
      <c r="H3713">
        <f t="shared" si="748"/>
        <v>-6.698458379254613E-3</v>
      </c>
      <c r="I3713" t="str">
        <f t="shared" si="742"/>
        <v>2024-11</v>
      </c>
      <c r="K3713">
        <v>19060.310000000001</v>
      </c>
      <c r="L3713">
        <f t="shared" si="749"/>
        <v>-6.7389371227433532E-3</v>
      </c>
      <c r="M3713" t="str">
        <f t="shared" si="743"/>
        <v>2024-11</v>
      </c>
      <c r="O3713">
        <v>9699.6864299999997</v>
      </c>
      <c r="P3713">
        <f t="shared" si="750"/>
        <v>1.6288657170781534E-4</v>
      </c>
      <c r="Q3713" t="str">
        <f t="shared" si="744"/>
        <v>2024-11</v>
      </c>
      <c r="S3713">
        <v>11588.4</v>
      </c>
      <c r="T3713">
        <f t="shared" si="751"/>
        <v>-7.4280750085097486E-3</v>
      </c>
      <c r="U3713" t="str">
        <f t="shared" si="745"/>
        <v>2024-11</v>
      </c>
      <c r="W3713">
        <v>33324.730000000003</v>
      </c>
      <c r="X3713">
        <f t="shared" si="752"/>
        <v>-1.2930399900596513E-2</v>
      </c>
      <c r="Y3713">
        <f t="shared" si="753"/>
        <v>-1.2847161434936314E-2</v>
      </c>
      <c r="Z3713" t="str">
        <f t="shared" si="746"/>
        <v>2024-11</v>
      </c>
    </row>
    <row r="3714" spans="1:26" x14ac:dyDescent="0.35">
      <c r="A3714" s="1">
        <v>45616</v>
      </c>
      <c r="C3714">
        <v>4729.71</v>
      </c>
      <c r="D3714">
        <f t="shared" si="747"/>
        <v>-4.5396420518698981E-3</v>
      </c>
      <c r="E3714" t="str">
        <f t="shared" si="741"/>
        <v>2024-11</v>
      </c>
      <c r="G3714">
        <v>7198.45</v>
      </c>
      <c r="H3714">
        <f t="shared" si="748"/>
        <v>-4.3235173312189748E-3</v>
      </c>
      <c r="I3714" t="str">
        <f t="shared" si="742"/>
        <v>2024-11</v>
      </c>
      <c r="K3714">
        <v>19004.78</v>
      </c>
      <c r="L3714">
        <f t="shared" si="749"/>
        <v>-2.9176360487813894E-3</v>
      </c>
      <c r="M3714" t="str">
        <f t="shared" si="743"/>
        <v>2024-11</v>
      </c>
      <c r="O3714">
        <v>9714.0596100000002</v>
      </c>
      <c r="P3714">
        <f t="shared" si="750"/>
        <v>1.4807222260487171E-3</v>
      </c>
      <c r="Q3714" t="str">
        <f t="shared" si="744"/>
        <v>2024-11</v>
      </c>
      <c r="S3714">
        <v>11589.5</v>
      </c>
      <c r="T3714">
        <f t="shared" si="751"/>
        <v>9.4918003859420123E-5</v>
      </c>
      <c r="U3714" t="str">
        <f t="shared" si="745"/>
        <v>2024-11</v>
      </c>
      <c r="W3714">
        <v>33227.699999999997</v>
      </c>
      <c r="X3714">
        <f t="shared" si="752"/>
        <v>-2.9158986005321597E-3</v>
      </c>
      <c r="Y3714">
        <f t="shared" si="753"/>
        <v>-2.9116514972516239E-3</v>
      </c>
      <c r="Z3714" t="str">
        <f t="shared" si="746"/>
        <v>2024-11</v>
      </c>
    </row>
    <row r="3715" spans="1:26" x14ac:dyDescent="0.35">
      <c r="A3715" s="1">
        <v>45617</v>
      </c>
      <c r="C3715">
        <v>4755.83</v>
      </c>
      <c r="D3715">
        <f t="shared" si="747"/>
        <v>5.5073440247136139E-3</v>
      </c>
      <c r="E3715" t="str">
        <f t="shared" si="741"/>
        <v>2024-11</v>
      </c>
      <c r="G3715">
        <v>7213.32</v>
      </c>
      <c r="H3715">
        <f t="shared" si="748"/>
        <v>2.0635918109823516E-3</v>
      </c>
      <c r="I3715" t="str">
        <f t="shared" si="742"/>
        <v>2024-11</v>
      </c>
      <c r="K3715">
        <v>19146.169999999998</v>
      </c>
      <c r="L3715">
        <f t="shared" si="749"/>
        <v>7.4121691508558457E-3</v>
      </c>
      <c r="M3715" t="str">
        <f t="shared" si="743"/>
        <v>2024-11</v>
      </c>
      <c r="O3715">
        <v>9790.3129300000001</v>
      </c>
      <c r="P3715">
        <f t="shared" si="750"/>
        <v>7.8191398720674279E-3</v>
      </c>
      <c r="Q3715" t="str">
        <f t="shared" si="744"/>
        <v>2024-11</v>
      </c>
      <c r="S3715">
        <v>11611.7</v>
      </c>
      <c r="T3715">
        <f t="shared" si="751"/>
        <v>1.9136947033017186E-3</v>
      </c>
      <c r="U3715" t="str">
        <f t="shared" si="745"/>
        <v>2024-11</v>
      </c>
      <c r="W3715">
        <v>33294.959999999999</v>
      </c>
      <c r="X3715">
        <f t="shared" si="752"/>
        <v>2.0221687743627822E-3</v>
      </c>
      <c r="Y3715">
        <f t="shared" si="753"/>
        <v>2.0242147365000297E-3</v>
      </c>
      <c r="Z3715" t="str">
        <f t="shared" si="746"/>
        <v>2024-11</v>
      </c>
    </row>
    <row r="3716" spans="1:26" x14ac:dyDescent="0.35">
      <c r="A3716" s="1">
        <v>45618</v>
      </c>
      <c r="C3716">
        <v>4789.08</v>
      </c>
      <c r="D3716">
        <f t="shared" si="747"/>
        <v>6.9670923030559452E-3</v>
      </c>
      <c r="E3716" t="str">
        <f t="shared" ref="E3716:E3779" si="754">_xlfn.CONCAT(YEAR(A3716),"-",TEXT(MONTH(A3716),"00"))</f>
        <v>2024-11</v>
      </c>
      <c r="G3716">
        <v>7255.01</v>
      </c>
      <c r="H3716">
        <f t="shared" si="748"/>
        <v>5.7629478153258728E-3</v>
      </c>
      <c r="I3716" t="str">
        <f t="shared" ref="I3716:I3779" si="755">_xlfn.CONCAT(YEAR(A3716),"-",TEXT(MONTH(A3716),"00"))</f>
        <v>2024-11</v>
      </c>
      <c r="K3716">
        <v>19322.59</v>
      </c>
      <c r="L3716">
        <f t="shared" si="749"/>
        <v>9.1721821464318416E-3</v>
      </c>
      <c r="M3716" t="str">
        <f t="shared" ref="M3716:M3779" si="756">_xlfn.CONCAT(YEAR(A3716),"-",TEXT(MONTH(A3716),"00"))</f>
        <v>2024-11</v>
      </c>
      <c r="O3716">
        <v>9936.0651099999995</v>
      </c>
      <c r="P3716">
        <f t="shared" si="750"/>
        <v>1.4777657827653602E-2</v>
      </c>
      <c r="Q3716" t="str">
        <f t="shared" ref="Q3716:Q3779" si="757">_xlfn.CONCAT(YEAR(A3716),"-",TEXT(MONTH(A3716),"00"))</f>
        <v>2024-11</v>
      </c>
      <c r="S3716">
        <v>11656.6</v>
      </c>
      <c r="T3716">
        <f t="shared" si="751"/>
        <v>3.8593327170483539E-3</v>
      </c>
      <c r="U3716" t="str">
        <f t="shared" ref="U3716:U3779" si="758">_xlfn.CONCAT(YEAR(A3716),"-",TEXT(MONTH(A3716),"00"))</f>
        <v>2024-11</v>
      </c>
      <c r="W3716">
        <v>33494.83</v>
      </c>
      <c r="X3716">
        <f t="shared" si="752"/>
        <v>5.9850643826901972E-3</v>
      </c>
      <c r="Y3716">
        <f t="shared" si="753"/>
        <v>6.0030106658786383E-3</v>
      </c>
      <c r="Z3716" t="str">
        <f t="shared" ref="Z3716:Z3779" si="759">_xlfn.CONCAT(YEAR(A3716),"-",TEXT(MONTH(A3716),"00"))</f>
        <v>2024-11</v>
      </c>
    </row>
    <row r="3717" spans="1:26" x14ac:dyDescent="0.35">
      <c r="A3717" s="1">
        <v>45621</v>
      </c>
      <c r="C3717">
        <v>4799.87</v>
      </c>
      <c r="D3717">
        <f t="shared" ref="D3717:D3780" si="760">LN(C3717/C3716)</f>
        <v>2.2505080439645538E-3</v>
      </c>
      <c r="E3717" t="str">
        <f t="shared" si="754"/>
        <v>2024-11</v>
      </c>
      <c r="G3717">
        <v>7257.47</v>
      </c>
      <c r="H3717">
        <f t="shared" ref="H3717:H3780" si="761">LN(G3717/G3716)</f>
        <v>3.3901855831145844E-4</v>
      </c>
      <c r="I3717" t="str">
        <f t="shared" si="755"/>
        <v>2024-11</v>
      </c>
      <c r="K3717">
        <v>19405.2</v>
      </c>
      <c r="L3717">
        <f t="shared" ref="L3717:L3780" si="762">LN(K3717/K3716)</f>
        <v>4.2661936193418414E-3</v>
      </c>
      <c r="M3717" t="str">
        <f t="shared" si="756"/>
        <v>2024-11</v>
      </c>
      <c r="O3717">
        <v>9926.9264500000008</v>
      </c>
      <c r="P3717">
        <f t="shared" ref="P3717:P3780" si="763">LN(O3717/O3716)</f>
        <v>-9.2016961465356891E-4</v>
      </c>
      <c r="Q3717" t="str">
        <f t="shared" si="757"/>
        <v>2024-11</v>
      </c>
      <c r="S3717">
        <v>11711.8</v>
      </c>
      <c r="T3717">
        <f t="shared" ref="T3717:T3780" si="764">LN(S3717/S3716)</f>
        <v>4.7243373674734088E-3</v>
      </c>
      <c r="U3717" t="str">
        <f t="shared" si="758"/>
        <v>2024-11</v>
      </c>
      <c r="W3717">
        <v>33427.72</v>
      </c>
      <c r="X3717">
        <f t="shared" ref="X3717:X3780" si="765">LN(W3717/W3716)</f>
        <v>-2.0056026704154814E-3</v>
      </c>
      <c r="Y3717">
        <f t="shared" ref="Y3717:Y3780" si="766">(W3717-W3716)/W3716</f>
        <v>-2.0035927932758749E-3</v>
      </c>
      <c r="Z3717" t="str">
        <f t="shared" si="759"/>
        <v>2024-11</v>
      </c>
    </row>
    <row r="3718" spans="1:26" x14ac:dyDescent="0.35">
      <c r="A3718" s="1">
        <v>45622</v>
      </c>
      <c r="C3718">
        <v>4761.99</v>
      </c>
      <c r="D3718">
        <f t="shared" si="760"/>
        <v>-7.9231861092865941E-3</v>
      </c>
      <c r="E3718" t="str">
        <f t="shared" si="754"/>
        <v>2024-11</v>
      </c>
      <c r="G3718">
        <v>7194.51</v>
      </c>
      <c r="H3718">
        <f t="shared" si="761"/>
        <v>-8.7130480822385555E-3</v>
      </c>
      <c r="I3718" t="str">
        <f t="shared" si="755"/>
        <v>2024-11</v>
      </c>
      <c r="K3718">
        <v>19295.98</v>
      </c>
      <c r="L3718">
        <f t="shared" si="762"/>
        <v>-5.6442873297690849E-3</v>
      </c>
      <c r="M3718" t="str">
        <f t="shared" si="756"/>
        <v>2024-11</v>
      </c>
      <c r="O3718">
        <v>9889.0347199999997</v>
      </c>
      <c r="P3718">
        <f t="shared" si="763"/>
        <v>-3.8243692403301657E-3</v>
      </c>
      <c r="Q3718" t="str">
        <f t="shared" si="757"/>
        <v>2024-11</v>
      </c>
      <c r="S3718">
        <v>11617.9</v>
      </c>
      <c r="T3718">
        <f t="shared" si="764"/>
        <v>-8.0498683705689956E-3</v>
      </c>
      <c r="U3718" t="str">
        <f t="shared" si="758"/>
        <v>2024-11</v>
      </c>
      <c r="W3718">
        <v>33167.64</v>
      </c>
      <c r="X3718">
        <f t="shared" si="765"/>
        <v>-7.8107940930511547E-3</v>
      </c>
      <c r="Y3718">
        <f t="shared" si="766"/>
        <v>-7.7803691068371317E-3</v>
      </c>
      <c r="Z3718" t="str">
        <f t="shared" si="759"/>
        <v>2024-11</v>
      </c>
    </row>
    <row r="3719" spans="1:26" x14ac:dyDescent="0.35">
      <c r="A3719" s="1">
        <v>45623</v>
      </c>
      <c r="C3719">
        <v>4733.1499999999996</v>
      </c>
      <c r="D3719">
        <f t="shared" si="760"/>
        <v>-6.0747053098447095E-3</v>
      </c>
      <c r="E3719" t="str">
        <f t="shared" si="754"/>
        <v>2024-11</v>
      </c>
      <c r="G3719">
        <v>7143.03</v>
      </c>
      <c r="H3719">
        <f t="shared" si="761"/>
        <v>-7.1811790910085776E-3</v>
      </c>
      <c r="I3719" t="str">
        <f t="shared" si="755"/>
        <v>2024-11</v>
      </c>
      <c r="K3719">
        <v>19261.75</v>
      </c>
      <c r="L3719">
        <f t="shared" si="762"/>
        <v>-1.7755199277769567E-3</v>
      </c>
      <c r="M3719" t="str">
        <f t="shared" si="756"/>
        <v>2024-11</v>
      </c>
      <c r="O3719">
        <v>9917.0249899999999</v>
      </c>
      <c r="P3719">
        <f t="shared" si="763"/>
        <v>2.8264368626329645E-3</v>
      </c>
      <c r="Q3719" t="str">
        <f t="shared" si="757"/>
        <v>2024-11</v>
      </c>
      <c r="S3719">
        <v>11579.5</v>
      </c>
      <c r="T3719">
        <f t="shared" si="764"/>
        <v>-3.3107188801109813E-3</v>
      </c>
      <c r="U3719" t="str">
        <f t="shared" si="758"/>
        <v>2024-11</v>
      </c>
      <c r="W3719">
        <v>33089.72</v>
      </c>
      <c r="X3719">
        <f t="shared" si="765"/>
        <v>-2.3520416727066964E-3</v>
      </c>
      <c r="Y3719">
        <f t="shared" si="766"/>
        <v>-2.3492777900386719E-3</v>
      </c>
      <c r="Z3719" t="str">
        <f t="shared" si="759"/>
        <v>2024-11</v>
      </c>
    </row>
    <row r="3720" spans="1:26" x14ac:dyDescent="0.35">
      <c r="A3720" s="1">
        <v>45624</v>
      </c>
      <c r="C3720">
        <v>4758.6499999999996</v>
      </c>
      <c r="D3720">
        <f t="shared" si="760"/>
        <v>5.3730717774306599E-3</v>
      </c>
      <c r="E3720" t="str">
        <f t="shared" si="754"/>
        <v>2024-11</v>
      </c>
      <c r="G3720">
        <v>7179.25</v>
      </c>
      <c r="H3720">
        <f t="shared" si="761"/>
        <v>5.0578646996088071E-3</v>
      </c>
      <c r="I3720" t="str">
        <f t="shared" si="755"/>
        <v>2024-11</v>
      </c>
      <c r="K3720">
        <v>19425.73</v>
      </c>
      <c r="L3720">
        <f t="shared" si="762"/>
        <v>8.4772118529493484E-3</v>
      </c>
      <c r="M3720" t="str">
        <f t="shared" si="756"/>
        <v>2024-11</v>
      </c>
      <c r="O3720">
        <v>9956.6113299999997</v>
      </c>
      <c r="P3720">
        <f t="shared" si="763"/>
        <v>3.9838096781033335E-3</v>
      </c>
      <c r="Q3720" t="str">
        <f t="shared" si="757"/>
        <v>2024-11</v>
      </c>
      <c r="S3720">
        <v>11610.8</v>
      </c>
      <c r="T3720">
        <f t="shared" si="764"/>
        <v>2.69940613156223E-3</v>
      </c>
      <c r="U3720" t="str">
        <f t="shared" si="758"/>
        <v>2024-11</v>
      </c>
      <c r="W3720">
        <v>33260.129999999997</v>
      </c>
      <c r="X3720">
        <f t="shared" si="765"/>
        <v>5.1367222292686039E-3</v>
      </c>
      <c r="Y3720">
        <f t="shared" si="766"/>
        <v>5.1499378054572905E-3</v>
      </c>
      <c r="Z3720" t="str">
        <f t="shared" si="759"/>
        <v>2024-11</v>
      </c>
    </row>
    <row r="3721" spans="1:26" x14ac:dyDescent="0.35">
      <c r="A3721" s="1">
        <v>45625</v>
      </c>
      <c r="C3721">
        <v>4804.3999999999996</v>
      </c>
      <c r="D3721">
        <f t="shared" si="760"/>
        <v>9.5681501261468509E-3</v>
      </c>
      <c r="E3721" t="str">
        <f t="shared" si="754"/>
        <v>2024-11</v>
      </c>
      <c r="G3721">
        <v>7235.11</v>
      </c>
      <c r="H3721">
        <f t="shared" si="761"/>
        <v>7.7506430583192242E-3</v>
      </c>
      <c r="I3721" t="str">
        <f t="shared" si="755"/>
        <v>2024-11</v>
      </c>
      <c r="K3721">
        <v>19626.45</v>
      </c>
      <c r="L3721">
        <f t="shared" si="762"/>
        <v>1.0279670304237943E-2</v>
      </c>
      <c r="M3721" t="str">
        <f t="shared" si="756"/>
        <v>2024-11</v>
      </c>
      <c r="O3721">
        <v>9978.0095799999999</v>
      </c>
      <c r="P3721">
        <f t="shared" si="763"/>
        <v>2.1468437564182742E-3</v>
      </c>
      <c r="Q3721" t="str">
        <f t="shared" si="757"/>
        <v>2024-11</v>
      </c>
      <c r="S3721">
        <v>11641.3</v>
      </c>
      <c r="T3721">
        <f t="shared" si="764"/>
        <v>2.6234204646117952E-3</v>
      </c>
      <c r="U3721" t="str">
        <f t="shared" si="758"/>
        <v>2024-11</v>
      </c>
      <c r="W3721">
        <v>33414.559999999998</v>
      </c>
      <c r="X3721">
        <f t="shared" si="765"/>
        <v>4.6323507812379653E-3</v>
      </c>
      <c r="Y3721">
        <f t="shared" si="766"/>
        <v>4.6430967046731421E-3</v>
      </c>
      <c r="Z3721" t="str">
        <f t="shared" si="759"/>
        <v>2024-11</v>
      </c>
    </row>
    <row r="3722" spans="1:26" x14ac:dyDescent="0.35">
      <c r="A3722" s="1">
        <v>45628</v>
      </c>
      <c r="C3722">
        <v>4846.7299999999996</v>
      </c>
      <c r="D3722">
        <f t="shared" si="760"/>
        <v>8.772086053962869E-3</v>
      </c>
      <c r="E3722" t="str">
        <f t="shared" si="754"/>
        <v>2024-12</v>
      </c>
      <c r="G3722">
        <v>7236.89</v>
      </c>
      <c r="H3722">
        <f t="shared" si="761"/>
        <v>2.459922621580939E-4</v>
      </c>
      <c r="I3722" t="str">
        <f t="shared" si="755"/>
        <v>2024-12</v>
      </c>
      <c r="K3722">
        <v>19933.62</v>
      </c>
      <c r="L3722">
        <f t="shared" si="762"/>
        <v>1.5529607166567165E-2</v>
      </c>
      <c r="M3722" t="str">
        <f t="shared" si="756"/>
        <v>2024-12</v>
      </c>
      <c r="O3722">
        <v>10021.7564</v>
      </c>
      <c r="P3722">
        <f t="shared" si="763"/>
        <v>4.3747401658493085E-3</v>
      </c>
      <c r="Q3722" t="str">
        <f t="shared" si="757"/>
        <v>2024-12</v>
      </c>
      <c r="S3722">
        <v>11735.3</v>
      </c>
      <c r="T3722">
        <f t="shared" si="764"/>
        <v>8.0422736107970665E-3</v>
      </c>
      <c r="U3722" t="str">
        <f t="shared" si="758"/>
        <v>2024-12</v>
      </c>
      <c r="W3722">
        <v>33483.17</v>
      </c>
      <c r="X3722">
        <f t="shared" si="765"/>
        <v>2.0511913948569205E-3</v>
      </c>
      <c r="Y3722">
        <f t="shared" si="766"/>
        <v>2.0532965270229678E-3</v>
      </c>
      <c r="Z3722" t="str">
        <f t="shared" si="759"/>
        <v>2024-12</v>
      </c>
    </row>
    <row r="3723" spans="1:26" x14ac:dyDescent="0.35">
      <c r="A3723" s="1">
        <v>45629</v>
      </c>
      <c r="C3723">
        <v>4878.51</v>
      </c>
      <c r="D3723">
        <f t="shared" si="760"/>
        <v>6.5355946219985486E-3</v>
      </c>
      <c r="E3723" t="str">
        <f t="shared" si="754"/>
        <v>2024-12</v>
      </c>
      <c r="G3723">
        <v>7255.42</v>
      </c>
      <c r="H3723">
        <f t="shared" si="761"/>
        <v>2.5572196700015498E-3</v>
      </c>
      <c r="I3723" t="str">
        <f t="shared" si="755"/>
        <v>2024-12</v>
      </c>
      <c r="K3723">
        <v>20016.75</v>
      </c>
      <c r="L3723">
        <f t="shared" si="762"/>
        <v>4.1616695905825852E-3</v>
      </c>
      <c r="M3723" t="str">
        <f t="shared" si="756"/>
        <v>2024-12</v>
      </c>
      <c r="O3723">
        <v>10076.705449999999</v>
      </c>
      <c r="P3723">
        <f t="shared" si="763"/>
        <v>5.4679992250390493E-3</v>
      </c>
      <c r="Q3723" t="str">
        <f t="shared" si="757"/>
        <v>2024-12</v>
      </c>
      <c r="S3723">
        <v>11873.6</v>
      </c>
      <c r="T3723">
        <f t="shared" si="764"/>
        <v>1.1716054707022978E-2</v>
      </c>
      <c r="U3723" t="str">
        <f t="shared" si="758"/>
        <v>2024-12</v>
      </c>
      <c r="W3723">
        <v>33829.339999999997</v>
      </c>
      <c r="X3723">
        <f t="shared" si="765"/>
        <v>1.0285548758890215E-2</v>
      </c>
      <c r="Y3723">
        <f t="shared" si="766"/>
        <v>1.0338626838498215E-2</v>
      </c>
      <c r="Z3723" t="str">
        <f t="shared" si="759"/>
        <v>2024-12</v>
      </c>
    </row>
    <row r="3724" spans="1:26" x14ac:dyDescent="0.35">
      <c r="A3724" s="1">
        <v>45630</v>
      </c>
      <c r="C3724">
        <v>4919.0200000000004</v>
      </c>
      <c r="D3724">
        <f t="shared" si="760"/>
        <v>8.2694782978239775E-3</v>
      </c>
      <c r="E3724" t="str">
        <f t="shared" si="754"/>
        <v>2024-12</v>
      </c>
      <c r="G3724">
        <v>7303.28</v>
      </c>
      <c r="H3724">
        <f t="shared" si="761"/>
        <v>6.5747865409442928E-3</v>
      </c>
      <c r="I3724" t="str">
        <f t="shared" si="755"/>
        <v>2024-12</v>
      </c>
      <c r="K3724">
        <v>20232.14</v>
      </c>
      <c r="L3724">
        <f t="shared" si="762"/>
        <v>1.0703006028289429E-2</v>
      </c>
      <c r="M3724" t="str">
        <f t="shared" si="756"/>
        <v>2024-12</v>
      </c>
      <c r="O3724">
        <v>10060.405790000001</v>
      </c>
      <c r="P3724">
        <f t="shared" si="763"/>
        <v>-1.6188681053097222E-3</v>
      </c>
      <c r="Q3724" t="str">
        <f t="shared" si="757"/>
        <v>2024-12</v>
      </c>
      <c r="S3724">
        <v>11931.6</v>
      </c>
      <c r="T3724">
        <f t="shared" si="764"/>
        <v>4.8728945581591855E-3</v>
      </c>
      <c r="U3724" t="str">
        <f t="shared" si="758"/>
        <v>2024-12</v>
      </c>
      <c r="W3724">
        <v>34083.910000000003</v>
      </c>
      <c r="X3724">
        <f t="shared" si="765"/>
        <v>7.4969521360291969E-3</v>
      </c>
      <c r="Y3724">
        <f t="shared" si="766"/>
        <v>7.5251246403272134E-3</v>
      </c>
      <c r="Z3724" t="str">
        <f t="shared" si="759"/>
        <v>2024-12</v>
      </c>
    </row>
    <row r="3725" spans="1:26" x14ac:dyDescent="0.35">
      <c r="A3725" s="1">
        <v>45631</v>
      </c>
      <c r="C3725">
        <v>4951.58</v>
      </c>
      <c r="D3725">
        <f t="shared" si="760"/>
        <v>6.5973938969044084E-3</v>
      </c>
      <c r="E3725" t="str">
        <f t="shared" si="754"/>
        <v>2024-12</v>
      </c>
      <c r="G3725">
        <v>7330.54</v>
      </c>
      <c r="H3725">
        <f t="shared" si="761"/>
        <v>3.7256207239523237E-3</v>
      </c>
      <c r="I3725" t="str">
        <f t="shared" si="755"/>
        <v>2024-12</v>
      </c>
      <c r="K3725">
        <v>20358.8</v>
      </c>
      <c r="L3725">
        <f t="shared" si="762"/>
        <v>6.2408217742361792E-3</v>
      </c>
      <c r="M3725" t="str">
        <f t="shared" si="756"/>
        <v>2024-12</v>
      </c>
      <c r="O3725">
        <v>10070.926079999999</v>
      </c>
      <c r="P3725">
        <f t="shared" si="763"/>
        <v>1.0451659160563814E-3</v>
      </c>
      <c r="Q3725" t="str">
        <f t="shared" si="757"/>
        <v>2024-12</v>
      </c>
      <c r="S3725">
        <v>12118.7</v>
      </c>
      <c r="T3725">
        <f t="shared" si="764"/>
        <v>1.5559371370361624E-2</v>
      </c>
      <c r="U3725" t="str">
        <f t="shared" si="758"/>
        <v>2024-12</v>
      </c>
      <c r="W3725">
        <v>34626.28</v>
      </c>
      <c r="X3725">
        <f t="shared" si="765"/>
        <v>1.5787505906171395E-2</v>
      </c>
      <c r="Y3725">
        <f t="shared" si="766"/>
        <v>1.5912787001256465E-2</v>
      </c>
      <c r="Z3725" t="str">
        <f t="shared" si="759"/>
        <v>2024-12</v>
      </c>
    </row>
    <row r="3726" spans="1:26" x14ac:dyDescent="0.35">
      <c r="A3726" s="1">
        <v>45632</v>
      </c>
      <c r="C3726">
        <v>4977.78</v>
      </c>
      <c r="D3726">
        <f t="shared" si="760"/>
        <v>5.2772909443039888E-3</v>
      </c>
      <c r="E3726" t="str">
        <f t="shared" si="754"/>
        <v>2024-12</v>
      </c>
      <c r="G3726">
        <v>7426.88</v>
      </c>
      <c r="H3726">
        <f t="shared" si="761"/>
        <v>1.3056668257590926E-2</v>
      </c>
      <c r="I3726" t="str">
        <f t="shared" si="755"/>
        <v>2024-12</v>
      </c>
      <c r="K3726">
        <v>20384.61</v>
      </c>
      <c r="L3726">
        <f t="shared" si="762"/>
        <v>1.2669535246291558E-3</v>
      </c>
      <c r="M3726" t="str">
        <f t="shared" si="756"/>
        <v>2024-12</v>
      </c>
      <c r="O3726">
        <v>10022.935079999999</v>
      </c>
      <c r="P3726">
        <f t="shared" si="763"/>
        <v>-4.7766918331780149E-3</v>
      </c>
      <c r="Q3726" t="str">
        <f t="shared" si="757"/>
        <v>2024-12</v>
      </c>
      <c r="S3726">
        <v>12072</v>
      </c>
      <c r="T3726">
        <f t="shared" si="764"/>
        <v>-3.8609926967050653E-3</v>
      </c>
      <c r="U3726" t="str">
        <f t="shared" si="758"/>
        <v>2024-12</v>
      </c>
      <c r="W3726">
        <v>34749.5</v>
      </c>
      <c r="X3726">
        <f t="shared" si="765"/>
        <v>3.5522520848309076E-3</v>
      </c>
      <c r="Y3726">
        <f t="shared" si="766"/>
        <v>3.5585688095862785E-3</v>
      </c>
      <c r="Z3726" t="str">
        <f t="shared" si="759"/>
        <v>2024-12</v>
      </c>
    </row>
    <row r="3727" spans="1:26" x14ac:dyDescent="0.35">
      <c r="A3727" s="1">
        <v>45635</v>
      </c>
      <c r="C3727">
        <v>4985.46</v>
      </c>
      <c r="D3727">
        <f t="shared" si="760"/>
        <v>1.5416674738565157E-3</v>
      </c>
      <c r="E3727" t="str">
        <f t="shared" si="754"/>
        <v>2024-12</v>
      </c>
      <c r="G3727">
        <v>7480.14</v>
      </c>
      <c r="H3727">
        <f t="shared" si="761"/>
        <v>7.1456570961802553E-3</v>
      </c>
      <c r="I3727" t="str">
        <f t="shared" si="755"/>
        <v>2024-12</v>
      </c>
      <c r="K3727">
        <v>20345.96</v>
      </c>
      <c r="L3727">
        <f t="shared" si="762"/>
        <v>-1.8978379924838864E-3</v>
      </c>
      <c r="M3727" t="str">
        <f t="shared" si="756"/>
        <v>2024-12</v>
      </c>
      <c r="O3727">
        <v>10094.105579999999</v>
      </c>
      <c r="P3727">
        <f t="shared" si="763"/>
        <v>7.075672623297051E-3</v>
      </c>
      <c r="Q3727" t="str">
        <f t="shared" si="757"/>
        <v>2024-12</v>
      </c>
      <c r="S3727">
        <v>12011.5</v>
      </c>
      <c r="T3727">
        <f t="shared" si="764"/>
        <v>-5.0241972524350184E-3</v>
      </c>
      <c r="U3727" t="str">
        <f t="shared" si="758"/>
        <v>2024-12</v>
      </c>
      <c r="W3727">
        <v>34559.83</v>
      </c>
      <c r="X3727">
        <f t="shared" si="765"/>
        <v>-5.4731584758020164E-3</v>
      </c>
      <c r="Y3727">
        <f t="shared" si="766"/>
        <v>-5.4582080317701906E-3</v>
      </c>
      <c r="Z3727" t="str">
        <f t="shared" si="759"/>
        <v>2024-12</v>
      </c>
    </row>
    <row r="3728" spans="1:26" x14ac:dyDescent="0.35">
      <c r="A3728" s="1">
        <v>45636</v>
      </c>
      <c r="C3728">
        <v>4951.74</v>
      </c>
      <c r="D3728">
        <f t="shared" si="760"/>
        <v>-6.7866460219109075E-3</v>
      </c>
      <c r="E3728" t="str">
        <f t="shared" si="754"/>
        <v>2024-12</v>
      </c>
      <c r="G3728">
        <v>7394.78</v>
      </c>
      <c r="H3728">
        <f t="shared" si="761"/>
        <v>-1.1477162499511853E-2</v>
      </c>
      <c r="I3728" t="str">
        <f t="shared" si="755"/>
        <v>2024-12</v>
      </c>
      <c r="K3728">
        <v>20329.16</v>
      </c>
      <c r="L3728">
        <f t="shared" si="762"/>
        <v>-8.260578434836262E-4</v>
      </c>
      <c r="M3728" t="str">
        <f t="shared" si="756"/>
        <v>2024-12</v>
      </c>
      <c r="O3728">
        <v>10042.00462</v>
      </c>
      <c r="P3728">
        <f t="shared" si="763"/>
        <v>-5.1748898622623182E-3</v>
      </c>
      <c r="Q3728" t="str">
        <f t="shared" si="757"/>
        <v>2024-12</v>
      </c>
      <c r="S3728">
        <v>11965.5</v>
      </c>
      <c r="T3728">
        <f t="shared" si="764"/>
        <v>-3.8370151759558996E-3</v>
      </c>
      <c r="U3728" t="str">
        <f t="shared" si="758"/>
        <v>2024-12</v>
      </c>
      <c r="W3728">
        <v>34524.699999999997</v>
      </c>
      <c r="X3728">
        <f t="shared" si="765"/>
        <v>-1.017015040211629E-3</v>
      </c>
      <c r="Y3728">
        <f t="shared" si="766"/>
        <v>-1.0164980556908022E-3</v>
      </c>
      <c r="Z3728" t="str">
        <f t="shared" si="759"/>
        <v>2024-12</v>
      </c>
    </row>
    <row r="3729" spans="1:26" x14ac:dyDescent="0.35">
      <c r="A3729" s="1">
        <v>45637</v>
      </c>
      <c r="C3729">
        <v>4959.3500000000004</v>
      </c>
      <c r="D3729">
        <f t="shared" si="760"/>
        <v>1.5356537970119173E-3</v>
      </c>
      <c r="E3729" t="str">
        <f t="shared" si="754"/>
        <v>2024-12</v>
      </c>
      <c r="G3729">
        <v>7423.4</v>
      </c>
      <c r="H3729">
        <f t="shared" si="761"/>
        <v>3.8628273630924763E-3</v>
      </c>
      <c r="I3729" t="str">
        <f t="shared" si="755"/>
        <v>2024-12</v>
      </c>
      <c r="K3729">
        <v>20399.16</v>
      </c>
      <c r="L3729">
        <f t="shared" si="762"/>
        <v>3.4374149940687962E-3</v>
      </c>
      <c r="M3729" t="str">
        <f t="shared" si="756"/>
        <v>2024-12</v>
      </c>
      <c r="O3729">
        <v>10086.53162</v>
      </c>
      <c r="P3729">
        <f t="shared" si="763"/>
        <v>4.4242732904908721E-3</v>
      </c>
      <c r="Q3729" t="str">
        <f t="shared" si="757"/>
        <v>2024-12</v>
      </c>
      <c r="S3729">
        <v>11789.3</v>
      </c>
      <c r="T3729">
        <f t="shared" si="764"/>
        <v>-1.4835168599933774E-2</v>
      </c>
      <c r="U3729" t="str">
        <f t="shared" si="758"/>
        <v>2024-12</v>
      </c>
      <c r="W3729">
        <v>34731.31</v>
      </c>
      <c r="X3729">
        <f t="shared" si="765"/>
        <v>5.9665756933752314E-3</v>
      </c>
      <c r="Y3729">
        <f t="shared" si="766"/>
        <v>5.9844111607052514E-3</v>
      </c>
      <c r="Z3729" t="str">
        <f t="shared" si="759"/>
        <v>2024-12</v>
      </c>
    </row>
    <row r="3730" spans="1:26" x14ac:dyDescent="0.35">
      <c r="A3730" s="1">
        <v>45638</v>
      </c>
      <c r="C3730">
        <v>4965.53</v>
      </c>
      <c r="D3730">
        <f t="shared" si="760"/>
        <v>1.2453552685207905E-3</v>
      </c>
      <c r="E3730" t="str">
        <f t="shared" si="754"/>
        <v>2024-12</v>
      </c>
      <c r="G3730">
        <v>7420.94</v>
      </c>
      <c r="H3730">
        <f t="shared" si="761"/>
        <v>-3.3143946076677223E-4</v>
      </c>
      <c r="I3730" t="str">
        <f t="shared" si="755"/>
        <v>2024-12</v>
      </c>
      <c r="K3730">
        <v>20426.27</v>
      </c>
      <c r="L3730">
        <f t="shared" si="762"/>
        <v>1.3280939838131716E-3</v>
      </c>
      <c r="M3730" t="str">
        <f t="shared" si="756"/>
        <v>2024-12</v>
      </c>
      <c r="O3730">
        <v>10054.688819999999</v>
      </c>
      <c r="P3730">
        <f t="shared" si="763"/>
        <v>-3.1619560120623035E-3</v>
      </c>
      <c r="Q3730" t="str">
        <f t="shared" si="757"/>
        <v>2024-12</v>
      </c>
      <c r="S3730">
        <v>11764.8</v>
      </c>
      <c r="T3730">
        <f t="shared" si="764"/>
        <v>-2.0803179774023513E-3</v>
      </c>
      <c r="U3730" t="str">
        <f t="shared" si="758"/>
        <v>2024-12</v>
      </c>
      <c r="W3730">
        <v>34857.370000000003</v>
      </c>
      <c r="X3730">
        <f t="shared" si="765"/>
        <v>3.6230070146608716E-3</v>
      </c>
      <c r="Y3730">
        <f t="shared" si="766"/>
        <v>3.6295780377994654E-3</v>
      </c>
      <c r="Z3730" t="str">
        <f t="shared" si="759"/>
        <v>2024-12</v>
      </c>
    </row>
    <row r="3731" spans="1:26" x14ac:dyDescent="0.35">
      <c r="A3731" s="1">
        <v>45639</v>
      </c>
      <c r="C3731">
        <v>4967.95</v>
      </c>
      <c r="D3731">
        <f t="shared" si="760"/>
        <v>4.8724113762278249E-4</v>
      </c>
      <c r="E3731" t="str">
        <f t="shared" si="754"/>
        <v>2024-12</v>
      </c>
      <c r="G3731">
        <v>7409.57</v>
      </c>
      <c r="H3731">
        <f t="shared" si="761"/>
        <v>-1.5333258569875045E-3</v>
      </c>
      <c r="I3731" t="str">
        <f t="shared" si="755"/>
        <v>2024-12</v>
      </c>
      <c r="K3731">
        <v>20405.919999999998</v>
      </c>
      <c r="L3731">
        <f t="shared" si="762"/>
        <v>-9.9676268575715874E-4</v>
      </c>
      <c r="M3731" t="str">
        <f t="shared" si="756"/>
        <v>2024-12</v>
      </c>
      <c r="O3731">
        <v>9980.7988700000005</v>
      </c>
      <c r="P3731">
        <f t="shared" si="763"/>
        <v>-7.3759407445886955E-3</v>
      </c>
      <c r="Q3731" t="str">
        <f t="shared" si="757"/>
        <v>2024-12</v>
      </c>
      <c r="S3731">
        <v>11752.1</v>
      </c>
      <c r="T3731">
        <f t="shared" si="764"/>
        <v>-1.0800744345223724E-3</v>
      </c>
      <c r="U3731" t="str">
        <f t="shared" si="758"/>
        <v>2024-12</v>
      </c>
      <c r="W3731">
        <v>34888.79</v>
      </c>
      <c r="X3731">
        <f t="shared" si="765"/>
        <v>9.0098156301297698E-4</v>
      </c>
      <c r="Y3731">
        <f t="shared" si="766"/>
        <v>9.0138756882685793E-4</v>
      </c>
      <c r="Z3731" t="str">
        <f t="shared" si="759"/>
        <v>2024-12</v>
      </c>
    </row>
    <row r="3732" spans="1:26" x14ac:dyDescent="0.35">
      <c r="A3732" s="1">
        <v>45642</v>
      </c>
      <c r="C3732">
        <v>4947.03</v>
      </c>
      <c r="D3732">
        <f t="shared" si="760"/>
        <v>-4.2198836597262266E-3</v>
      </c>
      <c r="E3732" t="str">
        <f t="shared" si="754"/>
        <v>2024-12</v>
      </c>
      <c r="G3732">
        <v>7357.08</v>
      </c>
      <c r="H3732">
        <f t="shared" si="761"/>
        <v>-7.1092930460400321E-3</v>
      </c>
      <c r="I3732" t="str">
        <f t="shared" si="755"/>
        <v>2024-12</v>
      </c>
      <c r="K3732">
        <v>20313.810000000001</v>
      </c>
      <c r="L3732">
        <f t="shared" si="762"/>
        <v>-4.5241045117552859E-3</v>
      </c>
      <c r="M3732" t="str">
        <f t="shared" si="756"/>
        <v>2024-12</v>
      </c>
      <c r="O3732">
        <v>9969.3254799999995</v>
      </c>
      <c r="P3732">
        <f t="shared" si="763"/>
        <v>-1.1502074938114747E-3</v>
      </c>
      <c r="Q3732" t="str">
        <f t="shared" si="757"/>
        <v>2024-12</v>
      </c>
      <c r="S3732">
        <v>11778.6</v>
      </c>
      <c r="T3732">
        <f t="shared" si="764"/>
        <v>2.2523776346072702E-3</v>
      </c>
      <c r="U3732" t="str">
        <f t="shared" si="758"/>
        <v>2024-12</v>
      </c>
      <c r="W3732">
        <v>34740.25</v>
      </c>
      <c r="X3732">
        <f t="shared" si="765"/>
        <v>-4.2666170705606939E-3</v>
      </c>
      <c r="Y3732">
        <f t="shared" si="766"/>
        <v>-4.2575279910825473E-3</v>
      </c>
      <c r="Z3732" t="str">
        <f t="shared" si="759"/>
        <v>2024-12</v>
      </c>
    </row>
    <row r="3733" spans="1:26" x14ac:dyDescent="0.35">
      <c r="A3733" s="1">
        <v>45643</v>
      </c>
      <c r="C3733">
        <v>4942.58</v>
      </c>
      <c r="D3733">
        <f t="shared" si="760"/>
        <v>-8.9993443630857837E-4</v>
      </c>
      <c r="E3733" t="str">
        <f t="shared" si="754"/>
        <v>2024-12</v>
      </c>
      <c r="G3733">
        <v>7365.7</v>
      </c>
      <c r="H3733">
        <f t="shared" si="761"/>
        <v>1.1709746372580798E-3</v>
      </c>
      <c r="I3733" t="str">
        <f t="shared" si="755"/>
        <v>2024-12</v>
      </c>
      <c r="K3733">
        <v>20246.37</v>
      </c>
      <c r="L3733">
        <f t="shared" si="762"/>
        <v>-3.3254320936816446E-3</v>
      </c>
      <c r="M3733" t="str">
        <f t="shared" si="756"/>
        <v>2024-12</v>
      </c>
      <c r="O3733">
        <v>9927.8994299999995</v>
      </c>
      <c r="P3733">
        <f t="shared" si="763"/>
        <v>-4.1640088046897795E-3</v>
      </c>
      <c r="Q3733" t="str">
        <f t="shared" si="757"/>
        <v>2024-12</v>
      </c>
      <c r="S3733">
        <v>11588.1</v>
      </c>
      <c r="T3733">
        <f t="shared" si="764"/>
        <v>-1.6305616173191526E-2</v>
      </c>
      <c r="U3733" t="str">
        <f t="shared" si="758"/>
        <v>2024-12</v>
      </c>
      <c r="W3733">
        <v>34315.24</v>
      </c>
      <c r="X3733">
        <f t="shared" si="765"/>
        <v>-1.2309386740475936E-2</v>
      </c>
      <c r="Y3733">
        <f t="shared" si="766"/>
        <v>-1.2233936140355986E-2</v>
      </c>
      <c r="Z3733" t="str">
        <f t="shared" si="759"/>
        <v>2024-12</v>
      </c>
    </row>
    <row r="3734" spans="1:26" x14ac:dyDescent="0.35">
      <c r="A3734" s="1">
        <v>45644</v>
      </c>
      <c r="C3734">
        <v>4957.28</v>
      </c>
      <c r="D3734">
        <f t="shared" si="760"/>
        <v>2.9697411486055186E-3</v>
      </c>
      <c r="E3734" t="str">
        <f t="shared" si="754"/>
        <v>2024-12</v>
      </c>
      <c r="G3734">
        <v>7384.62</v>
      </c>
      <c r="H3734">
        <f t="shared" si="761"/>
        <v>2.5653694802867627E-3</v>
      </c>
      <c r="I3734" t="str">
        <f t="shared" si="755"/>
        <v>2024-12</v>
      </c>
      <c r="K3734">
        <v>20242.57</v>
      </c>
      <c r="L3734">
        <f t="shared" si="762"/>
        <v>-1.8770558138382417E-4</v>
      </c>
      <c r="M3734" t="str">
        <f t="shared" si="756"/>
        <v>2024-12</v>
      </c>
      <c r="O3734">
        <v>9944.6007200000004</v>
      </c>
      <c r="P3734">
        <f t="shared" si="763"/>
        <v>1.6808447659863628E-3</v>
      </c>
      <c r="Q3734" t="str">
        <f t="shared" si="757"/>
        <v>2024-12</v>
      </c>
      <c r="S3734">
        <v>11617.9</v>
      </c>
      <c r="T3734">
        <f t="shared" si="764"/>
        <v>2.5683027131352667E-3</v>
      </c>
      <c r="U3734" t="str">
        <f t="shared" si="758"/>
        <v>2024-12</v>
      </c>
      <c r="W3734">
        <v>34400.99</v>
      </c>
      <c r="X3734">
        <f t="shared" si="765"/>
        <v>2.4957726729344688E-3</v>
      </c>
      <c r="Y3734">
        <f t="shared" si="766"/>
        <v>2.4988897061480556E-3</v>
      </c>
      <c r="Z3734" t="str">
        <f t="shared" si="759"/>
        <v>2024-12</v>
      </c>
    </row>
    <row r="3735" spans="1:26" x14ac:dyDescent="0.35">
      <c r="A3735" s="1">
        <v>45645</v>
      </c>
      <c r="C3735">
        <v>4879</v>
      </c>
      <c r="D3735">
        <f t="shared" si="760"/>
        <v>-1.5916922387163256E-2</v>
      </c>
      <c r="E3735" t="str">
        <f t="shared" si="754"/>
        <v>2024-12</v>
      </c>
      <c r="G3735">
        <v>7294.37</v>
      </c>
      <c r="H3735">
        <f t="shared" si="761"/>
        <v>-1.2296641281544432E-2</v>
      </c>
      <c r="I3735" t="str">
        <f t="shared" si="755"/>
        <v>2024-12</v>
      </c>
      <c r="K3735">
        <v>19969.86</v>
      </c>
      <c r="L3735">
        <f t="shared" si="762"/>
        <v>-1.3563675755667229E-2</v>
      </c>
      <c r="M3735" t="str">
        <f t="shared" si="756"/>
        <v>2024-12</v>
      </c>
      <c r="O3735">
        <v>9785.5195100000001</v>
      </c>
      <c r="P3735">
        <f t="shared" si="763"/>
        <v>-1.6126070754262346E-2</v>
      </c>
      <c r="Q3735" t="str">
        <f t="shared" si="757"/>
        <v>2024-12</v>
      </c>
      <c r="S3735">
        <v>11439.9</v>
      </c>
      <c r="T3735">
        <f t="shared" si="764"/>
        <v>-1.5439767545143849E-2</v>
      </c>
      <c r="U3735" t="str">
        <f t="shared" si="758"/>
        <v>2024-12</v>
      </c>
      <c r="W3735">
        <v>33787</v>
      </c>
      <c r="X3735">
        <f t="shared" si="765"/>
        <v>-1.8009229914120604E-2</v>
      </c>
      <c r="Y3735">
        <f t="shared" si="766"/>
        <v>-1.7848032861844908E-2</v>
      </c>
      <c r="Z3735" t="str">
        <f t="shared" si="759"/>
        <v>2024-12</v>
      </c>
    </row>
    <row r="3736" spans="1:26" x14ac:dyDescent="0.35">
      <c r="A3736" s="1">
        <v>45646</v>
      </c>
      <c r="C3736">
        <v>4862.28</v>
      </c>
      <c r="D3736">
        <f t="shared" si="760"/>
        <v>-3.432817128624195E-3</v>
      </c>
      <c r="E3736" t="str">
        <f t="shared" si="754"/>
        <v>2024-12</v>
      </c>
      <c r="G3736">
        <v>7274.48</v>
      </c>
      <c r="H3736">
        <f t="shared" si="761"/>
        <v>-2.730484884883728E-3</v>
      </c>
      <c r="I3736" t="str">
        <f t="shared" si="755"/>
        <v>2024-12</v>
      </c>
      <c r="K3736">
        <v>19884.75</v>
      </c>
      <c r="L3736">
        <f t="shared" si="762"/>
        <v>-4.2710305974257394E-3</v>
      </c>
      <c r="M3736" t="str">
        <f t="shared" si="756"/>
        <v>2024-12</v>
      </c>
      <c r="O3736">
        <v>9770.6802599999992</v>
      </c>
      <c r="P3736">
        <f t="shared" si="763"/>
        <v>-1.517600865460874E-3</v>
      </c>
      <c r="Q3736" t="str">
        <f t="shared" si="757"/>
        <v>2024-12</v>
      </c>
      <c r="S3736">
        <v>11467.3</v>
      </c>
      <c r="T3736">
        <f t="shared" si="764"/>
        <v>2.3922620894154447E-3</v>
      </c>
      <c r="U3736" t="str">
        <f t="shared" si="758"/>
        <v>2024-12</v>
      </c>
      <c r="W3736">
        <v>33766.29</v>
      </c>
      <c r="X3736">
        <f t="shared" si="765"/>
        <v>-6.1314558177167472E-4</v>
      </c>
      <c r="Y3736">
        <f t="shared" si="766"/>
        <v>-6.1295764643203379E-4</v>
      </c>
      <c r="Z3736" t="str">
        <f t="shared" si="759"/>
        <v>2024-12</v>
      </c>
    </row>
    <row r="3737" spans="1:26" x14ac:dyDescent="0.35">
      <c r="A3737" s="1">
        <v>45649</v>
      </c>
      <c r="C3737">
        <v>4852.93</v>
      </c>
      <c r="D3737">
        <f t="shared" si="760"/>
        <v>-1.9248174536116893E-3</v>
      </c>
      <c r="E3737" t="str">
        <f t="shared" si="754"/>
        <v>2024-12</v>
      </c>
      <c r="G3737">
        <v>7272.32</v>
      </c>
      <c r="H3737">
        <f t="shared" si="761"/>
        <v>-2.9697253222350691E-4</v>
      </c>
      <c r="I3737" t="str">
        <f t="shared" si="755"/>
        <v>2024-12</v>
      </c>
      <c r="K3737">
        <v>19848.77</v>
      </c>
      <c r="L3737">
        <f t="shared" si="762"/>
        <v>-1.8110658121611221E-3</v>
      </c>
      <c r="M3737" t="str">
        <f t="shared" si="756"/>
        <v>2024-12</v>
      </c>
      <c r="O3737">
        <v>9757.0837800000008</v>
      </c>
      <c r="P3737">
        <f t="shared" si="763"/>
        <v>-1.3925283170429232E-3</v>
      </c>
      <c r="Q3737" t="str">
        <f t="shared" si="757"/>
        <v>2024-12</v>
      </c>
      <c r="S3737">
        <v>11435.7</v>
      </c>
      <c r="T3737">
        <f t="shared" si="764"/>
        <v>-2.7594655767286262E-3</v>
      </c>
      <c r="U3737" t="str">
        <f t="shared" si="758"/>
        <v>2024-12</v>
      </c>
      <c r="W3737">
        <v>33739.9</v>
      </c>
      <c r="X3737">
        <f t="shared" si="765"/>
        <v>-7.8185426682627691E-4</v>
      </c>
      <c r="Y3737">
        <f t="shared" si="766"/>
        <v>-7.8154869842080423E-4</v>
      </c>
      <c r="Z3737" t="str">
        <f t="shared" si="759"/>
        <v>2024-12</v>
      </c>
    </row>
    <row r="3738" spans="1:26" x14ac:dyDescent="0.35">
      <c r="A3738" s="1">
        <v>45653</v>
      </c>
      <c r="C3738">
        <v>4898.88</v>
      </c>
      <c r="D3738">
        <f t="shared" si="760"/>
        <v>9.4239613101150983E-3</v>
      </c>
      <c r="E3738" t="str">
        <f t="shared" si="754"/>
        <v>2024-12</v>
      </c>
      <c r="G3738">
        <v>7355.37</v>
      </c>
      <c r="H3738">
        <f t="shared" si="761"/>
        <v>1.1355298394992261E-2</v>
      </c>
      <c r="I3738" t="str">
        <f t="shared" si="755"/>
        <v>2024-12</v>
      </c>
      <c r="K3738">
        <v>19984.32</v>
      </c>
      <c r="L3738">
        <f t="shared" si="762"/>
        <v>6.8059255874768961E-3</v>
      </c>
      <c r="M3738" t="str">
        <f t="shared" si="756"/>
        <v>2024-12</v>
      </c>
      <c r="O3738">
        <v>9822.5925299999999</v>
      </c>
      <c r="P3738">
        <f t="shared" si="763"/>
        <v>6.6915298701301761E-3</v>
      </c>
      <c r="Q3738" t="str">
        <f t="shared" si="757"/>
        <v>2024-12</v>
      </c>
      <c r="S3738">
        <v>11531.6</v>
      </c>
      <c r="T3738">
        <f t="shared" si="764"/>
        <v>8.3510519163096757E-3</v>
      </c>
      <c r="U3738" t="str">
        <f t="shared" si="758"/>
        <v>2024-12</v>
      </c>
      <c r="W3738">
        <v>34160.97</v>
      </c>
      <c r="X3738">
        <f t="shared" si="765"/>
        <v>1.240265102946776E-2</v>
      </c>
      <c r="Y3738">
        <f t="shared" si="766"/>
        <v>1.2479882868651053E-2</v>
      </c>
      <c r="Z3738" t="str">
        <f t="shared" si="759"/>
        <v>2024-12</v>
      </c>
    </row>
    <row r="3739" spans="1:26" x14ac:dyDescent="0.35">
      <c r="A3739" s="1">
        <v>45656</v>
      </c>
      <c r="C3739">
        <v>4869.28</v>
      </c>
      <c r="D3739">
        <f t="shared" si="760"/>
        <v>-6.0605253395790218E-3</v>
      </c>
      <c r="E3739" t="str">
        <f t="shared" si="754"/>
        <v>2024-12</v>
      </c>
      <c r="G3739">
        <v>7313.56</v>
      </c>
      <c r="H3739">
        <f t="shared" si="761"/>
        <v>-5.7004993848017204E-3</v>
      </c>
      <c r="I3739" t="str">
        <f t="shared" si="755"/>
        <v>2024-12</v>
      </c>
      <c r="K3739">
        <v>19909.14</v>
      </c>
      <c r="L3739">
        <f t="shared" si="762"/>
        <v>-3.7690432967514248E-3</v>
      </c>
      <c r="M3739" t="str">
        <f t="shared" si="756"/>
        <v>2024-12</v>
      </c>
      <c r="O3739">
        <v>9801.6231000000007</v>
      </c>
      <c r="P3739">
        <f t="shared" si="763"/>
        <v>-2.1370982031901201E-3</v>
      </c>
      <c r="Q3739" t="str">
        <f t="shared" si="757"/>
        <v>2024-12</v>
      </c>
      <c r="S3739">
        <v>11536.8</v>
      </c>
      <c r="T3739">
        <f t="shared" si="764"/>
        <v>4.5083318202155715E-4</v>
      </c>
      <c r="U3739" t="str">
        <f t="shared" si="758"/>
        <v>2024-12</v>
      </c>
      <c r="W3739">
        <v>34186.18</v>
      </c>
      <c r="X3739">
        <f t="shared" si="765"/>
        <v>7.3770453174087762E-4</v>
      </c>
      <c r="Y3739">
        <f t="shared" si="766"/>
        <v>7.3797670265215326E-4</v>
      </c>
      <c r="Z3739" t="str">
        <f t="shared" si="759"/>
        <v>2024-12</v>
      </c>
    </row>
    <row r="3740" spans="1:26" x14ac:dyDescent="0.35">
      <c r="A3740" s="1">
        <v>45659</v>
      </c>
      <c r="C3740">
        <v>4917.88</v>
      </c>
      <c r="D3740">
        <f t="shared" si="760"/>
        <v>9.931461111643931E-3</v>
      </c>
      <c r="E3740" t="str">
        <f t="shared" si="754"/>
        <v>2025-01</v>
      </c>
      <c r="G3740">
        <v>7393.76</v>
      </c>
      <c r="H3740">
        <f t="shared" si="761"/>
        <v>1.0906241919662331E-2</v>
      </c>
      <c r="I3740" t="str">
        <f t="shared" si="755"/>
        <v>2025-01</v>
      </c>
      <c r="K3740">
        <v>20024.66</v>
      </c>
      <c r="L3740">
        <f t="shared" si="762"/>
        <v>5.7855912652376501E-3</v>
      </c>
      <c r="M3740" t="str">
        <f t="shared" si="756"/>
        <v>2025-01</v>
      </c>
      <c r="O3740">
        <v>9955.5609800000002</v>
      </c>
      <c r="P3740">
        <f t="shared" si="763"/>
        <v>1.5583293098966043E-2</v>
      </c>
      <c r="Q3740" t="str">
        <f t="shared" si="757"/>
        <v>2025-01</v>
      </c>
      <c r="S3740">
        <v>11676.9</v>
      </c>
      <c r="T3740">
        <f t="shared" si="764"/>
        <v>1.207060494773146E-2</v>
      </c>
      <c r="U3740" t="str">
        <f t="shared" si="758"/>
        <v>2025-01</v>
      </c>
      <c r="W3740">
        <v>34374.769999999997</v>
      </c>
      <c r="X3740">
        <f t="shared" si="765"/>
        <v>5.5013962217593908E-3</v>
      </c>
      <c r="Y3740">
        <f t="shared" si="766"/>
        <v>5.5165566904520043E-3</v>
      </c>
      <c r="Z3740" t="str">
        <f t="shared" si="759"/>
        <v>2025-01</v>
      </c>
    </row>
    <row r="3741" spans="1:26" x14ac:dyDescent="0.35">
      <c r="A3741" s="1">
        <v>45660</v>
      </c>
      <c r="C3741">
        <v>4871.45</v>
      </c>
      <c r="D3741">
        <f t="shared" si="760"/>
        <v>-9.4859092821818411E-3</v>
      </c>
      <c r="E3741" t="str">
        <f t="shared" si="754"/>
        <v>2025-01</v>
      </c>
      <c r="G3741">
        <v>7282.22</v>
      </c>
      <c r="H3741">
        <f t="shared" si="761"/>
        <v>-1.5200640460058805E-2</v>
      </c>
      <c r="I3741" t="str">
        <f t="shared" si="755"/>
        <v>2025-01</v>
      </c>
      <c r="K3741">
        <v>19906.080000000002</v>
      </c>
      <c r="L3741">
        <f t="shared" si="762"/>
        <v>-5.9393013291790331E-3</v>
      </c>
      <c r="M3741" t="str">
        <f t="shared" si="756"/>
        <v>2025-01</v>
      </c>
      <c r="O3741">
        <v>9917.0114200000007</v>
      </c>
      <c r="P3741">
        <f t="shared" si="763"/>
        <v>-3.8796797493324767E-3</v>
      </c>
      <c r="Q3741" t="str">
        <f t="shared" si="757"/>
        <v>2025-01</v>
      </c>
      <c r="S3741">
        <v>11651.6</v>
      </c>
      <c r="T3741">
        <f t="shared" si="764"/>
        <v>-2.1690215760960642E-3</v>
      </c>
      <c r="U3741" t="str">
        <f t="shared" si="758"/>
        <v>2025-01</v>
      </c>
      <c r="W3741">
        <v>34127.620000000003</v>
      </c>
      <c r="X3741">
        <f t="shared" si="765"/>
        <v>-7.2158379405287314E-3</v>
      </c>
      <c r="Y3741">
        <f t="shared" si="766"/>
        <v>-7.1898662885597261E-3</v>
      </c>
      <c r="Z3741" t="str">
        <f t="shared" si="759"/>
        <v>2025-01</v>
      </c>
    </row>
    <row r="3742" spans="1:26" x14ac:dyDescent="0.35">
      <c r="A3742" s="1">
        <v>45663</v>
      </c>
      <c r="C3742">
        <v>4986.6400000000003</v>
      </c>
      <c r="D3742">
        <f t="shared" si="760"/>
        <v>2.3370702218877715E-2</v>
      </c>
      <c r="E3742" t="str">
        <f t="shared" si="754"/>
        <v>2025-01</v>
      </c>
      <c r="G3742">
        <v>7445.69</v>
      </c>
      <c r="H3742">
        <f t="shared" si="761"/>
        <v>2.2199580715004479E-2</v>
      </c>
      <c r="I3742" t="str">
        <f t="shared" si="755"/>
        <v>2025-01</v>
      </c>
      <c r="K3742">
        <v>20216.189999999999</v>
      </c>
      <c r="L3742">
        <f t="shared" si="762"/>
        <v>1.5458555833394557E-2</v>
      </c>
      <c r="M3742" t="str">
        <f t="shared" si="756"/>
        <v>2025-01</v>
      </c>
      <c r="O3742">
        <v>9941.2056100000009</v>
      </c>
      <c r="P3742">
        <f t="shared" si="763"/>
        <v>2.4366942847375427E-3</v>
      </c>
      <c r="Q3742" t="str">
        <f t="shared" si="757"/>
        <v>2025-01</v>
      </c>
      <c r="S3742">
        <v>11808.2</v>
      </c>
      <c r="T3742">
        <f t="shared" si="764"/>
        <v>1.3350695746693963E-2</v>
      </c>
      <c r="U3742" t="str">
        <f t="shared" si="758"/>
        <v>2025-01</v>
      </c>
      <c r="W3742">
        <v>34780.81</v>
      </c>
      <c r="X3742">
        <f t="shared" si="765"/>
        <v>1.8958770786908594E-2</v>
      </c>
      <c r="Y3742">
        <f t="shared" si="766"/>
        <v>1.9139629426253427E-2</v>
      </c>
      <c r="Z3742" t="str">
        <f t="shared" si="759"/>
        <v>2025-01</v>
      </c>
    </row>
    <row r="3743" spans="1:26" x14ac:dyDescent="0.35">
      <c r="A3743" s="1">
        <v>45664</v>
      </c>
      <c r="C3743">
        <v>5011.82</v>
      </c>
      <c r="D3743">
        <f t="shared" si="760"/>
        <v>5.0367863117019348E-3</v>
      </c>
      <c r="E3743" t="str">
        <f t="shared" si="754"/>
        <v>2025-01</v>
      </c>
      <c r="G3743">
        <v>7489.35</v>
      </c>
      <c r="H3743">
        <f t="shared" si="761"/>
        <v>5.8466698945668083E-3</v>
      </c>
      <c r="I3743" t="str">
        <f t="shared" si="755"/>
        <v>2025-01</v>
      </c>
      <c r="K3743">
        <v>20340.57</v>
      </c>
      <c r="L3743">
        <f t="shared" si="762"/>
        <v>6.1336452886121065E-3</v>
      </c>
      <c r="M3743" t="str">
        <f t="shared" si="756"/>
        <v>2025-01</v>
      </c>
      <c r="O3743">
        <v>9941.7382099999995</v>
      </c>
      <c r="P3743">
        <f t="shared" si="763"/>
        <v>5.3573555802190882E-5</v>
      </c>
      <c r="Q3743" t="str">
        <f t="shared" si="757"/>
        <v>2025-01</v>
      </c>
      <c r="S3743">
        <v>11811.9</v>
      </c>
      <c r="T3743">
        <f t="shared" si="764"/>
        <v>3.1329249497350956E-4</v>
      </c>
      <c r="U3743" t="str">
        <f t="shared" si="758"/>
        <v>2025-01</v>
      </c>
      <c r="W3743">
        <v>34938.9</v>
      </c>
      <c r="X3743">
        <f t="shared" si="765"/>
        <v>4.5350237671851487E-3</v>
      </c>
      <c r="Y3743">
        <f t="shared" si="766"/>
        <v>4.5453225499924753E-3</v>
      </c>
      <c r="Z3743" t="str">
        <f t="shared" si="759"/>
        <v>2025-01</v>
      </c>
    </row>
    <row r="3744" spans="1:26" x14ac:dyDescent="0.35">
      <c r="A3744" s="1">
        <v>45665</v>
      </c>
      <c r="C3744">
        <v>4996.3900000000003</v>
      </c>
      <c r="D3744">
        <f t="shared" si="760"/>
        <v>-3.0834709154652735E-3</v>
      </c>
      <c r="E3744" t="str">
        <f t="shared" si="754"/>
        <v>2025-01</v>
      </c>
      <c r="G3744">
        <v>7452.42</v>
      </c>
      <c r="H3744">
        <f t="shared" si="761"/>
        <v>-4.9431995271462898E-3</v>
      </c>
      <c r="I3744" t="str">
        <f t="shared" si="755"/>
        <v>2025-01</v>
      </c>
      <c r="K3744">
        <v>20329.939999999999</v>
      </c>
      <c r="L3744">
        <f t="shared" si="762"/>
        <v>-5.2273749417248441E-4</v>
      </c>
      <c r="M3744" t="str">
        <f t="shared" si="756"/>
        <v>2025-01</v>
      </c>
      <c r="O3744">
        <v>9884.2631799999999</v>
      </c>
      <c r="P3744">
        <f t="shared" si="763"/>
        <v>-5.797960958209101E-3</v>
      </c>
      <c r="Q3744" t="str">
        <f t="shared" si="757"/>
        <v>2025-01</v>
      </c>
      <c r="S3744">
        <v>11798.1</v>
      </c>
      <c r="T3744">
        <f t="shared" si="764"/>
        <v>-1.168996321180441E-3</v>
      </c>
      <c r="U3744" t="str">
        <f t="shared" si="758"/>
        <v>2025-01</v>
      </c>
      <c r="W3744">
        <v>35108.74</v>
      </c>
      <c r="X3744">
        <f t="shared" si="765"/>
        <v>4.849280655933509E-3</v>
      </c>
      <c r="Y3744">
        <f t="shared" si="766"/>
        <v>4.8610574459984858E-3</v>
      </c>
      <c r="Z3744" t="str">
        <f t="shared" si="759"/>
        <v>2025-01</v>
      </c>
    </row>
    <row r="3745" spans="1:26" x14ac:dyDescent="0.35">
      <c r="A3745" s="1">
        <v>45666</v>
      </c>
      <c r="C3745">
        <v>5017.91</v>
      </c>
      <c r="D3745">
        <f t="shared" si="760"/>
        <v>4.2978606843686734E-3</v>
      </c>
      <c r="E3745" t="str">
        <f t="shared" si="754"/>
        <v>2025-01</v>
      </c>
      <c r="G3745">
        <v>7490.28</v>
      </c>
      <c r="H3745">
        <f t="shared" si="761"/>
        <v>5.0673681482930463E-3</v>
      </c>
      <c r="I3745" t="str">
        <f t="shared" si="755"/>
        <v>2025-01</v>
      </c>
      <c r="K3745">
        <v>20317.099999999999</v>
      </c>
      <c r="L3745">
        <f t="shared" si="762"/>
        <v>-6.3178034253349405E-4</v>
      </c>
      <c r="M3745" t="str">
        <f t="shared" si="756"/>
        <v>2025-01</v>
      </c>
      <c r="O3745">
        <v>9938.8663400000005</v>
      </c>
      <c r="P3745">
        <f t="shared" si="763"/>
        <v>5.5090492188549084E-3</v>
      </c>
      <c r="Q3745" t="str">
        <f t="shared" si="757"/>
        <v>2025-01</v>
      </c>
      <c r="S3745">
        <v>11899.3</v>
      </c>
      <c r="T3745">
        <f t="shared" si="764"/>
        <v>8.5410733000543665E-3</v>
      </c>
      <c r="U3745" t="str">
        <f t="shared" si="758"/>
        <v>2025-01</v>
      </c>
      <c r="W3745">
        <v>35315.51</v>
      </c>
      <c r="X3745">
        <f t="shared" si="765"/>
        <v>5.8721418873222114E-3</v>
      </c>
      <c r="Y3745">
        <f t="shared" si="766"/>
        <v>5.8894167093437155E-3</v>
      </c>
      <c r="Z3745" t="str">
        <f t="shared" si="759"/>
        <v>2025-01</v>
      </c>
    </row>
    <row r="3746" spans="1:26" x14ac:dyDescent="0.35">
      <c r="A3746" s="1">
        <v>45667</v>
      </c>
      <c r="C3746">
        <v>4977.26</v>
      </c>
      <c r="D3746">
        <f t="shared" si="760"/>
        <v>-8.1339735336007253E-3</v>
      </c>
      <c r="E3746" t="str">
        <f t="shared" si="754"/>
        <v>2025-01</v>
      </c>
      <c r="G3746">
        <v>7431.04</v>
      </c>
      <c r="H3746">
        <f t="shared" si="761"/>
        <v>-7.9403579915149937E-3</v>
      </c>
      <c r="I3746" t="str">
        <f t="shared" si="755"/>
        <v>2025-01</v>
      </c>
      <c r="K3746">
        <v>20214.79</v>
      </c>
      <c r="L3746">
        <f t="shared" si="762"/>
        <v>-5.0483812765998361E-3</v>
      </c>
      <c r="M3746" t="str">
        <f t="shared" si="756"/>
        <v>2025-01</v>
      </c>
      <c r="O3746">
        <v>9840.21911</v>
      </c>
      <c r="P3746">
        <f t="shared" si="763"/>
        <v>-9.97498576976894E-3</v>
      </c>
      <c r="Q3746" t="str">
        <f t="shared" si="757"/>
        <v>2025-01</v>
      </c>
      <c r="S3746">
        <v>11720.9</v>
      </c>
      <c r="T3746">
        <f t="shared" si="764"/>
        <v>-1.5106001848499971E-2</v>
      </c>
      <c r="U3746" t="str">
        <f t="shared" si="758"/>
        <v>2025-01</v>
      </c>
      <c r="W3746">
        <v>35090.230000000003</v>
      </c>
      <c r="X3746">
        <f t="shared" si="765"/>
        <v>-6.3995000644855504E-3</v>
      </c>
      <c r="Y3746">
        <f t="shared" si="766"/>
        <v>-6.3790668745828342E-3</v>
      </c>
      <c r="Z3746" t="str">
        <f t="shared" si="759"/>
        <v>2025-01</v>
      </c>
    </row>
    <row r="3747" spans="1:26" x14ac:dyDescent="0.35">
      <c r="A3747" s="1">
        <v>45670</v>
      </c>
      <c r="C3747">
        <v>4954.21</v>
      </c>
      <c r="D3747">
        <f t="shared" si="760"/>
        <v>-4.6418186607185439E-3</v>
      </c>
      <c r="E3747" t="str">
        <f t="shared" si="754"/>
        <v>2025-01</v>
      </c>
      <c r="G3747">
        <v>7408.64</v>
      </c>
      <c r="H3747">
        <f t="shared" si="761"/>
        <v>-3.0189353156863394E-3</v>
      </c>
      <c r="I3747" t="str">
        <f t="shared" si="755"/>
        <v>2025-01</v>
      </c>
      <c r="K3747">
        <v>20132.849999999999</v>
      </c>
      <c r="L3747">
        <f t="shared" si="762"/>
        <v>-4.0617053512949607E-3</v>
      </c>
      <c r="M3747" t="str">
        <f t="shared" si="756"/>
        <v>2025-01</v>
      </c>
      <c r="O3747">
        <v>9798.5211500000005</v>
      </c>
      <c r="P3747">
        <f t="shared" si="763"/>
        <v>-4.2465068643834213E-3</v>
      </c>
      <c r="Q3747" t="str">
        <f t="shared" si="757"/>
        <v>2025-01</v>
      </c>
      <c r="S3747">
        <v>11688.2</v>
      </c>
      <c r="T3747">
        <f t="shared" si="764"/>
        <v>-2.7937871399833876E-3</v>
      </c>
      <c r="U3747" t="str">
        <f t="shared" si="758"/>
        <v>2025-01</v>
      </c>
      <c r="W3747">
        <v>34799.269999999997</v>
      </c>
      <c r="X3747">
        <f t="shared" si="765"/>
        <v>-8.3263345986816784E-3</v>
      </c>
      <c r="Y3747">
        <f t="shared" si="766"/>
        <v>-8.2917666826352061E-3</v>
      </c>
      <c r="Z3747" t="str">
        <f t="shared" si="759"/>
        <v>2025-01</v>
      </c>
    </row>
    <row r="3748" spans="1:26" x14ac:dyDescent="0.35">
      <c r="A3748" s="1">
        <v>45671</v>
      </c>
      <c r="C3748">
        <v>4980.47</v>
      </c>
      <c r="D3748">
        <f t="shared" si="760"/>
        <v>5.2865439366984578E-3</v>
      </c>
      <c r="E3748" t="str">
        <f t="shared" si="754"/>
        <v>2025-01</v>
      </c>
      <c r="G3748">
        <v>7423.67</v>
      </c>
      <c r="H3748">
        <f t="shared" si="761"/>
        <v>2.0266573641520061E-3</v>
      </c>
      <c r="I3748" t="str">
        <f t="shared" si="755"/>
        <v>2025-01</v>
      </c>
      <c r="K3748">
        <v>20271.330000000002</v>
      </c>
      <c r="L3748">
        <f t="shared" si="762"/>
        <v>6.8547631576008324E-3</v>
      </c>
      <c r="M3748" t="str">
        <f t="shared" si="756"/>
        <v>2025-01</v>
      </c>
      <c r="O3748">
        <v>9714.61571</v>
      </c>
      <c r="P3748">
        <f t="shared" si="763"/>
        <v>-8.5999455374094168E-3</v>
      </c>
      <c r="Q3748" t="str">
        <f t="shared" si="757"/>
        <v>2025-01</v>
      </c>
      <c r="S3748">
        <v>11752.1</v>
      </c>
      <c r="T3748">
        <f t="shared" si="764"/>
        <v>5.4521621558816184E-3</v>
      </c>
      <c r="U3748" t="str">
        <f t="shared" si="758"/>
        <v>2025-01</v>
      </c>
      <c r="W3748">
        <v>35124.589999999997</v>
      </c>
      <c r="X3748">
        <f t="shared" si="765"/>
        <v>9.3050454390058331E-3</v>
      </c>
      <c r="Y3748">
        <f t="shared" si="766"/>
        <v>9.3484719650728226E-3</v>
      </c>
      <c r="Z3748" t="str">
        <f t="shared" si="759"/>
        <v>2025-01</v>
      </c>
    </row>
    <row r="3749" spans="1:26" x14ac:dyDescent="0.35">
      <c r="A3749" s="1">
        <v>45672</v>
      </c>
      <c r="C3749">
        <v>5032.3100000000004</v>
      </c>
      <c r="D3749">
        <f t="shared" si="760"/>
        <v>1.0354859130630403E-2</v>
      </c>
      <c r="E3749" t="str">
        <f t="shared" si="754"/>
        <v>2025-01</v>
      </c>
      <c r="G3749">
        <v>7474.59</v>
      </c>
      <c r="H3749">
        <f t="shared" si="761"/>
        <v>6.8357242092183437E-3</v>
      </c>
      <c r="I3749" t="str">
        <f t="shared" si="755"/>
        <v>2025-01</v>
      </c>
      <c r="K3749">
        <v>20574.68</v>
      </c>
      <c r="L3749">
        <f t="shared" si="762"/>
        <v>1.4853621067199436E-2</v>
      </c>
      <c r="M3749" t="str">
        <f t="shared" si="756"/>
        <v>2025-01</v>
      </c>
      <c r="O3749">
        <v>9857.8945100000001</v>
      </c>
      <c r="P3749">
        <f t="shared" si="763"/>
        <v>1.4641081581510371E-2</v>
      </c>
      <c r="Q3749" t="str">
        <f t="shared" si="757"/>
        <v>2025-01</v>
      </c>
      <c r="S3749">
        <v>11898.5</v>
      </c>
      <c r="T3749">
        <f t="shared" si="764"/>
        <v>1.2380393726995313E-2</v>
      </c>
      <c r="U3749" t="str">
        <f t="shared" si="758"/>
        <v>2025-01</v>
      </c>
      <c r="W3749">
        <v>35646.959999999999</v>
      </c>
      <c r="X3749">
        <f t="shared" si="765"/>
        <v>1.4762414744108126E-2</v>
      </c>
      <c r="Y3749">
        <f t="shared" si="766"/>
        <v>1.4871917366152962E-2</v>
      </c>
      <c r="Z3749" t="str">
        <f t="shared" si="759"/>
        <v>2025-01</v>
      </c>
    </row>
    <row r="3750" spans="1:26" x14ac:dyDescent="0.35">
      <c r="A3750" s="1">
        <v>45673</v>
      </c>
      <c r="C3750">
        <v>5106.93</v>
      </c>
      <c r="D3750">
        <f t="shared" si="760"/>
        <v>1.4719317670504543E-2</v>
      </c>
      <c r="E3750" t="str">
        <f t="shared" si="754"/>
        <v>2025-01</v>
      </c>
      <c r="G3750">
        <v>7634.74</v>
      </c>
      <c r="H3750">
        <f t="shared" si="761"/>
        <v>2.1199616116556286E-2</v>
      </c>
      <c r="I3750" t="str">
        <f t="shared" si="755"/>
        <v>2025-01</v>
      </c>
      <c r="K3750">
        <v>20655.39</v>
      </c>
      <c r="L3750">
        <f t="shared" si="762"/>
        <v>3.9151087104174363E-3</v>
      </c>
      <c r="M3750" t="str">
        <f t="shared" si="756"/>
        <v>2025-01</v>
      </c>
      <c r="O3750">
        <v>9972.9707999999991</v>
      </c>
      <c r="P3750">
        <f t="shared" si="763"/>
        <v>1.1605906237709993E-2</v>
      </c>
      <c r="Q3750" t="str">
        <f t="shared" si="757"/>
        <v>2025-01</v>
      </c>
      <c r="S3750">
        <v>11840.6</v>
      </c>
      <c r="T3750">
        <f t="shared" si="764"/>
        <v>-4.878037904727084E-3</v>
      </c>
      <c r="U3750" t="str">
        <f t="shared" si="758"/>
        <v>2025-01</v>
      </c>
      <c r="W3750">
        <v>35819.79</v>
      </c>
      <c r="X3750">
        <f t="shared" si="765"/>
        <v>4.8366642367863779E-3</v>
      </c>
      <c r="Y3750">
        <f t="shared" si="766"/>
        <v>4.8483797776865617E-3</v>
      </c>
      <c r="Z3750" t="str">
        <f t="shared" si="759"/>
        <v>2025-01</v>
      </c>
    </row>
    <row r="3751" spans="1:26" x14ac:dyDescent="0.35">
      <c r="A3751" s="1">
        <v>45674</v>
      </c>
      <c r="C3751">
        <v>5148.3</v>
      </c>
      <c r="D3751">
        <f t="shared" si="760"/>
        <v>8.068122199770383E-3</v>
      </c>
      <c r="E3751" t="str">
        <f t="shared" si="754"/>
        <v>2025-01</v>
      </c>
      <c r="G3751">
        <v>7709.75</v>
      </c>
      <c r="H3751">
        <f t="shared" si="761"/>
        <v>9.7768772373024431E-3</v>
      </c>
      <c r="I3751" t="str">
        <f t="shared" si="755"/>
        <v>2025-01</v>
      </c>
      <c r="K3751">
        <v>20903.39</v>
      </c>
      <c r="L3751">
        <f t="shared" si="762"/>
        <v>1.1935044477353175E-2</v>
      </c>
      <c r="M3751" t="str">
        <f t="shared" si="756"/>
        <v>2025-01</v>
      </c>
      <c r="O3751">
        <v>10070.42535</v>
      </c>
      <c r="P3751">
        <f t="shared" si="763"/>
        <v>9.7244316530426134E-3</v>
      </c>
      <c r="Q3751" t="str">
        <f t="shared" si="757"/>
        <v>2025-01</v>
      </c>
      <c r="S3751">
        <v>11916.3</v>
      </c>
      <c r="T3751">
        <f t="shared" si="764"/>
        <v>6.3729069201885038E-3</v>
      </c>
      <c r="U3751" t="str">
        <f t="shared" si="758"/>
        <v>2025-01</v>
      </c>
      <c r="W3751">
        <v>36267.629999999997</v>
      </c>
      <c r="X3751">
        <f t="shared" si="765"/>
        <v>1.2425073932141418E-2</v>
      </c>
      <c r="Y3751">
        <f t="shared" si="766"/>
        <v>1.2502585861056039E-2</v>
      </c>
      <c r="Z3751" t="str">
        <f t="shared" si="759"/>
        <v>2025-01</v>
      </c>
    </row>
    <row r="3752" spans="1:26" x14ac:dyDescent="0.35">
      <c r="A3752" s="1">
        <v>45677</v>
      </c>
      <c r="C3752">
        <v>5164.4399999999996</v>
      </c>
      <c r="D3752">
        <f t="shared" si="760"/>
        <v>3.1301115276380275E-3</v>
      </c>
      <c r="E3752" t="str">
        <f t="shared" si="754"/>
        <v>2025-01</v>
      </c>
      <c r="G3752">
        <v>7733.5</v>
      </c>
      <c r="H3752">
        <f t="shared" si="761"/>
        <v>3.0757798680650398E-3</v>
      </c>
      <c r="I3752" t="str">
        <f t="shared" si="755"/>
        <v>2025-01</v>
      </c>
      <c r="K3752">
        <v>20990.31</v>
      </c>
      <c r="L3752">
        <f t="shared" si="762"/>
        <v>4.1495558865212003E-3</v>
      </c>
      <c r="M3752" t="str">
        <f t="shared" si="756"/>
        <v>2025-01</v>
      </c>
      <c r="O3752">
        <v>10075.99386</v>
      </c>
      <c r="P3752">
        <f t="shared" si="763"/>
        <v>5.5280395823833106E-4</v>
      </c>
      <c r="Q3752" t="str">
        <f t="shared" si="757"/>
        <v>2025-01</v>
      </c>
      <c r="S3752">
        <v>11943.6</v>
      </c>
      <c r="T3752">
        <f t="shared" si="764"/>
        <v>2.2883592901260475E-3</v>
      </c>
      <c r="U3752" t="str">
        <f t="shared" si="758"/>
        <v>2025-01</v>
      </c>
      <c r="W3752">
        <v>36143.83</v>
      </c>
      <c r="X3752">
        <f t="shared" si="765"/>
        <v>-3.4193515949570014E-3</v>
      </c>
      <c r="Y3752">
        <f t="shared" si="766"/>
        <v>-3.4135122697566849E-3</v>
      </c>
      <c r="Z3752" t="str">
        <f t="shared" si="759"/>
        <v>2025-01</v>
      </c>
    </row>
    <row r="3753" spans="1:26" x14ac:dyDescent="0.35">
      <c r="A3753" s="1">
        <v>45678</v>
      </c>
      <c r="C3753">
        <v>5165.96</v>
      </c>
      <c r="D3753">
        <f t="shared" si="760"/>
        <v>2.9427708723184172E-4</v>
      </c>
      <c r="E3753" t="str">
        <f t="shared" si="754"/>
        <v>2025-01</v>
      </c>
      <c r="G3753">
        <v>7770.95</v>
      </c>
      <c r="H3753">
        <f t="shared" si="761"/>
        <v>4.8308805319928101E-3</v>
      </c>
      <c r="I3753" t="str">
        <f t="shared" si="755"/>
        <v>2025-01</v>
      </c>
      <c r="K3753">
        <v>21042</v>
      </c>
      <c r="L3753">
        <f t="shared" si="762"/>
        <v>2.4595377250248174E-3</v>
      </c>
      <c r="M3753" t="str">
        <f t="shared" si="756"/>
        <v>2025-01</v>
      </c>
      <c r="O3753">
        <v>10110.951209999999</v>
      </c>
      <c r="P3753">
        <f t="shared" si="763"/>
        <v>3.4633655385962383E-3</v>
      </c>
      <c r="Q3753" t="str">
        <f t="shared" si="757"/>
        <v>2025-01</v>
      </c>
      <c r="S3753">
        <v>11927.4</v>
      </c>
      <c r="T3753">
        <f t="shared" si="764"/>
        <v>-1.3572956714876124E-3</v>
      </c>
      <c r="U3753" t="str">
        <f t="shared" si="758"/>
        <v>2025-01</v>
      </c>
      <c r="W3753">
        <v>36059.17</v>
      </c>
      <c r="X3753">
        <f t="shared" si="765"/>
        <v>-2.3450559892933677E-3</v>
      </c>
      <c r="Y3753">
        <f t="shared" si="766"/>
        <v>-2.3423084935936087E-3</v>
      </c>
      <c r="Z3753" t="str">
        <f t="shared" si="759"/>
        <v>2025-01</v>
      </c>
    </row>
    <row r="3754" spans="1:26" x14ac:dyDescent="0.35">
      <c r="A3754" s="1">
        <v>45679</v>
      </c>
      <c r="C3754">
        <v>5205.83</v>
      </c>
      <c r="D3754">
        <f t="shared" si="760"/>
        <v>7.6881997008258303E-3</v>
      </c>
      <c r="E3754" t="str">
        <f t="shared" si="754"/>
        <v>2025-01</v>
      </c>
      <c r="G3754">
        <v>7837.4</v>
      </c>
      <c r="H3754">
        <f t="shared" si="761"/>
        <v>8.5147246789359556E-3</v>
      </c>
      <c r="I3754" t="str">
        <f t="shared" si="755"/>
        <v>2025-01</v>
      </c>
      <c r="K3754">
        <v>21254.27</v>
      </c>
      <c r="L3754">
        <f t="shared" si="762"/>
        <v>1.0037375974826263E-2</v>
      </c>
      <c r="M3754" t="str">
        <f t="shared" si="756"/>
        <v>2025-01</v>
      </c>
      <c r="O3754">
        <v>10107.81337</v>
      </c>
      <c r="P3754">
        <f t="shared" si="763"/>
        <v>-3.1038889767725879E-4</v>
      </c>
      <c r="Q3754" t="str">
        <f t="shared" si="757"/>
        <v>2025-01</v>
      </c>
      <c r="S3754">
        <v>11882.7</v>
      </c>
      <c r="T3754">
        <f t="shared" si="764"/>
        <v>-3.7547135471557775E-3</v>
      </c>
      <c r="U3754" t="str">
        <f t="shared" si="758"/>
        <v>2025-01</v>
      </c>
      <c r="W3754">
        <v>35854.07</v>
      </c>
      <c r="X3754">
        <f t="shared" si="765"/>
        <v>-5.7041111236058022E-3</v>
      </c>
      <c r="Y3754">
        <f t="shared" si="766"/>
        <v>-5.6878735700238957E-3</v>
      </c>
      <c r="Z3754" t="str">
        <f t="shared" si="759"/>
        <v>2025-01</v>
      </c>
    </row>
    <row r="3755" spans="1:26" x14ac:dyDescent="0.35">
      <c r="A3755" s="1">
        <v>45680</v>
      </c>
      <c r="C3755">
        <v>5217.5</v>
      </c>
      <c r="D3755">
        <f t="shared" si="760"/>
        <v>2.2392085592931651E-3</v>
      </c>
      <c r="E3755" t="str">
        <f t="shared" si="754"/>
        <v>2025-01</v>
      </c>
      <c r="G3755">
        <v>7892.61</v>
      </c>
      <c r="H3755">
        <f t="shared" si="761"/>
        <v>7.0197319281303594E-3</v>
      </c>
      <c r="I3755" t="str">
        <f t="shared" si="755"/>
        <v>2025-01</v>
      </c>
      <c r="K3755">
        <v>21411.53</v>
      </c>
      <c r="L3755">
        <f t="shared" si="762"/>
        <v>7.3717456210625632E-3</v>
      </c>
      <c r="M3755" t="str">
        <f t="shared" si="756"/>
        <v>2025-01</v>
      </c>
      <c r="O3755">
        <v>10154.14473</v>
      </c>
      <c r="P3755">
        <f t="shared" si="763"/>
        <v>4.5732441574816022E-3</v>
      </c>
      <c r="Q3755" t="str">
        <f t="shared" si="757"/>
        <v>2025-01</v>
      </c>
      <c r="S3755">
        <v>11991.5</v>
      </c>
      <c r="T3755">
        <f t="shared" si="764"/>
        <v>9.1145046288452023E-3</v>
      </c>
      <c r="U3755" t="str">
        <f t="shared" si="758"/>
        <v>2025-01</v>
      </c>
      <c r="W3755">
        <v>36112.839999999997</v>
      </c>
      <c r="X3755">
        <f t="shared" si="765"/>
        <v>7.191391577432274E-3</v>
      </c>
      <c r="Y3755">
        <f t="shared" si="766"/>
        <v>7.2173117305788939E-3</v>
      </c>
      <c r="Z3755" t="str">
        <f t="shared" si="759"/>
        <v>2025-01</v>
      </c>
    </row>
    <row r="3756" spans="1:26" x14ac:dyDescent="0.35">
      <c r="A3756" s="1">
        <v>45681</v>
      </c>
      <c r="C3756">
        <v>5219.37</v>
      </c>
      <c r="D3756">
        <f t="shared" si="760"/>
        <v>3.5834498657370475E-4</v>
      </c>
      <c r="E3756" t="str">
        <f t="shared" si="754"/>
        <v>2025-01</v>
      </c>
      <c r="G3756">
        <v>7927.62</v>
      </c>
      <c r="H3756">
        <f t="shared" si="761"/>
        <v>4.4259858613829237E-3</v>
      </c>
      <c r="I3756" t="str">
        <f t="shared" si="755"/>
        <v>2025-01</v>
      </c>
      <c r="K3756">
        <v>21394.93</v>
      </c>
      <c r="L3756">
        <f t="shared" si="762"/>
        <v>-7.755839110319486E-4</v>
      </c>
      <c r="M3756" t="str">
        <f t="shared" si="756"/>
        <v>2025-01</v>
      </c>
      <c r="O3756">
        <v>10101.545690000001</v>
      </c>
      <c r="P3756">
        <f t="shared" si="763"/>
        <v>-5.1935191679204698E-3</v>
      </c>
      <c r="Q3756" t="str">
        <f t="shared" si="757"/>
        <v>2025-01</v>
      </c>
      <c r="S3756">
        <v>11982.6</v>
      </c>
      <c r="T3756">
        <f t="shared" si="764"/>
        <v>-7.4246794739740198E-4</v>
      </c>
      <c r="U3756" t="str">
        <f t="shared" si="758"/>
        <v>2025-01</v>
      </c>
      <c r="W3756">
        <v>36200.720000000001</v>
      </c>
      <c r="X3756">
        <f t="shared" si="765"/>
        <v>2.4305273661626168E-3</v>
      </c>
      <c r="Y3756">
        <f t="shared" si="766"/>
        <v>2.4334834922981594E-3</v>
      </c>
      <c r="Z3756" t="str">
        <f t="shared" si="759"/>
        <v>2025-01</v>
      </c>
    </row>
    <row r="3757" spans="1:26" x14ac:dyDescent="0.35">
      <c r="A3757" s="1">
        <v>45684</v>
      </c>
      <c r="C3757">
        <v>5188.45</v>
      </c>
      <c r="D3757">
        <f t="shared" si="760"/>
        <v>-5.9417036355701508E-3</v>
      </c>
      <c r="E3757" t="str">
        <f t="shared" si="754"/>
        <v>2025-01</v>
      </c>
      <c r="G3757">
        <v>7906.58</v>
      </c>
      <c r="H3757">
        <f t="shared" si="761"/>
        <v>-2.657540309324261E-3</v>
      </c>
      <c r="I3757" t="str">
        <f t="shared" si="755"/>
        <v>2025-01</v>
      </c>
      <c r="K3757">
        <v>21282.18</v>
      </c>
      <c r="L3757">
        <f t="shared" si="762"/>
        <v>-5.2838752354749932E-3</v>
      </c>
      <c r="M3757" t="str">
        <f t="shared" si="756"/>
        <v>2025-01</v>
      </c>
      <c r="O3757">
        <v>10113.81278</v>
      </c>
      <c r="P3757">
        <f t="shared" si="763"/>
        <v>1.2136407597135796E-3</v>
      </c>
      <c r="Q3757" t="str">
        <f t="shared" si="757"/>
        <v>2025-01</v>
      </c>
      <c r="S3757">
        <v>11997.1</v>
      </c>
      <c r="T3757">
        <f t="shared" si="764"/>
        <v>1.2093563945535784E-3</v>
      </c>
      <c r="U3757" t="str">
        <f t="shared" si="758"/>
        <v>2025-01</v>
      </c>
      <c r="W3757">
        <v>36191.17</v>
      </c>
      <c r="X3757">
        <f t="shared" si="765"/>
        <v>-2.6384171087128584E-4</v>
      </c>
      <c r="Y3757">
        <f t="shared" si="766"/>
        <v>-2.6380690770799335E-4</v>
      </c>
      <c r="Z3757" t="str">
        <f t="shared" si="759"/>
        <v>2025-01</v>
      </c>
    </row>
    <row r="3758" spans="1:26" x14ac:dyDescent="0.35">
      <c r="A3758" s="1">
        <v>45685</v>
      </c>
      <c r="C3758">
        <v>5195.71</v>
      </c>
      <c r="D3758">
        <f t="shared" si="760"/>
        <v>1.3982837673715354E-3</v>
      </c>
      <c r="E3758" t="str">
        <f t="shared" si="754"/>
        <v>2025-01</v>
      </c>
      <c r="G3758">
        <v>7897.37</v>
      </c>
      <c r="H3758">
        <f t="shared" si="761"/>
        <v>-1.1655315339039502E-3</v>
      </c>
      <c r="I3758" t="str">
        <f t="shared" si="755"/>
        <v>2025-01</v>
      </c>
      <c r="K3758">
        <v>21430.58</v>
      </c>
      <c r="L3758">
        <f t="shared" si="762"/>
        <v>6.9487711461034057E-3</v>
      </c>
      <c r="M3758" t="str">
        <f t="shared" si="756"/>
        <v>2025-01</v>
      </c>
      <c r="O3758">
        <v>10171.41065</v>
      </c>
      <c r="P3758">
        <f t="shared" si="763"/>
        <v>5.6788159112874E-3</v>
      </c>
      <c r="Q3758" t="str">
        <f t="shared" si="757"/>
        <v>2025-01</v>
      </c>
      <c r="S3758">
        <v>12154.2</v>
      </c>
      <c r="T3758">
        <f t="shared" si="764"/>
        <v>1.3009835150439394E-2</v>
      </c>
      <c r="U3758" t="str">
        <f t="shared" si="758"/>
        <v>2025-01</v>
      </c>
      <c r="W3758">
        <v>36147.06</v>
      </c>
      <c r="X3758">
        <f t="shared" si="765"/>
        <v>-1.2195489291641829E-3</v>
      </c>
      <c r="Y3758">
        <f t="shared" si="766"/>
        <v>-1.218805581582485E-3</v>
      </c>
      <c r="Z3758" t="str">
        <f t="shared" si="759"/>
        <v>2025-01</v>
      </c>
    </row>
    <row r="3759" spans="1:26" x14ac:dyDescent="0.35">
      <c r="A3759" s="1">
        <v>45686</v>
      </c>
      <c r="C3759">
        <v>5230.66</v>
      </c>
      <c r="D3759">
        <f t="shared" si="760"/>
        <v>6.7041800559954285E-3</v>
      </c>
      <c r="E3759" t="str">
        <f t="shared" si="754"/>
        <v>2025-01</v>
      </c>
      <c r="G3759">
        <v>7872.48</v>
      </c>
      <c r="H3759">
        <f t="shared" si="761"/>
        <v>-3.1566591524998383E-3</v>
      </c>
      <c r="I3759" t="str">
        <f t="shared" si="755"/>
        <v>2025-01</v>
      </c>
      <c r="K3759">
        <v>21637.53</v>
      </c>
      <c r="L3759">
        <f t="shared" si="762"/>
        <v>9.6104330015873395E-3</v>
      </c>
      <c r="M3759" t="str">
        <f t="shared" si="756"/>
        <v>2025-01</v>
      </c>
      <c r="O3759">
        <v>10217.471649999999</v>
      </c>
      <c r="P3759">
        <f t="shared" si="763"/>
        <v>4.5182543782500409E-3</v>
      </c>
      <c r="Q3759" t="str">
        <f t="shared" si="757"/>
        <v>2025-01</v>
      </c>
      <c r="S3759">
        <v>12286.5</v>
      </c>
      <c r="T3759">
        <f t="shared" si="764"/>
        <v>1.0826309575950764E-2</v>
      </c>
      <c r="U3759" t="str">
        <f t="shared" si="758"/>
        <v>2025-01</v>
      </c>
      <c r="W3759">
        <v>36371.67</v>
      </c>
      <c r="X3759">
        <f t="shared" si="765"/>
        <v>6.1945574126185026E-3</v>
      </c>
      <c r="Y3759">
        <f t="shared" si="766"/>
        <v>6.2137833616344069E-3</v>
      </c>
      <c r="Z3759" t="str">
        <f t="shared" si="759"/>
        <v>2025-01</v>
      </c>
    </row>
    <row r="3760" spans="1:26" x14ac:dyDescent="0.35">
      <c r="A3760" s="1">
        <v>45687</v>
      </c>
      <c r="C3760">
        <v>5282.21</v>
      </c>
      <c r="D3760">
        <f t="shared" si="760"/>
        <v>9.8071056085861676E-3</v>
      </c>
      <c r="E3760" t="str">
        <f t="shared" si="754"/>
        <v>2025-01</v>
      </c>
      <c r="G3760">
        <v>7941.64</v>
      </c>
      <c r="H3760">
        <f t="shared" si="761"/>
        <v>8.7466695483286484E-3</v>
      </c>
      <c r="I3760" t="str">
        <f t="shared" si="755"/>
        <v>2025-01</v>
      </c>
      <c r="K3760">
        <v>21727.200000000001</v>
      </c>
      <c r="L3760">
        <f t="shared" si="762"/>
        <v>4.1356248640344257E-3</v>
      </c>
      <c r="M3760" t="str">
        <f t="shared" si="756"/>
        <v>2025-01</v>
      </c>
      <c r="O3760">
        <v>10330.269899999999</v>
      </c>
      <c r="P3760">
        <f t="shared" si="763"/>
        <v>1.0979248772266036E-2</v>
      </c>
      <c r="Q3760" t="str">
        <f t="shared" si="757"/>
        <v>2025-01</v>
      </c>
      <c r="S3760">
        <v>12419.6</v>
      </c>
      <c r="T3760">
        <f t="shared" si="764"/>
        <v>1.0774771225912501E-2</v>
      </c>
      <c r="U3760" t="str">
        <f t="shared" si="758"/>
        <v>2025-01</v>
      </c>
      <c r="W3760">
        <v>36429.72</v>
      </c>
      <c r="X3760">
        <f t="shared" si="765"/>
        <v>1.594750108558882E-3</v>
      </c>
      <c r="Y3760">
        <f t="shared" si="766"/>
        <v>1.596022398751636E-3</v>
      </c>
      <c r="Z3760" t="str">
        <f t="shared" si="759"/>
        <v>2025-01</v>
      </c>
    </row>
    <row r="3761" spans="1:26" x14ac:dyDescent="0.35">
      <c r="A3761" s="1">
        <v>45688</v>
      </c>
      <c r="C3761">
        <v>5286.87</v>
      </c>
      <c r="D3761">
        <f t="shared" si="760"/>
        <v>8.8181758525223493E-4</v>
      </c>
      <c r="E3761" t="str">
        <f t="shared" si="754"/>
        <v>2025-01</v>
      </c>
      <c r="G3761">
        <v>7950.17</v>
      </c>
      <c r="H3761">
        <f t="shared" si="761"/>
        <v>1.0735090363123432E-3</v>
      </c>
      <c r="I3761" t="str">
        <f t="shared" si="755"/>
        <v>2025-01</v>
      </c>
      <c r="K3761">
        <v>21732.05</v>
      </c>
      <c r="L3761">
        <f t="shared" si="762"/>
        <v>2.2319759407417406E-4</v>
      </c>
      <c r="M3761" t="str">
        <f t="shared" si="756"/>
        <v>2025-01</v>
      </c>
      <c r="O3761">
        <v>10367.13031</v>
      </c>
      <c r="P3761">
        <f t="shared" si="763"/>
        <v>3.5618433808916167E-3</v>
      </c>
      <c r="Q3761" t="str">
        <f t="shared" si="757"/>
        <v>2025-01</v>
      </c>
      <c r="S3761">
        <v>12368.9</v>
      </c>
      <c r="T3761">
        <f t="shared" si="764"/>
        <v>-4.0906122352997254E-3</v>
      </c>
      <c r="U3761" t="str">
        <f t="shared" si="758"/>
        <v>2025-01</v>
      </c>
      <c r="W3761">
        <v>36471.75</v>
      </c>
      <c r="X3761">
        <f t="shared" si="765"/>
        <v>1.1530632964400224E-3</v>
      </c>
      <c r="Y3761">
        <f t="shared" si="766"/>
        <v>1.1537283295067553E-3</v>
      </c>
      <c r="Z3761" t="str">
        <f t="shared" si="759"/>
        <v>2025-01</v>
      </c>
    </row>
    <row r="3762" spans="1:26" x14ac:dyDescent="0.35">
      <c r="A3762" s="1">
        <v>45691</v>
      </c>
      <c r="C3762">
        <v>5217.91</v>
      </c>
      <c r="D3762">
        <f t="shared" si="760"/>
        <v>-1.3129449759374152E-2</v>
      </c>
      <c r="E3762" t="str">
        <f t="shared" si="754"/>
        <v>2025-02</v>
      </c>
      <c r="G3762">
        <v>7854.92</v>
      </c>
      <c r="H3762">
        <f t="shared" si="761"/>
        <v>-1.2053225025490076E-2</v>
      </c>
      <c r="I3762" t="str">
        <f t="shared" si="755"/>
        <v>2025-02</v>
      </c>
      <c r="K3762">
        <v>21428.240000000002</v>
      </c>
      <c r="L3762">
        <f t="shared" si="762"/>
        <v>-1.4078451186611619E-2</v>
      </c>
      <c r="M3762" t="str">
        <f t="shared" si="756"/>
        <v>2025-02</v>
      </c>
      <c r="O3762">
        <v>10348.700650000001</v>
      </c>
      <c r="P3762">
        <f t="shared" si="763"/>
        <v>-1.7792831866326644E-3</v>
      </c>
      <c r="Q3762" t="str">
        <f t="shared" si="757"/>
        <v>2025-02</v>
      </c>
      <c r="S3762">
        <v>12205.8</v>
      </c>
      <c r="T3762">
        <f t="shared" si="764"/>
        <v>-1.3274009028418117E-2</v>
      </c>
      <c r="U3762" t="str">
        <f t="shared" si="758"/>
        <v>2025-02</v>
      </c>
      <c r="W3762">
        <v>36218.980000000003</v>
      </c>
      <c r="X3762">
        <f t="shared" si="765"/>
        <v>-6.9546974924296215E-3</v>
      </c>
      <c r="Y3762">
        <f t="shared" si="766"/>
        <v>-6.9305695504053629E-3</v>
      </c>
      <c r="Z3762" t="str">
        <f t="shared" si="759"/>
        <v>2025-02</v>
      </c>
    </row>
    <row r="3763" spans="1:26" x14ac:dyDescent="0.35">
      <c r="A3763" s="1">
        <v>45692</v>
      </c>
      <c r="C3763">
        <v>5264.59</v>
      </c>
      <c r="D3763">
        <f t="shared" si="760"/>
        <v>8.9063312311060978E-3</v>
      </c>
      <c r="E3763" t="str">
        <f t="shared" si="754"/>
        <v>2025-02</v>
      </c>
      <c r="G3763">
        <v>7906.4</v>
      </c>
      <c r="H3763">
        <f t="shared" si="761"/>
        <v>6.5324710199146539E-3</v>
      </c>
      <c r="I3763" t="str">
        <f t="shared" si="755"/>
        <v>2025-02</v>
      </c>
      <c r="K3763">
        <v>21505.7</v>
      </c>
      <c r="L3763">
        <f t="shared" si="762"/>
        <v>3.6083380209105368E-3</v>
      </c>
      <c r="M3763" t="str">
        <f t="shared" si="756"/>
        <v>2025-02</v>
      </c>
      <c r="O3763">
        <v>10310.19774</v>
      </c>
      <c r="P3763">
        <f t="shared" si="763"/>
        <v>-3.7274934852525973E-3</v>
      </c>
      <c r="Q3763" t="str">
        <f t="shared" si="757"/>
        <v>2025-02</v>
      </c>
      <c r="S3763">
        <v>12372.8</v>
      </c>
      <c r="T3763">
        <f t="shared" si="764"/>
        <v>1.358926626880993E-2</v>
      </c>
      <c r="U3763" t="str">
        <f t="shared" si="758"/>
        <v>2025-02</v>
      </c>
      <c r="W3763">
        <v>36719.35</v>
      </c>
      <c r="X3763">
        <f t="shared" si="765"/>
        <v>1.3720573248714738E-2</v>
      </c>
      <c r="Y3763">
        <f t="shared" si="766"/>
        <v>1.3815132286994148E-2</v>
      </c>
      <c r="Z3763" t="str">
        <f t="shared" si="759"/>
        <v>2025-02</v>
      </c>
    </row>
    <row r="3764" spans="1:26" x14ac:dyDescent="0.35">
      <c r="A3764" s="1">
        <v>45693</v>
      </c>
      <c r="C3764">
        <v>5271.12</v>
      </c>
      <c r="D3764">
        <f t="shared" si="760"/>
        <v>1.2395938833097576E-3</v>
      </c>
      <c r="E3764" t="str">
        <f t="shared" si="754"/>
        <v>2025-02</v>
      </c>
      <c r="G3764">
        <v>7891.68</v>
      </c>
      <c r="H3764">
        <f t="shared" si="761"/>
        <v>-1.8635181312975501E-3</v>
      </c>
      <c r="I3764" t="str">
        <f t="shared" si="755"/>
        <v>2025-02</v>
      </c>
      <c r="K3764">
        <v>21585.93</v>
      </c>
      <c r="L3764">
        <f t="shared" si="762"/>
        <v>3.7236972797369647E-3</v>
      </c>
      <c r="M3764" t="str">
        <f t="shared" si="756"/>
        <v>2025-02</v>
      </c>
      <c r="O3764">
        <v>10352.085859999999</v>
      </c>
      <c r="P3764">
        <f t="shared" si="763"/>
        <v>4.0545544912233399E-3</v>
      </c>
      <c r="Q3764" t="str">
        <f t="shared" si="757"/>
        <v>2025-02</v>
      </c>
      <c r="S3764">
        <v>12536.7</v>
      </c>
      <c r="T3764">
        <f t="shared" si="764"/>
        <v>1.3159827805289308E-2</v>
      </c>
      <c r="U3764" t="str">
        <f t="shared" si="758"/>
        <v>2025-02</v>
      </c>
      <c r="W3764">
        <v>36581.480000000003</v>
      </c>
      <c r="X3764">
        <f t="shared" si="765"/>
        <v>-3.7617626589364858E-3</v>
      </c>
      <c r="Y3764">
        <f t="shared" si="766"/>
        <v>-3.7546960934764736E-3</v>
      </c>
      <c r="Z3764" t="str">
        <f t="shared" si="759"/>
        <v>2025-02</v>
      </c>
    </row>
    <row r="3765" spans="1:26" x14ac:dyDescent="0.35">
      <c r="A3765" s="1">
        <v>45694</v>
      </c>
      <c r="C3765">
        <v>5356.63</v>
      </c>
      <c r="D3765">
        <f t="shared" si="760"/>
        <v>1.6092182312520971E-2</v>
      </c>
      <c r="E3765" t="str">
        <f t="shared" si="754"/>
        <v>2025-02</v>
      </c>
      <c r="G3765">
        <v>8007.62</v>
      </c>
      <c r="H3765">
        <f t="shared" si="761"/>
        <v>1.458454839101962E-2</v>
      </c>
      <c r="I3765" t="str">
        <f t="shared" si="755"/>
        <v>2025-02</v>
      </c>
      <c r="K3765">
        <v>21902.42</v>
      </c>
      <c r="L3765">
        <f t="shared" si="762"/>
        <v>1.4555419445319191E-2</v>
      </c>
      <c r="M3765" t="str">
        <f t="shared" si="756"/>
        <v>2025-02</v>
      </c>
      <c r="O3765">
        <v>10461.973</v>
      </c>
      <c r="P3765">
        <f t="shared" si="763"/>
        <v>1.05590324029854E-2</v>
      </c>
      <c r="Q3765" t="str">
        <f t="shared" si="757"/>
        <v>2025-02</v>
      </c>
      <c r="S3765">
        <v>12731</v>
      </c>
      <c r="T3765">
        <f t="shared" si="764"/>
        <v>1.5379621401585138E-2</v>
      </c>
      <c r="U3765" t="str">
        <f t="shared" si="758"/>
        <v>2025-02</v>
      </c>
      <c r="W3765">
        <v>37121.769999999997</v>
      </c>
      <c r="X3765">
        <f t="shared" si="765"/>
        <v>1.4661488559222989E-2</v>
      </c>
      <c r="Y3765">
        <f t="shared" si="766"/>
        <v>1.4769495384002877E-2</v>
      </c>
      <c r="Z3765" t="str">
        <f t="shared" si="759"/>
        <v>2025-02</v>
      </c>
    </row>
    <row r="3766" spans="1:26" x14ac:dyDescent="0.35">
      <c r="A3766" s="1">
        <v>45695</v>
      </c>
      <c r="C3766">
        <v>5325.4</v>
      </c>
      <c r="D3766">
        <f t="shared" si="760"/>
        <v>-5.8472198597781244E-3</v>
      </c>
      <c r="E3766" t="str">
        <f t="shared" si="754"/>
        <v>2025-02</v>
      </c>
      <c r="G3766">
        <v>7973.03</v>
      </c>
      <c r="H3766">
        <f t="shared" si="761"/>
        <v>-4.3289921271701852E-3</v>
      </c>
      <c r="I3766" t="str">
        <f t="shared" si="755"/>
        <v>2025-02</v>
      </c>
      <c r="K3766">
        <v>21787</v>
      </c>
      <c r="L3766">
        <f t="shared" si="762"/>
        <v>-5.2836713564356919E-3</v>
      </c>
      <c r="M3766" t="str">
        <f t="shared" si="756"/>
        <v>2025-02</v>
      </c>
      <c r="O3766">
        <v>10454.62833</v>
      </c>
      <c r="P3766">
        <f t="shared" si="763"/>
        <v>-7.0228142574305823E-4</v>
      </c>
      <c r="Q3766" t="str">
        <f t="shared" si="757"/>
        <v>2025-02</v>
      </c>
      <c r="S3766">
        <v>12688.9</v>
      </c>
      <c r="T3766">
        <f t="shared" si="764"/>
        <v>-3.3123685374587398E-3</v>
      </c>
      <c r="U3766" t="str">
        <f t="shared" si="758"/>
        <v>2025-02</v>
      </c>
      <c r="W3766">
        <v>37055.699999999997</v>
      </c>
      <c r="X3766">
        <f t="shared" si="765"/>
        <v>-1.7814039080116669E-3</v>
      </c>
      <c r="Y3766">
        <f t="shared" si="766"/>
        <v>-1.7798181498349813E-3</v>
      </c>
      <c r="Z3766" t="str">
        <f t="shared" si="759"/>
        <v>2025-02</v>
      </c>
    </row>
    <row r="3767" spans="1:26" x14ac:dyDescent="0.35">
      <c r="A3767" s="1">
        <v>45698</v>
      </c>
      <c r="C3767">
        <v>5358.3</v>
      </c>
      <c r="D3767">
        <f t="shared" si="760"/>
        <v>6.1589344511981626E-3</v>
      </c>
      <c r="E3767" t="str">
        <f t="shared" si="754"/>
        <v>2025-02</v>
      </c>
      <c r="G3767">
        <v>8006.22</v>
      </c>
      <c r="H3767">
        <f t="shared" si="761"/>
        <v>4.1541433708985106E-3</v>
      </c>
      <c r="I3767" t="str">
        <f t="shared" si="755"/>
        <v>2025-02</v>
      </c>
      <c r="K3767">
        <v>21911.74</v>
      </c>
      <c r="L3767">
        <f t="shared" si="762"/>
        <v>5.709104601787209E-3</v>
      </c>
      <c r="M3767" t="str">
        <f t="shared" si="756"/>
        <v>2025-02</v>
      </c>
      <c r="O3767">
        <v>10526.12141</v>
      </c>
      <c r="P3767">
        <f t="shared" si="763"/>
        <v>6.8151384102460187E-3</v>
      </c>
      <c r="Q3767" t="str">
        <f t="shared" si="757"/>
        <v>2025-02</v>
      </c>
      <c r="S3767">
        <v>12708.8</v>
      </c>
      <c r="T3767">
        <f t="shared" si="764"/>
        <v>1.5670713546807966E-3</v>
      </c>
      <c r="U3767" t="str">
        <f t="shared" si="758"/>
        <v>2025-02</v>
      </c>
      <c r="W3767">
        <v>37242.17</v>
      </c>
      <c r="X3767">
        <f t="shared" si="765"/>
        <v>5.0195353250520767E-3</v>
      </c>
      <c r="Y3767">
        <f t="shared" si="766"/>
        <v>5.0321542974495473E-3</v>
      </c>
      <c r="Z3767" t="str">
        <f t="shared" si="759"/>
        <v>2025-02</v>
      </c>
    </row>
    <row r="3768" spans="1:26" x14ac:dyDescent="0.35">
      <c r="A3768" s="1">
        <v>45699</v>
      </c>
      <c r="C3768">
        <v>5390.91</v>
      </c>
      <c r="D3768">
        <f t="shared" si="760"/>
        <v>6.0674412429486124E-3</v>
      </c>
      <c r="E3768" t="str">
        <f t="shared" si="754"/>
        <v>2025-02</v>
      </c>
      <c r="G3768">
        <v>8028.9</v>
      </c>
      <c r="H3768">
        <f t="shared" si="761"/>
        <v>2.8287926905326269E-3</v>
      </c>
      <c r="I3768" t="str">
        <f t="shared" si="755"/>
        <v>2025-02</v>
      </c>
      <c r="K3768">
        <v>22037.83</v>
      </c>
      <c r="L3768">
        <f t="shared" si="762"/>
        <v>5.7379558412145107E-3</v>
      </c>
      <c r="M3768" t="str">
        <f t="shared" si="756"/>
        <v>2025-02</v>
      </c>
      <c r="O3768">
        <v>10540.333790000001</v>
      </c>
      <c r="P3768">
        <f t="shared" si="763"/>
        <v>1.349290331126728E-3</v>
      </c>
      <c r="Q3768" t="str">
        <f t="shared" si="757"/>
        <v>2025-02</v>
      </c>
      <c r="S3768">
        <v>12774.8</v>
      </c>
      <c r="T3768">
        <f t="shared" si="764"/>
        <v>5.1798134931884173E-3</v>
      </c>
      <c r="U3768" t="str">
        <f t="shared" si="758"/>
        <v>2025-02</v>
      </c>
      <c r="W3768">
        <v>37582.050000000003</v>
      </c>
      <c r="X3768">
        <f t="shared" si="765"/>
        <v>9.0848214023269893E-3</v>
      </c>
      <c r="Y3768">
        <f t="shared" si="766"/>
        <v>9.1262136443715468E-3</v>
      </c>
      <c r="Z3768" t="str">
        <f t="shared" si="759"/>
        <v>2025-02</v>
      </c>
    </row>
    <row r="3769" spans="1:26" x14ac:dyDescent="0.35">
      <c r="A3769" s="1">
        <v>45700</v>
      </c>
      <c r="C3769">
        <v>5405.65</v>
      </c>
      <c r="D3769">
        <f t="shared" si="760"/>
        <v>2.7305010407027079E-3</v>
      </c>
      <c r="E3769" t="str">
        <f t="shared" si="754"/>
        <v>2025-02</v>
      </c>
      <c r="G3769">
        <v>8042.19</v>
      </c>
      <c r="H3769">
        <f t="shared" si="761"/>
        <v>1.6539018858642048E-3</v>
      </c>
      <c r="I3769" t="str">
        <f t="shared" si="755"/>
        <v>2025-02</v>
      </c>
      <c r="K3769">
        <v>22148.03</v>
      </c>
      <c r="L3769">
        <f t="shared" si="762"/>
        <v>4.988031396715247E-3</v>
      </c>
      <c r="M3769" t="str">
        <f t="shared" si="756"/>
        <v>2025-02</v>
      </c>
      <c r="O3769">
        <v>10540.88206</v>
      </c>
      <c r="P3769">
        <f t="shared" si="763"/>
        <v>5.2015026460052244E-5</v>
      </c>
      <c r="Q3769" t="str">
        <f t="shared" si="757"/>
        <v>2025-02</v>
      </c>
      <c r="S3769">
        <v>12911.5</v>
      </c>
      <c r="T3769">
        <f t="shared" si="764"/>
        <v>1.0643906719987674E-2</v>
      </c>
      <c r="U3769" t="str">
        <f t="shared" si="758"/>
        <v>2025-02</v>
      </c>
      <c r="W3769">
        <v>37531.19</v>
      </c>
      <c r="X3769">
        <f t="shared" si="765"/>
        <v>-1.3542221790128063E-3</v>
      </c>
      <c r="Y3769">
        <f t="shared" si="766"/>
        <v>-1.3533056339396221E-3</v>
      </c>
      <c r="Z3769" t="str">
        <f t="shared" si="759"/>
        <v>2025-02</v>
      </c>
    </row>
    <row r="3770" spans="1:26" x14ac:dyDescent="0.35">
      <c r="A3770" s="1">
        <v>45701</v>
      </c>
      <c r="C3770">
        <v>5500.5</v>
      </c>
      <c r="D3770">
        <f t="shared" si="760"/>
        <v>1.7394294317291593E-2</v>
      </c>
      <c r="E3770" t="str">
        <f t="shared" si="754"/>
        <v>2025-02</v>
      </c>
      <c r="G3770">
        <v>8164.11</v>
      </c>
      <c r="H3770">
        <f t="shared" si="761"/>
        <v>1.5046284484502525E-2</v>
      </c>
      <c r="I3770" t="str">
        <f t="shared" si="755"/>
        <v>2025-02</v>
      </c>
      <c r="K3770">
        <v>22612.02</v>
      </c>
      <c r="L3770">
        <f t="shared" si="762"/>
        <v>2.0733069814853015E-2</v>
      </c>
      <c r="M3770" t="str">
        <f t="shared" si="756"/>
        <v>2025-02</v>
      </c>
      <c r="O3770">
        <v>10526.743130000001</v>
      </c>
      <c r="P3770">
        <f t="shared" si="763"/>
        <v>-1.342242611137119E-3</v>
      </c>
      <c r="Q3770" t="str">
        <f t="shared" si="757"/>
        <v>2025-02</v>
      </c>
      <c r="S3770">
        <v>12936.3</v>
      </c>
      <c r="T3770">
        <f t="shared" si="764"/>
        <v>1.9189259906094022E-3</v>
      </c>
      <c r="U3770" t="str">
        <f t="shared" si="758"/>
        <v>2025-02</v>
      </c>
      <c r="W3770">
        <v>37908.050000000003</v>
      </c>
      <c r="X3770">
        <f t="shared" si="765"/>
        <v>9.9911699786768022E-3</v>
      </c>
      <c r="Y3770">
        <f t="shared" si="766"/>
        <v>1.0041248359031529E-2</v>
      </c>
      <c r="Z3770" t="str">
        <f t="shared" si="759"/>
        <v>2025-02</v>
      </c>
    </row>
    <row r="3771" spans="1:26" x14ac:dyDescent="0.35">
      <c r="A3771" s="1">
        <v>45702</v>
      </c>
      <c r="C3771">
        <v>5493.4</v>
      </c>
      <c r="D3771">
        <f t="shared" si="760"/>
        <v>-1.2916255354470595E-3</v>
      </c>
      <c r="E3771" t="str">
        <f t="shared" si="754"/>
        <v>2025-02</v>
      </c>
      <c r="G3771">
        <v>8178.54</v>
      </c>
      <c r="H3771">
        <f t="shared" si="761"/>
        <v>1.7659319327055004E-3</v>
      </c>
      <c r="I3771" t="str">
        <f t="shared" si="755"/>
        <v>2025-02</v>
      </c>
      <c r="K3771">
        <v>22513.42</v>
      </c>
      <c r="L3771">
        <f t="shared" si="762"/>
        <v>-4.3700474462396539E-3</v>
      </c>
      <c r="M3771" t="str">
        <f t="shared" si="756"/>
        <v>2025-02</v>
      </c>
      <c r="O3771">
        <v>10479.45067</v>
      </c>
      <c r="P3771">
        <f t="shared" si="763"/>
        <v>-4.5027233732009859E-3</v>
      </c>
      <c r="Q3771" t="str">
        <f t="shared" si="757"/>
        <v>2025-02</v>
      </c>
      <c r="S3771">
        <v>12956</v>
      </c>
      <c r="T3771">
        <f t="shared" si="764"/>
        <v>1.5216882085667177E-3</v>
      </c>
      <c r="U3771" t="str">
        <f t="shared" si="758"/>
        <v>2025-02</v>
      </c>
      <c r="W3771">
        <v>37977.589999999997</v>
      </c>
      <c r="X3771">
        <f t="shared" si="765"/>
        <v>1.8327583312315577E-3</v>
      </c>
      <c r="Y3771">
        <f t="shared" si="766"/>
        <v>1.8344388592922503E-3</v>
      </c>
      <c r="Z3771" t="str">
        <f t="shared" si="759"/>
        <v>2025-02</v>
      </c>
    </row>
    <row r="3772" spans="1:26" x14ac:dyDescent="0.35">
      <c r="A3772" s="1">
        <v>45705</v>
      </c>
      <c r="C3772">
        <v>5519.83</v>
      </c>
      <c r="D3772">
        <f t="shared" si="760"/>
        <v>4.7996910514079439E-3</v>
      </c>
      <c r="E3772" t="str">
        <f t="shared" si="754"/>
        <v>2025-02</v>
      </c>
      <c r="G3772">
        <v>8189.13</v>
      </c>
      <c r="H3772">
        <f t="shared" si="761"/>
        <v>1.2940145393598762E-3</v>
      </c>
      <c r="I3772" t="str">
        <f t="shared" si="755"/>
        <v>2025-02</v>
      </c>
      <c r="K3772">
        <v>22798.09</v>
      </c>
      <c r="L3772">
        <f t="shared" si="762"/>
        <v>1.2565184668979228E-2</v>
      </c>
      <c r="M3772" t="str">
        <f t="shared" si="756"/>
        <v>2025-02</v>
      </c>
      <c r="O3772">
        <v>10557.91188</v>
      </c>
      <c r="P3772">
        <f t="shared" si="763"/>
        <v>7.4592595545449293E-3</v>
      </c>
      <c r="Q3772" t="str">
        <f t="shared" si="757"/>
        <v>2025-02</v>
      </c>
      <c r="S3772">
        <v>13016.9</v>
      </c>
      <c r="T3772">
        <f t="shared" si="764"/>
        <v>4.6895118840739412E-3</v>
      </c>
      <c r="U3772" t="str">
        <f t="shared" si="758"/>
        <v>2025-02</v>
      </c>
      <c r="W3772">
        <v>38327.72</v>
      </c>
      <c r="X3772">
        <f t="shared" si="765"/>
        <v>9.1771452688016383E-3</v>
      </c>
      <c r="Y3772">
        <f t="shared" si="766"/>
        <v>9.2193843790510325E-3</v>
      </c>
      <c r="Z3772" t="str">
        <f t="shared" si="759"/>
        <v>2025-02</v>
      </c>
    </row>
    <row r="3773" spans="1:26" x14ac:dyDescent="0.35">
      <c r="A3773" s="1">
        <v>45706</v>
      </c>
      <c r="C3773">
        <v>5533.84</v>
      </c>
      <c r="D3773">
        <f t="shared" si="760"/>
        <v>2.5349060541993056E-3</v>
      </c>
      <c r="E3773" t="str">
        <f t="shared" si="754"/>
        <v>2025-02</v>
      </c>
      <c r="G3773">
        <v>8206.56</v>
      </c>
      <c r="H3773">
        <f t="shared" si="761"/>
        <v>2.126169324519396E-3</v>
      </c>
      <c r="I3773" t="str">
        <f t="shared" si="755"/>
        <v>2025-02</v>
      </c>
      <c r="K3773">
        <v>22844.5</v>
      </c>
      <c r="L3773">
        <f t="shared" si="762"/>
        <v>2.0336276269420236E-3</v>
      </c>
      <c r="M3773" t="str">
        <f t="shared" si="756"/>
        <v>2025-02</v>
      </c>
      <c r="O3773">
        <v>10574.458930000001</v>
      </c>
      <c r="P3773">
        <f t="shared" si="763"/>
        <v>1.5660385226575965E-3</v>
      </c>
      <c r="Q3773" t="str">
        <f t="shared" si="757"/>
        <v>2025-02</v>
      </c>
      <c r="S3773">
        <v>13143.9</v>
      </c>
      <c r="T3773">
        <f t="shared" si="764"/>
        <v>9.7092594787849262E-3</v>
      </c>
      <c r="U3773" t="str">
        <f t="shared" si="758"/>
        <v>2025-02</v>
      </c>
      <c r="W3773">
        <v>38554.15</v>
      </c>
      <c r="X3773">
        <f t="shared" si="765"/>
        <v>5.8903524248038594E-3</v>
      </c>
      <c r="Y3773">
        <f t="shared" si="766"/>
        <v>5.9077346630584939E-3</v>
      </c>
      <c r="Z3773" t="str">
        <f t="shared" si="759"/>
        <v>2025-02</v>
      </c>
    </row>
    <row r="3774" spans="1:26" x14ac:dyDescent="0.35">
      <c r="A3774" s="1">
        <v>45707</v>
      </c>
      <c r="C3774">
        <v>5461.17</v>
      </c>
      <c r="D3774">
        <f t="shared" si="760"/>
        <v>-1.3218916252318455E-2</v>
      </c>
      <c r="E3774" t="str">
        <f t="shared" si="754"/>
        <v>2025-02</v>
      </c>
      <c r="G3774">
        <v>8110.54</v>
      </c>
      <c r="H3774">
        <f t="shared" si="761"/>
        <v>-1.1769384066472009E-2</v>
      </c>
      <c r="I3774" t="str">
        <f t="shared" si="755"/>
        <v>2025-02</v>
      </c>
      <c r="K3774">
        <v>22433.63</v>
      </c>
      <c r="L3774">
        <f t="shared" si="762"/>
        <v>-1.8149215884817823E-2</v>
      </c>
      <c r="M3774" t="str">
        <f t="shared" si="756"/>
        <v>2025-02</v>
      </c>
      <c r="O3774">
        <v>10522.828020000001</v>
      </c>
      <c r="P3774">
        <f t="shared" si="763"/>
        <v>-4.8945642345478175E-3</v>
      </c>
      <c r="Q3774" t="str">
        <f t="shared" si="757"/>
        <v>2025-02</v>
      </c>
      <c r="S3774">
        <v>12929.4</v>
      </c>
      <c r="T3774">
        <f t="shared" si="764"/>
        <v>-1.6453984677158126E-2</v>
      </c>
      <c r="U3774" t="str">
        <f t="shared" si="758"/>
        <v>2025-02</v>
      </c>
      <c r="W3774">
        <v>38348.160000000003</v>
      </c>
      <c r="X3774">
        <f t="shared" si="765"/>
        <v>-5.3571990919910328E-3</v>
      </c>
      <c r="Y3774">
        <f t="shared" si="766"/>
        <v>-5.3428748915485868E-3</v>
      </c>
      <c r="Z3774" t="str">
        <f t="shared" si="759"/>
        <v>2025-02</v>
      </c>
    </row>
    <row r="3775" spans="1:26" x14ac:dyDescent="0.35">
      <c r="A3775" s="1">
        <v>45708</v>
      </c>
      <c r="C3775">
        <v>5461.03</v>
      </c>
      <c r="D3775">
        <f t="shared" si="760"/>
        <v>-2.5635860908592066E-5</v>
      </c>
      <c r="E3775" t="str">
        <f t="shared" si="754"/>
        <v>2025-02</v>
      </c>
      <c r="G3775">
        <v>8122.58</v>
      </c>
      <c r="H3775">
        <f t="shared" si="761"/>
        <v>1.4833873226802259E-3</v>
      </c>
      <c r="I3775" t="str">
        <f t="shared" si="755"/>
        <v>2025-02</v>
      </c>
      <c r="K3775">
        <v>22314.65</v>
      </c>
      <c r="L3775">
        <f t="shared" si="762"/>
        <v>-5.3177588225414808E-3</v>
      </c>
      <c r="M3775" t="str">
        <f t="shared" si="756"/>
        <v>2025-02</v>
      </c>
      <c r="O3775">
        <v>10450.239240000001</v>
      </c>
      <c r="P3775">
        <f t="shared" si="763"/>
        <v>-6.9221224483339344E-3</v>
      </c>
      <c r="Q3775" t="str">
        <f t="shared" si="757"/>
        <v>2025-02</v>
      </c>
      <c r="S3775">
        <v>12967.1</v>
      </c>
      <c r="T3775">
        <f t="shared" si="764"/>
        <v>2.9115924262406558E-3</v>
      </c>
      <c r="U3775" t="str">
        <f t="shared" si="758"/>
        <v>2025-02</v>
      </c>
      <c r="W3775">
        <v>38249.03</v>
      </c>
      <c r="X3775">
        <f t="shared" si="765"/>
        <v>-2.5883470488613589E-3</v>
      </c>
      <c r="Y3775">
        <f t="shared" si="766"/>
        <v>-2.5850001668920922E-3</v>
      </c>
      <c r="Z3775" t="str">
        <f t="shared" si="759"/>
        <v>2025-02</v>
      </c>
    </row>
    <row r="3776" spans="1:26" x14ac:dyDescent="0.35">
      <c r="A3776" s="1">
        <v>45709</v>
      </c>
      <c r="C3776">
        <v>5474.85</v>
      </c>
      <c r="D3776">
        <f t="shared" si="760"/>
        <v>2.5274614126922774E-3</v>
      </c>
      <c r="E3776" t="str">
        <f t="shared" si="754"/>
        <v>2025-02</v>
      </c>
      <c r="G3776">
        <v>8154.51</v>
      </c>
      <c r="H3776">
        <f t="shared" si="761"/>
        <v>3.9233107338613538E-3</v>
      </c>
      <c r="I3776" t="str">
        <f t="shared" si="755"/>
        <v>2025-02</v>
      </c>
      <c r="K3776">
        <v>22287.56</v>
      </c>
      <c r="L3776">
        <f t="shared" si="762"/>
        <v>-1.2147381634740767E-3</v>
      </c>
      <c r="M3776" t="str">
        <f t="shared" si="756"/>
        <v>2025-02</v>
      </c>
      <c r="O3776">
        <v>10465.23307</v>
      </c>
      <c r="P3776">
        <f t="shared" si="763"/>
        <v>1.433755102086938E-3</v>
      </c>
      <c r="Q3776" t="str">
        <f t="shared" si="757"/>
        <v>2025-02</v>
      </c>
      <c r="S3776">
        <v>12952</v>
      </c>
      <c r="T3776">
        <f t="shared" si="764"/>
        <v>-1.1651640456900253E-3</v>
      </c>
      <c r="U3776" t="str">
        <f t="shared" si="758"/>
        <v>2025-02</v>
      </c>
      <c r="W3776">
        <v>38421.050000000003</v>
      </c>
      <c r="X3776">
        <f t="shared" si="765"/>
        <v>4.4872860089797666E-3</v>
      </c>
      <c r="Y3776">
        <f t="shared" si="766"/>
        <v>4.4973689528859705E-3</v>
      </c>
      <c r="Z3776" t="str">
        <f t="shared" si="759"/>
        <v>2025-02</v>
      </c>
    </row>
    <row r="3777" spans="1:26" x14ac:dyDescent="0.35">
      <c r="A3777" s="1">
        <v>45712</v>
      </c>
      <c r="C3777">
        <v>5453.76</v>
      </c>
      <c r="D3777">
        <f t="shared" si="760"/>
        <v>-3.8595990122440634E-3</v>
      </c>
      <c r="E3777" t="str">
        <f t="shared" si="754"/>
        <v>2025-02</v>
      </c>
      <c r="G3777">
        <v>8090.99</v>
      </c>
      <c r="H3777">
        <f t="shared" si="761"/>
        <v>-7.8200515470715527E-3</v>
      </c>
      <c r="I3777" t="str">
        <f t="shared" si="755"/>
        <v>2025-02</v>
      </c>
      <c r="K3777">
        <v>22425.93</v>
      </c>
      <c r="L3777">
        <f t="shared" si="762"/>
        <v>6.1892033792292252E-3</v>
      </c>
      <c r="M3777" t="str">
        <f t="shared" si="756"/>
        <v>2025-02</v>
      </c>
      <c r="O3777">
        <v>10450.63565</v>
      </c>
      <c r="P3777">
        <f t="shared" si="763"/>
        <v>-1.3958227186690658E-3</v>
      </c>
      <c r="Q3777" t="str">
        <f t="shared" si="757"/>
        <v>2025-02</v>
      </c>
      <c r="S3777">
        <v>13012.9</v>
      </c>
      <c r="T3777">
        <f t="shared" si="764"/>
        <v>4.6909567666902317E-3</v>
      </c>
      <c r="U3777" t="str">
        <f t="shared" si="758"/>
        <v>2025-02</v>
      </c>
      <c r="W3777">
        <v>38472.559999999998</v>
      </c>
      <c r="X3777">
        <f t="shared" si="765"/>
        <v>1.3397734273367442E-3</v>
      </c>
      <c r="Y3777">
        <f t="shared" si="766"/>
        <v>1.3406713247033789E-3</v>
      </c>
      <c r="Z3777" t="str">
        <f t="shared" si="759"/>
        <v>2025-02</v>
      </c>
    </row>
    <row r="3778" spans="1:26" x14ac:dyDescent="0.35">
      <c r="A3778" s="1">
        <v>45713</v>
      </c>
      <c r="C3778">
        <v>5447.9</v>
      </c>
      <c r="D3778">
        <f t="shared" si="760"/>
        <v>-1.07506573575035E-3</v>
      </c>
      <c r="E3778" t="str">
        <f t="shared" si="754"/>
        <v>2025-02</v>
      </c>
      <c r="G3778">
        <v>8051.07</v>
      </c>
      <c r="H3778">
        <f t="shared" si="761"/>
        <v>-4.9460950316206525E-3</v>
      </c>
      <c r="I3778" t="str">
        <f t="shared" si="755"/>
        <v>2025-02</v>
      </c>
      <c r="K3778">
        <v>22410.27</v>
      </c>
      <c r="L3778">
        <f t="shared" si="762"/>
        <v>-6.9854272381648615E-4</v>
      </c>
      <c r="M3778" t="str">
        <f t="shared" si="756"/>
        <v>2025-02</v>
      </c>
      <c r="O3778">
        <v>10452.425080000001</v>
      </c>
      <c r="P3778">
        <f t="shared" si="763"/>
        <v>1.7121224757338032E-4</v>
      </c>
      <c r="Q3778" t="str">
        <f t="shared" si="757"/>
        <v>2025-02</v>
      </c>
      <c r="S3778">
        <v>13116.8</v>
      </c>
      <c r="T3778">
        <f t="shared" si="764"/>
        <v>7.9526781858571712E-3</v>
      </c>
      <c r="U3778" t="str">
        <f t="shared" si="758"/>
        <v>2025-02</v>
      </c>
      <c r="W3778">
        <v>38714.519999999997</v>
      </c>
      <c r="X3778">
        <f t="shared" si="765"/>
        <v>6.269463556412596E-3</v>
      </c>
      <c r="Y3778">
        <f t="shared" si="766"/>
        <v>6.2891577789468429E-3</v>
      </c>
      <c r="Z3778" t="str">
        <f t="shared" si="759"/>
        <v>2025-02</v>
      </c>
    </row>
    <row r="3779" spans="1:26" x14ac:dyDescent="0.35">
      <c r="A3779" s="1">
        <v>45714</v>
      </c>
      <c r="C3779">
        <v>5527.99</v>
      </c>
      <c r="D3779">
        <f t="shared" si="760"/>
        <v>1.459406417224458E-2</v>
      </c>
      <c r="E3779" t="str">
        <f t="shared" si="754"/>
        <v>2025-02</v>
      </c>
      <c r="G3779">
        <v>8143.92</v>
      </c>
      <c r="H3779">
        <f t="shared" si="761"/>
        <v>1.1466634725059042E-2</v>
      </c>
      <c r="I3779" t="str">
        <f t="shared" si="755"/>
        <v>2025-02</v>
      </c>
      <c r="K3779">
        <v>22794.11</v>
      </c>
      <c r="L3779">
        <f t="shared" si="762"/>
        <v>1.698283332023047E-2</v>
      </c>
      <c r="M3779" t="str">
        <f t="shared" si="756"/>
        <v>2025-02</v>
      </c>
      <c r="O3779">
        <v>10555.472229999999</v>
      </c>
      <c r="P3779">
        <f t="shared" si="763"/>
        <v>9.8104036735067596E-3</v>
      </c>
      <c r="Q3779" t="str">
        <f t="shared" si="757"/>
        <v>2025-02</v>
      </c>
      <c r="S3779">
        <v>13332</v>
      </c>
      <c r="T3779">
        <f t="shared" si="764"/>
        <v>1.6273309117612041E-2</v>
      </c>
      <c r="U3779" t="str">
        <f t="shared" si="758"/>
        <v>2025-02</v>
      </c>
      <c r="W3779">
        <v>39224.71</v>
      </c>
      <c r="X3779">
        <f t="shared" si="765"/>
        <v>1.3092181881068659E-2</v>
      </c>
      <c r="Y3779">
        <f t="shared" si="766"/>
        <v>1.3178259733040791E-2</v>
      </c>
      <c r="Z3779" t="str">
        <f t="shared" si="759"/>
        <v>2025-02</v>
      </c>
    </row>
    <row r="3780" spans="1:26" x14ac:dyDescent="0.35">
      <c r="A3780" s="1">
        <v>45715</v>
      </c>
      <c r="C3780">
        <v>5472.56</v>
      </c>
      <c r="D3780">
        <f t="shared" si="760"/>
        <v>-1.0077763225989756E-2</v>
      </c>
      <c r="E3780" t="str">
        <f t="shared" ref="E3780:E3819" si="767">_xlfn.CONCAT(YEAR(A3780),"-",TEXT(MONTH(A3780),"00"))</f>
        <v>2025-02</v>
      </c>
      <c r="G3780">
        <v>8102.52</v>
      </c>
      <c r="H3780">
        <f t="shared" si="761"/>
        <v>-5.0965121727303241E-3</v>
      </c>
      <c r="I3780" t="str">
        <f t="shared" ref="I3780:I3819" si="768">_xlfn.CONCAT(YEAR(A3780),"-",TEXT(MONTH(A3780),"00"))</f>
        <v>2025-02</v>
      </c>
      <c r="K3780">
        <v>22550.89</v>
      </c>
      <c r="L3780">
        <f t="shared" si="762"/>
        <v>-1.0727636234182174E-2</v>
      </c>
      <c r="M3780" t="str">
        <f t="shared" ref="M3780:M3819" si="769">_xlfn.CONCAT(YEAR(A3780),"-",TEXT(MONTH(A3780),"00"))</f>
        <v>2025-02</v>
      </c>
      <c r="O3780">
        <v>10612.28757</v>
      </c>
      <c r="P3780">
        <f t="shared" si="763"/>
        <v>5.3681142428294321E-3</v>
      </c>
      <c r="Q3780" t="str">
        <f t="shared" ref="Q3780:Q3819" si="770">_xlfn.CONCAT(YEAR(A3780),"-",TEXT(MONTH(A3780),"00"))</f>
        <v>2025-02</v>
      </c>
      <c r="S3780">
        <v>13270.6</v>
      </c>
      <c r="T3780">
        <f t="shared" si="764"/>
        <v>-4.61609835337576E-3</v>
      </c>
      <c r="U3780" t="str">
        <f t="shared" ref="U3780:U3819" si="771">_xlfn.CONCAT(YEAR(A3780),"-",TEXT(MONTH(A3780),"00"))</f>
        <v>2025-02</v>
      </c>
      <c r="W3780">
        <v>38622.839999999997</v>
      </c>
      <c r="X3780">
        <f t="shared" si="765"/>
        <v>-1.5463094023561023E-2</v>
      </c>
      <c r="Y3780">
        <f t="shared" si="766"/>
        <v>-1.5344154233390193E-2</v>
      </c>
      <c r="Z3780" t="str">
        <f t="shared" ref="Z3780:Z3819" si="772">_xlfn.CONCAT(YEAR(A3780),"-",TEXT(MONTH(A3780),"00"))</f>
        <v>2025-02</v>
      </c>
    </row>
    <row r="3781" spans="1:26" x14ac:dyDescent="0.35">
      <c r="A3781" s="1">
        <v>45716</v>
      </c>
      <c r="C3781">
        <v>5463.54</v>
      </c>
      <c r="D3781">
        <f t="shared" ref="D3781:D3819" si="773">LN(C3781/C3780)</f>
        <v>-1.6495829492010465E-3</v>
      </c>
      <c r="E3781" t="str">
        <f t="shared" si="767"/>
        <v>2025-02</v>
      </c>
      <c r="G3781">
        <v>8111.63</v>
      </c>
      <c r="H3781">
        <f t="shared" ref="H3781:H3819" si="774">LN(G3781/G3780)</f>
        <v>1.1237099642740387E-3</v>
      </c>
      <c r="I3781" t="str">
        <f t="shared" si="768"/>
        <v>2025-02</v>
      </c>
      <c r="K3781">
        <v>22551.43</v>
      </c>
      <c r="L3781">
        <f t="shared" ref="L3781:L3819" si="775">LN(K3781/K3780)</f>
        <v>2.3945553134628035E-5</v>
      </c>
      <c r="M3781" t="str">
        <f t="shared" si="769"/>
        <v>2025-02</v>
      </c>
      <c r="O3781">
        <v>10667.945229999999</v>
      </c>
      <c r="P3781">
        <f t="shared" ref="P3781:P3819" si="776">LN(O3781/O3780)</f>
        <v>5.2309377848512428E-3</v>
      </c>
      <c r="Q3781" t="str">
        <f t="shared" si="770"/>
        <v>2025-02</v>
      </c>
      <c r="S3781">
        <v>13347.3</v>
      </c>
      <c r="T3781">
        <f t="shared" ref="T3781:T3819" si="777">LN(S3781/S3780)</f>
        <v>5.7630551084086887E-3</v>
      </c>
      <c r="U3781" t="str">
        <f t="shared" si="771"/>
        <v>2025-02</v>
      </c>
      <c r="W3781">
        <v>38655.089999999997</v>
      </c>
      <c r="X3781">
        <f t="shared" ref="X3781:X3819" si="778">LN(W3781/W3780)</f>
        <v>8.3464973433474549E-4</v>
      </c>
      <c r="Y3781">
        <f t="shared" ref="Y3781:Y3819" si="779">(W3781-W3780)/W3780</f>
        <v>8.3499815135293007E-4</v>
      </c>
      <c r="Z3781" t="str">
        <f t="shared" si="772"/>
        <v>2025-02</v>
      </c>
    </row>
    <row r="3782" spans="1:26" x14ac:dyDescent="0.35">
      <c r="A3782" s="1">
        <v>45719</v>
      </c>
      <c r="C3782">
        <v>5540.69</v>
      </c>
      <c r="D3782">
        <f t="shared" si="773"/>
        <v>1.4022110424066416E-2</v>
      </c>
      <c r="E3782" t="str">
        <f t="shared" si="767"/>
        <v>2025-03</v>
      </c>
      <c r="G3782">
        <v>8199.7099999999991</v>
      </c>
      <c r="H3782">
        <f t="shared" si="774"/>
        <v>1.0799953422410481E-2</v>
      </c>
      <c r="I3782" t="str">
        <f t="shared" si="768"/>
        <v>2025-03</v>
      </c>
      <c r="K3782">
        <v>23147.02</v>
      </c>
      <c r="L3782">
        <f t="shared" si="775"/>
        <v>2.6067567972224315E-2</v>
      </c>
      <c r="M3782" t="str">
        <f t="shared" si="769"/>
        <v>2025-03</v>
      </c>
      <c r="O3782">
        <v>10752.795539999999</v>
      </c>
      <c r="P3782">
        <f t="shared" si="776"/>
        <v>7.922298738184879E-3</v>
      </c>
      <c r="Q3782" t="str">
        <f t="shared" si="770"/>
        <v>2025-03</v>
      </c>
      <c r="S3782">
        <v>13373.1</v>
      </c>
      <c r="T3782">
        <f t="shared" si="777"/>
        <v>1.9311094158578665E-3</v>
      </c>
      <c r="U3782" t="str">
        <f t="shared" si="771"/>
        <v>2025-03</v>
      </c>
      <c r="W3782">
        <v>39069.4</v>
      </c>
      <c r="X3782">
        <f t="shared" si="778"/>
        <v>1.0661090839177179E-2</v>
      </c>
      <c r="Y3782">
        <f t="shared" si="779"/>
        <v>1.0718122762099505E-2</v>
      </c>
      <c r="Z3782" t="str">
        <f t="shared" si="772"/>
        <v>2025-03</v>
      </c>
    </row>
    <row r="3783" spans="1:26" x14ac:dyDescent="0.35">
      <c r="A3783" s="1">
        <v>45720</v>
      </c>
      <c r="C3783">
        <v>5387.31</v>
      </c>
      <c r="D3783">
        <f t="shared" si="773"/>
        <v>-2.8072853753473015E-2</v>
      </c>
      <c r="E3783" t="str">
        <f t="shared" si="767"/>
        <v>2025-03</v>
      </c>
      <c r="G3783">
        <v>8047.92</v>
      </c>
      <c r="H3783">
        <f t="shared" si="774"/>
        <v>-1.8685114841037381E-2</v>
      </c>
      <c r="I3783" t="str">
        <f t="shared" si="768"/>
        <v>2025-03</v>
      </c>
      <c r="K3783">
        <v>22326.81</v>
      </c>
      <c r="L3783">
        <f t="shared" si="775"/>
        <v>-3.6077848040279144E-2</v>
      </c>
      <c r="M3783" t="str">
        <f t="shared" si="769"/>
        <v>2025-03</v>
      </c>
      <c r="O3783">
        <v>10588.569149999999</v>
      </c>
      <c r="P3783">
        <f t="shared" si="776"/>
        <v>-1.5390733828787771E-2</v>
      </c>
      <c r="Q3783" t="str">
        <f t="shared" si="770"/>
        <v>2025-03</v>
      </c>
      <c r="S3783">
        <v>13031.7</v>
      </c>
      <c r="T3783">
        <f t="shared" si="777"/>
        <v>-2.5860375839437146E-2</v>
      </c>
      <c r="U3783" t="str">
        <f t="shared" si="771"/>
        <v>2025-03</v>
      </c>
      <c r="W3783">
        <v>37736.160000000003</v>
      </c>
      <c r="X3783">
        <f t="shared" si="778"/>
        <v>-3.4720765941600416E-2</v>
      </c>
      <c r="Y3783">
        <f t="shared" si="779"/>
        <v>-3.4124916174806827E-2</v>
      </c>
      <c r="Z3783" t="str">
        <f t="shared" si="772"/>
        <v>2025-03</v>
      </c>
    </row>
    <row r="3784" spans="1:26" x14ac:dyDescent="0.35">
      <c r="A3784" s="1">
        <v>45721</v>
      </c>
      <c r="C3784">
        <v>5489.12</v>
      </c>
      <c r="D3784">
        <f t="shared" si="773"/>
        <v>1.872176324778195E-2</v>
      </c>
      <c r="E3784" t="str">
        <f t="shared" si="767"/>
        <v>2025-03</v>
      </c>
      <c r="G3784">
        <v>8173.75</v>
      </c>
      <c r="H3784">
        <f t="shared" si="774"/>
        <v>1.5514126943223705E-2</v>
      </c>
      <c r="I3784" t="str">
        <f t="shared" si="768"/>
        <v>2025-03</v>
      </c>
      <c r="K3784">
        <v>23081.03</v>
      </c>
      <c r="L3784">
        <f t="shared" si="775"/>
        <v>3.3222869522986427E-2</v>
      </c>
      <c r="M3784" t="str">
        <f t="shared" si="769"/>
        <v>2025-03</v>
      </c>
      <c r="O3784">
        <v>10456.67308</v>
      </c>
      <c r="P3784">
        <f t="shared" si="776"/>
        <v>-1.2534690311119602E-2</v>
      </c>
      <c r="Q3784" t="str">
        <f t="shared" si="770"/>
        <v>2025-03</v>
      </c>
      <c r="S3784">
        <v>13214</v>
      </c>
      <c r="T3784">
        <f t="shared" si="777"/>
        <v>1.3892022830746909E-2</v>
      </c>
      <c r="U3784" t="str">
        <f t="shared" si="771"/>
        <v>2025-03</v>
      </c>
      <c r="W3784">
        <v>38519.4</v>
      </c>
      <c r="X3784">
        <f t="shared" si="778"/>
        <v>2.0543224528613152E-2</v>
      </c>
      <c r="Y3784">
        <f t="shared" si="779"/>
        <v>2.0755688973122806E-2</v>
      </c>
      <c r="Z3784" t="str">
        <f t="shared" si="772"/>
        <v>2025-03</v>
      </c>
    </row>
    <row r="3785" spans="1:26" x14ac:dyDescent="0.35">
      <c r="A3785" s="1">
        <v>45722</v>
      </c>
      <c r="C3785">
        <v>5520.47</v>
      </c>
      <c r="D3785">
        <f t="shared" si="773"/>
        <v>5.6950503575029666E-3</v>
      </c>
      <c r="E3785" t="str">
        <f t="shared" si="767"/>
        <v>2025-03</v>
      </c>
      <c r="G3785">
        <v>8197.67</v>
      </c>
      <c r="H3785">
        <f t="shared" si="774"/>
        <v>2.9221676581747185E-3</v>
      </c>
      <c r="I3785" t="str">
        <f t="shared" si="768"/>
        <v>2025-03</v>
      </c>
      <c r="K3785">
        <v>23419.48</v>
      </c>
      <c r="L3785">
        <f t="shared" si="775"/>
        <v>1.4557086650843551E-2</v>
      </c>
      <c r="M3785" t="str">
        <f t="shared" si="769"/>
        <v>2025-03</v>
      </c>
      <c r="O3785">
        <v>10364.401400000001</v>
      </c>
      <c r="P3785">
        <f t="shared" si="776"/>
        <v>-8.8633546892613636E-3</v>
      </c>
      <c r="Q3785" t="str">
        <f t="shared" si="770"/>
        <v>2025-03</v>
      </c>
      <c r="S3785">
        <v>13234.2</v>
      </c>
      <c r="T3785">
        <f t="shared" si="777"/>
        <v>1.5275144567663595E-3</v>
      </c>
      <c r="U3785" t="str">
        <f t="shared" si="771"/>
        <v>2025-03</v>
      </c>
      <c r="W3785">
        <v>38779.67</v>
      </c>
      <c r="X3785">
        <f t="shared" si="778"/>
        <v>6.7341297526736857E-3</v>
      </c>
      <c r="Y3785">
        <f t="shared" si="779"/>
        <v>6.7568549873569363E-3</v>
      </c>
      <c r="Z3785" t="str">
        <f t="shared" si="772"/>
        <v>2025-03</v>
      </c>
    </row>
    <row r="3786" spans="1:26" x14ac:dyDescent="0.35">
      <c r="A3786" s="1">
        <v>45723</v>
      </c>
      <c r="C3786">
        <v>5468.41</v>
      </c>
      <c r="D3786">
        <f t="shared" si="773"/>
        <v>-9.4751038294239674E-3</v>
      </c>
      <c r="E3786" t="str">
        <f t="shared" si="767"/>
        <v>2025-03</v>
      </c>
      <c r="G3786">
        <v>8120.8</v>
      </c>
      <c r="H3786">
        <f t="shared" si="774"/>
        <v>-9.4212960634392062E-3</v>
      </c>
      <c r="I3786" t="str">
        <f t="shared" si="768"/>
        <v>2025-03</v>
      </c>
      <c r="K3786">
        <v>23008.94</v>
      </c>
      <c r="L3786">
        <f t="shared" si="775"/>
        <v>-1.7685318619247818E-2</v>
      </c>
      <c r="M3786" t="str">
        <f t="shared" si="769"/>
        <v>2025-03</v>
      </c>
      <c r="O3786">
        <v>10332.923640000001</v>
      </c>
      <c r="P3786">
        <f t="shared" si="776"/>
        <v>-3.0417248807515793E-3</v>
      </c>
      <c r="Q3786" t="str">
        <f t="shared" si="770"/>
        <v>2025-03</v>
      </c>
      <c r="S3786">
        <v>13257.1</v>
      </c>
      <c r="T3786">
        <f t="shared" si="777"/>
        <v>1.728869908535253E-3</v>
      </c>
      <c r="U3786" t="str">
        <f t="shared" si="771"/>
        <v>2025-03</v>
      </c>
      <c r="W3786">
        <v>38592.81</v>
      </c>
      <c r="X3786">
        <f t="shared" si="778"/>
        <v>-4.8301505468703746E-3</v>
      </c>
      <c r="Y3786">
        <f t="shared" si="779"/>
        <v>-4.8185041285807896E-3</v>
      </c>
      <c r="Z3786" t="str">
        <f t="shared" si="772"/>
        <v>2025-03</v>
      </c>
    </row>
    <row r="3787" spans="1:26" x14ac:dyDescent="0.35">
      <c r="A3787" s="1">
        <v>45726</v>
      </c>
      <c r="C3787">
        <v>5386.98</v>
      </c>
      <c r="D3787">
        <f t="shared" si="773"/>
        <v>-1.5002966712532427E-2</v>
      </c>
      <c r="E3787" t="str">
        <f t="shared" si="767"/>
        <v>2025-03</v>
      </c>
      <c r="G3787">
        <v>8047.6</v>
      </c>
      <c r="H3787">
        <f t="shared" si="774"/>
        <v>-9.0547611551401435E-3</v>
      </c>
      <c r="I3787" t="str">
        <f t="shared" si="768"/>
        <v>2025-03</v>
      </c>
      <c r="K3787">
        <v>22620.95</v>
      </c>
      <c r="L3787">
        <f t="shared" si="775"/>
        <v>-1.7006368021011319E-2</v>
      </c>
      <c r="M3787" t="str">
        <f t="shared" si="769"/>
        <v>2025-03</v>
      </c>
      <c r="O3787">
        <v>10226.558929999999</v>
      </c>
      <c r="P3787">
        <f t="shared" si="776"/>
        <v>-1.0347114389796009E-2</v>
      </c>
      <c r="Q3787" t="str">
        <f t="shared" si="770"/>
        <v>2025-03</v>
      </c>
      <c r="S3787">
        <v>13082.7</v>
      </c>
      <c r="T3787">
        <f t="shared" si="777"/>
        <v>-1.3242511227687614E-2</v>
      </c>
      <c r="U3787" t="str">
        <f t="shared" si="771"/>
        <v>2025-03</v>
      </c>
      <c r="W3787">
        <v>38225.82</v>
      </c>
      <c r="X3787">
        <f t="shared" si="778"/>
        <v>-9.5547861760262361E-3</v>
      </c>
      <c r="Y3787">
        <f t="shared" si="779"/>
        <v>-9.5092842423238413E-3</v>
      </c>
      <c r="Z3787" t="str">
        <f t="shared" si="772"/>
        <v>2025-03</v>
      </c>
    </row>
    <row r="3788" spans="1:26" x14ac:dyDescent="0.35">
      <c r="A3788" s="1">
        <v>45727</v>
      </c>
      <c r="C3788">
        <v>5309.9</v>
      </c>
      <c r="D3788">
        <f t="shared" si="773"/>
        <v>-1.4411928365158335E-2</v>
      </c>
      <c r="E3788" t="str">
        <f t="shared" si="767"/>
        <v>2025-03</v>
      </c>
      <c r="G3788">
        <v>7941.91</v>
      </c>
      <c r="H3788">
        <f t="shared" si="774"/>
        <v>-1.3220109846240467E-2</v>
      </c>
      <c r="I3788" t="str">
        <f t="shared" si="768"/>
        <v>2025-03</v>
      </c>
      <c r="K3788">
        <v>22328.77</v>
      </c>
      <c r="L3788">
        <f t="shared" si="775"/>
        <v>-1.3000486550962408E-2</v>
      </c>
      <c r="M3788" t="str">
        <f t="shared" si="769"/>
        <v>2025-03</v>
      </c>
      <c r="O3788">
        <v>10062.47215</v>
      </c>
      <c r="P3788">
        <f t="shared" si="776"/>
        <v>-1.6175277860324348E-2</v>
      </c>
      <c r="Q3788" t="str">
        <f t="shared" si="770"/>
        <v>2025-03</v>
      </c>
      <c r="S3788">
        <v>12877.3</v>
      </c>
      <c r="T3788">
        <f t="shared" si="777"/>
        <v>-1.5824675373172632E-2</v>
      </c>
      <c r="U3788" t="str">
        <f t="shared" si="771"/>
        <v>2025-03</v>
      </c>
      <c r="W3788">
        <v>37698.31</v>
      </c>
      <c r="X3788">
        <f t="shared" si="778"/>
        <v>-1.3895937651430353E-2</v>
      </c>
      <c r="Y3788">
        <f t="shared" si="779"/>
        <v>-1.3799834771366632E-2</v>
      </c>
      <c r="Z3788" t="str">
        <f t="shared" si="772"/>
        <v>2025-03</v>
      </c>
    </row>
    <row r="3789" spans="1:26" x14ac:dyDescent="0.35">
      <c r="A3789" s="1">
        <v>45728</v>
      </c>
      <c r="C3789">
        <v>5359.42</v>
      </c>
      <c r="D3789">
        <f t="shared" si="773"/>
        <v>9.2827575876734299E-3</v>
      </c>
      <c r="E3789" t="str">
        <f t="shared" si="767"/>
        <v>2025-03</v>
      </c>
      <c r="G3789">
        <v>7988.96</v>
      </c>
      <c r="H3789">
        <f t="shared" si="774"/>
        <v>5.9067881162004933E-3</v>
      </c>
      <c r="I3789" t="str">
        <f t="shared" si="768"/>
        <v>2025-03</v>
      </c>
      <c r="K3789">
        <v>22676.41</v>
      </c>
      <c r="L3789">
        <f t="shared" si="775"/>
        <v>1.5449195602100162E-2</v>
      </c>
      <c r="M3789" t="str">
        <f t="shared" si="769"/>
        <v>2025-03</v>
      </c>
      <c r="O3789">
        <v>10154.09902</v>
      </c>
      <c r="P3789">
        <f t="shared" si="776"/>
        <v>9.0645932606076857E-3</v>
      </c>
      <c r="Q3789" t="str">
        <f t="shared" si="770"/>
        <v>2025-03</v>
      </c>
      <c r="S3789">
        <v>12804</v>
      </c>
      <c r="T3789">
        <f t="shared" si="777"/>
        <v>-5.7084492645187055E-3</v>
      </c>
      <c r="U3789" t="str">
        <f t="shared" si="771"/>
        <v>2025-03</v>
      </c>
      <c r="W3789">
        <v>38307.11</v>
      </c>
      <c r="X3789">
        <f t="shared" si="778"/>
        <v>1.6020252781398132E-2</v>
      </c>
      <c r="Y3789">
        <f t="shared" si="779"/>
        <v>1.6149265046629488E-2</v>
      </c>
      <c r="Z3789" t="str">
        <f t="shared" si="772"/>
        <v>2025-03</v>
      </c>
    </row>
    <row r="3790" spans="1:26" x14ac:dyDescent="0.35">
      <c r="A3790" s="1">
        <v>45729</v>
      </c>
      <c r="C3790">
        <v>5328.39</v>
      </c>
      <c r="D3790">
        <f t="shared" si="773"/>
        <v>-5.8066315150464591E-3</v>
      </c>
      <c r="E3790" t="str">
        <f t="shared" si="767"/>
        <v>2025-03</v>
      </c>
      <c r="G3790">
        <v>7938.21</v>
      </c>
      <c r="H3790">
        <f t="shared" si="774"/>
        <v>-6.3727795655036355E-3</v>
      </c>
      <c r="I3790" t="str">
        <f t="shared" si="768"/>
        <v>2025-03</v>
      </c>
      <c r="K3790">
        <v>22567.14</v>
      </c>
      <c r="L3790">
        <f t="shared" si="775"/>
        <v>-4.8303111694977634E-3</v>
      </c>
      <c r="M3790" t="str">
        <f t="shared" si="769"/>
        <v>2025-03</v>
      </c>
      <c r="O3790">
        <v>10183.39257</v>
      </c>
      <c r="P3790">
        <f t="shared" si="776"/>
        <v>2.8807456542565093E-3</v>
      </c>
      <c r="Q3790" t="str">
        <f t="shared" si="770"/>
        <v>2025-03</v>
      </c>
      <c r="S3790">
        <v>12821.3</v>
      </c>
      <c r="T3790">
        <f t="shared" si="777"/>
        <v>1.3502283000256998E-3</v>
      </c>
      <c r="U3790" t="str">
        <f t="shared" si="771"/>
        <v>2025-03</v>
      </c>
      <c r="W3790">
        <v>37999.730000000003</v>
      </c>
      <c r="X3790">
        <f t="shared" si="778"/>
        <v>-8.0564642063845164E-3</v>
      </c>
      <c r="Y3790">
        <f t="shared" si="779"/>
        <v>-8.0240978763471676E-3</v>
      </c>
      <c r="Z3790" t="str">
        <f t="shared" si="772"/>
        <v>2025-03</v>
      </c>
    </row>
    <row r="3791" spans="1:26" x14ac:dyDescent="0.35">
      <c r="A3791" s="1">
        <v>45730</v>
      </c>
      <c r="C3791">
        <v>5404.18</v>
      </c>
      <c r="D3791">
        <f t="shared" si="773"/>
        <v>1.4123599446054156E-2</v>
      </c>
      <c r="E3791" t="str">
        <f t="shared" si="767"/>
        <v>2025-03</v>
      </c>
      <c r="G3791">
        <v>8028.28</v>
      </c>
      <c r="H3791">
        <f t="shared" si="774"/>
        <v>1.1282499215724809E-2</v>
      </c>
      <c r="I3791" t="str">
        <f t="shared" si="768"/>
        <v>2025-03</v>
      </c>
      <c r="K3791">
        <v>22986.82</v>
      </c>
      <c r="L3791">
        <f t="shared" si="775"/>
        <v>1.8426142279355816E-2</v>
      </c>
      <c r="M3791" t="str">
        <f t="shared" si="769"/>
        <v>2025-03</v>
      </c>
      <c r="O3791">
        <v>10255.353999999999</v>
      </c>
      <c r="P3791">
        <f t="shared" si="776"/>
        <v>7.0416967211637694E-3</v>
      </c>
      <c r="Q3791" t="str">
        <f t="shared" si="770"/>
        <v>2025-03</v>
      </c>
      <c r="S3791">
        <v>13005.2</v>
      </c>
      <c r="T3791">
        <f t="shared" si="777"/>
        <v>1.4241427075221297E-2</v>
      </c>
      <c r="U3791" t="str">
        <f t="shared" si="771"/>
        <v>2025-03</v>
      </c>
      <c r="W3791">
        <v>38655.300000000003</v>
      </c>
      <c r="X3791">
        <f t="shared" si="778"/>
        <v>1.7104839266695912E-2</v>
      </c>
      <c r="Y3791">
        <f t="shared" si="779"/>
        <v>1.7251964685012226E-2</v>
      </c>
      <c r="Z3791" t="str">
        <f t="shared" si="772"/>
        <v>2025-03</v>
      </c>
    </row>
    <row r="3792" spans="1:26" x14ac:dyDescent="0.35">
      <c r="A3792" s="1">
        <v>45733</v>
      </c>
      <c r="C3792">
        <v>5445.55</v>
      </c>
      <c r="D3792">
        <f t="shared" si="773"/>
        <v>7.6260331812741805E-3</v>
      </c>
      <c r="E3792" t="str">
        <f t="shared" si="767"/>
        <v>2025-03</v>
      </c>
      <c r="G3792">
        <v>8073.98</v>
      </c>
      <c r="H3792">
        <f t="shared" si="774"/>
        <v>5.6762370876098037E-3</v>
      </c>
      <c r="I3792" t="str">
        <f t="shared" si="768"/>
        <v>2025-03</v>
      </c>
      <c r="K3792">
        <v>23154.57</v>
      </c>
      <c r="L3792">
        <f t="shared" si="775"/>
        <v>7.2711610584276082E-3</v>
      </c>
      <c r="M3792" t="str">
        <f t="shared" si="769"/>
        <v>2025-03</v>
      </c>
      <c r="O3792">
        <v>10332.201520000001</v>
      </c>
      <c r="P3792">
        <f t="shared" si="776"/>
        <v>7.4654688205558995E-3</v>
      </c>
      <c r="Q3792" t="str">
        <f t="shared" si="770"/>
        <v>2025-03</v>
      </c>
      <c r="S3792">
        <v>13147.2</v>
      </c>
      <c r="T3792">
        <f t="shared" si="777"/>
        <v>1.0859530711922765E-2</v>
      </c>
      <c r="U3792" t="str">
        <f t="shared" si="771"/>
        <v>2025-03</v>
      </c>
      <c r="W3792">
        <v>39022.400000000001</v>
      </c>
      <c r="X3792">
        <f t="shared" si="778"/>
        <v>9.4519465183392215E-3</v>
      </c>
      <c r="Y3792">
        <f t="shared" si="779"/>
        <v>9.4967572363944541E-3</v>
      </c>
      <c r="Z3792" t="str">
        <f t="shared" si="772"/>
        <v>2025-03</v>
      </c>
    </row>
    <row r="3793" spans="1:26" x14ac:dyDescent="0.35">
      <c r="A3793" s="1">
        <v>45734</v>
      </c>
      <c r="C3793">
        <v>5485.01</v>
      </c>
      <c r="D3793">
        <f t="shared" si="773"/>
        <v>7.2201554948310726E-3</v>
      </c>
      <c r="E3793" t="str">
        <f t="shared" si="767"/>
        <v>2025-03</v>
      </c>
      <c r="G3793">
        <v>8114.57</v>
      </c>
      <c r="H3793">
        <f t="shared" si="774"/>
        <v>5.0146659286059566E-3</v>
      </c>
      <c r="I3793" t="str">
        <f t="shared" si="768"/>
        <v>2025-03</v>
      </c>
      <c r="K3793">
        <v>23380.7</v>
      </c>
      <c r="L3793">
        <f t="shared" si="775"/>
        <v>9.7187264583360588E-3</v>
      </c>
      <c r="M3793" t="str">
        <f t="shared" si="769"/>
        <v>2025-03</v>
      </c>
      <c r="O3793">
        <v>10338.95125</v>
      </c>
      <c r="P3793">
        <f t="shared" si="776"/>
        <v>6.5305794166287828E-4</v>
      </c>
      <c r="Q3793" t="str">
        <f t="shared" si="770"/>
        <v>2025-03</v>
      </c>
      <c r="S3793">
        <v>13354.7</v>
      </c>
      <c r="T3793">
        <f t="shared" si="777"/>
        <v>1.565957461801205E-2</v>
      </c>
      <c r="U3793" t="str">
        <f t="shared" si="771"/>
        <v>2025-03</v>
      </c>
      <c r="W3793">
        <v>39533.71</v>
      </c>
      <c r="X3793">
        <f t="shared" si="778"/>
        <v>1.3017885451725966E-2</v>
      </c>
      <c r="Y3793">
        <f t="shared" si="779"/>
        <v>1.3102987002337059E-2</v>
      </c>
      <c r="Z3793" t="str">
        <f t="shared" si="772"/>
        <v>2025-03</v>
      </c>
    </row>
    <row r="3794" spans="1:26" x14ac:dyDescent="0.35">
      <c r="A3794" s="1">
        <v>45735</v>
      </c>
      <c r="C3794">
        <v>5507.36</v>
      </c>
      <c r="D3794">
        <f t="shared" si="773"/>
        <v>4.0664626097031238E-3</v>
      </c>
      <c r="E3794" t="str">
        <f t="shared" si="767"/>
        <v>2025-03</v>
      </c>
      <c r="G3794">
        <v>8171.47</v>
      </c>
      <c r="H3794">
        <f t="shared" si="774"/>
        <v>6.9876079783154597E-3</v>
      </c>
      <c r="I3794" t="str">
        <f t="shared" si="768"/>
        <v>2025-03</v>
      </c>
      <c r="K3794">
        <v>23288.06</v>
      </c>
      <c r="L3794">
        <f t="shared" si="775"/>
        <v>-3.9701128412682396E-3</v>
      </c>
      <c r="M3794" t="str">
        <f t="shared" si="769"/>
        <v>2025-03</v>
      </c>
      <c r="O3794">
        <v>10384.714529999999</v>
      </c>
      <c r="P3794">
        <f t="shared" si="776"/>
        <v>4.4165308274154843E-3</v>
      </c>
      <c r="Q3794" t="str">
        <f t="shared" si="770"/>
        <v>2025-03</v>
      </c>
      <c r="S3794">
        <v>13408.1</v>
      </c>
      <c r="T3794">
        <f t="shared" si="777"/>
        <v>3.9906191330064686E-3</v>
      </c>
      <c r="U3794" t="str">
        <f t="shared" si="771"/>
        <v>2025-03</v>
      </c>
      <c r="W3794">
        <v>39712.660000000003</v>
      </c>
      <c r="X3794">
        <f t="shared" si="778"/>
        <v>4.5163028709085057E-3</v>
      </c>
      <c r="Y3794">
        <f t="shared" si="779"/>
        <v>4.5265167372352446E-3</v>
      </c>
      <c r="Z3794" t="str">
        <f t="shared" si="772"/>
        <v>2025-03</v>
      </c>
    </row>
    <row r="3795" spans="1:26" x14ac:dyDescent="0.35">
      <c r="A3795" s="1">
        <v>45736</v>
      </c>
      <c r="C3795">
        <v>5450.93</v>
      </c>
      <c r="D3795">
        <f t="shared" si="773"/>
        <v>-1.0299143170028115E-2</v>
      </c>
      <c r="E3795" t="str">
        <f t="shared" si="767"/>
        <v>2025-03</v>
      </c>
      <c r="G3795">
        <v>8094.2</v>
      </c>
      <c r="H3795">
        <f t="shared" si="774"/>
        <v>-9.501063437784011E-3</v>
      </c>
      <c r="I3795" t="str">
        <f t="shared" si="768"/>
        <v>2025-03</v>
      </c>
      <c r="K3795">
        <v>22999.15</v>
      </c>
      <c r="L3795">
        <f t="shared" si="775"/>
        <v>-1.2483524149716648E-2</v>
      </c>
      <c r="M3795" t="str">
        <f t="shared" si="769"/>
        <v>2025-03</v>
      </c>
      <c r="O3795">
        <v>10400.66338</v>
      </c>
      <c r="P3795">
        <f t="shared" si="776"/>
        <v>1.5346223868633435E-3</v>
      </c>
      <c r="Q3795" t="str">
        <f t="shared" si="770"/>
        <v>2025-03</v>
      </c>
      <c r="S3795">
        <v>13306.3</v>
      </c>
      <c r="T3795">
        <f t="shared" si="777"/>
        <v>-7.6213946605209306E-3</v>
      </c>
      <c r="U3795" t="str">
        <f t="shared" si="771"/>
        <v>2025-03</v>
      </c>
      <c r="W3795">
        <v>39188.17</v>
      </c>
      <c r="X3795">
        <f t="shared" si="778"/>
        <v>-1.3295113009996352E-2</v>
      </c>
      <c r="Y3795">
        <f t="shared" si="779"/>
        <v>-1.3207123370733796E-2</v>
      </c>
      <c r="Z3795" t="str">
        <f t="shared" si="772"/>
        <v>2025-03</v>
      </c>
    </row>
    <row r="3796" spans="1:26" x14ac:dyDescent="0.35">
      <c r="A3796" s="1">
        <v>45737</v>
      </c>
      <c r="C3796">
        <v>5423.83</v>
      </c>
      <c r="D3796">
        <f t="shared" si="773"/>
        <v>-4.9840283552361215E-3</v>
      </c>
      <c r="E3796" t="str">
        <f t="shared" si="767"/>
        <v>2025-03</v>
      </c>
      <c r="G3796">
        <v>8042.95</v>
      </c>
      <c r="H3796">
        <f t="shared" si="774"/>
        <v>-6.3518244931150191E-3</v>
      </c>
      <c r="I3796" t="str">
        <f t="shared" si="768"/>
        <v>2025-03</v>
      </c>
      <c r="K3796">
        <v>22891.68</v>
      </c>
      <c r="L3796">
        <f t="shared" si="775"/>
        <v>-4.683732957857548E-3</v>
      </c>
      <c r="M3796" t="str">
        <f t="shared" si="769"/>
        <v>2025-03</v>
      </c>
      <c r="O3796">
        <v>10324.5373</v>
      </c>
      <c r="P3796">
        <f t="shared" si="776"/>
        <v>-7.3462663678968785E-3</v>
      </c>
      <c r="Q3796" t="str">
        <f t="shared" si="770"/>
        <v>2025-03</v>
      </c>
      <c r="S3796">
        <v>13350.2</v>
      </c>
      <c r="T3796">
        <f t="shared" si="777"/>
        <v>3.293758722164739E-3</v>
      </c>
      <c r="U3796" t="str">
        <f t="shared" si="771"/>
        <v>2025-03</v>
      </c>
      <c r="W3796">
        <v>39035.71</v>
      </c>
      <c r="X3796">
        <f t="shared" si="778"/>
        <v>-3.8980473239001233E-3</v>
      </c>
      <c r="Y3796">
        <f t="shared" si="779"/>
        <v>-3.8904597994751768E-3</v>
      </c>
      <c r="Z3796" t="str">
        <f t="shared" si="772"/>
        <v>2025-03</v>
      </c>
    </row>
    <row r="3797" spans="1:26" x14ac:dyDescent="0.35">
      <c r="A3797" s="1">
        <v>45740</v>
      </c>
      <c r="C3797">
        <v>5415.79</v>
      </c>
      <c r="D3797">
        <f t="shared" si="773"/>
        <v>-1.4834471087385274E-3</v>
      </c>
      <c r="E3797" t="str">
        <f t="shared" si="767"/>
        <v>2025-03</v>
      </c>
      <c r="G3797">
        <v>8022.33</v>
      </c>
      <c r="H3797">
        <f t="shared" si="774"/>
        <v>-2.5670279413970223E-3</v>
      </c>
      <c r="I3797" t="str">
        <f t="shared" si="768"/>
        <v>2025-03</v>
      </c>
      <c r="K3797">
        <v>22852.66</v>
      </c>
      <c r="L3797">
        <f t="shared" si="775"/>
        <v>-1.7060038231532584E-3</v>
      </c>
      <c r="M3797" t="str">
        <f t="shared" si="769"/>
        <v>2025-03</v>
      </c>
      <c r="O3797">
        <v>10337.907590000001</v>
      </c>
      <c r="P3797">
        <f t="shared" si="776"/>
        <v>1.294163583960533E-3</v>
      </c>
      <c r="Q3797" t="str">
        <f t="shared" si="770"/>
        <v>2025-03</v>
      </c>
      <c r="S3797">
        <v>13323.3</v>
      </c>
      <c r="T3797">
        <f t="shared" si="777"/>
        <v>-2.0169838318632748E-3</v>
      </c>
      <c r="U3797" t="str">
        <f t="shared" si="771"/>
        <v>2025-03</v>
      </c>
      <c r="W3797">
        <v>38972.81</v>
      </c>
      <c r="X3797">
        <f t="shared" si="778"/>
        <v>-1.6126447119263095E-3</v>
      </c>
      <c r="Y3797">
        <f t="shared" si="779"/>
        <v>-1.6113450991413108E-3</v>
      </c>
      <c r="Z3797" t="str">
        <f t="shared" si="772"/>
        <v>2025-03</v>
      </c>
    </row>
    <row r="3798" spans="1:26" x14ac:dyDescent="0.35">
      <c r="A3798" s="1">
        <v>45741</v>
      </c>
      <c r="C3798">
        <v>5475.08</v>
      </c>
      <c r="D3798">
        <f t="shared" si="773"/>
        <v>1.0888126612669791E-2</v>
      </c>
      <c r="E3798" t="str">
        <f t="shared" si="767"/>
        <v>2025-03</v>
      </c>
      <c r="G3798">
        <v>8108.59</v>
      </c>
      <c r="H3798">
        <f t="shared" si="774"/>
        <v>1.0695090203858728E-2</v>
      </c>
      <c r="I3798" t="str">
        <f t="shared" si="768"/>
        <v>2025-03</v>
      </c>
      <c r="K3798">
        <v>23109.79</v>
      </c>
      <c r="L3798">
        <f t="shared" si="775"/>
        <v>1.118881532617654E-2</v>
      </c>
      <c r="M3798" t="str">
        <f t="shared" si="769"/>
        <v>2025-03</v>
      </c>
      <c r="O3798">
        <v>10386.141</v>
      </c>
      <c r="P3798">
        <f t="shared" si="776"/>
        <v>4.6548334300459387E-3</v>
      </c>
      <c r="Q3798" t="str">
        <f t="shared" si="770"/>
        <v>2025-03</v>
      </c>
      <c r="S3798">
        <v>13484.3</v>
      </c>
      <c r="T3798">
        <f t="shared" si="777"/>
        <v>1.2011663539655167E-2</v>
      </c>
      <c r="U3798" t="str">
        <f t="shared" si="771"/>
        <v>2025-03</v>
      </c>
      <c r="W3798">
        <v>39384.949999999997</v>
      </c>
      <c r="X3798">
        <f t="shared" si="778"/>
        <v>1.0519540135797081E-2</v>
      </c>
      <c r="Y3798">
        <f t="shared" si="779"/>
        <v>1.0575065026104082E-2</v>
      </c>
      <c r="Z3798" t="str">
        <f t="shared" si="772"/>
        <v>2025-03</v>
      </c>
    </row>
    <row r="3799" spans="1:26" x14ac:dyDescent="0.35">
      <c r="A3799" s="1">
        <v>45742</v>
      </c>
      <c r="C3799">
        <v>5411.69</v>
      </c>
      <c r="D3799">
        <f t="shared" si="773"/>
        <v>-1.1645458918241031E-2</v>
      </c>
      <c r="E3799" t="str">
        <f t="shared" si="767"/>
        <v>2025-03</v>
      </c>
      <c r="G3799">
        <v>8030.68</v>
      </c>
      <c r="H3799">
        <f t="shared" si="774"/>
        <v>-9.6547867650576668E-3</v>
      </c>
      <c r="I3799" t="str">
        <f t="shared" si="768"/>
        <v>2025-03</v>
      </c>
      <c r="K3799">
        <v>22839.03</v>
      </c>
      <c r="L3799">
        <f t="shared" si="775"/>
        <v>-1.1785422735720318E-2</v>
      </c>
      <c r="M3799" t="str">
        <f t="shared" si="769"/>
        <v>2025-03</v>
      </c>
      <c r="O3799">
        <v>10407.797490000001</v>
      </c>
      <c r="P3799">
        <f t="shared" si="776"/>
        <v>2.0829625749407095E-3</v>
      </c>
      <c r="Q3799" t="str">
        <f t="shared" si="770"/>
        <v>2025-03</v>
      </c>
      <c r="S3799">
        <v>13432.2</v>
      </c>
      <c r="T3799">
        <f t="shared" si="777"/>
        <v>-3.8712362354867001E-3</v>
      </c>
      <c r="U3799" t="str">
        <f t="shared" si="771"/>
        <v>2025-03</v>
      </c>
      <c r="W3799">
        <v>39058.1</v>
      </c>
      <c r="X3799">
        <f t="shared" si="778"/>
        <v>-8.3334824833704076E-3</v>
      </c>
      <c r="Y3799">
        <f t="shared" si="779"/>
        <v>-8.2988552733975433E-3</v>
      </c>
      <c r="Z3799" t="str">
        <f t="shared" si="772"/>
        <v>2025-03</v>
      </c>
    </row>
    <row r="3800" spans="1:26" x14ac:dyDescent="0.35">
      <c r="A3800" s="1">
        <v>45743</v>
      </c>
      <c r="C3800">
        <v>5381.08</v>
      </c>
      <c r="D3800">
        <f t="shared" si="773"/>
        <v>-5.6723310278795295E-3</v>
      </c>
      <c r="E3800" t="str">
        <f t="shared" si="767"/>
        <v>2025-03</v>
      </c>
      <c r="G3800">
        <v>7990.11</v>
      </c>
      <c r="H3800">
        <f t="shared" si="774"/>
        <v>-5.0646799217342808E-3</v>
      </c>
      <c r="I3800" t="str">
        <f t="shared" si="768"/>
        <v>2025-03</v>
      </c>
      <c r="K3800">
        <v>22678.74</v>
      </c>
      <c r="L3800">
        <f t="shared" si="775"/>
        <v>-7.042992773218155E-3</v>
      </c>
      <c r="M3800" t="str">
        <f t="shared" si="769"/>
        <v>2025-03</v>
      </c>
      <c r="O3800">
        <v>10400.95032</v>
      </c>
      <c r="P3800">
        <f t="shared" si="776"/>
        <v>-6.581049767768538E-4</v>
      </c>
      <c r="Q3800" t="str">
        <f t="shared" si="770"/>
        <v>2025-03</v>
      </c>
      <c r="S3800">
        <v>13422.6</v>
      </c>
      <c r="T3800">
        <f t="shared" si="777"/>
        <v>-7.1495601597698969E-4</v>
      </c>
      <c r="U3800" t="str">
        <f t="shared" si="771"/>
        <v>2025-03</v>
      </c>
      <c r="W3800">
        <v>39098.86</v>
      </c>
      <c r="X3800">
        <f t="shared" si="778"/>
        <v>1.0430294037861367E-3</v>
      </c>
      <c r="Y3800">
        <f t="shared" si="779"/>
        <v>1.0435735481245129E-3</v>
      </c>
      <c r="Z3800" t="str">
        <f t="shared" si="772"/>
        <v>2025-03</v>
      </c>
    </row>
    <row r="3801" spans="1:26" x14ac:dyDescent="0.35">
      <c r="A3801" s="1">
        <v>45744</v>
      </c>
      <c r="C3801">
        <v>5331.4</v>
      </c>
      <c r="D3801">
        <f t="shared" si="773"/>
        <v>-9.2752296691737714E-3</v>
      </c>
      <c r="E3801" t="str">
        <f t="shared" si="767"/>
        <v>2025-03</v>
      </c>
      <c r="G3801">
        <v>7916.08</v>
      </c>
      <c r="H3801">
        <f t="shared" si="774"/>
        <v>-9.3083930889754519E-3</v>
      </c>
      <c r="I3801" t="str">
        <f t="shared" si="768"/>
        <v>2025-03</v>
      </c>
      <c r="K3801">
        <v>22461.52</v>
      </c>
      <c r="L3801">
        <f t="shared" si="775"/>
        <v>-9.6242988721297936E-3</v>
      </c>
      <c r="M3801" t="str">
        <f t="shared" si="769"/>
        <v>2025-03</v>
      </c>
      <c r="O3801">
        <v>10355.40841</v>
      </c>
      <c r="P3801">
        <f t="shared" si="776"/>
        <v>-4.3882439761785963E-3</v>
      </c>
      <c r="Q3801" t="str">
        <f t="shared" si="770"/>
        <v>2025-03</v>
      </c>
      <c r="S3801">
        <v>13309.3</v>
      </c>
      <c r="T3801">
        <f t="shared" si="777"/>
        <v>-8.476814475829304E-3</v>
      </c>
      <c r="U3801" t="str">
        <f t="shared" si="771"/>
        <v>2025-03</v>
      </c>
      <c r="W3801">
        <v>38739.300000000003</v>
      </c>
      <c r="X3801">
        <f t="shared" si="778"/>
        <v>-9.2387219195878417E-3</v>
      </c>
      <c r="Y3801">
        <f t="shared" si="779"/>
        <v>-9.1961760521917426E-3</v>
      </c>
      <c r="Z3801" t="str">
        <f t="shared" si="772"/>
        <v>2025-03</v>
      </c>
    </row>
    <row r="3802" spans="1:26" x14ac:dyDescent="0.35">
      <c r="A3802" s="1">
        <v>45747</v>
      </c>
      <c r="C3802">
        <v>5248.39</v>
      </c>
      <c r="D3802">
        <f t="shared" si="773"/>
        <v>-1.5692504947636032E-2</v>
      </c>
      <c r="E3802" t="str">
        <f t="shared" si="767"/>
        <v>2025-03</v>
      </c>
      <c r="G3802">
        <v>7790.71</v>
      </c>
      <c r="H3802">
        <f t="shared" si="774"/>
        <v>-1.5964135583647232E-2</v>
      </c>
      <c r="I3802" t="str">
        <f t="shared" si="768"/>
        <v>2025-03</v>
      </c>
      <c r="K3802">
        <v>22163.49</v>
      </c>
      <c r="L3802">
        <f t="shared" si="775"/>
        <v>-1.3357282435188312E-2</v>
      </c>
      <c r="M3802" t="str">
        <f t="shared" si="769"/>
        <v>2025-03</v>
      </c>
      <c r="O3802">
        <v>10245.86836</v>
      </c>
      <c r="P3802">
        <f t="shared" si="776"/>
        <v>-1.0634397425793297E-2</v>
      </c>
      <c r="Q3802" t="str">
        <f t="shared" si="770"/>
        <v>2025-03</v>
      </c>
      <c r="S3802">
        <v>13135.4</v>
      </c>
      <c r="T3802">
        <f t="shared" si="777"/>
        <v>-1.3152163325927703E-2</v>
      </c>
      <c r="U3802" t="str">
        <f t="shared" si="771"/>
        <v>2025-03</v>
      </c>
      <c r="W3802">
        <v>38051.99</v>
      </c>
      <c r="X3802">
        <f t="shared" si="778"/>
        <v>-1.7901206090557297E-2</v>
      </c>
      <c r="Y3802">
        <f t="shared" si="779"/>
        <v>-1.7741931320390533E-2</v>
      </c>
      <c r="Z3802" t="str">
        <f t="shared" si="772"/>
        <v>2025-03</v>
      </c>
    </row>
    <row r="3803" spans="1:26" x14ac:dyDescent="0.35">
      <c r="A3803" s="1">
        <v>45748</v>
      </c>
      <c r="C3803">
        <v>5320.3</v>
      </c>
      <c r="D3803">
        <f t="shared" si="773"/>
        <v>1.3608329836057457E-2</v>
      </c>
      <c r="E3803" t="str">
        <f t="shared" si="767"/>
        <v>2025-04</v>
      </c>
      <c r="G3803">
        <v>7876.36</v>
      </c>
      <c r="H3803">
        <f t="shared" si="774"/>
        <v>1.0933869993936153E-2</v>
      </c>
      <c r="I3803" t="str">
        <f t="shared" si="768"/>
        <v>2025-04</v>
      </c>
      <c r="K3803">
        <v>22539.98</v>
      </c>
      <c r="L3803">
        <f t="shared" si="775"/>
        <v>1.6844280846379487E-2</v>
      </c>
      <c r="M3803" t="str">
        <f t="shared" si="769"/>
        <v>2025-04</v>
      </c>
      <c r="O3803">
        <v>10335.375889999999</v>
      </c>
      <c r="P3803">
        <f t="shared" si="776"/>
        <v>8.6980255639119222E-3</v>
      </c>
      <c r="Q3803" t="str">
        <f t="shared" si="770"/>
        <v>2025-04</v>
      </c>
      <c r="S3803">
        <v>13297</v>
      </c>
      <c r="T3803">
        <f t="shared" si="777"/>
        <v>1.2227570212548977E-2</v>
      </c>
      <c r="U3803" t="str">
        <f t="shared" si="771"/>
        <v>2025-04</v>
      </c>
      <c r="W3803">
        <v>38557.379999999997</v>
      </c>
      <c r="X3803">
        <f t="shared" si="778"/>
        <v>1.3194138829915644E-2</v>
      </c>
      <c r="Y3803">
        <f t="shared" si="779"/>
        <v>1.3281565563325321E-2</v>
      </c>
      <c r="Z3803" t="str">
        <f t="shared" si="772"/>
        <v>2025-04</v>
      </c>
    </row>
    <row r="3804" spans="1:26" x14ac:dyDescent="0.35">
      <c r="A3804" s="1">
        <v>45749</v>
      </c>
      <c r="C3804">
        <v>5303.95</v>
      </c>
      <c r="D3804">
        <f t="shared" si="773"/>
        <v>-3.0778667496190182E-3</v>
      </c>
      <c r="E3804" t="str">
        <f t="shared" si="767"/>
        <v>2025-04</v>
      </c>
      <c r="G3804">
        <v>7858.83</v>
      </c>
      <c r="H3804">
        <f t="shared" si="774"/>
        <v>-2.2281278144571678E-3</v>
      </c>
      <c r="I3804" t="str">
        <f t="shared" si="768"/>
        <v>2025-04</v>
      </c>
      <c r="K3804">
        <v>22390.84</v>
      </c>
      <c r="L3804">
        <f t="shared" si="775"/>
        <v>-6.638674644313983E-3</v>
      </c>
      <c r="M3804" t="str">
        <f t="shared" si="769"/>
        <v>2025-04</v>
      </c>
      <c r="O3804">
        <v>10289.402330000001</v>
      </c>
      <c r="P3804">
        <f t="shared" si="776"/>
        <v>-4.4580975030990557E-3</v>
      </c>
      <c r="Q3804" t="str">
        <f t="shared" si="770"/>
        <v>2025-04</v>
      </c>
      <c r="S3804">
        <v>13350.2</v>
      </c>
      <c r="T3804">
        <f t="shared" si="777"/>
        <v>3.9929201328798613E-3</v>
      </c>
      <c r="U3804" t="str">
        <f t="shared" si="771"/>
        <v>2025-04</v>
      </c>
      <c r="W3804">
        <v>38454.199999999997</v>
      </c>
      <c r="X3804">
        <f t="shared" si="778"/>
        <v>-2.6795986197962955E-3</v>
      </c>
      <c r="Y3804">
        <f t="shared" si="779"/>
        <v>-2.6760116999650987E-3</v>
      </c>
      <c r="Z3804" t="str">
        <f t="shared" si="772"/>
        <v>2025-04</v>
      </c>
    </row>
    <row r="3805" spans="1:26" x14ac:dyDescent="0.35">
      <c r="A3805" s="1">
        <v>45750</v>
      </c>
      <c r="C3805">
        <v>5113.28</v>
      </c>
      <c r="D3805">
        <f t="shared" si="773"/>
        <v>-3.6610749022579638E-2</v>
      </c>
      <c r="E3805" t="str">
        <f t="shared" si="767"/>
        <v>2025-04</v>
      </c>
      <c r="G3805">
        <v>7598.98</v>
      </c>
      <c r="H3805">
        <f t="shared" si="774"/>
        <v>-3.3623712640352806E-2</v>
      </c>
      <c r="I3805" t="str">
        <f t="shared" si="768"/>
        <v>2025-04</v>
      </c>
      <c r="K3805">
        <v>21717.39</v>
      </c>
      <c r="L3805">
        <f t="shared" si="775"/>
        <v>-3.0538624556079683E-2</v>
      </c>
      <c r="M3805" t="str">
        <f t="shared" si="769"/>
        <v>2025-04</v>
      </c>
      <c r="O3805">
        <v>10060.826859999999</v>
      </c>
      <c r="P3805">
        <f t="shared" si="776"/>
        <v>-2.2465111417739377E-2</v>
      </c>
      <c r="Q3805" t="str">
        <f t="shared" si="770"/>
        <v>2025-04</v>
      </c>
      <c r="S3805">
        <v>13191.2</v>
      </c>
      <c r="T3805">
        <f t="shared" si="777"/>
        <v>-1.198142540282713E-2</v>
      </c>
      <c r="U3805" t="str">
        <f t="shared" si="771"/>
        <v>2025-04</v>
      </c>
      <c r="W3805">
        <v>37070.83</v>
      </c>
      <c r="X3805">
        <f t="shared" si="778"/>
        <v>-3.6637515771197081E-2</v>
      </c>
      <c r="Y3805">
        <f t="shared" si="779"/>
        <v>-3.5974483931534018E-2</v>
      </c>
      <c r="Z3805" t="str">
        <f t="shared" si="772"/>
        <v>2025-04</v>
      </c>
    </row>
    <row r="3806" spans="1:26" x14ac:dyDescent="0.35">
      <c r="A3806" s="1">
        <v>45751</v>
      </c>
      <c r="C3806">
        <v>4878.3100000000004</v>
      </c>
      <c r="D3806">
        <f t="shared" si="773"/>
        <v>-4.7042228558907752E-2</v>
      </c>
      <c r="E3806" t="str">
        <f t="shared" si="767"/>
        <v>2025-04</v>
      </c>
      <c r="G3806">
        <v>7274.95</v>
      </c>
      <c r="H3806">
        <f t="shared" si="774"/>
        <v>-4.3577087577226663E-2</v>
      </c>
      <c r="I3806" t="str">
        <f t="shared" si="768"/>
        <v>2025-04</v>
      </c>
      <c r="K3806">
        <v>20641.72</v>
      </c>
      <c r="L3806">
        <f t="shared" si="775"/>
        <v>-5.0799051624730529E-2</v>
      </c>
      <c r="M3806" t="str">
        <f t="shared" si="769"/>
        <v>2025-04</v>
      </c>
      <c r="O3806">
        <v>9467.59339</v>
      </c>
      <c r="P3806">
        <f t="shared" si="776"/>
        <v>-6.0774609119216297E-2</v>
      </c>
      <c r="Q3806" t="str">
        <f t="shared" si="770"/>
        <v>2025-04</v>
      </c>
      <c r="S3806">
        <v>12422</v>
      </c>
      <c r="T3806">
        <f t="shared" si="777"/>
        <v>-6.0080846467510232E-2</v>
      </c>
      <c r="U3806" t="str">
        <f t="shared" si="771"/>
        <v>2025-04</v>
      </c>
      <c r="W3806">
        <v>34649.22</v>
      </c>
      <c r="X3806">
        <f t="shared" si="778"/>
        <v>-6.7555192424793076E-2</v>
      </c>
      <c r="Y3806">
        <f t="shared" si="779"/>
        <v>-6.5323867849735234E-2</v>
      </c>
      <c r="Z3806" t="str">
        <f t="shared" si="772"/>
        <v>2025-04</v>
      </c>
    </row>
    <row r="3807" spans="1:26" x14ac:dyDescent="0.35">
      <c r="A3807" s="1">
        <v>45754</v>
      </c>
      <c r="C3807">
        <v>4656.41</v>
      </c>
      <c r="D3807">
        <f t="shared" si="773"/>
        <v>-4.6554083438513291E-2</v>
      </c>
      <c r="E3807" t="str">
        <f t="shared" si="767"/>
        <v>2025-04</v>
      </c>
      <c r="G3807">
        <v>6927.12</v>
      </c>
      <c r="H3807">
        <f t="shared" si="774"/>
        <v>-4.8992797774612858E-2</v>
      </c>
      <c r="I3807" t="str">
        <f t="shared" si="768"/>
        <v>2025-04</v>
      </c>
      <c r="K3807">
        <v>19789.62</v>
      </c>
      <c r="L3807">
        <f t="shared" si="775"/>
        <v>-4.2156712661523446E-2</v>
      </c>
      <c r="M3807" t="str">
        <f t="shared" si="769"/>
        <v>2025-04</v>
      </c>
      <c r="O3807">
        <v>8968.8509300000005</v>
      </c>
      <c r="P3807">
        <f t="shared" si="776"/>
        <v>-5.4117178601934449E-2</v>
      </c>
      <c r="Q3807" t="str">
        <f t="shared" si="770"/>
        <v>2025-04</v>
      </c>
      <c r="S3807">
        <v>11785.8</v>
      </c>
      <c r="T3807">
        <f t="shared" si="777"/>
        <v>-5.25736771509627E-2</v>
      </c>
      <c r="U3807" t="str">
        <f t="shared" si="771"/>
        <v>2025-04</v>
      </c>
      <c r="W3807">
        <v>32853.980000000003</v>
      </c>
      <c r="X3807">
        <f t="shared" si="778"/>
        <v>-5.3202320195087027E-2</v>
      </c>
      <c r="Y3807">
        <f t="shared" si="779"/>
        <v>-5.18118445379145E-2</v>
      </c>
      <c r="Z3807" t="str">
        <f t="shared" si="772"/>
        <v>2025-04</v>
      </c>
    </row>
    <row r="3808" spans="1:26" x14ac:dyDescent="0.35">
      <c r="A3808" s="1">
        <v>45755</v>
      </c>
      <c r="C3808">
        <v>4773.6499999999996</v>
      </c>
      <c r="D3808">
        <f t="shared" si="773"/>
        <v>2.4866446474594614E-2</v>
      </c>
      <c r="E3808" t="str">
        <f t="shared" si="767"/>
        <v>2025-04</v>
      </c>
      <c r="G3808">
        <v>7100.42</v>
      </c>
      <c r="H3808">
        <f t="shared" si="774"/>
        <v>2.4709794820171792E-2</v>
      </c>
      <c r="I3808" t="str">
        <f t="shared" si="768"/>
        <v>2025-04</v>
      </c>
      <c r="K3808">
        <v>20280.259999999998</v>
      </c>
      <c r="L3808">
        <f t="shared" si="775"/>
        <v>2.4490441340478144E-2</v>
      </c>
      <c r="M3808" t="str">
        <f t="shared" si="769"/>
        <v>2025-04</v>
      </c>
      <c r="O3808">
        <v>9244.3915500000003</v>
      </c>
      <c r="P3808">
        <f t="shared" si="776"/>
        <v>3.0259482304028609E-2</v>
      </c>
      <c r="Q3808" t="str">
        <f t="shared" si="770"/>
        <v>2025-04</v>
      </c>
      <c r="S3808">
        <v>12065.6</v>
      </c>
      <c r="T3808">
        <f t="shared" si="777"/>
        <v>2.3463011480097131E-2</v>
      </c>
      <c r="U3808" t="str">
        <f t="shared" si="771"/>
        <v>2025-04</v>
      </c>
      <c r="W3808">
        <v>33657.050000000003</v>
      </c>
      <c r="X3808">
        <f t="shared" si="778"/>
        <v>2.4149649439957982E-2</v>
      </c>
      <c r="Y3808">
        <f t="shared" si="779"/>
        <v>2.4443613833088094E-2</v>
      </c>
      <c r="Z3808" t="str">
        <f t="shared" si="772"/>
        <v>2025-04</v>
      </c>
    </row>
    <row r="3809" spans="1:26" x14ac:dyDescent="0.35">
      <c r="A3809" s="1">
        <v>45756</v>
      </c>
      <c r="C3809">
        <v>4622.1400000000003</v>
      </c>
      <c r="D3809">
        <f t="shared" si="773"/>
        <v>-3.225341013481705E-2</v>
      </c>
      <c r="E3809" t="str">
        <f t="shared" si="767"/>
        <v>2025-04</v>
      </c>
      <c r="G3809">
        <v>6863.02</v>
      </c>
      <c r="H3809">
        <f t="shared" si="774"/>
        <v>-3.4006359127538528E-2</v>
      </c>
      <c r="I3809" t="str">
        <f t="shared" si="768"/>
        <v>2025-04</v>
      </c>
      <c r="K3809">
        <v>19670.88</v>
      </c>
      <c r="L3809">
        <f t="shared" si="775"/>
        <v>-3.0508629573406061E-2</v>
      </c>
      <c r="M3809" t="str">
        <f t="shared" si="769"/>
        <v>2025-04</v>
      </c>
      <c r="O3809">
        <v>8895.5138100000004</v>
      </c>
      <c r="P3809">
        <f t="shared" si="776"/>
        <v>-3.8469965357928279E-2</v>
      </c>
      <c r="Q3809" t="str">
        <f t="shared" si="770"/>
        <v>2025-04</v>
      </c>
      <c r="S3809">
        <v>11797.6</v>
      </c>
      <c r="T3809">
        <f t="shared" si="777"/>
        <v>-2.2462307511651489E-2</v>
      </c>
      <c r="U3809" t="str">
        <f t="shared" si="771"/>
        <v>2025-04</v>
      </c>
      <c r="W3809">
        <v>32730.57</v>
      </c>
      <c r="X3809">
        <f t="shared" si="778"/>
        <v>-2.7913040228055311E-2</v>
      </c>
      <c r="Y3809">
        <f t="shared" si="779"/>
        <v>-2.7527070851426465E-2</v>
      </c>
      <c r="Z3809" t="str">
        <f t="shared" si="772"/>
        <v>2025-04</v>
      </c>
    </row>
    <row r="3810" spans="1:26" x14ac:dyDescent="0.35">
      <c r="A3810" s="1">
        <v>45757</v>
      </c>
      <c r="C3810">
        <v>4818.92</v>
      </c>
      <c r="D3810">
        <f t="shared" si="773"/>
        <v>4.169203525460017E-2</v>
      </c>
      <c r="E3810" t="str">
        <f t="shared" si="767"/>
        <v>2025-04</v>
      </c>
      <c r="G3810">
        <v>7126.02</v>
      </c>
      <c r="H3810">
        <f t="shared" si="774"/>
        <v>3.7605295703612644E-2</v>
      </c>
      <c r="I3810" t="str">
        <f t="shared" si="768"/>
        <v>2025-04</v>
      </c>
      <c r="K3810">
        <v>20562.73</v>
      </c>
      <c r="L3810">
        <f t="shared" si="775"/>
        <v>4.4340844293153978E-2</v>
      </c>
      <c r="M3810" t="str">
        <f t="shared" si="769"/>
        <v>2025-04</v>
      </c>
      <c r="O3810">
        <v>9154.9737000000005</v>
      </c>
      <c r="P3810">
        <f t="shared" si="776"/>
        <v>2.8750222013376764E-2</v>
      </c>
      <c r="Q3810" t="str">
        <f t="shared" si="770"/>
        <v>2025-04</v>
      </c>
      <c r="S3810">
        <v>12307.6</v>
      </c>
      <c r="T3810">
        <f t="shared" si="777"/>
        <v>4.2320836789571069E-2</v>
      </c>
      <c r="U3810" t="str">
        <f t="shared" si="771"/>
        <v>2025-04</v>
      </c>
      <c r="W3810">
        <v>34277.089999999997</v>
      </c>
      <c r="X3810">
        <f t="shared" si="778"/>
        <v>4.6167697401255189E-2</v>
      </c>
      <c r="Y3810">
        <f t="shared" si="779"/>
        <v>4.7250017338530827E-2</v>
      </c>
      <c r="Z3810" t="str">
        <f t="shared" si="772"/>
        <v>2025-04</v>
      </c>
    </row>
    <row r="3811" spans="1:26" x14ac:dyDescent="0.35">
      <c r="A3811" s="1">
        <v>45758</v>
      </c>
      <c r="C3811">
        <v>4787.2299999999996</v>
      </c>
      <c r="D3811">
        <f t="shared" si="773"/>
        <v>-6.5978805162829274E-3</v>
      </c>
      <c r="E3811" t="str">
        <f t="shared" si="767"/>
        <v>2025-04</v>
      </c>
      <c r="G3811">
        <v>7104.8</v>
      </c>
      <c r="H3811">
        <f t="shared" si="774"/>
        <v>-2.9822618411802461E-3</v>
      </c>
      <c r="I3811" t="str">
        <f t="shared" si="768"/>
        <v>2025-04</v>
      </c>
      <c r="K3811">
        <v>20374.099999999999</v>
      </c>
      <c r="L3811">
        <f t="shared" si="775"/>
        <v>-9.2157275011853102E-3</v>
      </c>
      <c r="M3811" t="str">
        <f t="shared" si="769"/>
        <v>2025-04</v>
      </c>
      <c r="O3811">
        <v>9193.3940500000008</v>
      </c>
      <c r="P3811">
        <f t="shared" si="776"/>
        <v>4.1878827235172734E-3</v>
      </c>
      <c r="Q3811" t="str">
        <f t="shared" si="770"/>
        <v>2025-04</v>
      </c>
      <c r="S3811">
        <v>12286</v>
      </c>
      <c r="T3811">
        <f t="shared" si="777"/>
        <v>-1.756555002429398E-3</v>
      </c>
      <c r="U3811" t="str">
        <f t="shared" si="771"/>
        <v>2025-04</v>
      </c>
      <c r="W3811">
        <v>34027.83</v>
      </c>
      <c r="X3811">
        <f t="shared" si="778"/>
        <v>-7.29848176268264E-3</v>
      </c>
      <c r="Y3811">
        <f t="shared" si="779"/>
        <v>-7.2719125223289025E-3</v>
      </c>
      <c r="Z3811" t="str">
        <f t="shared" si="772"/>
        <v>2025-04</v>
      </c>
    </row>
    <row r="3812" spans="1:26" x14ac:dyDescent="0.35">
      <c r="A3812" s="1">
        <v>45761</v>
      </c>
      <c r="C3812">
        <v>4911.3900000000003</v>
      </c>
      <c r="D3812">
        <f t="shared" si="773"/>
        <v>2.5605041415850047E-2</v>
      </c>
      <c r="E3812" t="str">
        <f t="shared" si="767"/>
        <v>2025-04</v>
      </c>
      <c r="G3812">
        <v>7273.12</v>
      </c>
      <c r="H3812">
        <f t="shared" si="774"/>
        <v>2.3414748455406139E-2</v>
      </c>
      <c r="I3812" t="str">
        <f t="shared" si="768"/>
        <v>2025-04</v>
      </c>
      <c r="K3812">
        <v>20954.830000000002</v>
      </c>
      <c r="L3812">
        <f t="shared" si="775"/>
        <v>2.810468234965809E-2</v>
      </c>
      <c r="M3812" t="str">
        <f t="shared" si="769"/>
        <v>2025-04</v>
      </c>
      <c r="O3812">
        <v>9452.3744399999996</v>
      </c>
      <c r="P3812">
        <f t="shared" si="776"/>
        <v>2.7780785337598098E-2</v>
      </c>
      <c r="Q3812" t="str">
        <f t="shared" si="770"/>
        <v>2025-04</v>
      </c>
      <c r="S3812">
        <v>12609.8</v>
      </c>
      <c r="T3812">
        <f t="shared" si="777"/>
        <v>2.6013886681082999E-2</v>
      </c>
      <c r="U3812" t="str">
        <f t="shared" si="771"/>
        <v>2025-04</v>
      </c>
      <c r="W3812">
        <v>35007.14</v>
      </c>
      <c r="X3812">
        <f t="shared" si="778"/>
        <v>2.8373321468825822E-2</v>
      </c>
      <c r="Y3812">
        <f t="shared" si="779"/>
        <v>2.8779678280983465E-2</v>
      </c>
      <c r="Z3812" t="str">
        <f t="shared" si="772"/>
        <v>2025-04</v>
      </c>
    </row>
    <row r="3813" spans="1:26" x14ac:dyDescent="0.35">
      <c r="A3813" s="1">
        <v>45762</v>
      </c>
      <c r="C3813">
        <v>4970.43</v>
      </c>
      <c r="D3813">
        <f t="shared" si="773"/>
        <v>1.1949358015252452E-2</v>
      </c>
      <c r="E3813" t="str">
        <f t="shared" si="767"/>
        <v>2025-04</v>
      </c>
      <c r="G3813">
        <v>7335.4</v>
      </c>
      <c r="H3813">
        <f t="shared" si="774"/>
        <v>8.5265827511761694E-3</v>
      </c>
      <c r="I3813" t="str">
        <f t="shared" si="768"/>
        <v>2025-04</v>
      </c>
      <c r="K3813">
        <v>21253.7</v>
      </c>
      <c r="L3813">
        <f t="shared" si="775"/>
        <v>1.4161829138925065E-2</v>
      </c>
      <c r="M3813" t="str">
        <f t="shared" si="769"/>
        <v>2025-04</v>
      </c>
      <c r="O3813">
        <v>9667.14329</v>
      </c>
      <c r="P3813">
        <f t="shared" si="776"/>
        <v>2.2466872528608885E-2</v>
      </c>
      <c r="Q3813" t="str">
        <f t="shared" si="770"/>
        <v>2025-04</v>
      </c>
      <c r="S3813">
        <v>12879.3</v>
      </c>
      <c r="T3813">
        <f t="shared" si="777"/>
        <v>2.114708195040536E-2</v>
      </c>
      <c r="U3813" t="str">
        <f t="shared" si="771"/>
        <v>2025-04</v>
      </c>
      <c r="W3813">
        <v>35843.82</v>
      </c>
      <c r="X3813">
        <f t="shared" si="778"/>
        <v>2.3619126564156746E-2</v>
      </c>
      <c r="Y3813">
        <f t="shared" si="779"/>
        <v>2.3900267202633527E-2</v>
      </c>
      <c r="Z3813" t="str">
        <f t="shared" si="772"/>
        <v>2025-04</v>
      </c>
    </row>
    <row r="3814" spans="1:26" x14ac:dyDescent="0.35">
      <c r="A3814" s="1">
        <v>45763</v>
      </c>
      <c r="C3814">
        <v>4966.5</v>
      </c>
      <c r="D3814">
        <f t="shared" si="773"/>
        <v>-7.9098880738916676E-4</v>
      </c>
      <c r="E3814" t="str">
        <f t="shared" si="767"/>
        <v>2025-04</v>
      </c>
      <c r="G3814">
        <v>7329.97</v>
      </c>
      <c r="H3814">
        <f t="shared" si="774"/>
        <v>-7.405200479956651E-4</v>
      </c>
      <c r="I3814" t="str">
        <f t="shared" si="768"/>
        <v>2025-04</v>
      </c>
      <c r="K3814">
        <v>21311.02</v>
      </c>
      <c r="L3814">
        <f t="shared" si="775"/>
        <v>2.6933119564558844E-3</v>
      </c>
      <c r="M3814" t="str">
        <f t="shared" si="769"/>
        <v>2025-04</v>
      </c>
      <c r="O3814">
        <v>9628.0694899999999</v>
      </c>
      <c r="P3814">
        <f t="shared" si="776"/>
        <v>-4.0501085795073902E-3</v>
      </c>
      <c r="Q3814" t="str">
        <f t="shared" si="770"/>
        <v>2025-04</v>
      </c>
      <c r="S3814">
        <v>12942.1</v>
      </c>
      <c r="T3814">
        <f t="shared" si="777"/>
        <v>4.864192013021928E-3</v>
      </c>
      <c r="U3814" t="str">
        <f t="shared" si="771"/>
        <v>2025-04</v>
      </c>
      <c r="W3814">
        <v>36067.57</v>
      </c>
      <c r="X3814">
        <f t="shared" si="778"/>
        <v>6.2229563929413548E-3</v>
      </c>
      <c r="Y3814">
        <f t="shared" si="779"/>
        <v>6.2423592128294358E-3</v>
      </c>
      <c r="Z3814" t="str">
        <f t="shared" si="772"/>
        <v>2025-04</v>
      </c>
    </row>
    <row r="3815" spans="1:26" x14ac:dyDescent="0.35">
      <c r="A3815" s="1">
        <v>45764</v>
      </c>
      <c r="C3815">
        <v>4935.34</v>
      </c>
      <c r="D3815">
        <f t="shared" si="773"/>
        <v>-6.2938005176608174E-3</v>
      </c>
      <c r="E3815" t="str">
        <f t="shared" si="767"/>
        <v>2025-04</v>
      </c>
      <c r="G3815">
        <v>7285.86</v>
      </c>
      <c r="H3815">
        <f t="shared" si="774"/>
        <v>-6.0359396517290472E-3</v>
      </c>
      <c r="I3815" t="str">
        <f t="shared" si="768"/>
        <v>2025-04</v>
      </c>
      <c r="K3815">
        <v>21205.86</v>
      </c>
      <c r="L3815">
        <f t="shared" si="775"/>
        <v>-4.9467512405297221E-3</v>
      </c>
      <c r="M3815" t="str">
        <f t="shared" si="769"/>
        <v>2025-04</v>
      </c>
      <c r="O3815">
        <v>9665.9942100000007</v>
      </c>
      <c r="P3815">
        <f t="shared" si="776"/>
        <v>3.9312370304531467E-3</v>
      </c>
      <c r="Q3815" t="str">
        <f t="shared" si="770"/>
        <v>2025-04</v>
      </c>
      <c r="S3815">
        <v>12918</v>
      </c>
      <c r="T3815">
        <f t="shared" si="777"/>
        <v>-1.8638757759649933E-3</v>
      </c>
      <c r="U3815" t="str">
        <f t="shared" si="771"/>
        <v>2025-04</v>
      </c>
      <c r="W3815">
        <v>35980.43</v>
      </c>
      <c r="X3815">
        <f t="shared" si="778"/>
        <v>-2.4189441064322642E-3</v>
      </c>
      <c r="Y3815">
        <f t="shared" si="779"/>
        <v>-2.4160208187022142E-3</v>
      </c>
      <c r="Z3815" t="str">
        <f t="shared" si="772"/>
        <v>2025-04</v>
      </c>
    </row>
    <row r="3816" spans="1:26" x14ac:dyDescent="0.35">
      <c r="A3816" s="1">
        <v>45769</v>
      </c>
      <c r="C3816">
        <v>4961.45</v>
      </c>
      <c r="D3816">
        <f t="shared" si="773"/>
        <v>5.2764705682660914E-3</v>
      </c>
      <c r="E3816" t="str">
        <f t="shared" si="767"/>
        <v>2025-04</v>
      </c>
      <c r="G3816">
        <v>7326.47</v>
      </c>
      <c r="H3816">
        <f t="shared" si="774"/>
        <v>5.5583338939144775E-3</v>
      </c>
      <c r="I3816" t="str">
        <f t="shared" si="768"/>
        <v>2025-04</v>
      </c>
      <c r="K3816">
        <v>21293.53</v>
      </c>
      <c r="L3816">
        <f t="shared" si="775"/>
        <v>4.1257121269838984E-3</v>
      </c>
      <c r="M3816" t="str">
        <f t="shared" si="769"/>
        <v>2025-04</v>
      </c>
      <c r="O3816">
        <v>9721.3132399999995</v>
      </c>
      <c r="P3816">
        <f t="shared" si="776"/>
        <v>5.7067419262193638E-3</v>
      </c>
      <c r="Q3816" t="str">
        <f t="shared" si="770"/>
        <v>2025-04</v>
      </c>
      <c r="S3816">
        <v>13010.6</v>
      </c>
      <c r="T3816">
        <f t="shared" si="777"/>
        <v>7.1427222211978619E-3</v>
      </c>
      <c r="U3816" t="str">
        <f t="shared" si="771"/>
        <v>2025-04</v>
      </c>
      <c r="W3816">
        <v>35947.89</v>
      </c>
      <c r="X3816">
        <f t="shared" si="778"/>
        <v>-9.0478971898390521E-4</v>
      </c>
      <c r="Y3816">
        <f t="shared" si="779"/>
        <v>-9.0438052018835993E-4</v>
      </c>
      <c r="Z3816" t="str">
        <f t="shared" si="772"/>
        <v>2025-04</v>
      </c>
    </row>
    <row r="3817" spans="1:26" x14ac:dyDescent="0.35">
      <c r="A3817" s="1">
        <v>45770</v>
      </c>
      <c r="C3817">
        <v>5098.74</v>
      </c>
      <c r="D3817">
        <f t="shared" si="773"/>
        <v>2.7295413658812846E-2</v>
      </c>
      <c r="E3817" t="str">
        <f t="shared" si="767"/>
        <v>2025-04</v>
      </c>
      <c r="G3817">
        <v>7482.36</v>
      </c>
      <c r="H3817">
        <f t="shared" si="774"/>
        <v>2.105443288265748E-2</v>
      </c>
      <c r="I3817" t="str">
        <f t="shared" si="768"/>
        <v>2025-04</v>
      </c>
      <c r="K3817">
        <v>21961.97</v>
      </c>
      <c r="L3817">
        <f t="shared" si="775"/>
        <v>3.0909050475101139E-2</v>
      </c>
      <c r="M3817" t="str">
        <f t="shared" si="769"/>
        <v>2025-04</v>
      </c>
      <c r="O3817">
        <v>9826.6816600000002</v>
      </c>
      <c r="P3817">
        <f t="shared" si="776"/>
        <v>1.0780588089947935E-2</v>
      </c>
      <c r="Q3817" t="str">
        <f t="shared" si="770"/>
        <v>2025-04</v>
      </c>
      <c r="S3817">
        <v>13208.3</v>
      </c>
      <c r="T3817">
        <f t="shared" si="777"/>
        <v>1.5081010035365758E-2</v>
      </c>
      <c r="U3817" t="str">
        <f t="shared" si="771"/>
        <v>2025-04</v>
      </c>
      <c r="W3817">
        <v>36457.68</v>
      </c>
      <c r="X3817">
        <f t="shared" si="778"/>
        <v>1.4081746033178568E-2</v>
      </c>
      <c r="Y3817">
        <f t="shared" si="779"/>
        <v>1.4181360853168319E-2</v>
      </c>
      <c r="Z3817" t="str">
        <f t="shared" si="772"/>
        <v>2025-04</v>
      </c>
    </row>
    <row r="3818" spans="1:26" x14ac:dyDescent="0.35">
      <c r="A3818" s="1">
        <v>45771</v>
      </c>
      <c r="C3818">
        <v>5114.9799999999996</v>
      </c>
      <c r="D3818">
        <f t="shared" si="773"/>
        <v>3.180038944827269E-3</v>
      </c>
      <c r="E3818" t="str">
        <f t="shared" si="767"/>
        <v>2025-04</v>
      </c>
      <c r="G3818">
        <v>7502.78</v>
      </c>
      <c r="H3818">
        <f t="shared" si="774"/>
        <v>2.7253682834265541E-3</v>
      </c>
      <c r="I3818" t="str">
        <f t="shared" si="768"/>
        <v>2025-04</v>
      </c>
      <c r="K3818">
        <v>22064.51</v>
      </c>
      <c r="L3818">
        <f t="shared" si="775"/>
        <v>4.6581141808101538E-3</v>
      </c>
      <c r="M3818" t="str">
        <f t="shared" si="769"/>
        <v>2025-04</v>
      </c>
      <c r="O3818">
        <v>9847.34339</v>
      </c>
      <c r="P3818">
        <f t="shared" si="776"/>
        <v>2.1004077755949198E-3</v>
      </c>
      <c r="Q3818" t="str">
        <f t="shared" si="770"/>
        <v>2025-04</v>
      </c>
      <c r="S3818">
        <v>13179.7</v>
      </c>
      <c r="T3818">
        <f t="shared" si="777"/>
        <v>-2.1676528117789309E-3</v>
      </c>
      <c r="U3818" t="str">
        <f t="shared" si="771"/>
        <v>2025-04</v>
      </c>
      <c r="W3818">
        <v>36808.69</v>
      </c>
      <c r="X3818">
        <f t="shared" si="778"/>
        <v>9.5818227531600901E-3</v>
      </c>
      <c r="Y3818">
        <f t="shared" si="779"/>
        <v>9.6278753886698785E-3</v>
      </c>
      <c r="Z3818" t="str">
        <f t="shared" si="772"/>
        <v>2025-04</v>
      </c>
    </row>
    <row r="3819" spans="1:26" x14ac:dyDescent="0.35">
      <c r="A3819" s="1">
        <v>45772</v>
      </c>
      <c r="C3819">
        <v>5154.12</v>
      </c>
      <c r="D3819">
        <f t="shared" si="773"/>
        <v>7.6229055186898525E-3</v>
      </c>
      <c r="E3819" t="str">
        <f t="shared" si="767"/>
        <v>2025-04</v>
      </c>
      <c r="G3819">
        <v>7536.26</v>
      </c>
      <c r="H3819">
        <f t="shared" si="774"/>
        <v>4.4524192114716856E-3</v>
      </c>
      <c r="I3819" t="str">
        <f t="shared" si="768"/>
        <v>2025-04</v>
      </c>
      <c r="K3819">
        <v>22242.45</v>
      </c>
      <c r="L3819">
        <f t="shared" si="775"/>
        <v>8.0321898259241749E-3</v>
      </c>
      <c r="M3819" t="str">
        <f t="shared" si="769"/>
        <v>2025-04</v>
      </c>
      <c r="O3819">
        <v>9858.6259200000004</v>
      </c>
      <c r="P3819">
        <f t="shared" si="776"/>
        <v>1.1450876691564318E-3</v>
      </c>
      <c r="Q3819" t="str">
        <f t="shared" si="770"/>
        <v>2025-04</v>
      </c>
      <c r="S3819">
        <v>13355.3</v>
      </c>
      <c r="T3819">
        <f t="shared" si="777"/>
        <v>1.3235542751375557E-2</v>
      </c>
      <c r="U3819" t="str">
        <f t="shared" si="771"/>
        <v>2025-04</v>
      </c>
      <c r="W3819">
        <v>37348.379999999997</v>
      </c>
      <c r="X3819">
        <f t="shared" si="778"/>
        <v>1.4555578541929216E-2</v>
      </c>
      <c r="Y3819">
        <f t="shared" si="779"/>
        <v>1.4662026820296919E-2</v>
      </c>
      <c r="Z3819" t="str">
        <f t="shared" si="772"/>
        <v>2025-04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8E7E-F205-4B11-869C-8D1BC8F3ABCC}">
  <dimension ref="A1:AD3818"/>
  <sheetViews>
    <sheetView topLeftCell="I164" zoomScale="60" zoomScaleNormal="60" workbookViewId="0">
      <selection activeCell="O209" sqref="O209"/>
    </sheetView>
  </sheetViews>
  <sheetFormatPr baseColWidth="10" defaultRowHeight="14.5" x14ac:dyDescent="0.35"/>
  <cols>
    <col min="1" max="1" width="16.90625" customWidth="1"/>
    <col min="2" max="3" width="19.08984375" customWidth="1"/>
    <col min="4" max="4" width="17.6328125" customWidth="1"/>
    <col min="5" max="5" width="19.54296875" customWidth="1"/>
    <col min="6" max="8" width="10.90625" customWidth="1"/>
    <col min="10" max="10" width="18.453125" bestFit="1" customWidth="1"/>
    <col min="11" max="13" width="18.453125" customWidth="1"/>
    <col min="14" max="14" width="15.81640625" bestFit="1" customWidth="1"/>
    <col min="15" max="16" width="18.453125" bestFit="1" customWidth="1"/>
    <col min="17" max="17" width="15.81640625" bestFit="1" customWidth="1"/>
    <col min="18" max="19" width="18.453125" customWidth="1"/>
    <col min="20" max="21" width="18.453125" bestFit="1" customWidth="1"/>
    <col min="22" max="22" width="32.26953125" bestFit="1" customWidth="1"/>
    <col min="23" max="23" width="18.453125" customWidth="1"/>
    <col min="24" max="24" width="16.453125" bestFit="1" customWidth="1"/>
    <col min="25" max="25" width="18.08984375" bestFit="1" customWidth="1"/>
    <col min="26" max="26" width="11.81640625" bestFit="1" customWidth="1"/>
    <col min="27" max="27" width="39.7265625" bestFit="1" customWidth="1"/>
    <col min="28" max="28" width="40.453125" bestFit="1" customWidth="1"/>
    <col min="29" max="29" width="41.7265625" bestFit="1" customWidth="1"/>
    <col min="30" max="30" width="42.453125" bestFit="1" customWidth="1"/>
  </cols>
  <sheetData>
    <row r="1" spans="1:25" x14ac:dyDescent="0.35">
      <c r="A1" t="s">
        <v>402</v>
      </c>
      <c r="B1" t="s">
        <v>249</v>
      </c>
      <c r="C1" t="s">
        <v>381</v>
      </c>
      <c r="D1" t="s">
        <v>209</v>
      </c>
      <c r="E1" t="s">
        <v>401</v>
      </c>
      <c r="F1" t="s">
        <v>199</v>
      </c>
      <c r="G1" t="s">
        <v>200</v>
      </c>
    </row>
    <row r="2" spans="1:25" x14ac:dyDescent="0.35">
      <c r="A2" t="s">
        <v>15</v>
      </c>
      <c r="B2" s="3" cm="1">
        <f t="array" ref="B2">_xlfn.STDEV.S(_xlfn._xlws.FILTER($E$2:$E$1000, $A$2:$A$1000="2010-01"))</f>
        <v>1.0298241476940719E-2</v>
      </c>
      <c r="C2" s="3" cm="1">
        <f t="array" ref="C2">AVERAGE(_xlfn._xlws.FILTER($E$2:$E$1000, $A$2:$A$1000="2010-01"))</f>
        <v>-3.7283979226042899E-3</v>
      </c>
      <c r="D2" s="3" cm="1">
        <f t="array" ref="D2">_xlfn.PERCENTILE.EXC(_xlfn._xlws.FILTER($E$2:$E$21, $A$2:$A$21="2010-01"), 0.05)</f>
        <v>-2.0336729056880932E-2</v>
      </c>
      <c r="J2" t="s">
        <v>204</v>
      </c>
      <c r="K2" t="s">
        <v>249</v>
      </c>
      <c r="L2" t="s">
        <v>432</v>
      </c>
      <c r="M2" t="s">
        <v>250</v>
      </c>
      <c r="N2" t="s">
        <v>201</v>
      </c>
      <c r="O2" t="s">
        <v>200</v>
      </c>
      <c r="P2" t="s">
        <v>202</v>
      </c>
      <c r="Q2" t="s">
        <v>220</v>
      </c>
      <c r="R2" t="s">
        <v>295</v>
      </c>
      <c r="S2" t="s">
        <v>382</v>
      </c>
      <c r="T2" t="s">
        <v>203</v>
      </c>
      <c r="U2" t="s">
        <v>222</v>
      </c>
      <c r="V2" t="s">
        <v>223</v>
      </c>
      <c r="W2" t="s">
        <v>224</v>
      </c>
      <c r="X2" t="s">
        <v>274</v>
      </c>
      <c r="Y2" t="s">
        <v>275</v>
      </c>
    </row>
    <row r="3" spans="1:25" x14ac:dyDescent="0.35">
      <c r="A3" t="s">
        <v>15</v>
      </c>
      <c r="E3">
        <v>-2.6411258326067781E-4</v>
      </c>
      <c r="F3">
        <f>_xlfn.PERCENTILE.EXC(E3:E3818,0.05)</f>
        <v>-1.9504331352905867E-2</v>
      </c>
      <c r="G3">
        <f>AVERAGEIFS(E3:E3819,E3:E3819,"&lt;=" &amp; F3)</f>
        <v>-3.0946085694516096E-2</v>
      </c>
      <c r="J3" s="2" t="s">
        <v>15</v>
      </c>
      <c r="K3">
        <f>B2</f>
        <v>1.0298241476940719E-2</v>
      </c>
      <c r="L3">
        <f>C2</f>
        <v>-3.7283979226042899E-3</v>
      </c>
      <c r="N3">
        <f>D2</f>
        <v>-2.0336729056880932E-2</v>
      </c>
      <c r="O3">
        <f>AVERAGEIFS(E2:E21,E2:E21,"&lt;=" &amp; N3)</f>
        <v>-2.0336729056880932E-2</v>
      </c>
      <c r="P3">
        <v>147.0803791304256</v>
      </c>
      <c r="Q3">
        <v>37.116689999999998</v>
      </c>
      <c r="T3">
        <v>24.62</v>
      </c>
      <c r="U3">
        <f>CORREL(P3:P186,N3:N186)</f>
        <v>-0.10687843917115496</v>
      </c>
      <c r="V3">
        <f>CORREL(P3:P186,O3:O186)</f>
        <v>-0.13967557370894806</v>
      </c>
      <c r="W3">
        <f>CORREL(N3:N186,O3:O186)</f>
        <v>0.95106096452745392</v>
      </c>
      <c r="X3">
        <f>CORREL(P3:P186,T3:T186)</f>
        <v>0.10352983113002698</v>
      </c>
      <c r="Y3">
        <f>CORREL(P3:P186,Q3:Q186)</f>
        <v>-5.7308989775366227E-2</v>
      </c>
    </row>
    <row r="4" spans="1:25" x14ac:dyDescent="0.35">
      <c r="A4" t="s">
        <v>15</v>
      </c>
      <c r="E4">
        <v>1.1854686853129521E-3</v>
      </c>
      <c r="F4">
        <f t="shared" ref="F4:F67" si="0">_xlfn.PERCENTILE.EXC(E4:E3819,0.05)</f>
        <v>-1.9506760034890075E-2</v>
      </c>
      <c r="G4">
        <f t="shared" ref="G4:G67" si="1">AVERAGEIFS(E4:E3820,E4:E3820,"&lt;=" &amp; F4)</f>
        <v>-3.0946085694516096E-2</v>
      </c>
      <c r="J4" s="2" t="s">
        <v>16</v>
      </c>
      <c r="K4">
        <f>B22</f>
        <v>1.4467013344507918E-2</v>
      </c>
      <c r="L4">
        <f>C22</f>
        <v>-4.1164209059427019E-4</v>
      </c>
      <c r="M4">
        <f>K3</f>
        <v>1.0298241476940719E-2</v>
      </c>
      <c r="N4">
        <f>D22</f>
        <v>-3.4269566290219183E-2</v>
      </c>
      <c r="O4">
        <f>AVERAGEIFS(E22:E41,E22:E41,"&lt;=" &amp; N4)</f>
        <v>-3.4607018087643139E-2</v>
      </c>
      <c r="P4">
        <v>171.11748379552878</v>
      </c>
      <c r="Q4">
        <v>33.141820000000003</v>
      </c>
      <c r="R4">
        <f>P3</f>
        <v>147.0803791304256</v>
      </c>
      <c r="S4">
        <v>1.0298241476940719E-2</v>
      </c>
      <c r="T4">
        <v>19.5</v>
      </c>
    </row>
    <row r="5" spans="1:25" x14ac:dyDescent="0.35">
      <c r="A5" t="s">
        <v>15</v>
      </c>
      <c r="E5">
        <v>1.7730875882570056E-3</v>
      </c>
      <c r="F5">
        <f t="shared" si="0"/>
        <v>-1.9509188716874282E-2</v>
      </c>
      <c r="G5">
        <f t="shared" si="1"/>
        <v>-3.0946085694516096E-2</v>
      </c>
      <c r="J5" s="2" t="s">
        <v>17</v>
      </c>
      <c r="K5">
        <f>B42</f>
        <v>3.002925492151302E-3</v>
      </c>
      <c r="L5">
        <f>C42</f>
        <v>7.8002348060876E-3</v>
      </c>
      <c r="M5">
        <f>K4</f>
        <v>1.4467013344507918E-2</v>
      </c>
      <c r="N5">
        <f>D42</f>
        <v>-8.4661261850900536E-3</v>
      </c>
      <c r="O5">
        <f>AVERAGEIFS(E42:E64,E42:E64,"&lt;=" &amp; N5)</f>
        <v>-9.3345658997797693E-3</v>
      </c>
      <c r="P5">
        <v>169.56921673538247</v>
      </c>
      <c r="Q5">
        <v>27.876359999999998</v>
      </c>
      <c r="R5">
        <f t="shared" ref="R5:R68" si="2">P4</f>
        <v>171.11748379552878</v>
      </c>
      <c r="S5">
        <v>1.4467013344507918E-2</v>
      </c>
      <c r="T5">
        <v>17.59</v>
      </c>
    </row>
    <row r="6" spans="1:25" x14ac:dyDescent="0.35">
      <c r="A6" t="s">
        <v>15</v>
      </c>
      <c r="E6">
        <v>5.0409403469570705E-3</v>
      </c>
      <c r="F6">
        <f t="shared" si="0"/>
        <v>-1.951161739885849E-2</v>
      </c>
      <c r="G6">
        <f t="shared" si="1"/>
        <v>-3.0946085694516096E-2</v>
      </c>
      <c r="J6" s="2" t="s">
        <v>18</v>
      </c>
      <c r="K6">
        <f>B65</f>
        <v>-2.0156753290821051E-3</v>
      </c>
      <c r="L6">
        <f>C65</f>
        <v>1.421540592258882E-2</v>
      </c>
      <c r="M6">
        <f t="shared" ref="M6:M69" si="3">K5</f>
        <v>3.002925492151302E-3</v>
      </c>
      <c r="N6">
        <f>D65</f>
        <v>-3.8004846188281927E-2</v>
      </c>
      <c r="O6">
        <f>AVERAGEIFS(E65:E84,E65:E84,"&lt;=" &amp; N6)</f>
        <v>-3.8972081812495389E-2</v>
      </c>
      <c r="P6">
        <v>152.00736059535694</v>
      </c>
      <c r="Q6">
        <v>38.34281</v>
      </c>
      <c r="R6">
        <f t="shared" si="2"/>
        <v>169.56921673538247</v>
      </c>
      <c r="S6">
        <v>7.8002348060876E-3</v>
      </c>
      <c r="T6">
        <v>22.05</v>
      </c>
    </row>
    <row r="7" spans="1:25" x14ac:dyDescent="0.35">
      <c r="A7" t="s">
        <v>15</v>
      </c>
      <c r="E7">
        <v>-5.0690943355877541E-4</v>
      </c>
      <c r="F7">
        <f t="shared" si="0"/>
        <v>-1.9514046080842697E-2</v>
      </c>
      <c r="G7">
        <f t="shared" si="1"/>
        <v>-3.0946085694516096E-2</v>
      </c>
      <c r="J7" s="2" t="s">
        <v>19</v>
      </c>
      <c r="K7">
        <f>B85</f>
        <v>3.2476953607379316E-2</v>
      </c>
      <c r="L7">
        <f>C85</f>
        <v>-4.3371346885742431E-3</v>
      </c>
      <c r="M7">
        <f t="shared" si="3"/>
        <v>-2.0156753290821051E-3</v>
      </c>
      <c r="N7">
        <f>D85</f>
        <v>-4.707360932319523E-2</v>
      </c>
      <c r="O7">
        <f>AVERAGEIFS(E85:E103,E85:E103,"&lt;=" &amp; N7)</f>
        <v>-4.707360932319523E-2</v>
      </c>
      <c r="P7">
        <v>368.2284460521463</v>
      </c>
      <c r="Q7">
        <v>42.291849999999997</v>
      </c>
      <c r="R7">
        <f t="shared" si="2"/>
        <v>152.00736059535694</v>
      </c>
      <c r="S7">
        <v>1.421540592258882E-2</v>
      </c>
      <c r="T7">
        <v>32.07</v>
      </c>
    </row>
    <row r="8" spans="1:25" x14ac:dyDescent="0.35">
      <c r="A8" t="s">
        <v>15</v>
      </c>
      <c r="E8">
        <v>-1.0702390066603793E-2</v>
      </c>
      <c r="F8">
        <f t="shared" si="0"/>
        <v>-1.9516474762826901E-2</v>
      </c>
      <c r="G8">
        <f t="shared" si="1"/>
        <v>-3.0946085694516096E-2</v>
      </c>
      <c r="J8" s="2" t="s">
        <v>20</v>
      </c>
      <c r="K8">
        <f>B104</f>
        <v>1.6751089312753729E-2</v>
      </c>
      <c r="L8">
        <f>C104</f>
        <v>-9.4297090245462872E-4</v>
      </c>
      <c r="M8">
        <f t="shared" si="3"/>
        <v>3.2476953607379316E-2</v>
      </c>
      <c r="N8">
        <f>D104</f>
        <v>-3.9150335322432027E-2</v>
      </c>
      <c r="O8">
        <f>AVERAGEIFS(E104:E125,E104:E125,"&lt;=" &amp; N8)</f>
        <v>-4.0939086753241698E-2</v>
      </c>
      <c r="P8">
        <v>135.45886657506682</v>
      </c>
      <c r="Q8">
        <v>42.061239999999998</v>
      </c>
      <c r="R8">
        <f t="shared" si="2"/>
        <v>368.2284460521463</v>
      </c>
      <c r="S8">
        <v>3.2476953607379316E-2</v>
      </c>
      <c r="T8">
        <v>34.54</v>
      </c>
    </row>
    <row r="9" spans="1:25" x14ac:dyDescent="0.35">
      <c r="A9" t="s">
        <v>15</v>
      </c>
      <c r="E9">
        <v>2.0247696893650361E-4</v>
      </c>
      <c r="F9">
        <f t="shared" si="0"/>
        <v>-1.9518903444811109E-2</v>
      </c>
      <c r="G9">
        <f t="shared" si="1"/>
        <v>-3.0946085694516096E-2</v>
      </c>
      <c r="J9" s="2" t="s">
        <v>21</v>
      </c>
      <c r="K9">
        <f>B126</f>
        <v>1.4469097688919925E-2</v>
      </c>
      <c r="L9">
        <f>C126</f>
        <v>2.5697596449678548E-3</v>
      </c>
      <c r="M9">
        <f t="shared" si="3"/>
        <v>1.6751089312753729E-2</v>
      </c>
      <c r="N9">
        <f>D126</f>
        <v>-2.9274168669556733E-2</v>
      </c>
      <c r="O9">
        <f>AVERAGEIFS(E126:E147,E126:E147,"&lt;=" &amp; N9)</f>
        <v>-3.0370368543586879E-2</v>
      </c>
      <c r="P9">
        <v>187.11679620988335</v>
      </c>
      <c r="Q9">
        <v>35.439799999999998</v>
      </c>
      <c r="R9">
        <f t="shared" si="2"/>
        <v>135.45886657506682</v>
      </c>
      <c r="S9">
        <v>1.6751089312753729E-2</v>
      </c>
      <c r="T9">
        <v>23.5</v>
      </c>
    </row>
    <row r="10" spans="1:25" x14ac:dyDescent="0.35">
      <c r="A10" t="s">
        <v>15</v>
      </c>
      <c r="E10">
        <v>3.7197718223489482E-3</v>
      </c>
      <c r="F10">
        <f t="shared" si="0"/>
        <v>-1.952133212679532E-2</v>
      </c>
      <c r="G10">
        <f t="shared" si="1"/>
        <v>-3.0946085694516096E-2</v>
      </c>
      <c r="J10" s="2" t="s">
        <v>22</v>
      </c>
      <c r="K10">
        <f>B148</f>
        <v>1.378849934091966E-2</v>
      </c>
      <c r="L10">
        <f>C148</f>
        <v>-2.0341845487358186E-3</v>
      </c>
      <c r="M10">
        <f t="shared" si="3"/>
        <v>1.4469097688919925E-2</v>
      </c>
      <c r="N10">
        <f>D148</f>
        <v>-2.7114253636236076E-2</v>
      </c>
      <c r="O10">
        <f>AVERAGEIFS(E148:E168,E148:E168,"&lt;=" &amp; N10)</f>
        <v>-2.7802254639829393E-2</v>
      </c>
      <c r="P10">
        <v>170.77811211563909</v>
      </c>
      <c r="Q10">
        <v>37.272030000000001</v>
      </c>
      <c r="R10">
        <f t="shared" si="2"/>
        <v>187.11679620988335</v>
      </c>
      <c r="S10">
        <v>1.4469097688919925E-2</v>
      </c>
      <c r="T10">
        <v>26.05</v>
      </c>
    </row>
    <row r="11" spans="1:25" x14ac:dyDescent="0.35">
      <c r="A11" t="s">
        <v>15</v>
      </c>
      <c r="E11">
        <v>-1.5405284492522469E-2</v>
      </c>
      <c r="F11">
        <f t="shared" si="0"/>
        <v>-1.9523760808779524E-2</v>
      </c>
      <c r="G11">
        <f t="shared" si="1"/>
        <v>-3.0946085694516096E-2</v>
      </c>
      <c r="J11" s="2" t="s">
        <v>23</v>
      </c>
      <c r="K11">
        <f>B169</f>
        <v>1.17600960929003E-2</v>
      </c>
      <c r="L11">
        <f>C169</f>
        <v>2.8317753448462118E-3</v>
      </c>
      <c r="M11">
        <f t="shared" si="3"/>
        <v>1.378849934091966E-2</v>
      </c>
      <c r="N11">
        <f>D169</f>
        <v>-1.2832338512792035E-2</v>
      </c>
      <c r="O11">
        <f>AVERAGEIFS(E169:E190,E169:E190,"&lt;=" &amp; N11)</f>
        <v>-1.312614847211817E-2</v>
      </c>
      <c r="P11">
        <v>214.52643368357181</v>
      </c>
      <c r="Q11">
        <v>35.565089999999998</v>
      </c>
      <c r="R11">
        <f t="shared" si="2"/>
        <v>170.77811211563909</v>
      </c>
      <c r="S11">
        <v>1.378849934091966E-2</v>
      </c>
      <c r="T11">
        <v>23.7</v>
      </c>
    </row>
    <row r="12" spans="1:25" x14ac:dyDescent="0.35">
      <c r="A12" t="s">
        <v>15</v>
      </c>
      <c r="E12">
        <v>5.8195992705116851E-3</v>
      </c>
      <c r="F12">
        <f t="shared" si="0"/>
        <v>-1.9526189490763731E-2</v>
      </c>
      <c r="G12">
        <f t="shared" si="1"/>
        <v>-3.0946085694516096E-2</v>
      </c>
      <c r="J12" s="2" t="s">
        <v>24</v>
      </c>
      <c r="K12">
        <f>B191</f>
        <v>8.8912244848728395E-3</v>
      </c>
      <c r="L12">
        <f>C191</f>
        <v>1.492909276196865E-3</v>
      </c>
      <c r="M12">
        <f t="shared" si="3"/>
        <v>1.17600960929003E-2</v>
      </c>
      <c r="N12">
        <f>D191</f>
        <v>-1.132795769592598E-2</v>
      </c>
      <c r="O12">
        <f>AVERAGEIFS(E191:E211,E191:E211,"&lt;=" &amp; N12)</f>
        <v>-1.1517581929928283E-2</v>
      </c>
      <c r="P12">
        <v>309.01094125472378</v>
      </c>
      <c r="Q12">
        <v>32.5473</v>
      </c>
      <c r="R12">
        <f t="shared" si="2"/>
        <v>214.52643368357181</v>
      </c>
      <c r="S12">
        <v>1.17600960929003E-2</v>
      </c>
      <c r="T12">
        <v>21.2</v>
      </c>
    </row>
    <row r="13" spans="1:25" x14ac:dyDescent="0.35">
      <c r="A13" t="s">
        <v>15</v>
      </c>
      <c r="E13">
        <v>8.0655190567387684E-3</v>
      </c>
      <c r="F13">
        <f t="shared" si="0"/>
        <v>-1.9528618172747939E-2</v>
      </c>
      <c r="G13">
        <f t="shared" si="1"/>
        <v>-3.0946085694516096E-2</v>
      </c>
      <c r="J13" s="2" t="s">
        <v>25</v>
      </c>
      <c r="K13">
        <f>B212</f>
        <v>1.2833860445702993E-2</v>
      </c>
      <c r="L13">
        <f>C212</f>
        <v>-2.724935247396457E-3</v>
      </c>
      <c r="M13">
        <f t="shared" si="3"/>
        <v>8.8912244848728395E-3</v>
      </c>
      <c r="N13">
        <f>D212</f>
        <v>-2.6443264581158508E-2</v>
      </c>
      <c r="O13">
        <f>AVERAGEIFS(E212:E233,E212:E233,"&lt;=" &amp; N13)</f>
        <v>-2.6689369601376391E-2</v>
      </c>
      <c r="P13">
        <v>152.43801128102848</v>
      </c>
      <c r="Q13">
        <v>40.515819999999998</v>
      </c>
      <c r="R13">
        <f t="shared" si="2"/>
        <v>309.01094125472378</v>
      </c>
      <c r="S13">
        <v>8.8912244848728395E-3</v>
      </c>
      <c r="T13">
        <v>23.54</v>
      </c>
    </row>
    <row r="14" spans="1:25" x14ac:dyDescent="0.35">
      <c r="A14" t="s">
        <v>15</v>
      </c>
      <c r="E14">
        <v>-2.0336729056880932E-2</v>
      </c>
      <c r="F14">
        <f t="shared" si="0"/>
        <v>-1.9531046854732146E-2</v>
      </c>
      <c r="G14">
        <f t="shared" si="1"/>
        <v>-3.0946085694516096E-2</v>
      </c>
      <c r="J14" s="2" t="s">
        <v>26</v>
      </c>
      <c r="K14">
        <f>B234</f>
        <v>8.3745648653889542E-3</v>
      </c>
      <c r="L14">
        <f>C234</f>
        <v>3.3916254127198311E-3</v>
      </c>
      <c r="M14">
        <f t="shared" si="3"/>
        <v>1.2833860445702993E-2</v>
      </c>
      <c r="N14">
        <f>D234</f>
        <v>-1.0305707371435753E-2</v>
      </c>
      <c r="O14">
        <f>AVERAGEIFS(E234:E252,E234:E252,"&lt;=" &amp; N14)</f>
        <v>-1.0305707371435753E-2</v>
      </c>
      <c r="P14">
        <v>311.90800715942743</v>
      </c>
      <c r="Q14">
        <v>31.72045</v>
      </c>
      <c r="R14">
        <f t="shared" si="2"/>
        <v>152.43801128102848</v>
      </c>
      <c r="S14">
        <v>1.2833860445702993E-2</v>
      </c>
      <c r="T14">
        <v>17.75</v>
      </c>
    </row>
    <row r="15" spans="1:25" x14ac:dyDescent="0.35">
      <c r="A15" t="s">
        <v>15</v>
      </c>
      <c r="E15">
        <v>-1.7145602151508774E-2</v>
      </c>
      <c r="F15">
        <f t="shared" si="0"/>
        <v>-1.9488860302988291E-2</v>
      </c>
      <c r="G15">
        <f t="shared" si="1"/>
        <v>-3.094166630635858E-2</v>
      </c>
      <c r="J15" s="2" t="s">
        <v>27</v>
      </c>
      <c r="K15">
        <f>B253</f>
        <v>1.0236787872429589E-2</v>
      </c>
      <c r="L15">
        <f>C253</f>
        <v>1.9698942628634162E-3</v>
      </c>
      <c r="M15">
        <f t="shared" si="3"/>
        <v>8.3745648653889542E-3</v>
      </c>
      <c r="N15">
        <f>D253</f>
        <v>-1.6457913987091954E-2</v>
      </c>
      <c r="O15">
        <f>AVERAGEIFS(E253:E272,E253:E272,"&lt;=" &amp; N15)</f>
        <v>-1.6576600844849878E-2</v>
      </c>
      <c r="P15">
        <v>162.46417461815372</v>
      </c>
      <c r="Q15">
        <v>31.13862</v>
      </c>
      <c r="R15">
        <f t="shared" si="2"/>
        <v>311.90800715942743</v>
      </c>
      <c r="S15">
        <v>8.3745648653889542E-3</v>
      </c>
      <c r="T15">
        <v>19.53</v>
      </c>
    </row>
    <row r="16" spans="1:25" x14ac:dyDescent="0.35">
      <c r="A16" t="s">
        <v>15</v>
      </c>
      <c r="E16">
        <v>-1.0772022202861666E-2</v>
      </c>
      <c r="F16">
        <f t="shared" si="0"/>
        <v>-1.949049730378128E-2</v>
      </c>
      <c r="G16">
        <f t="shared" si="1"/>
        <v>-3.094166630635858E-2</v>
      </c>
      <c r="J16" s="2" t="s">
        <v>28</v>
      </c>
      <c r="K16">
        <f>B273</f>
        <v>8.3468872925292811E-3</v>
      </c>
      <c r="L16">
        <f>C273</f>
        <v>1.2919883180105437E-3</v>
      </c>
      <c r="M16">
        <f t="shared" si="3"/>
        <v>1.0236787872429589E-2</v>
      </c>
      <c r="N16">
        <f>D273</f>
        <v>-1.4327233562842762E-2</v>
      </c>
      <c r="O16">
        <f>AVERAGEIFS(E273:E292,E273:E292,"&lt;=" &amp; N16)</f>
        <v>-1.4472271054620674E-2</v>
      </c>
      <c r="P16">
        <v>210.0111903468607</v>
      </c>
      <c r="Q16">
        <v>31.327290000000001</v>
      </c>
      <c r="R16">
        <f t="shared" si="2"/>
        <v>162.46417461815372</v>
      </c>
      <c r="S16">
        <v>1.0236787872429589E-2</v>
      </c>
      <c r="T16">
        <v>18.350000000000001</v>
      </c>
    </row>
    <row r="17" spans="1:20" x14ac:dyDescent="0.35">
      <c r="A17" t="s">
        <v>15</v>
      </c>
      <c r="E17">
        <v>-1.0241282361535963E-2</v>
      </c>
      <c r="F17">
        <f t="shared" si="0"/>
        <v>-1.9492134304574273E-2</v>
      </c>
      <c r="G17">
        <f t="shared" si="1"/>
        <v>-3.094166630635858E-2</v>
      </c>
      <c r="J17" s="2" t="s">
        <v>29</v>
      </c>
      <c r="K17">
        <f>B293</f>
        <v>1.257788253327484E-2</v>
      </c>
      <c r="L17">
        <f>C293</f>
        <v>-1.3009776972515695E-3</v>
      </c>
      <c r="M17">
        <f t="shared" si="3"/>
        <v>8.3468872925292811E-3</v>
      </c>
      <c r="N17">
        <f>D293</f>
        <v>-2.4814054352751337E-2</v>
      </c>
      <c r="O17">
        <f>AVERAGEIFS(E293:E315,E293:E315,"&lt;=" &amp; N17)</f>
        <v>-2.5381019285010398E-2</v>
      </c>
      <c r="P17">
        <v>271.07414381300066</v>
      </c>
      <c r="Q17">
        <v>31.331520000000001</v>
      </c>
      <c r="R17">
        <f t="shared" si="2"/>
        <v>210.0111903468607</v>
      </c>
      <c r="S17">
        <v>8.3468872925292811E-3</v>
      </c>
      <c r="T17">
        <v>17.739999999999998</v>
      </c>
    </row>
    <row r="18" spans="1:20" x14ac:dyDescent="0.35">
      <c r="A18" t="s">
        <v>15</v>
      </c>
      <c r="E18">
        <v>6.6386764110315175E-3</v>
      </c>
      <c r="F18">
        <f t="shared" si="0"/>
        <v>-1.9493771305367263E-2</v>
      </c>
      <c r="G18">
        <f t="shared" si="1"/>
        <v>-3.094166630635858E-2</v>
      </c>
      <c r="J18" s="2" t="s">
        <v>30</v>
      </c>
      <c r="K18">
        <f>B316</f>
        <v>1.1120532177235402E-2</v>
      </c>
      <c r="L18">
        <f>C316</f>
        <v>1.5886492264043186E-3</v>
      </c>
      <c r="M18">
        <f t="shared" si="3"/>
        <v>1.257788253327484E-2</v>
      </c>
      <c r="N18">
        <f>D316</f>
        <v>-1.6732208654312124E-2</v>
      </c>
      <c r="O18">
        <f>AVERAGEIFS(E316:E333,E316:E333,"&lt;=" &amp; N18)</f>
        <v>-2.3739231732062827E-2</v>
      </c>
      <c r="P18">
        <v>241.78795016043958</v>
      </c>
      <c r="Q18">
        <v>27.39622</v>
      </c>
      <c r="R18">
        <f t="shared" si="2"/>
        <v>271.07414381300066</v>
      </c>
      <c r="S18">
        <v>1.257788253327484E-2</v>
      </c>
      <c r="T18">
        <v>14.75</v>
      </c>
    </row>
    <row r="19" spans="1:20" x14ac:dyDescent="0.35">
      <c r="A19" t="s">
        <v>15</v>
      </c>
      <c r="E19">
        <v>-1.2486219808300055E-2</v>
      </c>
      <c r="F19">
        <f t="shared" si="0"/>
        <v>-1.9495408306160256E-2</v>
      </c>
      <c r="G19">
        <f t="shared" si="1"/>
        <v>-3.094166630635858E-2</v>
      </c>
      <c r="J19" s="2" t="s">
        <v>31</v>
      </c>
      <c r="K19">
        <f>B334</f>
        <v>1.0378127499091477E-2</v>
      </c>
      <c r="L19">
        <f>C334</f>
        <v>-1.2076762162847839E-3</v>
      </c>
      <c r="M19">
        <f t="shared" si="3"/>
        <v>1.1120532177235402E-2</v>
      </c>
      <c r="N19">
        <f>D334</f>
        <v>-2.0837406582410203E-2</v>
      </c>
      <c r="O19">
        <f>AVERAGEIFS(E334:E353,E334:E353,"&lt;=" &amp; N19)</f>
        <v>-2.123954375232482E-2</v>
      </c>
      <c r="P19">
        <v>164.03363825314077</v>
      </c>
      <c r="Q19">
        <v>29.241160000000001</v>
      </c>
      <c r="R19">
        <f t="shared" si="2"/>
        <v>241.78795016043958</v>
      </c>
      <c r="S19">
        <v>1.1120532177235402E-2</v>
      </c>
      <c r="T19">
        <v>15.45</v>
      </c>
    </row>
    <row r="20" spans="1:20" x14ac:dyDescent="0.35">
      <c r="A20" t="s">
        <v>15</v>
      </c>
      <c r="E20">
        <v>-1.9067273499736428E-2</v>
      </c>
      <c r="F20">
        <f t="shared" si="0"/>
        <v>-1.9497045306953249E-2</v>
      </c>
      <c r="G20">
        <f t="shared" si="1"/>
        <v>-3.094166630635858E-2</v>
      </c>
      <c r="J20" s="2" t="s">
        <v>32</v>
      </c>
      <c r="K20">
        <f>B354</f>
        <v>1.2573994468249401E-2</v>
      </c>
      <c r="L20">
        <f>C354</f>
        <v>-2.8140528075772781E-4</v>
      </c>
      <c r="M20">
        <f t="shared" si="3"/>
        <v>1.0378127499091477E-2</v>
      </c>
      <c r="N20">
        <f>D354</f>
        <v>-2.14239835266338E-2</v>
      </c>
      <c r="O20">
        <f>AVERAGEIFS(E354:E375,E354:E375,"&lt;=" &amp; N20)</f>
        <v>-2.1825714003503794E-2</v>
      </c>
      <c r="P20">
        <v>228.37820428264607</v>
      </c>
      <c r="Q20">
        <v>31.286750000000001</v>
      </c>
      <c r="R20">
        <f t="shared" si="2"/>
        <v>164.03363825314077</v>
      </c>
      <c r="S20">
        <v>1.0378127499091477E-2</v>
      </c>
      <c r="T20">
        <v>16.52</v>
      </c>
    </row>
    <row r="21" spans="1:20" x14ac:dyDescent="0.35">
      <c r="A21" t="s">
        <v>15</v>
      </c>
      <c r="E21">
        <v>1.3642724977193576E-2</v>
      </c>
      <c r="F21">
        <f t="shared" si="0"/>
        <v>-1.9499473988937456E-2</v>
      </c>
      <c r="G21">
        <f t="shared" si="1"/>
        <v>-3.1002219856619984E-2</v>
      </c>
      <c r="J21" s="2" t="s">
        <v>33</v>
      </c>
      <c r="K21">
        <f>B376</f>
        <v>1.1662950581458137E-2</v>
      </c>
      <c r="L21">
        <f>C376</f>
        <v>-3.8712650699232764E-3</v>
      </c>
      <c r="M21">
        <f t="shared" si="3"/>
        <v>1.2573994468249401E-2</v>
      </c>
      <c r="N21">
        <f>D376</f>
        <v>-2.6779706177487126E-2</v>
      </c>
      <c r="O21">
        <f>AVERAGEIFS(E376:E396,E376:E396,"&lt;=" &amp; N21)</f>
        <v>-2.7469458289347246E-2</v>
      </c>
      <c r="P21">
        <v>211.36402454797417</v>
      </c>
      <c r="Q21">
        <v>39.728549999999998</v>
      </c>
      <c r="R21">
        <f t="shared" si="2"/>
        <v>228.37820428264607</v>
      </c>
      <c r="S21">
        <v>1.2573994468249401E-2</v>
      </c>
      <c r="T21">
        <v>25.25</v>
      </c>
    </row>
    <row r="22" spans="1:20" x14ac:dyDescent="0.35">
      <c r="A22" t="s">
        <v>16</v>
      </c>
      <c r="B22" s="3" cm="1">
        <f t="array" ref="B22">_xlfn.STDEV.S(_xlfn._xlws.FILTER($E$2:$E$1000, $A$2:$A$1000="2010-02"))</f>
        <v>1.4467013344507918E-2</v>
      </c>
      <c r="C22" s="3" cm="1">
        <f t="array" ref="C22">AVERAGE(_xlfn._xlws.FILTER($E$2:$E$1000, $A$2:$A$1000="2010-02"))</f>
        <v>-4.1164209059427019E-4</v>
      </c>
      <c r="D22" s="3" cm="1">
        <f t="array" ref="D22">_xlfn.PERCENTILE.EXC(_xlfn._xlws.FILTER($E$22:$E$41, $A$22:$A$41="2010-02"), 0.05)</f>
        <v>-3.4269566290219183E-2</v>
      </c>
      <c r="E22">
        <v>6.0121730606774743E-3</v>
      </c>
      <c r="F22">
        <f t="shared" si="0"/>
        <v>-1.9501902670921663E-2</v>
      </c>
      <c r="G22">
        <f t="shared" si="1"/>
        <v>-3.1002219856619984E-2</v>
      </c>
      <c r="J22" s="4" t="s">
        <v>34</v>
      </c>
      <c r="K22" s="3">
        <f>B397</f>
        <v>2.8411018478895652E-2</v>
      </c>
      <c r="L22" s="3">
        <f>C397</f>
        <v>-5.7051209030652677E-3</v>
      </c>
      <c r="M22">
        <f t="shared" si="3"/>
        <v>1.1662950581458137E-2</v>
      </c>
      <c r="N22" s="3">
        <f>D397</f>
        <v>-5.6319181825641898E-2</v>
      </c>
      <c r="O22" s="3">
        <f>AVERAGEIFS(E397:E417,E397:E417,"&lt;=" &amp; N22)</f>
        <v>-5.6346434663959041E-2</v>
      </c>
      <c r="P22" s="3">
        <v>256.70832615054053</v>
      </c>
      <c r="Q22" s="3">
        <v>51.370930000000001</v>
      </c>
      <c r="R22">
        <f t="shared" si="2"/>
        <v>211.36402454797417</v>
      </c>
      <c r="S22">
        <v>1.1662950581458137E-2</v>
      </c>
      <c r="T22" s="3">
        <v>31.62</v>
      </c>
    </row>
    <row r="23" spans="1:20" x14ac:dyDescent="0.35">
      <c r="A23" t="s">
        <v>16</v>
      </c>
      <c r="E23">
        <v>1.3234699007767034E-2</v>
      </c>
      <c r="F23">
        <f t="shared" si="0"/>
        <v>-1.9504331352905867E-2</v>
      </c>
      <c r="G23">
        <f t="shared" si="1"/>
        <v>-3.1002219856619984E-2</v>
      </c>
      <c r="J23" s="2" t="s">
        <v>35</v>
      </c>
      <c r="K23">
        <f>B418</f>
        <v>2.9003433734277571E-2</v>
      </c>
      <c r="L23">
        <f>C418</f>
        <v>-4.0069106227391725E-3</v>
      </c>
      <c r="M23">
        <f t="shared" si="3"/>
        <v>2.8411018478895652E-2</v>
      </c>
      <c r="N23">
        <f>D418</f>
        <v>-5.3113488410767698E-2</v>
      </c>
      <c r="O23">
        <f>AVERAGEIFS(E418:E439,E418:E439,"&lt;=" &amp; N23)</f>
        <v>-5.3931739247359847E-2</v>
      </c>
      <c r="P23">
        <v>312.2534632145842</v>
      </c>
      <c r="Q23">
        <v>62.779389999999999</v>
      </c>
      <c r="R23">
        <f t="shared" si="2"/>
        <v>256.70832615054053</v>
      </c>
      <c r="S23">
        <v>2.8411018478895652E-2</v>
      </c>
      <c r="T23">
        <v>42.96</v>
      </c>
    </row>
    <row r="24" spans="1:20" x14ac:dyDescent="0.35">
      <c r="A24" t="s">
        <v>16</v>
      </c>
      <c r="E24">
        <v>-4.9069205430398071E-3</v>
      </c>
      <c r="F24">
        <f t="shared" si="0"/>
        <v>-1.9506760034890075E-2</v>
      </c>
      <c r="G24">
        <f t="shared" si="1"/>
        <v>-3.1002219856619984E-2</v>
      </c>
      <c r="J24" s="2" t="s">
        <v>36</v>
      </c>
      <c r="K24">
        <f>B440</f>
        <v>2.4361455327757225E-2</v>
      </c>
      <c r="L24">
        <f>C440</f>
        <v>3.9937469827671076E-3</v>
      </c>
      <c r="M24">
        <f t="shared" si="3"/>
        <v>2.9003433734277571E-2</v>
      </c>
      <c r="N24">
        <f>D440</f>
        <v>-3.1532432900251157E-2</v>
      </c>
      <c r="O24">
        <f>AVERAGEIFS(E440:E460,E440:E460,"&lt;=" &amp; N24)</f>
        <v>-3.2101817893642824E-2</v>
      </c>
      <c r="P24">
        <v>298.85209459124127</v>
      </c>
      <c r="Q24">
        <v>48.978070000000002</v>
      </c>
      <c r="R24">
        <f t="shared" si="2"/>
        <v>312.2534632145842</v>
      </c>
      <c r="S24">
        <v>2.9003433734277571E-2</v>
      </c>
      <c r="T24">
        <v>29.96</v>
      </c>
    </row>
    <row r="25" spans="1:20" x14ac:dyDescent="0.35">
      <c r="A25" t="s">
        <v>16</v>
      </c>
      <c r="E25">
        <v>-2.7857982139164031E-2</v>
      </c>
      <c r="F25">
        <f t="shared" si="0"/>
        <v>-1.9509188716874282E-2</v>
      </c>
      <c r="G25">
        <f t="shared" si="1"/>
        <v>-3.1002219856619984E-2</v>
      </c>
      <c r="J25" s="2" t="s">
        <v>37</v>
      </c>
      <c r="K25">
        <f>B461</f>
        <v>2.4947666841594468E-2</v>
      </c>
      <c r="L25">
        <f>C461</f>
        <v>-1.2537020034230266E-3</v>
      </c>
      <c r="M25">
        <f t="shared" si="3"/>
        <v>2.4361455327757225E-2</v>
      </c>
      <c r="N25">
        <f>D461</f>
        <v>-5.2216252947196111E-2</v>
      </c>
      <c r="O25">
        <f>AVERAGEIFS(E461:E482,E461:E482,"&lt;=" &amp; N25)</f>
        <v>-5.5316049424222635E-2</v>
      </c>
      <c r="P25">
        <v>361.36985406003123</v>
      </c>
      <c r="Q25">
        <v>49.869079999999997</v>
      </c>
      <c r="R25">
        <f t="shared" si="2"/>
        <v>298.85209459124127</v>
      </c>
      <c r="S25">
        <v>2.4361455327757225E-2</v>
      </c>
      <c r="T25">
        <v>27.8</v>
      </c>
    </row>
    <row r="26" spans="1:20" x14ac:dyDescent="0.35">
      <c r="A26" t="s">
        <v>16</v>
      </c>
      <c r="E26">
        <v>-3.4607018087643139E-2</v>
      </c>
      <c r="F26">
        <f t="shared" si="0"/>
        <v>-1.9474127295851362E-2</v>
      </c>
      <c r="G26">
        <f t="shared" si="1"/>
        <v>-3.0957982095602993E-2</v>
      </c>
      <c r="J26" s="2" t="s">
        <v>38</v>
      </c>
      <c r="K26">
        <f>B483</f>
        <v>1.6588512799806363E-2</v>
      </c>
      <c r="L26">
        <f>C483</f>
        <v>8.2192710485756276E-5</v>
      </c>
      <c r="M26">
        <f t="shared" si="3"/>
        <v>2.4947666841594468E-2</v>
      </c>
      <c r="N26">
        <f>D483</f>
        <v>-3.3504564942862101E-2</v>
      </c>
      <c r="O26">
        <f>AVERAGEIFS(E483:E502,E483:E502,"&lt;=" &amp; N26)</f>
        <v>-3.3876687195497107E-2</v>
      </c>
      <c r="P26">
        <v>283.25138728551804</v>
      </c>
      <c r="Q26">
        <v>41.6721</v>
      </c>
      <c r="R26">
        <f t="shared" si="2"/>
        <v>361.36985406003123</v>
      </c>
      <c r="S26">
        <v>2.4947666841594468E-2</v>
      </c>
      <c r="T26">
        <v>23.4</v>
      </c>
    </row>
    <row r="27" spans="1:20" x14ac:dyDescent="0.35">
      <c r="A27" t="s">
        <v>16</v>
      </c>
      <c r="E27">
        <v>1.2135086295849886E-2</v>
      </c>
      <c r="F27">
        <f t="shared" si="0"/>
        <v>-1.9453835786701658E-2</v>
      </c>
      <c r="G27">
        <f t="shared" si="1"/>
        <v>-3.0877861922076276E-2</v>
      </c>
      <c r="J27" s="2" t="s">
        <v>39</v>
      </c>
      <c r="K27">
        <f>B503</f>
        <v>1.2870850423329454E-2</v>
      </c>
      <c r="L27">
        <f>C503</f>
        <v>2.0462418458271495E-3</v>
      </c>
      <c r="M27">
        <f t="shared" si="3"/>
        <v>1.6588512799806363E-2</v>
      </c>
      <c r="N27">
        <f>D503</f>
        <v>-1.6129326141021562E-2</v>
      </c>
      <c r="O27">
        <f>AVERAGEIFS(E503:E523,E503:E523,"&lt;=" &amp; N27)</f>
        <v>-1.6135457290221183E-2</v>
      </c>
      <c r="P27">
        <v>289.3977719458548</v>
      </c>
      <c r="Q27">
        <v>34.387320000000003</v>
      </c>
      <c r="R27">
        <f t="shared" si="2"/>
        <v>283.25138728551804</v>
      </c>
      <c r="S27">
        <v>1.6588512799806363E-2</v>
      </c>
      <c r="T27">
        <v>19.440000000000001</v>
      </c>
    </row>
    <row r="28" spans="1:20" x14ac:dyDescent="0.35">
      <c r="A28" t="s">
        <v>16</v>
      </c>
      <c r="E28">
        <v>1.5207695973780417E-3</v>
      </c>
      <c r="F28">
        <f t="shared" si="0"/>
        <v>-1.945464113319333E-2</v>
      </c>
      <c r="G28">
        <f t="shared" si="1"/>
        <v>-3.0877861922076276E-2</v>
      </c>
      <c r="J28" s="2" t="s">
        <v>40</v>
      </c>
      <c r="K28">
        <f>B524</f>
        <v>8.0749584709176331E-3</v>
      </c>
      <c r="L28">
        <f>C524</f>
        <v>2.1714831412367585E-3</v>
      </c>
      <c r="M28">
        <f t="shared" si="3"/>
        <v>1.2870850423329454E-2</v>
      </c>
      <c r="N28">
        <f>D524</f>
        <v>-1.4396004318346818E-2</v>
      </c>
      <c r="O28">
        <f>AVERAGEIFS(E524:E544,E524:E544,"&lt;=" &amp; N28)</f>
        <v>-1.517273530066989E-2</v>
      </c>
      <c r="P28">
        <v>299.14963243652801</v>
      </c>
      <c r="Q28">
        <v>31.961829999999999</v>
      </c>
      <c r="R28">
        <f t="shared" si="2"/>
        <v>289.3977719458548</v>
      </c>
      <c r="S28">
        <v>1.2870850423329454E-2</v>
      </c>
      <c r="T28">
        <v>18.43</v>
      </c>
    </row>
    <row r="29" spans="1:20" x14ac:dyDescent="0.35">
      <c r="A29" t="s">
        <v>16</v>
      </c>
      <c r="E29">
        <v>6.3048866693101871E-3</v>
      </c>
      <c r="F29">
        <f t="shared" si="0"/>
        <v>-1.9455446479685005E-2</v>
      </c>
      <c r="G29">
        <f t="shared" si="1"/>
        <v>-3.0877861922076276E-2</v>
      </c>
      <c r="J29" s="2" t="s">
        <v>41</v>
      </c>
      <c r="K29">
        <f>B545</f>
        <v>1.3214896999264846E-2</v>
      </c>
      <c r="L29">
        <f>C545</f>
        <v>-3.7864353870829934E-4</v>
      </c>
      <c r="M29">
        <f t="shared" si="3"/>
        <v>8.0749584709176331E-3</v>
      </c>
      <c r="N29">
        <f>D545</f>
        <v>-3.3373314924004499E-2</v>
      </c>
      <c r="O29">
        <f>AVERAGEIFS(E545:E566,E545:E566,"&lt;=" &amp; N29)</f>
        <v>-3.6494027980830963E-2</v>
      </c>
      <c r="P29">
        <v>219.13884320323302</v>
      </c>
      <c r="Q29">
        <v>30.058730000000001</v>
      </c>
      <c r="R29">
        <f t="shared" si="2"/>
        <v>299.14963243652801</v>
      </c>
      <c r="S29">
        <v>8.0749584709176331E-3</v>
      </c>
      <c r="T29">
        <v>15.5</v>
      </c>
    </row>
    <row r="30" spans="1:20" x14ac:dyDescent="0.35">
      <c r="A30" t="s">
        <v>16</v>
      </c>
      <c r="E30">
        <v>-5.2010773087542731E-3</v>
      </c>
      <c r="F30">
        <f t="shared" si="0"/>
        <v>-1.9456251826176676E-2</v>
      </c>
      <c r="G30">
        <f t="shared" si="1"/>
        <v>-3.0877861922076276E-2</v>
      </c>
      <c r="J30" s="2" t="s">
        <v>42</v>
      </c>
      <c r="K30">
        <f>B567</f>
        <v>1.8690190346869112E-2</v>
      </c>
      <c r="L30">
        <f>C567</f>
        <v>-3.3479544742320258E-3</v>
      </c>
      <c r="M30">
        <f t="shared" si="3"/>
        <v>1.3214896999264846E-2</v>
      </c>
      <c r="N30">
        <f>D567</f>
        <v>-3.1271812338847065E-2</v>
      </c>
      <c r="O30">
        <f>AVERAGEIFS(E567:E585,E567:E585,"&lt;=" &amp; N30)</f>
        <v>-3.1271812338847065E-2</v>
      </c>
      <c r="P30">
        <v>330.94551775743366</v>
      </c>
      <c r="Q30">
        <v>35.65361</v>
      </c>
      <c r="R30">
        <f t="shared" si="2"/>
        <v>219.13884320323302</v>
      </c>
      <c r="S30">
        <v>1.3214896999264846E-2</v>
      </c>
      <c r="T30">
        <v>17.149999999999999</v>
      </c>
    </row>
    <row r="31" spans="1:20" x14ac:dyDescent="0.35">
      <c r="A31" t="s">
        <v>16</v>
      </c>
      <c r="E31">
        <v>-4.9003537726349192E-3</v>
      </c>
      <c r="F31">
        <f t="shared" si="0"/>
        <v>-1.9457057172668352E-2</v>
      </c>
      <c r="G31">
        <f t="shared" si="1"/>
        <v>-3.0877861922076276E-2</v>
      </c>
      <c r="J31" s="2" t="s">
        <v>43</v>
      </c>
      <c r="K31">
        <f>B586</f>
        <v>1.2308697978482308E-2</v>
      </c>
      <c r="L31">
        <f>C586</f>
        <v>-2.9941217310908825E-3</v>
      </c>
      <c r="M31">
        <f t="shared" si="3"/>
        <v>1.8690190346869112E-2</v>
      </c>
      <c r="N31">
        <f>D586</f>
        <v>-2.6219616998057749E-2</v>
      </c>
      <c r="O31">
        <f>AVERAGEIFS(E586:E606,E586:E606,"&lt;=" &amp; N31)</f>
        <v>-2.6554943105215157E-2</v>
      </c>
      <c r="P31">
        <v>313.97367466007552</v>
      </c>
      <c r="Q31">
        <v>43.20946</v>
      </c>
      <c r="R31">
        <f t="shared" si="2"/>
        <v>330.94551775743366</v>
      </c>
      <c r="S31">
        <v>1.8690190346869112E-2</v>
      </c>
      <c r="T31">
        <v>24.06</v>
      </c>
    </row>
    <row r="32" spans="1:20" x14ac:dyDescent="0.35">
      <c r="A32" t="s">
        <v>16</v>
      </c>
      <c r="E32">
        <v>2.8162037621422783E-3</v>
      </c>
      <c r="F32">
        <f t="shared" si="0"/>
        <v>-1.9457862519160023E-2</v>
      </c>
      <c r="G32">
        <f t="shared" si="1"/>
        <v>-3.0877861922076276E-2</v>
      </c>
      <c r="J32" s="2" t="s">
        <v>44</v>
      </c>
      <c r="K32">
        <f>B607</f>
        <v>1.7338811428381562E-2</v>
      </c>
      <c r="L32">
        <f>C607</f>
        <v>3.0440585119472633E-3</v>
      </c>
      <c r="M32">
        <f t="shared" si="3"/>
        <v>1.2308697978482308E-2</v>
      </c>
      <c r="N32">
        <f>D607</f>
        <v>-2.2662580288914502E-2</v>
      </c>
      <c r="O32">
        <f>AVERAGEIFS(E607:E625,E607:E625,"&lt;=" &amp; N32)</f>
        <v>-2.2662580288914502E-2</v>
      </c>
      <c r="P32">
        <v>380.179149625006</v>
      </c>
      <c r="Q32">
        <v>31.559560000000001</v>
      </c>
      <c r="R32">
        <f t="shared" si="2"/>
        <v>313.97367466007552</v>
      </c>
      <c r="S32">
        <v>1.2308697978482308E-2</v>
      </c>
      <c r="T32">
        <v>17.079999999999998</v>
      </c>
    </row>
    <row r="33" spans="1:20" x14ac:dyDescent="0.35">
      <c r="A33" t="s">
        <v>16</v>
      </c>
      <c r="E33">
        <v>1.6438364949822308E-2</v>
      </c>
      <c r="F33">
        <f t="shared" si="0"/>
        <v>-1.9458667865651699E-2</v>
      </c>
      <c r="G33">
        <f t="shared" si="1"/>
        <v>-3.0877861922076276E-2</v>
      </c>
      <c r="J33" s="2" t="s">
        <v>45</v>
      </c>
      <c r="K33">
        <f>B626</f>
        <v>1.5761433538686503E-2</v>
      </c>
      <c r="L33">
        <f>C626</f>
        <v>1.3313004705118813E-3</v>
      </c>
      <c r="M33">
        <f t="shared" si="3"/>
        <v>1.7338811428381562E-2</v>
      </c>
      <c r="N33">
        <f>D626</f>
        <v>-2.8182989868335707E-2</v>
      </c>
      <c r="O33">
        <f>AVERAGEIFS(E626:E647,E626:E647,"&lt;=" &amp; N33)</f>
        <v>-2.9344071502311404E-2</v>
      </c>
      <c r="P33">
        <v>241.55753384834023</v>
      </c>
      <c r="Q33">
        <v>34.46763</v>
      </c>
      <c r="R33">
        <f t="shared" si="2"/>
        <v>380.179149625006</v>
      </c>
      <c r="S33">
        <v>1.7338811428381562E-2</v>
      </c>
      <c r="T33">
        <v>18.93</v>
      </c>
    </row>
    <row r="34" spans="1:20" x14ac:dyDescent="0.35">
      <c r="A34" t="s">
        <v>16</v>
      </c>
      <c r="E34">
        <v>1.5193178614498926E-2</v>
      </c>
      <c r="F34">
        <f t="shared" si="0"/>
        <v>-1.945947321214337E-2</v>
      </c>
      <c r="G34">
        <f t="shared" si="1"/>
        <v>-3.0877861922076276E-2</v>
      </c>
      <c r="J34" s="2" t="s">
        <v>46</v>
      </c>
      <c r="K34">
        <f>B648</f>
        <v>1.3655208164325866E-2</v>
      </c>
      <c r="L34">
        <f>C648</f>
        <v>1.7247706061471091E-3</v>
      </c>
      <c r="M34">
        <f t="shared" si="3"/>
        <v>1.5761433538686503E-2</v>
      </c>
      <c r="N34">
        <f>D648</f>
        <v>-2.5952457346496434E-2</v>
      </c>
      <c r="O34">
        <f>AVERAGEIFS(E648:E668,E648:E668,"&lt;=" &amp; N34)</f>
        <v>-2.7191094823623824E-2</v>
      </c>
      <c r="P34">
        <v>144.79932603116598</v>
      </c>
      <c r="Q34">
        <v>32.31174</v>
      </c>
      <c r="R34">
        <f t="shared" si="2"/>
        <v>241.55753384834023</v>
      </c>
      <c r="S34">
        <v>1.5761433538686503E-2</v>
      </c>
      <c r="T34">
        <v>17.47</v>
      </c>
    </row>
    <row r="35" spans="1:20" x14ac:dyDescent="0.35">
      <c r="A35" t="s">
        <v>16</v>
      </c>
      <c r="E35">
        <v>6.0537797420882992E-3</v>
      </c>
      <c r="F35">
        <f t="shared" si="0"/>
        <v>-1.9460278558635045E-2</v>
      </c>
      <c r="G35">
        <f t="shared" si="1"/>
        <v>-3.0877861922076276E-2</v>
      </c>
      <c r="J35" s="2" t="s">
        <v>47</v>
      </c>
      <c r="K35">
        <f>B669</f>
        <v>1.4390837679395807E-2</v>
      </c>
      <c r="L35">
        <f>C669</f>
        <v>-8.6070309060297455E-4</v>
      </c>
      <c r="M35">
        <f t="shared" si="3"/>
        <v>1.3655208164325866E-2</v>
      </c>
      <c r="N35">
        <f>D669</f>
        <v>-2.8385548096617124E-2</v>
      </c>
      <c r="O35">
        <f>AVERAGEIFS(E669:E688,E669:E688,"&lt;=" &amp; N35)</f>
        <v>-2.8570279064389557E-2</v>
      </c>
      <c r="P35">
        <v>243.70951788540611</v>
      </c>
      <c r="Q35">
        <v>30.108720000000002</v>
      </c>
      <c r="R35">
        <f t="shared" si="2"/>
        <v>144.79932603116598</v>
      </c>
      <c r="S35">
        <v>1.3655208164325866E-2</v>
      </c>
      <c r="T35">
        <v>15.73</v>
      </c>
    </row>
    <row r="36" spans="1:20" x14ac:dyDescent="0.35">
      <c r="A36" t="s">
        <v>16</v>
      </c>
      <c r="E36">
        <v>5.7759722767733264E-3</v>
      </c>
      <c r="F36">
        <f t="shared" si="0"/>
        <v>-1.9461083905126717E-2</v>
      </c>
      <c r="G36">
        <f t="shared" si="1"/>
        <v>-3.0877861922076276E-2</v>
      </c>
      <c r="J36" s="2" t="s">
        <v>48</v>
      </c>
      <c r="K36">
        <f>B689</f>
        <v>1.1946794390037213E-2</v>
      </c>
      <c r="L36">
        <f>C689</f>
        <v>9.5431707916615247E-4</v>
      </c>
      <c r="M36">
        <f t="shared" si="3"/>
        <v>1.4390837679395807E-2</v>
      </c>
      <c r="N36">
        <f>D689</f>
        <v>-2.0768026566525859E-2</v>
      </c>
      <c r="O36">
        <f>AVERAGEIFS(E689:E711,E689:E711,"&lt;=" &amp; N36)</f>
        <v>-2.2280394779978261E-2</v>
      </c>
      <c r="P36">
        <v>284.00884266923134</v>
      </c>
      <c r="Q36">
        <v>28.809349999999998</v>
      </c>
      <c r="R36">
        <f t="shared" si="2"/>
        <v>243.70951788540611</v>
      </c>
      <c r="S36">
        <v>1.4390837679395807E-2</v>
      </c>
      <c r="T36">
        <v>18.600000000000001</v>
      </c>
    </row>
    <row r="37" spans="1:20" x14ac:dyDescent="0.35">
      <c r="A37" t="s">
        <v>16</v>
      </c>
      <c r="E37">
        <v>-3.4120656415801477E-3</v>
      </c>
      <c r="F37">
        <f t="shared" si="0"/>
        <v>-1.9461889251618392E-2</v>
      </c>
      <c r="G37">
        <f t="shared" si="1"/>
        <v>-3.0877861922076276E-2</v>
      </c>
      <c r="J37" s="2" t="s">
        <v>49</v>
      </c>
      <c r="K37">
        <f>B712</f>
        <v>1.0750280958294375E-2</v>
      </c>
      <c r="L37">
        <f>C712</f>
        <v>1.6658544250273083E-3</v>
      </c>
      <c r="M37">
        <f t="shared" si="3"/>
        <v>1.1946794390037213E-2</v>
      </c>
      <c r="N37">
        <f>D712</f>
        <v>-1.8946896556114985E-2</v>
      </c>
      <c r="O37">
        <f>AVERAGEIFS(E712:E733,E712:E733,"&lt;=" &amp; N37)</f>
        <v>-2.0055112698893814E-2</v>
      </c>
      <c r="P37">
        <v>332.82085591141697</v>
      </c>
      <c r="Q37">
        <v>21.524550000000001</v>
      </c>
      <c r="R37">
        <f t="shared" si="2"/>
        <v>284.00884266923134</v>
      </c>
      <c r="S37">
        <v>1.1946794390037213E-2</v>
      </c>
      <c r="T37">
        <v>15.87</v>
      </c>
    </row>
    <row r="38" spans="1:20" x14ac:dyDescent="0.35">
      <c r="A38" t="s">
        <v>16</v>
      </c>
      <c r="E38">
        <v>-1.330180282624208E-2</v>
      </c>
      <c r="F38">
        <f t="shared" si="0"/>
        <v>-1.9462694598110064E-2</v>
      </c>
      <c r="G38">
        <f t="shared" si="1"/>
        <v>-3.0877861922076276E-2</v>
      </c>
      <c r="J38" s="2" t="s">
        <v>50</v>
      </c>
      <c r="K38">
        <f>B734</f>
        <v>4.86157741406993E-3</v>
      </c>
      <c r="L38">
        <f>C734</f>
        <v>1.032169196326672E-3</v>
      </c>
      <c r="M38">
        <f t="shared" si="3"/>
        <v>1.0750280958294375E-2</v>
      </c>
      <c r="N38">
        <f>D734</f>
        <v>-4.1254685425178191E-3</v>
      </c>
      <c r="O38">
        <f>AVERAGEIFS(E734:E750,E734:E750,"&lt;=" &amp; N38)</f>
        <v>-1.4808667618251226E-2</v>
      </c>
      <c r="P38">
        <v>270.13153587961523</v>
      </c>
      <c r="Q38">
        <v>28.233470000000001</v>
      </c>
      <c r="R38">
        <f t="shared" si="2"/>
        <v>332.82085591141697</v>
      </c>
      <c r="S38">
        <v>1.0750280958294375E-2</v>
      </c>
      <c r="T38">
        <v>18.02</v>
      </c>
    </row>
    <row r="39" spans="1:20" x14ac:dyDescent="0.35">
      <c r="A39" t="s">
        <v>16</v>
      </c>
      <c r="E39">
        <v>2.3225935099454751E-3</v>
      </c>
      <c r="F39">
        <f t="shared" si="0"/>
        <v>-1.9463499944601736E-2</v>
      </c>
      <c r="G39">
        <f t="shared" si="1"/>
        <v>-3.0877861922076276E-2</v>
      </c>
      <c r="J39" s="2" t="s">
        <v>51</v>
      </c>
      <c r="K39">
        <f>B751</f>
        <v>8.1646080337423564E-3</v>
      </c>
      <c r="L39">
        <f>C751</f>
        <v>1.3891798881962502E-3</v>
      </c>
      <c r="M39">
        <f t="shared" si="3"/>
        <v>4.86157741406993E-3</v>
      </c>
      <c r="N39">
        <f>D751</f>
        <v>-8.4879116646800774E-3</v>
      </c>
      <c r="O39">
        <f>AVERAGEIFS(E751:E772,E751:E772,"&lt;=" &amp; N39)</f>
        <v>-8.7809241579029033E-3</v>
      </c>
      <c r="P39">
        <v>318.23907242314988</v>
      </c>
      <c r="Q39">
        <v>22.603100000000001</v>
      </c>
      <c r="R39">
        <f t="shared" si="2"/>
        <v>270.13153587961523</v>
      </c>
      <c r="S39">
        <v>4.86157741406993E-3</v>
      </c>
      <c r="T39">
        <v>14.28</v>
      </c>
    </row>
    <row r="40" spans="1:20" x14ac:dyDescent="0.35">
      <c r="A40" t="s">
        <v>16</v>
      </c>
      <c r="E40">
        <v>-2.036650540329361E-2</v>
      </c>
      <c r="F40">
        <f t="shared" si="0"/>
        <v>-1.9464305291093411E-2</v>
      </c>
      <c r="G40">
        <f t="shared" si="1"/>
        <v>-3.0877861922076276E-2</v>
      </c>
      <c r="J40" s="2" t="s">
        <v>52</v>
      </c>
      <c r="K40">
        <f>B773</f>
        <v>1.529107509857019E-2</v>
      </c>
      <c r="L40">
        <f>C773</f>
        <v>-1.2876234381562412E-4</v>
      </c>
      <c r="M40">
        <f t="shared" si="3"/>
        <v>8.1646080337423564E-3</v>
      </c>
      <c r="N40">
        <f>D773</f>
        <v>-3.0397571610741508E-2</v>
      </c>
      <c r="O40">
        <f>AVERAGEIFS(E773:E792,E773:E792,"&lt;=" &amp; N40)</f>
        <v>-3.057234594306522E-2</v>
      </c>
      <c r="P40">
        <v>242.87602873705944</v>
      </c>
      <c r="Q40">
        <v>27.480319999999999</v>
      </c>
      <c r="R40">
        <f t="shared" si="2"/>
        <v>318.23907242314988</v>
      </c>
      <c r="S40">
        <v>8.1646080337423564E-3</v>
      </c>
      <c r="T40">
        <v>15.51</v>
      </c>
    </row>
    <row r="41" spans="1:20" x14ac:dyDescent="0.35">
      <c r="A41" t="s">
        <v>16</v>
      </c>
      <c r="E41">
        <v>1.8513176424213362E-2</v>
      </c>
      <c r="F41">
        <f t="shared" si="0"/>
        <v>-1.9449003707751617E-2</v>
      </c>
      <c r="G41">
        <f t="shared" si="1"/>
        <v>-3.093377339292086E-2</v>
      </c>
      <c r="J41" s="2" t="s">
        <v>53</v>
      </c>
      <c r="K41">
        <f>B793</f>
        <v>9.4238212526381766E-3</v>
      </c>
      <c r="L41">
        <f>C793</f>
        <v>1.1295316846735007E-4</v>
      </c>
      <c r="M41">
        <f t="shared" si="3"/>
        <v>1.529107509857019E-2</v>
      </c>
      <c r="N41">
        <f>D793</f>
        <v>-1.432391876474772E-2</v>
      </c>
      <c r="O41">
        <f>AVERAGEIFS(E793:E812,E793:E812,"&lt;=" &amp; N41)</f>
        <v>-1.4389267274336348E-2</v>
      </c>
      <c r="P41">
        <v>259.25508865141768</v>
      </c>
      <c r="Q41">
        <v>26.790800000000001</v>
      </c>
      <c r="R41">
        <f t="shared" si="2"/>
        <v>242.87602873705944</v>
      </c>
      <c r="S41">
        <v>1.529107509857019E-2</v>
      </c>
      <c r="T41">
        <v>12.7</v>
      </c>
    </row>
    <row r="42" spans="1:20" x14ac:dyDescent="0.35">
      <c r="A42" t="s">
        <v>17</v>
      </c>
      <c r="B42" s="3" cm="1">
        <f t="array" ref="B42">AVERAGE(_xlfn._xlws.FILTER($E$2:$E$1000, $A$2:$A$1000="2010-03"))</f>
        <v>3.002925492151302E-3</v>
      </c>
      <c r="C42" s="3" cm="1">
        <f t="array" ref="C42">_xlfn.STDEV.S(_xlfn._xlws.FILTER($E$2:$E$1000, $A$2:$A$1000="2010-03"))</f>
        <v>7.8002348060876E-3</v>
      </c>
      <c r="D42" s="3" cm="1">
        <f t="array" ref="D42">_xlfn.PERCENTILE.EXC(_xlfn._xlws.FILTER($E$42:$E$64, $A$42:$A$64="2010-03"), 0.05)</f>
        <v>-8.4661261850900536E-3</v>
      </c>
      <c r="E42">
        <v>1.6244603936957203E-2</v>
      </c>
      <c r="F42">
        <f t="shared" si="0"/>
        <v>-1.9449809054243292E-2</v>
      </c>
      <c r="G42">
        <f t="shared" si="1"/>
        <v>-3.093377339292086E-2</v>
      </c>
      <c r="J42" s="4" t="s">
        <v>54</v>
      </c>
      <c r="K42" s="3">
        <f>B813</f>
        <v>1.4337958596556497E-2</v>
      </c>
      <c r="L42" s="3">
        <f>C813</f>
        <v>1.5731429357135969E-3</v>
      </c>
      <c r="M42">
        <f t="shared" si="3"/>
        <v>9.4238212526381766E-3</v>
      </c>
      <c r="N42" s="3">
        <f>D813</f>
        <v>-2.3084926181806416E-2</v>
      </c>
      <c r="O42" s="3">
        <f>AVERAGEIFS(E813:E833,E813:E833,"&lt;=" &amp; N42)</f>
        <v>-2.3764951601235505E-2</v>
      </c>
      <c r="P42" s="3">
        <v>300.53115516508069</v>
      </c>
      <c r="Q42" s="3">
        <v>26.659420000000001</v>
      </c>
      <c r="R42">
        <f t="shared" si="2"/>
        <v>259.25508865141768</v>
      </c>
      <c r="S42">
        <v>9.4238212526381766E-3</v>
      </c>
      <c r="T42" s="3">
        <v>13.52</v>
      </c>
    </row>
    <row r="43" spans="1:20" x14ac:dyDescent="0.35">
      <c r="A43" t="s">
        <v>17</v>
      </c>
      <c r="E43">
        <v>1.1180021112619549E-2</v>
      </c>
      <c r="F43">
        <f t="shared" si="0"/>
        <v>-1.9450614400734964E-2</v>
      </c>
      <c r="G43">
        <f t="shared" si="1"/>
        <v>-3.093377339292086E-2</v>
      </c>
      <c r="J43" s="2" t="s">
        <v>55</v>
      </c>
      <c r="K43">
        <f>B834</f>
        <v>1.0278681780465626E-2</v>
      </c>
      <c r="L43">
        <f>C834</f>
        <v>1.1766846625846277E-3</v>
      </c>
      <c r="M43">
        <f t="shared" si="3"/>
        <v>1.4337958596556497E-2</v>
      </c>
      <c r="N43">
        <f>D834</f>
        <v>-2.0848406792171783E-2</v>
      </c>
      <c r="O43">
        <f>AVERAGEIFS(E834:E853,E834:E853,"&lt;=" &amp; N43)</f>
        <v>-2.0942964875168751E-2</v>
      </c>
      <c r="P43">
        <v>256.80840638676483</v>
      </c>
      <c r="Q43">
        <v>25.429390000000001</v>
      </c>
      <c r="R43">
        <f t="shared" si="2"/>
        <v>300.53115516508069</v>
      </c>
      <c r="S43">
        <v>1.4337958596556497E-2</v>
      </c>
      <c r="T43">
        <v>16.3</v>
      </c>
    </row>
    <row r="44" spans="1:20" x14ac:dyDescent="0.35">
      <c r="A44" t="s">
        <v>17</v>
      </c>
      <c r="E44">
        <v>7.9954021488933321E-3</v>
      </c>
      <c r="F44">
        <f t="shared" si="0"/>
        <v>-1.9451419747226639E-2</v>
      </c>
      <c r="G44">
        <f t="shared" si="1"/>
        <v>-3.093377339292086E-2</v>
      </c>
      <c r="J44" s="2" t="s">
        <v>56</v>
      </c>
      <c r="K44">
        <f>B854</f>
        <v>1.3895140827549802E-2</v>
      </c>
      <c r="L44">
        <f>C854</f>
        <v>-2.7282214031721964E-3</v>
      </c>
      <c r="M44">
        <f t="shared" si="3"/>
        <v>1.0278681780465626E-2</v>
      </c>
      <c r="N44">
        <f>D854</f>
        <v>-3.6337597783142793E-2</v>
      </c>
      <c r="O44">
        <f>AVERAGEIFS(E854:E873,E854:E873,"&lt;=" &amp; N44)</f>
        <v>-3.7256888189702533E-2</v>
      </c>
      <c r="P44">
        <v>293.78504489705801</v>
      </c>
      <c r="Q44">
        <v>28.373660000000001</v>
      </c>
      <c r="R44">
        <f t="shared" si="2"/>
        <v>256.80840638676483</v>
      </c>
      <c r="S44">
        <v>1.0278681780465626E-2</v>
      </c>
      <c r="T44">
        <v>16.86</v>
      </c>
    </row>
    <row r="45" spans="1:20" x14ac:dyDescent="0.35">
      <c r="A45" t="s">
        <v>17</v>
      </c>
      <c r="E45">
        <v>-3.6788279683064194E-3</v>
      </c>
      <c r="F45">
        <f t="shared" si="0"/>
        <v>-1.9452225093718311E-2</v>
      </c>
      <c r="G45">
        <f t="shared" si="1"/>
        <v>-3.093377339292086E-2</v>
      </c>
      <c r="J45" s="2" t="s">
        <v>57</v>
      </c>
      <c r="K45">
        <f>B874</f>
        <v>9.5137504801860954E-3</v>
      </c>
      <c r="L45">
        <f>C874</f>
        <v>2.8552636567975671E-3</v>
      </c>
      <c r="M45">
        <f t="shared" si="3"/>
        <v>1.3895140827549802E-2</v>
      </c>
      <c r="N45">
        <f>D874</f>
        <v>-1.3912197474813376E-2</v>
      </c>
      <c r="O45">
        <f>AVERAGEIFS(E874:E896,E874:E896,"&lt;=" &amp; N45)</f>
        <v>-1.4666090388188075E-2</v>
      </c>
      <c r="P45">
        <v>215.33032213845243</v>
      </c>
      <c r="Q45">
        <v>25.309899999999999</v>
      </c>
      <c r="R45">
        <f t="shared" si="2"/>
        <v>293.78504489705801</v>
      </c>
      <c r="S45">
        <v>1.3895140827549802E-2</v>
      </c>
      <c r="T45">
        <v>13.45</v>
      </c>
    </row>
    <row r="46" spans="1:20" x14ac:dyDescent="0.35">
      <c r="A46" t="s">
        <v>17</v>
      </c>
      <c r="E46">
        <v>2.1195211714830759E-2</v>
      </c>
      <c r="F46">
        <f t="shared" si="0"/>
        <v>-1.9453030440209986E-2</v>
      </c>
      <c r="G46">
        <f t="shared" si="1"/>
        <v>-3.093377339292086E-2</v>
      </c>
      <c r="J46" s="2" t="s">
        <v>58</v>
      </c>
      <c r="K46">
        <f>B897</f>
        <v>9.0159242452114343E-3</v>
      </c>
      <c r="L46">
        <f>C897</f>
        <v>-7.4321967631665214E-4</v>
      </c>
      <c r="M46">
        <f t="shared" si="3"/>
        <v>9.5137504801860954E-3</v>
      </c>
      <c r="N46">
        <f>D897</f>
        <v>-2.4491852845788486E-2</v>
      </c>
      <c r="O46">
        <f>AVERAGEIFS(E897:E916,E897:E916,"&lt;=" &amp; N46)</f>
        <v>-2.5066625568686635E-2</v>
      </c>
      <c r="P46">
        <v>143.93038420054069</v>
      </c>
      <c r="Q46">
        <v>31.001010000000001</v>
      </c>
      <c r="R46">
        <f t="shared" si="2"/>
        <v>215.33032213845243</v>
      </c>
      <c r="S46">
        <v>9.5137504801860954E-3</v>
      </c>
      <c r="T46">
        <v>17.010000000000002</v>
      </c>
    </row>
    <row r="47" spans="1:20" x14ac:dyDescent="0.35">
      <c r="A47" t="s">
        <v>17</v>
      </c>
      <c r="E47">
        <v>-1.7609513685449523E-3</v>
      </c>
      <c r="F47">
        <f t="shared" si="0"/>
        <v>-1.9453835786701658E-2</v>
      </c>
      <c r="G47">
        <f t="shared" si="1"/>
        <v>-3.093377339292086E-2</v>
      </c>
      <c r="J47" s="2" t="s">
        <v>59</v>
      </c>
      <c r="K47">
        <f>B917</f>
        <v>7.704663298636681E-3</v>
      </c>
      <c r="L47">
        <f>C917</f>
        <v>2.4726459529666664E-3</v>
      </c>
      <c r="M47">
        <f t="shared" si="3"/>
        <v>9.0159242452114343E-3</v>
      </c>
      <c r="N47">
        <f>D917</f>
        <v>-1.0163371117737199E-2</v>
      </c>
      <c r="O47">
        <f>AVERAGEIFS(E917:E937,E917:E937,"&lt;=" &amp; N47)</f>
        <v>-1.0403192905549847E-2</v>
      </c>
      <c r="P47">
        <v>244.41394531322689</v>
      </c>
      <c r="Q47">
        <v>26.318200000000001</v>
      </c>
      <c r="R47">
        <f t="shared" si="2"/>
        <v>143.93038420054069</v>
      </c>
      <c r="S47">
        <v>9.0159242452114343E-3</v>
      </c>
      <c r="T47">
        <v>16.600000000000001</v>
      </c>
    </row>
    <row r="48" spans="1:20" x14ac:dyDescent="0.35">
      <c r="A48" t="s">
        <v>17</v>
      </c>
      <c r="E48">
        <v>1.6560977990160034E-3</v>
      </c>
      <c r="F48">
        <f t="shared" si="0"/>
        <v>-1.945464113319333E-2</v>
      </c>
      <c r="G48">
        <f t="shared" si="1"/>
        <v>-3.093377339292086E-2</v>
      </c>
      <c r="J48" s="2" t="s">
        <v>60</v>
      </c>
      <c r="K48">
        <f>B938</f>
        <v>7.5264677213508265E-3</v>
      </c>
      <c r="L48">
        <f>C938</f>
        <v>1.6114382733255115E-3</v>
      </c>
      <c r="M48">
        <f t="shared" si="3"/>
        <v>7.704663298636681E-3</v>
      </c>
      <c r="N48">
        <f>D938</f>
        <v>-8.9871217197841444E-3</v>
      </c>
      <c r="O48">
        <f>AVERAGEIFS(E938:E960,E938:E960,"&lt;=" &amp; N48)</f>
        <v>-9.2020049044941373E-3</v>
      </c>
      <c r="P48">
        <v>287.16964626793174</v>
      </c>
      <c r="Q48">
        <v>21.606089999999998</v>
      </c>
      <c r="R48">
        <f t="shared" si="2"/>
        <v>244.41394531322689</v>
      </c>
      <c r="S48">
        <v>7.704663298636681E-3</v>
      </c>
      <c r="T48">
        <v>13.75</v>
      </c>
    </row>
    <row r="49" spans="1:27" x14ac:dyDescent="0.35">
      <c r="A49" t="s">
        <v>17</v>
      </c>
      <c r="E49">
        <v>8.5414013289455849E-3</v>
      </c>
      <c r="F49">
        <f t="shared" si="0"/>
        <v>-1.9455446479685005E-2</v>
      </c>
      <c r="G49">
        <f t="shared" si="1"/>
        <v>-3.093377339292086E-2</v>
      </c>
      <c r="J49" s="2" t="s">
        <v>61</v>
      </c>
      <c r="K49">
        <f>B961</f>
        <v>6.056702855497342E-3</v>
      </c>
      <c r="L49">
        <f>C961</f>
        <v>-5.1856793959622873E-5</v>
      </c>
      <c r="M49">
        <f t="shared" si="3"/>
        <v>7.5264677213508265E-3</v>
      </c>
      <c r="N49">
        <f>D961</f>
        <v>-1.0961877718603623E-2</v>
      </c>
      <c r="O49">
        <f>AVERAGEIFS(E961:E981,E961:E981,"&lt;=" &amp; N49)</f>
        <v>-1.126281402716286E-2</v>
      </c>
      <c r="P49">
        <v>185.95941067801243</v>
      </c>
      <c r="Q49">
        <v>19.903759999999998</v>
      </c>
      <c r="R49">
        <f t="shared" si="2"/>
        <v>287.16964626793174</v>
      </c>
      <c r="S49">
        <v>7.5264677213508265E-3</v>
      </c>
      <c r="T49">
        <v>13.7</v>
      </c>
    </row>
    <row r="50" spans="1:27" x14ac:dyDescent="0.35">
      <c r="A50" t="s">
        <v>17</v>
      </c>
      <c r="E50">
        <v>-3.7091182568076107E-3</v>
      </c>
      <c r="F50">
        <f t="shared" si="0"/>
        <v>-1.9456251826176676E-2</v>
      </c>
      <c r="G50">
        <f t="shared" si="1"/>
        <v>-3.093377339292086E-2</v>
      </c>
      <c r="J50" s="2" t="s">
        <v>62</v>
      </c>
      <c r="K50">
        <f>B982</f>
        <v>1.1056092935915335E-2</v>
      </c>
      <c r="L50">
        <f>C982</f>
        <v>-2.5279321298918214E-4</v>
      </c>
      <c r="M50">
        <f t="shared" si="3"/>
        <v>6.056702855497342E-3</v>
      </c>
      <c r="N50">
        <f>D982</f>
        <v>-1.46592439942264E-2</v>
      </c>
      <c r="O50">
        <f>AVERAGEIFS(E982:E999,E982:E999,"&lt;=" &amp; N50)</f>
        <v>-2.6808569108513182E-2</v>
      </c>
      <c r="P50">
        <v>223.97088347115911</v>
      </c>
      <c r="Q50">
        <v>23.81176</v>
      </c>
      <c r="R50">
        <f t="shared" si="2"/>
        <v>185.95941067801243</v>
      </c>
      <c r="S50">
        <v>6.056702855497342E-3</v>
      </c>
      <c r="T50">
        <v>13.72</v>
      </c>
    </row>
    <row r="51" spans="1:27" x14ac:dyDescent="0.35">
      <c r="A51" t="s">
        <v>17</v>
      </c>
      <c r="E51">
        <v>-3.9458527690616253E-4</v>
      </c>
      <c r="F51">
        <f t="shared" si="0"/>
        <v>-1.9457057172668352E-2</v>
      </c>
      <c r="G51">
        <f t="shared" si="1"/>
        <v>-3.093377339292086E-2</v>
      </c>
      <c r="J51" s="2" t="s">
        <v>63</v>
      </c>
      <c r="K51">
        <f>B1000</f>
        <v>8.8293976520815234E-3</v>
      </c>
      <c r="L51">
        <f>C1000</f>
        <v>-1.1845927565311567E-3</v>
      </c>
      <c r="M51">
        <f t="shared" si="3"/>
        <v>1.1056092935915335E-2</v>
      </c>
      <c r="N51">
        <f>D1000</f>
        <v>-2.5771281865536601E-2</v>
      </c>
      <c r="O51">
        <f>AVERAGEIFS(E1000:E1021,E1000:E1021,"&lt;=" &amp; N51)</f>
        <v>-2.8308906268907679E-2</v>
      </c>
      <c r="P51">
        <v>221.41379781909825</v>
      </c>
      <c r="Q51">
        <v>29.466290000000001</v>
      </c>
      <c r="R51">
        <f t="shared" si="2"/>
        <v>223.97088347115911</v>
      </c>
      <c r="S51">
        <v>1.1056092935915335E-2</v>
      </c>
      <c r="T51">
        <v>18.41</v>
      </c>
    </row>
    <row r="52" spans="1:27" x14ac:dyDescent="0.35">
      <c r="A52" t="s">
        <v>17</v>
      </c>
      <c r="E52">
        <v>-9.3345658997797693E-3</v>
      </c>
      <c r="F52">
        <f t="shared" si="0"/>
        <v>-1.9457862519160023E-2</v>
      </c>
      <c r="G52">
        <f t="shared" si="1"/>
        <v>-3.093377339292086E-2</v>
      </c>
      <c r="J52" s="2" t="s">
        <v>64</v>
      </c>
      <c r="K52">
        <f>B1022</f>
        <v>6.338203831427699E-3</v>
      </c>
      <c r="L52">
        <f>C1022</f>
        <v>2.8275045339968222E-3</v>
      </c>
      <c r="M52">
        <f t="shared" si="3"/>
        <v>8.8293976520815234E-3</v>
      </c>
      <c r="N52">
        <f>D1022</f>
        <v>-1.3513205758608782E-2</v>
      </c>
      <c r="O52">
        <f>AVERAGEIFS(E1022:E1041,E1022:E1041,"&lt;=" &amp; N52)</f>
        <v>-1.4013696476512461E-2</v>
      </c>
      <c r="P52">
        <v>139.96909575683688</v>
      </c>
      <c r="Q52">
        <v>23.15146</v>
      </c>
      <c r="R52">
        <f t="shared" si="2"/>
        <v>221.41379781909825</v>
      </c>
      <c r="S52">
        <v>8.8293976520815234E-3</v>
      </c>
      <c r="T52">
        <v>14</v>
      </c>
    </row>
    <row r="53" spans="1:27" x14ac:dyDescent="0.35">
      <c r="A53" t="s">
        <v>17</v>
      </c>
      <c r="E53">
        <v>1.2271126896941504E-2</v>
      </c>
      <c r="F53">
        <f t="shared" si="0"/>
        <v>-1.9458667865651699E-2</v>
      </c>
      <c r="G53">
        <f t="shared" si="1"/>
        <v>-3.093377339292086E-2</v>
      </c>
      <c r="J53" s="2" t="s">
        <v>65</v>
      </c>
      <c r="K53">
        <f>B1042</f>
        <v>1.1677473675064274E-2</v>
      </c>
      <c r="L53">
        <f>C1042</f>
        <v>-1.7944600624843898E-4</v>
      </c>
      <c r="M53">
        <f t="shared" si="3"/>
        <v>6.338203831427699E-3</v>
      </c>
      <c r="N53">
        <f>D1042</f>
        <v>-2.5623609343980495E-2</v>
      </c>
      <c r="O53">
        <f>AVERAGEIFS(E1042:E1062,E1042:E1062,"&lt;=" &amp; N53)</f>
        <v>-2.6949710924102376E-2</v>
      </c>
      <c r="P53">
        <v>221.99613301032355</v>
      </c>
      <c r="Q53">
        <v>24.326720000000002</v>
      </c>
      <c r="R53">
        <f t="shared" si="2"/>
        <v>139.96909575683688</v>
      </c>
      <c r="S53">
        <v>6.338203831427699E-3</v>
      </c>
      <c r="T53">
        <v>13.88</v>
      </c>
      <c r="V53" t="s">
        <v>225</v>
      </c>
    </row>
    <row r="54" spans="1:27" ht="15" thickBot="1" x14ac:dyDescent="0.4">
      <c r="A54" t="s">
        <v>17</v>
      </c>
      <c r="E54">
        <v>4.7968646489722766E-3</v>
      </c>
      <c r="F54">
        <f t="shared" si="0"/>
        <v>-1.945947321214337E-2</v>
      </c>
      <c r="G54">
        <f t="shared" si="1"/>
        <v>-3.093377339292086E-2</v>
      </c>
      <c r="J54" s="2" t="s">
        <v>66</v>
      </c>
      <c r="K54">
        <f>B1063</f>
        <v>7.7246949296255942E-3</v>
      </c>
      <c r="L54">
        <f>C1063</f>
        <v>1.0800193302053101E-3</v>
      </c>
      <c r="M54">
        <f t="shared" si="3"/>
        <v>1.1677473675064274E-2</v>
      </c>
      <c r="N54">
        <f>D1063</f>
        <v>-1.0866228218783172E-2</v>
      </c>
      <c r="O54">
        <f>AVERAGEIFS(E1063:E1082,E1063:E1082,"&lt;=" &amp; N54)</f>
        <v>-1.0867052438152645E-2</v>
      </c>
      <c r="P54">
        <v>175.99145203390418</v>
      </c>
      <c r="Q54">
        <v>23.671060000000001</v>
      </c>
      <c r="R54">
        <f t="shared" si="2"/>
        <v>221.99613301032355</v>
      </c>
      <c r="S54">
        <v>1.1677473675064274E-2</v>
      </c>
      <c r="T54">
        <v>13.41</v>
      </c>
    </row>
    <row r="55" spans="1:27" x14ac:dyDescent="0.35">
      <c r="A55" t="s">
        <v>17</v>
      </c>
      <c r="E55">
        <v>-4.9923673263311983E-3</v>
      </c>
      <c r="F55">
        <f t="shared" si="0"/>
        <v>-1.9460278558635045E-2</v>
      </c>
      <c r="G55">
        <f t="shared" si="1"/>
        <v>-3.093377339292086E-2</v>
      </c>
      <c r="J55" s="2" t="s">
        <v>67</v>
      </c>
      <c r="K55">
        <f>B1083</f>
        <v>5.9714096001689618E-3</v>
      </c>
      <c r="L55">
        <f>C1083</f>
        <v>3.7608503138047386E-4</v>
      </c>
      <c r="M55">
        <f t="shared" si="3"/>
        <v>7.7246949296255942E-3</v>
      </c>
      <c r="N55">
        <f>D1083</f>
        <v>-1.2544360374955973E-2</v>
      </c>
      <c r="O55">
        <f>AVERAGEIFS(E1083:E1101,E1083:E1101,"&lt;=" &amp; N55)</f>
        <v>-1.2544360374955973E-2</v>
      </c>
      <c r="P55">
        <v>188.4292174258124</v>
      </c>
      <c r="Q55">
        <v>21.531639999999999</v>
      </c>
      <c r="R55">
        <f t="shared" si="2"/>
        <v>175.99145203390418</v>
      </c>
      <c r="S55">
        <v>7.7246949296255942E-3</v>
      </c>
      <c r="T55">
        <v>11.4</v>
      </c>
      <c r="V55" s="8" t="s">
        <v>226</v>
      </c>
      <c r="W55" s="8"/>
    </row>
    <row r="56" spans="1:27" x14ac:dyDescent="0.35">
      <c r="A56" t="s">
        <v>17</v>
      </c>
      <c r="E56">
        <v>-3.2402407915454673E-3</v>
      </c>
      <c r="F56">
        <f t="shared" si="0"/>
        <v>-1.9461083905126717E-2</v>
      </c>
      <c r="G56">
        <f t="shared" si="1"/>
        <v>-3.093377339292086E-2</v>
      </c>
      <c r="J56" s="2" t="s">
        <v>68</v>
      </c>
      <c r="K56">
        <f>B1102</f>
        <v>5.6045914560435631E-3</v>
      </c>
      <c r="L56">
        <f>C1102</f>
        <v>-1.0302301374124417E-3</v>
      </c>
      <c r="M56">
        <f t="shared" si="3"/>
        <v>5.9714096001689618E-3</v>
      </c>
      <c r="N56">
        <f>D1102</f>
        <v>-1.2447152868096664E-2</v>
      </c>
      <c r="O56">
        <f>AVERAGEIFS(E1102:E1122,E1102:E1122,"&lt;=" &amp; N56)</f>
        <v>-1.286138362001632E-2</v>
      </c>
      <c r="P56">
        <v>159.18368478189558</v>
      </c>
      <c r="Q56">
        <v>20.90326</v>
      </c>
      <c r="R56">
        <f t="shared" si="2"/>
        <v>188.4292174258124</v>
      </c>
      <c r="S56">
        <v>5.9714096001689618E-3</v>
      </c>
      <c r="T56">
        <v>11.57</v>
      </c>
      <c r="V56" t="s">
        <v>227</v>
      </c>
      <c r="W56">
        <v>0.13967557370894954</v>
      </c>
      <c r="Y56" t="s">
        <v>378</v>
      </c>
    </row>
    <row r="57" spans="1:27" x14ac:dyDescent="0.35">
      <c r="A57" t="s">
        <v>17</v>
      </c>
      <c r="E57">
        <v>6.5194362996939326E-4</v>
      </c>
      <c r="F57">
        <f t="shared" si="0"/>
        <v>-1.9461889251618392E-2</v>
      </c>
      <c r="G57">
        <f t="shared" si="1"/>
        <v>-3.093377339292086E-2</v>
      </c>
      <c r="J57" s="2" t="s">
        <v>69</v>
      </c>
      <c r="K57">
        <f>B1123</f>
        <v>1.0466076059921102E-2</v>
      </c>
      <c r="L57">
        <f>C1123</f>
        <v>-1.7726821192642565E-3</v>
      </c>
      <c r="M57">
        <f t="shared" si="3"/>
        <v>5.6045914560435631E-3</v>
      </c>
      <c r="N57">
        <f>D1123</f>
        <v>-1.7754226828496301E-2</v>
      </c>
      <c r="O57">
        <f>AVERAGEIFS(E1123:E1145,E1123:E1145,"&lt;=" &amp; N57)</f>
        <v>-1.8327516154666559E-2</v>
      </c>
      <c r="P57">
        <v>148.74221221423838</v>
      </c>
      <c r="Q57">
        <v>25.594930000000002</v>
      </c>
      <c r="R57">
        <f t="shared" si="2"/>
        <v>159.18368478189558</v>
      </c>
      <c r="S57">
        <v>5.6045914560435631E-3</v>
      </c>
      <c r="T57">
        <v>16.95</v>
      </c>
      <c r="V57" t="s">
        <v>228</v>
      </c>
      <c r="W57">
        <v>1.9509265890924197E-2</v>
      </c>
    </row>
    <row r="58" spans="1:27" x14ac:dyDescent="0.35">
      <c r="A58" t="s">
        <v>17</v>
      </c>
      <c r="E58">
        <v>6.2305497506361628E-3</v>
      </c>
      <c r="F58">
        <f t="shared" si="0"/>
        <v>-1.9462694598110064E-2</v>
      </c>
      <c r="G58">
        <f t="shared" si="1"/>
        <v>-3.093377339292086E-2</v>
      </c>
      <c r="J58" s="2" t="s">
        <v>70</v>
      </c>
      <c r="K58">
        <f>B1146</f>
        <v>1.0586117486319775E-2</v>
      </c>
      <c r="L58">
        <f>C1146</f>
        <v>1.6460949567888984E-3</v>
      </c>
      <c r="M58">
        <f t="shared" si="3"/>
        <v>1.0466076059921102E-2</v>
      </c>
      <c r="N58">
        <f>D1146</f>
        <v>-1.3715712376760555E-2</v>
      </c>
      <c r="O58">
        <f>AVERAGEIFS(E1146:E1164,E1146:E1164,"&lt;=" &amp; N58)</f>
        <v>-1.3715712376760555E-2</v>
      </c>
      <c r="P58">
        <v>132.2171910892462</v>
      </c>
      <c r="Q58">
        <v>22.59468</v>
      </c>
      <c r="R58">
        <f t="shared" si="2"/>
        <v>148.74221221423838</v>
      </c>
      <c r="S58">
        <v>1.0466076059921102E-2</v>
      </c>
      <c r="T58">
        <v>11.98</v>
      </c>
      <c r="V58" t="s">
        <v>228</v>
      </c>
      <c r="W58">
        <v>1.4121954165050155E-2</v>
      </c>
    </row>
    <row r="59" spans="1:27" x14ac:dyDescent="0.35">
      <c r="A59" t="s">
        <v>17</v>
      </c>
      <c r="E59">
        <v>-6.9346375255089244E-4</v>
      </c>
      <c r="F59">
        <f t="shared" si="0"/>
        <v>-1.9463499944601736E-2</v>
      </c>
      <c r="G59">
        <f t="shared" si="1"/>
        <v>-3.093377339292086E-2</v>
      </c>
      <c r="J59" s="2" t="s">
        <v>71</v>
      </c>
      <c r="K59">
        <f>B1165</f>
        <v>8.5871402670478474E-3</v>
      </c>
      <c r="L59">
        <f>C1165</f>
        <v>3.6375073629415659E-4</v>
      </c>
      <c r="M59">
        <f t="shared" si="3"/>
        <v>1.0586117486319775E-2</v>
      </c>
      <c r="N59">
        <f>D1165</f>
        <v>-1.8069081766253305E-2</v>
      </c>
      <c r="O59">
        <f>AVERAGEIFS(E1165:E1186,E1165:E1186,"&lt;=" &amp; N59)</f>
        <v>-1.8905572229137576E-2</v>
      </c>
      <c r="P59">
        <v>242.48573933225873</v>
      </c>
      <c r="Q59">
        <v>22.544530000000002</v>
      </c>
      <c r="R59">
        <f t="shared" si="2"/>
        <v>132.2171910892462</v>
      </c>
      <c r="S59">
        <v>1.0586117486319775E-2</v>
      </c>
      <c r="T59">
        <v>16.309999999999999</v>
      </c>
      <c r="V59" t="s">
        <v>229</v>
      </c>
      <c r="W59">
        <v>1.2664241712490469E-2</v>
      </c>
    </row>
    <row r="60" spans="1:27" ht="15" thickBot="1" x14ac:dyDescent="0.4">
      <c r="A60" t="s">
        <v>17</v>
      </c>
      <c r="E60">
        <v>1.2746877430161948E-2</v>
      </c>
      <c r="F60">
        <f t="shared" si="0"/>
        <v>-1.9464305291093411E-2</v>
      </c>
      <c r="G60">
        <f t="shared" si="1"/>
        <v>-3.093377339292086E-2</v>
      </c>
      <c r="J60" s="2" t="s">
        <v>72</v>
      </c>
      <c r="K60">
        <f>B1187</f>
        <v>1.6051313644804485E-2</v>
      </c>
      <c r="L60">
        <f>C1187</f>
        <v>-1.9252923861214821E-3</v>
      </c>
      <c r="M60">
        <f t="shared" si="3"/>
        <v>8.5871402670478474E-3</v>
      </c>
      <c r="N60">
        <f>D1187</f>
        <v>-3.5729336462158201E-2</v>
      </c>
      <c r="O60">
        <f>AVERAGEIFS(E1187:E1208,E1187:E1208,"&lt;=" &amp; N60)</f>
        <v>-3.7007350835675308E-2</v>
      </c>
      <c r="P60">
        <v>208.56677898899778</v>
      </c>
      <c r="Q60">
        <v>25.459479999999999</v>
      </c>
      <c r="R60">
        <f t="shared" si="2"/>
        <v>242.48573933225873</v>
      </c>
      <c r="S60">
        <v>8.5871402670478474E-3</v>
      </c>
      <c r="T60">
        <v>14.03</v>
      </c>
      <c r="V60" s="6" t="s">
        <v>230</v>
      </c>
      <c r="W60" s="6">
        <v>184</v>
      </c>
    </row>
    <row r="61" spans="1:27" x14ac:dyDescent="0.35">
      <c r="A61" t="s">
        <v>17</v>
      </c>
      <c r="E61">
        <v>-2.8913294088782513E-3</v>
      </c>
      <c r="F61">
        <f t="shared" si="0"/>
        <v>-1.9465942291886404E-2</v>
      </c>
      <c r="G61">
        <f t="shared" si="1"/>
        <v>-3.0995107446941332E-2</v>
      </c>
      <c r="J61" s="2" t="s">
        <v>73</v>
      </c>
      <c r="K61">
        <f>B1209</f>
        <v>1.0115538150742873E-2</v>
      </c>
      <c r="L61">
        <f>C1209</f>
        <v>1.8219002847497633E-3</v>
      </c>
      <c r="M61">
        <f t="shared" si="3"/>
        <v>1.6051313644804485E-2</v>
      </c>
      <c r="N61">
        <f>D1209</f>
        <v>-1.5334103291984208E-2</v>
      </c>
      <c r="O61">
        <f>AVERAGEIFS(E1209:E1228,E1209:E1228,"&lt;=" &amp; N61)</f>
        <v>-1.5338674772601585E-2</v>
      </c>
      <c r="P61">
        <v>195.18889530636216</v>
      </c>
      <c r="Q61">
        <v>22.414459999999998</v>
      </c>
      <c r="R61">
        <f t="shared" si="2"/>
        <v>208.56677898899778</v>
      </c>
      <c r="S61">
        <v>1.6051313644804485E-2</v>
      </c>
      <c r="T61">
        <v>13.33</v>
      </c>
    </row>
    <row r="62" spans="1:27" ht="15" thickBot="1" x14ac:dyDescent="0.4">
      <c r="A62" t="s">
        <v>17</v>
      </c>
      <c r="E62">
        <v>2.9363229972994586E-3</v>
      </c>
      <c r="F62">
        <f t="shared" si="0"/>
        <v>-1.9467579292679393E-2</v>
      </c>
      <c r="G62">
        <f t="shared" si="1"/>
        <v>-3.0995107446941332E-2</v>
      </c>
      <c r="J62" s="2" t="s">
        <v>74</v>
      </c>
      <c r="K62">
        <f>B1229</f>
        <v>1.6714382692072073E-2</v>
      </c>
      <c r="L62">
        <f>C1229</f>
        <v>-1.7632214932026846E-3</v>
      </c>
      <c r="M62">
        <f t="shared" si="3"/>
        <v>1.0115538150742873E-2</v>
      </c>
      <c r="N62">
        <f>D1229</f>
        <v>-2.8060136410409907E-2</v>
      </c>
      <c r="O62">
        <f>AVERAGEIFS(E1229:E1247,E1229:E1247,"&lt;=" &amp; N62)</f>
        <v>-2.8060136410409907E-2</v>
      </c>
      <c r="P62">
        <v>261.02572967315598</v>
      </c>
      <c r="Q62">
        <v>31.836269999999999</v>
      </c>
      <c r="R62">
        <f t="shared" si="2"/>
        <v>195.18889530636216</v>
      </c>
      <c r="S62">
        <v>1.0115538150742873E-2</v>
      </c>
      <c r="T62">
        <v>19.2</v>
      </c>
      <c r="U62" s="13"/>
      <c r="V62" t="s">
        <v>231</v>
      </c>
    </row>
    <row r="63" spans="1:27" x14ac:dyDescent="0.35">
      <c r="A63" t="s">
        <v>17</v>
      </c>
      <c r="E63">
        <v>-3.317450185558474E-3</v>
      </c>
      <c r="F63">
        <f t="shared" si="0"/>
        <v>-1.9469216293472386E-2</v>
      </c>
      <c r="G63">
        <f t="shared" si="1"/>
        <v>-3.0995107446941332E-2</v>
      </c>
      <c r="J63" s="2" t="s">
        <v>75</v>
      </c>
      <c r="K63">
        <f>B1248</f>
        <v>1.5645388423116358E-2</v>
      </c>
      <c r="L63">
        <f>C1248</f>
        <v>3.8624176114293038E-3</v>
      </c>
      <c r="M63">
        <f t="shared" si="3"/>
        <v>1.6714382692072073E-2</v>
      </c>
      <c r="N63">
        <f>D1248</f>
        <v>-3.2255911250920817E-2</v>
      </c>
      <c r="O63">
        <f>AVERAGEIFS(E1248:E1268,E1248:E1268,"&lt;=" &amp; N63)</f>
        <v>-3.3703787336422944E-2</v>
      </c>
      <c r="P63">
        <v>178.69872223041321</v>
      </c>
      <c r="Q63">
        <v>27.916350000000001</v>
      </c>
      <c r="R63">
        <f t="shared" si="2"/>
        <v>261.02572967315598</v>
      </c>
      <c r="S63">
        <v>1.6714382692072073E-2</v>
      </c>
      <c r="T63">
        <v>20.97</v>
      </c>
      <c r="V63" s="7"/>
      <c r="W63" s="7" t="s">
        <v>236</v>
      </c>
      <c r="X63" s="7" t="s">
        <v>237</v>
      </c>
      <c r="Y63" s="7" t="s">
        <v>238</v>
      </c>
      <c r="Z63" s="7" t="s">
        <v>239</v>
      </c>
      <c r="AA63" s="7" t="s">
        <v>240</v>
      </c>
    </row>
    <row r="64" spans="1:27" x14ac:dyDescent="0.35">
      <c r="A64" t="s">
        <v>17</v>
      </c>
      <c r="E64">
        <v>-3.3662368405540529E-3</v>
      </c>
      <c r="F64">
        <f t="shared" si="0"/>
        <v>-1.9470853294265379E-2</v>
      </c>
      <c r="G64">
        <f t="shared" si="1"/>
        <v>-3.0995107446941332E-2</v>
      </c>
      <c r="J64" s="2" t="s">
        <v>76</v>
      </c>
      <c r="K64">
        <f>B1269</f>
        <v>5.3236551232587071E-3</v>
      </c>
      <c r="L64">
        <f>C1269</f>
        <v>3.6353365898718903E-3</v>
      </c>
      <c r="M64">
        <f t="shared" si="3"/>
        <v>1.5645388423116358E-2</v>
      </c>
      <c r="N64">
        <f>D1269</f>
        <v>-8.2986339475316067E-3</v>
      </c>
      <c r="O64">
        <f>AVERAGEIFS(E1269:E1288,E1269:E1288,"&lt;=" &amp; N64)</f>
        <v>-8.5527238547178936E-3</v>
      </c>
      <c r="P64">
        <v>238.49512555528176</v>
      </c>
      <c r="Q64">
        <v>19.87426</v>
      </c>
      <c r="R64">
        <f t="shared" si="2"/>
        <v>178.69872223041321</v>
      </c>
      <c r="S64">
        <v>1.5645388423116358E-2</v>
      </c>
      <c r="T64">
        <v>13.34</v>
      </c>
      <c r="V64" t="s">
        <v>232</v>
      </c>
      <c r="W64">
        <v>1</v>
      </c>
      <c r="X64">
        <v>5.8080079726890652E-4</v>
      </c>
      <c r="Y64">
        <v>5.8080079726890652E-4</v>
      </c>
      <c r="Z64">
        <v>3.6213359990337288</v>
      </c>
      <c r="AA64">
        <v>5.862162974012608E-2</v>
      </c>
    </row>
    <row r="65" spans="1:30" x14ac:dyDescent="0.35">
      <c r="A65" t="s">
        <v>18</v>
      </c>
      <c r="B65" s="3" cm="1">
        <f t="array" ref="B65">AVERAGE(_xlfn._xlws.FILTER($E$2:$E$1000, $A$2:$A$1000="2010-04"))</f>
        <v>-2.0156753290821051E-3</v>
      </c>
      <c r="C65" s="3" cm="1">
        <f t="array" ref="C65">_xlfn.STDEV.S(_xlfn._xlws.FILTER($E$2:$E$1000, $A$2:$A$1000="2010-04"))</f>
        <v>1.421540592258882E-2</v>
      </c>
      <c r="D65" s="3" cm="1">
        <f t="array" ref="D65">_xlfn.PERCENTILE.EXC(_xlfn._xlws.FILTER($E$65:$E$84, $A$65:$A$84="2010-04"), 0.05)</f>
        <v>-3.8004846188281927E-2</v>
      </c>
      <c r="E65">
        <v>1.5039792793290856E-2</v>
      </c>
      <c r="F65">
        <f t="shared" si="0"/>
        <v>-1.9472490295058369E-2</v>
      </c>
      <c r="G65">
        <f t="shared" si="1"/>
        <v>-3.0995107446941332E-2</v>
      </c>
      <c r="J65" s="4" t="s">
        <v>77</v>
      </c>
      <c r="K65" s="3">
        <f>B1289</f>
        <v>9.2223010703990603E-3</v>
      </c>
      <c r="L65" s="3">
        <f>C1289</f>
        <v>7.4803902991305547E-4</v>
      </c>
      <c r="M65">
        <f t="shared" si="3"/>
        <v>5.3236551232587071E-3</v>
      </c>
      <c r="N65" s="3">
        <f>D1289</f>
        <v>-1.3003866772554676E-2</v>
      </c>
      <c r="O65" s="3">
        <f>AVERAGEIFS(E1289:E1310,E1289:E1310,"&lt;=" &amp; N65)</f>
        <v>-1.3312730554734711E-2</v>
      </c>
      <c r="P65" s="3">
        <v>174.1975846514905</v>
      </c>
      <c r="Q65" s="3">
        <v>22.636510000000001</v>
      </c>
      <c r="R65">
        <f t="shared" si="2"/>
        <v>238.49512555528176</v>
      </c>
      <c r="S65">
        <v>5.3236551232587071E-3</v>
      </c>
      <c r="T65" s="3">
        <v>15.29</v>
      </c>
      <c r="V65" t="s">
        <v>233</v>
      </c>
      <c r="W65">
        <v>182</v>
      </c>
      <c r="X65">
        <v>2.9189709303733807E-2</v>
      </c>
      <c r="Y65">
        <v>1.6038301815238354E-4</v>
      </c>
    </row>
    <row r="66" spans="1:30" ht="15" thickBot="1" x14ac:dyDescent="0.4">
      <c r="A66" t="s">
        <v>18</v>
      </c>
      <c r="E66">
        <v>4.8737944468821735E-3</v>
      </c>
      <c r="F66">
        <f t="shared" si="0"/>
        <v>-1.9474127295851362E-2</v>
      </c>
      <c r="G66">
        <f t="shared" si="1"/>
        <v>-3.0995107446941332E-2</v>
      </c>
      <c r="J66" s="2" t="s">
        <v>78</v>
      </c>
      <c r="K66">
        <f>B1311</f>
        <v>1.0806542632112962E-2</v>
      </c>
      <c r="L66">
        <f>C1311</f>
        <v>1.2747858371622281E-4</v>
      </c>
      <c r="M66">
        <f t="shared" si="3"/>
        <v>9.2223010703990603E-3</v>
      </c>
      <c r="N66">
        <f>D1311</f>
        <v>-2.5844006638714705E-2</v>
      </c>
      <c r="O66">
        <f>AVERAGEIFS(E1311:E1330,E1311:E1330,"&lt;=" &amp; N66)</f>
        <v>-2.6241203652521462E-2</v>
      </c>
      <c r="P66">
        <v>211.13492266079632</v>
      </c>
      <c r="Q66">
        <v>27.152229999999999</v>
      </c>
      <c r="R66">
        <f t="shared" si="2"/>
        <v>174.1975846514905</v>
      </c>
      <c r="S66">
        <v>9.2223010703990603E-3</v>
      </c>
      <c r="T66">
        <v>14.55</v>
      </c>
      <c r="V66" s="6" t="s">
        <v>234</v>
      </c>
      <c r="W66" s="6">
        <v>183</v>
      </c>
      <c r="X66" s="6">
        <v>2.9770510101002713E-2</v>
      </c>
      <c r="Y66" s="6"/>
      <c r="Z66" s="6"/>
      <c r="AA66" s="6"/>
    </row>
    <row r="67" spans="1:30" ht="15" thickBot="1" x14ac:dyDescent="0.4">
      <c r="A67" t="s">
        <v>18</v>
      </c>
      <c r="E67">
        <v>-6.6750155958081757E-3</v>
      </c>
      <c r="F67">
        <f t="shared" si="0"/>
        <v>-1.9475764296644354E-2</v>
      </c>
      <c r="G67">
        <f t="shared" si="1"/>
        <v>-3.0995107446941332E-2</v>
      </c>
      <c r="J67" s="2" t="s">
        <v>79</v>
      </c>
      <c r="K67">
        <f>B1331</f>
        <v>1.3327686370763226E-2</v>
      </c>
      <c r="L67">
        <f>C1331</f>
        <v>-4.2657130128283434E-4</v>
      </c>
      <c r="M67">
        <f t="shared" si="3"/>
        <v>1.0806542632112962E-2</v>
      </c>
      <c r="N67">
        <f>D1331</f>
        <v>-1.6128775006962581E-2</v>
      </c>
      <c r="O67">
        <f>AVERAGEIFS(E1331:E1348,E1331:E1348,"&lt;=" &amp; N67)</f>
        <v>-2.5616142635770979E-2</v>
      </c>
      <c r="P67">
        <v>197.79857959569753</v>
      </c>
      <c r="Q67">
        <v>25.82891</v>
      </c>
      <c r="R67">
        <f t="shared" si="2"/>
        <v>211.13492266079632</v>
      </c>
      <c r="S67">
        <v>1.0806542632112962E-2</v>
      </c>
      <c r="T67">
        <v>13.84</v>
      </c>
    </row>
    <row r="68" spans="1:30" x14ac:dyDescent="0.35">
      <c r="A68" t="s">
        <v>18</v>
      </c>
      <c r="E68">
        <v>-1.2119422382697436E-2</v>
      </c>
      <c r="F68">
        <f t="shared" ref="F68:F131" si="4">_xlfn.PERCENTILE.EXC(E68:E3883,0.05)</f>
        <v>-1.9477401297437344E-2</v>
      </c>
      <c r="G68">
        <f t="shared" ref="G68:G131" si="5">AVERAGEIFS(E68:E3884,E68:E3884,"&lt;=" &amp; F68)</f>
        <v>-3.0995107446941332E-2</v>
      </c>
      <c r="J68" s="2" t="s">
        <v>80</v>
      </c>
      <c r="K68">
        <f>B1349</f>
        <v>1.4961725109216041E-2</v>
      </c>
      <c r="L68">
        <f>C1349</f>
        <v>-2.0201138407148918E-3</v>
      </c>
      <c r="M68">
        <f t="shared" si="3"/>
        <v>1.3327686370763226E-2</v>
      </c>
      <c r="N68">
        <f>D1349</f>
        <v>-3.5073726973218151E-2</v>
      </c>
      <c r="O68">
        <f>AVERAGEIFS(E1349:E1370,E1349:E1370,"&lt;=" &amp; N68)</f>
        <v>-3.8145462798365226E-2</v>
      </c>
      <c r="P68">
        <v>303.52773213219677</v>
      </c>
      <c r="Q68">
        <v>36.032110000000003</v>
      </c>
      <c r="R68">
        <f t="shared" si="2"/>
        <v>197.79857959569753</v>
      </c>
      <c r="S68">
        <v>1.3327686370763226E-2</v>
      </c>
      <c r="T68">
        <v>18.23</v>
      </c>
      <c r="V68" s="7"/>
      <c r="W68" s="7" t="s">
        <v>241</v>
      </c>
      <c r="X68" s="7" t="s">
        <v>229</v>
      </c>
      <c r="Y68" s="7" t="s">
        <v>242</v>
      </c>
      <c r="Z68" s="7" t="s">
        <v>243</v>
      </c>
      <c r="AA68" s="7" t="s">
        <v>244</v>
      </c>
      <c r="AB68" s="7" t="s">
        <v>245</v>
      </c>
      <c r="AC68" s="7" t="s">
        <v>246</v>
      </c>
      <c r="AD68" s="7" t="s">
        <v>247</v>
      </c>
    </row>
    <row r="69" spans="1:30" x14ac:dyDescent="0.35">
      <c r="A69" t="s">
        <v>18</v>
      </c>
      <c r="E69">
        <v>1.795539581923955E-2</v>
      </c>
      <c r="F69">
        <f t="shared" si="4"/>
        <v>-1.9479038298230337E-2</v>
      </c>
      <c r="G69">
        <f t="shared" si="5"/>
        <v>-3.0995107446941332E-2</v>
      </c>
      <c r="J69" s="2" t="s">
        <v>81</v>
      </c>
      <c r="K69">
        <f>B1371</f>
        <v>1.4405817868093617E-2</v>
      </c>
      <c r="L69">
        <f>C1371</f>
        <v>2.5762063032099499E-3</v>
      </c>
      <c r="M69">
        <f t="shared" si="3"/>
        <v>1.4961725109216041E-2</v>
      </c>
      <c r="N69">
        <f>D1371</f>
        <v>-2.5384108675679643E-2</v>
      </c>
      <c r="O69">
        <f>AVERAGEIFS(E1371:E1393,E1371:E1393,"&lt;=" &amp; N69)</f>
        <v>-2.5992553910037464E-2</v>
      </c>
      <c r="P69">
        <v>314.76036810583815</v>
      </c>
      <c r="Q69">
        <v>21.222370000000002</v>
      </c>
      <c r="R69">
        <f t="shared" ref="R69:R132" si="6">P68</f>
        <v>303.52773213219677</v>
      </c>
      <c r="S69">
        <v>1.4961725109216041E-2</v>
      </c>
      <c r="T69">
        <v>12.12</v>
      </c>
      <c r="V69" t="s">
        <v>235</v>
      </c>
      <c r="W69">
        <v>-1.7300689246576385E-2</v>
      </c>
      <c r="X69">
        <v>2.8900265901115785E-3</v>
      </c>
      <c r="Y69">
        <v>-5.9863425844495213</v>
      </c>
      <c r="Z69">
        <v>1.1183887415861501E-8</v>
      </c>
      <c r="AA69">
        <v>-2.3002954694602909E-2</v>
      </c>
      <c r="AB69">
        <v>-1.1598423798549863E-2</v>
      </c>
      <c r="AC69">
        <v>-2.3002954694602909E-2</v>
      </c>
      <c r="AD69">
        <v>-1.1598423798549863E-2</v>
      </c>
    </row>
    <row r="70" spans="1:30" ht="15" thickBot="1" x14ac:dyDescent="0.4">
      <c r="A70" t="s">
        <v>18</v>
      </c>
      <c r="E70">
        <v>-9.8752752733379269E-6</v>
      </c>
      <c r="F70">
        <f t="shared" si="4"/>
        <v>-1.948067529902333E-2</v>
      </c>
      <c r="G70">
        <f t="shared" si="5"/>
        <v>-3.0995107446941332E-2</v>
      </c>
      <c r="J70" s="2" t="s">
        <v>82</v>
      </c>
      <c r="K70">
        <f>B1394</f>
        <v>2.2619099673112302E-2</v>
      </c>
      <c r="L70">
        <f>C1394</f>
        <v>-4.1783969668888745E-3</v>
      </c>
      <c r="M70">
        <f t="shared" ref="M70:M133" si="7">K69</f>
        <v>1.4405817868093617E-2</v>
      </c>
      <c r="N70">
        <f>D1394</f>
        <v>-5.3917623451203163E-2</v>
      </c>
      <c r="O70">
        <f>AVERAGEIFS(E1394:E1413,E1394:E1413,"&lt;=" &amp; N70)</f>
        <v>-5.493230125890735E-2</v>
      </c>
      <c r="P70">
        <v>171.73944490131768</v>
      </c>
      <c r="Q70">
        <v>34.812840000000001</v>
      </c>
      <c r="R70">
        <f t="shared" si="6"/>
        <v>314.76036810583815</v>
      </c>
      <c r="S70">
        <v>1.4405817868093617E-2</v>
      </c>
      <c r="T70">
        <v>28.43</v>
      </c>
      <c r="U70" s="9"/>
      <c r="V70" s="6" t="s">
        <v>202</v>
      </c>
      <c r="W70" s="6">
        <v>-1.8815985830234542E-5</v>
      </c>
      <c r="X70" s="6">
        <v>9.8876381928488689E-6</v>
      </c>
      <c r="Y70" s="6">
        <v>-1.9029808194077134</v>
      </c>
      <c r="Z70" s="6">
        <v>5.8621629740128994E-2</v>
      </c>
      <c r="AA70" s="6">
        <v>-3.8325127311002963E-5</v>
      </c>
      <c r="AB70" s="6">
        <v>6.931556505338758E-7</v>
      </c>
      <c r="AC70" s="6">
        <v>-3.8325127311002963E-5</v>
      </c>
      <c r="AD70" s="6">
        <v>6.931556505338758E-7</v>
      </c>
    </row>
    <row r="71" spans="1:30" x14ac:dyDescent="0.35">
      <c r="A71" t="s">
        <v>18</v>
      </c>
      <c r="E71">
        <v>-4.5802796811471522E-3</v>
      </c>
      <c r="F71">
        <f t="shared" si="4"/>
        <v>-1.9482312299816323E-2</v>
      </c>
      <c r="G71">
        <f t="shared" si="5"/>
        <v>-3.0995107446941332E-2</v>
      </c>
      <c r="J71" s="2" t="s">
        <v>83</v>
      </c>
      <c r="K71">
        <f>B1414</f>
        <v>1.9380188078330998E-2</v>
      </c>
      <c r="L71">
        <f>C1414</f>
        <v>-2.1893098017305747E-3</v>
      </c>
      <c r="M71">
        <f t="shared" si="7"/>
        <v>2.2619099673112302E-2</v>
      </c>
      <c r="N71">
        <f>D1414</f>
        <v>-3.3971744225686822E-2</v>
      </c>
      <c r="O71">
        <f>AVERAGEIFS(E1414:E1435,E1414:E1435,"&lt;=" &amp; N71)</f>
        <v>-3.483596665097357E-2</v>
      </c>
      <c r="P71">
        <v>263.03016007190877</v>
      </c>
      <c r="Q71">
        <v>35.833730000000003</v>
      </c>
      <c r="R71">
        <f t="shared" si="6"/>
        <v>171.73944490131768</v>
      </c>
      <c r="S71">
        <v>2.2619099673112302E-2</v>
      </c>
      <c r="T71">
        <v>24.5</v>
      </c>
    </row>
    <row r="72" spans="1:30" x14ac:dyDescent="0.35">
      <c r="A72" t="s">
        <v>18</v>
      </c>
      <c r="E72">
        <v>6.3562600201776268E-3</v>
      </c>
      <c r="F72">
        <f t="shared" si="4"/>
        <v>-1.9483949300609312E-2</v>
      </c>
      <c r="G72">
        <f t="shared" si="5"/>
        <v>-3.0995107446941332E-2</v>
      </c>
      <c r="J72" s="2" t="s">
        <v>84</v>
      </c>
      <c r="K72">
        <f>B1436</f>
        <v>1.1619740082328337E-2</v>
      </c>
      <c r="L72">
        <f>C1436</f>
        <v>4.3029720831718275E-3</v>
      </c>
      <c r="M72">
        <f t="shared" si="7"/>
        <v>1.9380188078330998E-2</v>
      </c>
      <c r="N72">
        <f>D1436</f>
        <v>-1.0190603850198803E-2</v>
      </c>
      <c r="O72">
        <f>AVERAGEIFS(E1436:E1457,E1436:E1457,"&lt;=" &amp; N72)</f>
        <v>-1.0274920551452177E-2</v>
      </c>
      <c r="P72">
        <v>231.93368590502911</v>
      </c>
      <c r="Q72">
        <v>22.42923</v>
      </c>
      <c r="R72">
        <f t="shared" si="6"/>
        <v>263.03016007190877</v>
      </c>
      <c r="S72">
        <v>1.9380188078330998E-2</v>
      </c>
      <c r="T72">
        <v>15.07</v>
      </c>
    </row>
    <row r="73" spans="1:30" x14ac:dyDescent="0.35">
      <c r="A73" t="s">
        <v>18</v>
      </c>
      <c r="E73">
        <v>1.9573211884525423E-3</v>
      </c>
      <c r="F73">
        <f t="shared" si="4"/>
        <v>-1.9485586301402305E-2</v>
      </c>
      <c r="G73">
        <f t="shared" si="5"/>
        <v>-3.0995107446941332E-2</v>
      </c>
      <c r="J73" s="2" t="s">
        <v>85</v>
      </c>
      <c r="K73">
        <f>B1458</f>
        <v>1.0560362531140942E-2</v>
      </c>
      <c r="L73">
        <f>C1458</f>
        <v>5.7924822063772834E-4</v>
      </c>
      <c r="M73">
        <f t="shared" si="7"/>
        <v>1.1619740082328337E-2</v>
      </c>
      <c r="N73">
        <f>D1458</f>
        <v>-1.9066124523442141E-2</v>
      </c>
      <c r="O73">
        <f>AVERAGEIFS(E1458:E1478,E1458:E1478,"&lt;=" &amp; N73)</f>
        <v>-1.9545618946637387E-2</v>
      </c>
      <c r="P73">
        <v>200.97588143856777</v>
      </c>
      <c r="Q73">
        <v>24.974720000000001</v>
      </c>
      <c r="R73">
        <f t="shared" si="6"/>
        <v>231.93368590502911</v>
      </c>
      <c r="S73">
        <v>1.1619740082328337E-2</v>
      </c>
      <c r="T73">
        <v>16.13</v>
      </c>
    </row>
    <row r="74" spans="1:30" x14ac:dyDescent="0.35">
      <c r="A74" t="s">
        <v>18</v>
      </c>
      <c r="E74">
        <v>-1.9627369328226219E-2</v>
      </c>
      <c r="F74">
        <f t="shared" si="4"/>
        <v>-1.9487223302195298E-2</v>
      </c>
      <c r="G74">
        <f t="shared" si="5"/>
        <v>-3.0995107446941332E-2</v>
      </c>
      <c r="J74" s="2" t="s">
        <v>86</v>
      </c>
      <c r="K74">
        <f>B1479</f>
        <v>1.5430489320303754E-2</v>
      </c>
      <c r="L74">
        <f>C1479</f>
        <v>-3.0649968764116177E-3</v>
      </c>
      <c r="M74">
        <f t="shared" si="7"/>
        <v>1.0560362531140942E-2</v>
      </c>
      <c r="N74">
        <f>D1479</f>
        <v>-3.6440425968209698E-2</v>
      </c>
      <c r="O74">
        <f>AVERAGEIFS(E1479:E1497,E1479:E1497,"&lt;=" &amp; N74)</f>
        <v>-3.6440425968209698E-2</v>
      </c>
      <c r="P74">
        <v>206.39484953514801</v>
      </c>
      <c r="Q74">
        <v>24.7791</v>
      </c>
      <c r="R74">
        <f t="shared" si="6"/>
        <v>200.97588143856777</v>
      </c>
      <c r="S74">
        <v>1.0560362531140942E-2</v>
      </c>
      <c r="T74">
        <v>18.21</v>
      </c>
    </row>
    <row r="75" spans="1:30" x14ac:dyDescent="0.35">
      <c r="A75" t="s">
        <v>18</v>
      </c>
      <c r="E75">
        <v>-4.0617868865422549E-3</v>
      </c>
      <c r="F75">
        <f t="shared" si="4"/>
        <v>-1.9460278558635045E-2</v>
      </c>
      <c r="G75">
        <f t="shared" si="5"/>
        <v>-3.0994235446742763E-2</v>
      </c>
      <c r="J75" s="2" t="s">
        <v>87</v>
      </c>
      <c r="K75">
        <f>B1498</f>
        <v>1.8698254737071342E-2</v>
      </c>
      <c r="L75">
        <f>C1498</f>
        <v>-2.8610775724823728E-3</v>
      </c>
      <c r="M75">
        <f t="shared" si="7"/>
        <v>1.5430489320303754E-2</v>
      </c>
      <c r="N75">
        <f>D1498</f>
        <v>-3.5016256072653913E-2</v>
      </c>
      <c r="O75">
        <f>AVERAGEIFS(E1498:E1517,E1498:E1517,"&lt;=" &amp; N75)</f>
        <v>-3.5089062728072842E-2</v>
      </c>
      <c r="P75">
        <v>241.4245361712679</v>
      </c>
      <c r="Q75">
        <v>29.697890000000001</v>
      </c>
      <c r="R75">
        <f t="shared" si="6"/>
        <v>206.39484953514801</v>
      </c>
      <c r="S75">
        <v>1.5430489320303754E-2</v>
      </c>
      <c r="T75">
        <v>20.2</v>
      </c>
      <c r="V75" t="s">
        <v>225</v>
      </c>
    </row>
    <row r="76" spans="1:30" ht="15" thickBot="1" x14ac:dyDescent="0.4">
      <c r="A76" t="s">
        <v>18</v>
      </c>
      <c r="E76">
        <v>1.4050289156022135E-2</v>
      </c>
      <c r="F76">
        <f t="shared" si="4"/>
        <v>-1.9461083905126717E-2</v>
      </c>
      <c r="G76">
        <f t="shared" si="5"/>
        <v>-3.0994235446742763E-2</v>
      </c>
      <c r="J76" s="2" t="s">
        <v>88</v>
      </c>
      <c r="K76">
        <f>B1518</f>
        <v>2.0344694794150478E-2</v>
      </c>
      <c r="L76">
        <f>C1518</f>
        <v>-6.8922173007866306E-4</v>
      </c>
      <c r="M76">
        <f t="shared" si="7"/>
        <v>1.8698254737071342E-2</v>
      </c>
      <c r="N76">
        <f>D1518</f>
        <v>-4.0462108374438061E-2</v>
      </c>
      <c r="O76">
        <f>AVERAGEIFS(E1518:E1538,E1518:E1538,"&lt;=" &amp; N76)</f>
        <v>-4.1345889074985695E-2</v>
      </c>
      <c r="P76">
        <v>324.04653568126793</v>
      </c>
      <c r="Q76">
        <v>32.331159999999997</v>
      </c>
      <c r="R76">
        <f t="shared" si="6"/>
        <v>241.4245361712679</v>
      </c>
      <c r="S76">
        <v>1.8698254737071342E-2</v>
      </c>
      <c r="T76">
        <v>20.55</v>
      </c>
    </row>
    <row r="77" spans="1:30" x14ac:dyDescent="0.35">
      <c r="A77" t="s">
        <v>18</v>
      </c>
      <c r="E77">
        <v>-1.2238544025852706E-2</v>
      </c>
      <c r="F77">
        <f t="shared" si="4"/>
        <v>-1.9461889251618392E-2</v>
      </c>
      <c r="G77">
        <f t="shared" si="5"/>
        <v>-3.0994235446742763E-2</v>
      </c>
      <c r="J77" s="2" t="s">
        <v>89</v>
      </c>
      <c r="K77">
        <f>B1539</f>
        <v>1.203433923925905E-2</v>
      </c>
      <c r="L77">
        <f>C1539</f>
        <v>3.4341450038842802E-4</v>
      </c>
      <c r="M77">
        <f t="shared" si="7"/>
        <v>2.0344694794150478E-2</v>
      </c>
      <c r="N77">
        <f>D1539</f>
        <v>-2.1107582289084003E-2</v>
      </c>
      <c r="O77">
        <f>AVERAGEIFS(E1539:E1559,E1539:E1559,"&lt;=" &amp; N77)</f>
        <v>-2.1546107133027084E-2</v>
      </c>
      <c r="P77">
        <v>253.68586333993335</v>
      </c>
      <c r="Q77">
        <v>26.686969999999999</v>
      </c>
      <c r="R77">
        <f t="shared" si="6"/>
        <v>324.04653568126793</v>
      </c>
      <c r="S77">
        <v>2.0344694794150478E-2</v>
      </c>
      <c r="T77">
        <v>13.95</v>
      </c>
      <c r="V77" s="8" t="s">
        <v>226</v>
      </c>
      <c r="W77" s="8"/>
    </row>
    <row r="78" spans="1:30" x14ac:dyDescent="0.35">
      <c r="A78" t="s">
        <v>18</v>
      </c>
      <c r="E78">
        <v>-1.3419045447500185E-2</v>
      </c>
      <c r="F78">
        <f t="shared" si="4"/>
        <v>-1.9462694598110064E-2</v>
      </c>
      <c r="G78">
        <f t="shared" si="5"/>
        <v>-3.0994235446742763E-2</v>
      </c>
      <c r="J78" s="2" t="s">
        <v>90</v>
      </c>
      <c r="K78">
        <f>B1560</f>
        <v>1.2886846608624649E-2</v>
      </c>
      <c r="L78">
        <f>C1560</f>
        <v>4.743564178771889E-4</v>
      </c>
      <c r="M78">
        <f t="shared" si="7"/>
        <v>1.203433923925905E-2</v>
      </c>
      <c r="N78">
        <f>D1560</f>
        <v>-2.7929996211006593E-2</v>
      </c>
      <c r="O78">
        <f>AVERAGEIFS(E1560:E1580,E1560:E1580,"&lt;=" &amp; N78)</f>
        <v>-2.8578714986915593E-2</v>
      </c>
      <c r="P78">
        <v>216.33028088042593</v>
      </c>
      <c r="Q78">
        <v>27.493749999999999</v>
      </c>
      <c r="R78">
        <f t="shared" si="6"/>
        <v>253.68586333993335</v>
      </c>
      <c r="S78">
        <v>1.203433923925905E-2</v>
      </c>
      <c r="T78">
        <v>15.7</v>
      </c>
      <c r="V78" t="s">
        <v>227</v>
      </c>
      <c r="W78">
        <v>0.1068784391711556</v>
      </c>
    </row>
    <row r="79" spans="1:30" x14ac:dyDescent="0.35">
      <c r="A79" t="s">
        <v>18</v>
      </c>
      <c r="E79">
        <v>6.7674634071809639E-3</v>
      </c>
      <c r="F79">
        <f t="shared" si="4"/>
        <v>-1.9463499944601736E-2</v>
      </c>
      <c r="G79">
        <f t="shared" si="5"/>
        <v>-3.0994235446742763E-2</v>
      </c>
      <c r="J79" s="2" t="s">
        <v>91</v>
      </c>
      <c r="K79">
        <f>B1581</f>
        <v>9.528347072907584E-3</v>
      </c>
      <c r="L79">
        <f>C1581</f>
        <v>9.0319541767978797E-4</v>
      </c>
      <c r="M79">
        <f t="shared" si="7"/>
        <v>1.2886846608624649E-2</v>
      </c>
      <c r="N79">
        <f>D1581</f>
        <v>-1.2948797777806009E-2</v>
      </c>
      <c r="O79">
        <f>AVERAGEIFS(E1581:E1599,E1581:E1599,"&lt;=" &amp; N79)</f>
        <v>-1.2948797777806009E-2</v>
      </c>
      <c r="P79">
        <v>241.11566495964757</v>
      </c>
      <c r="Q79">
        <v>24.633790000000001</v>
      </c>
      <c r="R79">
        <f t="shared" si="6"/>
        <v>216.33028088042593</v>
      </c>
      <c r="S79">
        <v>1.2886846608624649E-2</v>
      </c>
      <c r="T79">
        <v>14.19</v>
      </c>
      <c r="V79" t="s">
        <v>228</v>
      </c>
      <c r="W79">
        <v>1.1423000759662407E-2</v>
      </c>
      <c r="Y79" t="s">
        <v>383</v>
      </c>
    </row>
    <row r="80" spans="1:30" x14ac:dyDescent="0.35">
      <c r="A80" t="s">
        <v>18</v>
      </c>
      <c r="E80">
        <v>1.1597009458144692E-2</v>
      </c>
      <c r="F80">
        <f t="shared" si="4"/>
        <v>-1.9464305291093411E-2</v>
      </c>
      <c r="G80">
        <f t="shared" si="5"/>
        <v>-3.0994235446742763E-2</v>
      </c>
      <c r="J80" s="2" t="s">
        <v>92</v>
      </c>
      <c r="K80">
        <f>B1600</f>
        <v>2.4723889852378996E-2</v>
      </c>
      <c r="L80">
        <f>C1600</f>
        <v>-2.7889433418507117E-3</v>
      </c>
      <c r="M80">
        <f t="shared" si="7"/>
        <v>9.528347072907584E-3</v>
      </c>
      <c r="N80">
        <f>D1600</f>
        <v>-7.5791126580524795E-2</v>
      </c>
      <c r="O80">
        <f>AVERAGEIFS(E1600:E1621,E1600:E1621,"&lt;=" &amp; N80)</f>
        <v>-8.3843670369306206E-2</v>
      </c>
      <c r="P80">
        <v>444.34198268649033</v>
      </c>
      <c r="Q80">
        <v>28.874510000000001</v>
      </c>
      <c r="R80">
        <f t="shared" si="6"/>
        <v>241.11566495964757</v>
      </c>
      <c r="S80">
        <v>9.528347072907584E-3</v>
      </c>
      <c r="T80">
        <v>15.63</v>
      </c>
      <c r="V80" t="s">
        <v>228</v>
      </c>
      <c r="W80">
        <v>5.9912590055946164E-3</v>
      </c>
    </row>
    <row r="81" spans="1:30" x14ac:dyDescent="0.35">
      <c r="A81" t="s">
        <v>18</v>
      </c>
      <c r="E81">
        <v>-3.8972081812495389E-2</v>
      </c>
      <c r="F81">
        <f t="shared" si="4"/>
        <v>-1.9465942291886404E-2</v>
      </c>
      <c r="G81">
        <f t="shared" si="5"/>
        <v>-3.1056224318547331E-2</v>
      </c>
      <c r="J81" s="2" t="s">
        <v>93</v>
      </c>
      <c r="K81">
        <f>B1622</f>
        <v>1.0355160769692298E-2</v>
      </c>
      <c r="L81">
        <f>C1622</f>
        <v>2.2210871335373614E-3</v>
      </c>
      <c r="M81">
        <f t="shared" si="7"/>
        <v>2.4723889852378996E-2</v>
      </c>
      <c r="N81">
        <f>D1622</f>
        <v>-1.8748859970345748E-2</v>
      </c>
      <c r="O81">
        <f>AVERAGEIFS(E1622:E1642,E1622:E1642,"&lt;=" &amp; N81)</f>
        <v>-1.8941686878126449E-2</v>
      </c>
      <c r="P81">
        <v>410.00738279337259</v>
      </c>
      <c r="Q81">
        <v>22.58746</v>
      </c>
      <c r="R81">
        <f t="shared" si="6"/>
        <v>444.34198268649033</v>
      </c>
      <c r="S81">
        <v>2.4723889852378996E-2</v>
      </c>
      <c r="T81">
        <v>11.87</v>
      </c>
      <c r="V81" t="s">
        <v>229</v>
      </c>
      <c r="W81">
        <v>1.1763038051422103E-2</v>
      </c>
    </row>
    <row r="82" spans="1:30" ht="15" thickBot="1" x14ac:dyDescent="0.4">
      <c r="A82" t="s">
        <v>18</v>
      </c>
      <c r="E82">
        <v>-1.5095417416965158E-2</v>
      </c>
      <c r="F82">
        <f t="shared" si="4"/>
        <v>-1.9449809054243292E-2</v>
      </c>
      <c r="G82">
        <f t="shared" si="5"/>
        <v>-3.0951343799615061E-2</v>
      </c>
      <c r="J82" s="2" t="s">
        <v>94</v>
      </c>
      <c r="K82">
        <f>B1643</f>
        <v>8.3689951978469321E-3</v>
      </c>
      <c r="L82">
        <f>C1643</f>
        <v>-1.7056551177180368E-5</v>
      </c>
      <c r="M82">
        <f t="shared" si="7"/>
        <v>1.0355160769692298E-2</v>
      </c>
      <c r="N82">
        <f>D1643</f>
        <v>-1.7688183357138988E-2</v>
      </c>
      <c r="O82">
        <f>AVERAGEIFS(E1643:E1663,E1643:E1663,"&lt;=" &amp; N82)</f>
        <v>-1.8583232123043567E-2</v>
      </c>
      <c r="P82">
        <v>178.72028205561639</v>
      </c>
      <c r="Q82">
        <v>21.665040000000001</v>
      </c>
      <c r="R82">
        <f t="shared" si="6"/>
        <v>410.00738279337259</v>
      </c>
      <c r="S82">
        <v>1.0355160769692298E-2</v>
      </c>
      <c r="T82">
        <v>13.42</v>
      </c>
      <c r="V82" s="6" t="s">
        <v>230</v>
      </c>
      <c r="W82" s="6">
        <v>184</v>
      </c>
    </row>
    <row r="83" spans="1:30" x14ac:dyDescent="0.35">
      <c r="A83" t="s">
        <v>18</v>
      </c>
      <c r="E83">
        <v>1.4059662980317191E-2</v>
      </c>
      <c r="F83">
        <f t="shared" si="4"/>
        <v>-1.9450614400734964E-2</v>
      </c>
      <c r="G83">
        <f t="shared" si="5"/>
        <v>-3.0951343799615061E-2</v>
      </c>
      <c r="J83" s="2" t="s">
        <v>95</v>
      </c>
      <c r="K83">
        <f>B1664</f>
        <v>1.0313513115494135E-2</v>
      </c>
      <c r="L83">
        <f>C1664</f>
        <v>1.0270969619931757E-4</v>
      </c>
      <c r="M83">
        <f t="shared" si="7"/>
        <v>8.3689951978469321E-3</v>
      </c>
      <c r="N83">
        <f>D1664</f>
        <v>-1.723618067114336E-2</v>
      </c>
      <c r="O83">
        <f>AVERAGEIFS(E1664:E1685,E1664:E1685,"&lt;=" &amp; N83)</f>
        <v>-1.8173857485110752E-2</v>
      </c>
      <c r="P83">
        <v>291.67300951647849</v>
      </c>
      <c r="Q83">
        <v>22.19697</v>
      </c>
      <c r="R83">
        <f t="shared" si="6"/>
        <v>178.72028205561639</v>
      </c>
      <c r="S83">
        <v>8.3689951978469321E-3</v>
      </c>
      <c r="T83">
        <v>13.29</v>
      </c>
    </row>
    <row r="84" spans="1:30" ht="15" thickBot="1" x14ac:dyDescent="0.4">
      <c r="A84" t="s">
        <v>18</v>
      </c>
      <c r="E84">
        <v>-6.1716579988418214E-3</v>
      </c>
      <c r="F84">
        <f t="shared" si="4"/>
        <v>-1.9451419747226639E-2</v>
      </c>
      <c r="G84">
        <f t="shared" si="5"/>
        <v>-3.0951343799615061E-2</v>
      </c>
      <c r="J84" s="2" t="s">
        <v>96</v>
      </c>
      <c r="K84">
        <f>B1686</f>
        <v>7.3391460671127758E-3</v>
      </c>
      <c r="L84">
        <f>C1686</f>
        <v>6.8100258760181952E-4</v>
      </c>
      <c r="M84">
        <f t="shared" si="7"/>
        <v>1.0313513115494135E-2</v>
      </c>
      <c r="N84">
        <f>D1686</f>
        <v>-1.0531166511490823E-2</v>
      </c>
      <c r="O84">
        <f>AVERAGEIFS(E1686:E1705,E1686:E1705,"&lt;=" &amp; N84)</f>
        <v>-1.0628489164106126E-2</v>
      </c>
      <c r="P84">
        <v>256.62360697508524</v>
      </c>
      <c r="Q84">
        <v>23.51004</v>
      </c>
      <c r="R84">
        <f t="shared" si="6"/>
        <v>291.67300951647849</v>
      </c>
      <c r="S84">
        <v>1.0313513115494135E-2</v>
      </c>
      <c r="T84">
        <v>17.059999999999999</v>
      </c>
      <c r="V84" t="s">
        <v>231</v>
      </c>
    </row>
    <row r="85" spans="1:30" x14ac:dyDescent="0.35">
      <c r="A85" t="s">
        <v>19</v>
      </c>
      <c r="B85" s="3" cm="1">
        <f t="array" ref="B85">_xlfn.STDEV.S(_xlfn._xlws.FILTER($E$2:$E$1000, $A$2:$A$1000="2010-05"))</f>
        <v>3.2476953607379316E-2</v>
      </c>
      <c r="C85" s="3" cm="1">
        <f t="array" ref="C85">AVERAGE(_xlfn._xlws.FILTER($E$2:$E$1000, $A$2:$A$1000="2010-05"))</f>
        <v>-4.3371346885742431E-3</v>
      </c>
      <c r="D85" s="3" cm="1">
        <f t="array" ref="D85">_xlfn.PERCENTILE.EXC(_xlfn._xlws.FILTER($E$85:$E$103, $A$85:$A$103="2010-05"), 0.05)</f>
        <v>-4.707360932319523E-2</v>
      </c>
      <c r="E85">
        <v>-3.402812628636568E-2</v>
      </c>
      <c r="F85">
        <f t="shared" si="4"/>
        <v>-1.9452225093718311E-2</v>
      </c>
      <c r="G85">
        <f t="shared" si="5"/>
        <v>-3.0951343799615061E-2</v>
      </c>
      <c r="J85" s="4" t="s">
        <v>97</v>
      </c>
      <c r="K85" s="3">
        <f>B1706</f>
        <v>8.2137392330827556E-3</v>
      </c>
      <c r="L85" s="3">
        <f>C1706</f>
        <v>6.910648537558088E-4</v>
      </c>
      <c r="M85">
        <f t="shared" si="7"/>
        <v>7.3391460671127758E-3</v>
      </c>
      <c r="N85" s="3">
        <f>D1706</f>
        <v>-1.2026495175146442E-2</v>
      </c>
      <c r="O85" s="3">
        <f>AVERAGEIFS(E1706:E1727,E1706:E1727,"&lt;=" &amp; N85)</f>
        <v>-1.2517960409215146E-2</v>
      </c>
      <c r="P85" s="3">
        <v>448.59508317810725</v>
      </c>
      <c r="Q85" s="3">
        <v>22.72129</v>
      </c>
      <c r="R85">
        <f t="shared" si="6"/>
        <v>256.62360697508524</v>
      </c>
      <c r="S85">
        <v>7.3391460671127758E-3</v>
      </c>
      <c r="T85" s="3">
        <v>13.33</v>
      </c>
      <c r="V85" s="7"/>
      <c r="W85" s="7" t="s">
        <v>236</v>
      </c>
      <c r="X85" s="7" t="s">
        <v>237</v>
      </c>
      <c r="Y85" s="7" t="s">
        <v>238</v>
      </c>
      <c r="Z85" s="7" t="s">
        <v>239</v>
      </c>
      <c r="AA85" s="7" t="s">
        <v>240</v>
      </c>
    </row>
    <row r="86" spans="1:30" x14ac:dyDescent="0.35">
      <c r="A86" t="s">
        <v>19</v>
      </c>
      <c r="E86">
        <v>-1.4541600508490396E-2</v>
      </c>
      <c r="F86">
        <f t="shared" si="4"/>
        <v>-1.9434580713240359E-2</v>
      </c>
      <c r="G86">
        <f t="shared" si="5"/>
        <v>-3.0872957090340297E-2</v>
      </c>
      <c r="J86" s="2" t="s">
        <v>98</v>
      </c>
      <c r="K86">
        <f>B1728</f>
        <v>6.3340839262366957E-3</v>
      </c>
      <c r="L86">
        <f>C1728</f>
        <v>3.0088573309487339E-3</v>
      </c>
      <c r="M86">
        <f t="shared" si="7"/>
        <v>8.2137392330827556E-3</v>
      </c>
      <c r="N86">
        <f>D1728</f>
        <v>-7.2228843330862146E-3</v>
      </c>
      <c r="O86">
        <f>AVERAGEIFS(E1728:E1747,E1728:E1747,"&lt;=" &amp; N86)</f>
        <v>-7.2348800033537027E-3</v>
      </c>
      <c r="P86">
        <v>408.26754699437186</v>
      </c>
      <c r="Q86">
        <v>19.114329999999999</v>
      </c>
      <c r="R86">
        <f t="shared" si="6"/>
        <v>448.59508317810725</v>
      </c>
      <c r="S86">
        <v>8.2137392330827556E-3</v>
      </c>
      <c r="T86">
        <v>14.04</v>
      </c>
      <c r="V86" t="s">
        <v>232</v>
      </c>
      <c r="W86">
        <v>1</v>
      </c>
      <c r="X86">
        <v>2.9099136097138559E-4</v>
      </c>
      <c r="Y86">
        <v>2.9099136097138559E-4</v>
      </c>
      <c r="Z86">
        <v>2.1030088094869037</v>
      </c>
      <c r="AA86">
        <v>0.14873074376627779</v>
      </c>
    </row>
    <row r="87" spans="1:30" x14ac:dyDescent="0.35">
      <c r="A87" t="s">
        <v>19</v>
      </c>
      <c r="E87">
        <v>-2.2225176299758027E-2</v>
      </c>
      <c r="F87">
        <f t="shared" si="4"/>
        <v>-1.9435553402384616E-2</v>
      </c>
      <c r="G87">
        <f t="shared" si="5"/>
        <v>-3.0872957090340297E-2</v>
      </c>
      <c r="J87" s="2" t="s">
        <v>99</v>
      </c>
      <c r="K87">
        <f>B1748</f>
        <v>5.8551137094753338E-3</v>
      </c>
      <c r="L87">
        <f>C1748</f>
        <v>-1.1238391119223656E-3</v>
      </c>
      <c r="M87">
        <f t="shared" si="7"/>
        <v>6.3340839262366957E-3</v>
      </c>
      <c r="N87">
        <f>D1748</f>
        <v>-1.1172087232804823E-2</v>
      </c>
      <c r="O87">
        <f>AVERAGEIFS(E1748:E1768,E1748:E1768,"&lt;=" &amp; N87)</f>
        <v>-1.1499801523700594E-2</v>
      </c>
      <c r="P87">
        <v>462.96556552285955</v>
      </c>
      <c r="Q87">
        <v>18.729869999999998</v>
      </c>
      <c r="R87">
        <f t="shared" si="6"/>
        <v>408.26754699437186</v>
      </c>
      <c r="S87">
        <v>6.3340839262366957E-3</v>
      </c>
      <c r="T87">
        <v>11.99</v>
      </c>
      <c r="V87" t="s">
        <v>233</v>
      </c>
      <c r="W87">
        <v>182</v>
      </c>
      <c r="X87">
        <v>2.5183169684255182E-2</v>
      </c>
      <c r="Y87">
        <v>1.3836906419920431E-4</v>
      </c>
    </row>
    <row r="88" spans="1:30" ht="15" thickBot="1" x14ac:dyDescent="0.4">
      <c r="A88" t="s">
        <v>19</v>
      </c>
      <c r="E88">
        <v>-4.707360932319523E-2</v>
      </c>
      <c r="F88">
        <f t="shared" si="4"/>
        <v>-1.9412871933533814E-2</v>
      </c>
      <c r="G88">
        <f t="shared" si="5"/>
        <v>-3.0857922511193077E-2</v>
      </c>
      <c r="J88" s="2" t="s">
        <v>100</v>
      </c>
      <c r="K88">
        <f>B1769</f>
        <v>6.3795496794015081E-3</v>
      </c>
      <c r="L88">
        <f>C1769</f>
        <v>1.1416600934301053E-3</v>
      </c>
      <c r="M88">
        <f t="shared" si="7"/>
        <v>5.8551137094753338E-3</v>
      </c>
      <c r="N88">
        <f>D1769</f>
        <v>-9.8390008237079704E-3</v>
      </c>
      <c r="O88">
        <f>AVERAGEIFS(E1769:E1788,E1769:E1788,"&lt;=" &amp; N88)</f>
        <v>-9.8589854640035272E-3</v>
      </c>
      <c r="P88">
        <v>379.42595357595764</v>
      </c>
      <c r="Q88">
        <v>17.275020000000001</v>
      </c>
      <c r="R88">
        <f t="shared" si="6"/>
        <v>462.96556552285955</v>
      </c>
      <c r="S88">
        <v>5.8551137094753338E-3</v>
      </c>
      <c r="T88">
        <v>12.92</v>
      </c>
      <c r="V88" s="6" t="s">
        <v>234</v>
      </c>
      <c r="W88" s="6">
        <v>183</v>
      </c>
      <c r="X88" s="6">
        <v>2.5474161045226568E-2</v>
      </c>
      <c r="Y88" s="6"/>
      <c r="Z88" s="6"/>
      <c r="AA88" s="6"/>
    </row>
    <row r="89" spans="1:30" ht="15" thickBot="1" x14ac:dyDescent="0.4">
      <c r="A89" t="s">
        <v>19</v>
      </c>
      <c r="E89">
        <v>9.2207980752490426E-2</v>
      </c>
      <c r="F89">
        <f t="shared" si="4"/>
        <v>-1.9391905988343873E-2</v>
      </c>
      <c r="G89">
        <f t="shared" si="5"/>
        <v>-3.0709151978113029E-2</v>
      </c>
      <c r="J89" s="2" t="s">
        <v>101</v>
      </c>
      <c r="K89">
        <f>B1789</f>
        <v>5.542934799288044E-3</v>
      </c>
      <c r="L89">
        <f>C1789</f>
        <v>2.2999277891984789E-3</v>
      </c>
      <c r="M89">
        <f t="shared" si="7"/>
        <v>6.3795496794015081E-3</v>
      </c>
      <c r="N89">
        <f>D1789</f>
        <v>-4.9856448985589495E-3</v>
      </c>
      <c r="O89">
        <f>AVERAGEIFS(E1789:E1811,E1789:E1811,"&lt;=" &amp; N89)</f>
        <v>-5.0812934054105868E-3</v>
      </c>
      <c r="P89">
        <v>521.56415059869596</v>
      </c>
      <c r="Q89">
        <v>17.673690000000001</v>
      </c>
      <c r="R89">
        <f t="shared" si="6"/>
        <v>379.42595357595764</v>
      </c>
      <c r="S89">
        <v>6.3795496794015081E-3</v>
      </c>
      <c r="T89">
        <v>12.37</v>
      </c>
    </row>
    <row r="90" spans="1:30" x14ac:dyDescent="0.35">
      <c r="A90" t="s">
        <v>19</v>
      </c>
      <c r="E90">
        <v>-7.3083313194785508E-3</v>
      </c>
      <c r="F90">
        <f t="shared" si="4"/>
        <v>-1.9392850004885928E-2</v>
      </c>
      <c r="G90">
        <f t="shared" si="5"/>
        <v>-3.0709151978113029E-2</v>
      </c>
      <c r="J90" s="2" t="s">
        <v>102</v>
      </c>
      <c r="K90">
        <f>B1812</f>
        <v>1.1601048147983347E-2</v>
      </c>
      <c r="L90">
        <f>C1812</f>
        <v>1.5488355277855905E-3</v>
      </c>
      <c r="M90">
        <f t="shared" si="7"/>
        <v>5.542934799288044E-3</v>
      </c>
      <c r="N90">
        <f>D1812</f>
        <v>-8.5057569615325929E-3</v>
      </c>
      <c r="O90">
        <f>AVERAGEIFS(E1812:E1829,E1812:E1829,"&lt;=" &amp; N90)</f>
        <v>-1.6071747885926926E-2</v>
      </c>
      <c r="P90">
        <v>574.6331443928085</v>
      </c>
      <c r="Q90">
        <v>18.585660000000001</v>
      </c>
      <c r="R90">
        <f t="shared" si="6"/>
        <v>521.56415059869596</v>
      </c>
      <c r="S90">
        <v>5.542934799288044E-3</v>
      </c>
      <c r="T90">
        <v>10.82</v>
      </c>
      <c r="V90" s="7"/>
      <c r="W90" s="7" t="s">
        <v>241</v>
      </c>
      <c r="X90" s="7" t="s">
        <v>229</v>
      </c>
      <c r="Y90" s="7" t="s">
        <v>242</v>
      </c>
      <c r="Z90" s="7" t="s">
        <v>243</v>
      </c>
      <c r="AA90" s="7" t="s">
        <v>244</v>
      </c>
      <c r="AB90" s="7" t="s">
        <v>245</v>
      </c>
      <c r="AC90" s="7" t="s">
        <v>246</v>
      </c>
      <c r="AD90" s="7" t="s">
        <v>247</v>
      </c>
    </row>
    <row r="91" spans="1:30" x14ac:dyDescent="0.35">
      <c r="A91" t="s">
        <v>19</v>
      </c>
      <c r="E91">
        <v>1.0951938385562203E-2</v>
      </c>
      <c r="F91">
        <f t="shared" si="4"/>
        <v>-1.9393794021427983E-2</v>
      </c>
      <c r="G91">
        <f t="shared" si="5"/>
        <v>-3.0709151978113029E-2</v>
      </c>
      <c r="J91" s="2" t="s">
        <v>103</v>
      </c>
      <c r="K91">
        <f>B1830</f>
        <v>6.6919421390960942E-3</v>
      </c>
      <c r="L91">
        <f>C1830</f>
        <v>1.4713184273150743E-4</v>
      </c>
      <c r="M91">
        <f t="shared" si="7"/>
        <v>1.1601048147983347E-2</v>
      </c>
      <c r="N91">
        <f>D1830</f>
        <v>-1.5720651179697176E-2</v>
      </c>
      <c r="O91">
        <f>AVERAGEIFS(E1830:E1850,E1830:E1850,"&lt;=" &amp; N91)</f>
        <v>-1.645133750933795E-2</v>
      </c>
      <c r="P91">
        <v>288.26044389781725</v>
      </c>
      <c r="Q91">
        <v>16.354109999999999</v>
      </c>
      <c r="R91">
        <f t="shared" si="6"/>
        <v>574.6331443928085</v>
      </c>
      <c r="S91">
        <v>1.1601048147983347E-2</v>
      </c>
      <c r="T91">
        <v>10.41</v>
      </c>
      <c r="V91" t="s">
        <v>235</v>
      </c>
      <c r="W91">
        <v>-1.7450347357791173E-2</v>
      </c>
      <c r="X91">
        <v>2.6843685963112295E-3</v>
      </c>
      <c r="Y91">
        <v>-6.5007269798085341</v>
      </c>
      <c r="Z91">
        <v>7.4518406988444177E-10</v>
      </c>
      <c r="AA91">
        <v>-2.274683229287338E-2</v>
      </c>
      <c r="AB91">
        <v>-1.2153862422708966E-2</v>
      </c>
      <c r="AC91">
        <v>-2.274683229287338E-2</v>
      </c>
      <c r="AD91">
        <v>-1.2153862422708966E-2</v>
      </c>
    </row>
    <row r="92" spans="1:30" ht="15" thickBot="1" x14ac:dyDescent="0.4">
      <c r="A92" t="s">
        <v>19</v>
      </c>
      <c r="E92">
        <v>-6.2421222026797819E-4</v>
      </c>
      <c r="F92">
        <f t="shared" si="4"/>
        <v>-1.9394738037970038E-2</v>
      </c>
      <c r="G92">
        <f t="shared" si="5"/>
        <v>-3.0709151978113029E-2</v>
      </c>
      <c r="J92" s="2" t="s">
        <v>104</v>
      </c>
      <c r="K92">
        <f>B1851</f>
        <v>7.4742739572579249E-3</v>
      </c>
      <c r="L92">
        <f>C1851</f>
        <v>-1.4917199412232704E-3</v>
      </c>
      <c r="M92">
        <f t="shared" si="7"/>
        <v>6.6919421390960942E-3</v>
      </c>
      <c r="N92">
        <f>D1851</f>
        <v>-1.8443526227991652E-2</v>
      </c>
      <c r="O92">
        <f>AVERAGEIFS(E1851:E1871,E1851:E1871,"&lt;=" &amp; N92)</f>
        <v>-1.8939286704568226E-2</v>
      </c>
      <c r="P92">
        <v>308.56528601007835</v>
      </c>
      <c r="Q92">
        <v>19.691189999999999</v>
      </c>
      <c r="R92">
        <f t="shared" si="6"/>
        <v>288.26044389781725</v>
      </c>
      <c r="S92">
        <v>6.6919421390960942E-3</v>
      </c>
      <c r="T92">
        <v>11.18</v>
      </c>
      <c r="V92" s="6" t="s">
        <v>202</v>
      </c>
      <c r="W92" s="6">
        <v>-1.3318441985436735E-5</v>
      </c>
      <c r="X92" s="6">
        <v>9.1840211946099375E-6</v>
      </c>
      <c r="Y92" s="6">
        <v>-1.4501754409335719</v>
      </c>
      <c r="Z92" s="6">
        <v>0.14873074376627987</v>
      </c>
      <c r="AA92" s="6">
        <v>-3.1439287970437035E-5</v>
      </c>
      <c r="AB92" s="6">
        <v>4.8024039995635655E-6</v>
      </c>
      <c r="AC92" s="6">
        <v>-3.1439287970437035E-5</v>
      </c>
      <c r="AD92" s="6">
        <v>4.8024039995635655E-6</v>
      </c>
    </row>
    <row r="93" spans="1:30" x14ac:dyDescent="0.35">
      <c r="A93" t="s">
        <v>19</v>
      </c>
      <c r="E93">
        <v>-4.695935373483142E-2</v>
      </c>
      <c r="F93">
        <f t="shared" si="4"/>
        <v>-1.9395682054512094E-2</v>
      </c>
      <c r="G93">
        <f t="shared" si="5"/>
        <v>-3.0709151978113029E-2</v>
      </c>
      <c r="J93" s="2" t="s">
        <v>105</v>
      </c>
      <c r="K93">
        <f>B1872</f>
        <v>7.9013807955717278E-3</v>
      </c>
      <c r="L93">
        <f>C1872</f>
        <v>-2.5090563585337543E-4</v>
      </c>
      <c r="M93">
        <f t="shared" si="7"/>
        <v>7.4742739572579249E-3</v>
      </c>
      <c r="N93">
        <f>D1872</f>
        <v>-1.5324059763377898E-2</v>
      </c>
      <c r="O93">
        <f>AVERAGEIFS(E1872:E1892,E1872:E1892,"&lt;=" &amp; N93)</f>
        <v>-1.5811311005454035E-2</v>
      </c>
      <c r="P93">
        <v>176.46953211285751</v>
      </c>
      <c r="Q93">
        <v>16.421189999999999</v>
      </c>
      <c r="R93">
        <f t="shared" si="6"/>
        <v>308.56528601007835</v>
      </c>
      <c r="S93">
        <v>7.4742739572579249E-3</v>
      </c>
      <c r="T93">
        <v>10.26</v>
      </c>
    </row>
    <row r="94" spans="1:30" x14ac:dyDescent="0.35">
      <c r="A94" t="s">
        <v>19</v>
      </c>
      <c r="E94">
        <v>-4.7326138352935783E-3</v>
      </c>
      <c r="F94">
        <f t="shared" si="4"/>
        <v>-1.937797228246247E-2</v>
      </c>
      <c r="G94">
        <f t="shared" si="5"/>
        <v>-3.0560894215234721E-2</v>
      </c>
      <c r="J94" s="2" t="s">
        <v>106</v>
      </c>
      <c r="K94">
        <f>B1893</f>
        <v>8.1780004729504596E-3</v>
      </c>
      <c r="L94">
        <f>C1893</f>
        <v>-7.6532098947114992E-5</v>
      </c>
      <c r="M94">
        <f t="shared" si="7"/>
        <v>7.9013807955717278E-3</v>
      </c>
      <c r="N94">
        <f>D1893</f>
        <v>-1.4271152408980239E-2</v>
      </c>
      <c r="O94">
        <f>AVERAGEIFS(E1893:E1913,E1893:E1913,"&lt;=" &amp; N94)</f>
        <v>-1.4287578104278508E-2</v>
      </c>
      <c r="P94">
        <v>164.0532893047378</v>
      </c>
      <c r="Q94">
        <v>18.572019999999998</v>
      </c>
      <c r="R94">
        <f t="shared" si="6"/>
        <v>176.46953211285751</v>
      </c>
      <c r="S94">
        <v>7.9013807955717278E-3</v>
      </c>
      <c r="T94">
        <v>10.59</v>
      </c>
    </row>
    <row r="95" spans="1:30" x14ac:dyDescent="0.35">
      <c r="A95" t="s">
        <v>19</v>
      </c>
      <c r="E95">
        <v>2.0604370653771791E-2</v>
      </c>
      <c r="F95">
        <f t="shared" si="4"/>
        <v>-1.9378878541962956E-2</v>
      </c>
      <c r="G95">
        <f t="shared" si="5"/>
        <v>-3.0560894215234721E-2</v>
      </c>
      <c r="J95" s="2" t="s">
        <v>107</v>
      </c>
      <c r="K95">
        <f>B1914</f>
        <v>3.8549822259871312E-3</v>
      </c>
      <c r="L95">
        <f>C1914</f>
        <v>2.2335495219532367E-3</v>
      </c>
      <c r="M95">
        <f t="shared" si="7"/>
        <v>8.1780004729504596E-3</v>
      </c>
      <c r="N95">
        <f>D1914</f>
        <v>-3.7367483267682954E-3</v>
      </c>
      <c r="O95">
        <f>AVERAGEIFS(E1914:E1934,E1914:E1934,"&lt;=" &amp; N95)</f>
        <v>-3.7722868997681611E-3</v>
      </c>
      <c r="P95">
        <v>256.47821175850652</v>
      </c>
      <c r="Q95">
        <v>14.306179999999999</v>
      </c>
      <c r="R95">
        <f t="shared" si="6"/>
        <v>164.0532893047378</v>
      </c>
      <c r="S95">
        <v>8.1780004729504596E-3</v>
      </c>
      <c r="T95">
        <v>9.51</v>
      </c>
    </row>
    <row r="96" spans="1:30" x14ac:dyDescent="0.35">
      <c r="A96" t="s">
        <v>19</v>
      </c>
      <c r="E96">
        <v>-2.9641712360788594E-2</v>
      </c>
      <c r="F96">
        <f t="shared" si="4"/>
        <v>-1.9379784801463441E-2</v>
      </c>
      <c r="G96">
        <f t="shared" si="5"/>
        <v>-3.0560894215234721E-2</v>
      </c>
      <c r="J96" s="2" t="s">
        <v>108</v>
      </c>
      <c r="K96">
        <f>B1935</f>
        <v>4.1416631882232975E-3</v>
      </c>
      <c r="L96">
        <f>C1935</f>
        <v>1.5136824473275835E-3</v>
      </c>
      <c r="M96">
        <f t="shared" si="7"/>
        <v>3.8549822259871312E-3</v>
      </c>
      <c r="N96">
        <f>D1935</f>
        <v>-3.6923573264383293E-3</v>
      </c>
      <c r="O96">
        <f>AVERAGEIFS(E1935:E1954,E1935:E1954,"&lt;=" &amp; N96)</f>
        <v>-3.6974179725313976E-3</v>
      </c>
      <c r="P96">
        <v>227.00538712978212</v>
      </c>
      <c r="Q96">
        <v>13.96176</v>
      </c>
      <c r="R96">
        <f t="shared" si="6"/>
        <v>256.47821175850652</v>
      </c>
      <c r="S96">
        <v>3.8549822259871312E-3</v>
      </c>
      <c r="T96">
        <v>10.18</v>
      </c>
    </row>
    <row r="97" spans="1:30" x14ac:dyDescent="0.35">
      <c r="A97" t="s">
        <v>19</v>
      </c>
      <c r="E97">
        <v>-2.2797022504518493E-2</v>
      </c>
      <c r="F97">
        <f t="shared" si="4"/>
        <v>-1.9345291160514953E-2</v>
      </c>
      <c r="G97">
        <f t="shared" si="5"/>
        <v>-3.0505644603883466E-2</v>
      </c>
      <c r="J97" s="2" t="s">
        <v>109</v>
      </c>
      <c r="K97">
        <f>B1955</f>
        <v>4.8141292141488995E-3</v>
      </c>
      <c r="L97">
        <f>C1955</f>
        <v>-1.0109960244065247E-3</v>
      </c>
      <c r="M97">
        <f t="shared" si="7"/>
        <v>4.1416631882232975E-3</v>
      </c>
      <c r="N97">
        <f>D1955</f>
        <v>-1.1044565267704184E-2</v>
      </c>
      <c r="O97">
        <f>AVERAGEIFS(E1955:E1976,E1955:E1976,"&lt;=" &amp; N97)</f>
        <v>-1.1706898366384836E-2</v>
      </c>
      <c r="P97">
        <v>251.36940607972903</v>
      </c>
      <c r="Q97">
        <v>16.018129999999999</v>
      </c>
      <c r="R97">
        <f t="shared" si="6"/>
        <v>227.00538712978212</v>
      </c>
      <c r="S97">
        <v>4.1416631882232975E-3</v>
      </c>
      <c r="T97">
        <v>11.28</v>
      </c>
      <c r="V97" t="s">
        <v>225</v>
      </c>
    </row>
    <row r="98" spans="1:30" ht="15" thickBot="1" x14ac:dyDescent="0.4">
      <c r="A98" t="s">
        <v>19</v>
      </c>
      <c r="E98">
        <v>-5.1870395115732404E-4</v>
      </c>
      <c r="F98">
        <f t="shared" si="4"/>
        <v>-1.9231699520459875E-2</v>
      </c>
      <c r="G98">
        <f t="shared" si="5"/>
        <v>-3.048647778785479E-2</v>
      </c>
      <c r="J98" s="2" t="s">
        <v>110</v>
      </c>
      <c r="K98">
        <f>B1977</f>
        <v>6.7492800307251272E-3</v>
      </c>
      <c r="L98">
        <f>C1977</f>
        <v>-5.9334201936984401E-4</v>
      </c>
      <c r="M98">
        <f t="shared" si="7"/>
        <v>4.8141292141488995E-3</v>
      </c>
      <c r="N98">
        <f>D1977</f>
        <v>-1.0458780722333909E-2</v>
      </c>
      <c r="O98">
        <f>AVERAGEIFS(E1977:E1995,E1977:E1995,"&lt;=" &amp; N98)</f>
        <v>-1.0458780722333909E-2</v>
      </c>
      <c r="P98">
        <v>194.63212824866446</v>
      </c>
      <c r="Q98">
        <v>16.243410000000001</v>
      </c>
      <c r="R98">
        <f t="shared" si="6"/>
        <v>251.36940607972903</v>
      </c>
      <c r="S98">
        <v>4.8141292141488995E-3</v>
      </c>
      <c r="T98">
        <v>11.04</v>
      </c>
    </row>
    <row r="99" spans="1:30" x14ac:dyDescent="0.35">
      <c r="A99" t="s">
        <v>19</v>
      </c>
      <c r="E99">
        <v>5.5380104274565967E-5</v>
      </c>
      <c r="F99">
        <f t="shared" si="4"/>
        <v>-1.9231847121822014E-2</v>
      </c>
      <c r="G99">
        <f t="shared" si="5"/>
        <v>-3.048647778785479E-2</v>
      </c>
      <c r="J99" s="2" t="s">
        <v>111</v>
      </c>
      <c r="K99">
        <f>B1996</f>
        <v>1.0045182234378652E-2</v>
      </c>
      <c r="L99">
        <f>C1996</f>
        <v>6.2857007633640482E-3</v>
      </c>
      <c r="M99">
        <f t="shared" si="7"/>
        <v>6.7492800307251272E-3</v>
      </c>
      <c r="N99">
        <f>D1996</f>
        <v>-8.4826012059609681E-3</v>
      </c>
      <c r="O99">
        <f>AVERAGEIFS(E1996:E2017,E1996:E2017,"&lt;=" &amp; N99)</f>
        <v>-8.6964424688977509E-3</v>
      </c>
      <c r="P99">
        <v>221.13756884827956</v>
      </c>
      <c r="Q99">
        <v>18.826599999999999</v>
      </c>
      <c r="R99">
        <f t="shared" si="6"/>
        <v>194.63212824866446</v>
      </c>
      <c r="S99">
        <v>6.7492800307251272E-3</v>
      </c>
      <c r="T99">
        <v>13.54</v>
      </c>
      <c r="V99" s="8" t="s">
        <v>226</v>
      </c>
      <c r="W99" s="8"/>
    </row>
    <row r="100" spans="1:30" x14ac:dyDescent="0.35">
      <c r="A100" t="s">
        <v>19</v>
      </c>
      <c r="E100">
        <v>-2.947174508846848E-2</v>
      </c>
      <c r="F100">
        <f t="shared" si="4"/>
        <v>-1.923199472318415E-2</v>
      </c>
      <c r="G100">
        <f t="shared" si="5"/>
        <v>-3.048647778785479E-2</v>
      </c>
      <c r="J100" s="2" t="s">
        <v>112</v>
      </c>
      <c r="K100">
        <f>B2018</f>
        <v>1.1766453966640963E-2</v>
      </c>
      <c r="L100">
        <f>C2018</f>
        <v>-1.4945912180700884E-3</v>
      </c>
      <c r="M100">
        <f t="shared" si="7"/>
        <v>1.0045182234378652E-2</v>
      </c>
      <c r="N100">
        <f>D2018</f>
        <v>-2.3556662960803824E-2</v>
      </c>
      <c r="O100">
        <f>AVERAGEIFS(E2018:E2037,E2018:E2037,"&lt;=" &amp; N100)</f>
        <v>-2.3742362061144429E-2</v>
      </c>
      <c r="P100">
        <v>192.03058706445086</v>
      </c>
      <c r="Q100">
        <v>21.97644</v>
      </c>
      <c r="R100">
        <f t="shared" si="6"/>
        <v>221.13756884827956</v>
      </c>
      <c r="S100">
        <v>1.0045182234378652E-2</v>
      </c>
      <c r="T100">
        <v>19.850000000000001</v>
      </c>
      <c r="V100" t="s">
        <v>227</v>
      </c>
      <c r="W100">
        <v>1.3941506864504681E-2</v>
      </c>
    </row>
    <row r="101" spans="1:30" x14ac:dyDescent="0.35">
      <c r="A101" t="s">
        <v>19</v>
      </c>
      <c r="E101">
        <v>2.2939099684282985E-2</v>
      </c>
      <c r="F101">
        <f t="shared" si="4"/>
        <v>-1.9229190297303536E-2</v>
      </c>
      <c r="G101">
        <f t="shared" si="5"/>
        <v>-3.0491962829473092E-2</v>
      </c>
      <c r="J101" s="2" t="s">
        <v>113</v>
      </c>
      <c r="K101">
        <f>B2038</f>
        <v>9.3011185619108934E-3</v>
      </c>
      <c r="L101">
        <f>C2038</f>
        <v>-1.3911950469248674E-3</v>
      </c>
      <c r="M101">
        <f t="shared" si="7"/>
        <v>1.1766453966640963E-2</v>
      </c>
      <c r="N101">
        <f>D2038</f>
        <v>-2.3210105376039264E-2</v>
      </c>
      <c r="O101">
        <f>AVERAGEIFS(E2038:E2058,E2038:E2058,"&lt;=" &amp; N101)</f>
        <v>-2.423011200803861E-2</v>
      </c>
      <c r="P101">
        <v>195.57213916032086</v>
      </c>
      <c r="Q101">
        <v>21.431080000000001</v>
      </c>
      <c r="R101">
        <f t="shared" si="6"/>
        <v>192.03058706445086</v>
      </c>
      <c r="S101">
        <v>1.1766453966640963E-2</v>
      </c>
      <c r="T101">
        <v>19.97</v>
      </c>
      <c r="V101" t="s">
        <v>228</v>
      </c>
      <c r="W101">
        <v>1.9436561365303111E-4</v>
      </c>
      <c r="Y101" t="s">
        <v>384</v>
      </c>
    </row>
    <row r="102" spans="1:30" x14ac:dyDescent="0.35">
      <c r="A102" t="s">
        <v>19</v>
      </c>
      <c r="E102">
        <v>3.366965961095976E-2</v>
      </c>
      <c r="F102">
        <f t="shared" si="4"/>
        <v>-1.9229337898665676E-2</v>
      </c>
      <c r="G102">
        <f t="shared" si="5"/>
        <v>-3.0491962829473092E-2</v>
      </c>
      <c r="J102" s="2" t="s">
        <v>114</v>
      </c>
      <c r="K102">
        <f>B2059</f>
        <v>6.8964515920877613E-3</v>
      </c>
      <c r="L102">
        <f>C2059</f>
        <v>3.3059063753597727E-3</v>
      </c>
      <c r="M102">
        <f t="shared" si="7"/>
        <v>9.3011185619108934E-3</v>
      </c>
      <c r="N102">
        <f>D2059</f>
        <v>-5.680174256341858E-3</v>
      </c>
      <c r="O102">
        <f>AVERAGEIFS(E2059:E2078,E2059:E2078,"&lt;=" &amp; N102)</f>
        <v>-5.6845861006398291E-3</v>
      </c>
      <c r="P102">
        <v>187.3611054188672</v>
      </c>
      <c r="Q102">
        <v>16.597010000000001</v>
      </c>
      <c r="R102">
        <f t="shared" si="6"/>
        <v>195.57213916032086</v>
      </c>
      <c r="S102">
        <v>9.3011185619108934E-3</v>
      </c>
      <c r="T102">
        <v>15.93</v>
      </c>
      <c r="V102" t="s">
        <v>228</v>
      </c>
      <c r="W102">
        <v>-5.3294224216306535E-3</v>
      </c>
    </row>
    <row r="103" spans="1:30" x14ac:dyDescent="0.35">
      <c r="A103" t="s">
        <v>19</v>
      </c>
      <c r="E103">
        <v>-2.9117808416385836E-3</v>
      </c>
      <c r="F103">
        <f t="shared" si="4"/>
        <v>-1.9229485500027812E-2</v>
      </c>
      <c r="G103">
        <f t="shared" si="5"/>
        <v>-3.0491962829473092E-2</v>
      </c>
      <c r="J103" s="2" t="s">
        <v>115</v>
      </c>
      <c r="K103">
        <f>B2079</f>
        <v>6.3641262518853497E-3</v>
      </c>
      <c r="L103">
        <f>C2079</f>
        <v>-1.1771485540811814E-3</v>
      </c>
      <c r="M103">
        <f t="shared" si="7"/>
        <v>6.8964515920877613E-3</v>
      </c>
      <c r="N103">
        <f>D2079</f>
        <v>-1.903230404986065E-2</v>
      </c>
      <c r="O103">
        <f>AVERAGEIFS(E2079:E2097,E2079:E2097,"&lt;=" &amp; N103)</f>
        <v>-1.903230404986065E-2</v>
      </c>
      <c r="P103">
        <v>303.05390794963159</v>
      </c>
      <c r="Q103">
        <v>20.604800000000001</v>
      </c>
      <c r="R103">
        <f t="shared" si="6"/>
        <v>187.3611054188672</v>
      </c>
      <c r="S103">
        <v>6.8964515920877613E-3</v>
      </c>
      <c r="T103">
        <v>15.43</v>
      </c>
      <c r="V103" t="s">
        <v>229</v>
      </c>
      <c r="W103">
        <v>1.1862138586939774E-2</v>
      </c>
    </row>
    <row r="104" spans="1:30" ht="15" thickBot="1" x14ac:dyDescent="0.4">
      <c r="A104" t="s">
        <v>20</v>
      </c>
      <c r="B104" s="3" cm="1">
        <f t="array" ref="B104">_xlfn.STDEV.S(_xlfn._xlws.FILTER($E$2:$E$1000, $A$2:$A$1000="2010-06"))</f>
        <v>1.6751089312753729E-2</v>
      </c>
      <c r="C104" s="3" cm="1">
        <f t="array" ref="C104">AVERAGE(_xlfn._xlws.FILTER($E$2:$E$1000, $A$2:$A$1000="2010-06"))</f>
        <v>-9.4297090245462872E-4</v>
      </c>
      <c r="D104" s="3" cm="1">
        <f t="array" ref="D104">_xlfn.PERCENTILE.EXC(_xlfn._xlws.FILTER($E$104:$E$125, $A$104:$A$125="2010-06"), 0.05)</f>
        <v>-3.9150335322432027E-2</v>
      </c>
      <c r="E104">
        <v>-3.4140132958472708E-3</v>
      </c>
      <c r="F104">
        <f t="shared" si="4"/>
        <v>-1.9229633101389951E-2</v>
      </c>
      <c r="G104">
        <f t="shared" si="5"/>
        <v>-3.0491962829473092E-2</v>
      </c>
      <c r="J104" s="4" t="s">
        <v>116</v>
      </c>
      <c r="K104" s="3">
        <f>B2098</f>
        <v>8.7696118708308051E-3</v>
      </c>
      <c r="L104" s="3">
        <f>C2098</f>
        <v>-6.6504743917219242E-4</v>
      </c>
      <c r="M104">
        <f t="shared" si="7"/>
        <v>6.3641262518853497E-3</v>
      </c>
      <c r="N104" s="3">
        <f>D2098</f>
        <v>-1.8566202851668306E-2</v>
      </c>
      <c r="O104" s="3">
        <f>AVERAGEIFS(E2098:E2118,E2098:E2118,"&lt;=" &amp; N104)</f>
        <v>-1.940229017030648E-2</v>
      </c>
      <c r="P104" s="3">
        <v>331.26207526335889</v>
      </c>
      <c r="Q104" s="3">
        <v>19.422699999999999</v>
      </c>
      <c r="R104">
        <f t="shared" si="6"/>
        <v>303.05390794963159</v>
      </c>
      <c r="S104">
        <v>6.3641262518853497E-3</v>
      </c>
      <c r="T104" s="3">
        <v>16.09</v>
      </c>
      <c r="V104" s="6" t="s">
        <v>230</v>
      </c>
      <c r="W104" s="6">
        <v>183</v>
      </c>
    </row>
    <row r="105" spans="1:30" x14ac:dyDescent="0.35">
      <c r="A105" t="s">
        <v>20</v>
      </c>
      <c r="E105">
        <v>-4.5113340894014807E-4</v>
      </c>
      <c r="F105">
        <f t="shared" si="4"/>
        <v>-1.9229780702752088E-2</v>
      </c>
      <c r="G105">
        <f t="shared" si="5"/>
        <v>-3.0491962829473092E-2</v>
      </c>
      <c r="J105" s="2" t="s">
        <v>117</v>
      </c>
      <c r="K105">
        <f>B2119</f>
        <v>6.6119278052649286E-3</v>
      </c>
      <c r="L105">
        <f>C2119</f>
        <v>1.5756324024531259E-3</v>
      </c>
      <c r="M105">
        <f t="shared" si="7"/>
        <v>8.7696118708308051E-3</v>
      </c>
      <c r="N105">
        <f>D2119</f>
        <v>-1.39979061444802E-2</v>
      </c>
      <c r="O105">
        <f>AVERAGEIFS(E2119:E2140,E2119:E2140,"&lt;=" &amp; N105)</f>
        <v>-1.4910887673939239E-2</v>
      </c>
      <c r="P105">
        <v>239.72984200414407</v>
      </c>
      <c r="Q105">
        <v>14.70101</v>
      </c>
      <c r="R105">
        <f t="shared" si="6"/>
        <v>331.26207526335889</v>
      </c>
      <c r="S105">
        <v>8.7696118708308051E-3</v>
      </c>
      <c r="T105">
        <v>12.83</v>
      </c>
    </row>
    <row r="106" spans="1:30" ht="15" thickBot="1" x14ac:dyDescent="0.4">
      <c r="A106" t="s">
        <v>20</v>
      </c>
      <c r="E106">
        <v>1.5821626452935264E-2</v>
      </c>
      <c r="F106">
        <f t="shared" si="4"/>
        <v>-1.9229928304114224E-2</v>
      </c>
      <c r="G106">
        <f t="shared" si="5"/>
        <v>-3.0491962829473092E-2</v>
      </c>
      <c r="J106" s="2" t="s">
        <v>118</v>
      </c>
      <c r="K106">
        <f>B2141</f>
        <v>6.5486164274229895E-3</v>
      </c>
      <c r="L106">
        <f>C2141</f>
        <v>-9.1113627628436106E-4</v>
      </c>
      <c r="M106">
        <f t="shared" si="7"/>
        <v>6.6119278052649286E-3</v>
      </c>
      <c r="N106">
        <f>D2141</f>
        <v>-1.5747419851308436E-2</v>
      </c>
      <c r="O106">
        <f>AVERAGEIFS(E2141:E2161,E2141:E2161,"&lt;=" &amp; N106)</f>
        <v>-1.604331589206151E-2</v>
      </c>
      <c r="P106">
        <v>184.52116526124601</v>
      </c>
      <c r="Q106">
        <v>18.127970000000001</v>
      </c>
      <c r="R106">
        <f t="shared" si="6"/>
        <v>239.72984200414407</v>
      </c>
      <c r="S106">
        <v>6.6119278052649286E-3</v>
      </c>
      <c r="T106">
        <v>12.86</v>
      </c>
      <c r="V106" t="s">
        <v>231</v>
      </c>
    </row>
    <row r="107" spans="1:30" x14ac:dyDescent="0.35">
      <c r="A107" t="s">
        <v>20</v>
      </c>
      <c r="E107">
        <v>-2.9014077214510572E-2</v>
      </c>
      <c r="F107">
        <f t="shared" si="4"/>
        <v>-1.9230075905476363E-2</v>
      </c>
      <c r="G107">
        <f t="shared" si="5"/>
        <v>-3.0491962829473092E-2</v>
      </c>
      <c r="J107" s="2" t="s">
        <v>119</v>
      </c>
      <c r="K107">
        <f>B2162</f>
        <v>6.8834030802818226E-3</v>
      </c>
      <c r="L107">
        <f>C2162</f>
        <v>7.9485433125641195E-4</v>
      </c>
      <c r="M107">
        <f t="shared" si="7"/>
        <v>6.5486164274229895E-3</v>
      </c>
      <c r="N107">
        <f>D2162</f>
        <v>-1.5441382891928885E-2</v>
      </c>
      <c r="O107">
        <f>AVERAGEIFS(E2162:E2181,E2162:E2181,"&lt;=" &amp; N107)</f>
        <v>-1.555829219790196E-2</v>
      </c>
      <c r="P107">
        <v>230.68047445655253</v>
      </c>
      <c r="Q107">
        <v>17.146560000000001</v>
      </c>
      <c r="R107">
        <f t="shared" si="6"/>
        <v>184.52116526124601</v>
      </c>
      <c r="S107">
        <v>6.5486164274229895E-3</v>
      </c>
      <c r="T107">
        <v>12.12</v>
      </c>
      <c r="V107" s="7"/>
      <c r="W107" s="7" t="s">
        <v>236</v>
      </c>
      <c r="X107" s="7" t="s">
        <v>237</v>
      </c>
      <c r="Y107" s="7" t="s">
        <v>238</v>
      </c>
      <c r="Z107" s="7" t="s">
        <v>239</v>
      </c>
      <c r="AA107" s="7" t="s">
        <v>240</v>
      </c>
    </row>
    <row r="108" spans="1:30" x14ac:dyDescent="0.35">
      <c r="A108" t="s">
        <v>20</v>
      </c>
      <c r="E108">
        <v>-1.2196391574444444E-2</v>
      </c>
      <c r="F108">
        <f t="shared" si="4"/>
        <v>-1.9226632967217584E-2</v>
      </c>
      <c r="G108">
        <f t="shared" si="5"/>
        <v>-3.0439070750994345E-2</v>
      </c>
      <c r="J108" s="2" t="s">
        <v>120</v>
      </c>
      <c r="K108">
        <f>B2182</f>
        <v>1.1130975487647127E-2</v>
      </c>
      <c r="L108">
        <f>C2182</f>
        <v>-3.4368326165758354E-3</v>
      </c>
      <c r="M108">
        <f t="shared" si="7"/>
        <v>6.8834030802818226E-3</v>
      </c>
      <c r="N108">
        <f>D2182</f>
        <v>-2.1049441118132589E-2</v>
      </c>
      <c r="O108">
        <f>AVERAGEIFS(E2182:E2203,E2182:E2203,"&lt;=" &amp; N108)</f>
        <v>-2.1346645200840279E-2</v>
      </c>
      <c r="P108">
        <v>302.29285278472776</v>
      </c>
      <c r="Q108">
        <v>22.955480000000001</v>
      </c>
      <c r="R108">
        <f t="shared" si="6"/>
        <v>230.68047445655253</v>
      </c>
      <c r="S108">
        <v>6.8834030802818226E-3</v>
      </c>
      <c r="T108">
        <v>21.23</v>
      </c>
      <c r="V108" t="s">
        <v>232</v>
      </c>
      <c r="W108">
        <v>1</v>
      </c>
      <c r="X108">
        <v>4.9511765881984915E-6</v>
      </c>
      <c r="Y108">
        <v>4.9511765881984915E-6</v>
      </c>
      <c r="Z108">
        <v>3.5187015217003903E-2</v>
      </c>
      <c r="AA108">
        <v>0.85141443687992857</v>
      </c>
    </row>
    <row r="109" spans="1:30" x14ac:dyDescent="0.35">
      <c r="A109" t="s">
        <v>20</v>
      </c>
      <c r="E109">
        <v>-9.8203930784161991E-3</v>
      </c>
      <c r="F109">
        <f t="shared" si="4"/>
        <v>-1.9226833777944569E-2</v>
      </c>
      <c r="G109">
        <f t="shared" si="5"/>
        <v>-3.0439070750994345E-2</v>
      </c>
      <c r="J109" s="2" t="s">
        <v>121</v>
      </c>
      <c r="K109">
        <f>B2204</f>
        <v>6.7272747633270119E-3</v>
      </c>
      <c r="L109">
        <f>C2204</f>
        <v>-8.0599236330530484E-4</v>
      </c>
      <c r="M109">
        <f t="shared" si="7"/>
        <v>1.1130975487647127E-2</v>
      </c>
      <c r="N109">
        <f>D2204</f>
        <v>-1.1794956505468317E-2</v>
      </c>
      <c r="O109">
        <f>AVERAGEIFS(E2204:E2225,E2204:E2225,"&lt;=" &amp; N109)</f>
        <v>-1.2221730802833165E-2</v>
      </c>
      <c r="P109">
        <v>274.4578971469461</v>
      </c>
      <c r="Q109">
        <v>20.9254</v>
      </c>
      <c r="R109">
        <f t="shared" si="6"/>
        <v>302.29285278472776</v>
      </c>
      <c r="S109">
        <v>1.1130975487647127E-2</v>
      </c>
      <c r="T109">
        <v>18.07</v>
      </c>
      <c r="V109" t="s">
        <v>233</v>
      </c>
      <c r="W109">
        <v>181</v>
      </c>
      <c r="X109">
        <v>2.5468570065893564E-2</v>
      </c>
      <c r="Y109">
        <v>1.4071033185576555E-4</v>
      </c>
    </row>
    <row r="110" spans="1:30" ht="15" thickBot="1" x14ac:dyDescent="0.4">
      <c r="A110" t="s">
        <v>20</v>
      </c>
      <c r="E110">
        <v>1.945534792140325E-2</v>
      </c>
      <c r="F110">
        <f t="shared" si="4"/>
        <v>-1.9227034588671553E-2</v>
      </c>
      <c r="G110">
        <f t="shared" si="5"/>
        <v>-3.0439070750994345E-2</v>
      </c>
      <c r="J110" s="2" t="s">
        <v>122</v>
      </c>
      <c r="K110">
        <f>B2226</f>
        <v>1.4775060468237794E-2</v>
      </c>
      <c r="L110">
        <f>C2226</f>
        <v>-3.9525154326718343E-3</v>
      </c>
      <c r="M110">
        <f t="shared" si="7"/>
        <v>6.7272747633270119E-3</v>
      </c>
      <c r="N110">
        <f>D2226</f>
        <v>-2.323212758707055E-2</v>
      </c>
      <c r="O110">
        <f>AVERAGEIFS(E2226:E2242,E2226:E2242,"&lt;=" &amp; N110)</f>
        <v>-3.3712779360090532E-2</v>
      </c>
      <c r="P110">
        <v>339.57651506767587</v>
      </c>
      <c r="Q110">
        <v>27.303149999999999</v>
      </c>
      <c r="R110">
        <f t="shared" si="6"/>
        <v>274.4578971469461</v>
      </c>
      <c r="S110">
        <v>6.7272747633270119E-3</v>
      </c>
      <c r="T110">
        <v>25.42</v>
      </c>
      <c r="V110" s="6" t="s">
        <v>234</v>
      </c>
      <c r="W110" s="6">
        <v>182</v>
      </c>
      <c r="X110" s="6">
        <v>2.5473521242481763E-2</v>
      </c>
      <c r="Y110" s="6"/>
      <c r="Z110" s="6"/>
      <c r="AA110" s="6"/>
    </row>
    <row r="111" spans="1:30" ht="15" thickBot="1" x14ac:dyDescent="0.4">
      <c r="A111" t="s">
        <v>20</v>
      </c>
      <c r="E111">
        <v>2.0068427666423749E-2</v>
      </c>
      <c r="F111">
        <f t="shared" si="4"/>
        <v>-1.9227235399398541E-2</v>
      </c>
      <c r="G111">
        <f t="shared" si="5"/>
        <v>-3.0439070750994345E-2</v>
      </c>
      <c r="J111" s="2" t="s">
        <v>123</v>
      </c>
      <c r="K111">
        <f>B2243</f>
        <v>9.3383302706239874E-3</v>
      </c>
      <c r="L111">
        <f>C2243</f>
        <v>2.9523640238584242E-3</v>
      </c>
      <c r="M111">
        <f t="shared" si="7"/>
        <v>1.4775060468237794E-2</v>
      </c>
      <c r="N111">
        <f>D2243</f>
        <v>-1.5377103427565509E-2</v>
      </c>
      <c r="O111">
        <f>AVERAGEIFS(E2243:E2264,E2243:E2264,"&lt;=" &amp; N111)</f>
        <v>-1.6751494833780797E-2</v>
      </c>
      <c r="P111">
        <v>363.04773960850827</v>
      </c>
      <c r="Q111">
        <v>17.303930000000001</v>
      </c>
      <c r="R111">
        <f t="shared" si="6"/>
        <v>339.57651506767587</v>
      </c>
      <c r="S111">
        <v>1.4775060468237794E-2</v>
      </c>
      <c r="T111">
        <v>16.57</v>
      </c>
    </row>
    <row r="112" spans="1:30" x14ac:dyDescent="0.35">
      <c r="A112" t="s">
        <v>20</v>
      </c>
      <c r="E112">
        <v>1.0995337126680223E-2</v>
      </c>
      <c r="F112">
        <f t="shared" si="4"/>
        <v>-1.9227436210125525E-2</v>
      </c>
      <c r="G112">
        <f t="shared" si="5"/>
        <v>-3.0439070750994345E-2</v>
      </c>
      <c r="J112" s="2" t="s">
        <v>124</v>
      </c>
      <c r="K112">
        <f>B2265</f>
        <v>7.8778115543720103E-3</v>
      </c>
      <c r="L112">
        <f>C2265</f>
        <v>2.4220893410102176E-3</v>
      </c>
      <c r="M112">
        <f t="shared" si="7"/>
        <v>9.3383302706239874E-3</v>
      </c>
      <c r="N112">
        <f>D2265</f>
        <v>-1.7890047150503064E-2</v>
      </c>
      <c r="O112">
        <f>AVERAGEIFS(E2265:E2284,E2265:E2284,"&lt;=" &amp; N112)</f>
        <v>-1.8578502112716711E-2</v>
      </c>
      <c r="P112">
        <v>267.58360147209589</v>
      </c>
      <c r="Q112">
        <v>15.46541</v>
      </c>
      <c r="R112">
        <f t="shared" si="6"/>
        <v>363.04773960850827</v>
      </c>
      <c r="S112">
        <v>9.3383302706239874E-3</v>
      </c>
      <c r="T112">
        <v>14.78</v>
      </c>
      <c r="V112" s="7"/>
      <c r="W112" s="7" t="s">
        <v>241</v>
      </c>
      <c r="X112" s="7" t="s">
        <v>229</v>
      </c>
      <c r="Y112" s="7" t="s">
        <v>242</v>
      </c>
      <c r="Z112" s="7" t="s">
        <v>243</v>
      </c>
      <c r="AA112" s="7" t="s">
        <v>244</v>
      </c>
      <c r="AB112" s="7" t="s">
        <v>245</v>
      </c>
      <c r="AC112" s="7" t="s">
        <v>246</v>
      </c>
      <c r="AD112" s="7" t="s">
        <v>247</v>
      </c>
    </row>
    <row r="113" spans="1:30" x14ac:dyDescent="0.35">
      <c r="A113" t="s">
        <v>20</v>
      </c>
      <c r="E113">
        <v>1.9639818297909447E-2</v>
      </c>
      <c r="F113">
        <f t="shared" si="4"/>
        <v>-1.922763702085251E-2</v>
      </c>
      <c r="G113">
        <f t="shared" si="5"/>
        <v>-3.0439070750994345E-2</v>
      </c>
      <c r="J113" s="2" t="s">
        <v>125</v>
      </c>
      <c r="K113">
        <f>B2285</f>
        <v>7.1791330149201596E-3</v>
      </c>
      <c r="L113">
        <f>C2285</f>
        <v>9.891896745484179E-4</v>
      </c>
      <c r="M113">
        <f t="shared" si="7"/>
        <v>7.8778115543720103E-3</v>
      </c>
      <c r="N113">
        <f>D2285</f>
        <v>-1.9213583905713327E-2</v>
      </c>
      <c r="O113">
        <f>AVERAGEIFS(E2285:E2305,E2285:E2305,"&lt;=" &amp; N113)</f>
        <v>-2.0459414505677471E-2</v>
      </c>
      <c r="P113">
        <v>238.68934661793918</v>
      </c>
      <c r="Q113">
        <v>17.139849999999999</v>
      </c>
      <c r="R113">
        <f t="shared" si="6"/>
        <v>267.58360147209589</v>
      </c>
      <c r="S113">
        <v>7.8778115543720103E-3</v>
      </c>
      <c r="T113">
        <v>13.71</v>
      </c>
      <c r="V113" t="s">
        <v>235</v>
      </c>
      <c r="W113">
        <v>-2.1634299861370311E-2</v>
      </c>
      <c r="X113">
        <v>2.7833104805608192E-3</v>
      </c>
      <c r="Y113">
        <v>-7.7728661651182867</v>
      </c>
      <c r="Z113">
        <v>5.5694062016885255E-13</v>
      </c>
      <c r="AA113">
        <v>-2.7126208536604288E-2</v>
      </c>
      <c r="AB113">
        <v>-1.6142391186136335E-2</v>
      </c>
      <c r="AC113">
        <v>-2.7126208536604288E-2</v>
      </c>
      <c r="AD113">
        <v>-1.6142391186136335E-2</v>
      </c>
    </row>
    <row r="114" spans="1:30" ht="15" thickBot="1" x14ac:dyDescent="0.4">
      <c r="A114" t="s">
        <v>20</v>
      </c>
      <c r="E114">
        <v>9.7344869249669837E-3</v>
      </c>
      <c r="F114">
        <f t="shared" si="4"/>
        <v>-1.9227837831579494E-2</v>
      </c>
      <c r="G114">
        <f t="shared" si="5"/>
        <v>-3.0439070750994345E-2</v>
      </c>
      <c r="J114" s="2" t="s">
        <v>126</v>
      </c>
      <c r="K114">
        <f>B2306</f>
        <v>3.9363829735644118E-3</v>
      </c>
      <c r="L114">
        <f>C2306</f>
        <v>2.1570620593921708E-3</v>
      </c>
      <c r="M114">
        <f t="shared" si="7"/>
        <v>7.1791330149201596E-3</v>
      </c>
      <c r="N114">
        <f>D2306</f>
        <v>-6.3242318003971345E-3</v>
      </c>
      <c r="O114">
        <f>AVERAGEIFS(E2306:E2325,E2306:E2325,"&lt;=" &amp; N114)</f>
        <v>-6.483218836211042E-3</v>
      </c>
      <c r="P114">
        <v>206.50388062079429</v>
      </c>
      <c r="Q114">
        <v>14.876429999999999</v>
      </c>
      <c r="R114">
        <f t="shared" si="6"/>
        <v>238.68934661793918</v>
      </c>
      <c r="S114">
        <v>7.1791330149201596E-3</v>
      </c>
      <c r="T114">
        <v>13.12</v>
      </c>
      <c r="V114" s="6" t="s">
        <v>248</v>
      </c>
      <c r="W114" s="6">
        <v>1.8035654058627341E-6</v>
      </c>
      <c r="X114" s="6">
        <v>9.6148094604017645E-6</v>
      </c>
      <c r="Y114" s="6">
        <v>0.18758202263816576</v>
      </c>
      <c r="Z114" s="6">
        <v>0.85141443687988372</v>
      </c>
      <c r="AA114" s="6">
        <v>-1.7167963589947519E-5</v>
      </c>
      <c r="AB114" s="6">
        <v>2.0775094401672985E-5</v>
      </c>
      <c r="AC114" s="6">
        <v>-1.7167963589947519E-5</v>
      </c>
      <c r="AD114" s="6">
        <v>2.0775094401672985E-5</v>
      </c>
    </row>
    <row r="115" spans="1:30" x14ac:dyDescent="0.35">
      <c r="A115" t="s">
        <v>20</v>
      </c>
      <c r="E115">
        <v>3.9305312383158897E-3</v>
      </c>
      <c r="F115">
        <f t="shared" si="4"/>
        <v>-1.9228038642306478E-2</v>
      </c>
      <c r="G115">
        <f t="shared" si="5"/>
        <v>-3.0439070750994345E-2</v>
      </c>
      <c r="J115" s="2" t="s">
        <v>127</v>
      </c>
      <c r="K115">
        <f>B2326</f>
        <v>1.1745711763161731E-2</v>
      </c>
      <c r="L115">
        <f>C2326</f>
        <v>-3.5106002387015325E-3</v>
      </c>
      <c r="M115">
        <f t="shared" si="7"/>
        <v>3.9363829735644118E-3</v>
      </c>
      <c r="N115">
        <f>D2326</f>
        <v>-2.7551640999170911E-2</v>
      </c>
      <c r="O115">
        <f>AVERAGEIFS(E2326:E2345,E2326:E2345,"&lt;=" &amp; N115)</f>
        <v>-2.7977290246964465E-2</v>
      </c>
      <c r="P115">
        <v>159.84600990325475</v>
      </c>
      <c r="Q115">
        <v>19.446210000000001</v>
      </c>
      <c r="R115">
        <f t="shared" si="6"/>
        <v>206.50388062079429</v>
      </c>
      <c r="S115">
        <v>3.9363829735644118E-3</v>
      </c>
      <c r="T115">
        <v>18.71</v>
      </c>
    </row>
    <row r="116" spans="1:30" x14ac:dyDescent="0.35">
      <c r="A116" t="s">
        <v>20</v>
      </c>
      <c r="E116">
        <v>1.9431967750755828E-3</v>
      </c>
      <c r="F116">
        <f t="shared" si="4"/>
        <v>-1.9228239453033463E-2</v>
      </c>
      <c r="G116">
        <f t="shared" si="5"/>
        <v>-3.0439070750994345E-2</v>
      </c>
      <c r="J116" s="2" t="s">
        <v>128</v>
      </c>
      <c r="K116">
        <f>B2346</f>
        <v>6.8661115372314853E-3</v>
      </c>
      <c r="L116">
        <f>C2346</f>
        <v>3.2465107926614918E-3</v>
      </c>
      <c r="M116">
        <f t="shared" si="7"/>
        <v>1.1745711763161731E-2</v>
      </c>
      <c r="N116">
        <f>D2346</f>
        <v>-6.2188551560369565E-3</v>
      </c>
      <c r="O116">
        <f>AVERAGEIFS(E2346:E2364,E2346:E2364,"&lt;=" &amp; N116)</f>
        <v>-6.2188551560369565E-3</v>
      </c>
      <c r="P116">
        <v>244.02554738596822</v>
      </c>
      <c r="Q116">
        <v>15.600680000000001</v>
      </c>
      <c r="R116">
        <f t="shared" si="6"/>
        <v>159.84600990325475</v>
      </c>
      <c r="S116">
        <v>1.1745711763161731E-2</v>
      </c>
      <c r="T116">
        <v>15.08</v>
      </c>
    </row>
    <row r="117" spans="1:30" x14ac:dyDescent="0.35">
      <c r="A117" t="s">
        <v>20</v>
      </c>
      <c r="E117">
        <v>1.1207158557601047E-3</v>
      </c>
      <c r="F117">
        <f t="shared" si="4"/>
        <v>-1.9228440263760447E-2</v>
      </c>
      <c r="G117">
        <f t="shared" si="5"/>
        <v>-3.0439070750994345E-2</v>
      </c>
      <c r="J117" s="2" t="s">
        <v>129</v>
      </c>
      <c r="K117">
        <f>B2365</f>
        <v>5.5470878504120229E-3</v>
      </c>
      <c r="L117">
        <f>C2365</f>
        <v>-1.5782599249955422E-4</v>
      </c>
      <c r="M117">
        <f t="shared" si="7"/>
        <v>6.8661115372314853E-3</v>
      </c>
      <c r="N117">
        <f>D2365</f>
        <v>-1.448919925741741E-2</v>
      </c>
      <c r="O117">
        <f>AVERAGEIFS(E2365:E2387,E2365:E2387,"&lt;=" &amp; N117)</f>
        <v>-1.6204210333546815E-2</v>
      </c>
      <c r="P117">
        <v>269.49666850731074</v>
      </c>
      <c r="Q117">
        <v>16.014189999999999</v>
      </c>
      <c r="R117">
        <f t="shared" si="6"/>
        <v>244.02554738596822</v>
      </c>
      <c r="S117">
        <v>6.8661115372314853E-3</v>
      </c>
      <c r="T117">
        <v>16.12</v>
      </c>
    </row>
    <row r="118" spans="1:30" x14ac:dyDescent="0.35">
      <c r="A118" t="s">
        <v>20</v>
      </c>
      <c r="E118">
        <v>1.3185594948009685E-2</v>
      </c>
      <c r="F118">
        <f t="shared" si="4"/>
        <v>-1.9228641074487431E-2</v>
      </c>
      <c r="G118">
        <f t="shared" si="5"/>
        <v>-3.0439070750994345E-2</v>
      </c>
      <c r="J118" s="2" t="s">
        <v>130</v>
      </c>
      <c r="K118">
        <f>B2388</f>
        <v>1.4990702557711974E-2</v>
      </c>
      <c r="L118">
        <f>C2388</f>
        <v>-3.492938351900266E-4</v>
      </c>
      <c r="M118">
        <f t="shared" si="7"/>
        <v>5.5470878504120229E-3</v>
      </c>
      <c r="N118">
        <f>D2388</f>
        <v>-3.5645049506053073E-2</v>
      </c>
      <c r="O118">
        <f>AVERAGEIFS(E2388:E2407,E2388:E2407,"&lt;=" &amp; N118)</f>
        <v>-3.6354781880387925E-2</v>
      </c>
      <c r="P118">
        <v>287.83403539137691</v>
      </c>
      <c r="Q118">
        <v>19.413709999999998</v>
      </c>
      <c r="R118">
        <f t="shared" si="6"/>
        <v>269.49666850731074</v>
      </c>
      <c r="S118">
        <v>5.5470878504120229E-3</v>
      </c>
      <c r="T118">
        <v>18.98</v>
      </c>
      <c r="V118" t="s">
        <v>225</v>
      </c>
    </row>
    <row r="119" spans="1:30" ht="15" thickBot="1" x14ac:dyDescent="0.4">
      <c r="A119" t="s">
        <v>20</v>
      </c>
      <c r="E119">
        <v>-8.2860446645678393E-3</v>
      </c>
      <c r="F119">
        <f t="shared" si="4"/>
        <v>-1.9228841885214416E-2</v>
      </c>
      <c r="G119">
        <f t="shared" si="5"/>
        <v>-3.0439070750994345E-2</v>
      </c>
      <c r="J119" s="2" t="s">
        <v>131</v>
      </c>
      <c r="K119">
        <f>B2408</f>
        <v>6.0785065211527885E-3</v>
      </c>
      <c r="L119">
        <f>C2408</f>
        <v>1.6842563880042848E-3</v>
      </c>
      <c r="M119">
        <f t="shared" si="7"/>
        <v>1.4990702557711974E-2</v>
      </c>
      <c r="N119">
        <f>D2408</f>
        <v>-1.048827921005931E-2</v>
      </c>
      <c r="O119">
        <f>AVERAGEIFS(E2408:E2428,E2408:E2428,"&lt;=" &amp; N119)</f>
        <v>-1.0602897184209698E-2</v>
      </c>
      <c r="P119">
        <v>275.04957630281075</v>
      </c>
      <c r="Q119">
        <v>17.257490000000001</v>
      </c>
      <c r="R119">
        <f t="shared" si="6"/>
        <v>287.83403539137691</v>
      </c>
      <c r="S119">
        <v>1.4990702557711974E-2</v>
      </c>
      <c r="T119">
        <v>16.239999999999998</v>
      </c>
    </row>
    <row r="120" spans="1:30" x14ac:dyDescent="0.35">
      <c r="A120" t="s">
        <v>20</v>
      </c>
      <c r="E120">
        <v>-1.7294305772027882E-2</v>
      </c>
      <c r="F120">
        <f t="shared" si="4"/>
        <v>-1.92290426959414E-2</v>
      </c>
      <c r="G120">
        <f t="shared" si="5"/>
        <v>-3.0439070750994345E-2</v>
      </c>
      <c r="J120" s="2" t="s">
        <v>132</v>
      </c>
      <c r="K120">
        <f>B2429</f>
        <v>1.0626960525530749E-2</v>
      </c>
      <c r="L120">
        <f>C2429</f>
        <v>4.1495568660854324E-4</v>
      </c>
      <c r="M120">
        <f t="shared" si="7"/>
        <v>6.0785065211527885E-3</v>
      </c>
      <c r="N120">
        <f>D2429</f>
        <v>-2.910887483056887E-2</v>
      </c>
      <c r="O120">
        <f>AVERAGEIFS(E2429:E2450,E2429:E2450,"&lt;=" &amp; N120)</f>
        <v>-3.1736538864542252E-2</v>
      </c>
      <c r="P120">
        <v>267.70970959194938</v>
      </c>
      <c r="Q120">
        <v>15.372450000000001</v>
      </c>
      <c r="R120">
        <f t="shared" si="6"/>
        <v>275.04957630281075</v>
      </c>
      <c r="S120">
        <v>6.0785065211527885E-3</v>
      </c>
      <c r="T120">
        <v>13.22</v>
      </c>
      <c r="V120" s="8" t="s">
        <v>226</v>
      </c>
      <c r="W120" s="8"/>
    </row>
    <row r="121" spans="1:30" x14ac:dyDescent="0.35">
      <c r="A121" t="s">
        <v>20</v>
      </c>
      <c r="E121">
        <v>-2.4018995065997053E-2</v>
      </c>
      <c r="F121">
        <f t="shared" si="4"/>
        <v>-1.9229190297303536E-2</v>
      </c>
      <c r="G121">
        <f t="shared" si="5"/>
        <v>-3.0499994816510938E-2</v>
      </c>
      <c r="J121" s="2" t="s">
        <v>133</v>
      </c>
      <c r="K121">
        <f>B2451</f>
        <v>3.7522256212084194E-3</v>
      </c>
      <c r="L121">
        <f>C2451</f>
        <v>1.4351019418220919E-3</v>
      </c>
      <c r="M121">
        <f t="shared" si="7"/>
        <v>1.0626960525530749E-2</v>
      </c>
      <c r="N121">
        <f>D2451</f>
        <v>-3.4078626866513705E-3</v>
      </c>
      <c r="O121">
        <f>AVERAGEIFS(E2451:E2471,E2451:E2471,"&lt;=" &amp; N121)</f>
        <v>-3.5037252327376222E-3</v>
      </c>
      <c r="P121">
        <v>246.59494175379996</v>
      </c>
      <c r="Q121">
        <v>14.51248</v>
      </c>
      <c r="R121">
        <f t="shared" si="6"/>
        <v>267.70970959194938</v>
      </c>
      <c r="S121">
        <v>1.0626960525530749E-2</v>
      </c>
      <c r="T121">
        <v>12.62</v>
      </c>
      <c r="V121" t="s">
        <v>227</v>
      </c>
      <c r="W121">
        <v>0.53868479598081109</v>
      </c>
    </row>
    <row r="122" spans="1:30" x14ac:dyDescent="0.35">
      <c r="A122" t="s">
        <v>20</v>
      </c>
      <c r="E122">
        <v>-1.0072041828344688E-2</v>
      </c>
      <c r="F122">
        <f t="shared" si="4"/>
        <v>-1.9225428102855678E-2</v>
      </c>
      <c r="G122">
        <f t="shared" si="5"/>
        <v>-3.0473962466673676E-2</v>
      </c>
      <c r="J122" s="2" t="s">
        <v>134</v>
      </c>
      <c r="K122">
        <f>B2472</f>
        <v>8.5101697432072559E-3</v>
      </c>
      <c r="L122">
        <f>C2472</f>
        <v>7.2019434069476652E-4</v>
      </c>
      <c r="M122">
        <f t="shared" si="7"/>
        <v>3.7522256212084194E-3</v>
      </c>
      <c r="N122">
        <f>D2472</f>
        <v>-1.1826890944555853E-2</v>
      </c>
      <c r="O122">
        <f>AVERAGEIFS(E2472:E2489,E2472:E2489,"&lt;=" &amp; N122)</f>
        <v>-2.0259145101798166E-2</v>
      </c>
      <c r="P122">
        <v>244.38810811946939</v>
      </c>
      <c r="Q122">
        <v>15.644729999999999</v>
      </c>
      <c r="R122">
        <f t="shared" si="6"/>
        <v>246.59494175379996</v>
      </c>
      <c r="S122">
        <v>3.7522256212084194E-3</v>
      </c>
      <c r="T122">
        <v>13.78</v>
      </c>
      <c r="V122" t="s">
        <v>228</v>
      </c>
      <c r="W122">
        <v>0.2901813094208881</v>
      </c>
      <c r="Y122" t="s">
        <v>385</v>
      </c>
    </row>
    <row r="123" spans="1:30" x14ac:dyDescent="0.35">
      <c r="A123" t="s">
        <v>20</v>
      </c>
      <c r="E123">
        <v>1.5986406197781675E-2</v>
      </c>
      <c r="F123">
        <f t="shared" si="4"/>
        <v>-1.9225628913582662E-2</v>
      </c>
      <c r="G123">
        <f t="shared" si="5"/>
        <v>-3.0473962466673676E-2</v>
      </c>
      <c r="J123" s="2" t="s">
        <v>135</v>
      </c>
      <c r="K123">
        <f>B2490</f>
        <v>8.7164184214202842E-3</v>
      </c>
      <c r="L123">
        <f>C2490</f>
        <v>-1.356423296866642E-3</v>
      </c>
      <c r="M123">
        <f t="shared" si="7"/>
        <v>8.5101697432072559E-3</v>
      </c>
      <c r="N123">
        <f>D2490</f>
        <v>-2.5168839272424449E-2</v>
      </c>
      <c r="O123">
        <f>AVERAGEIFS(E2490:E2511,E2490:E2511,"&lt;=" &amp; N123)</f>
        <v>-2.7129821057584373E-2</v>
      </c>
      <c r="P123">
        <v>254.2695921323031</v>
      </c>
      <c r="Q123">
        <v>19.012</v>
      </c>
      <c r="R123">
        <f t="shared" si="6"/>
        <v>244.38810811946939</v>
      </c>
      <c r="S123">
        <v>8.5101697432072559E-3</v>
      </c>
      <c r="T123">
        <v>18.84</v>
      </c>
      <c r="V123" t="s">
        <v>228</v>
      </c>
      <c r="W123">
        <v>0.27828490678548401</v>
      </c>
    </row>
    <row r="124" spans="1:30" x14ac:dyDescent="0.35">
      <c r="A124" t="s">
        <v>20</v>
      </c>
      <c r="E124">
        <v>-4.0939086753241698E-2</v>
      </c>
      <c r="F124">
        <f t="shared" si="4"/>
        <v>-1.9225829724309647E-2</v>
      </c>
      <c r="G124">
        <f t="shared" si="5"/>
        <v>-3.0473962466673676E-2</v>
      </c>
      <c r="J124" s="2" t="s">
        <v>136</v>
      </c>
      <c r="K124">
        <f>B2512</f>
        <v>1.5795366677313228E-2</v>
      </c>
      <c r="L124">
        <f>C2512</f>
        <v>-4.4688710656645286E-3</v>
      </c>
      <c r="M124">
        <f t="shared" si="7"/>
        <v>8.7164184214202842E-3</v>
      </c>
      <c r="N124">
        <f>D2512</f>
        <v>-3.9951835301447948E-2</v>
      </c>
      <c r="O124">
        <f>AVERAGEIFS(E2512:E2531,E2512:E2531,"&lt;=" &amp; N124)</f>
        <v>-4.0245365086637092E-2</v>
      </c>
      <c r="P124">
        <v>238.52343111851852</v>
      </c>
      <c r="Q124">
        <v>46.46481</v>
      </c>
      <c r="R124">
        <f t="shared" si="6"/>
        <v>254.2695921323031</v>
      </c>
      <c r="S124">
        <v>8.7164184214202842E-3</v>
      </c>
      <c r="T124">
        <v>40.11</v>
      </c>
      <c r="V124" t="s">
        <v>229</v>
      </c>
      <c r="W124">
        <v>1.005059310425812E-2</v>
      </c>
    </row>
    <row r="125" spans="1:30" ht="15" thickBot="1" x14ac:dyDescent="0.4">
      <c r="A125" t="s">
        <v>20</v>
      </c>
      <c r="E125">
        <v>2.8796333970741144E-3</v>
      </c>
      <c r="F125">
        <f t="shared" si="4"/>
        <v>-1.9187368193097749E-2</v>
      </c>
      <c r="G125">
        <f t="shared" si="5"/>
        <v>-3.0355951269544112E-2</v>
      </c>
      <c r="J125" s="2" t="s">
        <v>137</v>
      </c>
      <c r="K125">
        <f>B2285</f>
        <v>7.1791330149201596E-3</v>
      </c>
      <c r="L125">
        <f>C2285</f>
        <v>9.891896745484179E-4</v>
      </c>
      <c r="M125">
        <f t="shared" si="7"/>
        <v>1.5795366677313228E-2</v>
      </c>
      <c r="N125">
        <f>D2285</f>
        <v>-1.9213583905713327E-2</v>
      </c>
      <c r="O125">
        <f>AVERAGEIFS(E2532:E2553,E2532:E2553,"&lt;=" &amp; N125)</f>
        <v>-6.5474604270831793E-2</v>
      </c>
      <c r="P125">
        <v>367.15702042734057</v>
      </c>
      <c r="Q125">
        <v>53.310940000000002</v>
      </c>
      <c r="R125">
        <f t="shared" si="6"/>
        <v>238.52343111851852</v>
      </c>
      <c r="S125">
        <v>1.5795366677313228E-2</v>
      </c>
      <c r="T125">
        <v>53.54</v>
      </c>
      <c r="V125" s="6" t="s">
        <v>230</v>
      </c>
      <c r="W125" s="6">
        <v>183</v>
      </c>
    </row>
    <row r="126" spans="1:30" x14ac:dyDescent="0.35">
      <c r="A126" t="s">
        <v>21</v>
      </c>
      <c r="B126" s="3" cm="1">
        <f t="array" ref="B126">_xlfn.STDEV.S(_xlfn._xlws.FILTER($E$2:$E$1000, $A$2:$A$1000="2010-07"))</f>
        <v>1.4469097688919925E-2</v>
      </c>
      <c r="C126" s="3" cm="1">
        <f t="array" ref="C126">AVERAGE(_xlfn._xlws.FILTER($E$2:$E$1000, $A$2:$A$1000="2010-07"))</f>
        <v>2.5697596449678548E-3</v>
      </c>
      <c r="D126" s="3" cm="1">
        <f t="array" ref="D126">_xlfn.PERCENTILE.EXC(_xlfn._xlws.FILTER($E$126:$E$252, $A$126:$A$252="2010-07"), 0.05)</f>
        <v>-2.9274168669556733E-2</v>
      </c>
      <c r="E126">
        <v>-3.0370368543586879E-2</v>
      </c>
      <c r="F126">
        <f t="shared" si="4"/>
        <v>-1.9189878745651347E-2</v>
      </c>
      <c r="G126">
        <f t="shared" si="5"/>
        <v>-3.0355951269544112E-2</v>
      </c>
      <c r="J126" s="4" t="s">
        <v>138</v>
      </c>
      <c r="K126" s="3">
        <f>B2554</f>
        <v>2.4177324211863527E-2</v>
      </c>
      <c r="L126" s="3">
        <f>C2554</f>
        <v>1.9633890762149179E-3</v>
      </c>
      <c r="M126">
        <f t="shared" si="7"/>
        <v>7.1791330149201596E-3</v>
      </c>
      <c r="N126" s="3">
        <f>D2554</f>
        <v>-4.3642572522058228E-2</v>
      </c>
      <c r="O126" s="3">
        <f>AVERAGEIFS(E2554:E2573,E2554:E2573,"&lt;=" &amp; N126)</f>
        <v>-4.3915482953290015E-2</v>
      </c>
      <c r="P126" s="3">
        <v>320.16271113798314</v>
      </c>
      <c r="Q126" s="3">
        <v>37.087910000000001</v>
      </c>
      <c r="R126">
        <f t="shared" si="6"/>
        <v>367.15702042734057</v>
      </c>
      <c r="S126">
        <v>7.1791330149201596E-3</v>
      </c>
      <c r="T126" s="3">
        <v>34.15</v>
      </c>
    </row>
    <row r="127" spans="1:30" ht="15" thickBot="1" x14ac:dyDescent="0.4">
      <c r="A127" t="s">
        <v>21</v>
      </c>
      <c r="E127">
        <v>2.5327938399471862E-3</v>
      </c>
      <c r="F127">
        <f t="shared" si="4"/>
        <v>-1.9157067436456236E-2</v>
      </c>
      <c r="G127">
        <f t="shared" si="5"/>
        <v>-3.0295105872189448E-2</v>
      </c>
      <c r="J127" s="2" t="s">
        <v>139</v>
      </c>
      <c r="K127">
        <f>B2574</f>
        <v>2.2840726646207041E-2</v>
      </c>
      <c r="L127">
        <f>C2574</f>
        <v>1.4778727640377878E-3</v>
      </c>
      <c r="M127">
        <f t="shared" si="7"/>
        <v>2.4177324211863527E-2</v>
      </c>
      <c r="N127">
        <f>D2574</f>
        <v>-3.1095129761731108E-2</v>
      </c>
      <c r="O127">
        <f>AVERAGEIFS(E2574:E2591,E2574:E2591,"&lt;=" &amp; N127)</f>
        <v>-4.3345582111293982E-2</v>
      </c>
      <c r="P127">
        <v>305.83698185179964</v>
      </c>
      <c r="Q127">
        <v>34.543970000000002</v>
      </c>
      <c r="R127">
        <f t="shared" si="6"/>
        <v>320.16271113798314</v>
      </c>
      <c r="S127">
        <v>2.4177324211863527E-2</v>
      </c>
      <c r="T127">
        <v>27.51</v>
      </c>
      <c r="V127" t="s">
        <v>231</v>
      </c>
    </row>
    <row r="128" spans="1:30" x14ac:dyDescent="0.35">
      <c r="A128" t="s">
        <v>21</v>
      </c>
      <c r="E128">
        <v>-4.7628902626414759E-3</v>
      </c>
      <c r="F128">
        <f t="shared" si="4"/>
        <v>-1.91584326667542E-2</v>
      </c>
      <c r="G128">
        <f t="shared" si="5"/>
        <v>-3.0295105872189448E-2</v>
      </c>
      <c r="J128" s="2" t="s">
        <v>140</v>
      </c>
      <c r="K128">
        <f>B2592</f>
        <v>2.0459412859532899E-2</v>
      </c>
      <c r="L128">
        <f>C2592</f>
        <v>2.3791159847667649E-3</v>
      </c>
      <c r="M128">
        <f t="shared" si="7"/>
        <v>2.2840726646207041E-2</v>
      </c>
      <c r="N128">
        <f>D2592</f>
        <v>-4.6343586004043549E-2</v>
      </c>
      <c r="O128">
        <f>AVERAGEIFS(E2592:E2612,E2592:E2612,"&lt;=" &amp; N128)</f>
        <v>-4.8204593716093543E-2</v>
      </c>
      <c r="P128">
        <v>321.69084543949418</v>
      </c>
      <c r="Q128">
        <v>35.660429999999998</v>
      </c>
      <c r="R128">
        <f t="shared" si="6"/>
        <v>305.83698185179964</v>
      </c>
      <c r="S128">
        <v>2.2840726646207041E-2</v>
      </c>
      <c r="T128">
        <v>30.43</v>
      </c>
      <c r="V128" s="7"/>
      <c r="W128" s="7" t="s">
        <v>236</v>
      </c>
      <c r="X128" s="7" t="s">
        <v>237</v>
      </c>
      <c r="Y128" s="7" t="s">
        <v>238</v>
      </c>
      <c r="Z128" s="7" t="s">
        <v>239</v>
      </c>
      <c r="AA128" s="7" t="s">
        <v>240</v>
      </c>
    </row>
    <row r="129" spans="1:30" x14ac:dyDescent="0.35">
      <c r="A129" t="s">
        <v>21</v>
      </c>
      <c r="E129">
        <v>2.6911754922753609E-2</v>
      </c>
      <c r="F129">
        <f t="shared" si="4"/>
        <v>-1.9159797897052164E-2</v>
      </c>
      <c r="G129">
        <f t="shared" si="5"/>
        <v>-3.0295105872189448E-2</v>
      </c>
      <c r="J129" s="2" t="s">
        <v>141</v>
      </c>
      <c r="K129">
        <f>B2613</f>
        <v>1.2242807240349252E-2</v>
      </c>
      <c r="L129">
        <f>C2613</f>
        <v>-1.3626541500628988E-3</v>
      </c>
      <c r="M129">
        <f t="shared" si="7"/>
        <v>2.0459412859532899E-2</v>
      </c>
      <c r="N129">
        <f>D2613</f>
        <v>-2.0349874727559957E-2</v>
      </c>
      <c r="O129">
        <f>AVERAGEIFS(E2613:E2635,E2613:E2635,"&lt;=" &amp; N129)</f>
        <v>-2.1566969346964667E-2</v>
      </c>
      <c r="P129">
        <v>242.34147139316002</v>
      </c>
      <c r="Q129">
        <v>31.437750000000001</v>
      </c>
      <c r="R129">
        <f t="shared" si="6"/>
        <v>321.69084543949418</v>
      </c>
      <c r="S129">
        <v>2.0459412859532899E-2</v>
      </c>
      <c r="T129">
        <v>24.46</v>
      </c>
      <c r="V129" t="s">
        <v>232</v>
      </c>
      <c r="W129">
        <v>3</v>
      </c>
      <c r="X129">
        <v>7.391939749704167E-3</v>
      </c>
      <c r="Y129">
        <v>2.4639799165680557E-3</v>
      </c>
      <c r="Z129">
        <v>24.392357783629347</v>
      </c>
      <c r="AA129">
        <v>2.7858947312139218E-13</v>
      </c>
    </row>
    <row r="130" spans="1:30" x14ac:dyDescent="0.35">
      <c r="A130" t="s">
        <v>21</v>
      </c>
      <c r="E130">
        <v>1.7397786362741984E-2</v>
      </c>
      <c r="F130">
        <f t="shared" si="4"/>
        <v>-1.9161163127350125E-2</v>
      </c>
      <c r="G130">
        <f t="shared" si="5"/>
        <v>-3.0295105872189448E-2</v>
      </c>
      <c r="J130" s="2" t="s">
        <v>142</v>
      </c>
      <c r="K130">
        <f>B2636</f>
        <v>1.1059515628070352E-2</v>
      </c>
      <c r="L130">
        <f>C2636</f>
        <v>2.2406762206088173E-3</v>
      </c>
      <c r="M130">
        <f t="shared" si="7"/>
        <v>1.2242807240349252E-2</v>
      </c>
      <c r="N130">
        <f>D2636</f>
        <v>-1.5755158456661873E-2</v>
      </c>
      <c r="O130">
        <f>AVERAGEIFS(E2636:E2655,E2636:E2655,"&lt;=" &amp; N130)</f>
        <v>-1.5881900710193589E-2</v>
      </c>
      <c r="P130">
        <v>202.95086660733247</v>
      </c>
      <c r="Q130">
        <v>31.91592</v>
      </c>
      <c r="R130">
        <f t="shared" si="6"/>
        <v>242.34147139316002</v>
      </c>
      <c r="S130">
        <v>1.2242807240349252E-2</v>
      </c>
      <c r="T130">
        <v>26.41</v>
      </c>
      <c r="V130" t="s">
        <v>233</v>
      </c>
      <c r="W130">
        <v>179</v>
      </c>
      <c r="X130">
        <v>1.8081581492777596E-2</v>
      </c>
      <c r="Y130">
        <v>1.0101442174736088E-4</v>
      </c>
    </row>
    <row r="131" spans="1:30" ht="15" thickBot="1" x14ac:dyDescent="0.4">
      <c r="A131" t="s">
        <v>21</v>
      </c>
      <c r="E131">
        <v>1.5611943348375701E-2</v>
      </c>
      <c r="F131">
        <f t="shared" si="4"/>
        <v>-1.916252835764809E-2</v>
      </c>
      <c r="G131">
        <f t="shared" si="5"/>
        <v>-3.0295105872189448E-2</v>
      </c>
      <c r="J131" s="2" t="s">
        <v>143</v>
      </c>
      <c r="K131">
        <f>B2656</f>
        <v>1.3408406341829601E-2</v>
      </c>
      <c r="L131">
        <f>C2656</f>
        <v>-1.8497005332840746E-3</v>
      </c>
      <c r="M131">
        <f t="shared" si="7"/>
        <v>1.1059515628070352E-2</v>
      </c>
      <c r="N131">
        <f>D2656</f>
        <v>-3.4791446240900109E-2</v>
      </c>
      <c r="O131">
        <f>AVERAGEIFS(E2656:E2677,E2656:E2677,"&lt;=" &amp; N131)</f>
        <v>-3.8108154367996784E-2</v>
      </c>
      <c r="P131">
        <v>432.69126146881229</v>
      </c>
      <c r="Q131">
        <v>30.5473</v>
      </c>
      <c r="R131">
        <f t="shared" si="6"/>
        <v>202.95086660733247</v>
      </c>
      <c r="S131">
        <v>1.1059515628070352E-2</v>
      </c>
      <c r="T131">
        <v>26.37</v>
      </c>
      <c r="V131" s="6" t="s">
        <v>234</v>
      </c>
      <c r="W131" s="6">
        <v>182</v>
      </c>
      <c r="X131" s="6">
        <v>2.5473521242481763E-2</v>
      </c>
      <c r="Y131" s="6"/>
      <c r="Z131" s="6"/>
      <c r="AA131" s="6"/>
    </row>
    <row r="132" spans="1:30" ht="15" thickBot="1" x14ac:dyDescent="0.4">
      <c r="A132" t="s">
        <v>21</v>
      </c>
      <c r="E132">
        <v>4.5765250693420526E-3</v>
      </c>
      <c r="F132">
        <f t="shared" ref="F132:F195" si="8">_xlfn.PERCENTILE.EXC(E132:E3947,0.05)</f>
        <v>-1.9163893587946054E-2</v>
      </c>
      <c r="G132">
        <f t="shared" ref="G132:G195" si="9">AVERAGEIFS(E132:E3948,E132:E3948,"&lt;=" &amp; F132)</f>
        <v>-3.0295105872189448E-2</v>
      </c>
      <c r="J132" s="2" t="s">
        <v>144</v>
      </c>
      <c r="K132">
        <f>B2678</f>
        <v>1.2670181357773628E-2</v>
      </c>
      <c r="L132">
        <f>C2678</f>
        <v>-2.024044679108823E-3</v>
      </c>
      <c r="M132">
        <f t="shared" si="7"/>
        <v>1.3408406341829601E-2</v>
      </c>
      <c r="N132">
        <f>D2678</f>
        <v>-3.2358472717817222E-2</v>
      </c>
      <c r="O132">
        <f>AVERAGEIFS(E2678:E2699,E2678:E2699,"&lt;=" &amp; N132)</f>
        <v>-3.4306476187290449E-2</v>
      </c>
      <c r="P132">
        <v>358.26840748688517</v>
      </c>
      <c r="Q132">
        <v>41.165349999999997</v>
      </c>
      <c r="R132">
        <f t="shared" si="6"/>
        <v>432.69126146881229</v>
      </c>
      <c r="S132">
        <v>1.3408406341829601E-2</v>
      </c>
      <c r="T132">
        <v>38.020000000000003</v>
      </c>
    </row>
    <row r="133" spans="1:30" x14ac:dyDescent="0.35">
      <c r="A133" t="s">
        <v>21</v>
      </c>
      <c r="E133">
        <v>3.7011389962675945E-3</v>
      </c>
      <c r="F133">
        <f t="shared" si="8"/>
        <v>-1.9165258818244019E-2</v>
      </c>
      <c r="G133">
        <f t="shared" si="9"/>
        <v>-3.0295105872189448E-2</v>
      </c>
      <c r="J133" s="2" t="s">
        <v>145</v>
      </c>
      <c r="K133">
        <f>B2700</f>
        <v>1.8384071157985484E-2</v>
      </c>
      <c r="L133">
        <f>C2700</f>
        <v>8.7291333174120272E-3</v>
      </c>
      <c r="M133">
        <f t="shared" si="7"/>
        <v>1.2670181357773628E-2</v>
      </c>
      <c r="N133">
        <f>D2700</f>
        <v>-1.5196326846536313E-2</v>
      </c>
      <c r="O133">
        <f>AVERAGEIFS(E2700:E2720,E2700:E2720,"&lt;=" &amp; N133)</f>
        <v>-1.5292985352338882E-2</v>
      </c>
      <c r="P133">
        <v>403.88629274722911</v>
      </c>
      <c r="Q133">
        <v>27.392469999999999</v>
      </c>
      <c r="R133">
        <f t="shared" ref="R133:R186" si="10">P132</f>
        <v>358.26840748688517</v>
      </c>
      <c r="S133">
        <v>1.2670181357773628E-2</v>
      </c>
      <c r="T133">
        <v>20.57</v>
      </c>
      <c r="V133" s="7"/>
      <c r="W133" s="7" t="s">
        <v>241</v>
      </c>
      <c r="X133" s="7" t="s">
        <v>229</v>
      </c>
      <c r="Y133" s="7" t="s">
        <v>242</v>
      </c>
      <c r="Z133" s="7" t="s">
        <v>243</v>
      </c>
      <c r="AA133" s="7" t="s">
        <v>244</v>
      </c>
      <c r="AB133" s="7" t="s">
        <v>245</v>
      </c>
      <c r="AC133" s="7" t="s">
        <v>246</v>
      </c>
      <c r="AD133" s="7" t="s">
        <v>247</v>
      </c>
    </row>
    <row r="134" spans="1:30" x14ac:dyDescent="0.35">
      <c r="A134" t="s">
        <v>21</v>
      </c>
      <c r="E134">
        <v>1.9458188909014004E-2</v>
      </c>
      <c r="F134">
        <f t="shared" si="8"/>
        <v>-1.916662404854198E-2</v>
      </c>
      <c r="G134">
        <f t="shared" si="9"/>
        <v>-3.0295105872189448E-2</v>
      </c>
      <c r="J134" s="2" t="s">
        <v>146</v>
      </c>
      <c r="K134">
        <f>B2721</f>
        <v>8.988584443538214E-3</v>
      </c>
      <c r="L134">
        <f>C2721</f>
        <v>7.6558370657622344E-4</v>
      </c>
      <c r="M134">
        <f t="shared" ref="M134:M186" si="11">K133</f>
        <v>1.8384071157985484E-2</v>
      </c>
      <c r="N134">
        <f>D2721</f>
        <v>-2.4632283431022903E-2</v>
      </c>
      <c r="O134">
        <f>AVERAGEIFS(E2721:E2739,E2721:E2739,"&lt;=" &amp; N134)</f>
        <v>-2.4632283431022903E-2</v>
      </c>
      <c r="P134">
        <v>257.26733611001026</v>
      </c>
      <c r="Q134">
        <v>28.718160000000001</v>
      </c>
      <c r="R134">
        <f t="shared" si="10"/>
        <v>403.88629274722911</v>
      </c>
      <c r="S134">
        <v>1.8384071157985484E-2</v>
      </c>
      <c r="T134">
        <v>22.75</v>
      </c>
      <c r="V134" t="s">
        <v>235</v>
      </c>
      <c r="W134">
        <v>-4.9321353876488651E-3</v>
      </c>
      <c r="X134">
        <v>3.0638118658980061E-3</v>
      </c>
      <c r="Y134">
        <v>-1.6098036052886855</v>
      </c>
      <c r="Z134">
        <v>0.10920285335498102</v>
      </c>
      <c r="AA134">
        <v>-1.0977971990893376E-2</v>
      </c>
      <c r="AB134">
        <v>1.1137012155956454E-3</v>
      </c>
      <c r="AC134">
        <v>-1.0977971990893376E-2</v>
      </c>
      <c r="AD134">
        <v>1.1137012155956454E-3</v>
      </c>
    </row>
    <row r="135" spans="1:30" x14ac:dyDescent="0.35">
      <c r="A135" t="s">
        <v>21</v>
      </c>
      <c r="E135">
        <v>-1.314859474733271E-3</v>
      </c>
      <c r="F135">
        <f t="shared" si="8"/>
        <v>-1.9167989278839944E-2</v>
      </c>
      <c r="G135">
        <f t="shared" si="9"/>
        <v>-3.0295105872189448E-2</v>
      </c>
      <c r="J135" s="2" t="s">
        <v>147</v>
      </c>
      <c r="K135">
        <f>B2740</f>
        <v>8.9105963461176552E-3</v>
      </c>
      <c r="L135">
        <f>C2740</f>
        <v>-1.8204294238103713E-3</v>
      </c>
      <c r="M135">
        <f t="shared" si="11"/>
        <v>8.988584443538214E-3</v>
      </c>
      <c r="N135">
        <f>D2740</f>
        <v>-2.0176568681320516E-2</v>
      </c>
      <c r="O135">
        <f>AVERAGEIFS(E2740:E2759,E2740:E2759,"&lt;=" &amp; N135)</f>
        <v>-2.0406346006003374E-2</v>
      </c>
      <c r="P135">
        <v>276.37227437364749</v>
      </c>
      <c r="Q135">
        <v>35.192749999999997</v>
      </c>
      <c r="R135">
        <f t="shared" si="10"/>
        <v>257.26733611001026</v>
      </c>
      <c r="S135">
        <v>8.988584443538214E-3</v>
      </c>
      <c r="T135">
        <v>33.090000000000003</v>
      </c>
      <c r="V135" t="s">
        <v>248</v>
      </c>
      <c r="W135">
        <v>9.28962089845629E-6</v>
      </c>
      <c r="X135">
        <v>8.2237042925967995E-6</v>
      </c>
      <c r="Y135">
        <v>1.1296151427549574</v>
      </c>
      <c r="Z135">
        <v>0.26014990695617285</v>
      </c>
      <c r="AA135">
        <v>-6.9382594684304029E-6</v>
      </c>
      <c r="AB135">
        <v>2.5517501265342981E-5</v>
      </c>
      <c r="AC135">
        <v>-6.9382594684304029E-6</v>
      </c>
      <c r="AD135">
        <v>2.5517501265342981E-5</v>
      </c>
    </row>
    <row r="136" spans="1:30" x14ac:dyDescent="0.35">
      <c r="A136" t="s">
        <v>21</v>
      </c>
      <c r="E136">
        <v>-1.418219701209952E-2</v>
      </c>
      <c r="F136">
        <f t="shared" si="8"/>
        <v>-1.9169354509137908E-2</v>
      </c>
      <c r="G136">
        <f t="shared" si="9"/>
        <v>-3.0295105872189448E-2</v>
      </c>
      <c r="J136" s="2" t="s">
        <v>148</v>
      </c>
      <c r="K136">
        <f>B2760</f>
        <v>7.5495036804722826E-3</v>
      </c>
      <c r="L136">
        <f>C2760</f>
        <v>2.738914052337278E-3</v>
      </c>
      <c r="M136">
        <f t="shared" si="11"/>
        <v>8.9105963461176552E-3</v>
      </c>
      <c r="N136">
        <f>D2760</f>
        <v>-1.366960263420983E-2</v>
      </c>
      <c r="O136">
        <f>AVERAGEIFS(E2760:E2779,E2760:E2779,"&lt;=" &amp; N136)</f>
        <v>-1.4045539076652168E-2</v>
      </c>
      <c r="P136">
        <v>226.43034071822746</v>
      </c>
      <c r="Q136">
        <v>32.450749999999999</v>
      </c>
      <c r="R136">
        <f t="shared" si="10"/>
        <v>276.37227437364749</v>
      </c>
      <c r="S136">
        <v>8.9105963461176552E-3</v>
      </c>
      <c r="T136">
        <v>27.95</v>
      </c>
      <c r="V136" t="s">
        <v>251</v>
      </c>
      <c r="W136">
        <v>-0.30697902938624816</v>
      </c>
      <c r="X136">
        <v>0.1680795273173043</v>
      </c>
      <c r="Y136">
        <v>-1.8263915557468595</v>
      </c>
      <c r="Z136">
        <v>6.9457207490885853E-2</v>
      </c>
      <c r="AA136">
        <v>-0.63865127395899068</v>
      </c>
      <c r="AB136">
        <v>2.4693215186494311E-2</v>
      </c>
      <c r="AC136">
        <v>-0.63865127395899068</v>
      </c>
      <c r="AD136">
        <v>2.4693215186494311E-2</v>
      </c>
    </row>
    <row r="137" spans="1:30" ht="15" thickBot="1" x14ac:dyDescent="0.4">
      <c r="A137" t="s">
        <v>21</v>
      </c>
      <c r="E137">
        <v>-2.3062369383385906E-2</v>
      </c>
      <c r="F137">
        <f t="shared" si="8"/>
        <v>-1.9170719739435873E-2</v>
      </c>
      <c r="G137">
        <f t="shared" si="9"/>
        <v>-3.0295105872189448E-2</v>
      </c>
      <c r="J137" s="2" t="s">
        <v>149</v>
      </c>
      <c r="K137">
        <f>B2780</f>
        <v>7.2743691888821635E-3</v>
      </c>
      <c r="L137">
        <f>C2780</f>
        <v>2.6900535055742734E-3</v>
      </c>
      <c r="M137">
        <f t="shared" si="11"/>
        <v>7.5495036804722826E-3</v>
      </c>
      <c r="N137">
        <f>D2780</f>
        <v>-1.0253829265843492E-2</v>
      </c>
      <c r="O137">
        <f>AVERAGEIFS(E2780:E2802,E2780:E2802,"&lt;=" &amp; N137)</f>
        <v>-1.0750678756138029E-2</v>
      </c>
      <c r="P137">
        <v>258.44635817598612</v>
      </c>
      <c r="Q137">
        <v>21.119689999999999</v>
      </c>
      <c r="R137">
        <f t="shared" si="10"/>
        <v>226.43034071822746</v>
      </c>
      <c r="S137">
        <v>7.5495036804722826E-3</v>
      </c>
      <c r="T137">
        <v>19.399999999999999</v>
      </c>
      <c r="V137" s="6" t="s">
        <v>252</v>
      </c>
      <c r="W137" s="6">
        <v>-8.2577051092640825E-4</v>
      </c>
      <c r="X137" s="6">
        <v>1.260294282583142E-4</v>
      </c>
      <c r="Y137" s="6">
        <v>-6.5522038966477014</v>
      </c>
      <c r="Z137" s="6">
        <v>5.8332517286216567E-10</v>
      </c>
      <c r="AA137" s="6">
        <v>-1.0744650665324735E-3</v>
      </c>
      <c r="AB137" s="6">
        <v>-5.7707595532034304E-4</v>
      </c>
      <c r="AC137" s="6">
        <v>-1.0744650665324735E-3</v>
      </c>
      <c r="AD137" s="6">
        <v>-5.7707595532034304E-4</v>
      </c>
    </row>
    <row r="138" spans="1:30" x14ac:dyDescent="0.35">
      <c r="A138" t="s">
        <v>21</v>
      </c>
      <c r="E138">
        <v>-3.9590747470030999E-3</v>
      </c>
      <c r="F138">
        <f t="shared" si="8"/>
        <v>-1.914097940153681E-2</v>
      </c>
      <c r="G138">
        <f t="shared" si="9"/>
        <v>-3.0273829466977407E-2</v>
      </c>
      <c r="J138" s="2" t="s">
        <v>150</v>
      </c>
      <c r="K138">
        <f>B2803</f>
        <v>6.5092675927474527E-3</v>
      </c>
      <c r="L138">
        <f>C2803</f>
        <v>1.6395629174887228E-3</v>
      </c>
      <c r="M138">
        <f t="shared" si="11"/>
        <v>7.2743691888821635E-3</v>
      </c>
      <c r="N138">
        <f>D2803</f>
        <v>-2.0325416922513821E-2</v>
      </c>
      <c r="O138">
        <f>AVERAGEIFS(E2803:E2822,E2803:E2822,"&lt;=" &amp; N138)</f>
        <v>-2.1118119385507506E-2</v>
      </c>
      <c r="P138">
        <v>186.40504730622686</v>
      </c>
      <c r="Q138">
        <v>24.81278</v>
      </c>
      <c r="R138">
        <f t="shared" si="10"/>
        <v>258.44635817598612</v>
      </c>
      <c r="S138">
        <v>7.2743691888821635E-3</v>
      </c>
      <c r="T138">
        <v>18.61</v>
      </c>
    </row>
    <row r="139" spans="1:30" x14ac:dyDescent="0.35">
      <c r="A139" t="s">
        <v>21</v>
      </c>
      <c r="E139">
        <v>-5.2657810748593945E-3</v>
      </c>
      <c r="F139">
        <f t="shared" si="8"/>
        <v>-1.9144245112953651E-2</v>
      </c>
      <c r="G139">
        <f t="shared" si="9"/>
        <v>-3.0273829466977407E-2</v>
      </c>
      <c r="J139" s="2" t="s">
        <v>151</v>
      </c>
      <c r="K139">
        <f>B2823</f>
        <v>8.7205633506024817E-3</v>
      </c>
      <c r="L139">
        <f>C2823</f>
        <v>1.8700639983186228E-3</v>
      </c>
      <c r="M139">
        <f t="shared" si="11"/>
        <v>6.5092675927474527E-3</v>
      </c>
      <c r="N139">
        <f>D2823</f>
        <v>-1.5090355303305793E-2</v>
      </c>
      <c r="O139">
        <f>AVERAGEIFS(E2823:E2840,E2823:E2840,"&lt;=" &amp; N139)</f>
        <v>-1.8746528327207582E-2</v>
      </c>
      <c r="P139">
        <v>210.55606779907308</v>
      </c>
      <c r="Q139">
        <v>23.353159999999999</v>
      </c>
      <c r="R139">
        <f t="shared" si="10"/>
        <v>186.40504730622686</v>
      </c>
      <c r="S139">
        <v>6.5092675927474527E-3</v>
      </c>
      <c r="T139">
        <v>16.760000000000002</v>
      </c>
    </row>
    <row r="140" spans="1:30" x14ac:dyDescent="0.35">
      <c r="A140" t="s">
        <v>21</v>
      </c>
      <c r="E140">
        <v>7.4404891415667616E-3</v>
      </c>
      <c r="F140">
        <f t="shared" si="8"/>
        <v>-1.9147510824370492E-2</v>
      </c>
      <c r="G140">
        <f t="shared" si="9"/>
        <v>-3.0273829466977407E-2</v>
      </c>
      <c r="J140" s="2" t="s">
        <v>152</v>
      </c>
      <c r="K140">
        <f>B2841</f>
        <v>6.2190567687700361E-3</v>
      </c>
      <c r="L140">
        <f>C2841</f>
        <v>1.6597721605411981E-4</v>
      </c>
      <c r="M140">
        <f t="shared" si="11"/>
        <v>8.7205633506024817E-3</v>
      </c>
      <c r="N140">
        <f>D2841</f>
        <v>-1.3948073088709064E-2</v>
      </c>
      <c r="O140">
        <f>AVERAGEIFS(E2841:E2862,E2841:E2862,"&lt;=" &amp; N140)</f>
        <v>-1.4673012584069278E-2</v>
      </c>
      <c r="P140">
        <v>219.50012853823208</v>
      </c>
      <c r="Q140">
        <v>21.54729</v>
      </c>
      <c r="R140">
        <f t="shared" si="10"/>
        <v>210.55606779907308</v>
      </c>
      <c r="S140">
        <v>8.7205633506024817E-3</v>
      </c>
      <c r="T140">
        <v>15.83</v>
      </c>
      <c r="V140" t="s">
        <v>225</v>
      </c>
    </row>
    <row r="141" spans="1:30" ht="15" thickBot="1" x14ac:dyDescent="0.4">
      <c r="A141" t="s">
        <v>21</v>
      </c>
      <c r="E141">
        <v>3.0067851206077936E-2</v>
      </c>
      <c r="F141">
        <f t="shared" si="8"/>
        <v>-1.9148876054668456E-2</v>
      </c>
      <c r="G141">
        <f t="shared" si="9"/>
        <v>-3.0334629022401489E-2</v>
      </c>
      <c r="J141" s="2" t="s">
        <v>153</v>
      </c>
      <c r="K141">
        <f>B2863</f>
        <v>1.1086562242794437E-2</v>
      </c>
      <c r="L141">
        <f>C2863</f>
        <v>7.2704766194938331E-4</v>
      </c>
      <c r="M141">
        <f t="shared" si="11"/>
        <v>6.2190567687700361E-3</v>
      </c>
      <c r="N141">
        <f>D2863</f>
        <v>-2.4912782472225073E-2</v>
      </c>
      <c r="O141">
        <f>AVERAGEIFS(E2863:E2884,E2863:E2884,"&lt;=" &amp; N141)</f>
        <v>-2.5731955445123904E-2</v>
      </c>
      <c r="P141">
        <v>251.80142479657709</v>
      </c>
      <c r="Q141">
        <v>24.831800000000001</v>
      </c>
      <c r="R141">
        <f t="shared" si="10"/>
        <v>219.50012853823208</v>
      </c>
      <c r="S141">
        <v>6.2190567687700361E-3</v>
      </c>
      <c r="T141">
        <v>18.239999999999998</v>
      </c>
    </row>
    <row r="142" spans="1:30" x14ac:dyDescent="0.35">
      <c r="A142" t="s">
        <v>21</v>
      </c>
      <c r="E142">
        <v>1.7980974984540014E-3</v>
      </c>
      <c r="F142">
        <f t="shared" si="8"/>
        <v>-1.9150241284966417E-2</v>
      </c>
      <c r="G142">
        <f t="shared" si="9"/>
        <v>-3.0334629022401489E-2</v>
      </c>
      <c r="J142" s="2" t="s">
        <v>154</v>
      </c>
      <c r="K142">
        <f>B2885</f>
        <v>7.3701537618677043E-3</v>
      </c>
      <c r="L142">
        <f>C2885</f>
        <v>4.8303892434150902E-4</v>
      </c>
      <c r="M142">
        <f t="shared" si="11"/>
        <v>1.1086562242794437E-2</v>
      </c>
      <c r="N142">
        <f>D2885</f>
        <v>-2.2934037970873011E-2</v>
      </c>
      <c r="O142">
        <f>AVERAGEIFS(E2885:E2905,E2885:E2905,"&lt;=" &amp; N142)</f>
        <v>-2.4555659644756037E-2</v>
      </c>
      <c r="P142">
        <v>231.69912169473648</v>
      </c>
      <c r="Q142">
        <v>22.156310000000001</v>
      </c>
      <c r="R142">
        <f t="shared" si="10"/>
        <v>251.80142479657709</v>
      </c>
      <c r="S142">
        <v>1.1086562242794437E-2</v>
      </c>
      <c r="T142">
        <v>16.48</v>
      </c>
      <c r="V142" s="8" t="s">
        <v>226</v>
      </c>
      <c r="W142" s="8"/>
    </row>
    <row r="143" spans="1:30" x14ac:dyDescent="0.35">
      <c r="A143" t="s">
        <v>21</v>
      </c>
      <c r="E143">
        <v>8.0434162799454933E-3</v>
      </c>
      <c r="F143">
        <f t="shared" si="8"/>
        <v>-1.9151606515264381E-2</v>
      </c>
      <c r="G143">
        <f t="shared" si="9"/>
        <v>-3.0334629022401489E-2</v>
      </c>
      <c r="J143" s="2" t="s">
        <v>155</v>
      </c>
      <c r="K143">
        <f>B2906</f>
        <v>9.961993764364397E-3</v>
      </c>
      <c r="L143">
        <f>C2906</f>
        <v>-1.1031374369810212E-3</v>
      </c>
      <c r="M143">
        <f t="shared" si="11"/>
        <v>7.3701537618677043E-3</v>
      </c>
      <c r="N143">
        <f>D2906</f>
        <v>-2.1293546279128051E-2</v>
      </c>
      <c r="O143">
        <f>AVERAGEIFS(E2906:E2927,E2906:E2927,"&lt;=" &amp; N143)</f>
        <v>-2.1952010176324102E-2</v>
      </c>
      <c r="P143">
        <v>236.94298770083844</v>
      </c>
      <c r="Q143">
        <v>26.89424</v>
      </c>
      <c r="R143">
        <f t="shared" si="10"/>
        <v>231.69912169473648</v>
      </c>
      <c r="S143">
        <v>7.3701537618677043E-3</v>
      </c>
      <c r="T143">
        <v>23.14</v>
      </c>
      <c r="V143" t="s">
        <v>227</v>
      </c>
      <c r="W143">
        <v>0.54522409332313981</v>
      </c>
    </row>
    <row r="144" spans="1:30" x14ac:dyDescent="0.35">
      <c r="A144" t="s">
        <v>21</v>
      </c>
      <c r="E144">
        <v>8.2765741723795378E-3</v>
      </c>
      <c r="F144">
        <f t="shared" si="8"/>
        <v>-1.9152971745562346E-2</v>
      </c>
      <c r="G144">
        <f t="shared" si="9"/>
        <v>-3.0334629022401489E-2</v>
      </c>
      <c r="J144" s="2" t="s">
        <v>156</v>
      </c>
      <c r="K144">
        <f>B2928</f>
        <v>7.7974403173796383E-3</v>
      </c>
      <c r="L144">
        <f>C2928</f>
        <v>2.214216335459717E-3</v>
      </c>
      <c r="M144">
        <f t="shared" si="11"/>
        <v>9.961993764364397E-3</v>
      </c>
      <c r="N144">
        <f>D2928</f>
        <v>-1.226567870458053E-2</v>
      </c>
      <c r="O144">
        <f>AVERAGEIFS(E2928:E2948,E2928:E2948,"&lt;=" &amp; N144)</f>
        <v>-1.272608112571901E-2</v>
      </c>
      <c r="P144">
        <v>270.22984285598051</v>
      </c>
      <c r="Q144">
        <v>20.327559999999998</v>
      </c>
      <c r="R144">
        <f t="shared" si="10"/>
        <v>236.94298770083844</v>
      </c>
      <c r="S144">
        <v>9.961993764364397E-3</v>
      </c>
      <c r="T144">
        <v>16.260000000000002</v>
      </c>
      <c r="V144" t="s">
        <v>228</v>
      </c>
      <c r="W144">
        <v>0.29726931194003992</v>
      </c>
    </row>
    <row r="145" spans="1:30" x14ac:dyDescent="0.35">
      <c r="A145" t="s">
        <v>21</v>
      </c>
      <c r="E145">
        <v>1.0794956859846738E-3</v>
      </c>
      <c r="F145">
        <f t="shared" si="8"/>
        <v>-1.915433697586031E-2</v>
      </c>
      <c r="G145">
        <f t="shared" si="9"/>
        <v>-3.0334629022401489E-2</v>
      </c>
      <c r="J145" s="2" t="s">
        <v>157</v>
      </c>
      <c r="K145">
        <f>B2949</f>
        <v>1.1631516385111621E-2</v>
      </c>
      <c r="L145">
        <f>C2949</f>
        <v>-7.324406381202822E-4</v>
      </c>
      <c r="M145">
        <f t="shared" si="11"/>
        <v>7.7974403173796383E-3</v>
      </c>
      <c r="N145">
        <f>D2949</f>
        <v>-4.2650141976235789E-2</v>
      </c>
      <c r="O145">
        <f>AVERAGEIFS(E2949:E2970,E2949:E2970,"&lt;=" &amp; N145)</f>
        <v>-4.8670539392574569E-2</v>
      </c>
      <c r="P145">
        <v>310.0813528559587</v>
      </c>
      <c r="Q145">
        <v>34.009799999999998</v>
      </c>
      <c r="R145">
        <f t="shared" si="10"/>
        <v>270.22984285598051</v>
      </c>
      <c r="S145">
        <v>7.7974403173796383E-3</v>
      </c>
      <c r="T145">
        <v>27.19</v>
      </c>
      <c r="V145" t="s">
        <v>228</v>
      </c>
      <c r="W145">
        <v>0.28542553629857992</v>
      </c>
    </row>
    <row r="146" spans="1:30" x14ac:dyDescent="0.35">
      <c r="A146" t="s">
        <v>21</v>
      </c>
      <c r="E146">
        <v>-5.039431500377221E-3</v>
      </c>
      <c r="F146">
        <f t="shared" si="8"/>
        <v>-1.9155702206158271E-2</v>
      </c>
      <c r="G146">
        <f t="shared" si="9"/>
        <v>-3.0334629022401489E-2</v>
      </c>
      <c r="J146" s="2" t="s">
        <v>158</v>
      </c>
      <c r="K146">
        <f>B2971</f>
        <v>1.1806416288253525E-2</v>
      </c>
      <c r="L146">
        <f>C2971</f>
        <v>3.4260675069228098E-3</v>
      </c>
      <c r="M146">
        <f t="shared" si="11"/>
        <v>1.1631516385111621E-2</v>
      </c>
      <c r="N146">
        <f>D2971</f>
        <v>-1.2593000551130882E-2</v>
      </c>
      <c r="O146">
        <f>AVERAGEIFS(E2971:E2989,E2971:E2989,"&lt;=" &amp; N146)</f>
        <v>-1.2593000551130882E-2</v>
      </c>
      <c r="P146">
        <v>331.31548153447523</v>
      </c>
      <c r="Q146">
        <v>21.801400000000001</v>
      </c>
      <c r="R146">
        <f t="shared" si="10"/>
        <v>310.0813528559587</v>
      </c>
      <c r="S146">
        <v>1.1631516385111621E-2</v>
      </c>
      <c r="T146">
        <v>17.22</v>
      </c>
      <c r="V146" t="s">
        <v>229</v>
      </c>
      <c r="W146">
        <v>9.9182323809852754E-3</v>
      </c>
      <c r="Y146" t="s">
        <v>386</v>
      </c>
    </row>
    <row r="147" spans="1:30" ht="15" thickBot="1" x14ac:dyDescent="0.4">
      <c r="A147" t="s">
        <v>21</v>
      </c>
      <c r="E147">
        <v>-2.4043712448709627E-3</v>
      </c>
      <c r="F147">
        <f t="shared" si="8"/>
        <v>-1.9157067436456236E-2</v>
      </c>
      <c r="G147">
        <f t="shared" si="9"/>
        <v>-3.0334629022401489E-2</v>
      </c>
      <c r="J147" s="2" t="s">
        <v>159</v>
      </c>
      <c r="K147">
        <f>B2990</f>
        <v>1.443097843702267E-2</v>
      </c>
      <c r="L147">
        <f>C2990</f>
        <v>-1.228009225366959E-3</v>
      </c>
      <c r="M147">
        <f t="shared" si="11"/>
        <v>1.1806416288253525E-2</v>
      </c>
      <c r="N147">
        <f>D2990</f>
        <v>-3.9389263051264514E-2</v>
      </c>
      <c r="O147">
        <f>AVERAGEIFS(E2990:E3009,E2990:E3009,"&lt;=" &amp; N147)</f>
        <v>-4.0535615843825694E-2</v>
      </c>
      <c r="P147">
        <v>313.78810575904663</v>
      </c>
      <c r="Q147">
        <v>30.300719999999998</v>
      </c>
      <c r="R147">
        <f t="shared" si="10"/>
        <v>331.31548153447523</v>
      </c>
      <c r="S147">
        <v>1.1806416288253525E-2</v>
      </c>
      <c r="T147">
        <v>24.83</v>
      </c>
      <c r="V147" s="6" t="s">
        <v>230</v>
      </c>
      <c r="W147" s="6">
        <v>182</v>
      </c>
    </row>
    <row r="148" spans="1:30" x14ac:dyDescent="0.35">
      <c r="A148" t="s">
        <v>22</v>
      </c>
      <c r="B148" s="3" cm="1">
        <f t="array" ref="B148">_xlfn.STDEV.S(_xlfn._xlws.FILTER($E$2:$E$1000, $A$2:$A$1000="2010-08"))</f>
        <v>1.378849934091966E-2</v>
      </c>
      <c r="C148" s="3" cm="1">
        <f t="array" ref="C148">AVERAGE(_xlfn._xlws.FILTER($E$2:$E$1000, $A$2:$A$1000="2010-08"))</f>
        <v>-2.0341845487358186E-3</v>
      </c>
      <c r="D148" s="3" cm="1">
        <f t="array" ref="D148">_xlfn.PERCENTILE.EXC(_xlfn._xlws.FILTER($E$126:$E$252, $A$126:$A$252="2010-08"), 0.05)</f>
        <v>-2.7114253636236076E-2</v>
      </c>
      <c r="E148">
        <v>2.945107969410633E-2</v>
      </c>
      <c r="F148">
        <f t="shared" si="8"/>
        <v>-1.91584326667542E-2</v>
      </c>
      <c r="G148">
        <f t="shared" si="9"/>
        <v>-3.0334629022401489E-2</v>
      </c>
      <c r="J148" s="4" t="s">
        <v>160</v>
      </c>
      <c r="K148" s="3">
        <f>B3010</f>
        <v>8.4901358983627568E-3</v>
      </c>
      <c r="L148" s="3">
        <f>C3010</f>
        <v>8.223661004539997E-3</v>
      </c>
      <c r="M148">
        <f t="shared" si="11"/>
        <v>1.443097843702267E-2</v>
      </c>
      <c r="N148" s="3">
        <f>D3010</f>
        <v>-3.823829323963087E-2</v>
      </c>
      <c r="O148" s="3">
        <f>AVERAGEIFS(E3010:E3029,E3010:E3029,"&lt;=" &amp; N148)</f>
        <v>-3.9040511211597038E-2</v>
      </c>
      <c r="P148" s="3">
        <v>298.90660377280608</v>
      </c>
      <c r="Q148" s="3">
        <v>39.545810000000003</v>
      </c>
      <c r="R148">
        <f t="shared" si="10"/>
        <v>313.78810575904663</v>
      </c>
      <c r="S148">
        <v>1.443097843702267E-2</v>
      </c>
      <c r="T148" s="3">
        <v>30.15</v>
      </c>
    </row>
    <row r="149" spans="1:30" ht="15" thickBot="1" x14ac:dyDescent="0.4">
      <c r="A149" t="s">
        <v>22</v>
      </c>
      <c r="E149">
        <v>-1.2054074109343145E-3</v>
      </c>
      <c r="F149">
        <f t="shared" si="8"/>
        <v>-1.9159797897052164E-2</v>
      </c>
      <c r="G149">
        <f t="shared" si="9"/>
        <v>-3.0334629022401489E-2</v>
      </c>
      <c r="J149" s="2" t="s">
        <v>161</v>
      </c>
      <c r="K149">
        <f>B3030</f>
        <v>2.4974693877989392E-2</v>
      </c>
      <c r="L149">
        <f>C3030</f>
        <v>6.7900608011585942E-6</v>
      </c>
      <c r="M149">
        <f t="shared" si="11"/>
        <v>8.4901358983627568E-3</v>
      </c>
      <c r="N149">
        <f>D3030</f>
        <v>-4.8781989291811809E-2</v>
      </c>
      <c r="O149">
        <f>AVERAGEIFS(E3030:E3052,E3030:E3052,"&lt;=" &amp; N149)</f>
        <v>-5.0928888858496689E-2</v>
      </c>
      <c r="P149">
        <v>429.93556753498171</v>
      </c>
      <c r="Q149">
        <v>32.1265</v>
      </c>
      <c r="R149">
        <f t="shared" si="10"/>
        <v>298.90660377280608</v>
      </c>
      <c r="S149">
        <v>8.4901358983627568E-3</v>
      </c>
      <c r="T149">
        <v>20.56</v>
      </c>
      <c r="V149" t="s">
        <v>231</v>
      </c>
    </row>
    <row r="150" spans="1:30" x14ac:dyDescent="0.35">
      <c r="A150" t="s">
        <v>22</v>
      </c>
      <c r="E150">
        <v>3.5188089950715967E-3</v>
      </c>
      <c r="F150">
        <f t="shared" si="8"/>
        <v>-1.9161163127350125E-2</v>
      </c>
      <c r="G150">
        <f t="shared" si="9"/>
        <v>-3.0334629022401489E-2</v>
      </c>
      <c r="J150" s="2" t="s">
        <v>162</v>
      </c>
      <c r="K150">
        <f>B3053</f>
        <v>1.1532794986229961E-2</v>
      </c>
      <c r="L150">
        <f>C3053</f>
        <v>-1.0060975143520849E-3</v>
      </c>
      <c r="M150">
        <f t="shared" si="11"/>
        <v>2.4974693877989392E-2</v>
      </c>
      <c r="N150">
        <f>D3053</f>
        <v>-2.2319277956140197E-2</v>
      </c>
      <c r="O150">
        <f>AVERAGEIFS(E3053:E3071,E3053:E3071,"&lt;=" &amp; N150)</f>
        <v>-2.2319277956140197E-2</v>
      </c>
      <c r="P150">
        <v>322.84143605889113</v>
      </c>
      <c r="Q150">
        <v>32.462649999999996</v>
      </c>
      <c r="R150">
        <f t="shared" si="10"/>
        <v>429.93556753498171</v>
      </c>
      <c r="S150">
        <v>2.4974693877989392E-2</v>
      </c>
      <c r="T150">
        <v>33.4</v>
      </c>
      <c r="V150" s="7"/>
      <c r="W150" s="7" t="s">
        <v>236</v>
      </c>
      <c r="X150" s="7" t="s">
        <v>237</v>
      </c>
      <c r="Y150" s="7" t="s">
        <v>238</v>
      </c>
      <c r="Z150" s="7" t="s">
        <v>239</v>
      </c>
      <c r="AA150" s="7" t="s">
        <v>240</v>
      </c>
    </row>
    <row r="151" spans="1:30" x14ac:dyDescent="0.35">
      <c r="A151" t="s">
        <v>22</v>
      </c>
      <c r="E151">
        <v>9.2227023205871837E-4</v>
      </c>
      <c r="F151">
        <f t="shared" si="8"/>
        <v>-1.916252835764809E-2</v>
      </c>
      <c r="G151">
        <f t="shared" si="9"/>
        <v>-3.0334629022401489E-2</v>
      </c>
      <c r="J151" s="2" t="s">
        <v>163</v>
      </c>
      <c r="K151">
        <f>B3072</f>
        <v>1.4955869070833626E-2</v>
      </c>
      <c r="L151">
        <f>C3072</f>
        <v>-4.75880579295782E-4</v>
      </c>
      <c r="M151">
        <f t="shared" si="11"/>
        <v>1.1532794986229961E-2</v>
      </c>
      <c r="N151">
        <f>D3072</f>
        <v>-2.6874458100596247E-2</v>
      </c>
      <c r="O151">
        <f>AVERAGEIFS(E3072:E3092,E3072:E3092,"&lt;=" &amp; N151)</f>
        <v>-2.7923832258290402E-2</v>
      </c>
      <c r="P151">
        <v>380.59057264289402</v>
      </c>
      <c r="Q151">
        <v>27.09723</v>
      </c>
      <c r="R151">
        <f t="shared" si="10"/>
        <v>322.84143605889113</v>
      </c>
      <c r="S151">
        <v>1.1532794986229961E-2</v>
      </c>
      <c r="T151">
        <v>26.19</v>
      </c>
      <c r="V151" t="s">
        <v>232</v>
      </c>
      <c r="W151">
        <v>3</v>
      </c>
      <c r="X151">
        <v>7.407125783588181E-3</v>
      </c>
      <c r="Y151">
        <v>2.4690419278627271E-3</v>
      </c>
      <c r="Z151">
        <v>25.099201550173497</v>
      </c>
      <c r="AA151">
        <v>1.3657085245273032E-13</v>
      </c>
    </row>
    <row r="152" spans="1:30" x14ac:dyDescent="0.35">
      <c r="A152" t="s">
        <v>22</v>
      </c>
      <c r="E152">
        <v>-1.2871422474436229E-2</v>
      </c>
      <c r="F152">
        <f t="shared" si="8"/>
        <v>-1.9163893587946054E-2</v>
      </c>
      <c r="G152">
        <f t="shared" si="9"/>
        <v>-3.0334629022401489E-2</v>
      </c>
      <c r="J152" s="2" t="s">
        <v>164</v>
      </c>
      <c r="K152">
        <f>B3093</f>
        <v>1.5302948245141943E-2</v>
      </c>
      <c r="L152">
        <f>C3093</f>
        <v>-4.4085589779749189E-3</v>
      </c>
      <c r="M152">
        <f t="shared" si="11"/>
        <v>1.4955869070833626E-2</v>
      </c>
      <c r="N152">
        <f>D3093</f>
        <v>-2.7284529305505279E-2</v>
      </c>
      <c r="O152">
        <f>AVERAGEIFS(E3093:E3112,E3093:E3112,"&lt;=" &amp; N152)</f>
        <v>-2.7298719087945515E-2</v>
      </c>
      <c r="P152">
        <v>420.58772539895682</v>
      </c>
      <c r="Q152">
        <v>31.218789999999998</v>
      </c>
      <c r="R152">
        <f t="shared" si="10"/>
        <v>380.59057264289402</v>
      </c>
      <c r="S152">
        <v>1.4955869070833626E-2</v>
      </c>
      <c r="T152">
        <v>28.71</v>
      </c>
      <c r="V152" t="s">
        <v>233</v>
      </c>
      <c r="W152">
        <v>178</v>
      </c>
      <c r="X152">
        <v>1.7510097374254022E-2</v>
      </c>
      <c r="Y152">
        <v>9.8371333563224849E-5</v>
      </c>
    </row>
    <row r="153" spans="1:30" ht="15" thickBot="1" x14ac:dyDescent="0.4">
      <c r="A153" t="s">
        <v>22</v>
      </c>
      <c r="E153">
        <v>1.6366724088023282E-2</v>
      </c>
      <c r="F153">
        <f t="shared" si="8"/>
        <v>-1.9165258818244019E-2</v>
      </c>
      <c r="G153">
        <f t="shared" si="9"/>
        <v>-3.0334629022401489E-2</v>
      </c>
      <c r="J153" s="2" t="s">
        <v>165</v>
      </c>
      <c r="K153">
        <f>B3113</f>
        <v>1.1860563642433349E-2</v>
      </c>
      <c r="L153">
        <f>C3113</f>
        <v>4.0489573941636849E-3</v>
      </c>
      <c r="M153">
        <f t="shared" si="11"/>
        <v>1.5302948245141943E-2</v>
      </c>
      <c r="N153">
        <f>D3113</f>
        <v>-2.5889333217377072E-2</v>
      </c>
      <c r="O153">
        <f>AVERAGEIFS(E3113:E3133,E3113:E3133,"&lt;=" &amp; N153)</f>
        <v>-2.7183852674881624E-2</v>
      </c>
      <c r="P153">
        <v>495.31645192190723</v>
      </c>
      <c r="Q153">
        <v>22.744309999999999</v>
      </c>
      <c r="R153">
        <f t="shared" si="10"/>
        <v>420.58772539895682</v>
      </c>
      <c r="S153">
        <v>1.5302948245141943E-2</v>
      </c>
      <c r="T153">
        <v>21.33</v>
      </c>
      <c r="V153" s="6" t="s">
        <v>234</v>
      </c>
      <c r="W153" s="6">
        <v>181</v>
      </c>
      <c r="X153" s="6">
        <v>2.4917223157842203E-2</v>
      </c>
      <c r="Y153" s="6"/>
      <c r="Z153" s="6"/>
      <c r="AA153" s="6"/>
    </row>
    <row r="154" spans="1:30" ht="15" thickBot="1" x14ac:dyDescent="0.4">
      <c r="A154" t="s">
        <v>22</v>
      </c>
      <c r="E154">
        <v>-1.2464282731373526E-2</v>
      </c>
      <c r="F154">
        <f t="shared" si="8"/>
        <v>-1.916662404854198E-2</v>
      </c>
      <c r="G154">
        <f t="shared" si="9"/>
        <v>-3.0334629022401489E-2</v>
      </c>
      <c r="J154" s="2" t="s">
        <v>166</v>
      </c>
      <c r="K154">
        <f>B3134</f>
        <v>8.2952094789939274E-3</v>
      </c>
      <c r="L154">
        <f>C3134</f>
        <v>-2.4501172759134491E-3</v>
      </c>
      <c r="M154">
        <f t="shared" si="11"/>
        <v>1.1860563642433349E-2</v>
      </c>
      <c r="N154">
        <f>D3134</f>
        <v>-1.806656536875657E-2</v>
      </c>
      <c r="O154">
        <f>AVERAGEIFS(E3134:E3154,E3134:E3154,"&lt;=" &amp; N154)</f>
        <v>-1.8189846876654894E-2</v>
      </c>
      <c r="P154">
        <v>231.0219656497317</v>
      </c>
      <c r="Q154">
        <v>28.096</v>
      </c>
      <c r="R154">
        <f t="shared" si="10"/>
        <v>495.31645192190723</v>
      </c>
      <c r="S154">
        <v>1.1860563642433349E-2</v>
      </c>
      <c r="T154">
        <v>25.87</v>
      </c>
    </row>
    <row r="155" spans="1:30" x14ac:dyDescent="0.35">
      <c r="A155" t="s">
        <v>22</v>
      </c>
      <c r="E155">
        <v>-2.7802254639829393E-2</v>
      </c>
      <c r="F155">
        <f t="shared" si="8"/>
        <v>-1.9167989278839944E-2</v>
      </c>
      <c r="G155">
        <f t="shared" si="9"/>
        <v>-3.0334629022401489E-2</v>
      </c>
      <c r="J155" s="2" t="s">
        <v>167</v>
      </c>
      <c r="K155">
        <f>B3155</f>
        <v>1.3133983534188506E-2</v>
      </c>
      <c r="L155">
        <f>C3155</f>
        <v>-2.9072114579769223E-3</v>
      </c>
      <c r="M155">
        <f t="shared" si="11"/>
        <v>8.2952094789939274E-3</v>
      </c>
      <c r="N155">
        <f>D3155</f>
        <v>-2.2669059047100662E-2</v>
      </c>
      <c r="O155">
        <f>AVERAGEIFS(E3155:E3175,E3155:E3175,"&lt;=" &amp; N155)</f>
        <v>-2.3089564290769284E-2</v>
      </c>
      <c r="P155">
        <v>255.82427560784171</v>
      </c>
      <c r="Q155">
        <v>30.064309999999999</v>
      </c>
      <c r="R155">
        <f t="shared" si="10"/>
        <v>231.0219656497317</v>
      </c>
      <c r="S155">
        <v>8.2952094789939274E-3</v>
      </c>
      <c r="T155">
        <v>31.62</v>
      </c>
      <c r="V155" s="7"/>
      <c r="W155" s="7" t="s">
        <v>241</v>
      </c>
      <c r="X155" s="7" t="s">
        <v>229</v>
      </c>
      <c r="Y155" s="7" t="s">
        <v>242</v>
      </c>
      <c r="Z155" s="7" t="s">
        <v>243</v>
      </c>
      <c r="AA155" s="7" t="s">
        <v>244</v>
      </c>
      <c r="AB155" s="7" t="s">
        <v>245</v>
      </c>
      <c r="AC155" s="7" t="s">
        <v>246</v>
      </c>
      <c r="AD155" s="7" t="s">
        <v>247</v>
      </c>
    </row>
    <row r="156" spans="1:30" x14ac:dyDescent="0.35">
      <c r="A156" t="s">
        <v>22</v>
      </c>
      <c r="E156">
        <v>-1.9919006332181333E-3</v>
      </c>
      <c r="F156">
        <f t="shared" si="8"/>
        <v>-1.9134447978703131E-2</v>
      </c>
      <c r="G156">
        <f t="shared" si="9"/>
        <v>-3.0287335340349799E-2</v>
      </c>
      <c r="J156" s="2" t="s">
        <v>168</v>
      </c>
      <c r="K156">
        <f>B3176</f>
        <v>1.2458993336466979E-2</v>
      </c>
      <c r="L156">
        <f>C3176</f>
        <v>3.9960680087113001E-3</v>
      </c>
      <c r="M156">
        <f t="shared" si="11"/>
        <v>1.3133983534188506E-2</v>
      </c>
      <c r="N156">
        <f>D3176</f>
        <v>-1.1497698516980541E-2</v>
      </c>
      <c r="O156">
        <f>AVERAGEIFS(E3176:E3196,E3176:E3196,"&lt;=" &amp; N156)</f>
        <v>-1.1773054879298962E-2</v>
      </c>
      <c r="P156">
        <v>372.27650760470925</v>
      </c>
      <c r="Q156">
        <v>24.54992</v>
      </c>
      <c r="R156">
        <f t="shared" si="10"/>
        <v>255.82427560784171</v>
      </c>
      <c r="S156">
        <v>1.3133983534188506E-2</v>
      </c>
      <c r="T156">
        <v>25.88</v>
      </c>
      <c r="V156" t="s">
        <v>235</v>
      </c>
      <c r="W156">
        <v>-5.9856307977624694E-3</v>
      </c>
      <c r="X156">
        <v>3.054893105930317E-3</v>
      </c>
      <c r="Y156">
        <v>-1.9593585078780178</v>
      </c>
      <c r="Z156">
        <v>5.1632529809365682E-2</v>
      </c>
      <c r="AA156">
        <v>-1.2014098469564902E-2</v>
      </c>
      <c r="AB156">
        <v>4.2836874039962891E-5</v>
      </c>
      <c r="AC156">
        <v>-1.2014098469564902E-2</v>
      </c>
      <c r="AD156">
        <v>4.2836874039962891E-5</v>
      </c>
    </row>
    <row r="157" spans="1:30" x14ac:dyDescent="0.35">
      <c r="A157" t="s">
        <v>22</v>
      </c>
      <c r="E157">
        <v>-2.8097441320763424E-3</v>
      </c>
      <c r="F157">
        <f t="shared" si="8"/>
        <v>-1.9137713690119972E-2</v>
      </c>
      <c r="G157">
        <f t="shared" si="9"/>
        <v>-3.0287335340349799E-2</v>
      </c>
      <c r="J157" s="2" t="s">
        <v>169</v>
      </c>
      <c r="K157">
        <f>B3197</f>
        <v>8.4930222424234002E-3</v>
      </c>
      <c r="L157">
        <f>C3197</f>
        <v>3.2992589934078549E-3</v>
      </c>
      <c r="M157">
        <f t="shared" si="11"/>
        <v>1.2458993336466979E-2</v>
      </c>
      <c r="N157">
        <f>D3197</f>
        <v>-7.988368608429261E-3</v>
      </c>
      <c r="O157">
        <f>AVERAGEIFS(E3197:E3218,E3197:E3218,"&lt;=" &amp; N157)</f>
        <v>-8.1506948983195663E-3</v>
      </c>
      <c r="P157">
        <v>302.97606816447041</v>
      </c>
      <c r="Q157">
        <v>21.878530000000001</v>
      </c>
      <c r="R157">
        <f t="shared" si="10"/>
        <v>372.27650760470925</v>
      </c>
      <c r="S157">
        <v>1.2458993336466979E-2</v>
      </c>
      <c r="T157">
        <v>20.58</v>
      </c>
      <c r="V157" t="s">
        <v>248</v>
      </c>
      <c r="W157">
        <v>1.3612510635450359E-5</v>
      </c>
      <c r="X157">
        <v>8.3112259368824984E-6</v>
      </c>
      <c r="Y157">
        <v>1.6378462983472144</v>
      </c>
      <c r="Z157">
        <v>0.10322030301754569</v>
      </c>
      <c r="AA157">
        <v>-2.7887037888048218E-6</v>
      </c>
      <c r="AB157">
        <v>3.0013725059705538E-5</v>
      </c>
      <c r="AC157">
        <v>-2.7887037888048218E-6</v>
      </c>
      <c r="AD157">
        <v>3.0013725059705538E-5</v>
      </c>
    </row>
    <row r="158" spans="1:30" x14ac:dyDescent="0.35">
      <c r="A158" t="s">
        <v>22</v>
      </c>
      <c r="E158">
        <v>-3.6928616665453818E-3</v>
      </c>
      <c r="F158">
        <f t="shared" si="8"/>
        <v>-1.914097940153681E-2</v>
      </c>
      <c r="G158">
        <f t="shared" si="9"/>
        <v>-3.0287335340349799E-2</v>
      </c>
      <c r="J158" s="2" t="s">
        <v>170</v>
      </c>
      <c r="K158">
        <f>B3219</f>
        <v>1.0711228276483223E-2</v>
      </c>
      <c r="L158">
        <f>C3219</f>
        <v>-2.0043842397000104E-3</v>
      </c>
      <c r="M158">
        <f t="shared" si="11"/>
        <v>8.4930222424234002E-3</v>
      </c>
      <c r="N158">
        <f>D3219</f>
        <v>-3.0587958201092117E-2</v>
      </c>
      <c r="O158">
        <f>AVERAGEIFS(E3219:E3238,E3219:E3238,"&lt;=" &amp; N158)</f>
        <v>-3.1393389269003341E-2</v>
      </c>
      <c r="P158">
        <v>261.96710254782568</v>
      </c>
      <c r="Q158">
        <v>22.371210000000001</v>
      </c>
      <c r="R158">
        <f t="shared" si="10"/>
        <v>302.97606816447041</v>
      </c>
      <c r="S158">
        <v>8.4930222424234002E-3</v>
      </c>
      <c r="T158">
        <v>21.67</v>
      </c>
      <c r="V158" t="s">
        <v>251</v>
      </c>
      <c r="W158">
        <v>-0.33194225482983652</v>
      </c>
      <c r="X158">
        <v>0.16618905292863545</v>
      </c>
      <c r="Y158">
        <v>-1.9973773782342839</v>
      </c>
      <c r="Z158">
        <v>4.7307502716313517E-2</v>
      </c>
      <c r="AA158">
        <v>-0.65989655576523398</v>
      </c>
      <c r="AB158">
        <v>-3.9879538944390669E-3</v>
      </c>
      <c r="AC158">
        <v>-0.65989655576523398</v>
      </c>
      <c r="AD158">
        <v>-3.9879538944390669E-3</v>
      </c>
    </row>
    <row r="159" spans="1:30" ht="15" thickBot="1" x14ac:dyDescent="0.4">
      <c r="A159" t="s">
        <v>22</v>
      </c>
      <c r="E159">
        <v>1.8051016728050359E-2</v>
      </c>
      <c r="F159">
        <f t="shared" si="8"/>
        <v>-1.9144245112953651E-2</v>
      </c>
      <c r="G159">
        <f t="shared" si="9"/>
        <v>-3.0287335340349799E-2</v>
      </c>
      <c r="J159" s="2" t="s">
        <v>171</v>
      </c>
      <c r="K159">
        <f>B3239</f>
        <v>9.0418329922130666E-3</v>
      </c>
      <c r="L159">
        <f>C3239</f>
        <v>4.2789797027474987E-3</v>
      </c>
      <c r="M159">
        <f t="shared" si="11"/>
        <v>1.0711228276483223E-2</v>
      </c>
      <c r="N159">
        <f>D3239</f>
        <v>-1.7422586016895333E-2</v>
      </c>
      <c r="O159">
        <f>AVERAGEIFS(E3239:E3259,E3239:E3259,"&lt;=" &amp; N159)</f>
        <v>-1.8741918536841817E-2</v>
      </c>
      <c r="P159">
        <v>296.32166507942077</v>
      </c>
      <c r="Q159">
        <v>20.17446</v>
      </c>
      <c r="R159">
        <f t="shared" si="10"/>
        <v>261.96710254782568</v>
      </c>
      <c r="S159">
        <v>1.0711228276483223E-2</v>
      </c>
      <c r="T159">
        <v>19.399999999999999</v>
      </c>
      <c r="V159" s="6" t="s">
        <v>252</v>
      </c>
      <c r="W159" s="6">
        <v>-8.1101474123882746E-4</v>
      </c>
      <c r="X159" s="6">
        <v>1.245202754204051E-4</v>
      </c>
      <c r="Y159" s="6">
        <v>-6.5131139366716075</v>
      </c>
      <c r="Z159" s="6">
        <v>7.2825926791229145E-10</v>
      </c>
      <c r="AA159" s="6">
        <v>-1.0567406729902903E-3</v>
      </c>
      <c r="AB159" s="6">
        <v>-5.6528880948736467E-4</v>
      </c>
      <c r="AC159" s="6">
        <v>-1.0567406729902903E-3</v>
      </c>
      <c r="AD159" s="6">
        <v>-5.6528880948736467E-4</v>
      </c>
    </row>
    <row r="160" spans="1:30" x14ac:dyDescent="0.35">
      <c r="A160" t="s">
        <v>22</v>
      </c>
      <c r="E160">
        <v>-4.158089770920712E-3</v>
      </c>
      <c r="F160">
        <f t="shared" si="8"/>
        <v>-1.9147510824370492E-2</v>
      </c>
      <c r="G160">
        <f t="shared" si="9"/>
        <v>-3.0287335340349799E-2</v>
      </c>
      <c r="J160" s="2" t="s">
        <v>172</v>
      </c>
      <c r="K160">
        <f>B3260</f>
        <v>8.8597312508979335E-3</v>
      </c>
      <c r="L160">
        <f>C3260</f>
        <v>1.2927931007503544E-3</v>
      </c>
      <c r="M160">
        <f t="shared" si="11"/>
        <v>9.0418329922130666E-3</v>
      </c>
      <c r="N160">
        <f>D3260</f>
        <v>-1.7724244824588495E-2</v>
      </c>
      <c r="O160">
        <f>AVERAGEIFS(E3260:E3279,E3260:E3279,"&lt;=" &amp; N160)</f>
        <v>-1.7947767818046762E-2</v>
      </c>
      <c r="P160">
        <v>327.79795855688673</v>
      </c>
      <c r="Q160">
        <v>20.68244</v>
      </c>
      <c r="R160">
        <f t="shared" si="10"/>
        <v>296.32166507942077</v>
      </c>
      <c r="S160">
        <v>9.0418329922130666E-3</v>
      </c>
      <c r="T160">
        <v>20.7</v>
      </c>
    </row>
    <row r="161" spans="1:30" x14ac:dyDescent="0.35">
      <c r="A161" t="s">
        <v>22</v>
      </c>
      <c r="E161">
        <v>-2.0922244603896224E-2</v>
      </c>
      <c r="F161">
        <f t="shared" si="8"/>
        <v>-1.9148876054668456E-2</v>
      </c>
      <c r="G161">
        <f t="shared" si="9"/>
        <v>-3.034854316736068E-2</v>
      </c>
      <c r="J161" s="2" t="s">
        <v>173</v>
      </c>
      <c r="K161">
        <f>B3280</f>
        <v>1.4494729330884387E-2</v>
      </c>
      <c r="L161">
        <f>C3280</f>
        <v>3.2457644294861819E-4</v>
      </c>
      <c r="M161">
        <f t="shared" si="11"/>
        <v>8.8597312508979335E-3</v>
      </c>
      <c r="N161">
        <f>D3280</f>
        <v>-3.5066730072093016E-2</v>
      </c>
      <c r="O161">
        <f>AVERAGEIFS(E3280:E3302,E3280:E3302,"&lt;=" &amp; N161)</f>
        <v>-3.6484390540453292E-2</v>
      </c>
      <c r="P161">
        <v>382.92593225825669</v>
      </c>
      <c r="Q161">
        <v>21.1126</v>
      </c>
      <c r="R161">
        <f t="shared" si="10"/>
        <v>327.79795855688673</v>
      </c>
      <c r="S161">
        <v>8.8597312508979335E-3</v>
      </c>
      <c r="T161">
        <v>18.7</v>
      </c>
      <c r="V161" t="s">
        <v>225</v>
      </c>
    </row>
    <row r="162" spans="1:30" ht="15" thickBot="1" x14ac:dyDescent="0.4">
      <c r="A162" t="s">
        <v>22</v>
      </c>
      <c r="E162">
        <v>-1.3039522532553E-2</v>
      </c>
      <c r="F162">
        <f t="shared" si="8"/>
        <v>-1.9088728018867379E-2</v>
      </c>
      <c r="G162">
        <f t="shared" si="9"/>
        <v>-3.0338791882857794E-2</v>
      </c>
      <c r="J162" s="2" t="s">
        <v>174</v>
      </c>
      <c r="K162">
        <f>B3303</f>
        <v>4.8950045648123025E-3</v>
      </c>
      <c r="L162">
        <f>C3303</f>
        <v>1.2684592825565907E-3</v>
      </c>
      <c r="M162">
        <f t="shared" si="11"/>
        <v>1.4494729330884387E-2</v>
      </c>
      <c r="N162">
        <f>D3303</f>
        <v>-6.0540704021819622E-3</v>
      </c>
      <c r="O162">
        <f>AVERAGEIFS(E3303:E3320,E3303:E3320,"&lt;=" &amp; N162)</f>
        <v>-8.661053043037624E-3</v>
      </c>
      <c r="P162">
        <v>269.84014918480949</v>
      </c>
      <c r="Q162">
        <v>19.22747</v>
      </c>
      <c r="R162">
        <f t="shared" si="10"/>
        <v>382.92593225825669</v>
      </c>
      <c r="S162">
        <v>1.4494729330884387E-2</v>
      </c>
      <c r="T162">
        <v>15.78</v>
      </c>
    </row>
    <row r="163" spans="1:30" x14ac:dyDescent="0.35">
      <c r="A163" t="s">
        <v>22</v>
      </c>
      <c r="E163">
        <v>7.6589326762745435E-3</v>
      </c>
      <c r="F163">
        <f t="shared" si="8"/>
        <v>-1.9091993730284217E-2</v>
      </c>
      <c r="G163">
        <f t="shared" si="9"/>
        <v>-3.0338791882857794E-2</v>
      </c>
      <c r="J163" s="2" t="s">
        <v>175</v>
      </c>
      <c r="K163">
        <f>B3321</f>
        <v>9.0813369801496357E-3</v>
      </c>
      <c r="L163">
        <f>C3321</f>
        <v>-2.6928687904967498E-3</v>
      </c>
      <c r="M163">
        <f t="shared" si="11"/>
        <v>4.8950045648123025E-3</v>
      </c>
      <c r="N163">
        <f>D3321</f>
        <v>-1.7040349071112567E-2</v>
      </c>
      <c r="O163">
        <f>AVERAGEIFS(E3321:E3340,E3321:E3340,"&lt;=" &amp; N163)</f>
        <v>-1.7120230183235791E-2</v>
      </c>
      <c r="P163">
        <v>295.31020944796518</v>
      </c>
      <c r="Q163">
        <v>21.256530000000001</v>
      </c>
      <c r="R163">
        <f t="shared" si="10"/>
        <v>269.84014918480949</v>
      </c>
      <c r="S163">
        <v>4.8950045648123025E-3</v>
      </c>
      <c r="T163">
        <v>17.940000000000001</v>
      </c>
      <c r="V163" s="8" t="s">
        <v>226</v>
      </c>
      <c r="W163" s="8"/>
    </row>
    <row r="164" spans="1:30" x14ac:dyDescent="0.35">
      <c r="A164" t="s">
        <v>22</v>
      </c>
      <c r="E164">
        <v>-1.7637311748729196E-2</v>
      </c>
      <c r="F164">
        <f t="shared" si="8"/>
        <v>-1.9095259441701058E-2</v>
      </c>
      <c r="G164">
        <f t="shared" si="9"/>
        <v>-3.0338791882857794E-2</v>
      </c>
      <c r="J164" s="2" t="s">
        <v>176</v>
      </c>
      <c r="K164">
        <f>B3341</f>
        <v>7.5183451095079826E-3</v>
      </c>
      <c r="L164">
        <f>C3341</f>
        <v>1.8898381633742959E-3</v>
      </c>
      <c r="M164">
        <f t="shared" si="11"/>
        <v>9.0813369801496357E-3</v>
      </c>
      <c r="N164">
        <f>D3341</f>
        <v>-1.0072269213682651E-2</v>
      </c>
      <c r="O164">
        <f>AVERAGEIFS(E3341:E3362,E3341:E3362,"&lt;=" &amp; N164)</f>
        <v>-1.0147883067506873E-2</v>
      </c>
      <c r="P164">
        <v>214.01936472039787</v>
      </c>
      <c r="Q164">
        <v>14.863659999999999</v>
      </c>
      <c r="R164">
        <f t="shared" si="10"/>
        <v>295.31020944796518</v>
      </c>
      <c r="S164">
        <v>9.0813369801496357E-3</v>
      </c>
      <c r="T164">
        <v>13.59</v>
      </c>
      <c r="V164" t="s">
        <v>227</v>
      </c>
      <c r="W164">
        <v>1.1175083707166286E-2</v>
      </c>
    </row>
    <row r="165" spans="1:30" x14ac:dyDescent="0.35">
      <c r="A165" t="s">
        <v>22</v>
      </c>
      <c r="E165">
        <v>-1.1790435231982298E-2</v>
      </c>
      <c r="F165">
        <f t="shared" si="8"/>
        <v>-1.9098525153117898E-2</v>
      </c>
      <c r="G165">
        <f t="shared" si="9"/>
        <v>-3.0338791882857794E-2</v>
      </c>
      <c r="J165" s="2" t="s">
        <v>177</v>
      </c>
      <c r="K165">
        <f>B3363</f>
        <v>1.0838586491981649E-2</v>
      </c>
      <c r="L165">
        <f>C3363</f>
        <v>6.2470802096458366E-4</v>
      </c>
      <c r="M165">
        <f t="shared" si="11"/>
        <v>7.5183451095079826E-3</v>
      </c>
      <c r="N165">
        <f>D3363</f>
        <v>-2.9944001474593689E-2</v>
      </c>
      <c r="O165">
        <f>AVERAGEIFS(E3363:E3383,E3363:E3383,"&lt;=" &amp; N165)</f>
        <v>-3.1756773000750325E-2</v>
      </c>
      <c r="P165">
        <v>236.53628761213605</v>
      </c>
      <c r="Q165">
        <v>17.860399999999998</v>
      </c>
      <c r="R165">
        <f t="shared" si="10"/>
        <v>214.01936472039787</v>
      </c>
      <c r="S165">
        <v>7.5183451095079826E-3</v>
      </c>
      <c r="T165">
        <v>13.63</v>
      </c>
      <c r="V165" t="s">
        <v>228</v>
      </c>
      <c r="W165">
        <v>1.2488249586217339E-4</v>
      </c>
      <c r="Y165" t="s">
        <v>387</v>
      </c>
    </row>
    <row r="166" spans="1:30" x14ac:dyDescent="0.35">
      <c r="A166" t="s">
        <v>22</v>
      </c>
      <c r="E166">
        <v>7.1738100824117372E-3</v>
      </c>
      <c r="F166">
        <f t="shared" si="8"/>
        <v>-1.9101790864534736E-2</v>
      </c>
      <c r="G166">
        <f t="shared" si="9"/>
        <v>-3.0338791882857794E-2</v>
      </c>
      <c r="J166" s="2" t="s">
        <v>178</v>
      </c>
      <c r="K166">
        <f>B3384</f>
        <v>9.0744658547894791E-3</v>
      </c>
      <c r="L166">
        <f>C3384</f>
        <v>-1.1641700035366085E-3</v>
      </c>
      <c r="M166">
        <f t="shared" si="11"/>
        <v>1.0838586491981649E-2</v>
      </c>
      <c r="N166">
        <f>D3384</f>
        <v>-1.2667442176381346E-2</v>
      </c>
      <c r="O166">
        <f>AVERAGEIFS(E3384:E3404,E3384:E3404,"&lt;=" &amp; N166)</f>
        <v>-1.2669577281891319E-2</v>
      </c>
      <c r="P166">
        <v>152.65545620310249</v>
      </c>
      <c r="Q166">
        <v>17.411549999999998</v>
      </c>
      <c r="R166">
        <f t="shared" si="10"/>
        <v>236.53628761213605</v>
      </c>
      <c r="S166">
        <v>1.0838586491981649E-2</v>
      </c>
      <c r="T166">
        <v>13.57</v>
      </c>
      <c r="V166" t="s">
        <v>228</v>
      </c>
      <c r="W166">
        <v>-5.3992894240501906E-3</v>
      </c>
    </row>
    <row r="167" spans="1:30" x14ac:dyDescent="0.35">
      <c r="A167" t="s">
        <v>22</v>
      </c>
      <c r="E167">
        <v>9.2833145741526811E-3</v>
      </c>
      <c r="F167">
        <f t="shared" si="8"/>
        <v>-1.9105056575951577E-2</v>
      </c>
      <c r="G167">
        <f t="shared" si="9"/>
        <v>-3.0338791882857794E-2</v>
      </c>
      <c r="J167" s="2" t="s">
        <v>179</v>
      </c>
      <c r="K167">
        <f>B3405</f>
        <v>7.3342688044121017E-3</v>
      </c>
      <c r="L167">
        <f>C3405</f>
        <v>-1.1970831670348224E-3</v>
      </c>
      <c r="M167">
        <f t="shared" si="11"/>
        <v>9.0744658547894791E-3</v>
      </c>
      <c r="N167">
        <f>D3405</f>
        <v>-1.5867532554346812E-2</v>
      </c>
      <c r="O167">
        <f>AVERAGEIFS(E3405:E3425,E3405:E3425,"&lt;=" &amp; N167)</f>
        <v>-1.6073565902909717E-2</v>
      </c>
      <c r="P167">
        <v>243.34775610542962</v>
      </c>
      <c r="Q167">
        <v>18.48019</v>
      </c>
      <c r="R167">
        <f t="shared" si="10"/>
        <v>152.65545620310249</v>
      </c>
      <c r="S167">
        <v>9.0744658547894791E-3</v>
      </c>
      <c r="T167">
        <v>17.52</v>
      </c>
      <c r="V167" t="s">
        <v>229</v>
      </c>
      <c r="W167">
        <v>1.2823076512768903E-2</v>
      </c>
    </row>
    <row r="168" spans="1:30" ht="15" thickBot="1" x14ac:dyDescent="0.4">
      <c r="A168" t="s">
        <v>22</v>
      </c>
      <c r="E168">
        <v>-4.7583550171066899E-3</v>
      </c>
      <c r="F168">
        <f t="shared" si="8"/>
        <v>-1.9108322287368414E-2</v>
      </c>
      <c r="G168">
        <f t="shared" si="9"/>
        <v>-3.0338791882857794E-2</v>
      </c>
      <c r="J168" s="2" t="s">
        <v>180</v>
      </c>
      <c r="K168">
        <f>B3426</f>
        <v>8.7679579811230559E-3</v>
      </c>
      <c r="L168">
        <f>C3426</f>
        <v>-1.617323831161039E-3</v>
      </c>
      <c r="M168">
        <f t="shared" si="11"/>
        <v>7.3342688044121017E-3</v>
      </c>
      <c r="N168">
        <f>D3426</f>
        <v>-1.5160106940520723E-2</v>
      </c>
      <c r="O168">
        <f>AVERAGEIFS(E3426:E3447,E3426:E3447,"&lt;=" &amp; N168)</f>
        <v>-1.5308660911926087E-2</v>
      </c>
      <c r="P168">
        <v>261.82448721556221</v>
      </c>
      <c r="Q168">
        <v>20.840789999999998</v>
      </c>
      <c r="R168">
        <f t="shared" si="10"/>
        <v>243.34775610542962</v>
      </c>
      <c r="S168">
        <v>7.3342688044121017E-3</v>
      </c>
      <c r="T168">
        <v>18.14</v>
      </c>
      <c r="V168" s="6" t="s">
        <v>230</v>
      </c>
      <c r="W168" s="6">
        <v>183</v>
      </c>
    </row>
    <row r="169" spans="1:30" x14ac:dyDescent="0.35">
      <c r="A169" t="s">
        <v>23</v>
      </c>
      <c r="B169" s="3" cm="1">
        <f t="array" ref="B169">_xlfn.STDEV.S(_xlfn._xlws.FILTER($E$2:$E$1000, $A$2:$A$1000="2010-09"))</f>
        <v>1.17600960929003E-2</v>
      </c>
      <c r="C169" s="3" cm="1">
        <f t="array" ref="C169">AVERAGE(_xlfn._xlws.FILTER($E$2:$E$1000, $A$2:$A$1000="2010-09"))</f>
        <v>2.8317753448462118E-3</v>
      </c>
      <c r="D169" s="3" cm="1">
        <f t="array" ref="D169">_xlfn.PERCENTILE.EXC(_xlfn._xlws.FILTER($E$126:$E$252, $A$126:$A$252="2010-09"), 0.05)</f>
        <v>-1.2832338512792035E-2</v>
      </c>
      <c r="E169">
        <v>3.7406165465651141E-2</v>
      </c>
      <c r="F169">
        <f t="shared" si="8"/>
        <v>-1.9111587998785255E-2</v>
      </c>
      <c r="G169">
        <f t="shared" si="9"/>
        <v>-3.0338791882857794E-2</v>
      </c>
      <c r="J169" s="4" t="s">
        <v>181</v>
      </c>
      <c r="K169" s="3">
        <f>B3448</f>
        <v>6.8208281678384872E-3</v>
      </c>
      <c r="L169" s="3">
        <f>C3448</f>
        <v>2.7231394324351644E-3</v>
      </c>
      <c r="M169">
        <f t="shared" si="11"/>
        <v>8.7679579811230559E-3</v>
      </c>
      <c r="N169" s="3">
        <f>D3448</f>
        <v>-9.0989548439909078E-3</v>
      </c>
      <c r="O169" s="3">
        <f>AVERAGEIFS(E3448:E3469,E3448:E3469,"&lt;=" &amp; N169)</f>
        <v>-9.693056179889423E-3</v>
      </c>
      <c r="P169" s="3">
        <v>282.45585540805524</v>
      </c>
      <c r="Q169" s="3">
        <v>15.04454</v>
      </c>
      <c r="R169">
        <f t="shared" si="10"/>
        <v>261.82448721556221</v>
      </c>
      <c r="S169">
        <v>8.7679579811230559E-3</v>
      </c>
      <c r="T169" s="3">
        <v>12.92</v>
      </c>
    </row>
    <row r="170" spans="1:30" ht="15" thickBot="1" x14ac:dyDescent="0.4">
      <c r="A170" t="s">
        <v>23</v>
      </c>
      <c r="E170">
        <v>2.092273001235127E-3</v>
      </c>
      <c r="F170">
        <f t="shared" si="8"/>
        <v>-1.9114853710202096E-2</v>
      </c>
      <c r="G170">
        <f t="shared" si="9"/>
        <v>-3.0338791882857794E-2</v>
      </c>
      <c r="J170" s="2" t="s">
        <v>182</v>
      </c>
      <c r="K170">
        <f>B3470</f>
        <v>4.3899074379488475E-3</v>
      </c>
      <c r="L170">
        <f>C3470</f>
        <v>1.647117915764968E-3</v>
      </c>
      <c r="M170">
        <f t="shared" si="11"/>
        <v>6.8208281678384872E-3</v>
      </c>
      <c r="N170">
        <f>D3470</f>
        <v>-4.853395180486832E-3</v>
      </c>
      <c r="O170">
        <f>AVERAGEIFS(E3470:E3488,E3470:E3488,"&lt;=" &amp; N170)</f>
        <v>-4.853395180486832E-3</v>
      </c>
      <c r="P170">
        <v>321.28587054361736</v>
      </c>
      <c r="Q170">
        <v>15.01905</v>
      </c>
      <c r="R170">
        <f t="shared" si="10"/>
        <v>282.45585540805524</v>
      </c>
      <c r="S170">
        <v>6.8208281678384872E-3</v>
      </c>
      <c r="T170">
        <v>12.45</v>
      </c>
      <c r="V170" t="s">
        <v>231</v>
      </c>
    </row>
    <row r="171" spans="1:30" x14ac:dyDescent="0.35">
      <c r="A171" t="s">
        <v>23</v>
      </c>
      <c r="E171">
        <v>1.1164427409001507E-2</v>
      </c>
      <c r="F171">
        <f t="shared" si="8"/>
        <v>-1.9118119421618934E-2</v>
      </c>
      <c r="G171">
        <f t="shared" si="9"/>
        <v>-3.0338791882857794E-2</v>
      </c>
      <c r="J171" s="2" t="s">
        <v>183</v>
      </c>
      <c r="K171">
        <f>B3489</f>
        <v>8.2529764908811469E-3</v>
      </c>
      <c r="L171">
        <f>C3489</f>
        <v>6.792621801779814E-4</v>
      </c>
      <c r="M171">
        <f t="shared" si="11"/>
        <v>4.3899074379488475E-3</v>
      </c>
      <c r="N171">
        <f>D3489</f>
        <v>-1.5155402868096008E-2</v>
      </c>
      <c r="O171">
        <f>AVERAGEIFS(E3489:E3510,E3489:E3510,"&lt;=" &amp; N171)</f>
        <v>-1.5927825162246976E-2</v>
      </c>
      <c r="P171">
        <v>274.02961157927189</v>
      </c>
      <c r="Q171">
        <v>16.078399999999998</v>
      </c>
      <c r="R171">
        <f t="shared" si="10"/>
        <v>321.28587054361736</v>
      </c>
      <c r="S171">
        <v>4.3899074379488475E-3</v>
      </c>
      <c r="T171">
        <v>14.35</v>
      </c>
      <c r="V171" s="7"/>
      <c r="W171" s="7" t="s">
        <v>236</v>
      </c>
      <c r="X171" s="7" t="s">
        <v>237</v>
      </c>
      <c r="Y171" s="7" t="s">
        <v>238</v>
      </c>
      <c r="Z171" s="7" t="s">
        <v>239</v>
      </c>
      <c r="AA171" s="7" t="s">
        <v>240</v>
      </c>
    </row>
    <row r="172" spans="1:30" x14ac:dyDescent="0.35">
      <c r="A172" t="s">
        <v>23</v>
      </c>
      <c r="E172">
        <v>3.4063154374033883E-3</v>
      </c>
      <c r="F172">
        <f t="shared" si="8"/>
        <v>-1.9121385133035775E-2</v>
      </c>
      <c r="G172">
        <f t="shared" si="9"/>
        <v>-3.0338791882857794E-2</v>
      </c>
      <c r="J172" s="2" t="s">
        <v>184</v>
      </c>
      <c r="K172">
        <f>B3511</f>
        <v>5.6051455935215294E-3</v>
      </c>
      <c r="L172">
        <f>C3511</f>
        <v>1.6543469349622722E-3</v>
      </c>
      <c r="M172">
        <f t="shared" si="11"/>
        <v>8.2529764908811469E-3</v>
      </c>
      <c r="N172">
        <f>D3511</f>
        <v>-8.8708316425560735E-3</v>
      </c>
      <c r="O172">
        <f>AVERAGEIFS(E3511:E3531,E3511:E3531,"&lt;=" &amp; N172)</f>
        <v>-8.920724272590639E-3</v>
      </c>
      <c r="P172">
        <v>243.01897814370966</v>
      </c>
      <c r="Q172">
        <v>14.885859999999999</v>
      </c>
      <c r="R172">
        <f t="shared" si="10"/>
        <v>274.02961157927189</v>
      </c>
      <c r="S172">
        <v>8.2529764908811469E-3</v>
      </c>
      <c r="T172">
        <v>13.4</v>
      </c>
      <c r="V172" t="s">
        <v>232</v>
      </c>
      <c r="W172">
        <v>1</v>
      </c>
      <c r="X172">
        <v>3.7172250152844866E-6</v>
      </c>
      <c r="Y172">
        <v>3.7172250152844866E-6</v>
      </c>
      <c r="Z172">
        <v>2.2606554914053899E-2</v>
      </c>
      <c r="AA172">
        <v>0.88065215055311619</v>
      </c>
    </row>
    <row r="173" spans="1:30" x14ac:dyDescent="0.35">
      <c r="A173" t="s">
        <v>23</v>
      </c>
      <c r="E173">
        <v>-1.116741540994394E-2</v>
      </c>
      <c r="F173">
        <f t="shared" si="8"/>
        <v>-1.9124650844452612E-2</v>
      </c>
      <c r="G173">
        <f t="shared" si="9"/>
        <v>-3.0338791882857794E-2</v>
      </c>
      <c r="J173" s="2" t="s">
        <v>185</v>
      </c>
      <c r="K173">
        <f>B3532</f>
        <v>3.6558133305558457E-3</v>
      </c>
      <c r="L173">
        <f>C3532</f>
        <v>1.725677129636314E-3</v>
      </c>
      <c r="M173">
        <f t="shared" si="11"/>
        <v>5.6051455935215294E-3</v>
      </c>
      <c r="N173">
        <f>D3532</f>
        <v>-4.7732062458561032E-3</v>
      </c>
      <c r="O173">
        <f>AVERAGEIFS(E3532:E3551,E3532:E3551,"&lt;=" &amp; N173)</f>
        <v>-4.8452466866712009E-3</v>
      </c>
      <c r="P173">
        <v>187.76199681044591</v>
      </c>
      <c r="Q173">
        <v>14.443</v>
      </c>
      <c r="R173">
        <f t="shared" si="10"/>
        <v>243.01897814370966</v>
      </c>
      <c r="S173">
        <v>5.6051455935215294E-3</v>
      </c>
      <c r="T173">
        <v>13.01</v>
      </c>
      <c r="V173" t="s">
        <v>233</v>
      </c>
      <c r="W173">
        <v>181</v>
      </c>
      <c r="X173">
        <v>2.9762063716670915E-2</v>
      </c>
      <c r="Y173">
        <v>1.6443129125232549E-4</v>
      </c>
    </row>
    <row r="174" spans="1:30" ht="15" thickBot="1" x14ac:dyDescent="0.4">
      <c r="A174" t="s">
        <v>23</v>
      </c>
      <c r="E174">
        <v>9.1244749308150783E-3</v>
      </c>
      <c r="F174">
        <f t="shared" si="8"/>
        <v>-1.9127916555869453E-2</v>
      </c>
      <c r="G174">
        <f t="shared" si="9"/>
        <v>-3.0338791882857794E-2</v>
      </c>
      <c r="J174" s="2" t="s">
        <v>186</v>
      </c>
      <c r="K174">
        <f>B3552</f>
        <v>6.8878473660416613E-3</v>
      </c>
      <c r="L174">
        <f>C3552</f>
        <v>-1.2993535605024154E-3</v>
      </c>
      <c r="M174">
        <f t="shared" si="11"/>
        <v>3.6558133305558457E-3</v>
      </c>
      <c r="N174">
        <f>D3552</f>
        <v>-1.3787309741056181E-2</v>
      </c>
      <c r="O174">
        <f>AVERAGEIFS(E3552:E3572,E3552:E3572,"&lt;=" &amp; N174)</f>
        <v>-1.4082342057841793E-2</v>
      </c>
      <c r="P174">
        <v>169.77211747515921</v>
      </c>
      <c r="Q174">
        <v>16.62208</v>
      </c>
      <c r="R174">
        <f t="shared" si="10"/>
        <v>187.76199681044591</v>
      </c>
      <c r="S174">
        <v>3.6558133305558457E-3</v>
      </c>
      <c r="T174">
        <v>15.65</v>
      </c>
      <c r="V174" s="6" t="s">
        <v>234</v>
      </c>
      <c r="W174" s="6">
        <v>182</v>
      </c>
      <c r="X174" s="6">
        <v>2.97657809416862E-2</v>
      </c>
      <c r="Y174" s="6"/>
      <c r="Z174" s="6"/>
      <c r="AA174" s="6"/>
    </row>
    <row r="175" spans="1:30" ht="15" thickBot="1" x14ac:dyDescent="0.4">
      <c r="A175" t="s">
        <v>23</v>
      </c>
      <c r="E175">
        <v>1.2147145857262554E-2</v>
      </c>
      <c r="F175">
        <f t="shared" si="8"/>
        <v>-1.9131182267286294E-2</v>
      </c>
      <c r="G175">
        <f t="shared" si="9"/>
        <v>-3.0338791882857794E-2</v>
      </c>
      <c r="J175" s="2" t="s">
        <v>187</v>
      </c>
      <c r="K175">
        <f>B3573</f>
        <v>6.7836625015354011E-3</v>
      </c>
      <c r="L175">
        <f>C3573</f>
        <v>4.969395444674086E-5</v>
      </c>
      <c r="M175">
        <f t="shared" si="11"/>
        <v>6.8878473660416613E-3</v>
      </c>
      <c r="N175">
        <f>D3573</f>
        <v>-1.5027787264717825E-2</v>
      </c>
      <c r="O175">
        <f>AVERAGEIFS(E3573:E3592,E3573:E3592,"&lt;=" &amp; N175)</f>
        <v>-1.5353431716966865E-2</v>
      </c>
      <c r="P175">
        <v>304.44627414088876</v>
      </c>
      <c r="Q175">
        <v>15.33592</v>
      </c>
      <c r="R175">
        <f t="shared" si="10"/>
        <v>169.77211747515921</v>
      </c>
      <c r="S175">
        <v>6.8878473660416613E-3</v>
      </c>
      <c r="T175">
        <v>12.92</v>
      </c>
    </row>
    <row r="176" spans="1:30" x14ac:dyDescent="0.35">
      <c r="A176" t="s">
        <v>23</v>
      </c>
      <c r="E176">
        <v>9.8550351224033629E-4</v>
      </c>
      <c r="F176">
        <f t="shared" si="8"/>
        <v>-1.9134447978703131E-2</v>
      </c>
      <c r="G176">
        <f t="shared" si="9"/>
        <v>-3.0338791882857794E-2</v>
      </c>
      <c r="J176" s="2" t="s">
        <v>188</v>
      </c>
      <c r="K176">
        <f>B3593</f>
        <v>1.0961626146136777E-2</v>
      </c>
      <c r="L176">
        <f>C3593</f>
        <v>-3.3198659707540058E-3</v>
      </c>
      <c r="M176">
        <f t="shared" si="11"/>
        <v>6.7836625015354011E-3</v>
      </c>
      <c r="N176">
        <f>D3593</f>
        <v>-2.6582451089620103E-2</v>
      </c>
      <c r="O176">
        <f>AVERAGEIFS(E3593:E3612,E3593:E3612,"&lt;=" &amp; N176)</f>
        <v>-2.6922419733668875E-2</v>
      </c>
      <c r="P176">
        <v>409.27206139861443</v>
      </c>
      <c r="Q176">
        <v>19.606960000000001</v>
      </c>
      <c r="R176">
        <f t="shared" si="10"/>
        <v>304.44627414088876</v>
      </c>
      <c r="S176">
        <v>6.7836625015354011E-3</v>
      </c>
      <c r="T176">
        <v>12.44</v>
      </c>
      <c r="V176" s="7"/>
      <c r="W176" s="7" t="s">
        <v>241</v>
      </c>
      <c r="X176" s="7" t="s">
        <v>229</v>
      </c>
      <c r="Y176" s="7" t="s">
        <v>242</v>
      </c>
      <c r="Z176" s="7" t="s">
        <v>243</v>
      </c>
      <c r="AA176" s="7" t="s">
        <v>244</v>
      </c>
      <c r="AB176" s="7" t="s">
        <v>245</v>
      </c>
      <c r="AC176" s="7" t="s">
        <v>246</v>
      </c>
      <c r="AD176" s="7" t="s">
        <v>247</v>
      </c>
    </row>
    <row r="177" spans="1:30" x14ac:dyDescent="0.35">
      <c r="A177" t="s">
        <v>23</v>
      </c>
      <c r="E177">
        <v>1.1031785568403906E-2</v>
      </c>
      <c r="F177">
        <f t="shared" si="8"/>
        <v>-1.9137713690119972E-2</v>
      </c>
      <c r="G177">
        <f t="shared" si="9"/>
        <v>-3.0338791882857794E-2</v>
      </c>
      <c r="J177" s="2" t="s">
        <v>189</v>
      </c>
      <c r="K177">
        <f>B3613</f>
        <v>9.2690840895933053E-3</v>
      </c>
      <c r="L177">
        <f>C3613</f>
        <v>3.0175315381569443E-4</v>
      </c>
      <c r="M177">
        <f t="shared" si="11"/>
        <v>1.0961626146136777E-2</v>
      </c>
      <c r="N177">
        <f>D3613</f>
        <v>-1.4943415782298139E-2</v>
      </c>
      <c r="O177">
        <f>AVERAGEIFS(E3613:E3635,E3613:E3635,"&lt;=" &amp; N177)</f>
        <v>-1.5696561265320957E-2</v>
      </c>
      <c r="P177">
        <v>543.93255638476398</v>
      </c>
      <c r="Q177">
        <v>17.017040000000001</v>
      </c>
      <c r="R177">
        <f t="shared" si="10"/>
        <v>409.27206139861443</v>
      </c>
      <c r="S177">
        <v>1.0961626146136777E-2</v>
      </c>
      <c r="T177">
        <v>16.36</v>
      </c>
      <c r="V177" t="s">
        <v>235</v>
      </c>
      <c r="W177">
        <v>-2.2946673320789444E-2</v>
      </c>
      <c r="X177">
        <v>3.0087831961699012E-3</v>
      </c>
      <c r="Y177">
        <v>-7.6265625751964894</v>
      </c>
      <c r="Z177">
        <v>1.3191304863222153E-12</v>
      </c>
      <c r="AA177">
        <v>-2.8883475072642228E-2</v>
      </c>
      <c r="AB177">
        <v>-1.7009871568936661E-2</v>
      </c>
      <c r="AC177">
        <v>-2.8883475072642228E-2</v>
      </c>
      <c r="AD177">
        <v>-1.7009871568936661E-2</v>
      </c>
    </row>
    <row r="178" spans="1:30" ht="15" thickBot="1" x14ac:dyDescent="0.4">
      <c r="A178" t="s">
        <v>23</v>
      </c>
      <c r="E178">
        <v>1.9226822691428098E-3</v>
      </c>
      <c r="F178">
        <f t="shared" si="8"/>
        <v>-1.914097940153681E-2</v>
      </c>
      <c r="G178">
        <f t="shared" si="9"/>
        <v>-3.0338791882857794E-2</v>
      </c>
      <c r="J178" s="2" t="s">
        <v>190</v>
      </c>
      <c r="K178">
        <f>B3636</f>
        <v>9.8398770062456571E-3</v>
      </c>
      <c r="L178">
        <f>C3636</f>
        <v>6.5597243308655035E-4</v>
      </c>
      <c r="M178">
        <f t="shared" si="11"/>
        <v>9.2690840895933053E-3</v>
      </c>
      <c r="N178">
        <f>D3636</f>
        <v>-2.134488042356579E-2</v>
      </c>
      <c r="O178">
        <f>AVERAGEIFS(E3636:E3655,E3636:E3655,"&lt;=" &amp; N178)</f>
        <v>-2.1614134721195572E-2</v>
      </c>
      <c r="P178">
        <v>370.78547045325695</v>
      </c>
      <c r="Q178">
        <v>16.872800000000002</v>
      </c>
      <c r="R178">
        <f t="shared" si="10"/>
        <v>543.93255638476398</v>
      </c>
      <c r="S178">
        <v>9.2690840895933053E-3</v>
      </c>
      <c r="T178">
        <v>15</v>
      </c>
      <c r="V178" s="6" t="s">
        <v>248</v>
      </c>
      <c r="W178" s="6">
        <v>1.5627413871260592E-6</v>
      </c>
      <c r="X178" s="6">
        <v>1.0393693891097352E-5</v>
      </c>
      <c r="Y178" s="6">
        <v>0.15035476352296798</v>
      </c>
      <c r="Z178" s="6">
        <v>0.88065215055313262</v>
      </c>
      <c r="AA178" s="6">
        <v>-1.8945648908139319E-5</v>
      </c>
      <c r="AB178" s="6">
        <v>2.2071131682391434E-5</v>
      </c>
      <c r="AC178" s="6">
        <v>-1.8945648908139319E-5</v>
      </c>
      <c r="AD178" s="6">
        <v>2.2071131682391434E-5</v>
      </c>
    </row>
    <row r="179" spans="1:30" x14ac:dyDescent="0.35">
      <c r="A179" t="s">
        <v>23</v>
      </c>
      <c r="E179">
        <v>-4.9827195642077292E-3</v>
      </c>
      <c r="F179">
        <f t="shared" si="8"/>
        <v>-1.9144245112953651E-2</v>
      </c>
      <c r="G179">
        <f t="shared" si="9"/>
        <v>-3.0338791882857794E-2</v>
      </c>
      <c r="J179" s="2" t="s">
        <v>191</v>
      </c>
      <c r="K179">
        <f>B3656</f>
        <v>1.1215820982116664E-2</v>
      </c>
      <c r="L179">
        <f>C3656</f>
        <v>2.9943790878570835E-5</v>
      </c>
      <c r="M179">
        <f t="shared" si="11"/>
        <v>9.8398770062456571E-3</v>
      </c>
      <c r="N179">
        <f>D3656</f>
        <v>-1.9730118565861349E-2</v>
      </c>
      <c r="O179">
        <f>AVERAGEIFS(E3656:E3676,E3656:E3676,"&lt;=" &amp; N179)</f>
        <v>-2.022944958509322E-2</v>
      </c>
      <c r="P179">
        <v>436.40558079951768</v>
      </c>
      <c r="Q179">
        <v>20.138529999999999</v>
      </c>
      <c r="R179">
        <f t="shared" si="10"/>
        <v>370.78547045325695</v>
      </c>
      <c r="S179">
        <v>9.8398770062456571E-3</v>
      </c>
      <c r="T179">
        <v>16.73</v>
      </c>
    </row>
    <row r="180" spans="1:30" x14ac:dyDescent="0.35">
      <c r="A180" t="s">
        <v>23</v>
      </c>
      <c r="E180">
        <v>-5.1628931784575395E-3</v>
      </c>
      <c r="F180">
        <f t="shared" si="8"/>
        <v>-1.9147510824370492E-2</v>
      </c>
      <c r="G180">
        <f t="shared" si="9"/>
        <v>-3.0338791882857794E-2</v>
      </c>
      <c r="J180" s="2" t="s">
        <v>192</v>
      </c>
      <c r="K180">
        <f>B3677</f>
        <v>7.2085372396893986E-3</v>
      </c>
      <c r="L180">
        <f>C3677</f>
        <v>-1.6561092860652243E-3</v>
      </c>
      <c r="M180">
        <f t="shared" si="11"/>
        <v>1.1215820982116664E-2</v>
      </c>
      <c r="N180">
        <f>D3677</f>
        <v>-1.282303056523698E-2</v>
      </c>
      <c r="O180">
        <f>AVERAGEIFS(E3677:E3699,E3677:E3699,"&lt;=" &amp; N180)</f>
        <v>-1.3259250656276532E-2</v>
      </c>
      <c r="P180">
        <v>322.28924141525732</v>
      </c>
      <c r="Q180">
        <v>23.603339999999999</v>
      </c>
      <c r="R180">
        <f t="shared" si="10"/>
        <v>436.40558079951768</v>
      </c>
      <c r="S180">
        <v>1.1215820982116664E-2</v>
      </c>
      <c r="T180">
        <v>23.16</v>
      </c>
    </row>
    <row r="181" spans="1:30" x14ac:dyDescent="0.35">
      <c r="A181" t="s">
        <v>23</v>
      </c>
      <c r="E181">
        <v>-3.8292852678545874E-3</v>
      </c>
      <c r="F181">
        <f t="shared" si="8"/>
        <v>-1.9148876054668456E-2</v>
      </c>
      <c r="G181">
        <f t="shared" si="9"/>
        <v>-3.0400622164948887E-2</v>
      </c>
      <c r="J181" s="2" t="s">
        <v>193</v>
      </c>
      <c r="K181">
        <f>B3700</f>
        <v>9.3034758987202634E-3</v>
      </c>
      <c r="L181">
        <f>C3700</f>
        <v>-7.5262325027772303E-4</v>
      </c>
      <c r="M181">
        <f t="shared" si="11"/>
        <v>7.2085372396893986E-3</v>
      </c>
      <c r="N181">
        <f>D3700</f>
        <v>-2.5733731976738936E-2</v>
      </c>
      <c r="O181">
        <f>AVERAGEIFS(E3700:E3720,E3700:E3720,"&lt;=" &amp; N181)</f>
        <v>-2.7284606395605732E-2</v>
      </c>
      <c r="P181">
        <v>486.84426373762193</v>
      </c>
      <c r="Q181">
        <v>17.92407</v>
      </c>
      <c r="R181">
        <f t="shared" si="10"/>
        <v>322.28924141525732</v>
      </c>
      <c r="S181">
        <v>7.2085372396893986E-3</v>
      </c>
      <c r="T181">
        <v>13.51</v>
      </c>
    </row>
    <row r="182" spans="1:30" x14ac:dyDescent="0.35">
      <c r="A182" t="s">
        <v>23</v>
      </c>
      <c r="E182">
        <v>1.7574283575116395E-2</v>
      </c>
      <c r="F182">
        <f t="shared" si="8"/>
        <v>-1.9150241284966417E-2</v>
      </c>
      <c r="G182">
        <f t="shared" si="9"/>
        <v>-3.0400622164948887E-2</v>
      </c>
      <c r="J182" s="2" t="s">
        <v>194</v>
      </c>
      <c r="K182">
        <f>B3721</f>
        <v>6.8880759392993506E-3</v>
      </c>
      <c r="L182">
        <f>C3721</f>
        <v>5.9914419331652633E-4</v>
      </c>
      <c r="M182">
        <f t="shared" si="11"/>
        <v>9.3034758987202634E-3</v>
      </c>
      <c r="N182">
        <f>D3721</f>
        <v>-1.160008431681674E-2</v>
      </c>
      <c r="O182">
        <f>AVERAGEIFS(E3721:E3738,E3721:E3738,"&lt;=" &amp; N182)</f>
        <v>-1.2296641281544432E-2</v>
      </c>
      <c r="P182">
        <v>567.70885241349777</v>
      </c>
      <c r="Q182">
        <v>17.672920000000001</v>
      </c>
      <c r="R182">
        <f t="shared" si="10"/>
        <v>486.84426373762193</v>
      </c>
      <c r="S182">
        <v>9.3034758987202634E-3</v>
      </c>
      <c r="T182">
        <v>17.350000000000001</v>
      </c>
    </row>
    <row r="183" spans="1:30" x14ac:dyDescent="0.35">
      <c r="A183" t="s">
        <v>23</v>
      </c>
      <c r="E183">
        <v>-9.5346138771783696E-4</v>
      </c>
      <c r="F183">
        <f t="shared" si="8"/>
        <v>-1.9151606515264381E-2</v>
      </c>
      <c r="G183">
        <f t="shared" si="9"/>
        <v>-3.0400622164948887E-2</v>
      </c>
      <c r="J183" s="2" t="s">
        <v>195</v>
      </c>
      <c r="K183">
        <f>B3739</f>
        <v>8.5876389609485446E-3</v>
      </c>
      <c r="L183">
        <f>C3739</f>
        <v>3.7937796712622439E-3</v>
      </c>
      <c r="M183">
        <f t="shared" si="11"/>
        <v>6.8880759392993506E-3</v>
      </c>
      <c r="N183">
        <f>D3739</f>
        <v>-1.4111598089777232E-2</v>
      </c>
      <c r="O183">
        <f>AVERAGEIFS(E3739:E3760,E3739:E3760,"&lt;=" &amp; N183)</f>
        <v>-1.5200640460058805E-2</v>
      </c>
      <c r="P183">
        <v>563.13894380467332</v>
      </c>
      <c r="Q183">
        <v>16.003240000000002</v>
      </c>
      <c r="R183">
        <f t="shared" si="10"/>
        <v>567.70885241349777</v>
      </c>
      <c r="S183">
        <v>6.8880759392993506E-3</v>
      </c>
      <c r="T183">
        <v>16.43</v>
      </c>
      <c r="V183" t="s">
        <v>225</v>
      </c>
    </row>
    <row r="184" spans="1:30" ht="15" thickBot="1" x14ac:dyDescent="0.4">
      <c r="A184" t="s">
        <v>23</v>
      </c>
      <c r="E184">
        <v>-1.312614847211817E-2</v>
      </c>
      <c r="F184">
        <f t="shared" si="8"/>
        <v>-1.9152971745562346E-2</v>
      </c>
      <c r="G184">
        <f t="shared" si="9"/>
        <v>-3.0400622164948887E-2</v>
      </c>
      <c r="J184" s="2" t="s">
        <v>196</v>
      </c>
      <c r="K184">
        <f>B3761</f>
        <v>7.4931951722551184E-3</v>
      </c>
      <c r="L184">
        <f>C3761</f>
        <v>1.0052761141669613E-3</v>
      </c>
      <c r="M184">
        <f t="shared" si="11"/>
        <v>8.5876389609485446E-3</v>
      </c>
      <c r="N184">
        <f>D3761</f>
        <v>-1.2039032977539173E-2</v>
      </c>
      <c r="O184">
        <f>AVERAGEIFS(E3761:E3780,E3761:E3780,"&lt;=" &amp; N184)</f>
        <v>-1.2053225025490076E-2</v>
      </c>
      <c r="P184">
        <v>382.71304270809446</v>
      </c>
      <c r="Q184">
        <v>19.36608</v>
      </c>
      <c r="R184">
        <f t="shared" si="10"/>
        <v>563.13894380467332</v>
      </c>
      <c r="S184">
        <v>8.5876389609485446E-3</v>
      </c>
      <c r="T184">
        <v>19.63</v>
      </c>
    </row>
    <row r="185" spans="1:30" x14ac:dyDescent="0.35">
      <c r="A185" t="s">
        <v>23</v>
      </c>
      <c r="E185">
        <v>-6.5649217870814977E-3</v>
      </c>
      <c r="F185">
        <f t="shared" si="8"/>
        <v>-1.915433697586031E-2</v>
      </c>
      <c r="G185">
        <f t="shared" si="9"/>
        <v>-3.0400622164948887E-2</v>
      </c>
      <c r="J185" s="2" t="s">
        <v>197</v>
      </c>
      <c r="K185">
        <f>B3781</f>
        <v>1.0009677325051163E-2</v>
      </c>
      <c r="L185">
        <f>C3781</f>
        <v>-1.9222302928070174E-3</v>
      </c>
      <c r="M185">
        <f t="shared" si="11"/>
        <v>7.4931951722551184E-3</v>
      </c>
      <c r="N185">
        <f>D3781</f>
        <v>-1.8413016915298366E-2</v>
      </c>
      <c r="O185">
        <f>AVERAGEIFS(E3781:E3801,E3781:E3801,"&lt;=" &amp; N185)</f>
        <v>-1.8685114841037381E-2</v>
      </c>
      <c r="P185">
        <v>536.66051366771819</v>
      </c>
      <c r="Q185">
        <v>23.943390000000001</v>
      </c>
      <c r="R185">
        <f t="shared" si="10"/>
        <v>382.71304270809446</v>
      </c>
      <c r="S185">
        <v>7.4931951722551184E-3</v>
      </c>
      <c r="T185">
        <v>22.28</v>
      </c>
      <c r="V185" s="8" t="s">
        <v>226</v>
      </c>
      <c r="W185" s="8"/>
    </row>
    <row r="186" spans="1:30" x14ac:dyDescent="0.35">
      <c r="A186" t="s">
        <v>23</v>
      </c>
      <c r="E186">
        <v>1.9183595569180711E-2</v>
      </c>
      <c r="F186">
        <f t="shared" si="8"/>
        <v>-1.9155702206158271E-2</v>
      </c>
      <c r="G186">
        <f t="shared" si="9"/>
        <v>-3.0400622164948887E-2</v>
      </c>
      <c r="J186" s="2" t="s">
        <v>198</v>
      </c>
      <c r="K186">
        <f>B3802</f>
        <v>2.4797797836220742E-2</v>
      </c>
      <c r="L186">
        <f>C3802</f>
        <v>-1.9532917929011686E-3</v>
      </c>
      <c r="M186">
        <f t="shared" si="11"/>
        <v>1.0009677325051163E-2</v>
      </c>
      <c r="N186">
        <f>D3802</f>
        <v>-4.4660229616703899E-2</v>
      </c>
      <c r="O186">
        <f>AVERAGEIFS(E3802:E3818,E3802:E3818,"&lt;=" &amp; N186)</f>
        <v>-4.8992797774612858E-2</v>
      </c>
      <c r="P186">
        <v>619.74813667375247</v>
      </c>
      <c r="R186">
        <f t="shared" si="10"/>
        <v>536.66051366771819</v>
      </c>
      <c r="S186">
        <v>1.0009677325051163E-2</v>
      </c>
      <c r="T186">
        <v>22.28</v>
      </c>
      <c r="V186" t="s">
        <v>227</v>
      </c>
      <c r="W186">
        <v>0.59960275685534514</v>
      </c>
      <c r="Y186" t="s">
        <v>388</v>
      </c>
    </row>
    <row r="187" spans="1:30" x14ac:dyDescent="0.35">
      <c r="A187" t="s">
        <v>23</v>
      </c>
      <c r="E187">
        <v>-4.323964430006216E-3</v>
      </c>
      <c r="F187">
        <f t="shared" si="8"/>
        <v>-1.9157067436456236E-2</v>
      </c>
      <c r="G187">
        <f t="shared" si="9"/>
        <v>-3.0400622164948887E-2</v>
      </c>
      <c r="V187" t="s">
        <v>228</v>
      </c>
      <c r="W187">
        <v>0.35952346602853008</v>
      </c>
    </row>
    <row r="188" spans="1:30" x14ac:dyDescent="0.35">
      <c r="A188" t="s">
        <v>23</v>
      </c>
      <c r="E188">
        <v>-1.0121525574818243E-3</v>
      </c>
      <c r="F188">
        <f t="shared" si="8"/>
        <v>-1.91584326667542E-2</v>
      </c>
      <c r="G188">
        <f t="shared" si="9"/>
        <v>-3.0400622164948887E-2</v>
      </c>
      <c r="V188" t="s">
        <v>228</v>
      </c>
      <c r="W188">
        <v>0.34878922244241606</v>
      </c>
    </row>
    <row r="189" spans="1:30" x14ac:dyDescent="0.35">
      <c r="A189" t="s">
        <v>23</v>
      </c>
      <c r="E189">
        <v>-6.7285008636157563E-3</v>
      </c>
      <c r="F189">
        <f t="shared" si="8"/>
        <v>-1.9159797897052164E-2</v>
      </c>
      <c r="G189">
        <f t="shared" si="9"/>
        <v>-3.0400622164948887E-2</v>
      </c>
      <c r="V189" t="s">
        <v>229</v>
      </c>
      <c r="W189">
        <v>1.0320095980803183E-2</v>
      </c>
    </row>
    <row r="190" spans="1:30" ht="15" thickBot="1" x14ac:dyDescent="0.4">
      <c r="A190" t="s">
        <v>23</v>
      </c>
      <c r="E190">
        <v>-5.8881320903511995E-3</v>
      </c>
      <c r="F190">
        <f t="shared" si="8"/>
        <v>-1.9161163127350125E-2</v>
      </c>
      <c r="G190">
        <f t="shared" si="9"/>
        <v>-3.0400622164948887E-2</v>
      </c>
      <c r="V190" s="6" t="s">
        <v>230</v>
      </c>
      <c r="W190" s="6">
        <v>183</v>
      </c>
    </row>
    <row r="191" spans="1:30" x14ac:dyDescent="0.35">
      <c r="A191" t="s">
        <v>24</v>
      </c>
      <c r="B191" s="3" cm="1">
        <f t="array" ref="B191">_xlfn.STDEV.S(_xlfn._xlws.FILTER($E$2:$E$1000, $A$2:$A$1000="2010-10"))</f>
        <v>8.8912244848728395E-3</v>
      </c>
      <c r="C191" s="3" cm="1">
        <f t="array" ref="C191">AVERAGE(_xlfn._xlws.FILTER($E$2:$E$1000, $A$2:$A$1000="2010-10"))</f>
        <v>1.492909276196865E-3</v>
      </c>
      <c r="D191" s="3" cm="1">
        <f t="array" ref="D191">_xlfn.PERCENTILE.EXC(_xlfn._xlws.FILTER($E$126:$E$252, $A$126:$A$252="2010-10"), 0.05)</f>
        <v>-1.132795769592598E-2</v>
      </c>
      <c r="E191">
        <v>-6.2344358417682471E-3</v>
      </c>
      <c r="F191">
        <f t="shared" si="8"/>
        <v>-1.916252835764809E-2</v>
      </c>
      <c r="G191">
        <f t="shared" si="9"/>
        <v>-3.0400622164948887E-2</v>
      </c>
    </row>
    <row r="192" spans="1:30" ht="15" thickBot="1" x14ac:dyDescent="0.4">
      <c r="A192" t="s">
        <v>24</v>
      </c>
      <c r="E192">
        <v>-1.1517581929928283E-2</v>
      </c>
      <c r="F192">
        <f t="shared" si="8"/>
        <v>-1.9163893587946054E-2</v>
      </c>
      <c r="G192">
        <f t="shared" si="9"/>
        <v>-3.0400622164948887E-2</v>
      </c>
      <c r="V192" t="s">
        <v>231</v>
      </c>
    </row>
    <row r="193" spans="1:30" x14ac:dyDescent="0.35">
      <c r="A193" t="s">
        <v>24</v>
      </c>
      <c r="E193">
        <v>2.2250414665385521E-2</v>
      </c>
      <c r="F193">
        <f t="shared" si="8"/>
        <v>-1.9165258818244019E-2</v>
      </c>
      <c r="G193">
        <f t="shared" si="9"/>
        <v>-3.0400622164948887E-2</v>
      </c>
      <c r="V193" s="7"/>
      <c r="W193" s="7" t="s">
        <v>236</v>
      </c>
      <c r="X193" s="7" t="s">
        <v>237</v>
      </c>
      <c r="Y193" s="7" t="s">
        <v>238</v>
      </c>
      <c r="Z193" s="7" t="s">
        <v>239</v>
      </c>
      <c r="AA193" s="7" t="s">
        <v>240</v>
      </c>
    </row>
    <row r="194" spans="1:30" x14ac:dyDescent="0.35">
      <c r="A194" t="s">
        <v>24</v>
      </c>
      <c r="E194">
        <v>8.7984304733052451E-3</v>
      </c>
      <c r="F194">
        <f t="shared" si="8"/>
        <v>-1.916662404854198E-2</v>
      </c>
      <c r="G194">
        <f t="shared" si="9"/>
        <v>-3.0400622164948887E-2</v>
      </c>
      <c r="V194" t="s">
        <v>232</v>
      </c>
      <c r="W194">
        <v>3</v>
      </c>
      <c r="X194">
        <v>1.0701496733200987E-2</v>
      </c>
      <c r="Y194">
        <v>3.5671655777336623E-3</v>
      </c>
      <c r="Z194">
        <v>33.49313467169825</v>
      </c>
      <c r="AA194">
        <v>3.1210090687181981E-17</v>
      </c>
    </row>
    <row r="195" spans="1:30" x14ac:dyDescent="0.35">
      <c r="A195" t="s">
        <v>24</v>
      </c>
      <c r="E195">
        <v>1.4757055407967126E-3</v>
      </c>
      <c r="F195">
        <f t="shared" si="8"/>
        <v>-1.9167989278839944E-2</v>
      </c>
      <c r="G195">
        <f t="shared" si="9"/>
        <v>-3.0400622164948887E-2</v>
      </c>
      <c r="V195" t="s">
        <v>233</v>
      </c>
      <c r="W195">
        <v>179</v>
      </c>
      <c r="X195">
        <v>1.9064284208485213E-2</v>
      </c>
      <c r="Y195">
        <v>1.0650438105299002E-4</v>
      </c>
    </row>
    <row r="196" spans="1:30" ht="15" thickBot="1" x14ac:dyDescent="0.4">
      <c r="A196" t="s">
        <v>24</v>
      </c>
      <c r="E196">
        <v>-1.9353174823260378E-3</v>
      </c>
      <c r="F196">
        <f t="shared" ref="F196:F259" si="12">_xlfn.PERCENTILE.EXC(E196:E4011,0.05)</f>
        <v>-1.9169354509137908E-2</v>
      </c>
      <c r="G196">
        <f t="shared" ref="G196:G259" si="13">AVERAGEIFS(E196:E4012,E196:E4012,"&lt;=" &amp; F196)</f>
        <v>-3.0400622164948887E-2</v>
      </c>
      <c r="V196" s="6" t="s">
        <v>234</v>
      </c>
      <c r="W196" s="6">
        <v>182</v>
      </c>
      <c r="X196" s="6">
        <v>2.97657809416862E-2</v>
      </c>
      <c r="Y196" s="6"/>
      <c r="Z196" s="6"/>
      <c r="AA196" s="6"/>
    </row>
    <row r="197" spans="1:30" ht="15" thickBot="1" x14ac:dyDescent="0.4">
      <c r="A197" t="s">
        <v>24</v>
      </c>
      <c r="E197">
        <v>1.4100460800304034E-3</v>
      </c>
      <c r="F197">
        <f t="shared" si="12"/>
        <v>-1.9170719739435873E-2</v>
      </c>
      <c r="G197">
        <f t="shared" si="13"/>
        <v>-3.0400622164948887E-2</v>
      </c>
    </row>
    <row r="198" spans="1:30" x14ac:dyDescent="0.35">
      <c r="A198" t="s">
        <v>24</v>
      </c>
      <c r="E198">
        <v>-5.2225969572209886E-3</v>
      </c>
      <c r="F198">
        <f t="shared" si="12"/>
        <v>-1.9172084969733834E-2</v>
      </c>
      <c r="G198">
        <f t="shared" si="13"/>
        <v>-3.0400622164948887E-2</v>
      </c>
      <c r="V198" s="7"/>
      <c r="W198" s="7" t="s">
        <v>241</v>
      </c>
      <c r="X198" s="7" t="s">
        <v>229</v>
      </c>
      <c r="Y198" s="7" t="s">
        <v>242</v>
      </c>
      <c r="Z198" s="7" t="s">
        <v>243</v>
      </c>
      <c r="AA198" s="7" t="s">
        <v>244</v>
      </c>
      <c r="AB198" s="7" t="s">
        <v>245</v>
      </c>
      <c r="AC198" s="7" t="s">
        <v>246</v>
      </c>
      <c r="AD198" s="7" t="s">
        <v>247</v>
      </c>
    </row>
    <row r="199" spans="1:30" x14ac:dyDescent="0.35">
      <c r="A199" t="s">
        <v>24</v>
      </c>
      <c r="E199">
        <v>2.097949510831168E-2</v>
      </c>
      <c r="F199">
        <f t="shared" si="12"/>
        <v>-1.9173450200031798E-2</v>
      </c>
      <c r="G199">
        <f t="shared" si="13"/>
        <v>-3.0400622164948887E-2</v>
      </c>
      <c r="V199" t="s">
        <v>235</v>
      </c>
      <c r="W199">
        <v>-3.0420610138249156E-3</v>
      </c>
      <c r="X199">
        <v>3.1459668295391657E-3</v>
      </c>
      <c r="Y199">
        <v>-0.96697173830994565</v>
      </c>
      <c r="Z199">
        <v>0.33486281720750599</v>
      </c>
      <c r="AA199">
        <v>-9.2500144532395752E-3</v>
      </c>
      <c r="AB199">
        <v>3.165892425589744E-3</v>
      </c>
      <c r="AC199">
        <v>-9.2500144532395752E-3</v>
      </c>
      <c r="AD199">
        <v>3.165892425589744E-3</v>
      </c>
    </row>
    <row r="200" spans="1:30" x14ac:dyDescent="0.35">
      <c r="A200" t="s">
        <v>24</v>
      </c>
      <c r="E200">
        <v>-2.3981673498642163E-3</v>
      </c>
      <c r="F200">
        <f t="shared" si="12"/>
        <v>-1.9174815430329763E-2</v>
      </c>
      <c r="G200">
        <f t="shared" si="13"/>
        <v>-3.0400622164948887E-2</v>
      </c>
      <c r="V200" t="s">
        <v>248</v>
      </c>
      <c r="W200">
        <v>9.8353040035564252E-6</v>
      </c>
      <c r="X200">
        <v>8.4442198322988141E-6</v>
      </c>
      <c r="Y200">
        <v>1.1647380336945714</v>
      </c>
      <c r="Z200">
        <v>0.24567496008281356</v>
      </c>
      <c r="AA200">
        <v>-6.827720876070738E-6</v>
      </c>
      <c r="AB200">
        <v>2.6498328883183588E-5</v>
      </c>
      <c r="AC200">
        <v>-6.827720876070738E-6</v>
      </c>
      <c r="AD200">
        <v>2.6498328883183588E-5</v>
      </c>
    </row>
    <row r="201" spans="1:30" x14ac:dyDescent="0.35">
      <c r="A201" t="s">
        <v>24</v>
      </c>
      <c r="E201">
        <v>2.1447617205520566E-3</v>
      </c>
      <c r="F201">
        <f t="shared" si="12"/>
        <v>-1.917732598288336E-2</v>
      </c>
      <c r="G201">
        <f t="shared" si="13"/>
        <v>-3.0462987757918992E-2</v>
      </c>
      <c r="V201" t="s">
        <v>251</v>
      </c>
      <c r="W201">
        <v>-0.20604251959398959</v>
      </c>
      <c r="X201">
        <v>0.17258651666912242</v>
      </c>
      <c r="Y201">
        <v>-1.1938506180584663</v>
      </c>
      <c r="Z201">
        <v>0.2341161621032905</v>
      </c>
      <c r="AA201">
        <v>-0.54660843074494037</v>
      </c>
      <c r="AB201">
        <v>0.13452339155696122</v>
      </c>
      <c r="AC201">
        <v>-0.54660843074494037</v>
      </c>
      <c r="AD201">
        <v>0.13452339155696122</v>
      </c>
    </row>
    <row r="202" spans="1:30" ht="15" thickBot="1" x14ac:dyDescent="0.4">
      <c r="A202" t="s">
        <v>24</v>
      </c>
      <c r="E202">
        <v>1.8611649788248575E-3</v>
      </c>
      <c r="F202">
        <f t="shared" si="12"/>
        <v>-1.9179836535436957E-2</v>
      </c>
      <c r="G202">
        <f t="shared" si="13"/>
        <v>-3.0462987757918992E-2</v>
      </c>
      <c r="V202" s="6" t="s">
        <v>252</v>
      </c>
      <c r="W202" s="6">
        <v>-1.0689241246510351E-3</v>
      </c>
      <c r="X202" s="6">
        <v>1.2940886000852158E-4</v>
      </c>
      <c r="Y202" s="6">
        <v>-8.2600536360543355</v>
      </c>
      <c r="Z202" s="6">
        <v>3.1363094122633322E-14</v>
      </c>
      <c r="AA202" s="6">
        <v>-1.324287331293081E-3</v>
      </c>
      <c r="AB202" s="6">
        <v>-8.1356091800898931E-4</v>
      </c>
      <c r="AC202" s="6">
        <v>-1.324287331293081E-3</v>
      </c>
      <c r="AD202" s="6">
        <v>-8.1356091800898931E-4</v>
      </c>
    </row>
    <row r="203" spans="1:30" x14ac:dyDescent="0.35">
      <c r="A203" t="s">
        <v>24</v>
      </c>
      <c r="E203">
        <v>-7.1529172357410898E-3</v>
      </c>
      <c r="F203">
        <f t="shared" si="12"/>
        <v>-1.9182347087990555E-2</v>
      </c>
      <c r="G203">
        <f t="shared" si="13"/>
        <v>-3.0462987757918992E-2</v>
      </c>
    </row>
    <row r="204" spans="1:30" x14ac:dyDescent="0.35">
      <c r="A204" t="s">
        <v>24</v>
      </c>
      <c r="E204">
        <v>5.4955267889399981E-3</v>
      </c>
      <c r="F204">
        <f t="shared" si="12"/>
        <v>-1.9184857640544152E-2</v>
      </c>
      <c r="G204">
        <f t="shared" si="13"/>
        <v>-3.0462987757918992E-2</v>
      </c>
    </row>
    <row r="205" spans="1:30" x14ac:dyDescent="0.35">
      <c r="A205" t="s">
        <v>24</v>
      </c>
      <c r="E205">
        <v>1.300752013815683E-2</v>
      </c>
      <c r="F205">
        <f t="shared" si="12"/>
        <v>-1.9187368193097749E-2</v>
      </c>
      <c r="G205">
        <f t="shared" si="13"/>
        <v>-3.0462987757918992E-2</v>
      </c>
      <c r="V205" t="s">
        <v>225</v>
      </c>
    </row>
    <row r="206" spans="1:30" ht="15" thickBot="1" x14ac:dyDescent="0.4">
      <c r="A206" t="s">
        <v>24</v>
      </c>
      <c r="E206">
        <v>-2.5120030351814451E-3</v>
      </c>
      <c r="F206">
        <f t="shared" si="12"/>
        <v>-1.9189878745651347E-2</v>
      </c>
      <c r="G206">
        <f t="shared" si="13"/>
        <v>-3.0462987757918992E-2</v>
      </c>
    </row>
    <row r="207" spans="1:30" x14ac:dyDescent="0.35">
      <c r="A207" t="s">
        <v>24</v>
      </c>
      <c r="E207">
        <v>3.7733216273953124E-4</v>
      </c>
      <c r="F207">
        <f t="shared" si="12"/>
        <v>-1.9192389298204944E-2</v>
      </c>
      <c r="G207">
        <f t="shared" si="13"/>
        <v>-3.0462987757918992E-2</v>
      </c>
      <c r="V207" s="8" t="s">
        <v>226</v>
      </c>
      <c r="W207" s="8"/>
    </row>
    <row r="208" spans="1:30" x14ac:dyDescent="0.35">
      <c r="A208" t="s">
        <v>24</v>
      </c>
      <c r="E208">
        <v>-4.4906882188950354E-3</v>
      </c>
      <c r="F208">
        <f t="shared" si="12"/>
        <v>-1.9194899850758541E-2</v>
      </c>
      <c r="G208">
        <f t="shared" si="13"/>
        <v>-3.0462987757918992E-2</v>
      </c>
      <c r="V208" t="s">
        <v>227</v>
      </c>
      <c r="W208">
        <v>0.6773152892501223</v>
      </c>
      <c r="Y208" t="s">
        <v>389</v>
      </c>
    </row>
    <row r="209" spans="1:30" x14ac:dyDescent="0.35">
      <c r="A209" t="s">
        <v>24</v>
      </c>
      <c r="E209">
        <v>-9.6213395899052631E-3</v>
      </c>
      <c r="F209">
        <f t="shared" si="12"/>
        <v>-1.9197410403312139E-2</v>
      </c>
      <c r="G209">
        <f t="shared" si="13"/>
        <v>-3.0462987757918992E-2</v>
      </c>
      <c r="V209" t="s">
        <v>228</v>
      </c>
      <c r="W209">
        <v>0.45875600105197689</v>
      </c>
    </row>
    <row r="210" spans="1:30" x14ac:dyDescent="0.35">
      <c r="A210" t="s">
        <v>24</v>
      </c>
      <c r="E210">
        <v>4.9852337251111573E-3</v>
      </c>
      <c r="F210">
        <f t="shared" si="12"/>
        <v>-1.9199920955865736E-2</v>
      </c>
      <c r="G210">
        <f t="shared" si="13"/>
        <v>-3.0462987757918992E-2</v>
      </c>
      <c r="V210" t="s">
        <v>228</v>
      </c>
      <c r="W210">
        <v>0.44963391118206636</v>
      </c>
    </row>
    <row r="211" spans="1:30" x14ac:dyDescent="0.35">
      <c r="A211" t="s">
        <v>24</v>
      </c>
      <c r="E211">
        <v>-3.4948894118922526E-4</v>
      </c>
      <c r="F211">
        <f t="shared" si="12"/>
        <v>-1.9202431508419333E-2</v>
      </c>
      <c r="G211">
        <f t="shared" si="13"/>
        <v>-3.0462987757918992E-2</v>
      </c>
      <c r="V211" t="s">
        <v>229</v>
      </c>
      <c r="W211">
        <v>9.4002989602450793E-3</v>
      </c>
    </row>
    <row r="212" spans="1:30" ht="15" thickBot="1" x14ac:dyDescent="0.4">
      <c r="A212" t="s">
        <v>25</v>
      </c>
      <c r="B212" s="3" cm="1">
        <f t="array" ref="B212">_xlfn.STDEV.S(_xlfn._xlws.FILTER($E$2:$E$1000, $A$2:$A$1000="2010-11"))</f>
        <v>1.2833860445702993E-2</v>
      </c>
      <c r="C212" s="3" cm="1">
        <f t="array" ref="C212">AVERAGE(_xlfn._xlws.FILTER($E$2:$E$1000, $A$2:$A$1000="2010-11"))</f>
        <v>-2.724935247396457E-3</v>
      </c>
      <c r="D212" s="3" cm="1">
        <f t="array" ref="D212">_xlfn.PERCENTILE.EXC(_xlfn._xlws.FILTER($E$126:$E$252, $A$126:$A$252="2010-11"), 0.05)</f>
        <v>-2.6443264581158508E-2</v>
      </c>
      <c r="E212">
        <v>1.983163312308273E-3</v>
      </c>
      <c r="F212">
        <f t="shared" si="12"/>
        <v>-1.9204942060972931E-2</v>
      </c>
      <c r="G212">
        <f t="shared" si="13"/>
        <v>-3.0462987757918992E-2</v>
      </c>
      <c r="V212" s="6" t="s">
        <v>230</v>
      </c>
      <c r="W212" s="6">
        <v>182</v>
      </c>
    </row>
    <row r="213" spans="1:30" x14ac:dyDescent="0.35">
      <c r="A213" t="s">
        <v>25</v>
      </c>
      <c r="E213">
        <v>6.3865645537158023E-3</v>
      </c>
      <c r="F213">
        <f t="shared" si="12"/>
        <v>-1.9207452613526528E-2</v>
      </c>
      <c r="G213">
        <f t="shared" si="13"/>
        <v>-3.0462987757918992E-2</v>
      </c>
    </row>
    <row r="214" spans="1:30" ht="15" thickBot="1" x14ac:dyDescent="0.4">
      <c r="A214" t="s">
        <v>25</v>
      </c>
      <c r="E214">
        <v>-5.910253224508449E-3</v>
      </c>
      <c r="F214">
        <f t="shared" si="12"/>
        <v>-1.9209963166080125E-2</v>
      </c>
      <c r="G214">
        <f t="shared" si="13"/>
        <v>-3.0462987757918992E-2</v>
      </c>
      <c r="V214" t="s">
        <v>231</v>
      </c>
    </row>
    <row r="215" spans="1:30" x14ac:dyDescent="0.35">
      <c r="A215" t="s">
        <v>25</v>
      </c>
      <c r="E215">
        <v>1.9032189015300502E-2</v>
      </c>
      <c r="F215">
        <f t="shared" si="12"/>
        <v>-1.9212473718633723E-2</v>
      </c>
      <c r="G215">
        <f t="shared" si="13"/>
        <v>-3.0462987757918992E-2</v>
      </c>
      <c r="V215" s="7"/>
      <c r="W215" s="7" t="s">
        <v>236</v>
      </c>
      <c r="X215" s="7" t="s">
        <v>237</v>
      </c>
      <c r="Y215" s="7" t="s">
        <v>238</v>
      </c>
      <c r="Z215" s="7" t="s">
        <v>239</v>
      </c>
      <c r="AA215" s="7" t="s">
        <v>240</v>
      </c>
    </row>
    <row r="216" spans="1:30" x14ac:dyDescent="0.35">
      <c r="A216" t="s">
        <v>25</v>
      </c>
      <c r="E216">
        <v>-1.2765669540439376E-5</v>
      </c>
      <c r="F216">
        <f t="shared" si="12"/>
        <v>-1.921498427118732E-2</v>
      </c>
      <c r="G216">
        <f t="shared" si="13"/>
        <v>-3.0462987757918992E-2</v>
      </c>
      <c r="V216" t="s">
        <v>232</v>
      </c>
      <c r="W216">
        <v>3</v>
      </c>
      <c r="X216">
        <v>1.3331898486563055E-2</v>
      </c>
      <c r="Y216">
        <v>4.4439661621876849E-3</v>
      </c>
      <c r="Z216">
        <v>50.290668870211185</v>
      </c>
      <c r="AA216">
        <v>1.363228593985119E-23</v>
      </c>
    </row>
    <row r="217" spans="1:30" x14ac:dyDescent="0.35">
      <c r="A217" t="s">
        <v>25</v>
      </c>
      <c r="E217">
        <v>-7.7390389831192891E-4</v>
      </c>
      <c r="F217">
        <f t="shared" si="12"/>
        <v>-1.9217494823740917E-2</v>
      </c>
      <c r="G217">
        <f t="shared" si="13"/>
        <v>-3.0462987757918992E-2</v>
      </c>
      <c r="V217" t="s">
        <v>233</v>
      </c>
      <c r="W217">
        <v>178</v>
      </c>
      <c r="X217">
        <v>1.5729080456473279E-2</v>
      </c>
      <c r="Y217">
        <v>8.8365620541984712E-5</v>
      </c>
    </row>
    <row r="218" spans="1:30" ht="15" thickBot="1" x14ac:dyDescent="0.4">
      <c r="A218" t="s">
        <v>25</v>
      </c>
      <c r="E218">
        <v>8.1456946500246055E-3</v>
      </c>
      <c r="F218">
        <f t="shared" si="12"/>
        <v>-1.9220005376294515E-2</v>
      </c>
      <c r="G218">
        <f t="shared" si="13"/>
        <v>-3.0462987757918992E-2</v>
      </c>
      <c r="V218" s="6" t="s">
        <v>234</v>
      </c>
      <c r="W218" s="6">
        <v>181</v>
      </c>
      <c r="X218" s="6">
        <v>2.9060978943036334E-2</v>
      </c>
      <c r="Y218" s="6"/>
      <c r="Z218" s="6"/>
      <c r="AA218" s="6"/>
    </row>
    <row r="219" spans="1:30" ht="15" thickBot="1" x14ac:dyDescent="0.4">
      <c r="A219" t="s">
        <v>25</v>
      </c>
      <c r="E219">
        <v>-1.461829211430985E-2</v>
      </c>
      <c r="F219">
        <f t="shared" si="12"/>
        <v>-1.9222515928848112E-2</v>
      </c>
      <c r="G219">
        <f t="shared" si="13"/>
        <v>-3.0462987757918992E-2</v>
      </c>
    </row>
    <row r="220" spans="1:30" x14ac:dyDescent="0.35">
      <c r="A220" t="s">
        <v>25</v>
      </c>
      <c r="E220">
        <v>-5.4411026732212146E-3</v>
      </c>
      <c r="F220">
        <f t="shared" si="12"/>
        <v>-1.9225026481401709E-2</v>
      </c>
      <c r="G220">
        <f t="shared" si="13"/>
        <v>-3.0462987757918992E-2</v>
      </c>
      <c r="V220" s="7"/>
      <c r="W220" s="7" t="s">
        <v>241</v>
      </c>
      <c r="X220" s="7" t="s">
        <v>229</v>
      </c>
      <c r="Y220" s="7" t="s">
        <v>242</v>
      </c>
      <c r="Z220" s="7" t="s">
        <v>243</v>
      </c>
      <c r="AA220" s="7" t="s">
        <v>244</v>
      </c>
      <c r="AB220" s="7" t="s">
        <v>245</v>
      </c>
      <c r="AC220" s="7" t="s">
        <v>246</v>
      </c>
      <c r="AD220" s="7" t="s">
        <v>247</v>
      </c>
    </row>
    <row r="221" spans="1:30" x14ac:dyDescent="0.35">
      <c r="A221" t="s">
        <v>25</v>
      </c>
      <c r="E221">
        <v>-9.412329326073169E-3</v>
      </c>
      <c r="F221">
        <f t="shared" si="12"/>
        <v>-1.9225227292128694E-2</v>
      </c>
      <c r="G221">
        <f t="shared" si="13"/>
        <v>-3.0525769664491716E-2</v>
      </c>
      <c r="V221" t="s">
        <v>235</v>
      </c>
      <c r="W221">
        <v>4.3989674631906336E-3</v>
      </c>
      <c r="X221">
        <v>3.2322901794118513E-3</v>
      </c>
      <c r="Y221">
        <v>1.360944475595032</v>
      </c>
      <c r="Z221">
        <v>0.17525178731423258</v>
      </c>
      <c r="AA221">
        <v>-1.9795722031047498E-3</v>
      </c>
      <c r="AB221">
        <v>1.0777507129486018E-2</v>
      </c>
      <c r="AC221">
        <v>-1.9795722031047498E-3</v>
      </c>
      <c r="AD221">
        <v>1.0777507129486018E-2</v>
      </c>
    </row>
    <row r="222" spans="1:30" x14ac:dyDescent="0.35">
      <c r="A222" t="s">
        <v>25</v>
      </c>
      <c r="E222">
        <v>8.6078375804594584E-3</v>
      </c>
      <c r="F222">
        <f t="shared" si="12"/>
        <v>-1.9225428102855678E-2</v>
      </c>
      <c r="G222">
        <f t="shared" si="13"/>
        <v>-3.0525769664491716E-2</v>
      </c>
      <c r="V222" t="s">
        <v>248</v>
      </c>
      <c r="W222">
        <v>-1.0882231218644293E-3</v>
      </c>
      <c r="X222">
        <v>1.0393169556397479E-4</v>
      </c>
      <c r="Y222">
        <v>-10.470560650043252</v>
      </c>
      <c r="Z222">
        <v>2.7071901853976525E-20</v>
      </c>
      <c r="AA222">
        <v>-1.2933199436048512E-3</v>
      </c>
      <c r="AB222">
        <v>-8.8312630012400727E-4</v>
      </c>
      <c r="AC222">
        <v>-1.2933199436048512E-3</v>
      </c>
      <c r="AD222">
        <v>-8.8312630012400727E-4</v>
      </c>
    </row>
    <row r="223" spans="1:30" x14ac:dyDescent="0.35">
      <c r="A223" t="s">
        <v>25</v>
      </c>
      <c r="E223">
        <v>-2.6689369601376391E-2</v>
      </c>
      <c r="F223">
        <f t="shared" si="12"/>
        <v>-1.9225628913582662E-2</v>
      </c>
      <c r="G223">
        <f t="shared" si="13"/>
        <v>-3.0525769664491716E-2</v>
      </c>
      <c r="V223" t="s">
        <v>251</v>
      </c>
      <c r="W223">
        <v>-6.4460513007026705E-6</v>
      </c>
      <c r="X223">
        <v>8.1030705871057069E-6</v>
      </c>
      <c r="Y223">
        <v>-0.79550723783156652</v>
      </c>
      <c r="Z223">
        <v>0.42737803809357611</v>
      </c>
      <c r="AA223">
        <v>-2.2436495935859138E-5</v>
      </c>
      <c r="AB223">
        <v>9.5443933344537956E-6</v>
      </c>
      <c r="AC223">
        <v>-2.2436495935859138E-5</v>
      </c>
      <c r="AD223">
        <v>9.5443933344537956E-6</v>
      </c>
    </row>
    <row r="224" spans="1:30" ht="15" thickBot="1" x14ac:dyDescent="0.4">
      <c r="A224" t="s">
        <v>25</v>
      </c>
      <c r="E224">
        <v>7.9102230902111607E-3</v>
      </c>
      <c r="F224">
        <f t="shared" si="12"/>
        <v>-1.9184857640544152E-2</v>
      </c>
      <c r="G224">
        <f t="shared" si="13"/>
        <v>-3.0484069423598003E-2</v>
      </c>
      <c r="V224" s="6" t="s">
        <v>252</v>
      </c>
      <c r="W224" s="6">
        <v>0.27044661057010039</v>
      </c>
      <c r="X224" s="6">
        <v>0.17793966438290706</v>
      </c>
      <c r="Y224" s="6">
        <v>1.5198781649274571</v>
      </c>
      <c r="Z224" s="6">
        <v>0.13031588187270229</v>
      </c>
      <c r="AA224" s="6">
        <v>-8.0696122437919515E-2</v>
      </c>
      <c r="AB224" s="6">
        <v>0.62158934357812035</v>
      </c>
      <c r="AC224" s="6">
        <v>-8.0696122437919515E-2</v>
      </c>
      <c r="AD224" s="6">
        <v>0.62158934357812035</v>
      </c>
    </row>
    <row r="225" spans="1:7" x14ac:dyDescent="0.35">
      <c r="A225" t="s">
        <v>25</v>
      </c>
      <c r="E225">
        <v>1.9743941903254545E-2</v>
      </c>
      <c r="F225">
        <f t="shared" si="12"/>
        <v>-1.9187368193097749E-2</v>
      </c>
      <c r="G225">
        <f t="shared" si="13"/>
        <v>-3.0484069423598003E-2</v>
      </c>
    </row>
    <row r="226" spans="1:7" x14ac:dyDescent="0.35">
      <c r="A226" t="s">
        <v>25</v>
      </c>
      <c r="E226">
        <v>-2.0211882198631435E-3</v>
      </c>
      <c r="F226">
        <f t="shared" si="12"/>
        <v>-1.9189878745651347E-2</v>
      </c>
      <c r="G226">
        <f t="shared" si="13"/>
        <v>-3.0484069423598003E-2</v>
      </c>
    </row>
    <row r="227" spans="1:7" x14ac:dyDescent="0.35">
      <c r="A227" t="s">
        <v>25</v>
      </c>
      <c r="E227">
        <v>-1.0748828917989898E-2</v>
      </c>
      <c r="F227">
        <f t="shared" si="12"/>
        <v>-1.9192389298204944E-2</v>
      </c>
      <c r="G227">
        <f t="shared" si="13"/>
        <v>-3.0484069423598003E-2</v>
      </c>
    </row>
    <row r="228" spans="1:7" x14ac:dyDescent="0.35">
      <c r="A228" t="s">
        <v>25</v>
      </c>
      <c r="E228">
        <v>-2.5048669466590515E-2</v>
      </c>
      <c r="F228">
        <f t="shared" si="12"/>
        <v>-1.9194899850758541E-2</v>
      </c>
      <c r="G228">
        <f t="shared" si="13"/>
        <v>-3.0484069423598003E-2</v>
      </c>
    </row>
    <row r="229" spans="1:7" x14ac:dyDescent="0.35">
      <c r="A229" t="s">
        <v>25</v>
      </c>
      <c r="E229">
        <v>6.2071684554610967E-3</v>
      </c>
      <c r="F229">
        <f t="shared" si="12"/>
        <v>-1.9159797897052164E-2</v>
      </c>
      <c r="G229">
        <f t="shared" si="13"/>
        <v>-3.0451254596579786E-2</v>
      </c>
    </row>
    <row r="230" spans="1:7" x14ac:dyDescent="0.35">
      <c r="A230" t="s">
        <v>25</v>
      </c>
      <c r="E230">
        <v>3.4123498254821634E-3</v>
      </c>
      <c r="F230">
        <f t="shared" si="12"/>
        <v>-1.9161163127350125E-2</v>
      </c>
      <c r="G230">
        <f t="shared" si="13"/>
        <v>-3.0451254596579786E-2</v>
      </c>
    </row>
    <row r="231" spans="1:7" x14ac:dyDescent="0.35">
      <c r="A231" t="s">
        <v>25</v>
      </c>
      <c r="E231">
        <v>-8.4844154430035491E-3</v>
      </c>
      <c r="F231">
        <f t="shared" si="12"/>
        <v>-1.916252835764809E-2</v>
      </c>
      <c r="G231">
        <f t="shared" si="13"/>
        <v>-3.0451254596579786E-2</v>
      </c>
    </row>
    <row r="232" spans="1:7" x14ac:dyDescent="0.35">
      <c r="A232" t="s">
        <v>25</v>
      </c>
      <c r="E232">
        <v>-2.4898069979205122E-2</v>
      </c>
      <c r="F232">
        <f t="shared" si="12"/>
        <v>-1.9163893587946054E-2</v>
      </c>
      <c r="G232">
        <f t="shared" si="13"/>
        <v>-3.0451254596579786E-2</v>
      </c>
    </row>
    <row r="233" spans="1:7" x14ac:dyDescent="0.35">
      <c r="A233" t="s">
        <v>25</v>
      </c>
      <c r="E233">
        <v>-7.3185192949459851E-3</v>
      </c>
      <c r="F233">
        <f t="shared" si="12"/>
        <v>-1.9124650844452612E-2</v>
      </c>
      <c r="G233">
        <f t="shared" si="13"/>
        <v>-3.0419128567781829E-2</v>
      </c>
    </row>
    <row r="234" spans="1:7" x14ac:dyDescent="0.35">
      <c r="A234" t="s">
        <v>26</v>
      </c>
      <c r="B234" s="3" cm="1">
        <f t="array" ref="B234">_xlfn.STDEV.S(_xlfn._xlws.FILTER($E$2:$E$1000, $A$2:$A$1000="2010-12"))</f>
        <v>8.3745648653889542E-3</v>
      </c>
      <c r="C234" s="3" cm="1">
        <f t="array" ref="C234">AVERAGE(_xlfn._xlws.FILTER($E$2:$E$1000, $A$2:$A$1000="2010-12"))</f>
        <v>3.3916254127198311E-3</v>
      </c>
      <c r="D234" s="3" cm="1">
        <f t="array" ref="D234">_xlfn.PERCENTILE.EXC(_xlfn._xlws.FILTER($E$126:$E$252, $A$126:$A$252="2010-12"), 0.05)</f>
        <v>-1.0305707371435753E-2</v>
      </c>
      <c r="E234">
        <v>1.6168534286031166E-2</v>
      </c>
      <c r="F234">
        <f t="shared" si="12"/>
        <v>-1.9127916555869453E-2</v>
      </c>
      <c r="G234">
        <f t="shared" si="13"/>
        <v>-3.0419128567781829E-2</v>
      </c>
    </row>
    <row r="235" spans="1:7" x14ac:dyDescent="0.35">
      <c r="A235" t="s">
        <v>26</v>
      </c>
      <c r="E235">
        <v>2.0968012101281745E-2</v>
      </c>
      <c r="F235">
        <f t="shared" si="12"/>
        <v>-1.9131182267286294E-2</v>
      </c>
      <c r="G235">
        <f t="shared" si="13"/>
        <v>-3.0419128567781829E-2</v>
      </c>
    </row>
    <row r="236" spans="1:7" x14ac:dyDescent="0.35">
      <c r="A236" t="s">
        <v>26</v>
      </c>
      <c r="E236">
        <v>9.3630093307938973E-4</v>
      </c>
      <c r="F236">
        <f t="shared" si="12"/>
        <v>-1.9134447978703131E-2</v>
      </c>
      <c r="G236">
        <f t="shared" si="13"/>
        <v>-3.0419128567781829E-2</v>
      </c>
    </row>
    <row r="237" spans="1:7" x14ac:dyDescent="0.35">
      <c r="A237" t="s">
        <v>26</v>
      </c>
      <c r="E237">
        <v>-3.5201032927105426E-4</v>
      </c>
      <c r="F237">
        <f t="shared" si="12"/>
        <v>-1.9137713690119972E-2</v>
      </c>
      <c r="G237">
        <f t="shared" si="13"/>
        <v>-3.0419128567781829E-2</v>
      </c>
    </row>
    <row r="238" spans="1:7" x14ac:dyDescent="0.35">
      <c r="A238" t="s">
        <v>26</v>
      </c>
      <c r="E238">
        <v>1.6209928558823968E-2</v>
      </c>
      <c r="F238">
        <f t="shared" si="12"/>
        <v>-1.914097940153681E-2</v>
      </c>
      <c r="G238">
        <f t="shared" si="13"/>
        <v>-3.0419128567781829E-2</v>
      </c>
    </row>
    <row r="239" spans="1:7" x14ac:dyDescent="0.35">
      <c r="A239" t="s">
        <v>26</v>
      </c>
      <c r="E239">
        <v>5.6212267642782292E-3</v>
      </c>
      <c r="F239">
        <f t="shared" si="12"/>
        <v>-1.9144245112953651E-2</v>
      </c>
      <c r="G239">
        <f t="shared" si="13"/>
        <v>-3.0419128567781829E-2</v>
      </c>
    </row>
    <row r="240" spans="1:7" x14ac:dyDescent="0.35">
      <c r="A240" t="s">
        <v>26</v>
      </c>
      <c r="E240">
        <v>6.7802335941874207E-3</v>
      </c>
      <c r="F240">
        <f t="shared" si="12"/>
        <v>-1.9147510824370492E-2</v>
      </c>
      <c r="G240">
        <f t="shared" si="13"/>
        <v>-3.0419128567781829E-2</v>
      </c>
    </row>
    <row r="241" spans="1:7" x14ac:dyDescent="0.35">
      <c r="A241" t="s">
        <v>26</v>
      </c>
      <c r="E241">
        <v>-1.8145527177361971E-4</v>
      </c>
      <c r="F241">
        <f t="shared" si="12"/>
        <v>-1.9148876054668456E-2</v>
      </c>
      <c r="G241">
        <f t="shared" si="13"/>
        <v>-3.0482452262969532E-2</v>
      </c>
    </row>
    <row r="242" spans="1:7" x14ac:dyDescent="0.35">
      <c r="A242" t="s">
        <v>26</v>
      </c>
      <c r="E242">
        <v>9.0557911382994297E-3</v>
      </c>
      <c r="F242">
        <f t="shared" si="12"/>
        <v>-1.9150241284966417E-2</v>
      </c>
      <c r="G242">
        <f t="shared" si="13"/>
        <v>-3.0482452262969532E-2</v>
      </c>
    </row>
    <row r="243" spans="1:7" x14ac:dyDescent="0.35">
      <c r="A243" t="s">
        <v>26</v>
      </c>
      <c r="E243">
        <v>2.6759695827207677E-3</v>
      </c>
      <c r="F243">
        <f t="shared" si="12"/>
        <v>-1.9151606515264381E-2</v>
      </c>
      <c r="G243">
        <f t="shared" si="13"/>
        <v>-3.0482452262969532E-2</v>
      </c>
    </row>
    <row r="244" spans="1:7" x14ac:dyDescent="0.35">
      <c r="A244" t="s">
        <v>26</v>
      </c>
      <c r="E244">
        <v>-5.8280584233461582E-3</v>
      </c>
      <c r="F244">
        <f t="shared" si="12"/>
        <v>-1.9152971745562346E-2</v>
      </c>
      <c r="G244">
        <f t="shared" si="13"/>
        <v>-3.0482452262969532E-2</v>
      </c>
    </row>
    <row r="245" spans="1:7" x14ac:dyDescent="0.35">
      <c r="A245" t="s">
        <v>26</v>
      </c>
      <c r="E245">
        <v>2.1033533959545722E-3</v>
      </c>
      <c r="F245">
        <f t="shared" si="12"/>
        <v>-1.915433697586031E-2</v>
      </c>
      <c r="G245">
        <f t="shared" si="13"/>
        <v>-3.0482452262969532E-2</v>
      </c>
    </row>
    <row r="246" spans="1:7" x14ac:dyDescent="0.35">
      <c r="A246" t="s">
        <v>26</v>
      </c>
      <c r="E246">
        <v>-5.4179569360863523E-3</v>
      </c>
      <c r="F246">
        <f t="shared" si="12"/>
        <v>-1.9155702206158271E-2</v>
      </c>
      <c r="G246">
        <f t="shared" si="13"/>
        <v>-3.0482452262969532E-2</v>
      </c>
    </row>
    <row r="247" spans="1:7" x14ac:dyDescent="0.35">
      <c r="A247" t="s">
        <v>26</v>
      </c>
      <c r="E247">
        <v>4.5740576599207156E-3</v>
      </c>
      <c r="F247">
        <f t="shared" si="12"/>
        <v>-1.9157067436456236E-2</v>
      </c>
      <c r="G247">
        <f t="shared" si="13"/>
        <v>-3.0482452262969532E-2</v>
      </c>
    </row>
    <row r="248" spans="1:7" x14ac:dyDescent="0.35">
      <c r="A248" t="s">
        <v>26</v>
      </c>
      <c r="E248">
        <v>1.085696936725792E-2</v>
      </c>
      <c r="F248">
        <f t="shared" si="12"/>
        <v>-1.91584326667542E-2</v>
      </c>
      <c r="G248">
        <f t="shared" si="13"/>
        <v>-3.0482452262969532E-2</v>
      </c>
    </row>
    <row r="249" spans="1:7" x14ac:dyDescent="0.35">
      <c r="A249" t="s">
        <v>26</v>
      </c>
      <c r="E249">
        <v>-1.9828735215384375E-3</v>
      </c>
      <c r="F249">
        <f t="shared" si="12"/>
        <v>-1.9159797897052164E-2</v>
      </c>
      <c r="G249">
        <f t="shared" si="13"/>
        <v>-3.0482452262969532E-2</v>
      </c>
    </row>
    <row r="250" spans="1:7" x14ac:dyDescent="0.35">
      <c r="A250" t="s">
        <v>26</v>
      </c>
      <c r="E250">
        <v>-2.1427585413829994E-3</v>
      </c>
      <c r="F250">
        <f t="shared" si="12"/>
        <v>-1.9161163127350125E-2</v>
      </c>
      <c r="G250">
        <f t="shared" si="13"/>
        <v>-3.0482452262969532E-2</v>
      </c>
    </row>
    <row r="251" spans="1:7" x14ac:dyDescent="0.35">
      <c r="A251" t="s">
        <v>26</v>
      </c>
      <c r="E251">
        <v>-5.2986741453241899E-3</v>
      </c>
      <c r="F251">
        <f t="shared" si="12"/>
        <v>-1.916252835764809E-2</v>
      </c>
      <c r="G251">
        <f t="shared" si="13"/>
        <v>-3.0482452262969532E-2</v>
      </c>
    </row>
    <row r="252" spans="1:7" x14ac:dyDescent="0.35">
      <c r="A252" t="s">
        <v>26</v>
      </c>
      <c r="E252">
        <v>-1.0305707371435753E-2</v>
      </c>
      <c r="F252">
        <f t="shared" si="12"/>
        <v>-1.9163893587946054E-2</v>
      </c>
      <c r="G252">
        <f t="shared" si="13"/>
        <v>-3.0482452262969532E-2</v>
      </c>
    </row>
    <row r="253" spans="1:7" x14ac:dyDescent="0.35">
      <c r="A253" t="s">
        <v>27</v>
      </c>
      <c r="B253" s="3" cm="1">
        <f t="array" ref="B253">_xlfn.STDEV.S(_xlfn._xlws.FILTER($E$2:$E$1000, $A$2:$A$1000="2011-01"))</f>
        <v>1.0236787872429589E-2</v>
      </c>
      <c r="C253" s="3" cm="1">
        <f t="array" ref="C253">AVERAGE(_xlfn._xlws.FILTER($E$2:$E$1000, $A$2:$A$1000="2011-01"))</f>
        <v>1.9698942628634162E-3</v>
      </c>
      <c r="D253" s="3" cm="1">
        <f t="array" ref="D253">_xlfn.PERCENTILE.EXC(_xlfn._xlws.FILTER($E$253:$E$502, $A$253:$A$502="2011-01"), 0.05)</f>
        <v>-1.6457913987091954E-2</v>
      </c>
      <c r="E253">
        <v>1.6807854101600583E-2</v>
      </c>
      <c r="F253">
        <f t="shared" si="12"/>
        <v>-1.9165258818244019E-2</v>
      </c>
      <c r="G253">
        <f t="shared" si="13"/>
        <v>-3.0482452262969532E-2</v>
      </c>
    </row>
    <row r="254" spans="1:7" x14ac:dyDescent="0.35">
      <c r="A254" t="s">
        <v>27</v>
      </c>
      <c r="D254" s="5"/>
      <c r="E254">
        <v>-2.9204791722807952E-3</v>
      </c>
      <c r="F254">
        <f t="shared" si="12"/>
        <v>-1.916662404854198E-2</v>
      </c>
      <c r="G254">
        <f t="shared" si="13"/>
        <v>-3.0482452262969532E-2</v>
      </c>
    </row>
    <row r="255" spans="1:7" x14ac:dyDescent="0.35">
      <c r="A255" t="s">
        <v>27</v>
      </c>
      <c r="D255" s="5"/>
      <c r="E255">
        <v>-4.8661613551839062E-5</v>
      </c>
      <c r="F255">
        <f t="shared" si="12"/>
        <v>-1.9167989278839944E-2</v>
      </c>
      <c r="G255">
        <f t="shared" si="13"/>
        <v>-3.0482452262969532E-2</v>
      </c>
    </row>
    <row r="256" spans="1:7" x14ac:dyDescent="0.35">
      <c r="A256" t="s">
        <v>27</v>
      </c>
      <c r="D256" s="5"/>
      <c r="E256">
        <v>-9.9975092676742351E-3</v>
      </c>
      <c r="F256">
        <f t="shared" si="12"/>
        <v>-1.9169354509137908E-2</v>
      </c>
      <c r="G256">
        <f t="shared" si="13"/>
        <v>-3.0482452262969532E-2</v>
      </c>
    </row>
    <row r="257" spans="1:7" x14ac:dyDescent="0.35">
      <c r="A257" t="s">
        <v>27</v>
      </c>
      <c r="D257" s="5"/>
      <c r="E257">
        <v>-1.6576600844849878E-2</v>
      </c>
      <c r="F257">
        <f t="shared" si="12"/>
        <v>-1.9170719739435873E-2</v>
      </c>
      <c r="G257">
        <f t="shared" si="13"/>
        <v>-3.0482452262969532E-2</v>
      </c>
    </row>
    <row r="258" spans="1:7" x14ac:dyDescent="0.35">
      <c r="A258" t="s">
        <v>27</v>
      </c>
      <c r="D258" s="5"/>
      <c r="E258">
        <v>1.5629334517142341E-2</v>
      </c>
      <c r="F258">
        <f t="shared" si="12"/>
        <v>-1.9172084969733834E-2</v>
      </c>
      <c r="G258">
        <f t="shared" si="13"/>
        <v>-3.0482452262969532E-2</v>
      </c>
    </row>
    <row r="259" spans="1:7" x14ac:dyDescent="0.35">
      <c r="A259" t="s">
        <v>27</v>
      </c>
      <c r="D259" s="5"/>
      <c r="E259">
        <v>2.1302228983983831E-2</v>
      </c>
      <c r="F259">
        <f t="shared" si="12"/>
        <v>-1.9173450200031798E-2</v>
      </c>
      <c r="G259">
        <f t="shared" si="13"/>
        <v>-3.0482452262969532E-2</v>
      </c>
    </row>
    <row r="260" spans="1:7" x14ac:dyDescent="0.35">
      <c r="A260" t="s">
        <v>27</v>
      </c>
      <c r="D260" s="5"/>
      <c r="E260">
        <v>7.5152817760147225E-3</v>
      </c>
      <c r="F260">
        <f t="shared" ref="F260:F323" si="14">_xlfn.PERCENTILE.EXC(E260:E4075,0.05)</f>
        <v>-1.9174815430329763E-2</v>
      </c>
      <c r="G260">
        <f t="shared" ref="G260:G323" si="15">AVERAGEIFS(E260:E4076,E260:E4076,"&lt;=" &amp; F260)</f>
        <v>-3.0482452262969532E-2</v>
      </c>
    </row>
    <row r="261" spans="1:7" x14ac:dyDescent="0.35">
      <c r="A261" t="s">
        <v>27</v>
      </c>
      <c r="D261" s="5"/>
      <c r="E261">
        <v>2.1236206022850999E-3</v>
      </c>
      <c r="F261">
        <f t="shared" si="14"/>
        <v>-1.917732598288336E-2</v>
      </c>
      <c r="G261">
        <f t="shared" si="15"/>
        <v>-3.0546337216826251E-2</v>
      </c>
    </row>
    <row r="262" spans="1:7" x14ac:dyDescent="0.35">
      <c r="A262" t="s">
        <v>27</v>
      </c>
      <c r="D262" s="5"/>
      <c r="E262">
        <v>-1.9777130570968735E-3</v>
      </c>
      <c r="F262">
        <f t="shared" si="14"/>
        <v>-1.9179836535436957E-2</v>
      </c>
      <c r="G262">
        <f t="shared" si="15"/>
        <v>-3.0546337216826251E-2</v>
      </c>
    </row>
    <row r="263" spans="1:7" x14ac:dyDescent="0.35">
      <c r="A263" t="s">
        <v>27</v>
      </c>
      <c r="D263" s="5"/>
      <c r="E263">
        <v>9.3314598217078409E-3</v>
      </c>
      <c r="F263">
        <f t="shared" si="14"/>
        <v>-1.9182347087990555E-2</v>
      </c>
      <c r="G263">
        <f t="shared" si="15"/>
        <v>-3.0546337216826251E-2</v>
      </c>
    </row>
    <row r="264" spans="1:7" x14ac:dyDescent="0.35">
      <c r="A264" t="s">
        <v>27</v>
      </c>
      <c r="D264" s="5"/>
      <c r="E264">
        <v>-9.0045029821277274E-3</v>
      </c>
      <c r="F264">
        <f t="shared" si="14"/>
        <v>-1.9184857640544152E-2</v>
      </c>
      <c r="G264">
        <f t="shared" si="15"/>
        <v>-3.0546337216826251E-2</v>
      </c>
    </row>
    <row r="265" spans="1:7" x14ac:dyDescent="0.35">
      <c r="A265" t="s">
        <v>27</v>
      </c>
      <c r="D265" s="5"/>
      <c r="E265">
        <v>-2.9893430978491643E-3</v>
      </c>
      <c r="F265">
        <f t="shared" si="14"/>
        <v>-1.9187368193097749E-2</v>
      </c>
      <c r="G265">
        <f t="shared" si="15"/>
        <v>-3.0546337216826251E-2</v>
      </c>
    </row>
    <row r="266" spans="1:7" x14ac:dyDescent="0.35">
      <c r="A266" t="s">
        <v>27</v>
      </c>
      <c r="D266" s="5"/>
      <c r="E266">
        <v>1.3181871818298385E-2</v>
      </c>
      <c r="F266">
        <f t="shared" si="14"/>
        <v>-1.9189878745651347E-2</v>
      </c>
      <c r="G266">
        <f t="shared" si="15"/>
        <v>-3.0546337216826251E-2</v>
      </c>
    </row>
    <row r="267" spans="1:7" x14ac:dyDescent="0.35">
      <c r="A267" t="s">
        <v>27</v>
      </c>
      <c r="D267" s="5"/>
      <c r="E267">
        <v>3.9152119532883467E-3</v>
      </c>
      <c r="F267">
        <f t="shared" si="14"/>
        <v>-1.9192389298204944E-2</v>
      </c>
      <c r="G267">
        <f t="shared" si="15"/>
        <v>-3.0546337216826251E-2</v>
      </c>
    </row>
    <row r="268" spans="1:7" x14ac:dyDescent="0.35">
      <c r="A268" t="s">
        <v>27</v>
      </c>
      <c r="D268" s="5"/>
      <c r="E268">
        <v>-3.3752141549039474E-3</v>
      </c>
      <c r="F268">
        <f t="shared" si="14"/>
        <v>-1.9194899850758541E-2</v>
      </c>
      <c r="G268">
        <f t="shared" si="15"/>
        <v>-3.0546337216826251E-2</v>
      </c>
    </row>
    <row r="269" spans="1:7" x14ac:dyDescent="0.35">
      <c r="A269" t="s">
        <v>27</v>
      </c>
      <c r="D269" s="5"/>
      <c r="E269">
        <v>7.2998543201452121E-3</v>
      </c>
      <c r="F269">
        <f t="shared" si="14"/>
        <v>-1.9197410403312139E-2</v>
      </c>
      <c r="G269">
        <f t="shared" si="15"/>
        <v>-3.0546337216826251E-2</v>
      </c>
    </row>
    <row r="270" spans="1:7" x14ac:dyDescent="0.35">
      <c r="A270" t="s">
        <v>27</v>
      </c>
      <c r="D270" s="5"/>
      <c r="E270">
        <v>2.5898315546930401E-3</v>
      </c>
      <c r="F270">
        <f t="shared" si="14"/>
        <v>-1.9199920955865736E-2</v>
      </c>
      <c r="G270">
        <f t="shared" si="15"/>
        <v>-3.0546337216826251E-2</v>
      </c>
    </row>
    <row r="271" spans="1:7" x14ac:dyDescent="0.35">
      <c r="A271" t="s">
        <v>27</v>
      </c>
      <c r="D271" s="5"/>
      <c r="E271">
        <v>-1.4202863689691411E-2</v>
      </c>
      <c r="F271">
        <f t="shared" si="14"/>
        <v>-1.9202431508419333E-2</v>
      </c>
      <c r="G271">
        <f t="shared" si="15"/>
        <v>-3.0546337216826251E-2</v>
      </c>
    </row>
    <row r="272" spans="1:7" x14ac:dyDescent="0.35">
      <c r="A272" t="s">
        <v>27</v>
      </c>
      <c r="D272" s="5"/>
      <c r="E272">
        <v>7.9422368813479713E-4</v>
      </c>
      <c r="F272">
        <f t="shared" si="14"/>
        <v>-1.9204942060972931E-2</v>
      </c>
      <c r="G272">
        <f t="shared" si="15"/>
        <v>-3.0546337216826251E-2</v>
      </c>
    </row>
    <row r="273" spans="1:7" x14ac:dyDescent="0.35">
      <c r="A273" t="s">
        <v>28</v>
      </c>
      <c r="B273" s="3" cm="1">
        <f t="array" ref="B273">_xlfn.STDEV.S(_xlfn._xlws.FILTER($E$2:$E$1000, $A$2:$A$1000="2011-02"))</f>
        <v>8.3468872925292811E-3</v>
      </c>
      <c r="C273" s="3" cm="1">
        <f t="array" ref="C273">AVERAGE(_xlfn._xlws.FILTER($E$2:$E$1000, $A$2:$A$1000="2011-02"))</f>
        <v>1.2919883180105437E-3</v>
      </c>
      <c r="D273" s="3" cm="1">
        <f t="array" ref="D273">_xlfn.PERCENTILE.EXC(_xlfn._xlws.FILTER($E$253:$E$502, $A$253:$A$502="2011-02"), 0.05)</f>
        <v>-1.4327233562842762E-2</v>
      </c>
      <c r="E273">
        <v>1.6618110316935029E-2</v>
      </c>
      <c r="F273">
        <f t="shared" si="14"/>
        <v>-1.9207452613526528E-2</v>
      </c>
      <c r="G273">
        <f t="shared" si="15"/>
        <v>-3.0546337216826251E-2</v>
      </c>
    </row>
    <row r="274" spans="1:7" x14ac:dyDescent="0.35">
      <c r="A274" t="s">
        <v>28</v>
      </c>
      <c r="D274" s="5"/>
      <c r="E274">
        <v>-1.4964710409583744E-3</v>
      </c>
      <c r="F274">
        <f t="shared" si="14"/>
        <v>-1.9209963166080125E-2</v>
      </c>
      <c r="G274">
        <f t="shared" si="15"/>
        <v>-3.0546337216826251E-2</v>
      </c>
    </row>
    <row r="275" spans="1:7" x14ac:dyDescent="0.35">
      <c r="A275" t="s">
        <v>28</v>
      </c>
      <c r="D275" s="5"/>
      <c r="E275">
        <v>-7.3897798006065524E-3</v>
      </c>
      <c r="F275">
        <f t="shared" si="14"/>
        <v>-1.9212473718633723E-2</v>
      </c>
      <c r="G275">
        <f t="shared" si="15"/>
        <v>-3.0546337216826251E-2</v>
      </c>
    </row>
    <row r="276" spans="1:7" x14ac:dyDescent="0.35">
      <c r="A276" t="s">
        <v>28</v>
      </c>
      <c r="D276" s="5"/>
      <c r="E276">
        <v>2.6274786881725094E-3</v>
      </c>
      <c r="F276">
        <f t="shared" si="14"/>
        <v>-1.921498427118732E-2</v>
      </c>
      <c r="G276">
        <f t="shared" si="15"/>
        <v>-3.0546337216826251E-2</v>
      </c>
    </row>
    <row r="277" spans="1:7" x14ac:dyDescent="0.35">
      <c r="A277" t="s">
        <v>28</v>
      </c>
      <c r="D277" s="5"/>
      <c r="E277">
        <v>1.0712795113143605E-2</v>
      </c>
      <c r="F277">
        <f t="shared" si="14"/>
        <v>-1.9217494823740917E-2</v>
      </c>
      <c r="G277">
        <f t="shared" si="15"/>
        <v>-3.0546337216826251E-2</v>
      </c>
    </row>
    <row r="278" spans="1:7" x14ac:dyDescent="0.35">
      <c r="A278" t="s">
        <v>28</v>
      </c>
      <c r="D278" s="5"/>
      <c r="E278">
        <v>4.2614653705975005E-3</v>
      </c>
      <c r="F278">
        <f t="shared" si="14"/>
        <v>-1.9220005376294515E-2</v>
      </c>
      <c r="G278">
        <f t="shared" si="15"/>
        <v>-3.0546337216826251E-2</v>
      </c>
    </row>
    <row r="279" spans="1:7" x14ac:dyDescent="0.35">
      <c r="A279" t="s">
        <v>28</v>
      </c>
      <c r="D279" s="5"/>
      <c r="E279">
        <v>-4.2761325359481949E-3</v>
      </c>
      <c r="F279">
        <f t="shared" si="14"/>
        <v>-1.9222515928848112E-2</v>
      </c>
      <c r="G279">
        <f t="shared" si="15"/>
        <v>-3.0546337216826251E-2</v>
      </c>
    </row>
    <row r="280" spans="1:7" x14ac:dyDescent="0.35">
      <c r="A280" t="s">
        <v>28</v>
      </c>
      <c r="D280" s="5"/>
      <c r="E280">
        <v>1.0750219704532455E-3</v>
      </c>
      <c r="F280">
        <f t="shared" si="14"/>
        <v>-1.9225026481401709E-2</v>
      </c>
      <c r="G280">
        <f t="shared" si="15"/>
        <v>-3.0546337216826251E-2</v>
      </c>
    </row>
    <row r="281" spans="1:7" x14ac:dyDescent="0.35">
      <c r="A281" t="s">
        <v>28</v>
      </c>
      <c r="D281" s="5"/>
      <c r="E281">
        <v>1.5055301174096097E-3</v>
      </c>
      <c r="F281">
        <f t="shared" si="14"/>
        <v>-1.9225227292128694E-2</v>
      </c>
      <c r="G281">
        <f t="shared" si="15"/>
        <v>-3.0610662846004801E-2</v>
      </c>
    </row>
    <row r="282" spans="1:7" x14ac:dyDescent="0.35">
      <c r="A282" t="s">
        <v>28</v>
      </c>
      <c r="D282" s="5"/>
      <c r="E282">
        <v>-1.1441914023831528E-3</v>
      </c>
      <c r="F282">
        <f t="shared" si="14"/>
        <v>-1.9225428102855678E-2</v>
      </c>
      <c r="G282">
        <f t="shared" si="15"/>
        <v>-3.0610662846004801E-2</v>
      </c>
    </row>
    <row r="283" spans="1:7" x14ac:dyDescent="0.35">
      <c r="A283" t="s">
        <v>28</v>
      </c>
      <c r="D283" s="5"/>
      <c r="E283">
        <v>3.3435066775916581E-3</v>
      </c>
      <c r="F283">
        <f t="shared" si="14"/>
        <v>-1.9225628913582662E-2</v>
      </c>
      <c r="G283">
        <f t="shared" si="15"/>
        <v>-3.0610662846004801E-2</v>
      </c>
    </row>
    <row r="284" spans="1:7" x14ac:dyDescent="0.35">
      <c r="A284" t="s">
        <v>28</v>
      </c>
      <c r="D284" s="5"/>
      <c r="E284">
        <v>9.906152471454455E-3</v>
      </c>
      <c r="F284">
        <f t="shared" si="14"/>
        <v>-1.9225829724309647E-2</v>
      </c>
      <c r="G284">
        <f t="shared" si="15"/>
        <v>-3.0610662846004801E-2</v>
      </c>
    </row>
    <row r="285" spans="1:7" x14ac:dyDescent="0.35">
      <c r="A285" t="s">
        <v>28</v>
      </c>
      <c r="D285" s="5"/>
      <c r="E285">
        <v>2.5290327066481544E-4</v>
      </c>
      <c r="F285">
        <f t="shared" si="14"/>
        <v>-1.9226030535036631E-2</v>
      </c>
      <c r="G285">
        <f t="shared" si="15"/>
        <v>-3.0610662846004801E-2</v>
      </c>
    </row>
    <row r="286" spans="1:7" x14ac:dyDescent="0.35">
      <c r="A286" t="s">
        <v>28</v>
      </c>
      <c r="D286" s="5"/>
      <c r="E286">
        <v>1.1625319471133193E-3</v>
      </c>
      <c r="F286">
        <f t="shared" si="14"/>
        <v>-1.9226231345763616E-2</v>
      </c>
      <c r="G286">
        <f t="shared" si="15"/>
        <v>-3.0610662846004801E-2</v>
      </c>
    </row>
    <row r="287" spans="1:7" x14ac:dyDescent="0.35">
      <c r="A287" t="s">
        <v>28</v>
      </c>
      <c r="D287" s="5"/>
      <c r="E287">
        <v>-1.4472271054620674E-2</v>
      </c>
      <c r="F287">
        <f t="shared" si="14"/>
        <v>-1.92264321564906E-2</v>
      </c>
      <c r="G287">
        <f t="shared" si="15"/>
        <v>-3.0610662846004801E-2</v>
      </c>
    </row>
    <row r="288" spans="1:7" x14ac:dyDescent="0.35">
      <c r="A288" t="s">
        <v>28</v>
      </c>
      <c r="D288" s="5"/>
      <c r="E288">
        <v>-1.1571521219062436E-2</v>
      </c>
      <c r="F288">
        <f t="shared" si="14"/>
        <v>-1.9226632967217584E-2</v>
      </c>
      <c r="G288">
        <f t="shared" si="15"/>
        <v>-3.0610662846004801E-2</v>
      </c>
    </row>
    <row r="289" spans="1:7" x14ac:dyDescent="0.35">
      <c r="A289" t="s">
        <v>28</v>
      </c>
      <c r="D289" s="5"/>
      <c r="E289">
        <v>-9.2145519094431628E-3</v>
      </c>
      <c r="F289">
        <f t="shared" si="14"/>
        <v>-1.9226833777944569E-2</v>
      </c>
      <c r="G289">
        <f t="shared" si="15"/>
        <v>-3.0610662846004801E-2</v>
      </c>
    </row>
    <row r="290" spans="1:7" x14ac:dyDescent="0.35">
      <c r="A290" t="s">
        <v>28</v>
      </c>
      <c r="D290" s="5"/>
      <c r="E290">
        <v>-8.6753192623415659E-4</v>
      </c>
      <c r="F290">
        <f t="shared" si="14"/>
        <v>-1.9227034588671553E-2</v>
      </c>
      <c r="G290">
        <f t="shared" si="15"/>
        <v>-3.0610662846004801E-2</v>
      </c>
    </row>
    <row r="291" spans="1:7" x14ac:dyDescent="0.35">
      <c r="A291" t="s">
        <v>28</v>
      </c>
      <c r="D291" s="5"/>
      <c r="E291">
        <v>1.5034899462213763E-2</v>
      </c>
      <c r="F291">
        <f t="shared" si="14"/>
        <v>-1.9227235399398541E-2</v>
      </c>
      <c r="G291">
        <f t="shared" si="15"/>
        <v>-3.0610662846004801E-2</v>
      </c>
    </row>
    <row r="292" spans="1:7" x14ac:dyDescent="0.35">
      <c r="A292" t="s">
        <v>28</v>
      </c>
      <c r="D292" s="5"/>
      <c r="E292">
        <v>9.7718218437180676E-3</v>
      </c>
      <c r="F292">
        <f t="shared" si="14"/>
        <v>-1.9227436210125525E-2</v>
      </c>
      <c r="G292">
        <f t="shared" si="15"/>
        <v>-3.0610662846004801E-2</v>
      </c>
    </row>
    <row r="293" spans="1:7" x14ac:dyDescent="0.35">
      <c r="A293" t="s">
        <v>29</v>
      </c>
      <c r="B293" s="3" cm="1">
        <f t="array" ref="B293">_xlfn.STDEV.S(_xlfn._xlws.FILTER($E$2:$E$1000, $A$2:$A$1000="2011-03"))</f>
        <v>1.257788253327484E-2</v>
      </c>
      <c r="C293" s="3" cm="1">
        <f t="array" ref="C293">AVERAGE(_xlfn._xlws.FILTER($E$2:$E$1000, $A$2:$A$1000="2011-03"))</f>
        <v>-1.3009776972515695E-3</v>
      </c>
      <c r="D293" s="3" cm="1">
        <f t="array" ref="D293">_xlfn.PERCENTILE.EXC(_xlfn._xlws.FILTER($E$253:$E$502, $A$253:$A$502="2011-03"), 0.05)</f>
        <v>-2.4814054352751337E-2</v>
      </c>
      <c r="E293">
        <v>-1.0565674565521694E-2</v>
      </c>
      <c r="F293">
        <f t="shared" si="14"/>
        <v>-1.922763702085251E-2</v>
      </c>
      <c r="G293">
        <f t="shared" si="15"/>
        <v>-3.0610662846004801E-2</v>
      </c>
    </row>
    <row r="294" spans="1:7" x14ac:dyDescent="0.35">
      <c r="A294" t="s">
        <v>29</v>
      </c>
      <c r="E294">
        <v>-8.1047463505389897E-3</v>
      </c>
      <c r="F294">
        <f t="shared" si="14"/>
        <v>-1.9227837831579494E-2</v>
      </c>
      <c r="G294">
        <f t="shared" si="15"/>
        <v>-3.0610662846004801E-2</v>
      </c>
    </row>
    <row r="295" spans="1:7" x14ac:dyDescent="0.35">
      <c r="A295" t="s">
        <v>29</v>
      </c>
      <c r="E295">
        <v>6.5323860964248285E-3</v>
      </c>
      <c r="F295">
        <f t="shared" si="14"/>
        <v>-1.9228038642306478E-2</v>
      </c>
      <c r="G295">
        <f t="shared" si="15"/>
        <v>-3.0610662846004801E-2</v>
      </c>
    </row>
    <row r="296" spans="1:7" x14ac:dyDescent="0.35">
      <c r="A296" t="s">
        <v>29</v>
      </c>
      <c r="E296">
        <v>-1.0036008141108528E-2</v>
      </c>
      <c r="F296">
        <f t="shared" si="14"/>
        <v>-1.9228239453033463E-2</v>
      </c>
      <c r="G296">
        <f t="shared" si="15"/>
        <v>-3.0610662846004801E-2</v>
      </c>
    </row>
    <row r="297" spans="1:7" x14ac:dyDescent="0.35">
      <c r="A297" t="s">
        <v>29</v>
      </c>
      <c r="E297">
        <v>-7.4401575576260879E-3</v>
      </c>
      <c r="F297">
        <f t="shared" si="14"/>
        <v>-1.9228440263760447E-2</v>
      </c>
      <c r="G297">
        <f t="shared" si="15"/>
        <v>-3.0610662846004801E-2</v>
      </c>
    </row>
    <row r="298" spans="1:7" x14ac:dyDescent="0.35">
      <c r="A298" t="s">
        <v>29</v>
      </c>
      <c r="E298">
        <v>6.3699892648716207E-3</v>
      </c>
      <c r="F298">
        <f t="shared" si="14"/>
        <v>-1.9228641074487431E-2</v>
      </c>
      <c r="G298">
        <f t="shared" si="15"/>
        <v>-3.0610662846004801E-2</v>
      </c>
    </row>
    <row r="299" spans="1:7" x14ac:dyDescent="0.35">
      <c r="A299" t="s">
        <v>29</v>
      </c>
      <c r="E299">
        <v>-5.5183092747114488E-3</v>
      </c>
      <c r="F299">
        <f t="shared" si="14"/>
        <v>-1.9228841885214416E-2</v>
      </c>
      <c r="G299">
        <f t="shared" si="15"/>
        <v>-3.0610662846004801E-2</v>
      </c>
    </row>
    <row r="300" spans="1:7" x14ac:dyDescent="0.35">
      <c r="A300" t="s">
        <v>29</v>
      </c>
      <c r="E300">
        <v>-7.4945687448146016E-3</v>
      </c>
      <c r="F300">
        <f t="shared" si="14"/>
        <v>-1.92290426959414E-2</v>
      </c>
      <c r="G300">
        <f t="shared" si="15"/>
        <v>-3.0610662846004801E-2</v>
      </c>
    </row>
    <row r="301" spans="1:7" x14ac:dyDescent="0.35">
      <c r="A301" t="s">
        <v>29</v>
      </c>
      <c r="E301">
        <v>-8.9476021612490634E-3</v>
      </c>
      <c r="F301">
        <f t="shared" si="14"/>
        <v>-1.9229190297303536E-2</v>
      </c>
      <c r="G301">
        <f t="shared" si="15"/>
        <v>-3.0675700675433733E-2</v>
      </c>
    </row>
    <row r="302" spans="1:7" x14ac:dyDescent="0.35">
      <c r="A302" t="s">
        <v>29</v>
      </c>
      <c r="E302">
        <v>-1.2973620236554195E-2</v>
      </c>
      <c r="F302">
        <f t="shared" si="14"/>
        <v>-1.9229337898665676E-2</v>
      </c>
      <c r="G302">
        <f t="shared" si="15"/>
        <v>-3.0675700675433733E-2</v>
      </c>
    </row>
    <row r="303" spans="1:7" x14ac:dyDescent="0.35">
      <c r="A303" t="s">
        <v>29</v>
      </c>
      <c r="E303">
        <v>-2.5381019285010398E-2</v>
      </c>
      <c r="F303">
        <f t="shared" si="14"/>
        <v>-1.9229485500027812E-2</v>
      </c>
      <c r="G303">
        <f t="shared" si="15"/>
        <v>-3.0675700675433733E-2</v>
      </c>
    </row>
    <row r="304" spans="1:7" x14ac:dyDescent="0.35">
      <c r="A304" t="s">
        <v>29</v>
      </c>
      <c r="E304">
        <v>-2.2546194623715089E-2</v>
      </c>
      <c r="F304">
        <f t="shared" si="14"/>
        <v>-1.9225829724309647E-2</v>
      </c>
      <c r="G304">
        <f t="shared" si="15"/>
        <v>-3.0640546523496199E-2</v>
      </c>
    </row>
    <row r="305" spans="1:7" x14ac:dyDescent="0.35">
      <c r="A305" t="s">
        <v>29</v>
      </c>
      <c r="E305">
        <v>2.39628613070599E-2</v>
      </c>
      <c r="F305">
        <f t="shared" si="14"/>
        <v>-1.9187368193097749E-2</v>
      </c>
      <c r="G305">
        <f t="shared" si="15"/>
        <v>-3.0621568419825832E-2</v>
      </c>
    </row>
    <row r="306" spans="1:7" x14ac:dyDescent="0.35">
      <c r="A306" t="s">
        <v>29</v>
      </c>
      <c r="E306">
        <v>6.3214114929599453E-3</v>
      </c>
      <c r="F306">
        <f t="shared" si="14"/>
        <v>-1.9189878745651347E-2</v>
      </c>
      <c r="G306">
        <f t="shared" si="15"/>
        <v>-3.0621568419825832E-2</v>
      </c>
    </row>
    <row r="307" spans="1:7" x14ac:dyDescent="0.35">
      <c r="A307" t="s">
        <v>29</v>
      </c>
      <c r="E307">
        <v>2.4429998047916946E-2</v>
      </c>
      <c r="F307">
        <f t="shared" si="14"/>
        <v>-1.9192389298204944E-2</v>
      </c>
      <c r="G307">
        <f t="shared" si="15"/>
        <v>-3.0621568419825832E-2</v>
      </c>
    </row>
    <row r="308" spans="1:7" x14ac:dyDescent="0.35">
      <c r="A308" t="s">
        <v>29</v>
      </c>
      <c r="E308">
        <v>-3.0113551271947875E-3</v>
      </c>
      <c r="F308">
        <f t="shared" si="14"/>
        <v>-1.9194899850758541E-2</v>
      </c>
      <c r="G308">
        <f t="shared" si="15"/>
        <v>-3.0621568419825832E-2</v>
      </c>
    </row>
    <row r="309" spans="1:7" x14ac:dyDescent="0.35">
      <c r="A309" t="s">
        <v>29</v>
      </c>
      <c r="E309">
        <v>5.3853102825496104E-3</v>
      </c>
      <c r="F309">
        <f t="shared" si="14"/>
        <v>-1.9197410403312139E-2</v>
      </c>
      <c r="G309">
        <f t="shared" si="15"/>
        <v>-3.0621568419825832E-2</v>
      </c>
    </row>
    <row r="310" spans="1:7" x14ac:dyDescent="0.35">
      <c r="A310" t="s">
        <v>29</v>
      </c>
      <c r="E310">
        <v>1.3982977110112841E-2</v>
      </c>
      <c r="F310">
        <f t="shared" si="14"/>
        <v>-1.9199920955865736E-2</v>
      </c>
      <c r="G310">
        <f t="shared" si="15"/>
        <v>-3.0621568419825832E-2</v>
      </c>
    </row>
    <row r="311" spans="1:7" x14ac:dyDescent="0.35">
      <c r="A311" t="s">
        <v>29</v>
      </c>
      <c r="E311">
        <v>8.9155072759205688E-4</v>
      </c>
      <c r="F311">
        <f t="shared" si="14"/>
        <v>-1.9202431508419333E-2</v>
      </c>
      <c r="G311">
        <f t="shared" si="15"/>
        <v>-3.0621568419825832E-2</v>
      </c>
    </row>
    <row r="312" spans="1:7" x14ac:dyDescent="0.35">
      <c r="A312" t="s">
        <v>29</v>
      </c>
      <c r="E312">
        <v>1.1497825611621003E-3</v>
      </c>
      <c r="F312">
        <f t="shared" si="14"/>
        <v>-1.9204942060972931E-2</v>
      </c>
      <c r="G312">
        <f t="shared" si="15"/>
        <v>-3.0621568419825832E-2</v>
      </c>
    </row>
    <row r="313" spans="1:7" x14ac:dyDescent="0.35">
      <c r="A313" t="s">
        <v>29</v>
      </c>
      <c r="E313">
        <v>2.724506534811667E-3</v>
      </c>
      <c r="F313">
        <f t="shared" si="14"/>
        <v>-1.9207452613526528E-2</v>
      </c>
      <c r="G313">
        <f t="shared" si="15"/>
        <v>-3.0621568419825832E-2</v>
      </c>
    </row>
    <row r="314" spans="1:7" x14ac:dyDescent="0.35">
      <c r="A314" t="s">
        <v>29</v>
      </c>
      <c r="E314">
        <v>9.1460703655452755E-3</v>
      </c>
      <c r="F314">
        <f t="shared" si="14"/>
        <v>-1.9209963166080125E-2</v>
      </c>
      <c r="G314">
        <f t="shared" si="15"/>
        <v>-3.0621568419825832E-2</v>
      </c>
    </row>
    <row r="315" spans="1:7" x14ac:dyDescent="0.35">
      <c r="A315" t="s">
        <v>29</v>
      </c>
      <c r="E315">
        <v>-8.8000747597480264E-3</v>
      </c>
      <c r="F315">
        <f t="shared" si="14"/>
        <v>-1.9212473718633723E-2</v>
      </c>
      <c r="G315">
        <f t="shared" si="15"/>
        <v>-3.0621568419825832E-2</v>
      </c>
    </row>
    <row r="316" spans="1:7" x14ac:dyDescent="0.35">
      <c r="A316" t="s">
        <v>30</v>
      </c>
      <c r="B316" s="3" cm="1">
        <f t="array" ref="B316">_xlfn.STDEV.S(_xlfn._xlws.FILTER($E$2:$E$1000, $A$2:$A$1000="2011-04"))</f>
        <v>1.1120532177235402E-2</v>
      </c>
      <c r="C316" s="3" cm="1">
        <f t="array" ref="C316">AVERAGE(_xlfn._xlws.FILTER($E$2:$E$1000, $A$2:$A$1000="2011-04"))</f>
        <v>1.5886492264043186E-3</v>
      </c>
      <c r="D316" s="3" cm="1">
        <f t="array" ref="D316">_xlfn.PERCENTILE.INC(_xlfn._xlws.FILTER($E$253:$E$502, $A$253:$A$502="2011-04"), 0.05)</f>
        <v>-1.6732208654312124E-2</v>
      </c>
      <c r="E316">
        <v>1.630580362945637E-2</v>
      </c>
      <c r="F316">
        <f t="shared" si="14"/>
        <v>-1.921498427118732E-2</v>
      </c>
      <c r="G316">
        <f t="shared" si="15"/>
        <v>-3.0621568419825832E-2</v>
      </c>
    </row>
    <row r="317" spans="1:7" x14ac:dyDescent="0.35">
      <c r="A317" t="s">
        <v>30</v>
      </c>
      <c r="E317">
        <v>-2.9242964497210354E-3</v>
      </c>
      <c r="F317">
        <f t="shared" si="14"/>
        <v>-1.9217494823740917E-2</v>
      </c>
      <c r="G317">
        <f t="shared" si="15"/>
        <v>-3.0621568419825832E-2</v>
      </c>
    </row>
    <row r="318" spans="1:7" x14ac:dyDescent="0.35">
      <c r="A318" t="s">
        <v>30</v>
      </c>
      <c r="E318">
        <v>-2.919108554669399E-4</v>
      </c>
      <c r="F318">
        <f t="shared" si="14"/>
        <v>-1.9220005376294515E-2</v>
      </c>
      <c r="G318">
        <f t="shared" si="15"/>
        <v>-3.0621568419825832E-2</v>
      </c>
    </row>
    <row r="319" spans="1:7" x14ac:dyDescent="0.35">
      <c r="A319" t="s">
        <v>30</v>
      </c>
      <c r="E319">
        <v>1.5871645750167554E-3</v>
      </c>
      <c r="F319">
        <f t="shared" si="14"/>
        <v>-1.9222515928848112E-2</v>
      </c>
      <c r="G319">
        <f t="shared" si="15"/>
        <v>-3.0621568419825832E-2</v>
      </c>
    </row>
    <row r="320" spans="1:7" x14ac:dyDescent="0.35">
      <c r="A320" t="s">
        <v>30</v>
      </c>
      <c r="E320">
        <v>-4.9180061633715983E-3</v>
      </c>
      <c r="F320">
        <f t="shared" si="14"/>
        <v>-1.9225026481401709E-2</v>
      </c>
      <c r="G320">
        <f t="shared" si="15"/>
        <v>-3.0621568419825832E-2</v>
      </c>
    </row>
    <row r="321" spans="1:7" x14ac:dyDescent="0.35">
      <c r="A321" t="s">
        <v>30</v>
      </c>
      <c r="E321">
        <v>8.3088556072430046E-3</v>
      </c>
      <c r="F321">
        <f t="shared" si="14"/>
        <v>-1.9225227292128694E-2</v>
      </c>
      <c r="G321">
        <f t="shared" si="15"/>
        <v>-3.0687065787288043E-2</v>
      </c>
    </row>
    <row r="322" spans="1:7" x14ac:dyDescent="0.35">
      <c r="A322" t="s">
        <v>30</v>
      </c>
      <c r="E322">
        <v>-5.7304483277688702E-3</v>
      </c>
      <c r="F322">
        <f t="shared" si="14"/>
        <v>-1.9225428102855678E-2</v>
      </c>
      <c r="G322">
        <f t="shared" si="15"/>
        <v>-3.0687065787288043E-2</v>
      </c>
    </row>
    <row r="323" spans="1:7" x14ac:dyDescent="0.35">
      <c r="A323" t="s">
        <v>30</v>
      </c>
      <c r="E323">
        <v>-1.5495675170003177E-2</v>
      </c>
      <c r="F323">
        <f t="shared" si="14"/>
        <v>-1.9225628913582662E-2</v>
      </c>
      <c r="G323">
        <f t="shared" si="15"/>
        <v>-3.0687065787288043E-2</v>
      </c>
    </row>
    <row r="324" spans="1:7" x14ac:dyDescent="0.35">
      <c r="A324" t="s">
        <v>30</v>
      </c>
      <c r="E324">
        <v>7.4234666328503399E-3</v>
      </c>
      <c r="F324">
        <f t="shared" ref="F324:F387" si="16">_xlfn.PERCENTILE.EXC(E324:E4139,0.05)</f>
        <v>-1.9225829724309647E-2</v>
      </c>
      <c r="G324">
        <f t="shared" ref="G324:G387" si="17">AVERAGEIFS(E324:E4140,E324:E4140,"&lt;=" &amp; F324)</f>
        <v>-3.0687065787288043E-2</v>
      </c>
    </row>
    <row r="325" spans="1:7" x14ac:dyDescent="0.35">
      <c r="A325" t="s">
        <v>30</v>
      </c>
      <c r="E325">
        <v>-8.9863228246924616E-3</v>
      </c>
      <c r="F325">
        <f t="shared" si="16"/>
        <v>-1.9226030535036631E-2</v>
      </c>
      <c r="G325">
        <f t="shared" si="17"/>
        <v>-3.0687065787288043E-2</v>
      </c>
    </row>
    <row r="326" spans="1:7" x14ac:dyDescent="0.35">
      <c r="A326" t="s">
        <v>30</v>
      </c>
      <c r="E326">
        <v>1.0295952888608622E-3</v>
      </c>
      <c r="F326">
        <f t="shared" si="16"/>
        <v>-1.9226231345763616E-2</v>
      </c>
      <c r="G326">
        <f t="shared" si="17"/>
        <v>-3.0687065787288043E-2</v>
      </c>
    </row>
    <row r="327" spans="1:7" x14ac:dyDescent="0.35">
      <c r="A327" t="s">
        <v>30</v>
      </c>
      <c r="E327">
        <v>-2.3739231732062827E-2</v>
      </c>
      <c r="F327">
        <f t="shared" si="16"/>
        <v>-1.92264321564906E-2</v>
      </c>
      <c r="G327">
        <f t="shared" si="17"/>
        <v>-3.0687065787288043E-2</v>
      </c>
    </row>
    <row r="328" spans="1:7" x14ac:dyDescent="0.35">
      <c r="A328" t="s">
        <v>30</v>
      </c>
      <c r="E328">
        <v>7.0194464722884353E-3</v>
      </c>
      <c r="F328">
        <f t="shared" si="16"/>
        <v>-1.9194899850758541E-2</v>
      </c>
      <c r="G328">
        <f t="shared" si="17"/>
        <v>-3.0661122078950907E-2</v>
      </c>
    </row>
    <row r="329" spans="1:7" x14ac:dyDescent="0.35">
      <c r="A329" t="s">
        <v>30</v>
      </c>
      <c r="E329">
        <v>2.4274557941457789E-2</v>
      </c>
      <c r="F329">
        <f t="shared" si="16"/>
        <v>-1.9197410403312139E-2</v>
      </c>
      <c r="G329">
        <f t="shared" si="17"/>
        <v>-3.0661122078950907E-2</v>
      </c>
    </row>
    <row r="330" spans="1:7" x14ac:dyDescent="0.35">
      <c r="A330" t="s">
        <v>30</v>
      </c>
      <c r="E330">
        <v>4.300760382279111E-3</v>
      </c>
      <c r="F330">
        <f t="shared" si="16"/>
        <v>-1.9199920955865736E-2</v>
      </c>
      <c r="G330">
        <f t="shared" si="17"/>
        <v>-3.0661122078950907E-2</v>
      </c>
    </row>
    <row r="331" spans="1:7" x14ac:dyDescent="0.35">
      <c r="A331" t="s">
        <v>30</v>
      </c>
      <c r="E331">
        <v>5.8037863864796781E-3</v>
      </c>
      <c r="F331">
        <f t="shared" si="16"/>
        <v>-1.9202431508419333E-2</v>
      </c>
      <c r="G331">
        <f t="shared" si="17"/>
        <v>-3.0661122078950907E-2</v>
      </c>
    </row>
    <row r="332" spans="1:7" x14ac:dyDescent="0.35">
      <c r="A332" t="s">
        <v>30</v>
      </c>
      <c r="E332">
        <v>5.5294045362842738E-3</v>
      </c>
      <c r="F332">
        <f t="shared" si="16"/>
        <v>-1.9204942060972931E-2</v>
      </c>
      <c r="G332">
        <f t="shared" si="17"/>
        <v>-3.0661122078950907E-2</v>
      </c>
    </row>
    <row r="333" spans="1:7" x14ac:dyDescent="0.35">
      <c r="A333" t="s">
        <v>30</v>
      </c>
      <c r="E333">
        <v>9.0987361461480204E-3</v>
      </c>
      <c r="F333">
        <f t="shared" si="16"/>
        <v>-1.9207452613526528E-2</v>
      </c>
      <c r="G333">
        <f t="shared" si="17"/>
        <v>-3.0661122078950907E-2</v>
      </c>
    </row>
    <row r="334" spans="1:7" x14ac:dyDescent="0.35">
      <c r="A334" t="s">
        <v>31</v>
      </c>
      <c r="B334" s="3" cm="1">
        <f t="array" ref="B334">_xlfn.STDEV.S(_xlfn._xlws.FILTER($E$2:$E$1000, $A$2:$A$1000="2011-05"))</f>
        <v>1.0378127499091477E-2</v>
      </c>
      <c r="C334" s="3" cm="1">
        <f t="array" ref="C334">AVERAGE(_xlfn._xlws.FILTER($E$2:$E$1000, $A$2:$A$1000="2011-05"))</f>
        <v>-1.2076762162847839E-3</v>
      </c>
      <c r="D334" s="3" cm="1">
        <f t="array" ref="D334">_xlfn.PERCENTILE.EXC(_xlfn._xlws.FILTER($E$253:$E$502, $A$253:$A$502="2011-05"), 0.05)</f>
        <v>-2.0837406582410203E-2</v>
      </c>
      <c r="E334">
        <v>-1.9654372351744246E-3</v>
      </c>
      <c r="F334">
        <f t="shared" si="16"/>
        <v>-1.9209963166080125E-2</v>
      </c>
      <c r="G334">
        <f t="shared" si="17"/>
        <v>-3.0661122078950907E-2</v>
      </c>
    </row>
    <row r="335" spans="1:7" x14ac:dyDescent="0.35">
      <c r="A335" t="s">
        <v>31</v>
      </c>
      <c r="E335">
        <v>-1.3196800354032487E-2</v>
      </c>
      <c r="F335">
        <f t="shared" si="16"/>
        <v>-1.9212473718633723E-2</v>
      </c>
      <c r="G335">
        <f t="shared" si="17"/>
        <v>-3.0661122078950907E-2</v>
      </c>
    </row>
    <row r="336" spans="1:7" x14ac:dyDescent="0.35">
      <c r="A336" t="s">
        <v>31</v>
      </c>
      <c r="E336">
        <v>-9.5080239147440331E-3</v>
      </c>
      <c r="F336">
        <f t="shared" si="16"/>
        <v>-1.921498427118732E-2</v>
      </c>
      <c r="G336">
        <f t="shared" si="17"/>
        <v>-3.0661122078950907E-2</v>
      </c>
    </row>
    <row r="337" spans="1:7" x14ac:dyDescent="0.35">
      <c r="A337" t="s">
        <v>31</v>
      </c>
      <c r="E337">
        <v>1.3181585100912933E-2</v>
      </c>
      <c r="F337">
        <f t="shared" si="16"/>
        <v>-1.9217494823740917E-2</v>
      </c>
      <c r="G337">
        <f t="shared" si="17"/>
        <v>-3.0661122078950907E-2</v>
      </c>
    </row>
    <row r="338" spans="1:7" x14ac:dyDescent="0.35">
      <c r="A338" t="s">
        <v>31</v>
      </c>
      <c r="E338">
        <v>-1.2584989671011425E-2</v>
      </c>
      <c r="F338">
        <f t="shared" si="16"/>
        <v>-1.9220005376294515E-2</v>
      </c>
      <c r="G338">
        <f t="shared" si="17"/>
        <v>-3.0661122078950907E-2</v>
      </c>
    </row>
    <row r="339" spans="1:7" x14ac:dyDescent="0.35">
      <c r="A339" t="s">
        <v>31</v>
      </c>
      <c r="E339">
        <v>1.1228726239546589E-2</v>
      </c>
      <c r="F339">
        <f t="shared" si="16"/>
        <v>-1.9222515928848112E-2</v>
      </c>
      <c r="G339">
        <f t="shared" si="17"/>
        <v>-3.0661122078950907E-2</v>
      </c>
    </row>
    <row r="340" spans="1:7" x14ac:dyDescent="0.35">
      <c r="A340" t="s">
        <v>31</v>
      </c>
      <c r="E340">
        <v>1.3735131169662325E-3</v>
      </c>
      <c r="F340">
        <f t="shared" si="16"/>
        <v>-1.9225026481401709E-2</v>
      </c>
      <c r="G340">
        <f t="shared" si="17"/>
        <v>-3.0661122078950907E-2</v>
      </c>
    </row>
    <row r="341" spans="1:7" x14ac:dyDescent="0.35">
      <c r="A341" t="s">
        <v>31</v>
      </c>
      <c r="E341">
        <v>-8.6099794762579222E-3</v>
      </c>
      <c r="F341">
        <f t="shared" si="16"/>
        <v>-1.9225227292128694E-2</v>
      </c>
      <c r="G341">
        <f t="shared" si="17"/>
        <v>-3.0727226677780672E-2</v>
      </c>
    </row>
    <row r="342" spans="1:7" x14ac:dyDescent="0.35">
      <c r="A342" t="s">
        <v>31</v>
      </c>
      <c r="E342">
        <v>-1.1041838244825698E-3</v>
      </c>
      <c r="F342">
        <f t="shared" si="16"/>
        <v>-1.9225428102855678E-2</v>
      </c>
      <c r="G342">
        <f t="shared" si="17"/>
        <v>-3.0727226677780672E-2</v>
      </c>
    </row>
    <row r="343" spans="1:7" x14ac:dyDescent="0.35">
      <c r="A343" t="s">
        <v>31</v>
      </c>
      <c r="E343">
        <v>-7.2496749512551773E-3</v>
      </c>
      <c r="F343">
        <f t="shared" si="16"/>
        <v>-1.9225628913582662E-2</v>
      </c>
      <c r="G343">
        <f t="shared" si="17"/>
        <v>-3.0727226677780672E-2</v>
      </c>
    </row>
    <row r="344" spans="1:7" x14ac:dyDescent="0.35">
      <c r="A344" t="s">
        <v>31</v>
      </c>
      <c r="E344">
        <v>-1.2164458949053306E-2</v>
      </c>
      <c r="F344">
        <f t="shared" si="16"/>
        <v>-1.9225829724309647E-2</v>
      </c>
      <c r="G344">
        <f t="shared" si="17"/>
        <v>-3.0727226677780672E-2</v>
      </c>
    </row>
    <row r="345" spans="1:7" x14ac:dyDescent="0.35">
      <c r="A345" t="s">
        <v>31</v>
      </c>
      <c r="E345">
        <v>9.1975222786285747E-3</v>
      </c>
      <c r="F345">
        <f t="shared" si="16"/>
        <v>-1.9226030535036631E-2</v>
      </c>
      <c r="G345">
        <f t="shared" si="17"/>
        <v>-3.0727226677780672E-2</v>
      </c>
    </row>
    <row r="346" spans="1:7" x14ac:dyDescent="0.35">
      <c r="A346" t="s">
        <v>31</v>
      </c>
      <c r="E346">
        <v>1.2426244178352978E-2</v>
      </c>
      <c r="F346">
        <f t="shared" si="16"/>
        <v>-1.9226231345763616E-2</v>
      </c>
      <c r="G346">
        <f t="shared" si="17"/>
        <v>-3.0727226677780672E-2</v>
      </c>
    </row>
    <row r="347" spans="1:7" x14ac:dyDescent="0.35">
      <c r="A347" t="s">
        <v>31</v>
      </c>
      <c r="E347">
        <v>-9.201183815126043E-3</v>
      </c>
      <c r="F347">
        <f t="shared" si="16"/>
        <v>-1.92264321564906E-2</v>
      </c>
      <c r="G347">
        <f t="shared" si="17"/>
        <v>-3.0727226677780672E-2</v>
      </c>
    </row>
    <row r="348" spans="1:7" x14ac:dyDescent="0.35">
      <c r="A348" t="s">
        <v>31</v>
      </c>
      <c r="E348">
        <v>-2.123954375232482E-2</v>
      </c>
      <c r="F348">
        <f t="shared" si="16"/>
        <v>-1.9226632967217584E-2</v>
      </c>
      <c r="G348">
        <f t="shared" si="17"/>
        <v>-3.0727226677780672E-2</v>
      </c>
    </row>
    <row r="349" spans="1:7" x14ac:dyDescent="0.35">
      <c r="A349" t="s">
        <v>31</v>
      </c>
      <c r="E349">
        <v>2.5307214811497729E-3</v>
      </c>
      <c r="F349">
        <f t="shared" si="16"/>
        <v>-1.9197410403312139E-2</v>
      </c>
      <c r="G349">
        <f t="shared" si="17"/>
        <v>-3.0715582069278227E-2</v>
      </c>
    </row>
    <row r="350" spans="1:7" x14ac:dyDescent="0.35">
      <c r="A350" t="s">
        <v>31</v>
      </c>
      <c r="E350">
        <v>3.086976872361476E-3</v>
      </c>
      <c r="F350">
        <f t="shared" si="16"/>
        <v>-1.9199920955865736E-2</v>
      </c>
      <c r="G350">
        <f t="shared" si="17"/>
        <v>-3.0715582069278227E-2</v>
      </c>
    </row>
    <row r="351" spans="1:7" x14ac:dyDescent="0.35">
      <c r="A351" t="s">
        <v>31</v>
      </c>
      <c r="E351">
        <v>-3.0001768569894289E-3</v>
      </c>
      <c r="F351">
        <f t="shared" si="16"/>
        <v>-1.9202431508419333E-2</v>
      </c>
      <c r="G351">
        <f t="shared" si="17"/>
        <v>-3.0715582069278227E-2</v>
      </c>
    </row>
    <row r="352" spans="1:7" x14ac:dyDescent="0.35">
      <c r="A352" t="s">
        <v>31</v>
      </c>
      <c r="E352">
        <v>8.5814308676193038E-3</v>
      </c>
      <c r="F352">
        <f t="shared" si="16"/>
        <v>-1.9204942060972931E-2</v>
      </c>
      <c r="G352">
        <f t="shared" si="17"/>
        <v>-3.0715582069278227E-2</v>
      </c>
    </row>
    <row r="353" spans="1:7" x14ac:dyDescent="0.35">
      <c r="A353" t="s">
        <v>31</v>
      </c>
      <c r="E353">
        <v>1.4064208339218096E-2</v>
      </c>
      <c r="F353">
        <f t="shared" si="16"/>
        <v>-1.9207452613526528E-2</v>
      </c>
      <c r="G353">
        <f t="shared" si="17"/>
        <v>-3.0715582069278227E-2</v>
      </c>
    </row>
    <row r="354" spans="1:7" x14ac:dyDescent="0.35">
      <c r="A354" t="s">
        <v>32</v>
      </c>
      <c r="B354" s="3" cm="1">
        <f t="array" ref="B354">_xlfn.STDEV.S(_xlfn._xlws.FILTER($E$2:$E$1000, $A$2:$A$1000="2011-06"))</f>
        <v>1.2573994468249401E-2</v>
      </c>
      <c r="C354" s="3" cm="1">
        <f t="array" ref="C354">AVERAGE(_xlfn._xlws.FILTER($E$2:$E$1000, $A$2:$A$1000="2011-06"))</f>
        <v>-2.8140528075772781E-4</v>
      </c>
      <c r="D354" s="3" cm="1">
        <f t="array" ref="D354">_xlfn.PERCENTILE.EXC(_xlfn._xlws.FILTER($E$253:$E$502, $A$253:$A$502="2011-06"), 0.05)</f>
        <v>-2.14239835266338E-2</v>
      </c>
      <c r="E354">
        <v>-1.0569923101217533E-2</v>
      </c>
      <c r="F354">
        <f t="shared" si="16"/>
        <v>-1.9209963166080125E-2</v>
      </c>
      <c r="G354">
        <f t="shared" si="17"/>
        <v>-3.0715582069278227E-2</v>
      </c>
    </row>
    <row r="355" spans="1:7" x14ac:dyDescent="0.35">
      <c r="A355" t="s">
        <v>32</v>
      </c>
      <c r="E355">
        <v>-1.9082196596033701E-2</v>
      </c>
      <c r="F355">
        <f t="shared" si="16"/>
        <v>-1.9212473718633723E-2</v>
      </c>
      <c r="G355">
        <f t="shared" si="17"/>
        <v>-3.0715582069278227E-2</v>
      </c>
    </row>
    <row r="356" spans="1:7" x14ac:dyDescent="0.35">
      <c r="A356" t="s">
        <v>32</v>
      </c>
      <c r="E356">
        <v>2.0821150250968382E-4</v>
      </c>
      <c r="F356">
        <f t="shared" si="16"/>
        <v>-1.921498427118732E-2</v>
      </c>
      <c r="G356">
        <f t="shared" si="17"/>
        <v>-3.0715582069278227E-2</v>
      </c>
    </row>
    <row r="357" spans="1:7" x14ac:dyDescent="0.35">
      <c r="A357" t="s">
        <v>32</v>
      </c>
      <c r="E357">
        <v>-7.0363247612445909E-3</v>
      </c>
      <c r="F357">
        <f t="shared" si="16"/>
        <v>-1.9217494823740917E-2</v>
      </c>
      <c r="G357">
        <f t="shared" si="17"/>
        <v>-3.0715582069278227E-2</v>
      </c>
    </row>
    <row r="358" spans="1:7" x14ac:dyDescent="0.35">
      <c r="A358" t="s">
        <v>32</v>
      </c>
      <c r="E358">
        <v>2.202883253805374E-3</v>
      </c>
      <c r="F358">
        <f t="shared" si="16"/>
        <v>-1.9220005376294515E-2</v>
      </c>
      <c r="G358">
        <f t="shared" si="17"/>
        <v>-3.0715582069278227E-2</v>
      </c>
    </row>
    <row r="359" spans="1:7" x14ac:dyDescent="0.35">
      <c r="A359" t="s">
        <v>32</v>
      </c>
      <c r="E359">
        <v>-8.8043215193511094E-3</v>
      </c>
      <c r="F359">
        <f t="shared" si="16"/>
        <v>-1.9222515928848112E-2</v>
      </c>
      <c r="G359">
        <f t="shared" si="17"/>
        <v>-3.0715582069278227E-2</v>
      </c>
    </row>
    <row r="360" spans="1:7" x14ac:dyDescent="0.35">
      <c r="A360" t="s">
        <v>32</v>
      </c>
      <c r="E360">
        <v>1.0540968421821827E-2</v>
      </c>
      <c r="F360">
        <f t="shared" si="16"/>
        <v>-1.9225026481401709E-2</v>
      </c>
      <c r="G360">
        <f t="shared" si="17"/>
        <v>-3.0715582069278227E-2</v>
      </c>
    </row>
    <row r="361" spans="1:7" x14ac:dyDescent="0.35">
      <c r="A361" t="s">
        <v>32</v>
      </c>
      <c r="E361">
        <v>-1.9147510824370492E-2</v>
      </c>
      <c r="F361">
        <f t="shared" si="16"/>
        <v>-1.9225227292128694E-2</v>
      </c>
      <c r="G361">
        <f t="shared" si="17"/>
        <v>-3.0782387625021692E-2</v>
      </c>
    </row>
    <row r="362" spans="1:7" x14ac:dyDescent="0.35">
      <c r="A362" t="s">
        <v>32</v>
      </c>
      <c r="E362">
        <v>6.6205159589775061E-4</v>
      </c>
      <c r="F362">
        <f t="shared" si="16"/>
        <v>-1.9225428102855678E-2</v>
      </c>
      <c r="G362">
        <f t="shared" si="17"/>
        <v>-3.0782387625021692E-2</v>
      </c>
    </row>
    <row r="363" spans="1:7" x14ac:dyDescent="0.35">
      <c r="A363" t="s">
        <v>32</v>
      </c>
      <c r="E363">
        <v>1.4851312887674963E-2</v>
      </c>
      <c r="F363">
        <f t="shared" si="16"/>
        <v>-1.9225628913582662E-2</v>
      </c>
      <c r="G363">
        <f t="shared" si="17"/>
        <v>-3.0782387625021692E-2</v>
      </c>
    </row>
    <row r="364" spans="1:7" x14ac:dyDescent="0.35">
      <c r="A364" t="s">
        <v>32</v>
      </c>
      <c r="E364">
        <v>-1.5050933084648679E-2</v>
      </c>
      <c r="F364">
        <f t="shared" si="16"/>
        <v>-1.9225829724309647E-2</v>
      </c>
      <c r="G364">
        <f t="shared" si="17"/>
        <v>-3.0782387625021692E-2</v>
      </c>
    </row>
    <row r="365" spans="1:7" x14ac:dyDescent="0.35">
      <c r="A365" t="s">
        <v>32</v>
      </c>
      <c r="E365">
        <v>-3.826743414693236E-3</v>
      </c>
      <c r="F365">
        <f t="shared" si="16"/>
        <v>-1.9226030535036631E-2</v>
      </c>
      <c r="G365">
        <f t="shared" si="17"/>
        <v>-3.0782387625021692E-2</v>
      </c>
    </row>
    <row r="366" spans="1:7" x14ac:dyDescent="0.35">
      <c r="A366" t="s">
        <v>32</v>
      </c>
      <c r="E366">
        <v>8.2536691396274849E-3</v>
      </c>
      <c r="F366">
        <f t="shared" si="16"/>
        <v>-1.9226231345763616E-2</v>
      </c>
      <c r="G366">
        <f t="shared" si="17"/>
        <v>-3.0782387625021692E-2</v>
      </c>
    </row>
    <row r="367" spans="1:7" x14ac:dyDescent="0.35">
      <c r="A367" t="s">
        <v>32</v>
      </c>
      <c r="E367">
        <v>-6.317412200699187E-3</v>
      </c>
      <c r="F367">
        <f t="shared" si="16"/>
        <v>-1.92264321564906E-2</v>
      </c>
      <c r="G367">
        <f t="shared" si="17"/>
        <v>-3.0782387625021692E-2</v>
      </c>
    </row>
    <row r="368" spans="1:7" x14ac:dyDescent="0.35">
      <c r="A368" t="s">
        <v>32</v>
      </c>
      <c r="E368">
        <v>2.0168124677995957E-2</v>
      </c>
      <c r="F368">
        <f t="shared" si="16"/>
        <v>-1.9226632967217584E-2</v>
      </c>
      <c r="G368">
        <f t="shared" si="17"/>
        <v>-3.0782387625021692E-2</v>
      </c>
    </row>
    <row r="369" spans="1:7" x14ac:dyDescent="0.35">
      <c r="A369" t="s">
        <v>32</v>
      </c>
      <c r="E369">
        <v>-1.4712641585128922E-3</v>
      </c>
      <c r="F369">
        <f t="shared" si="16"/>
        <v>-1.9226833777944569E-2</v>
      </c>
      <c r="G369">
        <f t="shared" si="17"/>
        <v>-3.0782387625021692E-2</v>
      </c>
    </row>
    <row r="370" spans="1:7" x14ac:dyDescent="0.35">
      <c r="A370" t="s">
        <v>32</v>
      </c>
      <c r="E370">
        <v>-2.1825714003503794E-2</v>
      </c>
      <c r="F370">
        <f t="shared" si="16"/>
        <v>-1.9227034588671553E-2</v>
      </c>
      <c r="G370">
        <f t="shared" si="17"/>
        <v>-3.0782387625021692E-2</v>
      </c>
    </row>
    <row r="371" spans="1:7" x14ac:dyDescent="0.35">
      <c r="A371" t="s">
        <v>32</v>
      </c>
      <c r="E371">
        <v>-7.8969022629848484E-4</v>
      </c>
      <c r="F371">
        <f t="shared" si="16"/>
        <v>-1.9202431508419333E-2</v>
      </c>
      <c r="G371">
        <f t="shared" si="17"/>
        <v>-3.0767267348730403E-2</v>
      </c>
    </row>
    <row r="372" spans="1:7" x14ac:dyDescent="0.35">
      <c r="A372" t="s">
        <v>32</v>
      </c>
      <c r="E372">
        <v>3.0997142746492013E-3</v>
      </c>
      <c r="F372">
        <f t="shared" si="16"/>
        <v>-1.9204942060972931E-2</v>
      </c>
      <c r="G372">
        <f t="shared" si="17"/>
        <v>-3.0767267348730403E-2</v>
      </c>
    </row>
    <row r="373" spans="1:7" x14ac:dyDescent="0.35">
      <c r="A373" t="s">
        <v>32</v>
      </c>
      <c r="E373">
        <v>1.4471177324704104E-2</v>
      </c>
      <c r="F373">
        <f t="shared" si="16"/>
        <v>-1.9207452613526528E-2</v>
      </c>
      <c r="G373">
        <f t="shared" si="17"/>
        <v>-3.0767267348730403E-2</v>
      </c>
    </row>
    <row r="374" spans="1:7" x14ac:dyDescent="0.35">
      <c r="A374" t="s">
        <v>32</v>
      </c>
      <c r="E374">
        <v>1.8606216710779781E-2</v>
      </c>
      <c r="F374">
        <f t="shared" si="16"/>
        <v>-1.9209963166080125E-2</v>
      </c>
      <c r="G374">
        <f t="shared" si="17"/>
        <v>-3.0767267348730403E-2</v>
      </c>
    </row>
    <row r="375" spans="1:7" x14ac:dyDescent="0.35">
      <c r="A375" t="s">
        <v>32</v>
      </c>
      <c r="E375">
        <v>1.466678792443755E-2</v>
      </c>
      <c r="F375">
        <f t="shared" si="16"/>
        <v>-1.9212473718633723E-2</v>
      </c>
      <c r="G375">
        <f t="shared" si="17"/>
        <v>-3.0767267348730403E-2</v>
      </c>
    </row>
    <row r="376" spans="1:7" x14ac:dyDescent="0.35">
      <c r="A376" t="s">
        <v>33</v>
      </c>
      <c r="B376" s="3" cm="1">
        <f t="array" ref="B376">_xlfn.STDEV.S(_xlfn._xlws.FILTER($E$2:$E$1000, $A$2:$A$1000="2011-07"))</f>
        <v>1.1662950581458137E-2</v>
      </c>
      <c r="C376" s="3" cm="1">
        <f t="array" ref="C376">AVERAGE(_xlfn._xlws.FILTER($E$2:$E$1000, $A$2:$A$1000="2011-07"))</f>
        <v>-3.8712650699232764E-3</v>
      </c>
      <c r="D376" s="3" cm="1">
        <f t="array" ref="D376">_xlfn.PERCENTILE.EXC(_xlfn._xlws.FILTER($E$253:$E$502, $A$253:$A$502="2011-07"), 0.05)</f>
        <v>-2.6779706177487126E-2</v>
      </c>
      <c r="E376">
        <v>6.293233412596886E-3</v>
      </c>
      <c r="F376">
        <f t="shared" si="16"/>
        <v>-1.921498427118732E-2</v>
      </c>
      <c r="G376">
        <f t="shared" si="17"/>
        <v>-3.0767267348730403E-2</v>
      </c>
    </row>
    <row r="377" spans="1:7" x14ac:dyDescent="0.35">
      <c r="A377" t="s">
        <v>33</v>
      </c>
      <c r="E377">
        <v>-1.0586159586263605E-3</v>
      </c>
      <c r="F377">
        <f t="shared" si="16"/>
        <v>-1.9217494823740917E-2</v>
      </c>
      <c r="G377">
        <f t="shared" si="17"/>
        <v>-3.0767267348730403E-2</v>
      </c>
    </row>
    <row r="378" spans="1:7" x14ac:dyDescent="0.35">
      <c r="A378" t="s">
        <v>33</v>
      </c>
      <c r="E378">
        <v>-6.0837527938482966E-3</v>
      </c>
      <c r="F378">
        <f t="shared" si="16"/>
        <v>-1.9220005376294515E-2</v>
      </c>
      <c r="G378">
        <f t="shared" si="17"/>
        <v>-3.0767267348730403E-2</v>
      </c>
    </row>
    <row r="379" spans="1:7" x14ac:dyDescent="0.35">
      <c r="A379" t="s">
        <v>33</v>
      </c>
      <c r="E379">
        <v>-4.40545436361985E-3</v>
      </c>
      <c r="F379">
        <f t="shared" si="16"/>
        <v>-1.9222515928848112E-2</v>
      </c>
      <c r="G379">
        <f t="shared" si="17"/>
        <v>-3.0767267348730403E-2</v>
      </c>
    </row>
    <row r="380" spans="1:7" x14ac:dyDescent="0.35">
      <c r="A380" t="s">
        <v>33</v>
      </c>
      <c r="E380">
        <v>4.6894171287118654E-3</v>
      </c>
      <c r="F380">
        <f t="shared" si="16"/>
        <v>-1.9225026481401709E-2</v>
      </c>
      <c r="G380">
        <f t="shared" si="17"/>
        <v>-3.0767267348730403E-2</v>
      </c>
    </row>
    <row r="381" spans="1:7" x14ac:dyDescent="0.35">
      <c r="A381" t="s">
        <v>33</v>
      </c>
      <c r="E381">
        <v>-1.682687852623525E-2</v>
      </c>
      <c r="F381">
        <f t="shared" si="16"/>
        <v>-1.9225227292128694E-2</v>
      </c>
      <c r="G381">
        <f t="shared" si="17"/>
        <v>-3.0834765833334665E-2</v>
      </c>
    </row>
    <row r="382" spans="1:7" x14ac:dyDescent="0.35">
      <c r="A382" t="s">
        <v>33</v>
      </c>
      <c r="E382">
        <v>-2.7469458289347246E-2</v>
      </c>
      <c r="F382">
        <f t="shared" si="16"/>
        <v>-1.9225428102855678E-2</v>
      </c>
      <c r="G382">
        <f t="shared" si="17"/>
        <v>-3.0834765833334665E-2</v>
      </c>
    </row>
    <row r="383" spans="1:7" x14ac:dyDescent="0.35">
      <c r="A383" t="s">
        <v>33</v>
      </c>
      <c r="E383">
        <v>-8.8081892357582733E-3</v>
      </c>
      <c r="F383">
        <f t="shared" si="16"/>
        <v>-1.9182347087990555E-2</v>
      </c>
      <c r="G383">
        <f t="shared" si="17"/>
        <v>-3.0786552781826213E-2</v>
      </c>
    </row>
    <row r="384" spans="1:7" x14ac:dyDescent="0.35">
      <c r="A384" t="s">
        <v>33</v>
      </c>
      <c r="E384">
        <v>5.0612009896302754E-3</v>
      </c>
      <c r="F384">
        <f t="shared" si="16"/>
        <v>-1.9184857640544152E-2</v>
      </c>
      <c r="G384">
        <f t="shared" si="17"/>
        <v>-3.0786552781826213E-2</v>
      </c>
    </row>
    <row r="385" spans="1:7" x14ac:dyDescent="0.35">
      <c r="A385" t="s">
        <v>33</v>
      </c>
      <c r="E385">
        <v>-1.1144657730796323E-2</v>
      </c>
      <c r="F385">
        <f t="shared" si="16"/>
        <v>-1.9187368193097749E-2</v>
      </c>
      <c r="G385">
        <f t="shared" si="17"/>
        <v>-3.0786552781826213E-2</v>
      </c>
    </row>
    <row r="386" spans="1:7" x14ac:dyDescent="0.35">
      <c r="A386" t="s">
        <v>33</v>
      </c>
      <c r="E386">
        <v>-6.5901798056564329E-3</v>
      </c>
      <c r="F386">
        <f t="shared" si="16"/>
        <v>-1.9189878745651347E-2</v>
      </c>
      <c r="G386">
        <f t="shared" si="17"/>
        <v>-3.0786552781826213E-2</v>
      </c>
    </row>
    <row r="387" spans="1:7" x14ac:dyDescent="0.35">
      <c r="A387" t="s">
        <v>33</v>
      </c>
      <c r="E387">
        <v>-2.0571937170746041E-2</v>
      </c>
      <c r="F387">
        <f t="shared" si="16"/>
        <v>-1.9192389298204944E-2</v>
      </c>
      <c r="G387">
        <f t="shared" si="17"/>
        <v>-3.0786552781826213E-2</v>
      </c>
    </row>
    <row r="388" spans="1:7" x14ac:dyDescent="0.35">
      <c r="A388" t="s">
        <v>33</v>
      </c>
      <c r="E388">
        <v>1.2045353283203348E-2</v>
      </c>
      <c r="F388">
        <f t="shared" ref="F388:F451" si="18">_xlfn.PERCENTILE.EXC(E388:E4203,0.05)</f>
        <v>-1.9101008101269541E-2</v>
      </c>
      <c r="G388">
        <f t="shared" ref="G388:G451" si="19">AVERAGEIFS(E388:E4204,E388:E4204,"&lt;=" &amp; F388)</f>
        <v>-3.0778382479250677E-2</v>
      </c>
    </row>
    <row r="389" spans="1:7" x14ac:dyDescent="0.35">
      <c r="A389" t="s">
        <v>33</v>
      </c>
      <c r="E389">
        <v>1.6014732399244704E-2</v>
      </c>
      <c r="F389">
        <f t="shared" si="18"/>
        <v>-1.910715871202456E-2</v>
      </c>
      <c r="G389">
        <f t="shared" si="19"/>
        <v>-3.0778382479250677E-2</v>
      </c>
    </row>
    <row r="390" spans="1:7" x14ac:dyDescent="0.35">
      <c r="A390" t="s">
        <v>33</v>
      </c>
      <c r="E390">
        <v>1.6417520246790072E-2</v>
      </c>
      <c r="F390">
        <f t="shared" si="18"/>
        <v>-1.9113309322779579E-2</v>
      </c>
      <c r="G390">
        <f t="shared" si="19"/>
        <v>-3.0778382479250677E-2</v>
      </c>
    </row>
    <row r="391" spans="1:7" x14ac:dyDescent="0.35">
      <c r="A391" t="s">
        <v>33</v>
      </c>
      <c r="E391">
        <v>6.7759693681483301E-3</v>
      </c>
      <c r="F391">
        <f t="shared" si="18"/>
        <v>-1.9119459933534595E-2</v>
      </c>
      <c r="G391">
        <f t="shared" si="19"/>
        <v>-3.0778382479250677E-2</v>
      </c>
    </row>
    <row r="392" spans="1:7" x14ac:dyDescent="0.35">
      <c r="A392" t="s">
        <v>33</v>
      </c>
      <c r="E392">
        <v>-7.7668314992014624E-3</v>
      </c>
      <c r="F392">
        <f t="shared" si="18"/>
        <v>-1.9125610544289615E-2</v>
      </c>
      <c r="G392">
        <f t="shared" si="19"/>
        <v>-3.0778382479250677E-2</v>
      </c>
    </row>
    <row r="393" spans="1:7" x14ac:dyDescent="0.35">
      <c r="A393" t="s">
        <v>33</v>
      </c>
      <c r="E393">
        <v>-6.6019171880917103E-3</v>
      </c>
      <c r="F393">
        <f t="shared" si="18"/>
        <v>-1.9131761155044631E-2</v>
      </c>
      <c r="G393">
        <f t="shared" si="19"/>
        <v>-3.0778382479250677E-2</v>
      </c>
    </row>
    <row r="394" spans="1:7" x14ac:dyDescent="0.35">
      <c r="A394" t="s">
        <v>33</v>
      </c>
      <c r="E394">
        <v>-1.4307704239571627E-2</v>
      </c>
      <c r="F394">
        <f t="shared" si="18"/>
        <v>-1.913791176579965E-2</v>
      </c>
      <c r="G394">
        <f t="shared" si="19"/>
        <v>-3.0778382479250677E-2</v>
      </c>
    </row>
    <row r="395" spans="1:7" x14ac:dyDescent="0.35">
      <c r="A395" t="s">
        <v>33</v>
      </c>
      <c r="E395">
        <v>-5.7501907529592198E-3</v>
      </c>
      <c r="F395">
        <f t="shared" si="18"/>
        <v>-1.9144062376554673E-2</v>
      </c>
      <c r="G395">
        <f t="shared" si="19"/>
        <v>-3.0778382479250677E-2</v>
      </c>
    </row>
    <row r="396" spans="1:7" x14ac:dyDescent="0.35">
      <c r="A396" t="s">
        <v>33</v>
      </c>
      <c r="E396">
        <v>-1.1208225742256186E-2</v>
      </c>
      <c r="F396">
        <f t="shared" si="18"/>
        <v>-1.9150212987309689E-2</v>
      </c>
      <c r="G396">
        <f t="shared" si="19"/>
        <v>-3.0778382479250677E-2</v>
      </c>
    </row>
    <row r="397" spans="1:7" x14ac:dyDescent="0.35">
      <c r="A397" t="s">
        <v>34</v>
      </c>
      <c r="B397" s="3" cm="1">
        <f t="array" ref="B397">_xlfn.STDEV.S(_xlfn._xlws.FILTER($E$2:$E$1000, $A$2:$A$1000="2011-08"))</f>
        <v>2.8411018478895652E-2</v>
      </c>
      <c r="C397" s="3" cm="1">
        <f t="array" ref="C397">AVERAGE(_xlfn._xlws.FILTER($E$2:$E$1000, $A$2:$A$1000="2011-08"))</f>
        <v>-5.7051209030652677E-3</v>
      </c>
      <c r="D397" s="3" cm="1">
        <f t="array" ref="D397">_xlfn.PERCENTILE.EXC(_xlfn._xlws.FILTER($E$253:$E$502, $A$253:$A$502="2011-08"), 0.05)</f>
        <v>-5.6319181825641898E-2</v>
      </c>
      <c r="E397">
        <v>-2.2931495661506547E-2</v>
      </c>
      <c r="F397">
        <f t="shared" si="18"/>
        <v>-1.9156363598064708E-2</v>
      </c>
      <c r="G397">
        <f t="shared" si="19"/>
        <v>-3.0778382479250677E-2</v>
      </c>
    </row>
    <row r="398" spans="1:7" x14ac:dyDescent="0.35">
      <c r="A398" t="s">
        <v>34</v>
      </c>
      <c r="E398">
        <v>-1.8355590145410695E-2</v>
      </c>
      <c r="F398">
        <f t="shared" si="18"/>
        <v>-1.9049853298692521E-2</v>
      </c>
      <c r="G398">
        <f t="shared" si="19"/>
        <v>-3.0755694219330932E-2</v>
      </c>
    </row>
    <row r="399" spans="1:7" x14ac:dyDescent="0.35">
      <c r="A399" t="s">
        <v>34</v>
      </c>
      <c r="E399">
        <v>-1.9448198361259945E-2</v>
      </c>
      <c r="F399">
        <f t="shared" si="18"/>
        <v>-1.9050828256960958E-2</v>
      </c>
      <c r="G399">
        <f t="shared" si="19"/>
        <v>-3.0755694219330932E-2</v>
      </c>
    </row>
    <row r="400" spans="1:7" x14ac:dyDescent="0.35">
      <c r="A400" t="s">
        <v>34</v>
      </c>
      <c r="E400">
        <v>-3.9734891874136799E-2</v>
      </c>
      <c r="F400">
        <f t="shared" si="18"/>
        <v>-1.903230404986065E-2</v>
      </c>
      <c r="G400">
        <f t="shared" si="19"/>
        <v>-3.0753262088854906E-2</v>
      </c>
    </row>
    <row r="401" spans="1:7" x14ac:dyDescent="0.35">
      <c r="A401" t="s">
        <v>34</v>
      </c>
      <c r="E401">
        <v>-1.2665897452283328E-2</v>
      </c>
      <c r="F401">
        <f t="shared" si="18"/>
        <v>-1.8946217736713157E-2</v>
      </c>
      <c r="G401">
        <f t="shared" si="19"/>
        <v>-3.0700428972470901E-2</v>
      </c>
    </row>
    <row r="402" spans="1:7" x14ac:dyDescent="0.35">
      <c r="A402" t="s">
        <v>34</v>
      </c>
      <c r="E402">
        <v>-4.7909220266265609E-2</v>
      </c>
      <c r="F402">
        <f t="shared" si="18"/>
        <v>-1.8950748595299868E-2</v>
      </c>
      <c r="G402">
        <f t="shared" si="19"/>
        <v>-3.0700428972470901E-2</v>
      </c>
    </row>
    <row r="403" spans="1:7" x14ac:dyDescent="0.35">
      <c r="A403" t="s">
        <v>34</v>
      </c>
      <c r="E403">
        <v>1.6187283932986685E-2</v>
      </c>
      <c r="F403">
        <f t="shared" si="18"/>
        <v>-1.8939646730601958E-2</v>
      </c>
      <c r="G403">
        <f t="shared" si="19"/>
        <v>-3.0530031717246556E-2</v>
      </c>
    </row>
    <row r="404" spans="1:7" x14ac:dyDescent="0.35">
      <c r="A404" t="s">
        <v>34</v>
      </c>
      <c r="E404">
        <v>-5.6073906280787608E-2</v>
      </c>
      <c r="F404">
        <f t="shared" si="18"/>
        <v>-1.893976673927987E-2</v>
      </c>
      <c r="G404">
        <f t="shared" si="19"/>
        <v>-3.0530031717246556E-2</v>
      </c>
    </row>
    <row r="405" spans="1:7" x14ac:dyDescent="0.35">
      <c r="A405" t="s">
        <v>34</v>
      </c>
      <c r="E405">
        <v>2.8452593500871388E-2</v>
      </c>
      <c r="F405">
        <f t="shared" si="18"/>
        <v>-1.8935444402435359E-2</v>
      </c>
      <c r="G405">
        <f t="shared" si="19"/>
        <v>-3.031159277856291E-2</v>
      </c>
    </row>
    <row r="406" spans="1:7" x14ac:dyDescent="0.35">
      <c r="A406" t="s">
        <v>34</v>
      </c>
      <c r="E406">
        <v>3.9417877472953819E-2</v>
      </c>
      <c r="F406">
        <f t="shared" si="18"/>
        <v>-1.8935700555910883E-2</v>
      </c>
      <c r="G406">
        <f t="shared" si="19"/>
        <v>-3.031159277856291E-2</v>
      </c>
    </row>
    <row r="407" spans="1:7" x14ac:dyDescent="0.35">
      <c r="A407" t="s">
        <v>34</v>
      </c>
      <c r="E407">
        <v>5.2818062270249318E-3</v>
      </c>
      <c r="F407">
        <f t="shared" si="18"/>
        <v>-1.8935956709386408E-2</v>
      </c>
      <c r="G407">
        <f t="shared" si="19"/>
        <v>-3.031159277856291E-2</v>
      </c>
    </row>
    <row r="408" spans="1:7" x14ac:dyDescent="0.35">
      <c r="A408" t="s">
        <v>34</v>
      </c>
      <c r="E408">
        <v>7.2287539308080791E-3</v>
      </c>
      <c r="F408">
        <f t="shared" si="18"/>
        <v>-1.8936212862861932E-2</v>
      </c>
      <c r="G408">
        <f t="shared" si="19"/>
        <v>-3.031159277856291E-2</v>
      </c>
    </row>
    <row r="409" spans="1:7" x14ac:dyDescent="0.35">
      <c r="A409" t="s">
        <v>34</v>
      </c>
      <c r="E409">
        <v>-5.6346434663959041E-2</v>
      </c>
      <c r="F409">
        <f t="shared" si="18"/>
        <v>-1.8936469016337457E-2</v>
      </c>
      <c r="G409">
        <f t="shared" si="19"/>
        <v>-3.031159277856291E-2</v>
      </c>
    </row>
    <row r="410" spans="1:7" x14ac:dyDescent="0.35">
      <c r="A410" t="s">
        <v>34</v>
      </c>
      <c r="E410">
        <v>-1.938340983946538E-2</v>
      </c>
      <c r="F410">
        <f t="shared" si="18"/>
        <v>-1.8919867932097656E-2</v>
      </c>
      <c r="G410">
        <f t="shared" si="19"/>
        <v>-3.0091520596039961E-2</v>
      </c>
    </row>
    <row r="411" spans="1:7" x14ac:dyDescent="0.35">
      <c r="A411" t="s">
        <v>34</v>
      </c>
      <c r="E411">
        <v>1.1327747253518931E-2</v>
      </c>
      <c r="F411">
        <f t="shared" si="18"/>
        <v>-1.8896095060363039E-2</v>
      </c>
      <c r="G411">
        <f t="shared" si="19"/>
        <v>-3.0088709786567445E-2</v>
      </c>
    </row>
    <row r="412" spans="1:7" x14ac:dyDescent="0.35">
      <c r="A412" t="s">
        <v>34</v>
      </c>
      <c r="E412">
        <v>1.0760029690362603E-2</v>
      </c>
      <c r="F412">
        <f t="shared" si="18"/>
        <v>-1.8897148079115769E-2</v>
      </c>
      <c r="G412">
        <f t="shared" si="19"/>
        <v>-3.0088709786567445E-2</v>
      </c>
    </row>
    <row r="413" spans="1:7" x14ac:dyDescent="0.35">
      <c r="A413" t="s">
        <v>34</v>
      </c>
      <c r="E413">
        <v>1.7732054983656761E-2</v>
      </c>
      <c r="F413">
        <f t="shared" si="18"/>
        <v>-1.8898201097868494E-2</v>
      </c>
      <c r="G413">
        <f t="shared" si="19"/>
        <v>-3.0088709786567445E-2</v>
      </c>
    </row>
    <row r="414" spans="1:7" x14ac:dyDescent="0.35">
      <c r="A414" t="s">
        <v>34</v>
      </c>
      <c r="E414">
        <v>-6.5670399224244842E-3</v>
      </c>
      <c r="F414">
        <f t="shared" si="18"/>
        <v>-1.889925411662122E-2</v>
      </c>
      <c r="G414">
        <f t="shared" si="19"/>
        <v>-3.0088709786567445E-2</v>
      </c>
    </row>
    <row r="415" spans="1:7" x14ac:dyDescent="0.35">
      <c r="A415" t="s">
        <v>34</v>
      </c>
      <c r="E415">
        <v>-1.0105392570029986E-2</v>
      </c>
      <c r="F415">
        <f t="shared" si="18"/>
        <v>-1.8900307135373946E-2</v>
      </c>
      <c r="G415">
        <f t="shared" si="19"/>
        <v>-3.0088709786567445E-2</v>
      </c>
    </row>
    <row r="416" spans="1:7" x14ac:dyDescent="0.35">
      <c r="A416" t="s">
        <v>34</v>
      </c>
      <c r="E416">
        <v>2.3082700677111836E-2</v>
      </c>
      <c r="F416">
        <f t="shared" si="18"/>
        <v>-1.8901360154126672E-2</v>
      </c>
      <c r="G416">
        <f t="shared" si="19"/>
        <v>-3.0088709786567445E-2</v>
      </c>
    </row>
    <row r="417" spans="1:7" x14ac:dyDescent="0.35">
      <c r="A417" t="s">
        <v>34</v>
      </c>
      <c r="E417">
        <v>3.0243090403863766E-2</v>
      </c>
      <c r="F417">
        <f t="shared" si="18"/>
        <v>-1.8902413172879398E-2</v>
      </c>
      <c r="G417">
        <f t="shared" si="19"/>
        <v>-3.0088709786567445E-2</v>
      </c>
    </row>
    <row r="418" spans="1:7" x14ac:dyDescent="0.35">
      <c r="A418" t="s">
        <v>35</v>
      </c>
      <c r="B418" s="3" cm="1">
        <f t="array" ref="B418">_xlfn.STDEV.S(_xlfn._xlws.FILTER($E$2:$E$1000, $A$2:$A$1000="2011-09"))</f>
        <v>2.9003433734277571E-2</v>
      </c>
      <c r="C418" s="3" cm="1">
        <f t="array" ref="C418">AVERAGE(_xlfn._xlws.FILTER($E$2:$E$1000, $A$2:$A$1000="2011-09"))</f>
        <v>-4.0069106227391725E-3</v>
      </c>
      <c r="D418" s="3" cm="1">
        <f t="array" ref="D418">_xlfn.PERCENTILE.EXC(_xlfn._xlws.FILTER($E$253:$E$502, $A$253:$A$502="2011-09"), 0.05)</f>
        <v>-5.3113488410767698E-2</v>
      </c>
      <c r="E418">
        <v>2.7811056178691927E-3</v>
      </c>
      <c r="F418">
        <f t="shared" si="18"/>
        <v>-1.8903466191632124E-2</v>
      </c>
      <c r="G418">
        <f t="shared" si="19"/>
        <v>-3.0088709786567445E-2</v>
      </c>
    </row>
    <row r="419" spans="1:7" x14ac:dyDescent="0.35">
      <c r="A419" t="s">
        <v>35</v>
      </c>
      <c r="E419">
        <v>-3.6578264506383143E-2</v>
      </c>
      <c r="F419">
        <f t="shared" si="18"/>
        <v>-1.890451921038485E-2</v>
      </c>
      <c r="G419">
        <f t="shared" si="19"/>
        <v>-3.0088709786567445E-2</v>
      </c>
    </row>
    <row r="420" spans="1:7" x14ac:dyDescent="0.35">
      <c r="A420" t="s">
        <v>35</v>
      </c>
      <c r="E420">
        <v>-4.8476733670078848E-2</v>
      </c>
      <c r="F420">
        <f t="shared" si="18"/>
        <v>-1.8884511854083054E-2</v>
      </c>
      <c r="G420">
        <f t="shared" si="19"/>
        <v>-2.9984628888612745E-2</v>
      </c>
    </row>
    <row r="421" spans="1:7" x14ac:dyDescent="0.35">
      <c r="A421" t="s">
        <v>35</v>
      </c>
      <c r="E421">
        <v>-1.1366082818911927E-2</v>
      </c>
      <c r="F421">
        <f t="shared" si="18"/>
        <v>-1.8871751648286542E-2</v>
      </c>
      <c r="G421">
        <f t="shared" si="19"/>
        <v>-2.987520815026087E-2</v>
      </c>
    </row>
    <row r="422" spans="1:7" x14ac:dyDescent="0.35">
      <c r="A422" t="s">
        <v>35</v>
      </c>
      <c r="E422">
        <v>3.5619995356531167E-2</v>
      </c>
      <c r="F422">
        <f t="shared" si="18"/>
        <v>-1.8872423238065303E-2</v>
      </c>
      <c r="G422">
        <f t="shared" si="19"/>
        <v>-2.987520815026087E-2</v>
      </c>
    </row>
    <row r="423" spans="1:7" x14ac:dyDescent="0.35">
      <c r="A423" t="s">
        <v>35</v>
      </c>
      <c r="E423">
        <v>4.1078088160603834E-3</v>
      </c>
      <c r="F423">
        <f t="shared" si="18"/>
        <v>-1.8873094827844068E-2</v>
      </c>
      <c r="G423">
        <f t="shared" si="19"/>
        <v>-2.987520815026087E-2</v>
      </c>
    </row>
    <row r="424" spans="1:7" x14ac:dyDescent="0.35">
      <c r="A424" t="s">
        <v>35</v>
      </c>
      <c r="E424">
        <v>-3.6714450557532904E-2</v>
      </c>
      <c r="F424">
        <f t="shared" si="18"/>
        <v>-1.8873766417622832E-2</v>
      </c>
      <c r="G424">
        <f t="shared" si="19"/>
        <v>-2.987520815026087E-2</v>
      </c>
    </row>
    <row r="425" spans="1:7" x14ac:dyDescent="0.35">
      <c r="A425" t="s">
        <v>35</v>
      </c>
      <c r="E425">
        <v>-4.1100923393170057E-2</v>
      </c>
      <c r="F425">
        <f t="shared" si="18"/>
        <v>-1.8777666260032633E-2</v>
      </c>
      <c r="G425">
        <f t="shared" si="19"/>
        <v>-2.9769626076302142E-2</v>
      </c>
    </row>
    <row r="426" spans="1:7" x14ac:dyDescent="0.35">
      <c r="A426" t="s">
        <v>35</v>
      </c>
      <c r="E426">
        <v>1.3955640131596714E-2</v>
      </c>
      <c r="F426">
        <f t="shared" si="18"/>
        <v>-1.8743301473951545E-2</v>
      </c>
      <c r="G426">
        <f t="shared" si="19"/>
        <v>-2.9637351549284614E-2</v>
      </c>
    </row>
    <row r="427" spans="1:7" x14ac:dyDescent="0.35">
      <c r="A427" t="s">
        <v>35</v>
      </c>
      <c r="E427">
        <v>1.855267131361053E-2</v>
      </c>
      <c r="F427">
        <f t="shared" si="18"/>
        <v>-1.8743531963469836E-2</v>
      </c>
      <c r="G427">
        <f t="shared" si="19"/>
        <v>-2.9637351549284614E-2</v>
      </c>
    </row>
    <row r="428" spans="1:7" x14ac:dyDescent="0.35">
      <c r="A428" t="s">
        <v>35</v>
      </c>
      <c r="E428">
        <v>3.2190890488924602E-2</v>
      </c>
      <c r="F428">
        <f t="shared" si="18"/>
        <v>-1.8743762452988123E-2</v>
      </c>
      <c r="G428">
        <f t="shared" si="19"/>
        <v>-2.9637351549284614E-2</v>
      </c>
    </row>
    <row r="429" spans="1:7" x14ac:dyDescent="0.35">
      <c r="A429" t="s">
        <v>35</v>
      </c>
      <c r="E429">
        <v>-4.7855012583786728E-3</v>
      </c>
      <c r="F429">
        <f t="shared" si="18"/>
        <v>-1.8743992942506411E-2</v>
      </c>
      <c r="G429">
        <f t="shared" si="19"/>
        <v>-2.9637351549284614E-2</v>
      </c>
    </row>
    <row r="430" spans="1:7" x14ac:dyDescent="0.35">
      <c r="A430" t="s">
        <v>35</v>
      </c>
      <c r="E430">
        <v>-3.0509410306158471E-2</v>
      </c>
      <c r="F430">
        <f t="shared" si="18"/>
        <v>-1.8744223432024698E-2</v>
      </c>
      <c r="G430">
        <f t="shared" si="19"/>
        <v>-2.9637351549284614E-2</v>
      </c>
    </row>
    <row r="431" spans="1:7" x14ac:dyDescent="0.35">
      <c r="A431" t="s">
        <v>35</v>
      </c>
      <c r="E431">
        <v>1.4871856882715022E-2</v>
      </c>
      <c r="F431">
        <f t="shared" si="18"/>
        <v>-1.8734403257081835E-2</v>
      </c>
      <c r="G431">
        <f t="shared" si="19"/>
        <v>-2.9567721420472089E-2</v>
      </c>
    </row>
    <row r="432" spans="1:7" x14ac:dyDescent="0.35">
      <c r="A432" t="s">
        <v>35</v>
      </c>
      <c r="E432">
        <v>-1.6294637262349657E-2</v>
      </c>
      <c r="F432">
        <f t="shared" si="18"/>
        <v>-1.8735238288166277E-2</v>
      </c>
      <c r="G432">
        <f t="shared" si="19"/>
        <v>-2.9567721420472089E-2</v>
      </c>
    </row>
    <row r="433" spans="1:7" x14ac:dyDescent="0.35">
      <c r="A433" t="s">
        <v>35</v>
      </c>
      <c r="E433">
        <v>-5.3931739247359847E-2</v>
      </c>
      <c r="F433">
        <f t="shared" si="18"/>
        <v>-1.8736073319250719E-2</v>
      </c>
      <c r="G433">
        <f t="shared" si="19"/>
        <v>-2.9567721420472089E-2</v>
      </c>
    </row>
    <row r="434" spans="1:7" x14ac:dyDescent="0.35">
      <c r="A434" t="s">
        <v>35</v>
      </c>
      <c r="E434">
        <v>1.016856676335102E-2</v>
      </c>
      <c r="F434">
        <f t="shared" si="18"/>
        <v>-1.8713186992918289E-2</v>
      </c>
      <c r="G434">
        <f t="shared" si="19"/>
        <v>-2.9359398809038904E-2</v>
      </c>
    </row>
    <row r="435" spans="1:7" x14ac:dyDescent="0.35">
      <c r="A435" t="s">
        <v>35</v>
      </c>
      <c r="E435">
        <v>1.7367200482729179E-2</v>
      </c>
      <c r="F435">
        <f t="shared" si="18"/>
        <v>-1.8715192146624069E-2</v>
      </c>
      <c r="G435">
        <f t="shared" si="19"/>
        <v>-2.9359398809038904E-2</v>
      </c>
    </row>
    <row r="436" spans="1:7" x14ac:dyDescent="0.35">
      <c r="A436" t="s">
        <v>35</v>
      </c>
      <c r="E436">
        <v>5.5784581871787309E-2</v>
      </c>
      <c r="F436">
        <f t="shared" si="18"/>
        <v>-1.8717197300329849E-2</v>
      </c>
      <c r="G436">
        <f t="shared" si="19"/>
        <v>-2.9359398809038904E-2</v>
      </c>
    </row>
    <row r="437" spans="1:7" x14ac:dyDescent="0.35">
      <c r="A437" t="s">
        <v>35</v>
      </c>
      <c r="E437">
        <v>-9.2241890118695373E-3</v>
      </c>
      <c r="F437">
        <f t="shared" si="18"/>
        <v>-1.8719202454035629E-2</v>
      </c>
      <c r="G437">
        <f t="shared" si="19"/>
        <v>-2.9359398809038904E-2</v>
      </c>
    </row>
    <row r="438" spans="1:7" x14ac:dyDescent="0.35">
      <c r="A438" t="s">
        <v>35</v>
      </c>
      <c r="E438">
        <v>1.0635519218055027E-2</v>
      </c>
      <c r="F438">
        <f t="shared" si="18"/>
        <v>-1.8721207607741406E-2</v>
      </c>
      <c r="G438">
        <f t="shared" si="19"/>
        <v>-2.9359398809038904E-2</v>
      </c>
    </row>
    <row r="439" spans="1:7" x14ac:dyDescent="0.35">
      <c r="A439" t="s">
        <v>35</v>
      </c>
      <c r="E439">
        <v>-1.520593861129887E-2</v>
      </c>
      <c r="F439">
        <f t="shared" si="18"/>
        <v>-1.8723212761447186E-2</v>
      </c>
      <c r="G439">
        <f t="shared" si="19"/>
        <v>-2.9359398809038904E-2</v>
      </c>
    </row>
    <row r="440" spans="1:7" x14ac:dyDescent="0.35">
      <c r="A440" t="s">
        <v>36</v>
      </c>
      <c r="B440" s="3" cm="1">
        <f t="array" ref="B440">_xlfn.STDEV.S(_xlfn._xlws.FILTER($E$2:$E$1000, $A$2:$A$1000="2011-10"))</f>
        <v>2.4361455327757225E-2</v>
      </c>
      <c r="C440" s="3" cm="1">
        <f t="array" ref="C440">AVERAGE(_xlfn._xlws.FILTER($E$2:$E$1000, $A$2:$A$1000="2011-10"))</f>
        <v>3.9937469827671076E-3</v>
      </c>
      <c r="D440" s="3" cm="1">
        <f t="array" ref="D440">_xlfn.PERCENTILE.EXC(_xlfn._xlws.FILTER($E$253:$E$502, $A$253:$A$502="2011-10"), 0.05)</f>
        <v>-3.1532432900251157E-2</v>
      </c>
      <c r="E440">
        <v>-1.8660876358643018E-2</v>
      </c>
      <c r="F440">
        <f t="shared" si="18"/>
        <v>-1.8725217915152966E-2</v>
      </c>
      <c r="G440">
        <f t="shared" si="19"/>
        <v>-2.9359398809038904E-2</v>
      </c>
    </row>
    <row r="441" spans="1:7" x14ac:dyDescent="0.35">
      <c r="A441" t="s">
        <v>36</v>
      </c>
      <c r="E441">
        <v>-2.6407967959726195E-2</v>
      </c>
      <c r="F441">
        <f t="shared" si="18"/>
        <v>-1.8726052946237408E-2</v>
      </c>
      <c r="G441">
        <f t="shared" si="19"/>
        <v>-2.9422697504835848E-2</v>
      </c>
    </row>
    <row r="442" spans="1:7" x14ac:dyDescent="0.35">
      <c r="A442" t="s">
        <v>36</v>
      </c>
      <c r="E442">
        <v>4.2362264606843801E-2</v>
      </c>
      <c r="F442">
        <f t="shared" si="18"/>
        <v>-1.8689125148448938E-2</v>
      </c>
      <c r="G442">
        <f t="shared" si="19"/>
        <v>-2.9376966849808624E-2</v>
      </c>
    </row>
    <row r="443" spans="1:7" x14ac:dyDescent="0.35">
      <c r="A443" t="s">
        <v>36</v>
      </c>
      <c r="E443">
        <v>3.3550996498412124E-2</v>
      </c>
      <c r="F443">
        <f t="shared" si="18"/>
        <v>-1.8691130302154718E-2</v>
      </c>
      <c r="G443">
        <f t="shared" si="19"/>
        <v>-2.9376966849808624E-2</v>
      </c>
    </row>
    <row r="444" spans="1:7" x14ac:dyDescent="0.35">
      <c r="A444" t="s">
        <v>36</v>
      </c>
      <c r="E444">
        <v>6.5436075413525356E-3</v>
      </c>
      <c r="F444">
        <f t="shared" si="18"/>
        <v>-1.8693135455860498E-2</v>
      </c>
      <c r="G444">
        <f t="shared" si="19"/>
        <v>-2.9376966849808624E-2</v>
      </c>
    </row>
    <row r="445" spans="1:7" x14ac:dyDescent="0.35">
      <c r="A445" t="s">
        <v>36</v>
      </c>
      <c r="E445">
        <v>2.1068282540384568E-2</v>
      </c>
      <c r="F445">
        <f t="shared" si="18"/>
        <v>-1.8695140609566278E-2</v>
      </c>
      <c r="G445">
        <f t="shared" si="19"/>
        <v>-2.9376966849808624E-2</v>
      </c>
    </row>
    <row r="446" spans="1:7" x14ac:dyDescent="0.35">
      <c r="A446" t="s">
        <v>36</v>
      </c>
      <c r="E446">
        <v>-2.5178200440107252E-3</v>
      </c>
      <c r="F446">
        <f t="shared" si="18"/>
        <v>-1.8697145763272055E-2</v>
      </c>
      <c r="G446">
        <f t="shared" si="19"/>
        <v>-2.9376966849808624E-2</v>
      </c>
    </row>
    <row r="447" spans="1:7" x14ac:dyDescent="0.35">
      <c r="A447" t="s">
        <v>36</v>
      </c>
      <c r="E447">
        <v>2.38885418073949E-2</v>
      </c>
      <c r="F447">
        <f t="shared" si="18"/>
        <v>-1.8699150916977835E-2</v>
      </c>
      <c r="G447">
        <f t="shared" si="19"/>
        <v>-2.9376966849808624E-2</v>
      </c>
    </row>
    <row r="448" spans="1:7" x14ac:dyDescent="0.35">
      <c r="A448" t="s">
        <v>36</v>
      </c>
      <c r="E448">
        <v>-1.3346622292964246E-2</v>
      </c>
      <c r="F448">
        <f t="shared" si="18"/>
        <v>-1.8701156070683615E-2</v>
      </c>
      <c r="G448">
        <f t="shared" si="19"/>
        <v>-2.9376966849808624E-2</v>
      </c>
    </row>
    <row r="449" spans="1:7" x14ac:dyDescent="0.35">
      <c r="A449" t="s">
        <v>36</v>
      </c>
      <c r="E449">
        <v>9.6646564883677462E-3</v>
      </c>
      <c r="F449">
        <f t="shared" si="18"/>
        <v>-1.8703161224389395E-2</v>
      </c>
      <c r="G449">
        <f t="shared" si="19"/>
        <v>-2.9376966849808624E-2</v>
      </c>
    </row>
    <row r="450" spans="1:7" x14ac:dyDescent="0.35">
      <c r="A450" t="s">
        <v>36</v>
      </c>
      <c r="E450">
        <v>-1.6237952626334835E-2</v>
      </c>
      <c r="F450">
        <f t="shared" si="18"/>
        <v>-1.8705166378095175E-2</v>
      </c>
      <c r="G450">
        <f t="shared" si="19"/>
        <v>-2.9376966849808624E-2</v>
      </c>
    </row>
    <row r="451" spans="1:7" x14ac:dyDescent="0.35">
      <c r="A451" t="s">
        <v>36</v>
      </c>
      <c r="E451">
        <v>-7.914855593115503E-3</v>
      </c>
      <c r="F451">
        <f t="shared" si="18"/>
        <v>-1.8707171531800952E-2</v>
      </c>
      <c r="G451">
        <f t="shared" si="19"/>
        <v>-2.9376966849808624E-2</v>
      </c>
    </row>
    <row r="452" spans="1:7" x14ac:dyDescent="0.35">
      <c r="A452" t="s">
        <v>36</v>
      </c>
      <c r="E452">
        <v>5.1568439134867432E-3</v>
      </c>
      <c r="F452">
        <f t="shared" ref="F452:F515" si="20">_xlfn.PERCENTILE.EXC(E452:E4267,0.05)</f>
        <v>-1.8709176685506732E-2</v>
      </c>
      <c r="G452">
        <f t="shared" ref="G452:G515" si="21">AVERAGEIFS(E452:E4268,E452:E4268,"&lt;=" &amp; F452)</f>
        <v>-2.9376966849808624E-2</v>
      </c>
    </row>
    <row r="453" spans="1:7" x14ac:dyDescent="0.35">
      <c r="A453" t="s">
        <v>36</v>
      </c>
      <c r="E453">
        <v>-2.3479747719234098E-2</v>
      </c>
      <c r="F453">
        <f t="shared" si="20"/>
        <v>-1.8711181839212509E-2</v>
      </c>
      <c r="G453">
        <f t="shared" si="21"/>
        <v>-2.9376966849808624E-2</v>
      </c>
    </row>
    <row r="454" spans="1:7" x14ac:dyDescent="0.35">
      <c r="A454" t="s">
        <v>36</v>
      </c>
      <c r="E454">
        <v>2.7904058266437434E-2</v>
      </c>
      <c r="F454">
        <f t="shared" si="20"/>
        <v>-1.8683382523450927E-2</v>
      </c>
      <c r="G454">
        <f t="shared" si="21"/>
        <v>-2.9348427368390786E-2</v>
      </c>
    </row>
    <row r="455" spans="1:7" x14ac:dyDescent="0.35">
      <c r="A455" t="s">
        <v>36</v>
      </c>
      <c r="E455">
        <v>1.5369994991063455E-2</v>
      </c>
      <c r="F455">
        <f t="shared" si="20"/>
        <v>-1.868367124304867E-2</v>
      </c>
      <c r="G455">
        <f t="shared" si="21"/>
        <v>-2.9348427368390786E-2</v>
      </c>
    </row>
    <row r="456" spans="1:7" x14ac:dyDescent="0.35">
      <c r="A456" t="s">
        <v>36</v>
      </c>
      <c r="E456">
        <v>-1.444022120579143E-2</v>
      </c>
      <c r="F456">
        <f t="shared" si="20"/>
        <v>-1.868395996264641E-2</v>
      </c>
      <c r="G456">
        <f t="shared" si="21"/>
        <v>-2.9348427368390786E-2</v>
      </c>
    </row>
    <row r="457" spans="1:7" x14ac:dyDescent="0.35">
      <c r="A457" t="s">
        <v>36</v>
      </c>
      <c r="E457">
        <v>-1.4722784035583699E-3</v>
      </c>
      <c r="F457">
        <f t="shared" si="20"/>
        <v>-1.8684248682244154E-2</v>
      </c>
      <c r="G457">
        <f t="shared" si="21"/>
        <v>-2.9348427368390786E-2</v>
      </c>
    </row>
    <row r="458" spans="1:7" x14ac:dyDescent="0.35">
      <c r="A458" t="s">
        <v>36</v>
      </c>
      <c r="E458">
        <v>6.0891458062396327E-2</v>
      </c>
      <c r="F458">
        <f t="shared" si="20"/>
        <v>-1.8684537401841898E-2</v>
      </c>
      <c r="G458">
        <f t="shared" si="21"/>
        <v>-2.9348427368390786E-2</v>
      </c>
    </row>
    <row r="459" spans="1:7" x14ac:dyDescent="0.35">
      <c r="A459" t="s">
        <v>36</v>
      </c>
      <c r="E459">
        <v>-5.9518579810091529E-3</v>
      </c>
      <c r="F459">
        <f t="shared" si="20"/>
        <v>-1.8684826121439638E-2</v>
      </c>
      <c r="G459">
        <f t="shared" si="21"/>
        <v>-2.9348427368390786E-2</v>
      </c>
    </row>
    <row r="460" spans="1:7" x14ac:dyDescent="0.35">
      <c r="A460" t="s">
        <v>36</v>
      </c>
      <c r="E460">
        <v>-3.2101817893642824E-2</v>
      </c>
      <c r="F460">
        <f t="shared" si="20"/>
        <v>-1.8685114841037381E-2</v>
      </c>
      <c r="G460">
        <f t="shared" si="21"/>
        <v>-2.9348427368390786E-2</v>
      </c>
    </row>
    <row r="461" spans="1:7" x14ac:dyDescent="0.35">
      <c r="A461" t="s">
        <v>37</v>
      </c>
      <c r="B461" s="3" cm="1">
        <f t="array" ref="B461">_xlfn.STDEV.S(_xlfn._xlws.FILTER($E$2:$E$1000, $A$2:$A$1000="2011-11"))</f>
        <v>2.4947666841594468E-2</v>
      </c>
      <c r="C461" s="3" cm="1">
        <f t="array" ref="C461">AVERAGE(_xlfn._xlws.FILTER($E$2:$E$1000, $A$2:$A$1000="2011-11"))</f>
        <v>-1.2537020034230266E-3</v>
      </c>
      <c r="D461" s="3" cm="1">
        <f t="array" ref="D461">_xlfn.PERCENTILE.EXC(_xlfn._xlws.FILTER($E$253:$E$502, $A$253:$A$502="2011-11"), 0.05)</f>
        <v>-5.2216252947196111E-2</v>
      </c>
      <c r="E461">
        <v>-5.5316049424222635E-2</v>
      </c>
      <c r="F461">
        <f t="shared" si="20"/>
        <v>-1.8679629168680274E-2</v>
      </c>
      <c r="G461">
        <f t="shared" si="21"/>
        <v>-2.9331939999976103E-2</v>
      </c>
    </row>
    <row r="462" spans="1:7" x14ac:dyDescent="0.35">
      <c r="A462" t="s">
        <v>37</v>
      </c>
      <c r="E462">
        <v>1.3678979159056935E-2</v>
      </c>
      <c r="F462">
        <f t="shared" si="20"/>
        <v>-1.8624691079893323E-2</v>
      </c>
      <c r="G462">
        <f t="shared" si="21"/>
        <v>-2.9112558509106996E-2</v>
      </c>
    </row>
    <row r="463" spans="1:7" x14ac:dyDescent="0.35">
      <c r="A463" t="s">
        <v>37</v>
      </c>
      <c r="E463">
        <v>2.6921763052677773E-2</v>
      </c>
      <c r="F463">
        <f t="shared" si="20"/>
        <v>-1.8627727155959391E-2</v>
      </c>
      <c r="G463">
        <f t="shared" si="21"/>
        <v>-2.9112558509106996E-2</v>
      </c>
    </row>
    <row r="464" spans="1:7" x14ac:dyDescent="0.35">
      <c r="A464" t="s">
        <v>37</v>
      </c>
      <c r="E464">
        <v>-2.2764006354916391E-2</v>
      </c>
      <c r="F464">
        <f t="shared" si="20"/>
        <v>-1.8630763232025459E-2</v>
      </c>
      <c r="G464">
        <f t="shared" si="21"/>
        <v>-2.9112558509106996E-2</v>
      </c>
    </row>
    <row r="465" spans="1:7" x14ac:dyDescent="0.35">
      <c r="A465" t="s">
        <v>37</v>
      </c>
      <c r="E465">
        <v>-6.4074474693970708E-3</v>
      </c>
      <c r="F465">
        <f t="shared" si="20"/>
        <v>-1.8593356950254051E-2</v>
      </c>
      <c r="G465">
        <f t="shared" si="21"/>
        <v>-2.908773582990247E-2</v>
      </c>
    </row>
    <row r="466" spans="1:7" x14ac:dyDescent="0.35">
      <c r="A466" t="s">
        <v>37</v>
      </c>
      <c r="E466">
        <v>1.2710475429501173E-2</v>
      </c>
      <c r="F466">
        <f t="shared" si="20"/>
        <v>-1.859504108208786E-2</v>
      </c>
      <c r="G466">
        <f t="shared" si="21"/>
        <v>-2.908773582990247E-2</v>
      </c>
    </row>
    <row r="467" spans="1:7" x14ac:dyDescent="0.35">
      <c r="A467" t="s">
        <v>37</v>
      </c>
      <c r="E467">
        <v>-2.1916271041996501E-2</v>
      </c>
      <c r="F467">
        <f t="shared" si="20"/>
        <v>-1.859672521392167E-2</v>
      </c>
      <c r="G467">
        <f t="shared" si="21"/>
        <v>-2.908773582990247E-2</v>
      </c>
    </row>
    <row r="468" spans="1:7" x14ac:dyDescent="0.35">
      <c r="A468" t="s">
        <v>37</v>
      </c>
      <c r="E468">
        <v>-3.3615666834234557E-3</v>
      </c>
      <c r="F468">
        <f t="shared" si="20"/>
        <v>-1.8583913790260143E-2</v>
      </c>
      <c r="G468">
        <f t="shared" si="21"/>
        <v>-2.9067787717621564E-2</v>
      </c>
    </row>
    <row r="469" spans="1:7" x14ac:dyDescent="0.35">
      <c r="A469" t="s">
        <v>37</v>
      </c>
      <c r="E469">
        <v>2.7210242326317555E-2</v>
      </c>
      <c r="F469">
        <f t="shared" si="20"/>
        <v>-1.8583998998662213E-2</v>
      </c>
      <c r="G469">
        <f t="shared" si="21"/>
        <v>-2.9067787717621564E-2</v>
      </c>
    </row>
    <row r="470" spans="1:7" x14ac:dyDescent="0.35">
      <c r="A470" t="s">
        <v>37</v>
      </c>
      <c r="E470">
        <v>-1.2920559462350328E-2</v>
      </c>
      <c r="F470">
        <f t="shared" si="20"/>
        <v>-1.8584084207064283E-2</v>
      </c>
      <c r="G470">
        <f t="shared" si="21"/>
        <v>-2.9067787717621564E-2</v>
      </c>
    </row>
    <row r="471" spans="1:7" x14ac:dyDescent="0.35">
      <c r="A471" t="s">
        <v>37</v>
      </c>
      <c r="E471">
        <v>-1.9428744578374822E-2</v>
      </c>
      <c r="F471">
        <f t="shared" si="20"/>
        <v>-1.8584169415466357E-2</v>
      </c>
      <c r="G471">
        <f t="shared" si="21"/>
        <v>-2.9067787717621564E-2</v>
      </c>
    </row>
    <row r="472" spans="1:7" x14ac:dyDescent="0.35">
      <c r="A472" t="s">
        <v>37</v>
      </c>
      <c r="E472">
        <v>5.1586384011844191E-3</v>
      </c>
      <c r="F472">
        <f t="shared" si="20"/>
        <v>-1.8581340118912826E-2</v>
      </c>
      <c r="G472">
        <f t="shared" si="21"/>
        <v>-2.9062724768787244E-2</v>
      </c>
    </row>
    <row r="473" spans="1:7" x14ac:dyDescent="0.35">
      <c r="A473" t="s">
        <v>37</v>
      </c>
      <c r="E473">
        <v>-1.7978522793711569E-2</v>
      </c>
      <c r="F473">
        <f t="shared" si="20"/>
        <v>-1.8581576619429167E-2</v>
      </c>
      <c r="G473">
        <f t="shared" si="21"/>
        <v>-2.9062724768787244E-2</v>
      </c>
    </row>
    <row r="474" spans="1:7" x14ac:dyDescent="0.35">
      <c r="A474" t="s">
        <v>37</v>
      </c>
      <c r="E474">
        <v>-4.4212946358405877E-3</v>
      </c>
      <c r="F474">
        <f t="shared" si="20"/>
        <v>-1.8581813119945511E-2</v>
      </c>
      <c r="G474">
        <f t="shared" si="21"/>
        <v>-2.9062724768787244E-2</v>
      </c>
    </row>
    <row r="475" spans="1:7" x14ac:dyDescent="0.35">
      <c r="A475" t="s">
        <v>37</v>
      </c>
      <c r="E475">
        <v>-3.4650739577379158E-2</v>
      </c>
      <c r="F475">
        <f t="shared" si="20"/>
        <v>-1.8582049620461852E-2</v>
      </c>
      <c r="G475">
        <f t="shared" si="21"/>
        <v>-2.9062724768787244E-2</v>
      </c>
    </row>
    <row r="476" spans="1:7" x14ac:dyDescent="0.35">
      <c r="A476" t="s">
        <v>37</v>
      </c>
      <c r="E476">
        <v>-8.4154499165240322E-3</v>
      </c>
      <c r="F476">
        <f t="shared" si="20"/>
        <v>-1.8528304921106676E-2</v>
      </c>
      <c r="G476">
        <f t="shared" si="21"/>
        <v>-2.8966483825885073E-2</v>
      </c>
    </row>
    <row r="477" spans="1:7" x14ac:dyDescent="0.35">
      <c r="A477" t="s">
        <v>37</v>
      </c>
      <c r="E477">
        <v>-1.695071947951397E-2</v>
      </c>
      <c r="F477">
        <f t="shared" si="20"/>
        <v>-1.8540854219009188E-2</v>
      </c>
      <c r="G477">
        <f t="shared" si="21"/>
        <v>-2.8966483825885073E-2</v>
      </c>
    </row>
    <row r="478" spans="1:7" x14ac:dyDescent="0.35">
      <c r="A478" t="s">
        <v>37</v>
      </c>
      <c r="E478">
        <v>-6.3776866026310662E-5</v>
      </c>
      <c r="F478">
        <f t="shared" si="20"/>
        <v>-1.855340351691169E-2</v>
      </c>
      <c r="G478">
        <f t="shared" si="21"/>
        <v>-2.8966483825885073E-2</v>
      </c>
    </row>
    <row r="479" spans="1:7" x14ac:dyDescent="0.35">
      <c r="A479" t="s">
        <v>37</v>
      </c>
      <c r="E479">
        <v>1.2227183508959615E-2</v>
      </c>
      <c r="F479">
        <f t="shared" si="20"/>
        <v>-1.8565952814814202E-2</v>
      </c>
      <c r="G479">
        <f t="shared" si="21"/>
        <v>-2.8966483825885073E-2</v>
      </c>
    </row>
    <row r="480" spans="1:7" x14ac:dyDescent="0.35">
      <c r="A480" t="s">
        <v>37</v>
      </c>
      <c r="E480">
        <v>5.3151404551323091E-2</v>
      </c>
      <c r="F480">
        <f t="shared" si="20"/>
        <v>-1.8578502112716711E-2</v>
      </c>
      <c r="G480">
        <f t="shared" si="21"/>
        <v>-2.8966483825885073E-2</v>
      </c>
    </row>
    <row r="481" spans="1:7" x14ac:dyDescent="0.35">
      <c r="A481" t="s">
        <v>37</v>
      </c>
      <c r="E481">
        <v>4.5797132542451137E-3</v>
      </c>
      <c r="F481">
        <f t="shared" si="20"/>
        <v>-1.8578738613233056E-2</v>
      </c>
      <c r="G481">
        <f t="shared" si="21"/>
        <v>-2.9029062028976448E-2</v>
      </c>
    </row>
    <row r="482" spans="1:7" x14ac:dyDescent="0.35">
      <c r="A482" t="s">
        <v>37</v>
      </c>
      <c r="E482">
        <v>4.1375304525104593E-2</v>
      </c>
      <c r="F482">
        <f t="shared" si="20"/>
        <v>-1.8578975113749396E-2</v>
      </c>
      <c r="G482">
        <f t="shared" si="21"/>
        <v>-2.9029062028976448E-2</v>
      </c>
    </row>
    <row r="483" spans="1:7" x14ac:dyDescent="0.35">
      <c r="A483" t="s">
        <v>38</v>
      </c>
      <c r="B483" s="3" cm="1">
        <f t="array" ref="B483">_xlfn.STDEV.S(_xlfn._xlws.FILTER($E$2:$E$1000, $A$2:$A$1000="2011-12"))</f>
        <v>1.6588512799806363E-2</v>
      </c>
      <c r="C483" s="3" cm="1">
        <f t="array" ref="C483">AVERAGE(_xlfn._xlws.FILTER($E$2:$E$1000, $A$2:$A$1000="2011-12"))</f>
        <v>8.2192710485756276E-5</v>
      </c>
      <c r="D483" s="3" cm="1">
        <f t="array" ref="D483">_xlfn.PERCENTILE.EXC(_xlfn._xlws.FILTER($E$253:$E$502, $A$253:$A$502="2011-12"), 0.05)</f>
        <v>-3.3504564942862101E-2</v>
      </c>
      <c r="E483">
        <v>-7.8510150155771414E-3</v>
      </c>
      <c r="F483">
        <f t="shared" si="20"/>
        <v>-1.8579211614265741E-2</v>
      </c>
      <c r="G483">
        <f t="shared" si="21"/>
        <v>-2.9029062028976448E-2</v>
      </c>
    </row>
    <row r="484" spans="1:7" x14ac:dyDescent="0.35">
      <c r="A484" t="s">
        <v>38</v>
      </c>
      <c r="E484">
        <v>1.1120227699468917E-2</v>
      </c>
      <c r="F484">
        <f t="shared" si="20"/>
        <v>-1.8579448114782082E-2</v>
      </c>
      <c r="G484">
        <f t="shared" si="21"/>
        <v>-2.9029062028976448E-2</v>
      </c>
    </row>
    <row r="485" spans="1:7" x14ac:dyDescent="0.35">
      <c r="A485" t="s">
        <v>38</v>
      </c>
      <c r="E485">
        <v>1.1413472143964321E-2</v>
      </c>
      <c r="F485">
        <f t="shared" si="20"/>
        <v>-1.8579684615298426E-2</v>
      </c>
      <c r="G485">
        <f t="shared" si="21"/>
        <v>-2.9029062028976448E-2</v>
      </c>
    </row>
    <row r="486" spans="1:7" x14ac:dyDescent="0.35">
      <c r="A486" t="s">
        <v>38</v>
      </c>
      <c r="E486">
        <v>-6.7858920056227141E-3</v>
      </c>
      <c r="F486">
        <f t="shared" si="20"/>
        <v>-1.8579921115814767E-2</v>
      </c>
      <c r="G486">
        <f t="shared" si="21"/>
        <v>-2.9029062028976448E-2</v>
      </c>
    </row>
    <row r="487" spans="1:7" x14ac:dyDescent="0.35">
      <c r="A487" t="s">
        <v>38</v>
      </c>
      <c r="E487">
        <v>-1.1485916855426535E-3</v>
      </c>
      <c r="F487">
        <f t="shared" si="20"/>
        <v>-1.8580157616331111E-2</v>
      </c>
      <c r="G487">
        <f t="shared" si="21"/>
        <v>-2.9029062028976448E-2</v>
      </c>
    </row>
    <row r="488" spans="1:7" x14ac:dyDescent="0.35">
      <c r="A488" t="s">
        <v>38</v>
      </c>
      <c r="E488">
        <v>-2.5670032659792022E-2</v>
      </c>
      <c r="F488">
        <f t="shared" si="20"/>
        <v>-1.8580394116847452E-2</v>
      </c>
      <c r="G488">
        <f t="shared" si="21"/>
        <v>-2.9029062028976448E-2</v>
      </c>
    </row>
    <row r="489" spans="1:7" x14ac:dyDescent="0.35">
      <c r="A489" t="s">
        <v>38</v>
      </c>
      <c r="E489">
        <v>2.4526424688680989E-2</v>
      </c>
      <c r="F489">
        <f t="shared" si="20"/>
        <v>-1.8440459835789125E-2</v>
      </c>
      <c r="G489">
        <f t="shared" si="21"/>
        <v>-2.8986341965439848E-2</v>
      </c>
    </row>
    <row r="490" spans="1:7" x14ac:dyDescent="0.35">
      <c r="A490" t="s">
        <v>38</v>
      </c>
      <c r="E490">
        <v>-2.6434242142796986E-2</v>
      </c>
      <c r="F490">
        <f t="shared" si="20"/>
        <v>-1.8453009133691634E-2</v>
      </c>
      <c r="G490">
        <f t="shared" si="21"/>
        <v>-2.8986341965439848E-2</v>
      </c>
    </row>
    <row r="491" spans="1:7" x14ac:dyDescent="0.35">
      <c r="A491" t="s">
        <v>38</v>
      </c>
      <c r="E491">
        <v>-3.5244698311718546E-3</v>
      </c>
      <c r="F491">
        <f t="shared" si="20"/>
        <v>-1.8321087998086277E-2</v>
      </c>
      <c r="G491">
        <f t="shared" si="21"/>
        <v>-2.8937506266716175E-2</v>
      </c>
    </row>
    <row r="492" spans="1:7" x14ac:dyDescent="0.35">
      <c r="A492" t="s">
        <v>38</v>
      </c>
      <c r="E492">
        <v>-3.3876687195497107E-2</v>
      </c>
      <c r="F492">
        <f t="shared" si="20"/>
        <v>-1.8321802237706308E-2</v>
      </c>
      <c r="G492">
        <f t="shared" si="21"/>
        <v>-2.8937506266716175E-2</v>
      </c>
    </row>
    <row r="493" spans="1:7" x14ac:dyDescent="0.35">
      <c r="A493" t="s">
        <v>38</v>
      </c>
      <c r="E493">
        <v>7.5516267086585334E-3</v>
      </c>
      <c r="F493">
        <f t="shared" si="20"/>
        <v>-1.8307642567208075E-2</v>
      </c>
      <c r="G493">
        <f t="shared" si="21"/>
        <v>-2.8843750508684658E-2</v>
      </c>
    </row>
    <row r="494" spans="1:7" x14ac:dyDescent="0.35">
      <c r="A494" t="s">
        <v>38</v>
      </c>
      <c r="E494">
        <v>-8.8528018162107539E-3</v>
      </c>
      <c r="F494">
        <f t="shared" si="20"/>
        <v>-1.8308440966502054E-2</v>
      </c>
      <c r="G494">
        <f t="shared" si="21"/>
        <v>-2.8843750508684658E-2</v>
      </c>
    </row>
    <row r="495" spans="1:7" x14ac:dyDescent="0.35">
      <c r="A495" t="s">
        <v>38</v>
      </c>
      <c r="E495">
        <v>6.3903138473276689E-4</v>
      </c>
      <c r="F495">
        <f t="shared" si="20"/>
        <v>-1.8309239365796034E-2</v>
      </c>
      <c r="G495">
        <f t="shared" si="21"/>
        <v>-2.8843750508684658E-2</v>
      </c>
    </row>
    <row r="496" spans="1:7" x14ac:dyDescent="0.35">
      <c r="A496" t="s">
        <v>38</v>
      </c>
      <c r="E496">
        <v>2.6932148777790647E-2</v>
      </c>
      <c r="F496">
        <f t="shared" si="20"/>
        <v>-1.8310037765090013E-2</v>
      </c>
      <c r="G496">
        <f t="shared" si="21"/>
        <v>-2.8843750508684658E-2</v>
      </c>
    </row>
    <row r="497" spans="1:7" x14ac:dyDescent="0.35">
      <c r="A497" t="s">
        <v>38</v>
      </c>
      <c r="E497">
        <v>-8.1895210465748533E-3</v>
      </c>
      <c r="F497">
        <f t="shared" si="20"/>
        <v>-1.8310836164383993E-2</v>
      </c>
      <c r="G497">
        <f t="shared" si="21"/>
        <v>-2.8843750508684658E-2</v>
      </c>
    </row>
    <row r="498" spans="1:7" x14ac:dyDescent="0.35">
      <c r="A498" t="s">
        <v>38</v>
      </c>
      <c r="E498">
        <v>1.3545985995729076E-2</v>
      </c>
      <c r="F498">
        <f t="shared" si="20"/>
        <v>-1.8311634563677973E-2</v>
      </c>
      <c r="G498">
        <f t="shared" si="21"/>
        <v>-2.8843750508684658E-2</v>
      </c>
    </row>
    <row r="499" spans="1:7" x14ac:dyDescent="0.35">
      <c r="A499" t="s">
        <v>38</v>
      </c>
      <c r="E499">
        <v>9.8123688737235069E-3</v>
      </c>
      <c r="F499">
        <f t="shared" si="20"/>
        <v>-1.8312432962971952E-2</v>
      </c>
      <c r="G499">
        <f t="shared" si="21"/>
        <v>-2.8843750508684658E-2</v>
      </c>
    </row>
    <row r="500" spans="1:7" x14ac:dyDescent="0.35">
      <c r="A500" t="s">
        <v>38</v>
      </c>
      <c r="E500">
        <v>-1.0046786607196205E-2</v>
      </c>
      <c r="F500">
        <f t="shared" si="20"/>
        <v>-1.8313231362265932E-2</v>
      </c>
      <c r="G500">
        <f t="shared" si="21"/>
        <v>-2.8843750508684658E-2</v>
      </c>
    </row>
    <row r="501" spans="1:7" x14ac:dyDescent="0.35">
      <c r="A501" t="s">
        <v>38</v>
      </c>
      <c r="E501">
        <v>1.822385656126612E-2</v>
      </c>
      <c r="F501">
        <f t="shared" si="20"/>
        <v>-1.8313945601885963E-2</v>
      </c>
      <c r="G501">
        <f t="shared" si="21"/>
        <v>-2.8907571836844774E-2</v>
      </c>
    </row>
    <row r="502" spans="1:7" x14ac:dyDescent="0.35">
      <c r="A502" t="s">
        <v>38</v>
      </c>
      <c r="E502">
        <v>1.0258751381682535E-2</v>
      </c>
      <c r="F502">
        <f t="shared" si="20"/>
        <v>-1.8314659841505994E-2</v>
      </c>
      <c r="G502">
        <f t="shared" si="21"/>
        <v>-2.8907571836844774E-2</v>
      </c>
    </row>
    <row r="503" spans="1:7" x14ac:dyDescent="0.35">
      <c r="A503" t="s">
        <v>39</v>
      </c>
      <c r="B503" s="3" cm="1">
        <f t="array" ref="B503">_xlfn.STDEV.S(_xlfn._xlws.FILTER($E$2:$E$1000, $A$2:$A$1000="2012-01"))</f>
        <v>1.2870850423329454E-2</v>
      </c>
      <c r="C503" s="3" cm="1">
        <f t="array" ref="C503">AVERAGE(_xlfn._xlws.FILTER($E$2:$E$1000, $A$2:$A$1000="2012-01"))</f>
        <v>2.0462418458271495E-3</v>
      </c>
      <c r="D503" s="3" cm="1">
        <f t="array" ref="D503">_xlfn.PERCENTILE.EXC(_xlfn._xlws.FILTER($E$503:$E$750, $A$503:$A$750="2012-01"), 0.05)</f>
        <v>-1.6129326141021562E-2</v>
      </c>
      <c r="E503">
        <v>2.6726709914432399E-2</v>
      </c>
      <c r="F503">
        <f t="shared" si="20"/>
        <v>-1.8315374081126025E-2</v>
      </c>
      <c r="G503">
        <f t="shared" si="21"/>
        <v>-2.8907571836844774E-2</v>
      </c>
    </row>
    <row r="504" spans="1:7" x14ac:dyDescent="0.35">
      <c r="A504" t="s">
        <v>39</v>
      </c>
      <c r="E504">
        <v>-1.607414579822496E-2</v>
      </c>
      <c r="F504">
        <f t="shared" si="20"/>
        <v>-1.8316088320746056E-2</v>
      </c>
      <c r="G504">
        <f t="shared" si="21"/>
        <v>-2.8907571836844774E-2</v>
      </c>
    </row>
    <row r="505" spans="1:7" x14ac:dyDescent="0.35">
      <c r="A505" t="s">
        <v>39</v>
      </c>
      <c r="E505">
        <v>-1.5379190434286637E-2</v>
      </c>
      <c r="F505">
        <f t="shared" si="20"/>
        <v>-1.8316802560366087E-2</v>
      </c>
      <c r="G505">
        <f t="shared" si="21"/>
        <v>-2.8907571836844774E-2</v>
      </c>
    </row>
    <row r="506" spans="1:7" x14ac:dyDescent="0.35">
      <c r="A506" t="s">
        <v>39</v>
      </c>
      <c r="E506">
        <v>-2.4035909423989325E-3</v>
      </c>
      <c r="F506">
        <f t="shared" si="20"/>
        <v>-1.8317516799986121E-2</v>
      </c>
      <c r="G506">
        <f t="shared" si="21"/>
        <v>-2.8907571836844774E-2</v>
      </c>
    </row>
    <row r="507" spans="1:7" x14ac:dyDescent="0.35">
      <c r="A507" t="s">
        <v>39</v>
      </c>
      <c r="E507">
        <v>-3.0869690358701018E-3</v>
      </c>
      <c r="F507">
        <f t="shared" si="20"/>
        <v>-1.8318231039606152E-2</v>
      </c>
      <c r="G507">
        <f t="shared" si="21"/>
        <v>-2.8907571836844774E-2</v>
      </c>
    </row>
    <row r="508" spans="1:7" x14ac:dyDescent="0.35">
      <c r="A508" t="s">
        <v>39</v>
      </c>
      <c r="E508">
        <v>2.6222299869315221E-2</v>
      </c>
      <c r="F508">
        <f t="shared" si="20"/>
        <v>-1.8318945279226184E-2</v>
      </c>
      <c r="G508">
        <f t="shared" si="21"/>
        <v>-2.8907571836844774E-2</v>
      </c>
    </row>
    <row r="509" spans="1:7" x14ac:dyDescent="0.35">
      <c r="A509" t="s">
        <v>39</v>
      </c>
      <c r="E509">
        <v>-1.8579659376683248E-3</v>
      </c>
      <c r="F509">
        <f t="shared" si="20"/>
        <v>-1.8319659518846215E-2</v>
      </c>
      <c r="G509">
        <f t="shared" si="21"/>
        <v>-2.8907571836844774E-2</v>
      </c>
    </row>
    <row r="510" spans="1:7" x14ac:dyDescent="0.35">
      <c r="A510" t="s">
        <v>39</v>
      </c>
      <c r="E510">
        <v>-1.5144870580158481E-3</v>
      </c>
      <c r="F510">
        <f t="shared" si="20"/>
        <v>-1.8320373758466246E-2</v>
      </c>
      <c r="G510">
        <f t="shared" si="21"/>
        <v>-2.8907571836844774E-2</v>
      </c>
    </row>
    <row r="511" spans="1:7" x14ac:dyDescent="0.35">
      <c r="A511" t="s">
        <v>39</v>
      </c>
      <c r="E511">
        <v>-1.0912269881099509E-3</v>
      </c>
      <c r="F511">
        <f t="shared" si="20"/>
        <v>-1.8321087998086277E-2</v>
      </c>
      <c r="G511">
        <f t="shared" si="21"/>
        <v>-2.8907571836844774E-2</v>
      </c>
    </row>
    <row r="512" spans="1:7" x14ac:dyDescent="0.35">
      <c r="A512" t="s">
        <v>39</v>
      </c>
      <c r="E512">
        <v>8.879617449696238E-3</v>
      </c>
      <c r="F512">
        <f t="shared" si="20"/>
        <v>-1.8321802237706308E-2</v>
      </c>
      <c r="G512">
        <f t="shared" si="21"/>
        <v>-2.8907571836844774E-2</v>
      </c>
    </row>
    <row r="513" spans="1:7" x14ac:dyDescent="0.35">
      <c r="A513" t="s">
        <v>39</v>
      </c>
      <c r="E513">
        <v>1.3853976552774592E-2</v>
      </c>
      <c r="F513">
        <f t="shared" si="20"/>
        <v>-1.8322516477326339E-2</v>
      </c>
      <c r="G513">
        <f t="shared" si="21"/>
        <v>-2.8907571836844774E-2</v>
      </c>
    </row>
    <row r="514" spans="1:7" x14ac:dyDescent="0.35">
      <c r="A514" t="s">
        <v>39</v>
      </c>
      <c r="E514">
        <v>-1.5486038118997022E-3</v>
      </c>
      <c r="F514">
        <f t="shared" si="20"/>
        <v>-1.832323071694637E-2</v>
      </c>
      <c r="G514">
        <f t="shared" si="21"/>
        <v>-2.8907571836844774E-2</v>
      </c>
    </row>
    <row r="515" spans="1:7" x14ac:dyDescent="0.35">
      <c r="A515" t="s">
        <v>39</v>
      </c>
      <c r="E515">
        <v>1.9415612011393663E-2</v>
      </c>
      <c r="F515">
        <f t="shared" si="20"/>
        <v>-1.8323944956566404E-2</v>
      </c>
      <c r="G515">
        <f t="shared" si="21"/>
        <v>-2.8907571836844774E-2</v>
      </c>
    </row>
    <row r="516" spans="1:7" x14ac:dyDescent="0.35">
      <c r="A516" t="s">
        <v>39</v>
      </c>
      <c r="E516">
        <v>-2.2374468768455533E-3</v>
      </c>
      <c r="F516">
        <f t="shared" ref="F516:F579" si="22">_xlfn.PERCENTILE.EXC(E516:E4331,0.05)</f>
        <v>-1.8324659196186435E-2</v>
      </c>
      <c r="G516">
        <f t="shared" ref="G516:G579" si="23">AVERAGEIFS(E516:E4332,E516:E4332,"&lt;=" &amp; F516)</f>
        <v>-2.8907571836844774E-2</v>
      </c>
    </row>
    <row r="517" spans="1:7" x14ac:dyDescent="0.35">
      <c r="A517" t="s">
        <v>39</v>
      </c>
      <c r="E517">
        <v>5.081153047943091E-3</v>
      </c>
      <c r="F517">
        <f t="shared" si="22"/>
        <v>-1.8325373435806466E-2</v>
      </c>
      <c r="G517">
        <f t="shared" si="23"/>
        <v>-2.8907571836844774E-2</v>
      </c>
    </row>
    <row r="518" spans="1:7" x14ac:dyDescent="0.35">
      <c r="A518" t="s">
        <v>39</v>
      </c>
      <c r="E518">
        <v>-4.7349838580589927E-3</v>
      </c>
      <c r="F518">
        <f t="shared" si="22"/>
        <v>-1.8326087675426497E-2</v>
      </c>
      <c r="G518">
        <f t="shared" si="23"/>
        <v>-2.8907571836844774E-2</v>
      </c>
    </row>
    <row r="519" spans="1:7" x14ac:dyDescent="0.35">
      <c r="A519" t="s">
        <v>39</v>
      </c>
      <c r="E519">
        <v>-3.0655037547785125E-3</v>
      </c>
      <c r="F519">
        <f t="shared" si="22"/>
        <v>-1.8326801915046528E-2</v>
      </c>
      <c r="G519">
        <f t="shared" si="23"/>
        <v>-2.8907571836844774E-2</v>
      </c>
    </row>
    <row r="520" spans="1:7" x14ac:dyDescent="0.35">
      <c r="A520" t="s">
        <v>39</v>
      </c>
      <c r="E520">
        <v>1.5204668178564851E-2</v>
      </c>
      <c r="F520">
        <f t="shared" si="22"/>
        <v>-1.8327516154666559E-2</v>
      </c>
      <c r="G520">
        <f t="shared" si="23"/>
        <v>-2.8907571836844774E-2</v>
      </c>
    </row>
    <row r="521" spans="1:7" x14ac:dyDescent="0.35">
      <c r="A521" t="s">
        <v>39</v>
      </c>
      <c r="E521">
        <v>-1.3310602550582749E-2</v>
      </c>
      <c r="F521">
        <f t="shared" si="22"/>
        <v>-1.8340065452569061E-2</v>
      </c>
      <c r="G521">
        <f t="shared" si="23"/>
        <v>-2.8972084371492197E-2</v>
      </c>
    </row>
    <row r="522" spans="1:7" x14ac:dyDescent="0.35">
      <c r="A522" t="s">
        <v>39</v>
      </c>
      <c r="E522">
        <v>-1.6135457290221183E-2</v>
      </c>
      <c r="F522">
        <f t="shared" si="22"/>
        <v>-1.8352614750471574E-2</v>
      </c>
      <c r="G522">
        <f t="shared" si="23"/>
        <v>-2.8972084371492197E-2</v>
      </c>
    </row>
    <row r="523" spans="1:7" x14ac:dyDescent="0.35">
      <c r="A523" t="s">
        <v>39</v>
      </c>
      <c r="E523">
        <v>1.0027216075211528E-2</v>
      </c>
      <c r="F523">
        <f t="shared" si="22"/>
        <v>-1.8365164048374075E-2</v>
      </c>
      <c r="G523">
        <f t="shared" si="23"/>
        <v>-2.8972084371492197E-2</v>
      </c>
    </row>
    <row r="524" spans="1:7" x14ac:dyDescent="0.35">
      <c r="A524" t="s">
        <v>40</v>
      </c>
      <c r="B524" s="3" cm="1">
        <f t="array" ref="B524">_xlfn.STDEV.S(_xlfn._xlws.FILTER($E$2:$E$1000, $A$2:$A$1000="2012-02"))</f>
        <v>8.0749584709176331E-3</v>
      </c>
      <c r="C524" s="3" cm="1">
        <f t="array" ref="C524">AVERAGE(_xlfn._xlws.FILTER($E$2:$E$1000, $A$2:$A$1000="2012-02"))</f>
        <v>2.1714831412367585E-3</v>
      </c>
      <c r="D524" s="3" cm="1">
        <f t="array" ref="D524">_xlfn.PERCENTILE.EXC(_xlfn._xlws.FILTER($E$503:$E$750, $A$503:$A$750="2012-02"), 0.05)</f>
        <v>-1.4396004318346818E-2</v>
      </c>
      <c r="E524">
        <v>2.0675773012639804E-2</v>
      </c>
      <c r="F524">
        <f t="shared" si="22"/>
        <v>-1.8377713346276588E-2</v>
      </c>
      <c r="G524">
        <f t="shared" si="23"/>
        <v>-2.8972084371492197E-2</v>
      </c>
    </row>
    <row r="525" spans="1:7" x14ac:dyDescent="0.35">
      <c r="A525" t="s">
        <v>40</v>
      </c>
      <c r="E525">
        <v>2.7283042729942357E-3</v>
      </c>
      <c r="F525">
        <f t="shared" si="22"/>
        <v>-1.8390262644179096E-2</v>
      </c>
      <c r="G525">
        <f t="shared" si="23"/>
        <v>-2.8972084371492197E-2</v>
      </c>
    </row>
    <row r="526" spans="1:7" x14ac:dyDescent="0.35">
      <c r="A526" t="s">
        <v>40</v>
      </c>
      <c r="E526">
        <v>1.5066607983474782E-2</v>
      </c>
      <c r="F526">
        <f t="shared" si="22"/>
        <v>-1.8402811942081602E-2</v>
      </c>
      <c r="G526">
        <f t="shared" si="23"/>
        <v>-2.8972084371492197E-2</v>
      </c>
    </row>
    <row r="527" spans="1:7" x14ac:dyDescent="0.35">
      <c r="A527" t="s">
        <v>40</v>
      </c>
      <c r="E527">
        <v>-6.6294316283794976E-3</v>
      </c>
      <c r="F527">
        <f t="shared" si="22"/>
        <v>-1.8415361239984111E-2</v>
      </c>
      <c r="G527">
        <f t="shared" si="23"/>
        <v>-2.8972084371492197E-2</v>
      </c>
    </row>
    <row r="528" spans="1:7" x14ac:dyDescent="0.35">
      <c r="A528" t="s">
        <v>40</v>
      </c>
      <c r="E528">
        <v>1.8395706402701965E-3</v>
      </c>
      <c r="F528">
        <f t="shared" si="22"/>
        <v>-1.8427910537886616E-2</v>
      </c>
      <c r="G528">
        <f t="shared" si="23"/>
        <v>-2.8972084371492197E-2</v>
      </c>
    </row>
    <row r="529" spans="1:7" x14ac:dyDescent="0.35">
      <c r="A529" t="s">
        <v>40</v>
      </c>
      <c r="E529">
        <v>-4.5151095681100317E-4</v>
      </c>
      <c r="F529">
        <f t="shared" si="22"/>
        <v>-1.8440459835789125E-2</v>
      </c>
      <c r="G529">
        <f t="shared" si="23"/>
        <v>-2.8972084371492197E-2</v>
      </c>
    </row>
    <row r="530" spans="1:7" x14ac:dyDescent="0.35">
      <c r="A530" t="s">
        <v>40</v>
      </c>
      <c r="E530">
        <v>4.3045053010798652E-3</v>
      </c>
      <c r="F530">
        <f t="shared" si="22"/>
        <v>-1.8453009133691634E-2</v>
      </c>
      <c r="G530">
        <f t="shared" si="23"/>
        <v>-2.8972084371492197E-2</v>
      </c>
    </row>
    <row r="531" spans="1:7" x14ac:dyDescent="0.35">
      <c r="A531" t="s">
        <v>40</v>
      </c>
      <c r="E531">
        <v>-1.517273530066989E-2</v>
      </c>
      <c r="F531">
        <f t="shared" si="22"/>
        <v>-1.8465558431594139E-2</v>
      </c>
      <c r="G531">
        <f t="shared" si="23"/>
        <v>-2.8972084371492197E-2</v>
      </c>
    </row>
    <row r="532" spans="1:7" x14ac:dyDescent="0.35">
      <c r="A532" t="s">
        <v>40</v>
      </c>
      <c r="E532">
        <v>3.3768967924723446E-3</v>
      </c>
      <c r="F532">
        <f t="shared" si="22"/>
        <v>-1.8478107729496648E-2</v>
      </c>
      <c r="G532">
        <f t="shared" si="23"/>
        <v>-2.8972084371492197E-2</v>
      </c>
    </row>
    <row r="533" spans="1:7" x14ac:dyDescent="0.35">
      <c r="A533" t="s">
        <v>40</v>
      </c>
      <c r="E533">
        <v>-2.6360221116106092E-3</v>
      </c>
      <c r="F533">
        <f t="shared" si="22"/>
        <v>-1.8490657027399153E-2</v>
      </c>
      <c r="G533">
        <f t="shared" si="23"/>
        <v>-2.8972084371492197E-2</v>
      </c>
    </row>
    <row r="534" spans="1:7" x14ac:dyDescent="0.35">
      <c r="A534" t="s">
        <v>40</v>
      </c>
      <c r="E534">
        <v>4.3482249240382803E-3</v>
      </c>
      <c r="F534">
        <f t="shared" si="22"/>
        <v>-1.8503206325301662E-2</v>
      </c>
      <c r="G534">
        <f t="shared" si="23"/>
        <v>-2.8972084371492197E-2</v>
      </c>
    </row>
    <row r="535" spans="1:7" x14ac:dyDescent="0.35">
      <c r="A535" t="s">
        <v>40</v>
      </c>
      <c r="E535">
        <v>8.5500329520199795E-4</v>
      </c>
      <c r="F535">
        <f t="shared" si="22"/>
        <v>-1.8515755623204174E-2</v>
      </c>
      <c r="G535">
        <f t="shared" si="23"/>
        <v>-2.8972084371492197E-2</v>
      </c>
    </row>
    <row r="536" spans="1:7" x14ac:dyDescent="0.35">
      <c r="A536" t="s">
        <v>40</v>
      </c>
      <c r="E536">
        <v>1.3572835971370217E-2</v>
      </c>
      <c r="F536">
        <f t="shared" si="22"/>
        <v>-1.8528304921106676E-2</v>
      </c>
      <c r="G536">
        <f t="shared" si="23"/>
        <v>-2.8972084371492197E-2</v>
      </c>
    </row>
    <row r="537" spans="1:7" x14ac:dyDescent="0.35">
      <c r="A537" t="s">
        <v>40</v>
      </c>
      <c r="E537">
        <v>9.5253144911839217E-3</v>
      </c>
      <c r="F537">
        <f t="shared" si="22"/>
        <v>-1.8540854219009188E-2</v>
      </c>
      <c r="G537">
        <f t="shared" si="23"/>
        <v>-2.8972084371492197E-2</v>
      </c>
    </row>
    <row r="538" spans="1:7" x14ac:dyDescent="0.35">
      <c r="A538" t="s">
        <v>40</v>
      </c>
      <c r="E538">
        <v>-2.1044203460057016E-3</v>
      </c>
      <c r="F538">
        <f t="shared" si="22"/>
        <v>-1.855340351691169E-2</v>
      </c>
      <c r="G538">
        <f t="shared" si="23"/>
        <v>-2.8972084371492197E-2</v>
      </c>
    </row>
    <row r="539" spans="1:7" x14ac:dyDescent="0.35">
      <c r="A539" t="s">
        <v>40</v>
      </c>
      <c r="E539">
        <v>-5.1702728225576011E-3</v>
      </c>
      <c r="F539">
        <f t="shared" si="22"/>
        <v>-1.8565952814814202E-2</v>
      </c>
      <c r="G539">
        <f t="shared" si="23"/>
        <v>-2.8972084371492197E-2</v>
      </c>
    </row>
    <row r="540" spans="1:7" x14ac:dyDescent="0.35">
      <c r="A540" t="s">
        <v>40</v>
      </c>
      <c r="E540">
        <v>-1.7404723642458267E-5</v>
      </c>
      <c r="F540">
        <f t="shared" si="22"/>
        <v>-1.8578502112716711E-2</v>
      </c>
      <c r="G540">
        <f t="shared" si="23"/>
        <v>-2.8972084371492197E-2</v>
      </c>
    </row>
    <row r="541" spans="1:7" x14ac:dyDescent="0.35">
      <c r="A541" t="s">
        <v>40</v>
      </c>
      <c r="E541">
        <v>5.7041029132969216E-3</v>
      </c>
      <c r="F541">
        <f t="shared" si="22"/>
        <v>-1.8578738613233056E-2</v>
      </c>
      <c r="G541">
        <f t="shared" si="23"/>
        <v>-2.9035848679828245E-2</v>
      </c>
    </row>
    <row r="542" spans="1:7" x14ac:dyDescent="0.35">
      <c r="A542" t="s">
        <v>40</v>
      </c>
      <c r="E542">
        <v>-7.4054254774391752E-3</v>
      </c>
      <c r="F542">
        <f t="shared" si="22"/>
        <v>-1.8578975113749396E-2</v>
      </c>
      <c r="G542">
        <f t="shared" si="23"/>
        <v>-2.9035848679828245E-2</v>
      </c>
    </row>
    <row r="543" spans="1:7" x14ac:dyDescent="0.35">
      <c r="A543" t="s">
        <v>40</v>
      </c>
      <c r="E543">
        <v>3.6371903241743018E-3</v>
      </c>
      <c r="F543">
        <f t="shared" si="22"/>
        <v>-1.8579211614265741E-2</v>
      </c>
      <c r="G543">
        <f t="shared" si="23"/>
        <v>-2.9035848679828245E-2</v>
      </c>
    </row>
    <row r="544" spans="1:7" x14ac:dyDescent="0.35">
      <c r="A544" t="s">
        <v>40</v>
      </c>
      <c r="E544">
        <v>-4.4596058910900753E-4</v>
      </c>
      <c r="F544">
        <f t="shared" si="22"/>
        <v>-1.8579448114782082E-2</v>
      </c>
      <c r="G544">
        <f t="shared" si="23"/>
        <v>-2.9035848679828245E-2</v>
      </c>
    </row>
    <row r="545" spans="1:7" x14ac:dyDescent="0.35">
      <c r="A545" t="s">
        <v>41</v>
      </c>
      <c r="B545" s="3" cm="1">
        <f t="array" ref="B545">_xlfn.STDEV.S(_xlfn._xlws.FILTER($E$2:$E$1000, $A$2:$A$1000="2012-03"))</f>
        <v>1.3214896999264846E-2</v>
      </c>
      <c r="C545" s="3" cm="1">
        <f t="array" ref="C545">AVERAGE(_xlfn._xlws.FILTER($E$2:$E$1000, $A$2:$A$1000="2012-03"))</f>
        <v>-3.7864353870829934E-4</v>
      </c>
      <c r="D545" s="3" cm="1">
        <f t="array" ref="D545">_xlfn.PERCENTILE.EXC(_xlfn._xlws.FILTER($E$503:$E$750, $A$503:$A$750="2012-03"), 0.05)</f>
        <v>-3.3373314924004499E-2</v>
      </c>
      <c r="E545">
        <v>1.3601698725353091E-2</v>
      </c>
      <c r="F545">
        <f t="shared" si="22"/>
        <v>-1.8579684615298426E-2</v>
      </c>
      <c r="G545">
        <f t="shared" si="23"/>
        <v>-2.9035848679828245E-2</v>
      </c>
    </row>
    <row r="546" spans="1:7" x14ac:dyDescent="0.35">
      <c r="A546" t="s">
        <v>41</v>
      </c>
      <c r="E546">
        <v>4.1137568607101392E-4</v>
      </c>
      <c r="F546">
        <f t="shared" si="22"/>
        <v>-1.8579921115814767E-2</v>
      </c>
      <c r="G546">
        <f t="shared" si="23"/>
        <v>-2.9035848679828245E-2</v>
      </c>
    </row>
    <row r="547" spans="1:7" x14ac:dyDescent="0.35">
      <c r="A547" t="s">
        <v>41</v>
      </c>
      <c r="E547">
        <v>-3.9005817328734644E-3</v>
      </c>
      <c r="F547">
        <f t="shared" si="22"/>
        <v>-1.8580157616331111E-2</v>
      </c>
      <c r="G547">
        <f t="shared" si="23"/>
        <v>-2.9035848679828245E-2</v>
      </c>
    </row>
    <row r="548" spans="1:7" x14ac:dyDescent="0.35">
      <c r="A548" t="s">
        <v>41</v>
      </c>
      <c r="E548">
        <v>-3.6494027980830963E-2</v>
      </c>
      <c r="F548">
        <f t="shared" si="22"/>
        <v>-1.8580394116847452E-2</v>
      </c>
      <c r="G548">
        <f t="shared" si="23"/>
        <v>-2.9035848679828245E-2</v>
      </c>
    </row>
    <row r="549" spans="1:7" x14ac:dyDescent="0.35">
      <c r="A549" t="s">
        <v>41</v>
      </c>
      <c r="E549">
        <v>8.8144122984321147E-3</v>
      </c>
      <c r="F549">
        <f t="shared" si="22"/>
        <v>-1.8440459835789125E-2</v>
      </c>
      <c r="G549">
        <f t="shared" si="23"/>
        <v>-2.892593747818337E-2</v>
      </c>
    </row>
    <row r="550" spans="1:7" x14ac:dyDescent="0.35">
      <c r="A550" t="s">
        <v>41</v>
      </c>
      <c r="E550">
        <v>2.5043917405253861E-2</v>
      </c>
      <c r="F550">
        <f t="shared" si="22"/>
        <v>-1.8453009133691634E-2</v>
      </c>
      <c r="G550">
        <f t="shared" si="23"/>
        <v>-2.892593747818337E-2</v>
      </c>
    </row>
    <row r="551" spans="1:7" x14ac:dyDescent="0.35">
      <c r="A551" t="s">
        <v>41</v>
      </c>
      <c r="E551">
        <v>2.6184940254004021E-3</v>
      </c>
      <c r="F551">
        <f t="shared" si="22"/>
        <v>-1.8465558431594139E-2</v>
      </c>
      <c r="G551">
        <f t="shared" si="23"/>
        <v>-2.892593747818337E-2</v>
      </c>
    </row>
    <row r="552" spans="1:7" x14ac:dyDescent="0.35">
      <c r="A552" t="s">
        <v>41</v>
      </c>
      <c r="E552">
        <v>7.3951567961780284E-4</v>
      </c>
      <c r="F552">
        <f t="shared" si="22"/>
        <v>-1.8478107729496648E-2</v>
      </c>
      <c r="G552">
        <f t="shared" si="23"/>
        <v>-2.892593747818337E-2</v>
      </c>
    </row>
    <row r="553" spans="1:7" x14ac:dyDescent="0.35">
      <c r="A553" t="s">
        <v>41</v>
      </c>
      <c r="E553">
        <v>1.7073744850585788E-2</v>
      </c>
      <c r="F553">
        <f t="shared" si="22"/>
        <v>-1.8490657027399153E-2</v>
      </c>
      <c r="G553">
        <f t="shared" si="23"/>
        <v>-2.892593747818337E-2</v>
      </c>
    </row>
    <row r="554" spans="1:7" x14ac:dyDescent="0.35">
      <c r="A554" t="s">
        <v>41</v>
      </c>
      <c r="E554">
        <v>4.033924119950752E-3</v>
      </c>
      <c r="F554">
        <f t="shared" si="22"/>
        <v>-1.8503206325301662E-2</v>
      </c>
      <c r="G554">
        <f t="shared" si="23"/>
        <v>-2.892593747818337E-2</v>
      </c>
    </row>
    <row r="555" spans="1:7" x14ac:dyDescent="0.35">
      <c r="A555" t="s">
        <v>41</v>
      </c>
      <c r="E555">
        <v>4.3948608959318526E-3</v>
      </c>
      <c r="F555">
        <f t="shared" si="22"/>
        <v>-1.8515755623204174E-2</v>
      </c>
      <c r="G555">
        <f t="shared" si="23"/>
        <v>-2.892593747818337E-2</v>
      </c>
    </row>
    <row r="556" spans="1:7" x14ac:dyDescent="0.35">
      <c r="A556" t="s">
        <v>41</v>
      </c>
      <c r="E556">
        <v>4.0752442449397269E-3</v>
      </c>
      <c r="F556">
        <f t="shared" si="22"/>
        <v>-1.8528304921106676E-2</v>
      </c>
      <c r="G556">
        <f t="shared" si="23"/>
        <v>-2.892593747818337E-2</v>
      </c>
    </row>
    <row r="557" spans="1:7" x14ac:dyDescent="0.35">
      <c r="A557" t="s">
        <v>41</v>
      </c>
      <c r="E557">
        <v>-4.726255920481909E-3</v>
      </c>
      <c r="F557">
        <f t="shared" si="22"/>
        <v>-1.8540854219009188E-2</v>
      </c>
      <c r="G557">
        <f t="shared" si="23"/>
        <v>-2.892593747818337E-2</v>
      </c>
    </row>
    <row r="558" spans="1:7" x14ac:dyDescent="0.35">
      <c r="A558" t="s">
        <v>41</v>
      </c>
      <c r="E558">
        <v>-1.3237475448733644E-2</v>
      </c>
      <c r="F558">
        <f t="shared" si="22"/>
        <v>-1.855340351691169E-2</v>
      </c>
      <c r="G558">
        <f t="shared" si="23"/>
        <v>-2.892593747818337E-2</v>
      </c>
    </row>
    <row r="559" spans="1:7" x14ac:dyDescent="0.35">
      <c r="A559" t="s">
        <v>41</v>
      </c>
      <c r="E559">
        <v>-9.8042001562800352E-4</v>
      </c>
      <c r="F559">
        <f t="shared" si="22"/>
        <v>-1.8565952814814202E-2</v>
      </c>
      <c r="G559">
        <f t="shared" si="23"/>
        <v>-2.892593747818337E-2</v>
      </c>
    </row>
    <row r="560" spans="1:7" x14ac:dyDescent="0.35">
      <c r="A560" t="s">
        <v>41</v>
      </c>
      <c r="E560">
        <v>-1.5689274268654536E-2</v>
      </c>
      <c r="F560">
        <f t="shared" si="22"/>
        <v>-1.8578502112716711E-2</v>
      </c>
      <c r="G560">
        <f t="shared" si="23"/>
        <v>-2.892593747818337E-2</v>
      </c>
    </row>
    <row r="561" spans="1:7" x14ac:dyDescent="0.35">
      <c r="A561" t="s">
        <v>41</v>
      </c>
      <c r="E561">
        <v>1.0707132202537491E-3</v>
      </c>
      <c r="F561">
        <f t="shared" si="22"/>
        <v>-1.8578738613233056E-2</v>
      </c>
      <c r="G561">
        <f t="shared" si="23"/>
        <v>-2.8989810535994899E-2</v>
      </c>
    </row>
    <row r="562" spans="1:7" x14ac:dyDescent="0.35">
      <c r="A562" t="s">
        <v>41</v>
      </c>
      <c r="E562">
        <v>7.3945331032823297E-3</v>
      </c>
      <c r="F562">
        <f t="shared" si="22"/>
        <v>-1.8578975113749396E-2</v>
      </c>
      <c r="G562">
        <f t="shared" si="23"/>
        <v>-2.8989810535994899E-2</v>
      </c>
    </row>
    <row r="563" spans="1:7" x14ac:dyDescent="0.35">
      <c r="A563" t="s">
        <v>41</v>
      </c>
      <c r="E563">
        <v>-9.2920914668329895E-3</v>
      </c>
      <c r="F563">
        <f t="shared" si="22"/>
        <v>-1.8579211614265741E-2</v>
      </c>
      <c r="G563">
        <f t="shared" si="23"/>
        <v>-2.8989810535994899E-2</v>
      </c>
    </row>
    <row r="564" spans="1:7" x14ac:dyDescent="0.35">
      <c r="A564" t="s">
        <v>41</v>
      </c>
      <c r="E564">
        <v>-1.143243935817837E-2</v>
      </c>
      <c r="F564">
        <f t="shared" si="22"/>
        <v>-1.8579448114782082E-2</v>
      </c>
      <c r="G564">
        <f t="shared" si="23"/>
        <v>-2.8989810535994899E-2</v>
      </c>
    </row>
    <row r="565" spans="1:7" x14ac:dyDescent="0.35">
      <c r="A565" t="s">
        <v>41</v>
      </c>
      <c r="E565">
        <v>-1.4396976446308654E-2</v>
      </c>
      <c r="F565">
        <f t="shared" si="22"/>
        <v>-1.8579684615298426E-2</v>
      </c>
      <c r="G565">
        <f t="shared" si="23"/>
        <v>-2.8989810535994899E-2</v>
      </c>
    </row>
    <row r="566" spans="1:7" x14ac:dyDescent="0.35">
      <c r="A566" t="s">
        <v>41</v>
      </c>
      <c r="E566">
        <v>1.2546950531867477E-2</v>
      </c>
      <c r="F566">
        <f t="shared" si="22"/>
        <v>-1.8579921115814767E-2</v>
      </c>
      <c r="G566">
        <f t="shared" si="23"/>
        <v>-2.8989810535994899E-2</v>
      </c>
    </row>
    <row r="567" spans="1:7" x14ac:dyDescent="0.35">
      <c r="A567" t="s">
        <v>42</v>
      </c>
      <c r="B567" s="3" cm="1">
        <f t="array" ref="B567">_xlfn.STDEV.S(_xlfn._xlws.FILTER($E$2:$E$1000, $A$2:$A$1000="2012-04"))</f>
        <v>1.8690190346869112E-2</v>
      </c>
      <c r="C567" s="3" cm="1">
        <f t="array" ref="C567">AVERAGE(_xlfn._xlws.FILTER($E$2:$E$1000, $A$2:$A$1000="2012-04"))</f>
        <v>-3.3479544742320258E-3</v>
      </c>
      <c r="D567" s="3" cm="1">
        <f t="array" ref="D567">_xlfn.PERCENTILE.EXC(_xlfn._xlws.FILTER($E$503:$E$750, $A$503:$A$750="2012-04"), 0.05)</f>
        <v>-3.1271812338847065E-2</v>
      </c>
      <c r="E567">
        <v>1.1355309970082092E-2</v>
      </c>
      <c r="F567">
        <f t="shared" si="22"/>
        <v>-1.8580157616331111E-2</v>
      </c>
      <c r="G567">
        <f t="shared" si="23"/>
        <v>-2.8989810535994899E-2</v>
      </c>
    </row>
    <row r="568" spans="1:7" x14ac:dyDescent="0.35">
      <c r="A568" t="s">
        <v>42</v>
      </c>
      <c r="E568">
        <v>-1.6341712399870003E-2</v>
      </c>
      <c r="F568">
        <f t="shared" si="22"/>
        <v>-1.8580394116847452E-2</v>
      </c>
      <c r="G568">
        <f t="shared" si="23"/>
        <v>-2.8989810535994899E-2</v>
      </c>
    </row>
    <row r="569" spans="1:7" x14ac:dyDescent="0.35">
      <c r="A569" t="s">
        <v>42</v>
      </c>
      <c r="E569">
        <v>-2.7771585021210687E-2</v>
      </c>
      <c r="F569">
        <f t="shared" si="22"/>
        <v>-1.8580630617363796E-2</v>
      </c>
      <c r="G569">
        <f t="shared" si="23"/>
        <v>-2.8989810535994899E-2</v>
      </c>
    </row>
    <row r="570" spans="1:7" x14ac:dyDescent="0.35">
      <c r="A570" t="s">
        <v>42</v>
      </c>
      <c r="E570">
        <v>1.9115737404693065E-3</v>
      </c>
      <c r="F570">
        <f t="shared" si="22"/>
        <v>-1.8453009133691634E-2</v>
      </c>
      <c r="G570">
        <f t="shared" si="23"/>
        <v>-2.8933063110633823E-2</v>
      </c>
    </row>
    <row r="571" spans="1:7" x14ac:dyDescent="0.35">
      <c r="A571" t="s">
        <v>42</v>
      </c>
      <c r="E571">
        <v>-3.1271812338847065E-2</v>
      </c>
      <c r="F571">
        <f t="shared" si="22"/>
        <v>-1.8465558431594139E-2</v>
      </c>
      <c r="G571">
        <f t="shared" si="23"/>
        <v>-2.8933063110633823E-2</v>
      </c>
    </row>
    <row r="572" spans="1:7" x14ac:dyDescent="0.35">
      <c r="A572" t="s">
        <v>42</v>
      </c>
      <c r="E572">
        <v>6.2243725260631997E-3</v>
      </c>
      <c r="F572">
        <f t="shared" si="22"/>
        <v>-1.8321802237706308E-2</v>
      </c>
      <c r="G572">
        <f t="shared" si="23"/>
        <v>-2.8853160047768507E-2</v>
      </c>
    </row>
    <row r="573" spans="1:7" x14ac:dyDescent="0.35">
      <c r="A573" t="s">
        <v>42</v>
      </c>
      <c r="E573">
        <v>9.8656501011579051E-3</v>
      </c>
      <c r="F573">
        <f t="shared" si="22"/>
        <v>-1.8322516477326339E-2</v>
      </c>
      <c r="G573">
        <f t="shared" si="23"/>
        <v>-2.8853160047768507E-2</v>
      </c>
    </row>
    <row r="574" spans="1:7" x14ac:dyDescent="0.35">
      <c r="A574" t="s">
        <v>42</v>
      </c>
      <c r="E574">
        <v>-2.4990153020614136E-2</v>
      </c>
      <c r="F574">
        <f t="shared" si="22"/>
        <v>-1.832323071694637E-2</v>
      </c>
      <c r="G574">
        <f t="shared" si="23"/>
        <v>-2.8853160047768507E-2</v>
      </c>
    </row>
    <row r="575" spans="1:7" x14ac:dyDescent="0.35">
      <c r="A575" t="s">
        <v>42</v>
      </c>
      <c r="E575">
        <v>5.0638404083479301E-3</v>
      </c>
      <c r="F575">
        <f t="shared" si="22"/>
        <v>-1.8309239365796034E-2</v>
      </c>
      <c r="G575">
        <f t="shared" si="23"/>
        <v>-2.8811944481976232E-2</v>
      </c>
    </row>
    <row r="576" spans="1:7" x14ac:dyDescent="0.35">
      <c r="A576" t="s">
        <v>42</v>
      </c>
      <c r="E576">
        <v>2.6850741785252142E-2</v>
      </c>
      <c r="F576">
        <f t="shared" si="22"/>
        <v>-1.8310037765090013E-2</v>
      </c>
      <c r="G576">
        <f t="shared" si="23"/>
        <v>-2.8811944481976232E-2</v>
      </c>
    </row>
    <row r="577" spans="1:7" x14ac:dyDescent="0.35">
      <c r="A577" t="s">
        <v>42</v>
      </c>
      <c r="E577">
        <v>-1.5987359864818539E-2</v>
      </c>
      <c r="F577">
        <f t="shared" si="22"/>
        <v>-1.8310836164383993E-2</v>
      </c>
      <c r="G577">
        <f t="shared" si="23"/>
        <v>-2.8811944481976232E-2</v>
      </c>
    </row>
    <row r="578" spans="1:7" x14ac:dyDescent="0.35">
      <c r="A578" t="s">
        <v>42</v>
      </c>
      <c r="E578">
        <v>-2.0663908690046692E-2</v>
      </c>
      <c r="F578">
        <f t="shared" si="22"/>
        <v>-1.8311634563677973E-2</v>
      </c>
      <c r="G578">
        <f t="shared" si="23"/>
        <v>-2.8811944481976232E-2</v>
      </c>
    </row>
    <row r="579" spans="1:7" x14ac:dyDescent="0.35">
      <c r="A579" t="s">
        <v>42</v>
      </c>
      <c r="E579">
        <v>4.5767533446344506E-3</v>
      </c>
      <c r="F579">
        <f t="shared" si="22"/>
        <v>-1.8293243389781885E-2</v>
      </c>
      <c r="G579">
        <f t="shared" si="23"/>
        <v>-2.879733556028697E-2</v>
      </c>
    </row>
    <row r="580" spans="1:7" x14ac:dyDescent="0.35">
      <c r="A580" t="s">
        <v>42</v>
      </c>
      <c r="E580">
        <v>-2.8699509871427543E-2</v>
      </c>
      <c r="F580">
        <f t="shared" ref="F580:F643" si="24">_xlfn.PERCENTILE.EXC(E580:E4395,0.05)</f>
        <v>-1.829726337638634E-2</v>
      </c>
      <c r="G580">
        <f t="shared" ref="G580:G643" si="25">AVERAGEIFS(E580:E4396,E580:E4396,"&lt;=" &amp; F580)</f>
        <v>-2.879733556028697E-2</v>
      </c>
    </row>
    <row r="581" spans="1:7" x14ac:dyDescent="0.35">
      <c r="A581" t="s">
        <v>42</v>
      </c>
      <c r="E581">
        <v>2.2640887082596543E-2</v>
      </c>
      <c r="F581">
        <f t="shared" si="24"/>
        <v>-1.8220883630901675E-2</v>
      </c>
      <c r="G581">
        <f t="shared" si="25"/>
        <v>-2.8797943173261252E-2</v>
      </c>
    </row>
    <row r="582" spans="1:7" x14ac:dyDescent="0.35">
      <c r="A582" t="s">
        <v>42</v>
      </c>
      <c r="E582">
        <v>2.0035717494233239E-2</v>
      </c>
      <c r="F582">
        <f t="shared" si="24"/>
        <v>-1.822490361750613E-2</v>
      </c>
      <c r="G582">
        <f t="shared" si="25"/>
        <v>-2.8797943173261252E-2</v>
      </c>
    </row>
    <row r="583" spans="1:7" x14ac:dyDescent="0.35">
      <c r="A583" t="s">
        <v>42</v>
      </c>
      <c r="E583">
        <v>-1.2811825766288608E-3</v>
      </c>
      <c r="F583">
        <f t="shared" si="24"/>
        <v>-1.8228923604110586E-2</v>
      </c>
      <c r="G583">
        <f t="shared" si="25"/>
        <v>-2.8797943173261252E-2</v>
      </c>
    </row>
    <row r="584" spans="1:7" x14ac:dyDescent="0.35">
      <c r="A584" t="s">
        <v>42</v>
      </c>
      <c r="E584">
        <v>1.1377072308941954E-2</v>
      </c>
      <c r="F584">
        <f t="shared" si="24"/>
        <v>-1.8232943590715044E-2</v>
      </c>
      <c r="G584">
        <f t="shared" si="25"/>
        <v>-2.8797943173261252E-2</v>
      </c>
    </row>
    <row r="585" spans="1:7" x14ac:dyDescent="0.35">
      <c r="A585" t="s">
        <v>42</v>
      </c>
      <c r="E585">
        <v>-1.6505829988723703E-2</v>
      </c>
      <c r="F585">
        <f t="shared" si="24"/>
        <v>-1.82369635773195E-2</v>
      </c>
      <c r="G585">
        <f t="shared" si="25"/>
        <v>-2.8797943173261252E-2</v>
      </c>
    </row>
    <row r="586" spans="1:7" x14ac:dyDescent="0.35">
      <c r="A586" t="s">
        <v>43</v>
      </c>
      <c r="B586" s="3" cm="1">
        <f t="array" ref="B586">_xlfn.STDEV.S(_xlfn._xlws.FILTER($E$2:$E$1000, $A$2:$A$1000="2012-05"))</f>
        <v>1.2308697978482308E-2</v>
      </c>
      <c r="C586" s="3" cm="1">
        <f t="array" ref="C586">AVERAGE(_xlfn._xlws.FILTER($E$2:$E$1000, $A$2:$A$1000="2012-05"))</f>
        <v>-2.9941217310908825E-3</v>
      </c>
      <c r="D586" s="3" cm="1">
        <f t="array" ref="D586">_xlfn.PERCENTILE.EXC(_xlfn._xlws.FILTER($E$503:$E$750, $A$503:$A$750="2012-05"), 0.05)</f>
        <v>-2.6219616998057749E-2</v>
      </c>
      <c r="E586">
        <v>4.2024372585067003E-3</v>
      </c>
      <c r="F586">
        <f t="shared" si="24"/>
        <v>-1.8240983563923955E-2</v>
      </c>
      <c r="G586">
        <f t="shared" si="25"/>
        <v>-2.8797943173261252E-2</v>
      </c>
    </row>
    <row r="587" spans="1:7" x14ac:dyDescent="0.35">
      <c r="A587" t="s">
        <v>43</v>
      </c>
      <c r="E587">
        <v>-9.2097456154574282E-4</v>
      </c>
      <c r="F587">
        <f t="shared" si="24"/>
        <v>-1.824500355052841E-2</v>
      </c>
      <c r="G587">
        <f t="shared" si="25"/>
        <v>-2.8797943173261252E-2</v>
      </c>
    </row>
    <row r="588" spans="1:7" x14ac:dyDescent="0.35">
      <c r="A588" t="s">
        <v>43</v>
      </c>
      <c r="E588">
        <v>-1.92290426959414E-2</v>
      </c>
      <c r="F588">
        <f t="shared" si="24"/>
        <v>-1.8249023537132866E-2</v>
      </c>
      <c r="G588">
        <f t="shared" si="25"/>
        <v>-2.8797943173261252E-2</v>
      </c>
    </row>
    <row r="589" spans="1:7" x14ac:dyDescent="0.35">
      <c r="A589" t="s">
        <v>43</v>
      </c>
      <c r="E589">
        <v>-1.1824969935960423E-2</v>
      </c>
      <c r="F589">
        <f t="shared" si="24"/>
        <v>-1.820200442209394E-2</v>
      </c>
      <c r="G589">
        <f t="shared" si="25"/>
        <v>-2.879165634685352E-2</v>
      </c>
    </row>
    <row r="590" spans="1:7" x14ac:dyDescent="0.35">
      <c r="A590" t="s">
        <v>43</v>
      </c>
      <c r="E590">
        <v>-1.9700652649073721E-3</v>
      </c>
      <c r="F590">
        <f t="shared" si="24"/>
        <v>-1.8203355260476055E-2</v>
      </c>
      <c r="G590">
        <f t="shared" si="25"/>
        <v>-2.879165634685352E-2</v>
      </c>
    </row>
    <row r="591" spans="1:7" x14ac:dyDescent="0.35">
      <c r="A591" t="s">
        <v>43</v>
      </c>
      <c r="E591">
        <v>3.6871003008304253E-3</v>
      </c>
      <c r="F591">
        <f t="shared" si="24"/>
        <v>-1.8204706098858173E-2</v>
      </c>
      <c r="G591">
        <f t="shared" si="25"/>
        <v>-2.879165634685352E-2</v>
      </c>
    </row>
    <row r="592" spans="1:7" x14ac:dyDescent="0.35">
      <c r="A592" t="s">
        <v>43</v>
      </c>
      <c r="E592">
        <v>-1.2779675221945888E-4</v>
      </c>
      <c r="F592">
        <f t="shared" si="24"/>
        <v>-1.8206056937240291E-2</v>
      </c>
      <c r="G592">
        <f t="shared" si="25"/>
        <v>-2.879165634685352E-2</v>
      </c>
    </row>
    <row r="593" spans="1:7" x14ac:dyDescent="0.35">
      <c r="A593" t="s">
        <v>43</v>
      </c>
      <c r="E593">
        <v>-2.3201682033641063E-2</v>
      </c>
      <c r="F593">
        <f t="shared" si="24"/>
        <v>-1.8207407775622405E-2</v>
      </c>
      <c r="G593">
        <f t="shared" si="25"/>
        <v>-2.879165634685352E-2</v>
      </c>
    </row>
    <row r="594" spans="1:7" x14ac:dyDescent="0.35">
      <c r="A594" t="s">
        <v>43</v>
      </c>
      <c r="E594">
        <v>-6.1404823873609351E-3</v>
      </c>
      <c r="F594">
        <f t="shared" si="24"/>
        <v>-1.8185050059191649E-2</v>
      </c>
      <c r="G594">
        <f t="shared" si="25"/>
        <v>-2.876052693594057E-2</v>
      </c>
    </row>
    <row r="595" spans="1:7" x14ac:dyDescent="0.35">
      <c r="A595" t="s">
        <v>43</v>
      </c>
      <c r="E595">
        <v>3.0880749383297951E-3</v>
      </c>
      <c r="F595">
        <f t="shared" si="24"/>
        <v>-1.8185849528768859E-2</v>
      </c>
      <c r="G595">
        <f t="shared" si="25"/>
        <v>-2.876052693594057E-2</v>
      </c>
    </row>
    <row r="596" spans="1:7" x14ac:dyDescent="0.35">
      <c r="A596" t="s">
        <v>43</v>
      </c>
      <c r="E596">
        <v>-1.210444006229386E-2</v>
      </c>
      <c r="F596">
        <f t="shared" si="24"/>
        <v>-1.8186648998346065E-2</v>
      </c>
      <c r="G596">
        <f t="shared" si="25"/>
        <v>-2.876052693594057E-2</v>
      </c>
    </row>
    <row r="597" spans="1:7" x14ac:dyDescent="0.35">
      <c r="A597" t="s">
        <v>43</v>
      </c>
      <c r="E597">
        <v>-1.325583791421444E-3</v>
      </c>
      <c r="F597">
        <f t="shared" si="24"/>
        <v>-1.8187448467923271E-2</v>
      </c>
      <c r="G597">
        <f t="shared" si="25"/>
        <v>-2.876052693594057E-2</v>
      </c>
    </row>
    <row r="598" spans="1:7" x14ac:dyDescent="0.35">
      <c r="A598" t="s">
        <v>43</v>
      </c>
      <c r="E598">
        <v>6.3461767381037962E-3</v>
      </c>
      <c r="F598">
        <f t="shared" si="24"/>
        <v>-1.8188247937500478E-2</v>
      </c>
      <c r="G598">
        <f t="shared" si="25"/>
        <v>-2.876052693594057E-2</v>
      </c>
    </row>
    <row r="599" spans="1:7" x14ac:dyDescent="0.35">
      <c r="A599" t="s">
        <v>43</v>
      </c>
      <c r="E599">
        <v>1.8635055328951513E-2</v>
      </c>
      <c r="F599">
        <f t="shared" si="24"/>
        <v>-1.8189047407077687E-2</v>
      </c>
      <c r="G599">
        <f t="shared" si="25"/>
        <v>-2.876052693594057E-2</v>
      </c>
    </row>
    <row r="600" spans="1:7" x14ac:dyDescent="0.35">
      <c r="A600" t="s">
        <v>43</v>
      </c>
      <c r="E600">
        <v>-2.6554943105215157E-2</v>
      </c>
      <c r="F600">
        <f t="shared" si="24"/>
        <v>-1.8189846876654894E-2</v>
      </c>
      <c r="G600">
        <f t="shared" si="25"/>
        <v>-2.876052693594057E-2</v>
      </c>
    </row>
    <row r="601" spans="1:7" x14ac:dyDescent="0.35">
      <c r="A601" t="s">
        <v>43</v>
      </c>
      <c r="E601">
        <v>1.1579996719339158E-2</v>
      </c>
      <c r="F601">
        <f t="shared" si="24"/>
        <v>-1.8174656954687958E-2</v>
      </c>
      <c r="G601">
        <f t="shared" si="25"/>
        <v>-2.8774311834882597E-2</v>
      </c>
    </row>
    <row r="602" spans="1:7" x14ac:dyDescent="0.35">
      <c r="A602" t="s">
        <v>43</v>
      </c>
      <c r="E602">
        <v>3.1842608225043307E-3</v>
      </c>
      <c r="F602">
        <f t="shared" si="24"/>
        <v>-1.8175456424265164E-2</v>
      </c>
      <c r="G602">
        <f t="shared" si="25"/>
        <v>-2.8774311834882597E-2</v>
      </c>
    </row>
    <row r="603" spans="1:7" x14ac:dyDescent="0.35">
      <c r="A603" t="s">
        <v>43</v>
      </c>
      <c r="E603">
        <v>-1.6319404171203139E-3</v>
      </c>
      <c r="F603">
        <f t="shared" si="24"/>
        <v>-1.8176255893842374E-2</v>
      </c>
      <c r="G603">
        <f t="shared" si="25"/>
        <v>-2.8774311834882597E-2</v>
      </c>
    </row>
    <row r="604" spans="1:7" x14ac:dyDescent="0.35">
      <c r="A604" t="s">
        <v>43</v>
      </c>
      <c r="E604">
        <v>1.3620395722041994E-2</v>
      </c>
      <c r="F604">
        <f t="shared" si="24"/>
        <v>-1.817705536341958E-2</v>
      </c>
      <c r="G604">
        <f t="shared" si="25"/>
        <v>-2.8774311834882597E-2</v>
      </c>
    </row>
    <row r="605" spans="1:7" x14ac:dyDescent="0.35">
      <c r="A605" t="s">
        <v>43</v>
      </c>
      <c r="E605">
        <v>-2.2662224742115909E-2</v>
      </c>
      <c r="F605">
        <f t="shared" si="24"/>
        <v>-1.8177854832996786E-2</v>
      </c>
      <c r="G605">
        <f t="shared" si="25"/>
        <v>-2.8774311834882597E-2</v>
      </c>
    </row>
    <row r="606" spans="1:7" x14ac:dyDescent="0.35">
      <c r="A606" t="s">
        <v>43</v>
      </c>
      <c r="E606">
        <v>4.7409156822683993E-4</v>
      </c>
      <c r="F606">
        <f t="shared" si="24"/>
        <v>-1.8173243069275792E-2</v>
      </c>
      <c r="G606">
        <f t="shared" si="25"/>
        <v>-2.8746259539526316E-2</v>
      </c>
    </row>
    <row r="607" spans="1:7" x14ac:dyDescent="0.35">
      <c r="A607" t="s">
        <v>44</v>
      </c>
      <c r="B607" s="3" cm="1">
        <f t="array" ref="B607">_xlfn.STDEV.S(_xlfn._xlws.FILTER($E$2:$E$1000, $A$2:$A$1000="2012-06"))</f>
        <v>1.7338811428381562E-2</v>
      </c>
      <c r="C607" s="3" cm="1">
        <f t="array" ref="C607">AVERAGE(_xlfn._xlws.FILTER($E$2:$E$1000, $A$2:$A$1000="2012-06"))</f>
        <v>3.0440585119472633E-3</v>
      </c>
      <c r="D607" s="3" cm="1">
        <f t="array" ref="D607">_xlfn.PERCENTILE.EXC(_xlfn._xlws.FILTER($E$503:$E$750, $A$503:$A$750="2012-06"), 0.05)</f>
        <v>-2.2662580288914502E-2</v>
      </c>
      <c r="E607">
        <v>-2.2301795027090034E-2</v>
      </c>
      <c r="F607">
        <f t="shared" si="24"/>
        <v>-1.8173286956121148E-2</v>
      </c>
      <c r="G607">
        <f t="shared" si="25"/>
        <v>-2.8746259539526316E-2</v>
      </c>
    </row>
    <row r="608" spans="1:7" x14ac:dyDescent="0.35">
      <c r="A608" t="s">
        <v>44</v>
      </c>
      <c r="E608">
        <v>3.5940502353299306E-2</v>
      </c>
      <c r="F608">
        <f t="shared" si="24"/>
        <v>-1.8166889815653474E-2</v>
      </c>
      <c r="G608">
        <f t="shared" si="25"/>
        <v>-2.8720454444033278E-2</v>
      </c>
    </row>
    <row r="609" spans="1:7" x14ac:dyDescent="0.35">
      <c r="A609" t="s">
        <v>44</v>
      </c>
      <c r="E609">
        <v>4.1503583460576858E-3</v>
      </c>
      <c r="F609">
        <f t="shared" si="24"/>
        <v>-1.8167397310032658E-2</v>
      </c>
      <c r="G609">
        <f t="shared" si="25"/>
        <v>-2.8720454444033278E-2</v>
      </c>
    </row>
    <row r="610" spans="1:7" x14ac:dyDescent="0.35">
      <c r="A610" t="s">
        <v>44</v>
      </c>
      <c r="E610">
        <v>-6.3598048704130898E-3</v>
      </c>
      <c r="F610">
        <f t="shared" si="24"/>
        <v>-1.8167904804411841E-2</v>
      </c>
      <c r="G610">
        <f t="shared" si="25"/>
        <v>-2.8720454444033278E-2</v>
      </c>
    </row>
    <row r="611" spans="1:7" x14ac:dyDescent="0.35">
      <c r="A611" t="s">
        <v>44</v>
      </c>
      <c r="E611">
        <v>-2.9305372563360283E-3</v>
      </c>
      <c r="F611">
        <f t="shared" si="24"/>
        <v>-1.8168412298791022E-2</v>
      </c>
      <c r="G611">
        <f t="shared" si="25"/>
        <v>-2.8720454444033278E-2</v>
      </c>
    </row>
    <row r="612" spans="1:7" x14ac:dyDescent="0.35">
      <c r="A612" t="s">
        <v>44</v>
      </c>
      <c r="E612">
        <v>1.3629640497577462E-3</v>
      </c>
      <c r="F612">
        <f t="shared" si="24"/>
        <v>-1.8168919793170205E-2</v>
      </c>
      <c r="G612">
        <f t="shared" si="25"/>
        <v>-2.8720454444033278E-2</v>
      </c>
    </row>
    <row r="613" spans="1:7" x14ac:dyDescent="0.35">
      <c r="A613" t="s">
        <v>44</v>
      </c>
      <c r="E613">
        <v>-5.5521415633118737E-3</v>
      </c>
      <c r="F613">
        <f t="shared" si="24"/>
        <v>-1.8169427287549389E-2</v>
      </c>
      <c r="G613">
        <f t="shared" si="25"/>
        <v>-2.8720454444033278E-2</v>
      </c>
    </row>
    <row r="614" spans="1:7" x14ac:dyDescent="0.35">
      <c r="A614" t="s">
        <v>44</v>
      </c>
      <c r="E614">
        <v>7.9505289969911467E-4</v>
      </c>
      <c r="F614">
        <f t="shared" si="24"/>
        <v>-1.8169934781928569E-2</v>
      </c>
      <c r="G614">
        <f t="shared" si="25"/>
        <v>-2.8720454444033278E-2</v>
      </c>
    </row>
    <row r="615" spans="1:7" x14ac:dyDescent="0.35">
      <c r="A615" t="s">
        <v>44</v>
      </c>
      <c r="E615">
        <v>1.802969394160556E-2</v>
      </c>
      <c r="F615">
        <f t="shared" si="24"/>
        <v>-1.8170442276307753E-2</v>
      </c>
      <c r="G615">
        <f t="shared" si="25"/>
        <v>-2.8720454444033278E-2</v>
      </c>
    </row>
    <row r="616" spans="1:7" x14ac:dyDescent="0.35">
      <c r="A616" t="s">
        <v>44</v>
      </c>
      <c r="E616">
        <v>-6.9648190725393475E-3</v>
      </c>
      <c r="F616">
        <f t="shared" si="24"/>
        <v>-1.8170949770686937E-2</v>
      </c>
      <c r="G616">
        <f t="shared" si="25"/>
        <v>-2.8720454444033278E-2</v>
      </c>
    </row>
    <row r="617" spans="1:7" x14ac:dyDescent="0.35">
      <c r="A617" t="s">
        <v>44</v>
      </c>
      <c r="E617">
        <v>1.673036431064882E-2</v>
      </c>
      <c r="F617">
        <f t="shared" si="24"/>
        <v>-1.817145726506612E-2</v>
      </c>
      <c r="G617">
        <f t="shared" si="25"/>
        <v>-2.8720454444033278E-2</v>
      </c>
    </row>
    <row r="618" spans="1:7" x14ac:dyDescent="0.35">
      <c r="A618" t="s">
        <v>44</v>
      </c>
      <c r="E618">
        <v>2.7544521005417812E-3</v>
      </c>
      <c r="F618">
        <f t="shared" si="24"/>
        <v>-1.8171964759445301E-2</v>
      </c>
      <c r="G618">
        <f t="shared" si="25"/>
        <v>-2.8720454444033278E-2</v>
      </c>
    </row>
    <row r="619" spans="1:7" x14ac:dyDescent="0.35">
      <c r="A619" t="s">
        <v>44</v>
      </c>
      <c r="E619">
        <v>-3.9418453345578808E-3</v>
      </c>
      <c r="F619">
        <f t="shared" si="24"/>
        <v>-1.8172472253824484E-2</v>
      </c>
      <c r="G619">
        <f t="shared" si="25"/>
        <v>-2.8720454444033278E-2</v>
      </c>
    </row>
    <row r="620" spans="1:7" x14ac:dyDescent="0.35">
      <c r="A620" t="s">
        <v>44</v>
      </c>
      <c r="E620">
        <v>-7.5164089626762786E-3</v>
      </c>
      <c r="F620">
        <f t="shared" si="24"/>
        <v>-1.8172979748203668E-2</v>
      </c>
      <c r="G620">
        <f t="shared" si="25"/>
        <v>-2.8720454444033278E-2</v>
      </c>
    </row>
    <row r="621" spans="1:7" x14ac:dyDescent="0.35">
      <c r="A621" t="s">
        <v>44</v>
      </c>
      <c r="E621">
        <v>-2.2662580288914502E-2</v>
      </c>
      <c r="F621">
        <f t="shared" si="24"/>
        <v>-1.8173023635049024E-2</v>
      </c>
      <c r="G621">
        <f t="shared" si="25"/>
        <v>-2.8786790762874975E-2</v>
      </c>
    </row>
    <row r="622" spans="1:7" x14ac:dyDescent="0.35">
      <c r="A622" t="s">
        <v>44</v>
      </c>
      <c r="E622">
        <v>-2.959724417335934E-3</v>
      </c>
      <c r="F622">
        <f t="shared" si="24"/>
        <v>-1.8163844849378375E-2</v>
      </c>
      <c r="G622">
        <f t="shared" si="25"/>
        <v>-2.8758554281486857E-2</v>
      </c>
    </row>
    <row r="623" spans="1:7" x14ac:dyDescent="0.35">
      <c r="A623" t="s">
        <v>44</v>
      </c>
      <c r="E623">
        <v>1.6593998429663269E-2</v>
      </c>
      <c r="F623">
        <f t="shared" si="24"/>
        <v>-1.8164352343757559E-2</v>
      </c>
      <c r="G623">
        <f t="shared" si="25"/>
        <v>-2.8758554281486857E-2</v>
      </c>
    </row>
    <row r="624" spans="1:7" x14ac:dyDescent="0.35">
      <c r="A624" t="s">
        <v>44</v>
      </c>
      <c r="E624">
        <v>-3.7417457144285401E-3</v>
      </c>
      <c r="F624">
        <f t="shared" si="24"/>
        <v>-1.8164859838136743E-2</v>
      </c>
      <c r="G624">
        <f t="shared" si="25"/>
        <v>-2.8758554281486857E-2</v>
      </c>
    </row>
    <row r="625" spans="1:7" x14ac:dyDescent="0.35">
      <c r="A625" t="s">
        <v>44</v>
      </c>
      <c r="E625">
        <v>4.6411127803328234E-2</v>
      </c>
      <c r="F625">
        <f t="shared" si="24"/>
        <v>-1.8165367332515926E-2</v>
      </c>
      <c r="G625">
        <f t="shared" si="25"/>
        <v>-2.8758554281486857E-2</v>
      </c>
    </row>
    <row r="626" spans="1:7" x14ac:dyDescent="0.35">
      <c r="A626" t="s">
        <v>45</v>
      </c>
      <c r="B626" s="3" cm="1">
        <f t="array" ref="B626">_xlfn.STDEV.S(_xlfn._xlws.FILTER($E$2:$E$1000, $A$2:$A$1000="2012-07"))</f>
        <v>1.5761433538686503E-2</v>
      </c>
      <c r="C626" s="3" cm="1">
        <f t="array" ref="C626">AVERAGE(_xlfn._xlws.FILTER($E$2:$E$1000, $A$2:$A$1000="2012-07"))</f>
        <v>1.3313004705118813E-3</v>
      </c>
      <c r="D626" s="3" cm="1">
        <f t="array" ref="D626">_xlfn.PERCENTILE.EXC(_xlfn._xlws.FILTER($E$503:$E$750, $A$503:$A$750="2012-07"), 0.05)</f>
        <v>-2.8182989868335707E-2</v>
      </c>
      <c r="E626">
        <v>1.3531669844873024E-2</v>
      </c>
      <c r="F626">
        <f t="shared" si="24"/>
        <v>-1.8165874826895106E-2</v>
      </c>
      <c r="G626">
        <f t="shared" si="25"/>
        <v>-2.8758554281486857E-2</v>
      </c>
    </row>
    <row r="627" spans="1:7" x14ac:dyDescent="0.35">
      <c r="A627" t="s">
        <v>45</v>
      </c>
      <c r="E627">
        <v>9.5218337741146564E-3</v>
      </c>
      <c r="F627">
        <f t="shared" si="24"/>
        <v>-1.816638232127429E-2</v>
      </c>
      <c r="G627">
        <f t="shared" si="25"/>
        <v>-2.8758554281486857E-2</v>
      </c>
    </row>
    <row r="628" spans="1:7" x14ac:dyDescent="0.35">
      <c r="A628" t="s">
        <v>45</v>
      </c>
      <c r="E628">
        <v>-1.0552153847713597E-3</v>
      </c>
      <c r="F628">
        <f t="shared" si="24"/>
        <v>-1.8166889815653474E-2</v>
      </c>
      <c r="G628">
        <f t="shared" si="25"/>
        <v>-2.8758554281486857E-2</v>
      </c>
    </row>
    <row r="629" spans="1:7" x14ac:dyDescent="0.35">
      <c r="A629" t="s">
        <v>45</v>
      </c>
      <c r="E629">
        <v>-1.1817699496621321E-2</v>
      </c>
      <c r="F629">
        <f t="shared" si="24"/>
        <v>-1.8167397310032658E-2</v>
      </c>
      <c r="G629">
        <f t="shared" si="25"/>
        <v>-2.8758554281486857E-2</v>
      </c>
    </row>
    <row r="630" spans="1:7" x14ac:dyDescent="0.35">
      <c r="A630" t="s">
        <v>45</v>
      </c>
      <c r="E630">
        <v>-1.8934163635057736E-2</v>
      </c>
      <c r="F630">
        <f t="shared" si="24"/>
        <v>-1.8167904804411841E-2</v>
      </c>
      <c r="G630">
        <f t="shared" si="25"/>
        <v>-2.8758554281486857E-2</v>
      </c>
    </row>
    <row r="631" spans="1:7" x14ac:dyDescent="0.35">
      <c r="A631" t="s">
        <v>45</v>
      </c>
      <c r="E631">
        <v>-3.7909552656312196E-3</v>
      </c>
      <c r="F631">
        <f t="shared" si="24"/>
        <v>-1.8067041191465617E-2</v>
      </c>
      <c r="G631">
        <f t="shared" si="25"/>
        <v>-2.8753703125672783E-2</v>
      </c>
    </row>
    <row r="632" spans="1:7" x14ac:dyDescent="0.35">
      <c r="A632" t="s">
        <v>45</v>
      </c>
      <c r="E632">
        <v>5.8779015796496768E-3</v>
      </c>
      <c r="F632">
        <f t="shared" si="24"/>
        <v>-1.8077684376927219E-2</v>
      </c>
      <c r="G632">
        <f t="shared" si="25"/>
        <v>-2.8753703125672783E-2</v>
      </c>
    </row>
    <row r="633" spans="1:7" x14ac:dyDescent="0.35">
      <c r="A633" t="s">
        <v>45</v>
      </c>
      <c r="E633">
        <v>-5.7353623217212277E-3</v>
      </c>
      <c r="F633">
        <f t="shared" si="24"/>
        <v>-1.8088327562388814E-2</v>
      </c>
      <c r="G633">
        <f t="shared" si="25"/>
        <v>-2.8753703125672783E-2</v>
      </c>
    </row>
    <row r="634" spans="1:7" x14ac:dyDescent="0.35">
      <c r="A634" t="s">
        <v>45</v>
      </c>
      <c r="E634">
        <v>-7.014806839566708E-3</v>
      </c>
      <c r="F634">
        <f t="shared" si="24"/>
        <v>-1.8098970747850416E-2</v>
      </c>
      <c r="G634">
        <f t="shared" si="25"/>
        <v>-2.8753703125672783E-2</v>
      </c>
    </row>
    <row r="635" spans="1:7" x14ac:dyDescent="0.35">
      <c r="A635" t="s">
        <v>45</v>
      </c>
      <c r="E635">
        <v>1.4449292633779191E-2</v>
      </c>
      <c r="F635">
        <f t="shared" si="24"/>
        <v>-1.8109613933312015E-2</v>
      </c>
      <c r="G635">
        <f t="shared" si="25"/>
        <v>-2.8753703125672783E-2</v>
      </c>
    </row>
    <row r="636" spans="1:7" x14ac:dyDescent="0.35">
      <c r="A636" t="s">
        <v>45</v>
      </c>
      <c r="E636">
        <v>-2.8613158160279236E-4</v>
      </c>
      <c r="F636">
        <f t="shared" si="24"/>
        <v>-1.8120257118773613E-2</v>
      </c>
      <c r="G636">
        <f t="shared" si="25"/>
        <v>-2.8753703125672783E-2</v>
      </c>
    </row>
    <row r="637" spans="1:7" x14ac:dyDescent="0.35">
      <c r="A637" t="s">
        <v>45</v>
      </c>
      <c r="E637">
        <v>-9.2183738459000427E-4</v>
      </c>
      <c r="F637">
        <f t="shared" si="24"/>
        <v>-1.8130900304235212E-2</v>
      </c>
      <c r="G637">
        <f t="shared" si="25"/>
        <v>-2.8753703125672783E-2</v>
      </c>
    </row>
    <row r="638" spans="1:7" x14ac:dyDescent="0.35">
      <c r="A638" t="s">
        <v>45</v>
      </c>
      <c r="E638">
        <v>1.8224655541294373E-2</v>
      </c>
      <c r="F638">
        <f t="shared" si="24"/>
        <v>-1.8141543489696807E-2</v>
      </c>
      <c r="G638">
        <f t="shared" si="25"/>
        <v>-2.8753703125672783E-2</v>
      </c>
    </row>
    <row r="639" spans="1:7" x14ac:dyDescent="0.35">
      <c r="A639" t="s">
        <v>45</v>
      </c>
      <c r="E639">
        <v>8.6905689879134187E-3</v>
      </c>
      <c r="F639">
        <f t="shared" si="24"/>
        <v>-1.8152186675158409E-2</v>
      </c>
      <c r="G639">
        <f t="shared" si="25"/>
        <v>-2.8753703125672783E-2</v>
      </c>
    </row>
    <row r="640" spans="1:7" x14ac:dyDescent="0.35">
      <c r="A640" t="s">
        <v>45</v>
      </c>
      <c r="E640">
        <v>-2.1603527275806781E-2</v>
      </c>
      <c r="F640">
        <f t="shared" si="24"/>
        <v>-1.8162829860620011E-2</v>
      </c>
      <c r="G640">
        <f t="shared" si="25"/>
        <v>-2.8753703125672783E-2</v>
      </c>
    </row>
    <row r="641" spans="1:7" x14ac:dyDescent="0.35">
      <c r="A641" t="s">
        <v>45</v>
      </c>
      <c r="E641">
        <v>-2.9344071502311404E-2</v>
      </c>
      <c r="F641">
        <f t="shared" si="24"/>
        <v>-1.7960609336849627E-2</v>
      </c>
      <c r="G641">
        <f t="shared" si="25"/>
        <v>-2.8798957403203582E-2</v>
      </c>
    </row>
    <row r="642" spans="1:7" x14ac:dyDescent="0.35">
      <c r="A642" t="s">
        <v>45</v>
      </c>
      <c r="E642">
        <v>-8.6947073205631414E-3</v>
      </c>
      <c r="F642">
        <f t="shared" si="24"/>
        <v>-1.7947987651380889E-2</v>
      </c>
      <c r="G642">
        <f t="shared" si="25"/>
        <v>-2.8726842812374951E-2</v>
      </c>
    </row>
    <row r="643" spans="1:7" x14ac:dyDescent="0.35">
      <c r="A643" t="s">
        <v>45</v>
      </c>
      <c r="E643">
        <v>2.2935417319901456E-3</v>
      </c>
      <c r="F643">
        <f t="shared" si="24"/>
        <v>-1.7948097568047952E-2</v>
      </c>
      <c r="G643">
        <f t="shared" si="25"/>
        <v>-2.8726842812374951E-2</v>
      </c>
    </row>
    <row r="644" spans="1:7" x14ac:dyDescent="0.35">
      <c r="A644" t="s">
        <v>45</v>
      </c>
      <c r="E644">
        <v>3.9878965624099358E-2</v>
      </c>
      <c r="F644">
        <f t="shared" ref="F644:F707" si="26">_xlfn.PERCENTILE.EXC(E644:E4459,0.05)</f>
        <v>-1.7948207484715015E-2</v>
      </c>
      <c r="G644">
        <f t="shared" ref="G644:G707" si="27">AVERAGEIFS(E644:E4460,E644:E4460,"&lt;=" &amp; F644)</f>
        <v>-2.8726842812374951E-2</v>
      </c>
    </row>
    <row r="645" spans="1:7" x14ac:dyDescent="0.35">
      <c r="A645" t="s">
        <v>45</v>
      </c>
      <c r="E645">
        <v>2.2528009388848635E-2</v>
      </c>
      <c r="F645">
        <f t="shared" si="26"/>
        <v>-1.7948317401382079E-2</v>
      </c>
      <c r="G645">
        <f t="shared" si="27"/>
        <v>-2.8726842812374951E-2</v>
      </c>
    </row>
    <row r="646" spans="1:7" x14ac:dyDescent="0.35">
      <c r="A646" t="s">
        <v>45</v>
      </c>
      <c r="E646">
        <v>1.2277267938646282E-2</v>
      </c>
      <c r="F646">
        <f t="shared" si="26"/>
        <v>-1.7948427318049142E-2</v>
      </c>
      <c r="G646">
        <f t="shared" si="27"/>
        <v>-2.8726842812374951E-2</v>
      </c>
    </row>
    <row r="647" spans="1:7" x14ac:dyDescent="0.35">
      <c r="A647" t="s">
        <v>45</v>
      </c>
      <c r="E647">
        <v>-8.7866186857036756E-3</v>
      </c>
      <c r="F647">
        <f t="shared" si="26"/>
        <v>-1.7948537234716205E-2</v>
      </c>
      <c r="G647">
        <f t="shared" si="27"/>
        <v>-2.8726842812374951E-2</v>
      </c>
    </row>
    <row r="648" spans="1:7" x14ac:dyDescent="0.35">
      <c r="A648" t="s">
        <v>46</v>
      </c>
      <c r="B648" s="3" cm="1">
        <f t="array" ref="B648">_xlfn.STDEV.S(_xlfn._xlws.FILTER($E$2:$E$1000, $A$2:$A$1000="2012-08"))</f>
        <v>1.3655208164325866E-2</v>
      </c>
      <c r="C648" s="3" cm="1">
        <f t="array" ref="C648">AVERAGE(_xlfn._xlws.FILTER($E$2:$E$1000, $A$2:$A$1000="2012-08"))</f>
        <v>1.7247706061471091E-3</v>
      </c>
      <c r="D648" s="3" cm="1">
        <f t="array" ref="D648">_xlfn.PERCENTILE.EXC(_xlfn._xlws.FILTER($E$503:$E$750, $A$503:$A$750="2012-08"), 0.05)</f>
        <v>-2.5952457346496434E-2</v>
      </c>
      <c r="E648">
        <v>9.0425552870883885E-3</v>
      </c>
      <c r="F648">
        <f t="shared" si="26"/>
        <v>-1.7948647151383269E-2</v>
      </c>
      <c r="G648">
        <f t="shared" si="27"/>
        <v>-2.8726842812374951E-2</v>
      </c>
    </row>
    <row r="649" spans="1:7" x14ac:dyDescent="0.35">
      <c r="A649" t="s">
        <v>46</v>
      </c>
      <c r="E649">
        <v>-2.7191094823623824E-2</v>
      </c>
      <c r="F649">
        <f t="shared" si="26"/>
        <v>-1.7948757068050332E-2</v>
      </c>
      <c r="G649">
        <f t="shared" si="27"/>
        <v>-2.8726842812374951E-2</v>
      </c>
    </row>
    <row r="650" spans="1:7" x14ac:dyDescent="0.35">
      <c r="A650" t="s">
        <v>46</v>
      </c>
      <c r="E650">
        <v>4.2911838255850536E-2</v>
      </c>
      <c r="F650">
        <f t="shared" si="26"/>
        <v>-1.792583240209511E-2</v>
      </c>
      <c r="G650">
        <f t="shared" si="27"/>
        <v>-2.86683407427194E-2</v>
      </c>
    </row>
    <row r="651" spans="1:7" x14ac:dyDescent="0.35">
      <c r="A651" t="s">
        <v>46</v>
      </c>
      <c r="E651">
        <v>8.0788544043135513E-3</v>
      </c>
      <c r="F651">
        <f t="shared" si="26"/>
        <v>-1.7928025943690275E-2</v>
      </c>
      <c r="G651">
        <f t="shared" si="27"/>
        <v>-2.86683407427194E-2</v>
      </c>
    </row>
    <row r="652" spans="1:7" x14ac:dyDescent="0.35">
      <c r="A652" t="s">
        <v>46</v>
      </c>
      <c r="E652">
        <v>1.5090354104325424E-2</v>
      </c>
      <c r="F652">
        <f t="shared" si="26"/>
        <v>-1.7930219485285441E-2</v>
      </c>
      <c r="G652">
        <f t="shared" si="27"/>
        <v>-2.86683407427194E-2</v>
      </c>
    </row>
    <row r="653" spans="1:7" x14ac:dyDescent="0.35">
      <c r="A653" t="s">
        <v>46</v>
      </c>
      <c r="E653">
        <v>-4.3589745637359362E-3</v>
      </c>
      <c r="F653">
        <f t="shared" si="26"/>
        <v>-1.7932413026880607E-2</v>
      </c>
      <c r="G653">
        <f t="shared" si="27"/>
        <v>-2.86683407427194E-2</v>
      </c>
    </row>
    <row r="654" spans="1:7" x14ac:dyDescent="0.35">
      <c r="A654" t="s">
        <v>46</v>
      </c>
      <c r="E654">
        <v>5.3517401919676334E-3</v>
      </c>
      <c r="F654">
        <f t="shared" si="26"/>
        <v>-1.7934606568475772E-2</v>
      </c>
      <c r="G654">
        <f t="shared" si="27"/>
        <v>-2.86683407427194E-2</v>
      </c>
    </row>
    <row r="655" spans="1:7" x14ac:dyDescent="0.35">
      <c r="A655" t="s">
        <v>46</v>
      </c>
      <c r="E655">
        <v>-6.1198653643022901E-3</v>
      </c>
      <c r="F655">
        <f t="shared" si="26"/>
        <v>-1.7936800110070938E-2</v>
      </c>
      <c r="G655">
        <f t="shared" si="27"/>
        <v>-2.86683407427194E-2</v>
      </c>
    </row>
    <row r="656" spans="1:7" x14ac:dyDescent="0.35">
      <c r="A656" t="s">
        <v>46</v>
      </c>
      <c r="E656">
        <v>-2.6843384626279378E-3</v>
      </c>
      <c r="F656">
        <f t="shared" si="26"/>
        <v>-1.79389936516661E-2</v>
      </c>
      <c r="G656">
        <f t="shared" si="27"/>
        <v>-2.86683407427194E-2</v>
      </c>
    </row>
    <row r="657" spans="1:7" x14ac:dyDescent="0.35">
      <c r="A657" t="s">
        <v>46</v>
      </c>
      <c r="E657">
        <v>6.9394230207867353E-3</v>
      </c>
      <c r="F657">
        <f t="shared" si="26"/>
        <v>-1.7941187193261265E-2</v>
      </c>
      <c r="G657">
        <f t="shared" si="27"/>
        <v>-2.86683407427194E-2</v>
      </c>
    </row>
    <row r="658" spans="1:7" x14ac:dyDescent="0.35">
      <c r="A658" t="s">
        <v>46</v>
      </c>
      <c r="E658">
        <v>8.720599621435704E-3</v>
      </c>
      <c r="F658">
        <f t="shared" si="26"/>
        <v>-1.7943380734856431E-2</v>
      </c>
      <c r="G658">
        <f t="shared" si="27"/>
        <v>-2.86683407427194E-2</v>
      </c>
    </row>
    <row r="659" spans="1:7" x14ac:dyDescent="0.35">
      <c r="A659" t="s">
        <v>46</v>
      </c>
      <c r="E659">
        <v>2.2643565947439498E-3</v>
      </c>
      <c r="F659">
        <f t="shared" si="26"/>
        <v>-1.7945574276451597E-2</v>
      </c>
      <c r="G659">
        <f t="shared" si="27"/>
        <v>-2.86683407427194E-2</v>
      </c>
    </row>
    <row r="660" spans="1:7" x14ac:dyDescent="0.35">
      <c r="A660" t="s">
        <v>46</v>
      </c>
      <c r="E660">
        <v>-2.2384985010873897E-3</v>
      </c>
      <c r="F660">
        <f t="shared" si="26"/>
        <v>-1.7947767818046762E-2</v>
      </c>
      <c r="G660">
        <f t="shared" si="27"/>
        <v>-2.86683407427194E-2</v>
      </c>
    </row>
    <row r="661" spans="1:7" x14ac:dyDescent="0.35">
      <c r="A661" t="s">
        <v>46</v>
      </c>
      <c r="E661">
        <v>9.3511274985269288E-3</v>
      </c>
      <c r="F661">
        <f t="shared" si="26"/>
        <v>-1.7947877734713825E-2</v>
      </c>
      <c r="G661">
        <f t="shared" si="27"/>
        <v>-2.8736624646698204E-2</v>
      </c>
    </row>
    <row r="662" spans="1:7" x14ac:dyDescent="0.35">
      <c r="A662" t="s">
        <v>46</v>
      </c>
      <c r="E662">
        <v>-1.4804720052349934E-2</v>
      </c>
      <c r="F662">
        <f t="shared" si="26"/>
        <v>-1.7947987651380889E-2</v>
      </c>
      <c r="G662">
        <f t="shared" si="27"/>
        <v>-2.8736624646698204E-2</v>
      </c>
    </row>
    <row r="663" spans="1:7" x14ac:dyDescent="0.35">
      <c r="A663" t="s">
        <v>46</v>
      </c>
      <c r="E663">
        <v>-8.4390155337977658E-3</v>
      </c>
      <c r="F663">
        <f t="shared" si="26"/>
        <v>-1.7948097568047952E-2</v>
      </c>
      <c r="G663">
        <f t="shared" si="27"/>
        <v>-2.8736624646698204E-2</v>
      </c>
    </row>
    <row r="664" spans="1:7" x14ac:dyDescent="0.35">
      <c r="A664" t="s">
        <v>46</v>
      </c>
      <c r="E664">
        <v>1.8934511407815192E-4</v>
      </c>
      <c r="F664">
        <f t="shared" si="26"/>
        <v>-1.7948207484715015E-2</v>
      </c>
      <c r="G664">
        <f t="shared" si="27"/>
        <v>-2.8736624646698204E-2</v>
      </c>
    </row>
    <row r="665" spans="1:7" x14ac:dyDescent="0.35">
      <c r="A665" t="s">
        <v>46</v>
      </c>
      <c r="E665">
        <v>-4.8362944439590355E-4</v>
      </c>
      <c r="F665">
        <f t="shared" si="26"/>
        <v>-1.7948317401382079E-2</v>
      </c>
      <c r="G665">
        <f t="shared" si="27"/>
        <v>-2.8736624646698204E-2</v>
      </c>
    </row>
    <row r="666" spans="1:7" x14ac:dyDescent="0.35">
      <c r="A666" t="s">
        <v>46</v>
      </c>
      <c r="E666">
        <v>-5.1596505640788999E-3</v>
      </c>
      <c r="F666">
        <f t="shared" si="26"/>
        <v>-1.7948427318049142E-2</v>
      </c>
      <c r="G666">
        <f t="shared" si="27"/>
        <v>-2.8736624646698204E-2</v>
      </c>
    </row>
    <row r="667" spans="1:7" x14ac:dyDescent="0.35">
      <c r="A667" t="s">
        <v>46</v>
      </c>
      <c r="E667">
        <v>-1.0240042371341421E-2</v>
      </c>
      <c r="F667">
        <f t="shared" si="26"/>
        <v>-1.7948537234716205E-2</v>
      </c>
      <c r="G667">
        <f t="shared" si="27"/>
        <v>-2.8736624646698204E-2</v>
      </c>
    </row>
    <row r="668" spans="1:7" x14ac:dyDescent="0.35">
      <c r="A668" t="s">
        <v>46</v>
      </c>
      <c r="E668">
        <v>9.9998183173136031E-3</v>
      </c>
      <c r="F668">
        <f t="shared" si="26"/>
        <v>-1.7948647151383269E-2</v>
      </c>
      <c r="G668">
        <f t="shared" si="27"/>
        <v>-2.8736624646698204E-2</v>
      </c>
    </row>
    <row r="669" spans="1:7" x14ac:dyDescent="0.35">
      <c r="A669" t="s">
        <v>47</v>
      </c>
      <c r="B669" s="3" cm="1">
        <f t="array" ref="B669">_xlfn.STDEV.S(_xlfn._xlws.FILTER($E$2:$E$1000, $A$2:$A$1000="2012-09"))</f>
        <v>1.4390837679395807E-2</v>
      </c>
      <c r="C669" s="3" cm="1">
        <f t="array" ref="C669">AVERAGE(_xlfn._xlws.FILTER($E$2:$E$1000, $A$2:$A$1000="2012-09"))</f>
        <v>-8.6070309060297455E-4</v>
      </c>
      <c r="D669" s="3" cm="1">
        <f t="array" ref="D669">_xlfn.PERCENTILE.EXC(_xlfn._xlws.FILTER($E$503:$E$750, $A$503:$A$750="2012-09"), 0.05)</f>
        <v>-2.8385548096617124E-2</v>
      </c>
      <c r="E669">
        <v>1.1836836044576115E-2</v>
      </c>
      <c r="F669">
        <f t="shared" si="26"/>
        <v>-1.7948757068050332E-2</v>
      </c>
      <c r="G669">
        <f t="shared" si="27"/>
        <v>-2.8736624646698204E-2</v>
      </c>
    </row>
    <row r="670" spans="1:7" x14ac:dyDescent="0.35">
      <c r="A670" t="s">
        <v>47</v>
      </c>
      <c r="E670">
        <v>-1.5955976762391775E-2</v>
      </c>
      <c r="F670">
        <f t="shared" si="26"/>
        <v>-1.7948866984717399E-2</v>
      </c>
      <c r="G670">
        <f t="shared" si="27"/>
        <v>-2.8736624646698204E-2</v>
      </c>
    </row>
    <row r="671" spans="1:7" x14ac:dyDescent="0.35">
      <c r="A671" t="s">
        <v>47</v>
      </c>
      <c r="E671">
        <v>1.9838856265002353E-3</v>
      </c>
      <c r="F671">
        <f t="shared" si="26"/>
        <v>-1.7948976901384462E-2</v>
      </c>
      <c r="G671">
        <f t="shared" si="27"/>
        <v>-2.8736624646698204E-2</v>
      </c>
    </row>
    <row r="672" spans="1:7" x14ac:dyDescent="0.35">
      <c r="A672" t="s">
        <v>47</v>
      </c>
      <c r="E672">
        <v>3.0104924420819565E-2</v>
      </c>
      <c r="F672">
        <f t="shared" si="26"/>
        <v>-1.7949086818051525E-2</v>
      </c>
      <c r="G672">
        <f t="shared" si="27"/>
        <v>-2.8736624646698204E-2</v>
      </c>
    </row>
    <row r="673" spans="1:7" x14ac:dyDescent="0.35">
      <c r="A673" t="s">
        <v>47</v>
      </c>
      <c r="E673">
        <v>2.6092179613285429E-3</v>
      </c>
      <c r="F673">
        <f t="shared" si="26"/>
        <v>-1.7949196734718589E-2</v>
      </c>
      <c r="G673">
        <f t="shared" si="27"/>
        <v>-2.8736624646698204E-2</v>
      </c>
    </row>
    <row r="674" spans="1:7" x14ac:dyDescent="0.35">
      <c r="A674" t="s">
        <v>47</v>
      </c>
      <c r="E674">
        <v>-3.7010191567383856E-3</v>
      </c>
      <c r="F674">
        <f t="shared" si="26"/>
        <v>-1.7949306651385652E-2</v>
      </c>
      <c r="G674">
        <f t="shared" si="27"/>
        <v>-2.8736624646698204E-2</v>
      </c>
    </row>
    <row r="675" spans="1:7" x14ac:dyDescent="0.35">
      <c r="A675" t="s">
        <v>47</v>
      </c>
      <c r="E675">
        <v>8.8736766048480662E-3</v>
      </c>
      <c r="F675">
        <f t="shared" si="26"/>
        <v>-1.7949416568052715E-2</v>
      </c>
      <c r="G675">
        <f t="shared" si="27"/>
        <v>-2.8736624646698204E-2</v>
      </c>
    </row>
    <row r="676" spans="1:7" x14ac:dyDescent="0.35">
      <c r="A676" t="s">
        <v>47</v>
      </c>
      <c r="E676">
        <v>1.8330516395758613E-3</v>
      </c>
      <c r="F676">
        <f t="shared" si="26"/>
        <v>-1.7949526484719779E-2</v>
      </c>
      <c r="G676">
        <f t="shared" si="27"/>
        <v>-2.8736624646698204E-2</v>
      </c>
    </row>
    <row r="677" spans="1:7" x14ac:dyDescent="0.35">
      <c r="A677" t="s">
        <v>47</v>
      </c>
      <c r="E677">
        <v>-1.1836842774516673E-2</v>
      </c>
      <c r="F677">
        <f t="shared" si="26"/>
        <v>-1.7949636401386842E-2</v>
      </c>
      <c r="G677">
        <f t="shared" si="27"/>
        <v>-2.8736624646698204E-2</v>
      </c>
    </row>
    <row r="678" spans="1:7" x14ac:dyDescent="0.35">
      <c r="A678" t="s">
        <v>47</v>
      </c>
      <c r="E678">
        <v>2.2444110698874881E-2</v>
      </c>
      <c r="F678">
        <f t="shared" si="26"/>
        <v>-1.7949746318053905E-2</v>
      </c>
      <c r="G678">
        <f t="shared" si="27"/>
        <v>-2.8736624646698204E-2</v>
      </c>
    </row>
    <row r="679" spans="1:7" x14ac:dyDescent="0.35">
      <c r="A679" t="s">
        <v>47</v>
      </c>
      <c r="E679">
        <v>-7.8175435656808144E-3</v>
      </c>
      <c r="F679">
        <f t="shared" si="26"/>
        <v>-1.7949856234720969E-2</v>
      </c>
      <c r="G679">
        <f t="shared" si="27"/>
        <v>-2.8736624646698204E-2</v>
      </c>
    </row>
    <row r="680" spans="1:7" x14ac:dyDescent="0.35">
      <c r="A680" t="s">
        <v>47</v>
      </c>
      <c r="E680">
        <v>-1.160437454324704E-2</v>
      </c>
      <c r="F680">
        <f t="shared" si="26"/>
        <v>-1.7949966151388032E-2</v>
      </c>
      <c r="G680">
        <f t="shared" si="27"/>
        <v>-2.8736624646698204E-2</v>
      </c>
    </row>
    <row r="681" spans="1:7" x14ac:dyDescent="0.35">
      <c r="A681" t="s">
        <v>47</v>
      </c>
      <c r="E681">
        <v>5.4311930920617341E-3</v>
      </c>
      <c r="F681">
        <f t="shared" si="26"/>
        <v>-1.7960609336849627E-2</v>
      </c>
      <c r="G681">
        <f t="shared" si="27"/>
        <v>-2.8805769893463021E-2</v>
      </c>
    </row>
    <row r="682" spans="1:7" x14ac:dyDescent="0.35">
      <c r="A682" t="s">
        <v>47</v>
      </c>
      <c r="E682">
        <v>-6.2200736204278545E-3</v>
      </c>
      <c r="F682">
        <f t="shared" si="26"/>
        <v>-1.7971252522311229E-2</v>
      </c>
      <c r="G682">
        <f t="shared" si="27"/>
        <v>-2.8805769893463021E-2</v>
      </c>
    </row>
    <row r="683" spans="1:7" x14ac:dyDescent="0.35">
      <c r="A683" t="s">
        <v>47</v>
      </c>
      <c r="E683">
        <v>5.9085709573930625E-3</v>
      </c>
      <c r="F683">
        <f t="shared" si="26"/>
        <v>-1.7981895707772824E-2</v>
      </c>
      <c r="G683">
        <f t="shared" si="27"/>
        <v>-2.8805769893463021E-2</v>
      </c>
    </row>
    <row r="684" spans="1:7" x14ac:dyDescent="0.35">
      <c r="A684" t="s">
        <v>47</v>
      </c>
      <c r="E684">
        <v>-9.5334489835843077E-3</v>
      </c>
      <c r="F684">
        <f t="shared" si="26"/>
        <v>-1.7992538893234426E-2</v>
      </c>
      <c r="G684">
        <f t="shared" si="27"/>
        <v>-2.8805769893463021E-2</v>
      </c>
    </row>
    <row r="685" spans="1:7" x14ac:dyDescent="0.35">
      <c r="A685" t="s">
        <v>47</v>
      </c>
      <c r="E685">
        <v>4.7325516975120965E-3</v>
      </c>
      <c r="F685">
        <f t="shared" si="26"/>
        <v>-1.8003182078696028E-2</v>
      </c>
      <c r="G685">
        <f t="shared" si="27"/>
        <v>-2.8805769893463021E-2</v>
      </c>
    </row>
    <row r="686" spans="1:7" x14ac:dyDescent="0.35">
      <c r="A686" t="s">
        <v>47</v>
      </c>
      <c r="E686">
        <v>-2.8570279064389557E-2</v>
      </c>
      <c r="F686">
        <f t="shared" si="26"/>
        <v>-1.8013825264157624E-2</v>
      </c>
      <c r="G686">
        <f t="shared" si="27"/>
        <v>-2.8805769893463021E-2</v>
      </c>
    </row>
    <row r="687" spans="1:7" x14ac:dyDescent="0.35">
      <c r="A687" t="s">
        <v>47</v>
      </c>
      <c r="E687">
        <v>7.1431376243676938E-3</v>
      </c>
      <c r="F687">
        <f t="shared" si="26"/>
        <v>-1.7948537234716205E-2</v>
      </c>
      <c r="G687">
        <f t="shared" si="27"/>
        <v>-2.8737690964533522E-2</v>
      </c>
    </row>
    <row r="688" spans="1:7" x14ac:dyDescent="0.35">
      <c r="A688" t="s">
        <v>47</v>
      </c>
      <c r="E688">
        <v>-2.4875659708940935E-2</v>
      </c>
      <c r="F688">
        <f t="shared" si="26"/>
        <v>-1.7948647151383269E-2</v>
      </c>
      <c r="G688">
        <f t="shared" si="27"/>
        <v>-2.8737690964533522E-2</v>
      </c>
    </row>
    <row r="689" spans="1:7" x14ac:dyDescent="0.35">
      <c r="A689" t="s">
        <v>48</v>
      </c>
      <c r="B689" s="3" cm="1">
        <f t="array" ref="B689">_xlfn.STDEV.S(_xlfn._xlws.FILTER($E$2:$E$1000, $A$2:$A$1000="2012-10"))</f>
        <v>1.1946794390037213E-2</v>
      </c>
      <c r="C689" s="3" cm="1">
        <f t="array" ref="C689">AVERAGE(_xlfn._xlws.FILTER($E$2:$E$1000, $A$2:$A$1000="2012-10"))</f>
        <v>9.5431707916615247E-4</v>
      </c>
      <c r="D689" s="3" cm="1">
        <f t="array" ref="D689">_xlfn.PERCENTILE.EXC(_xlfn._xlws.FILTER($E$503:$E$750, $A$503:$A$750="2012-10"), 0.05)</f>
        <v>-2.0768026566525859E-2</v>
      </c>
      <c r="E689">
        <v>2.3612985523461017E-2</v>
      </c>
      <c r="F689">
        <f t="shared" si="26"/>
        <v>-1.7923638860499948E-2</v>
      </c>
      <c r="G689">
        <f t="shared" si="27"/>
        <v>-2.8693281401130352E-2</v>
      </c>
    </row>
    <row r="690" spans="1:7" x14ac:dyDescent="0.35">
      <c r="A690" t="s">
        <v>48</v>
      </c>
      <c r="E690">
        <v>-6.0591114836796118E-3</v>
      </c>
      <c r="F690">
        <f t="shared" si="26"/>
        <v>-1.792583240209511E-2</v>
      </c>
      <c r="G690">
        <f t="shared" si="27"/>
        <v>-2.8693281401130352E-2</v>
      </c>
    </row>
    <row r="691" spans="1:7" x14ac:dyDescent="0.35">
      <c r="A691" t="s">
        <v>48</v>
      </c>
      <c r="E691">
        <v>-2.4075375435186775E-3</v>
      </c>
      <c r="F691">
        <f t="shared" si="26"/>
        <v>-1.7928025943690275E-2</v>
      </c>
      <c r="G691">
        <f t="shared" si="27"/>
        <v>-2.8693281401130352E-2</v>
      </c>
    </row>
    <row r="692" spans="1:7" x14ac:dyDescent="0.35">
      <c r="A692" t="s">
        <v>48</v>
      </c>
      <c r="E692">
        <v>-1.4161436843609903E-3</v>
      </c>
      <c r="F692">
        <f t="shared" si="26"/>
        <v>-1.7930219485285441E-2</v>
      </c>
      <c r="G692">
        <f t="shared" si="27"/>
        <v>-2.8693281401130352E-2</v>
      </c>
    </row>
    <row r="693" spans="1:7" x14ac:dyDescent="0.35">
      <c r="A693" t="s">
        <v>48</v>
      </c>
      <c r="E693">
        <v>1.628442106910993E-2</v>
      </c>
      <c r="F693">
        <f t="shared" si="26"/>
        <v>-1.7932413026880607E-2</v>
      </c>
      <c r="G693">
        <f t="shared" si="27"/>
        <v>-2.8693281401130352E-2</v>
      </c>
    </row>
    <row r="694" spans="1:7" x14ac:dyDescent="0.35">
      <c r="A694" t="s">
        <v>48</v>
      </c>
      <c r="E694">
        <v>-1.4718553712716255E-2</v>
      </c>
      <c r="F694">
        <f t="shared" si="26"/>
        <v>-1.7934606568475772E-2</v>
      </c>
      <c r="G694">
        <f t="shared" si="27"/>
        <v>-2.8693281401130352E-2</v>
      </c>
    </row>
    <row r="695" spans="1:7" x14ac:dyDescent="0.35">
      <c r="A695" t="s">
        <v>48</v>
      </c>
      <c r="E695">
        <v>-6.9963212394726238E-3</v>
      </c>
      <c r="F695">
        <f t="shared" si="26"/>
        <v>-1.7936800110070938E-2</v>
      </c>
      <c r="G695">
        <f t="shared" si="27"/>
        <v>-2.8693281401130352E-2</v>
      </c>
    </row>
    <row r="696" spans="1:7" x14ac:dyDescent="0.35">
      <c r="A696" t="s">
        <v>48</v>
      </c>
      <c r="E696">
        <v>-5.0113831328464746E-3</v>
      </c>
      <c r="F696">
        <f t="shared" si="26"/>
        <v>-1.79389936516661E-2</v>
      </c>
      <c r="G696">
        <f t="shared" si="27"/>
        <v>-2.8693281401130352E-2</v>
      </c>
    </row>
    <row r="697" spans="1:7" x14ac:dyDescent="0.35">
      <c r="A697" t="s">
        <v>48</v>
      </c>
      <c r="E697">
        <v>1.4116132263840986E-2</v>
      </c>
      <c r="F697">
        <f t="shared" si="26"/>
        <v>-1.7941187193261265E-2</v>
      </c>
      <c r="G697">
        <f t="shared" si="27"/>
        <v>-2.8693281401130352E-2</v>
      </c>
    </row>
    <row r="698" spans="1:7" x14ac:dyDescent="0.35">
      <c r="A698" t="s">
        <v>48</v>
      </c>
      <c r="E698">
        <v>-7.2441076476966416E-3</v>
      </c>
      <c r="F698">
        <f t="shared" si="26"/>
        <v>-1.7943380734856431E-2</v>
      </c>
      <c r="G698">
        <f t="shared" si="27"/>
        <v>-2.8693281401130352E-2</v>
      </c>
    </row>
    <row r="699" spans="1:7" x14ac:dyDescent="0.35">
      <c r="A699" t="s">
        <v>48</v>
      </c>
      <c r="E699">
        <v>9.1639209385483335E-3</v>
      </c>
      <c r="F699">
        <f t="shared" si="26"/>
        <v>-1.7945574276451597E-2</v>
      </c>
      <c r="G699">
        <f t="shared" si="27"/>
        <v>-2.8693281401130352E-2</v>
      </c>
    </row>
    <row r="700" spans="1:7" x14ac:dyDescent="0.35">
      <c r="A700" t="s">
        <v>48</v>
      </c>
      <c r="E700">
        <v>2.3309084796821908E-2</v>
      </c>
      <c r="F700">
        <f t="shared" si="26"/>
        <v>-1.7947767818046762E-2</v>
      </c>
      <c r="G700">
        <f t="shared" si="27"/>
        <v>-2.8693281401130352E-2</v>
      </c>
    </row>
    <row r="701" spans="1:7" x14ac:dyDescent="0.35">
      <c r="A701" t="s">
        <v>48</v>
      </c>
      <c r="E701">
        <v>7.5579008797425663E-3</v>
      </c>
      <c r="F701">
        <f t="shared" si="26"/>
        <v>-1.7947877734713825E-2</v>
      </c>
      <c r="G701">
        <f t="shared" si="27"/>
        <v>-2.8762607295214761E-2</v>
      </c>
    </row>
    <row r="702" spans="1:7" x14ac:dyDescent="0.35">
      <c r="A702" t="s">
        <v>48</v>
      </c>
      <c r="E702">
        <v>2.1748126850085082E-3</v>
      </c>
      <c r="F702">
        <f t="shared" si="26"/>
        <v>-1.7947987651380889E-2</v>
      </c>
      <c r="G702">
        <f t="shared" si="27"/>
        <v>-2.8762607295214761E-2</v>
      </c>
    </row>
    <row r="703" spans="1:7" x14ac:dyDescent="0.35">
      <c r="A703" t="s">
        <v>48</v>
      </c>
      <c r="E703">
        <v>-8.6992397735298072E-3</v>
      </c>
      <c r="F703">
        <f t="shared" si="26"/>
        <v>-1.7948097568047952E-2</v>
      </c>
      <c r="G703">
        <f t="shared" si="27"/>
        <v>-2.8762607295214761E-2</v>
      </c>
    </row>
    <row r="704" spans="1:7" x14ac:dyDescent="0.35">
      <c r="A704" t="s">
        <v>48</v>
      </c>
      <c r="E704">
        <v>-6.0992116447466521E-3</v>
      </c>
      <c r="F704">
        <f t="shared" si="26"/>
        <v>-1.7948207484715015E-2</v>
      </c>
      <c r="G704">
        <f t="shared" si="27"/>
        <v>-2.8762607295214761E-2</v>
      </c>
    </row>
    <row r="705" spans="1:7" x14ac:dyDescent="0.35">
      <c r="A705" t="s">
        <v>48</v>
      </c>
      <c r="E705">
        <v>-2.2280394779978261E-2</v>
      </c>
      <c r="F705">
        <f t="shared" si="26"/>
        <v>-1.7948317401382079E-2</v>
      </c>
      <c r="G705">
        <f t="shared" si="27"/>
        <v>-2.8762607295214761E-2</v>
      </c>
    </row>
    <row r="706" spans="1:7" x14ac:dyDescent="0.35">
      <c r="A706" t="s">
        <v>48</v>
      </c>
      <c r="E706">
        <v>5.8510423780121284E-3</v>
      </c>
      <c r="F706">
        <f t="shared" si="26"/>
        <v>-1.7917058235714451E-2</v>
      </c>
      <c r="G706">
        <f t="shared" si="27"/>
        <v>-2.8734654863202303E-2</v>
      </c>
    </row>
    <row r="707" spans="1:7" x14ac:dyDescent="0.35">
      <c r="A707" t="s">
        <v>48</v>
      </c>
      <c r="E707">
        <v>-4.3755425891968923E-3</v>
      </c>
      <c r="F707">
        <f t="shared" si="26"/>
        <v>-1.7919251777309617E-2</v>
      </c>
      <c r="G707">
        <f t="shared" si="27"/>
        <v>-2.8734654863202303E-2</v>
      </c>
    </row>
    <row r="708" spans="1:7" x14ac:dyDescent="0.35">
      <c r="A708" t="s">
        <v>48</v>
      </c>
      <c r="E708">
        <v>6.8822551840372363E-3</v>
      </c>
      <c r="F708">
        <f t="shared" ref="F708:F771" si="28">_xlfn.PERCENTILE.EXC(E708:E4523,0.05)</f>
        <v>-1.7921445318904782E-2</v>
      </c>
      <c r="G708">
        <f t="shared" ref="G708:G771" si="29">AVERAGEIFS(E708:E4524,E708:E4524,"&lt;=" &amp; F708)</f>
        <v>-2.8734654863202303E-2</v>
      </c>
    </row>
    <row r="709" spans="1:7" x14ac:dyDescent="0.35">
      <c r="A709" t="s">
        <v>48</v>
      </c>
      <c r="E709">
        <v>-7.6564010964141225E-3</v>
      </c>
      <c r="F709">
        <f t="shared" si="28"/>
        <v>-1.7923638860499948E-2</v>
      </c>
      <c r="G709">
        <f t="shared" si="29"/>
        <v>-2.8734654863202303E-2</v>
      </c>
    </row>
    <row r="710" spans="1:7" x14ac:dyDescent="0.35">
      <c r="A710" t="s">
        <v>48</v>
      </c>
      <c r="E710">
        <v>1.472000115154817E-2</v>
      </c>
      <c r="F710">
        <f t="shared" si="28"/>
        <v>-1.792583240209511E-2</v>
      </c>
      <c r="G710">
        <f t="shared" si="29"/>
        <v>-2.8734654863202303E-2</v>
      </c>
    </row>
    <row r="711" spans="1:7" x14ac:dyDescent="0.35">
      <c r="A711" t="s">
        <v>48</v>
      </c>
      <c r="E711">
        <v>-8.7593157211522665E-3</v>
      </c>
      <c r="F711">
        <f t="shared" si="28"/>
        <v>-1.7928025943690275E-2</v>
      </c>
      <c r="G711">
        <f t="shared" si="29"/>
        <v>-2.8734654863202303E-2</v>
      </c>
    </row>
    <row r="712" spans="1:7" x14ac:dyDescent="0.35">
      <c r="A712" t="s">
        <v>49</v>
      </c>
      <c r="B712" s="3" cm="1">
        <f t="array" ref="B712">_xlfn.STDEV.S(_xlfn._xlws.FILTER($E$2:$E$1000, $A$2:$A$1000="2012-11"))</f>
        <v>1.0750280958294375E-2</v>
      </c>
      <c r="C712" s="3" cm="1">
        <f t="array" ref="C712">AVERAGE(_xlfn._xlws.FILTER($E$2:$E$1000, $A$2:$A$1000="2012-11"))</f>
        <v>1.6658544250273083E-3</v>
      </c>
      <c r="D712" s="3" cm="1">
        <f t="array" ref="D712">_xlfn.PERCENTILE.EXC(_xlfn._xlws.FILTER($E$503:$E$750, $A$503:$A$750="2012-11"), 0.05)</f>
        <v>-1.8946896556114985E-2</v>
      </c>
      <c r="E712">
        <v>1.3362169767596794E-2</v>
      </c>
      <c r="F712">
        <f t="shared" si="28"/>
        <v>-1.7930219485285441E-2</v>
      </c>
      <c r="G712">
        <f t="shared" si="29"/>
        <v>-2.8734654863202303E-2</v>
      </c>
    </row>
    <row r="713" spans="1:7" x14ac:dyDescent="0.35">
      <c r="A713" t="s">
        <v>49</v>
      </c>
      <c r="E713">
        <v>4.8967786635600212E-3</v>
      </c>
      <c r="F713">
        <f t="shared" si="28"/>
        <v>-1.7932413026880607E-2</v>
      </c>
      <c r="G713">
        <f t="shared" si="29"/>
        <v>-2.8734654863202303E-2</v>
      </c>
    </row>
    <row r="714" spans="1:7" x14ac:dyDescent="0.35">
      <c r="A714" t="s">
        <v>49</v>
      </c>
      <c r="E714">
        <v>-1.2667005080368289E-2</v>
      </c>
      <c r="F714">
        <f t="shared" si="28"/>
        <v>-1.7934606568475772E-2</v>
      </c>
      <c r="G714">
        <f t="shared" si="29"/>
        <v>-2.8734654863202303E-2</v>
      </c>
    </row>
    <row r="715" spans="1:7" x14ac:dyDescent="0.35">
      <c r="A715" t="s">
        <v>49</v>
      </c>
      <c r="E715">
        <v>8.7078082722452585E-3</v>
      </c>
      <c r="F715">
        <f t="shared" si="28"/>
        <v>-1.7936800110070938E-2</v>
      </c>
      <c r="G715">
        <f t="shared" si="29"/>
        <v>-2.8734654863202303E-2</v>
      </c>
    </row>
    <row r="716" spans="1:7" x14ac:dyDescent="0.35">
      <c r="A716" t="s">
        <v>49</v>
      </c>
      <c r="E716">
        <v>-2.0055112698893814E-2</v>
      </c>
      <c r="F716">
        <f t="shared" si="28"/>
        <v>-1.79389936516661E-2</v>
      </c>
      <c r="G716">
        <f t="shared" si="29"/>
        <v>-2.8734654863202303E-2</v>
      </c>
    </row>
    <row r="717" spans="1:7" x14ac:dyDescent="0.35">
      <c r="A717" t="s">
        <v>49</v>
      </c>
      <c r="E717">
        <v>-5.6034161767854937E-4</v>
      </c>
      <c r="F717">
        <f t="shared" si="28"/>
        <v>-1.7871255410287994E-2</v>
      </c>
      <c r="G717">
        <f t="shared" si="29"/>
        <v>-2.87207760521523E-2</v>
      </c>
    </row>
    <row r="718" spans="1:7" x14ac:dyDescent="0.35">
      <c r="A718" t="s">
        <v>49</v>
      </c>
      <c r="E718">
        <v>4.6521584361194062E-3</v>
      </c>
      <c r="F718">
        <f t="shared" si="28"/>
        <v>-1.7882135935573144E-2</v>
      </c>
      <c r="G718">
        <f t="shared" si="29"/>
        <v>-2.87207760521523E-2</v>
      </c>
    </row>
    <row r="719" spans="1:7" x14ac:dyDescent="0.35">
      <c r="A719" t="s">
        <v>49</v>
      </c>
      <c r="E719">
        <v>-3.4878210456412767E-3</v>
      </c>
      <c r="F719">
        <f t="shared" si="28"/>
        <v>-1.7893016460858304E-2</v>
      </c>
      <c r="G719">
        <f t="shared" si="29"/>
        <v>-2.87207760521523E-2</v>
      </c>
    </row>
    <row r="720" spans="1:7" x14ac:dyDescent="0.35">
      <c r="A720" t="s">
        <v>49</v>
      </c>
      <c r="E720">
        <v>5.5391277582274318E-3</v>
      </c>
      <c r="F720">
        <f t="shared" si="28"/>
        <v>-1.7903896986143461E-2</v>
      </c>
      <c r="G720">
        <f t="shared" si="29"/>
        <v>-2.87207760521523E-2</v>
      </c>
    </row>
    <row r="721" spans="1:7" x14ac:dyDescent="0.35">
      <c r="A721" t="s">
        <v>49</v>
      </c>
      <c r="E721">
        <v>-8.9538590358316291E-3</v>
      </c>
      <c r="F721">
        <f t="shared" si="28"/>
        <v>-1.7906090527738627E-2</v>
      </c>
      <c r="G721">
        <f t="shared" si="29"/>
        <v>-2.8791015526606904E-2</v>
      </c>
    </row>
    <row r="722" spans="1:7" x14ac:dyDescent="0.35">
      <c r="A722" t="s">
        <v>49</v>
      </c>
      <c r="E722">
        <v>-5.1957972639744788E-3</v>
      </c>
      <c r="F722">
        <f t="shared" si="28"/>
        <v>-1.7908284069333792E-2</v>
      </c>
      <c r="G722">
        <f t="shared" si="29"/>
        <v>-2.8791015526606904E-2</v>
      </c>
    </row>
    <row r="723" spans="1:7" x14ac:dyDescent="0.35">
      <c r="A723" t="s">
        <v>49</v>
      </c>
      <c r="E723">
        <v>-1.215972340677882E-2</v>
      </c>
      <c r="F723">
        <f t="shared" si="28"/>
        <v>-1.7910477610928954E-2</v>
      </c>
      <c r="G723">
        <f t="shared" si="29"/>
        <v>-2.8791015526606904E-2</v>
      </c>
    </row>
    <row r="724" spans="1:7" x14ac:dyDescent="0.35">
      <c r="A724" t="s">
        <v>49</v>
      </c>
      <c r="E724">
        <v>2.892357762108862E-2</v>
      </c>
      <c r="F724">
        <f t="shared" si="28"/>
        <v>-1.791267115252412E-2</v>
      </c>
      <c r="G724">
        <f t="shared" si="29"/>
        <v>-2.8791015526606904E-2</v>
      </c>
    </row>
    <row r="725" spans="1:7" x14ac:dyDescent="0.35">
      <c r="A725" t="s">
        <v>49</v>
      </c>
      <c r="E725">
        <v>6.5144167182761515E-3</v>
      </c>
      <c r="F725">
        <f t="shared" si="28"/>
        <v>-1.7914864694119285E-2</v>
      </c>
      <c r="G725">
        <f t="shared" si="29"/>
        <v>-2.8791015526606904E-2</v>
      </c>
    </row>
    <row r="726" spans="1:7" x14ac:dyDescent="0.35">
      <c r="A726" t="s">
        <v>49</v>
      </c>
      <c r="E726">
        <v>4.4095975720721357E-3</v>
      </c>
      <c r="F726">
        <f t="shared" si="28"/>
        <v>-1.7917058235714451E-2</v>
      </c>
      <c r="G726">
        <f t="shared" si="29"/>
        <v>-2.8791015526606904E-2</v>
      </c>
    </row>
    <row r="727" spans="1:7" x14ac:dyDescent="0.35">
      <c r="A727" t="s">
        <v>49</v>
      </c>
      <c r="E727">
        <v>5.9808825020448752E-3</v>
      </c>
      <c r="F727">
        <f t="shared" si="28"/>
        <v>-1.7919251777309617E-2</v>
      </c>
      <c r="G727">
        <f t="shared" si="29"/>
        <v>-2.8791015526606904E-2</v>
      </c>
    </row>
    <row r="728" spans="1:7" x14ac:dyDescent="0.35">
      <c r="A728" t="s">
        <v>49</v>
      </c>
      <c r="E728">
        <v>8.7036021081086136E-3</v>
      </c>
      <c r="F728">
        <f t="shared" si="28"/>
        <v>-1.7921445318904782E-2</v>
      </c>
      <c r="G728">
        <f t="shared" si="29"/>
        <v>-2.8791015526606904E-2</v>
      </c>
    </row>
    <row r="729" spans="1:7" x14ac:dyDescent="0.35">
      <c r="A729" t="s">
        <v>49</v>
      </c>
      <c r="E729">
        <v>-7.9263659435035924E-3</v>
      </c>
      <c r="F729">
        <f t="shared" si="28"/>
        <v>-1.7923638860499948E-2</v>
      </c>
      <c r="G729">
        <f t="shared" si="29"/>
        <v>-2.8791015526606904E-2</v>
      </c>
    </row>
    <row r="730" spans="1:7" x14ac:dyDescent="0.35">
      <c r="A730" t="s">
        <v>49</v>
      </c>
      <c r="E730">
        <v>3.3985095435384063E-4</v>
      </c>
      <c r="F730">
        <f t="shared" si="28"/>
        <v>-1.792583240209511E-2</v>
      </c>
      <c r="G730">
        <f t="shared" si="29"/>
        <v>-2.8791015526606904E-2</v>
      </c>
    </row>
    <row r="731" spans="1:7" x14ac:dyDescent="0.35">
      <c r="A731" t="s">
        <v>49</v>
      </c>
      <c r="E731">
        <v>3.7222230363712001E-3</v>
      </c>
      <c r="F731">
        <f t="shared" si="28"/>
        <v>-1.7928025943690275E-2</v>
      </c>
      <c r="G731">
        <f t="shared" si="29"/>
        <v>-2.8791015526606904E-2</v>
      </c>
    </row>
    <row r="732" spans="1:7" x14ac:dyDescent="0.35">
      <c r="A732" t="s">
        <v>49</v>
      </c>
      <c r="E732">
        <v>1.515824322340039E-2</v>
      </c>
      <c r="F732">
        <f t="shared" si="28"/>
        <v>-1.7930219485285441E-2</v>
      </c>
      <c r="G732">
        <f t="shared" si="29"/>
        <v>-2.8791015526606904E-2</v>
      </c>
    </row>
    <row r="733" spans="1:7" x14ac:dyDescent="0.35">
      <c r="A733" t="s">
        <v>49</v>
      </c>
      <c r="E733">
        <v>-3.2556131901935138E-3</v>
      </c>
      <c r="F733">
        <f t="shared" si="28"/>
        <v>-1.7932413026880607E-2</v>
      </c>
      <c r="G733">
        <f t="shared" si="29"/>
        <v>-2.8791015526606904E-2</v>
      </c>
    </row>
    <row r="734" spans="1:7" x14ac:dyDescent="0.35">
      <c r="A734" t="s">
        <v>50</v>
      </c>
      <c r="B734" s="3" cm="1">
        <f t="array" ref="B734">_xlfn.STDEV.S(_xlfn._xlws.FILTER($E$2:$E$1000, $A$2:$A$1000="2012-12"))</f>
        <v>4.86157741406993E-3</v>
      </c>
      <c r="C734" s="3" cm="1">
        <f t="array" ref="C734">AVERAGE(_xlfn._xlws.FILTER($E$2:$E$1000, $A$2:$A$1000="2012-12"))</f>
        <v>1.032169196326672E-3</v>
      </c>
      <c r="D734" s="3" cm="1">
        <f t="array" ref="D734">_xlfn.PERCENTILE.INC(_xlfn._xlws.FILTER($E$503:$E$750, $A$503:$A$750="2012-12"), 0.05)</f>
        <v>-4.1254685425178191E-3</v>
      </c>
      <c r="E734">
        <v>2.6137493525988128E-3</v>
      </c>
      <c r="F734">
        <f t="shared" si="28"/>
        <v>-1.7934606568475772E-2</v>
      </c>
      <c r="G734">
        <f t="shared" si="29"/>
        <v>-2.8791015526606904E-2</v>
      </c>
    </row>
    <row r="735" spans="1:7" x14ac:dyDescent="0.35">
      <c r="A735" t="s">
        <v>50</v>
      </c>
      <c r="E735">
        <v>3.8869123955991148E-3</v>
      </c>
      <c r="F735">
        <f t="shared" si="28"/>
        <v>-1.7936800110070938E-2</v>
      </c>
      <c r="G735">
        <f t="shared" si="29"/>
        <v>-2.8791015526606904E-2</v>
      </c>
    </row>
    <row r="736" spans="1:7" x14ac:dyDescent="0.35">
      <c r="A736" t="s">
        <v>50</v>
      </c>
      <c r="E736">
        <v>2.7945989310159251E-3</v>
      </c>
      <c r="F736">
        <f t="shared" si="28"/>
        <v>-1.79389936516661E-2</v>
      </c>
      <c r="G736">
        <f t="shared" si="29"/>
        <v>-2.8791015526606904E-2</v>
      </c>
    </row>
    <row r="737" spans="1:7" x14ac:dyDescent="0.35">
      <c r="A737" t="s">
        <v>50</v>
      </c>
      <c r="E737">
        <v>3.1006052245231659E-3</v>
      </c>
      <c r="F737">
        <f t="shared" si="28"/>
        <v>-1.7941187193261265E-2</v>
      </c>
      <c r="G737">
        <f t="shared" si="29"/>
        <v>-2.8791015526606904E-2</v>
      </c>
    </row>
    <row r="738" spans="1:7" x14ac:dyDescent="0.35">
      <c r="A738" t="s">
        <v>50</v>
      </c>
      <c r="E738">
        <v>1.098892061198258E-3</v>
      </c>
      <c r="F738">
        <f t="shared" si="28"/>
        <v>-1.7943380734856431E-2</v>
      </c>
      <c r="G738">
        <f t="shared" si="29"/>
        <v>-2.8791015526606904E-2</v>
      </c>
    </row>
    <row r="739" spans="1:7" x14ac:dyDescent="0.35">
      <c r="A739" t="s">
        <v>50</v>
      </c>
      <c r="E739">
        <v>1.7983548103478616E-3</v>
      </c>
      <c r="F739">
        <f t="shared" si="28"/>
        <v>-1.7945574276451597E-2</v>
      </c>
      <c r="G739">
        <f t="shared" si="29"/>
        <v>-2.8791015526606904E-2</v>
      </c>
    </row>
    <row r="740" spans="1:7" x14ac:dyDescent="0.35">
      <c r="A740" t="s">
        <v>50</v>
      </c>
      <c r="E740">
        <v>9.3824957223126136E-3</v>
      </c>
      <c r="F740">
        <f t="shared" si="28"/>
        <v>-1.7947767818046762E-2</v>
      </c>
      <c r="G740">
        <f t="shared" si="29"/>
        <v>-2.8791015526606904E-2</v>
      </c>
    </row>
    <row r="741" spans="1:7" x14ac:dyDescent="0.35">
      <c r="A741" t="s">
        <v>50</v>
      </c>
      <c r="E741">
        <v>1.3986378387231032E-4</v>
      </c>
      <c r="F741">
        <f t="shared" si="28"/>
        <v>-1.7947877734713825E-2</v>
      </c>
      <c r="G741">
        <f t="shared" si="29"/>
        <v>-2.8861886426662851E-2</v>
      </c>
    </row>
    <row r="742" spans="1:7" x14ac:dyDescent="0.35">
      <c r="A742" t="s">
        <v>50</v>
      </c>
      <c r="E742">
        <v>-9.6847790564974425E-4</v>
      </c>
      <c r="F742">
        <f t="shared" si="28"/>
        <v>-1.7947987651380889E-2</v>
      </c>
      <c r="G742">
        <f t="shared" si="29"/>
        <v>-2.8861886426662851E-2</v>
      </c>
    </row>
    <row r="743" spans="1:7" x14ac:dyDescent="0.35">
      <c r="A743" t="s">
        <v>50</v>
      </c>
      <c r="E743">
        <v>4.1172539020179123E-5</v>
      </c>
      <c r="F743">
        <f t="shared" si="28"/>
        <v>-1.7948097568047952E-2</v>
      </c>
      <c r="G743">
        <f t="shared" si="29"/>
        <v>-2.8861886426662851E-2</v>
      </c>
    </row>
    <row r="744" spans="1:7" x14ac:dyDescent="0.35">
      <c r="A744" t="s">
        <v>50</v>
      </c>
      <c r="E744">
        <v>-1.4228074551412473E-3</v>
      </c>
      <c r="F744">
        <f t="shared" si="28"/>
        <v>-1.7948207484715015E-2</v>
      </c>
      <c r="G744">
        <f t="shared" si="29"/>
        <v>-2.8861886426662851E-2</v>
      </c>
    </row>
    <row r="745" spans="1:7" x14ac:dyDescent="0.35">
      <c r="A745" t="s">
        <v>50</v>
      </c>
      <c r="E745">
        <v>2.8901873213133516E-3</v>
      </c>
      <c r="F745">
        <f t="shared" si="28"/>
        <v>-1.7948317401382079E-2</v>
      </c>
      <c r="G745">
        <f t="shared" si="29"/>
        <v>-2.8861886426662851E-2</v>
      </c>
    </row>
    <row r="746" spans="1:7" x14ac:dyDescent="0.35">
      <c r="A746" t="s">
        <v>50</v>
      </c>
      <c r="E746">
        <v>4.3647053793980321E-3</v>
      </c>
      <c r="F746">
        <f t="shared" si="28"/>
        <v>-1.7948427318049142E-2</v>
      </c>
      <c r="G746">
        <f t="shared" si="29"/>
        <v>-2.8861886426662851E-2</v>
      </c>
    </row>
    <row r="747" spans="1:7" x14ac:dyDescent="0.35">
      <c r="A747" t="s">
        <v>50</v>
      </c>
      <c r="E747">
        <v>5.8379665893164864E-4</v>
      </c>
      <c r="F747">
        <f t="shared" si="28"/>
        <v>-1.7948537234716205E-2</v>
      </c>
      <c r="G747">
        <f t="shared" si="29"/>
        <v>-2.8861886426662851E-2</v>
      </c>
    </row>
    <row r="748" spans="1:7" x14ac:dyDescent="0.35">
      <c r="A748" t="s">
        <v>50</v>
      </c>
      <c r="E748">
        <v>-1.4546687735844679E-3</v>
      </c>
      <c r="F748">
        <f t="shared" si="28"/>
        <v>-1.7948647151383269E-2</v>
      </c>
      <c r="G748">
        <f t="shared" si="29"/>
        <v>-2.8861886426662851E-2</v>
      </c>
    </row>
    <row r="749" spans="1:7" x14ac:dyDescent="0.35">
      <c r="A749" t="s">
        <v>50</v>
      </c>
      <c r="E749">
        <v>3.5061639100488358E-3</v>
      </c>
      <c r="F749">
        <f t="shared" si="28"/>
        <v>-1.7948757068050332E-2</v>
      </c>
      <c r="G749">
        <f t="shared" si="29"/>
        <v>-2.8861886426662851E-2</v>
      </c>
    </row>
    <row r="750" spans="1:7" x14ac:dyDescent="0.35">
      <c r="A750" t="s">
        <v>50</v>
      </c>
      <c r="E750">
        <v>-1.4808667618251226E-2</v>
      </c>
      <c r="F750">
        <f t="shared" si="28"/>
        <v>-1.7948866984717399E-2</v>
      </c>
      <c r="G750">
        <f t="shared" si="29"/>
        <v>-2.8861886426662851E-2</v>
      </c>
    </row>
    <row r="751" spans="1:7" x14ac:dyDescent="0.35">
      <c r="A751" t="s">
        <v>51</v>
      </c>
      <c r="B751" s="3" cm="1">
        <f t="array" ref="B751">_xlfn.STDEV.S(_xlfn._xlws.FILTER($E$2:$E$1000, $A$2:$A$1000="2013-01"))</f>
        <v>8.1646080337423564E-3</v>
      </c>
      <c r="C751" s="3" cm="1">
        <f t="array" ref="C751">AVERAGE(_xlfn._xlws.FILTER($E$2:$E$1000, $A$2:$A$1000="2013-01"))</f>
        <v>1.3891798881962502E-3</v>
      </c>
      <c r="D751" s="3" cm="1">
        <f t="array" ref="D751">_xlfn.PERCENTILE.EXC(_xlfn._xlws.FILTER($E$751:$E$999, $A$751:$A$999="2013-01"), 0.05)</f>
        <v>-8.4879116646800774E-3</v>
      </c>
      <c r="E751">
        <v>3.0918214064851679E-2</v>
      </c>
      <c r="F751">
        <f t="shared" si="28"/>
        <v>-1.7948976901384462E-2</v>
      </c>
      <c r="G751">
        <f t="shared" si="29"/>
        <v>-2.8861886426662851E-2</v>
      </c>
    </row>
    <row r="752" spans="1:7" x14ac:dyDescent="0.35">
      <c r="A752" t="s">
        <v>51</v>
      </c>
      <c r="E752">
        <v>-3.4231633271686601E-3</v>
      </c>
      <c r="F752">
        <f t="shared" si="28"/>
        <v>-1.7949086818051525E-2</v>
      </c>
      <c r="G752">
        <f t="shared" si="29"/>
        <v>-2.8861886426662851E-2</v>
      </c>
    </row>
    <row r="753" spans="1:7" x14ac:dyDescent="0.35">
      <c r="A753" t="s">
        <v>51</v>
      </c>
      <c r="E753">
        <v>2.3754606073860696E-3</v>
      </c>
      <c r="F753">
        <f t="shared" si="28"/>
        <v>-1.7949196734718589E-2</v>
      </c>
      <c r="G753">
        <f t="shared" si="29"/>
        <v>-2.8861886426662851E-2</v>
      </c>
    </row>
    <row r="754" spans="1:7" x14ac:dyDescent="0.35">
      <c r="A754" t="s">
        <v>51</v>
      </c>
      <c r="E754">
        <v>-6.827507536417401E-3</v>
      </c>
      <c r="F754">
        <f t="shared" si="28"/>
        <v>-1.7949306651385652E-2</v>
      </c>
      <c r="G754">
        <f t="shared" si="29"/>
        <v>-2.8861886426662851E-2</v>
      </c>
    </row>
    <row r="755" spans="1:7" x14ac:dyDescent="0.35">
      <c r="A755" t="s">
        <v>51</v>
      </c>
      <c r="E755">
        <v>3.3465937925363702E-4</v>
      </c>
      <c r="F755">
        <f t="shared" si="28"/>
        <v>-1.7949416568052715E-2</v>
      </c>
      <c r="G755">
        <f t="shared" si="29"/>
        <v>-2.8861886426662851E-2</v>
      </c>
    </row>
    <row r="756" spans="1:7" x14ac:dyDescent="0.35">
      <c r="A756" t="s">
        <v>51</v>
      </c>
      <c r="E756">
        <v>3.1172019481163563E-3</v>
      </c>
      <c r="F756">
        <f t="shared" si="28"/>
        <v>-1.7949526484719779E-2</v>
      </c>
      <c r="G756">
        <f t="shared" si="29"/>
        <v>-2.8861886426662851E-2</v>
      </c>
    </row>
    <row r="757" spans="1:7" x14ac:dyDescent="0.35">
      <c r="A757" t="s">
        <v>51</v>
      </c>
      <c r="E757">
        <v>-3.8622417990193084E-3</v>
      </c>
      <c r="F757">
        <f t="shared" si="28"/>
        <v>-1.7949636401386842E-2</v>
      </c>
      <c r="G757">
        <f t="shared" si="29"/>
        <v>-2.8861886426662851E-2</v>
      </c>
    </row>
    <row r="758" spans="1:7" x14ac:dyDescent="0.35">
      <c r="A758" t="s">
        <v>51</v>
      </c>
      <c r="E758">
        <v>7.8281693910337404E-4</v>
      </c>
      <c r="F758">
        <f t="shared" si="28"/>
        <v>-1.7949746318053905E-2</v>
      </c>
      <c r="G758">
        <f t="shared" si="29"/>
        <v>-2.8861886426662851E-2</v>
      </c>
    </row>
    <row r="759" spans="1:7" x14ac:dyDescent="0.35">
      <c r="A759" t="s">
        <v>51</v>
      </c>
      <c r="E759">
        <v>6.0154271890408713E-4</v>
      </c>
      <c r="F759">
        <f t="shared" si="28"/>
        <v>-1.7949856234720969E-2</v>
      </c>
      <c r="G759">
        <f t="shared" si="29"/>
        <v>-2.8861886426662851E-2</v>
      </c>
    </row>
    <row r="760" spans="1:7" x14ac:dyDescent="0.35">
      <c r="A760" t="s">
        <v>51</v>
      </c>
      <c r="E760">
        <v>-2.943720392986929E-3</v>
      </c>
      <c r="F760">
        <f t="shared" si="28"/>
        <v>-1.7949966151388032E-2</v>
      </c>
      <c r="G760">
        <f t="shared" si="29"/>
        <v>-2.8861886426662851E-2</v>
      </c>
    </row>
    <row r="761" spans="1:7" x14ac:dyDescent="0.35">
      <c r="A761" t="s">
        <v>51</v>
      </c>
      <c r="E761">
        <v>3.0084388542202883E-3</v>
      </c>
      <c r="F761">
        <f t="shared" si="28"/>
        <v>-1.7960609336849627E-2</v>
      </c>
      <c r="G761">
        <f t="shared" si="29"/>
        <v>-2.893367537584229E-2</v>
      </c>
    </row>
    <row r="762" spans="1:7" x14ac:dyDescent="0.35">
      <c r="A762" t="s">
        <v>51</v>
      </c>
      <c r="E762">
        <v>9.5591528428143197E-3</v>
      </c>
      <c r="F762">
        <f t="shared" si="28"/>
        <v>-1.7971252522311229E-2</v>
      </c>
      <c r="G762">
        <f t="shared" si="29"/>
        <v>-2.893367537584229E-2</v>
      </c>
    </row>
    <row r="763" spans="1:7" x14ac:dyDescent="0.35">
      <c r="A763" t="s">
        <v>51</v>
      </c>
      <c r="E763">
        <v>-6.7595641719960984E-4</v>
      </c>
      <c r="F763">
        <f t="shared" si="28"/>
        <v>-1.7981895707772831E-2</v>
      </c>
      <c r="G763">
        <f t="shared" si="29"/>
        <v>-2.893367537584229E-2</v>
      </c>
    </row>
    <row r="764" spans="1:7" x14ac:dyDescent="0.35">
      <c r="A764" t="s">
        <v>51</v>
      </c>
      <c r="E764">
        <v>5.7165018335653111E-3</v>
      </c>
      <c r="F764">
        <f t="shared" si="28"/>
        <v>-1.7992538893234426E-2</v>
      </c>
      <c r="G764">
        <f t="shared" si="29"/>
        <v>-2.893367537584229E-2</v>
      </c>
    </row>
    <row r="765" spans="1:7" x14ac:dyDescent="0.35">
      <c r="A765" t="s">
        <v>51</v>
      </c>
      <c r="E765">
        <v>-5.8688554974977783E-3</v>
      </c>
      <c r="F765">
        <f t="shared" si="28"/>
        <v>-1.8003182078696028E-2</v>
      </c>
      <c r="G765">
        <f t="shared" si="29"/>
        <v>-2.893367537584229E-2</v>
      </c>
    </row>
    <row r="766" spans="1:7" x14ac:dyDescent="0.35">
      <c r="A766" t="s">
        <v>51</v>
      </c>
      <c r="E766">
        <v>-3.9747319704268652E-3</v>
      </c>
      <c r="F766">
        <f t="shared" si="28"/>
        <v>-1.8013825264157624E-2</v>
      </c>
      <c r="G766">
        <f t="shared" si="29"/>
        <v>-2.893367537584229E-2</v>
      </c>
    </row>
    <row r="767" spans="1:7" x14ac:dyDescent="0.35">
      <c r="A767" t="s">
        <v>51</v>
      </c>
      <c r="E767">
        <v>6.9534428119191957E-3</v>
      </c>
      <c r="F767">
        <f t="shared" si="28"/>
        <v>-1.8024468449619222E-2</v>
      </c>
      <c r="G767">
        <f t="shared" si="29"/>
        <v>-2.893367537584229E-2</v>
      </c>
    </row>
    <row r="768" spans="1:7" x14ac:dyDescent="0.35">
      <c r="A768" t="s">
        <v>51</v>
      </c>
      <c r="E768">
        <v>6.9027793465439267E-3</v>
      </c>
      <c r="F768">
        <f t="shared" si="28"/>
        <v>-1.8035111635080824E-2</v>
      </c>
      <c r="G768">
        <f t="shared" si="29"/>
        <v>-2.893367537584229E-2</v>
      </c>
    </row>
    <row r="769" spans="1:7" x14ac:dyDescent="0.35">
      <c r="A769" t="s">
        <v>51</v>
      </c>
      <c r="E769">
        <v>7.2231302047087666E-4</v>
      </c>
      <c r="F769">
        <f t="shared" si="28"/>
        <v>-1.8045754820542419E-2</v>
      </c>
      <c r="G769">
        <f t="shared" si="29"/>
        <v>-2.893367537584229E-2</v>
      </c>
    </row>
    <row r="770" spans="1:7" x14ac:dyDescent="0.35">
      <c r="A770" t="s">
        <v>51</v>
      </c>
      <c r="E770">
        <v>1.3030764222756938E-3</v>
      </c>
      <c r="F770">
        <f t="shared" si="28"/>
        <v>-1.8056398006004021E-2</v>
      </c>
      <c r="G770">
        <f t="shared" si="29"/>
        <v>-2.893367537584229E-2</v>
      </c>
    </row>
    <row r="771" spans="1:7" x14ac:dyDescent="0.35">
      <c r="A771" t="s">
        <v>51</v>
      </c>
      <c r="E771">
        <v>-5.3765421504878615E-3</v>
      </c>
      <c r="F771">
        <f t="shared" si="28"/>
        <v>-1.8067041191465617E-2</v>
      </c>
      <c r="G771">
        <f t="shared" si="29"/>
        <v>-2.893367537584229E-2</v>
      </c>
    </row>
    <row r="772" spans="1:7" x14ac:dyDescent="0.35">
      <c r="A772" t="s">
        <v>51</v>
      </c>
      <c r="E772">
        <v>-8.7809241579029033E-3</v>
      </c>
      <c r="F772">
        <f t="shared" ref="F772:F835" si="30">_xlfn.PERCENTILE.EXC(E772:E4587,0.05)</f>
        <v>-1.8077684376927219E-2</v>
      </c>
      <c r="G772">
        <f t="shared" ref="G772:G835" si="31">AVERAGEIFS(E772:E4588,E772:E4588,"&lt;=" &amp; F772)</f>
        <v>-2.893367537584229E-2</v>
      </c>
    </row>
    <row r="773" spans="1:7" x14ac:dyDescent="0.35">
      <c r="A773" t="s">
        <v>52</v>
      </c>
      <c r="B773" s="3" cm="1">
        <f t="array" ref="B773">_xlfn.STDEV.S(_xlfn._xlws.FILTER($E$2:$E$1000, $A$2:$A$1000="2013-02"))</f>
        <v>1.529107509857019E-2</v>
      </c>
      <c r="C773" s="3" cm="1">
        <f t="array" ref="C773">AVERAGE(_xlfn._xlws.FILTER($E$2:$E$1000, $A$2:$A$1000="2013-02"))</f>
        <v>-1.2876234381562412E-4</v>
      </c>
      <c r="D773" s="3" cm="1">
        <f t="array" ref="D773">_xlfn.PERCENTILE.EXC(_xlfn._xlws.FILTER($E$751:$E$999, $A$751:$A$999="2013-02"), 0.05)</f>
        <v>-3.0397571610741508E-2</v>
      </c>
      <c r="E773">
        <v>1.0905861123170602E-2</v>
      </c>
      <c r="F773">
        <f t="shared" si="30"/>
        <v>-1.8088327562388821E-2</v>
      </c>
      <c r="G773">
        <f t="shared" si="31"/>
        <v>-2.893367537584229E-2</v>
      </c>
    </row>
    <row r="774" spans="1:7" x14ac:dyDescent="0.35">
      <c r="A774" t="s">
        <v>52</v>
      </c>
      <c r="E774">
        <v>-3.057234594306522E-2</v>
      </c>
      <c r="F774">
        <f t="shared" si="30"/>
        <v>-1.8098970747850416E-2</v>
      </c>
      <c r="G774">
        <f t="shared" si="31"/>
        <v>-2.893367537584229E-2</v>
      </c>
    </row>
    <row r="775" spans="1:7" x14ac:dyDescent="0.35">
      <c r="A775" t="s">
        <v>52</v>
      </c>
      <c r="E775">
        <v>9.4608033586402636E-3</v>
      </c>
      <c r="F775">
        <f t="shared" si="30"/>
        <v>-1.7949416568052715E-2</v>
      </c>
      <c r="G775">
        <f t="shared" si="31"/>
        <v>-2.8850633403528628E-2</v>
      </c>
    </row>
    <row r="776" spans="1:7" x14ac:dyDescent="0.35">
      <c r="A776" t="s">
        <v>52</v>
      </c>
      <c r="E776">
        <v>-1.4119292559891651E-2</v>
      </c>
      <c r="F776">
        <f t="shared" si="30"/>
        <v>-1.7949526484719779E-2</v>
      </c>
      <c r="G776">
        <f t="shared" si="31"/>
        <v>-2.8850633403528628E-2</v>
      </c>
    </row>
    <row r="777" spans="1:7" x14ac:dyDescent="0.35">
      <c r="A777" t="s">
        <v>52</v>
      </c>
      <c r="E777">
        <v>-1.1554598143468301E-2</v>
      </c>
      <c r="F777">
        <f t="shared" si="30"/>
        <v>-1.7949636401386842E-2</v>
      </c>
      <c r="G777">
        <f t="shared" si="31"/>
        <v>-2.8850633403528628E-2</v>
      </c>
    </row>
    <row r="778" spans="1:7" x14ac:dyDescent="0.35">
      <c r="A778" t="s">
        <v>52</v>
      </c>
      <c r="E778">
        <v>1.3364702307272215E-2</v>
      </c>
      <c r="F778">
        <f t="shared" si="30"/>
        <v>-1.7949746318053905E-2</v>
      </c>
      <c r="G778">
        <f t="shared" si="31"/>
        <v>-2.8850633403528628E-2</v>
      </c>
    </row>
    <row r="779" spans="1:7" x14ac:dyDescent="0.35">
      <c r="A779" t="s">
        <v>52</v>
      </c>
      <c r="E779">
        <v>2.9588717051841595E-4</v>
      </c>
      <c r="F779">
        <f t="shared" si="30"/>
        <v>-1.7949856234720969E-2</v>
      </c>
      <c r="G779">
        <f t="shared" si="31"/>
        <v>-2.8850633403528628E-2</v>
      </c>
    </row>
    <row r="780" spans="1:7" x14ac:dyDescent="0.35">
      <c r="A780" t="s">
        <v>52</v>
      </c>
      <c r="E780">
        <v>9.8131399322577521E-3</v>
      </c>
      <c r="F780">
        <f t="shared" si="30"/>
        <v>-1.7949966151388032E-2</v>
      </c>
      <c r="G780">
        <f t="shared" si="31"/>
        <v>-2.8850633403528628E-2</v>
      </c>
    </row>
    <row r="781" spans="1:7" x14ac:dyDescent="0.35">
      <c r="A781" t="s">
        <v>52</v>
      </c>
      <c r="E781">
        <v>3.2362443970738943E-3</v>
      </c>
      <c r="F781">
        <f t="shared" si="30"/>
        <v>-1.7960609336849627E-2</v>
      </c>
      <c r="G781">
        <f t="shared" si="31"/>
        <v>-2.8922823252880554E-2</v>
      </c>
    </row>
    <row r="782" spans="1:7" x14ac:dyDescent="0.35">
      <c r="A782" t="s">
        <v>52</v>
      </c>
      <c r="E782">
        <v>-7.8527791085750732E-3</v>
      </c>
      <c r="F782">
        <f t="shared" si="30"/>
        <v>-1.7971252522311229E-2</v>
      </c>
      <c r="G782">
        <f t="shared" si="31"/>
        <v>-2.8922823252880554E-2</v>
      </c>
    </row>
    <row r="783" spans="1:7" x14ac:dyDescent="0.35">
      <c r="A783" t="s">
        <v>52</v>
      </c>
      <c r="E783">
        <v>-2.5184291009179138E-3</v>
      </c>
      <c r="F783">
        <f t="shared" si="30"/>
        <v>-1.7981895707772831E-2</v>
      </c>
      <c r="G783">
        <f t="shared" si="31"/>
        <v>-2.8922823252880554E-2</v>
      </c>
    </row>
    <row r="784" spans="1:7" x14ac:dyDescent="0.35">
      <c r="A784" t="s">
        <v>52</v>
      </c>
      <c r="E784">
        <v>1.8205619290525979E-3</v>
      </c>
      <c r="F784">
        <f t="shared" si="30"/>
        <v>-1.7992538893234426E-2</v>
      </c>
      <c r="G784">
        <f t="shared" si="31"/>
        <v>-2.8922823252880554E-2</v>
      </c>
    </row>
    <row r="785" spans="1:7" x14ac:dyDescent="0.35">
      <c r="A785" t="s">
        <v>52</v>
      </c>
      <c r="E785">
        <v>1.8582542205428751E-2</v>
      </c>
      <c r="F785">
        <f t="shared" si="30"/>
        <v>-1.8003182078696028E-2</v>
      </c>
      <c r="G785">
        <f t="shared" si="31"/>
        <v>-2.8922823252880554E-2</v>
      </c>
    </row>
    <row r="786" spans="1:7" x14ac:dyDescent="0.35">
      <c r="A786" t="s">
        <v>52</v>
      </c>
      <c r="E786">
        <v>-6.9678082516330701E-3</v>
      </c>
      <c r="F786">
        <f t="shared" si="30"/>
        <v>-1.8013825264157624E-2</v>
      </c>
      <c r="G786">
        <f t="shared" si="31"/>
        <v>-2.8922823252880554E-2</v>
      </c>
    </row>
    <row r="787" spans="1:7" x14ac:dyDescent="0.35">
      <c r="A787" t="s">
        <v>52</v>
      </c>
      <c r="E787">
        <v>-2.3200416711963996E-2</v>
      </c>
      <c r="F787">
        <f t="shared" si="30"/>
        <v>-1.8024468449619222E-2</v>
      </c>
      <c r="G787">
        <f t="shared" si="31"/>
        <v>-2.8922823252880554E-2</v>
      </c>
    </row>
    <row r="788" spans="1:7" x14ac:dyDescent="0.35">
      <c r="A788" t="s">
        <v>52</v>
      </c>
      <c r="E788">
        <v>2.2229563795423204E-2</v>
      </c>
      <c r="F788">
        <f t="shared" si="30"/>
        <v>-1.7948647151383269E-2</v>
      </c>
      <c r="G788">
        <f t="shared" si="31"/>
        <v>-2.888805205711515E-2</v>
      </c>
    </row>
    <row r="789" spans="1:7" x14ac:dyDescent="0.35">
      <c r="A789" t="s">
        <v>52</v>
      </c>
      <c r="E789">
        <v>4.0524531030548226E-3</v>
      </c>
      <c r="F789">
        <f t="shared" si="30"/>
        <v>-1.7948757068050332E-2</v>
      </c>
      <c r="G789">
        <f t="shared" si="31"/>
        <v>-2.888805205711515E-2</v>
      </c>
    </row>
    <row r="790" spans="1:7" x14ac:dyDescent="0.35">
      <c r="A790" t="s">
        <v>52</v>
      </c>
      <c r="E790">
        <v>-2.707685929659099E-2</v>
      </c>
      <c r="F790">
        <f t="shared" si="30"/>
        <v>-1.7948866984717399E-2</v>
      </c>
      <c r="G790">
        <f t="shared" si="31"/>
        <v>-2.888805205711515E-2</v>
      </c>
    </row>
    <row r="791" spans="1:7" x14ac:dyDescent="0.35">
      <c r="A791" t="s">
        <v>52</v>
      </c>
      <c r="E791">
        <v>1.9025898614824462E-2</v>
      </c>
      <c r="F791">
        <f t="shared" si="30"/>
        <v>-1.7928025943690275E-2</v>
      </c>
      <c r="G791">
        <f t="shared" si="31"/>
        <v>-2.8827594497654593E-2</v>
      </c>
    </row>
    <row r="792" spans="1:7" x14ac:dyDescent="0.35">
      <c r="A792" t="s">
        <v>52</v>
      </c>
      <c r="E792">
        <v>8.4996243030767537E-3</v>
      </c>
      <c r="F792">
        <f t="shared" si="30"/>
        <v>-1.7930219485285441E-2</v>
      </c>
      <c r="G792">
        <f t="shared" si="31"/>
        <v>-2.8827594497654593E-2</v>
      </c>
    </row>
    <row r="793" spans="1:7" x14ac:dyDescent="0.35">
      <c r="A793" t="s">
        <v>53</v>
      </c>
      <c r="B793" s="3" cm="1">
        <f t="array" ref="B793">_xlfn.STDEV.S(_xlfn._xlws.FILTER($E$2:$E$1000, $A$2:$A$1000="2013-03"))</f>
        <v>9.4238212526381766E-3</v>
      </c>
      <c r="C793" s="3" cm="1">
        <f t="array" ref="C793">AVERAGE(_xlfn._xlws.FILTER($E$2:$E$1000, $A$2:$A$1000="2013-03"))</f>
        <v>1.1295316846735007E-4</v>
      </c>
      <c r="D793" s="3" cm="1">
        <f t="array" ref="D793">_xlfn.PERCENTILE.EXC(_xlfn._xlws.FILTER($E$751:$E$999, $A$751:$A$999="2013-03"), 0.05)</f>
        <v>-1.432391876474772E-2</v>
      </c>
      <c r="E793">
        <v>-6.2212998605666227E-3</v>
      </c>
      <c r="F793">
        <f t="shared" si="30"/>
        <v>-1.7932413026880607E-2</v>
      </c>
      <c r="G793">
        <f t="shared" si="31"/>
        <v>-2.8827594497654593E-2</v>
      </c>
    </row>
    <row r="794" spans="1:7" x14ac:dyDescent="0.35">
      <c r="A794" t="s">
        <v>53</v>
      </c>
      <c r="E794">
        <v>2.6586894698864129E-3</v>
      </c>
      <c r="F794">
        <f t="shared" si="30"/>
        <v>-1.7934606568475772E-2</v>
      </c>
      <c r="G794">
        <f t="shared" si="31"/>
        <v>-2.8827594497654593E-2</v>
      </c>
    </row>
    <row r="795" spans="1:7" x14ac:dyDescent="0.35">
      <c r="A795" t="s">
        <v>53</v>
      </c>
      <c r="E795">
        <v>2.0657134801024074E-2</v>
      </c>
      <c r="F795">
        <f t="shared" si="30"/>
        <v>-1.7936800110070938E-2</v>
      </c>
      <c r="G795">
        <f t="shared" si="31"/>
        <v>-2.8827594497654593E-2</v>
      </c>
    </row>
    <row r="796" spans="1:7" x14ac:dyDescent="0.35">
      <c r="A796" t="s">
        <v>53</v>
      </c>
      <c r="E796">
        <v>-3.5524673814553722E-3</v>
      </c>
      <c r="F796">
        <f t="shared" si="30"/>
        <v>-1.79389936516661E-2</v>
      </c>
      <c r="G796">
        <f t="shared" si="31"/>
        <v>-2.8827594497654593E-2</v>
      </c>
    </row>
    <row r="797" spans="1:7" x14ac:dyDescent="0.35">
      <c r="A797" t="s">
        <v>53</v>
      </c>
      <c r="E797">
        <v>5.2910316179354544E-3</v>
      </c>
      <c r="F797">
        <f t="shared" si="30"/>
        <v>-1.7941187193261265E-2</v>
      </c>
      <c r="G797">
        <f t="shared" si="31"/>
        <v>-2.8827594497654593E-2</v>
      </c>
    </row>
    <row r="798" spans="1:7" x14ac:dyDescent="0.35">
      <c r="A798" t="s">
        <v>53</v>
      </c>
      <c r="E798">
        <v>1.2148544799312249E-2</v>
      </c>
      <c r="F798">
        <f t="shared" si="30"/>
        <v>-1.7943380734856431E-2</v>
      </c>
      <c r="G798">
        <f t="shared" si="31"/>
        <v>-2.8827594497654593E-2</v>
      </c>
    </row>
    <row r="799" spans="1:7" x14ac:dyDescent="0.35">
      <c r="A799" t="s">
        <v>53</v>
      </c>
      <c r="E799">
        <v>-1.0108879739286426E-3</v>
      </c>
      <c r="F799">
        <f t="shared" si="30"/>
        <v>-1.7945574276451597E-2</v>
      </c>
      <c r="G799">
        <f t="shared" si="31"/>
        <v>-2.8827594497654593E-2</v>
      </c>
    </row>
    <row r="800" spans="1:7" x14ac:dyDescent="0.35">
      <c r="A800" t="s">
        <v>53</v>
      </c>
      <c r="E800">
        <v>9.6401370633049377E-4</v>
      </c>
      <c r="F800">
        <f t="shared" si="30"/>
        <v>-1.7947767818046762E-2</v>
      </c>
      <c r="G800">
        <f t="shared" si="31"/>
        <v>-2.8827594497654593E-2</v>
      </c>
    </row>
    <row r="801" spans="1:7" x14ac:dyDescent="0.35">
      <c r="A801" t="s">
        <v>53</v>
      </c>
      <c r="E801">
        <v>-1.0239695736165328E-3</v>
      </c>
      <c r="F801">
        <f t="shared" si="30"/>
        <v>-1.7947877734713825E-2</v>
      </c>
      <c r="G801">
        <f t="shared" si="31"/>
        <v>-2.8900126675518643E-2</v>
      </c>
    </row>
    <row r="802" spans="1:7" x14ac:dyDescent="0.35">
      <c r="A802" t="s">
        <v>53</v>
      </c>
      <c r="E802">
        <v>9.2221079610368319E-3</v>
      </c>
      <c r="F802">
        <f t="shared" si="30"/>
        <v>-1.7947987651380889E-2</v>
      </c>
      <c r="G802">
        <f t="shared" si="31"/>
        <v>-2.8900126675518643E-2</v>
      </c>
    </row>
    <row r="803" spans="1:7" x14ac:dyDescent="0.35">
      <c r="A803" t="s">
        <v>53</v>
      </c>
      <c r="E803">
        <v>-7.1413970084983763E-3</v>
      </c>
      <c r="F803">
        <f t="shared" si="30"/>
        <v>-1.7948097568047952E-2</v>
      </c>
      <c r="G803">
        <f t="shared" si="31"/>
        <v>-2.8900126675518643E-2</v>
      </c>
    </row>
    <row r="804" spans="1:7" x14ac:dyDescent="0.35">
      <c r="A804" t="s">
        <v>53</v>
      </c>
      <c r="E804">
        <v>-4.8399599011618452E-3</v>
      </c>
      <c r="F804">
        <f t="shared" si="30"/>
        <v>-1.7948207484715015E-2</v>
      </c>
      <c r="G804">
        <f t="shared" si="31"/>
        <v>-2.8900126675518643E-2</v>
      </c>
    </row>
    <row r="805" spans="1:7" x14ac:dyDescent="0.35">
      <c r="A805" t="s">
        <v>53</v>
      </c>
      <c r="E805">
        <v>-1.308229708256378E-2</v>
      </c>
      <c r="F805">
        <f t="shared" si="30"/>
        <v>-1.7948317401382079E-2</v>
      </c>
      <c r="G805">
        <f t="shared" si="31"/>
        <v>-2.8900126675518643E-2</v>
      </c>
    </row>
    <row r="806" spans="1:7" x14ac:dyDescent="0.35">
      <c r="A806" t="s">
        <v>53</v>
      </c>
      <c r="E806">
        <v>1.4150875622212702E-2</v>
      </c>
      <c r="F806">
        <f t="shared" si="30"/>
        <v>-1.7948427318049142E-2</v>
      </c>
      <c r="G806">
        <f t="shared" si="31"/>
        <v>-2.8900126675518643E-2</v>
      </c>
    </row>
    <row r="807" spans="1:7" x14ac:dyDescent="0.35">
      <c r="A807" t="s">
        <v>53</v>
      </c>
      <c r="E807">
        <v>-1.4389267274336348E-2</v>
      </c>
      <c r="F807">
        <f t="shared" si="30"/>
        <v>-1.7948537234716205E-2</v>
      </c>
      <c r="G807">
        <f t="shared" si="31"/>
        <v>-2.8900126675518643E-2</v>
      </c>
    </row>
    <row r="808" spans="1:7" x14ac:dyDescent="0.35">
      <c r="A808" t="s">
        <v>53</v>
      </c>
      <c r="E808">
        <v>-1.208725233775962E-3</v>
      </c>
      <c r="F808">
        <f t="shared" si="30"/>
        <v>-1.7948647151383269E-2</v>
      </c>
      <c r="G808">
        <f t="shared" si="31"/>
        <v>-2.8900126675518643E-2</v>
      </c>
    </row>
    <row r="809" spans="1:7" x14ac:dyDescent="0.35">
      <c r="A809" t="s">
        <v>53</v>
      </c>
      <c r="E809">
        <v>-1.1285389576327154E-2</v>
      </c>
      <c r="F809">
        <f t="shared" si="30"/>
        <v>-1.7948757068050332E-2</v>
      </c>
      <c r="G809">
        <f t="shared" si="31"/>
        <v>-2.8900126675518643E-2</v>
      </c>
    </row>
    <row r="810" spans="1:7" x14ac:dyDescent="0.35">
      <c r="A810" t="s">
        <v>53</v>
      </c>
      <c r="E810">
        <v>5.5265755341056171E-3</v>
      </c>
      <c r="F810">
        <f t="shared" si="30"/>
        <v>-1.7948866984717399E-2</v>
      </c>
      <c r="G810">
        <f t="shared" si="31"/>
        <v>-2.8900126675518643E-2</v>
      </c>
    </row>
    <row r="811" spans="1:7" x14ac:dyDescent="0.35">
      <c r="A811" t="s">
        <v>53</v>
      </c>
      <c r="E811">
        <v>-9.9192800739911074E-3</v>
      </c>
      <c r="F811">
        <f t="shared" si="30"/>
        <v>-1.7948976901384462E-2</v>
      </c>
      <c r="G811">
        <f t="shared" si="31"/>
        <v>-2.8900126675518643E-2</v>
      </c>
    </row>
    <row r="812" spans="1:7" x14ac:dyDescent="0.35">
      <c r="A812" t="s">
        <v>53</v>
      </c>
      <c r="E812">
        <v>5.3150307977249045E-3</v>
      </c>
      <c r="F812">
        <f t="shared" si="30"/>
        <v>-1.7949086818051525E-2</v>
      </c>
      <c r="G812">
        <f t="shared" si="31"/>
        <v>-2.8900126675518643E-2</v>
      </c>
    </row>
    <row r="813" spans="1:7" x14ac:dyDescent="0.35">
      <c r="A813" t="s">
        <v>54</v>
      </c>
      <c r="B813" s="3" cm="1">
        <f t="array" ref="B813">_xlfn.STDEV.S(_xlfn._xlws.FILTER($E$2:$E$1000, $A$2:$A$1000="2013-04"))</f>
        <v>1.4337958596556497E-2</v>
      </c>
      <c r="C813" s="3" cm="1">
        <f t="array" ref="C813">AVERAGE(_xlfn._xlws.FILTER($E$2:$E$1000, $A$2:$A$1000="2013-04"))</f>
        <v>1.5731429357135969E-3</v>
      </c>
      <c r="D813" s="3" cm="1">
        <f t="array" ref="D813">_xlfn.PERCENTILE.EXC(_xlfn._xlws.FILTER($E$751:$E$999, $A$751:$A$999="2013-04"), 0.05)</f>
        <v>-2.3084926181806416E-2</v>
      </c>
      <c r="E813">
        <v>1.9624368799236163E-2</v>
      </c>
      <c r="F813">
        <f t="shared" si="30"/>
        <v>-1.7949196734718589E-2</v>
      </c>
      <c r="G813">
        <f t="shared" si="31"/>
        <v>-2.8900126675518643E-2</v>
      </c>
    </row>
    <row r="814" spans="1:7" x14ac:dyDescent="0.35">
      <c r="A814" t="s">
        <v>54</v>
      </c>
      <c r="E814">
        <v>-1.3335594363184511E-2</v>
      </c>
      <c r="F814">
        <f t="shared" si="30"/>
        <v>-1.7949306651385652E-2</v>
      </c>
      <c r="G814">
        <f t="shared" si="31"/>
        <v>-2.8900126675518643E-2</v>
      </c>
    </row>
    <row r="815" spans="1:7" x14ac:dyDescent="0.35">
      <c r="A815" t="s">
        <v>54</v>
      </c>
      <c r="E815">
        <v>-7.699419946324019E-3</v>
      </c>
      <c r="F815">
        <f t="shared" si="30"/>
        <v>-1.7949416568052715E-2</v>
      </c>
      <c r="G815">
        <f t="shared" si="31"/>
        <v>-2.8900126675518643E-2</v>
      </c>
    </row>
    <row r="816" spans="1:7" x14ac:dyDescent="0.35">
      <c r="A816" t="s">
        <v>54</v>
      </c>
      <c r="E816">
        <v>-1.6964697406944611E-2</v>
      </c>
      <c r="F816">
        <f t="shared" si="30"/>
        <v>-1.7949526484719779E-2</v>
      </c>
      <c r="G816">
        <f t="shared" si="31"/>
        <v>-2.8900126675518643E-2</v>
      </c>
    </row>
    <row r="817" spans="1:7" x14ac:dyDescent="0.35">
      <c r="A817" t="s">
        <v>54</v>
      </c>
      <c r="E817">
        <v>9.0037740078452585E-4</v>
      </c>
      <c r="F817">
        <f t="shared" si="30"/>
        <v>-1.7949636401386842E-2</v>
      </c>
      <c r="G817">
        <f t="shared" si="31"/>
        <v>-2.8900126675518643E-2</v>
      </c>
    </row>
    <row r="818" spans="1:7" x14ac:dyDescent="0.35">
      <c r="A818" t="s">
        <v>54</v>
      </c>
      <c r="E818">
        <v>1.0739353672718744E-3</v>
      </c>
      <c r="F818">
        <f t="shared" si="30"/>
        <v>-1.7949746318053905E-2</v>
      </c>
      <c r="G818">
        <f t="shared" si="31"/>
        <v>-2.8900126675518643E-2</v>
      </c>
    </row>
    <row r="819" spans="1:7" x14ac:dyDescent="0.35">
      <c r="A819" t="s">
        <v>54</v>
      </c>
      <c r="E819">
        <v>1.9689270239653764E-2</v>
      </c>
      <c r="F819">
        <f t="shared" si="30"/>
        <v>-1.7949856234720969E-2</v>
      </c>
      <c r="G819">
        <f t="shared" si="31"/>
        <v>-2.8900126675518643E-2</v>
      </c>
    </row>
    <row r="820" spans="1:7" x14ac:dyDescent="0.35">
      <c r="A820" t="s">
        <v>54</v>
      </c>
      <c r="E820">
        <v>8.4981035058954626E-3</v>
      </c>
      <c r="F820">
        <f t="shared" si="30"/>
        <v>-1.7949966151388032E-2</v>
      </c>
      <c r="G820">
        <f t="shared" si="31"/>
        <v>-2.8900126675518643E-2</v>
      </c>
    </row>
    <row r="821" spans="1:7" x14ac:dyDescent="0.35">
      <c r="A821" t="s">
        <v>54</v>
      </c>
      <c r="E821">
        <v>-1.2354653372672582E-2</v>
      </c>
      <c r="F821">
        <f t="shared" si="30"/>
        <v>-1.7960609336849627E-2</v>
      </c>
      <c r="G821">
        <f t="shared" si="31"/>
        <v>-2.8973617685747716E-2</v>
      </c>
    </row>
    <row r="822" spans="1:7" x14ac:dyDescent="0.35">
      <c r="A822" t="s">
        <v>54</v>
      </c>
      <c r="E822">
        <v>-5.0593001792676728E-3</v>
      </c>
      <c r="F822">
        <f t="shared" si="30"/>
        <v>-1.7971252522311229E-2</v>
      </c>
      <c r="G822">
        <f t="shared" si="31"/>
        <v>-2.8973617685747716E-2</v>
      </c>
    </row>
    <row r="823" spans="1:7" x14ac:dyDescent="0.35">
      <c r="A823" t="s">
        <v>54</v>
      </c>
      <c r="E823">
        <v>-6.6763630074544956E-3</v>
      </c>
      <c r="F823">
        <f t="shared" si="30"/>
        <v>-1.7981895707772831E-2</v>
      </c>
      <c r="G823">
        <f t="shared" si="31"/>
        <v>-2.8973617685747716E-2</v>
      </c>
    </row>
    <row r="824" spans="1:7" x14ac:dyDescent="0.35">
      <c r="A824" t="s">
        <v>54</v>
      </c>
      <c r="E824">
        <v>-2.3764951601235505E-2</v>
      </c>
      <c r="F824">
        <f t="shared" si="30"/>
        <v>-1.7992538893234426E-2</v>
      </c>
      <c r="G824">
        <f t="shared" si="31"/>
        <v>-2.8973617685747716E-2</v>
      </c>
    </row>
    <row r="825" spans="1:7" x14ac:dyDescent="0.35">
      <c r="A825" t="s">
        <v>54</v>
      </c>
      <c r="E825">
        <v>3.6118184259516609E-5</v>
      </c>
      <c r="F825">
        <f t="shared" si="30"/>
        <v>-1.7948317401382079E-2</v>
      </c>
      <c r="G825">
        <f t="shared" si="31"/>
        <v>-2.8934590937762156E-2</v>
      </c>
    </row>
    <row r="826" spans="1:7" x14ac:dyDescent="0.35">
      <c r="A826" t="s">
        <v>54</v>
      </c>
      <c r="E826">
        <v>1.4507957890275184E-2</v>
      </c>
      <c r="F826">
        <f t="shared" si="30"/>
        <v>-1.7948427318049142E-2</v>
      </c>
      <c r="G826">
        <f t="shared" si="31"/>
        <v>-2.8934590937762156E-2</v>
      </c>
    </row>
    <row r="827" spans="1:7" x14ac:dyDescent="0.35">
      <c r="A827" t="s">
        <v>54</v>
      </c>
      <c r="E827">
        <v>4.6549262134061593E-5</v>
      </c>
      <c r="F827">
        <f t="shared" si="30"/>
        <v>-1.7948537234716205E-2</v>
      </c>
      <c r="G827">
        <f t="shared" si="31"/>
        <v>-2.8934590937762156E-2</v>
      </c>
    </row>
    <row r="828" spans="1:7" x14ac:dyDescent="0.35">
      <c r="A828" t="s">
        <v>54</v>
      </c>
      <c r="E828">
        <v>3.5220003554720915E-2</v>
      </c>
      <c r="F828">
        <f t="shared" si="30"/>
        <v>-1.7948647151383269E-2</v>
      </c>
      <c r="G828">
        <f t="shared" si="31"/>
        <v>-2.8934590937762156E-2</v>
      </c>
    </row>
    <row r="829" spans="1:7" x14ac:dyDescent="0.35">
      <c r="A829" t="s">
        <v>54</v>
      </c>
      <c r="E829">
        <v>1.5707136071253399E-2</v>
      </c>
      <c r="F829">
        <f t="shared" si="30"/>
        <v>-1.7948757068050332E-2</v>
      </c>
      <c r="G829">
        <f t="shared" si="31"/>
        <v>-2.8934590937762156E-2</v>
      </c>
    </row>
    <row r="830" spans="1:7" x14ac:dyDescent="0.35">
      <c r="A830" t="s">
        <v>54</v>
      </c>
      <c r="E830">
        <v>-6.4294371511784004E-4</v>
      </c>
      <c r="F830">
        <f t="shared" si="30"/>
        <v>-1.7948866984717399E-2</v>
      </c>
      <c r="G830">
        <f t="shared" si="31"/>
        <v>-2.8934590937762156E-2</v>
      </c>
    </row>
    <row r="831" spans="1:7" x14ac:dyDescent="0.35">
      <c r="A831" t="s">
        <v>54</v>
      </c>
      <c r="E831">
        <v>-7.9524425311306782E-3</v>
      </c>
      <c r="F831">
        <f t="shared" si="30"/>
        <v>-1.7948976901384462E-2</v>
      </c>
      <c r="G831">
        <f t="shared" si="31"/>
        <v>-2.8934590937762156E-2</v>
      </c>
    </row>
    <row r="832" spans="1:7" x14ac:dyDescent="0.35">
      <c r="A832" t="s">
        <v>54</v>
      </c>
      <c r="E832">
        <v>1.5271051175481642E-2</v>
      </c>
      <c r="F832">
        <f t="shared" si="30"/>
        <v>-1.7949086818051525E-2</v>
      </c>
      <c r="G832">
        <f t="shared" si="31"/>
        <v>-2.8934590937762156E-2</v>
      </c>
    </row>
    <row r="833" spans="1:7" x14ac:dyDescent="0.35">
      <c r="A833" t="s">
        <v>54</v>
      </c>
      <c r="E833">
        <v>-3.0885036776490534E-3</v>
      </c>
      <c r="F833">
        <f t="shared" si="30"/>
        <v>-1.7949196734718589E-2</v>
      </c>
      <c r="G833">
        <f t="shared" si="31"/>
        <v>-2.8934590937762156E-2</v>
      </c>
    </row>
    <row r="834" spans="1:7" x14ac:dyDescent="0.35">
      <c r="A834" t="s">
        <v>55</v>
      </c>
      <c r="B834" s="3" cm="1">
        <f t="array" ref="B834">_xlfn.STDEV.S(_xlfn._xlws.FILTER($E$2:$E$1000, $A$2:$A$1000="2013-05"))</f>
        <v>1.0278681780465626E-2</v>
      </c>
      <c r="C834" s="3" cm="1">
        <f t="array" ref="C834">AVERAGE(_xlfn._xlws.FILTER($E$2:$E$1000, $A$2:$A$1000="2013-05"))</f>
        <v>1.1766846625846277E-3</v>
      </c>
      <c r="D834" s="3" cm="1">
        <f t="array" ref="D834">_xlfn.PERCENTILE.EXC(_xlfn._xlws.FILTER($E$751:$E$999, $A$751:$A$999="2013-05"), 0.05)</f>
        <v>-2.0848406792171783E-2</v>
      </c>
      <c r="E834">
        <v>5.210284337577992E-4</v>
      </c>
      <c r="F834">
        <f t="shared" si="30"/>
        <v>-1.7949306651385652E-2</v>
      </c>
      <c r="G834">
        <f t="shared" si="31"/>
        <v>-2.8934590937762156E-2</v>
      </c>
    </row>
    <row r="835" spans="1:7" x14ac:dyDescent="0.35">
      <c r="A835" t="s">
        <v>55</v>
      </c>
      <c r="E835">
        <v>1.3945676883212691E-2</v>
      </c>
      <c r="F835">
        <f t="shared" si="30"/>
        <v>-1.7949416568052715E-2</v>
      </c>
      <c r="G835">
        <f t="shared" si="31"/>
        <v>-2.8934590937762156E-2</v>
      </c>
    </row>
    <row r="836" spans="1:7" x14ac:dyDescent="0.35">
      <c r="A836" t="s">
        <v>55</v>
      </c>
      <c r="E836">
        <v>2.1367665869635082E-3</v>
      </c>
      <c r="F836">
        <f t="shared" ref="F836:F899" si="32">_xlfn.PERCENTILE.EXC(E836:E4651,0.05)</f>
        <v>-1.7949526484719779E-2</v>
      </c>
      <c r="G836">
        <f t="shared" ref="G836:G899" si="33">AVERAGEIFS(E836:E4652,E836:E4652,"&lt;=" &amp; F836)</f>
        <v>-2.8934590937762156E-2</v>
      </c>
    </row>
    <row r="837" spans="1:7" x14ac:dyDescent="0.35">
      <c r="A837" t="s">
        <v>55</v>
      </c>
      <c r="E837">
        <v>8.8758580061415737E-3</v>
      </c>
      <c r="F837">
        <f t="shared" si="32"/>
        <v>-1.7949636401386842E-2</v>
      </c>
      <c r="G837">
        <f t="shared" si="33"/>
        <v>-2.8934590937762156E-2</v>
      </c>
    </row>
    <row r="838" spans="1:7" x14ac:dyDescent="0.35">
      <c r="A838" t="s">
        <v>55</v>
      </c>
      <c r="E838">
        <v>-7.0261523869736484E-3</v>
      </c>
      <c r="F838">
        <f t="shared" si="32"/>
        <v>-1.7949746318053905E-2</v>
      </c>
      <c r="G838">
        <f t="shared" si="33"/>
        <v>-2.8934590937762156E-2</v>
      </c>
    </row>
    <row r="839" spans="1:7" x14ac:dyDescent="0.35">
      <c r="A839" t="s">
        <v>55</v>
      </c>
      <c r="E839">
        <v>6.4066919551096805E-3</v>
      </c>
      <c r="F839">
        <f t="shared" si="32"/>
        <v>-1.7949856234720969E-2</v>
      </c>
      <c r="G839">
        <f t="shared" si="33"/>
        <v>-2.8934590937762156E-2</v>
      </c>
    </row>
    <row r="840" spans="1:7" x14ac:dyDescent="0.35">
      <c r="A840" t="s">
        <v>55</v>
      </c>
      <c r="E840">
        <v>-2.1850792904223827E-3</v>
      </c>
      <c r="F840">
        <f t="shared" si="32"/>
        <v>-1.7949966151388032E-2</v>
      </c>
      <c r="G840">
        <f t="shared" si="33"/>
        <v>-2.8934590937762156E-2</v>
      </c>
    </row>
    <row r="841" spans="1:7" x14ac:dyDescent="0.35">
      <c r="A841" t="s">
        <v>55</v>
      </c>
      <c r="E841">
        <v>5.273508478507734E-3</v>
      </c>
      <c r="F841">
        <f t="shared" si="32"/>
        <v>-1.7960609336849627E-2</v>
      </c>
      <c r="G841">
        <f t="shared" si="33"/>
        <v>-2.9008811375507929E-2</v>
      </c>
    </row>
    <row r="842" spans="1:7" x14ac:dyDescent="0.35">
      <c r="A842" t="s">
        <v>55</v>
      </c>
      <c r="E842">
        <v>4.0688053173938803E-3</v>
      </c>
      <c r="F842">
        <f t="shared" si="32"/>
        <v>-1.7971252522311229E-2</v>
      </c>
      <c r="G842">
        <f t="shared" si="33"/>
        <v>-2.9008811375507929E-2</v>
      </c>
    </row>
    <row r="843" spans="1:7" x14ac:dyDescent="0.35">
      <c r="A843" t="s">
        <v>55</v>
      </c>
      <c r="E843">
        <v>-7.9384024366571952E-4</v>
      </c>
      <c r="F843">
        <f t="shared" si="32"/>
        <v>-1.7981895707772831E-2</v>
      </c>
      <c r="G843">
        <f t="shared" si="33"/>
        <v>-2.9008811375507929E-2</v>
      </c>
    </row>
    <row r="844" spans="1:7" x14ac:dyDescent="0.35">
      <c r="A844" t="s">
        <v>55</v>
      </c>
      <c r="E844">
        <v>5.5636870774944495E-3</v>
      </c>
      <c r="F844">
        <f t="shared" si="32"/>
        <v>-1.7992538893234426E-2</v>
      </c>
      <c r="G844">
        <f t="shared" si="33"/>
        <v>-2.9008811375507929E-2</v>
      </c>
    </row>
    <row r="845" spans="1:7" x14ac:dyDescent="0.35">
      <c r="A845" t="s">
        <v>55</v>
      </c>
      <c r="E845">
        <v>5.3787959373384426E-3</v>
      </c>
      <c r="F845">
        <f t="shared" si="32"/>
        <v>-1.8003182078696028E-2</v>
      </c>
      <c r="G845">
        <f t="shared" si="33"/>
        <v>-2.9008811375507929E-2</v>
      </c>
    </row>
    <row r="846" spans="1:7" x14ac:dyDescent="0.35">
      <c r="A846" t="s">
        <v>55</v>
      </c>
      <c r="E846">
        <v>3.308093444591462E-3</v>
      </c>
      <c r="F846">
        <f t="shared" si="32"/>
        <v>-1.8013825264157624E-2</v>
      </c>
      <c r="G846">
        <f t="shared" si="33"/>
        <v>-2.9008811375507929E-2</v>
      </c>
    </row>
    <row r="847" spans="1:7" x14ac:dyDescent="0.35">
      <c r="A847" t="s">
        <v>55</v>
      </c>
      <c r="E847">
        <v>3.6922175317223873E-3</v>
      </c>
      <c r="F847">
        <f t="shared" si="32"/>
        <v>-1.8024468449619222E-2</v>
      </c>
      <c r="G847">
        <f t="shared" si="33"/>
        <v>-2.9008811375507929E-2</v>
      </c>
    </row>
    <row r="848" spans="1:7" x14ac:dyDescent="0.35">
      <c r="A848" t="s">
        <v>55</v>
      </c>
      <c r="E848">
        <v>-2.0942964875168751E-2</v>
      </c>
      <c r="F848">
        <f t="shared" si="32"/>
        <v>-1.8035111635080824E-2</v>
      </c>
      <c r="G848">
        <f t="shared" si="33"/>
        <v>-2.9008811375507929E-2</v>
      </c>
    </row>
    <row r="849" spans="1:7" x14ac:dyDescent="0.35">
      <c r="A849" t="s">
        <v>55</v>
      </c>
      <c r="E849">
        <v>-2.6148622788777524E-3</v>
      </c>
      <c r="F849">
        <f t="shared" si="32"/>
        <v>-1.7948757068050332E-2</v>
      </c>
      <c r="G849">
        <f t="shared" si="33"/>
        <v>-2.8988588411158065E-2</v>
      </c>
    </row>
    <row r="850" spans="1:7" x14ac:dyDescent="0.35">
      <c r="A850" t="s">
        <v>55</v>
      </c>
      <c r="E850">
        <v>2.3422052677711375E-2</v>
      </c>
      <c r="F850">
        <f t="shared" si="32"/>
        <v>-1.7948866984717399E-2</v>
      </c>
      <c r="G850">
        <f t="shared" si="33"/>
        <v>-2.8988588411158065E-2</v>
      </c>
    </row>
    <row r="851" spans="1:7" x14ac:dyDescent="0.35">
      <c r="A851" t="s">
        <v>55</v>
      </c>
      <c r="E851">
        <v>-1.9051803215229396E-2</v>
      </c>
      <c r="F851">
        <f t="shared" si="32"/>
        <v>-1.7948976901384462E-2</v>
      </c>
      <c r="G851">
        <f t="shared" si="33"/>
        <v>-2.8988588411158065E-2</v>
      </c>
    </row>
    <row r="852" spans="1:7" x14ac:dyDescent="0.35">
      <c r="A852" t="s">
        <v>55</v>
      </c>
      <c r="E852">
        <v>5.5680954053805845E-3</v>
      </c>
      <c r="F852">
        <f t="shared" si="32"/>
        <v>-1.7930219485285441E-2</v>
      </c>
      <c r="G852">
        <f t="shared" si="33"/>
        <v>-2.8981128712528451E-2</v>
      </c>
    </row>
    <row r="853" spans="1:7" x14ac:dyDescent="0.35">
      <c r="A853" t="s">
        <v>55</v>
      </c>
      <c r="E853">
        <v>-1.2012882193295358E-2</v>
      </c>
      <c r="F853">
        <f t="shared" si="32"/>
        <v>-1.7932413026880607E-2</v>
      </c>
      <c r="G853">
        <f t="shared" si="33"/>
        <v>-2.8981128712528451E-2</v>
      </c>
    </row>
    <row r="854" spans="1:7" x14ac:dyDescent="0.35">
      <c r="A854" t="s">
        <v>56</v>
      </c>
      <c r="B854" s="3" cm="1">
        <f t="array" ref="B854">_xlfn.STDEV.S(_xlfn._xlws.FILTER($E$2:$E$1000, $A$2:$A$1000="2013-06"))</f>
        <v>1.3895140827549802E-2</v>
      </c>
      <c r="C854" s="3" cm="1">
        <f t="array" ref="C854">AVERAGE(_xlfn._xlws.FILTER($E$2:$E$1000, $A$2:$A$1000="2013-06"))</f>
        <v>-2.7282214031721964E-3</v>
      </c>
      <c r="D854" s="3" cm="1">
        <f t="array" ref="D854">_xlfn.PERCENTILE.EXC(_xlfn._xlws.FILTER($E$751:$E$999, $A$751:$A$999="2013-06"), 0.05)</f>
        <v>-3.6337597783142793E-2</v>
      </c>
      <c r="E854">
        <v>-7.0959955967665892E-3</v>
      </c>
      <c r="F854">
        <f t="shared" si="32"/>
        <v>-1.7934606568475772E-2</v>
      </c>
      <c r="G854">
        <f t="shared" si="33"/>
        <v>-2.8981128712528451E-2</v>
      </c>
    </row>
    <row r="855" spans="1:7" x14ac:dyDescent="0.35">
      <c r="A855" t="s">
        <v>56</v>
      </c>
      <c r="E855">
        <v>1.3152362821216698E-3</v>
      </c>
      <c r="F855">
        <f t="shared" si="32"/>
        <v>-1.7936800110070938E-2</v>
      </c>
      <c r="G855">
        <f t="shared" si="33"/>
        <v>-2.8981128712528451E-2</v>
      </c>
    </row>
    <row r="856" spans="1:7" x14ac:dyDescent="0.35">
      <c r="A856" t="s">
        <v>56</v>
      </c>
      <c r="E856">
        <v>-1.8871080058507777E-2</v>
      </c>
      <c r="F856">
        <f t="shared" si="32"/>
        <v>-1.79389936516661E-2</v>
      </c>
      <c r="G856">
        <f t="shared" si="33"/>
        <v>-2.8981128712528451E-2</v>
      </c>
    </row>
    <row r="857" spans="1:7" x14ac:dyDescent="0.35">
      <c r="A857" t="s">
        <v>56</v>
      </c>
      <c r="E857">
        <v>-9.9547955660245074E-3</v>
      </c>
      <c r="F857">
        <f t="shared" si="32"/>
        <v>-1.7871255410287994E-2</v>
      </c>
      <c r="G857">
        <f t="shared" si="33"/>
        <v>-2.8974593691769232E-2</v>
      </c>
    </row>
    <row r="858" spans="1:7" x14ac:dyDescent="0.35">
      <c r="A858" t="s">
        <v>56</v>
      </c>
      <c r="E858">
        <v>1.5171615616912283E-2</v>
      </c>
      <c r="F858">
        <f t="shared" si="32"/>
        <v>-1.7882135935573151E-2</v>
      </c>
      <c r="G858">
        <f t="shared" si="33"/>
        <v>-2.8974593691769232E-2</v>
      </c>
    </row>
    <row r="859" spans="1:7" x14ac:dyDescent="0.35">
      <c r="A859" t="s">
        <v>56</v>
      </c>
      <c r="E859">
        <v>-2.1274541270458109E-3</v>
      </c>
      <c r="F859">
        <f t="shared" si="32"/>
        <v>-1.7893016460858304E-2</v>
      </c>
      <c r="G859">
        <f t="shared" si="33"/>
        <v>-2.8974593691769232E-2</v>
      </c>
    </row>
    <row r="860" spans="1:7" x14ac:dyDescent="0.35">
      <c r="A860" t="s">
        <v>56</v>
      </c>
      <c r="E860">
        <v>-1.4019919747129033E-2</v>
      </c>
      <c r="F860">
        <f t="shared" si="32"/>
        <v>-1.7903896986143461E-2</v>
      </c>
      <c r="G860">
        <f t="shared" si="33"/>
        <v>-2.8974593691769232E-2</v>
      </c>
    </row>
    <row r="861" spans="1:7" x14ac:dyDescent="0.35">
      <c r="A861" t="s">
        <v>56</v>
      </c>
      <c r="E861">
        <v>-4.4343637980090523E-3</v>
      </c>
      <c r="F861">
        <f t="shared" si="32"/>
        <v>-1.7906090527738627E-2</v>
      </c>
      <c r="G861">
        <f t="shared" si="33"/>
        <v>-2.9049904553712261E-2</v>
      </c>
    </row>
    <row r="862" spans="1:7" x14ac:dyDescent="0.35">
      <c r="A862" t="s">
        <v>56</v>
      </c>
      <c r="E862">
        <v>1.1275502796365665E-3</v>
      </c>
      <c r="F862">
        <f t="shared" si="32"/>
        <v>-1.7908284069333792E-2</v>
      </c>
      <c r="G862">
        <f t="shared" si="33"/>
        <v>-2.9049904553712261E-2</v>
      </c>
    </row>
    <row r="863" spans="1:7" x14ac:dyDescent="0.35">
      <c r="A863" t="s">
        <v>56</v>
      </c>
      <c r="E863">
        <v>1.8886939170798742E-3</v>
      </c>
      <c r="F863">
        <f t="shared" si="32"/>
        <v>-1.7910477610928958E-2</v>
      </c>
      <c r="G863">
        <f t="shared" si="33"/>
        <v>-2.9049904553712261E-2</v>
      </c>
    </row>
    <row r="864" spans="1:7" x14ac:dyDescent="0.35">
      <c r="A864" t="s">
        <v>56</v>
      </c>
      <c r="E864">
        <v>1.5256880396474354E-2</v>
      </c>
      <c r="F864">
        <f t="shared" si="32"/>
        <v>-1.791267115252412E-2</v>
      </c>
      <c r="G864">
        <f t="shared" si="33"/>
        <v>-2.9049904553712261E-2</v>
      </c>
    </row>
    <row r="865" spans="1:7" x14ac:dyDescent="0.35">
      <c r="A865" t="s">
        <v>56</v>
      </c>
      <c r="E865">
        <v>-8.0526038729004511E-4</v>
      </c>
      <c r="F865">
        <f t="shared" si="32"/>
        <v>-1.7914864694119285E-2</v>
      </c>
      <c r="G865">
        <f t="shared" si="33"/>
        <v>-2.9049904553712261E-2</v>
      </c>
    </row>
    <row r="866" spans="1:7" x14ac:dyDescent="0.35">
      <c r="A866" t="s">
        <v>56</v>
      </c>
      <c r="E866">
        <v>-5.5091835456215228E-3</v>
      </c>
      <c r="F866">
        <f t="shared" si="32"/>
        <v>-1.7917058235714451E-2</v>
      </c>
      <c r="G866">
        <f t="shared" si="33"/>
        <v>-2.9049904553712261E-2</v>
      </c>
    </row>
    <row r="867" spans="1:7" x14ac:dyDescent="0.35">
      <c r="A867" t="s">
        <v>56</v>
      </c>
      <c r="E867">
        <v>-3.7256888189702533E-2</v>
      </c>
      <c r="F867">
        <f t="shared" si="32"/>
        <v>-1.7919251777309617E-2</v>
      </c>
      <c r="G867">
        <f t="shared" si="33"/>
        <v>-2.9049904553712261E-2</v>
      </c>
    </row>
    <row r="868" spans="1:7" x14ac:dyDescent="0.35">
      <c r="A868" t="s">
        <v>56</v>
      </c>
      <c r="E868">
        <v>-1.1116103791720478E-2</v>
      </c>
      <c r="F868">
        <f t="shared" si="32"/>
        <v>-1.7773330682721595E-2</v>
      </c>
      <c r="G868">
        <f t="shared" si="33"/>
        <v>-2.8918251552327509E-2</v>
      </c>
    </row>
    <row r="869" spans="1:7" x14ac:dyDescent="0.35">
      <c r="A869" t="s">
        <v>56</v>
      </c>
      <c r="E869">
        <v>-1.7208265632729602E-2</v>
      </c>
      <c r="F869">
        <f t="shared" si="32"/>
        <v>-1.7784211208006748E-2</v>
      </c>
      <c r="G869">
        <f t="shared" si="33"/>
        <v>-2.8918251552327509E-2</v>
      </c>
    </row>
    <row r="870" spans="1:7" x14ac:dyDescent="0.35">
      <c r="A870" t="s">
        <v>56</v>
      </c>
      <c r="E870">
        <v>1.4958632096596669E-2</v>
      </c>
      <c r="F870">
        <f t="shared" si="32"/>
        <v>-1.7795091733291905E-2</v>
      </c>
      <c r="G870">
        <f t="shared" si="33"/>
        <v>-2.8918251552327509E-2</v>
      </c>
    </row>
    <row r="871" spans="1:7" x14ac:dyDescent="0.35">
      <c r="A871" t="s">
        <v>56</v>
      </c>
      <c r="E871">
        <v>2.0668156184948071E-2</v>
      </c>
      <c r="F871">
        <f t="shared" si="32"/>
        <v>-1.7805972258577059E-2</v>
      </c>
      <c r="G871">
        <f t="shared" si="33"/>
        <v>-2.8918251552327509E-2</v>
      </c>
    </row>
    <row r="872" spans="1:7" x14ac:dyDescent="0.35">
      <c r="A872" t="s">
        <v>56</v>
      </c>
      <c r="E872">
        <v>9.6552271591793751E-3</v>
      </c>
      <c r="F872">
        <f t="shared" si="32"/>
        <v>-1.7816852783862216E-2</v>
      </c>
      <c r="G872">
        <f t="shared" si="33"/>
        <v>-2.8918251552327509E-2</v>
      </c>
    </row>
    <row r="873" spans="1:7" x14ac:dyDescent="0.35">
      <c r="A873" t="s">
        <v>56</v>
      </c>
      <c r="E873">
        <v>-6.2071095558458456E-3</v>
      </c>
      <c r="F873">
        <f t="shared" si="32"/>
        <v>-1.7827733309147373E-2</v>
      </c>
      <c r="G873">
        <f t="shared" si="33"/>
        <v>-2.8918251552327509E-2</v>
      </c>
    </row>
    <row r="874" spans="1:7" x14ac:dyDescent="0.35">
      <c r="A874" t="s">
        <v>57</v>
      </c>
      <c r="B874" s="3" cm="1">
        <f t="array" ref="B874">_xlfn.STDEV.S(_xlfn._xlws.FILTER($E$2:$E$1000, $A$2:$A$1000="2013-07"))</f>
        <v>9.5137504801860954E-3</v>
      </c>
      <c r="C874" s="3" cm="1">
        <f t="array" ref="C874">AVERAGE(_xlfn._xlws.FILTER($E$2:$E$1000, $A$2:$A$1000="2013-07"))</f>
        <v>2.8552636567975671E-3</v>
      </c>
      <c r="D874" s="3" cm="1">
        <f t="array" ref="D874">_xlfn.PERCENTILE.EXC(_xlfn._xlws.FILTER($E$751:$E$999, $A$751:$A$999="2013-07"), 0.05)</f>
        <v>-1.3912197474813376E-2</v>
      </c>
      <c r="E874">
        <v>7.6122178462091324E-3</v>
      </c>
      <c r="F874">
        <f t="shared" si="32"/>
        <v>-1.7838613834432526E-2</v>
      </c>
      <c r="G874">
        <f t="shared" si="33"/>
        <v>-2.8918251552327509E-2</v>
      </c>
    </row>
    <row r="875" spans="1:7" x14ac:dyDescent="0.35">
      <c r="A875" t="s">
        <v>57</v>
      </c>
      <c r="E875">
        <v>-6.6338017328262666E-3</v>
      </c>
      <c r="F875">
        <f t="shared" si="32"/>
        <v>-1.7849494359717683E-2</v>
      </c>
      <c r="G875">
        <f t="shared" si="33"/>
        <v>-2.8918251552327509E-2</v>
      </c>
    </row>
    <row r="876" spans="1:7" x14ac:dyDescent="0.35">
      <c r="A876" t="s">
        <v>57</v>
      </c>
      <c r="E876">
        <v>-1.0896625821314579E-2</v>
      </c>
      <c r="F876">
        <f t="shared" si="32"/>
        <v>-1.7860374885002837E-2</v>
      </c>
      <c r="G876">
        <f t="shared" si="33"/>
        <v>-2.8918251552327509E-2</v>
      </c>
    </row>
    <row r="877" spans="1:7" x14ac:dyDescent="0.35">
      <c r="A877" t="s">
        <v>57</v>
      </c>
      <c r="E877">
        <v>2.8572154985162853E-2</v>
      </c>
      <c r="F877">
        <f t="shared" si="32"/>
        <v>-1.7871255410287994E-2</v>
      </c>
      <c r="G877">
        <f t="shared" si="33"/>
        <v>-2.8918251552327509E-2</v>
      </c>
    </row>
    <row r="878" spans="1:7" x14ac:dyDescent="0.35">
      <c r="A878" t="s">
        <v>57</v>
      </c>
      <c r="E878">
        <v>-1.4666090388188075E-2</v>
      </c>
      <c r="F878">
        <f t="shared" si="32"/>
        <v>-1.7882135935573151E-2</v>
      </c>
      <c r="G878">
        <f t="shared" si="33"/>
        <v>-2.8918251552327509E-2</v>
      </c>
    </row>
    <row r="879" spans="1:7" x14ac:dyDescent="0.35">
      <c r="A879" t="s">
        <v>57</v>
      </c>
      <c r="E879">
        <v>1.8470558146805201E-2</v>
      </c>
      <c r="F879">
        <f t="shared" si="32"/>
        <v>-1.7893016460858304E-2</v>
      </c>
      <c r="G879">
        <f t="shared" si="33"/>
        <v>-2.8918251552327509E-2</v>
      </c>
    </row>
    <row r="880" spans="1:7" x14ac:dyDescent="0.35">
      <c r="A880" t="s">
        <v>57</v>
      </c>
      <c r="E880">
        <v>5.1464823226261827E-3</v>
      </c>
      <c r="F880">
        <f t="shared" si="32"/>
        <v>-1.7903896986143461E-2</v>
      </c>
      <c r="G880">
        <f t="shared" si="33"/>
        <v>-2.8918251552327509E-2</v>
      </c>
    </row>
    <row r="881" spans="1:7" x14ac:dyDescent="0.35">
      <c r="A881" t="s">
        <v>57</v>
      </c>
      <c r="E881">
        <v>-7.8864254766503419E-4</v>
      </c>
      <c r="F881">
        <f t="shared" si="32"/>
        <v>-1.7906090527738627E-2</v>
      </c>
      <c r="G881">
        <f t="shared" si="33"/>
        <v>-2.8993692337027397E-2</v>
      </c>
    </row>
    <row r="882" spans="1:7" x14ac:dyDescent="0.35">
      <c r="A882" t="s">
        <v>57</v>
      </c>
      <c r="E882">
        <v>7.3805285016537185E-3</v>
      </c>
      <c r="F882">
        <f t="shared" si="32"/>
        <v>-1.7908284069333792E-2</v>
      </c>
      <c r="G882">
        <f t="shared" si="33"/>
        <v>-2.8993692337027397E-2</v>
      </c>
    </row>
    <row r="883" spans="1:7" x14ac:dyDescent="0.35">
      <c r="A883" t="s">
        <v>57</v>
      </c>
      <c r="E883">
        <v>-3.5965533643496223E-3</v>
      </c>
      <c r="F883">
        <f t="shared" si="32"/>
        <v>-1.7910477610928958E-2</v>
      </c>
      <c r="G883">
        <f t="shared" si="33"/>
        <v>-2.8993692337027397E-2</v>
      </c>
    </row>
    <row r="884" spans="1:7" x14ac:dyDescent="0.35">
      <c r="A884" t="s">
        <v>57</v>
      </c>
      <c r="E884">
        <v>6.0747542206665518E-3</v>
      </c>
      <c r="F884">
        <f t="shared" si="32"/>
        <v>-1.791267115252412E-2</v>
      </c>
      <c r="G884">
        <f t="shared" si="33"/>
        <v>-2.8993692337027397E-2</v>
      </c>
    </row>
    <row r="885" spans="1:7" x14ac:dyDescent="0.35">
      <c r="A885" t="s">
        <v>57</v>
      </c>
      <c r="E885">
        <v>-7.1284622801443239E-3</v>
      </c>
      <c r="F885">
        <f t="shared" si="32"/>
        <v>-1.7914864694119285E-2</v>
      </c>
      <c r="G885">
        <f t="shared" si="33"/>
        <v>-2.8993692337027397E-2</v>
      </c>
    </row>
    <row r="886" spans="1:7" x14ac:dyDescent="0.35">
      <c r="A886" t="s">
        <v>57</v>
      </c>
      <c r="E886">
        <v>5.435689703450393E-3</v>
      </c>
      <c r="F886">
        <f t="shared" si="32"/>
        <v>-1.7917058235714451E-2</v>
      </c>
      <c r="G886">
        <f t="shared" si="33"/>
        <v>-2.8993692337027397E-2</v>
      </c>
    </row>
    <row r="887" spans="1:7" x14ac:dyDescent="0.35">
      <c r="A887" t="s">
        <v>57</v>
      </c>
      <c r="E887">
        <v>1.4300592051019531E-2</v>
      </c>
      <c r="F887">
        <f t="shared" si="32"/>
        <v>-1.7919251777309617E-2</v>
      </c>
      <c r="G887">
        <f t="shared" si="33"/>
        <v>-2.8993692337027397E-2</v>
      </c>
    </row>
    <row r="888" spans="1:7" x14ac:dyDescent="0.35">
      <c r="A888" t="s">
        <v>57</v>
      </c>
      <c r="E888">
        <v>-6.2905016775492131E-4</v>
      </c>
      <c r="F888">
        <f t="shared" si="32"/>
        <v>-1.7921445318904782E-2</v>
      </c>
      <c r="G888">
        <f t="shared" si="33"/>
        <v>-2.8993692337027397E-2</v>
      </c>
    </row>
    <row r="889" spans="1:7" x14ac:dyDescent="0.35">
      <c r="A889" t="s">
        <v>57</v>
      </c>
      <c r="E889">
        <v>3.7125419616624877E-3</v>
      </c>
      <c r="F889">
        <f t="shared" si="32"/>
        <v>-1.7923638860499948E-2</v>
      </c>
      <c r="G889">
        <f t="shared" si="33"/>
        <v>-2.8993692337027397E-2</v>
      </c>
    </row>
    <row r="890" spans="1:7" x14ac:dyDescent="0.35">
      <c r="A890" t="s">
        <v>57</v>
      </c>
      <c r="E890">
        <v>-4.2808099446071503E-3</v>
      </c>
      <c r="F890">
        <f t="shared" si="32"/>
        <v>-1.792583240209511E-2</v>
      </c>
      <c r="G890">
        <f t="shared" si="33"/>
        <v>-2.8993692337027397E-2</v>
      </c>
    </row>
    <row r="891" spans="1:7" x14ac:dyDescent="0.35">
      <c r="A891" t="s">
        <v>57</v>
      </c>
      <c r="E891">
        <v>1.0058620105298061E-2</v>
      </c>
      <c r="F891">
        <f t="shared" si="32"/>
        <v>-1.7928025943690275E-2</v>
      </c>
      <c r="G891">
        <f t="shared" si="33"/>
        <v>-2.8993692337027397E-2</v>
      </c>
    </row>
    <row r="892" spans="1:7" x14ac:dyDescent="0.35">
      <c r="A892" t="s">
        <v>57</v>
      </c>
      <c r="E892">
        <v>-1.6997593364498145E-3</v>
      </c>
      <c r="F892">
        <f t="shared" si="32"/>
        <v>-1.7930219485285441E-2</v>
      </c>
      <c r="G892">
        <f t="shared" si="33"/>
        <v>-2.8993692337027397E-2</v>
      </c>
    </row>
    <row r="893" spans="1:7" x14ac:dyDescent="0.35">
      <c r="A893" t="s">
        <v>57</v>
      </c>
      <c r="E893">
        <v>3.2353912076809681E-3</v>
      </c>
      <c r="F893">
        <f t="shared" si="32"/>
        <v>-1.7932413026880607E-2</v>
      </c>
      <c r="G893">
        <f t="shared" si="33"/>
        <v>-2.8993692337027397E-2</v>
      </c>
    </row>
    <row r="894" spans="1:7" x14ac:dyDescent="0.35">
      <c r="A894" t="s">
        <v>57</v>
      </c>
      <c r="E894">
        <v>1.763723977232779E-5</v>
      </c>
      <c r="F894">
        <f t="shared" si="32"/>
        <v>-1.7934606568475772E-2</v>
      </c>
      <c r="G894">
        <f t="shared" si="33"/>
        <v>-2.8993692337027397E-2</v>
      </c>
    </row>
    <row r="895" spans="1:7" x14ac:dyDescent="0.35">
      <c r="A895" t="s">
        <v>57</v>
      </c>
      <c r="E895">
        <v>4.449747899664346E-3</v>
      </c>
      <c r="F895">
        <f t="shared" si="32"/>
        <v>-1.7936800110070938E-2</v>
      </c>
      <c r="G895">
        <f t="shared" si="33"/>
        <v>-2.8993692337027397E-2</v>
      </c>
    </row>
    <row r="896" spans="1:7" x14ac:dyDescent="0.35">
      <c r="A896" t="s">
        <v>57</v>
      </c>
      <c r="E896">
        <v>1.523943497972087E-3</v>
      </c>
      <c r="F896">
        <f t="shared" si="32"/>
        <v>-1.79389936516661E-2</v>
      </c>
      <c r="G896">
        <f t="shared" si="33"/>
        <v>-2.8993692337027397E-2</v>
      </c>
    </row>
    <row r="897" spans="1:7" x14ac:dyDescent="0.35">
      <c r="A897" t="s">
        <v>58</v>
      </c>
      <c r="B897" s="3" cm="1">
        <f t="array" ref="B897">_xlfn.STDEV.S(_xlfn._xlws.FILTER($E$2:$E$1000, $A$2:$A$1000="2013-08"))</f>
        <v>9.0159242452114343E-3</v>
      </c>
      <c r="C897" s="3" cm="1">
        <f t="array" ref="C897">AVERAGE(_xlfn._xlws.FILTER($E$2:$E$1000, $A$2:$A$1000="2013-08"))</f>
        <v>-7.4321967631665214E-4</v>
      </c>
      <c r="D897" s="3" cm="1">
        <f t="array" ref="D897">_xlfn.PERCENTILE.EXC(_xlfn._xlws.FILTER($E$751:$E$999, $A$751:$A$999="2013-08"), 0.05)</f>
        <v>-2.4491852845788486E-2</v>
      </c>
      <c r="E897">
        <v>1.2455017131600125E-2</v>
      </c>
      <c r="F897">
        <f t="shared" si="32"/>
        <v>-1.7941187193261265E-2</v>
      </c>
      <c r="G897">
        <f t="shared" si="33"/>
        <v>-2.8993692337027397E-2</v>
      </c>
    </row>
    <row r="898" spans="1:7" x14ac:dyDescent="0.35">
      <c r="A898" t="s">
        <v>58</v>
      </c>
      <c r="E898">
        <v>7.2202347734753674E-4</v>
      </c>
      <c r="F898">
        <f t="shared" si="32"/>
        <v>-1.7943380734856431E-2</v>
      </c>
      <c r="G898">
        <f t="shared" si="33"/>
        <v>-2.8993692337027397E-2</v>
      </c>
    </row>
    <row r="899" spans="1:7" x14ac:dyDescent="0.35">
      <c r="A899" t="s">
        <v>58</v>
      </c>
      <c r="E899">
        <v>1.0672438701527466E-3</v>
      </c>
      <c r="F899">
        <f t="shared" si="32"/>
        <v>-1.7945574276451597E-2</v>
      </c>
      <c r="G899">
        <f t="shared" si="33"/>
        <v>-2.8993692337027397E-2</v>
      </c>
    </row>
    <row r="900" spans="1:7" x14ac:dyDescent="0.35">
      <c r="A900" t="s">
        <v>58</v>
      </c>
      <c r="E900">
        <v>-4.3055838585808852E-3</v>
      </c>
      <c r="F900">
        <f t="shared" ref="F900:F963" si="34">_xlfn.PERCENTILE.EXC(E900:E4715,0.05)</f>
        <v>-1.7947767818046762E-2</v>
      </c>
      <c r="G900">
        <f t="shared" ref="G900:G963" si="35">AVERAGEIFS(E900:E4716,E900:E4716,"&lt;=" &amp; F900)</f>
        <v>-2.8993692337027397E-2</v>
      </c>
    </row>
    <row r="901" spans="1:7" x14ac:dyDescent="0.35">
      <c r="A901" t="s">
        <v>58</v>
      </c>
      <c r="E901">
        <v>1.4669699052300604E-3</v>
      </c>
      <c r="F901">
        <f t="shared" si="34"/>
        <v>-1.7947877734713825E-2</v>
      </c>
      <c r="G901">
        <f t="shared" si="35"/>
        <v>-2.906987112681347E-2</v>
      </c>
    </row>
    <row r="902" spans="1:7" x14ac:dyDescent="0.35">
      <c r="A902" t="s">
        <v>58</v>
      </c>
      <c r="E902">
        <v>6.3755876035632058E-3</v>
      </c>
      <c r="F902">
        <f t="shared" si="34"/>
        <v>-1.7947987651380889E-2</v>
      </c>
      <c r="G902">
        <f t="shared" si="35"/>
        <v>-2.906987112681347E-2</v>
      </c>
    </row>
    <row r="903" spans="1:7" x14ac:dyDescent="0.35">
      <c r="A903" t="s">
        <v>58</v>
      </c>
      <c r="E903">
        <v>3.0045951355614857E-3</v>
      </c>
      <c r="F903">
        <f t="shared" si="34"/>
        <v>-1.7948097568047952E-2</v>
      </c>
      <c r="G903">
        <f t="shared" si="35"/>
        <v>-2.906987112681347E-2</v>
      </c>
    </row>
    <row r="904" spans="1:7" x14ac:dyDescent="0.35">
      <c r="A904" t="s">
        <v>58</v>
      </c>
      <c r="E904">
        <v>-1.1953517708463543E-3</v>
      </c>
      <c r="F904">
        <f t="shared" si="34"/>
        <v>-1.7948207484715015E-2</v>
      </c>
      <c r="G904">
        <f t="shared" si="35"/>
        <v>-2.906987112681347E-2</v>
      </c>
    </row>
    <row r="905" spans="1:7" x14ac:dyDescent="0.35">
      <c r="A905" t="s">
        <v>58</v>
      </c>
      <c r="E905">
        <v>5.100339564620175E-3</v>
      </c>
      <c r="F905">
        <f t="shared" si="34"/>
        <v>-1.7948317401382079E-2</v>
      </c>
      <c r="G905">
        <f t="shared" si="35"/>
        <v>-2.906987112681347E-2</v>
      </c>
    </row>
    <row r="906" spans="1:7" x14ac:dyDescent="0.35">
      <c r="A906" t="s">
        <v>58</v>
      </c>
      <c r="E906">
        <v>5.2883742730836705E-3</v>
      </c>
      <c r="F906">
        <f t="shared" si="34"/>
        <v>-1.7948427318049142E-2</v>
      </c>
      <c r="G906">
        <f t="shared" si="35"/>
        <v>-2.906987112681347E-2</v>
      </c>
    </row>
    <row r="907" spans="1:7" x14ac:dyDescent="0.35">
      <c r="A907" t="s">
        <v>58</v>
      </c>
      <c r="E907">
        <v>2.3524881298619166E-3</v>
      </c>
      <c r="F907">
        <f t="shared" si="34"/>
        <v>-1.7948537234716205E-2</v>
      </c>
      <c r="G907">
        <f t="shared" si="35"/>
        <v>-2.906987112681347E-2</v>
      </c>
    </row>
    <row r="908" spans="1:7" x14ac:dyDescent="0.35">
      <c r="A908" t="s">
        <v>58</v>
      </c>
      <c r="E908">
        <v>-9.7248895353179154E-3</v>
      </c>
      <c r="F908">
        <f t="shared" si="34"/>
        <v>-1.7948647151383269E-2</v>
      </c>
      <c r="G908">
        <f t="shared" si="35"/>
        <v>-2.906987112681347E-2</v>
      </c>
    </row>
    <row r="909" spans="1:7" x14ac:dyDescent="0.35">
      <c r="A909" t="s">
        <v>58</v>
      </c>
      <c r="E909">
        <v>-1.3571171110723661E-2</v>
      </c>
      <c r="F909">
        <f t="shared" si="34"/>
        <v>-1.7948757068050332E-2</v>
      </c>
      <c r="G909">
        <f t="shared" si="35"/>
        <v>-2.906987112681347E-2</v>
      </c>
    </row>
    <row r="910" spans="1:7" x14ac:dyDescent="0.35">
      <c r="A910" t="s">
        <v>58</v>
      </c>
      <c r="E910">
        <v>-3.4410689323411884E-3</v>
      </c>
      <c r="F910">
        <f t="shared" si="34"/>
        <v>-1.7948866984717399E-2</v>
      </c>
      <c r="G910">
        <f t="shared" si="35"/>
        <v>-2.906987112681347E-2</v>
      </c>
    </row>
    <row r="911" spans="1:7" x14ac:dyDescent="0.35">
      <c r="A911" t="s">
        <v>58</v>
      </c>
      <c r="E911">
        <v>1.0906438264043526E-2</v>
      </c>
      <c r="F911">
        <f t="shared" si="34"/>
        <v>-1.7948976901384462E-2</v>
      </c>
      <c r="G911">
        <f t="shared" si="35"/>
        <v>-2.906987112681347E-2</v>
      </c>
    </row>
    <row r="912" spans="1:7" x14ac:dyDescent="0.35">
      <c r="A912" t="s">
        <v>58</v>
      </c>
      <c r="E912">
        <v>2.5465684930158342E-3</v>
      </c>
      <c r="F912">
        <f t="shared" si="34"/>
        <v>-1.7949086818051525E-2</v>
      </c>
      <c r="G912">
        <f t="shared" si="35"/>
        <v>-2.906987112681347E-2</v>
      </c>
    </row>
    <row r="913" spans="1:7" x14ac:dyDescent="0.35">
      <c r="A913" t="s">
        <v>58</v>
      </c>
      <c r="E913">
        <v>-2.5066625568686635E-2</v>
      </c>
      <c r="F913">
        <f t="shared" si="34"/>
        <v>-1.7949196734718589E-2</v>
      </c>
      <c r="G913">
        <f t="shared" si="35"/>
        <v>-2.906987112681347E-2</v>
      </c>
    </row>
    <row r="914" spans="1:7" x14ac:dyDescent="0.35">
      <c r="A914" t="s">
        <v>58</v>
      </c>
      <c r="E914">
        <v>-2.085964139775646E-3</v>
      </c>
      <c r="F914">
        <f t="shared" si="34"/>
        <v>-1.7934606568475772E-2</v>
      </c>
      <c r="G914">
        <f t="shared" si="35"/>
        <v>-2.9020775556119406E-2</v>
      </c>
    </row>
    <row r="915" spans="1:7" x14ac:dyDescent="0.35">
      <c r="A915" t="s">
        <v>58</v>
      </c>
      <c r="E915">
        <v>6.5158451250924478E-3</v>
      </c>
      <c r="F915">
        <f t="shared" si="34"/>
        <v>-1.7936800110070938E-2</v>
      </c>
      <c r="G915">
        <f t="shared" si="35"/>
        <v>-2.9020775556119406E-2</v>
      </c>
    </row>
    <row r="916" spans="1:7" x14ac:dyDescent="0.35">
      <c r="A916" t="s">
        <v>58</v>
      </c>
      <c r="E916">
        <v>-1.3275229583233491E-2</v>
      </c>
      <c r="F916">
        <f t="shared" si="34"/>
        <v>-1.79389936516661E-2</v>
      </c>
      <c r="G916">
        <f t="shared" si="35"/>
        <v>-2.9020775556119406E-2</v>
      </c>
    </row>
    <row r="917" spans="1:7" x14ac:dyDescent="0.35">
      <c r="A917" t="s">
        <v>59</v>
      </c>
      <c r="B917" s="3" cm="1">
        <f t="array" ref="B917">_xlfn.STDEV.S(_xlfn._xlws.FILTER($E$2:$E$1000, $A$2:$A$1000="2013-09"))</f>
        <v>7.704663298636681E-3</v>
      </c>
      <c r="C917" s="3" cm="1">
        <f t="array" ref="C917">AVERAGE(_xlfn._xlws.FILTER($E$2:$E$1000, $A$2:$A$1000="2013-09"))</f>
        <v>2.4726459529666664E-3</v>
      </c>
      <c r="D917" s="3" cm="1">
        <f t="array" ref="D917">_xlfn.PERCENTILE.EXC(_xlfn._xlws.FILTER($E$751:$E$999, $A$751:$A$999="2013-09"), 0.05)</f>
        <v>-1.0163371117737199E-2</v>
      </c>
      <c r="E917">
        <v>1.8194937817955916E-2</v>
      </c>
      <c r="F917">
        <f t="shared" si="34"/>
        <v>-1.7941187193261265E-2</v>
      </c>
      <c r="G917">
        <f t="shared" si="35"/>
        <v>-2.9020775556119406E-2</v>
      </c>
    </row>
    <row r="918" spans="1:7" x14ac:dyDescent="0.35">
      <c r="A918" t="s">
        <v>59</v>
      </c>
      <c r="E918">
        <v>-8.0049750274233753E-3</v>
      </c>
      <c r="F918">
        <f t="shared" si="34"/>
        <v>-1.7943380734856431E-2</v>
      </c>
      <c r="G918">
        <f t="shared" si="35"/>
        <v>-2.9020775556119406E-2</v>
      </c>
    </row>
    <row r="919" spans="1:7" x14ac:dyDescent="0.35">
      <c r="A919" t="s">
        <v>59</v>
      </c>
      <c r="E919">
        <v>1.5965828981837284E-3</v>
      </c>
      <c r="F919">
        <f t="shared" si="34"/>
        <v>-1.7945574276451597E-2</v>
      </c>
      <c r="G919">
        <f t="shared" si="35"/>
        <v>-2.9020775556119406E-2</v>
      </c>
    </row>
    <row r="920" spans="1:7" x14ac:dyDescent="0.35">
      <c r="A920" t="s">
        <v>59</v>
      </c>
      <c r="E920">
        <v>6.6055763885844079E-3</v>
      </c>
      <c r="F920">
        <f t="shared" si="34"/>
        <v>-1.7947767818046762E-2</v>
      </c>
      <c r="G920">
        <f t="shared" si="35"/>
        <v>-2.9020775556119406E-2</v>
      </c>
    </row>
    <row r="921" spans="1:7" x14ac:dyDescent="0.35">
      <c r="A921" t="s">
        <v>59</v>
      </c>
      <c r="E921">
        <v>1.0523943360308563E-2</v>
      </c>
      <c r="F921">
        <f t="shared" si="34"/>
        <v>-1.7947877734713825E-2</v>
      </c>
      <c r="G921">
        <f t="shared" si="35"/>
        <v>-2.9097671443189352E-2</v>
      </c>
    </row>
    <row r="922" spans="1:7" x14ac:dyDescent="0.35">
      <c r="A922" t="s">
        <v>59</v>
      </c>
      <c r="E922">
        <v>-2.1904893102935048E-3</v>
      </c>
      <c r="F922">
        <f t="shared" si="34"/>
        <v>-1.7947987651380889E-2</v>
      </c>
      <c r="G922">
        <f t="shared" si="35"/>
        <v>-2.9097671443189352E-2</v>
      </c>
    </row>
    <row r="923" spans="1:7" x14ac:dyDescent="0.35">
      <c r="A923" t="s">
        <v>59</v>
      </c>
      <c r="E923">
        <v>1.8710924846615368E-2</v>
      </c>
      <c r="F923">
        <f t="shared" si="34"/>
        <v>-1.7948097568047952E-2</v>
      </c>
      <c r="G923">
        <f t="shared" si="35"/>
        <v>-2.9097671443189352E-2</v>
      </c>
    </row>
    <row r="924" spans="1:7" x14ac:dyDescent="0.35">
      <c r="A924" t="s">
        <v>59</v>
      </c>
      <c r="E924">
        <v>5.9982395630170924E-4</v>
      </c>
      <c r="F924">
        <f t="shared" si="34"/>
        <v>-1.7948207484715015E-2</v>
      </c>
      <c r="G924">
        <f t="shared" si="35"/>
        <v>-2.9097671443189352E-2</v>
      </c>
    </row>
    <row r="925" spans="1:7" x14ac:dyDescent="0.35">
      <c r="A925" t="s">
        <v>59</v>
      </c>
      <c r="E925">
        <v>-3.0343797824286117E-3</v>
      </c>
      <c r="F925">
        <f t="shared" si="34"/>
        <v>-1.7948317401382079E-2</v>
      </c>
      <c r="G925">
        <f t="shared" si="35"/>
        <v>-2.9097671443189352E-2</v>
      </c>
    </row>
    <row r="926" spans="1:7" x14ac:dyDescent="0.35">
      <c r="A926" t="s">
        <v>59</v>
      </c>
      <c r="E926">
        <v>1.9145792376548997E-3</v>
      </c>
      <c r="F926">
        <f t="shared" si="34"/>
        <v>-1.7948427318049142E-2</v>
      </c>
      <c r="G926">
        <f t="shared" si="35"/>
        <v>-2.9097671443189352E-2</v>
      </c>
    </row>
    <row r="927" spans="1:7" x14ac:dyDescent="0.35">
      <c r="A927" t="s">
        <v>59</v>
      </c>
      <c r="E927">
        <v>9.1258109087453427E-3</v>
      </c>
      <c r="F927">
        <f t="shared" si="34"/>
        <v>-1.7948537234716205E-2</v>
      </c>
      <c r="G927">
        <f t="shared" si="35"/>
        <v>-2.9097671443189352E-2</v>
      </c>
    </row>
    <row r="928" spans="1:7" x14ac:dyDescent="0.35">
      <c r="A928" t="s">
        <v>59</v>
      </c>
      <c r="E928">
        <v>-1.6173101468975287E-3</v>
      </c>
      <c r="F928">
        <f t="shared" si="34"/>
        <v>-1.7948647151383269E-2</v>
      </c>
      <c r="G928">
        <f t="shared" si="35"/>
        <v>-2.9097671443189352E-2</v>
      </c>
    </row>
    <row r="929" spans="1:7" x14ac:dyDescent="0.35">
      <c r="A929" t="s">
        <v>59</v>
      </c>
      <c r="E929">
        <v>5.9861336462806213E-3</v>
      </c>
      <c r="F929">
        <f t="shared" si="34"/>
        <v>-1.7948757068050332E-2</v>
      </c>
      <c r="G929">
        <f t="shared" si="35"/>
        <v>-2.9097671443189352E-2</v>
      </c>
    </row>
    <row r="930" spans="1:7" x14ac:dyDescent="0.35">
      <c r="A930" t="s">
        <v>59</v>
      </c>
      <c r="E930">
        <v>8.5096329870173442E-3</v>
      </c>
      <c r="F930">
        <f t="shared" si="34"/>
        <v>-1.7948866984717399E-2</v>
      </c>
      <c r="G930">
        <f t="shared" si="35"/>
        <v>-2.9097671443189352E-2</v>
      </c>
    </row>
    <row r="931" spans="1:7" x14ac:dyDescent="0.35">
      <c r="A931" t="s">
        <v>59</v>
      </c>
      <c r="E931">
        <v>-5.6601307146277187E-4</v>
      </c>
      <c r="F931">
        <f t="shared" si="34"/>
        <v>-1.7948976901384462E-2</v>
      </c>
      <c r="G931">
        <f t="shared" si="35"/>
        <v>-2.9097671443189352E-2</v>
      </c>
    </row>
    <row r="932" spans="1:7" x14ac:dyDescent="0.35">
      <c r="A932" t="s">
        <v>59</v>
      </c>
      <c r="E932">
        <v>-7.5408619772172692E-3</v>
      </c>
      <c r="F932">
        <f t="shared" si="34"/>
        <v>-1.7949086818051525E-2</v>
      </c>
      <c r="G932">
        <f t="shared" si="35"/>
        <v>-2.9097671443189352E-2</v>
      </c>
    </row>
    <row r="933" spans="1:7" x14ac:dyDescent="0.35">
      <c r="A933" t="s">
        <v>59</v>
      </c>
      <c r="E933">
        <v>5.6240281417027412E-3</v>
      </c>
      <c r="F933">
        <f t="shared" si="34"/>
        <v>-1.7949196734718589E-2</v>
      </c>
      <c r="G933">
        <f t="shared" si="35"/>
        <v>-2.9097671443189352E-2</v>
      </c>
    </row>
    <row r="934" spans="1:7" x14ac:dyDescent="0.35">
      <c r="A934" t="s">
        <v>59</v>
      </c>
      <c r="E934">
        <v>-6.1971455014133204E-5</v>
      </c>
      <c r="F934">
        <f t="shared" si="34"/>
        <v>-1.7949306651385652E-2</v>
      </c>
      <c r="G934">
        <f t="shared" si="35"/>
        <v>-2.9097671443189352E-2</v>
      </c>
    </row>
    <row r="935" spans="1:7" x14ac:dyDescent="0.35">
      <c r="A935" t="s">
        <v>59</v>
      </c>
      <c r="E935">
        <v>-2.0591579524774271E-3</v>
      </c>
      <c r="F935">
        <f t="shared" si="34"/>
        <v>-1.7949416568052715E-2</v>
      </c>
      <c r="G935">
        <f t="shared" si="35"/>
        <v>-2.9097671443189352E-2</v>
      </c>
    </row>
    <row r="936" spans="1:7" x14ac:dyDescent="0.35">
      <c r="A936" t="s">
        <v>59</v>
      </c>
      <c r="E936">
        <v>1.1942451713805395E-5</v>
      </c>
      <c r="F936">
        <f t="shared" si="34"/>
        <v>-1.7949526484719779E-2</v>
      </c>
      <c r="G936">
        <f t="shared" si="35"/>
        <v>-2.9097671443189352E-2</v>
      </c>
    </row>
    <row r="937" spans="1:7" x14ac:dyDescent="0.35">
      <c r="A937" t="s">
        <v>59</v>
      </c>
      <c r="E937">
        <v>-1.0403192905549847E-2</v>
      </c>
      <c r="F937">
        <f t="shared" si="34"/>
        <v>-1.7949636401386842E-2</v>
      </c>
      <c r="G937">
        <f t="shared" si="35"/>
        <v>-2.9097671443189352E-2</v>
      </c>
    </row>
    <row r="938" spans="1:7" x14ac:dyDescent="0.35">
      <c r="A938" t="s">
        <v>60</v>
      </c>
      <c r="B938" s="3" cm="1">
        <f t="array" ref="B938">_xlfn.STDEV.S(_xlfn._xlws.FILTER($E$2:$E$1000, $A$2:$A$1000="2013-10"))</f>
        <v>7.5264677213508265E-3</v>
      </c>
      <c r="C938" s="3" cm="1">
        <f t="array" ref="C938">AVERAGE(_xlfn._xlws.FILTER($E$2:$E$1000, $A$2:$A$1000="2013-10"))</f>
        <v>1.6114382733255115E-3</v>
      </c>
      <c r="D938" s="3" cm="1">
        <f t="array" ref="D938">_xlfn.PERCENTILE.EXC(_xlfn._xlws.FILTER($E$751:$E$999, $A$751:$A$999="2013-10"), 0.05)</f>
        <v>-8.9871217197841444E-3</v>
      </c>
      <c r="E938">
        <v>1.2748312947985991E-2</v>
      </c>
      <c r="F938">
        <f t="shared" si="34"/>
        <v>-1.7949746318053905E-2</v>
      </c>
      <c r="G938">
        <f t="shared" si="35"/>
        <v>-2.9097671443189352E-2</v>
      </c>
    </row>
    <row r="939" spans="1:7" x14ac:dyDescent="0.35">
      <c r="A939" t="s">
        <v>60</v>
      </c>
      <c r="E939">
        <v>-9.2020049044941373E-3</v>
      </c>
      <c r="F939">
        <f t="shared" si="34"/>
        <v>-1.7949856234720969E-2</v>
      </c>
      <c r="G939">
        <f t="shared" si="35"/>
        <v>-2.9097671443189352E-2</v>
      </c>
    </row>
    <row r="940" spans="1:7" x14ac:dyDescent="0.35">
      <c r="A940" t="s">
        <v>60</v>
      </c>
      <c r="E940">
        <v>-7.284485527679142E-3</v>
      </c>
      <c r="F940">
        <f t="shared" si="34"/>
        <v>-1.7949966151388032E-2</v>
      </c>
      <c r="G940">
        <f t="shared" si="35"/>
        <v>-2.9097671443189352E-2</v>
      </c>
    </row>
    <row r="941" spans="1:7" x14ac:dyDescent="0.35">
      <c r="A941" t="s">
        <v>60</v>
      </c>
      <c r="E941">
        <v>8.7480041687958837E-3</v>
      </c>
      <c r="F941">
        <f t="shared" si="34"/>
        <v>-1.7960609336849627E-2</v>
      </c>
      <c r="G941">
        <f t="shared" si="35"/>
        <v>-2.9175627424250901E-2</v>
      </c>
    </row>
    <row r="942" spans="1:7" x14ac:dyDescent="0.35">
      <c r="A942" t="s">
        <v>60</v>
      </c>
      <c r="E942">
        <v>3.1933425083147777E-4</v>
      </c>
      <c r="F942">
        <f t="shared" si="34"/>
        <v>-1.7971252522311229E-2</v>
      </c>
      <c r="G942">
        <f t="shared" si="35"/>
        <v>-2.9175627424250901E-2</v>
      </c>
    </row>
    <row r="943" spans="1:7" x14ac:dyDescent="0.35">
      <c r="A943" t="s">
        <v>60</v>
      </c>
      <c r="E943">
        <v>-7.7237581697919581E-3</v>
      </c>
      <c r="F943">
        <f t="shared" si="34"/>
        <v>-1.7981895707772831E-2</v>
      </c>
      <c r="G943">
        <f t="shared" si="35"/>
        <v>-2.9175627424250901E-2</v>
      </c>
    </row>
    <row r="944" spans="1:7" x14ac:dyDescent="0.35">
      <c r="A944" t="s">
        <v>60</v>
      </c>
      <c r="E944">
        <v>-1.568897421047138E-3</v>
      </c>
      <c r="F944">
        <f t="shared" si="34"/>
        <v>-1.7992538893234426E-2</v>
      </c>
      <c r="G944">
        <f t="shared" si="35"/>
        <v>-2.9175627424250901E-2</v>
      </c>
    </row>
    <row r="945" spans="1:7" x14ac:dyDescent="0.35">
      <c r="A945" t="s">
        <v>60</v>
      </c>
      <c r="E945">
        <v>2.1824294391755678E-2</v>
      </c>
      <c r="F945">
        <f t="shared" si="34"/>
        <v>-1.8003182078696028E-2</v>
      </c>
      <c r="G945">
        <f t="shared" si="35"/>
        <v>-2.9175627424250901E-2</v>
      </c>
    </row>
    <row r="946" spans="1:7" x14ac:dyDescent="0.35">
      <c r="A946" t="s">
        <v>60</v>
      </c>
      <c r="E946">
        <v>4.4322827336839974E-4</v>
      </c>
      <c r="F946">
        <f t="shared" si="34"/>
        <v>-1.8013825264157624E-2</v>
      </c>
      <c r="G946">
        <f t="shared" si="35"/>
        <v>-2.9175627424250901E-2</v>
      </c>
    </row>
    <row r="947" spans="1:7" x14ac:dyDescent="0.35">
      <c r="A947" t="s">
        <v>60</v>
      </c>
      <c r="E947">
        <v>7.0591526737102776E-4</v>
      </c>
      <c r="F947">
        <f t="shared" si="34"/>
        <v>-1.8024468449619222E-2</v>
      </c>
      <c r="G947">
        <f t="shared" si="35"/>
        <v>-2.9175627424250901E-2</v>
      </c>
    </row>
    <row r="948" spans="1:7" x14ac:dyDescent="0.35">
      <c r="A948" t="s">
        <v>60</v>
      </c>
      <c r="E948">
        <v>7.7981473088543874E-3</v>
      </c>
      <c r="F948">
        <f t="shared" si="34"/>
        <v>-1.8035111635080824E-2</v>
      </c>
      <c r="G948">
        <f t="shared" si="35"/>
        <v>-2.9175627424250901E-2</v>
      </c>
    </row>
    <row r="949" spans="1:7" x14ac:dyDescent="0.35">
      <c r="A949" t="s">
        <v>60</v>
      </c>
      <c r="E949">
        <v>-2.894208195980331E-3</v>
      </c>
      <c r="F949">
        <f t="shared" si="34"/>
        <v>-1.8045754820542419E-2</v>
      </c>
      <c r="G949">
        <f t="shared" si="35"/>
        <v>-2.9175627424250901E-2</v>
      </c>
    </row>
    <row r="950" spans="1:7" x14ac:dyDescent="0.35">
      <c r="A950" t="s">
        <v>60</v>
      </c>
      <c r="E950">
        <v>-9.6188310164235335E-4</v>
      </c>
      <c r="F950">
        <f t="shared" si="34"/>
        <v>-1.8056398006004021E-2</v>
      </c>
      <c r="G950">
        <f t="shared" si="35"/>
        <v>-2.9175627424250901E-2</v>
      </c>
    </row>
    <row r="951" spans="1:7" x14ac:dyDescent="0.35">
      <c r="A951" t="s">
        <v>60</v>
      </c>
      <c r="E951">
        <v>1.0882536581453444E-2</v>
      </c>
      <c r="F951">
        <f t="shared" si="34"/>
        <v>-1.8067041191465617E-2</v>
      </c>
      <c r="G951">
        <f t="shared" si="35"/>
        <v>-2.9175627424250901E-2</v>
      </c>
    </row>
    <row r="952" spans="1:7" x14ac:dyDescent="0.35">
      <c r="A952" t="s">
        <v>60</v>
      </c>
      <c r="E952">
        <v>-2.1277721899722545E-3</v>
      </c>
      <c r="F952">
        <f t="shared" si="34"/>
        <v>-1.8077684376927219E-2</v>
      </c>
      <c r="G952">
        <f t="shared" si="35"/>
        <v>-2.9175627424250901E-2</v>
      </c>
    </row>
    <row r="953" spans="1:7" x14ac:dyDescent="0.35">
      <c r="A953" t="s">
        <v>60</v>
      </c>
      <c r="E953">
        <v>4.3185424690596547E-3</v>
      </c>
      <c r="F953">
        <f t="shared" si="34"/>
        <v>-1.8088327562388821E-2</v>
      </c>
      <c r="G953">
        <f t="shared" si="35"/>
        <v>-2.9175627424250901E-2</v>
      </c>
    </row>
    <row r="954" spans="1:7" x14ac:dyDescent="0.35">
      <c r="A954" t="s">
        <v>60</v>
      </c>
      <c r="E954">
        <v>-8.1275889809441712E-3</v>
      </c>
      <c r="F954">
        <f t="shared" si="34"/>
        <v>-1.8098970747850416E-2</v>
      </c>
      <c r="G954">
        <f t="shared" si="35"/>
        <v>-2.9175627424250901E-2</v>
      </c>
    </row>
    <row r="955" spans="1:7" x14ac:dyDescent="0.35">
      <c r="A955" t="s">
        <v>60</v>
      </c>
      <c r="E955">
        <v>3.5214150149542956E-3</v>
      </c>
      <c r="F955">
        <f t="shared" si="34"/>
        <v>-1.8109613933312015E-2</v>
      </c>
      <c r="G955">
        <f t="shared" si="35"/>
        <v>-2.9175627424250901E-2</v>
      </c>
    </row>
    <row r="956" spans="1:7" x14ac:dyDescent="0.35">
      <c r="A956" t="s">
        <v>60</v>
      </c>
      <c r="E956">
        <v>-7.9082830513720114E-4</v>
      </c>
      <c r="F956">
        <f t="shared" si="34"/>
        <v>-1.8120257118773613E-2</v>
      </c>
      <c r="G956">
        <f t="shared" si="35"/>
        <v>-2.9175627424250901E-2</v>
      </c>
    </row>
    <row r="957" spans="1:7" x14ac:dyDescent="0.35">
      <c r="A957" t="s">
        <v>60</v>
      </c>
      <c r="E957">
        <v>-4.8569298379931933E-3</v>
      </c>
      <c r="F957">
        <f t="shared" si="34"/>
        <v>-1.8130900304235212E-2</v>
      </c>
      <c r="G957">
        <f t="shared" si="35"/>
        <v>-2.9175627424250901E-2</v>
      </c>
    </row>
    <row r="958" spans="1:7" x14ac:dyDescent="0.35">
      <c r="A958" t="s">
        <v>60</v>
      </c>
      <c r="E958">
        <v>6.2089135768637164E-3</v>
      </c>
      <c r="F958">
        <f t="shared" si="34"/>
        <v>-1.8141543489696814E-2</v>
      </c>
      <c r="G958">
        <f t="shared" si="35"/>
        <v>-2.9175627424250901E-2</v>
      </c>
    </row>
    <row r="959" spans="1:7" x14ac:dyDescent="0.35">
      <c r="A959" t="s">
        <v>60</v>
      </c>
      <c r="E959">
        <v>-9.3075472681296311E-4</v>
      </c>
      <c r="F959">
        <f t="shared" si="34"/>
        <v>-1.8152186675158409E-2</v>
      </c>
      <c r="G959">
        <f t="shared" si="35"/>
        <v>-2.9175627424250901E-2</v>
      </c>
    </row>
    <row r="960" spans="1:7" x14ac:dyDescent="0.35">
      <c r="A960" t="s">
        <v>60</v>
      </c>
      <c r="E960">
        <v>6.0135473966876525E-3</v>
      </c>
      <c r="F960">
        <f t="shared" si="34"/>
        <v>-1.8162829860620011E-2</v>
      </c>
      <c r="G960">
        <f t="shared" si="35"/>
        <v>-2.9175627424250901E-2</v>
      </c>
    </row>
    <row r="961" spans="1:7" x14ac:dyDescent="0.35">
      <c r="A961" t="s">
        <v>61</v>
      </c>
      <c r="B961" s="3" cm="1">
        <f t="array" ref="B961">_xlfn.STDEV.S(_xlfn._xlws.FILTER($E$2:$E$1000, $A$2:$A$1000="2013-11"))</f>
        <v>6.056702855497342E-3</v>
      </c>
      <c r="C961" s="3" cm="1">
        <f t="array" ref="C961">AVERAGE(_xlfn._xlws.FILTER($E$2:$E$1000, $A$2:$A$1000="2013-11"))</f>
        <v>-5.1856793959622873E-5</v>
      </c>
      <c r="D961" s="3" cm="1">
        <f t="array" ref="D961">_xlfn.PERCENTILE.EXC(_xlfn._xlws.FILTER($E$751:$E$999, $A$751:$A$999="2013-11"), 0.05)</f>
        <v>-1.0961877718603623E-2</v>
      </c>
      <c r="E961">
        <v>-6.2288200567213693E-3</v>
      </c>
      <c r="F961">
        <f t="shared" si="34"/>
        <v>-1.8163337354999195E-2</v>
      </c>
      <c r="G961">
        <f t="shared" si="35"/>
        <v>-2.9253182336670833E-2</v>
      </c>
    </row>
    <row r="962" spans="1:7" x14ac:dyDescent="0.35">
      <c r="A962" t="s">
        <v>61</v>
      </c>
      <c r="E962">
        <v>3.5973866667582985E-3</v>
      </c>
      <c r="F962">
        <f t="shared" si="34"/>
        <v>-1.8163844849378375E-2</v>
      </c>
      <c r="G962">
        <f t="shared" si="35"/>
        <v>-2.9253182336670833E-2</v>
      </c>
    </row>
    <row r="963" spans="1:7" x14ac:dyDescent="0.35">
      <c r="A963" t="s">
        <v>61</v>
      </c>
      <c r="E963">
        <v>-8.2534509415704855E-3</v>
      </c>
      <c r="F963">
        <f t="shared" si="34"/>
        <v>-1.8164352343757559E-2</v>
      </c>
      <c r="G963">
        <f t="shared" si="35"/>
        <v>-2.9253182336670833E-2</v>
      </c>
    </row>
    <row r="964" spans="1:7" x14ac:dyDescent="0.35">
      <c r="A964" t="s">
        <v>61</v>
      </c>
      <c r="E964">
        <v>7.8663024023018883E-3</v>
      </c>
      <c r="F964">
        <f t="shared" ref="F964:F1027" si="36">_xlfn.PERCENTILE.EXC(E964:E4779,0.05)</f>
        <v>-1.8164859838136743E-2</v>
      </c>
      <c r="G964">
        <f t="shared" ref="G964:G1027" si="37">AVERAGEIFS(E964:E4780,E964:E4780,"&lt;=" &amp; F964)</f>
        <v>-2.9253182336670833E-2</v>
      </c>
    </row>
    <row r="965" spans="1:7" x14ac:dyDescent="0.35">
      <c r="A965" t="s">
        <v>61</v>
      </c>
      <c r="E965">
        <v>-1.386567790472506E-3</v>
      </c>
      <c r="F965">
        <f t="shared" si="36"/>
        <v>-1.8165367332515926E-2</v>
      </c>
      <c r="G965">
        <f t="shared" si="37"/>
        <v>-2.9253182336670833E-2</v>
      </c>
    </row>
    <row r="966" spans="1:7" x14ac:dyDescent="0.35">
      <c r="A966" t="s">
        <v>61</v>
      </c>
      <c r="E966">
        <v>-4.8118499246702535E-3</v>
      </c>
      <c r="F966">
        <f t="shared" si="36"/>
        <v>-1.8165874826895106E-2</v>
      </c>
      <c r="G966">
        <f t="shared" si="37"/>
        <v>-2.9253182336670833E-2</v>
      </c>
    </row>
    <row r="967" spans="1:7" x14ac:dyDescent="0.35">
      <c r="A967" t="s">
        <v>61</v>
      </c>
      <c r="E967">
        <v>6.9469251074971089E-3</v>
      </c>
      <c r="F967">
        <f t="shared" si="36"/>
        <v>-1.816638232127429E-2</v>
      </c>
      <c r="G967">
        <f t="shared" si="37"/>
        <v>-2.9253182336670833E-2</v>
      </c>
    </row>
    <row r="968" spans="1:7" x14ac:dyDescent="0.35">
      <c r="A968" t="s">
        <v>61</v>
      </c>
      <c r="E968">
        <v>-6.1632756543093413E-3</v>
      </c>
      <c r="F968">
        <f t="shared" si="36"/>
        <v>-1.8166889815653474E-2</v>
      </c>
      <c r="G968">
        <f t="shared" si="37"/>
        <v>-2.9253182336670833E-2</v>
      </c>
    </row>
    <row r="969" spans="1:7" x14ac:dyDescent="0.35">
      <c r="A969" t="s">
        <v>61</v>
      </c>
      <c r="E969">
        <v>-5.6069725854274166E-3</v>
      </c>
      <c r="F969">
        <f t="shared" si="36"/>
        <v>-1.8167397310032658E-2</v>
      </c>
      <c r="G969">
        <f t="shared" si="37"/>
        <v>-2.9253182336670833E-2</v>
      </c>
    </row>
    <row r="970" spans="1:7" x14ac:dyDescent="0.35">
      <c r="A970" t="s">
        <v>61</v>
      </c>
      <c r="E970">
        <v>1.0317025761116896E-2</v>
      </c>
      <c r="F970">
        <f t="shared" si="36"/>
        <v>-1.8167904804411841E-2</v>
      </c>
      <c r="G970">
        <f t="shared" si="37"/>
        <v>-2.9253182336670833E-2</v>
      </c>
    </row>
    <row r="971" spans="1:7" x14ac:dyDescent="0.35">
      <c r="A971" t="s">
        <v>61</v>
      </c>
      <c r="E971">
        <v>1.940267442030547E-3</v>
      </c>
      <c r="F971">
        <f t="shared" si="36"/>
        <v>-1.8168412298791022E-2</v>
      </c>
      <c r="G971">
        <f t="shared" si="37"/>
        <v>-2.9253182336670833E-2</v>
      </c>
    </row>
    <row r="972" spans="1:7" x14ac:dyDescent="0.35">
      <c r="A972" t="s">
        <v>61</v>
      </c>
      <c r="E972">
        <v>6.606385872688283E-3</v>
      </c>
      <c r="F972">
        <f t="shared" si="36"/>
        <v>-1.8168919793170205E-2</v>
      </c>
      <c r="G972">
        <f t="shared" si="37"/>
        <v>-2.9253182336670833E-2</v>
      </c>
    </row>
    <row r="973" spans="1:7" x14ac:dyDescent="0.35">
      <c r="A973" t="s">
        <v>61</v>
      </c>
      <c r="E973">
        <v>-1.126281402716286E-2</v>
      </c>
      <c r="F973">
        <f t="shared" si="36"/>
        <v>-1.8169427287549389E-2</v>
      </c>
      <c r="G973">
        <f t="shared" si="37"/>
        <v>-2.9253182336670833E-2</v>
      </c>
    </row>
    <row r="974" spans="1:7" x14ac:dyDescent="0.35">
      <c r="A974" t="s">
        <v>61</v>
      </c>
      <c r="E974">
        <v>-9.1796190815864628E-4</v>
      </c>
      <c r="F974">
        <f t="shared" si="36"/>
        <v>-1.8169934781928569E-2</v>
      </c>
      <c r="G974">
        <f t="shared" si="37"/>
        <v>-2.9253182336670833E-2</v>
      </c>
    </row>
    <row r="975" spans="1:7" x14ac:dyDescent="0.35">
      <c r="A975" t="s">
        <v>61</v>
      </c>
      <c r="E975">
        <v>-3.3958121263731392E-3</v>
      </c>
      <c r="F975">
        <f t="shared" si="36"/>
        <v>-1.8170442276307753E-2</v>
      </c>
      <c r="G975">
        <f t="shared" si="37"/>
        <v>-2.9253182336670833E-2</v>
      </c>
    </row>
    <row r="976" spans="1:7" x14ac:dyDescent="0.35">
      <c r="A976" t="s">
        <v>61</v>
      </c>
      <c r="E976">
        <v>5.7732834401061249E-3</v>
      </c>
      <c r="F976">
        <f t="shared" si="36"/>
        <v>-1.8170949770686937E-2</v>
      </c>
      <c r="G976">
        <f t="shared" si="37"/>
        <v>-2.9253182336670833E-2</v>
      </c>
    </row>
    <row r="977" spans="1:7" x14ac:dyDescent="0.35">
      <c r="A977" t="s">
        <v>61</v>
      </c>
      <c r="E977">
        <v>5.4635646659341999E-3</v>
      </c>
      <c r="F977">
        <f t="shared" si="36"/>
        <v>-1.817145726506612E-2</v>
      </c>
      <c r="G977">
        <f t="shared" si="37"/>
        <v>-2.9253182336670833E-2</v>
      </c>
    </row>
    <row r="978" spans="1:7" x14ac:dyDescent="0.35">
      <c r="A978" t="s">
        <v>61</v>
      </c>
      <c r="E978">
        <v>-5.6879659712084311E-3</v>
      </c>
      <c r="F978">
        <f t="shared" si="36"/>
        <v>-1.8171964759445304E-2</v>
      </c>
      <c r="G978">
        <f t="shared" si="37"/>
        <v>-2.9253182336670833E-2</v>
      </c>
    </row>
    <row r="979" spans="1:7" x14ac:dyDescent="0.35">
      <c r="A979" t="s">
        <v>61</v>
      </c>
      <c r="E979">
        <v>3.6146740358305655E-3</v>
      </c>
      <c r="F979">
        <f t="shared" si="36"/>
        <v>-1.8172472253824484E-2</v>
      </c>
      <c r="G979">
        <f t="shared" si="37"/>
        <v>-2.9253182336670833E-2</v>
      </c>
    </row>
    <row r="980" spans="1:7" x14ac:dyDescent="0.35">
      <c r="A980" t="s">
        <v>61</v>
      </c>
      <c r="E980">
        <v>2.177889704751293E-3</v>
      </c>
      <c r="F980">
        <f t="shared" si="36"/>
        <v>-1.8172979748203668E-2</v>
      </c>
      <c r="G980">
        <f t="shared" si="37"/>
        <v>-2.9253182336670833E-2</v>
      </c>
    </row>
    <row r="981" spans="1:7" x14ac:dyDescent="0.35">
      <c r="A981" t="s">
        <v>61</v>
      </c>
      <c r="E981">
        <v>-1.6772067860928361E-3</v>
      </c>
      <c r="F981">
        <f t="shared" si="36"/>
        <v>-1.8173023635049024E-2</v>
      </c>
      <c r="G981">
        <f t="shared" si="37"/>
        <v>-2.9331765333752157E-2</v>
      </c>
    </row>
    <row r="982" spans="1:7" x14ac:dyDescent="0.35">
      <c r="A982" t="s">
        <v>62</v>
      </c>
      <c r="B982" s="3" cm="1">
        <f t="array" ref="B982">_xlfn.STDEV.S(_xlfn._xlws.FILTER($E$2:$E$1000, $A$2:$A$1000="2013-12"))</f>
        <v>1.1056092935915335E-2</v>
      </c>
      <c r="C982" s="3" cm="1">
        <f t="array" ref="C982">AVERAGE(_xlfn._xlws.FILTER($E$2:$E$1000, $A$2:$A$1000="2013-12"))</f>
        <v>-2.5279321298918214E-4</v>
      </c>
      <c r="D982" s="3" cm="1">
        <f t="array" ref="D982">_xlfn.PERCENTILE.INC(_xlfn._xlws.FILTER($E$751:$E$999, $A$751:$A$999="2013-12"), 0.05)</f>
        <v>-1.46592439942264E-2</v>
      </c>
      <c r="E982">
        <v>-2.1908826130164873E-3</v>
      </c>
      <c r="F982">
        <f t="shared" si="36"/>
        <v>-1.8173067521894376E-2</v>
      </c>
      <c r="G982">
        <f t="shared" si="37"/>
        <v>-2.9331765333752157E-2</v>
      </c>
    </row>
    <row r="983" spans="1:7" x14ac:dyDescent="0.35">
      <c r="A983" t="s">
        <v>62</v>
      </c>
      <c r="E983">
        <v>-2.6808569108513182E-2</v>
      </c>
      <c r="F983">
        <f t="shared" si="36"/>
        <v>-1.8173111408739732E-2</v>
      </c>
      <c r="G983">
        <f t="shared" si="37"/>
        <v>-2.9331765333752157E-2</v>
      </c>
    </row>
    <row r="984" spans="1:7" x14ac:dyDescent="0.35">
      <c r="A984" t="s">
        <v>62</v>
      </c>
      <c r="E984">
        <v>-5.749352452049516E-3</v>
      </c>
      <c r="F984">
        <f t="shared" si="36"/>
        <v>-1.8164859838136743E-2</v>
      </c>
      <c r="G984">
        <f t="shared" si="37"/>
        <v>-2.9270520019140038E-2</v>
      </c>
    </row>
    <row r="985" spans="1:7" x14ac:dyDescent="0.35">
      <c r="A985" t="s">
        <v>62</v>
      </c>
      <c r="E985">
        <v>-1.178662188040925E-2</v>
      </c>
      <c r="F985">
        <f t="shared" si="36"/>
        <v>-1.8165367332515926E-2</v>
      </c>
      <c r="G985">
        <f t="shared" si="37"/>
        <v>-2.9270520019140038E-2</v>
      </c>
    </row>
    <row r="986" spans="1:7" x14ac:dyDescent="0.35">
      <c r="A986" t="s">
        <v>62</v>
      </c>
      <c r="E986">
        <v>7.1598307144705884E-3</v>
      </c>
      <c r="F986">
        <f t="shared" si="36"/>
        <v>-1.8165874826895106E-2</v>
      </c>
      <c r="G986">
        <f t="shared" si="37"/>
        <v>-2.9270520019140038E-2</v>
      </c>
    </row>
    <row r="987" spans="1:7" x14ac:dyDescent="0.35">
      <c r="A987" t="s">
        <v>62</v>
      </c>
      <c r="E987">
        <v>1.1447976495540695E-3</v>
      </c>
      <c r="F987">
        <f t="shared" si="36"/>
        <v>-1.816638232127429E-2</v>
      </c>
      <c r="G987">
        <f t="shared" si="37"/>
        <v>-2.9270520019140038E-2</v>
      </c>
    </row>
    <row r="988" spans="1:7" x14ac:dyDescent="0.35">
      <c r="A988" t="s">
        <v>62</v>
      </c>
      <c r="E988">
        <v>-1.0445990790377016E-2</v>
      </c>
      <c r="F988">
        <f t="shared" si="36"/>
        <v>-1.8166889815653474E-2</v>
      </c>
      <c r="G988">
        <f t="shared" si="37"/>
        <v>-2.9270520019140038E-2</v>
      </c>
    </row>
    <row r="989" spans="1:7" x14ac:dyDescent="0.35">
      <c r="A989" t="s">
        <v>62</v>
      </c>
      <c r="E989">
        <v>-1.0467107827745372E-3</v>
      </c>
      <c r="F989">
        <f t="shared" si="36"/>
        <v>-1.8167397310032658E-2</v>
      </c>
      <c r="G989">
        <f t="shared" si="37"/>
        <v>-2.9270520019140038E-2</v>
      </c>
    </row>
    <row r="990" spans="1:7" x14ac:dyDescent="0.35">
      <c r="A990" t="s">
        <v>62</v>
      </c>
      <c r="E990">
        <v>-4.3501891804999786E-3</v>
      </c>
      <c r="F990">
        <f t="shared" si="36"/>
        <v>-1.8167904804411841E-2</v>
      </c>
      <c r="G990">
        <f t="shared" si="37"/>
        <v>-2.9270520019140038E-2</v>
      </c>
    </row>
    <row r="991" spans="1:7" x14ac:dyDescent="0.35">
      <c r="A991" t="s">
        <v>62</v>
      </c>
      <c r="E991">
        <v>-2.315217369120574E-3</v>
      </c>
      <c r="F991">
        <f t="shared" si="36"/>
        <v>-1.8168412298791022E-2</v>
      </c>
      <c r="G991">
        <f t="shared" si="37"/>
        <v>-2.9270520019140038E-2</v>
      </c>
    </row>
    <row r="992" spans="1:7" x14ac:dyDescent="0.35">
      <c r="A992" t="s">
        <v>62</v>
      </c>
      <c r="E992">
        <v>1.4712494232595571E-2</v>
      </c>
      <c r="F992">
        <f t="shared" si="36"/>
        <v>-1.8168919793170205E-2</v>
      </c>
      <c r="G992">
        <f t="shared" si="37"/>
        <v>-2.9270520019140038E-2</v>
      </c>
    </row>
    <row r="993" spans="1:7" x14ac:dyDescent="0.35">
      <c r="A993" t="s">
        <v>62</v>
      </c>
      <c r="E993">
        <v>-1.2515245444646382E-2</v>
      </c>
      <c r="F993">
        <f t="shared" si="36"/>
        <v>-1.8169427287549389E-2</v>
      </c>
      <c r="G993">
        <f t="shared" si="37"/>
        <v>-2.9270520019140038E-2</v>
      </c>
    </row>
    <row r="994" spans="1:7" x14ac:dyDescent="0.35">
      <c r="A994" t="s">
        <v>62</v>
      </c>
      <c r="E994">
        <v>9.9950087104937833E-3</v>
      </c>
      <c r="F994">
        <f t="shared" si="36"/>
        <v>-1.8169934781928569E-2</v>
      </c>
      <c r="G994">
        <f t="shared" si="37"/>
        <v>-2.9270520019140038E-2</v>
      </c>
    </row>
    <row r="995" spans="1:7" x14ac:dyDescent="0.35">
      <c r="A995" t="s">
        <v>62</v>
      </c>
      <c r="E995">
        <v>1.6296667687906056E-2</v>
      </c>
      <c r="F995">
        <f t="shared" si="36"/>
        <v>-1.8170442276307753E-2</v>
      </c>
      <c r="G995">
        <f t="shared" si="37"/>
        <v>-2.9270520019140038E-2</v>
      </c>
    </row>
    <row r="996" spans="1:7" x14ac:dyDescent="0.35">
      <c r="A996" t="s">
        <v>62</v>
      </c>
      <c r="E996">
        <v>3.9996230505538171E-3</v>
      </c>
      <c r="F996">
        <f t="shared" si="36"/>
        <v>-1.8170949770686937E-2</v>
      </c>
      <c r="G996">
        <f t="shared" si="37"/>
        <v>-2.9270520019140038E-2</v>
      </c>
    </row>
    <row r="997" spans="1:7" x14ac:dyDescent="0.35">
      <c r="A997" t="s">
        <v>62</v>
      </c>
      <c r="E997">
        <v>5.1183002570865214E-3</v>
      </c>
      <c r="F997">
        <f t="shared" si="36"/>
        <v>-1.817145726506612E-2</v>
      </c>
      <c r="G997">
        <f t="shared" si="37"/>
        <v>-2.9270520019140038E-2</v>
      </c>
    </row>
    <row r="998" spans="1:7" x14ac:dyDescent="0.35">
      <c r="A998" t="s">
        <v>62</v>
      </c>
      <c r="E998">
        <v>1.4685402396467599E-2</v>
      </c>
      <c r="F998">
        <f t="shared" si="36"/>
        <v>-1.8171964759445304E-2</v>
      </c>
      <c r="G998">
        <f t="shared" si="37"/>
        <v>-2.9270520019140038E-2</v>
      </c>
    </row>
    <row r="999" spans="1:7" x14ac:dyDescent="0.35">
      <c r="A999" t="s">
        <v>62</v>
      </c>
      <c r="E999">
        <v>-4.5362291152634631E-4</v>
      </c>
      <c r="F999">
        <f t="shared" si="36"/>
        <v>-1.8172472253824484E-2</v>
      </c>
      <c r="G999">
        <f t="shared" si="37"/>
        <v>-2.9270520019140038E-2</v>
      </c>
    </row>
    <row r="1000" spans="1:7" x14ac:dyDescent="0.35">
      <c r="A1000" t="s">
        <v>63</v>
      </c>
      <c r="B1000" s="3" cm="1">
        <f t="array" ref="B1000">_xlfn.STDEV.S(_xlfn._xlws.FILTER($E$1000:$E$1998, $A$1000:$A$1998="2014-01"))</f>
        <v>8.8293976520815234E-3</v>
      </c>
      <c r="C1000" s="3" cm="1">
        <f t="array" ref="C1000">AVERAGE(_xlfn._xlws.FILTER($E$1000:$E$1998, $A$1000:$A$1998="2014-01"))</f>
        <v>-1.1845927565311567E-3</v>
      </c>
      <c r="D1000" s="3" cm="1">
        <f t="array" ref="D1000">_xlfn.PERCENTILE.EXC(_xlfn._xlws.FILTER($E$1000:$E$1497, $A$1000:$A$1497="2014-01"), 0.05)</f>
        <v>-2.5771281865536601E-2</v>
      </c>
      <c r="E1000">
        <v>-1.1391410246433848E-2</v>
      </c>
      <c r="F1000">
        <f t="shared" si="36"/>
        <v>-1.8172979748203668E-2</v>
      </c>
      <c r="G1000">
        <f t="shared" si="37"/>
        <v>-2.9270520019140038E-2</v>
      </c>
    </row>
    <row r="1001" spans="1:7" x14ac:dyDescent="0.35">
      <c r="A1001" t="s">
        <v>63</v>
      </c>
      <c r="E1001">
        <v>4.8071286079386117E-3</v>
      </c>
      <c r="F1001">
        <f t="shared" si="36"/>
        <v>-1.8173023635049024E-2</v>
      </c>
      <c r="G1001">
        <f t="shared" si="37"/>
        <v>-2.9349788163932435E-2</v>
      </c>
    </row>
    <row r="1002" spans="1:7" x14ac:dyDescent="0.35">
      <c r="A1002" t="s">
        <v>63</v>
      </c>
      <c r="E1002">
        <v>-4.7456252287816081E-3</v>
      </c>
      <c r="F1002">
        <f t="shared" si="36"/>
        <v>-1.8173067521894376E-2</v>
      </c>
      <c r="G1002">
        <f t="shared" si="37"/>
        <v>-2.9349788163932435E-2</v>
      </c>
    </row>
    <row r="1003" spans="1:7" x14ac:dyDescent="0.35">
      <c r="A1003" t="s">
        <v>63</v>
      </c>
      <c r="E1003">
        <v>8.2778068543055156E-3</v>
      </c>
      <c r="F1003">
        <f t="shared" si="36"/>
        <v>-1.8173111408739732E-2</v>
      </c>
      <c r="G1003">
        <f t="shared" si="37"/>
        <v>-2.9349788163932435E-2</v>
      </c>
    </row>
    <row r="1004" spans="1:7" x14ac:dyDescent="0.35">
      <c r="A1004" t="s">
        <v>63</v>
      </c>
      <c r="E1004">
        <v>-4.0358345104824021E-4</v>
      </c>
      <c r="F1004">
        <f t="shared" si="36"/>
        <v>-1.8173155295585084E-2</v>
      </c>
      <c r="G1004">
        <f t="shared" si="37"/>
        <v>-2.9349788163932435E-2</v>
      </c>
    </row>
    <row r="1005" spans="1:7" x14ac:dyDescent="0.35">
      <c r="A1005" t="s">
        <v>63</v>
      </c>
      <c r="E1005">
        <v>-8.4420906511583505E-3</v>
      </c>
      <c r="F1005">
        <f t="shared" si="36"/>
        <v>-1.817319918243044E-2</v>
      </c>
      <c r="G1005">
        <f t="shared" si="37"/>
        <v>-2.9349788163932435E-2</v>
      </c>
    </row>
    <row r="1006" spans="1:7" x14ac:dyDescent="0.35">
      <c r="A1006" t="s">
        <v>63</v>
      </c>
      <c r="E1006">
        <v>6.0077530876301482E-3</v>
      </c>
      <c r="F1006">
        <f t="shared" si="36"/>
        <v>-1.8173243069275792E-2</v>
      </c>
      <c r="G1006">
        <f t="shared" si="37"/>
        <v>-2.9349788163932435E-2</v>
      </c>
    </row>
    <row r="1007" spans="1:7" x14ac:dyDescent="0.35">
      <c r="A1007" t="s">
        <v>63</v>
      </c>
      <c r="E1007">
        <v>2.9763220140995236E-3</v>
      </c>
      <c r="F1007">
        <f t="shared" si="36"/>
        <v>-1.8173286956121148E-2</v>
      </c>
      <c r="G1007">
        <f t="shared" si="37"/>
        <v>-2.9349788163932435E-2</v>
      </c>
    </row>
    <row r="1008" spans="1:7" x14ac:dyDescent="0.35">
      <c r="A1008" t="s">
        <v>63</v>
      </c>
      <c r="E1008">
        <v>2.560478917400522E-3</v>
      </c>
      <c r="F1008">
        <f t="shared" si="36"/>
        <v>-1.81733308429665E-2</v>
      </c>
      <c r="G1008">
        <f t="shared" si="37"/>
        <v>-2.9349788163932435E-2</v>
      </c>
    </row>
    <row r="1009" spans="1:7" x14ac:dyDescent="0.35">
      <c r="A1009" t="s">
        <v>63</v>
      </c>
      <c r="E1009">
        <v>1.3448537452335976E-2</v>
      </c>
      <c r="F1009">
        <f t="shared" si="36"/>
        <v>-1.8173374729811856E-2</v>
      </c>
      <c r="G1009">
        <f t="shared" si="37"/>
        <v>-2.9349788163932435E-2</v>
      </c>
    </row>
    <row r="1010" spans="1:7" x14ac:dyDescent="0.35">
      <c r="A1010" t="s">
        <v>63</v>
      </c>
      <c r="E1010">
        <v>-2.9590813307312719E-3</v>
      </c>
      <c r="F1010">
        <f t="shared" si="36"/>
        <v>-1.8173418616657208E-2</v>
      </c>
      <c r="G1010">
        <f t="shared" si="37"/>
        <v>-2.9349788163932435E-2</v>
      </c>
    </row>
    <row r="1011" spans="1:7" x14ac:dyDescent="0.35">
      <c r="A1011" t="s">
        <v>63</v>
      </c>
      <c r="E1011">
        <v>1.9036015726689012E-3</v>
      </c>
      <c r="F1011">
        <f t="shared" si="36"/>
        <v>-1.8173462503502564E-2</v>
      </c>
      <c r="G1011">
        <f t="shared" si="37"/>
        <v>-2.9349788163932435E-2</v>
      </c>
    </row>
    <row r="1012" spans="1:7" x14ac:dyDescent="0.35">
      <c r="A1012" t="s">
        <v>63</v>
      </c>
      <c r="E1012">
        <v>-1.0727878250165073E-3</v>
      </c>
      <c r="F1012">
        <f t="shared" si="36"/>
        <v>-1.817350639034792E-2</v>
      </c>
      <c r="G1012">
        <f t="shared" si="37"/>
        <v>-2.9349788163932435E-2</v>
      </c>
    </row>
    <row r="1013" spans="1:7" x14ac:dyDescent="0.35">
      <c r="A1013" t="s">
        <v>63</v>
      </c>
      <c r="E1013">
        <v>2.336143269407122E-4</v>
      </c>
      <c r="F1013">
        <f t="shared" si="36"/>
        <v>-1.8173550277193272E-2</v>
      </c>
      <c r="G1013">
        <f t="shared" si="37"/>
        <v>-2.9349788163932435E-2</v>
      </c>
    </row>
    <row r="1014" spans="1:7" x14ac:dyDescent="0.35">
      <c r="A1014" t="s">
        <v>63</v>
      </c>
      <c r="E1014">
        <v>2.5668152554257065E-4</v>
      </c>
      <c r="F1014">
        <f t="shared" si="36"/>
        <v>-1.8173594164038628E-2</v>
      </c>
      <c r="G1014">
        <f t="shared" si="37"/>
        <v>-2.9349788163932435E-2</v>
      </c>
    </row>
    <row r="1015" spans="1:7" x14ac:dyDescent="0.35">
      <c r="A1015" t="s">
        <v>63</v>
      </c>
      <c r="E1015">
        <v>-1.023023258784238E-2</v>
      </c>
      <c r="F1015">
        <f t="shared" si="36"/>
        <v>-1.817363805088398E-2</v>
      </c>
      <c r="G1015">
        <f t="shared" si="37"/>
        <v>-2.9349788163932435E-2</v>
      </c>
    </row>
    <row r="1016" spans="1:7" x14ac:dyDescent="0.35">
      <c r="A1016" t="s">
        <v>63</v>
      </c>
      <c r="E1016">
        <v>-2.8308906268907679E-2</v>
      </c>
      <c r="F1016">
        <f t="shared" si="36"/>
        <v>-1.8173681937729336E-2</v>
      </c>
      <c r="G1016">
        <f t="shared" si="37"/>
        <v>-2.9349788163932435E-2</v>
      </c>
    </row>
    <row r="1017" spans="1:7" x14ac:dyDescent="0.35">
      <c r="A1017" t="s">
        <v>63</v>
      </c>
      <c r="E1017">
        <v>-4.0717462765565374E-3</v>
      </c>
      <c r="F1017">
        <f t="shared" si="36"/>
        <v>-1.817145726506612E-2</v>
      </c>
      <c r="G1017">
        <f t="shared" si="37"/>
        <v>-2.9277388688784552E-2</v>
      </c>
    </row>
    <row r="1018" spans="1:7" x14ac:dyDescent="0.35">
      <c r="A1018" t="s">
        <v>63</v>
      </c>
      <c r="E1018">
        <v>9.7793656798098212E-3</v>
      </c>
      <c r="F1018">
        <f t="shared" si="36"/>
        <v>-1.8171964759445304E-2</v>
      </c>
      <c r="G1018">
        <f t="shared" si="37"/>
        <v>-2.9277388688784552E-2</v>
      </c>
    </row>
    <row r="1019" spans="1:7" x14ac:dyDescent="0.35">
      <c r="A1019" t="s">
        <v>63</v>
      </c>
      <c r="E1019">
        <v>-6.7871475451661079E-3</v>
      </c>
      <c r="F1019">
        <f t="shared" si="36"/>
        <v>-1.8172472253824484E-2</v>
      </c>
      <c r="G1019">
        <f t="shared" si="37"/>
        <v>-2.9277388688784552E-2</v>
      </c>
    </row>
    <row r="1020" spans="1:7" x14ac:dyDescent="0.35">
      <c r="A1020" t="s">
        <v>63</v>
      </c>
      <c r="E1020">
        <v>5.5271821171826233E-3</v>
      </c>
      <c r="F1020">
        <f t="shared" si="36"/>
        <v>-1.8172979748203668E-2</v>
      </c>
      <c r="G1020">
        <f t="shared" si="37"/>
        <v>-2.9277388688784552E-2</v>
      </c>
    </row>
    <row r="1021" spans="1:7" x14ac:dyDescent="0.35">
      <c r="A1021" t="s">
        <v>63</v>
      </c>
      <c r="E1021">
        <v>-3.4269013878978462E-3</v>
      </c>
      <c r="F1021">
        <f t="shared" si="36"/>
        <v>-1.8173023635049024E-2</v>
      </c>
      <c r="G1021">
        <f t="shared" si="37"/>
        <v>-2.9357276522889459E-2</v>
      </c>
    </row>
    <row r="1022" spans="1:7" x14ac:dyDescent="0.35">
      <c r="A1022" t="s">
        <v>64</v>
      </c>
      <c r="B1022" s="3" cm="1">
        <f t="array" ref="B1022">_xlfn.STDEV.S(_xlfn._xlws.FILTER($E$1000:$E$1998, $A$1000:$A$1998="2014-02"))</f>
        <v>6.338203831427699E-3</v>
      </c>
      <c r="C1022" s="3" cm="1">
        <f t="array" ref="C1022">AVERAGE(_xlfn._xlws.FILTER($E$1000:$E$1998, $A$1000:$A$1998="2014-02"))</f>
        <v>2.8275045339968222E-3</v>
      </c>
      <c r="D1022" s="3" cm="1">
        <f t="array" ref="D1022">_xlfn.PERCENTILE.EXC(_xlfn._xlws.FILTER($E$1000:$E$1497, $A$1000:$A$1497="2014-02"), 0.05)</f>
        <v>-1.3513205758608782E-2</v>
      </c>
      <c r="E1022">
        <v>-1.4013696476512461E-2</v>
      </c>
      <c r="F1022">
        <f t="shared" si="36"/>
        <v>-1.8173067521894376E-2</v>
      </c>
      <c r="G1022">
        <f t="shared" si="37"/>
        <v>-2.9357276522889459E-2</v>
      </c>
    </row>
    <row r="1023" spans="1:7" x14ac:dyDescent="0.35">
      <c r="A1023" t="s">
        <v>64</v>
      </c>
      <c r="E1023">
        <v>2.3586063552928677E-3</v>
      </c>
      <c r="F1023">
        <f t="shared" si="36"/>
        <v>-1.8173111408739732E-2</v>
      </c>
      <c r="G1023">
        <f t="shared" si="37"/>
        <v>-2.9357276522889459E-2</v>
      </c>
    </row>
    <row r="1024" spans="1:7" x14ac:dyDescent="0.35">
      <c r="A1024" t="s">
        <v>64</v>
      </c>
      <c r="E1024">
        <v>8.2571971234196318E-5</v>
      </c>
      <c r="F1024">
        <f t="shared" si="36"/>
        <v>-1.8173155295585084E-2</v>
      </c>
      <c r="G1024">
        <f t="shared" si="37"/>
        <v>-2.9357276522889459E-2</v>
      </c>
    </row>
    <row r="1025" spans="1:7" x14ac:dyDescent="0.35">
      <c r="A1025" t="s">
        <v>64</v>
      </c>
      <c r="E1025">
        <v>1.6930558792832139E-2</v>
      </c>
      <c r="F1025">
        <f t="shared" si="36"/>
        <v>-1.817319918243044E-2</v>
      </c>
      <c r="G1025">
        <f t="shared" si="37"/>
        <v>-2.9357276522889459E-2</v>
      </c>
    </row>
    <row r="1026" spans="1:7" x14ac:dyDescent="0.35">
      <c r="A1026" t="s">
        <v>64</v>
      </c>
      <c r="E1026">
        <v>9.5244699533298029E-3</v>
      </c>
      <c r="F1026">
        <f t="shared" si="36"/>
        <v>-1.8173243069275792E-2</v>
      </c>
      <c r="G1026">
        <f t="shared" si="37"/>
        <v>-2.9357276522889459E-2</v>
      </c>
    </row>
    <row r="1027" spans="1:7" x14ac:dyDescent="0.35">
      <c r="A1027" t="s">
        <v>64</v>
      </c>
      <c r="E1027">
        <v>2.114512837626246E-3</v>
      </c>
      <c r="F1027">
        <f t="shared" si="36"/>
        <v>-1.8173286956121148E-2</v>
      </c>
      <c r="G1027">
        <f t="shared" si="37"/>
        <v>-2.9357276522889459E-2</v>
      </c>
    </row>
    <row r="1028" spans="1:7" x14ac:dyDescent="0.35">
      <c r="A1028" t="s">
        <v>64</v>
      </c>
      <c r="E1028">
        <v>1.0842256567688722E-2</v>
      </c>
      <c r="F1028">
        <f t="shared" ref="F1028:F1091" si="38">_xlfn.PERCENTILE.EXC(E1028:E4843,0.05)</f>
        <v>-1.81733308429665E-2</v>
      </c>
      <c r="G1028">
        <f t="shared" ref="G1028:G1091" si="39">AVERAGEIFS(E1028:E4844,E1028:E4844,"&lt;=" &amp; F1028)</f>
        <v>-2.9357276522889459E-2</v>
      </c>
    </row>
    <row r="1029" spans="1:7" x14ac:dyDescent="0.35">
      <c r="A1029" t="s">
        <v>64</v>
      </c>
      <c r="E1029">
        <v>5.164865326275689E-3</v>
      </c>
      <c r="F1029">
        <f t="shared" si="38"/>
        <v>-1.8173374729811856E-2</v>
      </c>
      <c r="G1029">
        <f t="shared" si="39"/>
        <v>-2.9357276522889459E-2</v>
      </c>
    </row>
    <row r="1030" spans="1:7" x14ac:dyDescent="0.35">
      <c r="A1030" t="s">
        <v>64</v>
      </c>
      <c r="E1030">
        <v>1.6940700012391546E-3</v>
      </c>
      <c r="F1030">
        <f t="shared" si="38"/>
        <v>-1.8173418616657208E-2</v>
      </c>
      <c r="G1030">
        <f t="shared" si="39"/>
        <v>-2.9357276522889459E-2</v>
      </c>
    </row>
    <row r="1031" spans="1:7" x14ac:dyDescent="0.35">
      <c r="A1031" t="s">
        <v>64</v>
      </c>
      <c r="E1031">
        <v>6.3192605012276611E-3</v>
      </c>
      <c r="F1031">
        <f t="shared" si="38"/>
        <v>-1.8173462503502564E-2</v>
      </c>
      <c r="G1031">
        <f t="shared" si="39"/>
        <v>-2.9357276522889459E-2</v>
      </c>
    </row>
    <row r="1032" spans="1:7" x14ac:dyDescent="0.35">
      <c r="A1032" t="s">
        <v>64</v>
      </c>
      <c r="E1032">
        <v>-1.1457805066847685E-3</v>
      </c>
      <c r="F1032">
        <f t="shared" si="38"/>
        <v>-1.817350639034792E-2</v>
      </c>
      <c r="G1032">
        <f t="shared" si="39"/>
        <v>-2.9357276522889459E-2</v>
      </c>
    </row>
    <row r="1033" spans="1:7" x14ac:dyDescent="0.35">
      <c r="A1033" t="s">
        <v>64</v>
      </c>
      <c r="E1033">
        <v>-1.0293242910781155E-3</v>
      </c>
      <c r="F1033">
        <f t="shared" si="38"/>
        <v>-1.8173550277193272E-2</v>
      </c>
      <c r="G1033">
        <f t="shared" si="39"/>
        <v>-2.9357276522889459E-2</v>
      </c>
    </row>
    <row r="1034" spans="1:7" x14ac:dyDescent="0.35">
      <c r="A1034" t="s">
        <v>64</v>
      </c>
      <c r="E1034">
        <v>2.3962713601232769E-3</v>
      </c>
      <c r="F1034">
        <f t="shared" si="38"/>
        <v>-1.8173594164038628E-2</v>
      </c>
      <c r="G1034">
        <f t="shared" si="39"/>
        <v>-2.9357276522889459E-2</v>
      </c>
    </row>
    <row r="1035" spans="1:7" x14ac:dyDescent="0.35">
      <c r="A1035" t="s">
        <v>64</v>
      </c>
      <c r="E1035">
        <v>3.3093461076114275E-3</v>
      </c>
      <c r="F1035">
        <f t="shared" si="38"/>
        <v>-1.817363805088398E-2</v>
      </c>
      <c r="G1035">
        <f t="shared" si="39"/>
        <v>-2.9357276522889459E-2</v>
      </c>
    </row>
    <row r="1036" spans="1:7" x14ac:dyDescent="0.35">
      <c r="A1036" t="s">
        <v>64</v>
      </c>
      <c r="E1036">
        <v>5.8535859147671107E-3</v>
      </c>
      <c r="F1036">
        <f t="shared" si="38"/>
        <v>-1.8173681937729336E-2</v>
      </c>
      <c r="G1036">
        <f t="shared" si="39"/>
        <v>-2.9357276522889459E-2</v>
      </c>
    </row>
    <row r="1037" spans="1:7" x14ac:dyDescent="0.35">
      <c r="A1037" t="s">
        <v>64</v>
      </c>
      <c r="E1037">
        <v>8.6521398950581106E-3</v>
      </c>
      <c r="F1037">
        <f t="shared" si="38"/>
        <v>-1.8173725824574688E-2</v>
      </c>
      <c r="G1037">
        <f t="shared" si="39"/>
        <v>-2.9357276522889459E-2</v>
      </c>
    </row>
    <row r="1038" spans="1:7" x14ac:dyDescent="0.35">
      <c r="A1038" t="s">
        <v>64</v>
      </c>
      <c r="E1038">
        <v>-1.0369405299682898E-3</v>
      </c>
      <c r="F1038">
        <f t="shared" si="38"/>
        <v>-1.8173769711420044E-2</v>
      </c>
      <c r="G1038">
        <f t="shared" si="39"/>
        <v>-2.9357276522889459E-2</v>
      </c>
    </row>
    <row r="1039" spans="1:7" x14ac:dyDescent="0.35">
      <c r="A1039" t="s">
        <v>64</v>
      </c>
      <c r="E1039">
        <v>-4.0038821184388953E-3</v>
      </c>
      <c r="F1039">
        <f t="shared" si="38"/>
        <v>-1.8173813598265396E-2</v>
      </c>
      <c r="G1039">
        <f t="shared" si="39"/>
        <v>-2.9357276522889459E-2</v>
      </c>
    </row>
    <row r="1040" spans="1:7" x14ac:dyDescent="0.35">
      <c r="A1040" t="s">
        <v>64</v>
      </c>
      <c r="E1040">
        <v>-1.1827186621764756E-4</v>
      </c>
      <c r="F1040">
        <f t="shared" si="38"/>
        <v>-1.8173857485110752E-2</v>
      </c>
      <c r="G1040">
        <f t="shared" si="39"/>
        <v>-2.9357276522889459E-2</v>
      </c>
    </row>
    <row r="1041" spans="1:7" x14ac:dyDescent="0.35">
      <c r="A1041" t="s">
        <v>64</v>
      </c>
      <c r="E1041">
        <v>2.6554708845302334E-3</v>
      </c>
      <c r="F1041">
        <f t="shared" si="38"/>
        <v>-1.8174656954687958E-2</v>
      </c>
      <c r="G1041">
        <f t="shared" si="39"/>
        <v>-2.9438315791279156E-2</v>
      </c>
    </row>
    <row r="1042" spans="1:7" x14ac:dyDescent="0.35">
      <c r="A1042" t="s">
        <v>65</v>
      </c>
      <c r="B1042" s="3" cm="1">
        <f t="array" ref="B1042">_xlfn.STDEV.S(_xlfn._xlws.FILTER($E$1000:$E$1998, $A$1000:$A$1998="2014-03"))</f>
        <v>1.1677473675064274E-2</v>
      </c>
      <c r="C1042" s="3" cm="1">
        <f t="array" ref="C1042">AVERAGE(_xlfn._xlws.FILTER($E$1000:$E$1998, $A$1000:$A$1998="2014-03"))</f>
        <v>-1.7944600624843898E-4</v>
      </c>
      <c r="D1042" s="3" cm="1">
        <f t="array" ref="D1042">_xlfn.PERCENTILE.EXC(_xlfn._xlws.FILTER($E$1000:$E$1497, $A$1000:$A$1497="2014-03"), 0.05)</f>
        <v>-2.5623609343980495E-2</v>
      </c>
      <c r="E1042">
        <v>-2.6949710924102376E-2</v>
      </c>
      <c r="F1042">
        <f t="shared" si="38"/>
        <v>-1.8175456424265164E-2</v>
      </c>
      <c r="G1042">
        <f t="shared" si="39"/>
        <v>-2.9438315791279156E-2</v>
      </c>
    </row>
    <row r="1043" spans="1:7" x14ac:dyDescent="0.35">
      <c r="A1043" t="s">
        <v>65</v>
      </c>
      <c r="E1043">
        <v>2.4182778747802197E-2</v>
      </c>
      <c r="F1043">
        <f t="shared" si="38"/>
        <v>-1.8173111408739732E-2</v>
      </c>
      <c r="G1043">
        <f t="shared" si="39"/>
        <v>-2.93747226504169E-2</v>
      </c>
    </row>
    <row r="1044" spans="1:7" x14ac:dyDescent="0.35">
      <c r="A1044" t="s">
        <v>65</v>
      </c>
      <c r="E1044">
        <v>-1.0583637320522657E-3</v>
      </c>
      <c r="F1044">
        <f t="shared" si="38"/>
        <v>-1.8173155295585084E-2</v>
      </c>
      <c r="G1044">
        <f t="shared" si="39"/>
        <v>-2.93747226504169E-2</v>
      </c>
    </row>
    <row r="1045" spans="1:7" x14ac:dyDescent="0.35">
      <c r="A1045" t="s">
        <v>65</v>
      </c>
      <c r="E1045">
        <v>5.855863895792973E-3</v>
      </c>
      <c r="F1045">
        <f t="shared" si="38"/>
        <v>-1.817319918243044E-2</v>
      </c>
      <c r="G1045">
        <f t="shared" si="39"/>
        <v>-2.93747226504169E-2</v>
      </c>
    </row>
    <row r="1046" spans="1:7" x14ac:dyDescent="0.35">
      <c r="A1046" t="s">
        <v>65</v>
      </c>
      <c r="E1046">
        <v>-1.1526337099853075E-2</v>
      </c>
      <c r="F1046">
        <f t="shared" si="38"/>
        <v>-1.8173243069275792E-2</v>
      </c>
      <c r="G1046">
        <f t="shared" si="39"/>
        <v>-2.93747226504169E-2</v>
      </c>
    </row>
    <row r="1047" spans="1:7" x14ac:dyDescent="0.35">
      <c r="A1047" t="s">
        <v>65</v>
      </c>
      <c r="E1047">
        <v>1.0117589214574841E-3</v>
      </c>
      <c r="F1047">
        <f t="shared" si="38"/>
        <v>-1.8173286956121148E-2</v>
      </c>
      <c r="G1047">
        <f t="shared" si="39"/>
        <v>-2.93747226504169E-2</v>
      </c>
    </row>
    <row r="1048" spans="1:7" x14ac:dyDescent="0.35">
      <c r="A1048" t="s">
        <v>65</v>
      </c>
      <c r="E1048">
        <v>-4.8437351024931095E-3</v>
      </c>
      <c r="F1048">
        <f t="shared" si="38"/>
        <v>-1.81733308429665E-2</v>
      </c>
      <c r="G1048">
        <f t="shared" si="39"/>
        <v>-2.93747226504169E-2</v>
      </c>
    </row>
    <row r="1049" spans="1:7" x14ac:dyDescent="0.35">
      <c r="A1049" t="s">
        <v>65</v>
      </c>
      <c r="E1049">
        <v>-1.0041697229572906E-2</v>
      </c>
      <c r="F1049">
        <f t="shared" si="38"/>
        <v>-1.8173374729811856E-2</v>
      </c>
      <c r="G1049">
        <f t="shared" si="39"/>
        <v>-2.93747226504169E-2</v>
      </c>
    </row>
    <row r="1050" spans="1:7" x14ac:dyDescent="0.35">
      <c r="A1050" t="s">
        <v>65</v>
      </c>
      <c r="E1050">
        <v>-1.3030802246329661E-2</v>
      </c>
      <c r="F1050">
        <f t="shared" si="38"/>
        <v>-1.8173418616657208E-2</v>
      </c>
      <c r="G1050">
        <f t="shared" si="39"/>
        <v>-2.93747226504169E-2</v>
      </c>
    </row>
    <row r="1051" spans="1:7" x14ac:dyDescent="0.35">
      <c r="A1051" t="s">
        <v>65</v>
      </c>
      <c r="E1051">
        <v>-8.0644074377877427E-3</v>
      </c>
      <c r="F1051">
        <f t="shared" si="38"/>
        <v>-1.8173462503502564E-2</v>
      </c>
      <c r="G1051">
        <f t="shared" si="39"/>
        <v>-2.93747226504169E-2</v>
      </c>
    </row>
    <row r="1052" spans="1:7" x14ac:dyDescent="0.35">
      <c r="A1052" t="s">
        <v>65</v>
      </c>
      <c r="E1052">
        <v>1.309817001906406E-2</v>
      </c>
      <c r="F1052">
        <f t="shared" si="38"/>
        <v>-1.817350639034792E-2</v>
      </c>
      <c r="G1052">
        <f t="shared" si="39"/>
        <v>-2.93747226504169E-2</v>
      </c>
    </row>
    <row r="1053" spans="1:7" x14ac:dyDescent="0.35">
      <c r="A1053" t="s">
        <v>65</v>
      </c>
      <c r="E1053">
        <v>9.6212603963442018E-3</v>
      </c>
      <c r="F1053">
        <f t="shared" si="38"/>
        <v>-1.8173550277193272E-2</v>
      </c>
      <c r="G1053">
        <f t="shared" si="39"/>
        <v>-2.93747226504169E-2</v>
      </c>
    </row>
    <row r="1054" spans="1:7" x14ac:dyDescent="0.35">
      <c r="A1054" t="s">
        <v>65</v>
      </c>
      <c r="E1054">
        <v>-1.2063119407657772E-3</v>
      </c>
      <c r="F1054">
        <f t="shared" si="38"/>
        <v>-1.8173594164038628E-2</v>
      </c>
      <c r="G1054">
        <f t="shared" si="39"/>
        <v>-2.93747226504169E-2</v>
      </c>
    </row>
    <row r="1055" spans="1:7" x14ac:dyDescent="0.35">
      <c r="A1055" t="s">
        <v>65</v>
      </c>
      <c r="E1055">
        <v>4.5970597298095415E-3</v>
      </c>
      <c r="F1055">
        <f t="shared" si="38"/>
        <v>-1.817363805088398E-2</v>
      </c>
      <c r="G1055">
        <f t="shared" si="39"/>
        <v>-2.93747226504169E-2</v>
      </c>
    </row>
    <row r="1056" spans="1:7" x14ac:dyDescent="0.35">
      <c r="A1056" t="s">
        <v>65</v>
      </c>
      <c r="E1056">
        <v>1.7014521851594269E-3</v>
      </c>
      <c r="F1056">
        <f t="shared" si="38"/>
        <v>-1.8173681937729336E-2</v>
      </c>
      <c r="G1056">
        <f t="shared" si="39"/>
        <v>-2.93747226504169E-2</v>
      </c>
    </row>
    <row r="1057" spans="1:7" x14ac:dyDescent="0.35">
      <c r="A1057" t="s">
        <v>65</v>
      </c>
      <c r="E1057">
        <v>-1.3688695122883577E-2</v>
      </c>
      <c r="F1057">
        <f t="shared" si="38"/>
        <v>-1.8173725824574688E-2</v>
      </c>
      <c r="G1057">
        <f t="shared" si="39"/>
        <v>-2.93747226504169E-2</v>
      </c>
    </row>
    <row r="1058" spans="1:7" x14ac:dyDescent="0.35">
      <c r="A1058" t="s">
        <v>65</v>
      </c>
      <c r="E1058">
        <v>1.5725702993640713E-2</v>
      </c>
      <c r="F1058">
        <f t="shared" si="38"/>
        <v>-1.8173769711420044E-2</v>
      </c>
      <c r="G1058">
        <f t="shared" si="39"/>
        <v>-2.93747226504169E-2</v>
      </c>
    </row>
    <row r="1059" spans="1:7" x14ac:dyDescent="0.35">
      <c r="A1059" t="s">
        <v>65</v>
      </c>
      <c r="E1059">
        <v>9.4006262052554971E-3</v>
      </c>
      <c r="F1059">
        <f t="shared" si="38"/>
        <v>-1.8173813598265396E-2</v>
      </c>
      <c r="G1059">
        <f t="shared" si="39"/>
        <v>-2.93747226504169E-2</v>
      </c>
    </row>
    <row r="1060" spans="1:7" x14ac:dyDescent="0.35">
      <c r="A1060" t="s">
        <v>65</v>
      </c>
      <c r="E1060">
        <v>-1.3897432809523887E-3</v>
      </c>
      <c r="F1060">
        <f t="shared" si="38"/>
        <v>-1.8173857485110752E-2</v>
      </c>
      <c r="G1060">
        <f t="shared" si="39"/>
        <v>-2.93747226504169E-2</v>
      </c>
    </row>
    <row r="1061" spans="1:7" x14ac:dyDescent="0.35">
      <c r="A1061" t="s">
        <v>65</v>
      </c>
      <c r="E1061">
        <v>7.3262734521298174E-3</v>
      </c>
      <c r="F1061">
        <f t="shared" si="38"/>
        <v>-1.8174656954687958E-2</v>
      </c>
      <c r="G1061">
        <f t="shared" si="39"/>
        <v>-2.9456480790309648E-2</v>
      </c>
    </row>
    <row r="1062" spans="1:7" x14ac:dyDescent="0.35">
      <c r="A1062" t="s">
        <v>65</v>
      </c>
      <c r="E1062">
        <v>-4.489508560880256E-3</v>
      </c>
      <c r="F1062">
        <f t="shared" si="38"/>
        <v>-1.8175456424265164E-2</v>
      </c>
      <c r="G1062">
        <f t="shared" si="39"/>
        <v>-2.9456480790309648E-2</v>
      </c>
    </row>
    <row r="1063" spans="1:7" x14ac:dyDescent="0.35">
      <c r="A1063" t="s">
        <v>66</v>
      </c>
      <c r="B1063" s="3" cm="1">
        <f t="array" ref="B1063">_xlfn.STDEV.S(_xlfn._xlws.FILTER($E$1000:$E$1998, $A$1000:$A$1998="2014-04"))</f>
        <v>7.7246949296255942E-3</v>
      </c>
      <c r="C1063" s="3" cm="1">
        <f t="array" ref="C1063">AVERAGE(_xlfn._xlws.FILTER($E$1000:$E$1998, $A$1000:$A$1998="2014-04"))</f>
        <v>1.0800193302053101E-3</v>
      </c>
      <c r="D1063" s="3" cm="1">
        <f t="array" ref="D1063">_xlfn.PERCENTILE.EXC(_xlfn._xlws.FILTER($E$1000:$E$1497, $A$1000:$A$1497="2014-04"), 0.05)</f>
        <v>-1.0866228218783172E-2</v>
      </c>
      <c r="E1063">
        <v>7.9880491253353746E-3</v>
      </c>
      <c r="F1063">
        <f t="shared" si="38"/>
        <v>-1.8176255893842374E-2</v>
      </c>
      <c r="G1063">
        <f t="shared" si="39"/>
        <v>-2.9456480790309648E-2</v>
      </c>
    </row>
    <row r="1064" spans="1:7" x14ac:dyDescent="0.35">
      <c r="A1064" t="s">
        <v>66</v>
      </c>
      <c r="E1064">
        <v>9.3479264121203067E-4</v>
      </c>
      <c r="F1064">
        <f t="shared" si="38"/>
        <v>-1.817705536341958E-2</v>
      </c>
      <c r="G1064">
        <f t="shared" si="39"/>
        <v>-2.9456480790309648E-2</v>
      </c>
    </row>
    <row r="1065" spans="1:7" x14ac:dyDescent="0.35">
      <c r="A1065" t="s">
        <v>66</v>
      </c>
      <c r="E1065">
        <v>4.1598269032483998E-3</v>
      </c>
      <c r="F1065">
        <f t="shared" si="38"/>
        <v>-1.8177854832996786E-2</v>
      </c>
      <c r="G1065">
        <f t="shared" si="39"/>
        <v>-2.9456480790309648E-2</v>
      </c>
    </row>
    <row r="1066" spans="1:7" x14ac:dyDescent="0.35">
      <c r="A1066" t="s">
        <v>66</v>
      </c>
      <c r="E1066">
        <v>7.8846329839306652E-3</v>
      </c>
      <c r="F1066">
        <f t="shared" si="38"/>
        <v>-1.8178654302573993E-2</v>
      </c>
      <c r="G1066">
        <f t="shared" si="39"/>
        <v>-2.9456480790309648E-2</v>
      </c>
    </row>
    <row r="1067" spans="1:7" x14ac:dyDescent="0.35">
      <c r="A1067" t="s">
        <v>66</v>
      </c>
      <c r="E1067">
        <v>-1.0867052438152645E-2</v>
      </c>
      <c r="F1067">
        <f t="shared" si="38"/>
        <v>-1.8179453772151202E-2</v>
      </c>
      <c r="G1067">
        <f t="shared" si="39"/>
        <v>-2.9456480790309648E-2</v>
      </c>
    </row>
    <row r="1068" spans="1:7" x14ac:dyDescent="0.35">
      <c r="A1068" t="s">
        <v>66</v>
      </c>
      <c r="E1068">
        <v>-2.5392439478053516E-3</v>
      </c>
      <c r="F1068">
        <f t="shared" si="38"/>
        <v>-1.8180253241728409E-2</v>
      </c>
      <c r="G1068">
        <f t="shared" si="39"/>
        <v>-2.9456480790309648E-2</v>
      </c>
    </row>
    <row r="1069" spans="1:7" x14ac:dyDescent="0.35">
      <c r="A1069" t="s">
        <v>66</v>
      </c>
      <c r="E1069">
        <v>4.0259383095504258E-3</v>
      </c>
      <c r="F1069">
        <f t="shared" si="38"/>
        <v>-1.8181052711305615E-2</v>
      </c>
      <c r="G1069">
        <f t="shared" si="39"/>
        <v>-2.9456480790309648E-2</v>
      </c>
    </row>
    <row r="1070" spans="1:7" x14ac:dyDescent="0.35">
      <c r="A1070" t="s">
        <v>66</v>
      </c>
      <c r="E1070">
        <v>-6.5920382522318809E-3</v>
      </c>
      <c r="F1070">
        <f t="shared" si="38"/>
        <v>-1.8181852180882821E-2</v>
      </c>
      <c r="G1070">
        <f t="shared" si="39"/>
        <v>-2.9456480790309648E-2</v>
      </c>
    </row>
    <row r="1071" spans="1:7" x14ac:dyDescent="0.35">
      <c r="A1071" t="s">
        <v>66</v>
      </c>
      <c r="E1071">
        <v>-1.0850568050763187E-2</v>
      </c>
      <c r="F1071">
        <f t="shared" si="38"/>
        <v>-1.8182651650460031E-2</v>
      </c>
      <c r="G1071">
        <f t="shared" si="39"/>
        <v>-2.9456480790309648E-2</v>
      </c>
    </row>
    <row r="1072" spans="1:7" x14ac:dyDescent="0.35">
      <c r="A1072" t="s">
        <v>66</v>
      </c>
      <c r="E1072">
        <v>4.2740870649284248E-3</v>
      </c>
      <c r="F1072">
        <f t="shared" si="38"/>
        <v>-1.8183451120037237E-2</v>
      </c>
      <c r="G1072">
        <f t="shared" si="39"/>
        <v>-2.9456480790309648E-2</v>
      </c>
    </row>
    <row r="1073" spans="1:7" x14ac:dyDescent="0.35">
      <c r="A1073" t="s">
        <v>66</v>
      </c>
      <c r="E1073">
        <v>-8.9829708820653234E-3</v>
      </c>
      <c r="F1073">
        <f t="shared" si="38"/>
        <v>-1.8184250589614443E-2</v>
      </c>
      <c r="G1073">
        <f t="shared" si="39"/>
        <v>-2.9456480790309648E-2</v>
      </c>
    </row>
    <row r="1074" spans="1:7" x14ac:dyDescent="0.35">
      <c r="A1074" t="s">
        <v>66</v>
      </c>
      <c r="E1074">
        <v>1.37837700714998E-2</v>
      </c>
      <c r="F1074">
        <f t="shared" si="38"/>
        <v>-1.8185050059191649E-2</v>
      </c>
      <c r="G1074">
        <f t="shared" si="39"/>
        <v>-2.9456480790309648E-2</v>
      </c>
    </row>
    <row r="1075" spans="1:7" x14ac:dyDescent="0.35">
      <c r="A1075" t="s">
        <v>66</v>
      </c>
      <c r="E1075">
        <v>5.918000586213828E-3</v>
      </c>
      <c r="F1075">
        <f t="shared" si="38"/>
        <v>-1.8185849528768859E-2</v>
      </c>
      <c r="G1075">
        <f t="shared" si="39"/>
        <v>-2.9456480790309648E-2</v>
      </c>
    </row>
    <row r="1076" spans="1:7" x14ac:dyDescent="0.35">
      <c r="A1076" t="s">
        <v>66</v>
      </c>
      <c r="E1076">
        <v>1.1754258807995186E-2</v>
      </c>
      <c r="F1076">
        <f t="shared" si="38"/>
        <v>-1.8186648998346065E-2</v>
      </c>
      <c r="G1076">
        <f t="shared" si="39"/>
        <v>-2.9456480790309648E-2</v>
      </c>
    </row>
    <row r="1077" spans="1:7" x14ac:dyDescent="0.35">
      <c r="A1077" t="s">
        <v>66</v>
      </c>
      <c r="E1077">
        <v>-7.415573936631047E-3</v>
      </c>
      <c r="F1077">
        <f t="shared" si="38"/>
        <v>-1.8187448467923271E-2</v>
      </c>
      <c r="G1077">
        <f t="shared" si="39"/>
        <v>-2.9456480790309648E-2</v>
      </c>
    </row>
    <row r="1078" spans="1:7" x14ac:dyDescent="0.35">
      <c r="A1078" t="s">
        <v>66</v>
      </c>
      <c r="E1078">
        <v>6.3735992223602454E-3</v>
      </c>
      <c r="F1078">
        <f t="shared" si="38"/>
        <v>-1.8188247937500481E-2</v>
      </c>
      <c r="G1078">
        <f t="shared" si="39"/>
        <v>-2.9456480790309648E-2</v>
      </c>
    </row>
    <row r="1079" spans="1:7" x14ac:dyDescent="0.35">
      <c r="A1079" t="s">
        <v>66</v>
      </c>
      <c r="E1079">
        <v>-8.0487525982756523E-3</v>
      </c>
      <c r="F1079">
        <f t="shared" si="38"/>
        <v>-1.8189047407077687E-2</v>
      </c>
      <c r="G1079">
        <f t="shared" si="39"/>
        <v>-2.9456480790309648E-2</v>
      </c>
    </row>
    <row r="1080" spans="1:7" x14ac:dyDescent="0.35">
      <c r="A1080" t="s">
        <v>66</v>
      </c>
      <c r="E1080">
        <v>3.7959830670957796E-3</v>
      </c>
      <c r="F1080">
        <f t="shared" si="38"/>
        <v>-1.8189846876654894E-2</v>
      </c>
      <c r="G1080">
        <f t="shared" si="39"/>
        <v>-2.9456480790309648E-2</v>
      </c>
    </row>
    <row r="1081" spans="1:7" x14ac:dyDescent="0.35">
      <c r="A1081" t="s">
        <v>66</v>
      </c>
      <c r="E1081">
        <v>8.2941152237774977E-3</v>
      </c>
      <c r="F1081">
        <f t="shared" si="38"/>
        <v>-1.8191197715037008E-2</v>
      </c>
      <c r="G1081">
        <f t="shared" si="39"/>
        <v>-2.9539323686733582E-2</v>
      </c>
    </row>
    <row r="1082" spans="1:7" x14ac:dyDescent="0.35">
      <c r="A1082" t="s">
        <v>66</v>
      </c>
      <c r="E1082">
        <v>-2.2904672971163723E-3</v>
      </c>
      <c r="F1082">
        <f t="shared" si="38"/>
        <v>-1.8192548553419126E-2</v>
      </c>
      <c r="G1082">
        <f t="shared" si="39"/>
        <v>-2.9539323686733582E-2</v>
      </c>
    </row>
    <row r="1083" spans="1:7" x14ac:dyDescent="0.35">
      <c r="A1083" t="s">
        <v>67</v>
      </c>
      <c r="B1083" s="3" cm="1">
        <f t="array" ref="B1083">_xlfn.STDEV.S(_xlfn._xlws.FILTER($E$1000:$E$1998, $A$1000:$A$1998="2014-05"))</f>
        <v>5.9714096001689618E-3</v>
      </c>
      <c r="C1083" s="3" cm="1">
        <f t="array" ref="C1083">AVERAGE(_xlfn._xlws.FILTER($E$1000:$E$1998, $A$1000:$A$1998="2014-05"))</f>
        <v>3.7608503138047386E-4</v>
      </c>
      <c r="D1083" s="3" cm="1">
        <f t="array" ref="D1083">_xlfn.PERCENTILE.EXC(_xlfn._xlws.FILTER($E$1000:$E$1497, $A$1000:$A$1497="2014-05"), 0.05)</f>
        <v>-1.2544360374955973E-2</v>
      </c>
      <c r="E1083">
        <v>-6.532873050296221E-3</v>
      </c>
      <c r="F1083">
        <f t="shared" si="38"/>
        <v>-1.8193899391801244E-2</v>
      </c>
      <c r="G1083">
        <f t="shared" si="39"/>
        <v>-2.9539323686733582E-2</v>
      </c>
    </row>
    <row r="1084" spans="1:7" x14ac:dyDescent="0.35">
      <c r="A1084" t="s">
        <v>67</v>
      </c>
      <c r="E1084">
        <v>-6.7745447159893238E-3</v>
      </c>
      <c r="F1084">
        <f t="shared" si="38"/>
        <v>-1.8195250230183358E-2</v>
      </c>
      <c r="G1084">
        <f t="shared" si="39"/>
        <v>-2.9539323686733582E-2</v>
      </c>
    </row>
    <row r="1085" spans="1:7" x14ac:dyDescent="0.35">
      <c r="A1085" t="s">
        <v>67</v>
      </c>
      <c r="E1085">
        <v>4.1399527945238448E-3</v>
      </c>
      <c r="F1085">
        <f t="shared" si="38"/>
        <v>-1.8196601068565476E-2</v>
      </c>
      <c r="G1085">
        <f t="shared" si="39"/>
        <v>-2.9539323686733582E-2</v>
      </c>
    </row>
    <row r="1086" spans="1:7" x14ac:dyDescent="0.35">
      <c r="A1086" t="s">
        <v>67</v>
      </c>
      <c r="E1086">
        <v>1.3581216782597464E-2</v>
      </c>
      <c r="F1086">
        <f t="shared" si="38"/>
        <v>-1.819795190694759E-2</v>
      </c>
      <c r="G1086">
        <f t="shared" si="39"/>
        <v>-2.9539323686733582E-2</v>
      </c>
    </row>
    <row r="1087" spans="1:7" x14ac:dyDescent="0.35">
      <c r="A1087" t="s">
        <v>67</v>
      </c>
      <c r="E1087">
        <v>-6.669273606086836E-3</v>
      </c>
      <c r="F1087">
        <f t="shared" si="38"/>
        <v>-1.8199302745329708E-2</v>
      </c>
      <c r="G1087">
        <f t="shared" si="39"/>
        <v>-2.9539323686733582E-2</v>
      </c>
    </row>
    <row r="1088" spans="1:7" x14ac:dyDescent="0.35">
      <c r="A1088" t="s">
        <v>67</v>
      </c>
      <c r="E1088">
        <v>3.6495699263786761E-3</v>
      </c>
      <c r="F1088">
        <f t="shared" si="38"/>
        <v>-1.8200653583711823E-2</v>
      </c>
      <c r="G1088">
        <f t="shared" si="39"/>
        <v>-2.9539323686733582E-2</v>
      </c>
    </row>
    <row r="1089" spans="1:7" x14ac:dyDescent="0.35">
      <c r="A1089" t="s">
        <v>67</v>
      </c>
      <c r="E1089">
        <v>2.52704145183166E-3</v>
      </c>
      <c r="F1089">
        <f t="shared" si="38"/>
        <v>-1.820200442209394E-2</v>
      </c>
      <c r="G1089">
        <f t="shared" si="39"/>
        <v>-2.9539323686733582E-2</v>
      </c>
    </row>
    <row r="1090" spans="1:7" x14ac:dyDescent="0.35">
      <c r="A1090" t="s">
        <v>67</v>
      </c>
      <c r="E1090">
        <v>-8.838493767741114E-4</v>
      </c>
      <c r="F1090">
        <f t="shared" si="38"/>
        <v>-1.8203355260476055E-2</v>
      </c>
      <c r="G1090">
        <f t="shared" si="39"/>
        <v>-2.9539323686733582E-2</v>
      </c>
    </row>
    <row r="1091" spans="1:7" x14ac:dyDescent="0.35">
      <c r="A1091" t="s">
        <v>67</v>
      </c>
      <c r="E1091">
        <v>-1.2544360374955973E-2</v>
      </c>
      <c r="F1091">
        <f t="shared" si="38"/>
        <v>-1.8204706098858173E-2</v>
      </c>
      <c r="G1091">
        <f t="shared" si="39"/>
        <v>-2.9539323686733582E-2</v>
      </c>
    </row>
    <row r="1092" spans="1:7" x14ac:dyDescent="0.35">
      <c r="A1092" t="s">
        <v>67</v>
      </c>
      <c r="E1092">
        <v>2.5502164652500842E-3</v>
      </c>
      <c r="F1092">
        <f t="shared" ref="F1092:F1155" si="40">_xlfn.PERCENTILE.EXC(E1092:E4907,0.05)</f>
        <v>-1.8206056937240291E-2</v>
      </c>
      <c r="G1092">
        <f t="shared" ref="G1092:G1155" si="41">AVERAGEIFS(E1092:E4908,E1092:E4908,"&lt;=" &amp; F1092)</f>
        <v>-2.9539323686733582E-2</v>
      </c>
    </row>
    <row r="1093" spans="1:7" x14ac:dyDescent="0.35">
      <c r="A1093" t="s">
        <v>67</v>
      </c>
      <c r="E1093">
        <v>3.0203786332610996E-3</v>
      </c>
      <c r="F1093">
        <f t="shared" si="40"/>
        <v>-1.8207407775622405E-2</v>
      </c>
      <c r="G1093">
        <f t="shared" si="41"/>
        <v>-2.9539323686733582E-2</v>
      </c>
    </row>
    <row r="1094" spans="1:7" x14ac:dyDescent="0.35">
      <c r="A1094" t="s">
        <v>67</v>
      </c>
      <c r="E1094">
        <v>-3.9026692334853978E-3</v>
      </c>
      <c r="F1094">
        <f t="shared" si="40"/>
        <v>-1.8208758614004523E-2</v>
      </c>
      <c r="G1094">
        <f t="shared" si="41"/>
        <v>-2.9539323686733582E-2</v>
      </c>
    </row>
    <row r="1095" spans="1:7" x14ac:dyDescent="0.35">
      <c r="A1095" t="s">
        <v>67</v>
      </c>
      <c r="E1095">
        <v>3.7393361645523581E-3</v>
      </c>
      <c r="F1095">
        <f t="shared" si="40"/>
        <v>-1.8210109452386637E-2</v>
      </c>
      <c r="G1095">
        <f t="shared" si="41"/>
        <v>-2.9539323686733582E-2</v>
      </c>
    </row>
    <row r="1096" spans="1:7" x14ac:dyDescent="0.35">
      <c r="A1096" t="s">
        <v>67</v>
      </c>
      <c r="E1096">
        <v>2.0520301727199697E-3</v>
      </c>
      <c r="F1096">
        <f t="shared" si="40"/>
        <v>-1.8211460290768755E-2</v>
      </c>
      <c r="G1096">
        <f t="shared" si="41"/>
        <v>-2.9539323686733582E-2</v>
      </c>
    </row>
    <row r="1097" spans="1:7" x14ac:dyDescent="0.35">
      <c r="A1097" t="s">
        <v>67</v>
      </c>
      <c r="E1097">
        <v>3.3306017840478951E-3</v>
      </c>
      <c r="F1097">
        <f t="shared" si="40"/>
        <v>-1.8212811129150869E-2</v>
      </c>
      <c r="G1097">
        <f t="shared" si="41"/>
        <v>-2.9539323686733582E-2</v>
      </c>
    </row>
    <row r="1098" spans="1:7" x14ac:dyDescent="0.35">
      <c r="A1098" t="s">
        <v>67</v>
      </c>
      <c r="E1098">
        <v>8.112735537363221E-3</v>
      </c>
      <c r="F1098">
        <f t="shared" si="40"/>
        <v>-1.8214161967532987E-2</v>
      </c>
      <c r="G1098">
        <f t="shared" si="41"/>
        <v>-2.9539323686733582E-2</v>
      </c>
    </row>
    <row r="1099" spans="1:7" x14ac:dyDescent="0.35">
      <c r="A1099" t="s">
        <v>67</v>
      </c>
      <c r="E1099">
        <v>4.1494783950687481E-4</v>
      </c>
      <c r="F1099">
        <f t="shared" si="40"/>
        <v>-1.8215512805915102E-2</v>
      </c>
      <c r="G1099">
        <f t="shared" si="41"/>
        <v>-2.9539323686733582E-2</v>
      </c>
    </row>
    <row r="1100" spans="1:7" x14ac:dyDescent="0.35">
      <c r="A1100" t="s">
        <v>67</v>
      </c>
      <c r="E1100">
        <v>-2.4718223415278503E-4</v>
      </c>
      <c r="F1100">
        <f t="shared" si="40"/>
        <v>-1.821686364429722E-2</v>
      </c>
      <c r="G1100">
        <f t="shared" si="41"/>
        <v>-2.9539323686733582E-2</v>
      </c>
    </row>
    <row r="1101" spans="1:7" x14ac:dyDescent="0.35">
      <c r="A1101" t="s">
        <v>67</v>
      </c>
      <c r="E1101">
        <v>-2.4176593640634968E-3</v>
      </c>
      <c r="F1101">
        <f t="shared" si="40"/>
        <v>-1.8220883630901675E-2</v>
      </c>
      <c r="G1101">
        <f t="shared" si="41"/>
        <v>-2.9623193761121991E-2</v>
      </c>
    </row>
    <row r="1102" spans="1:7" x14ac:dyDescent="0.35">
      <c r="A1102" t="s">
        <v>68</v>
      </c>
      <c r="B1102" s="3" cm="1">
        <f t="array" ref="B1102">_xlfn.STDEV.S(_xlfn._xlws.FILTER($E$1000:$E$1998, $A$1000:$A$1998="2014-06"))</f>
        <v>5.6045914560435631E-3</v>
      </c>
      <c r="C1102" s="3" cm="1">
        <f t="array" ref="C1102">AVERAGE(_xlfn._xlws.FILTER($E$1000:$E$1998, $A$1000:$A$1998="2014-06"))</f>
        <v>-1.0302301374124417E-3</v>
      </c>
      <c r="D1102" s="3" cm="1">
        <f t="array" ref="D1102">_xlfn.PERCENTILE.EXC(_xlfn._xlws.FILTER($E$1000:$E$1497, $A$1000:$A$1497="2014-06"), 0.05)</f>
        <v>-1.2447152868096664E-2</v>
      </c>
      <c r="E1102">
        <v>-8.1456842340718236E-4</v>
      </c>
      <c r="F1102">
        <f t="shared" si="40"/>
        <v>-1.822490361750613E-2</v>
      </c>
      <c r="G1102">
        <f t="shared" si="41"/>
        <v>-2.9623193761121991E-2</v>
      </c>
    </row>
    <row r="1103" spans="1:7" x14ac:dyDescent="0.35">
      <c r="A1103" t="s">
        <v>68</v>
      </c>
      <c r="E1103">
        <v>-2.7052273920129231E-3</v>
      </c>
      <c r="F1103">
        <f t="shared" si="40"/>
        <v>-1.8228923604110589E-2</v>
      </c>
      <c r="G1103">
        <f t="shared" si="41"/>
        <v>-2.9623193761121991E-2</v>
      </c>
    </row>
    <row r="1104" spans="1:7" x14ac:dyDescent="0.35">
      <c r="A1104" t="s">
        <v>68</v>
      </c>
      <c r="E1104">
        <v>-5.9746644915476053E-4</v>
      </c>
      <c r="F1104">
        <f t="shared" si="40"/>
        <v>-1.8232943590715044E-2</v>
      </c>
      <c r="G1104">
        <f t="shared" si="41"/>
        <v>-2.9623193761121991E-2</v>
      </c>
    </row>
    <row r="1105" spans="1:7" x14ac:dyDescent="0.35">
      <c r="A1105" t="s">
        <v>68</v>
      </c>
      <c r="E1105">
        <v>1.0548478811459639E-2</v>
      </c>
      <c r="F1105">
        <f t="shared" si="40"/>
        <v>-1.82369635773195E-2</v>
      </c>
      <c r="G1105">
        <f t="shared" si="41"/>
        <v>-2.9623193761121991E-2</v>
      </c>
    </row>
    <row r="1106" spans="1:7" x14ac:dyDescent="0.35">
      <c r="A1106" t="s">
        <v>68</v>
      </c>
      <c r="E1106">
        <v>7.0954365931592423E-3</v>
      </c>
      <c r="F1106">
        <f t="shared" si="40"/>
        <v>-1.8240983563923955E-2</v>
      </c>
      <c r="G1106">
        <f t="shared" si="41"/>
        <v>-2.9623193761121991E-2</v>
      </c>
    </row>
    <row r="1107" spans="1:7" x14ac:dyDescent="0.35">
      <c r="A1107" t="s">
        <v>68</v>
      </c>
      <c r="E1107">
        <v>1.7447748432957654E-3</v>
      </c>
      <c r="F1107">
        <f t="shared" si="40"/>
        <v>-1.824500355052841E-2</v>
      </c>
      <c r="G1107">
        <f t="shared" si="41"/>
        <v>-2.9623193761121991E-2</v>
      </c>
    </row>
    <row r="1108" spans="1:7" x14ac:dyDescent="0.35">
      <c r="A1108" t="s">
        <v>68</v>
      </c>
      <c r="E1108">
        <v>1.2804712489400427E-3</v>
      </c>
      <c r="F1108">
        <f t="shared" si="40"/>
        <v>-1.8249023537132869E-2</v>
      </c>
      <c r="G1108">
        <f t="shared" si="41"/>
        <v>-2.9623193761121991E-2</v>
      </c>
    </row>
    <row r="1109" spans="1:7" x14ac:dyDescent="0.35">
      <c r="A1109" t="s">
        <v>68</v>
      </c>
      <c r="E1109">
        <v>-8.7190761008197649E-3</v>
      </c>
      <c r="F1109">
        <f t="shared" si="40"/>
        <v>-1.8253043523737324E-2</v>
      </c>
      <c r="G1109">
        <f t="shared" si="41"/>
        <v>-2.9623193761121991E-2</v>
      </c>
    </row>
    <row r="1110" spans="1:7" x14ac:dyDescent="0.35">
      <c r="A1110" t="s">
        <v>68</v>
      </c>
      <c r="E1110">
        <v>-1.5588105209561601E-4</v>
      </c>
      <c r="F1110">
        <f t="shared" si="40"/>
        <v>-1.825706351034178E-2</v>
      </c>
      <c r="G1110">
        <f t="shared" si="41"/>
        <v>-2.9623193761121991E-2</v>
      </c>
    </row>
    <row r="1111" spans="1:7" x14ac:dyDescent="0.35">
      <c r="A1111" t="s">
        <v>68</v>
      </c>
      <c r="E1111">
        <v>-2.4445804947492533E-3</v>
      </c>
      <c r="F1111">
        <f t="shared" si="40"/>
        <v>-1.8261083496946235E-2</v>
      </c>
      <c r="G1111">
        <f t="shared" si="41"/>
        <v>-2.9623193761121991E-2</v>
      </c>
    </row>
    <row r="1112" spans="1:7" x14ac:dyDescent="0.35">
      <c r="A1112" t="s">
        <v>68</v>
      </c>
      <c r="E1112">
        <v>-7.3409782323521347E-3</v>
      </c>
      <c r="F1112">
        <f t="shared" si="40"/>
        <v>-1.826510348355069E-2</v>
      </c>
      <c r="G1112">
        <f t="shared" si="41"/>
        <v>-2.9623193761121991E-2</v>
      </c>
    </row>
    <row r="1113" spans="1:7" x14ac:dyDescent="0.35">
      <c r="A1113" t="s">
        <v>68</v>
      </c>
      <c r="E1113">
        <v>5.7527584775091522E-3</v>
      </c>
      <c r="F1113">
        <f t="shared" si="40"/>
        <v>-1.8269123470155149E-2</v>
      </c>
      <c r="G1113">
        <f t="shared" si="41"/>
        <v>-2.9623193761121991E-2</v>
      </c>
    </row>
    <row r="1114" spans="1:7" x14ac:dyDescent="0.35">
      <c r="A1114" t="s">
        <v>68</v>
      </c>
      <c r="E1114">
        <v>-1.2573845414478656E-3</v>
      </c>
      <c r="F1114">
        <f t="shared" si="40"/>
        <v>-1.8273143456759604E-2</v>
      </c>
      <c r="G1114">
        <f t="shared" si="41"/>
        <v>-2.9623193761121991E-2</v>
      </c>
    </row>
    <row r="1115" spans="1:7" x14ac:dyDescent="0.35">
      <c r="A1115" t="s">
        <v>68</v>
      </c>
      <c r="E1115">
        <v>7.1854542057603228E-3</v>
      </c>
      <c r="F1115">
        <f t="shared" si="40"/>
        <v>-1.827716344336406E-2</v>
      </c>
      <c r="G1115">
        <f t="shared" si="41"/>
        <v>-2.9623193761121991E-2</v>
      </c>
    </row>
    <row r="1116" spans="1:7" x14ac:dyDescent="0.35">
      <c r="A1116" t="s">
        <v>68</v>
      </c>
      <c r="E1116">
        <v>-4.7669453806039874E-3</v>
      </c>
      <c r="F1116">
        <f t="shared" si="40"/>
        <v>-1.8281183429968515E-2</v>
      </c>
      <c r="G1116">
        <f t="shared" si="41"/>
        <v>-2.9623193761121991E-2</v>
      </c>
    </row>
    <row r="1117" spans="1:7" x14ac:dyDescent="0.35">
      <c r="A1117" t="s">
        <v>68</v>
      </c>
      <c r="E1117">
        <v>-5.6906979410627865E-3</v>
      </c>
      <c r="F1117">
        <f t="shared" si="40"/>
        <v>-1.828520341657297E-2</v>
      </c>
      <c r="G1117">
        <f t="shared" si="41"/>
        <v>-2.9623193761121991E-2</v>
      </c>
    </row>
    <row r="1118" spans="1:7" x14ac:dyDescent="0.35">
      <c r="A1118" t="s">
        <v>68</v>
      </c>
      <c r="E1118">
        <v>6.1324500394837147E-4</v>
      </c>
      <c r="F1118">
        <f t="shared" si="40"/>
        <v>-1.8289223403177429E-2</v>
      </c>
      <c r="G1118">
        <f t="shared" si="41"/>
        <v>-2.9623193761121991E-2</v>
      </c>
    </row>
    <row r="1119" spans="1:7" x14ac:dyDescent="0.35">
      <c r="A1119" t="s">
        <v>68</v>
      </c>
      <c r="E1119">
        <v>-1.286138362001632E-2</v>
      </c>
      <c r="F1119">
        <f t="shared" si="40"/>
        <v>-1.8293243389781885E-2</v>
      </c>
      <c r="G1119">
        <f t="shared" si="41"/>
        <v>-2.9623193761121991E-2</v>
      </c>
    </row>
    <row r="1120" spans="1:7" x14ac:dyDescent="0.35">
      <c r="A1120" t="s">
        <v>68</v>
      </c>
      <c r="E1120">
        <v>-4.7122464933355241E-3</v>
      </c>
      <c r="F1120">
        <f t="shared" si="40"/>
        <v>-1.829726337638634E-2</v>
      </c>
      <c r="G1120">
        <f t="shared" si="41"/>
        <v>-2.9623193761121991E-2</v>
      </c>
    </row>
    <row r="1121" spans="1:7" x14ac:dyDescent="0.35">
      <c r="A1121" t="s">
        <v>68</v>
      </c>
      <c r="E1121">
        <v>-5.9482101922556888E-4</v>
      </c>
      <c r="F1121">
        <f t="shared" si="40"/>
        <v>-1.8298061775680319E-2</v>
      </c>
      <c r="G1121">
        <f t="shared" si="41"/>
        <v>-2.9707715629664799E-2</v>
      </c>
    </row>
    <row r="1122" spans="1:7" x14ac:dyDescent="0.35">
      <c r="A1122" t="s">
        <v>68</v>
      </c>
      <c r="E1122">
        <v>-3.194194929450125E-3</v>
      </c>
      <c r="F1122">
        <f t="shared" si="40"/>
        <v>-1.8298860174974299E-2</v>
      </c>
      <c r="G1122">
        <f t="shared" si="41"/>
        <v>-2.9707715629664799E-2</v>
      </c>
    </row>
    <row r="1123" spans="1:7" x14ac:dyDescent="0.35">
      <c r="A1123" t="s">
        <v>69</v>
      </c>
      <c r="B1123" s="3" cm="1">
        <f t="array" ref="B1123">_xlfn.STDEV.S(_xlfn._xlws.FILTER($E$1000:$E$1998, $A$1000:$A$1998="2014-07"))</f>
        <v>1.0466076059921102E-2</v>
      </c>
      <c r="C1123" s="3" cm="1">
        <f t="array" ref="C1123">AVERAGE(_xlfn._xlws.FILTER($E$1000:$E$1998, $A$1000:$A$1998="2014-07"))</f>
        <v>-1.7726821192642565E-3</v>
      </c>
      <c r="D1123" s="3" cm="1">
        <f t="array" ref="D1123">_xlfn.PERCENTILE.EXC(_xlfn._xlws.FILTER($E$1000:$E$1497, $A$1000:$A$1497="2014-07"), 0.05)</f>
        <v>-1.7754226828496301E-2</v>
      </c>
      <c r="E1123">
        <v>8.6178318928768777E-3</v>
      </c>
      <c r="F1123">
        <f t="shared" si="40"/>
        <v>-1.8299658574268279E-2</v>
      </c>
      <c r="G1123">
        <f t="shared" si="41"/>
        <v>-2.9707715629664799E-2</v>
      </c>
    </row>
    <row r="1124" spans="1:7" x14ac:dyDescent="0.35">
      <c r="A1124" t="s">
        <v>69</v>
      </c>
      <c r="E1124">
        <v>-3.6829807267897505E-3</v>
      </c>
      <c r="F1124">
        <f t="shared" si="40"/>
        <v>-1.8300456973562258E-2</v>
      </c>
      <c r="G1124">
        <f t="shared" si="41"/>
        <v>-2.9707715629664799E-2</v>
      </c>
    </row>
    <row r="1125" spans="1:7" x14ac:dyDescent="0.35">
      <c r="A1125" t="s">
        <v>69</v>
      </c>
      <c r="E1125">
        <v>1.0109100483312696E-2</v>
      </c>
      <c r="F1125">
        <f t="shared" si="40"/>
        <v>-1.8301255372856238E-2</v>
      </c>
      <c r="G1125">
        <f t="shared" si="41"/>
        <v>-2.9707715629664799E-2</v>
      </c>
    </row>
    <row r="1126" spans="1:7" x14ac:dyDescent="0.35">
      <c r="A1126" t="s">
        <v>69</v>
      </c>
      <c r="E1126">
        <v>-4.6657806719193288E-3</v>
      </c>
      <c r="F1126">
        <f t="shared" si="40"/>
        <v>-1.8302053772150217E-2</v>
      </c>
      <c r="G1126">
        <f t="shared" si="41"/>
        <v>-2.9707715629664799E-2</v>
      </c>
    </row>
    <row r="1127" spans="1:7" x14ac:dyDescent="0.35">
      <c r="A1127" t="s">
        <v>69</v>
      </c>
      <c r="E1127">
        <v>-1.4247418946316245E-2</v>
      </c>
      <c r="F1127">
        <f t="shared" si="40"/>
        <v>-1.8302852171444197E-2</v>
      </c>
      <c r="G1127">
        <f t="shared" si="41"/>
        <v>-2.9707715629664799E-2</v>
      </c>
    </row>
    <row r="1128" spans="1:7" x14ac:dyDescent="0.35">
      <c r="A1128" t="s">
        <v>69</v>
      </c>
      <c r="E1128">
        <v>-1.4455648148746964E-2</v>
      </c>
      <c r="F1128">
        <f t="shared" si="40"/>
        <v>-1.8303650570738177E-2</v>
      </c>
      <c r="G1128">
        <f t="shared" si="41"/>
        <v>-2.9707715629664799E-2</v>
      </c>
    </row>
    <row r="1129" spans="1:7" x14ac:dyDescent="0.35">
      <c r="A1129" t="s">
        <v>69</v>
      </c>
      <c r="E1129">
        <v>3.97823186774947E-3</v>
      </c>
      <c r="F1129">
        <f t="shared" si="40"/>
        <v>-1.8304448970032156E-2</v>
      </c>
      <c r="G1129">
        <f t="shared" si="41"/>
        <v>-2.9707715629664799E-2</v>
      </c>
    </row>
    <row r="1130" spans="1:7" x14ac:dyDescent="0.35">
      <c r="A1130" t="s">
        <v>69</v>
      </c>
      <c r="E1130">
        <v>-1.3527356407474791E-2</v>
      </c>
      <c r="F1130">
        <f t="shared" si="40"/>
        <v>-1.8305247369326136E-2</v>
      </c>
      <c r="G1130">
        <f t="shared" si="41"/>
        <v>-2.9707715629664799E-2</v>
      </c>
    </row>
    <row r="1131" spans="1:7" x14ac:dyDescent="0.35">
      <c r="A1131" t="s">
        <v>69</v>
      </c>
      <c r="E1131">
        <v>3.5368856610391323E-3</v>
      </c>
      <c r="F1131">
        <f t="shared" si="40"/>
        <v>-1.8306045768620115E-2</v>
      </c>
      <c r="G1131">
        <f t="shared" si="41"/>
        <v>-2.9707715629664799E-2</v>
      </c>
    </row>
    <row r="1132" spans="1:7" x14ac:dyDescent="0.35">
      <c r="A1132" t="s">
        <v>69</v>
      </c>
      <c r="E1132">
        <v>7.7401517671738381E-3</v>
      </c>
      <c r="F1132">
        <f t="shared" si="40"/>
        <v>-1.8306844167914095E-2</v>
      </c>
      <c r="G1132">
        <f t="shared" si="41"/>
        <v>-2.9707715629664799E-2</v>
      </c>
    </row>
    <row r="1133" spans="1:7" x14ac:dyDescent="0.35">
      <c r="A1133" t="s">
        <v>69</v>
      </c>
      <c r="E1133">
        <v>-1.033589588194294E-2</v>
      </c>
      <c r="F1133">
        <f t="shared" si="40"/>
        <v>-1.8307642567208075E-2</v>
      </c>
      <c r="G1133">
        <f t="shared" si="41"/>
        <v>-2.9707715629664799E-2</v>
      </c>
    </row>
    <row r="1134" spans="1:7" x14ac:dyDescent="0.35">
      <c r="A1134" t="s">
        <v>69</v>
      </c>
      <c r="E1134">
        <v>1.4698738416036439E-2</v>
      </c>
      <c r="F1134">
        <f t="shared" si="40"/>
        <v>-1.8308440966502054E-2</v>
      </c>
      <c r="G1134">
        <f t="shared" si="41"/>
        <v>-2.9707715629664799E-2</v>
      </c>
    </row>
    <row r="1135" spans="1:7" x14ac:dyDescent="0.35">
      <c r="A1135" t="s">
        <v>69</v>
      </c>
      <c r="E1135">
        <v>-1.2191032463550678E-2</v>
      </c>
      <c r="F1135">
        <f t="shared" si="40"/>
        <v>-1.8309239365796034E-2</v>
      </c>
      <c r="G1135">
        <f t="shared" si="41"/>
        <v>-2.9707715629664799E-2</v>
      </c>
    </row>
    <row r="1136" spans="1:7" x14ac:dyDescent="0.35">
      <c r="A1136" t="s">
        <v>69</v>
      </c>
      <c r="E1136">
        <v>4.4362681018858307E-3</v>
      </c>
      <c r="F1136">
        <f t="shared" si="40"/>
        <v>-1.8310037765090013E-2</v>
      </c>
      <c r="G1136">
        <f t="shared" si="41"/>
        <v>-2.9707715629664799E-2</v>
      </c>
    </row>
    <row r="1137" spans="1:7" x14ac:dyDescent="0.35">
      <c r="A1137" t="s">
        <v>69</v>
      </c>
      <c r="E1137">
        <v>-7.0763774668566124E-3</v>
      </c>
      <c r="F1137">
        <f t="shared" si="40"/>
        <v>-1.8310836164383993E-2</v>
      </c>
      <c r="G1137">
        <f t="shared" si="41"/>
        <v>-2.9707715629664799E-2</v>
      </c>
    </row>
    <row r="1138" spans="1:7" x14ac:dyDescent="0.35">
      <c r="A1138" t="s">
        <v>69</v>
      </c>
      <c r="E1138">
        <v>1.4936422091544589E-2</v>
      </c>
      <c r="F1138">
        <f t="shared" si="40"/>
        <v>-1.8311634563677973E-2</v>
      </c>
      <c r="G1138">
        <f t="shared" si="41"/>
        <v>-2.9707715629664799E-2</v>
      </c>
    </row>
    <row r="1139" spans="1:7" x14ac:dyDescent="0.35">
      <c r="A1139" t="s">
        <v>69</v>
      </c>
      <c r="E1139">
        <v>1.5550253309592928E-3</v>
      </c>
      <c r="F1139">
        <f t="shared" si="40"/>
        <v>-1.8312432962971952E-2</v>
      </c>
      <c r="G1139">
        <f t="shared" si="41"/>
        <v>-2.9707715629664799E-2</v>
      </c>
    </row>
    <row r="1140" spans="1:7" x14ac:dyDescent="0.35">
      <c r="A1140" t="s">
        <v>69</v>
      </c>
      <c r="E1140">
        <v>7.8138822991376585E-3</v>
      </c>
      <c r="F1140">
        <f t="shared" si="40"/>
        <v>-1.8313231362265932E-2</v>
      </c>
      <c r="G1140">
        <f t="shared" si="41"/>
        <v>-2.9707715629664799E-2</v>
      </c>
    </row>
    <row r="1141" spans="1:7" x14ac:dyDescent="0.35">
      <c r="A1141" t="s">
        <v>69</v>
      </c>
      <c r="E1141">
        <v>-1.8327516154666559E-2</v>
      </c>
      <c r="F1141">
        <f t="shared" si="40"/>
        <v>-1.8313945601885963E-2</v>
      </c>
      <c r="G1141">
        <f t="shared" si="41"/>
        <v>-2.9793388443705389E-2</v>
      </c>
    </row>
    <row r="1142" spans="1:7" x14ac:dyDescent="0.35">
      <c r="A1142" t="s">
        <v>69</v>
      </c>
      <c r="E1142">
        <v>3.2782681757545246E-3</v>
      </c>
      <c r="F1142">
        <f t="shared" si="40"/>
        <v>-1.8298860174974299E-2</v>
      </c>
      <c r="G1142">
        <f t="shared" si="41"/>
        <v>-2.9793281039251249E-2</v>
      </c>
    </row>
    <row r="1143" spans="1:7" x14ac:dyDescent="0.35">
      <c r="A1143" t="s">
        <v>69</v>
      </c>
      <c r="E1143">
        <v>4.7782326987145535E-3</v>
      </c>
      <c r="F1143">
        <f t="shared" si="40"/>
        <v>-1.8299658574268279E-2</v>
      </c>
      <c r="G1143">
        <f t="shared" si="41"/>
        <v>-2.9793281039251249E-2</v>
      </c>
    </row>
    <row r="1144" spans="1:7" x14ac:dyDescent="0.35">
      <c r="A1144" t="s">
        <v>69</v>
      </c>
      <c r="E1144">
        <v>-1.2279651137183661E-2</v>
      </c>
      <c r="F1144">
        <f t="shared" si="40"/>
        <v>-1.8300456973562258E-2</v>
      </c>
      <c r="G1144">
        <f t="shared" si="41"/>
        <v>-2.9793281039251249E-2</v>
      </c>
    </row>
    <row r="1145" spans="1:7" x14ac:dyDescent="0.35">
      <c r="A1145" t="s">
        <v>69</v>
      </c>
      <c r="E1145">
        <v>-1.5461069523815265E-2</v>
      </c>
      <c r="F1145">
        <f t="shared" si="40"/>
        <v>-1.8301255372856238E-2</v>
      </c>
      <c r="G1145">
        <f t="shared" si="41"/>
        <v>-2.9793281039251249E-2</v>
      </c>
    </row>
    <row r="1146" spans="1:7" x14ac:dyDescent="0.35">
      <c r="A1146" t="s">
        <v>70</v>
      </c>
      <c r="B1146" s="3" cm="1">
        <f t="array" ref="B1146">_xlfn.STDEV.S(_xlfn._xlws.FILTER($E$1000:$E$1998, $A$1000:$A$1998="2014-08"))</f>
        <v>1.0586117486319775E-2</v>
      </c>
      <c r="C1146" s="3" cm="1">
        <f t="array" ref="C1146">AVERAGE(_xlfn._xlws.FILTER($E$1000:$E$1998, $A$1000:$A$1998="2014-08"))</f>
        <v>1.6460949567888984E-3</v>
      </c>
      <c r="D1146" s="3" cm="1">
        <f t="array" ref="D1146">_xlfn.PERCENTILE.EXC(_xlfn._xlws.FILTER($E$1000:$E$1497, $A$1000:$A$1497="2014-08"), 0.05)</f>
        <v>-1.3715712376760555E-2</v>
      </c>
      <c r="E1146">
        <v>-1.0264123857744556E-2</v>
      </c>
      <c r="F1146">
        <f t="shared" si="40"/>
        <v>-1.8302053772150217E-2</v>
      </c>
      <c r="G1146">
        <f t="shared" si="41"/>
        <v>-2.9793281039251249E-2</v>
      </c>
    </row>
    <row r="1147" spans="1:7" x14ac:dyDescent="0.35">
      <c r="A1147" t="s">
        <v>70</v>
      </c>
      <c r="E1147">
        <v>3.4299321036897535E-3</v>
      </c>
      <c r="F1147">
        <f t="shared" si="40"/>
        <v>-1.8302852171444197E-2</v>
      </c>
      <c r="G1147">
        <f t="shared" si="41"/>
        <v>-2.9793281039251249E-2</v>
      </c>
    </row>
    <row r="1148" spans="1:7" x14ac:dyDescent="0.35">
      <c r="A1148" t="s">
        <v>70</v>
      </c>
      <c r="E1148">
        <v>3.7064692555056722E-3</v>
      </c>
      <c r="F1148">
        <f t="shared" si="40"/>
        <v>-1.8303650570738177E-2</v>
      </c>
      <c r="G1148">
        <f t="shared" si="41"/>
        <v>-2.9793281039251249E-2</v>
      </c>
    </row>
    <row r="1149" spans="1:7" x14ac:dyDescent="0.35">
      <c r="A1149" t="s">
        <v>70</v>
      </c>
      <c r="E1149">
        <v>-6.0995305231776849E-3</v>
      </c>
      <c r="F1149">
        <f t="shared" si="40"/>
        <v>-1.8304448970032156E-2</v>
      </c>
      <c r="G1149">
        <f t="shared" si="41"/>
        <v>-2.9793281039251249E-2</v>
      </c>
    </row>
    <row r="1150" spans="1:7" x14ac:dyDescent="0.35">
      <c r="A1150" t="s">
        <v>70</v>
      </c>
      <c r="E1150">
        <v>-1.3715712376760555E-2</v>
      </c>
      <c r="F1150">
        <f t="shared" si="40"/>
        <v>-1.8305247369326136E-2</v>
      </c>
      <c r="G1150">
        <f t="shared" si="41"/>
        <v>-2.9793281039251249E-2</v>
      </c>
    </row>
    <row r="1151" spans="1:7" x14ac:dyDescent="0.35">
      <c r="A1151" t="s">
        <v>70</v>
      </c>
      <c r="E1151">
        <v>-4.8688543728192107E-4</v>
      </c>
      <c r="F1151">
        <f t="shared" si="40"/>
        <v>-1.8306045768620115E-2</v>
      </c>
      <c r="G1151">
        <f t="shared" si="41"/>
        <v>-2.9793281039251249E-2</v>
      </c>
    </row>
    <row r="1152" spans="1:7" x14ac:dyDescent="0.35">
      <c r="A1152" t="s">
        <v>70</v>
      </c>
      <c r="E1152">
        <v>1.1956272132767532E-2</v>
      </c>
      <c r="F1152">
        <f t="shared" si="40"/>
        <v>-1.8306844167914095E-2</v>
      </c>
      <c r="G1152">
        <f t="shared" si="41"/>
        <v>-2.9793281039251249E-2</v>
      </c>
    </row>
    <row r="1153" spans="1:7" x14ac:dyDescent="0.35">
      <c r="A1153" t="s">
        <v>70</v>
      </c>
      <c r="E1153">
        <v>-8.5025859548789502E-3</v>
      </c>
      <c r="F1153">
        <f t="shared" si="40"/>
        <v>-1.8307642567208075E-2</v>
      </c>
      <c r="G1153">
        <f t="shared" si="41"/>
        <v>-2.9793281039251249E-2</v>
      </c>
    </row>
    <row r="1154" spans="1:7" x14ac:dyDescent="0.35">
      <c r="A1154" t="s">
        <v>70</v>
      </c>
      <c r="E1154">
        <v>7.8091087826403288E-3</v>
      </c>
      <c r="F1154">
        <f t="shared" si="40"/>
        <v>-1.8308440966502054E-2</v>
      </c>
      <c r="G1154">
        <f t="shared" si="41"/>
        <v>-2.9793281039251249E-2</v>
      </c>
    </row>
    <row r="1155" spans="1:7" x14ac:dyDescent="0.35">
      <c r="A1155" t="s">
        <v>70</v>
      </c>
      <c r="E1155">
        <v>2.5332683406238793E-3</v>
      </c>
      <c r="F1155">
        <f t="shared" si="40"/>
        <v>-1.8309239365796034E-2</v>
      </c>
      <c r="G1155">
        <f t="shared" si="41"/>
        <v>-2.9793281039251249E-2</v>
      </c>
    </row>
    <row r="1156" spans="1:7" x14ac:dyDescent="0.35">
      <c r="A1156" t="s">
        <v>70</v>
      </c>
      <c r="E1156">
        <v>5.9790981436230479E-3</v>
      </c>
      <c r="F1156">
        <f t="shared" ref="F1156:F1219" si="42">_xlfn.PERCENTILE.EXC(E1156:E4971,0.05)</f>
        <v>-1.8310037765090013E-2</v>
      </c>
      <c r="G1156">
        <f t="shared" ref="G1156:G1219" si="43">AVERAGEIFS(E1156:E4972,E1156:E4972,"&lt;=" &amp; F1156)</f>
        <v>-2.9793281039251249E-2</v>
      </c>
    </row>
    <row r="1157" spans="1:7" x14ac:dyDescent="0.35">
      <c r="A1157" t="s">
        <v>70</v>
      </c>
      <c r="E1157">
        <v>5.6098484204686778E-3</v>
      </c>
      <c r="F1157">
        <f t="shared" si="42"/>
        <v>-1.8310836164383993E-2</v>
      </c>
      <c r="G1157">
        <f t="shared" si="43"/>
        <v>-2.9793281039251249E-2</v>
      </c>
    </row>
    <row r="1158" spans="1:7" x14ac:dyDescent="0.35">
      <c r="A1158" t="s">
        <v>70</v>
      </c>
      <c r="E1158">
        <v>-3.2159213330787339E-3</v>
      </c>
      <c r="F1158">
        <f t="shared" si="42"/>
        <v>-1.8311634563677973E-2</v>
      </c>
      <c r="G1158">
        <f t="shared" si="43"/>
        <v>-2.9793281039251249E-2</v>
      </c>
    </row>
    <row r="1159" spans="1:7" x14ac:dyDescent="0.35">
      <c r="A1159" t="s">
        <v>70</v>
      </c>
      <c r="E1159">
        <v>1.2219910852668476E-2</v>
      </c>
      <c r="F1159">
        <f t="shared" si="42"/>
        <v>-1.8312432962971952E-2</v>
      </c>
      <c r="G1159">
        <f t="shared" si="43"/>
        <v>-2.9793281039251249E-2</v>
      </c>
    </row>
    <row r="1160" spans="1:7" x14ac:dyDescent="0.35">
      <c r="A1160" t="s">
        <v>70</v>
      </c>
      <c r="E1160">
        <v>-9.3918939589065862E-3</v>
      </c>
      <c r="F1160">
        <f t="shared" si="42"/>
        <v>-1.8313231362265932E-2</v>
      </c>
      <c r="G1160">
        <f t="shared" si="43"/>
        <v>-2.9793281039251249E-2</v>
      </c>
    </row>
    <row r="1161" spans="1:7" x14ac:dyDescent="0.35">
      <c r="A1161" t="s">
        <v>70</v>
      </c>
      <c r="E1161">
        <v>3.2528101400053563E-2</v>
      </c>
      <c r="F1161">
        <f t="shared" si="42"/>
        <v>-1.8326494899788465E-2</v>
      </c>
      <c r="G1161">
        <f t="shared" si="43"/>
        <v>-2.9880251112561741E-2</v>
      </c>
    </row>
    <row r="1162" spans="1:7" x14ac:dyDescent="0.35">
      <c r="A1162" t="s">
        <v>70</v>
      </c>
      <c r="E1162">
        <v>4.2099658476754909E-4</v>
      </c>
      <c r="F1162">
        <f t="shared" si="42"/>
        <v>-1.8339758437311008E-2</v>
      </c>
      <c r="G1162">
        <f t="shared" si="43"/>
        <v>-2.9880251112561741E-2</v>
      </c>
    </row>
    <row r="1163" spans="1:7" x14ac:dyDescent="0.35">
      <c r="A1163" t="s">
        <v>70</v>
      </c>
      <c r="E1163">
        <v>-6.6702677317494637E-3</v>
      </c>
      <c r="F1163">
        <f t="shared" si="42"/>
        <v>-1.8353021974833551E-2</v>
      </c>
      <c r="G1163">
        <f t="shared" si="43"/>
        <v>-2.9880251112561741E-2</v>
      </c>
    </row>
    <row r="1164" spans="1:7" x14ac:dyDescent="0.35">
      <c r="A1164" t="s">
        <v>70</v>
      </c>
      <c r="E1164">
        <v>3.4297193357590494E-3</v>
      </c>
      <c r="F1164">
        <f t="shared" si="42"/>
        <v>-1.8366285512356084E-2</v>
      </c>
      <c r="G1164">
        <f t="shared" si="43"/>
        <v>-2.9880251112561741E-2</v>
      </c>
    </row>
    <row r="1165" spans="1:7" x14ac:dyDescent="0.35">
      <c r="A1165" t="s">
        <v>71</v>
      </c>
      <c r="B1165" s="3" cm="1">
        <f t="array" ref="B1165">_xlfn.STDEV.S(_xlfn._xlws.FILTER($E$1000:$E$1998, $A$1000:$A$1998="2014-09"))</f>
        <v>8.5871402670478474E-3</v>
      </c>
      <c r="C1165" s="3" cm="1">
        <f t="array" ref="C1165">AVERAGE(_xlfn._xlws.FILTER($E$1000:$E$1998, $A$1000:$A$1998="2014-09"))</f>
        <v>3.6375073629415659E-4</v>
      </c>
      <c r="D1165" s="3" cm="1">
        <f t="array" ref="D1165">_xlfn.PERCENTILE.EXC(_xlfn._xlws.FILTER($E$1000:$E$1497, $A$1000:$A$1497="2014-09"), 0.05)</f>
        <v>-1.8069081766253305E-2</v>
      </c>
      <c r="E1165">
        <v>-2.9906047294101954E-4</v>
      </c>
      <c r="F1165">
        <f t="shared" si="42"/>
        <v>-1.8379549049878628E-2</v>
      </c>
      <c r="G1165">
        <f t="shared" si="43"/>
        <v>-2.9880251112561741E-2</v>
      </c>
    </row>
    <row r="1166" spans="1:7" x14ac:dyDescent="0.35">
      <c r="A1166" t="s">
        <v>71</v>
      </c>
      <c r="E1166">
        <v>-3.1970550828021202E-4</v>
      </c>
      <c r="F1166">
        <f t="shared" si="42"/>
        <v>-1.839281258740116E-2</v>
      </c>
      <c r="G1166">
        <f t="shared" si="43"/>
        <v>-2.9880251112561741E-2</v>
      </c>
    </row>
    <row r="1167" spans="1:7" x14ac:dyDescent="0.35">
      <c r="A1167" t="s">
        <v>71</v>
      </c>
      <c r="E1167">
        <v>9.8953103964782001E-3</v>
      </c>
      <c r="F1167">
        <f t="shared" si="42"/>
        <v>-1.8406076124923704E-2</v>
      </c>
      <c r="G1167">
        <f t="shared" si="43"/>
        <v>-2.9880251112561741E-2</v>
      </c>
    </row>
    <row r="1168" spans="1:7" x14ac:dyDescent="0.35">
      <c r="A1168" t="s">
        <v>71</v>
      </c>
      <c r="E1168">
        <v>1.6389636128991577E-2</v>
      </c>
      <c r="F1168">
        <f t="shared" si="42"/>
        <v>-1.8419339662446244E-2</v>
      </c>
      <c r="G1168">
        <f t="shared" si="43"/>
        <v>-2.9880251112561741E-2</v>
      </c>
    </row>
    <row r="1169" spans="1:7" x14ac:dyDescent="0.35">
      <c r="A1169" t="s">
        <v>71</v>
      </c>
      <c r="E1169">
        <v>-1.8816608253263991E-3</v>
      </c>
      <c r="F1169">
        <f t="shared" si="42"/>
        <v>-1.843260319996878E-2</v>
      </c>
      <c r="G1169">
        <f t="shared" si="43"/>
        <v>-2.9880251112561741E-2</v>
      </c>
    </row>
    <row r="1170" spans="1:7" x14ac:dyDescent="0.35">
      <c r="A1170" t="s">
        <v>71</v>
      </c>
      <c r="E1170">
        <v>-2.5799496981685271E-3</v>
      </c>
      <c r="F1170">
        <f t="shared" si="42"/>
        <v>-1.8445866737491323E-2</v>
      </c>
      <c r="G1170">
        <f t="shared" si="43"/>
        <v>-2.9880251112561741E-2</v>
      </c>
    </row>
    <row r="1171" spans="1:7" x14ac:dyDescent="0.35">
      <c r="A1171" t="s">
        <v>71</v>
      </c>
      <c r="E1171">
        <v>-5.0541704712290594E-3</v>
      </c>
      <c r="F1171">
        <f t="shared" si="42"/>
        <v>-1.8459130275013856E-2</v>
      </c>
      <c r="G1171">
        <f t="shared" si="43"/>
        <v>-2.9880251112561741E-2</v>
      </c>
    </row>
    <row r="1172" spans="1:7" x14ac:dyDescent="0.35">
      <c r="A1172" t="s">
        <v>71</v>
      </c>
      <c r="E1172">
        <v>-3.54930163354753E-4</v>
      </c>
      <c r="F1172">
        <f t="shared" si="42"/>
        <v>-1.8472393812536399E-2</v>
      </c>
      <c r="G1172">
        <f t="shared" si="43"/>
        <v>-2.9880251112561741E-2</v>
      </c>
    </row>
    <row r="1173" spans="1:7" x14ac:dyDescent="0.35">
      <c r="A1173" t="s">
        <v>71</v>
      </c>
      <c r="E1173">
        <v>-2.2245499063708726E-3</v>
      </c>
      <c r="F1173">
        <f t="shared" si="42"/>
        <v>-1.8485657350058939E-2</v>
      </c>
      <c r="G1173">
        <f t="shared" si="43"/>
        <v>-2.9880251112561741E-2</v>
      </c>
    </row>
    <row r="1174" spans="1:7" x14ac:dyDescent="0.35">
      <c r="A1174" t="s">
        <v>71</v>
      </c>
      <c r="E1174">
        <v>1.8012744065098202E-4</v>
      </c>
      <c r="F1174">
        <f t="shared" si="42"/>
        <v>-1.8498920887581476E-2</v>
      </c>
      <c r="G1174">
        <f t="shared" si="43"/>
        <v>-2.9880251112561741E-2</v>
      </c>
    </row>
    <row r="1175" spans="1:7" x14ac:dyDescent="0.35">
      <c r="A1175" t="s">
        <v>71</v>
      </c>
      <c r="E1175">
        <v>-2.9469048972456413E-3</v>
      </c>
      <c r="F1175">
        <f t="shared" si="42"/>
        <v>-1.8512184425104015E-2</v>
      </c>
      <c r="G1175">
        <f t="shared" si="43"/>
        <v>-2.9880251112561741E-2</v>
      </c>
    </row>
    <row r="1176" spans="1:7" x14ac:dyDescent="0.35">
      <c r="A1176" t="s">
        <v>71</v>
      </c>
      <c r="E1176">
        <v>-4.4083540317086329E-3</v>
      </c>
      <c r="F1176">
        <f t="shared" si="42"/>
        <v>-1.8525447962626552E-2</v>
      </c>
      <c r="G1176">
        <f t="shared" si="43"/>
        <v>-2.9880251112561741E-2</v>
      </c>
    </row>
    <row r="1177" spans="1:7" x14ac:dyDescent="0.35">
      <c r="A1177" t="s">
        <v>71</v>
      </c>
      <c r="E1177">
        <v>5.0358907225657558E-3</v>
      </c>
      <c r="F1177">
        <f t="shared" si="42"/>
        <v>-1.8538711500149092E-2</v>
      </c>
      <c r="G1177">
        <f t="shared" si="43"/>
        <v>-2.9880251112561741E-2</v>
      </c>
    </row>
    <row r="1178" spans="1:7" x14ac:dyDescent="0.35">
      <c r="A1178" t="s">
        <v>71</v>
      </c>
      <c r="E1178">
        <v>7.4842049817621156E-3</v>
      </c>
      <c r="F1178">
        <f t="shared" si="42"/>
        <v>-1.8551975037671635E-2</v>
      </c>
      <c r="G1178">
        <f t="shared" si="43"/>
        <v>-2.9880251112561741E-2</v>
      </c>
    </row>
    <row r="1179" spans="1:7" x14ac:dyDescent="0.35">
      <c r="A1179" t="s">
        <v>71</v>
      </c>
      <c r="E1179">
        <v>-7.7975159452987766E-4</v>
      </c>
      <c r="F1179">
        <f t="shared" si="42"/>
        <v>-1.8565238575194168E-2</v>
      </c>
      <c r="G1179">
        <f t="shared" si="43"/>
        <v>-2.9880251112561741E-2</v>
      </c>
    </row>
    <row r="1180" spans="1:7" x14ac:dyDescent="0.35">
      <c r="A1180" t="s">
        <v>71</v>
      </c>
      <c r="E1180">
        <v>-4.1937353195511369E-3</v>
      </c>
      <c r="F1180">
        <f t="shared" si="42"/>
        <v>-1.8578502112716711E-2</v>
      </c>
      <c r="G1180">
        <f t="shared" si="43"/>
        <v>-2.9880251112561741E-2</v>
      </c>
    </row>
    <row r="1181" spans="1:7" x14ac:dyDescent="0.35">
      <c r="A1181" t="s">
        <v>71</v>
      </c>
      <c r="E1181">
        <v>-1.8905572229137576E-2</v>
      </c>
      <c r="F1181">
        <f t="shared" si="42"/>
        <v>-1.8578738613233056E-2</v>
      </c>
      <c r="G1181">
        <f t="shared" si="43"/>
        <v>-2.9966524005690331E-2</v>
      </c>
    </row>
    <row r="1182" spans="1:7" x14ac:dyDescent="0.35">
      <c r="A1182" t="s">
        <v>71</v>
      </c>
      <c r="E1182">
        <v>1.2394907617758653E-2</v>
      </c>
      <c r="F1182">
        <f t="shared" si="42"/>
        <v>-1.8339758437311008E-2</v>
      </c>
      <c r="G1182">
        <f t="shared" si="43"/>
        <v>-2.9964027287244371E-2</v>
      </c>
    </row>
    <row r="1183" spans="1:7" x14ac:dyDescent="0.35">
      <c r="A1183" t="s">
        <v>71</v>
      </c>
      <c r="E1183">
        <v>-1.3328969143242433E-2</v>
      </c>
      <c r="F1183">
        <f t="shared" si="42"/>
        <v>-1.8353021974833551E-2</v>
      </c>
      <c r="G1183">
        <f t="shared" si="43"/>
        <v>-2.9964027287244371E-2</v>
      </c>
    </row>
    <row r="1184" spans="1:7" x14ac:dyDescent="0.35">
      <c r="A1184" t="s">
        <v>71</v>
      </c>
      <c r="E1184">
        <v>9.0217445451222251E-3</v>
      </c>
      <c r="F1184">
        <f t="shared" si="42"/>
        <v>-1.8366285512356084E-2</v>
      </c>
      <c r="G1184">
        <f t="shared" si="43"/>
        <v>-2.9964027287244371E-2</v>
      </c>
    </row>
    <row r="1185" spans="1:7" x14ac:dyDescent="0.35">
      <c r="A1185" t="s">
        <v>71</v>
      </c>
      <c r="E1185">
        <v>-8.3813478904831065E-3</v>
      </c>
      <c r="F1185">
        <f t="shared" si="42"/>
        <v>-1.8379549049878628E-2</v>
      </c>
      <c r="G1185">
        <f t="shared" si="43"/>
        <v>-2.9964027287244371E-2</v>
      </c>
    </row>
    <row r="1186" spans="1:7" x14ac:dyDescent="0.35">
      <c r="A1186" t="s">
        <v>71</v>
      </c>
      <c r="E1186">
        <v>1.3259356516711186E-2</v>
      </c>
      <c r="F1186">
        <f t="shared" si="42"/>
        <v>-1.839281258740116E-2</v>
      </c>
      <c r="G1186">
        <f t="shared" si="43"/>
        <v>-2.9964027287244371E-2</v>
      </c>
    </row>
    <row r="1187" spans="1:7" x14ac:dyDescent="0.35">
      <c r="A1187" t="s">
        <v>72</v>
      </c>
      <c r="B1187" s="3" cm="1">
        <f t="array" ref="B1187">_xlfn.STDEV.S(_xlfn._xlws.FILTER($E$1000:$E$1998, $A$1000:$A$1998="2014-10"))</f>
        <v>1.6051313644804485E-2</v>
      </c>
      <c r="C1187" s="3" cm="1">
        <f t="array" ref="C1187">AVERAGE(_xlfn._xlws.FILTER($E$1000:$E$1998, $A$1000:$A$1998="2014-10"))</f>
        <v>-1.9252923861214821E-3</v>
      </c>
      <c r="D1187" s="3" cm="1">
        <f t="array" ref="D1187">_xlfn.PERCENTILE.EXC(_xlfn._xlws.FILTER($E$1000:$E$1497, $A$1000:$A$1497="2014-10"), 0.05)</f>
        <v>-3.5729336462158201E-2</v>
      </c>
      <c r="E1187">
        <v>-1.1608612275405879E-2</v>
      </c>
      <c r="F1187">
        <f t="shared" si="42"/>
        <v>-1.8406076124923704E-2</v>
      </c>
      <c r="G1187">
        <f t="shared" si="43"/>
        <v>-2.9964027287244371E-2</v>
      </c>
    </row>
    <row r="1188" spans="1:7" x14ac:dyDescent="0.35">
      <c r="A1188" t="s">
        <v>72</v>
      </c>
      <c r="E1188">
        <v>-2.8487255012227916E-2</v>
      </c>
      <c r="F1188">
        <f t="shared" si="42"/>
        <v>-1.8419339662446244E-2</v>
      </c>
      <c r="G1188">
        <f t="shared" si="43"/>
        <v>-2.9964027287244371E-2</v>
      </c>
    </row>
    <row r="1189" spans="1:7" x14ac:dyDescent="0.35">
      <c r="A1189" t="s">
        <v>72</v>
      </c>
      <c r="E1189">
        <v>1.0282426900599072E-2</v>
      </c>
      <c r="F1189">
        <f t="shared" si="42"/>
        <v>-1.8304448970032156E-2</v>
      </c>
      <c r="G1189">
        <f t="shared" si="43"/>
        <v>-2.9886362984572905E-2</v>
      </c>
    </row>
    <row r="1190" spans="1:7" x14ac:dyDescent="0.35">
      <c r="A1190" t="s">
        <v>72</v>
      </c>
      <c r="E1190">
        <v>-1.821686364429722E-2</v>
      </c>
      <c r="F1190">
        <f t="shared" si="42"/>
        <v>-1.8305247369326136E-2</v>
      </c>
      <c r="G1190">
        <f t="shared" si="43"/>
        <v>-2.9886362984572905E-2</v>
      </c>
    </row>
    <row r="1191" spans="1:7" x14ac:dyDescent="0.35">
      <c r="A1191" t="s">
        <v>72</v>
      </c>
      <c r="E1191">
        <v>-9.7932564691923032E-3</v>
      </c>
      <c r="F1191">
        <f t="shared" si="42"/>
        <v>-1.8306045768620115E-2</v>
      </c>
      <c r="G1191">
        <f t="shared" si="43"/>
        <v>-2.9886362984572905E-2</v>
      </c>
    </row>
    <row r="1192" spans="1:7" x14ac:dyDescent="0.35">
      <c r="A1192" t="s">
        <v>72</v>
      </c>
      <c r="E1192">
        <v>-6.4191267607032693E-3</v>
      </c>
      <c r="F1192">
        <f t="shared" si="42"/>
        <v>-1.8306844167914095E-2</v>
      </c>
      <c r="G1192">
        <f t="shared" si="43"/>
        <v>-2.9886362984572905E-2</v>
      </c>
    </row>
    <row r="1193" spans="1:7" x14ac:dyDescent="0.35">
      <c r="A1193" t="s">
        <v>72</v>
      </c>
      <c r="E1193">
        <v>-1.6491835904308073E-2</v>
      </c>
      <c r="F1193">
        <f t="shared" si="42"/>
        <v>-1.8307642567208075E-2</v>
      </c>
      <c r="G1193">
        <f t="shared" si="43"/>
        <v>-2.9886362984572905E-2</v>
      </c>
    </row>
    <row r="1194" spans="1:7" x14ac:dyDescent="0.35">
      <c r="A1194" t="s">
        <v>72</v>
      </c>
      <c r="E1194">
        <v>1.2241780340225725E-3</v>
      </c>
      <c r="F1194">
        <f t="shared" si="42"/>
        <v>-1.8308440966502054E-2</v>
      </c>
      <c r="G1194">
        <f t="shared" si="43"/>
        <v>-2.9886362984572905E-2</v>
      </c>
    </row>
    <row r="1195" spans="1:7" x14ac:dyDescent="0.35">
      <c r="A1195" t="s">
        <v>72</v>
      </c>
      <c r="E1195">
        <v>2.3386954377845417E-3</v>
      </c>
      <c r="F1195">
        <f t="shared" si="42"/>
        <v>-1.8309239365796034E-2</v>
      </c>
      <c r="G1195">
        <f t="shared" si="43"/>
        <v>-2.9886362984572905E-2</v>
      </c>
    </row>
    <row r="1196" spans="1:7" x14ac:dyDescent="0.35">
      <c r="A1196" t="s">
        <v>72</v>
      </c>
      <c r="E1196">
        <v>-3.7007350835675308E-2</v>
      </c>
      <c r="F1196">
        <f t="shared" si="42"/>
        <v>-1.8310037765090013E-2</v>
      </c>
      <c r="G1196">
        <f t="shared" si="43"/>
        <v>-2.9886362984572905E-2</v>
      </c>
    </row>
    <row r="1197" spans="1:7" x14ac:dyDescent="0.35">
      <c r="A1197" t="s">
        <v>72</v>
      </c>
      <c r="E1197">
        <v>-5.3701037895580945E-3</v>
      </c>
      <c r="F1197">
        <f t="shared" si="42"/>
        <v>-1.8281150901426624E-2</v>
      </c>
      <c r="G1197">
        <f t="shared" si="43"/>
        <v>-2.9743537889463829E-2</v>
      </c>
    </row>
    <row r="1198" spans="1:7" x14ac:dyDescent="0.35">
      <c r="A1198" t="s">
        <v>72</v>
      </c>
      <c r="E1198">
        <v>2.8815595677884023E-2</v>
      </c>
      <c r="F1198">
        <f t="shared" si="42"/>
        <v>-1.8286521726413197E-2</v>
      </c>
      <c r="G1198">
        <f t="shared" si="43"/>
        <v>-2.9743537889463829E-2</v>
      </c>
    </row>
    <row r="1199" spans="1:7" x14ac:dyDescent="0.35">
      <c r="A1199" t="s">
        <v>72</v>
      </c>
      <c r="E1199">
        <v>-1.04531871200367E-2</v>
      </c>
      <c r="F1199">
        <f t="shared" si="42"/>
        <v>-1.8291892551399767E-2</v>
      </c>
      <c r="G1199">
        <f t="shared" si="43"/>
        <v>-2.9743537889463829E-2</v>
      </c>
    </row>
    <row r="1200" spans="1:7" x14ac:dyDescent="0.35">
      <c r="A1200" t="s">
        <v>72</v>
      </c>
      <c r="E1200">
        <v>2.2298904246916485E-2</v>
      </c>
      <c r="F1200">
        <f t="shared" si="42"/>
        <v>-1.829726337638634E-2</v>
      </c>
      <c r="G1200">
        <f t="shared" si="43"/>
        <v>-2.9743537889463829E-2</v>
      </c>
    </row>
    <row r="1201" spans="1:7" x14ac:dyDescent="0.35">
      <c r="A1201" t="s">
        <v>72</v>
      </c>
      <c r="E1201">
        <v>5.8268033364989981E-3</v>
      </c>
      <c r="F1201">
        <f t="shared" si="42"/>
        <v>-1.8298061775680319E-2</v>
      </c>
      <c r="G1201">
        <f t="shared" si="43"/>
        <v>-2.9831586154949043E-2</v>
      </c>
    </row>
    <row r="1202" spans="1:7" x14ac:dyDescent="0.35">
      <c r="A1202" t="s">
        <v>72</v>
      </c>
      <c r="E1202">
        <v>1.2729559250890272E-2</v>
      </c>
      <c r="F1202">
        <f t="shared" si="42"/>
        <v>-1.8298860174974299E-2</v>
      </c>
      <c r="G1202">
        <f t="shared" si="43"/>
        <v>-2.9831586154949043E-2</v>
      </c>
    </row>
    <row r="1203" spans="1:7" x14ac:dyDescent="0.35">
      <c r="A1203" t="s">
        <v>72</v>
      </c>
      <c r="E1203">
        <v>-6.9461987258230612E-3</v>
      </c>
      <c r="F1203">
        <f t="shared" si="42"/>
        <v>-1.8299658574268279E-2</v>
      </c>
      <c r="G1203">
        <f t="shared" si="43"/>
        <v>-2.9831586154949043E-2</v>
      </c>
    </row>
    <row r="1204" spans="1:7" x14ac:dyDescent="0.35">
      <c r="A1204" t="s">
        <v>72</v>
      </c>
      <c r="E1204">
        <v>-7.8194921895391595E-3</v>
      </c>
      <c r="F1204">
        <f t="shared" si="42"/>
        <v>-1.8300456973562258E-2</v>
      </c>
      <c r="G1204">
        <f t="shared" si="43"/>
        <v>-2.9831586154949043E-2</v>
      </c>
    </row>
    <row r="1205" spans="1:7" x14ac:dyDescent="0.35">
      <c r="A1205" t="s">
        <v>72</v>
      </c>
      <c r="E1205">
        <v>3.8809171412220503E-3</v>
      </c>
      <c r="F1205">
        <f t="shared" si="42"/>
        <v>-1.8301255372856238E-2</v>
      </c>
      <c r="G1205">
        <f t="shared" si="43"/>
        <v>-2.9831586154949043E-2</v>
      </c>
    </row>
    <row r="1206" spans="1:7" x14ac:dyDescent="0.35">
      <c r="A1206" t="s">
        <v>72</v>
      </c>
      <c r="E1206">
        <v>-4.9371847619403167E-4</v>
      </c>
      <c r="F1206">
        <f t="shared" si="42"/>
        <v>-1.8302053772150217E-2</v>
      </c>
      <c r="G1206">
        <f t="shared" si="43"/>
        <v>-2.9831586154949043E-2</v>
      </c>
    </row>
    <row r="1207" spans="1:7" x14ac:dyDescent="0.35">
      <c r="A1207" t="s">
        <v>72</v>
      </c>
      <c r="E1207">
        <v>7.416525752252677E-3</v>
      </c>
      <c r="F1207">
        <f t="shared" si="42"/>
        <v>-1.8302852171444197E-2</v>
      </c>
      <c r="G1207">
        <f t="shared" si="43"/>
        <v>-2.9831586154949043E-2</v>
      </c>
    </row>
    <row r="1208" spans="1:7" x14ac:dyDescent="0.35">
      <c r="A1208" t="s">
        <v>72</v>
      </c>
      <c r="E1208">
        <v>2.1936962930217716E-2</v>
      </c>
      <c r="F1208">
        <f t="shared" si="42"/>
        <v>-1.8303650570738177E-2</v>
      </c>
      <c r="G1208">
        <f t="shared" si="43"/>
        <v>-2.9831586154949043E-2</v>
      </c>
    </row>
    <row r="1209" spans="1:7" x14ac:dyDescent="0.35">
      <c r="A1209" t="s">
        <v>73</v>
      </c>
      <c r="B1209" s="3" cm="1">
        <f t="array" ref="B1209">_xlfn.STDEV.S(_xlfn._xlws.FILTER($E$1000:$E$1998, $A$1000:$A$1998="2014-11"))</f>
        <v>1.0115538150742873E-2</v>
      </c>
      <c r="C1209" s="3" cm="1">
        <f t="array" ref="C1209">AVERAGE(_xlfn._xlws.FILTER($E$1000:$E$1998, $A$1000:$A$1998="2014-11"))</f>
        <v>1.8219002847497633E-3</v>
      </c>
      <c r="D1209" s="3" cm="1">
        <f t="array" ref="D1209">_xlfn.PERCENTILE.EXC(_xlfn._xlws.FILTER($E$1000:$E$1497, $A$1000:$A$1497="2014-11"), 0.05)</f>
        <v>-1.5334103291984208E-2</v>
      </c>
      <c r="E1209">
        <v>-9.2701372994510919E-3</v>
      </c>
      <c r="F1209">
        <f t="shared" si="42"/>
        <v>-1.8304448970032156E-2</v>
      </c>
      <c r="G1209">
        <f t="shared" si="43"/>
        <v>-2.9831586154949043E-2</v>
      </c>
    </row>
    <row r="1210" spans="1:7" x14ac:dyDescent="0.35">
      <c r="A1210" t="s">
        <v>73</v>
      </c>
      <c r="E1210">
        <v>-1.5338674772601585E-2</v>
      </c>
      <c r="F1210">
        <f t="shared" si="42"/>
        <v>-1.8305247369326136E-2</v>
      </c>
      <c r="G1210">
        <f t="shared" si="43"/>
        <v>-2.9831586154949043E-2</v>
      </c>
    </row>
    <row r="1211" spans="1:7" x14ac:dyDescent="0.35">
      <c r="A1211" t="s">
        <v>73</v>
      </c>
      <c r="E1211">
        <v>1.8763869583299179E-2</v>
      </c>
      <c r="F1211">
        <f t="shared" si="42"/>
        <v>-1.8306045768620115E-2</v>
      </c>
      <c r="G1211">
        <f t="shared" si="43"/>
        <v>-2.9831586154949043E-2</v>
      </c>
    </row>
    <row r="1212" spans="1:7" x14ac:dyDescent="0.35">
      <c r="A1212" t="s">
        <v>73</v>
      </c>
      <c r="E1212">
        <v>4.5660988995031198E-3</v>
      </c>
      <c r="F1212">
        <f t="shared" si="42"/>
        <v>-1.8306844167914095E-2</v>
      </c>
      <c r="G1212">
        <f t="shared" si="43"/>
        <v>-2.9831586154949043E-2</v>
      </c>
    </row>
    <row r="1213" spans="1:7" x14ac:dyDescent="0.35">
      <c r="A1213" t="s">
        <v>73</v>
      </c>
      <c r="E1213">
        <v>-8.9788986340309483E-3</v>
      </c>
      <c r="F1213">
        <f t="shared" si="42"/>
        <v>-1.8307642567208075E-2</v>
      </c>
      <c r="G1213">
        <f t="shared" si="43"/>
        <v>-2.9831586154949043E-2</v>
      </c>
    </row>
    <row r="1214" spans="1:7" x14ac:dyDescent="0.35">
      <c r="A1214" t="s">
        <v>73</v>
      </c>
      <c r="E1214">
        <v>7.8286707100440958E-3</v>
      </c>
      <c r="F1214">
        <f t="shared" si="42"/>
        <v>-1.8308440966502054E-2</v>
      </c>
      <c r="G1214">
        <f t="shared" si="43"/>
        <v>-2.9831586154949043E-2</v>
      </c>
    </row>
    <row r="1215" spans="1:7" x14ac:dyDescent="0.35">
      <c r="A1215" t="s">
        <v>73</v>
      </c>
      <c r="E1215">
        <v>5.0266318346799468E-3</v>
      </c>
      <c r="F1215">
        <f t="shared" si="42"/>
        <v>-1.8309239365796034E-2</v>
      </c>
      <c r="G1215">
        <f t="shared" si="43"/>
        <v>-2.9831586154949043E-2</v>
      </c>
    </row>
    <row r="1216" spans="1:7" x14ac:dyDescent="0.35">
      <c r="A1216" t="s">
        <v>73</v>
      </c>
      <c r="E1216">
        <v>-1.5247245160254035E-2</v>
      </c>
      <c r="F1216">
        <f t="shared" si="42"/>
        <v>-1.8310037765090013E-2</v>
      </c>
      <c r="G1216">
        <f t="shared" si="43"/>
        <v>-2.9831586154949043E-2</v>
      </c>
    </row>
    <row r="1217" spans="1:7" x14ac:dyDescent="0.35">
      <c r="A1217" t="s">
        <v>73</v>
      </c>
      <c r="E1217">
        <v>1.9288160734437054E-3</v>
      </c>
      <c r="F1217">
        <f t="shared" si="42"/>
        <v>-1.8310836164383993E-2</v>
      </c>
      <c r="G1217">
        <f t="shared" si="43"/>
        <v>-2.9831586154949043E-2</v>
      </c>
    </row>
    <row r="1218" spans="1:7" x14ac:dyDescent="0.35">
      <c r="A1218" t="s">
        <v>73</v>
      </c>
      <c r="E1218">
        <v>3.4587140473229029E-3</v>
      </c>
      <c r="F1218">
        <f t="shared" si="42"/>
        <v>-1.8311634563677973E-2</v>
      </c>
      <c r="G1218">
        <f t="shared" si="43"/>
        <v>-2.9831586154949043E-2</v>
      </c>
    </row>
    <row r="1219" spans="1:7" x14ac:dyDescent="0.35">
      <c r="A1219" t="s">
        <v>73</v>
      </c>
      <c r="E1219">
        <v>5.6095138408600352E-3</v>
      </c>
      <c r="F1219">
        <f t="shared" si="42"/>
        <v>-1.8312432962971952E-2</v>
      </c>
      <c r="G1219">
        <f t="shared" si="43"/>
        <v>-2.9831586154949043E-2</v>
      </c>
    </row>
    <row r="1220" spans="1:7" x14ac:dyDescent="0.35">
      <c r="A1220" t="s">
        <v>73</v>
      </c>
      <c r="E1220">
        <v>8.548107768443898E-3</v>
      </c>
      <c r="F1220">
        <f t="shared" ref="F1220:F1283" si="44">_xlfn.PERCENTILE.EXC(E1220:E5035,0.05)</f>
        <v>-1.8313231362265932E-2</v>
      </c>
      <c r="G1220">
        <f t="shared" ref="G1220:G1283" si="45">AVERAGEIFS(E1220:E5036,E1220:E5036,"&lt;=" &amp; F1220)</f>
        <v>-2.9831586154949043E-2</v>
      </c>
    </row>
    <row r="1221" spans="1:7" x14ac:dyDescent="0.35">
      <c r="A1221" t="s">
        <v>73</v>
      </c>
      <c r="E1221">
        <v>8.9346754577950287E-4</v>
      </c>
      <c r="F1221">
        <f t="shared" si="44"/>
        <v>-1.8326494899788465E-2</v>
      </c>
      <c r="G1221">
        <f t="shared" si="45"/>
        <v>-2.9920875726985343E-2</v>
      </c>
    </row>
    <row r="1222" spans="1:7" x14ac:dyDescent="0.35">
      <c r="A1222" t="s">
        <v>73</v>
      </c>
      <c r="E1222">
        <v>-7.5243872953212297E-3</v>
      </c>
      <c r="F1222">
        <f t="shared" si="44"/>
        <v>-1.8339758437311008E-2</v>
      </c>
      <c r="G1222">
        <f t="shared" si="45"/>
        <v>-2.9920875726985343E-2</v>
      </c>
    </row>
    <row r="1223" spans="1:7" x14ac:dyDescent="0.35">
      <c r="A1223" t="s">
        <v>73</v>
      </c>
      <c r="E1223">
        <v>2.634209068874142E-2</v>
      </c>
      <c r="F1223">
        <f t="shared" si="44"/>
        <v>-1.8353021974833551E-2</v>
      </c>
      <c r="G1223">
        <f t="shared" si="45"/>
        <v>-2.9920875726985343E-2</v>
      </c>
    </row>
    <row r="1224" spans="1:7" x14ac:dyDescent="0.35">
      <c r="A1224" t="s">
        <v>73</v>
      </c>
      <c r="E1224">
        <v>4.8671053102711708E-3</v>
      </c>
      <c r="F1224">
        <f t="shared" si="44"/>
        <v>-1.8366285512356084E-2</v>
      </c>
      <c r="G1224">
        <f t="shared" si="45"/>
        <v>-2.9920875726985343E-2</v>
      </c>
    </row>
    <row r="1225" spans="1:7" x14ac:dyDescent="0.35">
      <c r="A1225" t="s">
        <v>73</v>
      </c>
      <c r="E1225">
        <v>3.170016653423981E-3</v>
      </c>
      <c r="F1225">
        <f t="shared" si="44"/>
        <v>-1.8379549049878628E-2</v>
      </c>
      <c r="G1225">
        <f t="shared" si="45"/>
        <v>-2.9920875726985343E-2</v>
      </c>
    </row>
    <row r="1226" spans="1:7" x14ac:dyDescent="0.35">
      <c r="A1226" t="s">
        <v>73</v>
      </c>
      <c r="E1226">
        <v>-2.0306708989241253E-3</v>
      </c>
      <c r="F1226">
        <f t="shared" si="44"/>
        <v>-1.839281258740116E-2</v>
      </c>
      <c r="G1226">
        <f t="shared" si="45"/>
        <v>-2.9920875726985343E-2</v>
      </c>
    </row>
    <row r="1227" spans="1:7" x14ac:dyDescent="0.35">
      <c r="A1227" t="s">
        <v>73</v>
      </c>
      <c r="E1227">
        <v>2.0375165801548405E-3</v>
      </c>
      <c r="F1227">
        <f t="shared" si="44"/>
        <v>-1.8406076124923704E-2</v>
      </c>
      <c r="G1227">
        <f t="shared" si="45"/>
        <v>-2.9920875726985343E-2</v>
      </c>
    </row>
    <row r="1228" spans="1:7" x14ac:dyDescent="0.35">
      <c r="A1228" t="s">
        <v>73</v>
      </c>
      <c r="E1228">
        <v>1.7874002196104912E-3</v>
      </c>
      <c r="F1228">
        <f t="shared" si="44"/>
        <v>-1.8419339662446244E-2</v>
      </c>
      <c r="G1228">
        <f t="shared" si="45"/>
        <v>-2.9920875726985343E-2</v>
      </c>
    </row>
    <row r="1229" spans="1:7" x14ac:dyDescent="0.35">
      <c r="A1229" t="s">
        <v>74</v>
      </c>
      <c r="B1229" s="3" cm="1">
        <f t="array" ref="B1229">_xlfn.STDEV.S(_xlfn._xlws.FILTER($E$1000:$E$1998, $A$1000:$A$1998="2014-12"))</f>
        <v>1.6714382692072073E-2</v>
      </c>
      <c r="C1229" s="3" cm="1">
        <f t="array" ref="C1229">AVERAGE(_xlfn._xlws.FILTER($E$1000:$E$1998, $A$1000:$A$1998="2014-12"))</f>
        <v>-1.7632214932026846E-3</v>
      </c>
      <c r="D1229" s="3" cm="1">
        <f t="array" ref="D1229">_xlfn.PERCENTILE.EXC(_xlfn._xlws.FILTER($E$1000:$E$1497, $A$1000:$A$1497="2014-12"), 0.05)</f>
        <v>-2.8060136410409907E-2</v>
      </c>
      <c r="E1229">
        <v>-2.9312790520966861E-3</v>
      </c>
      <c r="F1229">
        <f t="shared" si="44"/>
        <v>-1.843260319996878E-2</v>
      </c>
      <c r="G1229">
        <f t="shared" si="45"/>
        <v>-2.9920875726985343E-2</v>
      </c>
    </row>
    <row r="1230" spans="1:7" x14ac:dyDescent="0.35">
      <c r="A1230" t="s">
        <v>74</v>
      </c>
      <c r="E1230">
        <v>2.5029588807818112E-3</v>
      </c>
      <c r="F1230">
        <f t="shared" si="44"/>
        <v>-1.8445866737491323E-2</v>
      </c>
      <c r="G1230">
        <f t="shared" si="45"/>
        <v>-2.9920875726985343E-2</v>
      </c>
    </row>
    <row r="1231" spans="1:7" x14ac:dyDescent="0.35">
      <c r="A1231" t="s">
        <v>74</v>
      </c>
      <c r="E1231">
        <v>8.1091920764182236E-4</v>
      </c>
      <c r="F1231">
        <f t="shared" si="44"/>
        <v>-1.8459130275013856E-2</v>
      </c>
      <c r="G1231">
        <f t="shared" si="45"/>
        <v>-2.9920875726985343E-2</v>
      </c>
    </row>
    <row r="1232" spans="1:7" x14ac:dyDescent="0.35">
      <c r="A1232" t="s">
        <v>74</v>
      </c>
      <c r="E1232">
        <v>-1.5597367515321973E-2</v>
      </c>
      <c r="F1232">
        <f t="shared" si="44"/>
        <v>-1.8472393812536399E-2</v>
      </c>
      <c r="G1232">
        <f t="shared" si="45"/>
        <v>-2.9920875726985343E-2</v>
      </c>
    </row>
    <row r="1233" spans="1:7" x14ac:dyDescent="0.35">
      <c r="A1233" t="s">
        <v>74</v>
      </c>
      <c r="E1233">
        <v>2.1866582064406014E-2</v>
      </c>
      <c r="F1233">
        <f t="shared" si="44"/>
        <v>-1.8485657350058939E-2</v>
      </c>
      <c r="G1233">
        <f t="shared" si="45"/>
        <v>-2.9920875726985343E-2</v>
      </c>
    </row>
    <row r="1234" spans="1:7" x14ac:dyDescent="0.35">
      <c r="A1234" t="s">
        <v>74</v>
      </c>
      <c r="E1234">
        <v>-1.0005814032705247E-2</v>
      </c>
      <c r="F1234">
        <f t="shared" si="44"/>
        <v>-1.8498920887581476E-2</v>
      </c>
      <c r="G1234">
        <f t="shared" si="45"/>
        <v>-2.9920875726985343E-2</v>
      </c>
    </row>
    <row r="1235" spans="1:7" x14ac:dyDescent="0.35">
      <c r="A1235" t="s">
        <v>74</v>
      </c>
      <c r="E1235">
        <v>-2.5822612607137266E-2</v>
      </c>
      <c r="F1235">
        <f t="shared" si="44"/>
        <v>-1.8512184425104015E-2</v>
      </c>
      <c r="G1235">
        <f t="shared" si="45"/>
        <v>-2.9920875726985343E-2</v>
      </c>
    </row>
    <row r="1236" spans="1:7" x14ac:dyDescent="0.35">
      <c r="A1236" t="s">
        <v>74</v>
      </c>
      <c r="E1236">
        <v>-8.4858343489151149E-3</v>
      </c>
      <c r="F1236">
        <f t="shared" si="44"/>
        <v>-1.8310037765090013E-2</v>
      </c>
      <c r="G1236">
        <f t="shared" si="45"/>
        <v>-2.9862663469273163E-2</v>
      </c>
    </row>
    <row r="1237" spans="1:7" x14ac:dyDescent="0.35">
      <c r="A1237" t="s">
        <v>74</v>
      </c>
      <c r="E1237">
        <v>-4.8499072962312258E-4</v>
      </c>
      <c r="F1237">
        <f t="shared" si="44"/>
        <v>-1.8310836164383993E-2</v>
      </c>
      <c r="G1237">
        <f t="shared" si="45"/>
        <v>-2.9862663469273163E-2</v>
      </c>
    </row>
    <row r="1238" spans="1:7" x14ac:dyDescent="0.35">
      <c r="A1238" t="s">
        <v>74</v>
      </c>
      <c r="E1238">
        <v>-2.8060136410409907E-2</v>
      </c>
      <c r="F1238">
        <f t="shared" si="44"/>
        <v>-1.8311634563677973E-2</v>
      </c>
      <c r="G1238">
        <f t="shared" si="45"/>
        <v>-2.9862663469273163E-2</v>
      </c>
    </row>
    <row r="1239" spans="1:7" x14ac:dyDescent="0.35">
      <c r="A1239" t="s">
        <v>74</v>
      </c>
      <c r="E1239">
        <v>-2.5524196563414918E-2</v>
      </c>
      <c r="F1239">
        <f t="shared" si="44"/>
        <v>-1.8291892551399767E-2</v>
      </c>
      <c r="G1239">
        <f t="shared" si="45"/>
        <v>-2.97869822829629E-2</v>
      </c>
    </row>
    <row r="1240" spans="1:7" x14ac:dyDescent="0.35">
      <c r="A1240" t="s">
        <v>74</v>
      </c>
      <c r="E1240">
        <v>2.1688602812843742E-2</v>
      </c>
      <c r="F1240">
        <f t="shared" si="44"/>
        <v>-1.8189846876654894E-2</v>
      </c>
      <c r="G1240">
        <f t="shared" si="45"/>
        <v>-2.973012685903453E-2</v>
      </c>
    </row>
    <row r="1241" spans="1:7" x14ac:dyDescent="0.35">
      <c r="A1241" t="s">
        <v>74</v>
      </c>
      <c r="E1241">
        <v>4.5605805233402685E-3</v>
      </c>
      <c r="F1241">
        <f t="shared" si="44"/>
        <v>-1.8195217701641463E-2</v>
      </c>
      <c r="G1241">
        <f t="shared" si="45"/>
        <v>-2.9820285296396874E-2</v>
      </c>
    </row>
    <row r="1242" spans="1:7" x14ac:dyDescent="0.35">
      <c r="A1242" t="s">
        <v>74</v>
      </c>
      <c r="E1242">
        <v>3.2911334981945775E-2</v>
      </c>
      <c r="F1242">
        <f t="shared" si="44"/>
        <v>-1.8200588526628037E-2</v>
      </c>
      <c r="G1242">
        <f t="shared" si="45"/>
        <v>-2.9820285296396874E-2</v>
      </c>
    </row>
    <row r="1243" spans="1:7" x14ac:dyDescent="0.35">
      <c r="A1243" t="s">
        <v>74</v>
      </c>
      <c r="E1243">
        <v>-1.8466312480768183E-3</v>
      </c>
      <c r="F1243">
        <f t="shared" si="44"/>
        <v>-1.820595935161461E-2</v>
      </c>
      <c r="G1243">
        <f t="shared" si="45"/>
        <v>-2.9820285296396874E-2</v>
      </c>
    </row>
    <row r="1244" spans="1:7" x14ac:dyDescent="0.35">
      <c r="A1244" t="s">
        <v>74</v>
      </c>
      <c r="E1244">
        <v>3.0084485172128415E-3</v>
      </c>
      <c r="F1244">
        <f t="shared" si="44"/>
        <v>-1.8211330176601183E-2</v>
      </c>
      <c r="G1244">
        <f t="shared" si="45"/>
        <v>-2.9820285296396874E-2</v>
      </c>
    </row>
    <row r="1245" spans="1:7" x14ac:dyDescent="0.35">
      <c r="A1245" t="s">
        <v>74</v>
      </c>
      <c r="E1245">
        <v>1.4129579015027774E-2</v>
      </c>
      <c r="F1245">
        <f t="shared" si="44"/>
        <v>-1.8216701001587756E-2</v>
      </c>
      <c r="G1245">
        <f t="shared" si="45"/>
        <v>-2.9820285296396874E-2</v>
      </c>
    </row>
    <row r="1246" spans="1:7" x14ac:dyDescent="0.35">
      <c r="A1246" t="s">
        <v>74</v>
      </c>
      <c r="E1246">
        <v>6.8574873240625177E-4</v>
      </c>
      <c r="F1246">
        <f t="shared" si="44"/>
        <v>-1.8222071826574326E-2</v>
      </c>
      <c r="G1246">
        <f t="shared" si="45"/>
        <v>-2.9820285296396874E-2</v>
      </c>
    </row>
    <row r="1247" spans="1:7" x14ac:dyDescent="0.35">
      <c r="A1247" t="s">
        <v>74</v>
      </c>
      <c r="E1247">
        <v>-1.690710059875624E-2</v>
      </c>
      <c r="F1247">
        <f t="shared" si="44"/>
        <v>-1.8227442651560899E-2</v>
      </c>
      <c r="G1247">
        <f t="shared" si="45"/>
        <v>-2.9820285296396874E-2</v>
      </c>
    </row>
    <row r="1248" spans="1:7" x14ac:dyDescent="0.35">
      <c r="A1248" t="s">
        <v>75</v>
      </c>
      <c r="B1248" s="3" cm="1">
        <f t="array" ref="B1248">_xlfn.STDEV.S(_xlfn._xlws.FILTER($E$1000:$E$1998, $A$1000:$A$1998="2015-01"))</f>
        <v>1.5645388423116358E-2</v>
      </c>
      <c r="C1248" s="3" cm="1">
        <f t="array" ref="C1248">AVERAGE(_xlfn._xlws.FILTER($E$1000:$E$1998, $A$1000:$A$1998="2015-01"))</f>
        <v>3.8624176114293038E-3</v>
      </c>
      <c r="D1248" s="3" cm="1">
        <f t="array" ref="D1248">_xlfn.PERCENTILE.EXC(_xlfn._xlws.FILTER($E$1000:$E$1497, $A$1000:$A$1497="2015-01"), 0.05)</f>
        <v>-3.2255911250920817E-2</v>
      </c>
      <c r="E1248">
        <v>1.5886411989004744E-3</v>
      </c>
      <c r="F1248">
        <f t="shared" si="44"/>
        <v>-1.8232813476547472E-2</v>
      </c>
      <c r="G1248">
        <f t="shared" si="45"/>
        <v>-2.9820285296396874E-2</v>
      </c>
    </row>
    <row r="1249" spans="1:7" x14ac:dyDescent="0.35">
      <c r="A1249" t="s">
        <v>75</v>
      </c>
      <c r="E1249">
        <v>-3.3703787336422944E-2</v>
      </c>
      <c r="F1249">
        <f t="shared" si="44"/>
        <v>-1.8238184301534042E-2</v>
      </c>
      <c r="G1249">
        <f t="shared" si="45"/>
        <v>-2.9820285296396874E-2</v>
      </c>
    </row>
    <row r="1250" spans="1:7" x14ac:dyDescent="0.35">
      <c r="A1250" t="s">
        <v>75</v>
      </c>
      <c r="E1250">
        <v>-6.7994101998476537E-3</v>
      </c>
      <c r="F1250">
        <f t="shared" si="44"/>
        <v>-1.8181852180882821E-2</v>
      </c>
      <c r="G1250">
        <f t="shared" si="45"/>
        <v>-2.9699082636554935E-2</v>
      </c>
    </row>
    <row r="1251" spans="1:7" x14ac:dyDescent="0.35">
      <c r="A1251" t="s">
        <v>75</v>
      </c>
      <c r="E1251">
        <v>7.1325777631094205E-3</v>
      </c>
      <c r="F1251">
        <f t="shared" si="44"/>
        <v>-1.8182651650460031E-2</v>
      </c>
      <c r="G1251">
        <f t="shared" si="45"/>
        <v>-2.9699082636554935E-2</v>
      </c>
    </row>
    <row r="1252" spans="1:7" x14ac:dyDescent="0.35">
      <c r="A1252" t="s">
        <v>75</v>
      </c>
      <c r="E1252">
        <v>3.5226718646351053E-2</v>
      </c>
      <c r="F1252">
        <f t="shared" si="44"/>
        <v>-1.8183451120037237E-2</v>
      </c>
      <c r="G1252">
        <f t="shared" si="45"/>
        <v>-2.9699082636554935E-2</v>
      </c>
    </row>
    <row r="1253" spans="1:7" x14ac:dyDescent="0.35">
      <c r="A1253" t="s">
        <v>75</v>
      </c>
      <c r="E1253">
        <v>-1.9225026481401709E-2</v>
      </c>
      <c r="F1253">
        <f t="shared" si="44"/>
        <v>-1.8184250589614443E-2</v>
      </c>
      <c r="G1253">
        <f t="shared" si="45"/>
        <v>-2.9699082636554935E-2</v>
      </c>
    </row>
    <row r="1254" spans="1:7" x14ac:dyDescent="0.35">
      <c r="A1254" t="s">
        <v>75</v>
      </c>
      <c r="E1254">
        <v>1.1697097080325352E-2</v>
      </c>
      <c r="F1254">
        <f t="shared" si="44"/>
        <v>-1.8173594164038628E-2</v>
      </c>
      <c r="G1254">
        <f t="shared" si="45"/>
        <v>-2.9690870378771411E-2</v>
      </c>
    </row>
    <row r="1255" spans="1:7" x14ac:dyDescent="0.35">
      <c r="A1255" t="s">
        <v>75</v>
      </c>
      <c r="E1255">
        <v>1.456616805074867E-2</v>
      </c>
      <c r="F1255">
        <f t="shared" si="44"/>
        <v>-1.817363805088398E-2</v>
      </c>
      <c r="G1255">
        <f t="shared" si="45"/>
        <v>-2.9690870378771411E-2</v>
      </c>
    </row>
    <row r="1256" spans="1:7" x14ac:dyDescent="0.35">
      <c r="A1256" t="s">
        <v>75</v>
      </c>
      <c r="E1256">
        <v>-1.5749392902098348E-2</v>
      </c>
      <c r="F1256">
        <f t="shared" si="44"/>
        <v>-1.8173681937729336E-2</v>
      </c>
      <c r="G1256">
        <f t="shared" si="45"/>
        <v>-2.9690870378771411E-2</v>
      </c>
    </row>
    <row r="1257" spans="1:7" x14ac:dyDescent="0.35">
      <c r="A1257" t="s">
        <v>75</v>
      </c>
      <c r="E1257">
        <v>2.3393262810514952E-2</v>
      </c>
      <c r="F1257">
        <f t="shared" si="44"/>
        <v>-1.8173725824574688E-2</v>
      </c>
      <c r="G1257">
        <f t="shared" si="45"/>
        <v>-2.9690870378771411E-2</v>
      </c>
    </row>
    <row r="1258" spans="1:7" x14ac:dyDescent="0.35">
      <c r="A1258" t="s">
        <v>75</v>
      </c>
      <c r="E1258">
        <v>1.2966093850052447E-2</v>
      </c>
      <c r="F1258">
        <f t="shared" si="44"/>
        <v>-1.8173769711420044E-2</v>
      </c>
      <c r="G1258">
        <f t="shared" si="45"/>
        <v>-2.9690870378771411E-2</v>
      </c>
    </row>
    <row r="1259" spans="1:7" x14ac:dyDescent="0.35">
      <c r="A1259" t="s">
        <v>75</v>
      </c>
      <c r="E1259">
        <v>3.4896411865177413E-3</v>
      </c>
      <c r="F1259">
        <f t="shared" si="44"/>
        <v>-1.8173813598265396E-2</v>
      </c>
      <c r="G1259">
        <f t="shared" si="45"/>
        <v>-2.9690870378771411E-2</v>
      </c>
    </row>
    <row r="1260" spans="1:7" x14ac:dyDescent="0.35">
      <c r="A1260" t="s">
        <v>75</v>
      </c>
      <c r="E1260">
        <v>1.1557710137125461E-2</v>
      </c>
      <c r="F1260">
        <f t="shared" si="44"/>
        <v>-1.8173857485110752E-2</v>
      </c>
      <c r="G1260">
        <f t="shared" si="45"/>
        <v>-2.9690870378771411E-2</v>
      </c>
    </row>
    <row r="1261" spans="1:7" x14ac:dyDescent="0.35">
      <c r="A1261" t="s">
        <v>75</v>
      </c>
      <c r="E1261">
        <v>8.6890469686754113E-3</v>
      </c>
      <c r="F1261">
        <f t="shared" si="44"/>
        <v>-1.8174656954687958E-2</v>
      </c>
      <c r="G1261">
        <f t="shared" si="45"/>
        <v>-2.9781555519666381E-2</v>
      </c>
    </row>
    <row r="1262" spans="1:7" x14ac:dyDescent="0.35">
      <c r="A1262" t="s">
        <v>75</v>
      </c>
      <c r="E1262">
        <v>1.5044067380663677E-2</v>
      </c>
      <c r="F1262">
        <f t="shared" si="44"/>
        <v>-1.8175456424265164E-2</v>
      </c>
      <c r="G1262">
        <f t="shared" si="45"/>
        <v>-2.9781555519666381E-2</v>
      </c>
    </row>
    <row r="1263" spans="1:7" x14ac:dyDescent="0.35">
      <c r="A1263" t="s">
        <v>75</v>
      </c>
      <c r="E1263">
        <v>1.9120633772163987E-2</v>
      </c>
      <c r="F1263">
        <f t="shared" si="44"/>
        <v>-1.8176255893842374E-2</v>
      </c>
      <c r="G1263">
        <f t="shared" si="45"/>
        <v>-2.9781555519666381E-2</v>
      </c>
    </row>
    <row r="1264" spans="1:7" x14ac:dyDescent="0.35">
      <c r="A1264" t="s">
        <v>75</v>
      </c>
      <c r="E1264">
        <v>7.3939077617193915E-3</v>
      </c>
      <c r="F1264">
        <f t="shared" si="44"/>
        <v>-1.817705536341958E-2</v>
      </c>
      <c r="G1264">
        <f t="shared" si="45"/>
        <v>-2.9781555519666381E-2</v>
      </c>
    </row>
    <row r="1265" spans="1:7" x14ac:dyDescent="0.35">
      <c r="A1265" t="s">
        <v>75</v>
      </c>
      <c r="E1265">
        <v>-1.0951424276910577E-2</v>
      </c>
      <c r="F1265">
        <f t="shared" si="44"/>
        <v>-1.8177854832996786E-2</v>
      </c>
      <c r="G1265">
        <f t="shared" si="45"/>
        <v>-2.9781555519666381E-2</v>
      </c>
    </row>
    <row r="1266" spans="1:7" x14ac:dyDescent="0.35">
      <c r="A1266" t="s">
        <v>75</v>
      </c>
      <c r="E1266">
        <v>-2.8738047855864954E-3</v>
      </c>
      <c r="F1266">
        <f t="shared" si="44"/>
        <v>-1.8178654302573993E-2</v>
      </c>
      <c r="G1266">
        <f t="shared" si="45"/>
        <v>-2.9781555519666381E-2</v>
      </c>
    </row>
    <row r="1267" spans="1:7" x14ac:dyDescent="0.35">
      <c r="A1267" t="s">
        <v>75</v>
      </c>
      <c r="E1267">
        <v>4.4339349255790549E-3</v>
      </c>
      <c r="F1267">
        <f t="shared" si="44"/>
        <v>-1.8179453772151202E-2</v>
      </c>
      <c r="G1267">
        <f t="shared" si="45"/>
        <v>-2.9781555519666381E-2</v>
      </c>
    </row>
    <row r="1268" spans="1:7" x14ac:dyDescent="0.35">
      <c r="A1268" t="s">
        <v>75</v>
      </c>
      <c r="E1268">
        <v>-5.8858857101639888E-3</v>
      </c>
      <c r="F1268">
        <f t="shared" si="44"/>
        <v>-1.8180253241728409E-2</v>
      </c>
      <c r="G1268">
        <f t="shared" si="45"/>
        <v>-2.9781555519666381E-2</v>
      </c>
    </row>
    <row r="1269" spans="1:7" x14ac:dyDescent="0.35">
      <c r="A1269" t="s">
        <v>76</v>
      </c>
      <c r="B1269" s="3" cm="1">
        <f t="array" ref="B1269">_xlfn.STDEV.S(_xlfn._xlws.FILTER($E$1000:$E$1998, $A$1000:$A$1998="2015-02"))</f>
        <v>5.3236551232587071E-3</v>
      </c>
      <c r="C1269" s="3" cm="1">
        <f t="array" ref="C1269">AVERAGE(_xlfn._xlws.FILTER($E$1000:$E$1998, $A$1000:$A$1998="2015-02"))</f>
        <v>3.6353365898718903E-3</v>
      </c>
      <c r="D1269" s="3" cm="1">
        <f t="array" ref="D1269">_xlfn.PERCENTILE.EXC(_xlfn._xlws.FILTER($E$1000:$E$1497, $A$1000:$A$1497="2015-02"), 0.05)</f>
        <v>-8.2986339475316067E-3</v>
      </c>
      <c r="E1269">
        <v>5.0737116961273847E-3</v>
      </c>
      <c r="F1269">
        <f t="shared" si="44"/>
        <v>-1.8181052711305615E-2</v>
      </c>
      <c r="G1269">
        <f t="shared" si="45"/>
        <v>-2.9781555519666381E-2</v>
      </c>
    </row>
    <row r="1270" spans="1:7" x14ac:dyDescent="0.35">
      <c r="A1270" t="s">
        <v>76</v>
      </c>
      <c r="E1270">
        <v>1.0795789587106662E-2</v>
      </c>
      <c r="F1270">
        <f t="shared" si="44"/>
        <v>-1.8181852180882821E-2</v>
      </c>
      <c r="G1270">
        <f t="shared" si="45"/>
        <v>-2.9781555519666381E-2</v>
      </c>
    </row>
    <row r="1271" spans="1:7" x14ac:dyDescent="0.35">
      <c r="A1271" t="s">
        <v>76</v>
      </c>
      <c r="E1271">
        <v>3.9256733652062396E-3</v>
      </c>
      <c r="F1271">
        <f t="shared" si="44"/>
        <v>-1.8182651650460031E-2</v>
      </c>
      <c r="G1271">
        <f t="shared" si="45"/>
        <v>-2.9781555519666381E-2</v>
      </c>
    </row>
    <row r="1272" spans="1:7" x14ac:dyDescent="0.35">
      <c r="A1272" t="s">
        <v>76</v>
      </c>
      <c r="E1272">
        <v>1.4894253572619934E-3</v>
      </c>
      <c r="F1272">
        <f t="shared" si="44"/>
        <v>-1.8183451120037237E-2</v>
      </c>
      <c r="G1272">
        <f t="shared" si="45"/>
        <v>-2.9781555519666381E-2</v>
      </c>
    </row>
    <row r="1273" spans="1:7" x14ac:dyDescent="0.35">
      <c r="A1273" t="s">
        <v>76</v>
      </c>
      <c r="E1273">
        <v>-2.6122154485102829E-3</v>
      </c>
      <c r="F1273">
        <f t="shared" si="44"/>
        <v>-1.8184250589614443E-2</v>
      </c>
      <c r="G1273">
        <f t="shared" si="45"/>
        <v>-2.9781555519666381E-2</v>
      </c>
    </row>
    <row r="1274" spans="1:7" x14ac:dyDescent="0.35">
      <c r="A1274" t="s">
        <v>76</v>
      </c>
      <c r="E1274">
        <v>-8.5527238547178936E-3</v>
      </c>
      <c r="F1274">
        <f t="shared" si="44"/>
        <v>-1.8185050059191649E-2</v>
      </c>
      <c r="G1274">
        <f t="shared" si="45"/>
        <v>-2.9781555519666381E-2</v>
      </c>
    </row>
    <row r="1275" spans="1:7" x14ac:dyDescent="0.35">
      <c r="A1275" t="s">
        <v>76</v>
      </c>
      <c r="E1275">
        <v>9.5370975359474596E-3</v>
      </c>
      <c r="F1275">
        <f t="shared" si="44"/>
        <v>-1.8185849528768859E-2</v>
      </c>
      <c r="G1275">
        <f t="shared" si="45"/>
        <v>-2.9781555519666381E-2</v>
      </c>
    </row>
    <row r="1276" spans="1:7" x14ac:dyDescent="0.35">
      <c r="A1276" t="s">
        <v>76</v>
      </c>
      <c r="E1276">
        <v>-3.4709257109921663E-3</v>
      </c>
      <c r="F1276">
        <f t="shared" si="44"/>
        <v>-1.8186648998346065E-2</v>
      </c>
      <c r="G1276">
        <f t="shared" si="45"/>
        <v>-2.9781555519666381E-2</v>
      </c>
    </row>
    <row r="1277" spans="1:7" x14ac:dyDescent="0.35">
      <c r="A1277" t="s">
        <v>76</v>
      </c>
      <c r="E1277">
        <v>9.9558744341889747E-3</v>
      </c>
      <c r="F1277">
        <f t="shared" si="44"/>
        <v>-1.8187448467923271E-2</v>
      </c>
      <c r="G1277">
        <f t="shared" si="45"/>
        <v>-2.9781555519666381E-2</v>
      </c>
    </row>
    <row r="1278" spans="1:7" x14ac:dyDescent="0.35">
      <c r="A1278" t="s">
        <v>76</v>
      </c>
      <c r="E1278">
        <v>6.9917084668994021E-3</v>
      </c>
      <c r="F1278">
        <f t="shared" si="44"/>
        <v>-1.8188247937500478E-2</v>
      </c>
      <c r="G1278">
        <f t="shared" si="45"/>
        <v>-2.9781555519666381E-2</v>
      </c>
    </row>
    <row r="1279" spans="1:7" x14ac:dyDescent="0.35">
      <c r="A1279" t="s">
        <v>76</v>
      </c>
      <c r="E1279">
        <v>-1.5581453026295086E-3</v>
      </c>
      <c r="F1279">
        <f t="shared" si="44"/>
        <v>-1.8189047407077687E-2</v>
      </c>
      <c r="G1279">
        <f t="shared" si="45"/>
        <v>-2.9781555519666381E-2</v>
      </c>
    </row>
    <row r="1280" spans="1:7" x14ac:dyDescent="0.35">
      <c r="A1280" t="s">
        <v>76</v>
      </c>
      <c r="E1280">
        <v>4.2920532452704401E-4</v>
      </c>
      <c r="F1280">
        <f t="shared" si="44"/>
        <v>-1.8189846876654894E-2</v>
      </c>
      <c r="G1280">
        <f t="shared" si="45"/>
        <v>-2.9781555519666381E-2</v>
      </c>
    </row>
    <row r="1281" spans="1:7" x14ac:dyDescent="0.35">
      <c r="A1281" t="s">
        <v>76</v>
      </c>
      <c r="E1281">
        <v>9.4295487149302533E-3</v>
      </c>
      <c r="F1281">
        <f t="shared" si="44"/>
        <v>-1.8195217701641467E-2</v>
      </c>
      <c r="G1281">
        <f t="shared" si="45"/>
        <v>-2.9873553207309323E-2</v>
      </c>
    </row>
    <row r="1282" spans="1:7" x14ac:dyDescent="0.35">
      <c r="A1282" t="s">
        <v>76</v>
      </c>
      <c r="E1282">
        <v>7.1115120558562072E-3</v>
      </c>
      <c r="F1282">
        <f t="shared" si="44"/>
        <v>-1.8200588526628037E-2</v>
      </c>
      <c r="G1282">
        <f t="shared" si="45"/>
        <v>-2.9873553207309323E-2</v>
      </c>
    </row>
    <row r="1283" spans="1:7" x14ac:dyDescent="0.35">
      <c r="A1283" t="s">
        <v>76</v>
      </c>
      <c r="E1283">
        <v>-4.9254050485713849E-4</v>
      </c>
      <c r="F1283">
        <f t="shared" si="44"/>
        <v>-1.820595935161461E-2</v>
      </c>
      <c r="G1283">
        <f t="shared" si="45"/>
        <v>-2.9873553207309323E-2</v>
      </c>
    </row>
    <row r="1284" spans="1:7" x14ac:dyDescent="0.35">
      <c r="A1284" t="s">
        <v>76</v>
      </c>
      <c r="E1284">
        <v>6.4787912833361794E-3</v>
      </c>
      <c r="F1284">
        <f t="shared" ref="F1284:F1347" si="46">_xlfn.PERCENTILE.EXC(E1284:E5099,0.05)</f>
        <v>-1.8211330176601183E-2</v>
      </c>
      <c r="G1284">
        <f t="shared" ref="G1284:G1347" si="47">AVERAGEIFS(E1284:E5100,E1284:E5100,"&lt;=" &amp; F1284)</f>
        <v>-2.9873553207309323E-2</v>
      </c>
    </row>
    <row r="1285" spans="1:7" x14ac:dyDescent="0.35">
      <c r="A1285" t="s">
        <v>76</v>
      </c>
      <c r="E1285">
        <v>4.9524450010046623E-3</v>
      </c>
      <c r="F1285">
        <f t="shared" si="46"/>
        <v>-1.8216701001587756E-2</v>
      </c>
      <c r="G1285">
        <f t="shared" si="47"/>
        <v>-2.9873553207309323E-2</v>
      </c>
    </row>
    <row r="1286" spans="1:7" x14ac:dyDescent="0.35">
      <c r="A1286" t="s">
        <v>76</v>
      </c>
      <c r="E1286">
        <v>-8.6398754025828806E-4</v>
      </c>
      <c r="F1286">
        <f t="shared" si="46"/>
        <v>-1.8222071826574326E-2</v>
      </c>
      <c r="G1286">
        <f t="shared" si="47"/>
        <v>-2.9873553207309323E-2</v>
      </c>
    </row>
    <row r="1287" spans="1:7" x14ac:dyDescent="0.35">
      <c r="A1287" t="s">
        <v>76</v>
      </c>
      <c r="E1287">
        <v>5.8001722930941047E-3</v>
      </c>
      <c r="F1287">
        <f t="shared" si="46"/>
        <v>-1.8227442651560899E-2</v>
      </c>
      <c r="G1287">
        <f t="shared" si="47"/>
        <v>-2.9873553207309323E-2</v>
      </c>
    </row>
    <row r="1288" spans="1:7" x14ac:dyDescent="0.35">
      <c r="A1288" t="s">
        <v>76</v>
      </c>
      <c r="E1288">
        <v>8.2863150439165308E-3</v>
      </c>
      <c r="F1288">
        <f t="shared" si="46"/>
        <v>-1.8232813476547472E-2</v>
      </c>
      <c r="G1288">
        <f t="shared" si="47"/>
        <v>-2.9873553207309323E-2</v>
      </c>
    </row>
    <row r="1289" spans="1:7" x14ac:dyDescent="0.35">
      <c r="A1289" t="s">
        <v>77</v>
      </c>
      <c r="B1289" s="3" cm="1">
        <f t="array" ref="B1289">_xlfn.STDEV.S(_xlfn._xlws.FILTER($E$1000:$E$1998, $A$1000:$A$1998="2015-03"))</f>
        <v>9.2223010703990603E-3</v>
      </c>
      <c r="C1289" s="3" cm="1">
        <f t="array" ref="C1289">AVERAGE(_xlfn._xlws.FILTER($E$1000:$E$1998, $A$1000:$A$1998="2015-03"))</f>
        <v>7.4803902991305547E-4</v>
      </c>
      <c r="D1289" s="3" cm="1">
        <f t="array" ref="D1289">_xlfn.PERCENTILE.EXC(_xlfn._xlws.FILTER($E$1000:$E$1497, $A$1000:$A$1497="2015-03"), 0.05)</f>
        <v>-1.3003866772554676E-2</v>
      </c>
      <c r="E1289">
        <v>-6.9228551453103613E-3</v>
      </c>
      <c r="F1289">
        <f t="shared" si="46"/>
        <v>-1.8238184301534042E-2</v>
      </c>
      <c r="G1289">
        <f t="shared" si="47"/>
        <v>-2.9873553207309323E-2</v>
      </c>
    </row>
    <row r="1290" spans="1:7" x14ac:dyDescent="0.35">
      <c r="A1290" t="s">
        <v>77</v>
      </c>
      <c r="E1290">
        <v>-9.823745517833769E-3</v>
      </c>
      <c r="F1290">
        <f t="shared" si="46"/>
        <v>-1.8243555126520615E-2</v>
      </c>
      <c r="G1290">
        <f t="shared" si="47"/>
        <v>-2.9873553207309323E-2</v>
      </c>
    </row>
    <row r="1291" spans="1:7" x14ac:dyDescent="0.35">
      <c r="A1291" t="s">
        <v>77</v>
      </c>
      <c r="E1291">
        <v>9.8298463834451729E-3</v>
      </c>
      <c r="F1291">
        <f t="shared" si="46"/>
        <v>-1.8248925951507188E-2</v>
      </c>
      <c r="G1291">
        <f t="shared" si="47"/>
        <v>-2.9873553207309323E-2</v>
      </c>
    </row>
    <row r="1292" spans="1:7" x14ac:dyDescent="0.35">
      <c r="A1292" t="s">
        <v>77</v>
      </c>
      <c r="E1292">
        <v>9.343384241656599E-3</v>
      </c>
      <c r="F1292">
        <f t="shared" si="46"/>
        <v>-1.8254296776493761E-2</v>
      </c>
      <c r="G1292">
        <f t="shared" si="47"/>
        <v>-2.9873553207309323E-2</v>
      </c>
    </row>
    <row r="1293" spans="1:7" x14ac:dyDescent="0.35">
      <c r="A1293" t="s">
        <v>77</v>
      </c>
      <c r="E1293">
        <v>1.6922075895607375E-4</v>
      </c>
      <c r="F1293">
        <f t="shared" si="46"/>
        <v>-1.8259667601480331E-2</v>
      </c>
      <c r="G1293">
        <f t="shared" si="47"/>
        <v>-2.9873553207309323E-2</v>
      </c>
    </row>
    <row r="1294" spans="1:7" x14ac:dyDescent="0.35">
      <c r="A1294" t="s">
        <v>77</v>
      </c>
      <c r="E1294">
        <v>-5.4840036242932398E-3</v>
      </c>
      <c r="F1294">
        <f t="shared" si="46"/>
        <v>-1.8265038426466904E-2</v>
      </c>
      <c r="G1294">
        <f t="shared" si="47"/>
        <v>-2.9873553207309323E-2</v>
      </c>
    </row>
    <row r="1295" spans="1:7" x14ac:dyDescent="0.35">
      <c r="A1295" t="s">
        <v>77</v>
      </c>
      <c r="E1295">
        <v>-1.1253638673534478E-2</v>
      </c>
      <c r="F1295">
        <f t="shared" si="46"/>
        <v>-1.8270409251453477E-2</v>
      </c>
      <c r="G1295">
        <f t="shared" si="47"/>
        <v>-2.9873553207309323E-2</v>
      </c>
    </row>
    <row r="1296" spans="1:7" x14ac:dyDescent="0.35">
      <c r="A1296" t="s">
        <v>77</v>
      </c>
      <c r="E1296">
        <v>2.3443080939613059E-2</v>
      </c>
      <c r="F1296">
        <f t="shared" si="46"/>
        <v>-1.8275780076440051E-2</v>
      </c>
      <c r="G1296">
        <f t="shared" si="47"/>
        <v>-2.9873553207309323E-2</v>
      </c>
    </row>
    <row r="1297" spans="1:7" x14ac:dyDescent="0.35">
      <c r="A1297" t="s">
        <v>77</v>
      </c>
      <c r="E1297">
        <v>-2.0871147316799577E-3</v>
      </c>
      <c r="F1297">
        <f t="shared" si="46"/>
        <v>-1.8281150901426624E-2</v>
      </c>
      <c r="G1297">
        <f t="shared" si="47"/>
        <v>-2.9873553207309323E-2</v>
      </c>
    </row>
    <row r="1298" spans="1:7" x14ac:dyDescent="0.35">
      <c r="A1298" t="s">
        <v>77</v>
      </c>
      <c r="E1298">
        <v>4.6270308271390819E-3</v>
      </c>
      <c r="F1298">
        <f t="shared" si="46"/>
        <v>-1.8286521726413194E-2</v>
      </c>
      <c r="G1298">
        <f t="shared" si="47"/>
        <v>-2.9873553207309323E-2</v>
      </c>
    </row>
    <row r="1299" spans="1:7" x14ac:dyDescent="0.35">
      <c r="A1299" t="s">
        <v>77</v>
      </c>
      <c r="E1299">
        <v>1.0067978788518313E-2</v>
      </c>
      <c r="F1299">
        <f t="shared" si="46"/>
        <v>-1.8291892551399767E-2</v>
      </c>
      <c r="G1299">
        <f t="shared" si="47"/>
        <v>-2.9873553207309323E-2</v>
      </c>
    </row>
    <row r="1300" spans="1:7" x14ac:dyDescent="0.35">
      <c r="A1300" t="s">
        <v>77</v>
      </c>
      <c r="E1300">
        <v>-6.3884682129828722E-3</v>
      </c>
      <c r="F1300">
        <f t="shared" si="46"/>
        <v>-1.829726337638634E-2</v>
      </c>
      <c r="G1300">
        <f t="shared" si="47"/>
        <v>-2.9873553207309323E-2</v>
      </c>
    </row>
    <row r="1301" spans="1:7" x14ac:dyDescent="0.35">
      <c r="A1301" t="s">
        <v>77</v>
      </c>
      <c r="E1301">
        <v>8.9243572286829443E-4</v>
      </c>
      <c r="F1301">
        <f t="shared" si="46"/>
        <v>-1.8298061775680319E-2</v>
      </c>
      <c r="G1301">
        <f t="shared" si="47"/>
        <v>-2.9966163525956709E-2</v>
      </c>
    </row>
    <row r="1302" spans="1:7" x14ac:dyDescent="0.35">
      <c r="A1302" t="s">
        <v>77</v>
      </c>
      <c r="E1302">
        <v>7.4672813431483833E-4</v>
      </c>
      <c r="F1302">
        <f t="shared" si="46"/>
        <v>-1.8298860174974299E-2</v>
      </c>
      <c r="G1302">
        <f t="shared" si="47"/>
        <v>-2.9966163525956709E-2</v>
      </c>
    </row>
    <row r="1303" spans="1:7" x14ac:dyDescent="0.35">
      <c r="A1303" t="s">
        <v>77</v>
      </c>
      <c r="E1303">
        <v>9.9381834829231352E-3</v>
      </c>
      <c r="F1303">
        <f t="shared" si="46"/>
        <v>-1.8299658574268279E-2</v>
      </c>
      <c r="G1303">
        <f t="shared" si="47"/>
        <v>-2.9966163525956709E-2</v>
      </c>
    </row>
    <row r="1304" spans="1:7" x14ac:dyDescent="0.35">
      <c r="A1304" t="s">
        <v>77</v>
      </c>
      <c r="E1304">
        <v>-6.5016926905532429E-3</v>
      </c>
      <c r="F1304">
        <f t="shared" si="46"/>
        <v>-1.8300456973562258E-2</v>
      </c>
      <c r="G1304">
        <f t="shared" si="47"/>
        <v>-2.9966163525956709E-2</v>
      </c>
    </row>
    <row r="1305" spans="1:7" x14ac:dyDescent="0.35">
      <c r="A1305" t="s">
        <v>77</v>
      </c>
      <c r="E1305">
        <v>6.6569634959245784E-3</v>
      </c>
      <c r="F1305">
        <f t="shared" si="46"/>
        <v>-1.8301255372856238E-2</v>
      </c>
      <c r="G1305">
        <f t="shared" si="47"/>
        <v>-2.9966163525956709E-2</v>
      </c>
    </row>
    <row r="1306" spans="1:7" x14ac:dyDescent="0.35">
      <c r="A1306" t="s">
        <v>77</v>
      </c>
      <c r="E1306">
        <v>-1.3312730554734711E-2</v>
      </c>
      <c r="F1306">
        <f t="shared" si="46"/>
        <v>-1.8302053772150217E-2</v>
      </c>
      <c r="G1306">
        <f t="shared" si="47"/>
        <v>-2.9966163525956709E-2</v>
      </c>
    </row>
    <row r="1307" spans="1:7" x14ac:dyDescent="0.35">
      <c r="A1307" t="s">
        <v>77</v>
      </c>
      <c r="E1307">
        <v>-2.9200187492075787E-3</v>
      </c>
      <c r="F1307">
        <f t="shared" si="46"/>
        <v>-1.8302852171444197E-2</v>
      </c>
      <c r="G1307">
        <f t="shared" si="47"/>
        <v>-2.9966163525956709E-2</v>
      </c>
    </row>
    <row r="1308" spans="1:7" x14ac:dyDescent="0.35">
      <c r="A1308" t="s">
        <v>77</v>
      </c>
      <c r="E1308">
        <v>5.5197089269811974E-3</v>
      </c>
      <c r="F1308">
        <f t="shared" si="46"/>
        <v>-1.8303650570738177E-2</v>
      </c>
      <c r="G1308">
        <f t="shared" si="47"/>
        <v>-2.9966163525956709E-2</v>
      </c>
    </row>
    <row r="1309" spans="1:7" x14ac:dyDescent="0.35">
      <c r="A1309" t="s">
        <v>77</v>
      </c>
      <c r="E1309">
        <v>9.7771194293492947E-3</v>
      </c>
      <c r="F1309">
        <f t="shared" si="46"/>
        <v>-1.8304448970032156E-2</v>
      </c>
      <c r="G1309">
        <f t="shared" si="47"/>
        <v>-2.9966163525956709E-2</v>
      </c>
    </row>
    <row r="1310" spans="1:7" x14ac:dyDescent="0.35">
      <c r="A1310" t="s">
        <v>77</v>
      </c>
      <c r="E1310">
        <v>-9.860554573472206E-3</v>
      </c>
      <c r="F1310">
        <f t="shared" si="46"/>
        <v>-1.8305247369326136E-2</v>
      </c>
      <c r="G1310">
        <f t="shared" si="47"/>
        <v>-2.9966163525956709E-2</v>
      </c>
    </row>
    <row r="1311" spans="1:7" x14ac:dyDescent="0.35">
      <c r="A1311" t="s">
        <v>78</v>
      </c>
      <c r="B1311" s="3" cm="1">
        <f t="array" ref="B1311">_xlfn.STDEV.S(_xlfn._xlws.FILTER($E$1000:$E$1998, $A$1000:$A$1998="2015-04"))</f>
        <v>1.0806542632112962E-2</v>
      </c>
      <c r="C1311" s="3" cm="1">
        <f t="array" ref="C1311">AVERAGE(_xlfn._xlws.FILTER($E$1000:$E$1998, $A$1000:$A$1998="2015-04"))</f>
        <v>1.2747858371622281E-4</v>
      </c>
      <c r="D1311" s="3" cm="1">
        <f t="array" ref="D1311">_xlfn.PERCENTILE.EXC(_xlfn._xlws.FILTER($E$1000:$E$1497, $A$1000:$A$1497="2015-04"), 0.05)</f>
        <v>-2.5844006638714705E-2</v>
      </c>
      <c r="E1311">
        <v>5.6617418119995289E-3</v>
      </c>
      <c r="F1311">
        <f t="shared" si="46"/>
        <v>-1.8306045768620115E-2</v>
      </c>
      <c r="G1311">
        <f t="shared" si="47"/>
        <v>-2.9966163525956709E-2</v>
      </c>
    </row>
    <row r="1312" spans="1:7" x14ac:dyDescent="0.35">
      <c r="A1312" t="s">
        <v>78</v>
      </c>
      <c r="E1312">
        <v>2.3519301790183938E-3</v>
      </c>
      <c r="F1312">
        <f t="shared" si="46"/>
        <v>-1.8306844167914095E-2</v>
      </c>
      <c r="G1312">
        <f t="shared" si="47"/>
        <v>-2.9966163525956709E-2</v>
      </c>
    </row>
    <row r="1313" spans="1:7" x14ac:dyDescent="0.35">
      <c r="A1313" t="s">
        <v>78</v>
      </c>
      <c r="E1313">
        <v>1.5070703504598708E-2</v>
      </c>
      <c r="F1313">
        <f t="shared" si="46"/>
        <v>-1.8307642567208075E-2</v>
      </c>
      <c r="G1313">
        <f t="shared" si="47"/>
        <v>-2.9966163525956709E-2</v>
      </c>
    </row>
    <row r="1314" spans="1:7" x14ac:dyDescent="0.35">
      <c r="A1314" t="s">
        <v>78</v>
      </c>
      <c r="E1314">
        <v>-2.7857580916242184E-3</v>
      </c>
      <c r="F1314">
        <f t="shared" si="46"/>
        <v>-1.8308440966502054E-2</v>
      </c>
      <c r="G1314">
        <f t="shared" si="47"/>
        <v>-2.9966163525956709E-2</v>
      </c>
    </row>
    <row r="1315" spans="1:7" x14ac:dyDescent="0.35">
      <c r="A1315" t="s">
        <v>78</v>
      </c>
      <c r="E1315">
        <v>1.393630209253275E-2</v>
      </c>
      <c r="F1315">
        <f t="shared" si="46"/>
        <v>-1.8309239365796034E-2</v>
      </c>
      <c r="G1315">
        <f t="shared" si="47"/>
        <v>-2.9966163525956709E-2</v>
      </c>
    </row>
    <row r="1316" spans="1:7" x14ac:dyDescent="0.35">
      <c r="A1316" t="s">
        <v>78</v>
      </c>
      <c r="E1316">
        <v>6.0309807938759459E-3</v>
      </c>
      <c r="F1316">
        <f t="shared" si="46"/>
        <v>-1.8310037765090013E-2</v>
      </c>
      <c r="G1316">
        <f t="shared" si="47"/>
        <v>-2.9966163525956709E-2</v>
      </c>
    </row>
    <row r="1317" spans="1:7" x14ac:dyDescent="0.35">
      <c r="A1317" t="s">
        <v>78</v>
      </c>
      <c r="E1317">
        <v>2.6032500041701725E-3</v>
      </c>
      <c r="F1317">
        <f t="shared" si="46"/>
        <v>-1.8310836164383993E-2</v>
      </c>
      <c r="G1317">
        <f t="shared" si="47"/>
        <v>-2.9966163525956709E-2</v>
      </c>
    </row>
    <row r="1318" spans="1:7" x14ac:dyDescent="0.35">
      <c r="A1318" t="s">
        <v>78</v>
      </c>
      <c r="E1318">
        <v>-6.8868454367572926E-3</v>
      </c>
      <c r="F1318">
        <f t="shared" si="46"/>
        <v>-1.8311634563677973E-2</v>
      </c>
      <c r="G1318">
        <f t="shared" si="47"/>
        <v>-2.9966163525956709E-2</v>
      </c>
    </row>
    <row r="1319" spans="1:7" x14ac:dyDescent="0.35">
      <c r="A1319" t="s">
        <v>78</v>
      </c>
      <c r="E1319">
        <v>6.9306196493757032E-3</v>
      </c>
      <c r="F1319">
        <f t="shared" si="46"/>
        <v>-1.8312432962971952E-2</v>
      </c>
      <c r="G1319">
        <f t="shared" si="47"/>
        <v>-2.9966163525956709E-2</v>
      </c>
    </row>
    <row r="1320" spans="1:7" x14ac:dyDescent="0.35">
      <c r="A1320" t="s">
        <v>78</v>
      </c>
      <c r="E1320">
        <v>-5.699119524858169E-3</v>
      </c>
      <c r="F1320">
        <f t="shared" si="46"/>
        <v>-1.8313231362265932E-2</v>
      </c>
      <c r="G1320">
        <f t="shared" si="47"/>
        <v>-2.9966163525956709E-2</v>
      </c>
    </row>
    <row r="1321" spans="1:7" x14ac:dyDescent="0.35">
      <c r="A1321" t="s">
        <v>78</v>
      </c>
      <c r="E1321">
        <v>-1.5670065765200289E-2</v>
      </c>
      <c r="F1321">
        <f t="shared" si="46"/>
        <v>-1.8326494899788472E-2</v>
      </c>
      <c r="G1321">
        <f t="shared" si="47"/>
        <v>-3.0060138785341309E-2</v>
      </c>
    </row>
    <row r="1322" spans="1:7" x14ac:dyDescent="0.35">
      <c r="A1322" t="s">
        <v>78</v>
      </c>
      <c r="E1322">
        <v>8.5821151376733913E-3</v>
      </c>
      <c r="F1322">
        <f t="shared" si="46"/>
        <v>-1.8339758437311008E-2</v>
      </c>
      <c r="G1322">
        <f t="shared" si="47"/>
        <v>-3.0060138785341309E-2</v>
      </c>
    </row>
    <row r="1323" spans="1:7" x14ac:dyDescent="0.35">
      <c r="A1323" t="s">
        <v>78</v>
      </c>
      <c r="E1323">
        <v>9.7300356512693077E-4</v>
      </c>
      <c r="F1323">
        <f t="shared" si="46"/>
        <v>-1.8353021974833548E-2</v>
      </c>
      <c r="G1323">
        <f t="shared" si="47"/>
        <v>-3.0060138785341309E-2</v>
      </c>
    </row>
    <row r="1324" spans="1:7" x14ac:dyDescent="0.35">
      <c r="A1324" t="s">
        <v>78</v>
      </c>
      <c r="E1324">
        <v>3.5468085660655753E-3</v>
      </c>
      <c r="F1324">
        <f t="shared" si="46"/>
        <v>-1.8366285512356084E-2</v>
      </c>
      <c r="G1324">
        <f t="shared" si="47"/>
        <v>-3.0060138785341309E-2</v>
      </c>
    </row>
    <row r="1325" spans="1:7" x14ac:dyDescent="0.35">
      <c r="A1325" t="s">
        <v>78</v>
      </c>
      <c r="E1325">
        <v>-6.194437516519059E-3</v>
      </c>
      <c r="F1325">
        <f t="shared" si="46"/>
        <v>-1.8379549049878628E-2</v>
      </c>
      <c r="G1325">
        <f t="shared" si="47"/>
        <v>-3.0060138785341309E-2</v>
      </c>
    </row>
    <row r="1326" spans="1:7" x14ac:dyDescent="0.35">
      <c r="A1326" t="s">
        <v>78</v>
      </c>
      <c r="E1326">
        <v>4.3428234522834511E-3</v>
      </c>
      <c r="F1326">
        <f t="shared" si="46"/>
        <v>-1.8392812587401164E-2</v>
      </c>
      <c r="G1326">
        <f t="shared" si="47"/>
        <v>-3.0060138785341309E-2</v>
      </c>
    </row>
    <row r="1327" spans="1:7" x14ac:dyDescent="0.35">
      <c r="A1327" t="s">
        <v>78</v>
      </c>
      <c r="E1327">
        <v>1.2886077170355793E-2</v>
      </c>
      <c r="F1327">
        <f t="shared" si="46"/>
        <v>-1.8406076124923704E-2</v>
      </c>
      <c r="G1327">
        <f t="shared" si="47"/>
        <v>-3.0060138785341309E-2</v>
      </c>
    </row>
    <row r="1328" spans="1:7" x14ac:dyDescent="0.35">
      <c r="A1328" t="s">
        <v>78</v>
      </c>
      <c r="E1328">
        <v>-1.829726337638634E-2</v>
      </c>
      <c r="F1328">
        <f t="shared" si="46"/>
        <v>-1.841933966244624E-2</v>
      </c>
      <c r="G1328">
        <f t="shared" si="47"/>
        <v>-3.0060138785341309E-2</v>
      </c>
    </row>
    <row r="1329" spans="1:7" x14ac:dyDescent="0.35">
      <c r="A1329" t="s">
        <v>78</v>
      </c>
      <c r="E1329">
        <v>-2.6241203652521462E-2</v>
      </c>
      <c r="F1329">
        <f t="shared" si="46"/>
        <v>-1.843260319996878E-2</v>
      </c>
      <c r="G1329">
        <f t="shared" si="47"/>
        <v>-3.0060138785341309E-2</v>
      </c>
    </row>
    <row r="1330" spans="1:7" x14ac:dyDescent="0.35">
      <c r="A1330" t="s">
        <v>78</v>
      </c>
      <c r="E1330">
        <v>1.4079091111149444E-3</v>
      </c>
      <c r="F1330">
        <f t="shared" si="46"/>
        <v>-1.8251539119460411E-2</v>
      </c>
      <c r="G1330">
        <f t="shared" si="47"/>
        <v>-2.9996203524936028E-2</v>
      </c>
    </row>
    <row r="1331" spans="1:7" x14ac:dyDescent="0.35">
      <c r="A1331" t="s">
        <v>79</v>
      </c>
      <c r="B1331" s="3" cm="1">
        <f t="array" ref="B1331">_xlfn.STDEV.S(_xlfn._xlws.FILTER($E$1000:$E$1998, $A$1000:$A$1998="2015-05"))</f>
        <v>1.3327686370763226E-2</v>
      </c>
      <c r="C1331" s="3" cm="1">
        <f t="array" ref="C1331">AVERAGE(_xlfn._xlws.FILTER($E$1000:$E$1998, $A$1000:$A$1998="2015-05"))</f>
        <v>-4.2657130128283434E-4</v>
      </c>
      <c r="D1331" s="3" cm="1">
        <f t="array" ref="D1331">_xlfn.PERCENTILE.INC(_xlfn._xlws.FILTER($E$1000:$E$1497, $A$1000:$A$1497="2015-05"), 0.05)</f>
        <v>-1.6128775006962581E-2</v>
      </c>
      <c r="E1331">
        <v>-1.4454533660702278E-2</v>
      </c>
      <c r="F1331">
        <f t="shared" si="46"/>
        <v>-1.8257708343740964E-2</v>
      </c>
      <c r="G1331">
        <f t="shared" si="47"/>
        <v>-2.9996203524936028E-2</v>
      </c>
    </row>
    <row r="1332" spans="1:7" x14ac:dyDescent="0.35">
      <c r="A1332" t="s">
        <v>79</v>
      </c>
      <c r="E1332">
        <v>1.5106987241802288E-3</v>
      </c>
      <c r="F1332">
        <f t="shared" si="46"/>
        <v>-1.8263877568021517E-2</v>
      </c>
      <c r="G1332">
        <f t="shared" si="47"/>
        <v>-2.9996203524936028E-2</v>
      </c>
    </row>
    <row r="1333" spans="1:7" x14ac:dyDescent="0.35">
      <c r="A1333" t="s">
        <v>79</v>
      </c>
      <c r="E1333">
        <v>-2.8887897131944563E-3</v>
      </c>
      <c r="F1333">
        <f t="shared" si="46"/>
        <v>-1.8270046792302066E-2</v>
      </c>
      <c r="G1333">
        <f t="shared" si="47"/>
        <v>-2.9996203524936028E-2</v>
      </c>
    </row>
    <row r="1334" spans="1:7" x14ac:dyDescent="0.35">
      <c r="A1334" t="s">
        <v>79</v>
      </c>
      <c r="E1334">
        <v>2.4494120978642245E-2</v>
      </c>
      <c r="F1334">
        <f t="shared" si="46"/>
        <v>-1.8276216016582619E-2</v>
      </c>
      <c r="G1334">
        <f t="shared" si="47"/>
        <v>-2.9996203524936028E-2</v>
      </c>
    </row>
    <row r="1335" spans="1:7" x14ac:dyDescent="0.35">
      <c r="A1335" t="s">
        <v>79</v>
      </c>
      <c r="E1335">
        <v>-1.2358013269423448E-2</v>
      </c>
      <c r="F1335">
        <f t="shared" si="46"/>
        <v>-1.8282385240863171E-2</v>
      </c>
      <c r="G1335">
        <f t="shared" si="47"/>
        <v>-2.9996203524936028E-2</v>
      </c>
    </row>
    <row r="1336" spans="1:7" x14ac:dyDescent="0.35">
      <c r="A1336" t="s">
        <v>79</v>
      </c>
      <c r="E1336">
        <v>-1.0641418805968788E-2</v>
      </c>
      <c r="F1336">
        <f t="shared" si="46"/>
        <v>-1.8288554465143724E-2</v>
      </c>
      <c r="G1336">
        <f t="shared" si="47"/>
        <v>-2.9996203524936028E-2</v>
      </c>
    </row>
    <row r="1337" spans="1:7" x14ac:dyDescent="0.35">
      <c r="A1337" t="s">
        <v>79</v>
      </c>
      <c r="E1337">
        <v>-2.5743459350517283E-3</v>
      </c>
      <c r="F1337">
        <f t="shared" si="46"/>
        <v>-1.8294723689424277E-2</v>
      </c>
      <c r="G1337">
        <f t="shared" si="47"/>
        <v>-2.9996203524936028E-2</v>
      </c>
    </row>
    <row r="1338" spans="1:7" x14ac:dyDescent="0.35">
      <c r="A1338" t="s">
        <v>79</v>
      </c>
      <c r="E1338">
        <v>1.3502127321752148E-2</v>
      </c>
      <c r="F1338">
        <f t="shared" si="46"/>
        <v>-1.8300892913704826E-2</v>
      </c>
      <c r="G1338">
        <f t="shared" si="47"/>
        <v>-2.9996203524936028E-2</v>
      </c>
    </row>
    <row r="1339" spans="1:7" x14ac:dyDescent="0.35">
      <c r="A1339" t="s">
        <v>79</v>
      </c>
      <c r="E1339">
        <v>-7.0816498075559091E-3</v>
      </c>
      <c r="F1339">
        <f t="shared" si="46"/>
        <v>-1.8307062137985379E-2</v>
      </c>
      <c r="G1339">
        <f t="shared" si="47"/>
        <v>-2.9996203524936028E-2</v>
      </c>
    </row>
    <row r="1340" spans="1:7" x14ac:dyDescent="0.35">
      <c r="A1340" t="s">
        <v>79</v>
      </c>
      <c r="E1340">
        <v>3.6957387212526644E-3</v>
      </c>
      <c r="F1340">
        <f t="shared" si="46"/>
        <v>-1.8313231362265932E-2</v>
      </c>
      <c r="G1340">
        <f t="shared" si="47"/>
        <v>-2.9996203524936028E-2</v>
      </c>
    </row>
    <row r="1341" spans="1:7" x14ac:dyDescent="0.35">
      <c r="A1341" t="s">
        <v>79</v>
      </c>
      <c r="E1341">
        <v>2.0730069529440329E-2</v>
      </c>
      <c r="F1341">
        <f t="shared" si="46"/>
        <v>-1.8326494899788472E-2</v>
      </c>
      <c r="G1341">
        <f t="shared" si="47"/>
        <v>-3.0091187038453669E-2</v>
      </c>
    </row>
    <row r="1342" spans="1:7" x14ac:dyDescent="0.35">
      <c r="A1342" t="s">
        <v>79</v>
      </c>
      <c r="E1342">
        <v>3.121771017098836E-3</v>
      </c>
      <c r="F1342">
        <f t="shared" si="46"/>
        <v>-1.8339758437311008E-2</v>
      </c>
      <c r="G1342">
        <f t="shared" si="47"/>
        <v>-3.0091187038453669E-2</v>
      </c>
    </row>
    <row r="1343" spans="1:7" x14ac:dyDescent="0.35">
      <c r="A1343" t="s">
        <v>79</v>
      </c>
      <c r="E1343">
        <v>2.607005367587149E-3</v>
      </c>
      <c r="F1343">
        <f t="shared" si="46"/>
        <v>-1.8353021974833548E-2</v>
      </c>
      <c r="G1343">
        <f t="shared" si="47"/>
        <v>-3.0091187038453669E-2</v>
      </c>
    </row>
    <row r="1344" spans="1:7" x14ac:dyDescent="0.35">
      <c r="A1344" t="s">
        <v>79</v>
      </c>
      <c r="E1344">
        <v>-7.4055432220780637E-4</v>
      </c>
      <c r="F1344">
        <f t="shared" si="46"/>
        <v>-1.8366285512356084E-2</v>
      </c>
      <c r="G1344">
        <f t="shared" si="47"/>
        <v>-3.0091187038453669E-2</v>
      </c>
    </row>
    <row r="1345" spans="1:7" x14ac:dyDescent="0.35">
      <c r="A1345" t="s">
        <v>79</v>
      </c>
      <c r="E1345">
        <v>-1.1607308972682993E-2</v>
      </c>
      <c r="F1345">
        <f t="shared" si="46"/>
        <v>-1.8379549049878628E-2</v>
      </c>
      <c r="G1345">
        <f t="shared" si="47"/>
        <v>-3.0091187038453669E-2</v>
      </c>
    </row>
    <row r="1346" spans="1:7" x14ac:dyDescent="0.35">
      <c r="A1346" t="s">
        <v>79</v>
      </c>
      <c r="E1346">
        <v>1.9285484726460904E-2</v>
      </c>
      <c r="F1346">
        <f t="shared" si="46"/>
        <v>-1.8392812587401164E-2</v>
      </c>
      <c r="G1346">
        <f t="shared" si="47"/>
        <v>-3.0091187038453669E-2</v>
      </c>
    </row>
    <row r="1347" spans="1:7" x14ac:dyDescent="0.35">
      <c r="A1347" t="s">
        <v>79</v>
      </c>
      <c r="E1347">
        <v>-8.6625426869471368E-3</v>
      </c>
      <c r="F1347">
        <f t="shared" si="46"/>
        <v>-1.8406076124923704E-2</v>
      </c>
      <c r="G1347">
        <f t="shared" si="47"/>
        <v>-3.0091187038453669E-2</v>
      </c>
    </row>
    <row r="1348" spans="1:7" x14ac:dyDescent="0.35">
      <c r="A1348" t="s">
        <v>79</v>
      </c>
      <c r="E1348">
        <v>-2.5616142635770979E-2</v>
      </c>
      <c r="F1348">
        <f t="shared" ref="F1348:F1411" si="48">_xlfn.PERCENTILE.EXC(E1348:E5163,0.05)</f>
        <v>-1.841933966244624E-2</v>
      </c>
      <c r="G1348">
        <f t="shared" ref="G1348:G1411" si="49">AVERAGEIFS(E1348:E5164,E1348:E5164,"&lt;=" &amp; F1348)</f>
        <v>-3.0091187038453669E-2</v>
      </c>
    </row>
    <row r="1349" spans="1:7" x14ac:dyDescent="0.35">
      <c r="A1349" t="s">
        <v>80</v>
      </c>
      <c r="B1349" s="3" cm="1">
        <f t="array" ref="B1349">_xlfn.STDEV.S(_xlfn._xlws.FILTER($E$1000:$E$1998, $A$1000:$A$1998="2015-06"))</f>
        <v>1.4961725109216041E-2</v>
      </c>
      <c r="C1349" s="3" cm="1">
        <f t="array" ref="C1349">AVERAGE(_xlfn._xlws.FILTER($E$1000:$E$1998, $A$1000:$A$1998="2015-06"))</f>
        <v>-2.0201138407148918E-3</v>
      </c>
      <c r="D1349" s="3" cm="1">
        <f t="array" ref="D1349">_xlfn.PERCENTILE.EXC(_xlfn._xlws.FILTER($E$1000:$E$1497, $A$1000:$A$1497="2015-06"), 0.05)</f>
        <v>-3.5073726973218151E-2</v>
      </c>
      <c r="E1349">
        <v>3.4704849552771146E-3</v>
      </c>
      <c r="F1349">
        <f t="shared" si="48"/>
        <v>-1.8245369895179858E-2</v>
      </c>
      <c r="G1349">
        <f t="shared" si="49"/>
        <v>-3.0031813776067451E-2</v>
      </c>
    </row>
    <row r="1350" spans="1:7" x14ac:dyDescent="0.35">
      <c r="A1350" t="s">
        <v>80</v>
      </c>
      <c r="E1350">
        <v>-4.1556388170939573E-3</v>
      </c>
      <c r="F1350">
        <f t="shared" si="48"/>
        <v>-1.8251539119460411E-2</v>
      </c>
      <c r="G1350">
        <f t="shared" si="49"/>
        <v>-3.0031813776067451E-2</v>
      </c>
    </row>
    <row r="1351" spans="1:7" x14ac:dyDescent="0.35">
      <c r="A1351" t="s">
        <v>80</v>
      </c>
      <c r="E1351">
        <v>5.91915166594029E-3</v>
      </c>
      <c r="F1351">
        <f t="shared" si="48"/>
        <v>-1.8257708343740964E-2</v>
      </c>
      <c r="G1351">
        <f t="shared" si="49"/>
        <v>-3.0031813776067451E-2</v>
      </c>
    </row>
    <row r="1352" spans="1:7" x14ac:dyDescent="0.35">
      <c r="A1352" t="s">
        <v>80</v>
      </c>
      <c r="E1352">
        <v>-9.3880725040146919E-3</v>
      </c>
      <c r="F1352">
        <f t="shared" si="48"/>
        <v>-1.8263877568021517E-2</v>
      </c>
      <c r="G1352">
        <f t="shared" si="49"/>
        <v>-3.0031813776067451E-2</v>
      </c>
    </row>
    <row r="1353" spans="1:7" x14ac:dyDescent="0.35">
      <c r="A1353" t="s">
        <v>80</v>
      </c>
      <c r="E1353">
        <v>-1.3401668302087543E-2</v>
      </c>
      <c r="F1353">
        <f t="shared" si="48"/>
        <v>-1.8270046792302066E-2</v>
      </c>
      <c r="G1353">
        <f t="shared" si="49"/>
        <v>-3.0031813776067451E-2</v>
      </c>
    </row>
    <row r="1354" spans="1:7" x14ac:dyDescent="0.35">
      <c r="A1354" t="s">
        <v>80</v>
      </c>
      <c r="E1354">
        <v>-1.2902085216865014E-2</v>
      </c>
      <c r="F1354">
        <f t="shared" si="48"/>
        <v>-1.8276216016582619E-2</v>
      </c>
      <c r="G1354">
        <f t="shared" si="49"/>
        <v>-3.0031813776067451E-2</v>
      </c>
    </row>
    <row r="1355" spans="1:7" x14ac:dyDescent="0.35">
      <c r="A1355" t="s">
        <v>80</v>
      </c>
      <c r="E1355">
        <v>-1.5327757361295541E-3</v>
      </c>
      <c r="F1355">
        <f t="shared" si="48"/>
        <v>-1.8282385240863171E-2</v>
      </c>
      <c r="G1355">
        <f t="shared" si="49"/>
        <v>-3.0031813776067451E-2</v>
      </c>
    </row>
    <row r="1356" spans="1:7" x14ac:dyDescent="0.35">
      <c r="A1356" t="s">
        <v>80</v>
      </c>
      <c r="E1356">
        <v>1.7310370891717289E-2</v>
      </c>
      <c r="F1356">
        <f t="shared" si="48"/>
        <v>-1.8288554465143724E-2</v>
      </c>
      <c r="G1356">
        <f t="shared" si="49"/>
        <v>-3.0031813776067451E-2</v>
      </c>
    </row>
    <row r="1357" spans="1:7" x14ac:dyDescent="0.35">
      <c r="A1357" t="s">
        <v>80</v>
      </c>
      <c r="E1357">
        <v>7.3610204094358639E-3</v>
      </c>
      <c r="F1357">
        <f t="shared" si="48"/>
        <v>-1.8294723689424277E-2</v>
      </c>
      <c r="G1357">
        <f t="shared" si="49"/>
        <v>-3.0031813776067451E-2</v>
      </c>
    </row>
    <row r="1358" spans="1:7" x14ac:dyDescent="0.35">
      <c r="A1358" t="s">
        <v>80</v>
      </c>
      <c r="E1358">
        <v>-1.4217423272100451E-2</v>
      </c>
      <c r="F1358">
        <f t="shared" si="48"/>
        <v>-1.8300892913704826E-2</v>
      </c>
      <c r="G1358">
        <f t="shared" si="49"/>
        <v>-3.0031813776067451E-2</v>
      </c>
    </row>
    <row r="1359" spans="1:7" x14ac:dyDescent="0.35">
      <c r="A1359" t="s">
        <v>80</v>
      </c>
      <c r="E1359">
        <v>-1.7667223964051394E-2</v>
      </c>
      <c r="F1359">
        <f t="shared" si="48"/>
        <v>-1.8307062137985379E-2</v>
      </c>
      <c r="G1359">
        <f t="shared" si="49"/>
        <v>-3.0031813776067451E-2</v>
      </c>
    </row>
    <row r="1360" spans="1:7" x14ac:dyDescent="0.35">
      <c r="A1360" t="s">
        <v>80</v>
      </c>
      <c r="E1360">
        <v>5.0749858799872998E-3</v>
      </c>
      <c r="F1360">
        <f t="shared" si="48"/>
        <v>-1.8313231362265932E-2</v>
      </c>
      <c r="G1360">
        <f t="shared" si="49"/>
        <v>-3.0031813776067451E-2</v>
      </c>
    </row>
    <row r="1361" spans="1:7" x14ac:dyDescent="0.35">
      <c r="A1361" t="s">
        <v>80</v>
      </c>
      <c r="E1361">
        <v>-1.0225955318007891E-2</v>
      </c>
      <c r="F1361">
        <f t="shared" si="48"/>
        <v>-1.8326494899788472E-2</v>
      </c>
      <c r="G1361">
        <f t="shared" si="49"/>
        <v>-3.0127867730278934E-2</v>
      </c>
    </row>
    <row r="1362" spans="1:7" x14ac:dyDescent="0.35">
      <c r="A1362" t="s">
        <v>80</v>
      </c>
      <c r="E1362">
        <v>2.6808158559582357E-3</v>
      </c>
      <c r="F1362">
        <f t="shared" si="48"/>
        <v>-1.8339758437311008E-2</v>
      </c>
      <c r="G1362">
        <f t="shared" si="49"/>
        <v>-3.0127867730278934E-2</v>
      </c>
    </row>
    <row r="1363" spans="1:7" x14ac:dyDescent="0.35">
      <c r="A1363" t="s">
        <v>80</v>
      </c>
      <c r="E1363">
        <v>2.4722302678377868E-3</v>
      </c>
      <c r="F1363">
        <f t="shared" si="48"/>
        <v>-1.8353021974833548E-2</v>
      </c>
      <c r="G1363">
        <f t="shared" si="49"/>
        <v>-3.0127867730278934E-2</v>
      </c>
    </row>
    <row r="1364" spans="1:7" x14ac:dyDescent="0.35">
      <c r="A1364" t="s">
        <v>80</v>
      </c>
      <c r="E1364">
        <v>3.7346988288797123E-2</v>
      </c>
      <c r="F1364">
        <f t="shared" si="48"/>
        <v>-1.8366285512356084E-2</v>
      </c>
      <c r="G1364">
        <f t="shared" si="49"/>
        <v>-3.0127867730278934E-2</v>
      </c>
    </row>
    <row r="1365" spans="1:7" x14ac:dyDescent="0.35">
      <c r="A1365" t="s">
        <v>80</v>
      </c>
      <c r="E1365">
        <v>1.1748006348363113E-2</v>
      </c>
      <c r="F1365">
        <f t="shared" si="48"/>
        <v>-1.8379549049878628E-2</v>
      </c>
      <c r="G1365">
        <f t="shared" si="49"/>
        <v>-3.0127867730278934E-2</v>
      </c>
    </row>
    <row r="1366" spans="1:7" x14ac:dyDescent="0.35">
      <c r="A1366" t="s">
        <v>80</v>
      </c>
      <c r="E1366">
        <v>-2.4408531146797594E-3</v>
      </c>
      <c r="F1366">
        <f t="shared" si="48"/>
        <v>-1.8392812587401164E-2</v>
      </c>
      <c r="G1366">
        <f t="shared" si="49"/>
        <v>-3.0127867730278934E-2</v>
      </c>
    </row>
    <row r="1367" spans="1:7" x14ac:dyDescent="0.35">
      <c r="A1367" t="s">
        <v>80</v>
      </c>
      <c r="E1367">
        <v>-7.2171676543990304E-4</v>
      </c>
      <c r="F1367">
        <f t="shared" si="48"/>
        <v>-1.8406076124923704E-2</v>
      </c>
      <c r="G1367">
        <f t="shared" si="49"/>
        <v>-3.0127867730278934E-2</v>
      </c>
    </row>
    <row r="1368" spans="1:7" x14ac:dyDescent="0.35">
      <c r="A1368" t="s">
        <v>80</v>
      </c>
      <c r="E1368">
        <v>3.4571279709826783E-3</v>
      </c>
      <c r="F1368">
        <f t="shared" si="48"/>
        <v>-1.841933966244624E-2</v>
      </c>
      <c r="G1368">
        <f t="shared" si="49"/>
        <v>-3.0127867730278934E-2</v>
      </c>
    </row>
    <row r="1369" spans="1:7" x14ac:dyDescent="0.35">
      <c r="A1369" t="s">
        <v>80</v>
      </c>
      <c r="E1369">
        <v>-3.8145462798365226E-2</v>
      </c>
      <c r="F1369">
        <f t="shared" si="48"/>
        <v>-1.843260319996878E-2</v>
      </c>
      <c r="G1369">
        <f t="shared" si="49"/>
        <v>-3.0127867730278934E-2</v>
      </c>
    </row>
    <row r="1370" spans="1:7" x14ac:dyDescent="0.35">
      <c r="A1370" t="s">
        <v>80</v>
      </c>
      <c r="E1370">
        <v>-1.6484811221189027E-2</v>
      </c>
      <c r="F1370">
        <f t="shared" si="48"/>
        <v>-1.8251539119460411E-2</v>
      </c>
      <c r="G1370">
        <f t="shared" si="49"/>
        <v>-2.996530845621255E-2</v>
      </c>
    </row>
    <row r="1371" spans="1:7" x14ac:dyDescent="0.35">
      <c r="A1371" t="s">
        <v>81</v>
      </c>
      <c r="B1371" s="3" cm="1">
        <f t="array" ref="B1371">_xlfn.STDEV.S(_xlfn._xlws.FILTER($E$1000:$E$1998, $A$1000:$A$1998="2015-07"))</f>
        <v>1.4405817868093617E-2</v>
      </c>
      <c r="C1371" s="3" cm="1">
        <f t="array" ref="C1371">AVERAGE(_xlfn._xlws.FILTER($E$1000:$E$1998, $A$1000:$A$1998="2015-07"))</f>
        <v>2.5762063032099499E-3</v>
      </c>
      <c r="D1371" s="3" cm="1">
        <f t="array" ref="D1371">_xlfn.PERCENTILE.EXC(_xlfn._xlws.FILTER($E$1000:$E$1497, $A$1000:$A$1497="2015-07"), 0.05)</f>
        <v>-2.5384108675679643E-2</v>
      </c>
      <c r="E1371">
        <v>1.9226530623756725E-2</v>
      </c>
      <c r="F1371">
        <f t="shared" si="48"/>
        <v>-1.8257708343740964E-2</v>
      </c>
      <c r="G1371">
        <f t="shared" si="49"/>
        <v>-2.996530845621255E-2</v>
      </c>
    </row>
    <row r="1372" spans="1:7" x14ac:dyDescent="0.35">
      <c r="A1372" t="s">
        <v>81</v>
      </c>
      <c r="E1372">
        <v>-9.8017504996730422E-3</v>
      </c>
      <c r="F1372">
        <f t="shared" si="48"/>
        <v>-1.8263877568021517E-2</v>
      </c>
      <c r="G1372">
        <f t="shared" si="49"/>
        <v>-2.996530845621255E-2</v>
      </c>
    </row>
    <row r="1373" spans="1:7" x14ac:dyDescent="0.35">
      <c r="A1373" t="s">
        <v>81</v>
      </c>
      <c r="E1373">
        <v>-5.6699910710615179E-3</v>
      </c>
      <c r="F1373">
        <f t="shared" si="48"/>
        <v>-1.8270046792302066E-2</v>
      </c>
      <c r="G1373">
        <f t="shared" si="49"/>
        <v>-2.996530845621255E-2</v>
      </c>
    </row>
    <row r="1374" spans="1:7" x14ac:dyDescent="0.35">
      <c r="A1374" t="s">
        <v>81</v>
      </c>
      <c r="E1374">
        <v>-2.0312134763772478E-2</v>
      </c>
      <c r="F1374">
        <f t="shared" si="48"/>
        <v>-1.8276216016582619E-2</v>
      </c>
      <c r="G1374">
        <f t="shared" si="49"/>
        <v>-2.996530845621255E-2</v>
      </c>
    </row>
    <row r="1375" spans="1:7" x14ac:dyDescent="0.35">
      <c r="A1375" t="s">
        <v>81</v>
      </c>
      <c r="E1375">
        <v>-2.2950327738248372E-2</v>
      </c>
      <c r="F1375">
        <f t="shared" si="48"/>
        <v>-1.8185849528768859E-2</v>
      </c>
      <c r="G1375">
        <f t="shared" si="49"/>
        <v>-2.9947912653859127E-2</v>
      </c>
    </row>
    <row r="1376" spans="1:7" x14ac:dyDescent="0.35">
      <c r="A1376" t="s">
        <v>81</v>
      </c>
      <c r="E1376">
        <v>7.4386462786846051E-3</v>
      </c>
      <c r="F1376">
        <f t="shared" si="48"/>
        <v>-1.8173681937729336E-2</v>
      </c>
      <c r="G1376">
        <f t="shared" si="49"/>
        <v>-2.9908761258341608E-2</v>
      </c>
    </row>
    <row r="1377" spans="1:7" x14ac:dyDescent="0.35">
      <c r="A1377" t="s">
        <v>81</v>
      </c>
      <c r="E1377">
        <v>2.5160326981524934E-2</v>
      </c>
      <c r="F1377">
        <f t="shared" si="48"/>
        <v>-1.8173725824574688E-2</v>
      </c>
      <c r="G1377">
        <f t="shared" si="49"/>
        <v>-2.9908761258341608E-2</v>
      </c>
    </row>
    <row r="1378" spans="1:7" x14ac:dyDescent="0.35">
      <c r="A1378" t="s">
        <v>81</v>
      </c>
      <c r="E1378">
        <v>3.0198075524643143E-2</v>
      </c>
      <c r="F1378">
        <f t="shared" si="48"/>
        <v>-1.8173769711420044E-2</v>
      </c>
      <c r="G1378">
        <f t="shared" si="49"/>
        <v>-2.9908761258341608E-2</v>
      </c>
    </row>
    <row r="1379" spans="1:7" x14ac:dyDescent="0.35">
      <c r="A1379" t="s">
        <v>81</v>
      </c>
      <c r="E1379">
        <v>1.919630067534172E-2</v>
      </c>
      <c r="F1379">
        <f t="shared" si="48"/>
        <v>-1.8173813598265396E-2</v>
      </c>
      <c r="G1379">
        <f t="shared" si="49"/>
        <v>-2.9908761258341608E-2</v>
      </c>
    </row>
    <row r="1380" spans="1:7" x14ac:dyDescent="0.35">
      <c r="A1380" t="s">
        <v>81</v>
      </c>
      <c r="E1380">
        <v>6.8530770463737789E-3</v>
      </c>
      <c r="F1380">
        <f t="shared" si="48"/>
        <v>-1.8173857485110752E-2</v>
      </c>
      <c r="G1380">
        <f t="shared" si="49"/>
        <v>-2.9908761258341608E-2</v>
      </c>
    </row>
    <row r="1381" spans="1:7" x14ac:dyDescent="0.35">
      <c r="A1381" t="s">
        <v>81</v>
      </c>
      <c r="E1381">
        <v>2.9306419671219458E-3</v>
      </c>
      <c r="F1381">
        <f t="shared" si="48"/>
        <v>-1.8174656954687958E-2</v>
      </c>
      <c r="G1381">
        <f t="shared" si="49"/>
        <v>-3.0005743934153437E-2</v>
      </c>
    </row>
    <row r="1382" spans="1:7" x14ac:dyDescent="0.35">
      <c r="A1382" t="s">
        <v>81</v>
      </c>
      <c r="E1382">
        <v>1.4605805665151761E-2</v>
      </c>
      <c r="F1382">
        <f t="shared" si="48"/>
        <v>-1.8175456424265164E-2</v>
      </c>
      <c r="G1382">
        <f t="shared" si="49"/>
        <v>-3.0005743934153437E-2</v>
      </c>
    </row>
    <row r="1383" spans="1:7" x14ac:dyDescent="0.35">
      <c r="A1383" t="s">
        <v>81</v>
      </c>
      <c r="E1383">
        <v>5.6412865581093074E-4</v>
      </c>
      <c r="F1383">
        <f t="shared" si="48"/>
        <v>-1.8176255893842374E-2</v>
      </c>
      <c r="G1383">
        <f t="shared" si="49"/>
        <v>-3.0005743934153437E-2</v>
      </c>
    </row>
    <row r="1384" spans="1:7" x14ac:dyDescent="0.35">
      <c r="A1384" t="s">
        <v>81</v>
      </c>
      <c r="E1384">
        <v>3.5259044133365792E-3</v>
      </c>
      <c r="F1384">
        <f t="shared" si="48"/>
        <v>-1.817705536341958E-2</v>
      </c>
      <c r="G1384">
        <f t="shared" si="49"/>
        <v>-3.0005743934153437E-2</v>
      </c>
    </row>
    <row r="1385" spans="1:7" x14ac:dyDescent="0.35">
      <c r="A1385" t="s">
        <v>81</v>
      </c>
      <c r="E1385">
        <v>-7.0094520023460793E-3</v>
      </c>
      <c r="F1385">
        <f t="shared" si="48"/>
        <v>-1.8177854832996786E-2</v>
      </c>
      <c r="G1385">
        <f t="shared" si="49"/>
        <v>-3.0005743934153437E-2</v>
      </c>
    </row>
    <row r="1386" spans="1:7" x14ac:dyDescent="0.35">
      <c r="A1386" t="s">
        <v>81</v>
      </c>
      <c r="E1386">
        <v>-4.7109067861014825E-3</v>
      </c>
      <c r="F1386">
        <f t="shared" si="48"/>
        <v>-1.8178654302573993E-2</v>
      </c>
      <c r="G1386">
        <f t="shared" si="49"/>
        <v>-3.0005743934153437E-2</v>
      </c>
    </row>
    <row r="1387" spans="1:7" x14ac:dyDescent="0.35">
      <c r="A1387" t="s">
        <v>81</v>
      </c>
      <c r="E1387">
        <v>8.2011468501288261E-4</v>
      </c>
      <c r="F1387">
        <f t="shared" si="48"/>
        <v>-1.8179453772151202E-2</v>
      </c>
      <c r="G1387">
        <f t="shared" si="49"/>
        <v>-3.0005743934153437E-2</v>
      </c>
    </row>
    <row r="1388" spans="1:7" x14ac:dyDescent="0.35">
      <c r="A1388" t="s">
        <v>81</v>
      </c>
      <c r="E1388">
        <v>-5.7925458444456762E-3</v>
      </c>
      <c r="F1388">
        <f t="shared" si="48"/>
        <v>-1.8180253241728409E-2</v>
      </c>
      <c r="G1388">
        <f t="shared" si="49"/>
        <v>-3.0005743934153437E-2</v>
      </c>
    </row>
    <row r="1389" spans="1:7" x14ac:dyDescent="0.35">
      <c r="A1389" t="s">
        <v>81</v>
      </c>
      <c r="E1389">
        <v>-2.5992553910037464E-2</v>
      </c>
      <c r="F1389">
        <f t="shared" si="48"/>
        <v>-1.8181052711305615E-2</v>
      </c>
      <c r="G1389">
        <f t="shared" si="49"/>
        <v>-3.0005743934153437E-2</v>
      </c>
    </row>
    <row r="1390" spans="1:7" x14ac:dyDescent="0.35">
      <c r="A1390" t="s">
        <v>81</v>
      </c>
      <c r="E1390">
        <v>1.0039539464349516E-2</v>
      </c>
      <c r="F1390">
        <f t="shared" si="48"/>
        <v>-1.8173418616657208E-2</v>
      </c>
      <c r="G1390">
        <f t="shared" si="49"/>
        <v>-2.9941126608327592E-2</v>
      </c>
    </row>
    <row r="1391" spans="1:7" x14ac:dyDescent="0.35">
      <c r="A1391" t="s">
        <v>81</v>
      </c>
      <c r="E1391">
        <v>8.0282499003380067E-3</v>
      </c>
      <c r="F1391">
        <f t="shared" si="48"/>
        <v>-1.8173462503502564E-2</v>
      </c>
      <c r="G1391">
        <f t="shared" si="49"/>
        <v>-2.9941126608327592E-2</v>
      </c>
    </row>
    <row r="1392" spans="1:7" x14ac:dyDescent="0.35">
      <c r="A1392" t="s">
        <v>81</v>
      </c>
      <c r="E1392">
        <v>5.7592375296654681E-3</v>
      </c>
      <c r="F1392">
        <f t="shared" si="48"/>
        <v>-1.817350639034792E-2</v>
      </c>
      <c r="G1392">
        <f t="shared" si="49"/>
        <v>-2.9941126608327592E-2</v>
      </c>
    </row>
    <row r="1393" spans="1:7" x14ac:dyDescent="0.35">
      <c r="A1393" t="s">
        <v>81</v>
      </c>
      <c r="E1393">
        <v>7.1458281784029659E-3</v>
      </c>
      <c r="F1393">
        <f t="shared" si="48"/>
        <v>-1.8173550277193272E-2</v>
      </c>
      <c r="G1393">
        <f t="shared" si="49"/>
        <v>-2.9941126608327592E-2</v>
      </c>
    </row>
    <row r="1394" spans="1:7" x14ac:dyDescent="0.35">
      <c r="A1394" t="s">
        <v>82</v>
      </c>
      <c r="B1394" s="3" cm="1">
        <f t="array" ref="B1394">_xlfn.STDEV.S(_xlfn._xlws.FILTER($E$1000:$E$1998, $A$1000:$A$1998="2015-08"))</f>
        <v>2.2619099673112302E-2</v>
      </c>
      <c r="C1394" s="3" cm="1">
        <f t="array" ref="C1394">AVERAGE(_xlfn._xlws.FILTER($E$1000:$E$1998, $A$1000:$A$1998="2015-08"))</f>
        <v>-4.1783969668888745E-3</v>
      </c>
      <c r="D1394" s="3" cm="1">
        <f t="array" ref="D1394">_xlfn.PERCENTILE.EXC(_xlfn._xlws.FILTER($E$1000:$E$1497, $A$1000:$A$1497="2015-08"), 0.05)</f>
        <v>-5.3917623451203163E-2</v>
      </c>
      <c r="E1394">
        <v>7.4310872158568856E-3</v>
      </c>
      <c r="F1394">
        <f t="shared" si="48"/>
        <v>-1.8173594164038628E-2</v>
      </c>
      <c r="G1394">
        <f t="shared" si="49"/>
        <v>-2.9941126608327592E-2</v>
      </c>
    </row>
    <row r="1395" spans="1:7" x14ac:dyDescent="0.35">
      <c r="A1395" t="s">
        <v>82</v>
      </c>
      <c r="E1395">
        <v>-1.6378931525946969E-3</v>
      </c>
      <c r="F1395">
        <f t="shared" si="48"/>
        <v>-1.817363805088398E-2</v>
      </c>
      <c r="G1395">
        <f t="shared" si="49"/>
        <v>-2.9941126608327592E-2</v>
      </c>
    </row>
    <row r="1396" spans="1:7" x14ac:dyDescent="0.35">
      <c r="A1396" t="s">
        <v>82</v>
      </c>
      <c r="E1396">
        <v>1.6411478385161573E-2</v>
      </c>
      <c r="F1396">
        <f t="shared" si="48"/>
        <v>-1.8173681937729336E-2</v>
      </c>
      <c r="G1396">
        <f t="shared" si="49"/>
        <v>-2.9941126608327592E-2</v>
      </c>
    </row>
    <row r="1397" spans="1:7" x14ac:dyDescent="0.35">
      <c r="A1397" t="s">
        <v>82</v>
      </c>
      <c r="E1397">
        <v>-8.8941600882452539E-4</v>
      </c>
      <c r="F1397">
        <f t="shared" si="48"/>
        <v>-1.8173725824574688E-2</v>
      </c>
      <c r="G1397">
        <f t="shared" si="49"/>
        <v>-2.9941126608327592E-2</v>
      </c>
    </row>
    <row r="1398" spans="1:7" x14ac:dyDescent="0.35">
      <c r="A1398" t="s">
        <v>82</v>
      </c>
      <c r="E1398">
        <v>-7.221545930350049E-3</v>
      </c>
      <c r="F1398">
        <f t="shared" si="48"/>
        <v>-1.8173769711420044E-2</v>
      </c>
      <c r="G1398">
        <f t="shared" si="49"/>
        <v>-2.9941126608327592E-2</v>
      </c>
    </row>
    <row r="1399" spans="1:7" x14ac:dyDescent="0.35">
      <c r="A1399" t="s">
        <v>82</v>
      </c>
      <c r="E1399">
        <v>7.8569237897465078E-3</v>
      </c>
      <c r="F1399">
        <f t="shared" si="48"/>
        <v>-1.8173813598265396E-2</v>
      </c>
      <c r="G1399">
        <f t="shared" si="49"/>
        <v>-2.9941126608327592E-2</v>
      </c>
    </row>
    <row r="1400" spans="1:7" x14ac:dyDescent="0.35">
      <c r="A1400" t="s">
        <v>82</v>
      </c>
      <c r="E1400">
        <v>-1.8725217915152966E-2</v>
      </c>
      <c r="F1400">
        <f t="shared" si="48"/>
        <v>-1.8173857485110752E-2</v>
      </c>
      <c r="G1400">
        <f t="shared" si="49"/>
        <v>-2.9941126608327592E-2</v>
      </c>
    </row>
    <row r="1401" spans="1:7" x14ac:dyDescent="0.35">
      <c r="A1401" t="s">
        <v>82</v>
      </c>
      <c r="E1401">
        <v>-3.4638745104823683E-2</v>
      </c>
      <c r="F1401">
        <f t="shared" si="48"/>
        <v>-1.8173023635049024E-2</v>
      </c>
      <c r="G1401">
        <f t="shared" si="49"/>
        <v>-3.0034592514104046E-2</v>
      </c>
    </row>
    <row r="1402" spans="1:7" x14ac:dyDescent="0.35">
      <c r="A1402" t="s">
        <v>82</v>
      </c>
      <c r="E1402">
        <v>1.2392867450841611E-2</v>
      </c>
      <c r="F1402">
        <f t="shared" si="48"/>
        <v>-1.8163844849378375E-2</v>
      </c>
      <c r="G1402">
        <f t="shared" si="49"/>
        <v>-2.9897377802798879E-2</v>
      </c>
    </row>
    <row r="1403" spans="1:7" x14ac:dyDescent="0.35">
      <c r="A1403" t="s">
        <v>82</v>
      </c>
      <c r="E1403">
        <v>-6.1106540939266513E-3</v>
      </c>
      <c r="F1403">
        <f t="shared" si="48"/>
        <v>-1.8164352343757559E-2</v>
      </c>
      <c r="G1403">
        <f t="shared" si="49"/>
        <v>-2.9897377802798879E-2</v>
      </c>
    </row>
    <row r="1404" spans="1:7" x14ac:dyDescent="0.35">
      <c r="A1404" t="s">
        <v>82</v>
      </c>
      <c r="E1404">
        <v>5.7055067110120174E-3</v>
      </c>
      <c r="F1404">
        <f t="shared" si="48"/>
        <v>-1.8164859838136743E-2</v>
      </c>
      <c r="G1404">
        <f t="shared" si="49"/>
        <v>-2.9897377802798879E-2</v>
      </c>
    </row>
    <row r="1405" spans="1:7" x14ac:dyDescent="0.35">
      <c r="A1405" t="s">
        <v>82</v>
      </c>
      <c r="E1405">
        <v>-2.7279829856206024E-3</v>
      </c>
      <c r="F1405">
        <f t="shared" si="48"/>
        <v>-1.8165367332515926E-2</v>
      </c>
      <c r="G1405">
        <f t="shared" si="49"/>
        <v>-2.9897377802798879E-2</v>
      </c>
    </row>
    <row r="1406" spans="1:7" x14ac:dyDescent="0.35">
      <c r="A1406" t="s">
        <v>82</v>
      </c>
      <c r="E1406">
        <v>-1.768628648044035E-2</v>
      </c>
      <c r="F1406">
        <f t="shared" si="48"/>
        <v>-1.8165874826895106E-2</v>
      </c>
      <c r="G1406">
        <f t="shared" si="49"/>
        <v>-2.9897377802798879E-2</v>
      </c>
    </row>
    <row r="1407" spans="1:7" x14ac:dyDescent="0.35">
      <c r="A1407" t="s">
        <v>82</v>
      </c>
      <c r="E1407">
        <v>-2.0802082380395555E-2</v>
      </c>
      <c r="F1407">
        <f t="shared" si="48"/>
        <v>-1.816638232127429E-2</v>
      </c>
      <c r="G1407">
        <f t="shared" si="49"/>
        <v>-2.9897377802798879E-2</v>
      </c>
    </row>
    <row r="1408" spans="1:7" x14ac:dyDescent="0.35">
      <c r="A1408" t="s">
        <v>82</v>
      </c>
      <c r="E1408">
        <v>-3.241228054347315E-2</v>
      </c>
      <c r="F1408">
        <f t="shared" si="48"/>
        <v>-1.8035111635080821E-2</v>
      </c>
      <c r="G1408">
        <f t="shared" si="49"/>
        <v>-2.9875384031800751E-2</v>
      </c>
    </row>
    <row r="1409" spans="1:7" x14ac:dyDescent="0.35">
      <c r="A1409" t="s">
        <v>82</v>
      </c>
      <c r="E1409">
        <v>-5.493230125890735E-2</v>
      </c>
      <c r="F1409">
        <f t="shared" si="48"/>
        <v>-1.7948757068050332E-2</v>
      </c>
      <c r="G1409">
        <f t="shared" si="49"/>
        <v>-2.9754864745200039E-2</v>
      </c>
    </row>
    <row r="1410" spans="1:7" x14ac:dyDescent="0.35">
      <c r="A1410" t="s">
        <v>82</v>
      </c>
      <c r="E1410">
        <v>4.0549478573054611E-2</v>
      </c>
      <c r="F1410">
        <f t="shared" si="48"/>
        <v>-1.792583240209511E-2</v>
      </c>
      <c r="G1410">
        <f t="shared" si="49"/>
        <v>-2.9446660299859539E-2</v>
      </c>
    </row>
    <row r="1411" spans="1:7" x14ac:dyDescent="0.35">
      <c r="A1411" t="s">
        <v>82</v>
      </c>
      <c r="E1411">
        <v>-1.407714255798242E-2</v>
      </c>
      <c r="F1411">
        <f t="shared" si="48"/>
        <v>-1.7928025943690275E-2</v>
      </c>
      <c r="G1411">
        <f t="shared" si="49"/>
        <v>-2.9446660299859539E-2</v>
      </c>
    </row>
    <row r="1412" spans="1:7" x14ac:dyDescent="0.35">
      <c r="A1412" t="s">
        <v>82</v>
      </c>
      <c r="E1412">
        <v>3.4314111018405265E-2</v>
      </c>
      <c r="F1412">
        <f t="shared" ref="F1412:F1475" si="50">_xlfn.PERCENTILE.EXC(E1412:E5227,0.05)</f>
        <v>-1.7930219485285441E-2</v>
      </c>
      <c r="G1412">
        <f t="shared" ref="G1412:G1475" si="51">AVERAGEIFS(E1412:E5228,E1412:E5228,"&lt;=" &amp; F1412)</f>
        <v>-2.9446660299859539E-2</v>
      </c>
    </row>
    <row r="1413" spans="1:7" x14ac:dyDescent="0.35">
      <c r="A1413" t="s">
        <v>82</v>
      </c>
      <c r="E1413">
        <v>3.6321559306360571E-3</v>
      </c>
      <c r="F1413">
        <f t="shared" si="50"/>
        <v>-1.7932413026880607E-2</v>
      </c>
      <c r="G1413">
        <f t="shared" si="51"/>
        <v>-2.9446660299859539E-2</v>
      </c>
    </row>
    <row r="1414" spans="1:7" x14ac:dyDescent="0.35">
      <c r="A1414" t="s">
        <v>83</v>
      </c>
      <c r="B1414" s="3" cm="1">
        <f t="array" ref="B1414">_xlfn.STDEV.S(_xlfn._xlws.FILTER($E$1000:$E$1998, $A$1000:$A$1998="2015-09"))</f>
        <v>1.9380188078330998E-2</v>
      </c>
      <c r="C1414" s="3" cm="1">
        <f t="array" ref="C1414">AVERAGE(_xlfn._xlws.FILTER($E$1000:$E$1998, $A$1000:$A$1998="2015-09"))</f>
        <v>-2.1893098017305747E-3</v>
      </c>
      <c r="D1414" s="3" cm="1">
        <f t="array" ref="D1414">_xlfn.PERCENTILE.EXC(_xlfn._xlws.FILTER($E$1000:$E$1497, $A$1000:$A$1497="2015-09"), 0.05)</f>
        <v>-3.3971744225686822E-2</v>
      </c>
      <c r="E1414">
        <v>-2.9074483815728587E-2</v>
      </c>
      <c r="F1414">
        <f t="shared" si="50"/>
        <v>-1.7934606568475772E-2</v>
      </c>
      <c r="G1414">
        <f t="shared" si="51"/>
        <v>-2.9446660299859539E-2</v>
      </c>
    </row>
    <row r="1415" spans="1:7" x14ac:dyDescent="0.35">
      <c r="A1415" t="s">
        <v>83</v>
      </c>
      <c r="E1415">
        <v>3.0254814153031179E-3</v>
      </c>
      <c r="F1415">
        <f t="shared" si="50"/>
        <v>-1.7830062737758126E-2</v>
      </c>
      <c r="G1415">
        <f t="shared" si="51"/>
        <v>-2.9353572076279658E-2</v>
      </c>
    </row>
    <row r="1416" spans="1:7" x14ac:dyDescent="0.35">
      <c r="A1416" t="s">
        <v>83</v>
      </c>
      <c r="E1416">
        <v>2.1473973946525435E-2</v>
      </c>
      <c r="F1416">
        <f t="shared" si="50"/>
        <v>-1.784482958743519E-2</v>
      </c>
      <c r="G1416">
        <f t="shared" si="51"/>
        <v>-2.9353572076279658E-2</v>
      </c>
    </row>
    <row r="1417" spans="1:7" x14ac:dyDescent="0.35">
      <c r="A1417" t="s">
        <v>83</v>
      </c>
      <c r="E1417">
        <v>-2.8488763671838474E-2</v>
      </c>
      <c r="F1417">
        <f t="shared" si="50"/>
        <v>-1.7859596437112258E-2</v>
      </c>
      <c r="G1417">
        <f t="shared" si="51"/>
        <v>-2.9353572076279658E-2</v>
      </c>
    </row>
    <row r="1418" spans="1:7" x14ac:dyDescent="0.35">
      <c r="A1418" t="s">
        <v>83</v>
      </c>
      <c r="E1418">
        <v>5.8549312385943967E-3</v>
      </c>
      <c r="F1418">
        <f t="shared" si="50"/>
        <v>-1.7603929079510281E-2</v>
      </c>
      <c r="G1418">
        <f t="shared" si="51"/>
        <v>-2.9262903712286022E-2</v>
      </c>
    </row>
    <row r="1419" spans="1:7" x14ac:dyDescent="0.35">
      <c r="A1419" t="s">
        <v>83</v>
      </c>
      <c r="E1419">
        <v>1.0629862113279341E-2</v>
      </c>
      <c r="F1419">
        <f t="shared" si="50"/>
        <v>-1.7606244536056196E-2</v>
      </c>
      <c r="G1419">
        <f t="shared" si="51"/>
        <v>-2.9262903712286022E-2</v>
      </c>
    </row>
    <row r="1420" spans="1:7" x14ac:dyDescent="0.35">
      <c r="A1420" t="s">
        <v>83</v>
      </c>
      <c r="E1420">
        <v>1.4321970838469925E-2</v>
      </c>
      <c r="F1420">
        <f t="shared" si="50"/>
        <v>-1.7608559992602114E-2</v>
      </c>
      <c r="G1420">
        <f t="shared" si="51"/>
        <v>-2.9262903712286022E-2</v>
      </c>
    </row>
    <row r="1421" spans="1:7" x14ac:dyDescent="0.35">
      <c r="A1421" t="s">
        <v>83</v>
      </c>
      <c r="E1421">
        <v>-1.4698270899790393E-2</v>
      </c>
      <c r="F1421">
        <f t="shared" si="50"/>
        <v>-1.7623326842279182E-2</v>
      </c>
      <c r="G1421">
        <f t="shared" si="51"/>
        <v>-2.9360839373795973E-2</v>
      </c>
    </row>
    <row r="1422" spans="1:7" x14ac:dyDescent="0.35">
      <c r="A1422" t="s">
        <v>83</v>
      </c>
      <c r="E1422">
        <v>-1.045579630145768E-2</v>
      </c>
      <c r="F1422">
        <f t="shared" si="50"/>
        <v>-1.7638093691956246E-2</v>
      </c>
      <c r="G1422">
        <f t="shared" si="51"/>
        <v>-2.9360839373795973E-2</v>
      </c>
    </row>
    <row r="1423" spans="1:7" x14ac:dyDescent="0.35">
      <c r="A1423" t="s">
        <v>83</v>
      </c>
      <c r="E1423">
        <v>-6.7432566781229141E-3</v>
      </c>
      <c r="F1423">
        <f t="shared" si="50"/>
        <v>-1.7652860541633314E-2</v>
      </c>
      <c r="G1423">
        <f t="shared" si="51"/>
        <v>-2.9360839373795973E-2</v>
      </c>
    </row>
    <row r="1424" spans="1:7" x14ac:dyDescent="0.35">
      <c r="A1424" t="s">
        <v>83</v>
      </c>
      <c r="E1424">
        <v>1.1272721797396365E-2</v>
      </c>
      <c r="F1424">
        <f t="shared" si="50"/>
        <v>-1.7667627391310382E-2</v>
      </c>
      <c r="G1424">
        <f t="shared" si="51"/>
        <v>-2.9360839373795973E-2</v>
      </c>
    </row>
    <row r="1425" spans="1:7" x14ac:dyDescent="0.35">
      <c r="A1425" t="s">
        <v>83</v>
      </c>
      <c r="E1425">
        <v>1.6596855705485986E-2</v>
      </c>
      <c r="F1425">
        <f t="shared" si="50"/>
        <v>-1.7682394240987449E-2</v>
      </c>
      <c r="G1425">
        <f t="shared" si="51"/>
        <v>-2.9360839373795973E-2</v>
      </c>
    </row>
    <row r="1426" spans="1:7" x14ac:dyDescent="0.35">
      <c r="A1426" t="s">
        <v>83</v>
      </c>
      <c r="E1426">
        <v>1.9997899359741563E-3</v>
      </c>
      <c r="F1426">
        <f t="shared" si="50"/>
        <v>-1.7697161090664517E-2</v>
      </c>
      <c r="G1426">
        <f t="shared" si="51"/>
        <v>-2.9360839373795973E-2</v>
      </c>
    </row>
    <row r="1427" spans="1:7" x14ac:dyDescent="0.35">
      <c r="A1427" t="s">
        <v>83</v>
      </c>
      <c r="E1427">
        <v>-2.5959488369153003E-2</v>
      </c>
      <c r="F1427">
        <f t="shared" si="50"/>
        <v>-1.7711927940341585E-2</v>
      </c>
      <c r="G1427">
        <f t="shared" si="51"/>
        <v>-2.9360839373795973E-2</v>
      </c>
    </row>
    <row r="1428" spans="1:7" x14ac:dyDescent="0.35">
      <c r="A1428" t="s">
        <v>83</v>
      </c>
      <c r="E1428">
        <v>1.088665392126381E-2</v>
      </c>
      <c r="F1428">
        <f t="shared" si="50"/>
        <v>-1.7580774514051108E-2</v>
      </c>
      <c r="G1428">
        <f t="shared" si="51"/>
        <v>-2.9290663505085465E-2</v>
      </c>
    </row>
    <row r="1429" spans="1:7" x14ac:dyDescent="0.35">
      <c r="A1429" t="s">
        <v>83</v>
      </c>
      <c r="E1429">
        <v>-3.483596665097357E-2</v>
      </c>
      <c r="F1429">
        <f t="shared" si="50"/>
        <v>-1.7583089970597026E-2</v>
      </c>
      <c r="G1429">
        <f t="shared" si="51"/>
        <v>-2.9290663505085465E-2</v>
      </c>
    </row>
    <row r="1430" spans="1:7" x14ac:dyDescent="0.35">
      <c r="A1430" t="s">
        <v>83</v>
      </c>
      <c r="E1430">
        <v>9.7502191366988765E-4</v>
      </c>
      <c r="F1430">
        <f t="shared" si="50"/>
        <v>-1.755250552937624E-2</v>
      </c>
      <c r="G1430">
        <f t="shared" si="51"/>
        <v>-2.9145506229545207E-2</v>
      </c>
    </row>
    <row r="1431" spans="1:7" x14ac:dyDescent="0.35">
      <c r="A1431" t="s">
        <v>83</v>
      </c>
      <c r="E1431">
        <v>-1.9497045306953249E-2</v>
      </c>
      <c r="F1431">
        <f t="shared" si="50"/>
        <v>-1.7553480062606992E-2</v>
      </c>
      <c r="G1431">
        <f t="shared" si="51"/>
        <v>-2.9145506229545207E-2</v>
      </c>
    </row>
    <row r="1432" spans="1:7" x14ac:dyDescent="0.35">
      <c r="A1432" t="s">
        <v>83</v>
      </c>
      <c r="E1432">
        <v>3.0229196032124244E-2</v>
      </c>
      <c r="F1432">
        <f t="shared" si="50"/>
        <v>-1.7497692390780768E-2</v>
      </c>
      <c r="G1432">
        <f t="shared" si="51"/>
        <v>-2.9129083665596599E-2</v>
      </c>
    </row>
    <row r="1433" spans="1:7" x14ac:dyDescent="0.35">
      <c r="A1433" t="s">
        <v>83</v>
      </c>
      <c r="E1433">
        <v>-2.7975134149179116E-2</v>
      </c>
      <c r="F1433">
        <f t="shared" si="50"/>
        <v>-1.7503325866566759E-2</v>
      </c>
      <c r="G1433">
        <f t="shared" si="51"/>
        <v>-2.9129083665596599E-2</v>
      </c>
    </row>
    <row r="1434" spans="1:7" x14ac:dyDescent="0.35">
      <c r="A1434" t="s">
        <v>83</v>
      </c>
      <c r="E1434">
        <v>-3.0617968517316391E-3</v>
      </c>
      <c r="F1434">
        <f t="shared" si="50"/>
        <v>-1.7399186418187277E-2</v>
      </c>
      <c r="G1434">
        <f t="shared" si="51"/>
        <v>-2.9040469854942557E-2</v>
      </c>
    </row>
    <row r="1435" spans="1:7" x14ac:dyDescent="0.35">
      <c r="A1435" t="s">
        <v>83</v>
      </c>
      <c r="E1435">
        <v>2.5358728198769311E-2</v>
      </c>
      <c r="F1435">
        <f t="shared" si="50"/>
        <v>-1.7404337128714208E-2</v>
      </c>
      <c r="G1435">
        <f t="shared" si="51"/>
        <v>-2.9040469854942557E-2</v>
      </c>
    </row>
    <row r="1436" spans="1:7" x14ac:dyDescent="0.35">
      <c r="A1436" t="s">
        <v>84</v>
      </c>
      <c r="B1436" s="3" cm="1">
        <f t="array" ref="B1436">_xlfn.STDEV.S(_xlfn._xlws.FILTER($E$1000:$E$1998, $A$1000:$A$1998="2015-10"))</f>
        <v>1.1619740082328337E-2</v>
      </c>
      <c r="C1436" s="3" cm="1">
        <f t="array" ref="C1436">AVERAGE(_xlfn._xlws.FILTER($E$1000:$E$1998, $A$1000:$A$1998="2015-10"))</f>
        <v>4.3029720831718275E-3</v>
      </c>
      <c r="D1436" s="3" cm="1">
        <f t="array" ref="D1436">_xlfn.PERCENTILE.EXC(_xlfn._xlws.FILTER($E$1000:$E$1497, $A$1000:$A$1497="2015-10"), 0.05)</f>
        <v>-1.0190603850198803E-2</v>
      </c>
      <c r="E1436">
        <v>-6.4739136896424417E-3</v>
      </c>
      <c r="F1436">
        <f t="shared" si="50"/>
        <v>-1.740948783924114E-2</v>
      </c>
      <c r="G1436">
        <f t="shared" si="51"/>
        <v>-2.9040469854942557E-2</v>
      </c>
    </row>
    <row r="1437" spans="1:7" x14ac:dyDescent="0.35">
      <c r="A1437" t="s">
        <v>84</v>
      </c>
      <c r="E1437">
        <v>7.2793729066169084E-3</v>
      </c>
      <c r="F1437">
        <f t="shared" si="50"/>
        <v>-1.7414638549768068E-2</v>
      </c>
      <c r="G1437">
        <f t="shared" si="51"/>
        <v>-2.9040469854942557E-2</v>
      </c>
    </row>
    <row r="1438" spans="1:7" x14ac:dyDescent="0.35">
      <c r="A1438" t="s">
        <v>84</v>
      </c>
      <c r="E1438">
        <v>3.4825870784741392E-2</v>
      </c>
      <c r="F1438">
        <f t="shared" si="50"/>
        <v>-1.7419789260294999E-2</v>
      </c>
      <c r="G1438">
        <f t="shared" si="51"/>
        <v>-2.9040469854942557E-2</v>
      </c>
    </row>
    <row r="1439" spans="1:7" x14ac:dyDescent="0.35">
      <c r="A1439" t="s">
        <v>84</v>
      </c>
      <c r="E1439">
        <v>9.4292935589000582E-3</v>
      </c>
      <c r="F1439">
        <f t="shared" si="50"/>
        <v>-1.7424939970821927E-2</v>
      </c>
      <c r="G1439">
        <f t="shared" si="51"/>
        <v>-2.9040469854942557E-2</v>
      </c>
    </row>
    <row r="1440" spans="1:7" x14ac:dyDescent="0.35">
      <c r="A1440" t="s">
        <v>84</v>
      </c>
      <c r="E1440">
        <v>1.4365384900482364E-3</v>
      </c>
      <c r="F1440">
        <f t="shared" si="50"/>
        <v>-1.7430090681348858E-2</v>
      </c>
      <c r="G1440">
        <f t="shared" si="51"/>
        <v>-2.9040469854942557E-2</v>
      </c>
    </row>
    <row r="1441" spans="1:7" x14ac:dyDescent="0.35">
      <c r="A1441" t="s">
        <v>84</v>
      </c>
      <c r="E1441">
        <v>1.8344799514937113E-3</v>
      </c>
      <c r="F1441">
        <f t="shared" si="50"/>
        <v>-1.743572415713485E-2</v>
      </c>
      <c r="G1441">
        <f t="shared" si="51"/>
        <v>-2.9138862898786574E-2</v>
      </c>
    </row>
    <row r="1442" spans="1:7" x14ac:dyDescent="0.35">
      <c r="A1442" t="s">
        <v>84</v>
      </c>
      <c r="E1442">
        <v>5.4344134682805401E-3</v>
      </c>
      <c r="F1442">
        <f t="shared" si="50"/>
        <v>-1.7441357632920842E-2</v>
      </c>
      <c r="G1442">
        <f t="shared" si="51"/>
        <v>-2.9138862898786574E-2</v>
      </c>
    </row>
    <row r="1443" spans="1:7" x14ac:dyDescent="0.35">
      <c r="A1443" t="s">
        <v>84</v>
      </c>
      <c r="E1443">
        <v>-2.7028511389059094E-3</v>
      </c>
      <c r="F1443">
        <f t="shared" si="50"/>
        <v>-1.7446991108706834E-2</v>
      </c>
      <c r="G1443">
        <f t="shared" si="51"/>
        <v>-2.9138862898786574E-2</v>
      </c>
    </row>
    <row r="1444" spans="1:7" x14ac:dyDescent="0.35">
      <c r="A1444" t="s">
        <v>84</v>
      </c>
      <c r="E1444">
        <v>-9.7128092097630171E-3</v>
      </c>
      <c r="F1444">
        <f t="shared" si="50"/>
        <v>-1.7452624584492826E-2</v>
      </c>
      <c r="G1444">
        <f t="shared" si="51"/>
        <v>-2.9138862898786574E-2</v>
      </c>
    </row>
    <row r="1445" spans="1:7" x14ac:dyDescent="0.35">
      <c r="A1445" t="s">
        <v>84</v>
      </c>
      <c r="E1445">
        <v>-7.4251266030475023E-3</v>
      </c>
      <c r="F1445">
        <f t="shared" si="50"/>
        <v>-1.7458258060278821E-2</v>
      </c>
      <c r="G1445">
        <f t="shared" si="51"/>
        <v>-2.9138862898786574E-2</v>
      </c>
    </row>
    <row r="1446" spans="1:7" x14ac:dyDescent="0.35">
      <c r="A1446" t="s">
        <v>84</v>
      </c>
      <c r="E1446">
        <v>1.4273770180991435E-2</v>
      </c>
      <c r="F1446">
        <f t="shared" si="50"/>
        <v>-1.7463891536064813E-2</v>
      </c>
      <c r="G1446">
        <f t="shared" si="51"/>
        <v>-2.9138862898786574E-2</v>
      </c>
    </row>
    <row r="1447" spans="1:7" x14ac:dyDescent="0.35">
      <c r="A1447" t="s">
        <v>84</v>
      </c>
      <c r="E1447">
        <v>5.86475671409951E-3</v>
      </c>
      <c r="F1447">
        <f t="shared" si="50"/>
        <v>-1.7469525011850805E-2</v>
      </c>
      <c r="G1447">
        <f t="shared" si="51"/>
        <v>-2.9138862898786574E-2</v>
      </c>
    </row>
    <row r="1448" spans="1:7" x14ac:dyDescent="0.35">
      <c r="A1448" t="s">
        <v>84</v>
      </c>
      <c r="E1448">
        <v>2.7214182158548925E-4</v>
      </c>
      <c r="F1448">
        <f t="shared" si="50"/>
        <v>-1.7475158487636797E-2</v>
      </c>
      <c r="G1448">
        <f t="shared" si="51"/>
        <v>-2.9138862898786574E-2</v>
      </c>
    </row>
    <row r="1449" spans="1:7" x14ac:dyDescent="0.35">
      <c r="A1449" t="s">
        <v>84</v>
      </c>
      <c r="E1449">
        <v>-6.4535065540743319E-3</v>
      </c>
      <c r="F1449">
        <f t="shared" si="50"/>
        <v>-1.7480791963422788E-2</v>
      </c>
      <c r="G1449">
        <f t="shared" si="51"/>
        <v>-2.9138862898786574E-2</v>
      </c>
    </row>
    <row r="1450" spans="1:7" x14ac:dyDescent="0.35">
      <c r="A1450" t="s">
        <v>84</v>
      </c>
      <c r="E1450">
        <v>4.5448268040143543E-3</v>
      </c>
      <c r="F1450">
        <f t="shared" si="50"/>
        <v>-1.748642543920878E-2</v>
      </c>
      <c r="G1450">
        <f t="shared" si="51"/>
        <v>-2.9138862898786574E-2</v>
      </c>
    </row>
    <row r="1451" spans="1:7" x14ac:dyDescent="0.35">
      <c r="A1451" t="s">
        <v>84</v>
      </c>
      <c r="E1451">
        <v>2.2550569790120871E-2</v>
      </c>
      <c r="F1451">
        <f t="shared" si="50"/>
        <v>-1.7492058914994776E-2</v>
      </c>
      <c r="G1451">
        <f t="shared" si="51"/>
        <v>-2.9138862898786574E-2</v>
      </c>
    </row>
    <row r="1452" spans="1:7" x14ac:dyDescent="0.35">
      <c r="A1452" t="s">
        <v>84</v>
      </c>
      <c r="E1452">
        <v>2.497811287976609E-2</v>
      </c>
      <c r="F1452">
        <f t="shared" si="50"/>
        <v>-1.7497692390780768E-2</v>
      </c>
      <c r="G1452">
        <f t="shared" si="51"/>
        <v>-2.9138862898786574E-2</v>
      </c>
    </row>
    <row r="1453" spans="1:7" x14ac:dyDescent="0.35">
      <c r="A1453" t="s">
        <v>84</v>
      </c>
      <c r="E1453">
        <v>-5.3987751245672096E-3</v>
      </c>
      <c r="F1453">
        <f t="shared" si="50"/>
        <v>-1.7503325866566759E-2</v>
      </c>
      <c r="G1453">
        <f t="shared" si="51"/>
        <v>-2.9138862898786574E-2</v>
      </c>
    </row>
    <row r="1454" spans="1:7" x14ac:dyDescent="0.35">
      <c r="A1454" t="s">
        <v>84</v>
      </c>
      <c r="E1454">
        <v>-1.0274920551452177E-2</v>
      </c>
      <c r="F1454">
        <f t="shared" si="50"/>
        <v>-1.7508959342352751E-2</v>
      </c>
      <c r="G1454">
        <f t="shared" si="51"/>
        <v>-2.9138862898786574E-2</v>
      </c>
    </row>
    <row r="1455" spans="1:7" x14ac:dyDescent="0.35">
      <c r="A1455" t="s">
        <v>84</v>
      </c>
      <c r="E1455">
        <v>8.9365071783997878E-3</v>
      </c>
      <c r="F1455">
        <f t="shared" si="50"/>
        <v>-1.7514592818138743E-2</v>
      </c>
      <c r="G1455">
        <f t="shared" si="51"/>
        <v>-2.9138862898786574E-2</v>
      </c>
    </row>
    <row r="1456" spans="1:7" x14ac:dyDescent="0.35">
      <c r="A1456" t="s">
        <v>84</v>
      </c>
      <c r="E1456">
        <v>-9.7377365413316792E-4</v>
      </c>
      <c r="F1456">
        <f t="shared" si="50"/>
        <v>-1.7520226293924735E-2</v>
      </c>
      <c r="G1456">
        <f t="shared" si="51"/>
        <v>-2.9138862898786574E-2</v>
      </c>
    </row>
    <row r="1457" spans="1:7" x14ac:dyDescent="0.35">
      <c r="A1457" t="s">
        <v>84</v>
      </c>
      <c r="E1457">
        <v>2.420407826307576E-3</v>
      </c>
      <c r="F1457">
        <f t="shared" si="50"/>
        <v>-1.7525859769710727E-2</v>
      </c>
      <c r="G1457">
        <f t="shared" si="51"/>
        <v>-2.9138862898786574E-2</v>
      </c>
    </row>
    <row r="1458" spans="1:7" x14ac:dyDescent="0.35">
      <c r="A1458" t="s">
        <v>85</v>
      </c>
      <c r="B1458" s="3" cm="1">
        <f t="array" ref="B1458">_xlfn.STDEV.S(_xlfn._xlws.FILTER($E$1000:$E$1998, $A$1000:$A$1998="2015-11"))</f>
        <v>1.0560362531140942E-2</v>
      </c>
      <c r="C1458" s="3" cm="1">
        <f t="array" ref="C1458">AVERAGE(_xlfn._xlws.FILTER($E$1000:$E$1998, $A$1000:$A$1998="2015-11"))</f>
        <v>5.7924822063772834E-4</v>
      </c>
      <c r="D1458" s="3" cm="1">
        <f t="array" ref="D1458">_xlfn.PERCENTILE.EXC(_xlfn._xlws.FILTER($E$1000:$E$1497, $A$1000:$A$1497="2015-11"), 0.05)</f>
        <v>-1.9066124523442141E-2</v>
      </c>
      <c r="E1458">
        <v>3.7803684156781175E-3</v>
      </c>
      <c r="F1458">
        <f t="shared" si="50"/>
        <v>-1.7531493245496719E-2</v>
      </c>
      <c r="G1458">
        <f t="shared" si="51"/>
        <v>-2.9138862898786574E-2</v>
      </c>
    </row>
    <row r="1459" spans="1:7" x14ac:dyDescent="0.35">
      <c r="A1459" t="s">
        <v>85</v>
      </c>
      <c r="E1459">
        <v>4.0538442648598043E-3</v>
      </c>
      <c r="F1459">
        <f t="shared" si="50"/>
        <v>-1.7537126721282711E-2</v>
      </c>
      <c r="G1459">
        <f t="shared" si="51"/>
        <v>-2.9138862898786574E-2</v>
      </c>
    </row>
    <row r="1460" spans="1:7" x14ac:dyDescent="0.35">
      <c r="A1460" t="s">
        <v>85</v>
      </c>
      <c r="E1460">
        <v>2.4503096390708799E-3</v>
      </c>
      <c r="F1460">
        <f t="shared" si="50"/>
        <v>-1.7542760197068706E-2</v>
      </c>
      <c r="G1460">
        <f t="shared" si="51"/>
        <v>-2.9138862898786574E-2</v>
      </c>
    </row>
    <row r="1461" spans="1:7" x14ac:dyDescent="0.35">
      <c r="A1461" t="s">
        <v>85</v>
      </c>
      <c r="E1461">
        <v>6.3958607808410469E-3</v>
      </c>
      <c r="F1461">
        <f t="shared" si="50"/>
        <v>-1.7543734730299458E-2</v>
      </c>
      <c r="G1461">
        <f t="shared" si="51"/>
        <v>-2.9237974887690147E-2</v>
      </c>
    </row>
    <row r="1462" spans="1:7" x14ac:dyDescent="0.35">
      <c r="A1462" t="s">
        <v>85</v>
      </c>
      <c r="E1462">
        <v>8.2495420763504124E-4</v>
      </c>
      <c r="F1462">
        <f t="shared" si="50"/>
        <v>-1.7544709263530214E-2</v>
      </c>
      <c r="G1462">
        <f t="shared" si="51"/>
        <v>-2.9237974887690147E-2</v>
      </c>
    </row>
    <row r="1463" spans="1:7" x14ac:dyDescent="0.35">
      <c r="A1463" t="s">
        <v>85</v>
      </c>
      <c r="E1463">
        <v>-1.4750674714684938E-2</v>
      </c>
      <c r="F1463">
        <f t="shared" si="50"/>
        <v>-1.7545683796760966E-2</v>
      </c>
      <c r="G1463">
        <f t="shared" si="51"/>
        <v>-2.9237974887690147E-2</v>
      </c>
    </row>
    <row r="1464" spans="1:7" x14ac:dyDescent="0.35">
      <c r="A1464" t="s">
        <v>85</v>
      </c>
      <c r="E1464">
        <v>2.0156097847698199E-4</v>
      </c>
      <c r="F1464">
        <f t="shared" si="50"/>
        <v>-1.7546658329991718E-2</v>
      </c>
      <c r="G1464">
        <f t="shared" si="51"/>
        <v>-2.9237974887690147E-2</v>
      </c>
    </row>
    <row r="1465" spans="1:7" x14ac:dyDescent="0.35">
      <c r="A1465" t="s">
        <v>85</v>
      </c>
      <c r="E1465">
        <v>8.1807551665161685E-3</v>
      </c>
      <c r="F1465">
        <f t="shared" si="50"/>
        <v>-1.7547632863222473E-2</v>
      </c>
      <c r="G1465">
        <f t="shared" si="51"/>
        <v>-2.9237974887690147E-2</v>
      </c>
    </row>
    <row r="1466" spans="1:7" x14ac:dyDescent="0.35">
      <c r="A1466" t="s">
        <v>85</v>
      </c>
      <c r="E1466">
        <v>-1.9545618946637387E-2</v>
      </c>
      <c r="F1466">
        <f t="shared" si="50"/>
        <v>-1.7548607396453225E-2</v>
      </c>
      <c r="G1466">
        <f t="shared" si="51"/>
        <v>-2.9237974887690147E-2</v>
      </c>
    </row>
    <row r="1467" spans="1:7" x14ac:dyDescent="0.35">
      <c r="A1467" t="s">
        <v>85</v>
      </c>
      <c r="E1467">
        <v>-1.0078101979733963E-2</v>
      </c>
      <c r="F1467">
        <f t="shared" si="50"/>
        <v>-1.7469525011850805E-2</v>
      </c>
      <c r="G1467">
        <f t="shared" si="51"/>
        <v>-2.9220856436839134E-2</v>
      </c>
    </row>
    <row r="1468" spans="1:7" x14ac:dyDescent="0.35">
      <c r="A1468" t="s">
        <v>85</v>
      </c>
      <c r="E1468">
        <v>-7.5736614989449394E-4</v>
      </c>
      <c r="F1468">
        <f t="shared" si="50"/>
        <v>-1.7475158487636797E-2</v>
      </c>
      <c r="G1468">
        <f t="shared" si="51"/>
        <v>-2.9220856436839134E-2</v>
      </c>
    </row>
    <row r="1469" spans="1:7" x14ac:dyDescent="0.35">
      <c r="A1469" t="s">
        <v>85</v>
      </c>
      <c r="E1469">
        <v>2.7307216779673096E-2</v>
      </c>
      <c r="F1469">
        <f t="shared" si="50"/>
        <v>-1.7480791963422788E-2</v>
      </c>
      <c r="G1469">
        <f t="shared" si="51"/>
        <v>-2.9220856436839134E-2</v>
      </c>
    </row>
    <row r="1470" spans="1:7" x14ac:dyDescent="0.35">
      <c r="A1470" t="s">
        <v>85</v>
      </c>
      <c r="E1470">
        <v>-6.2149543354042616E-3</v>
      </c>
      <c r="F1470">
        <f t="shared" si="50"/>
        <v>-1.748642543920878E-2</v>
      </c>
      <c r="G1470">
        <f t="shared" si="51"/>
        <v>-2.9220856436839134E-2</v>
      </c>
    </row>
    <row r="1471" spans="1:7" x14ac:dyDescent="0.35">
      <c r="A1471" t="s">
        <v>85</v>
      </c>
      <c r="E1471">
        <v>1.7064051333500129E-3</v>
      </c>
      <c r="F1471">
        <f t="shared" si="50"/>
        <v>-1.7492058914994776E-2</v>
      </c>
      <c r="G1471">
        <f t="shared" si="51"/>
        <v>-2.9220856436839134E-2</v>
      </c>
    </row>
    <row r="1472" spans="1:7" x14ac:dyDescent="0.35">
      <c r="A1472" t="s">
        <v>85</v>
      </c>
      <c r="E1472">
        <v>-8.4062096915717957E-4</v>
      </c>
      <c r="F1472">
        <f t="shared" si="50"/>
        <v>-1.7497692390780768E-2</v>
      </c>
      <c r="G1472">
        <f t="shared" si="51"/>
        <v>-2.9220856436839134E-2</v>
      </c>
    </row>
    <row r="1473" spans="1:7" x14ac:dyDescent="0.35">
      <c r="A1473" t="s">
        <v>85</v>
      </c>
      <c r="E1473">
        <v>-4.4591501109630637E-3</v>
      </c>
      <c r="F1473">
        <f t="shared" si="50"/>
        <v>-1.7503325866566759E-2</v>
      </c>
      <c r="G1473">
        <f t="shared" si="51"/>
        <v>-2.9220856436839134E-2</v>
      </c>
    </row>
    <row r="1474" spans="1:7" x14ac:dyDescent="0.35">
      <c r="A1474" t="s">
        <v>85</v>
      </c>
      <c r="E1474">
        <v>-1.4180310530411811E-2</v>
      </c>
      <c r="F1474">
        <f t="shared" si="50"/>
        <v>-1.7508959342352751E-2</v>
      </c>
      <c r="G1474">
        <f t="shared" si="51"/>
        <v>-2.9220856436839134E-2</v>
      </c>
    </row>
    <row r="1475" spans="1:7" x14ac:dyDescent="0.35">
      <c r="A1475" t="s">
        <v>85</v>
      </c>
      <c r="E1475">
        <v>1.4971550907366273E-2</v>
      </c>
      <c r="F1475">
        <f t="shared" si="50"/>
        <v>-1.7514592818138743E-2</v>
      </c>
      <c r="G1475">
        <f t="shared" si="51"/>
        <v>-2.9220856436839134E-2</v>
      </c>
    </row>
    <row r="1476" spans="1:7" x14ac:dyDescent="0.35">
      <c r="A1476" t="s">
        <v>85</v>
      </c>
      <c r="E1476">
        <v>1.0779644193754111E-2</v>
      </c>
      <c r="F1476">
        <f t="shared" ref="F1476:F1539" si="52">_xlfn.PERCENTILE.EXC(E1476:E5291,0.05)</f>
        <v>-1.7520226293924735E-2</v>
      </c>
      <c r="G1476">
        <f t="shared" ref="G1476:G1539" si="53">AVERAGEIFS(E1476:E5292,E1476:E5292,"&lt;=" &amp; F1476)</f>
        <v>-2.9220856436839134E-2</v>
      </c>
    </row>
    <row r="1477" spans="1:7" x14ac:dyDescent="0.35">
      <c r="A1477" t="s">
        <v>85</v>
      </c>
      <c r="E1477">
        <v>-3.2158275453843597E-3</v>
      </c>
      <c r="F1477">
        <f t="shared" si="52"/>
        <v>-1.7525859769710727E-2</v>
      </c>
      <c r="G1477">
        <f t="shared" si="53"/>
        <v>-2.9220856436839134E-2</v>
      </c>
    </row>
    <row r="1478" spans="1:7" x14ac:dyDescent="0.35">
      <c r="A1478" t="s">
        <v>85</v>
      </c>
      <c r="E1478">
        <v>5.5543674484422228E-3</v>
      </c>
      <c r="F1478">
        <f t="shared" si="52"/>
        <v>-1.7531493245496719E-2</v>
      </c>
      <c r="G1478">
        <f t="shared" si="53"/>
        <v>-2.9220856436839134E-2</v>
      </c>
    </row>
    <row r="1479" spans="1:7" x14ac:dyDescent="0.35">
      <c r="A1479" t="s">
        <v>86</v>
      </c>
      <c r="B1479" s="3" cm="1">
        <f t="array" ref="B1479">_xlfn.STDEV.S(_xlfn._xlws.FILTER($E$1000:$E$1998, $A$1000:$A$1998="2015-12"))</f>
        <v>1.5430489320303754E-2</v>
      </c>
      <c r="C1479" s="3" cm="1">
        <f t="array" ref="C1479">AVERAGE(_xlfn._xlws.FILTER($E$1000:$E$1998, $A$1000:$A$1998="2015-12"))</f>
        <v>-3.0649968764116177E-3</v>
      </c>
      <c r="D1479" s="3" cm="1">
        <f t="array" ref="D1479">_xlfn.PERCENTILE.EXC(_xlfn._xlws.FILTER($E$1000:$E$1497, $A$1000:$A$1497="2015-12"), 0.05)</f>
        <v>-3.6440425968209698E-2</v>
      </c>
      <c r="E1479">
        <v>-8.7256292748622965E-3</v>
      </c>
      <c r="F1479">
        <f t="shared" si="52"/>
        <v>-1.7537126721282711E-2</v>
      </c>
      <c r="G1479">
        <f t="shared" si="53"/>
        <v>-2.9220856436839134E-2</v>
      </c>
    </row>
    <row r="1480" spans="1:7" x14ac:dyDescent="0.35">
      <c r="A1480" t="s">
        <v>86</v>
      </c>
      <c r="E1480">
        <v>-1.7860984413832059E-3</v>
      </c>
      <c r="F1480">
        <f t="shared" si="52"/>
        <v>-1.7542760197068706E-2</v>
      </c>
      <c r="G1480">
        <f t="shared" si="53"/>
        <v>-2.9220856436839134E-2</v>
      </c>
    </row>
    <row r="1481" spans="1:7" x14ac:dyDescent="0.35">
      <c r="A1481" t="s">
        <v>86</v>
      </c>
      <c r="E1481">
        <v>-3.6440425968209698E-2</v>
      </c>
      <c r="F1481">
        <f t="shared" si="52"/>
        <v>-1.7543734730299458E-2</v>
      </c>
      <c r="G1481">
        <f t="shared" si="53"/>
        <v>-2.9321529680285431E-2</v>
      </c>
    </row>
    <row r="1482" spans="1:7" x14ac:dyDescent="0.35">
      <c r="A1482" t="s">
        <v>86</v>
      </c>
      <c r="E1482">
        <v>-3.2652225940190236E-3</v>
      </c>
      <c r="F1482">
        <f t="shared" si="52"/>
        <v>-1.7441357632920842E-2</v>
      </c>
      <c r="G1482">
        <f t="shared" si="53"/>
        <v>-2.915861876846525E-2</v>
      </c>
    </row>
    <row r="1483" spans="1:7" x14ac:dyDescent="0.35">
      <c r="A1483" t="s">
        <v>86</v>
      </c>
      <c r="E1483">
        <v>8.7888056221995577E-3</v>
      </c>
      <c r="F1483">
        <f t="shared" si="52"/>
        <v>-1.7446991108706834E-2</v>
      </c>
      <c r="G1483">
        <f t="shared" si="53"/>
        <v>-2.915861876846525E-2</v>
      </c>
    </row>
    <row r="1484" spans="1:7" x14ac:dyDescent="0.35">
      <c r="A1484" t="s">
        <v>86</v>
      </c>
      <c r="E1484">
        <v>-1.5797715139221721E-2</v>
      </c>
      <c r="F1484">
        <f t="shared" si="52"/>
        <v>-1.7452624584492826E-2</v>
      </c>
      <c r="G1484">
        <f t="shared" si="53"/>
        <v>-2.915861876846525E-2</v>
      </c>
    </row>
    <row r="1485" spans="1:7" x14ac:dyDescent="0.35">
      <c r="A1485" t="s">
        <v>86</v>
      </c>
      <c r="E1485">
        <v>-9.5308206659925534E-3</v>
      </c>
      <c r="F1485">
        <f t="shared" si="52"/>
        <v>-1.7458258060278821E-2</v>
      </c>
      <c r="G1485">
        <f t="shared" si="53"/>
        <v>-2.915861876846525E-2</v>
      </c>
    </row>
    <row r="1486" spans="1:7" x14ac:dyDescent="0.35">
      <c r="A1486" t="s">
        <v>86</v>
      </c>
      <c r="E1486">
        <v>-5.1550228642005297E-4</v>
      </c>
      <c r="F1486">
        <f t="shared" si="52"/>
        <v>-1.7463891536064813E-2</v>
      </c>
      <c r="G1486">
        <f t="shared" si="53"/>
        <v>-2.915861876846525E-2</v>
      </c>
    </row>
    <row r="1487" spans="1:7" x14ac:dyDescent="0.35">
      <c r="A1487" t="s">
        <v>86</v>
      </c>
      <c r="E1487">
        <v>-1.8618618927761191E-2</v>
      </c>
      <c r="F1487">
        <f t="shared" si="52"/>
        <v>-1.7469525011850805E-2</v>
      </c>
      <c r="G1487">
        <f t="shared" si="53"/>
        <v>-2.915861876846525E-2</v>
      </c>
    </row>
    <row r="1488" spans="1:7" x14ac:dyDescent="0.35">
      <c r="A1488" t="s">
        <v>86</v>
      </c>
      <c r="E1488">
        <v>-1.6955551209561763E-2</v>
      </c>
      <c r="F1488">
        <f t="shared" si="52"/>
        <v>-1.7368282155025699E-2</v>
      </c>
      <c r="G1488">
        <f t="shared" si="53"/>
        <v>-2.9148372835306517E-2</v>
      </c>
    </row>
    <row r="1489" spans="1:7" x14ac:dyDescent="0.35">
      <c r="A1489" t="s">
        <v>86</v>
      </c>
      <c r="E1489">
        <v>3.1106874887909426E-2</v>
      </c>
      <c r="F1489">
        <f t="shared" si="52"/>
        <v>-1.7373432865552631E-2</v>
      </c>
      <c r="G1489">
        <f t="shared" si="53"/>
        <v>-2.9148372835306517E-2</v>
      </c>
    </row>
    <row r="1490" spans="1:7" x14ac:dyDescent="0.35">
      <c r="A1490" t="s">
        <v>86</v>
      </c>
      <c r="E1490">
        <v>2.2231683989703535E-3</v>
      </c>
      <c r="F1490">
        <f t="shared" si="52"/>
        <v>-1.7378583576079562E-2</v>
      </c>
      <c r="G1490">
        <f t="shared" si="53"/>
        <v>-2.9148372835306517E-2</v>
      </c>
    </row>
    <row r="1491" spans="1:7" x14ac:dyDescent="0.35">
      <c r="A1491" t="s">
        <v>86</v>
      </c>
      <c r="E1491">
        <v>1.136731363883157E-2</v>
      </c>
      <c r="F1491">
        <f t="shared" si="52"/>
        <v>-1.738373428660649E-2</v>
      </c>
      <c r="G1491">
        <f t="shared" si="53"/>
        <v>-2.9148372835306517E-2</v>
      </c>
    </row>
    <row r="1492" spans="1:7" x14ac:dyDescent="0.35">
      <c r="A1492" t="s">
        <v>86</v>
      </c>
      <c r="E1492">
        <v>-1.1239745105707553E-2</v>
      </c>
      <c r="F1492">
        <f t="shared" si="52"/>
        <v>-1.7388884997133418E-2</v>
      </c>
      <c r="G1492">
        <f t="shared" si="53"/>
        <v>-2.9148372835306517E-2</v>
      </c>
    </row>
    <row r="1493" spans="1:7" x14ac:dyDescent="0.35">
      <c r="A1493" t="s">
        <v>86</v>
      </c>
      <c r="E1493">
        <v>-1.3076832378422222E-2</v>
      </c>
      <c r="F1493">
        <f t="shared" si="52"/>
        <v>-1.7394035707660349E-2</v>
      </c>
      <c r="G1493">
        <f t="shared" si="53"/>
        <v>-2.9148372835306517E-2</v>
      </c>
    </row>
    <row r="1494" spans="1:7" x14ac:dyDescent="0.35">
      <c r="A1494" t="s">
        <v>86</v>
      </c>
      <c r="E1494">
        <v>5.3214962324581443E-4</v>
      </c>
      <c r="F1494">
        <f t="shared" si="52"/>
        <v>-1.7399186418187277E-2</v>
      </c>
      <c r="G1494">
        <f t="shared" si="53"/>
        <v>-2.9148372835306517E-2</v>
      </c>
    </row>
    <row r="1495" spans="1:7" x14ac:dyDescent="0.35">
      <c r="A1495" t="s">
        <v>86</v>
      </c>
      <c r="E1495">
        <v>2.3140720081978379E-2</v>
      </c>
      <c r="F1495">
        <f t="shared" si="52"/>
        <v>-1.7404337128714208E-2</v>
      </c>
      <c r="G1495">
        <f t="shared" si="53"/>
        <v>-2.9148372835306517E-2</v>
      </c>
    </row>
    <row r="1496" spans="1:7" x14ac:dyDescent="0.35">
      <c r="A1496" t="s">
        <v>86</v>
      </c>
      <c r="E1496">
        <v>5.7232056337830992E-3</v>
      </c>
      <c r="F1496">
        <f t="shared" si="52"/>
        <v>-1.740948783924114E-2</v>
      </c>
      <c r="G1496">
        <f t="shared" si="53"/>
        <v>-2.9148372835306517E-2</v>
      </c>
    </row>
    <row r="1497" spans="1:7" x14ac:dyDescent="0.35">
      <c r="A1497" t="s">
        <v>86</v>
      </c>
      <c r="E1497">
        <v>-5.1650165471776484E-3</v>
      </c>
      <c r="F1497">
        <f t="shared" si="52"/>
        <v>-1.7414638549768068E-2</v>
      </c>
      <c r="G1497">
        <f t="shared" si="53"/>
        <v>-2.9148372835306517E-2</v>
      </c>
    </row>
    <row r="1498" spans="1:7" x14ac:dyDescent="0.35">
      <c r="A1498" t="s">
        <v>87</v>
      </c>
      <c r="B1498" s="3" cm="1">
        <f t="array" ref="B1498">_xlfn.STDEV.S(_xlfn._xlws.FILTER($E$1000:$E$1998, $A$1000:$A$1998="2016-01"))</f>
        <v>1.8698254737071342E-2</v>
      </c>
      <c r="C1498" s="3" cm="1">
        <f t="array" ref="C1498">AVERAGE(_xlfn._xlws.FILTER($E$1000:$E$1998, $A$1000:$A$1998="2016-01"))</f>
        <v>-2.8610775724823728E-3</v>
      </c>
      <c r="D1498" s="3" cm="1">
        <f t="array" ref="D1498">_xlfn.PERCENTILE.EXC(_xlfn._xlws.FILTER($E$1498:$E$2489, $A$1498:$A$2489="2016-01"), 0.05)</f>
        <v>-3.5016256072653913E-2</v>
      </c>
      <c r="E1498">
        <v>-3.3632929619694205E-2</v>
      </c>
      <c r="F1498">
        <f t="shared" si="52"/>
        <v>-1.7419789260294999E-2</v>
      </c>
      <c r="G1498">
        <f t="shared" si="53"/>
        <v>-2.9148372835306517E-2</v>
      </c>
    </row>
    <row r="1499" spans="1:7" x14ac:dyDescent="0.35">
      <c r="A1499" t="s">
        <v>87</v>
      </c>
      <c r="E1499">
        <v>3.3509669240573956E-3</v>
      </c>
      <c r="F1499">
        <f t="shared" si="52"/>
        <v>-1.7326227905930535E-2</v>
      </c>
      <c r="G1499">
        <f t="shared" si="53"/>
        <v>-2.9007805135747175E-2</v>
      </c>
    </row>
    <row r="1500" spans="1:7" x14ac:dyDescent="0.35">
      <c r="A1500" t="s">
        <v>87</v>
      </c>
      <c r="E1500">
        <v>-1.2676897679867412E-2</v>
      </c>
      <c r="F1500">
        <f t="shared" si="52"/>
        <v>-1.7327076470810263E-2</v>
      </c>
      <c r="G1500">
        <f t="shared" si="53"/>
        <v>-2.9007805135747175E-2</v>
      </c>
    </row>
    <row r="1501" spans="1:7" x14ac:dyDescent="0.35">
      <c r="A1501" t="s">
        <v>87</v>
      </c>
      <c r="E1501">
        <v>-1.7310105173215712E-2</v>
      </c>
      <c r="F1501">
        <f t="shared" si="52"/>
        <v>-1.733222718133719E-2</v>
      </c>
      <c r="G1501">
        <f t="shared" si="53"/>
        <v>-2.9109376689355322E-2</v>
      </c>
    </row>
    <row r="1502" spans="1:7" x14ac:dyDescent="0.35">
      <c r="A1502" t="s">
        <v>87</v>
      </c>
      <c r="E1502">
        <v>-1.5982320980350267E-2</v>
      </c>
      <c r="F1502">
        <f t="shared" si="52"/>
        <v>-1.7337377891864122E-2</v>
      </c>
      <c r="G1502">
        <f t="shared" si="53"/>
        <v>-2.9109376689355322E-2</v>
      </c>
    </row>
    <row r="1503" spans="1:7" x14ac:dyDescent="0.35">
      <c r="A1503" t="s">
        <v>87</v>
      </c>
      <c r="E1503">
        <v>-4.8620925020031996E-3</v>
      </c>
      <c r="F1503">
        <f t="shared" si="52"/>
        <v>-1.734252860239105E-2</v>
      </c>
      <c r="G1503">
        <f t="shared" si="53"/>
        <v>-2.9109376689355322E-2</v>
      </c>
    </row>
    <row r="1504" spans="1:7" x14ac:dyDescent="0.35">
      <c r="A1504" t="s">
        <v>87</v>
      </c>
      <c r="E1504">
        <v>1.5189862546693163E-2</v>
      </c>
      <c r="F1504">
        <f t="shared" si="52"/>
        <v>-1.7347679312917981E-2</v>
      </c>
      <c r="G1504">
        <f t="shared" si="53"/>
        <v>-2.9109376689355322E-2</v>
      </c>
    </row>
    <row r="1505" spans="1:7" x14ac:dyDescent="0.35">
      <c r="A1505" t="s">
        <v>87</v>
      </c>
      <c r="E1505">
        <v>3.0077473821691287E-3</v>
      </c>
      <c r="F1505">
        <f t="shared" si="52"/>
        <v>-1.7352830023444912E-2</v>
      </c>
      <c r="G1505">
        <f t="shared" si="53"/>
        <v>-2.9109376689355322E-2</v>
      </c>
    </row>
    <row r="1506" spans="1:7" x14ac:dyDescent="0.35">
      <c r="A1506" t="s">
        <v>87</v>
      </c>
      <c r="E1506">
        <v>-1.8162829860620011E-2</v>
      </c>
      <c r="F1506">
        <f t="shared" si="52"/>
        <v>-1.735798073397184E-2</v>
      </c>
      <c r="G1506">
        <f t="shared" si="53"/>
        <v>-2.9109376689355322E-2</v>
      </c>
    </row>
    <row r="1507" spans="1:7" x14ac:dyDescent="0.35">
      <c r="A1507" t="s">
        <v>87</v>
      </c>
      <c r="E1507">
        <v>-2.4107561328386932E-2</v>
      </c>
      <c r="F1507">
        <f t="shared" si="52"/>
        <v>-1.7241128356541204E-2</v>
      </c>
      <c r="G1507">
        <f t="shared" si="53"/>
        <v>-2.9102109268574362E-2</v>
      </c>
    </row>
    <row r="1508" spans="1:7" x14ac:dyDescent="0.35">
      <c r="A1508" t="s">
        <v>87</v>
      </c>
      <c r="E1508">
        <v>-4.9025483533409551E-3</v>
      </c>
      <c r="F1508">
        <f t="shared" si="52"/>
        <v>-1.717445465723938E-2</v>
      </c>
      <c r="G1508">
        <f t="shared" si="53"/>
        <v>-2.9041998723133643E-2</v>
      </c>
    </row>
    <row r="1509" spans="1:7" x14ac:dyDescent="0.35">
      <c r="A1509" t="s">
        <v>87</v>
      </c>
      <c r="E1509">
        <v>1.9544857859752855E-2</v>
      </c>
      <c r="F1509">
        <f t="shared" si="52"/>
        <v>-1.7176154152694766E-2</v>
      </c>
      <c r="G1509">
        <f t="shared" si="53"/>
        <v>-2.9041998723133643E-2</v>
      </c>
    </row>
    <row r="1510" spans="1:7" x14ac:dyDescent="0.35">
      <c r="A1510" t="s">
        <v>87</v>
      </c>
      <c r="E1510">
        <v>-3.5089062728072842E-2</v>
      </c>
      <c r="F1510">
        <f t="shared" si="52"/>
        <v>-1.7177853648150151E-2</v>
      </c>
      <c r="G1510">
        <f t="shared" si="53"/>
        <v>-2.9041998723133643E-2</v>
      </c>
    </row>
    <row r="1511" spans="1:7" x14ac:dyDescent="0.35">
      <c r="A1511" t="s">
        <v>87</v>
      </c>
      <c r="E1511">
        <v>1.9553276492418961E-2</v>
      </c>
      <c r="F1511">
        <f t="shared" si="52"/>
        <v>-1.7142575863934063E-2</v>
      </c>
      <c r="G1511">
        <f t="shared" si="53"/>
        <v>-2.8886101296746895E-2</v>
      </c>
    </row>
    <row r="1512" spans="1:7" x14ac:dyDescent="0.35">
      <c r="A1512" t="s">
        <v>87</v>
      </c>
      <c r="E1512">
        <v>3.0504209324906332E-2</v>
      </c>
      <c r="F1512">
        <f t="shared" si="52"/>
        <v>-1.7144607289452087E-2</v>
      </c>
      <c r="G1512">
        <f t="shared" si="53"/>
        <v>-2.8886101296746895E-2</v>
      </c>
    </row>
    <row r="1513" spans="1:7" x14ac:dyDescent="0.35">
      <c r="A1513" t="s">
        <v>87</v>
      </c>
      <c r="E1513">
        <v>-5.8649431184163298E-3</v>
      </c>
      <c r="F1513">
        <f t="shared" si="52"/>
        <v>-1.7146638714970113E-2</v>
      </c>
      <c r="G1513">
        <f t="shared" si="53"/>
        <v>-2.8886101296746895E-2</v>
      </c>
    </row>
    <row r="1514" spans="1:7" x14ac:dyDescent="0.35">
      <c r="A1514" t="s">
        <v>87</v>
      </c>
      <c r="E1514">
        <v>1.0493696997332524E-2</v>
      </c>
      <c r="F1514">
        <f t="shared" si="52"/>
        <v>-1.7148670140488136E-2</v>
      </c>
      <c r="G1514">
        <f t="shared" si="53"/>
        <v>-2.8886101296746895E-2</v>
      </c>
    </row>
    <row r="1515" spans="1:7" x14ac:dyDescent="0.35">
      <c r="A1515" t="s">
        <v>87</v>
      </c>
      <c r="E1515">
        <v>5.3907745943151033E-3</v>
      </c>
      <c r="F1515">
        <f t="shared" si="52"/>
        <v>-1.7150701566006163E-2</v>
      </c>
      <c r="G1515">
        <f t="shared" si="53"/>
        <v>-2.8886101296746895E-2</v>
      </c>
    </row>
    <row r="1516" spans="1:7" x14ac:dyDescent="0.35">
      <c r="A1516" t="s">
        <v>87</v>
      </c>
      <c r="E1516">
        <v>-1.3375635493947326E-2</v>
      </c>
      <c r="F1516">
        <f t="shared" si="52"/>
        <v>-1.7152732991524186E-2</v>
      </c>
      <c r="G1516">
        <f t="shared" si="53"/>
        <v>-2.8886101296746895E-2</v>
      </c>
    </row>
    <row r="1517" spans="1:7" x14ac:dyDescent="0.35">
      <c r="A1517" t="s">
        <v>87</v>
      </c>
      <c r="E1517">
        <v>2.1709983266622299E-2</v>
      </c>
      <c r="F1517">
        <f t="shared" si="52"/>
        <v>-1.7154764417042213E-2</v>
      </c>
      <c r="G1517">
        <f t="shared" si="53"/>
        <v>-2.8886101296746895E-2</v>
      </c>
    </row>
    <row r="1518" spans="1:7" x14ac:dyDescent="0.35">
      <c r="A1518" t="s">
        <v>88</v>
      </c>
      <c r="B1518" s="3" cm="1">
        <f t="array" ref="B1518">_xlfn.STDEV.S(_xlfn._xlws.FILTER($E$1000:$E$1998, $A$1000:$A$1998="2016-02"))</f>
        <v>2.0344694794150478E-2</v>
      </c>
      <c r="C1518" s="3" cm="1">
        <f t="array" ref="C1518">AVERAGE(_xlfn._xlws.FILTER($E$1000:$E$1998, $A$1000:$A$1998="2016-02"))</f>
        <v>-6.8922173007866306E-4</v>
      </c>
      <c r="D1518" s="3" cm="1">
        <f t="array" ref="D1518">_xlfn.PERCENTILE.EXC(_xlfn._xlws.FILTER($E$1498:$E$2489, $A$1498:$A$2489="2016-02"), 0.05)</f>
        <v>-4.0462108374438061E-2</v>
      </c>
      <c r="E1518">
        <v>-5.6054225676547883E-3</v>
      </c>
      <c r="F1518">
        <f t="shared" si="52"/>
        <v>-1.7156795842560236E-2</v>
      </c>
      <c r="G1518">
        <f t="shared" si="53"/>
        <v>-2.8886101296746895E-2</v>
      </c>
    </row>
    <row r="1519" spans="1:7" x14ac:dyDescent="0.35">
      <c r="A1519" t="s">
        <v>88</v>
      </c>
      <c r="E1519">
        <v>-2.4975019680899768E-2</v>
      </c>
      <c r="F1519">
        <f t="shared" si="52"/>
        <v>-1.7158827268078259E-2</v>
      </c>
      <c r="G1519">
        <f t="shared" si="53"/>
        <v>-2.8886101296746895E-2</v>
      </c>
    </row>
    <row r="1520" spans="1:7" x14ac:dyDescent="0.35">
      <c r="A1520" t="s">
        <v>88</v>
      </c>
      <c r="E1520">
        <v>-1.340175975196513E-2</v>
      </c>
      <c r="F1520">
        <f t="shared" si="52"/>
        <v>-1.7120230183235791E-2</v>
      </c>
      <c r="G1520">
        <f t="shared" si="53"/>
        <v>-2.8817798779375903E-2</v>
      </c>
    </row>
    <row r="1521" spans="1:7" x14ac:dyDescent="0.35">
      <c r="A1521" t="s">
        <v>88</v>
      </c>
      <c r="E1521">
        <v>3.7135636563760026E-4</v>
      </c>
      <c r="F1521">
        <f t="shared" si="52"/>
        <v>-1.7122261608753814E-2</v>
      </c>
      <c r="G1521">
        <f t="shared" si="53"/>
        <v>-2.8920409030219238E-2</v>
      </c>
    </row>
    <row r="1522" spans="1:7" x14ac:dyDescent="0.35">
      <c r="A1522" t="s">
        <v>88</v>
      </c>
      <c r="E1522">
        <v>-6.6103785531335824E-3</v>
      </c>
      <c r="F1522">
        <f t="shared" si="52"/>
        <v>-1.7124293034271841E-2</v>
      </c>
      <c r="G1522">
        <f t="shared" si="53"/>
        <v>-2.8920409030219238E-2</v>
      </c>
    </row>
    <row r="1523" spans="1:7" x14ac:dyDescent="0.35">
      <c r="A1523" t="s">
        <v>88</v>
      </c>
      <c r="E1523">
        <v>-3.2508082069509364E-2</v>
      </c>
      <c r="F1523">
        <f t="shared" si="52"/>
        <v>-1.7126324459789864E-2</v>
      </c>
      <c r="G1523">
        <f t="shared" si="53"/>
        <v>-2.8920409030219238E-2</v>
      </c>
    </row>
    <row r="1524" spans="1:7" x14ac:dyDescent="0.35">
      <c r="A1524" t="s">
        <v>88</v>
      </c>
      <c r="E1524">
        <v>-1.70567823769485E-2</v>
      </c>
      <c r="F1524">
        <f t="shared" si="52"/>
        <v>-1.7094870670909961E-2</v>
      </c>
      <c r="G1524">
        <f t="shared" si="53"/>
        <v>-2.8785427873322094E-2</v>
      </c>
    </row>
    <row r="1525" spans="1:7" x14ac:dyDescent="0.35">
      <c r="A1525" t="s">
        <v>88</v>
      </c>
      <c r="E1525">
        <v>1.5799324515111787E-2</v>
      </c>
      <c r="F1525">
        <f t="shared" si="52"/>
        <v>-1.7096455640430327E-2</v>
      </c>
      <c r="G1525">
        <f t="shared" si="53"/>
        <v>-2.8785427873322094E-2</v>
      </c>
    </row>
    <row r="1526" spans="1:7" x14ac:dyDescent="0.35">
      <c r="A1526" t="s">
        <v>88</v>
      </c>
      <c r="E1526">
        <v>-4.1345889074985695E-2</v>
      </c>
      <c r="F1526">
        <f t="shared" si="52"/>
        <v>-1.7098040609950692E-2</v>
      </c>
      <c r="G1526">
        <f t="shared" si="53"/>
        <v>-2.8785427873322094E-2</v>
      </c>
    </row>
    <row r="1527" spans="1:7" x14ac:dyDescent="0.35">
      <c r="A1527" t="s">
        <v>88</v>
      </c>
      <c r="E1527">
        <v>2.4925990508979434E-2</v>
      </c>
      <c r="F1527">
        <f t="shared" si="52"/>
        <v>-1.7039707347697611E-2</v>
      </c>
      <c r="G1527">
        <f t="shared" si="53"/>
        <v>-2.8572644028741767E-2</v>
      </c>
    </row>
    <row r="1528" spans="1:7" x14ac:dyDescent="0.35">
      <c r="A1528" t="s">
        <v>88</v>
      </c>
      <c r="E1528">
        <v>2.9640987746133284E-2</v>
      </c>
      <c r="F1528">
        <f t="shared" si="52"/>
        <v>-1.7043462997323063E-2</v>
      </c>
      <c r="G1528">
        <f t="shared" si="53"/>
        <v>-2.8572644028741767E-2</v>
      </c>
    </row>
    <row r="1529" spans="1:7" x14ac:dyDescent="0.35">
      <c r="A1529" t="s">
        <v>88</v>
      </c>
      <c r="E1529">
        <v>-1.1159860675293576E-3</v>
      </c>
      <c r="F1529">
        <f t="shared" si="52"/>
        <v>-1.7047218646948518E-2</v>
      </c>
      <c r="G1529">
        <f t="shared" si="53"/>
        <v>-2.8572644028741767E-2</v>
      </c>
    </row>
    <row r="1530" spans="1:7" x14ac:dyDescent="0.35">
      <c r="A1530" t="s">
        <v>88</v>
      </c>
      <c r="E1530">
        <v>2.9438388182375031E-2</v>
      </c>
      <c r="F1530">
        <f t="shared" si="52"/>
        <v>-1.705097429657397E-2</v>
      </c>
      <c r="G1530">
        <f t="shared" si="53"/>
        <v>-2.8572644028741767E-2</v>
      </c>
    </row>
    <row r="1531" spans="1:7" x14ac:dyDescent="0.35">
      <c r="A1531" t="s">
        <v>88</v>
      </c>
      <c r="E1531">
        <v>1.4846761283245401E-3</v>
      </c>
      <c r="F1531">
        <f t="shared" si="52"/>
        <v>-1.7054729946199425E-2</v>
      </c>
      <c r="G1531">
        <f t="shared" si="53"/>
        <v>-2.8572644028741767E-2</v>
      </c>
    </row>
    <row r="1532" spans="1:7" x14ac:dyDescent="0.35">
      <c r="A1532" t="s">
        <v>88</v>
      </c>
      <c r="E1532">
        <v>-3.9514160218999525E-3</v>
      </c>
      <c r="F1532">
        <f t="shared" si="52"/>
        <v>-1.7058485595824877E-2</v>
      </c>
      <c r="G1532">
        <f t="shared" si="53"/>
        <v>-2.8572644028741767E-2</v>
      </c>
    </row>
    <row r="1533" spans="1:7" x14ac:dyDescent="0.35">
      <c r="A1533" t="s">
        <v>88</v>
      </c>
      <c r="E1533">
        <v>1.7757403562202092E-2</v>
      </c>
      <c r="F1533">
        <f t="shared" si="52"/>
        <v>-1.7062241245450332E-2</v>
      </c>
      <c r="G1533">
        <f t="shared" si="53"/>
        <v>-2.8572644028741767E-2</v>
      </c>
    </row>
    <row r="1534" spans="1:7" x14ac:dyDescent="0.35">
      <c r="A1534" t="s">
        <v>88</v>
      </c>
      <c r="E1534">
        <v>-1.4122093122197915E-2</v>
      </c>
      <c r="F1534">
        <f t="shared" si="52"/>
        <v>-1.7065996895075784E-2</v>
      </c>
      <c r="G1534">
        <f t="shared" si="53"/>
        <v>-2.8572644028741767E-2</v>
      </c>
    </row>
    <row r="1535" spans="1:7" x14ac:dyDescent="0.35">
      <c r="A1535" t="s">
        <v>88</v>
      </c>
      <c r="E1535">
        <v>-1.9796304205199879E-2</v>
      </c>
      <c r="F1535">
        <f t="shared" si="52"/>
        <v>-1.706975254470124E-2</v>
      </c>
      <c r="G1535">
        <f t="shared" si="53"/>
        <v>-2.8572644028741767E-2</v>
      </c>
    </row>
    <row r="1536" spans="1:7" x14ac:dyDescent="0.35">
      <c r="A1536" t="s">
        <v>88</v>
      </c>
      <c r="E1536">
        <v>2.2159956451475893E-2</v>
      </c>
      <c r="F1536">
        <f t="shared" si="52"/>
        <v>-1.7002140599789887E-2</v>
      </c>
      <c r="G1536">
        <f t="shared" si="53"/>
        <v>-2.8548232744488432E-2</v>
      </c>
    </row>
    <row r="1537" spans="1:7" x14ac:dyDescent="0.35">
      <c r="A1537" t="s">
        <v>88</v>
      </c>
      <c r="E1537">
        <v>1.5443456661720863E-2</v>
      </c>
      <c r="F1537">
        <f t="shared" si="52"/>
        <v>-1.7004959899922272E-2</v>
      </c>
      <c r="G1537">
        <f t="shared" si="53"/>
        <v>-2.8548232744488432E-2</v>
      </c>
    </row>
    <row r="1538" spans="1:7" x14ac:dyDescent="0.35">
      <c r="A1538" t="s">
        <v>88</v>
      </c>
      <c r="E1538">
        <v>8.9939370383114812E-3</v>
      </c>
      <c r="F1538">
        <f t="shared" si="52"/>
        <v>-1.7007779200054661E-2</v>
      </c>
      <c r="G1538">
        <f t="shared" si="53"/>
        <v>-2.8548232744488432E-2</v>
      </c>
    </row>
    <row r="1539" spans="1:7" x14ac:dyDescent="0.35">
      <c r="A1539" t="s">
        <v>89</v>
      </c>
      <c r="B1539" s="3" cm="1">
        <f t="array" ref="B1539">_xlfn.STDEV.S(_xlfn._xlws.FILTER($E$1000:$E$1998, $A$1000:$A$1998="2016-03"))</f>
        <v>1.203433923925905E-2</v>
      </c>
      <c r="C1539" s="3" cm="1">
        <f t="array" ref="C1539">AVERAGE(_xlfn._xlws.FILTER($E$1000:$E$1998, $A$1000:$A$1998="2016-03"))</f>
        <v>3.4341450038842802E-4</v>
      </c>
      <c r="D1539" s="3" cm="1">
        <f t="array" ref="D1539">_xlfn.PERCENTILE.EXC(_xlfn._xlws.FILTER($E$1498:$E$2489, $A$1498:$A$2489="2016-03"), 0.05)</f>
        <v>-2.1107582289084003E-2</v>
      </c>
      <c r="E1539">
        <v>1.216627509112151E-2</v>
      </c>
      <c r="F1539">
        <f t="shared" si="52"/>
        <v>-1.701059850018705E-2</v>
      </c>
      <c r="G1539">
        <f t="shared" si="53"/>
        <v>-2.8548232744488432E-2</v>
      </c>
    </row>
    <row r="1540" spans="1:7" x14ac:dyDescent="0.35">
      <c r="A1540" t="s">
        <v>89</v>
      </c>
      <c r="E1540">
        <v>4.087540070084981E-3</v>
      </c>
      <c r="F1540">
        <f t="shared" ref="F1540:F1603" si="54">_xlfn.PERCENTILE.EXC(E1540:E5355,0.05)</f>
        <v>-1.7013417800319439E-2</v>
      </c>
      <c r="G1540">
        <f t="shared" ref="G1540:G1603" si="55">AVERAGEIFS(E1540:E5356,E1540:E5356,"&lt;=" &amp; F1540)</f>
        <v>-2.8548232744488432E-2</v>
      </c>
    </row>
    <row r="1541" spans="1:7" x14ac:dyDescent="0.35">
      <c r="A1541" t="s">
        <v>89</v>
      </c>
      <c r="E1541">
        <v>-1.9929946411153289E-3</v>
      </c>
      <c r="F1541">
        <f t="shared" si="54"/>
        <v>-1.701717344994489E-2</v>
      </c>
      <c r="G1541">
        <f t="shared" si="55"/>
        <v>-2.8650310752843914E-2</v>
      </c>
    </row>
    <row r="1542" spans="1:7" x14ac:dyDescent="0.35">
      <c r="A1542" t="s">
        <v>89</v>
      </c>
      <c r="E1542">
        <v>9.1382064339986975E-3</v>
      </c>
      <c r="F1542">
        <f t="shared" si="54"/>
        <v>-1.7020929099570346E-2</v>
      </c>
      <c r="G1542">
        <f t="shared" si="55"/>
        <v>-2.8650310752843914E-2</v>
      </c>
    </row>
    <row r="1543" spans="1:7" x14ac:dyDescent="0.35">
      <c r="A1543" t="s">
        <v>89</v>
      </c>
      <c r="E1543">
        <v>-3.2206219382775619E-3</v>
      </c>
      <c r="F1543">
        <f t="shared" si="54"/>
        <v>-1.7024684749195797E-2</v>
      </c>
      <c r="G1543">
        <f t="shared" si="55"/>
        <v>-2.8650310752843914E-2</v>
      </c>
    </row>
    <row r="1544" spans="1:7" x14ac:dyDescent="0.35">
      <c r="A1544" t="s">
        <v>89</v>
      </c>
      <c r="E1544">
        <v>-8.6522490722635396E-3</v>
      </c>
      <c r="F1544">
        <f t="shared" si="54"/>
        <v>-1.7028440398821253E-2</v>
      </c>
      <c r="G1544">
        <f t="shared" si="55"/>
        <v>-2.8650310752843914E-2</v>
      </c>
    </row>
    <row r="1545" spans="1:7" x14ac:dyDescent="0.35">
      <c r="A1545" t="s">
        <v>89</v>
      </c>
      <c r="E1545">
        <v>4.8994001514012534E-3</v>
      </c>
      <c r="F1545">
        <f t="shared" si="54"/>
        <v>-1.7032196048446704E-2</v>
      </c>
      <c r="G1545">
        <f t="shared" si="55"/>
        <v>-2.8650310752843914E-2</v>
      </c>
    </row>
    <row r="1546" spans="1:7" x14ac:dyDescent="0.35">
      <c r="A1546" t="s">
        <v>89</v>
      </c>
      <c r="E1546">
        <v>-1.7160858693596286E-2</v>
      </c>
      <c r="F1546">
        <f t="shared" si="54"/>
        <v>-1.703595169807216E-2</v>
      </c>
      <c r="G1546">
        <f t="shared" si="55"/>
        <v>-2.8650310752843914E-2</v>
      </c>
    </row>
    <row r="1547" spans="1:7" x14ac:dyDescent="0.35">
      <c r="A1547" t="s">
        <v>89</v>
      </c>
      <c r="E1547">
        <v>3.2217587989353307E-2</v>
      </c>
      <c r="F1547">
        <f t="shared" si="54"/>
        <v>-1.6976766898598391E-2</v>
      </c>
      <c r="G1547">
        <f t="shared" si="55"/>
        <v>-2.8649005966177747E-2</v>
      </c>
    </row>
    <row r="1548" spans="1:7" x14ac:dyDescent="0.35">
      <c r="A1548" t="s">
        <v>89</v>
      </c>
      <c r="E1548">
        <v>3.0668803443386701E-3</v>
      </c>
      <c r="F1548">
        <f t="shared" si="54"/>
        <v>-1.697958619873078E-2</v>
      </c>
      <c r="G1548">
        <f t="shared" si="55"/>
        <v>-2.8649005966177747E-2</v>
      </c>
    </row>
    <row r="1549" spans="1:7" x14ac:dyDescent="0.35">
      <c r="A1549" t="s">
        <v>89</v>
      </c>
      <c r="E1549">
        <v>-7.564167471764166E-3</v>
      </c>
      <c r="F1549">
        <f t="shared" si="54"/>
        <v>-1.6982405498863165E-2</v>
      </c>
      <c r="G1549">
        <f t="shared" si="55"/>
        <v>-2.8649005966177747E-2</v>
      </c>
    </row>
    <row r="1550" spans="1:7" x14ac:dyDescent="0.35">
      <c r="A1550" t="s">
        <v>89</v>
      </c>
      <c r="E1550">
        <v>-2.1554168487888719E-3</v>
      </c>
      <c r="F1550">
        <f t="shared" si="54"/>
        <v>-1.6985224798995557E-2</v>
      </c>
      <c r="G1550">
        <f t="shared" si="55"/>
        <v>-2.8649005966177747E-2</v>
      </c>
    </row>
    <row r="1551" spans="1:7" x14ac:dyDescent="0.35">
      <c r="A1551" t="s">
        <v>89</v>
      </c>
      <c r="E1551">
        <v>-4.5161200462119633E-3</v>
      </c>
      <c r="F1551">
        <f t="shared" si="54"/>
        <v>-1.6988044099127943E-2</v>
      </c>
      <c r="G1551">
        <f t="shared" si="55"/>
        <v>-2.8649005966177747E-2</v>
      </c>
    </row>
    <row r="1552" spans="1:7" x14ac:dyDescent="0.35">
      <c r="A1552" t="s">
        <v>89</v>
      </c>
      <c r="E1552">
        <v>4.4063223986843805E-3</v>
      </c>
      <c r="F1552">
        <f t="shared" si="54"/>
        <v>-1.6990863399260332E-2</v>
      </c>
      <c r="G1552">
        <f t="shared" si="55"/>
        <v>-2.8649005966177747E-2</v>
      </c>
    </row>
    <row r="1553" spans="1:7" x14ac:dyDescent="0.35">
      <c r="A1553" t="s">
        <v>89</v>
      </c>
      <c r="E1553">
        <v>-7.8085412916175908E-3</v>
      </c>
      <c r="F1553">
        <f t="shared" si="54"/>
        <v>-1.699368269939272E-2</v>
      </c>
      <c r="G1553">
        <f t="shared" si="55"/>
        <v>-2.8649005966177747E-2</v>
      </c>
    </row>
    <row r="1554" spans="1:7" x14ac:dyDescent="0.35">
      <c r="A1554" t="s">
        <v>89</v>
      </c>
      <c r="E1554">
        <v>9.4133376101703165E-4</v>
      </c>
      <c r="F1554">
        <f t="shared" si="54"/>
        <v>-1.6996501999525109E-2</v>
      </c>
      <c r="G1554">
        <f t="shared" si="55"/>
        <v>-2.8649005966177747E-2</v>
      </c>
    </row>
    <row r="1555" spans="1:7" x14ac:dyDescent="0.35">
      <c r="A1555" t="s">
        <v>89</v>
      </c>
      <c r="E1555">
        <v>-1.8044370548499877E-3</v>
      </c>
      <c r="F1555">
        <f t="shared" si="54"/>
        <v>-1.6999321299657498E-2</v>
      </c>
      <c r="G1555">
        <f t="shared" si="55"/>
        <v>-2.8649005966177747E-2</v>
      </c>
    </row>
    <row r="1556" spans="1:7" x14ac:dyDescent="0.35">
      <c r="A1556" t="s">
        <v>89</v>
      </c>
      <c r="E1556">
        <v>-2.1546107133027084E-2</v>
      </c>
      <c r="F1556">
        <f t="shared" si="54"/>
        <v>-1.7002140599789887E-2</v>
      </c>
      <c r="G1556">
        <f t="shared" si="55"/>
        <v>-2.8649005966177747E-2</v>
      </c>
    </row>
    <row r="1557" spans="1:7" x14ac:dyDescent="0.35">
      <c r="A1557" t="s">
        <v>89</v>
      </c>
      <c r="E1557">
        <v>8.5070686163557976E-3</v>
      </c>
      <c r="F1557">
        <f t="shared" si="54"/>
        <v>-1.6926201253088038E-2</v>
      </c>
      <c r="G1557">
        <f t="shared" si="55"/>
        <v>-2.8608394680024164E-2</v>
      </c>
    </row>
    <row r="1558" spans="1:7" x14ac:dyDescent="0.35">
      <c r="A1558" t="s">
        <v>89</v>
      </c>
      <c r="E1558">
        <v>1.7648671865108437E-2</v>
      </c>
      <c r="F1558">
        <f t="shared" si="54"/>
        <v>-1.6936478101282584E-2</v>
      </c>
      <c r="G1558">
        <f t="shared" si="55"/>
        <v>-2.8608394680024164E-2</v>
      </c>
    </row>
    <row r="1559" spans="1:7" x14ac:dyDescent="0.35">
      <c r="A1559" t="s">
        <v>89</v>
      </c>
      <c r="E1559">
        <v>-1.3446068021794703E-2</v>
      </c>
      <c r="F1559">
        <f t="shared" si="54"/>
        <v>-1.6946754949477127E-2</v>
      </c>
      <c r="G1559">
        <f t="shared" si="55"/>
        <v>-2.8608394680024164E-2</v>
      </c>
    </row>
    <row r="1560" spans="1:7" x14ac:dyDescent="0.35">
      <c r="A1560" t="s">
        <v>90</v>
      </c>
      <c r="B1560" s="3" cm="1">
        <f t="array" ref="B1560">_xlfn.STDEV.S(_xlfn._xlws.FILTER($E$1000:$E$1998, $A$1000:$A$1998="2016-04"))</f>
        <v>1.2886846608624649E-2</v>
      </c>
      <c r="C1560" s="3" cm="1">
        <f t="array" ref="C1560">AVERAGE(_xlfn._xlws.FILTER($E$1000:$E$1998, $A$1000:$A$1998="2016-04"))</f>
        <v>4.743564178771889E-4</v>
      </c>
      <c r="D1560" s="3" cm="1">
        <f t="array" ref="D1560">_xlfn.PERCENTILE.EXC(_xlfn._xlws.FILTER($E$1498:$E$2489, $A$1498:$A$2489="2016-04"), 0.05)</f>
        <v>-2.7929996211006593E-2</v>
      </c>
      <c r="E1560">
        <v>-1.442952235053495E-2</v>
      </c>
      <c r="F1560">
        <f t="shared" si="54"/>
        <v>-1.6957031797671673E-2</v>
      </c>
      <c r="G1560">
        <f t="shared" si="55"/>
        <v>-2.8608394680024164E-2</v>
      </c>
    </row>
    <row r="1561" spans="1:7" x14ac:dyDescent="0.35">
      <c r="A1561" t="s">
        <v>90</v>
      </c>
      <c r="E1561">
        <v>5.302603956683063E-3</v>
      </c>
      <c r="F1561">
        <f t="shared" si="54"/>
        <v>-1.6959851097804061E-2</v>
      </c>
      <c r="G1561">
        <f t="shared" si="55"/>
        <v>-2.8712424705759455E-2</v>
      </c>
    </row>
    <row r="1562" spans="1:7" x14ac:dyDescent="0.35">
      <c r="A1562" t="s">
        <v>90</v>
      </c>
      <c r="E1562">
        <v>-2.2091527227825584E-2</v>
      </c>
      <c r="F1562">
        <f t="shared" si="54"/>
        <v>-1.696267039793645E-2</v>
      </c>
      <c r="G1562">
        <f t="shared" si="55"/>
        <v>-2.8712424705759455E-2</v>
      </c>
    </row>
    <row r="1563" spans="1:7" x14ac:dyDescent="0.35">
      <c r="A1563" t="s">
        <v>90</v>
      </c>
      <c r="E1563">
        <v>8.0516713989158047E-3</v>
      </c>
      <c r="F1563">
        <f t="shared" si="54"/>
        <v>-1.6782325378364427E-2</v>
      </c>
      <c r="G1563">
        <f t="shared" si="55"/>
        <v>-2.8666580996561653E-2</v>
      </c>
    </row>
    <row r="1564" spans="1:7" x14ac:dyDescent="0.35">
      <c r="A1564" t="s">
        <v>90</v>
      </c>
      <c r="E1564">
        <v>-9.080367881778649E-3</v>
      </c>
      <c r="F1564">
        <f t="shared" si="54"/>
        <v>-1.679260222655897E-2</v>
      </c>
      <c r="G1564">
        <f t="shared" si="55"/>
        <v>-2.8666580996561653E-2</v>
      </c>
    </row>
    <row r="1565" spans="1:7" x14ac:dyDescent="0.35">
      <c r="A1565" t="s">
        <v>90</v>
      </c>
      <c r="E1565">
        <v>1.3384174351690585E-2</v>
      </c>
      <c r="F1565">
        <f t="shared" si="54"/>
        <v>-1.6802879074753516E-2</v>
      </c>
      <c r="G1565">
        <f t="shared" si="55"/>
        <v>-2.8666580996561653E-2</v>
      </c>
    </row>
    <row r="1566" spans="1:7" x14ac:dyDescent="0.35">
      <c r="A1566" t="s">
        <v>90</v>
      </c>
      <c r="E1566">
        <v>2.20758584271756E-3</v>
      </c>
      <c r="F1566">
        <f t="shared" si="54"/>
        <v>-1.6813155922948058E-2</v>
      </c>
      <c r="G1566">
        <f t="shared" si="55"/>
        <v>-2.8666580996561653E-2</v>
      </c>
    </row>
    <row r="1567" spans="1:7" x14ac:dyDescent="0.35">
      <c r="A1567" t="s">
        <v>90</v>
      </c>
      <c r="E1567">
        <v>7.6872460914915288E-3</v>
      </c>
      <c r="F1567">
        <f t="shared" si="54"/>
        <v>-1.68234327711426E-2</v>
      </c>
      <c r="G1567">
        <f t="shared" si="55"/>
        <v>-2.8666580996561653E-2</v>
      </c>
    </row>
    <row r="1568" spans="1:7" x14ac:dyDescent="0.35">
      <c r="A1568" t="s">
        <v>90</v>
      </c>
      <c r="E1568">
        <v>3.2686568764953627E-2</v>
      </c>
      <c r="F1568">
        <f t="shared" si="54"/>
        <v>-1.6833709619337146E-2</v>
      </c>
      <c r="G1568">
        <f t="shared" si="55"/>
        <v>-2.8666580996561653E-2</v>
      </c>
    </row>
    <row r="1569" spans="1:7" x14ac:dyDescent="0.35">
      <c r="A1569" t="s">
        <v>90</v>
      </c>
      <c r="E1569">
        <v>4.7101673205373566E-3</v>
      </c>
      <c r="F1569">
        <f t="shared" si="54"/>
        <v>-1.6843986467531689E-2</v>
      </c>
      <c r="G1569">
        <f t="shared" si="55"/>
        <v>-2.8666580996561653E-2</v>
      </c>
    </row>
    <row r="1570" spans="1:7" x14ac:dyDescent="0.35">
      <c r="A1570" t="s">
        <v>90</v>
      </c>
      <c r="E1570">
        <v>-3.6284219994372367E-3</v>
      </c>
      <c r="F1570">
        <f t="shared" si="54"/>
        <v>-1.6854263315726235E-2</v>
      </c>
      <c r="G1570">
        <f t="shared" si="55"/>
        <v>-2.8666580996561653E-2</v>
      </c>
    </row>
    <row r="1571" spans="1:7" x14ac:dyDescent="0.35">
      <c r="A1571" t="s">
        <v>90</v>
      </c>
      <c r="E1571">
        <v>2.5927557373334222E-3</v>
      </c>
      <c r="F1571">
        <f t="shared" si="54"/>
        <v>-1.6864540163920777E-2</v>
      </c>
      <c r="G1571">
        <f t="shared" si="55"/>
        <v>-2.8666580996561653E-2</v>
      </c>
    </row>
    <row r="1572" spans="1:7" x14ac:dyDescent="0.35">
      <c r="A1572" t="s">
        <v>90</v>
      </c>
      <c r="E1572">
        <v>1.3146424672573952E-2</v>
      </c>
      <c r="F1572">
        <f t="shared" si="54"/>
        <v>-1.6874817012115319E-2</v>
      </c>
      <c r="G1572">
        <f t="shared" si="55"/>
        <v>-2.8666580996561653E-2</v>
      </c>
    </row>
    <row r="1573" spans="1:7" x14ac:dyDescent="0.35">
      <c r="A1573" t="s">
        <v>90</v>
      </c>
      <c r="E1573">
        <v>5.555569844602184E-3</v>
      </c>
      <c r="F1573">
        <f t="shared" si="54"/>
        <v>-1.6885093860309865E-2</v>
      </c>
      <c r="G1573">
        <f t="shared" si="55"/>
        <v>-2.8666580996561653E-2</v>
      </c>
    </row>
    <row r="1574" spans="1:7" x14ac:dyDescent="0.35">
      <c r="A1574" t="s">
        <v>90</v>
      </c>
      <c r="E1574">
        <v>-1.9815260305256323E-3</v>
      </c>
      <c r="F1574">
        <f t="shared" si="54"/>
        <v>-1.6895370708504408E-2</v>
      </c>
      <c r="G1574">
        <f t="shared" si="55"/>
        <v>-2.8666580996561653E-2</v>
      </c>
    </row>
    <row r="1575" spans="1:7" x14ac:dyDescent="0.35">
      <c r="A1575" t="s">
        <v>90</v>
      </c>
      <c r="E1575">
        <v>-2.8779073432211211E-3</v>
      </c>
      <c r="F1575">
        <f t="shared" si="54"/>
        <v>-1.6905647556698954E-2</v>
      </c>
      <c r="G1575">
        <f t="shared" si="55"/>
        <v>-2.8666580996561653E-2</v>
      </c>
    </row>
    <row r="1576" spans="1:7" x14ac:dyDescent="0.35">
      <c r="A1576" t="s">
        <v>90</v>
      </c>
      <c r="E1576">
        <v>-5.1646819746319749E-3</v>
      </c>
      <c r="F1576">
        <f t="shared" si="54"/>
        <v>-1.6915924404893496E-2</v>
      </c>
      <c r="G1576">
        <f t="shared" si="55"/>
        <v>-2.8666580996561653E-2</v>
      </c>
    </row>
    <row r="1577" spans="1:7" x14ac:dyDescent="0.35">
      <c r="A1577" t="s">
        <v>90</v>
      </c>
      <c r="E1577">
        <v>-2.8504419418847859E-3</v>
      </c>
      <c r="F1577">
        <f t="shared" si="54"/>
        <v>-1.6926201253088038E-2</v>
      </c>
      <c r="G1577">
        <f t="shared" si="55"/>
        <v>-2.8666580996561653E-2</v>
      </c>
    </row>
    <row r="1578" spans="1:7" x14ac:dyDescent="0.35">
      <c r="A1578" t="s">
        <v>90</v>
      </c>
      <c r="E1578">
        <v>5.7673559492006391E-3</v>
      </c>
      <c r="F1578">
        <f t="shared" si="54"/>
        <v>-1.6936478101282584E-2</v>
      </c>
      <c r="G1578">
        <f t="shared" si="55"/>
        <v>-2.8666580996561653E-2</v>
      </c>
    </row>
    <row r="1579" spans="1:7" x14ac:dyDescent="0.35">
      <c r="A1579" t="s">
        <v>90</v>
      </c>
      <c r="E1579">
        <v>-4.4752741852321795E-4</v>
      </c>
      <c r="F1579">
        <f t="shared" si="54"/>
        <v>-1.6946754949477127E-2</v>
      </c>
      <c r="G1579">
        <f t="shared" si="55"/>
        <v>-2.8666580996561653E-2</v>
      </c>
    </row>
    <row r="1580" spans="1:7" x14ac:dyDescent="0.35">
      <c r="A1580" t="s">
        <v>90</v>
      </c>
      <c r="E1580">
        <v>-2.8578714986915593E-2</v>
      </c>
      <c r="F1580">
        <f t="shared" si="54"/>
        <v>-1.6957031797671673E-2</v>
      </c>
      <c r="G1580">
        <f t="shared" si="55"/>
        <v>-2.8666580996561653E-2</v>
      </c>
    </row>
    <row r="1581" spans="1:7" x14ac:dyDescent="0.35">
      <c r="A1581" t="s">
        <v>91</v>
      </c>
      <c r="B1581" s="3" cm="1">
        <f t="array" ref="B1581">_xlfn.STDEV.S(_xlfn._xlws.FILTER($E$1000:$E$1998, $A$1000:$A$1998="2016-05"))</f>
        <v>9.528347072907584E-3</v>
      </c>
      <c r="C1581" s="3" cm="1">
        <f t="array" ref="C1581">AVERAGE(_xlfn._xlws.FILTER($E$1000:$E$1998, $A$1000:$A$1998="2016-05"))</f>
        <v>9.0319541767978797E-4</v>
      </c>
      <c r="D1581" s="3" cm="1">
        <f t="array" ref="D1581">_xlfn.PERCENTILE.EXC(_xlfn._xlws.FILTER($E$1498:$E$2489, $A$1498:$A$2489="2016-05"), 0.05)</f>
        <v>-1.2948797777806009E-2</v>
      </c>
      <c r="E1581">
        <v>-1.2948797777806009E-2</v>
      </c>
      <c r="F1581">
        <f t="shared" si="54"/>
        <v>-1.6761771681975339E-2</v>
      </c>
      <c r="G1581">
        <f t="shared" si="55"/>
        <v>-2.8667372582234132E-2</v>
      </c>
    </row>
    <row r="1582" spans="1:7" x14ac:dyDescent="0.35">
      <c r="A1582" t="s">
        <v>91</v>
      </c>
      <c r="E1582">
        <v>-1.0981905886706051E-2</v>
      </c>
      <c r="F1582">
        <f t="shared" si="54"/>
        <v>-1.6772048530169881E-2</v>
      </c>
      <c r="G1582">
        <f t="shared" si="55"/>
        <v>-2.8667372582234132E-2</v>
      </c>
    </row>
    <row r="1583" spans="1:7" x14ac:dyDescent="0.35">
      <c r="A1583" t="s">
        <v>91</v>
      </c>
      <c r="E1583">
        <v>-1.1036954088384798E-3</v>
      </c>
      <c r="F1583">
        <f t="shared" si="54"/>
        <v>-1.6782325378364427E-2</v>
      </c>
      <c r="G1583">
        <f t="shared" si="55"/>
        <v>-2.8667372582234132E-2</v>
      </c>
    </row>
    <row r="1584" spans="1:7" x14ac:dyDescent="0.35">
      <c r="A1584" t="s">
        <v>91</v>
      </c>
      <c r="E1584">
        <v>-4.2270412215680842E-3</v>
      </c>
      <c r="F1584">
        <f t="shared" si="54"/>
        <v>-1.679260222655897E-2</v>
      </c>
      <c r="G1584">
        <f t="shared" si="55"/>
        <v>-2.8667372582234132E-2</v>
      </c>
    </row>
    <row r="1585" spans="1:7" x14ac:dyDescent="0.35">
      <c r="A1585" t="s">
        <v>91</v>
      </c>
      <c r="E1585">
        <v>5.0023005383418662E-3</v>
      </c>
      <c r="F1585">
        <f t="shared" si="54"/>
        <v>-1.6802879074753516E-2</v>
      </c>
      <c r="G1585">
        <f t="shared" si="55"/>
        <v>-2.8667372582234132E-2</v>
      </c>
    </row>
    <row r="1586" spans="1:7" x14ac:dyDescent="0.35">
      <c r="A1586" t="s">
        <v>91</v>
      </c>
      <c r="E1586">
        <v>3.5561668785995745E-3</v>
      </c>
      <c r="F1586">
        <f t="shared" si="54"/>
        <v>-1.6813155922948058E-2</v>
      </c>
      <c r="G1586">
        <f t="shared" si="55"/>
        <v>-2.8667372582234132E-2</v>
      </c>
    </row>
    <row r="1587" spans="1:7" x14ac:dyDescent="0.35">
      <c r="A1587" t="s">
        <v>91</v>
      </c>
      <c r="E1587">
        <v>-4.9775489603299155E-3</v>
      </c>
      <c r="F1587">
        <f t="shared" si="54"/>
        <v>-1.68234327711426E-2</v>
      </c>
      <c r="G1587">
        <f t="shared" si="55"/>
        <v>-2.8667372582234132E-2</v>
      </c>
    </row>
    <row r="1588" spans="1:7" x14ac:dyDescent="0.35">
      <c r="A1588" t="s">
        <v>91</v>
      </c>
      <c r="E1588">
        <v>-5.4355913314133742E-3</v>
      </c>
      <c r="F1588">
        <f t="shared" si="54"/>
        <v>-1.6833709619337146E-2</v>
      </c>
      <c r="G1588">
        <f t="shared" si="55"/>
        <v>-2.8667372582234132E-2</v>
      </c>
    </row>
    <row r="1589" spans="1:7" x14ac:dyDescent="0.35">
      <c r="A1589" t="s">
        <v>91</v>
      </c>
      <c r="E1589">
        <v>6.2044070920272334E-3</v>
      </c>
      <c r="F1589">
        <f t="shared" si="54"/>
        <v>-1.6843986467531689E-2</v>
      </c>
      <c r="G1589">
        <f t="shared" si="55"/>
        <v>-2.8667372582234132E-2</v>
      </c>
    </row>
    <row r="1590" spans="1:7" x14ac:dyDescent="0.35">
      <c r="A1590" t="s">
        <v>91</v>
      </c>
      <c r="E1590">
        <v>-5.2033407564657276E-3</v>
      </c>
      <c r="F1590">
        <f t="shared" si="54"/>
        <v>-1.6854263315726235E-2</v>
      </c>
      <c r="G1590">
        <f t="shared" si="55"/>
        <v>-2.8667372582234132E-2</v>
      </c>
    </row>
    <row r="1591" spans="1:7" x14ac:dyDescent="0.35">
      <c r="A1591" t="s">
        <v>91</v>
      </c>
      <c r="E1591">
        <v>5.0436054075037847E-3</v>
      </c>
      <c r="F1591">
        <f t="shared" si="54"/>
        <v>-1.6864540163920777E-2</v>
      </c>
      <c r="G1591">
        <f t="shared" si="55"/>
        <v>-2.8667372582234132E-2</v>
      </c>
    </row>
    <row r="1592" spans="1:7" x14ac:dyDescent="0.35">
      <c r="A1592" t="s">
        <v>91</v>
      </c>
      <c r="E1592">
        <v>-8.5470605784584083E-3</v>
      </c>
      <c r="F1592">
        <f t="shared" si="54"/>
        <v>-1.6874817012115319E-2</v>
      </c>
      <c r="G1592">
        <f t="shared" si="55"/>
        <v>-2.8667372582234132E-2</v>
      </c>
    </row>
    <row r="1593" spans="1:7" x14ac:dyDescent="0.35">
      <c r="A1593" t="s">
        <v>91</v>
      </c>
      <c r="E1593">
        <v>1.6525703651185206E-2</v>
      </c>
      <c r="F1593">
        <f t="shared" si="54"/>
        <v>-1.6885093860309865E-2</v>
      </c>
      <c r="G1593">
        <f t="shared" si="55"/>
        <v>-2.8667372582234132E-2</v>
      </c>
    </row>
    <row r="1594" spans="1:7" x14ac:dyDescent="0.35">
      <c r="A1594" t="s">
        <v>91</v>
      </c>
      <c r="E1594">
        <v>-6.6367336584589268E-3</v>
      </c>
      <c r="F1594">
        <f t="shared" si="54"/>
        <v>-1.6895370708504408E-2</v>
      </c>
      <c r="G1594">
        <f t="shared" si="55"/>
        <v>-2.8667372582234132E-2</v>
      </c>
    </row>
    <row r="1595" spans="1:7" x14ac:dyDescent="0.35">
      <c r="A1595" t="s">
        <v>91</v>
      </c>
      <c r="E1595">
        <v>2.4307378826834206E-2</v>
      </c>
      <c r="F1595">
        <f t="shared" si="54"/>
        <v>-1.6905647556698954E-2</v>
      </c>
      <c r="G1595">
        <f t="shared" si="55"/>
        <v>-2.8667372582234132E-2</v>
      </c>
    </row>
    <row r="1596" spans="1:7" x14ac:dyDescent="0.35">
      <c r="A1596" t="s">
        <v>91</v>
      </c>
      <c r="E1596">
        <v>1.1246410537002573E-2</v>
      </c>
      <c r="F1596">
        <f t="shared" si="54"/>
        <v>-1.6915924404893496E-2</v>
      </c>
      <c r="G1596">
        <f t="shared" si="55"/>
        <v>-2.8667372582234132E-2</v>
      </c>
    </row>
    <row r="1597" spans="1:7" x14ac:dyDescent="0.35">
      <c r="A1597" t="s">
        <v>91</v>
      </c>
      <c r="E1597">
        <v>6.8932972408163855E-3</v>
      </c>
      <c r="F1597">
        <f t="shared" si="54"/>
        <v>-1.6926201253088038E-2</v>
      </c>
      <c r="G1597">
        <f t="shared" si="55"/>
        <v>-2.8667372582234132E-2</v>
      </c>
    </row>
    <row r="1598" spans="1:7" x14ac:dyDescent="0.35">
      <c r="A1598" t="s">
        <v>91</v>
      </c>
      <c r="E1598">
        <v>4.6525127730972994E-4</v>
      </c>
      <c r="F1598">
        <f t="shared" si="54"/>
        <v>-1.6936478101282584E-2</v>
      </c>
      <c r="G1598">
        <f t="shared" si="55"/>
        <v>-2.8667372582234132E-2</v>
      </c>
    </row>
    <row r="1599" spans="1:7" x14ac:dyDescent="0.35">
      <c r="A1599" t="s">
        <v>91</v>
      </c>
      <c r="E1599">
        <v>-2.0220929336596128E-3</v>
      </c>
      <c r="F1599">
        <f t="shared" si="54"/>
        <v>-1.6946754949477127E-2</v>
      </c>
      <c r="G1599">
        <f t="shared" si="55"/>
        <v>-2.8667372582234132E-2</v>
      </c>
    </row>
    <row r="1600" spans="1:7" x14ac:dyDescent="0.35">
      <c r="A1600" t="s">
        <v>92</v>
      </c>
      <c r="B1600" s="3" cm="1">
        <f t="array" ref="B1600">_xlfn.STDEV.S(_xlfn._xlws.FILTER($E$1000:$E$1998, $A$1000:$A$1998="2016-06"))</f>
        <v>2.4723889852378996E-2</v>
      </c>
      <c r="C1600" s="3" cm="1">
        <f t="array" ref="C1600">AVERAGE(_xlfn._xlws.FILTER($E$1000:$E$1998, $A$1000:$A$1998="2016-06"))</f>
        <v>-2.7889433418507117E-3</v>
      </c>
      <c r="D1600" s="3" cm="1">
        <f t="array" ref="D1600">_xlfn.PERCENTILE.EXC(_xlfn._xlws.FILTER($E$1498:$E$2489, $A$1498:$A$2489="2016-06"), 0.05)</f>
        <v>-7.5791126580524795E-2</v>
      </c>
      <c r="E1600">
        <v>-6.7320076847401386E-3</v>
      </c>
      <c r="F1600">
        <f t="shared" si="54"/>
        <v>-1.6957031797671673E-2</v>
      </c>
      <c r="G1600">
        <f t="shared" si="55"/>
        <v>-2.8667372582234132E-2</v>
      </c>
    </row>
    <row r="1601" spans="1:7" x14ac:dyDescent="0.35">
      <c r="A1601" t="s">
        <v>92</v>
      </c>
      <c r="E1601">
        <v>-2.1003453494277844E-3</v>
      </c>
      <c r="F1601">
        <f t="shared" si="54"/>
        <v>-1.6959851097804061E-2</v>
      </c>
      <c r="G1601">
        <f t="shared" si="55"/>
        <v>-2.8773830225730154E-2</v>
      </c>
    </row>
    <row r="1602" spans="1:7" x14ac:dyDescent="0.35">
      <c r="A1602" t="s">
        <v>92</v>
      </c>
      <c r="E1602">
        <v>-9.9508234641269237E-3</v>
      </c>
      <c r="F1602">
        <f t="shared" si="54"/>
        <v>-1.696267039793645E-2</v>
      </c>
      <c r="G1602">
        <f t="shared" si="55"/>
        <v>-2.8773830225730154E-2</v>
      </c>
    </row>
    <row r="1603" spans="1:7" x14ac:dyDescent="0.35">
      <c r="A1603" t="s">
        <v>92</v>
      </c>
      <c r="E1603">
        <v>3.6177977955207486E-4</v>
      </c>
      <c r="F1603">
        <f t="shared" si="54"/>
        <v>-1.6965489698068836E-2</v>
      </c>
      <c r="G1603">
        <f t="shared" si="55"/>
        <v>-2.8773830225730154E-2</v>
      </c>
    </row>
    <row r="1604" spans="1:7" x14ac:dyDescent="0.35">
      <c r="A1604" t="s">
        <v>92</v>
      </c>
      <c r="E1604">
        <v>1.1794402300402561E-2</v>
      </c>
      <c r="F1604">
        <f t="shared" ref="F1604:F1667" si="56">_xlfn.PERCENTILE.EXC(E1604:E5419,0.05)</f>
        <v>-1.6968308998201224E-2</v>
      </c>
      <c r="G1604">
        <f t="shared" ref="G1604:G1667" si="57">AVERAGEIFS(E1604:E5420,E1604:E5420,"&lt;=" &amp; F1604)</f>
        <v>-2.8773830225730154E-2</v>
      </c>
    </row>
    <row r="1605" spans="1:7" x14ac:dyDescent="0.35">
      <c r="A1605" t="s">
        <v>92</v>
      </c>
      <c r="E1605">
        <v>-6.0798498464781636E-3</v>
      </c>
      <c r="F1605">
        <f t="shared" si="56"/>
        <v>-1.6971128298333613E-2</v>
      </c>
      <c r="G1605">
        <f t="shared" si="57"/>
        <v>-2.8773830225730154E-2</v>
      </c>
    </row>
    <row r="1606" spans="1:7" x14ac:dyDescent="0.35">
      <c r="A1606" t="s">
        <v>92</v>
      </c>
      <c r="E1606">
        <v>-9.7399333853697614E-3</v>
      </c>
      <c r="F1606">
        <f t="shared" si="56"/>
        <v>-1.6973947598466002E-2</v>
      </c>
      <c r="G1606">
        <f t="shared" si="57"/>
        <v>-2.8773830225730154E-2</v>
      </c>
    </row>
    <row r="1607" spans="1:7" x14ac:dyDescent="0.35">
      <c r="A1607" t="s">
        <v>92</v>
      </c>
      <c r="E1607">
        <v>-2.2702135291350956E-2</v>
      </c>
      <c r="F1607">
        <f t="shared" si="56"/>
        <v>-1.6976766898598391E-2</v>
      </c>
      <c r="G1607">
        <f t="shared" si="57"/>
        <v>-2.8773830225730154E-2</v>
      </c>
    </row>
    <row r="1608" spans="1:7" x14ac:dyDescent="0.35">
      <c r="A1608" t="s">
        <v>92</v>
      </c>
      <c r="E1608">
        <v>-1.8679340449082531E-2</v>
      </c>
      <c r="F1608">
        <f t="shared" si="56"/>
        <v>-1.6833709619337146E-2</v>
      </c>
      <c r="G1608">
        <f t="shared" si="57"/>
        <v>-2.8721602012151258E-2</v>
      </c>
    </row>
    <row r="1609" spans="1:7" x14ac:dyDescent="0.35">
      <c r="A1609" t="s">
        <v>92</v>
      </c>
      <c r="E1609">
        <v>-2.313994613295782E-2</v>
      </c>
      <c r="F1609">
        <f t="shared" si="56"/>
        <v>-1.6748751486583644E-2</v>
      </c>
      <c r="G1609">
        <f t="shared" si="57"/>
        <v>-2.8704076142921236E-2</v>
      </c>
    </row>
    <row r="1610" spans="1:7" x14ac:dyDescent="0.35">
      <c r="A1610" t="s">
        <v>92</v>
      </c>
      <c r="E1610">
        <v>9.9375540013523465E-3</v>
      </c>
      <c r="F1610">
        <f t="shared" si="56"/>
        <v>-1.6707089155992144E-2</v>
      </c>
      <c r="G1610">
        <f t="shared" si="57"/>
        <v>-2.8645953968346946E-2</v>
      </c>
    </row>
    <row r="1611" spans="1:7" x14ac:dyDescent="0.35">
      <c r="A1611" t="s">
        <v>92</v>
      </c>
      <c r="E1611">
        <v>-4.4614883862842819E-3</v>
      </c>
      <c r="F1611">
        <f t="shared" si="56"/>
        <v>-1.6711030933371528E-2</v>
      </c>
      <c r="G1611">
        <f t="shared" si="57"/>
        <v>-2.8645953968346946E-2</v>
      </c>
    </row>
    <row r="1612" spans="1:7" x14ac:dyDescent="0.35">
      <c r="A1612" t="s">
        <v>92</v>
      </c>
      <c r="E1612">
        <v>9.7810250182487346E-3</v>
      </c>
      <c r="F1612">
        <f t="shared" si="56"/>
        <v>-1.6714972710750911E-2</v>
      </c>
      <c r="G1612">
        <f t="shared" si="57"/>
        <v>-2.8645953968346946E-2</v>
      </c>
    </row>
    <row r="1613" spans="1:7" x14ac:dyDescent="0.35">
      <c r="A1613" t="s">
        <v>92</v>
      </c>
      <c r="E1613">
        <v>3.4435050426937237E-2</v>
      </c>
      <c r="F1613">
        <f t="shared" si="56"/>
        <v>-1.6718914488130295E-2</v>
      </c>
      <c r="G1613">
        <f t="shared" si="57"/>
        <v>-2.8645953968346946E-2</v>
      </c>
    </row>
    <row r="1614" spans="1:7" x14ac:dyDescent="0.35">
      <c r="A1614" t="s">
        <v>92</v>
      </c>
      <c r="E1614">
        <v>6.0817826413213094E-3</v>
      </c>
      <c r="F1614">
        <f t="shared" si="56"/>
        <v>-1.6722856265509678E-2</v>
      </c>
      <c r="G1614">
        <f t="shared" si="57"/>
        <v>-2.8645953968346946E-2</v>
      </c>
    </row>
    <row r="1615" spans="1:7" x14ac:dyDescent="0.35">
      <c r="A1615" t="s">
        <v>92</v>
      </c>
      <c r="E1615">
        <v>2.9243430498369113E-3</v>
      </c>
      <c r="F1615">
        <f t="shared" si="56"/>
        <v>-1.6726798042889061E-2</v>
      </c>
      <c r="G1615">
        <f t="shared" si="57"/>
        <v>-2.8645953968346946E-2</v>
      </c>
    </row>
    <row r="1616" spans="1:7" x14ac:dyDescent="0.35">
      <c r="A1616" t="s">
        <v>92</v>
      </c>
      <c r="E1616">
        <v>1.9415188085606376E-2</v>
      </c>
      <c r="F1616">
        <f t="shared" si="56"/>
        <v>-1.6730739820268445E-2</v>
      </c>
      <c r="G1616">
        <f t="shared" si="57"/>
        <v>-2.8645953968346946E-2</v>
      </c>
    </row>
    <row r="1617" spans="1:7" x14ac:dyDescent="0.35">
      <c r="A1617" t="s">
        <v>92</v>
      </c>
      <c r="E1617">
        <v>-8.3843670369306206E-2</v>
      </c>
      <c r="F1617">
        <f t="shared" si="56"/>
        <v>-1.6734681597647825E-2</v>
      </c>
      <c r="G1617">
        <f t="shared" si="57"/>
        <v>-2.8645953968346946E-2</v>
      </c>
    </row>
    <row r="1618" spans="1:7" x14ac:dyDescent="0.35">
      <c r="A1618" t="s">
        <v>92</v>
      </c>
      <c r="E1618">
        <v>-3.0160045110763527E-2</v>
      </c>
      <c r="F1618">
        <f t="shared" si="56"/>
        <v>-1.665665169865848E-2</v>
      </c>
      <c r="G1618">
        <f t="shared" si="57"/>
        <v>-2.8035263068464149E-2</v>
      </c>
    </row>
    <row r="1619" spans="1:7" x14ac:dyDescent="0.35">
      <c r="A1619" t="s">
        <v>92</v>
      </c>
      <c r="E1619">
        <v>2.5796710638368428E-2</v>
      </c>
      <c r="F1619">
        <f t="shared" si="56"/>
        <v>-1.6552167694926862E-2</v>
      </c>
      <c r="G1619">
        <f t="shared" si="57"/>
        <v>-2.7911603336064485E-2</v>
      </c>
    </row>
    <row r="1620" spans="1:7" x14ac:dyDescent="0.35">
      <c r="A1620" t="s">
        <v>92</v>
      </c>
      <c r="E1620">
        <v>2.5705861373274606E-2</v>
      </c>
      <c r="F1620">
        <f t="shared" si="56"/>
        <v>-1.6557474546799966E-2</v>
      </c>
      <c r="G1620">
        <f t="shared" si="57"/>
        <v>-2.7911603336064485E-2</v>
      </c>
    </row>
    <row r="1621" spans="1:7" x14ac:dyDescent="0.35">
      <c r="A1621" t="s">
        <v>92</v>
      </c>
      <c r="E1621">
        <v>9.9991346342718588E-3</v>
      </c>
      <c r="F1621">
        <f t="shared" si="56"/>
        <v>-1.6562984388569884E-2</v>
      </c>
      <c r="G1621">
        <f t="shared" si="57"/>
        <v>-2.8015769655232042E-2</v>
      </c>
    </row>
    <row r="1622" spans="1:7" x14ac:dyDescent="0.35">
      <c r="A1622" t="s">
        <v>93</v>
      </c>
      <c r="B1622" s="3" cm="1">
        <f t="array" ref="B1622">_xlfn.STDEV.S(_xlfn._xlws.FILTER($E$1000:$E$1998, $A$1000:$A$1998="2016-07"))</f>
        <v>1.0355160769692298E-2</v>
      </c>
      <c r="C1622" s="3" cm="1">
        <f t="array" ref="C1622">AVERAGE(_xlfn._xlws.FILTER($E$1000:$E$1998, $A$1000:$A$1998="2016-07"))</f>
        <v>2.2210871335373614E-3</v>
      </c>
      <c r="D1622" s="3" cm="1">
        <f t="array" ref="D1622">_xlfn.PERCENTILE.EXC(_xlfn._xlws.FILTER($E$1498:$E$2489, $A$1498:$A$2489="2016-07"), 0.05)</f>
        <v>-1.8748859970345748E-2</v>
      </c>
      <c r="E1622">
        <v>8.5720450073764054E-3</v>
      </c>
      <c r="F1622">
        <f t="shared" si="56"/>
        <v>-1.6568494230339799E-2</v>
      </c>
      <c r="G1622">
        <f t="shared" si="57"/>
        <v>-2.8015769655232042E-2</v>
      </c>
    </row>
    <row r="1623" spans="1:7" x14ac:dyDescent="0.35">
      <c r="A1623" t="s">
        <v>93</v>
      </c>
      <c r="E1623">
        <v>-9.1905282324398849E-3</v>
      </c>
      <c r="F1623">
        <f t="shared" si="56"/>
        <v>-1.6574004072109717E-2</v>
      </c>
      <c r="G1623">
        <f t="shared" si="57"/>
        <v>-2.8015769655232042E-2</v>
      </c>
    </row>
    <row r="1624" spans="1:7" x14ac:dyDescent="0.35">
      <c r="A1624" t="s">
        <v>93</v>
      </c>
      <c r="E1624">
        <v>-1.7013417800319439E-2</v>
      </c>
      <c r="F1624">
        <f t="shared" si="56"/>
        <v>-1.6579513913879636E-2</v>
      </c>
      <c r="G1624">
        <f t="shared" si="57"/>
        <v>-2.8015769655232042E-2</v>
      </c>
    </row>
    <row r="1625" spans="1:7" x14ac:dyDescent="0.35">
      <c r="A1625" t="s">
        <v>93</v>
      </c>
      <c r="E1625">
        <v>-1.8941686878126449E-2</v>
      </c>
      <c r="F1625">
        <f t="shared" si="56"/>
        <v>-1.6477871768703453E-2</v>
      </c>
      <c r="G1625">
        <f t="shared" si="57"/>
        <v>-2.8011586689603424E-2</v>
      </c>
    </row>
    <row r="1626" spans="1:7" x14ac:dyDescent="0.35">
      <c r="A1626" t="s">
        <v>93</v>
      </c>
      <c r="E1626">
        <v>7.9360174650184804E-3</v>
      </c>
      <c r="F1626">
        <f t="shared" si="56"/>
        <v>-1.6295735390821329E-2</v>
      </c>
      <c r="G1626">
        <f t="shared" si="57"/>
        <v>-2.7988739447687937E-2</v>
      </c>
    </row>
    <row r="1627" spans="1:7" x14ac:dyDescent="0.35">
      <c r="A1627" t="s">
        <v>93</v>
      </c>
      <c r="E1627">
        <v>1.7531829442782497E-2</v>
      </c>
      <c r="F1627">
        <f t="shared" si="56"/>
        <v>-1.6306849827858232E-2</v>
      </c>
      <c r="G1627">
        <f t="shared" si="57"/>
        <v>-2.7988739447687937E-2</v>
      </c>
    </row>
    <row r="1628" spans="1:7" x14ac:dyDescent="0.35">
      <c r="A1628" t="s">
        <v>93</v>
      </c>
      <c r="E1628">
        <v>1.7468963638943145E-2</v>
      </c>
      <c r="F1628">
        <f t="shared" si="56"/>
        <v>-1.6317964264895131E-2</v>
      </c>
      <c r="G1628">
        <f t="shared" si="57"/>
        <v>-2.7988739447687937E-2</v>
      </c>
    </row>
    <row r="1629" spans="1:7" x14ac:dyDescent="0.35">
      <c r="A1629" t="s">
        <v>93</v>
      </c>
      <c r="E1629">
        <v>1.5554222361013276E-2</v>
      </c>
      <c r="F1629">
        <f t="shared" si="56"/>
        <v>-1.6329078701932034E-2</v>
      </c>
      <c r="G1629">
        <f t="shared" si="57"/>
        <v>-2.7988739447687937E-2</v>
      </c>
    </row>
    <row r="1630" spans="1:7" x14ac:dyDescent="0.35">
      <c r="A1630" t="s">
        <v>93</v>
      </c>
      <c r="E1630">
        <v>8.9538743024350292E-4</v>
      </c>
      <c r="F1630">
        <f t="shared" si="56"/>
        <v>-1.6340193138968936E-2</v>
      </c>
      <c r="G1630">
        <f t="shared" si="57"/>
        <v>-2.7988739447687937E-2</v>
      </c>
    </row>
    <row r="1631" spans="1:7" x14ac:dyDescent="0.35">
      <c r="A1631" t="s">
        <v>93</v>
      </c>
      <c r="E1631">
        <v>1.1526619516401453E-2</v>
      </c>
      <c r="F1631">
        <f t="shared" si="56"/>
        <v>-1.6351307576005836E-2</v>
      </c>
      <c r="G1631">
        <f t="shared" si="57"/>
        <v>-2.7988739447687937E-2</v>
      </c>
    </row>
    <row r="1632" spans="1:7" x14ac:dyDescent="0.35">
      <c r="A1632" t="s">
        <v>93</v>
      </c>
      <c r="E1632">
        <v>-2.9709899531517761E-3</v>
      </c>
      <c r="F1632">
        <f t="shared" si="56"/>
        <v>-1.6362422013042738E-2</v>
      </c>
      <c r="G1632">
        <f t="shared" si="57"/>
        <v>-2.7988739447687937E-2</v>
      </c>
    </row>
    <row r="1633" spans="1:7" x14ac:dyDescent="0.35">
      <c r="A1633" t="s">
        <v>93</v>
      </c>
      <c r="E1633">
        <v>-3.3836405811603892E-3</v>
      </c>
      <c r="F1633">
        <f t="shared" si="56"/>
        <v>-1.6373536450079638E-2</v>
      </c>
      <c r="G1633">
        <f t="shared" si="57"/>
        <v>-2.7988739447687937E-2</v>
      </c>
    </row>
    <row r="1634" spans="1:7" x14ac:dyDescent="0.35">
      <c r="A1634" t="s">
        <v>93</v>
      </c>
      <c r="E1634">
        <v>-6.3560096895968468E-3</v>
      </c>
      <c r="F1634">
        <f t="shared" si="56"/>
        <v>-1.6384650887116541E-2</v>
      </c>
      <c r="G1634">
        <f t="shared" si="57"/>
        <v>-2.7988739447687937E-2</v>
      </c>
    </row>
    <row r="1635" spans="1:7" x14ac:dyDescent="0.35">
      <c r="A1635" t="s">
        <v>93</v>
      </c>
      <c r="E1635">
        <v>1.1396363708129706E-2</v>
      </c>
      <c r="F1635">
        <f t="shared" si="56"/>
        <v>-1.6395765324153443E-2</v>
      </c>
      <c r="G1635">
        <f t="shared" si="57"/>
        <v>-2.7988739447687937E-2</v>
      </c>
    </row>
    <row r="1636" spans="1:7" x14ac:dyDescent="0.35">
      <c r="A1636" t="s">
        <v>93</v>
      </c>
      <c r="E1636">
        <v>-8.0173507979386068E-4</v>
      </c>
      <c r="F1636">
        <f t="shared" si="56"/>
        <v>-1.6406879761190343E-2</v>
      </c>
      <c r="G1636">
        <f t="shared" si="57"/>
        <v>-2.7988739447687937E-2</v>
      </c>
    </row>
    <row r="1637" spans="1:7" x14ac:dyDescent="0.35">
      <c r="A1637" t="s">
        <v>93</v>
      </c>
      <c r="E1637">
        <v>1.1076411233672885E-3</v>
      </c>
      <c r="F1637">
        <f t="shared" si="56"/>
        <v>-1.6417994198227245E-2</v>
      </c>
      <c r="G1637">
        <f t="shared" si="57"/>
        <v>-2.7988739447687937E-2</v>
      </c>
    </row>
    <row r="1638" spans="1:7" x14ac:dyDescent="0.35">
      <c r="A1638" t="s">
        <v>93</v>
      </c>
      <c r="E1638">
        <v>1.5737080028782181E-3</v>
      </c>
      <c r="F1638">
        <f t="shared" si="56"/>
        <v>-1.6429108635264145E-2</v>
      </c>
      <c r="G1638">
        <f t="shared" si="57"/>
        <v>-2.7988739447687937E-2</v>
      </c>
    </row>
    <row r="1639" spans="1:7" x14ac:dyDescent="0.35">
      <c r="A1639" t="s">
        <v>93</v>
      </c>
      <c r="E1639">
        <v>1.5416551591025413E-3</v>
      </c>
      <c r="F1639">
        <f t="shared" si="56"/>
        <v>-1.6440223072301047E-2</v>
      </c>
      <c r="G1639">
        <f t="shared" si="57"/>
        <v>-2.7988739447687937E-2</v>
      </c>
    </row>
    <row r="1640" spans="1:7" x14ac:dyDescent="0.35">
      <c r="A1640" t="s">
        <v>93</v>
      </c>
      <c r="E1640">
        <v>1.1805519088045457E-2</v>
      </c>
      <c r="F1640">
        <f t="shared" si="56"/>
        <v>-1.645133750933795E-2</v>
      </c>
      <c r="G1640">
        <f t="shared" si="57"/>
        <v>-2.7988739447687937E-2</v>
      </c>
    </row>
    <row r="1641" spans="1:7" x14ac:dyDescent="0.35">
      <c r="A1641" t="s">
        <v>93</v>
      </c>
      <c r="E1641">
        <v>-5.9498074598847957E-3</v>
      </c>
      <c r="F1641">
        <f t="shared" si="56"/>
        <v>-1.645664436121105E-2</v>
      </c>
      <c r="G1641">
        <f t="shared" si="57"/>
        <v>-2.8095567243413402E-2</v>
      </c>
    </row>
    <row r="1642" spans="1:7" x14ac:dyDescent="0.35">
      <c r="A1642" t="s">
        <v>93</v>
      </c>
      <c r="E1642">
        <v>4.3406735354560638E-3</v>
      </c>
      <c r="F1642">
        <f t="shared" si="56"/>
        <v>-1.646195121308415E-2</v>
      </c>
      <c r="G1642">
        <f t="shared" si="57"/>
        <v>-2.8095567243413402E-2</v>
      </c>
    </row>
    <row r="1643" spans="1:7" x14ac:dyDescent="0.35">
      <c r="A1643" t="s">
        <v>94</v>
      </c>
      <c r="B1643" s="3" cm="1">
        <f t="array" ref="B1643">_xlfn.STDEV.S(_xlfn._xlws.FILTER($E$1000:$E$1998, $A$1000:$A$1998="2016-08"))</f>
        <v>8.3689951978469321E-3</v>
      </c>
      <c r="C1643" s="3" cm="1">
        <f t="array" ref="C1643">AVERAGE(_xlfn._xlws.FILTER($E$1000:$E$1998, $A$1000:$A$1998="2016-08"))</f>
        <v>-1.7056551177180368E-5</v>
      </c>
      <c r="D1643" s="3" cm="1">
        <f t="array" ref="D1643">_xlfn.PERCENTILE.EXC(_xlfn._xlws.FILTER($E$1498:$E$2489, $A$1498:$A$2489="2016-08"), 0.05)</f>
        <v>-1.7688183357138988E-2</v>
      </c>
      <c r="E1643">
        <v>-6.9251196071927314E-3</v>
      </c>
      <c r="F1643">
        <f t="shared" si="56"/>
        <v>-1.646725806495725E-2</v>
      </c>
      <c r="G1643">
        <f t="shared" si="57"/>
        <v>-2.8095567243413402E-2</v>
      </c>
    </row>
    <row r="1644" spans="1:7" x14ac:dyDescent="0.35">
      <c r="A1644" t="s">
        <v>94</v>
      </c>
      <c r="E1644">
        <v>-1.8583232123043567E-2</v>
      </c>
      <c r="F1644">
        <f t="shared" si="56"/>
        <v>-1.6472564916830353E-2</v>
      </c>
      <c r="G1644">
        <f t="shared" si="57"/>
        <v>-2.8095567243413402E-2</v>
      </c>
    </row>
    <row r="1645" spans="1:7" x14ac:dyDescent="0.35">
      <c r="A1645" t="s">
        <v>94</v>
      </c>
      <c r="E1645">
        <v>-1.5978599942403553E-3</v>
      </c>
      <c r="F1645">
        <f t="shared" si="56"/>
        <v>-1.628462095378443E-2</v>
      </c>
      <c r="G1645">
        <f t="shared" si="57"/>
        <v>-2.807582747847168E-2</v>
      </c>
    </row>
    <row r="1646" spans="1:7" x14ac:dyDescent="0.35">
      <c r="A1646" t="s">
        <v>94</v>
      </c>
      <c r="E1646">
        <v>5.6653714417393281E-3</v>
      </c>
      <c r="F1646">
        <f t="shared" si="56"/>
        <v>-1.6295735390821329E-2</v>
      </c>
      <c r="G1646">
        <f t="shared" si="57"/>
        <v>-2.807582747847168E-2</v>
      </c>
    </row>
    <row r="1647" spans="1:7" x14ac:dyDescent="0.35">
      <c r="A1647" t="s">
        <v>94</v>
      </c>
      <c r="E1647">
        <v>1.4828655782614254E-2</v>
      </c>
      <c r="F1647">
        <f t="shared" si="56"/>
        <v>-1.6306849827858232E-2</v>
      </c>
      <c r="G1647">
        <f t="shared" si="57"/>
        <v>-2.807582747847168E-2</v>
      </c>
    </row>
    <row r="1648" spans="1:7" x14ac:dyDescent="0.35">
      <c r="A1648" t="s">
        <v>94</v>
      </c>
      <c r="E1648">
        <v>1.1126206533910062E-3</v>
      </c>
      <c r="F1648">
        <f t="shared" si="56"/>
        <v>-1.6317964264895131E-2</v>
      </c>
      <c r="G1648">
        <f t="shared" si="57"/>
        <v>-2.807582747847168E-2</v>
      </c>
    </row>
    <row r="1649" spans="1:7" x14ac:dyDescent="0.35">
      <c r="A1649" t="s">
        <v>94</v>
      </c>
      <c r="E1649">
        <v>1.1844529160342945E-2</v>
      </c>
      <c r="F1649">
        <f t="shared" si="56"/>
        <v>-1.6329078701932034E-2</v>
      </c>
      <c r="G1649">
        <f t="shared" si="57"/>
        <v>-2.807582747847168E-2</v>
      </c>
    </row>
    <row r="1650" spans="1:7" x14ac:dyDescent="0.35">
      <c r="A1650" t="s">
        <v>94</v>
      </c>
      <c r="E1650">
        <v>-3.6008684570463969E-3</v>
      </c>
      <c r="F1650">
        <f t="shared" si="56"/>
        <v>-1.6340193138968936E-2</v>
      </c>
      <c r="G1650">
        <f t="shared" si="57"/>
        <v>-2.807582747847168E-2</v>
      </c>
    </row>
    <row r="1651" spans="1:7" x14ac:dyDescent="0.35">
      <c r="A1651" t="s">
        <v>94</v>
      </c>
      <c r="E1651">
        <v>1.1599109940163388E-2</v>
      </c>
      <c r="F1651">
        <f t="shared" si="56"/>
        <v>-1.6351307576005836E-2</v>
      </c>
      <c r="G1651">
        <f t="shared" si="57"/>
        <v>-2.807582747847168E-2</v>
      </c>
    </row>
    <row r="1652" spans="1:7" x14ac:dyDescent="0.35">
      <c r="A1652" t="s">
        <v>94</v>
      </c>
      <c r="E1652">
        <v>-8.3517142526748226E-4</v>
      </c>
      <c r="F1652">
        <f t="shared" si="56"/>
        <v>-1.6362422013042738E-2</v>
      </c>
      <c r="G1652">
        <f t="shared" si="57"/>
        <v>-2.807582747847168E-2</v>
      </c>
    </row>
    <row r="1653" spans="1:7" x14ac:dyDescent="0.35">
      <c r="A1653" t="s">
        <v>94</v>
      </c>
      <c r="E1653">
        <v>-8.8722022327261986E-3</v>
      </c>
      <c r="F1653">
        <f t="shared" si="56"/>
        <v>-1.6373536450079638E-2</v>
      </c>
      <c r="G1653">
        <f t="shared" si="57"/>
        <v>-2.807582747847168E-2</v>
      </c>
    </row>
    <row r="1654" spans="1:7" x14ac:dyDescent="0.35">
      <c r="A1654" t="s">
        <v>94</v>
      </c>
      <c r="E1654">
        <v>-9.6327444639977972E-3</v>
      </c>
      <c r="F1654">
        <f t="shared" si="56"/>
        <v>-1.6384650887116541E-2</v>
      </c>
      <c r="G1654">
        <f t="shared" si="57"/>
        <v>-2.807582747847168E-2</v>
      </c>
    </row>
    <row r="1655" spans="1:7" x14ac:dyDescent="0.35">
      <c r="A1655" t="s">
        <v>94</v>
      </c>
      <c r="E1655">
        <v>4.3773235453425253E-3</v>
      </c>
      <c r="F1655">
        <f t="shared" si="56"/>
        <v>-1.6395765324153443E-2</v>
      </c>
      <c r="G1655">
        <f t="shared" si="57"/>
        <v>-2.807582747847168E-2</v>
      </c>
    </row>
    <row r="1656" spans="1:7" x14ac:dyDescent="0.35">
      <c r="A1656" t="s">
        <v>94</v>
      </c>
      <c r="E1656">
        <v>-8.2692791963052993E-3</v>
      </c>
      <c r="F1656">
        <f t="shared" si="56"/>
        <v>-1.6406879761190343E-2</v>
      </c>
      <c r="G1656">
        <f t="shared" si="57"/>
        <v>-2.807582747847168E-2</v>
      </c>
    </row>
    <row r="1657" spans="1:7" x14ac:dyDescent="0.35">
      <c r="A1657" t="s">
        <v>94</v>
      </c>
      <c r="E1657">
        <v>-2.4071561917647713E-3</v>
      </c>
      <c r="F1657">
        <f t="shared" si="56"/>
        <v>-1.6417994198227245E-2</v>
      </c>
      <c r="G1657">
        <f t="shared" si="57"/>
        <v>-2.807582747847168E-2</v>
      </c>
    </row>
    <row r="1658" spans="1:7" x14ac:dyDescent="0.35">
      <c r="A1658" t="s">
        <v>94</v>
      </c>
      <c r="E1658">
        <v>7.1521370224915783E-3</v>
      </c>
      <c r="F1658">
        <f t="shared" si="56"/>
        <v>-1.6429108635264145E-2</v>
      </c>
      <c r="G1658">
        <f t="shared" si="57"/>
        <v>-2.807582747847168E-2</v>
      </c>
    </row>
    <row r="1659" spans="1:7" x14ac:dyDescent="0.35">
      <c r="A1659" t="s">
        <v>94</v>
      </c>
      <c r="E1659">
        <v>3.1658887536593853E-3</v>
      </c>
      <c r="F1659">
        <f t="shared" si="56"/>
        <v>-1.6440223072301047E-2</v>
      </c>
      <c r="G1659">
        <f t="shared" si="57"/>
        <v>-2.807582747847168E-2</v>
      </c>
    </row>
    <row r="1660" spans="1:7" x14ac:dyDescent="0.35">
      <c r="A1660" t="s">
        <v>94</v>
      </c>
      <c r="E1660">
        <v>-6.527898975198441E-3</v>
      </c>
      <c r="F1660">
        <f t="shared" si="56"/>
        <v>-1.645133750933795E-2</v>
      </c>
      <c r="G1660">
        <f t="shared" si="57"/>
        <v>-2.807582747847168E-2</v>
      </c>
    </row>
    <row r="1661" spans="1:7" x14ac:dyDescent="0.35">
      <c r="A1661" t="s">
        <v>94</v>
      </c>
      <c r="E1661">
        <v>7.9697725789578469E-3</v>
      </c>
      <c r="F1661">
        <f t="shared" si="56"/>
        <v>-1.645664436121105E-2</v>
      </c>
      <c r="G1661">
        <f t="shared" si="57"/>
        <v>-2.8184467571641156E-2</v>
      </c>
    </row>
    <row r="1662" spans="1:7" x14ac:dyDescent="0.35">
      <c r="A1662" t="s">
        <v>94</v>
      </c>
      <c r="E1662">
        <v>3.5103683950366712E-3</v>
      </c>
      <c r="F1662">
        <f t="shared" si="56"/>
        <v>-1.646195121308415E-2</v>
      </c>
      <c r="G1662">
        <f t="shared" si="57"/>
        <v>-2.8184467571641156E-2</v>
      </c>
    </row>
    <row r="1663" spans="1:7" x14ac:dyDescent="0.35">
      <c r="A1663" t="s">
        <v>94</v>
      </c>
      <c r="E1663">
        <v>-4.3324321816766761E-3</v>
      </c>
      <c r="F1663">
        <f t="shared" si="56"/>
        <v>-1.646725806495725E-2</v>
      </c>
      <c r="G1663">
        <f t="shared" si="57"/>
        <v>-2.8184467571641156E-2</v>
      </c>
    </row>
    <row r="1664" spans="1:7" x14ac:dyDescent="0.35">
      <c r="A1664" t="s">
        <v>95</v>
      </c>
      <c r="B1664" s="3" cm="1">
        <f t="array" ref="B1664">_xlfn.STDEV.S(_xlfn._xlws.FILTER($E$1000:$E$1998, $A$1000:$A$1998="2016-09"))</f>
        <v>1.0313513115494135E-2</v>
      </c>
      <c r="C1664" s="3" cm="1">
        <f t="array" ref="C1664">AVERAGE(_xlfn._xlws.FILTER($E$1000:$E$1998, $A$1000:$A$1998="2016-09"))</f>
        <v>1.0270969619931757E-4</v>
      </c>
      <c r="D1664" s="3" cm="1">
        <f t="array" ref="D1664">_xlfn.PERCENTILE.EXC(_xlfn._xlws.FILTER($E$1498:$E$2489, $A$1498:$A$2489="2016-09"), 0.05)</f>
        <v>-1.723618067114336E-2</v>
      </c>
      <c r="E1664">
        <v>3.2665419663754626E-4</v>
      </c>
      <c r="F1664">
        <f t="shared" si="56"/>
        <v>-1.6472564916830353E-2</v>
      </c>
      <c r="G1664">
        <f t="shared" si="57"/>
        <v>-2.8184467571641156E-2</v>
      </c>
    </row>
    <row r="1665" spans="1:7" x14ac:dyDescent="0.35">
      <c r="A1665" t="s">
        <v>95</v>
      </c>
      <c r="E1665">
        <v>2.2824822070939006E-2</v>
      </c>
      <c r="F1665">
        <f t="shared" si="56"/>
        <v>-1.6477871768703453E-2</v>
      </c>
      <c r="G1665">
        <f t="shared" si="57"/>
        <v>-2.8184467571641156E-2</v>
      </c>
    </row>
    <row r="1666" spans="1:7" x14ac:dyDescent="0.35">
      <c r="A1666" t="s">
        <v>95</v>
      </c>
      <c r="E1666">
        <v>-2.4000220300712214E-4</v>
      </c>
      <c r="F1666">
        <f t="shared" si="56"/>
        <v>-1.6483178620576553E-2</v>
      </c>
      <c r="G1666">
        <f t="shared" si="57"/>
        <v>-2.8184467571641156E-2</v>
      </c>
    </row>
    <row r="1667" spans="1:7" x14ac:dyDescent="0.35">
      <c r="A1667" t="s">
        <v>95</v>
      </c>
      <c r="E1667">
        <v>-2.45175979166879E-3</v>
      </c>
      <c r="F1667">
        <f t="shared" si="56"/>
        <v>-1.6488485472449656E-2</v>
      </c>
      <c r="G1667">
        <f t="shared" si="57"/>
        <v>-2.8184467571641156E-2</v>
      </c>
    </row>
    <row r="1668" spans="1:7" x14ac:dyDescent="0.35">
      <c r="A1668" t="s">
        <v>95</v>
      </c>
      <c r="E1668">
        <v>6.0962244871017521E-3</v>
      </c>
      <c r="F1668">
        <f t="shared" ref="F1668:F1731" si="58">_xlfn.PERCENTILE.EXC(E1668:E5483,0.05)</f>
        <v>-1.6493792324322756E-2</v>
      </c>
      <c r="G1668">
        <f t="shared" ref="G1668:G1731" si="59">AVERAGEIFS(E1668:E5484,E1668:E5484,"&lt;=" &amp; F1668)</f>
        <v>-2.8184467571641156E-2</v>
      </c>
    </row>
    <row r="1669" spans="1:7" x14ac:dyDescent="0.35">
      <c r="A1669" t="s">
        <v>95</v>
      </c>
      <c r="E1669">
        <v>-3.3978577416287183E-3</v>
      </c>
      <c r="F1669">
        <f t="shared" si="58"/>
        <v>-1.6499099176195856E-2</v>
      </c>
      <c r="G1669">
        <f t="shared" si="59"/>
        <v>-2.8184467571641156E-2</v>
      </c>
    </row>
    <row r="1670" spans="1:7" x14ac:dyDescent="0.35">
      <c r="A1670" t="s">
        <v>95</v>
      </c>
      <c r="E1670">
        <v>-1.1247019017051978E-2</v>
      </c>
      <c r="F1670">
        <f t="shared" si="58"/>
        <v>-1.6504406028068956E-2</v>
      </c>
      <c r="G1670">
        <f t="shared" si="59"/>
        <v>-2.8184467571641156E-2</v>
      </c>
    </row>
    <row r="1671" spans="1:7" x14ac:dyDescent="0.35">
      <c r="A1671" t="s">
        <v>95</v>
      </c>
      <c r="E1671">
        <v>-1.1555126777774051E-2</v>
      </c>
      <c r="F1671">
        <f t="shared" si="58"/>
        <v>-1.6509712879942059E-2</v>
      </c>
      <c r="G1671">
        <f t="shared" si="59"/>
        <v>-2.8184467571641156E-2</v>
      </c>
    </row>
    <row r="1672" spans="1:7" x14ac:dyDescent="0.35">
      <c r="A1672" t="s">
        <v>95</v>
      </c>
      <c r="E1672">
        <v>-1.1922678725328133E-2</v>
      </c>
      <c r="F1672">
        <f t="shared" si="58"/>
        <v>-1.6515019731815159E-2</v>
      </c>
      <c r="G1672">
        <f t="shared" si="59"/>
        <v>-2.8184467571641156E-2</v>
      </c>
    </row>
    <row r="1673" spans="1:7" x14ac:dyDescent="0.35">
      <c r="A1673" t="s">
        <v>95</v>
      </c>
      <c r="E1673">
        <v>-3.8641477540477982E-3</v>
      </c>
      <c r="F1673">
        <f t="shared" si="58"/>
        <v>-1.6520326583688259E-2</v>
      </c>
      <c r="G1673">
        <f t="shared" si="59"/>
        <v>-2.8184467571641156E-2</v>
      </c>
    </row>
    <row r="1674" spans="1:7" x14ac:dyDescent="0.35">
      <c r="A1674" t="s">
        <v>95</v>
      </c>
      <c r="E1674">
        <v>6.7707597274314186E-4</v>
      </c>
      <c r="F1674">
        <f t="shared" si="58"/>
        <v>-1.6525633435561359E-2</v>
      </c>
      <c r="G1674">
        <f t="shared" si="59"/>
        <v>-2.8184467571641156E-2</v>
      </c>
    </row>
    <row r="1675" spans="1:7" x14ac:dyDescent="0.35">
      <c r="A1675" t="s">
        <v>95</v>
      </c>
      <c r="E1675">
        <v>-9.3663780177673499E-3</v>
      </c>
      <c r="F1675">
        <f t="shared" si="58"/>
        <v>-1.6530940287434463E-2</v>
      </c>
      <c r="G1675">
        <f t="shared" si="59"/>
        <v>-2.8184467571641156E-2</v>
      </c>
    </row>
    <row r="1676" spans="1:7" x14ac:dyDescent="0.35">
      <c r="A1676" t="s">
        <v>95</v>
      </c>
      <c r="E1676">
        <v>1.4150011950318619E-2</v>
      </c>
      <c r="F1676">
        <f t="shared" si="58"/>
        <v>-1.6536247139307562E-2</v>
      </c>
      <c r="G1676">
        <f t="shared" si="59"/>
        <v>-2.8184467571641156E-2</v>
      </c>
    </row>
    <row r="1677" spans="1:7" x14ac:dyDescent="0.35">
      <c r="A1677" t="s">
        <v>95</v>
      </c>
      <c r="E1677">
        <v>-1.2729441908162873E-3</v>
      </c>
      <c r="F1677">
        <f t="shared" si="58"/>
        <v>-1.6541553991180662E-2</v>
      </c>
      <c r="G1677">
        <f t="shared" si="59"/>
        <v>-2.8184467571641156E-2</v>
      </c>
    </row>
    <row r="1678" spans="1:7" x14ac:dyDescent="0.35">
      <c r="A1678" t="s">
        <v>95</v>
      </c>
      <c r="E1678">
        <v>4.7623738162776317E-3</v>
      </c>
      <c r="F1678">
        <f t="shared" si="58"/>
        <v>-1.6546860843053762E-2</v>
      </c>
      <c r="G1678">
        <f t="shared" si="59"/>
        <v>-2.8184467571641156E-2</v>
      </c>
    </row>
    <row r="1679" spans="1:7" x14ac:dyDescent="0.35">
      <c r="A1679" t="s">
        <v>95</v>
      </c>
      <c r="E1679">
        <v>2.2484597973995595E-2</v>
      </c>
      <c r="F1679">
        <f t="shared" si="58"/>
        <v>-1.6552167694926862E-2</v>
      </c>
      <c r="G1679">
        <f t="shared" si="59"/>
        <v>-2.8184467571641156E-2</v>
      </c>
    </row>
    <row r="1680" spans="1:7" x14ac:dyDescent="0.35">
      <c r="A1680" t="s">
        <v>95</v>
      </c>
      <c r="E1680">
        <v>-4.6963416912946714E-3</v>
      </c>
      <c r="F1680">
        <f t="shared" si="58"/>
        <v>-1.6557474546799966E-2</v>
      </c>
      <c r="G1680">
        <f t="shared" si="59"/>
        <v>-2.8184467571641156E-2</v>
      </c>
    </row>
    <row r="1681" spans="1:7" x14ac:dyDescent="0.35">
      <c r="A1681" t="s">
        <v>95</v>
      </c>
      <c r="E1681">
        <v>-1.8173857485110752E-2</v>
      </c>
      <c r="F1681">
        <f t="shared" si="58"/>
        <v>-1.6562984388569884E-2</v>
      </c>
      <c r="G1681">
        <f t="shared" si="59"/>
        <v>-2.8294156185083054E-2</v>
      </c>
    </row>
    <row r="1682" spans="1:7" x14ac:dyDescent="0.35">
      <c r="A1682" t="s">
        <v>95</v>
      </c>
      <c r="E1682">
        <v>-2.0825463182865918E-3</v>
      </c>
      <c r="F1682">
        <f t="shared" si="58"/>
        <v>-1.646195121308415E-2</v>
      </c>
      <c r="G1682">
        <f t="shared" si="59"/>
        <v>-2.8278907289438614E-2</v>
      </c>
    </row>
    <row r="1683" spans="1:7" x14ac:dyDescent="0.35">
      <c r="A1683" t="s">
        <v>95</v>
      </c>
      <c r="E1683">
        <v>7.6479826715402412E-3</v>
      </c>
      <c r="F1683">
        <f t="shared" si="58"/>
        <v>-1.646725806495725E-2</v>
      </c>
      <c r="G1683">
        <f t="shared" si="59"/>
        <v>-2.8278907289438614E-2</v>
      </c>
    </row>
    <row r="1684" spans="1:7" x14ac:dyDescent="0.35">
      <c r="A1684" t="s">
        <v>95</v>
      </c>
      <c r="E1684">
        <v>2.5663889421245123E-3</v>
      </c>
      <c r="F1684">
        <f t="shared" si="58"/>
        <v>-1.6472564916830353E-2</v>
      </c>
      <c r="G1684">
        <f t="shared" si="59"/>
        <v>-2.8278907289438614E-2</v>
      </c>
    </row>
    <row r="1685" spans="1:7" x14ac:dyDescent="0.35">
      <c r="A1685" t="s">
        <v>95</v>
      </c>
      <c r="E1685">
        <v>9.9414094848918316E-4</v>
      </c>
      <c r="F1685">
        <f t="shared" si="58"/>
        <v>-1.6477871768703453E-2</v>
      </c>
      <c r="G1685">
        <f t="shared" si="59"/>
        <v>-2.8278907289438614E-2</v>
      </c>
    </row>
    <row r="1686" spans="1:7" x14ac:dyDescent="0.35">
      <c r="A1686" t="s">
        <v>96</v>
      </c>
      <c r="B1686" s="3" cm="1">
        <f t="array" ref="B1686">_xlfn.STDEV.S(_xlfn._xlws.FILTER($E$1000:$E$1998, $A$1000:$A$1998="2016-10"))</f>
        <v>7.3391460671127758E-3</v>
      </c>
      <c r="C1686" s="3" cm="1">
        <f t="array" ref="C1686">AVERAGE(_xlfn._xlws.FILTER($E$1000:$E$1998, $A$1000:$A$1998="2016-10"))</f>
        <v>6.8100258760181952E-4</v>
      </c>
      <c r="D1686" s="3" cm="1">
        <f t="array" ref="D1686">_xlfn.PERCENTILE.EXC(_xlfn._xlws.FILTER($E$1498:$E$2489, $A$1498:$A$2489="2016-10"), 0.05)</f>
        <v>-1.0531166511490823E-2</v>
      </c>
      <c r="E1686">
        <v>1.2250819317885844E-2</v>
      </c>
      <c r="F1686">
        <f t="shared" si="58"/>
        <v>-1.6483178620576553E-2</v>
      </c>
      <c r="G1686">
        <f t="shared" si="59"/>
        <v>-2.8278907289438614E-2</v>
      </c>
    </row>
    <row r="1687" spans="1:7" x14ac:dyDescent="0.35">
      <c r="A1687" t="s">
        <v>96</v>
      </c>
      <c r="E1687">
        <v>-2.9222619605555815E-3</v>
      </c>
      <c r="F1687">
        <f t="shared" si="58"/>
        <v>-1.6488485472449656E-2</v>
      </c>
      <c r="G1687">
        <f t="shared" si="59"/>
        <v>-2.8278907289438614E-2</v>
      </c>
    </row>
    <row r="1688" spans="1:7" x14ac:dyDescent="0.35">
      <c r="A1688" t="s">
        <v>96</v>
      </c>
      <c r="E1688">
        <v>-2.1961982283518473E-3</v>
      </c>
      <c r="F1688">
        <f t="shared" si="58"/>
        <v>-1.6493792324322756E-2</v>
      </c>
      <c r="G1688">
        <f t="shared" si="59"/>
        <v>-2.8278907289438614E-2</v>
      </c>
    </row>
    <row r="1689" spans="1:7" x14ac:dyDescent="0.35">
      <c r="A1689" t="s">
        <v>96</v>
      </c>
      <c r="E1689">
        <v>-6.761496351820581E-3</v>
      </c>
      <c r="F1689">
        <f t="shared" si="58"/>
        <v>-1.6499099176195856E-2</v>
      </c>
      <c r="G1689">
        <f t="shared" si="59"/>
        <v>-2.8278907289438614E-2</v>
      </c>
    </row>
    <row r="1690" spans="1:7" x14ac:dyDescent="0.35">
      <c r="A1690" t="s">
        <v>96</v>
      </c>
      <c r="E1690">
        <v>1.0584451184738414E-2</v>
      </c>
      <c r="F1690">
        <f t="shared" si="58"/>
        <v>-1.6504406028068956E-2</v>
      </c>
      <c r="G1690">
        <f t="shared" si="59"/>
        <v>-2.8278907289438614E-2</v>
      </c>
    </row>
    <row r="1691" spans="1:7" x14ac:dyDescent="0.35">
      <c r="A1691" t="s">
        <v>96</v>
      </c>
      <c r="E1691">
        <v>-5.6907278115176938E-3</v>
      </c>
      <c r="F1691">
        <f t="shared" si="58"/>
        <v>-1.6509712879942059E-2</v>
      </c>
      <c r="G1691">
        <f t="shared" si="59"/>
        <v>-2.8278907289438614E-2</v>
      </c>
    </row>
    <row r="1692" spans="1:7" x14ac:dyDescent="0.35">
      <c r="A1692" t="s">
        <v>96</v>
      </c>
      <c r="E1692">
        <v>-4.3702543116557096E-3</v>
      </c>
      <c r="F1692">
        <f t="shared" si="58"/>
        <v>-1.6515019731815159E-2</v>
      </c>
      <c r="G1692">
        <f t="shared" si="59"/>
        <v>-2.8278907289438614E-2</v>
      </c>
    </row>
    <row r="1693" spans="1:7" x14ac:dyDescent="0.35">
      <c r="A1693" t="s">
        <v>96</v>
      </c>
      <c r="E1693">
        <v>-1.0628489164106126E-2</v>
      </c>
      <c r="F1693">
        <f t="shared" si="58"/>
        <v>-1.6520326583688259E-2</v>
      </c>
      <c r="G1693">
        <f t="shared" si="59"/>
        <v>-2.8278907289438614E-2</v>
      </c>
    </row>
    <row r="1694" spans="1:7" x14ac:dyDescent="0.35">
      <c r="A1694" t="s">
        <v>96</v>
      </c>
      <c r="E1694">
        <v>1.4815352850981614E-2</v>
      </c>
      <c r="F1694">
        <f t="shared" si="58"/>
        <v>-1.6525633435561359E-2</v>
      </c>
      <c r="G1694">
        <f t="shared" si="59"/>
        <v>-2.8278907289438614E-2</v>
      </c>
    </row>
    <row r="1695" spans="1:7" x14ac:dyDescent="0.35">
      <c r="A1695" t="s">
        <v>96</v>
      </c>
      <c r="E1695">
        <v>-4.6384237672027111E-3</v>
      </c>
      <c r="F1695">
        <f t="shared" si="58"/>
        <v>-1.6530940287434463E-2</v>
      </c>
      <c r="G1695">
        <f t="shared" si="59"/>
        <v>-2.8278907289438614E-2</v>
      </c>
    </row>
    <row r="1696" spans="1:7" x14ac:dyDescent="0.35">
      <c r="A1696" t="s">
        <v>96</v>
      </c>
      <c r="E1696">
        <v>1.3099658924138407E-2</v>
      </c>
      <c r="F1696">
        <f t="shared" si="58"/>
        <v>-1.6536247139307562E-2</v>
      </c>
      <c r="G1696">
        <f t="shared" si="59"/>
        <v>-2.8278907289438614E-2</v>
      </c>
    </row>
    <row r="1697" spans="1:7" x14ac:dyDescent="0.35">
      <c r="A1697" t="s">
        <v>96</v>
      </c>
      <c r="E1697">
        <v>2.5229241631515545E-3</v>
      </c>
      <c r="F1697">
        <f t="shared" si="58"/>
        <v>-1.6541553991180662E-2</v>
      </c>
      <c r="G1697">
        <f t="shared" si="59"/>
        <v>-2.8278907289438614E-2</v>
      </c>
    </row>
    <row r="1698" spans="1:7" x14ac:dyDescent="0.35">
      <c r="A1698" t="s">
        <v>96</v>
      </c>
      <c r="E1698">
        <v>4.3750800989534201E-3</v>
      </c>
      <c r="F1698">
        <f t="shared" si="58"/>
        <v>-1.6546860843053762E-2</v>
      </c>
      <c r="G1698">
        <f t="shared" si="59"/>
        <v>-2.8278907289438614E-2</v>
      </c>
    </row>
    <row r="1699" spans="1:7" x14ac:dyDescent="0.35">
      <c r="A1699" t="s">
        <v>96</v>
      </c>
      <c r="E1699">
        <v>-8.9244501686386595E-4</v>
      </c>
      <c r="F1699">
        <f t="shared" si="58"/>
        <v>-1.6552167694926862E-2</v>
      </c>
      <c r="G1699">
        <f t="shared" si="59"/>
        <v>-2.8278907289438614E-2</v>
      </c>
    </row>
    <row r="1700" spans="1:7" x14ac:dyDescent="0.35">
      <c r="A1700" t="s">
        <v>96</v>
      </c>
      <c r="E1700">
        <v>3.6331068223026163E-3</v>
      </c>
      <c r="F1700">
        <f t="shared" si="58"/>
        <v>-1.6557474546799966E-2</v>
      </c>
      <c r="G1700">
        <f t="shared" si="59"/>
        <v>-2.8278907289438614E-2</v>
      </c>
    </row>
    <row r="1701" spans="1:7" x14ac:dyDescent="0.35">
      <c r="A1701" t="s">
        <v>96</v>
      </c>
      <c r="E1701">
        <v>-2.582088262221081E-3</v>
      </c>
      <c r="F1701">
        <f t="shared" si="58"/>
        <v>-1.6562984388569884E-2</v>
      </c>
      <c r="G1701">
        <f t="shared" si="59"/>
        <v>-2.8390539982225651E-2</v>
      </c>
    </row>
    <row r="1702" spans="1:7" x14ac:dyDescent="0.35">
      <c r="A1702" t="s">
        <v>96</v>
      </c>
      <c r="E1702">
        <v>-1.3773454234262236E-3</v>
      </c>
      <c r="F1702">
        <f t="shared" si="58"/>
        <v>-1.6568494230339799E-2</v>
      </c>
      <c r="G1702">
        <f t="shared" si="59"/>
        <v>-2.8390539982225651E-2</v>
      </c>
    </row>
    <row r="1703" spans="1:7" x14ac:dyDescent="0.35">
      <c r="A1703" t="s">
        <v>96</v>
      </c>
      <c r="E1703">
        <v>-2.2496294822807629E-4</v>
      </c>
      <c r="F1703">
        <f t="shared" si="58"/>
        <v>-1.6574004072109717E-2</v>
      </c>
      <c r="G1703">
        <f t="shared" si="59"/>
        <v>-2.8390539982225651E-2</v>
      </c>
    </row>
    <row r="1704" spans="1:7" x14ac:dyDescent="0.35">
      <c r="A1704" t="s">
        <v>96</v>
      </c>
      <c r="E1704">
        <v>3.305387747634103E-3</v>
      </c>
      <c r="F1704">
        <f t="shared" si="58"/>
        <v>-1.6579513913879636E-2</v>
      </c>
      <c r="G1704">
        <f t="shared" si="59"/>
        <v>-2.8390539982225651E-2</v>
      </c>
    </row>
    <row r="1705" spans="1:7" x14ac:dyDescent="0.35">
      <c r="A1705" t="s">
        <v>96</v>
      </c>
      <c r="E1705">
        <v>-8.682036111800082E-3</v>
      </c>
      <c r="F1705">
        <f t="shared" si="58"/>
        <v>-1.6585023755649554E-2</v>
      </c>
      <c r="G1705">
        <f t="shared" si="59"/>
        <v>-2.8390539982225651E-2</v>
      </c>
    </row>
    <row r="1706" spans="1:7" x14ac:dyDescent="0.35">
      <c r="A1706" t="s">
        <v>97</v>
      </c>
      <c r="B1706" s="3" cm="1">
        <f t="array" ref="B1706">_xlfn.STDEV.S(_xlfn._xlws.FILTER($E$1000:$E$1998, $A$1000:$A$1998="2016-11"))</f>
        <v>8.2137392330827556E-3</v>
      </c>
      <c r="C1706" s="3" cm="1">
        <f t="array" ref="C1706">AVERAGE(_xlfn._xlws.FILTER($E$1000:$E$1998, $A$1000:$A$1998="2016-11"))</f>
        <v>6.910648537558088E-4</v>
      </c>
      <c r="D1706" s="3" cm="1">
        <f t="array" ref="D1706">_xlfn.PERCENTILE.EXC(_xlfn._xlws.FILTER($E$1498:$E$2489, $A$1498:$A$2489="2016-11"), 0.05)</f>
        <v>-1.2026495175146442E-2</v>
      </c>
      <c r="E1706">
        <v>-8.6820137446891044E-3</v>
      </c>
      <c r="F1706">
        <f t="shared" si="58"/>
        <v>-1.6590533597419469E-2</v>
      </c>
      <c r="G1706">
        <f t="shared" si="59"/>
        <v>-2.8390539982225651E-2</v>
      </c>
    </row>
    <row r="1707" spans="1:7" x14ac:dyDescent="0.35">
      <c r="A1707" t="s">
        <v>97</v>
      </c>
      <c r="E1707">
        <v>-1.2517960409215146E-2</v>
      </c>
      <c r="F1707">
        <f t="shared" si="58"/>
        <v>-1.6596043439189388E-2</v>
      </c>
      <c r="G1707">
        <f t="shared" si="59"/>
        <v>-2.8390539982225651E-2</v>
      </c>
    </row>
    <row r="1708" spans="1:7" x14ac:dyDescent="0.35">
      <c r="A1708" t="s">
        <v>97</v>
      </c>
      <c r="E1708">
        <v>-6.7751677972761675E-4</v>
      </c>
      <c r="F1708">
        <f t="shared" si="58"/>
        <v>-1.6601553280959306E-2</v>
      </c>
      <c r="G1708">
        <f t="shared" si="59"/>
        <v>-2.8390539982225651E-2</v>
      </c>
    </row>
    <row r="1709" spans="1:7" x14ac:dyDescent="0.35">
      <c r="A1709" t="s">
        <v>97</v>
      </c>
      <c r="E1709">
        <v>-7.7869217952874483E-3</v>
      </c>
      <c r="F1709">
        <f t="shared" si="58"/>
        <v>-1.6607063122729221E-2</v>
      </c>
      <c r="G1709">
        <f t="shared" si="59"/>
        <v>-2.8390539982225651E-2</v>
      </c>
    </row>
    <row r="1710" spans="1:7" x14ac:dyDescent="0.35">
      <c r="A1710" t="s">
        <v>97</v>
      </c>
      <c r="E1710">
        <v>1.8951382184606905E-2</v>
      </c>
      <c r="F1710">
        <f t="shared" si="58"/>
        <v>-1.6612572964499139E-2</v>
      </c>
      <c r="G1710">
        <f t="shared" si="59"/>
        <v>-2.8390539982225651E-2</v>
      </c>
    </row>
    <row r="1711" spans="1:7" x14ac:dyDescent="0.35">
      <c r="A1711" t="s">
        <v>97</v>
      </c>
      <c r="E1711">
        <v>3.5085792473191933E-3</v>
      </c>
      <c r="F1711">
        <f t="shared" si="58"/>
        <v>-1.6618082806269058E-2</v>
      </c>
      <c r="G1711">
        <f t="shared" si="59"/>
        <v>-2.8390539982225651E-2</v>
      </c>
    </row>
    <row r="1712" spans="1:7" x14ac:dyDescent="0.35">
      <c r="A1712" t="s">
        <v>97</v>
      </c>
      <c r="E1712">
        <v>1.4764629318351751E-2</v>
      </c>
      <c r="F1712">
        <f t="shared" si="58"/>
        <v>-1.6623592648038976E-2</v>
      </c>
      <c r="G1712">
        <f t="shared" si="59"/>
        <v>-2.8390539982225651E-2</v>
      </c>
    </row>
    <row r="1713" spans="1:7" x14ac:dyDescent="0.35">
      <c r="A1713" t="s">
        <v>97</v>
      </c>
      <c r="E1713">
        <v>-2.7616077182394888E-3</v>
      </c>
      <c r="F1713">
        <f t="shared" si="58"/>
        <v>-1.6629102489808891E-2</v>
      </c>
      <c r="G1713">
        <f t="shared" si="59"/>
        <v>-2.8390539982225651E-2</v>
      </c>
    </row>
    <row r="1714" spans="1:7" x14ac:dyDescent="0.35">
      <c r="A1714" t="s">
        <v>97</v>
      </c>
      <c r="E1714">
        <v>-9.2415255154237909E-3</v>
      </c>
      <c r="F1714">
        <f t="shared" si="58"/>
        <v>-1.663461233157881E-2</v>
      </c>
      <c r="G1714">
        <f t="shared" si="59"/>
        <v>-2.8390539982225651E-2</v>
      </c>
    </row>
    <row r="1715" spans="1:7" x14ac:dyDescent="0.35">
      <c r="A1715" t="s">
        <v>97</v>
      </c>
      <c r="E1715">
        <v>4.2854890422553762E-3</v>
      </c>
      <c r="F1715">
        <f t="shared" si="58"/>
        <v>-1.6640122173348728E-2</v>
      </c>
      <c r="G1715">
        <f t="shared" si="59"/>
        <v>-2.8390539982225651E-2</v>
      </c>
    </row>
    <row r="1716" spans="1:7" x14ac:dyDescent="0.35">
      <c r="A1716" t="s">
        <v>97</v>
      </c>
      <c r="E1716">
        <v>6.1868085739906513E-3</v>
      </c>
      <c r="F1716">
        <f t="shared" si="58"/>
        <v>-1.6645632015118646E-2</v>
      </c>
      <c r="G1716">
        <f t="shared" si="59"/>
        <v>-2.8390539982225651E-2</v>
      </c>
    </row>
    <row r="1717" spans="1:7" x14ac:dyDescent="0.35">
      <c r="A1717" t="s">
        <v>97</v>
      </c>
      <c r="E1717">
        <v>-7.8317046072080582E-3</v>
      </c>
      <c r="F1717">
        <f t="shared" si="58"/>
        <v>-1.6651141856888565E-2</v>
      </c>
      <c r="G1717">
        <f t="shared" si="59"/>
        <v>-2.8390539982225651E-2</v>
      </c>
    </row>
    <row r="1718" spans="1:7" x14ac:dyDescent="0.35">
      <c r="A1718" t="s">
        <v>97</v>
      </c>
      <c r="E1718">
        <v>5.8988465316289025E-3</v>
      </c>
      <c r="F1718">
        <f t="shared" si="58"/>
        <v>-1.665665169865848E-2</v>
      </c>
      <c r="G1718">
        <f t="shared" si="59"/>
        <v>-2.8390539982225651E-2</v>
      </c>
    </row>
    <row r="1719" spans="1:7" x14ac:dyDescent="0.35">
      <c r="A1719" t="s">
        <v>97</v>
      </c>
      <c r="E1719">
        <v>-5.1859480361667928E-3</v>
      </c>
      <c r="F1719">
        <f t="shared" si="58"/>
        <v>-1.6662161540428398E-2</v>
      </c>
      <c r="G1719">
        <f t="shared" si="59"/>
        <v>-2.8390539982225651E-2</v>
      </c>
    </row>
    <row r="1720" spans="1:7" x14ac:dyDescent="0.35">
      <c r="A1720" t="s">
        <v>97</v>
      </c>
      <c r="E1720">
        <v>5.5856234432326351E-3</v>
      </c>
      <c r="F1720">
        <f t="shared" si="58"/>
        <v>-1.6667671382198317E-2</v>
      </c>
      <c r="G1720">
        <f t="shared" si="59"/>
        <v>-2.8390539982225651E-2</v>
      </c>
    </row>
    <row r="1721" spans="1:7" x14ac:dyDescent="0.35">
      <c r="A1721" t="s">
        <v>97</v>
      </c>
      <c r="E1721">
        <v>4.1353098665608797E-3</v>
      </c>
      <c r="F1721">
        <f t="shared" si="58"/>
        <v>-1.66716131595777E-2</v>
      </c>
      <c r="G1721">
        <f t="shared" si="59"/>
        <v>-2.8503259872610535E-2</v>
      </c>
    </row>
    <row r="1722" spans="1:7" x14ac:dyDescent="0.35">
      <c r="A1722" t="s">
        <v>97</v>
      </c>
      <c r="E1722">
        <v>-4.2169984806485847E-3</v>
      </c>
      <c r="F1722">
        <f t="shared" si="58"/>
        <v>-1.6675554936957084E-2</v>
      </c>
      <c r="G1722">
        <f t="shared" si="59"/>
        <v>-2.8503259872610535E-2</v>
      </c>
    </row>
    <row r="1723" spans="1:7" x14ac:dyDescent="0.35">
      <c r="A1723" t="s">
        <v>97</v>
      </c>
      <c r="E1723">
        <v>2.9431984357931465E-3</v>
      </c>
      <c r="F1723">
        <f t="shared" si="58"/>
        <v>-1.6679496714336463E-2</v>
      </c>
      <c r="G1723">
        <f t="shared" si="59"/>
        <v>-2.8503259872610535E-2</v>
      </c>
    </row>
    <row r="1724" spans="1:7" x14ac:dyDescent="0.35">
      <c r="A1724" t="s">
        <v>97</v>
      </c>
      <c r="E1724">
        <v>1.6958420750751164E-3</v>
      </c>
      <c r="F1724">
        <f t="shared" si="58"/>
        <v>-1.6683438491715847E-2</v>
      </c>
      <c r="G1724">
        <f t="shared" si="59"/>
        <v>-2.8503259872610535E-2</v>
      </c>
    </row>
    <row r="1725" spans="1:7" x14ac:dyDescent="0.35">
      <c r="A1725" t="s">
        <v>97</v>
      </c>
      <c r="E1725">
        <v>-8.8029475846209716E-3</v>
      </c>
      <c r="F1725">
        <f t="shared" si="58"/>
        <v>-1.668738026909523E-2</v>
      </c>
      <c r="G1725">
        <f t="shared" si="59"/>
        <v>-2.8503259872610535E-2</v>
      </c>
    </row>
    <row r="1726" spans="1:7" x14ac:dyDescent="0.35">
      <c r="A1726" t="s">
        <v>97</v>
      </c>
      <c r="E1726">
        <v>9.0644363360518274E-3</v>
      </c>
      <c r="F1726">
        <f t="shared" si="58"/>
        <v>-1.6691322046474614E-2</v>
      </c>
      <c r="G1726">
        <f t="shared" si="59"/>
        <v>-2.8503259872610535E-2</v>
      </c>
    </row>
    <row r="1727" spans="1:7" x14ac:dyDescent="0.35">
      <c r="A1727" t="s">
        <v>97</v>
      </c>
      <c r="E1727">
        <v>5.8884263989884104E-3</v>
      </c>
      <c r="F1727">
        <f t="shared" si="58"/>
        <v>-1.6695263823853997E-2</v>
      </c>
      <c r="G1727">
        <f t="shared" si="59"/>
        <v>-2.8503259872610535E-2</v>
      </c>
    </row>
    <row r="1728" spans="1:7" x14ac:dyDescent="0.35">
      <c r="A1728" t="s">
        <v>98</v>
      </c>
      <c r="B1728" s="3" cm="1">
        <f t="array" ref="B1728">_xlfn.STDEV.S(_xlfn._xlws.FILTER($E$1000:$E$1998, $A$1000:$A$1998="2016-12"))</f>
        <v>6.3340839262366957E-3</v>
      </c>
      <c r="C1728" s="3" cm="1">
        <f t="array" ref="C1728">AVERAGE(_xlfn._xlws.FILTER($E$1000:$E$1998, $A$1000:$A$1998="2016-12"))</f>
        <v>3.0088573309487339E-3</v>
      </c>
      <c r="D1728" s="3" cm="1">
        <f t="array" ref="D1728">_xlfn.PERCENTILE.EXC(_xlfn._xlws.FILTER($E$1498:$E$2489, $A$1498:$A$2489="2016-12"), 0.05)</f>
        <v>-7.2228843330862146E-3</v>
      </c>
      <c r="E1728">
        <v>-3.8801005025792478E-3</v>
      </c>
      <c r="F1728">
        <f t="shared" si="58"/>
        <v>-1.6699205601233381E-2</v>
      </c>
      <c r="G1728">
        <f t="shared" si="59"/>
        <v>-2.8503259872610535E-2</v>
      </c>
    </row>
    <row r="1729" spans="1:7" x14ac:dyDescent="0.35">
      <c r="A1729" t="s">
        <v>98</v>
      </c>
      <c r="E1729">
        <v>-6.9949665980039459E-3</v>
      </c>
      <c r="F1729">
        <f t="shared" si="58"/>
        <v>-1.6703147378612761E-2</v>
      </c>
      <c r="G1729">
        <f t="shared" si="59"/>
        <v>-2.8503259872610535E-2</v>
      </c>
    </row>
    <row r="1730" spans="1:7" x14ac:dyDescent="0.35">
      <c r="A1730" t="s">
        <v>98</v>
      </c>
      <c r="E1730">
        <v>9.9966338891448996E-3</v>
      </c>
      <c r="F1730">
        <f t="shared" si="58"/>
        <v>-1.6707089155992144E-2</v>
      </c>
      <c r="G1730">
        <f t="shared" si="59"/>
        <v>-2.8503259872610535E-2</v>
      </c>
    </row>
    <row r="1731" spans="1:7" x14ac:dyDescent="0.35">
      <c r="A1731" t="s">
        <v>98</v>
      </c>
      <c r="E1731">
        <v>1.2517733018329428E-2</v>
      </c>
      <c r="F1731">
        <f t="shared" si="58"/>
        <v>-1.6711030933371528E-2</v>
      </c>
      <c r="G1731">
        <f t="shared" si="59"/>
        <v>-2.8503259872610535E-2</v>
      </c>
    </row>
    <row r="1732" spans="1:7" x14ac:dyDescent="0.35">
      <c r="A1732" t="s">
        <v>98</v>
      </c>
      <c r="E1732">
        <v>1.3462686150219392E-2</v>
      </c>
      <c r="F1732">
        <f t="shared" ref="F1732:F1795" si="60">_xlfn.PERCENTILE.EXC(E1732:E5547,0.05)</f>
        <v>-1.6714972710750911E-2</v>
      </c>
      <c r="G1732">
        <f t="shared" ref="G1732:G1795" si="61">AVERAGEIFS(E1732:E5548,E1732:E5548,"&lt;=" &amp; F1732)</f>
        <v>-2.8503259872610535E-2</v>
      </c>
    </row>
    <row r="1733" spans="1:7" x14ac:dyDescent="0.35">
      <c r="A1733" t="s">
        <v>98</v>
      </c>
      <c r="E1733">
        <v>8.644621287100451E-3</v>
      </c>
      <c r="F1733">
        <f t="shared" si="60"/>
        <v>-1.6718914488130295E-2</v>
      </c>
      <c r="G1733">
        <f t="shared" si="61"/>
        <v>-2.8503259872610535E-2</v>
      </c>
    </row>
    <row r="1734" spans="1:7" x14ac:dyDescent="0.35">
      <c r="A1734" t="s">
        <v>98</v>
      </c>
      <c r="E1734">
        <v>6.0192506637067903E-3</v>
      </c>
      <c r="F1734">
        <f t="shared" si="60"/>
        <v>-1.6722856265509678E-2</v>
      </c>
      <c r="G1734">
        <f t="shared" si="61"/>
        <v>-2.8503259872610535E-2</v>
      </c>
    </row>
    <row r="1735" spans="1:7" x14ac:dyDescent="0.35">
      <c r="A1735" t="s">
        <v>98</v>
      </c>
      <c r="E1735">
        <v>-6.9292505323751308E-4</v>
      </c>
      <c r="F1735">
        <f t="shared" si="60"/>
        <v>-1.6726798042889061E-2</v>
      </c>
      <c r="G1735">
        <f t="shared" si="61"/>
        <v>-2.8503259872610535E-2</v>
      </c>
    </row>
    <row r="1736" spans="1:7" x14ac:dyDescent="0.35">
      <c r="A1736" t="s">
        <v>98</v>
      </c>
      <c r="E1736">
        <v>9.0124232021946225E-3</v>
      </c>
      <c r="F1736">
        <f t="shared" si="60"/>
        <v>-1.6730739820268445E-2</v>
      </c>
      <c r="G1736">
        <f t="shared" si="61"/>
        <v>-2.8503259872610535E-2</v>
      </c>
    </row>
    <row r="1737" spans="1:7" x14ac:dyDescent="0.35">
      <c r="A1737" t="s">
        <v>98</v>
      </c>
      <c r="E1737">
        <v>-7.2348800033537027E-3</v>
      </c>
      <c r="F1737">
        <f t="shared" si="60"/>
        <v>-1.6734681597647825E-2</v>
      </c>
      <c r="G1737">
        <f t="shared" si="61"/>
        <v>-2.8503259872610535E-2</v>
      </c>
    </row>
    <row r="1738" spans="1:7" x14ac:dyDescent="0.35">
      <c r="A1738" t="s">
        <v>98</v>
      </c>
      <c r="E1738">
        <v>1.0427201198055635E-2</v>
      </c>
      <c r="F1738">
        <f t="shared" si="60"/>
        <v>-1.6738623375027208E-2</v>
      </c>
      <c r="G1738">
        <f t="shared" si="61"/>
        <v>-2.8503259872610535E-2</v>
      </c>
    </row>
    <row r="1739" spans="1:7" x14ac:dyDescent="0.35">
      <c r="A1739" t="s">
        <v>98</v>
      </c>
      <c r="E1739">
        <v>2.9090929606839515E-3</v>
      </c>
      <c r="F1739">
        <f t="shared" si="60"/>
        <v>-1.6742565152406592E-2</v>
      </c>
      <c r="G1739">
        <f t="shared" si="61"/>
        <v>-2.8503259872610535E-2</v>
      </c>
    </row>
    <row r="1740" spans="1:7" x14ac:dyDescent="0.35">
      <c r="A1740" t="s">
        <v>98</v>
      </c>
      <c r="E1740">
        <v>-2.1748054354696245E-3</v>
      </c>
      <c r="F1740">
        <f t="shared" si="60"/>
        <v>-1.6746506929785975E-2</v>
      </c>
      <c r="G1740">
        <f t="shared" si="61"/>
        <v>-2.8503259872610535E-2</v>
      </c>
    </row>
    <row r="1741" spans="1:7" x14ac:dyDescent="0.35">
      <c r="A1741" t="s">
        <v>98</v>
      </c>
      <c r="E1741">
        <v>5.6075724909935929E-3</v>
      </c>
      <c r="F1741">
        <f t="shared" si="60"/>
        <v>-1.6746756324985717E-2</v>
      </c>
      <c r="G1741">
        <f t="shared" si="61"/>
        <v>-2.8617403105065137E-2</v>
      </c>
    </row>
    <row r="1742" spans="1:7" x14ac:dyDescent="0.35">
      <c r="A1742" t="s">
        <v>98</v>
      </c>
      <c r="E1742">
        <v>-3.3189789350879795E-3</v>
      </c>
      <c r="F1742">
        <f t="shared" si="60"/>
        <v>-1.6747005720185459E-2</v>
      </c>
      <c r="G1742">
        <f t="shared" si="61"/>
        <v>-2.8617403105065137E-2</v>
      </c>
    </row>
    <row r="1743" spans="1:7" x14ac:dyDescent="0.35">
      <c r="A1743" t="s">
        <v>98</v>
      </c>
      <c r="E1743">
        <v>1.6755529622540649E-4</v>
      </c>
      <c r="F1743">
        <f t="shared" si="60"/>
        <v>-1.6747255115385197E-2</v>
      </c>
      <c r="G1743">
        <f t="shared" si="61"/>
        <v>-2.8617403105065137E-2</v>
      </c>
    </row>
    <row r="1744" spans="1:7" x14ac:dyDescent="0.35">
      <c r="A1744" t="s">
        <v>98</v>
      </c>
      <c r="E1744">
        <v>1.0440021993679425E-3</v>
      </c>
      <c r="F1744">
        <f t="shared" si="60"/>
        <v>-1.6747504510584939E-2</v>
      </c>
      <c r="G1744">
        <f t="shared" si="61"/>
        <v>-2.8617403105065137E-2</v>
      </c>
    </row>
    <row r="1745" spans="1:7" x14ac:dyDescent="0.35">
      <c r="A1745" t="s">
        <v>98</v>
      </c>
      <c r="E1745">
        <v>1.7197086308350336E-3</v>
      </c>
      <c r="F1745">
        <f t="shared" si="60"/>
        <v>-1.6747753905784681E-2</v>
      </c>
      <c r="G1745">
        <f t="shared" si="61"/>
        <v>-2.8617403105065137E-2</v>
      </c>
    </row>
    <row r="1746" spans="1:7" x14ac:dyDescent="0.35">
      <c r="A1746" t="s">
        <v>98</v>
      </c>
      <c r="E1746">
        <v>-1.9697564201964619E-3</v>
      </c>
      <c r="F1746">
        <f t="shared" si="60"/>
        <v>-1.6748003300984422E-2</v>
      </c>
      <c r="G1746">
        <f t="shared" si="61"/>
        <v>-2.8617403105065137E-2</v>
      </c>
    </row>
    <row r="1747" spans="1:7" x14ac:dyDescent="0.35">
      <c r="A1747" t="s">
        <v>98</v>
      </c>
      <c r="E1747">
        <v>4.9150785800460388E-3</v>
      </c>
      <c r="F1747">
        <f t="shared" si="60"/>
        <v>-1.6748252696184164E-2</v>
      </c>
      <c r="G1747">
        <f t="shared" si="61"/>
        <v>-2.8617403105065137E-2</v>
      </c>
    </row>
    <row r="1748" spans="1:7" x14ac:dyDescent="0.35">
      <c r="A1748" t="s">
        <v>99</v>
      </c>
      <c r="B1748" s="3" cm="1">
        <f t="array" ref="B1748">_xlfn.STDEV.S(_xlfn._xlws.FILTER($E$1000:$E$1998, $A$1000:$A$1998="2017-01"))</f>
        <v>5.8551137094753338E-3</v>
      </c>
      <c r="C1748" s="3" cm="1">
        <f t="array" ref="C1748">AVERAGE(_xlfn._xlws.FILTER($E$1000:$E$1998, $A$1000:$A$1998="2017-01"))</f>
        <v>-1.1238391119223656E-3</v>
      </c>
      <c r="D1748" s="3" cm="1">
        <f t="array" ref="D1748">_xlfn.PERCENTILE.EXC(_xlfn._xlws.FILTER($E$1498:$E$2489, $A$1498:$A$2489="2017-01"), 0.05)</f>
        <v>-1.1172087232804823E-2</v>
      </c>
      <c r="E1748">
        <v>7.5848274426567009E-3</v>
      </c>
      <c r="F1748">
        <f t="shared" si="60"/>
        <v>-1.6748502091383902E-2</v>
      </c>
      <c r="G1748">
        <f t="shared" si="61"/>
        <v>-2.8617403105065137E-2</v>
      </c>
    </row>
    <row r="1749" spans="1:7" x14ac:dyDescent="0.35">
      <c r="A1749" t="s">
        <v>99</v>
      </c>
      <c r="E1749">
        <v>1.4287565837699999E-5</v>
      </c>
      <c r="F1749">
        <f t="shared" si="60"/>
        <v>-1.6748751486583644E-2</v>
      </c>
      <c r="G1749">
        <f t="shared" si="61"/>
        <v>-2.8617403105065137E-2</v>
      </c>
    </row>
    <row r="1750" spans="1:7" x14ac:dyDescent="0.35">
      <c r="A1750" t="s">
        <v>99</v>
      </c>
      <c r="E1750">
        <v>2.5306019294162632E-4</v>
      </c>
      <c r="F1750">
        <f t="shared" si="60"/>
        <v>-1.6749000881783386E-2</v>
      </c>
      <c r="G1750">
        <f t="shared" si="61"/>
        <v>-2.8617403105065137E-2</v>
      </c>
    </row>
    <row r="1751" spans="1:7" x14ac:dyDescent="0.35">
      <c r="A1751" t="s">
        <v>99</v>
      </c>
      <c r="E1751">
        <v>1.8755458849886465E-3</v>
      </c>
      <c r="F1751">
        <f t="shared" si="60"/>
        <v>-1.6749250276983128E-2</v>
      </c>
      <c r="G1751">
        <f t="shared" si="61"/>
        <v>-2.8617403105065137E-2</v>
      </c>
    </row>
    <row r="1752" spans="1:7" x14ac:dyDescent="0.35">
      <c r="A1752" t="s">
        <v>99</v>
      </c>
      <c r="E1752">
        <v>-4.5461072578699786E-3</v>
      </c>
      <c r="F1752">
        <f t="shared" si="60"/>
        <v>-1.6749499672182869E-2</v>
      </c>
      <c r="G1752">
        <f t="shared" si="61"/>
        <v>-2.8617403105065137E-2</v>
      </c>
    </row>
    <row r="1753" spans="1:7" x14ac:dyDescent="0.35">
      <c r="A1753" t="s">
        <v>99</v>
      </c>
      <c r="E1753">
        <v>1.3502731254780401E-4</v>
      </c>
      <c r="F1753">
        <f t="shared" si="60"/>
        <v>-1.6749749067382608E-2</v>
      </c>
      <c r="G1753">
        <f t="shared" si="61"/>
        <v>-2.8617403105065137E-2</v>
      </c>
    </row>
    <row r="1754" spans="1:7" x14ac:dyDescent="0.35">
      <c r="A1754" t="s">
        <v>99</v>
      </c>
      <c r="E1754">
        <v>9.8190231378438551E-5</v>
      </c>
      <c r="F1754">
        <f t="shared" si="60"/>
        <v>-1.6749998462582349E-2</v>
      </c>
      <c r="G1754">
        <f t="shared" si="61"/>
        <v>-2.8617403105065137E-2</v>
      </c>
    </row>
    <row r="1755" spans="1:7" x14ac:dyDescent="0.35">
      <c r="A1755" t="s">
        <v>99</v>
      </c>
      <c r="E1755">
        <v>-5.0734881217999184E-3</v>
      </c>
      <c r="F1755">
        <f t="shared" si="60"/>
        <v>-1.6750247857782091E-2</v>
      </c>
      <c r="G1755">
        <f t="shared" si="61"/>
        <v>-2.8617403105065137E-2</v>
      </c>
    </row>
    <row r="1756" spans="1:7" x14ac:dyDescent="0.35">
      <c r="A1756" t="s">
        <v>99</v>
      </c>
      <c r="E1756">
        <v>1.195952315932774E-2</v>
      </c>
      <c r="F1756">
        <f t="shared" si="60"/>
        <v>-1.6750497252981833E-2</v>
      </c>
      <c r="G1756">
        <f t="shared" si="61"/>
        <v>-2.8617403105065137E-2</v>
      </c>
    </row>
    <row r="1757" spans="1:7" x14ac:dyDescent="0.35">
      <c r="A1757" t="s">
        <v>99</v>
      </c>
      <c r="E1757">
        <v>-8.2226586147428893E-3</v>
      </c>
      <c r="F1757">
        <f t="shared" si="60"/>
        <v>-1.6750746648181575E-2</v>
      </c>
      <c r="G1757">
        <f t="shared" si="61"/>
        <v>-2.8617403105065137E-2</v>
      </c>
    </row>
    <row r="1758" spans="1:7" x14ac:dyDescent="0.35">
      <c r="A1758" t="s">
        <v>99</v>
      </c>
      <c r="E1758">
        <v>-4.6171915565142016E-3</v>
      </c>
      <c r="F1758">
        <f t="shared" si="60"/>
        <v>-1.6750996043381313E-2</v>
      </c>
      <c r="G1758">
        <f t="shared" si="61"/>
        <v>-2.8617403105065137E-2</v>
      </c>
    </row>
    <row r="1759" spans="1:7" x14ac:dyDescent="0.35">
      <c r="A1759" t="s">
        <v>99</v>
      </c>
      <c r="E1759">
        <v>-1.2951595999331255E-3</v>
      </c>
      <c r="F1759">
        <f t="shared" si="60"/>
        <v>-1.6751245438581055E-2</v>
      </c>
      <c r="G1759">
        <f t="shared" si="61"/>
        <v>-2.8617403105065137E-2</v>
      </c>
    </row>
    <row r="1760" spans="1:7" x14ac:dyDescent="0.35">
      <c r="A1760" t="s">
        <v>99</v>
      </c>
      <c r="E1760">
        <v>-2.5292600857307582E-3</v>
      </c>
      <c r="F1760">
        <f t="shared" si="60"/>
        <v>-1.6751494833780797E-2</v>
      </c>
      <c r="G1760">
        <f t="shared" si="61"/>
        <v>-2.8617403105065137E-2</v>
      </c>
    </row>
    <row r="1761" spans="1:7" x14ac:dyDescent="0.35">
      <c r="A1761" t="s">
        <v>99</v>
      </c>
      <c r="E1761">
        <v>1.9666095541455413E-3</v>
      </c>
      <c r="F1761">
        <f t="shared" si="60"/>
        <v>-1.6761771681975339E-2</v>
      </c>
      <c r="G1761">
        <f t="shared" si="61"/>
        <v>-2.8733735539097333E-2</v>
      </c>
    </row>
    <row r="1762" spans="1:7" x14ac:dyDescent="0.35">
      <c r="A1762" t="s">
        <v>99</v>
      </c>
      <c r="E1762">
        <v>-6.0504233342842688E-3</v>
      </c>
      <c r="F1762">
        <f t="shared" si="60"/>
        <v>-1.6772048530169881E-2</v>
      </c>
      <c r="G1762">
        <f t="shared" si="61"/>
        <v>-2.8733735539097333E-2</v>
      </c>
    </row>
    <row r="1763" spans="1:7" x14ac:dyDescent="0.35">
      <c r="A1763" t="s">
        <v>99</v>
      </c>
      <c r="E1763">
        <v>1.7862624213609282E-3</v>
      </c>
      <c r="F1763">
        <f t="shared" si="60"/>
        <v>-1.6782325378364427E-2</v>
      </c>
      <c r="G1763">
        <f t="shared" si="61"/>
        <v>-2.8733735539097333E-2</v>
      </c>
    </row>
    <row r="1764" spans="1:7" x14ac:dyDescent="0.35">
      <c r="A1764" t="s">
        <v>99</v>
      </c>
      <c r="E1764">
        <v>9.8149680034954681E-3</v>
      </c>
      <c r="F1764">
        <f t="shared" si="60"/>
        <v>-1.679260222655897E-2</v>
      </c>
      <c r="G1764">
        <f t="shared" si="61"/>
        <v>-2.8733735539097333E-2</v>
      </c>
    </row>
    <row r="1765" spans="1:7" x14ac:dyDescent="0.35">
      <c r="A1765" t="s">
        <v>99</v>
      </c>
      <c r="E1765">
        <v>-2.1406055022957881E-3</v>
      </c>
      <c r="F1765">
        <f t="shared" si="60"/>
        <v>-1.6802879074753516E-2</v>
      </c>
      <c r="G1765">
        <f t="shared" si="61"/>
        <v>-2.8733735539097333E-2</v>
      </c>
    </row>
    <row r="1766" spans="1:7" x14ac:dyDescent="0.35">
      <c r="A1766" t="s">
        <v>99</v>
      </c>
      <c r="E1766">
        <v>-5.616452837918162E-3</v>
      </c>
      <c r="F1766">
        <f t="shared" si="60"/>
        <v>-1.6813155922948058E-2</v>
      </c>
      <c r="G1766">
        <f t="shared" si="61"/>
        <v>-2.8733735539097333E-2</v>
      </c>
    </row>
    <row r="1767" spans="1:7" x14ac:dyDescent="0.35">
      <c r="A1767" t="s">
        <v>99</v>
      </c>
      <c r="E1767">
        <v>-1.1499801523700594E-2</v>
      </c>
      <c r="F1767">
        <f t="shared" si="60"/>
        <v>-1.68234327711426E-2</v>
      </c>
      <c r="G1767">
        <f t="shared" si="61"/>
        <v>-2.8733735539097333E-2</v>
      </c>
    </row>
    <row r="1768" spans="1:7" x14ac:dyDescent="0.35">
      <c r="A1768" t="s">
        <v>99</v>
      </c>
      <c r="E1768">
        <v>-7.4977746842605844E-3</v>
      </c>
      <c r="F1768">
        <f t="shared" si="60"/>
        <v>-1.6833709619337146E-2</v>
      </c>
      <c r="G1768">
        <f t="shared" si="61"/>
        <v>-2.8733735539097333E-2</v>
      </c>
    </row>
    <row r="1769" spans="1:7" x14ac:dyDescent="0.35">
      <c r="A1769" t="s">
        <v>100</v>
      </c>
      <c r="B1769" s="3" cm="1">
        <f t="array" ref="B1769">_xlfn.STDEV.S(_xlfn._xlws.FILTER($E$1000:$E$1998, $A$1000:$A$1998="2017-02"))</f>
        <v>6.3795496794015081E-3</v>
      </c>
      <c r="C1769" s="3" cm="1">
        <f t="array" ref="C1769">AVERAGE(_xlfn._xlws.FILTER($E$1000:$E$1998, $A$1000:$A$1998="2017-02"))</f>
        <v>1.1416600934301053E-3</v>
      </c>
      <c r="D1769" s="3" cm="1">
        <f t="array" ref="D1769">_xlfn.PERCENTILE.EXC(_xlfn._xlws.FILTER($E$1498:$E$2489, $A$1498:$A$2489="2017-02"), 0.05)</f>
        <v>-9.8390008237079704E-3</v>
      </c>
      <c r="E1769">
        <v>9.5731009775523734E-3</v>
      </c>
      <c r="F1769">
        <f t="shared" si="60"/>
        <v>-1.6843986467531689E-2</v>
      </c>
      <c r="G1769">
        <f t="shared" si="61"/>
        <v>-2.8733735539097333E-2</v>
      </c>
    </row>
    <row r="1770" spans="1:7" x14ac:dyDescent="0.35">
      <c r="A1770" t="s">
        <v>100</v>
      </c>
      <c r="E1770">
        <v>-6.0486793561348771E-5</v>
      </c>
      <c r="F1770">
        <f t="shared" si="60"/>
        <v>-1.6854263315726235E-2</v>
      </c>
      <c r="G1770">
        <f t="shared" si="61"/>
        <v>-2.8733735539097333E-2</v>
      </c>
    </row>
    <row r="1771" spans="1:7" x14ac:dyDescent="0.35">
      <c r="A1771" t="s">
        <v>100</v>
      </c>
      <c r="E1771">
        <v>6.4721511701078833E-3</v>
      </c>
      <c r="F1771">
        <f t="shared" si="60"/>
        <v>-1.6864540163920777E-2</v>
      </c>
      <c r="G1771">
        <f t="shared" si="61"/>
        <v>-2.8733735539097333E-2</v>
      </c>
    </row>
    <row r="1772" spans="1:7" x14ac:dyDescent="0.35">
      <c r="A1772" t="s">
        <v>100</v>
      </c>
      <c r="E1772">
        <v>-9.8589854640035272E-3</v>
      </c>
      <c r="F1772">
        <f t="shared" si="60"/>
        <v>-1.6874817012115319E-2</v>
      </c>
      <c r="G1772">
        <f t="shared" si="61"/>
        <v>-2.8733735539097333E-2</v>
      </c>
    </row>
    <row r="1773" spans="1:7" x14ac:dyDescent="0.35">
      <c r="A1773" t="s">
        <v>100</v>
      </c>
      <c r="E1773">
        <v>-4.9535640050341534E-3</v>
      </c>
      <c r="F1773">
        <f t="shared" si="60"/>
        <v>-1.6885093860309865E-2</v>
      </c>
      <c r="G1773">
        <f t="shared" si="61"/>
        <v>-2.8733735539097333E-2</v>
      </c>
    </row>
    <row r="1774" spans="1:7" x14ac:dyDescent="0.35">
      <c r="A1774" t="s">
        <v>100</v>
      </c>
      <c r="E1774">
        <v>2.5480343202630346E-3</v>
      </c>
      <c r="F1774">
        <f t="shared" si="60"/>
        <v>-1.6895370708504408E-2</v>
      </c>
      <c r="G1774">
        <f t="shared" si="61"/>
        <v>-2.8733735539097333E-2</v>
      </c>
    </row>
    <row r="1775" spans="1:7" x14ac:dyDescent="0.35">
      <c r="A1775" t="s">
        <v>100</v>
      </c>
      <c r="E1775">
        <v>1.2434434106129641E-2</v>
      </c>
      <c r="F1775">
        <f t="shared" si="60"/>
        <v>-1.6905647556698954E-2</v>
      </c>
      <c r="G1775">
        <f t="shared" si="61"/>
        <v>-2.8733735539097333E-2</v>
      </c>
    </row>
    <row r="1776" spans="1:7" x14ac:dyDescent="0.35">
      <c r="A1776" t="s">
        <v>100</v>
      </c>
      <c r="E1776">
        <v>4.3088447991030071E-4</v>
      </c>
      <c r="F1776">
        <f t="shared" si="60"/>
        <v>-1.6915924404893496E-2</v>
      </c>
      <c r="G1776">
        <f t="shared" si="61"/>
        <v>-2.8733735539097333E-2</v>
      </c>
    </row>
    <row r="1777" spans="1:7" x14ac:dyDescent="0.35">
      <c r="A1777" t="s">
        <v>100</v>
      </c>
      <c r="E1777">
        <v>1.2323510745611551E-2</v>
      </c>
      <c r="F1777">
        <f t="shared" si="60"/>
        <v>-1.6926201253088038E-2</v>
      </c>
      <c r="G1777">
        <f t="shared" si="61"/>
        <v>-2.8733735539097333E-2</v>
      </c>
    </row>
    <row r="1778" spans="1:7" x14ac:dyDescent="0.35">
      <c r="A1778" t="s">
        <v>100</v>
      </c>
      <c r="E1778">
        <v>1.5596880106920764E-3</v>
      </c>
      <c r="F1778">
        <f t="shared" si="60"/>
        <v>-1.6936478101282584E-2</v>
      </c>
      <c r="G1778">
        <f t="shared" si="61"/>
        <v>-2.8733735539097333E-2</v>
      </c>
    </row>
    <row r="1779" spans="1:7" x14ac:dyDescent="0.35">
      <c r="A1779" t="s">
        <v>100</v>
      </c>
      <c r="E1779">
        <v>5.9140679957711429E-3</v>
      </c>
      <c r="F1779">
        <f t="shared" si="60"/>
        <v>-1.6946754949477127E-2</v>
      </c>
      <c r="G1779">
        <f t="shared" si="61"/>
        <v>-2.8733735539097333E-2</v>
      </c>
    </row>
    <row r="1780" spans="1:7" x14ac:dyDescent="0.35">
      <c r="A1780" t="s">
        <v>100</v>
      </c>
      <c r="E1780">
        <v>-5.1708528620431574E-3</v>
      </c>
      <c r="F1780">
        <f t="shared" si="60"/>
        <v>-1.6957031797671673E-2</v>
      </c>
      <c r="G1780">
        <f t="shared" si="61"/>
        <v>-2.8733735539097333E-2</v>
      </c>
    </row>
    <row r="1781" spans="1:7" x14ac:dyDescent="0.35">
      <c r="A1781" t="s">
        <v>100</v>
      </c>
      <c r="E1781">
        <v>-6.5281012910173531E-3</v>
      </c>
      <c r="F1781">
        <f t="shared" si="60"/>
        <v>-1.6963606747429513E-2</v>
      </c>
      <c r="G1781">
        <f t="shared" si="61"/>
        <v>-2.885033656624016E-2</v>
      </c>
    </row>
    <row r="1782" spans="1:7" x14ac:dyDescent="0.35">
      <c r="A1782" t="s">
        <v>100</v>
      </c>
      <c r="E1782">
        <v>-5.3223353361747064E-4</v>
      </c>
      <c r="F1782">
        <f t="shared" si="60"/>
        <v>-1.6970181697187354E-2</v>
      </c>
      <c r="G1782">
        <f t="shared" si="61"/>
        <v>-2.885033656624016E-2</v>
      </c>
    </row>
    <row r="1783" spans="1:7" x14ac:dyDescent="0.35">
      <c r="A1783" t="s">
        <v>100</v>
      </c>
      <c r="E1783">
        <v>4.8740324607539458E-3</v>
      </c>
      <c r="F1783">
        <f t="shared" si="60"/>
        <v>-1.6976756646945198E-2</v>
      </c>
      <c r="G1783">
        <f t="shared" si="61"/>
        <v>-2.885033656624016E-2</v>
      </c>
    </row>
    <row r="1784" spans="1:7" x14ac:dyDescent="0.35">
      <c r="A1784" t="s">
        <v>100</v>
      </c>
      <c r="E1784">
        <v>1.4553425075819033E-3</v>
      </c>
      <c r="F1784">
        <f t="shared" si="60"/>
        <v>-1.6983331596703038E-2</v>
      </c>
      <c r="G1784">
        <f t="shared" si="61"/>
        <v>-2.885033656624016E-2</v>
      </c>
    </row>
    <row r="1785" spans="1:7" x14ac:dyDescent="0.35">
      <c r="A1785" t="s">
        <v>100</v>
      </c>
      <c r="E1785">
        <v>-9.3796272804365138E-4</v>
      </c>
      <c r="F1785">
        <f t="shared" si="60"/>
        <v>-1.6989906546460883E-2</v>
      </c>
      <c r="G1785">
        <f t="shared" si="61"/>
        <v>-2.885033656624016E-2</v>
      </c>
    </row>
    <row r="1786" spans="1:7" x14ac:dyDescent="0.35">
      <c r="A1786" t="s">
        <v>100</v>
      </c>
      <c r="E1786">
        <v>-9.4592926580923803E-3</v>
      </c>
      <c r="F1786">
        <f t="shared" si="60"/>
        <v>-1.6996481496218723E-2</v>
      </c>
      <c r="G1786">
        <f t="shared" si="61"/>
        <v>-2.885033656624016E-2</v>
      </c>
    </row>
    <row r="1787" spans="1:7" x14ac:dyDescent="0.35">
      <c r="A1787" t="s">
        <v>100</v>
      </c>
      <c r="E1787">
        <v>-1.2383364188609826E-5</v>
      </c>
      <c r="F1787">
        <f t="shared" si="60"/>
        <v>-1.7003056445976564E-2</v>
      </c>
      <c r="G1787">
        <f t="shared" si="61"/>
        <v>-2.885033656624016E-2</v>
      </c>
    </row>
    <row r="1788" spans="1:7" x14ac:dyDescent="0.35">
      <c r="A1788" t="s">
        <v>100</v>
      </c>
      <c r="E1788">
        <v>2.7618177938299022E-3</v>
      </c>
      <c r="F1788">
        <f t="shared" si="60"/>
        <v>-1.7009631395734404E-2</v>
      </c>
      <c r="G1788">
        <f t="shared" si="61"/>
        <v>-2.885033656624016E-2</v>
      </c>
    </row>
    <row r="1789" spans="1:7" x14ac:dyDescent="0.35">
      <c r="A1789" t="s">
        <v>101</v>
      </c>
      <c r="B1789" s="3" cm="1">
        <f t="array" ref="B1789">_xlfn.STDEV.S(_xlfn._xlws.FILTER($E$1000:$E$1998, $A$1000:$A$1998="2017-03"))</f>
        <v>5.542934799288044E-3</v>
      </c>
      <c r="C1789" s="3" cm="1">
        <f t="array" ref="C1789">AVERAGE(_xlfn._xlws.FILTER($E$1000:$E$1998, $A$1000:$A$1998="2017-03"))</f>
        <v>2.2999277891984789E-3</v>
      </c>
      <c r="D1789" s="3" cm="1">
        <f t="array" ref="D1789">_xlfn.PERCENTILE.EXC(_xlfn._xlws.FILTER($E$1498:$E$2489, $A$1498:$A$2489="2017-03"), 0.05)</f>
        <v>-4.9856448985589495E-3</v>
      </c>
      <c r="E1789">
        <v>2.082685129771502E-2</v>
      </c>
      <c r="F1789">
        <f t="shared" si="60"/>
        <v>-1.7016206345492245E-2</v>
      </c>
      <c r="G1789">
        <f t="shared" si="61"/>
        <v>-2.885033656624016E-2</v>
      </c>
    </row>
    <row r="1790" spans="1:7" x14ac:dyDescent="0.35">
      <c r="A1790" t="s">
        <v>101</v>
      </c>
      <c r="E1790">
        <v>5.9851099510190139E-4</v>
      </c>
      <c r="F1790">
        <f t="shared" si="60"/>
        <v>-1.7022781295250089E-2</v>
      </c>
      <c r="G1790">
        <f t="shared" si="61"/>
        <v>-2.885033656624016E-2</v>
      </c>
    </row>
    <row r="1791" spans="1:7" x14ac:dyDescent="0.35">
      <c r="A1791" t="s">
        <v>101</v>
      </c>
      <c r="E1791">
        <v>6.2918613458164746E-3</v>
      </c>
      <c r="F1791">
        <f t="shared" si="60"/>
        <v>-1.702935624500793E-2</v>
      </c>
      <c r="G1791">
        <f t="shared" si="61"/>
        <v>-2.885033656624016E-2</v>
      </c>
    </row>
    <row r="1792" spans="1:7" x14ac:dyDescent="0.35">
      <c r="A1792" t="s">
        <v>101</v>
      </c>
      <c r="E1792">
        <v>-4.6030508711524011E-3</v>
      </c>
      <c r="F1792">
        <f t="shared" si="60"/>
        <v>-1.703593119476577E-2</v>
      </c>
      <c r="G1792">
        <f t="shared" si="61"/>
        <v>-2.885033656624016E-2</v>
      </c>
    </row>
    <row r="1793" spans="1:7" x14ac:dyDescent="0.35">
      <c r="A1793" t="s">
        <v>101</v>
      </c>
      <c r="E1793">
        <v>-3.4632191347680175E-3</v>
      </c>
      <c r="F1793">
        <f t="shared" si="60"/>
        <v>-1.7042506144523614E-2</v>
      </c>
      <c r="G1793">
        <f t="shared" si="61"/>
        <v>-2.885033656624016E-2</v>
      </c>
    </row>
    <row r="1794" spans="1:7" x14ac:dyDescent="0.35">
      <c r="A1794" t="s">
        <v>101</v>
      </c>
      <c r="E1794">
        <v>1.1053424661128146E-3</v>
      </c>
      <c r="F1794">
        <f t="shared" si="60"/>
        <v>-1.7049081094281455E-2</v>
      </c>
      <c r="G1794">
        <f t="shared" si="61"/>
        <v>-2.885033656624016E-2</v>
      </c>
    </row>
    <row r="1795" spans="1:7" x14ac:dyDescent="0.35">
      <c r="A1795" t="s">
        <v>101</v>
      </c>
      <c r="E1795">
        <v>4.2305476801765777E-3</v>
      </c>
      <c r="F1795">
        <f t="shared" si="60"/>
        <v>-1.7055656044039295E-2</v>
      </c>
      <c r="G1795">
        <f t="shared" si="61"/>
        <v>-2.885033656624016E-2</v>
      </c>
    </row>
    <row r="1796" spans="1:7" x14ac:dyDescent="0.35">
      <c r="A1796" t="s">
        <v>101</v>
      </c>
      <c r="E1796">
        <v>2.3679612621886684E-3</v>
      </c>
      <c r="F1796">
        <f t="shared" ref="F1796:F1859" si="62">_xlfn.PERCENTILE.EXC(E1796:E5611,0.05)</f>
        <v>-1.7062230993797139E-2</v>
      </c>
      <c r="G1796">
        <f t="shared" ref="G1796:G1859" si="63">AVERAGEIFS(E1796:E5612,E1796:E5612,"&lt;=" &amp; F1796)</f>
        <v>-2.885033656624016E-2</v>
      </c>
    </row>
    <row r="1797" spans="1:7" x14ac:dyDescent="0.35">
      <c r="A1797" t="s">
        <v>101</v>
      </c>
      <c r="E1797">
        <v>1.2568900435004767E-3</v>
      </c>
      <c r="F1797">
        <f t="shared" si="62"/>
        <v>-1.706880594355498E-2</v>
      </c>
      <c r="G1797">
        <f t="shared" si="63"/>
        <v>-2.885033656624016E-2</v>
      </c>
    </row>
    <row r="1798" spans="1:7" x14ac:dyDescent="0.35">
      <c r="A1798" t="s">
        <v>101</v>
      </c>
      <c r="E1798">
        <v>-5.0812934054105868E-3</v>
      </c>
      <c r="F1798">
        <f t="shared" si="62"/>
        <v>-1.7075380893312821E-2</v>
      </c>
      <c r="G1798">
        <f t="shared" si="63"/>
        <v>-2.885033656624016E-2</v>
      </c>
    </row>
    <row r="1799" spans="1:7" x14ac:dyDescent="0.35">
      <c r="A1799" t="s">
        <v>101</v>
      </c>
      <c r="E1799">
        <v>2.2530718164068698E-3</v>
      </c>
      <c r="F1799">
        <f t="shared" si="62"/>
        <v>-1.7081955843070661E-2</v>
      </c>
      <c r="G1799">
        <f t="shared" si="63"/>
        <v>-2.885033656624016E-2</v>
      </c>
    </row>
    <row r="1800" spans="1:7" x14ac:dyDescent="0.35">
      <c r="A1800" t="s">
        <v>101</v>
      </c>
      <c r="E1800">
        <v>5.5806506759724563E-3</v>
      </c>
      <c r="F1800">
        <f t="shared" si="62"/>
        <v>-1.7088530792828505E-2</v>
      </c>
      <c r="G1800">
        <f t="shared" si="63"/>
        <v>-2.885033656624016E-2</v>
      </c>
    </row>
    <row r="1801" spans="1:7" x14ac:dyDescent="0.35">
      <c r="A1801" t="s">
        <v>101</v>
      </c>
      <c r="E1801">
        <v>3.1585409356219519E-3</v>
      </c>
      <c r="F1801">
        <f t="shared" si="62"/>
        <v>-1.7090115762348871E-2</v>
      </c>
      <c r="G1801">
        <f t="shared" si="63"/>
        <v>-2.8967954623974283E-2</v>
      </c>
    </row>
    <row r="1802" spans="1:7" x14ac:dyDescent="0.35">
      <c r="A1802" t="s">
        <v>101</v>
      </c>
      <c r="E1802">
        <v>-3.4019193483601998E-3</v>
      </c>
      <c r="F1802">
        <f t="shared" si="62"/>
        <v>-1.7091700731869233E-2</v>
      </c>
      <c r="G1802">
        <f t="shared" si="63"/>
        <v>-2.8967954623974283E-2</v>
      </c>
    </row>
    <row r="1803" spans="1:7" x14ac:dyDescent="0.35">
      <c r="A1803" t="s">
        <v>101</v>
      </c>
      <c r="E1803">
        <v>-1.9431655338098697E-3</v>
      </c>
      <c r="F1803">
        <f t="shared" si="62"/>
        <v>-1.7093285701389599E-2</v>
      </c>
      <c r="G1803">
        <f t="shared" si="63"/>
        <v>-2.8967954623974283E-2</v>
      </c>
    </row>
    <row r="1804" spans="1:7" x14ac:dyDescent="0.35">
      <c r="A1804" t="s">
        <v>101</v>
      </c>
      <c r="E1804">
        <v>-1.546444137571071E-3</v>
      </c>
      <c r="F1804">
        <f t="shared" si="62"/>
        <v>-1.7094870670909961E-2</v>
      </c>
      <c r="G1804">
        <f t="shared" si="63"/>
        <v>-2.8967954623974283E-2</v>
      </c>
    </row>
    <row r="1805" spans="1:7" x14ac:dyDescent="0.35">
      <c r="A1805" t="s">
        <v>101</v>
      </c>
      <c r="E1805">
        <v>7.5911911432941298E-3</v>
      </c>
      <c r="F1805">
        <f t="shared" si="62"/>
        <v>-1.7096455640430327E-2</v>
      </c>
      <c r="G1805">
        <f t="shared" si="63"/>
        <v>-2.8967954623974283E-2</v>
      </c>
    </row>
    <row r="1806" spans="1:7" x14ac:dyDescent="0.35">
      <c r="A1806" t="s">
        <v>101</v>
      </c>
      <c r="E1806">
        <v>-2.3593408771625827E-3</v>
      </c>
      <c r="F1806">
        <f t="shared" si="62"/>
        <v>-1.7098040609950692E-2</v>
      </c>
      <c r="G1806">
        <f t="shared" si="63"/>
        <v>-2.8967954623974283E-2</v>
      </c>
    </row>
    <row r="1807" spans="1:7" x14ac:dyDescent="0.35">
      <c r="A1807" t="s">
        <v>101</v>
      </c>
      <c r="E1807">
        <v>-6.9135008277493824E-4</v>
      </c>
      <c r="F1807">
        <f t="shared" si="62"/>
        <v>-1.7099625579471055E-2</v>
      </c>
      <c r="G1807">
        <f t="shared" si="63"/>
        <v>-2.8967954623974283E-2</v>
      </c>
    </row>
    <row r="1808" spans="1:7" x14ac:dyDescent="0.35">
      <c r="A1808" t="s">
        <v>101</v>
      </c>
      <c r="E1808">
        <v>5.7176343680065359E-3</v>
      </c>
      <c r="F1808">
        <f t="shared" si="62"/>
        <v>-1.710121054899142E-2</v>
      </c>
      <c r="G1808">
        <f t="shared" si="63"/>
        <v>-2.8967954623974283E-2</v>
      </c>
    </row>
    <row r="1809" spans="1:7" x14ac:dyDescent="0.35">
      <c r="A1809" t="s">
        <v>101</v>
      </c>
      <c r="E1809">
        <v>4.5159657737167697E-3</v>
      </c>
      <c r="F1809">
        <f t="shared" si="62"/>
        <v>-1.7102795518511783E-2</v>
      </c>
      <c r="G1809">
        <f t="shared" si="63"/>
        <v>-2.8967954623974283E-2</v>
      </c>
    </row>
    <row r="1810" spans="1:7" x14ac:dyDescent="0.35">
      <c r="A1810" t="s">
        <v>101</v>
      </c>
      <c r="E1810">
        <v>4.0556505837852494E-3</v>
      </c>
      <c r="F1810">
        <f t="shared" si="62"/>
        <v>-1.7104380488032148E-2</v>
      </c>
      <c r="G1810">
        <f t="shared" si="63"/>
        <v>-2.8967954623974283E-2</v>
      </c>
    </row>
    <row r="1811" spans="1:7" x14ac:dyDescent="0.35">
      <c r="A1811" t="s">
        <v>101</v>
      </c>
      <c r="E1811">
        <v>6.437452155158784E-3</v>
      </c>
      <c r="F1811">
        <f t="shared" si="62"/>
        <v>-1.7105965457552514E-2</v>
      </c>
      <c r="G1811">
        <f t="shared" si="63"/>
        <v>-2.8967954623974283E-2</v>
      </c>
    </row>
    <row r="1812" spans="1:7" x14ac:dyDescent="0.35">
      <c r="A1812" t="s">
        <v>102</v>
      </c>
      <c r="B1812" s="3" cm="1">
        <f t="array" ref="B1812">_xlfn.STDEV.S(_xlfn._xlws.FILTER($E$1000:$E$1998, $A$1000:$A$1998="2017-04"))</f>
        <v>1.1601048147983347E-2</v>
      </c>
      <c r="C1812" s="3" cm="1">
        <f t="array" ref="C1812">AVERAGE(_xlfn._xlws.FILTER($E$1000:$E$1998, $A$1000:$A$1998="2017-04"))</f>
        <v>1.5488355277855905E-3</v>
      </c>
      <c r="D1812" s="3" cm="1">
        <f t="array" ref="D1812">_xlfn.PERCENTILE.INC(_xlfn._xlws.FILTER($E$1498:$E$2489, $A$1498:$A$2489="2017-04"), 0.05)</f>
        <v>-8.5057569615325929E-3</v>
      </c>
      <c r="E1812">
        <v>-7.1705820925218279E-3</v>
      </c>
      <c r="F1812">
        <f t="shared" si="62"/>
        <v>-1.7107550427072876E-2</v>
      </c>
      <c r="G1812">
        <f t="shared" si="63"/>
        <v>-2.8967954623974283E-2</v>
      </c>
    </row>
    <row r="1813" spans="1:7" x14ac:dyDescent="0.35">
      <c r="A1813" t="s">
        <v>102</v>
      </c>
      <c r="E1813">
        <v>2.988112606746298E-3</v>
      </c>
      <c r="F1813">
        <f t="shared" si="62"/>
        <v>-1.7109135396593242E-2</v>
      </c>
      <c r="G1813">
        <f t="shared" si="63"/>
        <v>-2.8967954623974283E-2</v>
      </c>
    </row>
    <row r="1814" spans="1:7" x14ac:dyDescent="0.35">
      <c r="A1814" t="s">
        <v>102</v>
      </c>
      <c r="E1814">
        <v>-1.8208615270538827E-3</v>
      </c>
      <c r="F1814">
        <f t="shared" si="62"/>
        <v>-1.7110720366113604E-2</v>
      </c>
      <c r="G1814">
        <f t="shared" si="63"/>
        <v>-2.8967954623974283E-2</v>
      </c>
    </row>
    <row r="1815" spans="1:7" x14ac:dyDescent="0.35">
      <c r="A1815" t="s">
        <v>102</v>
      </c>
      <c r="E1815">
        <v>5.7944272200751192E-3</v>
      </c>
      <c r="F1815">
        <f t="shared" si="62"/>
        <v>-1.711230533563397E-2</v>
      </c>
      <c r="G1815">
        <f t="shared" si="63"/>
        <v>-2.8967954623974283E-2</v>
      </c>
    </row>
    <row r="1816" spans="1:7" x14ac:dyDescent="0.35">
      <c r="A1816" t="s">
        <v>102</v>
      </c>
      <c r="E1816">
        <v>2.698720136618646E-3</v>
      </c>
      <c r="F1816">
        <f t="shared" si="62"/>
        <v>-1.7113890305154335E-2</v>
      </c>
      <c r="G1816">
        <f t="shared" si="63"/>
        <v>-2.8967954623974283E-2</v>
      </c>
    </row>
    <row r="1817" spans="1:7" x14ac:dyDescent="0.35">
      <c r="A1817" t="s">
        <v>102</v>
      </c>
      <c r="E1817">
        <v>-5.4341115081537137E-3</v>
      </c>
      <c r="F1817">
        <f t="shared" si="62"/>
        <v>-1.7115475274674698E-2</v>
      </c>
      <c r="G1817">
        <f t="shared" si="63"/>
        <v>-2.8967954623974283E-2</v>
      </c>
    </row>
    <row r="1818" spans="1:7" x14ac:dyDescent="0.35">
      <c r="A1818" t="s">
        <v>102</v>
      </c>
      <c r="E1818">
        <v>-1.0950790129062157E-3</v>
      </c>
      <c r="F1818">
        <f t="shared" si="62"/>
        <v>-1.7117060244195063E-2</v>
      </c>
      <c r="G1818">
        <f t="shared" si="63"/>
        <v>-2.8967954623974283E-2</v>
      </c>
    </row>
    <row r="1819" spans="1:7" x14ac:dyDescent="0.35">
      <c r="A1819" t="s">
        <v>102</v>
      </c>
      <c r="E1819">
        <v>-1.4701601618959307E-4</v>
      </c>
      <c r="F1819">
        <f t="shared" si="62"/>
        <v>-1.7118645213715426E-2</v>
      </c>
      <c r="G1819">
        <f t="shared" si="63"/>
        <v>-2.8967954623974283E-2</v>
      </c>
    </row>
    <row r="1820" spans="1:7" x14ac:dyDescent="0.35">
      <c r="A1820" t="s">
        <v>102</v>
      </c>
      <c r="E1820">
        <v>-5.9004065126366436E-3</v>
      </c>
      <c r="F1820">
        <f t="shared" si="62"/>
        <v>-1.7120230183235791E-2</v>
      </c>
      <c r="G1820">
        <f t="shared" si="63"/>
        <v>-2.8967954623974283E-2</v>
      </c>
    </row>
    <row r="1821" spans="1:7" x14ac:dyDescent="0.35">
      <c r="A1821" t="s">
        <v>102</v>
      </c>
      <c r="E1821">
        <v>-1.6071747885926926E-2</v>
      </c>
      <c r="F1821">
        <f t="shared" si="62"/>
        <v>-1.7123961104209204E-2</v>
      </c>
      <c r="G1821">
        <f t="shared" si="63"/>
        <v>-2.9087628608224166E-2</v>
      </c>
    </row>
    <row r="1822" spans="1:7" x14ac:dyDescent="0.35">
      <c r="A1822" t="s">
        <v>102</v>
      </c>
      <c r="E1822">
        <v>2.6976256055548388E-3</v>
      </c>
      <c r="F1822">
        <f t="shared" si="62"/>
        <v>-1.7127692025182613E-2</v>
      </c>
      <c r="G1822">
        <f t="shared" si="63"/>
        <v>-2.9087628608224166E-2</v>
      </c>
    </row>
    <row r="1823" spans="1:7" x14ac:dyDescent="0.35">
      <c r="A1823" t="s">
        <v>102</v>
      </c>
      <c r="E1823">
        <v>1.47161252978192E-2</v>
      </c>
      <c r="F1823">
        <f t="shared" si="62"/>
        <v>-1.7131422946156025E-2</v>
      </c>
      <c r="G1823">
        <f t="shared" si="63"/>
        <v>-2.9087628608224166E-2</v>
      </c>
    </row>
    <row r="1824" spans="1:7" x14ac:dyDescent="0.35">
      <c r="A1824" t="s">
        <v>102</v>
      </c>
      <c r="E1824">
        <v>-3.6913915792133969E-3</v>
      </c>
      <c r="F1824">
        <f t="shared" si="62"/>
        <v>-1.7135153867129438E-2</v>
      </c>
      <c r="G1824">
        <f t="shared" si="63"/>
        <v>-2.9087628608224166E-2</v>
      </c>
    </row>
    <row r="1825" spans="1:7" x14ac:dyDescent="0.35">
      <c r="A1825" t="s">
        <v>102</v>
      </c>
      <c r="E1825">
        <v>4.0603754388824444E-2</v>
      </c>
      <c r="F1825">
        <f t="shared" si="62"/>
        <v>-1.7138884788102847E-2</v>
      </c>
      <c r="G1825">
        <f t="shared" si="63"/>
        <v>-2.9087628608224166E-2</v>
      </c>
    </row>
    <row r="1826" spans="1:7" x14ac:dyDescent="0.35">
      <c r="A1826" t="s">
        <v>102</v>
      </c>
      <c r="E1826">
        <v>1.7123795160231131E-3</v>
      </c>
      <c r="F1826">
        <f t="shared" si="62"/>
        <v>-1.7142615709076259E-2</v>
      </c>
      <c r="G1826">
        <f t="shared" si="63"/>
        <v>-2.9087628608224166E-2</v>
      </c>
    </row>
    <row r="1827" spans="1:7" x14ac:dyDescent="0.35">
      <c r="A1827" t="s">
        <v>102</v>
      </c>
      <c r="E1827">
        <v>1.8929074644730812E-3</v>
      </c>
      <c r="F1827">
        <f t="shared" si="62"/>
        <v>-1.7146346630049672E-2</v>
      </c>
      <c r="G1827">
        <f t="shared" si="63"/>
        <v>-2.9087628608224166E-2</v>
      </c>
    </row>
    <row r="1828" spans="1:7" x14ac:dyDescent="0.35">
      <c r="A1828" t="s">
        <v>102</v>
      </c>
      <c r="E1828">
        <v>-3.0645182218541032E-3</v>
      </c>
      <c r="F1828">
        <f t="shared" si="62"/>
        <v>-1.7150077551023081E-2</v>
      </c>
      <c r="G1828">
        <f t="shared" si="63"/>
        <v>-2.9087628608224166E-2</v>
      </c>
    </row>
    <row r="1829" spans="1:7" x14ac:dyDescent="0.35">
      <c r="A1829" t="s">
        <v>102</v>
      </c>
      <c r="E1829">
        <v>-8.2929837953780745E-4</v>
      </c>
      <c r="F1829">
        <f t="shared" si="62"/>
        <v>-1.7153808471996494E-2</v>
      </c>
      <c r="G1829">
        <f t="shared" si="63"/>
        <v>-2.9087628608224166E-2</v>
      </c>
    </row>
    <row r="1830" spans="1:7" x14ac:dyDescent="0.35">
      <c r="A1830" t="s">
        <v>103</v>
      </c>
      <c r="B1830" s="3" cm="1">
        <f t="array" ref="B1830">_xlfn.STDEV.S(_xlfn._xlws.FILTER($E$1000:$E$1998, $A$1000:$A$1998="2017-05"))</f>
        <v>6.6919421390960942E-3</v>
      </c>
      <c r="C1830" s="3" cm="1">
        <f t="array" ref="C1830">AVERAGE(_xlfn._xlws.FILTER($E$1000:$E$1998, $A$1000:$A$1998="2017-05"))</f>
        <v>1.4713184273150743E-4</v>
      </c>
      <c r="D1830" s="3" cm="1">
        <f t="array" ref="D1830">_xlfn.PERCENTILE.EXC(_xlfn._xlws.FILTER($E$1498:$E$2489, $A$1498:$A$2489="2017-05"), 0.05)</f>
        <v>-1.5720651179697176E-2</v>
      </c>
      <c r="E1830">
        <v>6.9659402257162299E-3</v>
      </c>
      <c r="F1830">
        <f t="shared" si="62"/>
        <v>-1.7157539392969906E-2</v>
      </c>
      <c r="G1830">
        <f t="shared" si="63"/>
        <v>-2.9087628608224166E-2</v>
      </c>
    </row>
    <row r="1831" spans="1:7" x14ac:dyDescent="0.35">
      <c r="A1831" t="s">
        <v>103</v>
      </c>
      <c r="E1831">
        <v>-5.9405102099169857E-4</v>
      </c>
      <c r="F1831">
        <f t="shared" si="62"/>
        <v>-1.7161270313943319E-2</v>
      </c>
      <c r="G1831">
        <f t="shared" si="63"/>
        <v>-2.9087628608224166E-2</v>
      </c>
    </row>
    <row r="1832" spans="1:7" x14ac:dyDescent="0.35">
      <c r="A1832" t="s">
        <v>103</v>
      </c>
      <c r="E1832">
        <v>1.3382976771180161E-2</v>
      </c>
      <c r="F1832">
        <f t="shared" si="62"/>
        <v>-1.7165001234916728E-2</v>
      </c>
      <c r="G1832">
        <f t="shared" si="63"/>
        <v>-2.9087628608224166E-2</v>
      </c>
    </row>
    <row r="1833" spans="1:7" x14ac:dyDescent="0.35">
      <c r="A1833" t="s">
        <v>103</v>
      </c>
      <c r="E1833">
        <v>1.1102566470926776E-2</v>
      </c>
      <c r="F1833">
        <f t="shared" si="62"/>
        <v>-1.716873215589014E-2</v>
      </c>
      <c r="G1833">
        <f t="shared" si="63"/>
        <v>-2.9087628608224166E-2</v>
      </c>
    </row>
    <row r="1834" spans="1:7" x14ac:dyDescent="0.35">
      <c r="A1834" t="s">
        <v>103</v>
      </c>
      <c r="E1834">
        <v>-9.1444742129302304E-3</v>
      </c>
      <c r="F1834">
        <f t="shared" si="62"/>
        <v>-1.7172463076863553E-2</v>
      </c>
      <c r="G1834">
        <f t="shared" si="63"/>
        <v>-2.9087628608224166E-2</v>
      </c>
    </row>
    <row r="1835" spans="1:7" x14ac:dyDescent="0.35">
      <c r="A1835" t="s">
        <v>103</v>
      </c>
      <c r="E1835">
        <v>2.7938160972281315E-3</v>
      </c>
      <c r="F1835">
        <f t="shared" si="62"/>
        <v>-1.7176193997836965E-2</v>
      </c>
      <c r="G1835">
        <f t="shared" si="63"/>
        <v>-2.9087628608224166E-2</v>
      </c>
    </row>
    <row r="1836" spans="1:7" x14ac:dyDescent="0.35">
      <c r="A1836" t="s">
        <v>103</v>
      </c>
      <c r="E1836">
        <v>4.5376799528811315E-4</v>
      </c>
      <c r="F1836">
        <f t="shared" si="62"/>
        <v>-1.7179924918810374E-2</v>
      </c>
      <c r="G1836">
        <f t="shared" si="63"/>
        <v>-2.9087628608224166E-2</v>
      </c>
    </row>
    <row r="1837" spans="1:7" x14ac:dyDescent="0.35">
      <c r="A1837" t="s">
        <v>103</v>
      </c>
      <c r="E1837">
        <v>-3.1602751851874267E-3</v>
      </c>
      <c r="F1837">
        <f t="shared" si="62"/>
        <v>-1.7183655839783787E-2</v>
      </c>
      <c r="G1837">
        <f t="shared" si="63"/>
        <v>-2.9087628608224166E-2</v>
      </c>
    </row>
    <row r="1838" spans="1:7" x14ac:dyDescent="0.35">
      <c r="A1838" t="s">
        <v>103</v>
      </c>
      <c r="E1838">
        <v>4.0782939579925657E-3</v>
      </c>
      <c r="F1838">
        <f t="shared" si="62"/>
        <v>-1.7187386760757196E-2</v>
      </c>
      <c r="G1838">
        <f t="shared" si="63"/>
        <v>-2.9087628608224166E-2</v>
      </c>
    </row>
    <row r="1839" spans="1:7" x14ac:dyDescent="0.35">
      <c r="A1839" t="s">
        <v>103</v>
      </c>
      <c r="E1839">
        <v>2.213841659184031E-3</v>
      </c>
      <c r="F1839">
        <f t="shared" si="62"/>
        <v>-1.7191117681730608E-2</v>
      </c>
      <c r="G1839">
        <f t="shared" si="63"/>
        <v>-2.9087628608224166E-2</v>
      </c>
    </row>
    <row r="1840" spans="1:7" x14ac:dyDescent="0.35">
      <c r="A1840" t="s">
        <v>103</v>
      </c>
      <c r="E1840">
        <v>-2.0880499109568271E-3</v>
      </c>
      <c r="F1840">
        <f t="shared" si="62"/>
        <v>-1.7194848602704021E-2</v>
      </c>
      <c r="G1840">
        <f t="shared" si="63"/>
        <v>-2.9087628608224166E-2</v>
      </c>
    </row>
    <row r="1841" spans="1:7" x14ac:dyDescent="0.35">
      <c r="A1841" t="s">
        <v>103</v>
      </c>
      <c r="E1841">
        <v>-1.645133750933795E-2</v>
      </c>
      <c r="F1841">
        <f t="shared" si="62"/>
        <v>-1.7201459996109333E-2</v>
      </c>
      <c r="G1841">
        <f t="shared" si="63"/>
        <v>-2.9208983506239673E-2</v>
      </c>
    </row>
    <row r="1842" spans="1:7" x14ac:dyDescent="0.35">
      <c r="A1842" t="s">
        <v>103</v>
      </c>
      <c r="E1842">
        <v>-5.3094032689608483E-3</v>
      </c>
      <c r="F1842">
        <f t="shared" si="62"/>
        <v>-1.7208071389514645E-2</v>
      </c>
      <c r="G1842">
        <f t="shared" si="63"/>
        <v>-2.9208983506239673E-2</v>
      </c>
    </row>
    <row r="1843" spans="1:7" x14ac:dyDescent="0.35">
      <c r="A1843" t="s">
        <v>103</v>
      </c>
      <c r="E1843">
        <v>6.5328243206313509E-3</v>
      </c>
      <c r="F1843">
        <f t="shared" si="62"/>
        <v>-1.7214682782919957E-2</v>
      </c>
      <c r="G1843">
        <f t="shared" si="63"/>
        <v>-2.9208983506239673E-2</v>
      </c>
    </row>
    <row r="1844" spans="1:7" x14ac:dyDescent="0.35">
      <c r="A1844" t="s">
        <v>103</v>
      </c>
      <c r="E1844">
        <v>-2.8551893259600911E-4</v>
      </c>
      <c r="F1844">
        <f t="shared" si="62"/>
        <v>-1.7221294176325268E-2</v>
      </c>
      <c r="G1844">
        <f t="shared" si="63"/>
        <v>-2.9208983506239673E-2</v>
      </c>
    </row>
    <row r="1845" spans="1:7" x14ac:dyDescent="0.35">
      <c r="A1845" t="s">
        <v>103</v>
      </c>
      <c r="E1845">
        <v>4.738066260292207E-3</v>
      </c>
      <c r="F1845">
        <f t="shared" si="62"/>
        <v>-1.722790556973058E-2</v>
      </c>
      <c r="G1845">
        <f t="shared" si="63"/>
        <v>-2.9208983506239673E-2</v>
      </c>
    </row>
    <row r="1846" spans="1:7" x14ac:dyDescent="0.35">
      <c r="A1846" t="s">
        <v>103</v>
      </c>
      <c r="E1846">
        <v>-1.276018695986466E-3</v>
      </c>
      <c r="F1846">
        <f t="shared" si="62"/>
        <v>-1.7234516963135892E-2</v>
      </c>
      <c r="G1846">
        <f t="shared" si="63"/>
        <v>-2.9208983506239673E-2</v>
      </c>
    </row>
    <row r="1847" spans="1:7" x14ac:dyDescent="0.35">
      <c r="A1847" t="s">
        <v>103</v>
      </c>
      <c r="E1847">
        <v>-7.8288153083206919E-4</v>
      </c>
      <c r="F1847">
        <f t="shared" si="62"/>
        <v>-1.7241128356541204E-2</v>
      </c>
      <c r="G1847">
        <f t="shared" si="63"/>
        <v>-2.9208983506239673E-2</v>
      </c>
    </row>
    <row r="1848" spans="1:7" x14ac:dyDescent="0.35">
      <c r="A1848" t="s">
        <v>103</v>
      </c>
      <c r="E1848">
        <v>-9.7434840527413339E-5</v>
      </c>
      <c r="F1848">
        <f t="shared" si="62"/>
        <v>-1.7247739749946516E-2</v>
      </c>
      <c r="G1848">
        <f t="shared" si="63"/>
        <v>-2.9208983506239673E-2</v>
      </c>
    </row>
    <row r="1849" spans="1:7" x14ac:dyDescent="0.35">
      <c r="A1849" t="s">
        <v>103</v>
      </c>
      <c r="E1849">
        <v>-5.7692937527253612E-3</v>
      </c>
      <c r="F1849">
        <f t="shared" si="62"/>
        <v>-1.7254351143351828E-2</v>
      </c>
      <c r="G1849">
        <f t="shared" si="63"/>
        <v>-2.9208983506239673E-2</v>
      </c>
    </row>
    <row r="1850" spans="1:7" x14ac:dyDescent="0.35">
      <c r="A1850" t="s">
        <v>103</v>
      </c>
      <c r="E1850">
        <v>-4.2135862000456121E-3</v>
      </c>
      <c r="F1850">
        <f t="shared" si="62"/>
        <v>-1.7260962536757143E-2</v>
      </c>
      <c r="G1850">
        <f t="shared" si="63"/>
        <v>-2.9208983506239673E-2</v>
      </c>
    </row>
    <row r="1851" spans="1:7" x14ac:dyDescent="0.35">
      <c r="A1851" t="s">
        <v>104</v>
      </c>
      <c r="B1851" s="3" cm="1">
        <f t="array" ref="B1851">_xlfn.STDEV.S(_xlfn._xlws.FILTER($E$1000:$E$1998, $A$1000:$A$1998="2017-06"))</f>
        <v>7.4742739572579249E-3</v>
      </c>
      <c r="C1851" s="3" cm="1">
        <f t="array" ref="C1851">AVERAGE(_xlfn._xlws.FILTER($E$1000:$E$1998, $A$1000:$A$1998="2017-06"))</f>
        <v>-1.4917199412232704E-3</v>
      </c>
      <c r="D1851" s="3" cm="1">
        <f t="array" ref="D1851">_xlfn.PERCENTILE.EXC(_xlfn._xlws.FILTER($E$1498:$E$2489, $A$1498:$A$2489="2017-06"), 0.05)</f>
        <v>-1.8443526227991652E-2</v>
      </c>
      <c r="E1851">
        <v>6.6099106000374556E-3</v>
      </c>
      <c r="F1851">
        <f t="shared" si="62"/>
        <v>-1.7267573930162452E-2</v>
      </c>
      <c r="G1851">
        <f t="shared" si="63"/>
        <v>-2.9208983506239673E-2</v>
      </c>
    </row>
    <row r="1852" spans="1:7" x14ac:dyDescent="0.35">
      <c r="A1852" t="s">
        <v>104</v>
      </c>
      <c r="E1852">
        <v>4.640753849392814E-3</v>
      </c>
      <c r="F1852">
        <f t="shared" si="62"/>
        <v>-1.7274185323567764E-2</v>
      </c>
      <c r="G1852">
        <f t="shared" si="63"/>
        <v>-2.9208983506239673E-2</v>
      </c>
    </row>
    <row r="1853" spans="1:7" x14ac:dyDescent="0.35">
      <c r="A1853" t="s">
        <v>104</v>
      </c>
      <c r="E1853">
        <v>-1.3981681938802483E-2</v>
      </c>
      <c r="F1853">
        <f t="shared" si="62"/>
        <v>-1.7280796716973076E-2</v>
      </c>
      <c r="G1853">
        <f t="shared" si="63"/>
        <v>-2.9208983506239673E-2</v>
      </c>
    </row>
    <row r="1854" spans="1:7" x14ac:dyDescent="0.35">
      <c r="A1854" t="s">
        <v>104</v>
      </c>
      <c r="E1854">
        <v>-7.0053872202137488E-4</v>
      </c>
      <c r="F1854">
        <f t="shared" si="62"/>
        <v>-1.7287408110378388E-2</v>
      </c>
      <c r="G1854">
        <f t="shared" si="63"/>
        <v>-2.9208983506239673E-2</v>
      </c>
    </row>
    <row r="1855" spans="1:7" x14ac:dyDescent="0.35">
      <c r="A1855" t="s">
        <v>104</v>
      </c>
      <c r="E1855">
        <v>-2.4501959804510874E-4</v>
      </c>
      <c r="F1855">
        <f t="shared" si="62"/>
        <v>-1.7294019503783703E-2</v>
      </c>
      <c r="G1855">
        <f t="shared" si="63"/>
        <v>-2.9208983506239673E-2</v>
      </c>
    </row>
    <row r="1856" spans="1:7" x14ac:dyDescent="0.35">
      <c r="A1856" t="s">
        <v>104</v>
      </c>
      <c r="E1856">
        <v>6.7153163910480089E-3</v>
      </c>
      <c r="F1856">
        <f t="shared" si="62"/>
        <v>-1.7300630897189015E-2</v>
      </c>
      <c r="G1856">
        <f t="shared" si="63"/>
        <v>-2.9208983506239673E-2</v>
      </c>
    </row>
    <row r="1857" spans="1:7" x14ac:dyDescent="0.35">
      <c r="A1857" t="s">
        <v>104</v>
      </c>
      <c r="E1857">
        <v>-1.1218014665505815E-2</v>
      </c>
      <c r="F1857">
        <f t="shared" si="62"/>
        <v>-1.7307242290594327E-2</v>
      </c>
      <c r="G1857">
        <f t="shared" si="63"/>
        <v>-2.9208983506239673E-2</v>
      </c>
    </row>
    <row r="1858" spans="1:7" x14ac:dyDescent="0.35">
      <c r="A1858" t="s">
        <v>104</v>
      </c>
      <c r="E1858">
        <v>4.0276831125426391E-3</v>
      </c>
      <c r="F1858">
        <f t="shared" si="62"/>
        <v>-1.7313853683999639E-2</v>
      </c>
      <c r="G1858">
        <f t="shared" si="63"/>
        <v>-2.9208983506239673E-2</v>
      </c>
    </row>
    <row r="1859" spans="1:7" x14ac:dyDescent="0.35">
      <c r="A1859" t="s">
        <v>104</v>
      </c>
      <c r="E1859">
        <v>-3.5126066218362502E-3</v>
      </c>
      <c r="F1859">
        <f t="shared" si="62"/>
        <v>-1.7320465077404951E-2</v>
      </c>
      <c r="G1859">
        <f t="shared" si="63"/>
        <v>-2.9208983506239673E-2</v>
      </c>
    </row>
    <row r="1860" spans="1:7" x14ac:dyDescent="0.35">
      <c r="A1860" t="s">
        <v>104</v>
      </c>
      <c r="E1860">
        <v>-5.049641854533396E-3</v>
      </c>
      <c r="F1860">
        <f t="shared" ref="F1860:F1923" si="64">_xlfn.PERCENTILE.EXC(E1860:E5675,0.05)</f>
        <v>-1.7327076470810263E-2</v>
      </c>
      <c r="G1860">
        <f t="shared" ref="G1860:G1923" si="65">AVERAGEIFS(E1860:E5676,E1860:E5676,"&lt;=" &amp; F1860)</f>
        <v>-2.9208983506239673E-2</v>
      </c>
    </row>
    <row r="1861" spans="1:7" x14ac:dyDescent="0.35">
      <c r="A1861" t="s">
        <v>104</v>
      </c>
      <c r="E1861">
        <v>8.8605843534714981E-3</v>
      </c>
      <c r="F1861">
        <f t="shared" si="64"/>
        <v>-1.733222718133719E-2</v>
      </c>
      <c r="G1861">
        <f t="shared" si="65"/>
        <v>-2.9331477393202868E-2</v>
      </c>
    </row>
    <row r="1862" spans="1:7" x14ac:dyDescent="0.35">
      <c r="A1862" t="s">
        <v>104</v>
      </c>
      <c r="E1862">
        <v>8.9673128782025661E-3</v>
      </c>
      <c r="F1862">
        <f t="shared" si="64"/>
        <v>-1.7337377891864122E-2</v>
      </c>
      <c r="G1862">
        <f t="shared" si="65"/>
        <v>-2.9331477393202868E-2</v>
      </c>
    </row>
    <row r="1863" spans="1:7" x14ac:dyDescent="0.35">
      <c r="A1863" t="s">
        <v>104</v>
      </c>
      <c r="E1863">
        <v>-3.2194302431597095E-3</v>
      </c>
      <c r="F1863">
        <f t="shared" si="64"/>
        <v>-1.734252860239105E-2</v>
      </c>
      <c r="G1863">
        <f t="shared" si="65"/>
        <v>-2.9331477393202868E-2</v>
      </c>
    </row>
    <row r="1864" spans="1:7" x14ac:dyDescent="0.35">
      <c r="A1864" t="s">
        <v>104</v>
      </c>
      <c r="E1864">
        <v>-3.6696038779274959E-3</v>
      </c>
      <c r="F1864">
        <f t="shared" si="64"/>
        <v>-1.7347679312917981E-2</v>
      </c>
      <c r="G1864">
        <f t="shared" si="65"/>
        <v>-2.9331477393202868E-2</v>
      </c>
    </row>
    <row r="1865" spans="1:7" x14ac:dyDescent="0.35">
      <c r="A1865" t="s">
        <v>104</v>
      </c>
      <c r="E1865">
        <v>1.4531760701052027E-3</v>
      </c>
      <c r="F1865">
        <f t="shared" si="64"/>
        <v>-1.7352830023444912E-2</v>
      </c>
      <c r="G1865">
        <f t="shared" si="65"/>
        <v>-2.9331477393202868E-2</v>
      </c>
    </row>
    <row r="1866" spans="1:7" x14ac:dyDescent="0.35">
      <c r="A1866" t="s">
        <v>104</v>
      </c>
      <c r="E1866">
        <v>-2.9977127221476074E-3</v>
      </c>
      <c r="F1866">
        <f t="shared" si="64"/>
        <v>-1.735798073397184E-2</v>
      </c>
      <c r="G1866">
        <f t="shared" si="65"/>
        <v>-2.9331477393202868E-2</v>
      </c>
    </row>
    <row r="1867" spans="1:7" x14ac:dyDescent="0.35">
      <c r="A1867" t="s">
        <v>104</v>
      </c>
      <c r="E1867">
        <v>5.6107635733018942E-3</v>
      </c>
      <c r="F1867">
        <f t="shared" si="64"/>
        <v>-1.7363131444498772E-2</v>
      </c>
      <c r="G1867">
        <f t="shared" si="65"/>
        <v>-2.9331477393202868E-2</v>
      </c>
    </row>
    <row r="1868" spans="1:7" x14ac:dyDescent="0.35">
      <c r="A1868" t="s">
        <v>104</v>
      </c>
      <c r="E1868">
        <v>-7.0435837562907843E-3</v>
      </c>
      <c r="F1868">
        <f t="shared" si="64"/>
        <v>-1.7368282155025699E-2</v>
      </c>
      <c r="G1868">
        <f t="shared" si="65"/>
        <v>-2.9331477393202868E-2</v>
      </c>
    </row>
    <row r="1869" spans="1:7" x14ac:dyDescent="0.35">
      <c r="A1869" t="s">
        <v>104</v>
      </c>
      <c r="E1869">
        <v>-1.0807232764246362E-3</v>
      </c>
      <c r="F1869">
        <f t="shared" si="64"/>
        <v>-1.7373432865552631E-2</v>
      </c>
      <c r="G1869">
        <f t="shared" si="65"/>
        <v>-2.9331477393202868E-2</v>
      </c>
    </row>
    <row r="1870" spans="1:7" x14ac:dyDescent="0.35">
      <c r="A1870" t="s">
        <v>104</v>
      </c>
      <c r="E1870">
        <v>-1.8939286704568226E-2</v>
      </c>
      <c r="F1870">
        <f t="shared" si="64"/>
        <v>-1.7378583576079562E-2</v>
      </c>
      <c r="G1870">
        <f t="shared" si="65"/>
        <v>-2.9331477393202868E-2</v>
      </c>
    </row>
    <row r="1871" spans="1:7" x14ac:dyDescent="0.35">
      <c r="A1871" t="s">
        <v>104</v>
      </c>
      <c r="E1871">
        <v>-6.5537756125278665E-3</v>
      </c>
      <c r="F1871">
        <f t="shared" si="64"/>
        <v>-1.7267573930162452E-2</v>
      </c>
      <c r="G1871">
        <f t="shared" si="65"/>
        <v>-2.9314856669143505E-2</v>
      </c>
    </row>
    <row r="1872" spans="1:7" x14ac:dyDescent="0.35">
      <c r="A1872" t="s">
        <v>105</v>
      </c>
      <c r="B1872" s="3" cm="1">
        <f t="array" ref="B1872">_xlfn.STDEV.S(_xlfn._xlws.FILTER($E$1000:$E$1998, $A$1000:$A$1998="2017-07"))</f>
        <v>7.9013807955717278E-3</v>
      </c>
      <c r="C1872" s="3" cm="1">
        <f t="array" ref="C1872">AVERAGE(_xlfn._xlws.FILTER($E$1000:$E$1998, $A$1000:$A$1998="2017-07"))</f>
        <v>-2.5090563585337543E-4</v>
      </c>
      <c r="D1872" s="3" cm="1">
        <f t="array" ref="D1872">_xlfn.PERCENTILE.EXC(_xlfn._xlws.FILTER($E$1498:$E$2489, $A$1498:$A$2489="2017-07"), 0.05)</f>
        <v>-1.5324059763377898E-2</v>
      </c>
      <c r="E1872">
        <v>1.4547967017896032E-2</v>
      </c>
      <c r="F1872">
        <f t="shared" si="64"/>
        <v>-1.7274185323567764E-2</v>
      </c>
      <c r="G1872">
        <f t="shared" si="65"/>
        <v>-2.9314856669143505E-2</v>
      </c>
    </row>
    <row r="1873" spans="1:7" x14ac:dyDescent="0.35">
      <c r="A1873" t="s">
        <v>105</v>
      </c>
      <c r="E1873">
        <v>-4.0151944572827617E-3</v>
      </c>
      <c r="F1873">
        <f t="shared" si="64"/>
        <v>-1.7280796716973076E-2</v>
      </c>
      <c r="G1873">
        <f t="shared" si="65"/>
        <v>-2.9314856669143505E-2</v>
      </c>
    </row>
    <row r="1874" spans="1:7" x14ac:dyDescent="0.35">
      <c r="A1874" t="s">
        <v>105</v>
      </c>
      <c r="E1874">
        <v>1.0043458111268254E-3</v>
      </c>
      <c r="F1874">
        <f t="shared" si="64"/>
        <v>-1.7287408110378388E-2</v>
      </c>
      <c r="G1874">
        <f t="shared" si="65"/>
        <v>-2.9314856669143505E-2</v>
      </c>
    </row>
    <row r="1875" spans="1:7" x14ac:dyDescent="0.35">
      <c r="A1875" t="s">
        <v>105</v>
      </c>
      <c r="E1875">
        <v>-5.3617355645615757E-3</v>
      </c>
      <c r="F1875">
        <f t="shared" si="64"/>
        <v>-1.7294019503783703E-2</v>
      </c>
      <c r="G1875">
        <f t="shared" si="65"/>
        <v>-2.9314856669143505E-2</v>
      </c>
    </row>
    <row r="1876" spans="1:7" x14ac:dyDescent="0.35">
      <c r="A1876" t="s">
        <v>105</v>
      </c>
      <c r="E1876">
        <v>-1.4061585837731624E-3</v>
      </c>
      <c r="F1876">
        <f t="shared" si="64"/>
        <v>-1.7300630897189015E-2</v>
      </c>
      <c r="G1876">
        <f t="shared" si="65"/>
        <v>-2.9314856669143505E-2</v>
      </c>
    </row>
    <row r="1877" spans="1:7" x14ac:dyDescent="0.35">
      <c r="A1877" t="s">
        <v>105</v>
      </c>
      <c r="E1877">
        <v>3.9725388782658431E-3</v>
      </c>
      <c r="F1877">
        <f t="shared" si="64"/>
        <v>-1.7307242290594327E-2</v>
      </c>
      <c r="G1877">
        <f t="shared" si="65"/>
        <v>-2.9314856669143505E-2</v>
      </c>
    </row>
    <row r="1878" spans="1:7" x14ac:dyDescent="0.35">
      <c r="A1878" t="s">
        <v>105</v>
      </c>
      <c r="E1878">
        <v>-4.8592016622980962E-3</v>
      </c>
      <c r="F1878">
        <f t="shared" si="64"/>
        <v>-1.7313853683999639E-2</v>
      </c>
      <c r="G1878">
        <f t="shared" si="65"/>
        <v>-2.9314856669143505E-2</v>
      </c>
    </row>
    <row r="1879" spans="1:7" x14ac:dyDescent="0.35">
      <c r="A1879" t="s">
        <v>105</v>
      </c>
      <c r="E1879">
        <v>1.57355604714489E-2</v>
      </c>
      <c r="F1879">
        <f t="shared" si="64"/>
        <v>-1.7320465077404951E-2</v>
      </c>
      <c r="G1879">
        <f t="shared" si="65"/>
        <v>-2.9314856669143505E-2</v>
      </c>
    </row>
    <row r="1880" spans="1:7" x14ac:dyDescent="0.35">
      <c r="A1880" t="s">
        <v>105</v>
      </c>
      <c r="E1880">
        <v>2.5378855470689758E-3</v>
      </c>
      <c r="F1880">
        <f t="shared" si="64"/>
        <v>-1.7327076470810263E-2</v>
      </c>
      <c r="G1880">
        <f t="shared" si="65"/>
        <v>-2.9314856669143505E-2</v>
      </c>
    </row>
    <row r="1881" spans="1:7" x14ac:dyDescent="0.35">
      <c r="A1881" t="s">
        <v>105</v>
      </c>
      <c r="E1881">
        <v>-1.7190811320580105E-5</v>
      </c>
      <c r="F1881">
        <f t="shared" si="64"/>
        <v>-1.733222718133719E-2</v>
      </c>
      <c r="G1881">
        <f t="shared" si="65"/>
        <v>-2.9439729379542812E-2</v>
      </c>
    </row>
    <row r="1882" spans="1:7" x14ac:dyDescent="0.35">
      <c r="A1882" t="s">
        <v>105</v>
      </c>
      <c r="E1882">
        <v>-9.8227705050991541E-4</v>
      </c>
      <c r="F1882">
        <f t="shared" si="64"/>
        <v>-1.7337377891864122E-2</v>
      </c>
      <c r="G1882">
        <f t="shared" si="65"/>
        <v>-2.9439729379542812E-2</v>
      </c>
    </row>
    <row r="1883" spans="1:7" x14ac:dyDescent="0.35">
      <c r="A1883" t="s">
        <v>105</v>
      </c>
      <c r="E1883">
        <v>-1.0938798584692671E-2</v>
      </c>
      <c r="F1883">
        <f t="shared" si="64"/>
        <v>-1.734252860239105E-2</v>
      </c>
      <c r="G1883">
        <f t="shared" si="65"/>
        <v>-2.9439729379542812E-2</v>
      </c>
    </row>
    <row r="1884" spans="1:7" x14ac:dyDescent="0.35">
      <c r="A1884" t="s">
        <v>105</v>
      </c>
      <c r="E1884">
        <v>8.2392610357152167E-3</v>
      </c>
      <c r="F1884">
        <f t="shared" si="64"/>
        <v>-1.7347679312917981E-2</v>
      </c>
      <c r="G1884">
        <f t="shared" si="65"/>
        <v>-2.9439729379542812E-2</v>
      </c>
    </row>
    <row r="1885" spans="1:7" x14ac:dyDescent="0.35">
      <c r="A1885" t="s">
        <v>105</v>
      </c>
      <c r="E1885">
        <v>-3.2356304434432341E-3</v>
      </c>
      <c r="F1885">
        <f t="shared" si="64"/>
        <v>-1.7352830023444912E-2</v>
      </c>
      <c r="G1885">
        <f t="shared" si="65"/>
        <v>-2.9439729379542812E-2</v>
      </c>
    </row>
    <row r="1886" spans="1:7" x14ac:dyDescent="0.35">
      <c r="A1886" t="s">
        <v>105</v>
      </c>
      <c r="E1886">
        <v>-1.5811311005454035E-2</v>
      </c>
      <c r="F1886">
        <f t="shared" si="64"/>
        <v>-1.735798073397184E-2</v>
      </c>
      <c r="G1886">
        <f t="shared" si="65"/>
        <v>-2.9439729379542812E-2</v>
      </c>
    </row>
    <row r="1887" spans="1:7" x14ac:dyDescent="0.35">
      <c r="A1887" t="s">
        <v>105</v>
      </c>
      <c r="E1887">
        <v>1.9599122361441822E-3</v>
      </c>
      <c r="F1887">
        <f t="shared" si="64"/>
        <v>-1.7363131444498772E-2</v>
      </c>
      <c r="G1887">
        <f t="shared" si="65"/>
        <v>-2.9439729379542812E-2</v>
      </c>
    </row>
    <row r="1888" spans="1:7" x14ac:dyDescent="0.35">
      <c r="A1888" t="s">
        <v>105</v>
      </c>
      <c r="E1888">
        <v>6.4886443514302642E-3</v>
      </c>
      <c r="F1888">
        <f t="shared" si="64"/>
        <v>-1.7368282155025699E-2</v>
      </c>
      <c r="G1888">
        <f t="shared" si="65"/>
        <v>-2.9439729379542812E-2</v>
      </c>
    </row>
    <row r="1889" spans="1:7" x14ac:dyDescent="0.35">
      <c r="A1889" t="s">
        <v>105</v>
      </c>
      <c r="E1889">
        <v>5.6205920216285338E-3</v>
      </c>
      <c r="F1889">
        <f t="shared" si="64"/>
        <v>-1.7373432865552631E-2</v>
      </c>
      <c r="G1889">
        <f t="shared" si="65"/>
        <v>-2.9439729379542812E-2</v>
      </c>
    </row>
    <row r="1890" spans="1:7" x14ac:dyDescent="0.35">
      <c r="A1890" t="s">
        <v>105</v>
      </c>
      <c r="E1890">
        <v>-6.2059610052616634E-4</v>
      </c>
      <c r="F1890">
        <f t="shared" si="64"/>
        <v>-1.7378583576079562E-2</v>
      </c>
      <c r="G1890">
        <f t="shared" si="65"/>
        <v>-2.9439729379542812E-2</v>
      </c>
    </row>
    <row r="1891" spans="1:7" x14ac:dyDescent="0.35">
      <c r="A1891" t="s">
        <v>105</v>
      </c>
      <c r="E1891">
        <v>-1.0769278192830382E-2</v>
      </c>
      <c r="F1891">
        <f t="shared" si="64"/>
        <v>-1.738373428660649E-2</v>
      </c>
      <c r="G1891">
        <f t="shared" si="65"/>
        <v>-2.9439729379542812E-2</v>
      </c>
    </row>
    <row r="1892" spans="1:7" x14ac:dyDescent="0.35">
      <c r="A1892" t="s">
        <v>105</v>
      </c>
      <c r="E1892">
        <v>-7.3583532669530792E-3</v>
      </c>
      <c r="F1892">
        <f t="shared" si="64"/>
        <v>-1.7388884997133418E-2</v>
      </c>
      <c r="G1892">
        <f t="shared" si="65"/>
        <v>-2.9439729379542812E-2</v>
      </c>
    </row>
    <row r="1893" spans="1:7" x14ac:dyDescent="0.35">
      <c r="A1893" t="s">
        <v>106</v>
      </c>
      <c r="B1893" s="3" cm="1">
        <f t="array" ref="B1893">_xlfn.STDEV.S(_xlfn._xlws.FILTER($E$1000:$E$1998, $A$1000:$A$1998="2017-08"))</f>
        <v>8.1780004729504596E-3</v>
      </c>
      <c r="C1893" s="3" cm="1">
        <f t="array" ref="C1893">AVERAGE(_xlfn._xlws.FILTER($E$1000:$E$1998, $A$1000:$A$1998="2017-08"))</f>
        <v>-7.6532098947114992E-5</v>
      </c>
      <c r="D1893" s="3" cm="1">
        <f t="array" ref="D1893">_xlfn.PERCENTILE.EXC(_xlfn._xlws.FILTER($E$1498:$E$2489, $A$1498:$A$2489="2017-08"), 0.05)</f>
        <v>-1.4271152408980239E-2</v>
      </c>
      <c r="E1893">
        <v>6.5083197798215565E-3</v>
      </c>
      <c r="F1893">
        <f t="shared" si="64"/>
        <v>-1.7394035707660349E-2</v>
      </c>
      <c r="G1893">
        <f t="shared" si="65"/>
        <v>-2.9439729379542812E-2</v>
      </c>
    </row>
    <row r="1894" spans="1:7" x14ac:dyDescent="0.35">
      <c r="A1894" t="s">
        <v>106</v>
      </c>
      <c r="E1894">
        <v>-3.8654452738916024E-3</v>
      </c>
      <c r="F1894">
        <f t="shared" si="64"/>
        <v>-1.7399186418187277E-2</v>
      </c>
      <c r="G1894">
        <f t="shared" si="65"/>
        <v>-2.9439729379542812E-2</v>
      </c>
    </row>
    <row r="1895" spans="1:7" x14ac:dyDescent="0.35">
      <c r="A1895" t="s">
        <v>106</v>
      </c>
      <c r="E1895">
        <v>4.540072304836002E-3</v>
      </c>
      <c r="F1895">
        <f t="shared" si="64"/>
        <v>-1.7404337128714208E-2</v>
      </c>
      <c r="G1895">
        <f t="shared" si="65"/>
        <v>-2.9439729379542812E-2</v>
      </c>
    </row>
    <row r="1896" spans="1:7" x14ac:dyDescent="0.35">
      <c r="A1896" t="s">
        <v>106</v>
      </c>
      <c r="E1896">
        <v>1.411877413834605E-2</v>
      </c>
      <c r="F1896">
        <f t="shared" si="64"/>
        <v>-1.740948783924114E-2</v>
      </c>
      <c r="G1896">
        <f t="shared" si="65"/>
        <v>-2.9439729379542812E-2</v>
      </c>
    </row>
    <row r="1897" spans="1:7" x14ac:dyDescent="0.35">
      <c r="A1897" t="s">
        <v>106</v>
      </c>
      <c r="E1897">
        <v>8.5483800263501267E-4</v>
      </c>
      <c r="F1897">
        <f t="shared" si="64"/>
        <v>-1.7414638549768068E-2</v>
      </c>
      <c r="G1897">
        <f t="shared" si="65"/>
        <v>-2.9439729379542812E-2</v>
      </c>
    </row>
    <row r="1898" spans="1:7" x14ac:dyDescent="0.35">
      <c r="A1898" t="s">
        <v>106</v>
      </c>
      <c r="E1898">
        <v>2.1099522730711599E-3</v>
      </c>
      <c r="F1898">
        <f t="shared" si="64"/>
        <v>-1.7419789260294999E-2</v>
      </c>
      <c r="G1898">
        <f t="shared" si="65"/>
        <v>-2.9439729379542812E-2</v>
      </c>
    </row>
    <row r="1899" spans="1:7" x14ac:dyDescent="0.35">
      <c r="A1899" t="s">
        <v>106</v>
      </c>
      <c r="E1899">
        <v>-1.4123321151295816E-2</v>
      </c>
      <c r="F1899">
        <f t="shared" si="64"/>
        <v>-1.7424939970821927E-2</v>
      </c>
      <c r="G1899">
        <f t="shared" si="65"/>
        <v>-2.9439729379542812E-2</v>
      </c>
    </row>
    <row r="1900" spans="1:7" x14ac:dyDescent="0.35">
      <c r="A1900" t="s">
        <v>106</v>
      </c>
      <c r="E1900">
        <v>-5.9390502736579049E-3</v>
      </c>
      <c r="F1900">
        <f t="shared" si="64"/>
        <v>-1.7430090681348858E-2</v>
      </c>
      <c r="G1900">
        <f t="shared" si="65"/>
        <v>-2.9439729379542812E-2</v>
      </c>
    </row>
    <row r="1901" spans="1:7" x14ac:dyDescent="0.35">
      <c r="A1901" t="s">
        <v>106</v>
      </c>
      <c r="E1901">
        <v>-1.0674079225290367E-2</v>
      </c>
      <c r="F1901">
        <f t="shared" si="64"/>
        <v>-1.743572415713485E-2</v>
      </c>
      <c r="G1901">
        <f t="shared" si="65"/>
        <v>-2.9566146628997488E-2</v>
      </c>
    </row>
    <row r="1902" spans="1:7" x14ac:dyDescent="0.35">
      <c r="A1902" t="s">
        <v>106</v>
      </c>
      <c r="E1902">
        <v>1.1932272789664567E-2</v>
      </c>
      <c r="F1902">
        <f t="shared" si="64"/>
        <v>-1.7441357632920842E-2</v>
      </c>
      <c r="G1902">
        <f t="shared" si="65"/>
        <v>-2.9566146628997488E-2</v>
      </c>
    </row>
    <row r="1903" spans="1:7" x14ac:dyDescent="0.35">
      <c r="A1903" t="s">
        <v>106</v>
      </c>
      <c r="E1903">
        <v>1.066984413358269E-2</v>
      </c>
      <c r="F1903">
        <f t="shared" si="64"/>
        <v>-1.7446991108706834E-2</v>
      </c>
      <c r="G1903">
        <f t="shared" si="65"/>
        <v>-2.9566146628997488E-2</v>
      </c>
    </row>
    <row r="1904" spans="1:7" x14ac:dyDescent="0.35">
      <c r="A1904" t="s">
        <v>106</v>
      </c>
      <c r="E1904">
        <v>-5.7655248217786158E-3</v>
      </c>
      <c r="F1904">
        <f t="shared" si="64"/>
        <v>-1.7452624584492826E-2</v>
      </c>
      <c r="G1904">
        <f t="shared" si="65"/>
        <v>-2.9566146628997488E-2</v>
      </c>
    </row>
    <row r="1905" spans="1:7" x14ac:dyDescent="0.35">
      <c r="A1905" t="s">
        <v>106</v>
      </c>
      <c r="E1905">
        <v>-6.3736693693407596E-3</v>
      </c>
      <c r="F1905">
        <f t="shared" si="64"/>
        <v>-1.7458258060278821E-2</v>
      </c>
      <c r="G1905">
        <f t="shared" si="65"/>
        <v>-2.9566146628997488E-2</v>
      </c>
    </row>
    <row r="1906" spans="1:7" x14ac:dyDescent="0.35">
      <c r="A1906" t="s">
        <v>106</v>
      </c>
      <c r="E1906">
        <v>-5.2069666564676627E-3</v>
      </c>
      <c r="F1906">
        <f t="shared" si="64"/>
        <v>-1.7463891536064813E-2</v>
      </c>
      <c r="G1906">
        <f t="shared" si="65"/>
        <v>-2.9566146628997488E-2</v>
      </c>
    </row>
    <row r="1907" spans="1:7" x14ac:dyDescent="0.35">
      <c r="A1907" t="s">
        <v>106</v>
      </c>
      <c r="E1907">
        <v>8.6639255384203789E-3</v>
      </c>
      <c r="F1907">
        <f t="shared" si="64"/>
        <v>-1.7469525011850805E-2</v>
      </c>
      <c r="G1907">
        <f t="shared" si="65"/>
        <v>-2.9566146628997488E-2</v>
      </c>
    </row>
    <row r="1908" spans="1:7" x14ac:dyDescent="0.35">
      <c r="A1908" t="s">
        <v>106</v>
      </c>
      <c r="E1908">
        <v>-3.2145237370539547E-3</v>
      </c>
      <c r="F1908">
        <f t="shared" si="64"/>
        <v>-1.7475158487636797E-2</v>
      </c>
      <c r="G1908">
        <f t="shared" si="65"/>
        <v>-2.9566146628997488E-2</v>
      </c>
    </row>
    <row r="1909" spans="1:7" x14ac:dyDescent="0.35">
      <c r="A1909" t="s">
        <v>106</v>
      </c>
      <c r="E1909">
        <v>-4.4190167038381565E-4</v>
      </c>
      <c r="F1909">
        <f t="shared" si="64"/>
        <v>-1.7480791963422788E-2</v>
      </c>
      <c r="G1909">
        <f t="shared" si="65"/>
        <v>-2.9566146628997488E-2</v>
      </c>
    </row>
    <row r="1910" spans="1:7" x14ac:dyDescent="0.35">
      <c r="A1910" t="s">
        <v>106</v>
      </c>
      <c r="E1910">
        <v>-1.722542036065919E-3</v>
      </c>
      <c r="F1910">
        <f t="shared" si="64"/>
        <v>-1.748642543920878E-2</v>
      </c>
      <c r="G1910">
        <f t="shared" si="65"/>
        <v>-2.9566146628997488E-2</v>
      </c>
    </row>
    <row r="1911" spans="1:7" x14ac:dyDescent="0.35">
      <c r="A1911" t="s">
        <v>106</v>
      </c>
      <c r="E1911">
        <v>-1.4287578104278508E-2</v>
      </c>
      <c r="F1911">
        <f t="shared" si="64"/>
        <v>-1.7492058914994776E-2</v>
      </c>
      <c r="G1911">
        <f t="shared" si="65"/>
        <v>-2.9566146628997488E-2</v>
      </c>
    </row>
    <row r="1912" spans="1:7" x14ac:dyDescent="0.35">
      <c r="A1912" t="s">
        <v>106</v>
      </c>
      <c r="E1912">
        <v>4.841280398463885E-3</v>
      </c>
      <c r="F1912">
        <f t="shared" si="64"/>
        <v>-1.7497692390780768E-2</v>
      </c>
      <c r="G1912">
        <f t="shared" si="65"/>
        <v>-2.9566146628997488E-2</v>
      </c>
    </row>
    <row r="1913" spans="1:7" x14ac:dyDescent="0.35">
      <c r="A1913" t="s">
        <v>106</v>
      </c>
      <c r="E1913">
        <v>5.7681488827742051E-3</v>
      </c>
      <c r="F1913">
        <f t="shared" si="64"/>
        <v>-1.7503325866566759E-2</v>
      </c>
      <c r="G1913">
        <f t="shared" si="65"/>
        <v>-2.9566146628997488E-2</v>
      </c>
    </row>
    <row r="1914" spans="1:7" x14ac:dyDescent="0.35">
      <c r="A1914" t="s">
        <v>107</v>
      </c>
      <c r="B1914" s="3" cm="1">
        <f t="array" ref="B1914">_xlfn.STDEV.S(_xlfn._xlws.FILTER($E$1000:$E$1998, $A$1000:$A$1998="2017-09"))</f>
        <v>3.8549822259871312E-3</v>
      </c>
      <c r="C1914" s="3" cm="1">
        <f t="array" ref="C1914">AVERAGE(_xlfn._xlws.FILTER($E$1000:$E$1998, $A$1000:$A$1998="2017-09"))</f>
        <v>2.2335495219532367E-3</v>
      </c>
      <c r="D1914" s="3" cm="1">
        <f t="array" ref="D1914">_xlfn.PERCENTILE.EXC(_xlfn._xlws.FILTER($E$1498:$E$2489, $A$1498:$A$2489="2017-09"), 0.05)</f>
        <v>-3.7367483267682954E-3</v>
      </c>
      <c r="E1914">
        <v>7.3799048802297715E-3</v>
      </c>
      <c r="F1914">
        <f t="shared" si="64"/>
        <v>-1.7508959342352751E-2</v>
      </c>
      <c r="G1914">
        <f t="shared" si="65"/>
        <v>-2.9566146628997488E-2</v>
      </c>
    </row>
    <row r="1915" spans="1:7" x14ac:dyDescent="0.35">
      <c r="A1915" t="s">
        <v>107</v>
      </c>
      <c r="E1915">
        <v>-3.7722868997681611E-3</v>
      </c>
      <c r="F1915">
        <f t="shared" si="64"/>
        <v>-1.7514592818138743E-2</v>
      </c>
      <c r="G1915">
        <f t="shared" si="65"/>
        <v>-2.9566146628997488E-2</v>
      </c>
    </row>
    <row r="1916" spans="1:7" x14ac:dyDescent="0.35">
      <c r="A1916" t="s">
        <v>107</v>
      </c>
      <c r="E1916">
        <v>-3.4169011697695053E-3</v>
      </c>
      <c r="F1916">
        <f t="shared" si="64"/>
        <v>-1.7520226293924735E-2</v>
      </c>
      <c r="G1916">
        <f t="shared" si="65"/>
        <v>-2.9566146628997488E-2</v>
      </c>
    </row>
    <row r="1917" spans="1:7" x14ac:dyDescent="0.35">
      <c r="A1917" t="s">
        <v>107</v>
      </c>
      <c r="E1917">
        <v>2.9152049950663117E-3</v>
      </c>
      <c r="F1917">
        <f t="shared" si="64"/>
        <v>-1.7525859769710727E-2</v>
      </c>
      <c r="G1917">
        <f t="shared" si="65"/>
        <v>-2.9566146628997488E-2</v>
      </c>
    </row>
    <row r="1918" spans="1:7" x14ac:dyDescent="0.35">
      <c r="A1918" t="s">
        <v>107</v>
      </c>
      <c r="E1918">
        <v>2.5861332361918924E-3</v>
      </c>
      <c r="F1918">
        <f t="shared" si="64"/>
        <v>-1.7531493245496719E-2</v>
      </c>
      <c r="G1918">
        <f t="shared" si="65"/>
        <v>-2.9566146628997488E-2</v>
      </c>
    </row>
    <row r="1919" spans="1:7" x14ac:dyDescent="0.35">
      <c r="A1919" t="s">
        <v>107</v>
      </c>
      <c r="E1919">
        <v>-2.2095968944367864E-4</v>
      </c>
      <c r="F1919">
        <f t="shared" si="64"/>
        <v>-1.7537126721282711E-2</v>
      </c>
      <c r="G1919">
        <f t="shared" si="65"/>
        <v>-2.9566146628997488E-2</v>
      </c>
    </row>
    <row r="1920" spans="1:7" x14ac:dyDescent="0.35">
      <c r="A1920" t="s">
        <v>107</v>
      </c>
      <c r="E1920">
        <v>1.2287573698179011E-2</v>
      </c>
      <c r="F1920">
        <f t="shared" si="64"/>
        <v>-1.7542760197068706E-2</v>
      </c>
      <c r="G1920">
        <f t="shared" si="65"/>
        <v>-2.9566146628997488E-2</v>
      </c>
    </row>
    <row r="1921" spans="1:7" x14ac:dyDescent="0.35">
      <c r="A1921" t="s">
        <v>107</v>
      </c>
      <c r="E1921">
        <v>6.2200991629912062E-3</v>
      </c>
      <c r="F1921">
        <f t="shared" si="64"/>
        <v>-1.7543734730299458E-2</v>
      </c>
      <c r="G1921">
        <f t="shared" si="65"/>
        <v>-2.9694054995294601E-2</v>
      </c>
    </row>
    <row r="1922" spans="1:7" x14ac:dyDescent="0.35">
      <c r="A1922" t="s">
        <v>107</v>
      </c>
      <c r="E1922">
        <v>1.6457909455947425E-3</v>
      </c>
      <c r="F1922">
        <f t="shared" si="64"/>
        <v>-1.7544709263530214E-2</v>
      </c>
      <c r="G1922">
        <f t="shared" si="65"/>
        <v>-2.9694054995294601E-2</v>
      </c>
    </row>
    <row r="1923" spans="1:7" x14ac:dyDescent="0.35">
      <c r="A1923" t="s">
        <v>107</v>
      </c>
      <c r="E1923">
        <v>1.4574651691930858E-3</v>
      </c>
      <c r="F1923">
        <f t="shared" si="64"/>
        <v>-1.7545683796760966E-2</v>
      </c>
      <c r="G1923">
        <f t="shared" si="65"/>
        <v>-2.9694054995294601E-2</v>
      </c>
    </row>
    <row r="1924" spans="1:7" x14ac:dyDescent="0.35">
      <c r="A1924" t="s">
        <v>107</v>
      </c>
      <c r="E1924">
        <v>-2.1630204877305446E-3</v>
      </c>
      <c r="F1924">
        <f t="shared" ref="F1924:F1987" si="66">_xlfn.PERCENTILE.EXC(E1924:E5739,0.05)</f>
        <v>-1.7546658329991718E-2</v>
      </c>
      <c r="G1924">
        <f t="shared" ref="G1924:G1987" si="67">AVERAGEIFS(E1924:E5740,E1924:E5740,"&lt;=" &amp; F1924)</f>
        <v>-2.9694054995294601E-2</v>
      </c>
    </row>
    <row r="1925" spans="1:7" x14ac:dyDescent="0.35">
      <c r="A1925" t="s">
        <v>107</v>
      </c>
      <c r="E1925">
        <v>2.9511963606133822E-3</v>
      </c>
      <c r="F1925">
        <f t="shared" si="66"/>
        <v>-1.7547632863222473E-2</v>
      </c>
      <c r="G1925">
        <f t="shared" si="67"/>
        <v>-2.9694054995294601E-2</v>
      </c>
    </row>
    <row r="1926" spans="1:7" x14ac:dyDescent="0.35">
      <c r="A1926" t="s">
        <v>107</v>
      </c>
      <c r="E1926">
        <v>1.5515788322278846E-3</v>
      </c>
      <c r="F1926">
        <f t="shared" si="66"/>
        <v>-1.7548607396453225E-2</v>
      </c>
      <c r="G1926">
        <f t="shared" si="67"/>
        <v>-2.9694054995294601E-2</v>
      </c>
    </row>
    <row r="1927" spans="1:7" x14ac:dyDescent="0.35">
      <c r="A1927" t="s">
        <v>107</v>
      </c>
      <c r="E1927">
        <v>8.0541272210838701E-4</v>
      </c>
      <c r="F1927">
        <f t="shared" si="66"/>
        <v>-1.7549581929683977E-2</v>
      </c>
      <c r="G1927">
        <f t="shared" si="67"/>
        <v>-2.9694054995294601E-2</v>
      </c>
    </row>
    <row r="1928" spans="1:7" x14ac:dyDescent="0.35">
      <c r="A1928" t="s">
        <v>107</v>
      </c>
      <c r="E1928">
        <v>4.8777567343678673E-3</v>
      </c>
      <c r="F1928">
        <f t="shared" si="66"/>
        <v>-1.7550556462914733E-2</v>
      </c>
      <c r="G1928">
        <f t="shared" si="67"/>
        <v>-2.9694054995294601E-2</v>
      </c>
    </row>
    <row r="1929" spans="1:7" x14ac:dyDescent="0.35">
      <c r="A1929" t="s">
        <v>107</v>
      </c>
      <c r="E1929">
        <v>2.6543872673034834E-3</v>
      </c>
      <c r="F1929">
        <f t="shared" si="66"/>
        <v>-1.7551530996145485E-2</v>
      </c>
      <c r="G1929">
        <f t="shared" si="67"/>
        <v>-2.9694054995294601E-2</v>
      </c>
    </row>
    <row r="1930" spans="1:7" x14ac:dyDescent="0.35">
      <c r="A1930" t="s">
        <v>107</v>
      </c>
      <c r="E1930">
        <v>-2.6847638803513766E-3</v>
      </c>
      <c r="F1930">
        <f t="shared" si="66"/>
        <v>-1.755250552937624E-2</v>
      </c>
      <c r="G1930">
        <f t="shared" si="67"/>
        <v>-2.9694054995294601E-2</v>
      </c>
    </row>
    <row r="1931" spans="1:7" x14ac:dyDescent="0.35">
      <c r="A1931" t="s">
        <v>107</v>
      </c>
      <c r="E1931">
        <v>3.0941857080988975E-4</v>
      </c>
      <c r="F1931">
        <f t="shared" si="66"/>
        <v>-1.7553480062606992E-2</v>
      </c>
      <c r="G1931">
        <f t="shared" si="67"/>
        <v>-2.9694054995294601E-2</v>
      </c>
    </row>
    <row r="1932" spans="1:7" x14ac:dyDescent="0.35">
      <c r="A1932" t="s">
        <v>107</v>
      </c>
      <c r="E1932">
        <v>2.5022002075888337E-3</v>
      </c>
      <c r="F1932">
        <f t="shared" si="66"/>
        <v>-1.7554454595837744E-2</v>
      </c>
      <c r="G1932">
        <f t="shared" si="67"/>
        <v>-2.9694054995294601E-2</v>
      </c>
    </row>
    <row r="1933" spans="1:7" x14ac:dyDescent="0.35">
      <c r="A1933" t="s">
        <v>107</v>
      </c>
      <c r="E1933">
        <v>2.2334164940237228E-3</v>
      </c>
      <c r="F1933">
        <f t="shared" si="66"/>
        <v>-1.75554291290685E-2</v>
      </c>
      <c r="G1933">
        <f t="shared" si="67"/>
        <v>-2.9694054995294601E-2</v>
      </c>
    </row>
    <row r="1934" spans="1:7" x14ac:dyDescent="0.35">
      <c r="A1934" t="s">
        <v>107</v>
      </c>
      <c r="E1934">
        <v>6.7849328115917699E-3</v>
      </c>
      <c r="F1934">
        <f t="shared" si="66"/>
        <v>-1.7556403662299252E-2</v>
      </c>
      <c r="G1934">
        <f t="shared" si="67"/>
        <v>-2.9694054995294601E-2</v>
      </c>
    </row>
    <row r="1935" spans="1:7" x14ac:dyDescent="0.35">
      <c r="A1935" t="s">
        <v>108</v>
      </c>
      <c r="B1935" s="3" cm="1">
        <f t="array" ref="B1935">_xlfn.STDEV.S(_xlfn._xlws.FILTER($E$1000:$E$1998, $A$1000:$A$1998="2017-10"))</f>
        <v>4.1416631882232975E-3</v>
      </c>
      <c r="C1935" s="3" cm="1">
        <f t="array" ref="C1935">AVERAGE(_xlfn._xlws.FILTER($E$1000:$E$1998, $A$1000:$A$1998="2017-10"))</f>
        <v>1.5136824473275835E-3</v>
      </c>
      <c r="D1935" s="3" cm="1">
        <f t="array" ref="D1935">_xlfn.PERCENTILE.EXC(_xlfn._xlws.FILTER($E$1498:$E$2489, $A$1498:$A$2489="2017-10"), 0.05)</f>
        <v>-3.6923573264383293E-3</v>
      </c>
      <c r="E1935">
        <v>3.8632102539758388E-3</v>
      </c>
      <c r="F1935">
        <f t="shared" si="66"/>
        <v>-1.7557378195530004E-2</v>
      </c>
      <c r="G1935">
        <f t="shared" si="67"/>
        <v>-2.9694054995294601E-2</v>
      </c>
    </row>
    <row r="1936" spans="1:7" x14ac:dyDescent="0.35">
      <c r="A1936" t="s">
        <v>108</v>
      </c>
      <c r="E1936">
        <v>2.3876050085452991E-3</v>
      </c>
      <c r="F1936">
        <f t="shared" si="66"/>
        <v>-1.7558352728760759E-2</v>
      </c>
      <c r="G1936">
        <f t="shared" si="67"/>
        <v>-2.9694054995294601E-2</v>
      </c>
    </row>
    <row r="1937" spans="1:7" x14ac:dyDescent="0.35">
      <c r="A1937" t="s">
        <v>108</v>
      </c>
      <c r="E1937">
        <v>2.9751177175789162E-3</v>
      </c>
      <c r="F1937">
        <f t="shared" si="66"/>
        <v>-1.7559327261991511E-2</v>
      </c>
      <c r="G1937">
        <f t="shared" si="67"/>
        <v>-2.9694054995294601E-2</v>
      </c>
    </row>
    <row r="1938" spans="1:7" x14ac:dyDescent="0.35">
      <c r="A1938" t="s">
        <v>108</v>
      </c>
      <c r="E1938">
        <v>-3.5962050506700319E-3</v>
      </c>
      <c r="F1938">
        <f t="shared" si="66"/>
        <v>-1.7560301795222263E-2</v>
      </c>
      <c r="G1938">
        <f t="shared" si="67"/>
        <v>-2.9694054995294601E-2</v>
      </c>
    </row>
    <row r="1939" spans="1:7" x14ac:dyDescent="0.35">
      <c r="A1939" t="s">
        <v>108</v>
      </c>
      <c r="E1939">
        <v>1.1057523551706785E-3</v>
      </c>
      <c r="F1939">
        <f t="shared" si="66"/>
        <v>-1.7561276328453019E-2</v>
      </c>
      <c r="G1939">
        <f t="shared" si="67"/>
        <v>-2.9694054995294601E-2</v>
      </c>
    </row>
    <row r="1940" spans="1:7" x14ac:dyDescent="0.35">
      <c r="A1940" t="s">
        <v>108</v>
      </c>
      <c r="E1940">
        <v>-4.0635707042623346E-4</v>
      </c>
      <c r="F1940">
        <f t="shared" si="66"/>
        <v>-1.7562250861683771E-2</v>
      </c>
      <c r="G1940">
        <f t="shared" si="67"/>
        <v>-2.9694054995294601E-2</v>
      </c>
    </row>
    <row r="1941" spans="1:7" x14ac:dyDescent="0.35">
      <c r="A1941" t="s">
        <v>108</v>
      </c>
      <c r="E1941">
        <v>-2.3121258048599056E-4</v>
      </c>
      <c r="F1941">
        <f t="shared" si="66"/>
        <v>-1.7564566318229689E-2</v>
      </c>
      <c r="G1941">
        <f t="shared" si="67"/>
        <v>-2.9824504502107628E-2</v>
      </c>
    </row>
    <row r="1942" spans="1:7" x14ac:dyDescent="0.35">
      <c r="A1942" t="s">
        <v>108</v>
      </c>
      <c r="E1942">
        <v>-2.9841782820335511E-4</v>
      </c>
      <c r="F1942">
        <f t="shared" si="66"/>
        <v>-1.7566881774775604E-2</v>
      </c>
      <c r="G1942">
        <f t="shared" si="67"/>
        <v>-2.9824504502107628E-2</v>
      </c>
    </row>
    <row r="1943" spans="1:7" x14ac:dyDescent="0.35">
      <c r="A1943" t="s">
        <v>108</v>
      </c>
      <c r="E1943">
        <v>-1.6933413925313431E-3</v>
      </c>
      <c r="F1943">
        <f t="shared" si="66"/>
        <v>-1.7569197231321523E-2</v>
      </c>
      <c r="G1943">
        <f t="shared" si="67"/>
        <v>-2.9824504502107628E-2</v>
      </c>
    </row>
    <row r="1944" spans="1:7" x14ac:dyDescent="0.35">
      <c r="A1944" t="s">
        <v>108</v>
      </c>
      <c r="E1944">
        <v>2.0794025385938819E-3</v>
      </c>
      <c r="F1944">
        <f t="shared" si="66"/>
        <v>-1.7571512687867438E-2</v>
      </c>
      <c r="G1944">
        <f t="shared" si="67"/>
        <v>-2.9824504502107628E-2</v>
      </c>
    </row>
    <row r="1945" spans="1:7" x14ac:dyDescent="0.35">
      <c r="A1945" t="s">
        <v>108</v>
      </c>
      <c r="E1945">
        <v>-2.8160477608759813E-4</v>
      </c>
      <c r="F1945">
        <f t="shared" si="66"/>
        <v>-1.7573828144413356E-2</v>
      </c>
      <c r="G1945">
        <f t="shared" si="67"/>
        <v>-2.9824504502107628E-2</v>
      </c>
    </row>
    <row r="1946" spans="1:7" x14ac:dyDescent="0.35">
      <c r="A1946" t="s">
        <v>108</v>
      </c>
      <c r="E1946">
        <v>4.1767625340453631E-3</v>
      </c>
      <c r="F1946">
        <f t="shared" si="66"/>
        <v>-1.7576143600959274E-2</v>
      </c>
      <c r="G1946">
        <f t="shared" si="67"/>
        <v>-2.9824504502107628E-2</v>
      </c>
    </row>
    <row r="1947" spans="1:7" x14ac:dyDescent="0.35">
      <c r="A1947" t="s">
        <v>108</v>
      </c>
      <c r="E1947">
        <v>-2.8868799171765081E-3</v>
      </c>
      <c r="F1947">
        <f t="shared" si="66"/>
        <v>-1.7578459057505189E-2</v>
      </c>
      <c r="G1947">
        <f t="shared" si="67"/>
        <v>-2.9824504502107628E-2</v>
      </c>
    </row>
    <row r="1948" spans="1:7" x14ac:dyDescent="0.35">
      <c r="A1948" t="s">
        <v>108</v>
      </c>
      <c r="E1948">
        <v>7.6159125970562901E-4</v>
      </c>
      <c r="F1948">
        <f t="shared" si="66"/>
        <v>-1.7580774514051108E-2</v>
      </c>
      <c r="G1948">
        <f t="shared" si="67"/>
        <v>-2.9824504502107628E-2</v>
      </c>
    </row>
    <row r="1949" spans="1:7" x14ac:dyDescent="0.35">
      <c r="A1949" t="s">
        <v>108</v>
      </c>
      <c r="E1949">
        <v>2.6823596668617078E-3</v>
      </c>
      <c r="F1949">
        <f t="shared" si="66"/>
        <v>-1.7583089970597026E-2</v>
      </c>
      <c r="G1949">
        <f t="shared" si="67"/>
        <v>-2.9824504502107628E-2</v>
      </c>
    </row>
    <row r="1950" spans="1:7" x14ac:dyDescent="0.35">
      <c r="A1950" t="s">
        <v>108</v>
      </c>
      <c r="E1950">
        <v>1.4821536788456157E-3</v>
      </c>
      <c r="F1950">
        <f t="shared" si="66"/>
        <v>-1.7585405427142944E-2</v>
      </c>
      <c r="G1950">
        <f t="shared" si="67"/>
        <v>-2.9824504502107628E-2</v>
      </c>
    </row>
    <row r="1951" spans="1:7" x14ac:dyDescent="0.35">
      <c r="A1951" t="s">
        <v>108</v>
      </c>
      <c r="E1951">
        <v>-3.6974179725313976E-3</v>
      </c>
      <c r="F1951">
        <f t="shared" si="66"/>
        <v>-1.7587720883688859E-2</v>
      </c>
      <c r="G1951">
        <f t="shared" si="67"/>
        <v>-2.9824504502107628E-2</v>
      </c>
    </row>
    <row r="1952" spans="1:7" x14ac:dyDescent="0.35">
      <c r="A1952" t="s">
        <v>108</v>
      </c>
      <c r="E1952">
        <v>1.4867835131422076E-2</v>
      </c>
      <c r="F1952">
        <f t="shared" si="66"/>
        <v>-1.7590036340234778E-2</v>
      </c>
      <c r="G1952">
        <f t="shared" si="67"/>
        <v>-2.9824504502107628E-2</v>
      </c>
    </row>
    <row r="1953" spans="1:7" x14ac:dyDescent="0.35">
      <c r="A1953" t="s">
        <v>108</v>
      </c>
      <c r="E1953">
        <v>7.0743057506014511E-3</v>
      </c>
      <c r="F1953">
        <f t="shared" si="66"/>
        <v>-1.7592351796780693E-2</v>
      </c>
      <c r="G1953">
        <f t="shared" si="67"/>
        <v>-2.9824504502107628E-2</v>
      </c>
    </row>
    <row r="1954" spans="1:7" x14ac:dyDescent="0.35">
      <c r="A1954" t="s">
        <v>108</v>
      </c>
      <c r="E1954">
        <v>-9.101036068232679E-5</v>
      </c>
      <c r="F1954">
        <f t="shared" si="66"/>
        <v>-1.7594667253326611E-2</v>
      </c>
      <c r="G1954">
        <f t="shared" si="67"/>
        <v>-2.9824504502107628E-2</v>
      </c>
    </row>
    <row r="1955" spans="1:7" x14ac:dyDescent="0.35">
      <c r="A1955" t="s">
        <v>109</v>
      </c>
      <c r="B1955" s="3" cm="1">
        <f t="array" ref="B1955">_xlfn.STDEV.S(_xlfn._xlws.FILTER($E$1000:$E$1998, $A$1000:$A$1998="2017-11"))</f>
        <v>4.8141292141488995E-3</v>
      </c>
      <c r="C1955" s="3" cm="1">
        <f t="array" ref="C1955">AVERAGE(_xlfn._xlws.FILTER($E$1000:$E$1998, $A$1000:$A$1998="2017-11"))</f>
        <v>-1.0109960244065247E-3</v>
      </c>
      <c r="D1955" s="3" cm="1">
        <f t="array" ref="D1955">_xlfn.PERCENTILE.EXC(_xlfn._xlws.FILTER($E$1498:$E$2489, $A$1498:$A$2489="2017-11"), 0.05)</f>
        <v>-1.1044565267704184E-2</v>
      </c>
      <c r="E1955">
        <v>3.7536654078670442E-3</v>
      </c>
      <c r="F1955">
        <f t="shared" si="66"/>
        <v>-1.7596982709872529E-2</v>
      </c>
      <c r="G1955">
        <f t="shared" si="67"/>
        <v>-2.9824504502107628E-2</v>
      </c>
    </row>
    <row r="1956" spans="1:7" x14ac:dyDescent="0.35">
      <c r="A1956" t="s">
        <v>109</v>
      </c>
      <c r="E1956">
        <v>-6.8754146778284692E-4</v>
      </c>
      <c r="F1956">
        <f t="shared" si="66"/>
        <v>-1.7599298166418444E-2</v>
      </c>
      <c r="G1956">
        <f t="shared" si="67"/>
        <v>-2.9824504502107628E-2</v>
      </c>
    </row>
    <row r="1957" spans="1:7" x14ac:dyDescent="0.35">
      <c r="A1957" t="s">
        <v>109</v>
      </c>
      <c r="E1957">
        <v>1.3546758784089756E-3</v>
      </c>
      <c r="F1957">
        <f t="shared" si="66"/>
        <v>-1.7601613622964363E-2</v>
      </c>
      <c r="G1957">
        <f t="shared" si="67"/>
        <v>-2.9824504502107628E-2</v>
      </c>
    </row>
    <row r="1958" spans="1:7" x14ac:dyDescent="0.35">
      <c r="A1958" t="s">
        <v>109</v>
      </c>
      <c r="E1958">
        <v>-1.944633010176146E-3</v>
      </c>
      <c r="F1958">
        <f t="shared" si="66"/>
        <v>-1.7603929079510281E-2</v>
      </c>
      <c r="G1958">
        <f t="shared" si="67"/>
        <v>-2.9824504502107628E-2</v>
      </c>
    </row>
    <row r="1959" spans="1:7" x14ac:dyDescent="0.35">
      <c r="A1959" t="s">
        <v>109</v>
      </c>
      <c r="E1959">
        <v>-4.8435235558254791E-3</v>
      </c>
      <c r="F1959">
        <f t="shared" si="66"/>
        <v>-1.7606244536056196E-2</v>
      </c>
      <c r="G1959">
        <f t="shared" si="67"/>
        <v>-2.9824504502107628E-2</v>
      </c>
    </row>
    <row r="1960" spans="1:7" x14ac:dyDescent="0.35">
      <c r="A1960" t="s">
        <v>109</v>
      </c>
      <c r="E1960">
        <v>-1.6818742340082981E-3</v>
      </c>
      <c r="F1960">
        <f t="shared" si="66"/>
        <v>-1.7608559992602114E-2</v>
      </c>
      <c r="G1960">
        <f t="shared" si="67"/>
        <v>-2.9824504502107628E-2</v>
      </c>
    </row>
    <row r="1961" spans="1:7" x14ac:dyDescent="0.35">
      <c r="A1961" t="s">
        <v>109</v>
      </c>
      <c r="E1961">
        <v>-1.1706898366384836E-2</v>
      </c>
      <c r="F1961">
        <f t="shared" si="66"/>
        <v>-1.7623326842279182E-2</v>
      </c>
      <c r="G1961">
        <f t="shared" si="67"/>
        <v>-2.9957286507645727E-2</v>
      </c>
    </row>
    <row r="1962" spans="1:7" x14ac:dyDescent="0.35">
      <c r="A1962" t="s">
        <v>109</v>
      </c>
      <c r="E1962">
        <v>-5.0109156457995097E-3</v>
      </c>
      <c r="F1962">
        <f t="shared" si="66"/>
        <v>-1.7638093691956246E-2</v>
      </c>
      <c r="G1962">
        <f t="shared" si="67"/>
        <v>-2.9957286507645727E-2</v>
      </c>
    </row>
    <row r="1963" spans="1:7" x14ac:dyDescent="0.35">
      <c r="A1963" t="s">
        <v>109</v>
      </c>
      <c r="E1963">
        <v>-7.2913443751804995E-3</v>
      </c>
      <c r="F1963">
        <f t="shared" si="66"/>
        <v>-1.7652860541633314E-2</v>
      </c>
      <c r="G1963">
        <f t="shared" si="67"/>
        <v>-2.9957286507645727E-2</v>
      </c>
    </row>
    <row r="1964" spans="1:7" x14ac:dyDescent="0.35">
      <c r="A1964" t="s">
        <v>109</v>
      </c>
      <c r="E1964">
        <v>-4.8887188827033655E-3</v>
      </c>
      <c r="F1964">
        <f t="shared" si="66"/>
        <v>-1.7667627391310382E-2</v>
      </c>
      <c r="G1964">
        <f t="shared" si="67"/>
        <v>-2.9957286507645727E-2</v>
      </c>
    </row>
    <row r="1965" spans="1:7" x14ac:dyDescent="0.35">
      <c r="A1965" t="s">
        <v>109</v>
      </c>
      <c r="E1965">
        <v>-2.6994891511270482E-3</v>
      </c>
      <c r="F1965">
        <f t="shared" si="66"/>
        <v>-1.7682394240987449E-2</v>
      </c>
      <c r="G1965">
        <f t="shared" si="67"/>
        <v>-2.9957286507645727E-2</v>
      </c>
    </row>
    <row r="1966" spans="1:7" x14ac:dyDescent="0.35">
      <c r="A1966" t="s">
        <v>109</v>
      </c>
      <c r="E1966">
        <v>6.6067525916002996E-3</v>
      </c>
      <c r="F1966">
        <f t="shared" si="66"/>
        <v>-1.7697161090664517E-2</v>
      </c>
      <c r="G1966">
        <f t="shared" si="67"/>
        <v>-2.9957286507645727E-2</v>
      </c>
    </row>
    <row r="1967" spans="1:7" x14ac:dyDescent="0.35">
      <c r="A1967" t="s">
        <v>109</v>
      </c>
      <c r="E1967">
        <v>-3.2321182539166641E-3</v>
      </c>
      <c r="F1967">
        <f t="shared" si="66"/>
        <v>-1.7711927940341585E-2</v>
      </c>
      <c r="G1967">
        <f t="shared" si="67"/>
        <v>-2.9957286507645727E-2</v>
      </c>
    </row>
    <row r="1968" spans="1:7" x14ac:dyDescent="0.35">
      <c r="A1968" t="s">
        <v>109</v>
      </c>
      <c r="E1968">
        <v>3.9926429401891681E-3</v>
      </c>
      <c r="F1968">
        <f t="shared" si="66"/>
        <v>-1.7726694790018649E-2</v>
      </c>
      <c r="G1968">
        <f t="shared" si="67"/>
        <v>-2.9957286507645727E-2</v>
      </c>
    </row>
    <row r="1969" spans="1:7" x14ac:dyDescent="0.35">
      <c r="A1969" t="s">
        <v>109</v>
      </c>
      <c r="E1969">
        <v>4.8007863112749759E-3</v>
      </c>
      <c r="F1969">
        <f t="shared" si="66"/>
        <v>-1.7741461639695717E-2</v>
      </c>
      <c r="G1969">
        <f t="shared" si="67"/>
        <v>-2.9957286507645727E-2</v>
      </c>
    </row>
    <row r="1970" spans="1:7" x14ac:dyDescent="0.35">
      <c r="A1970" t="s">
        <v>109</v>
      </c>
      <c r="E1970">
        <v>-2.498389661817414E-3</v>
      </c>
      <c r="F1970">
        <f t="shared" si="66"/>
        <v>-1.7756228489372788E-2</v>
      </c>
      <c r="G1970">
        <f t="shared" si="67"/>
        <v>-2.9957286507645727E-2</v>
      </c>
    </row>
    <row r="1971" spans="1:7" x14ac:dyDescent="0.35">
      <c r="A1971" t="s">
        <v>109</v>
      </c>
      <c r="E1971">
        <v>4.99055292547092E-3</v>
      </c>
      <c r="F1971">
        <f t="shared" si="66"/>
        <v>-1.7770995339049855E-2</v>
      </c>
      <c r="G1971">
        <f t="shared" si="67"/>
        <v>-2.9957286507645727E-2</v>
      </c>
    </row>
    <row r="1972" spans="1:7" x14ac:dyDescent="0.35">
      <c r="A1972" t="s">
        <v>109</v>
      </c>
      <c r="E1972">
        <v>2.0278558481154341E-3</v>
      </c>
      <c r="F1972">
        <f t="shared" si="66"/>
        <v>-1.778576218872692E-2</v>
      </c>
      <c r="G1972">
        <f t="shared" si="67"/>
        <v>-2.9957286507645727E-2</v>
      </c>
    </row>
    <row r="1973" spans="1:7" x14ac:dyDescent="0.35">
      <c r="A1973" t="s">
        <v>109</v>
      </c>
      <c r="E1973">
        <v>-5.6499585210612931E-3</v>
      </c>
      <c r="F1973">
        <f t="shared" si="66"/>
        <v>-1.7800529038403987E-2</v>
      </c>
      <c r="G1973">
        <f t="shared" si="67"/>
        <v>-2.9957286507645727E-2</v>
      </c>
    </row>
    <row r="1974" spans="1:7" x14ac:dyDescent="0.35">
      <c r="A1974" t="s">
        <v>109</v>
      </c>
      <c r="E1974">
        <v>5.6536687726719157E-3</v>
      </c>
      <c r="F1974">
        <f t="shared" si="66"/>
        <v>-1.7815295888081055E-2</v>
      </c>
      <c r="G1974">
        <f t="shared" si="67"/>
        <v>-2.9957286507645727E-2</v>
      </c>
    </row>
    <row r="1975" spans="1:7" x14ac:dyDescent="0.35">
      <c r="A1975" t="s">
        <v>109</v>
      </c>
      <c r="E1975">
        <v>1.4033424836090501E-3</v>
      </c>
      <c r="F1975">
        <f t="shared" si="66"/>
        <v>-1.7830062737758126E-2</v>
      </c>
      <c r="G1975">
        <f t="shared" si="67"/>
        <v>-2.9957286507645727E-2</v>
      </c>
    </row>
    <row r="1976" spans="1:7" x14ac:dyDescent="0.35">
      <c r="A1976" t="s">
        <v>109</v>
      </c>
      <c r="E1976">
        <v>-4.6904505703679279E-3</v>
      </c>
      <c r="F1976">
        <f t="shared" si="66"/>
        <v>-1.784482958743519E-2</v>
      </c>
      <c r="G1976">
        <f t="shared" si="67"/>
        <v>-2.9957286507645727E-2</v>
      </c>
    </row>
    <row r="1977" spans="1:7" x14ac:dyDescent="0.35">
      <c r="A1977" t="s">
        <v>110</v>
      </c>
      <c r="B1977" s="3" cm="1">
        <f t="array" ref="B1977">_xlfn.STDEV.S(_xlfn._xlws.FILTER($E$1000:$E$1998, $A$1000:$A$1998="2017-12"))</f>
        <v>6.7492800307251272E-3</v>
      </c>
      <c r="C1977" s="3" cm="1">
        <f t="array" ref="C1977">AVERAGE(_xlfn._xlws.FILTER($E$1000:$E$1998, $A$1000:$A$1998="2017-12"))</f>
        <v>-5.9334201936984401E-4</v>
      </c>
      <c r="D1977" s="3" cm="1">
        <f t="array" ref="D1977">_xlfn.PERCENTILE.EXC(_xlfn._xlws.FILTER($E$1498:$E$2489, $A$1498:$A$2489="2017-12"), 0.05)</f>
        <v>-1.0458780722333909E-2</v>
      </c>
      <c r="E1977">
        <v>-1.0458780722333909E-2</v>
      </c>
      <c r="F1977">
        <f t="shared" si="66"/>
        <v>-1.7859596437112258E-2</v>
      </c>
      <c r="G1977">
        <f t="shared" si="67"/>
        <v>-2.9957286507645727E-2</v>
      </c>
    </row>
    <row r="1978" spans="1:7" x14ac:dyDescent="0.35">
      <c r="A1978" t="s">
        <v>110</v>
      </c>
      <c r="E1978">
        <v>1.352510487681351E-2</v>
      </c>
      <c r="F1978">
        <f t="shared" si="66"/>
        <v>-1.7874363286789322E-2</v>
      </c>
      <c r="G1978">
        <f t="shared" si="67"/>
        <v>-2.9957286507645727E-2</v>
      </c>
    </row>
    <row r="1979" spans="1:7" x14ac:dyDescent="0.35">
      <c r="A1979" t="s">
        <v>110</v>
      </c>
      <c r="E1979">
        <v>-2.5564770231411831E-3</v>
      </c>
      <c r="F1979">
        <f t="shared" si="66"/>
        <v>-1.788913013646639E-2</v>
      </c>
      <c r="G1979">
        <f t="shared" si="67"/>
        <v>-2.9957286507645727E-2</v>
      </c>
    </row>
    <row r="1980" spans="1:7" x14ac:dyDescent="0.35">
      <c r="A1980" t="s">
        <v>110</v>
      </c>
      <c r="E1980">
        <v>-2.1953733525190093E-4</v>
      </c>
      <c r="F1980">
        <f t="shared" si="66"/>
        <v>-1.7903896986143461E-2</v>
      </c>
      <c r="G1980">
        <f t="shared" si="67"/>
        <v>-2.9957286507645727E-2</v>
      </c>
    </row>
    <row r="1981" spans="1:7" x14ac:dyDescent="0.35">
      <c r="A1981" t="s">
        <v>110</v>
      </c>
      <c r="E1981">
        <v>1.7679525640570755E-3</v>
      </c>
      <c r="F1981">
        <f t="shared" si="66"/>
        <v>-1.7906090527738627E-2</v>
      </c>
      <c r="G1981">
        <f t="shared" si="67"/>
        <v>-3.0089741337552343E-2</v>
      </c>
    </row>
    <row r="1982" spans="1:7" x14ac:dyDescent="0.35">
      <c r="A1982" t="s">
        <v>110</v>
      </c>
      <c r="E1982">
        <v>2.8248318182939993E-3</v>
      </c>
      <c r="F1982">
        <f t="shared" si="66"/>
        <v>-1.7908284069333792E-2</v>
      </c>
      <c r="G1982">
        <f t="shared" si="67"/>
        <v>-3.0089741337552343E-2</v>
      </c>
    </row>
    <row r="1983" spans="1:7" x14ac:dyDescent="0.35">
      <c r="A1983" t="s">
        <v>110</v>
      </c>
      <c r="E1983">
        <v>-2.2733351035473604E-3</v>
      </c>
      <c r="F1983">
        <f t="shared" si="66"/>
        <v>-1.7910477610928954E-2</v>
      </c>
      <c r="G1983">
        <f t="shared" si="67"/>
        <v>-3.0089741337552343E-2</v>
      </c>
    </row>
    <row r="1984" spans="1:7" x14ac:dyDescent="0.35">
      <c r="A1984" t="s">
        <v>110</v>
      </c>
      <c r="E1984">
        <v>7.4644188556180248E-3</v>
      </c>
      <c r="F1984">
        <f t="shared" si="66"/>
        <v>-1.791267115252412E-2</v>
      </c>
      <c r="G1984">
        <f t="shared" si="67"/>
        <v>-3.0089741337552343E-2</v>
      </c>
    </row>
    <row r="1985" spans="1:7" x14ac:dyDescent="0.35">
      <c r="A1985" t="s">
        <v>110</v>
      </c>
      <c r="E1985">
        <v>-5.1244080718150942E-3</v>
      </c>
      <c r="F1985">
        <f t="shared" si="66"/>
        <v>-1.7914864694119285E-2</v>
      </c>
      <c r="G1985">
        <f t="shared" si="67"/>
        <v>-3.0089741337552343E-2</v>
      </c>
    </row>
    <row r="1986" spans="1:7" x14ac:dyDescent="0.35">
      <c r="A1986" t="s">
        <v>110</v>
      </c>
      <c r="E1986">
        <v>-7.8668459435483427E-3</v>
      </c>
      <c r="F1986">
        <f t="shared" si="66"/>
        <v>-1.7917058235714451E-2</v>
      </c>
      <c r="G1986">
        <f t="shared" si="67"/>
        <v>-3.0089741337552343E-2</v>
      </c>
    </row>
    <row r="1987" spans="1:7" x14ac:dyDescent="0.35">
      <c r="A1987" t="s">
        <v>110</v>
      </c>
      <c r="E1987">
        <v>-1.4645393616026503E-3</v>
      </c>
      <c r="F1987">
        <f t="shared" si="66"/>
        <v>-1.7919251777309617E-2</v>
      </c>
      <c r="G1987">
        <f t="shared" si="67"/>
        <v>-3.0089741337552343E-2</v>
      </c>
    </row>
    <row r="1988" spans="1:7" x14ac:dyDescent="0.35">
      <c r="A1988" t="s">
        <v>110</v>
      </c>
      <c r="E1988">
        <v>1.3237109570415764E-2</v>
      </c>
      <c r="F1988">
        <f t="shared" ref="F1988:F2051" si="68">_xlfn.PERCENTILE.EXC(E1988:E5803,0.05)</f>
        <v>-1.7921445318904782E-2</v>
      </c>
      <c r="G1988">
        <f t="shared" ref="G1988:G2051" si="69">AVERAGEIFS(E1988:E5804,E1988:E5804,"&lt;=" &amp; F1988)</f>
        <v>-3.0089741337552343E-2</v>
      </c>
    </row>
    <row r="1989" spans="1:7" x14ac:dyDescent="0.35">
      <c r="A1989" t="s">
        <v>110</v>
      </c>
      <c r="E1989">
        <v>-6.9737006588429682E-3</v>
      </c>
      <c r="F1989">
        <f t="shared" si="68"/>
        <v>-1.7923638860499948E-2</v>
      </c>
      <c r="G1989">
        <f t="shared" si="69"/>
        <v>-3.0089741337552343E-2</v>
      </c>
    </row>
    <row r="1990" spans="1:7" x14ac:dyDescent="0.35">
      <c r="A1990" t="s">
        <v>110</v>
      </c>
      <c r="E1990">
        <v>-5.6149362101982035E-3</v>
      </c>
      <c r="F1990">
        <f t="shared" si="68"/>
        <v>-1.792583240209511E-2</v>
      </c>
      <c r="G1990">
        <f t="shared" si="69"/>
        <v>-3.0089741337552343E-2</v>
      </c>
    </row>
    <row r="1991" spans="1:7" x14ac:dyDescent="0.35">
      <c r="A1991" t="s">
        <v>110</v>
      </c>
      <c r="E1991">
        <v>6.1832404502598602E-3</v>
      </c>
      <c r="F1991">
        <f t="shared" si="68"/>
        <v>-1.7928025943690275E-2</v>
      </c>
      <c r="G1991">
        <f t="shared" si="69"/>
        <v>-3.0089741337552343E-2</v>
      </c>
    </row>
    <row r="1992" spans="1:7" x14ac:dyDescent="0.35">
      <c r="A1992" t="s">
        <v>110</v>
      </c>
      <c r="E1992">
        <v>-3.9532397780535954E-3</v>
      </c>
      <c r="F1992">
        <f t="shared" si="68"/>
        <v>-1.7930219485285441E-2</v>
      </c>
      <c r="G1992">
        <f t="shared" si="69"/>
        <v>-3.0089741337552343E-2</v>
      </c>
    </row>
    <row r="1993" spans="1:7" x14ac:dyDescent="0.35">
      <c r="A1993" t="s">
        <v>110</v>
      </c>
      <c r="E1993">
        <v>7.6768568906137474E-4</v>
      </c>
      <c r="F1993">
        <f t="shared" si="68"/>
        <v>-1.7932413026880607E-2</v>
      </c>
      <c r="G1993">
        <f t="shared" si="69"/>
        <v>-3.0089741337552343E-2</v>
      </c>
    </row>
    <row r="1994" spans="1:7" x14ac:dyDescent="0.35">
      <c r="A1994" t="s">
        <v>110</v>
      </c>
      <c r="E1994">
        <v>-5.4948374476748293E-3</v>
      </c>
      <c r="F1994">
        <f t="shared" si="68"/>
        <v>-1.7934606568475772E-2</v>
      </c>
      <c r="G1994">
        <f t="shared" si="69"/>
        <v>-3.0089741337552343E-2</v>
      </c>
    </row>
    <row r="1995" spans="1:7" x14ac:dyDescent="0.35">
      <c r="A1995" t="s">
        <v>110</v>
      </c>
      <c r="E1995">
        <v>-5.0432045365366076E-3</v>
      </c>
      <c r="F1995">
        <f t="shared" si="68"/>
        <v>-1.7936800110070938E-2</v>
      </c>
      <c r="G1995">
        <f t="shared" si="69"/>
        <v>-3.0089741337552343E-2</v>
      </c>
    </row>
    <row r="1996" spans="1:7" x14ac:dyDescent="0.35">
      <c r="A1996" t="s">
        <v>111</v>
      </c>
      <c r="B1996" s="3" cm="1">
        <f t="array" ref="B1996">_xlfn.STDEV.S(_xlfn._xlws.FILTER($E$1000:$E$1998, $A$1000:$A$1998="2018-01"))</f>
        <v>1.0045182234378652E-2</v>
      </c>
      <c r="C1996" s="3" cm="1">
        <f t="array" ref="C1996">AVERAGE(_xlfn._xlws.FILTER($E$1000:$E$1998, $A$1000:$A$1998="2018-01"))</f>
        <v>6.2857007633640482E-3</v>
      </c>
      <c r="D1996" s="3" cm="1">
        <f t="array" ref="D1996">_xlfn.PERCENTILE.EXC(_xlfn._xlws.FILTER($E$1498:$E$2489, $A$1498:$A$2489="2018-01"), 0.05)</f>
        <v>-8.4826012059609681E-3</v>
      </c>
      <c r="E1996">
        <v>-4.520267743816247E-3</v>
      </c>
      <c r="F1996">
        <f t="shared" si="68"/>
        <v>-1.7938993651666103E-2</v>
      </c>
      <c r="G1996">
        <f t="shared" si="69"/>
        <v>-3.0089741337552343E-2</v>
      </c>
    </row>
    <row r="1997" spans="1:7" x14ac:dyDescent="0.35">
      <c r="A1997" t="s">
        <v>111</v>
      </c>
      <c r="E1997">
        <v>8.0377988795558766E-3</v>
      </c>
      <c r="F1997">
        <f t="shared" si="68"/>
        <v>-1.7941187193261265E-2</v>
      </c>
      <c r="G1997">
        <f t="shared" si="69"/>
        <v>-3.0089741337552343E-2</v>
      </c>
    </row>
    <row r="1998" spans="1:7" x14ac:dyDescent="0.35">
      <c r="A1998" t="s">
        <v>111</v>
      </c>
      <c r="E1998">
        <v>1.5339571154352515E-2</v>
      </c>
      <c r="F1998">
        <f t="shared" si="68"/>
        <v>-1.7943380734856431E-2</v>
      </c>
      <c r="G1998">
        <f t="shared" si="69"/>
        <v>-3.0089741337552343E-2</v>
      </c>
    </row>
    <row r="1999" spans="1:7" x14ac:dyDescent="0.35">
      <c r="A1999" t="s">
        <v>111</v>
      </c>
      <c r="E1999">
        <v>1.0484787957836004E-2</v>
      </c>
      <c r="F1999">
        <f t="shared" si="68"/>
        <v>-1.7945574276451597E-2</v>
      </c>
      <c r="G1999">
        <f t="shared" si="69"/>
        <v>-3.0089741337552343E-2</v>
      </c>
    </row>
    <row r="2000" spans="1:7" x14ac:dyDescent="0.35">
      <c r="A2000" t="s">
        <v>111</v>
      </c>
      <c r="E2000">
        <v>3.0424811549893825E-3</v>
      </c>
      <c r="F2000">
        <f t="shared" si="68"/>
        <v>-1.7947767818046762E-2</v>
      </c>
      <c r="G2000">
        <f t="shared" si="69"/>
        <v>-3.0089741337552343E-2</v>
      </c>
    </row>
    <row r="2001" spans="1:7" x14ac:dyDescent="0.35">
      <c r="A2001" t="s">
        <v>111</v>
      </c>
      <c r="E2001">
        <v>6.6331740863109692E-3</v>
      </c>
      <c r="F2001">
        <f t="shared" si="68"/>
        <v>-1.7947877734713825E-2</v>
      </c>
      <c r="G2001">
        <f t="shared" si="69"/>
        <v>-3.0224652154435736E-2</v>
      </c>
    </row>
    <row r="2002" spans="1:7" x14ac:dyDescent="0.35">
      <c r="A2002" t="s">
        <v>111</v>
      </c>
      <c r="E2002">
        <v>-3.4927342822038323E-3</v>
      </c>
      <c r="F2002">
        <f t="shared" si="68"/>
        <v>-1.7947987651380889E-2</v>
      </c>
      <c r="G2002">
        <f t="shared" si="69"/>
        <v>-3.0224652154435736E-2</v>
      </c>
    </row>
    <row r="2003" spans="1:7" x14ac:dyDescent="0.35">
      <c r="A2003" t="s">
        <v>111</v>
      </c>
      <c r="E2003">
        <v>-2.9345354505068196E-3</v>
      </c>
      <c r="F2003">
        <f t="shared" si="68"/>
        <v>-1.7948097568047952E-2</v>
      </c>
      <c r="G2003">
        <f t="shared" si="69"/>
        <v>-3.0224652154435736E-2</v>
      </c>
    </row>
    <row r="2004" spans="1:7" x14ac:dyDescent="0.35">
      <c r="A2004" t="s">
        <v>111</v>
      </c>
      <c r="E2004">
        <v>5.1810056460363952E-3</v>
      </c>
      <c r="F2004">
        <f t="shared" si="68"/>
        <v>-1.7948207484715015E-2</v>
      </c>
      <c r="G2004">
        <f t="shared" si="69"/>
        <v>-3.0224652154435736E-2</v>
      </c>
    </row>
    <row r="2005" spans="1:7" x14ac:dyDescent="0.35">
      <c r="A2005" t="s">
        <v>111</v>
      </c>
      <c r="E2005">
        <v>-1.3367494678767299E-3</v>
      </c>
      <c r="F2005">
        <f t="shared" si="68"/>
        <v>-1.7948317401382079E-2</v>
      </c>
      <c r="G2005">
        <f t="shared" si="69"/>
        <v>-3.0224652154435736E-2</v>
      </c>
    </row>
    <row r="2006" spans="1:7" x14ac:dyDescent="0.35">
      <c r="A2006" t="s">
        <v>111</v>
      </c>
      <c r="E2006">
        <v>7.4930765123576871E-4</v>
      </c>
      <c r="F2006">
        <f t="shared" si="68"/>
        <v>-1.7948427318049142E-2</v>
      </c>
      <c r="G2006">
        <f t="shared" si="69"/>
        <v>-3.0224652154435736E-2</v>
      </c>
    </row>
    <row r="2007" spans="1:7" x14ac:dyDescent="0.35">
      <c r="A2007" t="s">
        <v>111</v>
      </c>
      <c r="E2007">
        <v>-3.6029003863471552E-3</v>
      </c>
      <c r="F2007">
        <f t="shared" si="68"/>
        <v>-1.7948537234716205E-2</v>
      </c>
      <c r="G2007">
        <f t="shared" si="69"/>
        <v>-3.0224652154435736E-2</v>
      </c>
    </row>
    <row r="2008" spans="1:7" x14ac:dyDescent="0.35">
      <c r="A2008" t="s">
        <v>111</v>
      </c>
      <c r="E2008">
        <v>1.5288265739841418E-4</v>
      </c>
      <c r="F2008">
        <f t="shared" si="68"/>
        <v>-1.7948647151383269E-2</v>
      </c>
      <c r="G2008">
        <f t="shared" si="69"/>
        <v>-3.0224652154435736E-2</v>
      </c>
    </row>
    <row r="2009" spans="1:7" x14ac:dyDescent="0.35">
      <c r="A2009" t="s">
        <v>111</v>
      </c>
      <c r="E2009">
        <v>5.7488630693614297E-3</v>
      </c>
      <c r="F2009">
        <f t="shared" si="68"/>
        <v>-1.7948757068050332E-2</v>
      </c>
      <c r="G2009">
        <f t="shared" si="69"/>
        <v>-3.0224652154435736E-2</v>
      </c>
    </row>
    <row r="2010" spans="1:7" x14ac:dyDescent="0.35">
      <c r="A2010" t="s">
        <v>111</v>
      </c>
      <c r="E2010">
        <v>2.7971288056860091E-3</v>
      </c>
      <c r="F2010">
        <f t="shared" si="68"/>
        <v>-1.7948866984717399E-2</v>
      </c>
      <c r="G2010">
        <f t="shared" si="69"/>
        <v>-3.0224652154435736E-2</v>
      </c>
    </row>
    <row r="2011" spans="1:7" x14ac:dyDescent="0.35">
      <c r="A2011" t="s">
        <v>111</v>
      </c>
      <c r="E2011">
        <v>-1.215103175978887E-3</v>
      </c>
      <c r="F2011">
        <f t="shared" si="68"/>
        <v>-1.7948976901384462E-2</v>
      </c>
      <c r="G2011">
        <f t="shared" si="69"/>
        <v>-3.0224652154435736E-2</v>
      </c>
    </row>
    <row r="2012" spans="1:7" x14ac:dyDescent="0.35">
      <c r="A2012" t="s">
        <v>111</v>
      </c>
      <c r="E2012">
        <v>-7.2708340493191966E-3</v>
      </c>
      <c r="F2012">
        <f t="shared" si="68"/>
        <v>-1.7949086818051525E-2</v>
      </c>
      <c r="G2012">
        <f t="shared" si="69"/>
        <v>-3.0224652154435736E-2</v>
      </c>
    </row>
    <row r="2013" spans="1:7" x14ac:dyDescent="0.35">
      <c r="A2013" t="s">
        <v>111</v>
      </c>
      <c r="E2013">
        <v>-2.5418253048626019E-3</v>
      </c>
      <c r="F2013">
        <f t="shared" si="68"/>
        <v>-1.7949196734718589E-2</v>
      </c>
      <c r="G2013">
        <f t="shared" si="69"/>
        <v>-3.0224652154435736E-2</v>
      </c>
    </row>
    <row r="2014" spans="1:7" x14ac:dyDescent="0.35">
      <c r="A2014" t="s">
        <v>111</v>
      </c>
      <c r="E2014">
        <v>8.7082171614073292E-3</v>
      </c>
      <c r="F2014">
        <f t="shared" si="68"/>
        <v>-1.7949306651385652E-2</v>
      </c>
      <c r="G2014">
        <f t="shared" si="69"/>
        <v>-3.0224652154435736E-2</v>
      </c>
    </row>
    <row r="2015" spans="1:7" x14ac:dyDescent="0.35">
      <c r="A2015" t="s">
        <v>111</v>
      </c>
      <c r="E2015">
        <v>-1.3682343769558984E-3</v>
      </c>
      <c r="F2015">
        <f t="shared" si="68"/>
        <v>-1.7949416568052715E-2</v>
      </c>
      <c r="G2015">
        <f t="shared" si="69"/>
        <v>-3.0224652154435736E-2</v>
      </c>
    </row>
    <row r="2016" spans="1:7" x14ac:dyDescent="0.35">
      <c r="A2016" t="s">
        <v>111</v>
      </c>
      <c r="E2016">
        <v>-8.6964424688977509E-3</v>
      </c>
      <c r="F2016">
        <f t="shared" si="68"/>
        <v>-1.7949526484719779E-2</v>
      </c>
      <c r="G2016">
        <f t="shared" si="69"/>
        <v>-3.0224652154435736E-2</v>
      </c>
    </row>
    <row r="2017" spans="1:7" x14ac:dyDescent="0.35">
      <c r="A2017" t="s">
        <v>111</v>
      </c>
      <c r="E2017">
        <v>1.4878089148740272E-3</v>
      </c>
      <c r="F2017">
        <f t="shared" si="68"/>
        <v>-1.7949636401386842E-2</v>
      </c>
      <c r="G2017">
        <f t="shared" si="69"/>
        <v>-3.0224652154435736E-2</v>
      </c>
    </row>
    <row r="2018" spans="1:7" x14ac:dyDescent="0.35">
      <c r="A2018" t="s">
        <v>112</v>
      </c>
      <c r="B2018" s="3" cm="1">
        <f t="array" ref="B2018">_xlfn.STDEV.S(_xlfn._xlws.FILTER($E$2013:$E$3011, $A$2013:$A$3011="2018-02"))</f>
        <v>1.1766453966640963E-2</v>
      </c>
      <c r="C2018" s="3" cm="1">
        <f t="array" ref="C2018">AVERAGE(_xlfn._xlws.FILTER($E$2013:$E$3011, $A$2013:$A$3011="2018-02"))</f>
        <v>-1.4945912180700884E-3</v>
      </c>
      <c r="D2018" s="3" cm="1">
        <f t="array" ref="D2018">_xlfn.PERCENTILE.EXC(_xlfn._xlws.FILTER($E$1498:$E$2489, $A$1498:$A$2489="2018-02"), 0.05)</f>
        <v>-2.3556662960803824E-2</v>
      </c>
      <c r="E2018">
        <v>-5.0071059799666811E-3</v>
      </c>
      <c r="F2018">
        <f t="shared" si="68"/>
        <v>-1.7949746318053905E-2</v>
      </c>
      <c r="G2018">
        <f t="shared" si="69"/>
        <v>-3.0224652154435736E-2</v>
      </c>
    </row>
    <row r="2019" spans="1:7" x14ac:dyDescent="0.35">
      <c r="A2019" t="s">
        <v>112</v>
      </c>
      <c r="E2019">
        <v>-1.6557474546799966E-2</v>
      </c>
      <c r="F2019">
        <f t="shared" si="68"/>
        <v>-1.7949856234720969E-2</v>
      </c>
      <c r="G2019">
        <f t="shared" si="69"/>
        <v>-3.0224652154435736E-2</v>
      </c>
    </row>
    <row r="2020" spans="1:7" x14ac:dyDescent="0.35">
      <c r="A2020" t="s">
        <v>112</v>
      </c>
      <c r="E2020">
        <v>-1.4862992968737377E-2</v>
      </c>
      <c r="F2020">
        <f t="shared" si="68"/>
        <v>-1.7949966151388032E-2</v>
      </c>
      <c r="G2020">
        <f t="shared" si="69"/>
        <v>-3.0224652154435736E-2</v>
      </c>
    </row>
    <row r="2021" spans="1:7" x14ac:dyDescent="0.35">
      <c r="A2021" t="s">
        <v>112</v>
      </c>
      <c r="E2021">
        <v>-2.3742362061144429E-2</v>
      </c>
      <c r="F2021">
        <f t="shared" si="68"/>
        <v>-1.7961116831228814E-2</v>
      </c>
      <c r="G2021">
        <f t="shared" si="69"/>
        <v>-3.0362569974694699E-2</v>
      </c>
    </row>
    <row r="2022" spans="1:7" x14ac:dyDescent="0.35">
      <c r="A2022" t="s">
        <v>112</v>
      </c>
      <c r="E2022">
        <v>1.8063961946090102E-2</v>
      </c>
      <c r="F2022">
        <f t="shared" si="68"/>
        <v>-1.7947987651380889E-2</v>
      </c>
      <c r="G2022">
        <f t="shared" si="69"/>
        <v>-3.029748687458508E-2</v>
      </c>
    </row>
    <row r="2023" spans="1:7" x14ac:dyDescent="0.35">
      <c r="A2023" t="s">
        <v>112</v>
      </c>
      <c r="E2023">
        <v>-2.0028380054332301E-2</v>
      </c>
      <c r="F2023">
        <f t="shared" si="68"/>
        <v>-1.7948097568047952E-2</v>
      </c>
      <c r="G2023">
        <f t="shared" si="69"/>
        <v>-3.029748687458508E-2</v>
      </c>
    </row>
    <row r="2024" spans="1:7" x14ac:dyDescent="0.35">
      <c r="A2024" t="s">
        <v>112</v>
      </c>
      <c r="E2024">
        <v>-1.4167137385641081E-2</v>
      </c>
      <c r="F2024">
        <f t="shared" si="68"/>
        <v>-1.791267115252412E-2</v>
      </c>
      <c r="G2024">
        <f t="shared" si="69"/>
        <v>-3.0274109209008845E-2</v>
      </c>
    </row>
    <row r="2025" spans="1:7" x14ac:dyDescent="0.35">
      <c r="A2025" t="s">
        <v>112</v>
      </c>
      <c r="E2025">
        <v>1.1909014864542577E-2</v>
      </c>
      <c r="F2025">
        <f t="shared" si="68"/>
        <v>-1.7914864694119285E-2</v>
      </c>
      <c r="G2025">
        <f t="shared" si="69"/>
        <v>-3.0274109209008845E-2</v>
      </c>
    </row>
    <row r="2026" spans="1:7" x14ac:dyDescent="0.35">
      <c r="A2026" t="s">
        <v>112</v>
      </c>
      <c r="E2026">
        <v>-6.0140873805289083E-3</v>
      </c>
      <c r="F2026">
        <f t="shared" si="68"/>
        <v>-1.7917058235714451E-2</v>
      </c>
      <c r="G2026">
        <f t="shared" si="69"/>
        <v>-3.0274109209008845E-2</v>
      </c>
    </row>
    <row r="2027" spans="1:7" x14ac:dyDescent="0.35">
      <c r="A2027" t="s">
        <v>112</v>
      </c>
      <c r="E2027">
        <v>1.090477495345472E-2</v>
      </c>
      <c r="F2027">
        <f t="shared" si="68"/>
        <v>-1.7919251777309617E-2</v>
      </c>
      <c r="G2027">
        <f t="shared" si="69"/>
        <v>-3.0274109209008845E-2</v>
      </c>
    </row>
    <row r="2028" spans="1:7" x14ac:dyDescent="0.35">
      <c r="A2028" t="s">
        <v>112</v>
      </c>
      <c r="E2028">
        <v>1.1024603901163952E-2</v>
      </c>
      <c r="F2028">
        <f t="shared" si="68"/>
        <v>-1.7921445318904782E-2</v>
      </c>
      <c r="G2028">
        <f t="shared" si="69"/>
        <v>-3.0274109209008845E-2</v>
      </c>
    </row>
    <row r="2029" spans="1:7" x14ac:dyDescent="0.35">
      <c r="A2029" t="s">
        <v>112</v>
      </c>
      <c r="E2029">
        <v>1.124525135354444E-2</v>
      </c>
      <c r="F2029">
        <f t="shared" si="68"/>
        <v>-1.7923638860499948E-2</v>
      </c>
      <c r="G2029">
        <f t="shared" si="69"/>
        <v>-3.0274109209008845E-2</v>
      </c>
    </row>
    <row r="2030" spans="1:7" x14ac:dyDescent="0.35">
      <c r="A2030" t="s">
        <v>112</v>
      </c>
      <c r="E2030">
        <v>-4.8207682070769498E-3</v>
      </c>
      <c r="F2030">
        <f t="shared" si="68"/>
        <v>-1.792583240209511E-2</v>
      </c>
      <c r="G2030">
        <f t="shared" si="69"/>
        <v>-3.0274109209008845E-2</v>
      </c>
    </row>
    <row r="2031" spans="1:7" x14ac:dyDescent="0.35">
      <c r="A2031" t="s">
        <v>112</v>
      </c>
      <c r="E2031">
        <v>6.3872533203961183E-3</v>
      </c>
      <c r="F2031">
        <f t="shared" si="68"/>
        <v>-1.7928025943690275E-2</v>
      </c>
      <c r="G2031">
        <f t="shared" si="69"/>
        <v>-3.0274109209008845E-2</v>
      </c>
    </row>
    <row r="2032" spans="1:7" x14ac:dyDescent="0.35">
      <c r="A2032" t="s">
        <v>112</v>
      </c>
      <c r="E2032">
        <v>2.3243902334797364E-3</v>
      </c>
      <c r="F2032">
        <f t="shared" si="68"/>
        <v>-1.7930219485285441E-2</v>
      </c>
      <c r="G2032">
        <f t="shared" si="69"/>
        <v>-3.0274109209008845E-2</v>
      </c>
    </row>
    <row r="2033" spans="1:7" x14ac:dyDescent="0.35">
      <c r="A2033" t="s">
        <v>112</v>
      </c>
      <c r="E2033">
        <v>1.3306445976423345E-3</v>
      </c>
      <c r="F2033">
        <f t="shared" si="68"/>
        <v>-1.7932413026880607E-2</v>
      </c>
      <c r="G2033">
        <f t="shared" si="69"/>
        <v>-3.0274109209008845E-2</v>
      </c>
    </row>
    <row r="2034" spans="1:7" x14ac:dyDescent="0.35">
      <c r="A2034" t="s">
        <v>112</v>
      </c>
      <c r="E2034">
        <v>1.532004891889155E-3</v>
      </c>
      <c r="F2034">
        <f t="shared" si="68"/>
        <v>-1.7934606568475772E-2</v>
      </c>
      <c r="G2034">
        <f t="shared" si="69"/>
        <v>-3.0274109209008845E-2</v>
      </c>
    </row>
    <row r="2035" spans="1:7" x14ac:dyDescent="0.35">
      <c r="A2035" t="s">
        <v>112</v>
      </c>
      <c r="E2035">
        <v>5.0442675307926788E-3</v>
      </c>
      <c r="F2035">
        <f t="shared" si="68"/>
        <v>-1.7936800110070938E-2</v>
      </c>
      <c r="G2035">
        <f t="shared" si="69"/>
        <v>-3.0274109209008845E-2</v>
      </c>
    </row>
    <row r="2036" spans="1:7" x14ac:dyDescent="0.35">
      <c r="A2036" t="s">
        <v>112</v>
      </c>
      <c r="E2036">
        <v>-6.1750399292067614E-5</v>
      </c>
      <c r="F2036">
        <f t="shared" si="68"/>
        <v>-1.7938993651666103E-2</v>
      </c>
      <c r="G2036">
        <f t="shared" si="69"/>
        <v>-3.0274109209008845E-2</v>
      </c>
    </row>
    <row r="2037" spans="1:7" x14ac:dyDescent="0.35">
      <c r="A2037" t="s">
        <v>112</v>
      </c>
      <c r="E2037">
        <v>-4.3959329708778113E-3</v>
      </c>
      <c r="F2037">
        <f t="shared" si="68"/>
        <v>-1.7941187193261265E-2</v>
      </c>
      <c r="G2037">
        <f t="shared" si="69"/>
        <v>-3.0274109209008845E-2</v>
      </c>
    </row>
    <row r="2038" spans="1:7" x14ac:dyDescent="0.35">
      <c r="A2038" t="s">
        <v>113</v>
      </c>
      <c r="B2038" s="3" cm="1">
        <f t="array" ref="B2038">_xlfn.STDEV.S(_xlfn._xlws.FILTER($E$2013:$E$3011, $A$2013:$A$3011="2018-03"))</f>
        <v>9.3011185619108934E-3</v>
      </c>
      <c r="C2038" s="3" cm="1">
        <f t="array" ref="C2038">AVERAGE(_xlfn._xlws.FILTER($E$2013:$E$3011, $A$2013:$A$3011="2018-03"))</f>
        <v>-1.3911950469248674E-3</v>
      </c>
      <c r="D2038" s="3" cm="1">
        <f t="array" ref="D2038">_xlfn.PERCENTILE.EXC(_xlfn._xlws.FILTER($E$1498:$E$2489, $A$1498:$A$2489="2018-03"), 0.05)</f>
        <v>-2.3210105376039264E-2</v>
      </c>
      <c r="E2038">
        <v>-1.0947804006599227E-2</v>
      </c>
      <c r="F2038">
        <f t="shared" si="68"/>
        <v>-1.7943380734856431E-2</v>
      </c>
      <c r="G2038">
        <f t="shared" si="69"/>
        <v>-3.0274109209008845E-2</v>
      </c>
    </row>
    <row r="2039" spans="1:7" x14ac:dyDescent="0.35">
      <c r="A2039" t="s">
        <v>113</v>
      </c>
      <c r="E2039">
        <v>-2.423011200803861E-2</v>
      </c>
      <c r="F2039">
        <f t="shared" si="68"/>
        <v>-1.7945574276451597E-2</v>
      </c>
      <c r="G2039">
        <f t="shared" si="69"/>
        <v>-3.0274109209008845E-2</v>
      </c>
    </row>
    <row r="2040" spans="1:7" x14ac:dyDescent="0.35">
      <c r="A2040" t="s">
        <v>113</v>
      </c>
      <c r="E2040">
        <v>5.9492732109272875E-3</v>
      </c>
      <c r="F2040">
        <f t="shared" si="68"/>
        <v>-1.7903896986143461E-2</v>
      </c>
      <c r="G2040">
        <f t="shared" si="69"/>
        <v>-3.0203028141347094E-2</v>
      </c>
    </row>
    <row r="2041" spans="1:7" x14ac:dyDescent="0.35">
      <c r="A2041" t="s">
        <v>113</v>
      </c>
      <c r="E2041">
        <v>5.8041338669663424E-4</v>
      </c>
      <c r="F2041">
        <f t="shared" si="68"/>
        <v>-1.7906090527738627E-2</v>
      </c>
      <c r="G2041">
        <f t="shared" si="69"/>
        <v>-3.0342790995383506E-2</v>
      </c>
    </row>
    <row r="2042" spans="1:7" x14ac:dyDescent="0.35">
      <c r="A2042" t="s">
        <v>113</v>
      </c>
      <c r="E2042">
        <v>3.3983230330666783E-3</v>
      </c>
      <c r="F2042">
        <f t="shared" si="68"/>
        <v>-1.7908284069333792E-2</v>
      </c>
      <c r="G2042">
        <f t="shared" si="69"/>
        <v>-3.0342790995383506E-2</v>
      </c>
    </row>
    <row r="2043" spans="1:7" x14ac:dyDescent="0.35">
      <c r="A2043" t="s">
        <v>113</v>
      </c>
      <c r="E2043">
        <v>1.2693226208511266E-2</v>
      </c>
      <c r="F2043">
        <f t="shared" si="68"/>
        <v>-1.7910477610928954E-2</v>
      </c>
      <c r="G2043">
        <f t="shared" si="69"/>
        <v>-3.0342790995383506E-2</v>
      </c>
    </row>
    <row r="2044" spans="1:7" x14ac:dyDescent="0.35">
      <c r="A2044" t="s">
        <v>113</v>
      </c>
      <c r="E2044">
        <v>3.8562046171073767E-3</v>
      </c>
      <c r="F2044">
        <f t="shared" si="68"/>
        <v>-1.791267115252412E-2</v>
      </c>
      <c r="G2044">
        <f t="shared" si="69"/>
        <v>-3.0342790995383506E-2</v>
      </c>
    </row>
    <row r="2045" spans="1:7" x14ac:dyDescent="0.35">
      <c r="A2045" t="s">
        <v>113</v>
      </c>
      <c r="E2045">
        <v>4.3786862934958645E-4</v>
      </c>
      <c r="F2045">
        <f t="shared" si="68"/>
        <v>-1.7914864694119285E-2</v>
      </c>
      <c r="G2045">
        <f t="shared" si="69"/>
        <v>-3.0342790995383506E-2</v>
      </c>
    </row>
    <row r="2046" spans="1:7" x14ac:dyDescent="0.35">
      <c r="A2046" t="s">
        <v>113</v>
      </c>
      <c r="E2046">
        <v>-6.4489980626050627E-3</v>
      </c>
      <c r="F2046">
        <f t="shared" si="68"/>
        <v>-1.7917058235714451E-2</v>
      </c>
      <c r="G2046">
        <f t="shared" si="69"/>
        <v>-3.0342790995383506E-2</v>
      </c>
    </row>
    <row r="2047" spans="1:7" x14ac:dyDescent="0.35">
      <c r="A2047" t="s">
        <v>113</v>
      </c>
      <c r="E2047">
        <v>-1.8002801691256987E-3</v>
      </c>
      <c r="F2047">
        <f t="shared" si="68"/>
        <v>-1.7919251777309617E-2</v>
      </c>
      <c r="G2047">
        <f t="shared" si="69"/>
        <v>-3.0342790995383506E-2</v>
      </c>
    </row>
    <row r="2048" spans="1:7" x14ac:dyDescent="0.35">
      <c r="A2048" t="s">
        <v>113</v>
      </c>
      <c r="E2048">
        <v>6.4567840326263193E-3</v>
      </c>
      <c r="F2048">
        <f t="shared" si="68"/>
        <v>-1.7921445318904782E-2</v>
      </c>
      <c r="G2048">
        <f t="shared" si="69"/>
        <v>-3.0342790995383506E-2</v>
      </c>
    </row>
    <row r="2049" spans="1:7" x14ac:dyDescent="0.35">
      <c r="A2049" t="s">
        <v>113</v>
      </c>
      <c r="E2049">
        <v>2.9364922177016338E-3</v>
      </c>
      <c r="F2049">
        <f t="shared" si="68"/>
        <v>-1.7923638860499948E-2</v>
      </c>
      <c r="G2049">
        <f t="shared" si="69"/>
        <v>-3.0342790995383506E-2</v>
      </c>
    </row>
    <row r="2050" spans="1:7" x14ac:dyDescent="0.35">
      <c r="A2050" t="s">
        <v>113</v>
      </c>
      <c r="E2050">
        <v>-1.1405480215361346E-2</v>
      </c>
      <c r="F2050">
        <f t="shared" si="68"/>
        <v>-1.792583240209511E-2</v>
      </c>
      <c r="G2050">
        <f t="shared" si="69"/>
        <v>-3.0342790995383506E-2</v>
      </c>
    </row>
    <row r="2051" spans="1:7" x14ac:dyDescent="0.35">
      <c r="A2051" t="s">
        <v>113</v>
      </c>
      <c r="E2051">
        <v>5.649511411526309E-3</v>
      </c>
      <c r="F2051">
        <f t="shared" si="68"/>
        <v>-1.7928025943690275E-2</v>
      </c>
      <c r="G2051">
        <f t="shared" si="69"/>
        <v>-3.0342790995383506E-2</v>
      </c>
    </row>
    <row r="2052" spans="1:7" x14ac:dyDescent="0.35">
      <c r="A2052" t="s">
        <v>113</v>
      </c>
      <c r="E2052">
        <v>-2.4189478797539761E-3</v>
      </c>
      <c r="F2052">
        <f t="shared" ref="F2052:F2115" si="70">_xlfn.PERCENTILE.EXC(E2052:E5867,0.05)</f>
        <v>-1.7930219485285441E-2</v>
      </c>
      <c r="G2052">
        <f t="shared" ref="G2052:G2115" si="71">AVERAGEIFS(E2052:E5868,E2052:E5868,"&lt;=" &amp; F2052)</f>
        <v>-3.0342790995383506E-2</v>
      </c>
    </row>
    <row r="2053" spans="1:7" x14ac:dyDescent="0.35">
      <c r="A2053" t="s">
        <v>113</v>
      </c>
      <c r="E2053">
        <v>-1.3938987762957518E-2</v>
      </c>
      <c r="F2053">
        <f t="shared" si="70"/>
        <v>-1.7932413026880607E-2</v>
      </c>
      <c r="G2053">
        <f t="shared" si="71"/>
        <v>-3.0342790995383506E-2</v>
      </c>
    </row>
    <row r="2054" spans="1:7" x14ac:dyDescent="0.35">
      <c r="A2054" t="s">
        <v>113</v>
      </c>
      <c r="E2054">
        <v>-1.4030045688045164E-2</v>
      </c>
      <c r="F2054">
        <f t="shared" si="70"/>
        <v>-1.7934606568475772E-2</v>
      </c>
      <c r="G2054">
        <f t="shared" si="71"/>
        <v>-3.0342790995383506E-2</v>
      </c>
    </row>
    <row r="2055" spans="1:7" x14ac:dyDescent="0.35">
      <c r="A2055" t="s">
        <v>113</v>
      </c>
      <c r="E2055">
        <v>-5.6960248478585985E-3</v>
      </c>
      <c r="F2055">
        <f t="shared" si="70"/>
        <v>-1.7936800110070938E-2</v>
      </c>
      <c r="G2055">
        <f t="shared" si="71"/>
        <v>-3.0342790995383506E-2</v>
      </c>
    </row>
    <row r="2056" spans="1:7" x14ac:dyDescent="0.35">
      <c r="A2056" t="s">
        <v>113</v>
      </c>
      <c r="E2056">
        <v>9.7152409888482706E-3</v>
      </c>
      <c r="F2056">
        <f t="shared" si="70"/>
        <v>-1.7938993651666103E-2</v>
      </c>
      <c r="G2056">
        <f t="shared" si="71"/>
        <v>-3.0342790995383506E-2</v>
      </c>
    </row>
    <row r="2057" spans="1:7" x14ac:dyDescent="0.35">
      <c r="A2057" t="s">
        <v>113</v>
      </c>
      <c r="E2057">
        <v>2.8693640138527797E-3</v>
      </c>
      <c r="F2057">
        <f t="shared" si="70"/>
        <v>-1.7941187193261265E-2</v>
      </c>
      <c r="G2057">
        <f t="shared" si="71"/>
        <v>-3.0342790995383506E-2</v>
      </c>
    </row>
    <row r="2058" spans="1:7" x14ac:dyDescent="0.35">
      <c r="A2058" t="s">
        <v>113</v>
      </c>
      <c r="E2058">
        <v>7.1588829047088375E-3</v>
      </c>
      <c r="F2058">
        <f t="shared" si="70"/>
        <v>-1.7943380734856431E-2</v>
      </c>
      <c r="G2058">
        <f t="shared" si="71"/>
        <v>-3.0342790995383506E-2</v>
      </c>
    </row>
    <row r="2059" spans="1:7" x14ac:dyDescent="0.35">
      <c r="A2059" t="s">
        <v>114</v>
      </c>
      <c r="B2059" s="3" cm="1">
        <f t="array" ref="B2059">_xlfn.STDEV.S(_xlfn._xlws.FILTER($E$2013:$E$3011, $A$2013:$A$3011="2018-04"))</f>
        <v>6.8964515920877613E-3</v>
      </c>
      <c r="C2059" s="3" cm="1">
        <f t="array" ref="C2059">AVERAGE(_xlfn._xlws.FILTER($E$2013:$E$3011, $A$2013:$A$3011="2018-04"))</f>
        <v>3.3059063753597727E-3</v>
      </c>
      <c r="D2059" s="3" cm="1">
        <f t="array" ref="D2059">_xlfn.PERCENTILE.EXC(_xlfn._xlws.FILTER($E$1498:$E$2489, $A$1498:$A$2489="2018-04"), 0.05)</f>
        <v>-5.680174256341858E-3</v>
      </c>
      <c r="E2059">
        <v>-2.9420279335935847E-3</v>
      </c>
      <c r="F2059">
        <f t="shared" si="70"/>
        <v>-1.7945574276451597E-2</v>
      </c>
      <c r="G2059">
        <f t="shared" si="71"/>
        <v>-3.0342790995383506E-2</v>
      </c>
    </row>
    <row r="2060" spans="1:7" x14ac:dyDescent="0.35">
      <c r="A2060" t="s">
        <v>114</v>
      </c>
      <c r="E2060">
        <v>-2.0050677404632494E-3</v>
      </c>
      <c r="F2060">
        <f t="shared" si="70"/>
        <v>-1.7947767818046762E-2</v>
      </c>
      <c r="G2060">
        <f t="shared" si="71"/>
        <v>-3.0342790995383506E-2</v>
      </c>
    </row>
    <row r="2061" spans="1:7" x14ac:dyDescent="0.35">
      <c r="A2061" t="s">
        <v>114</v>
      </c>
      <c r="E2061">
        <v>2.5892004220748492E-2</v>
      </c>
      <c r="F2061">
        <f t="shared" si="70"/>
        <v>-1.7947877734713825E-2</v>
      </c>
      <c r="G2061">
        <f t="shared" si="71"/>
        <v>-3.0485262526157492E-2</v>
      </c>
    </row>
    <row r="2062" spans="1:7" x14ac:dyDescent="0.35">
      <c r="A2062" t="s">
        <v>114</v>
      </c>
      <c r="E2062">
        <v>-3.4988469387133895E-3</v>
      </c>
      <c r="F2062">
        <f t="shared" si="70"/>
        <v>-1.7947987651380889E-2</v>
      </c>
      <c r="G2062">
        <f t="shared" si="71"/>
        <v>-3.0485262526157492E-2</v>
      </c>
    </row>
    <row r="2063" spans="1:7" x14ac:dyDescent="0.35">
      <c r="A2063" t="s">
        <v>114</v>
      </c>
      <c r="E2063">
        <v>9.7893585143691273E-4</v>
      </c>
      <c r="F2063">
        <f t="shared" si="70"/>
        <v>-1.7948097568047952E-2</v>
      </c>
      <c r="G2063">
        <f t="shared" si="71"/>
        <v>-3.0485262526157492E-2</v>
      </c>
    </row>
    <row r="2064" spans="1:7" x14ac:dyDescent="0.35">
      <c r="A2064" t="s">
        <v>114</v>
      </c>
      <c r="E2064">
        <v>8.3569134395201344E-3</v>
      </c>
      <c r="F2064">
        <f t="shared" si="70"/>
        <v>-1.7948207484715015E-2</v>
      </c>
      <c r="G2064">
        <f t="shared" si="71"/>
        <v>-3.0485262526157492E-2</v>
      </c>
    </row>
    <row r="2065" spans="1:7" x14ac:dyDescent="0.35">
      <c r="A2065" t="s">
        <v>114</v>
      </c>
      <c r="E2065">
        <v>-5.5963492146804119E-3</v>
      </c>
      <c r="F2065">
        <f t="shared" si="70"/>
        <v>-1.7948317401382079E-2</v>
      </c>
      <c r="G2065">
        <f t="shared" si="71"/>
        <v>-3.0485262526157492E-2</v>
      </c>
    </row>
    <row r="2066" spans="1:7" x14ac:dyDescent="0.35">
      <c r="A2066" t="s">
        <v>114</v>
      </c>
      <c r="E2066">
        <v>5.9090617345833518E-3</v>
      </c>
      <c r="F2066">
        <f t="shared" si="70"/>
        <v>-1.7948427318049142E-2</v>
      </c>
      <c r="G2066">
        <f t="shared" si="71"/>
        <v>-3.0485262526157492E-2</v>
      </c>
    </row>
    <row r="2067" spans="1:7" x14ac:dyDescent="0.35">
      <c r="A2067" t="s">
        <v>114</v>
      </c>
      <c r="E2067">
        <v>1.091842913223412E-3</v>
      </c>
      <c r="F2067">
        <f t="shared" si="70"/>
        <v>-1.7948537234716205E-2</v>
      </c>
      <c r="G2067">
        <f t="shared" si="71"/>
        <v>-3.0485262526157492E-2</v>
      </c>
    </row>
    <row r="2068" spans="1:7" x14ac:dyDescent="0.35">
      <c r="A2068" t="s">
        <v>114</v>
      </c>
      <c r="E2068">
        <v>-3.8765598463636028E-4</v>
      </c>
      <c r="F2068">
        <f t="shared" si="70"/>
        <v>-1.7948647151383269E-2</v>
      </c>
      <c r="G2068">
        <f t="shared" si="71"/>
        <v>-3.0485262526157492E-2</v>
      </c>
    </row>
    <row r="2069" spans="1:7" x14ac:dyDescent="0.35">
      <c r="A2069" t="s">
        <v>114</v>
      </c>
      <c r="E2069">
        <v>7.6089055984446584E-3</v>
      </c>
      <c r="F2069">
        <f t="shared" si="70"/>
        <v>-1.7948757068050332E-2</v>
      </c>
      <c r="G2069">
        <f t="shared" si="71"/>
        <v>-3.0485262526157492E-2</v>
      </c>
    </row>
    <row r="2070" spans="1:7" x14ac:dyDescent="0.35">
      <c r="A2070" t="s">
        <v>114</v>
      </c>
      <c r="E2070">
        <v>4.9619478517524407E-3</v>
      </c>
      <c r="F2070">
        <f t="shared" si="70"/>
        <v>-1.7948866984717399E-2</v>
      </c>
      <c r="G2070">
        <f t="shared" si="71"/>
        <v>-3.0485262526157492E-2</v>
      </c>
    </row>
    <row r="2071" spans="1:7" x14ac:dyDescent="0.35">
      <c r="A2071" t="s">
        <v>114</v>
      </c>
      <c r="E2071">
        <v>2.1296336149688334E-3</v>
      </c>
      <c r="F2071">
        <f t="shared" si="70"/>
        <v>-1.7948976901384462E-2</v>
      </c>
      <c r="G2071">
        <f t="shared" si="71"/>
        <v>-3.0485262526157492E-2</v>
      </c>
    </row>
    <row r="2072" spans="1:7" x14ac:dyDescent="0.35">
      <c r="A2072" t="s">
        <v>114</v>
      </c>
      <c r="E2072">
        <v>3.9224556444695993E-3</v>
      </c>
      <c r="F2072">
        <f t="shared" si="70"/>
        <v>-1.7949086818051525E-2</v>
      </c>
      <c r="G2072">
        <f t="shared" si="71"/>
        <v>-3.0485262526157492E-2</v>
      </c>
    </row>
    <row r="2073" spans="1:7" x14ac:dyDescent="0.35">
      <c r="A2073" t="s">
        <v>114</v>
      </c>
      <c r="E2073">
        <v>4.7404197740872909E-3</v>
      </c>
      <c r="F2073">
        <f t="shared" si="70"/>
        <v>-1.7949196734718589E-2</v>
      </c>
      <c r="G2073">
        <f t="shared" si="71"/>
        <v>-3.0485262526157492E-2</v>
      </c>
    </row>
    <row r="2074" spans="1:7" x14ac:dyDescent="0.35">
      <c r="A2074" t="s">
        <v>114</v>
      </c>
      <c r="E2074">
        <v>1.030993290628523E-3</v>
      </c>
      <c r="F2074">
        <f t="shared" si="70"/>
        <v>-1.7949306651385652E-2</v>
      </c>
      <c r="G2074">
        <f t="shared" si="71"/>
        <v>-3.0485262526157492E-2</v>
      </c>
    </row>
    <row r="2075" spans="1:7" x14ac:dyDescent="0.35">
      <c r="A2075" t="s">
        <v>114</v>
      </c>
      <c r="E2075">
        <v>-5.6845861006398291E-3</v>
      </c>
      <c r="F2075">
        <f t="shared" si="70"/>
        <v>-1.7949416568052715E-2</v>
      </c>
      <c r="G2075">
        <f t="shared" si="71"/>
        <v>-3.0485262526157492E-2</v>
      </c>
    </row>
    <row r="2076" spans="1:7" x14ac:dyDescent="0.35">
      <c r="A2076" t="s">
        <v>114</v>
      </c>
      <c r="E2076">
        <v>7.413385346385532E-3</v>
      </c>
      <c r="F2076">
        <f t="shared" si="70"/>
        <v>-1.7949526484719779E-2</v>
      </c>
      <c r="G2076">
        <f t="shared" si="71"/>
        <v>-3.0485262526157492E-2</v>
      </c>
    </row>
    <row r="2077" spans="1:7" x14ac:dyDescent="0.35">
      <c r="A2077" t="s">
        <v>114</v>
      </c>
      <c r="E2077">
        <v>5.4147746266094855E-3</v>
      </c>
      <c r="F2077">
        <f t="shared" si="70"/>
        <v>-1.7949636401386842E-2</v>
      </c>
      <c r="G2077">
        <f t="shared" si="71"/>
        <v>-3.0485262526157492E-2</v>
      </c>
    </row>
    <row r="2078" spans="1:7" x14ac:dyDescent="0.35">
      <c r="A2078" t="s">
        <v>114</v>
      </c>
      <c r="E2078">
        <v>6.7813875130636019E-3</v>
      </c>
      <c r="F2078">
        <f t="shared" si="70"/>
        <v>-1.7949746318053905E-2</v>
      </c>
      <c r="G2078">
        <f t="shared" si="71"/>
        <v>-3.0485262526157492E-2</v>
      </c>
    </row>
    <row r="2079" spans="1:7" x14ac:dyDescent="0.35">
      <c r="A2079" t="s">
        <v>115</v>
      </c>
      <c r="B2079" s="3" cm="1">
        <f t="array" ref="B2079">_xlfn.STDEV.S(_xlfn._xlws.FILTER($E$2013:$E$3011, $A$2013:$A$3011="2018-05"))</f>
        <v>6.3641262518853497E-3</v>
      </c>
      <c r="C2079" s="3" cm="1">
        <f t="array" ref="C2079">AVERAGE(_xlfn._xlws.FILTER($E$2013:$E$3011, $A$2013:$A$3011="2018-05"))</f>
        <v>-1.1771485540811814E-3</v>
      </c>
      <c r="D2079" s="3" cm="1">
        <f t="array" ref="D2079">_xlfn.PERCENTILE.EXC(_xlfn._xlws.FILTER($E$1498:$E$2489, $A$1498:$A$2489="2018-05"), 0.05)</f>
        <v>-1.903230404986065E-2</v>
      </c>
      <c r="E2079">
        <v>1.5783208642747818E-3</v>
      </c>
      <c r="F2079">
        <f t="shared" si="70"/>
        <v>-1.7949856234720969E-2</v>
      </c>
      <c r="G2079">
        <f t="shared" si="71"/>
        <v>-3.0485262526157492E-2</v>
      </c>
    </row>
    <row r="2080" spans="1:7" x14ac:dyDescent="0.35">
      <c r="A2080" t="s">
        <v>115</v>
      </c>
      <c r="E2080">
        <v>-4.9968918790308531E-3</v>
      </c>
      <c r="F2080">
        <f t="shared" si="70"/>
        <v>-1.7949966151388032E-2</v>
      </c>
      <c r="G2080">
        <f t="shared" si="71"/>
        <v>-3.0485262526157492E-2</v>
      </c>
    </row>
    <row r="2081" spans="1:7" x14ac:dyDescent="0.35">
      <c r="A2081" t="s">
        <v>115</v>
      </c>
      <c r="E2081">
        <v>2.612159547195595E-3</v>
      </c>
      <c r="F2081">
        <f t="shared" si="70"/>
        <v>-1.7961116831228814E-2</v>
      </c>
      <c r="G2081">
        <f t="shared" si="71"/>
        <v>-3.0631021786329229E-2</v>
      </c>
    </row>
    <row r="2082" spans="1:7" x14ac:dyDescent="0.35">
      <c r="A2082" t="s">
        <v>115</v>
      </c>
      <c r="E2082">
        <v>1.0654124316589063E-3</v>
      </c>
      <c r="F2082">
        <f t="shared" si="70"/>
        <v>-1.7972267511069593E-2</v>
      </c>
      <c r="G2082">
        <f t="shared" si="71"/>
        <v>-3.0631021786329229E-2</v>
      </c>
    </row>
    <row r="2083" spans="1:7" x14ac:dyDescent="0.35">
      <c r="A2083" t="s">
        <v>115</v>
      </c>
      <c r="E2083">
        <v>2.297279729924486E-3</v>
      </c>
      <c r="F2083">
        <f t="shared" si="70"/>
        <v>-1.7983418190910375E-2</v>
      </c>
      <c r="G2083">
        <f t="shared" si="71"/>
        <v>-3.0631021786329229E-2</v>
      </c>
    </row>
    <row r="2084" spans="1:7" x14ac:dyDescent="0.35">
      <c r="A2084" t="s">
        <v>115</v>
      </c>
      <c r="E2084">
        <v>2.0432150551973798E-3</v>
      </c>
      <c r="F2084">
        <f t="shared" si="70"/>
        <v>-1.7994568870751158E-2</v>
      </c>
      <c r="G2084">
        <f t="shared" si="71"/>
        <v>-3.0631021786329229E-2</v>
      </c>
    </row>
    <row r="2085" spans="1:7" x14ac:dyDescent="0.35">
      <c r="A2085" t="s">
        <v>115</v>
      </c>
      <c r="E2085">
        <v>-7.2331168055043689E-4</v>
      </c>
      <c r="F2085">
        <f t="shared" si="70"/>
        <v>-1.800571955059194E-2</v>
      </c>
      <c r="G2085">
        <f t="shared" si="71"/>
        <v>-3.0631021786329229E-2</v>
      </c>
    </row>
    <row r="2086" spans="1:7" x14ac:dyDescent="0.35">
      <c r="A2086" t="s">
        <v>115</v>
      </c>
      <c r="E2086">
        <v>-2.2738305661085042E-4</v>
      </c>
      <c r="F2086">
        <f t="shared" si="70"/>
        <v>-1.8016870230432722E-2</v>
      </c>
      <c r="G2086">
        <f t="shared" si="71"/>
        <v>-3.0631021786329229E-2</v>
      </c>
    </row>
    <row r="2087" spans="1:7" x14ac:dyDescent="0.35">
      <c r="A2087" t="s">
        <v>115</v>
      </c>
      <c r="E2087">
        <v>2.2498981893596731E-3</v>
      </c>
      <c r="F2087">
        <f t="shared" si="70"/>
        <v>-1.8028020910273505E-2</v>
      </c>
      <c r="G2087">
        <f t="shared" si="71"/>
        <v>-3.0631021786329229E-2</v>
      </c>
    </row>
    <row r="2088" spans="1:7" x14ac:dyDescent="0.35">
      <c r="A2088" t="s">
        <v>115</v>
      </c>
      <c r="E2088">
        <v>2.5861695783142803E-3</v>
      </c>
      <c r="F2088">
        <f t="shared" si="70"/>
        <v>-1.8039171590114284E-2</v>
      </c>
      <c r="G2088">
        <f t="shared" si="71"/>
        <v>-3.0631021786329229E-2</v>
      </c>
    </row>
    <row r="2089" spans="1:7" x14ac:dyDescent="0.35">
      <c r="A2089" t="s">
        <v>115</v>
      </c>
      <c r="E2089">
        <v>9.7199378948528894E-3</v>
      </c>
      <c r="F2089">
        <f t="shared" si="70"/>
        <v>-1.8050322269955066E-2</v>
      </c>
      <c r="G2089">
        <f t="shared" si="71"/>
        <v>-3.0631021786329229E-2</v>
      </c>
    </row>
    <row r="2090" spans="1:7" x14ac:dyDescent="0.35">
      <c r="A2090" t="s">
        <v>115</v>
      </c>
      <c r="E2090">
        <v>-1.3189244402677961E-3</v>
      </c>
      <c r="F2090">
        <f t="shared" si="70"/>
        <v>-1.8061472949795848E-2</v>
      </c>
      <c r="G2090">
        <f t="shared" si="71"/>
        <v>-3.0631021786329229E-2</v>
      </c>
    </row>
    <row r="2091" spans="1:7" x14ac:dyDescent="0.35">
      <c r="A2091" t="s">
        <v>115</v>
      </c>
      <c r="E2091">
        <v>4.5474777178654549E-3</v>
      </c>
      <c r="F2091">
        <f t="shared" si="70"/>
        <v>-1.807262362963663E-2</v>
      </c>
      <c r="G2091">
        <f t="shared" si="71"/>
        <v>-3.0631021786329229E-2</v>
      </c>
    </row>
    <row r="2092" spans="1:7" x14ac:dyDescent="0.35">
      <c r="A2092" t="s">
        <v>115</v>
      </c>
      <c r="E2092">
        <v>-1.3252082443928542E-2</v>
      </c>
      <c r="F2092">
        <f t="shared" si="70"/>
        <v>-1.8083774309477413E-2</v>
      </c>
      <c r="G2092">
        <f t="shared" si="71"/>
        <v>-3.0631021786329229E-2</v>
      </c>
    </row>
    <row r="2093" spans="1:7" x14ac:dyDescent="0.35">
      <c r="A2093" t="s">
        <v>115</v>
      </c>
      <c r="E2093">
        <v>-3.1311039319660513E-3</v>
      </c>
      <c r="F2093">
        <f t="shared" si="70"/>
        <v>-1.8094924989318195E-2</v>
      </c>
      <c r="G2093">
        <f t="shared" si="71"/>
        <v>-3.0631021786329229E-2</v>
      </c>
    </row>
    <row r="2094" spans="1:7" x14ac:dyDescent="0.35">
      <c r="A2094" t="s">
        <v>115</v>
      </c>
      <c r="E2094">
        <v>-1.0639258058850862E-3</v>
      </c>
      <c r="F2094">
        <f t="shared" si="70"/>
        <v>-1.8106075669158974E-2</v>
      </c>
      <c r="G2094">
        <f t="shared" si="71"/>
        <v>-3.0631021786329229E-2</v>
      </c>
    </row>
    <row r="2095" spans="1:7" x14ac:dyDescent="0.35">
      <c r="A2095" t="s">
        <v>115</v>
      </c>
      <c r="E2095">
        <v>-1.903230404986065E-2</v>
      </c>
      <c r="F2095">
        <f t="shared" si="70"/>
        <v>-1.811722634899976E-2</v>
      </c>
      <c r="G2095">
        <f t="shared" si="71"/>
        <v>-3.0631021786329229E-2</v>
      </c>
    </row>
    <row r="2096" spans="1:7" x14ac:dyDescent="0.35">
      <c r="A2096" t="s">
        <v>115</v>
      </c>
      <c r="E2096">
        <v>-1.9713942628226525E-3</v>
      </c>
      <c r="F2096">
        <f t="shared" si="70"/>
        <v>-1.7949526484719779E-2</v>
      </c>
      <c r="G2096">
        <f t="shared" si="71"/>
        <v>-3.061843646192838E-2</v>
      </c>
    </row>
    <row r="2097" spans="1:7" x14ac:dyDescent="0.35">
      <c r="A2097" t="s">
        <v>115</v>
      </c>
      <c r="E2097">
        <v>-5.348371985262973E-3</v>
      </c>
      <c r="F2097">
        <f t="shared" si="70"/>
        <v>-1.7949636401386842E-2</v>
      </c>
      <c r="G2097">
        <f t="shared" si="71"/>
        <v>-3.061843646192838E-2</v>
      </c>
    </row>
    <row r="2098" spans="1:7" x14ac:dyDescent="0.35">
      <c r="A2098" t="s">
        <v>116</v>
      </c>
      <c r="B2098" s="3" cm="1">
        <f t="array" ref="B2098">_xlfn.STDEV.S(_xlfn._xlws.FILTER($E$2013:$E$3011, $A$2013:$A$3011="2018-06"))</f>
        <v>8.7696118708308051E-3</v>
      </c>
      <c r="C2098" s="3" cm="1">
        <f t="array" ref="C2098">AVERAGE(_xlfn._xlws.FILTER($E$2013:$E$3011, $A$2013:$A$3011="2018-06"))</f>
        <v>-6.6504743917219242E-4</v>
      </c>
      <c r="D2098" s="3" cm="1">
        <f t="array" ref="D2098">_xlfn.PERCENTILE.EXC(_xlfn._xlws.FILTER($E$1498:$E$2489, $A$1498:$A$2489="2018-06"), 0.05)</f>
        <v>-1.8566202851668306E-2</v>
      </c>
      <c r="E2098">
        <v>1.2358484343482658E-2</v>
      </c>
      <c r="F2098">
        <f t="shared" si="70"/>
        <v>-1.7949746318053905E-2</v>
      </c>
      <c r="G2098">
        <f t="shared" si="71"/>
        <v>-3.061843646192838E-2</v>
      </c>
    </row>
    <row r="2099" spans="1:7" x14ac:dyDescent="0.35">
      <c r="A2099" t="s">
        <v>116</v>
      </c>
      <c r="E2099">
        <v>1.34936995033884E-3</v>
      </c>
      <c r="F2099">
        <f t="shared" si="70"/>
        <v>-1.7949856234720969E-2</v>
      </c>
      <c r="G2099">
        <f t="shared" si="71"/>
        <v>-3.061843646192838E-2</v>
      </c>
    </row>
    <row r="2100" spans="1:7" x14ac:dyDescent="0.35">
      <c r="A2100" t="s">
        <v>116</v>
      </c>
      <c r="E2100">
        <v>-2.1877003674967803E-3</v>
      </c>
      <c r="F2100">
        <f t="shared" si="70"/>
        <v>-1.7949966151388032E-2</v>
      </c>
      <c r="G2100">
        <f t="shared" si="71"/>
        <v>-3.061843646192838E-2</v>
      </c>
    </row>
    <row r="2101" spans="1:7" x14ac:dyDescent="0.35">
      <c r="A2101" t="s">
        <v>116</v>
      </c>
      <c r="E2101">
        <v>-6.2096386941634836E-4</v>
      </c>
      <c r="F2101">
        <f t="shared" si="70"/>
        <v>-1.7961116831228814E-2</v>
      </c>
      <c r="G2101">
        <f t="shared" si="71"/>
        <v>-3.0767477289111209E-2</v>
      </c>
    </row>
    <row r="2102" spans="1:7" x14ac:dyDescent="0.35">
      <c r="A2102" t="s">
        <v>116</v>
      </c>
      <c r="E2102">
        <v>-1.6871574671953363E-3</v>
      </c>
      <c r="F2102">
        <f t="shared" si="70"/>
        <v>-1.7972267511069593E-2</v>
      </c>
      <c r="G2102">
        <f t="shared" si="71"/>
        <v>-3.0767477289111209E-2</v>
      </c>
    </row>
    <row r="2103" spans="1:7" x14ac:dyDescent="0.35">
      <c r="A2103" t="s">
        <v>116</v>
      </c>
      <c r="E2103">
        <v>3.413288736805622E-4</v>
      </c>
      <c r="F2103">
        <f t="shared" si="70"/>
        <v>-1.7983418190910375E-2</v>
      </c>
      <c r="G2103">
        <f t="shared" si="71"/>
        <v>-3.0767477289111209E-2</v>
      </c>
    </row>
    <row r="2104" spans="1:7" x14ac:dyDescent="0.35">
      <c r="A2104" t="s">
        <v>116</v>
      </c>
      <c r="E2104">
        <v>4.3371942912689004E-3</v>
      </c>
      <c r="F2104">
        <f t="shared" si="70"/>
        <v>-1.7994568870751158E-2</v>
      </c>
      <c r="G2104">
        <f t="shared" si="71"/>
        <v>-3.0767477289111209E-2</v>
      </c>
    </row>
    <row r="2105" spans="1:7" x14ac:dyDescent="0.35">
      <c r="A2105" t="s">
        <v>116</v>
      </c>
      <c r="E2105">
        <v>-3.7594029239057013E-3</v>
      </c>
      <c r="F2105">
        <f t="shared" si="70"/>
        <v>-1.800571955059194E-2</v>
      </c>
      <c r="G2105">
        <f t="shared" si="71"/>
        <v>-3.0767477289111209E-2</v>
      </c>
    </row>
    <row r="2106" spans="1:7" x14ac:dyDescent="0.35">
      <c r="A2106" t="s">
        <v>116</v>
      </c>
      <c r="E2106">
        <v>-1.1736551117905114E-4</v>
      </c>
      <c r="F2106">
        <f t="shared" si="70"/>
        <v>-1.8016870230432722E-2</v>
      </c>
      <c r="G2106">
        <f t="shared" si="71"/>
        <v>-3.0767477289111209E-2</v>
      </c>
    </row>
    <row r="2107" spans="1:7" x14ac:dyDescent="0.35">
      <c r="A2107" t="s">
        <v>116</v>
      </c>
      <c r="E2107">
        <v>1.3792895049458118E-2</v>
      </c>
      <c r="F2107">
        <f t="shared" si="70"/>
        <v>-1.8028020910273505E-2</v>
      </c>
      <c r="G2107">
        <f t="shared" si="71"/>
        <v>-3.0767477289111209E-2</v>
      </c>
    </row>
    <row r="2108" spans="1:7" x14ac:dyDescent="0.35">
      <c r="A2108" t="s">
        <v>116</v>
      </c>
      <c r="E2108">
        <v>-4.8194437248296708E-3</v>
      </c>
      <c r="F2108">
        <f t="shared" si="70"/>
        <v>-1.8039171590114284E-2</v>
      </c>
      <c r="G2108">
        <f t="shared" si="71"/>
        <v>-3.0767477289111209E-2</v>
      </c>
    </row>
    <row r="2109" spans="1:7" x14ac:dyDescent="0.35">
      <c r="A2109" t="s">
        <v>116</v>
      </c>
      <c r="E2109">
        <v>-9.3861738223035979E-3</v>
      </c>
      <c r="F2109">
        <f t="shared" si="70"/>
        <v>-1.8050322269955066E-2</v>
      </c>
      <c r="G2109">
        <f t="shared" si="71"/>
        <v>-3.0767477289111209E-2</v>
      </c>
    </row>
    <row r="2110" spans="1:7" x14ac:dyDescent="0.35">
      <c r="A2110" t="s">
        <v>116</v>
      </c>
      <c r="E2110">
        <v>-1.1041416983924751E-2</v>
      </c>
      <c r="F2110">
        <f t="shared" si="70"/>
        <v>-1.8061472949795848E-2</v>
      </c>
      <c r="G2110">
        <f t="shared" si="71"/>
        <v>-3.0767477289111209E-2</v>
      </c>
    </row>
    <row r="2111" spans="1:7" x14ac:dyDescent="0.35">
      <c r="A2111" t="s">
        <v>116</v>
      </c>
      <c r="E2111">
        <v>-3.4042775845071756E-3</v>
      </c>
      <c r="F2111">
        <f t="shared" si="70"/>
        <v>-1.807262362963663E-2</v>
      </c>
      <c r="G2111">
        <f t="shared" si="71"/>
        <v>-3.0767477289111209E-2</v>
      </c>
    </row>
    <row r="2112" spans="1:7" x14ac:dyDescent="0.35">
      <c r="A2112" t="s">
        <v>116</v>
      </c>
      <c r="E2112">
        <v>-1.0534961660133546E-2</v>
      </c>
      <c r="F2112">
        <f t="shared" si="70"/>
        <v>-1.8083774309477413E-2</v>
      </c>
      <c r="G2112">
        <f t="shared" si="71"/>
        <v>-3.0767477289111209E-2</v>
      </c>
    </row>
    <row r="2113" spans="1:7" x14ac:dyDescent="0.35">
      <c r="A2113" t="s">
        <v>116</v>
      </c>
      <c r="E2113">
        <v>1.333615943705033E-2</v>
      </c>
      <c r="F2113">
        <f t="shared" si="70"/>
        <v>-1.8094924989318195E-2</v>
      </c>
      <c r="G2113">
        <f t="shared" si="71"/>
        <v>-3.0767477289111209E-2</v>
      </c>
    </row>
    <row r="2114" spans="1:7" x14ac:dyDescent="0.35">
      <c r="A2114" t="s">
        <v>116</v>
      </c>
      <c r="E2114">
        <v>-1.940229017030648E-2</v>
      </c>
      <c r="F2114">
        <f t="shared" si="70"/>
        <v>-1.8106075669158974E-2</v>
      </c>
      <c r="G2114">
        <f t="shared" si="71"/>
        <v>-3.0767477289111209E-2</v>
      </c>
    </row>
    <row r="2115" spans="1:7" x14ac:dyDescent="0.35">
      <c r="A2115" t="s">
        <v>116</v>
      </c>
      <c r="E2115">
        <v>-4.8650517043117805E-4</v>
      </c>
      <c r="F2115">
        <f t="shared" si="70"/>
        <v>-1.7949416568052715E-2</v>
      </c>
      <c r="G2115">
        <f t="shared" si="71"/>
        <v>-3.0750391124182753E-2</v>
      </c>
    </row>
    <row r="2116" spans="1:7" x14ac:dyDescent="0.35">
      <c r="A2116" t="s">
        <v>116</v>
      </c>
      <c r="E2116">
        <v>8.6553857551138723E-3</v>
      </c>
      <c r="F2116">
        <f t="shared" ref="F2116:F2179" si="72">_xlfn.PERCENTILE.EXC(E2116:E5931,0.05)</f>
        <v>-1.7949526484719779E-2</v>
      </c>
      <c r="G2116">
        <f t="shared" ref="G2116:G2179" si="73">AVERAGEIFS(E2116:E5932,E2116:E5932,"&lt;=" &amp; F2116)</f>
        <v>-3.0750391124182753E-2</v>
      </c>
    </row>
    <row r="2117" spans="1:7" x14ac:dyDescent="0.35">
      <c r="A2117" t="s">
        <v>116</v>
      </c>
      <c r="E2117">
        <v>-9.7257727974541623E-3</v>
      </c>
      <c r="F2117">
        <f t="shared" si="72"/>
        <v>-1.7949636401386842E-2</v>
      </c>
      <c r="G2117">
        <f t="shared" si="73"/>
        <v>-3.0750391124182753E-2</v>
      </c>
    </row>
    <row r="2118" spans="1:7" x14ac:dyDescent="0.35">
      <c r="A2118" t="s">
        <v>116</v>
      </c>
      <c r="E2118">
        <v>9.0366181300744579E-3</v>
      </c>
      <c r="F2118">
        <f t="shared" si="72"/>
        <v>-1.7949746318053905E-2</v>
      </c>
      <c r="G2118">
        <f t="shared" si="73"/>
        <v>-3.0750391124182753E-2</v>
      </c>
    </row>
    <row r="2119" spans="1:7" x14ac:dyDescent="0.35">
      <c r="A2119" t="s">
        <v>117</v>
      </c>
      <c r="B2119" s="3" cm="1">
        <f t="array" ref="B2119">_xlfn.STDEV.S(_xlfn._xlws.FILTER($E$2013:$E$3011, $A$2013:$A$3011="2018-07"))</f>
        <v>6.6119278052649286E-3</v>
      </c>
      <c r="C2119" s="3" cm="1">
        <f t="array" ref="C2119">AVERAGE(_xlfn._xlws.FILTER($E$2013:$E$3011, $A$2013:$A$3011="2018-07"))</f>
        <v>1.5756324024531259E-3</v>
      </c>
      <c r="D2119" s="3" cm="1">
        <f t="array" ref="D2119">_xlfn.PERCENTILE.EXC(_xlfn._xlws.FILTER($E$1498:$E$2489, $A$1498:$A$2489="2018-07"), 0.05)</f>
        <v>-1.39979061444802E-2</v>
      </c>
      <c r="E2119">
        <v>-8.8243441442123153E-3</v>
      </c>
      <c r="F2119">
        <f t="shared" si="72"/>
        <v>-1.7949856234720969E-2</v>
      </c>
      <c r="G2119">
        <f t="shared" si="73"/>
        <v>-3.0750391124182753E-2</v>
      </c>
    </row>
    <row r="2120" spans="1:7" x14ac:dyDescent="0.35">
      <c r="A2120" t="s">
        <v>117</v>
      </c>
      <c r="E2120">
        <v>7.5537031078662473E-3</v>
      </c>
      <c r="F2120">
        <f t="shared" si="72"/>
        <v>-1.7949966151388032E-2</v>
      </c>
      <c r="G2120">
        <f t="shared" si="73"/>
        <v>-3.0750391124182753E-2</v>
      </c>
    </row>
    <row r="2121" spans="1:7" x14ac:dyDescent="0.35">
      <c r="A2121" t="s">
        <v>117</v>
      </c>
      <c r="E2121">
        <v>7.0130778909964693E-4</v>
      </c>
      <c r="F2121">
        <f t="shared" si="72"/>
        <v>-1.7961116831228814E-2</v>
      </c>
      <c r="G2121">
        <f t="shared" si="73"/>
        <v>-3.0902777135763643E-2</v>
      </c>
    </row>
    <row r="2122" spans="1:7" x14ac:dyDescent="0.35">
      <c r="A2122" t="s">
        <v>117</v>
      </c>
      <c r="E2122">
        <v>8.5751010629373497E-3</v>
      </c>
      <c r="F2122">
        <f t="shared" si="72"/>
        <v>-1.7972267511069593E-2</v>
      </c>
      <c r="G2122">
        <f t="shared" si="73"/>
        <v>-3.0902777135763643E-2</v>
      </c>
    </row>
    <row r="2123" spans="1:7" x14ac:dyDescent="0.35">
      <c r="A2123" t="s">
        <v>117</v>
      </c>
      <c r="E2123">
        <v>1.7594346049593925E-3</v>
      </c>
      <c r="F2123">
        <f t="shared" si="72"/>
        <v>-1.7983418190910375E-2</v>
      </c>
      <c r="G2123">
        <f t="shared" si="73"/>
        <v>-3.0902777135763643E-2</v>
      </c>
    </row>
    <row r="2124" spans="1:7" x14ac:dyDescent="0.35">
      <c r="A2124" t="s">
        <v>117</v>
      </c>
      <c r="E2124">
        <v>4.1470727383874327E-3</v>
      </c>
      <c r="F2124">
        <f t="shared" si="72"/>
        <v>-1.7994568870751158E-2</v>
      </c>
      <c r="G2124">
        <f t="shared" si="73"/>
        <v>-3.0902777135763643E-2</v>
      </c>
    </row>
    <row r="2125" spans="1:7" x14ac:dyDescent="0.35">
      <c r="A2125" t="s">
        <v>117</v>
      </c>
      <c r="E2125">
        <v>6.6928660437526044E-3</v>
      </c>
      <c r="F2125">
        <f t="shared" si="72"/>
        <v>-1.800571955059194E-2</v>
      </c>
      <c r="G2125">
        <f t="shared" si="73"/>
        <v>-3.0902777135763643E-2</v>
      </c>
    </row>
    <row r="2126" spans="1:7" x14ac:dyDescent="0.35">
      <c r="A2126" t="s">
        <v>117</v>
      </c>
      <c r="E2126">
        <v>-1.4910887673939239E-2</v>
      </c>
      <c r="F2126">
        <f t="shared" si="72"/>
        <v>-1.8016870230432722E-2</v>
      </c>
      <c r="G2126">
        <f t="shared" si="73"/>
        <v>-3.0902777135763643E-2</v>
      </c>
    </row>
    <row r="2127" spans="1:7" x14ac:dyDescent="0.35">
      <c r="A2127" t="s">
        <v>117</v>
      </c>
      <c r="E2127">
        <v>9.660079042196016E-3</v>
      </c>
      <c r="F2127">
        <f t="shared" si="72"/>
        <v>-1.8028020910273505E-2</v>
      </c>
      <c r="G2127">
        <f t="shared" si="73"/>
        <v>-3.0902777135763643E-2</v>
      </c>
    </row>
    <row r="2128" spans="1:7" x14ac:dyDescent="0.35">
      <c r="A2128" t="s">
        <v>117</v>
      </c>
      <c r="E2128">
        <v>4.3008437237305446E-3</v>
      </c>
      <c r="F2128">
        <f t="shared" si="72"/>
        <v>-1.8039171590114284E-2</v>
      </c>
      <c r="G2128">
        <f t="shared" si="73"/>
        <v>-3.0902777135763643E-2</v>
      </c>
    </row>
    <row r="2129" spans="1:7" x14ac:dyDescent="0.35">
      <c r="A2129" t="s">
        <v>117</v>
      </c>
      <c r="E2129">
        <v>-3.6480665777070794E-3</v>
      </c>
      <c r="F2129">
        <f t="shared" si="72"/>
        <v>-1.8050322269955066E-2</v>
      </c>
      <c r="G2129">
        <f t="shared" si="73"/>
        <v>-3.0902777135763643E-2</v>
      </c>
    </row>
    <row r="2130" spans="1:7" x14ac:dyDescent="0.35">
      <c r="A2130" t="s">
        <v>117</v>
      </c>
      <c r="E2130">
        <v>2.4206134989960444E-3</v>
      </c>
      <c r="F2130">
        <f t="shared" si="72"/>
        <v>-1.8061472949795848E-2</v>
      </c>
      <c r="G2130">
        <f t="shared" si="73"/>
        <v>-3.0902777135763643E-2</v>
      </c>
    </row>
    <row r="2131" spans="1:7" x14ac:dyDescent="0.35">
      <c r="A2131" t="s">
        <v>117</v>
      </c>
      <c r="E2131">
        <v>4.5814331863093952E-3</v>
      </c>
      <c r="F2131">
        <f t="shared" si="72"/>
        <v>-1.807262362963663E-2</v>
      </c>
      <c r="G2131">
        <f t="shared" si="73"/>
        <v>-3.0902777135763643E-2</v>
      </c>
    </row>
    <row r="2132" spans="1:7" x14ac:dyDescent="0.35">
      <c r="A2132" t="s">
        <v>117</v>
      </c>
      <c r="E2132">
        <v>-5.5906946752956807E-3</v>
      </c>
      <c r="F2132">
        <f t="shared" si="72"/>
        <v>-1.8083774309477413E-2</v>
      </c>
      <c r="G2132">
        <f t="shared" si="73"/>
        <v>-3.0902777135763643E-2</v>
      </c>
    </row>
    <row r="2133" spans="1:7" x14ac:dyDescent="0.35">
      <c r="A2133" t="s">
        <v>117</v>
      </c>
      <c r="E2133">
        <v>-3.4672848199595943E-3</v>
      </c>
      <c r="F2133">
        <f t="shared" si="72"/>
        <v>-1.8094924989318195E-2</v>
      </c>
      <c r="G2133">
        <f t="shared" si="73"/>
        <v>-3.0902777135763643E-2</v>
      </c>
    </row>
    <row r="2134" spans="1:7" x14ac:dyDescent="0.35">
      <c r="A2134" t="s">
        <v>117</v>
      </c>
      <c r="E2134">
        <v>-3.7247516053590421E-3</v>
      </c>
      <c r="F2134">
        <f t="shared" si="72"/>
        <v>-1.8106075669158974E-2</v>
      </c>
      <c r="G2134">
        <f t="shared" si="73"/>
        <v>-3.0902777135763643E-2</v>
      </c>
    </row>
    <row r="2135" spans="1:7" x14ac:dyDescent="0.35">
      <c r="A2135" t="s">
        <v>117</v>
      </c>
      <c r="E2135">
        <v>1.0347432979201548E-2</v>
      </c>
      <c r="F2135">
        <f t="shared" si="72"/>
        <v>-1.811722634899976E-2</v>
      </c>
      <c r="G2135">
        <f t="shared" si="73"/>
        <v>-3.0902777135763643E-2</v>
      </c>
    </row>
    <row r="2136" spans="1:7" x14ac:dyDescent="0.35">
      <c r="A2136" t="s">
        <v>117</v>
      </c>
      <c r="E2136">
        <v>-1.4327019374235765E-3</v>
      </c>
      <c r="F2136">
        <f t="shared" si="72"/>
        <v>-1.8128377028840539E-2</v>
      </c>
      <c r="G2136">
        <f t="shared" si="73"/>
        <v>-3.0902777135763643E-2</v>
      </c>
    </row>
    <row r="2137" spans="1:7" x14ac:dyDescent="0.35">
      <c r="A2137" t="s">
        <v>117</v>
      </c>
      <c r="E2137">
        <v>9.9276873967670213E-3</v>
      </c>
      <c r="F2137">
        <f t="shared" si="72"/>
        <v>-1.8139527708681321E-2</v>
      </c>
      <c r="G2137">
        <f t="shared" si="73"/>
        <v>-3.0902777135763643E-2</v>
      </c>
    </row>
    <row r="2138" spans="1:7" x14ac:dyDescent="0.35">
      <c r="A2138" t="s">
        <v>117</v>
      </c>
      <c r="E2138">
        <v>5.6785305119067125E-3</v>
      </c>
      <c r="F2138">
        <f t="shared" si="72"/>
        <v>-1.8150678388522103E-2</v>
      </c>
      <c r="G2138">
        <f t="shared" si="73"/>
        <v>-3.0902777135763643E-2</v>
      </c>
    </row>
    <row r="2139" spans="1:7" x14ac:dyDescent="0.35">
      <c r="A2139" t="s">
        <v>117</v>
      </c>
      <c r="E2139">
        <v>-3.7335383431478194E-3</v>
      </c>
      <c r="F2139">
        <f t="shared" si="72"/>
        <v>-1.8161829068362882E-2</v>
      </c>
      <c r="G2139">
        <f t="shared" si="73"/>
        <v>-3.0902777135763643E-2</v>
      </c>
    </row>
    <row r="2140" spans="1:7" x14ac:dyDescent="0.35">
      <c r="A2140" t="s">
        <v>117</v>
      </c>
      <c r="E2140">
        <v>3.6500769449031669E-3</v>
      </c>
      <c r="F2140">
        <f t="shared" si="72"/>
        <v>-1.8172979748203668E-2</v>
      </c>
      <c r="G2140">
        <f t="shared" si="73"/>
        <v>-3.0902777135763643E-2</v>
      </c>
    </row>
    <row r="2141" spans="1:7" x14ac:dyDescent="0.35">
      <c r="A2141" t="s">
        <v>118</v>
      </c>
      <c r="B2141" s="3" cm="1">
        <f t="array" ref="B2141">_xlfn.STDEV.S(_xlfn._xlws.FILTER($E$2013:$E$3011, $A$2013:$A$3011="2018-08"))</f>
        <v>6.5486164274229895E-3</v>
      </c>
      <c r="C2141" s="3" cm="1">
        <f t="array" ref="C2141">AVERAGE(_xlfn._xlws.FILTER($E$2013:$E$3011, $A$2013:$A$3011="2018-08"))</f>
        <v>-9.1113627628436106E-4</v>
      </c>
      <c r="D2141" s="3" cm="1">
        <f t="array" ref="D2141">_xlfn.PERCENTILE.EXC(_xlfn._xlws.FILTER($E$1498:$E$2489, $A$1498:$A$2489="2018-08"), 0.05)</f>
        <v>-1.5747419851308436E-2</v>
      </c>
      <c r="E2141">
        <v>-2.3488453231835411E-3</v>
      </c>
      <c r="F2141">
        <f t="shared" si="72"/>
        <v>-1.817382310462623E-2</v>
      </c>
      <c r="G2141">
        <f t="shared" si="73"/>
        <v>-3.1056148188625815E-2</v>
      </c>
    </row>
    <row r="2142" spans="1:7" x14ac:dyDescent="0.35">
      <c r="A2142" t="s">
        <v>118</v>
      </c>
      <c r="E2142">
        <v>-6.8234238472762955E-3</v>
      </c>
      <c r="F2142">
        <f t="shared" si="72"/>
        <v>-1.8174666461048792E-2</v>
      </c>
      <c r="G2142">
        <f t="shared" si="73"/>
        <v>-3.1056148188625815E-2</v>
      </c>
    </row>
    <row r="2143" spans="1:7" x14ac:dyDescent="0.35">
      <c r="A2143" t="s">
        <v>118</v>
      </c>
      <c r="E2143">
        <v>3.2906914180621397E-3</v>
      </c>
      <c r="F2143">
        <f t="shared" si="72"/>
        <v>-1.817550981747135E-2</v>
      </c>
      <c r="G2143">
        <f t="shared" si="73"/>
        <v>-3.1056148188625815E-2</v>
      </c>
    </row>
    <row r="2144" spans="1:7" x14ac:dyDescent="0.35">
      <c r="A2144" t="s">
        <v>118</v>
      </c>
      <c r="E2144">
        <v>-3.2858227995832763E-4</v>
      </c>
      <c r="F2144">
        <f t="shared" si="72"/>
        <v>-1.8176353173893912E-2</v>
      </c>
      <c r="G2144">
        <f t="shared" si="73"/>
        <v>-3.1056148188625815E-2</v>
      </c>
    </row>
    <row r="2145" spans="1:7" x14ac:dyDescent="0.35">
      <c r="A2145" t="s">
        <v>118</v>
      </c>
      <c r="E2145">
        <v>8.0247810054140545E-3</v>
      </c>
      <c r="F2145">
        <f t="shared" si="72"/>
        <v>-1.8177196530316474E-2</v>
      </c>
      <c r="G2145">
        <f t="shared" si="73"/>
        <v>-3.1056148188625815E-2</v>
      </c>
    </row>
    <row r="2146" spans="1:7" x14ac:dyDescent="0.35">
      <c r="A2146" t="s">
        <v>118</v>
      </c>
      <c r="E2146">
        <v>-3.5216638457254003E-3</v>
      </c>
      <c r="F2146">
        <f t="shared" si="72"/>
        <v>-1.8178039886739036E-2</v>
      </c>
      <c r="G2146">
        <f t="shared" si="73"/>
        <v>-3.1056148188625815E-2</v>
      </c>
    </row>
    <row r="2147" spans="1:7" x14ac:dyDescent="0.35">
      <c r="A2147" t="s">
        <v>118</v>
      </c>
      <c r="E2147">
        <v>6.3612364447680734E-5</v>
      </c>
      <c r="F2147">
        <f t="shared" si="72"/>
        <v>-1.8178883243161598E-2</v>
      </c>
      <c r="G2147">
        <f t="shared" si="73"/>
        <v>-3.1056148188625815E-2</v>
      </c>
    </row>
    <row r="2148" spans="1:7" x14ac:dyDescent="0.35">
      <c r="A2148" t="s">
        <v>118</v>
      </c>
      <c r="E2148">
        <v>-1.604331589206151E-2</v>
      </c>
      <c r="F2148">
        <f t="shared" si="72"/>
        <v>-1.8179726599584157E-2</v>
      </c>
      <c r="G2148">
        <f t="shared" si="73"/>
        <v>-3.1056148188625815E-2</v>
      </c>
    </row>
    <row r="2149" spans="1:7" x14ac:dyDescent="0.35">
      <c r="A2149" t="s">
        <v>118</v>
      </c>
      <c r="E2149">
        <v>-4.359471760186652E-4</v>
      </c>
      <c r="F2149">
        <f t="shared" si="72"/>
        <v>-1.8180569956006719E-2</v>
      </c>
      <c r="G2149">
        <f t="shared" si="73"/>
        <v>-3.1056148188625815E-2</v>
      </c>
    </row>
    <row r="2150" spans="1:7" x14ac:dyDescent="0.35">
      <c r="A2150" t="s">
        <v>118</v>
      </c>
      <c r="E2150">
        <v>-1.6476006733861085E-3</v>
      </c>
      <c r="F2150">
        <f t="shared" si="72"/>
        <v>-1.8181413312429281E-2</v>
      </c>
      <c r="G2150">
        <f t="shared" si="73"/>
        <v>-3.1056148188625815E-2</v>
      </c>
    </row>
    <row r="2151" spans="1:7" x14ac:dyDescent="0.35">
      <c r="A2151" t="s">
        <v>118</v>
      </c>
      <c r="E2151">
        <v>-1.0116869192416469E-2</v>
      </c>
      <c r="F2151">
        <f t="shared" si="72"/>
        <v>-1.8182256668851843E-2</v>
      </c>
      <c r="G2151">
        <f t="shared" si="73"/>
        <v>-3.1056148188625815E-2</v>
      </c>
    </row>
    <row r="2152" spans="1:7" x14ac:dyDescent="0.35">
      <c r="A2152" t="s">
        <v>118</v>
      </c>
      <c r="E2152">
        <v>-7.6491851924158404E-4</v>
      </c>
      <c r="F2152">
        <f t="shared" si="72"/>
        <v>-1.8183100025274405E-2</v>
      </c>
      <c r="G2152">
        <f t="shared" si="73"/>
        <v>-3.1056148188625815E-2</v>
      </c>
    </row>
    <row r="2153" spans="1:7" x14ac:dyDescent="0.35">
      <c r="A2153" t="s">
        <v>118</v>
      </c>
      <c r="E2153">
        <v>6.474868255873352E-3</v>
      </c>
      <c r="F2153">
        <f t="shared" si="72"/>
        <v>-1.8183943381696963E-2</v>
      </c>
      <c r="G2153">
        <f t="shared" si="73"/>
        <v>-3.1056148188625815E-2</v>
      </c>
    </row>
    <row r="2154" spans="1:7" x14ac:dyDescent="0.35">
      <c r="A2154" t="s">
        <v>118</v>
      </c>
      <c r="E2154">
        <v>5.3669630366969404E-3</v>
      </c>
      <c r="F2154">
        <f t="shared" si="72"/>
        <v>-1.8184786738119525E-2</v>
      </c>
      <c r="G2154">
        <f t="shared" si="73"/>
        <v>-3.1056148188625815E-2</v>
      </c>
    </row>
    <row r="2155" spans="1:7" x14ac:dyDescent="0.35">
      <c r="A2155" t="s">
        <v>118</v>
      </c>
      <c r="E2155">
        <v>2.2180759120858573E-3</v>
      </c>
      <c r="F2155">
        <f t="shared" si="72"/>
        <v>-1.8185630094542087E-2</v>
      </c>
      <c r="G2155">
        <f t="shared" si="73"/>
        <v>-3.1056148188625815E-2</v>
      </c>
    </row>
    <row r="2156" spans="1:7" x14ac:dyDescent="0.35">
      <c r="A2156" t="s">
        <v>118</v>
      </c>
      <c r="E2156">
        <v>-2.3616366990013177E-4</v>
      </c>
      <c r="F2156">
        <f t="shared" si="72"/>
        <v>-1.8186473450964649E-2</v>
      </c>
      <c r="G2156">
        <f t="shared" si="73"/>
        <v>-3.1056148188625815E-2</v>
      </c>
    </row>
    <row r="2157" spans="1:7" x14ac:dyDescent="0.35">
      <c r="A2157" t="s">
        <v>118</v>
      </c>
      <c r="E2157">
        <v>2.4272415741717606E-3</v>
      </c>
      <c r="F2157">
        <f t="shared" si="72"/>
        <v>-1.8187316807387211E-2</v>
      </c>
      <c r="G2157">
        <f t="shared" si="73"/>
        <v>-3.1056148188625815E-2</v>
      </c>
    </row>
    <row r="2158" spans="1:7" x14ac:dyDescent="0.35">
      <c r="A2158" t="s">
        <v>118</v>
      </c>
      <c r="E2158">
        <v>9.6158374230274485E-3</v>
      </c>
      <c r="F2158">
        <f t="shared" si="72"/>
        <v>-1.818816016380977E-2</v>
      </c>
      <c r="G2158">
        <f t="shared" si="73"/>
        <v>-3.1056148188625815E-2</v>
      </c>
    </row>
    <row r="2159" spans="1:7" x14ac:dyDescent="0.35">
      <c r="A2159" t="s">
        <v>118</v>
      </c>
      <c r="E2159">
        <v>2.9746106154644857E-3</v>
      </c>
      <c r="F2159">
        <f t="shared" si="72"/>
        <v>-1.8189003520232332E-2</v>
      </c>
      <c r="G2159">
        <f t="shared" si="73"/>
        <v>-3.1056148188625815E-2</v>
      </c>
    </row>
    <row r="2160" spans="1:7" x14ac:dyDescent="0.35">
      <c r="A2160" t="s">
        <v>118</v>
      </c>
      <c r="E2160">
        <v>-4.2388575035165058E-3</v>
      </c>
      <c r="F2160">
        <f t="shared" si="72"/>
        <v>-1.8189846876654894E-2</v>
      </c>
      <c r="G2160">
        <f t="shared" si="73"/>
        <v>-3.1056148188625815E-2</v>
      </c>
    </row>
    <row r="2161" spans="1:7" x14ac:dyDescent="0.35">
      <c r="A2161" t="s">
        <v>118</v>
      </c>
      <c r="E2161">
        <v>-1.3084355484530762E-2</v>
      </c>
      <c r="F2161">
        <f t="shared" si="72"/>
        <v>-1.8196016100935446E-2</v>
      </c>
      <c r="G2161">
        <f t="shared" si="73"/>
        <v>-3.1213054302186429E-2</v>
      </c>
    </row>
    <row r="2162" spans="1:7" x14ac:dyDescent="0.35">
      <c r="A2162" t="s">
        <v>119</v>
      </c>
      <c r="B2162" s="3" cm="1">
        <f t="array" ref="B2162">_xlfn.STDEV.S(_xlfn._xlws.FILTER($E$2013:$E$3011, $A$2013:$A$3011="2018-09"))</f>
        <v>6.8834030802818226E-3</v>
      </c>
      <c r="C2162" s="3" cm="1">
        <f t="array" ref="C2162">AVERAGE(_xlfn._xlws.FILTER($E$2013:$E$3011, $A$2013:$A$3011="2018-09"))</f>
        <v>7.9485433125641195E-4</v>
      </c>
      <c r="D2162" s="3" cm="1">
        <f t="array" ref="D2162">_xlfn.PERCENTILE.EXC(_xlfn._xlws.FILTER($E$1498:$E$2489, $A$1498:$A$2489="2018-09"), 0.05)</f>
        <v>-1.5441382891928885E-2</v>
      </c>
      <c r="E2162">
        <v>1.284581047480709E-3</v>
      </c>
      <c r="F2162">
        <f t="shared" si="72"/>
        <v>-1.8202185325215996E-2</v>
      </c>
      <c r="G2162">
        <f t="shared" si="73"/>
        <v>-3.1213054302186429E-2</v>
      </c>
    </row>
    <row r="2163" spans="1:7" x14ac:dyDescent="0.35">
      <c r="A2163" t="s">
        <v>119</v>
      </c>
      <c r="E2163">
        <v>-1.3220106078440451E-2</v>
      </c>
      <c r="F2163">
        <f t="shared" si="72"/>
        <v>-1.8208354549496548E-2</v>
      </c>
      <c r="G2163">
        <f t="shared" si="73"/>
        <v>-3.1213054302186429E-2</v>
      </c>
    </row>
    <row r="2164" spans="1:7" x14ac:dyDescent="0.35">
      <c r="A2164" t="s">
        <v>119</v>
      </c>
      <c r="E2164">
        <v>-1.555829219790196E-2</v>
      </c>
      <c r="F2164">
        <f t="shared" si="72"/>
        <v>-1.8214523773777101E-2</v>
      </c>
      <c r="G2164">
        <f t="shared" si="73"/>
        <v>-3.1213054302186429E-2</v>
      </c>
    </row>
    <row r="2165" spans="1:7" x14ac:dyDescent="0.35">
      <c r="A2165" t="s">
        <v>119</v>
      </c>
      <c r="E2165">
        <v>-3.1187965943084983E-3</v>
      </c>
      <c r="F2165">
        <f t="shared" si="72"/>
        <v>-1.8220692998057654E-2</v>
      </c>
      <c r="G2165">
        <f t="shared" si="73"/>
        <v>-3.1213054302186429E-2</v>
      </c>
    </row>
    <row r="2166" spans="1:7" x14ac:dyDescent="0.35">
      <c r="A2166" t="s">
        <v>119</v>
      </c>
      <c r="E2166">
        <v>1.5967899917811766E-3</v>
      </c>
      <c r="F2166">
        <f t="shared" si="72"/>
        <v>-1.8226862222338203E-2</v>
      </c>
      <c r="G2166">
        <f t="shared" si="73"/>
        <v>-3.1213054302186429E-2</v>
      </c>
    </row>
    <row r="2167" spans="1:7" x14ac:dyDescent="0.35">
      <c r="A2167" t="s">
        <v>119</v>
      </c>
      <c r="E2167">
        <v>3.3093069923667549E-3</v>
      </c>
      <c r="F2167">
        <f t="shared" si="72"/>
        <v>-1.8233031446618756E-2</v>
      </c>
      <c r="G2167">
        <f t="shared" si="73"/>
        <v>-3.1213054302186429E-2</v>
      </c>
    </row>
    <row r="2168" spans="1:7" x14ac:dyDescent="0.35">
      <c r="A2168" t="s">
        <v>119</v>
      </c>
      <c r="E2168">
        <v>2.6834918912221049E-3</v>
      </c>
      <c r="F2168">
        <f t="shared" si="72"/>
        <v>-1.8239200670899309E-2</v>
      </c>
      <c r="G2168">
        <f t="shared" si="73"/>
        <v>-3.1213054302186429E-2</v>
      </c>
    </row>
    <row r="2169" spans="1:7" x14ac:dyDescent="0.35">
      <c r="A2169" t="s">
        <v>119</v>
      </c>
      <c r="E2169">
        <v>9.1071398634297012E-3</v>
      </c>
      <c r="F2169">
        <f t="shared" si="72"/>
        <v>-1.8245369895179858E-2</v>
      </c>
      <c r="G2169">
        <f t="shared" si="73"/>
        <v>-3.1213054302186429E-2</v>
      </c>
    </row>
    <row r="2170" spans="1:7" x14ac:dyDescent="0.35">
      <c r="A2170" t="s">
        <v>119</v>
      </c>
      <c r="E2170">
        <v>-7.5232760753964902E-4</v>
      </c>
      <c r="F2170">
        <f t="shared" si="72"/>
        <v>-1.8251539119460411E-2</v>
      </c>
      <c r="G2170">
        <f t="shared" si="73"/>
        <v>-3.1213054302186429E-2</v>
      </c>
    </row>
    <row r="2171" spans="1:7" x14ac:dyDescent="0.35">
      <c r="A2171" t="s">
        <v>119</v>
      </c>
      <c r="E2171">
        <v>4.5783638901362306E-3</v>
      </c>
      <c r="F2171">
        <f t="shared" si="72"/>
        <v>-1.8257708343740964E-2</v>
      </c>
      <c r="G2171">
        <f t="shared" si="73"/>
        <v>-3.1213054302186429E-2</v>
      </c>
    </row>
    <row r="2172" spans="1:7" x14ac:dyDescent="0.35">
      <c r="A2172" t="s">
        <v>119</v>
      </c>
      <c r="E2172">
        <v>-6.9149575149410976E-4</v>
      </c>
      <c r="F2172">
        <f t="shared" si="72"/>
        <v>-1.8263877568021517E-2</v>
      </c>
      <c r="G2172">
        <f t="shared" si="73"/>
        <v>-3.1213054302186429E-2</v>
      </c>
    </row>
    <row r="2173" spans="1:7" x14ac:dyDescent="0.35">
      <c r="A2173" t="s">
        <v>119</v>
      </c>
      <c r="E2173">
        <v>2.7854911192876138E-3</v>
      </c>
      <c r="F2173">
        <f t="shared" si="72"/>
        <v>-1.8270046792302066E-2</v>
      </c>
      <c r="G2173">
        <f t="shared" si="73"/>
        <v>-3.1213054302186429E-2</v>
      </c>
    </row>
    <row r="2174" spans="1:7" x14ac:dyDescent="0.35">
      <c r="A2174" t="s">
        <v>119</v>
      </c>
      <c r="E2174">
        <v>5.5682070852877573E-3</v>
      </c>
      <c r="F2174">
        <f t="shared" si="72"/>
        <v>-1.8276216016582619E-2</v>
      </c>
      <c r="G2174">
        <f t="shared" si="73"/>
        <v>-3.1213054302186429E-2</v>
      </c>
    </row>
    <row r="2175" spans="1:7" x14ac:dyDescent="0.35">
      <c r="A2175" t="s">
        <v>119</v>
      </c>
      <c r="E2175">
        <v>1.0668287395470466E-2</v>
      </c>
      <c r="F2175">
        <f t="shared" si="72"/>
        <v>-1.8282385240863171E-2</v>
      </c>
      <c r="G2175">
        <f t="shared" si="73"/>
        <v>-3.1213054302186429E-2</v>
      </c>
    </row>
    <row r="2176" spans="1:7" x14ac:dyDescent="0.35">
      <c r="A2176" t="s">
        <v>119</v>
      </c>
      <c r="E2176">
        <v>7.7802207954337744E-3</v>
      </c>
      <c r="F2176">
        <f t="shared" si="72"/>
        <v>-1.8288554465143724E-2</v>
      </c>
      <c r="G2176">
        <f t="shared" si="73"/>
        <v>-3.1213054302186429E-2</v>
      </c>
    </row>
    <row r="2177" spans="1:7" x14ac:dyDescent="0.35">
      <c r="A2177" t="s">
        <v>119</v>
      </c>
      <c r="E2177">
        <v>-3.2815785387022502E-3</v>
      </c>
      <c r="F2177">
        <f t="shared" si="72"/>
        <v>-1.8294723689424277E-2</v>
      </c>
      <c r="G2177">
        <f t="shared" si="73"/>
        <v>-3.1213054302186429E-2</v>
      </c>
    </row>
    <row r="2178" spans="1:7" x14ac:dyDescent="0.35">
      <c r="A2178" t="s">
        <v>119</v>
      </c>
      <c r="E2178">
        <v>5.3490239306950649E-4</v>
      </c>
      <c r="F2178">
        <f t="shared" si="72"/>
        <v>-1.8300892913704826E-2</v>
      </c>
      <c r="G2178">
        <f t="shared" si="73"/>
        <v>-3.1213054302186429E-2</v>
      </c>
    </row>
    <row r="2179" spans="1:7" x14ac:dyDescent="0.35">
      <c r="A2179" t="s">
        <v>119</v>
      </c>
      <c r="E2179">
        <v>6.1191093631069995E-3</v>
      </c>
      <c r="F2179">
        <f t="shared" si="72"/>
        <v>-1.8307062137985379E-2</v>
      </c>
      <c r="G2179">
        <f t="shared" si="73"/>
        <v>-3.1213054302186429E-2</v>
      </c>
    </row>
    <row r="2180" spans="1:7" x14ac:dyDescent="0.35">
      <c r="A2180" t="s">
        <v>119</v>
      </c>
      <c r="E2180">
        <v>5.0085419824314045E-3</v>
      </c>
      <c r="F2180">
        <f t="shared" ref="F2180:F2243" si="74">_xlfn.PERCENTILE.EXC(E2180:E5995,0.05)</f>
        <v>-1.8313231362265932E-2</v>
      </c>
      <c r="G2180">
        <f t="shared" ref="G2180:G2243" si="75">AVERAGEIFS(E2180:E5996,E2180:E5996,"&lt;=" &amp; F2180)</f>
        <v>-3.1213054302186429E-2</v>
      </c>
    </row>
    <row r="2181" spans="1:7" x14ac:dyDescent="0.35">
      <c r="A2181" t="s">
        <v>119</v>
      </c>
      <c r="E2181">
        <v>-8.5047504169890424E-3</v>
      </c>
      <c r="F2181">
        <f t="shared" si="74"/>
        <v>-1.8326494899788472E-2</v>
      </c>
      <c r="G2181">
        <f t="shared" si="75"/>
        <v>-3.137231137551879E-2</v>
      </c>
    </row>
    <row r="2182" spans="1:7" x14ac:dyDescent="0.35">
      <c r="A2182" t="s">
        <v>120</v>
      </c>
      <c r="B2182" s="3" cm="1">
        <f t="array" ref="B2182">_xlfn.STDEV.S(_xlfn._xlws.FILTER($E$2013:$E$3011, $A$2013:$A$3011="2018-10"))</f>
        <v>1.1130975487647127E-2</v>
      </c>
      <c r="C2182" s="3" cm="1">
        <f t="array" ref="C2182">AVERAGE(_xlfn._xlws.FILTER($E$2013:$E$3011, $A$2013:$A$3011="2018-10"))</f>
        <v>-3.4368326165758354E-3</v>
      </c>
      <c r="D2182" s="3" cm="1">
        <f t="array" ref="D2182">_xlfn.PERCENTILE.EXC(_xlfn._xlws.FILTER($E$1498:$E$2489, $A$1498:$A$2489="2018-10"), 0.05)</f>
        <v>-2.1049441118132589E-2</v>
      </c>
      <c r="E2182">
        <v>2.4235692493553263E-3</v>
      </c>
      <c r="F2182">
        <f t="shared" si="74"/>
        <v>-1.8339758437311008E-2</v>
      </c>
      <c r="G2182">
        <f t="shared" si="75"/>
        <v>-3.137231137551879E-2</v>
      </c>
    </row>
    <row r="2183" spans="1:7" x14ac:dyDescent="0.35">
      <c r="A2183" t="s">
        <v>120</v>
      </c>
      <c r="E2183">
        <v>-7.0945224586466179E-3</v>
      </c>
      <c r="F2183">
        <f t="shared" si="74"/>
        <v>-1.8353021974833548E-2</v>
      </c>
      <c r="G2183">
        <f t="shared" si="75"/>
        <v>-3.137231137551879E-2</v>
      </c>
    </row>
    <row r="2184" spans="1:7" x14ac:dyDescent="0.35">
      <c r="A2184" t="s">
        <v>120</v>
      </c>
      <c r="E2184">
        <v>-1.0486604646819473E-2</v>
      </c>
      <c r="F2184">
        <f t="shared" si="74"/>
        <v>-1.8366285512356084E-2</v>
      </c>
      <c r="G2184">
        <f t="shared" si="75"/>
        <v>-3.137231137551879E-2</v>
      </c>
    </row>
    <row r="2185" spans="1:7" x14ac:dyDescent="0.35">
      <c r="A2185" t="s">
        <v>120</v>
      </c>
      <c r="E2185">
        <v>-9.5616319993779373E-3</v>
      </c>
      <c r="F2185">
        <f t="shared" si="74"/>
        <v>-1.8379549049878628E-2</v>
      </c>
      <c r="G2185">
        <f t="shared" si="75"/>
        <v>-3.137231137551879E-2</v>
      </c>
    </row>
    <row r="2186" spans="1:7" x14ac:dyDescent="0.35">
      <c r="A2186" t="s">
        <v>120</v>
      </c>
      <c r="E2186">
        <v>-1.1090575711595703E-2</v>
      </c>
      <c r="F2186">
        <f t="shared" si="74"/>
        <v>-1.8392812587401164E-2</v>
      </c>
      <c r="G2186">
        <f t="shared" si="75"/>
        <v>-3.137231137551879E-2</v>
      </c>
    </row>
    <row r="2187" spans="1:7" x14ac:dyDescent="0.35">
      <c r="A2187" t="s">
        <v>120</v>
      </c>
      <c r="E2187">
        <v>3.4467205553957076E-3</v>
      </c>
      <c r="F2187">
        <f t="shared" si="74"/>
        <v>-1.8406076124923704E-2</v>
      </c>
      <c r="G2187">
        <f t="shared" si="75"/>
        <v>-3.137231137551879E-2</v>
      </c>
    </row>
    <row r="2188" spans="1:7" x14ac:dyDescent="0.35">
      <c r="A2188" t="s">
        <v>120</v>
      </c>
      <c r="E2188">
        <v>-2.1346645200840279E-2</v>
      </c>
      <c r="F2188">
        <f t="shared" si="74"/>
        <v>-1.841933966244624E-2</v>
      </c>
      <c r="G2188">
        <f t="shared" si="75"/>
        <v>-3.137231137551879E-2</v>
      </c>
    </row>
    <row r="2189" spans="1:7" x14ac:dyDescent="0.35">
      <c r="A2189" t="s">
        <v>120</v>
      </c>
      <c r="E2189">
        <v>-1.9365284649455684E-2</v>
      </c>
      <c r="F2189">
        <f t="shared" si="74"/>
        <v>-1.8245369895179858E-2</v>
      </c>
      <c r="G2189">
        <f t="shared" si="75"/>
        <v>-3.1334861821956141E-2</v>
      </c>
    </row>
    <row r="2190" spans="1:7" x14ac:dyDescent="0.35">
      <c r="A2190" t="s">
        <v>120</v>
      </c>
      <c r="E2190">
        <v>-2.0367863466571219E-3</v>
      </c>
      <c r="F2190">
        <f t="shared" si="74"/>
        <v>-1.8181413312429281E-2</v>
      </c>
      <c r="G2190">
        <f t="shared" si="75"/>
        <v>-3.1320350244514149E-2</v>
      </c>
    </row>
    <row r="2191" spans="1:7" x14ac:dyDescent="0.35">
      <c r="A2191" t="s">
        <v>120</v>
      </c>
      <c r="E2191">
        <v>-1.7858807530503267E-4</v>
      </c>
      <c r="F2191">
        <f t="shared" si="74"/>
        <v>-1.8182256668851843E-2</v>
      </c>
      <c r="G2191">
        <f t="shared" si="75"/>
        <v>-3.1320350244514149E-2</v>
      </c>
    </row>
    <row r="2192" spans="1:7" x14ac:dyDescent="0.35">
      <c r="A2192" t="s">
        <v>120</v>
      </c>
      <c r="E2192">
        <v>1.5189051005828069E-2</v>
      </c>
      <c r="F2192">
        <f t="shared" si="74"/>
        <v>-1.8183100025274405E-2</v>
      </c>
      <c r="G2192">
        <f t="shared" si="75"/>
        <v>-3.1320350244514149E-2</v>
      </c>
    </row>
    <row r="2193" spans="1:7" x14ac:dyDescent="0.35">
      <c r="A2193" t="s">
        <v>120</v>
      </c>
      <c r="E2193">
        <v>-5.4468054800942967E-3</v>
      </c>
      <c r="F2193">
        <f t="shared" si="74"/>
        <v>-1.8183943381696963E-2</v>
      </c>
      <c r="G2193">
        <f t="shared" si="75"/>
        <v>-3.1320350244514149E-2</v>
      </c>
    </row>
    <row r="2194" spans="1:7" x14ac:dyDescent="0.35">
      <c r="A2194" t="s">
        <v>120</v>
      </c>
      <c r="E2194">
        <v>-5.4883617566858743E-3</v>
      </c>
      <c r="F2194">
        <f t="shared" si="74"/>
        <v>-1.8184786738119525E-2</v>
      </c>
      <c r="G2194">
        <f t="shared" si="75"/>
        <v>-3.1320350244514149E-2</v>
      </c>
    </row>
    <row r="2195" spans="1:7" x14ac:dyDescent="0.35">
      <c r="A2195" t="s">
        <v>120</v>
      </c>
      <c r="E2195">
        <v>-6.2991253675507017E-3</v>
      </c>
      <c r="F2195">
        <f t="shared" si="74"/>
        <v>-1.8185630094542087E-2</v>
      </c>
      <c r="G2195">
        <f t="shared" si="75"/>
        <v>-3.1320350244514149E-2</v>
      </c>
    </row>
    <row r="2196" spans="1:7" x14ac:dyDescent="0.35">
      <c r="A2196" t="s">
        <v>120</v>
      </c>
      <c r="E2196">
        <v>-6.1846898203633902E-3</v>
      </c>
      <c r="F2196">
        <f t="shared" si="74"/>
        <v>-1.8186473450964649E-2</v>
      </c>
      <c r="G2196">
        <f t="shared" si="75"/>
        <v>-3.1320350244514149E-2</v>
      </c>
    </row>
    <row r="2197" spans="1:7" x14ac:dyDescent="0.35">
      <c r="A2197" t="s">
        <v>120</v>
      </c>
      <c r="E2197">
        <v>-1.7088530792828505E-2</v>
      </c>
      <c r="F2197">
        <f t="shared" si="74"/>
        <v>-1.8187316807387211E-2</v>
      </c>
      <c r="G2197">
        <f t="shared" si="75"/>
        <v>-3.1320350244514149E-2</v>
      </c>
    </row>
    <row r="2198" spans="1:7" x14ac:dyDescent="0.35">
      <c r="A2198" t="s">
        <v>120</v>
      </c>
      <c r="E2198">
        <v>-2.9433190817932105E-3</v>
      </c>
      <c r="F2198">
        <f t="shared" si="74"/>
        <v>-1.818816016380977E-2</v>
      </c>
      <c r="G2198">
        <f t="shared" si="75"/>
        <v>-3.1320350244514149E-2</v>
      </c>
    </row>
    <row r="2199" spans="1:7" x14ac:dyDescent="0.35">
      <c r="A2199" t="s">
        <v>120</v>
      </c>
      <c r="E2199">
        <v>1.586551181641619E-2</v>
      </c>
      <c r="F2199">
        <f t="shared" si="74"/>
        <v>-1.8189003520232332E-2</v>
      </c>
      <c r="G2199">
        <f t="shared" si="75"/>
        <v>-3.1320350244514149E-2</v>
      </c>
    </row>
    <row r="2200" spans="1:7" x14ac:dyDescent="0.35">
      <c r="A2200" t="s">
        <v>120</v>
      </c>
      <c r="E2200">
        <v>-1.2986611067297435E-2</v>
      </c>
      <c r="F2200">
        <f t="shared" si="74"/>
        <v>-1.8189846876654894E-2</v>
      </c>
      <c r="G2200">
        <f t="shared" si="75"/>
        <v>-3.1320350244514149E-2</v>
      </c>
    </row>
    <row r="2201" spans="1:7" x14ac:dyDescent="0.35">
      <c r="A2201" t="s">
        <v>120</v>
      </c>
      <c r="E2201">
        <v>4.4151157620420291E-3</v>
      </c>
      <c r="F2201">
        <f t="shared" si="74"/>
        <v>-1.8196016100935446E-2</v>
      </c>
      <c r="G2201">
        <f t="shared" si="75"/>
        <v>-3.1484481536612388E-2</v>
      </c>
    </row>
    <row r="2202" spans="1:7" x14ac:dyDescent="0.35">
      <c r="A2202" t="s">
        <v>120</v>
      </c>
      <c r="E2202">
        <v>-2.1709740184815444E-3</v>
      </c>
      <c r="F2202">
        <f t="shared" si="74"/>
        <v>-1.8202185325215996E-2</v>
      </c>
      <c r="G2202">
        <f t="shared" si="75"/>
        <v>-3.1484481536612388E-2</v>
      </c>
    </row>
    <row r="2203" spans="1:7" x14ac:dyDescent="0.35">
      <c r="A2203" t="s">
        <v>120</v>
      </c>
      <c r="E2203">
        <v>2.2818770520087132E-2</v>
      </c>
      <c r="F2203">
        <f t="shared" si="74"/>
        <v>-1.8208354549496548E-2</v>
      </c>
      <c r="G2203">
        <f t="shared" si="75"/>
        <v>-3.1484481536612388E-2</v>
      </c>
    </row>
    <row r="2204" spans="1:7" x14ac:dyDescent="0.35">
      <c r="A2204" t="s">
        <v>121</v>
      </c>
      <c r="B2204" s="3" cm="1">
        <f t="array" ref="B2204">_xlfn.STDEV.S(_xlfn._xlws.FILTER($E$2013:$E$3011, $A$2013:$A$3011="2018-11"))</f>
        <v>6.7272747633270119E-3</v>
      </c>
      <c r="C2204" s="3" cm="1">
        <f t="array" ref="C2204">AVERAGE(_xlfn._xlws.FILTER($E$2013:$E$3011, $A$2013:$A$3011="2018-11"))</f>
        <v>-8.0599236330530484E-4</v>
      </c>
      <c r="D2204" s="3" cm="1">
        <f t="array" ref="D2204">_xlfn.PERCENTILE.EXC(_xlfn._xlws.FILTER($E$1498:$E$2489, $A$1498:$A$2489="2018-11"), 0.05)</f>
        <v>-1.1794956505468317E-2</v>
      </c>
      <c r="E2204">
        <v>-1.5050271918463018E-3</v>
      </c>
      <c r="F2204">
        <f t="shared" si="74"/>
        <v>-1.8214523773777101E-2</v>
      </c>
      <c r="G2204">
        <f t="shared" si="75"/>
        <v>-3.1484481536612388E-2</v>
      </c>
    </row>
    <row r="2205" spans="1:7" x14ac:dyDescent="0.35">
      <c r="A2205" t="s">
        <v>121</v>
      </c>
      <c r="E2205">
        <v>3.2096895313402356E-3</v>
      </c>
      <c r="F2205">
        <f t="shared" si="74"/>
        <v>-1.8220692998057654E-2</v>
      </c>
      <c r="G2205">
        <f t="shared" si="75"/>
        <v>-3.1484481536612388E-2</v>
      </c>
    </row>
    <row r="2206" spans="1:7" x14ac:dyDescent="0.35">
      <c r="A2206" t="s">
        <v>121</v>
      </c>
      <c r="E2206">
        <v>-1.4504798369523145E-4</v>
      </c>
      <c r="F2206">
        <f t="shared" si="74"/>
        <v>-1.8226862222338203E-2</v>
      </c>
      <c r="G2206">
        <f t="shared" si="75"/>
        <v>-3.1484481536612388E-2</v>
      </c>
    </row>
    <row r="2207" spans="1:7" x14ac:dyDescent="0.35">
      <c r="A2207" t="s">
        <v>121</v>
      </c>
      <c r="E2207">
        <v>-5.1490889644552019E-3</v>
      </c>
      <c r="F2207">
        <f t="shared" si="74"/>
        <v>-1.8233031446618756E-2</v>
      </c>
      <c r="G2207">
        <f t="shared" si="75"/>
        <v>-3.1484481536612388E-2</v>
      </c>
    </row>
    <row r="2208" spans="1:7" x14ac:dyDescent="0.35">
      <c r="A2208" t="s">
        <v>121</v>
      </c>
      <c r="E2208">
        <v>1.2288258273209477E-2</v>
      </c>
      <c r="F2208">
        <f t="shared" si="74"/>
        <v>-1.8239200670899309E-2</v>
      </c>
      <c r="G2208">
        <f t="shared" si="75"/>
        <v>-3.1484481536612388E-2</v>
      </c>
    </row>
    <row r="2209" spans="1:7" x14ac:dyDescent="0.35">
      <c r="A2209" t="s">
        <v>121</v>
      </c>
      <c r="E2209">
        <v>-1.2639506073913399E-3</v>
      </c>
      <c r="F2209">
        <f t="shared" si="74"/>
        <v>-1.8245369895179858E-2</v>
      </c>
      <c r="G2209">
        <f t="shared" si="75"/>
        <v>-3.1484481536612388E-2</v>
      </c>
    </row>
    <row r="2210" spans="1:7" x14ac:dyDescent="0.35">
      <c r="A2210" t="s">
        <v>121</v>
      </c>
      <c r="E2210">
        <v>-4.8250762674655213E-3</v>
      </c>
      <c r="F2210">
        <f t="shared" si="74"/>
        <v>-1.8251539119460411E-2</v>
      </c>
      <c r="G2210">
        <f t="shared" si="75"/>
        <v>-3.1484481536612388E-2</v>
      </c>
    </row>
    <row r="2211" spans="1:7" x14ac:dyDescent="0.35">
      <c r="A2211" t="s">
        <v>121</v>
      </c>
      <c r="E2211">
        <v>-9.3765688204008549E-3</v>
      </c>
      <c r="F2211">
        <f t="shared" si="74"/>
        <v>-1.8257708343740964E-2</v>
      </c>
      <c r="G2211">
        <f t="shared" si="75"/>
        <v>-3.1484481536612388E-2</v>
      </c>
    </row>
    <row r="2212" spans="1:7" x14ac:dyDescent="0.35">
      <c r="A2212" t="s">
        <v>121</v>
      </c>
      <c r="E2212">
        <v>8.4165938235746078E-3</v>
      </c>
      <c r="F2212">
        <f t="shared" si="74"/>
        <v>-1.8263877568021517E-2</v>
      </c>
      <c r="G2212">
        <f t="shared" si="75"/>
        <v>-3.1484481536612388E-2</v>
      </c>
    </row>
    <row r="2213" spans="1:7" x14ac:dyDescent="0.35">
      <c r="A2213" t="s">
        <v>121</v>
      </c>
      <c r="E2213">
        <v>-6.4892516352821773E-3</v>
      </c>
      <c r="F2213">
        <f t="shared" si="74"/>
        <v>-1.8270046792302066E-2</v>
      </c>
      <c r="G2213">
        <f t="shared" si="75"/>
        <v>-3.1484481536612388E-2</v>
      </c>
    </row>
    <row r="2214" spans="1:7" x14ac:dyDescent="0.35">
      <c r="A2214" t="s">
        <v>121</v>
      </c>
      <c r="E2214">
        <v>-6.9745602435843492E-3</v>
      </c>
      <c r="F2214">
        <f t="shared" si="74"/>
        <v>-1.8276216016582619E-2</v>
      </c>
      <c r="G2214">
        <f t="shared" si="75"/>
        <v>-3.1484481536612388E-2</v>
      </c>
    </row>
    <row r="2215" spans="1:7" x14ac:dyDescent="0.35">
      <c r="A2215" t="s">
        <v>121</v>
      </c>
      <c r="E2215">
        <v>-1.6741530252302535E-3</v>
      </c>
      <c r="F2215">
        <f t="shared" si="74"/>
        <v>-1.8282385240863171E-2</v>
      </c>
      <c r="G2215">
        <f t="shared" si="75"/>
        <v>-3.1484481536612388E-2</v>
      </c>
    </row>
    <row r="2216" spans="1:7" x14ac:dyDescent="0.35">
      <c r="A2216" t="s">
        <v>121</v>
      </c>
      <c r="E2216">
        <v>-7.9415839960513632E-3</v>
      </c>
      <c r="F2216">
        <f t="shared" si="74"/>
        <v>-1.8288554465143724E-2</v>
      </c>
      <c r="G2216">
        <f t="shared" si="75"/>
        <v>-3.1484481536612388E-2</v>
      </c>
    </row>
    <row r="2217" spans="1:7" x14ac:dyDescent="0.35">
      <c r="A2217" t="s">
        <v>121</v>
      </c>
      <c r="E2217">
        <v>-1.2221730802833165E-2</v>
      </c>
      <c r="F2217">
        <f t="shared" si="74"/>
        <v>-1.8294723689424277E-2</v>
      </c>
      <c r="G2217">
        <f t="shared" si="75"/>
        <v>-3.1484481536612388E-2</v>
      </c>
    </row>
    <row r="2218" spans="1:7" x14ac:dyDescent="0.35">
      <c r="A2218" t="s">
        <v>121</v>
      </c>
      <c r="E2218">
        <v>1.0223928723838611E-2</v>
      </c>
      <c r="F2218">
        <f t="shared" si="74"/>
        <v>-1.8300892913704826E-2</v>
      </c>
      <c r="G2218">
        <f t="shared" si="75"/>
        <v>-3.1484481536612388E-2</v>
      </c>
    </row>
    <row r="2219" spans="1:7" x14ac:dyDescent="0.35">
      <c r="A2219" t="s">
        <v>121</v>
      </c>
      <c r="E2219">
        <v>-7.5371259926540453E-3</v>
      </c>
      <c r="F2219">
        <f t="shared" si="74"/>
        <v>-1.8307062137985379E-2</v>
      </c>
      <c r="G2219">
        <f t="shared" si="75"/>
        <v>-3.1484481536612388E-2</v>
      </c>
    </row>
    <row r="2220" spans="1:7" x14ac:dyDescent="0.35">
      <c r="A2220" t="s">
        <v>121</v>
      </c>
      <c r="E2220">
        <v>1.7824829784304859E-3</v>
      </c>
      <c r="F2220">
        <f t="shared" si="74"/>
        <v>-1.8313231362265932E-2</v>
      </c>
      <c r="G2220">
        <f t="shared" si="75"/>
        <v>-3.1484481536612388E-2</v>
      </c>
    </row>
    <row r="2221" spans="1:7" x14ac:dyDescent="0.35">
      <c r="A2221" t="s">
        <v>121</v>
      </c>
      <c r="E2221">
        <v>9.6621830296403088E-3</v>
      </c>
      <c r="F2221">
        <f t="shared" si="74"/>
        <v>-1.8326494899788472E-2</v>
      </c>
      <c r="G2221">
        <f t="shared" si="75"/>
        <v>-3.1651206222363601E-2</v>
      </c>
    </row>
    <row r="2222" spans="1:7" x14ac:dyDescent="0.35">
      <c r="A2222" t="s">
        <v>121</v>
      </c>
      <c r="E2222">
        <v>-2.371186894312744E-3</v>
      </c>
      <c r="F2222">
        <f t="shared" si="74"/>
        <v>-1.8339758437311008E-2</v>
      </c>
      <c r="G2222">
        <f t="shared" si="75"/>
        <v>-3.1651206222363601E-2</v>
      </c>
    </row>
    <row r="2223" spans="1:7" x14ac:dyDescent="0.35">
      <c r="A2223" t="s">
        <v>121</v>
      </c>
      <c r="E2223">
        <v>1.8060702020005075E-5</v>
      </c>
      <c r="F2223">
        <f t="shared" si="74"/>
        <v>-1.8353021974833548E-2</v>
      </c>
      <c r="G2223">
        <f t="shared" si="75"/>
        <v>-3.1651206222363601E-2</v>
      </c>
    </row>
    <row r="2224" spans="1:7" x14ac:dyDescent="0.35">
      <c r="A2224" t="s">
        <v>121</v>
      </c>
      <c r="E2224">
        <v>4.6068499383283574E-3</v>
      </c>
      <c r="F2224">
        <f t="shared" si="74"/>
        <v>-1.8366285512356084E-2</v>
      </c>
      <c r="G2224">
        <f t="shared" si="75"/>
        <v>-3.1651206222363601E-2</v>
      </c>
    </row>
    <row r="2225" spans="1:7" x14ac:dyDescent="0.35">
      <c r="A2225" t="s">
        <v>121</v>
      </c>
      <c r="E2225">
        <v>-4.655265678962538E-4</v>
      </c>
      <c r="F2225">
        <f t="shared" si="74"/>
        <v>-1.8379549049878628E-2</v>
      </c>
      <c r="G2225">
        <f t="shared" si="75"/>
        <v>-3.1651206222363601E-2</v>
      </c>
    </row>
    <row r="2226" spans="1:7" x14ac:dyDescent="0.35">
      <c r="A2226" t="s">
        <v>122</v>
      </c>
      <c r="B2226" s="3" cm="1">
        <f t="array" ref="B2226">_xlfn.STDEV.S(_xlfn._xlws.FILTER($E$2013:$E$3011, $A$2013:$A$3011="2018-12"))</f>
        <v>1.4775060468237794E-2</v>
      </c>
      <c r="C2226" s="3" cm="1">
        <f t="array" ref="C2226">AVERAGE(_xlfn._xlws.FILTER($E$2013:$E$3011, $A$2013:$A$3011="2018-12"))</f>
        <v>-3.9525154326718343E-3</v>
      </c>
      <c r="D2226" s="3" cm="1">
        <f t="array" ref="D2226">_xlfn.PERCENTILE.INC(_xlfn._xlws.FILTER($E$1498:$E$2489, $A$1498:$A$2489="2018-12"), 0.05)</f>
        <v>-2.323212758707055E-2</v>
      </c>
      <c r="E2226">
        <v>9.9544464299613413E-3</v>
      </c>
      <c r="F2226">
        <f t="shared" si="74"/>
        <v>-1.8392812587401164E-2</v>
      </c>
      <c r="G2226">
        <f t="shared" si="75"/>
        <v>-3.1651206222363601E-2</v>
      </c>
    </row>
    <row r="2227" spans="1:7" x14ac:dyDescent="0.35">
      <c r="A2227" t="s">
        <v>122</v>
      </c>
      <c r="E2227">
        <v>-8.2093393738474092E-3</v>
      </c>
      <c r="F2227">
        <f t="shared" si="74"/>
        <v>-1.8406076124923704E-2</v>
      </c>
      <c r="G2227">
        <f t="shared" si="75"/>
        <v>-3.1651206222363601E-2</v>
      </c>
    </row>
    <row r="2228" spans="1:7" x14ac:dyDescent="0.35">
      <c r="A2228" t="s">
        <v>122</v>
      </c>
      <c r="E2228">
        <v>-1.3717156779895604E-2</v>
      </c>
      <c r="F2228">
        <f t="shared" si="74"/>
        <v>-1.841933966244624E-2</v>
      </c>
      <c r="G2228">
        <f t="shared" si="75"/>
        <v>-3.1651206222363601E-2</v>
      </c>
    </row>
    <row r="2229" spans="1:7" x14ac:dyDescent="0.35">
      <c r="A2229" t="s">
        <v>122</v>
      </c>
      <c r="E2229">
        <v>-3.3712779360090532E-2</v>
      </c>
      <c r="F2229">
        <f t="shared" si="74"/>
        <v>-1.843260319996878E-2</v>
      </c>
      <c r="G2229">
        <f t="shared" si="75"/>
        <v>-3.1651206222363601E-2</v>
      </c>
    </row>
    <row r="2230" spans="1:7" x14ac:dyDescent="0.35">
      <c r="A2230" t="s">
        <v>122</v>
      </c>
      <c r="E2230">
        <v>6.8108239542003981E-3</v>
      </c>
      <c r="F2230">
        <f t="shared" si="74"/>
        <v>-1.8251539119460411E-2</v>
      </c>
      <c r="G2230">
        <f t="shared" si="75"/>
        <v>-3.1456275235049368E-2</v>
      </c>
    </row>
    <row r="2231" spans="1:7" x14ac:dyDescent="0.35">
      <c r="A2231" t="s">
        <v>122</v>
      </c>
      <c r="E2231">
        <v>-1.4808480740235209E-2</v>
      </c>
      <c r="F2231">
        <f t="shared" si="74"/>
        <v>-1.8257708343740964E-2</v>
      </c>
      <c r="G2231">
        <f t="shared" si="75"/>
        <v>-3.1456275235049368E-2</v>
      </c>
    </row>
    <row r="2232" spans="1:7" x14ac:dyDescent="0.35">
      <c r="A2232" t="s">
        <v>122</v>
      </c>
      <c r="E2232">
        <v>1.3367631700038794E-2</v>
      </c>
      <c r="F2232">
        <f t="shared" si="74"/>
        <v>-1.8263877568021517E-2</v>
      </c>
      <c r="G2232">
        <f t="shared" si="75"/>
        <v>-3.1456275235049368E-2</v>
      </c>
    </row>
    <row r="2233" spans="1:7" x14ac:dyDescent="0.35">
      <c r="A2233" t="s">
        <v>122</v>
      </c>
      <c r="E2233">
        <v>2.1255168142088773E-2</v>
      </c>
      <c r="F2233">
        <f t="shared" si="74"/>
        <v>-1.8270046792302066E-2</v>
      </c>
      <c r="G2233">
        <f t="shared" si="75"/>
        <v>-3.1456275235049368E-2</v>
      </c>
    </row>
    <row r="2234" spans="1:7" x14ac:dyDescent="0.35">
      <c r="A2234" t="s">
        <v>122</v>
      </c>
      <c r="E2234">
        <v>-2.555483184689808E-3</v>
      </c>
      <c r="F2234">
        <f t="shared" si="74"/>
        <v>-1.8276216016582619E-2</v>
      </c>
      <c r="G2234">
        <f t="shared" si="75"/>
        <v>-3.1456275235049368E-2</v>
      </c>
    </row>
    <row r="2235" spans="1:7" x14ac:dyDescent="0.35">
      <c r="A2235" t="s">
        <v>122</v>
      </c>
      <c r="E2235">
        <v>-8.865135356903156E-3</v>
      </c>
      <c r="F2235">
        <f t="shared" si="74"/>
        <v>-1.8282385240863171E-2</v>
      </c>
      <c r="G2235">
        <f t="shared" si="75"/>
        <v>-3.1456275235049368E-2</v>
      </c>
    </row>
    <row r="2236" spans="1:7" x14ac:dyDescent="0.35">
      <c r="A2236" t="s">
        <v>122</v>
      </c>
      <c r="E2236">
        <v>-1.1152466483511789E-2</v>
      </c>
      <c r="F2236">
        <f t="shared" si="74"/>
        <v>-1.8288554465143724E-2</v>
      </c>
      <c r="G2236">
        <f t="shared" si="75"/>
        <v>-3.1456275235049368E-2</v>
      </c>
    </row>
    <row r="2237" spans="1:7" x14ac:dyDescent="0.35">
      <c r="A2237" t="s">
        <v>122</v>
      </c>
      <c r="E2237">
        <v>-9.5856374829666208E-3</v>
      </c>
      <c r="F2237">
        <f t="shared" si="74"/>
        <v>-1.8294723689424277E-2</v>
      </c>
      <c r="G2237">
        <f t="shared" si="75"/>
        <v>-3.1456275235049368E-2</v>
      </c>
    </row>
    <row r="2238" spans="1:7" x14ac:dyDescent="0.35">
      <c r="A2238" t="s">
        <v>122</v>
      </c>
      <c r="E2238">
        <v>4.9037346219883912E-3</v>
      </c>
      <c r="F2238">
        <f t="shared" si="74"/>
        <v>-1.8300892913704826E-2</v>
      </c>
      <c r="G2238">
        <f t="shared" si="75"/>
        <v>-3.1456275235049368E-2</v>
      </c>
    </row>
    <row r="2239" spans="1:7" x14ac:dyDescent="0.35">
      <c r="A2239" t="s">
        <v>122</v>
      </c>
      <c r="E2239">
        <v>-1.7949966151388032E-2</v>
      </c>
      <c r="F2239">
        <f t="shared" si="74"/>
        <v>-1.8307062137985379E-2</v>
      </c>
      <c r="G2239">
        <f t="shared" si="75"/>
        <v>-3.1456275235049368E-2</v>
      </c>
    </row>
    <row r="2240" spans="1:7" x14ac:dyDescent="0.35">
      <c r="A2240" t="s">
        <v>122</v>
      </c>
      <c r="E2240">
        <v>4.0908336069988394E-4</v>
      </c>
      <c r="F2240">
        <f t="shared" si="74"/>
        <v>-1.8313231362265932E-2</v>
      </c>
      <c r="G2240">
        <f t="shared" si="75"/>
        <v>-3.1456275235049368E-2</v>
      </c>
    </row>
    <row r="2241" spans="1:7" x14ac:dyDescent="0.35">
      <c r="A2241" t="s">
        <v>122</v>
      </c>
      <c r="E2241">
        <v>-2.0611964643815556E-2</v>
      </c>
      <c r="F2241">
        <f t="shared" si="74"/>
        <v>-1.8326494899788472E-2</v>
      </c>
      <c r="G2241">
        <f t="shared" si="75"/>
        <v>-3.162477579752096E-2</v>
      </c>
    </row>
    <row r="2242" spans="1:7" x14ac:dyDescent="0.35">
      <c r="A2242" t="s">
        <v>122</v>
      </c>
      <c r="E2242">
        <v>1.7274758992944943E-2</v>
      </c>
      <c r="F2242">
        <f t="shared" si="74"/>
        <v>-1.8202185325215996E-2</v>
      </c>
      <c r="G2242">
        <f t="shared" si="75"/>
        <v>-3.1595304858013901E-2</v>
      </c>
    </row>
    <row r="2243" spans="1:7" x14ac:dyDescent="0.35">
      <c r="A2243" t="s">
        <v>123</v>
      </c>
      <c r="B2243" s="3" cm="1">
        <f t="array" ref="B2243">_xlfn.STDEV.S(_xlfn._xlws.FILTER($E$2013:$E$3011, $A$2013:$A$3011="2019-01"))</f>
        <v>9.3383302706239874E-3</v>
      </c>
      <c r="C2243" s="3" cm="1">
        <f t="array" ref="C2243">AVERAGE(_xlfn._xlws.FILTER($E$2013:$E$3011, $A$2013:$A$3011="2019-01"))</f>
        <v>2.9523640238584242E-3</v>
      </c>
      <c r="D2243" s="3" cm="1">
        <f t="array" ref="D2243">_xlfn.PERCENTILE.EXC(_xlfn._xlws.FILTER($E$1498:$E$2489, $A$1498:$A$2489="2019-01"), 0.05)</f>
        <v>-1.5377103427565509E-2</v>
      </c>
      <c r="E2243">
        <v>2.2736671220375229E-3</v>
      </c>
      <c r="F2243">
        <f t="shared" si="74"/>
        <v>-1.8208354549496548E-2</v>
      </c>
      <c r="G2243">
        <f t="shared" si="75"/>
        <v>-3.1595304858013901E-2</v>
      </c>
    </row>
    <row r="2244" spans="1:7" x14ac:dyDescent="0.35">
      <c r="A2244" t="s">
        <v>123</v>
      </c>
      <c r="E2244">
        <v>-1.6751494833780797E-2</v>
      </c>
      <c r="F2244">
        <f t="shared" ref="F2244:F2307" si="76">_xlfn.PERCENTILE.EXC(E2244:E6059,0.05)</f>
        <v>-1.8214523773777101E-2</v>
      </c>
      <c r="G2244">
        <f t="shared" ref="G2244:G2307" si="77">AVERAGEIFS(E2244:E6060,E2244:E6060,"&lt;=" &amp; F2244)</f>
        <v>-3.1595304858013901E-2</v>
      </c>
    </row>
    <row r="2245" spans="1:7" x14ac:dyDescent="0.35">
      <c r="A2245" t="s">
        <v>123</v>
      </c>
      <c r="E2245">
        <v>2.6878340910198365E-2</v>
      </c>
      <c r="F2245">
        <f t="shared" si="76"/>
        <v>-1.8220692998057654E-2</v>
      </c>
      <c r="G2245">
        <f t="shared" si="77"/>
        <v>-3.1595304858013901E-2</v>
      </c>
    </row>
    <row r="2246" spans="1:7" x14ac:dyDescent="0.35">
      <c r="A2246" t="s">
        <v>123</v>
      </c>
      <c r="E2246">
        <v>-3.796419432809759E-3</v>
      </c>
      <c r="F2246">
        <f t="shared" si="76"/>
        <v>-1.8226862222338203E-2</v>
      </c>
      <c r="G2246">
        <f t="shared" si="77"/>
        <v>-3.1595304858013901E-2</v>
      </c>
    </row>
    <row r="2247" spans="1:7" x14ac:dyDescent="0.35">
      <c r="A2247" t="s">
        <v>123</v>
      </c>
      <c r="E2247">
        <v>1.1398667943082667E-2</v>
      </c>
      <c r="F2247">
        <f t="shared" si="76"/>
        <v>-1.8233031446618756E-2</v>
      </c>
      <c r="G2247">
        <f t="shared" si="77"/>
        <v>-3.1595304858013901E-2</v>
      </c>
    </row>
    <row r="2248" spans="1:7" x14ac:dyDescent="0.35">
      <c r="A2248" t="s">
        <v>123</v>
      </c>
      <c r="E2248">
        <v>8.4094854009651079E-3</v>
      </c>
      <c r="F2248">
        <f t="shared" si="76"/>
        <v>-1.8239200670899309E-2</v>
      </c>
      <c r="G2248">
        <f t="shared" si="77"/>
        <v>-3.1595304858013901E-2</v>
      </c>
    </row>
    <row r="2249" spans="1:7" x14ac:dyDescent="0.35">
      <c r="A2249" t="s">
        <v>123</v>
      </c>
      <c r="E2249">
        <v>-1.6467001113746966E-3</v>
      </c>
      <c r="F2249">
        <f t="shared" si="76"/>
        <v>-1.8245369895179858E-2</v>
      </c>
      <c r="G2249">
        <f t="shared" si="77"/>
        <v>-3.1595304858013901E-2</v>
      </c>
    </row>
    <row r="2250" spans="1:7" x14ac:dyDescent="0.35">
      <c r="A2250" t="s">
        <v>123</v>
      </c>
      <c r="E2250">
        <v>-5.0735479645726226E-3</v>
      </c>
      <c r="F2250">
        <f t="shared" si="76"/>
        <v>-1.8251539119460411E-2</v>
      </c>
      <c r="G2250">
        <f t="shared" si="77"/>
        <v>-3.1595304858013901E-2</v>
      </c>
    </row>
    <row r="2251" spans="1:7" x14ac:dyDescent="0.35">
      <c r="A2251" t="s">
        <v>123</v>
      </c>
      <c r="E2251">
        <v>-3.8956094315530363E-3</v>
      </c>
      <c r="F2251">
        <f t="shared" si="76"/>
        <v>-1.8257708343740964E-2</v>
      </c>
      <c r="G2251">
        <f t="shared" si="77"/>
        <v>-3.1595304858013901E-2</v>
      </c>
    </row>
    <row r="2252" spans="1:7" x14ac:dyDescent="0.35">
      <c r="A2252" t="s">
        <v>123</v>
      </c>
      <c r="E2252">
        <v>4.9052766093912563E-3</v>
      </c>
      <c r="F2252">
        <f t="shared" si="76"/>
        <v>-1.8263877568021517E-2</v>
      </c>
      <c r="G2252">
        <f t="shared" si="77"/>
        <v>-3.1595304858013901E-2</v>
      </c>
    </row>
    <row r="2253" spans="1:7" x14ac:dyDescent="0.35">
      <c r="A2253" t="s">
        <v>123</v>
      </c>
      <c r="E2253">
        <v>5.120409315611407E-3</v>
      </c>
      <c r="F2253">
        <f t="shared" si="76"/>
        <v>-1.8270046792302066E-2</v>
      </c>
      <c r="G2253">
        <f t="shared" si="77"/>
        <v>-3.1595304858013901E-2</v>
      </c>
    </row>
    <row r="2254" spans="1:7" x14ac:dyDescent="0.35">
      <c r="A2254" t="s">
        <v>123</v>
      </c>
      <c r="E2254">
        <v>-3.4086055963321628E-3</v>
      </c>
      <c r="F2254">
        <f t="shared" si="76"/>
        <v>-1.8276216016582619E-2</v>
      </c>
      <c r="G2254">
        <f t="shared" si="77"/>
        <v>-3.1595304858013901E-2</v>
      </c>
    </row>
    <row r="2255" spans="1:7" x14ac:dyDescent="0.35">
      <c r="A2255" t="s">
        <v>123</v>
      </c>
      <c r="E2255">
        <v>1.6868542644365974E-2</v>
      </c>
      <c r="F2255">
        <f t="shared" si="76"/>
        <v>-1.8282385240863171E-2</v>
      </c>
      <c r="G2255">
        <f t="shared" si="77"/>
        <v>-3.1595304858013901E-2</v>
      </c>
    </row>
    <row r="2256" spans="1:7" x14ac:dyDescent="0.35">
      <c r="A2256" t="s">
        <v>123</v>
      </c>
      <c r="E2256">
        <v>-1.6728744801835129E-3</v>
      </c>
      <c r="F2256">
        <f t="shared" si="76"/>
        <v>-1.8288554465143724E-2</v>
      </c>
      <c r="G2256">
        <f t="shared" si="77"/>
        <v>-3.1595304858013901E-2</v>
      </c>
    </row>
    <row r="2257" spans="1:7" x14ac:dyDescent="0.35">
      <c r="A2257" t="s">
        <v>123</v>
      </c>
      <c r="E2257">
        <v>-4.1686841336496779E-3</v>
      </c>
      <c r="F2257">
        <f t="shared" si="76"/>
        <v>-1.8294723689424277E-2</v>
      </c>
      <c r="G2257">
        <f t="shared" si="77"/>
        <v>-3.1595304858013901E-2</v>
      </c>
    </row>
    <row r="2258" spans="1:7" x14ac:dyDescent="0.35">
      <c r="A2258" t="s">
        <v>123</v>
      </c>
      <c r="E2258">
        <v>-1.4760668293130501E-3</v>
      </c>
      <c r="F2258">
        <f t="shared" si="76"/>
        <v>-1.8300892913704826E-2</v>
      </c>
      <c r="G2258">
        <f t="shared" si="77"/>
        <v>-3.1595304858013901E-2</v>
      </c>
    </row>
    <row r="2259" spans="1:7" x14ac:dyDescent="0.35">
      <c r="A2259" t="s">
        <v>123</v>
      </c>
      <c r="E2259">
        <v>6.5030901499705668E-3</v>
      </c>
      <c r="F2259">
        <f t="shared" si="76"/>
        <v>-1.8307062137985379E-2</v>
      </c>
      <c r="G2259">
        <f t="shared" si="77"/>
        <v>-3.1595304858013901E-2</v>
      </c>
    </row>
    <row r="2260" spans="1:7" x14ac:dyDescent="0.35">
      <c r="A2260" t="s">
        <v>123</v>
      </c>
      <c r="E2260">
        <v>1.0994438033548751E-2</v>
      </c>
      <c r="F2260">
        <f t="shared" si="76"/>
        <v>-1.8313231362265932E-2</v>
      </c>
      <c r="G2260">
        <f t="shared" si="77"/>
        <v>-3.1595304858013901E-2</v>
      </c>
    </row>
    <row r="2261" spans="1:7" x14ac:dyDescent="0.35">
      <c r="A2261" t="s">
        <v>123</v>
      </c>
      <c r="E2261">
        <v>-7.5888854590122146E-3</v>
      </c>
      <c r="F2261">
        <f t="shared" si="76"/>
        <v>-1.8326494899788472E-2</v>
      </c>
      <c r="G2261">
        <f t="shared" si="77"/>
        <v>-3.1767799318997647E-2</v>
      </c>
    </row>
    <row r="2262" spans="1:7" x14ac:dyDescent="0.35">
      <c r="A2262" t="s">
        <v>123</v>
      </c>
      <c r="E2262">
        <v>8.0678787703827269E-3</v>
      </c>
      <c r="F2262">
        <f t="shared" si="76"/>
        <v>-1.8339758437311008E-2</v>
      </c>
      <c r="G2262">
        <f t="shared" si="77"/>
        <v>-3.1767799318997647E-2</v>
      </c>
    </row>
    <row r="2263" spans="1:7" x14ac:dyDescent="0.35">
      <c r="A2263" t="s">
        <v>123</v>
      </c>
      <c r="E2263">
        <v>9.407376702694141E-3</v>
      </c>
      <c r="F2263">
        <f t="shared" si="76"/>
        <v>-1.8353021974833548E-2</v>
      </c>
      <c r="G2263">
        <f t="shared" si="77"/>
        <v>-3.1767799318997647E-2</v>
      </c>
    </row>
    <row r="2264" spans="1:7" x14ac:dyDescent="0.35">
      <c r="A2264" t="s">
        <v>123</v>
      </c>
      <c r="E2264">
        <v>3.6037231952183754E-3</v>
      </c>
      <c r="F2264">
        <f t="shared" si="76"/>
        <v>-1.8366285512356084E-2</v>
      </c>
      <c r="G2264">
        <f t="shared" si="77"/>
        <v>-3.1767799318997647E-2</v>
      </c>
    </row>
    <row r="2265" spans="1:7" x14ac:dyDescent="0.35">
      <c r="A2265" t="s">
        <v>124</v>
      </c>
      <c r="B2265" s="3" cm="1">
        <f t="array" ref="B2265">_xlfn.STDEV.S(_xlfn._xlws.FILTER($E$2013:$E$3011, $A$2013:$A$3011="2019-02"))</f>
        <v>7.8778115543720103E-3</v>
      </c>
      <c r="C2265" s="3" cm="1">
        <f t="array" ref="C2265">AVERAGE(_xlfn._xlws.FILTER($E$2013:$E$3011, $A$2013:$A$3011="2019-02"))</f>
        <v>2.4220893410102176E-3</v>
      </c>
      <c r="D2265" s="3" cm="1">
        <f t="array" ref="D2265">_xlfn.PERCENTILE.EXC(_xlfn._xlws.FILTER($E$1498:$E$2489, $A$1498:$A$2489="2019-02"), 0.05)</f>
        <v>-1.7890047150503064E-2</v>
      </c>
      <c r="E2265">
        <v>5.3016610429974477E-3</v>
      </c>
      <c r="F2265">
        <f t="shared" si="76"/>
        <v>-1.8379549049878628E-2</v>
      </c>
      <c r="G2265">
        <f t="shared" si="77"/>
        <v>-3.1767799318997647E-2</v>
      </c>
    </row>
    <row r="2266" spans="1:7" x14ac:dyDescent="0.35">
      <c r="A2266" t="s">
        <v>124</v>
      </c>
      <c r="E2266">
        <v>-3.8066007669788448E-3</v>
      </c>
      <c r="F2266">
        <f t="shared" si="76"/>
        <v>-1.8392812587401164E-2</v>
      </c>
      <c r="G2266">
        <f t="shared" si="77"/>
        <v>-3.1767799318997647E-2</v>
      </c>
    </row>
    <row r="2267" spans="1:7" x14ac:dyDescent="0.35">
      <c r="A2267" t="s">
        <v>124</v>
      </c>
      <c r="E2267">
        <v>1.6492614147742148E-2</v>
      </c>
      <c r="F2267">
        <f t="shared" si="76"/>
        <v>-1.8406076124923704E-2</v>
      </c>
      <c r="G2267">
        <f t="shared" si="77"/>
        <v>-3.1767799318997647E-2</v>
      </c>
    </row>
    <row r="2268" spans="1:7" x14ac:dyDescent="0.35">
      <c r="A2268" t="s">
        <v>124</v>
      </c>
      <c r="E2268">
        <v>-8.4428963163875759E-4</v>
      </c>
      <c r="F2268">
        <f t="shared" si="76"/>
        <v>-1.841933966244624E-2</v>
      </c>
      <c r="G2268">
        <f t="shared" si="77"/>
        <v>-3.1767799318997647E-2</v>
      </c>
    </row>
    <row r="2269" spans="1:7" x14ac:dyDescent="0.35">
      <c r="A2269" t="s">
        <v>124</v>
      </c>
      <c r="E2269">
        <v>-1.8578502112716711E-2</v>
      </c>
      <c r="F2269">
        <f t="shared" si="76"/>
        <v>-1.843260319996878E-2</v>
      </c>
      <c r="G2269">
        <f t="shared" si="77"/>
        <v>-3.1767799318997647E-2</v>
      </c>
    </row>
    <row r="2270" spans="1:7" x14ac:dyDescent="0.35">
      <c r="A2270" t="s">
        <v>124</v>
      </c>
      <c r="E2270">
        <v>-4.8094028684437743E-3</v>
      </c>
      <c r="F2270">
        <f t="shared" si="76"/>
        <v>-1.8251539119460411E-2</v>
      </c>
      <c r="G2270">
        <f t="shared" si="77"/>
        <v>-3.1764354244316464E-2</v>
      </c>
    </row>
    <row r="2271" spans="1:7" x14ac:dyDescent="0.35">
      <c r="A2271" t="s">
        <v>124</v>
      </c>
      <c r="E2271">
        <v>1.0591401630854107E-2</v>
      </c>
      <c r="F2271">
        <f t="shared" si="76"/>
        <v>-1.8257708343740964E-2</v>
      </c>
      <c r="G2271">
        <f t="shared" si="77"/>
        <v>-3.1764354244316464E-2</v>
      </c>
    </row>
    <row r="2272" spans="1:7" x14ac:dyDescent="0.35">
      <c r="A2272" t="s">
        <v>124</v>
      </c>
      <c r="E2272">
        <v>8.3171462542671343E-3</v>
      </c>
      <c r="F2272">
        <f t="shared" si="76"/>
        <v>-1.8263877568021517E-2</v>
      </c>
      <c r="G2272">
        <f t="shared" si="77"/>
        <v>-3.1764354244316464E-2</v>
      </c>
    </row>
    <row r="2273" spans="1:7" x14ac:dyDescent="0.35">
      <c r="A2273" t="s">
        <v>124</v>
      </c>
      <c r="E2273">
        <v>3.5377930848312653E-3</v>
      </c>
      <c r="F2273">
        <f t="shared" si="76"/>
        <v>-1.8270046792302066E-2</v>
      </c>
      <c r="G2273">
        <f t="shared" si="77"/>
        <v>-3.1764354244316464E-2</v>
      </c>
    </row>
    <row r="2274" spans="1:7" x14ac:dyDescent="0.35">
      <c r="A2274" t="s">
        <v>124</v>
      </c>
      <c r="E2274">
        <v>-2.3182891748761243E-3</v>
      </c>
      <c r="F2274">
        <f t="shared" si="76"/>
        <v>-1.8276216016582619E-2</v>
      </c>
      <c r="G2274">
        <f t="shared" si="77"/>
        <v>-3.1764354244316464E-2</v>
      </c>
    </row>
    <row r="2275" spans="1:7" x14ac:dyDescent="0.35">
      <c r="A2275" t="s">
        <v>124</v>
      </c>
      <c r="E2275">
        <v>1.7751557349412611E-2</v>
      </c>
      <c r="F2275">
        <f t="shared" si="76"/>
        <v>-1.8282385240863171E-2</v>
      </c>
      <c r="G2275">
        <f t="shared" si="77"/>
        <v>-3.1764354244316464E-2</v>
      </c>
    </row>
    <row r="2276" spans="1:7" x14ac:dyDescent="0.35">
      <c r="A2276" t="s">
        <v>124</v>
      </c>
      <c r="E2276">
        <v>2.9743097942244784E-3</v>
      </c>
      <c r="F2276">
        <f t="shared" si="76"/>
        <v>-1.8288554465143724E-2</v>
      </c>
      <c r="G2276">
        <f t="shared" si="77"/>
        <v>-3.1764354244316464E-2</v>
      </c>
    </row>
    <row r="2277" spans="1:7" x14ac:dyDescent="0.35">
      <c r="A2277" t="s">
        <v>124</v>
      </c>
      <c r="E2277">
        <v>-1.5529005759837347E-3</v>
      </c>
      <c r="F2277">
        <f t="shared" si="76"/>
        <v>-1.8294723689424277E-2</v>
      </c>
      <c r="G2277">
        <f t="shared" si="77"/>
        <v>-3.1764354244316464E-2</v>
      </c>
    </row>
    <row r="2278" spans="1:7" x14ac:dyDescent="0.35">
      <c r="A2278" t="s">
        <v>124</v>
      </c>
      <c r="E2278">
        <v>6.8421263655035723E-3</v>
      </c>
      <c r="F2278">
        <f t="shared" si="76"/>
        <v>-1.8300892913704826E-2</v>
      </c>
      <c r="G2278">
        <f t="shared" si="77"/>
        <v>-3.1764354244316464E-2</v>
      </c>
    </row>
    <row r="2279" spans="1:7" x14ac:dyDescent="0.35">
      <c r="A2279" t="s">
        <v>124</v>
      </c>
      <c r="E2279">
        <v>3.0792739844110529E-5</v>
      </c>
      <c r="F2279">
        <f t="shared" si="76"/>
        <v>-1.8307062137985379E-2</v>
      </c>
      <c r="G2279">
        <f t="shared" si="77"/>
        <v>-3.1764354244316464E-2</v>
      </c>
    </row>
    <row r="2280" spans="1:7" x14ac:dyDescent="0.35">
      <c r="A2280" t="s">
        <v>124</v>
      </c>
      <c r="E2280">
        <v>3.7917978269917064E-3</v>
      </c>
      <c r="F2280">
        <f t="shared" si="76"/>
        <v>-1.8313231362265932E-2</v>
      </c>
      <c r="G2280">
        <f t="shared" si="77"/>
        <v>-3.1764354244316464E-2</v>
      </c>
    </row>
    <row r="2281" spans="1:7" x14ac:dyDescent="0.35">
      <c r="A2281" t="s">
        <v>124</v>
      </c>
      <c r="E2281">
        <v>3.0628774770119467E-3</v>
      </c>
      <c r="F2281">
        <f t="shared" si="76"/>
        <v>-1.8326816608706886E-2</v>
      </c>
      <c r="G2281">
        <f t="shared" si="77"/>
        <v>-3.1941342703290819E-2</v>
      </c>
    </row>
    <row r="2282" spans="1:7" x14ac:dyDescent="0.35">
      <c r="A2282" t="s">
        <v>124</v>
      </c>
      <c r="E2282">
        <v>1.3122496646972939E-3</v>
      </c>
      <c r="F2282">
        <f t="shared" si="76"/>
        <v>-1.8340401855147837E-2</v>
      </c>
      <c r="G2282">
        <f t="shared" si="77"/>
        <v>-3.1941342703290819E-2</v>
      </c>
    </row>
    <row r="2283" spans="1:7" x14ac:dyDescent="0.35">
      <c r="A2283" t="s">
        <v>124</v>
      </c>
      <c r="E2283">
        <v>-2.5554124304702115E-3</v>
      </c>
      <c r="F2283">
        <f t="shared" si="76"/>
        <v>-1.8353987101588792E-2</v>
      </c>
      <c r="G2283">
        <f t="shared" si="77"/>
        <v>-3.1941342703290819E-2</v>
      </c>
    </row>
    <row r="2284" spans="1:7" x14ac:dyDescent="0.35">
      <c r="A2284" t="s">
        <v>124</v>
      </c>
      <c r="E2284">
        <v>2.9008570029346878E-3</v>
      </c>
      <c r="F2284">
        <f t="shared" si="76"/>
        <v>-1.8367572348029743E-2</v>
      </c>
      <c r="G2284">
        <f t="shared" si="77"/>
        <v>-3.1941342703290819E-2</v>
      </c>
    </row>
    <row r="2285" spans="1:7" x14ac:dyDescent="0.35">
      <c r="A2285" t="s">
        <v>125</v>
      </c>
      <c r="B2285" s="3" cm="1">
        <f t="array" ref="B2285">_xlfn.STDEV.S(_xlfn._xlws.FILTER($E$2013:$E$3011, $A$2013:$A$3011="2019-03"))</f>
        <v>7.1791330149201596E-3</v>
      </c>
      <c r="C2285" s="3" cm="1">
        <f t="array" ref="C2285">AVERAGE(_xlfn._xlws.FILTER($E$2013:$E$3011, $A$2013:$A$3011="2019-03"))</f>
        <v>9.891896745484179E-4</v>
      </c>
      <c r="D2285" s="3" cm="1">
        <f t="array" ref="D2285">_xlfn.PERCENTILE.EXC(_xlfn._xlws.FILTER($E$1498:$E$2489, $A$1498:$A$2489="2019-03"), 0.05)</f>
        <v>-1.9213583905713327E-2</v>
      </c>
      <c r="E2285">
        <v>4.6945940479218322E-3</v>
      </c>
      <c r="F2285">
        <f t="shared" si="76"/>
        <v>-1.83811575944707E-2</v>
      </c>
      <c r="G2285">
        <f t="shared" si="77"/>
        <v>-3.1941342703290819E-2</v>
      </c>
    </row>
    <row r="2286" spans="1:7" x14ac:dyDescent="0.35">
      <c r="A2286" t="s">
        <v>125</v>
      </c>
      <c r="E2286">
        <v>4.0524100734988027E-3</v>
      </c>
      <c r="F2286">
        <f t="shared" si="76"/>
        <v>-1.8394742840911651E-2</v>
      </c>
      <c r="G2286">
        <f t="shared" si="77"/>
        <v>-3.1941342703290819E-2</v>
      </c>
    </row>
    <row r="2287" spans="1:7" x14ac:dyDescent="0.35">
      <c r="A2287" t="s">
        <v>125</v>
      </c>
      <c r="E2287">
        <v>2.0691441412041241E-3</v>
      </c>
      <c r="F2287">
        <f t="shared" si="76"/>
        <v>-1.8408328087352606E-2</v>
      </c>
      <c r="G2287">
        <f t="shared" si="77"/>
        <v>-3.1941342703290819E-2</v>
      </c>
    </row>
    <row r="2288" spans="1:7" x14ac:dyDescent="0.35">
      <c r="A2288" t="s">
        <v>125</v>
      </c>
      <c r="E2288">
        <v>-1.645518695404771E-3</v>
      </c>
      <c r="F2288">
        <f t="shared" si="76"/>
        <v>-1.8421913333793557E-2</v>
      </c>
      <c r="G2288">
        <f t="shared" si="77"/>
        <v>-3.1941342703290819E-2</v>
      </c>
    </row>
    <row r="2289" spans="1:7" x14ac:dyDescent="0.35">
      <c r="A2289" t="s">
        <v>125</v>
      </c>
      <c r="E2289">
        <v>-3.9576700866520527E-3</v>
      </c>
      <c r="F2289">
        <f t="shared" si="76"/>
        <v>-1.8435498580234515E-2</v>
      </c>
      <c r="G2289">
        <f t="shared" si="77"/>
        <v>-3.1941342703290819E-2</v>
      </c>
    </row>
    <row r="2290" spans="1:7" x14ac:dyDescent="0.35">
      <c r="A2290" t="s">
        <v>125</v>
      </c>
      <c r="E2290">
        <v>-6.9910772646926966E-3</v>
      </c>
      <c r="F2290">
        <f t="shared" si="76"/>
        <v>-1.8449083826675469E-2</v>
      </c>
      <c r="G2290">
        <f t="shared" si="77"/>
        <v>-3.1941342703290819E-2</v>
      </c>
    </row>
    <row r="2291" spans="1:7" x14ac:dyDescent="0.35">
      <c r="A2291" t="s">
        <v>125</v>
      </c>
      <c r="E2291">
        <v>6.6189446748741287E-3</v>
      </c>
      <c r="F2291">
        <f t="shared" si="76"/>
        <v>-1.846266907311642E-2</v>
      </c>
      <c r="G2291">
        <f t="shared" si="77"/>
        <v>-3.1941342703290819E-2</v>
      </c>
    </row>
    <row r="2292" spans="1:7" x14ac:dyDescent="0.35">
      <c r="A2292" t="s">
        <v>125</v>
      </c>
      <c r="E2292">
        <v>8.143346112260948E-4</v>
      </c>
      <c r="F2292">
        <f t="shared" si="76"/>
        <v>-1.8476254319557375E-2</v>
      </c>
      <c r="G2292">
        <f t="shared" si="77"/>
        <v>-3.1941342703290819E-2</v>
      </c>
    </row>
    <row r="2293" spans="1:7" x14ac:dyDescent="0.35">
      <c r="A2293" t="s">
        <v>125</v>
      </c>
      <c r="E2293">
        <v>6.8320704302068181E-3</v>
      </c>
      <c r="F2293">
        <f t="shared" si="76"/>
        <v>-1.8489839565998326E-2</v>
      </c>
      <c r="G2293">
        <f t="shared" si="77"/>
        <v>-3.1941342703290819E-2</v>
      </c>
    </row>
    <row r="2294" spans="1:7" x14ac:dyDescent="0.35">
      <c r="A2294" t="s">
        <v>125</v>
      </c>
      <c r="E2294">
        <v>8.1455683785896463E-3</v>
      </c>
      <c r="F2294">
        <f t="shared" si="76"/>
        <v>-1.8503424812439283E-2</v>
      </c>
      <c r="G2294">
        <f t="shared" si="77"/>
        <v>-3.1941342703290819E-2</v>
      </c>
    </row>
    <row r="2295" spans="1:7" x14ac:dyDescent="0.35">
      <c r="A2295" t="s">
        <v>125</v>
      </c>
      <c r="E2295">
        <v>1.0328215211914619E-2</v>
      </c>
      <c r="F2295">
        <f t="shared" si="76"/>
        <v>-1.8517010058880234E-2</v>
      </c>
      <c r="G2295">
        <f t="shared" si="77"/>
        <v>-3.1941342703290819E-2</v>
      </c>
    </row>
    <row r="2296" spans="1:7" x14ac:dyDescent="0.35">
      <c r="A2296" t="s">
        <v>125</v>
      </c>
      <c r="E2296">
        <v>1.3884076679290674E-3</v>
      </c>
      <c r="F2296">
        <f t="shared" si="76"/>
        <v>-1.8530595305321189E-2</v>
      </c>
      <c r="G2296">
        <f t="shared" si="77"/>
        <v>-3.1941342703290819E-2</v>
      </c>
    </row>
    <row r="2297" spans="1:7" x14ac:dyDescent="0.35">
      <c r="A2297" t="s">
        <v>125</v>
      </c>
      <c r="E2297">
        <v>2.4117228374607269E-3</v>
      </c>
      <c r="F2297">
        <f t="shared" si="76"/>
        <v>-1.854418055176214E-2</v>
      </c>
      <c r="G2297">
        <f t="shared" si="77"/>
        <v>-3.1941342703290819E-2</v>
      </c>
    </row>
    <row r="2298" spans="1:7" x14ac:dyDescent="0.35">
      <c r="A2298" t="s">
        <v>125</v>
      </c>
      <c r="E2298">
        <v>-8.0011085060360462E-3</v>
      </c>
      <c r="F2298">
        <f t="shared" si="76"/>
        <v>-1.8557765798203094E-2</v>
      </c>
      <c r="G2298">
        <f t="shared" si="77"/>
        <v>-3.1941342703290819E-2</v>
      </c>
    </row>
    <row r="2299" spans="1:7" x14ac:dyDescent="0.35">
      <c r="A2299" t="s">
        <v>125</v>
      </c>
      <c r="E2299">
        <v>-7.0807910027242417E-4</v>
      </c>
      <c r="F2299">
        <f t="shared" si="76"/>
        <v>-1.8571351044644049E-2</v>
      </c>
      <c r="G2299">
        <f t="shared" si="77"/>
        <v>-3.1941342703290819E-2</v>
      </c>
    </row>
    <row r="2300" spans="1:7" x14ac:dyDescent="0.35">
      <c r="A2300" t="s">
        <v>125</v>
      </c>
      <c r="E2300">
        <v>-2.0459414505677471E-2</v>
      </c>
      <c r="F2300">
        <f t="shared" si="76"/>
        <v>-1.8584936291085003E-2</v>
      </c>
      <c r="G2300">
        <f t="shared" si="77"/>
        <v>-3.1941342703290819E-2</v>
      </c>
    </row>
    <row r="2301" spans="1:7" x14ac:dyDescent="0.35">
      <c r="A2301" t="s">
        <v>125</v>
      </c>
      <c r="E2301">
        <v>-1.7624898205336405E-3</v>
      </c>
      <c r="F2301">
        <f t="shared" si="76"/>
        <v>-1.8326816608706886E-2</v>
      </c>
      <c r="G2301">
        <f t="shared" si="77"/>
        <v>-3.2094435079258993E-2</v>
      </c>
    </row>
    <row r="2302" spans="1:7" x14ac:dyDescent="0.35">
      <c r="A2302" t="s">
        <v>125</v>
      </c>
      <c r="E2302">
        <v>8.8456124729765079E-3</v>
      </c>
      <c r="F2302">
        <f t="shared" si="76"/>
        <v>-1.8340401855147837E-2</v>
      </c>
      <c r="G2302">
        <f t="shared" si="77"/>
        <v>-3.2094435079258993E-2</v>
      </c>
    </row>
    <row r="2303" spans="1:7" x14ac:dyDescent="0.35">
      <c r="A2303" t="s">
        <v>125</v>
      </c>
      <c r="E2303">
        <v>-1.1575493675130041E-3</v>
      </c>
      <c r="F2303">
        <f t="shared" si="76"/>
        <v>-1.8353987101588792E-2</v>
      </c>
      <c r="G2303">
        <f t="shared" si="77"/>
        <v>-3.2094435079258993E-2</v>
      </c>
    </row>
    <row r="2304" spans="1:7" x14ac:dyDescent="0.35">
      <c r="A2304" t="s">
        <v>125</v>
      </c>
      <c r="E2304">
        <v>-8.8697827434352226E-4</v>
      </c>
      <c r="F2304">
        <f t="shared" si="76"/>
        <v>-1.8367572348029746E-2</v>
      </c>
      <c r="G2304">
        <f t="shared" si="77"/>
        <v>-3.2094435079258993E-2</v>
      </c>
    </row>
    <row r="2305" spans="1:7" x14ac:dyDescent="0.35">
      <c r="A2305" t="s">
        <v>125</v>
      </c>
      <c r="E2305">
        <v>1.0141844238840032E-2</v>
      </c>
      <c r="F2305">
        <f t="shared" si="76"/>
        <v>-1.83811575944707E-2</v>
      </c>
      <c r="G2305">
        <f t="shared" si="77"/>
        <v>-3.2094435079258993E-2</v>
      </c>
    </row>
    <row r="2306" spans="1:7" x14ac:dyDescent="0.35">
      <c r="A2306" t="s">
        <v>126</v>
      </c>
      <c r="B2306" s="3" cm="1">
        <f t="array" ref="B2306">_xlfn.STDEV.S(_xlfn._xlws.FILTER($E$2013:$E$3011, $A$2013:$A$3011="2019-04"))</f>
        <v>3.9363829735644118E-3</v>
      </c>
      <c r="C2306" s="3" cm="1">
        <f t="array" ref="C2306">AVERAGE(_xlfn._xlws.FILTER($E$2013:$E$3011, $A$2013:$A$3011="2019-04"))</f>
        <v>2.1570620593921708E-3</v>
      </c>
      <c r="D2306" s="3" cm="1">
        <f t="array" ref="D2306">_xlfn.PERCENTILE.EXC(_xlfn._xlws.FILTER($E$1498:$E$2489, $A$1498:$A$2489="2019-04"), 0.05)</f>
        <v>-6.3242318003971345E-3</v>
      </c>
      <c r="E2306">
        <v>1.0226882216343942E-2</v>
      </c>
      <c r="F2306">
        <f t="shared" si="76"/>
        <v>-1.8394742840911651E-2</v>
      </c>
      <c r="G2306">
        <f t="shared" si="77"/>
        <v>-3.2094435079258993E-2</v>
      </c>
    </row>
    <row r="2307" spans="1:7" x14ac:dyDescent="0.35">
      <c r="A2307" t="s">
        <v>126</v>
      </c>
      <c r="E2307">
        <v>3.3133283613119837E-3</v>
      </c>
      <c r="F2307">
        <f t="shared" si="76"/>
        <v>-1.8408328087352606E-2</v>
      </c>
      <c r="G2307">
        <f t="shared" si="77"/>
        <v>-3.2094435079258993E-2</v>
      </c>
    </row>
    <row r="2308" spans="1:7" x14ac:dyDescent="0.35">
      <c r="A2308" t="s">
        <v>126</v>
      </c>
      <c r="E2308">
        <v>8.3434958391856977E-3</v>
      </c>
      <c r="F2308">
        <f t="shared" ref="F2308:F2371" si="78">_xlfn.PERCENTILE.EXC(E2308:E6123,0.05)</f>
        <v>-1.8421913333793557E-2</v>
      </c>
      <c r="G2308">
        <f t="shared" ref="G2308:G2371" si="79">AVERAGEIFS(E2308:E6124,E2308:E6124,"&lt;=" &amp; F2308)</f>
        <v>-3.2094435079258993E-2</v>
      </c>
    </row>
    <row r="2309" spans="1:7" x14ac:dyDescent="0.35">
      <c r="A2309" t="s">
        <v>126</v>
      </c>
      <c r="E2309">
        <v>-9.3480946117154354E-4</v>
      </c>
      <c r="F2309">
        <f t="shared" si="78"/>
        <v>-1.8435498580234515E-2</v>
      </c>
      <c r="G2309">
        <f t="shared" si="79"/>
        <v>-3.2094435079258993E-2</v>
      </c>
    </row>
    <row r="2310" spans="1:7" x14ac:dyDescent="0.35">
      <c r="A2310" t="s">
        <v>126</v>
      </c>
      <c r="E2310">
        <v>2.2669113912582536E-3</v>
      </c>
      <c r="F2310">
        <f t="shared" si="78"/>
        <v>-1.8449083826675469E-2</v>
      </c>
      <c r="G2310">
        <f t="shared" si="79"/>
        <v>-3.2094435079258993E-2</v>
      </c>
    </row>
    <row r="2311" spans="1:7" x14ac:dyDescent="0.35">
      <c r="A2311" t="s">
        <v>126</v>
      </c>
      <c r="E2311">
        <v>-8.0745493509253345E-4</v>
      </c>
      <c r="F2311">
        <f t="shared" si="78"/>
        <v>-1.846266907311642E-2</v>
      </c>
      <c r="G2311">
        <f t="shared" si="79"/>
        <v>-3.2094435079258993E-2</v>
      </c>
    </row>
    <row r="2312" spans="1:7" x14ac:dyDescent="0.35">
      <c r="A2312" t="s">
        <v>126</v>
      </c>
      <c r="E2312">
        <v>-6.483218836211042E-3</v>
      </c>
      <c r="F2312">
        <f t="shared" si="78"/>
        <v>-1.8476254319557375E-2</v>
      </c>
      <c r="G2312">
        <f t="shared" si="79"/>
        <v>-3.2094435079258993E-2</v>
      </c>
    </row>
    <row r="2313" spans="1:7" x14ac:dyDescent="0.35">
      <c r="A2313" t="s">
        <v>126</v>
      </c>
      <c r="E2313">
        <v>2.4728340866756013E-3</v>
      </c>
      <c r="F2313">
        <f t="shared" si="78"/>
        <v>-1.8489839565998326E-2</v>
      </c>
      <c r="G2313">
        <f t="shared" si="79"/>
        <v>-3.2094435079258993E-2</v>
      </c>
    </row>
    <row r="2314" spans="1:7" x14ac:dyDescent="0.35">
      <c r="A2314" t="s">
        <v>126</v>
      </c>
      <c r="E2314">
        <v>6.5547621203704831E-3</v>
      </c>
      <c r="F2314">
        <f t="shared" si="78"/>
        <v>-1.8503424812439283E-2</v>
      </c>
      <c r="G2314">
        <f t="shared" si="79"/>
        <v>-3.2094435079258993E-2</v>
      </c>
    </row>
    <row r="2315" spans="1:7" x14ac:dyDescent="0.35">
      <c r="A2315" t="s">
        <v>126</v>
      </c>
      <c r="E2315">
        <v>3.0905286683948771E-3</v>
      </c>
      <c r="F2315">
        <f t="shared" si="78"/>
        <v>-1.8517010058880234E-2</v>
      </c>
      <c r="G2315">
        <f t="shared" si="79"/>
        <v>-3.2094435079258993E-2</v>
      </c>
    </row>
    <row r="2316" spans="1:7" x14ac:dyDescent="0.35">
      <c r="A2316" t="s">
        <v>126</v>
      </c>
      <c r="E2316">
        <v>1.0952257068805513E-3</v>
      </c>
      <c r="F2316">
        <f t="shared" si="78"/>
        <v>-1.8530595305321189E-2</v>
      </c>
      <c r="G2316">
        <f t="shared" si="79"/>
        <v>-3.2094435079258993E-2</v>
      </c>
    </row>
    <row r="2317" spans="1:7" x14ac:dyDescent="0.35">
      <c r="A2317" t="s">
        <v>126</v>
      </c>
      <c r="E2317">
        <v>3.6131736990767391E-3</v>
      </c>
      <c r="F2317">
        <f t="shared" si="78"/>
        <v>-1.854418055176214E-2</v>
      </c>
      <c r="G2317">
        <f t="shared" si="79"/>
        <v>-3.2094435079258993E-2</v>
      </c>
    </row>
    <row r="2318" spans="1:7" x14ac:dyDescent="0.35">
      <c r="A2318" t="s">
        <v>126</v>
      </c>
      <c r="E2318">
        <v>6.2064290044940903E-3</v>
      </c>
      <c r="F2318">
        <f t="shared" si="78"/>
        <v>-1.8557765798203094E-2</v>
      </c>
      <c r="G2318">
        <f t="shared" si="79"/>
        <v>-3.2094435079258993E-2</v>
      </c>
    </row>
    <row r="2319" spans="1:7" x14ac:dyDescent="0.35">
      <c r="A2319" t="s">
        <v>126</v>
      </c>
      <c r="E2319">
        <v>3.1031651495801011E-3</v>
      </c>
      <c r="F2319">
        <f t="shared" si="78"/>
        <v>-1.8571351044644049E-2</v>
      </c>
      <c r="G2319">
        <f t="shared" si="79"/>
        <v>-3.2094435079258993E-2</v>
      </c>
    </row>
    <row r="2320" spans="1:7" x14ac:dyDescent="0.35">
      <c r="A2320" t="s">
        <v>126</v>
      </c>
      <c r="E2320">
        <v>2.0246926243150058E-3</v>
      </c>
      <c r="F2320">
        <f t="shared" si="78"/>
        <v>-1.8584936291085003E-2</v>
      </c>
      <c r="G2320">
        <f t="shared" si="79"/>
        <v>-3.2094435079258993E-2</v>
      </c>
    </row>
    <row r="2321" spans="1:7" x14ac:dyDescent="0.35">
      <c r="A2321" t="s">
        <v>126</v>
      </c>
      <c r="E2321">
        <v>-2.7991332551814819E-3</v>
      </c>
      <c r="F2321">
        <f t="shared" si="78"/>
        <v>-1.8589945218582621E-2</v>
      </c>
      <c r="G2321">
        <f t="shared" si="79"/>
        <v>-3.2276995873693773E-2</v>
      </c>
    </row>
    <row r="2322" spans="1:7" x14ac:dyDescent="0.35">
      <c r="A2322" t="s">
        <v>126</v>
      </c>
      <c r="E2322">
        <v>-3.3034781199328968E-3</v>
      </c>
      <c r="F2322">
        <f t="shared" si="78"/>
        <v>-1.8594954146080242E-2</v>
      </c>
      <c r="G2322">
        <f t="shared" si="79"/>
        <v>-3.2276995873693773E-2</v>
      </c>
    </row>
    <row r="2323" spans="1:7" x14ac:dyDescent="0.35">
      <c r="A2323" t="s">
        <v>126</v>
      </c>
      <c r="E2323">
        <v>2.1011903986861724E-3</v>
      </c>
      <c r="F2323">
        <f t="shared" si="78"/>
        <v>-1.859996307357786E-2</v>
      </c>
      <c r="G2323">
        <f t="shared" si="79"/>
        <v>-3.2276995873693773E-2</v>
      </c>
    </row>
    <row r="2324" spans="1:7" x14ac:dyDescent="0.35">
      <c r="A2324" t="s">
        <v>126</v>
      </c>
      <c r="E2324">
        <v>2.0842421318995378E-3</v>
      </c>
      <c r="F2324">
        <f t="shared" si="78"/>
        <v>-1.8604972001075477E-2</v>
      </c>
      <c r="G2324">
        <f t="shared" si="79"/>
        <v>-3.2276995873693773E-2</v>
      </c>
    </row>
    <row r="2325" spans="1:7" x14ac:dyDescent="0.35">
      <c r="A2325" t="s">
        <v>126</v>
      </c>
      <c r="E2325">
        <v>9.7247439695987076E-4</v>
      </c>
      <c r="F2325">
        <f t="shared" si="78"/>
        <v>-1.8609980928573099E-2</v>
      </c>
      <c r="G2325">
        <f t="shared" si="79"/>
        <v>-3.2276995873693773E-2</v>
      </c>
    </row>
    <row r="2326" spans="1:7" x14ac:dyDescent="0.35">
      <c r="A2326" t="s">
        <v>127</v>
      </c>
      <c r="B2326" s="3" cm="1">
        <f t="array" ref="B2326">_xlfn.STDEV.S(_xlfn._xlws.FILTER($E$2013:$E$3011, $A$2013:$A$3011="2019-05"))</f>
        <v>1.1745711763161731E-2</v>
      </c>
      <c r="C2326" s="3" cm="1">
        <f t="array" ref="C2326">AVERAGE(_xlfn._xlws.FILTER($E$2013:$E$3011, $A$2013:$A$3011="2019-05"))</f>
        <v>-3.5106002387015325E-3</v>
      </c>
      <c r="D2326" s="3" cm="1">
        <f t="array" ref="D2326">_xlfn.PERCENTILE.EXC(_xlfn._xlws.FILTER($E$1498:$E$2489, $A$1498:$A$2489="2019-05"), 0.05)</f>
        <v>-2.7551640999170911E-2</v>
      </c>
      <c r="E2326">
        <v>-8.5481591985788856E-3</v>
      </c>
      <c r="F2326">
        <f t="shared" si="78"/>
        <v>-1.8614989856070716E-2</v>
      </c>
      <c r="G2326">
        <f t="shared" si="79"/>
        <v>-3.2276995873693773E-2</v>
      </c>
    </row>
    <row r="2327" spans="1:7" x14ac:dyDescent="0.35">
      <c r="A2327" t="s">
        <v>127</v>
      </c>
      <c r="E2327">
        <v>1.8001934928217182E-3</v>
      </c>
      <c r="F2327">
        <f t="shared" si="78"/>
        <v>-1.8619998783568334E-2</v>
      </c>
      <c r="G2327">
        <f t="shared" si="79"/>
        <v>-3.2276995873693773E-2</v>
      </c>
    </row>
    <row r="2328" spans="1:7" x14ac:dyDescent="0.35">
      <c r="A2328" t="s">
        <v>127</v>
      </c>
      <c r="E2328">
        <v>-2.7977290246964465E-2</v>
      </c>
      <c r="F2328">
        <f t="shared" si="78"/>
        <v>-1.8625007711065955E-2</v>
      </c>
      <c r="G2328">
        <f t="shared" si="79"/>
        <v>-3.2276995873693773E-2</v>
      </c>
    </row>
    <row r="2329" spans="1:7" x14ac:dyDescent="0.35">
      <c r="A2329" t="s">
        <v>127</v>
      </c>
      <c r="E2329">
        <v>4.0394604622384757E-3</v>
      </c>
      <c r="F2329">
        <f t="shared" si="78"/>
        <v>-1.8435498580234515E-2</v>
      </c>
      <c r="G2329">
        <f t="shared" si="79"/>
        <v>-3.2150072171587295E-2</v>
      </c>
    </row>
    <row r="2330" spans="1:7" x14ac:dyDescent="0.35">
      <c r="A2330" t="s">
        <v>127</v>
      </c>
      <c r="E2330">
        <v>-1.9464305291093411E-2</v>
      </c>
      <c r="F2330">
        <f t="shared" si="78"/>
        <v>-1.8449083826675469E-2</v>
      </c>
      <c r="G2330">
        <f t="shared" si="79"/>
        <v>-3.2150072171587295E-2</v>
      </c>
    </row>
    <row r="2331" spans="1:7" x14ac:dyDescent="0.35">
      <c r="A2331" t="s">
        <v>127</v>
      </c>
      <c r="E2331">
        <v>2.6840607809663925E-3</v>
      </c>
      <c r="F2331">
        <f t="shared" si="78"/>
        <v>-1.8257708343740964E-2</v>
      </c>
      <c r="G2331">
        <f t="shared" si="79"/>
        <v>-3.2134517118495035E-2</v>
      </c>
    </row>
    <row r="2332" spans="1:7" x14ac:dyDescent="0.35">
      <c r="A2332" t="s">
        <v>127</v>
      </c>
      <c r="E2332">
        <v>-1.2251322026312959E-2</v>
      </c>
      <c r="F2332">
        <f t="shared" si="78"/>
        <v>-1.8263877568021517E-2</v>
      </c>
      <c r="G2332">
        <f t="shared" si="79"/>
        <v>-3.2134517118495035E-2</v>
      </c>
    </row>
    <row r="2333" spans="1:7" x14ac:dyDescent="0.35">
      <c r="A2333" t="s">
        <v>127</v>
      </c>
      <c r="E2333">
        <v>1.4858929427318774E-2</v>
      </c>
      <c r="F2333">
        <f t="shared" si="78"/>
        <v>-1.8270046792302066E-2</v>
      </c>
      <c r="G2333">
        <f t="shared" si="79"/>
        <v>-3.2134517118495035E-2</v>
      </c>
    </row>
    <row r="2334" spans="1:7" x14ac:dyDescent="0.35">
      <c r="A2334" t="s">
        <v>127</v>
      </c>
      <c r="E2334">
        <v>6.1424601070690721E-3</v>
      </c>
      <c r="F2334">
        <f t="shared" si="78"/>
        <v>-1.8276216016582622E-2</v>
      </c>
      <c r="G2334">
        <f t="shared" si="79"/>
        <v>-3.2134517118495035E-2</v>
      </c>
    </row>
    <row r="2335" spans="1:7" x14ac:dyDescent="0.35">
      <c r="A2335" t="s">
        <v>127</v>
      </c>
      <c r="E2335">
        <v>1.3647869421990177E-2</v>
      </c>
      <c r="F2335">
        <f t="shared" si="78"/>
        <v>-1.8282385240863171E-2</v>
      </c>
      <c r="G2335">
        <f t="shared" si="79"/>
        <v>-3.2134517118495035E-2</v>
      </c>
    </row>
    <row r="2336" spans="1:7" x14ac:dyDescent="0.35">
      <c r="A2336" t="s">
        <v>127</v>
      </c>
      <c r="E2336">
        <v>-1.8151192618642443E-3</v>
      </c>
      <c r="F2336">
        <f t="shared" si="78"/>
        <v>-1.8288554465143724E-2</v>
      </c>
      <c r="G2336">
        <f t="shared" si="79"/>
        <v>-3.2134517118495035E-2</v>
      </c>
    </row>
    <row r="2337" spans="1:7" x14ac:dyDescent="0.35">
      <c r="A2337" t="s">
        <v>127</v>
      </c>
      <c r="E2337">
        <v>-1.4752759502309361E-2</v>
      </c>
      <c r="F2337">
        <f t="shared" si="78"/>
        <v>-1.8294723689424277E-2</v>
      </c>
      <c r="G2337">
        <f t="shared" si="79"/>
        <v>-3.2134517118495035E-2</v>
      </c>
    </row>
    <row r="2338" spans="1:7" x14ac:dyDescent="0.35">
      <c r="A2338" t="s">
        <v>127</v>
      </c>
      <c r="E2338">
        <v>5.0018486549382917E-3</v>
      </c>
      <c r="F2338">
        <f t="shared" si="78"/>
        <v>-1.8300892913704826E-2</v>
      </c>
      <c r="G2338">
        <f t="shared" si="79"/>
        <v>-3.2134517118495035E-2</v>
      </c>
    </row>
    <row r="2339" spans="1:7" x14ac:dyDescent="0.35">
      <c r="A2339" t="s">
        <v>127</v>
      </c>
      <c r="E2339">
        <v>-1.2039643089183287E-3</v>
      </c>
      <c r="F2339">
        <f t="shared" si="78"/>
        <v>-1.8307062137985379E-2</v>
      </c>
      <c r="G2339">
        <f t="shared" si="79"/>
        <v>-3.2134517118495035E-2</v>
      </c>
    </row>
    <row r="2340" spans="1:7" x14ac:dyDescent="0.35">
      <c r="A2340" t="s">
        <v>127</v>
      </c>
      <c r="E2340">
        <v>-1.8313231362265932E-2</v>
      </c>
      <c r="F2340">
        <f t="shared" si="78"/>
        <v>-1.8313231362265932E-2</v>
      </c>
      <c r="G2340">
        <f t="shared" si="79"/>
        <v>-3.2134517118495035E-2</v>
      </c>
    </row>
    <row r="2341" spans="1:7" x14ac:dyDescent="0.35">
      <c r="A2341" t="s">
        <v>127</v>
      </c>
      <c r="E2341">
        <v>6.6315392852415922E-3</v>
      </c>
      <c r="F2341">
        <f t="shared" si="78"/>
        <v>-1.8209601347376397E-2</v>
      </c>
      <c r="G2341">
        <f t="shared" si="79"/>
        <v>-3.2323849800087213E-2</v>
      </c>
    </row>
    <row r="2342" spans="1:7" x14ac:dyDescent="0.35">
      <c r="A2342" t="s">
        <v>127</v>
      </c>
      <c r="E2342">
        <v>-7.1877472706575497E-4</v>
      </c>
      <c r="F2342">
        <f t="shared" si="78"/>
        <v>-1.8229355818097901E-2</v>
      </c>
      <c r="G2342">
        <f t="shared" si="79"/>
        <v>-3.2323849800087213E-2</v>
      </c>
    </row>
    <row r="2343" spans="1:7" x14ac:dyDescent="0.35">
      <c r="A2343" t="s">
        <v>127</v>
      </c>
      <c r="E2343">
        <v>-1.7194848602704021E-2</v>
      </c>
      <c r="F2343">
        <f t="shared" si="78"/>
        <v>-1.8249110288819408E-2</v>
      </c>
      <c r="G2343">
        <f t="shared" si="79"/>
        <v>-3.2323849800087213E-2</v>
      </c>
    </row>
    <row r="2344" spans="1:7" x14ac:dyDescent="0.35">
      <c r="A2344" t="s">
        <v>127</v>
      </c>
      <c r="E2344">
        <v>5.1169862859235726E-3</v>
      </c>
      <c r="F2344">
        <f t="shared" si="78"/>
        <v>-1.8268864759540916E-2</v>
      </c>
      <c r="G2344">
        <f t="shared" si="79"/>
        <v>-3.2323849800087213E-2</v>
      </c>
    </row>
    <row r="2345" spans="1:7" x14ac:dyDescent="0.35">
      <c r="A2345" t="s">
        <v>127</v>
      </c>
      <c r="E2345">
        <v>-7.8955781644613511E-3</v>
      </c>
      <c r="F2345">
        <f t="shared" si="78"/>
        <v>-1.8288619230262419E-2</v>
      </c>
      <c r="G2345">
        <f t="shared" si="79"/>
        <v>-3.2323849800087213E-2</v>
      </c>
    </row>
    <row r="2346" spans="1:7" x14ac:dyDescent="0.35">
      <c r="A2346" t="s">
        <v>128</v>
      </c>
      <c r="B2346" s="3" cm="1">
        <f t="array" ref="B2346">_xlfn.STDEV.S(_xlfn._xlws.FILTER($E$2013:$E$3011, $A$2013:$A$3011="2019-06"))</f>
        <v>6.8661115372314853E-3</v>
      </c>
      <c r="C2346" s="3" cm="1">
        <f t="array" ref="C2346">AVERAGE(_xlfn._xlws.FILTER($E$2013:$E$3011, $A$2013:$A$3011="2019-06"))</f>
        <v>3.2465107926614918E-3</v>
      </c>
      <c r="D2346" s="3" cm="1">
        <f t="array" ref="D2346">_xlfn.PERCENTILE.EXC(_xlfn._xlws.FILTER($E$1498:$E$2489, $A$1498:$A$2489="2019-06"), 0.05)</f>
        <v>-6.2188551560369565E-3</v>
      </c>
      <c r="E2346">
        <v>6.4752276425128841E-3</v>
      </c>
      <c r="F2346">
        <f t="shared" si="78"/>
        <v>-1.8308373700983926E-2</v>
      </c>
      <c r="G2346">
        <f t="shared" si="79"/>
        <v>-3.2323849800087213E-2</v>
      </c>
    </row>
    <row r="2347" spans="1:7" x14ac:dyDescent="0.35">
      <c r="A2347" t="s">
        <v>128</v>
      </c>
      <c r="E2347">
        <v>5.1000517787638333E-3</v>
      </c>
      <c r="F2347">
        <f t="shared" si="78"/>
        <v>-1.832812817170543E-2</v>
      </c>
      <c r="G2347">
        <f t="shared" si="79"/>
        <v>-3.2323849800087213E-2</v>
      </c>
    </row>
    <row r="2348" spans="1:7" x14ac:dyDescent="0.35">
      <c r="A2348" t="s">
        <v>128</v>
      </c>
      <c r="E2348">
        <v>4.4961089957987052E-3</v>
      </c>
      <c r="F2348">
        <f t="shared" si="78"/>
        <v>-1.8347882642426934E-2</v>
      </c>
      <c r="G2348">
        <f t="shared" si="79"/>
        <v>-3.2323849800087213E-2</v>
      </c>
    </row>
    <row r="2349" spans="1:7" x14ac:dyDescent="0.35">
      <c r="A2349" t="s">
        <v>128</v>
      </c>
      <c r="E2349">
        <v>-2.5675412362137556E-3</v>
      </c>
      <c r="F2349">
        <f t="shared" si="78"/>
        <v>-1.8367637113148445E-2</v>
      </c>
      <c r="G2349">
        <f t="shared" si="79"/>
        <v>-3.2323849800087213E-2</v>
      </c>
    </row>
    <row r="2350" spans="1:7" x14ac:dyDescent="0.35">
      <c r="A2350" t="s">
        <v>128</v>
      </c>
      <c r="E2350">
        <v>1.6090581761431414E-2</v>
      </c>
      <c r="F2350">
        <f t="shared" si="78"/>
        <v>-1.8387391583869948E-2</v>
      </c>
      <c r="G2350">
        <f t="shared" si="79"/>
        <v>-3.2323849800087213E-2</v>
      </c>
    </row>
    <row r="2351" spans="1:7" x14ac:dyDescent="0.35">
      <c r="A2351" t="s">
        <v>128</v>
      </c>
      <c r="E2351">
        <v>8.2432585601426699E-3</v>
      </c>
      <c r="F2351">
        <f t="shared" si="78"/>
        <v>-1.8407146054591452E-2</v>
      </c>
      <c r="G2351">
        <f t="shared" si="79"/>
        <v>-3.2323849800087213E-2</v>
      </c>
    </row>
    <row r="2352" spans="1:7" x14ac:dyDescent="0.35">
      <c r="A2352" t="s">
        <v>128</v>
      </c>
      <c r="E2352">
        <v>-6.2188551560369565E-3</v>
      </c>
      <c r="F2352">
        <f t="shared" si="78"/>
        <v>-1.8426900525312956E-2</v>
      </c>
      <c r="G2352">
        <f t="shared" si="79"/>
        <v>-3.2323849800087213E-2</v>
      </c>
    </row>
    <row r="2353" spans="1:7" x14ac:dyDescent="0.35">
      <c r="A2353" t="s">
        <v>128</v>
      </c>
      <c r="E2353">
        <v>1.3208626554600883E-4</v>
      </c>
      <c r="F2353">
        <f t="shared" si="78"/>
        <v>-1.8446654996034463E-2</v>
      </c>
      <c r="G2353">
        <f t="shared" si="79"/>
        <v>-3.2323849800087213E-2</v>
      </c>
    </row>
    <row r="2354" spans="1:7" x14ac:dyDescent="0.35">
      <c r="A2354" t="s">
        <v>128</v>
      </c>
      <c r="E2354">
        <v>-1.491169149790456E-3</v>
      </c>
      <c r="F2354">
        <f t="shared" si="78"/>
        <v>-1.846640946675597E-2</v>
      </c>
      <c r="G2354">
        <f t="shared" si="79"/>
        <v>-3.2323849800087213E-2</v>
      </c>
    </row>
    <row r="2355" spans="1:7" x14ac:dyDescent="0.35">
      <c r="A2355" t="s">
        <v>128</v>
      </c>
      <c r="E2355">
        <v>4.3370144116120267E-3</v>
      </c>
      <c r="F2355">
        <f t="shared" si="78"/>
        <v>-1.8486163937477477E-2</v>
      </c>
      <c r="G2355">
        <f t="shared" si="79"/>
        <v>-3.2323849800087213E-2</v>
      </c>
    </row>
    <row r="2356" spans="1:7" x14ac:dyDescent="0.35">
      <c r="A2356" t="s">
        <v>128</v>
      </c>
      <c r="E2356">
        <v>2.1793998439912716E-2</v>
      </c>
      <c r="F2356">
        <f t="shared" si="78"/>
        <v>-1.8505918408198981E-2</v>
      </c>
      <c r="G2356">
        <f t="shared" si="79"/>
        <v>-3.2323849800087213E-2</v>
      </c>
    </row>
    <row r="2357" spans="1:7" x14ac:dyDescent="0.35">
      <c r="A2357" t="s">
        <v>128</v>
      </c>
      <c r="E2357">
        <v>1.5814036073540556E-3</v>
      </c>
      <c r="F2357">
        <f t="shared" si="78"/>
        <v>-1.8525672878920485E-2</v>
      </c>
      <c r="G2357">
        <f t="shared" si="79"/>
        <v>-3.2323849800087213E-2</v>
      </c>
    </row>
    <row r="2358" spans="1:7" x14ac:dyDescent="0.35">
      <c r="A2358" t="s">
        <v>128</v>
      </c>
      <c r="E2358">
        <v>3.097518131561314E-3</v>
      </c>
      <c r="F2358">
        <f t="shared" si="78"/>
        <v>-1.8545427349641989E-2</v>
      </c>
      <c r="G2358">
        <f t="shared" si="79"/>
        <v>-3.2323849800087213E-2</v>
      </c>
    </row>
    <row r="2359" spans="1:7" x14ac:dyDescent="0.35">
      <c r="A2359" t="s">
        <v>128</v>
      </c>
      <c r="E2359">
        <v>-1.3087611119808429E-3</v>
      </c>
      <c r="F2359">
        <f t="shared" si="78"/>
        <v>-1.8565181820363499E-2</v>
      </c>
      <c r="G2359">
        <f t="shared" si="79"/>
        <v>-3.2323849800087213E-2</v>
      </c>
    </row>
    <row r="2360" spans="1:7" x14ac:dyDescent="0.35">
      <c r="A2360" t="s">
        <v>128</v>
      </c>
      <c r="E2360">
        <v>-1.1981858512729328E-3</v>
      </c>
      <c r="F2360">
        <f t="shared" si="78"/>
        <v>-1.8584936291085003E-2</v>
      </c>
      <c r="G2360">
        <f t="shared" si="79"/>
        <v>-3.2323849800087213E-2</v>
      </c>
    </row>
    <row r="2361" spans="1:7" x14ac:dyDescent="0.35">
      <c r="A2361" t="s">
        <v>128</v>
      </c>
      <c r="E2361">
        <v>-1.2939144342401512E-3</v>
      </c>
      <c r="F2361">
        <f t="shared" si="78"/>
        <v>-1.8589945218582621E-2</v>
      </c>
      <c r="G2361">
        <f t="shared" si="79"/>
        <v>-3.2514668043267796E-2</v>
      </c>
    </row>
    <row r="2362" spans="1:7" x14ac:dyDescent="0.35">
      <c r="A2362" t="s">
        <v>128</v>
      </c>
      <c r="E2362">
        <v>-2.5146877292472705E-3</v>
      </c>
      <c r="F2362">
        <f t="shared" si="78"/>
        <v>-1.8594954146080242E-2</v>
      </c>
      <c r="G2362">
        <f t="shared" si="79"/>
        <v>-3.2514668043267796E-2</v>
      </c>
    </row>
    <row r="2363" spans="1:7" x14ac:dyDescent="0.35">
      <c r="A2363" t="s">
        <v>128</v>
      </c>
      <c r="E2363">
        <v>-1.293394138828792E-3</v>
      </c>
      <c r="F2363">
        <f t="shared" si="78"/>
        <v>-1.859996307357786E-2</v>
      </c>
      <c r="G2363">
        <f t="shared" si="79"/>
        <v>-3.2514668043267796E-2</v>
      </c>
    </row>
    <row r="2364" spans="1:7" x14ac:dyDescent="0.35">
      <c r="A2364" t="s">
        <v>128</v>
      </c>
      <c r="E2364">
        <v>8.2229642735438587E-3</v>
      </c>
      <c r="F2364">
        <f t="shared" si="78"/>
        <v>-1.8604972001075477E-2</v>
      </c>
      <c r="G2364">
        <f t="shared" si="79"/>
        <v>-3.2514668043267796E-2</v>
      </c>
    </row>
    <row r="2365" spans="1:7" x14ac:dyDescent="0.35">
      <c r="A2365" t="s">
        <v>129</v>
      </c>
      <c r="B2365" s="3" cm="1">
        <f t="array" ref="B2365">_xlfn.STDEV.S(_xlfn._xlws.FILTER($E$2013:$E$3011, $A$2013:$A$3011="2019-07"))</f>
        <v>5.5470878504120229E-3</v>
      </c>
      <c r="C2365" s="3" cm="1">
        <f t="array" ref="C2365">AVERAGE(_xlfn._xlws.FILTER($E$2013:$E$3011, $A$2013:$A$3011="2019-07"))</f>
        <v>-1.5782599249955422E-4</v>
      </c>
      <c r="D2365" s="3" cm="1">
        <f t="array" ref="D2365">_xlfn.PERCENTILE.EXC(_xlfn._xlws.FILTER($E$1498:$E$2489, $A$1498:$A$2489="2019-07"), 0.05)</f>
        <v>-1.448919925741741E-2</v>
      </c>
      <c r="E2365">
        <v>5.2111962121775112E-3</v>
      </c>
      <c r="F2365">
        <f t="shared" si="78"/>
        <v>-1.8609980928573099E-2</v>
      </c>
      <c r="G2365">
        <f t="shared" si="79"/>
        <v>-3.2514668043267796E-2</v>
      </c>
    </row>
    <row r="2366" spans="1:7" x14ac:dyDescent="0.35">
      <c r="A2366" t="s">
        <v>129</v>
      </c>
      <c r="E2366">
        <v>1.5989623612837115E-3</v>
      </c>
      <c r="F2366">
        <f t="shared" si="78"/>
        <v>-1.8614989856070716E-2</v>
      </c>
      <c r="G2366">
        <f t="shared" si="79"/>
        <v>-3.2514668043267796E-2</v>
      </c>
    </row>
    <row r="2367" spans="1:7" x14ac:dyDescent="0.35">
      <c r="A2367" t="s">
        <v>129</v>
      </c>
      <c r="E2367">
        <v>7.5011762428169116E-3</v>
      </c>
      <c r="F2367">
        <f t="shared" si="78"/>
        <v>-1.8619998783568334E-2</v>
      </c>
      <c r="G2367">
        <f t="shared" si="79"/>
        <v>-3.2514668043267796E-2</v>
      </c>
    </row>
    <row r="2368" spans="1:7" x14ac:dyDescent="0.35">
      <c r="A2368" t="s">
        <v>129</v>
      </c>
      <c r="E2368">
        <v>3.4165099615732393E-4</v>
      </c>
      <c r="F2368">
        <f t="shared" si="78"/>
        <v>-1.8625007711065955E-2</v>
      </c>
      <c r="G2368">
        <f t="shared" si="79"/>
        <v>-3.2514668043267796E-2</v>
      </c>
    </row>
    <row r="2369" spans="1:7" x14ac:dyDescent="0.35">
      <c r="A2369" t="s">
        <v>129</v>
      </c>
      <c r="E2369">
        <v>-4.8170088104823013E-3</v>
      </c>
      <c r="F2369">
        <f t="shared" si="78"/>
        <v>-1.8630016638563573E-2</v>
      </c>
      <c r="G2369">
        <f t="shared" si="79"/>
        <v>-3.2514668043267796E-2</v>
      </c>
    </row>
    <row r="2370" spans="1:7" x14ac:dyDescent="0.35">
      <c r="A2370" t="s">
        <v>129</v>
      </c>
      <c r="E2370">
        <v>-8.1016484041797213E-4</v>
      </c>
      <c r="F2370">
        <f t="shared" si="78"/>
        <v>-1.863502556606119E-2</v>
      </c>
      <c r="G2370">
        <f t="shared" si="79"/>
        <v>-3.2514668043267796E-2</v>
      </c>
    </row>
    <row r="2371" spans="1:7" x14ac:dyDescent="0.35">
      <c r="A2371" t="s">
        <v>129</v>
      </c>
      <c r="E2371">
        <v>-3.0623724239779047E-3</v>
      </c>
      <c r="F2371">
        <f t="shared" si="78"/>
        <v>-1.8640034493558812E-2</v>
      </c>
      <c r="G2371">
        <f t="shared" si="79"/>
        <v>-3.2514668043267796E-2</v>
      </c>
    </row>
    <row r="2372" spans="1:7" x14ac:dyDescent="0.35">
      <c r="A2372" t="s">
        <v>129</v>
      </c>
      <c r="E2372">
        <v>-8.0971737030606614E-4</v>
      </c>
      <c r="F2372">
        <f t="shared" ref="F2372:F2435" si="80">_xlfn.PERCENTILE.EXC(E2372:E6187,0.05)</f>
        <v>-1.8645043421056429E-2</v>
      </c>
      <c r="G2372">
        <f t="shared" ref="G2372:G2435" si="81">AVERAGEIFS(E2372:E6188,E2372:E6188,"&lt;=" &amp; F2372)</f>
        <v>-3.2514668043267796E-2</v>
      </c>
    </row>
    <row r="2373" spans="1:7" x14ac:dyDescent="0.35">
      <c r="A2373" t="s">
        <v>129</v>
      </c>
      <c r="E2373">
        <v>-2.8130678631909461E-3</v>
      </c>
      <c r="F2373">
        <f t="shared" si="80"/>
        <v>-1.8650052348554047E-2</v>
      </c>
      <c r="G2373">
        <f t="shared" si="81"/>
        <v>-3.2514668043267796E-2</v>
      </c>
    </row>
    <row r="2374" spans="1:7" x14ac:dyDescent="0.35">
      <c r="A2374" t="s">
        <v>129</v>
      </c>
      <c r="E2374">
        <v>3.7591697519120605E-3</v>
      </c>
      <c r="F2374">
        <f t="shared" si="80"/>
        <v>-1.8655061276051668E-2</v>
      </c>
      <c r="G2374">
        <f t="shared" si="81"/>
        <v>-3.2514668043267796E-2</v>
      </c>
    </row>
    <row r="2375" spans="1:7" x14ac:dyDescent="0.35">
      <c r="A2375" t="s">
        <v>129</v>
      </c>
      <c r="E2375">
        <v>9.5954924693235106E-4</v>
      </c>
      <c r="F2375">
        <f t="shared" si="80"/>
        <v>-1.8660070203549286E-2</v>
      </c>
      <c r="G2375">
        <f t="shared" si="81"/>
        <v>-3.2514668043267796E-2</v>
      </c>
    </row>
    <row r="2376" spans="1:7" x14ac:dyDescent="0.35">
      <c r="A2376" t="s">
        <v>129</v>
      </c>
      <c r="E2376">
        <v>6.463227172909528E-3</v>
      </c>
      <c r="F2376">
        <f t="shared" si="80"/>
        <v>-1.8665079131046907E-2</v>
      </c>
      <c r="G2376">
        <f t="shared" si="81"/>
        <v>-3.2514668043267796E-2</v>
      </c>
    </row>
    <row r="2377" spans="1:7" x14ac:dyDescent="0.35">
      <c r="A2377" t="s">
        <v>129</v>
      </c>
      <c r="E2377">
        <v>-7.6291549528997946E-3</v>
      </c>
      <c r="F2377">
        <f t="shared" si="80"/>
        <v>-1.8670088058544525E-2</v>
      </c>
      <c r="G2377">
        <f t="shared" si="81"/>
        <v>-3.2514668043267796E-2</v>
      </c>
    </row>
    <row r="2378" spans="1:7" x14ac:dyDescent="0.35">
      <c r="A2378" t="s">
        <v>129</v>
      </c>
      <c r="E2378">
        <v>-3.8049866716654422E-3</v>
      </c>
      <c r="F2378">
        <f t="shared" si="80"/>
        <v>-1.8675096986042142E-2</v>
      </c>
      <c r="G2378">
        <f t="shared" si="81"/>
        <v>-3.2514668043267796E-2</v>
      </c>
    </row>
    <row r="2379" spans="1:7" x14ac:dyDescent="0.35">
      <c r="A2379" t="s">
        <v>129</v>
      </c>
      <c r="E2379">
        <v>3.2243857509329886E-4</v>
      </c>
      <c r="F2379">
        <f t="shared" si="80"/>
        <v>-1.8680105913539764E-2</v>
      </c>
      <c r="G2379">
        <f t="shared" si="81"/>
        <v>-3.2514668043267796E-2</v>
      </c>
    </row>
    <row r="2380" spans="1:7" x14ac:dyDescent="0.35">
      <c r="A2380" t="s">
        <v>129</v>
      </c>
      <c r="E2380">
        <v>2.6404412716188892E-3</v>
      </c>
      <c r="F2380">
        <f t="shared" si="80"/>
        <v>-1.8685114841037381E-2</v>
      </c>
      <c r="G2380">
        <f t="shared" si="81"/>
        <v>-3.2514668043267796E-2</v>
      </c>
    </row>
    <row r="2381" spans="1:7" x14ac:dyDescent="0.35">
      <c r="A2381" t="s">
        <v>129</v>
      </c>
      <c r="E2381">
        <v>9.1443063684252274E-3</v>
      </c>
      <c r="F2381">
        <f t="shared" si="80"/>
        <v>-1.8687955025827603E-2</v>
      </c>
      <c r="G2381">
        <f t="shared" si="81"/>
        <v>-3.2709450482735832E-2</v>
      </c>
    </row>
    <row r="2382" spans="1:7" x14ac:dyDescent="0.35">
      <c r="A2382" t="s">
        <v>129</v>
      </c>
      <c r="E2382">
        <v>-2.1899451287566E-3</v>
      </c>
      <c r="F2382">
        <f t="shared" si="80"/>
        <v>-1.8690795210617825E-2</v>
      </c>
      <c r="G2382">
        <f t="shared" si="81"/>
        <v>-3.2709450482735832E-2</v>
      </c>
    </row>
    <row r="2383" spans="1:7" x14ac:dyDescent="0.35">
      <c r="A2383" t="s">
        <v>129</v>
      </c>
      <c r="E2383">
        <v>-4.9750100824053284E-3</v>
      </c>
      <c r="F2383">
        <f t="shared" si="80"/>
        <v>-1.8693635395408047E-2</v>
      </c>
      <c r="G2383">
        <f t="shared" si="81"/>
        <v>-3.2709450482735832E-2</v>
      </c>
    </row>
    <row r="2384" spans="1:7" x14ac:dyDescent="0.35">
      <c r="A2384" t="s">
        <v>129</v>
      </c>
      <c r="E2384">
        <v>5.720379199432947E-3</v>
      </c>
      <c r="F2384">
        <f t="shared" si="80"/>
        <v>-1.8696475580198268E-2</v>
      </c>
      <c r="G2384">
        <f t="shared" si="81"/>
        <v>-3.2709450482735832E-2</v>
      </c>
    </row>
    <row r="2385" spans="1:7" x14ac:dyDescent="0.35">
      <c r="A2385" t="s">
        <v>129</v>
      </c>
      <c r="E2385">
        <v>-1.5966251278926222E-3</v>
      </c>
      <c r="F2385">
        <f t="shared" si="80"/>
        <v>-1.869931576498849E-2</v>
      </c>
      <c r="G2385">
        <f t="shared" si="81"/>
        <v>-3.2709450482735832E-2</v>
      </c>
    </row>
    <row r="2386" spans="1:7" x14ac:dyDescent="0.35">
      <c r="A2386" t="s">
        <v>129</v>
      </c>
      <c r="E2386">
        <v>-1.6204210333546815E-2</v>
      </c>
      <c r="F2386">
        <f t="shared" si="80"/>
        <v>-1.8702155949778712E-2</v>
      </c>
      <c r="G2386">
        <f t="shared" si="81"/>
        <v>-3.2709450482735832E-2</v>
      </c>
    </row>
    <row r="2387" spans="1:7" x14ac:dyDescent="0.35">
      <c r="A2387" t="s">
        <v>129</v>
      </c>
      <c r="E2387">
        <v>1.4197683792922878E-3</v>
      </c>
      <c r="F2387">
        <f t="shared" si="80"/>
        <v>-1.8704996134568934E-2</v>
      </c>
      <c r="G2387">
        <f t="shared" si="81"/>
        <v>-3.2709450482735832E-2</v>
      </c>
    </row>
    <row r="2388" spans="1:7" x14ac:dyDescent="0.35">
      <c r="A2388" t="s">
        <v>130</v>
      </c>
      <c r="B2388" s="3" cm="1">
        <f t="array" ref="B2388">_xlfn.STDEV.S(_xlfn._xlws.FILTER($E$2013:$E$3011, $A$2013:$A$3011="2019-08"))</f>
        <v>1.4990702557711974E-2</v>
      </c>
      <c r="C2388" s="3" cm="1">
        <f t="array" ref="C2388">AVERAGE(_xlfn._xlws.FILTER($E$2013:$E$3011, $A$2013:$A$3011="2019-08"))</f>
        <v>-3.492938351900266E-4</v>
      </c>
      <c r="D2388" s="3" cm="1">
        <f t="array" ref="D2388">_xlfn.PERCENTILE.EXC(_xlfn._xlws.FILTER($E$1498:$E$2489, $A$1498:$A$2489="2019-08"), 0.05)</f>
        <v>-3.5645049506053073E-2</v>
      </c>
      <c r="E2388">
        <v>6.9536073243892296E-3</v>
      </c>
      <c r="F2388">
        <f t="shared" si="80"/>
        <v>-1.8707836319359156E-2</v>
      </c>
      <c r="G2388">
        <f t="shared" si="81"/>
        <v>-3.2709450482735832E-2</v>
      </c>
    </row>
    <row r="2389" spans="1:7" x14ac:dyDescent="0.35">
      <c r="A2389" t="s">
        <v>130</v>
      </c>
      <c r="E2389">
        <v>-3.6354781880387925E-2</v>
      </c>
      <c r="F2389">
        <f t="shared" si="80"/>
        <v>-1.8710676504149377E-2</v>
      </c>
      <c r="G2389">
        <f t="shared" si="81"/>
        <v>-3.2709450482735832E-2</v>
      </c>
    </row>
    <row r="2390" spans="1:7" x14ac:dyDescent="0.35">
      <c r="A2390" t="s">
        <v>130</v>
      </c>
      <c r="E2390">
        <v>-2.2160134393690932E-2</v>
      </c>
      <c r="F2390">
        <f t="shared" si="80"/>
        <v>-1.863502556606119E-2</v>
      </c>
      <c r="G2390">
        <f t="shared" si="81"/>
        <v>-3.2460581932885826E-2</v>
      </c>
    </row>
    <row r="2391" spans="1:7" x14ac:dyDescent="0.35">
      <c r="A2391" t="s">
        <v>130</v>
      </c>
      <c r="E2391">
        <v>-1.3172717202312835E-3</v>
      </c>
      <c r="F2391">
        <f t="shared" si="80"/>
        <v>-1.8407146054591452E-2</v>
      </c>
      <c r="G2391">
        <f t="shared" si="81"/>
        <v>-3.241022703003222E-2</v>
      </c>
    </row>
    <row r="2392" spans="1:7" x14ac:dyDescent="0.35">
      <c r="A2392" t="s">
        <v>130</v>
      </c>
      <c r="E2392">
        <v>6.0679196881315393E-3</v>
      </c>
      <c r="F2392">
        <f t="shared" si="80"/>
        <v>-1.8426900525312956E-2</v>
      </c>
      <c r="G2392">
        <f t="shared" si="81"/>
        <v>-3.241022703003222E-2</v>
      </c>
    </row>
    <row r="2393" spans="1:7" x14ac:dyDescent="0.35">
      <c r="A2393" t="s">
        <v>130</v>
      </c>
      <c r="E2393">
        <v>2.2798930528663604E-2</v>
      </c>
      <c r="F2393">
        <f t="shared" si="80"/>
        <v>-1.8446654996034463E-2</v>
      </c>
      <c r="G2393">
        <f t="shared" si="81"/>
        <v>-3.241022703003222E-2</v>
      </c>
    </row>
    <row r="2394" spans="1:7" x14ac:dyDescent="0.35">
      <c r="A2394" t="s">
        <v>130</v>
      </c>
      <c r="E2394">
        <v>-1.1205916505239706E-2</v>
      </c>
      <c r="F2394">
        <f t="shared" si="80"/>
        <v>-1.846640946675597E-2</v>
      </c>
      <c r="G2394">
        <f t="shared" si="81"/>
        <v>-3.241022703003222E-2</v>
      </c>
    </row>
    <row r="2395" spans="1:7" x14ac:dyDescent="0.35">
      <c r="A2395" t="s">
        <v>130</v>
      </c>
      <c r="E2395">
        <v>-3.3107041462564508E-3</v>
      </c>
      <c r="F2395">
        <f t="shared" si="80"/>
        <v>-1.8486163937477477E-2</v>
      </c>
      <c r="G2395">
        <f t="shared" si="81"/>
        <v>-3.241022703003222E-2</v>
      </c>
    </row>
    <row r="2396" spans="1:7" x14ac:dyDescent="0.35">
      <c r="A2396" t="s">
        <v>130</v>
      </c>
      <c r="E2396">
        <v>9.886358347563233E-3</v>
      </c>
      <c r="F2396">
        <f t="shared" si="80"/>
        <v>-1.8505918408198981E-2</v>
      </c>
      <c r="G2396">
        <f t="shared" si="81"/>
        <v>-3.241022703003222E-2</v>
      </c>
    </row>
    <row r="2397" spans="1:7" x14ac:dyDescent="0.35">
      <c r="A2397" t="s">
        <v>130</v>
      </c>
      <c r="E2397">
        <v>-2.1060907313038165E-2</v>
      </c>
      <c r="F2397">
        <f t="shared" si="80"/>
        <v>-1.8525672878920485E-2</v>
      </c>
      <c r="G2397">
        <f t="shared" si="81"/>
        <v>-3.241022703003222E-2</v>
      </c>
    </row>
    <row r="2398" spans="1:7" x14ac:dyDescent="0.35">
      <c r="A2398" t="s">
        <v>130</v>
      </c>
      <c r="E2398">
        <v>9.3802010554028346E-3</v>
      </c>
      <c r="F2398">
        <f t="shared" si="80"/>
        <v>-1.818816016380977E-2</v>
      </c>
      <c r="G2398">
        <f t="shared" si="81"/>
        <v>-3.2369789559097244E-2</v>
      </c>
    </row>
    <row r="2399" spans="1:7" x14ac:dyDescent="0.35">
      <c r="A2399" t="s">
        <v>130</v>
      </c>
      <c r="E2399">
        <v>1.3262503072285419E-2</v>
      </c>
      <c r="F2399">
        <f t="shared" si="80"/>
        <v>-1.8189003520232332E-2</v>
      </c>
      <c r="G2399">
        <f t="shared" si="81"/>
        <v>-3.2369789559097244E-2</v>
      </c>
    </row>
    <row r="2400" spans="1:7" x14ac:dyDescent="0.35">
      <c r="A2400" t="s">
        <v>130</v>
      </c>
      <c r="E2400">
        <v>-5.0241795836303256E-3</v>
      </c>
      <c r="F2400">
        <f t="shared" si="80"/>
        <v>-1.8189846876654894E-2</v>
      </c>
      <c r="G2400">
        <f t="shared" si="81"/>
        <v>-3.2369789559097244E-2</v>
      </c>
    </row>
    <row r="2401" spans="1:7" x14ac:dyDescent="0.35">
      <c r="A2401" t="s">
        <v>130</v>
      </c>
      <c r="E2401">
        <v>1.68536435981715E-2</v>
      </c>
      <c r="F2401">
        <f t="shared" si="80"/>
        <v>-1.8209601347376397E-2</v>
      </c>
      <c r="G2401">
        <f t="shared" si="81"/>
        <v>-3.2572360168846418E-2</v>
      </c>
    </row>
    <row r="2402" spans="1:7" x14ac:dyDescent="0.35">
      <c r="A2402" t="s">
        <v>130</v>
      </c>
      <c r="E2402">
        <v>-8.7271762630583925E-3</v>
      </c>
      <c r="F2402">
        <f t="shared" si="80"/>
        <v>-1.8229355818097901E-2</v>
      </c>
      <c r="G2402">
        <f t="shared" si="81"/>
        <v>-3.2572360168846418E-2</v>
      </c>
    </row>
    <row r="2403" spans="1:7" x14ac:dyDescent="0.35">
      <c r="A2403" t="s">
        <v>130</v>
      </c>
      <c r="E2403">
        <v>-1.145683322043186E-2</v>
      </c>
      <c r="F2403">
        <f t="shared" si="80"/>
        <v>-1.8249110288819408E-2</v>
      </c>
      <c r="G2403">
        <f t="shared" si="81"/>
        <v>-3.2572360168846418E-2</v>
      </c>
    </row>
    <row r="2404" spans="1:7" x14ac:dyDescent="0.35">
      <c r="A2404" t="s">
        <v>130</v>
      </c>
      <c r="E2404">
        <v>1.124152678843404E-2</v>
      </c>
      <c r="F2404">
        <f t="shared" si="80"/>
        <v>-1.8268864759540916E-2</v>
      </c>
      <c r="G2404">
        <f t="shared" si="81"/>
        <v>-3.2572360168846418E-2</v>
      </c>
    </row>
    <row r="2405" spans="1:7" x14ac:dyDescent="0.35">
      <c r="A2405" t="s">
        <v>130</v>
      </c>
      <c r="E2405">
        <v>-3.4009305838957463E-3</v>
      </c>
      <c r="F2405">
        <f t="shared" si="80"/>
        <v>-1.8288619230262419E-2</v>
      </c>
      <c r="G2405">
        <f t="shared" si="81"/>
        <v>-3.2572360168846418E-2</v>
      </c>
    </row>
    <row r="2406" spans="1:7" x14ac:dyDescent="0.35">
      <c r="A2406" t="s">
        <v>130</v>
      </c>
      <c r="E2406">
        <v>1.5005684210954001E-2</v>
      </c>
      <c r="F2406">
        <f t="shared" si="80"/>
        <v>-1.8308373700983926E-2</v>
      </c>
      <c r="G2406">
        <f t="shared" si="81"/>
        <v>-3.2572360168846418E-2</v>
      </c>
    </row>
    <row r="2407" spans="1:7" x14ac:dyDescent="0.35">
      <c r="A2407" t="s">
        <v>130</v>
      </c>
      <c r="E2407">
        <v>5.5825842920648495E-3</v>
      </c>
      <c r="F2407">
        <f t="shared" si="80"/>
        <v>-1.832812817170543E-2</v>
      </c>
      <c r="G2407">
        <f t="shared" si="81"/>
        <v>-3.2572360168846418E-2</v>
      </c>
    </row>
    <row r="2408" spans="1:7" x14ac:dyDescent="0.35">
      <c r="A2408" t="s">
        <v>131</v>
      </c>
      <c r="B2408" s="3" cm="1">
        <f t="array" ref="B2408">_xlfn.STDEV.S(_xlfn._xlws.FILTER($E$2013:$E$3011, $A$2013:$A$3011="2019-09"))</f>
        <v>6.0785065211527885E-3</v>
      </c>
      <c r="C2408" s="3" cm="1">
        <f t="array" ref="C2408">AVERAGE(_xlfn._xlws.FILTER($E$2013:$E$3011, $A$2013:$A$3011="2019-09"))</f>
        <v>1.6842563880042848E-3</v>
      </c>
      <c r="D2408" s="3" cm="1">
        <f t="array" ref="D2408">_xlfn.PERCENTILE.EXC(_xlfn._xlws.FILTER($E$1498:$E$2489, $A$1498:$A$2489="2019-09"), 0.05)</f>
        <v>-1.048827921005931E-2</v>
      </c>
      <c r="E2408">
        <v>2.289147964325112E-3</v>
      </c>
      <c r="F2408">
        <f t="shared" si="80"/>
        <v>-1.8347882642426934E-2</v>
      </c>
      <c r="G2408">
        <f t="shared" si="81"/>
        <v>-3.2572360168846418E-2</v>
      </c>
    </row>
    <row r="2409" spans="1:7" x14ac:dyDescent="0.35">
      <c r="A2409" t="s">
        <v>131</v>
      </c>
      <c r="E2409">
        <v>-4.921942465552216E-3</v>
      </c>
      <c r="F2409">
        <f t="shared" si="80"/>
        <v>-1.8367637113148445E-2</v>
      </c>
      <c r="G2409">
        <f t="shared" si="81"/>
        <v>-3.2572360168846418E-2</v>
      </c>
    </row>
    <row r="2410" spans="1:7" x14ac:dyDescent="0.35">
      <c r="A2410" t="s">
        <v>131</v>
      </c>
      <c r="E2410">
        <v>1.2002173510253143E-2</v>
      </c>
      <c r="F2410">
        <f t="shared" si="80"/>
        <v>-1.8387391583869948E-2</v>
      </c>
      <c r="G2410">
        <f t="shared" si="81"/>
        <v>-3.2572360168846418E-2</v>
      </c>
    </row>
    <row r="2411" spans="1:7" x14ac:dyDescent="0.35">
      <c r="A2411" t="s">
        <v>131</v>
      </c>
      <c r="E2411">
        <v>1.1019900398649174E-2</v>
      </c>
      <c r="F2411">
        <f t="shared" si="80"/>
        <v>-1.8407146054591452E-2</v>
      </c>
      <c r="G2411">
        <f t="shared" si="81"/>
        <v>-3.2572360168846418E-2</v>
      </c>
    </row>
    <row r="2412" spans="1:7" x14ac:dyDescent="0.35">
      <c r="A2412" t="s">
        <v>131</v>
      </c>
      <c r="E2412">
        <v>1.8968762608960574E-3</v>
      </c>
      <c r="F2412">
        <f t="shared" si="80"/>
        <v>-1.8426900525312956E-2</v>
      </c>
      <c r="G2412">
        <f t="shared" si="81"/>
        <v>-3.2572360168846418E-2</v>
      </c>
    </row>
    <row r="2413" spans="1:7" x14ac:dyDescent="0.35">
      <c r="A2413" t="s">
        <v>131</v>
      </c>
      <c r="E2413">
        <v>-2.6874099301502159E-3</v>
      </c>
      <c r="F2413">
        <f t="shared" si="80"/>
        <v>-1.8446654996034463E-2</v>
      </c>
      <c r="G2413">
        <f t="shared" si="81"/>
        <v>-3.2572360168846418E-2</v>
      </c>
    </row>
    <row r="2414" spans="1:7" x14ac:dyDescent="0.35">
      <c r="A2414" t="s">
        <v>131</v>
      </c>
      <c r="E2414">
        <v>7.6192796491727913E-4</v>
      </c>
      <c r="F2414">
        <f t="shared" si="80"/>
        <v>-1.846640946675597E-2</v>
      </c>
      <c r="G2414">
        <f t="shared" si="81"/>
        <v>-3.2572360168846418E-2</v>
      </c>
    </row>
    <row r="2415" spans="1:7" x14ac:dyDescent="0.35">
      <c r="A2415" t="s">
        <v>131</v>
      </c>
      <c r="E2415">
        <v>4.4330465140523601E-3</v>
      </c>
      <c r="F2415">
        <f t="shared" si="80"/>
        <v>-1.8486163937477477E-2</v>
      </c>
      <c r="G2415">
        <f t="shared" si="81"/>
        <v>-3.2572360168846418E-2</v>
      </c>
    </row>
    <row r="2416" spans="1:7" x14ac:dyDescent="0.35">
      <c r="A2416" t="s">
        <v>131</v>
      </c>
      <c r="E2416">
        <v>4.4046205984467441E-3</v>
      </c>
      <c r="F2416">
        <f t="shared" si="80"/>
        <v>-1.8505918408198981E-2</v>
      </c>
      <c r="G2416">
        <f t="shared" si="81"/>
        <v>-3.2572360168846418E-2</v>
      </c>
    </row>
    <row r="2417" spans="1:7" x14ac:dyDescent="0.35">
      <c r="A2417" t="s">
        <v>131</v>
      </c>
      <c r="E2417">
        <v>2.2304210225090261E-3</v>
      </c>
      <c r="F2417">
        <f t="shared" si="80"/>
        <v>-1.8525672878920485E-2</v>
      </c>
      <c r="G2417">
        <f t="shared" si="81"/>
        <v>-3.2572360168846418E-2</v>
      </c>
    </row>
    <row r="2418" spans="1:7" x14ac:dyDescent="0.35">
      <c r="A2418" t="s">
        <v>131</v>
      </c>
      <c r="E2418">
        <v>-9.4567174427058181E-3</v>
      </c>
      <c r="F2418">
        <f t="shared" si="80"/>
        <v>-1.8545427349641989E-2</v>
      </c>
      <c r="G2418">
        <f t="shared" si="81"/>
        <v>-3.2572360168846418E-2</v>
      </c>
    </row>
    <row r="2419" spans="1:7" x14ac:dyDescent="0.35">
      <c r="A2419" t="s">
        <v>131</v>
      </c>
      <c r="E2419">
        <v>2.3676794441428823E-3</v>
      </c>
      <c r="F2419">
        <f t="shared" si="80"/>
        <v>-1.8565181820363499E-2</v>
      </c>
      <c r="G2419">
        <f t="shared" si="81"/>
        <v>-3.2572360168846418E-2</v>
      </c>
    </row>
    <row r="2420" spans="1:7" x14ac:dyDescent="0.35">
      <c r="A2420" t="s">
        <v>131</v>
      </c>
      <c r="E2420">
        <v>9.1490337598165771E-4</v>
      </c>
      <c r="F2420">
        <f t="shared" si="80"/>
        <v>-1.8584936291085003E-2</v>
      </c>
      <c r="G2420">
        <f t="shared" si="81"/>
        <v>-3.2572360168846418E-2</v>
      </c>
    </row>
    <row r="2421" spans="1:7" x14ac:dyDescent="0.35">
      <c r="A2421" t="s">
        <v>131</v>
      </c>
      <c r="E2421">
        <v>6.8140192530689201E-3</v>
      </c>
      <c r="F2421">
        <f t="shared" si="80"/>
        <v>-1.8589945218582621E-2</v>
      </c>
      <c r="G2421">
        <f t="shared" si="81"/>
        <v>-3.2775076456929911E-2</v>
      </c>
    </row>
    <row r="2422" spans="1:7" x14ac:dyDescent="0.35">
      <c r="A2422" t="s">
        <v>131</v>
      </c>
      <c r="E2422">
        <v>5.5859865105877312E-3</v>
      </c>
      <c r="F2422">
        <f t="shared" si="80"/>
        <v>-1.8594954146080242E-2</v>
      </c>
      <c r="G2422">
        <f t="shared" si="81"/>
        <v>-3.2775076456929911E-2</v>
      </c>
    </row>
    <row r="2423" spans="1:7" x14ac:dyDescent="0.35">
      <c r="A2423" t="s">
        <v>131</v>
      </c>
      <c r="E2423">
        <v>-1.0602897184209698E-2</v>
      </c>
      <c r="F2423">
        <f t="shared" si="80"/>
        <v>-1.859996307357786E-2</v>
      </c>
      <c r="G2423">
        <f t="shared" si="81"/>
        <v>-3.2775076456929911E-2</v>
      </c>
    </row>
    <row r="2424" spans="1:7" x14ac:dyDescent="0.35">
      <c r="A2424" t="s">
        <v>131</v>
      </c>
      <c r="E2424">
        <v>-4.3165123251185576E-4</v>
      </c>
      <c r="F2424">
        <f t="shared" si="80"/>
        <v>-1.8604972001075477E-2</v>
      </c>
      <c r="G2424">
        <f t="shared" si="81"/>
        <v>-3.2775076456929911E-2</v>
      </c>
    </row>
    <row r="2425" spans="1:7" x14ac:dyDescent="0.35">
      <c r="A2425" t="s">
        <v>131</v>
      </c>
      <c r="E2425">
        <v>-7.9432247278816027E-3</v>
      </c>
      <c r="F2425">
        <f t="shared" si="80"/>
        <v>-1.8609980928573099E-2</v>
      </c>
      <c r="G2425">
        <f t="shared" si="81"/>
        <v>-3.2775076456929911E-2</v>
      </c>
    </row>
    <row r="2426" spans="1:7" x14ac:dyDescent="0.35">
      <c r="A2426" t="s">
        <v>131</v>
      </c>
      <c r="E2426">
        <v>6.5635340504001573E-3</v>
      </c>
      <c r="F2426">
        <f t="shared" si="80"/>
        <v>-1.8614989856070716E-2</v>
      </c>
      <c r="G2426">
        <f t="shared" si="81"/>
        <v>-3.2775076456929911E-2</v>
      </c>
    </row>
    <row r="2427" spans="1:7" x14ac:dyDescent="0.35">
      <c r="A2427" t="s">
        <v>131</v>
      </c>
      <c r="E2427">
        <v>3.5538148519207958E-3</v>
      </c>
      <c r="F2427">
        <f t="shared" si="80"/>
        <v>-1.8619998783568334E-2</v>
      </c>
      <c r="G2427">
        <f t="shared" si="81"/>
        <v>-3.2775076456929911E-2</v>
      </c>
    </row>
    <row r="2428" spans="1:7" x14ac:dyDescent="0.35">
      <c r="A2428" t="s">
        <v>131</v>
      </c>
      <c r="E2428">
        <v>6.5751754109503362E-3</v>
      </c>
      <c r="F2428">
        <f t="shared" si="80"/>
        <v>-1.8625007711065955E-2</v>
      </c>
      <c r="G2428">
        <f t="shared" si="81"/>
        <v>-3.2775076456929911E-2</v>
      </c>
    </row>
    <row r="2429" spans="1:7" x14ac:dyDescent="0.35">
      <c r="A2429" t="s">
        <v>132</v>
      </c>
      <c r="B2429" s="3" cm="1">
        <f t="array" ref="B2429">_xlfn.STDEV.S(_xlfn._xlws.FILTER($E$2013:$E$3011, $A$2013:$A$3011="2019-10"))</f>
        <v>1.0626960525530749E-2</v>
      </c>
      <c r="C2429" s="3" cm="1">
        <f t="array" ref="C2429">AVERAGE(_xlfn._xlws.FILTER($E$2013:$E$3011, $A$2013:$A$3011="2019-10"))</f>
        <v>4.1495568660854324E-4</v>
      </c>
      <c r="D2429" s="3" cm="1">
        <f t="array" ref="D2429">_xlfn.PERCENTILE.EXC(_xlfn._xlws.FILTER($E$1498:$E$2489, $A$1498:$A$2489="2019-10"), 0.05)</f>
        <v>-2.910887483056887E-2</v>
      </c>
      <c r="E2429">
        <v>-1.4218778638053061E-2</v>
      </c>
      <c r="F2429">
        <f t="shared" si="80"/>
        <v>-1.8630016638563573E-2</v>
      </c>
      <c r="G2429">
        <f t="shared" si="81"/>
        <v>-3.2775076456929911E-2</v>
      </c>
    </row>
    <row r="2430" spans="1:7" x14ac:dyDescent="0.35">
      <c r="A2430" t="s">
        <v>132</v>
      </c>
      <c r="E2430">
        <v>-3.1736538864542252E-2</v>
      </c>
      <c r="F2430">
        <f t="shared" si="80"/>
        <v>-1.863502556606119E-2</v>
      </c>
      <c r="G2430">
        <f t="shared" si="81"/>
        <v>-3.2775076456929911E-2</v>
      </c>
    </row>
    <row r="2431" spans="1:7" x14ac:dyDescent="0.35">
      <c r="A2431" t="s">
        <v>132</v>
      </c>
      <c r="E2431">
        <v>1.2015442751173076E-2</v>
      </c>
      <c r="F2431">
        <f t="shared" si="80"/>
        <v>-1.8407146054591452E-2</v>
      </c>
      <c r="G2431">
        <f t="shared" si="81"/>
        <v>-3.2584473521082707E-2</v>
      </c>
    </row>
    <row r="2432" spans="1:7" x14ac:dyDescent="0.35">
      <c r="A2432" t="s">
        <v>132</v>
      </c>
      <c r="E2432">
        <v>6.047286667638198E-3</v>
      </c>
      <c r="F2432">
        <f t="shared" si="80"/>
        <v>-1.8426900525312956E-2</v>
      </c>
      <c r="G2432">
        <f t="shared" si="81"/>
        <v>-3.2584473521082707E-2</v>
      </c>
    </row>
    <row r="2433" spans="1:7" x14ac:dyDescent="0.35">
      <c r="A2433" t="s">
        <v>132</v>
      </c>
      <c r="E2433">
        <v>-1.1839933980542337E-2</v>
      </c>
      <c r="F2433">
        <f t="shared" si="80"/>
        <v>-1.8446654996034463E-2</v>
      </c>
      <c r="G2433">
        <f t="shared" si="81"/>
        <v>-3.2584473521082707E-2</v>
      </c>
    </row>
    <row r="2434" spans="1:7" x14ac:dyDescent="0.35">
      <c r="A2434" t="s">
        <v>132</v>
      </c>
      <c r="E2434">
        <v>7.7621659273189305E-3</v>
      </c>
      <c r="F2434">
        <f t="shared" si="80"/>
        <v>-1.846640946675597E-2</v>
      </c>
      <c r="G2434">
        <f t="shared" si="81"/>
        <v>-3.2584473521082707E-2</v>
      </c>
    </row>
    <row r="2435" spans="1:7" x14ac:dyDescent="0.35">
      <c r="A2435" t="s">
        <v>132</v>
      </c>
      <c r="E2435">
        <v>1.2632766463813734E-2</v>
      </c>
      <c r="F2435">
        <f t="shared" si="80"/>
        <v>-1.8486163937477477E-2</v>
      </c>
      <c r="G2435">
        <f t="shared" si="81"/>
        <v>-3.2584473521082707E-2</v>
      </c>
    </row>
    <row r="2436" spans="1:7" x14ac:dyDescent="0.35">
      <c r="A2436" t="s">
        <v>132</v>
      </c>
      <c r="E2436">
        <v>1.7167138853887813E-2</v>
      </c>
      <c r="F2436">
        <f t="shared" ref="F2436:F2499" si="82">_xlfn.PERCENTILE.EXC(E2436:E6251,0.05)</f>
        <v>-1.8505918408198981E-2</v>
      </c>
      <c r="G2436">
        <f t="shared" ref="G2436:G2499" si="83">AVERAGEIFS(E2436:E6252,E2436:E6252,"&lt;=" &amp; F2436)</f>
        <v>-3.2584473521082707E-2</v>
      </c>
    </row>
    <row r="2437" spans="1:7" x14ac:dyDescent="0.35">
      <c r="A2437" t="s">
        <v>132</v>
      </c>
      <c r="E2437">
        <v>-3.9616059509008008E-3</v>
      </c>
      <c r="F2437">
        <f t="shared" si="82"/>
        <v>-1.8525672878920485E-2</v>
      </c>
      <c r="G2437">
        <f t="shared" si="83"/>
        <v>-3.2584473521082707E-2</v>
      </c>
    </row>
    <row r="2438" spans="1:7" x14ac:dyDescent="0.35">
      <c r="A2438" t="s">
        <v>132</v>
      </c>
      <c r="E2438">
        <v>1.0395743562273579E-2</v>
      </c>
      <c r="F2438">
        <f t="shared" si="82"/>
        <v>-1.8545427349641989E-2</v>
      </c>
      <c r="G2438">
        <f t="shared" si="83"/>
        <v>-3.2584473521082707E-2</v>
      </c>
    </row>
    <row r="2439" spans="1:7" x14ac:dyDescent="0.35">
      <c r="A2439" t="s">
        <v>132</v>
      </c>
      <c r="E2439">
        <v>-9.0359205898894366E-4</v>
      </c>
      <c r="F2439">
        <f t="shared" si="82"/>
        <v>-1.8565181820363499E-2</v>
      </c>
      <c r="G2439">
        <f t="shared" si="83"/>
        <v>-3.2584473521082707E-2</v>
      </c>
    </row>
    <row r="2440" spans="1:7" x14ac:dyDescent="0.35">
      <c r="A2440" t="s">
        <v>132</v>
      </c>
      <c r="E2440">
        <v>-4.1917498274144692E-3</v>
      </c>
      <c r="F2440">
        <f t="shared" si="82"/>
        <v>-1.8584936291085003E-2</v>
      </c>
      <c r="G2440">
        <f t="shared" si="83"/>
        <v>-3.2584473521082707E-2</v>
      </c>
    </row>
    <row r="2441" spans="1:7" x14ac:dyDescent="0.35">
      <c r="A2441" t="s">
        <v>132</v>
      </c>
      <c r="E2441">
        <v>-6.5114666655078863E-3</v>
      </c>
      <c r="F2441">
        <f t="shared" si="82"/>
        <v>-1.8589945218582621E-2</v>
      </c>
      <c r="G2441">
        <f t="shared" si="83"/>
        <v>-3.2790349068582671E-2</v>
      </c>
    </row>
    <row r="2442" spans="1:7" x14ac:dyDescent="0.35">
      <c r="A2442" t="s">
        <v>132</v>
      </c>
      <c r="E2442">
        <v>2.1445163563220001E-3</v>
      </c>
      <c r="F2442">
        <f t="shared" si="82"/>
        <v>-1.8594954146080242E-2</v>
      </c>
      <c r="G2442">
        <f t="shared" si="83"/>
        <v>-3.2790349068582671E-2</v>
      </c>
    </row>
    <row r="2443" spans="1:7" x14ac:dyDescent="0.35">
      <c r="A2443" t="s">
        <v>132</v>
      </c>
      <c r="E2443">
        <v>1.6522145905557384E-3</v>
      </c>
      <c r="F2443">
        <f t="shared" si="82"/>
        <v>-1.859996307357786E-2</v>
      </c>
      <c r="G2443">
        <f t="shared" si="83"/>
        <v>-3.2790349068582671E-2</v>
      </c>
    </row>
    <row r="2444" spans="1:7" x14ac:dyDescent="0.35">
      <c r="A2444" t="s">
        <v>132</v>
      </c>
      <c r="E2444">
        <v>-7.5147225785599479E-4</v>
      </c>
      <c r="F2444">
        <f t="shared" si="82"/>
        <v>-1.8604972001075477E-2</v>
      </c>
      <c r="G2444">
        <f t="shared" si="83"/>
        <v>-3.2790349068582671E-2</v>
      </c>
    </row>
    <row r="2445" spans="1:7" x14ac:dyDescent="0.35">
      <c r="A2445" t="s">
        <v>132</v>
      </c>
      <c r="E2445">
        <v>5.4490568132332965E-3</v>
      </c>
      <c r="F2445">
        <f t="shared" si="82"/>
        <v>-1.8609980928573099E-2</v>
      </c>
      <c r="G2445">
        <f t="shared" si="83"/>
        <v>-3.2790349068582671E-2</v>
      </c>
    </row>
    <row r="2446" spans="1:7" x14ac:dyDescent="0.35">
      <c r="A2446" t="s">
        <v>132</v>
      </c>
      <c r="E2446">
        <v>6.6313426391859959E-3</v>
      </c>
      <c r="F2446">
        <f t="shared" si="82"/>
        <v>-1.8614989856070716E-2</v>
      </c>
      <c r="G2446">
        <f t="shared" si="83"/>
        <v>-3.2790349068582671E-2</v>
      </c>
    </row>
    <row r="2447" spans="1:7" x14ac:dyDescent="0.35">
      <c r="A2447" t="s">
        <v>132</v>
      </c>
      <c r="E2447">
        <v>1.4703933243881136E-3</v>
      </c>
      <c r="F2447">
        <f t="shared" si="82"/>
        <v>-1.8619998783568334E-2</v>
      </c>
      <c r="G2447">
        <f t="shared" si="83"/>
        <v>-3.2790349068582671E-2</v>
      </c>
    </row>
    <row r="2448" spans="1:7" x14ac:dyDescent="0.35">
      <c r="A2448" t="s">
        <v>132</v>
      </c>
      <c r="E2448">
        <v>1.6685980589545163E-3</v>
      </c>
      <c r="F2448">
        <f t="shared" si="82"/>
        <v>-1.8625007711065955E-2</v>
      </c>
      <c r="G2448">
        <f t="shared" si="83"/>
        <v>-3.2790349068582671E-2</v>
      </c>
    </row>
    <row r="2449" spans="1:7" x14ac:dyDescent="0.35">
      <c r="A2449" t="s">
        <v>132</v>
      </c>
      <c r="E2449">
        <v>4.4724527250357199E-3</v>
      </c>
      <c r="F2449">
        <f t="shared" si="82"/>
        <v>-1.8630016638563573E-2</v>
      </c>
      <c r="G2449">
        <f t="shared" si="83"/>
        <v>-3.2790349068582671E-2</v>
      </c>
    </row>
    <row r="2450" spans="1:7" x14ac:dyDescent="0.35">
      <c r="A2450" t="s">
        <v>132</v>
      </c>
      <c r="E2450">
        <v>-6.2649553845870176E-3</v>
      </c>
      <c r="F2450">
        <f t="shared" si="82"/>
        <v>-1.863502556606119E-2</v>
      </c>
      <c r="G2450">
        <f t="shared" si="83"/>
        <v>-3.2790349068582671E-2</v>
      </c>
    </row>
    <row r="2451" spans="1:7" x14ac:dyDescent="0.35">
      <c r="A2451" t="s">
        <v>133</v>
      </c>
      <c r="B2451" s="3" cm="1">
        <f t="array" ref="B2451">_xlfn.STDEV.S(_xlfn._xlws.FILTER($E$2013:$E$3011, $A$2013:$A$3011="2019-11"))</f>
        <v>3.7522256212084194E-3</v>
      </c>
      <c r="C2451" s="3" cm="1">
        <f t="array" ref="C2451">AVERAGE(_xlfn._xlws.FILTER($E$2013:$E$3011, $A$2013:$A$3011="2019-11"))</f>
        <v>1.4351019418220919E-3</v>
      </c>
      <c r="D2451" s="3" cm="1">
        <f t="array" ref="D2451">_xlfn.PERCENTILE.EXC(_xlfn._xlws.FILTER($E$1498:$E$2489, $A$1498:$A$2489="2019-11"), 0.05)</f>
        <v>-3.4078626866513705E-3</v>
      </c>
      <c r="E2451">
        <v>5.5744482681762001E-3</v>
      </c>
      <c r="F2451">
        <f t="shared" si="82"/>
        <v>-1.8640034493558812E-2</v>
      </c>
      <c r="G2451">
        <f t="shared" si="83"/>
        <v>-3.2790349068582671E-2</v>
      </c>
    </row>
    <row r="2452" spans="1:7" x14ac:dyDescent="0.35">
      <c r="A2452" t="s">
        <v>133</v>
      </c>
      <c r="E2452">
        <v>1.0773274670185224E-2</v>
      </c>
      <c r="F2452">
        <f t="shared" si="82"/>
        <v>-1.8645043421056429E-2</v>
      </c>
      <c r="G2452">
        <f t="shared" si="83"/>
        <v>-3.2790349068582671E-2</v>
      </c>
    </row>
    <row r="2453" spans="1:7" x14ac:dyDescent="0.35">
      <c r="A2453" t="s">
        <v>133</v>
      </c>
      <c r="E2453">
        <v>3.8710753932853325E-3</v>
      </c>
      <c r="F2453">
        <f t="shared" si="82"/>
        <v>-1.8650052348554047E-2</v>
      </c>
      <c r="G2453">
        <f t="shared" si="83"/>
        <v>-3.2790349068582671E-2</v>
      </c>
    </row>
    <row r="2454" spans="1:7" x14ac:dyDescent="0.35">
      <c r="A2454" t="s">
        <v>133</v>
      </c>
      <c r="E2454">
        <v>3.3892173478363703E-3</v>
      </c>
      <c r="F2454">
        <f t="shared" si="82"/>
        <v>-1.8655061276051668E-2</v>
      </c>
      <c r="G2454">
        <f t="shared" si="83"/>
        <v>-3.2790349068582671E-2</v>
      </c>
    </row>
    <row r="2455" spans="1:7" x14ac:dyDescent="0.35">
      <c r="A2455" t="s">
        <v>133</v>
      </c>
      <c r="E2455">
        <v>4.1249517355693458E-3</v>
      </c>
      <c r="F2455">
        <f t="shared" si="82"/>
        <v>-1.8660070203549286E-2</v>
      </c>
      <c r="G2455">
        <f t="shared" si="83"/>
        <v>-3.2790349068582671E-2</v>
      </c>
    </row>
    <row r="2456" spans="1:7" x14ac:dyDescent="0.35">
      <c r="A2456" t="s">
        <v>133</v>
      </c>
      <c r="E2456">
        <v>-2.1900245319344085E-4</v>
      </c>
      <c r="F2456">
        <f t="shared" si="82"/>
        <v>-1.8665079131046907E-2</v>
      </c>
      <c r="G2456">
        <f t="shared" si="83"/>
        <v>-3.2790349068582671E-2</v>
      </c>
    </row>
    <row r="2457" spans="1:7" x14ac:dyDescent="0.35">
      <c r="A2457" t="s">
        <v>133</v>
      </c>
      <c r="E2457">
        <v>6.9928173718677078E-4</v>
      </c>
      <c r="F2457">
        <f t="shared" si="82"/>
        <v>-1.8670088058544525E-2</v>
      </c>
      <c r="G2457">
        <f t="shared" si="83"/>
        <v>-3.2790349068582671E-2</v>
      </c>
    </row>
    <row r="2458" spans="1:7" x14ac:dyDescent="0.35">
      <c r="A2458" t="s">
        <v>133</v>
      </c>
      <c r="E2458">
        <v>4.3898739570496278E-3</v>
      </c>
      <c r="F2458">
        <f t="shared" si="82"/>
        <v>-1.8675096986042142E-2</v>
      </c>
      <c r="G2458">
        <f t="shared" si="83"/>
        <v>-3.2790349068582671E-2</v>
      </c>
    </row>
    <row r="2459" spans="1:7" x14ac:dyDescent="0.35">
      <c r="A2459" t="s">
        <v>133</v>
      </c>
      <c r="E2459">
        <v>-2.1408939049677631E-3</v>
      </c>
      <c r="F2459">
        <f t="shared" si="82"/>
        <v>-1.8680105913539764E-2</v>
      </c>
      <c r="G2459">
        <f t="shared" si="83"/>
        <v>-3.2790349068582671E-2</v>
      </c>
    </row>
    <row r="2460" spans="1:7" x14ac:dyDescent="0.35">
      <c r="A2460" t="s">
        <v>133</v>
      </c>
      <c r="E2460">
        <v>-1.0179393621474093E-3</v>
      </c>
      <c r="F2460">
        <f t="shared" si="82"/>
        <v>-1.8685114841037381E-2</v>
      </c>
      <c r="G2460">
        <f t="shared" si="83"/>
        <v>-3.2790349068582671E-2</v>
      </c>
    </row>
    <row r="2461" spans="1:7" x14ac:dyDescent="0.35">
      <c r="A2461" t="s">
        <v>133</v>
      </c>
      <c r="E2461">
        <v>6.450845192002827E-3</v>
      </c>
      <c r="F2461">
        <f t="shared" si="82"/>
        <v>-1.8687955025827603E-2</v>
      </c>
      <c r="G2461">
        <f t="shared" si="83"/>
        <v>-3.3000874952575886E-2</v>
      </c>
    </row>
    <row r="2462" spans="1:7" x14ac:dyDescent="0.35">
      <c r="A2462" t="s">
        <v>133</v>
      </c>
      <c r="E2462">
        <v>-1.5974309702556267E-3</v>
      </c>
      <c r="F2462">
        <f t="shared" si="82"/>
        <v>-1.8690795210617825E-2</v>
      </c>
      <c r="G2462">
        <f t="shared" si="83"/>
        <v>-3.3000874952575886E-2</v>
      </c>
    </row>
    <row r="2463" spans="1:7" x14ac:dyDescent="0.35">
      <c r="A2463" t="s">
        <v>133</v>
      </c>
      <c r="E2463">
        <v>-3.5037252327376222E-3</v>
      </c>
      <c r="F2463">
        <f t="shared" si="82"/>
        <v>-1.8693635395408047E-2</v>
      </c>
      <c r="G2463">
        <f t="shared" si="83"/>
        <v>-3.3000874952575886E-2</v>
      </c>
    </row>
    <row r="2464" spans="1:7" x14ac:dyDescent="0.35">
      <c r="A2464" t="s">
        <v>133</v>
      </c>
      <c r="E2464">
        <v>-2.5450997718751076E-3</v>
      </c>
      <c r="F2464">
        <f t="shared" si="82"/>
        <v>-1.8696475580198268E-2</v>
      </c>
      <c r="G2464">
        <f t="shared" si="83"/>
        <v>-3.3000874952575886E-2</v>
      </c>
    </row>
    <row r="2465" spans="1:7" x14ac:dyDescent="0.35">
      <c r="A2465" t="s">
        <v>133</v>
      </c>
      <c r="E2465">
        <v>-2.177451171319011E-3</v>
      </c>
      <c r="F2465">
        <f t="shared" si="82"/>
        <v>-1.869931576498849E-2</v>
      </c>
      <c r="G2465">
        <f t="shared" si="83"/>
        <v>-3.3000874952575886E-2</v>
      </c>
    </row>
    <row r="2466" spans="1:7" x14ac:dyDescent="0.35">
      <c r="A2466" t="s">
        <v>133</v>
      </c>
      <c r="E2466">
        <v>2.0247426305426992E-3</v>
      </c>
      <c r="F2466">
        <f t="shared" si="82"/>
        <v>-1.8702155949778712E-2</v>
      </c>
      <c r="G2466">
        <f t="shared" si="83"/>
        <v>-3.3000874952575886E-2</v>
      </c>
    </row>
    <row r="2467" spans="1:7" x14ac:dyDescent="0.35">
      <c r="A2467" t="s">
        <v>133</v>
      </c>
      <c r="E2467">
        <v>5.36979236632218E-3</v>
      </c>
      <c r="F2467">
        <f t="shared" si="82"/>
        <v>-1.8704996134568934E-2</v>
      </c>
      <c r="G2467">
        <f t="shared" si="83"/>
        <v>-3.3000874952575886E-2</v>
      </c>
    </row>
    <row r="2468" spans="1:7" x14ac:dyDescent="0.35">
      <c r="A2468" t="s">
        <v>133</v>
      </c>
      <c r="E2468">
        <v>8.0307196196212187E-4</v>
      </c>
      <c r="F2468">
        <f t="shared" si="82"/>
        <v>-1.8707836319359156E-2</v>
      </c>
      <c r="G2468">
        <f t="shared" si="83"/>
        <v>-3.3000874952575886E-2</v>
      </c>
    </row>
    <row r="2469" spans="1:7" x14ac:dyDescent="0.35">
      <c r="A2469" t="s">
        <v>133</v>
      </c>
      <c r="E2469">
        <v>-4.6894267782199907E-4</v>
      </c>
      <c r="F2469">
        <f t="shared" si="82"/>
        <v>-1.8710676504149377E-2</v>
      </c>
      <c r="G2469">
        <f t="shared" si="83"/>
        <v>-3.3000874952575886E-2</v>
      </c>
    </row>
    <row r="2470" spans="1:7" x14ac:dyDescent="0.35">
      <c r="A2470" t="s">
        <v>133</v>
      </c>
      <c r="E2470">
        <v>-2.3852249060617938E-3</v>
      </c>
      <c r="F2470">
        <f t="shared" si="82"/>
        <v>-1.8713516688939599E-2</v>
      </c>
      <c r="G2470">
        <f t="shared" si="83"/>
        <v>-3.3000874952575886E-2</v>
      </c>
    </row>
    <row r="2471" spans="1:7" x14ac:dyDescent="0.35">
      <c r="A2471" t="s">
        <v>133</v>
      </c>
      <c r="E2471">
        <v>-1.2777240314749993E-3</v>
      </c>
      <c r="F2471">
        <f t="shared" si="82"/>
        <v>-1.8716356873729821E-2</v>
      </c>
      <c r="G2471">
        <f t="shared" si="83"/>
        <v>-3.3000874952575886E-2</v>
      </c>
    </row>
    <row r="2472" spans="1:7" x14ac:dyDescent="0.35">
      <c r="A2472" t="s">
        <v>134</v>
      </c>
      <c r="B2472" s="3" cm="1">
        <f t="array" ref="B2472">_xlfn.STDEV.S(_xlfn._xlws.FILTER($E$2013:$E$3011, $A$2013:$A$3011="2019-12"))</f>
        <v>8.5101697432072559E-3</v>
      </c>
      <c r="C2472" s="3" cm="1">
        <f t="array" ref="C2472">AVERAGE(_xlfn._xlws.FILTER($E$2013:$E$3011, $A$2013:$A$3011="2019-12"))</f>
        <v>7.2019434069476652E-4</v>
      </c>
      <c r="D2472" s="3" cm="1">
        <f t="array" ref="D2472">_xlfn.PERCENTILE.INC(_xlfn._xlws.FILTER($E$1498:$E$2489, $A$1498:$A$2489="2019-12"), 0.05)</f>
        <v>-1.1826890944555853E-2</v>
      </c>
      <c r="E2472">
        <v>-2.0259145101798166E-2</v>
      </c>
      <c r="F2472">
        <f t="shared" si="82"/>
        <v>-1.8719197058520043E-2</v>
      </c>
      <c r="G2472">
        <f t="shared" si="83"/>
        <v>-3.3000874952575886E-2</v>
      </c>
    </row>
    <row r="2473" spans="1:7" x14ac:dyDescent="0.35">
      <c r="A2473" t="s">
        <v>134</v>
      </c>
      <c r="E2473">
        <v>-1.0338846093277799E-2</v>
      </c>
      <c r="F2473">
        <f t="shared" si="82"/>
        <v>-1.8650052348554047E-2</v>
      </c>
      <c r="G2473">
        <f t="shared" si="83"/>
        <v>-3.297738196360931E-2</v>
      </c>
    </row>
    <row r="2474" spans="1:7" x14ac:dyDescent="0.35">
      <c r="A2474" t="s">
        <v>134</v>
      </c>
      <c r="E2474">
        <v>1.2572496414949903E-2</v>
      </c>
      <c r="F2474">
        <f t="shared" si="82"/>
        <v>-1.8655061276051668E-2</v>
      </c>
      <c r="G2474">
        <f t="shared" si="83"/>
        <v>-3.297738196360931E-2</v>
      </c>
    </row>
    <row r="2475" spans="1:7" x14ac:dyDescent="0.35">
      <c r="A2475" t="s">
        <v>134</v>
      </c>
      <c r="E2475">
        <v>3.2237961254035131E-4</v>
      </c>
      <c r="F2475">
        <f t="shared" si="82"/>
        <v>-1.8660070203549286E-2</v>
      </c>
      <c r="G2475">
        <f t="shared" si="83"/>
        <v>-3.297738196360931E-2</v>
      </c>
    </row>
    <row r="2476" spans="1:7" x14ac:dyDescent="0.35">
      <c r="A2476" t="s">
        <v>134</v>
      </c>
      <c r="E2476">
        <v>1.205484099021108E-2</v>
      </c>
      <c r="F2476">
        <f t="shared" si="82"/>
        <v>-1.8665079131046907E-2</v>
      </c>
      <c r="G2476">
        <f t="shared" si="83"/>
        <v>-3.297738196360931E-2</v>
      </c>
    </row>
    <row r="2477" spans="1:7" x14ac:dyDescent="0.35">
      <c r="A2477" t="s">
        <v>134</v>
      </c>
      <c r="E2477">
        <v>-5.9201686938081446E-3</v>
      </c>
      <c r="F2477">
        <f t="shared" si="82"/>
        <v>-1.8670088058544525E-2</v>
      </c>
      <c r="G2477">
        <f t="shared" si="83"/>
        <v>-3.297738196360931E-2</v>
      </c>
    </row>
    <row r="2478" spans="1:7" x14ac:dyDescent="0.35">
      <c r="A2478" t="s">
        <v>134</v>
      </c>
      <c r="E2478">
        <v>1.845056867809326E-3</v>
      </c>
      <c r="F2478">
        <f t="shared" si="82"/>
        <v>-1.8675096986042142E-2</v>
      </c>
      <c r="G2478">
        <f t="shared" si="83"/>
        <v>-3.297738196360931E-2</v>
      </c>
    </row>
    <row r="2479" spans="1:7" x14ac:dyDescent="0.35">
      <c r="A2479" t="s">
        <v>134</v>
      </c>
      <c r="E2479">
        <v>2.1949105696229534E-3</v>
      </c>
      <c r="F2479">
        <f t="shared" si="82"/>
        <v>-1.8680105913539764E-2</v>
      </c>
      <c r="G2479">
        <f t="shared" si="83"/>
        <v>-3.297738196360931E-2</v>
      </c>
    </row>
    <row r="2480" spans="1:7" x14ac:dyDescent="0.35">
      <c r="A2480" t="s">
        <v>134</v>
      </c>
      <c r="E2480">
        <v>3.9812264275086171E-3</v>
      </c>
      <c r="F2480">
        <f t="shared" si="82"/>
        <v>-1.8685114841037381E-2</v>
      </c>
      <c r="G2480">
        <f t="shared" si="83"/>
        <v>-3.297738196360931E-2</v>
      </c>
    </row>
    <row r="2481" spans="1:7" x14ac:dyDescent="0.35">
      <c r="A2481" t="s">
        <v>134</v>
      </c>
      <c r="E2481">
        <v>5.8899052616153613E-3</v>
      </c>
      <c r="F2481">
        <f t="shared" si="82"/>
        <v>-1.8687955025827603E-2</v>
      </c>
      <c r="G2481">
        <f t="shared" si="83"/>
        <v>-3.319393146546646E-2</v>
      </c>
    </row>
    <row r="2482" spans="1:7" x14ac:dyDescent="0.35">
      <c r="A2482" t="s">
        <v>134</v>
      </c>
      <c r="E2482">
        <v>1.2197607629888094E-2</v>
      </c>
      <c r="F2482">
        <f t="shared" si="82"/>
        <v>-1.8690795210617825E-2</v>
      </c>
      <c r="G2482">
        <f t="shared" si="83"/>
        <v>-3.319393146546646E-2</v>
      </c>
    </row>
    <row r="2483" spans="1:7" x14ac:dyDescent="0.35">
      <c r="A2483" t="s">
        <v>134</v>
      </c>
      <c r="E2483">
        <v>-3.9130746457653126E-3</v>
      </c>
      <c r="F2483">
        <f t="shared" si="82"/>
        <v>-1.8693635395408047E-2</v>
      </c>
      <c r="G2483">
        <f t="shared" si="83"/>
        <v>-3.319393146546646E-2</v>
      </c>
    </row>
    <row r="2484" spans="1:7" x14ac:dyDescent="0.35">
      <c r="A2484" t="s">
        <v>134</v>
      </c>
      <c r="E2484">
        <v>-1.4520629051018572E-3</v>
      </c>
      <c r="F2484">
        <f t="shared" si="82"/>
        <v>-1.8696475580198268E-2</v>
      </c>
      <c r="G2484">
        <f t="shared" si="83"/>
        <v>-3.319393146546646E-2</v>
      </c>
    </row>
    <row r="2485" spans="1:7" x14ac:dyDescent="0.35">
      <c r="A2485" t="s">
        <v>134</v>
      </c>
      <c r="E2485">
        <v>2.125399312313315E-3</v>
      </c>
      <c r="F2485">
        <f t="shared" si="82"/>
        <v>-1.869931576498849E-2</v>
      </c>
      <c r="G2485">
        <f t="shared" si="83"/>
        <v>-3.319393146546646E-2</v>
      </c>
    </row>
    <row r="2486" spans="1:7" x14ac:dyDescent="0.35">
      <c r="A2486" t="s">
        <v>134</v>
      </c>
      <c r="E2486">
        <v>8.2126158099314981E-3</v>
      </c>
      <c r="F2486">
        <f t="shared" si="82"/>
        <v>-1.8702155949778712E-2</v>
      </c>
      <c r="G2486">
        <f t="shared" si="83"/>
        <v>-3.319393146546646E-2</v>
      </c>
    </row>
    <row r="2487" spans="1:7" x14ac:dyDescent="0.35">
      <c r="A2487" t="s">
        <v>134</v>
      </c>
      <c r="E2487">
        <v>1.3011478156957164E-3</v>
      </c>
      <c r="F2487">
        <f t="shared" si="82"/>
        <v>-1.8704996134568934E-2</v>
      </c>
      <c r="G2487">
        <f t="shared" si="83"/>
        <v>-3.319393146546646E-2</v>
      </c>
    </row>
    <row r="2488" spans="1:7" x14ac:dyDescent="0.35">
      <c r="A2488" t="s">
        <v>134</v>
      </c>
      <c r="E2488">
        <v>1.3292716820290612E-3</v>
      </c>
      <c r="F2488">
        <f t="shared" si="82"/>
        <v>-1.8707836319359156E-2</v>
      </c>
      <c r="G2488">
        <f t="shared" si="83"/>
        <v>-3.319393146546646E-2</v>
      </c>
    </row>
    <row r="2489" spans="1:7" x14ac:dyDescent="0.35">
      <c r="A2489" t="s">
        <v>134</v>
      </c>
      <c r="E2489">
        <v>-9.180062821858204E-3</v>
      </c>
      <c r="F2489">
        <f t="shared" si="82"/>
        <v>-1.8710676504149377E-2</v>
      </c>
      <c r="G2489">
        <f t="shared" si="83"/>
        <v>-3.319393146546646E-2</v>
      </c>
    </row>
    <row r="2490" spans="1:7" x14ac:dyDescent="0.35">
      <c r="A2490" t="s">
        <v>135</v>
      </c>
      <c r="B2490" s="3" cm="1">
        <f t="array" ref="B2490">_xlfn.STDEV.S(_xlfn._xlws.FILTER($E$2013:$E$3011, $A$2013:$A$3011="2020-01"))</f>
        <v>8.7164184214202842E-3</v>
      </c>
      <c r="C2490" s="3" cm="1">
        <f t="array" ref="C2490">AVERAGE(_xlfn._xlws.FILTER($E$2013:$E$3011, $A$2013:$A$3011="2020-01"))</f>
        <v>-1.356423296866642E-3</v>
      </c>
      <c r="D2490" s="3" cm="1">
        <f t="array" ref="D2490">_xlfn.PERCENTILE.EXC(_xlfn._xlws.FILTER($E$2490:$E$3818, $A$2490:$A$3818="2020-01"), 0.05)</f>
        <v>-2.5168839272424449E-2</v>
      </c>
      <c r="E2490">
        <v>9.8605889560669999E-3</v>
      </c>
      <c r="F2490">
        <f t="shared" si="82"/>
        <v>-1.8713516688939599E-2</v>
      </c>
      <c r="G2490">
        <f t="shared" si="83"/>
        <v>-3.319393146546646E-2</v>
      </c>
    </row>
    <row r="2491" spans="1:7" x14ac:dyDescent="0.35">
      <c r="A2491" t="s">
        <v>135</v>
      </c>
      <c r="E2491">
        <v>4.4019110962114434E-4</v>
      </c>
      <c r="F2491">
        <f t="shared" si="82"/>
        <v>-1.8716356873729821E-2</v>
      </c>
      <c r="G2491">
        <f t="shared" si="83"/>
        <v>-3.319393146546646E-2</v>
      </c>
    </row>
    <row r="2492" spans="1:7" x14ac:dyDescent="0.35">
      <c r="A2492" t="s">
        <v>135</v>
      </c>
      <c r="E2492">
        <v>-5.0706086125399865E-3</v>
      </c>
      <c r="F2492">
        <f t="shared" si="82"/>
        <v>-1.8719197058520043E-2</v>
      </c>
      <c r="G2492">
        <f t="shared" si="83"/>
        <v>-3.319393146546646E-2</v>
      </c>
    </row>
    <row r="2493" spans="1:7" x14ac:dyDescent="0.35">
      <c r="A2493" t="s">
        <v>135</v>
      </c>
      <c r="E2493">
        <v>-2.0622088658251285E-4</v>
      </c>
      <c r="F2493">
        <f t="shared" si="82"/>
        <v>-1.8722037243310265E-2</v>
      </c>
      <c r="G2493">
        <f t="shared" si="83"/>
        <v>-3.319393146546646E-2</v>
      </c>
    </row>
    <row r="2494" spans="1:7" x14ac:dyDescent="0.35">
      <c r="A2494" t="s">
        <v>135</v>
      </c>
      <c r="E2494">
        <v>3.0971473731252284E-3</v>
      </c>
      <c r="F2494">
        <f t="shared" si="82"/>
        <v>-1.8724877428100486E-2</v>
      </c>
      <c r="G2494">
        <f t="shared" si="83"/>
        <v>-3.319393146546646E-2</v>
      </c>
    </row>
    <row r="2495" spans="1:7" x14ac:dyDescent="0.35">
      <c r="A2495" t="s">
        <v>135</v>
      </c>
      <c r="E2495">
        <v>1.913273813144213E-3</v>
      </c>
      <c r="F2495">
        <f t="shared" si="82"/>
        <v>-1.8727717612890708E-2</v>
      </c>
      <c r="G2495">
        <f t="shared" si="83"/>
        <v>-3.319393146546646E-2</v>
      </c>
    </row>
    <row r="2496" spans="1:7" x14ac:dyDescent="0.35">
      <c r="A2496" t="s">
        <v>135</v>
      </c>
      <c r="E2496">
        <v>-9.0068766302394722E-4</v>
      </c>
      <c r="F2496">
        <f t="shared" si="82"/>
        <v>-1.873055779768093E-2</v>
      </c>
      <c r="G2496">
        <f t="shared" si="83"/>
        <v>-3.319393146546646E-2</v>
      </c>
    </row>
    <row r="2497" spans="1:7" x14ac:dyDescent="0.35">
      <c r="A2497" t="s">
        <v>135</v>
      </c>
      <c r="E2497">
        <v>-1.6068581402459549E-4</v>
      </c>
      <c r="F2497">
        <f t="shared" si="82"/>
        <v>-1.8733397982471152E-2</v>
      </c>
      <c r="G2497">
        <f t="shared" si="83"/>
        <v>-3.319393146546646E-2</v>
      </c>
    </row>
    <row r="2498" spans="1:7" x14ac:dyDescent="0.35">
      <c r="A2498" t="s">
        <v>135</v>
      </c>
      <c r="E2498">
        <v>7.8661728006454998E-4</v>
      </c>
      <c r="F2498">
        <f t="shared" si="82"/>
        <v>-1.8736238167261374E-2</v>
      </c>
      <c r="G2498">
        <f t="shared" si="83"/>
        <v>-3.319393146546646E-2</v>
      </c>
    </row>
    <row r="2499" spans="1:7" x14ac:dyDescent="0.35">
      <c r="A2499" t="s">
        <v>135</v>
      </c>
      <c r="E2499">
        <v>-1.3715991714228172E-3</v>
      </c>
      <c r="F2499">
        <f t="shared" si="82"/>
        <v>-1.8739078352051595E-2</v>
      </c>
      <c r="G2499">
        <f t="shared" si="83"/>
        <v>-3.319393146546646E-2</v>
      </c>
    </row>
    <row r="2500" spans="1:7" x14ac:dyDescent="0.35">
      <c r="A2500" t="s">
        <v>135</v>
      </c>
      <c r="E2500">
        <v>1.0636501097237227E-3</v>
      </c>
      <c r="F2500">
        <f t="shared" ref="F2500:F2563" si="84">_xlfn.PERCENTILE.EXC(E2500:E6315,0.05)</f>
        <v>-1.8741918536841817E-2</v>
      </c>
      <c r="G2500">
        <f t="shared" ref="G2500:G2563" si="85">AVERAGEIFS(E2500:E6316,E2500:E6316,"&lt;=" &amp; F2500)</f>
        <v>-3.319393146546646E-2</v>
      </c>
    </row>
    <row r="2501" spans="1:7" x14ac:dyDescent="0.35">
      <c r="A2501" t="s">
        <v>135</v>
      </c>
      <c r="E2501">
        <v>1.0163393977518802E-2</v>
      </c>
      <c r="F2501">
        <f t="shared" si="84"/>
        <v>-1.8742149026360105E-2</v>
      </c>
      <c r="G2501">
        <f t="shared" si="85"/>
        <v>-3.3416270125906838E-2</v>
      </c>
    </row>
    <row r="2502" spans="1:7" x14ac:dyDescent="0.35">
      <c r="A2502" t="s">
        <v>135</v>
      </c>
      <c r="E2502">
        <v>-3.6422614379052879E-3</v>
      </c>
      <c r="F2502">
        <f t="shared" si="84"/>
        <v>-1.8742379515878392E-2</v>
      </c>
      <c r="G2502">
        <f t="shared" si="85"/>
        <v>-3.3416270125906838E-2</v>
      </c>
    </row>
    <row r="2503" spans="1:7" x14ac:dyDescent="0.35">
      <c r="A2503" t="s">
        <v>135</v>
      </c>
      <c r="E2503">
        <v>-5.3692931931322817E-3</v>
      </c>
      <c r="F2503">
        <f t="shared" si="84"/>
        <v>-1.8742610005396683E-2</v>
      </c>
      <c r="G2503">
        <f t="shared" si="85"/>
        <v>-3.3416270125906838E-2</v>
      </c>
    </row>
    <row r="2504" spans="1:7" x14ac:dyDescent="0.35">
      <c r="A2504" t="s">
        <v>135</v>
      </c>
      <c r="E2504">
        <v>-5.8074455517076748E-3</v>
      </c>
      <c r="F2504">
        <f t="shared" si="84"/>
        <v>-1.874284049491497E-2</v>
      </c>
      <c r="G2504">
        <f t="shared" si="85"/>
        <v>-3.3416270125906838E-2</v>
      </c>
    </row>
    <row r="2505" spans="1:7" x14ac:dyDescent="0.35">
      <c r="A2505" t="s">
        <v>135</v>
      </c>
      <c r="E2505">
        <v>-6.5410818585410393E-3</v>
      </c>
      <c r="F2505">
        <f t="shared" si="84"/>
        <v>-1.8743070984433258E-2</v>
      </c>
      <c r="G2505">
        <f t="shared" si="85"/>
        <v>-3.3416270125906838E-2</v>
      </c>
    </row>
    <row r="2506" spans="1:7" x14ac:dyDescent="0.35">
      <c r="A2506" t="s">
        <v>135</v>
      </c>
      <c r="E2506">
        <v>8.7479352972244361E-3</v>
      </c>
      <c r="F2506">
        <f t="shared" si="84"/>
        <v>-1.8743301473951545E-2</v>
      </c>
      <c r="G2506">
        <f t="shared" si="85"/>
        <v>-3.3416270125906838E-2</v>
      </c>
    </row>
    <row r="2507" spans="1:7" x14ac:dyDescent="0.35">
      <c r="A2507" t="s">
        <v>135</v>
      </c>
      <c r="E2507">
        <v>-2.7129821057584373E-2</v>
      </c>
      <c r="F2507">
        <f t="shared" si="84"/>
        <v>-1.8743531963469836E-2</v>
      </c>
      <c r="G2507">
        <f t="shared" si="85"/>
        <v>-3.3416270125906838E-2</v>
      </c>
    </row>
    <row r="2508" spans="1:7" x14ac:dyDescent="0.35">
      <c r="A2508" t="s">
        <v>135</v>
      </c>
      <c r="E2508">
        <v>1.0654244870554722E-2</v>
      </c>
      <c r="F2508">
        <f t="shared" si="84"/>
        <v>-1.8707836319359156E-2</v>
      </c>
      <c r="G2508">
        <f t="shared" si="85"/>
        <v>-3.3287225471741573E-2</v>
      </c>
    </row>
    <row r="2509" spans="1:7" x14ac:dyDescent="0.35">
      <c r="A2509" t="s">
        <v>135</v>
      </c>
      <c r="E2509">
        <v>4.8936566945420876E-3</v>
      </c>
      <c r="F2509">
        <f t="shared" si="84"/>
        <v>-1.8710676504149377E-2</v>
      </c>
      <c r="G2509">
        <f t="shared" si="85"/>
        <v>-3.3287225471741573E-2</v>
      </c>
    </row>
    <row r="2510" spans="1:7" x14ac:dyDescent="0.35">
      <c r="A2510" t="s">
        <v>135</v>
      </c>
      <c r="E2510">
        <v>-1.4056609156518218E-2</v>
      </c>
      <c r="F2510">
        <f t="shared" si="84"/>
        <v>-1.8713516688939599E-2</v>
      </c>
      <c r="G2510">
        <f t="shared" si="85"/>
        <v>-3.3287225471741573E-2</v>
      </c>
    </row>
    <row r="2511" spans="1:7" x14ac:dyDescent="0.35">
      <c r="A2511" t="s">
        <v>135</v>
      </c>
      <c r="E2511">
        <v>-1.1205697609669298E-2</v>
      </c>
      <c r="F2511">
        <f t="shared" si="84"/>
        <v>-1.8716356873729821E-2</v>
      </c>
      <c r="G2511">
        <f t="shared" si="85"/>
        <v>-3.3287225471741573E-2</v>
      </c>
    </row>
    <row r="2512" spans="1:7" x14ac:dyDescent="0.35">
      <c r="A2512" t="s">
        <v>136</v>
      </c>
      <c r="B2512" s="3" cm="1">
        <f t="array" ref="B2512">_xlfn.STDEV.S(_xlfn._xlws.FILTER($E$2013:$E$3011, $A$2013:$A$3011="2020-02"))</f>
        <v>1.5795366677313228E-2</v>
      </c>
      <c r="C2512" s="3" cm="1">
        <f t="array" ref="C2512">AVERAGE(_xlfn._xlws.FILTER($E$2013:$E$3011, $A$2013:$A$3011="2020-02"))</f>
        <v>-4.4688710656645286E-3</v>
      </c>
      <c r="D2512" s="3" cm="1">
        <f t="array" ref="D2512">_xlfn.PERCENTILE.EXC(_xlfn._xlws.FILTER($E$2490:$E$3818, $A$2490:$A$3818="2020-02"), 0.05)</f>
        <v>-3.9951835301447948E-2</v>
      </c>
      <c r="E2512">
        <v>4.4970154445328368E-3</v>
      </c>
      <c r="F2512">
        <f t="shared" si="84"/>
        <v>-1.8719197058520043E-2</v>
      </c>
      <c r="G2512">
        <f t="shared" si="85"/>
        <v>-3.3287225471741573E-2</v>
      </c>
    </row>
    <row r="2513" spans="1:7" x14ac:dyDescent="0.35">
      <c r="A2513" t="s">
        <v>136</v>
      </c>
      <c r="E2513">
        <v>1.7428013183350698E-2</v>
      </c>
      <c r="F2513">
        <f t="shared" si="84"/>
        <v>-1.8722037243310265E-2</v>
      </c>
      <c r="G2513">
        <f t="shared" si="85"/>
        <v>-3.3287225471741573E-2</v>
      </c>
    </row>
    <row r="2514" spans="1:7" x14ac:dyDescent="0.35">
      <c r="A2514" t="s">
        <v>136</v>
      </c>
      <c r="E2514">
        <v>8.4477179017288795E-3</v>
      </c>
      <c r="F2514">
        <f t="shared" si="84"/>
        <v>-1.8724877428100486E-2</v>
      </c>
      <c r="G2514">
        <f t="shared" si="85"/>
        <v>-3.3287225471741573E-2</v>
      </c>
    </row>
    <row r="2515" spans="1:7" x14ac:dyDescent="0.35">
      <c r="A2515" t="s">
        <v>136</v>
      </c>
      <c r="E2515">
        <v>8.7794715083573498E-3</v>
      </c>
      <c r="F2515">
        <f t="shared" si="84"/>
        <v>-1.8727717612890708E-2</v>
      </c>
      <c r="G2515">
        <f t="shared" si="85"/>
        <v>-3.3287225471741573E-2</v>
      </c>
    </row>
    <row r="2516" spans="1:7" x14ac:dyDescent="0.35">
      <c r="A2516" t="s">
        <v>136</v>
      </c>
      <c r="E2516">
        <v>-1.3970915262493228E-3</v>
      </c>
      <c r="F2516">
        <f t="shared" si="84"/>
        <v>-1.873055779768093E-2</v>
      </c>
      <c r="G2516">
        <f t="shared" si="85"/>
        <v>-3.3287225471741573E-2</v>
      </c>
    </row>
    <row r="2517" spans="1:7" x14ac:dyDescent="0.35">
      <c r="A2517" t="s">
        <v>136</v>
      </c>
      <c r="E2517">
        <v>-2.3378190901991512E-3</v>
      </c>
      <c r="F2517">
        <f t="shared" si="84"/>
        <v>-1.8733397982471152E-2</v>
      </c>
      <c r="G2517">
        <f t="shared" si="85"/>
        <v>-3.3287225471741573E-2</v>
      </c>
    </row>
    <row r="2518" spans="1:7" x14ac:dyDescent="0.35">
      <c r="A2518" t="s">
        <v>136</v>
      </c>
      <c r="E2518">
        <v>6.4770081359742555E-3</v>
      </c>
      <c r="F2518">
        <f t="shared" si="84"/>
        <v>-1.8736238167261374E-2</v>
      </c>
      <c r="G2518">
        <f t="shared" si="85"/>
        <v>-3.3287225471741573E-2</v>
      </c>
    </row>
    <row r="2519" spans="1:7" x14ac:dyDescent="0.35">
      <c r="A2519" t="s">
        <v>136</v>
      </c>
      <c r="E2519">
        <v>8.2191409848534607E-3</v>
      </c>
      <c r="F2519">
        <f t="shared" si="84"/>
        <v>-1.8739078352051595E-2</v>
      </c>
      <c r="G2519">
        <f t="shared" si="85"/>
        <v>-3.3287225471741573E-2</v>
      </c>
    </row>
    <row r="2520" spans="1:7" x14ac:dyDescent="0.35">
      <c r="A2520" t="s">
        <v>136</v>
      </c>
      <c r="E2520">
        <v>-1.9003323511198333E-3</v>
      </c>
      <c r="F2520">
        <f t="shared" si="84"/>
        <v>-1.8741918536841817E-2</v>
      </c>
      <c r="G2520">
        <f t="shared" si="85"/>
        <v>-3.3287225471741573E-2</v>
      </c>
    </row>
    <row r="2521" spans="1:7" x14ac:dyDescent="0.35">
      <c r="A2521" t="s">
        <v>136</v>
      </c>
      <c r="E2521">
        <v>-3.9120328715871022E-3</v>
      </c>
      <c r="F2521">
        <f t="shared" si="84"/>
        <v>-1.8742149026360105E-2</v>
      </c>
      <c r="G2521">
        <f t="shared" si="85"/>
        <v>-3.3514495892599382E-2</v>
      </c>
    </row>
    <row r="2522" spans="1:7" x14ac:dyDescent="0.35">
      <c r="A2522" t="s">
        <v>136</v>
      </c>
      <c r="E2522">
        <v>2.7313205465631517E-3</v>
      </c>
      <c r="F2522">
        <f t="shared" si="84"/>
        <v>-1.8742379515878392E-2</v>
      </c>
      <c r="G2522">
        <f t="shared" si="85"/>
        <v>-3.3514495892599382E-2</v>
      </c>
    </row>
    <row r="2523" spans="1:7" x14ac:dyDescent="0.35">
      <c r="A2523" t="s">
        <v>136</v>
      </c>
      <c r="E2523">
        <v>-4.7979259890875694E-3</v>
      </c>
      <c r="F2523">
        <f t="shared" si="84"/>
        <v>-1.8742610005396683E-2</v>
      </c>
      <c r="G2523">
        <f t="shared" si="85"/>
        <v>-3.3514495892599382E-2</v>
      </c>
    </row>
    <row r="2524" spans="1:7" x14ac:dyDescent="0.35">
      <c r="A2524" t="s">
        <v>136</v>
      </c>
      <c r="E2524">
        <v>8.944788707721989E-3</v>
      </c>
      <c r="F2524">
        <f t="shared" si="84"/>
        <v>-1.874284049491497E-2</v>
      </c>
      <c r="G2524">
        <f t="shared" si="85"/>
        <v>-3.3514495892599382E-2</v>
      </c>
    </row>
    <row r="2525" spans="1:7" x14ac:dyDescent="0.35">
      <c r="A2525" t="s">
        <v>136</v>
      </c>
      <c r="E2525">
        <v>-8.0404325542241147E-3</v>
      </c>
      <c r="F2525">
        <f t="shared" si="84"/>
        <v>-1.8743070984433258E-2</v>
      </c>
      <c r="G2525">
        <f t="shared" si="85"/>
        <v>-3.3514495892599382E-2</v>
      </c>
    </row>
    <row r="2526" spans="1:7" x14ac:dyDescent="0.35">
      <c r="A2526" t="s">
        <v>136</v>
      </c>
      <c r="E2526">
        <v>-5.3886908619242479E-3</v>
      </c>
      <c r="F2526">
        <f t="shared" si="84"/>
        <v>-1.8743301473951545E-2</v>
      </c>
      <c r="G2526">
        <f t="shared" si="85"/>
        <v>-3.3514495892599382E-2</v>
      </c>
    </row>
    <row r="2527" spans="1:7" x14ac:dyDescent="0.35">
      <c r="A2527" t="s">
        <v>136</v>
      </c>
      <c r="E2527">
        <v>-4.0245365086637092E-2</v>
      </c>
      <c r="F2527">
        <f t="shared" si="84"/>
        <v>-1.8743531963469836E-2</v>
      </c>
      <c r="G2527">
        <f t="shared" si="85"/>
        <v>-3.3514495892599382E-2</v>
      </c>
    </row>
    <row r="2528" spans="1:7" x14ac:dyDescent="0.35">
      <c r="A2528" t="s">
        <v>136</v>
      </c>
      <c r="E2528">
        <v>-1.95603169623021E-2</v>
      </c>
      <c r="F2528">
        <f t="shared" si="84"/>
        <v>-1.8707836319359156E-2</v>
      </c>
      <c r="G2528">
        <f t="shared" si="85"/>
        <v>-3.3178504540258828E-2</v>
      </c>
    </row>
    <row r="2529" spans="1:7" x14ac:dyDescent="0.35">
      <c r="A2529" t="s">
        <v>136</v>
      </c>
      <c r="E2529">
        <v>8.5707527885597889E-4</v>
      </c>
      <c r="F2529">
        <f t="shared" si="84"/>
        <v>-1.8630016638563573E-2</v>
      </c>
      <c r="G2529">
        <f t="shared" si="85"/>
        <v>-3.3164829507114073E-2</v>
      </c>
    </row>
    <row r="2530" spans="1:7" x14ac:dyDescent="0.35">
      <c r="A2530" t="s">
        <v>136</v>
      </c>
      <c r="E2530">
        <v>-3.3804196329044418E-2</v>
      </c>
      <c r="F2530">
        <f t="shared" si="84"/>
        <v>-1.863502556606119E-2</v>
      </c>
      <c r="G2530">
        <f t="shared" si="85"/>
        <v>-3.3164829507114073E-2</v>
      </c>
    </row>
    <row r="2531" spans="1:7" x14ac:dyDescent="0.35">
      <c r="A2531" t="s">
        <v>136</v>
      </c>
      <c r="E2531">
        <v>-3.437476938285422E-2</v>
      </c>
      <c r="F2531">
        <f t="shared" si="84"/>
        <v>-1.8407146054591452E-2</v>
      </c>
      <c r="G2531">
        <f t="shared" si="85"/>
        <v>-3.2927028569020952E-2</v>
      </c>
    </row>
    <row r="2532" spans="1:7" x14ac:dyDescent="0.35">
      <c r="A2532" t="s">
        <v>137</v>
      </c>
      <c r="B2532" s="3" cm="1">
        <f t="array" ref="B2532">_xlfn.STDEV.S(_xlfn._xlws.FILTER($E$2013:$E$3011, $A$2013:$A$3011="2020-03"))</f>
        <v>4.8548034174671718E-2</v>
      </c>
      <c r="C2532" s="3" cm="1">
        <f t="array" ref="C2532">AVERAGE(_xlfn._xlws.FILTER($E$2013:$E$3011, $A$2013:$A$3011="2020-03"))</f>
        <v>-8.584121316944417E-3</v>
      </c>
      <c r="D2532" s="3" cm="1">
        <f t="array" ref="D2532">_xlfn.PERCENTILE.EXC(_xlfn._xlws.FILTER($E$2490:$E$3818, $A$2490:$A$3818="2020-03"), 0.05)</f>
        <v>-0.12448134554770006</v>
      </c>
      <c r="E2532">
        <v>4.4384302743839367E-3</v>
      </c>
      <c r="F2532">
        <f t="shared" si="84"/>
        <v>-1.8183100025274405E-2</v>
      </c>
      <c r="G2532">
        <f t="shared" si="85"/>
        <v>-3.2674139154861587E-2</v>
      </c>
    </row>
    <row r="2533" spans="1:7" x14ac:dyDescent="0.35">
      <c r="A2533" t="s">
        <v>137</v>
      </c>
      <c r="E2533">
        <v>1.1121905242864452E-2</v>
      </c>
      <c r="F2533">
        <f t="shared" si="84"/>
        <v>-1.8183943381696963E-2</v>
      </c>
      <c r="G2533">
        <f t="shared" si="85"/>
        <v>-3.2674139154861587E-2</v>
      </c>
    </row>
    <row r="2534" spans="1:7" x14ac:dyDescent="0.35">
      <c r="A2534" t="s">
        <v>137</v>
      </c>
      <c r="E2534">
        <v>1.3210655136047305E-2</v>
      </c>
      <c r="F2534">
        <f t="shared" si="84"/>
        <v>-1.8184786738119525E-2</v>
      </c>
      <c r="G2534">
        <f t="shared" si="85"/>
        <v>-3.2674139154861587E-2</v>
      </c>
    </row>
    <row r="2535" spans="1:7" x14ac:dyDescent="0.35">
      <c r="A2535" t="s">
        <v>137</v>
      </c>
      <c r="E2535">
        <v>-1.9174815430329763E-2</v>
      </c>
      <c r="F2535">
        <f t="shared" si="84"/>
        <v>-1.8185630094542087E-2</v>
      </c>
      <c r="G2535">
        <f t="shared" si="85"/>
        <v>-3.2674139154861587E-2</v>
      </c>
    </row>
    <row r="2536" spans="1:7" x14ac:dyDescent="0.35">
      <c r="A2536" t="s">
        <v>137</v>
      </c>
      <c r="E2536">
        <v>-4.2289265184162005E-2</v>
      </c>
      <c r="F2536">
        <f t="shared" si="84"/>
        <v>-1.8127937362172285E-2</v>
      </c>
      <c r="G2536">
        <f t="shared" si="85"/>
        <v>-3.2658485472328365E-2</v>
      </c>
    </row>
    <row r="2537" spans="1:7" x14ac:dyDescent="0.35">
      <c r="A2537" t="s">
        <v>137</v>
      </c>
      <c r="E2537">
        <v>-8.7635839905917251E-2</v>
      </c>
      <c r="F2537">
        <f t="shared" si="84"/>
        <v>-1.7941187193261265E-2</v>
      </c>
      <c r="G2537">
        <f t="shared" si="85"/>
        <v>-3.2278149575982816E-2</v>
      </c>
    </row>
    <row r="2538" spans="1:7" x14ac:dyDescent="0.35">
      <c r="A2538" t="s">
        <v>137</v>
      </c>
      <c r="E2538">
        <v>-1.5260577048565278E-2</v>
      </c>
      <c r="F2538">
        <f t="shared" si="84"/>
        <v>-1.7874363286789322E-2</v>
      </c>
      <c r="G2538">
        <f t="shared" si="85"/>
        <v>-3.118858796786135E-2</v>
      </c>
    </row>
    <row r="2539" spans="1:7" x14ac:dyDescent="0.35">
      <c r="A2539" t="s">
        <v>137</v>
      </c>
      <c r="E2539">
        <v>-5.7014102960317552E-3</v>
      </c>
      <c r="F2539">
        <f t="shared" si="84"/>
        <v>-1.7889130136466393E-2</v>
      </c>
      <c r="G2539">
        <f t="shared" si="85"/>
        <v>-3.118858796786135E-2</v>
      </c>
    </row>
    <row r="2540" spans="1:7" x14ac:dyDescent="0.35">
      <c r="A2540" t="s">
        <v>137</v>
      </c>
      <c r="E2540">
        <v>-0.13098349360213232</v>
      </c>
      <c r="F2540">
        <f t="shared" si="84"/>
        <v>-1.7903896986143461E-2</v>
      </c>
      <c r="G2540">
        <f t="shared" si="85"/>
        <v>-3.118858796786135E-2</v>
      </c>
    </row>
    <row r="2541" spans="1:7" x14ac:dyDescent="0.35">
      <c r="A2541" t="s">
        <v>137</v>
      </c>
      <c r="E2541">
        <v>1.8156433991831943E-2</v>
      </c>
      <c r="F2541">
        <f t="shared" si="84"/>
        <v>-1.7623326842279182E-2</v>
      </c>
      <c r="G2541">
        <f t="shared" si="85"/>
        <v>-2.9604541846682444E-2</v>
      </c>
    </row>
    <row r="2542" spans="1:7" x14ac:dyDescent="0.35">
      <c r="A2542" t="s">
        <v>137</v>
      </c>
      <c r="E2542">
        <v>-5.92436543466381E-2</v>
      </c>
      <c r="F2542">
        <f t="shared" si="84"/>
        <v>-1.7638093691956246E-2</v>
      </c>
      <c r="G2542">
        <f t="shared" si="85"/>
        <v>-2.9604541846682444E-2</v>
      </c>
    </row>
    <row r="2543" spans="1:7" x14ac:dyDescent="0.35">
      <c r="A2543" t="s">
        <v>137</v>
      </c>
      <c r="E2543">
        <v>2.8025875193999693E-2</v>
      </c>
      <c r="F2543">
        <f t="shared" si="84"/>
        <v>-1.7569197231321523E-2</v>
      </c>
      <c r="G2543">
        <f t="shared" si="85"/>
        <v>-2.8943667333126318E-2</v>
      </c>
    </row>
    <row r="2544" spans="1:7" x14ac:dyDescent="0.35">
      <c r="A2544" t="s">
        <v>137</v>
      </c>
      <c r="E2544">
        <v>-6.119157225540884E-2</v>
      </c>
      <c r="F2544">
        <f t="shared" si="84"/>
        <v>-1.7571512687867441E-2</v>
      </c>
      <c r="G2544">
        <f t="shared" si="85"/>
        <v>-2.8943667333126318E-2</v>
      </c>
    </row>
    <row r="2545" spans="1:7" x14ac:dyDescent="0.35">
      <c r="A2545" t="s">
        <v>137</v>
      </c>
      <c r="E2545">
        <v>2.645502583613429E-2</v>
      </c>
      <c r="F2545">
        <f t="shared" si="84"/>
        <v>-1.7547632863222473E-2</v>
      </c>
      <c r="G2545">
        <f t="shared" si="85"/>
        <v>-2.825113842211481E-2</v>
      </c>
    </row>
    <row r="2546" spans="1:7" x14ac:dyDescent="0.35">
      <c r="A2546" t="s">
        <v>137</v>
      </c>
      <c r="E2546">
        <v>4.8919840626852874E-2</v>
      </c>
      <c r="F2546">
        <f t="shared" si="84"/>
        <v>-1.7548607396453225E-2</v>
      </c>
      <c r="G2546">
        <f t="shared" si="85"/>
        <v>-2.825113842211481E-2</v>
      </c>
    </row>
    <row r="2547" spans="1:7" x14ac:dyDescent="0.35">
      <c r="A2547" t="s">
        <v>137</v>
      </c>
      <c r="E2547">
        <v>-3.3781472218705096E-2</v>
      </c>
      <c r="F2547">
        <f t="shared" si="84"/>
        <v>-1.7549581929683977E-2</v>
      </c>
      <c r="G2547">
        <f t="shared" si="85"/>
        <v>-2.825113842211481E-2</v>
      </c>
    </row>
    <row r="2548" spans="1:7" x14ac:dyDescent="0.35">
      <c r="A2548" t="s">
        <v>137</v>
      </c>
      <c r="E2548">
        <v>8.0560790331389284E-2</v>
      </c>
      <c r="F2548">
        <f t="shared" si="84"/>
        <v>-1.7475158487636797E-2</v>
      </c>
      <c r="G2548">
        <f t="shared" si="85"/>
        <v>-2.7993381088438043E-2</v>
      </c>
    </row>
    <row r="2549" spans="1:7" x14ac:dyDescent="0.35">
      <c r="A2549" t="s">
        <v>137</v>
      </c>
      <c r="E2549">
        <v>4.3718777654420081E-2</v>
      </c>
      <c r="F2549">
        <f t="shared" si="84"/>
        <v>-1.7480791963422788E-2</v>
      </c>
      <c r="G2549">
        <f t="shared" si="85"/>
        <v>-2.7993381088438043E-2</v>
      </c>
    </row>
    <row r="2550" spans="1:7" x14ac:dyDescent="0.35">
      <c r="A2550" t="s">
        <v>137</v>
      </c>
      <c r="E2550">
        <v>2.4796610884673134E-2</v>
      </c>
      <c r="F2550">
        <f t="shared" si="84"/>
        <v>-1.748642543920878E-2</v>
      </c>
      <c r="G2550">
        <f t="shared" si="85"/>
        <v>-2.7993381088438043E-2</v>
      </c>
    </row>
    <row r="2551" spans="1:7" x14ac:dyDescent="0.35">
      <c r="A2551" t="s">
        <v>137</v>
      </c>
      <c r="E2551">
        <v>-4.3196932382858932E-2</v>
      </c>
      <c r="F2551">
        <f t="shared" si="84"/>
        <v>-1.7492058914994776E-2</v>
      </c>
      <c r="G2551">
        <f t="shared" si="85"/>
        <v>-2.7993381088438043E-2</v>
      </c>
    </row>
    <row r="2552" spans="1:7" x14ac:dyDescent="0.35">
      <c r="A2552" t="s">
        <v>137</v>
      </c>
      <c r="E2552">
        <v>6.1901686780602488E-3</v>
      </c>
      <c r="F2552">
        <f t="shared" si="84"/>
        <v>-1.7388884997133418E-2</v>
      </c>
      <c r="G2552">
        <f t="shared" si="85"/>
        <v>-2.7584383601112487E-2</v>
      </c>
    </row>
    <row r="2553" spans="1:7" x14ac:dyDescent="0.35">
      <c r="A2553" t="s">
        <v>137</v>
      </c>
      <c r="E2553">
        <v>4.0138498473148874E-3</v>
      </c>
      <c r="F2553">
        <f t="shared" si="84"/>
        <v>-1.7394035707660349E-2</v>
      </c>
      <c r="G2553">
        <f t="shared" si="85"/>
        <v>-2.7584383601112487E-2</v>
      </c>
    </row>
    <row r="2554" spans="1:7" x14ac:dyDescent="0.35">
      <c r="A2554" t="s">
        <v>138</v>
      </c>
      <c r="B2554" s="3" cm="1">
        <f t="array" ref="B2554">_xlfn.STDEV.S(_xlfn._xlws.FILTER($E$2013:$E$3011, $A$2013:$A$3011="2020-04"))</f>
        <v>2.4177324211863527E-2</v>
      </c>
      <c r="C2554" s="3" cm="1">
        <f t="array" ref="C2554">AVERAGE(_xlfn._xlws.FILTER($E$2013:$E$3011, $A$2013:$A$3011="2020-04"))</f>
        <v>1.9633890762149179E-3</v>
      </c>
      <c r="D2554" s="3" cm="1">
        <f t="array" ref="D2554">_xlfn.PERCENTILE.EXC(_xlfn._xlws.FILTER($E$2490:$E$3818, $A$2490:$A$3818="2020-04"), 0.05)</f>
        <v>-4.3642572522058228E-2</v>
      </c>
      <c r="E2554">
        <v>-4.3915482953290015E-2</v>
      </c>
      <c r="F2554">
        <f t="shared" si="84"/>
        <v>-1.739918641818728E-2</v>
      </c>
      <c r="G2554">
        <f t="shared" si="85"/>
        <v>-2.7584383601112487E-2</v>
      </c>
    </row>
    <row r="2555" spans="1:7" x14ac:dyDescent="0.35">
      <c r="A2555" t="s">
        <v>138</v>
      </c>
      <c r="E2555">
        <v>3.2557395693383032E-3</v>
      </c>
      <c r="F2555">
        <f t="shared" si="84"/>
        <v>-1.7275364898916644E-2</v>
      </c>
      <c r="G2555">
        <f t="shared" si="85"/>
        <v>-2.7162345402977888E-2</v>
      </c>
    </row>
    <row r="2556" spans="1:7" x14ac:dyDescent="0.35">
      <c r="A2556" t="s">
        <v>138</v>
      </c>
      <c r="E2556">
        <v>-1.5851250162386744E-2</v>
      </c>
      <c r="F2556">
        <f t="shared" si="84"/>
        <v>-1.7285707213295368E-2</v>
      </c>
      <c r="G2556">
        <f t="shared" si="85"/>
        <v>-2.7162345402977888E-2</v>
      </c>
    </row>
    <row r="2557" spans="1:7" x14ac:dyDescent="0.35">
      <c r="A2557" t="s">
        <v>138</v>
      </c>
      <c r="E2557">
        <v>4.5076754679389423E-2</v>
      </c>
      <c r="F2557">
        <f t="shared" si="84"/>
        <v>-1.7296049527674089E-2</v>
      </c>
      <c r="G2557">
        <f t="shared" si="85"/>
        <v>-2.7162345402977888E-2</v>
      </c>
    </row>
    <row r="2558" spans="1:7" x14ac:dyDescent="0.35">
      <c r="A2558" t="s">
        <v>138</v>
      </c>
      <c r="E2558">
        <v>2.0976566030169695E-2</v>
      </c>
      <c r="F2558">
        <f t="shared" si="84"/>
        <v>-1.7306391842052814E-2</v>
      </c>
      <c r="G2558">
        <f t="shared" si="85"/>
        <v>-2.7162345402977888E-2</v>
      </c>
    </row>
    <row r="2559" spans="1:7" x14ac:dyDescent="0.35">
      <c r="A2559" t="s">
        <v>138</v>
      </c>
      <c r="E2559">
        <v>1.0088932082131673E-3</v>
      </c>
      <c r="F2559">
        <f t="shared" si="84"/>
        <v>-1.7316734156431538E-2</v>
      </c>
      <c r="G2559">
        <f t="shared" si="85"/>
        <v>-2.7162345402977888E-2</v>
      </c>
    </row>
    <row r="2560" spans="1:7" x14ac:dyDescent="0.35">
      <c r="A2560" t="s">
        <v>138</v>
      </c>
      <c r="E2560">
        <v>1.4324907509194549E-2</v>
      </c>
      <c r="F2560">
        <f t="shared" si="84"/>
        <v>-1.7327076470810263E-2</v>
      </c>
      <c r="G2560">
        <f t="shared" si="85"/>
        <v>-2.7162345402977888E-2</v>
      </c>
    </row>
    <row r="2561" spans="1:7" x14ac:dyDescent="0.35">
      <c r="A2561" t="s">
        <v>138</v>
      </c>
      <c r="E2561">
        <v>3.7782025641302764E-3</v>
      </c>
      <c r="F2561">
        <f t="shared" si="84"/>
        <v>-1.733222718133719E-2</v>
      </c>
      <c r="G2561">
        <f t="shared" si="85"/>
        <v>-2.732097877285156E-2</v>
      </c>
    </row>
    <row r="2562" spans="1:7" x14ac:dyDescent="0.35">
      <c r="A2562" t="s">
        <v>138</v>
      </c>
      <c r="E2562">
        <v>-3.8346012093991723E-2</v>
      </c>
      <c r="F2562">
        <f t="shared" si="84"/>
        <v>-1.7337377891864122E-2</v>
      </c>
      <c r="G2562">
        <f t="shared" si="85"/>
        <v>-2.732097877285156E-2</v>
      </c>
    </row>
    <row r="2563" spans="1:7" x14ac:dyDescent="0.35">
      <c r="A2563" t="s">
        <v>138</v>
      </c>
      <c r="E2563">
        <v>-8.1802602943045896E-4</v>
      </c>
      <c r="F2563">
        <f t="shared" si="84"/>
        <v>-1.7151257126371961E-2</v>
      </c>
      <c r="G2563">
        <f t="shared" si="85"/>
        <v>-2.6981963682155087E-2</v>
      </c>
    </row>
    <row r="2564" spans="1:7" x14ac:dyDescent="0.35">
      <c r="A2564" t="s">
        <v>138</v>
      </c>
      <c r="E2564">
        <v>3.3644746539362808E-2</v>
      </c>
      <c r="F2564">
        <f t="shared" ref="F2564:F2627" si="86">_xlfn.PERCENTILE.EXC(E2564:E6379,0.05)</f>
        <v>-1.7161599440750686E-2</v>
      </c>
      <c r="G2564">
        <f t="shared" ref="G2564:G2627" si="87">AVERAGEIFS(E2564:E6380,E2564:E6380,"&lt;=" &amp; F2564)</f>
        <v>-2.6981963682155087E-2</v>
      </c>
    </row>
    <row r="2565" spans="1:7" x14ac:dyDescent="0.35">
      <c r="A2565" t="s">
        <v>138</v>
      </c>
      <c r="E2565">
        <v>6.4892205503919399E-3</v>
      </c>
      <c r="F2565">
        <f t="shared" si="86"/>
        <v>-1.717194175512941E-2</v>
      </c>
      <c r="G2565">
        <f t="shared" si="87"/>
        <v>-2.6981963682155087E-2</v>
      </c>
    </row>
    <row r="2566" spans="1:7" x14ac:dyDescent="0.35">
      <c r="A2566" t="s">
        <v>138</v>
      </c>
      <c r="E2566">
        <v>-3.8457274328654263E-2</v>
      </c>
      <c r="F2566">
        <f t="shared" si="86"/>
        <v>-1.7182284069508131E-2</v>
      </c>
      <c r="G2566">
        <f t="shared" si="87"/>
        <v>-2.6981963682155087E-2</v>
      </c>
    </row>
    <row r="2567" spans="1:7" x14ac:dyDescent="0.35">
      <c r="A2567" t="s">
        <v>138</v>
      </c>
      <c r="E2567">
        <v>1.2393450653632843E-2</v>
      </c>
      <c r="F2567">
        <f t="shared" si="86"/>
        <v>-1.7014151232619113E-2</v>
      </c>
      <c r="G2567">
        <f t="shared" si="87"/>
        <v>-2.6637817808841887E-2</v>
      </c>
    </row>
    <row r="2568" spans="1:7" x14ac:dyDescent="0.35">
      <c r="A2568" t="s">
        <v>138</v>
      </c>
      <c r="E2568">
        <v>8.8460205856226212E-3</v>
      </c>
      <c r="F2568">
        <f t="shared" si="86"/>
        <v>-1.7022311151897319E-2</v>
      </c>
      <c r="G2568">
        <f t="shared" si="87"/>
        <v>-2.6637817808841887E-2</v>
      </c>
    </row>
    <row r="2569" spans="1:7" x14ac:dyDescent="0.35">
      <c r="A2569" t="s">
        <v>138</v>
      </c>
      <c r="E2569">
        <v>-1.3043584533436896E-2</v>
      </c>
      <c r="F2569">
        <f t="shared" si="86"/>
        <v>-1.7030471071175526E-2</v>
      </c>
      <c r="G2569">
        <f t="shared" si="87"/>
        <v>-2.6637817808841887E-2</v>
      </c>
    </row>
    <row r="2570" spans="1:7" x14ac:dyDescent="0.35">
      <c r="A2570" t="s">
        <v>138</v>
      </c>
      <c r="E2570">
        <v>2.5160397546150452E-2</v>
      </c>
      <c r="F2570">
        <f t="shared" si="86"/>
        <v>-1.7038630990453732E-2</v>
      </c>
      <c r="G2570">
        <f t="shared" si="87"/>
        <v>-2.6637817808841887E-2</v>
      </c>
    </row>
    <row r="2571" spans="1:7" x14ac:dyDescent="0.35">
      <c r="A2571" t="s">
        <v>138</v>
      </c>
      <c r="E2571">
        <v>1.4221648943907116E-2</v>
      </c>
      <c r="F2571">
        <f t="shared" si="86"/>
        <v>-1.7046790909731938E-2</v>
      </c>
      <c r="G2571">
        <f t="shared" si="87"/>
        <v>-2.6637817808841887E-2</v>
      </c>
    </row>
    <row r="2572" spans="1:7" x14ac:dyDescent="0.35">
      <c r="A2572" t="s">
        <v>138</v>
      </c>
      <c r="E2572">
        <v>2.1929478813468149E-2</v>
      </c>
      <c r="F2572">
        <f t="shared" si="86"/>
        <v>-1.7054950829010145E-2</v>
      </c>
      <c r="G2572">
        <f t="shared" si="87"/>
        <v>-2.6637817808841887E-2</v>
      </c>
    </row>
    <row r="2573" spans="1:7" x14ac:dyDescent="0.35">
      <c r="A2573" t="s">
        <v>138</v>
      </c>
      <c r="E2573">
        <v>-2.1406615567482884E-2</v>
      </c>
      <c r="F2573">
        <f t="shared" si="86"/>
        <v>-1.7063110748288351E-2</v>
      </c>
      <c r="G2573">
        <f t="shared" si="87"/>
        <v>-2.6637817808841887E-2</v>
      </c>
    </row>
    <row r="2574" spans="1:7" x14ac:dyDescent="0.35">
      <c r="A2574" t="s">
        <v>139</v>
      </c>
      <c r="B2574" s="3" cm="1">
        <f t="array" ref="B2574">_xlfn.STDEV.S(_xlfn._xlws.FILTER($E$2013:$E$3011, $A$2013:$A$3011="2020-05"))</f>
        <v>2.2840726646207041E-2</v>
      </c>
      <c r="C2574" s="3" cm="1">
        <f t="array" ref="C2574">AVERAGE(_xlfn._xlws.FILTER($E$2013:$E$3011, $A$2013:$A$3011="2020-05"))</f>
        <v>1.4778727640377878E-3</v>
      </c>
      <c r="D2574" s="3" cm="1">
        <f t="array" ref="D2574">_xlfn.PERCENTILE.INC(_xlfn._xlws.FILTER($E$2490:$E$3818, $A$2490:$A$3818="2020-05"), 0.05)</f>
        <v>-3.1095129761731108E-2</v>
      </c>
      <c r="E2574">
        <v>-4.3345582111293982E-2</v>
      </c>
      <c r="F2574">
        <f t="shared" si="86"/>
        <v>-1.6893874337305964E-2</v>
      </c>
      <c r="G2574">
        <f t="shared" si="87"/>
        <v>-2.6566050328683644E-2</v>
      </c>
    </row>
    <row r="2575" spans="1:7" x14ac:dyDescent="0.35">
      <c r="A2575" t="s">
        <v>139</v>
      </c>
      <c r="E2575">
        <v>2.367693006637232E-2</v>
      </c>
      <c r="F2575">
        <f t="shared" si="86"/>
        <v>-1.6726798042889061E-2</v>
      </c>
      <c r="G2575">
        <f t="shared" si="87"/>
        <v>-2.6137032987046414E-2</v>
      </c>
    </row>
    <row r="2576" spans="1:7" x14ac:dyDescent="0.35">
      <c r="A2576" t="s">
        <v>139</v>
      </c>
      <c r="E2576">
        <v>-1.1159190371414902E-2</v>
      </c>
      <c r="F2576">
        <f t="shared" si="86"/>
        <v>-1.6730739820268445E-2</v>
      </c>
      <c r="G2576">
        <f t="shared" si="87"/>
        <v>-2.6137032987046414E-2</v>
      </c>
    </row>
    <row r="2577" spans="1:7" x14ac:dyDescent="0.35">
      <c r="A2577" t="s">
        <v>139</v>
      </c>
      <c r="E2577">
        <v>1.5235072767207427E-2</v>
      </c>
      <c r="F2577">
        <f t="shared" si="86"/>
        <v>-1.6734681597647825E-2</v>
      </c>
      <c r="G2577">
        <f t="shared" si="87"/>
        <v>-2.6137032987046414E-2</v>
      </c>
    </row>
    <row r="2578" spans="1:7" x14ac:dyDescent="0.35">
      <c r="A2578" t="s">
        <v>139</v>
      </c>
      <c r="E2578">
        <v>-2.4956472605542454E-3</v>
      </c>
      <c r="F2578">
        <f t="shared" si="86"/>
        <v>-1.6738623375027208E-2</v>
      </c>
      <c r="G2578">
        <f t="shared" si="87"/>
        <v>-2.6137032987046414E-2</v>
      </c>
    </row>
    <row r="2579" spans="1:7" x14ac:dyDescent="0.35">
      <c r="A2579" t="s">
        <v>139</v>
      </c>
      <c r="E2579">
        <v>-3.954161925902611E-3</v>
      </c>
      <c r="F2579">
        <f t="shared" si="86"/>
        <v>-1.6742565152406592E-2</v>
      </c>
      <c r="G2579">
        <f t="shared" si="87"/>
        <v>-2.6137032987046414E-2</v>
      </c>
    </row>
    <row r="2580" spans="1:7" x14ac:dyDescent="0.35">
      <c r="A2580" t="s">
        <v>139</v>
      </c>
      <c r="E2580">
        <v>-2.8933285229455308E-2</v>
      </c>
      <c r="F2580">
        <f t="shared" si="86"/>
        <v>-1.6746506929785975E-2</v>
      </c>
      <c r="G2580">
        <f t="shared" si="87"/>
        <v>-2.6137032987046414E-2</v>
      </c>
    </row>
    <row r="2581" spans="1:7" x14ac:dyDescent="0.35">
      <c r="A2581" t="s">
        <v>139</v>
      </c>
      <c r="E2581">
        <v>-1.6667671382198317E-2</v>
      </c>
      <c r="F2581">
        <f t="shared" si="86"/>
        <v>-1.66716131595777E-2</v>
      </c>
      <c r="G2581">
        <f t="shared" si="87"/>
        <v>-2.6091192786351188E-2</v>
      </c>
    </row>
    <row r="2582" spans="1:7" x14ac:dyDescent="0.35">
      <c r="A2582" t="s">
        <v>139</v>
      </c>
      <c r="E2582">
        <v>1.0525381171823005E-3</v>
      </c>
      <c r="F2582">
        <f t="shared" si="86"/>
        <v>-1.6280794584718525E-2</v>
      </c>
      <c r="G2582">
        <f t="shared" si="87"/>
        <v>-2.6091192786351188E-2</v>
      </c>
    </row>
    <row r="2583" spans="1:7" x14ac:dyDescent="0.35">
      <c r="A2583" t="s">
        <v>139</v>
      </c>
      <c r="E2583">
        <v>5.0309321924875861E-2</v>
      </c>
      <c r="F2583">
        <f t="shared" si="86"/>
        <v>-1.6306667492777829E-2</v>
      </c>
      <c r="G2583">
        <f t="shared" si="87"/>
        <v>-2.6091192786351188E-2</v>
      </c>
    </row>
    <row r="2584" spans="1:7" x14ac:dyDescent="0.35">
      <c r="A2584" t="s">
        <v>139</v>
      </c>
      <c r="E2584">
        <v>-8.9723149776427188E-3</v>
      </c>
      <c r="F2584">
        <f t="shared" si="86"/>
        <v>-1.633254040083713E-2</v>
      </c>
      <c r="G2584">
        <f t="shared" si="87"/>
        <v>-2.6091192786351188E-2</v>
      </c>
    </row>
    <row r="2585" spans="1:7" x14ac:dyDescent="0.35">
      <c r="A2585" t="s">
        <v>139</v>
      </c>
      <c r="E2585">
        <v>8.6699355157974431E-3</v>
      </c>
      <c r="F2585">
        <f t="shared" si="86"/>
        <v>-1.6358413308896435E-2</v>
      </c>
      <c r="G2585">
        <f t="shared" si="87"/>
        <v>-2.6091192786351188E-2</v>
      </c>
    </row>
    <row r="2586" spans="1:7" x14ac:dyDescent="0.35">
      <c r="A2586" t="s">
        <v>139</v>
      </c>
      <c r="E2586">
        <v>-1.1524959182251032E-2</v>
      </c>
      <c r="F2586">
        <f t="shared" si="86"/>
        <v>-1.6384286216955736E-2</v>
      </c>
      <c r="G2586">
        <f t="shared" si="87"/>
        <v>-2.6091192786351188E-2</v>
      </c>
    </row>
    <row r="2587" spans="1:7" x14ac:dyDescent="0.35">
      <c r="A2587" t="s">
        <v>139</v>
      </c>
      <c r="E2587">
        <v>-2.0022474732260073E-4</v>
      </c>
      <c r="F2587">
        <f t="shared" si="86"/>
        <v>-1.6410159125015037E-2</v>
      </c>
      <c r="G2587">
        <f t="shared" si="87"/>
        <v>-2.6091192786351188E-2</v>
      </c>
    </row>
    <row r="2588" spans="1:7" x14ac:dyDescent="0.35">
      <c r="A2588" t="s">
        <v>139</v>
      </c>
      <c r="E2588">
        <v>3.5731029550065137E-2</v>
      </c>
      <c r="F2588">
        <f t="shared" si="86"/>
        <v>-1.6436032033074342E-2</v>
      </c>
      <c r="G2588">
        <f t="shared" si="87"/>
        <v>-2.6091192786351188E-2</v>
      </c>
    </row>
    <row r="2589" spans="1:7" x14ac:dyDescent="0.35">
      <c r="A2589" t="s">
        <v>139</v>
      </c>
      <c r="E2589">
        <v>1.7751983657301417E-2</v>
      </c>
      <c r="F2589">
        <f t="shared" si="86"/>
        <v>-1.6461904941133643E-2</v>
      </c>
      <c r="G2589">
        <f t="shared" si="87"/>
        <v>-2.6091192786351188E-2</v>
      </c>
    </row>
    <row r="2590" spans="1:7" x14ac:dyDescent="0.35">
      <c r="A2590" t="s">
        <v>139</v>
      </c>
      <c r="E2590">
        <v>1.7473777415242277E-2</v>
      </c>
      <c r="F2590">
        <f t="shared" si="86"/>
        <v>-1.6487777849192947E-2</v>
      </c>
      <c r="G2590">
        <f t="shared" si="87"/>
        <v>-2.6091192786351188E-2</v>
      </c>
    </row>
    <row r="2591" spans="1:7" x14ac:dyDescent="0.35">
      <c r="A2591" t="s">
        <v>139</v>
      </c>
      <c r="E2591">
        <v>-1.6045842073328289E-2</v>
      </c>
      <c r="F2591">
        <f t="shared" si="86"/>
        <v>-1.6513650757252252E-2</v>
      </c>
      <c r="G2591">
        <f t="shared" si="87"/>
        <v>-2.6091192786351188E-2</v>
      </c>
    </row>
    <row r="2592" spans="1:7" x14ac:dyDescent="0.35">
      <c r="A2592" t="s">
        <v>140</v>
      </c>
      <c r="B2592" s="3" cm="1">
        <f t="array" ref="B2592">_xlfn.STDEV.S(_xlfn._xlws.FILTER($E$2013:$E$3011, $A$2013:$A$3011="2020-06"))</f>
        <v>2.0459412859532899E-2</v>
      </c>
      <c r="C2592" s="3" cm="1">
        <f t="array" ref="C2592">AVERAGE(_xlfn._xlws.FILTER($E$2013:$E$3011, $A$2013:$A$3011="2020-06"))</f>
        <v>2.3791159847667649E-3</v>
      </c>
      <c r="D2592" s="3" cm="1">
        <f t="array" ref="D2592">_xlfn.PERCENTILE.EXC(_xlfn._xlws.FILTER($E$2490:$E$3818, $A$2490:$A$3818="2020-06"), 0.05)</f>
        <v>-4.6343586004043549E-2</v>
      </c>
      <c r="E2592">
        <v>3.4234656305803357E-2</v>
      </c>
      <c r="F2592">
        <f t="shared" si="86"/>
        <v>-1.6539523665311553E-2</v>
      </c>
      <c r="G2592">
        <f t="shared" si="87"/>
        <v>-2.6091192786351188E-2</v>
      </c>
    </row>
    <row r="2593" spans="1:7" x14ac:dyDescent="0.35">
      <c r="A2593" t="s">
        <v>140</v>
      </c>
      <c r="E2593">
        <v>3.3077443642892716E-2</v>
      </c>
      <c r="F2593">
        <f t="shared" si="86"/>
        <v>-1.6565396573370857E-2</v>
      </c>
      <c r="G2593">
        <f t="shared" si="87"/>
        <v>-2.6091192786351188E-2</v>
      </c>
    </row>
    <row r="2594" spans="1:7" x14ac:dyDescent="0.35">
      <c r="A2594" t="s">
        <v>140</v>
      </c>
      <c r="E2594">
        <v>-2.0728783348245086E-3</v>
      </c>
      <c r="F2594">
        <f t="shared" si="86"/>
        <v>-1.6591269481430158E-2</v>
      </c>
      <c r="G2594">
        <f t="shared" si="87"/>
        <v>-2.6091192786351188E-2</v>
      </c>
    </row>
    <row r="2595" spans="1:7" x14ac:dyDescent="0.35">
      <c r="A2595" t="s">
        <v>140</v>
      </c>
      <c r="E2595">
        <v>3.6402488646409749E-2</v>
      </c>
      <c r="F2595">
        <f t="shared" si="86"/>
        <v>-1.6617142389489463E-2</v>
      </c>
      <c r="G2595">
        <f t="shared" si="87"/>
        <v>-2.6091192786351188E-2</v>
      </c>
    </row>
    <row r="2596" spans="1:7" x14ac:dyDescent="0.35">
      <c r="A2596" t="s">
        <v>140</v>
      </c>
      <c r="E2596">
        <v>-4.2937180541523217E-3</v>
      </c>
      <c r="F2596">
        <f t="shared" si="86"/>
        <v>-1.6643015297548764E-2</v>
      </c>
      <c r="G2596">
        <f t="shared" si="87"/>
        <v>-2.6091192786351188E-2</v>
      </c>
    </row>
    <row r="2597" spans="1:7" x14ac:dyDescent="0.35">
      <c r="A2597" t="s">
        <v>140</v>
      </c>
      <c r="E2597">
        <v>-1.5658560959585201E-2</v>
      </c>
      <c r="F2597">
        <f t="shared" si="86"/>
        <v>-1.6668888205608065E-2</v>
      </c>
      <c r="G2597">
        <f t="shared" si="87"/>
        <v>-2.6091192786351188E-2</v>
      </c>
    </row>
    <row r="2598" spans="1:7" x14ac:dyDescent="0.35">
      <c r="A2598" t="s">
        <v>140</v>
      </c>
      <c r="E2598">
        <v>-8.2160144407194807E-3</v>
      </c>
      <c r="F2598">
        <f t="shared" si="86"/>
        <v>-1.669476111366737E-2</v>
      </c>
      <c r="G2598">
        <f t="shared" si="87"/>
        <v>-2.6091192786351188E-2</v>
      </c>
    </row>
    <row r="2599" spans="1:7" x14ac:dyDescent="0.35">
      <c r="A2599" t="s">
        <v>140</v>
      </c>
      <c r="E2599">
        <v>-4.8204593716093543E-2</v>
      </c>
      <c r="F2599">
        <f t="shared" si="86"/>
        <v>-1.6720634021726671E-2</v>
      </c>
      <c r="G2599">
        <f t="shared" si="87"/>
        <v>-2.6091192786351188E-2</v>
      </c>
    </row>
    <row r="2600" spans="1:7" x14ac:dyDescent="0.35">
      <c r="A2600" t="s">
        <v>140</v>
      </c>
      <c r="E2600">
        <v>4.901168398563192E-3</v>
      </c>
      <c r="F2600">
        <f t="shared" si="86"/>
        <v>-1.6229048768599923E-2</v>
      </c>
      <c r="G2600">
        <f t="shared" si="87"/>
        <v>-2.5567003524916868E-2</v>
      </c>
    </row>
    <row r="2601" spans="1:7" x14ac:dyDescent="0.35">
      <c r="A2601" t="s">
        <v>140</v>
      </c>
      <c r="E2601">
        <v>-4.8762496958297029E-3</v>
      </c>
      <c r="F2601">
        <f t="shared" si="86"/>
        <v>-1.6254921676659224E-2</v>
      </c>
      <c r="G2601">
        <f t="shared" si="87"/>
        <v>-2.5722636104188821E-2</v>
      </c>
    </row>
    <row r="2602" spans="1:7" x14ac:dyDescent="0.35">
      <c r="A2602" t="s">
        <v>140</v>
      </c>
      <c r="E2602">
        <v>2.799885604755914E-2</v>
      </c>
      <c r="F2602">
        <f t="shared" si="86"/>
        <v>-1.6280794584718525E-2</v>
      </c>
      <c r="G2602">
        <f t="shared" si="87"/>
        <v>-2.5722636104188821E-2</v>
      </c>
    </row>
    <row r="2603" spans="1:7" x14ac:dyDescent="0.35">
      <c r="A2603" t="s">
        <v>140</v>
      </c>
      <c r="E2603">
        <v>8.7471646124320877E-3</v>
      </c>
      <c r="F2603">
        <f t="shared" si="86"/>
        <v>-1.6306667492777829E-2</v>
      </c>
      <c r="G2603">
        <f t="shared" si="87"/>
        <v>-2.5722636104188821E-2</v>
      </c>
    </row>
    <row r="2604" spans="1:7" x14ac:dyDescent="0.35">
      <c r="A2604" t="s">
        <v>140</v>
      </c>
      <c r="E2604">
        <v>-7.4778945950564769E-3</v>
      </c>
      <c r="F2604">
        <f t="shared" si="86"/>
        <v>-1.633254040083713E-2</v>
      </c>
      <c r="G2604">
        <f t="shared" si="87"/>
        <v>-2.5722636104188821E-2</v>
      </c>
    </row>
    <row r="2605" spans="1:7" x14ac:dyDescent="0.35">
      <c r="A2605" t="s">
        <v>140</v>
      </c>
      <c r="E2605">
        <v>4.1657503239493398E-3</v>
      </c>
      <c r="F2605">
        <f t="shared" si="86"/>
        <v>-1.6358413308896435E-2</v>
      </c>
      <c r="G2605">
        <f t="shared" si="87"/>
        <v>-2.5722636104188821E-2</v>
      </c>
    </row>
    <row r="2606" spans="1:7" x14ac:dyDescent="0.35">
      <c r="A2606" t="s">
        <v>140</v>
      </c>
      <c r="E2606">
        <v>-6.1945273446956522E-3</v>
      </c>
      <c r="F2606">
        <f t="shared" si="86"/>
        <v>-1.6384286216955736E-2</v>
      </c>
      <c r="G2606">
        <f t="shared" si="87"/>
        <v>-2.5722636104188821E-2</v>
      </c>
    </row>
    <row r="2607" spans="1:7" x14ac:dyDescent="0.35">
      <c r="A2607" t="s">
        <v>140</v>
      </c>
      <c r="E2607">
        <v>1.3842759658689347E-2</v>
      </c>
      <c r="F2607">
        <f t="shared" si="86"/>
        <v>-1.6410159125015037E-2</v>
      </c>
      <c r="G2607">
        <f t="shared" si="87"/>
        <v>-2.5722636104188821E-2</v>
      </c>
    </row>
    <row r="2608" spans="1:7" x14ac:dyDescent="0.35">
      <c r="A2608" t="s">
        <v>140</v>
      </c>
      <c r="E2608">
        <v>-2.9594516595593642E-2</v>
      </c>
      <c r="F2608">
        <f t="shared" si="86"/>
        <v>-1.6436032033074342E-2</v>
      </c>
      <c r="G2608">
        <f t="shared" si="87"/>
        <v>-2.5722636104188821E-2</v>
      </c>
    </row>
    <row r="2609" spans="1:7" x14ac:dyDescent="0.35">
      <c r="A2609" t="s">
        <v>140</v>
      </c>
      <c r="E2609">
        <v>9.646712071127805E-3</v>
      </c>
      <c r="F2609">
        <f t="shared" si="86"/>
        <v>-1.6228792665286727E-2</v>
      </c>
      <c r="G2609">
        <f t="shared" si="87"/>
        <v>-2.5499878307072253E-2</v>
      </c>
    </row>
    <row r="2610" spans="1:7" x14ac:dyDescent="0.35">
      <c r="A2610" t="s">
        <v>140</v>
      </c>
      <c r="E2610">
        <v>-1.8192515970762014E-3</v>
      </c>
      <c r="F2610">
        <f t="shared" si="86"/>
        <v>-1.6228815947406109E-2</v>
      </c>
      <c r="G2610">
        <f t="shared" si="87"/>
        <v>-2.5499878307072253E-2</v>
      </c>
    </row>
    <row r="2611" spans="1:7" x14ac:dyDescent="0.35">
      <c r="A2611" t="s">
        <v>140</v>
      </c>
      <c r="E2611">
        <v>7.2693646412909539E-3</v>
      </c>
      <c r="F2611">
        <f t="shared" si="86"/>
        <v>-1.6228839229525491E-2</v>
      </c>
      <c r="G2611">
        <f t="shared" si="87"/>
        <v>-2.5499878307072253E-2</v>
      </c>
    </row>
    <row r="2612" spans="1:7" x14ac:dyDescent="0.35">
      <c r="A2612" t="s">
        <v>140</v>
      </c>
      <c r="E2612">
        <v>-1.9167233349888905E-3</v>
      </c>
      <c r="F2612">
        <f t="shared" si="86"/>
        <v>-1.6228862511644872E-2</v>
      </c>
      <c r="G2612">
        <f t="shared" si="87"/>
        <v>-2.5499878307072253E-2</v>
      </c>
    </row>
    <row r="2613" spans="1:7" x14ac:dyDescent="0.35">
      <c r="A2613" t="s">
        <v>141</v>
      </c>
      <c r="B2613" s="3" cm="1">
        <f t="array" ref="B2613">_xlfn.STDEV.S(_xlfn._xlws.FILTER($E$2013:$E$3011, $A$2013:$A$3011="2020-07"))</f>
        <v>1.2242807240349252E-2</v>
      </c>
      <c r="C2613" s="3" cm="1">
        <f t="array" ref="C2613">AVERAGE(_xlfn._xlws.FILTER($E$2013:$E$3011, $A$2013:$A$3011="2020-07"))</f>
        <v>-1.3626541500628988E-3</v>
      </c>
      <c r="D2613" s="3" cm="1">
        <f t="array" ref="D2613">_xlfn.PERCENTILE.EXC(_xlfn._xlws.FILTER($E$2490:$E$3818, $A$2490:$A$3818="2020-07"), 0.05)</f>
        <v>-2.0349874727559957E-2</v>
      </c>
      <c r="E2613">
        <v>-1.8351549772487438E-3</v>
      </c>
      <c r="F2613">
        <f t="shared" si="86"/>
        <v>-1.6228885793764254E-2</v>
      </c>
      <c r="G2613">
        <f t="shared" si="87"/>
        <v>-2.5499878307072253E-2</v>
      </c>
    </row>
    <row r="2614" spans="1:7" x14ac:dyDescent="0.35">
      <c r="A2614" t="s">
        <v>141</v>
      </c>
      <c r="E2614">
        <v>2.4547357781050789E-2</v>
      </c>
      <c r="F2614">
        <f t="shared" si="86"/>
        <v>-1.6228909075883636E-2</v>
      </c>
      <c r="G2614">
        <f t="shared" si="87"/>
        <v>-2.5499878307072253E-2</v>
      </c>
    </row>
    <row r="2615" spans="1:7" x14ac:dyDescent="0.35">
      <c r="A2615" t="s">
        <v>141</v>
      </c>
      <c r="E2615">
        <v>-8.4005696611941568E-3</v>
      </c>
      <c r="F2615">
        <f t="shared" si="86"/>
        <v>-1.6228932358003018E-2</v>
      </c>
      <c r="G2615">
        <f t="shared" si="87"/>
        <v>-2.5499878307072253E-2</v>
      </c>
    </row>
    <row r="2616" spans="1:7" x14ac:dyDescent="0.35">
      <c r="A2616" t="s">
        <v>141</v>
      </c>
      <c r="E2616">
        <v>1.4743567704891583E-2</v>
      </c>
      <c r="F2616">
        <f t="shared" si="86"/>
        <v>-1.6228955640122396E-2</v>
      </c>
      <c r="G2616">
        <f t="shared" si="87"/>
        <v>-2.5499878307072253E-2</v>
      </c>
    </row>
    <row r="2617" spans="1:7" x14ac:dyDescent="0.35">
      <c r="A2617" t="s">
        <v>141</v>
      </c>
      <c r="E2617">
        <v>-7.462573791938789E-3</v>
      </c>
      <c r="F2617">
        <f t="shared" si="86"/>
        <v>-1.6228978922241778E-2</v>
      </c>
      <c r="G2617">
        <f t="shared" si="87"/>
        <v>-2.5499878307072253E-2</v>
      </c>
    </row>
    <row r="2618" spans="1:7" x14ac:dyDescent="0.35">
      <c r="A2618" t="s">
        <v>141</v>
      </c>
      <c r="E2618">
        <v>-1.2489114797225542E-2</v>
      </c>
      <c r="F2618">
        <f t="shared" si="86"/>
        <v>-1.6229002204361159E-2</v>
      </c>
      <c r="G2618">
        <f t="shared" si="87"/>
        <v>-2.5499878307072253E-2</v>
      </c>
    </row>
    <row r="2619" spans="1:7" x14ac:dyDescent="0.35">
      <c r="A2619" t="s">
        <v>141</v>
      </c>
      <c r="E2619">
        <v>-1.2142978938369098E-2</v>
      </c>
      <c r="F2619">
        <f t="shared" si="86"/>
        <v>-1.6229025486480541E-2</v>
      </c>
      <c r="G2619">
        <f t="shared" si="87"/>
        <v>-2.5499878307072253E-2</v>
      </c>
    </row>
    <row r="2620" spans="1:7" x14ac:dyDescent="0.35">
      <c r="A2620" t="s">
        <v>141</v>
      </c>
      <c r="E2620">
        <v>1.0002620932829177E-2</v>
      </c>
      <c r="F2620">
        <f t="shared" si="86"/>
        <v>-1.6229048768599923E-2</v>
      </c>
      <c r="G2620">
        <f t="shared" si="87"/>
        <v>-2.5499878307072253E-2</v>
      </c>
    </row>
    <row r="2621" spans="1:7" x14ac:dyDescent="0.35">
      <c r="A2621" t="s">
        <v>141</v>
      </c>
      <c r="E2621">
        <v>1.7104731394322649E-2</v>
      </c>
      <c r="F2621">
        <f t="shared" si="86"/>
        <v>-1.6254921676659224E-2</v>
      </c>
      <c r="G2621">
        <f t="shared" si="87"/>
        <v>-2.5657011011114159E-2</v>
      </c>
    </row>
    <row r="2622" spans="1:7" x14ac:dyDescent="0.35">
      <c r="A2622" t="s">
        <v>141</v>
      </c>
      <c r="E2622">
        <v>-9.692345808264816E-3</v>
      </c>
      <c r="F2622">
        <f t="shared" si="86"/>
        <v>-1.6280794584718525E-2</v>
      </c>
      <c r="G2622">
        <f t="shared" si="87"/>
        <v>-2.5657011011114159E-2</v>
      </c>
    </row>
    <row r="2623" spans="1:7" x14ac:dyDescent="0.35">
      <c r="A2623" t="s">
        <v>141</v>
      </c>
      <c r="E2623">
        <v>2.0070975172636379E-2</v>
      </c>
      <c r="F2623">
        <f t="shared" si="86"/>
        <v>-1.6306667492777829E-2</v>
      </c>
      <c r="G2623">
        <f t="shared" si="87"/>
        <v>-2.5657011011114159E-2</v>
      </c>
    </row>
    <row r="2624" spans="1:7" x14ac:dyDescent="0.35">
      <c r="A2624" t="s">
        <v>141</v>
      </c>
      <c r="E2624">
        <v>-4.6496837825627029E-3</v>
      </c>
      <c r="F2624">
        <f t="shared" si="86"/>
        <v>-1.633254040083713E-2</v>
      </c>
      <c r="G2624">
        <f t="shared" si="87"/>
        <v>-2.5657011011114159E-2</v>
      </c>
    </row>
    <row r="2625" spans="1:7" x14ac:dyDescent="0.35">
      <c r="A2625" t="s">
        <v>141</v>
      </c>
      <c r="E2625">
        <v>-3.1236792610300893E-3</v>
      </c>
      <c r="F2625">
        <f t="shared" si="86"/>
        <v>-1.6358413308896435E-2</v>
      </c>
      <c r="G2625">
        <f t="shared" si="87"/>
        <v>-2.5657011011114159E-2</v>
      </c>
    </row>
    <row r="2626" spans="1:7" x14ac:dyDescent="0.35">
      <c r="A2626" t="s">
        <v>141</v>
      </c>
      <c r="E2626">
        <v>4.6759772680644079E-3</v>
      </c>
      <c r="F2626">
        <f t="shared" si="86"/>
        <v>-1.6384286216955736E-2</v>
      </c>
      <c r="G2626">
        <f t="shared" si="87"/>
        <v>-2.5657011011114159E-2</v>
      </c>
    </row>
    <row r="2627" spans="1:7" x14ac:dyDescent="0.35">
      <c r="A2627" t="s">
        <v>141</v>
      </c>
      <c r="E2627">
        <v>2.1770135668946187E-3</v>
      </c>
      <c r="F2627">
        <f t="shared" si="86"/>
        <v>-1.6410159125015037E-2</v>
      </c>
      <c r="G2627">
        <f t="shared" si="87"/>
        <v>-2.5657011011114159E-2</v>
      </c>
    </row>
    <row r="2628" spans="1:7" x14ac:dyDescent="0.35">
      <c r="A2628" t="s">
        <v>141</v>
      </c>
      <c r="E2628">
        <v>-1.3244913287642126E-2</v>
      </c>
      <c r="F2628">
        <f t="shared" ref="F2628:F2691" si="88">_xlfn.PERCENTILE.EXC(E2628:E6443,0.05)</f>
        <v>-1.6436032033074342E-2</v>
      </c>
      <c r="G2628">
        <f t="shared" ref="G2628:G2691" si="89">AVERAGEIFS(E2628:E6444,E2628:E6444,"&lt;=" &amp; F2628)</f>
        <v>-2.5657011011114159E-2</v>
      </c>
    </row>
    <row r="2629" spans="1:7" x14ac:dyDescent="0.35">
      <c r="A2629" t="s">
        <v>141</v>
      </c>
      <c r="E2629">
        <v>-6.6727041225190305E-4</v>
      </c>
      <c r="F2629">
        <f t="shared" si="88"/>
        <v>-1.6461904941133643E-2</v>
      </c>
      <c r="G2629">
        <f t="shared" si="89"/>
        <v>-2.5657011011114159E-2</v>
      </c>
    </row>
    <row r="2630" spans="1:7" x14ac:dyDescent="0.35">
      <c r="A2630" t="s">
        <v>141</v>
      </c>
      <c r="E2630">
        <v>-1.5481496249941122E-2</v>
      </c>
      <c r="F2630">
        <f t="shared" si="88"/>
        <v>-1.6487777849192947E-2</v>
      </c>
      <c r="G2630">
        <f t="shared" si="89"/>
        <v>-2.5657011011114159E-2</v>
      </c>
    </row>
    <row r="2631" spans="1:7" x14ac:dyDescent="0.35">
      <c r="A2631" t="s">
        <v>141</v>
      </c>
      <c r="E2631">
        <v>-3.3973183579501499E-3</v>
      </c>
      <c r="F2631">
        <f t="shared" si="88"/>
        <v>-1.6513650757252252E-2</v>
      </c>
      <c r="G2631">
        <f t="shared" si="89"/>
        <v>-2.5657011011114159E-2</v>
      </c>
    </row>
    <row r="2632" spans="1:7" x14ac:dyDescent="0.35">
      <c r="A2632" t="s">
        <v>141</v>
      </c>
      <c r="E2632">
        <v>-2.1644503695599834E-3</v>
      </c>
      <c r="F2632">
        <f t="shared" si="88"/>
        <v>-1.6539523665311553E-2</v>
      </c>
      <c r="G2632">
        <f t="shared" si="89"/>
        <v>-2.5657011011114159E-2</v>
      </c>
    </row>
    <row r="2633" spans="1:7" x14ac:dyDescent="0.35">
      <c r="A2633" t="s">
        <v>141</v>
      </c>
      <c r="E2633">
        <v>6.0277214124954794E-3</v>
      </c>
      <c r="F2633">
        <f t="shared" si="88"/>
        <v>-1.6565396573370857E-2</v>
      </c>
      <c r="G2633">
        <f t="shared" si="89"/>
        <v>-2.5657011011114159E-2</v>
      </c>
    </row>
    <row r="2634" spans="1:7" x14ac:dyDescent="0.35">
      <c r="A2634" t="s">
        <v>141</v>
      </c>
      <c r="E2634">
        <v>-2.1566969346964667E-2</v>
      </c>
      <c r="F2634">
        <f t="shared" si="88"/>
        <v>-1.6591269481430158E-2</v>
      </c>
      <c r="G2634">
        <f t="shared" si="89"/>
        <v>-2.5657011011114159E-2</v>
      </c>
    </row>
    <row r="2635" spans="1:7" x14ac:dyDescent="0.35">
      <c r="A2635" t="s">
        <v>141</v>
      </c>
      <c r="E2635">
        <v>-1.4372491642487866E-2</v>
      </c>
      <c r="F2635">
        <f t="shared" si="88"/>
        <v>-1.6228932358003018E-2</v>
      </c>
      <c r="G2635">
        <f t="shared" si="89"/>
        <v>-2.5566537780972384E-2</v>
      </c>
    </row>
    <row r="2636" spans="1:7" x14ac:dyDescent="0.35">
      <c r="A2636" t="s">
        <v>142</v>
      </c>
      <c r="B2636" s="3" cm="1">
        <f t="array" ref="B2636">_xlfn.STDEV.S(_xlfn._xlws.FILTER($E$2013:$E$3011, $A$2013:$A$3011="2020-08"))</f>
        <v>1.1059515628070352E-2</v>
      </c>
      <c r="C2636" s="3" cm="1">
        <f t="array" ref="C2636">AVERAGE(_xlfn._xlws.FILTER($E$2013:$E$3011, $A$2013:$A$3011="2020-08"))</f>
        <v>2.2406762206088173E-3</v>
      </c>
      <c r="D2636" s="3" cm="1">
        <f t="array" ref="D2636">_xlfn.PERCENTILE.EXC(_xlfn._xlws.FILTER($E$2490:$E$3818, $A$2490:$A$3818="2020-08"), 0.05)</f>
        <v>-1.5755158456661873E-2</v>
      </c>
      <c r="E2636">
        <v>1.9098640268784509E-2</v>
      </c>
      <c r="F2636">
        <f t="shared" si="88"/>
        <v>-1.6228955640122396E-2</v>
      </c>
      <c r="G2636">
        <f t="shared" si="89"/>
        <v>-2.5566537780972384E-2</v>
      </c>
    </row>
    <row r="2637" spans="1:7" x14ac:dyDescent="0.35">
      <c r="A2637" t="s">
        <v>142</v>
      </c>
      <c r="E2637">
        <v>2.7832836731743172E-3</v>
      </c>
      <c r="F2637">
        <f t="shared" si="88"/>
        <v>-1.6228978922241778E-2</v>
      </c>
      <c r="G2637">
        <f t="shared" si="89"/>
        <v>-2.5566537780972384E-2</v>
      </c>
    </row>
    <row r="2638" spans="1:7" x14ac:dyDescent="0.35">
      <c r="A2638" t="s">
        <v>142</v>
      </c>
      <c r="E2638">
        <v>8.9221042927795213E-3</v>
      </c>
      <c r="F2638">
        <f t="shared" si="88"/>
        <v>-1.6229002204361159E-2</v>
      </c>
      <c r="G2638">
        <f t="shared" si="89"/>
        <v>-2.5566537780972384E-2</v>
      </c>
    </row>
    <row r="2639" spans="1:7" x14ac:dyDescent="0.35">
      <c r="A2639" t="s">
        <v>142</v>
      </c>
      <c r="E2639">
        <v>-9.8203462339578156E-3</v>
      </c>
      <c r="F2639">
        <f t="shared" si="88"/>
        <v>-1.6229025486480541E-2</v>
      </c>
      <c r="G2639">
        <f t="shared" si="89"/>
        <v>-2.5566537780972384E-2</v>
      </c>
    </row>
    <row r="2640" spans="1:7" x14ac:dyDescent="0.35">
      <c r="A2640" t="s">
        <v>142</v>
      </c>
      <c r="E2640">
        <v>8.9824194117820117E-4</v>
      </c>
      <c r="F2640">
        <f t="shared" si="88"/>
        <v>-1.6229048768599923E-2</v>
      </c>
      <c r="G2640">
        <f t="shared" si="89"/>
        <v>-2.5566537780972384E-2</v>
      </c>
    </row>
    <row r="2641" spans="1:7" x14ac:dyDescent="0.35">
      <c r="A2641" t="s">
        <v>142</v>
      </c>
      <c r="E2641">
        <v>4.0800013328131613E-3</v>
      </c>
      <c r="F2641">
        <f t="shared" si="88"/>
        <v>-1.6254921676659224E-2</v>
      </c>
      <c r="G2641">
        <f t="shared" si="89"/>
        <v>-2.5727528970840876E-2</v>
      </c>
    </row>
    <row r="2642" spans="1:7" x14ac:dyDescent="0.35">
      <c r="A2642" t="s">
        <v>142</v>
      </c>
      <c r="E2642">
        <v>2.3846161371220868E-2</v>
      </c>
      <c r="F2642">
        <f t="shared" si="88"/>
        <v>-1.6280794584718525E-2</v>
      </c>
      <c r="G2642">
        <f t="shared" si="89"/>
        <v>-2.5727528970840876E-2</v>
      </c>
    </row>
    <row r="2643" spans="1:7" x14ac:dyDescent="0.35">
      <c r="A2643" t="s">
        <v>142</v>
      </c>
      <c r="E2643">
        <v>8.9731626796376186E-3</v>
      </c>
      <c r="F2643">
        <f t="shared" si="88"/>
        <v>-1.6306667492777829E-2</v>
      </c>
      <c r="G2643">
        <f t="shared" si="89"/>
        <v>-2.5727528970840876E-2</v>
      </c>
    </row>
    <row r="2644" spans="1:7" x14ac:dyDescent="0.35">
      <c r="A2644" t="s">
        <v>142</v>
      </c>
      <c r="E2644">
        <v>-6.1152716996156521E-3</v>
      </c>
      <c r="F2644">
        <f t="shared" si="88"/>
        <v>-1.633254040083713E-2</v>
      </c>
      <c r="G2644">
        <f t="shared" si="89"/>
        <v>-2.5727528970840876E-2</v>
      </c>
    </row>
    <row r="2645" spans="1:7" x14ac:dyDescent="0.35">
      <c r="A2645" t="s">
        <v>142</v>
      </c>
      <c r="E2645">
        <v>-1.5881900710193589E-2</v>
      </c>
      <c r="F2645">
        <f t="shared" si="88"/>
        <v>-1.6358413308896435E-2</v>
      </c>
      <c r="G2645">
        <f t="shared" si="89"/>
        <v>-2.5727528970840876E-2</v>
      </c>
    </row>
    <row r="2646" spans="1:7" x14ac:dyDescent="0.35">
      <c r="A2646" t="s">
        <v>142</v>
      </c>
      <c r="E2646">
        <v>1.8138138637307807E-3</v>
      </c>
      <c r="F2646">
        <f t="shared" si="88"/>
        <v>-1.6384286216955736E-2</v>
      </c>
      <c r="G2646">
        <f t="shared" si="89"/>
        <v>-2.5727528970840876E-2</v>
      </c>
    </row>
    <row r="2647" spans="1:7" x14ac:dyDescent="0.35">
      <c r="A2647" t="s">
        <v>142</v>
      </c>
      <c r="E2647">
        <v>-6.8375644797557316E-3</v>
      </c>
      <c r="F2647">
        <f t="shared" si="88"/>
        <v>-1.6410159125015037E-2</v>
      </c>
      <c r="G2647">
        <f t="shared" si="89"/>
        <v>-2.5727528970840876E-2</v>
      </c>
    </row>
    <row r="2648" spans="1:7" x14ac:dyDescent="0.35">
      <c r="A2648" t="s">
        <v>142</v>
      </c>
      <c r="E2648">
        <v>7.9009698690510072E-3</v>
      </c>
      <c r="F2648">
        <f t="shared" si="88"/>
        <v>-1.6436032033074342E-2</v>
      </c>
      <c r="G2648">
        <f t="shared" si="89"/>
        <v>-2.5727528970840876E-2</v>
      </c>
    </row>
    <row r="2649" spans="1:7" x14ac:dyDescent="0.35">
      <c r="A2649" t="s">
        <v>142</v>
      </c>
      <c r="E2649">
        <v>-1.3347055639559279E-2</v>
      </c>
      <c r="F2649">
        <f t="shared" si="88"/>
        <v>-1.6461904941133643E-2</v>
      </c>
      <c r="G2649">
        <f t="shared" si="89"/>
        <v>-2.5727528970840876E-2</v>
      </c>
    </row>
    <row r="2650" spans="1:7" x14ac:dyDescent="0.35">
      <c r="A2650" t="s">
        <v>142</v>
      </c>
      <c r="E2650">
        <v>-3.0405108475485281E-3</v>
      </c>
      <c r="F2650">
        <f t="shared" si="88"/>
        <v>-1.6487777849192947E-2</v>
      </c>
      <c r="G2650">
        <f t="shared" si="89"/>
        <v>-2.5727528970840876E-2</v>
      </c>
    </row>
    <row r="2651" spans="1:7" x14ac:dyDescent="0.35">
      <c r="A2651" t="s">
        <v>142</v>
      </c>
      <c r="E2651">
        <v>2.2528723800937352E-2</v>
      </c>
      <c r="F2651">
        <f t="shared" si="88"/>
        <v>-1.6513650757252252E-2</v>
      </c>
      <c r="G2651">
        <f t="shared" si="89"/>
        <v>-2.5727528970840876E-2</v>
      </c>
    </row>
    <row r="2652" spans="1:7" x14ac:dyDescent="0.35">
      <c r="A2652" t="s">
        <v>142</v>
      </c>
      <c r="E2652">
        <v>7.5877382186805863E-5</v>
      </c>
      <c r="F2652">
        <f t="shared" si="88"/>
        <v>-1.6539523665311553E-2</v>
      </c>
      <c r="G2652">
        <f t="shared" si="89"/>
        <v>-2.5727528970840876E-2</v>
      </c>
    </row>
    <row r="2653" spans="1:7" x14ac:dyDescent="0.35">
      <c r="A2653" t="s">
        <v>142</v>
      </c>
      <c r="E2653">
        <v>7.9867577789830176E-3</v>
      </c>
      <c r="F2653">
        <f t="shared" si="88"/>
        <v>-1.6565396573370857E-2</v>
      </c>
      <c r="G2653">
        <f t="shared" si="89"/>
        <v>-2.5727528970840876E-2</v>
      </c>
    </row>
    <row r="2654" spans="1:7" x14ac:dyDescent="0.35">
      <c r="A2654" t="s">
        <v>142</v>
      </c>
      <c r="E2654">
        <v>-6.450481410016284E-3</v>
      </c>
      <c r="F2654">
        <f t="shared" si="88"/>
        <v>-1.6591269481430158E-2</v>
      </c>
      <c r="G2654">
        <f t="shared" si="89"/>
        <v>-2.5727528970840876E-2</v>
      </c>
    </row>
    <row r="2655" spans="1:7" x14ac:dyDescent="0.35">
      <c r="A2655" t="s">
        <v>142</v>
      </c>
      <c r="E2655">
        <v>-2.60108282165394E-3</v>
      </c>
      <c r="F2655">
        <f t="shared" si="88"/>
        <v>-1.6617142389489463E-2</v>
      </c>
      <c r="G2655">
        <f t="shared" si="89"/>
        <v>-2.5727528970840876E-2</v>
      </c>
    </row>
    <row r="2656" spans="1:7" x14ac:dyDescent="0.35">
      <c r="A2656" t="s">
        <v>143</v>
      </c>
      <c r="B2656" s="3" cm="1">
        <f t="array" ref="B2656">_xlfn.STDEV.S(_xlfn._xlws.FILTER($E$2013:$E$3011, $A$2013:$A$3011="2020-09"))</f>
        <v>1.3408406341829601E-2</v>
      </c>
      <c r="C2656" s="3" cm="1">
        <f t="array" ref="C2656">AVERAGE(_xlfn._xlws.FILTER($E$2013:$E$3011, $A$2013:$A$3011="2020-09"))</f>
        <v>-1.8497005332840746E-3</v>
      </c>
      <c r="D2656" s="3" cm="1">
        <f t="array" ref="D2656">_xlfn.PERCENTILE.EXC(_xlfn._xlws.FILTER($E$2490:$E$3818, $A$2490:$A$3818="2020-09"), 0.05)</f>
        <v>-3.4791446240900109E-2</v>
      </c>
      <c r="E2656">
        <v>-1.3045097798088209E-2</v>
      </c>
      <c r="F2656">
        <f t="shared" si="88"/>
        <v>-1.6643015297548764E-2</v>
      </c>
      <c r="G2656">
        <f t="shared" si="89"/>
        <v>-2.5727528970840876E-2</v>
      </c>
    </row>
    <row r="2657" spans="1:7" x14ac:dyDescent="0.35">
      <c r="A2657" t="s">
        <v>143</v>
      </c>
      <c r="E2657">
        <v>1.878520691511102E-2</v>
      </c>
      <c r="F2657">
        <f t="shared" si="88"/>
        <v>-1.6668888205608065E-2</v>
      </c>
      <c r="G2657">
        <f t="shared" si="89"/>
        <v>-2.5727528970840876E-2</v>
      </c>
    </row>
    <row r="2658" spans="1:7" x14ac:dyDescent="0.35">
      <c r="A2658" t="s">
        <v>143</v>
      </c>
      <c r="E2658">
        <v>-4.4257466232353621E-3</v>
      </c>
      <c r="F2658">
        <f t="shared" si="88"/>
        <v>-1.669476111366737E-2</v>
      </c>
      <c r="G2658">
        <f t="shared" si="89"/>
        <v>-2.5727528970840876E-2</v>
      </c>
    </row>
    <row r="2659" spans="1:7" x14ac:dyDescent="0.35">
      <c r="A2659" t="s">
        <v>143</v>
      </c>
      <c r="E2659">
        <v>-8.9127060350375643E-3</v>
      </c>
      <c r="F2659">
        <f t="shared" si="88"/>
        <v>-1.6720634021726671E-2</v>
      </c>
      <c r="G2659">
        <f t="shared" si="89"/>
        <v>-2.5727528970840876E-2</v>
      </c>
    </row>
    <row r="2660" spans="1:7" x14ac:dyDescent="0.35">
      <c r="A2660" t="s">
        <v>143</v>
      </c>
      <c r="E2660">
        <v>1.7697209680637881E-2</v>
      </c>
      <c r="F2660">
        <f t="shared" si="88"/>
        <v>-1.6746506929785975E-2</v>
      </c>
      <c r="G2660">
        <f t="shared" si="89"/>
        <v>-2.5727528970840876E-2</v>
      </c>
    </row>
    <row r="2661" spans="1:7" x14ac:dyDescent="0.35">
      <c r="A2661" t="s">
        <v>143</v>
      </c>
      <c r="E2661">
        <v>-1.5996766854018959E-2</v>
      </c>
      <c r="F2661">
        <f t="shared" si="88"/>
        <v>-1.6757033173180259E-2</v>
      </c>
      <c r="G2661">
        <f t="shared" si="89"/>
        <v>-2.5885090761034821E-2</v>
      </c>
    </row>
    <row r="2662" spans="1:7" x14ac:dyDescent="0.35">
      <c r="A2662" t="s">
        <v>143</v>
      </c>
      <c r="E2662">
        <v>1.386933827820159E-2</v>
      </c>
      <c r="F2662">
        <f t="shared" si="88"/>
        <v>-1.6767559416574544E-2</v>
      </c>
      <c r="G2662">
        <f t="shared" si="89"/>
        <v>-2.5885090761034821E-2</v>
      </c>
    </row>
    <row r="2663" spans="1:7" x14ac:dyDescent="0.35">
      <c r="A2663" t="s">
        <v>143</v>
      </c>
      <c r="E2663">
        <v>-3.7846812455948342E-3</v>
      </c>
      <c r="F2663">
        <f t="shared" si="88"/>
        <v>-1.6778085659968831E-2</v>
      </c>
      <c r="G2663">
        <f t="shared" si="89"/>
        <v>-2.5885090761034821E-2</v>
      </c>
    </row>
    <row r="2664" spans="1:7" x14ac:dyDescent="0.35">
      <c r="A2664" t="s">
        <v>143</v>
      </c>
      <c r="E2664">
        <v>2.0302112645724309E-3</v>
      </c>
      <c r="F2664">
        <f t="shared" si="88"/>
        <v>-1.6788611903363115E-2</v>
      </c>
      <c r="G2664">
        <f t="shared" si="89"/>
        <v>-2.5885090761034821E-2</v>
      </c>
    </row>
    <row r="2665" spans="1:7" x14ac:dyDescent="0.35">
      <c r="A2665" t="s">
        <v>143</v>
      </c>
      <c r="E2665">
        <v>3.5177440246332327E-3</v>
      </c>
      <c r="F2665">
        <f t="shared" si="88"/>
        <v>-1.67991381467574E-2</v>
      </c>
      <c r="G2665">
        <f t="shared" si="89"/>
        <v>-2.5885090761034821E-2</v>
      </c>
    </row>
    <row r="2666" spans="1:7" x14ac:dyDescent="0.35">
      <c r="A2666" t="s">
        <v>143</v>
      </c>
      <c r="E2666">
        <v>3.1719989717905878E-3</v>
      </c>
      <c r="F2666">
        <f t="shared" si="88"/>
        <v>-1.6809664390151684E-2</v>
      </c>
      <c r="G2666">
        <f t="shared" si="89"/>
        <v>-2.5885090761034821E-2</v>
      </c>
    </row>
    <row r="2667" spans="1:7" x14ac:dyDescent="0.35">
      <c r="A2667" t="s">
        <v>143</v>
      </c>
      <c r="E2667">
        <v>1.279782473647569E-3</v>
      </c>
      <c r="F2667">
        <f t="shared" si="88"/>
        <v>-1.6820190633545968E-2</v>
      </c>
      <c r="G2667">
        <f t="shared" si="89"/>
        <v>-2.5885090761034821E-2</v>
      </c>
    </row>
    <row r="2668" spans="1:7" x14ac:dyDescent="0.35">
      <c r="A2668" t="s">
        <v>143</v>
      </c>
      <c r="E2668">
        <v>-6.9053618696599366E-3</v>
      </c>
      <c r="F2668">
        <f t="shared" si="88"/>
        <v>-1.6830716876940256E-2</v>
      </c>
      <c r="G2668">
        <f t="shared" si="89"/>
        <v>-2.5885090761034821E-2</v>
      </c>
    </row>
    <row r="2669" spans="1:7" x14ac:dyDescent="0.35">
      <c r="A2669" t="s">
        <v>143</v>
      </c>
      <c r="E2669">
        <v>-1.2242508421079512E-2</v>
      </c>
      <c r="F2669">
        <f t="shared" si="88"/>
        <v>-1.684124312033454E-2</v>
      </c>
      <c r="G2669">
        <f t="shared" si="89"/>
        <v>-2.5885090761034821E-2</v>
      </c>
    </row>
    <row r="2670" spans="1:7" x14ac:dyDescent="0.35">
      <c r="A2670" t="s">
        <v>143</v>
      </c>
      <c r="E2670">
        <v>-3.8108154367996784E-2</v>
      </c>
      <c r="F2670">
        <f t="shared" si="88"/>
        <v>-1.6851769363728824E-2</v>
      </c>
      <c r="G2670">
        <f t="shared" si="89"/>
        <v>-2.5885090761034821E-2</v>
      </c>
    </row>
    <row r="2671" spans="1:7" x14ac:dyDescent="0.35">
      <c r="A2671" t="s">
        <v>143</v>
      </c>
      <c r="E2671">
        <v>-4.0146924558178585E-3</v>
      </c>
      <c r="F2671">
        <f t="shared" si="88"/>
        <v>-1.6513650757252252E-2</v>
      </c>
      <c r="G2671">
        <f t="shared" si="89"/>
        <v>-2.5510325016504808E-2</v>
      </c>
    </row>
    <row r="2672" spans="1:7" x14ac:dyDescent="0.35">
      <c r="A2672" t="s">
        <v>143</v>
      </c>
      <c r="E2672">
        <v>6.1451248720432831E-3</v>
      </c>
      <c r="F2672">
        <f t="shared" si="88"/>
        <v>-1.6539523665311553E-2</v>
      </c>
      <c r="G2672">
        <f t="shared" si="89"/>
        <v>-2.5510325016504808E-2</v>
      </c>
    </row>
    <row r="2673" spans="1:7" x14ac:dyDescent="0.35">
      <c r="A2673" t="s">
        <v>143</v>
      </c>
      <c r="E2673">
        <v>-8.2887034541667907E-3</v>
      </c>
      <c r="F2673">
        <f t="shared" si="88"/>
        <v>-1.6565396573370857E-2</v>
      </c>
      <c r="G2673">
        <f t="shared" si="89"/>
        <v>-2.5510325016504808E-2</v>
      </c>
    </row>
    <row r="2674" spans="1:7" x14ac:dyDescent="0.35">
      <c r="A2674" t="s">
        <v>143</v>
      </c>
      <c r="E2674">
        <v>-6.9446186723079789E-3</v>
      </c>
      <c r="F2674">
        <f t="shared" si="88"/>
        <v>-1.6591269481430158E-2</v>
      </c>
      <c r="G2674">
        <f t="shared" si="89"/>
        <v>-2.5510325016504808E-2</v>
      </c>
    </row>
    <row r="2675" spans="1:7" x14ac:dyDescent="0.35">
      <c r="A2675" t="s">
        <v>143</v>
      </c>
      <c r="E2675">
        <v>2.3736794121447094E-2</v>
      </c>
      <c r="F2675">
        <f t="shared" si="88"/>
        <v>-1.6617142389489463E-2</v>
      </c>
      <c r="G2675">
        <f t="shared" si="89"/>
        <v>-2.5510325016504808E-2</v>
      </c>
    </row>
    <row r="2676" spans="1:7" x14ac:dyDescent="0.35">
      <c r="A2676" t="s">
        <v>143</v>
      </c>
      <c r="E2676">
        <v>-2.3151651523682388E-3</v>
      </c>
      <c r="F2676">
        <f t="shared" si="88"/>
        <v>-1.6643015297548764E-2</v>
      </c>
      <c r="G2676">
        <f t="shared" si="89"/>
        <v>-2.5510325016504808E-2</v>
      </c>
    </row>
    <row r="2677" spans="1:7" x14ac:dyDescent="0.35">
      <c r="A2677" t="s">
        <v>143</v>
      </c>
      <c r="E2677">
        <v>-5.9426193849623178E-3</v>
      </c>
      <c r="F2677">
        <f t="shared" si="88"/>
        <v>-1.6668888205608065E-2</v>
      </c>
      <c r="G2677">
        <f t="shared" si="89"/>
        <v>-2.5510325016504808E-2</v>
      </c>
    </row>
    <row r="2678" spans="1:7" x14ac:dyDescent="0.35">
      <c r="A2678" t="s">
        <v>144</v>
      </c>
      <c r="B2678" s="3" cm="1">
        <f t="array" ref="B2678">_xlfn.STDEV.S(_xlfn._xlws.FILTER($E$2013:$E$3011, $A$2013:$A$3011="2020-10"))</f>
        <v>1.2670181357773628E-2</v>
      </c>
      <c r="C2678" s="3" cm="1">
        <f t="array" ref="C2678">AVERAGE(_xlfn._xlws.FILTER($E$2013:$E$3011, $A$2013:$A$3011="2020-10"))</f>
        <v>-2.024044679108823E-3</v>
      </c>
      <c r="D2678" s="3" cm="1">
        <f t="array" ref="D2678">_xlfn.PERCENTILE.EXC(_xlfn._xlws.FILTER($E$2490:$E$3818, $A$2490:$A$3818="2020-10"), 0.05)</f>
        <v>-3.2358472717817222E-2</v>
      </c>
      <c r="E2678">
        <v>4.2794233668841742E-3</v>
      </c>
      <c r="F2678">
        <f t="shared" si="88"/>
        <v>-1.669476111366737E-2</v>
      </c>
      <c r="G2678">
        <f t="shared" si="89"/>
        <v>-2.5510325016504808E-2</v>
      </c>
    </row>
    <row r="2679" spans="1:7" x14ac:dyDescent="0.35">
      <c r="A2679" t="s">
        <v>144</v>
      </c>
      <c r="E2679">
        <v>1.7411275088244043E-4</v>
      </c>
      <c r="F2679">
        <f t="shared" si="88"/>
        <v>-1.6720634021726671E-2</v>
      </c>
      <c r="G2679">
        <f t="shared" si="89"/>
        <v>-2.5510325016504808E-2</v>
      </c>
    </row>
    <row r="2680" spans="1:7" x14ac:dyDescent="0.35">
      <c r="A2680" t="s">
        <v>144</v>
      </c>
      <c r="E2680">
        <v>9.6919829492152186E-3</v>
      </c>
      <c r="F2680">
        <f t="shared" si="88"/>
        <v>-1.6746506929785975E-2</v>
      </c>
      <c r="G2680">
        <f t="shared" si="89"/>
        <v>-2.5510325016504808E-2</v>
      </c>
    </row>
    <row r="2681" spans="1:7" x14ac:dyDescent="0.35">
      <c r="A2681" t="s">
        <v>144</v>
      </c>
      <c r="E2681">
        <v>4.8303980449664469E-3</v>
      </c>
      <c r="F2681">
        <f t="shared" si="88"/>
        <v>-1.6757033173180259E-2</v>
      </c>
      <c r="G2681">
        <f t="shared" si="89"/>
        <v>-2.5666821768053356E-2</v>
      </c>
    </row>
    <row r="2682" spans="1:7" x14ac:dyDescent="0.35">
      <c r="A2682" t="s">
        <v>144</v>
      </c>
      <c r="E2682">
        <v>-2.7532730387661384E-3</v>
      </c>
      <c r="F2682">
        <f t="shared" si="88"/>
        <v>-1.6767559416574544E-2</v>
      </c>
      <c r="G2682">
        <f t="shared" si="89"/>
        <v>-2.5666821768053356E-2</v>
      </c>
    </row>
    <row r="2683" spans="1:7" x14ac:dyDescent="0.35">
      <c r="A2683" t="s">
        <v>144</v>
      </c>
      <c r="E2683">
        <v>6.1140038157561291E-3</v>
      </c>
      <c r="F2683">
        <f t="shared" si="88"/>
        <v>-1.6778085659968831E-2</v>
      </c>
      <c r="G2683">
        <f t="shared" si="89"/>
        <v>-2.5666821768053356E-2</v>
      </c>
    </row>
    <row r="2684" spans="1:7" x14ac:dyDescent="0.35">
      <c r="A2684" t="s">
        <v>144</v>
      </c>
      <c r="E2684">
        <v>7.0739486060515241E-3</v>
      </c>
      <c r="F2684">
        <f t="shared" si="88"/>
        <v>-1.6788611903363115E-2</v>
      </c>
      <c r="G2684">
        <f t="shared" si="89"/>
        <v>-2.5666821768053356E-2</v>
      </c>
    </row>
    <row r="2685" spans="1:7" x14ac:dyDescent="0.35">
      <c r="A2685" t="s">
        <v>144</v>
      </c>
      <c r="E2685">
        <v>6.5443861987524703E-3</v>
      </c>
      <c r="F2685">
        <f t="shared" si="88"/>
        <v>-1.67991381467574E-2</v>
      </c>
      <c r="G2685">
        <f t="shared" si="89"/>
        <v>-2.5666821768053356E-2</v>
      </c>
    </row>
    <row r="2686" spans="1:7" x14ac:dyDescent="0.35">
      <c r="A2686" t="s">
        <v>144</v>
      </c>
      <c r="E2686">
        <v>-6.382678892666336E-3</v>
      </c>
      <c r="F2686">
        <f t="shared" si="88"/>
        <v>-1.6809664390151684E-2</v>
      </c>
      <c r="G2686">
        <f t="shared" si="89"/>
        <v>-2.5666821768053356E-2</v>
      </c>
    </row>
    <row r="2687" spans="1:7" x14ac:dyDescent="0.35">
      <c r="A2687" t="s">
        <v>144</v>
      </c>
      <c r="E2687">
        <v>-1.2033245564053465E-3</v>
      </c>
      <c r="F2687">
        <f t="shared" si="88"/>
        <v>-1.6820190633545968E-2</v>
      </c>
      <c r="G2687">
        <f t="shared" si="89"/>
        <v>-2.5666821768053356E-2</v>
      </c>
    </row>
    <row r="2688" spans="1:7" x14ac:dyDescent="0.35">
      <c r="A2688" t="s">
        <v>144</v>
      </c>
      <c r="E2688">
        <v>-2.1319786390802294E-2</v>
      </c>
      <c r="F2688">
        <f t="shared" si="88"/>
        <v>-1.6830716876940256E-2</v>
      </c>
      <c r="G2688">
        <f t="shared" si="89"/>
        <v>-2.5666821768053356E-2</v>
      </c>
    </row>
    <row r="2689" spans="1:7" x14ac:dyDescent="0.35">
      <c r="A2689" t="s">
        <v>144</v>
      </c>
      <c r="E2689">
        <v>2.0145402402391592E-2</v>
      </c>
      <c r="F2689">
        <f t="shared" si="88"/>
        <v>-1.6461904941133643E-2</v>
      </c>
      <c r="G2689">
        <f t="shared" si="89"/>
        <v>-2.5585156063392352E-2</v>
      </c>
    </row>
    <row r="2690" spans="1:7" x14ac:dyDescent="0.35">
      <c r="A2690" t="s">
        <v>144</v>
      </c>
      <c r="E2690">
        <v>1.3686318249791238E-3</v>
      </c>
      <c r="F2690">
        <f t="shared" si="88"/>
        <v>-1.6487777849192947E-2</v>
      </c>
      <c r="G2690">
        <f t="shared" si="89"/>
        <v>-2.5585156063392352E-2</v>
      </c>
    </row>
    <row r="2691" spans="1:7" x14ac:dyDescent="0.35">
      <c r="A2691" t="s">
        <v>144</v>
      </c>
      <c r="E2691">
        <v>-2.7026222145276973E-3</v>
      </c>
      <c r="F2691">
        <f t="shared" si="88"/>
        <v>-1.6513650757252252E-2</v>
      </c>
      <c r="G2691">
        <f t="shared" si="89"/>
        <v>-2.5585156063392352E-2</v>
      </c>
    </row>
    <row r="2692" spans="1:7" x14ac:dyDescent="0.35">
      <c r="A2692" t="s">
        <v>144</v>
      </c>
      <c r="E2692">
        <v>-1.5400126295800854E-2</v>
      </c>
      <c r="F2692">
        <f t="shared" ref="F2692:F2755" si="90">_xlfn.PERCENTILE.EXC(E2692:E6507,0.05)</f>
        <v>-1.6539523665311553E-2</v>
      </c>
      <c r="G2692">
        <f t="shared" ref="G2692:G2755" si="91">AVERAGEIFS(E2692:E6508,E2692:E6508,"&lt;=" &amp; F2692)</f>
        <v>-2.5585156063392352E-2</v>
      </c>
    </row>
    <row r="2693" spans="1:7" x14ac:dyDescent="0.35">
      <c r="A2693" t="s">
        <v>144</v>
      </c>
      <c r="E2693">
        <v>-5.2960590934461225E-4</v>
      </c>
      <c r="F2693">
        <f t="shared" si="90"/>
        <v>-1.6565396573370857E-2</v>
      </c>
      <c r="G2693">
        <f t="shared" si="91"/>
        <v>-2.5585156063392352E-2</v>
      </c>
    </row>
    <row r="2694" spans="1:7" x14ac:dyDescent="0.35">
      <c r="A2694" t="s">
        <v>144</v>
      </c>
      <c r="E2694">
        <v>1.1937418803651744E-2</v>
      </c>
      <c r="F2694">
        <f t="shared" si="90"/>
        <v>-1.6591269481430158E-2</v>
      </c>
      <c r="G2694">
        <f t="shared" si="91"/>
        <v>-2.5585156063392352E-2</v>
      </c>
    </row>
    <row r="2695" spans="1:7" x14ac:dyDescent="0.35">
      <c r="A2695" t="s">
        <v>144</v>
      </c>
      <c r="E2695">
        <v>-1.923199472318415E-2</v>
      </c>
      <c r="F2695">
        <f t="shared" si="90"/>
        <v>-1.6617142389489463E-2</v>
      </c>
      <c r="G2695">
        <f t="shared" si="91"/>
        <v>-2.5585156063392352E-2</v>
      </c>
    </row>
    <row r="2696" spans="1:7" x14ac:dyDescent="0.35">
      <c r="A2696" t="s">
        <v>144</v>
      </c>
      <c r="E2696">
        <v>-1.7903896986143461E-2</v>
      </c>
      <c r="F2696">
        <f t="shared" si="90"/>
        <v>-1.6228955640122396E-2</v>
      </c>
      <c r="G2696">
        <f t="shared" si="91"/>
        <v>-2.5531532028489061E-2</v>
      </c>
    </row>
    <row r="2697" spans="1:7" x14ac:dyDescent="0.35">
      <c r="A2697" t="s">
        <v>144</v>
      </c>
      <c r="E2697">
        <v>-3.4306476187290449E-2</v>
      </c>
      <c r="F2697">
        <f t="shared" si="90"/>
        <v>-1.6205330542716907E-2</v>
      </c>
      <c r="G2697">
        <f t="shared" si="91"/>
        <v>-2.550161570956172E-2</v>
      </c>
    </row>
    <row r="2698" spans="1:7" x14ac:dyDescent="0.35">
      <c r="A2698" t="s">
        <v>144</v>
      </c>
      <c r="E2698">
        <v>-3.1725923299015058E-4</v>
      </c>
      <c r="F2698">
        <f t="shared" si="90"/>
        <v>-1.6062622870983468E-2</v>
      </c>
      <c r="G2698">
        <f t="shared" si="91"/>
        <v>-2.5176028025912064E-2</v>
      </c>
    </row>
    <row r="2699" spans="1:7" x14ac:dyDescent="0.35">
      <c r="A2699" t="s">
        <v>144</v>
      </c>
      <c r="E2699">
        <v>5.3623527239965128E-3</v>
      </c>
      <c r="F2699">
        <f t="shared" si="90"/>
        <v>-1.6068094386946591E-2</v>
      </c>
      <c r="G2699">
        <f t="shared" si="91"/>
        <v>-2.5176028025912064E-2</v>
      </c>
    </row>
    <row r="2700" spans="1:7" x14ac:dyDescent="0.35">
      <c r="A2700" t="s">
        <v>145</v>
      </c>
      <c r="B2700" s="3" cm="1">
        <f t="array" ref="B2700">_xlfn.STDEV.S(_xlfn._xlws.FILTER($E$2013:$E$3011, $A$2013:$A$3011="2020-11"))</f>
        <v>1.8384071157985484E-2</v>
      </c>
      <c r="C2700" s="3" cm="1">
        <f t="array" ref="C2700">AVERAGE(_xlfn._xlws.FILTER($E$2013:$E$3011, $A$2013:$A$3011="2020-11"))</f>
        <v>8.7291333174120272E-3</v>
      </c>
      <c r="D2700" s="3" cm="1">
        <f t="array" ref="D2700">_xlfn.PERCENTILE.EXC(_xlfn._xlws.FILTER($E$2490:$E$3818, $A$2490:$A$3818="2020-11"), 0.05)</f>
        <v>-1.5196326846536313E-2</v>
      </c>
      <c r="E2700">
        <v>2.0872278326655107E-2</v>
      </c>
      <c r="F2700">
        <f t="shared" si="90"/>
        <v>-1.6073565902909717E-2</v>
      </c>
      <c r="G2700">
        <f t="shared" si="91"/>
        <v>-2.5176028025912064E-2</v>
      </c>
    </row>
    <row r="2701" spans="1:7" x14ac:dyDescent="0.35">
      <c r="A2701" t="s">
        <v>145</v>
      </c>
      <c r="E2701">
        <v>2.4108362173412414E-2</v>
      </c>
      <c r="F2701">
        <f t="shared" si="90"/>
        <v>-1.6081316764074847E-2</v>
      </c>
      <c r="G2701">
        <f t="shared" si="91"/>
        <v>-2.5341527337239381E-2</v>
      </c>
    </row>
    <row r="2702" spans="1:7" x14ac:dyDescent="0.35">
      <c r="A2702" t="s">
        <v>145</v>
      </c>
      <c r="E2702">
        <v>2.4103645628526137E-2</v>
      </c>
      <c r="F2702">
        <f t="shared" si="90"/>
        <v>-1.6089067625239973E-2</v>
      </c>
      <c r="G2702">
        <f t="shared" si="91"/>
        <v>-2.5341527337239381E-2</v>
      </c>
    </row>
    <row r="2703" spans="1:7" x14ac:dyDescent="0.35">
      <c r="A2703" t="s">
        <v>145</v>
      </c>
      <c r="E2703">
        <v>1.2343143976807709E-2</v>
      </c>
      <c r="F2703">
        <f t="shared" si="90"/>
        <v>-1.6096818486405103E-2</v>
      </c>
      <c r="G2703">
        <f t="shared" si="91"/>
        <v>-2.5341527337239381E-2</v>
      </c>
    </row>
    <row r="2704" spans="1:7" x14ac:dyDescent="0.35">
      <c r="A2704" t="s">
        <v>145</v>
      </c>
      <c r="E2704">
        <v>-4.6476307078708902E-3</v>
      </c>
      <c r="F2704">
        <f t="shared" si="90"/>
        <v>-1.6104569347570232E-2</v>
      </c>
      <c r="G2704">
        <f t="shared" si="91"/>
        <v>-2.5341527337239381E-2</v>
      </c>
    </row>
    <row r="2705" spans="1:7" x14ac:dyDescent="0.35">
      <c r="A2705" t="s">
        <v>145</v>
      </c>
      <c r="E2705">
        <v>7.2953132475463048E-2</v>
      </c>
      <c r="F2705">
        <f t="shared" si="90"/>
        <v>-1.6112320208735362E-2</v>
      </c>
      <c r="G2705">
        <f t="shared" si="91"/>
        <v>-2.5341527337239381E-2</v>
      </c>
    </row>
    <row r="2706" spans="1:7" x14ac:dyDescent="0.35">
      <c r="A2706" t="s">
        <v>145</v>
      </c>
      <c r="E2706">
        <v>1.5369483661700505E-2</v>
      </c>
      <c r="F2706">
        <f t="shared" si="90"/>
        <v>-1.6120071069900491E-2</v>
      </c>
      <c r="G2706">
        <f t="shared" si="91"/>
        <v>-2.5341527337239381E-2</v>
      </c>
    </row>
    <row r="2707" spans="1:7" x14ac:dyDescent="0.35">
      <c r="A2707" t="s">
        <v>145</v>
      </c>
      <c r="E2707">
        <v>4.8305626424440347E-3</v>
      </c>
      <c r="F2707">
        <f t="shared" si="90"/>
        <v>-1.6127821931065617E-2</v>
      </c>
      <c r="G2707">
        <f t="shared" si="91"/>
        <v>-2.5341527337239381E-2</v>
      </c>
    </row>
    <row r="2708" spans="1:7" x14ac:dyDescent="0.35">
      <c r="A2708" t="s">
        <v>145</v>
      </c>
      <c r="E2708">
        <v>-1.5292985352338882E-2</v>
      </c>
      <c r="F2708">
        <f t="shared" si="90"/>
        <v>-1.6135572792230747E-2</v>
      </c>
      <c r="G2708">
        <f t="shared" si="91"/>
        <v>-2.5341527337239381E-2</v>
      </c>
    </row>
    <row r="2709" spans="1:7" x14ac:dyDescent="0.35">
      <c r="A2709" t="s">
        <v>145</v>
      </c>
      <c r="E2709">
        <v>3.2747757264349866E-3</v>
      </c>
      <c r="F2709">
        <f t="shared" si="90"/>
        <v>-1.6143323653395877E-2</v>
      </c>
      <c r="G2709">
        <f t="shared" si="91"/>
        <v>-2.5341527337239381E-2</v>
      </c>
    </row>
    <row r="2710" spans="1:7" x14ac:dyDescent="0.35">
      <c r="A2710" t="s">
        <v>145</v>
      </c>
      <c r="E2710">
        <v>1.6831033056492514E-2</v>
      </c>
      <c r="F2710">
        <f t="shared" si="90"/>
        <v>-1.6151074514561006E-2</v>
      </c>
      <c r="G2710">
        <f t="shared" si="91"/>
        <v>-2.5341527337239381E-2</v>
      </c>
    </row>
    <row r="2711" spans="1:7" x14ac:dyDescent="0.35">
      <c r="A2711" t="s">
        <v>145</v>
      </c>
      <c r="E2711">
        <v>2.1032498569926242E-3</v>
      </c>
      <c r="F2711">
        <f t="shared" si="90"/>
        <v>-1.6158825375726136E-2</v>
      </c>
      <c r="G2711">
        <f t="shared" si="91"/>
        <v>-2.5341527337239381E-2</v>
      </c>
    </row>
    <row r="2712" spans="1:7" x14ac:dyDescent="0.35">
      <c r="A2712" t="s">
        <v>145</v>
      </c>
      <c r="E2712">
        <v>5.1753500176831852E-3</v>
      </c>
      <c r="F2712">
        <f t="shared" si="90"/>
        <v>-1.6166576236891262E-2</v>
      </c>
      <c r="G2712">
        <f t="shared" si="91"/>
        <v>-2.5341527337239381E-2</v>
      </c>
    </row>
    <row r="2713" spans="1:7" x14ac:dyDescent="0.35">
      <c r="A2713" t="s">
        <v>145</v>
      </c>
      <c r="E2713">
        <v>-6.6975731219644265E-3</v>
      </c>
      <c r="F2713">
        <f t="shared" si="90"/>
        <v>-1.6174327098056392E-2</v>
      </c>
      <c r="G2713">
        <f t="shared" si="91"/>
        <v>-2.5341527337239381E-2</v>
      </c>
    </row>
    <row r="2714" spans="1:7" x14ac:dyDescent="0.35">
      <c r="A2714" t="s">
        <v>145</v>
      </c>
      <c r="E2714">
        <v>3.8703668460832231E-3</v>
      </c>
      <c r="F2714">
        <f t="shared" si="90"/>
        <v>-1.6182077959221521E-2</v>
      </c>
      <c r="G2714">
        <f t="shared" si="91"/>
        <v>-2.5341527337239381E-2</v>
      </c>
    </row>
    <row r="2715" spans="1:7" x14ac:dyDescent="0.35">
      <c r="A2715" t="s">
        <v>145</v>
      </c>
      <c r="E2715">
        <v>-6.8074017648810537E-4</v>
      </c>
      <c r="F2715">
        <f t="shared" si="90"/>
        <v>-1.6189828820386651E-2</v>
      </c>
      <c r="G2715">
        <f t="shared" si="91"/>
        <v>-2.5341527337239381E-2</v>
      </c>
    </row>
    <row r="2716" spans="1:7" x14ac:dyDescent="0.35">
      <c r="A2716" t="s">
        <v>145</v>
      </c>
      <c r="E2716">
        <v>1.1994095228693175E-2</v>
      </c>
      <c r="F2716">
        <f t="shared" si="90"/>
        <v>-1.619757968155178E-2</v>
      </c>
      <c r="G2716">
        <f t="shared" si="91"/>
        <v>-2.5341527337239381E-2</v>
      </c>
    </row>
    <row r="2717" spans="1:7" x14ac:dyDescent="0.35">
      <c r="A2717" t="s">
        <v>145</v>
      </c>
      <c r="E2717">
        <v>2.3127297542344539E-3</v>
      </c>
      <c r="F2717">
        <f t="shared" si="90"/>
        <v>-1.6205330542716907E-2</v>
      </c>
      <c r="G2717">
        <f t="shared" si="91"/>
        <v>-2.5341527337239381E-2</v>
      </c>
    </row>
    <row r="2718" spans="1:7" x14ac:dyDescent="0.35">
      <c r="A2718" t="s">
        <v>145</v>
      </c>
      <c r="E2718">
        <v>-8.0803877236422907E-4</v>
      </c>
      <c r="F2718">
        <f t="shared" si="90"/>
        <v>-1.6213081403882036E-2</v>
      </c>
      <c r="G2718">
        <f t="shared" si="91"/>
        <v>-2.5341527337239381E-2</v>
      </c>
    </row>
    <row r="2719" spans="1:7" x14ac:dyDescent="0.35">
      <c r="A2719" t="s">
        <v>145</v>
      </c>
      <c r="E2719">
        <v>5.6229587193691831E-3</v>
      </c>
      <c r="F2719">
        <f t="shared" si="90"/>
        <v>-1.6220832265047166E-2</v>
      </c>
      <c r="G2719">
        <f t="shared" si="91"/>
        <v>-2.5341527337239381E-2</v>
      </c>
    </row>
    <row r="2720" spans="1:7" x14ac:dyDescent="0.35">
      <c r="A2720" t="s">
        <v>145</v>
      </c>
      <c r="E2720">
        <v>-1.4326400294313183E-2</v>
      </c>
      <c r="F2720">
        <f t="shared" si="90"/>
        <v>-1.6228583126212295E-2</v>
      </c>
      <c r="G2720">
        <f t="shared" si="91"/>
        <v>-2.5341527337239381E-2</v>
      </c>
    </row>
    <row r="2721" spans="1:7" x14ac:dyDescent="0.35">
      <c r="A2721" t="s">
        <v>146</v>
      </c>
      <c r="B2721" s="3" cm="1">
        <f t="array" ref="B2721">_xlfn.STDEV.S(_xlfn._xlws.FILTER($E$2013:$E$3011, $A$2013:$A$3011="2020-12"))</f>
        <v>8.988584443538214E-3</v>
      </c>
      <c r="C2721" s="3" cm="1">
        <f t="array" ref="C2721">AVERAGE(_xlfn._xlws.FILTER($E$2013:$E$3011, $A$2013:$A$3011="2020-12"))</f>
        <v>7.6558370657622344E-4</v>
      </c>
      <c r="D2721" s="3" cm="1">
        <f t="array" ref="D2721">_xlfn.PERCENTILE.EXC(_xlfn._xlws.FILTER($E$2490:$E$3818, $A$2490:$A$3818="2020-12"), 0.05)</f>
        <v>-2.4632283431022903E-2</v>
      </c>
      <c r="E2721">
        <v>1.1367495398264886E-2</v>
      </c>
      <c r="F2721">
        <f t="shared" si="90"/>
        <v>-1.6228606408331677E-2</v>
      </c>
      <c r="G2721">
        <f t="shared" si="91"/>
        <v>-2.5510285563369508E-2</v>
      </c>
    </row>
    <row r="2722" spans="1:7" x14ac:dyDescent="0.35">
      <c r="A2722" t="s">
        <v>146</v>
      </c>
      <c r="E2722">
        <v>2.4541745722004253E-4</v>
      </c>
      <c r="F2722">
        <f t="shared" si="90"/>
        <v>-1.6228629690451059E-2</v>
      </c>
      <c r="G2722">
        <f t="shared" si="91"/>
        <v>-2.5510285563369508E-2</v>
      </c>
    </row>
    <row r="2723" spans="1:7" x14ac:dyDescent="0.35">
      <c r="A2723" t="s">
        <v>146</v>
      </c>
      <c r="E2723">
        <v>-1.5505449282438731E-3</v>
      </c>
      <c r="F2723">
        <f t="shared" si="90"/>
        <v>-1.6228652972570441E-2</v>
      </c>
      <c r="G2723">
        <f t="shared" si="91"/>
        <v>-2.5510285563369508E-2</v>
      </c>
    </row>
    <row r="2724" spans="1:7" x14ac:dyDescent="0.35">
      <c r="A2724" t="s">
        <v>146</v>
      </c>
      <c r="E2724">
        <v>6.2216803534235407E-3</v>
      </c>
      <c r="F2724">
        <f t="shared" si="90"/>
        <v>-1.6228676254689822E-2</v>
      </c>
      <c r="G2724">
        <f t="shared" si="91"/>
        <v>-2.5510285563369508E-2</v>
      </c>
    </row>
    <row r="2725" spans="1:7" x14ac:dyDescent="0.35">
      <c r="A2725" t="s">
        <v>146</v>
      </c>
      <c r="E2725">
        <v>-6.3975007443771272E-3</v>
      </c>
      <c r="F2725">
        <f t="shared" si="90"/>
        <v>-1.62286995368092E-2</v>
      </c>
      <c r="G2725">
        <f t="shared" si="91"/>
        <v>-2.5510285563369508E-2</v>
      </c>
    </row>
    <row r="2726" spans="1:7" x14ac:dyDescent="0.35">
      <c r="A2726" t="s">
        <v>146</v>
      </c>
      <c r="E2726">
        <v>-2.2830875594942834E-3</v>
      </c>
      <c r="F2726">
        <f t="shared" si="90"/>
        <v>-1.6228722818928582E-2</v>
      </c>
      <c r="G2726">
        <f t="shared" si="91"/>
        <v>-2.5510285563369508E-2</v>
      </c>
    </row>
    <row r="2727" spans="1:7" x14ac:dyDescent="0.35">
      <c r="A2727" t="s">
        <v>146</v>
      </c>
      <c r="E2727">
        <v>-2.4938140260107634E-3</v>
      </c>
      <c r="F2727">
        <f t="shared" si="90"/>
        <v>-1.6228746101047964E-2</v>
      </c>
      <c r="G2727">
        <f t="shared" si="91"/>
        <v>-2.5510285563369508E-2</v>
      </c>
    </row>
    <row r="2728" spans="1:7" x14ac:dyDescent="0.35">
      <c r="A2728" t="s">
        <v>146</v>
      </c>
      <c r="E2728">
        <v>5.1007213309419276E-4</v>
      </c>
      <c r="F2728">
        <f t="shared" si="90"/>
        <v>-1.6228769383167346E-2</v>
      </c>
      <c r="G2728">
        <f t="shared" si="91"/>
        <v>-2.5510285563369508E-2</v>
      </c>
    </row>
    <row r="2729" spans="1:7" x14ac:dyDescent="0.35">
      <c r="A2729" t="s">
        <v>146</v>
      </c>
      <c r="E2729">
        <v>-7.6149845242916032E-3</v>
      </c>
      <c r="F2729">
        <f t="shared" si="90"/>
        <v>-1.6228792665286727E-2</v>
      </c>
      <c r="G2729">
        <f t="shared" si="91"/>
        <v>-2.5510285563369508E-2</v>
      </c>
    </row>
    <row r="2730" spans="1:7" x14ac:dyDescent="0.35">
      <c r="A2730" t="s">
        <v>146</v>
      </c>
      <c r="E2730">
        <v>3.6772643040082725E-3</v>
      </c>
      <c r="F2730">
        <f t="shared" si="90"/>
        <v>-1.6228815947406109E-2</v>
      </c>
      <c r="G2730">
        <f t="shared" si="91"/>
        <v>-2.5510285563369508E-2</v>
      </c>
    </row>
    <row r="2731" spans="1:7" x14ac:dyDescent="0.35">
      <c r="A2731" t="s">
        <v>146</v>
      </c>
      <c r="E2731">
        <v>4.4672934280658226E-4</v>
      </c>
      <c r="F2731">
        <f t="shared" si="90"/>
        <v>-1.6228839229525491E-2</v>
      </c>
      <c r="G2731">
        <f t="shared" si="91"/>
        <v>-2.5510285563369508E-2</v>
      </c>
    </row>
    <row r="2732" spans="1:7" x14ac:dyDescent="0.35">
      <c r="A2732" t="s">
        <v>146</v>
      </c>
      <c r="E2732">
        <v>3.1359505171933387E-3</v>
      </c>
      <c r="F2732">
        <f t="shared" si="90"/>
        <v>-1.6228862511644872E-2</v>
      </c>
      <c r="G2732">
        <f t="shared" si="91"/>
        <v>-2.5510285563369508E-2</v>
      </c>
    </row>
    <row r="2733" spans="1:7" x14ac:dyDescent="0.35">
      <c r="A2733" t="s">
        <v>146</v>
      </c>
      <c r="E2733">
        <v>3.2080338091887461E-4</v>
      </c>
      <c r="F2733">
        <f t="shared" si="90"/>
        <v>-1.6228885793764254E-2</v>
      </c>
      <c r="G2733">
        <f t="shared" si="91"/>
        <v>-2.5510285563369508E-2</v>
      </c>
    </row>
    <row r="2734" spans="1:7" x14ac:dyDescent="0.35">
      <c r="A2734" t="s">
        <v>146</v>
      </c>
      <c r="E2734">
        <v>-3.9034832409187347E-3</v>
      </c>
      <c r="F2734">
        <f t="shared" si="90"/>
        <v>-1.6228909075883636E-2</v>
      </c>
      <c r="G2734">
        <f t="shared" si="91"/>
        <v>-2.5510285563369508E-2</v>
      </c>
    </row>
    <row r="2735" spans="1:7" x14ac:dyDescent="0.35">
      <c r="A2735" t="s">
        <v>146</v>
      </c>
      <c r="E2735">
        <v>-2.4632283431022903E-2</v>
      </c>
      <c r="F2735">
        <f t="shared" si="90"/>
        <v>-1.6228932358003018E-2</v>
      </c>
      <c r="G2735">
        <f t="shared" si="91"/>
        <v>-2.5510285563369508E-2</v>
      </c>
    </row>
    <row r="2736" spans="1:7" x14ac:dyDescent="0.35">
      <c r="A2736" t="s">
        <v>146</v>
      </c>
      <c r="E2736">
        <v>1.3539552334929365E-2</v>
      </c>
      <c r="F2736">
        <f t="shared" si="90"/>
        <v>-1.619757968155178E-2</v>
      </c>
      <c r="G2736">
        <f t="shared" si="91"/>
        <v>-2.5354661483650794E-2</v>
      </c>
    </row>
    <row r="2737" spans="1:7" x14ac:dyDescent="0.35">
      <c r="A2737" t="s">
        <v>146</v>
      </c>
      <c r="E2737">
        <v>1.1047504451803407E-2</v>
      </c>
      <c r="F2737">
        <f t="shared" si="90"/>
        <v>-1.6205330542716907E-2</v>
      </c>
      <c r="G2737">
        <f t="shared" si="91"/>
        <v>-2.5354661483650794E-2</v>
      </c>
    </row>
    <row r="2738" spans="1:7" x14ac:dyDescent="0.35">
      <c r="A2738" t="s">
        <v>146</v>
      </c>
      <c r="E2738">
        <v>1.5117825883245218E-2</v>
      </c>
      <c r="F2738">
        <f t="shared" si="90"/>
        <v>-1.6213081403882036E-2</v>
      </c>
      <c r="G2738">
        <f t="shared" si="91"/>
        <v>-2.5354661483650794E-2</v>
      </c>
    </row>
    <row r="2739" spans="1:7" x14ac:dyDescent="0.35">
      <c r="A2739" t="s">
        <v>146</v>
      </c>
      <c r="E2739">
        <v>-2.2085066776001902E-3</v>
      </c>
      <c r="F2739">
        <f t="shared" si="90"/>
        <v>-1.6220832265047166E-2</v>
      </c>
      <c r="G2739">
        <f t="shared" si="91"/>
        <v>-2.5354661483650794E-2</v>
      </c>
    </row>
    <row r="2740" spans="1:7" x14ac:dyDescent="0.35">
      <c r="A2740" t="s">
        <v>147</v>
      </c>
      <c r="B2740" s="3" cm="1">
        <f t="array" ref="B2740">_xlfn.STDEV.S(_xlfn._xlws.FILTER($E$2013:$E$3011, $A$2013:$A$3011="2021-01"))</f>
        <v>8.9105963461176552E-3</v>
      </c>
      <c r="C2740" s="3" cm="1">
        <f t="array" ref="C2740">AVERAGE(_xlfn._xlws.FILTER($E$2013:$E$3011, $A$2013:$A$3011="2021-01"))</f>
        <v>-1.8204294238103713E-3</v>
      </c>
      <c r="D2740" s="3" cm="1">
        <f t="array" ref="D2740">_xlfn.PERCENTILE.EXC(_xlfn._xlws.FILTER($E$2490:$E$3818, $A$2490:$A$3818="2021-01"), 0.05)</f>
        <v>-2.0176568681320516E-2</v>
      </c>
      <c r="E2740">
        <v>-1.8680117012119762E-3</v>
      </c>
      <c r="F2740">
        <f t="shared" si="90"/>
        <v>-1.6228583126212295E-2</v>
      </c>
      <c r="G2740">
        <f t="shared" si="91"/>
        <v>-2.5354661483650794E-2</v>
      </c>
    </row>
    <row r="2741" spans="1:7" x14ac:dyDescent="0.35">
      <c r="A2741" t="s">
        <v>147</v>
      </c>
      <c r="E2741">
        <v>-4.3681190101328548E-3</v>
      </c>
      <c r="F2741">
        <f t="shared" si="90"/>
        <v>-1.6228606408331677E-2</v>
      </c>
      <c r="G2741">
        <f t="shared" si="91"/>
        <v>-2.5526851641338305E-2</v>
      </c>
    </row>
    <row r="2742" spans="1:7" x14ac:dyDescent="0.35">
      <c r="A2742" t="s">
        <v>147</v>
      </c>
      <c r="E2742">
        <v>1.1790904072822617E-2</v>
      </c>
      <c r="F2742">
        <f t="shared" si="90"/>
        <v>-1.6228629690451059E-2</v>
      </c>
      <c r="G2742">
        <f t="shared" si="91"/>
        <v>-2.5526851641338305E-2</v>
      </c>
    </row>
    <row r="2743" spans="1:7" x14ac:dyDescent="0.35">
      <c r="A2743" t="s">
        <v>147</v>
      </c>
      <c r="E2743">
        <v>6.946653953994711E-3</v>
      </c>
      <c r="F2743">
        <f t="shared" si="90"/>
        <v>-1.6228652972570441E-2</v>
      </c>
      <c r="G2743">
        <f t="shared" si="91"/>
        <v>-2.5526851641338305E-2</v>
      </c>
    </row>
    <row r="2744" spans="1:7" x14ac:dyDescent="0.35">
      <c r="A2744" t="s">
        <v>147</v>
      </c>
      <c r="E2744">
        <v>6.5098021610574975E-3</v>
      </c>
      <c r="F2744">
        <f t="shared" si="90"/>
        <v>-1.6228676254689822E-2</v>
      </c>
      <c r="G2744">
        <f t="shared" si="91"/>
        <v>-2.5526851641338305E-2</v>
      </c>
    </row>
    <row r="2745" spans="1:7" x14ac:dyDescent="0.35">
      <c r="A2745" t="s">
        <v>147</v>
      </c>
      <c r="E2745">
        <v>-7.8193358224860655E-3</v>
      </c>
      <c r="F2745">
        <f t="shared" si="90"/>
        <v>-1.62286995368092E-2</v>
      </c>
      <c r="G2745">
        <f t="shared" si="91"/>
        <v>-2.5526851641338305E-2</v>
      </c>
    </row>
    <row r="2746" spans="1:7" x14ac:dyDescent="0.35">
      <c r="A2746" t="s">
        <v>147</v>
      </c>
      <c r="E2746">
        <v>-2.0259168631257644E-3</v>
      </c>
      <c r="F2746">
        <f t="shared" si="90"/>
        <v>-1.6228722818928582E-2</v>
      </c>
      <c r="G2746">
        <f t="shared" si="91"/>
        <v>-2.5526851641338305E-2</v>
      </c>
    </row>
    <row r="2747" spans="1:7" x14ac:dyDescent="0.35">
      <c r="A2747" t="s">
        <v>147</v>
      </c>
      <c r="E2747">
        <v>2.0683005948430983E-3</v>
      </c>
      <c r="F2747">
        <f t="shared" si="90"/>
        <v>-1.6228746101047964E-2</v>
      </c>
      <c r="G2747">
        <f t="shared" si="91"/>
        <v>-2.5526851641338305E-2</v>
      </c>
    </row>
    <row r="2748" spans="1:7" x14ac:dyDescent="0.35">
      <c r="A2748" t="s">
        <v>147</v>
      </c>
      <c r="E2748">
        <v>3.2564043864595034E-3</v>
      </c>
      <c r="F2748">
        <f t="shared" si="90"/>
        <v>-1.6228769383167346E-2</v>
      </c>
      <c r="G2748">
        <f t="shared" si="91"/>
        <v>-2.5526851641338305E-2</v>
      </c>
    </row>
    <row r="2749" spans="1:7" x14ac:dyDescent="0.35">
      <c r="A2749" t="s">
        <v>147</v>
      </c>
      <c r="E2749">
        <v>-1.2299994879572116E-2</v>
      </c>
      <c r="F2749">
        <f t="shared" si="90"/>
        <v>-1.6228792665286727E-2</v>
      </c>
      <c r="G2749">
        <f t="shared" si="91"/>
        <v>-2.5526851641338305E-2</v>
      </c>
    </row>
    <row r="2750" spans="1:7" x14ac:dyDescent="0.35">
      <c r="A2750" t="s">
        <v>147</v>
      </c>
      <c r="E2750">
        <v>9.9385881850262313E-4</v>
      </c>
      <c r="F2750">
        <f t="shared" si="90"/>
        <v>-1.6228815947406109E-2</v>
      </c>
      <c r="G2750">
        <f t="shared" si="91"/>
        <v>-2.5526851641338305E-2</v>
      </c>
    </row>
    <row r="2751" spans="1:7" x14ac:dyDescent="0.35">
      <c r="A2751" t="s">
        <v>147</v>
      </c>
      <c r="E2751">
        <v>-3.3274281138193982E-3</v>
      </c>
      <c r="F2751">
        <f t="shared" si="90"/>
        <v>-1.6228839229525491E-2</v>
      </c>
      <c r="G2751">
        <f t="shared" si="91"/>
        <v>-2.5526851641338305E-2</v>
      </c>
    </row>
    <row r="2752" spans="1:7" x14ac:dyDescent="0.35">
      <c r="A2752" t="s">
        <v>147</v>
      </c>
      <c r="E2752">
        <v>5.3139640770213407E-3</v>
      </c>
      <c r="F2752">
        <f t="shared" si="90"/>
        <v>-1.6228862511644872E-2</v>
      </c>
      <c r="G2752">
        <f t="shared" si="91"/>
        <v>-2.5526851641338305E-2</v>
      </c>
    </row>
    <row r="2753" spans="1:7" x14ac:dyDescent="0.35">
      <c r="A2753" t="s">
        <v>147</v>
      </c>
      <c r="E2753">
        <v>-6.7117157479182499E-3</v>
      </c>
      <c r="F2753">
        <f t="shared" si="90"/>
        <v>-1.6228885793764254E-2</v>
      </c>
      <c r="G2753">
        <f t="shared" si="91"/>
        <v>-2.5526851641338305E-2</v>
      </c>
    </row>
    <row r="2754" spans="1:7" x14ac:dyDescent="0.35">
      <c r="A2754" t="s">
        <v>147</v>
      </c>
      <c r="E2754">
        <v>-5.5998338319807597E-3</v>
      </c>
      <c r="F2754">
        <f t="shared" si="90"/>
        <v>-1.6228909075883636E-2</v>
      </c>
      <c r="G2754">
        <f t="shared" si="91"/>
        <v>-2.5526851641338305E-2</v>
      </c>
    </row>
    <row r="2755" spans="1:7" x14ac:dyDescent="0.35">
      <c r="A2755" t="s">
        <v>147</v>
      </c>
      <c r="E2755">
        <v>-1.5810799512346218E-2</v>
      </c>
      <c r="F2755">
        <f t="shared" si="90"/>
        <v>-1.6228932358003018E-2</v>
      </c>
      <c r="G2755">
        <f t="shared" si="91"/>
        <v>-2.5526851641338305E-2</v>
      </c>
    </row>
    <row r="2756" spans="1:7" x14ac:dyDescent="0.35">
      <c r="A2756" t="s">
        <v>147</v>
      </c>
      <c r="E2756">
        <v>9.3053705862865127E-3</v>
      </c>
      <c r="F2756">
        <f t="shared" ref="F2756:F2819" si="92">_xlfn.PERCENTILE.EXC(E2756:E6571,0.05)</f>
        <v>-1.6228955640122396E-2</v>
      </c>
      <c r="G2756">
        <f t="shared" ref="G2756:G2819" si="93">AVERAGEIFS(E2756:E6572,E2756:E6572,"&lt;=" &amp; F2756)</f>
        <v>-2.5526851641338305E-2</v>
      </c>
    </row>
    <row r="2757" spans="1:7" x14ac:dyDescent="0.35">
      <c r="A2757" t="s">
        <v>147</v>
      </c>
      <c r="E2757">
        <v>-1.1636147950959264E-2</v>
      </c>
      <c r="F2757">
        <f t="shared" si="92"/>
        <v>-1.6228978922241778E-2</v>
      </c>
      <c r="G2757">
        <f t="shared" si="93"/>
        <v>-2.5526851641338305E-2</v>
      </c>
    </row>
    <row r="2758" spans="1:7" x14ac:dyDescent="0.35">
      <c r="A2758" t="s">
        <v>147</v>
      </c>
      <c r="E2758">
        <v>9.2798023123607104E-3</v>
      </c>
      <c r="F2758">
        <f t="shared" si="92"/>
        <v>-1.6229002204361159E-2</v>
      </c>
      <c r="G2758">
        <f t="shared" si="93"/>
        <v>-2.5526851641338305E-2</v>
      </c>
    </row>
    <row r="2759" spans="1:7" x14ac:dyDescent="0.35">
      <c r="A2759" t="s">
        <v>147</v>
      </c>
      <c r="E2759">
        <v>-2.0406346006003374E-2</v>
      </c>
      <c r="F2759">
        <f t="shared" si="92"/>
        <v>-1.6229025486480541E-2</v>
      </c>
      <c r="G2759">
        <f t="shared" si="93"/>
        <v>-2.5526851641338305E-2</v>
      </c>
    </row>
    <row r="2760" spans="1:7" x14ac:dyDescent="0.35">
      <c r="A2760" t="s">
        <v>148</v>
      </c>
      <c r="B2760" s="3" cm="1">
        <f t="array" ref="B2760">_xlfn.STDEV.S(_xlfn._xlws.FILTER($E$2013:$E$3011, $A$2013:$A$3011="2021-02"))</f>
        <v>7.5495036804722826E-3</v>
      </c>
      <c r="C2760" s="3" cm="1">
        <f t="array" ref="C2760">AVERAGE(_xlfn._xlws.FILTER($E$2013:$E$3011, $A$2013:$A$3011="2021-02"))</f>
        <v>2.738914052337278E-3</v>
      </c>
      <c r="D2760" s="3" cm="1">
        <f t="array" ref="D2760">_xlfn.PERCENTILE.EXC(_xlfn._xlws.FILTER($E$2490:$E$3818, $A$2490:$A$3818="2021-02"), 0.05)</f>
        <v>-1.366960263420983E-2</v>
      </c>
      <c r="E2760">
        <v>1.1503788165350514E-2</v>
      </c>
      <c r="F2760">
        <f t="shared" si="92"/>
        <v>-1.6228583126212295E-2</v>
      </c>
      <c r="G2760">
        <f t="shared" si="93"/>
        <v>-2.5448025926625269E-2</v>
      </c>
    </row>
    <row r="2761" spans="1:7" x14ac:dyDescent="0.35">
      <c r="A2761" t="s">
        <v>148</v>
      </c>
      <c r="E2761">
        <v>1.8400869664232385E-2</v>
      </c>
      <c r="F2761">
        <f t="shared" si="92"/>
        <v>-1.6228606408331677E-2</v>
      </c>
      <c r="G2761">
        <f t="shared" si="93"/>
        <v>-2.5625322903556288E-2</v>
      </c>
    </row>
    <row r="2762" spans="1:7" x14ac:dyDescent="0.35">
      <c r="A2762" t="s">
        <v>148</v>
      </c>
      <c r="E2762">
        <v>-1.0785392264726133E-5</v>
      </c>
      <c r="F2762">
        <f t="shared" si="92"/>
        <v>-1.6228629690451059E-2</v>
      </c>
      <c r="G2762">
        <f t="shared" si="93"/>
        <v>-2.5625322903556288E-2</v>
      </c>
    </row>
    <row r="2763" spans="1:7" x14ac:dyDescent="0.35">
      <c r="A2763" t="s">
        <v>148</v>
      </c>
      <c r="E2763">
        <v>8.1439171005421654E-3</v>
      </c>
      <c r="F2763">
        <f t="shared" si="92"/>
        <v>-1.6228652972570441E-2</v>
      </c>
      <c r="G2763">
        <f t="shared" si="93"/>
        <v>-2.5625322903556288E-2</v>
      </c>
    </row>
    <row r="2764" spans="1:7" x14ac:dyDescent="0.35">
      <c r="A2764" t="s">
        <v>148</v>
      </c>
      <c r="E2764">
        <v>9.0027055086891183E-3</v>
      </c>
      <c r="F2764">
        <f t="shared" si="92"/>
        <v>-1.6228676254689822E-2</v>
      </c>
      <c r="G2764">
        <f t="shared" si="93"/>
        <v>-2.5625322903556288E-2</v>
      </c>
    </row>
    <row r="2765" spans="1:7" x14ac:dyDescent="0.35">
      <c r="A2765" t="s">
        <v>148</v>
      </c>
      <c r="E2765">
        <v>4.7191477135325238E-3</v>
      </c>
      <c r="F2765">
        <f t="shared" si="92"/>
        <v>-1.62286995368092E-2</v>
      </c>
      <c r="G2765">
        <f t="shared" si="93"/>
        <v>-2.5625322903556288E-2</v>
      </c>
    </row>
    <row r="2766" spans="1:7" x14ac:dyDescent="0.35">
      <c r="A2766" t="s">
        <v>148</v>
      </c>
      <c r="E2766">
        <v>9.6857245101707168E-4</v>
      </c>
      <c r="F2766">
        <f t="shared" si="92"/>
        <v>-1.6228722818928582E-2</v>
      </c>
      <c r="G2766">
        <f t="shared" si="93"/>
        <v>-2.5625322903556288E-2</v>
      </c>
    </row>
    <row r="2767" spans="1:7" x14ac:dyDescent="0.35">
      <c r="A2767" t="s">
        <v>148</v>
      </c>
      <c r="E2767">
        <v>-3.6506605213450696E-3</v>
      </c>
      <c r="F2767">
        <f t="shared" si="92"/>
        <v>-1.6228746101047964E-2</v>
      </c>
      <c r="G2767">
        <f t="shared" si="93"/>
        <v>-2.5625322903556288E-2</v>
      </c>
    </row>
    <row r="2768" spans="1:7" x14ac:dyDescent="0.35">
      <c r="A2768" t="s">
        <v>148</v>
      </c>
      <c r="E2768">
        <v>-1.72830057340741E-4</v>
      </c>
      <c r="F2768">
        <f t="shared" si="92"/>
        <v>-1.6228769383167346E-2</v>
      </c>
      <c r="G2768">
        <f t="shared" si="93"/>
        <v>-2.5625322903556288E-2</v>
      </c>
    </row>
    <row r="2769" spans="1:7" x14ac:dyDescent="0.35">
      <c r="A2769" t="s">
        <v>148</v>
      </c>
      <c r="E2769">
        <v>5.9524560969335871E-3</v>
      </c>
      <c r="F2769">
        <f t="shared" si="92"/>
        <v>-1.6228792665286727E-2</v>
      </c>
      <c r="G2769">
        <f t="shared" si="93"/>
        <v>-2.5625322903556288E-2</v>
      </c>
    </row>
    <row r="2770" spans="1:7" x14ac:dyDescent="0.35">
      <c r="A2770" t="s">
        <v>148</v>
      </c>
      <c r="E2770">
        <v>1.4374586062410903E-2</v>
      </c>
      <c r="F2770">
        <f t="shared" si="92"/>
        <v>-1.6228815947406109E-2</v>
      </c>
      <c r="G2770">
        <f t="shared" si="93"/>
        <v>-2.5625322903556288E-2</v>
      </c>
    </row>
    <row r="2771" spans="1:7" x14ac:dyDescent="0.35">
      <c r="A2771" t="s">
        <v>148</v>
      </c>
      <c r="E2771">
        <v>4.8389410332650386E-5</v>
      </c>
      <c r="F2771">
        <f t="shared" si="92"/>
        <v>-1.6228839229525491E-2</v>
      </c>
      <c r="G2771">
        <f t="shared" si="93"/>
        <v>-2.5625322903556288E-2</v>
      </c>
    </row>
    <row r="2772" spans="1:7" x14ac:dyDescent="0.35">
      <c r="A2772" t="s">
        <v>148</v>
      </c>
      <c r="E2772">
        <v>-3.5819528151744729E-3</v>
      </c>
      <c r="F2772">
        <f t="shared" si="92"/>
        <v>-1.6228862511644872E-2</v>
      </c>
      <c r="G2772">
        <f t="shared" si="93"/>
        <v>-2.5625322903556288E-2</v>
      </c>
    </row>
    <row r="2773" spans="1:7" x14ac:dyDescent="0.35">
      <c r="A2773" t="s">
        <v>148</v>
      </c>
      <c r="E2773">
        <v>-6.5268102278054144E-3</v>
      </c>
      <c r="F2773">
        <f t="shared" si="92"/>
        <v>-1.6228885793764254E-2</v>
      </c>
      <c r="G2773">
        <f t="shared" si="93"/>
        <v>-2.5625322903556288E-2</v>
      </c>
    </row>
    <row r="2774" spans="1:7" x14ac:dyDescent="0.35">
      <c r="A2774" t="s">
        <v>148</v>
      </c>
      <c r="E2774">
        <v>7.863102899653359E-3</v>
      </c>
      <c r="F2774">
        <f t="shared" si="92"/>
        <v>-1.6228909075883636E-2</v>
      </c>
      <c r="G2774">
        <f t="shared" si="93"/>
        <v>-2.5625322903556288E-2</v>
      </c>
    </row>
    <row r="2775" spans="1:7" x14ac:dyDescent="0.35">
      <c r="A2775" t="s">
        <v>148</v>
      </c>
      <c r="E2775">
        <v>-1.0588347396268368E-3</v>
      </c>
      <c r="F2775">
        <f t="shared" si="92"/>
        <v>-1.6228932358003018E-2</v>
      </c>
      <c r="G2775">
        <f t="shared" si="93"/>
        <v>-2.5625322903556288E-2</v>
      </c>
    </row>
    <row r="2776" spans="1:7" x14ac:dyDescent="0.35">
      <c r="A2776" t="s">
        <v>148</v>
      </c>
      <c r="E2776">
        <v>2.1476927495196791E-3</v>
      </c>
      <c r="F2776">
        <f t="shared" si="92"/>
        <v>-1.6228955640122396E-2</v>
      </c>
      <c r="G2776">
        <f t="shared" si="93"/>
        <v>-2.5625322903556288E-2</v>
      </c>
    </row>
    <row r="2777" spans="1:7" x14ac:dyDescent="0.35">
      <c r="A2777" t="s">
        <v>148</v>
      </c>
      <c r="E2777">
        <v>3.1335803879391842E-3</v>
      </c>
      <c r="F2777">
        <f t="shared" si="92"/>
        <v>-1.6228978922241778E-2</v>
      </c>
      <c r="G2777">
        <f t="shared" si="93"/>
        <v>-2.5625322903556288E-2</v>
      </c>
    </row>
    <row r="2778" spans="1:7" x14ac:dyDescent="0.35">
      <c r="A2778" t="s">
        <v>148</v>
      </c>
      <c r="E2778">
        <v>-2.4331143331981363E-3</v>
      </c>
      <c r="F2778">
        <f t="shared" si="92"/>
        <v>-1.6229002204361159E-2</v>
      </c>
      <c r="G2778">
        <f t="shared" si="93"/>
        <v>-2.5625322903556288E-2</v>
      </c>
    </row>
    <row r="2779" spans="1:7" x14ac:dyDescent="0.35">
      <c r="A2779" t="s">
        <v>148</v>
      </c>
      <c r="E2779">
        <v>-1.4045539076652168E-2</v>
      </c>
      <c r="F2779">
        <f t="shared" si="92"/>
        <v>-1.6229025486480541E-2</v>
      </c>
      <c r="G2779">
        <f t="shared" si="93"/>
        <v>-2.5625322903556288E-2</v>
      </c>
    </row>
    <row r="2780" spans="1:7" x14ac:dyDescent="0.35">
      <c r="A2780" t="s">
        <v>149</v>
      </c>
      <c r="B2780" s="3" cm="1">
        <f t="array" ref="B2780">_xlfn.STDEV.S(_xlfn._xlws.FILTER($E$2013:$E$3011, $A$2013:$A$3011="2021-03"))</f>
        <v>7.2743691888821635E-3</v>
      </c>
      <c r="C2780" s="3" cm="1">
        <f t="array" ref="C2780">AVERAGE(_xlfn._xlws.FILTER($E$2013:$E$3011, $A$2013:$A$3011="2021-03"))</f>
        <v>2.6900535055742734E-3</v>
      </c>
      <c r="D2780" s="3" cm="1">
        <f t="array" ref="D2780">_xlfn.PERCENTILE.EXC(_xlfn._xlws.FILTER($E$2490:$E$3818, $A$2490:$A$3818="2021-03"), 0.05)</f>
        <v>-1.0253829265843492E-2</v>
      </c>
      <c r="E2780">
        <v>1.5583113191752302E-2</v>
      </c>
      <c r="F2780">
        <f t="shared" si="92"/>
        <v>-1.6229048768599923E-2</v>
      </c>
      <c r="G2780">
        <f t="shared" si="93"/>
        <v>-2.5625322903556288E-2</v>
      </c>
    </row>
    <row r="2781" spans="1:7" x14ac:dyDescent="0.35">
      <c r="A2781" t="s">
        <v>149</v>
      </c>
      <c r="E2781">
        <v>2.9200573732095017E-3</v>
      </c>
      <c r="F2781">
        <f t="shared" si="92"/>
        <v>-1.6254921676659224E-2</v>
      </c>
      <c r="G2781">
        <f t="shared" si="93"/>
        <v>-2.5809563572869159E-2</v>
      </c>
    </row>
    <row r="2782" spans="1:7" x14ac:dyDescent="0.35">
      <c r="A2782" t="s">
        <v>149</v>
      </c>
      <c r="E2782">
        <v>3.4931937213472288E-3</v>
      </c>
      <c r="F2782">
        <f t="shared" si="92"/>
        <v>-1.6280794584718525E-2</v>
      </c>
      <c r="G2782">
        <f t="shared" si="93"/>
        <v>-2.5809563572869159E-2</v>
      </c>
    </row>
    <row r="2783" spans="1:7" x14ac:dyDescent="0.35">
      <c r="A2783" t="s">
        <v>149</v>
      </c>
      <c r="E2783">
        <v>1.0119452426195029E-4</v>
      </c>
      <c r="F2783">
        <f t="shared" si="92"/>
        <v>-1.6306667492777829E-2</v>
      </c>
      <c r="G2783">
        <f t="shared" si="93"/>
        <v>-2.5809563572869159E-2</v>
      </c>
    </row>
    <row r="2784" spans="1:7" x14ac:dyDescent="0.35">
      <c r="A2784" t="s">
        <v>149</v>
      </c>
      <c r="E2784">
        <v>-8.2664313046653462E-3</v>
      </c>
      <c r="F2784">
        <f t="shared" si="92"/>
        <v>-1.633254040083713E-2</v>
      </c>
      <c r="G2784">
        <f t="shared" si="93"/>
        <v>-2.5809563572869159E-2</v>
      </c>
    </row>
    <row r="2785" spans="1:7" x14ac:dyDescent="0.35">
      <c r="A2785" t="s">
        <v>149</v>
      </c>
      <c r="E2785">
        <v>2.0596947079009737E-2</v>
      </c>
      <c r="F2785">
        <f t="shared" si="92"/>
        <v>-1.6358413308896435E-2</v>
      </c>
      <c r="G2785">
        <f t="shared" si="93"/>
        <v>-2.5809563572869159E-2</v>
      </c>
    </row>
    <row r="2786" spans="1:7" x14ac:dyDescent="0.35">
      <c r="A2786" t="s">
        <v>149</v>
      </c>
      <c r="E2786">
        <v>3.7166215139906667E-3</v>
      </c>
      <c r="F2786">
        <f t="shared" si="92"/>
        <v>-1.6384286216955736E-2</v>
      </c>
      <c r="G2786">
        <f t="shared" si="93"/>
        <v>-2.5809563572869159E-2</v>
      </c>
    </row>
    <row r="2787" spans="1:7" x14ac:dyDescent="0.35">
      <c r="A2787" t="s">
        <v>149</v>
      </c>
      <c r="E2787">
        <v>1.1007603894449363E-2</v>
      </c>
      <c r="F2787">
        <f t="shared" si="92"/>
        <v>-1.6410159125015037E-2</v>
      </c>
      <c r="G2787">
        <f t="shared" si="93"/>
        <v>-2.5809563572869159E-2</v>
      </c>
    </row>
    <row r="2788" spans="1:7" x14ac:dyDescent="0.35">
      <c r="A2788" t="s">
        <v>149</v>
      </c>
      <c r="E2788">
        <v>7.1871377236116304E-3</v>
      </c>
      <c r="F2788">
        <f t="shared" si="92"/>
        <v>-1.6436032033074342E-2</v>
      </c>
      <c r="G2788">
        <f t="shared" si="93"/>
        <v>-2.5809563572869159E-2</v>
      </c>
    </row>
    <row r="2789" spans="1:7" x14ac:dyDescent="0.35">
      <c r="A2789" t="s">
        <v>149</v>
      </c>
      <c r="E2789">
        <v>2.1174961203763169E-3</v>
      </c>
      <c r="F2789">
        <f t="shared" si="92"/>
        <v>-1.6461904941133643E-2</v>
      </c>
      <c r="G2789">
        <f t="shared" si="93"/>
        <v>-2.5809563572869159E-2</v>
      </c>
    </row>
    <row r="2790" spans="1:7" x14ac:dyDescent="0.35">
      <c r="A2790" t="s">
        <v>149</v>
      </c>
      <c r="E2790">
        <v>-1.7512907413500963E-3</v>
      </c>
      <c r="F2790">
        <f t="shared" si="92"/>
        <v>-1.6487777849192947E-2</v>
      </c>
      <c r="G2790">
        <f t="shared" si="93"/>
        <v>-2.5809563572869159E-2</v>
      </c>
    </row>
    <row r="2791" spans="1:7" x14ac:dyDescent="0.35">
      <c r="A2791" t="s">
        <v>149</v>
      </c>
      <c r="E2791">
        <v>3.2188194587490556E-3</v>
      </c>
      <c r="F2791">
        <f t="shared" si="92"/>
        <v>-1.6513650757252252E-2</v>
      </c>
      <c r="G2791">
        <f t="shared" si="93"/>
        <v>-2.5809563572869159E-2</v>
      </c>
    </row>
    <row r="2792" spans="1:7" x14ac:dyDescent="0.35">
      <c r="A2792" t="s">
        <v>149</v>
      </c>
      <c r="E2792">
        <v>-1.0074110782461267E-4</v>
      </c>
      <c r="F2792">
        <f t="shared" si="92"/>
        <v>-1.6539523665311553E-2</v>
      </c>
      <c r="G2792">
        <f t="shared" si="93"/>
        <v>-2.5809563572869159E-2</v>
      </c>
    </row>
    <row r="2793" spans="1:7" x14ac:dyDescent="0.35">
      <c r="A2793" t="s">
        <v>149</v>
      </c>
      <c r="E2793">
        <v>1.3154411058392947E-3</v>
      </c>
      <c r="F2793">
        <f t="shared" si="92"/>
        <v>-1.6565396573370857E-2</v>
      </c>
      <c r="G2793">
        <f t="shared" si="93"/>
        <v>-2.5809563572869159E-2</v>
      </c>
    </row>
    <row r="2794" spans="1:7" x14ac:dyDescent="0.35">
      <c r="A2794" t="s">
        <v>149</v>
      </c>
      <c r="E2794">
        <v>-1.0750678756138029E-2</v>
      </c>
      <c r="F2794">
        <f t="shared" si="92"/>
        <v>-1.6591269481430158E-2</v>
      </c>
      <c r="G2794">
        <f t="shared" si="93"/>
        <v>-2.5809563572869159E-2</v>
      </c>
    </row>
    <row r="2795" spans="1:7" x14ac:dyDescent="0.35">
      <c r="A2795" t="s">
        <v>149</v>
      </c>
      <c r="E2795">
        <v>-4.9271227933020403E-3</v>
      </c>
      <c r="F2795">
        <f t="shared" si="92"/>
        <v>-1.6617142389489463E-2</v>
      </c>
      <c r="G2795">
        <f t="shared" si="93"/>
        <v>-2.5809563572869159E-2</v>
      </c>
    </row>
    <row r="2796" spans="1:7" x14ac:dyDescent="0.35">
      <c r="A2796" t="s">
        <v>149</v>
      </c>
      <c r="E2796">
        <v>-3.8912971785046674E-3</v>
      </c>
      <c r="F2796">
        <f t="shared" si="92"/>
        <v>-1.6643015297548764E-2</v>
      </c>
      <c r="G2796">
        <f t="shared" si="93"/>
        <v>-2.5809563572869159E-2</v>
      </c>
    </row>
    <row r="2797" spans="1:7" x14ac:dyDescent="0.35">
      <c r="A2797" t="s">
        <v>149</v>
      </c>
      <c r="E2797">
        <v>3.3466217511460956E-4</v>
      </c>
      <c r="F2797">
        <f t="shared" si="92"/>
        <v>-1.6668888205608065E-2</v>
      </c>
      <c r="G2797">
        <f t="shared" si="93"/>
        <v>-2.5809563572869159E-2</v>
      </c>
    </row>
    <row r="2798" spans="1:7" x14ac:dyDescent="0.35">
      <c r="A2798" t="s">
        <v>149</v>
      </c>
      <c r="E2798">
        <v>8.6052594871271766E-4</v>
      </c>
      <c r="F2798">
        <f t="shared" si="92"/>
        <v>-1.669476111366737E-2</v>
      </c>
      <c r="G2798">
        <f t="shared" si="93"/>
        <v>-2.5809563572869159E-2</v>
      </c>
    </row>
    <row r="2799" spans="1:7" x14ac:dyDescent="0.35">
      <c r="A2799" t="s">
        <v>149</v>
      </c>
      <c r="E2799">
        <v>6.0965483832586377E-3</v>
      </c>
      <c r="F2799">
        <f t="shared" si="92"/>
        <v>-1.6720634021726671E-2</v>
      </c>
      <c r="G2799">
        <f t="shared" si="93"/>
        <v>-2.5809563572869159E-2</v>
      </c>
    </row>
    <row r="2800" spans="1:7" x14ac:dyDescent="0.35">
      <c r="A2800" t="s">
        <v>149</v>
      </c>
      <c r="E2800">
        <v>4.4484059120361253E-3</v>
      </c>
      <c r="F2800">
        <f t="shared" si="92"/>
        <v>-1.6746506929785975E-2</v>
      </c>
      <c r="G2800">
        <f t="shared" si="93"/>
        <v>-2.5809563572869159E-2</v>
      </c>
    </row>
    <row r="2801" spans="1:7" x14ac:dyDescent="0.35">
      <c r="A2801" t="s">
        <v>149</v>
      </c>
      <c r="E2801">
        <v>1.1985056977768775E-2</v>
      </c>
      <c r="F2801">
        <f t="shared" si="92"/>
        <v>-1.6757033173180259E-2</v>
      </c>
      <c r="G2801">
        <f t="shared" si="93"/>
        <v>-2.599082470573082E-2</v>
      </c>
    </row>
    <row r="2802" spans="1:7" x14ac:dyDescent="0.35">
      <c r="A2802" t="s">
        <v>149</v>
      </c>
      <c r="E2802">
        <v>-3.4240325934948514E-3</v>
      </c>
      <c r="F2802">
        <f t="shared" si="92"/>
        <v>-1.6767559416574544E-2</v>
      </c>
      <c r="G2802">
        <f t="shared" si="93"/>
        <v>-2.599082470573082E-2</v>
      </c>
    </row>
    <row r="2803" spans="1:7" x14ac:dyDescent="0.35">
      <c r="A2803" t="s">
        <v>150</v>
      </c>
      <c r="B2803" s="3" cm="1">
        <f t="array" ref="B2803">_xlfn.STDEV.S(_xlfn._xlws.FILTER($E$2013:$E$3011, $A$2013:$A$3011="2021-04"))</f>
        <v>6.5092675927474527E-3</v>
      </c>
      <c r="C2803" s="3" cm="1">
        <f t="array" ref="C2803">AVERAGE(_xlfn._xlws.FILTER($E$2013:$E$3011, $A$2013:$A$3011="2021-04"))</f>
        <v>1.6395629174887228E-3</v>
      </c>
      <c r="D2803" s="3" cm="1">
        <f t="array" ref="D2803">_xlfn.PERCENTILE.EXC(_xlfn._xlws.FILTER($E$2490:$E$3818, $A$2490:$A$3818="2021-04"), 0.05)</f>
        <v>-2.0325416922513821E-2</v>
      </c>
      <c r="E2803">
        <v>5.8717411406449789E-3</v>
      </c>
      <c r="F2803">
        <f t="shared" si="92"/>
        <v>-1.6778085659968831E-2</v>
      </c>
      <c r="G2803">
        <f t="shared" si="93"/>
        <v>-2.599082470573082E-2</v>
      </c>
    </row>
    <row r="2804" spans="1:7" x14ac:dyDescent="0.35">
      <c r="A2804" t="s">
        <v>150</v>
      </c>
      <c r="E2804">
        <v>4.6394237357003845E-3</v>
      </c>
      <c r="F2804">
        <f t="shared" si="92"/>
        <v>-1.6788611903363115E-2</v>
      </c>
      <c r="G2804">
        <f t="shared" si="93"/>
        <v>-2.599082470573082E-2</v>
      </c>
    </row>
    <row r="2805" spans="1:7" x14ac:dyDescent="0.35">
      <c r="A2805" t="s">
        <v>150</v>
      </c>
      <c r="E2805">
        <v>-1.1091176002239025E-4</v>
      </c>
      <c r="F2805">
        <f t="shared" si="92"/>
        <v>-1.67991381467574E-2</v>
      </c>
      <c r="G2805">
        <f t="shared" si="93"/>
        <v>-2.599082470573082E-2</v>
      </c>
    </row>
    <row r="2806" spans="1:7" x14ac:dyDescent="0.35">
      <c r="A2806" t="s">
        <v>150</v>
      </c>
      <c r="E2806">
        <v>5.7025067553880303E-3</v>
      </c>
      <c r="F2806">
        <f t="shared" si="92"/>
        <v>-1.6809664390151684E-2</v>
      </c>
      <c r="G2806">
        <f t="shared" si="93"/>
        <v>-2.599082470573082E-2</v>
      </c>
    </row>
    <row r="2807" spans="1:7" x14ac:dyDescent="0.35">
      <c r="A2807" t="s">
        <v>150</v>
      </c>
      <c r="E2807">
        <v>5.9829123974685804E-4</v>
      </c>
      <c r="F2807">
        <f t="shared" si="92"/>
        <v>-1.6820190633545968E-2</v>
      </c>
      <c r="G2807">
        <f t="shared" si="93"/>
        <v>-2.599082470573082E-2</v>
      </c>
    </row>
    <row r="2808" spans="1:7" x14ac:dyDescent="0.35">
      <c r="A2808" t="s">
        <v>150</v>
      </c>
      <c r="E2808">
        <v>-1.2537417231639598E-3</v>
      </c>
      <c r="F2808">
        <f t="shared" si="92"/>
        <v>-1.6830716876940256E-2</v>
      </c>
      <c r="G2808">
        <f t="shared" si="93"/>
        <v>-2.599082470573082E-2</v>
      </c>
    </row>
    <row r="2809" spans="1:7" x14ac:dyDescent="0.35">
      <c r="A2809" t="s">
        <v>150</v>
      </c>
      <c r="E2809">
        <v>3.6320142828019817E-3</v>
      </c>
      <c r="F2809">
        <f t="shared" si="92"/>
        <v>-1.684124312033454E-2</v>
      </c>
      <c r="G2809">
        <f t="shared" si="93"/>
        <v>-2.599082470573082E-2</v>
      </c>
    </row>
    <row r="2810" spans="1:7" x14ac:dyDescent="0.35">
      <c r="A2810" t="s">
        <v>150</v>
      </c>
      <c r="E2810">
        <v>3.9507244342253051E-3</v>
      </c>
      <c r="F2810">
        <f t="shared" si="92"/>
        <v>-1.6851769363728824E-2</v>
      </c>
      <c r="G2810">
        <f t="shared" si="93"/>
        <v>-2.599082470573082E-2</v>
      </c>
    </row>
    <row r="2811" spans="1:7" x14ac:dyDescent="0.35">
      <c r="A2811" t="s">
        <v>150</v>
      </c>
      <c r="E2811">
        <v>4.108432232296436E-3</v>
      </c>
      <c r="F2811">
        <f t="shared" si="92"/>
        <v>-1.6862295607123108E-2</v>
      </c>
      <c r="G2811">
        <f t="shared" si="93"/>
        <v>-2.599082470573082E-2</v>
      </c>
    </row>
    <row r="2812" spans="1:7" x14ac:dyDescent="0.35">
      <c r="A2812" t="s">
        <v>150</v>
      </c>
      <c r="E2812">
        <v>8.4545048409929643E-3</v>
      </c>
      <c r="F2812">
        <f t="shared" si="92"/>
        <v>-1.6872821850517392E-2</v>
      </c>
      <c r="G2812">
        <f t="shared" si="93"/>
        <v>-2.599082470573082E-2</v>
      </c>
    </row>
    <row r="2813" spans="1:7" x14ac:dyDescent="0.35">
      <c r="A2813" t="s">
        <v>150</v>
      </c>
      <c r="E2813">
        <v>1.5289550776650632E-3</v>
      </c>
      <c r="F2813">
        <f t="shared" si="92"/>
        <v>-1.688334809391168E-2</v>
      </c>
      <c r="G2813">
        <f t="shared" si="93"/>
        <v>-2.599082470573082E-2</v>
      </c>
    </row>
    <row r="2814" spans="1:7" x14ac:dyDescent="0.35">
      <c r="A2814" t="s">
        <v>150</v>
      </c>
      <c r="E2814">
        <v>-2.1118119385507506E-2</v>
      </c>
      <c r="F2814">
        <f t="shared" si="92"/>
        <v>-1.6893874337305964E-2</v>
      </c>
      <c r="G2814">
        <f t="shared" si="93"/>
        <v>-2.599082470573082E-2</v>
      </c>
    </row>
    <row r="2815" spans="1:7" x14ac:dyDescent="0.35">
      <c r="A2815" t="s">
        <v>150</v>
      </c>
      <c r="E2815">
        <v>7.3434797339670572E-3</v>
      </c>
      <c r="F2815">
        <f t="shared" si="92"/>
        <v>-1.6617142389489463E-2</v>
      </c>
      <c r="G2815">
        <f t="shared" si="93"/>
        <v>-2.5903392456616388E-2</v>
      </c>
    </row>
    <row r="2816" spans="1:7" x14ac:dyDescent="0.35">
      <c r="A2816" t="s">
        <v>150</v>
      </c>
      <c r="E2816">
        <v>9.0929898677596221E-3</v>
      </c>
      <c r="F2816">
        <f t="shared" si="92"/>
        <v>-1.6643015297548764E-2</v>
      </c>
      <c r="G2816">
        <f t="shared" si="93"/>
        <v>-2.5903392456616388E-2</v>
      </c>
    </row>
    <row r="2817" spans="1:7" x14ac:dyDescent="0.35">
      <c r="A2817" t="s">
        <v>150</v>
      </c>
      <c r="E2817">
        <v>-1.4913912460150268E-3</v>
      </c>
      <c r="F2817">
        <f t="shared" si="92"/>
        <v>-1.6668888205608065E-2</v>
      </c>
      <c r="G2817">
        <f t="shared" si="93"/>
        <v>-2.5903392456616388E-2</v>
      </c>
    </row>
    <row r="2818" spans="1:7" x14ac:dyDescent="0.35">
      <c r="A2818" t="s">
        <v>150</v>
      </c>
      <c r="E2818">
        <v>2.8052926373181978E-3</v>
      </c>
      <c r="F2818">
        <f t="shared" si="92"/>
        <v>-1.669476111366737E-2</v>
      </c>
      <c r="G2818">
        <f t="shared" si="93"/>
        <v>-2.5903392456616388E-2</v>
      </c>
    </row>
    <row r="2819" spans="1:7" x14ac:dyDescent="0.35">
      <c r="A2819" t="s">
        <v>150</v>
      </c>
      <c r="E2819">
        <v>-2.8049418158488754E-4</v>
      </c>
      <c r="F2819">
        <f t="shared" si="92"/>
        <v>-1.6720634021726671E-2</v>
      </c>
      <c r="G2819">
        <f t="shared" si="93"/>
        <v>-2.5903392456616388E-2</v>
      </c>
    </row>
    <row r="2820" spans="1:7" x14ac:dyDescent="0.35">
      <c r="A2820" t="s">
        <v>150</v>
      </c>
      <c r="E2820">
        <v>5.2811006679809123E-3</v>
      </c>
      <c r="F2820">
        <f t="shared" ref="F2820:F2883" si="94">_xlfn.PERCENTILE.EXC(E2820:E6635,0.05)</f>
        <v>-1.6746506929785975E-2</v>
      </c>
      <c r="G2820">
        <f t="shared" ref="G2820:G2883" si="95">AVERAGEIFS(E2820:E6636,E2820:E6636,"&lt;=" &amp; F2820)</f>
        <v>-2.5903392456616388E-2</v>
      </c>
    </row>
    <row r="2821" spans="1:7" x14ac:dyDescent="0.35">
      <c r="A2821" t="s">
        <v>150</v>
      </c>
      <c r="E2821">
        <v>-6.9946987478574176E-4</v>
      </c>
      <c r="F2821">
        <f t="shared" si="94"/>
        <v>-1.6757033173180259E-2</v>
      </c>
      <c r="G2821">
        <f t="shared" si="95"/>
        <v>-2.6090267671449664E-2</v>
      </c>
    </row>
    <row r="2822" spans="1:7" x14ac:dyDescent="0.35">
      <c r="A2822" t="s">
        <v>150</v>
      </c>
      <c r="E2822">
        <v>-5.2640701256338124E-3</v>
      </c>
      <c r="F2822">
        <f t="shared" si="94"/>
        <v>-1.6767559416574544E-2</v>
      </c>
      <c r="G2822">
        <f t="shared" si="95"/>
        <v>-2.6090267671449664E-2</v>
      </c>
    </row>
    <row r="2823" spans="1:7" x14ac:dyDescent="0.35">
      <c r="A2823" t="s">
        <v>151</v>
      </c>
      <c r="B2823" s="3" cm="1">
        <f t="array" ref="B2823">_xlfn.STDEV.S(_xlfn._xlws.FILTER($E$2013:$E$3011, $A$2013:$A$3011="2021-05"))</f>
        <v>8.7205633506024817E-3</v>
      </c>
      <c r="C2823" s="3" cm="1">
        <f t="array" ref="C2823">AVERAGE(_xlfn._xlws.FILTER($E$2013:$E$3011, $A$2013:$A$3011="2021-05"))</f>
        <v>1.8700639983186228E-3</v>
      </c>
      <c r="D2823" s="3" cm="1">
        <f t="array" ref="D2823">_xlfn.PERCENTILE.INC(_xlfn._xlws.FILTER($E$2490:$E$3818, $A$2490:$A$3818="2021-05"), 0.05)</f>
        <v>-1.5090355303305793E-2</v>
      </c>
      <c r="E2823">
        <v>-2.8319920406880222E-3</v>
      </c>
      <c r="F2823">
        <f t="shared" si="94"/>
        <v>-1.6778085659968831E-2</v>
      </c>
      <c r="G2823">
        <f t="shared" si="95"/>
        <v>-2.6090267671449664E-2</v>
      </c>
    </row>
    <row r="2824" spans="1:7" x14ac:dyDescent="0.35">
      <c r="A2824" t="s">
        <v>151</v>
      </c>
      <c r="E2824">
        <v>1.3933744184639425E-2</v>
      </c>
      <c r="F2824">
        <f t="shared" si="94"/>
        <v>-1.6788611903363115E-2</v>
      </c>
      <c r="G2824">
        <f t="shared" si="95"/>
        <v>-2.6090267671449664E-2</v>
      </c>
    </row>
    <row r="2825" spans="1:7" x14ac:dyDescent="0.35">
      <c r="A2825" t="s">
        <v>151</v>
      </c>
      <c r="E2825">
        <v>2.7755567353077953E-3</v>
      </c>
      <c r="F2825">
        <f t="shared" si="94"/>
        <v>-1.67991381467574E-2</v>
      </c>
      <c r="G2825">
        <f t="shared" si="95"/>
        <v>-2.6090267671449664E-2</v>
      </c>
    </row>
    <row r="2826" spans="1:7" x14ac:dyDescent="0.35">
      <c r="A2826" t="s">
        <v>151</v>
      </c>
      <c r="E2826">
        <v>4.460635525458093E-3</v>
      </c>
      <c r="F2826">
        <f t="shared" si="94"/>
        <v>-1.6809664390151684E-2</v>
      </c>
      <c r="G2826">
        <f t="shared" si="95"/>
        <v>-2.6090267671449664E-2</v>
      </c>
    </row>
    <row r="2827" spans="1:7" x14ac:dyDescent="0.35">
      <c r="A2827" t="s">
        <v>151</v>
      </c>
      <c r="E2827">
        <v>7.5167364871199234E-5</v>
      </c>
      <c r="F2827">
        <f t="shared" si="94"/>
        <v>-1.6820190633545968E-2</v>
      </c>
      <c r="G2827">
        <f t="shared" si="95"/>
        <v>-2.6090267671449664E-2</v>
      </c>
    </row>
    <row r="2828" spans="1:7" x14ac:dyDescent="0.35">
      <c r="A2828" t="s">
        <v>151</v>
      </c>
      <c r="E2828">
        <v>-1.8746528327207582E-2</v>
      </c>
      <c r="F2828">
        <f t="shared" si="94"/>
        <v>-1.6830716876940256E-2</v>
      </c>
      <c r="G2828">
        <f t="shared" si="95"/>
        <v>-2.6090267671449664E-2</v>
      </c>
    </row>
    <row r="2829" spans="1:7" x14ac:dyDescent="0.35">
      <c r="A2829" t="s">
        <v>151</v>
      </c>
      <c r="E2829">
        <v>1.9064718998749999E-3</v>
      </c>
      <c r="F2829">
        <f t="shared" si="94"/>
        <v>-1.6461904941133643E-2</v>
      </c>
      <c r="G2829">
        <f t="shared" si="95"/>
        <v>-2.6049450908236977E-2</v>
      </c>
    </row>
    <row r="2830" spans="1:7" x14ac:dyDescent="0.35">
      <c r="A2830" t="s">
        <v>151</v>
      </c>
      <c r="E2830">
        <v>1.4290627272910176E-3</v>
      </c>
      <c r="F2830">
        <f t="shared" si="94"/>
        <v>-1.6487777849192947E-2</v>
      </c>
      <c r="G2830">
        <f t="shared" si="95"/>
        <v>-2.6049450908236977E-2</v>
      </c>
    </row>
    <row r="2831" spans="1:7" x14ac:dyDescent="0.35">
      <c r="A2831" t="s">
        <v>151</v>
      </c>
      <c r="E2831">
        <v>1.5277880968238507E-2</v>
      </c>
      <c r="F2831">
        <f t="shared" si="94"/>
        <v>-1.6513650757252252E-2</v>
      </c>
      <c r="G2831">
        <f t="shared" si="95"/>
        <v>-2.6049450908236977E-2</v>
      </c>
    </row>
    <row r="2832" spans="1:7" x14ac:dyDescent="0.35">
      <c r="A2832" t="s">
        <v>151</v>
      </c>
      <c r="E2832">
        <v>-2.790045166128349E-3</v>
      </c>
      <c r="F2832">
        <f t="shared" si="94"/>
        <v>-1.6539523665311553E-2</v>
      </c>
      <c r="G2832">
        <f t="shared" si="95"/>
        <v>-2.6049450908236977E-2</v>
      </c>
    </row>
    <row r="2833" spans="1:7" x14ac:dyDescent="0.35">
      <c r="A2833" t="s">
        <v>151</v>
      </c>
      <c r="E2833">
        <v>-2.1507717578360063E-3</v>
      </c>
      <c r="F2833">
        <f t="shared" si="94"/>
        <v>-1.6565396573370857E-2</v>
      </c>
      <c r="G2833">
        <f t="shared" si="95"/>
        <v>-2.6049450908236977E-2</v>
      </c>
    </row>
    <row r="2834" spans="1:7" x14ac:dyDescent="0.35">
      <c r="A2834" t="s">
        <v>151</v>
      </c>
      <c r="E2834">
        <v>-1.4445148299087831E-2</v>
      </c>
      <c r="F2834">
        <f t="shared" si="94"/>
        <v>-1.6591269481430158E-2</v>
      </c>
      <c r="G2834">
        <f t="shared" si="95"/>
        <v>-2.6049450908236977E-2</v>
      </c>
    </row>
    <row r="2835" spans="1:7" x14ac:dyDescent="0.35">
      <c r="A2835" t="s">
        <v>151</v>
      </c>
      <c r="E2835">
        <v>1.2855827442383368E-2</v>
      </c>
      <c r="F2835">
        <f t="shared" si="94"/>
        <v>-1.6617142389489463E-2</v>
      </c>
      <c r="G2835">
        <f t="shared" si="95"/>
        <v>-2.6049450908236977E-2</v>
      </c>
    </row>
    <row r="2836" spans="1:7" x14ac:dyDescent="0.35">
      <c r="A2836" t="s">
        <v>151</v>
      </c>
      <c r="E2836">
        <v>6.7290173221788057E-3</v>
      </c>
      <c r="F2836">
        <f t="shared" si="94"/>
        <v>-1.6643015297548764E-2</v>
      </c>
      <c r="G2836">
        <f t="shared" si="95"/>
        <v>-2.6049450908236977E-2</v>
      </c>
    </row>
    <row r="2837" spans="1:7" x14ac:dyDescent="0.35">
      <c r="A2837" t="s">
        <v>151</v>
      </c>
      <c r="E2837">
        <v>6.0422584230611723E-4</v>
      </c>
      <c r="F2837">
        <f t="shared" si="94"/>
        <v>-1.6668888205608065E-2</v>
      </c>
      <c r="G2837">
        <f t="shared" si="95"/>
        <v>-2.6049450908236977E-2</v>
      </c>
    </row>
    <row r="2838" spans="1:7" x14ac:dyDescent="0.35">
      <c r="A2838" t="s">
        <v>151</v>
      </c>
      <c r="E2838">
        <v>2.081072651811767E-4</v>
      </c>
      <c r="F2838">
        <f t="shared" si="94"/>
        <v>-1.669476111366737E-2</v>
      </c>
      <c r="G2838">
        <f t="shared" si="95"/>
        <v>-2.6049450908236977E-2</v>
      </c>
    </row>
    <row r="2839" spans="1:7" x14ac:dyDescent="0.35">
      <c r="A2839" t="s">
        <v>151</v>
      </c>
      <c r="E2839">
        <v>6.8775407889673443E-3</v>
      </c>
      <c r="F2839">
        <f t="shared" si="94"/>
        <v>-1.6720634021726671E-2</v>
      </c>
      <c r="G2839">
        <f t="shared" si="95"/>
        <v>-2.6049450908236977E-2</v>
      </c>
    </row>
    <row r="2840" spans="1:7" x14ac:dyDescent="0.35">
      <c r="A2840" t="s">
        <v>151</v>
      </c>
      <c r="E2840">
        <v>7.4923994939851491E-3</v>
      </c>
      <c r="F2840">
        <f t="shared" si="94"/>
        <v>-1.6746506929785975E-2</v>
      </c>
      <c r="G2840">
        <f t="shared" si="95"/>
        <v>-2.6049450908236977E-2</v>
      </c>
    </row>
    <row r="2841" spans="1:7" x14ac:dyDescent="0.35">
      <c r="A2841" t="s">
        <v>152</v>
      </c>
      <c r="B2841" s="3" cm="1">
        <f t="array" ref="B2841">_xlfn.STDEV.S(_xlfn._xlws.FILTER($E$2013:$E$3011, $A$2013:$A$3011="2021-06"))</f>
        <v>6.2190567687700361E-3</v>
      </c>
      <c r="C2841" s="3" cm="1">
        <f t="array" ref="C2841">AVERAGE(_xlfn._xlws.FILTER($E$2013:$E$3011, $A$2013:$A$3011="2021-06"))</f>
        <v>1.6597721605411981E-4</v>
      </c>
      <c r="D2841" s="3" cm="1">
        <f t="array" ref="D2841">_xlfn.PERCENTILE.EXC(_xlfn._xlws.FILTER($E$2490:$E$3818, $A$2490:$A$3818="2021-06"), 0.05)</f>
        <v>-1.3948073088709064E-2</v>
      </c>
      <c r="E2841">
        <v>8.155079532336084E-4</v>
      </c>
      <c r="F2841">
        <f t="shared" si="94"/>
        <v>-1.6757033173180259E-2</v>
      </c>
      <c r="G2841">
        <f t="shared" si="95"/>
        <v>-2.6243262241121376E-2</v>
      </c>
    </row>
    <row r="2842" spans="1:7" x14ac:dyDescent="0.35">
      <c r="A2842" t="s">
        <v>152</v>
      </c>
      <c r="E2842">
        <v>4.9374010833308501E-3</v>
      </c>
      <c r="F2842">
        <f t="shared" si="94"/>
        <v>-1.6767559416574544E-2</v>
      </c>
      <c r="G2842">
        <f t="shared" si="95"/>
        <v>-2.6243262241121376E-2</v>
      </c>
    </row>
    <row r="2843" spans="1:7" x14ac:dyDescent="0.35">
      <c r="A2843" t="s">
        <v>152</v>
      </c>
      <c r="E2843">
        <v>-2.0875808843757006E-3</v>
      </c>
      <c r="F2843">
        <f t="shared" si="94"/>
        <v>-1.6778085659968831E-2</v>
      </c>
      <c r="G2843">
        <f t="shared" si="95"/>
        <v>-2.6243262241121376E-2</v>
      </c>
    </row>
    <row r="2844" spans="1:7" x14ac:dyDescent="0.35">
      <c r="A2844" t="s">
        <v>152</v>
      </c>
      <c r="E2844">
        <v>1.1886134091020895E-3</v>
      </c>
      <c r="F2844">
        <f t="shared" si="94"/>
        <v>-1.6788611903363115E-2</v>
      </c>
      <c r="G2844">
        <f t="shared" si="95"/>
        <v>-2.6243262241121376E-2</v>
      </c>
    </row>
    <row r="2845" spans="1:7" x14ac:dyDescent="0.35">
      <c r="A2845" t="s">
        <v>152</v>
      </c>
      <c r="E2845">
        <v>4.2728497487723753E-3</v>
      </c>
      <c r="F2845">
        <f t="shared" si="94"/>
        <v>-1.67991381467574E-2</v>
      </c>
      <c r="G2845">
        <f t="shared" si="95"/>
        <v>-2.6243262241121376E-2</v>
      </c>
    </row>
    <row r="2846" spans="1:7" x14ac:dyDescent="0.35">
      <c r="A2846" t="s">
        <v>152</v>
      </c>
      <c r="E2846">
        <v>1.1378763569679983E-3</v>
      </c>
      <c r="F2846">
        <f t="shared" si="94"/>
        <v>-1.6809664390151684E-2</v>
      </c>
      <c r="G2846">
        <f t="shared" si="95"/>
        <v>-2.6243262241121376E-2</v>
      </c>
    </row>
    <row r="2847" spans="1:7" x14ac:dyDescent="0.35">
      <c r="A2847" t="s">
        <v>152</v>
      </c>
      <c r="E2847">
        <v>1.8971431124300969E-3</v>
      </c>
      <c r="F2847">
        <f t="shared" si="94"/>
        <v>-1.6820190633545968E-2</v>
      </c>
      <c r="G2847">
        <f t="shared" si="95"/>
        <v>-2.6243262241121376E-2</v>
      </c>
    </row>
    <row r="2848" spans="1:7" x14ac:dyDescent="0.35">
      <c r="A2848" t="s">
        <v>152</v>
      </c>
      <c r="E2848">
        <v>-2.5873511948029987E-3</v>
      </c>
      <c r="F2848">
        <f t="shared" si="94"/>
        <v>-1.6830716876940256E-2</v>
      </c>
      <c r="G2848">
        <f t="shared" si="95"/>
        <v>-2.6243262241121376E-2</v>
      </c>
    </row>
    <row r="2849" spans="1:7" x14ac:dyDescent="0.35">
      <c r="A2849" t="s">
        <v>152</v>
      </c>
      <c r="E2849">
        <v>8.240615882005517E-3</v>
      </c>
      <c r="F2849">
        <f t="shared" si="94"/>
        <v>-1.684124312033454E-2</v>
      </c>
      <c r="G2849">
        <f t="shared" si="95"/>
        <v>-2.6243262241121376E-2</v>
      </c>
    </row>
    <row r="2850" spans="1:7" x14ac:dyDescent="0.35">
      <c r="A2850" t="s">
        <v>152</v>
      </c>
      <c r="E2850">
        <v>2.3742143450354103E-3</v>
      </c>
      <c r="F2850">
        <f t="shared" si="94"/>
        <v>-1.6851769363728824E-2</v>
      </c>
      <c r="G2850">
        <f t="shared" si="95"/>
        <v>-2.6243262241121376E-2</v>
      </c>
    </row>
    <row r="2851" spans="1:7" x14ac:dyDescent="0.35">
      <c r="A2851" t="s">
        <v>152</v>
      </c>
      <c r="E2851">
        <v>3.4958133409803442E-3</v>
      </c>
      <c r="F2851">
        <f t="shared" si="94"/>
        <v>-1.6862295607123108E-2</v>
      </c>
      <c r="G2851">
        <f t="shared" si="95"/>
        <v>-2.6243262241121376E-2</v>
      </c>
    </row>
    <row r="2852" spans="1:7" x14ac:dyDescent="0.35">
      <c r="A2852" t="s">
        <v>152</v>
      </c>
      <c r="E2852">
        <v>1.9755998110955338E-3</v>
      </c>
      <c r="F2852">
        <f t="shared" si="94"/>
        <v>-1.6872821850517392E-2</v>
      </c>
      <c r="G2852">
        <f t="shared" si="95"/>
        <v>-2.6243262241121376E-2</v>
      </c>
    </row>
    <row r="2853" spans="1:7" x14ac:dyDescent="0.35">
      <c r="A2853" t="s">
        <v>152</v>
      </c>
      <c r="E2853">
        <v>2.04371149548103E-3</v>
      </c>
      <c r="F2853">
        <f t="shared" si="94"/>
        <v>-1.688334809391168E-2</v>
      </c>
      <c r="G2853">
        <f t="shared" si="95"/>
        <v>-2.6243262241121376E-2</v>
      </c>
    </row>
    <row r="2854" spans="1:7" x14ac:dyDescent="0.35">
      <c r="A2854" t="s">
        <v>152</v>
      </c>
      <c r="E2854">
        <v>-1.4673012584069278E-2</v>
      </c>
      <c r="F2854">
        <f t="shared" si="94"/>
        <v>-1.6893874337305964E-2</v>
      </c>
      <c r="G2854">
        <f t="shared" si="95"/>
        <v>-2.6243262241121376E-2</v>
      </c>
    </row>
    <row r="2855" spans="1:7" x14ac:dyDescent="0.35">
      <c r="A2855" t="s">
        <v>152</v>
      </c>
      <c r="E2855">
        <v>5.0684530408080016E-3</v>
      </c>
      <c r="F2855">
        <f t="shared" si="94"/>
        <v>-1.6904400580700248E-2</v>
      </c>
      <c r="G2855">
        <f t="shared" si="95"/>
        <v>-2.6243262241121376E-2</v>
      </c>
    </row>
    <row r="2856" spans="1:7" x14ac:dyDescent="0.35">
      <c r="A2856" t="s">
        <v>152</v>
      </c>
      <c r="E2856">
        <v>1.3561335326959653E-3</v>
      </c>
      <c r="F2856">
        <f t="shared" si="94"/>
        <v>-1.6914926824094532E-2</v>
      </c>
      <c r="G2856">
        <f t="shared" si="95"/>
        <v>-2.6243262241121376E-2</v>
      </c>
    </row>
    <row r="2857" spans="1:7" x14ac:dyDescent="0.35">
      <c r="A2857" t="s">
        <v>152</v>
      </c>
      <c r="E2857">
        <v>-9.1821619305462992E-3</v>
      </c>
      <c r="F2857">
        <f t="shared" si="94"/>
        <v>-1.6925453067488817E-2</v>
      </c>
      <c r="G2857">
        <f t="shared" si="95"/>
        <v>-2.6243262241121376E-2</v>
      </c>
    </row>
    <row r="2858" spans="1:7" x14ac:dyDescent="0.35">
      <c r="A2858" t="s">
        <v>152</v>
      </c>
      <c r="E2858">
        <v>1.2149848069155016E-2</v>
      </c>
      <c r="F2858">
        <f t="shared" si="94"/>
        <v>-1.6935979310883104E-2</v>
      </c>
      <c r="G2858">
        <f t="shared" si="95"/>
        <v>-2.6243262241121376E-2</v>
      </c>
    </row>
    <row r="2859" spans="1:7" x14ac:dyDescent="0.35">
      <c r="A2859" t="s">
        <v>152</v>
      </c>
      <c r="E2859">
        <v>-1.2494324102643103E-3</v>
      </c>
      <c r="F2859">
        <f t="shared" si="94"/>
        <v>-1.6946505554277388E-2</v>
      </c>
      <c r="G2859">
        <f t="shared" si="95"/>
        <v>-2.6243262241121376E-2</v>
      </c>
    </row>
    <row r="2860" spans="1:7" x14ac:dyDescent="0.35">
      <c r="A2860" t="s">
        <v>152</v>
      </c>
      <c r="E2860">
        <v>-9.8400826150011871E-3</v>
      </c>
      <c r="F2860">
        <f t="shared" si="94"/>
        <v>-1.6957031797671673E-2</v>
      </c>
      <c r="G2860">
        <f t="shared" si="95"/>
        <v>-2.6243262241121376E-2</v>
      </c>
    </row>
    <row r="2861" spans="1:7" x14ac:dyDescent="0.35">
      <c r="A2861" t="s">
        <v>152</v>
      </c>
      <c r="E2861">
        <v>1.4338558468017283E-3</v>
      </c>
      <c r="F2861">
        <f t="shared" si="94"/>
        <v>-1.6965191716949879E-2</v>
      </c>
      <c r="G2861">
        <f t="shared" si="95"/>
        <v>-2.6440841612258605E-2</v>
      </c>
    </row>
    <row r="2862" spans="1:7" x14ac:dyDescent="0.35">
      <c r="A2862" t="s">
        <v>152</v>
      </c>
      <c r="E2862">
        <v>-9.116516655645163E-3</v>
      </c>
      <c r="F2862">
        <f t="shared" si="94"/>
        <v>-1.6973351636228085E-2</v>
      </c>
      <c r="G2862">
        <f t="shared" si="95"/>
        <v>-2.6440841612258605E-2</v>
      </c>
    </row>
    <row r="2863" spans="1:7" x14ac:dyDescent="0.35">
      <c r="A2863" t="s">
        <v>153</v>
      </c>
      <c r="B2863" s="3" cm="1">
        <f t="array" ref="B2863">_xlfn.STDEV.S(_xlfn._xlws.FILTER($E$2013:$E$3011, $A$2013:$A$3011="2021-07"))</f>
        <v>1.1086562242794437E-2</v>
      </c>
      <c r="C2863" s="3" cm="1">
        <f t="array" ref="C2863">AVERAGE(_xlfn._xlws.FILTER($E$2013:$E$3011, $A$2013:$A$3011="2021-07"))</f>
        <v>7.2704766194938331E-4</v>
      </c>
      <c r="D2863" s="3" cm="1">
        <f t="array" ref="D2863">_xlfn.PERCENTILE.EXC(_xlfn._xlws.FILTER($E$2490:$E$3818, $A$2490:$A$3818="2021-07"), 0.05)</f>
        <v>-2.4912782472225073E-2</v>
      </c>
      <c r="E2863">
        <v>7.0420184362018834E-3</v>
      </c>
      <c r="F2863">
        <f t="shared" si="94"/>
        <v>-1.6981511555506291E-2</v>
      </c>
      <c r="G2863">
        <f t="shared" si="95"/>
        <v>-2.6440841612258605E-2</v>
      </c>
    </row>
    <row r="2864" spans="1:7" x14ac:dyDescent="0.35">
      <c r="A2864" t="s">
        <v>153</v>
      </c>
      <c r="E2864">
        <v>-1.4649018694542416E-4</v>
      </c>
      <c r="F2864">
        <f t="shared" si="94"/>
        <v>-1.6989671474784494E-2</v>
      </c>
      <c r="G2864">
        <f t="shared" si="95"/>
        <v>-2.6440841612258605E-2</v>
      </c>
    </row>
    <row r="2865" spans="1:7" x14ac:dyDescent="0.35">
      <c r="A2865" t="s">
        <v>153</v>
      </c>
      <c r="E2865">
        <v>2.2377375881534036E-3</v>
      </c>
      <c r="F2865">
        <f t="shared" si="94"/>
        <v>-1.6997831394062704E-2</v>
      </c>
      <c r="G2865">
        <f t="shared" si="95"/>
        <v>-2.6440841612258605E-2</v>
      </c>
    </row>
    <row r="2866" spans="1:7" x14ac:dyDescent="0.35">
      <c r="A2866" t="s">
        <v>153</v>
      </c>
      <c r="E2866">
        <v>-9.187048651662524E-3</v>
      </c>
      <c r="F2866">
        <f t="shared" si="94"/>
        <v>-1.7005991313340907E-2</v>
      </c>
      <c r="G2866">
        <f t="shared" si="95"/>
        <v>-2.6440841612258605E-2</v>
      </c>
    </row>
    <row r="2867" spans="1:7" x14ac:dyDescent="0.35">
      <c r="A2867" t="s">
        <v>153</v>
      </c>
      <c r="E2867">
        <v>3.1054400800606266E-3</v>
      </c>
      <c r="F2867">
        <f t="shared" si="94"/>
        <v>-1.7014151232619113E-2</v>
      </c>
      <c r="G2867">
        <f t="shared" si="95"/>
        <v>-2.6440841612258605E-2</v>
      </c>
    </row>
    <row r="2868" spans="1:7" x14ac:dyDescent="0.35">
      <c r="A2868" t="s">
        <v>153</v>
      </c>
      <c r="E2868">
        <v>-2.0270802292465046E-2</v>
      </c>
      <c r="F2868">
        <f t="shared" si="94"/>
        <v>-1.7022311151897319E-2</v>
      </c>
      <c r="G2868">
        <f t="shared" si="95"/>
        <v>-2.6440841612258605E-2</v>
      </c>
    </row>
    <row r="2869" spans="1:7" x14ac:dyDescent="0.35">
      <c r="A2869" t="s">
        <v>153</v>
      </c>
      <c r="E2869">
        <v>2.0531196224000531E-2</v>
      </c>
      <c r="F2869">
        <f t="shared" si="94"/>
        <v>-1.684124312033454E-2</v>
      </c>
      <c r="G2869">
        <f t="shared" si="95"/>
        <v>-2.6370335857050231E-2</v>
      </c>
    </row>
    <row r="2870" spans="1:7" x14ac:dyDescent="0.35">
      <c r="A2870" t="s">
        <v>153</v>
      </c>
      <c r="E2870">
        <v>4.5581486350320683E-3</v>
      </c>
      <c r="F2870">
        <f t="shared" si="94"/>
        <v>-1.6851769363728824E-2</v>
      </c>
      <c r="G2870">
        <f t="shared" si="95"/>
        <v>-2.6370335857050231E-2</v>
      </c>
    </row>
    <row r="2871" spans="1:7" x14ac:dyDescent="0.35">
      <c r="A2871" t="s">
        <v>153</v>
      </c>
      <c r="E2871">
        <v>-1.1892310567978837E-4</v>
      </c>
      <c r="F2871">
        <f t="shared" si="94"/>
        <v>-1.6862295607123108E-2</v>
      </c>
      <c r="G2871">
        <f t="shared" si="95"/>
        <v>-2.6370335857050231E-2</v>
      </c>
    </row>
    <row r="2872" spans="1:7" x14ac:dyDescent="0.35">
      <c r="A2872" t="s">
        <v>153</v>
      </c>
      <c r="E2872">
        <v>-1.3722806924179088E-5</v>
      </c>
      <c r="F2872">
        <f t="shared" si="94"/>
        <v>-1.6872821850517392E-2</v>
      </c>
      <c r="G2872">
        <f t="shared" si="95"/>
        <v>-2.6370335857050231E-2</v>
      </c>
    </row>
    <row r="2873" spans="1:7" x14ac:dyDescent="0.35">
      <c r="A2873" t="s">
        <v>153</v>
      </c>
      <c r="E2873">
        <v>-9.9635049249847986E-3</v>
      </c>
      <c r="F2873">
        <f t="shared" si="94"/>
        <v>-1.688334809391168E-2</v>
      </c>
      <c r="G2873">
        <f t="shared" si="95"/>
        <v>-2.6370335857050231E-2</v>
      </c>
    </row>
    <row r="2874" spans="1:7" x14ac:dyDescent="0.35">
      <c r="A2874" t="s">
        <v>153</v>
      </c>
      <c r="E2874">
        <v>-5.1384146952677904E-3</v>
      </c>
      <c r="F2874">
        <f t="shared" si="94"/>
        <v>-1.6893874337305964E-2</v>
      </c>
      <c r="G2874">
        <f t="shared" si="95"/>
        <v>-2.6370335857050231E-2</v>
      </c>
    </row>
    <row r="2875" spans="1:7" x14ac:dyDescent="0.35">
      <c r="A2875" t="s">
        <v>153</v>
      </c>
      <c r="E2875">
        <v>-2.5731955445123904E-2</v>
      </c>
      <c r="F2875">
        <f t="shared" si="94"/>
        <v>-1.6904400580700248E-2</v>
      </c>
      <c r="G2875">
        <f t="shared" si="95"/>
        <v>-2.6370335857050231E-2</v>
      </c>
    </row>
    <row r="2876" spans="1:7" x14ac:dyDescent="0.35">
      <c r="A2876" t="s">
        <v>153</v>
      </c>
      <c r="E2876">
        <v>8.0488806588874268E-3</v>
      </c>
      <c r="F2876">
        <f t="shared" si="94"/>
        <v>-1.6643015297548764E-2</v>
      </c>
      <c r="G2876">
        <f t="shared" si="95"/>
        <v>-2.6179156101404744E-2</v>
      </c>
    </row>
    <row r="2877" spans="1:7" x14ac:dyDescent="0.35">
      <c r="A2877" t="s">
        <v>153</v>
      </c>
      <c r="E2877">
        <v>1.8363949055067538E-2</v>
      </c>
      <c r="F2877">
        <f t="shared" si="94"/>
        <v>-1.6668888205608065E-2</v>
      </c>
      <c r="G2877">
        <f t="shared" si="95"/>
        <v>-2.6179156101404744E-2</v>
      </c>
    </row>
    <row r="2878" spans="1:7" x14ac:dyDescent="0.35">
      <c r="A2878" t="s">
        <v>153</v>
      </c>
      <c r="E2878">
        <v>2.64327474857718E-3</v>
      </c>
      <c r="F2878">
        <f t="shared" si="94"/>
        <v>-1.669476111366737E-2</v>
      </c>
      <c r="G2878">
        <f t="shared" si="95"/>
        <v>-2.6179156101404744E-2</v>
      </c>
    </row>
    <row r="2879" spans="1:7" x14ac:dyDescent="0.35">
      <c r="A2879" t="s">
        <v>153</v>
      </c>
      <c r="E2879">
        <v>1.3368361467778431E-2</v>
      </c>
      <c r="F2879">
        <f t="shared" si="94"/>
        <v>-1.6720634021726671E-2</v>
      </c>
      <c r="G2879">
        <f t="shared" si="95"/>
        <v>-2.6179156101404744E-2</v>
      </c>
    </row>
    <row r="2880" spans="1:7" x14ac:dyDescent="0.35">
      <c r="A2880" t="s">
        <v>153</v>
      </c>
      <c r="E2880">
        <v>1.4877446379454728E-3</v>
      </c>
      <c r="F2880">
        <f t="shared" si="94"/>
        <v>-1.6746506929785975E-2</v>
      </c>
      <c r="G2880">
        <f t="shared" si="95"/>
        <v>-2.6179156101404744E-2</v>
      </c>
    </row>
    <row r="2881" spans="1:7" x14ac:dyDescent="0.35">
      <c r="A2881" t="s">
        <v>153</v>
      </c>
      <c r="E2881">
        <v>-7.1210291061010291E-3</v>
      </c>
      <c r="F2881">
        <f t="shared" si="94"/>
        <v>-1.6757033173180259E-2</v>
      </c>
      <c r="G2881">
        <f t="shared" si="95"/>
        <v>-2.6384213692092109E-2</v>
      </c>
    </row>
    <row r="2882" spans="1:7" x14ac:dyDescent="0.35">
      <c r="A2882" t="s">
        <v>153</v>
      </c>
      <c r="E2882">
        <v>1.1778333487089883E-2</v>
      </c>
      <c r="F2882">
        <f t="shared" si="94"/>
        <v>-1.6767559416574544E-2</v>
      </c>
      <c r="G2882">
        <f t="shared" si="95"/>
        <v>-2.6384213692092109E-2</v>
      </c>
    </row>
    <row r="2883" spans="1:7" x14ac:dyDescent="0.35">
      <c r="A2883" t="s">
        <v>153</v>
      </c>
      <c r="E2883">
        <v>3.6940089185419963E-3</v>
      </c>
      <c r="F2883">
        <f t="shared" si="94"/>
        <v>-1.6778085659968831E-2</v>
      </c>
      <c r="G2883">
        <f t="shared" si="95"/>
        <v>-2.6384213692092109E-2</v>
      </c>
    </row>
    <row r="2884" spans="1:7" x14ac:dyDescent="0.35">
      <c r="A2884" t="s">
        <v>153</v>
      </c>
      <c r="E2884">
        <v>-3.1721541592955225E-3</v>
      </c>
      <c r="F2884">
        <f t="shared" ref="F2884:F2947" si="96">_xlfn.PERCENTILE.EXC(E2884:E6699,0.05)</f>
        <v>-1.6788611903363115E-2</v>
      </c>
      <c r="G2884">
        <f t="shared" ref="G2884:G2947" si="97">AVERAGEIFS(E2884:E6700,E2884:E6700,"&lt;=" &amp; F2884)</f>
        <v>-2.6384213692092109E-2</v>
      </c>
    </row>
    <row r="2885" spans="1:7" x14ac:dyDescent="0.35">
      <c r="A2885" t="s">
        <v>154</v>
      </c>
      <c r="B2885" s="3" cm="1">
        <f t="array" ref="B2885">_xlfn.STDEV.S(_xlfn._xlws.FILTER($E$2013:$E$3011, $A$2013:$A$3011="2021-08"))</f>
        <v>7.3701537618677043E-3</v>
      </c>
      <c r="C2885" s="3" cm="1">
        <f t="array" ref="C2885">AVERAGE(_xlfn._xlws.FILTER($E$2013:$E$3011, $A$2013:$A$3011="2021-08"))</f>
        <v>4.8303892434150902E-4</v>
      </c>
      <c r="D2885" s="3" cm="1">
        <f t="array" ref="D2885">_xlfn.PERCENTILE.EXC(_xlfn._xlws.FILTER($E$2490:$E$3818, $A$2490:$A$3818="2021-08"), 0.05)</f>
        <v>-2.2934037970873011E-2</v>
      </c>
      <c r="E2885">
        <v>9.5029107759157811E-3</v>
      </c>
      <c r="F2885">
        <f t="shared" si="96"/>
        <v>-1.67991381467574E-2</v>
      </c>
      <c r="G2885">
        <f t="shared" si="97"/>
        <v>-2.6384213692092109E-2</v>
      </c>
    </row>
    <row r="2886" spans="1:7" x14ac:dyDescent="0.35">
      <c r="A2886" t="s">
        <v>154</v>
      </c>
      <c r="E2886">
        <v>7.1509314992032006E-3</v>
      </c>
      <c r="F2886">
        <f t="shared" si="96"/>
        <v>-1.6809664390151684E-2</v>
      </c>
      <c r="G2886">
        <f t="shared" si="97"/>
        <v>-2.6384213692092109E-2</v>
      </c>
    </row>
    <row r="2887" spans="1:7" x14ac:dyDescent="0.35">
      <c r="A2887" t="s">
        <v>154</v>
      </c>
      <c r="E2887">
        <v>3.3288721791064012E-3</v>
      </c>
      <c r="F2887">
        <f t="shared" si="96"/>
        <v>-1.6820190633545968E-2</v>
      </c>
      <c r="G2887">
        <f t="shared" si="97"/>
        <v>-2.6384213692092109E-2</v>
      </c>
    </row>
    <row r="2888" spans="1:7" x14ac:dyDescent="0.35">
      <c r="A2888" t="s">
        <v>154</v>
      </c>
      <c r="E2888">
        <v>5.1687724389699839E-3</v>
      </c>
      <c r="F2888">
        <f t="shared" si="96"/>
        <v>-1.6830716876940256E-2</v>
      </c>
      <c r="G2888">
        <f t="shared" si="97"/>
        <v>-2.6384213692092109E-2</v>
      </c>
    </row>
    <row r="2889" spans="1:7" x14ac:dyDescent="0.35">
      <c r="A2889" t="s">
        <v>154</v>
      </c>
      <c r="E2889">
        <v>5.2610219043788672E-3</v>
      </c>
      <c r="F2889">
        <f t="shared" si="96"/>
        <v>-1.684124312033454E-2</v>
      </c>
      <c r="G2889">
        <f t="shared" si="97"/>
        <v>-2.6384213692092109E-2</v>
      </c>
    </row>
    <row r="2890" spans="1:7" x14ac:dyDescent="0.35">
      <c r="A2890" t="s">
        <v>154</v>
      </c>
      <c r="E2890">
        <v>-5.5465315791418347E-4</v>
      </c>
      <c r="F2890">
        <f t="shared" si="96"/>
        <v>-1.6851769363728824E-2</v>
      </c>
      <c r="G2890">
        <f t="shared" si="97"/>
        <v>-2.6384213692092109E-2</v>
      </c>
    </row>
    <row r="2891" spans="1:7" x14ac:dyDescent="0.35">
      <c r="A2891" t="s">
        <v>154</v>
      </c>
      <c r="E2891">
        <v>1.0312916483823399E-3</v>
      </c>
      <c r="F2891">
        <f t="shared" si="96"/>
        <v>-1.6862295607123108E-2</v>
      </c>
      <c r="G2891">
        <f t="shared" si="97"/>
        <v>-2.6384213692092109E-2</v>
      </c>
    </row>
    <row r="2892" spans="1:7" x14ac:dyDescent="0.35">
      <c r="A2892" t="s">
        <v>154</v>
      </c>
      <c r="E2892">
        <v>5.5241327184313684E-3</v>
      </c>
      <c r="F2892">
        <f t="shared" si="96"/>
        <v>-1.6872821850517392E-2</v>
      </c>
      <c r="G2892">
        <f t="shared" si="97"/>
        <v>-2.6384213692092109E-2</v>
      </c>
    </row>
    <row r="2893" spans="1:7" x14ac:dyDescent="0.35">
      <c r="A2893" t="s">
        <v>154</v>
      </c>
      <c r="E2893">
        <v>3.5632032553038172E-3</v>
      </c>
      <c r="F2893">
        <f t="shared" si="96"/>
        <v>-1.688334809391168E-2</v>
      </c>
      <c r="G2893">
        <f t="shared" si="97"/>
        <v>-2.6384213692092109E-2</v>
      </c>
    </row>
    <row r="2894" spans="1:7" x14ac:dyDescent="0.35">
      <c r="A2894" t="s">
        <v>154</v>
      </c>
      <c r="E2894">
        <v>1.9697346647015428E-3</v>
      </c>
      <c r="F2894">
        <f t="shared" si="96"/>
        <v>-1.6893874337305964E-2</v>
      </c>
      <c r="G2894">
        <f t="shared" si="97"/>
        <v>-2.6384213692092109E-2</v>
      </c>
    </row>
    <row r="2895" spans="1:7" x14ac:dyDescent="0.35">
      <c r="A2895" t="s">
        <v>154</v>
      </c>
      <c r="E2895">
        <v>-8.3394429059258039E-3</v>
      </c>
      <c r="F2895">
        <f t="shared" si="96"/>
        <v>-1.6904400580700248E-2</v>
      </c>
      <c r="G2895">
        <f t="shared" si="97"/>
        <v>-2.6384213692092109E-2</v>
      </c>
    </row>
    <row r="2896" spans="1:7" x14ac:dyDescent="0.35">
      <c r="A2896" t="s">
        <v>154</v>
      </c>
      <c r="E2896">
        <v>-2.771879733066758E-3</v>
      </c>
      <c r="F2896">
        <f t="shared" si="96"/>
        <v>-1.6914926824094532E-2</v>
      </c>
      <c r="G2896">
        <f t="shared" si="97"/>
        <v>-2.6384213692092109E-2</v>
      </c>
    </row>
    <row r="2897" spans="1:7" x14ac:dyDescent="0.35">
      <c r="A2897" t="s">
        <v>154</v>
      </c>
      <c r="E2897">
        <v>-7.3186762238111221E-3</v>
      </c>
      <c r="F2897">
        <f t="shared" si="96"/>
        <v>-1.6925453067488817E-2</v>
      </c>
      <c r="G2897">
        <f t="shared" si="97"/>
        <v>-2.6384213692092109E-2</v>
      </c>
    </row>
    <row r="2898" spans="1:7" x14ac:dyDescent="0.35">
      <c r="A2898" t="s">
        <v>154</v>
      </c>
      <c r="E2898">
        <v>-2.4555659644756037E-2</v>
      </c>
      <c r="F2898">
        <f t="shared" si="96"/>
        <v>-1.6935979310883104E-2</v>
      </c>
      <c r="G2898">
        <f t="shared" si="97"/>
        <v>-2.6384213692092109E-2</v>
      </c>
    </row>
    <row r="2899" spans="1:7" x14ac:dyDescent="0.35">
      <c r="A2899" t="s">
        <v>154</v>
      </c>
      <c r="E2899">
        <v>3.0562297065911577E-3</v>
      </c>
      <c r="F2899">
        <f t="shared" si="96"/>
        <v>-1.6720634021726671E-2</v>
      </c>
      <c r="G2899">
        <f t="shared" si="97"/>
        <v>-2.6214449502636235E-2</v>
      </c>
    </row>
    <row r="2900" spans="1:7" x14ac:dyDescent="0.35">
      <c r="A2900" t="s">
        <v>154</v>
      </c>
      <c r="E2900">
        <v>8.5640467491631574E-3</v>
      </c>
      <c r="F2900">
        <f t="shared" si="96"/>
        <v>-1.6746506929785975E-2</v>
      </c>
      <c r="G2900">
        <f t="shared" si="97"/>
        <v>-2.6214449502636235E-2</v>
      </c>
    </row>
    <row r="2901" spans="1:7" x14ac:dyDescent="0.35">
      <c r="A2901" t="s">
        <v>154</v>
      </c>
      <c r="E2901">
        <v>-2.815529366773168E-3</v>
      </c>
      <c r="F2901">
        <f t="shared" si="96"/>
        <v>-1.6757033173180259E-2</v>
      </c>
      <c r="G2901">
        <f t="shared" si="97"/>
        <v>-2.6424848226477355E-2</v>
      </c>
    </row>
    <row r="2902" spans="1:7" x14ac:dyDescent="0.35">
      <c r="A2902" t="s">
        <v>154</v>
      </c>
      <c r="E2902">
        <v>1.8244801658497797E-3</v>
      </c>
      <c r="F2902">
        <f t="shared" si="96"/>
        <v>-1.6767559416574544E-2</v>
      </c>
      <c r="G2902">
        <f t="shared" si="97"/>
        <v>-2.6424848226477355E-2</v>
      </c>
    </row>
    <row r="2903" spans="1:7" x14ac:dyDescent="0.35">
      <c r="A2903" t="s">
        <v>154</v>
      </c>
      <c r="E2903">
        <v>-1.5664222304116293E-3</v>
      </c>
      <c r="F2903">
        <f t="shared" si="96"/>
        <v>-1.6778085659968831E-2</v>
      </c>
      <c r="G2903">
        <f t="shared" si="97"/>
        <v>-2.6424848226477355E-2</v>
      </c>
    </row>
    <row r="2904" spans="1:7" x14ac:dyDescent="0.35">
      <c r="A2904" t="s">
        <v>154</v>
      </c>
      <c r="E2904">
        <v>2.3808910740939567E-3</v>
      </c>
      <c r="F2904">
        <f t="shared" si="96"/>
        <v>-1.6788611903363115E-2</v>
      </c>
      <c r="G2904">
        <f t="shared" si="97"/>
        <v>-2.6424848226477355E-2</v>
      </c>
    </row>
    <row r="2905" spans="1:7" x14ac:dyDescent="0.35">
      <c r="A2905" t="s">
        <v>154</v>
      </c>
      <c r="E2905">
        <v>-2.6043810626096876E-4</v>
      </c>
      <c r="F2905">
        <f t="shared" si="96"/>
        <v>-1.67991381467574E-2</v>
      </c>
      <c r="G2905">
        <f t="shared" si="97"/>
        <v>-2.6424848226477355E-2</v>
      </c>
    </row>
    <row r="2906" spans="1:7" x14ac:dyDescent="0.35">
      <c r="A2906" t="s">
        <v>155</v>
      </c>
      <c r="B2906" s="3" cm="1">
        <f t="array" ref="B2906">_xlfn.STDEV.S(_xlfn._xlws.FILTER($E$2013:$E$3011, $A$2013:$A$3011="2021-09"))</f>
        <v>9.961993764364397E-3</v>
      </c>
      <c r="C2906" s="3" cm="1">
        <f t="array" ref="C2906">AVERAGE(_xlfn._xlws.FILTER($E$2013:$E$3011, $A$2013:$A$3011="2021-09"))</f>
        <v>-1.1031374369810212E-3</v>
      </c>
      <c r="D2906" s="3" cm="1">
        <f t="array" ref="D2906">_xlfn.PERCENTILE.EXC(_xlfn._xlws.FILTER($E$2490:$E$3818, $A$2490:$A$3818="2021-09"), 0.05)</f>
        <v>-2.1293546279128051E-2</v>
      </c>
      <c r="E2906">
        <v>1.1684151000201788E-2</v>
      </c>
      <c r="F2906">
        <f t="shared" si="96"/>
        <v>-1.6809664390151684E-2</v>
      </c>
      <c r="G2906">
        <f t="shared" si="97"/>
        <v>-2.6424848226477355E-2</v>
      </c>
    </row>
    <row r="2907" spans="1:7" x14ac:dyDescent="0.35">
      <c r="A2907" t="s">
        <v>155</v>
      </c>
      <c r="E2907">
        <v>6.4932329927852692E-4</v>
      </c>
      <c r="F2907">
        <f t="shared" si="96"/>
        <v>-1.6820190633545968E-2</v>
      </c>
      <c r="G2907">
        <f t="shared" si="97"/>
        <v>-2.6424848226477355E-2</v>
      </c>
    </row>
    <row r="2908" spans="1:7" x14ac:dyDescent="0.35">
      <c r="A2908" t="s">
        <v>155</v>
      </c>
      <c r="E2908">
        <v>-1.0866028222070405E-2</v>
      </c>
      <c r="F2908">
        <f t="shared" si="96"/>
        <v>-1.6830716876940256E-2</v>
      </c>
      <c r="G2908">
        <f t="shared" si="97"/>
        <v>-2.6424848226477355E-2</v>
      </c>
    </row>
    <row r="2909" spans="1:7" x14ac:dyDescent="0.35">
      <c r="A2909" t="s">
        <v>155</v>
      </c>
      <c r="E2909">
        <v>7.966698604066241E-3</v>
      </c>
      <c r="F2909">
        <f t="shared" si="96"/>
        <v>-1.684124312033454E-2</v>
      </c>
      <c r="G2909">
        <f t="shared" si="97"/>
        <v>-2.6424848226477355E-2</v>
      </c>
    </row>
    <row r="2910" spans="1:7" x14ac:dyDescent="0.35">
      <c r="A2910" t="s">
        <v>155</v>
      </c>
      <c r="E2910">
        <v>-2.5880573364856691E-3</v>
      </c>
      <c r="F2910">
        <f t="shared" si="96"/>
        <v>-1.6851769363728824E-2</v>
      </c>
      <c r="G2910">
        <f t="shared" si="97"/>
        <v>-2.6424848226477355E-2</v>
      </c>
    </row>
    <row r="2911" spans="1:7" x14ac:dyDescent="0.35">
      <c r="A2911" t="s">
        <v>155</v>
      </c>
      <c r="E2911">
        <v>-8.5375913511721181E-3</v>
      </c>
      <c r="F2911">
        <f t="shared" si="96"/>
        <v>-1.6862295607123108E-2</v>
      </c>
      <c r="G2911">
        <f t="shared" si="97"/>
        <v>-2.6424848226477355E-2</v>
      </c>
    </row>
    <row r="2912" spans="1:7" x14ac:dyDescent="0.35">
      <c r="A2912" t="s">
        <v>155</v>
      </c>
      <c r="E2912">
        <v>2.3708955728416596E-3</v>
      </c>
      <c r="F2912">
        <f t="shared" si="96"/>
        <v>-1.6872821850517392E-2</v>
      </c>
      <c r="G2912">
        <f t="shared" si="97"/>
        <v>-2.6424848226477355E-2</v>
      </c>
    </row>
    <row r="2913" spans="1:7" x14ac:dyDescent="0.35">
      <c r="A2913" t="s">
        <v>155</v>
      </c>
      <c r="E2913">
        <v>-3.1389343965548392E-3</v>
      </c>
      <c r="F2913">
        <f t="shared" si="96"/>
        <v>-1.688334809391168E-2</v>
      </c>
      <c r="G2913">
        <f t="shared" si="97"/>
        <v>-2.6424848226477355E-2</v>
      </c>
    </row>
    <row r="2914" spans="1:7" x14ac:dyDescent="0.35">
      <c r="A2914" t="s">
        <v>155</v>
      </c>
      <c r="E2914">
        <v>1.9729106071852973E-3</v>
      </c>
      <c r="F2914">
        <f t="shared" si="96"/>
        <v>-1.6893874337305964E-2</v>
      </c>
      <c r="G2914">
        <f t="shared" si="97"/>
        <v>-2.6424848226477355E-2</v>
      </c>
    </row>
    <row r="2915" spans="1:7" x14ac:dyDescent="0.35">
      <c r="A2915" t="s">
        <v>155</v>
      </c>
      <c r="E2915">
        <v>-3.5949295649559407E-3</v>
      </c>
      <c r="F2915">
        <f t="shared" si="96"/>
        <v>-1.6904400580700248E-2</v>
      </c>
      <c r="G2915">
        <f t="shared" si="97"/>
        <v>-2.6424848226477355E-2</v>
      </c>
    </row>
    <row r="2916" spans="1:7" x14ac:dyDescent="0.35">
      <c r="A2916" t="s">
        <v>155</v>
      </c>
      <c r="E2916">
        <v>-1.0478625470840797E-2</v>
      </c>
      <c r="F2916">
        <f t="shared" si="96"/>
        <v>-1.6914926824094532E-2</v>
      </c>
      <c r="G2916">
        <f t="shared" si="97"/>
        <v>-2.6424848226477355E-2</v>
      </c>
    </row>
    <row r="2917" spans="1:7" x14ac:dyDescent="0.35">
      <c r="A2917" t="s">
        <v>155</v>
      </c>
      <c r="E2917">
        <v>5.9017860709262354E-3</v>
      </c>
      <c r="F2917">
        <f t="shared" si="96"/>
        <v>-1.6925453067488817E-2</v>
      </c>
      <c r="G2917">
        <f t="shared" si="97"/>
        <v>-2.6424848226477355E-2</v>
      </c>
    </row>
    <row r="2918" spans="1:7" x14ac:dyDescent="0.35">
      <c r="A2918" t="s">
        <v>155</v>
      </c>
      <c r="E2918">
        <v>-7.943780697066697E-3</v>
      </c>
      <c r="F2918">
        <f t="shared" si="96"/>
        <v>-1.6935979310883104E-2</v>
      </c>
      <c r="G2918">
        <f t="shared" si="97"/>
        <v>-2.6424848226477355E-2</v>
      </c>
    </row>
    <row r="2919" spans="1:7" x14ac:dyDescent="0.35">
      <c r="A2919" t="s">
        <v>155</v>
      </c>
      <c r="E2919">
        <v>-1.7562250861683771E-2</v>
      </c>
      <c r="F2919">
        <f t="shared" si="96"/>
        <v>-1.6946505554277388E-2</v>
      </c>
      <c r="G2919">
        <f t="shared" si="97"/>
        <v>-2.6424848226477355E-2</v>
      </c>
    </row>
    <row r="2920" spans="1:7" x14ac:dyDescent="0.35">
      <c r="A2920" t="s">
        <v>155</v>
      </c>
      <c r="E2920">
        <v>1.4901256158874079E-2</v>
      </c>
      <c r="F2920">
        <f t="shared" si="96"/>
        <v>-1.6746506929785975E-2</v>
      </c>
      <c r="G2920">
        <f t="shared" si="97"/>
        <v>-2.6406720583546293E-2</v>
      </c>
    </row>
    <row r="2921" spans="1:7" x14ac:dyDescent="0.35">
      <c r="A2921" t="s">
        <v>155</v>
      </c>
      <c r="E2921">
        <v>1.2778297457945204E-2</v>
      </c>
      <c r="F2921">
        <f t="shared" si="96"/>
        <v>-1.6757033173180259E-2</v>
      </c>
      <c r="G2921">
        <f t="shared" si="97"/>
        <v>-2.6626270893859025E-2</v>
      </c>
    </row>
    <row r="2922" spans="1:7" x14ac:dyDescent="0.35">
      <c r="A2922" t="s">
        <v>155</v>
      </c>
      <c r="E2922">
        <v>9.7429509630522337E-3</v>
      </c>
      <c r="F2922">
        <f t="shared" si="96"/>
        <v>-1.6767559416574544E-2</v>
      </c>
      <c r="G2922">
        <f t="shared" si="97"/>
        <v>-2.6626270893859025E-2</v>
      </c>
    </row>
    <row r="2923" spans="1:7" x14ac:dyDescent="0.35">
      <c r="A2923" t="s">
        <v>155</v>
      </c>
      <c r="E2923">
        <v>-9.5229962487318014E-3</v>
      </c>
      <c r="F2923">
        <f t="shared" si="96"/>
        <v>-1.6778085659968831E-2</v>
      </c>
      <c r="G2923">
        <f t="shared" si="97"/>
        <v>-2.6626270893859025E-2</v>
      </c>
    </row>
    <row r="2924" spans="1:7" x14ac:dyDescent="0.35">
      <c r="A2924" t="s">
        <v>155</v>
      </c>
      <c r="E2924">
        <v>1.873678532890671E-3</v>
      </c>
      <c r="F2924">
        <f t="shared" si="96"/>
        <v>-1.6788611903363115E-2</v>
      </c>
      <c r="G2924">
        <f t="shared" si="97"/>
        <v>-2.6626270893859025E-2</v>
      </c>
    </row>
    <row r="2925" spans="1:7" x14ac:dyDescent="0.35">
      <c r="A2925" t="s">
        <v>155</v>
      </c>
      <c r="E2925">
        <v>-2.1952010176324102E-2</v>
      </c>
      <c r="F2925">
        <f t="shared" si="96"/>
        <v>-1.67991381467574E-2</v>
      </c>
      <c r="G2925">
        <f t="shared" si="97"/>
        <v>-2.6626270893859025E-2</v>
      </c>
    </row>
    <row r="2926" spans="1:7" x14ac:dyDescent="0.35">
      <c r="A2926" t="s">
        <v>155</v>
      </c>
      <c r="E2926">
        <v>8.3108695053894285E-3</v>
      </c>
      <c r="F2926">
        <f t="shared" si="96"/>
        <v>-1.6384286216955736E-2</v>
      </c>
      <c r="G2926">
        <f t="shared" si="97"/>
        <v>-2.6507964001892249E-2</v>
      </c>
    </row>
    <row r="2927" spans="1:7" x14ac:dyDescent="0.35">
      <c r="A2927" t="s">
        <v>155</v>
      </c>
      <c r="E2927">
        <v>-6.2366370603476849E-3</v>
      </c>
      <c r="F2927">
        <f t="shared" si="96"/>
        <v>-1.6410159125015037E-2</v>
      </c>
      <c r="G2927">
        <f t="shared" si="97"/>
        <v>-2.6507964001892249E-2</v>
      </c>
    </row>
    <row r="2928" spans="1:7" x14ac:dyDescent="0.35">
      <c r="A2928" t="s">
        <v>156</v>
      </c>
      <c r="B2928" s="3" cm="1">
        <f t="array" ref="B2928">_xlfn.STDEV.S(_xlfn._xlws.FILTER($E$2013:$E$3011, $A$2013:$A$3011="2021-10"))</f>
        <v>7.7974403173796383E-3</v>
      </c>
      <c r="C2928" s="3" cm="1">
        <f t="array" ref="C2928">AVERAGE(_xlfn._xlws.FILTER($E$2013:$E$3011, $A$2013:$A$3011="2021-10"))</f>
        <v>2.214216335459717E-3</v>
      </c>
      <c r="D2928" s="3" cm="1">
        <f t="array" ref="D2928">_xlfn.PERCENTILE.EXC(_xlfn._xlws.FILTER($E$2490:$E$3818, $A$2490:$A$3818="2021-10"), 0.05)</f>
        <v>-1.226567870458053E-2</v>
      </c>
      <c r="E2928">
        <v>-3.5589099679970369E-4</v>
      </c>
      <c r="F2928">
        <f t="shared" si="96"/>
        <v>-1.6436032033074342E-2</v>
      </c>
      <c r="G2928">
        <f t="shared" si="97"/>
        <v>-2.6507964001892249E-2</v>
      </c>
    </row>
    <row r="2929" spans="1:7" x14ac:dyDescent="0.35">
      <c r="A2929" t="s">
        <v>156</v>
      </c>
      <c r="E2929">
        <v>-6.160684646162832E-3</v>
      </c>
      <c r="F2929">
        <f t="shared" si="96"/>
        <v>-1.6461904941133643E-2</v>
      </c>
      <c r="G2929">
        <f t="shared" si="97"/>
        <v>-2.6507964001892249E-2</v>
      </c>
    </row>
    <row r="2930" spans="1:7" x14ac:dyDescent="0.35">
      <c r="A2930" t="s">
        <v>156</v>
      </c>
      <c r="E2930">
        <v>1.5109901886087339E-2</v>
      </c>
      <c r="F2930">
        <f t="shared" si="96"/>
        <v>-1.6487777849192947E-2</v>
      </c>
      <c r="G2930">
        <f t="shared" si="97"/>
        <v>-2.6507964001892249E-2</v>
      </c>
    </row>
    <row r="2931" spans="1:7" x14ac:dyDescent="0.35">
      <c r="A2931" t="s">
        <v>156</v>
      </c>
      <c r="E2931">
        <v>-1.272608112571901E-2</v>
      </c>
      <c r="F2931">
        <f t="shared" si="96"/>
        <v>-1.6513650757252252E-2</v>
      </c>
      <c r="G2931">
        <f t="shared" si="97"/>
        <v>-2.6507964001892249E-2</v>
      </c>
    </row>
    <row r="2932" spans="1:7" x14ac:dyDescent="0.35">
      <c r="A2932" t="s">
        <v>156</v>
      </c>
      <c r="E2932">
        <v>1.6355281699682346E-2</v>
      </c>
      <c r="F2932">
        <f t="shared" si="96"/>
        <v>-1.6539523665311553E-2</v>
      </c>
      <c r="G2932">
        <f t="shared" si="97"/>
        <v>-2.6507964001892249E-2</v>
      </c>
    </row>
    <row r="2933" spans="1:7" x14ac:dyDescent="0.35">
      <c r="A2933" t="s">
        <v>156</v>
      </c>
      <c r="E2933">
        <v>-6.1093579322127733E-3</v>
      </c>
      <c r="F2933">
        <f t="shared" si="96"/>
        <v>-1.6565396573370857E-2</v>
      </c>
      <c r="G2933">
        <f t="shared" si="97"/>
        <v>-2.6507964001892249E-2</v>
      </c>
    </row>
    <row r="2934" spans="1:7" x14ac:dyDescent="0.35">
      <c r="A2934" t="s">
        <v>156</v>
      </c>
      <c r="E2934">
        <v>1.6069423351899549E-3</v>
      </c>
      <c r="F2934">
        <f t="shared" si="96"/>
        <v>-1.6591269481430158E-2</v>
      </c>
      <c r="G2934">
        <f t="shared" si="97"/>
        <v>-2.6507964001892249E-2</v>
      </c>
    </row>
    <row r="2935" spans="1:7" x14ac:dyDescent="0.35">
      <c r="A2935" t="s">
        <v>156</v>
      </c>
      <c r="E2935">
        <v>-3.419562509392913E-3</v>
      </c>
      <c r="F2935">
        <f t="shared" si="96"/>
        <v>-1.6617142389489463E-2</v>
      </c>
      <c r="G2935">
        <f t="shared" si="97"/>
        <v>-2.6507964001892249E-2</v>
      </c>
    </row>
    <row r="2936" spans="1:7" x14ac:dyDescent="0.35">
      <c r="A2936" t="s">
        <v>156</v>
      </c>
      <c r="E2936">
        <v>7.4961421316928649E-3</v>
      </c>
      <c r="F2936">
        <f t="shared" si="96"/>
        <v>-1.6643015297548764E-2</v>
      </c>
      <c r="G2936">
        <f t="shared" si="97"/>
        <v>-2.6507964001892249E-2</v>
      </c>
    </row>
    <row r="2937" spans="1:7" x14ac:dyDescent="0.35">
      <c r="A2937" t="s">
        <v>156</v>
      </c>
      <c r="E2937">
        <v>1.32250231509932E-2</v>
      </c>
      <c r="F2937">
        <f t="shared" si="96"/>
        <v>-1.6668888205608065E-2</v>
      </c>
      <c r="G2937">
        <f t="shared" si="97"/>
        <v>-2.6507964001892249E-2</v>
      </c>
    </row>
    <row r="2938" spans="1:7" x14ac:dyDescent="0.35">
      <c r="A2938" t="s">
        <v>156</v>
      </c>
      <c r="E2938">
        <v>6.308952813968283E-3</v>
      </c>
      <c r="F2938">
        <f t="shared" si="96"/>
        <v>-1.669476111366737E-2</v>
      </c>
      <c r="G2938">
        <f t="shared" si="97"/>
        <v>-2.6507964001892249E-2</v>
      </c>
    </row>
    <row r="2939" spans="1:7" x14ac:dyDescent="0.35">
      <c r="A2939" t="s">
        <v>156</v>
      </c>
      <c r="E2939">
        <v>-8.1220569143342081E-3</v>
      </c>
      <c r="F2939">
        <f t="shared" si="96"/>
        <v>-1.6720634021726671E-2</v>
      </c>
      <c r="G2939">
        <f t="shared" si="97"/>
        <v>-2.6507964001892249E-2</v>
      </c>
    </row>
    <row r="2940" spans="1:7" x14ac:dyDescent="0.35">
      <c r="A2940" t="s">
        <v>156</v>
      </c>
      <c r="E2940">
        <v>-4.8714865367444619E-4</v>
      </c>
      <c r="F2940">
        <f t="shared" si="96"/>
        <v>-1.6746506929785975E-2</v>
      </c>
      <c r="G2940">
        <f t="shared" si="97"/>
        <v>-2.6507964001892249E-2</v>
      </c>
    </row>
    <row r="2941" spans="1:7" x14ac:dyDescent="0.35">
      <c r="A2941" t="s">
        <v>156</v>
      </c>
      <c r="E2941">
        <v>5.3471185593850492E-3</v>
      </c>
      <c r="F2941">
        <f t="shared" si="96"/>
        <v>-1.6757033173180259E-2</v>
      </c>
      <c r="G2941">
        <f t="shared" si="97"/>
        <v>-2.6734974631476113E-2</v>
      </c>
    </row>
    <row r="2942" spans="1:7" x14ac:dyDescent="0.35">
      <c r="A2942" t="s">
        <v>156</v>
      </c>
      <c r="E2942">
        <v>-2.9032755399195495E-3</v>
      </c>
      <c r="F2942">
        <f t="shared" si="96"/>
        <v>-1.6767559416574544E-2</v>
      </c>
      <c r="G2942">
        <f t="shared" si="97"/>
        <v>-2.6734974631476113E-2</v>
      </c>
    </row>
    <row r="2943" spans="1:7" x14ac:dyDescent="0.35">
      <c r="A2943" t="s">
        <v>156</v>
      </c>
      <c r="E2943">
        <v>7.0820706947026116E-3</v>
      </c>
      <c r="F2943">
        <f t="shared" si="96"/>
        <v>-1.6778085659968831E-2</v>
      </c>
      <c r="G2943">
        <f t="shared" si="97"/>
        <v>-2.6734974631476113E-2</v>
      </c>
    </row>
    <row r="2944" spans="1:7" x14ac:dyDescent="0.35">
      <c r="A2944" t="s">
        <v>156</v>
      </c>
      <c r="E2944">
        <v>-3.0967052744976845E-3</v>
      </c>
      <c r="F2944">
        <f t="shared" si="96"/>
        <v>-1.6788611903363115E-2</v>
      </c>
      <c r="G2944">
        <f t="shared" si="97"/>
        <v>-2.6734974631476113E-2</v>
      </c>
    </row>
    <row r="2945" spans="1:7" x14ac:dyDescent="0.35">
      <c r="A2945" t="s">
        <v>156</v>
      </c>
      <c r="E2945">
        <v>7.9588650435395165E-3</v>
      </c>
      <c r="F2945">
        <f t="shared" si="96"/>
        <v>-1.67991381467574E-2</v>
      </c>
      <c r="G2945">
        <f t="shared" si="97"/>
        <v>-2.6734974631476113E-2</v>
      </c>
    </row>
    <row r="2946" spans="1:7" x14ac:dyDescent="0.35">
      <c r="A2946" t="s">
        <v>156</v>
      </c>
      <c r="E2946">
        <v>-1.9215939605394775E-3</v>
      </c>
      <c r="F2946">
        <f t="shared" si="96"/>
        <v>-1.6809664390151684E-2</v>
      </c>
      <c r="G2946">
        <f t="shared" si="97"/>
        <v>-2.6734974631476113E-2</v>
      </c>
    </row>
    <row r="2947" spans="1:7" x14ac:dyDescent="0.35">
      <c r="A2947" t="s">
        <v>156</v>
      </c>
      <c r="E2947">
        <v>7.4791574904034619E-3</v>
      </c>
      <c r="F2947">
        <f t="shared" si="96"/>
        <v>-1.6820190633545968E-2</v>
      </c>
      <c r="G2947">
        <f t="shared" si="97"/>
        <v>-2.6734974631476113E-2</v>
      </c>
    </row>
    <row r="2948" spans="1:7" x14ac:dyDescent="0.35">
      <c r="A2948" t="s">
        <v>156</v>
      </c>
      <c r="E2948">
        <v>3.8314447922620271E-3</v>
      </c>
      <c r="F2948">
        <f t="shared" ref="F2948:F3011" si="98">_xlfn.PERCENTILE.EXC(E2948:E6763,0.05)</f>
        <v>-1.6830716876940256E-2</v>
      </c>
      <c r="G2948">
        <f t="shared" ref="G2948:G3011" si="99">AVERAGEIFS(E2948:E6764,E2948:E6764,"&lt;=" &amp; F2948)</f>
        <v>-2.6734974631476113E-2</v>
      </c>
    </row>
    <row r="2949" spans="1:7" x14ac:dyDescent="0.35">
      <c r="A2949" t="s">
        <v>157</v>
      </c>
      <c r="B2949" s="3" cm="1">
        <f t="array" ref="B2949">_xlfn.STDEV.S(_xlfn._xlws.FILTER($E$2013:$E$3011, $A$2013:$A$3011="2021-11"))</f>
        <v>1.1631516385111621E-2</v>
      </c>
      <c r="C2949" s="3" cm="1">
        <f t="array" ref="C2949">AVERAGE(_xlfn._xlws.FILTER($E$2013:$E$3011, $A$2013:$A$3011="2021-11"))</f>
        <v>-7.324406381202822E-4</v>
      </c>
      <c r="D2949" s="3" cm="1">
        <f t="array" ref="D2949">_xlfn.PERCENTILE.EXC(_xlfn._xlws.FILTER($E$2490:$E$3818, $A$2490:$A$3818="2021-11"), 0.05)</f>
        <v>-4.2650141976235789E-2</v>
      </c>
      <c r="E2949">
        <v>9.1740219610653654E-3</v>
      </c>
      <c r="F2949">
        <f t="shared" si="98"/>
        <v>-1.684124312033454E-2</v>
      </c>
      <c r="G2949">
        <f t="shared" si="99"/>
        <v>-2.6734974631476113E-2</v>
      </c>
    </row>
    <row r="2950" spans="1:7" x14ac:dyDescent="0.35">
      <c r="A2950" t="s">
        <v>157</v>
      </c>
      <c r="E2950">
        <v>4.8826752248227953E-3</v>
      </c>
      <c r="F2950">
        <f t="shared" si="98"/>
        <v>-1.6851769363728824E-2</v>
      </c>
      <c r="G2950">
        <f t="shared" si="99"/>
        <v>-2.6734974631476113E-2</v>
      </c>
    </row>
    <row r="2951" spans="1:7" x14ac:dyDescent="0.35">
      <c r="A2951" t="s">
        <v>157</v>
      </c>
      <c r="E2951">
        <v>3.4040304730916359E-3</v>
      </c>
      <c r="F2951">
        <f t="shared" si="98"/>
        <v>-1.6862295607123108E-2</v>
      </c>
      <c r="G2951">
        <f t="shared" si="99"/>
        <v>-2.6734974631476113E-2</v>
      </c>
    </row>
    <row r="2952" spans="1:7" x14ac:dyDescent="0.35">
      <c r="A2952" t="s">
        <v>157</v>
      </c>
      <c r="E2952">
        <v>5.329159920018374E-3</v>
      </c>
      <c r="F2952">
        <f t="shared" si="98"/>
        <v>-1.6872821850517392E-2</v>
      </c>
      <c r="G2952">
        <f t="shared" si="99"/>
        <v>-2.6734974631476113E-2</v>
      </c>
    </row>
    <row r="2953" spans="1:7" x14ac:dyDescent="0.35">
      <c r="A2953" t="s">
        <v>157</v>
      </c>
      <c r="E2953">
        <v>7.556039479939684E-3</v>
      </c>
      <c r="F2953">
        <f t="shared" si="98"/>
        <v>-1.688334809391168E-2</v>
      </c>
      <c r="G2953">
        <f t="shared" si="99"/>
        <v>-2.6734974631476113E-2</v>
      </c>
    </row>
    <row r="2954" spans="1:7" x14ac:dyDescent="0.35">
      <c r="A2954" t="s">
        <v>157</v>
      </c>
      <c r="E2954">
        <v>9.4972633302078762E-4</v>
      </c>
      <c r="F2954">
        <f t="shared" si="98"/>
        <v>-1.6893874337305964E-2</v>
      </c>
      <c r="G2954">
        <f t="shared" si="99"/>
        <v>-2.6734974631476113E-2</v>
      </c>
    </row>
    <row r="2955" spans="1:7" x14ac:dyDescent="0.35">
      <c r="A2955" t="s">
        <v>157</v>
      </c>
      <c r="E2955">
        <v>-5.9755515146773098E-4</v>
      </c>
      <c r="F2955">
        <f t="shared" si="98"/>
        <v>-1.6904400580700248E-2</v>
      </c>
      <c r="G2955">
        <f t="shared" si="99"/>
        <v>-2.6734974631476113E-2</v>
      </c>
    </row>
    <row r="2956" spans="1:7" x14ac:dyDescent="0.35">
      <c r="A2956" t="s">
        <v>157</v>
      </c>
      <c r="E2956">
        <v>2.6830527054299972E-4</v>
      </c>
      <c r="F2956">
        <f t="shared" si="98"/>
        <v>-1.6914926824094532E-2</v>
      </c>
      <c r="G2956">
        <f t="shared" si="99"/>
        <v>-2.6734974631476113E-2</v>
      </c>
    </row>
    <row r="2957" spans="1:7" x14ac:dyDescent="0.35">
      <c r="A2957" t="s">
        <v>157</v>
      </c>
      <c r="E2957">
        <v>2.0404538615360164E-3</v>
      </c>
      <c r="F2957">
        <f t="shared" si="98"/>
        <v>-1.6925453067488817E-2</v>
      </c>
      <c r="G2957">
        <f t="shared" si="99"/>
        <v>-2.6734974631476113E-2</v>
      </c>
    </row>
    <row r="2958" spans="1:7" x14ac:dyDescent="0.35">
      <c r="A2958" t="s">
        <v>157</v>
      </c>
      <c r="E2958">
        <v>4.5014721671729485E-3</v>
      </c>
      <c r="F2958">
        <f t="shared" si="98"/>
        <v>-1.6935979310883104E-2</v>
      </c>
      <c r="G2958">
        <f t="shared" si="99"/>
        <v>-2.6734974631476113E-2</v>
      </c>
    </row>
    <row r="2959" spans="1:7" x14ac:dyDescent="0.35">
      <c r="A2959" t="s">
        <v>157</v>
      </c>
      <c r="E2959">
        <v>5.2362878371579151E-3</v>
      </c>
      <c r="F2959">
        <f t="shared" si="98"/>
        <v>-1.6946505554277388E-2</v>
      </c>
      <c r="G2959">
        <f t="shared" si="99"/>
        <v>-2.6734974631476113E-2</v>
      </c>
    </row>
    <row r="2960" spans="1:7" x14ac:dyDescent="0.35">
      <c r="A2960" t="s">
        <v>157</v>
      </c>
      <c r="E2960">
        <v>3.3568568686031027E-3</v>
      </c>
      <c r="F2960">
        <f t="shared" si="98"/>
        <v>-1.6957031797671673E-2</v>
      </c>
      <c r="G2960">
        <f t="shared" si="99"/>
        <v>-2.6734974631476113E-2</v>
      </c>
    </row>
    <row r="2961" spans="1:7" x14ac:dyDescent="0.35">
      <c r="A2961" t="s">
        <v>157</v>
      </c>
      <c r="E2961">
        <v>5.9401306478846063E-4</v>
      </c>
      <c r="F2961">
        <f t="shared" si="98"/>
        <v>-1.6965191716949879E-2</v>
      </c>
      <c r="G2961">
        <f t="shared" si="99"/>
        <v>-2.6967782794185741E-2</v>
      </c>
    </row>
    <row r="2962" spans="1:7" x14ac:dyDescent="0.35">
      <c r="A2962" t="s">
        <v>157</v>
      </c>
      <c r="E2962">
        <v>-2.0798912023669383E-3</v>
      </c>
      <c r="F2962">
        <f t="shared" si="98"/>
        <v>-1.6973351636228085E-2</v>
      </c>
      <c r="G2962">
        <f t="shared" si="99"/>
        <v>-2.6967782794185741E-2</v>
      </c>
    </row>
    <row r="2963" spans="1:7" x14ac:dyDescent="0.35">
      <c r="A2963" t="s">
        <v>157</v>
      </c>
      <c r="E2963">
        <v>-4.1657752990357328E-3</v>
      </c>
      <c r="F2963">
        <f t="shared" si="98"/>
        <v>-1.6981511555506291E-2</v>
      </c>
      <c r="G2963">
        <f t="shared" si="99"/>
        <v>-2.6967782794185741E-2</v>
      </c>
    </row>
    <row r="2964" spans="1:7" x14ac:dyDescent="0.35">
      <c r="A2964" t="s">
        <v>157</v>
      </c>
      <c r="E2964">
        <v>-1.0255119841955931E-3</v>
      </c>
      <c r="F2964">
        <f t="shared" si="98"/>
        <v>-1.6989671474784494E-2</v>
      </c>
      <c r="G2964">
        <f t="shared" si="99"/>
        <v>-2.6967782794185741E-2</v>
      </c>
    </row>
    <row r="2965" spans="1:7" x14ac:dyDescent="0.35">
      <c r="A2965" t="s">
        <v>157</v>
      </c>
      <c r="E2965">
        <v>-8.5345566169827622E-3</v>
      </c>
      <c r="F2965">
        <f t="shared" si="98"/>
        <v>-1.6997831394062704E-2</v>
      </c>
      <c r="G2965">
        <f t="shared" si="99"/>
        <v>-2.6967782794185741E-2</v>
      </c>
    </row>
    <row r="2966" spans="1:7" x14ac:dyDescent="0.35">
      <c r="A2966" t="s">
        <v>157</v>
      </c>
      <c r="E2966">
        <v>-3.3932355678278198E-4</v>
      </c>
      <c r="F2966">
        <f t="shared" si="98"/>
        <v>-1.7005991313340907E-2</v>
      </c>
      <c r="G2966">
        <f t="shared" si="99"/>
        <v>-2.6967782794185741E-2</v>
      </c>
    </row>
    <row r="2967" spans="1:7" x14ac:dyDescent="0.35">
      <c r="A2967" t="s">
        <v>157</v>
      </c>
      <c r="E2967">
        <v>4.7655227919135273E-3</v>
      </c>
      <c r="F2967">
        <f t="shared" si="98"/>
        <v>-1.7014151232619113E-2</v>
      </c>
      <c r="G2967">
        <f t="shared" si="99"/>
        <v>-2.6967782794185741E-2</v>
      </c>
    </row>
    <row r="2968" spans="1:7" x14ac:dyDescent="0.35">
      <c r="A2968" t="s">
        <v>157</v>
      </c>
      <c r="E2968">
        <v>-4.8670539392574569E-2</v>
      </c>
      <c r="F2968">
        <f t="shared" si="98"/>
        <v>-1.7022311151897319E-2</v>
      </c>
      <c r="G2968">
        <f t="shared" si="99"/>
        <v>-2.6967782794185741E-2</v>
      </c>
    </row>
    <row r="2969" spans="1:7" x14ac:dyDescent="0.35">
      <c r="A2969" t="s">
        <v>157</v>
      </c>
      <c r="E2969">
        <v>5.4039868177734604E-3</v>
      </c>
      <c r="F2969">
        <f t="shared" si="98"/>
        <v>-1.684124312033454E-2</v>
      </c>
      <c r="G2969">
        <f t="shared" si="99"/>
        <v>-2.6212699280021394E-2</v>
      </c>
    </row>
    <row r="2970" spans="1:7" x14ac:dyDescent="0.35">
      <c r="A2970" t="s">
        <v>157</v>
      </c>
      <c r="E2970">
        <v>-8.1630929066871926E-3</v>
      </c>
      <c r="F2970">
        <f t="shared" si="98"/>
        <v>-1.6851769363728824E-2</v>
      </c>
      <c r="G2970">
        <f t="shared" si="99"/>
        <v>-2.6212699280021394E-2</v>
      </c>
    </row>
    <row r="2971" spans="1:7" x14ac:dyDescent="0.35">
      <c r="A2971" t="s">
        <v>158</v>
      </c>
      <c r="B2971" s="3" cm="1">
        <f t="array" ref="B2971">_xlfn.STDEV.S(_xlfn._xlws.FILTER($E$2013:$E$3011, $A$2013:$A$3011="2021-12"))</f>
        <v>1.1806416288253525E-2</v>
      </c>
      <c r="C2971" s="3" cm="1">
        <f t="array" ref="C2971">AVERAGE(_xlfn._xlws.FILTER($E$2013:$E$3011, $A$2013:$A$3011="2021-12"))</f>
        <v>3.4260675069228098E-3</v>
      </c>
      <c r="D2971" s="3" cm="1">
        <f t="array" ref="D2971">_xlfn.PERCENTILE.EXC(_xlfn._xlws.FILTER($E$2490:$E$3818, $A$2490:$A$3818="2021-12"), 0.05)</f>
        <v>-1.2593000551130882E-2</v>
      </c>
      <c r="E2971">
        <v>2.3629658653549834E-2</v>
      </c>
      <c r="F2971">
        <f t="shared" si="98"/>
        <v>-1.6862295607123108E-2</v>
      </c>
      <c r="G2971">
        <f t="shared" si="99"/>
        <v>-2.6212699280021394E-2</v>
      </c>
    </row>
    <row r="2972" spans="1:7" x14ac:dyDescent="0.35">
      <c r="A2972" t="s">
        <v>158</v>
      </c>
      <c r="E2972">
        <v>-1.2593000551130882E-2</v>
      </c>
      <c r="F2972">
        <f t="shared" si="98"/>
        <v>-1.6872821850517392E-2</v>
      </c>
      <c r="G2972">
        <f t="shared" si="99"/>
        <v>-2.6212699280021394E-2</v>
      </c>
    </row>
    <row r="2973" spans="1:7" x14ac:dyDescent="0.35">
      <c r="A2973" t="s">
        <v>158</v>
      </c>
      <c r="E2973">
        <v>-4.4582918962402926E-3</v>
      </c>
      <c r="F2973">
        <f t="shared" si="98"/>
        <v>-1.688334809391168E-2</v>
      </c>
      <c r="G2973">
        <f t="shared" si="99"/>
        <v>-2.6212699280021394E-2</v>
      </c>
    </row>
    <row r="2974" spans="1:7" x14ac:dyDescent="0.35">
      <c r="A2974" t="s">
        <v>158</v>
      </c>
      <c r="E2974">
        <v>1.4710527684423871E-2</v>
      </c>
      <c r="F2974">
        <f t="shared" si="98"/>
        <v>-1.6893874337305964E-2</v>
      </c>
      <c r="G2974">
        <f t="shared" si="99"/>
        <v>-2.6212699280021394E-2</v>
      </c>
    </row>
    <row r="2975" spans="1:7" x14ac:dyDescent="0.35">
      <c r="A2975" t="s">
        <v>158</v>
      </c>
      <c r="E2975">
        <v>2.8658563735120712E-2</v>
      </c>
      <c r="F2975">
        <f t="shared" si="98"/>
        <v>-1.6904400580700248E-2</v>
      </c>
      <c r="G2975">
        <f t="shared" si="99"/>
        <v>-2.6212699280021394E-2</v>
      </c>
    </row>
    <row r="2976" spans="1:7" x14ac:dyDescent="0.35">
      <c r="A2976" t="s">
        <v>158</v>
      </c>
      <c r="E2976">
        <v>-7.2188018560163693E-3</v>
      </c>
      <c r="F2976">
        <f t="shared" si="98"/>
        <v>-1.6914926824094532E-2</v>
      </c>
      <c r="G2976">
        <f t="shared" si="99"/>
        <v>-2.6212699280021394E-2</v>
      </c>
    </row>
    <row r="2977" spans="1:7" x14ac:dyDescent="0.35">
      <c r="A2977" t="s">
        <v>158</v>
      </c>
      <c r="E2977">
        <v>-9.0424172518945945E-4</v>
      </c>
      <c r="F2977">
        <f t="shared" si="98"/>
        <v>-1.6925453067488817E-2</v>
      </c>
      <c r="G2977">
        <f t="shared" si="99"/>
        <v>-2.6212699280021394E-2</v>
      </c>
    </row>
    <row r="2978" spans="1:7" x14ac:dyDescent="0.35">
      <c r="A2978" t="s">
        <v>158</v>
      </c>
      <c r="E2978">
        <v>-2.3643020147180267E-3</v>
      </c>
      <c r="F2978">
        <f t="shared" si="98"/>
        <v>-1.6935979310883104E-2</v>
      </c>
      <c r="G2978">
        <f t="shared" si="99"/>
        <v>-2.6212699280021394E-2</v>
      </c>
    </row>
    <row r="2979" spans="1:7" x14ac:dyDescent="0.35">
      <c r="A2979" t="s">
        <v>158</v>
      </c>
      <c r="E2979">
        <v>-6.999875724643943E-3</v>
      </c>
      <c r="F2979">
        <f t="shared" si="98"/>
        <v>-1.6946505554277388E-2</v>
      </c>
      <c r="G2979">
        <f t="shared" si="99"/>
        <v>-2.6212699280021394E-2</v>
      </c>
    </row>
    <row r="2980" spans="1:7" x14ac:dyDescent="0.35">
      <c r="A2980" t="s">
        <v>158</v>
      </c>
      <c r="E2980">
        <v>-6.8795246402634323E-3</v>
      </c>
      <c r="F2980">
        <f t="shared" si="98"/>
        <v>-1.6957031797671673E-2</v>
      </c>
      <c r="G2980">
        <f t="shared" si="99"/>
        <v>-2.6212699280021394E-2</v>
      </c>
    </row>
    <row r="2981" spans="1:7" x14ac:dyDescent="0.35">
      <c r="A2981" t="s">
        <v>158</v>
      </c>
      <c r="E2981">
        <v>4.6762930168296407E-3</v>
      </c>
      <c r="F2981">
        <f t="shared" si="98"/>
        <v>-1.6965191716949879E-2</v>
      </c>
      <c r="G2981">
        <f t="shared" si="99"/>
        <v>-2.6438447267395776E-2</v>
      </c>
    </row>
    <row r="2982" spans="1:7" x14ac:dyDescent="0.35">
      <c r="A2982" t="s">
        <v>158</v>
      </c>
      <c r="E2982">
        <v>1.1116409233837962E-2</v>
      </c>
      <c r="F2982">
        <f t="shared" si="98"/>
        <v>-1.6973351636228085E-2</v>
      </c>
      <c r="G2982">
        <f t="shared" si="99"/>
        <v>-2.6438447267395776E-2</v>
      </c>
    </row>
    <row r="2983" spans="1:7" x14ac:dyDescent="0.35">
      <c r="A2983" t="s">
        <v>158</v>
      </c>
      <c r="E2983">
        <v>-1.1260769163814244E-2</v>
      </c>
      <c r="F2983">
        <f t="shared" si="98"/>
        <v>-1.6981511555506291E-2</v>
      </c>
      <c r="G2983">
        <f t="shared" si="99"/>
        <v>-2.6438447267395776E-2</v>
      </c>
    </row>
    <row r="2984" spans="1:7" x14ac:dyDescent="0.35">
      <c r="A2984" t="s">
        <v>158</v>
      </c>
      <c r="E2984">
        <v>-8.1947412683921403E-3</v>
      </c>
      <c r="F2984">
        <f t="shared" si="98"/>
        <v>-1.6989671474784494E-2</v>
      </c>
      <c r="G2984">
        <f t="shared" si="99"/>
        <v>-2.6438447267395776E-2</v>
      </c>
    </row>
    <row r="2985" spans="1:7" x14ac:dyDescent="0.35">
      <c r="A2985" t="s">
        <v>158</v>
      </c>
      <c r="E2985">
        <v>1.3717509311481951E-2</v>
      </c>
      <c r="F2985">
        <f t="shared" si="98"/>
        <v>-1.6997831394062704E-2</v>
      </c>
      <c r="G2985">
        <f t="shared" si="99"/>
        <v>-2.6438447267395776E-2</v>
      </c>
    </row>
    <row r="2986" spans="1:7" x14ac:dyDescent="0.35">
      <c r="A2986" t="s">
        <v>158</v>
      </c>
      <c r="E2986">
        <v>1.2368296724739557E-2</v>
      </c>
      <c r="F2986">
        <f t="shared" si="98"/>
        <v>-1.7005991313340907E-2</v>
      </c>
      <c r="G2986">
        <f t="shared" si="99"/>
        <v>-2.6438447267395776E-2</v>
      </c>
    </row>
    <row r="2987" spans="1:7" x14ac:dyDescent="0.35">
      <c r="A2987" t="s">
        <v>158</v>
      </c>
      <c r="E2987">
        <v>7.6961380927844034E-3</v>
      </c>
      <c r="F2987">
        <f t="shared" si="98"/>
        <v>-1.7014151232619113E-2</v>
      </c>
      <c r="G2987">
        <f t="shared" si="99"/>
        <v>-2.6438447267395776E-2</v>
      </c>
    </row>
    <row r="2988" spans="1:7" x14ac:dyDescent="0.35">
      <c r="A2988" t="s">
        <v>158</v>
      </c>
      <c r="E2988">
        <v>7.7616426468246798E-3</v>
      </c>
      <c r="F2988">
        <f t="shared" si="98"/>
        <v>-1.7022311151897319E-2</v>
      </c>
      <c r="G2988">
        <f t="shared" si="99"/>
        <v>-2.6438447267395776E-2</v>
      </c>
    </row>
    <row r="2989" spans="1:7" x14ac:dyDescent="0.35">
      <c r="A2989" t="s">
        <v>158</v>
      </c>
      <c r="E2989">
        <v>1.633792372349546E-3</v>
      </c>
      <c r="F2989">
        <f t="shared" si="98"/>
        <v>-1.7030471071175526E-2</v>
      </c>
      <c r="G2989">
        <f t="shared" si="99"/>
        <v>-2.6438447267395776E-2</v>
      </c>
    </row>
    <row r="2990" spans="1:7" x14ac:dyDescent="0.35">
      <c r="A2990" t="s">
        <v>159</v>
      </c>
      <c r="B2990" s="3" cm="1">
        <f t="array" ref="B2990">_xlfn.STDEV.S(_xlfn._xlws.FILTER($E$2013:$E$3011, $A$2013:$A$3011="2022-01"))</f>
        <v>1.443097843702267E-2</v>
      </c>
      <c r="C2990" s="3" cm="1">
        <f t="array" ref="C2990">AVERAGE(_xlfn._xlws.FILTER($E$2013:$E$3011, $A$2013:$A$3011="2022-01"))</f>
        <v>-1.228009225366959E-3</v>
      </c>
      <c r="D2990" s="3" cm="1">
        <f t="array" ref="D2990">_xlfn.PERCENTILE.EXC(_xlfn._xlws.FILTER($E$2490:$E$3818, $A$2490:$A$3818="2022-01"), 0.05)</f>
        <v>-3.9389263051264514E-2</v>
      </c>
      <c r="E2990">
        <v>1.9900398908468172E-2</v>
      </c>
      <c r="F2990">
        <f t="shared" si="98"/>
        <v>-1.7038630990453732E-2</v>
      </c>
      <c r="G2990">
        <f t="shared" si="99"/>
        <v>-2.6438447267395776E-2</v>
      </c>
    </row>
    <row r="2991" spans="1:7" x14ac:dyDescent="0.35">
      <c r="A2991" t="s">
        <v>159</v>
      </c>
      <c r="E2991">
        <v>8.0252074602666403E-3</v>
      </c>
      <c r="F2991">
        <f t="shared" si="98"/>
        <v>-1.7046790909731938E-2</v>
      </c>
      <c r="G2991">
        <f t="shared" si="99"/>
        <v>-2.6438447267395776E-2</v>
      </c>
    </row>
    <row r="2992" spans="1:7" x14ac:dyDescent="0.35">
      <c r="A2992" t="s">
        <v>159</v>
      </c>
      <c r="E2992">
        <v>-1.7327076470810263E-2</v>
      </c>
      <c r="F2992">
        <f t="shared" si="98"/>
        <v>-1.7054950829010145E-2</v>
      </c>
      <c r="G2992">
        <f t="shared" si="99"/>
        <v>-2.6438447267395776E-2</v>
      </c>
    </row>
    <row r="2993" spans="1:7" x14ac:dyDescent="0.35">
      <c r="A2993" t="s">
        <v>159</v>
      </c>
      <c r="E2993">
        <v>-4.1716430648319845E-3</v>
      </c>
      <c r="F2993">
        <f t="shared" si="98"/>
        <v>-1.688334809391168E-2</v>
      </c>
      <c r="G2993">
        <f t="shared" si="99"/>
        <v>-2.6429421787563124E-2</v>
      </c>
    </row>
    <row r="2994" spans="1:7" x14ac:dyDescent="0.35">
      <c r="A2994" t="s">
        <v>159</v>
      </c>
      <c r="E2994">
        <v>-1.4469480398061608E-2</v>
      </c>
      <c r="F2994">
        <f t="shared" si="98"/>
        <v>-1.6893874337305964E-2</v>
      </c>
      <c r="G2994">
        <f t="shared" si="99"/>
        <v>-2.6429421787563124E-2</v>
      </c>
    </row>
    <row r="2995" spans="1:7" x14ac:dyDescent="0.35">
      <c r="A2995" t="s">
        <v>159</v>
      </c>
      <c r="E2995">
        <v>9.4565766279784188E-3</v>
      </c>
      <c r="F2995">
        <f t="shared" si="98"/>
        <v>-1.6904400580700248E-2</v>
      </c>
      <c r="G2995">
        <f t="shared" si="99"/>
        <v>-2.6429421787563124E-2</v>
      </c>
    </row>
    <row r="2996" spans="1:7" x14ac:dyDescent="0.35">
      <c r="A2996" t="s">
        <v>159</v>
      </c>
      <c r="E2996">
        <v>7.4629851317352712E-3</v>
      </c>
      <c r="F2996">
        <f t="shared" si="98"/>
        <v>-1.6914926824094532E-2</v>
      </c>
      <c r="G2996">
        <f t="shared" si="99"/>
        <v>-2.6429421787563124E-2</v>
      </c>
    </row>
    <row r="2997" spans="1:7" x14ac:dyDescent="0.35">
      <c r="A2997" t="s">
        <v>159</v>
      </c>
      <c r="E2997">
        <v>-4.9936626900579104E-3</v>
      </c>
      <c r="F2997">
        <f t="shared" si="98"/>
        <v>-1.6925453067488817E-2</v>
      </c>
      <c r="G2997">
        <f t="shared" si="99"/>
        <v>-2.6429421787563124E-2</v>
      </c>
    </row>
    <row r="2998" spans="1:7" x14ac:dyDescent="0.35">
      <c r="A2998" t="s">
        <v>159</v>
      </c>
      <c r="E2998">
        <v>-8.106490649108275E-3</v>
      </c>
      <c r="F2998">
        <f t="shared" si="98"/>
        <v>-1.6935979310883104E-2</v>
      </c>
      <c r="G2998">
        <f t="shared" si="99"/>
        <v>-2.6429421787563124E-2</v>
      </c>
    </row>
    <row r="2999" spans="1:7" x14ac:dyDescent="0.35">
      <c r="A2999" t="s">
        <v>159</v>
      </c>
      <c r="E2999">
        <v>8.175921689532616E-3</v>
      </c>
      <c r="F2999">
        <f t="shared" si="98"/>
        <v>-1.6946505554277388E-2</v>
      </c>
      <c r="G2999">
        <f t="shared" si="99"/>
        <v>-2.6429421787563124E-2</v>
      </c>
    </row>
    <row r="3000" spans="1:7" x14ac:dyDescent="0.35">
      <c r="A3000" t="s">
        <v>159</v>
      </c>
      <c r="E3000">
        <v>-9.4605207582367738E-3</v>
      </c>
      <c r="F3000">
        <f t="shared" si="98"/>
        <v>-1.6957031797671673E-2</v>
      </c>
      <c r="G3000">
        <f t="shared" si="99"/>
        <v>-2.6429421787563124E-2</v>
      </c>
    </row>
    <row r="3001" spans="1:7" x14ac:dyDescent="0.35">
      <c r="A3001" t="s">
        <v>159</v>
      </c>
      <c r="E3001">
        <v>5.4729318026250058E-3</v>
      </c>
      <c r="F3001">
        <f t="shared" si="98"/>
        <v>-1.6965191716949879E-2</v>
      </c>
      <c r="G3001">
        <f t="shared" si="99"/>
        <v>-2.666623153731041E-2</v>
      </c>
    </row>
    <row r="3002" spans="1:7" x14ac:dyDescent="0.35">
      <c r="A3002" t="s">
        <v>159</v>
      </c>
      <c r="E3002">
        <v>2.9483968755397469E-3</v>
      </c>
      <c r="F3002">
        <f t="shared" si="98"/>
        <v>-1.6973351636228085E-2</v>
      </c>
      <c r="G3002">
        <f t="shared" si="99"/>
        <v>-2.666623153731041E-2</v>
      </c>
    </row>
    <row r="3003" spans="1:7" x14ac:dyDescent="0.35">
      <c r="A3003" t="s">
        <v>159</v>
      </c>
      <c r="E3003">
        <v>-1.7608559992602114E-2</v>
      </c>
      <c r="F3003">
        <f t="shared" si="98"/>
        <v>-1.6981511555506291E-2</v>
      </c>
      <c r="G3003">
        <f t="shared" si="99"/>
        <v>-2.666623153731041E-2</v>
      </c>
    </row>
    <row r="3004" spans="1:7" x14ac:dyDescent="0.35">
      <c r="A3004" t="s">
        <v>159</v>
      </c>
      <c r="E3004">
        <v>-4.0535615843825694E-2</v>
      </c>
      <c r="F3004">
        <f t="shared" si="98"/>
        <v>-1.6788611903363115E-2</v>
      </c>
      <c r="G3004">
        <f t="shared" si="99"/>
        <v>-2.664994333243715E-2</v>
      </c>
    </row>
    <row r="3005" spans="1:7" x14ac:dyDescent="0.35">
      <c r="A3005" t="s">
        <v>159</v>
      </c>
      <c r="E3005">
        <v>7.3640315904877195E-3</v>
      </c>
      <c r="F3005">
        <f t="shared" si="98"/>
        <v>-1.6358413308896435E-2</v>
      </c>
      <c r="G3005">
        <f t="shared" si="99"/>
        <v>-2.6055215609586152E-2</v>
      </c>
    </row>
    <row r="3006" spans="1:7" x14ac:dyDescent="0.35">
      <c r="A3006" t="s">
        <v>159</v>
      </c>
      <c r="E3006">
        <v>2.0840238112604093E-2</v>
      </c>
      <c r="F3006">
        <f t="shared" si="98"/>
        <v>-1.6384286216955736E-2</v>
      </c>
      <c r="G3006">
        <f t="shared" si="99"/>
        <v>-2.6055215609586152E-2</v>
      </c>
    </row>
    <row r="3007" spans="1:7" x14ac:dyDescent="0.35">
      <c r="A3007" t="s">
        <v>159</v>
      </c>
      <c r="E3007">
        <v>5.9747024743689913E-3</v>
      </c>
      <c r="F3007">
        <f t="shared" si="98"/>
        <v>-1.6410159125015037E-2</v>
      </c>
      <c r="G3007">
        <f t="shared" si="99"/>
        <v>-2.6055215609586152E-2</v>
      </c>
    </row>
    <row r="3008" spans="1:7" x14ac:dyDescent="0.35">
      <c r="A3008" t="s">
        <v>159</v>
      </c>
      <c r="E3008">
        <v>-8.2804368567522598E-3</v>
      </c>
      <c r="F3008">
        <f t="shared" si="98"/>
        <v>-1.6436032033074342E-2</v>
      </c>
      <c r="G3008">
        <f t="shared" si="99"/>
        <v>-2.6055215609586152E-2</v>
      </c>
    </row>
    <row r="3009" spans="1:7" x14ac:dyDescent="0.35">
      <c r="A3009" t="s">
        <v>159</v>
      </c>
      <c r="E3009">
        <v>4.7719115433410321E-3</v>
      </c>
      <c r="F3009">
        <f t="shared" si="98"/>
        <v>-1.6461904941133643E-2</v>
      </c>
      <c r="G3009">
        <f t="shared" si="99"/>
        <v>-2.6055215609586152E-2</v>
      </c>
    </row>
    <row r="3010" spans="1:7" x14ac:dyDescent="0.35">
      <c r="A3010" t="s">
        <v>160</v>
      </c>
      <c r="B3010" s="3" cm="1">
        <f t="array" ref="B3010">_xlfn.STDEV.S(_xlfn._xlws.FILTER($E$2013:$E$3011, $A$2013:$A$3011="2022-02"))</f>
        <v>8.4901358983627568E-3</v>
      </c>
      <c r="C3010" s="3" cm="1">
        <f t="array" ref="C3010">AVERAGE(_xlfn._xlws.FILTER($E$2013:$E$3011, $A$2013:$A$3011="2022-02"))</f>
        <v>8.223661004539997E-3</v>
      </c>
      <c r="D3010" s="3" cm="1">
        <f t="array" ref="D3010">_xlfn.PERCENTILE.EXC(_xlfn._xlws.FILTER($E$2490:$E$3818, $A$2490:$A$3818="2022-02"), 0.05)</f>
        <v>-3.823829323963087E-2</v>
      </c>
      <c r="E3010">
        <v>1.4227093671467643E-2</v>
      </c>
      <c r="F3010">
        <f t="shared" si="98"/>
        <v>-1.6487777849192947E-2</v>
      </c>
      <c r="G3010">
        <f t="shared" si="99"/>
        <v>-2.6055215609586152E-2</v>
      </c>
    </row>
    <row r="3011" spans="1:7" x14ac:dyDescent="0.35">
      <c r="A3011" t="s">
        <v>160</v>
      </c>
      <c r="E3011">
        <v>2.2202283376123494E-3</v>
      </c>
      <c r="F3011">
        <f t="shared" si="98"/>
        <v>-1.6513650757252252E-2</v>
      </c>
      <c r="G3011">
        <f t="shared" si="99"/>
        <v>-2.6055215609586152E-2</v>
      </c>
    </row>
    <row r="3012" spans="1:7" x14ac:dyDescent="0.35">
      <c r="A3012" t="s">
        <v>160</v>
      </c>
      <c r="E3012">
        <v>-1.5529067313834081E-2</v>
      </c>
      <c r="F3012">
        <f t="shared" ref="F3012:F3075" si="100">_xlfn.PERCENTILE.EXC(E3012:E6827,0.05)</f>
        <v>-1.6539523665311553E-2</v>
      </c>
      <c r="G3012">
        <f t="shared" ref="G3012:G3075" si="101">AVERAGEIFS(E3012:E6828,E3012:E6828,"&lt;=" &amp; F3012)</f>
        <v>-2.6055215609586152E-2</v>
      </c>
    </row>
    <row r="3013" spans="1:7" x14ac:dyDescent="0.35">
      <c r="A3013" t="s">
        <v>160</v>
      </c>
      <c r="E3013">
        <v>-7.7739104880399767E-3</v>
      </c>
      <c r="F3013">
        <f t="shared" si="100"/>
        <v>-1.6565396573370857E-2</v>
      </c>
      <c r="G3013">
        <f t="shared" si="101"/>
        <v>-2.6055215609586152E-2</v>
      </c>
    </row>
    <row r="3014" spans="1:7" x14ac:dyDescent="0.35">
      <c r="A3014" t="s">
        <v>160</v>
      </c>
      <c r="E3014">
        <v>8.2905042912698006E-3</v>
      </c>
      <c r="F3014">
        <f t="shared" si="100"/>
        <v>-1.6591269481430158E-2</v>
      </c>
      <c r="G3014">
        <f t="shared" si="101"/>
        <v>-2.6055215609586152E-2</v>
      </c>
    </row>
    <row r="3015" spans="1:7" x14ac:dyDescent="0.35">
      <c r="A3015" t="s">
        <v>160</v>
      </c>
      <c r="E3015">
        <v>2.7298013911241708E-3</v>
      </c>
      <c r="F3015">
        <f t="shared" si="100"/>
        <v>-1.6617142389489463E-2</v>
      </c>
      <c r="G3015">
        <f t="shared" si="101"/>
        <v>-2.6055215609586152E-2</v>
      </c>
    </row>
    <row r="3016" spans="1:7" x14ac:dyDescent="0.35">
      <c r="A3016" t="s">
        <v>160</v>
      </c>
      <c r="E3016">
        <v>1.4474142270686446E-2</v>
      </c>
      <c r="F3016">
        <f t="shared" si="100"/>
        <v>-1.6643015297548764E-2</v>
      </c>
      <c r="G3016">
        <f t="shared" si="101"/>
        <v>-2.6055215609586152E-2</v>
      </c>
    </row>
    <row r="3017" spans="1:7" x14ac:dyDescent="0.35">
      <c r="A3017" t="s">
        <v>160</v>
      </c>
      <c r="E3017">
        <v>-4.1215788899093006E-3</v>
      </c>
      <c r="F3017">
        <f t="shared" si="100"/>
        <v>-1.6668888205608065E-2</v>
      </c>
      <c r="G3017">
        <f t="shared" si="101"/>
        <v>-2.6055215609586152E-2</v>
      </c>
    </row>
    <row r="3018" spans="1:7" x14ac:dyDescent="0.35">
      <c r="A3018" t="s">
        <v>160</v>
      </c>
      <c r="E3018">
        <v>-1.2747149714040302E-2</v>
      </c>
      <c r="F3018">
        <f t="shared" si="100"/>
        <v>-1.669476111366737E-2</v>
      </c>
      <c r="G3018">
        <f t="shared" si="101"/>
        <v>-2.6055215609586152E-2</v>
      </c>
    </row>
    <row r="3019" spans="1:7" x14ac:dyDescent="0.35">
      <c r="A3019" t="s">
        <v>160</v>
      </c>
      <c r="E3019">
        <v>-2.2996151772273623E-2</v>
      </c>
      <c r="F3019">
        <f t="shared" si="100"/>
        <v>-1.6720634021726671E-2</v>
      </c>
      <c r="G3019">
        <f t="shared" si="101"/>
        <v>-2.6055215609586152E-2</v>
      </c>
    </row>
    <row r="3020" spans="1:7" x14ac:dyDescent="0.35">
      <c r="A3020" t="s">
        <v>160</v>
      </c>
      <c r="E3020">
        <v>1.8474850176794309E-2</v>
      </c>
      <c r="F3020">
        <f t="shared" si="100"/>
        <v>-1.6229048768599923E-2</v>
      </c>
      <c r="G3020">
        <f t="shared" si="101"/>
        <v>-2.5886038034494314E-2</v>
      </c>
    </row>
    <row r="3021" spans="1:7" x14ac:dyDescent="0.35">
      <c r="A3021" t="s">
        <v>160</v>
      </c>
      <c r="E3021">
        <v>-2.1498830434881428E-3</v>
      </c>
      <c r="F3021">
        <f t="shared" si="100"/>
        <v>-1.6254921676659224E-2</v>
      </c>
      <c r="G3021">
        <f t="shared" si="101"/>
        <v>-2.6133653143876216E-2</v>
      </c>
    </row>
    <row r="3022" spans="1:7" x14ac:dyDescent="0.35">
      <c r="A3022" t="s">
        <v>160</v>
      </c>
      <c r="E3022">
        <v>-2.6107348171741838E-3</v>
      </c>
      <c r="F3022">
        <f t="shared" si="100"/>
        <v>-1.6280794584718525E-2</v>
      </c>
      <c r="G3022">
        <f t="shared" si="101"/>
        <v>-2.6133653143876216E-2</v>
      </c>
    </row>
    <row r="3023" spans="1:7" x14ac:dyDescent="0.35">
      <c r="A3023" t="s">
        <v>160</v>
      </c>
      <c r="E3023">
        <v>-2.4775801870452032E-3</v>
      </c>
      <c r="F3023">
        <f t="shared" si="100"/>
        <v>-1.6306667492777829E-2</v>
      </c>
      <c r="G3023">
        <f t="shared" si="101"/>
        <v>-2.6133653143876216E-2</v>
      </c>
    </row>
    <row r="3024" spans="1:7" x14ac:dyDescent="0.35">
      <c r="A3024" t="s">
        <v>160</v>
      </c>
      <c r="E3024">
        <v>-2.059998621419078E-2</v>
      </c>
      <c r="F3024">
        <f t="shared" si="100"/>
        <v>-1.633254040083713E-2</v>
      </c>
      <c r="G3024">
        <f t="shared" si="101"/>
        <v>-2.6133653143876216E-2</v>
      </c>
    </row>
    <row r="3025" spans="1:7" x14ac:dyDescent="0.35">
      <c r="A3025" t="s">
        <v>160</v>
      </c>
      <c r="E3025">
        <v>-1.090163923429769E-4</v>
      </c>
      <c r="F3025">
        <f t="shared" si="100"/>
        <v>-1.62286995368092E-2</v>
      </c>
      <c r="G3025">
        <f t="shared" si="101"/>
        <v>-2.6021577824758502E-2</v>
      </c>
    </row>
    <row r="3026" spans="1:7" x14ac:dyDescent="0.35">
      <c r="A3026" t="s">
        <v>160</v>
      </c>
      <c r="E3026">
        <v>-1.0215009876131215E-3</v>
      </c>
      <c r="F3026">
        <f t="shared" si="100"/>
        <v>-1.6228722818928582E-2</v>
      </c>
      <c r="G3026">
        <f t="shared" si="101"/>
        <v>-2.6021577824758502E-2</v>
      </c>
    </row>
    <row r="3027" spans="1:7" x14ac:dyDescent="0.35">
      <c r="A3027" t="s">
        <v>160</v>
      </c>
      <c r="E3027">
        <v>-3.9040511211597038E-2</v>
      </c>
      <c r="F3027">
        <f t="shared" si="100"/>
        <v>-1.6228746101047964E-2</v>
      </c>
      <c r="G3027">
        <f t="shared" si="101"/>
        <v>-2.6021577824758502E-2</v>
      </c>
    </row>
    <row r="3028" spans="1:7" x14ac:dyDescent="0.35">
      <c r="A3028" t="s">
        <v>160</v>
      </c>
      <c r="E3028">
        <v>3.486703418266239E-2</v>
      </c>
      <c r="F3028">
        <f t="shared" si="100"/>
        <v>-1.6135572792230747E-2</v>
      </c>
      <c r="G3028">
        <f t="shared" si="101"/>
        <v>-2.543665659179992E-2</v>
      </c>
    </row>
    <row r="3029" spans="1:7" x14ac:dyDescent="0.35">
      <c r="A3029" t="s">
        <v>160</v>
      </c>
      <c r="E3029">
        <v>-1.3958646656143169E-2</v>
      </c>
      <c r="F3029">
        <f t="shared" si="100"/>
        <v>-1.6143323653395877E-2</v>
      </c>
      <c r="G3029">
        <f t="shared" si="101"/>
        <v>-2.543665659179992E-2</v>
      </c>
    </row>
    <row r="3030" spans="1:7" x14ac:dyDescent="0.35">
      <c r="A3030" t="s">
        <v>161</v>
      </c>
      <c r="B3030" s="3" cm="1">
        <f t="array" ref="B3030">_xlfn.STDEV.S(_xlfn._xlws.FILTER($E$2826:$E$3824, $A$2826:$A$3824="2022-03"))</f>
        <v>2.4974693877989392E-2</v>
      </c>
      <c r="C3030" s="3" cm="1">
        <f t="array" ref="C3030">AVERAGE(_xlfn._xlws.FILTER($E$2826:$E$3824, $A$2826:$A$3824="2022-03"))</f>
        <v>6.7900608011585942E-6</v>
      </c>
      <c r="D3030" s="3" cm="1">
        <f t="array" ref="D3030">_xlfn.PERCENTILE.EXC(_xlfn._xlws.FILTER($E$2490:$E$3818, $A$2490:$A$3818="2022-03"), 0.05)</f>
        <v>-4.8781989291811809E-2</v>
      </c>
      <c r="E3030">
        <v>-4.0194391025072281E-2</v>
      </c>
      <c r="F3030">
        <f t="shared" si="100"/>
        <v>-1.6151074514561006E-2</v>
      </c>
      <c r="G3030">
        <f t="shared" si="101"/>
        <v>-2.543665659179992E-2</v>
      </c>
    </row>
    <row r="3031" spans="1:7" x14ac:dyDescent="0.35">
      <c r="A3031" t="s">
        <v>161</v>
      </c>
      <c r="E3031">
        <v>1.5748112693515039E-2</v>
      </c>
      <c r="F3031">
        <f t="shared" si="100"/>
        <v>-1.6024322259241598E-2</v>
      </c>
      <c r="G3031">
        <f t="shared" si="101"/>
        <v>-2.4818173896359853E-2</v>
      </c>
    </row>
    <row r="3032" spans="1:7" x14ac:dyDescent="0.35">
      <c r="A3032" t="s">
        <v>161</v>
      </c>
      <c r="E3032">
        <v>-1.8584936291085003E-2</v>
      </c>
      <c r="F3032">
        <f t="shared" si="100"/>
        <v>-1.6029793775204724E-2</v>
      </c>
      <c r="G3032">
        <f t="shared" si="101"/>
        <v>-2.4818173896359853E-2</v>
      </c>
    </row>
    <row r="3033" spans="1:7" x14ac:dyDescent="0.35">
      <c r="A3033" t="s">
        <v>161</v>
      </c>
      <c r="E3033">
        <v>-5.0928888858496689E-2</v>
      </c>
      <c r="F3033">
        <f t="shared" si="100"/>
        <v>-1.5951426936157143E-2</v>
      </c>
      <c r="G3033">
        <f t="shared" si="101"/>
        <v>-2.4750973878220422E-2</v>
      </c>
    </row>
    <row r="3034" spans="1:7" x14ac:dyDescent="0.35">
      <c r="A3034" t="s">
        <v>161</v>
      </c>
      <c r="E3034">
        <v>-1.3183595367300922E-2</v>
      </c>
      <c r="F3034">
        <f t="shared" si="100"/>
        <v>-1.5858445993169171E-2</v>
      </c>
      <c r="G3034">
        <f t="shared" si="101"/>
        <v>-2.3853510706521714E-2</v>
      </c>
    </row>
    <row r="3035" spans="1:7" x14ac:dyDescent="0.35">
      <c r="A3035" t="s">
        <v>161</v>
      </c>
      <c r="E3035">
        <v>-3.2330925098026401E-3</v>
      </c>
      <c r="F3035">
        <f t="shared" si="100"/>
        <v>-1.5870009188015472E-2</v>
      </c>
      <c r="G3035">
        <f t="shared" si="101"/>
        <v>-2.3853510706521714E-2</v>
      </c>
    </row>
    <row r="3036" spans="1:7" x14ac:dyDescent="0.35">
      <c r="A3036" t="s">
        <v>161</v>
      </c>
      <c r="E3036">
        <v>6.8827615514802667E-2</v>
      </c>
      <c r="F3036">
        <f t="shared" si="100"/>
        <v>-1.588157238286177E-2</v>
      </c>
      <c r="G3036">
        <f t="shared" si="101"/>
        <v>-2.3853510706521714E-2</v>
      </c>
    </row>
    <row r="3037" spans="1:7" x14ac:dyDescent="0.35">
      <c r="A3037" t="s">
        <v>161</v>
      </c>
      <c r="E3037">
        <v>-2.8684709002800714E-2</v>
      </c>
      <c r="F3037">
        <f t="shared" si="100"/>
        <v>-1.5893135577708072E-2</v>
      </c>
      <c r="G3037">
        <f t="shared" si="101"/>
        <v>-2.3853510706521714E-2</v>
      </c>
    </row>
    <row r="3038" spans="1:7" x14ac:dyDescent="0.35">
      <c r="A3038" t="s">
        <v>161</v>
      </c>
      <c r="E3038">
        <v>8.510211819216176E-3</v>
      </c>
      <c r="F3038">
        <f t="shared" si="100"/>
        <v>-1.5679165932865988E-2</v>
      </c>
      <c r="G3038">
        <f t="shared" si="101"/>
        <v>-2.3520481277355568E-2</v>
      </c>
    </row>
    <row r="3039" spans="1:7" x14ac:dyDescent="0.35">
      <c r="A3039" t="s">
        <v>161</v>
      </c>
      <c r="E3039">
        <v>1.7369929970616458E-2</v>
      </c>
      <c r="F3039">
        <f t="shared" si="100"/>
        <v>-1.5687863599093473E-2</v>
      </c>
      <c r="G3039">
        <f t="shared" si="101"/>
        <v>-2.3520481277355568E-2</v>
      </c>
    </row>
    <row r="3040" spans="1:7" x14ac:dyDescent="0.35">
      <c r="A3040" t="s">
        <v>161</v>
      </c>
      <c r="E3040">
        <v>-2.348145746017757E-3</v>
      </c>
      <c r="F3040">
        <f t="shared" si="100"/>
        <v>-1.5696561265320957E-2</v>
      </c>
      <c r="G3040">
        <f t="shared" si="101"/>
        <v>-2.3520481277355568E-2</v>
      </c>
    </row>
    <row r="3041" spans="1:7" x14ac:dyDescent="0.35">
      <c r="A3041" t="s">
        <v>161</v>
      </c>
      <c r="E3041">
        <v>3.6105049282232272E-2</v>
      </c>
      <c r="F3041">
        <f t="shared" si="100"/>
        <v>-1.5708124460167259E-2</v>
      </c>
      <c r="G3041">
        <f t="shared" si="101"/>
        <v>-2.3726373909251215E-2</v>
      </c>
    </row>
    <row r="3042" spans="1:7" x14ac:dyDescent="0.35">
      <c r="A3042" t="s">
        <v>161</v>
      </c>
      <c r="E3042">
        <v>3.6178678308633463E-3</v>
      </c>
      <c r="F3042">
        <f t="shared" si="100"/>
        <v>-1.5719687655013557E-2</v>
      </c>
      <c r="G3042">
        <f t="shared" si="101"/>
        <v>-2.3726373909251215E-2</v>
      </c>
    </row>
    <row r="3043" spans="1:7" x14ac:dyDescent="0.35">
      <c r="A3043" t="s">
        <v>161</v>
      </c>
      <c r="E3043">
        <v>1.166801313686502E-3</v>
      </c>
      <c r="F3043">
        <f t="shared" si="100"/>
        <v>-1.5731250849859858E-2</v>
      </c>
      <c r="G3043">
        <f t="shared" si="101"/>
        <v>-2.3726373909251215E-2</v>
      </c>
    </row>
    <row r="3044" spans="1:7" x14ac:dyDescent="0.35">
      <c r="A3044" t="s">
        <v>161</v>
      </c>
      <c r="E3044">
        <v>-5.7428370673013552E-3</v>
      </c>
      <c r="F3044">
        <f t="shared" si="100"/>
        <v>-1.574281404470616E-2</v>
      </c>
      <c r="G3044">
        <f t="shared" si="101"/>
        <v>-2.3726373909251215E-2</v>
      </c>
    </row>
    <row r="3045" spans="1:7" x14ac:dyDescent="0.35">
      <c r="A3045" t="s">
        <v>161</v>
      </c>
      <c r="E3045">
        <v>1.1642106038610062E-2</v>
      </c>
      <c r="F3045">
        <f t="shared" si="100"/>
        <v>-1.5754377239552461E-2</v>
      </c>
      <c r="G3045">
        <f t="shared" si="101"/>
        <v>-2.3726373909251215E-2</v>
      </c>
    </row>
    <row r="3046" spans="1:7" x14ac:dyDescent="0.35">
      <c r="A3046" t="s">
        <v>161</v>
      </c>
      <c r="E3046">
        <v>-1.1778845086025403E-2</v>
      </c>
      <c r="F3046">
        <f t="shared" si="100"/>
        <v>-1.5765940434398763E-2</v>
      </c>
      <c r="G3046">
        <f t="shared" si="101"/>
        <v>-2.3726373909251215E-2</v>
      </c>
    </row>
    <row r="3047" spans="1:7" x14ac:dyDescent="0.35">
      <c r="A3047" t="s">
        <v>161</v>
      </c>
      <c r="E3047">
        <v>-3.9064690545974352E-3</v>
      </c>
      <c r="F3047">
        <f t="shared" si="100"/>
        <v>-1.5777503629245064E-2</v>
      </c>
      <c r="G3047">
        <f t="shared" si="101"/>
        <v>-2.3726373909251215E-2</v>
      </c>
    </row>
    <row r="3048" spans="1:7" x14ac:dyDescent="0.35">
      <c r="A3048" t="s">
        <v>161</v>
      </c>
      <c r="E3048">
        <v>-3.1885395919843841E-4</v>
      </c>
      <c r="F3048">
        <f t="shared" si="100"/>
        <v>-1.5789066824091365E-2</v>
      </c>
      <c r="G3048">
        <f t="shared" si="101"/>
        <v>-2.3726373909251215E-2</v>
      </c>
    </row>
    <row r="3049" spans="1:7" x14ac:dyDescent="0.35">
      <c r="A3049" t="s">
        <v>161</v>
      </c>
      <c r="E3049">
        <v>5.3915623434623184E-3</v>
      </c>
      <c r="F3049">
        <f t="shared" si="100"/>
        <v>-1.5800630018937663E-2</v>
      </c>
      <c r="G3049">
        <f t="shared" si="101"/>
        <v>-2.3726373909251215E-2</v>
      </c>
    </row>
    <row r="3050" spans="1:7" x14ac:dyDescent="0.35">
      <c r="A3050" t="s">
        <v>161</v>
      </c>
      <c r="E3050">
        <v>3.0350719574462594E-2</v>
      </c>
      <c r="F3050">
        <f t="shared" si="100"/>
        <v>-1.5812193213783965E-2</v>
      </c>
      <c r="G3050">
        <f t="shared" si="101"/>
        <v>-2.3726373909251215E-2</v>
      </c>
    </row>
    <row r="3051" spans="1:7" x14ac:dyDescent="0.35">
      <c r="A3051" t="s">
        <v>161</v>
      </c>
      <c r="E3051">
        <v>-7.4732037101056855E-3</v>
      </c>
      <c r="F3051">
        <f t="shared" si="100"/>
        <v>-1.5823756408630266E-2</v>
      </c>
      <c r="G3051">
        <f t="shared" si="101"/>
        <v>-2.3726373909251215E-2</v>
      </c>
    </row>
    <row r="3052" spans="1:7" x14ac:dyDescent="0.35">
      <c r="A3052" t="s">
        <v>161</v>
      </c>
      <c r="E3052">
        <v>-1.2195837305236493E-2</v>
      </c>
      <c r="F3052">
        <f t="shared" si="100"/>
        <v>-1.5835319603476568E-2</v>
      </c>
      <c r="G3052">
        <f t="shared" si="101"/>
        <v>-2.3726373909251215E-2</v>
      </c>
    </row>
    <row r="3053" spans="1:7" x14ac:dyDescent="0.35">
      <c r="A3053" t="s">
        <v>162</v>
      </c>
      <c r="B3053" s="3" cm="1">
        <f t="array" ref="B3053">_xlfn.STDEV.S(_xlfn._xlws.FILTER($E$2826:$E$3824, $A$2826:$A$3824="2022-04"))</f>
        <v>1.1532794986229961E-2</v>
      </c>
      <c r="C3053" s="3" cm="1">
        <f t="array" ref="C3053">AVERAGE(_xlfn._xlws.FILTER($E$2826:$E$3824, $A$2826:$A$3824="2022-04"))</f>
        <v>-1.0060975143520849E-3</v>
      </c>
      <c r="D3053" s="3" cm="1">
        <f t="array" ref="D3053">_xlfn.PERCENTILE.EXC(_xlfn._xlws.FILTER($E$2490:$E$3818, $A$2490:$A$3818="2022-04"), 0.05)</f>
        <v>-2.2319277956140197E-2</v>
      </c>
      <c r="E3053">
        <v>3.6630242289105355E-3</v>
      </c>
      <c r="F3053">
        <f t="shared" si="100"/>
        <v>-1.5846882798322869E-2</v>
      </c>
      <c r="G3053">
        <f t="shared" si="101"/>
        <v>-2.3726373909251215E-2</v>
      </c>
    </row>
    <row r="3054" spans="1:7" x14ac:dyDescent="0.35">
      <c r="A3054" t="s">
        <v>162</v>
      </c>
      <c r="E3054">
        <v>7.0156999905269073E-3</v>
      </c>
      <c r="F3054">
        <f t="shared" si="100"/>
        <v>-1.5858445993169171E-2</v>
      </c>
      <c r="G3054">
        <f t="shared" si="101"/>
        <v>-2.3726373909251215E-2</v>
      </c>
    </row>
    <row r="3055" spans="1:7" x14ac:dyDescent="0.35">
      <c r="A3055" t="s">
        <v>162</v>
      </c>
      <c r="E3055">
        <v>-1.2837250405920072E-2</v>
      </c>
      <c r="F3055">
        <f t="shared" si="100"/>
        <v>-1.5870009188015472E-2</v>
      </c>
      <c r="G3055">
        <f t="shared" si="101"/>
        <v>-2.3726373909251215E-2</v>
      </c>
    </row>
    <row r="3056" spans="1:7" x14ac:dyDescent="0.35">
      <c r="A3056" t="s">
        <v>162</v>
      </c>
      <c r="E3056">
        <v>-2.2319277956140197E-2</v>
      </c>
      <c r="F3056">
        <f t="shared" si="100"/>
        <v>-1.588157238286177E-2</v>
      </c>
      <c r="G3056">
        <f t="shared" si="101"/>
        <v>-2.3726373909251215E-2</v>
      </c>
    </row>
    <row r="3057" spans="1:7" x14ac:dyDescent="0.35">
      <c r="A3057" t="s">
        <v>162</v>
      </c>
      <c r="E3057">
        <v>-5.732814795871238E-3</v>
      </c>
      <c r="F3057">
        <f t="shared" si="100"/>
        <v>-1.5670468266638506E-2</v>
      </c>
      <c r="G3057">
        <f t="shared" si="101"/>
        <v>-2.3552091891071759E-2</v>
      </c>
    </row>
    <row r="3058" spans="1:7" x14ac:dyDescent="0.35">
      <c r="A3058" t="s">
        <v>162</v>
      </c>
      <c r="E3058">
        <v>1.3303911085915497E-2</v>
      </c>
      <c r="F3058">
        <f t="shared" si="100"/>
        <v>-1.5679165932865988E-2</v>
      </c>
      <c r="G3058">
        <f t="shared" si="101"/>
        <v>-2.3552091891071759E-2</v>
      </c>
    </row>
    <row r="3059" spans="1:7" x14ac:dyDescent="0.35">
      <c r="A3059" t="s">
        <v>162</v>
      </c>
      <c r="E3059">
        <v>1.1584223859039252E-3</v>
      </c>
      <c r="F3059">
        <f t="shared" si="100"/>
        <v>-1.5687863599093473E-2</v>
      </c>
      <c r="G3059">
        <f t="shared" si="101"/>
        <v>-2.3552091891071759E-2</v>
      </c>
    </row>
    <row r="3060" spans="1:7" x14ac:dyDescent="0.35">
      <c r="A3060" t="s">
        <v>162</v>
      </c>
      <c r="E3060">
        <v>-2.8106168097180705E-3</v>
      </c>
      <c r="F3060">
        <f t="shared" si="100"/>
        <v>-1.5696561265320957E-2</v>
      </c>
      <c r="G3060">
        <f t="shared" si="101"/>
        <v>-2.3552091891071759E-2</v>
      </c>
    </row>
    <row r="3061" spans="1:7" x14ac:dyDescent="0.35">
      <c r="A3061" t="s">
        <v>162</v>
      </c>
      <c r="E3061">
        <v>7.2326650476422258E-4</v>
      </c>
      <c r="F3061">
        <f t="shared" si="100"/>
        <v>-1.5708124460167259E-2</v>
      </c>
      <c r="G3061">
        <f t="shared" si="101"/>
        <v>-2.3764403529605571E-2</v>
      </c>
    </row>
    <row r="3062" spans="1:7" x14ac:dyDescent="0.35">
      <c r="A3062" t="s">
        <v>162</v>
      </c>
      <c r="E3062">
        <v>7.1903802847067735E-3</v>
      </c>
      <c r="F3062">
        <f t="shared" si="100"/>
        <v>-1.571968765501356E-2</v>
      </c>
      <c r="G3062">
        <f t="shared" si="101"/>
        <v>-2.3764403529605571E-2</v>
      </c>
    </row>
    <row r="3063" spans="1:7" x14ac:dyDescent="0.35">
      <c r="A3063" t="s">
        <v>162</v>
      </c>
      <c r="E3063">
        <v>-8.3144974550181314E-3</v>
      </c>
      <c r="F3063">
        <f t="shared" si="100"/>
        <v>-1.5731250849859858E-2</v>
      </c>
      <c r="G3063">
        <f t="shared" si="101"/>
        <v>-2.3764403529605571E-2</v>
      </c>
    </row>
    <row r="3064" spans="1:7" x14ac:dyDescent="0.35">
      <c r="A3064" t="s">
        <v>162</v>
      </c>
      <c r="E3064">
        <v>1.3696574974019351E-2</v>
      </c>
      <c r="F3064">
        <f t="shared" si="100"/>
        <v>-1.574281404470616E-2</v>
      </c>
      <c r="G3064">
        <f t="shared" si="101"/>
        <v>-2.3764403529605571E-2</v>
      </c>
    </row>
    <row r="3065" spans="1:7" x14ac:dyDescent="0.35">
      <c r="A3065" t="s">
        <v>162</v>
      </c>
      <c r="E3065">
        <v>1.3521935022728301E-2</v>
      </c>
      <c r="F3065">
        <f t="shared" si="100"/>
        <v>-1.5754377239552461E-2</v>
      </c>
      <c r="G3065">
        <f t="shared" si="101"/>
        <v>-2.3764403529605571E-2</v>
      </c>
    </row>
    <row r="3066" spans="1:7" x14ac:dyDescent="0.35">
      <c r="A3066" t="s">
        <v>162</v>
      </c>
      <c r="E3066">
        <v>-2.0108194371378781E-2</v>
      </c>
      <c r="F3066">
        <f t="shared" si="100"/>
        <v>-1.5765940434398763E-2</v>
      </c>
      <c r="G3066">
        <f t="shared" si="101"/>
        <v>-2.3764403529605571E-2</v>
      </c>
    </row>
    <row r="3067" spans="1:7" x14ac:dyDescent="0.35">
      <c r="A3067" t="s">
        <v>162</v>
      </c>
      <c r="E3067">
        <v>-2.0266525369236749E-2</v>
      </c>
      <c r="F3067">
        <f t="shared" si="100"/>
        <v>-1.5583491604363663E-2</v>
      </c>
      <c r="G3067">
        <f t="shared" si="101"/>
        <v>-2.3645170202414814E-2</v>
      </c>
    </row>
    <row r="3068" spans="1:7" x14ac:dyDescent="0.35">
      <c r="A3068" t="s">
        <v>162</v>
      </c>
      <c r="E3068">
        <v>-5.4120367330062931E-3</v>
      </c>
      <c r="F3068">
        <f t="shared" si="100"/>
        <v>-1.5453161466633844E-2</v>
      </c>
      <c r="G3068">
        <f t="shared" si="101"/>
        <v>-2.3516956217861696E-2</v>
      </c>
    </row>
    <row r="3069" spans="1:7" x14ac:dyDescent="0.35">
      <c r="A3069" t="s">
        <v>162</v>
      </c>
      <c r="E3069">
        <v>4.7730115038876709E-3</v>
      </c>
      <c r="F3069">
        <f t="shared" si="100"/>
        <v>-1.5458948672811964E-2</v>
      </c>
      <c r="G3069">
        <f t="shared" si="101"/>
        <v>-2.3516956217861696E-2</v>
      </c>
    </row>
    <row r="3070" spans="1:7" x14ac:dyDescent="0.35">
      <c r="A3070" t="s">
        <v>162</v>
      </c>
      <c r="E3070">
        <v>9.7087241833169538E-3</v>
      </c>
      <c r="F3070">
        <f t="shared" si="100"/>
        <v>-1.5464735878990082E-2</v>
      </c>
      <c r="G3070">
        <f t="shared" si="101"/>
        <v>-2.3516956217861696E-2</v>
      </c>
    </row>
    <row r="3071" spans="1:7" x14ac:dyDescent="0.35">
      <c r="A3071" t="s">
        <v>162</v>
      </c>
      <c r="E3071">
        <v>3.9304109589197835E-3</v>
      </c>
      <c r="F3071">
        <f t="shared" si="100"/>
        <v>-1.5470523085168202E-2</v>
      </c>
      <c r="G3071">
        <f t="shared" si="101"/>
        <v>-2.3516956217861696E-2</v>
      </c>
    </row>
    <row r="3072" spans="1:7" x14ac:dyDescent="0.35">
      <c r="A3072" t="s">
        <v>163</v>
      </c>
      <c r="B3072" s="3" cm="1">
        <f t="array" ref="B3072">_xlfn.STDEV.S(_xlfn._xlws.FILTER($E$2826:$E$3824, $A$2826:$A$3824="2022-05"))</f>
        <v>1.4955869070833626E-2</v>
      </c>
      <c r="C3072" s="3" cm="1">
        <f t="array" ref="C3072">AVERAGE(_xlfn._xlws.FILTER($E$2826:$E$3824, $A$2826:$A$3824="2022-05"))</f>
        <v>-4.75880579295782E-4</v>
      </c>
      <c r="D3072" s="3" cm="1">
        <f t="array" ref="D3072">_xlfn.PERCENTILE.EXC(_xlfn._xlws.FILTER($E$2490:$E$3818, $A$2490:$A$3818="2022-05"), 0.05)</f>
        <v>-2.6874458100596247E-2</v>
      </c>
      <c r="E3072">
        <v>-8.853281705318905E-3</v>
      </c>
      <c r="F3072">
        <f t="shared" si="100"/>
        <v>-1.5476310291346322E-2</v>
      </c>
      <c r="G3072">
        <f t="shared" si="101"/>
        <v>-2.3516956217861696E-2</v>
      </c>
    </row>
    <row r="3073" spans="1:7" x14ac:dyDescent="0.35">
      <c r="A3073" t="s">
        <v>163</v>
      </c>
      <c r="E3073">
        <v>-1.2508067913703135E-2</v>
      </c>
      <c r="F3073">
        <f t="shared" si="100"/>
        <v>-1.548209749752444E-2</v>
      </c>
      <c r="G3073">
        <f t="shared" si="101"/>
        <v>-2.3516956217861696E-2</v>
      </c>
    </row>
    <row r="3074" spans="1:7" x14ac:dyDescent="0.35">
      <c r="A3074" t="s">
        <v>163</v>
      </c>
      <c r="E3074">
        <v>-4.2745018108462296E-3</v>
      </c>
      <c r="F3074">
        <f t="shared" si="100"/>
        <v>-1.5487884703702558E-2</v>
      </c>
      <c r="G3074">
        <f t="shared" si="101"/>
        <v>-2.3516956217861696E-2</v>
      </c>
    </row>
    <row r="3075" spans="1:7" x14ac:dyDescent="0.35">
      <c r="A3075" t="s">
        <v>163</v>
      </c>
      <c r="E3075">
        <v>-1.7430090681348858E-2</v>
      </c>
      <c r="F3075">
        <f t="shared" si="100"/>
        <v>-1.5493671909880678E-2</v>
      </c>
      <c r="G3075">
        <f t="shared" si="101"/>
        <v>-2.3516956217861696E-2</v>
      </c>
    </row>
    <row r="3076" spans="1:7" x14ac:dyDescent="0.35">
      <c r="A3076" t="s">
        <v>163</v>
      </c>
      <c r="E3076">
        <v>-2.7923832258290402E-2</v>
      </c>
      <c r="F3076">
        <f t="shared" ref="F3076:F3139" si="102">_xlfn.PERCENTILE.EXC(E3076:E6891,0.05)</f>
        <v>-1.5396177397160487E-2</v>
      </c>
      <c r="G3076">
        <f t="shared" ref="G3076:G3139" si="103">AVERAGEIFS(E3076:E6892,E3076:E6892,"&lt;=" &amp; F3076)</f>
        <v>-2.3462274410722777E-2</v>
      </c>
    </row>
    <row r="3077" spans="1:7" x14ac:dyDescent="0.35">
      <c r="A3077" t="s">
        <v>163</v>
      </c>
      <c r="E3077">
        <v>5.0627293574618511E-3</v>
      </c>
      <c r="F3077">
        <f t="shared" si="102"/>
        <v>-1.5346716096210748E-2</v>
      </c>
      <c r="G3077">
        <f t="shared" si="103"/>
        <v>-2.3122533855551866E-2</v>
      </c>
    </row>
    <row r="3078" spans="1:7" x14ac:dyDescent="0.35">
      <c r="A3078" t="s">
        <v>163</v>
      </c>
      <c r="E3078">
        <v>2.4676224459134193E-2</v>
      </c>
      <c r="F3078">
        <f t="shared" si="102"/>
        <v>-1.5348954636462787E-2</v>
      </c>
      <c r="G3078">
        <f t="shared" si="103"/>
        <v>-2.3122533855551866E-2</v>
      </c>
    </row>
    <row r="3079" spans="1:7" x14ac:dyDescent="0.35">
      <c r="A3079" t="s">
        <v>163</v>
      </c>
      <c r="E3079">
        <v>-1.0174831427668889E-2</v>
      </c>
      <c r="F3079">
        <f t="shared" si="102"/>
        <v>-1.5351193176714826E-2</v>
      </c>
      <c r="G3079">
        <f t="shared" si="103"/>
        <v>-2.3122533855551866E-2</v>
      </c>
    </row>
    <row r="3080" spans="1:7" x14ac:dyDescent="0.35">
      <c r="A3080" t="s">
        <v>163</v>
      </c>
      <c r="E3080">
        <v>2.4891212153673088E-2</v>
      </c>
      <c r="F3080">
        <f t="shared" si="102"/>
        <v>-1.5353431716966865E-2</v>
      </c>
      <c r="G3080">
        <f t="shared" si="103"/>
        <v>-2.3122533855551866E-2</v>
      </c>
    </row>
    <row r="3081" spans="1:7" x14ac:dyDescent="0.35">
      <c r="A3081" t="s">
        <v>163</v>
      </c>
      <c r="E3081">
        <v>-2.3461021189590953E-3</v>
      </c>
      <c r="F3081">
        <f t="shared" si="102"/>
        <v>-1.5356103321978965E-2</v>
      </c>
      <c r="G3081">
        <f t="shared" si="103"/>
        <v>-2.3338342248290341E-2</v>
      </c>
    </row>
    <row r="3082" spans="1:7" x14ac:dyDescent="0.35">
      <c r="A3082" t="s">
        <v>163</v>
      </c>
      <c r="E3082">
        <v>1.2900516678364529E-2</v>
      </c>
      <c r="F3082">
        <f t="shared" si="102"/>
        <v>-1.5358774926991068E-2</v>
      </c>
      <c r="G3082">
        <f t="shared" si="103"/>
        <v>-2.3338342248290341E-2</v>
      </c>
    </row>
    <row r="3083" spans="1:7" x14ac:dyDescent="0.35">
      <c r="A3083" t="s">
        <v>163</v>
      </c>
      <c r="E3083">
        <v>-1.2086388919277503E-2</v>
      </c>
      <c r="F3083">
        <f t="shared" si="102"/>
        <v>-1.536144653200317E-2</v>
      </c>
      <c r="G3083">
        <f t="shared" si="103"/>
        <v>-2.3338342248290341E-2</v>
      </c>
    </row>
    <row r="3084" spans="1:7" x14ac:dyDescent="0.35">
      <c r="A3084" t="s">
        <v>163</v>
      </c>
      <c r="E3084">
        <v>-1.2709219710892056E-2</v>
      </c>
      <c r="F3084">
        <f t="shared" si="102"/>
        <v>-1.536411813701527E-2</v>
      </c>
      <c r="G3084">
        <f t="shared" si="103"/>
        <v>-2.3338342248290341E-2</v>
      </c>
    </row>
    <row r="3085" spans="1:7" x14ac:dyDescent="0.35">
      <c r="A3085" t="s">
        <v>163</v>
      </c>
      <c r="E3085">
        <v>1.9955492987466139E-3</v>
      </c>
      <c r="F3085">
        <f t="shared" si="102"/>
        <v>-1.5366789742027372E-2</v>
      </c>
      <c r="G3085">
        <f t="shared" si="103"/>
        <v>-2.3338342248290341E-2</v>
      </c>
    </row>
    <row r="3086" spans="1:7" x14ac:dyDescent="0.35">
      <c r="A3086" t="s">
        <v>163</v>
      </c>
      <c r="E3086">
        <v>1.1626217046813981E-2</v>
      </c>
      <c r="F3086">
        <f t="shared" si="102"/>
        <v>-1.5369461347039473E-2</v>
      </c>
      <c r="G3086">
        <f t="shared" si="103"/>
        <v>-2.3338342248290341E-2</v>
      </c>
    </row>
    <row r="3087" spans="1:7" x14ac:dyDescent="0.35">
      <c r="A3087" t="s">
        <v>163</v>
      </c>
      <c r="E3087">
        <v>-1.6746506929785975E-2</v>
      </c>
      <c r="F3087">
        <f t="shared" si="102"/>
        <v>-1.5372132952051575E-2</v>
      </c>
      <c r="G3087">
        <f t="shared" si="103"/>
        <v>-2.3338342248290341E-2</v>
      </c>
    </row>
    <row r="3088" spans="1:7" x14ac:dyDescent="0.35">
      <c r="A3088" t="s">
        <v>163</v>
      </c>
      <c r="E3088">
        <v>7.2499994899967784E-3</v>
      </c>
      <c r="F3088">
        <f t="shared" si="102"/>
        <v>-1.5326569233942398E-2</v>
      </c>
      <c r="G3088">
        <f t="shared" si="103"/>
        <v>-2.3299645714600917E-2</v>
      </c>
    </row>
    <row r="3089" spans="1:7" x14ac:dyDescent="0.35">
      <c r="A3089" t="s">
        <v>163</v>
      </c>
      <c r="E3089">
        <v>1.7616013380846885E-2</v>
      </c>
      <c r="F3089">
        <f t="shared" si="102"/>
        <v>-1.5328807774194438E-2</v>
      </c>
      <c r="G3089">
        <f t="shared" si="103"/>
        <v>-2.3299645714600917E-2</v>
      </c>
    </row>
    <row r="3090" spans="1:7" x14ac:dyDescent="0.35">
      <c r="A3090" t="s">
        <v>163</v>
      </c>
      <c r="E3090">
        <v>1.6272572448856978E-2</v>
      </c>
      <c r="F3090">
        <f t="shared" si="102"/>
        <v>-1.5331046314446477E-2</v>
      </c>
      <c r="G3090">
        <f t="shared" si="103"/>
        <v>-2.3299645714600917E-2</v>
      </c>
    </row>
    <row r="3091" spans="1:7" x14ac:dyDescent="0.35">
      <c r="A3091" t="s">
        <v>163</v>
      </c>
      <c r="E3091">
        <v>7.1325429651133577E-3</v>
      </c>
      <c r="F3091">
        <f t="shared" si="102"/>
        <v>-1.5333284854698514E-2</v>
      </c>
      <c r="G3091">
        <f t="shared" si="103"/>
        <v>-2.3299645714600917E-2</v>
      </c>
    </row>
    <row r="3092" spans="1:7" x14ac:dyDescent="0.35">
      <c r="A3092" t="s">
        <v>163</v>
      </c>
      <c r="E3092">
        <v>-1.4364245968128637E-2</v>
      </c>
      <c r="F3092">
        <f t="shared" si="102"/>
        <v>-1.5335523394950553E-2</v>
      </c>
      <c r="G3092">
        <f t="shared" si="103"/>
        <v>-2.3299645714600917E-2</v>
      </c>
    </row>
    <row r="3093" spans="1:7" x14ac:dyDescent="0.35">
      <c r="A3093" t="s">
        <v>164</v>
      </c>
      <c r="B3093" s="3" cm="1">
        <f t="array" ref="B3093">_xlfn.STDEV.S(_xlfn._xlws.FILTER($E$2826:$E$3824, $A$2826:$A$3824="2022-06"))</f>
        <v>1.5302948245141943E-2</v>
      </c>
      <c r="C3093" s="3" cm="1">
        <f t="array" ref="C3093">AVERAGE(_xlfn._xlws.FILTER($E$2826:$E$3824, $A$2826:$A$3824="2022-06"))</f>
        <v>-4.4085589779749189E-3</v>
      </c>
      <c r="D3093" s="3" cm="1">
        <f t="array" ref="D3093">_xlfn.PERCENTILE.EXC(_xlfn._xlws.FILTER($E$2490:$E$3818, $A$2490:$A$3818="2022-06"), 0.05)</f>
        <v>-2.7284529305505279E-2</v>
      </c>
      <c r="E3093">
        <v>-7.7454143472045212E-3</v>
      </c>
      <c r="F3093">
        <f t="shared" si="102"/>
        <v>-1.5337761935202593E-2</v>
      </c>
      <c r="G3093">
        <f t="shared" si="103"/>
        <v>-2.3299645714600917E-2</v>
      </c>
    </row>
    <row r="3094" spans="1:7" x14ac:dyDescent="0.35">
      <c r="A3094" t="s">
        <v>164</v>
      </c>
      <c r="E3094">
        <v>2.0033567199548231E-2</v>
      </c>
      <c r="F3094">
        <f t="shared" si="102"/>
        <v>-1.5340000475454632E-2</v>
      </c>
      <c r="G3094">
        <f t="shared" si="103"/>
        <v>-2.3299645714600917E-2</v>
      </c>
    </row>
    <row r="3095" spans="1:7" x14ac:dyDescent="0.35">
      <c r="A3095" t="s">
        <v>164</v>
      </c>
      <c r="E3095">
        <v>-7.4227511509274606E-3</v>
      </c>
      <c r="F3095">
        <f t="shared" si="102"/>
        <v>-1.5342239015706671E-2</v>
      </c>
      <c r="G3095">
        <f t="shared" si="103"/>
        <v>-2.3299645714600917E-2</v>
      </c>
    </row>
    <row r="3096" spans="1:7" x14ac:dyDescent="0.35">
      <c r="A3096" t="s">
        <v>164</v>
      </c>
      <c r="E3096">
        <v>-7.9883164596129385E-3</v>
      </c>
      <c r="F3096">
        <f t="shared" si="102"/>
        <v>-1.534447755595871E-2</v>
      </c>
      <c r="G3096">
        <f t="shared" si="103"/>
        <v>-2.3299645714600917E-2</v>
      </c>
    </row>
    <row r="3097" spans="1:7" x14ac:dyDescent="0.35">
      <c r="A3097" t="s">
        <v>164</v>
      </c>
      <c r="E3097">
        <v>-1.4081495479148755E-2</v>
      </c>
      <c r="F3097">
        <f t="shared" si="102"/>
        <v>-1.5346716096210748E-2</v>
      </c>
      <c r="G3097">
        <f t="shared" si="103"/>
        <v>-2.3299645714600917E-2</v>
      </c>
    </row>
    <row r="3098" spans="1:7" x14ac:dyDescent="0.35">
      <c r="A3098" t="s">
        <v>164</v>
      </c>
      <c r="E3098">
        <v>-2.7298719087945515E-2</v>
      </c>
      <c r="F3098">
        <f t="shared" si="102"/>
        <v>-1.5348954636462787E-2</v>
      </c>
      <c r="G3098">
        <f t="shared" si="103"/>
        <v>-2.3299645714600917E-2</v>
      </c>
    </row>
    <row r="3099" spans="1:7" x14ac:dyDescent="0.35">
      <c r="A3099" t="s">
        <v>164</v>
      </c>
      <c r="E3099">
        <v>-2.7014923439140835E-2</v>
      </c>
      <c r="F3099">
        <f t="shared" si="102"/>
        <v>-1.5307466261868725E-2</v>
      </c>
      <c r="G3099">
        <f t="shared" si="103"/>
        <v>-2.2966588543044821E-2</v>
      </c>
    </row>
    <row r="3100" spans="1:7" x14ac:dyDescent="0.35">
      <c r="A3100" t="s">
        <v>164</v>
      </c>
      <c r="E3100">
        <v>-1.2108238700264643E-2</v>
      </c>
      <c r="F3100">
        <f t="shared" si="102"/>
        <v>-1.5284767910778853E-2</v>
      </c>
      <c r="G3100">
        <f t="shared" si="103"/>
        <v>-2.2640750889479214E-2</v>
      </c>
    </row>
    <row r="3101" spans="1:7" x14ac:dyDescent="0.35">
      <c r="A3101" t="s">
        <v>164</v>
      </c>
      <c r="E3101">
        <v>1.340424093933699E-2</v>
      </c>
      <c r="F3101">
        <f t="shared" si="102"/>
        <v>-1.5285962560836214E-2</v>
      </c>
      <c r="G3101">
        <f t="shared" si="103"/>
        <v>-2.2850921831727797E-2</v>
      </c>
    </row>
    <row r="3102" spans="1:7" x14ac:dyDescent="0.35">
      <c r="A3102" t="s">
        <v>164</v>
      </c>
      <c r="E3102">
        <v>-2.4151145679321629E-2</v>
      </c>
      <c r="F3102">
        <f t="shared" si="102"/>
        <v>-1.5287157210893576E-2</v>
      </c>
      <c r="G3102">
        <f t="shared" si="103"/>
        <v>-2.2850921831727797E-2</v>
      </c>
    </row>
    <row r="3103" spans="1:7" x14ac:dyDescent="0.35">
      <c r="A3103" t="s">
        <v>164</v>
      </c>
      <c r="E3103">
        <v>-6.1008304289539728E-4</v>
      </c>
      <c r="F3103">
        <f t="shared" si="102"/>
        <v>-1.5243433670475173E-2</v>
      </c>
      <c r="G3103">
        <f t="shared" si="103"/>
        <v>-2.2597596752626577E-2</v>
      </c>
    </row>
    <row r="3104" spans="1:7" x14ac:dyDescent="0.35">
      <c r="A3104" t="s">
        <v>164</v>
      </c>
      <c r="E3104">
        <v>6.3443108262639224E-3</v>
      </c>
      <c r="F3104">
        <f t="shared" si="102"/>
        <v>-1.5245865096375389E-2</v>
      </c>
      <c r="G3104">
        <f t="shared" si="103"/>
        <v>-2.2597596752626577E-2</v>
      </c>
    </row>
    <row r="3105" spans="1:7" x14ac:dyDescent="0.35">
      <c r="A3105" t="s">
        <v>164</v>
      </c>
      <c r="E3105">
        <v>7.5004032805312737E-3</v>
      </c>
      <c r="F3105">
        <f t="shared" si="102"/>
        <v>-1.5248296522275606E-2</v>
      </c>
      <c r="G3105">
        <f t="shared" si="103"/>
        <v>-2.2597596752626577E-2</v>
      </c>
    </row>
    <row r="3106" spans="1:7" x14ac:dyDescent="0.35">
      <c r="A3106" t="s">
        <v>164</v>
      </c>
      <c r="E3106">
        <v>-8.0850247125745477E-3</v>
      </c>
      <c r="F3106">
        <f t="shared" si="102"/>
        <v>-1.5250727948175823E-2</v>
      </c>
      <c r="G3106">
        <f t="shared" si="103"/>
        <v>-2.2597596752626577E-2</v>
      </c>
    </row>
    <row r="3107" spans="1:7" x14ac:dyDescent="0.35">
      <c r="A3107" t="s">
        <v>164</v>
      </c>
      <c r="E3107">
        <v>-5.6441019122163288E-3</v>
      </c>
      <c r="F3107">
        <f t="shared" si="102"/>
        <v>-1.525315937407604E-2</v>
      </c>
      <c r="G3107">
        <f t="shared" si="103"/>
        <v>-2.2597596752626577E-2</v>
      </c>
    </row>
    <row r="3108" spans="1:7" x14ac:dyDescent="0.35">
      <c r="A3108" t="s">
        <v>164</v>
      </c>
      <c r="E3108">
        <v>3.1787419258241689E-2</v>
      </c>
      <c r="F3108">
        <f t="shared" si="102"/>
        <v>-1.5255590799976255E-2</v>
      </c>
      <c r="G3108">
        <f t="shared" si="103"/>
        <v>-2.2597596752626577E-2</v>
      </c>
    </row>
    <row r="3109" spans="1:7" x14ac:dyDescent="0.35">
      <c r="A3109" t="s">
        <v>164</v>
      </c>
      <c r="E3109">
        <v>-4.2968023298458847E-3</v>
      </c>
      <c r="F3109">
        <f t="shared" si="102"/>
        <v>-1.5258022225876472E-2</v>
      </c>
      <c r="G3109">
        <f t="shared" si="103"/>
        <v>-2.2597596752626577E-2</v>
      </c>
    </row>
    <row r="3110" spans="1:7" x14ac:dyDescent="0.35">
      <c r="A3110" t="s">
        <v>164</v>
      </c>
      <c r="E3110">
        <v>6.3807926328797717E-3</v>
      </c>
      <c r="F3110">
        <f t="shared" si="102"/>
        <v>-1.5260453651776688E-2</v>
      </c>
      <c r="G3110">
        <f t="shared" si="103"/>
        <v>-2.2597596752626577E-2</v>
      </c>
    </row>
    <row r="3111" spans="1:7" x14ac:dyDescent="0.35">
      <c r="A3111" t="s">
        <v>164</v>
      </c>
      <c r="E3111">
        <v>-9.0019176069981253E-3</v>
      </c>
      <c r="F3111">
        <f t="shared" si="102"/>
        <v>-1.5262885077676905E-2</v>
      </c>
      <c r="G3111">
        <f t="shared" si="103"/>
        <v>-2.2597596752626577E-2</v>
      </c>
    </row>
    <row r="3112" spans="1:7" x14ac:dyDescent="0.35">
      <c r="A3112" t="s">
        <v>164</v>
      </c>
      <c r="E3112">
        <v>-1.8172979748203668E-2</v>
      </c>
      <c r="F3112">
        <f t="shared" si="102"/>
        <v>-1.5265316503577122E-2</v>
      </c>
      <c r="G3112">
        <f t="shared" si="103"/>
        <v>-2.2597596752626577E-2</v>
      </c>
    </row>
    <row r="3113" spans="1:7" x14ac:dyDescent="0.35">
      <c r="A3113" t="s">
        <v>165</v>
      </c>
      <c r="B3113" s="3" cm="1">
        <f t="array" ref="B3113">_xlfn.STDEV.S(_xlfn._xlws.FILTER($E$2826:$E$3824, $A$2826:$A$3824="2022-07"))</f>
        <v>1.1860563642433349E-2</v>
      </c>
      <c r="C3113" s="3" cm="1">
        <f t="array" ref="C3113">AVERAGE(_xlfn._xlws.FILTER($E$2826:$E$3824, $A$2826:$A$3824="2022-07"))</f>
        <v>4.0489573941636849E-3</v>
      </c>
      <c r="D3113" s="3" cm="1">
        <f t="array" ref="D3113">_xlfn.PERCENTILE.EXC(_xlfn._xlws.FILTER($E$2490:$E$3818, $A$2490:$A$3818="2022-07"), 0.05)</f>
        <v>-2.5889333217377072E-2</v>
      </c>
      <c r="E3113">
        <v>1.3835087984341151E-3</v>
      </c>
      <c r="F3113">
        <f t="shared" si="102"/>
        <v>-1.5223714766324023E-2</v>
      </c>
      <c r="G3113">
        <f t="shared" si="103"/>
        <v>-2.2513687028185739E-2</v>
      </c>
    </row>
    <row r="3114" spans="1:7" x14ac:dyDescent="0.35">
      <c r="A3114" t="s">
        <v>165</v>
      </c>
      <c r="E3114">
        <v>3.969477797311727E-3</v>
      </c>
      <c r="F3114">
        <f t="shared" si="102"/>
        <v>-1.5225489712959808E-2</v>
      </c>
      <c r="G3114">
        <f t="shared" si="103"/>
        <v>-2.2513687028185739E-2</v>
      </c>
    </row>
    <row r="3115" spans="1:7" x14ac:dyDescent="0.35">
      <c r="A3115" t="s">
        <v>165</v>
      </c>
      <c r="E3115">
        <v>-2.7183852674881624E-2</v>
      </c>
      <c r="F3115">
        <f t="shared" si="102"/>
        <v>-1.5227264659595594E-2</v>
      </c>
      <c r="G3115">
        <f t="shared" si="103"/>
        <v>-2.2513687028185739E-2</v>
      </c>
    </row>
    <row r="3116" spans="1:7" x14ac:dyDescent="0.35">
      <c r="A3116" t="s">
        <v>165</v>
      </c>
      <c r="E3116">
        <v>2.0059883363262816E-2</v>
      </c>
      <c r="F3116">
        <f t="shared" si="102"/>
        <v>-1.5173317009743365E-2</v>
      </c>
      <c r="G3116">
        <f t="shared" si="103"/>
        <v>-2.2171309536333658E-2</v>
      </c>
    </row>
    <row r="3117" spans="1:7" x14ac:dyDescent="0.35">
      <c r="A3117" t="s">
        <v>165</v>
      </c>
      <c r="E3117">
        <v>1.5827055257253069E-2</v>
      </c>
      <c r="F3117">
        <f t="shared" si="102"/>
        <v>-1.5180147872322225E-2</v>
      </c>
      <c r="G3117">
        <f t="shared" si="103"/>
        <v>-2.2171309536333658E-2</v>
      </c>
    </row>
    <row r="3118" spans="1:7" x14ac:dyDescent="0.35">
      <c r="A3118" t="s">
        <v>165</v>
      </c>
      <c r="E3118">
        <v>4.3904344920467544E-3</v>
      </c>
      <c r="F3118">
        <f t="shared" si="102"/>
        <v>-1.5186978734901085E-2</v>
      </c>
      <c r="G3118">
        <f t="shared" si="103"/>
        <v>-2.2171309536333658E-2</v>
      </c>
    </row>
    <row r="3119" spans="1:7" x14ac:dyDescent="0.35">
      <c r="A3119" t="s">
        <v>165</v>
      </c>
      <c r="E3119">
        <v>-6.1233350340031316E-3</v>
      </c>
      <c r="F3119">
        <f t="shared" si="102"/>
        <v>-1.5193809597479945E-2</v>
      </c>
      <c r="G3119">
        <f t="shared" si="103"/>
        <v>-2.2171309536333658E-2</v>
      </c>
    </row>
    <row r="3120" spans="1:7" x14ac:dyDescent="0.35">
      <c r="A3120" t="s">
        <v>165</v>
      </c>
      <c r="E3120">
        <v>7.9565221871453241E-3</v>
      </c>
      <c r="F3120">
        <f t="shared" si="102"/>
        <v>-1.5200640460058805E-2</v>
      </c>
      <c r="G3120">
        <f t="shared" si="103"/>
        <v>-2.2171309536333658E-2</v>
      </c>
    </row>
    <row r="3121" spans="1:7" x14ac:dyDescent="0.35">
      <c r="A3121" t="s">
        <v>165</v>
      </c>
      <c r="E3121">
        <v>-7.2996661033642336E-3</v>
      </c>
      <c r="F3121">
        <f t="shared" si="102"/>
        <v>-1.5202415406694592E-2</v>
      </c>
      <c r="G3121">
        <f t="shared" si="103"/>
        <v>-2.2376329215047629E-2</v>
      </c>
    </row>
    <row r="3122" spans="1:7" x14ac:dyDescent="0.35">
      <c r="A3122" t="s">
        <v>165</v>
      </c>
      <c r="E3122">
        <v>-1.4238658099836122E-2</v>
      </c>
      <c r="F3122">
        <f t="shared" si="102"/>
        <v>-1.5204190353330376E-2</v>
      </c>
      <c r="G3122">
        <f t="shared" si="103"/>
        <v>-2.2376329215047629E-2</v>
      </c>
    </row>
    <row r="3123" spans="1:7" x14ac:dyDescent="0.35">
      <c r="A3123" t="s">
        <v>165</v>
      </c>
      <c r="E3123">
        <v>2.0180730577362197E-2</v>
      </c>
      <c r="F3123">
        <f t="shared" si="102"/>
        <v>-1.5205965299966163E-2</v>
      </c>
      <c r="G3123">
        <f t="shared" si="103"/>
        <v>-2.2376329215047629E-2</v>
      </c>
    </row>
    <row r="3124" spans="1:7" x14ac:dyDescent="0.35">
      <c r="A3124" t="s">
        <v>165</v>
      </c>
      <c r="E3124">
        <v>9.2201205447762866E-3</v>
      </c>
      <c r="F3124">
        <f t="shared" si="102"/>
        <v>-1.5207740246601948E-2</v>
      </c>
      <c r="G3124">
        <f t="shared" si="103"/>
        <v>-2.2376329215047629E-2</v>
      </c>
    </row>
    <row r="3125" spans="1:7" x14ac:dyDescent="0.35">
      <c r="A3125" t="s">
        <v>165</v>
      </c>
      <c r="E3125">
        <v>1.7784385436713339E-2</v>
      </c>
      <c r="F3125">
        <f t="shared" si="102"/>
        <v>-1.5209515193237735E-2</v>
      </c>
      <c r="G3125">
        <f t="shared" si="103"/>
        <v>-2.2376329215047629E-2</v>
      </c>
    </row>
    <row r="3126" spans="1:7" x14ac:dyDescent="0.35">
      <c r="A3126" t="s">
        <v>165</v>
      </c>
      <c r="E3126">
        <v>-2.6740142593800879E-3</v>
      </c>
      <c r="F3126">
        <f t="shared" si="102"/>
        <v>-1.5211290139873521E-2</v>
      </c>
      <c r="G3126">
        <f t="shared" si="103"/>
        <v>-2.2376329215047629E-2</v>
      </c>
    </row>
    <row r="3127" spans="1:7" x14ac:dyDescent="0.35">
      <c r="A3127" t="s">
        <v>165</v>
      </c>
      <c r="E3127">
        <v>2.6562756570362753E-3</v>
      </c>
      <c r="F3127">
        <f t="shared" si="102"/>
        <v>-1.5213065086509306E-2</v>
      </c>
      <c r="G3127">
        <f t="shared" si="103"/>
        <v>-2.2376329215047629E-2</v>
      </c>
    </row>
    <row r="3128" spans="1:7" x14ac:dyDescent="0.35">
      <c r="A3128" t="s">
        <v>165</v>
      </c>
      <c r="E3128">
        <v>2.5302137121500979E-3</v>
      </c>
      <c r="F3128">
        <f t="shared" si="102"/>
        <v>-1.5214840033145093E-2</v>
      </c>
      <c r="G3128">
        <f t="shared" si="103"/>
        <v>-2.2376329215047629E-2</v>
      </c>
    </row>
    <row r="3129" spans="1:7" x14ac:dyDescent="0.35">
      <c r="A3129" t="s">
        <v>165</v>
      </c>
      <c r="E3129">
        <v>3.328955080674652E-3</v>
      </c>
      <c r="F3129">
        <f t="shared" si="102"/>
        <v>-1.5216614979780878E-2</v>
      </c>
      <c r="G3129">
        <f t="shared" si="103"/>
        <v>-2.2376329215047629E-2</v>
      </c>
    </row>
    <row r="3130" spans="1:7" x14ac:dyDescent="0.35">
      <c r="A3130" t="s">
        <v>165</v>
      </c>
      <c r="E3130">
        <v>-4.1931140238228972E-3</v>
      </c>
      <c r="F3130">
        <f t="shared" si="102"/>
        <v>-1.5218389926416664E-2</v>
      </c>
      <c r="G3130">
        <f t="shared" si="103"/>
        <v>-2.2376329215047629E-2</v>
      </c>
    </row>
    <row r="3131" spans="1:7" x14ac:dyDescent="0.35">
      <c r="A3131" t="s">
        <v>165</v>
      </c>
      <c r="E3131">
        <v>7.4566944192691505E-3</v>
      </c>
      <c r="F3131">
        <f t="shared" si="102"/>
        <v>-1.5220164873052451E-2</v>
      </c>
      <c r="G3131">
        <f t="shared" si="103"/>
        <v>-2.2376329215047629E-2</v>
      </c>
    </row>
    <row r="3132" spans="1:7" x14ac:dyDescent="0.35">
      <c r="A3132" t="s">
        <v>165</v>
      </c>
      <c r="E3132">
        <v>1.290309753394942E-2</v>
      </c>
      <c r="F3132">
        <f t="shared" si="102"/>
        <v>-1.5221939819688236E-2</v>
      </c>
      <c r="G3132">
        <f t="shared" si="103"/>
        <v>-2.2376329215047629E-2</v>
      </c>
    </row>
    <row r="3133" spans="1:7" x14ac:dyDescent="0.35">
      <c r="A3133" t="s">
        <v>165</v>
      </c>
      <c r="E3133">
        <v>1.7093390615340265E-2</v>
      </c>
      <c r="F3133">
        <f t="shared" si="102"/>
        <v>-1.5223714766324023E-2</v>
      </c>
      <c r="G3133">
        <f t="shared" si="103"/>
        <v>-2.2376329215047629E-2</v>
      </c>
    </row>
    <row r="3134" spans="1:7" x14ac:dyDescent="0.35">
      <c r="A3134" t="s">
        <v>166</v>
      </c>
      <c r="B3134" s="3" cm="1">
        <f t="array" ref="B3134">_xlfn.STDEV.S(_xlfn._xlws.FILTER($E$2826:$E$3824, $A$2826:$A$3824="2022-08"))</f>
        <v>8.2952094789939274E-3</v>
      </c>
      <c r="C3134" s="3" cm="1">
        <f t="array" ref="C3134">AVERAGE(_xlfn._xlws.FILTER($E$2826:$E$3824, $A$2826:$A$3824="2022-08"))</f>
        <v>-2.4501172759134491E-3</v>
      </c>
      <c r="D3134" s="3" cm="1">
        <f t="array" ref="D3134">_xlfn.PERCENTILE.EXC(_xlfn._xlws.FILTER($E$2490:$E$3818, $A$2490:$A$3818="2022-08"), 0.05)</f>
        <v>-1.806656536875657E-2</v>
      </c>
      <c r="E3134">
        <v>-1.8067020504273815E-3</v>
      </c>
      <c r="F3134">
        <f t="shared" si="102"/>
        <v>-1.5225489712959808E-2</v>
      </c>
      <c r="G3134">
        <f t="shared" si="103"/>
        <v>-2.2376329215047629E-2</v>
      </c>
    </row>
    <row r="3135" spans="1:7" x14ac:dyDescent="0.35">
      <c r="A3135" t="s">
        <v>166</v>
      </c>
      <c r="E3135">
        <v>-4.2127743741217647E-3</v>
      </c>
      <c r="F3135">
        <f t="shared" si="102"/>
        <v>-1.5227264659595594E-2</v>
      </c>
      <c r="G3135">
        <f t="shared" si="103"/>
        <v>-2.2376329215047629E-2</v>
      </c>
    </row>
    <row r="3136" spans="1:7" x14ac:dyDescent="0.35">
      <c r="A3136" t="s">
        <v>166</v>
      </c>
      <c r="E3136">
        <v>9.6663812200317376E-3</v>
      </c>
      <c r="F3136">
        <f t="shared" si="102"/>
        <v>-1.5229039606231381E-2</v>
      </c>
      <c r="G3136">
        <f t="shared" si="103"/>
        <v>-2.2376329215047629E-2</v>
      </c>
    </row>
    <row r="3137" spans="1:7" x14ac:dyDescent="0.35">
      <c r="A3137" t="s">
        <v>166</v>
      </c>
      <c r="E3137">
        <v>6.3656075932440699E-3</v>
      </c>
      <c r="F3137">
        <f t="shared" si="102"/>
        <v>-1.5230814552867166E-2</v>
      </c>
      <c r="G3137">
        <f t="shared" si="103"/>
        <v>-2.2376329215047629E-2</v>
      </c>
    </row>
    <row r="3138" spans="1:7" x14ac:dyDescent="0.35">
      <c r="A3138" t="s">
        <v>166</v>
      </c>
      <c r="E3138">
        <v>-6.3208006070548826E-3</v>
      </c>
      <c r="F3138">
        <f t="shared" si="102"/>
        <v>-1.5232589499502952E-2</v>
      </c>
      <c r="G3138">
        <f t="shared" si="103"/>
        <v>-2.2376329215047629E-2</v>
      </c>
    </row>
    <row r="3139" spans="1:7" x14ac:dyDescent="0.35">
      <c r="A3139" t="s">
        <v>166</v>
      </c>
      <c r="E3139">
        <v>8.0158683669178787E-3</v>
      </c>
      <c r="F3139">
        <f t="shared" si="102"/>
        <v>-1.5234364446138737E-2</v>
      </c>
      <c r="G3139">
        <f t="shared" si="103"/>
        <v>-2.2376329215047629E-2</v>
      </c>
    </row>
    <row r="3140" spans="1:7" x14ac:dyDescent="0.35">
      <c r="A3140" t="s">
        <v>166</v>
      </c>
      <c r="E3140">
        <v>-5.2925950548999229E-3</v>
      </c>
      <c r="F3140">
        <f t="shared" ref="F3140:F3203" si="104">_xlfn.PERCENTILE.EXC(E3140:E6955,0.05)</f>
        <v>-1.5236139392774524E-2</v>
      </c>
      <c r="G3140">
        <f t="shared" ref="G3140:G3203" si="105">AVERAGEIFS(E3140:E6956,E3140:E6956,"&lt;=" &amp; F3140)</f>
        <v>-2.2376329215047629E-2</v>
      </c>
    </row>
    <row r="3141" spans="1:7" x14ac:dyDescent="0.35">
      <c r="A3141" t="s">
        <v>166</v>
      </c>
      <c r="E3141">
        <v>5.1393134486991529E-3</v>
      </c>
      <c r="F3141">
        <f t="shared" si="104"/>
        <v>-1.5238570818674741E-2</v>
      </c>
      <c r="G3141">
        <f t="shared" si="105"/>
        <v>-2.2592698603601354E-2</v>
      </c>
    </row>
    <row r="3142" spans="1:7" x14ac:dyDescent="0.35">
      <c r="A3142" t="s">
        <v>166</v>
      </c>
      <c r="E3142">
        <v>3.2491337579589074E-3</v>
      </c>
      <c r="F3142">
        <f t="shared" si="104"/>
        <v>-1.5241002244574958E-2</v>
      </c>
      <c r="G3142">
        <f t="shared" si="105"/>
        <v>-2.2592698603601354E-2</v>
      </c>
    </row>
    <row r="3143" spans="1:7" x14ac:dyDescent="0.35">
      <c r="A3143" t="s">
        <v>166</v>
      </c>
      <c r="E3143">
        <v>1.4032111249011609E-3</v>
      </c>
      <c r="F3143">
        <f t="shared" si="104"/>
        <v>-1.5243433670475173E-2</v>
      </c>
      <c r="G3143">
        <f t="shared" si="105"/>
        <v>-2.2592698603601354E-2</v>
      </c>
    </row>
    <row r="3144" spans="1:7" x14ac:dyDescent="0.35">
      <c r="A3144" t="s">
        <v>166</v>
      </c>
      <c r="E3144">
        <v>5.8905851260144422E-3</v>
      </c>
      <c r="F3144">
        <f t="shared" si="104"/>
        <v>-1.5245865096375389E-2</v>
      </c>
      <c r="G3144">
        <f t="shared" si="105"/>
        <v>-2.2592698603601354E-2</v>
      </c>
    </row>
    <row r="3145" spans="1:7" x14ac:dyDescent="0.35">
      <c r="A3145" t="s">
        <v>166</v>
      </c>
      <c r="E3145">
        <v>-9.7951381053449828E-3</v>
      </c>
      <c r="F3145">
        <f t="shared" si="104"/>
        <v>-1.5248296522275606E-2</v>
      </c>
      <c r="G3145">
        <f t="shared" si="105"/>
        <v>-2.2592698603601354E-2</v>
      </c>
    </row>
    <row r="3146" spans="1:7" x14ac:dyDescent="0.35">
      <c r="A3146" t="s">
        <v>166</v>
      </c>
      <c r="E3146">
        <v>4.444546860318325E-3</v>
      </c>
      <c r="F3146">
        <f t="shared" si="104"/>
        <v>-1.5250727948175823E-2</v>
      </c>
      <c r="G3146">
        <f t="shared" si="105"/>
        <v>-2.2592698603601354E-2</v>
      </c>
    </row>
    <row r="3147" spans="1:7" x14ac:dyDescent="0.35">
      <c r="A3147" t="s">
        <v>166</v>
      </c>
      <c r="E3147">
        <v>-9.4337503623469852E-3</v>
      </c>
      <c r="F3147">
        <f t="shared" si="104"/>
        <v>-1.525315937407604E-2</v>
      </c>
      <c r="G3147">
        <f t="shared" si="105"/>
        <v>-2.2592698603601354E-2</v>
      </c>
    </row>
    <row r="3148" spans="1:7" x14ac:dyDescent="0.35">
      <c r="A3148" t="s">
        <v>166</v>
      </c>
      <c r="E3148">
        <v>-1.8189846876654894E-2</v>
      </c>
      <c r="F3148">
        <f t="shared" si="104"/>
        <v>-1.5255590799976255E-2</v>
      </c>
      <c r="G3148">
        <f t="shared" si="105"/>
        <v>-2.2592698603601354E-2</v>
      </c>
    </row>
    <row r="3149" spans="1:7" x14ac:dyDescent="0.35">
      <c r="A3149" t="s">
        <v>166</v>
      </c>
      <c r="E3149">
        <v>-2.6246487020187498E-3</v>
      </c>
      <c r="F3149">
        <f t="shared" si="104"/>
        <v>-1.5216614979780878E-2</v>
      </c>
      <c r="G3149">
        <f t="shared" si="105"/>
        <v>-2.2503192316211049E-2</v>
      </c>
    </row>
    <row r="3150" spans="1:7" x14ac:dyDescent="0.35">
      <c r="A3150" t="s">
        <v>166</v>
      </c>
      <c r="E3150">
        <v>3.8811605590051146E-3</v>
      </c>
      <c r="F3150">
        <f t="shared" si="104"/>
        <v>-1.5218389926416664E-2</v>
      </c>
      <c r="G3150">
        <f t="shared" si="105"/>
        <v>-2.2503192316211049E-2</v>
      </c>
    </row>
    <row r="3151" spans="1:7" x14ac:dyDescent="0.35">
      <c r="A3151" t="s">
        <v>166</v>
      </c>
      <c r="E3151">
        <v>-8.1451597195075786E-4</v>
      </c>
      <c r="F3151">
        <f t="shared" si="104"/>
        <v>-1.5220164873052451E-2</v>
      </c>
      <c r="G3151">
        <f t="shared" si="105"/>
        <v>-2.2503192316211049E-2</v>
      </c>
    </row>
    <row r="3152" spans="1:7" x14ac:dyDescent="0.35">
      <c r="A3152" t="s">
        <v>166</v>
      </c>
      <c r="E3152">
        <v>-1.6957031797671673E-2</v>
      </c>
      <c r="F3152">
        <f t="shared" si="104"/>
        <v>-1.5221939819688236E-2</v>
      </c>
      <c r="G3152">
        <f t="shared" si="105"/>
        <v>-2.2503192316211049E-2</v>
      </c>
    </row>
    <row r="3153" spans="1:7" x14ac:dyDescent="0.35">
      <c r="A3153" t="s">
        <v>166</v>
      </c>
      <c r="E3153">
        <v>-1.0259227727953331E-2</v>
      </c>
      <c r="F3153">
        <f t="shared" si="104"/>
        <v>-1.5152824422006786E-2</v>
      </c>
      <c r="G3153">
        <f t="shared" si="105"/>
        <v>-2.2449968336283384E-2</v>
      </c>
    </row>
    <row r="3154" spans="1:7" x14ac:dyDescent="0.35">
      <c r="A3154" t="s">
        <v>166</v>
      </c>
      <c r="E3154">
        <v>-1.3801239220827898E-2</v>
      </c>
      <c r="F3154">
        <f t="shared" si="104"/>
        <v>-1.5159655284585644E-2</v>
      </c>
      <c r="G3154">
        <f t="shared" si="105"/>
        <v>-2.2449968336283384E-2</v>
      </c>
    </row>
    <row r="3155" spans="1:7" x14ac:dyDescent="0.35">
      <c r="A3155" t="s">
        <v>167</v>
      </c>
      <c r="B3155" s="3" cm="1">
        <f t="array" ref="B3155">_xlfn.STDEV.S(_xlfn._xlws.FILTER($E$2826:$E$3824, $A$2826:$A$3824="2022-09"))</f>
        <v>1.3133983534188506E-2</v>
      </c>
      <c r="C3155" s="3" cm="1">
        <f t="array" ref="C3155">AVERAGE(_xlfn._xlws.FILTER($E$2826:$E$3824, $A$2826:$A$3824="2022-09"))</f>
        <v>-2.9072114579769223E-3</v>
      </c>
      <c r="D3155" s="3" cm="1">
        <f t="array" ref="D3155">_xlfn.PERCENTILE.EXC(_xlfn._xlws.FILTER($E$2490:$E$3818, $A$2490:$A$3818="2022-09"), 0.05)</f>
        <v>-2.2669059047100662E-2</v>
      </c>
      <c r="E3155">
        <v>-1.4933567872320471E-2</v>
      </c>
      <c r="F3155">
        <f t="shared" si="104"/>
        <v>-1.5166486147164506E-2</v>
      </c>
      <c r="G3155">
        <f t="shared" si="105"/>
        <v>-2.2449968336283384E-2</v>
      </c>
    </row>
    <row r="3156" spans="1:7" x14ac:dyDescent="0.35">
      <c r="A3156" t="s">
        <v>167</v>
      </c>
      <c r="E3156">
        <v>2.1833675866767255E-2</v>
      </c>
      <c r="F3156">
        <f t="shared" si="104"/>
        <v>-1.5173317009743365E-2</v>
      </c>
      <c r="G3156">
        <f t="shared" si="105"/>
        <v>-2.2449968336283384E-2</v>
      </c>
    </row>
    <row r="3157" spans="1:7" x14ac:dyDescent="0.35">
      <c r="A3157" t="s">
        <v>167</v>
      </c>
      <c r="E3157">
        <v>-1.2118513200016405E-2</v>
      </c>
      <c r="F3157">
        <f t="shared" si="104"/>
        <v>-1.5180147872322225E-2</v>
      </c>
      <c r="G3157">
        <f t="shared" si="105"/>
        <v>-2.2449968336283384E-2</v>
      </c>
    </row>
    <row r="3158" spans="1:7" x14ac:dyDescent="0.35">
      <c r="A3158" t="s">
        <v>167</v>
      </c>
      <c r="E3158">
        <v>1.8675458356829917E-3</v>
      </c>
      <c r="F3158">
        <f t="shared" si="104"/>
        <v>-1.5186978734901085E-2</v>
      </c>
      <c r="G3158">
        <f t="shared" si="105"/>
        <v>-2.2449968336283384E-2</v>
      </c>
    </row>
    <row r="3159" spans="1:7" x14ac:dyDescent="0.35">
      <c r="A3159" t="s">
        <v>167</v>
      </c>
      <c r="E3159">
        <v>2.1456890160001049E-4</v>
      </c>
      <c r="F3159">
        <f t="shared" si="104"/>
        <v>-1.5193809597479945E-2</v>
      </c>
      <c r="G3159">
        <f t="shared" si="105"/>
        <v>-2.2449968336283384E-2</v>
      </c>
    </row>
    <row r="3160" spans="1:7" x14ac:dyDescent="0.35">
      <c r="A3160" t="s">
        <v>167</v>
      </c>
      <c r="E3160">
        <v>3.2668920520165109E-3</v>
      </c>
      <c r="F3160">
        <f t="shared" si="104"/>
        <v>-1.5200640460058805E-2</v>
      </c>
      <c r="G3160">
        <f t="shared" si="105"/>
        <v>-2.2449968336283384E-2</v>
      </c>
    </row>
    <row r="3161" spans="1:7" x14ac:dyDescent="0.35">
      <c r="A3161" t="s">
        <v>167</v>
      </c>
      <c r="E3161">
        <v>1.4010342451373999E-2</v>
      </c>
      <c r="F3161">
        <f t="shared" si="104"/>
        <v>-1.5202415406694592E-2</v>
      </c>
      <c r="G3161">
        <f t="shared" si="105"/>
        <v>-2.2676509832415401E-2</v>
      </c>
    </row>
    <row r="3162" spans="1:7" x14ac:dyDescent="0.35">
      <c r="A3162" t="s">
        <v>167</v>
      </c>
      <c r="E3162">
        <v>1.9331189129720976E-2</v>
      </c>
      <c r="F3162">
        <f t="shared" si="104"/>
        <v>-1.5204190353330376E-2</v>
      </c>
      <c r="G3162">
        <f t="shared" si="105"/>
        <v>-2.2676509832415401E-2</v>
      </c>
    </row>
    <row r="3163" spans="1:7" x14ac:dyDescent="0.35">
      <c r="A3163" t="s">
        <v>167</v>
      </c>
      <c r="E3163">
        <v>-1.3975590128090434E-2</v>
      </c>
      <c r="F3163">
        <f t="shared" si="104"/>
        <v>-1.5205965299966163E-2</v>
      </c>
      <c r="G3163">
        <f t="shared" si="105"/>
        <v>-2.2676509832415401E-2</v>
      </c>
    </row>
    <row r="3164" spans="1:7" x14ac:dyDescent="0.35">
      <c r="A3164" t="s">
        <v>167</v>
      </c>
      <c r="E3164">
        <v>-3.7343343498663813E-3</v>
      </c>
      <c r="F3164">
        <f t="shared" si="104"/>
        <v>-1.5207740246601948E-2</v>
      </c>
      <c r="G3164">
        <f t="shared" si="105"/>
        <v>-2.2676509832415401E-2</v>
      </c>
    </row>
    <row r="3165" spans="1:7" x14ac:dyDescent="0.35">
      <c r="A3165" t="s">
        <v>167</v>
      </c>
      <c r="E3165">
        <v>-1.0431224812074057E-2</v>
      </c>
      <c r="F3165">
        <f t="shared" si="104"/>
        <v>-1.5209515193237735E-2</v>
      </c>
      <c r="G3165">
        <f t="shared" si="105"/>
        <v>-2.2676509832415401E-2</v>
      </c>
    </row>
    <row r="3166" spans="1:7" x14ac:dyDescent="0.35">
      <c r="A3166" t="s">
        <v>167</v>
      </c>
      <c r="E3166">
        <v>-1.3165548304470254E-2</v>
      </c>
      <c r="F3166">
        <f t="shared" si="104"/>
        <v>-1.5211290139873521E-2</v>
      </c>
      <c r="G3166">
        <f t="shared" si="105"/>
        <v>-2.2676509832415401E-2</v>
      </c>
    </row>
    <row r="3167" spans="1:7" x14ac:dyDescent="0.35">
      <c r="A3167" t="s">
        <v>167</v>
      </c>
      <c r="E3167">
        <v>-1.6228583126212295E-2</v>
      </c>
      <c r="F3167">
        <f t="shared" si="104"/>
        <v>-1.5213065086509306E-2</v>
      </c>
      <c r="G3167">
        <f t="shared" si="105"/>
        <v>-2.2676509832415401E-2</v>
      </c>
    </row>
    <row r="3168" spans="1:7" x14ac:dyDescent="0.35">
      <c r="A3168" t="s">
        <v>167</v>
      </c>
      <c r="E3168">
        <v>8.6356149936566394E-3</v>
      </c>
      <c r="F3168">
        <f t="shared" si="104"/>
        <v>-1.5118670109112485E-2</v>
      </c>
      <c r="G3168">
        <f t="shared" si="105"/>
        <v>-2.2644386624098106E-2</v>
      </c>
    </row>
    <row r="3169" spans="1:7" x14ac:dyDescent="0.35">
      <c r="A3169" t="s">
        <v>167</v>
      </c>
      <c r="E3169">
        <v>-1.8884511854083054E-2</v>
      </c>
      <c r="F3169">
        <f t="shared" si="104"/>
        <v>-1.5125500971691345E-2</v>
      </c>
      <c r="G3169">
        <f t="shared" si="105"/>
        <v>-2.2644386624098106E-2</v>
      </c>
    </row>
    <row r="3170" spans="1:7" x14ac:dyDescent="0.35">
      <c r="A3170" t="s">
        <v>167</v>
      </c>
      <c r="E3170">
        <v>-2.3089564290769284E-2</v>
      </c>
      <c r="F3170">
        <f t="shared" si="104"/>
        <v>-1.4812959370156739E-2</v>
      </c>
      <c r="G3170">
        <f t="shared" si="105"/>
        <v>-2.252499635392306E-2</v>
      </c>
    </row>
    <row r="3171" spans="1:7" x14ac:dyDescent="0.35">
      <c r="A3171" t="s">
        <v>167</v>
      </c>
      <c r="E3171">
        <v>-2.4271184271411452E-3</v>
      </c>
      <c r="F3171">
        <f t="shared" si="104"/>
        <v>-1.4480892562379419E-2</v>
      </c>
      <c r="G3171">
        <f t="shared" si="105"/>
        <v>-2.2258506705206269E-2</v>
      </c>
    </row>
    <row r="3172" spans="1:7" x14ac:dyDescent="0.35">
      <c r="A3172" t="s">
        <v>167</v>
      </c>
      <c r="E3172">
        <v>-2.702373639882088E-3</v>
      </c>
      <c r="F3172">
        <f t="shared" si="104"/>
        <v>-1.4489892892318581E-2</v>
      </c>
      <c r="G3172">
        <f t="shared" si="105"/>
        <v>-2.2258506705206269E-2</v>
      </c>
    </row>
    <row r="3173" spans="1:7" x14ac:dyDescent="0.35">
      <c r="A3173" t="s">
        <v>167</v>
      </c>
      <c r="E3173">
        <v>1.9429062708764466E-3</v>
      </c>
      <c r="F3173">
        <f t="shared" si="104"/>
        <v>-1.4498893222257742E-2</v>
      </c>
      <c r="G3173">
        <f t="shared" si="105"/>
        <v>-2.2258506705206269E-2</v>
      </c>
    </row>
    <row r="3174" spans="1:7" x14ac:dyDescent="0.35">
      <c r="A3174" t="s">
        <v>167</v>
      </c>
      <c r="E3174">
        <v>-1.5406863817208892E-2</v>
      </c>
      <c r="F3174">
        <f t="shared" si="104"/>
        <v>-1.4507893552196904E-2</v>
      </c>
      <c r="G3174">
        <f t="shared" si="105"/>
        <v>-2.2258506705206269E-2</v>
      </c>
    </row>
    <row r="3175" spans="1:7" x14ac:dyDescent="0.35">
      <c r="A3175" t="s">
        <v>167</v>
      </c>
      <c r="E3175">
        <v>1.4943617702924577E-2</v>
      </c>
      <c r="F3175">
        <f t="shared" si="104"/>
        <v>-1.4365991975425731E-2</v>
      </c>
      <c r="G3175">
        <f t="shared" si="105"/>
        <v>-2.2226476240076256E-2</v>
      </c>
    </row>
    <row r="3176" spans="1:7" x14ac:dyDescent="0.35">
      <c r="A3176" t="s">
        <v>168</v>
      </c>
      <c r="B3176" s="3" cm="1">
        <f t="array" ref="B3176">_xlfn.STDEV.S(_xlfn._xlws.FILTER($E$2826:$E$3824, $A$2826:$A$3824="2022-10"))</f>
        <v>1.2458993336466979E-2</v>
      </c>
      <c r="C3176" s="3" cm="1">
        <f t="array" ref="C3176">AVERAGE(_xlfn._xlws.FILTER($E$2826:$E$3824, $A$2826:$A$3824="2022-10"))</f>
        <v>3.9960680087113001E-3</v>
      </c>
      <c r="D3176" s="3" cm="1">
        <f t="array" ref="D3176">_xlfn.PERCENTILE.EXC(_xlfn._xlws.FILTER($E$2490:$E$3818, $A$2490:$A$3818="2022-10"), 0.05)</f>
        <v>-1.1497698516980541E-2</v>
      </c>
      <c r="E3176">
        <v>5.5051456519721554E-3</v>
      </c>
      <c r="F3176">
        <f t="shared" si="104"/>
        <v>-1.4369171366950314E-2</v>
      </c>
      <c r="G3176">
        <f t="shared" si="105"/>
        <v>-2.2226476240076256E-2</v>
      </c>
    </row>
    <row r="3177" spans="1:7" x14ac:dyDescent="0.35">
      <c r="A3177" t="s">
        <v>168</v>
      </c>
      <c r="E3177">
        <v>4.1503898263681768E-2</v>
      </c>
      <c r="F3177">
        <f t="shared" si="104"/>
        <v>-1.4372350758474896E-2</v>
      </c>
      <c r="G3177">
        <f t="shared" si="105"/>
        <v>-2.2226476240076256E-2</v>
      </c>
    </row>
    <row r="3178" spans="1:7" x14ac:dyDescent="0.35">
      <c r="A3178" t="s">
        <v>168</v>
      </c>
      <c r="E3178">
        <v>-9.0194912561147554E-3</v>
      </c>
      <c r="F3178">
        <f t="shared" si="104"/>
        <v>-1.4375530149999479E-2</v>
      </c>
      <c r="G3178">
        <f t="shared" si="105"/>
        <v>-2.2226476240076256E-2</v>
      </c>
    </row>
    <row r="3179" spans="1:7" x14ac:dyDescent="0.35">
      <c r="A3179" t="s">
        <v>168</v>
      </c>
      <c r="E3179">
        <v>-8.2269367910865459E-3</v>
      </c>
      <c r="F3179">
        <f t="shared" si="104"/>
        <v>-1.4378709541524062E-2</v>
      </c>
      <c r="G3179">
        <f t="shared" si="105"/>
        <v>-2.2226476240076256E-2</v>
      </c>
    </row>
    <row r="3180" spans="1:7" x14ac:dyDescent="0.35">
      <c r="A3180" t="s">
        <v>168</v>
      </c>
      <c r="E3180">
        <v>-1.1773054879298962E-2</v>
      </c>
      <c r="F3180">
        <f t="shared" si="104"/>
        <v>-1.4381888933048644E-2</v>
      </c>
      <c r="G3180">
        <f t="shared" si="105"/>
        <v>-2.2226476240076256E-2</v>
      </c>
    </row>
    <row r="3181" spans="1:7" x14ac:dyDescent="0.35">
      <c r="A3181" t="s">
        <v>168</v>
      </c>
      <c r="E3181">
        <v>-4.5082327119142455E-3</v>
      </c>
      <c r="F3181">
        <f t="shared" si="104"/>
        <v>-1.4390889262987806E-2</v>
      </c>
      <c r="G3181">
        <f t="shared" si="105"/>
        <v>-2.2479527443528765E-2</v>
      </c>
    </row>
    <row r="3182" spans="1:7" x14ac:dyDescent="0.35">
      <c r="A3182" t="s">
        <v>168</v>
      </c>
      <c r="E3182">
        <v>-1.2592356305772662E-3</v>
      </c>
      <c r="F3182">
        <f t="shared" si="104"/>
        <v>-1.4399889592926967E-2</v>
      </c>
      <c r="G3182">
        <f t="shared" si="105"/>
        <v>-2.2479527443528765E-2</v>
      </c>
    </row>
    <row r="3183" spans="1:7" x14ac:dyDescent="0.35">
      <c r="A3183" t="s">
        <v>168</v>
      </c>
      <c r="E3183">
        <v>-2.5283942726035775E-3</v>
      </c>
      <c r="F3183">
        <f t="shared" si="104"/>
        <v>-1.4408889922866128E-2</v>
      </c>
      <c r="G3183">
        <f t="shared" si="105"/>
        <v>-2.2479527443528765E-2</v>
      </c>
    </row>
    <row r="3184" spans="1:7" x14ac:dyDescent="0.35">
      <c r="A3184" t="s">
        <v>168</v>
      </c>
      <c r="E3184">
        <v>1.0381656734719719E-2</v>
      </c>
      <c r="F3184">
        <f t="shared" si="104"/>
        <v>-1.441789025280529E-2</v>
      </c>
      <c r="G3184">
        <f t="shared" si="105"/>
        <v>-2.2479527443528765E-2</v>
      </c>
    </row>
    <row r="3185" spans="1:7" x14ac:dyDescent="0.35">
      <c r="A3185" t="s">
        <v>168</v>
      </c>
      <c r="E3185">
        <v>8.928940688688292E-3</v>
      </c>
      <c r="F3185">
        <f t="shared" si="104"/>
        <v>-1.4426890582744451E-2</v>
      </c>
      <c r="G3185">
        <f t="shared" si="105"/>
        <v>-2.2479527443528765E-2</v>
      </c>
    </row>
    <row r="3186" spans="1:7" x14ac:dyDescent="0.35">
      <c r="A3186" t="s">
        <v>168</v>
      </c>
      <c r="E3186">
        <v>1.8165339492126911E-2</v>
      </c>
      <c r="F3186">
        <f t="shared" si="104"/>
        <v>-1.4435890912683613E-2</v>
      </c>
      <c r="G3186">
        <f t="shared" si="105"/>
        <v>-2.2479527443528765E-2</v>
      </c>
    </row>
    <row r="3187" spans="1:7" x14ac:dyDescent="0.35">
      <c r="A3187" t="s">
        <v>168</v>
      </c>
      <c r="E3187">
        <v>4.3509714599565203E-3</v>
      </c>
      <c r="F3187">
        <f t="shared" si="104"/>
        <v>-1.4444891242622774E-2</v>
      </c>
      <c r="G3187">
        <f t="shared" si="105"/>
        <v>-2.2479527443528765E-2</v>
      </c>
    </row>
    <row r="3188" spans="1:7" x14ac:dyDescent="0.35">
      <c r="A3188" t="s">
        <v>168</v>
      </c>
      <c r="E3188">
        <v>-4.3410388198108323E-3</v>
      </c>
      <c r="F3188">
        <f t="shared" si="104"/>
        <v>-1.4453891572561935E-2</v>
      </c>
      <c r="G3188">
        <f t="shared" si="105"/>
        <v>-2.2479527443528765E-2</v>
      </c>
    </row>
    <row r="3189" spans="1:7" x14ac:dyDescent="0.35">
      <c r="A3189" t="s">
        <v>168</v>
      </c>
      <c r="E3189">
        <v>7.6157107824065149E-3</v>
      </c>
      <c r="F3189">
        <f t="shared" si="104"/>
        <v>-1.4462891902501097E-2</v>
      </c>
      <c r="G3189">
        <f t="shared" si="105"/>
        <v>-2.2479527443528765E-2</v>
      </c>
    </row>
    <row r="3190" spans="1:7" x14ac:dyDescent="0.35">
      <c r="A3190" t="s">
        <v>168</v>
      </c>
      <c r="E3190">
        <v>-8.4984454289281051E-3</v>
      </c>
      <c r="F3190">
        <f t="shared" si="104"/>
        <v>-1.4471892232440258E-2</v>
      </c>
      <c r="G3190">
        <f t="shared" si="105"/>
        <v>-2.2479527443528765E-2</v>
      </c>
    </row>
    <row r="3191" spans="1:7" x14ac:dyDescent="0.35">
      <c r="A3191" t="s">
        <v>168</v>
      </c>
      <c r="E3191">
        <v>1.5776109553428772E-2</v>
      </c>
      <c r="F3191">
        <f t="shared" si="104"/>
        <v>-1.4480892562379419E-2</v>
      </c>
      <c r="G3191">
        <f t="shared" si="105"/>
        <v>-2.2479527443528765E-2</v>
      </c>
    </row>
    <row r="3192" spans="1:7" x14ac:dyDescent="0.35">
      <c r="A3192" t="s">
        <v>168</v>
      </c>
      <c r="E3192">
        <v>1.92528748292803E-2</v>
      </c>
      <c r="F3192">
        <f t="shared" si="104"/>
        <v>-1.4489892892318581E-2</v>
      </c>
      <c r="G3192">
        <f t="shared" si="105"/>
        <v>-2.2479527443528765E-2</v>
      </c>
    </row>
    <row r="3193" spans="1:7" x14ac:dyDescent="0.35">
      <c r="A3193" t="s">
        <v>168</v>
      </c>
      <c r="E3193">
        <v>4.1127682931815374E-3</v>
      </c>
      <c r="F3193">
        <f t="shared" si="104"/>
        <v>-1.4498893222257742E-2</v>
      </c>
      <c r="G3193">
        <f t="shared" si="105"/>
        <v>-2.2479527443528765E-2</v>
      </c>
    </row>
    <row r="3194" spans="1:7" x14ac:dyDescent="0.35">
      <c r="A3194" t="s">
        <v>168</v>
      </c>
      <c r="E3194">
        <v>-5.1564209156475544E-3</v>
      </c>
      <c r="F3194">
        <f t="shared" si="104"/>
        <v>-1.4507893552196904E-2</v>
      </c>
      <c r="G3194">
        <f t="shared" si="105"/>
        <v>-2.2479527443528765E-2</v>
      </c>
    </row>
    <row r="3195" spans="1:7" x14ac:dyDescent="0.35">
      <c r="A3195" t="s">
        <v>168</v>
      </c>
      <c r="E3195">
        <v>4.636872496711299E-3</v>
      </c>
      <c r="F3195">
        <f t="shared" si="104"/>
        <v>-1.4516893882136065E-2</v>
      </c>
      <c r="G3195">
        <f t="shared" si="105"/>
        <v>-2.2479527443528765E-2</v>
      </c>
    </row>
    <row r="3196" spans="1:7" x14ac:dyDescent="0.35">
      <c r="A3196" t="s">
        <v>168</v>
      </c>
      <c r="E3196">
        <v>-1.0016093572346246E-3</v>
      </c>
      <c r="F3196">
        <f t="shared" si="104"/>
        <v>-1.4525894212075226E-2</v>
      </c>
      <c r="G3196">
        <f t="shared" si="105"/>
        <v>-2.2479527443528765E-2</v>
      </c>
    </row>
    <row r="3197" spans="1:7" x14ac:dyDescent="0.35">
      <c r="A3197" t="s">
        <v>169</v>
      </c>
      <c r="B3197" s="3" cm="1">
        <f t="array" ref="B3197">_xlfn.STDEV.S(_xlfn._xlws.FILTER($E$2826:$E$3824, $A$2826:$A$3824="2022-11"))</f>
        <v>8.4930222424234002E-3</v>
      </c>
      <c r="C3197" s="3" cm="1">
        <f t="array" ref="C3197">AVERAGE(_xlfn._xlws.FILTER($E$2826:$E$3824, $A$2826:$A$3824="2022-11"))</f>
        <v>3.2992589934078549E-3</v>
      </c>
      <c r="D3197" s="3" cm="1">
        <f t="array" ref="D3197">_xlfn.PERCENTILE.EXC(_xlfn._xlws.FILTER($E$2490:$E$3818, $A$2490:$A$3818="2022-11"), 0.05)</f>
        <v>-7.988368608429261E-3</v>
      </c>
      <c r="E3197">
        <v>9.7626662446493682E-3</v>
      </c>
      <c r="F3197">
        <f t="shared" si="104"/>
        <v>-1.4534894542014388E-2</v>
      </c>
      <c r="G3197">
        <f t="shared" si="105"/>
        <v>-2.2479527443528765E-2</v>
      </c>
    </row>
    <row r="3198" spans="1:7" x14ac:dyDescent="0.35">
      <c r="A3198" t="s">
        <v>169</v>
      </c>
      <c r="E3198">
        <v>-8.1506948983195663E-3</v>
      </c>
      <c r="F3198">
        <f t="shared" si="104"/>
        <v>-1.4543894871953549E-2</v>
      </c>
      <c r="G3198">
        <f t="shared" si="105"/>
        <v>-2.2479527443528765E-2</v>
      </c>
    </row>
    <row r="3199" spans="1:7" x14ac:dyDescent="0.35">
      <c r="A3199" t="s">
        <v>169</v>
      </c>
      <c r="E3199">
        <v>-5.3673564337522817E-3</v>
      </c>
      <c r="F3199">
        <f t="shared" si="104"/>
        <v>-1.4552895201892711E-2</v>
      </c>
      <c r="G3199">
        <f t="shared" si="105"/>
        <v>-2.2479527443528765E-2</v>
      </c>
    </row>
    <row r="3200" spans="1:7" x14ac:dyDescent="0.35">
      <c r="A3200" t="s">
        <v>169</v>
      </c>
      <c r="E3200">
        <v>2.7357761460302176E-2</v>
      </c>
      <c r="F3200">
        <f t="shared" si="104"/>
        <v>-1.4561895531831872E-2</v>
      </c>
      <c r="G3200">
        <f t="shared" si="105"/>
        <v>-2.2479527443528765E-2</v>
      </c>
    </row>
    <row r="3201" spans="1:7" x14ac:dyDescent="0.35">
      <c r="A3201" t="s">
        <v>169</v>
      </c>
      <c r="E3201">
        <v>2.6494091429563879E-5</v>
      </c>
      <c r="F3201">
        <f t="shared" si="104"/>
        <v>-1.4587001915664357E-2</v>
      </c>
      <c r="G3201">
        <f t="shared" si="105"/>
        <v>-2.2743448507251997E-2</v>
      </c>
    </row>
    <row r="3202" spans="1:7" x14ac:dyDescent="0.35">
      <c r="A3202" t="s">
        <v>169</v>
      </c>
      <c r="E3202">
        <v>3.8714913915849462E-3</v>
      </c>
      <c r="F3202">
        <f t="shared" si="104"/>
        <v>-1.4612108299496844E-2</v>
      </c>
      <c r="G3202">
        <f t="shared" si="105"/>
        <v>-2.2743448507251997E-2</v>
      </c>
    </row>
    <row r="3203" spans="1:7" x14ac:dyDescent="0.35">
      <c r="A3203" t="s">
        <v>169</v>
      </c>
      <c r="E3203">
        <v>-1.6982509614839661E-3</v>
      </c>
      <c r="F3203">
        <f t="shared" si="104"/>
        <v>-1.4637214683329331E-2</v>
      </c>
      <c r="G3203">
        <f t="shared" si="105"/>
        <v>-2.2743448507251997E-2</v>
      </c>
    </row>
    <row r="3204" spans="1:7" x14ac:dyDescent="0.35">
      <c r="A3204" t="s">
        <v>169</v>
      </c>
      <c r="E3204">
        <v>1.9444073166653603E-2</v>
      </c>
      <c r="F3204">
        <f t="shared" ref="F3204:F3267" si="106">_xlfn.PERCENTILE.EXC(E3204:E7019,0.05)</f>
        <v>-1.4662321067161819E-2</v>
      </c>
      <c r="G3204">
        <f t="shared" ref="G3204:G3267" si="107">AVERAGEIFS(E3204:E7020,E3204:E7020,"&lt;=" &amp; F3204)</f>
        <v>-2.2743448507251997E-2</v>
      </c>
    </row>
    <row r="3205" spans="1:7" x14ac:dyDescent="0.35">
      <c r="A3205" t="s">
        <v>169</v>
      </c>
      <c r="E3205">
        <v>5.7469106459613201E-3</v>
      </c>
      <c r="F3205">
        <f t="shared" si="106"/>
        <v>-1.4687427450994306E-2</v>
      </c>
      <c r="G3205">
        <f t="shared" si="107"/>
        <v>-2.2743448507251997E-2</v>
      </c>
    </row>
    <row r="3206" spans="1:7" x14ac:dyDescent="0.35">
      <c r="A3206" t="s">
        <v>169</v>
      </c>
      <c r="E3206">
        <v>2.2039135565464748E-3</v>
      </c>
      <c r="F3206">
        <f t="shared" si="106"/>
        <v>-1.4712533834826791E-2</v>
      </c>
      <c r="G3206">
        <f t="shared" si="107"/>
        <v>-2.2743448507251997E-2</v>
      </c>
    </row>
    <row r="3207" spans="1:7" x14ac:dyDescent="0.35">
      <c r="A3207" t="s">
        <v>169</v>
      </c>
      <c r="E3207">
        <v>4.9038535864301507E-3</v>
      </c>
      <c r="F3207">
        <f t="shared" si="106"/>
        <v>-1.4737640218659278E-2</v>
      </c>
      <c r="G3207">
        <f t="shared" si="107"/>
        <v>-2.2743448507251997E-2</v>
      </c>
    </row>
    <row r="3208" spans="1:7" x14ac:dyDescent="0.35">
      <c r="A3208" t="s">
        <v>169</v>
      </c>
      <c r="E3208">
        <v>-5.198941732913364E-3</v>
      </c>
      <c r="F3208">
        <f t="shared" si="106"/>
        <v>-1.4762746602491765E-2</v>
      </c>
      <c r="G3208">
        <f t="shared" si="107"/>
        <v>-2.2743448507251997E-2</v>
      </c>
    </row>
    <row r="3209" spans="1:7" x14ac:dyDescent="0.35">
      <c r="A3209" t="s">
        <v>169</v>
      </c>
      <c r="E3209">
        <v>-4.7180847480710712E-3</v>
      </c>
      <c r="F3209">
        <f t="shared" si="106"/>
        <v>-1.4787852986324252E-2</v>
      </c>
      <c r="G3209">
        <f t="shared" si="107"/>
        <v>-2.2743448507251997E-2</v>
      </c>
    </row>
    <row r="3210" spans="1:7" x14ac:dyDescent="0.35">
      <c r="A3210" t="s">
        <v>169</v>
      </c>
      <c r="E3210">
        <v>1.0338518992184522E-2</v>
      </c>
      <c r="F3210">
        <f t="shared" si="106"/>
        <v>-1.4812959370156739E-2</v>
      </c>
      <c r="G3210">
        <f t="shared" si="107"/>
        <v>-2.2743448507251997E-2</v>
      </c>
    </row>
    <row r="3211" spans="1:7" x14ac:dyDescent="0.35">
      <c r="A3211" t="s">
        <v>169</v>
      </c>
      <c r="E3211">
        <v>-1.5076541517456566E-3</v>
      </c>
      <c r="F3211">
        <f t="shared" si="106"/>
        <v>-1.4838065753989224E-2</v>
      </c>
      <c r="G3211">
        <f t="shared" si="107"/>
        <v>-2.2743448507251997E-2</v>
      </c>
    </row>
    <row r="3212" spans="1:7" x14ac:dyDescent="0.35">
      <c r="A3212" t="s">
        <v>169</v>
      </c>
      <c r="E3212">
        <v>3.4727742888125425E-3</v>
      </c>
      <c r="F3212">
        <f t="shared" si="106"/>
        <v>-1.4863172137821712E-2</v>
      </c>
      <c r="G3212">
        <f t="shared" si="107"/>
        <v>-2.2743448507251997E-2</v>
      </c>
    </row>
    <row r="3213" spans="1:7" x14ac:dyDescent="0.35">
      <c r="A3213" t="s">
        <v>169</v>
      </c>
      <c r="E3213">
        <v>3.2332058320126322E-3</v>
      </c>
      <c r="F3213">
        <f t="shared" si="106"/>
        <v>-1.4888278521654199E-2</v>
      </c>
      <c r="G3213">
        <f t="shared" si="107"/>
        <v>-2.2743448507251997E-2</v>
      </c>
    </row>
    <row r="3214" spans="1:7" x14ac:dyDescent="0.35">
      <c r="A3214" t="s">
        <v>169</v>
      </c>
      <c r="E3214">
        <v>4.2177166019751623E-3</v>
      </c>
      <c r="F3214">
        <f t="shared" si="106"/>
        <v>-1.4913384905486686E-2</v>
      </c>
      <c r="G3214">
        <f t="shared" si="107"/>
        <v>-2.2743448507251997E-2</v>
      </c>
    </row>
    <row r="3215" spans="1:7" x14ac:dyDescent="0.35">
      <c r="A3215" t="s">
        <v>169</v>
      </c>
      <c r="E3215">
        <v>7.6901298891101125E-4</v>
      </c>
      <c r="F3215">
        <f t="shared" si="106"/>
        <v>-1.4938491289319173E-2</v>
      </c>
      <c r="G3215">
        <f t="shared" si="107"/>
        <v>-2.2743448507251997E-2</v>
      </c>
    </row>
    <row r="3216" spans="1:7" x14ac:dyDescent="0.35">
      <c r="A3216" t="s">
        <v>169</v>
      </c>
      <c r="E3216">
        <v>-7.0685196323841933E-3</v>
      </c>
      <c r="F3216">
        <f t="shared" si="106"/>
        <v>-1.4963597673151658E-2</v>
      </c>
      <c r="G3216">
        <f t="shared" si="107"/>
        <v>-2.2743448507251997E-2</v>
      </c>
    </row>
    <row r="3217" spans="1:7" x14ac:dyDescent="0.35">
      <c r="A3217" t="s">
        <v>169</v>
      </c>
      <c r="E3217">
        <v>5.6546453216878637E-4</v>
      </c>
      <c r="F3217">
        <f t="shared" si="106"/>
        <v>-1.4988704056984145E-2</v>
      </c>
      <c r="G3217">
        <f t="shared" si="107"/>
        <v>-2.2743448507251997E-2</v>
      </c>
    </row>
    <row r="3218" spans="1:7" x14ac:dyDescent="0.35">
      <c r="A3218" t="s">
        <v>169</v>
      </c>
      <c r="E3218">
        <v>1.0379343034020657E-2</v>
      </c>
      <c r="F3218">
        <f t="shared" si="106"/>
        <v>-1.5013810440816632E-2</v>
      </c>
      <c r="G3218">
        <f t="shared" si="107"/>
        <v>-2.2743448507251997E-2</v>
      </c>
    </row>
    <row r="3219" spans="1:7" x14ac:dyDescent="0.35">
      <c r="A3219" t="s">
        <v>170</v>
      </c>
      <c r="B3219" s="3" cm="1">
        <f t="array" ref="B3219">_xlfn.STDEV.S(_xlfn._xlws.FILTER($E$2826:$E$3824, $A$2826:$A$3824="2022-12"))</f>
        <v>1.0711228276483223E-2</v>
      </c>
      <c r="C3219" s="3" cm="1">
        <f t="array" ref="C3219">AVERAGE(_xlfn._xlws.FILTER($E$2826:$E$3824, $A$2826:$A$3824="2022-12"))</f>
        <v>-2.0043842397000104E-3</v>
      </c>
      <c r="D3219" s="3" cm="1">
        <f t="array" ref="D3219">_xlfn.PERCENTILE.EXC(_xlfn._xlws.FILTER($E$2490:$E$3818, $A$2490:$A$3818="2022-12"), 0.05)</f>
        <v>-3.0587958201092117E-2</v>
      </c>
      <c r="E3219">
        <v>2.2857118927309783E-3</v>
      </c>
      <c r="F3219">
        <f t="shared" si="106"/>
        <v>-1.5038916824649119E-2</v>
      </c>
      <c r="G3219">
        <f t="shared" si="107"/>
        <v>-2.2743448507251997E-2</v>
      </c>
    </row>
    <row r="3220" spans="1:7" x14ac:dyDescent="0.35">
      <c r="A3220" t="s">
        <v>170</v>
      </c>
      <c r="E3220">
        <v>-1.7367830319944618E-3</v>
      </c>
      <c r="F3220">
        <f t="shared" si="106"/>
        <v>-1.5064023208481606E-2</v>
      </c>
      <c r="G3220">
        <f t="shared" si="107"/>
        <v>-2.2743448507251997E-2</v>
      </c>
    </row>
    <row r="3221" spans="1:7" x14ac:dyDescent="0.35">
      <c r="A3221" t="s">
        <v>170</v>
      </c>
      <c r="E3221">
        <v>-6.7400050228338757E-3</v>
      </c>
      <c r="F3221">
        <f t="shared" si="106"/>
        <v>-1.5070854071060466E-2</v>
      </c>
      <c r="G3221">
        <f t="shared" si="107"/>
        <v>-2.3008256276175108E-2</v>
      </c>
    </row>
    <row r="3222" spans="1:7" x14ac:dyDescent="0.35">
      <c r="A3222" t="s">
        <v>170</v>
      </c>
      <c r="E3222">
        <v>-1.3702163185293308E-3</v>
      </c>
      <c r="F3222">
        <f t="shared" si="106"/>
        <v>-1.5077684933639326E-2</v>
      </c>
      <c r="G3222">
        <f t="shared" si="107"/>
        <v>-2.3008256276175108E-2</v>
      </c>
    </row>
    <row r="3223" spans="1:7" x14ac:dyDescent="0.35">
      <c r="A3223" t="s">
        <v>170</v>
      </c>
      <c r="E3223">
        <v>-4.0754065507450105E-3</v>
      </c>
      <c r="F3223">
        <f t="shared" si="106"/>
        <v>-1.5084515796218187E-2</v>
      </c>
      <c r="G3223">
        <f t="shared" si="107"/>
        <v>-2.3008256276175108E-2</v>
      </c>
    </row>
    <row r="3224" spans="1:7" x14ac:dyDescent="0.35">
      <c r="A3224" t="s">
        <v>170</v>
      </c>
      <c r="E3224">
        <v>-1.9958076643388722E-3</v>
      </c>
      <c r="F3224">
        <f t="shared" si="106"/>
        <v>-1.5091346658797047E-2</v>
      </c>
      <c r="G3224">
        <f t="shared" si="107"/>
        <v>-2.3008256276175108E-2</v>
      </c>
    </row>
    <row r="3225" spans="1:7" x14ac:dyDescent="0.35">
      <c r="A3225" t="s">
        <v>170</v>
      </c>
      <c r="E3225">
        <v>4.5523701597498367E-3</v>
      </c>
      <c r="F3225">
        <f t="shared" si="106"/>
        <v>-1.5098177521375905E-2</v>
      </c>
      <c r="G3225">
        <f t="shared" si="107"/>
        <v>-2.3008256276175108E-2</v>
      </c>
    </row>
    <row r="3226" spans="1:7" x14ac:dyDescent="0.35">
      <c r="A3226" t="s">
        <v>170</v>
      </c>
      <c r="E3226">
        <v>-4.0650736978959734E-3</v>
      </c>
      <c r="F3226">
        <f t="shared" si="106"/>
        <v>-1.5105008383954765E-2</v>
      </c>
      <c r="G3226">
        <f t="shared" si="107"/>
        <v>-2.3008256276175108E-2</v>
      </c>
    </row>
    <row r="3227" spans="1:7" x14ac:dyDescent="0.35">
      <c r="A3227" t="s">
        <v>170</v>
      </c>
      <c r="E3227">
        <v>1.4098966481281727E-2</v>
      </c>
      <c r="F3227">
        <f t="shared" si="106"/>
        <v>-1.5111839246533625E-2</v>
      </c>
      <c r="G3227">
        <f t="shared" si="107"/>
        <v>-2.3008256276175108E-2</v>
      </c>
    </row>
    <row r="3228" spans="1:7" x14ac:dyDescent="0.35">
      <c r="A3228" t="s">
        <v>170</v>
      </c>
      <c r="E3228">
        <v>-2.1060028843888075E-3</v>
      </c>
      <c r="F3228">
        <f t="shared" si="106"/>
        <v>-1.5118670109112485E-2</v>
      </c>
      <c r="G3228">
        <f t="shared" si="107"/>
        <v>-2.3008256276175108E-2</v>
      </c>
    </row>
    <row r="3229" spans="1:7" x14ac:dyDescent="0.35">
      <c r="A3229" t="s">
        <v>170</v>
      </c>
      <c r="E3229">
        <v>-3.1393389269003341E-2</v>
      </c>
      <c r="F3229">
        <f t="shared" si="106"/>
        <v>-1.5125500971691345E-2</v>
      </c>
      <c r="G3229">
        <f t="shared" si="107"/>
        <v>-2.3008256276175108E-2</v>
      </c>
    </row>
    <row r="3230" spans="1:7" x14ac:dyDescent="0.35">
      <c r="A3230" t="s">
        <v>170</v>
      </c>
      <c r="E3230">
        <v>-1.0811332705118422E-2</v>
      </c>
      <c r="F3230">
        <f t="shared" si="106"/>
        <v>-1.4812959370156739E-2</v>
      </c>
      <c r="G3230">
        <f t="shared" si="107"/>
        <v>-2.2445174687881257E-2</v>
      </c>
    </row>
    <row r="3231" spans="1:7" x14ac:dyDescent="0.35">
      <c r="A3231" t="s">
        <v>170</v>
      </c>
      <c r="E3231">
        <v>3.196680405465216E-3</v>
      </c>
      <c r="F3231">
        <f t="shared" si="106"/>
        <v>-1.4838065753989224E-2</v>
      </c>
      <c r="G3231">
        <f t="shared" si="107"/>
        <v>-2.2445174687881257E-2</v>
      </c>
    </row>
    <row r="3232" spans="1:7" x14ac:dyDescent="0.35">
      <c r="A3232" t="s">
        <v>170</v>
      </c>
      <c r="E3232">
        <v>-3.5376847906758895E-3</v>
      </c>
      <c r="F3232">
        <f t="shared" si="106"/>
        <v>-1.4863172137821712E-2</v>
      </c>
      <c r="G3232">
        <f t="shared" si="107"/>
        <v>-2.2445174687881257E-2</v>
      </c>
    </row>
    <row r="3233" spans="1:7" x14ac:dyDescent="0.35">
      <c r="A3233" t="s">
        <v>170</v>
      </c>
      <c r="E3233">
        <v>1.9924423583969057E-2</v>
      </c>
      <c r="F3233">
        <f t="shared" si="106"/>
        <v>-1.4888278521654199E-2</v>
      </c>
      <c r="G3233">
        <f t="shared" si="107"/>
        <v>-2.2445174687881257E-2</v>
      </c>
    </row>
    <row r="3234" spans="1:7" x14ac:dyDescent="0.35">
      <c r="A3234" t="s">
        <v>170</v>
      </c>
      <c r="E3234">
        <v>-9.5082410702619427E-3</v>
      </c>
      <c r="F3234">
        <f t="shared" si="106"/>
        <v>-1.4913384905486686E-2</v>
      </c>
      <c r="G3234">
        <f t="shared" si="107"/>
        <v>-2.2445174687881257E-2</v>
      </c>
    </row>
    <row r="3235" spans="1:7" x14ac:dyDescent="0.35">
      <c r="A3235" t="s">
        <v>170</v>
      </c>
      <c r="E3235">
        <v>-2.0072387097868345E-3</v>
      </c>
      <c r="F3235">
        <f t="shared" si="106"/>
        <v>-1.4938491289319173E-2</v>
      </c>
      <c r="G3235">
        <f t="shared" si="107"/>
        <v>-2.2445174687881257E-2</v>
      </c>
    </row>
    <row r="3236" spans="1:7" x14ac:dyDescent="0.35">
      <c r="A3236" t="s">
        <v>170</v>
      </c>
      <c r="E3236">
        <v>8.5898314898235576E-4</v>
      </c>
      <c r="F3236">
        <f t="shared" si="106"/>
        <v>-1.4963597673151658E-2</v>
      </c>
      <c r="G3236">
        <f t="shared" si="107"/>
        <v>-2.2445174687881257E-2</v>
      </c>
    </row>
    <row r="3237" spans="1:7" x14ac:dyDescent="0.35">
      <c r="A3237" t="s">
        <v>170</v>
      </c>
      <c r="E3237">
        <v>9.6271291601722365E-3</v>
      </c>
      <c r="F3237">
        <f t="shared" si="106"/>
        <v>-1.4988704056984145E-2</v>
      </c>
      <c r="G3237">
        <f t="shared" si="107"/>
        <v>-2.2445174687881257E-2</v>
      </c>
    </row>
    <row r="3238" spans="1:7" x14ac:dyDescent="0.35">
      <c r="A3238" t="s">
        <v>170</v>
      </c>
      <c r="E3238">
        <v>-1.5284767910778853E-2</v>
      </c>
      <c r="F3238">
        <f t="shared" si="106"/>
        <v>-1.5013810440816632E-2</v>
      </c>
      <c r="G3238">
        <f t="shared" si="107"/>
        <v>-2.2445174687881257E-2</v>
      </c>
    </row>
    <row r="3239" spans="1:7" x14ac:dyDescent="0.35">
      <c r="A3239" t="s">
        <v>171</v>
      </c>
      <c r="B3239" s="3" cm="1">
        <f t="array" ref="B3239">_xlfn.STDEV.S(_xlfn._xlws.FILTER($E$2826:$E$3824, $A$2826:$A$3824="2023-01"))</f>
        <v>9.0418329922130666E-3</v>
      </c>
      <c r="C3239" s="3" cm="1">
        <f t="array" ref="C3239">AVERAGE(_xlfn._xlws.FILTER($E$2826:$E$3824, $A$2826:$A$3824="2023-01"))</f>
        <v>4.2789797027474987E-3</v>
      </c>
      <c r="D3239" s="3" cm="1">
        <f t="array" ref="D3239">_xlfn.PERCENTILE.EXC(_xlfn._xlws.FILTER($E$2490:$E$3818, $A$2490:$A$3818="2023-01"), 0.05)</f>
        <v>-1.7422586016895333E-2</v>
      </c>
      <c r="E3239">
        <v>2.292572721035949E-2</v>
      </c>
      <c r="F3239">
        <f t="shared" si="106"/>
        <v>-1.4552895201892711E-2</v>
      </c>
      <c r="G3239">
        <f t="shared" si="107"/>
        <v>-2.2420248054124466E-2</v>
      </c>
    </row>
    <row r="3240" spans="1:7" x14ac:dyDescent="0.35">
      <c r="A3240" t="s">
        <v>171</v>
      </c>
      <c r="E3240">
        <v>2.2767603939424383E-2</v>
      </c>
      <c r="F3240">
        <f t="shared" si="106"/>
        <v>-1.4561895531831872E-2</v>
      </c>
      <c r="G3240">
        <f t="shared" si="107"/>
        <v>-2.2420248054124466E-2</v>
      </c>
    </row>
    <row r="3241" spans="1:7" x14ac:dyDescent="0.35">
      <c r="A3241" t="s">
        <v>171</v>
      </c>
      <c r="E3241">
        <v>-2.2056556730264292E-3</v>
      </c>
      <c r="F3241">
        <f t="shared" si="106"/>
        <v>-1.4587001915664357E-2</v>
      </c>
      <c r="G3241">
        <f t="shared" si="107"/>
        <v>-2.2700903501349203E-2</v>
      </c>
    </row>
    <row r="3242" spans="1:7" x14ac:dyDescent="0.35">
      <c r="A3242" t="s">
        <v>171</v>
      </c>
      <c r="E3242">
        <v>1.4601157183511945E-2</v>
      </c>
      <c r="F3242">
        <f t="shared" si="106"/>
        <v>-1.4612108299496844E-2</v>
      </c>
      <c r="G3242">
        <f t="shared" si="107"/>
        <v>-2.2700903501349203E-2</v>
      </c>
    </row>
    <row r="3243" spans="1:7" x14ac:dyDescent="0.35">
      <c r="A3243" t="s">
        <v>171</v>
      </c>
      <c r="E3243">
        <v>6.7415936704220249E-3</v>
      </c>
      <c r="F3243">
        <f t="shared" si="106"/>
        <v>-1.4637214683329331E-2</v>
      </c>
      <c r="G3243">
        <f t="shared" si="107"/>
        <v>-2.2700903501349203E-2</v>
      </c>
    </row>
    <row r="3244" spans="1:7" x14ac:dyDescent="0.35">
      <c r="A3244" t="s">
        <v>171</v>
      </c>
      <c r="E3244">
        <v>-5.5485933373769928E-3</v>
      </c>
      <c r="F3244">
        <f t="shared" si="106"/>
        <v>-1.4662321067161819E-2</v>
      </c>
      <c r="G3244">
        <f t="shared" si="107"/>
        <v>-2.2700903501349203E-2</v>
      </c>
    </row>
    <row r="3245" spans="1:7" x14ac:dyDescent="0.35">
      <c r="A3245" t="s">
        <v>171</v>
      </c>
      <c r="E3245">
        <v>7.9821612753100089E-3</v>
      </c>
      <c r="F3245">
        <f t="shared" si="106"/>
        <v>-1.4687427450994306E-2</v>
      </c>
      <c r="G3245">
        <f t="shared" si="107"/>
        <v>-2.2700903501349203E-2</v>
      </c>
    </row>
    <row r="3246" spans="1:7" x14ac:dyDescent="0.35">
      <c r="A3246" t="s">
        <v>171</v>
      </c>
      <c r="E3246">
        <v>7.4087362717690317E-3</v>
      </c>
      <c r="F3246">
        <f t="shared" si="106"/>
        <v>-1.4712533834826791E-2</v>
      </c>
      <c r="G3246">
        <f t="shared" si="107"/>
        <v>-2.2700903501349203E-2</v>
      </c>
    </row>
    <row r="3247" spans="1:7" x14ac:dyDescent="0.35">
      <c r="A3247" t="s">
        <v>171</v>
      </c>
      <c r="E3247">
        <v>6.8318552939141087E-3</v>
      </c>
      <c r="F3247">
        <f t="shared" si="106"/>
        <v>-1.4737640218659278E-2</v>
      </c>
      <c r="G3247">
        <f t="shared" si="107"/>
        <v>-2.2700903501349203E-2</v>
      </c>
    </row>
    <row r="3248" spans="1:7" x14ac:dyDescent="0.35">
      <c r="A3248" t="s">
        <v>171</v>
      </c>
      <c r="E3248">
        <v>2.8165608401740836E-3</v>
      </c>
      <c r="F3248">
        <f t="shared" si="106"/>
        <v>-1.4762746602491765E-2</v>
      </c>
      <c r="G3248">
        <f t="shared" si="107"/>
        <v>-2.2700903501349203E-2</v>
      </c>
    </row>
    <row r="3249" spans="1:7" x14ac:dyDescent="0.35">
      <c r="A3249" t="s">
        <v>171</v>
      </c>
      <c r="E3249">
        <v>4.7944671589872532E-3</v>
      </c>
      <c r="F3249">
        <f t="shared" si="106"/>
        <v>-1.4787852986324252E-2</v>
      </c>
      <c r="G3249">
        <f t="shared" si="107"/>
        <v>-2.2700903501349203E-2</v>
      </c>
    </row>
    <row r="3250" spans="1:7" x14ac:dyDescent="0.35">
      <c r="A3250" t="s">
        <v>171</v>
      </c>
      <c r="E3250">
        <v>8.7990938232762074E-4</v>
      </c>
      <c r="F3250">
        <f t="shared" si="106"/>
        <v>-1.4812959370156739E-2</v>
      </c>
      <c r="G3250">
        <f t="shared" si="107"/>
        <v>-2.2700903501349203E-2</v>
      </c>
    </row>
    <row r="3251" spans="1:7" x14ac:dyDescent="0.35">
      <c r="A3251" t="s">
        <v>171</v>
      </c>
      <c r="E3251">
        <v>-1.8741918536841817E-2</v>
      </c>
      <c r="F3251">
        <f t="shared" si="106"/>
        <v>-1.4838065753989224E-2</v>
      </c>
      <c r="G3251">
        <f t="shared" si="107"/>
        <v>-2.2700903501349203E-2</v>
      </c>
    </row>
    <row r="3252" spans="1:7" x14ac:dyDescent="0.35">
      <c r="A3252" t="s">
        <v>171</v>
      </c>
      <c r="E3252">
        <v>6.3264396336375189E-3</v>
      </c>
      <c r="F3252">
        <f t="shared" si="106"/>
        <v>-1.4489892892318581E-2</v>
      </c>
      <c r="G3252">
        <f t="shared" si="107"/>
        <v>-2.2551616965455989E-2</v>
      </c>
    </row>
    <row r="3253" spans="1:7" x14ac:dyDescent="0.35">
      <c r="A3253" t="s">
        <v>171</v>
      </c>
      <c r="E3253">
        <v>5.1368767527886034E-3</v>
      </c>
      <c r="F3253">
        <f t="shared" si="106"/>
        <v>-1.4498893222257742E-2</v>
      </c>
      <c r="G3253">
        <f t="shared" si="107"/>
        <v>-2.2551616965455989E-2</v>
      </c>
    </row>
    <row r="3254" spans="1:7" x14ac:dyDescent="0.35">
      <c r="A3254" t="s">
        <v>171</v>
      </c>
      <c r="E3254">
        <v>2.6216950929736863E-3</v>
      </c>
      <c r="F3254">
        <f t="shared" si="106"/>
        <v>-1.4507893552196904E-2</v>
      </c>
      <c r="G3254">
        <f t="shared" si="107"/>
        <v>-2.2551616965455989E-2</v>
      </c>
    </row>
    <row r="3255" spans="1:7" x14ac:dyDescent="0.35">
      <c r="A3255" t="s">
        <v>171</v>
      </c>
      <c r="E3255">
        <v>-9.3654489915310926E-4</v>
      </c>
      <c r="F3255">
        <f t="shared" si="106"/>
        <v>-1.4516893882136065E-2</v>
      </c>
      <c r="G3255">
        <f t="shared" si="107"/>
        <v>-2.2551616965455989E-2</v>
      </c>
    </row>
    <row r="3256" spans="1:7" x14ac:dyDescent="0.35">
      <c r="A3256" t="s">
        <v>171</v>
      </c>
      <c r="E3256">
        <v>7.3706810479189575E-3</v>
      </c>
      <c r="F3256">
        <f t="shared" si="106"/>
        <v>-1.4525894212075226E-2</v>
      </c>
      <c r="G3256">
        <f t="shared" si="107"/>
        <v>-2.2551616965455989E-2</v>
      </c>
    </row>
    <row r="3257" spans="1:7" x14ac:dyDescent="0.35">
      <c r="A3257" t="s">
        <v>171</v>
      </c>
      <c r="E3257">
        <v>1.7191331102285316E-4</v>
      </c>
      <c r="F3257">
        <f t="shared" si="106"/>
        <v>-1.4534894542014388E-2</v>
      </c>
      <c r="G3257">
        <f t="shared" si="107"/>
        <v>-2.2551616965455989E-2</v>
      </c>
    </row>
    <row r="3258" spans="1:7" x14ac:dyDescent="0.35">
      <c r="A3258" t="s">
        <v>171</v>
      </c>
      <c r="E3258">
        <v>-2.14398335344834E-3</v>
      </c>
      <c r="F3258">
        <f t="shared" si="106"/>
        <v>-1.4543894871953549E-2</v>
      </c>
      <c r="G3258">
        <f t="shared" si="107"/>
        <v>-2.2551616965455989E-2</v>
      </c>
    </row>
    <row r="3259" spans="1:7" x14ac:dyDescent="0.35">
      <c r="A3259" t="s">
        <v>171</v>
      </c>
      <c r="E3259">
        <v>5.7891493002562485E-5</v>
      </c>
      <c r="F3259">
        <f t="shared" si="106"/>
        <v>-1.4552895201892711E-2</v>
      </c>
      <c r="G3259">
        <f t="shared" si="107"/>
        <v>-2.2551616965455989E-2</v>
      </c>
    </row>
    <row r="3260" spans="1:7" x14ac:dyDescent="0.35">
      <c r="A3260" t="s">
        <v>172</v>
      </c>
      <c r="B3260" s="3" cm="1">
        <f t="array" ref="B3260">_xlfn.STDEV.S(_xlfn._xlws.FILTER($E$2826:$E$3824, $A$2826:$A$3824="2023-02"))</f>
        <v>8.8597312508979335E-3</v>
      </c>
      <c r="C3260" s="3" cm="1">
        <f t="array" ref="C3260">AVERAGE(_xlfn._xlws.FILTER($E$2826:$E$3824, $A$2826:$A$3824="2023-02"))</f>
        <v>1.2927931007503544E-3</v>
      </c>
      <c r="D3260" s="3" cm="1">
        <f t="array" ref="D3260">_xlfn.PERCENTILE.EXC(_xlfn._xlws.FILTER($E$2490:$E$3818, $A$2490:$A$3818="2023-02"), 0.05)</f>
        <v>-1.7724244824588495E-2</v>
      </c>
      <c r="E3260">
        <v>-7.5002493005388944E-4</v>
      </c>
      <c r="F3260">
        <f t="shared" si="106"/>
        <v>-1.4561895531831872E-2</v>
      </c>
      <c r="G3260">
        <f t="shared" si="107"/>
        <v>-2.2551616965455989E-2</v>
      </c>
    </row>
    <row r="3261" spans="1:7" x14ac:dyDescent="0.35">
      <c r="A3261" t="s">
        <v>172</v>
      </c>
      <c r="E3261">
        <v>1.2519663814331351E-2</v>
      </c>
      <c r="F3261">
        <f t="shared" si="106"/>
        <v>-1.4587001915664357E-2</v>
      </c>
      <c r="G3261">
        <f t="shared" si="107"/>
        <v>-2.2847532574108733E-2</v>
      </c>
    </row>
    <row r="3262" spans="1:7" x14ac:dyDescent="0.35">
      <c r="A3262" t="s">
        <v>172</v>
      </c>
      <c r="E3262">
        <v>9.3985432325782593E-3</v>
      </c>
      <c r="F3262">
        <f t="shared" si="106"/>
        <v>-1.4612108299496844E-2</v>
      </c>
      <c r="G3262">
        <f t="shared" si="107"/>
        <v>-2.2847532574108733E-2</v>
      </c>
    </row>
    <row r="3263" spans="1:7" x14ac:dyDescent="0.35">
      <c r="A3263" t="s">
        <v>172</v>
      </c>
      <c r="E3263">
        <v>-1.3477307948881431E-2</v>
      </c>
      <c r="F3263">
        <f t="shared" si="106"/>
        <v>-1.4637214683329331E-2</v>
      </c>
      <c r="G3263">
        <f t="shared" si="107"/>
        <v>-2.2847532574108733E-2</v>
      </c>
    </row>
    <row r="3264" spans="1:7" x14ac:dyDescent="0.35">
      <c r="A3264" t="s">
        <v>172</v>
      </c>
      <c r="E3264">
        <v>-6.6575799003421845E-4</v>
      </c>
      <c r="F3264">
        <f t="shared" si="106"/>
        <v>-1.4662321067161819E-2</v>
      </c>
      <c r="G3264">
        <f t="shared" si="107"/>
        <v>-2.2847532574108733E-2</v>
      </c>
    </row>
    <row r="3265" spans="1:7" x14ac:dyDescent="0.35">
      <c r="A3265" t="s">
        <v>172</v>
      </c>
      <c r="E3265">
        <v>-1.7569246558133884E-3</v>
      </c>
      <c r="F3265">
        <f t="shared" si="106"/>
        <v>-1.4687427450994306E-2</v>
      </c>
      <c r="G3265">
        <f t="shared" si="107"/>
        <v>-2.2847532574108733E-2</v>
      </c>
    </row>
    <row r="3266" spans="1:7" x14ac:dyDescent="0.35">
      <c r="A3266" t="s">
        <v>172</v>
      </c>
      <c r="E3266">
        <v>9.5792024052872172E-3</v>
      </c>
      <c r="F3266">
        <f t="shared" si="106"/>
        <v>-1.4712533834826791E-2</v>
      </c>
      <c r="G3266">
        <f t="shared" si="107"/>
        <v>-2.2847532574108733E-2</v>
      </c>
    </row>
    <row r="3267" spans="1:7" x14ac:dyDescent="0.35">
      <c r="A3267" t="s">
        <v>172</v>
      </c>
      <c r="E3267">
        <v>-8.1896855931367276E-3</v>
      </c>
      <c r="F3267">
        <f t="shared" si="106"/>
        <v>-1.4737640218659278E-2</v>
      </c>
      <c r="G3267">
        <f t="shared" si="107"/>
        <v>-2.2847532574108733E-2</v>
      </c>
    </row>
    <row r="3268" spans="1:7" x14ac:dyDescent="0.35">
      <c r="A3268" t="s">
        <v>172</v>
      </c>
      <c r="E3268">
        <v>1.1000004905842931E-2</v>
      </c>
      <c r="F3268">
        <f t="shared" ref="F3268:F3331" si="108">_xlfn.PERCENTILE.EXC(E3268:E7083,0.05)</f>
        <v>-1.4762746602491765E-2</v>
      </c>
      <c r="G3268">
        <f t="shared" ref="G3268:G3331" si="109">AVERAGEIFS(E3268:E7084,E3268:E7084,"&lt;=" &amp; F3268)</f>
        <v>-2.2847532574108733E-2</v>
      </c>
    </row>
    <row r="3269" spans="1:7" x14ac:dyDescent="0.35">
      <c r="A3269" t="s">
        <v>172</v>
      </c>
      <c r="E3269">
        <v>7.2387400542732851E-4</v>
      </c>
      <c r="F3269">
        <f t="shared" si="108"/>
        <v>-1.4787852986324252E-2</v>
      </c>
      <c r="G3269">
        <f t="shared" si="109"/>
        <v>-2.2847532574108733E-2</v>
      </c>
    </row>
    <row r="3270" spans="1:7" x14ac:dyDescent="0.35">
      <c r="A3270" t="s">
        <v>172</v>
      </c>
      <c r="E3270">
        <v>1.1994904976915159E-2</v>
      </c>
      <c r="F3270">
        <f t="shared" si="108"/>
        <v>-1.4812959370156739E-2</v>
      </c>
      <c r="G3270">
        <f t="shared" si="109"/>
        <v>-2.2847532574108733E-2</v>
      </c>
    </row>
    <row r="3271" spans="1:7" x14ac:dyDescent="0.35">
      <c r="A3271" t="s">
        <v>172</v>
      </c>
      <c r="E3271">
        <v>8.9043897750399007E-3</v>
      </c>
      <c r="F3271">
        <f t="shared" si="108"/>
        <v>-1.4838065753989224E-2</v>
      </c>
      <c r="G3271">
        <f t="shared" si="109"/>
        <v>-2.2847532574108733E-2</v>
      </c>
    </row>
    <row r="3272" spans="1:7" x14ac:dyDescent="0.35">
      <c r="A3272" t="s">
        <v>172</v>
      </c>
      <c r="E3272">
        <v>-2.5064781898458096E-3</v>
      </c>
      <c r="F3272">
        <f t="shared" si="108"/>
        <v>-1.4863172137821712E-2</v>
      </c>
      <c r="G3272">
        <f t="shared" si="109"/>
        <v>-2.2847532574108733E-2</v>
      </c>
    </row>
    <row r="3273" spans="1:7" x14ac:dyDescent="0.35">
      <c r="A3273" t="s">
        <v>172</v>
      </c>
      <c r="E3273">
        <v>-1.6494899652542705E-3</v>
      </c>
      <c r="F3273">
        <f t="shared" si="108"/>
        <v>-1.4888278521654199E-2</v>
      </c>
      <c r="G3273">
        <f t="shared" si="109"/>
        <v>-2.2847532574108733E-2</v>
      </c>
    </row>
    <row r="3274" spans="1:7" x14ac:dyDescent="0.35">
      <c r="A3274" t="s">
        <v>172</v>
      </c>
      <c r="E3274">
        <v>-3.6819928706830021E-3</v>
      </c>
      <c r="F3274">
        <f t="shared" si="108"/>
        <v>-1.4913384905486686E-2</v>
      </c>
      <c r="G3274">
        <f t="shared" si="109"/>
        <v>-2.2847532574108733E-2</v>
      </c>
    </row>
    <row r="3275" spans="1:7" x14ac:dyDescent="0.35">
      <c r="A3275" t="s">
        <v>172</v>
      </c>
      <c r="E3275">
        <v>-1.2856050308771552E-3</v>
      </c>
      <c r="F3275">
        <f t="shared" si="108"/>
        <v>-1.4938491289319173E-2</v>
      </c>
      <c r="G3275">
        <f t="shared" si="109"/>
        <v>-2.2847532574108733E-2</v>
      </c>
    </row>
    <row r="3276" spans="1:7" x14ac:dyDescent="0.35">
      <c r="A3276" t="s">
        <v>172</v>
      </c>
      <c r="E3276">
        <v>2.4862002764447846E-3</v>
      </c>
      <c r="F3276">
        <f t="shared" si="108"/>
        <v>-1.4963597673151658E-2</v>
      </c>
      <c r="G3276">
        <f t="shared" si="109"/>
        <v>-2.2847532574108733E-2</v>
      </c>
    </row>
    <row r="3277" spans="1:7" x14ac:dyDescent="0.35">
      <c r="A3277" t="s">
        <v>172</v>
      </c>
      <c r="E3277">
        <v>-1.7947767818046762E-2</v>
      </c>
      <c r="F3277">
        <f t="shared" si="108"/>
        <v>-1.4988704056984145E-2</v>
      </c>
      <c r="G3277">
        <f t="shared" si="109"/>
        <v>-2.2847532574108733E-2</v>
      </c>
    </row>
    <row r="3278" spans="1:7" x14ac:dyDescent="0.35">
      <c r="A3278" t="s">
        <v>172</v>
      </c>
      <c r="E3278">
        <v>1.495316762685015E-2</v>
      </c>
      <c r="F3278">
        <f t="shared" si="108"/>
        <v>-1.4543894871953549E-2</v>
      </c>
      <c r="G3278">
        <f t="shared" si="109"/>
        <v>-2.2722129896841511E-2</v>
      </c>
    </row>
    <row r="3279" spans="1:7" x14ac:dyDescent="0.35">
      <c r="A3279" t="s">
        <v>172</v>
      </c>
      <c r="E3279">
        <v>-3.7930540110833284E-3</v>
      </c>
      <c r="F3279">
        <f t="shared" si="108"/>
        <v>-1.4552895201892711E-2</v>
      </c>
      <c r="G3279">
        <f t="shared" si="109"/>
        <v>-2.2722129896841511E-2</v>
      </c>
    </row>
    <row r="3280" spans="1:7" x14ac:dyDescent="0.35">
      <c r="A3280" t="s">
        <v>173</v>
      </c>
      <c r="B3280" s="3" cm="1">
        <f t="array" ref="B3280">_xlfn.STDEV.S(_xlfn._xlws.FILTER($E$2826:$E$3824, $A$2826:$A$3824="2023-03"))</f>
        <v>1.4494729330884387E-2</v>
      </c>
      <c r="C3280" s="3" cm="1">
        <f t="array" ref="C3280">AVERAGE(_xlfn._xlws.FILTER($E$2826:$E$3824, $A$2826:$A$3824="2023-03"))</f>
        <v>3.2457644294861819E-4</v>
      </c>
      <c r="D3280" s="3" cm="1">
        <f t="array" ref="D3280">_xlfn.PERCENTILE.EXC(_xlfn._xlws.FILTER($E$2490:$E$3818, $A$2490:$A$3818="2023-03"), 0.05)</f>
        <v>-3.5066730072093016E-2</v>
      </c>
      <c r="E3280">
        <v>-4.6448272676501336E-3</v>
      </c>
      <c r="F3280">
        <f t="shared" si="108"/>
        <v>-1.4561895531831872E-2</v>
      </c>
      <c r="G3280">
        <f t="shared" si="109"/>
        <v>-2.2722129896841511E-2</v>
      </c>
    </row>
    <row r="3281" spans="1:7" x14ac:dyDescent="0.35">
      <c r="A3281" t="s">
        <v>173</v>
      </c>
      <c r="E3281">
        <v>6.8836726347430398E-3</v>
      </c>
      <c r="F3281">
        <f t="shared" si="108"/>
        <v>-1.4587001915664357E-2</v>
      </c>
      <c r="G3281">
        <f t="shared" si="109"/>
        <v>-2.30359850647265E-2</v>
      </c>
    </row>
    <row r="3282" spans="1:7" x14ac:dyDescent="0.35">
      <c r="A3282" t="s">
        <v>173</v>
      </c>
      <c r="E3282">
        <v>8.7341335996275037E-3</v>
      </c>
      <c r="F3282">
        <f t="shared" si="108"/>
        <v>-1.4612108299496844E-2</v>
      </c>
      <c r="G3282">
        <f t="shared" si="109"/>
        <v>-2.30359850647265E-2</v>
      </c>
    </row>
    <row r="3283" spans="1:7" x14ac:dyDescent="0.35">
      <c r="A3283" t="s">
        <v>173</v>
      </c>
      <c r="E3283">
        <v>3.4086627082401417E-3</v>
      </c>
      <c r="F3283">
        <f t="shared" si="108"/>
        <v>-1.4637214683329331E-2</v>
      </c>
      <c r="G3283">
        <f t="shared" si="109"/>
        <v>-2.30359850647265E-2</v>
      </c>
    </row>
    <row r="3284" spans="1:7" x14ac:dyDescent="0.35">
      <c r="A3284" t="s">
        <v>173</v>
      </c>
      <c r="E3284">
        <v>-4.6137782626135358E-3</v>
      </c>
      <c r="F3284">
        <f t="shared" si="108"/>
        <v>-1.4662321067161819E-2</v>
      </c>
      <c r="G3284">
        <f t="shared" si="109"/>
        <v>-2.30359850647265E-2</v>
      </c>
    </row>
    <row r="3285" spans="1:7" x14ac:dyDescent="0.35">
      <c r="A3285" t="s">
        <v>173</v>
      </c>
      <c r="E3285">
        <v>-1.9789927783283607E-3</v>
      </c>
      <c r="F3285">
        <f t="shared" si="108"/>
        <v>-1.4687427450994306E-2</v>
      </c>
      <c r="G3285">
        <f t="shared" si="109"/>
        <v>-2.30359850647265E-2</v>
      </c>
    </row>
    <row r="3286" spans="1:7" x14ac:dyDescent="0.35">
      <c r="A3286" t="s">
        <v>173</v>
      </c>
      <c r="E3286">
        <v>-1.2130618728312592E-3</v>
      </c>
      <c r="F3286">
        <f t="shared" si="108"/>
        <v>-1.4712533834826791E-2</v>
      </c>
      <c r="G3286">
        <f t="shared" si="109"/>
        <v>-2.30359850647265E-2</v>
      </c>
    </row>
    <row r="3287" spans="1:7" x14ac:dyDescent="0.35">
      <c r="A3287" t="s">
        <v>173</v>
      </c>
      <c r="E3287">
        <v>-1.3099581605191781E-2</v>
      </c>
      <c r="F3287">
        <f t="shared" si="108"/>
        <v>-1.4737640218659278E-2</v>
      </c>
      <c r="G3287">
        <f t="shared" si="109"/>
        <v>-2.30359850647265E-2</v>
      </c>
    </row>
    <row r="3288" spans="1:7" x14ac:dyDescent="0.35">
      <c r="A3288" t="s">
        <v>173</v>
      </c>
      <c r="E3288">
        <v>-2.9396088198651926E-2</v>
      </c>
      <c r="F3288">
        <f t="shared" si="108"/>
        <v>-1.4762746602491765E-2</v>
      </c>
      <c r="G3288">
        <f t="shared" si="109"/>
        <v>-2.30359850647265E-2</v>
      </c>
    </row>
    <row r="3289" spans="1:7" x14ac:dyDescent="0.35">
      <c r="A3289" t="s">
        <v>173</v>
      </c>
      <c r="E3289">
        <v>1.8380981950293484E-2</v>
      </c>
      <c r="F3289">
        <f t="shared" si="108"/>
        <v>-1.4462891902501097E-2</v>
      </c>
      <c r="G3289">
        <f t="shared" si="109"/>
        <v>-2.2465439192925728E-2</v>
      </c>
    </row>
    <row r="3290" spans="1:7" x14ac:dyDescent="0.35">
      <c r="A3290" t="s">
        <v>173</v>
      </c>
      <c r="E3290">
        <v>-3.6484390540453292E-2</v>
      </c>
      <c r="F3290">
        <f t="shared" si="108"/>
        <v>-1.4471892232440258E-2</v>
      </c>
      <c r="G3290">
        <f t="shared" si="109"/>
        <v>-2.2465439192925728E-2</v>
      </c>
    </row>
    <row r="3291" spans="1:7" x14ac:dyDescent="0.35">
      <c r="A3291" t="s">
        <v>173</v>
      </c>
      <c r="E3291">
        <v>2.012945147674948E-2</v>
      </c>
      <c r="F3291">
        <f t="shared" si="108"/>
        <v>-1.4353274409327401E-2</v>
      </c>
      <c r="G3291">
        <f t="shared" si="109"/>
        <v>-2.161534297725632E-2</v>
      </c>
    </row>
    <row r="3292" spans="1:7" x14ac:dyDescent="0.35">
      <c r="A3292" t="s">
        <v>173</v>
      </c>
      <c r="E3292">
        <v>-1.4381888933048644E-2</v>
      </c>
      <c r="F3292">
        <f t="shared" si="108"/>
        <v>-1.4356453800851984E-2</v>
      </c>
      <c r="G3292">
        <f t="shared" si="109"/>
        <v>-2.161534297725632E-2</v>
      </c>
    </row>
    <row r="3293" spans="1:7" x14ac:dyDescent="0.35">
      <c r="A3293" t="s">
        <v>173</v>
      </c>
      <c r="E3293">
        <v>1.2589720143401968E-2</v>
      </c>
      <c r="F3293">
        <f t="shared" si="108"/>
        <v>-1.4304414790971718E-2</v>
      </c>
      <c r="G3293">
        <f t="shared" si="109"/>
        <v>-2.1612897291468182E-2</v>
      </c>
    </row>
    <row r="3294" spans="1:7" x14ac:dyDescent="0.35">
      <c r="A3294" t="s">
        <v>173</v>
      </c>
      <c r="E3294">
        <v>1.4125910500741835E-2</v>
      </c>
      <c r="F3294">
        <f t="shared" si="108"/>
        <v>-1.4306398549769615E-2</v>
      </c>
      <c r="G3294">
        <f t="shared" si="109"/>
        <v>-2.1612897291468182E-2</v>
      </c>
    </row>
    <row r="3295" spans="1:7" x14ac:dyDescent="0.35">
      <c r="A3295" t="s">
        <v>173</v>
      </c>
      <c r="E3295">
        <v>2.5568620566962718E-3</v>
      </c>
      <c r="F3295">
        <f t="shared" si="108"/>
        <v>-1.4308382308567512E-2</v>
      </c>
      <c r="G3295">
        <f t="shared" si="109"/>
        <v>-2.1612897291468182E-2</v>
      </c>
    </row>
    <row r="3296" spans="1:7" x14ac:dyDescent="0.35">
      <c r="A3296" t="s">
        <v>173</v>
      </c>
      <c r="E3296">
        <v>1.1394239784376899E-3</v>
      </c>
      <c r="F3296">
        <f t="shared" si="108"/>
        <v>-1.4310366067365408E-2</v>
      </c>
      <c r="G3296">
        <f t="shared" si="109"/>
        <v>-2.1612897291468182E-2</v>
      </c>
    </row>
    <row r="3297" spans="1:7" x14ac:dyDescent="0.35">
      <c r="A3297" t="s">
        <v>173</v>
      </c>
      <c r="E3297">
        <v>-1.7542760197068706E-2</v>
      </c>
      <c r="F3297">
        <f t="shared" si="108"/>
        <v>-1.4312349826163305E-2</v>
      </c>
      <c r="G3297">
        <f t="shared" si="109"/>
        <v>-2.1612897291468182E-2</v>
      </c>
    </row>
    <row r="3298" spans="1:7" x14ac:dyDescent="0.35">
      <c r="A3298" t="s">
        <v>173</v>
      </c>
      <c r="E3298">
        <v>8.9645589444295893E-3</v>
      </c>
      <c r="F3298">
        <f t="shared" si="108"/>
        <v>-1.4258997539723338E-2</v>
      </c>
      <c r="G3298">
        <f t="shared" si="109"/>
        <v>-2.148735366568089E-2</v>
      </c>
    </row>
    <row r="3299" spans="1:7" x14ac:dyDescent="0.35">
      <c r="A3299" t="s">
        <v>173</v>
      </c>
      <c r="E3299">
        <v>1.4216529848760028E-3</v>
      </c>
      <c r="F3299">
        <f t="shared" si="108"/>
        <v>-1.4268811733161201E-2</v>
      </c>
      <c r="G3299">
        <f t="shared" si="109"/>
        <v>-2.148735366568089E-2</v>
      </c>
    </row>
    <row r="3300" spans="1:7" x14ac:dyDescent="0.35">
      <c r="A3300" t="s">
        <v>173</v>
      </c>
      <c r="E3300">
        <v>1.3821266534572338E-2</v>
      </c>
      <c r="F3300">
        <f t="shared" si="108"/>
        <v>-1.4278625926599064E-2</v>
      </c>
      <c r="G3300">
        <f t="shared" si="109"/>
        <v>-2.148735366568089E-2</v>
      </c>
    </row>
    <row r="3301" spans="1:7" x14ac:dyDescent="0.35">
      <c r="A3301" t="s">
        <v>173</v>
      </c>
      <c r="E3301">
        <v>1.0571461378722108E-2</v>
      </c>
      <c r="F3301">
        <f t="shared" si="108"/>
        <v>-1.4280609685396961E-2</v>
      </c>
      <c r="G3301">
        <f t="shared" si="109"/>
        <v>-2.1775702775244161E-2</v>
      </c>
    </row>
    <row r="3302" spans="1:7" x14ac:dyDescent="0.35">
      <c r="A3302" t="s">
        <v>173</v>
      </c>
      <c r="E3302">
        <v>8.0928689521244102E-3</v>
      </c>
      <c r="F3302">
        <f t="shared" si="108"/>
        <v>-1.4282593444194858E-2</v>
      </c>
      <c r="G3302">
        <f t="shared" si="109"/>
        <v>-2.1775702775244161E-2</v>
      </c>
    </row>
    <row r="3303" spans="1:7" x14ac:dyDescent="0.35">
      <c r="A3303" t="s">
        <v>174</v>
      </c>
      <c r="B3303" s="3" cm="1">
        <f t="array" ref="B3303">_xlfn.STDEV.S(_xlfn._xlws.FILTER($E$2826:$E$3824, $A$2826:$A$3824="2023-04"))</f>
        <v>4.8950045648123025E-3</v>
      </c>
      <c r="C3303" s="3" cm="1">
        <f t="array" ref="C3303">AVERAGE(_xlfn._xlws.FILTER($E$2826:$E$3824, $A$2826:$A$3824="2023-04"))</f>
        <v>1.2684592825565907E-3</v>
      </c>
      <c r="D3303" s="3" cm="1">
        <f t="array" ref="D3303">_xlfn.PERCENTILE.INC(_xlfn._xlws.FILTER($E$2490:$E$3818, $A$2490:$A$3818="2023-04"), 0.05)</f>
        <v>-6.0540704021819622E-3</v>
      </c>
      <c r="E3303">
        <v>3.2137248273953509E-3</v>
      </c>
      <c r="F3303">
        <f t="shared" si="108"/>
        <v>-1.4284577202992754E-2</v>
      </c>
      <c r="G3303">
        <f t="shared" si="109"/>
        <v>-2.1775702775244161E-2</v>
      </c>
    </row>
    <row r="3304" spans="1:7" x14ac:dyDescent="0.35">
      <c r="A3304" t="s">
        <v>174</v>
      </c>
      <c r="E3304">
        <v>-1.3613851297866674E-4</v>
      </c>
      <c r="F3304">
        <f t="shared" si="108"/>
        <v>-1.4286560961790651E-2</v>
      </c>
      <c r="G3304">
        <f t="shared" si="109"/>
        <v>-2.1775702775244161E-2</v>
      </c>
    </row>
    <row r="3305" spans="1:7" x14ac:dyDescent="0.35">
      <c r="A3305" t="s">
        <v>174</v>
      </c>
      <c r="E3305">
        <v>-3.9096280273486338E-3</v>
      </c>
      <c r="F3305">
        <f t="shared" si="108"/>
        <v>-1.4288544720588547E-2</v>
      </c>
      <c r="G3305">
        <f t="shared" si="109"/>
        <v>-2.1775702775244161E-2</v>
      </c>
    </row>
    <row r="3306" spans="1:7" x14ac:dyDescent="0.35">
      <c r="A3306" t="s">
        <v>174</v>
      </c>
      <c r="E3306">
        <v>1.1542889257560157E-3</v>
      </c>
      <c r="F3306">
        <f t="shared" si="108"/>
        <v>-1.4290528479386444E-2</v>
      </c>
      <c r="G3306">
        <f t="shared" si="109"/>
        <v>-2.1775702775244161E-2</v>
      </c>
    </row>
    <row r="3307" spans="1:7" x14ac:dyDescent="0.35">
      <c r="A3307" t="s">
        <v>174</v>
      </c>
      <c r="E3307">
        <v>8.9065986537141036E-3</v>
      </c>
      <c r="F3307">
        <f t="shared" si="108"/>
        <v>-1.4292512238184341E-2</v>
      </c>
      <c r="G3307">
        <f t="shared" si="109"/>
        <v>-2.1775702775244161E-2</v>
      </c>
    </row>
    <row r="3308" spans="1:7" x14ac:dyDescent="0.35">
      <c r="A3308" t="s">
        <v>174</v>
      </c>
      <c r="E3308">
        <v>9.0077789473974536E-4</v>
      </c>
      <c r="F3308">
        <f t="shared" si="108"/>
        <v>-1.4294495996982237E-2</v>
      </c>
      <c r="G3308">
        <f t="shared" si="109"/>
        <v>-2.1775702775244161E-2</v>
      </c>
    </row>
    <row r="3309" spans="1:7" x14ac:dyDescent="0.35">
      <c r="A3309" t="s">
        <v>174</v>
      </c>
      <c r="E3309">
        <v>1.1277347221019696E-2</v>
      </c>
      <c r="F3309">
        <f t="shared" si="108"/>
        <v>-1.4296479755780134E-2</v>
      </c>
      <c r="G3309">
        <f t="shared" si="109"/>
        <v>-2.1775702775244161E-2</v>
      </c>
    </row>
    <row r="3310" spans="1:7" x14ac:dyDescent="0.35">
      <c r="A3310" t="s">
        <v>174</v>
      </c>
      <c r="E3310">
        <v>5.1705265174155678E-3</v>
      </c>
      <c r="F3310">
        <f t="shared" si="108"/>
        <v>-1.429846351457803E-2</v>
      </c>
      <c r="G3310">
        <f t="shared" si="109"/>
        <v>-2.1775702775244161E-2</v>
      </c>
    </row>
    <row r="3311" spans="1:7" x14ac:dyDescent="0.35">
      <c r="A3311" t="s">
        <v>174</v>
      </c>
      <c r="E3311">
        <v>-2.8539504874777787E-3</v>
      </c>
      <c r="F3311">
        <f t="shared" si="108"/>
        <v>-1.4300447273375925E-2</v>
      </c>
      <c r="G3311">
        <f t="shared" si="109"/>
        <v>-2.1775702775244161E-2</v>
      </c>
    </row>
    <row r="3312" spans="1:7" x14ac:dyDescent="0.35">
      <c r="A3312" t="s">
        <v>174</v>
      </c>
      <c r="E3312">
        <v>4.7166729384328079E-3</v>
      </c>
      <c r="F3312">
        <f t="shared" si="108"/>
        <v>-1.4302431032173822E-2</v>
      </c>
      <c r="G3312">
        <f t="shared" si="109"/>
        <v>-2.1775702775244161E-2</v>
      </c>
    </row>
    <row r="3313" spans="1:7" x14ac:dyDescent="0.35">
      <c r="A3313" t="s">
        <v>174</v>
      </c>
      <c r="E3313">
        <v>2.0963909588989807E-3</v>
      </c>
      <c r="F3313">
        <f t="shared" si="108"/>
        <v>-1.4304414790971718E-2</v>
      </c>
      <c r="G3313">
        <f t="shared" si="109"/>
        <v>-2.1775702775244161E-2</v>
      </c>
    </row>
    <row r="3314" spans="1:7" x14ac:dyDescent="0.35">
      <c r="A3314" t="s">
        <v>174</v>
      </c>
      <c r="E3314">
        <v>-1.4223084750435851E-3</v>
      </c>
      <c r="F3314">
        <f t="shared" si="108"/>
        <v>-1.4306398549769615E-2</v>
      </c>
      <c r="G3314">
        <f t="shared" si="109"/>
        <v>-2.1775702775244161E-2</v>
      </c>
    </row>
    <row r="3315" spans="1:7" x14ac:dyDescent="0.35">
      <c r="A3315" t="s">
        <v>174</v>
      </c>
      <c r="E3315">
        <v>5.0662630996696351E-3</v>
      </c>
      <c r="F3315">
        <f t="shared" si="108"/>
        <v>-1.4308382308567512E-2</v>
      </c>
      <c r="G3315">
        <f t="shared" si="109"/>
        <v>-2.1775702775244161E-2</v>
      </c>
    </row>
    <row r="3316" spans="1:7" x14ac:dyDescent="0.35">
      <c r="A3316" t="s">
        <v>174</v>
      </c>
      <c r="E3316">
        <v>-4.14497928824798E-4</v>
      </c>
      <c r="F3316">
        <f t="shared" si="108"/>
        <v>-1.4310366067365408E-2</v>
      </c>
      <c r="G3316">
        <f t="shared" si="109"/>
        <v>-2.1775702775244161E-2</v>
      </c>
    </row>
    <row r="3317" spans="1:7" x14ac:dyDescent="0.35">
      <c r="A3317" t="s">
        <v>174</v>
      </c>
      <c r="E3317">
        <v>-5.5940146420309636E-3</v>
      </c>
      <c r="F3317">
        <f t="shared" si="108"/>
        <v>-1.4312349826163305E-2</v>
      </c>
      <c r="G3317">
        <f t="shared" si="109"/>
        <v>-2.1775702775244161E-2</v>
      </c>
    </row>
    <row r="3318" spans="1:7" x14ac:dyDescent="0.35">
      <c r="A3318" t="s">
        <v>174</v>
      </c>
      <c r="E3318">
        <v>-8.661053043037624E-3</v>
      </c>
      <c r="F3318">
        <f t="shared" si="108"/>
        <v>-1.4314333584961201E-2</v>
      </c>
      <c r="G3318">
        <f t="shared" si="109"/>
        <v>-2.1775702775244161E-2</v>
      </c>
    </row>
    <row r="3319" spans="1:7" x14ac:dyDescent="0.35">
      <c r="A3319" t="s">
        <v>174</v>
      </c>
      <c r="E3319">
        <v>2.2982519062249374E-3</v>
      </c>
      <c r="F3319">
        <f t="shared" si="108"/>
        <v>-1.4316317343759098E-2</v>
      </c>
      <c r="G3319">
        <f t="shared" si="109"/>
        <v>-2.1775702775244161E-2</v>
      </c>
    </row>
    <row r="3320" spans="1:7" x14ac:dyDescent="0.35">
      <c r="A3320" t="s">
        <v>174</v>
      </c>
      <c r="E3320">
        <v>1.0230152594938393E-3</v>
      </c>
      <c r="F3320">
        <f t="shared" si="108"/>
        <v>-1.4318301102556994E-2</v>
      </c>
      <c r="G3320">
        <f t="shared" si="109"/>
        <v>-2.1775702775244161E-2</v>
      </c>
    </row>
    <row r="3321" spans="1:7" x14ac:dyDescent="0.35">
      <c r="A3321" t="s">
        <v>175</v>
      </c>
      <c r="B3321" s="3" cm="1">
        <f t="array" ref="B3321">_xlfn.STDEV.S(_xlfn._xlws.FILTER($E$2826:$E$3824, $A$2826:$A$3824="2023-05"))</f>
        <v>9.0813369801496357E-3</v>
      </c>
      <c r="C3321" s="3" cm="1">
        <f t="array" ref="C3321">AVERAGE(_xlfn._xlws.FILTER($E$2826:$E$3824, $A$2826:$A$3824="2023-05"))</f>
        <v>-2.6928687904967498E-3</v>
      </c>
      <c r="D3321" s="3" cm="1">
        <f t="array" ref="D3321">_xlfn.PERCENTILE.EXC(_xlfn._xlws.FILTER($E$2490:$E$3818, $A$2490:$A$3818="2023-05"), 0.05)</f>
        <v>-1.7040349071112567E-2</v>
      </c>
      <c r="E3321">
        <v>-1.4561895531831872E-2</v>
      </c>
      <c r="F3321">
        <f t="shared" si="108"/>
        <v>-1.4330480824020738E-2</v>
      </c>
      <c r="G3321">
        <f t="shared" si="109"/>
        <v>-2.2086427844939457E-2</v>
      </c>
    </row>
    <row r="3322" spans="1:7" x14ac:dyDescent="0.35">
      <c r="A3322" t="s">
        <v>175</v>
      </c>
      <c r="E3322">
        <v>2.7902849165649482E-3</v>
      </c>
      <c r="F3322">
        <f t="shared" si="108"/>
        <v>-1.4282593444194858E-2</v>
      </c>
      <c r="G3322">
        <f t="shared" si="109"/>
        <v>-2.2076278077053004E-2</v>
      </c>
    </row>
    <row r="3323" spans="1:7" x14ac:dyDescent="0.35">
      <c r="A3323" t="s">
        <v>175</v>
      </c>
      <c r="E3323">
        <v>-8.5536921293241433E-3</v>
      </c>
      <c r="F3323">
        <f t="shared" si="108"/>
        <v>-1.4284577202992754E-2</v>
      </c>
      <c r="G3323">
        <f t="shared" si="109"/>
        <v>-2.2076278077053004E-2</v>
      </c>
    </row>
    <row r="3324" spans="1:7" x14ac:dyDescent="0.35">
      <c r="A3324" t="s">
        <v>175</v>
      </c>
      <c r="E3324">
        <v>1.247638647967461E-2</v>
      </c>
      <c r="F3324">
        <f t="shared" si="108"/>
        <v>-1.4286560961790651E-2</v>
      </c>
      <c r="G3324">
        <f t="shared" si="109"/>
        <v>-2.2076278077053004E-2</v>
      </c>
    </row>
    <row r="3325" spans="1:7" x14ac:dyDescent="0.35">
      <c r="A3325" t="s">
        <v>175</v>
      </c>
      <c r="E3325">
        <v>-4.82263360438593E-3</v>
      </c>
      <c r="F3325">
        <f t="shared" si="108"/>
        <v>-1.4288544720588547E-2</v>
      </c>
      <c r="G3325">
        <f t="shared" si="109"/>
        <v>-2.2076278077053004E-2</v>
      </c>
    </row>
    <row r="3326" spans="1:7" x14ac:dyDescent="0.35">
      <c r="A3326" t="s">
        <v>175</v>
      </c>
      <c r="E3326">
        <v>-4.8745317028570916E-3</v>
      </c>
      <c r="F3326">
        <f t="shared" si="108"/>
        <v>-1.4290528479386444E-2</v>
      </c>
      <c r="G3326">
        <f t="shared" si="109"/>
        <v>-2.2076278077053004E-2</v>
      </c>
    </row>
    <row r="3327" spans="1:7" x14ac:dyDescent="0.35">
      <c r="A3327" t="s">
        <v>175</v>
      </c>
      <c r="E3327">
        <v>2.7918390131891685E-3</v>
      </c>
      <c r="F3327">
        <f t="shared" si="108"/>
        <v>-1.4292512238184341E-2</v>
      </c>
      <c r="G3327">
        <f t="shared" si="109"/>
        <v>-2.2076278077053004E-2</v>
      </c>
    </row>
    <row r="3328" spans="1:7" x14ac:dyDescent="0.35">
      <c r="A3328" t="s">
        <v>175</v>
      </c>
      <c r="E3328">
        <v>4.4699441781860926E-3</v>
      </c>
      <c r="F3328">
        <f t="shared" si="108"/>
        <v>-1.4294495996982237E-2</v>
      </c>
      <c r="G3328">
        <f t="shared" si="109"/>
        <v>-2.2076278077053004E-2</v>
      </c>
    </row>
    <row r="3329" spans="1:7" x14ac:dyDescent="0.35">
      <c r="A3329" t="s">
        <v>175</v>
      </c>
      <c r="E3329">
        <v>4.5304206380459189E-4</v>
      </c>
      <c r="F3329">
        <f t="shared" si="108"/>
        <v>-1.4296479755780134E-2</v>
      </c>
      <c r="G3329">
        <f t="shared" si="109"/>
        <v>-2.2076278077053004E-2</v>
      </c>
    </row>
    <row r="3330" spans="1:7" x14ac:dyDescent="0.35">
      <c r="A3330" t="s">
        <v>175</v>
      </c>
      <c r="E3330">
        <v>-1.6459554370242002E-3</v>
      </c>
      <c r="F3330">
        <f t="shared" si="108"/>
        <v>-1.429846351457803E-2</v>
      </c>
      <c r="G3330">
        <f t="shared" si="109"/>
        <v>-2.2076278077053004E-2</v>
      </c>
    </row>
    <row r="3331" spans="1:7" x14ac:dyDescent="0.35">
      <c r="A3331" t="s">
        <v>175</v>
      </c>
      <c r="E3331">
        <v>-8.8751107615819814E-4</v>
      </c>
      <c r="F3331">
        <f t="shared" si="108"/>
        <v>-1.4300447273375925E-2</v>
      </c>
      <c r="G3331">
        <f t="shared" si="109"/>
        <v>-2.2076278077053004E-2</v>
      </c>
    </row>
    <row r="3332" spans="1:7" x14ac:dyDescent="0.35">
      <c r="A3332" t="s">
        <v>175</v>
      </c>
      <c r="E3332">
        <v>6.3921738997710824E-3</v>
      </c>
      <c r="F3332">
        <f t="shared" ref="F3332:F3395" si="110">_xlfn.PERCENTILE.EXC(E3332:E7147,0.05)</f>
        <v>-1.4302431032173822E-2</v>
      </c>
      <c r="G3332">
        <f t="shared" ref="G3332:G3395" si="111">AVERAGEIFS(E3332:E7148,E3332:E7148,"&lt;=" &amp; F3332)</f>
        <v>-2.2076278077053004E-2</v>
      </c>
    </row>
    <row r="3333" spans="1:7" x14ac:dyDescent="0.35">
      <c r="A3333" t="s">
        <v>175</v>
      </c>
      <c r="E3333">
        <v>6.0339499686215175E-3</v>
      </c>
      <c r="F3333">
        <f t="shared" si="110"/>
        <v>-1.4304414790971718E-2</v>
      </c>
      <c r="G3333">
        <f t="shared" si="111"/>
        <v>-2.2076278077053004E-2</v>
      </c>
    </row>
    <row r="3334" spans="1:7" x14ac:dyDescent="0.35">
      <c r="A3334" t="s">
        <v>175</v>
      </c>
      <c r="E3334">
        <v>-1.8436731180511282E-3</v>
      </c>
      <c r="F3334">
        <f t="shared" si="110"/>
        <v>-1.4306398549769615E-2</v>
      </c>
      <c r="G3334">
        <f t="shared" si="111"/>
        <v>-2.2076278077053004E-2</v>
      </c>
    </row>
    <row r="3335" spans="1:7" x14ac:dyDescent="0.35">
      <c r="A3335" t="s">
        <v>175</v>
      </c>
      <c r="E3335">
        <v>-1.3387945835559809E-2</v>
      </c>
      <c r="F3335">
        <f t="shared" si="110"/>
        <v>-1.4308382308567512E-2</v>
      </c>
      <c r="G3335">
        <f t="shared" si="111"/>
        <v>-2.2076278077053004E-2</v>
      </c>
    </row>
    <row r="3336" spans="1:7" x14ac:dyDescent="0.35">
      <c r="A3336" t="s">
        <v>175</v>
      </c>
      <c r="E3336">
        <v>-1.7120230183235791E-2</v>
      </c>
      <c r="F3336">
        <f t="shared" si="110"/>
        <v>-1.4310366067365408E-2</v>
      </c>
      <c r="G3336">
        <f t="shared" si="111"/>
        <v>-2.2076278077053004E-2</v>
      </c>
    </row>
    <row r="3337" spans="1:7" x14ac:dyDescent="0.35">
      <c r="A3337" t="s">
        <v>175</v>
      </c>
      <c r="E3337">
        <v>-3.34053351750822E-3</v>
      </c>
      <c r="F3337">
        <f t="shared" si="110"/>
        <v>-1.4249183346285473E-2</v>
      </c>
      <c r="G3337">
        <f t="shared" si="111"/>
        <v>-2.195787789969314E-2</v>
      </c>
    </row>
    <row r="3338" spans="1:7" x14ac:dyDescent="0.35">
      <c r="A3338" t="s">
        <v>175</v>
      </c>
      <c r="E3338">
        <v>1.2360236955442255E-2</v>
      </c>
      <c r="F3338">
        <f t="shared" si="110"/>
        <v>-1.4258997539723338E-2</v>
      </c>
      <c r="G3338">
        <f t="shared" si="111"/>
        <v>-2.195787789969314E-2</v>
      </c>
    </row>
    <row r="3339" spans="1:7" x14ac:dyDescent="0.35">
      <c r="A3339" t="s">
        <v>175</v>
      </c>
      <c r="E3339">
        <v>-1.5064023208481606E-2</v>
      </c>
      <c r="F3339">
        <f t="shared" si="110"/>
        <v>-1.4268811733161201E-2</v>
      </c>
      <c r="G3339">
        <f t="shared" si="111"/>
        <v>-2.195787789969314E-2</v>
      </c>
    </row>
    <row r="3340" spans="1:7" x14ac:dyDescent="0.35">
      <c r="A3340" t="s">
        <v>175</v>
      </c>
      <c r="E3340">
        <v>-1.5522607940771274E-2</v>
      </c>
      <c r="F3340">
        <f t="shared" si="110"/>
        <v>-1.4082342057841793E-2</v>
      </c>
      <c r="G3340">
        <f t="shared" si="111"/>
        <v>-2.1916974518416482E-2</v>
      </c>
    </row>
    <row r="3341" spans="1:7" x14ac:dyDescent="0.35">
      <c r="A3341" t="s">
        <v>176</v>
      </c>
      <c r="B3341" s="3" cm="1">
        <f t="array" ref="B3341">_xlfn.STDEV.S(_xlfn._xlws.FILTER($E$2826:$E$3824, $A$2826:$A$3824="2023-06"))</f>
        <v>7.5183451095079826E-3</v>
      </c>
      <c r="C3341" s="3" cm="1">
        <f t="array" ref="C3341">AVERAGE(_xlfn._xlws.FILTER($E$2826:$E$3824, $A$2826:$A$3824="2023-06"))</f>
        <v>1.8898381633742959E-3</v>
      </c>
      <c r="D3341" s="3" cm="1">
        <f t="array" ref="D3341">_xlfn.PERCENTILE.EXC(_xlfn._xlws.FILTER($E$2490:$E$3818, $A$2490:$A$3818="2023-06"), 0.05)</f>
        <v>-1.0072269213682651E-2</v>
      </c>
      <c r="E3341">
        <v>5.4410988873926577E-3</v>
      </c>
      <c r="F3341">
        <f t="shared" si="110"/>
        <v>-1.401668789930873E-2</v>
      </c>
      <c r="G3341">
        <f t="shared" si="111"/>
        <v>-2.2194990456574967E-2</v>
      </c>
    </row>
    <row r="3342" spans="1:7" x14ac:dyDescent="0.35">
      <c r="A3342" t="s">
        <v>176</v>
      </c>
      <c r="E3342">
        <v>1.8498430054655044E-2</v>
      </c>
      <c r="F3342">
        <f t="shared" si="110"/>
        <v>-1.4020143381336786E-2</v>
      </c>
      <c r="G3342">
        <f t="shared" si="111"/>
        <v>-2.2194990456574967E-2</v>
      </c>
    </row>
    <row r="3343" spans="1:7" x14ac:dyDescent="0.35">
      <c r="A3343" t="s">
        <v>176</v>
      </c>
      <c r="E3343">
        <v>-9.6437907086787279E-3</v>
      </c>
      <c r="F3343">
        <f t="shared" si="110"/>
        <v>-1.4023598863364841E-2</v>
      </c>
      <c r="G3343">
        <f t="shared" si="111"/>
        <v>-2.2194990456574967E-2</v>
      </c>
    </row>
    <row r="3344" spans="1:7" x14ac:dyDescent="0.35">
      <c r="A3344" t="s">
        <v>176</v>
      </c>
      <c r="E3344">
        <v>1.1228384979458511E-3</v>
      </c>
      <c r="F3344">
        <f t="shared" si="110"/>
        <v>-1.4027054345392897E-2</v>
      </c>
      <c r="G3344">
        <f t="shared" si="111"/>
        <v>-2.2194990456574967E-2</v>
      </c>
    </row>
    <row r="3345" spans="1:7" x14ac:dyDescent="0.35">
      <c r="A3345" t="s">
        <v>176</v>
      </c>
      <c r="E3345">
        <v>-8.6179445916741734E-4</v>
      </c>
      <c r="F3345">
        <f t="shared" si="110"/>
        <v>-1.4030509827420955E-2</v>
      </c>
      <c r="G3345">
        <f t="shared" si="111"/>
        <v>-2.2194990456574967E-2</v>
      </c>
    </row>
    <row r="3346" spans="1:7" x14ac:dyDescent="0.35">
      <c r="A3346" t="s">
        <v>176</v>
      </c>
      <c r="E3346">
        <v>2.6842415461430921E-3</v>
      </c>
      <c r="F3346">
        <f t="shared" si="110"/>
        <v>-1.4033965309449009E-2</v>
      </c>
      <c r="G3346">
        <f t="shared" si="111"/>
        <v>-2.2194990456574967E-2</v>
      </c>
    </row>
    <row r="3347" spans="1:7" x14ac:dyDescent="0.35">
      <c r="A3347" t="s">
        <v>176</v>
      </c>
      <c r="E3347">
        <v>-1.2483297765467089E-3</v>
      </c>
      <c r="F3347">
        <f t="shared" si="110"/>
        <v>-1.4037420791477066E-2</v>
      </c>
      <c r="G3347">
        <f t="shared" si="111"/>
        <v>-2.2194990456574967E-2</v>
      </c>
    </row>
    <row r="3348" spans="1:7" x14ac:dyDescent="0.35">
      <c r="A3348" t="s">
        <v>176</v>
      </c>
      <c r="E3348">
        <v>5.1453808305398025E-3</v>
      </c>
      <c r="F3348">
        <f t="shared" si="110"/>
        <v>-1.4040876273505122E-2</v>
      </c>
      <c r="G3348">
        <f t="shared" si="111"/>
        <v>-2.2194990456574967E-2</v>
      </c>
    </row>
    <row r="3349" spans="1:7" x14ac:dyDescent="0.35">
      <c r="A3349" t="s">
        <v>176</v>
      </c>
      <c r="E3349">
        <v>5.5635358052309484E-3</v>
      </c>
      <c r="F3349">
        <f t="shared" si="110"/>
        <v>-1.4044331755533178E-2</v>
      </c>
      <c r="G3349">
        <f t="shared" si="111"/>
        <v>-2.2194990456574967E-2</v>
      </c>
    </row>
    <row r="3350" spans="1:7" x14ac:dyDescent="0.35">
      <c r="A3350" t="s">
        <v>176</v>
      </c>
      <c r="E3350">
        <v>5.1616707153481775E-3</v>
      </c>
      <c r="F3350">
        <f t="shared" si="110"/>
        <v>-1.4047787237561234E-2</v>
      </c>
      <c r="G3350">
        <f t="shared" si="111"/>
        <v>-2.2194990456574967E-2</v>
      </c>
    </row>
    <row r="3351" spans="1:7" x14ac:dyDescent="0.35">
      <c r="A3351" t="s">
        <v>176</v>
      </c>
      <c r="E3351">
        <v>-5.1465833216198277E-3</v>
      </c>
      <c r="F3351">
        <f t="shared" si="110"/>
        <v>-1.4051242719589289E-2</v>
      </c>
      <c r="G3351">
        <f t="shared" si="111"/>
        <v>-2.2194990456574967E-2</v>
      </c>
    </row>
    <row r="3352" spans="1:7" x14ac:dyDescent="0.35">
      <c r="A3352" t="s">
        <v>176</v>
      </c>
      <c r="E3352">
        <v>1.3316672213499066E-2</v>
      </c>
      <c r="F3352">
        <f t="shared" si="110"/>
        <v>-1.4054698201617345E-2</v>
      </c>
      <c r="G3352">
        <f t="shared" si="111"/>
        <v>-2.2194990456574967E-2</v>
      </c>
    </row>
    <row r="3353" spans="1:7" x14ac:dyDescent="0.35">
      <c r="A3353" t="s">
        <v>176</v>
      </c>
      <c r="E3353">
        <v>-1.0147883067506873E-2</v>
      </c>
      <c r="F3353">
        <f t="shared" si="110"/>
        <v>-1.4058153683645401E-2</v>
      </c>
      <c r="G3353">
        <f t="shared" si="111"/>
        <v>-2.2194990456574967E-2</v>
      </c>
    </row>
    <row r="3354" spans="1:7" x14ac:dyDescent="0.35">
      <c r="A3354" t="s">
        <v>176</v>
      </c>
      <c r="E3354">
        <v>-2.7217569659439282E-3</v>
      </c>
      <c r="F3354">
        <f t="shared" si="110"/>
        <v>-1.4061609165673457E-2</v>
      </c>
      <c r="G3354">
        <f t="shared" si="111"/>
        <v>-2.2194990456574967E-2</v>
      </c>
    </row>
    <row r="3355" spans="1:7" x14ac:dyDescent="0.35">
      <c r="A3355" t="s">
        <v>176</v>
      </c>
      <c r="E3355">
        <v>-4.5619702151492103E-3</v>
      </c>
      <c r="F3355">
        <f t="shared" si="110"/>
        <v>-1.4065064647701513E-2</v>
      </c>
      <c r="G3355">
        <f t="shared" si="111"/>
        <v>-2.2194990456574967E-2</v>
      </c>
    </row>
    <row r="3356" spans="1:7" x14ac:dyDescent="0.35">
      <c r="A3356" t="s">
        <v>176</v>
      </c>
      <c r="E3356">
        <v>-7.9769508836326723E-3</v>
      </c>
      <c r="F3356">
        <f t="shared" si="110"/>
        <v>-1.4068520129729568E-2</v>
      </c>
      <c r="G3356">
        <f t="shared" si="111"/>
        <v>-2.2194990456574967E-2</v>
      </c>
    </row>
    <row r="3357" spans="1:7" x14ac:dyDescent="0.35">
      <c r="A3357" t="s">
        <v>176</v>
      </c>
      <c r="E3357">
        <v>-5.5489572799797791E-3</v>
      </c>
      <c r="F3357">
        <f t="shared" si="110"/>
        <v>-1.4071975611757626E-2</v>
      </c>
      <c r="G3357">
        <f t="shared" si="111"/>
        <v>-2.2194990456574967E-2</v>
      </c>
    </row>
    <row r="3358" spans="1:7" x14ac:dyDescent="0.35">
      <c r="A3358" t="s">
        <v>176</v>
      </c>
      <c r="E3358">
        <v>2.9175286258837055E-3</v>
      </c>
      <c r="F3358">
        <f t="shared" si="110"/>
        <v>-1.4075431093785682E-2</v>
      </c>
      <c r="G3358">
        <f t="shared" si="111"/>
        <v>-2.2194990456574967E-2</v>
      </c>
    </row>
    <row r="3359" spans="1:7" x14ac:dyDescent="0.35">
      <c r="A3359" t="s">
        <v>176</v>
      </c>
      <c r="E3359">
        <v>4.3375278857333693E-3</v>
      </c>
      <c r="F3359">
        <f t="shared" si="110"/>
        <v>-1.4078886575813737E-2</v>
      </c>
      <c r="G3359">
        <f t="shared" si="111"/>
        <v>-2.2194990456574967E-2</v>
      </c>
    </row>
    <row r="3360" spans="1:7" x14ac:dyDescent="0.35">
      <c r="A3360" t="s">
        <v>176</v>
      </c>
      <c r="E3360">
        <v>9.7560403929305827E-3</v>
      </c>
      <c r="F3360">
        <f t="shared" si="110"/>
        <v>-1.4082342057841793E-2</v>
      </c>
      <c r="G3360">
        <f t="shared" si="111"/>
        <v>-2.2194990456574967E-2</v>
      </c>
    </row>
    <row r="3361" spans="1:7" x14ac:dyDescent="0.35">
      <c r="A3361" t="s">
        <v>176</v>
      </c>
      <c r="E3361">
        <v>3.6180475865884298E-3</v>
      </c>
      <c r="F3361">
        <f t="shared" si="110"/>
        <v>-1.4092156251279657E-2</v>
      </c>
      <c r="G3361">
        <f t="shared" si="111"/>
        <v>-2.2563747201971931E-2</v>
      </c>
    </row>
    <row r="3362" spans="1:7" x14ac:dyDescent="0.35">
      <c r="A3362" t="s">
        <v>176</v>
      </c>
      <c r="E3362">
        <v>1.1871443230568922E-2</v>
      </c>
      <c r="F3362">
        <f t="shared" si="110"/>
        <v>-1.410197044471752E-2</v>
      </c>
      <c r="G3362">
        <f t="shared" si="111"/>
        <v>-2.2563747201971931E-2</v>
      </c>
    </row>
    <row r="3363" spans="1:7" x14ac:dyDescent="0.35">
      <c r="A3363" t="s">
        <v>177</v>
      </c>
      <c r="B3363" s="3" cm="1">
        <f t="array" ref="B3363">_xlfn.STDEV.S(_xlfn._xlws.FILTER($E$2826:$E$3824, $A$2826:$A$3824="2023-07"))</f>
        <v>1.0838586491981649E-2</v>
      </c>
      <c r="C3363" s="3" cm="1">
        <f t="array" ref="C3363">AVERAGE(_xlfn._xlws.FILTER($E$2826:$E$3824, $A$2826:$A$3824="2023-07"))</f>
        <v>6.2470802096458366E-4</v>
      </c>
      <c r="D3363" s="3" cm="1">
        <f t="array" ref="D3363">_xlfn.PERCENTILE.EXC(_xlfn._xlws.FILTER($E$2490:$E$3818, $A$2490:$A$3818="2023-07"), 0.05)</f>
        <v>-2.9944001474593689E-2</v>
      </c>
      <c r="E3363">
        <v>-1.8070224491911924E-3</v>
      </c>
      <c r="F3363">
        <f t="shared" si="110"/>
        <v>-1.4111784638155383E-2</v>
      </c>
      <c r="G3363">
        <f t="shared" si="111"/>
        <v>-2.2563747201971931E-2</v>
      </c>
    </row>
    <row r="3364" spans="1:7" x14ac:dyDescent="0.35">
      <c r="A3364" t="s">
        <v>177</v>
      </c>
      <c r="E3364">
        <v>-2.272877644753004E-3</v>
      </c>
      <c r="F3364">
        <f t="shared" si="110"/>
        <v>-1.4121598831593248E-2</v>
      </c>
      <c r="G3364">
        <f t="shared" si="111"/>
        <v>-2.2563747201971931E-2</v>
      </c>
    </row>
    <row r="3365" spans="1:7" x14ac:dyDescent="0.35">
      <c r="A3365" t="s">
        <v>177</v>
      </c>
      <c r="E3365">
        <v>-8.0541334548419486E-3</v>
      </c>
      <c r="F3365">
        <f t="shared" si="110"/>
        <v>-1.4131413025031112E-2</v>
      </c>
      <c r="G3365">
        <f t="shared" si="111"/>
        <v>-2.2563747201971931E-2</v>
      </c>
    </row>
    <row r="3366" spans="1:7" x14ac:dyDescent="0.35">
      <c r="A3366" t="s">
        <v>177</v>
      </c>
      <c r="E3366">
        <v>-3.1756773000750325E-2</v>
      </c>
      <c r="F3366">
        <f t="shared" si="110"/>
        <v>-1.4141227218468975E-2</v>
      </c>
      <c r="G3366">
        <f t="shared" si="111"/>
        <v>-2.2563747201971931E-2</v>
      </c>
    </row>
    <row r="3367" spans="1:7" x14ac:dyDescent="0.35">
      <c r="A3367" t="s">
        <v>177</v>
      </c>
      <c r="E3367">
        <v>4.1693234425408893E-3</v>
      </c>
      <c r="F3367">
        <f t="shared" si="110"/>
        <v>-1.4037420791477066E-2</v>
      </c>
      <c r="G3367">
        <f t="shared" si="111"/>
        <v>-2.1760363977294271E-2</v>
      </c>
    </row>
    <row r="3368" spans="1:7" x14ac:dyDescent="0.35">
      <c r="A3368" t="s">
        <v>177</v>
      </c>
      <c r="E3368">
        <v>4.4628243972151486E-3</v>
      </c>
      <c r="F3368">
        <f t="shared" si="110"/>
        <v>-1.4040876273505122E-2</v>
      </c>
      <c r="G3368">
        <f t="shared" si="111"/>
        <v>-2.1760363977294271E-2</v>
      </c>
    </row>
    <row r="3369" spans="1:7" x14ac:dyDescent="0.35">
      <c r="A3369" t="s">
        <v>177</v>
      </c>
      <c r="E3369">
        <v>1.0626888369745867E-2</v>
      </c>
      <c r="F3369">
        <f t="shared" si="110"/>
        <v>-1.4044331755533178E-2</v>
      </c>
      <c r="G3369">
        <f t="shared" si="111"/>
        <v>-2.1760363977294271E-2</v>
      </c>
    </row>
    <row r="3370" spans="1:7" x14ac:dyDescent="0.35">
      <c r="A3370" t="s">
        <v>177</v>
      </c>
      <c r="E3370">
        <v>1.5529734863755539E-2</v>
      </c>
      <c r="F3370">
        <f t="shared" si="110"/>
        <v>-1.4047787237561234E-2</v>
      </c>
      <c r="G3370">
        <f t="shared" si="111"/>
        <v>-2.1760363977294271E-2</v>
      </c>
    </row>
    <row r="3371" spans="1:7" x14ac:dyDescent="0.35">
      <c r="A3371" t="s">
        <v>177</v>
      </c>
      <c r="E3371">
        <v>5.0044959818839954E-3</v>
      </c>
      <c r="F3371">
        <f t="shared" si="110"/>
        <v>-1.4051242719589289E-2</v>
      </c>
      <c r="G3371">
        <f t="shared" si="111"/>
        <v>-2.1760363977294271E-2</v>
      </c>
    </row>
    <row r="3372" spans="1:7" x14ac:dyDescent="0.35">
      <c r="A3372" t="s">
        <v>177</v>
      </c>
      <c r="E3372">
        <v>6.4295860829185992E-4</v>
      </c>
      <c r="F3372">
        <f t="shared" si="110"/>
        <v>-1.4054698201617345E-2</v>
      </c>
      <c r="G3372">
        <f t="shared" si="111"/>
        <v>-2.1760363977294271E-2</v>
      </c>
    </row>
    <row r="3373" spans="1:7" x14ac:dyDescent="0.35">
      <c r="A3373" t="s">
        <v>177</v>
      </c>
      <c r="E3373">
        <v>-1.1302298109822416E-2</v>
      </c>
      <c r="F3373">
        <f t="shared" si="110"/>
        <v>-1.4058153683645401E-2</v>
      </c>
      <c r="G3373">
        <f t="shared" si="111"/>
        <v>-2.1760363977294271E-2</v>
      </c>
    </row>
    <row r="3374" spans="1:7" x14ac:dyDescent="0.35">
      <c r="A3374" t="s">
        <v>177</v>
      </c>
      <c r="E3374">
        <v>3.7670705509436461E-3</v>
      </c>
      <c r="F3374">
        <f t="shared" si="110"/>
        <v>-1.4061609165673457E-2</v>
      </c>
      <c r="G3374">
        <f t="shared" si="111"/>
        <v>-2.1760363977294271E-2</v>
      </c>
    </row>
    <row r="3375" spans="1:7" x14ac:dyDescent="0.35">
      <c r="A3375" t="s">
        <v>177</v>
      </c>
      <c r="E3375">
        <v>1.0596664135124501E-3</v>
      </c>
      <c r="F3375">
        <f t="shared" si="110"/>
        <v>-1.4065064647701513E-2</v>
      </c>
      <c r="G3375">
        <f t="shared" si="111"/>
        <v>-2.1760363977294271E-2</v>
      </c>
    </row>
    <row r="3376" spans="1:7" x14ac:dyDescent="0.35">
      <c r="A3376" t="s">
        <v>177</v>
      </c>
      <c r="E3376">
        <v>7.880762789923031E-3</v>
      </c>
      <c r="F3376">
        <f t="shared" si="110"/>
        <v>-1.4068520129729568E-2</v>
      </c>
      <c r="G3376">
        <f t="shared" si="111"/>
        <v>-2.1760363977294271E-2</v>
      </c>
    </row>
    <row r="3377" spans="1:7" x14ac:dyDescent="0.35">
      <c r="A3377" t="s">
        <v>177</v>
      </c>
      <c r="E3377">
        <v>6.4598731289754541E-3</v>
      </c>
      <c r="F3377">
        <f t="shared" si="110"/>
        <v>-1.4071975611757626E-2</v>
      </c>
      <c r="G3377">
        <f t="shared" si="111"/>
        <v>-2.1760363977294271E-2</v>
      </c>
    </row>
    <row r="3378" spans="1:7" x14ac:dyDescent="0.35">
      <c r="A3378" t="s">
        <v>177</v>
      </c>
      <c r="E3378">
        <v>-7.3485475794279149E-4</v>
      </c>
      <c r="F3378">
        <f t="shared" si="110"/>
        <v>-1.4075431093785682E-2</v>
      </c>
      <c r="G3378">
        <f t="shared" si="111"/>
        <v>-2.1760363977294271E-2</v>
      </c>
    </row>
    <row r="3379" spans="1:7" x14ac:dyDescent="0.35">
      <c r="A3379" t="s">
        <v>177</v>
      </c>
      <c r="E3379">
        <v>-1.5980858713721556E-3</v>
      </c>
      <c r="F3379">
        <f t="shared" si="110"/>
        <v>-1.4078886575813737E-2</v>
      </c>
      <c r="G3379">
        <f t="shared" si="111"/>
        <v>-2.1760363977294271E-2</v>
      </c>
    </row>
    <row r="3380" spans="1:7" x14ac:dyDescent="0.35">
      <c r="A3380" t="s">
        <v>177</v>
      </c>
      <c r="E3380">
        <v>-1.3629057739183973E-2</v>
      </c>
      <c r="F3380">
        <f t="shared" si="110"/>
        <v>-1.4082342057841793E-2</v>
      </c>
      <c r="G3380">
        <f t="shared" si="111"/>
        <v>-2.1760363977294271E-2</v>
      </c>
    </row>
    <row r="3381" spans="1:7" x14ac:dyDescent="0.35">
      <c r="A3381" t="s">
        <v>177</v>
      </c>
      <c r="E3381">
        <v>2.032097670355023E-2</v>
      </c>
      <c r="F3381">
        <f t="shared" si="110"/>
        <v>-1.4092156251279657E-2</v>
      </c>
      <c r="G3381">
        <f t="shared" si="111"/>
        <v>-2.2125984068696772E-2</v>
      </c>
    </row>
    <row r="3382" spans="1:7" x14ac:dyDescent="0.35">
      <c r="A3382" t="s">
        <v>177</v>
      </c>
      <c r="E3382">
        <v>1.5031749531409842E-3</v>
      </c>
      <c r="F3382">
        <f t="shared" si="110"/>
        <v>-1.410197044471752E-2</v>
      </c>
      <c r="G3382">
        <f t="shared" si="111"/>
        <v>-2.2125984068696772E-2</v>
      </c>
    </row>
    <row r="3383" spans="1:7" x14ac:dyDescent="0.35">
      <c r="A3383" t="s">
        <v>177</v>
      </c>
      <c r="E3383">
        <v>2.8462212646349701E-3</v>
      </c>
      <c r="F3383">
        <f t="shared" si="110"/>
        <v>-1.4111784638155383E-2</v>
      </c>
      <c r="G3383">
        <f t="shared" si="111"/>
        <v>-2.2125984068696772E-2</v>
      </c>
    </row>
    <row r="3384" spans="1:7" x14ac:dyDescent="0.35">
      <c r="A3384" t="s">
        <v>178</v>
      </c>
      <c r="B3384" s="3" cm="1">
        <f t="array" ref="B3384">_xlfn.STDEV.S(_xlfn._xlws.FILTER($E$2826:$E$3824, $A$2826:$A$3824="2023-08"))</f>
        <v>9.0744658547894791E-3</v>
      </c>
      <c r="C3384" s="3" cm="1">
        <f t="array" ref="C3384">AVERAGE(_xlfn._xlws.FILTER($E$2826:$E$3824, $A$2826:$A$3824="2023-08"))</f>
        <v>-1.1641700035366085E-3</v>
      </c>
      <c r="D3384" s="3" cm="1">
        <f t="array" ref="D3384">_xlfn.PERCENTILE.EXC(_xlfn._xlws.FILTER($E$2490:$E$3818, $A$2490:$A$3818="2023-08"), 0.05)</f>
        <v>-1.2667442176381346E-2</v>
      </c>
      <c r="E3384">
        <v>-1.230569224014889E-2</v>
      </c>
      <c r="F3384">
        <f t="shared" si="110"/>
        <v>-1.4121598831593248E-2</v>
      </c>
      <c r="G3384">
        <f t="shared" si="111"/>
        <v>-2.2125984068696772E-2</v>
      </c>
    </row>
    <row r="3385" spans="1:7" x14ac:dyDescent="0.35">
      <c r="A3385" t="s">
        <v>178</v>
      </c>
      <c r="E3385">
        <v>-1.2669577281891319E-2</v>
      </c>
      <c r="F3385">
        <f t="shared" si="110"/>
        <v>-1.4131413025031112E-2</v>
      </c>
      <c r="G3385">
        <f t="shared" si="111"/>
        <v>-2.2125984068696772E-2</v>
      </c>
    </row>
    <row r="3386" spans="1:7" x14ac:dyDescent="0.35">
      <c r="A3386" t="s">
        <v>178</v>
      </c>
      <c r="E3386">
        <v>-7.1788782766236429E-3</v>
      </c>
      <c r="F3386">
        <f t="shared" si="110"/>
        <v>-1.4141227218468975E-2</v>
      </c>
      <c r="G3386">
        <f t="shared" si="111"/>
        <v>-2.2125984068696772E-2</v>
      </c>
    </row>
    <row r="3387" spans="1:7" x14ac:dyDescent="0.35">
      <c r="A3387" t="s">
        <v>178</v>
      </c>
      <c r="E3387">
        <v>7.4837748773376005E-3</v>
      </c>
      <c r="F3387">
        <f t="shared" si="110"/>
        <v>-1.4151041411906838E-2</v>
      </c>
      <c r="G3387">
        <f t="shared" si="111"/>
        <v>-2.2125984068696772E-2</v>
      </c>
    </row>
    <row r="3388" spans="1:7" x14ac:dyDescent="0.35">
      <c r="A3388" t="s">
        <v>178</v>
      </c>
      <c r="E3388">
        <v>6.4093674618084947E-4</v>
      </c>
      <c r="F3388">
        <f t="shared" si="110"/>
        <v>-1.4160855605344701E-2</v>
      </c>
      <c r="G3388">
        <f t="shared" si="111"/>
        <v>-2.2125984068696772E-2</v>
      </c>
    </row>
    <row r="3389" spans="1:7" x14ac:dyDescent="0.35">
      <c r="A3389" t="s">
        <v>178</v>
      </c>
      <c r="E3389">
        <v>-6.8941540009261199E-3</v>
      </c>
      <c r="F3389">
        <f t="shared" si="110"/>
        <v>-1.4170669798782565E-2</v>
      </c>
      <c r="G3389">
        <f t="shared" si="111"/>
        <v>-2.2125984068696772E-2</v>
      </c>
    </row>
    <row r="3390" spans="1:7" x14ac:dyDescent="0.35">
      <c r="A3390" t="s">
        <v>178</v>
      </c>
      <c r="E3390">
        <v>7.2055911218304996E-3</v>
      </c>
      <c r="F3390">
        <f t="shared" si="110"/>
        <v>-1.4180483992220428E-2</v>
      </c>
      <c r="G3390">
        <f t="shared" si="111"/>
        <v>-2.2125984068696772E-2</v>
      </c>
    </row>
    <row r="3391" spans="1:7" x14ac:dyDescent="0.35">
      <c r="A3391" t="s">
        <v>178</v>
      </c>
      <c r="E3391">
        <v>1.5123976405396623E-2</v>
      </c>
      <c r="F3391">
        <f t="shared" si="110"/>
        <v>-1.4190298185658291E-2</v>
      </c>
      <c r="G3391">
        <f t="shared" si="111"/>
        <v>-2.2125984068696772E-2</v>
      </c>
    </row>
    <row r="3392" spans="1:7" x14ac:dyDescent="0.35">
      <c r="A3392" t="s">
        <v>178</v>
      </c>
      <c r="E3392">
        <v>-1.2648226226791588E-2</v>
      </c>
      <c r="F3392">
        <f t="shared" si="110"/>
        <v>-1.4200112379096156E-2</v>
      </c>
      <c r="G3392">
        <f t="shared" si="111"/>
        <v>-2.2125984068696772E-2</v>
      </c>
    </row>
    <row r="3393" spans="1:7" x14ac:dyDescent="0.35">
      <c r="A3393" t="s">
        <v>178</v>
      </c>
      <c r="E3393">
        <v>1.1777497901310544E-3</v>
      </c>
      <c r="F3393">
        <f t="shared" si="110"/>
        <v>-1.420992657253402E-2</v>
      </c>
      <c r="G3393">
        <f t="shared" si="111"/>
        <v>-2.2125984068696772E-2</v>
      </c>
    </row>
    <row r="3394" spans="1:7" x14ac:dyDescent="0.35">
      <c r="A3394" t="s">
        <v>178</v>
      </c>
      <c r="E3394">
        <v>-1.2128214134580394E-2</v>
      </c>
      <c r="F3394">
        <f t="shared" si="110"/>
        <v>-1.4219740765971883E-2</v>
      </c>
      <c r="G3394">
        <f t="shared" si="111"/>
        <v>-2.2125984068696772E-2</v>
      </c>
    </row>
    <row r="3395" spans="1:7" x14ac:dyDescent="0.35">
      <c r="A3395" t="s">
        <v>178</v>
      </c>
      <c r="E3395">
        <v>-9.4811182688859692E-3</v>
      </c>
      <c r="F3395">
        <f t="shared" si="110"/>
        <v>-1.4229554959409746E-2</v>
      </c>
      <c r="G3395">
        <f t="shared" si="111"/>
        <v>-2.2125984068696772E-2</v>
      </c>
    </row>
    <row r="3396" spans="1:7" x14ac:dyDescent="0.35">
      <c r="A3396" t="s">
        <v>178</v>
      </c>
      <c r="E3396">
        <v>-3.8493066055308883E-3</v>
      </c>
      <c r="F3396">
        <f t="shared" ref="F3396:F3459" si="112">_xlfn.PERCENTILE.EXC(E3396:E7211,0.05)</f>
        <v>-1.423936915284761E-2</v>
      </c>
      <c r="G3396">
        <f t="shared" ref="G3396:G3459" si="113">AVERAGEIFS(E3396:E7212,E3396:E7212,"&lt;=" &amp; F3396)</f>
        <v>-2.2125984068696772E-2</v>
      </c>
    </row>
    <row r="3397" spans="1:7" x14ac:dyDescent="0.35">
      <c r="A3397" t="s">
        <v>178</v>
      </c>
      <c r="E3397">
        <v>4.7277066397732699E-3</v>
      </c>
      <c r="F3397">
        <f t="shared" si="112"/>
        <v>-1.4249183346285473E-2</v>
      </c>
      <c r="G3397">
        <f t="shared" si="113"/>
        <v>-2.2125984068696772E-2</v>
      </c>
    </row>
    <row r="3398" spans="1:7" x14ac:dyDescent="0.35">
      <c r="A3398" t="s">
        <v>178</v>
      </c>
      <c r="E3398">
        <v>5.931200701828507E-3</v>
      </c>
      <c r="F3398">
        <f t="shared" si="112"/>
        <v>-1.4258997539723338E-2</v>
      </c>
      <c r="G3398">
        <f t="shared" si="113"/>
        <v>-2.2125984068696772E-2</v>
      </c>
    </row>
    <row r="3399" spans="1:7" x14ac:dyDescent="0.35">
      <c r="A3399" t="s">
        <v>178</v>
      </c>
      <c r="E3399">
        <v>7.9240728909063095E-4</v>
      </c>
      <c r="F3399">
        <f t="shared" si="112"/>
        <v>-1.4268811733161201E-2</v>
      </c>
      <c r="G3399">
        <f t="shared" si="113"/>
        <v>-2.2125984068696772E-2</v>
      </c>
    </row>
    <row r="3400" spans="1:7" x14ac:dyDescent="0.35">
      <c r="A3400" t="s">
        <v>178</v>
      </c>
      <c r="E3400">
        <v>-4.447807911775516E-3</v>
      </c>
      <c r="F3400">
        <f t="shared" si="112"/>
        <v>-1.4278625926599064E-2</v>
      </c>
      <c r="G3400">
        <f t="shared" si="113"/>
        <v>-2.2125984068696772E-2</v>
      </c>
    </row>
    <row r="3401" spans="1:7" x14ac:dyDescent="0.35">
      <c r="A3401" t="s">
        <v>178</v>
      </c>
      <c r="E3401">
        <v>2.0963642555765537E-3</v>
      </c>
      <c r="F3401">
        <f t="shared" si="112"/>
        <v>-1.4280609685396961E-2</v>
      </c>
      <c r="G3401">
        <f t="shared" si="113"/>
        <v>-2.2518351975801654E-2</v>
      </c>
    </row>
    <row r="3402" spans="1:7" x14ac:dyDescent="0.35">
      <c r="A3402" t="s">
        <v>178</v>
      </c>
      <c r="E3402">
        <v>1.9699288601890175E-2</v>
      </c>
      <c r="F3402">
        <f t="shared" si="112"/>
        <v>-1.4282593444194858E-2</v>
      </c>
      <c r="G3402">
        <f t="shared" si="113"/>
        <v>-2.2518351975801654E-2</v>
      </c>
    </row>
    <row r="3403" spans="1:7" x14ac:dyDescent="0.35">
      <c r="A3403" t="s">
        <v>178</v>
      </c>
      <c r="E3403">
        <v>-1.2254180065846857E-3</v>
      </c>
      <c r="F3403">
        <f t="shared" si="112"/>
        <v>-1.4284577202992754E-2</v>
      </c>
      <c r="G3403">
        <f t="shared" si="113"/>
        <v>-2.2518351975801654E-2</v>
      </c>
    </row>
    <row r="3404" spans="1:7" x14ac:dyDescent="0.35">
      <c r="A3404" t="s">
        <v>178</v>
      </c>
      <c r="E3404">
        <v>-6.4981735495655245E-3</v>
      </c>
      <c r="F3404">
        <f t="shared" si="112"/>
        <v>-1.4286560961790651E-2</v>
      </c>
      <c r="G3404">
        <f t="shared" si="113"/>
        <v>-2.2518351975801654E-2</v>
      </c>
    </row>
    <row r="3405" spans="1:7" x14ac:dyDescent="0.35">
      <c r="A3405" t="s">
        <v>179</v>
      </c>
      <c r="B3405" s="3" cm="1">
        <f t="array" ref="B3405">_xlfn.STDEV.S(_xlfn._xlws.FILTER($E$2826:$E$3824, $A$2826:$A$3824="2023-09"))</f>
        <v>7.3342688044121017E-3</v>
      </c>
      <c r="C3405" s="3" cm="1">
        <f t="array" ref="C3405">AVERAGE(_xlfn._xlws.FILTER($E$2826:$E$3824, $A$2826:$A$3824="2023-09"))</f>
        <v>-1.1970831670348224E-3</v>
      </c>
      <c r="D3405" s="3" cm="1">
        <f t="array" ref="D3405">_xlfn.PERCENTILE.EXC(_xlfn._xlws.FILTER($E$2490:$E$3818, $A$2490:$A$3818="2023-09"), 0.05)</f>
        <v>-1.5867532554346812E-2</v>
      </c>
      <c r="E3405">
        <v>-2.7276221672839322E-3</v>
      </c>
      <c r="F3405">
        <f t="shared" si="112"/>
        <v>-1.4288544720588547E-2</v>
      </c>
      <c r="G3405">
        <f t="shared" si="113"/>
        <v>-2.2518351975801654E-2</v>
      </c>
    </row>
    <row r="3406" spans="1:7" x14ac:dyDescent="0.35">
      <c r="A3406" t="s">
        <v>179</v>
      </c>
      <c r="E3406">
        <v>-2.3682322330425437E-3</v>
      </c>
      <c r="F3406">
        <f t="shared" si="112"/>
        <v>-1.4290528479386444E-2</v>
      </c>
      <c r="G3406">
        <f t="shared" si="113"/>
        <v>-2.2518351975801654E-2</v>
      </c>
    </row>
    <row r="3407" spans="1:7" x14ac:dyDescent="0.35">
      <c r="A3407" t="s">
        <v>179</v>
      </c>
      <c r="E3407">
        <v>-3.4112607326948342E-3</v>
      </c>
      <c r="F3407">
        <f t="shared" si="112"/>
        <v>-1.4292512238184341E-2</v>
      </c>
      <c r="G3407">
        <f t="shared" si="113"/>
        <v>-2.2518351975801654E-2</v>
      </c>
    </row>
    <row r="3408" spans="1:7" x14ac:dyDescent="0.35">
      <c r="A3408" t="s">
        <v>179</v>
      </c>
      <c r="E3408">
        <v>-8.3924358977957667E-3</v>
      </c>
      <c r="F3408">
        <f t="shared" si="112"/>
        <v>-1.4294495996982237E-2</v>
      </c>
      <c r="G3408">
        <f t="shared" si="113"/>
        <v>-2.2518351975801654E-2</v>
      </c>
    </row>
    <row r="3409" spans="1:7" x14ac:dyDescent="0.35">
      <c r="A3409" t="s">
        <v>179</v>
      </c>
      <c r="E3409">
        <v>2.7935698042519451E-4</v>
      </c>
      <c r="F3409">
        <f t="shared" si="112"/>
        <v>-1.4296479755780134E-2</v>
      </c>
      <c r="G3409">
        <f t="shared" si="113"/>
        <v>-2.2518351975801654E-2</v>
      </c>
    </row>
    <row r="3410" spans="1:7" x14ac:dyDescent="0.35">
      <c r="A3410" t="s">
        <v>179</v>
      </c>
      <c r="E3410">
        <v>6.1883417326860819E-3</v>
      </c>
      <c r="F3410">
        <f t="shared" si="112"/>
        <v>-1.429846351457803E-2</v>
      </c>
      <c r="G3410">
        <f t="shared" si="113"/>
        <v>-2.2518351975801654E-2</v>
      </c>
    </row>
    <row r="3411" spans="1:7" x14ac:dyDescent="0.35">
      <c r="A3411" t="s">
        <v>179</v>
      </c>
      <c r="E3411">
        <v>5.1656422720821431E-3</v>
      </c>
      <c r="F3411">
        <f t="shared" si="112"/>
        <v>-1.4300447273375925E-2</v>
      </c>
      <c r="G3411">
        <f t="shared" si="113"/>
        <v>-2.2518351975801654E-2</v>
      </c>
    </row>
    <row r="3412" spans="1:7" x14ac:dyDescent="0.35">
      <c r="A3412" t="s">
        <v>179</v>
      </c>
      <c r="E3412">
        <v>-3.4945652392993349E-3</v>
      </c>
      <c r="F3412">
        <f t="shared" si="112"/>
        <v>-1.4302431032173822E-2</v>
      </c>
      <c r="G3412">
        <f t="shared" si="113"/>
        <v>-2.2518351975801654E-2</v>
      </c>
    </row>
    <row r="3413" spans="1:7" x14ac:dyDescent="0.35">
      <c r="A3413" t="s">
        <v>179</v>
      </c>
      <c r="E3413">
        <v>-4.1877861202135307E-3</v>
      </c>
      <c r="F3413">
        <f t="shared" si="112"/>
        <v>-1.4304414790971718E-2</v>
      </c>
      <c r="G3413">
        <f t="shared" si="113"/>
        <v>-2.2518351975801654E-2</v>
      </c>
    </row>
    <row r="3414" spans="1:7" x14ac:dyDescent="0.35">
      <c r="A3414" t="s">
        <v>179</v>
      </c>
      <c r="E3414">
        <v>1.1850469417462477E-2</v>
      </c>
      <c r="F3414">
        <f t="shared" si="112"/>
        <v>-1.4306398549769615E-2</v>
      </c>
      <c r="G3414">
        <f t="shared" si="113"/>
        <v>-2.2518351975801654E-2</v>
      </c>
    </row>
    <row r="3415" spans="1:7" x14ac:dyDescent="0.35">
      <c r="A3415" t="s">
        <v>179</v>
      </c>
      <c r="E3415">
        <v>9.5524195657658052E-3</v>
      </c>
      <c r="F3415">
        <f t="shared" si="112"/>
        <v>-1.4308382308567512E-2</v>
      </c>
      <c r="G3415">
        <f t="shared" si="113"/>
        <v>-2.2518351975801654E-2</v>
      </c>
    </row>
    <row r="3416" spans="1:7" x14ac:dyDescent="0.35">
      <c r="A3416" t="s">
        <v>179</v>
      </c>
      <c r="E3416">
        <v>-1.4013232417280674E-2</v>
      </c>
      <c r="F3416">
        <f t="shared" si="112"/>
        <v>-1.4310366067365408E-2</v>
      </c>
      <c r="G3416">
        <f t="shared" si="113"/>
        <v>-2.2518351975801654E-2</v>
      </c>
    </row>
    <row r="3417" spans="1:7" x14ac:dyDescent="0.35">
      <c r="A3417" t="s">
        <v>179</v>
      </c>
      <c r="E3417">
        <v>8.2152679459326493E-4</v>
      </c>
      <c r="F3417">
        <f t="shared" si="112"/>
        <v>-1.4312349826163305E-2</v>
      </c>
      <c r="G3417">
        <f t="shared" si="113"/>
        <v>-2.2518351975801654E-2</v>
      </c>
    </row>
    <row r="3418" spans="1:7" x14ac:dyDescent="0.35">
      <c r="A3418" t="s">
        <v>179</v>
      </c>
      <c r="E3418">
        <v>6.6612577463000672E-3</v>
      </c>
      <c r="F3418">
        <f t="shared" si="112"/>
        <v>-1.4314333584961201E-2</v>
      </c>
      <c r="G3418">
        <f t="shared" si="113"/>
        <v>-2.2518351975801654E-2</v>
      </c>
    </row>
    <row r="3419" spans="1:7" x14ac:dyDescent="0.35">
      <c r="A3419" t="s">
        <v>179</v>
      </c>
      <c r="E3419">
        <v>-1.6073565902909717E-2</v>
      </c>
      <c r="F3419">
        <f t="shared" si="112"/>
        <v>-1.4316317343759098E-2</v>
      </c>
      <c r="G3419">
        <f t="shared" si="113"/>
        <v>-2.2518351975801654E-2</v>
      </c>
    </row>
    <row r="3420" spans="1:7" x14ac:dyDescent="0.35">
      <c r="A3420" t="s">
        <v>179</v>
      </c>
      <c r="E3420">
        <v>-4.0392534250335704E-3</v>
      </c>
      <c r="F3420">
        <f t="shared" si="112"/>
        <v>-1.4278625926599064E-2</v>
      </c>
      <c r="G3420">
        <f t="shared" si="113"/>
        <v>-2.2428604976986122E-2</v>
      </c>
    </row>
    <row r="3421" spans="1:7" x14ac:dyDescent="0.35">
      <c r="A3421" t="s">
        <v>179</v>
      </c>
      <c r="E3421">
        <v>-8.5179462089635949E-3</v>
      </c>
      <c r="F3421">
        <f t="shared" si="112"/>
        <v>-1.4280609685396961E-2</v>
      </c>
      <c r="G3421">
        <f t="shared" si="113"/>
        <v>-2.2857551242795971E-2</v>
      </c>
    </row>
    <row r="3422" spans="1:7" x14ac:dyDescent="0.35">
      <c r="A3422" t="s">
        <v>179</v>
      </c>
      <c r="E3422">
        <v>-7.023602782118399E-3</v>
      </c>
      <c r="F3422">
        <f t="shared" si="112"/>
        <v>-1.4282593444194858E-2</v>
      </c>
      <c r="G3422">
        <f t="shared" si="113"/>
        <v>-2.2857551242795971E-2</v>
      </c>
    </row>
    <row r="3423" spans="1:7" x14ac:dyDescent="0.35">
      <c r="A3423" t="s">
        <v>179</v>
      </c>
      <c r="E3423">
        <v>-3.1528770971378772E-4</v>
      </c>
      <c r="F3423">
        <f t="shared" si="112"/>
        <v>-1.4284577202992754E-2</v>
      </c>
      <c r="G3423">
        <f t="shared" si="113"/>
        <v>-2.2857551242795971E-2</v>
      </c>
    </row>
    <row r="3424" spans="1:7" x14ac:dyDescent="0.35">
      <c r="A3424" t="s">
        <v>179</v>
      </c>
      <c r="E3424">
        <v>6.2658657233545505E-3</v>
      </c>
      <c r="F3424">
        <f t="shared" si="112"/>
        <v>-1.4286560961790651E-2</v>
      </c>
      <c r="G3424">
        <f t="shared" si="113"/>
        <v>-2.2857551242795971E-2</v>
      </c>
    </row>
    <row r="3425" spans="1:7" x14ac:dyDescent="0.35">
      <c r="A3425" t="s">
        <v>179</v>
      </c>
      <c r="E3425">
        <v>2.6411640959488258E-3</v>
      </c>
      <c r="F3425">
        <f t="shared" si="112"/>
        <v>-1.4288544720588547E-2</v>
      </c>
      <c r="G3425">
        <f t="shared" si="113"/>
        <v>-2.2857551242795971E-2</v>
      </c>
    </row>
    <row r="3426" spans="1:7" x14ac:dyDescent="0.35">
      <c r="A3426" t="s">
        <v>180</v>
      </c>
      <c r="B3426" s="3" cm="1">
        <f t="array" ref="B3426">_xlfn.STDEV.S(_xlfn._xlws.FILTER($E$2826:$E$3824, $A$2826:$A$3824="2023-10"))</f>
        <v>8.7679579811230559E-3</v>
      </c>
      <c r="C3426" s="3" cm="1">
        <f t="array" ref="C3426">AVERAGE(_xlfn._xlws.FILTER($E$2826:$E$3824, $A$2826:$A$3824="2023-10"))</f>
        <v>-1.617323831161039E-3</v>
      </c>
      <c r="D3426" s="3" cm="1">
        <f t="array" ref="D3426">_xlfn.PERCENTILE.EXC(_xlfn._xlws.FILTER($E$2490:$E$3818, $A$2490:$A$3818="2023-10"), 0.05)</f>
        <v>-1.5160106940520723E-2</v>
      </c>
      <c r="E3426">
        <v>-9.4204687041289353E-3</v>
      </c>
      <c r="F3426">
        <f t="shared" si="112"/>
        <v>-1.4290528479386444E-2</v>
      </c>
      <c r="G3426">
        <f t="shared" si="113"/>
        <v>-2.2857551242795971E-2</v>
      </c>
    </row>
    <row r="3427" spans="1:7" x14ac:dyDescent="0.35">
      <c r="A3427" t="s">
        <v>180</v>
      </c>
      <c r="E3427">
        <v>-1.0111559781580837E-2</v>
      </c>
      <c r="F3427">
        <f t="shared" si="112"/>
        <v>-1.4292512238184341E-2</v>
      </c>
      <c r="G3427">
        <f t="shared" si="113"/>
        <v>-2.2857551242795971E-2</v>
      </c>
    </row>
    <row r="3428" spans="1:7" x14ac:dyDescent="0.35">
      <c r="A3428" t="s">
        <v>180</v>
      </c>
      <c r="E3428">
        <v>-4.5734604953937225E-5</v>
      </c>
      <c r="F3428">
        <f t="shared" si="112"/>
        <v>-1.4294495996982237E-2</v>
      </c>
      <c r="G3428">
        <f t="shared" si="113"/>
        <v>-2.2857551242795971E-2</v>
      </c>
    </row>
    <row r="3429" spans="1:7" x14ac:dyDescent="0.35">
      <c r="A3429" t="s">
        <v>180</v>
      </c>
      <c r="E3429">
        <v>2.1722074715027273E-4</v>
      </c>
      <c r="F3429">
        <f t="shared" si="112"/>
        <v>-1.4296479755780134E-2</v>
      </c>
      <c r="G3429">
        <f t="shared" si="113"/>
        <v>-2.2857551242795971E-2</v>
      </c>
    </row>
    <row r="3430" spans="1:7" x14ac:dyDescent="0.35">
      <c r="A3430" t="s">
        <v>180</v>
      </c>
      <c r="E3430">
        <v>8.8061799382674697E-3</v>
      </c>
      <c r="F3430">
        <f t="shared" si="112"/>
        <v>-1.429846351457803E-2</v>
      </c>
      <c r="G3430">
        <f t="shared" si="113"/>
        <v>-2.2857551242795971E-2</v>
      </c>
    </row>
    <row r="3431" spans="1:7" x14ac:dyDescent="0.35">
      <c r="A3431" t="s">
        <v>180</v>
      </c>
      <c r="E3431">
        <v>-5.5036693847801445E-3</v>
      </c>
      <c r="F3431">
        <f t="shared" si="112"/>
        <v>-1.4300447273375925E-2</v>
      </c>
      <c r="G3431">
        <f t="shared" si="113"/>
        <v>-2.2857551242795971E-2</v>
      </c>
    </row>
    <row r="3432" spans="1:7" x14ac:dyDescent="0.35">
      <c r="A3432" t="s">
        <v>180</v>
      </c>
      <c r="E3432">
        <v>1.988668051560023E-2</v>
      </c>
      <c r="F3432">
        <f t="shared" si="112"/>
        <v>-1.4302431032173822E-2</v>
      </c>
      <c r="G3432">
        <f t="shared" si="113"/>
        <v>-2.2857551242795971E-2</v>
      </c>
    </row>
    <row r="3433" spans="1:7" x14ac:dyDescent="0.35">
      <c r="A3433" t="s">
        <v>180</v>
      </c>
      <c r="E3433">
        <v>-4.3683833714854093E-3</v>
      </c>
      <c r="F3433">
        <f t="shared" si="112"/>
        <v>-1.4304414790971718E-2</v>
      </c>
      <c r="G3433">
        <f t="shared" si="113"/>
        <v>-2.2857551242795971E-2</v>
      </c>
    </row>
    <row r="3434" spans="1:7" x14ac:dyDescent="0.35">
      <c r="A3434" t="s">
        <v>180</v>
      </c>
      <c r="E3434">
        <v>-3.7483167348596495E-3</v>
      </c>
      <c r="F3434">
        <f t="shared" si="112"/>
        <v>-1.4306398549769615E-2</v>
      </c>
      <c r="G3434">
        <f t="shared" si="113"/>
        <v>-2.2857551242795971E-2</v>
      </c>
    </row>
    <row r="3435" spans="1:7" x14ac:dyDescent="0.35">
      <c r="A3435" t="s">
        <v>180</v>
      </c>
      <c r="E3435">
        <v>-1.4318301102556994E-2</v>
      </c>
      <c r="F3435">
        <f t="shared" si="112"/>
        <v>-1.4308382308567512E-2</v>
      </c>
      <c r="G3435">
        <f t="shared" si="113"/>
        <v>-2.2857551242795971E-2</v>
      </c>
    </row>
    <row r="3436" spans="1:7" x14ac:dyDescent="0.35">
      <c r="A3436" t="s">
        <v>180</v>
      </c>
      <c r="E3436">
        <v>2.6608275381804552E-3</v>
      </c>
      <c r="F3436">
        <f t="shared" si="112"/>
        <v>-1.423936915284761E-2</v>
      </c>
      <c r="G3436">
        <f t="shared" si="113"/>
        <v>-2.2855463075640289E-2</v>
      </c>
    </row>
    <row r="3437" spans="1:7" x14ac:dyDescent="0.35">
      <c r="A3437" t="s">
        <v>180</v>
      </c>
      <c r="E3437">
        <v>1.0688954603313538E-3</v>
      </c>
      <c r="F3437">
        <f t="shared" si="112"/>
        <v>-1.4249183346285473E-2</v>
      </c>
      <c r="G3437">
        <f t="shared" si="113"/>
        <v>-2.2855463075640289E-2</v>
      </c>
    </row>
    <row r="3438" spans="1:7" x14ac:dyDescent="0.35">
      <c r="A3438" t="s">
        <v>180</v>
      </c>
      <c r="E3438">
        <v>-9.1042942600932722E-3</v>
      </c>
      <c r="F3438">
        <f t="shared" si="112"/>
        <v>-1.4258997539723338E-2</v>
      </c>
      <c r="G3438">
        <f t="shared" si="113"/>
        <v>-2.2855463075640289E-2</v>
      </c>
    </row>
    <row r="3439" spans="1:7" x14ac:dyDescent="0.35">
      <c r="A3439" t="s">
        <v>180</v>
      </c>
      <c r="E3439">
        <v>-6.4260094853529331E-3</v>
      </c>
      <c r="F3439">
        <f t="shared" si="112"/>
        <v>-1.4268811733161201E-2</v>
      </c>
      <c r="G3439">
        <f t="shared" si="113"/>
        <v>-2.2855463075640289E-2</v>
      </c>
    </row>
    <row r="3440" spans="1:7" x14ac:dyDescent="0.35">
      <c r="A3440" t="s">
        <v>180</v>
      </c>
      <c r="E3440">
        <v>-1.5308660911926087E-2</v>
      </c>
      <c r="F3440">
        <f t="shared" si="112"/>
        <v>-1.4278625926599064E-2</v>
      </c>
      <c r="G3440">
        <f t="shared" si="113"/>
        <v>-2.2855463075640289E-2</v>
      </c>
    </row>
    <row r="3441" spans="1:7" x14ac:dyDescent="0.35">
      <c r="A3441" t="s">
        <v>180</v>
      </c>
      <c r="E3441">
        <v>5.0121970576174407E-3</v>
      </c>
      <c r="F3441">
        <f t="shared" si="112"/>
        <v>-1.4092156251279657E-2</v>
      </c>
      <c r="G3441">
        <f t="shared" si="113"/>
        <v>-2.3274729862513298E-2</v>
      </c>
    </row>
    <row r="3442" spans="1:7" x14ac:dyDescent="0.35">
      <c r="A3442" t="s">
        <v>180</v>
      </c>
      <c r="E3442">
        <v>6.2834349623986192E-3</v>
      </c>
      <c r="F3442">
        <f t="shared" si="112"/>
        <v>-1.410197044471752E-2</v>
      </c>
      <c r="G3442">
        <f t="shared" si="113"/>
        <v>-2.3274729862513298E-2</v>
      </c>
    </row>
    <row r="3443" spans="1:7" x14ac:dyDescent="0.35">
      <c r="A3443" t="s">
        <v>180</v>
      </c>
      <c r="E3443">
        <v>3.1023899652258364E-3</v>
      </c>
      <c r="F3443">
        <f t="shared" si="112"/>
        <v>-1.4111784638155383E-2</v>
      </c>
      <c r="G3443">
        <f t="shared" si="113"/>
        <v>-2.3274729862513298E-2</v>
      </c>
    </row>
    <row r="3444" spans="1:7" x14ac:dyDescent="0.35">
      <c r="A3444" t="s">
        <v>180</v>
      </c>
      <c r="E3444">
        <v>-3.7829577504310458E-3</v>
      </c>
      <c r="F3444">
        <f t="shared" si="112"/>
        <v>-1.4121598831593248E-2</v>
      </c>
      <c r="G3444">
        <f t="shared" si="113"/>
        <v>-2.3274729862513298E-2</v>
      </c>
    </row>
    <row r="3445" spans="1:7" x14ac:dyDescent="0.35">
      <c r="A3445" t="s">
        <v>180</v>
      </c>
      <c r="E3445">
        <v>-1.3677160723649971E-2</v>
      </c>
      <c r="F3445">
        <f t="shared" si="112"/>
        <v>-1.4131413025031112E-2</v>
      </c>
      <c r="G3445">
        <f t="shared" si="113"/>
        <v>-2.3274729862513298E-2</v>
      </c>
    </row>
    <row r="3446" spans="1:7" x14ac:dyDescent="0.35">
      <c r="A3446" t="s">
        <v>180</v>
      </c>
      <c r="E3446">
        <v>4.3596279160932998E-3</v>
      </c>
      <c r="F3446">
        <f t="shared" si="112"/>
        <v>-1.4141227218468975E-2</v>
      </c>
      <c r="G3446">
        <f t="shared" si="113"/>
        <v>-2.3274729862513298E-2</v>
      </c>
    </row>
    <row r="3447" spans="1:7" x14ac:dyDescent="0.35">
      <c r="A3447" t="s">
        <v>180</v>
      </c>
      <c r="E3447">
        <v>8.8369384293913739E-3</v>
      </c>
      <c r="F3447">
        <f t="shared" si="112"/>
        <v>-1.4151041411906838E-2</v>
      </c>
      <c r="G3447">
        <f t="shared" si="113"/>
        <v>-2.3274729862513298E-2</v>
      </c>
    </row>
    <row r="3448" spans="1:7" x14ac:dyDescent="0.35">
      <c r="A3448" t="s">
        <v>181</v>
      </c>
      <c r="B3448" s="3" cm="1">
        <f t="array" ref="B3448">_xlfn.STDEV.S(_xlfn._xlws.FILTER($E$2826:$E$3824, $A$2826:$A$3824="2023-11"))</f>
        <v>6.8208281678384872E-3</v>
      </c>
      <c r="C3448" s="3" cm="1">
        <f t="array" ref="C3448">AVERAGE(_xlfn._xlws.FILTER($E$2826:$E$3824, $A$2826:$A$3824="2023-11"))</f>
        <v>2.7231394324351644E-3</v>
      </c>
      <c r="D3448" s="3" cm="1">
        <f t="array" ref="D3448">_xlfn.PERCENTILE.EXC(_xlfn._xlws.FILTER($E$2490:$E$3818, $A$2490:$A$3818="2023-11"), 0.05)</f>
        <v>-9.0989548439909078E-3</v>
      </c>
      <c r="E3448">
        <v>6.7997147277769456E-3</v>
      </c>
      <c r="F3448">
        <f t="shared" si="112"/>
        <v>-1.4160855605344701E-2</v>
      </c>
      <c r="G3448">
        <f t="shared" si="113"/>
        <v>-2.3274729862513298E-2</v>
      </c>
    </row>
    <row r="3449" spans="1:7" x14ac:dyDescent="0.35">
      <c r="A3449" t="s">
        <v>181</v>
      </c>
      <c r="E3449">
        <v>1.8303529854719437E-2</v>
      </c>
      <c r="F3449">
        <f t="shared" si="112"/>
        <v>-1.4170669798782565E-2</v>
      </c>
      <c r="G3449">
        <f t="shared" si="113"/>
        <v>-2.3274729862513298E-2</v>
      </c>
    </row>
    <row r="3450" spans="1:7" x14ac:dyDescent="0.35">
      <c r="A3450" t="s">
        <v>181</v>
      </c>
      <c r="E3450">
        <v>-1.8698364344402743E-3</v>
      </c>
      <c r="F3450">
        <f t="shared" si="112"/>
        <v>-1.4180483992220428E-2</v>
      </c>
      <c r="G3450">
        <f t="shared" si="113"/>
        <v>-2.3274729862513298E-2</v>
      </c>
    </row>
    <row r="3451" spans="1:7" x14ac:dyDescent="0.35">
      <c r="A3451" t="s">
        <v>181</v>
      </c>
      <c r="E3451">
        <v>-4.8032874687663025E-3</v>
      </c>
      <c r="F3451">
        <f t="shared" si="112"/>
        <v>-1.4190298185658293E-2</v>
      </c>
      <c r="G3451">
        <f t="shared" si="113"/>
        <v>-2.3274729862513298E-2</v>
      </c>
    </row>
    <row r="3452" spans="1:7" x14ac:dyDescent="0.35">
      <c r="A3452" t="s">
        <v>181</v>
      </c>
      <c r="E3452">
        <v>-3.9285877058389783E-3</v>
      </c>
      <c r="F3452">
        <f t="shared" si="112"/>
        <v>-1.4200112379096156E-2</v>
      </c>
      <c r="G3452">
        <f t="shared" si="113"/>
        <v>-2.3274729862513298E-2</v>
      </c>
    </row>
    <row r="3453" spans="1:7" x14ac:dyDescent="0.35">
      <c r="A3453" t="s">
        <v>181</v>
      </c>
      <c r="E3453">
        <v>6.8372116206484408E-3</v>
      </c>
      <c r="F3453">
        <f t="shared" si="112"/>
        <v>-1.420992657253402E-2</v>
      </c>
      <c r="G3453">
        <f t="shared" si="113"/>
        <v>-2.3274729862513298E-2</v>
      </c>
    </row>
    <row r="3454" spans="1:7" x14ac:dyDescent="0.35">
      <c r="A3454" t="s">
        <v>181</v>
      </c>
      <c r="E3454">
        <v>1.123859884790428E-2</v>
      </c>
      <c r="F3454">
        <f t="shared" si="112"/>
        <v>-1.4219740765971883E-2</v>
      </c>
      <c r="G3454">
        <f t="shared" si="113"/>
        <v>-2.3274729862513298E-2</v>
      </c>
    </row>
    <row r="3455" spans="1:7" x14ac:dyDescent="0.35">
      <c r="A3455" t="s">
        <v>181</v>
      </c>
      <c r="E3455">
        <v>-9.693056179889423E-3</v>
      </c>
      <c r="F3455">
        <f t="shared" si="112"/>
        <v>-1.4229554959409746E-2</v>
      </c>
      <c r="G3455">
        <f t="shared" si="113"/>
        <v>-2.3274729862513298E-2</v>
      </c>
    </row>
    <row r="3456" spans="1:7" x14ac:dyDescent="0.35">
      <c r="A3456" t="s">
        <v>181</v>
      </c>
      <c r="E3456">
        <v>5.9467628778211296E-3</v>
      </c>
      <c r="F3456">
        <f t="shared" si="112"/>
        <v>-1.423936915284761E-2</v>
      </c>
      <c r="G3456">
        <f t="shared" si="113"/>
        <v>-2.3274729862513298E-2</v>
      </c>
    </row>
    <row r="3457" spans="1:7" x14ac:dyDescent="0.35">
      <c r="A3457" t="s">
        <v>181</v>
      </c>
      <c r="E3457">
        <v>1.3819570669218087E-2</v>
      </c>
      <c r="F3457">
        <f t="shared" si="112"/>
        <v>-1.4249183346285473E-2</v>
      </c>
      <c r="G3457">
        <f t="shared" si="113"/>
        <v>-2.3274729862513298E-2</v>
      </c>
    </row>
    <row r="3458" spans="1:7" x14ac:dyDescent="0.35">
      <c r="A3458" t="s">
        <v>181</v>
      </c>
      <c r="E3458">
        <v>3.3247016271013958E-3</v>
      </c>
      <c r="F3458">
        <f t="shared" si="112"/>
        <v>-1.4258997539723338E-2</v>
      </c>
      <c r="G3458">
        <f t="shared" si="113"/>
        <v>-2.3274729862513298E-2</v>
      </c>
    </row>
    <row r="3459" spans="1:7" x14ac:dyDescent="0.35">
      <c r="A3459" t="s">
        <v>181</v>
      </c>
      <c r="E3459">
        <v>-5.7323806072326587E-3</v>
      </c>
      <c r="F3459">
        <f t="shared" si="112"/>
        <v>-1.4268811733161201E-2</v>
      </c>
      <c r="G3459">
        <f t="shared" si="113"/>
        <v>-2.3274729862513298E-2</v>
      </c>
    </row>
    <row r="3460" spans="1:7" x14ac:dyDescent="0.35">
      <c r="A3460" t="s">
        <v>181</v>
      </c>
      <c r="E3460">
        <v>9.0972145157622517E-3</v>
      </c>
      <c r="F3460">
        <f t="shared" ref="F3460:F3523" si="114">_xlfn.PERCENTILE.EXC(E3460:E7275,0.05)</f>
        <v>-1.4278625926599064E-2</v>
      </c>
      <c r="G3460">
        <f t="shared" ref="G3460:G3523" si="115">AVERAGEIFS(E3460:E7276,E3460:E7276,"&lt;=" &amp; F3460)</f>
        <v>-2.3274729862513298E-2</v>
      </c>
    </row>
    <row r="3461" spans="1:7" x14ac:dyDescent="0.35">
      <c r="A3461" t="s">
        <v>181</v>
      </c>
      <c r="E3461">
        <v>1.7982387083240968E-3</v>
      </c>
      <c r="F3461">
        <f t="shared" si="114"/>
        <v>-1.4324726653272052E-2</v>
      </c>
      <c r="G3461">
        <f t="shared" si="115"/>
        <v>-2.3803912446978843E-2</v>
      </c>
    </row>
    <row r="3462" spans="1:7" x14ac:dyDescent="0.35">
      <c r="A3462" t="s">
        <v>181</v>
      </c>
      <c r="E3462">
        <v>-2.4149695566700125E-3</v>
      </c>
      <c r="F3462">
        <f t="shared" si="114"/>
        <v>-1.4370827379945036E-2</v>
      </c>
      <c r="G3462">
        <f t="shared" si="115"/>
        <v>-2.3803912446978843E-2</v>
      </c>
    </row>
    <row r="3463" spans="1:7" x14ac:dyDescent="0.35">
      <c r="A3463" t="s">
        <v>181</v>
      </c>
      <c r="E3463">
        <v>4.3174133914698175E-3</v>
      </c>
      <c r="F3463">
        <f t="shared" si="114"/>
        <v>-1.4416928106618024E-2</v>
      </c>
      <c r="G3463">
        <f t="shared" si="115"/>
        <v>-2.3803912446978843E-2</v>
      </c>
    </row>
    <row r="3464" spans="1:7" x14ac:dyDescent="0.35">
      <c r="A3464" t="s">
        <v>181</v>
      </c>
      <c r="E3464">
        <v>2.3661063708015299E-3</v>
      </c>
      <c r="F3464">
        <f t="shared" si="114"/>
        <v>-1.4463028833291012E-2</v>
      </c>
      <c r="G3464">
        <f t="shared" si="115"/>
        <v>-2.3803912446978843E-2</v>
      </c>
    </row>
    <row r="3465" spans="1:7" x14ac:dyDescent="0.35">
      <c r="A3465" t="s">
        <v>181</v>
      </c>
      <c r="E3465">
        <v>2.0410789524440602E-3</v>
      </c>
      <c r="F3465">
        <f t="shared" si="114"/>
        <v>-1.4509129559964E-2</v>
      </c>
      <c r="G3465">
        <f t="shared" si="115"/>
        <v>-2.3803912446978843E-2</v>
      </c>
    </row>
    <row r="3466" spans="1:7" x14ac:dyDescent="0.35">
      <c r="A3466" t="s">
        <v>181</v>
      </c>
      <c r="E3466">
        <v>-3.7518186593272608E-3</v>
      </c>
      <c r="F3466">
        <f t="shared" si="114"/>
        <v>-1.4555230286636987E-2</v>
      </c>
      <c r="G3466">
        <f t="shared" si="115"/>
        <v>-2.3803912446978843E-2</v>
      </c>
    </row>
    <row r="3467" spans="1:7" x14ac:dyDescent="0.35">
      <c r="A3467" t="s">
        <v>181</v>
      </c>
      <c r="E3467">
        <v>-2.1163416695937323E-3</v>
      </c>
      <c r="F3467">
        <f t="shared" si="114"/>
        <v>-1.4601331013309972E-2</v>
      </c>
      <c r="G3467">
        <f t="shared" si="115"/>
        <v>-2.3803912446978843E-2</v>
      </c>
    </row>
    <row r="3468" spans="1:7" x14ac:dyDescent="0.35">
      <c r="A3468" t="s">
        <v>181</v>
      </c>
      <c r="E3468">
        <v>2.4122173709306741E-3</v>
      </c>
      <c r="F3468">
        <f t="shared" si="114"/>
        <v>-1.4647431739982959E-2</v>
      </c>
      <c r="G3468">
        <f t="shared" si="115"/>
        <v>-2.3803912446978843E-2</v>
      </c>
    </row>
    <row r="3469" spans="1:7" x14ac:dyDescent="0.35">
      <c r="A3469" t="s">
        <v>181</v>
      </c>
      <c r="E3469">
        <v>5.9169862604101231E-3</v>
      </c>
      <c r="F3469">
        <f t="shared" si="114"/>
        <v>-1.4693532466655947E-2</v>
      </c>
      <c r="G3469">
        <f t="shared" si="115"/>
        <v>-2.3803912446978843E-2</v>
      </c>
    </row>
    <row r="3470" spans="1:7" x14ac:dyDescent="0.35">
      <c r="A3470" t="s">
        <v>182</v>
      </c>
      <c r="B3470" s="3" cm="1">
        <f t="array" ref="B3470">_xlfn.STDEV.S(_xlfn._xlws.FILTER($E$2826:$E$3824, $A$2826:$A$3824="2023-12"))</f>
        <v>4.3899074379488475E-3</v>
      </c>
      <c r="C3470" s="3" cm="1">
        <f t="array" ref="C3470">AVERAGE(_xlfn._xlws.FILTER($E$2826:$E$3824, $A$2826:$A$3824="2023-12"))</f>
        <v>1.647117915764968E-3</v>
      </c>
      <c r="D3470" s="3" cm="1">
        <f t="array" ref="D3470">_xlfn.PERCENTILE.EXC(_xlfn._xlws.FILTER($E$2490:$E$3818, $A$2490:$A$3818="2023-12"), 0.05)</f>
        <v>-4.853395180486832E-3</v>
      </c>
      <c r="E3470">
        <v>4.8277630931535739E-3</v>
      </c>
      <c r="F3470">
        <f t="shared" si="114"/>
        <v>-1.4739633193328935E-2</v>
      </c>
      <c r="G3470">
        <f t="shared" si="115"/>
        <v>-2.3803912446978843E-2</v>
      </c>
    </row>
    <row r="3471" spans="1:7" x14ac:dyDescent="0.35">
      <c r="A3471" t="s">
        <v>182</v>
      </c>
      <c r="E3471">
        <v>-1.8475705485993341E-3</v>
      </c>
      <c r="F3471">
        <f t="shared" si="114"/>
        <v>-1.4785733920001922E-2</v>
      </c>
      <c r="G3471">
        <f t="shared" si="115"/>
        <v>-2.3803912446978843E-2</v>
      </c>
    </row>
    <row r="3472" spans="1:7" x14ac:dyDescent="0.35">
      <c r="A3472" t="s">
        <v>182</v>
      </c>
      <c r="E3472">
        <v>7.3915488999576444E-3</v>
      </c>
      <c r="F3472">
        <f t="shared" si="114"/>
        <v>-1.4831834646674907E-2</v>
      </c>
      <c r="G3472">
        <f t="shared" si="115"/>
        <v>-2.3803912446978843E-2</v>
      </c>
    </row>
    <row r="3473" spans="1:7" x14ac:dyDescent="0.35">
      <c r="A3473" t="s">
        <v>182</v>
      </c>
      <c r="E3473">
        <v>6.6113802330966037E-3</v>
      </c>
      <c r="F3473">
        <f t="shared" si="114"/>
        <v>-1.4877935373347894E-2</v>
      </c>
      <c r="G3473">
        <f t="shared" si="115"/>
        <v>-2.3803912446978843E-2</v>
      </c>
    </row>
    <row r="3474" spans="1:7" x14ac:dyDescent="0.35">
      <c r="A3474" t="s">
        <v>182</v>
      </c>
      <c r="E3474">
        <v>-1.0050786240297952E-3</v>
      </c>
      <c r="F3474">
        <f t="shared" si="114"/>
        <v>-1.4924036100020882E-2</v>
      </c>
      <c r="G3474">
        <f t="shared" si="115"/>
        <v>-2.3803912446978843E-2</v>
      </c>
    </row>
    <row r="3475" spans="1:7" x14ac:dyDescent="0.35">
      <c r="A3475" t="s">
        <v>182</v>
      </c>
      <c r="E3475">
        <v>1.3110123065176893E-2</v>
      </c>
      <c r="F3475">
        <f t="shared" si="114"/>
        <v>-1.497013682669387E-2</v>
      </c>
      <c r="G3475">
        <f t="shared" si="115"/>
        <v>-2.3803912446978843E-2</v>
      </c>
    </row>
    <row r="3476" spans="1:7" x14ac:dyDescent="0.35">
      <c r="A3476" t="s">
        <v>182</v>
      </c>
      <c r="E3476">
        <v>3.3134222466162013E-3</v>
      </c>
      <c r="F3476">
        <f t="shared" si="114"/>
        <v>-1.5016237553366858E-2</v>
      </c>
      <c r="G3476">
        <f t="shared" si="115"/>
        <v>-2.3803912446978843E-2</v>
      </c>
    </row>
    <row r="3477" spans="1:7" x14ac:dyDescent="0.35">
      <c r="A3477" t="s">
        <v>182</v>
      </c>
      <c r="E3477">
        <v>-1.0572982380204772E-3</v>
      </c>
      <c r="F3477">
        <f t="shared" si="114"/>
        <v>-1.5062338280039842E-2</v>
      </c>
      <c r="G3477">
        <f t="shared" si="115"/>
        <v>-2.3803912446978843E-2</v>
      </c>
    </row>
    <row r="3478" spans="1:7" x14ac:dyDescent="0.35">
      <c r="A3478" t="s">
        <v>182</v>
      </c>
      <c r="E3478">
        <v>-1.6358462184938418E-3</v>
      </c>
      <c r="F3478">
        <f t="shared" si="114"/>
        <v>-1.5108439006712829E-2</v>
      </c>
      <c r="G3478">
        <f t="shared" si="115"/>
        <v>-2.3803912446978843E-2</v>
      </c>
    </row>
    <row r="3479" spans="1:7" x14ac:dyDescent="0.35">
      <c r="A3479" t="s">
        <v>182</v>
      </c>
      <c r="E3479">
        <v>5.9085090408417902E-3</v>
      </c>
      <c r="F3479">
        <f t="shared" si="114"/>
        <v>-1.5154539733385817E-2</v>
      </c>
      <c r="G3479">
        <f t="shared" si="115"/>
        <v>-2.3803912446978843E-2</v>
      </c>
    </row>
    <row r="3480" spans="1:7" x14ac:dyDescent="0.35">
      <c r="A3480" t="s">
        <v>182</v>
      </c>
      <c r="E3480">
        <v>2.7760293479395784E-3</v>
      </c>
      <c r="F3480">
        <f t="shared" si="114"/>
        <v>-1.5200640460058805E-2</v>
      </c>
      <c r="G3480">
        <f t="shared" si="115"/>
        <v>-2.3803912446978843E-2</v>
      </c>
    </row>
    <row r="3481" spans="1:7" x14ac:dyDescent="0.35">
      <c r="A3481" t="s">
        <v>182</v>
      </c>
      <c r="E3481">
        <v>-3.6991240121954966E-3</v>
      </c>
      <c r="F3481">
        <f t="shared" si="114"/>
        <v>-1.5202415406694592E-2</v>
      </c>
      <c r="G3481">
        <f t="shared" si="115"/>
        <v>-2.4341616946161344E-2</v>
      </c>
    </row>
    <row r="3482" spans="1:7" x14ac:dyDescent="0.35">
      <c r="A3482" t="s">
        <v>182</v>
      </c>
      <c r="E3482">
        <v>7.6732443295209909E-4</v>
      </c>
      <c r="F3482">
        <f t="shared" si="114"/>
        <v>-1.5204190353330376E-2</v>
      </c>
      <c r="G3482">
        <f t="shared" si="115"/>
        <v>-2.4341616946161344E-2</v>
      </c>
    </row>
    <row r="3483" spans="1:7" x14ac:dyDescent="0.35">
      <c r="A3483" t="s">
        <v>182</v>
      </c>
      <c r="E3483">
        <v>1.1558178103084715E-3</v>
      </c>
      <c r="F3483">
        <f t="shared" si="114"/>
        <v>-1.5205965299966163E-2</v>
      </c>
      <c r="G3483">
        <f t="shared" si="115"/>
        <v>-2.4341616946161344E-2</v>
      </c>
    </row>
    <row r="3484" spans="1:7" x14ac:dyDescent="0.35">
      <c r="A3484" t="s">
        <v>182</v>
      </c>
      <c r="E3484">
        <v>-1.5876129955686431E-3</v>
      </c>
      <c r="F3484">
        <f t="shared" si="114"/>
        <v>-1.5207740246601948E-2</v>
      </c>
      <c r="G3484">
        <f t="shared" si="115"/>
        <v>-2.4341616946161344E-2</v>
      </c>
    </row>
    <row r="3485" spans="1:7" x14ac:dyDescent="0.35">
      <c r="A3485" t="s">
        <v>182</v>
      </c>
      <c r="E3485">
        <v>-3.4081407337191563E-4</v>
      </c>
      <c r="F3485">
        <f t="shared" si="114"/>
        <v>-1.5209515193237735E-2</v>
      </c>
      <c r="G3485">
        <f t="shared" si="115"/>
        <v>-2.4341616946161344E-2</v>
      </c>
    </row>
    <row r="3486" spans="1:7" x14ac:dyDescent="0.35">
      <c r="A3486" t="s">
        <v>182</v>
      </c>
      <c r="E3486">
        <v>3.9628444230373726E-4</v>
      </c>
      <c r="F3486">
        <f t="shared" si="114"/>
        <v>-1.5211290139873521E-2</v>
      </c>
      <c r="G3486">
        <f t="shared" si="115"/>
        <v>-2.4341616946161344E-2</v>
      </c>
    </row>
    <row r="3487" spans="1:7" x14ac:dyDescent="0.35">
      <c r="A3487" t="s">
        <v>182</v>
      </c>
      <c r="E3487">
        <v>-4.853395180486832E-3</v>
      </c>
      <c r="F3487">
        <f t="shared" si="114"/>
        <v>-1.5213065086509306E-2</v>
      </c>
      <c r="G3487">
        <f t="shared" si="115"/>
        <v>-2.4341616946161344E-2</v>
      </c>
    </row>
    <row r="3488" spans="1:7" x14ac:dyDescent="0.35">
      <c r="A3488" t="s">
        <v>182</v>
      </c>
      <c r="E3488">
        <v>1.0637776779541363E-3</v>
      </c>
      <c r="F3488">
        <f t="shared" si="114"/>
        <v>-1.5214840033145093E-2</v>
      </c>
      <c r="G3488">
        <f t="shared" si="115"/>
        <v>-2.4341616946161344E-2</v>
      </c>
    </row>
    <row r="3489" spans="1:7" x14ac:dyDescent="0.35">
      <c r="A3489" t="s">
        <v>183</v>
      </c>
      <c r="B3489" s="3" cm="1">
        <f t="array" ref="B3489">_xlfn.STDEV.S(_xlfn._xlws.FILTER($E$2826:$E$3824, $A$2826:$A$3824="2024-01"))</f>
        <v>8.2529764908811469E-3</v>
      </c>
      <c r="C3489" s="3" cm="1">
        <f t="array" ref="C3489">AVERAGE(_xlfn._xlws.FILTER($E$2826:$E$3824, $A$2826:$A$3824="2024-01"))</f>
        <v>6.792621801779814E-4</v>
      </c>
      <c r="D3489" s="3" cm="1">
        <f t="array" ref="D3489">_xlfn.PERCENTILE.EXC(_xlfn._xlws.FILTER($E$2490:$E$3818, $A$2490:$A$3818="2024-01"), 0.05)</f>
        <v>-1.5155402868096008E-2</v>
      </c>
      <c r="E3489">
        <v>-1.6345986534684238E-3</v>
      </c>
      <c r="F3489">
        <f t="shared" si="114"/>
        <v>-1.5216614979780878E-2</v>
      </c>
      <c r="G3489">
        <f t="shared" si="115"/>
        <v>-2.4341616946161344E-2</v>
      </c>
    </row>
    <row r="3490" spans="1:7" x14ac:dyDescent="0.35">
      <c r="A3490" t="s">
        <v>183</v>
      </c>
      <c r="E3490">
        <v>-1.5927825162246976E-2</v>
      </c>
      <c r="F3490">
        <f t="shared" si="114"/>
        <v>-1.5218389926416664E-2</v>
      </c>
      <c r="G3490">
        <f t="shared" si="115"/>
        <v>-2.4341616946161344E-2</v>
      </c>
    </row>
    <row r="3491" spans="1:7" x14ac:dyDescent="0.35">
      <c r="A3491" t="s">
        <v>183</v>
      </c>
      <c r="E3491">
        <v>5.2171726190777985E-3</v>
      </c>
      <c r="F3491">
        <f t="shared" si="114"/>
        <v>-1.4785733920001922E-2</v>
      </c>
      <c r="G3491">
        <f t="shared" si="115"/>
        <v>-2.4296167902274585E-2</v>
      </c>
    </row>
    <row r="3492" spans="1:7" x14ac:dyDescent="0.35">
      <c r="A3492" t="s">
        <v>183</v>
      </c>
      <c r="E3492">
        <v>-4.0265478049886835E-3</v>
      </c>
      <c r="F3492">
        <f t="shared" si="114"/>
        <v>-1.4831834646674907E-2</v>
      </c>
      <c r="G3492">
        <f t="shared" si="115"/>
        <v>-2.4296167902274585E-2</v>
      </c>
    </row>
    <row r="3493" spans="1:7" x14ac:dyDescent="0.35">
      <c r="A3493" t="s">
        <v>183</v>
      </c>
      <c r="E3493">
        <v>3.9742018681287929E-3</v>
      </c>
      <c r="F3493">
        <f t="shared" si="114"/>
        <v>-1.4877935373347894E-2</v>
      </c>
      <c r="G3493">
        <f t="shared" si="115"/>
        <v>-2.4296167902274585E-2</v>
      </c>
    </row>
    <row r="3494" spans="1:7" x14ac:dyDescent="0.35">
      <c r="A3494" t="s">
        <v>183</v>
      </c>
      <c r="E3494">
        <v>-3.1754039289306987E-3</v>
      </c>
      <c r="F3494">
        <f t="shared" si="114"/>
        <v>-1.4924036100020882E-2</v>
      </c>
      <c r="G3494">
        <f t="shared" si="115"/>
        <v>-2.4296167902274585E-2</v>
      </c>
    </row>
    <row r="3495" spans="1:7" x14ac:dyDescent="0.35">
      <c r="A3495" t="s">
        <v>183</v>
      </c>
      <c r="E3495">
        <v>-7.2714052022627805E-5</v>
      </c>
      <c r="F3495">
        <f t="shared" si="114"/>
        <v>-1.497013682669387E-2</v>
      </c>
      <c r="G3495">
        <f t="shared" si="115"/>
        <v>-2.4296167902274585E-2</v>
      </c>
    </row>
    <row r="3496" spans="1:7" x14ac:dyDescent="0.35">
      <c r="A3496" t="s">
        <v>183</v>
      </c>
      <c r="E3496">
        <v>-5.1925024016189862E-3</v>
      </c>
      <c r="F3496">
        <f t="shared" si="114"/>
        <v>-1.5016237553366858E-2</v>
      </c>
      <c r="G3496">
        <f t="shared" si="115"/>
        <v>-2.4296167902274585E-2</v>
      </c>
    </row>
    <row r="3497" spans="1:7" x14ac:dyDescent="0.35">
      <c r="A3497" t="s">
        <v>183</v>
      </c>
      <c r="E3497">
        <v>1.0438558746386399E-2</v>
      </c>
      <c r="F3497">
        <f t="shared" si="114"/>
        <v>-1.5062338280039842E-2</v>
      </c>
      <c r="G3497">
        <f t="shared" si="115"/>
        <v>-2.4296167902274585E-2</v>
      </c>
    </row>
    <row r="3498" spans="1:7" x14ac:dyDescent="0.35">
      <c r="A3498" t="s">
        <v>183</v>
      </c>
      <c r="E3498">
        <v>-7.187050742971708E-3</v>
      </c>
      <c r="F3498">
        <f t="shared" si="114"/>
        <v>-1.5108439006712829E-2</v>
      </c>
      <c r="G3498">
        <f t="shared" si="115"/>
        <v>-2.4296167902274585E-2</v>
      </c>
    </row>
    <row r="3499" spans="1:7" x14ac:dyDescent="0.35">
      <c r="A3499" t="s">
        <v>183</v>
      </c>
      <c r="E3499">
        <v>-1.8474408482644688E-3</v>
      </c>
      <c r="F3499">
        <f t="shared" si="114"/>
        <v>-1.5154539733385817E-2</v>
      </c>
      <c r="G3499">
        <f t="shared" si="115"/>
        <v>-2.4296167902274585E-2</v>
      </c>
    </row>
    <row r="3500" spans="1:7" x14ac:dyDescent="0.35">
      <c r="A3500" t="s">
        <v>183</v>
      </c>
      <c r="E3500">
        <v>-1.0778343201240527E-2</v>
      </c>
      <c r="F3500">
        <f t="shared" si="114"/>
        <v>-1.5200640460058805E-2</v>
      </c>
      <c r="G3500">
        <f t="shared" si="115"/>
        <v>-2.4296167902274585E-2</v>
      </c>
    </row>
    <row r="3501" spans="1:7" x14ac:dyDescent="0.35">
      <c r="A3501" t="s">
        <v>183</v>
      </c>
      <c r="E3501">
        <v>1.1231065794762178E-2</v>
      </c>
      <c r="F3501">
        <f t="shared" si="114"/>
        <v>-1.5202415406694592E-2</v>
      </c>
      <c r="G3501">
        <f t="shared" si="115"/>
        <v>-2.4902536398422305E-2</v>
      </c>
    </row>
    <row r="3502" spans="1:7" x14ac:dyDescent="0.35">
      <c r="A3502" t="s">
        <v>183</v>
      </c>
      <c r="E3502">
        <v>-4.022210812363129E-3</v>
      </c>
      <c r="F3502">
        <f t="shared" si="114"/>
        <v>-1.5204190353330376E-2</v>
      </c>
      <c r="G3502">
        <f t="shared" si="115"/>
        <v>-2.4902536398422305E-2</v>
      </c>
    </row>
    <row r="3503" spans="1:7" x14ac:dyDescent="0.35">
      <c r="A3503" t="s">
        <v>183</v>
      </c>
      <c r="E3503">
        <v>5.6287344524762516E-3</v>
      </c>
      <c r="F3503">
        <f t="shared" si="114"/>
        <v>-1.5205965299966163E-2</v>
      </c>
      <c r="G3503">
        <f t="shared" si="115"/>
        <v>-2.4902536398422305E-2</v>
      </c>
    </row>
    <row r="3504" spans="1:7" x14ac:dyDescent="0.35">
      <c r="A3504" t="s">
        <v>183</v>
      </c>
      <c r="E3504">
        <v>-3.4064631363951124E-3</v>
      </c>
      <c r="F3504">
        <f t="shared" si="114"/>
        <v>-1.5207740246601948E-2</v>
      </c>
      <c r="G3504">
        <f t="shared" si="115"/>
        <v>-2.4902536398422305E-2</v>
      </c>
    </row>
    <row r="3505" spans="1:7" x14ac:dyDescent="0.35">
      <c r="A3505" t="s">
        <v>183</v>
      </c>
      <c r="E3505">
        <v>9.1083164483113498E-3</v>
      </c>
      <c r="F3505">
        <f t="shared" si="114"/>
        <v>-1.5209515193237735E-2</v>
      </c>
      <c r="G3505">
        <f t="shared" si="115"/>
        <v>-2.4902536398422305E-2</v>
      </c>
    </row>
    <row r="3506" spans="1:7" x14ac:dyDescent="0.35">
      <c r="A3506" t="s">
        <v>183</v>
      </c>
      <c r="E3506">
        <v>1.1474655142722596E-3</v>
      </c>
      <c r="F3506">
        <f t="shared" si="114"/>
        <v>-1.5211290139873521E-2</v>
      </c>
      <c r="G3506">
        <f t="shared" si="115"/>
        <v>-2.4902536398422305E-2</v>
      </c>
    </row>
    <row r="3507" spans="1:7" x14ac:dyDescent="0.35">
      <c r="A3507" t="s">
        <v>183</v>
      </c>
      <c r="E3507">
        <v>2.251203469448837E-2</v>
      </c>
      <c r="F3507">
        <f t="shared" si="114"/>
        <v>-1.5213065086509306E-2</v>
      </c>
      <c r="G3507">
        <f t="shared" si="115"/>
        <v>-2.4902536398422305E-2</v>
      </c>
    </row>
    <row r="3508" spans="1:7" x14ac:dyDescent="0.35">
      <c r="A3508" t="s">
        <v>183</v>
      </c>
      <c r="E3508">
        <v>8.7332533644081075E-4</v>
      </c>
      <c r="F3508">
        <f t="shared" si="114"/>
        <v>-1.5214840033145093E-2</v>
      </c>
      <c r="G3508">
        <f t="shared" si="115"/>
        <v>-2.4902536398422305E-2</v>
      </c>
    </row>
    <row r="3509" spans="1:7" x14ac:dyDescent="0.35">
      <c r="A3509" t="s">
        <v>183</v>
      </c>
      <c r="E3509">
        <v>4.786447302211486E-3</v>
      </c>
      <c r="F3509">
        <f t="shared" si="114"/>
        <v>-1.5216614979780878E-2</v>
      </c>
      <c r="G3509">
        <f t="shared" si="115"/>
        <v>-2.4902536398422305E-2</v>
      </c>
    </row>
    <row r="3510" spans="1:7" x14ac:dyDescent="0.35">
      <c r="A3510" t="s">
        <v>183</v>
      </c>
      <c r="E3510">
        <v>-2.7024540681287652E-3</v>
      </c>
      <c r="F3510">
        <f t="shared" si="114"/>
        <v>-1.5218389926416664E-2</v>
      </c>
      <c r="G3510">
        <f t="shared" si="115"/>
        <v>-2.4902536398422305E-2</v>
      </c>
    </row>
    <row r="3511" spans="1:7" x14ac:dyDescent="0.35">
      <c r="A3511" t="s">
        <v>184</v>
      </c>
      <c r="B3511" s="3" cm="1">
        <f t="array" ref="B3511">_xlfn.STDEV.S(_xlfn._xlws.FILTER($E$2826:$E$3824, $A$2826:$A$3824="2024-02"))</f>
        <v>5.6051455935215294E-3</v>
      </c>
      <c r="C3511" s="3" cm="1">
        <f t="array" ref="C3511">AVERAGE(_xlfn._xlws.FILTER($E$2826:$E$3824, $A$2826:$A$3824="2024-02"))</f>
        <v>1.6543469349622722E-3</v>
      </c>
      <c r="D3511" s="3" cm="1">
        <f t="array" ref="D3511">_xlfn.PERCENTILE.EXC(_xlfn._xlws.FILTER($E$2490:$E$3818, $A$2490:$A$3818="2024-02"), 0.05)</f>
        <v>-8.8708316425560735E-3</v>
      </c>
      <c r="E3511">
        <v>-8.920724272590639E-3</v>
      </c>
      <c r="F3511">
        <f t="shared" si="114"/>
        <v>-1.5220164873052451E-2</v>
      </c>
      <c r="G3511">
        <f t="shared" si="115"/>
        <v>-2.4902536398422305E-2</v>
      </c>
    </row>
    <row r="3512" spans="1:7" x14ac:dyDescent="0.35">
      <c r="A3512" t="s">
        <v>184</v>
      </c>
      <c r="E3512">
        <v>4.6241983406201031E-4</v>
      </c>
      <c r="F3512">
        <f t="shared" si="114"/>
        <v>-1.5221939819688236E-2</v>
      </c>
      <c r="G3512">
        <f t="shared" si="115"/>
        <v>-2.4902536398422305E-2</v>
      </c>
    </row>
    <row r="3513" spans="1:7" x14ac:dyDescent="0.35">
      <c r="A3513" t="s">
        <v>184</v>
      </c>
      <c r="E3513">
        <v>-3.0298599514374126E-4</v>
      </c>
      <c r="F3513">
        <f t="shared" si="114"/>
        <v>-1.5223714766324023E-2</v>
      </c>
      <c r="G3513">
        <f t="shared" si="115"/>
        <v>-2.4902536398422305E-2</v>
      </c>
    </row>
    <row r="3514" spans="1:7" x14ac:dyDescent="0.35">
      <c r="A3514" t="s">
        <v>184</v>
      </c>
      <c r="E3514">
        <v>6.436456034482012E-3</v>
      </c>
      <c r="F3514">
        <f t="shared" si="114"/>
        <v>-1.5225489712959808E-2</v>
      </c>
      <c r="G3514">
        <f t="shared" si="115"/>
        <v>-2.4902536398422305E-2</v>
      </c>
    </row>
    <row r="3515" spans="1:7" x14ac:dyDescent="0.35">
      <c r="A3515" t="s">
        <v>184</v>
      </c>
      <c r="E3515">
        <v>-3.6340475514854528E-3</v>
      </c>
      <c r="F3515">
        <f t="shared" si="114"/>
        <v>-1.5227264659595594E-2</v>
      </c>
      <c r="G3515">
        <f t="shared" si="115"/>
        <v>-2.4902536398422305E-2</v>
      </c>
    </row>
    <row r="3516" spans="1:7" x14ac:dyDescent="0.35">
      <c r="A3516" t="s">
        <v>184</v>
      </c>
      <c r="E3516">
        <v>7.1179709426184576E-3</v>
      </c>
      <c r="F3516">
        <f t="shared" si="114"/>
        <v>-1.5229039606231381E-2</v>
      </c>
      <c r="G3516">
        <f t="shared" si="115"/>
        <v>-2.4902536398422305E-2</v>
      </c>
    </row>
    <row r="3517" spans="1:7" x14ac:dyDescent="0.35">
      <c r="A3517" t="s">
        <v>184</v>
      </c>
      <c r="E3517">
        <v>-2.3652884538017446E-3</v>
      </c>
      <c r="F3517">
        <f t="shared" si="114"/>
        <v>-1.5230814552867166E-2</v>
      </c>
      <c r="G3517">
        <f t="shared" si="115"/>
        <v>-2.4902536398422305E-2</v>
      </c>
    </row>
    <row r="3518" spans="1:7" x14ac:dyDescent="0.35">
      <c r="A3518" t="s">
        <v>184</v>
      </c>
      <c r="E3518">
        <v>5.5133631037648416E-3</v>
      </c>
      <c r="F3518">
        <f t="shared" si="114"/>
        <v>-1.5232589499502952E-2</v>
      </c>
      <c r="G3518">
        <f t="shared" si="115"/>
        <v>-2.4902536398422305E-2</v>
      </c>
    </row>
    <row r="3519" spans="1:7" x14ac:dyDescent="0.35">
      <c r="A3519" t="s">
        <v>184</v>
      </c>
      <c r="E3519">
        <v>-8.4217979722449841E-3</v>
      </c>
      <c r="F3519">
        <f t="shared" si="114"/>
        <v>-1.5234364446138737E-2</v>
      </c>
      <c r="G3519">
        <f t="shared" si="115"/>
        <v>-2.4902536398422305E-2</v>
      </c>
    </row>
    <row r="3520" spans="1:7" x14ac:dyDescent="0.35">
      <c r="A3520" t="s">
        <v>184</v>
      </c>
      <c r="E3520">
        <v>6.8014581273215828E-3</v>
      </c>
      <c r="F3520">
        <f t="shared" si="114"/>
        <v>-1.5236139392774524E-2</v>
      </c>
      <c r="G3520">
        <f t="shared" si="115"/>
        <v>-2.4902536398422305E-2</v>
      </c>
    </row>
    <row r="3521" spans="1:7" x14ac:dyDescent="0.35">
      <c r="A3521" t="s">
        <v>184</v>
      </c>
      <c r="E3521">
        <v>8.5690149430838365E-3</v>
      </c>
      <c r="F3521">
        <f t="shared" si="114"/>
        <v>-1.5242004008984142E-2</v>
      </c>
      <c r="G3521">
        <f t="shared" si="115"/>
        <v>-2.5592993327397145E-2</v>
      </c>
    </row>
    <row r="3522" spans="1:7" x14ac:dyDescent="0.35">
      <c r="A3522" t="s">
        <v>184</v>
      </c>
      <c r="E3522">
        <v>3.1924522330355129E-3</v>
      </c>
      <c r="F3522">
        <f t="shared" si="114"/>
        <v>-1.5247868625193757E-2</v>
      </c>
      <c r="G3522">
        <f t="shared" si="115"/>
        <v>-2.5592993327397145E-2</v>
      </c>
    </row>
    <row r="3523" spans="1:7" x14ac:dyDescent="0.35">
      <c r="A3523" t="s">
        <v>184</v>
      </c>
      <c r="E3523">
        <v>4.7629069961204291E-5</v>
      </c>
      <c r="F3523">
        <f t="shared" si="114"/>
        <v>-1.5253733241403375E-2</v>
      </c>
      <c r="G3523">
        <f t="shared" si="115"/>
        <v>-2.5592993327397145E-2</v>
      </c>
    </row>
    <row r="3524" spans="1:7" x14ac:dyDescent="0.35">
      <c r="A3524" t="s">
        <v>184</v>
      </c>
      <c r="E3524">
        <v>3.4271935533246637E-3</v>
      </c>
      <c r="F3524">
        <f t="shared" ref="F3524:F3587" si="116">_xlfn.PERCENTILE.EXC(E3524:E7339,0.05)</f>
        <v>-1.5259597857612993E-2</v>
      </c>
      <c r="G3524">
        <f t="shared" ref="G3524:G3587" si="117">AVERAGEIFS(E3524:E7340,E3524:E7340,"&lt;=" &amp; F3524)</f>
        <v>-2.5592993327397145E-2</v>
      </c>
    </row>
    <row r="3525" spans="1:7" x14ac:dyDescent="0.35">
      <c r="A3525" t="s">
        <v>184</v>
      </c>
      <c r="E3525">
        <v>2.1618083539113485E-3</v>
      </c>
      <c r="F3525">
        <f t="shared" si="116"/>
        <v>-1.526546247382261E-2</v>
      </c>
      <c r="G3525">
        <f t="shared" si="117"/>
        <v>-2.5592993327397145E-2</v>
      </c>
    </row>
    <row r="3526" spans="1:7" x14ac:dyDescent="0.35">
      <c r="A3526" t="s">
        <v>184</v>
      </c>
      <c r="E3526">
        <v>1.2657503239720827E-2</v>
      </c>
      <c r="F3526">
        <f t="shared" si="116"/>
        <v>-1.5271327090032226E-2</v>
      </c>
      <c r="G3526">
        <f t="shared" si="117"/>
        <v>-2.5592993327397145E-2</v>
      </c>
    </row>
    <row r="3527" spans="1:7" x14ac:dyDescent="0.35">
      <c r="A3527" t="s">
        <v>184</v>
      </c>
      <c r="E3527">
        <v>6.9378069830048827E-3</v>
      </c>
      <c r="F3527">
        <f t="shared" si="116"/>
        <v>-1.5277191706241844E-2</v>
      </c>
      <c r="G3527">
        <f t="shared" si="117"/>
        <v>-2.5592993327397145E-2</v>
      </c>
    </row>
    <row r="3528" spans="1:7" x14ac:dyDescent="0.35">
      <c r="A3528" t="s">
        <v>184</v>
      </c>
      <c r="E3528">
        <v>-4.6375071318455544E-3</v>
      </c>
      <c r="F3528">
        <f t="shared" si="116"/>
        <v>-1.5283056322451461E-2</v>
      </c>
      <c r="G3528">
        <f t="shared" si="117"/>
        <v>-2.5592993327397145E-2</v>
      </c>
    </row>
    <row r="3529" spans="1:7" x14ac:dyDescent="0.35">
      <c r="A3529" t="s">
        <v>184</v>
      </c>
      <c r="E3529">
        <v>2.3403137732474271E-3</v>
      </c>
      <c r="F3529">
        <f t="shared" si="116"/>
        <v>-1.5288920938661077E-2</v>
      </c>
      <c r="G3529">
        <f t="shared" si="117"/>
        <v>-2.5592993327397145E-2</v>
      </c>
    </row>
    <row r="3530" spans="1:7" x14ac:dyDescent="0.35">
      <c r="A3530" t="s">
        <v>184</v>
      </c>
      <c r="E3530">
        <v>7.5332696756708712E-4</v>
      </c>
      <c r="F3530">
        <f t="shared" si="116"/>
        <v>-1.5294785554870695E-2</v>
      </c>
      <c r="G3530">
        <f t="shared" si="117"/>
        <v>-2.5592993327397145E-2</v>
      </c>
    </row>
    <row r="3531" spans="1:7" x14ac:dyDescent="0.35">
      <c r="A3531" t="s">
        <v>184</v>
      </c>
      <c r="E3531">
        <v>-3.3950801477858642E-3</v>
      </c>
      <c r="F3531">
        <f t="shared" si="116"/>
        <v>-1.5300650171080312E-2</v>
      </c>
      <c r="G3531">
        <f t="shared" si="117"/>
        <v>-2.5592993327397145E-2</v>
      </c>
    </row>
    <row r="3532" spans="1:7" x14ac:dyDescent="0.35">
      <c r="A3532" t="s">
        <v>185</v>
      </c>
      <c r="B3532" s="3" cm="1">
        <f t="array" ref="B3532">_xlfn.STDEV.S(_xlfn._xlws.FILTER($E$2826:$E$3824, $A$2826:$A$3824="2024-03"))</f>
        <v>3.6558133305558457E-3</v>
      </c>
      <c r="C3532" s="3" cm="1">
        <f t="array" ref="C3532">AVERAGE(_xlfn._xlws.FILTER($E$2826:$E$3824, $A$2826:$A$3824="2024-03"))</f>
        <v>1.725677129636314E-3</v>
      </c>
      <c r="D3532" s="3" cm="1">
        <f t="array" ref="D3532">_xlfn.PERCENTILE.EXC(_xlfn._xlws.FILTER($E$2490:$E$3818, $A$2490:$A$3818="2024-03"), 0.05)</f>
        <v>-4.7732062458561032E-3</v>
      </c>
      <c r="E3532">
        <v>8.4985126414247319E-4</v>
      </c>
      <c r="F3532">
        <f t="shared" si="116"/>
        <v>-1.5306514787289928E-2</v>
      </c>
      <c r="G3532">
        <f t="shared" si="117"/>
        <v>-2.5592993327397145E-2</v>
      </c>
    </row>
    <row r="3533" spans="1:7" x14ac:dyDescent="0.35">
      <c r="A3533" t="s">
        <v>185</v>
      </c>
      <c r="E3533">
        <v>2.799144464362325E-3</v>
      </c>
      <c r="F3533">
        <f t="shared" si="116"/>
        <v>-1.5312379403499546E-2</v>
      </c>
      <c r="G3533">
        <f t="shared" si="117"/>
        <v>-2.5592993327397145E-2</v>
      </c>
    </row>
    <row r="3534" spans="1:7" x14ac:dyDescent="0.35">
      <c r="A3534" t="s">
        <v>185</v>
      </c>
      <c r="E3534">
        <v>-2.9693090643599456E-3</v>
      </c>
      <c r="F3534">
        <f t="shared" si="116"/>
        <v>-1.5318244019709163E-2</v>
      </c>
      <c r="G3534">
        <f t="shared" si="117"/>
        <v>-2.5592993327397145E-2</v>
      </c>
    </row>
    <row r="3535" spans="1:7" x14ac:dyDescent="0.35">
      <c r="A3535" t="s">
        <v>185</v>
      </c>
      <c r="E3535">
        <v>2.7593933755338416E-3</v>
      </c>
      <c r="F3535">
        <f t="shared" si="116"/>
        <v>-1.5324108635918779E-2</v>
      </c>
      <c r="G3535">
        <f t="shared" si="117"/>
        <v>-2.5592993327397145E-2</v>
      </c>
    </row>
    <row r="3536" spans="1:7" x14ac:dyDescent="0.35">
      <c r="A3536" t="s">
        <v>185</v>
      </c>
      <c r="E3536">
        <v>7.6990116666951491E-3</v>
      </c>
      <c r="F3536">
        <f t="shared" si="116"/>
        <v>-1.5329973252128396E-2</v>
      </c>
      <c r="G3536">
        <f t="shared" si="117"/>
        <v>-2.5592993327397145E-2</v>
      </c>
    </row>
    <row r="3537" spans="1:7" x14ac:dyDescent="0.35">
      <c r="A3537" t="s">
        <v>185</v>
      </c>
      <c r="E3537">
        <v>1.4696874978957306E-3</v>
      </c>
      <c r="F3537">
        <f t="shared" si="116"/>
        <v>-1.5335837868338014E-2</v>
      </c>
      <c r="G3537">
        <f t="shared" si="117"/>
        <v>-2.5592993327397145E-2</v>
      </c>
    </row>
    <row r="3538" spans="1:7" x14ac:dyDescent="0.35">
      <c r="A3538" t="s">
        <v>185</v>
      </c>
      <c r="E3538">
        <v>-1.0319210972703236E-3</v>
      </c>
      <c r="F3538">
        <f t="shared" si="116"/>
        <v>-1.5341702484547632E-2</v>
      </c>
      <c r="G3538">
        <f t="shared" si="117"/>
        <v>-2.5592993327397145E-2</v>
      </c>
    </row>
    <row r="3539" spans="1:7" x14ac:dyDescent="0.35">
      <c r="A3539" t="s">
        <v>185</v>
      </c>
      <c r="E3539">
        <v>8.4124313955700383E-3</v>
      </c>
      <c r="F3539">
        <f t="shared" si="116"/>
        <v>-1.5347567100757247E-2</v>
      </c>
      <c r="G3539">
        <f t="shared" si="117"/>
        <v>-2.5592993327397145E-2</v>
      </c>
    </row>
    <row r="3540" spans="1:7" x14ac:dyDescent="0.35">
      <c r="A3540" t="s">
        <v>185</v>
      </c>
      <c r="E3540">
        <v>6.175651643674741E-3</v>
      </c>
      <c r="F3540">
        <f t="shared" si="116"/>
        <v>-1.5353431716966865E-2</v>
      </c>
      <c r="G3540">
        <f t="shared" si="117"/>
        <v>-2.5592993327397145E-2</v>
      </c>
    </row>
    <row r="3541" spans="1:7" x14ac:dyDescent="0.35">
      <c r="A3541" t="s">
        <v>185</v>
      </c>
      <c r="E3541">
        <v>2.925334928654052E-3</v>
      </c>
      <c r="F3541">
        <f t="shared" si="116"/>
        <v>-1.5370588194384568E-2</v>
      </c>
      <c r="G3541">
        <f t="shared" si="117"/>
        <v>-2.6380651912814856E-2</v>
      </c>
    </row>
    <row r="3542" spans="1:7" x14ac:dyDescent="0.35">
      <c r="A3542" t="s">
        <v>185</v>
      </c>
      <c r="E3542">
        <v>3.5894172605127882E-4</v>
      </c>
      <c r="F3542">
        <f t="shared" si="116"/>
        <v>-1.5387744671802274E-2</v>
      </c>
      <c r="G3542">
        <f t="shared" si="117"/>
        <v>-2.6380651912814856E-2</v>
      </c>
    </row>
    <row r="3543" spans="1:7" x14ac:dyDescent="0.35">
      <c r="A3543" t="s">
        <v>185</v>
      </c>
      <c r="E3543">
        <v>-1.987434822722069E-3</v>
      </c>
      <c r="F3543">
        <f t="shared" si="116"/>
        <v>-1.5404901149219979E-2</v>
      </c>
      <c r="G3543">
        <f t="shared" si="117"/>
        <v>-2.6380651912814856E-2</v>
      </c>
    </row>
    <row r="3544" spans="1:7" x14ac:dyDescent="0.35">
      <c r="A3544" t="s">
        <v>185</v>
      </c>
      <c r="E3544">
        <v>6.4725145056172984E-3</v>
      </c>
      <c r="F3544">
        <f t="shared" si="116"/>
        <v>-1.5422057626637684E-2</v>
      </c>
      <c r="G3544">
        <f t="shared" si="117"/>
        <v>-2.6380651912814856E-2</v>
      </c>
    </row>
    <row r="3545" spans="1:7" x14ac:dyDescent="0.35">
      <c r="A3545" t="s">
        <v>185</v>
      </c>
      <c r="E3545">
        <v>-4.8452466866712009E-3</v>
      </c>
      <c r="F3545">
        <f t="shared" si="116"/>
        <v>-1.5439214104055389E-2</v>
      </c>
      <c r="G3545">
        <f t="shared" si="117"/>
        <v>-2.6380651912814856E-2</v>
      </c>
    </row>
    <row r="3546" spans="1:7" x14ac:dyDescent="0.35">
      <c r="A3546" t="s">
        <v>185</v>
      </c>
      <c r="E3546">
        <v>2.2409720334722093E-3</v>
      </c>
      <c r="F3546">
        <f t="shared" si="116"/>
        <v>-1.5456370581473092E-2</v>
      </c>
      <c r="G3546">
        <f t="shared" si="117"/>
        <v>-2.6380651912814856E-2</v>
      </c>
    </row>
    <row r="3547" spans="1:7" x14ac:dyDescent="0.35">
      <c r="A3547" t="s">
        <v>185</v>
      </c>
      <c r="E3547">
        <v>-3.404437870369256E-3</v>
      </c>
      <c r="F3547">
        <f t="shared" si="116"/>
        <v>-1.5473527058890798E-2</v>
      </c>
      <c r="G3547">
        <f t="shared" si="117"/>
        <v>-2.6380651912814856E-2</v>
      </c>
    </row>
    <row r="3548" spans="1:7" x14ac:dyDescent="0.35">
      <c r="A3548" t="s">
        <v>185</v>
      </c>
      <c r="E3548">
        <v>-3.9255326462106198E-5</v>
      </c>
      <c r="F3548">
        <f t="shared" si="116"/>
        <v>-1.5490683536308501E-2</v>
      </c>
      <c r="G3548">
        <f t="shared" si="117"/>
        <v>-2.6380651912814856E-2</v>
      </c>
    </row>
    <row r="3549" spans="1:7" x14ac:dyDescent="0.35">
      <c r="A3549" t="s">
        <v>185</v>
      </c>
      <c r="E3549">
        <v>4.0584396760523752E-3</v>
      </c>
      <c r="F3549">
        <f t="shared" si="116"/>
        <v>-1.5507840013726206E-2</v>
      </c>
      <c r="G3549">
        <f t="shared" si="117"/>
        <v>-2.6380651912814856E-2</v>
      </c>
    </row>
    <row r="3550" spans="1:7" x14ac:dyDescent="0.35">
      <c r="A3550" t="s">
        <v>185</v>
      </c>
      <c r="E3550">
        <v>2.4479009829418757E-3</v>
      </c>
      <c r="F3550">
        <f t="shared" si="116"/>
        <v>-1.5524996491143911E-2</v>
      </c>
      <c r="G3550">
        <f t="shared" si="117"/>
        <v>-2.6380651912814856E-2</v>
      </c>
    </row>
    <row r="3551" spans="1:7" x14ac:dyDescent="0.35">
      <c r="A3551" t="s">
        <v>185</v>
      </c>
      <c r="E3551">
        <v>1.2187229991778818E-4</v>
      </c>
      <c r="F3551">
        <f t="shared" si="116"/>
        <v>-1.5542152968561615E-2</v>
      </c>
      <c r="G3551">
        <f t="shared" si="117"/>
        <v>-2.6380651912814856E-2</v>
      </c>
    </row>
    <row r="3552" spans="1:7" x14ac:dyDescent="0.35">
      <c r="A3552" t="s">
        <v>186</v>
      </c>
      <c r="B3552" s="3" cm="1">
        <f t="array" ref="B3552">_xlfn.STDEV.S(_xlfn._xlws.FILTER($E$2826:$E$3824, $A$2826:$A$3824="2024-04"))</f>
        <v>6.8878473660416613E-3</v>
      </c>
      <c r="C3552" s="3" cm="1">
        <f t="array" ref="C3552">AVERAGE(_xlfn._xlws.FILTER($E$2826:$E$3824, $A$2826:$A$3824="2024-04"))</f>
        <v>-1.2993535605024154E-3</v>
      </c>
      <c r="D3552" s="3" cm="1">
        <f t="array" ref="D3552">_xlfn.PERCENTILE.EXC(_xlfn._xlws.FILTER($E$2490:$E$3818, $A$2490:$A$3818="2024-04"), 0.05)</f>
        <v>-1.3787309741056181E-2</v>
      </c>
      <c r="E3552">
        <v>-9.2753663597230276E-3</v>
      </c>
      <c r="F3552">
        <f t="shared" si="116"/>
        <v>-1.555930944597932E-2</v>
      </c>
      <c r="G3552">
        <f t="shared" si="117"/>
        <v>-2.6380651912814856E-2</v>
      </c>
    </row>
    <row r="3553" spans="1:7" x14ac:dyDescent="0.35">
      <c r="A3553" t="s">
        <v>186</v>
      </c>
      <c r="E3553">
        <v>2.8470941552292553E-3</v>
      </c>
      <c r="F3553">
        <f t="shared" si="116"/>
        <v>-1.5576465923397025E-2</v>
      </c>
      <c r="G3553">
        <f t="shared" si="117"/>
        <v>-2.6380651912814856E-2</v>
      </c>
    </row>
    <row r="3554" spans="1:7" x14ac:dyDescent="0.35">
      <c r="A3554" t="s">
        <v>186</v>
      </c>
      <c r="E3554">
        <v>-2.0607453838014355E-4</v>
      </c>
      <c r="F3554">
        <f t="shared" si="116"/>
        <v>-1.559362240081473E-2</v>
      </c>
      <c r="G3554">
        <f t="shared" si="117"/>
        <v>-2.6380651912814856E-2</v>
      </c>
    </row>
    <row r="3555" spans="1:7" x14ac:dyDescent="0.35">
      <c r="A3555" t="s">
        <v>186</v>
      </c>
      <c r="E3555">
        <v>-1.1132018889985679E-2</v>
      </c>
      <c r="F3555">
        <f t="shared" si="116"/>
        <v>-1.5610778878232433E-2</v>
      </c>
      <c r="G3555">
        <f t="shared" si="117"/>
        <v>-2.6380651912814856E-2</v>
      </c>
    </row>
    <row r="3556" spans="1:7" x14ac:dyDescent="0.35">
      <c r="A3556" t="s">
        <v>186</v>
      </c>
      <c r="E3556">
        <v>7.1678692318348737E-3</v>
      </c>
      <c r="F3556">
        <f t="shared" si="116"/>
        <v>-1.5627935355650137E-2</v>
      </c>
      <c r="G3556">
        <f t="shared" si="117"/>
        <v>-2.6380651912814856E-2</v>
      </c>
    </row>
    <row r="3557" spans="1:7" x14ac:dyDescent="0.35">
      <c r="A3557" t="s">
        <v>186</v>
      </c>
      <c r="E3557">
        <v>-8.6749630363436164E-3</v>
      </c>
      <c r="F3557">
        <f t="shared" si="116"/>
        <v>-1.5645091833067844E-2</v>
      </c>
      <c r="G3557">
        <f t="shared" si="117"/>
        <v>-2.6380651912814856E-2</v>
      </c>
    </row>
    <row r="3558" spans="1:7" x14ac:dyDescent="0.35">
      <c r="A3558" t="s">
        <v>186</v>
      </c>
      <c r="E3558">
        <v>-4.7096688879840951E-4</v>
      </c>
      <c r="F3558">
        <f t="shared" si="116"/>
        <v>-1.5662248310485547E-2</v>
      </c>
      <c r="G3558">
        <f t="shared" si="117"/>
        <v>-2.6380651912814856E-2</v>
      </c>
    </row>
    <row r="3559" spans="1:7" x14ac:dyDescent="0.35">
      <c r="A3559" t="s">
        <v>186</v>
      </c>
      <c r="E3559">
        <v>-2.6933662928373802E-3</v>
      </c>
      <c r="F3559">
        <f t="shared" si="116"/>
        <v>-1.5679404787903254E-2</v>
      </c>
      <c r="G3559">
        <f t="shared" si="117"/>
        <v>-2.6380651912814856E-2</v>
      </c>
    </row>
    <row r="3560" spans="1:7" x14ac:dyDescent="0.35">
      <c r="A3560" t="s">
        <v>186</v>
      </c>
      <c r="E3560">
        <v>-1.6102711565831535E-3</v>
      </c>
      <c r="F3560">
        <f t="shared" si="116"/>
        <v>-1.5696561265320957E-2</v>
      </c>
      <c r="G3560">
        <f t="shared" si="117"/>
        <v>-2.6380651912814856E-2</v>
      </c>
    </row>
    <row r="3561" spans="1:7" x14ac:dyDescent="0.35">
      <c r="A3561" t="s">
        <v>186</v>
      </c>
      <c r="E3561">
        <v>4.2700772533013397E-3</v>
      </c>
      <c r="F3561">
        <f t="shared" si="116"/>
        <v>-1.5709939981237271E-2</v>
      </c>
      <c r="G3561">
        <f t="shared" si="117"/>
        <v>-2.7270992800106017E-2</v>
      </c>
    </row>
    <row r="3562" spans="1:7" x14ac:dyDescent="0.35">
      <c r="A3562" t="s">
        <v>186</v>
      </c>
      <c r="E3562">
        <v>-1.4082342057841793E-2</v>
      </c>
      <c r="F3562">
        <f t="shared" si="116"/>
        <v>-1.5723318697153585E-2</v>
      </c>
      <c r="G3562">
        <f t="shared" si="117"/>
        <v>-2.7270992800106017E-2</v>
      </c>
    </row>
    <row r="3563" spans="1:7" x14ac:dyDescent="0.35">
      <c r="A3563" t="s">
        <v>186</v>
      </c>
      <c r="E3563">
        <v>6.145505237032934E-3</v>
      </c>
      <c r="F3563">
        <f t="shared" si="116"/>
        <v>-1.5736697413069899E-2</v>
      </c>
      <c r="G3563">
        <f t="shared" si="117"/>
        <v>-2.7270992800106017E-2</v>
      </c>
    </row>
    <row r="3564" spans="1:7" x14ac:dyDescent="0.35">
      <c r="A3564" t="s">
        <v>186</v>
      </c>
      <c r="E3564">
        <v>5.2172064578548992E-3</v>
      </c>
      <c r="F3564">
        <f t="shared" si="116"/>
        <v>-1.5750076128986212E-2</v>
      </c>
      <c r="G3564">
        <f t="shared" si="117"/>
        <v>-2.7270992800106017E-2</v>
      </c>
    </row>
    <row r="3565" spans="1:7" x14ac:dyDescent="0.35">
      <c r="A3565" t="s">
        <v>186</v>
      </c>
      <c r="E3565">
        <v>-1.0594758595878074E-4</v>
      </c>
      <c r="F3565">
        <f t="shared" si="116"/>
        <v>-1.5763454844902526E-2</v>
      </c>
      <c r="G3565">
        <f t="shared" si="117"/>
        <v>-2.7270992800106017E-2</v>
      </c>
    </row>
    <row r="3566" spans="1:7" x14ac:dyDescent="0.35">
      <c r="A3566" t="s">
        <v>186</v>
      </c>
      <c r="E3566">
        <v>2.2349828170245573E-3</v>
      </c>
      <c r="F3566">
        <f t="shared" si="116"/>
        <v>-1.577683356081884E-2</v>
      </c>
      <c r="G3566">
        <f t="shared" si="117"/>
        <v>-2.7270992800106017E-2</v>
      </c>
    </row>
    <row r="3567" spans="1:7" x14ac:dyDescent="0.35">
      <c r="A3567" t="s">
        <v>186</v>
      </c>
      <c r="E3567">
        <v>8.1035291401175564E-3</v>
      </c>
      <c r="F3567">
        <f t="shared" si="116"/>
        <v>-1.5790212276735154E-2</v>
      </c>
      <c r="G3567">
        <f t="shared" si="117"/>
        <v>-2.7270992800106017E-2</v>
      </c>
    </row>
    <row r="3568" spans="1:7" x14ac:dyDescent="0.35">
      <c r="A3568" t="s">
        <v>186</v>
      </c>
      <c r="E3568">
        <v>-1.7187693302030656E-3</v>
      </c>
      <c r="F3568">
        <f t="shared" si="116"/>
        <v>-1.5803590992651467E-2</v>
      </c>
      <c r="G3568">
        <f t="shared" si="117"/>
        <v>-2.7270992800106017E-2</v>
      </c>
    </row>
    <row r="3569" spans="1:7" x14ac:dyDescent="0.35">
      <c r="A3569" t="s">
        <v>186</v>
      </c>
      <c r="E3569">
        <v>-9.3379892383517252E-3</v>
      </c>
      <c r="F3569">
        <f t="shared" si="116"/>
        <v>-1.5816969708567781E-2</v>
      </c>
      <c r="G3569">
        <f t="shared" si="117"/>
        <v>-2.7270992800106017E-2</v>
      </c>
    </row>
    <row r="3570" spans="1:7" x14ac:dyDescent="0.35">
      <c r="A3570" t="s">
        <v>186</v>
      </c>
      <c r="E3570">
        <v>8.8905259890022046E-3</v>
      </c>
      <c r="F3570">
        <f t="shared" si="116"/>
        <v>-1.5830348424484095E-2</v>
      </c>
      <c r="G3570">
        <f t="shared" si="117"/>
        <v>-2.7270992800106017E-2</v>
      </c>
    </row>
    <row r="3571" spans="1:7" x14ac:dyDescent="0.35">
      <c r="A3571" t="s">
        <v>186</v>
      </c>
      <c r="E3571">
        <v>-2.8588445801404462E-3</v>
      </c>
      <c r="F3571">
        <f t="shared" si="116"/>
        <v>-1.5843727140400408E-2</v>
      </c>
      <c r="G3571">
        <f t="shared" si="117"/>
        <v>-2.7270992800106017E-2</v>
      </c>
    </row>
    <row r="3572" spans="1:7" x14ac:dyDescent="0.35">
      <c r="A3572" t="s">
        <v>186</v>
      </c>
      <c r="E3572">
        <v>-9.9962950968011145E-3</v>
      </c>
      <c r="F3572">
        <f t="shared" si="116"/>
        <v>-1.5857105856316722E-2</v>
      </c>
      <c r="G3572">
        <f t="shared" si="117"/>
        <v>-2.7270992800106017E-2</v>
      </c>
    </row>
    <row r="3573" spans="1:7" x14ac:dyDescent="0.35">
      <c r="A3573" t="s">
        <v>187</v>
      </c>
      <c r="B3573" s="3" cm="1">
        <f t="array" ref="B3573">_xlfn.STDEV.S(_xlfn._xlws.FILTER($E$2826:$E$3824, $A$2826:$A$3824="2024-05"))</f>
        <v>6.7836625015354011E-3</v>
      </c>
      <c r="C3573" s="3" cm="1">
        <f t="array" ref="C3573">AVERAGE(_xlfn._xlws.FILTER($E$2826:$E$3824, $A$2826:$A$3824="2024-05"))</f>
        <v>4.969395444674086E-5</v>
      </c>
      <c r="D3573" s="3" cm="1">
        <f t="array" ref="D3573">_xlfn.PERCENTILE.EXC(_xlfn._xlws.FILTER($E$2490:$E$3818, $A$2490:$A$3818="2024-05"), 0.05)</f>
        <v>-1.5027787264717825E-2</v>
      </c>
      <c r="E3573">
        <v>-8.8405426719860795E-3</v>
      </c>
      <c r="F3573">
        <f t="shared" si="116"/>
        <v>-1.5870484572233036E-2</v>
      </c>
      <c r="G3573">
        <f t="shared" si="117"/>
        <v>-2.7270992800106017E-2</v>
      </c>
    </row>
    <row r="3574" spans="1:7" x14ac:dyDescent="0.35">
      <c r="A3574" t="s">
        <v>187</v>
      </c>
      <c r="E3574">
        <v>5.4082043485670648E-3</v>
      </c>
      <c r="F3574">
        <f t="shared" si="116"/>
        <v>-1.588386328814935E-2</v>
      </c>
      <c r="G3574">
        <f t="shared" si="117"/>
        <v>-2.7270992800106017E-2</v>
      </c>
    </row>
    <row r="3575" spans="1:7" x14ac:dyDescent="0.35">
      <c r="A3575" t="s">
        <v>187</v>
      </c>
      <c r="E3575">
        <v>1.473339922146673E-2</v>
      </c>
      <c r="F3575">
        <f t="shared" si="116"/>
        <v>-1.5897242004065663E-2</v>
      </c>
      <c r="G3575">
        <f t="shared" si="117"/>
        <v>-2.7270992800106017E-2</v>
      </c>
    </row>
    <row r="3576" spans="1:7" x14ac:dyDescent="0.35">
      <c r="A3576" t="s">
        <v>187</v>
      </c>
      <c r="E3576">
        <v>6.8772641669631101E-3</v>
      </c>
      <c r="F3576">
        <f t="shared" si="116"/>
        <v>-1.5910620719981977E-2</v>
      </c>
      <c r="G3576">
        <f t="shared" si="117"/>
        <v>-2.7270992800106017E-2</v>
      </c>
    </row>
    <row r="3577" spans="1:7" x14ac:dyDescent="0.35">
      <c r="A3577" t="s">
        <v>187</v>
      </c>
      <c r="E3577">
        <v>6.8925811477451087E-3</v>
      </c>
      <c r="F3577">
        <f t="shared" si="116"/>
        <v>-1.5923999435898291E-2</v>
      </c>
      <c r="G3577">
        <f t="shared" si="117"/>
        <v>-2.7270992800106017E-2</v>
      </c>
    </row>
    <row r="3578" spans="1:7" x14ac:dyDescent="0.35">
      <c r="A3578" t="s">
        <v>187</v>
      </c>
      <c r="E3578">
        <v>3.838659319451061E-3</v>
      </c>
      <c r="F3578">
        <f t="shared" si="116"/>
        <v>-1.5937378151814605E-2</v>
      </c>
      <c r="G3578">
        <f t="shared" si="117"/>
        <v>-2.7270992800106017E-2</v>
      </c>
    </row>
    <row r="3579" spans="1:7" x14ac:dyDescent="0.35">
      <c r="A3579" t="s">
        <v>187</v>
      </c>
      <c r="E3579">
        <v>-1.2003590343937077E-3</v>
      </c>
      <c r="F3579">
        <f t="shared" si="116"/>
        <v>-1.5950756867730918E-2</v>
      </c>
      <c r="G3579">
        <f t="shared" si="117"/>
        <v>-2.7270992800106017E-2</v>
      </c>
    </row>
    <row r="3580" spans="1:7" x14ac:dyDescent="0.35">
      <c r="A3580" t="s">
        <v>187</v>
      </c>
      <c r="E3580">
        <v>2.0103346699525812E-3</v>
      </c>
      <c r="F3580">
        <f t="shared" si="116"/>
        <v>-1.5964135583647232E-2</v>
      </c>
      <c r="G3580">
        <f t="shared" si="117"/>
        <v>-2.7270992800106017E-2</v>
      </c>
    </row>
    <row r="3581" spans="1:7" x14ac:dyDescent="0.35">
      <c r="A3581" t="s">
        <v>187</v>
      </c>
      <c r="E3581">
        <v>1.7235739691640415E-3</v>
      </c>
      <c r="F3581">
        <f t="shared" si="116"/>
        <v>-1.5977381242894866E-2</v>
      </c>
      <c r="G3581">
        <f t="shared" si="117"/>
        <v>-2.8298888910693178E-2</v>
      </c>
    </row>
    <row r="3582" spans="1:7" x14ac:dyDescent="0.35">
      <c r="A3582" t="s">
        <v>187</v>
      </c>
      <c r="E3582">
        <v>-6.2696206462602173E-3</v>
      </c>
      <c r="F3582">
        <f t="shared" si="116"/>
        <v>-1.59906269021425E-2</v>
      </c>
      <c r="G3582">
        <f t="shared" si="117"/>
        <v>-2.8298888910693178E-2</v>
      </c>
    </row>
    <row r="3583" spans="1:7" x14ac:dyDescent="0.35">
      <c r="A3583" t="s">
        <v>187</v>
      </c>
      <c r="E3583">
        <v>-2.566645189062459E-3</v>
      </c>
      <c r="F3583">
        <f t="shared" si="116"/>
        <v>-1.6003872561390135E-2</v>
      </c>
      <c r="G3583">
        <f t="shared" si="117"/>
        <v>-2.8298888910693178E-2</v>
      </c>
    </row>
    <row r="3584" spans="1:7" x14ac:dyDescent="0.35">
      <c r="A3584" t="s">
        <v>187</v>
      </c>
      <c r="E3584">
        <v>3.4797055547577654E-3</v>
      </c>
      <c r="F3584">
        <f t="shared" si="116"/>
        <v>-1.6017118220637769E-2</v>
      </c>
      <c r="G3584">
        <f t="shared" si="117"/>
        <v>-2.8298888910693178E-2</v>
      </c>
    </row>
    <row r="3585" spans="1:7" x14ac:dyDescent="0.35">
      <c r="A3585" t="s">
        <v>187</v>
      </c>
      <c r="E3585">
        <v>-6.6730449373290568E-3</v>
      </c>
      <c r="F3585">
        <f t="shared" si="116"/>
        <v>-1.6030363879885406E-2</v>
      </c>
      <c r="G3585">
        <f t="shared" si="117"/>
        <v>-2.8298888910693178E-2</v>
      </c>
    </row>
    <row r="3586" spans="1:7" x14ac:dyDescent="0.35">
      <c r="A3586" t="s">
        <v>187</v>
      </c>
      <c r="E3586">
        <v>-6.0800122246477848E-3</v>
      </c>
      <c r="F3586">
        <f t="shared" si="116"/>
        <v>-1.6043609539133041E-2</v>
      </c>
      <c r="G3586">
        <f t="shared" si="117"/>
        <v>-2.8298888910693178E-2</v>
      </c>
    </row>
    <row r="3587" spans="1:7" x14ac:dyDescent="0.35">
      <c r="A3587" t="s">
        <v>187</v>
      </c>
      <c r="E3587">
        <v>1.2621617489398361E-3</v>
      </c>
      <c r="F3587">
        <f t="shared" si="116"/>
        <v>-1.6056855198380675E-2</v>
      </c>
      <c r="G3587">
        <f t="shared" si="117"/>
        <v>-2.8298888910693178E-2</v>
      </c>
    </row>
    <row r="3588" spans="1:7" x14ac:dyDescent="0.35">
      <c r="A3588" t="s">
        <v>187</v>
      </c>
      <c r="E3588">
        <v>-9.0879350343018401E-4</v>
      </c>
      <c r="F3588">
        <f t="shared" ref="F3588:F3651" si="118">_xlfn.PERCENTILE.EXC(E3588:E7403,0.05)</f>
        <v>-1.6070100857628309E-2</v>
      </c>
      <c r="G3588">
        <f t="shared" ref="G3588:G3651" si="119">AVERAGEIFS(E3588:E7404,E3588:E7404,"&lt;=" &amp; F3588)</f>
        <v>-2.8298888910693178E-2</v>
      </c>
    </row>
    <row r="3589" spans="1:7" x14ac:dyDescent="0.35">
      <c r="A3589" t="s">
        <v>187</v>
      </c>
      <c r="E3589">
        <v>-4.6023147248498153E-3</v>
      </c>
      <c r="F3589">
        <f t="shared" si="118"/>
        <v>-1.6083346516875943E-2</v>
      </c>
      <c r="G3589">
        <f t="shared" si="119"/>
        <v>-2.8298888910693178E-2</v>
      </c>
    </row>
    <row r="3590" spans="1:7" x14ac:dyDescent="0.35">
      <c r="A3590" t="s">
        <v>187</v>
      </c>
      <c r="E3590">
        <v>-1.5353431716966865E-2</v>
      </c>
      <c r="F3590">
        <f t="shared" si="118"/>
        <v>-1.6096592176123577E-2</v>
      </c>
      <c r="G3590">
        <f t="shared" si="119"/>
        <v>-2.8298888910693178E-2</v>
      </c>
    </row>
    <row r="3591" spans="1:7" x14ac:dyDescent="0.35">
      <c r="A3591" t="s">
        <v>187</v>
      </c>
      <c r="E3591">
        <v>5.4645425464251839E-3</v>
      </c>
      <c r="F3591">
        <f t="shared" si="118"/>
        <v>-1.6109837835371212E-2</v>
      </c>
      <c r="G3591">
        <f t="shared" si="119"/>
        <v>-2.8298888910693178E-2</v>
      </c>
    </row>
    <row r="3592" spans="1:7" x14ac:dyDescent="0.35">
      <c r="A3592" t="s">
        <v>187</v>
      </c>
      <c r="E3592">
        <v>1.7982170444285001E-3</v>
      </c>
      <c r="F3592">
        <f t="shared" si="118"/>
        <v>-1.6123083494618846E-2</v>
      </c>
      <c r="G3592">
        <f t="shared" si="119"/>
        <v>-2.8298888910693178E-2</v>
      </c>
    </row>
    <row r="3593" spans="1:7" x14ac:dyDescent="0.35">
      <c r="A3593" t="s">
        <v>188</v>
      </c>
      <c r="B3593" s="3" cm="1">
        <f t="array" ref="B3593">_xlfn.STDEV.S(_xlfn._xlws.FILTER($E$2826:$E$3824, $A$2826:$A$3824="2024-06"))</f>
        <v>1.0961626146136777E-2</v>
      </c>
      <c r="C3593" s="3" cm="1">
        <f t="array" ref="C3593">AVERAGE(_xlfn._xlws.FILTER($E$2826:$E$3824, $A$2826:$A$3824="2024-06"))</f>
        <v>-3.3198659707540058E-3</v>
      </c>
      <c r="D3593" s="3" cm="1">
        <f t="array" ref="D3593">_xlfn.PERCENTILE.EXC(_xlfn._xlws.FILTER($E$2490:$E$3818, $A$2490:$A$3818="2024-06"), 0.05)</f>
        <v>-2.6582451089620103E-2</v>
      </c>
      <c r="E3593">
        <v>6.4411676624085931E-4</v>
      </c>
      <c r="F3593">
        <f t="shared" si="118"/>
        <v>-1.613632915386648E-2</v>
      </c>
      <c r="G3593">
        <f t="shared" si="119"/>
        <v>-2.8298888910693178E-2</v>
      </c>
    </row>
    <row r="3594" spans="1:7" x14ac:dyDescent="0.35">
      <c r="A3594" t="s">
        <v>188</v>
      </c>
      <c r="E3594">
        <v>-7.5452543967788549E-3</v>
      </c>
      <c r="F3594">
        <f t="shared" si="118"/>
        <v>-1.6149574813114114E-2</v>
      </c>
      <c r="G3594">
        <f t="shared" si="119"/>
        <v>-2.8298888910693178E-2</v>
      </c>
    </row>
    <row r="3595" spans="1:7" x14ac:dyDescent="0.35">
      <c r="A3595" t="s">
        <v>188</v>
      </c>
      <c r="E3595">
        <v>8.6136979886945256E-3</v>
      </c>
      <c r="F3595">
        <f t="shared" si="118"/>
        <v>-1.6162820472361748E-2</v>
      </c>
      <c r="G3595">
        <f t="shared" si="119"/>
        <v>-2.8298888910693178E-2</v>
      </c>
    </row>
    <row r="3596" spans="1:7" x14ac:dyDescent="0.35">
      <c r="A3596" t="s">
        <v>188</v>
      </c>
      <c r="E3596">
        <v>4.1815538140548992E-3</v>
      </c>
      <c r="F3596">
        <f t="shared" si="118"/>
        <v>-1.6176066131609386E-2</v>
      </c>
      <c r="G3596">
        <f t="shared" si="119"/>
        <v>-2.8298888910693178E-2</v>
      </c>
    </row>
    <row r="3597" spans="1:7" x14ac:dyDescent="0.35">
      <c r="A3597" t="s">
        <v>188</v>
      </c>
      <c r="E3597">
        <v>-4.7774920814948841E-3</v>
      </c>
      <c r="F3597">
        <f t="shared" si="118"/>
        <v>-1.618931179085702E-2</v>
      </c>
      <c r="G3597">
        <f t="shared" si="119"/>
        <v>-2.8298888910693178E-2</v>
      </c>
    </row>
    <row r="3598" spans="1:7" x14ac:dyDescent="0.35">
      <c r="A3598" t="s">
        <v>188</v>
      </c>
      <c r="E3598">
        <v>-1.3566072703486224E-2</v>
      </c>
      <c r="F3598">
        <f t="shared" si="118"/>
        <v>-1.6202557450104654E-2</v>
      </c>
      <c r="G3598">
        <f t="shared" si="119"/>
        <v>-2.8298888910693178E-2</v>
      </c>
    </row>
    <row r="3599" spans="1:7" x14ac:dyDescent="0.35">
      <c r="A3599" t="s">
        <v>188</v>
      </c>
      <c r="E3599">
        <v>-1.3361000994292634E-2</v>
      </c>
      <c r="F3599">
        <f t="shared" si="118"/>
        <v>-1.6215803109352288E-2</v>
      </c>
      <c r="G3599">
        <f t="shared" si="119"/>
        <v>-2.8298888910693178E-2</v>
      </c>
    </row>
    <row r="3600" spans="1:7" x14ac:dyDescent="0.35">
      <c r="A3600" t="s">
        <v>188</v>
      </c>
      <c r="E3600">
        <v>9.6449494348920927E-3</v>
      </c>
      <c r="F3600">
        <f t="shared" si="118"/>
        <v>-1.6229048768599923E-2</v>
      </c>
      <c r="G3600">
        <f t="shared" si="119"/>
        <v>-2.8298888910693178E-2</v>
      </c>
    </row>
    <row r="3601" spans="1:7" x14ac:dyDescent="0.35">
      <c r="A3601" t="s">
        <v>188</v>
      </c>
      <c r="E3601">
        <v>-2.0123046852693414E-2</v>
      </c>
      <c r="F3601">
        <f t="shared" si="118"/>
        <v>-1.6351852072221791E-2</v>
      </c>
      <c r="G3601">
        <f t="shared" si="119"/>
        <v>-2.9505872924902504E-2</v>
      </c>
    </row>
    <row r="3602" spans="1:7" x14ac:dyDescent="0.35">
      <c r="A3602" t="s">
        <v>188</v>
      </c>
      <c r="E3602">
        <v>-2.6922419733668875E-2</v>
      </c>
      <c r="F3602">
        <f t="shared" si="118"/>
        <v>-1.59906269021425E-2</v>
      </c>
      <c r="G3602">
        <f t="shared" si="119"/>
        <v>-2.9116473116493152E-2</v>
      </c>
    </row>
    <row r="3603" spans="1:7" x14ac:dyDescent="0.35">
      <c r="A3603" t="s">
        <v>188</v>
      </c>
      <c r="E3603">
        <v>9.0615180457534628E-3</v>
      </c>
      <c r="F3603">
        <f t="shared" si="118"/>
        <v>-1.5736697413069899E-2</v>
      </c>
      <c r="G3603">
        <f t="shared" si="119"/>
        <v>-2.8020644701490995E-2</v>
      </c>
    </row>
    <row r="3604" spans="1:7" x14ac:dyDescent="0.35">
      <c r="A3604" t="s">
        <v>188</v>
      </c>
      <c r="E3604">
        <v>7.5301154411476423E-3</v>
      </c>
      <c r="F3604">
        <f t="shared" si="118"/>
        <v>-1.5750076128986212E-2</v>
      </c>
      <c r="G3604">
        <f t="shared" si="119"/>
        <v>-2.8020644701490995E-2</v>
      </c>
    </row>
    <row r="3605" spans="1:7" x14ac:dyDescent="0.35">
      <c r="A3605" t="s">
        <v>188</v>
      </c>
      <c r="E3605">
        <v>-7.7110718291706921E-3</v>
      </c>
      <c r="F3605">
        <f t="shared" si="118"/>
        <v>-1.5763454844902526E-2</v>
      </c>
      <c r="G3605">
        <f t="shared" si="119"/>
        <v>-2.8020644701490995E-2</v>
      </c>
    </row>
    <row r="3606" spans="1:7" x14ac:dyDescent="0.35">
      <c r="A3606" t="s">
        <v>188</v>
      </c>
      <c r="E3606">
        <v>1.3271819589404911E-2</v>
      </c>
      <c r="F3606">
        <f t="shared" si="118"/>
        <v>-1.577683356081884E-2</v>
      </c>
      <c r="G3606">
        <f t="shared" si="119"/>
        <v>-2.8020644701490995E-2</v>
      </c>
    </row>
    <row r="3607" spans="1:7" x14ac:dyDescent="0.35">
      <c r="A3607" t="s">
        <v>188</v>
      </c>
      <c r="E3607">
        <v>-5.5908971241176528E-3</v>
      </c>
      <c r="F3607">
        <f t="shared" si="118"/>
        <v>-1.5790212276735154E-2</v>
      </c>
      <c r="G3607">
        <f t="shared" si="119"/>
        <v>-2.8020644701490995E-2</v>
      </c>
    </row>
    <row r="3608" spans="1:7" x14ac:dyDescent="0.35">
      <c r="A3608" t="s">
        <v>188</v>
      </c>
      <c r="E3608">
        <v>1.0214324310030672E-2</v>
      </c>
      <c r="F3608">
        <f t="shared" si="118"/>
        <v>-1.5803590992651467E-2</v>
      </c>
      <c r="G3608">
        <f t="shared" si="119"/>
        <v>-2.8020644701490995E-2</v>
      </c>
    </row>
    <row r="3609" spans="1:7" x14ac:dyDescent="0.35">
      <c r="A3609" t="s">
        <v>188</v>
      </c>
      <c r="E3609">
        <v>-5.8025341751672174E-3</v>
      </c>
      <c r="F3609">
        <f t="shared" si="118"/>
        <v>-1.5816969708567781E-2</v>
      </c>
      <c r="G3609">
        <f t="shared" si="119"/>
        <v>-2.8020644701490995E-2</v>
      </c>
    </row>
    <row r="3610" spans="1:7" x14ac:dyDescent="0.35">
      <c r="A3610" t="s">
        <v>188</v>
      </c>
      <c r="E3610">
        <v>-6.9607292825124923E-3</v>
      </c>
      <c r="F3610">
        <f t="shared" si="118"/>
        <v>-1.5830348424484095E-2</v>
      </c>
      <c r="G3610">
        <f t="shared" si="119"/>
        <v>-2.8020644701490995E-2</v>
      </c>
    </row>
    <row r="3611" spans="1:7" x14ac:dyDescent="0.35">
      <c r="A3611" t="s">
        <v>188</v>
      </c>
      <c r="E3611">
        <v>-1.0360815726633476E-2</v>
      </c>
      <c r="F3611">
        <f t="shared" si="118"/>
        <v>-1.5843727140400408E-2</v>
      </c>
      <c r="G3611">
        <f t="shared" si="119"/>
        <v>-2.8020644701490995E-2</v>
      </c>
    </row>
    <row r="3612" spans="1:7" x14ac:dyDescent="0.35">
      <c r="A3612" t="s">
        <v>188</v>
      </c>
      <c r="E3612">
        <v>-6.8380799052827701E-3</v>
      </c>
      <c r="F3612">
        <f t="shared" si="118"/>
        <v>-1.5857105856316722E-2</v>
      </c>
      <c r="G3612">
        <f t="shared" si="119"/>
        <v>-2.8020644701490995E-2</v>
      </c>
    </row>
    <row r="3613" spans="1:7" x14ac:dyDescent="0.35">
      <c r="A3613" t="s">
        <v>189</v>
      </c>
      <c r="B3613" s="3" cm="1">
        <f t="array" ref="B3613">_xlfn.STDEV.S(_xlfn._xlws.FILTER($E$2826:$E$3824, $A$2826:$A$3824="2024-07"))</f>
        <v>9.2690840895933053E-3</v>
      </c>
      <c r="C3613" s="3" cm="1">
        <f t="array" ref="C3613">AVERAGE(_xlfn._xlws.FILTER($E$2826:$E$3824, $A$2826:$A$3824="2024-07"))</f>
        <v>3.0175315381569443E-4</v>
      </c>
      <c r="D3613" s="3" cm="1">
        <f t="array" ref="D3613">_xlfn.PERCENTILE.EXC(_xlfn._xlws.FILTER($E$2490:$E$3818, $A$2490:$A$3818="2024-07"), 0.05)</f>
        <v>-1.4943415782298139E-2</v>
      </c>
      <c r="E3613">
        <v>1.0868075055915314E-2</v>
      </c>
      <c r="F3613">
        <f t="shared" si="118"/>
        <v>-1.5870484572233036E-2</v>
      </c>
      <c r="G3613">
        <f t="shared" si="119"/>
        <v>-2.8020644701490995E-2</v>
      </c>
    </row>
    <row r="3614" spans="1:7" x14ac:dyDescent="0.35">
      <c r="A3614" t="s">
        <v>189</v>
      </c>
      <c r="E3614">
        <v>-3.0252840731575777E-3</v>
      </c>
      <c r="F3614">
        <f t="shared" si="118"/>
        <v>-1.588386328814935E-2</v>
      </c>
      <c r="G3614">
        <f t="shared" si="119"/>
        <v>-2.8020644701490995E-2</v>
      </c>
    </row>
    <row r="3615" spans="1:7" x14ac:dyDescent="0.35">
      <c r="A3615" t="s">
        <v>189</v>
      </c>
      <c r="E3615">
        <v>1.2365050423248021E-2</v>
      </c>
      <c r="F3615">
        <f t="shared" si="118"/>
        <v>-1.5897242004065663E-2</v>
      </c>
      <c r="G3615">
        <f t="shared" si="119"/>
        <v>-2.8020644701490995E-2</v>
      </c>
    </row>
    <row r="3616" spans="1:7" x14ac:dyDescent="0.35">
      <c r="A3616" t="s">
        <v>189</v>
      </c>
      <c r="E3616">
        <v>8.311710404882473E-3</v>
      </c>
      <c r="F3616">
        <f t="shared" si="118"/>
        <v>-1.5910620719981977E-2</v>
      </c>
      <c r="G3616">
        <f t="shared" si="119"/>
        <v>-2.8020644701490995E-2</v>
      </c>
    </row>
    <row r="3617" spans="1:7" x14ac:dyDescent="0.35">
      <c r="A3617" t="s">
        <v>189</v>
      </c>
      <c r="E3617">
        <v>-2.6230547066756517E-3</v>
      </c>
      <c r="F3617">
        <f t="shared" si="118"/>
        <v>-1.5923999435898291E-2</v>
      </c>
      <c r="G3617">
        <f t="shared" si="119"/>
        <v>-2.8020644701490995E-2</v>
      </c>
    </row>
    <row r="3618" spans="1:7" x14ac:dyDescent="0.35">
      <c r="A3618" t="s">
        <v>189</v>
      </c>
      <c r="E3618">
        <v>-6.2954896101400024E-3</v>
      </c>
      <c r="F3618">
        <f t="shared" si="118"/>
        <v>-1.5937378151814605E-2</v>
      </c>
      <c r="G3618">
        <f t="shared" si="119"/>
        <v>-2.8020644701490995E-2</v>
      </c>
    </row>
    <row r="3619" spans="1:7" x14ac:dyDescent="0.35">
      <c r="A3619" t="s">
        <v>189</v>
      </c>
      <c r="E3619">
        <v>-1.5696561265320957E-2</v>
      </c>
      <c r="F3619">
        <f t="shared" si="118"/>
        <v>-1.5950756867730918E-2</v>
      </c>
      <c r="G3619">
        <f t="shared" si="119"/>
        <v>-2.8020644701490995E-2</v>
      </c>
    </row>
    <row r="3620" spans="1:7" x14ac:dyDescent="0.35">
      <c r="A3620" t="s">
        <v>189</v>
      </c>
      <c r="E3620">
        <v>8.6048928364495375E-3</v>
      </c>
      <c r="F3620">
        <f t="shared" si="118"/>
        <v>-1.5964135583647232E-2</v>
      </c>
      <c r="G3620">
        <f t="shared" si="119"/>
        <v>-2.8020644701490995E-2</v>
      </c>
    </row>
    <row r="3621" spans="1:7" x14ac:dyDescent="0.35">
      <c r="A3621" t="s">
        <v>189</v>
      </c>
      <c r="E3621">
        <v>7.0497138158900985E-3</v>
      </c>
      <c r="F3621">
        <f t="shared" si="118"/>
        <v>-1.5977381242894866E-2</v>
      </c>
      <c r="G3621">
        <f t="shared" si="119"/>
        <v>-2.9360256825695857E-2</v>
      </c>
    </row>
    <row r="3622" spans="1:7" x14ac:dyDescent="0.35">
      <c r="A3622" t="s">
        <v>189</v>
      </c>
      <c r="E3622">
        <v>1.2662165272908994E-2</v>
      </c>
      <c r="F3622">
        <f t="shared" si="118"/>
        <v>-1.59906269021425E-2</v>
      </c>
      <c r="G3622">
        <f t="shared" si="119"/>
        <v>-2.9360256825695857E-2</v>
      </c>
    </row>
    <row r="3623" spans="1:7" x14ac:dyDescent="0.35">
      <c r="A3623" t="s">
        <v>189</v>
      </c>
      <c r="E3623">
        <v>-1.1930833850206874E-2</v>
      </c>
      <c r="F3623">
        <f t="shared" si="118"/>
        <v>-1.6003872561390135E-2</v>
      </c>
      <c r="G3623">
        <f t="shared" si="119"/>
        <v>-2.9360256825695857E-2</v>
      </c>
    </row>
    <row r="3624" spans="1:7" x14ac:dyDescent="0.35">
      <c r="A3624" t="s">
        <v>189</v>
      </c>
      <c r="E3624">
        <v>-6.9258017390392114E-3</v>
      </c>
      <c r="F3624">
        <f t="shared" si="118"/>
        <v>-1.6017118220637769E-2</v>
      </c>
      <c r="G3624">
        <f t="shared" si="119"/>
        <v>-2.9360256825695857E-2</v>
      </c>
    </row>
    <row r="3625" spans="1:7" x14ac:dyDescent="0.35">
      <c r="A3625" t="s">
        <v>189</v>
      </c>
      <c r="E3625">
        <v>-1.217094383961012E-3</v>
      </c>
      <c r="F3625">
        <f t="shared" si="118"/>
        <v>-1.6030363879885406E-2</v>
      </c>
      <c r="G3625">
        <f t="shared" si="119"/>
        <v>-2.9360256825695857E-2</v>
      </c>
    </row>
    <row r="3626" spans="1:7" x14ac:dyDescent="0.35">
      <c r="A3626" t="s">
        <v>189</v>
      </c>
      <c r="E3626">
        <v>2.0768795697641263E-3</v>
      </c>
      <c r="F3626">
        <f t="shared" si="118"/>
        <v>-1.6043609539133041E-2</v>
      </c>
      <c r="G3626">
        <f t="shared" si="119"/>
        <v>-2.9360256825695857E-2</v>
      </c>
    </row>
    <row r="3627" spans="1:7" x14ac:dyDescent="0.35">
      <c r="A3627" t="s">
        <v>189</v>
      </c>
      <c r="E3627">
        <v>-6.8818152871751928E-3</v>
      </c>
      <c r="F3627">
        <f t="shared" si="118"/>
        <v>-1.6056855198380675E-2</v>
      </c>
      <c r="G3627">
        <f t="shared" si="119"/>
        <v>-2.9360256825695857E-2</v>
      </c>
    </row>
    <row r="3628" spans="1:7" x14ac:dyDescent="0.35">
      <c r="A3628" t="s">
        <v>189</v>
      </c>
      <c r="E3628">
        <v>1.1546299102715079E-2</v>
      </c>
      <c r="F3628">
        <f t="shared" si="118"/>
        <v>-1.6070100857628309E-2</v>
      </c>
      <c r="G3628">
        <f t="shared" si="119"/>
        <v>-2.9360256825695857E-2</v>
      </c>
    </row>
    <row r="3629" spans="1:7" x14ac:dyDescent="0.35">
      <c r="A3629" t="s">
        <v>189</v>
      </c>
      <c r="E3629">
        <v>-3.0734585463976271E-3</v>
      </c>
      <c r="F3629">
        <f t="shared" si="118"/>
        <v>-1.6083346516875943E-2</v>
      </c>
      <c r="G3629">
        <f t="shared" si="119"/>
        <v>-2.9360256825695857E-2</v>
      </c>
    </row>
    <row r="3630" spans="1:7" x14ac:dyDescent="0.35">
      <c r="A3630" t="s">
        <v>189</v>
      </c>
      <c r="E3630">
        <v>-1.1235954304067083E-2</v>
      </c>
      <c r="F3630">
        <f t="shared" si="118"/>
        <v>-1.6096592176123577E-2</v>
      </c>
      <c r="G3630">
        <f t="shared" si="119"/>
        <v>-2.9360256825695857E-2</v>
      </c>
    </row>
    <row r="3631" spans="1:7" x14ac:dyDescent="0.35">
      <c r="A3631" t="s">
        <v>189</v>
      </c>
      <c r="E3631">
        <v>-1.160731202009465E-2</v>
      </c>
      <c r="F3631">
        <f t="shared" si="118"/>
        <v>-1.6109837835371212E-2</v>
      </c>
      <c r="G3631">
        <f t="shared" si="119"/>
        <v>-2.9360256825695857E-2</v>
      </c>
    </row>
    <row r="3632" spans="1:7" x14ac:dyDescent="0.35">
      <c r="A3632" t="s">
        <v>189</v>
      </c>
      <c r="E3632">
        <v>1.2132878163380408E-2</v>
      </c>
      <c r="F3632">
        <f t="shared" si="118"/>
        <v>-1.6123083494618846E-2</v>
      </c>
      <c r="G3632">
        <f t="shared" si="119"/>
        <v>-2.9360256825695857E-2</v>
      </c>
    </row>
    <row r="3633" spans="1:7" x14ac:dyDescent="0.35">
      <c r="A3633" t="s">
        <v>189</v>
      </c>
      <c r="E3633">
        <v>-9.8707349957712666E-3</v>
      </c>
      <c r="F3633">
        <f t="shared" si="118"/>
        <v>-1.613632915386648E-2</v>
      </c>
      <c r="G3633">
        <f t="shared" si="119"/>
        <v>-2.9360256825695857E-2</v>
      </c>
    </row>
    <row r="3634" spans="1:7" x14ac:dyDescent="0.35">
      <c r="A3634" t="s">
        <v>189</v>
      </c>
      <c r="E3634">
        <v>4.1692477602003159E-3</v>
      </c>
      <c r="F3634">
        <f t="shared" si="118"/>
        <v>-1.6149574813114114E-2</v>
      </c>
      <c r="G3634">
        <f t="shared" si="119"/>
        <v>-2.9360256825695857E-2</v>
      </c>
    </row>
    <row r="3635" spans="1:7" x14ac:dyDescent="0.35">
      <c r="A3635" t="s">
        <v>189</v>
      </c>
      <c r="E3635">
        <v>7.5368049144137099E-3</v>
      </c>
      <c r="F3635">
        <f t="shared" si="118"/>
        <v>-1.6162820472361748E-2</v>
      </c>
      <c r="G3635">
        <f t="shared" si="119"/>
        <v>-2.9360256825695857E-2</v>
      </c>
    </row>
    <row r="3636" spans="1:7" x14ac:dyDescent="0.35">
      <c r="A3636" t="s">
        <v>190</v>
      </c>
      <c r="B3636" s="3" cm="1">
        <f t="array" ref="B3636">_xlfn.STDEV.S(_xlfn._xlws.FILTER($E$2826:$E$3824, $A$2826:$A$3824="2024-08"))</f>
        <v>9.8398770062456571E-3</v>
      </c>
      <c r="C3636" s="3" cm="1">
        <f t="array" ref="C3636">AVERAGE(_xlfn._xlws.FILTER($E$2826:$E$3824, $A$2826:$A$3824="2024-08"))</f>
        <v>6.5597243308655035E-4</v>
      </c>
      <c r="D3636" s="3" cm="1">
        <f t="array" ref="D3636">_xlfn.PERCENTILE.EXC(_xlfn._xlws.FILTER($E$2490:$E$3818, $A$2490:$A$3818="2024-08"), 0.05)</f>
        <v>-2.134488042356579E-2</v>
      </c>
      <c r="E3636">
        <v>-2.1614134721195572E-2</v>
      </c>
      <c r="F3636">
        <f t="shared" si="118"/>
        <v>-1.6176066131609386E-2</v>
      </c>
      <c r="G3636">
        <f t="shared" si="119"/>
        <v>-2.9360256825695857E-2</v>
      </c>
    </row>
    <row r="3637" spans="1:7" x14ac:dyDescent="0.35">
      <c r="A3637" t="s">
        <v>190</v>
      </c>
      <c r="E3637">
        <v>-1.6229048768599923E-2</v>
      </c>
      <c r="F3637">
        <f t="shared" si="118"/>
        <v>-1.5854936155016326E-2</v>
      </c>
      <c r="G3637">
        <f t="shared" si="119"/>
        <v>-2.8732479143746034E-2</v>
      </c>
    </row>
    <row r="3638" spans="1:7" x14ac:dyDescent="0.35">
      <c r="A3638" t="s">
        <v>190</v>
      </c>
      <c r="E3638">
        <v>-1.4278625926599064E-2</v>
      </c>
      <c r="F3638">
        <f t="shared" si="118"/>
        <v>-1.5232589499502952E-2</v>
      </c>
      <c r="G3638">
        <f t="shared" si="119"/>
        <v>-2.8622155879765441E-2</v>
      </c>
    </row>
    <row r="3639" spans="1:7" x14ac:dyDescent="0.35">
      <c r="A3639" t="s">
        <v>190</v>
      </c>
      <c r="E3639">
        <v>-2.6542434780571686E-3</v>
      </c>
      <c r="F3639">
        <f t="shared" si="118"/>
        <v>-1.5234364446138737E-2</v>
      </c>
      <c r="G3639">
        <f t="shared" si="119"/>
        <v>-2.8622155879765441E-2</v>
      </c>
    </row>
    <row r="3640" spans="1:7" x14ac:dyDescent="0.35">
      <c r="A3640" t="s">
        <v>190</v>
      </c>
      <c r="E3640">
        <v>1.8890465562470996E-2</v>
      </c>
      <c r="F3640">
        <f t="shared" si="118"/>
        <v>-1.5236139392774524E-2</v>
      </c>
      <c r="G3640">
        <f t="shared" si="119"/>
        <v>-2.8622155879765441E-2</v>
      </c>
    </row>
    <row r="3641" spans="1:7" x14ac:dyDescent="0.35">
      <c r="A3641" t="s">
        <v>190</v>
      </c>
      <c r="E3641">
        <v>-2.5576272119057063E-3</v>
      </c>
      <c r="F3641">
        <f t="shared" si="118"/>
        <v>-1.5272539202318159E-2</v>
      </c>
      <c r="G3641">
        <f t="shared" si="119"/>
        <v>-3.0295407940639302E-2</v>
      </c>
    </row>
    <row r="3642" spans="1:7" x14ac:dyDescent="0.35">
      <c r="A3642" t="s">
        <v>190</v>
      </c>
      <c r="E3642">
        <v>3.0667179318579151E-3</v>
      </c>
      <c r="F3642">
        <f t="shared" si="118"/>
        <v>-1.5308939011861795E-2</v>
      </c>
      <c r="G3642">
        <f t="shared" si="119"/>
        <v>-3.0295407940639302E-2</v>
      </c>
    </row>
    <row r="3643" spans="1:7" x14ac:dyDescent="0.35">
      <c r="A3643" t="s">
        <v>190</v>
      </c>
      <c r="E3643">
        <v>-2.6225224012725486E-3</v>
      </c>
      <c r="F3643">
        <f t="shared" si="118"/>
        <v>-1.534533882140543E-2</v>
      </c>
      <c r="G3643">
        <f t="shared" si="119"/>
        <v>-3.0295407940639302E-2</v>
      </c>
    </row>
    <row r="3644" spans="1:7" x14ac:dyDescent="0.35">
      <c r="A3644" t="s">
        <v>190</v>
      </c>
      <c r="E3644">
        <v>3.4695151465963989E-3</v>
      </c>
      <c r="F3644">
        <f t="shared" si="118"/>
        <v>-1.5381738630949065E-2</v>
      </c>
      <c r="G3644">
        <f t="shared" si="119"/>
        <v>-3.0295407940639302E-2</v>
      </c>
    </row>
    <row r="3645" spans="1:7" x14ac:dyDescent="0.35">
      <c r="A3645" t="s">
        <v>190</v>
      </c>
      <c r="E3645">
        <v>7.8704075108392852E-3</v>
      </c>
      <c r="F3645">
        <f t="shared" si="118"/>
        <v>-1.5418138440492701E-2</v>
      </c>
      <c r="G3645">
        <f t="shared" si="119"/>
        <v>-3.0295407940639302E-2</v>
      </c>
    </row>
    <row r="3646" spans="1:7" x14ac:dyDescent="0.35">
      <c r="A3646" t="s">
        <v>190</v>
      </c>
      <c r="E3646">
        <v>1.5739962077065229E-2</v>
      </c>
      <c r="F3646">
        <f t="shared" si="118"/>
        <v>-1.5454538250036336E-2</v>
      </c>
      <c r="G3646">
        <f t="shared" si="119"/>
        <v>-3.0295407940639302E-2</v>
      </c>
    </row>
    <row r="3647" spans="1:7" x14ac:dyDescent="0.35">
      <c r="A3647" t="s">
        <v>190</v>
      </c>
      <c r="E3647">
        <v>6.9972215123834851E-3</v>
      </c>
      <c r="F3647">
        <f t="shared" si="118"/>
        <v>-1.5490938059579972E-2</v>
      </c>
      <c r="G3647">
        <f t="shared" si="119"/>
        <v>-3.0295407940639302E-2</v>
      </c>
    </row>
    <row r="3648" spans="1:7" x14ac:dyDescent="0.35">
      <c r="A3648" t="s">
        <v>190</v>
      </c>
      <c r="E3648">
        <v>-2.1724431305588454E-3</v>
      </c>
      <c r="F3648">
        <f t="shared" si="118"/>
        <v>-1.5527337869123607E-2</v>
      </c>
      <c r="G3648">
        <f t="shared" si="119"/>
        <v>-3.0295407940639302E-2</v>
      </c>
    </row>
    <row r="3649" spans="1:7" x14ac:dyDescent="0.35">
      <c r="A3649" t="s">
        <v>190</v>
      </c>
      <c r="E3649">
        <v>5.1950591342097259E-3</v>
      </c>
      <c r="F3649">
        <f t="shared" si="118"/>
        <v>-1.5563737678667242E-2</v>
      </c>
      <c r="G3649">
        <f t="shared" si="119"/>
        <v>-3.0295407940639302E-2</v>
      </c>
    </row>
    <row r="3650" spans="1:7" x14ac:dyDescent="0.35">
      <c r="A3650" t="s">
        <v>190</v>
      </c>
      <c r="E3650">
        <v>-8.1069425375180818E-5</v>
      </c>
      <c r="F3650">
        <f t="shared" si="118"/>
        <v>-1.5600137488210878E-2</v>
      </c>
      <c r="G3650">
        <f t="shared" si="119"/>
        <v>-3.0295407940639302E-2</v>
      </c>
    </row>
    <row r="3651" spans="1:7" x14ac:dyDescent="0.35">
      <c r="A3651" t="s">
        <v>190</v>
      </c>
      <c r="E3651">
        <v>7.0100908545684109E-3</v>
      </c>
      <c r="F3651">
        <f t="shared" si="118"/>
        <v>-1.5636537297754511E-2</v>
      </c>
      <c r="G3651">
        <f t="shared" si="119"/>
        <v>-3.0295407940639302E-2</v>
      </c>
    </row>
    <row r="3652" spans="1:7" x14ac:dyDescent="0.35">
      <c r="A3652" t="s">
        <v>190</v>
      </c>
      <c r="E3652">
        <v>-1.4871737332013977E-3</v>
      </c>
      <c r="F3652">
        <f t="shared" ref="F3652:F3715" si="120">_xlfn.PERCENTILE.EXC(E3652:E7467,0.05)</f>
        <v>-1.5672937107298147E-2</v>
      </c>
      <c r="G3652">
        <f t="shared" ref="G3652:G3715" si="121">AVERAGEIFS(E3652:E7468,E3652:E7468,"&lt;=" &amp; F3652)</f>
        <v>-3.0295407940639302E-2</v>
      </c>
    </row>
    <row r="3653" spans="1:7" x14ac:dyDescent="0.35">
      <c r="A3653" t="s">
        <v>190</v>
      </c>
      <c r="E3653">
        <v>1.5703162018283359E-3</v>
      </c>
      <c r="F3653">
        <f t="shared" si="120"/>
        <v>-1.5709336916841784E-2</v>
      </c>
      <c r="G3653">
        <f t="shared" si="121"/>
        <v>-3.0295407940639302E-2</v>
      </c>
    </row>
    <row r="3654" spans="1:7" x14ac:dyDescent="0.35">
      <c r="A3654" t="s">
        <v>190</v>
      </c>
      <c r="E3654">
        <v>8.3161764597496184E-3</v>
      </c>
      <c r="F3654">
        <f t="shared" si="120"/>
        <v>-1.574573672638542E-2</v>
      </c>
      <c r="G3654">
        <f t="shared" si="121"/>
        <v>-3.0295407940639302E-2</v>
      </c>
    </row>
    <row r="3655" spans="1:7" x14ac:dyDescent="0.35">
      <c r="A3655" t="s">
        <v>190</v>
      </c>
      <c r="E3655">
        <v>-1.3095949330729805E-3</v>
      </c>
      <c r="F3655">
        <f t="shared" si="120"/>
        <v>-1.5782136535929053E-2</v>
      </c>
      <c r="G3655">
        <f t="shared" si="121"/>
        <v>-3.0295407940639302E-2</v>
      </c>
    </row>
    <row r="3656" spans="1:7" x14ac:dyDescent="0.35">
      <c r="A3656" t="s">
        <v>191</v>
      </c>
      <c r="B3656" s="3" cm="1">
        <f t="array" ref="B3656">_xlfn.STDEV.S(_xlfn._xlws.FILTER($E$2826:$E$3824, $A$2826:$A$3824="2024-09"))</f>
        <v>1.1215820982116664E-2</v>
      </c>
      <c r="C3656" s="3" cm="1">
        <f t="array" ref="C3656">AVERAGE(_xlfn._xlws.FILTER($E$2826:$E$3824, $A$2826:$A$3824="2024-09"))</f>
        <v>2.9943790878570835E-5</v>
      </c>
      <c r="D3656" s="3" cm="1">
        <f t="array" ref="D3656">_xlfn.PERCENTILE.EXC(_xlfn._xlws.FILTER($E$2490:$E$3818, $A$2490:$A$3818="2024-09"), 0.05)</f>
        <v>-1.9730118565861349E-2</v>
      </c>
      <c r="E3656">
        <v>2.0252183834689672E-3</v>
      </c>
      <c r="F3656">
        <f t="shared" si="120"/>
        <v>-1.581853634547269E-2</v>
      </c>
      <c r="G3656">
        <f t="shared" si="121"/>
        <v>-3.0295407940639302E-2</v>
      </c>
    </row>
    <row r="3657" spans="1:7" x14ac:dyDescent="0.35">
      <c r="A3657" t="s">
        <v>191</v>
      </c>
      <c r="E3657">
        <v>-9.3710118198680279E-3</v>
      </c>
      <c r="F3657">
        <f t="shared" si="120"/>
        <v>-1.5854936155016326E-2</v>
      </c>
      <c r="G3657">
        <f t="shared" si="121"/>
        <v>-3.0295407940639302E-2</v>
      </c>
    </row>
    <row r="3658" spans="1:7" x14ac:dyDescent="0.35">
      <c r="A3658" t="s">
        <v>191</v>
      </c>
      <c r="E3658">
        <v>-9.834207115664597E-3</v>
      </c>
      <c r="F3658">
        <f t="shared" si="120"/>
        <v>-1.5891335964559963E-2</v>
      </c>
      <c r="G3658">
        <f t="shared" si="121"/>
        <v>-3.0295407940639302E-2</v>
      </c>
    </row>
    <row r="3659" spans="1:7" x14ac:dyDescent="0.35">
      <c r="A3659" t="s">
        <v>191</v>
      </c>
      <c r="E3659">
        <v>-9.242726147033916E-3</v>
      </c>
      <c r="F3659">
        <f t="shared" si="120"/>
        <v>-1.5927735774103596E-2</v>
      </c>
      <c r="G3659">
        <f t="shared" si="121"/>
        <v>-3.0295407940639302E-2</v>
      </c>
    </row>
    <row r="3660" spans="1:7" x14ac:dyDescent="0.35">
      <c r="A3660" t="s">
        <v>191</v>
      </c>
      <c r="E3660">
        <v>-1.077642992178565E-2</v>
      </c>
      <c r="F3660">
        <f t="shared" si="120"/>
        <v>-1.5964135583647232E-2</v>
      </c>
      <c r="G3660">
        <f t="shared" si="121"/>
        <v>-3.0295407940639302E-2</v>
      </c>
    </row>
    <row r="3661" spans="1:7" x14ac:dyDescent="0.35">
      <c r="A3661" t="s">
        <v>191</v>
      </c>
      <c r="E3661">
        <v>9.8745114667610299E-3</v>
      </c>
      <c r="F3661">
        <f t="shared" si="120"/>
        <v>-1.6100184546516738E-2</v>
      </c>
      <c r="G3661">
        <f t="shared" si="121"/>
        <v>-3.2342732563066738E-2</v>
      </c>
    </row>
    <row r="3662" spans="1:7" x14ac:dyDescent="0.35">
      <c r="A3662" t="s">
        <v>191</v>
      </c>
      <c r="E3662">
        <v>-2.3879505522763867E-3</v>
      </c>
      <c r="F3662">
        <f t="shared" si="120"/>
        <v>-1.6236233509386244E-2</v>
      </c>
      <c r="G3662">
        <f t="shared" si="121"/>
        <v>-3.2342732563066738E-2</v>
      </c>
    </row>
    <row r="3663" spans="1:7" x14ac:dyDescent="0.35">
      <c r="A3663" t="s">
        <v>191</v>
      </c>
      <c r="E3663">
        <v>-1.4482203069126978E-3</v>
      </c>
      <c r="F3663">
        <f t="shared" si="120"/>
        <v>-1.6372282472255754E-2</v>
      </c>
      <c r="G3663">
        <f t="shared" si="121"/>
        <v>-3.2342732563066738E-2</v>
      </c>
    </row>
    <row r="3664" spans="1:7" x14ac:dyDescent="0.35">
      <c r="A3664" t="s">
        <v>191</v>
      </c>
      <c r="E3664">
        <v>5.156464745670059E-3</v>
      </c>
      <c r="F3664">
        <f t="shared" si="120"/>
        <v>-1.650833143512526E-2</v>
      </c>
      <c r="G3664">
        <f t="shared" si="121"/>
        <v>-3.2342732563066738E-2</v>
      </c>
    </row>
    <row r="3665" spans="1:7" x14ac:dyDescent="0.35">
      <c r="A3665" t="s">
        <v>191</v>
      </c>
      <c r="E3665">
        <v>4.0509252514210814E-3</v>
      </c>
      <c r="F3665">
        <f t="shared" si="120"/>
        <v>-1.6644380397994769E-2</v>
      </c>
      <c r="G3665">
        <f t="shared" si="121"/>
        <v>-3.2342732563066738E-2</v>
      </c>
    </row>
    <row r="3666" spans="1:7" x14ac:dyDescent="0.35">
      <c r="A3666" t="s">
        <v>191</v>
      </c>
      <c r="E3666">
        <v>-2.1200582676136853E-3</v>
      </c>
      <c r="F3666">
        <f t="shared" si="120"/>
        <v>-1.6780429360864275E-2</v>
      </c>
      <c r="G3666">
        <f t="shared" si="121"/>
        <v>-3.2342732563066738E-2</v>
      </c>
    </row>
    <row r="3667" spans="1:7" x14ac:dyDescent="0.35">
      <c r="A3667" t="s">
        <v>191</v>
      </c>
      <c r="E3667">
        <v>5.085417129371105E-3</v>
      </c>
      <c r="F3667">
        <f t="shared" si="120"/>
        <v>-1.6916478323733782E-2</v>
      </c>
      <c r="G3667">
        <f t="shared" si="121"/>
        <v>-3.2342732563066738E-2</v>
      </c>
    </row>
    <row r="3668" spans="1:7" x14ac:dyDescent="0.35">
      <c r="A3668" t="s">
        <v>191</v>
      </c>
      <c r="E3668">
        <v>-5.6950446980456862E-3</v>
      </c>
      <c r="F3668">
        <f t="shared" si="120"/>
        <v>-1.7052527286603291E-2</v>
      </c>
      <c r="G3668">
        <f t="shared" si="121"/>
        <v>-3.2342732563066738E-2</v>
      </c>
    </row>
    <row r="3669" spans="1:7" x14ac:dyDescent="0.35">
      <c r="A3669" t="s">
        <v>191</v>
      </c>
      <c r="E3669">
        <v>2.2644591788511841E-2</v>
      </c>
      <c r="F3669">
        <f t="shared" si="120"/>
        <v>-1.7188576249472797E-2</v>
      </c>
      <c r="G3669">
        <f t="shared" si="121"/>
        <v>-3.2342732563066738E-2</v>
      </c>
    </row>
    <row r="3670" spans="1:7" x14ac:dyDescent="0.35">
      <c r="A3670" t="s">
        <v>191</v>
      </c>
      <c r="E3670">
        <v>-1.5236139392774524E-2</v>
      </c>
      <c r="F3670">
        <f t="shared" si="120"/>
        <v>-1.7324625212342307E-2</v>
      </c>
      <c r="G3670">
        <f t="shared" si="121"/>
        <v>-3.2342732563066738E-2</v>
      </c>
    </row>
    <row r="3671" spans="1:7" x14ac:dyDescent="0.35">
      <c r="A3671" t="s">
        <v>191</v>
      </c>
      <c r="E3671">
        <v>1.042087360450821E-3</v>
      </c>
      <c r="F3671">
        <f t="shared" si="120"/>
        <v>-1.7460674175211813E-2</v>
      </c>
      <c r="G3671">
        <f t="shared" si="121"/>
        <v>-3.2342732563066738E-2</v>
      </c>
    </row>
    <row r="3672" spans="1:7" x14ac:dyDescent="0.35">
      <c r="A3672" t="s">
        <v>191</v>
      </c>
      <c r="E3672">
        <v>1.2695965754127845E-2</v>
      </c>
      <c r="F3672">
        <f t="shared" si="120"/>
        <v>-1.7596723138081319E-2</v>
      </c>
      <c r="G3672">
        <f t="shared" si="121"/>
        <v>-3.2342732563066738E-2</v>
      </c>
    </row>
    <row r="3673" spans="1:7" x14ac:dyDescent="0.35">
      <c r="A3673" t="s">
        <v>191</v>
      </c>
      <c r="E3673">
        <v>-5.0614394624995734E-3</v>
      </c>
      <c r="F3673">
        <f t="shared" si="120"/>
        <v>-1.7732772100950828E-2</v>
      </c>
      <c r="G3673">
        <f t="shared" si="121"/>
        <v>-3.2342732563066738E-2</v>
      </c>
    </row>
    <row r="3674" spans="1:7" x14ac:dyDescent="0.35">
      <c r="A3674" t="s">
        <v>191</v>
      </c>
      <c r="E3674">
        <v>2.3057376730877824E-2</v>
      </c>
      <c r="F3674">
        <f t="shared" si="120"/>
        <v>-1.7868821063820334E-2</v>
      </c>
      <c r="G3674">
        <f t="shared" si="121"/>
        <v>-3.2342732563066738E-2</v>
      </c>
    </row>
    <row r="3675" spans="1:7" x14ac:dyDescent="0.35">
      <c r="A3675" t="s">
        <v>191</v>
      </c>
      <c r="E3675">
        <v>6.3989382673573774E-3</v>
      </c>
      <c r="F3675">
        <f t="shared" si="120"/>
        <v>-1.8004870026689844E-2</v>
      </c>
      <c r="G3675">
        <f t="shared" si="121"/>
        <v>-3.2342732563066738E-2</v>
      </c>
    </row>
    <row r="3676" spans="1:7" x14ac:dyDescent="0.35">
      <c r="A3676" t="s">
        <v>191</v>
      </c>
      <c r="E3676">
        <v>-2.022944958509322E-2</v>
      </c>
      <c r="F3676">
        <f t="shared" si="120"/>
        <v>-1.814091898955935E-2</v>
      </c>
      <c r="G3676">
        <f t="shared" si="121"/>
        <v>-3.2342732563066738E-2</v>
      </c>
    </row>
    <row r="3677" spans="1:7" x14ac:dyDescent="0.35">
      <c r="A3677" t="s">
        <v>192</v>
      </c>
      <c r="B3677" s="3" cm="1">
        <f t="array" ref="B3677">_xlfn.STDEV.S(_xlfn._xlws.FILTER($E$2826:$E$3824, $A$2826:$A$3824="2024-10"))</f>
        <v>7.2085372396893986E-3</v>
      </c>
      <c r="C3677" s="3" cm="1">
        <f t="array" ref="C3677">AVERAGE(_xlfn._xlws.FILTER($E$2826:$E$3824, $A$2826:$A$3824="2024-10"))</f>
        <v>-1.6561092860652243E-3</v>
      </c>
      <c r="D3677" s="3" cm="1">
        <f t="array" ref="D3677">_xlfn.PERCENTILE.EXC(_xlfn._xlws.FILTER($E$2490:$E$3818, $A$2490:$A$3818="2024-10"), 0.05)</f>
        <v>-1.282303056523698E-2</v>
      </c>
      <c r="E3677">
        <v>-8.1105940922055718E-3</v>
      </c>
      <c r="F3677">
        <f t="shared" si="120"/>
        <v>-1.5849611315108966E-2</v>
      </c>
      <c r="G3677">
        <f t="shared" si="121"/>
        <v>-3.1733401991431598E-2</v>
      </c>
    </row>
    <row r="3678" spans="1:7" x14ac:dyDescent="0.35">
      <c r="A3678" t="s">
        <v>192</v>
      </c>
      <c r="E3678">
        <v>4.646355664430952E-4</v>
      </c>
      <c r="F3678">
        <f t="shared" si="120"/>
        <v>-1.5887786071288389E-2</v>
      </c>
      <c r="G3678">
        <f t="shared" si="121"/>
        <v>-3.1733401991431598E-2</v>
      </c>
    </row>
    <row r="3679" spans="1:7" x14ac:dyDescent="0.35">
      <c r="A3679" t="s">
        <v>192</v>
      </c>
      <c r="E3679">
        <v>-1.3259250656276532E-2</v>
      </c>
      <c r="F3679">
        <f t="shared" si="120"/>
        <v>-1.5925960827467809E-2</v>
      </c>
      <c r="G3679">
        <f t="shared" si="121"/>
        <v>-3.1733401991431598E-2</v>
      </c>
    </row>
    <row r="3680" spans="1:7" x14ac:dyDescent="0.35">
      <c r="A3680" t="s">
        <v>192</v>
      </c>
      <c r="E3680">
        <v>8.4665806164543507E-3</v>
      </c>
      <c r="F3680">
        <f t="shared" si="120"/>
        <v>-1.5964135583647232E-2</v>
      </c>
      <c r="G3680">
        <f t="shared" si="121"/>
        <v>-3.1733401991431598E-2</v>
      </c>
    </row>
    <row r="3681" spans="1:7" x14ac:dyDescent="0.35">
      <c r="A3681" t="s">
        <v>192</v>
      </c>
      <c r="E3681">
        <v>4.58545868812219E-3</v>
      </c>
      <c r="F3681">
        <f t="shared" si="120"/>
        <v>-1.6100184546516738E-2</v>
      </c>
      <c r="G3681">
        <f t="shared" si="121"/>
        <v>-3.4361613059395661E-2</v>
      </c>
    </row>
    <row r="3682" spans="1:7" x14ac:dyDescent="0.35">
      <c r="A3682" t="s">
        <v>192</v>
      </c>
      <c r="E3682">
        <v>-7.2463413230972867E-3</v>
      </c>
      <c r="F3682">
        <f t="shared" si="120"/>
        <v>-1.6236233509386244E-2</v>
      </c>
      <c r="G3682">
        <f t="shared" si="121"/>
        <v>-3.4361613059395661E-2</v>
      </c>
    </row>
    <row r="3683" spans="1:7" x14ac:dyDescent="0.35">
      <c r="A3683" t="s">
        <v>192</v>
      </c>
      <c r="E3683">
        <v>5.141440409767219E-3</v>
      </c>
      <c r="F3683">
        <f t="shared" si="120"/>
        <v>-1.6372282472255754E-2</v>
      </c>
      <c r="G3683">
        <f t="shared" si="121"/>
        <v>-3.4361613059395661E-2</v>
      </c>
    </row>
    <row r="3684" spans="1:7" x14ac:dyDescent="0.35">
      <c r="A3684" t="s">
        <v>192</v>
      </c>
      <c r="E3684">
        <v>-2.4500597621330451E-3</v>
      </c>
      <c r="F3684">
        <f t="shared" si="120"/>
        <v>-1.650833143512526E-2</v>
      </c>
      <c r="G3684">
        <f t="shared" si="121"/>
        <v>-3.4361613059395661E-2</v>
      </c>
    </row>
    <row r="3685" spans="1:7" x14ac:dyDescent="0.35">
      <c r="A3685" t="s">
        <v>192</v>
      </c>
      <c r="E3685">
        <v>4.8017616673511707E-3</v>
      </c>
      <c r="F3685">
        <f t="shared" si="120"/>
        <v>-1.6644380397994769E-2</v>
      </c>
      <c r="G3685">
        <f t="shared" si="121"/>
        <v>-3.4361613059395661E-2</v>
      </c>
    </row>
    <row r="3686" spans="1:7" x14ac:dyDescent="0.35">
      <c r="A3686" t="s">
        <v>192</v>
      </c>
      <c r="E3686">
        <v>3.184466408033014E-3</v>
      </c>
      <c r="F3686">
        <f t="shared" si="120"/>
        <v>-1.6780429360864275E-2</v>
      </c>
      <c r="G3686">
        <f t="shared" si="121"/>
        <v>-3.4361613059395661E-2</v>
      </c>
    </row>
    <row r="3687" spans="1:7" x14ac:dyDescent="0.35">
      <c r="A3687" t="s">
        <v>192</v>
      </c>
      <c r="E3687">
        <v>-1.0591191456528952E-2</v>
      </c>
      <c r="F3687">
        <f t="shared" si="120"/>
        <v>-1.6916478323733782E-2</v>
      </c>
      <c r="G3687">
        <f t="shared" si="121"/>
        <v>-3.4361613059395661E-2</v>
      </c>
    </row>
    <row r="3688" spans="1:7" x14ac:dyDescent="0.35">
      <c r="A3688" t="s">
        <v>192</v>
      </c>
      <c r="E3688">
        <v>-3.9922871573655257E-3</v>
      </c>
      <c r="F3688">
        <f t="shared" si="120"/>
        <v>-1.7052527286603291E-2</v>
      </c>
      <c r="G3688">
        <f t="shared" si="121"/>
        <v>-3.4361613059395661E-2</v>
      </c>
    </row>
    <row r="3689" spans="1:7" x14ac:dyDescent="0.35">
      <c r="A3689" t="s">
        <v>192</v>
      </c>
      <c r="E3689">
        <v>1.2169378471315728E-2</v>
      </c>
      <c r="F3689">
        <f t="shared" si="120"/>
        <v>-1.7188576249472797E-2</v>
      </c>
      <c r="G3689">
        <f t="shared" si="121"/>
        <v>-3.4361613059395661E-2</v>
      </c>
    </row>
    <row r="3690" spans="1:7" x14ac:dyDescent="0.35">
      <c r="A3690" t="s">
        <v>192</v>
      </c>
      <c r="E3690">
        <v>3.8587169624727303E-3</v>
      </c>
      <c r="F3690">
        <f t="shared" si="120"/>
        <v>-1.7324625212342307E-2</v>
      </c>
      <c r="G3690">
        <f t="shared" si="121"/>
        <v>-3.4361613059395661E-2</v>
      </c>
    </row>
    <row r="3691" spans="1:7" x14ac:dyDescent="0.35">
      <c r="A3691" t="s">
        <v>192</v>
      </c>
      <c r="E3691">
        <v>-1.0141823037448129E-2</v>
      </c>
      <c r="F3691">
        <f t="shared" si="120"/>
        <v>-1.7460674175211813E-2</v>
      </c>
      <c r="G3691">
        <f t="shared" si="121"/>
        <v>-3.4361613059395661E-2</v>
      </c>
    </row>
    <row r="3692" spans="1:7" x14ac:dyDescent="0.35">
      <c r="A3692" t="s">
        <v>192</v>
      </c>
      <c r="E3692">
        <v>-1.4995358765500209E-4</v>
      </c>
      <c r="F3692">
        <f t="shared" si="120"/>
        <v>-1.7596723138081319E-2</v>
      </c>
      <c r="G3692">
        <f t="shared" si="121"/>
        <v>-3.4361613059395661E-2</v>
      </c>
    </row>
    <row r="3693" spans="1:7" x14ac:dyDescent="0.35">
      <c r="A3693" t="s">
        <v>192</v>
      </c>
      <c r="E3693">
        <v>-5.0051393089101228E-3</v>
      </c>
      <c r="F3693">
        <f t="shared" si="120"/>
        <v>-1.7732772100950828E-2</v>
      </c>
      <c r="G3693">
        <f t="shared" si="121"/>
        <v>-3.4361613059395661E-2</v>
      </c>
    </row>
    <row r="3694" spans="1:7" x14ac:dyDescent="0.35">
      <c r="A3694" t="s">
        <v>192</v>
      </c>
      <c r="E3694">
        <v>7.7329419163106063E-4</v>
      </c>
      <c r="F3694">
        <f t="shared" si="120"/>
        <v>-1.7868821063820334E-2</v>
      </c>
      <c r="G3694">
        <f t="shared" si="121"/>
        <v>-3.4361613059395661E-2</v>
      </c>
    </row>
    <row r="3695" spans="1:7" x14ac:dyDescent="0.35">
      <c r="A3695" t="s">
        <v>192</v>
      </c>
      <c r="E3695">
        <v>-7.6529153474882755E-4</v>
      </c>
      <c r="F3695">
        <f t="shared" si="120"/>
        <v>-1.8004870026689844E-2</v>
      </c>
      <c r="G3695">
        <f t="shared" si="121"/>
        <v>-3.4361613059395661E-2</v>
      </c>
    </row>
    <row r="3696" spans="1:7" x14ac:dyDescent="0.35">
      <c r="A3696" t="s">
        <v>192</v>
      </c>
      <c r="E3696">
        <v>7.8913796099694903E-3</v>
      </c>
      <c r="F3696">
        <f t="shared" si="120"/>
        <v>-1.814091898955935E-2</v>
      </c>
      <c r="G3696">
        <f t="shared" si="121"/>
        <v>-3.4361613059395661E-2</v>
      </c>
    </row>
    <row r="3697" spans="1:7" x14ac:dyDescent="0.35">
      <c r="A3697" t="s">
        <v>192</v>
      </c>
      <c r="E3697">
        <v>-6.0830885647748679E-3</v>
      </c>
      <c r="F3697">
        <f t="shared" si="120"/>
        <v>-1.827696795242886E-2</v>
      </c>
      <c r="G3697">
        <f t="shared" si="121"/>
        <v>-3.4361613059395661E-2</v>
      </c>
    </row>
    <row r="3698" spans="1:7" x14ac:dyDescent="0.35">
      <c r="A3698" t="s">
        <v>192</v>
      </c>
      <c r="E3698">
        <v>-1.1078150201078772E-2</v>
      </c>
      <c r="F3698">
        <f t="shared" si="120"/>
        <v>-1.8413016915298366E-2</v>
      </c>
      <c r="G3698">
        <f t="shared" si="121"/>
        <v>-3.4361613059395661E-2</v>
      </c>
    </row>
    <row r="3699" spans="1:7" x14ac:dyDescent="0.35">
      <c r="A3699" t="s">
        <v>192</v>
      </c>
      <c r="E3699">
        <v>-1.0554455488837565E-2</v>
      </c>
      <c r="F3699">
        <f t="shared" si="120"/>
        <v>-1.8549065878167872E-2</v>
      </c>
      <c r="G3699">
        <f t="shared" si="121"/>
        <v>-3.4361613059395661E-2</v>
      </c>
    </row>
    <row r="3700" spans="1:7" x14ac:dyDescent="0.35">
      <c r="A3700" t="s">
        <v>193</v>
      </c>
      <c r="B3700" s="3" cm="1">
        <f t="array" ref="B3700">_xlfn.STDEV.S(_xlfn._xlws.FILTER($E$2826:$E$3824, $A$2826:$A$3824="2024-11"))</f>
        <v>9.3034758987202634E-3</v>
      </c>
      <c r="C3700" s="3" cm="1">
        <f t="array" ref="C3700">AVERAGE(_xlfn._xlws.FILTER($E$2826:$E$3824, $A$2826:$A$3824="2024-11"))</f>
        <v>-7.5262325027772303E-4</v>
      </c>
      <c r="D3700" s="3" cm="1">
        <f t="array" ref="D3700">_xlfn.PERCENTILE.EXC(_xlfn._xlws.FILTER($E$2490:$E$3818, $A$2490:$A$3818="2024-11"), 0.05)</f>
        <v>-2.5733731976738936E-2</v>
      </c>
      <c r="E3700">
        <v>7.9596720384657975E-3</v>
      </c>
      <c r="F3700">
        <f t="shared" si="120"/>
        <v>-1.8685114841037381E-2</v>
      </c>
      <c r="G3700">
        <f t="shared" si="121"/>
        <v>-3.4361613059395661E-2</v>
      </c>
    </row>
    <row r="3701" spans="1:7" x14ac:dyDescent="0.35">
      <c r="A3701" t="s">
        <v>193</v>
      </c>
      <c r="E3701">
        <v>-5.0606231342384539E-3</v>
      </c>
      <c r="F3701">
        <f t="shared" si="120"/>
        <v>-1.9115089418765798E-2</v>
      </c>
      <c r="G3701">
        <f t="shared" si="121"/>
        <v>-3.7496912703067313E-2</v>
      </c>
    </row>
    <row r="3702" spans="1:7" x14ac:dyDescent="0.35">
      <c r="A3702" t="s">
        <v>193</v>
      </c>
      <c r="E3702">
        <v>4.7960489419073713E-3</v>
      </c>
      <c r="F3702">
        <f t="shared" si="120"/>
        <v>-1.9545063996494215E-2</v>
      </c>
      <c r="G3702">
        <f t="shared" si="121"/>
        <v>-3.7496912703067313E-2</v>
      </c>
    </row>
    <row r="3703" spans="1:7" x14ac:dyDescent="0.35">
      <c r="A3703" t="s">
        <v>193</v>
      </c>
      <c r="E3703">
        <v>-5.0809623708549089E-3</v>
      </c>
      <c r="F3703">
        <f t="shared" si="120"/>
        <v>-1.9975038574222628E-2</v>
      </c>
      <c r="G3703">
        <f t="shared" si="121"/>
        <v>-3.7496912703067313E-2</v>
      </c>
    </row>
    <row r="3704" spans="1:7" x14ac:dyDescent="0.35">
      <c r="A3704" t="s">
        <v>193</v>
      </c>
      <c r="E3704">
        <v>7.5687019357170791E-3</v>
      </c>
      <c r="F3704">
        <f t="shared" si="120"/>
        <v>-2.0405013151951045E-2</v>
      </c>
      <c r="G3704">
        <f t="shared" si="121"/>
        <v>-3.7496912703067313E-2</v>
      </c>
    </row>
    <row r="3705" spans="1:7" x14ac:dyDescent="0.35">
      <c r="A3705" t="s">
        <v>193</v>
      </c>
      <c r="E3705">
        <v>-1.1775862206937797E-2</v>
      </c>
      <c r="F3705">
        <f t="shared" si="120"/>
        <v>-2.0834987729679469E-2</v>
      </c>
      <c r="G3705">
        <f t="shared" si="121"/>
        <v>-3.7496912703067313E-2</v>
      </c>
    </row>
    <row r="3706" spans="1:7" x14ac:dyDescent="0.35">
      <c r="A3706" t="s">
        <v>193</v>
      </c>
      <c r="E3706">
        <v>1.1948223994756159E-2</v>
      </c>
      <c r="F3706">
        <f t="shared" si="120"/>
        <v>-2.1264962307407886E-2</v>
      </c>
      <c r="G3706">
        <f t="shared" si="121"/>
        <v>-3.7496912703067313E-2</v>
      </c>
    </row>
    <row r="3707" spans="1:7" x14ac:dyDescent="0.35">
      <c r="A3707" t="s">
        <v>193</v>
      </c>
      <c r="E3707">
        <v>-2.7284606395605732E-2</v>
      </c>
      <c r="F3707">
        <f t="shared" si="120"/>
        <v>-2.1694936885136303E-2</v>
      </c>
      <c r="G3707">
        <f t="shared" si="121"/>
        <v>-3.7496912703067313E-2</v>
      </c>
    </row>
    <row r="3708" spans="1:7" x14ac:dyDescent="0.35">
      <c r="A3708" t="s">
        <v>193</v>
      </c>
      <c r="E3708">
        <v>-1.4054465782584399E-3</v>
      </c>
      <c r="F3708">
        <f t="shared" si="120"/>
        <v>-1.7052527286603291E-2</v>
      </c>
      <c r="G3708">
        <f t="shared" si="121"/>
        <v>-3.5777014392153646E-2</v>
      </c>
    </row>
    <row r="3709" spans="1:7" x14ac:dyDescent="0.35">
      <c r="A3709" t="s">
        <v>193</v>
      </c>
      <c r="E3709">
        <v>1.307368316144639E-2</v>
      </c>
      <c r="F3709">
        <f t="shared" si="120"/>
        <v>-1.7188576249472797E-2</v>
      </c>
      <c r="G3709">
        <f t="shared" si="121"/>
        <v>-3.5777014392153646E-2</v>
      </c>
    </row>
    <row r="3710" spans="1:7" x14ac:dyDescent="0.35">
      <c r="A3710" t="s">
        <v>193</v>
      </c>
      <c r="E3710">
        <v>-5.7840853151768321E-3</v>
      </c>
      <c r="F3710">
        <f t="shared" si="120"/>
        <v>-1.7324625212342307E-2</v>
      </c>
      <c r="G3710">
        <f t="shared" si="121"/>
        <v>-3.5777014392153646E-2</v>
      </c>
    </row>
    <row r="3711" spans="1:7" x14ac:dyDescent="0.35">
      <c r="A3711" t="s">
        <v>193</v>
      </c>
      <c r="E3711">
        <v>1.1823046141201902E-3</v>
      </c>
      <c r="F3711">
        <f t="shared" si="120"/>
        <v>-1.7460674175211813E-2</v>
      </c>
      <c r="G3711">
        <f t="shared" si="121"/>
        <v>-3.5777014392153646E-2</v>
      </c>
    </row>
    <row r="3712" spans="1:7" x14ac:dyDescent="0.35">
      <c r="A3712" t="s">
        <v>193</v>
      </c>
      <c r="E3712">
        <v>-6.698458379254613E-3</v>
      </c>
      <c r="F3712">
        <f t="shared" si="120"/>
        <v>-1.7596723138081319E-2</v>
      </c>
      <c r="G3712">
        <f t="shared" si="121"/>
        <v>-3.5777014392153646E-2</v>
      </c>
    </row>
    <row r="3713" spans="1:7" x14ac:dyDescent="0.35">
      <c r="A3713" t="s">
        <v>193</v>
      </c>
      <c r="E3713">
        <v>-4.3235173312189748E-3</v>
      </c>
      <c r="F3713">
        <f t="shared" si="120"/>
        <v>-1.7732772100950828E-2</v>
      </c>
      <c r="G3713">
        <f t="shared" si="121"/>
        <v>-3.5777014392153646E-2</v>
      </c>
    </row>
    <row r="3714" spans="1:7" x14ac:dyDescent="0.35">
      <c r="A3714" t="s">
        <v>193</v>
      </c>
      <c r="E3714">
        <v>2.0635918109823516E-3</v>
      </c>
      <c r="F3714">
        <f t="shared" si="120"/>
        <v>-1.7868821063820334E-2</v>
      </c>
      <c r="G3714">
        <f t="shared" si="121"/>
        <v>-3.5777014392153646E-2</v>
      </c>
    </row>
    <row r="3715" spans="1:7" x14ac:dyDescent="0.35">
      <c r="A3715" t="s">
        <v>193</v>
      </c>
      <c r="E3715">
        <v>5.7629478153258728E-3</v>
      </c>
      <c r="F3715">
        <f t="shared" si="120"/>
        <v>-1.8004870026689844E-2</v>
      </c>
      <c r="G3715">
        <f t="shared" si="121"/>
        <v>-3.5777014392153646E-2</v>
      </c>
    </row>
    <row r="3716" spans="1:7" x14ac:dyDescent="0.35">
      <c r="A3716" t="s">
        <v>193</v>
      </c>
      <c r="E3716">
        <v>3.3901855831145844E-4</v>
      </c>
      <c r="F3716">
        <f t="shared" ref="F3716:F3779" si="122">_xlfn.PERCENTILE.EXC(E3716:E7531,0.05)</f>
        <v>-1.814091898955935E-2</v>
      </c>
      <c r="G3716">
        <f t="shared" ref="G3716:G3779" si="123">AVERAGEIFS(E3716:E7532,E3716:E7532,"&lt;=" &amp; F3716)</f>
        <v>-3.5777014392153646E-2</v>
      </c>
    </row>
    <row r="3717" spans="1:7" x14ac:dyDescent="0.35">
      <c r="A3717" t="s">
        <v>193</v>
      </c>
      <c r="E3717">
        <v>-8.7130480822385555E-3</v>
      </c>
      <c r="F3717">
        <f t="shared" si="122"/>
        <v>-1.827696795242886E-2</v>
      </c>
      <c r="G3717">
        <f t="shared" si="123"/>
        <v>-3.5777014392153646E-2</v>
      </c>
    </row>
    <row r="3718" spans="1:7" x14ac:dyDescent="0.35">
      <c r="A3718" t="s">
        <v>193</v>
      </c>
      <c r="E3718">
        <v>-7.1811790910085776E-3</v>
      </c>
      <c r="F3718">
        <f t="shared" si="122"/>
        <v>-1.8413016915298366E-2</v>
      </c>
      <c r="G3718">
        <f t="shared" si="123"/>
        <v>-3.5777014392153646E-2</v>
      </c>
    </row>
    <row r="3719" spans="1:7" x14ac:dyDescent="0.35">
      <c r="A3719" t="s">
        <v>193</v>
      </c>
      <c r="E3719">
        <v>5.0578646996088071E-3</v>
      </c>
      <c r="F3719">
        <f t="shared" si="122"/>
        <v>-1.8549065878167872E-2</v>
      </c>
      <c r="G3719">
        <f t="shared" si="123"/>
        <v>-3.5777014392153646E-2</v>
      </c>
    </row>
    <row r="3720" spans="1:7" x14ac:dyDescent="0.35">
      <c r="A3720" t="s">
        <v>193</v>
      </c>
      <c r="E3720">
        <v>7.7506430583192242E-3</v>
      </c>
      <c r="F3720">
        <f t="shared" si="122"/>
        <v>-1.8685114841037381E-2</v>
      </c>
      <c r="G3720">
        <f t="shared" si="123"/>
        <v>-3.5777014392153646E-2</v>
      </c>
    </row>
    <row r="3721" spans="1:7" x14ac:dyDescent="0.35">
      <c r="A3721" t="s">
        <v>194</v>
      </c>
      <c r="B3721" s="3" cm="1">
        <f t="array" ref="B3721">_xlfn.STDEV.S(_xlfn._xlws.FILTER($E$2826:$E$3824, $A$2826:$A$3824="2024-12"))</f>
        <v>6.8880759392993506E-3</v>
      </c>
      <c r="C3721" s="3" cm="1">
        <f t="array" ref="C3721">AVERAGE(_xlfn._xlws.FILTER($E$2826:$E$3824, $A$2826:$A$3824="2024-12"))</f>
        <v>5.9914419331652633E-4</v>
      </c>
      <c r="D3721" s="3" cm="1">
        <f t="array" ref="D3721">_xlfn.PERCENTILE.INC(_xlfn._xlws.FILTER($E$2490:$E$3818, $A$2490:$A$3818="2024-12"), 0.05)</f>
        <v>-1.160008431681674E-2</v>
      </c>
      <c r="E3721">
        <v>2.459922621580939E-4</v>
      </c>
      <c r="F3721">
        <f t="shared" si="122"/>
        <v>-1.9432044731003149E-2</v>
      </c>
      <c r="G3721">
        <f t="shared" si="123"/>
        <v>-4.004998927993271E-2</v>
      </c>
    </row>
    <row r="3722" spans="1:7" x14ac:dyDescent="0.35">
      <c r="A3722" t="s">
        <v>194</v>
      </c>
      <c r="E3722">
        <v>2.5572196700015498E-3</v>
      </c>
      <c r="F3722">
        <f t="shared" si="122"/>
        <v>-2.0178974620968917E-2</v>
      </c>
      <c r="G3722">
        <f t="shared" si="123"/>
        <v>-4.004998927993271E-2</v>
      </c>
    </row>
    <row r="3723" spans="1:7" x14ac:dyDescent="0.35">
      <c r="A3723" t="s">
        <v>194</v>
      </c>
      <c r="E3723">
        <v>6.5747865409442928E-3</v>
      </c>
      <c r="F3723">
        <f t="shared" si="122"/>
        <v>-2.0925904510934686E-2</v>
      </c>
      <c r="G3723">
        <f t="shared" si="123"/>
        <v>-4.004998927993271E-2</v>
      </c>
    </row>
    <row r="3724" spans="1:7" x14ac:dyDescent="0.35">
      <c r="A3724" t="s">
        <v>194</v>
      </c>
      <c r="E3724">
        <v>3.7256207239523237E-3</v>
      </c>
      <c r="F3724">
        <f t="shared" si="122"/>
        <v>-2.1672834400900454E-2</v>
      </c>
      <c r="G3724">
        <f t="shared" si="123"/>
        <v>-4.004998927993271E-2</v>
      </c>
    </row>
    <row r="3725" spans="1:7" x14ac:dyDescent="0.35">
      <c r="A3725" t="s">
        <v>194</v>
      </c>
      <c r="E3725">
        <v>1.3056668257590926E-2</v>
      </c>
      <c r="F3725">
        <f t="shared" si="122"/>
        <v>-2.2419764290866236E-2</v>
      </c>
      <c r="G3725">
        <f t="shared" si="123"/>
        <v>-4.004998927993271E-2</v>
      </c>
    </row>
    <row r="3726" spans="1:7" x14ac:dyDescent="0.35">
      <c r="A3726" t="s">
        <v>194</v>
      </c>
      <c r="E3726">
        <v>7.1456570961802553E-3</v>
      </c>
      <c r="F3726">
        <f t="shared" si="122"/>
        <v>-2.3166694180832004E-2</v>
      </c>
      <c r="G3726">
        <f t="shared" si="123"/>
        <v>-4.004998927993271E-2</v>
      </c>
    </row>
    <row r="3727" spans="1:7" x14ac:dyDescent="0.35">
      <c r="A3727" t="s">
        <v>194</v>
      </c>
      <c r="E3727">
        <v>-1.1477162499511853E-2</v>
      </c>
      <c r="F3727">
        <f t="shared" si="122"/>
        <v>-2.3913624070797775E-2</v>
      </c>
      <c r="G3727">
        <f t="shared" si="123"/>
        <v>-4.004998927993271E-2</v>
      </c>
    </row>
    <row r="3728" spans="1:7" x14ac:dyDescent="0.35">
      <c r="A3728" t="s">
        <v>194</v>
      </c>
      <c r="E3728">
        <v>3.8628273630924763E-3</v>
      </c>
      <c r="F3728">
        <f t="shared" si="122"/>
        <v>-2.4660553960763543E-2</v>
      </c>
      <c r="G3728">
        <f t="shared" si="123"/>
        <v>-4.004998927993271E-2</v>
      </c>
    </row>
    <row r="3729" spans="1:7" x14ac:dyDescent="0.35">
      <c r="A3729" t="s">
        <v>194</v>
      </c>
      <c r="E3729">
        <v>-3.3143946076677223E-4</v>
      </c>
      <c r="F3729">
        <f t="shared" si="122"/>
        <v>-2.5407483850729325E-2</v>
      </c>
      <c r="G3729">
        <f t="shared" si="123"/>
        <v>-4.004998927993271E-2</v>
      </c>
    </row>
    <row r="3730" spans="1:7" x14ac:dyDescent="0.35">
      <c r="A3730" t="s">
        <v>194</v>
      </c>
      <c r="E3730">
        <v>-1.5333258569875045E-3</v>
      </c>
      <c r="F3730">
        <f t="shared" si="122"/>
        <v>-2.6154413740695093E-2</v>
      </c>
      <c r="G3730">
        <f t="shared" si="123"/>
        <v>-4.004998927993271E-2</v>
      </c>
    </row>
    <row r="3731" spans="1:7" x14ac:dyDescent="0.35">
      <c r="A3731" t="s">
        <v>194</v>
      </c>
      <c r="E3731">
        <v>-7.1092930460400321E-3</v>
      </c>
      <c r="F3731">
        <f t="shared" si="122"/>
        <v>-2.6901343630660862E-2</v>
      </c>
      <c r="G3731">
        <f t="shared" si="123"/>
        <v>-4.004998927993271E-2</v>
      </c>
    </row>
    <row r="3732" spans="1:7" x14ac:dyDescent="0.35">
      <c r="A3732" t="s">
        <v>194</v>
      </c>
      <c r="E3732">
        <v>1.1709746372580798E-3</v>
      </c>
      <c r="F3732">
        <f t="shared" si="122"/>
        <v>-2.764827352062663E-2</v>
      </c>
      <c r="G3732">
        <f t="shared" si="123"/>
        <v>-4.004998927993271E-2</v>
      </c>
    </row>
    <row r="3733" spans="1:7" x14ac:dyDescent="0.35">
      <c r="A3733" t="s">
        <v>194</v>
      </c>
      <c r="E3733">
        <v>2.5653694802867627E-3</v>
      </c>
      <c r="F3733">
        <f t="shared" si="122"/>
        <v>-2.8395203410592401E-2</v>
      </c>
      <c r="G3733">
        <f t="shared" si="123"/>
        <v>-4.004998927993271E-2</v>
      </c>
    </row>
    <row r="3734" spans="1:7" x14ac:dyDescent="0.35">
      <c r="A3734" t="s">
        <v>194</v>
      </c>
      <c r="E3734">
        <v>-1.2296641281544432E-2</v>
      </c>
      <c r="F3734">
        <f t="shared" si="122"/>
        <v>-2.914213330055818E-2</v>
      </c>
      <c r="G3734">
        <f t="shared" si="123"/>
        <v>-4.004998927993271E-2</v>
      </c>
    </row>
    <row r="3735" spans="1:7" x14ac:dyDescent="0.35">
      <c r="A3735" t="s">
        <v>194</v>
      </c>
      <c r="E3735">
        <v>-2.730484884883728E-3</v>
      </c>
      <c r="F3735">
        <f t="shared" si="122"/>
        <v>-2.9889063190523951E-2</v>
      </c>
      <c r="G3735">
        <f t="shared" si="123"/>
        <v>-4.004998927993271E-2</v>
      </c>
    </row>
    <row r="3736" spans="1:7" x14ac:dyDescent="0.35">
      <c r="A3736" t="s">
        <v>194</v>
      </c>
      <c r="E3736">
        <v>-2.9697253222350691E-4</v>
      </c>
      <c r="F3736">
        <f t="shared" si="122"/>
        <v>-3.0635993080489719E-2</v>
      </c>
      <c r="G3736">
        <f t="shared" si="123"/>
        <v>-4.004998927993271E-2</v>
      </c>
    </row>
    <row r="3737" spans="1:7" x14ac:dyDescent="0.35">
      <c r="A3737" t="s">
        <v>194</v>
      </c>
      <c r="E3737">
        <v>1.1355298394992261E-2</v>
      </c>
      <c r="F3737">
        <f t="shared" si="122"/>
        <v>-3.1382922970455487E-2</v>
      </c>
      <c r="G3737">
        <f t="shared" si="123"/>
        <v>-4.004998927993271E-2</v>
      </c>
    </row>
    <row r="3738" spans="1:7" x14ac:dyDescent="0.35">
      <c r="A3738" t="s">
        <v>194</v>
      </c>
      <c r="E3738">
        <v>-5.7004993848017204E-3</v>
      </c>
      <c r="F3738">
        <f t="shared" si="122"/>
        <v>-3.2129852860421255E-2</v>
      </c>
      <c r="G3738">
        <f t="shared" si="123"/>
        <v>-4.004998927993271E-2</v>
      </c>
    </row>
    <row r="3739" spans="1:7" x14ac:dyDescent="0.35">
      <c r="A3739" t="s">
        <v>195</v>
      </c>
      <c r="B3739" s="3" cm="1">
        <f t="array" ref="B3739">_xlfn.STDEV.S(_xlfn._xlws.FILTER($E$2826:$E$3824, $A$2826:$A$3824="2025-01"))</f>
        <v>8.5876389609485446E-3</v>
      </c>
      <c r="C3739" s="3" cm="1">
        <f t="array" ref="C3739">AVERAGE(_xlfn._xlws.FILTER($E$2826:$E$3824, $A$2826:$A$3824="2025-01"))</f>
        <v>3.7937796712622439E-3</v>
      </c>
      <c r="D3739" s="3" cm="1">
        <f t="array" ref="D3739">_xlfn.PERCENTILE.EXC(_xlfn._xlws.FILTER($E$2490:$E$3818, $A$2490:$A$3818="2025-01"), 0.05)</f>
        <v>-1.4111598089777232E-2</v>
      </c>
      <c r="E3739">
        <v>1.0906241919662331E-2</v>
      </c>
      <c r="F3739">
        <f t="shared" si="122"/>
        <v>-3.2876782750387037E-2</v>
      </c>
      <c r="G3739">
        <f t="shared" si="123"/>
        <v>-4.004998927993271E-2</v>
      </c>
    </row>
    <row r="3740" spans="1:7" x14ac:dyDescent="0.35">
      <c r="A3740" t="s">
        <v>195</v>
      </c>
      <c r="E3740">
        <v>-1.5200640460058805E-2</v>
      </c>
      <c r="F3740">
        <f t="shared" si="122"/>
        <v>-3.3623712640352806E-2</v>
      </c>
      <c r="G3740">
        <f t="shared" si="123"/>
        <v>-4.004998927993271E-2</v>
      </c>
    </row>
    <row r="3741" spans="1:7" x14ac:dyDescent="0.35">
      <c r="A3741" t="s">
        <v>195</v>
      </c>
      <c r="E3741">
        <v>2.2199580715004479E-2</v>
      </c>
      <c r="F3741">
        <f t="shared" si="122"/>
        <v>-3.3642844964712093E-2</v>
      </c>
      <c r="G3741">
        <f t="shared" si="123"/>
        <v>-4.2192081493126012E-2</v>
      </c>
    </row>
    <row r="3742" spans="1:7" x14ac:dyDescent="0.35">
      <c r="A3742" t="s">
        <v>195</v>
      </c>
      <c r="E3742">
        <v>5.8466698945668083E-3</v>
      </c>
      <c r="F3742">
        <f t="shared" si="122"/>
        <v>-3.3661977289071381E-2</v>
      </c>
      <c r="G3742">
        <f t="shared" si="123"/>
        <v>-4.2192081493126012E-2</v>
      </c>
    </row>
    <row r="3743" spans="1:7" x14ac:dyDescent="0.35">
      <c r="A3743" t="s">
        <v>195</v>
      </c>
      <c r="E3743">
        <v>-4.9431995271462898E-3</v>
      </c>
      <c r="F3743">
        <f t="shared" si="122"/>
        <v>-3.3681109613430661E-2</v>
      </c>
      <c r="G3743">
        <f t="shared" si="123"/>
        <v>-4.2192081493126012E-2</v>
      </c>
    </row>
    <row r="3744" spans="1:7" x14ac:dyDescent="0.35">
      <c r="A3744" t="s">
        <v>195</v>
      </c>
      <c r="E3744">
        <v>5.0673681482930463E-3</v>
      </c>
      <c r="F3744">
        <f t="shared" si="122"/>
        <v>-3.3700241937789949E-2</v>
      </c>
      <c r="G3744">
        <f t="shared" si="123"/>
        <v>-4.2192081493126012E-2</v>
      </c>
    </row>
    <row r="3745" spans="1:7" x14ac:dyDescent="0.35">
      <c r="A3745" t="s">
        <v>195</v>
      </c>
      <c r="E3745">
        <v>-7.9403579915149937E-3</v>
      </c>
      <c r="F3745">
        <f t="shared" si="122"/>
        <v>-3.3719374262149236E-2</v>
      </c>
      <c r="G3745">
        <f t="shared" si="123"/>
        <v>-4.2192081493126012E-2</v>
      </c>
    </row>
    <row r="3746" spans="1:7" x14ac:dyDescent="0.35">
      <c r="A3746" t="s">
        <v>195</v>
      </c>
      <c r="E3746">
        <v>-3.0189353156863394E-3</v>
      </c>
      <c r="F3746">
        <f t="shared" si="122"/>
        <v>-3.3738506586508524E-2</v>
      </c>
      <c r="G3746">
        <f t="shared" si="123"/>
        <v>-4.2192081493126012E-2</v>
      </c>
    </row>
    <row r="3747" spans="1:7" x14ac:dyDescent="0.35">
      <c r="A3747" t="s">
        <v>195</v>
      </c>
      <c r="E3747">
        <v>2.0266573641520061E-3</v>
      </c>
      <c r="F3747">
        <f t="shared" si="122"/>
        <v>-3.3757638910867811E-2</v>
      </c>
      <c r="G3747">
        <f t="shared" si="123"/>
        <v>-4.2192081493126012E-2</v>
      </c>
    </row>
    <row r="3748" spans="1:7" x14ac:dyDescent="0.35">
      <c r="A3748" t="s">
        <v>195</v>
      </c>
      <c r="E3748">
        <v>6.8357242092183437E-3</v>
      </c>
      <c r="F3748">
        <f t="shared" si="122"/>
        <v>-3.3776771235227092E-2</v>
      </c>
      <c r="G3748">
        <f t="shared" si="123"/>
        <v>-4.2192081493126012E-2</v>
      </c>
    </row>
    <row r="3749" spans="1:7" x14ac:dyDescent="0.35">
      <c r="A3749" t="s">
        <v>195</v>
      </c>
      <c r="E3749">
        <v>2.1199616116556286E-2</v>
      </c>
      <c r="F3749">
        <f t="shared" si="122"/>
        <v>-3.3795903559586379E-2</v>
      </c>
      <c r="G3749">
        <f t="shared" si="123"/>
        <v>-4.2192081493126012E-2</v>
      </c>
    </row>
    <row r="3750" spans="1:7" x14ac:dyDescent="0.35">
      <c r="A3750" t="s">
        <v>195</v>
      </c>
      <c r="E3750">
        <v>9.7768772373024431E-3</v>
      </c>
      <c r="F3750">
        <f t="shared" si="122"/>
        <v>-3.3815035883945667E-2</v>
      </c>
      <c r="G3750">
        <f t="shared" si="123"/>
        <v>-4.2192081493126012E-2</v>
      </c>
    </row>
    <row r="3751" spans="1:7" x14ac:dyDescent="0.35">
      <c r="A3751" t="s">
        <v>195</v>
      </c>
      <c r="E3751">
        <v>3.0757798680650398E-3</v>
      </c>
      <c r="F3751">
        <f t="shared" si="122"/>
        <v>-3.3834168208304954E-2</v>
      </c>
      <c r="G3751">
        <f t="shared" si="123"/>
        <v>-4.2192081493126012E-2</v>
      </c>
    </row>
    <row r="3752" spans="1:7" x14ac:dyDescent="0.35">
      <c r="A3752" t="s">
        <v>195</v>
      </c>
      <c r="E3752">
        <v>4.8308805319928101E-3</v>
      </c>
      <c r="F3752">
        <f t="shared" si="122"/>
        <v>-3.3853300532664242E-2</v>
      </c>
      <c r="G3752">
        <f t="shared" si="123"/>
        <v>-4.2192081493126012E-2</v>
      </c>
    </row>
    <row r="3753" spans="1:7" x14ac:dyDescent="0.35">
      <c r="A3753" t="s">
        <v>195</v>
      </c>
      <c r="E3753">
        <v>8.5147246789359556E-3</v>
      </c>
      <c r="F3753">
        <f t="shared" si="122"/>
        <v>-3.3872432857023523E-2</v>
      </c>
      <c r="G3753">
        <f t="shared" si="123"/>
        <v>-4.2192081493126012E-2</v>
      </c>
    </row>
    <row r="3754" spans="1:7" x14ac:dyDescent="0.35">
      <c r="A3754" t="s">
        <v>195</v>
      </c>
      <c r="E3754">
        <v>7.0197319281303594E-3</v>
      </c>
      <c r="F3754">
        <f t="shared" si="122"/>
        <v>-3.389156518138281E-2</v>
      </c>
      <c r="G3754">
        <f t="shared" si="123"/>
        <v>-4.2192081493126012E-2</v>
      </c>
    </row>
    <row r="3755" spans="1:7" x14ac:dyDescent="0.35">
      <c r="A3755" t="s">
        <v>195</v>
      </c>
      <c r="E3755">
        <v>4.4259858613829237E-3</v>
      </c>
      <c r="F3755">
        <f t="shared" si="122"/>
        <v>-3.3910697505742098E-2</v>
      </c>
      <c r="G3755">
        <f t="shared" si="123"/>
        <v>-4.2192081493126012E-2</v>
      </c>
    </row>
    <row r="3756" spans="1:7" x14ac:dyDescent="0.35">
      <c r="A3756" t="s">
        <v>195</v>
      </c>
      <c r="E3756">
        <v>-2.657540309324261E-3</v>
      </c>
      <c r="F3756">
        <f t="shared" si="122"/>
        <v>-3.3929829830101385E-2</v>
      </c>
      <c r="G3756">
        <f t="shared" si="123"/>
        <v>-4.2192081493126012E-2</v>
      </c>
    </row>
    <row r="3757" spans="1:7" x14ac:dyDescent="0.35">
      <c r="A3757" t="s">
        <v>195</v>
      </c>
      <c r="E3757">
        <v>-1.1655315339039502E-3</v>
      </c>
      <c r="F3757">
        <f t="shared" si="122"/>
        <v>-3.3948962154460673E-2</v>
      </c>
      <c r="G3757">
        <f t="shared" si="123"/>
        <v>-4.2192081493126012E-2</v>
      </c>
    </row>
    <row r="3758" spans="1:7" x14ac:dyDescent="0.35">
      <c r="A3758" t="s">
        <v>195</v>
      </c>
      <c r="E3758">
        <v>-3.1566591524998383E-3</v>
      </c>
      <c r="F3758">
        <f t="shared" si="122"/>
        <v>-3.3968094478819953E-2</v>
      </c>
      <c r="G3758">
        <f t="shared" si="123"/>
        <v>-4.2192081493126012E-2</v>
      </c>
    </row>
    <row r="3759" spans="1:7" x14ac:dyDescent="0.35">
      <c r="A3759" t="s">
        <v>195</v>
      </c>
      <c r="E3759">
        <v>8.7466695483286484E-3</v>
      </c>
      <c r="F3759">
        <f t="shared" si="122"/>
        <v>-3.3987226803179241E-2</v>
      </c>
      <c r="G3759">
        <f t="shared" si="123"/>
        <v>-4.2192081493126012E-2</v>
      </c>
    </row>
    <row r="3760" spans="1:7" x14ac:dyDescent="0.35">
      <c r="A3760" t="s">
        <v>195</v>
      </c>
      <c r="E3760">
        <v>1.0735090363123432E-3</v>
      </c>
      <c r="F3760">
        <f t="shared" si="122"/>
        <v>-3.4006359127538528E-2</v>
      </c>
      <c r="G3760">
        <f t="shared" si="123"/>
        <v>-4.2192081493126012E-2</v>
      </c>
    </row>
    <row r="3761" spans="1:7" x14ac:dyDescent="0.35">
      <c r="A3761" t="s">
        <v>196</v>
      </c>
      <c r="B3761" s="3" cm="1">
        <f t="array" ref="B3761">_xlfn.STDEV.S(_xlfn._xlws.FILTER($E$2826:$E$3824, $A$2826:$A$3824="2025-02"))</f>
        <v>7.4931951722551184E-3</v>
      </c>
      <c r="C3761" s="3" cm="1">
        <f t="array" ref="C3761">AVERAGE(_xlfn._xlws.FILTER($E$2826:$E$3824, $A$2826:$A$3824="2025-02"))</f>
        <v>1.0052761141669613E-3</v>
      </c>
      <c r="D3761" s="3" cm="1">
        <f t="array" ref="D3761">_xlfn.PERCENTILE.EXC(_xlfn._xlws.FILTER($E$2490:$E$3818, $A$2490:$A$3818="2025-02"), 0.05)</f>
        <v>-1.2039032977539173E-2</v>
      </c>
      <c r="E3761">
        <v>-1.2053225025490076E-2</v>
      </c>
      <c r="F3761">
        <f t="shared" si="122"/>
        <v>-3.4484895550022931E-2</v>
      </c>
      <c r="G3761">
        <f t="shared" si="123"/>
        <v>-4.628494267591976E-2</v>
      </c>
    </row>
    <row r="3762" spans="1:7" x14ac:dyDescent="0.35">
      <c r="A3762" t="s">
        <v>196</v>
      </c>
      <c r="E3762">
        <v>6.5324710199146539E-3</v>
      </c>
      <c r="F3762">
        <f t="shared" si="122"/>
        <v>-3.4963431972507342E-2</v>
      </c>
      <c r="G3762">
        <f t="shared" si="123"/>
        <v>-4.628494267591976E-2</v>
      </c>
    </row>
    <row r="3763" spans="1:7" x14ac:dyDescent="0.35">
      <c r="A3763" t="s">
        <v>196</v>
      </c>
      <c r="E3763">
        <v>-1.8635181312975501E-3</v>
      </c>
      <c r="F3763">
        <f t="shared" si="122"/>
        <v>-3.5441968394991752E-2</v>
      </c>
      <c r="G3763">
        <f t="shared" si="123"/>
        <v>-4.628494267591976E-2</v>
      </c>
    </row>
    <row r="3764" spans="1:7" x14ac:dyDescent="0.35">
      <c r="A3764" t="s">
        <v>196</v>
      </c>
      <c r="E3764">
        <v>1.458454839101962E-2</v>
      </c>
      <c r="F3764">
        <f t="shared" si="122"/>
        <v>-3.5920504817476155E-2</v>
      </c>
      <c r="G3764">
        <f t="shared" si="123"/>
        <v>-4.628494267591976E-2</v>
      </c>
    </row>
    <row r="3765" spans="1:7" x14ac:dyDescent="0.35">
      <c r="A3765" t="s">
        <v>196</v>
      </c>
      <c r="E3765">
        <v>-4.3289921271701852E-3</v>
      </c>
      <c r="F3765">
        <f t="shared" si="122"/>
        <v>-3.6399041239960558E-2</v>
      </c>
      <c r="G3765">
        <f t="shared" si="123"/>
        <v>-4.628494267591976E-2</v>
      </c>
    </row>
    <row r="3766" spans="1:7" x14ac:dyDescent="0.35">
      <c r="A3766" t="s">
        <v>196</v>
      </c>
      <c r="E3766">
        <v>4.1541433708985106E-3</v>
      </c>
      <c r="F3766">
        <f t="shared" si="122"/>
        <v>-3.6877577662444969E-2</v>
      </c>
      <c r="G3766">
        <f t="shared" si="123"/>
        <v>-4.628494267591976E-2</v>
      </c>
    </row>
    <row r="3767" spans="1:7" x14ac:dyDescent="0.35">
      <c r="A3767" t="s">
        <v>196</v>
      </c>
      <c r="E3767">
        <v>2.8287926905326269E-3</v>
      </c>
      <c r="F3767">
        <f t="shared" si="122"/>
        <v>-3.7356114084929372E-2</v>
      </c>
      <c r="G3767">
        <f t="shared" si="123"/>
        <v>-4.628494267591976E-2</v>
      </c>
    </row>
    <row r="3768" spans="1:7" x14ac:dyDescent="0.35">
      <c r="A3768" t="s">
        <v>196</v>
      </c>
      <c r="E3768">
        <v>1.6539018858642048E-3</v>
      </c>
      <c r="F3768">
        <f t="shared" si="122"/>
        <v>-3.7834650507413782E-2</v>
      </c>
      <c r="G3768">
        <f t="shared" si="123"/>
        <v>-4.628494267591976E-2</v>
      </c>
    </row>
    <row r="3769" spans="1:7" x14ac:dyDescent="0.35">
      <c r="A3769" t="s">
        <v>196</v>
      </c>
      <c r="E3769">
        <v>1.5046284484502525E-2</v>
      </c>
      <c r="F3769">
        <f t="shared" si="122"/>
        <v>-3.8313186929898185E-2</v>
      </c>
      <c r="G3769">
        <f t="shared" si="123"/>
        <v>-4.628494267591976E-2</v>
      </c>
    </row>
    <row r="3770" spans="1:7" x14ac:dyDescent="0.35">
      <c r="A3770" t="s">
        <v>196</v>
      </c>
      <c r="E3770">
        <v>1.7659319327055004E-3</v>
      </c>
      <c r="F3770">
        <f t="shared" si="122"/>
        <v>-3.8791723352382596E-2</v>
      </c>
      <c r="G3770">
        <f t="shared" si="123"/>
        <v>-4.628494267591976E-2</v>
      </c>
    </row>
    <row r="3771" spans="1:7" x14ac:dyDescent="0.35">
      <c r="A3771" t="s">
        <v>196</v>
      </c>
      <c r="E3771">
        <v>1.2940145393598762E-3</v>
      </c>
      <c r="F3771">
        <f t="shared" si="122"/>
        <v>-3.9270259774866999E-2</v>
      </c>
      <c r="G3771">
        <f t="shared" si="123"/>
        <v>-4.628494267591976E-2</v>
      </c>
    </row>
    <row r="3772" spans="1:7" x14ac:dyDescent="0.35">
      <c r="A3772" t="s">
        <v>196</v>
      </c>
      <c r="E3772">
        <v>2.126169324519396E-3</v>
      </c>
      <c r="F3772">
        <f t="shared" si="122"/>
        <v>-3.9748796197351402E-2</v>
      </c>
      <c r="G3772">
        <f t="shared" si="123"/>
        <v>-4.628494267591976E-2</v>
      </c>
    </row>
    <row r="3773" spans="1:7" x14ac:dyDescent="0.35">
      <c r="A3773" t="s">
        <v>196</v>
      </c>
      <c r="E3773">
        <v>-1.1769384066472009E-2</v>
      </c>
      <c r="F3773">
        <f t="shared" si="122"/>
        <v>-4.0227332619835812E-2</v>
      </c>
      <c r="G3773">
        <f t="shared" si="123"/>
        <v>-4.628494267591976E-2</v>
      </c>
    </row>
    <row r="3774" spans="1:7" x14ac:dyDescent="0.35">
      <c r="A3774" t="s">
        <v>196</v>
      </c>
      <c r="E3774">
        <v>1.4833873226802259E-3</v>
      </c>
      <c r="F3774">
        <f t="shared" si="122"/>
        <v>-4.0705869042320222E-2</v>
      </c>
      <c r="G3774">
        <f t="shared" si="123"/>
        <v>-4.628494267591976E-2</v>
      </c>
    </row>
    <row r="3775" spans="1:7" x14ac:dyDescent="0.35">
      <c r="A3775" t="s">
        <v>196</v>
      </c>
      <c r="E3775">
        <v>3.9233107338613538E-3</v>
      </c>
      <c r="F3775">
        <f t="shared" si="122"/>
        <v>-4.1184405464804633E-2</v>
      </c>
      <c r="G3775">
        <f t="shared" si="123"/>
        <v>-4.628494267591976E-2</v>
      </c>
    </row>
    <row r="3776" spans="1:7" x14ac:dyDescent="0.35">
      <c r="A3776" t="s">
        <v>196</v>
      </c>
      <c r="E3776">
        <v>-7.8200515470715527E-3</v>
      </c>
      <c r="F3776">
        <f t="shared" si="122"/>
        <v>-4.1662941887289036E-2</v>
      </c>
      <c r="G3776">
        <f t="shared" si="123"/>
        <v>-4.628494267591976E-2</v>
      </c>
    </row>
    <row r="3777" spans="1:7" x14ac:dyDescent="0.35">
      <c r="A3777" t="s">
        <v>196</v>
      </c>
      <c r="E3777">
        <v>-4.9460950316206525E-3</v>
      </c>
      <c r="F3777">
        <f t="shared" si="122"/>
        <v>-4.2141478309773446E-2</v>
      </c>
      <c r="G3777">
        <f t="shared" si="123"/>
        <v>-4.628494267591976E-2</v>
      </c>
    </row>
    <row r="3778" spans="1:7" x14ac:dyDescent="0.35">
      <c r="A3778" t="s">
        <v>196</v>
      </c>
      <c r="E3778">
        <v>1.1466634725059042E-2</v>
      </c>
      <c r="F3778">
        <f t="shared" si="122"/>
        <v>-4.2620014732257849E-2</v>
      </c>
      <c r="G3778">
        <f t="shared" si="123"/>
        <v>-4.628494267591976E-2</v>
      </c>
    </row>
    <row r="3779" spans="1:7" x14ac:dyDescent="0.35">
      <c r="A3779" t="s">
        <v>196</v>
      </c>
      <c r="E3779">
        <v>-5.0965121727303241E-3</v>
      </c>
      <c r="F3779">
        <f t="shared" si="122"/>
        <v>-4.3098551154742253E-2</v>
      </c>
      <c r="G3779">
        <f t="shared" si="123"/>
        <v>-4.628494267591976E-2</v>
      </c>
    </row>
    <row r="3780" spans="1:7" x14ac:dyDescent="0.35">
      <c r="A3780" t="s">
        <v>196</v>
      </c>
      <c r="E3780">
        <v>1.1237099642740387E-3</v>
      </c>
      <c r="F3780">
        <f t="shared" ref="F3780:F3818" si="124">_xlfn.PERCENTILE.EXC(E3780:E7595,0.05)</f>
        <v>-4.3577087577226663E-2</v>
      </c>
      <c r="G3780">
        <f t="shared" ref="G3780:G3818" si="125">AVERAGEIFS(E3780:E7596,E3780:E7596,"&lt;=" &amp; F3780)</f>
        <v>-4.628494267591976E-2</v>
      </c>
    </row>
    <row r="3781" spans="1:7" x14ac:dyDescent="0.35">
      <c r="A3781" t="s">
        <v>197</v>
      </c>
      <c r="B3781" s="3" cm="1">
        <f t="array" ref="B3781">_xlfn.STDEV.S(_xlfn._xlws.FILTER($E$2826:$E$3824, $A$2826:$A$3824="2025-03"))</f>
        <v>1.0009677325051163E-2</v>
      </c>
      <c r="C3781" s="3" cm="1">
        <f t="array" ref="C3781">AVERAGE(_xlfn._xlws.FILTER($E$2826:$E$3824, $A$2826:$A$3824="2025-03"))</f>
        <v>-1.9222302928070174E-3</v>
      </c>
      <c r="D3781" s="3" cm="1">
        <f t="array" ref="D3781">_xlfn.PERCENTILE.EXC(_xlfn._xlws.FILTER($E$2490:$E$3818, $A$2490:$A$3818="2025-03"), 0.05)</f>
        <v>-1.8413016915298366E-2</v>
      </c>
      <c r="E3781">
        <v>1.0799953422410481E-2</v>
      </c>
      <c r="F3781">
        <f t="shared" si="124"/>
        <v>-4.3847873087095972E-2</v>
      </c>
      <c r="G3781">
        <f t="shared" si="125"/>
        <v>-4.8992797774612858E-2</v>
      </c>
    </row>
    <row r="3782" spans="1:7" x14ac:dyDescent="0.35">
      <c r="A3782" t="s">
        <v>197</v>
      </c>
      <c r="E3782">
        <v>-1.8685114841037381E-2</v>
      </c>
      <c r="F3782">
        <f t="shared" si="124"/>
        <v>-4.4118658596965281E-2</v>
      </c>
      <c r="G3782">
        <f t="shared" si="125"/>
        <v>-4.8992797774612858E-2</v>
      </c>
    </row>
    <row r="3783" spans="1:7" x14ac:dyDescent="0.35">
      <c r="A3783" t="s">
        <v>197</v>
      </c>
      <c r="E3783">
        <v>1.5514126943223705E-2</v>
      </c>
      <c r="F3783">
        <f t="shared" si="124"/>
        <v>-4.438944410683459E-2</v>
      </c>
      <c r="G3783">
        <f t="shared" si="125"/>
        <v>-4.8992797774612858E-2</v>
      </c>
    </row>
    <row r="3784" spans="1:7" x14ac:dyDescent="0.35">
      <c r="A3784" t="s">
        <v>197</v>
      </c>
      <c r="E3784">
        <v>2.9221676581747185E-3</v>
      </c>
      <c r="F3784">
        <f t="shared" si="124"/>
        <v>-4.4660229616703899E-2</v>
      </c>
      <c r="G3784">
        <f t="shared" si="125"/>
        <v>-4.8992797774612858E-2</v>
      </c>
    </row>
    <row r="3785" spans="1:7" x14ac:dyDescent="0.35">
      <c r="A3785" t="s">
        <v>197</v>
      </c>
      <c r="E3785">
        <v>-9.4212960634392062E-3</v>
      </c>
      <c r="F3785">
        <f t="shared" si="124"/>
        <v>-4.4931015126573215E-2</v>
      </c>
      <c r="G3785">
        <f t="shared" si="125"/>
        <v>-4.8992797774612858E-2</v>
      </c>
    </row>
    <row r="3786" spans="1:7" x14ac:dyDescent="0.35">
      <c r="A3786" t="s">
        <v>197</v>
      </c>
      <c r="E3786">
        <v>-9.0547611551401435E-3</v>
      </c>
      <c r="F3786">
        <f t="shared" si="124"/>
        <v>-4.5201800636442517E-2</v>
      </c>
      <c r="G3786">
        <f t="shared" si="125"/>
        <v>-4.8992797774612858E-2</v>
      </c>
    </row>
    <row r="3787" spans="1:7" x14ac:dyDescent="0.35">
      <c r="A3787" t="s">
        <v>197</v>
      </c>
      <c r="E3787">
        <v>-1.3220109846240467E-2</v>
      </c>
      <c r="F3787">
        <f t="shared" si="124"/>
        <v>-4.5472586146311833E-2</v>
      </c>
      <c r="G3787">
        <f t="shared" si="125"/>
        <v>-4.8992797774612858E-2</v>
      </c>
    </row>
    <row r="3788" spans="1:7" x14ac:dyDescent="0.35">
      <c r="A3788" t="s">
        <v>197</v>
      </c>
      <c r="E3788">
        <v>5.9067881162004933E-3</v>
      </c>
      <c r="F3788">
        <f t="shared" si="124"/>
        <v>-4.5743371656181142E-2</v>
      </c>
      <c r="G3788">
        <f t="shared" si="125"/>
        <v>-4.8992797774612858E-2</v>
      </c>
    </row>
    <row r="3789" spans="1:7" x14ac:dyDescent="0.35">
      <c r="A3789" t="s">
        <v>197</v>
      </c>
      <c r="E3789">
        <v>-6.3727795655036355E-3</v>
      </c>
      <c r="F3789">
        <f t="shared" si="124"/>
        <v>-4.6014157166050451E-2</v>
      </c>
      <c r="G3789">
        <f t="shared" si="125"/>
        <v>-4.8992797774612858E-2</v>
      </c>
    </row>
    <row r="3790" spans="1:7" x14ac:dyDescent="0.35">
      <c r="A3790" t="s">
        <v>197</v>
      </c>
      <c r="E3790">
        <v>1.1282499215724809E-2</v>
      </c>
      <c r="F3790">
        <f t="shared" si="124"/>
        <v>-4.628494267591976E-2</v>
      </c>
      <c r="G3790">
        <f t="shared" si="125"/>
        <v>-4.8992797774612858E-2</v>
      </c>
    </row>
    <row r="3791" spans="1:7" x14ac:dyDescent="0.35">
      <c r="A3791" t="s">
        <v>197</v>
      </c>
      <c r="E3791">
        <v>5.6762370876098037E-3</v>
      </c>
      <c r="F3791">
        <f t="shared" si="124"/>
        <v>-4.6555728185789069E-2</v>
      </c>
      <c r="G3791">
        <f t="shared" si="125"/>
        <v>-4.8992797774612858E-2</v>
      </c>
    </row>
    <row r="3792" spans="1:7" x14ac:dyDescent="0.35">
      <c r="A3792" t="s">
        <v>197</v>
      </c>
      <c r="E3792">
        <v>5.0146659286059566E-3</v>
      </c>
      <c r="F3792">
        <f t="shared" si="124"/>
        <v>-4.6826513695658378E-2</v>
      </c>
      <c r="G3792">
        <f t="shared" si="125"/>
        <v>-4.8992797774612858E-2</v>
      </c>
    </row>
    <row r="3793" spans="1:7" x14ac:dyDescent="0.35">
      <c r="A3793" t="s">
        <v>197</v>
      </c>
      <c r="E3793">
        <v>6.9876079783154597E-3</v>
      </c>
      <c r="F3793">
        <f t="shared" si="124"/>
        <v>-4.7097299205527687E-2</v>
      </c>
      <c r="G3793">
        <f t="shared" si="125"/>
        <v>-4.8992797774612858E-2</v>
      </c>
    </row>
    <row r="3794" spans="1:7" x14ac:dyDescent="0.35">
      <c r="A3794" t="s">
        <v>197</v>
      </c>
      <c r="E3794">
        <v>-9.501063437784011E-3</v>
      </c>
      <c r="F3794">
        <f t="shared" si="124"/>
        <v>-4.7368084715396996E-2</v>
      </c>
      <c r="G3794">
        <f t="shared" si="125"/>
        <v>-4.8992797774612858E-2</v>
      </c>
    </row>
    <row r="3795" spans="1:7" x14ac:dyDescent="0.35">
      <c r="A3795" t="s">
        <v>197</v>
      </c>
      <c r="E3795">
        <v>-6.3518244931150191E-3</v>
      </c>
      <c r="F3795">
        <f t="shared" si="124"/>
        <v>-4.7638870225266305E-2</v>
      </c>
      <c r="G3795">
        <f t="shared" si="125"/>
        <v>-4.8992797774612858E-2</v>
      </c>
    </row>
    <row r="3796" spans="1:7" x14ac:dyDescent="0.35">
      <c r="A3796" t="s">
        <v>197</v>
      </c>
      <c r="E3796">
        <v>-2.5670279413970223E-3</v>
      </c>
      <c r="F3796">
        <f t="shared" si="124"/>
        <v>-4.7909655735135614E-2</v>
      </c>
      <c r="G3796">
        <f t="shared" si="125"/>
        <v>-4.8992797774612858E-2</v>
      </c>
    </row>
    <row r="3797" spans="1:7" x14ac:dyDescent="0.35">
      <c r="A3797" t="s">
        <v>197</v>
      </c>
      <c r="E3797">
        <v>1.0695090203858728E-2</v>
      </c>
      <c r="F3797">
        <f t="shared" si="124"/>
        <v>-4.818044124500493E-2</v>
      </c>
      <c r="G3797">
        <f t="shared" si="125"/>
        <v>-4.8992797774612858E-2</v>
      </c>
    </row>
    <row r="3798" spans="1:7" x14ac:dyDescent="0.35">
      <c r="A3798" t="s">
        <v>197</v>
      </c>
      <c r="E3798">
        <v>-9.6547867650576668E-3</v>
      </c>
      <c r="F3798">
        <f t="shared" si="124"/>
        <v>-4.845122675487424E-2</v>
      </c>
      <c r="G3798">
        <f t="shared" si="125"/>
        <v>-4.8992797774612858E-2</v>
      </c>
    </row>
    <row r="3799" spans="1:7" x14ac:dyDescent="0.35">
      <c r="A3799" t="s">
        <v>197</v>
      </c>
      <c r="E3799">
        <v>-5.0646799217342808E-3</v>
      </c>
      <c r="F3799">
        <f t="shared" si="124"/>
        <v>-4.8722012264743549E-2</v>
      </c>
      <c r="G3799">
        <f t="shared" si="125"/>
        <v>-4.8992797774612858E-2</v>
      </c>
    </row>
    <row r="3800" spans="1:7" x14ac:dyDescent="0.35">
      <c r="A3800" t="s">
        <v>197</v>
      </c>
      <c r="E3800">
        <v>-9.3083930889754519E-3</v>
      </c>
      <c r="F3800">
        <f t="shared" si="124"/>
        <v>-4.8992797774612858E-2</v>
      </c>
      <c r="G3800">
        <f t="shared" si="125"/>
        <v>-4.8992797774612858E-2</v>
      </c>
    </row>
    <row r="3801" spans="1:7" x14ac:dyDescent="0.35">
      <c r="A3801" t="s">
        <v>197</v>
      </c>
      <c r="E3801">
        <v>-1.5964135583647232E-2</v>
      </c>
      <c r="F3801" t="e">
        <f t="shared" si="124"/>
        <v>#NUM!</v>
      </c>
      <c r="G3801" t="e">
        <f t="shared" si="125"/>
        <v>#DIV/0!</v>
      </c>
    </row>
    <row r="3802" spans="1:7" x14ac:dyDescent="0.35">
      <c r="A3802" t="s">
        <v>198</v>
      </c>
      <c r="B3802" s="3" cm="1">
        <f t="array" ref="B3802">_xlfn.STDEV.S(_xlfn._xlws.FILTER($E$2826:$E$3824, $A$2826:$A$3824="2025-04"))</f>
        <v>2.4797797836220742E-2</v>
      </c>
      <c r="C3802" s="3" cm="1">
        <f t="array" ref="C3802">AVERAGE(_xlfn._xlws.FILTER($E$2826:$E$3824, $A$2826:$A$3824="2025-04"))</f>
        <v>-1.9532917929011686E-3</v>
      </c>
      <c r="D3802" s="3" cm="1">
        <f t="array" ref="D3802">_xlfn.PERCENTILE.INC(_xlfn._xlws.FILTER($E$2490:$E$3818, $A$2490:$A$3818="2025-04"), 0.05)</f>
        <v>-4.4660229616703899E-2</v>
      </c>
      <c r="E3802">
        <v>1.0933869993936153E-2</v>
      </c>
      <c r="F3802" t="e">
        <f t="shared" si="124"/>
        <v>#NUM!</v>
      </c>
      <c r="G3802" t="e">
        <f t="shared" si="125"/>
        <v>#DIV/0!</v>
      </c>
    </row>
    <row r="3803" spans="1:7" x14ac:dyDescent="0.35">
      <c r="A3803" t="s">
        <v>198</v>
      </c>
      <c r="E3803">
        <v>-2.2281278144571678E-3</v>
      </c>
      <c r="F3803" t="e">
        <f t="shared" si="124"/>
        <v>#NUM!</v>
      </c>
      <c r="G3803" t="e">
        <f t="shared" si="125"/>
        <v>#DIV/0!</v>
      </c>
    </row>
    <row r="3804" spans="1:7" x14ac:dyDescent="0.35">
      <c r="A3804" t="s">
        <v>198</v>
      </c>
      <c r="E3804">
        <v>-3.3623712640352806E-2</v>
      </c>
      <c r="F3804" t="e">
        <f t="shared" si="124"/>
        <v>#NUM!</v>
      </c>
      <c r="G3804" t="e">
        <f t="shared" si="125"/>
        <v>#DIV/0!</v>
      </c>
    </row>
    <row r="3805" spans="1:7" x14ac:dyDescent="0.35">
      <c r="A3805" t="s">
        <v>198</v>
      </c>
      <c r="E3805">
        <v>-4.3577087577226663E-2</v>
      </c>
      <c r="F3805" t="e">
        <f t="shared" si="124"/>
        <v>#NUM!</v>
      </c>
      <c r="G3805" t="e">
        <f t="shared" si="125"/>
        <v>#DIV/0!</v>
      </c>
    </row>
    <row r="3806" spans="1:7" x14ac:dyDescent="0.35">
      <c r="A3806" t="s">
        <v>198</v>
      </c>
      <c r="E3806">
        <v>-4.8992797774612858E-2</v>
      </c>
      <c r="F3806" t="e">
        <f t="shared" si="124"/>
        <v>#NUM!</v>
      </c>
      <c r="G3806" t="e">
        <f t="shared" si="125"/>
        <v>#DIV/0!</v>
      </c>
    </row>
    <row r="3807" spans="1:7" x14ac:dyDescent="0.35">
      <c r="A3807" t="s">
        <v>198</v>
      </c>
      <c r="E3807">
        <v>2.4709794820171792E-2</v>
      </c>
      <c r="F3807" t="e">
        <f t="shared" si="124"/>
        <v>#NUM!</v>
      </c>
      <c r="G3807" t="e">
        <f t="shared" si="125"/>
        <v>#DIV/0!</v>
      </c>
    </row>
    <row r="3808" spans="1:7" x14ac:dyDescent="0.35">
      <c r="A3808" t="s">
        <v>198</v>
      </c>
      <c r="E3808">
        <v>-3.4006359127538528E-2</v>
      </c>
      <c r="F3808" t="e">
        <f t="shared" si="124"/>
        <v>#NUM!</v>
      </c>
      <c r="G3808" t="e">
        <f t="shared" si="125"/>
        <v>#DIV/0!</v>
      </c>
    </row>
    <row r="3809" spans="1:7" x14ac:dyDescent="0.35">
      <c r="A3809" t="s">
        <v>198</v>
      </c>
      <c r="E3809">
        <v>3.7605295703612644E-2</v>
      </c>
      <c r="F3809" t="e">
        <f t="shared" si="124"/>
        <v>#NUM!</v>
      </c>
      <c r="G3809" t="e">
        <f t="shared" si="125"/>
        <v>#DIV/0!</v>
      </c>
    </row>
    <row r="3810" spans="1:7" x14ac:dyDescent="0.35">
      <c r="A3810" t="s">
        <v>198</v>
      </c>
      <c r="E3810">
        <v>-2.9822618411802461E-3</v>
      </c>
      <c r="F3810" t="e">
        <f t="shared" si="124"/>
        <v>#NUM!</v>
      </c>
      <c r="G3810" t="e">
        <f t="shared" si="125"/>
        <v>#DIV/0!</v>
      </c>
    </row>
    <row r="3811" spans="1:7" x14ac:dyDescent="0.35">
      <c r="A3811" t="s">
        <v>198</v>
      </c>
      <c r="E3811">
        <v>2.3414748455406139E-2</v>
      </c>
      <c r="F3811" t="e">
        <f t="shared" si="124"/>
        <v>#NUM!</v>
      </c>
      <c r="G3811" t="e">
        <f t="shared" si="125"/>
        <v>#DIV/0!</v>
      </c>
    </row>
    <row r="3812" spans="1:7" x14ac:dyDescent="0.35">
      <c r="A3812" t="s">
        <v>198</v>
      </c>
      <c r="E3812">
        <v>8.5265827511761694E-3</v>
      </c>
      <c r="F3812" t="e">
        <f t="shared" si="124"/>
        <v>#NUM!</v>
      </c>
      <c r="G3812" t="e">
        <f t="shared" si="125"/>
        <v>#DIV/0!</v>
      </c>
    </row>
    <row r="3813" spans="1:7" x14ac:dyDescent="0.35">
      <c r="A3813" t="s">
        <v>198</v>
      </c>
      <c r="E3813">
        <v>-7.405200479956651E-4</v>
      </c>
      <c r="F3813" t="e">
        <f t="shared" si="124"/>
        <v>#NUM!</v>
      </c>
      <c r="G3813" t="e">
        <f t="shared" si="125"/>
        <v>#DIV/0!</v>
      </c>
    </row>
    <row r="3814" spans="1:7" x14ac:dyDescent="0.35">
      <c r="A3814" t="s">
        <v>198</v>
      </c>
      <c r="E3814">
        <v>-6.0359396517290472E-3</v>
      </c>
      <c r="F3814" t="e">
        <f t="shared" si="124"/>
        <v>#NUM!</v>
      </c>
      <c r="G3814" t="e">
        <f t="shared" si="125"/>
        <v>#DIV/0!</v>
      </c>
    </row>
    <row r="3815" spans="1:7" x14ac:dyDescent="0.35">
      <c r="A3815" t="s">
        <v>198</v>
      </c>
      <c r="E3815">
        <v>5.5583338939144775E-3</v>
      </c>
      <c r="F3815" t="e">
        <f t="shared" si="124"/>
        <v>#NUM!</v>
      </c>
      <c r="G3815" t="e">
        <f t="shared" si="125"/>
        <v>#DIV/0!</v>
      </c>
    </row>
    <row r="3816" spans="1:7" x14ac:dyDescent="0.35">
      <c r="A3816" t="s">
        <v>198</v>
      </c>
      <c r="E3816">
        <v>2.105443288265748E-2</v>
      </c>
      <c r="F3816" t="e">
        <f t="shared" si="124"/>
        <v>#NUM!</v>
      </c>
      <c r="G3816" t="e">
        <f t="shared" si="125"/>
        <v>#DIV/0!</v>
      </c>
    </row>
    <row r="3817" spans="1:7" x14ac:dyDescent="0.35">
      <c r="A3817" t="s">
        <v>198</v>
      </c>
      <c r="E3817">
        <v>2.7253682834265541E-3</v>
      </c>
      <c r="F3817" t="e">
        <f t="shared" si="124"/>
        <v>#NUM!</v>
      </c>
      <c r="G3817" t="e">
        <f t="shared" si="125"/>
        <v>#DIV/0!</v>
      </c>
    </row>
    <row r="3818" spans="1:7" x14ac:dyDescent="0.35">
      <c r="A3818" t="s">
        <v>198</v>
      </c>
      <c r="E3818">
        <v>4.4524192114716856E-3</v>
      </c>
      <c r="F3818" t="e">
        <f t="shared" si="124"/>
        <v>#NUM!</v>
      </c>
      <c r="G3818" t="e">
        <f t="shared" si="125"/>
        <v>#DIV/0!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8A933-1CC2-4942-87CE-E2181A1F9A7B}">
  <dimension ref="A1:AD3818"/>
  <sheetViews>
    <sheetView topLeftCell="A112" zoomScale="30" zoomScaleNormal="30" workbookViewId="0">
      <selection activeCell="AJ157" sqref="AJ157:AK157"/>
    </sheetView>
  </sheetViews>
  <sheetFormatPr baseColWidth="10" defaultRowHeight="14.5" x14ac:dyDescent="0.35"/>
  <cols>
    <col min="1" max="1" width="18.1796875" customWidth="1"/>
    <col min="2" max="3" width="19.08984375" customWidth="1"/>
    <col min="4" max="4" width="17.6328125" customWidth="1"/>
    <col min="5" max="5" width="24.54296875" customWidth="1"/>
    <col min="6" max="8" width="10.90625" customWidth="1"/>
    <col min="10" max="10" width="18.453125" bestFit="1" customWidth="1"/>
    <col min="11" max="13" width="18.453125" customWidth="1"/>
    <col min="14" max="14" width="15.90625" bestFit="1" customWidth="1"/>
    <col min="15" max="16" width="18.54296875" bestFit="1" customWidth="1"/>
    <col min="17" max="17" width="15.90625" bestFit="1" customWidth="1"/>
    <col min="18" max="19" width="18.453125" customWidth="1"/>
    <col min="20" max="20" width="18.54296875" bestFit="1" customWidth="1"/>
    <col min="21" max="21" width="18.81640625" customWidth="1"/>
    <col min="22" max="23" width="18.453125" customWidth="1"/>
    <col min="24" max="24" width="19.36328125" bestFit="1" customWidth="1"/>
    <col min="25" max="25" width="20.7265625" bestFit="1" customWidth="1"/>
    <col min="26" max="26" width="13.26953125" bestFit="1" customWidth="1"/>
    <col min="27" max="27" width="13.90625" bestFit="1" customWidth="1"/>
    <col min="28" max="28" width="13.26953125" bestFit="1" customWidth="1"/>
    <col min="29" max="29" width="13.90625" bestFit="1" customWidth="1"/>
    <col min="30" max="30" width="13.26953125" bestFit="1" customWidth="1"/>
  </cols>
  <sheetData>
    <row r="1" spans="1:25" x14ac:dyDescent="0.35">
      <c r="A1" t="s">
        <v>404</v>
      </c>
      <c r="B1" t="s">
        <v>249</v>
      </c>
      <c r="C1" t="s">
        <v>381</v>
      </c>
      <c r="D1" t="s">
        <v>208</v>
      </c>
      <c r="E1" t="s">
        <v>403</v>
      </c>
      <c r="F1" t="s">
        <v>199</v>
      </c>
      <c r="G1" t="s">
        <v>200</v>
      </c>
    </row>
    <row r="2" spans="1:25" x14ac:dyDescent="0.35">
      <c r="A2" t="s">
        <v>15</v>
      </c>
      <c r="B2" s="3" cm="1">
        <f t="array" ref="B2">_xlfn.STDEV.S(_xlfn._xlws.FILTER($E$2:$E$1000, $A$2:$A$1000="2010-01"))</f>
        <v>1.0703966402067659E-2</v>
      </c>
      <c r="C2" s="3" cm="1">
        <f t="array" ref="C2">AVERAGE(_xlfn._xlws.FILTER($E$2:$E$1000, $A$2:$A$1000="2010-01"))</f>
        <v>-3.9706437276406832E-3</v>
      </c>
      <c r="D2" s="3" cm="1">
        <f t="array" ref="D2">_xlfn.PERCENTILE.EXC(_xlfn._xlws.FILTER($E$2:$E$21, $A$2:$A$21="2010-01"), 0.05)</f>
        <v>-2.1128600379992767E-2</v>
      </c>
      <c r="J2" t="s">
        <v>204</v>
      </c>
      <c r="K2" t="s">
        <v>249</v>
      </c>
      <c r="L2" t="s">
        <v>381</v>
      </c>
      <c r="M2" t="s">
        <v>250</v>
      </c>
      <c r="N2" t="s">
        <v>201</v>
      </c>
      <c r="O2" t="s">
        <v>200</v>
      </c>
      <c r="P2" t="s">
        <v>202</v>
      </c>
      <c r="Q2" t="s">
        <v>220</v>
      </c>
      <c r="R2" t="s">
        <v>295</v>
      </c>
      <c r="S2" t="s">
        <v>382</v>
      </c>
      <c r="T2" t="s">
        <v>203</v>
      </c>
      <c r="U2" t="s">
        <v>222</v>
      </c>
      <c r="V2" t="s">
        <v>223</v>
      </c>
      <c r="W2" t="s">
        <v>224</v>
      </c>
      <c r="X2" t="s">
        <v>274</v>
      </c>
      <c r="Y2" t="s">
        <v>275</v>
      </c>
    </row>
    <row r="3" spans="1:25" x14ac:dyDescent="0.35">
      <c r="A3" t="s">
        <v>15</v>
      </c>
      <c r="E3">
        <v>-2.7218199344007433E-3</v>
      </c>
      <c r="F3">
        <f>_xlfn.PERCENTILE.EXC(E3:E3818,0.05)</f>
        <v>-1.984728912490465E-2</v>
      </c>
      <c r="G3">
        <f>AVERAGEIFS(E3:E3819,E3:E3819,"&lt;=" &amp; F3)</f>
        <v>-3.0189906968418438E-2</v>
      </c>
      <c r="J3" s="2" t="s">
        <v>15</v>
      </c>
      <c r="K3">
        <f>B2</f>
        <v>1.0703966402067659E-2</v>
      </c>
      <c r="L3">
        <f>C2</f>
        <v>-3.9706437276406832E-3</v>
      </c>
      <c r="N3">
        <f>D2</f>
        <v>-2.1128600379992767E-2</v>
      </c>
      <c r="O3">
        <f>AVERAGEIFS(E2:E21,E2:E21,"&lt;=" &amp; N3)</f>
        <v>-2.1128600379992767E-2</v>
      </c>
      <c r="P3">
        <v>105.57108427115571</v>
      </c>
      <c r="Q3">
        <v>37.116689999999998</v>
      </c>
      <c r="T3">
        <v>24.62</v>
      </c>
      <c r="U3">
        <f>CORREL(P3:P186,N3:N186)</f>
        <v>-4.6297994123274323E-2</v>
      </c>
      <c r="V3">
        <f>CORREL(P3:P186,O3:O186)</f>
        <v>-7.3672454927288411E-2</v>
      </c>
      <c r="W3">
        <f>CORREL(N3:N186,O3:O186)</f>
        <v>0.9547555999429741</v>
      </c>
      <c r="X3">
        <f>CORREL(P3:P186,T3:T186)</f>
        <v>0.1787466099101517</v>
      </c>
      <c r="Y3">
        <f>CORREL(P3:P186,Q3:Q186)</f>
        <v>-0.1672905232238486</v>
      </c>
    </row>
    <row r="4" spans="1:25" x14ac:dyDescent="0.35">
      <c r="A4" t="s">
        <v>15</v>
      </c>
      <c r="E4">
        <v>4.0940844367632186E-4</v>
      </c>
      <c r="F4">
        <f t="shared" ref="F4:F67" si="0">_xlfn.PERCENTILE.EXC(E4:E3819,0.05)</f>
        <v>-1.9849823732863002E-2</v>
      </c>
      <c r="G4">
        <f t="shared" ref="G4:G67" si="1">AVERAGEIFS(E4:E3820,E4:E3820,"&lt;=" &amp; F4)</f>
        <v>-3.0189906968418438E-2</v>
      </c>
      <c r="J4" s="2" t="s">
        <v>16</v>
      </c>
      <c r="K4">
        <f>B22</f>
        <v>1.1110897274388904E-2</v>
      </c>
      <c r="L4">
        <f>C22</f>
        <v>-9.2172503739805766E-5</v>
      </c>
      <c r="M4">
        <f>K3</f>
        <v>1.0703966402067659E-2</v>
      </c>
      <c r="N4">
        <f>D22</f>
        <v>-2.4446684619835575E-2</v>
      </c>
      <c r="O4">
        <f>AVERAGEIFS(E22:E41,E22:E41,"&lt;=" &amp; N4)</f>
        <v>-2.4784117440589219E-2</v>
      </c>
      <c r="P4">
        <v>121.43700721669113</v>
      </c>
      <c r="Q4">
        <v>33.141820000000003</v>
      </c>
      <c r="R4">
        <f>P3</f>
        <v>105.57108427115571</v>
      </c>
      <c r="S4">
        <v>1.0703966402067659E-2</v>
      </c>
      <c r="T4">
        <v>19.5</v>
      </c>
    </row>
    <row r="5" spans="1:25" x14ac:dyDescent="0.35">
      <c r="A5" t="s">
        <v>15</v>
      </c>
      <c r="E5">
        <v>-2.4838879540952557E-3</v>
      </c>
      <c r="F5">
        <f t="shared" si="0"/>
        <v>-1.9852358340821358E-2</v>
      </c>
      <c r="G5">
        <f t="shared" si="1"/>
        <v>-3.0189906968418438E-2</v>
      </c>
      <c r="J5" s="2" t="s">
        <v>17</v>
      </c>
      <c r="K5">
        <f>B42</f>
        <v>7.0943179456575576E-3</v>
      </c>
      <c r="L5">
        <f>C42</f>
        <v>7.0943179456575576E-3</v>
      </c>
      <c r="M5">
        <f>K4</f>
        <v>1.1110897274388904E-2</v>
      </c>
      <c r="N5">
        <f>D42</f>
        <v>-6.6072181441897771E-3</v>
      </c>
      <c r="O5">
        <f>AVERAGEIFS(E42:E64,E42:E64,"&lt;=" &amp; N5)</f>
        <v>-7.0134741394852415E-3</v>
      </c>
      <c r="P5">
        <v>116.47019690925322</v>
      </c>
      <c r="Q5">
        <v>27.876359999999998</v>
      </c>
      <c r="R5">
        <f t="shared" ref="R5:R68" si="2">P4</f>
        <v>121.43700721669113</v>
      </c>
      <c r="S5">
        <v>1.1110897274388904E-2</v>
      </c>
      <c r="T5">
        <v>17.59</v>
      </c>
    </row>
    <row r="6" spans="1:25" x14ac:dyDescent="0.35">
      <c r="A6" t="s">
        <v>15</v>
      </c>
      <c r="E6">
        <v>3.0272968975977974E-3</v>
      </c>
      <c r="F6">
        <f t="shared" si="0"/>
        <v>-1.985489294877971E-2</v>
      </c>
      <c r="G6">
        <f t="shared" si="1"/>
        <v>-3.0189906968418438E-2</v>
      </c>
      <c r="J6" s="2" t="s">
        <v>18</v>
      </c>
      <c r="K6">
        <f>B65</f>
        <v>1.1657554670445942E-2</v>
      </c>
      <c r="L6">
        <f>C65</f>
        <v>1.1657554670445942E-2</v>
      </c>
      <c r="M6">
        <f t="shared" ref="M6:M69" si="3">K5</f>
        <v>7.0943179456575576E-3</v>
      </c>
      <c r="N6">
        <f>D65</f>
        <v>-2.7139354319967265E-2</v>
      </c>
      <c r="O6">
        <f>AVERAGEIFS(E65:E84,E65:E84,"&lt;=" &amp; N6)</f>
        <v>-2.7634705765569232E-2</v>
      </c>
      <c r="P6">
        <v>153.83554692754655</v>
      </c>
      <c r="Q6">
        <v>38.34281</v>
      </c>
      <c r="R6">
        <f t="shared" si="2"/>
        <v>116.47019690925322</v>
      </c>
      <c r="S6">
        <v>7.0943179456575576E-3</v>
      </c>
      <c r="T6">
        <v>22.05</v>
      </c>
    </row>
    <row r="7" spans="1:25" x14ac:dyDescent="0.35">
      <c r="A7" t="s">
        <v>15</v>
      </c>
      <c r="E7">
        <v>4.7855170306506701E-4</v>
      </c>
      <c r="F7">
        <f t="shared" si="0"/>
        <v>-1.9857427556738066E-2</v>
      </c>
      <c r="G7">
        <f t="shared" si="1"/>
        <v>-3.0189906968418438E-2</v>
      </c>
      <c r="J7" s="2" t="s">
        <v>19</v>
      </c>
      <c r="K7">
        <f>B85</f>
        <v>2.2607800717617556E-2</v>
      </c>
      <c r="L7">
        <f>C85</f>
        <v>-1.6513249744083936E-3</v>
      </c>
      <c r="M7">
        <f t="shared" si="3"/>
        <v>1.1657554670445942E-2</v>
      </c>
      <c r="N7">
        <f>D85</f>
        <v>-3.3241326671109975E-2</v>
      </c>
      <c r="O7">
        <f>AVERAGEIFS(E85:E103,E85:E103,"&lt;=" &amp; N7)</f>
        <v>-3.3241326671109975E-2</v>
      </c>
      <c r="P7">
        <v>156.3809576278984</v>
      </c>
      <c r="Q7">
        <v>42.291849999999997</v>
      </c>
      <c r="R7">
        <f t="shared" si="2"/>
        <v>153.83554692754655</v>
      </c>
      <c r="S7">
        <v>1.1657554670445942E-2</v>
      </c>
      <c r="T7">
        <v>32.07</v>
      </c>
    </row>
    <row r="8" spans="1:25" x14ac:dyDescent="0.35">
      <c r="A8" t="s">
        <v>15</v>
      </c>
      <c r="E8">
        <v>-1.6272733592957955E-2</v>
      </c>
      <c r="F8">
        <f t="shared" si="0"/>
        <v>-1.9859962164696418E-2</v>
      </c>
      <c r="G8">
        <f t="shared" si="1"/>
        <v>-3.0189906968418438E-2</v>
      </c>
      <c r="J8" s="2" t="s">
        <v>20</v>
      </c>
      <c r="K8">
        <f>B104</f>
        <v>1.2544854828862874E-2</v>
      </c>
      <c r="L8">
        <f>C104</f>
        <v>1.4760138041684879E-4</v>
      </c>
      <c r="M8">
        <f t="shared" si="3"/>
        <v>2.2607800717617556E-2</v>
      </c>
      <c r="N8">
        <f>D104</f>
        <v>-3.1704489047915681E-2</v>
      </c>
      <c r="O8">
        <f>AVERAGEIFS(E104:E125,E104:E125,"&lt;=" &amp; N8)</f>
        <v>-3.3893039137552747E-2</v>
      </c>
      <c r="P8">
        <v>143.11946684277873</v>
      </c>
      <c r="Q8">
        <v>42.061239999999998</v>
      </c>
      <c r="R8">
        <f t="shared" si="2"/>
        <v>156.3809576278984</v>
      </c>
      <c r="S8">
        <v>2.2607800717617556E-2</v>
      </c>
      <c r="T8">
        <v>34.54</v>
      </c>
    </row>
    <row r="9" spans="1:25" x14ac:dyDescent="0.35">
      <c r="A9" t="s">
        <v>15</v>
      </c>
      <c r="E9">
        <v>3.3831315958814329E-3</v>
      </c>
      <c r="F9">
        <f t="shared" si="0"/>
        <v>-1.986249677265477E-2</v>
      </c>
      <c r="G9">
        <f t="shared" si="1"/>
        <v>-3.0189906968418438E-2</v>
      </c>
      <c r="J9" s="2" t="s">
        <v>21</v>
      </c>
      <c r="K9">
        <f>B126</f>
        <v>1.0968111799117721E-2</v>
      </c>
      <c r="L9">
        <f>C126</f>
        <v>1.3693508677202807E-3</v>
      </c>
      <c r="M9">
        <f t="shared" si="3"/>
        <v>1.2544854828862874E-2</v>
      </c>
      <c r="N9">
        <f>D126</f>
        <v>-1.8227387950396117E-2</v>
      </c>
      <c r="O9">
        <f>AVERAGEIFS(E126:E147,E126:E147,"&lt;=" &amp; N9)</f>
        <v>-1.8285286101361417E-2</v>
      </c>
      <c r="P9">
        <v>193.8954319811794</v>
      </c>
      <c r="Q9">
        <v>35.439799999999998</v>
      </c>
      <c r="R9">
        <f t="shared" si="2"/>
        <v>143.11946684277873</v>
      </c>
      <c r="S9">
        <v>1.2544854828862874E-2</v>
      </c>
      <c r="T9">
        <v>23.5</v>
      </c>
    </row>
    <row r="10" spans="1:25" x14ac:dyDescent="0.35">
      <c r="A10" t="s">
        <v>15</v>
      </c>
      <c r="E10">
        <v>4.3072283671700441E-3</v>
      </c>
      <c r="F10">
        <f t="shared" si="0"/>
        <v>-1.9865031380613126E-2</v>
      </c>
      <c r="G10">
        <f t="shared" si="1"/>
        <v>-3.0189906968418438E-2</v>
      </c>
      <c r="J10" s="2" t="s">
        <v>22</v>
      </c>
      <c r="K10">
        <f>B148</f>
        <v>1.0970547645769964E-2</v>
      </c>
      <c r="L10">
        <f>C148</f>
        <v>-1.7573394712018229E-3</v>
      </c>
      <c r="M10">
        <f t="shared" si="3"/>
        <v>1.0968111799117721E-2</v>
      </c>
      <c r="N10">
        <f>D148</f>
        <v>-2.0939491057061502E-2</v>
      </c>
      <c r="O10">
        <f>AVERAGEIFS(E148:E168,E148:E168,"&lt;=" &amp; N10)</f>
        <v>-2.1251056953246861E-2</v>
      </c>
      <c r="P10">
        <v>146.92627324532936</v>
      </c>
      <c r="Q10">
        <v>37.272030000000001</v>
      </c>
      <c r="R10">
        <f t="shared" si="2"/>
        <v>193.8954319811794</v>
      </c>
      <c r="S10">
        <v>1.0968111799117721E-2</v>
      </c>
      <c r="T10">
        <v>26.05</v>
      </c>
    </row>
    <row r="11" spans="1:25" x14ac:dyDescent="0.35">
      <c r="A11" t="s">
        <v>15</v>
      </c>
      <c r="E11">
        <v>-1.9033263562932324E-2</v>
      </c>
      <c r="F11">
        <f>_xlfn.PERCENTILE.EXC(E11:E3826,0.05)</f>
        <v>-1.9867565988571478E-2</v>
      </c>
      <c r="G11">
        <f t="shared" si="1"/>
        <v>-3.0189906968418438E-2</v>
      </c>
      <c r="J11" s="2" t="s">
        <v>23</v>
      </c>
      <c r="K11">
        <f>B169</f>
        <v>8.8685203571610208E-3</v>
      </c>
      <c r="L11">
        <f>C169</f>
        <v>2.2727818146159556E-3</v>
      </c>
      <c r="M11">
        <f t="shared" si="3"/>
        <v>1.0970547645769964E-2</v>
      </c>
      <c r="N11">
        <f>D169</f>
        <v>-1.0172535170953966E-2</v>
      </c>
      <c r="O11">
        <f>AVERAGEIFS(E169:E190,E169:E190,"&lt;=" &amp; N11)</f>
        <v>-1.0837709437942251E-2</v>
      </c>
      <c r="P11">
        <v>111.59323887873222</v>
      </c>
      <c r="Q11">
        <v>35.565089999999998</v>
      </c>
      <c r="R11">
        <f t="shared" si="2"/>
        <v>146.92627324532936</v>
      </c>
      <c r="S11">
        <v>1.0970547645769964E-2</v>
      </c>
      <c r="T11">
        <v>23.7</v>
      </c>
    </row>
    <row r="12" spans="1:25" x14ac:dyDescent="0.35">
      <c r="A12" t="s">
        <v>15</v>
      </c>
      <c r="E12">
        <v>7.2203336779920755E-3</v>
      </c>
      <c r="F12">
        <f t="shared" si="0"/>
        <v>-1.9870100596529834E-2</v>
      </c>
      <c r="G12">
        <f t="shared" si="1"/>
        <v>-3.0189906968418438E-2</v>
      </c>
      <c r="J12" s="2" t="s">
        <v>24</v>
      </c>
      <c r="K12">
        <f>B191</f>
        <v>7.3068991590802025E-3</v>
      </c>
      <c r="L12">
        <f>C191</f>
        <v>2.7646755330469658E-3</v>
      </c>
      <c r="M12">
        <f t="shared" si="3"/>
        <v>8.8685203571610208E-3</v>
      </c>
      <c r="N12">
        <f>D191</f>
        <v>-1.1940718142558867E-2</v>
      </c>
      <c r="O12">
        <f>AVERAGEIFS(E191:E211,E191:E211,"&lt;=" &amp; N12)</f>
        <v>-1.2495353151169784E-2</v>
      </c>
      <c r="P12">
        <v>116.37975909668141</v>
      </c>
      <c r="Q12">
        <v>32.5473</v>
      </c>
      <c r="R12">
        <f t="shared" si="2"/>
        <v>111.59323887873222</v>
      </c>
      <c r="S12">
        <v>8.8685203571610208E-3</v>
      </c>
      <c r="T12">
        <v>21.2</v>
      </c>
    </row>
    <row r="13" spans="1:25" x14ac:dyDescent="0.35">
      <c r="A13" t="s">
        <v>15</v>
      </c>
      <c r="E13">
        <v>9.7402794274401312E-3</v>
      </c>
      <c r="F13">
        <f t="shared" si="0"/>
        <v>-1.9872635204488186E-2</v>
      </c>
      <c r="G13">
        <f t="shared" si="1"/>
        <v>-3.0189906968418438E-2</v>
      </c>
      <c r="J13" s="2" t="s">
        <v>25</v>
      </c>
      <c r="K13">
        <f>B212</f>
        <v>1.1061177515163603E-2</v>
      </c>
      <c r="L13">
        <f>C212</f>
        <v>5.959516090800885E-4</v>
      </c>
      <c r="M13">
        <f t="shared" si="3"/>
        <v>7.3068991590802025E-3</v>
      </c>
      <c r="N13">
        <f>D212</f>
        <v>-2.1781473364531852E-2</v>
      </c>
      <c r="O13">
        <f>AVERAGEIFS(E212:E233,E212:E233,"&lt;=" &amp; N13)</f>
        <v>-2.2295240664135973E-2</v>
      </c>
      <c r="P13">
        <v>137.21381824957714</v>
      </c>
      <c r="Q13">
        <v>40.515819999999998</v>
      </c>
      <c r="R13">
        <f t="shared" si="2"/>
        <v>116.37975909668141</v>
      </c>
      <c r="S13">
        <v>7.3068991590802025E-3</v>
      </c>
      <c r="T13">
        <v>23.54</v>
      </c>
    </row>
    <row r="14" spans="1:25" x14ac:dyDescent="0.35">
      <c r="A14" t="s">
        <v>15</v>
      </c>
      <c r="E14">
        <v>-2.1128600379992767E-2</v>
      </c>
      <c r="F14">
        <f t="shared" si="0"/>
        <v>-1.9875169812446539E-2</v>
      </c>
      <c r="G14">
        <f t="shared" si="1"/>
        <v>-3.0189906968418438E-2</v>
      </c>
      <c r="J14" s="2" t="s">
        <v>26</v>
      </c>
      <c r="K14">
        <f>B234</f>
        <v>8.419169347054908E-3</v>
      </c>
      <c r="L14">
        <f>C234</f>
        <v>1.7467201551263538E-3</v>
      </c>
      <c r="M14">
        <f t="shared" si="3"/>
        <v>1.1061177515163603E-2</v>
      </c>
      <c r="N14">
        <f>D234</f>
        <v>-1.1686975114596822E-2</v>
      </c>
      <c r="O14">
        <f>AVERAGEIFS(E234:E252,E234:E252,"&lt;=" &amp; N14)</f>
        <v>-1.1686975114596822E-2</v>
      </c>
      <c r="P14">
        <v>179.41429972841618</v>
      </c>
      <c r="Q14">
        <v>31.72045</v>
      </c>
      <c r="R14">
        <f t="shared" si="2"/>
        <v>137.21381824957714</v>
      </c>
      <c r="S14">
        <v>1.1061177515163603E-2</v>
      </c>
      <c r="T14">
        <v>17.75</v>
      </c>
    </row>
    <row r="15" spans="1:25" x14ac:dyDescent="0.35">
      <c r="A15" t="s">
        <v>15</v>
      </c>
      <c r="E15">
        <v>-1.8030406112945121E-2</v>
      </c>
      <c r="F15">
        <f t="shared" si="0"/>
        <v>-1.9837638117324675E-2</v>
      </c>
      <c r="G15">
        <f t="shared" si="1"/>
        <v>-3.0183123204844946E-2</v>
      </c>
      <c r="J15" s="2" t="s">
        <v>27</v>
      </c>
      <c r="K15">
        <f>B253</f>
        <v>8.0216204576962925E-3</v>
      </c>
      <c r="L15">
        <f>C253</f>
        <v>1.1671045273542893E-3</v>
      </c>
      <c r="M15">
        <f t="shared" si="3"/>
        <v>8.419169347054908E-3</v>
      </c>
      <c r="N15">
        <f>D253</f>
        <v>-1.2921048918942411E-2</v>
      </c>
      <c r="O15">
        <f>AVERAGEIFS(E253:E272,E253:E272,"&lt;=" &amp; N15)</f>
        <v>-1.3152041457908246E-2</v>
      </c>
      <c r="P15">
        <v>140.9458415604839</v>
      </c>
      <c r="Q15">
        <v>31.13862</v>
      </c>
      <c r="R15">
        <f t="shared" si="2"/>
        <v>179.41429972841618</v>
      </c>
      <c r="S15">
        <v>8.419169347054908E-3</v>
      </c>
      <c r="T15">
        <v>19.53</v>
      </c>
    </row>
    <row r="16" spans="1:25" x14ac:dyDescent="0.35">
      <c r="A16" t="s">
        <v>15</v>
      </c>
      <c r="E16">
        <v>-9.0279744365353212E-3</v>
      </c>
      <c r="F16">
        <f t="shared" si="0"/>
        <v>-1.9838047554065659E-2</v>
      </c>
      <c r="G16">
        <f t="shared" si="1"/>
        <v>-3.0183123204844946E-2</v>
      </c>
      <c r="J16" s="2" t="s">
        <v>28</v>
      </c>
      <c r="K16">
        <f>B273</f>
        <v>7.7554773135869969E-3</v>
      </c>
      <c r="L16">
        <f>C273</f>
        <v>1.3578724082057552E-3</v>
      </c>
      <c r="M16">
        <f t="shared" si="3"/>
        <v>8.0216204576962925E-3</v>
      </c>
      <c r="N16">
        <f>D273</f>
        <v>-1.6913383735274616E-2</v>
      </c>
      <c r="O16">
        <f>AVERAGEIFS(E273:E292,E273:E292,"&lt;=" &amp; N16)</f>
        <v>-1.7054148097233691E-2</v>
      </c>
      <c r="P16">
        <v>93.271113596540289</v>
      </c>
      <c r="Q16">
        <v>31.327290000000001</v>
      </c>
      <c r="R16">
        <f t="shared" si="2"/>
        <v>140.9458415604839</v>
      </c>
      <c r="S16">
        <v>8.0216204576962925E-3</v>
      </c>
      <c r="T16">
        <v>18.350000000000001</v>
      </c>
    </row>
    <row r="17" spans="1:20" x14ac:dyDescent="0.35">
      <c r="A17" t="s">
        <v>15</v>
      </c>
      <c r="E17">
        <v>-1.129203315720049E-2</v>
      </c>
      <c r="F17">
        <f t="shared" si="0"/>
        <v>-1.9838456990806642E-2</v>
      </c>
      <c r="G17">
        <f t="shared" si="1"/>
        <v>-3.0183123204844946E-2</v>
      </c>
      <c r="J17" s="2" t="s">
        <v>29</v>
      </c>
      <c r="K17">
        <f>B293</f>
        <v>1.3143685899736175E-2</v>
      </c>
      <c r="L17">
        <f>C293</f>
        <v>-1.4035273001173224E-3</v>
      </c>
      <c r="M17">
        <f t="shared" si="3"/>
        <v>7.7554773135869969E-3</v>
      </c>
      <c r="N17">
        <f>D293</f>
        <v>-2.999398120496544E-2</v>
      </c>
      <c r="O17">
        <f>AVERAGEIFS(E293:E315,E293:E315,"&lt;=" &amp; N17)</f>
        <v>-3.2408534263017381E-2</v>
      </c>
      <c r="P17">
        <v>123.78567873907862</v>
      </c>
      <c r="Q17">
        <v>31.331520000000001</v>
      </c>
      <c r="R17">
        <f t="shared" si="2"/>
        <v>93.271113596540289</v>
      </c>
      <c r="S17">
        <v>7.7554773135869969E-3</v>
      </c>
      <c r="T17">
        <v>17.739999999999998</v>
      </c>
    </row>
    <row r="18" spans="1:20" x14ac:dyDescent="0.35">
      <c r="A18" t="s">
        <v>15</v>
      </c>
      <c r="E18">
        <v>6.6476356057650048E-3</v>
      </c>
      <c r="F18">
        <f t="shared" si="0"/>
        <v>-1.9838866427547622E-2</v>
      </c>
      <c r="G18">
        <f t="shared" si="1"/>
        <v>-3.0183123204844946E-2</v>
      </c>
      <c r="J18" s="2" t="s">
        <v>30</v>
      </c>
      <c r="K18">
        <f>B316</f>
        <v>1.1334216262972796E-2</v>
      </c>
      <c r="L18">
        <f>C316</f>
        <v>3.3221843265014784E-3</v>
      </c>
      <c r="M18">
        <f t="shared" si="3"/>
        <v>1.3143685899736175E-2</v>
      </c>
      <c r="N18">
        <f>D316</f>
        <v>-1.5311953325579806E-2</v>
      </c>
      <c r="O18">
        <f>AVERAGEIFS(E316:E333,E316:E333,"&lt;=" &amp; N18)</f>
        <v>-2.1322667388996665E-2</v>
      </c>
      <c r="P18">
        <v>80.16926761768643</v>
      </c>
      <c r="Q18">
        <v>27.39622</v>
      </c>
      <c r="R18">
        <f t="shared" si="2"/>
        <v>123.78567873907862</v>
      </c>
      <c r="S18">
        <v>1.3143685899736175E-2</v>
      </c>
      <c r="T18">
        <v>14.75</v>
      </c>
    </row>
    <row r="19" spans="1:20" x14ac:dyDescent="0.35">
      <c r="A19" t="s">
        <v>15</v>
      </c>
      <c r="E19">
        <v>-4.5491069095159051E-3</v>
      </c>
      <c r="F19">
        <f t="shared" si="0"/>
        <v>-1.9839275864288606E-2</v>
      </c>
      <c r="G19">
        <f t="shared" si="1"/>
        <v>-3.0183123204844946E-2</v>
      </c>
      <c r="J19" s="2" t="s">
        <v>31</v>
      </c>
      <c r="K19">
        <f>B334</f>
        <v>1.1014961056189852E-2</v>
      </c>
      <c r="L19">
        <f>C334</f>
        <v>-1.229197974198375E-3</v>
      </c>
      <c r="M19">
        <f t="shared" si="3"/>
        <v>1.1334216262972796E-2</v>
      </c>
      <c r="N19">
        <f>D334</f>
        <v>-2.0081541605876444E-2</v>
      </c>
      <c r="O19">
        <f>AVERAGEIFS(E334:E353,E334:E353,"&lt;=" &amp; N19)</f>
        <v>-2.0197596036075849E-2</v>
      </c>
      <c r="P19">
        <v>93.211036061799163</v>
      </c>
      <c r="Q19">
        <v>29.241160000000001</v>
      </c>
      <c r="R19">
        <f t="shared" si="2"/>
        <v>80.16926761768643</v>
      </c>
      <c r="S19">
        <v>1.1334216262972796E-2</v>
      </c>
      <c r="T19">
        <v>15.45</v>
      </c>
    </row>
    <row r="20" spans="1:20" x14ac:dyDescent="0.35">
      <c r="A20" t="s">
        <v>15</v>
      </c>
      <c r="E20">
        <v>-1.8397214727485033E-2</v>
      </c>
      <c r="F20">
        <f t="shared" si="0"/>
        <v>-1.9839685301029589E-2</v>
      </c>
      <c r="G20">
        <f t="shared" si="1"/>
        <v>-3.0183123204844946E-2</v>
      </c>
      <c r="J20" s="2" t="s">
        <v>32</v>
      </c>
      <c r="K20">
        <f>B354</f>
        <v>1.1189876030015639E-2</v>
      </c>
      <c r="L20">
        <f>C354</f>
        <v>5.1156513127660359E-4</v>
      </c>
      <c r="M20">
        <f t="shared" si="3"/>
        <v>1.1014961056189852E-2</v>
      </c>
      <c r="N20">
        <f>D354</f>
        <v>-1.9724723681635706E-2</v>
      </c>
      <c r="O20">
        <f>AVERAGEIFS(E354:E375,E354:E375,"&lt;=" &amp; N20)</f>
        <v>-2.0055879690980424E-2</v>
      </c>
      <c r="P20">
        <v>172.59468328313437</v>
      </c>
      <c r="Q20">
        <v>31.286750000000001</v>
      </c>
      <c r="R20">
        <f t="shared" si="2"/>
        <v>93.211036061799163</v>
      </c>
      <c r="S20">
        <v>1.1014961056189852E-2</v>
      </c>
      <c r="T20">
        <v>16.52</v>
      </c>
    </row>
    <row r="21" spans="1:20" x14ac:dyDescent="0.35">
      <c r="A21" t="s">
        <v>15</v>
      </c>
      <c r="E21">
        <v>1.2280944224300067E-2</v>
      </c>
      <c r="F21">
        <f t="shared" si="0"/>
        <v>-1.9842219908987942E-2</v>
      </c>
      <c r="G21">
        <f t="shared" si="1"/>
        <v>-3.0237850389521221E-2</v>
      </c>
      <c r="J21" s="2" t="s">
        <v>33</v>
      </c>
      <c r="K21">
        <f>B376</f>
        <v>9.3525112413818026E-3</v>
      </c>
      <c r="L21">
        <f>C376</f>
        <v>-1.4250402466686293E-3</v>
      </c>
      <c r="M21">
        <f t="shared" si="3"/>
        <v>1.1189876030015639E-2</v>
      </c>
      <c r="N21">
        <f>D376</f>
        <v>-2.278390543416399E-2</v>
      </c>
      <c r="O21">
        <f>AVERAGEIFS(E376:E396,E376:E396,"&lt;=" &amp; N21)</f>
        <v>-2.3575237375716398E-2</v>
      </c>
      <c r="P21">
        <v>184.01230375435156</v>
      </c>
      <c r="Q21">
        <v>39.728549999999998</v>
      </c>
      <c r="R21">
        <f t="shared" si="2"/>
        <v>172.59468328313437</v>
      </c>
      <c r="S21">
        <v>1.1189876030015639E-2</v>
      </c>
      <c r="T21">
        <v>25.25</v>
      </c>
    </row>
    <row r="22" spans="1:20" x14ac:dyDescent="0.35">
      <c r="A22" t="s">
        <v>16</v>
      </c>
      <c r="B22" s="3" cm="1">
        <f t="array" ref="B22">_xlfn.STDEV.S(_xlfn._xlws.FILTER($E$2:$E$1000, $A$2:$A$1000="2010-02"))</f>
        <v>1.1110897274388904E-2</v>
      </c>
      <c r="C22" s="3" cm="1">
        <f t="array" ref="C22">AVERAGE(_xlfn._xlws.FILTER($E$2:$E$1000, $A$2:$A$1000="2010-02"))</f>
        <v>-9.2172503739805766E-5</v>
      </c>
      <c r="D22" s="3" cm="1">
        <f t="array" ref="D22">_xlfn.PERCENTILE.EXC(_xlfn._xlws.FILTER($E$22:$E$41, $A$22:$A$41="2010-02"), 0.05)</f>
        <v>-2.4446684619835575E-2</v>
      </c>
      <c r="E22">
        <v>8.1131413205994644E-3</v>
      </c>
      <c r="F22">
        <f t="shared" si="0"/>
        <v>-1.9844754516946297E-2</v>
      </c>
      <c r="G22">
        <f t="shared" si="1"/>
        <v>-3.0237850389521221E-2</v>
      </c>
      <c r="J22" s="4" t="s">
        <v>34</v>
      </c>
      <c r="K22" s="3">
        <f>B397</f>
        <v>2.7980264110043777E-2</v>
      </c>
      <c r="L22" s="3">
        <f>C397</f>
        <v>-1.0147416539211284E-2</v>
      </c>
      <c r="M22">
        <f t="shared" si="3"/>
        <v>9.3525112413818026E-3</v>
      </c>
      <c r="N22" s="3">
        <f>D397</f>
        <v>-5.9220214130252344E-2</v>
      </c>
      <c r="O22" s="3">
        <f>AVERAGEIFS(E397:E417,E397:E417,"&lt;=" &amp; N22)</f>
        <v>-5.9946579643458765E-2</v>
      </c>
      <c r="P22" s="3">
        <v>280.61475107957574</v>
      </c>
      <c r="Q22" s="3">
        <v>51.370930000000001</v>
      </c>
      <c r="R22">
        <f t="shared" si="2"/>
        <v>184.01230375435156</v>
      </c>
      <c r="S22">
        <v>9.3525112413818026E-3</v>
      </c>
      <c r="T22" s="3">
        <v>31.62</v>
      </c>
    </row>
    <row r="23" spans="1:20" x14ac:dyDescent="0.35">
      <c r="A23" t="s">
        <v>16</v>
      </c>
      <c r="E23">
        <v>9.7113259195065384E-3</v>
      </c>
      <c r="F23">
        <f t="shared" si="0"/>
        <v>-1.984728912490465E-2</v>
      </c>
      <c r="G23">
        <f t="shared" si="1"/>
        <v>-3.0237850389521221E-2</v>
      </c>
      <c r="J23" s="2" t="s">
        <v>35</v>
      </c>
      <c r="K23">
        <f>B418</f>
        <v>3.0611302078091963E-2</v>
      </c>
      <c r="L23">
        <f>C418</f>
        <v>-2.2785060747655735E-3</v>
      </c>
      <c r="M23">
        <f t="shared" si="3"/>
        <v>2.7980264110043777E-2</v>
      </c>
      <c r="N23">
        <f>D418</f>
        <v>-5.3696880783674392E-2</v>
      </c>
      <c r="O23">
        <f>AVERAGEIFS(E418:E439,E418:E439,"&lt;=" &amp; N23)</f>
        <v>-5.419281855978645E-2</v>
      </c>
      <c r="P23">
        <v>377.84379255251787</v>
      </c>
      <c r="Q23">
        <v>62.779389999999999</v>
      </c>
      <c r="R23">
        <f t="shared" si="2"/>
        <v>280.61475107957574</v>
      </c>
      <c r="S23">
        <v>2.7980264110043777E-2</v>
      </c>
      <c r="T23">
        <v>42.96</v>
      </c>
    </row>
    <row r="24" spans="1:20" x14ac:dyDescent="0.35">
      <c r="A24" t="s">
        <v>16</v>
      </c>
      <c r="E24">
        <v>-6.6018207137313331E-3</v>
      </c>
      <c r="F24">
        <f t="shared" si="0"/>
        <v>-1.9849823732863002E-2</v>
      </c>
      <c r="G24">
        <f t="shared" si="1"/>
        <v>-3.0237850389521221E-2</v>
      </c>
      <c r="J24" s="2" t="s">
        <v>36</v>
      </c>
      <c r="K24">
        <f>B440</f>
        <v>2.4527472586081546E-2</v>
      </c>
      <c r="L24">
        <f>C440</f>
        <v>5.2346505644145442E-3</v>
      </c>
      <c r="M24">
        <f t="shared" si="3"/>
        <v>3.0611302078091963E-2</v>
      </c>
      <c r="N24">
        <f>D440</f>
        <v>-3.2551292906554619E-2</v>
      </c>
      <c r="O24">
        <f>AVERAGEIFS(E440:E460,E440:E460,"&lt;=" &amp; N24)</f>
        <v>-3.2811673442283432E-2</v>
      </c>
      <c r="P24">
        <v>217.81926791486822</v>
      </c>
      <c r="Q24">
        <v>48.978070000000002</v>
      </c>
      <c r="R24">
        <f t="shared" si="2"/>
        <v>377.84379255251787</v>
      </c>
      <c r="S24">
        <v>3.0611302078091963E-2</v>
      </c>
      <c r="T24">
        <v>29.96</v>
      </c>
    </row>
    <row r="25" spans="1:20" x14ac:dyDescent="0.35">
      <c r="A25" t="s">
        <v>16</v>
      </c>
      <c r="E25">
        <v>-2.4784117440589219E-2</v>
      </c>
      <c r="F25">
        <f t="shared" si="0"/>
        <v>-1.9852358340821358E-2</v>
      </c>
      <c r="G25">
        <f t="shared" si="1"/>
        <v>-3.0237850389521221E-2</v>
      </c>
      <c r="J25" s="2" t="s">
        <v>37</v>
      </c>
      <c r="K25">
        <f>B461</f>
        <v>2.4737367691772275E-2</v>
      </c>
      <c r="L25">
        <f>C461</f>
        <v>-3.9024418190221279E-4</v>
      </c>
      <c r="M25">
        <f t="shared" si="3"/>
        <v>2.4527472586081546E-2</v>
      </c>
      <c r="N25">
        <f>D461</f>
        <v>-4.8674048696685457E-2</v>
      </c>
      <c r="O25">
        <f>AVERAGEIFS(E461:E482,E461:E482,"&lt;=" &amp; N25)</f>
        <v>-5.1252673184802568E-2</v>
      </c>
      <c r="P25">
        <v>327.94839273539174</v>
      </c>
      <c r="Q25">
        <v>49.869079999999997</v>
      </c>
      <c r="R25">
        <f t="shared" si="2"/>
        <v>217.81926791486822</v>
      </c>
      <c r="S25">
        <v>2.4527472586081546E-2</v>
      </c>
      <c r="T25">
        <v>27.8</v>
      </c>
    </row>
    <row r="26" spans="1:20" x14ac:dyDescent="0.35">
      <c r="A26" t="s">
        <v>16</v>
      </c>
      <c r="E26">
        <v>-1.8035461025516366E-2</v>
      </c>
      <c r="F26">
        <f t="shared" si="0"/>
        <v>-1.9833953186655831E-2</v>
      </c>
      <c r="G26">
        <f t="shared" si="1"/>
        <v>-3.0211689372909793E-2</v>
      </c>
      <c r="J26" s="2" t="s">
        <v>38</v>
      </c>
      <c r="K26">
        <f>B483</f>
        <v>1.5275077161004255E-2</v>
      </c>
      <c r="L26">
        <f>C483</f>
        <v>-1.5892468303072983E-3</v>
      </c>
      <c r="M26">
        <f t="shared" si="3"/>
        <v>2.4737367691772275E-2</v>
      </c>
      <c r="N26">
        <f>D483</f>
        <v>-3.350285889740235E-2</v>
      </c>
      <c r="O26">
        <f>AVERAGEIFS(E483:E502,E483:E502,"&lt;=" &amp; N26)</f>
        <v>-3.4199324439589118E-2</v>
      </c>
      <c r="P26">
        <v>203.20614372825028</v>
      </c>
      <c r="Q26">
        <v>41.6721</v>
      </c>
      <c r="R26">
        <f t="shared" si="2"/>
        <v>327.94839273539174</v>
      </c>
      <c r="S26">
        <v>2.4737367691772275E-2</v>
      </c>
      <c r="T26">
        <v>23.4</v>
      </c>
    </row>
    <row r="27" spans="1:20" x14ac:dyDescent="0.35">
      <c r="A27" t="s">
        <v>16</v>
      </c>
      <c r="E27">
        <v>9.2516679856667026E-3</v>
      </c>
      <c r="F27">
        <f t="shared" si="0"/>
        <v>-1.9834362623396815E-2</v>
      </c>
      <c r="G27">
        <f t="shared" si="1"/>
        <v>-3.0211689372909793E-2</v>
      </c>
      <c r="J27" s="2" t="s">
        <v>39</v>
      </c>
      <c r="K27">
        <f>B503</f>
        <v>1.3169834855916659E-2</v>
      </c>
      <c r="L27">
        <f>C503</f>
        <v>4.3232343869260654E-3</v>
      </c>
      <c r="M27">
        <f t="shared" si="3"/>
        <v>1.5275077161004255E-2</v>
      </c>
      <c r="N27">
        <f>D503</f>
        <v>-1.0278070359128092E-2</v>
      </c>
      <c r="O27">
        <f>AVERAGEIFS(E503:E523,E503:E523,"&lt;=" &amp; N27)</f>
        <v>-1.0424262163657725E-2</v>
      </c>
      <c r="P27">
        <v>193.76167484396305</v>
      </c>
      <c r="Q27">
        <v>34.387320000000003</v>
      </c>
      <c r="R27">
        <f t="shared" si="2"/>
        <v>203.20614372825028</v>
      </c>
      <c r="S27">
        <v>1.5275077161004255E-2</v>
      </c>
      <c r="T27">
        <v>19.440000000000001</v>
      </c>
    </row>
    <row r="28" spans="1:20" x14ac:dyDescent="0.35">
      <c r="A28" t="s">
        <v>16</v>
      </c>
      <c r="E28">
        <v>2.4419325061279858E-3</v>
      </c>
      <c r="F28">
        <f t="shared" si="0"/>
        <v>-1.9834772060137798E-2</v>
      </c>
      <c r="G28">
        <f t="shared" si="1"/>
        <v>-3.0211689372909793E-2</v>
      </c>
      <c r="J28" s="2" t="s">
        <v>40</v>
      </c>
      <c r="K28">
        <f>B524</f>
        <v>9.240546642943076E-3</v>
      </c>
      <c r="L28">
        <f>C524</f>
        <v>2.8416798538618213E-3</v>
      </c>
      <c r="M28">
        <f t="shared" si="3"/>
        <v>1.3169834855916659E-2</v>
      </c>
      <c r="N28">
        <f>D524</f>
        <v>-1.3731456540784908E-2</v>
      </c>
      <c r="O28">
        <f>AVERAGEIFS(E524:E544,E524:E544,"&lt;=" &amp; N28)</f>
        <v>-1.4217967758523615E-2</v>
      </c>
      <c r="P28">
        <v>127.25827416801425</v>
      </c>
      <c r="Q28">
        <v>31.961829999999999</v>
      </c>
      <c r="R28">
        <f t="shared" si="2"/>
        <v>193.76167484396305</v>
      </c>
      <c r="S28">
        <v>1.3169834855916659E-2</v>
      </c>
      <c r="T28">
        <v>18.43</v>
      </c>
    </row>
    <row r="29" spans="1:20" x14ac:dyDescent="0.35">
      <c r="A29" t="s">
        <v>16</v>
      </c>
      <c r="E29">
        <v>6.9073727935780411E-3</v>
      </c>
      <c r="F29">
        <f t="shared" si="0"/>
        <v>-1.9835181496878782E-2</v>
      </c>
      <c r="G29">
        <f t="shared" si="1"/>
        <v>-3.0211689372909793E-2</v>
      </c>
      <c r="J29" s="2" t="s">
        <v>41</v>
      </c>
      <c r="K29">
        <f>B545</f>
        <v>1.3028620286317651E-2</v>
      </c>
      <c r="L29">
        <f>C545</f>
        <v>5.9770866262791615E-4</v>
      </c>
      <c r="M29">
        <f t="shared" si="3"/>
        <v>9.240546642943076E-3</v>
      </c>
      <c r="N29">
        <f>D545</f>
        <v>-3.2062464762074153E-2</v>
      </c>
      <c r="O29">
        <f>AVERAGEIFS(E545:E566,E545:E566,"&lt;=" &amp; N29)</f>
        <v>-3.4574915433283532E-2</v>
      </c>
      <c r="P29">
        <v>112.18205637764385</v>
      </c>
      <c r="Q29">
        <v>30.058730000000001</v>
      </c>
      <c r="R29">
        <f t="shared" si="2"/>
        <v>127.25827416801425</v>
      </c>
      <c r="S29">
        <v>9.240546642943076E-3</v>
      </c>
      <c r="T29">
        <v>15.5</v>
      </c>
    </row>
    <row r="30" spans="1:20" x14ac:dyDescent="0.35">
      <c r="A30" t="s">
        <v>16</v>
      </c>
      <c r="E30">
        <v>-5.8766688151955185E-3</v>
      </c>
      <c r="F30">
        <f t="shared" si="0"/>
        <v>-1.9835590933619765E-2</v>
      </c>
      <c r="G30">
        <f t="shared" si="1"/>
        <v>-3.0211689372909793E-2</v>
      </c>
      <c r="J30" s="2" t="s">
        <v>42</v>
      </c>
      <c r="K30">
        <f>B567</f>
        <v>1.7217076154349236E-2</v>
      </c>
      <c r="L30">
        <f>C567</f>
        <v>-1.4256068605921269E-3</v>
      </c>
      <c r="M30">
        <f t="shared" si="3"/>
        <v>1.3028620286317651E-2</v>
      </c>
      <c r="N30">
        <f>D567</f>
        <v>-3.4225889690234469E-2</v>
      </c>
      <c r="O30">
        <f>AVERAGEIFS(E567:E585,E567:E585,"&lt;=" &amp; N30)</f>
        <v>-3.4225889690234469E-2</v>
      </c>
      <c r="P30">
        <v>139.84863858367368</v>
      </c>
      <c r="Q30">
        <v>35.65361</v>
      </c>
      <c r="R30">
        <f t="shared" si="2"/>
        <v>112.18205637764385</v>
      </c>
      <c r="S30">
        <v>1.3028620286317651E-2</v>
      </c>
      <c r="T30">
        <v>17.149999999999999</v>
      </c>
    </row>
    <row r="31" spans="1:20" x14ac:dyDescent="0.35">
      <c r="A31" t="s">
        <v>16</v>
      </c>
      <c r="E31">
        <v>-6.4338371150840751E-4</v>
      </c>
      <c r="F31">
        <f t="shared" si="0"/>
        <v>-1.9836000370360745E-2</v>
      </c>
      <c r="G31">
        <f t="shared" si="1"/>
        <v>-3.0211689372909793E-2</v>
      </c>
      <c r="J31" s="2" t="s">
        <v>43</v>
      </c>
      <c r="K31">
        <f>B586</f>
        <v>1.1684121201489825E-2</v>
      </c>
      <c r="L31">
        <f>C586</f>
        <v>-3.634251862119174E-3</v>
      </c>
      <c r="M31">
        <f t="shared" si="3"/>
        <v>1.7217076154349236E-2</v>
      </c>
      <c r="N31">
        <f>D586</f>
        <v>-2.3210185908322484E-2</v>
      </c>
      <c r="O31">
        <f>AVERAGEIFS(E586:E606,E586:E606,"&lt;=" &amp; N31)</f>
        <v>-2.3559910129754575E-2</v>
      </c>
      <c r="P31">
        <v>169.59648362044646</v>
      </c>
      <c r="Q31">
        <v>43.20946</v>
      </c>
      <c r="R31">
        <f t="shared" si="2"/>
        <v>139.84863858367368</v>
      </c>
      <c r="S31">
        <v>1.7217076154349236E-2</v>
      </c>
      <c r="T31">
        <v>24.06</v>
      </c>
    </row>
    <row r="32" spans="1:20" x14ac:dyDescent="0.35">
      <c r="A32" t="s">
        <v>16</v>
      </c>
      <c r="E32">
        <v>1.9452414481941445E-3</v>
      </c>
      <c r="F32">
        <f t="shared" si="0"/>
        <v>-1.9836409807101728E-2</v>
      </c>
      <c r="G32">
        <f t="shared" si="1"/>
        <v>-3.0211689372909793E-2</v>
      </c>
      <c r="J32" s="2" t="s">
        <v>44</v>
      </c>
      <c r="K32">
        <f>B607</f>
        <v>1.624852795578987E-2</v>
      </c>
      <c r="L32">
        <f>C607</f>
        <v>1.2609941867808071E-3</v>
      </c>
      <c r="M32">
        <f t="shared" si="3"/>
        <v>1.1684121201489825E-2</v>
      </c>
      <c r="N32">
        <f>D607</f>
        <v>-3.477341618264166E-2</v>
      </c>
      <c r="O32">
        <f>AVERAGEIFS(E607:E625,E607:E625,"&lt;=" &amp; N32)</f>
        <v>-3.477341618264166E-2</v>
      </c>
      <c r="P32">
        <v>202.49005798798208</v>
      </c>
      <c r="Q32">
        <v>31.559560000000001</v>
      </c>
      <c r="R32">
        <f t="shared" si="2"/>
        <v>169.59648362044646</v>
      </c>
      <c r="S32">
        <v>1.1684121201489825E-2</v>
      </c>
      <c r="T32">
        <v>17.079999999999998</v>
      </c>
    </row>
    <row r="33" spans="1:20" x14ac:dyDescent="0.35">
      <c r="A33" t="s">
        <v>16</v>
      </c>
      <c r="E33">
        <v>1.4594223665133221E-2</v>
      </c>
      <c r="F33">
        <f t="shared" si="0"/>
        <v>-1.9836819243842712E-2</v>
      </c>
      <c r="G33">
        <f t="shared" si="1"/>
        <v>-3.0211689372909793E-2</v>
      </c>
      <c r="J33" s="2" t="s">
        <v>45</v>
      </c>
      <c r="K33">
        <f>B626</f>
        <v>1.3997731267969014E-2</v>
      </c>
      <c r="L33">
        <f>C626</f>
        <v>2.4543793822124453E-3</v>
      </c>
      <c r="M33">
        <f t="shared" si="3"/>
        <v>1.624852795578987E-2</v>
      </c>
      <c r="N33">
        <f>D626</f>
        <v>-3.0357200068210362E-2</v>
      </c>
      <c r="O33">
        <f>AVERAGEIFS(E626:E647,E626:E647,"&lt;=" &amp; N33)</f>
        <v>-3.2294069899346717E-2</v>
      </c>
      <c r="P33">
        <v>237.98155768545192</v>
      </c>
      <c r="Q33">
        <v>34.46763</v>
      </c>
      <c r="R33">
        <f t="shared" si="2"/>
        <v>202.49005798798208</v>
      </c>
      <c r="S33">
        <v>1.624852795578987E-2</v>
      </c>
      <c r="T33">
        <v>18.93</v>
      </c>
    </row>
    <row r="34" spans="1:20" x14ac:dyDescent="0.35">
      <c r="A34" t="s">
        <v>16</v>
      </c>
      <c r="E34">
        <v>1.0003232750648216E-2</v>
      </c>
      <c r="F34">
        <f t="shared" si="0"/>
        <v>-1.9837228680583692E-2</v>
      </c>
      <c r="G34">
        <f t="shared" si="1"/>
        <v>-3.0211689372909793E-2</v>
      </c>
      <c r="J34" s="2" t="s">
        <v>46</v>
      </c>
      <c r="K34">
        <f>B648</f>
        <v>1.206471129769031E-2</v>
      </c>
      <c r="L34">
        <f>C648</f>
        <v>1.3758906823495248E-3</v>
      </c>
      <c r="M34">
        <f t="shared" si="3"/>
        <v>1.3997731267969014E-2</v>
      </c>
      <c r="N34">
        <f>D648</f>
        <v>-2.1645112464478488E-2</v>
      </c>
      <c r="O34">
        <f>AVERAGEIFS(E648:E668,E648:E668,"&lt;=" &amp; N34)</f>
        <v>-2.2211076578129374E-2</v>
      </c>
      <c r="P34">
        <v>161.60618317081793</v>
      </c>
      <c r="Q34">
        <v>32.31174</v>
      </c>
      <c r="R34">
        <f t="shared" si="2"/>
        <v>237.98155768545192</v>
      </c>
      <c r="S34">
        <v>1.3997731267969014E-2</v>
      </c>
      <c r="T34">
        <v>17.47</v>
      </c>
    </row>
    <row r="35" spans="1:20" x14ac:dyDescent="0.35">
      <c r="A35" t="s">
        <v>16</v>
      </c>
      <c r="E35">
        <v>5.6617165471977452E-3</v>
      </c>
      <c r="F35">
        <f t="shared" si="0"/>
        <v>-1.9837638117324675E-2</v>
      </c>
      <c r="G35">
        <f t="shared" si="1"/>
        <v>-3.0211689372909793E-2</v>
      </c>
      <c r="J35" s="2" t="s">
        <v>47</v>
      </c>
      <c r="K35">
        <f>B669</f>
        <v>1.0571199528932486E-2</v>
      </c>
      <c r="L35">
        <f>C669</f>
        <v>1.7296504218108273E-3</v>
      </c>
      <c r="M35">
        <f t="shared" si="3"/>
        <v>1.206471129769031E-2</v>
      </c>
      <c r="N35">
        <f>D669</f>
        <v>-1.979506240894318E-2</v>
      </c>
      <c r="O35">
        <f>AVERAGEIFS(E669:E688,E669:E688,"&lt;=" &amp; N35)</f>
        <v>-2.0216147736451643E-2</v>
      </c>
      <c r="P35">
        <v>227.42259309828628</v>
      </c>
      <c r="Q35">
        <v>30.108720000000002</v>
      </c>
      <c r="R35">
        <f t="shared" si="2"/>
        <v>161.60618317081793</v>
      </c>
      <c r="S35">
        <v>1.206471129769031E-2</v>
      </c>
      <c r="T35">
        <v>15.73</v>
      </c>
    </row>
    <row r="36" spans="1:20" x14ac:dyDescent="0.35">
      <c r="A36" t="s">
        <v>16</v>
      </c>
      <c r="E36">
        <v>7.3037195665889738E-3</v>
      </c>
      <c r="F36">
        <f t="shared" si="0"/>
        <v>-1.9838047554065659E-2</v>
      </c>
      <c r="G36">
        <f t="shared" si="1"/>
        <v>-3.0211689372909793E-2</v>
      </c>
      <c r="J36" s="2" t="s">
        <v>48</v>
      </c>
      <c r="K36">
        <f>B689</f>
        <v>9.2856974886478851E-3</v>
      </c>
      <c r="L36">
        <f>C689</f>
        <v>2.6717531510227655E-4</v>
      </c>
      <c r="M36">
        <f t="shared" si="3"/>
        <v>1.0571199528932486E-2</v>
      </c>
      <c r="N36">
        <f>D689</f>
        <v>-1.993594871014618E-2</v>
      </c>
      <c r="O36">
        <f>AVERAGEIFS(E689:E711,E689:E711,"&lt;=" &amp; N36)</f>
        <v>-2.1289283913648767E-2</v>
      </c>
      <c r="P36">
        <v>174.70271470386899</v>
      </c>
      <c r="Q36">
        <v>28.809349999999998</v>
      </c>
      <c r="R36">
        <f t="shared" si="2"/>
        <v>227.42259309828628</v>
      </c>
      <c r="S36">
        <v>1.0571199528932486E-2</v>
      </c>
      <c r="T36">
        <v>18.600000000000001</v>
      </c>
    </row>
    <row r="37" spans="1:20" x14ac:dyDescent="0.35">
      <c r="A37" t="s">
        <v>16</v>
      </c>
      <c r="E37">
        <v>-5.8910874471853518E-3</v>
      </c>
      <c r="F37">
        <f t="shared" si="0"/>
        <v>-1.9838456990806642E-2</v>
      </c>
      <c r="G37">
        <f t="shared" si="1"/>
        <v>-3.0211689372909793E-2</v>
      </c>
      <c r="J37" s="2" t="s">
        <v>49</v>
      </c>
      <c r="K37">
        <f>B712</f>
        <v>9.4022552934795636E-3</v>
      </c>
      <c r="L37">
        <f>C712</f>
        <v>8.9801661152613091E-4</v>
      </c>
      <c r="M37">
        <f t="shared" si="3"/>
        <v>9.2856974886478851E-3</v>
      </c>
      <c r="N37">
        <f>D712</f>
        <v>-1.8855122306197486E-2</v>
      </c>
      <c r="O37">
        <f>AVERAGEIFS(E712:E733,E712:E733,"&lt;=" &amp; N37)</f>
        <v>-1.9839685301029589E-2</v>
      </c>
      <c r="P37">
        <v>214.81981000531246</v>
      </c>
      <c r="Q37">
        <v>21.524550000000001</v>
      </c>
      <c r="R37">
        <f t="shared" si="2"/>
        <v>174.70271470386899</v>
      </c>
      <c r="S37">
        <v>9.2856974886478851E-3</v>
      </c>
      <c r="T37">
        <v>15.87</v>
      </c>
    </row>
    <row r="38" spans="1:20" x14ac:dyDescent="0.35">
      <c r="A38" t="s">
        <v>16</v>
      </c>
      <c r="E38">
        <v>-1.4942925871431459E-2</v>
      </c>
      <c r="F38">
        <f t="shared" si="0"/>
        <v>-1.9838866427547622E-2</v>
      </c>
      <c r="G38">
        <f t="shared" si="1"/>
        <v>-3.0211689372909793E-2</v>
      </c>
      <c r="J38" s="2" t="s">
        <v>50</v>
      </c>
      <c r="K38">
        <f>B734</f>
        <v>4.335163882600232E-3</v>
      </c>
      <c r="L38">
        <f>C734</f>
        <v>1.62083621346032E-3</v>
      </c>
      <c r="M38">
        <f t="shared" si="3"/>
        <v>9.4022552934795636E-3</v>
      </c>
      <c r="N38">
        <f>D734</f>
        <v>-4.8884362187562192E-3</v>
      </c>
      <c r="O38">
        <f>AVERAGEIFS(E734:E750,E734:E750,"&lt;=" &amp; N38)</f>
        <v>-5.696797032907621E-3</v>
      </c>
      <c r="P38">
        <v>170.51522360275126</v>
      </c>
      <c r="Q38">
        <v>28.233470000000001</v>
      </c>
      <c r="R38">
        <f t="shared" si="2"/>
        <v>214.81981000531246</v>
      </c>
      <c r="S38">
        <v>9.4022552934795636E-3</v>
      </c>
      <c r="T38">
        <v>18.02</v>
      </c>
    </row>
    <row r="39" spans="1:20" x14ac:dyDescent="0.35">
      <c r="A39" t="s">
        <v>16</v>
      </c>
      <c r="E39">
        <v>2.0392927301452423E-3</v>
      </c>
      <c r="F39">
        <f t="shared" si="0"/>
        <v>-1.9839275864288606E-2</v>
      </c>
      <c r="G39">
        <f t="shared" si="1"/>
        <v>-3.0211689372909793E-2</v>
      </c>
      <c r="J39" s="2" t="s">
        <v>51</v>
      </c>
      <c r="K39">
        <f>B751</f>
        <v>6.9181451528899009E-3</v>
      </c>
      <c r="L39">
        <f>C751</f>
        <v>9.6687791658644107E-4</v>
      </c>
      <c r="M39">
        <f t="shared" si="3"/>
        <v>4.335163882600232E-3</v>
      </c>
      <c r="N39">
        <f>D751</f>
        <v>-6.9385853439948965E-3</v>
      </c>
      <c r="O39">
        <f>AVERAGEIFS(E751:E772,E751:E772,"&lt;=" &amp; N39)</f>
        <v>-6.9599117203718221E-3</v>
      </c>
      <c r="P39">
        <v>198.88418345528052</v>
      </c>
      <c r="Q39">
        <v>22.603100000000001</v>
      </c>
      <c r="R39">
        <f t="shared" si="2"/>
        <v>170.51522360275126</v>
      </c>
      <c r="S39">
        <v>4.335163882600232E-3</v>
      </c>
      <c r="T39">
        <v>14.28</v>
      </c>
    </row>
    <row r="40" spans="1:20" x14ac:dyDescent="0.35">
      <c r="A40" t="s">
        <v>16</v>
      </c>
      <c r="E40">
        <v>-1.4923347252931448E-2</v>
      </c>
      <c r="F40">
        <f t="shared" si="0"/>
        <v>-1.9839685301029589E-2</v>
      </c>
      <c r="G40">
        <f t="shared" si="1"/>
        <v>-3.0211689372909793E-2</v>
      </c>
      <c r="J40" s="2" t="s">
        <v>52</v>
      </c>
      <c r="K40">
        <f>B773</f>
        <v>1.2038253935342738E-2</v>
      </c>
      <c r="L40">
        <f>C773</f>
        <v>-2.2135977255176818E-4</v>
      </c>
      <c r="M40">
        <f t="shared" si="3"/>
        <v>6.9181451528899009E-3</v>
      </c>
      <c r="N40">
        <f>D773</f>
        <v>-2.5113628361850517E-2</v>
      </c>
      <c r="O40">
        <f>AVERAGEIFS(E773:E792,E773:E792,"&lt;=" &amp; N40)</f>
        <v>-2.5229465553521829E-2</v>
      </c>
      <c r="P40">
        <v>152.42018881409973</v>
      </c>
      <c r="Q40">
        <v>27.480319999999999</v>
      </c>
      <c r="R40">
        <f t="shared" si="2"/>
        <v>198.88418345528052</v>
      </c>
      <c r="S40">
        <v>6.9181451528899009E-3</v>
      </c>
      <c r="T40">
        <v>15.51</v>
      </c>
    </row>
    <row r="41" spans="1:20" x14ac:dyDescent="0.35">
      <c r="A41" t="s">
        <v>16</v>
      </c>
      <c r="E41">
        <v>1.1882494969906711E-2</v>
      </c>
      <c r="F41">
        <f t="shared" si="0"/>
        <v>-1.9842219908987942E-2</v>
      </c>
      <c r="G41">
        <f t="shared" si="1"/>
        <v>-3.0266859607334686E-2</v>
      </c>
      <c r="J41" s="2" t="s">
        <v>53</v>
      </c>
      <c r="K41">
        <f>B793</f>
        <v>7.6965030960312363E-3</v>
      </c>
      <c r="L41">
        <f>C793</f>
        <v>3.4504845370670614E-4</v>
      </c>
      <c r="M41">
        <f t="shared" si="3"/>
        <v>1.2038253935342738E-2</v>
      </c>
      <c r="N41">
        <f>D793</f>
        <v>-1.1419801595605791E-2</v>
      </c>
      <c r="O41">
        <f>AVERAGEIFS(E793:E812,E793:E812,"&lt;=" &amp; N41)</f>
        <v>-1.1561988192519744E-2</v>
      </c>
      <c r="P41">
        <v>201.00303622653556</v>
      </c>
      <c r="Q41">
        <v>26.790800000000001</v>
      </c>
      <c r="R41">
        <f t="shared" si="2"/>
        <v>152.42018881409973</v>
      </c>
      <c r="S41">
        <v>1.2038253935342738E-2</v>
      </c>
      <c r="T41">
        <v>12.7</v>
      </c>
    </row>
    <row r="42" spans="1:20" x14ac:dyDescent="0.35">
      <c r="A42" t="s">
        <v>17</v>
      </c>
      <c r="B42" s="3" cm="1">
        <f t="array" ref="B42">_xlfn.STDEV.S(_xlfn._xlws.FILTER($E$2:$E$1000, $A$2:$A$1000="2010-03"))</f>
        <v>7.0943179456575576E-3</v>
      </c>
      <c r="C42" s="3" cm="1">
        <f t="array" ref="C42">_xlfn.STDEV.S(_xlfn._xlws.FILTER($E$2:$E$1000, $A$2:$A$1000="2010-03"))</f>
        <v>7.0943179456575576E-3</v>
      </c>
      <c r="D42" s="3" cm="1">
        <f t="array" ref="D42">_xlfn.PERCENTILE.EXC(_xlfn._xlws.FILTER($E$42:$E$64, $A$42:$A$64="2010-03"), 0.05)</f>
        <v>-6.6072181441897771E-3</v>
      </c>
      <c r="E42">
        <v>2.0341985922088055E-2</v>
      </c>
      <c r="F42">
        <f t="shared" si="0"/>
        <v>-1.9844754516946297E-2</v>
      </c>
      <c r="G42">
        <f t="shared" si="1"/>
        <v>-3.0266859607334686E-2</v>
      </c>
      <c r="J42" s="4" t="s">
        <v>54</v>
      </c>
      <c r="K42" s="3">
        <f>B813</f>
        <v>1.2776017939601451E-2</v>
      </c>
      <c r="L42" s="3">
        <f>C813</f>
        <v>7.1782988418801178E-4</v>
      </c>
      <c r="M42">
        <f t="shared" si="3"/>
        <v>7.6965030960312363E-3</v>
      </c>
      <c r="N42" s="3">
        <f>D813</f>
        <v>-2.3333835779934788E-2</v>
      </c>
      <c r="O42" s="3">
        <f>AVERAGEIFS(E813:E833,E813:E833,"&lt;=" &amp; N42)</f>
        <v>-2.3648489288975182E-2</v>
      </c>
      <c r="P42" s="3">
        <v>131.46474359802284</v>
      </c>
      <c r="Q42" s="3">
        <v>26.659420000000001</v>
      </c>
      <c r="R42">
        <f t="shared" si="2"/>
        <v>201.00303622653556</v>
      </c>
      <c r="S42">
        <v>7.6965030960312363E-3</v>
      </c>
      <c r="T42" s="3">
        <v>13.52</v>
      </c>
    </row>
    <row r="43" spans="1:20" x14ac:dyDescent="0.35">
      <c r="A43" t="s">
        <v>17</v>
      </c>
      <c r="E43">
        <v>1.0974803955725077E-2</v>
      </c>
      <c r="F43">
        <f t="shared" si="0"/>
        <v>-1.984728912490465E-2</v>
      </c>
      <c r="G43">
        <f t="shared" si="1"/>
        <v>-3.0266859607334686E-2</v>
      </c>
      <c r="J43" s="2" t="s">
        <v>55</v>
      </c>
      <c r="K43">
        <f>B834</f>
        <v>9.9948033455375986E-3</v>
      </c>
      <c r="L43">
        <f>C834</f>
        <v>2.6762954343417444E-3</v>
      </c>
      <c r="M43">
        <f t="shared" si="3"/>
        <v>1.2776017939601451E-2</v>
      </c>
      <c r="N43">
        <f>D834</f>
        <v>-2.0993303259482395E-2</v>
      </c>
      <c r="O43">
        <f>AVERAGEIFS(E834:E853,E834:E853,"&lt;=" &amp; N43)</f>
        <v>-2.1195057191282649E-2</v>
      </c>
      <c r="P43">
        <v>65.217127701073068</v>
      </c>
      <c r="Q43">
        <v>25.429390000000001</v>
      </c>
      <c r="R43">
        <f t="shared" si="2"/>
        <v>131.46474359802284</v>
      </c>
      <c r="S43">
        <v>1.2776017939601451E-2</v>
      </c>
      <c r="T43">
        <v>16.3</v>
      </c>
    </row>
    <row r="44" spans="1:20" x14ac:dyDescent="0.35">
      <c r="A44" t="s">
        <v>17</v>
      </c>
      <c r="E44">
        <v>7.1275844162640946E-3</v>
      </c>
      <c r="F44">
        <f t="shared" si="0"/>
        <v>-1.9849823732863002E-2</v>
      </c>
      <c r="G44">
        <f t="shared" si="1"/>
        <v>-3.0266859607334686E-2</v>
      </c>
      <c r="J44" s="2" t="s">
        <v>56</v>
      </c>
      <c r="K44">
        <f>B854</f>
        <v>1.2904876151863118E-2</v>
      </c>
      <c r="L44">
        <f>C854</f>
        <v>-2.3895800975642545E-3</v>
      </c>
      <c r="M44">
        <f t="shared" si="3"/>
        <v>9.9948033455375986E-3</v>
      </c>
      <c r="N44">
        <f>D854</f>
        <v>-3.2536722830334576E-2</v>
      </c>
      <c r="O44">
        <f>AVERAGEIFS(E854:E873,E854:E873,"&lt;=" &amp; N44)</f>
        <v>-3.3316653192384305E-2</v>
      </c>
      <c r="P44">
        <v>126.39472437892519</v>
      </c>
      <c r="Q44">
        <v>28.373660000000001</v>
      </c>
      <c r="R44">
        <f t="shared" si="2"/>
        <v>65.217127701073068</v>
      </c>
      <c r="S44">
        <v>9.9948033455375986E-3</v>
      </c>
      <c r="T44">
        <v>16.86</v>
      </c>
    </row>
    <row r="45" spans="1:20" x14ac:dyDescent="0.35">
      <c r="A45" t="s">
        <v>17</v>
      </c>
      <c r="E45">
        <v>-3.8852389313447353E-3</v>
      </c>
      <c r="F45">
        <f t="shared" si="0"/>
        <v>-1.9852358340821358E-2</v>
      </c>
      <c r="G45">
        <f t="shared" si="1"/>
        <v>-3.0266859607334686E-2</v>
      </c>
      <c r="J45" s="2" t="s">
        <v>57</v>
      </c>
      <c r="K45">
        <f>B874</f>
        <v>1.0071896541788519E-2</v>
      </c>
      <c r="L45">
        <f>C874</f>
        <v>1.6967447753011937E-3</v>
      </c>
      <c r="M45">
        <f t="shared" si="3"/>
        <v>1.2904876151863118E-2</v>
      </c>
      <c r="N45">
        <f>D874</f>
        <v>-2.1139788172367287E-2</v>
      </c>
      <c r="O45">
        <f>AVERAGEIFS(E874:E896,E874:E896,"&lt;=" &amp; N45)</f>
        <v>-2.3837369863132635E-2</v>
      </c>
      <c r="P45">
        <v>160.84449469798662</v>
      </c>
      <c r="Q45">
        <v>25.309899999999999</v>
      </c>
      <c r="R45">
        <f t="shared" si="2"/>
        <v>126.39472437892519</v>
      </c>
      <c r="S45">
        <v>1.2904876151863118E-2</v>
      </c>
      <c r="T45">
        <v>13.45</v>
      </c>
    </row>
    <row r="46" spans="1:20" x14ac:dyDescent="0.35">
      <c r="A46" t="s">
        <v>17</v>
      </c>
      <c r="E46">
        <v>1.405698621278067E-2</v>
      </c>
      <c r="F46">
        <f t="shared" si="0"/>
        <v>-1.985489294877971E-2</v>
      </c>
      <c r="G46">
        <f t="shared" si="1"/>
        <v>-3.0266859607334686E-2</v>
      </c>
      <c r="J46" s="2" t="s">
        <v>58</v>
      </c>
      <c r="K46">
        <f>B897</f>
        <v>8.8821501918989725E-3</v>
      </c>
      <c r="L46">
        <f>C897</f>
        <v>-1.0551629983772618E-3</v>
      </c>
      <c r="M46">
        <f t="shared" si="3"/>
        <v>1.0071896541788519E-2</v>
      </c>
      <c r="N46">
        <f>D897</f>
        <v>-2.0485033828823402E-2</v>
      </c>
      <c r="O46">
        <f>AVERAGEIFS(E897:E916,E897:E916,"&lt;=" &amp; N46)</f>
        <v>-2.0941306874860104E-2</v>
      </c>
      <c r="P46">
        <v>131.17686342981582</v>
      </c>
      <c r="Q46">
        <v>31.001010000000001</v>
      </c>
      <c r="R46">
        <f t="shared" si="2"/>
        <v>160.84449469798662</v>
      </c>
      <c r="S46">
        <v>1.0071896541788519E-2</v>
      </c>
      <c r="T46">
        <v>17.010000000000002</v>
      </c>
    </row>
    <row r="47" spans="1:20" x14ac:dyDescent="0.35">
      <c r="A47" t="s">
        <v>17</v>
      </c>
      <c r="E47">
        <v>-2.4673984471663095E-4</v>
      </c>
      <c r="F47">
        <f t="shared" si="0"/>
        <v>-1.9857427556738066E-2</v>
      </c>
      <c r="G47">
        <f t="shared" si="1"/>
        <v>-3.0266859607334686E-2</v>
      </c>
      <c r="J47" s="2" t="s">
        <v>59</v>
      </c>
      <c r="K47">
        <f>B917</f>
        <v>7.0936527254626897E-3</v>
      </c>
      <c r="L47">
        <f>C917</f>
        <v>2.8027596857428108E-3</v>
      </c>
      <c r="M47">
        <f t="shared" si="3"/>
        <v>8.8821501918989725E-3</v>
      </c>
      <c r="N47">
        <f>D917</f>
        <v>-7.7695145049578333E-3</v>
      </c>
      <c r="O47">
        <f>AVERAGEIFS(E917:E937,E917:E937,"&lt;=" &amp; N47)</f>
        <v>-7.7782439004305164E-3</v>
      </c>
      <c r="P47">
        <v>130.39103635792767</v>
      </c>
      <c r="Q47">
        <v>26.318200000000001</v>
      </c>
      <c r="R47">
        <f t="shared" si="2"/>
        <v>131.17686342981582</v>
      </c>
      <c r="S47">
        <v>8.8821501918989725E-3</v>
      </c>
      <c r="T47">
        <v>16.600000000000001</v>
      </c>
    </row>
    <row r="48" spans="1:20" x14ac:dyDescent="0.35">
      <c r="A48" t="s">
        <v>17</v>
      </c>
      <c r="E48">
        <v>1.697019571000528E-3</v>
      </c>
      <c r="F48">
        <f t="shared" si="0"/>
        <v>-1.9859962164696418E-2</v>
      </c>
      <c r="G48">
        <f t="shared" si="1"/>
        <v>-3.0266859607334686E-2</v>
      </c>
      <c r="J48" s="2" t="s">
        <v>60</v>
      </c>
      <c r="K48">
        <f>B938</f>
        <v>6.2782677945058497E-3</v>
      </c>
      <c r="L48">
        <f>C938</f>
        <v>2.1685023212166801E-3</v>
      </c>
      <c r="M48">
        <f t="shared" si="3"/>
        <v>7.0936527254626897E-3</v>
      </c>
      <c r="N48">
        <f>D938</f>
        <v>-6.4357730976253285E-3</v>
      </c>
      <c r="O48">
        <f>AVERAGEIFS(E938:E960,E938:E960,"&lt;=" &amp; N48)</f>
        <v>-6.8966746323698026E-3</v>
      </c>
      <c r="P48">
        <v>209.00705878223579</v>
      </c>
      <c r="Q48">
        <v>21.606089999999998</v>
      </c>
      <c r="R48">
        <f t="shared" si="2"/>
        <v>130.39103635792767</v>
      </c>
      <c r="S48">
        <v>7.0936527254626897E-3</v>
      </c>
      <c r="T48">
        <v>13.75</v>
      </c>
    </row>
    <row r="49" spans="1:27" x14ac:dyDescent="0.35">
      <c r="A49" t="s">
        <v>17</v>
      </c>
      <c r="E49">
        <v>8.5988310866535328E-3</v>
      </c>
      <c r="F49">
        <f t="shared" si="0"/>
        <v>-1.986249677265477E-2</v>
      </c>
      <c r="G49">
        <f t="shared" si="1"/>
        <v>-3.0266859607334686E-2</v>
      </c>
      <c r="J49" s="2" t="s">
        <v>61</v>
      </c>
      <c r="K49">
        <f>B961</f>
        <v>4.0086318378225513E-3</v>
      </c>
      <c r="L49">
        <f>C961</f>
        <v>1.9184275434628809E-3</v>
      </c>
      <c r="M49">
        <f t="shared" si="3"/>
        <v>6.2782677945058497E-3</v>
      </c>
      <c r="N49">
        <f>D961</f>
        <v>-3.4860705356662717E-3</v>
      </c>
      <c r="O49">
        <f>AVERAGEIFS(E961:E981,E961:E981,"&lt;=" &amp; N49)</f>
        <v>-3.489931181002119E-3</v>
      </c>
      <c r="P49">
        <v>110.15918955687236</v>
      </c>
      <c r="Q49">
        <v>19.903759999999998</v>
      </c>
      <c r="R49">
        <f t="shared" si="2"/>
        <v>209.00705878223579</v>
      </c>
      <c r="S49">
        <v>6.2782677945058497E-3</v>
      </c>
      <c r="T49">
        <v>13.7</v>
      </c>
    </row>
    <row r="50" spans="1:27" x14ac:dyDescent="0.35">
      <c r="A50" t="s">
        <v>17</v>
      </c>
      <c r="E50">
        <v>-1.3636346595107198E-3</v>
      </c>
      <c r="F50">
        <f t="shared" si="0"/>
        <v>-1.9865031380613126E-2</v>
      </c>
      <c r="G50">
        <f t="shared" si="1"/>
        <v>-3.0266859607334686E-2</v>
      </c>
      <c r="J50" s="2" t="s">
        <v>62</v>
      </c>
      <c r="K50">
        <f>B982</f>
        <v>1.0100364865857003E-2</v>
      </c>
      <c r="L50">
        <f>C982</f>
        <v>8.6077481987887705E-4</v>
      </c>
      <c r="M50">
        <f t="shared" si="3"/>
        <v>4.0086318378225513E-3</v>
      </c>
      <c r="N50">
        <f>D982</f>
        <v>-1.0538425682937027E-2</v>
      </c>
      <c r="O50">
        <f>AVERAGEIFS(E982:E999,E982:E999,"&lt;=" &amp; N50)</f>
        <v>-1.9174445029517623E-2</v>
      </c>
      <c r="P50">
        <v>166.10237663397382</v>
      </c>
      <c r="Q50">
        <v>23.81176</v>
      </c>
      <c r="R50">
        <f t="shared" si="2"/>
        <v>110.15918955687236</v>
      </c>
      <c r="S50">
        <v>4.0086318378225513E-3</v>
      </c>
      <c r="T50">
        <v>13.72</v>
      </c>
      <c r="V50" t="s">
        <v>225</v>
      </c>
    </row>
    <row r="51" spans="1:27" ht="15" thickBot="1" x14ac:dyDescent="0.4">
      <c r="A51" t="s">
        <v>17</v>
      </c>
      <c r="E51">
        <v>2.7758752646083111E-3</v>
      </c>
      <c r="F51">
        <f t="shared" si="0"/>
        <v>-1.9867565988571478E-2</v>
      </c>
      <c r="G51">
        <f t="shared" si="1"/>
        <v>-3.0266859607334686E-2</v>
      </c>
      <c r="J51" s="2" t="s">
        <v>63</v>
      </c>
      <c r="K51">
        <f>B1000</f>
        <v>9.1316859077763702E-3</v>
      </c>
      <c r="L51">
        <f>C1000</f>
        <v>-1.1843806913817488E-3</v>
      </c>
      <c r="M51">
        <f t="shared" si="3"/>
        <v>1.0100364865857003E-2</v>
      </c>
      <c r="N51">
        <f>D1000</f>
        <v>-2.3769204130774144E-2</v>
      </c>
      <c r="O51">
        <f>AVERAGEIFS(E1000:E1021,E1000:E1021,"&lt;=" &amp; N51)</f>
        <v>-2.5130823269851943E-2</v>
      </c>
      <c r="P51">
        <v>106.18580221471716</v>
      </c>
      <c r="Q51">
        <v>29.466290000000001</v>
      </c>
      <c r="R51">
        <f t="shared" si="2"/>
        <v>166.10237663397382</v>
      </c>
      <c r="S51">
        <v>1.0100364865857003E-2</v>
      </c>
      <c r="T51">
        <v>18.41</v>
      </c>
    </row>
    <row r="52" spans="1:27" x14ac:dyDescent="0.35">
      <c r="A52" t="s">
        <v>17</v>
      </c>
      <c r="E52">
        <v>-7.0134741394852415E-3</v>
      </c>
      <c r="F52">
        <f t="shared" si="0"/>
        <v>-1.9870100596529834E-2</v>
      </c>
      <c r="G52">
        <f t="shared" si="1"/>
        <v>-3.0266859607334686E-2</v>
      </c>
      <c r="J52" s="2" t="s">
        <v>64</v>
      </c>
      <c r="K52">
        <f>B1022</f>
        <v>7.8430950897062646E-3</v>
      </c>
      <c r="L52">
        <f>C1022</f>
        <v>2.0299062716092461E-3</v>
      </c>
      <c r="M52">
        <f t="shared" si="3"/>
        <v>9.1316859077763702E-3</v>
      </c>
      <c r="N52">
        <f>D1022</f>
        <v>-1.2706351919281815E-2</v>
      </c>
      <c r="O52">
        <f>AVERAGEIFS(E1022:E1041,E1022:E1041,"&lt;=" &amp; N52)</f>
        <v>-1.2973739535326293E-2</v>
      </c>
      <c r="P52">
        <v>134.5987228537432</v>
      </c>
      <c r="Q52">
        <v>23.15146</v>
      </c>
      <c r="R52">
        <f t="shared" si="2"/>
        <v>106.18580221471716</v>
      </c>
      <c r="S52">
        <v>9.1316859077763702E-3</v>
      </c>
      <c r="T52">
        <v>14</v>
      </c>
      <c r="V52" s="8" t="s">
        <v>226</v>
      </c>
      <c r="W52" s="8"/>
    </row>
    <row r="53" spans="1:27" x14ac:dyDescent="0.35">
      <c r="A53" t="s">
        <v>17</v>
      </c>
      <c r="E53">
        <v>1.1357184026373741E-2</v>
      </c>
      <c r="F53">
        <f t="shared" si="0"/>
        <v>-1.9872635204488186E-2</v>
      </c>
      <c r="G53">
        <f t="shared" si="1"/>
        <v>-3.0266859607334686E-2</v>
      </c>
      <c r="J53" s="2" t="s">
        <v>65</v>
      </c>
      <c r="K53">
        <f>B1042</f>
        <v>1.4228089829690741E-2</v>
      </c>
      <c r="L53">
        <f>C1042</f>
        <v>-6.7377361418529736E-4</v>
      </c>
      <c r="M53">
        <f t="shared" si="3"/>
        <v>7.8430950897062646E-3</v>
      </c>
      <c r="N53">
        <f>D1042</f>
        <v>-3.3517899573662843E-2</v>
      </c>
      <c r="O53">
        <f>AVERAGEIFS(E1042:E1062,E1042:E1062,"&lt;=" &amp; N53)</f>
        <v>-3.4982363436915097E-2</v>
      </c>
      <c r="P53">
        <v>130.77835606258907</v>
      </c>
      <c r="Q53">
        <v>24.326720000000002</v>
      </c>
      <c r="R53">
        <f t="shared" si="2"/>
        <v>134.5987228537432</v>
      </c>
      <c r="S53">
        <v>7.8430950897062646E-3</v>
      </c>
      <c r="T53">
        <v>13.88</v>
      </c>
      <c r="V53" t="s">
        <v>227</v>
      </c>
      <c r="W53">
        <v>7.3672454927284789E-2</v>
      </c>
    </row>
    <row r="54" spans="1:27" x14ac:dyDescent="0.35">
      <c r="A54" t="s">
        <v>17</v>
      </c>
      <c r="E54">
        <v>8.8852273589817028E-3</v>
      </c>
      <c r="F54">
        <f t="shared" si="0"/>
        <v>-1.9875169812446539E-2</v>
      </c>
      <c r="G54">
        <f t="shared" si="1"/>
        <v>-3.0266859607334686E-2</v>
      </c>
      <c r="J54" s="2" t="s">
        <v>66</v>
      </c>
      <c r="K54">
        <f>B1063</f>
        <v>1.0960163541798818E-2</v>
      </c>
      <c r="L54">
        <f>C1063</f>
        <v>2.4698444825483864E-4</v>
      </c>
      <c r="M54">
        <f t="shared" si="3"/>
        <v>1.4228089829690741E-2</v>
      </c>
      <c r="N54">
        <f>D1063</f>
        <v>-1.9187412901654925E-2</v>
      </c>
      <c r="O54">
        <f>AVERAGEIFS(E1063:E1082,E1063:E1082,"&lt;=" &amp; N54)</f>
        <v>-1.925645575989509E-2</v>
      </c>
      <c r="P54">
        <v>93.58222856563691</v>
      </c>
      <c r="Q54">
        <v>23.671060000000001</v>
      </c>
      <c r="R54">
        <f t="shared" si="2"/>
        <v>130.77835606258907</v>
      </c>
      <c r="S54">
        <v>1.4228089829690741E-2</v>
      </c>
      <c r="T54">
        <v>13.41</v>
      </c>
      <c r="V54" t="s">
        <v>228</v>
      </c>
      <c r="W54">
        <v>5.427630615012809E-3</v>
      </c>
    </row>
    <row r="55" spans="1:27" x14ac:dyDescent="0.35">
      <c r="A55" t="s">
        <v>17</v>
      </c>
      <c r="E55">
        <v>-1.9889360601260614E-3</v>
      </c>
      <c r="F55">
        <f t="shared" si="0"/>
        <v>-1.9877704420404894E-2</v>
      </c>
      <c r="G55">
        <f t="shared" si="1"/>
        <v>-3.0266859607334686E-2</v>
      </c>
      <c r="J55" s="2" t="s">
        <v>67</v>
      </c>
      <c r="K55">
        <f>B1083</f>
        <v>6.8803288208733526E-3</v>
      </c>
      <c r="L55">
        <f>C1083</f>
        <v>1.8313915891473396E-3</v>
      </c>
      <c r="M55">
        <f t="shared" si="3"/>
        <v>1.0960163541798818E-2</v>
      </c>
      <c r="N55">
        <f>D1083</f>
        <v>-1.0132778175598404E-2</v>
      </c>
      <c r="O55">
        <f>AVERAGEIFS(E1083:E1101,E1083:E1101,"&lt;=" &amp; N55)</f>
        <v>-1.0132778175598404E-2</v>
      </c>
      <c r="P55">
        <v>129.2179973686516</v>
      </c>
      <c r="Q55">
        <v>21.531639999999999</v>
      </c>
      <c r="R55">
        <f t="shared" si="2"/>
        <v>93.58222856563691</v>
      </c>
      <c r="S55">
        <v>1.0960163541798818E-2</v>
      </c>
      <c r="T55">
        <v>11.4</v>
      </c>
      <c r="V55" t="s">
        <v>228</v>
      </c>
      <c r="W55">
        <v>-3.705273325635142E-5</v>
      </c>
      <c r="Y55" t="s">
        <v>378</v>
      </c>
    </row>
    <row r="56" spans="1:27" x14ac:dyDescent="0.35">
      <c r="A56" t="s">
        <v>17</v>
      </c>
      <c r="E56">
        <v>-4.9821941630079211E-3</v>
      </c>
      <c r="F56">
        <f t="shared" si="0"/>
        <v>-1.9880239028363247E-2</v>
      </c>
      <c r="G56">
        <f t="shared" si="1"/>
        <v>-3.0266859607334686E-2</v>
      </c>
      <c r="J56" s="2" t="s">
        <v>68</v>
      </c>
      <c r="K56">
        <f>B1102</f>
        <v>4.0449412826937302E-3</v>
      </c>
      <c r="L56">
        <f>C1102</f>
        <v>-5.3070217873548797E-4</v>
      </c>
      <c r="M56">
        <f t="shared" si="3"/>
        <v>6.8803288208733526E-3</v>
      </c>
      <c r="N56">
        <f>D1102</f>
        <v>-7.826946318369464E-3</v>
      </c>
      <c r="O56">
        <f>AVERAGEIFS(E1102:E1122,E1102:E1122,"&lt;=" &amp; N56)</f>
        <v>-7.9074982287164336E-3</v>
      </c>
      <c r="P56">
        <v>70.298324228754865</v>
      </c>
      <c r="Q56">
        <v>20.90326</v>
      </c>
      <c r="R56">
        <f t="shared" si="2"/>
        <v>129.2179973686516</v>
      </c>
      <c r="S56">
        <v>6.8803288208733526E-3</v>
      </c>
      <c r="T56">
        <v>11.57</v>
      </c>
      <c r="V56" t="s">
        <v>229</v>
      </c>
      <c r="W56">
        <v>1.2033886156492363E-2</v>
      </c>
    </row>
    <row r="57" spans="1:27" ht="15" thickBot="1" x14ac:dyDescent="0.4">
      <c r="A57" t="s">
        <v>17</v>
      </c>
      <c r="E57">
        <v>8.4712279907955639E-4</v>
      </c>
      <c r="F57">
        <f t="shared" si="0"/>
        <v>-1.9882773636321602E-2</v>
      </c>
      <c r="G57">
        <f t="shared" si="1"/>
        <v>-3.0266859607334686E-2</v>
      </c>
      <c r="J57" s="2" t="s">
        <v>69</v>
      </c>
      <c r="K57">
        <f>B1123</f>
        <v>9.9767848827967791E-3</v>
      </c>
      <c r="L57">
        <f>C1123</f>
        <v>-1.9237424842694487E-3</v>
      </c>
      <c r="M57">
        <f t="shared" si="3"/>
        <v>4.0449412826937302E-3</v>
      </c>
      <c r="N57">
        <f>D1123</f>
        <v>-1.8767361104945042E-2</v>
      </c>
      <c r="O57">
        <f>AVERAGEIFS(E1123:E1145,E1123:E1145,"&lt;=" &amp; N57)</f>
        <v>-1.9599430824045284E-2</v>
      </c>
      <c r="P57">
        <v>105.19635400779381</v>
      </c>
      <c r="Q57">
        <v>25.594930000000002</v>
      </c>
      <c r="R57">
        <f t="shared" si="2"/>
        <v>70.298324228754865</v>
      </c>
      <c r="S57">
        <v>4.0449412826937302E-3</v>
      </c>
      <c r="T57">
        <v>16.95</v>
      </c>
      <c r="V57" s="6" t="s">
        <v>230</v>
      </c>
      <c r="W57" s="6">
        <v>184</v>
      </c>
    </row>
    <row r="58" spans="1:27" x14ac:dyDescent="0.35">
      <c r="A58" t="s">
        <v>17</v>
      </c>
      <c r="E58">
        <v>4.9597053546537578E-3</v>
      </c>
      <c r="F58">
        <f t="shared" si="0"/>
        <v>-1.9885308244279955E-2</v>
      </c>
      <c r="G58">
        <f t="shared" si="1"/>
        <v>-3.0266859607334686E-2</v>
      </c>
      <c r="J58" s="2" t="s">
        <v>70</v>
      </c>
      <c r="K58">
        <f>B1146</f>
        <v>1.1597667143392356E-2</v>
      </c>
      <c r="L58">
        <f>C1146</f>
        <v>3.495653127657021E-4</v>
      </c>
      <c r="M58">
        <f t="shared" si="3"/>
        <v>9.9767848827967791E-3</v>
      </c>
      <c r="N58">
        <f>D1146</f>
        <v>-2.1206581079737007E-2</v>
      </c>
      <c r="O58">
        <f>AVERAGEIFS(E1146:E1164,E1146:E1164,"&lt;=" &amp; N58)</f>
        <v>-2.1206581079737007E-2</v>
      </c>
      <c r="P58">
        <v>142.96778929186871</v>
      </c>
      <c r="Q58">
        <v>22.59468</v>
      </c>
      <c r="R58">
        <f t="shared" si="2"/>
        <v>105.19635400779381</v>
      </c>
      <c r="S58">
        <v>9.9767848827967791E-3</v>
      </c>
      <c r="T58">
        <v>11.98</v>
      </c>
    </row>
    <row r="59" spans="1:27" ht="15" thickBot="1" x14ac:dyDescent="0.4">
      <c r="A59" t="s">
        <v>17</v>
      </c>
      <c r="E59">
        <v>3.6047672340766943E-3</v>
      </c>
      <c r="F59">
        <f t="shared" si="0"/>
        <v>-1.9887842852238307E-2</v>
      </c>
      <c r="G59">
        <f t="shared" si="1"/>
        <v>-3.0266859607334686E-2</v>
      </c>
      <c r="J59" s="2" t="s">
        <v>71</v>
      </c>
      <c r="K59">
        <f>B1165</f>
        <v>7.5508616589449159E-3</v>
      </c>
      <c r="L59">
        <f>C1165</f>
        <v>1.9818688588433715E-5</v>
      </c>
      <c r="M59">
        <f t="shared" si="3"/>
        <v>1.1597667143392356E-2</v>
      </c>
      <c r="N59">
        <f>D1165</f>
        <v>-1.5956516042215624E-2</v>
      </c>
      <c r="O59">
        <f>AVERAGEIFS(E1165:E1186,E1165:E1186,"&lt;=" &amp; N59)</f>
        <v>-1.5974848326361622E-2</v>
      </c>
      <c r="P59">
        <v>177.00502983212075</v>
      </c>
      <c r="Q59">
        <v>22.544530000000002</v>
      </c>
      <c r="R59">
        <f t="shared" si="2"/>
        <v>142.96778929186871</v>
      </c>
      <c r="S59">
        <v>1.1597667143392356E-2</v>
      </c>
      <c r="T59">
        <v>16.309999999999999</v>
      </c>
      <c r="V59" t="s">
        <v>231</v>
      </c>
    </row>
    <row r="60" spans="1:27" x14ac:dyDescent="0.35">
      <c r="A60" t="s">
        <v>17</v>
      </c>
      <c r="E60">
        <v>1.543743866785963E-2</v>
      </c>
      <c r="F60">
        <f t="shared" si="0"/>
        <v>-1.9890377460196663E-2</v>
      </c>
      <c r="G60">
        <f t="shared" si="1"/>
        <v>-3.0266859607334686E-2</v>
      </c>
      <c r="J60" s="2" t="s">
        <v>72</v>
      </c>
      <c r="K60">
        <f>B1187</f>
        <v>1.5362219614856062E-2</v>
      </c>
      <c r="L60">
        <f>C1187</f>
        <v>-7.1288127241577728E-4</v>
      </c>
      <c r="M60">
        <f t="shared" si="3"/>
        <v>7.5508616589449159E-3</v>
      </c>
      <c r="N60">
        <f>D1187</f>
        <v>-2.8395012561796384E-2</v>
      </c>
      <c r="O60">
        <f>AVERAGEIFS(E1187:E1208,E1187:E1208,"&lt;=" &amp; N60)</f>
        <v>-2.9117153920385008E-2</v>
      </c>
      <c r="P60">
        <v>150.62700361756711</v>
      </c>
      <c r="Q60">
        <v>25.459479999999999</v>
      </c>
      <c r="R60">
        <f t="shared" si="2"/>
        <v>177.00502983212075</v>
      </c>
      <c r="S60">
        <v>7.5508616589449159E-3</v>
      </c>
      <c r="T60">
        <v>14.03</v>
      </c>
      <c r="V60" s="7"/>
      <c r="W60" s="7" t="s">
        <v>236</v>
      </c>
      <c r="X60" s="7" t="s">
        <v>237</v>
      </c>
      <c r="Y60" s="7" t="s">
        <v>238</v>
      </c>
      <c r="Z60" s="7" t="s">
        <v>239</v>
      </c>
      <c r="AA60" s="7" t="s">
        <v>240</v>
      </c>
    </row>
    <row r="61" spans="1:27" x14ac:dyDescent="0.35">
      <c r="A61" t="s">
        <v>17</v>
      </c>
      <c r="E61">
        <v>-2.1056075681222669E-3</v>
      </c>
      <c r="F61">
        <f t="shared" si="0"/>
        <v>-1.9892997512343705E-2</v>
      </c>
      <c r="G61">
        <f t="shared" si="1"/>
        <v>-3.0322348816677672E-2</v>
      </c>
      <c r="J61" s="2" t="s">
        <v>73</v>
      </c>
      <c r="K61">
        <f>B1209</f>
        <v>9.675670586048405E-3</v>
      </c>
      <c r="L61">
        <f>C1209</f>
        <v>3.3884387709526122E-3</v>
      </c>
      <c r="M61">
        <f t="shared" si="3"/>
        <v>1.5362219614856062E-2</v>
      </c>
      <c r="N61">
        <f>D1209</f>
        <v>-1.6627468027512658E-2</v>
      </c>
      <c r="O61">
        <f>AVERAGEIFS(E1209:E1228,E1209:E1228,"&lt;=" &amp; N61)</f>
        <v>-1.7015489650374499E-2</v>
      </c>
      <c r="P61">
        <v>109.45727696826467</v>
      </c>
      <c r="Q61">
        <v>22.414459999999998</v>
      </c>
      <c r="R61">
        <f t="shared" si="2"/>
        <v>150.62700361756711</v>
      </c>
      <c r="S61">
        <v>1.5362219614856062E-2</v>
      </c>
      <c r="T61">
        <v>13.33</v>
      </c>
      <c r="V61" t="s">
        <v>232</v>
      </c>
      <c r="W61">
        <v>1</v>
      </c>
      <c r="X61">
        <v>1.4383251651252024E-4</v>
      </c>
      <c r="Y61">
        <v>1.4383251651252024E-4</v>
      </c>
      <c r="Z61">
        <v>0.99321960104640139</v>
      </c>
      <c r="AA61">
        <v>0.320279916292455</v>
      </c>
    </row>
    <row r="62" spans="1:27" x14ac:dyDescent="0.35">
      <c r="A62" t="s">
        <v>17</v>
      </c>
      <c r="E62">
        <v>5.995016692589371E-3</v>
      </c>
      <c r="F62">
        <f t="shared" si="0"/>
        <v>-1.9895617564490747E-2</v>
      </c>
      <c r="G62">
        <f t="shared" si="1"/>
        <v>-3.0322348816677672E-2</v>
      </c>
      <c r="J62" s="2" t="s">
        <v>74</v>
      </c>
      <c r="K62">
        <f>B1229</f>
        <v>1.5697553036390456E-2</v>
      </c>
      <c r="L62">
        <f>C1229</f>
        <v>-9.326160596041281E-4</v>
      </c>
      <c r="M62">
        <f t="shared" si="3"/>
        <v>9.675670586048405E-3</v>
      </c>
      <c r="N62">
        <f>D1229</f>
        <v>-2.7549270528568506E-2</v>
      </c>
      <c r="O62">
        <f>AVERAGEIFS(E1229:E1247,E1229:E1247,"&lt;=" &amp; N62)</f>
        <v>-2.7549270528568506E-2</v>
      </c>
      <c r="P62">
        <v>152.41962100546721</v>
      </c>
      <c r="Q62">
        <v>31.836269999999999</v>
      </c>
      <c r="R62">
        <f t="shared" si="2"/>
        <v>109.45727696826467</v>
      </c>
      <c r="S62">
        <v>9.675670586048405E-3</v>
      </c>
      <c r="T62">
        <v>19.2</v>
      </c>
      <c r="V62" t="s">
        <v>233</v>
      </c>
      <c r="W62">
        <v>182</v>
      </c>
      <c r="X62">
        <v>2.6356223716990174E-2</v>
      </c>
      <c r="Y62">
        <v>1.4481441602741854E-4</v>
      </c>
    </row>
    <row r="63" spans="1:27" ht="15" thickBot="1" x14ac:dyDescent="0.4">
      <c r="A63" t="s">
        <v>17</v>
      </c>
      <c r="E63">
        <v>-2.3415977461637544E-3</v>
      </c>
      <c r="F63">
        <f t="shared" si="0"/>
        <v>-1.9898237616637789E-2</v>
      </c>
      <c r="G63">
        <f t="shared" si="1"/>
        <v>-3.0322348816677672E-2</v>
      </c>
      <c r="J63" s="2" t="s">
        <v>75</v>
      </c>
      <c r="K63">
        <f>B1248</f>
        <v>1.5017602661704994E-2</v>
      </c>
      <c r="L63">
        <f>C1248</f>
        <v>4.1316289283593582E-3</v>
      </c>
      <c r="M63">
        <f t="shared" si="3"/>
        <v>1.5697553036390456E-2</v>
      </c>
      <c r="N63">
        <f>D1248</f>
        <v>-2.9223972838513586E-2</v>
      </c>
      <c r="O63">
        <f>AVERAGEIFS(E1248:E1268,E1248:E1268,"&lt;=" &amp; N63)</f>
        <v>-3.0314377317303794E-2</v>
      </c>
      <c r="P63">
        <v>201.27246749451962</v>
      </c>
      <c r="Q63">
        <v>27.916350000000001</v>
      </c>
      <c r="R63">
        <f t="shared" si="2"/>
        <v>152.41962100546721</v>
      </c>
      <c r="S63">
        <v>1.5697553036390456E-2</v>
      </c>
      <c r="T63">
        <v>20.97</v>
      </c>
      <c r="V63" s="6" t="s">
        <v>234</v>
      </c>
      <c r="W63" s="6">
        <v>183</v>
      </c>
      <c r="X63" s="6">
        <v>2.6500056233502694E-2</v>
      </c>
      <c r="Y63" s="6"/>
      <c r="Z63" s="6"/>
      <c r="AA63" s="6"/>
    </row>
    <row r="64" spans="1:27" ht="15" thickBot="1" x14ac:dyDescent="0.4">
      <c r="A64" t="s">
        <v>17</v>
      </c>
      <c r="E64">
        <v>1.8054656823728434E-3</v>
      </c>
      <c r="F64">
        <f t="shared" si="0"/>
        <v>-1.9900857668784831E-2</v>
      </c>
      <c r="G64">
        <f t="shared" si="1"/>
        <v>-3.0322348816677672E-2</v>
      </c>
      <c r="J64" s="2" t="s">
        <v>76</v>
      </c>
      <c r="K64">
        <f>B1269</f>
        <v>7.1398432763169839E-3</v>
      </c>
      <c r="L64">
        <f>C1269</f>
        <v>3.2023099717253937E-3</v>
      </c>
      <c r="M64">
        <f t="shared" si="3"/>
        <v>1.5017602661704994E-2</v>
      </c>
      <c r="N64">
        <f>D1269</f>
        <v>-1.6425773783482617E-2</v>
      </c>
      <c r="O64">
        <f>AVERAGEIFS(E1269:E1288,E1269:E1288,"&lt;=" &amp; N64)</f>
        <v>-1.7004672895773829E-2</v>
      </c>
      <c r="P64">
        <v>161.29882875057609</v>
      </c>
      <c r="Q64">
        <v>19.87426</v>
      </c>
      <c r="R64">
        <f t="shared" si="2"/>
        <v>201.27246749451962</v>
      </c>
      <c r="S64">
        <v>1.5017602661704994E-2</v>
      </c>
      <c r="T64">
        <v>13.34</v>
      </c>
    </row>
    <row r="65" spans="1:30" x14ac:dyDescent="0.35">
      <c r="A65" t="s">
        <v>18</v>
      </c>
      <c r="B65" s="3" cm="1">
        <f t="array" ref="B65">_xlfn.STDEV.S(_xlfn._xlws.FILTER($E$2:$E$1000, $A$2:$A$1000="2010-04"))</f>
        <v>1.1657554670445942E-2</v>
      </c>
      <c r="C65" s="3" cm="1">
        <f t="array" ref="C65">_xlfn.STDEV.S(_xlfn._xlws.FILTER($E$2:$E$1000, $A$2:$A$1000="2010-04"))</f>
        <v>1.1657554670445942E-2</v>
      </c>
      <c r="D65" s="3" cm="1">
        <f t="array" ref="D65">_xlfn.PERCENTILE.EXC(_xlfn._xlws.FILTER($E$65:$E$84, $A$65:$A$84="2010-04"), 0.05)</f>
        <v>-2.7139354319967265E-2</v>
      </c>
      <c r="E65">
        <v>1.3239239601861904E-2</v>
      </c>
      <c r="F65">
        <f t="shared" si="0"/>
        <v>-1.9903477720931876E-2</v>
      </c>
      <c r="G65">
        <f t="shared" si="1"/>
        <v>-3.0322348816677672E-2</v>
      </c>
      <c r="J65" s="4" t="s">
        <v>77</v>
      </c>
      <c r="K65" s="3">
        <f>B1289</f>
        <v>1.1447004604339403E-2</v>
      </c>
      <c r="L65" s="3">
        <f>C1289</f>
        <v>2.1965701341675036E-3</v>
      </c>
      <c r="M65">
        <f t="shared" si="3"/>
        <v>7.1398432763169839E-3</v>
      </c>
      <c r="N65" s="3">
        <f>D1289</f>
        <v>-1.4954454559477958E-2</v>
      </c>
      <c r="O65" s="3">
        <f>AVERAGEIFS(E1289:E1310,E1289:E1310,"&lt;=" &amp; N65)</f>
        <v>-1.5477001759037972E-2</v>
      </c>
      <c r="P65" s="3">
        <v>80.555384476922157</v>
      </c>
      <c r="Q65" s="3">
        <v>22.636510000000001</v>
      </c>
      <c r="R65">
        <f t="shared" si="2"/>
        <v>161.29882875057609</v>
      </c>
      <c r="S65">
        <v>7.1398432763169839E-3</v>
      </c>
      <c r="T65" s="3">
        <v>15.29</v>
      </c>
      <c r="V65" s="7"/>
      <c r="W65" s="7" t="s">
        <v>241</v>
      </c>
      <c r="X65" s="7" t="s">
        <v>229</v>
      </c>
      <c r="Y65" s="7" t="s">
        <v>242</v>
      </c>
      <c r="Z65" s="7" t="s">
        <v>243</v>
      </c>
      <c r="AA65" s="7" t="s">
        <v>244</v>
      </c>
      <c r="AB65" s="7" t="s">
        <v>245</v>
      </c>
      <c r="AC65" s="7" t="s">
        <v>246</v>
      </c>
      <c r="AD65" s="7" t="s">
        <v>247</v>
      </c>
    </row>
    <row r="66" spans="1:30" x14ac:dyDescent="0.35">
      <c r="A66" t="s">
        <v>18</v>
      </c>
      <c r="E66">
        <v>2.6666105904016406E-3</v>
      </c>
      <c r="F66">
        <f t="shared" si="0"/>
        <v>-1.9906097773078918E-2</v>
      </c>
      <c r="G66">
        <f t="shared" si="1"/>
        <v>-3.0322348816677672E-2</v>
      </c>
      <c r="J66" s="2" t="s">
        <v>78</v>
      </c>
      <c r="K66">
        <f>B1311</f>
        <v>1.4585187680656002E-2</v>
      </c>
      <c r="L66">
        <f>C1311</f>
        <v>-2.1855656091093766E-3</v>
      </c>
      <c r="M66">
        <f t="shared" si="3"/>
        <v>1.1447004604339403E-2</v>
      </c>
      <c r="N66">
        <f>D1311</f>
        <v>-3.2286825565426329E-2</v>
      </c>
      <c r="O66">
        <f>AVERAGEIFS(E1311:E1330,E1311:E1330,"&lt;=" &amp; N66)</f>
        <v>-3.2607759430227132E-2</v>
      </c>
      <c r="P66">
        <v>105.49147653852009</v>
      </c>
      <c r="Q66">
        <v>27.152229999999999</v>
      </c>
      <c r="R66">
        <f t="shared" si="2"/>
        <v>80.555384476922157</v>
      </c>
      <c r="S66">
        <v>1.1447004604339403E-2</v>
      </c>
      <c r="T66">
        <v>14.55</v>
      </c>
      <c r="V66" t="s">
        <v>235</v>
      </c>
      <c r="W66">
        <v>-2.0926427013520883E-2</v>
      </c>
      <c r="X66">
        <v>1.435421102833783E-3</v>
      </c>
      <c r="Y66">
        <v>-14.578597856899485</v>
      </c>
      <c r="Z66">
        <v>2.1198126962419701E-32</v>
      </c>
      <c r="AA66">
        <v>-2.375863353579416E-2</v>
      </c>
      <c r="AB66">
        <v>-1.8094220491247606E-2</v>
      </c>
      <c r="AC66">
        <v>-2.375863353579416E-2</v>
      </c>
      <c r="AD66">
        <v>-1.8094220491247606E-2</v>
      </c>
    </row>
    <row r="67" spans="1:30" ht="15" thickBot="1" x14ac:dyDescent="0.4">
      <c r="A67" t="s">
        <v>18</v>
      </c>
      <c r="E67">
        <v>-4.7777097315689241E-3</v>
      </c>
      <c r="F67">
        <f t="shared" si="0"/>
        <v>-1.990871782522596E-2</v>
      </c>
      <c r="G67">
        <f t="shared" si="1"/>
        <v>-3.0322348816677672E-2</v>
      </c>
      <c r="J67" s="2" t="s">
        <v>79</v>
      </c>
      <c r="K67">
        <f>B1331</f>
        <v>1.4058491366531768E-2</v>
      </c>
      <c r="L67">
        <f>C1331</f>
        <v>-1.9707154005890834E-4</v>
      </c>
      <c r="M67">
        <f t="shared" si="3"/>
        <v>1.4585187680656002E-2</v>
      </c>
      <c r="N67">
        <f>D1331</f>
        <v>-1.8185677893263783E-2</v>
      </c>
      <c r="O67">
        <f>AVERAGEIFS(E1331:E1348,E1331:E1348,"&lt;=" &amp; N67)</f>
        <v>-2.2845005926619009E-2</v>
      </c>
      <c r="P67">
        <v>113.39719457589861</v>
      </c>
      <c r="Q67">
        <v>25.82891</v>
      </c>
      <c r="R67">
        <f t="shared" si="2"/>
        <v>105.49147653852009</v>
      </c>
      <c r="S67">
        <v>1.4585187680656002E-2</v>
      </c>
      <c r="T67">
        <v>13.84</v>
      </c>
      <c r="V67" s="6" t="s">
        <v>202</v>
      </c>
      <c r="W67" s="6">
        <v>-3.683648267368215E-6</v>
      </c>
      <c r="X67" s="6">
        <v>3.6962004375275745E-6</v>
      </c>
      <c r="Y67" s="6">
        <v>-0.99660403423149968</v>
      </c>
      <c r="Z67" s="6">
        <v>0.32027991629243097</v>
      </c>
      <c r="AA67" s="6">
        <v>-1.0976562497295861E-5</v>
      </c>
      <c r="AB67" s="6">
        <v>3.60926596255943E-6</v>
      </c>
      <c r="AC67" s="6">
        <v>-1.0976562497295861E-5</v>
      </c>
      <c r="AD67" s="6">
        <v>3.60926596255943E-6</v>
      </c>
    </row>
    <row r="68" spans="1:30" x14ac:dyDescent="0.35">
      <c r="A68" t="s">
        <v>18</v>
      </c>
      <c r="E68">
        <v>-8.1619011393654767E-3</v>
      </c>
      <c r="F68">
        <f t="shared" ref="F68:F131" si="4">_xlfn.PERCENTILE.EXC(E68:E3883,0.05)</f>
        <v>-1.9911337877373002E-2</v>
      </c>
      <c r="G68">
        <f t="shared" ref="G68:G131" si="5">AVERAGEIFS(E68:E3884,E68:E3884,"&lt;=" &amp; F68)</f>
        <v>-3.0322348816677672E-2</v>
      </c>
      <c r="J68" s="2" t="s">
        <v>80</v>
      </c>
      <c r="K68">
        <f>B1349</f>
        <v>1.5035497423957916E-2</v>
      </c>
      <c r="L68">
        <f>C1349</f>
        <v>-1.9065869040830164E-3</v>
      </c>
      <c r="M68">
        <f t="shared" si="3"/>
        <v>1.4058491366531768E-2</v>
      </c>
      <c r="N68">
        <f>D1349</f>
        <v>-3.3680247268442813E-2</v>
      </c>
      <c r="O68">
        <f>AVERAGEIFS(E1349:E1370,E1349:E1370,"&lt;=" &amp; N68)</f>
        <v>-3.6258109464625946E-2</v>
      </c>
      <c r="P68">
        <v>212.8246818215994</v>
      </c>
      <c r="Q68">
        <v>36.032110000000003</v>
      </c>
      <c r="R68">
        <f t="shared" si="2"/>
        <v>113.39719457589861</v>
      </c>
      <c r="S68">
        <v>1.4058491366531768E-2</v>
      </c>
      <c r="T68">
        <v>18.23</v>
      </c>
    </row>
    <row r="69" spans="1:30" x14ac:dyDescent="0.35">
      <c r="A69" t="s">
        <v>18</v>
      </c>
      <c r="E69">
        <v>1.2538072220644188E-2</v>
      </c>
      <c r="F69">
        <f t="shared" si="4"/>
        <v>-1.9913957929520044E-2</v>
      </c>
      <c r="G69">
        <f t="shared" si="5"/>
        <v>-3.0322348816677672E-2</v>
      </c>
      <c r="J69" s="2" t="s">
        <v>81</v>
      </c>
      <c r="K69">
        <f>B1371</f>
        <v>1.3842427753018924E-2</v>
      </c>
      <c r="L69">
        <f>C1371</f>
        <v>1.4225215062549192E-3</v>
      </c>
      <c r="M69">
        <f t="shared" si="3"/>
        <v>1.5035497423957916E-2</v>
      </c>
      <c r="N69">
        <f>D1371</f>
        <v>-2.4753181922014329E-2</v>
      </c>
      <c r="O69">
        <f>AVERAGEIFS(E1371:E1393,E1371:E1393,"&lt;=" &amp; N69)</f>
        <v>-2.5983603260965427E-2</v>
      </c>
      <c r="P69">
        <v>176.39803864617582</v>
      </c>
      <c r="Q69">
        <v>21.222370000000002</v>
      </c>
      <c r="R69">
        <f t="shared" ref="R69:R132" si="6">P68</f>
        <v>212.8246818215994</v>
      </c>
      <c r="S69">
        <v>1.5035497423957916E-2</v>
      </c>
      <c r="T69">
        <v>12.12</v>
      </c>
    </row>
    <row r="70" spans="1:30" x14ac:dyDescent="0.35">
      <c r="A70" t="s">
        <v>18</v>
      </c>
      <c r="E70">
        <v>1.5839505840538418E-4</v>
      </c>
      <c r="F70">
        <f t="shared" si="4"/>
        <v>-1.9916577981667086E-2</v>
      </c>
      <c r="G70">
        <f t="shared" si="5"/>
        <v>-3.0322348816677672E-2</v>
      </c>
      <c r="J70" s="2" t="s">
        <v>82</v>
      </c>
      <c r="K70">
        <f>B1394</f>
        <v>2.2736248178089495E-2</v>
      </c>
      <c r="L70">
        <f>C1394</f>
        <v>-4.6798409016788186E-3</v>
      </c>
      <c r="M70">
        <f t="shared" ref="M70:M133" si="7">K69</f>
        <v>1.3842427753018924E-2</v>
      </c>
      <c r="N70">
        <f>D1394</f>
        <v>-4.741787573786245E-2</v>
      </c>
      <c r="O70">
        <f>AVERAGEIFS(E1394:E1413,E1394:E1413,"&lt;=" &amp; N70)</f>
        <v>-4.8164996647205777E-2</v>
      </c>
      <c r="P70">
        <v>158.68090336065552</v>
      </c>
      <c r="Q70">
        <v>34.812840000000001</v>
      </c>
      <c r="R70">
        <f t="shared" si="6"/>
        <v>176.39803864617582</v>
      </c>
      <c r="S70">
        <v>1.3842427753018924E-2</v>
      </c>
      <c r="T70">
        <v>28.43</v>
      </c>
    </row>
    <row r="71" spans="1:30" x14ac:dyDescent="0.35">
      <c r="A71" t="s">
        <v>18</v>
      </c>
      <c r="E71">
        <v>-3.1823074049177709E-3</v>
      </c>
      <c r="F71">
        <f t="shared" si="4"/>
        <v>-1.9919198033814128E-2</v>
      </c>
      <c r="G71">
        <f t="shared" si="5"/>
        <v>-3.0322348816677672E-2</v>
      </c>
      <c r="J71" s="2" t="s">
        <v>83</v>
      </c>
      <c r="K71">
        <f>B1414</f>
        <v>1.8446741059440695E-2</v>
      </c>
      <c r="L71">
        <f>C1414</f>
        <v>-2.9073623073808466E-3</v>
      </c>
      <c r="M71">
        <f t="shared" si="7"/>
        <v>2.2736248178089495E-2</v>
      </c>
      <c r="N71">
        <f>D1414</f>
        <v>-3.7580195290987689E-2</v>
      </c>
      <c r="O71">
        <f>AVERAGEIFS(E1414:E1435,E1414:E1435,"&lt;=" &amp; N71)</f>
        <v>-3.8720622609227921E-2</v>
      </c>
      <c r="P71">
        <v>165.86696593607695</v>
      </c>
      <c r="Q71">
        <v>35.833730000000003</v>
      </c>
      <c r="R71">
        <f t="shared" si="6"/>
        <v>158.68090336065552</v>
      </c>
      <c r="S71">
        <v>2.2736248178089495E-2</v>
      </c>
      <c r="T71">
        <v>24.5</v>
      </c>
    </row>
    <row r="72" spans="1:30" x14ac:dyDescent="0.35">
      <c r="A72" t="s">
        <v>18</v>
      </c>
      <c r="E72">
        <v>7.6056206990914787E-3</v>
      </c>
      <c r="F72">
        <f t="shared" si="4"/>
        <v>-1.9921818085961173E-2</v>
      </c>
      <c r="G72">
        <f t="shared" si="5"/>
        <v>-3.0322348816677672E-2</v>
      </c>
      <c r="J72" s="2" t="s">
        <v>84</v>
      </c>
      <c r="K72">
        <f>B1436</f>
        <v>1.1762809955897702E-2</v>
      </c>
      <c r="L72">
        <f>C1436</f>
        <v>5.2790357858030204E-3</v>
      </c>
      <c r="M72">
        <f t="shared" si="7"/>
        <v>1.8446741059440695E-2</v>
      </c>
      <c r="N72">
        <f>D1436</f>
        <v>-1.5167143534632593E-2</v>
      </c>
      <c r="O72">
        <f>AVERAGEIFS(E1436:E1457,E1436:E1457,"&lt;=" &amp; N72)</f>
        <v>-1.5774186747332563E-2</v>
      </c>
      <c r="P72">
        <v>187.6360162283874</v>
      </c>
      <c r="Q72">
        <v>22.42923</v>
      </c>
      <c r="R72">
        <f t="shared" si="6"/>
        <v>165.86696593607695</v>
      </c>
      <c r="S72">
        <v>1.8446741059440695E-2</v>
      </c>
      <c r="T72">
        <v>15.07</v>
      </c>
    </row>
    <row r="73" spans="1:30" x14ac:dyDescent="0.35">
      <c r="A73" t="s">
        <v>18</v>
      </c>
      <c r="E73">
        <v>2.0763978390636786E-3</v>
      </c>
      <c r="F73">
        <f t="shared" si="4"/>
        <v>-1.9924438138108215E-2</v>
      </c>
      <c r="G73">
        <f t="shared" si="5"/>
        <v>-3.0322348816677672E-2</v>
      </c>
      <c r="J73" s="2" t="s">
        <v>85</v>
      </c>
      <c r="K73">
        <f>B1458</f>
        <v>1.0659313317883574E-2</v>
      </c>
      <c r="L73">
        <f>C1458</f>
        <v>2.2797801996508721E-3</v>
      </c>
      <c r="M73">
        <f t="shared" si="7"/>
        <v>1.1762809955897702E-2</v>
      </c>
      <c r="N73">
        <f>D1458</f>
        <v>-1.5685326912039978E-2</v>
      </c>
      <c r="O73">
        <f>AVERAGEIFS(E1458:E1478,E1458:E1478,"&lt;=" &amp; N73)</f>
        <v>-1.5830831064526294E-2</v>
      </c>
      <c r="P73">
        <v>193.55434493200318</v>
      </c>
      <c r="Q73">
        <v>24.974720000000001</v>
      </c>
      <c r="R73">
        <f t="shared" si="6"/>
        <v>187.6360162283874</v>
      </c>
      <c r="S73">
        <v>1.1762809955897702E-2</v>
      </c>
      <c r="T73">
        <v>16.13</v>
      </c>
    </row>
    <row r="74" spans="1:30" x14ac:dyDescent="0.35">
      <c r="A74" t="s">
        <v>18</v>
      </c>
      <c r="E74">
        <v>-1.7727676853529925E-2</v>
      </c>
      <c r="F74">
        <f t="shared" si="4"/>
        <v>-1.9927058190255257E-2</v>
      </c>
      <c r="G74">
        <f t="shared" si="5"/>
        <v>-3.0322348816677672E-2</v>
      </c>
      <c r="J74" s="2" t="s">
        <v>86</v>
      </c>
      <c r="K74">
        <f>B1479</f>
        <v>1.7496179525390829E-2</v>
      </c>
      <c r="L74">
        <f>C1479</f>
        <v>-3.0420029894231205E-3</v>
      </c>
      <c r="M74">
        <f t="shared" si="7"/>
        <v>1.0659313317883574E-2</v>
      </c>
      <c r="N74">
        <f>D1479</f>
        <v>-3.6472968431502079E-2</v>
      </c>
      <c r="O74">
        <f>AVERAGEIFS(E1479:E1497,E1479:E1497,"&lt;=" &amp; N74)</f>
        <v>-3.6472968431502079E-2</v>
      </c>
      <c r="P74">
        <v>127.08607183657917</v>
      </c>
      <c r="Q74">
        <v>24.7791</v>
      </c>
      <c r="R74">
        <f t="shared" si="6"/>
        <v>193.55434493200318</v>
      </c>
      <c r="S74">
        <v>1.0659313317883574E-2</v>
      </c>
      <c r="T74">
        <v>18.21</v>
      </c>
    </row>
    <row r="75" spans="1:30" x14ac:dyDescent="0.35">
      <c r="A75" t="s">
        <v>18</v>
      </c>
      <c r="E75">
        <v>-2.9910889212921097E-3</v>
      </c>
      <c r="F75">
        <f t="shared" si="4"/>
        <v>-1.9929678242402299E-2</v>
      </c>
      <c r="G75">
        <f t="shared" si="5"/>
        <v>-3.0322348816677672E-2</v>
      </c>
      <c r="J75" s="2" t="s">
        <v>87</v>
      </c>
      <c r="K75">
        <f>B1498</f>
        <v>1.8235884926835193E-2</v>
      </c>
      <c r="L75">
        <f>C1498</f>
        <v>-4.6032900294159613E-3</v>
      </c>
      <c r="M75">
        <f t="shared" si="7"/>
        <v>1.7496179525390829E-2</v>
      </c>
      <c r="N75">
        <f>D1498</f>
        <v>-4.2964924277195102E-2</v>
      </c>
      <c r="O75">
        <f>AVERAGEIFS(E1498:E1517,E1498:E1517,"&lt;=" &amp; N75)</f>
        <v>-4.3720476121692602E-2</v>
      </c>
      <c r="P75">
        <v>203.99563972683939</v>
      </c>
      <c r="Q75">
        <v>29.697890000000001</v>
      </c>
      <c r="R75">
        <f t="shared" si="6"/>
        <v>127.08607183657917</v>
      </c>
      <c r="S75">
        <v>1.7496179525390829E-2</v>
      </c>
      <c r="T75">
        <v>20.2</v>
      </c>
    </row>
    <row r="76" spans="1:30" x14ac:dyDescent="0.35">
      <c r="A76" t="s">
        <v>18</v>
      </c>
      <c r="E76">
        <v>1.6382872753562882E-2</v>
      </c>
      <c r="F76">
        <f t="shared" si="4"/>
        <v>-1.9932298294549341E-2</v>
      </c>
      <c r="G76">
        <f t="shared" si="5"/>
        <v>-3.0322348816677672E-2</v>
      </c>
      <c r="J76" s="2" t="s">
        <v>88</v>
      </c>
      <c r="K76">
        <f>B1518</f>
        <v>1.9114317842604044E-2</v>
      </c>
      <c r="L76">
        <f>C1518</f>
        <v>-1.494382815330157E-3</v>
      </c>
      <c r="M76">
        <f t="shared" si="7"/>
        <v>1.8235884926835193E-2</v>
      </c>
      <c r="N76">
        <f>D1518</f>
        <v>-3.3219862614191853E-2</v>
      </c>
      <c r="O76">
        <f>AVERAGEIFS(E1518:E1538,E1518:E1538,"&lt;=" &amp; N76)</f>
        <v>-3.360404747309189E-2</v>
      </c>
      <c r="P76">
        <v>181.86090862235798</v>
      </c>
      <c r="Q76">
        <v>32.331159999999997</v>
      </c>
      <c r="R76">
        <f t="shared" si="6"/>
        <v>203.99563972683939</v>
      </c>
      <c r="S76">
        <v>1.8235884926835193E-2</v>
      </c>
      <c r="T76">
        <v>20.55</v>
      </c>
      <c r="V76" t="s">
        <v>225</v>
      </c>
    </row>
    <row r="77" spans="1:30" ht="15" thickBot="1" x14ac:dyDescent="0.4">
      <c r="A77" t="s">
        <v>18</v>
      </c>
      <c r="E77">
        <v>-5.4183496428348663E-3</v>
      </c>
      <c r="F77">
        <f t="shared" si="4"/>
        <v>-1.9934918346696383E-2</v>
      </c>
      <c r="G77">
        <f t="shared" si="5"/>
        <v>-3.0322348816677672E-2</v>
      </c>
      <c r="J77" s="2" t="s">
        <v>89</v>
      </c>
      <c r="K77">
        <f>B1539</f>
        <v>1.3147491933031434E-2</v>
      </c>
      <c r="L77">
        <f>C1539</f>
        <v>2.3010790795090241E-3</v>
      </c>
      <c r="M77">
        <f t="shared" si="7"/>
        <v>1.9114317842604044E-2</v>
      </c>
      <c r="N77">
        <f>D1539</f>
        <v>-2.2792480392797066E-2</v>
      </c>
      <c r="O77">
        <f>AVERAGEIFS(E1539:E1559,E1539:E1559,"&lt;=" &amp; N77)</f>
        <v>-2.3406426386315779E-2</v>
      </c>
      <c r="P77">
        <v>190.58182496052905</v>
      </c>
      <c r="Q77">
        <v>26.686969999999999</v>
      </c>
      <c r="R77">
        <f t="shared" si="6"/>
        <v>181.86090862235798</v>
      </c>
      <c r="S77">
        <v>1.9114317842604044E-2</v>
      </c>
      <c r="T77">
        <v>13.95</v>
      </c>
    </row>
    <row r="78" spans="1:30" x14ac:dyDescent="0.35">
      <c r="A78" t="s">
        <v>18</v>
      </c>
      <c r="E78">
        <v>-9.9459651578771915E-3</v>
      </c>
      <c r="F78">
        <f t="shared" si="4"/>
        <v>-1.9937538398843425E-2</v>
      </c>
      <c r="G78">
        <f t="shared" si="5"/>
        <v>-3.0322348816677672E-2</v>
      </c>
      <c r="J78" s="2" t="s">
        <v>90</v>
      </c>
      <c r="K78">
        <f>B1560</f>
        <v>1.3453300844117118E-2</v>
      </c>
      <c r="L78">
        <f>C1560</f>
        <v>3.497327560655299E-4</v>
      </c>
      <c r="M78">
        <f t="shared" si="7"/>
        <v>1.3147491933031434E-2</v>
      </c>
      <c r="N78">
        <f>D1560</f>
        <v>-2.7617980016261645E-2</v>
      </c>
      <c r="O78">
        <f>AVERAGEIFS(E1560:E1580,E1560:E1580,"&lt;=" &amp; N78)</f>
        <v>-2.7720668594153102E-2</v>
      </c>
      <c r="P78">
        <v>124.16817823386617</v>
      </c>
      <c r="Q78">
        <v>27.493749999999999</v>
      </c>
      <c r="R78">
        <f t="shared" si="6"/>
        <v>190.58182496052905</v>
      </c>
      <c r="S78">
        <v>1.3147491933031434E-2</v>
      </c>
      <c r="T78">
        <v>15.7</v>
      </c>
      <c r="V78" s="8" t="s">
        <v>226</v>
      </c>
      <c r="W78" s="8"/>
    </row>
    <row r="79" spans="1:30" x14ac:dyDescent="0.35">
      <c r="A79" t="s">
        <v>18</v>
      </c>
      <c r="E79">
        <v>1.4613741455223175E-2</v>
      </c>
      <c r="F79">
        <f t="shared" si="4"/>
        <v>-1.994015845099047E-2</v>
      </c>
      <c r="G79">
        <f t="shared" si="5"/>
        <v>-3.0322348816677672E-2</v>
      </c>
      <c r="J79" s="2" t="s">
        <v>91</v>
      </c>
      <c r="K79">
        <f>B1581</f>
        <v>1.0179197568092194E-2</v>
      </c>
      <c r="L79">
        <f>C1581</f>
        <v>1.1602811189535794E-3</v>
      </c>
      <c r="M79">
        <f t="shared" si="7"/>
        <v>1.3453300844117118E-2</v>
      </c>
      <c r="N79">
        <f>D1581</f>
        <v>-1.4929007628169533E-2</v>
      </c>
      <c r="O79">
        <f>AVERAGEIFS(E1581:E1599,E1581:E1599,"&lt;=" &amp; N79)</f>
        <v>-1.4929007628169533E-2</v>
      </c>
      <c r="P79">
        <v>131.46119749916579</v>
      </c>
      <c r="Q79">
        <v>24.633790000000001</v>
      </c>
      <c r="R79">
        <f t="shared" si="6"/>
        <v>124.16817823386617</v>
      </c>
      <c r="S79">
        <v>1.3453300844117118E-2</v>
      </c>
      <c r="T79">
        <v>14.19</v>
      </c>
      <c r="V79" t="s">
        <v>227</v>
      </c>
      <c r="W79">
        <v>4.629799412326778E-2</v>
      </c>
    </row>
    <row r="80" spans="1:30" x14ac:dyDescent="0.35">
      <c r="A80" t="s">
        <v>18</v>
      </c>
      <c r="E80">
        <v>1.1526832271376748E-2</v>
      </c>
      <c r="F80">
        <f t="shared" si="4"/>
        <v>-1.9942778503137512E-2</v>
      </c>
      <c r="G80">
        <f t="shared" si="5"/>
        <v>-3.0322348816677672E-2</v>
      </c>
      <c r="J80" s="2" t="s">
        <v>92</v>
      </c>
      <c r="K80">
        <f>B1600</f>
        <v>2.1844226781094815E-2</v>
      </c>
      <c r="L80">
        <f>C1600</f>
        <v>-2.6567573569847877E-3</v>
      </c>
      <c r="M80">
        <f t="shared" si="7"/>
        <v>1.0179197568092194E-2</v>
      </c>
      <c r="N80">
        <f>D1600</f>
        <v>-6.4669574748968228E-2</v>
      </c>
      <c r="O80">
        <f>AVERAGEIFS(E1600:E1621,E1600:E1621,"&lt;=" &amp; N80)</f>
        <v>-7.0672712353585035E-2</v>
      </c>
      <c r="P80">
        <v>454.00545287384358</v>
      </c>
      <c r="Q80">
        <v>28.874510000000001</v>
      </c>
      <c r="R80">
        <f t="shared" si="6"/>
        <v>131.46119749916579</v>
      </c>
      <c r="S80">
        <v>1.0179197568092194E-2</v>
      </c>
      <c r="T80">
        <v>15.63</v>
      </c>
      <c r="V80" t="s">
        <v>228</v>
      </c>
      <c r="W80">
        <v>2.1435042598381381E-3</v>
      </c>
    </row>
    <row r="81" spans="1:30" x14ac:dyDescent="0.35">
      <c r="A81" t="s">
        <v>18</v>
      </c>
      <c r="E81">
        <v>-2.7634705765569232E-2</v>
      </c>
      <c r="F81">
        <f t="shared" si="4"/>
        <v>-1.9947979811269959E-2</v>
      </c>
      <c r="G81">
        <f t="shared" si="5"/>
        <v>-3.0378152958148316E-2</v>
      </c>
      <c r="J81" s="2" t="s">
        <v>93</v>
      </c>
      <c r="K81">
        <f>B1622</f>
        <v>1.0873219935914278E-2</v>
      </c>
      <c r="L81">
        <f>C1622</f>
        <v>3.1288981706611668E-3</v>
      </c>
      <c r="M81">
        <f t="shared" si="7"/>
        <v>2.1844226781094815E-2</v>
      </c>
      <c r="N81">
        <f>D1622</f>
        <v>-1.8195366899629559E-2</v>
      </c>
      <c r="O81">
        <f>AVERAGEIFS(E1622:E1642,E1622:E1642,"&lt;=" &amp; N81)</f>
        <v>-1.8344007941524732E-2</v>
      </c>
      <c r="P81">
        <v>331.66817692961786</v>
      </c>
      <c r="Q81">
        <v>22.58746</v>
      </c>
      <c r="R81">
        <f t="shared" si="6"/>
        <v>454.00545287384358</v>
      </c>
      <c r="S81">
        <v>2.1844226781094815E-2</v>
      </c>
      <c r="T81">
        <v>11.87</v>
      </c>
      <c r="V81" t="s">
        <v>228</v>
      </c>
      <c r="W81">
        <v>-3.3392237387341798E-3</v>
      </c>
      <c r="Y81" t="s">
        <v>383</v>
      </c>
    </row>
    <row r="82" spans="1:30" x14ac:dyDescent="0.35">
      <c r="A82" t="s">
        <v>18</v>
      </c>
      <c r="E82">
        <v>-1.2278971804744125E-2</v>
      </c>
      <c r="F82">
        <f t="shared" si="4"/>
        <v>-1.9895617564490747E-2</v>
      </c>
      <c r="G82">
        <f t="shared" si="5"/>
        <v>-3.0336798510500834E-2</v>
      </c>
      <c r="J82" s="2" t="s">
        <v>94</v>
      </c>
      <c r="K82">
        <f>B1643</f>
        <v>9.5617657618885955E-3</v>
      </c>
      <c r="L82">
        <f>C1643</f>
        <v>1.1612419156013425E-3</v>
      </c>
      <c r="M82">
        <f t="shared" si="7"/>
        <v>1.0873219935914278E-2</v>
      </c>
      <c r="N82">
        <f>D1643</f>
        <v>-1.7678301366061286E-2</v>
      </c>
      <c r="O82">
        <f>AVERAGEIFS(E1643:E1663,E1643:E1663,"&lt;=" &amp; N82)</f>
        <v>-1.8186706200231179E-2</v>
      </c>
      <c r="P82">
        <v>223.12735555261986</v>
      </c>
      <c r="Q82">
        <v>21.665040000000001</v>
      </c>
      <c r="R82">
        <f t="shared" si="6"/>
        <v>331.66817692961786</v>
      </c>
      <c r="S82">
        <v>1.0873219935914278E-2</v>
      </c>
      <c r="T82">
        <v>13.42</v>
      </c>
      <c r="V82" t="s">
        <v>229</v>
      </c>
      <c r="W82">
        <v>1.1268798167087866E-2</v>
      </c>
    </row>
    <row r="83" spans="1:30" ht="15" thickBot="1" x14ac:dyDescent="0.4">
      <c r="A83" t="s">
        <v>18</v>
      </c>
      <c r="E83">
        <v>9.9058397348099764E-3</v>
      </c>
      <c r="F83">
        <f t="shared" si="4"/>
        <v>-1.9898237616637789E-2</v>
      </c>
      <c r="G83">
        <f t="shared" si="5"/>
        <v>-3.0336798510500834E-2</v>
      </c>
      <c r="J83" s="2" t="s">
        <v>95</v>
      </c>
      <c r="K83">
        <f>B1664</f>
        <v>1.016153863678519E-2</v>
      </c>
      <c r="L83">
        <f>C1664</f>
        <v>-3.5181408952286632E-4</v>
      </c>
      <c r="M83">
        <f t="shared" si="7"/>
        <v>9.5617657618885955E-3</v>
      </c>
      <c r="N83">
        <f>D1664</f>
        <v>-2.1111203710092671E-2</v>
      </c>
      <c r="O83">
        <f>AVERAGEIFS(E1664:E1685,E1664:E1685,"&lt;=" &amp; N83)</f>
        <v>-2.2194293903480745E-2</v>
      </c>
      <c r="P83">
        <v>219.07736813398148</v>
      </c>
      <c r="Q83">
        <v>22.19697</v>
      </c>
      <c r="R83">
        <f t="shared" si="6"/>
        <v>223.12735555261986</v>
      </c>
      <c r="S83">
        <v>9.5617657618885955E-3</v>
      </c>
      <c r="T83">
        <v>13.29</v>
      </c>
      <c r="V83" s="6" t="s">
        <v>230</v>
      </c>
      <c r="W83" s="6">
        <v>184</v>
      </c>
    </row>
    <row r="84" spans="1:30" x14ac:dyDescent="0.35">
      <c r="A84" t="s">
        <v>18</v>
      </c>
      <c r="E84">
        <v>-1.4999257735086298E-3</v>
      </c>
      <c r="F84">
        <f t="shared" si="4"/>
        <v>-1.9900857668784831E-2</v>
      </c>
      <c r="G84">
        <f t="shared" si="5"/>
        <v>-3.0336798510500834E-2</v>
      </c>
      <c r="J84" s="2" t="s">
        <v>96</v>
      </c>
      <c r="K84">
        <f>B1686</f>
        <v>7.2959118916051469E-3</v>
      </c>
      <c r="L84">
        <f>C1686</f>
        <v>7.2720294807232673E-4</v>
      </c>
      <c r="M84">
        <f t="shared" si="7"/>
        <v>1.016153863678519E-2</v>
      </c>
      <c r="N84">
        <f>D1686</f>
        <v>-1.026169585809926E-2</v>
      </c>
      <c r="O84">
        <f>AVERAGEIFS(E1686:E1705,E1686:E1705,"&lt;=" &amp; N84)</f>
        <v>-1.0412213393082905E-2</v>
      </c>
      <c r="P84">
        <v>148.26053892774468</v>
      </c>
      <c r="Q84">
        <v>23.51004</v>
      </c>
      <c r="R84">
        <f t="shared" si="6"/>
        <v>219.07736813398148</v>
      </c>
      <c r="S84">
        <v>1.016153863678519E-2</v>
      </c>
      <c r="T84">
        <v>17.059999999999999</v>
      </c>
    </row>
    <row r="85" spans="1:30" ht="15" thickBot="1" x14ac:dyDescent="0.4">
      <c r="A85" t="s">
        <v>19</v>
      </c>
      <c r="B85" s="3" cm="1">
        <f t="array" ref="B85">_xlfn.STDEV.S(_xlfn._xlws.FILTER($E$2:$E$1000, $A$2:$A$1000="2010-05"))</f>
        <v>2.2607800717617556E-2</v>
      </c>
      <c r="C85" s="3" cm="1">
        <f t="array" ref="C85">AVERAGE(_xlfn._xlws.FILTER($E$2:$E$1000, $A$2:$A$1000="2010-05"))</f>
        <v>-1.6513249744083936E-3</v>
      </c>
      <c r="D85" s="3" cm="1">
        <f t="array" ref="D85">_xlfn.PERCENTILE.EXC(_xlfn._xlws.FILTER($E$85:$E$103, $A$85:$A$103="2010-05"), 0.05)</f>
        <v>-3.3241326671109975E-2</v>
      </c>
      <c r="E85">
        <v>-2.1222021629934161E-2</v>
      </c>
      <c r="F85">
        <f t="shared" si="4"/>
        <v>-1.9903477720931876E-2</v>
      </c>
      <c r="G85">
        <f t="shared" si="5"/>
        <v>-3.0336798510500834E-2</v>
      </c>
      <c r="J85" s="4" t="s">
        <v>97</v>
      </c>
      <c r="K85" s="3">
        <f>B1706</f>
        <v>7.9565897451861073E-3</v>
      </c>
      <c r="L85" s="3">
        <f>C1706</f>
        <v>-1.0543684384757592E-4</v>
      </c>
      <c r="M85">
        <f t="shared" si="7"/>
        <v>7.2959118916051469E-3</v>
      </c>
      <c r="N85" s="3">
        <f>D1706</f>
        <v>-1.4594059530436984E-2</v>
      </c>
      <c r="O85" s="3">
        <f>AVERAGEIFS(E1706:E1727,E1706:E1727,"&lt;=" &amp; N85)</f>
        <v>-1.4856887277460011E-2</v>
      </c>
      <c r="P85" s="3">
        <v>322.22033506013463</v>
      </c>
      <c r="Q85" s="3">
        <v>22.72129</v>
      </c>
      <c r="R85">
        <f t="shared" si="6"/>
        <v>148.26053892774468</v>
      </c>
      <c r="S85">
        <v>7.2959118916051469E-3</v>
      </c>
      <c r="T85" s="3">
        <v>13.33</v>
      </c>
      <c r="V85" t="s">
        <v>231</v>
      </c>
    </row>
    <row r="86" spans="1:30" x14ac:dyDescent="0.35">
      <c r="A86" t="s">
        <v>19</v>
      </c>
      <c r="E86">
        <v>-8.0917693137504045E-3</v>
      </c>
      <c r="F86">
        <f t="shared" si="4"/>
        <v>-1.985489294877971E-2</v>
      </c>
      <c r="G86">
        <f t="shared" si="5"/>
        <v>-3.0329639133244182E-2</v>
      </c>
      <c r="J86" s="2" t="s">
        <v>98</v>
      </c>
      <c r="K86">
        <f>B1728</f>
        <v>7.5269052087303997E-3</v>
      </c>
      <c r="L86">
        <f>C1728</f>
        <v>3.802502105944571E-3</v>
      </c>
      <c r="M86">
        <f t="shared" si="7"/>
        <v>7.9565897451861073E-3</v>
      </c>
      <c r="N86">
        <f>D1728</f>
        <v>-9.7107227689502227E-3</v>
      </c>
      <c r="O86">
        <f>AVERAGEIFS(E1728:E1747,E1728:E1747,"&lt;=" &amp; N86)</f>
        <v>-1.003581141977259E-2</v>
      </c>
      <c r="P86">
        <v>246.8142508082627</v>
      </c>
      <c r="Q86">
        <v>19.114329999999999</v>
      </c>
      <c r="R86">
        <f t="shared" si="6"/>
        <v>322.22033506013463</v>
      </c>
      <c r="S86">
        <v>7.9565897451861073E-3</v>
      </c>
      <c r="T86">
        <v>14.04</v>
      </c>
      <c r="V86" s="7"/>
      <c r="W86" s="7" t="s">
        <v>236</v>
      </c>
      <c r="X86" s="7" t="s">
        <v>237</v>
      </c>
      <c r="Y86" s="7" t="s">
        <v>238</v>
      </c>
      <c r="Z86" s="7" t="s">
        <v>239</v>
      </c>
      <c r="AA86" s="7" t="s">
        <v>240</v>
      </c>
    </row>
    <row r="87" spans="1:30" x14ac:dyDescent="0.35">
      <c r="A87" t="s">
        <v>19</v>
      </c>
      <c r="E87">
        <v>-8.4590083144669374E-3</v>
      </c>
      <c r="F87">
        <f t="shared" si="4"/>
        <v>-1.9857427556738066E-2</v>
      </c>
      <c r="G87">
        <f t="shared" si="5"/>
        <v>-3.0329639133244182E-2</v>
      </c>
      <c r="J87" s="2" t="s">
        <v>99</v>
      </c>
      <c r="K87">
        <f>B1748</f>
        <v>7.4418455156427341E-3</v>
      </c>
      <c r="L87">
        <f>C1748</f>
        <v>2.2447832714555355E-4</v>
      </c>
      <c r="M87">
        <f t="shared" si="7"/>
        <v>7.5269052087303997E-3</v>
      </c>
      <c r="N87">
        <f>D1748</f>
        <v>-1.2491146394489571E-2</v>
      </c>
      <c r="O87">
        <f>AVERAGEIFS(E1748:E1768,E1748:E1768,"&lt;=" &amp; N87)</f>
        <v>-1.2627013384244781E-2</v>
      </c>
      <c r="P87">
        <v>335.64149526489643</v>
      </c>
      <c r="Q87">
        <v>18.729869999999998</v>
      </c>
      <c r="R87">
        <f t="shared" si="6"/>
        <v>246.8142508082627</v>
      </c>
      <c r="S87">
        <v>7.5269052087303997E-3</v>
      </c>
      <c r="T87">
        <v>11.99</v>
      </c>
      <c r="V87" t="s">
        <v>232</v>
      </c>
      <c r="W87">
        <v>1</v>
      </c>
      <c r="X87">
        <v>4.9645838588335128E-5</v>
      </c>
      <c r="Y87">
        <v>4.9645838588335128E-5</v>
      </c>
      <c r="Z87">
        <v>0.39095579069330061</v>
      </c>
      <c r="AA87">
        <v>0.53258062273067863</v>
      </c>
    </row>
    <row r="88" spans="1:30" x14ac:dyDescent="0.35">
      <c r="A88" t="s">
        <v>19</v>
      </c>
      <c r="E88">
        <v>-3.3241326671109975E-2</v>
      </c>
      <c r="F88">
        <f t="shared" si="4"/>
        <v>-1.9859962164696418E-2</v>
      </c>
      <c r="G88">
        <f t="shared" si="5"/>
        <v>-3.0329639133244182E-2</v>
      </c>
      <c r="J88" s="2" t="s">
        <v>100</v>
      </c>
      <c r="K88">
        <f>B1769</f>
        <v>6.4037099901725148E-3</v>
      </c>
      <c r="L88">
        <f>C1769</f>
        <v>1.2799311798051354E-3</v>
      </c>
      <c r="M88">
        <f t="shared" si="7"/>
        <v>7.4418455156427341E-3</v>
      </c>
      <c r="N88">
        <f>D1769</f>
        <v>-1.2225593457476855E-2</v>
      </c>
      <c r="O88">
        <f>AVERAGEIFS(E1769:E1788,E1769:E1788,"&lt;=" &amp; N88)</f>
        <v>-1.2231747147812874E-2</v>
      </c>
      <c r="P88">
        <v>170.40045431628212</v>
      </c>
      <c r="Q88">
        <v>17.275020000000001</v>
      </c>
      <c r="R88">
        <f t="shared" si="6"/>
        <v>335.64149526489643</v>
      </c>
      <c r="S88">
        <v>7.4418455156427341E-3</v>
      </c>
      <c r="T88">
        <v>12.92</v>
      </c>
      <c r="V88" t="s">
        <v>233</v>
      </c>
      <c r="W88">
        <v>182</v>
      </c>
      <c r="X88">
        <v>2.3111417807762442E-2</v>
      </c>
      <c r="Y88">
        <v>1.2698581213056286E-4</v>
      </c>
    </row>
    <row r="89" spans="1:30" ht="15" thickBot="1" x14ac:dyDescent="0.4">
      <c r="A89" t="s">
        <v>19</v>
      </c>
      <c r="E89">
        <v>5.1629977807157001E-2</v>
      </c>
      <c r="F89">
        <f t="shared" si="4"/>
        <v>-1.9835181496878782E-2</v>
      </c>
      <c r="G89">
        <f t="shared" si="5"/>
        <v>-3.0257587297921173E-2</v>
      </c>
      <c r="J89" s="2" t="s">
        <v>101</v>
      </c>
      <c r="K89">
        <f>B1789</f>
        <v>6.32202241344758E-3</v>
      </c>
      <c r="L89">
        <f>C1789</f>
        <v>1.7232029225359765E-3</v>
      </c>
      <c r="M89">
        <f t="shared" si="7"/>
        <v>6.4037099901725148E-3</v>
      </c>
      <c r="N89">
        <f>D1789</f>
        <v>-7.197593701393089E-3</v>
      </c>
      <c r="O89">
        <f>AVERAGEIFS(E1789:E1811,E1789:E1811,"&lt;=" &amp; N89)</f>
        <v>-7.5594685709880656E-3</v>
      </c>
      <c r="P89">
        <v>222.12302724209624</v>
      </c>
      <c r="Q89">
        <v>17.673690000000001</v>
      </c>
      <c r="R89">
        <f t="shared" si="6"/>
        <v>170.40045431628212</v>
      </c>
      <c r="S89">
        <v>6.4037099901725148E-3</v>
      </c>
      <c r="T89">
        <v>12.37</v>
      </c>
      <c r="V89" s="6" t="s">
        <v>234</v>
      </c>
      <c r="W89" s="6">
        <v>183</v>
      </c>
      <c r="X89" s="6">
        <v>2.3161063646350778E-2</v>
      </c>
      <c r="Y89" s="6"/>
      <c r="Z89" s="6"/>
      <c r="AA89" s="6"/>
    </row>
    <row r="90" spans="1:30" ht="15" thickBot="1" x14ac:dyDescent="0.4">
      <c r="A90" t="s">
        <v>19</v>
      </c>
      <c r="E90">
        <v>3.2847780210577622E-3</v>
      </c>
      <c r="F90">
        <f t="shared" si="4"/>
        <v>-1.9835590933619765E-2</v>
      </c>
      <c r="G90">
        <f t="shared" si="5"/>
        <v>-3.0257587297921173E-2</v>
      </c>
      <c r="J90" s="2" t="s">
        <v>102</v>
      </c>
      <c r="K90">
        <f>B1812</f>
        <v>8.7032642550086622E-3</v>
      </c>
      <c r="L90">
        <f>C1812</f>
        <v>5.6178054783555676E-4</v>
      </c>
      <c r="M90">
        <f t="shared" si="7"/>
        <v>6.32202241344758E-3</v>
      </c>
      <c r="N90">
        <f>D1812</f>
        <v>-5.8472083368690912E-3</v>
      </c>
      <c r="O90">
        <f>AVERAGEIFS(E1812:E1829,E1812:E1829,"&lt;=" &amp; N90)</f>
        <v>-9.005661989768007E-3</v>
      </c>
      <c r="P90">
        <v>204.83883101582134</v>
      </c>
      <c r="Q90">
        <v>18.585660000000001</v>
      </c>
      <c r="R90">
        <f t="shared" si="6"/>
        <v>222.12302724209624</v>
      </c>
      <c r="S90">
        <v>6.32202241344758E-3</v>
      </c>
      <c r="T90">
        <v>10.82</v>
      </c>
    </row>
    <row r="91" spans="1:30" x14ac:dyDescent="0.35">
      <c r="A91" t="s">
        <v>19</v>
      </c>
      <c r="E91">
        <v>2.385803600909777E-2</v>
      </c>
      <c r="F91">
        <f t="shared" si="4"/>
        <v>-1.9836000370360745E-2</v>
      </c>
      <c r="G91">
        <f t="shared" si="5"/>
        <v>-3.0257587297921173E-2</v>
      </c>
      <c r="J91" s="2" t="s">
        <v>103</v>
      </c>
      <c r="K91">
        <f>B1830</f>
        <v>4.6980496267827491E-3</v>
      </c>
      <c r="L91">
        <f>C1830</f>
        <v>6.73058650244025E-4</v>
      </c>
      <c r="M91">
        <f t="shared" si="7"/>
        <v>8.7032642550086622E-3</v>
      </c>
      <c r="N91">
        <f>D1830</f>
        <v>-1.2601322645513202E-2</v>
      </c>
      <c r="O91">
        <f>AVERAGEIFS(E1830:E1850,E1830:E1850,"&lt;=" &amp; N91)</f>
        <v>-1.3596612059663754E-2</v>
      </c>
      <c r="P91">
        <v>151.38441269857245</v>
      </c>
      <c r="Q91">
        <v>16.354109999999999</v>
      </c>
      <c r="R91">
        <f t="shared" si="6"/>
        <v>204.83883101582134</v>
      </c>
      <c r="S91">
        <v>8.7032642550086622E-3</v>
      </c>
      <c r="T91">
        <v>10.41</v>
      </c>
      <c r="V91" s="7"/>
      <c r="W91" s="7" t="s">
        <v>241</v>
      </c>
      <c r="X91" s="7" t="s">
        <v>229</v>
      </c>
      <c r="Y91" s="7" t="s">
        <v>242</v>
      </c>
      <c r="Z91" s="7" t="s">
        <v>243</v>
      </c>
      <c r="AA91" s="7" t="s">
        <v>244</v>
      </c>
      <c r="AB91" s="7" t="s">
        <v>245</v>
      </c>
      <c r="AC91" s="7" t="s">
        <v>246</v>
      </c>
      <c r="AD91" s="7" t="s">
        <v>247</v>
      </c>
    </row>
    <row r="92" spans="1:30" x14ac:dyDescent="0.35">
      <c r="A92" t="s">
        <v>19</v>
      </c>
      <c r="E92">
        <v>1.1013777091642578E-2</v>
      </c>
      <c r="F92">
        <f t="shared" si="4"/>
        <v>-1.9836409807101728E-2</v>
      </c>
      <c r="G92">
        <f t="shared" si="5"/>
        <v>-3.0257587297921173E-2</v>
      </c>
      <c r="J92" s="2" t="s">
        <v>104</v>
      </c>
      <c r="K92">
        <f>B1851</f>
        <v>7.8155146052927803E-3</v>
      </c>
      <c r="L92">
        <f>C1851</f>
        <v>-1.1072324826002637E-3</v>
      </c>
      <c r="M92">
        <f t="shared" si="7"/>
        <v>4.6980496267827491E-3</v>
      </c>
      <c r="N92">
        <f>D1851</f>
        <v>-1.7637305545611433E-2</v>
      </c>
      <c r="O92">
        <f>AVERAGEIFS(E1851:E1871,E1851:E1871,"&lt;=" &amp; N92)</f>
        <v>-1.8440115447633361E-2</v>
      </c>
      <c r="P92">
        <v>192.22429035173278</v>
      </c>
      <c r="Q92">
        <v>19.691189999999999</v>
      </c>
      <c r="R92">
        <f t="shared" si="6"/>
        <v>151.38441269857245</v>
      </c>
      <c r="S92">
        <v>4.6980496267827491E-3</v>
      </c>
      <c r="T92">
        <v>11.18</v>
      </c>
      <c r="V92" t="s">
        <v>235</v>
      </c>
      <c r="W92">
        <v>-2.0206339076287248E-2</v>
      </c>
      <c r="X92">
        <v>1.3441601891742846E-3</v>
      </c>
      <c r="Y92">
        <v>-15.032686757893023</v>
      </c>
      <c r="Z92">
        <v>9.9062125482236445E-34</v>
      </c>
      <c r="AA92">
        <v>-2.2858480142935841E-2</v>
      </c>
      <c r="AB92">
        <v>-1.7554198009638654E-2</v>
      </c>
      <c r="AC92">
        <v>-2.2858480142935841E-2</v>
      </c>
      <c r="AD92">
        <v>-1.7554198009638654E-2</v>
      </c>
    </row>
    <row r="93" spans="1:30" ht="15" thickBot="1" x14ac:dyDescent="0.4">
      <c r="A93" t="s">
        <v>19</v>
      </c>
      <c r="E93">
        <v>-3.1729865718327609E-2</v>
      </c>
      <c r="F93">
        <f t="shared" si="4"/>
        <v>-1.9836819243842712E-2</v>
      </c>
      <c r="G93">
        <f t="shared" si="5"/>
        <v>-3.0257587297921173E-2</v>
      </c>
      <c r="J93" s="2" t="s">
        <v>105</v>
      </c>
      <c r="K93">
        <f>B1872</f>
        <v>7.1099597917548404E-3</v>
      </c>
      <c r="L93">
        <f>C1872</f>
        <v>-8.0604168631459767E-4</v>
      </c>
      <c r="M93">
        <f t="shared" si="7"/>
        <v>7.8155146052927803E-3</v>
      </c>
      <c r="N93">
        <f>D1872</f>
        <v>-1.636027895294162E-2</v>
      </c>
      <c r="O93">
        <f>AVERAGEIFS(E1872:E1892,E1872:E1892,"&lt;=" &amp; N93)</f>
        <v>-1.6785535945269662E-2</v>
      </c>
      <c r="P93">
        <v>142.7123630373047</v>
      </c>
      <c r="Q93">
        <v>16.421189999999999</v>
      </c>
      <c r="R93">
        <f t="shared" si="6"/>
        <v>192.22429035173278</v>
      </c>
      <c r="S93">
        <v>7.8155146052927803E-3</v>
      </c>
      <c r="T93">
        <v>10.26</v>
      </c>
      <c r="V93" s="6" t="s">
        <v>202</v>
      </c>
      <c r="W93" s="6">
        <v>-2.1641683477430203E-6</v>
      </c>
      <c r="X93" s="6">
        <v>3.4612041508410576E-6</v>
      </c>
      <c r="Y93" s="6">
        <v>-0.62526457655412693</v>
      </c>
      <c r="Z93" s="6">
        <v>0.53258062273062046</v>
      </c>
      <c r="AA93" s="6">
        <v>-8.9934151461764368E-6</v>
      </c>
      <c r="AB93" s="6">
        <v>4.6650784506903954E-6</v>
      </c>
      <c r="AC93" s="6">
        <v>-8.9934151461764368E-6</v>
      </c>
      <c r="AD93" s="6">
        <v>4.6650784506903954E-6</v>
      </c>
    </row>
    <row r="94" spans="1:30" x14ac:dyDescent="0.35">
      <c r="A94" t="s">
        <v>19</v>
      </c>
      <c r="E94">
        <v>1.6843144196485161E-3</v>
      </c>
      <c r="F94">
        <f t="shared" si="4"/>
        <v>-1.9820684523461179E-2</v>
      </c>
      <c r="G94">
        <f t="shared" si="5"/>
        <v>-3.019361757129688E-2</v>
      </c>
      <c r="J94" s="2" t="s">
        <v>106</v>
      </c>
      <c r="K94">
        <f>B1893</f>
        <v>8.5995191807657755E-3</v>
      </c>
      <c r="L94">
        <f>C1893</f>
        <v>-2.4587575909855886E-4</v>
      </c>
      <c r="M94">
        <f t="shared" si="7"/>
        <v>7.1099597917548404E-3</v>
      </c>
      <c r="N94">
        <f>D1893</f>
        <v>-1.7732430102871642E-2</v>
      </c>
      <c r="O94">
        <f>AVERAGEIFS(E1893:E1913,E1893:E1913,"&lt;=" &amp; N94)</f>
        <v>-1.8418174922119682E-2</v>
      </c>
      <c r="P94">
        <v>104.73080715959433</v>
      </c>
      <c r="Q94">
        <v>18.572019999999998</v>
      </c>
      <c r="R94">
        <f t="shared" si="6"/>
        <v>142.7123630373047</v>
      </c>
      <c r="S94">
        <v>7.1099597917548404E-3</v>
      </c>
      <c r="T94">
        <v>10.59</v>
      </c>
    </row>
    <row r="95" spans="1:30" x14ac:dyDescent="0.35">
      <c r="A95" t="s">
        <v>19</v>
      </c>
      <c r="E95">
        <v>1.4564782107292278E-2</v>
      </c>
      <c r="F95">
        <f t="shared" si="4"/>
        <v>-1.9822486530585971E-2</v>
      </c>
      <c r="G95">
        <f t="shared" si="5"/>
        <v>-3.019361757129688E-2</v>
      </c>
      <c r="J95" s="2" t="s">
        <v>107</v>
      </c>
      <c r="K95">
        <f>B1914</f>
        <v>4.1379973090611847E-3</v>
      </c>
      <c r="L95">
        <f>C1914</f>
        <v>2.9594347902818932E-3</v>
      </c>
      <c r="M95">
        <f t="shared" si="7"/>
        <v>8.5995191807657755E-3</v>
      </c>
      <c r="N95">
        <f>D1914</f>
        <v>-3.1743405816973191E-3</v>
      </c>
      <c r="O95">
        <f>AVERAGEIFS(E1914:E1934,E1914:E1934,"&lt;=" &amp; N95)</f>
        <v>-3.3351443688756886E-3</v>
      </c>
      <c r="P95">
        <v>164.52679069817384</v>
      </c>
      <c r="Q95">
        <v>14.306179999999999</v>
      </c>
      <c r="R95">
        <f t="shared" si="6"/>
        <v>104.73080715959433</v>
      </c>
      <c r="S95">
        <v>8.5995191807657755E-3</v>
      </c>
      <c r="T95">
        <v>9.51</v>
      </c>
    </row>
    <row r="96" spans="1:30" x14ac:dyDescent="0.35">
      <c r="A96" t="s">
        <v>19</v>
      </c>
      <c r="E96">
        <v>-2.7546494146164835E-2</v>
      </c>
      <c r="F96">
        <f t="shared" si="4"/>
        <v>-1.9824288537710764E-2</v>
      </c>
      <c r="G96">
        <f t="shared" si="5"/>
        <v>-3.019361757129688E-2</v>
      </c>
      <c r="J96" s="2" t="s">
        <v>108</v>
      </c>
      <c r="K96">
        <f>B1935</f>
        <v>4.0452992142249317E-3</v>
      </c>
      <c r="L96">
        <f>C1935</f>
        <v>1.5378577638552801E-3</v>
      </c>
      <c r="M96">
        <f t="shared" si="7"/>
        <v>4.1379973090611847E-3</v>
      </c>
      <c r="N96">
        <f>D1935</f>
        <v>-4.5774834288331732E-3</v>
      </c>
      <c r="O96">
        <f>AVERAGEIFS(E1935:E1954,E1935:E1954,"&lt;=" &amp; N96)</f>
        <v>-4.6043845257426495E-3</v>
      </c>
      <c r="P96">
        <v>142.697508187072</v>
      </c>
      <c r="Q96">
        <v>13.96176</v>
      </c>
      <c r="R96">
        <f t="shared" si="6"/>
        <v>164.52679069817384</v>
      </c>
      <c r="S96">
        <v>4.1379973090611847E-3</v>
      </c>
      <c r="T96">
        <v>10.18</v>
      </c>
    </row>
    <row r="97" spans="1:30" x14ac:dyDescent="0.35">
      <c r="A97" t="s">
        <v>19</v>
      </c>
      <c r="E97">
        <v>-2.0375940571791727E-2</v>
      </c>
      <c r="F97">
        <f t="shared" si="4"/>
        <v>-1.9783001635795893E-2</v>
      </c>
      <c r="G97">
        <f t="shared" si="5"/>
        <v>-3.0151945325477252E-2</v>
      </c>
      <c r="J97" s="2" t="s">
        <v>109</v>
      </c>
      <c r="K97">
        <f>B1955</f>
        <v>6.8628444835980591E-3</v>
      </c>
      <c r="L97">
        <f>C1955</f>
        <v>-7.1191827620689868E-4</v>
      </c>
      <c r="M97">
        <f t="shared" si="7"/>
        <v>4.0452992142249317E-3</v>
      </c>
      <c r="N97">
        <f>D1955</f>
        <v>-1.4537451949019342E-2</v>
      </c>
      <c r="O97">
        <f>AVERAGEIFS(E1955:E1976,E1955:E1976,"&lt;=" &amp; N97)</f>
        <v>-1.5047161410399216E-2</v>
      </c>
      <c r="P97">
        <v>189.63558793958364</v>
      </c>
      <c r="Q97">
        <v>16.018129999999999</v>
      </c>
      <c r="R97">
        <f t="shared" si="6"/>
        <v>142.697508187072</v>
      </c>
      <c r="S97">
        <v>4.0452992142249317E-3</v>
      </c>
      <c r="T97">
        <v>11.28</v>
      </c>
      <c r="V97" t="s">
        <v>225</v>
      </c>
    </row>
    <row r="98" spans="1:30" ht="15" thickBot="1" x14ac:dyDescent="0.4">
      <c r="A98" t="s">
        <v>19</v>
      </c>
      <c r="E98">
        <v>-6.6050630269174878E-3</v>
      </c>
      <c r="F98">
        <f t="shared" si="4"/>
        <v>-1.9711007734581919E-2</v>
      </c>
      <c r="G98">
        <f t="shared" si="5"/>
        <v>-3.0148378034791597E-2</v>
      </c>
      <c r="J98" s="2" t="s">
        <v>110</v>
      </c>
      <c r="K98">
        <f>B1977</f>
        <v>7.7082850097505108E-3</v>
      </c>
      <c r="L98">
        <f>C1977</f>
        <v>-4.3149760534459734E-4</v>
      </c>
      <c r="M98">
        <f t="shared" si="7"/>
        <v>6.8628444835980591E-3</v>
      </c>
      <c r="N98">
        <f>D1977</f>
        <v>-1.2554698393087673E-2</v>
      </c>
      <c r="O98">
        <f>AVERAGEIFS(E1977:E1995,E1977:E1995,"&lt;=" &amp; N98)</f>
        <v>-1.2554698393087673E-2</v>
      </c>
      <c r="P98">
        <v>110.69768979829733</v>
      </c>
      <c r="Q98">
        <v>16.243410000000001</v>
      </c>
      <c r="R98">
        <f t="shared" si="6"/>
        <v>189.63558793958364</v>
      </c>
      <c r="S98">
        <v>6.8628444835980591E-3</v>
      </c>
      <c r="T98">
        <v>11.04</v>
      </c>
    </row>
    <row r="99" spans="1:30" x14ac:dyDescent="0.35">
      <c r="A99" t="s">
        <v>19</v>
      </c>
      <c r="E99">
        <v>-4.0515984613007615E-3</v>
      </c>
      <c r="F99">
        <f t="shared" si="4"/>
        <v>-1.971171611942071E-2</v>
      </c>
      <c r="G99">
        <f t="shared" si="5"/>
        <v>-3.0148378034791597E-2</v>
      </c>
      <c r="J99" s="2" t="s">
        <v>111</v>
      </c>
      <c r="K99">
        <f>B1996</f>
        <v>9.1917735606226771E-3</v>
      </c>
      <c r="L99">
        <f>C1996</f>
        <v>6.3958237281509173E-3</v>
      </c>
      <c r="M99">
        <f t="shared" si="7"/>
        <v>7.7082850097505108E-3</v>
      </c>
      <c r="N99">
        <f>D1996</f>
        <v>-1.0563521260119727E-2</v>
      </c>
      <c r="O99">
        <f>AVERAGEIFS(E1996:E2017,E1996:E2017,"&lt;=" &amp; N99)</f>
        <v>-1.0740681151919142E-2</v>
      </c>
      <c r="P99">
        <v>150.03557921859544</v>
      </c>
      <c r="Q99">
        <v>18.826599999999999</v>
      </c>
      <c r="R99">
        <f t="shared" si="6"/>
        <v>110.69768979829733</v>
      </c>
      <c r="S99">
        <v>7.7082850097505108E-3</v>
      </c>
      <c r="T99">
        <v>13.54</v>
      </c>
      <c r="V99" s="8" t="s">
        <v>226</v>
      </c>
      <c r="W99" s="8"/>
    </row>
    <row r="100" spans="1:30" x14ac:dyDescent="0.35">
      <c r="A100" t="s">
        <v>19</v>
      </c>
      <c r="E100">
        <v>-2.3640576297166673E-2</v>
      </c>
      <c r="F100">
        <f t="shared" si="4"/>
        <v>-1.9712424504259501E-2</v>
      </c>
      <c r="G100">
        <f t="shared" si="5"/>
        <v>-3.0148378034791597E-2</v>
      </c>
      <c r="J100" s="2" t="s">
        <v>112</v>
      </c>
      <c r="K100">
        <f>B2018</f>
        <v>1.1803821691198171E-2</v>
      </c>
      <c r="L100">
        <f>C2018</f>
        <v>-2.9418055889299612E-3</v>
      </c>
      <c r="M100">
        <f t="shared" si="7"/>
        <v>9.1917735606226771E-3</v>
      </c>
      <c r="N100">
        <f>D2018</f>
        <v>-2.6418451654627677E-2</v>
      </c>
      <c r="O100">
        <f>AVERAGEIFS(E2018:E2037,E2018:E2037,"&lt;=" &amp; N100)</f>
        <v>-2.6571417175386493E-2</v>
      </c>
      <c r="P100">
        <v>97.528966204588713</v>
      </c>
      <c r="Q100">
        <v>21.97644</v>
      </c>
      <c r="R100">
        <f t="shared" si="6"/>
        <v>150.03557921859544</v>
      </c>
      <c r="S100">
        <v>9.1917735606226771E-3</v>
      </c>
      <c r="T100">
        <v>19.850000000000001</v>
      </c>
      <c r="V100" t="s">
        <v>227</v>
      </c>
      <c r="W100">
        <v>4.9162695035486183E-2</v>
      </c>
      <c r="Y100" t="s">
        <v>384</v>
      </c>
    </row>
    <row r="101" spans="1:30" x14ac:dyDescent="0.35">
      <c r="A101" t="s">
        <v>19</v>
      </c>
      <c r="E101">
        <v>1.5397493223727604E-2</v>
      </c>
      <c r="F101">
        <f t="shared" si="4"/>
        <v>-1.9698965192322473E-2</v>
      </c>
      <c r="G101">
        <f t="shared" si="5"/>
        <v>-3.0183555341481462E-2</v>
      </c>
      <c r="J101" s="2" t="s">
        <v>113</v>
      </c>
      <c r="K101">
        <f>B2038</f>
        <v>1.2318202367466032E-2</v>
      </c>
      <c r="L101">
        <f>C2038</f>
        <v>-1.3165839153483059E-3</v>
      </c>
      <c r="M101">
        <f t="shared" si="7"/>
        <v>1.1803821691198171E-2</v>
      </c>
      <c r="N101">
        <f>D2038</f>
        <v>-2.2691931343604154E-2</v>
      </c>
      <c r="O101">
        <f>AVERAGEIFS(E2038:E2058,E2038:E2058,"&lt;=" &amp; N101)</f>
        <v>-2.3003215108427209E-2</v>
      </c>
      <c r="P101">
        <v>113.25939882505742</v>
      </c>
      <c r="Q101">
        <v>21.431080000000001</v>
      </c>
      <c r="R101">
        <f t="shared" si="6"/>
        <v>97.528966204588713</v>
      </c>
      <c r="S101">
        <v>1.1803821691198171E-2</v>
      </c>
      <c r="T101">
        <v>19.97</v>
      </c>
      <c r="V101" t="s">
        <v>228</v>
      </c>
      <c r="W101">
        <v>2.416970583152218E-3</v>
      </c>
    </row>
    <row r="102" spans="1:30" x14ac:dyDescent="0.35">
      <c r="A102" t="s">
        <v>19</v>
      </c>
      <c r="E102">
        <v>3.0633870331418265E-2</v>
      </c>
      <c r="F102">
        <f t="shared" si="4"/>
        <v>-1.9699673577161264E-2</v>
      </c>
      <c r="G102">
        <f t="shared" si="5"/>
        <v>-3.0183555341481462E-2</v>
      </c>
      <c r="J102" s="2" t="s">
        <v>114</v>
      </c>
      <c r="K102">
        <f>B2059</f>
        <v>9.1713053586304893E-3</v>
      </c>
      <c r="L102">
        <f>C2059</f>
        <v>2.0861147675862914E-3</v>
      </c>
      <c r="M102">
        <f t="shared" si="7"/>
        <v>1.2318202367466032E-2</v>
      </c>
      <c r="N102">
        <f>D2059</f>
        <v>-1.0196690763352369E-2</v>
      </c>
      <c r="O102">
        <f>AVERAGEIFS(E2059:E2078,E2059:E2078,"&lt;=" &amp; N102)</f>
        <v>-1.0292757542876885E-2</v>
      </c>
      <c r="P102">
        <v>127.53606101961677</v>
      </c>
      <c r="Q102">
        <v>16.597010000000001</v>
      </c>
      <c r="R102">
        <f t="shared" si="6"/>
        <v>113.25939882505742</v>
      </c>
      <c r="S102">
        <v>1.2318202367466032E-2</v>
      </c>
      <c r="T102">
        <v>15.93</v>
      </c>
      <c r="V102" t="s">
        <v>228</v>
      </c>
      <c r="W102">
        <v>-3.0945378666646203E-3</v>
      </c>
    </row>
    <row r="103" spans="1:30" x14ac:dyDescent="0.35">
      <c r="A103" t="s">
        <v>19</v>
      </c>
      <c r="E103">
        <v>1.521460626129339E-3</v>
      </c>
      <c r="F103">
        <f t="shared" si="4"/>
        <v>-1.9700381962000055E-2</v>
      </c>
      <c r="G103">
        <f t="shared" si="5"/>
        <v>-3.0183555341481462E-2</v>
      </c>
      <c r="J103" s="2" t="s">
        <v>115</v>
      </c>
      <c r="K103">
        <f>B2079</f>
        <v>9.8063532151187582E-3</v>
      </c>
      <c r="L103">
        <f>C2079</f>
        <v>-3.0138399522832401E-5</v>
      </c>
      <c r="M103">
        <f t="shared" si="7"/>
        <v>9.1713053586304893E-3</v>
      </c>
      <c r="N103">
        <f>D2079</f>
        <v>-2.1207987977749788E-2</v>
      </c>
      <c r="O103">
        <f>AVERAGEIFS(E2079:E2097,E2079:E2097,"&lt;=" &amp; N103)</f>
        <v>-2.1207987977749788E-2</v>
      </c>
      <c r="P103">
        <v>178.8854475498668</v>
      </c>
      <c r="Q103">
        <v>20.604800000000001</v>
      </c>
      <c r="R103">
        <f t="shared" si="6"/>
        <v>127.53606101961677</v>
      </c>
      <c r="S103">
        <v>9.1713053586304893E-3</v>
      </c>
      <c r="T103">
        <v>15.43</v>
      </c>
      <c r="V103" t="s">
        <v>229</v>
      </c>
      <c r="W103">
        <v>1.1298319296531571E-2</v>
      </c>
    </row>
    <row r="104" spans="1:30" ht="15" thickBot="1" x14ac:dyDescent="0.4">
      <c r="A104" t="s">
        <v>20</v>
      </c>
      <c r="B104" s="3" cm="1">
        <f t="array" ref="B104">_xlfn.STDEV.S(_xlfn._xlws.FILTER($E$2:$E$1000, $A$2:$A$1000="2010-06"))</f>
        <v>1.2544854828862874E-2</v>
      </c>
      <c r="C104" s="3" cm="1">
        <f t="array" ref="C104">AVERAGE(_xlfn._xlws.FILTER($E$2:$E$1000, $A$2:$A$1000="2010-06"))</f>
        <v>1.4760138041684879E-4</v>
      </c>
      <c r="D104" s="3" cm="1">
        <f t="array" ref="D104">_xlfn.PERCENTILE.EXC(_xlfn._xlws.FILTER($E$104:$E$125, $A$104:$A$125="2010-06"), 0.05)</f>
        <v>-3.1704489047915681E-2</v>
      </c>
      <c r="E104">
        <v>5.8839234264178655E-3</v>
      </c>
      <c r="F104">
        <f t="shared" si="4"/>
        <v>-1.9701090346838847E-2</v>
      </c>
      <c r="G104">
        <f t="shared" si="5"/>
        <v>-3.0183555341481462E-2</v>
      </c>
      <c r="J104" s="4" t="s">
        <v>116</v>
      </c>
      <c r="K104" s="3">
        <f>B2098</f>
        <v>1.0206730460347088E-2</v>
      </c>
      <c r="L104" s="3">
        <f>C2098</f>
        <v>-1.1427564565595634E-3</v>
      </c>
      <c r="M104">
        <f t="shared" si="7"/>
        <v>9.8063532151187582E-3</v>
      </c>
      <c r="N104" s="3">
        <f>D2098</f>
        <v>-2.3865638999805601E-2</v>
      </c>
      <c r="O104" s="3">
        <f>AVERAGEIFS(E2098:E2118,E2098:E2118,"&lt;=" &amp; N104)</f>
        <v>-2.4901840246236848E-2</v>
      </c>
      <c r="P104" s="3">
        <v>209.0020525803935</v>
      </c>
      <c r="Q104" s="3">
        <v>19.422699999999999</v>
      </c>
      <c r="R104">
        <f t="shared" si="6"/>
        <v>178.8854475498668</v>
      </c>
      <c r="S104">
        <v>9.8063532151187582E-3</v>
      </c>
      <c r="T104" s="3">
        <v>16.09</v>
      </c>
      <c r="V104" s="6" t="s">
        <v>230</v>
      </c>
      <c r="W104" s="6">
        <v>183</v>
      </c>
    </row>
    <row r="105" spans="1:30" x14ac:dyDescent="0.35">
      <c r="A105" t="s">
        <v>20</v>
      </c>
      <c r="E105">
        <v>-1.1703268639624324E-5</v>
      </c>
      <c r="F105">
        <f t="shared" si="4"/>
        <v>-1.9701798731677635E-2</v>
      </c>
      <c r="G105">
        <f t="shared" si="5"/>
        <v>-3.0183555341481462E-2</v>
      </c>
      <c r="J105" s="2" t="s">
        <v>117</v>
      </c>
      <c r="K105">
        <f>B2119</f>
        <v>8.0591039031152212E-3</v>
      </c>
      <c r="L105">
        <f>C2119</f>
        <v>1.8085371735470728E-3</v>
      </c>
      <c r="M105">
        <f t="shared" si="7"/>
        <v>1.0206730460347088E-2</v>
      </c>
      <c r="N105">
        <f>D2119</f>
        <v>-1.4574841757525634E-2</v>
      </c>
      <c r="O105">
        <f>AVERAGEIFS(E2119:E2140,E2119:E2140,"&lt;=" &amp; N105)</f>
        <v>-1.5401283687407851E-2</v>
      </c>
      <c r="P105">
        <v>219.13716355950785</v>
      </c>
      <c r="Q105">
        <v>14.70101</v>
      </c>
      <c r="R105">
        <f t="shared" si="6"/>
        <v>209.0020525803935</v>
      </c>
      <c r="S105">
        <v>1.0206730460347088E-2</v>
      </c>
      <c r="T105">
        <v>12.83</v>
      </c>
    </row>
    <row r="106" spans="1:30" ht="15" thickBot="1" x14ac:dyDescent="0.4">
      <c r="A106" t="s">
        <v>20</v>
      </c>
      <c r="E106">
        <v>1.2202051886890181E-2</v>
      </c>
      <c r="F106">
        <f t="shared" si="4"/>
        <v>-1.9702507116516426E-2</v>
      </c>
      <c r="G106">
        <f t="shared" si="5"/>
        <v>-3.0183555341481462E-2</v>
      </c>
      <c r="J106" s="2" t="s">
        <v>118</v>
      </c>
      <c r="K106">
        <f>B2141</f>
        <v>7.6647833536606222E-3</v>
      </c>
      <c r="L106">
        <f>C2141</f>
        <v>-1.6705185276091271E-3</v>
      </c>
      <c r="M106">
        <f t="shared" si="7"/>
        <v>8.0591039031152212E-3</v>
      </c>
      <c r="N106">
        <f>D2141</f>
        <v>-1.9563464252580147E-2</v>
      </c>
      <c r="O106">
        <f>AVERAGEIFS(E2141:E2161,E2141:E2161,"&lt;=" &amp; N106)</f>
        <v>-2.0060862876394487E-2</v>
      </c>
      <c r="P106">
        <v>174.67610179730138</v>
      </c>
      <c r="Q106">
        <v>18.127970000000001</v>
      </c>
      <c r="R106">
        <f t="shared" si="6"/>
        <v>219.13716355950785</v>
      </c>
      <c r="S106">
        <v>8.0591039031152212E-3</v>
      </c>
      <c r="T106">
        <v>12.86</v>
      </c>
      <c r="V106" t="s">
        <v>231</v>
      </c>
    </row>
    <row r="107" spans="1:30" x14ac:dyDescent="0.35">
      <c r="A107" t="s">
        <v>20</v>
      </c>
      <c r="E107">
        <v>-1.9302705206639001E-2</v>
      </c>
      <c r="F107">
        <f t="shared" si="4"/>
        <v>-1.9703215501355217E-2</v>
      </c>
      <c r="G107">
        <f t="shared" si="5"/>
        <v>-3.0183555341481462E-2</v>
      </c>
      <c r="J107" s="2" t="s">
        <v>119</v>
      </c>
      <c r="K107">
        <f>B2162</f>
        <v>7.0232416192133771E-3</v>
      </c>
      <c r="L107">
        <f>C2162</f>
        <v>-4.7674572379063104E-4</v>
      </c>
      <c r="M107">
        <f t="shared" si="7"/>
        <v>7.6647833536606222E-3</v>
      </c>
      <c r="N107">
        <f>D2162</f>
        <v>-1.5238374351486087E-2</v>
      </c>
      <c r="O107">
        <f>AVERAGEIFS(E2162:E2181,E2162:E2181,"&lt;=" &amp; N107)</f>
        <v>-1.530356027203802E-2</v>
      </c>
      <c r="P107">
        <v>231.35667424143253</v>
      </c>
      <c r="Q107">
        <v>17.146560000000001</v>
      </c>
      <c r="R107">
        <f t="shared" si="6"/>
        <v>174.67610179730138</v>
      </c>
      <c r="S107">
        <v>7.6647833536606222E-3</v>
      </c>
      <c r="T107">
        <v>12.12</v>
      </c>
      <c r="V107" s="7"/>
      <c r="W107" s="7" t="s">
        <v>236</v>
      </c>
      <c r="X107" s="7" t="s">
        <v>237</v>
      </c>
      <c r="Y107" s="7" t="s">
        <v>238</v>
      </c>
      <c r="Z107" s="7" t="s">
        <v>239</v>
      </c>
      <c r="AA107" s="7" t="s">
        <v>240</v>
      </c>
    </row>
    <row r="108" spans="1:30" x14ac:dyDescent="0.35">
      <c r="A108" t="s">
        <v>20</v>
      </c>
      <c r="E108">
        <v>-5.7295811948337811E-3</v>
      </c>
      <c r="F108">
        <f t="shared" si="4"/>
        <v>-1.9703923886194009E-2</v>
      </c>
      <c r="G108">
        <f t="shared" si="5"/>
        <v>-3.0183555341481462E-2</v>
      </c>
      <c r="J108" s="2" t="s">
        <v>120</v>
      </c>
      <c r="K108">
        <f>B2182</f>
        <v>1.0730630764016275E-2</v>
      </c>
      <c r="L108">
        <f>C2182</f>
        <v>-3.0675783399463558E-3</v>
      </c>
      <c r="M108">
        <f t="shared" si="7"/>
        <v>7.0232416192133771E-3</v>
      </c>
      <c r="N108">
        <f>D2182</f>
        <v>-2.2287979332309825E-2</v>
      </c>
      <c r="O108">
        <f>AVERAGEIFS(E2182:E2203,E2182:E2203,"&lt;=" &amp; N108)</f>
        <v>-2.2349864771830659E-2</v>
      </c>
      <c r="P108">
        <v>193.90705645560894</v>
      </c>
      <c r="Q108">
        <v>22.955480000000001</v>
      </c>
      <c r="R108">
        <f t="shared" si="6"/>
        <v>231.35667424143253</v>
      </c>
      <c r="S108">
        <v>7.0232416192133771E-3</v>
      </c>
      <c r="T108">
        <v>21.23</v>
      </c>
      <c r="V108" t="s">
        <v>232</v>
      </c>
      <c r="W108">
        <v>1</v>
      </c>
      <c r="X108">
        <v>5.5979443274789542E-5</v>
      </c>
      <c r="Y108">
        <v>5.5979443274789542E-5</v>
      </c>
      <c r="Z108">
        <v>0.43853159351185245</v>
      </c>
      <c r="AA108">
        <v>0.50867432633172804</v>
      </c>
    </row>
    <row r="109" spans="1:30" x14ac:dyDescent="0.35">
      <c r="A109" t="s">
        <v>20</v>
      </c>
      <c r="E109">
        <v>-6.1833976264703428E-3</v>
      </c>
      <c r="F109">
        <f t="shared" si="4"/>
        <v>-1.97046322710328E-2</v>
      </c>
      <c r="G109">
        <f t="shared" si="5"/>
        <v>-3.0183555341481462E-2</v>
      </c>
      <c r="J109" s="2" t="s">
        <v>121</v>
      </c>
      <c r="K109">
        <f>B2204</f>
        <v>8.6547341798768659E-3</v>
      </c>
      <c r="L109">
        <f>C2204</f>
        <v>-7.6185281313630128E-4</v>
      </c>
      <c r="M109">
        <f t="shared" si="7"/>
        <v>1.0730630764016275E-2</v>
      </c>
      <c r="N109">
        <f>D2204</f>
        <v>-1.7549004659794955E-2</v>
      </c>
      <c r="O109">
        <f>AVERAGEIFS(E2204:E2225,E2204:E2225,"&lt;=" &amp; N109)</f>
        <v>-1.782795548967742E-2</v>
      </c>
      <c r="P109">
        <v>148.17275410161267</v>
      </c>
      <c r="Q109">
        <v>20.9254</v>
      </c>
      <c r="R109">
        <f t="shared" si="6"/>
        <v>193.90705645560894</v>
      </c>
      <c r="S109">
        <v>1.0730630764016275E-2</v>
      </c>
      <c r="T109">
        <v>18.07</v>
      </c>
      <c r="V109" t="s">
        <v>233</v>
      </c>
      <c r="W109">
        <v>181</v>
      </c>
      <c r="X109">
        <v>2.3105015425674353E-2</v>
      </c>
      <c r="Y109">
        <v>1.2765201892637765E-4</v>
      </c>
    </row>
    <row r="110" spans="1:30" ht="15" thickBot="1" x14ac:dyDescent="0.4">
      <c r="A110" t="s">
        <v>20</v>
      </c>
      <c r="E110">
        <v>1.9606982456598879E-2</v>
      </c>
      <c r="F110">
        <f t="shared" si="4"/>
        <v>-1.9705340655871591E-2</v>
      </c>
      <c r="G110">
        <f t="shared" si="5"/>
        <v>-3.0183555341481462E-2</v>
      </c>
      <c r="J110" s="2" t="s">
        <v>122</v>
      </c>
      <c r="K110">
        <f>B2226</f>
        <v>1.4726086520803259E-2</v>
      </c>
      <c r="L110">
        <f>C2226</f>
        <v>-3.7668640372489313E-3</v>
      </c>
      <c r="M110">
        <f t="shared" si="7"/>
        <v>8.6547341798768659E-3</v>
      </c>
      <c r="N110">
        <f>D2226</f>
        <v>-2.6285103565180795E-2</v>
      </c>
      <c r="O110">
        <f>AVERAGEIFS(E2226:E2242,E2226:E2242,"&lt;=" &amp; N110)</f>
        <v>-3.5372922301591316E-2</v>
      </c>
      <c r="P110">
        <v>225.89790867248931</v>
      </c>
      <c r="Q110">
        <v>27.303149999999999</v>
      </c>
      <c r="R110">
        <f t="shared" si="6"/>
        <v>148.17275410161267</v>
      </c>
      <c r="S110">
        <v>8.6547341798768659E-3</v>
      </c>
      <c r="T110">
        <v>25.42</v>
      </c>
      <c r="V110" s="6" t="s">
        <v>234</v>
      </c>
      <c r="W110" s="6">
        <v>182</v>
      </c>
      <c r="X110" s="6">
        <v>2.3160994868949143E-2</v>
      </c>
      <c r="Y110" s="6"/>
      <c r="Z110" s="6"/>
      <c r="AA110" s="6"/>
    </row>
    <row r="111" spans="1:30" ht="15" thickBot="1" x14ac:dyDescent="0.4">
      <c r="A111" t="s">
        <v>20</v>
      </c>
      <c r="E111">
        <v>1.1932368388908769E-2</v>
      </c>
      <c r="F111">
        <f t="shared" si="4"/>
        <v>-1.9706049040710383E-2</v>
      </c>
      <c r="G111">
        <f t="shared" si="5"/>
        <v>-3.0183555341481462E-2</v>
      </c>
      <c r="J111" s="2" t="s">
        <v>123</v>
      </c>
      <c r="K111">
        <f>B2243</f>
        <v>1.0563662222413773E-2</v>
      </c>
      <c r="L111">
        <f>C2243</f>
        <v>2.5697415951430277E-3</v>
      </c>
      <c r="M111">
        <f t="shared" si="7"/>
        <v>1.4726086520803259E-2</v>
      </c>
      <c r="N111">
        <f>D2243</f>
        <v>-1.4193801218080192E-2</v>
      </c>
      <c r="O111">
        <f>AVERAGEIFS(E2243:E2264,E2243:E2264,"&lt;=" &amp; N111)</f>
        <v>-1.5576937166905287E-2</v>
      </c>
      <c r="P111">
        <v>168.08723034264537</v>
      </c>
      <c r="Q111">
        <v>17.303930000000001</v>
      </c>
      <c r="R111">
        <f t="shared" si="6"/>
        <v>225.89790867248931</v>
      </c>
      <c r="S111">
        <v>1.4726086520803259E-2</v>
      </c>
      <c r="T111">
        <v>16.57</v>
      </c>
    </row>
    <row r="112" spans="1:30" x14ac:dyDescent="0.35">
      <c r="A112" t="s">
        <v>20</v>
      </c>
      <c r="E112">
        <v>-1.4474054154329642E-3</v>
      </c>
      <c r="F112">
        <f t="shared" si="4"/>
        <v>-1.9706757425549174E-2</v>
      </c>
      <c r="G112">
        <f t="shared" si="5"/>
        <v>-3.0183555341481462E-2</v>
      </c>
      <c r="J112" s="2" t="s">
        <v>124</v>
      </c>
      <c r="K112">
        <f>B2265</f>
        <v>9.8645195339263896E-3</v>
      </c>
      <c r="L112">
        <f>C2265</f>
        <v>1.5098503867004653E-3</v>
      </c>
      <c r="M112">
        <f t="shared" si="7"/>
        <v>1.0563662222413773E-2</v>
      </c>
      <c r="N112">
        <f>D2265</f>
        <v>-2.6263737930136991E-2</v>
      </c>
      <c r="O112">
        <f>AVERAGEIFS(E2265:E2284,E2265:E2284,"&lt;=" &amp; N112)</f>
        <v>-2.7092856989532756E-2</v>
      </c>
      <c r="P112">
        <v>155.94647320824077</v>
      </c>
      <c r="Q112">
        <v>15.46541</v>
      </c>
      <c r="R112">
        <f t="shared" si="6"/>
        <v>168.08723034264537</v>
      </c>
      <c r="S112">
        <v>1.0563662222413773E-2</v>
      </c>
      <c r="T112">
        <v>14.78</v>
      </c>
      <c r="V112" s="7"/>
      <c r="W112" s="7" t="s">
        <v>241</v>
      </c>
      <c r="X112" s="7" t="s">
        <v>229</v>
      </c>
      <c r="Y112" s="7" t="s">
        <v>242</v>
      </c>
      <c r="Z112" s="7" t="s">
        <v>243</v>
      </c>
      <c r="AA112" s="7" t="s">
        <v>244</v>
      </c>
      <c r="AB112" s="7" t="s">
        <v>245</v>
      </c>
      <c r="AC112" s="7" t="s">
        <v>246</v>
      </c>
      <c r="AD112" s="7" t="s">
        <v>247</v>
      </c>
    </row>
    <row r="113" spans="1:30" x14ac:dyDescent="0.35">
      <c r="A113" t="s">
        <v>20</v>
      </c>
      <c r="E113">
        <v>1.2679226414217549E-2</v>
      </c>
      <c r="F113">
        <f t="shared" si="4"/>
        <v>-1.9707465810387965E-2</v>
      </c>
      <c r="G113">
        <f t="shared" si="5"/>
        <v>-3.0183555341481462E-2</v>
      </c>
      <c r="J113" s="2" t="s">
        <v>125</v>
      </c>
      <c r="K113">
        <f>B2285</f>
        <v>7.294575341821063E-3</v>
      </c>
      <c r="L113">
        <f>C2285</f>
        <v>4.2986286491986613E-5</v>
      </c>
      <c r="M113">
        <f t="shared" si="7"/>
        <v>9.8645195339263896E-3</v>
      </c>
      <c r="N113">
        <f>D2285</f>
        <v>-1.6172541189254156E-2</v>
      </c>
      <c r="O113">
        <f>AVERAGEIFS(E2285:E2305,E2285:E2305,"&lt;=" &amp; N113)</f>
        <v>-1.6216550356998073E-2</v>
      </c>
      <c r="P113">
        <v>248.37471632510719</v>
      </c>
      <c r="Q113">
        <v>17.139849999999999</v>
      </c>
      <c r="R113">
        <f t="shared" si="6"/>
        <v>155.94647320824077</v>
      </c>
      <c r="S113">
        <v>9.8645195339263896E-3</v>
      </c>
      <c r="T113">
        <v>13.71</v>
      </c>
      <c r="V113" t="s">
        <v>235</v>
      </c>
      <c r="W113">
        <v>-2.1590705679128245E-2</v>
      </c>
      <c r="X113">
        <v>1.3770996489560628E-3</v>
      </c>
      <c r="Y113">
        <v>-15.678390227966073</v>
      </c>
      <c r="Z113">
        <v>1.4931087201700785E-35</v>
      </c>
      <c r="AA113">
        <v>-2.4307939549220808E-2</v>
      </c>
      <c r="AB113">
        <v>-1.8873471809035682E-2</v>
      </c>
      <c r="AC113">
        <v>-2.4307939549220808E-2</v>
      </c>
      <c r="AD113">
        <v>-1.8873471809035682E-2</v>
      </c>
    </row>
    <row r="114" spans="1:30" ht="15" thickBot="1" x14ac:dyDescent="0.4">
      <c r="A114" t="s">
        <v>20</v>
      </c>
      <c r="E114">
        <v>8.1382232164601675E-3</v>
      </c>
      <c r="F114">
        <f t="shared" si="4"/>
        <v>-1.9708174195226757E-2</v>
      </c>
      <c r="G114">
        <f t="shared" si="5"/>
        <v>-3.0183555341481462E-2</v>
      </c>
      <c r="J114" s="2" t="s">
        <v>126</v>
      </c>
      <c r="K114">
        <f>B2306</f>
        <v>5.6022215922437177E-3</v>
      </c>
      <c r="L114">
        <f>C2306</f>
        <v>3.4283886249045596E-3</v>
      </c>
      <c r="M114">
        <f t="shared" si="7"/>
        <v>7.294575341821063E-3</v>
      </c>
      <c r="N114">
        <f>D2306</f>
        <v>-9.1955618416949079E-3</v>
      </c>
      <c r="O114">
        <f>AVERAGEIFS(E2306:E2325,E2306:E2325,"&lt;=" &amp; N114)</f>
        <v>-9.4760213686374221E-3</v>
      </c>
      <c r="P114">
        <v>198.25048660580097</v>
      </c>
      <c r="Q114">
        <v>14.876429999999999</v>
      </c>
      <c r="R114">
        <f t="shared" si="6"/>
        <v>248.37471632510719</v>
      </c>
      <c r="S114">
        <v>7.294575341821063E-3</v>
      </c>
      <c r="T114">
        <v>13.12</v>
      </c>
      <c r="V114" s="6" t="s">
        <v>248</v>
      </c>
      <c r="W114" s="6">
        <v>2.418819001959553E-6</v>
      </c>
      <c r="X114" s="6">
        <v>3.6526068409937062E-6</v>
      </c>
      <c r="Y114" s="6">
        <v>0.66221718001861474</v>
      </c>
      <c r="Z114" s="6">
        <v>0.50867432633175047</v>
      </c>
      <c r="AA114" s="6">
        <v>-4.7883479085858996E-6</v>
      </c>
      <c r="AB114" s="6">
        <v>9.6259859125050057E-6</v>
      </c>
      <c r="AC114" s="6">
        <v>-4.7883479085858996E-6</v>
      </c>
      <c r="AD114" s="6">
        <v>9.6259859125050057E-6</v>
      </c>
    </row>
    <row r="115" spans="1:30" x14ac:dyDescent="0.35">
      <c r="A115" t="s">
        <v>20</v>
      </c>
      <c r="E115">
        <v>2.5651075527125321E-3</v>
      </c>
      <c r="F115">
        <f t="shared" si="4"/>
        <v>-1.9708882580065548E-2</v>
      </c>
      <c r="G115">
        <f t="shared" si="5"/>
        <v>-3.0183555341481462E-2</v>
      </c>
      <c r="J115" s="2" t="s">
        <v>127</v>
      </c>
      <c r="K115">
        <f>B2326</f>
        <v>1.2360069456095966E-2</v>
      </c>
      <c r="L115">
        <f>C2326</f>
        <v>-2.5648182131778378E-3</v>
      </c>
      <c r="M115">
        <f t="shared" si="7"/>
        <v>5.6022215922437177E-3</v>
      </c>
      <c r="N115">
        <f>D2326</f>
        <v>-2.5709824577306407E-2</v>
      </c>
      <c r="O115">
        <f>AVERAGEIFS(E2326:E2345,E2326:E2345,"&lt;=" &amp; N115)</f>
        <v>-2.611889762470938E-2</v>
      </c>
      <c r="P115">
        <v>145.92435505316323</v>
      </c>
      <c r="Q115">
        <v>19.446210000000001</v>
      </c>
      <c r="R115">
        <f t="shared" si="6"/>
        <v>198.25048660580097</v>
      </c>
      <c r="S115">
        <v>5.6022215922437177E-3</v>
      </c>
      <c r="T115">
        <v>18.71</v>
      </c>
    </row>
    <row r="116" spans="1:30" x14ac:dyDescent="0.35">
      <c r="A116" t="s">
        <v>20</v>
      </c>
      <c r="E116">
        <v>5.2567894898236014E-3</v>
      </c>
      <c r="F116">
        <f t="shared" si="4"/>
        <v>-1.9709590964904336E-2</v>
      </c>
      <c r="G116">
        <f t="shared" si="5"/>
        <v>-3.0183555341481462E-2</v>
      </c>
      <c r="J116" s="2" t="s">
        <v>128</v>
      </c>
      <c r="K116">
        <f>B2346</f>
        <v>7.0315954952239997E-3</v>
      </c>
      <c r="L116">
        <f>C2346</f>
        <v>2.932603267200845E-3</v>
      </c>
      <c r="M116">
        <f t="shared" si="7"/>
        <v>1.2360069456095966E-2</v>
      </c>
      <c r="N116">
        <f>D2346</f>
        <v>-5.987955473787868E-3</v>
      </c>
      <c r="O116">
        <f>AVERAGEIFS(E2346:E2364,E2346:E2364,"&lt;=" &amp; N116)</f>
        <v>-5.987955473787868E-3</v>
      </c>
      <c r="P116">
        <v>171.36990387562327</v>
      </c>
      <c r="Q116">
        <v>15.600680000000001</v>
      </c>
      <c r="R116">
        <f t="shared" si="6"/>
        <v>145.92435505316323</v>
      </c>
      <c r="S116">
        <v>1.2360069456095966E-2</v>
      </c>
      <c r="T116">
        <v>15.08</v>
      </c>
    </row>
    <row r="117" spans="1:30" x14ac:dyDescent="0.35">
      <c r="A117" t="s">
        <v>20</v>
      </c>
      <c r="E117">
        <v>-1.0546183934456474E-3</v>
      </c>
      <c r="F117">
        <f t="shared" si="4"/>
        <v>-1.9710299349743127E-2</v>
      </c>
      <c r="G117">
        <f t="shared" si="5"/>
        <v>-3.0183555341481462E-2</v>
      </c>
      <c r="J117" s="2" t="s">
        <v>129</v>
      </c>
      <c r="K117">
        <f>B2365</f>
        <v>8.0330472575953736E-3</v>
      </c>
      <c r="L117">
        <f>C2365</f>
        <v>-7.4184810516592559E-4</v>
      </c>
      <c r="M117">
        <f t="shared" si="7"/>
        <v>7.0315954952239997E-3</v>
      </c>
      <c r="N117">
        <f>D2365</f>
        <v>-2.0186460689722911E-2</v>
      </c>
      <c r="O117">
        <f>AVERAGEIFS(E2365:E2387,E2365:E2387,"&lt;=" &amp; N117)</f>
        <v>-2.2002368563334207E-2</v>
      </c>
      <c r="P117">
        <v>246.24190134168194</v>
      </c>
      <c r="Q117">
        <v>16.014189999999999</v>
      </c>
      <c r="R117">
        <f t="shared" si="6"/>
        <v>171.36990387562327</v>
      </c>
      <c r="S117">
        <v>7.0315954952239997E-3</v>
      </c>
      <c r="T117">
        <v>16.12</v>
      </c>
    </row>
    <row r="118" spans="1:30" x14ac:dyDescent="0.35">
      <c r="A118" t="s">
        <v>20</v>
      </c>
      <c r="E118">
        <v>1.2148879035439356E-2</v>
      </c>
      <c r="F118">
        <f t="shared" si="4"/>
        <v>-1.9711007734581919E-2</v>
      </c>
      <c r="G118">
        <f t="shared" si="5"/>
        <v>-3.0183555341481462E-2</v>
      </c>
      <c r="J118" s="2" t="s">
        <v>130</v>
      </c>
      <c r="K118">
        <f>B2388</f>
        <v>1.3170671020265711E-2</v>
      </c>
      <c r="L118">
        <f>C2388</f>
        <v>-1.0351691338496302E-3</v>
      </c>
      <c r="M118">
        <f t="shared" si="7"/>
        <v>8.0330472575953736E-3</v>
      </c>
      <c r="N118">
        <f>D2388</f>
        <v>-3.1092920788207166E-2</v>
      </c>
      <c r="O118">
        <f>AVERAGEIFS(E2388:E2407,E2388:E2407,"&lt;=" &amp; N118)</f>
        <v>-3.1563299059465783E-2</v>
      </c>
      <c r="P118">
        <v>314.25814498456742</v>
      </c>
      <c r="Q118">
        <v>19.413709999999998</v>
      </c>
      <c r="R118">
        <f t="shared" si="6"/>
        <v>246.24190134168194</v>
      </c>
      <c r="S118">
        <v>8.0330472575953736E-3</v>
      </c>
      <c r="T118">
        <v>18.98</v>
      </c>
      <c r="V118" t="s">
        <v>225</v>
      </c>
    </row>
    <row r="119" spans="1:30" ht="15" thickBot="1" x14ac:dyDescent="0.4">
      <c r="A119" t="s">
        <v>20</v>
      </c>
      <c r="E119">
        <v>-3.8099044573383237E-3</v>
      </c>
      <c r="F119">
        <f t="shared" si="4"/>
        <v>-1.971171611942071E-2</v>
      </c>
      <c r="G119">
        <f t="shared" si="5"/>
        <v>-3.0183555341481462E-2</v>
      </c>
      <c r="J119" s="2" t="s">
        <v>131</v>
      </c>
      <c r="K119">
        <f>B2408</f>
        <v>5.2960476779751846E-3</v>
      </c>
      <c r="L119">
        <f>C2408</f>
        <v>1.9106963785209617E-3</v>
      </c>
      <c r="M119">
        <f t="shared" si="7"/>
        <v>1.3170671020265711E-2</v>
      </c>
      <c r="N119">
        <f>D2408</f>
        <v>-9.828268053173498E-3</v>
      </c>
      <c r="O119">
        <f>AVERAGEIFS(E2408:E2428,E2408:E2428,"&lt;=" &amp; N119)</f>
        <v>-1.0131346448688855E-2</v>
      </c>
      <c r="P119">
        <v>207.23431333344314</v>
      </c>
      <c r="Q119">
        <v>17.257490000000001</v>
      </c>
      <c r="R119">
        <f t="shared" si="6"/>
        <v>314.25814498456742</v>
      </c>
      <c r="S119">
        <v>1.3170671020265711E-2</v>
      </c>
      <c r="T119">
        <v>16.239999999999998</v>
      </c>
    </row>
    <row r="120" spans="1:30" x14ac:dyDescent="0.35">
      <c r="A120" t="s">
        <v>20</v>
      </c>
      <c r="E120">
        <v>-1.0345174180261896E-2</v>
      </c>
      <c r="F120">
        <f t="shared" si="4"/>
        <v>-1.9712424504259501E-2</v>
      </c>
      <c r="G120">
        <f t="shared" si="5"/>
        <v>-3.0183555341481462E-2</v>
      </c>
      <c r="J120" s="2" t="s">
        <v>132</v>
      </c>
      <c r="K120">
        <f>B2429</f>
        <v>1.0603464084119118E-2</v>
      </c>
      <c r="L120">
        <f>C2429</f>
        <v>1.5768702118778761E-3</v>
      </c>
      <c r="M120">
        <f t="shared" si="7"/>
        <v>5.2960476779751846E-3</v>
      </c>
      <c r="N120">
        <f>D2429</f>
        <v>-2.5792459345251144E-2</v>
      </c>
      <c r="O120">
        <f>AVERAGEIFS(E2429:E2450,E2429:E2450,"&lt;=" &amp; N120)</f>
        <v>-2.7996278849128683E-2</v>
      </c>
      <c r="P120">
        <v>210.18505172708899</v>
      </c>
      <c r="Q120">
        <v>15.372450000000001</v>
      </c>
      <c r="R120">
        <f t="shared" si="6"/>
        <v>207.23431333344314</v>
      </c>
      <c r="S120">
        <v>5.2960476779751846E-3</v>
      </c>
      <c r="T120">
        <v>13.22</v>
      </c>
      <c r="V120" s="8" t="s">
        <v>226</v>
      </c>
      <c r="W120" s="8"/>
    </row>
    <row r="121" spans="1:30" x14ac:dyDescent="0.35">
      <c r="A121" t="s">
        <v>20</v>
      </c>
      <c r="E121">
        <v>-1.4454797132793845E-2</v>
      </c>
      <c r="F121">
        <f t="shared" si="4"/>
        <v>-1.9716576100232228E-2</v>
      </c>
      <c r="G121">
        <f t="shared" si="5"/>
        <v>-3.0240463661248971E-2</v>
      </c>
      <c r="J121" s="2" t="s">
        <v>133</v>
      </c>
      <c r="K121">
        <f>B2451</f>
        <v>4.9603951357723311E-3</v>
      </c>
      <c r="L121">
        <f>C2451</f>
        <v>1.3485488561058938E-3</v>
      </c>
      <c r="M121">
        <f t="shared" si="7"/>
        <v>1.0603464084119118E-2</v>
      </c>
      <c r="N121">
        <f>D2451</f>
        <v>-4.7567863085362858E-3</v>
      </c>
      <c r="O121">
        <f>AVERAGEIFS(E2451:E2471,E2451:E2471,"&lt;=" &amp; N121)</f>
        <v>-4.774972433938993E-3</v>
      </c>
      <c r="P121">
        <v>181.50480623929036</v>
      </c>
      <c r="Q121">
        <v>14.51248</v>
      </c>
      <c r="R121">
        <f t="shared" si="6"/>
        <v>210.18505172708899</v>
      </c>
      <c r="S121">
        <v>1.0603464084119118E-2</v>
      </c>
      <c r="T121">
        <v>12.62</v>
      </c>
      <c r="V121" t="s">
        <v>227</v>
      </c>
      <c r="W121">
        <v>0.55813255974433051</v>
      </c>
    </row>
    <row r="122" spans="1:30" x14ac:dyDescent="0.35">
      <c r="A122" t="s">
        <v>20</v>
      </c>
      <c r="E122">
        <v>-7.3658145875220658E-3</v>
      </c>
      <c r="F122">
        <f t="shared" si="4"/>
        <v>-1.9720727696204959E-2</v>
      </c>
      <c r="G122">
        <f t="shared" si="5"/>
        <v>-3.0240463661248971E-2</v>
      </c>
      <c r="J122" s="2" t="s">
        <v>134</v>
      </c>
      <c r="K122">
        <f>B2472</f>
        <v>8.0827855684317863E-3</v>
      </c>
      <c r="L122">
        <f>C2472</f>
        <v>5.2985190692188211E-5</v>
      </c>
      <c r="M122">
        <f t="shared" si="7"/>
        <v>4.9603951357723311E-3</v>
      </c>
      <c r="N122">
        <f>D2472</f>
        <v>-1.0742020044490888E-2</v>
      </c>
      <c r="O122">
        <f>AVERAGEIFS(E2472:E2489,E2472:E2489,"&lt;=" &amp; N122)</f>
        <v>-2.074036237687241E-2</v>
      </c>
      <c r="P122">
        <v>207.24613187484729</v>
      </c>
      <c r="Q122">
        <v>15.644729999999999</v>
      </c>
      <c r="R122">
        <f t="shared" si="6"/>
        <v>181.50480623929036</v>
      </c>
      <c r="S122">
        <v>4.9603951357723311E-3</v>
      </c>
      <c r="T122">
        <v>13.78</v>
      </c>
      <c r="V122" t="s">
        <v>228</v>
      </c>
      <c r="W122">
        <v>0.31151195424675865</v>
      </c>
      <c r="Y122" t="s">
        <v>385</v>
      </c>
    </row>
    <row r="123" spans="1:30" x14ac:dyDescent="0.35">
      <c r="A123" t="s">
        <v>20</v>
      </c>
      <c r="E123">
        <v>1.4167930004357123E-2</v>
      </c>
      <c r="F123">
        <f t="shared" si="4"/>
        <v>-1.9724879292177686E-2</v>
      </c>
      <c r="G123">
        <f t="shared" si="5"/>
        <v>-3.0240463661248971E-2</v>
      </c>
      <c r="J123" s="2" t="s">
        <v>135</v>
      </c>
      <c r="K123">
        <f>B2490</f>
        <v>1.014830469118266E-2</v>
      </c>
      <c r="L123">
        <f>C2490</f>
        <v>-9.2551640650201069E-4</v>
      </c>
      <c r="M123">
        <f t="shared" si="7"/>
        <v>8.0827855684317863E-3</v>
      </c>
      <c r="N123">
        <f>D2490</f>
        <v>-2.5735972932936686E-2</v>
      </c>
      <c r="O123">
        <f>AVERAGEIFS(E2490:E2511,E2490:E2511,"&lt;=" &amp; N123)</f>
        <v>-2.777548711624727E-2</v>
      </c>
      <c r="P123">
        <v>131.50760851445185</v>
      </c>
      <c r="Q123">
        <v>19.012</v>
      </c>
      <c r="R123">
        <f t="shared" si="6"/>
        <v>207.24613187484729</v>
      </c>
      <c r="S123">
        <v>8.0827855684317863E-3</v>
      </c>
      <c r="T123">
        <v>18.84</v>
      </c>
      <c r="V123" t="s">
        <v>228</v>
      </c>
      <c r="W123">
        <v>0.29997304845201161</v>
      </c>
    </row>
    <row r="124" spans="1:30" x14ac:dyDescent="0.35">
      <c r="A124" t="s">
        <v>20</v>
      </c>
      <c r="E124">
        <v>-3.3893039137552747E-2</v>
      </c>
      <c r="F124">
        <f t="shared" si="4"/>
        <v>-1.9729030888150416E-2</v>
      </c>
      <c r="G124">
        <f t="shared" si="5"/>
        <v>-3.0240463661248971E-2</v>
      </c>
      <c r="J124" s="2" t="s">
        <v>136</v>
      </c>
      <c r="K124">
        <f>B2512</f>
        <v>1.6710383986576548E-2</v>
      </c>
      <c r="L124">
        <f>C2512</f>
        <v>-4.3917162472947597E-3</v>
      </c>
      <c r="M124">
        <f t="shared" si="7"/>
        <v>1.014830469118266E-2</v>
      </c>
      <c r="N124">
        <f>D2512</f>
        <v>-4.0814792398573115E-2</v>
      </c>
      <c r="O124">
        <f>AVERAGEIFS(E2512:E2531,E2512:E2531,"&lt;=" &amp; N124)</f>
        <v>-4.0892324469004052E-2</v>
      </c>
      <c r="P124">
        <v>304.09496547942229</v>
      </c>
      <c r="Q124">
        <v>46.46481</v>
      </c>
      <c r="R124">
        <f t="shared" si="6"/>
        <v>131.50760851445185</v>
      </c>
      <c r="S124">
        <v>1.014830469118266E-2</v>
      </c>
      <c r="T124">
        <v>40.11</v>
      </c>
      <c r="V124" t="s">
        <v>229</v>
      </c>
      <c r="W124">
        <v>9.4384415716689211E-3</v>
      </c>
    </row>
    <row r="125" spans="1:30" ht="15" thickBot="1" x14ac:dyDescent="0.4">
      <c r="A125" t="s">
        <v>20</v>
      </c>
      <c r="E125">
        <v>2.2638890982748759E-3</v>
      </c>
      <c r="F125">
        <f t="shared" si="4"/>
        <v>-1.9701798731677635E-2</v>
      </c>
      <c r="G125">
        <f t="shared" si="5"/>
        <v>-3.0163395103459334E-2</v>
      </c>
      <c r="J125" s="2" t="s">
        <v>137</v>
      </c>
      <c r="K125">
        <f>B2285</f>
        <v>7.294575341821063E-3</v>
      </c>
      <c r="L125">
        <f>C2285</f>
        <v>4.2986286491986613E-5</v>
      </c>
      <c r="M125">
        <f t="shared" si="7"/>
        <v>1.6710383986576548E-2</v>
      </c>
      <c r="N125">
        <f>D2285</f>
        <v>-1.6172541189254156E-2</v>
      </c>
      <c r="O125">
        <f>AVERAGEIFS(E2532:E2553,E2532:E2553,"&lt;=" &amp; N125)</f>
        <v>-5.9740915430105575E-2</v>
      </c>
      <c r="P125">
        <v>498.0574394160713</v>
      </c>
      <c r="Q125">
        <v>53.310940000000002</v>
      </c>
      <c r="R125">
        <f t="shared" si="6"/>
        <v>304.09496547942229</v>
      </c>
      <c r="S125">
        <v>1.6710383986576548E-2</v>
      </c>
      <c r="T125">
        <v>53.54</v>
      </c>
      <c r="V125" s="6" t="s">
        <v>230</v>
      </c>
      <c r="W125" s="6">
        <v>183</v>
      </c>
    </row>
    <row r="126" spans="1:30" x14ac:dyDescent="0.35">
      <c r="A126" t="s">
        <v>21</v>
      </c>
      <c r="B126" s="3" cm="1">
        <f t="array" ref="B126">_xlfn.STDEV.S(_xlfn._xlws.FILTER($E$2:$E$1000, $A$2:$A$1000="2010-07"))</f>
        <v>1.0968111799117721E-2</v>
      </c>
      <c r="C126" s="3" cm="1">
        <f t="array" ref="C126">AVERAGE(_xlfn._xlws.FILTER($E$2:$E$1000, $A$2:$A$1000="2010-07"))</f>
        <v>1.3693508677202807E-3</v>
      </c>
      <c r="D126" s="3" cm="1">
        <f t="array" ref="D126">_xlfn.PERCENTILE.EXC(_xlfn._xlws.FILTER($E$126:$E$252, $A$126:$A$252="2010-07"), 0.05)</f>
        <v>-1.8227387950396117E-2</v>
      </c>
      <c r="E126">
        <v>-1.8285286101361417E-2</v>
      </c>
      <c r="F126">
        <f t="shared" si="4"/>
        <v>-1.9702507116516426E-2</v>
      </c>
      <c r="G126">
        <f t="shared" si="5"/>
        <v>-3.0163395103459334E-2</v>
      </c>
      <c r="J126" s="4" t="s">
        <v>138</v>
      </c>
      <c r="K126" s="3">
        <f>B2554</f>
        <v>2.6245162476554944E-2</v>
      </c>
      <c r="L126" s="3">
        <f>C2554</f>
        <v>4.4544446996974529E-3</v>
      </c>
      <c r="M126">
        <f t="shared" si="7"/>
        <v>7.294575341821063E-3</v>
      </c>
      <c r="N126" s="3">
        <f>D2554</f>
        <v>-4.0697361539728465E-2</v>
      </c>
      <c r="O126" s="3">
        <f>AVERAGEIFS(E2554:E2573,E2554:E2573,"&lt;=" &amp; N126)</f>
        <v>-4.0725793363366819E-2</v>
      </c>
      <c r="P126" s="3">
        <v>374.94694195840805</v>
      </c>
      <c r="Q126" s="3">
        <v>37.087910000000001</v>
      </c>
      <c r="R126">
        <f t="shared" si="6"/>
        <v>498.0574394160713</v>
      </c>
      <c r="S126">
        <v>7.294575341821063E-3</v>
      </c>
      <c r="T126" s="3">
        <v>34.15</v>
      </c>
    </row>
    <row r="127" spans="1:30" ht="15" thickBot="1" x14ac:dyDescent="0.4">
      <c r="A127" t="s">
        <v>21</v>
      </c>
      <c r="E127">
        <v>-3.9823583753091198E-3</v>
      </c>
      <c r="F127">
        <f t="shared" si="4"/>
        <v>-1.9703215501355217E-2</v>
      </c>
      <c r="G127">
        <f t="shared" si="5"/>
        <v>-3.0163395103459334E-2</v>
      </c>
      <c r="J127" s="2" t="s">
        <v>139</v>
      </c>
      <c r="K127">
        <f>B2574</f>
        <v>2.2732341946980043E-2</v>
      </c>
      <c r="L127">
        <f>C2574</f>
        <v>3.5907510218265515E-3</v>
      </c>
      <c r="M127">
        <f t="shared" si="7"/>
        <v>2.6245162476554944E-2</v>
      </c>
      <c r="N127">
        <f>D2574</f>
        <v>-2.7586497620954626E-2</v>
      </c>
      <c r="O127">
        <f>AVERAGEIFS(E2574:E2591,E2574:E2591,"&lt;=" &amp; N127)</f>
        <v>-3.7028972977372239E-2</v>
      </c>
      <c r="P127">
        <v>397.71599292757861</v>
      </c>
      <c r="Q127">
        <v>34.543970000000002</v>
      </c>
      <c r="R127">
        <f t="shared" si="6"/>
        <v>374.94694195840805</v>
      </c>
      <c r="S127">
        <v>2.6245162476554944E-2</v>
      </c>
      <c r="T127">
        <v>27.51</v>
      </c>
      <c r="V127" t="s">
        <v>231</v>
      </c>
    </row>
    <row r="128" spans="1:30" x14ac:dyDescent="0.35">
      <c r="A128" t="s">
        <v>21</v>
      </c>
      <c r="E128">
        <v>-3.0814549268443404E-3</v>
      </c>
      <c r="F128">
        <f t="shared" si="4"/>
        <v>-1.9703923886194009E-2</v>
      </c>
      <c r="G128">
        <f t="shared" si="5"/>
        <v>-3.0163395103459334E-2</v>
      </c>
      <c r="J128" s="2" t="s">
        <v>140</v>
      </c>
      <c r="K128">
        <f>B2592</f>
        <v>2.1613667219448358E-2</v>
      </c>
      <c r="L128">
        <f>C2592</f>
        <v>2.88650720422404E-3</v>
      </c>
      <c r="M128">
        <f t="shared" si="7"/>
        <v>2.2732341946980043E-2</v>
      </c>
      <c r="N128">
        <f>D2592</f>
        <v>-4.4632026439250107E-2</v>
      </c>
      <c r="O128">
        <f>AVERAGEIFS(E2592:E2612,E2592:E2612,"&lt;=" &amp; N128)</f>
        <v>-4.5710791668840234E-2</v>
      </c>
      <c r="P128">
        <v>278.87220482003642</v>
      </c>
      <c r="Q128">
        <v>35.660429999999998</v>
      </c>
      <c r="R128">
        <f t="shared" si="6"/>
        <v>397.71599292757861</v>
      </c>
      <c r="S128">
        <v>2.2732341946980043E-2</v>
      </c>
      <c r="T128">
        <v>30.43</v>
      </c>
      <c r="V128" s="7"/>
      <c r="W128" s="7" t="s">
        <v>236</v>
      </c>
      <c r="X128" s="7" t="s">
        <v>237</v>
      </c>
      <c r="Y128" s="7" t="s">
        <v>238</v>
      </c>
      <c r="Z128" s="7" t="s">
        <v>239</v>
      </c>
      <c r="AA128" s="7" t="s">
        <v>240</v>
      </c>
    </row>
    <row r="129" spans="1:30" x14ac:dyDescent="0.35">
      <c r="A129" t="s">
        <v>21</v>
      </c>
      <c r="E129">
        <v>2.1226975395882197E-2</v>
      </c>
      <c r="F129">
        <f t="shared" si="4"/>
        <v>-1.97046322710328E-2</v>
      </c>
      <c r="G129">
        <f t="shared" si="5"/>
        <v>-3.0163395103459334E-2</v>
      </c>
      <c r="J129" s="2" t="s">
        <v>141</v>
      </c>
      <c r="K129">
        <f>B2613</f>
        <v>1.3332322726069374E-2</v>
      </c>
      <c r="L129">
        <f>C2613</f>
        <v>8.5811346646588352E-6</v>
      </c>
      <c r="M129">
        <f t="shared" si="7"/>
        <v>2.1613667219448358E-2</v>
      </c>
      <c r="N129">
        <f>D2613</f>
        <v>-3.2194337815126262E-2</v>
      </c>
      <c r="O129">
        <f>AVERAGEIFS(E2613:E2635,E2613:E2635,"&lt;=" &amp; N129)</f>
        <v>-3.5128727555956203E-2</v>
      </c>
      <c r="P129">
        <v>312.93160100662061</v>
      </c>
      <c r="Q129">
        <v>31.437750000000001</v>
      </c>
      <c r="R129">
        <f t="shared" si="6"/>
        <v>278.87220482003642</v>
      </c>
      <c r="S129">
        <v>2.1613667219448358E-2</v>
      </c>
      <c r="T129">
        <v>24.46</v>
      </c>
      <c r="V129" t="s">
        <v>232</v>
      </c>
      <c r="W129">
        <v>3</v>
      </c>
      <c r="X129">
        <v>7.2149267739254966E-3</v>
      </c>
      <c r="Y129">
        <v>2.4049755913084989E-3</v>
      </c>
      <c r="Z129">
        <v>26.996663270149099</v>
      </c>
      <c r="AA129">
        <v>1.8786887418806163E-14</v>
      </c>
    </row>
    <row r="130" spans="1:30" x14ac:dyDescent="0.35">
      <c r="A130" t="s">
        <v>21</v>
      </c>
      <c r="E130">
        <v>8.6946576845223431E-3</v>
      </c>
      <c r="F130">
        <f t="shared" si="4"/>
        <v>-1.9705340655871591E-2</v>
      </c>
      <c r="G130">
        <f t="shared" si="5"/>
        <v>-3.0163395103459334E-2</v>
      </c>
      <c r="J130" s="2" t="s">
        <v>142</v>
      </c>
      <c r="K130">
        <f>B2636</f>
        <v>1.0662612562223369E-2</v>
      </c>
      <c r="L130">
        <f>C2636</f>
        <v>2.8407548158574285E-3</v>
      </c>
      <c r="M130">
        <f t="shared" si="7"/>
        <v>1.3332322726069374E-2</v>
      </c>
      <c r="N130">
        <f>D2636</f>
        <v>-1.1203720385702639E-2</v>
      </c>
      <c r="O130">
        <f>AVERAGEIFS(E2636:E2655,E2636:E2655,"&lt;=" &amp; N130)</f>
        <v>-1.141781041044789E-2</v>
      </c>
      <c r="P130">
        <v>215.73821906767634</v>
      </c>
      <c r="Q130">
        <v>31.91592</v>
      </c>
      <c r="R130">
        <f t="shared" si="6"/>
        <v>312.93160100662061</v>
      </c>
      <c r="S130">
        <v>1.3332322726069374E-2</v>
      </c>
      <c r="T130">
        <v>26.41</v>
      </c>
      <c r="V130" t="s">
        <v>233</v>
      </c>
      <c r="W130">
        <v>179</v>
      </c>
      <c r="X130">
        <v>1.5946068095023646E-2</v>
      </c>
      <c r="Y130">
        <v>8.9084179301808077E-5</v>
      </c>
    </row>
    <row r="131" spans="1:30" ht="15" thickBot="1" x14ac:dyDescent="0.4">
      <c r="A131" t="s">
        <v>21</v>
      </c>
      <c r="E131">
        <v>7.1164500087489016E-3</v>
      </c>
      <c r="F131">
        <f t="shared" si="4"/>
        <v>-1.9706049040710383E-2</v>
      </c>
      <c r="G131">
        <f t="shared" si="5"/>
        <v>-3.0163395103459334E-2</v>
      </c>
      <c r="J131" s="2" t="s">
        <v>143</v>
      </c>
      <c r="K131">
        <f>B2656</f>
        <v>1.5581142999089212E-2</v>
      </c>
      <c r="L131">
        <f>C2656</f>
        <v>-9.6033917183150632E-4</v>
      </c>
      <c r="M131">
        <f t="shared" si="7"/>
        <v>1.0662612562223369E-2</v>
      </c>
      <c r="N131">
        <f>D2656</f>
        <v>-4.0515389527007922E-2</v>
      </c>
      <c r="O131">
        <f>AVERAGEIFS(E2656:E2677,E2656:E2677,"&lt;=" &amp; N131)</f>
        <v>-4.4733825860454796E-2</v>
      </c>
      <c r="P131">
        <v>295.318503721311</v>
      </c>
      <c r="Q131">
        <v>30.5473</v>
      </c>
      <c r="R131">
        <f t="shared" si="6"/>
        <v>215.73821906767634</v>
      </c>
      <c r="S131">
        <v>1.0662612562223369E-2</v>
      </c>
      <c r="T131">
        <v>26.37</v>
      </c>
      <c r="V131" s="6" t="s">
        <v>234</v>
      </c>
      <c r="W131" s="6">
        <v>182</v>
      </c>
      <c r="X131" s="6">
        <v>2.3160994868949143E-2</v>
      </c>
      <c r="Y131" s="6"/>
      <c r="Z131" s="6"/>
      <c r="AA131" s="6"/>
    </row>
    <row r="132" spans="1:30" ht="15" thickBot="1" x14ac:dyDescent="0.4">
      <c r="A132" t="s">
        <v>21</v>
      </c>
      <c r="E132">
        <v>4.8889022993070458E-3</v>
      </c>
      <c r="F132">
        <f t="shared" ref="F132:F195" si="8">_xlfn.PERCENTILE.EXC(E132:E3947,0.05)</f>
        <v>-1.9706757425549174E-2</v>
      </c>
      <c r="G132">
        <f t="shared" ref="G132:G195" si="9">AVERAGEIFS(E132:E3948,E132:E3948,"&lt;=" &amp; F132)</f>
        <v>-3.0163395103459334E-2</v>
      </c>
      <c r="J132" s="2" t="s">
        <v>144</v>
      </c>
      <c r="K132">
        <f>B2678</f>
        <v>1.4717069875996681E-2</v>
      </c>
      <c r="L132">
        <f>C2678</f>
        <v>-4.5057348957380141E-3</v>
      </c>
      <c r="M132">
        <f t="shared" si="7"/>
        <v>1.5581142999089212E-2</v>
      </c>
      <c r="N132">
        <f>D2678</f>
        <v>-4.1869531649098429E-2</v>
      </c>
      <c r="O132">
        <f>AVERAGEIFS(E2678:E2699,E2678:E2699,"&lt;=" &amp; N132)</f>
        <v>-4.2595187476155275E-2</v>
      </c>
      <c r="P132">
        <v>443.74243072212209</v>
      </c>
      <c r="Q132">
        <v>41.165349999999997</v>
      </c>
      <c r="R132">
        <f t="shared" si="6"/>
        <v>295.318503721311</v>
      </c>
      <c r="S132">
        <v>1.5581142999089212E-2</v>
      </c>
      <c r="T132">
        <v>38.020000000000003</v>
      </c>
    </row>
    <row r="133" spans="1:30" x14ac:dyDescent="0.35">
      <c r="A133" t="s">
        <v>21</v>
      </c>
      <c r="E133">
        <v>1.9683051675953634E-3</v>
      </c>
      <c r="F133">
        <f t="shared" si="8"/>
        <v>-1.9707465810387965E-2</v>
      </c>
      <c r="G133">
        <f t="shared" si="9"/>
        <v>-3.0163395103459334E-2</v>
      </c>
      <c r="J133" s="2" t="s">
        <v>145</v>
      </c>
      <c r="K133">
        <f>B2700</f>
        <v>1.3689155436625244E-2</v>
      </c>
      <c r="L133">
        <f>C2700</f>
        <v>6.6596587610840714E-3</v>
      </c>
      <c r="M133">
        <f t="shared" si="7"/>
        <v>1.4717069875996681E-2</v>
      </c>
      <c r="N133">
        <f>D2700</f>
        <v>-1.2065389008576829E-2</v>
      </c>
      <c r="O133">
        <f>AVERAGEIFS(E2700:E2720,E2700:E2720,"&lt;=" &amp; N133)</f>
        <v>-1.2427674678319407E-2</v>
      </c>
      <c r="P133">
        <v>387.49448148843919</v>
      </c>
      <c r="Q133">
        <v>27.392469999999999</v>
      </c>
      <c r="R133">
        <f t="shared" ref="R133:R186" si="10">P132</f>
        <v>443.74243072212209</v>
      </c>
      <c r="S133">
        <v>1.4717069875996681E-2</v>
      </c>
      <c r="T133">
        <v>20.57</v>
      </c>
      <c r="V133" s="7"/>
      <c r="W133" s="7" t="s">
        <v>241</v>
      </c>
      <c r="X133" s="7" t="s">
        <v>229</v>
      </c>
      <c r="Y133" s="7" t="s">
        <v>242</v>
      </c>
      <c r="Z133" s="7" t="s">
        <v>243</v>
      </c>
      <c r="AA133" s="7" t="s">
        <v>244</v>
      </c>
      <c r="AB133" s="7" t="s">
        <v>245</v>
      </c>
      <c r="AC133" s="7" t="s">
        <v>246</v>
      </c>
      <c r="AD133" s="7" t="s">
        <v>247</v>
      </c>
    </row>
    <row r="134" spans="1:30" x14ac:dyDescent="0.35">
      <c r="A134" t="s">
        <v>21</v>
      </c>
      <c r="E134">
        <v>1.8575204448377944E-2</v>
      </c>
      <c r="F134">
        <f t="shared" si="8"/>
        <v>-1.9708174195226757E-2</v>
      </c>
      <c r="G134">
        <f t="shared" si="9"/>
        <v>-3.0163395103459334E-2</v>
      </c>
      <c r="J134" s="2" t="s">
        <v>146</v>
      </c>
      <c r="K134">
        <f>B2721</f>
        <v>1.07001350051034E-2</v>
      </c>
      <c r="L134">
        <f>C2721</f>
        <v>1.6666602354273223E-3</v>
      </c>
      <c r="M134">
        <f t="shared" ref="M134:M186" si="11">K133</f>
        <v>1.3689155436625244E-2</v>
      </c>
      <c r="N134">
        <f>D2721</f>
        <v>-2.8592394316919123E-2</v>
      </c>
      <c r="O134">
        <f>AVERAGEIFS(E2721:E2739,E2721:E2739,"&lt;=" &amp; N134)</f>
        <v>-2.8592394316919123E-2</v>
      </c>
      <c r="P134">
        <v>227.9440037170105</v>
      </c>
      <c r="Q134">
        <v>28.718160000000001</v>
      </c>
      <c r="R134">
        <f t="shared" si="10"/>
        <v>387.49448148843919</v>
      </c>
      <c r="S134">
        <v>1.3689155436625244E-2</v>
      </c>
      <c r="T134">
        <v>22.75</v>
      </c>
      <c r="V134" t="s">
        <v>235</v>
      </c>
      <c r="W134">
        <v>-3.8468655489987662E-3</v>
      </c>
      <c r="X134">
        <v>2.3032923464454394E-3</v>
      </c>
      <c r="Y134">
        <v>-1.6701594805954396</v>
      </c>
      <c r="Z134">
        <v>9.6635515601540531E-2</v>
      </c>
      <c r="AA134">
        <v>-8.3919648519650229E-3</v>
      </c>
      <c r="AB134">
        <v>6.9823375396749036E-4</v>
      </c>
      <c r="AC134">
        <v>-8.3919648519650229E-3</v>
      </c>
      <c r="AD134">
        <v>6.9823375396749036E-4</v>
      </c>
    </row>
    <row r="135" spans="1:30" x14ac:dyDescent="0.35">
      <c r="A135" t="s">
        <v>21</v>
      </c>
      <c r="E135">
        <v>3.0046253157017489E-3</v>
      </c>
      <c r="F135">
        <f t="shared" si="8"/>
        <v>-1.9708882580065548E-2</v>
      </c>
      <c r="G135">
        <f t="shared" si="9"/>
        <v>-3.0163395103459334E-2</v>
      </c>
      <c r="J135" s="2" t="s">
        <v>147</v>
      </c>
      <c r="K135">
        <f>B2740</f>
        <v>1.0125418935843062E-2</v>
      </c>
      <c r="L135">
        <f>C2740</f>
        <v>-1.0530504343328312E-3</v>
      </c>
      <c r="M135">
        <f t="shared" si="11"/>
        <v>1.07001350051034E-2</v>
      </c>
      <c r="N135">
        <f>D2740</f>
        <v>-1.8175267385852539E-2</v>
      </c>
      <c r="O135">
        <f>AVERAGEIFS(E2740:E2759,E2740:E2759,"&lt;=" &amp; N135)</f>
        <v>-1.8226534839327253E-2</v>
      </c>
      <c r="P135">
        <v>210.23209711459131</v>
      </c>
      <c r="Q135">
        <v>35.192749999999997</v>
      </c>
      <c r="R135">
        <f t="shared" si="10"/>
        <v>227.9440037170105</v>
      </c>
      <c r="S135">
        <v>1.07001350051034E-2</v>
      </c>
      <c r="T135">
        <v>33.090000000000003</v>
      </c>
      <c r="V135" t="s">
        <v>248</v>
      </c>
      <c r="W135">
        <v>5.7819222387565919E-6</v>
      </c>
      <c r="X135">
        <v>3.0970186405084434E-6</v>
      </c>
      <c r="Y135">
        <v>1.8669316881500471</v>
      </c>
      <c r="Z135">
        <v>6.3546357280360247E-2</v>
      </c>
      <c r="AA135">
        <v>-3.2944147326704383E-7</v>
      </c>
      <c r="AB135">
        <v>1.1893285950780228E-5</v>
      </c>
      <c r="AC135">
        <v>-3.2944147326704383E-7</v>
      </c>
      <c r="AD135">
        <v>1.1893285950780228E-5</v>
      </c>
    </row>
    <row r="136" spans="1:30" x14ac:dyDescent="0.35">
      <c r="A136" t="s">
        <v>21</v>
      </c>
      <c r="E136">
        <v>-9.7742364929305006E-3</v>
      </c>
      <c r="F136">
        <f t="shared" si="8"/>
        <v>-1.9709590964904336E-2</v>
      </c>
      <c r="G136">
        <f t="shared" si="9"/>
        <v>-3.0163395103459334E-2</v>
      </c>
      <c r="J136" s="2" t="s">
        <v>148</v>
      </c>
      <c r="K136">
        <f>B2760</f>
        <v>7.4521186222583679E-3</v>
      </c>
      <c r="L136">
        <f>C2760</f>
        <v>1.298496585055616E-3</v>
      </c>
      <c r="M136">
        <f t="shared" si="11"/>
        <v>1.0125418935843062E-2</v>
      </c>
      <c r="N136">
        <f>D2760</f>
        <v>-1.0897248420236788E-2</v>
      </c>
      <c r="O136">
        <f>AVERAGEIFS(E2760:E2779,E2760:E2779,"&lt;=" &amp; N136)</f>
        <v>-1.1105477820694206E-2</v>
      </c>
      <c r="P136">
        <v>223.45362927573879</v>
      </c>
      <c r="Q136">
        <v>32.450749999999999</v>
      </c>
      <c r="R136">
        <f t="shared" si="10"/>
        <v>210.23209711459131</v>
      </c>
      <c r="S136">
        <v>1.0125418935843062E-2</v>
      </c>
      <c r="T136">
        <v>27.95</v>
      </c>
      <c r="V136" t="s">
        <v>251</v>
      </c>
      <c r="W136">
        <v>-0.42010383905726562</v>
      </c>
      <c r="X136">
        <v>0.16667520611429609</v>
      </c>
      <c r="Y136">
        <v>-2.5204938925900175</v>
      </c>
      <c r="Z136">
        <v>1.2593117908352752E-2</v>
      </c>
      <c r="AA136">
        <v>-0.74900492896925319</v>
      </c>
      <c r="AB136">
        <v>-9.1202749145278039E-2</v>
      </c>
      <c r="AC136">
        <v>-0.74900492896925319</v>
      </c>
      <c r="AD136">
        <v>-9.1202749145278039E-2</v>
      </c>
    </row>
    <row r="137" spans="1:30" ht="15" thickBot="1" x14ac:dyDescent="0.4">
      <c r="A137" t="s">
        <v>21</v>
      </c>
      <c r="E137">
        <v>-1.7899298428259412E-2</v>
      </c>
      <c r="F137">
        <f t="shared" si="8"/>
        <v>-1.9710299349743127E-2</v>
      </c>
      <c r="G137">
        <f t="shared" si="9"/>
        <v>-3.0163395103459334E-2</v>
      </c>
      <c r="J137" s="2" t="s">
        <v>149</v>
      </c>
      <c r="K137">
        <f>B2780</f>
        <v>9.0646031354637245E-3</v>
      </c>
      <c r="L137">
        <f>C2780</f>
        <v>3.6926707180789139E-3</v>
      </c>
      <c r="M137">
        <f t="shared" si="11"/>
        <v>7.4521186222583679E-3</v>
      </c>
      <c r="N137">
        <f>D2780</f>
        <v>-1.0349788039877544E-2</v>
      </c>
      <c r="O137">
        <f>AVERAGEIFS(E2780:E2802,E2780:E2802,"&lt;=" &amp; N137)</f>
        <v>-1.051290582299455E-2</v>
      </c>
      <c r="P137">
        <v>263.66320246775172</v>
      </c>
      <c r="Q137">
        <v>21.119689999999999</v>
      </c>
      <c r="R137">
        <f t="shared" si="10"/>
        <v>223.45362927573879</v>
      </c>
      <c r="S137">
        <v>7.4521186222583679E-3</v>
      </c>
      <c r="T137">
        <v>19.399999999999999</v>
      </c>
      <c r="V137" s="6" t="s">
        <v>252</v>
      </c>
      <c r="W137" s="6">
        <v>-7.6121932516334421E-4</v>
      </c>
      <c r="X137" s="6">
        <v>1.2081063799224155E-4</v>
      </c>
      <c r="Y137" s="6">
        <v>-6.3009296020126113</v>
      </c>
      <c r="Z137" s="6">
        <v>2.2324534244205442E-9</v>
      </c>
      <c r="AA137" s="6">
        <v>-9.996156135792893E-4</v>
      </c>
      <c r="AB137" s="6">
        <v>-5.2282303674739913E-4</v>
      </c>
      <c r="AC137" s="6">
        <v>-9.996156135792893E-4</v>
      </c>
      <c r="AD137" s="6">
        <v>-5.2282303674739913E-4</v>
      </c>
    </row>
    <row r="138" spans="1:30" x14ac:dyDescent="0.35">
      <c r="A138" t="s">
        <v>21</v>
      </c>
      <c r="E138">
        <v>-5.1720618756127103E-3</v>
      </c>
      <c r="F138">
        <f t="shared" si="8"/>
        <v>-1.9711007734581919E-2</v>
      </c>
      <c r="G138">
        <f t="shared" si="9"/>
        <v>-3.0163395103459334E-2</v>
      </c>
      <c r="J138" s="2" t="s">
        <v>150</v>
      </c>
      <c r="K138">
        <f>B2803</f>
        <v>6.3618180017477391E-3</v>
      </c>
      <c r="L138">
        <f>C2803</f>
        <v>4.2320098057851247E-4</v>
      </c>
      <c r="M138">
        <f t="shared" si="11"/>
        <v>9.0646031354637245E-3</v>
      </c>
      <c r="N138">
        <f>D2803</f>
        <v>-1.5335571469315397E-2</v>
      </c>
      <c r="O138">
        <f>AVERAGEIFS(E2803:E2822,E2803:E2822,"&lt;=" &amp; N138)</f>
        <v>-1.566566126413068E-2</v>
      </c>
      <c r="P138">
        <v>236.37901706429952</v>
      </c>
      <c r="Q138">
        <v>24.81278</v>
      </c>
      <c r="R138">
        <f t="shared" si="10"/>
        <v>263.66320246775172</v>
      </c>
      <c r="S138">
        <v>9.0646031354637245E-3</v>
      </c>
      <c r="T138">
        <v>18.61</v>
      </c>
    </row>
    <row r="139" spans="1:30" x14ac:dyDescent="0.35">
      <c r="A139" t="s">
        <v>21</v>
      </c>
      <c r="E139">
        <v>-6.9502475729291396E-3</v>
      </c>
      <c r="F139">
        <f t="shared" si="8"/>
        <v>-1.971171611942071E-2</v>
      </c>
      <c r="G139">
        <f t="shared" si="9"/>
        <v>-3.0163395103459334E-2</v>
      </c>
      <c r="J139" s="2" t="s">
        <v>151</v>
      </c>
      <c r="K139">
        <f>B2823</f>
        <v>1.1309754778672347E-2</v>
      </c>
      <c r="L139">
        <f>C2823</f>
        <v>1.3921199939666235E-3</v>
      </c>
      <c r="M139">
        <f t="shared" si="11"/>
        <v>6.3618180017477391E-3</v>
      </c>
      <c r="N139">
        <f>D2823</f>
        <v>-1.8428541660390332E-2</v>
      </c>
      <c r="O139">
        <f>AVERAGEIFS(E2823:E2840,E2823:E2840,"&lt;=" &amp; N139)</f>
        <v>-1.8633932496901442E-2</v>
      </c>
      <c r="P139">
        <v>168.61250667375324</v>
      </c>
      <c r="Q139">
        <v>23.353159999999999</v>
      </c>
      <c r="R139">
        <f t="shared" si="10"/>
        <v>236.37901706429952</v>
      </c>
      <c r="S139">
        <v>6.3618180017477391E-3</v>
      </c>
      <c r="T139">
        <v>16.760000000000002</v>
      </c>
      <c r="V139" t="s">
        <v>225</v>
      </c>
    </row>
    <row r="140" spans="1:30" ht="15" thickBot="1" x14ac:dyDescent="0.4">
      <c r="A140" t="s">
        <v>21</v>
      </c>
      <c r="E140">
        <v>3.8284456944613736E-3</v>
      </c>
      <c r="F140">
        <f t="shared" si="8"/>
        <v>-1.9712424504259501E-2</v>
      </c>
      <c r="G140">
        <f t="shared" si="9"/>
        <v>-3.0163395103459334E-2</v>
      </c>
      <c r="J140" s="2" t="s">
        <v>152</v>
      </c>
      <c r="K140">
        <f>B2841</f>
        <v>6.7597877545147369E-3</v>
      </c>
      <c r="L140">
        <f>C2841</f>
        <v>3.2380726558257472E-5</v>
      </c>
      <c r="M140">
        <f t="shared" si="11"/>
        <v>1.1309754778672347E-2</v>
      </c>
      <c r="N140">
        <f>D2841</f>
        <v>-1.6984711401830905E-2</v>
      </c>
      <c r="O140">
        <f>AVERAGEIFS(E2841:E2862,E2841:E2862,"&lt;=" &amp; N140)</f>
        <v>-1.7939447041170599E-2</v>
      </c>
      <c r="P140">
        <v>192.49767374743104</v>
      </c>
      <c r="Q140">
        <v>21.54729</v>
      </c>
      <c r="R140">
        <f t="shared" si="10"/>
        <v>168.61250667375324</v>
      </c>
      <c r="S140">
        <v>1.1309754778672347E-2</v>
      </c>
      <c r="T140">
        <v>15.83</v>
      </c>
    </row>
    <row r="141" spans="1:30" x14ac:dyDescent="0.35">
      <c r="A141" t="s">
        <v>21</v>
      </c>
      <c r="E141">
        <v>2.5019994552497721E-2</v>
      </c>
      <c r="F141">
        <f t="shared" si="8"/>
        <v>-1.9716576100232228E-2</v>
      </c>
      <c r="G141">
        <f t="shared" si="9"/>
        <v>-3.0220504232416717E-2</v>
      </c>
      <c r="J141" s="2" t="s">
        <v>153</v>
      </c>
      <c r="K141">
        <f>B2863</f>
        <v>1.025692825900814E-2</v>
      </c>
      <c r="L141">
        <f>C2863</f>
        <v>3.9054534025674704E-5</v>
      </c>
      <c r="M141">
        <f t="shared" si="11"/>
        <v>6.7597877545147369E-3</v>
      </c>
      <c r="N141">
        <f>D2863</f>
        <v>-2.5187754593195329E-2</v>
      </c>
      <c r="O141">
        <f>AVERAGEIFS(E2863:E2884,E2863:E2884,"&lt;=" &amp; N141)</f>
        <v>-2.6546287492788645E-2</v>
      </c>
      <c r="P141">
        <v>346.43418222767167</v>
      </c>
      <c r="Q141">
        <v>24.831800000000001</v>
      </c>
      <c r="R141">
        <f t="shared" si="10"/>
        <v>192.49767374743104</v>
      </c>
      <c r="S141">
        <v>6.7597877545147369E-3</v>
      </c>
      <c r="T141">
        <v>18.239999999999998</v>
      </c>
      <c r="V141" s="8" t="s">
        <v>226</v>
      </c>
      <c r="W141" s="8"/>
    </row>
    <row r="142" spans="1:30" x14ac:dyDescent="0.35">
      <c r="A142" t="s">
        <v>21</v>
      </c>
      <c r="E142">
        <v>3.9306253072870908E-3</v>
      </c>
      <c r="F142">
        <f t="shared" si="8"/>
        <v>-1.9720727696204959E-2</v>
      </c>
      <c r="G142">
        <f t="shared" si="9"/>
        <v>-3.0220504232416717E-2</v>
      </c>
      <c r="J142" s="2" t="s">
        <v>154</v>
      </c>
      <c r="K142">
        <f>B2885</f>
        <v>4.4261058765643633E-3</v>
      </c>
      <c r="L142">
        <f>C2885</f>
        <v>8.8231246473367538E-4</v>
      </c>
      <c r="M142">
        <f t="shared" si="11"/>
        <v>1.025692825900814E-2</v>
      </c>
      <c r="N142">
        <f>D2885</f>
        <v>-1.1777896666868447E-2</v>
      </c>
      <c r="O142">
        <f>AVERAGEIFS(E2885:E2905,E2885:E2905,"&lt;=" &amp; N142)</f>
        <v>-1.2615910913406718E-2</v>
      </c>
      <c r="P142">
        <v>364.09978079171577</v>
      </c>
      <c r="Q142">
        <v>22.156310000000001</v>
      </c>
      <c r="R142">
        <f t="shared" si="10"/>
        <v>346.43418222767167</v>
      </c>
      <c r="S142">
        <v>1.025692825900814E-2</v>
      </c>
      <c r="T142">
        <v>16.48</v>
      </c>
      <c r="V142" t="s">
        <v>227</v>
      </c>
      <c r="W142">
        <v>0.56500477669130489</v>
      </c>
    </row>
    <row r="143" spans="1:30" x14ac:dyDescent="0.35">
      <c r="A143" t="s">
        <v>21</v>
      </c>
      <c r="E143">
        <v>4.5095157140614328E-3</v>
      </c>
      <c r="F143">
        <f t="shared" si="8"/>
        <v>-1.9724879292177686E-2</v>
      </c>
      <c r="G143">
        <f t="shared" si="9"/>
        <v>-3.0220504232416717E-2</v>
      </c>
      <c r="J143" s="2" t="s">
        <v>155</v>
      </c>
      <c r="K143">
        <f>B2906</f>
        <v>9.8392192224972756E-3</v>
      </c>
      <c r="L143">
        <f>C2906</f>
        <v>-1.6794601136807933E-3</v>
      </c>
      <c r="M143">
        <f t="shared" si="11"/>
        <v>4.4261058765643633E-3</v>
      </c>
      <c r="N143">
        <f>D2906</f>
        <v>-2.3047975664388536E-2</v>
      </c>
      <c r="O143">
        <f>AVERAGEIFS(E2906:E2927,E2906:E2927,"&lt;=" &amp; N143)</f>
        <v>-2.3389957321040773E-2</v>
      </c>
      <c r="P143">
        <v>361.96706459054076</v>
      </c>
      <c r="Q143">
        <v>26.89424</v>
      </c>
      <c r="R143">
        <f t="shared" si="10"/>
        <v>364.09978079171577</v>
      </c>
      <c r="S143">
        <v>4.4261058765643633E-3</v>
      </c>
      <c r="T143">
        <v>23.14</v>
      </c>
      <c r="V143" t="s">
        <v>228</v>
      </c>
      <c r="W143">
        <v>0.31923039768399125</v>
      </c>
    </row>
    <row r="144" spans="1:30" x14ac:dyDescent="0.35">
      <c r="A144" t="s">
        <v>21</v>
      </c>
      <c r="E144">
        <v>2.1126450422854787E-3</v>
      </c>
      <c r="F144">
        <f t="shared" si="8"/>
        <v>-1.9729030888150416E-2</v>
      </c>
      <c r="G144">
        <f t="shared" si="9"/>
        <v>-3.0220504232416717E-2</v>
      </c>
      <c r="J144" s="2" t="s">
        <v>156</v>
      </c>
      <c r="K144">
        <f>B2928</f>
        <v>7.9864962440557227E-3</v>
      </c>
      <c r="L144">
        <f>C2928</f>
        <v>1.3173775573715014E-3</v>
      </c>
      <c r="M144">
        <f t="shared" si="11"/>
        <v>9.8392192224972756E-3</v>
      </c>
      <c r="N144">
        <f>D2928</f>
        <v>-1.3990181217327773E-2</v>
      </c>
      <c r="O144">
        <f>AVERAGEIFS(E2928:E2948,E2928:E2948,"&lt;=" &amp; N144)</f>
        <v>-1.4662243549102725E-2</v>
      </c>
      <c r="P144">
        <v>304.225758845386</v>
      </c>
      <c r="Q144">
        <v>20.327559999999998</v>
      </c>
      <c r="R144">
        <f t="shared" si="10"/>
        <v>361.96706459054076</v>
      </c>
      <c r="S144">
        <v>9.8392192224972756E-3</v>
      </c>
      <c r="T144">
        <v>16.260000000000002</v>
      </c>
      <c r="V144" t="s">
        <v>228</v>
      </c>
      <c r="W144">
        <v>0.30775675270113717</v>
      </c>
      <c r="Y144" t="s">
        <v>386</v>
      </c>
    </row>
    <row r="145" spans="1:30" x14ac:dyDescent="0.35">
      <c r="A145" t="s">
        <v>21</v>
      </c>
      <c r="E145">
        <v>-4.5808940738404401E-3</v>
      </c>
      <c r="F145">
        <f t="shared" si="8"/>
        <v>-1.9733182484123146E-2</v>
      </c>
      <c r="G145">
        <f t="shared" si="9"/>
        <v>-3.0220504232416717E-2</v>
      </c>
      <c r="J145" s="2" t="s">
        <v>157</v>
      </c>
      <c r="K145">
        <f>B2949</f>
        <v>1.0381541323700852E-2</v>
      </c>
      <c r="L145">
        <f>C2949</f>
        <v>-1.738264397053852E-3</v>
      </c>
      <c r="M145">
        <f t="shared" si="11"/>
        <v>7.9864962440557227E-3</v>
      </c>
      <c r="N145">
        <f>D2949</f>
        <v>-3.7831671031564817E-2</v>
      </c>
      <c r="O145">
        <f>AVERAGEIFS(E2949:E2970,E2949:E2970,"&lt;=" &amp; N145)</f>
        <v>-4.2408252068594075E-2</v>
      </c>
      <c r="P145">
        <v>395.5716354974096</v>
      </c>
      <c r="Q145">
        <v>34.009799999999998</v>
      </c>
      <c r="R145">
        <f t="shared" si="10"/>
        <v>304.225758845386</v>
      </c>
      <c r="S145">
        <v>7.9864962440557227E-3</v>
      </c>
      <c r="T145">
        <v>27.19</v>
      </c>
      <c r="V145" t="s">
        <v>229</v>
      </c>
      <c r="W145">
        <v>9.3028265553041518E-3</v>
      </c>
    </row>
    <row r="146" spans="1:30" ht="15" thickBot="1" x14ac:dyDescent="0.4">
      <c r="A146" t="s">
        <v>21</v>
      </c>
      <c r="E146">
        <v>-7.1855585108441143E-3</v>
      </c>
      <c r="F146">
        <f t="shared" si="8"/>
        <v>-1.9737334080095873E-2</v>
      </c>
      <c r="G146">
        <f t="shared" si="9"/>
        <v>-3.0220504232416717E-2</v>
      </c>
      <c r="J146" s="2" t="s">
        <v>158</v>
      </c>
      <c r="K146">
        <f>B2971</f>
        <v>1.2406954217794338E-2</v>
      </c>
      <c r="L146">
        <f>C2971</f>
        <v>2.6664790148092365E-3</v>
      </c>
      <c r="M146">
        <f t="shared" si="11"/>
        <v>1.0381541323700852E-2</v>
      </c>
      <c r="N146">
        <f>D2971</f>
        <v>-1.8980556394743463E-2</v>
      </c>
      <c r="O146">
        <f>AVERAGEIFS(E2971:E2989,E2971:E2989,"&lt;=" &amp; N146)</f>
        <v>-1.8980556394743463E-2</v>
      </c>
      <c r="P146">
        <v>597.93619678666437</v>
      </c>
      <c r="Q146">
        <v>21.801400000000001</v>
      </c>
      <c r="R146">
        <f t="shared" si="10"/>
        <v>395.5716354974096</v>
      </c>
      <c r="S146">
        <v>1.0381541323700852E-2</v>
      </c>
      <c r="T146">
        <v>17.22</v>
      </c>
      <c r="V146" s="6" t="s">
        <v>230</v>
      </c>
      <c r="W146" s="6">
        <v>182</v>
      </c>
    </row>
    <row r="147" spans="1:30" x14ac:dyDescent="0.35">
      <c r="A147" t="s">
        <v>21</v>
      </c>
      <c r="E147">
        <v>2.1607688170487381E-3</v>
      </c>
      <c r="F147">
        <f t="shared" si="8"/>
        <v>-1.9741485676068603E-2</v>
      </c>
      <c r="G147">
        <f t="shared" si="9"/>
        <v>-3.0220504232416717E-2</v>
      </c>
      <c r="J147" s="2" t="s">
        <v>159</v>
      </c>
      <c r="K147">
        <f>B2990</f>
        <v>1.4056721483099204E-2</v>
      </c>
      <c r="L147">
        <f>C2990</f>
        <v>-1.3193111635383028E-3</v>
      </c>
      <c r="M147">
        <f t="shared" si="11"/>
        <v>1.2406954217794338E-2</v>
      </c>
      <c r="N147">
        <f>D2990</f>
        <v>-3.7770025512707167E-2</v>
      </c>
      <c r="O147">
        <f>AVERAGEIFS(E2990:E3009,E2990:E3009,"&lt;=" &amp; N147)</f>
        <v>-3.8727675322720791E-2</v>
      </c>
      <c r="P147">
        <v>478.20452641901988</v>
      </c>
      <c r="Q147">
        <v>30.300719999999998</v>
      </c>
      <c r="R147">
        <f t="shared" si="10"/>
        <v>597.93619678666437</v>
      </c>
      <c r="S147">
        <v>1.2406954217794338E-2</v>
      </c>
      <c r="T147">
        <v>24.83</v>
      </c>
    </row>
    <row r="148" spans="1:30" ht="15" thickBot="1" x14ac:dyDescent="0.4">
      <c r="A148" t="s">
        <v>22</v>
      </c>
      <c r="B148" s="3" cm="1">
        <f t="array" ref="B148">_xlfn.STDEV.S(_xlfn._xlws.FILTER($E$2:$E$1000, $A$2:$A$1000="2010-08"))</f>
        <v>1.0970547645769964E-2</v>
      </c>
      <c r="C148" s="3" cm="1">
        <f t="array" ref="C148">AVERAGE(_xlfn._xlws.FILTER($E$2:$E$1000, $A$2:$A$1000="2010-08"))</f>
        <v>-1.7573394712018229E-3</v>
      </c>
      <c r="D148" s="3" cm="1">
        <f t="array" ref="D148">_xlfn.PERCENTILE.EXC(_xlfn._xlws.FILTER($E$126:$E$252, $A$126:$A$252="2010-08"), 0.05)</f>
        <v>-2.0939491057061502E-2</v>
      </c>
      <c r="E148">
        <v>2.3177700110827343E-2</v>
      </c>
      <c r="F148">
        <f t="shared" si="8"/>
        <v>-1.974563727204133E-2</v>
      </c>
      <c r="G148">
        <f t="shared" si="9"/>
        <v>-3.0220504232416717E-2</v>
      </c>
      <c r="J148" s="4" t="s">
        <v>160</v>
      </c>
      <c r="K148" s="3">
        <f>B3010</f>
        <v>6.995219309286569E-3</v>
      </c>
      <c r="L148" s="3">
        <f>C3010</f>
        <v>4.5864930767369402E-3</v>
      </c>
      <c r="M148">
        <f t="shared" si="11"/>
        <v>1.4056721483099204E-2</v>
      </c>
      <c r="N148" s="3">
        <f>D3010</f>
        <v>-3.9421450101923543E-2</v>
      </c>
      <c r="O148" s="3">
        <f>AVERAGEIFS(E3010:E3029,E3010:E3029,"&lt;=" &amp; N148)</f>
        <v>-4.039531958049021E-2</v>
      </c>
      <c r="P148" s="3">
        <v>394.11909746111633</v>
      </c>
      <c r="Q148" s="3">
        <v>39.545810000000003</v>
      </c>
      <c r="R148">
        <f t="shared" si="10"/>
        <v>478.20452641901988</v>
      </c>
      <c r="S148">
        <v>1.4056721483099204E-2</v>
      </c>
      <c r="T148" s="3">
        <v>30.15</v>
      </c>
      <c r="V148" t="s">
        <v>231</v>
      </c>
    </row>
    <row r="149" spans="1:30" x14ac:dyDescent="0.35">
      <c r="A149" t="s">
        <v>22</v>
      </c>
      <c r="E149">
        <v>2.5047552626886564E-3</v>
      </c>
      <c r="F149">
        <f t="shared" si="8"/>
        <v>-1.9749788868014061E-2</v>
      </c>
      <c r="G149">
        <f t="shared" si="9"/>
        <v>-3.0220504232416717E-2</v>
      </c>
      <c r="J149" s="2" t="s">
        <v>161</v>
      </c>
      <c r="K149">
        <f>B3030</f>
        <v>2.5902344117786278E-2</v>
      </c>
      <c r="L149">
        <f>C3030</f>
        <v>-1.3933764206016947E-4</v>
      </c>
      <c r="M149">
        <f t="shared" si="11"/>
        <v>6.995219309286569E-3</v>
      </c>
      <c r="N149">
        <f>D3030</f>
        <v>-4.3910761313230268E-2</v>
      </c>
      <c r="O149">
        <f>AVERAGEIFS(E3030:E3052,E3030:E3052,"&lt;=" &amp; N149)</f>
        <v>-4.5083688261365135E-2</v>
      </c>
      <c r="P149">
        <v>785.0256071701574</v>
      </c>
      <c r="Q149">
        <v>32.1265</v>
      </c>
      <c r="R149">
        <f t="shared" si="10"/>
        <v>394.11909746111633</v>
      </c>
      <c r="S149">
        <v>6.995219309286569E-3</v>
      </c>
      <c r="T149">
        <v>20.56</v>
      </c>
      <c r="V149" s="7"/>
      <c r="W149" s="7" t="s">
        <v>236</v>
      </c>
      <c r="X149" s="7" t="s">
        <v>237</v>
      </c>
      <c r="Y149" s="7" t="s">
        <v>238</v>
      </c>
      <c r="Z149" s="7" t="s">
        <v>239</v>
      </c>
      <c r="AA149" s="7" t="s">
        <v>240</v>
      </c>
    </row>
    <row r="150" spans="1:30" x14ac:dyDescent="0.35">
      <c r="A150" t="s">
        <v>22</v>
      </c>
      <c r="E150">
        <v>3.7059232681593795E-3</v>
      </c>
      <c r="F150">
        <f t="shared" si="8"/>
        <v>-1.9753940463986791E-2</v>
      </c>
      <c r="G150">
        <f t="shared" si="9"/>
        <v>-3.0220504232416717E-2</v>
      </c>
      <c r="J150" s="2" t="s">
        <v>162</v>
      </c>
      <c r="K150">
        <f>B3053</f>
        <v>1.1421686650834125E-2</v>
      </c>
      <c r="L150">
        <f>C3053</f>
        <v>-1.1698713907752013E-3</v>
      </c>
      <c r="M150">
        <f t="shared" si="11"/>
        <v>2.5902344117786278E-2</v>
      </c>
      <c r="N150">
        <f>D3053</f>
        <v>-2.5159385328383806E-2</v>
      </c>
      <c r="O150">
        <f>AVERAGEIFS(E3053:E3071,E3053:E3071,"&lt;=" &amp; N150)</f>
        <v>-2.5159385328383806E-2</v>
      </c>
      <c r="P150">
        <v>707.87439915158541</v>
      </c>
      <c r="Q150">
        <v>32.462649999999996</v>
      </c>
      <c r="R150">
        <f t="shared" si="10"/>
        <v>785.0256071701574</v>
      </c>
      <c r="S150">
        <v>2.5902344117786278E-2</v>
      </c>
      <c r="T150">
        <v>33.4</v>
      </c>
      <c r="V150" t="s">
        <v>232</v>
      </c>
      <c r="W150">
        <v>3</v>
      </c>
      <c r="X150">
        <v>7.2236040639894299E-3</v>
      </c>
      <c r="Y150">
        <v>2.40786802132981E-3</v>
      </c>
      <c r="Z150">
        <v>27.822927950188539</v>
      </c>
      <c r="AA150">
        <v>8.3771536600018012E-15</v>
      </c>
    </row>
    <row r="151" spans="1:30" x14ac:dyDescent="0.35">
      <c r="A151" t="s">
        <v>22</v>
      </c>
      <c r="E151">
        <v>3.5531243785729219E-4</v>
      </c>
      <c r="F151">
        <f t="shared" si="8"/>
        <v>-1.9758092059959518E-2</v>
      </c>
      <c r="G151">
        <f t="shared" si="9"/>
        <v>-3.0220504232416717E-2</v>
      </c>
      <c r="J151" s="2" t="s">
        <v>163</v>
      </c>
      <c r="K151">
        <f>B3072</f>
        <v>1.3628768492200528E-2</v>
      </c>
      <c r="L151">
        <f>C3072</f>
        <v>9.7116285213246704E-4</v>
      </c>
      <c r="M151">
        <f t="shared" si="11"/>
        <v>1.1421686650834125E-2</v>
      </c>
      <c r="N151">
        <f>D3072</f>
        <v>-2.1355606586289318E-2</v>
      </c>
      <c r="O151">
        <f>AVERAGEIFS(E3072:E3092,E3072:E3092,"&lt;=" &amp; N151)</f>
        <v>-2.1706299214134667E-2</v>
      </c>
      <c r="P151">
        <v>616.04726819525263</v>
      </c>
      <c r="Q151">
        <v>27.09723</v>
      </c>
      <c r="R151">
        <f t="shared" si="10"/>
        <v>707.87439915158541</v>
      </c>
      <c r="S151">
        <v>1.1421686650834125E-2</v>
      </c>
      <c r="T151">
        <v>26.19</v>
      </c>
      <c r="V151" t="s">
        <v>233</v>
      </c>
      <c r="W151">
        <v>178</v>
      </c>
      <c r="X151">
        <v>1.5404579581416836E-2</v>
      </c>
      <c r="Y151">
        <v>8.6542581918072118E-5</v>
      </c>
    </row>
    <row r="152" spans="1:30" ht="15" thickBot="1" x14ac:dyDescent="0.4">
      <c r="A152" t="s">
        <v>22</v>
      </c>
      <c r="E152">
        <v>-1.1744559174420277E-2</v>
      </c>
      <c r="F152">
        <f t="shared" si="8"/>
        <v>-1.9762243655932248E-2</v>
      </c>
      <c r="G152">
        <f t="shared" si="9"/>
        <v>-3.0220504232416717E-2</v>
      </c>
      <c r="J152" s="2" t="s">
        <v>164</v>
      </c>
      <c r="K152">
        <f>B3093</f>
        <v>1.5642514783746571E-2</v>
      </c>
      <c r="L152">
        <f>C3093</f>
        <v>-5.912122687078099E-3</v>
      </c>
      <c r="M152">
        <f t="shared" si="11"/>
        <v>1.3628768492200528E-2</v>
      </c>
      <c r="N152">
        <f>D3093</f>
        <v>-3.3571955822178035E-2</v>
      </c>
      <c r="O152">
        <f>AVERAGEIFS(E3093:E3112,E3093:E3112,"&lt;=" &amp; N152)</f>
        <v>-3.3693709489359049E-2</v>
      </c>
      <c r="P152">
        <v>589.16422952410471</v>
      </c>
      <c r="Q152">
        <v>31.218789999999998</v>
      </c>
      <c r="R152">
        <f t="shared" si="10"/>
        <v>616.04726819525263</v>
      </c>
      <c r="S152">
        <v>1.3628768492200528E-2</v>
      </c>
      <c r="T152">
        <v>28.71</v>
      </c>
      <c r="V152" s="6" t="s">
        <v>234</v>
      </c>
      <c r="W152" s="6">
        <v>181</v>
      </c>
      <c r="X152" s="6">
        <v>2.2628183645406266E-2</v>
      </c>
      <c r="Y152" s="6"/>
      <c r="Z152" s="6"/>
      <c r="AA152" s="6"/>
    </row>
    <row r="153" spans="1:30" ht="15" thickBot="1" x14ac:dyDescent="0.4">
      <c r="A153" t="s">
        <v>22</v>
      </c>
      <c r="E153">
        <v>1.4585671735902753E-2</v>
      </c>
      <c r="F153">
        <f t="shared" si="8"/>
        <v>-1.9766395251904975E-2</v>
      </c>
      <c r="G153">
        <f t="shared" si="9"/>
        <v>-3.0220504232416717E-2</v>
      </c>
      <c r="J153" s="2" t="s">
        <v>165</v>
      </c>
      <c r="K153">
        <f>B3113</f>
        <v>1.4486445907935281E-2</v>
      </c>
      <c r="L153">
        <f>C3113</f>
        <v>2.5395765638286071E-3</v>
      </c>
      <c r="M153">
        <f t="shared" si="11"/>
        <v>1.5642514783746571E-2</v>
      </c>
      <c r="N153">
        <f>D3113</f>
        <v>-2.8485730806639919E-2</v>
      </c>
      <c r="O153">
        <f>AVERAGEIFS(E3113:E3133,E3113:E3133,"&lt;=" &amp; N153)</f>
        <v>-2.9570075750333238E-2</v>
      </c>
      <c r="P153">
        <v>765.02221139273081</v>
      </c>
      <c r="Q153">
        <v>22.744309999999999</v>
      </c>
      <c r="R153">
        <f t="shared" si="10"/>
        <v>589.16422952410471</v>
      </c>
      <c r="S153">
        <v>1.5642514783746571E-2</v>
      </c>
      <c r="T153">
        <v>21.33</v>
      </c>
    </row>
    <row r="154" spans="1:30" x14ac:dyDescent="0.35">
      <c r="A154" t="s">
        <v>22</v>
      </c>
      <c r="E154">
        <v>-1.0342041165767717E-2</v>
      </c>
      <c r="F154">
        <f t="shared" si="8"/>
        <v>-1.9770546847877705E-2</v>
      </c>
      <c r="G154">
        <f t="shared" si="9"/>
        <v>-3.0220504232416717E-2</v>
      </c>
      <c r="J154" s="2" t="s">
        <v>166</v>
      </c>
      <c r="K154">
        <f>B3134</f>
        <v>1.0741693455088566E-2</v>
      </c>
      <c r="L154">
        <f>C3134</f>
        <v>-2.3492765535027792E-3</v>
      </c>
      <c r="M154">
        <f t="shared" si="11"/>
        <v>1.4486445907935281E-2</v>
      </c>
      <c r="N154">
        <f>D3134</f>
        <v>-2.3396899605450137E-2</v>
      </c>
      <c r="O154">
        <f>AVERAGEIFS(E3134:E3154,E3134:E3154,"&lt;=" &amp; N154)</f>
        <v>-2.3451976379345135E-2</v>
      </c>
      <c r="P154">
        <v>742.73870554042276</v>
      </c>
      <c r="Q154">
        <v>28.096</v>
      </c>
      <c r="R154">
        <f t="shared" si="10"/>
        <v>765.02221139273081</v>
      </c>
      <c r="S154">
        <v>1.4486445907935281E-2</v>
      </c>
      <c r="T154">
        <v>25.87</v>
      </c>
      <c r="V154" s="7"/>
      <c r="W154" s="7" t="s">
        <v>241</v>
      </c>
      <c r="X154" s="7" t="s">
        <v>229</v>
      </c>
      <c r="Y154" s="7" t="s">
        <v>242</v>
      </c>
      <c r="Z154" s="7" t="s">
        <v>243</v>
      </c>
      <c r="AA154" s="7" t="s">
        <v>244</v>
      </c>
      <c r="AB154" s="7" t="s">
        <v>245</v>
      </c>
      <c r="AC154" s="7" t="s">
        <v>246</v>
      </c>
      <c r="AD154" s="7" t="s">
        <v>247</v>
      </c>
    </row>
    <row r="155" spans="1:30" x14ac:dyDescent="0.35">
      <c r="A155" t="s">
        <v>22</v>
      </c>
      <c r="E155">
        <v>-2.1251056953246861E-2</v>
      </c>
      <c r="F155">
        <f t="shared" si="8"/>
        <v>-1.9774698443850436E-2</v>
      </c>
      <c r="G155">
        <f t="shared" si="9"/>
        <v>-3.0220504232416717E-2</v>
      </c>
      <c r="J155" s="2" t="s">
        <v>167</v>
      </c>
      <c r="K155">
        <f>B3155</f>
        <v>1.5148759877815422E-2</v>
      </c>
      <c r="L155">
        <f>C3155</f>
        <v>-2.7514843828882517E-3</v>
      </c>
      <c r="M155">
        <f t="shared" si="11"/>
        <v>1.0741693455088566E-2</v>
      </c>
      <c r="N155">
        <f>D3155</f>
        <v>-2.2183454621660291E-2</v>
      </c>
      <c r="O155">
        <f>AVERAGEIFS(E3155:E3175,E3155:E3175,"&lt;=" &amp; N155)</f>
        <v>-2.243241863482949E-2</v>
      </c>
      <c r="P155">
        <v>844.85472144517553</v>
      </c>
      <c r="Q155">
        <v>30.064309999999999</v>
      </c>
      <c r="R155">
        <f t="shared" si="10"/>
        <v>742.73870554042276</v>
      </c>
      <c r="S155">
        <v>1.0741693455088566E-2</v>
      </c>
      <c r="T155">
        <v>31.62</v>
      </c>
      <c r="V155" t="s">
        <v>235</v>
      </c>
      <c r="W155">
        <v>-4.5282409718984621E-3</v>
      </c>
      <c r="X155">
        <v>2.2864819382124508E-3</v>
      </c>
      <c r="Y155">
        <v>-1.9804402983557337</v>
      </c>
      <c r="Z155">
        <v>4.9194774064686433E-2</v>
      </c>
      <c r="AA155">
        <v>-9.0403407307789764E-3</v>
      </c>
      <c r="AB155">
        <v>-1.6141213017948665E-5</v>
      </c>
      <c r="AC155">
        <v>-9.0403407307789764E-3</v>
      </c>
      <c r="AD155">
        <v>-1.6141213017948665E-5</v>
      </c>
    </row>
    <row r="156" spans="1:30" x14ac:dyDescent="0.35">
      <c r="A156" t="s">
        <v>22</v>
      </c>
      <c r="E156">
        <v>-3.075863910376207E-3</v>
      </c>
      <c r="F156">
        <f t="shared" si="8"/>
        <v>-1.9709590964904336E-2</v>
      </c>
      <c r="G156">
        <f t="shared" si="9"/>
        <v>-3.0212096404826621E-2</v>
      </c>
      <c r="J156" s="2" t="s">
        <v>168</v>
      </c>
      <c r="K156">
        <f>B3176</f>
        <v>1.1425433323212915E-2</v>
      </c>
      <c r="L156">
        <f>C3176</f>
        <v>4.2803929026156663E-3</v>
      </c>
      <c r="M156">
        <f t="shared" si="11"/>
        <v>1.5148759877815422E-2</v>
      </c>
      <c r="N156">
        <f>D3176</f>
        <v>-1.5605199986368683E-2</v>
      </c>
      <c r="O156">
        <f>AVERAGEIFS(E3176:E3196,E3176:E3196,"&lt;=" &amp; N156)</f>
        <v>-1.5986580240685472E-2</v>
      </c>
      <c r="P156">
        <v>753.2297470852086</v>
      </c>
      <c r="Q156">
        <v>24.54992</v>
      </c>
      <c r="R156">
        <f t="shared" si="10"/>
        <v>844.85472144517553</v>
      </c>
      <c r="S156">
        <v>1.5148759877815422E-2</v>
      </c>
      <c r="T156">
        <v>25.88</v>
      </c>
      <c r="V156" t="s">
        <v>248</v>
      </c>
      <c r="W156">
        <v>7.8313206755816156E-6</v>
      </c>
      <c r="X156">
        <v>3.1605600077464941E-6</v>
      </c>
      <c r="Y156">
        <v>2.4778269219338167</v>
      </c>
      <c r="Z156">
        <v>1.4150808833177842E-2</v>
      </c>
      <c r="AA156">
        <v>1.5943319591829741E-6</v>
      </c>
      <c r="AB156">
        <v>1.4068309391980258E-5</v>
      </c>
      <c r="AC156">
        <v>1.5943319591829741E-6</v>
      </c>
      <c r="AD156">
        <v>1.4068309391980258E-5</v>
      </c>
    </row>
    <row r="157" spans="1:30" x14ac:dyDescent="0.35">
      <c r="A157" t="s">
        <v>22</v>
      </c>
      <c r="E157">
        <v>-4.0439135985670949E-3</v>
      </c>
      <c r="F157">
        <f t="shared" si="8"/>
        <v>-1.9710299349743127E-2</v>
      </c>
      <c r="G157">
        <f t="shared" si="9"/>
        <v>-3.0212096404826621E-2</v>
      </c>
      <c r="J157" s="2" t="s">
        <v>169</v>
      </c>
      <c r="K157">
        <f>B3197</f>
        <v>1.0625285469296425E-2</v>
      </c>
      <c r="L157">
        <f>C3197</f>
        <v>3.7610387792189632E-3</v>
      </c>
      <c r="M157">
        <f t="shared" si="11"/>
        <v>1.1425433323212915E-2</v>
      </c>
      <c r="N157">
        <f>D3197</f>
        <v>-1.080230917841165E-2</v>
      </c>
      <c r="O157">
        <f>AVERAGEIFS(E3197:E3218,E3197:E3218,"&lt;=" &amp; N157)</f>
        <v>-1.0926395335828669E-2</v>
      </c>
      <c r="P157">
        <v>767.6569781640336</v>
      </c>
      <c r="Q157">
        <v>21.878530000000001</v>
      </c>
      <c r="R157">
        <f t="shared" si="10"/>
        <v>753.2297470852086</v>
      </c>
      <c r="S157">
        <v>1.1425433323212915E-2</v>
      </c>
      <c r="T157">
        <v>20.58</v>
      </c>
      <c r="V157" t="s">
        <v>251</v>
      </c>
      <c r="W157">
        <v>-0.37674601788920181</v>
      </c>
      <c r="X157">
        <v>0.16519227393526278</v>
      </c>
      <c r="Y157">
        <v>-2.2806515638669933</v>
      </c>
      <c r="Z157">
        <v>2.3754357637957906E-2</v>
      </c>
      <c r="AA157">
        <v>-0.70273329420897079</v>
      </c>
      <c r="AB157">
        <v>-5.0758741569432886E-2</v>
      </c>
      <c r="AC157">
        <v>-0.70273329420897079</v>
      </c>
      <c r="AD157">
        <v>-5.0758741569432886E-2</v>
      </c>
    </row>
    <row r="158" spans="1:30" ht="15" thickBot="1" x14ac:dyDescent="0.4">
      <c r="A158" t="s">
        <v>22</v>
      </c>
      <c r="E158">
        <v>2.6184479478630613E-5</v>
      </c>
      <c r="F158">
        <f t="shared" si="8"/>
        <v>-1.9711007734581919E-2</v>
      </c>
      <c r="G158">
        <f t="shared" si="9"/>
        <v>-3.0212096404826621E-2</v>
      </c>
      <c r="J158" s="2" t="s">
        <v>170</v>
      </c>
      <c r="K158">
        <f>B3219</f>
        <v>1.072210456297415E-2</v>
      </c>
      <c r="L158">
        <f>C3219</f>
        <v>-1.6719052971458626E-3</v>
      </c>
      <c r="M158">
        <f t="shared" si="11"/>
        <v>1.0625285469296425E-2</v>
      </c>
      <c r="N158">
        <f>D3219</f>
        <v>-3.2316415899613343E-2</v>
      </c>
      <c r="O158">
        <f>AVERAGEIFS(E3219:E3238,E3219:E3238,"&lt;=" &amp; N158)</f>
        <v>-3.3326773730709969E-2</v>
      </c>
      <c r="P158">
        <v>584.18545270930906</v>
      </c>
      <c r="Q158">
        <v>22.371210000000001</v>
      </c>
      <c r="R158">
        <f t="shared" si="10"/>
        <v>767.6569781640336</v>
      </c>
      <c r="S158">
        <v>1.0625285469296425E-2</v>
      </c>
      <c r="T158">
        <v>21.67</v>
      </c>
      <c r="V158" s="6" t="s">
        <v>252</v>
      </c>
      <c r="W158" s="6">
        <v>-7.7584233561240961E-4</v>
      </c>
      <c r="X158" s="6">
        <v>1.19218203854273E-4</v>
      </c>
      <c r="Y158" s="6">
        <v>-6.5077505827949276</v>
      </c>
      <c r="Z158" s="6">
        <v>7.4956275822146597E-10</v>
      </c>
      <c r="AA158" s="6">
        <v>-1.0111052606655492E-3</v>
      </c>
      <c r="AB158" s="6">
        <v>-5.4057941055926997E-4</v>
      </c>
      <c r="AC158" s="6">
        <v>-1.0111052606655492E-3</v>
      </c>
      <c r="AD158" s="6">
        <v>-5.4057941055926997E-4</v>
      </c>
    </row>
    <row r="159" spans="1:30" x14ac:dyDescent="0.35">
      <c r="A159" t="s">
        <v>22</v>
      </c>
      <c r="E159">
        <v>1.5560959182239714E-2</v>
      </c>
      <c r="F159">
        <f t="shared" si="8"/>
        <v>-1.971171611942071E-2</v>
      </c>
      <c r="G159">
        <f t="shared" si="9"/>
        <v>-3.0212096404826621E-2</v>
      </c>
      <c r="J159" s="2" t="s">
        <v>171</v>
      </c>
      <c r="K159">
        <f>B3239</f>
        <v>8.3666236677085015E-3</v>
      </c>
      <c r="L159">
        <f>C3239</f>
        <v>3.951459759165458E-3</v>
      </c>
      <c r="M159">
        <f t="shared" si="11"/>
        <v>1.072210456297415E-2</v>
      </c>
      <c r="N159">
        <f>D3239</f>
        <v>-1.6010159404726058E-2</v>
      </c>
      <c r="O159">
        <f>AVERAGEIFS(E3239:E3259,E3239:E3259,"&lt;=" &amp; N159)</f>
        <v>-1.7370618842027168E-2</v>
      </c>
      <c r="P159">
        <v>520.12565100703318</v>
      </c>
      <c r="Q159">
        <v>20.17446</v>
      </c>
      <c r="R159">
        <f t="shared" si="10"/>
        <v>584.18545270930906</v>
      </c>
      <c r="S159">
        <v>1.072210456297415E-2</v>
      </c>
      <c r="T159">
        <v>19.399999999999999</v>
      </c>
    </row>
    <row r="160" spans="1:30" x14ac:dyDescent="0.35">
      <c r="A160" t="s">
        <v>22</v>
      </c>
      <c r="E160">
        <v>-3.2422315375645354E-3</v>
      </c>
      <c r="F160">
        <f t="shared" si="8"/>
        <v>-1.9712424504259501E-2</v>
      </c>
      <c r="G160">
        <f t="shared" si="9"/>
        <v>-3.0212096404826621E-2</v>
      </c>
      <c r="J160" s="2" t="s">
        <v>172</v>
      </c>
      <c r="K160">
        <f>B3260</f>
        <v>8.625348550174489E-3</v>
      </c>
      <c r="L160">
        <f>C3260</f>
        <v>7.7680641308658111E-4</v>
      </c>
      <c r="M160">
        <f t="shared" si="11"/>
        <v>8.3666236677085015E-3</v>
      </c>
      <c r="N160">
        <f>D3260</f>
        <v>-1.7166453350566727E-2</v>
      </c>
      <c r="O160">
        <f>AVERAGEIFS(E3260:E3279,E3260:E3279,"&lt;=" &amp; N160)</f>
        <v>-1.7334393513873704E-2</v>
      </c>
      <c r="P160">
        <v>472.10923521756962</v>
      </c>
      <c r="Q160">
        <v>20.68244</v>
      </c>
      <c r="R160">
        <f t="shared" si="10"/>
        <v>520.12565100703318</v>
      </c>
      <c r="S160">
        <v>8.3666236677085015E-3</v>
      </c>
      <c r="T160">
        <v>20.7</v>
      </c>
    </row>
    <row r="161" spans="1:30" x14ac:dyDescent="0.35">
      <c r="A161" t="s">
        <v>22</v>
      </c>
      <c r="E161">
        <v>-1.8135397991393281E-2</v>
      </c>
      <c r="F161">
        <f t="shared" si="8"/>
        <v>-1.9716576100232228E-2</v>
      </c>
      <c r="G161">
        <f t="shared" si="9"/>
        <v>-3.026978690977479E-2</v>
      </c>
      <c r="J161" s="2" t="s">
        <v>173</v>
      </c>
      <c r="K161">
        <f>B3280</f>
        <v>1.4336945624310279E-2</v>
      </c>
      <c r="L161">
        <f>C3280</f>
        <v>7.3985296826842783E-4</v>
      </c>
      <c r="M161">
        <f t="shared" si="11"/>
        <v>8.625348550174489E-3</v>
      </c>
      <c r="N161">
        <f>D3280</f>
        <v>-3.2735275154400993E-2</v>
      </c>
      <c r="O161">
        <f>AVERAGEIFS(E3280:E3302,E3280:E3302,"&lt;=" &amp; N161)</f>
        <v>-3.3209706013910677E-2</v>
      </c>
      <c r="P161">
        <v>572.47354142364952</v>
      </c>
      <c r="Q161">
        <v>21.1126</v>
      </c>
      <c r="R161">
        <f t="shared" si="10"/>
        <v>472.10923521756962</v>
      </c>
      <c r="S161">
        <v>8.625348550174489E-3</v>
      </c>
      <c r="T161">
        <v>18.7</v>
      </c>
      <c r="V161" t="s">
        <v>225</v>
      </c>
    </row>
    <row r="162" spans="1:30" ht="15" thickBot="1" x14ac:dyDescent="0.4">
      <c r="A162" t="s">
        <v>22</v>
      </c>
      <c r="E162">
        <v>-1.1584288534670757E-2</v>
      </c>
      <c r="F162">
        <f t="shared" si="8"/>
        <v>-1.9720727696204959E-2</v>
      </c>
      <c r="G162">
        <f t="shared" si="9"/>
        <v>-3.026978690977479E-2</v>
      </c>
      <c r="J162" s="2" t="s">
        <v>174</v>
      </c>
      <c r="K162">
        <f>B3303</f>
        <v>4.0947460516098334E-3</v>
      </c>
      <c r="L162">
        <f>C3303</f>
        <v>1.0337634056452731E-3</v>
      </c>
      <c r="M162">
        <f t="shared" si="11"/>
        <v>1.4336945624310279E-2</v>
      </c>
      <c r="N162">
        <f>D3303</f>
        <v>-5.4892784446110999E-3</v>
      </c>
      <c r="O162">
        <f>AVERAGEIFS(E3303:E3320,E3303:E3320,"&lt;=" &amp; N162)</f>
        <v>-6.2623326491340467E-3</v>
      </c>
      <c r="P162">
        <v>403.13359371990612</v>
      </c>
      <c r="Q162">
        <v>19.22747</v>
      </c>
      <c r="R162">
        <f t="shared" si="10"/>
        <v>572.47354142364952</v>
      </c>
      <c r="S162">
        <v>1.4336945624310279E-2</v>
      </c>
      <c r="T162">
        <v>15.78</v>
      </c>
    </row>
    <row r="163" spans="1:30" x14ac:dyDescent="0.35">
      <c r="A163" t="s">
        <v>22</v>
      </c>
      <c r="E163">
        <v>9.5705175467374753E-4</v>
      </c>
      <c r="F163">
        <f t="shared" si="8"/>
        <v>-1.9724879292177686E-2</v>
      </c>
      <c r="G163">
        <f t="shared" si="9"/>
        <v>-3.026978690977479E-2</v>
      </c>
      <c r="J163" s="2" t="s">
        <v>175</v>
      </c>
      <c r="K163">
        <f>B3321</f>
        <v>8.9203851792917666E-3</v>
      </c>
      <c r="L163">
        <f>C3321</f>
        <v>-8.179652064812231E-4</v>
      </c>
      <c r="M163">
        <f t="shared" si="11"/>
        <v>4.0947460516098334E-3</v>
      </c>
      <c r="N163">
        <f>D3321</f>
        <v>-1.9228711245448019E-2</v>
      </c>
      <c r="O163">
        <f>AVERAGEIFS(E3321:E3340,E3321:E3340,"&lt;=" &amp; N163)</f>
        <v>-1.9424276730392501E-2</v>
      </c>
      <c r="P163">
        <v>439.08304147043538</v>
      </c>
      <c r="Q163">
        <v>21.256530000000001</v>
      </c>
      <c r="R163">
        <f t="shared" si="10"/>
        <v>403.13359371990612</v>
      </c>
      <c r="S163">
        <v>4.0947460516098334E-3</v>
      </c>
      <c r="T163">
        <v>17.940000000000001</v>
      </c>
      <c r="V163" s="8" t="s">
        <v>226</v>
      </c>
      <c r="W163" s="8"/>
    </row>
    <row r="164" spans="1:30" x14ac:dyDescent="0.35">
      <c r="A164" t="s">
        <v>22</v>
      </c>
      <c r="E164">
        <v>-1.2634989602435167E-2</v>
      </c>
      <c r="F164">
        <f t="shared" si="8"/>
        <v>-1.9729030888150416E-2</v>
      </c>
      <c r="G164">
        <f t="shared" si="9"/>
        <v>-3.026978690977479E-2</v>
      </c>
      <c r="J164" s="2" t="s">
        <v>176</v>
      </c>
      <c r="K164">
        <f>B3341</f>
        <v>6.7606936057643847E-3</v>
      </c>
      <c r="L164">
        <f>C3341</f>
        <v>1.3828930751700445E-3</v>
      </c>
      <c r="M164">
        <f t="shared" si="11"/>
        <v>8.9203851792917666E-3</v>
      </c>
      <c r="N164">
        <f>D3341</f>
        <v>-9.8949312248266322E-3</v>
      </c>
      <c r="O164">
        <f>AVERAGEIFS(E3341:E3362,E3341:E3362,"&lt;=" &amp; N164)</f>
        <v>-9.9453646905299595E-3</v>
      </c>
      <c r="P164">
        <v>481.65745527055276</v>
      </c>
      <c r="Q164">
        <v>14.863659999999999</v>
      </c>
      <c r="R164">
        <f t="shared" si="10"/>
        <v>439.08304147043538</v>
      </c>
      <c r="S164">
        <v>8.9203851792917666E-3</v>
      </c>
      <c r="T164">
        <v>13.59</v>
      </c>
      <c r="V164" t="s">
        <v>227</v>
      </c>
      <c r="W164">
        <v>4.1074123099710466E-2</v>
      </c>
    </row>
    <row r="165" spans="1:30" x14ac:dyDescent="0.35">
      <c r="A165" t="s">
        <v>22</v>
      </c>
      <c r="E165">
        <v>-6.0735602343388196E-3</v>
      </c>
      <c r="F165">
        <f t="shared" si="8"/>
        <v>-1.9733182484123146E-2</v>
      </c>
      <c r="G165">
        <f t="shared" si="9"/>
        <v>-3.026978690977479E-2</v>
      </c>
      <c r="J165" s="2" t="s">
        <v>177</v>
      </c>
      <c r="K165">
        <f>B3363</f>
        <v>8.6040625109160117E-3</v>
      </c>
      <c r="L165">
        <f>C3363</f>
        <v>8.7346396285840075E-4</v>
      </c>
      <c r="M165">
        <f t="shared" si="11"/>
        <v>6.7606936057643847E-3</v>
      </c>
      <c r="N165">
        <f>D3363</f>
        <v>-2.4035600521789283E-2</v>
      </c>
      <c r="O165">
        <f>AVERAGEIFS(E3363:E3383,E3363:E3383,"&lt;=" &amp; N165)</f>
        <v>-2.6000221363130682E-2</v>
      </c>
      <c r="P165">
        <v>520.26204561187376</v>
      </c>
      <c r="Q165">
        <v>17.860399999999998</v>
      </c>
      <c r="R165">
        <f t="shared" si="10"/>
        <v>481.65745527055276</v>
      </c>
      <c r="S165">
        <v>6.7606936057643847E-3</v>
      </c>
      <c r="T165">
        <v>13.63</v>
      </c>
      <c r="V165" t="s">
        <v>228</v>
      </c>
      <c r="W165">
        <v>1.6870835884101691E-3</v>
      </c>
      <c r="Y165" t="s">
        <v>387</v>
      </c>
    </row>
    <row r="166" spans="1:30" x14ac:dyDescent="0.35">
      <c r="A166" t="s">
        <v>22</v>
      </c>
      <c r="E166">
        <v>2.2146828240671959E-3</v>
      </c>
      <c r="F166">
        <f t="shared" si="8"/>
        <v>-1.9737334080095873E-2</v>
      </c>
      <c r="G166">
        <f t="shared" si="9"/>
        <v>-3.026978690977479E-2</v>
      </c>
      <c r="J166" s="2" t="s">
        <v>178</v>
      </c>
      <c r="K166">
        <f>B3384</f>
        <v>8.2234933371511856E-3</v>
      </c>
      <c r="L166">
        <f>C3384</f>
        <v>-1.4693815763516175E-3</v>
      </c>
      <c r="M166">
        <f t="shared" si="11"/>
        <v>8.6040625109160117E-3</v>
      </c>
      <c r="N166">
        <f>D3384</f>
        <v>-1.3559576254083555E-2</v>
      </c>
      <c r="O166">
        <f>AVERAGEIFS(E3384:E3404,E3384:E3404,"&lt;=" &amp; N166)</f>
        <v>-1.3662774893192354E-2</v>
      </c>
      <c r="P166">
        <v>661.26091428933535</v>
      </c>
      <c r="Q166">
        <v>17.411549999999998</v>
      </c>
      <c r="R166">
        <f t="shared" si="10"/>
        <v>520.26204561187376</v>
      </c>
      <c r="S166">
        <v>8.6040625109160117E-3</v>
      </c>
      <c r="T166">
        <v>13.57</v>
      </c>
      <c r="V166" t="s">
        <v>228</v>
      </c>
      <c r="W166">
        <v>-3.8284573862394982E-3</v>
      </c>
    </row>
    <row r="167" spans="1:30" x14ac:dyDescent="0.35">
      <c r="A167" t="s">
        <v>22</v>
      </c>
      <c r="E167">
        <v>6.505554500250396E-3</v>
      </c>
      <c r="F167">
        <f t="shared" si="8"/>
        <v>-1.9741485676068603E-2</v>
      </c>
      <c r="G167">
        <f t="shared" si="9"/>
        <v>-3.026978690977479E-2</v>
      </c>
      <c r="J167" s="2" t="s">
        <v>179</v>
      </c>
      <c r="K167">
        <f>B3405</f>
        <v>6.3672547794827554E-3</v>
      </c>
      <c r="L167">
        <f>C3405</f>
        <v>-1.7038114017737219E-3</v>
      </c>
      <c r="M167">
        <f t="shared" si="11"/>
        <v>8.2234933371511856E-3</v>
      </c>
      <c r="N167">
        <f>D3405</f>
        <v>-1.3093318177767781E-2</v>
      </c>
      <c r="O167">
        <f>AVERAGEIFS(E3405:E3425,E3405:E3425,"&lt;=" &amp; N167)</f>
        <v>-1.337863158597514E-2</v>
      </c>
      <c r="P167">
        <v>737.68193168010589</v>
      </c>
      <c r="Q167">
        <v>18.48019</v>
      </c>
      <c r="R167">
        <f t="shared" si="10"/>
        <v>661.26091428933535</v>
      </c>
      <c r="S167">
        <v>8.2234933371511856E-3</v>
      </c>
      <c r="T167">
        <v>17.52</v>
      </c>
      <c r="V167" t="s">
        <v>229</v>
      </c>
      <c r="W167">
        <v>1.2089558600225767E-2</v>
      </c>
    </row>
    <row r="168" spans="1:30" ht="15" thickBot="1" x14ac:dyDescent="0.4">
      <c r="A168" t="s">
        <v>22</v>
      </c>
      <c r="E168">
        <v>-4.3700217486026807E-3</v>
      </c>
      <c r="F168">
        <f t="shared" si="8"/>
        <v>-1.974563727204133E-2</v>
      </c>
      <c r="G168">
        <f t="shared" si="9"/>
        <v>-3.026978690977479E-2</v>
      </c>
      <c r="J168" s="2" t="s">
        <v>180</v>
      </c>
      <c r="K168">
        <f>B3426</f>
        <v>8.5146109158579855E-3</v>
      </c>
      <c r="L168">
        <f>C3426</f>
        <v>-1.7350052480083894E-3</v>
      </c>
      <c r="M168">
        <f t="shared" si="11"/>
        <v>6.3672547794827554E-3</v>
      </c>
      <c r="N168">
        <f>D3426</f>
        <v>-1.6392735893303884E-2</v>
      </c>
      <c r="O168">
        <f>AVERAGEIFS(E3426:E3447,E3426:E3447,"&lt;=" &amp; N168)</f>
        <v>-1.6537200388298826E-2</v>
      </c>
      <c r="P168">
        <v>669.56516999074984</v>
      </c>
      <c r="Q168">
        <v>20.840789999999998</v>
      </c>
      <c r="R168">
        <f t="shared" si="10"/>
        <v>737.68193168010589</v>
      </c>
      <c r="S168">
        <v>6.3672547794827554E-3</v>
      </c>
      <c r="T168">
        <v>18.14</v>
      </c>
      <c r="V168" s="6" t="s">
        <v>230</v>
      </c>
      <c r="W168" s="6">
        <v>183</v>
      </c>
    </row>
    <row r="169" spans="1:30" x14ac:dyDescent="0.35">
      <c r="A169" t="s">
        <v>23</v>
      </c>
      <c r="B169" s="3" cm="1">
        <f t="array" ref="B169">_xlfn.STDEV.S(_xlfn._xlws.FILTER($E$2:$E$1000, $A$2:$A$1000="2010-09"))</f>
        <v>8.8685203571610208E-3</v>
      </c>
      <c r="C169" s="3" cm="1">
        <f t="array" ref="C169">AVERAGE(_xlfn._xlws.FILTER($E$2:$E$1000, $A$2:$A$1000="2010-09"))</f>
        <v>2.2727818146159556E-3</v>
      </c>
      <c r="D169" s="3" cm="1">
        <f t="array" ref="D169">_xlfn.PERCENTILE.EXC(_xlfn._xlws.FILTER($E$126:$E$252, $A$126:$A$252="2010-09"), 0.05)</f>
        <v>-1.0172535170953966E-2</v>
      </c>
      <c r="E169">
        <v>2.6428120573515179E-2</v>
      </c>
      <c r="F169">
        <f t="shared" si="8"/>
        <v>-1.9749788868014061E-2</v>
      </c>
      <c r="G169">
        <f t="shared" si="9"/>
        <v>-3.026978690977479E-2</v>
      </c>
      <c r="J169" s="4" t="s">
        <v>181</v>
      </c>
      <c r="K169" s="3">
        <f>B3448</f>
        <v>5.9524589295631312E-3</v>
      </c>
      <c r="L169" s="3">
        <f>C3448</f>
        <v>4.1198942084486254E-3</v>
      </c>
      <c r="M169">
        <f t="shared" si="11"/>
        <v>8.5146109158579855E-3</v>
      </c>
      <c r="N169" s="3">
        <f>D3448</f>
        <v>-7.1585536785449206E-3</v>
      </c>
      <c r="O169" s="3">
        <f>AVERAGEIFS(E3448:E3469,E3448:E3469,"&lt;=" &amp; N169)</f>
        <v>-7.7255604038015801E-3</v>
      </c>
      <c r="P169" s="3">
        <v>626.13703905999307</v>
      </c>
      <c r="Q169" s="3">
        <v>15.04454</v>
      </c>
      <c r="R169">
        <f t="shared" si="10"/>
        <v>669.56516999074984</v>
      </c>
      <c r="S169">
        <v>8.5146109158579855E-3</v>
      </c>
      <c r="T169" s="3">
        <v>12.92</v>
      </c>
    </row>
    <row r="170" spans="1:30" ht="15" thickBot="1" x14ac:dyDescent="0.4">
      <c r="A170" t="s">
        <v>23</v>
      </c>
      <c r="E170">
        <v>-8.2184463026284853E-6</v>
      </c>
      <c r="F170">
        <f t="shared" si="8"/>
        <v>-1.9753940463986791E-2</v>
      </c>
      <c r="G170">
        <f t="shared" si="9"/>
        <v>-3.026978690977479E-2</v>
      </c>
      <c r="J170" s="2" t="s">
        <v>182</v>
      </c>
      <c r="K170">
        <f>B3470</f>
        <v>4.4278727413029568E-3</v>
      </c>
      <c r="L170">
        <f>C3470</f>
        <v>1.7122582032993647E-3</v>
      </c>
      <c r="M170">
        <f t="shared" si="11"/>
        <v>5.9524589295631312E-3</v>
      </c>
      <c r="N170">
        <f>D3470</f>
        <v>-6.0409758112003643E-3</v>
      </c>
      <c r="O170">
        <f>AVERAGEIFS(E3470:E3488,E3470:E3488,"&lt;=" &amp; N170)</f>
        <v>-6.0409758112003643E-3</v>
      </c>
      <c r="P170">
        <v>672.51786564761721</v>
      </c>
      <c r="Q170">
        <v>15.01905</v>
      </c>
      <c r="R170">
        <f t="shared" si="10"/>
        <v>626.13703905999307</v>
      </c>
      <c r="S170">
        <v>5.9524589295631312E-3</v>
      </c>
      <c r="T170">
        <v>12.45</v>
      </c>
      <c r="V170" t="s">
        <v>231</v>
      </c>
    </row>
    <row r="171" spans="1:30" x14ac:dyDescent="0.35">
      <c r="A171" t="s">
        <v>23</v>
      </c>
      <c r="E171">
        <v>8.3104172934673967E-3</v>
      </c>
      <c r="F171">
        <f t="shared" si="8"/>
        <v>-1.9758092059959518E-2</v>
      </c>
      <c r="G171">
        <f t="shared" si="9"/>
        <v>-3.026978690977479E-2</v>
      </c>
      <c r="J171" s="2" t="s">
        <v>183</v>
      </c>
      <c r="K171">
        <f>B3489</f>
        <v>6.7533155574008887E-3</v>
      </c>
      <c r="L171">
        <f>C3489</f>
        <v>4.1090538472924758E-4</v>
      </c>
      <c r="M171">
        <f t="shared" si="11"/>
        <v>4.4278727413029568E-3</v>
      </c>
      <c r="N171">
        <f>D3489</f>
        <v>-1.307746525099132E-2</v>
      </c>
      <c r="O171">
        <f>AVERAGEIFS(E3489:E3510,E3489:E3510,"&lt;=" &amp; N171)</f>
        <v>-1.3869066644501011E-2</v>
      </c>
      <c r="P171">
        <v>729.89690812845163</v>
      </c>
      <c r="Q171">
        <v>16.078399999999998</v>
      </c>
      <c r="R171">
        <f t="shared" si="10"/>
        <v>672.51786564761721</v>
      </c>
      <c r="S171">
        <v>4.4278727413029568E-3</v>
      </c>
      <c r="T171">
        <v>14.35</v>
      </c>
      <c r="V171" s="7"/>
      <c r="W171" s="7" t="s">
        <v>236</v>
      </c>
      <c r="X171" s="7" t="s">
        <v>237</v>
      </c>
      <c r="Y171" s="7" t="s">
        <v>238</v>
      </c>
      <c r="Z171" s="7" t="s">
        <v>239</v>
      </c>
      <c r="AA171" s="7" t="s">
        <v>240</v>
      </c>
    </row>
    <row r="172" spans="1:30" x14ac:dyDescent="0.35">
      <c r="A172" t="s">
        <v>23</v>
      </c>
      <c r="E172">
        <v>3.3231218425469841E-3</v>
      </c>
      <c r="F172">
        <f t="shared" si="8"/>
        <v>-1.9762243655932248E-2</v>
      </c>
      <c r="G172">
        <f t="shared" si="9"/>
        <v>-3.026978690977479E-2</v>
      </c>
      <c r="J172" s="2" t="s">
        <v>184</v>
      </c>
      <c r="K172">
        <f>B3511</f>
        <v>5.2418235073292104E-3</v>
      </c>
      <c r="L172">
        <f>C3511</f>
        <v>2.1331235244374026E-3</v>
      </c>
      <c r="M172">
        <f t="shared" si="11"/>
        <v>6.7533155574008887E-3</v>
      </c>
      <c r="N172">
        <f>D3511</f>
        <v>-8.9618551063740132E-3</v>
      </c>
      <c r="O172">
        <f>AVERAGEIFS(E3511:E3531,E3511:E3531,"&lt;=" &amp; N172)</f>
        <v>-9.2293343002207654E-3</v>
      </c>
      <c r="P172">
        <v>596.11533884731068</v>
      </c>
      <c r="Q172">
        <v>14.885859999999999</v>
      </c>
      <c r="R172">
        <f t="shared" si="10"/>
        <v>729.89690812845163</v>
      </c>
      <c r="S172">
        <v>6.7533155574008887E-3</v>
      </c>
      <c r="T172">
        <v>13.4</v>
      </c>
      <c r="V172" t="s">
        <v>232</v>
      </c>
      <c r="W172">
        <v>1</v>
      </c>
      <c r="X172">
        <v>4.4706366573915579E-5</v>
      </c>
      <c r="Y172">
        <v>4.4706366573915579E-5</v>
      </c>
      <c r="Z172">
        <v>0.30587817154550795</v>
      </c>
      <c r="AA172">
        <v>0.58090302933026927</v>
      </c>
    </row>
    <row r="173" spans="1:30" x14ac:dyDescent="0.35">
      <c r="A173" t="s">
        <v>23</v>
      </c>
      <c r="E173">
        <v>-6.0539925616424021E-3</v>
      </c>
      <c r="F173">
        <f t="shared" si="8"/>
        <v>-1.9766395251904975E-2</v>
      </c>
      <c r="G173">
        <f t="shared" si="9"/>
        <v>-3.026978690977479E-2</v>
      </c>
      <c r="J173" s="2" t="s">
        <v>185</v>
      </c>
      <c r="K173">
        <f>B3532</f>
        <v>4.0241164021916622E-3</v>
      </c>
      <c r="L173">
        <f>C3532</f>
        <v>2.2516513658410835E-3</v>
      </c>
      <c r="M173">
        <f t="shared" si="11"/>
        <v>5.2418235073292104E-3</v>
      </c>
      <c r="N173">
        <f>D3532</f>
        <v>-3.7255224349513022E-3</v>
      </c>
      <c r="O173">
        <f>AVERAGEIFS(E3532:E3551,E3532:E3551,"&lt;=" &amp; N173)</f>
        <v>-3.8379407742676155E-3</v>
      </c>
      <c r="P173">
        <v>550.27470629230322</v>
      </c>
      <c r="Q173">
        <v>14.443</v>
      </c>
      <c r="R173">
        <f t="shared" si="10"/>
        <v>596.11533884731068</v>
      </c>
      <c r="S173">
        <v>5.2418235073292104E-3</v>
      </c>
      <c r="T173">
        <v>13.01</v>
      </c>
      <c r="V173" t="s">
        <v>233</v>
      </c>
      <c r="W173">
        <v>181</v>
      </c>
      <c r="X173">
        <v>2.6454494313840993E-2</v>
      </c>
      <c r="Y173">
        <v>1.4615742714829279E-4</v>
      </c>
    </row>
    <row r="174" spans="1:30" ht="15" thickBot="1" x14ac:dyDescent="0.4">
      <c r="A174" t="s">
        <v>23</v>
      </c>
      <c r="E174">
        <v>7.5800312944819797E-3</v>
      </c>
      <c r="F174">
        <f t="shared" si="8"/>
        <v>-1.9770546847877705E-2</v>
      </c>
      <c r="G174">
        <f t="shared" si="9"/>
        <v>-3.026978690977479E-2</v>
      </c>
      <c r="J174" s="2" t="s">
        <v>186</v>
      </c>
      <c r="K174">
        <f>B3552</f>
        <v>8.7584072391557223E-3</v>
      </c>
      <c r="L174">
        <f>C3552</f>
        <v>-1.4651617720457559E-3</v>
      </c>
      <c r="M174">
        <f t="shared" si="11"/>
        <v>4.0241164021916622E-3</v>
      </c>
      <c r="N174">
        <f>D3552</f>
        <v>-1.4424471117576842E-2</v>
      </c>
      <c r="O174">
        <f>AVERAGEIFS(E3552:E3572,E3552:E3572,"&lt;=" &amp; N174)</f>
        <v>-1.454787102224899E-2</v>
      </c>
      <c r="P174">
        <v>640.37423793313735</v>
      </c>
      <c r="Q174">
        <v>16.62208</v>
      </c>
      <c r="R174">
        <f t="shared" si="10"/>
        <v>550.27470629230322</v>
      </c>
      <c r="S174">
        <v>4.0241164021916622E-3</v>
      </c>
      <c r="T174">
        <v>15.65</v>
      </c>
      <c r="V174" s="6" t="s">
        <v>234</v>
      </c>
      <c r="W174" s="6">
        <v>182</v>
      </c>
      <c r="X174" s="6">
        <v>2.6499200680414909E-2</v>
      </c>
      <c r="Y174" s="6"/>
      <c r="Z174" s="6"/>
      <c r="AA174" s="6"/>
    </row>
    <row r="175" spans="1:30" ht="15" thickBot="1" x14ac:dyDescent="0.4">
      <c r="A175" t="s">
        <v>23</v>
      </c>
      <c r="E175">
        <v>9.21695275760827E-3</v>
      </c>
      <c r="F175">
        <f t="shared" si="8"/>
        <v>-1.9774698443850436E-2</v>
      </c>
      <c r="G175">
        <f t="shared" si="9"/>
        <v>-3.026978690977479E-2</v>
      </c>
      <c r="J175" s="2" t="s">
        <v>187</v>
      </c>
      <c r="K175">
        <f>B3573</f>
        <v>7.0715863832869277E-3</v>
      </c>
      <c r="L175">
        <f>C3573</f>
        <v>1.5531534012947338E-3</v>
      </c>
      <c r="M175">
        <f t="shared" si="11"/>
        <v>8.7584072391557223E-3</v>
      </c>
      <c r="N175">
        <f>D3573</f>
        <v>-1.0809954198571583E-2</v>
      </c>
      <c r="O175">
        <f>AVERAGEIFS(E3573:E3592,E3573:E3592,"&lt;=" &amp; N175)</f>
        <v>-1.1013495562935101E-2</v>
      </c>
      <c r="P175">
        <v>637.04128660588935</v>
      </c>
      <c r="Q175">
        <v>15.33592</v>
      </c>
      <c r="R175">
        <f t="shared" si="10"/>
        <v>640.37423793313735</v>
      </c>
      <c r="S175">
        <v>8.7584072391557223E-3</v>
      </c>
      <c r="T175">
        <v>12.92</v>
      </c>
    </row>
    <row r="176" spans="1:30" x14ac:dyDescent="0.35">
      <c r="A176" t="s">
        <v>23</v>
      </c>
      <c r="E176">
        <v>-1.0855328498836261E-3</v>
      </c>
      <c r="F176">
        <f t="shared" si="8"/>
        <v>-1.9778850039823163E-2</v>
      </c>
      <c r="G176">
        <f t="shared" si="9"/>
        <v>-3.026978690977479E-2</v>
      </c>
      <c r="J176" s="2" t="s">
        <v>188</v>
      </c>
      <c r="K176">
        <f>B3593</f>
        <v>8.7601601642365752E-3</v>
      </c>
      <c r="L176">
        <f>C3593</f>
        <v>-7.1459363796850931E-4</v>
      </c>
      <c r="M176">
        <f t="shared" si="11"/>
        <v>7.0715863832869277E-3</v>
      </c>
      <c r="N176">
        <f>D3593</f>
        <v>-1.9532679372855109E-2</v>
      </c>
      <c r="O176">
        <f>AVERAGEIFS(E3593:E3612,E3593:E3612,"&lt;=" &amp; N176)</f>
        <v>-1.9795456423714081E-2</v>
      </c>
      <c r="P176">
        <v>667.66733530500039</v>
      </c>
      <c r="Q176">
        <v>19.606960000000001</v>
      </c>
      <c r="R176">
        <f t="shared" si="10"/>
        <v>637.04128660588935</v>
      </c>
      <c r="S176">
        <v>7.0715863832869277E-3</v>
      </c>
      <c r="T176">
        <v>12.44</v>
      </c>
      <c r="V176" s="7"/>
      <c r="W176" s="7" t="s">
        <v>241</v>
      </c>
      <c r="X176" s="7" t="s">
        <v>229</v>
      </c>
      <c r="Y176" s="7" t="s">
        <v>242</v>
      </c>
      <c r="Z176" s="7" t="s">
        <v>243</v>
      </c>
      <c r="AA176" s="7" t="s">
        <v>244</v>
      </c>
      <c r="AB176" s="7" t="s">
        <v>245</v>
      </c>
      <c r="AC176" s="7" t="s">
        <v>246</v>
      </c>
      <c r="AD176" s="7" t="s">
        <v>247</v>
      </c>
    </row>
    <row r="177" spans="1:30" x14ac:dyDescent="0.35">
      <c r="A177" t="s">
        <v>23</v>
      </c>
      <c r="E177">
        <v>7.5198026767435665E-3</v>
      </c>
      <c r="F177">
        <f t="shared" si="8"/>
        <v>-1.9783001635795893E-2</v>
      </c>
      <c r="G177">
        <f t="shared" si="9"/>
        <v>-3.026978690977479E-2</v>
      </c>
      <c r="J177" s="2" t="s">
        <v>189</v>
      </c>
      <c r="K177">
        <f>B3613</f>
        <v>7.7408945563651795E-3</v>
      </c>
      <c r="L177">
        <f>C3613</f>
        <v>6.4655167837641416E-4</v>
      </c>
      <c r="M177">
        <f t="shared" si="11"/>
        <v>8.7601601642365752E-3</v>
      </c>
      <c r="N177">
        <f>D3613</f>
        <v>-1.2282727199138865E-2</v>
      </c>
      <c r="O177">
        <f>AVERAGEIFS(E3613:E3635,E3613:E3635,"&lt;=" &amp; N177)</f>
        <v>-1.2850697599568648E-2</v>
      </c>
      <c r="P177">
        <v>849.16395566139204</v>
      </c>
      <c r="Q177">
        <v>17.017040000000001</v>
      </c>
      <c r="R177">
        <f t="shared" si="10"/>
        <v>667.66733530500039</v>
      </c>
      <c r="S177">
        <v>8.7601601642365752E-3</v>
      </c>
      <c r="T177">
        <v>16.36</v>
      </c>
      <c r="V177" t="s">
        <v>235</v>
      </c>
      <c r="W177">
        <v>-2.2704053231678165E-2</v>
      </c>
      <c r="X177">
        <v>1.4735401317181329E-3</v>
      </c>
      <c r="Y177">
        <v>-15.407828224675136</v>
      </c>
      <c r="Z177">
        <v>9.1100172388278066E-35</v>
      </c>
      <c r="AA177">
        <v>-2.5611579319481933E-2</v>
      </c>
      <c r="AB177">
        <v>-1.9796527143874396E-2</v>
      </c>
      <c r="AC177">
        <v>-2.5611579319481933E-2</v>
      </c>
      <c r="AD177">
        <v>-1.9796527143874396E-2</v>
      </c>
    </row>
    <row r="178" spans="1:30" ht="15" thickBot="1" x14ac:dyDescent="0.4">
      <c r="A178" t="s">
        <v>23</v>
      </c>
      <c r="E178">
        <v>2.1903018147033477E-3</v>
      </c>
      <c r="F178">
        <f t="shared" si="8"/>
        <v>-1.978715323176862E-2</v>
      </c>
      <c r="G178">
        <f t="shared" si="9"/>
        <v>-3.026978690977479E-2</v>
      </c>
      <c r="J178" s="2" t="s">
        <v>190</v>
      </c>
      <c r="K178">
        <f>B3636</f>
        <v>1.1451949135384731E-2</v>
      </c>
      <c r="L178">
        <f>C3636</f>
        <v>1.0644901121769732E-3</v>
      </c>
      <c r="M178">
        <f t="shared" si="11"/>
        <v>7.7408945563651795E-3</v>
      </c>
      <c r="N178">
        <f>D3636</f>
        <v>-2.358672971376001E-2</v>
      </c>
      <c r="O178">
        <f>AVERAGEIFS(E3636:E3655,E3636:E3655,"&lt;=" &amp; N178)</f>
        <v>-2.3603759964523893E-2</v>
      </c>
      <c r="P178">
        <v>554.44020430889054</v>
      </c>
      <c r="Q178">
        <v>16.872800000000002</v>
      </c>
      <c r="R178">
        <f t="shared" si="10"/>
        <v>849.16395566139204</v>
      </c>
      <c r="S178">
        <v>7.7408945563651795E-3</v>
      </c>
      <c r="T178">
        <v>15</v>
      </c>
      <c r="V178" s="6" t="s">
        <v>248</v>
      </c>
      <c r="W178" s="6">
        <v>2.1615922351948359E-6</v>
      </c>
      <c r="X178" s="6">
        <v>3.9084047183314212E-6</v>
      </c>
      <c r="Y178" s="6">
        <v>0.5530625385483785</v>
      </c>
      <c r="Z178" s="6">
        <v>0.58090302933022675</v>
      </c>
      <c r="AA178" s="6">
        <v>-5.550304058388895E-6</v>
      </c>
      <c r="AB178" s="6">
        <v>9.8734885287785659E-6</v>
      </c>
      <c r="AC178" s="6">
        <v>-5.550304058388895E-6</v>
      </c>
      <c r="AD178" s="6">
        <v>9.8734885287785659E-6</v>
      </c>
    </row>
    <row r="179" spans="1:30" x14ac:dyDescent="0.35">
      <c r="A179" t="s">
        <v>23</v>
      </c>
      <c r="E179">
        <v>-2.1599589806005357E-3</v>
      </c>
      <c r="F179">
        <f t="shared" si="8"/>
        <v>-1.979130482774135E-2</v>
      </c>
      <c r="G179">
        <f t="shared" si="9"/>
        <v>-3.026978690977479E-2</v>
      </c>
      <c r="J179" s="2" t="s">
        <v>191</v>
      </c>
      <c r="K179">
        <f>B3656</f>
        <v>9.5992045831904925E-3</v>
      </c>
      <c r="L179">
        <f>C3656</f>
        <v>1.0413323617249075E-3</v>
      </c>
      <c r="M179">
        <f t="shared" si="11"/>
        <v>1.1451949135384731E-2</v>
      </c>
      <c r="N179">
        <f>D3656</f>
        <v>-1.4963352463011092E-2</v>
      </c>
      <c r="O179">
        <f>AVERAGEIFS(E3656:E3676,E3656:E3676,"&lt;=" &amp; N179)</f>
        <v>-1.4971229242223581E-2</v>
      </c>
      <c r="P179">
        <v>699.76641841681078</v>
      </c>
      <c r="Q179">
        <v>20.138529999999999</v>
      </c>
      <c r="R179">
        <f t="shared" si="10"/>
        <v>554.44020430889054</v>
      </c>
      <c r="S179">
        <v>1.1451949135384731E-2</v>
      </c>
      <c r="T179">
        <v>16.73</v>
      </c>
    </row>
    <row r="180" spans="1:30" x14ac:dyDescent="0.35">
      <c r="A180" t="s">
        <v>23</v>
      </c>
      <c r="E180">
        <v>-1.9534003679375239E-3</v>
      </c>
      <c r="F180">
        <f t="shared" si="8"/>
        <v>-1.9795456423714081E-2</v>
      </c>
      <c r="G180">
        <f t="shared" si="9"/>
        <v>-3.026978690977479E-2</v>
      </c>
      <c r="J180" s="2" t="s">
        <v>192</v>
      </c>
      <c r="K180">
        <f>B3677</f>
        <v>6.0037739277690877E-3</v>
      </c>
      <c r="L180">
        <f>C3677</f>
        <v>-5.6018457937899587E-4</v>
      </c>
      <c r="M180">
        <f t="shared" si="11"/>
        <v>9.5992045831904925E-3</v>
      </c>
      <c r="N180">
        <f>D3677</f>
        <v>-1.1123565585648719E-2</v>
      </c>
      <c r="O180">
        <f>AVERAGEIFS(E3677:E3699,E3677:E3699,"&lt;=" &amp; N180)</f>
        <v>-1.1396930571465324E-2</v>
      </c>
      <c r="P180">
        <v>871.01990162245806</v>
      </c>
      <c r="Q180">
        <v>23.603339999999999</v>
      </c>
      <c r="R180">
        <f t="shared" si="10"/>
        <v>699.76641841681078</v>
      </c>
      <c r="S180">
        <v>9.5992045831904925E-3</v>
      </c>
      <c r="T180">
        <v>23.16</v>
      </c>
    </row>
    <row r="181" spans="1:30" x14ac:dyDescent="0.35">
      <c r="A181" t="s">
        <v>23</v>
      </c>
      <c r="E181">
        <v>-6.403214324687022E-3</v>
      </c>
      <c r="F181">
        <f t="shared" si="8"/>
        <v>-1.9797258430838873E-2</v>
      </c>
      <c r="G181">
        <f t="shared" si="9"/>
        <v>-3.0327656138979545E-2</v>
      </c>
      <c r="J181" s="2" t="s">
        <v>193</v>
      </c>
      <c r="K181">
        <f>B3700</f>
        <v>9.5169752288837093E-3</v>
      </c>
      <c r="L181">
        <f>C3700</f>
        <v>1.3507818761507016E-3</v>
      </c>
      <c r="M181">
        <f t="shared" si="11"/>
        <v>6.0037739277690877E-3</v>
      </c>
      <c r="N181">
        <f>D3700</f>
        <v>-2.0543526559657101E-2</v>
      </c>
      <c r="O181">
        <f>AVERAGEIFS(E3700:E3720,E3700:E3720,"&lt;=" &amp; N181)</f>
        <v>-2.1567148091244503E-2</v>
      </c>
      <c r="P181">
        <v>1095.9327660139479</v>
      </c>
      <c r="Q181">
        <v>17.92407</v>
      </c>
      <c r="R181">
        <f t="shared" si="10"/>
        <v>871.01990162245806</v>
      </c>
      <c r="S181">
        <v>6.0037739277690877E-3</v>
      </c>
      <c r="T181">
        <v>13.51</v>
      </c>
    </row>
    <row r="182" spans="1:30" x14ac:dyDescent="0.35">
      <c r="A182" t="s">
        <v>23</v>
      </c>
      <c r="E182">
        <v>1.356669779614812E-2</v>
      </c>
      <c r="F182">
        <f t="shared" si="8"/>
        <v>-1.9799060437963666E-2</v>
      </c>
      <c r="G182">
        <f t="shared" si="9"/>
        <v>-3.0327656138979545E-2</v>
      </c>
      <c r="J182" s="2" t="s">
        <v>194</v>
      </c>
      <c r="K182">
        <f>B3721</f>
        <v>6.5019166706792213E-3</v>
      </c>
      <c r="L182">
        <f>C3721</f>
        <v>7.9448758217291358E-4</v>
      </c>
      <c r="M182">
        <f t="shared" si="11"/>
        <v>9.5169752288837093E-3</v>
      </c>
      <c r="N182">
        <f>D3721</f>
        <v>-5.8800401983420776E-3</v>
      </c>
      <c r="O182">
        <f>AVERAGEIFS(E3721:E3738,E3721:E3738,"&lt;=" &amp; N182)</f>
        <v>-1.3563675755667229E-2</v>
      </c>
      <c r="P182">
        <v>984.36602262571728</v>
      </c>
      <c r="Q182">
        <v>17.672920000000001</v>
      </c>
      <c r="R182">
        <f t="shared" si="10"/>
        <v>1095.9327660139479</v>
      </c>
      <c r="S182">
        <v>9.5169752288837093E-3</v>
      </c>
      <c r="T182">
        <v>17.350000000000001</v>
      </c>
    </row>
    <row r="183" spans="1:30" x14ac:dyDescent="0.35">
      <c r="A183" t="s">
        <v>23</v>
      </c>
      <c r="E183">
        <v>-2.9592975291527477E-3</v>
      </c>
      <c r="F183">
        <f t="shared" si="8"/>
        <v>-1.9800862445088458E-2</v>
      </c>
      <c r="G183">
        <f t="shared" si="9"/>
        <v>-3.0327656138979545E-2</v>
      </c>
      <c r="J183" s="2" t="s">
        <v>195</v>
      </c>
      <c r="K183">
        <f>B3739</f>
        <v>6.2837020466361337E-3</v>
      </c>
      <c r="L183">
        <f>C3739</f>
        <v>3.9822366669437564E-3</v>
      </c>
      <c r="M183">
        <f t="shared" si="11"/>
        <v>6.5019166706792213E-3</v>
      </c>
      <c r="N183">
        <f>D3739</f>
        <v>-5.8409874151234267E-3</v>
      </c>
      <c r="O183">
        <f>AVERAGEIFS(E3739:E3760,E3739:E3760,"&lt;=" &amp; N183)</f>
        <v>-5.9393013291790331E-3</v>
      </c>
      <c r="P183">
        <v>1009.0558767499436</v>
      </c>
      <c r="Q183">
        <v>16.003240000000002</v>
      </c>
      <c r="R183">
        <f t="shared" si="10"/>
        <v>984.36602262571728</v>
      </c>
      <c r="S183">
        <v>6.5019166706792213E-3</v>
      </c>
      <c r="T183">
        <v>16.43</v>
      </c>
      <c r="V183" t="s">
        <v>225</v>
      </c>
    </row>
    <row r="184" spans="1:30" ht="15" thickBot="1" x14ac:dyDescent="0.4">
      <c r="A184" t="s">
        <v>23</v>
      </c>
      <c r="E184">
        <v>-1.0837709437942251E-2</v>
      </c>
      <c r="F184">
        <f t="shared" si="8"/>
        <v>-1.9802664452213251E-2</v>
      </c>
      <c r="G184">
        <f t="shared" si="9"/>
        <v>-3.0327656138979545E-2</v>
      </c>
      <c r="J184" s="2" t="s">
        <v>196</v>
      </c>
      <c r="K184">
        <f>B3761</f>
        <v>9.9978818141416362E-3</v>
      </c>
      <c r="L184">
        <f>C3761</f>
        <v>1.8505174565466621E-3</v>
      </c>
      <c r="M184">
        <f t="shared" si="11"/>
        <v>6.2837020466361337E-3</v>
      </c>
      <c r="N184">
        <f>D3761</f>
        <v>-1.7945677649907513E-2</v>
      </c>
      <c r="O184">
        <f>AVERAGEIFS(E3761:E3780,E3761:E3780,"&lt;=" &amp; N184)</f>
        <v>-1.8149215884817823E-2</v>
      </c>
      <c r="P184">
        <v>838.86550062124775</v>
      </c>
      <c r="Q184">
        <v>19.36608</v>
      </c>
      <c r="R184">
        <f t="shared" si="10"/>
        <v>1009.0558767499436</v>
      </c>
      <c r="S184">
        <v>6.2837020466361337E-3</v>
      </c>
      <c r="T184">
        <v>19.63</v>
      </c>
    </row>
    <row r="185" spans="1:30" x14ac:dyDescent="0.35">
      <c r="A185" t="s">
        <v>23</v>
      </c>
      <c r="E185">
        <v>-3.8118215707919913E-3</v>
      </c>
      <c r="F185">
        <f t="shared" si="8"/>
        <v>-1.9804466459338047E-2</v>
      </c>
      <c r="G185">
        <f t="shared" si="9"/>
        <v>-3.0327656138979545E-2</v>
      </c>
      <c r="J185" s="2" t="s">
        <v>197</v>
      </c>
      <c r="K185">
        <f>B3781</f>
        <v>1.6708524964999388E-2</v>
      </c>
      <c r="L185">
        <f>C3781</f>
        <v>-8.2629229137144049E-4</v>
      </c>
      <c r="M185">
        <f t="shared" si="11"/>
        <v>9.9978818141416362E-3</v>
      </c>
      <c r="N185">
        <f>D3781</f>
        <v>-3.4238595098176013E-2</v>
      </c>
      <c r="O185">
        <f>AVERAGEIFS(E3781:E3801,E3781:E3801,"&lt;=" &amp; N185)</f>
        <v>-3.6077848040279144E-2</v>
      </c>
      <c r="P185">
        <v>1083.1195078268715</v>
      </c>
      <c r="Q185">
        <v>23.943390000000001</v>
      </c>
      <c r="R185">
        <f t="shared" si="10"/>
        <v>838.86550062124775</v>
      </c>
      <c r="S185">
        <v>9.9978818141416362E-3</v>
      </c>
      <c r="T185">
        <v>22.28</v>
      </c>
      <c r="V185" s="8" t="s">
        <v>226</v>
      </c>
      <c r="W185" s="8"/>
    </row>
    <row r="186" spans="1:30" x14ac:dyDescent="0.35">
      <c r="A186" t="s">
        <v>23</v>
      </c>
      <c r="E186">
        <v>1.8199638600113945E-2</v>
      </c>
      <c r="F186">
        <f t="shared" si="8"/>
        <v>-1.9806268466462836E-2</v>
      </c>
      <c r="G186">
        <f t="shared" si="9"/>
        <v>-3.0327656138979545E-2</v>
      </c>
      <c r="J186" s="2" t="s">
        <v>198</v>
      </c>
      <c r="K186">
        <f>B3802</f>
        <v>2.6551548521115114E-2</v>
      </c>
      <c r="L186">
        <f>C3802</f>
        <v>2.0919321953536877E-4</v>
      </c>
      <c r="M186">
        <f t="shared" si="11"/>
        <v>1.6708524964999388E-2</v>
      </c>
      <c r="N186">
        <f>D3802</f>
        <v>-4.3885180454164861E-2</v>
      </c>
      <c r="O186">
        <f>AVERAGEIFS(E3802:E3818,E3802:E3818,"&lt;=" &amp; N186)</f>
        <v>-5.0799051624730529E-2</v>
      </c>
      <c r="P186">
        <v>1318.3414114610935</v>
      </c>
      <c r="R186">
        <f t="shared" si="10"/>
        <v>1083.1195078268715</v>
      </c>
      <c r="S186">
        <v>1.6708524964999388E-2</v>
      </c>
      <c r="T186">
        <v>22.28</v>
      </c>
      <c r="V186" t="s">
        <v>227</v>
      </c>
      <c r="W186">
        <v>0.62265154400437861</v>
      </c>
    </row>
    <row r="187" spans="1:30" x14ac:dyDescent="0.35">
      <c r="A187" t="s">
        <v>23</v>
      </c>
      <c r="E187">
        <v>-3.0865424485924838E-3</v>
      </c>
      <c r="F187">
        <f t="shared" si="8"/>
        <v>-1.9808070473587631E-2</v>
      </c>
      <c r="G187">
        <f t="shared" si="9"/>
        <v>-3.0327656138979545E-2</v>
      </c>
      <c r="V187" t="s">
        <v>228</v>
      </c>
      <c r="W187">
        <v>0.38769494525103659</v>
      </c>
      <c r="Y187" t="s">
        <v>388</v>
      </c>
    </row>
    <row r="188" spans="1:30" x14ac:dyDescent="0.35">
      <c r="A188" t="s">
        <v>23</v>
      </c>
      <c r="E188">
        <v>-4.4603815321441864E-4</v>
      </c>
      <c r="F188">
        <f t="shared" si="8"/>
        <v>-1.9809872480712424E-2</v>
      </c>
      <c r="G188">
        <f t="shared" si="9"/>
        <v>-3.0327656138979545E-2</v>
      </c>
      <c r="V188" t="s">
        <v>228</v>
      </c>
      <c r="W188">
        <v>0.37743284936138916</v>
      </c>
    </row>
    <row r="189" spans="1:30" x14ac:dyDescent="0.35">
      <c r="A189" t="s">
        <v>23</v>
      </c>
      <c r="E189">
        <v>-4.6586328296497068E-3</v>
      </c>
      <c r="F189">
        <f t="shared" si="8"/>
        <v>-1.9811674487837216E-2</v>
      </c>
      <c r="G189">
        <f t="shared" si="9"/>
        <v>-3.0327656138979545E-2</v>
      </c>
      <c r="V189" t="s">
        <v>229</v>
      </c>
      <c r="W189">
        <v>9.5208077105083944E-3</v>
      </c>
    </row>
    <row r="190" spans="1:30" ht="15" thickBot="1" x14ac:dyDescent="0.4">
      <c r="A190" t="s">
        <v>23</v>
      </c>
      <c r="E190">
        <v>-2.8695252273804217E-3</v>
      </c>
      <c r="F190">
        <f t="shared" si="8"/>
        <v>-1.9813476494962009E-2</v>
      </c>
      <c r="G190">
        <f t="shared" si="9"/>
        <v>-3.0327656138979545E-2</v>
      </c>
      <c r="V190" s="6" t="s">
        <v>230</v>
      </c>
      <c r="W190" s="6">
        <v>183</v>
      </c>
    </row>
    <row r="191" spans="1:30" x14ac:dyDescent="0.35">
      <c r="A191" t="s">
        <v>24</v>
      </c>
      <c r="B191" s="3" cm="1">
        <f t="array" ref="B191">_xlfn.STDEV.S(_xlfn._xlws.FILTER($E$2:$E$1000, $A$2:$A$1000="2010-10"))</f>
        <v>7.3068991590802025E-3</v>
      </c>
      <c r="C191" s="3" cm="1">
        <f t="array" ref="C191">AVERAGE(_xlfn._xlws.FILTER($E$2:$E$1000, $A$2:$A$1000="2010-10"))</f>
        <v>2.7646755330469658E-3</v>
      </c>
      <c r="D191" s="3" cm="1">
        <f t="array" ref="D191">_xlfn.PERCENTILE.EXC(_xlfn._xlws.FILTER($E$126:$E$252, $A$126:$A$252="2010-10"), 0.05)</f>
        <v>-1.1940718142558867E-2</v>
      </c>
      <c r="E191">
        <v>-2.842363388696503E-3</v>
      </c>
      <c r="F191">
        <f t="shared" si="8"/>
        <v>-1.9815278502086801E-2</v>
      </c>
      <c r="G191">
        <f t="shared" si="9"/>
        <v>-3.0327656138979545E-2</v>
      </c>
    </row>
    <row r="192" spans="1:30" ht="15" thickBot="1" x14ac:dyDescent="0.4">
      <c r="A192" t="s">
        <v>24</v>
      </c>
      <c r="E192">
        <v>-1.2495353151169784E-2</v>
      </c>
      <c r="F192">
        <f t="shared" si="8"/>
        <v>-1.9817080509211594E-2</v>
      </c>
      <c r="G192">
        <f t="shared" si="9"/>
        <v>-3.0327656138979545E-2</v>
      </c>
      <c r="V192" t="s">
        <v>231</v>
      </c>
    </row>
    <row r="193" spans="1:30" x14ac:dyDescent="0.35">
      <c r="A193" t="s">
        <v>24</v>
      </c>
      <c r="E193">
        <v>1.3217963398776778E-2</v>
      </c>
      <c r="F193">
        <f t="shared" si="8"/>
        <v>-1.9818882516336386E-2</v>
      </c>
      <c r="G193">
        <f t="shared" si="9"/>
        <v>-3.0327656138979545E-2</v>
      </c>
      <c r="V193" s="7"/>
      <c r="W193" s="7" t="s">
        <v>236</v>
      </c>
      <c r="X193" s="7" t="s">
        <v>237</v>
      </c>
      <c r="Y193" s="7" t="s">
        <v>238</v>
      </c>
      <c r="Z193" s="7" t="s">
        <v>239</v>
      </c>
      <c r="AA193" s="7" t="s">
        <v>240</v>
      </c>
    </row>
    <row r="194" spans="1:30" x14ac:dyDescent="0.35">
      <c r="A194" t="s">
        <v>24</v>
      </c>
      <c r="E194">
        <v>8.7935113858857022E-3</v>
      </c>
      <c r="F194">
        <f t="shared" si="8"/>
        <v>-1.9820684523461179E-2</v>
      </c>
      <c r="G194">
        <f t="shared" si="9"/>
        <v>-3.0327656138979545E-2</v>
      </c>
      <c r="V194" t="s">
        <v>232</v>
      </c>
      <c r="W194">
        <v>3</v>
      </c>
      <c r="X194">
        <v>1.027360615698969E-2</v>
      </c>
      <c r="Y194">
        <v>3.4245353856632299E-3</v>
      </c>
      <c r="Z194">
        <v>37.77931422782256</v>
      </c>
      <c r="AA194">
        <v>5.7781407336930774E-19</v>
      </c>
    </row>
    <row r="195" spans="1:30" x14ac:dyDescent="0.35">
      <c r="A195" t="s">
        <v>24</v>
      </c>
      <c r="E195">
        <v>8.7989306687952847E-4</v>
      </c>
      <c r="F195">
        <f t="shared" si="8"/>
        <v>-1.9822486530585971E-2</v>
      </c>
      <c r="G195">
        <f t="shared" si="9"/>
        <v>-3.0327656138979545E-2</v>
      </c>
      <c r="V195" t="s">
        <v>233</v>
      </c>
      <c r="W195">
        <v>179</v>
      </c>
      <c r="X195">
        <v>1.6225594523425219E-2</v>
      </c>
      <c r="Y195">
        <v>9.0645779460476087E-5</v>
      </c>
    </row>
    <row r="196" spans="1:30" ht="15" thickBot="1" x14ac:dyDescent="0.4">
      <c r="A196" t="s">
        <v>24</v>
      </c>
      <c r="E196">
        <v>2.4538679013846529E-3</v>
      </c>
      <c r="F196">
        <f t="shared" ref="F196:F259" si="12">_xlfn.PERCENTILE.EXC(E196:E4011,0.05)</f>
        <v>-1.9824288537710764E-2</v>
      </c>
      <c r="G196">
        <f t="shared" ref="G196:G259" si="13">AVERAGEIFS(E196:E4012,E196:E4012,"&lt;=" &amp; F196)</f>
        <v>-3.0327656138979545E-2</v>
      </c>
      <c r="V196" s="6" t="s">
        <v>234</v>
      </c>
      <c r="W196" s="6">
        <v>182</v>
      </c>
      <c r="X196" s="6">
        <v>2.6499200680414909E-2</v>
      </c>
      <c r="Y196" s="6"/>
      <c r="Z196" s="6"/>
      <c r="AA196" s="6"/>
    </row>
    <row r="197" spans="1:30" ht="15" thickBot="1" x14ac:dyDescent="0.4">
      <c r="A197" t="s">
        <v>24</v>
      </c>
      <c r="E197">
        <v>2.8314827530505939E-3</v>
      </c>
      <c r="F197">
        <f t="shared" si="12"/>
        <v>-1.982609054483556E-2</v>
      </c>
      <c r="G197">
        <f t="shared" si="13"/>
        <v>-3.0327656138979545E-2</v>
      </c>
    </row>
    <row r="198" spans="1:30" x14ac:dyDescent="0.35">
      <c r="A198" t="s">
        <v>24</v>
      </c>
      <c r="E198">
        <v>-7.8325177144131957E-4</v>
      </c>
      <c r="F198">
        <f t="shared" si="12"/>
        <v>-1.9827892551960352E-2</v>
      </c>
      <c r="G198">
        <f t="shared" si="13"/>
        <v>-3.0327656138979545E-2</v>
      </c>
      <c r="V198" s="7"/>
      <c r="W198" s="7" t="s">
        <v>241</v>
      </c>
      <c r="X198" s="7" t="s">
        <v>229</v>
      </c>
      <c r="Y198" s="7" t="s">
        <v>242</v>
      </c>
      <c r="Z198" s="7" t="s">
        <v>243</v>
      </c>
      <c r="AA198" s="7" t="s">
        <v>244</v>
      </c>
      <c r="AB198" s="7" t="s">
        <v>245</v>
      </c>
      <c r="AC198" s="7" t="s">
        <v>246</v>
      </c>
      <c r="AD198" s="7" t="s">
        <v>247</v>
      </c>
    </row>
    <row r="199" spans="1:30" x14ac:dyDescent="0.35">
      <c r="A199" t="s">
        <v>24</v>
      </c>
      <c r="E199">
        <v>2.0402478941598634E-2</v>
      </c>
      <c r="F199">
        <f t="shared" si="12"/>
        <v>-1.9829694559085145E-2</v>
      </c>
      <c r="G199">
        <f t="shared" si="13"/>
        <v>-3.0327656138979545E-2</v>
      </c>
      <c r="V199" t="s">
        <v>235</v>
      </c>
      <c r="W199">
        <v>-1.7794259543536181E-3</v>
      </c>
      <c r="X199">
        <v>2.3233924123042642E-3</v>
      </c>
      <c r="Y199">
        <v>-0.76587404905434897</v>
      </c>
      <c r="Z199">
        <v>0.44475998284164286</v>
      </c>
      <c r="AA199">
        <v>-6.3641888264996654E-3</v>
      </c>
      <c r="AB199">
        <v>2.8053369177924291E-3</v>
      </c>
      <c r="AC199">
        <v>-6.3641888264996654E-3</v>
      </c>
      <c r="AD199">
        <v>2.8053369177924291E-3</v>
      </c>
    </row>
    <row r="200" spans="1:30" x14ac:dyDescent="0.35">
      <c r="A200" t="s">
        <v>24</v>
      </c>
      <c r="E200">
        <v>3.2196052727457834E-3</v>
      </c>
      <c r="F200">
        <f t="shared" si="12"/>
        <v>-1.9831496566209937E-2</v>
      </c>
      <c r="G200">
        <f t="shared" si="13"/>
        <v>-3.0327656138979545E-2</v>
      </c>
      <c r="V200" t="s">
        <v>248</v>
      </c>
      <c r="W200">
        <v>6.4901574195319875E-6</v>
      </c>
      <c r="X200">
        <v>3.1240452916134574E-6</v>
      </c>
      <c r="Y200">
        <v>2.0774850598212851</v>
      </c>
      <c r="Z200">
        <v>3.9184251045859965E-2</v>
      </c>
      <c r="AA200">
        <v>3.2546187002429E-7</v>
      </c>
      <c r="AB200">
        <v>1.2654852969039685E-5</v>
      </c>
      <c r="AC200">
        <v>3.2546187002429E-7</v>
      </c>
      <c r="AD200">
        <v>1.2654852969039685E-5</v>
      </c>
    </row>
    <row r="201" spans="1:30" x14ac:dyDescent="0.35">
      <c r="A201" t="s">
        <v>24</v>
      </c>
      <c r="E201">
        <v>5.7200078414329936E-3</v>
      </c>
      <c r="F201">
        <f t="shared" si="12"/>
        <v>-1.9831906002950921E-2</v>
      </c>
      <c r="G201">
        <f t="shared" si="13"/>
        <v>-3.0385968136606042E-2</v>
      </c>
      <c r="V201" t="s">
        <v>251</v>
      </c>
      <c r="W201">
        <v>-0.36320894733163878</v>
      </c>
      <c r="X201">
        <v>0.16812972517484909</v>
      </c>
      <c r="Y201">
        <v>-2.1602899008721632</v>
      </c>
      <c r="Z201">
        <v>3.207975435291207E-2</v>
      </c>
      <c r="AA201">
        <v>-0.69498024760944155</v>
      </c>
      <c r="AB201">
        <v>-3.1437647053835949E-2</v>
      </c>
      <c r="AC201">
        <v>-0.69498024760944155</v>
      </c>
      <c r="AD201">
        <v>-3.1437647053835949E-2</v>
      </c>
    </row>
    <row r="202" spans="1:30" ht="15" thickBot="1" x14ac:dyDescent="0.4">
      <c r="A202" t="s">
        <v>24</v>
      </c>
      <c r="E202">
        <v>3.7405118434206057E-3</v>
      </c>
      <c r="F202">
        <f t="shared" si="12"/>
        <v>-1.9832315439691901E-2</v>
      </c>
      <c r="G202">
        <f t="shared" si="13"/>
        <v>-3.0385968136606042E-2</v>
      </c>
      <c r="V202" s="6" t="s">
        <v>252</v>
      </c>
      <c r="W202" s="6">
        <v>-9.8077321562659416E-4</v>
      </c>
      <c r="X202" s="6">
        <v>1.2186491222878745E-4</v>
      </c>
      <c r="Y202" s="6">
        <v>-8.0480361220406458</v>
      </c>
      <c r="Z202" s="6">
        <v>1.1266322902209803E-13</v>
      </c>
      <c r="AA202" s="6">
        <v>-1.2212499091222742E-3</v>
      </c>
      <c r="AB202" s="6">
        <v>-7.4029652213091401E-4</v>
      </c>
      <c r="AC202" s="6">
        <v>-1.2212499091222742E-3</v>
      </c>
      <c r="AD202" s="6">
        <v>-7.4029652213091401E-4</v>
      </c>
    </row>
    <row r="203" spans="1:30" x14ac:dyDescent="0.35">
      <c r="A203" t="s">
        <v>24</v>
      </c>
      <c r="E203">
        <v>-3.9885286728649624E-3</v>
      </c>
      <c r="F203">
        <f t="shared" si="12"/>
        <v>-1.9832724876432884E-2</v>
      </c>
      <c r="G203">
        <f t="shared" si="13"/>
        <v>-3.0385968136606042E-2</v>
      </c>
    </row>
    <row r="204" spans="1:30" x14ac:dyDescent="0.35">
      <c r="A204" t="s">
        <v>24</v>
      </c>
      <c r="E204">
        <v>5.2031428371798229E-3</v>
      </c>
      <c r="F204">
        <f t="shared" si="12"/>
        <v>-1.9833134313173868E-2</v>
      </c>
      <c r="G204">
        <f t="shared" si="13"/>
        <v>-3.0385968136606042E-2</v>
      </c>
    </row>
    <row r="205" spans="1:30" x14ac:dyDescent="0.35">
      <c r="A205" t="s">
        <v>24</v>
      </c>
      <c r="E205">
        <v>1.3164455667476404E-2</v>
      </c>
      <c r="F205">
        <f t="shared" si="12"/>
        <v>-1.9833543749914851E-2</v>
      </c>
      <c r="G205">
        <f t="shared" si="13"/>
        <v>-3.0385968136606042E-2</v>
      </c>
      <c r="V205" t="s">
        <v>225</v>
      </c>
    </row>
    <row r="206" spans="1:30" ht="15" thickBot="1" x14ac:dyDescent="0.4">
      <c r="A206" t="s">
        <v>24</v>
      </c>
      <c r="E206">
        <v>-7.8233471117412521E-4</v>
      </c>
      <c r="F206">
        <f t="shared" si="12"/>
        <v>-1.9833953186655831E-2</v>
      </c>
      <c r="G206">
        <f t="shared" si="13"/>
        <v>-3.0385968136606042E-2</v>
      </c>
    </row>
    <row r="207" spans="1:30" x14ac:dyDescent="0.35">
      <c r="A207" t="s">
        <v>24</v>
      </c>
      <c r="E207">
        <v>5.0388742369463337E-3</v>
      </c>
      <c r="F207">
        <f t="shared" si="12"/>
        <v>-1.9834362623396815E-2</v>
      </c>
      <c r="G207">
        <f t="shared" si="13"/>
        <v>-3.0385968136606042E-2</v>
      </c>
      <c r="V207" s="8" t="s">
        <v>226</v>
      </c>
      <c r="W207" s="8"/>
    </row>
    <row r="208" spans="1:30" x14ac:dyDescent="0.35">
      <c r="A208" t="s">
        <v>24</v>
      </c>
      <c r="E208">
        <v>-3.8346052913460263E-3</v>
      </c>
      <c r="F208">
        <f t="shared" si="12"/>
        <v>-1.9834772060137798E-2</v>
      </c>
      <c r="G208">
        <f t="shared" si="13"/>
        <v>-3.0385968136606042E-2</v>
      </c>
      <c r="V208" t="s">
        <v>227</v>
      </c>
      <c r="W208">
        <v>0.64892489748626692</v>
      </c>
    </row>
    <row r="209" spans="1:30" x14ac:dyDescent="0.35">
      <c r="A209" t="s">
        <v>24</v>
      </c>
      <c r="E209">
        <v>-6.9490030650606128E-3</v>
      </c>
      <c r="F209">
        <f t="shared" si="12"/>
        <v>-1.9835181496878782E-2</v>
      </c>
      <c r="G209">
        <f t="shared" si="13"/>
        <v>-3.0385968136606042E-2</v>
      </c>
      <c r="V209" t="s">
        <v>228</v>
      </c>
      <c r="W209">
        <v>0.42110352257756206</v>
      </c>
      <c r="Y209" t="s">
        <v>389</v>
      </c>
    </row>
    <row r="210" spans="1:30" x14ac:dyDescent="0.35">
      <c r="A210" t="s">
        <v>24</v>
      </c>
      <c r="E210">
        <v>4.1448695242715253E-3</v>
      </c>
      <c r="F210">
        <f t="shared" si="12"/>
        <v>-1.9835590933619765E-2</v>
      </c>
      <c r="G210">
        <f t="shared" si="13"/>
        <v>-3.0385968136606042E-2</v>
      </c>
      <c r="V210" t="s">
        <v>228</v>
      </c>
      <c r="W210">
        <v>0.41134684037381308</v>
      </c>
    </row>
    <row r="211" spans="1:30" x14ac:dyDescent="0.35">
      <c r="A211" t="s">
        <v>24</v>
      </c>
      <c r="E211">
        <v>9.2296157469025266E-4</v>
      </c>
      <c r="F211">
        <f t="shared" si="12"/>
        <v>-1.9836000370360745E-2</v>
      </c>
      <c r="G211">
        <f t="shared" si="13"/>
        <v>-3.0385968136606042E-2</v>
      </c>
      <c r="V211" t="s">
        <v>229</v>
      </c>
      <c r="W211">
        <v>9.1367286034314491E-3</v>
      </c>
    </row>
    <row r="212" spans="1:30" ht="15" thickBot="1" x14ac:dyDescent="0.4">
      <c r="A212" t="s">
        <v>25</v>
      </c>
      <c r="B212" s="3" cm="1">
        <f t="array" ref="B212">_xlfn.STDEV.S(_xlfn._xlws.FILTER($E$2:$E$1000, $A$2:$A$1000="2010-11"))</f>
        <v>1.1061177515163603E-2</v>
      </c>
      <c r="C212" s="3" cm="1">
        <f t="array" ref="C212">AVERAGE(_xlfn._xlws.FILTER($E$2:$E$1000, $A$2:$A$1000="2010-11"))</f>
        <v>5.959516090800885E-4</v>
      </c>
      <c r="D212" s="3" cm="1">
        <f t="array" ref="D212">_xlfn.PERCENTILE.EXC(_xlfn._xlws.FILTER($E$126:$E$252, $A$126:$A$252="2010-11"), 0.05)</f>
        <v>-2.1781473364531852E-2</v>
      </c>
      <c r="E212">
        <v>5.2853843697187844E-4</v>
      </c>
      <c r="F212">
        <f t="shared" si="12"/>
        <v>-1.9836409807101728E-2</v>
      </c>
      <c r="G212">
        <f t="shared" si="13"/>
        <v>-3.0385968136606042E-2</v>
      </c>
      <c r="V212" s="6" t="s">
        <v>230</v>
      </c>
      <c r="W212" s="6">
        <v>182</v>
      </c>
    </row>
    <row r="213" spans="1:30" x14ac:dyDescent="0.35">
      <c r="A213" t="s">
        <v>25</v>
      </c>
      <c r="E213">
        <v>7.4590233431977059E-3</v>
      </c>
      <c r="F213">
        <f t="shared" si="12"/>
        <v>-1.9836819243842712E-2</v>
      </c>
      <c r="G213">
        <f t="shared" si="13"/>
        <v>-3.0385968136606042E-2</v>
      </c>
    </row>
    <row r="214" spans="1:30" ht="15" thickBot="1" x14ac:dyDescent="0.4">
      <c r="A214" t="s">
        <v>25</v>
      </c>
      <c r="E214">
        <v>-5.5017765969460671E-3</v>
      </c>
      <c r="F214">
        <f t="shared" si="12"/>
        <v>-1.9837228680583692E-2</v>
      </c>
      <c r="G214">
        <f t="shared" si="13"/>
        <v>-3.0385968136606042E-2</v>
      </c>
      <c r="V214" t="s">
        <v>231</v>
      </c>
    </row>
    <row r="215" spans="1:30" x14ac:dyDescent="0.35">
      <c r="A215" t="s">
        <v>25</v>
      </c>
      <c r="E215">
        <v>1.7508792159845479E-2</v>
      </c>
      <c r="F215">
        <f t="shared" si="12"/>
        <v>-1.9837638117324675E-2</v>
      </c>
      <c r="G215">
        <f t="shared" si="13"/>
        <v>-3.0385968136606042E-2</v>
      </c>
      <c r="V215" s="7"/>
      <c r="W215" s="7" t="s">
        <v>236</v>
      </c>
      <c r="X215" s="7" t="s">
        <v>237</v>
      </c>
      <c r="Y215" s="7" t="s">
        <v>238</v>
      </c>
      <c r="Z215" s="7" t="s">
        <v>239</v>
      </c>
      <c r="AA215" s="7" t="s">
        <v>240</v>
      </c>
    </row>
    <row r="216" spans="1:30" x14ac:dyDescent="0.35">
      <c r="A216" t="s">
        <v>25</v>
      </c>
      <c r="E216">
        <v>2.8927530145184061E-3</v>
      </c>
      <c r="F216">
        <f t="shared" si="12"/>
        <v>-1.9838047554065659E-2</v>
      </c>
      <c r="G216">
        <f t="shared" si="13"/>
        <v>-3.0385968136606042E-2</v>
      </c>
      <c r="V216" t="s">
        <v>232</v>
      </c>
      <c r="W216">
        <v>3</v>
      </c>
      <c r="X216">
        <v>1.0809097131918492E-2</v>
      </c>
      <c r="Y216">
        <v>3.6030323773061641E-3</v>
      </c>
      <c r="Z216">
        <v>43.160524631596104</v>
      </c>
      <c r="AA216">
        <v>5.199100208592379E-21</v>
      </c>
    </row>
    <row r="217" spans="1:30" x14ac:dyDescent="0.35">
      <c r="A217" t="s">
        <v>25</v>
      </c>
      <c r="E217">
        <v>-5.4795739151243473E-4</v>
      </c>
      <c r="F217">
        <f t="shared" si="12"/>
        <v>-1.9838456990806642E-2</v>
      </c>
      <c r="G217">
        <f t="shared" si="13"/>
        <v>-3.0385968136606042E-2</v>
      </c>
      <c r="V217" t="s">
        <v>233</v>
      </c>
      <c r="W217">
        <v>178</v>
      </c>
      <c r="X217">
        <v>1.4859406103951709E-2</v>
      </c>
      <c r="Y217">
        <v>8.3479809572762403E-5</v>
      </c>
    </row>
    <row r="218" spans="1:30" ht="15" thickBot="1" x14ac:dyDescent="0.4">
      <c r="A218" t="s">
        <v>25</v>
      </c>
      <c r="E218">
        <v>5.5117801934758915E-3</v>
      </c>
      <c r="F218">
        <f t="shared" si="12"/>
        <v>-1.9838866427547622E-2</v>
      </c>
      <c r="G218">
        <f t="shared" si="13"/>
        <v>-3.0385968136606042E-2</v>
      </c>
      <c r="V218" s="6" t="s">
        <v>234</v>
      </c>
      <c r="W218" s="6">
        <v>181</v>
      </c>
      <c r="X218" s="6">
        <v>2.5668503235870201E-2</v>
      </c>
      <c r="Y218" s="6"/>
      <c r="Z218" s="6"/>
      <c r="AA218" s="6"/>
    </row>
    <row r="219" spans="1:30" ht="15" thickBot="1" x14ac:dyDescent="0.4">
      <c r="A219" t="s">
        <v>25</v>
      </c>
      <c r="E219">
        <v>-1.0064011680842234E-2</v>
      </c>
      <c r="F219">
        <f t="shared" si="12"/>
        <v>-1.9839275864288606E-2</v>
      </c>
      <c r="G219">
        <f t="shared" si="13"/>
        <v>-3.0385968136606042E-2</v>
      </c>
    </row>
    <row r="220" spans="1:30" x14ac:dyDescent="0.35">
      <c r="A220" t="s">
        <v>25</v>
      </c>
      <c r="E220">
        <v>5.3112157907085589E-4</v>
      </c>
      <c r="F220">
        <f t="shared" si="12"/>
        <v>-1.9839685301029589E-2</v>
      </c>
      <c r="G220">
        <f t="shared" si="13"/>
        <v>-3.0385968136606042E-2</v>
      </c>
      <c r="V220" s="7"/>
      <c r="W220" s="7" t="s">
        <v>241</v>
      </c>
      <c r="X220" s="7" t="s">
        <v>229</v>
      </c>
      <c r="Y220" s="7" t="s">
        <v>242</v>
      </c>
      <c r="Z220" s="7" t="s">
        <v>243</v>
      </c>
      <c r="AA220" s="7" t="s">
        <v>244</v>
      </c>
      <c r="AB220" s="7" t="s">
        <v>245</v>
      </c>
      <c r="AC220" s="7" t="s">
        <v>246</v>
      </c>
      <c r="AD220" s="7" t="s">
        <v>247</v>
      </c>
    </row>
    <row r="221" spans="1:30" x14ac:dyDescent="0.35">
      <c r="A221" t="s">
        <v>25</v>
      </c>
      <c r="E221">
        <v>1.6644354200180181E-3</v>
      </c>
      <c r="F221">
        <f t="shared" si="12"/>
        <v>-1.9842219908987942E-2</v>
      </c>
      <c r="G221">
        <f t="shared" si="13"/>
        <v>-3.0444885917810381E-2</v>
      </c>
      <c r="V221" t="s">
        <v>235</v>
      </c>
      <c r="W221">
        <v>2.3959468706057012E-3</v>
      </c>
      <c r="X221">
        <v>2.5539176439377215E-3</v>
      </c>
      <c r="Y221">
        <v>0.9381457057916498</v>
      </c>
      <c r="Z221">
        <v>0.34944074336521291</v>
      </c>
      <c r="AA221">
        <v>-2.643905398868628E-3</v>
      </c>
      <c r="AB221">
        <v>7.4357991400800308E-3</v>
      </c>
      <c r="AC221">
        <v>-2.643905398868628E-3</v>
      </c>
      <c r="AD221">
        <v>7.4357991400800308E-3</v>
      </c>
    </row>
    <row r="222" spans="1:30" x14ac:dyDescent="0.35">
      <c r="A222" t="s">
        <v>25</v>
      </c>
      <c r="E222">
        <v>8.216076349153955E-3</v>
      </c>
      <c r="F222">
        <f t="shared" si="12"/>
        <v>-1.9844754516946297E-2</v>
      </c>
      <c r="G222">
        <f t="shared" si="13"/>
        <v>-3.0444885917810381E-2</v>
      </c>
      <c r="V222" t="s">
        <v>248</v>
      </c>
      <c r="W222">
        <v>-8.7914458068074253E-4</v>
      </c>
      <c r="X222">
        <v>9.8981780945694986E-5</v>
      </c>
      <c r="Y222">
        <v>-8.8818828301652122</v>
      </c>
      <c r="Z222">
        <v>7.0372974029751095E-16</v>
      </c>
      <c r="AA222">
        <v>-1.0744733355135027E-3</v>
      </c>
      <c r="AB222">
        <v>-6.8381582584798228E-4</v>
      </c>
      <c r="AC222">
        <v>-1.0744733355135027E-3</v>
      </c>
      <c r="AD222">
        <v>-6.8381582584798228E-4</v>
      </c>
    </row>
    <row r="223" spans="1:30" x14ac:dyDescent="0.35">
      <c r="A223" t="s">
        <v>25</v>
      </c>
      <c r="E223">
        <v>-1.8870125333441835E-2</v>
      </c>
      <c r="F223">
        <f t="shared" si="12"/>
        <v>-1.984728912490465E-2</v>
      </c>
      <c r="G223">
        <f t="shared" si="13"/>
        <v>-3.0444885917810381E-2</v>
      </c>
      <c r="V223" t="s">
        <v>251</v>
      </c>
      <c r="W223">
        <v>-2.5536283117532752E-6</v>
      </c>
      <c r="X223">
        <v>3.1523788514164668E-6</v>
      </c>
      <c r="Y223">
        <v>-0.81006390161697939</v>
      </c>
      <c r="Z223">
        <v>0.41898508411321622</v>
      </c>
      <c r="AA223">
        <v>-8.7744724906040094E-6</v>
      </c>
      <c r="AB223">
        <v>3.6672158670974599E-6</v>
      </c>
      <c r="AC223">
        <v>-8.7744724906040094E-6</v>
      </c>
      <c r="AD223">
        <v>3.6672158670974599E-6</v>
      </c>
    </row>
    <row r="224" spans="1:30" ht="15" thickBot="1" x14ac:dyDescent="0.4">
      <c r="A224" t="s">
        <v>25</v>
      </c>
      <c r="E224">
        <v>5.512121360938706E-3</v>
      </c>
      <c r="F224">
        <f t="shared" si="12"/>
        <v>-1.9849823732863002E-2</v>
      </c>
      <c r="G224">
        <f t="shared" si="13"/>
        <v>-3.0444885917810381E-2</v>
      </c>
      <c r="V224" s="6" t="s">
        <v>252</v>
      </c>
      <c r="W224" s="6">
        <v>-8.5714396577877633E-2</v>
      </c>
      <c r="X224" s="6">
        <v>0.17401490880207743</v>
      </c>
      <c r="Y224" s="6">
        <v>-0.49256926988576716</v>
      </c>
      <c r="Z224" s="6">
        <v>0.6229239889960525</v>
      </c>
      <c r="AA224" s="6">
        <v>-0.42911209193046307</v>
      </c>
      <c r="AB224" s="6">
        <v>0.25768329877470775</v>
      </c>
      <c r="AC224" s="6">
        <v>-0.42911209193046307</v>
      </c>
      <c r="AD224" s="6">
        <v>0.25768329877470775</v>
      </c>
    </row>
    <row r="225" spans="1:7" x14ac:dyDescent="0.35">
      <c r="A225" t="s">
        <v>25</v>
      </c>
      <c r="E225">
        <v>1.951558295569298E-2</v>
      </c>
      <c r="F225">
        <f t="shared" si="12"/>
        <v>-1.9852358340821358E-2</v>
      </c>
      <c r="G225">
        <f t="shared" si="13"/>
        <v>-3.0444885917810381E-2</v>
      </c>
    </row>
    <row r="226" spans="1:7" x14ac:dyDescent="0.35">
      <c r="A226" t="s">
        <v>25</v>
      </c>
      <c r="E226">
        <v>1.6730457862302809E-3</v>
      </c>
      <c r="F226">
        <f t="shared" si="12"/>
        <v>-1.985489294877971E-2</v>
      </c>
      <c r="G226">
        <f t="shared" si="13"/>
        <v>-3.0444885917810381E-2</v>
      </c>
    </row>
    <row r="227" spans="1:7" x14ac:dyDescent="0.35">
      <c r="A227" t="s">
        <v>25</v>
      </c>
      <c r="E227">
        <v>-3.1465896468996124E-3</v>
      </c>
      <c r="F227">
        <f t="shared" si="12"/>
        <v>-1.9857427556738066E-2</v>
      </c>
      <c r="G227">
        <f t="shared" si="13"/>
        <v>-3.0444885917810381E-2</v>
      </c>
    </row>
    <row r="228" spans="1:7" x14ac:dyDescent="0.35">
      <c r="A228" t="s">
        <v>25</v>
      </c>
      <c r="E228">
        <v>-1.7306496464918664E-2</v>
      </c>
      <c r="F228">
        <f t="shared" si="12"/>
        <v>-1.9859962164696418E-2</v>
      </c>
      <c r="G228">
        <f t="shared" si="13"/>
        <v>-3.0444885917810381E-2</v>
      </c>
    </row>
    <row r="229" spans="1:7" x14ac:dyDescent="0.35">
      <c r="A229" t="s">
        <v>25</v>
      </c>
      <c r="E229">
        <v>1.7562984702674984E-2</v>
      </c>
      <c r="F229">
        <f t="shared" si="12"/>
        <v>-1.986249677265477E-2</v>
      </c>
      <c r="G229">
        <f t="shared" si="13"/>
        <v>-3.0444885917810381E-2</v>
      </c>
    </row>
    <row r="230" spans="1:7" x14ac:dyDescent="0.35">
      <c r="A230" t="s">
        <v>25</v>
      </c>
      <c r="E230">
        <v>8.1527306831448883E-3</v>
      </c>
      <c r="F230">
        <f t="shared" si="12"/>
        <v>-1.9865031380613126E-2</v>
      </c>
      <c r="G230">
        <f t="shared" si="13"/>
        <v>-3.0444885917810381E-2</v>
      </c>
    </row>
    <row r="231" spans="1:7" x14ac:dyDescent="0.35">
      <c r="A231" t="s">
        <v>25</v>
      </c>
      <c r="E231">
        <v>-4.4694960422832835E-3</v>
      </c>
      <c r="F231">
        <f t="shared" si="12"/>
        <v>-1.9867565988571478E-2</v>
      </c>
      <c r="G231">
        <f t="shared" si="13"/>
        <v>-3.0444885917810381E-2</v>
      </c>
    </row>
    <row r="232" spans="1:7" x14ac:dyDescent="0.35">
      <c r="A232" t="s">
        <v>25</v>
      </c>
      <c r="E232">
        <v>-2.2295240664135973E-2</v>
      </c>
      <c r="F232">
        <f t="shared" si="12"/>
        <v>-1.9870100596529834E-2</v>
      </c>
      <c r="G232">
        <f t="shared" si="13"/>
        <v>-3.0444885917810381E-2</v>
      </c>
    </row>
    <row r="233" spans="1:7" x14ac:dyDescent="0.35">
      <c r="A233" t="s">
        <v>25</v>
      </c>
      <c r="E233">
        <v>-1.4163567641919811E-3</v>
      </c>
      <c r="F233">
        <f t="shared" si="12"/>
        <v>-1.9836819243842712E-2</v>
      </c>
      <c r="G233">
        <f t="shared" si="13"/>
        <v>-3.0431167731424309E-2</v>
      </c>
    </row>
    <row r="234" spans="1:7" x14ac:dyDescent="0.35">
      <c r="A234" t="s">
        <v>26</v>
      </c>
      <c r="B234" s="3" cm="1">
        <f t="array" ref="B234">_xlfn.STDEV.S(_xlfn._xlws.FILTER($E$2:$E$1000, $A$2:$A$1000="2010-12"))</f>
        <v>8.419169347054908E-3</v>
      </c>
      <c r="C234" s="3" cm="1">
        <f t="array" ref="C234">AVERAGE(_xlfn._xlws.FILTER($E$2:$E$1000, $A$2:$A$1000="2010-12"))</f>
        <v>1.7467201551263538E-3</v>
      </c>
      <c r="D234" s="3" cm="1">
        <f t="array" ref="D234">_xlfn.PERCENTILE.EXC(_xlfn._xlws.FILTER($E$126:$E$252, $A$126:$A$252="2010-12"), 0.05)</f>
        <v>-1.1686975114596822E-2</v>
      </c>
      <c r="E234">
        <v>2.6285308658493229E-2</v>
      </c>
      <c r="F234">
        <f t="shared" si="12"/>
        <v>-1.9837228680583692E-2</v>
      </c>
      <c r="G234">
        <f t="shared" si="13"/>
        <v>-3.0431167731424309E-2</v>
      </c>
    </row>
    <row r="235" spans="1:7" x14ac:dyDescent="0.35">
      <c r="A235" t="s">
        <v>26</v>
      </c>
      <c r="E235">
        <v>1.31625772622639E-2</v>
      </c>
      <c r="F235">
        <f t="shared" si="12"/>
        <v>-1.9837638117324675E-2</v>
      </c>
      <c r="G235">
        <f t="shared" si="13"/>
        <v>-3.0431167731424309E-2</v>
      </c>
    </row>
    <row r="236" spans="1:7" x14ac:dyDescent="0.35">
      <c r="A236" t="s">
        <v>26</v>
      </c>
      <c r="E236">
        <v>-1.4224763695144223E-3</v>
      </c>
      <c r="F236">
        <f t="shared" si="12"/>
        <v>-1.9838047554065659E-2</v>
      </c>
      <c r="G236">
        <f t="shared" si="13"/>
        <v>-3.0431167731424309E-2</v>
      </c>
    </row>
    <row r="237" spans="1:7" x14ac:dyDescent="0.35">
      <c r="A237" t="s">
        <v>26</v>
      </c>
      <c r="E237">
        <v>9.5812870134672217E-4</v>
      </c>
      <c r="F237">
        <f t="shared" si="12"/>
        <v>-1.9838456990806642E-2</v>
      </c>
      <c r="G237">
        <f t="shared" si="13"/>
        <v>-3.0431167731424309E-2</v>
      </c>
    </row>
    <row r="238" spans="1:7" x14ac:dyDescent="0.35">
      <c r="A238" t="s">
        <v>26</v>
      </c>
      <c r="E238">
        <v>6.8112920779906036E-3</v>
      </c>
      <c r="F238">
        <f t="shared" si="12"/>
        <v>-1.9838866427547622E-2</v>
      </c>
      <c r="G238">
        <f t="shared" si="13"/>
        <v>-3.0431167731424309E-2</v>
      </c>
    </row>
    <row r="239" spans="1:7" x14ac:dyDescent="0.35">
      <c r="A239" t="s">
        <v>26</v>
      </c>
      <c r="E239">
        <v>-3.7259178674925284E-3</v>
      </c>
      <c r="F239">
        <f t="shared" si="12"/>
        <v>-1.9839275864288606E-2</v>
      </c>
      <c r="G239">
        <f t="shared" si="13"/>
        <v>-3.0431167731424309E-2</v>
      </c>
    </row>
    <row r="240" spans="1:7" x14ac:dyDescent="0.35">
      <c r="A240" t="s">
        <v>26</v>
      </c>
      <c r="E240">
        <v>-1.6800541683726386E-3</v>
      </c>
      <c r="F240">
        <f t="shared" si="12"/>
        <v>-1.9839685301029589E-2</v>
      </c>
      <c r="G240">
        <f t="shared" si="13"/>
        <v>-3.0431167731424309E-2</v>
      </c>
    </row>
    <row r="241" spans="1:7" x14ac:dyDescent="0.35">
      <c r="A241" t="s">
        <v>26</v>
      </c>
      <c r="E241">
        <v>6.0141924531279768E-3</v>
      </c>
      <c r="F241">
        <f t="shared" si="12"/>
        <v>-1.9842219908987942E-2</v>
      </c>
      <c r="G241">
        <f t="shared" si="13"/>
        <v>-3.0490670441707425E-2</v>
      </c>
    </row>
    <row r="242" spans="1:7" x14ac:dyDescent="0.35">
      <c r="A242" t="s">
        <v>26</v>
      </c>
      <c r="E242">
        <v>3.3087416795530636E-3</v>
      </c>
      <c r="F242">
        <f t="shared" si="12"/>
        <v>-1.9844754516946297E-2</v>
      </c>
      <c r="G242">
        <f t="shared" si="13"/>
        <v>-3.0490670441707425E-2</v>
      </c>
    </row>
    <row r="243" spans="1:7" x14ac:dyDescent="0.35">
      <c r="A243" t="s">
        <v>26</v>
      </c>
      <c r="E243">
        <v>-2.831371903962652E-4</v>
      </c>
      <c r="F243">
        <f t="shared" si="12"/>
        <v>-1.984728912490465E-2</v>
      </c>
      <c r="G243">
        <f t="shared" si="13"/>
        <v>-3.0490670441707425E-2</v>
      </c>
    </row>
    <row r="244" spans="1:7" x14ac:dyDescent="0.35">
      <c r="A244" t="s">
        <v>26</v>
      </c>
      <c r="E244">
        <v>-1.5708036044414586E-3</v>
      </c>
      <c r="F244">
        <f t="shared" si="12"/>
        <v>-1.9849823732863002E-2</v>
      </c>
      <c r="G244">
        <f t="shared" si="13"/>
        <v>-3.0490670441707425E-2</v>
      </c>
    </row>
    <row r="245" spans="1:7" x14ac:dyDescent="0.35">
      <c r="A245" t="s">
        <v>26</v>
      </c>
      <c r="E245">
        <v>1.1438120381537119E-3</v>
      </c>
      <c r="F245">
        <f t="shared" si="12"/>
        <v>-1.9852358340821358E-2</v>
      </c>
      <c r="G245">
        <f t="shared" si="13"/>
        <v>-3.0490670441707425E-2</v>
      </c>
    </row>
    <row r="246" spans="1:7" x14ac:dyDescent="0.35">
      <c r="A246" t="s">
        <v>26</v>
      </c>
      <c r="E246">
        <v>-5.9899442670465729E-3</v>
      </c>
      <c r="F246">
        <f t="shared" si="12"/>
        <v>-1.985489294877971E-2</v>
      </c>
      <c r="G246">
        <f t="shared" si="13"/>
        <v>-3.0490670441707425E-2</v>
      </c>
    </row>
    <row r="247" spans="1:7" x14ac:dyDescent="0.35">
      <c r="A247" t="s">
        <v>26</v>
      </c>
      <c r="E247">
        <v>5.1639098969270859E-3</v>
      </c>
      <c r="F247">
        <f t="shared" si="12"/>
        <v>-1.9857427556738066E-2</v>
      </c>
      <c r="G247">
        <f t="shared" si="13"/>
        <v>-3.0490670441707425E-2</v>
      </c>
    </row>
    <row r="248" spans="1:7" x14ac:dyDescent="0.35">
      <c r="A248" t="s">
        <v>26</v>
      </c>
      <c r="E248">
        <v>8.4262011443479914E-3</v>
      </c>
      <c r="F248">
        <f t="shared" si="12"/>
        <v>-1.9859962164696418E-2</v>
      </c>
      <c r="G248">
        <f t="shared" si="13"/>
        <v>-3.0490670441707425E-2</v>
      </c>
    </row>
    <row r="249" spans="1:7" x14ac:dyDescent="0.35">
      <c r="A249" t="s">
        <v>26</v>
      </c>
      <c r="E249">
        <v>-1.423733319525464E-3</v>
      </c>
      <c r="F249">
        <f t="shared" si="12"/>
        <v>-1.986249677265477E-2</v>
      </c>
      <c r="G249">
        <f t="shared" si="13"/>
        <v>-3.0490670441707425E-2</v>
      </c>
    </row>
    <row r="250" spans="1:7" x14ac:dyDescent="0.35">
      <c r="A250" t="s">
        <v>26</v>
      </c>
      <c r="E250">
        <v>-1.4484332766528389E-3</v>
      </c>
      <c r="F250">
        <f t="shared" si="12"/>
        <v>-1.9865031380613126E-2</v>
      </c>
      <c r="G250">
        <f t="shared" si="13"/>
        <v>-3.0490670441707425E-2</v>
      </c>
    </row>
    <row r="251" spans="1:7" x14ac:dyDescent="0.35">
      <c r="A251" t="s">
        <v>26</v>
      </c>
      <c r="E251">
        <v>-8.855005786764545E-3</v>
      </c>
      <c r="F251">
        <f t="shared" si="12"/>
        <v>-1.9867565988571478E-2</v>
      </c>
      <c r="G251">
        <f t="shared" si="13"/>
        <v>-3.0490670441707425E-2</v>
      </c>
    </row>
    <row r="252" spans="1:7" x14ac:dyDescent="0.35">
      <c r="A252" t="s">
        <v>26</v>
      </c>
      <c r="E252">
        <v>-1.1686975114596822E-2</v>
      </c>
      <c r="F252">
        <f t="shared" si="12"/>
        <v>-1.9870100596529834E-2</v>
      </c>
      <c r="G252">
        <f t="shared" si="13"/>
        <v>-3.0490670441707425E-2</v>
      </c>
    </row>
    <row r="253" spans="1:7" x14ac:dyDescent="0.35">
      <c r="A253" t="s">
        <v>27</v>
      </c>
      <c r="B253" s="3" cm="1">
        <f t="array" ref="B253">_xlfn.STDEV.S(_xlfn._xlws.FILTER($E$2:$E$1000, $A$2:$A$1000="2011-01"))</f>
        <v>8.0216204576962925E-3</v>
      </c>
      <c r="C253" s="3" cm="1">
        <f t="array" ref="C253">AVERAGE(_xlfn._xlws.FILTER($E$2:$E$1000, $A$2:$A$1000="2011-01"))</f>
        <v>1.1671045273542893E-3</v>
      </c>
      <c r="D253" s="3" cm="1">
        <f t="array" ref="D253">_xlfn.PERCENTILE.EXC(_xlfn._xlws.FILTER($E$253:$E$502, $A$253:$A$502="2011-01"), 0.05)</f>
        <v>-1.2921048918942411E-2</v>
      </c>
      <c r="E253">
        <v>8.8066840637132122E-3</v>
      </c>
      <c r="F253">
        <f t="shared" si="12"/>
        <v>-1.9872635204488186E-2</v>
      </c>
      <c r="G253">
        <f t="shared" si="13"/>
        <v>-3.0490670441707425E-2</v>
      </c>
    </row>
    <row r="254" spans="1:7" x14ac:dyDescent="0.35">
      <c r="A254" t="s">
        <v>27</v>
      </c>
      <c r="D254" s="5"/>
      <c r="E254">
        <v>-5.1066680770343138E-3</v>
      </c>
      <c r="F254">
        <f t="shared" si="12"/>
        <v>-1.9875169812446539E-2</v>
      </c>
      <c r="G254">
        <f t="shared" si="13"/>
        <v>-3.0490670441707425E-2</v>
      </c>
    </row>
    <row r="255" spans="1:7" x14ac:dyDescent="0.35">
      <c r="A255" t="s">
        <v>27</v>
      </c>
      <c r="D255" s="5"/>
      <c r="E255">
        <v>5.9721997666796747E-3</v>
      </c>
      <c r="F255">
        <f t="shared" si="12"/>
        <v>-1.9877704420404894E-2</v>
      </c>
      <c r="G255">
        <f t="shared" si="13"/>
        <v>-3.0490670441707425E-2</v>
      </c>
    </row>
    <row r="256" spans="1:7" x14ac:dyDescent="0.35">
      <c r="A256" t="s">
        <v>27</v>
      </c>
      <c r="D256" s="5"/>
      <c r="E256">
        <v>-4.8172174454611276E-3</v>
      </c>
      <c r="F256">
        <f t="shared" si="12"/>
        <v>-1.9880239028363247E-2</v>
      </c>
      <c r="G256">
        <f t="shared" si="13"/>
        <v>-3.0490670441707425E-2</v>
      </c>
    </row>
    <row r="257" spans="1:7" x14ac:dyDescent="0.35">
      <c r="A257" t="s">
        <v>27</v>
      </c>
      <c r="D257" s="5"/>
      <c r="E257">
        <v>-1.3152041457908246E-2</v>
      </c>
      <c r="F257">
        <f t="shared" si="12"/>
        <v>-1.9882773636321602E-2</v>
      </c>
      <c r="G257">
        <f t="shared" si="13"/>
        <v>-3.0490670441707425E-2</v>
      </c>
    </row>
    <row r="258" spans="1:7" x14ac:dyDescent="0.35">
      <c r="A258" t="s">
        <v>27</v>
      </c>
      <c r="D258" s="5"/>
      <c r="E258">
        <v>1.2249195271366552E-2</v>
      </c>
      <c r="F258">
        <f t="shared" si="12"/>
        <v>-1.9885308244279955E-2</v>
      </c>
      <c r="G258">
        <f t="shared" si="13"/>
        <v>-3.0490670441707425E-2</v>
      </c>
    </row>
    <row r="259" spans="1:7" x14ac:dyDescent="0.35">
      <c r="A259" t="s">
        <v>27</v>
      </c>
      <c r="D259" s="5"/>
      <c r="E259">
        <v>1.8159931187510945E-2</v>
      </c>
      <c r="F259">
        <f t="shared" si="12"/>
        <v>-1.9887842852238307E-2</v>
      </c>
      <c r="G259">
        <f t="shared" si="13"/>
        <v>-3.0490670441707425E-2</v>
      </c>
    </row>
    <row r="260" spans="1:7" x14ac:dyDescent="0.35">
      <c r="A260" t="s">
        <v>27</v>
      </c>
      <c r="D260" s="5"/>
      <c r="E260">
        <v>8.9508620649935919E-4</v>
      </c>
      <c r="F260">
        <f t="shared" ref="F260:F323" si="14">_xlfn.PERCENTILE.EXC(E260:E4075,0.05)</f>
        <v>-1.9890377460196663E-2</v>
      </c>
      <c r="G260">
        <f t="shared" ref="G260:G323" si="15">AVERAGEIFS(E260:E4076,E260:E4076,"&lt;=" &amp; F260)</f>
        <v>-3.0490670441707425E-2</v>
      </c>
    </row>
    <row r="261" spans="1:7" x14ac:dyDescent="0.35">
      <c r="A261" t="s">
        <v>27</v>
      </c>
      <c r="D261" s="5"/>
      <c r="E261">
        <v>8.3387452780678991E-5</v>
      </c>
      <c r="F261">
        <f t="shared" si="14"/>
        <v>-1.9892997512343705E-2</v>
      </c>
      <c r="G261">
        <f t="shared" si="15"/>
        <v>-3.0550559102619921E-2</v>
      </c>
    </row>
    <row r="262" spans="1:7" x14ac:dyDescent="0.35">
      <c r="A262" t="s">
        <v>27</v>
      </c>
      <c r="D262" s="5"/>
      <c r="E262">
        <v>3.3348029384014258E-4</v>
      </c>
      <c r="F262">
        <f t="shared" si="14"/>
        <v>-1.9895617564490747E-2</v>
      </c>
      <c r="G262">
        <f t="shared" si="15"/>
        <v>-3.0550559102619921E-2</v>
      </c>
    </row>
    <row r="263" spans="1:7" x14ac:dyDescent="0.35">
      <c r="A263" t="s">
        <v>27</v>
      </c>
      <c r="D263" s="5"/>
      <c r="E263">
        <v>9.1959940702852957E-3</v>
      </c>
      <c r="F263">
        <f t="shared" si="14"/>
        <v>-1.9898237616637789E-2</v>
      </c>
      <c r="G263">
        <f t="shared" si="15"/>
        <v>-3.0550559102619921E-2</v>
      </c>
    </row>
    <row r="264" spans="1:7" x14ac:dyDescent="0.35">
      <c r="A264" t="s">
        <v>27</v>
      </c>
      <c r="D264" s="5"/>
      <c r="E264">
        <v>-8.5321906785915703E-3</v>
      </c>
      <c r="F264">
        <f t="shared" si="14"/>
        <v>-1.9900857668784831E-2</v>
      </c>
      <c r="G264">
        <f t="shared" si="15"/>
        <v>-3.0550559102619921E-2</v>
      </c>
    </row>
    <row r="265" spans="1:7" x14ac:dyDescent="0.35">
      <c r="A265" t="s">
        <v>27</v>
      </c>
      <c r="D265" s="5"/>
      <c r="E265">
        <v>-8.2923670203647829E-3</v>
      </c>
      <c r="F265">
        <f t="shared" si="14"/>
        <v>-1.9903477720931876E-2</v>
      </c>
      <c r="G265">
        <f t="shared" si="15"/>
        <v>-3.0550559102619921E-2</v>
      </c>
    </row>
    <row r="266" spans="1:7" x14ac:dyDescent="0.35">
      <c r="A266" t="s">
        <v>27</v>
      </c>
      <c r="D266" s="5"/>
      <c r="E266">
        <v>5.4164737452080279E-3</v>
      </c>
      <c r="F266">
        <f t="shared" si="14"/>
        <v>-1.9906097773078918E-2</v>
      </c>
      <c r="G266">
        <f t="shared" si="15"/>
        <v>-3.0550559102619921E-2</v>
      </c>
    </row>
    <row r="267" spans="1:7" x14ac:dyDescent="0.35">
      <c r="A267" t="s">
        <v>27</v>
      </c>
      <c r="D267" s="5"/>
      <c r="E267">
        <v>7.572439232097748E-4</v>
      </c>
      <c r="F267">
        <f t="shared" si="14"/>
        <v>-1.990871782522596E-2</v>
      </c>
      <c r="G267">
        <f t="shared" si="15"/>
        <v>-3.0550559102619921E-2</v>
      </c>
    </row>
    <row r="268" spans="1:7" x14ac:dyDescent="0.35">
      <c r="A268" t="s">
        <v>27</v>
      </c>
      <c r="D268" s="5"/>
      <c r="E268">
        <v>-1.2401978544022529E-3</v>
      </c>
      <c r="F268">
        <f t="shared" si="14"/>
        <v>-1.9911337877373002E-2</v>
      </c>
      <c r="G268">
        <f t="shared" si="15"/>
        <v>-3.0550559102619921E-2</v>
      </c>
    </row>
    <row r="269" spans="1:7" x14ac:dyDescent="0.35">
      <c r="A269" t="s">
        <v>27</v>
      </c>
      <c r="D269" s="5"/>
      <c r="E269">
        <v>9.6346812923714942E-3</v>
      </c>
      <c r="F269">
        <f t="shared" si="14"/>
        <v>-1.9913957929520044E-2</v>
      </c>
      <c r="G269">
        <f t="shared" si="15"/>
        <v>-3.0550559102619921E-2</v>
      </c>
    </row>
    <row r="270" spans="1:7" x14ac:dyDescent="0.35">
      <c r="A270" t="s">
        <v>27</v>
      </c>
      <c r="D270" s="5"/>
      <c r="E270">
        <v>3.9529755813677873E-3</v>
      </c>
      <c r="F270">
        <f t="shared" si="14"/>
        <v>-1.9916577981667086E-2</v>
      </c>
      <c r="G270">
        <f t="shared" si="15"/>
        <v>-3.0550559102619921E-2</v>
      </c>
    </row>
    <row r="271" spans="1:7" x14ac:dyDescent="0.35">
      <c r="A271" t="s">
        <v>27</v>
      </c>
      <c r="D271" s="5"/>
      <c r="E271">
        <v>-7.4033994147792393E-3</v>
      </c>
      <c r="F271">
        <f t="shared" si="14"/>
        <v>-1.9919198033814128E-2</v>
      </c>
      <c r="G271">
        <f t="shared" si="15"/>
        <v>-3.0550559102619921E-2</v>
      </c>
    </row>
    <row r="272" spans="1:7" x14ac:dyDescent="0.35">
      <c r="A272" t="s">
        <v>27</v>
      </c>
      <c r="D272" s="5"/>
      <c r="E272">
        <v>-3.5711603592056274E-3</v>
      </c>
      <c r="F272">
        <f t="shared" si="14"/>
        <v>-1.9921818085961173E-2</v>
      </c>
      <c r="G272">
        <f t="shared" si="15"/>
        <v>-3.0550559102619921E-2</v>
      </c>
    </row>
    <row r="273" spans="1:7" x14ac:dyDescent="0.35">
      <c r="A273" t="s">
        <v>28</v>
      </c>
      <c r="B273" s="3" cm="1">
        <f t="array" ref="B273">_xlfn.STDEV.S(_xlfn._xlws.FILTER($E$2:$E$1000, $A$2:$A$1000="2011-02"))</f>
        <v>7.7554773135869969E-3</v>
      </c>
      <c r="C273" s="3" cm="1">
        <f t="array" ref="C273">AVERAGE(_xlfn._xlws.FILTER($E$2:$E$1000, $A$2:$A$1000="2011-02"))</f>
        <v>1.3578724082057552E-3</v>
      </c>
      <c r="D273" s="3" cm="1">
        <f t="array" ref="D273">_xlfn.PERCENTILE.EXC(_xlfn._xlws.FILTER($E$253:$E$502, $A$253:$A$502="2011-02"), 0.05)</f>
        <v>-1.6913383735274616E-2</v>
      </c>
      <c r="E273">
        <v>1.4976001669249653E-2</v>
      </c>
      <c r="F273">
        <f t="shared" si="14"/>
        <v>-1.9924438138108215E-2</v>
      </c>
      <c r="G273">
        <f t="shared" si="15"/>
        <v>-3.0550559102619921E-2</v>
      </c>
    </row>
    <row r="274" spans="1:7" x14ac:dyDescent="0.35">
      <c r="A274" t="s">
        <v>28</v>
      </c>
      <c r="D274" s="5"/>
      <c r="E274">
        <v>-8.3519279778338962E-5</v>
      </c>
      <c r="F274">
        <f t="shared" si="14"/>
        <v>-1.9927058190255257E-2</v>
      </c>
      <c r="G274">
        <f t="shared" si="15"/>
        <v>-3.0550559102619921E-2</v>
      </c>
    </row>
    <row r="275" spans="1:7" x14ac:dyDescent="0.35">
      <c r="A275" t="s">
        <v>28</v>
      </c>
      <c r="D275" s="5"/>
      <c r="E275">
        <v>1.3924682389204806E-3</v>
      </c>
      <c r="F275">
        <f t="shared" si="14"/>
        <v>-1.9929678242402299E-2</v>
      </c>
      <c r="G275">
        <f t="shared" si="15"/>
        <v>-3.0550559102619921E-2</v>
      </c>
    </row>
    <row r="276" spans="1:7" x14ac:dyDescent="0.35">
      <c r="A276" t="s">
        <v>28</v>
      </c>
      <c r="D276" s="5"/>
      <c r="E276">
        <v>3.1270215607041136E-3</v>
      </c>
      <c r="F276">
        <f t="shared" si="14"/>
        <v>-1.9932298294549341E-2</v>
      </c>
      <c r="G276">
        <f t="shared" si="15"/>
        <v>-3.0550559102619921E-2</v>
      </c>
    </row>
    <row r="277" spans="1:7" x14ac:dyDescent="0.35">
      <c r="A277" t="s">
        <v>28</v>
      </c>
      <c r="D277" s="5"/>
      <c r="E277">
        <v>9.2981070342351996E-3</v>
      </c>
      <c r="F277">
        <f t="shared" si="14"/>
        <v>-1.9934918346696383E-2</v>
      </c>
      <c r="G277">
        <f t="shared" si="15"/>
        <v>-3.0550559102619921E-2</v>
      </c>
    </row>
    <row r="278" spans="1:7" x14ac:dyDescent="0.35">
      <c r="A278" t="s">
        <v>28</v>
      </c>
      <c r="D278" s="5"/>
      <c r="E278">
        <v>5.4248616287290224E-3</v>
      </c>
      <c r="F278">
        <f t="shared" si="14"/>
        <v>-1.9937538398843425E-2</v>
      </c>
      <c r="G278">
        <f t="shared" si="15"/>
        <v>-3.0550559102619921E-2</v>
      </c>
    </row>
    <row r="279" spans="1:7" x14ac:dyDescent="0.35">
      <c r="A279" t="s">
        <v>28</v>
      </c>
      <c r="D279" s="5"/>
      <c r="E279">
        <v>-3.1958176033776203E-4</v>
      </c>
      <c r="F279">
        <f t="shared" si="14"/>
        <v>-1.994015845099047E-2</v>
      </c>
      <c r="G279">
        <f t="shared" si="15"/>
        <v>-3.0550559102619921E-2</v>
      </c>
    </row>
    <row r="280" spans="1:7" x14ac:dyDescent="0.35">
      <c r="A280" t="s">
        <v>28</v>
      </c>
      <c r="D280" s="5"/>
      <c r="E280">
        <v>2.6437178027454095E-3</v>
      </c>
      <c r="F280">
        <f t="shared" si="14"/>
        <v>-1.9942778503137512E-2</v>
      </c>
      <c r="G280">
        <f t="shared" si="15"/>
        <v>-3.0550559102619921E-2</v>
      </c>
    </row>
    <row r="281" spans="1:7" x14ac:dyDescent="0.35">
      <c r="A281" t="s">
        <v>28</v>
      </c>
      <c r="D281" s="5"/>
      <c r="E281">
        <v>4.2035261617103846E-3</v>
      </c>
      <c r="F281">
        <f t="shared" si="14"/>
        <v>-1.9947979811269959E-2</v>
      </c>
      <c r="G281">
        <f t="shared" si="15"/>
        <v>-3.0610830583298797E-2</v>
      </c>
    </row>
    <row r="282" spans="1:7" x14ac:dyDescent="0.35">
      <c r="A282" t="s">
        <v>28</v>
      </c>
      <c r="D282" s="5"/>
      <c r="E282">
        <v>3.4439758766679311E-3</v>
      </c>
      <c r="F282">
        <f t="shared" si="14"/>
        <v>-1.9953181119402412E-2</v>
      </c>
      <c r="G282">
        <f t="shared" si="15"/>
        <v>-3.0610830583298797E-2</v>
      </c>
    </row>
    <row r="283" spans="1:7" x14ac:dyDescent="0.35">
      <c r="A283" t="s">
        <v>28</v>
      </c>
      <c r="D283" s="5"/>
      <c r="E283">
        <v>4.6091452473676233E-4</v>
      </c>
      <c r="F283">
        <f t="shared" si="14"/>
        <v>-1.9958382427534858E-2</v>
      </c>
      <c r="G283">
        <f t="shared" si="15"/>
        <v>-3.0610830583298797E-2</v>
      </c>
    </row>
    <row r="284" spans="1:7" x14ac:dyDescent="0.35">
      <c r="A284" t="s">
        <v>28</v>
      </c>
      <c r="D284" s="5"/>
      <c r="E284">
        <v>1.9251622960266954E-3</v>
      </c>
      <c r="F284">
        <f t="shared" si="14"/>
        <v>-1.9963583735667308E-2</v>
      </c>
      <c r="G284">
        <f t="shared" si="15"/>
        <v>-3.0610830583298797E-2</v>
      </c>
    </row>
    <row r="285" spans="1:7" x14ac:dyDescent="0.35">
      <c r="A285" t="s">
        <v>28</v>
      </c>
      <c r="D285" s="5"/>
      <c r="E285">
        <v>-1.1862501652539984E-3</v>
      </c>
      <c r="F285">
        <f t="shared" si="14"/>
        <v>-1.9968785043799758E-2</v>
      </c>
      <c r="G285">
        <f t="shared" si="15"/>
        <v>-3.0610830583298797E-2</v>
      </c>
    </row>
    <row r="286" spans="1:7" x14ac:dyDescent="0.35">
      <c r="A286" t="s">
        <v>28</v>
      </c>
      <c r="D286" s="5"/>
      <c r="E286">
        <v>2.8721082935082307E-3</v>
      </c>
      <c r="F286">
        <f t="shared" si="14"/>
        <v>-1.9973986351932208E-2</v>
      </c>
      <c r="G286">
        <f t="shared" si="15"/>
        <v>-3.0610830583298797E-2</v>
      </c>
    </row>
    <row r="287" spans="1:7" x14ac:dyDescent="0.35">
      <c r="A287" t="s">
        <v>28</v>
      </c>
      <c r="D287" s="5"/>
      <c r="E287">
        <v>-1.4238860858052205E-2</v>
      </c>
      <c r="F287">
        <f t="shared" si="14"/>
        <v>-1.9979187660064658E-2</v>
      </c>
      <c r="G287">
        <f t="shared" si="15"/>
        <v>-3.0610830583298797E-2</v>
      </c>
    </row>
    <row r="288" spans="1:7" x14ac:dyDescent="0.35">
      <c r="A288" t="s">
        <v>28</v>
      </c>
      <c r="D288" s="5"/>
      <c r="E288">
        <v>-4.7267243860980412E-4</v>
      </c>
      <c r="F288">
        <f t="shared" si="14"/>
        <v>-1.9984388968197108E-2</v>
      </c>
      <c r="G288">
        <f t="shared" si="15"/>
        <v>-3.0610830583298797E-2</v>
      </c>
    </row>
    <row r="289" spans="1:7" x14ac:dyDescent="0.35">
      <c r="A289" t="s">
        <v>28</v>
      </c>
      <c r="D289" s="5"/>
      <c r="E289">
        <v>-1.7054148097233691E-2</v>
      </c>
      <c r="F289">
        <f t="shared" si="14"/>
        <v>-1.9989590276329558E-2</v>
      </c>
      <c r="G289">
        <f t="shared" si="15"/>
        <v>-3.0610830583298797E-2</v>
      </c>
    </row>
    <row r="290" spans="1:7" x14ac:dyDescent="0.35">
      <c r="A290" t="s">
        <v>28</v>
      </c>
      <c r="D290" s="5"/>
      <c r="E290">
        <v>-8.9493864366208924E-3</v>
      </c>
      <c r="F290">
        <f t="shared" si="14"/>
        <v>-1.9994791584462008E-2</v>
      </c>
      <c r="G290">
        <f t="shared" si="15"/>
        <v>-3.0610830583298797E-2</v>
      </c>
    </row>
    <row r="291" spans="1:7" x14ac:dyDescent="0.35">
      <c r="A291" t="s">
        <v>28</v>
      </c>
      <c r="D291" s="5"/>
      <c r="E291">
        <v>7.6378214600193346E-3</v>
      </c>
      <c r="F291">
        <f t="shared" si="14"/>
        <v>-1.9999992892594454E-2</v>
      </c>
      <c r="G291">
        <f t="shared" si="15"/>
        <v>-3.0610830583298797E-2</v>
      </c>
    </row>
    <row r="292" spans="1:7" x14ac:dyDescent="0.35">
      <c r="A292" t="s">
        <v>28</v>
      </c>
      <c r="D292" s="5"/>
      <c r="E292">
        <v>1.2056180652748568E-2</v>
      </c>
      <c r="F292">
        <f t="shared" si="14"/>
        <v>-2.0005194200726908E-2</v>
      </c>
      <c r="G292">
        <f t="shared" si="15"/>
        <v>-3.0610830583298797E-2</v>
      </c>
    </row>
    <row r="293" spans="1:7" x14ac:dyDescent="0.35">
      <c r="A293" t="s">
        <v>29</v>
      </c>
      <c r="B293" s="3" cm="1">
        <f t="array" ref="B293">_xlfn.STDEV.S(_xlfn._xlws.FILTER($E$2:$E$1000, $A$2:$A$1000="2011-03"))</f>
        <v>1.3143685899736175E-2</v>
      </c>
      <c r="C293" s="3" cm="1">
        <f t="array" ref="C293">AVERAGE(_xlfn._xlws.FILTER($E$2:$E$1000, $A$2:$A$1000="2011-03"))</f>
        <v>-1.4035273001173224E-3</v>
      </c>
      <c r="D293" s="3" cm="1">
        <f t="array" ref="D293">_xlfn.PERCENTILE.EXC(_xlfn._xlws.FILTER($E$253:$E$502, $A$253:$A$502="2011-03"), 0.05)</f>
        <v>-2.999398120496544E-2</v>
      </c>
      <c r="E293">
        <v>-6.7634481126076021E-3</v>
      </c>
      <c r="F293">
        <f t="shared" si="14"/>
        <v>-2.0010395508859354E-2</v>
      </c>
      <c r="G293">
        <f t="shared" si="15"/>
        <v>-3.0610830583298797E-2</v>
      </c>
    </row>
    <row r="294" spans="1:7" x14ac:dyDescent="0.35">
      <c r="A294" t="s">
        <v>29</v>
      </c>
      <c r="E294">
        <v>-5.8565524417702975E-3</v>
      </c>
      <c r="F294">
        <f t="shared" si="14"/>
        <v>-2.0015596816991804E-2</v>
      </c>
      <c r="G294">
        <f t="shared" si="15"/>
        <v>-3.0610830583298797E-2</v>
      </c>
    </row>
    <row r="295" spans="1:7" x14ac:dyDescent="0.35">
      <c r="A295" t="s">
        <v>29</v>
      </c>
      <c r="E295">
        <v>6.2247373910407884E-3</v>
      </c>
      <c r="F295">
        <f t="shared" si="14"/>
        <v>-2.0020798125124258E-2</v>
      </c>
      <c r="G295">
        <f t="shared" si="15"/>
        <v>-3.0610830583298797E-2</v>
      </c>
    </row>
    <row r="296" spans="1:7" x14ac:dyDescent="0.35">
      <c r="A296" t="s">
        <v>29</v>
      </c>
      <c r="E296">
        <v>-6.5339291634320812E-3</v>
      </c>
      <c r="F296">
        <f t="shared" si="14"/>
        <v>-2.0025999433256704E-2</v>
      </c>
      <c r="G296">
        <f t="shared" si="15"/>
        <v>-3.0610830583298797E-2</v>
      </c>
    </row>
    <row r="297" spans="1:7" x14ac:dyDescent="0.35">
      <c r="A297" t="s">
        <v>29</v>
      </c>
      <c r="E297">
        <v>-2.3666702584058878E-3</v>
      </c>
      <c r="F297">
        <f t="shared" si="14"/>
        <v>-2.0031200741389154E-2</v>
      </c>
      <c r="G297">
        <f t="shared" si="15"/>
        <v>-3.0610830583298797E-2</v>
      </c>
    </row>
    <row r="298" spans="1:7" x14ac:dyDescent="0.35">
      <c r="A298" t="s">
        <v>29</v>
      </c>
      <c r="E298">
        <v>3.9367111381275209E-4</v>
      </c>
      <c r="F298">
        <f t="shared" si="14"/>
        <v>-2.0036402049521604E-2</v>
      </c>
      <c r="G298">
        <f t="shared" si="15"/>
        <v>-3.0610830583298797E-2</v>
      </c>
    </row>
    <row r="299" spans="1:7" x14ac:dyDescent="0.35">
      <c r="A299" t="s">
        <v>29</v>
      </c>
      <c r="E299">
        <v>-4.609511853187807E-3</v>
      </c>
      <c r="F299">
        <f t="shared" si="14"/>
        <v>-2.0041603357654054E-2</v>
      </c>
      <c r="G299">
        <f t="shared" si="15"/>
        <v>-3.0610830583298797E-2</v>
      </c>
    </row>
    <row r="300" spans="1:7" x14ac:dyDescent="0.35">
      <c r="A300" t="s">
        <v>29</v>
      </c>
      <c r="E300">
        <v>-9.6810241765910732E-3</v>
      </c>
      <c r="F300">
        <f t="shared" si="14"/>
        <v>-2.0046804665786504E-2</v>
      </c>
      <c r="G300">
        <f t="shared" si="15"/>
        <v>-3.0610830583298797E-2</v>
      </c>
    </row>
    <row r="301" spans="1:7" x14ac:dyDescent="0.35">
      <c r="A301" t="s">
        <v>29</v>
      </c>
      <c r="E301">
        <v>-1.1620271764168359E-2</v>
      </c>
      <c r="F301">
        <f t="shared" si="14"/>
        <v>-2.0047258417046198E-2</v>
      </c>
      <c r="G301">
        <f t="shared" si="15"/>
        <v>-3.0671196445684581E-2</v>
      </c>
    </row>
    <row r="302" spans="1:7" x14ac:dyDescent="0.35">
      <c r="A302" t="s">
        <v>29</v>
      </c>
      <c r="E302">
        <v>-1.658891373479952E-2</v>
      </c>
      <c r="F302">
        <f t="shared" si="14"/>
        <v>-2.0047712168305896E-2</v>
      </c>
      <c r="G302">
        <f t="shared" si="15"/>
        <v>-3.0671196445684581E-2</v>
      </c>
    </row>
    <row r="303" spans="1:7" x14ac:dyDescent="0.35">
      <c r="A303" t="s">
        <v>29</v>
      </c>
      <c r="E303">
        <v>-3.2408534263017381E-2</v>
      </c>
      <c r="F303">
        <f t="shared" si="14"/>
        <v>-2.004816591956559E-2</v>
      </c>
      <c r="G303">
        <f t="shared" si="15"/>
        <v>-3.0671196445684581E-2</v>
      </c>
    </row>
    <row r="304" spans="1:7" x14ac:dyDescent="0.35">
      <c r="A304" t="s">
        <v>29</v>
      </c>
      <c r="E304">
        <v>-2.0335768972757691E-2</v>
      </c>
      <c r="F304">
        <f t="shared" si="14"/>
        <v>-1.9963583735667308E-2</v>
      </c>
      <c r="G304">
        <f t="shared" si="15"/>
        <v>-3.0600557990843262E-2</v>
      </c>
    </row>
    <row r="305" spans="1:7" x14ac:dyDescent="0.35">
      <c r="A305" t="s">
        <v>29</v>
      </c>
      <c r="E305">
        <v>2.172176224662533E-2</v>
      </c>
      <c r="F305">
        <f t="shared" si="14"/>
        <v>-1.9903477720931876E-2</v>
      </c>
      <c r="G305">
        <f t="shared" si="15"/>
        <v>-3.0598312331016862E-2</v>
      </c>
    </row>
    <row r="306" spans="1:7" x14ac:dyDescent="0.35">
      <c r="A306" t="s">
        <v>29</v>
      </c>
      <c r="E306">
        <v>1.1290207545827772E-3</v>
      </c>
      <c r="F306">
        <f t="shared" si="14"/>
        <v>-1.9906097773078918E-2</v>
      </c>
      <c r="G306">
        <f t="shared" si="15"/>
        <v>-3.0598312331016862E-2</v>
      </c>
    </row>
    <row r="307" spans="1:7" x14ac:dyDescent="0.35">
      <c r="A307" t="s">
        <v>29</v>
      </c>
      <c r="E307">
        <v>2.2510467933063494E-2</v>
      </c>
      <c r="F307">
        <f t="shared" si="14"/>
        <v>-1.990871782522596E-2</v>
      </c>
      <c r="G307">
        <f t="shared" si="15"/>
        <v>-3.0598312331016862E-2</v>
      </c>
    </row>
    <row r="308" spans="1:7" x14ac:dyDescent="0.35">
      <c r="A308" t="s">
        <v>29</v>
      </c>
      <c r="E308">
        <v>-5.1702354401564907E-3</v>
      </c>
      <c r="F308">
        <f t="shared" si="14"/>
        <v>-1.9911337877373002E-2</v>
      </c>
      <c r="G308">
        <f t="shared" si="15"/>
        <v>-3.0598312331016862E-2</v>
      </c>
    </row>
    <row r="309" spans="1:7" x14ac:dyDescent="0.35">
      <c r="A309" t="s">
        <v>29</v>
      </c>
      <c r="E309">
        <v>3.4566503470768472E-3</v>
      </c>
      <c r="F309">
        <f t="shared" si="14"/>
        <v>-1.9913957929520044E-2</v>
      </c>
      <c r="G309">
        <f t="shared" si="15"/>
        <v>-3.0598312331016862E-2</v>
      </c>
    </row>
    <row r="310" spans="1:7" x14ac:dyDescent="0.35">
      <c r="A310" t="s">
        <v>29</v>
      </c>
      <c r="E310">
        <v>1.8799464416635315E-2</v>
      </c>
      <c r="F310">
        <f t="shared" si="14"/>
        <v>-1.9916577981667086E-2</v>
      </c>
      <c r="G310">
        <f t="shared" si="15"/>
        <v>-3.0598312331016862E-2</v>
      </c>
    </row>
    <row r="311" spans="1:7" x14ac:dyDescent="0.35">
      <c r="A311" t="s">
        <v>29</v>
      </c>
      <c r="E311">
        <v>1.8415070398822969E-3</v>
      </c>
      <c r="F311">
        <f t="shared" si="14"/>
        <v>-1.9919198033814128E-2</v>
      </c>
      <c r="G311">
        <f t="shared" si="15"/>
        <v>-3.0598312331016862E-2</v>
      </c>
    </row>
    <row r="312" spans="1:7" x14ac:dyDescent="0.35">
      <c r="A312" t="s">
        <v>29</v>
      </c>
      <c r="E312">
        <v>-1.1134326778188567E-3</v>
      </c>
      <c r="F312">
        <f t="shared" si="14"/>
        <v>-1.9921818085961173E-2</v>
      </c>
      <c r="G312">
        <f t="shared" si="15"/>
        <v>-3.0598312331016862E-2</v>
      </c>
    </row>
    <row r="313" spans="1:7" x14ac:dyDescent="0.35">
      <c r="A313" t="s">
        <v>29</v>
      </c>
      <c r="E313">
        <v>-6.0404800486153494E-4</v>
      </c>
      <c r="F313">
        <f t="shared" si="14"/>
        <v>-1.9924438138108215E-2</v>
      </c>
      <c r="G313">
        <f t="shared" si="15"/>
        <v>-3.0598312331016862E-2</v>
      </c>
    </row>
    <row r="314" spans="1:7" x14ac:dyDescent="0.35">
      <c r="A314" t="s">
        <v>29</v>
      </c>
      <c r="E314">
        <v>1.7540986597202397E-2</v>
      </c>
      <c r="F314">
        <f t="shared" si="14"/>
        <v>-1.9927058190255257E-2</v>
      </c>
      <c r="G314">
        <f t="shared" si="15"/>
        <v>-3.0598312331016862E-2</v>
      </c>
    </row>
    <row r="315" spans="1:7" x14ac:dyDescent="0.35">
      <c r="A315" t="s">
        <v>29</v>
      </c>
      <c r="E315">
        <v>-2.247054879045834E-3</v>
      </c>
      <c r="F315">
        <f t="shared" si="14"/>
        <v>-1.9929678242402299E-2</v>
      </c>
      <c r="G315">
        <f t="shared" si="15"/>
        <v>-3.0598312331016862E-2</v>
      </c>
    </row>
    <row r="316" spans="1:7" x14ac:dyDescent="0.35">
      <c r="A316" t="s">
        <v>30</v>
      </c>
      <c r="B316" s="3" cm="1">
        <f t="array" ref="B316">_xlfn.STDEV.S(_xlfn._xlws.FILTER($E$2:$E$1000, $A$2:$A$1000="2011-04"))</f>
        <v>1.1334216262972796E-2</v>
      </c>
      <c r="C316" s="3" cm="1">
        <f t="array" ref="C316">AVERAGE(_xlfn._xlws.FILTER($E$2:$E$1000, $A$2:$A$1000="2011-04"))</f>
        <v>3.3221843265014784E-3</v>
      </c>
      <c r="D316" s="3" cm="1">
        <f t="array" ref="D316">_xlfn.PERCENTILE.INC(_xlfn._xlws.FILTER($E$253:$E$502, $A$253:$A$502="2011-04"), 0.05)</f>
        <v>-1.5311953325579806E-2</v>
      </c>
      <c r="E316">
        <v>1.9478687909699931E-2</v>
      </c>
      <c r="F316">
        <f t="shared" si="14"/>
        <v>-1.9932298294549341E-2</v>
      </c>
      <c r="G316">
        <f t="shared" si="15"/>
        <v>-3.0598312331016862E-2</v>
      </c>
    </row>
    <row r="317" spans="1:7" x14ac:dyDescent="0.35">
      <c r="A317" t="s">
        <v>30</v>
      </c>
      <c r="E317">
        <v>-6.2416669505771895E-4</v>
      </c>
      <c r="F317">
        <f t="shared" si="14"/>
        <v>-1.9934918346696383E-2</v>
      </c>
      <c r="G317">
        <f t="shared" si="15"/>
        <v>-3.0598312331016862E-2</v>
      </c>
    </row>
    <row r="318" spans="1:7" x14ac:dyDescent="0.35">
      <c r="A318" t="s">
        <v>30</v>
      </c>
      <c r="E318">
        <v>-2.7873321328170857E-6</v>
      </c>
      <c r="F318">
        <f t="shared" si="14"/>
        <v>-1.9937538398843425E-2</v>
      </c>
      <c r="G318">
        <f t="shared" si="15"/>
        <v>-3.0598312331016862E-2</v>
      </c>
    </row>
    <row r="319" spans="1:7" x14ac:dyDescent="0.35">
      <c r="A319" t="s">
        <v>30</v>
      </c>
      <c r="E319">
        <v>5.531471837596981E-3</v>
      </c>
      <c r="F319">
        <f t="shared" si="14"/>
        <v>-1.994015845099047E-2</v>
      </c>
      <c r="G319">
        <f t="shared" si="15"/>
        <v>-3.0598312331016862E-2</v>
      </c>
    </row>
    <row r="320" spans="1:7" x14ac:dyDescent="0.35">
      <c r="A320" t="s">
        <v>30</v>
      </c>
      <c r="E320">
        <v>-5.0479859367013099E-3</v>
      </c>
      <c r="F320">
        <f t="shared" si="14"/>
        <v>-1.9942778503137512E-2</v>
      </c>
      <c r="G320">
        <f t="shared" si="15"/>
        <v>-3.0598312331016862E-2</v>
      </c>
    </row>
    <row r="321" spans="1:7" x14ac:dyDescent="0.35">
      <c r="A321" t="s">
        <v>30</v>
      </c>
      <c r="E321">
        <v>5.3126731327218426E-3</v>
      </c>
      <c r="F321">
        <f t="shared" si="14"/>
        <v>-1.9947979811269959E-2</v>
      </c>
      <c r="G321">
        <f t="shared" si="15"/>
        <v>-3.0659551031177089E-2</v>
      </c>
    </row>
    <row r="322" spans="1:7" x14ac:dyDescent="0.35">
      <c r="A322" t="s">
        <v>30</v>
      </c>
      <c r="E322">
        <v>-1.686327008908056E-3</v>
      </c>
      <c r="F322">
        <f t="shared" si="14"/>
        <v>-1.9953181119402412E-2</v>
      </c>
      <c r="G322">
        <f t="shared" si="15"/>
        <v>-3.0659551031177089E-2</v>
      </c>
    </row>
    <row r="323" spans="1:7" x14ac:dyDescent="0.35">
      <c r="A323" t="s">
        <v>30</v>
      </c>
      <c r="E323">
        <v>-1.425123907909448E-2</v>
      </c>
      <c r="F323">
        <f t="shared" si="14"/>
        <v>-1.9958382427534858E-2</v>
      </c>
      <c r="G323">
        <f t="shared" si="15"/>
        <v>-3.0659551031177089E-2</v>
      </c>
    </row>
    <row r="324" spans="1:7" x14ac:dyDescent="0.35">
      <c r="A324" t="s">
        <v>30</v>
      </c>
      <c r="E324">
        <v>1.0512054046633799E-2</v>
      </c>
      <c r="F324">
        <f t="shared" ref="F324:F387" si="16">_xlfn.PERCENTILE.EXC(E324:E4139,0.05)</f>
        <v>-1.9963583735667308E-2</v>
      </c>
      <c r="G324">
        <f t="shared" ref="G324:G387" si="17">AVERAGEIFS(E324:E4140,E324:E4140,"&lt;=" &amp; F324)</f>
        <v>-3.0659551031177089E-2</v>
      </c>
    </row>
    <row r="325" spans="1:7" x14ac:dyDescent="0.35">
      <c r="A325" t="s">
        <v>30</v>
      </c>
      <c r="E325">
        <v>-4.3854912295397301E-3</v>
      </c>
      <c r="F325">
        <f t="shared" si="16"/>
        <v>-1.9968785043799758E-2</v>
      </c>
      <c r="G325">
        <f t="shared" si="17"/>
        <v>-3.0659551031177089E-2</v>
      </c>
    </row>
    <row r="326" spans="1:7" x14ac:dyDescent="0.35">
      <c r="A326" t="s">
        <v>30</v>
      </c>
      <c r="E326">
        <v>4.430071085303377E-3</v>
      </c>
      <c r="F326">
        <f t="shared" si="16"/>
        <v>-1.9973986351932208E-2</v>
      </c>
      <c r="G326">
        <f t="shared" si="17"/>
        <v>-3.0659551031177089E-2</v>
      </c>
    </row>
    <row r="327" spans="1:7" x14ac:dyDescent="0.35">
      <c r="A327" t="s">
        <v>30</v>
      </c>
      <c r="E327">
        <v>-2.1322667388996665E-2</v>
      </c>
      <c r="F327">
        <f t="shared" si="16"/>
        <v>-1.9979187660064658E-2</v>
      </c>
      <c r="G327">
        <f t="shared" si="17"/>
        <v>-3.0659551031177089E-2</v>
      </c>
    </row>
    <row r="328" spans="1:7" x14ac:dyDescent="0.35">
      <c r="A328" t="s">
        <v>30</v>
      </c>
      <c r="E328">
        <v>1.7716282566076992E-3</v>
      </c>
      <c r="F328">
        <f t="shared" si="16"/>
        <v>-1.9911337877373002E-2</v>
      </c>
      <c r="G328">
        <f t="shared" si="17"/>
        <v>-3.0651620635281349E-2</v>
      </c>
    </row>
    <row r="329" spans="1:7" x14ac:dyDescent="0.35">
      <c r="A329" t="s">
        <v>30</v>
      </c>
      <c r="E329">
        <v>2.9379584484158811E-2</v>
      </c>
      <c r="F329">
        <f t="shared" si="16"/>
        <v>-1.9913957929520044E-2</v>
      </c>
      <c r="G329">
        <f t="shared" si="17"/>
        <v>-3.0651620635281349E-2</v>
      </c>
    </row>
    <row r="330" spans="1:7" x14ac:dyDescent="0.35">
      <c r="A330" t="s">
        <v>30</v>
      </c>
      <c r="E330">
        <v>6.3666105259840662E-3</v>
      </c>
      <c r="F330">
        <f t="shared" si="16"/>
        <v>-1.9916577981667086E-2</v>
      </c>
      <c r="G330">
        <f t="shared" si="17"/>
        <v>-3.0651620635281349E-2</v>
      </c>
    </row>
    <row r="331" spans="1:7" x14ac:dyDescent="0.35">
      <c r="A331" t="s">
        <v>30</v>
      </c>
      <c r="E331">
        <v>8.3292864839892029E-3</v>
      </c>
      <c r="F331">
        <f t="shared" si="16"/>
        <v>-1.9919198033814128E-2</v>
      </c>
      <c r="G331">
        <f t="shared" si="17"/>
        <v>-3.0651620635281349E-2</v>
      </c>
    </row>
    <row r="332" spans="1:7" x14ac:dyDescent="0.35">
      <c r="A332" t="s">
        <v>30</v>
      </c>
      <c r="E332">
        <v>6.5630600054835102E-3</v>
      </c>
      <c r="F332">
        <f t="shared" si="16"/>
        <v>-1.9921818085961173E-2</v>
      </c>
      <c r="G332">
        <f t="shared" si="17"/>
        <v>-3.0651620635281349E-2</v>
      </c>
    </row>
    <row r="333" spans="1:7" x14ac:dyDescent="0.35">
      <c r="A333" t="s">
        <v>30</v>
      </c>
      <c r="E333">
        <v>9.4448547792781688E-3</v>
      </c>
      <c r="F333">
        <f t="shared" si="16"/>
        <v>-1.9924438138108215E-2</v>
      </c>
      <c r="G333">
        <f t="shared" si="17"/>
        <v>-3.0651620635281349E-2</v>
      </c>
    </row>
    <row r="334" spans="1:7" x14ac:dyDescent="0.35">
      <c r="A334" t="s">
        <v>31</v>
      </c>
      <c r="B334" s="3" cm="1">
        <f t="array" ref="B334">_xlfn.STDEV.S(_xlfn._xlws.FILTER($E$2:$E$1000, $A$2:$A$1000="2011-05"))</f>
        <v>1.1014961056189852E-2</v>
      </c>
      <c r="C334" s="3" cm="1">
        <f t="array" ref="C334">AVERAGE(_xlfn._xlws.FILTER($E$2:$E$1000, $A$2:$A$1000="2011-05"))</f>
        <v>-1.229197974198375E-3</v>
      </c>
      <c r="D334" s="3" cm="1">
        <f t="array" ref="D334">_xlfn.PERCENTILE.EXC(_xlfn._xlws.FILTER($E$253:$E$502, $A$253:$A$502="2011-05"), 0.05)</f>
        <v>-2.0081541605876444E-2</v>
      </c>
      <c r="E334">
        <v>3.4027992385326049E-3</v>
      </c>
      <c r="F334">
        <f t="shared" si="16"/>
        <v>-1.9927058190255257E-2</v>
      </c>
      <c r="G334">
        <f t="shared" si="17"/>
        <v>-3.0651620635281349E-2</v>
      </c>
    </row>
    <row r="335" spans="1:7" x14ac:dyDescent="0.35">
      <c r="A335" t="s">
        <v>31</v>
      </c>
      <c r="E335">
        <v>-1.7045542566002495E-2</v>
      </c>
      <c r="F335">
        <f t="shared" si="16"/>
        <v>-1.9929678242402299E-2</v>
      </c>
      <c r="G335">
        <f t="shared" si="17"/>
        <v>-3.0651620635281349E-2</v>
      </c>
    </row>
    <row r="336" spans="1:7" x14ac:dyDescent="0.35">
      <c r="A336" t="s">
        <v>31</v>
      </c>
      <c r="E336">
        <v>4.1082267478314535E-4</v>
      </c>
      <c r="F336">
        <f t="shared" si="16"/>
        <v>-1.9932298294549341E-2</v>
      </c>
      <c r="G336">
        <f t="shared" si="17"/>
        <v>-3.0651620635281349E-2</v>
      </c>
    </row>
    <row r="337" spans="1:7" x14ac:dyDescent="0.35">
      <c r="A337" t="s">
        <v>31</v>
      </c>
      <c r="E337">
        <v>1.5507523322872941E-2</v>
      </c>
      <c r="F337">
        <f t="shared" si="16"/>
        <v>-1.9934918346696383E-2</v>
      </c>
      <c r="G337">
        <f t="shared" si="17"/>
        <v>-3.0651620635281349E-2</v>
      </c>
    </row>
    <row r="338" spans="1:7" x14ac:dyDescent="0.35">
      <c r="A338" t="s">
        <v>31</v>
      </c>
      <c r="E338">
        <v>-1.0968540667556004E-2</v>
      </c>
      <c r="F338">
        <f t="shared" si="16"/>
        <v>-1.9937538398843425E-2</v>
      </c>
      <c r="G338">
        <f t="shared" si="17"/>
        <v>-3.0651620635281349E-2</v>
      </c>
    </row>
    <row r="339" spans="1:7" x14ac:dyDescent="0.35">
      <c r="A339" t="s">
        <v>31</v>
      </c>
      <c r="E339">
        <v>1.2205054390405657E-2</v>
      </c>
      <c r="F339">
        <f t="shared" si="16"/>
        <v>-1.994015845099047E-2</v>
      </c>
      <c r="G339">
        <f t="shared" si="17"/>
        <v>-3.0651620635281349E-2</v>
      </c>
    </row>
    <row r="340" spans="1:7" x14ac:dyDescent="0.35">
      <c r="A340" t="s">
        <v>31</v>
      </c>
      <c r="E340">
        <v>-8.6286402843166595E-4</v>
      </c>
      <c r="F340">
        <f t="shared" si="16"/>
        <v>-1.9942778503137512E-2</v>
      </c>
      <c r="G340">
        <f t="shared" si="17"/>
        <v>-3.0651620635281349E-2</v>
      </c>
    </row>
    <row r="341" spans="1:7" x14ac:dyDescent="0.35">
      <c r="A341" t="s">
        <v>31</v>
      </c>
      <c r="E341">
        <v>-6.8411807078535437E-3</v>
      </c>
      <c r="F341">
        <f t="shared" si="16"/>
        <v>-1.9947979811269959E-2</v>
      </c>
      <c r="G341">
        <f t="shared" si="17"/>
        <v>-3.0713521456854433E-2</v>
      </c>
    </row>
    <row r="342" spans="1:7" x14ac:dyDescent="0.35">
      <c r="A342" t="s">
        <v>31</v>
      </c>
      <c r="E342">
        <v>-5.4744244387254374E-3</v>
      </c>
      <c r="F342">
        <f t="shared" si="16"/>
        <v>-1.9953181119402412E-2</v>
      </c>
      <c r="G342">
        <f t="shared" si="17"/>
        <v>-3.0713521456854433E-2</v>
      </c>
    </row>
    <row r="343" spans="1:7" x14ac:dyDescent="0.35">
      <c r="A343" t="s">
        <v>31</v>
      </c>
      <c r="E343">
        <v>-2.1324002306409703E-3</v>
      </c>
      <c r="F343">
        <f t="shared" si="16"/>
        <v>-1.9958382427534858E-2</v>
      </c>
      <c r="G343">
        <f t="shared" si="17"/>
        <v>-3.0713521456854433E-2</v>
      </c>
    </row>
    <row r="344" spans="1:7" x14ac:dyDescent="0.35">
      <c r="A344" t="s">
        <v>31</v>
      </c>
      <c r="E344">
        <v>-1.7876507432087733E-2</v>
      </c>
      <c r="F344">
        <f t="shared" si="16"/>
        <v>-1.9963583735667308E-2</v>
      </c>
      <c r="G344">
        <f t="shared" si="17"/>
        <v>-3.0713521456854433E-2</v>
      </c>
    </row>
    <row r="345" spans="1:7" x14ac:dyDescent="0.35">
      <c r="A345" t="s">
        <v>31</v>
      </c>
      <c r="E345">
        <v>6.4395030828486152E-3</v>
      </c>
      <c r="F345">
        <f t="shared" si="16"/>
        <v>-1.9968785043799758E-2</v>
      </c>
      <c r="G345">
        <f t="shared" si="17"/>
        <v>-3.0713521456854433E-2</v>
      </c>
    </row>
    <row r="346" spans="1:7" x14ac:dyDescent="0.35">
      <c r="A346" t="s">
        <v>31</v>
      </c>
      <c r="E346">
        <v>7.461621768275699E-3</v>
      </c>
      <c r="F346">
        <f t="shared" si="16"/>
        <v>-1.9973986351932208E-2</v>
      </c>
      <c r="G346">
        <f t="shared" si="17"/>
        <v>-3.0713521456854433E-2</v>
      </c>
    </row>
    <row r="347" spans="1:7" x14ac:dyDescent="0.35">
      <c r="A347" t="s">
        <v>31</v>
      </c>
      <c r="E347">
        <v>-1.2500632866458521E-2</v>
      </c>
      <c r="F347">
        <f t="shared" si="16"/>
        <v>-1.9979187660064658E-2</v>
      </c>
      <c r="G347">
        <f t="shared" si="17"/>
        <v>-3.0713521456854433E-2</v>
      </c>
    </row>
    <row r="348" spans="1:7" x14ac:dyDescent="0.35">
      <c r="A348" t="s">
        <v>31</v>
      </c>
      <c r="E348">
        <v>-2.0197596036075849E-2</v>
      </c>
      <c r="F348">
        <f t="shared" si="16"/>
        <v>-1.9984388968197108E-2</v>
      </c>
      <c r="G348">
        <f t="shared" si="17"/>
        <v>-3.0713521456854433E-2</v>
      </c>
    </row>
    <row r="349" spans="1:7" x14ac:dyDescent="0.35">
      <c r="A349" t="s">
        <v>31</v>
      </c>
      <c r="E349">
        <v>4.0834743524634136E-3</v>
      </c>
      <c r="F349">
        <f t="shared" si="16"/>
        <v>-1.9913957929520044E-2</v>
      </c>
      <c r="G349">
        <f t="shared" si="17"/>
        <v>-3.0712048523138028E-2</v>
      </c>
    </row>
    <row r="350" spans="1:7" x14ac:dyDescent="0.35">
      <c r="A350" t="s">
        <v>31</v>
      </c>
      <c r="E350">
        <v>2.8320876934162663E-3</v>
      </c>
      <c r="F350">
        <f t="shared" si="16"/>
        <v>-1.9916577981667086E-2</v>
      </c>
      <c r="G350">
        <f t="shared" si="17"/>
        <v>-3.0712048523138028E-2</v>
      </c>
    </row>
    <row r="351" spans="1:7" x14ac:dyDescent="0.35">
      <c r="A351" t="s">
        <v>31</v>
      </c>
      <c r="E351">
        <v>-7.9594232748222311E-3</v>
      </c>
      <c r="F351">
        <f t="shared" si="16"/>
        <v>-1.9919198033814128E-2</v>
      </c>
      <c r="G351">
        <f t="shared" si="17"/>
        <v>-3.0712048523138028E-2</v>
      </c>
    </row>
    <row r="352" spans="1:7" x14ac:dyDescent="0.35">
      <c r="A352" t="s">
        <v>31</v>
      </c>
      <c r="E352">
        <v>6.9171758888177219E-3</v>
      </c>
      <c r="F352">
        <f t="shared" si="16"/>
        <v>-1.9921818085961173E-2</v>
      </c>
      <c r="G352">
        <f t="shared" si="17"/>
        <v>-3.0712048523138028E-2</v>
      </c>
    </row>
    <row r="353" spans="1:7" x14ac:dyDescent="0.35">
      <c r="A353" t="s">
        <v>31</v>
      </c>
      <c r="E353">
        <v>1.8015090352270884E-2</v>
      </c>
      <c r="F353">
        <f t="shared" si="16"/>
        <v>-1.9924438138108215E-2</v>
      </c>
      <c r="G353">
        <f t="shared" si="17"/>
        <v>-3.0712048523138028E-2</v>
      </c>
    </row>
    <row r="354" spans="1:7" x14ac:dyDescent="0.35">
      <c r="A354" t="s">
        <v>32</v>
      </c>
      <c r="B354" s="3" cm="1">
        <f t="array" ref="B354">_xlfn.STDEV.S(_xlfn._xlws.FILTER($E$2:$E$1000, $A$2:$A$1000="2011-06"))</f>
        <v>1.1189876030015639E-2</v>
      </c>
      <c r="C354" s="3" cm="1">
        <f t="array" ref="C354">AVERAGE(_xlfn._xlws.FILTER($E$2:$E$1000, $A$2:$A$1000="2011-06"))</f>
        <v>5.1156513127660359E-4</v>
      </c>
      <c r="D354" s="3" cm="1">
        <f t="array" ref="D354">_xlfn.PERCENTILE.EXC(_xlfn._xlws.FILTER($E$253:$E$502, $A$253:$A$502="2011-06"), 0.05)</f>
        <v>-1.9724723681635706E-2</v>
      </c>
      <c r="E354">
        <v>-1.0510656939009539E-2</v>
      </c>
      <c r="F354">
        <f t="shared" si="16"/>
        <v>-1.9927058190255257E-2</v>
      </c>
      <c r="G354">
        <f t="shared" si="17"/>
        <v>-3.0712048523138028E-2</v>
      </c>
    </row>
    <row r="355" spans="1:7" x14ac:dyDescent="0.35">
      <c r="A355" t="s">
        <v>32</v>
      </c>
      <c r="E355">
        <v>-2.0055879690980424E-2</v>
      </c>
      <c r="F355">
        <f t="shared" si="16"/>
        <v>-1.9929678242402299E-2</v>
      </c>
      <c r="G355">
        <f t="shared" si="17"/>
        <v>-3.0712048523138028E-2</v>
      </c>
    </row>
    <row r="356" spans="1:7" x14ac:dyDescent="0.35">
      <c r="A356" t="s">
        <v>32</v>
      </c>
      <c r="E356">
        <v>4.9227527734315192E-3</v>
      </c>
      <c r="F356">
        <f t="shared" si="16"/>
        <v>-1.9880239028363247E-2</v>
      </c>
      <c r="G356">
        <f t="shared" si="17"/>
        <v>-3.0711091862844479E-2</v>
      </c>
    </row>
    <row r="357" spans="1:7" x14ac:dyDescent="0.35">
      <c r="A357" t="s">
        <v>32</v>
      </c>
      <c r="E357">
        <v>-3.4466272423972935E-3</v>
      </c>
      <c r="F357">
        <f t="shared" si="16"/>
        <v>-1.9882773636321602E-2</v>
      </c>
      <c r="G357">
        <f t="shared" si="17"/>
        <v>-3.0711091862844479E-2</v>
      </c>
    </row>
    <row r="358" spans="1:7" x14ac:dyDescent="0.35">
      <c r="A358" t="s">
        <v>32</v>
      </c>
      <c r="E358">
        <v>2.6332460933253905E-3</v>
      </c>
      <c r="F358">
        <f t="shared" si="16"/>
        <v>-1.9885308244279955E-2</v>
      </c>
      <c r="G358">
        <f t="shared" si="17"/>
        <v>-3.0711091862844479E-2</v>
      </c>
    </row>
    <row r="359" spans="1:7" x14ac:dyDescent="0.35">
      <c r="A359" t="s">
        <v>32</v>
      </c>
      <c r="E359">
        <v>-6.0747969139983912E-3</v>
      </c>
      <c r="F359">
        <f t="shared" si="16"/>
        <v>-1.9887842852238307E-2</v>
      </c>
      <c r="G359">
        <f t="shared" si="17"/>
        <v>-3.0711091862844479E-2</v>
      </c>
    </row>
    <row r="360" spans="1:7" x14ac:dyDescent="0.35">
      <c r="A360" t="s">
        <v>32</v>
      </c>
      <c r="E360">
        <v>1.3984864933352404E-2</v>
      </c>
      <c r="F360">
        <f t="shared" si="16"/>
        <v>-1.9890377460196663E-2</v>
      </c>
      <c r="G360">
        <f t="shared" si="17"/>
        <v>-3.0711091862844479E-2</v>
      </c>
    </row>
    <row r="361" spans="1:7" x14ac:dyDescent="0.35">
      <c r="A361" t="s">
        <v>32</v>
      </c>
      <c r="E361">
        <v>-1.2616158274657131E-2</v>
      </c>
      <c r="F361">
        <f t="shared" si="16"/>
        <v>-1.9892997512343705E-2</v>
      </c>
      <c r="G361">
        <f t="shared" si="17"/>
        <v>-3.0774002993092433E-2</v>
      </c>
    </row>
    <row r="362" spans="1:7" x14ac:dyDescent="0.35">
      <c r="A362" t="s">
        <v>32</v>
      </c>
      <c r="E362">
        <v>2.1532974669936358E-3</v>
      </c>
      <c r="F362">
        <f t="shared" si="16"/>
        <v>-1.9895617564490747E-2</v>
      </c>
      <c r="G362">
        <f t="shared" si="17"/>
        <v>-3.0774002993092433E-2</v>
      </c>
    </row>
    <row r="363" spans="1:7" x14ac:dyDescent="0.35">
      <c r="A363" t="s">
        <v>32</v>
      </c>
      <c r="E363">
        <v>1.6746449596753255E-2</v>
      </c>
      <c r="F363">
        <f t="shared" si="16"/>
        <v>-1.9898237616637789E-2</v>
      </c>
      <c r="G363">
        <f t="shared" si="17"/>
        <v>-3.0774002993092433E-2</v>
      </c>
    </row>
    <row r="364" spans="1:7" x14ac:dyDescent="0.35">
      <c r="A364" t="s">
        <v>32</v>
      </c>
      <c r="E364">
        <v>-1.2529607271003993E-2</v>
      </c>
      <c r="F364">
        <f t="shared" si="16"/>
        <v>-1.9900857668784831E-2</v>
      </c>
      <c r="G364">
        <f t="shared" si="17"/>
        <v>-3.0774002993092433E-2</v>
      </c>
    </row>
    <row r="365" spans="1:7" x14ac:dyDescent="0.35">
      <c r="A365" t="s">
        <v>32</v>
      </c>
      <c r="E365">
        <v>-6.8610251487954315E-4</v>
      </c>
      <c r="F365">
        <f t="shared" si="16"/>
        <v>-1.9903477720931876E-2</v>
      </c>
      <c r="G365">
        <f t="shared" si="17"/>
        <v>-3.0774002993092433E-2</v>
      </c>
    </row>
    <row r="366" spans="1:7" x14ac:dyDescent="0.35">
      <c r="A366" t="s">
        <v>32</v>
      </c>
      <c r="E366">
        <v>7.5450907005165224E-3</v>
      </c>
      <c r="F366">
        <f t="shared" si="16"/>
        <v>-1.9906097773078918E-2</v>
      </c>
      <c r="G366">
        <f t="shared" si="17"/>
        <v>-3.0774002993092433E-2</v>
      </c>
    </row>
    <row r="367" spans="1:7" x14ac:dyDescent="0.35">
      <c r="A367" t="s">
        <v>32</v>
      </c>
      <c r="E367">
        <v>-1.9337366112816394E-3</v>
      </c>
      <c r="F367">
        <f t="shared" si="16"/>
        <v>-1.990871782522596E-2</v>
      </c>
      <c r="G367">
        <f t="shared" si="17"/>
        <v>-3.0774002993092433E-2</v>
      </c>
    </row>
    <row r="368" spans="1:7" x14ac:dyDescent="0.35">
      <c r="A368" t="s">
        <v>32</v>
      </c>
      <c r="E368">
        <v>1.8745717156241556E-2</v>
      </c>
      <c r="F368">
        <f t="shared" si="16"/>
        <v>-1.9911337877373002E-2</v>
      </c>
      <c r="G368">
        <f t="shared" si="17"/>
        <v>-3.0774002993092433E-2</v>
      </c>
    </row>
    <row r="369" spans="1:7" x14ac:dyDescent="0.35">
      <c r="A369" t="s">
        <v>32</v>
      </c>
      <c r="E369">
        <v>-1.0052391379126485E-3</v>
      </c>
      <c r="F369">
        <f t="shared" si="16"/>
        <v>-1.9913957929520044E-2</v>
      </c>
      <c r="G369">
        <f t="shared" si="17"/>
        <v>-3.0774002993092433E-2</v>
      </c>
    </row>
    <row r="370" spans="1:7" x14ac:dyDescent="0.35">
      <c r="A370" t="s">
        <v>32</v>
      </c>
      <c r="E370">
        <v>-1.7848172962015636E-2</v>
      </c>
      <c r="F370">
        <f t="shared" si="16"/>
        <v>-1.9916577981667086E-2</v>
      </c>
      <c r="G370">
        <f t="shared" si="17"/>
        <v>-3.0774002993092433E-2</v>
      </c>
    </row>
    <row r="371" spans="1:7" x14ac:dyDescent="0.35">
      <c r="A371" t="s">
        <v>32</v>
      </c>
      <c r="E371">
        <v>-3.9325050924013246E-3</v>
      </c>
      <c r="F371">
        <f t="shared" si="16"/>
        <v>-1.9919198033814128E-2</v>
      </c>
      <c r="G371">
        <f t="shared" si="17"/>
        <v>-3.0774002993092433E-2</v>
      </c>
    </row>
    <row r="372" spans="1:7" x14ac:dyDescent="0.35">
      <c r="A372" t="s">
        <v>32</v>
      </c>
      <c r="E372">
        <v>-1.8946853294865978E-3</v>
      </c>
      <c r="F372">
        <f t="shared" si="16"/>
        <v>-1.9921818085961173E-2</v>
      </c>
      <c r="G372">
        <f t="shared" si="17"/>
        <v>-3.0774002993092433E-2</v>
      </c>
    </row>
    <row r="373" spans="1:7" x14ac:dyDescent="0.35">
      <c r="A373" t="s">
        <v>32</v>
      </c>
      <c r="E373">
        <v>8.7587833808675623E-3</v>
      </c>
      <c r="F373">
        <f t="shared" si="16"/>
        <v>-1.9924438138108215E-2</v>
      </c>
      <c r="G373">
        <f t="shared" si="17"/>
        <v>-3.0774002993092433E-2</v>
      </c>
    </row>
    <row r="374" spans="1:7" x14ac:dyDescent="0.35">
      <c r="A374" t="s">
        <v>32</v>
      </c>
      <c r="E374">
        <v>1.7105661140982765E-2</v>
      </c>
      <c r="F374">
        <f t="shared" si="16"/>
        <v>-1.9927058190255257E-2</v>
      </c>
      <c r="G374">
        <f t="shared" si="17"/>
        <v>-3.0774002993092433E-2</v>
      </c>
    </row>
    <row r="375" spans="1:7" x14ac:dyDescent="0.35">
      <c r="A375" t="s">
        <v>32</v>
      </c>
      <c r="E375">
        <v>1.1192737625644827E-2</v>
      </c>
      <c r="F375">
        <f t="shared" si="16"/>
        <v>-1.9929678242402299E-2</v>
      </c>
      <c r="G375">
        <f t="shared" si="17"/>
        <v>-3.0774002993092433E-2</v>
      </c>
    </row>
    <row r="376" spans="1:7" x14ac:dyDescent="0.35">
      <c r="A376" t="s">
        <v>33</v>
      </c>
      <c r="B376" s="3" cm="1">
        <f t="array" ref="B376">_xlfn.STDEV.S(_xlfn._xlws.FILTER($E$2:$E$1000, $A$2:$A$1000="2011-07"))</f>
        <v>9.3525112413818026E-3</v>
      </c>
      <c r="C376" s="3" cm="1">
        <f t="array" ref="C376">AVERAGE(_xlfn._xlws.FILTER($E$2:$E$1000, $A$2:$A$1000="2011-07"))</f>
        <v>-1.4250402466686293E-3</v>
      </c>
      <c r="D376" s="3" cm="1">
        <f t="array" ref="D376">_xlfn.PERCENTILE.EXC(_xlfn._xlws.FILTER($E$253:$E$502, $A$253:$A$502="2011-07"), 0.05)</f>
        <v>-2.278390543416399E-2</v>
      </c>
      <c r="E376">
        <v>5.8395589471447618E-3</v>
      </c>
      <c r="F376">
        <f t="shared" si="16"/>
        <v>-1.9932298294549341E-2</v>
      </c>
      <c r="G376">
        <f t="shared" si="17"/>
        <v>-3.0774002993092433E-2</v>
      </c>
    </row>
    <row r="377" spans="1:7" x14ac:dyDescent="0.35">
      <c r="A377" t="s">
        <v>33</v>
      </c>
      <c r="E377">
        <v>3.1650365532096994E-3</v>
      </c>
      <c r="F377">
        <f t="shared" si="16"/>
        <v>-1.9934918346696383E-2</v>
      </c>
      <c r="G377">
        <f t="shared" si="17"/>
        <v>-3.0774002993092433E-2</v>
      </c>
    </row>
    <row r="378" spans="1:7" x14ac:dyDescent="0.35">
      <c r="A378" t="s">
        <v>33</v>
      </c>
      <c r="E378">
        <v>-4.7304199129701751E-4</v>
      </c>
      <c r="F378">
        <f t="shared" si="16"/>
        <v>-1.9937538398843425E-2</v>
      </c>
      <c r="G378">
        <f t="shared" si="17"/>
        <v>-3.0774002993092433E-2</v>
      </c>
    </row>
    <row r="379" spans="1:7" x14ac:dyDescent="0.35">
      <c r="A379" t="s">
        <v>33</v>
      </c>
      <c r="E379">
        <v>-1.1095697823713031E-3</v>
      </c>
      <c r="F379">
        <f t="shared" si="16"/>
        <v>-1.994015845099047E-2</v>
      </c>
      <c r="G379">
        <f t="shared" si="17"/>
        <v>-3.0774002993092433E-2</v>
      </c>
    </row>
    <row r="380" spans="1:7" x14ac:dyDescent="0.35">
      <c r="A380" t="s">
        <v>33</v>
      </c>
      <c r="E380">
        <v>5.4017442385199382E-3</v>
      </c>
      <c r="F380">
        <f t="shared" si="16"/>
        <v>-1.9942778503137512E-2</v>
      </c>
      <c r="G380">
        <f t="shared" si="17"/>
        <v>-3.0774002993092433E-2</v>
      </c>
    </row>
    <row r="381" spans="1:7" x14ac:dyDescent="0.35">
      <c r="A381" t="s">
        <v>33</v>
      </c>
      <c r="E381">
        <v>-9.2389005559145847E-3</v>
      </c>
      <c r="F381">
        <f t="shared" si="16"/>
        <v>-1.9947979811269959E-2</v>
      </c>
      <c r="G381">
        <f t="shared" si="17"/>
        <v>-3.0837343487185732E-2</v>
      </c>
    </row>
    <row r="382" spans="1:7" x14ac:dyDescent="0.35">
      <c r="A382" t="s">
        <v>33</v>
      </c>
      <c r="E382">
        <v>-2.3575237375716398E-2</v>
      </c>
      <c r="F382">
        <f t="shared" si="16"/>
        <v>-1.9953181119402412E-2</v>
      </c>
      <c r="G382">
        <f t="shared" si="17"/>
        <v>-3.0837343487185732E-2</v>
      </c>
    </row>
    <row r="383" spans="1:7" x14ac:dyDescent="0.35">
      <c r="A383" t="s">
        <v>33</v>
      </c>
      <c r="E383">
        <v>-7.7907198848261626E-3</v>
      </c>
      <c r="F383">
        <f t="shared" si="16"/>
        <v>-1.9898237616637789E-2</v>
      </c>
      <c r="G383">
        <f t="shared" si="17"/>
        <v>-3.0816101037638495E-2</v>
      </c>
    </row>
    <row r="384" spans="1:7" x14ac:dyDescent="0.35">
      <c r="A384" t="s">
        <v>33</v>
      </c>
      <c r="E384">
        <v>1.2980369913001961E-2</v>
      </c>
      <c r="F384">
        <f t="shared" si="16"/>
        <v>-1.9900857668784831E-2</v>
      </c>
      <c r="G384">
        <f t="shared" si="17"/>
        <v>-3.0816101037638495E-2</v>
      </c>
    </row>
    <row r="385" spans="1:7" x14ac:dyDescent="0.35">
      <c r="A385" t="s">
        <v>33</v>
      </c>
      <c r="E385">
        <v>-7.3371082071654768E-3</v>
      </c>
      <c r="F385">
        <f t="shared" si="16"/>
        <v>-1.9903477720931876E-2</v>
      </c>
      <c r="G385">
        <f t="shared" si="17"/>
        <v>-3.0816101037638495E-2</v>
      </c>
    </row>
    <row r="386" spans="1:7" x14ac:dyDescent="0.35">
      <c r="A386" t="s">
        <v>33</v>
      </c>
      <c r="E386">
        <v>7.4541772474622219E-4</v>
      </c>
      <c r="F386">
        <f t="shared" si="16"/>
        <v>-1.9906097773078918E-2</v>
      </c>
      <c r="G386">
        <f t="shared" si="17"/>
        <v>-3.0816101037638495E-2</v>
      </c>
    </row>
    <row r="387" spans="1:7" x14ac:dyDescent="0.35">
      <c r="A387" t="s">
        <v>33</v>
      </c>
      <c r="E387">
        <v>-1.5661917960192312E-2</v>
      </c>
      <c r="F387">
        <f t="shared" si="16"/>
        <v>-1.990871782522596E-2</v>
      </c>
      <c r="G387">
        <f t="shared" si="17"/>
        <v>-3.0816101037638495E-2</v>
      </c>
    </row>
    <row r="388" spans="1:7" x14ac:dyDescent="0.35">
      <c r="A388" t="s">
        <v>33</v>
      </c>
      <c r="E388">
        <v>1.1852796590872816E-2</v>
      </c>
      <c r="F388">
        <f t="shared" ref="F388:F451" si="18">_xlfn.PERCENTILE.EXC(E388:E4203,0.05)</f>
        <v>-1.9911337877373002E-2</v>
      </c>
      <c r="G388">
        <f t="shared" ref="G388:G451" si="19">AVERAGEIFS(E388:E4204,E388:E4204,"&lt;=" &amp; F388)</f>
        <v>-3.0816101037638495E-2</v>
      </c>
    </row>
    <row r="389" spans="1:7" x14ac:dyDescent="0.35">
      <c r="A389" t="s">
        <v>33</v>
      </c>
      <c r="E389">
        <v>3.9808489212112101E-3</v>
      </c>
      <c r="F389">
        <f t="shared" si="18"/>
        <v>-1.9913957929520044E-2</v>
      </c>
      <c r="G389">
        <f t="shared" si="19"/>
        <v>-3.0816101037638495E-2</v>
      </c>
    </row>
    <row r="390" spans="1:7" x14ac:dyDescent="0.35">
      <c r="A390" t="s">
        <v>33</v>
      </c>
      <c r="E390">
        <v>9.4794494086169398E-3</v>
      </c>
      <c r="F390">
        <f t="shared" si="18"/>
        <v>-1.9916577981667086E-2</v>
      </c>
      <c r="G390">
        <f t="shared" si="19"/>
        <v>-3.0816101037638495E-2</v>
      </c>
    </row>
    <row r="391" spans="1:7" x14ac:dyDescent="0.35">
      <c r="A391" t="s">
        <v>33</v>
      </c>
      <c r="E391">
        <v>4.9601477671828613E-3</v>
      </c>
      <c r="F391">
        <f t="shared" si="18"/>
        <v>-1.9919198033814128E-2</v>
      </c>
      <c r="G391">
        <f t="shared" si="19"/>
        <v>-3.0816101037638495E-2</v>
      </c>
    </row>
    <row r="392" spans="1:7" x14ac:dyDescent="0.35">
      <c r="A392" t="s">
        <v>33</v>
      </c>
      <c r="E392">
        <v>2.4742820338766978E-3</v>
      </c>
      <c r="F392">
        <f t="shared" si="18"/>
        <v>-1.9921818085961173E-2</v>
      </c>
      <c r="G392">
        <f t="shared" si="19"/>
        <v>-3.0816101037638495E-2</v>
      </c>
    </row>
    <row r="393" spans="1:7" x14ac:dyDescent="0.35">
      <c r="A393" t="s">
        <v>33</v>
      </c>
      <c r="E393">
        <v>6.6830046607404691E-4</v>
      </c>
      <c r="F393">
        <f t="shared" si="18"/>
        <v>-1.9924438138108215E-2</v>
      </c>
      <c r="G393">
        <f t="shared" si="19"/>
        <v>-3.0816101037638495E-2</v>
      </c>
    </row>
    <row r="394" spans="1:7" x14ac:dyDescent="0.35">
      <c r="A394" t="s">
        <v>33</v>
      </c>
      <c r="E394">
        <v>-1.3254424759516962E-2</v>
      </c>
      <c r="F394">
        <f t="shared" si="18"/>
        <v>-1.9927058190255257E-2</v>
      </c>
      <c r="G394">
        <f t="shared" si="19"/>
        <v>-3.0816101037638495E-2</v>
      </c>
    </row>
    <row r="395" spans="1:7" x14ac:dyDescent="0.35">
      <c r="A395" t="s">
        <v>33</v>
      </c>
      <c r="E395">
        <v>-8.6715391117149904E-3</v>
      </c>
      <c r="F395">
        <f t="shared" si="18"/>
        <v>-1.9929678242402299E-2</v>
      </c>
      <c r="G395">
        <f t="shared" si="19"/>
        <v>-3.0816101037638495E-2</v>
      </c>
    </row>
    <row r="396" spans="1:7" x14ac:dyDescent="0.35">
      <c r="A396" t="s">
        <v>33</v>
      </c>
      <c r="E396">
        <v>-4.3613381157831636E-3</v>
      </c>
      <c r="F396">
        <f t="shared" si="18"/>
        <v>-1.9932298294549341E-2</v>
      </c>
      <c r="G396">
        <f t="shared" si="19"/>
        <v>-3.0816101037638495E-2</v>
      </c>
    </row>
    <row r="397" spans="1:7" x14ac:dyDescent="0.35">
      <c r="A397" t="s">
        <v>34</v>
      </c>
      <c r="B397" s="3" cm="1">
        <f t="array" ref="B397">_xlfn.STDEV.S(_xlfn._xlws.FILTER($E$2:$E$1000, $A$2:$A$1000="2011-08"))</f>
        <v>2.7980264110043777E-2</v>
      </c>
      <c r="C397" s="3" cm="1">
        <f t="array" ref="C397">AVERAGE(_xlfn._xlws.FILTER($E$2:$E$1000, $A$2:$A$1000="2011-08"))</f>
        <v>-1.0147416539211284E-2</v>
      </c>
      <c r="D397" s="3" cm="1">
        <f t="array" ref="D397">_xlfn.PERCENTILE.EXC(_xlfn._xlws.FILTER($E$253:$E$502, $A$253:$A$502="2011-08"), 0.05)</f>
        <v>-5.9220214130252344E-2</v>
      </c>
      <c r="E397">
        <v>-2.9024020966890097E-2</v>
      </c>
      <c r="F397">
        <f t="shared" si="18"/>
        <v>-1.9934918346696383E-2</v>
      </c>
      <c r="G397">
        <f t="shared" si="19"/>
        <v>-3.0816101037638495E-2</v>
      </c>
    </row>
    <row r="398" spans="1:7" x14ac:dyDescent="0.35">
      <c r="A398" t="s">
        <v>34</v>
      </c>
      <c r="E398">
        <v>-2.2869600783666778E-2</v>
      </c>
      <c r="F398">
        <f t="shared" si="18"/>
        <v>-1.9885308244279955E-2</v>
      </c>
      <c r="G398">
        <f t="shared" si="19"/>
        <v>-3.076268791771631E-2</v>
      </c>
    </row>
    <row r="399" spans="1:7" x14ac:dyDescent="0.35">
      <c r="A399" t="s">
        <v>34</v>
      </c>
      <c r="E399">
        <v>-2.3243741792681499E-2</v>
      </c>
      <c r="F399">
        <f t="shared" si="18"/>
        <v>-1.9839275864288606E-2</v>
      </c>
      <c r="G399">
        <f t="shared" si="19"/>
        <v>-3.074496911372428E-2</v>
      </c>
    </row>
    <row r="400" spans="1:7" x14ac:dyDescent="0.35">
      <c r="A400" t="s">
        <v>34</v>
      </c>
      <c r="E400">
        <v>-3.4599229909765362E-2</v>
      </c>
      <c r="F400">
        <f t="shared" si="18"/>
        <v>-1.9831496566209937E-2</v>
      </c>
      <c r="G400">
        <f t="shared" si="19"/>
        <v>-3.0725014463277078E-2</v>
      </c>
    </row>
    <row r="401" spans="1:7" x14ac:dyDescent="0.35">
      <c r="A401" t="s">
        <v>34</v>
      </c>
      <c r="E401">
        <v>-2.8236976713733052E-2</v>
      </c>
      <c r="F401">
        <f t="shared" si="18"/>
        <v>-1.9797258430838873E-2</v>
      </c>
      <c r="G401">
        <f t="shared" si="19"/>
        <v>-3.0702224960650677E-2</v>
      </c>
    </row>
    <row r="402" spans="1:7" x14ac:dyDescent="0.35">
      <c r="A402" t="s">
        <v>34</v>
      </c>
      <c r="E402">
        <v>-5.1475947075660881E-2</v>
      </c>
      <c r="F402">
        <f t="shared" si="18"/>
        <v>-1.9720727696204959E-2</v>
      </c>
      <c r="G402">
        <f t="shared" si="19"/>
        <v>-3.0652568958944679E-2</v>
      </c>
    </row>
    <row r="403" spans="1:7" x14ac:dyDescent="0.35">
      <c r="A403" t="s">
        <v>34</v>
      </c>
      <c r="E403">
        <v>-1.0455772952532572E-3</v>
      </c>
      <c r="F403">
        <f t="shared" si="18"/>
        <v>-1.9700381962000055E-2</v>
      </c>
      <c r="G403">
        <f t="shared" si="19"/>
        <v>-3.0465724708524673E-2</v>
      </c>
    </row>
    <row r="404" spans="1:7" x14ac:dyDescent="0.35">
      <c r="A404" t="s">
        <v>34</v>
      </c>
      <c r="E404">
        <v>-5.2682924511394558E-2</v>
      </c>
      <c r="F404">
        <f t="shared" si="18"/>
        <v>-1.9701090346838847E-2</v>
      </c>
      <c r="G404">
        <f t="shared" si="19"/>
        <v>-3.0465724708524673E-2</v>
      </c>
    </row>
    <row r="405" spans="1:7" x14ac:dyDescent="0.35">
      <c r="A405" t="s">
        <v>34</v>
      </c>
      <c r="E405">
        <v>3.2294228412546533E-2</v>
      </c>
      <c r="F405">
        <f t="shared" si="18"/>
        <v>-1.9653511540593954E-2</v>
      </c>
      <c r="G405">
        <f t="shared" si="19"/>
        <v>-3.0271697251442842E-2</v>
      </c>
    </row>
    <row r="406" spans="1:7" x14ac:dyDescent="0.35">
      <c r="A406" t="s">
        <v>34</v>
      </c>
      <c r="E406">
        <v>3.3928343735321401E-2</v>
      </c>
      <c r="F406">
        <f t="shared" si="18"/>
        <v>-1.9656494558386601E-2</v>
      </c>
      <c r="G406">
        <f t="shared" si="19"/>
        <v>-3.0271697251442842E-2</v>
      </c>
    </row>
    <row r="407" spans="1:7" x14ac:dyDescent="0.35">
      <c r="A407" t="s">
        <v>34</v>
      </c>
      <c r="E407">
        <v>-4.736238314647993E-4</v>
      </c>
      <c r="F407">
        <f t="shared" si="18"/>
        <v>-1.9659477576179248E-2</v>
      </c>
      <c r="G407">
        <f t="shared" si="19"/>
        <v>-3.0271697251442842E-2</v>
      </c>
    </row>
    <row r="408" spans="1:7" x14ac:dyDescent="0.35">
      <c r="A408" t="s">
        <v>34</v>
      </c>
      <c r="E408">
        <v>-7.6960553470027176E-3</v>
      </c>
      <c r="F408">
        <f t="shared" si="18"/>
        <v>-1.9662460593971896E-2</v>
      </c>
      <c r="G408">
        <f t="shared" si="19"/>
        <v>-3.0271697251442842E-2</v>
      </c>
    </row>
    <row r="409" spans="1:7" x14ac:dyDescent="0.35">
      <c r="A409" t="s">
        <v>34</v>
      </c>
      <c r="E409">
        <v>-5.9946579643458765E-2</v>
      </c>
      <c r="F409">
        <f t="shared" si="18"/>
        <v>-1.9665443611764546E-2</v>
      </c>
      <c r="G409">
        <f t="shared" si="19"/>
        <v>-3.0271697251442842E-2</v>
      </c>
    </row>
    <row r="410" spans="1:7" x14ac:dyDescent="0.35">
      <c r="A410" t="s">
        <v>34</v>
      </c>
      <c r="E410">
        <v>-2.2161371822830463E-2</v>
      </c>
      <c r="F410">
        <f t="shared" si="18"/>
        <v>-1.9620680467866431E-2</v>
      </c>
      <c r="G410">
        <f t="shared" si="19"/>
        <v>-3.0034591467961506E-2</v>
      </c>
    </row>
    <row r="411" spans="1:7" x14ac:dyDescent="0.35">
      <c r="A411" t="s">
        <v>34</v>
      </c>
      <c r="E411">
        <v>-1.1356811381151939E-3</v>
      </c>
      <c r="F411">
        <f t="shared" si="18"/>
        <v>-1.9601264337076561E-2</v>
      </c>
      <c r="G411">
        <f t="shared" si="19"/>
        <v>-3.0019540836557217E-2</v>
      </c>
    </row>
    <row r="412" spans="1:7" x14ac:dyDescent="0.35">
      <c r="A412" t="s">
        <v>34</v>
      </c>
      <c r="E412">
        <v>1.0648682872470745E-2</v>
      </c>
      <c r="F412">
        <f t="shared" si="18"/>
        <v>-1.9601431020079406E-2</v>
      </c>
      <c r="G412">
        <f t="shared" si="19"/>
        <v>-3.0019540836557217E-2</v>
      </c>
    </row>
    <row r="413" spans="1:7" x14ac:dyDescent="0.35">
      <c r="A413" t="s">
        <v>34</v>
      </c>
      <c r="E413">
        <v>2.652325280937122E-2</v>
      </c>
      <c r="F413">
        <f t="shared" si="18"/>
        <v>-1.9601597703082247E-2</v>
      </c>
      <c r="G413">
        <f t="shared" si="19"/>
        <v>-3.0019540836557217E-2</v>
      </c>
    </row>
    <row r="414" spans="1:7" x14ac:dyDescent="0.35">
      <c r="A414" t="s">
        <v>34</v>
      </c>
      <c r="E414">
        <v>-1.7210918724629959E-2</v>
      </c>
      <c r="F414">
        <f t="shared" si="18"/>
        <v>-1.9601764386085092E-2</v>
      </c>
      <c r="G414">
        <f t="shared" si="19"/>
        <v>-3.0019540836557217E-2</v>
      </c>
    </row>
    <row r="415" spans="1:7" x14ac:dyDescent="0.35">
      <c r="A415" t="s">
        <v>34</v>
      </c>
      <c r="E415">
        <v>-8.3909131524384558E-3</v>
      </c>
      <c r="F415">
        <f t="shared" si="18"/>
        <v>-1.9601931069087936E-2</v>
      </c>
      <c r="G415">
        <f t="shared" si="19"/>
        <v>-3.0019540836557217E-2</v>
      </c>
    </row>
    <row r="416" spans="1:7" x14ac:dyDescent="0.35">
      <c r="A416" t="s">
        <v>34</v>
      </c>
      <c r="E416">
        <v>1.9039335919091498E-2</v>
      </c>
      <c r="F416">
        <f t="shared" si="18"/>
        <v>-1.9602097752090777E-2</v>
      </c>
      <c r="G416">
        <f t="shared" si="19"/>
        <v>-3.0019540836557217E-2</v>
      </c>
    </row>
    <row r="417" spans="1:7" x14ac:dyDescent="0.35">
      <c r="A417" t="s">
        <v>34</v>
      </c>
      <c r="E417">
        <v>2.4663571636747483E-2</v>
      </c>
      <c r="F417">
        <f t="shared" si="18"/>
        <v>-1.9602264435093622E-2</v>
      </c>
      <c r="G417">
        <f t="shared" si="19"/>
        <v>-3.0019540836557217E-2</v>
      </c>
    </row>
    <row r="418" spans="1:7" x14ac:dyDescent="0.35">
      <c r="A418" t="s">
        <v>35</v>
      </c>
      <c r="B418" s="3" cm="1">
        <f t="array" ref="B418">_xlfn.STDEV.S(_xlfn._xlws.FILTER($E$2:$E$1000, $A$2:$A$1000="2011-09"))</f>
        <v>3.0611302078091963E-2</v>
      </c>
      <c r="C418" s="3" cm="1">
        <f t="array" ref="C418">AVERAGE(_xlfn._xlws.FILTER($E$2:$E$1000, $A$2:$A$1000="2011-09"))</f>
        <v>-2.2785060747655735E-3</v>
      </c>
      <c r="D418" s="3" cm="1">
        <f t="array" ref="D418">_xlfn.PERCENTILE.EXC(_xlfn._xlws.FILTER($E$253:$E$502, $A$253:$A$502="2011-09"), 0.05)</f>
        <v>-5.3696880783674392E-2</v>
      </c>
      <c r="E418">
        <v>-9.4169588555935886E-3</v>
      </c>
      <c r="F418">
        <f t="shared" si="18"/>
        <v>-1.9602431118096467E-2</v>
      </c>
      <c r="G418">
        <f t="shared" si="19"/>
        <v>-3.0019540836557217E-2</v>
      </c>
    </row>
    <row r="419" spans="1:7" x14ac:dyDescent="0.35">
      <c r="A419" t="s">
        <v>35</v>
      </c>
      <c r="E419">
        <v>-3.4132461054345191E-2</v>
      </c>
      <c r="F419">
        <f t="shared" si="18"/>
        <v>-1.9602597801099308E-2</v>
      </c>
      <c r="G419">
        <f t="shared" si="19"/>
        <v>-3.0019540836557217E-2</v>
      </c>
    </row>
    <row r="420" spans="1:7" x14ac:dyDescent="0.35">
      <c r="A420" t="s">
        <v>35</v>
      </c>
      <c r="E420">
        <v>-5.419281855978645E-2</v>
      </c>
      <c r="F420">
        <f t="shared" si="18"/>
        <v>-1.9599430824045284E-2</v>
      </c>
      <c r="G420">
        <f t="shared" si="19"/>
        <v>-2.9934052423437808E-2</v>
      </c>
    </row>
    <row r="421" spans="1:7" x14ac:dyDescent="0.35">
      <c r="A421" t="s">
        <v>35</v>
      </c>
      <c r="E421">
        <v>-1.0001855384083892E-2</v>
      </c>
      <c r="F421">
        <f t="shared" si="18"/>
        <v>-1.9575916707528247E-2</v>
      </c>
      <c r="G421">
        <f t="shared" si="19"/>
        <v>-2.9790509428548172E-2</v>
      </c>
    </row>
    <row r="422" spans="1:7" x14ac:dyDescent="0.35">
      <c r="A422" t="s">
        <v>35</v>
      </c>
      <c r="E422">
        <v>3.9924166309552533E-2</v>
      </c>
      <c r="F422">
        <f t="shared" si="18"/>
        <v>-1.957715429260809E-2</v>
      </c>
      <c r="G422">
        <f t="shared" si="19"/>
        <v>-2.9790509428548172E-2</v>
      </c>
    </row>
    <row r="423" spans="1:7" x14ac:dyDescent="0.35">
      <c r="A423" t="s">
        <v>35</v>
      </c>
      <c r="E423">
        <v>5.4189065676926685E-4</v>
      </c>
      <c r="F423">
        <f t="shared" si="18"/>
        <v>-1.9578391877687933E-2</v>
      </c>
      <c r="G423">
        <f t="shared" si="19"/>
        <v>-2.9790509428548172E-2</v>
      </c>
    </row>
    <row r="424" spans="1:7" x14ac:dyDescent="0.35">
      <c r="A424" t="s">
        <v>35</v>
      </c>
      <c r="E424">
        <v>-4.1244184684009061E-2</v>
      </c>
      <c r="F424">
        <f t="shared" si="18"/>
        <v>-1.957962946276778E-2</v>
      </c>
      <c r="G424">
        <f t="shared" si="19"/>
        <v>-2.9790509428548172E-2</v>
      </c>
    </row>
    <row r="425" spans="1:7" x14ac:dyDescent="0.35">
      <c r="A425" t="s">
        <v>35</v>
      </c>
      <c r="E425">
        <v>-2.2919931501028931E-2</v>
      </c>
      <c r="F425">
        <f t="shared" si="18"/>
        <v>-1.9466933495475264E-2</v>
      </c>
      <c r="G425">
        <f t="shared" si="19"/>
        <v>-2.9662287502148409E-2</v>
      </c>
    </row>
    <row r="426" spans="1:7" x14ac:dyDescent="0.35">
      <c r="A426" t="s">
        <v>35</v>
      </c>
      <c r="E426">
        <v>1.8368100546917131E-2</v>
      </c>
      <c r="F426">
        <f t="shared" si="18"/>
        <v>-1.9426299197220016E-2</v>
      </c>
      <c r="G426">
        <f t="shared" si="19"/>
        <v>-2.9641643045257612E-2</v>
      </c>
    </row>
    <row r="427" spans="1:7" x14ac:dyDescent="0.35">
      <c r="A427" t="s">
        <v>35</v>
      </c>
      <c r="E427">
        <v>3.309285420666274E-2</v>
      </c>
      <c r="F427">
        <f t="shared" si="18"/>
        <v>-1.9426636275024601E-2</v>
      </c>
      <c r="G427">
        <f t="shared" si="19"/>
        <v>-2.9641643045257612E-2</v>
      </c>
    </row>
    <row r="428" spans="1:7" x14ac:dyDescent="0.35">
      <c r="A428" t="s">
        <v>35</v>
      </c>
      <c r="E428">
        <v>3.0983920038406772E-2</v>
      </c>
      <c r="F428">
        <f t="shared" si="18"/>
        <v>-1.9426973352829186E-2</v>
      </c>
      <c r="G428">
        <f t="shared" si="19"/>
        <v>-2.9641643045257612E-2</v>
      </c>
    </row>
    <row r="429" spans="1:7" x14ac:dyDescent="0.35">
      <c r="A429" t="s">
        <v>35</v>
      </c>
      <c r="E429">
        <v>1.1779864148767513E-2</v>
      </c>
      <c r="F429">
        <f t="shared" si="18"/>
        <v>-1.9427310430633771E-2</v>
      </c>
      <c r="G429">
        <f t="shared" si="19"/>
        <v>-2.9641643045257612E-2</v>
      </c>
    </row>
    <row r="430" spans="1:7" x14ac:dyDescent="0.35">
      <c r="A430" t="s">
        <v>35</v>
      </c>
      <c r="E430">
        <v>-2.8684099008585016E-2</v>
      </c>
      <c r="F430">
        <f t="shared" si="18"/>
        <v>-1.942764750843836E-2</v>
      </c>
      <c r="G430">
        <f t="shared" si="19"/>
        <v>-2.9641643045257612E-2</v>
      </c>
    </row>
    <row r="431" spans="1:7" x14ac:dyDescent="0.35">
      <c r="A431" t="s">
        <v>35</v>
      </c>
      <c r="E431">
        <v>2.8355706219149169E-2</v>
      </c>
      <c r="F431">
        <f t="shared" si="18"/>
        <v>-1.9418001839946651E-2</v>
      </c>
      <c r="G431">
        <f t="shared" si="19"/>
        <v>-2.9586851197457652E-2</v>
      </c>
    </row>
    <row r="432" spans="1:7" x14ac:dyDescent="0.35">
      <c r="A432" t="s">
        <v>35</v>
      </c>
      <c r="E432">
        <v>-2.5057919234353385E-2</v>
      </c>
      <c r="F432">
        <f t="shared" si="18"/>
        <v>-1.9418699049996189E-2</v>
      </c>
      <c r="G432">
        <f t="shared" si="19"/>
        <v>-2.9586851197457652E-2</v>
      </c>
    </row>
    <row r="433" spans="1:7" x14ac:dyDescent="0.35">
      <c r="A433" t="s">
        <v>35</v>
      </c>
      <c r="E433">
        <v>-5.0886566719039412E-2</v>
      </c>
      <c r="F433">
        <f t="shared" si="18"/>
        <v>-1.9400277669564311E-2</v>
      </c>
      <c r="G433">
        <f t="shared" si="19"/>
        <v>-2.9553433524647291E-2</v>
      </c>
    </row>
    <row r="434" spans="1:7" x14ac:dyDescent="0.35">
      <c r="A434" t="s">
        <v>35</v>
      </c>
      <c r="E434">
        <v>6.2447299049018775E-3</v>
      </c>
      <c r="F434">
        <f t="shared" si="18"/>
        <v>-1.9344059778874909E-2</v>
      </c>
      <c r="G434">
        <f t="shared" si="19"/>
        <v>-2.9367013629022429E-2</v>
      </c>
    </row>
    <row r="435" spans="1:7" x14ac:dyDescent="0.35">
      <c r="A435" t="s">
        <v>35</v>
      </c>
      <c r="E435">
        <v>2.8269441590051222E-2</v>
      </c>
      <c r="F435">
        <f t="shared" si="18"/>
        <v>-1.9350317208802044E-2</v>
      </c>
      <c r="G435">
        <f t="shared" si="19"/>
        <v>-2.9367013629022429E-2</v>
      </c>
    </row>
    <row r="436" spans="1:7" x14ac:dyDescent="0.35">
      <c r="A436" t="s">
        <v>35</v>
      </c>
      <c r="E436">
        <v>5.1566006919371285E-2</v>
      </c>
      <c r="F436">
        <f t="shared" si="18"/>
        <v>-1.9356574638729172E-2</v>
      </c>
      <c r="G436">
        <f t="shared" si="19"/>
        <v>-2.9367013629022429E-2</v>
      </c>
    </row>
    <row r="437" spans="1:7" x14ac:dyDescent="0.35">
      <c r="A437" t="s">
        <v>35</v>
      </c>
      <c r="E437">
        <v>-8.9267345464878727E-3</v>
      </c>
      <c r="F437">
        <f t="shared" si="18"/>
        <v>-1.9362832068656303E-2</v>
      </c>
      <c r="G437">
        <f t="shared" si="19"/>
        <v>-2.9367013629022429E-2</v>
      </c>
    </row>
    <row r="438" spans="1:7" x14ac:dyDescent="0.35">
      <c r="A438" t="s">
        <v>35</v>
      </c>
      <c r="E438">
        <v>1.0904012476317193E-2</v>
      </c>
      <c r="F438">
        <f t="shared" si="18"/>
        <v>-1.9369089498583431E-2</v>
      </c>
      <c r="G438">
        <f t="shared" si="19"/>
        <v>-2.9367013629022429E-2</v>
      </c>
    </row>
    <row r="439" spans="1:7" x14ac:dyDescent="0.35">
      <c r="A439" t="s">
        <v>35</v>
      </c>
      <c r="E439">
        <v>-2.4694297114396517E-2</v>
      </c>
      <c r="F439">
        <f t="shared" si="18"/>
        <v>-1.9375346928510562E-2</v>
      </c>
      <c r="G439">
        <f t="shared" si="19"/>
        <v>-2.9367013629022429E-2</v>
      </c>
    </row>
    <row r="440" spans="1:7" x14ac:dyDescent="0.35">
      <c r="A440" t="s">
        <v>36</v>
      </c>
      <c r="B440" s="3" cm="1">
        <f t="array" ref="B440">_xlfn.STDEV.S(_xlfn._xlws.FILTER($E$2:$E$1000, $A$2:$A$1000="2011-10"))</f>
        <v>2.4527472586081546E-2</v>
      </c>
      <c r="C440" s="3" cm="1">
        <f t="array" ref="C440">AVERAGE(_xlfn._xlws.FILTER($E$2:$E$1000, $A$2:$A$1000="2011-10"))</f>
        <v>5.2346505644145442E-3</v>
      </c>
      <c r="D440" s="3" cm="1">
        <f t="array" ref="D440">_xlfn.PERCENTILE.EXC(_xlfn._xlws.FILTER($E$253:$E$502, $A$253:$A$502="2011-10"), 0.05)</f>
        <v>-3.2551292906554619E-2</v>
      </c>
      <c r="E440">
        <v>-2.3040494459766633E-2</v>
      </c>
      <c r="F440">
        <f t="shared" si="18"/>
        <v>-1.925645575989509E-2</v>
      </c>
      <c r="G440">
        <f t="shared" si="19"/>
        <v>-2.9334837052960288E-2</v>
      </c>
    </row>
    <row r="441" spans="1:7" x14ac:dyDescent="0.35">
      <c r="A441" t="s">
        <v>36</v>
      </c>
      <c r="E441">
        <v>-3.0207868084995329E-2</v>
      </c>
      <c r="F441">
        <f t="shared" si="18"/>
        <v>-1.919319459622211E-2</v>
      </c>
      <c r="G441">
        <f t="shared" si="19"/>
        <v>-2.9372303377919771E-2</v>
      </c>
    </row>
    <row r="442" spans="1:7" x14ac:dyDescent="0.35">
      <c r="A442" t="s">
        <v>36</v>
      </c>
      <c r="E442">
        <v>4.7965458608353211E-2</v>
      </c>
      <c r="F442">
        <f t="shared" si="18"/>
        <v>-1.9178174207708072E-2</v>
      </c>
      <c r="G442">
        <f t="shared" si="19"/>
        <v>-2.9306720026588202E-2</v>
      </c>
    </row>
    <row r="443" spans="1:7" x14ac:dyDescent="0.35">
      <c r="A443" t="s">
        <v>36</v>
      </c>
      <c r="E443">
        <v>3.0982089999443505E-2</v>
      </c>
      <c r="F443">
        <f t="shared" si="18"/>
        <v>-1.9178823699573844E-2</v>
      </c>
      <c r="G443">
        <f t="shared" si="19"/>
        <v>-2.9306720026588202E-2</v>
      </c>
    </row>
    <row r="444" spans="1:7" x14ac:dyDescent="0.35">
      <c r="A444" t="s">
        <v>36</v>
      </c>
      <c r="E444">
        <v>5.3794201777322467E-3</v>
      </c>
      <c r="F444">
        <f t="shared" si="18"/>
        <v>-1.9179473191439617E-2</v>
      </c>
      <c r="G444">
        <f t="shared" si="19"/>
        <v>-2.9306720026588202E-2</v>
      </c>
    </row>
    <row r="445" spans="1:7" x14ac:dyDescent="0.35">
      <c r="A445" t="s">
        <v>36</v>
      </c>
      <c r="E445">
        <v>2.9784402269730555E-2</v>
      </c>
      <c r="F445">
        <f t="shared" si="18"/>
        <v>-1.9180122683305385E-2</v>
      </c>
      <c r="G445">
        <f t="shared" si="19"/>
        <v>-2.9306720026588202E-2</v>
      </c>
    </row>
    <row r="446" spans="1:7" x14ac:dyDescent="0.35">
      <c r="A446" t="s">
        <v>36</v>
      </c>
      <c r="E446">
        <v>3.0258810857464193E-3</v>
      </c>
      <c r="F446">
        <f t="shared" si="18"/>
        <v>-1.9180772175171158E-2</v>
      </c>
      <c r="G446">
        <f t="shared" si="19"/>
        <v>-2.9306720026588202E-2</v>
      </c>
    </row>
    <row r="447" spans="1:7" x14ac:dyDescent="0.35">
      <c r="A447" t="s">
        <v>36</v>
      </c>
      <c r="E447">
        <v>2.1833190431686453E-2</v>
      </c>
      <c r="F447">
        <f t="shared" si="18"/>
        <v>-1.918142166703693E-2</v>
      </c>
      <c r="G447">
        <f t="shared" si="19"/>
        <v>-2.9306720026588202E-2</v>
      </c>
    </row>
    <row r="448" spans="1:7" x14ac:dyDescent="0.35">
      <c r="A448" t="s">
        <v>36</v>
      </c>
      <c r="E448">
        <v>-1.3372930374217721E-2</v>
      </c>
      <c r="F448">
        <f t="shared" si="18"/>
        <v>-1.9182071158902702E-2</v>
      </c>
      <c r="G448">
        <f t="shared" si="19"/>
        <v>-2.9306720026588202E-2</v>
      </c>
    </row>
    <row r="449" spans="1:7" x14ac:dyDescent="0.35">
      <c r="A449" t="s">
        <v>36</v>
      </c>
      <c r="E449">
        <v>8.8133584675244413E-3</v>
      </c>
      <c r="F449">
        <f t="shared" si="18"/>
        <v>-1.9182720650768471E-2</v>
      </c>
      <c r="G449">
        <f t="shared" si="19"/>
        <v>-2.9306720026588202E-2</v>
      </c>
    </row>
    <row r="450" spans="1:7" x14ac:dyDescent="0.35">
      <c r="A450" t="s">
        <v>36</v>
      </c>
      <c r="E450">
        <v>-1.8225476425465174E-2</v>
      </c>
      <c r="F450">
        <f t="shared" si="18"/>
        <v>-1.9183370142634243E-2</v>
      </c>
      <c r="G450">
        <f t="shared" si="19"/>
        <v>-2.9306720026588202E-2</v>
      </c>
    </row>
    <row r="451" spans="1:7" x14ac:dyDescent="0.35">
      <c r="A451" t="s">
        <v>36</v>
      </c>
      <c r="E451">
        <v>3.0638594485746661E-3</v>
      </c>
      <c r="F451">
        <f t="shared" si="18"/>
        <v>-1.9184019634500015E-2</v>
      </c>
      <c r="G451">
        <f t="shared" si="19"/>
        <v>-2.9306720026588202E-2</v>
      </c>
    </row>
    <row r="452" spans="1:7" x14ac:dyDescent="0.35">
      <c r="A452" t="s">
        <v>36</v>
      </c>
      <c r="E452">
        <v>6.1267571519759943E-3</v>
      </c>
      <c r="F452">
        <f t="shared" ref="F452:F515" si="20">_xlfn.PERCENTILE.EXC(E452:E4267,0.05)</f>
        <v>-1.9184669126365784E-2</v>
      </c>
      <c r="G452">
        <f t="shared" ref="G452:G515" si="21">AVERAGEIFS(E452:E4268,E452:E4268,"&lt;=" &amp; F452)</f>
        <v>-2.9306720026588202E-2</v>
      </c>
    </row>
    <row r="453" spans="1:7" x14ac:dyDescent="0.35">
      <c r="A453" t="s">
        <v>36</v>
      </c>
      <c r="E453">
        <v>-2.5181103464392708E-2</v>
      </c>
      <c r="F453">
        <f t="shared" si="20"/>
        <v>-1.9185318618231556E-2</v>
      </c>
      <c r="G453">
        <f t="shared" si="21"/>
        <v>-2.9306720026588202E-2</v>
      </c>
    </row>
    <row r="454" spans="1:7" x14ac:dyDescent="0.35">
      <c r="A454" t="s">
        <v>36</v>
      </c>
      <c r="E454">
        <v>3.4845876127521547E-2</v>
      </c>
      <c r="F454">
        <f t="shared" si="20"/>
        <v>-1.9176146165638858E-2</v>
      </c>
      <c r="G454">
        <f t="shared" si="21"/>
        <v>-2.9270980572776197E-2</v>
      </c>
    </row>
    <row r="455" spans="1:7" x14ac:dyDescent="0.35">
      <c r="A455" t="s">
        <v>36</v>
      </c>
      <c r="E455">
        <v>1.4021248760768391E-2</v>
      </c>
      <c r="F455">
        <f t="shared" si="20"/>
        <v>-1.9176267675361805E-2</v>
      </c>
      <c r="G455">
        <f t="shared" si="21"/>
        <v>-2.9270980572776197E-2</v>
      </c>
    </row>
    <row r="456" spans="1:7" x14ac:dyDescent="0.35">
      <c r="A456" t="s">
        <v>36</v>
      </c>
      <c r="E456">
        <v>-1.4080296359796436E-3</v>
      </c>
      <c r="F456">
        <f t="shared" si="20"/>
        <v>-1.9176389185084748E-2</v>
      </c>
      <c r="G456">
        <f t="shared" si="21"/>
        <v>-2.9270980572776197E-2</v>
      </c>
    </row>
    <row r="457" spans="1:7" x14ac:dyDescent="0.35">
      <c r="A457" t="s">
        <v>36</v>
      </c>
      <c r="E457">
        <v>-5.086715403676269E-3</v>
      </c>
      <c r="F457">
        <f t="shared" si="20"/>
        <v>-1.9176510694807695E-2</v>
      </c>
      <c r="G457">
        <f t="shared" si="21"/>
        <v>-2.9270980572776197E-2</v>
      </c>
    </row>
    <row r="458" spans="1:7" x14ac:dyDescent="0.35">
      <c r="A458" t="s">
        <v>36</v>
      </c>
      <c r="E458">
        <v>5.2103794175294399E-2</v>
      </c>
      <c r="F458">
        <f t="shared" si="20"/>
        <v>-1.9176632204530641E-2</v>
      </c>
      <c r="G458">
        <f t="shared" si="21"/>
        <v>-2.9270980572776197E-2</v>
      </c>
    </row>
    <row r="459" spans="1:7" x14ac:dyDescent="0.35">
      <c r="A459" t="s">
        <v>36</v>
      </c>
      <c r="E459">
        <v>1.3166164391305423E-3</v>
      </c>
      <c r="F459">
        <f t="shared" si="20"/>
        <v>-1.9176753714253585E-2</v>
      </c>
      <c r="G459">
        <f t="shared" si="21"/>
        <v>-2.9270980572776197E-2</v>
      </c>
    </row>
    <row r="460" spans="1:7" x14ac:dyDescent="0.35">
      <c r="A460" t="s">
        <v>36</v>
      </c>
      <c r="E460">
        <v>-3.2811673442283432E-2</v>
      </c>
      <c r="F460">
        <f t="shared" si="20"/>
        <v>-1.9176875223976531E-2</v>
      </c>
      <c r="G460">
        <f t="shared" si="21"/>
        <v>-2.9270980572776197E-2</v>
      </c>
    </row>
    <row r="461" spans="1:7" x14ac:dyDescent="0.35">
      <c r="A461" t="s">
        <v>37</v>
      </c>
      <c r="B461" s="3" cm="1">
        <f t="array" ref="B461">_xlfn.STDEV.S(_xlfn._xlws.FILTER($E$2:$E$1000, $A$2:$A$1000="2011-11"))</f>
        <v>2.4737367691772275E-2</v>
      </c>
      <c r="C461" s="3" cm="1">
        <f t="array" ref="C461">AVERAGE(_xlfn._xlws.FILTER($E$2:$E$1000, $A$2:$A$1000="2011-11"))</f>
        <v>-3.9024418190221279E-4</v>
      </c>
      <c r="D461" s="3" cm="1">
        <f t="array" ref="D461">_xlfn.PERCENTILE.EXC(_xlfn._xlws.FILTER($E$253:$E$502, $A$253:$A$502="2011-11"), 0.05)</f>
        <v>-4.8674048696685457E-2</v>
      </c>
      <c r="E461">
        <v>-5.1252673184802568E-2</v>
      </c>
      <c r="F461">
        <f t="shared" si="20"/>
        <v>-1.9174566539240569E-2</v>
      </c>
      <c r="G461">
        <f t="shared" si="21"/>
        <v>-2.9249778819066576E-2</v>
      </c>
    </row>
    <row r="462" spans="1:7" x14ac:dyDescent="0.35">
      <c r="A462" t="s">
        <v>37</v>
      </c>
      <c r="E462">
        <v>2.2224379861291648E-2</v>
      </c>
      <c r="F462">
        <f t="shared" si="20"/>
        <v>-1.9093397668125175E-2</v>
      </c>
      <c r="G462">
        <f t="shared" si="21"/>
        <v>-2.9057693620531934E-2</v>
      </c>
    </row>
    <row r="463" spans="1:7" x14ac:dyDescent="0.35">
      <c r="A463" t="s">
        <v>37</v>
      </c>
      <c r="E463">
        <v>2.769870956755156E-2</v>
      </c>
      <c r="F463">
        <f t="shared" si="20"/>
        <v>-1.9097900299313641E-2</v>
      </c>
      <c r="G463">
        <f t="shared" si="21"/>
        <v>-2.9057693620531934E-2</v>
      </c>
    </row>
    <row r="464" spans="1:7" x14ac:dyDescent="0.35">
      <c r="A464" t="s">
        <v>37</v>
      </c>
      <c r="E464">
        <v>-2.7609871262427536E-2</v>
      </c>
      <c r="F464">
        <f t="shared" si="20"/>
        <v>-1.9102402930502114E-2</v>
      </c>
      <c r="G464">
        <f t="shared" si="21"/>
        <v>-2.9057693620531934E-2</v>
      </c>
    </row>
    <row r="465" spans="1:7" x14ac:dyDescent="0.35">
      <c r="A465" t="s">
        <v>37</v>
      </c>
      <c r="E465">
        <v>-6.3019131052317124E-3</v>
      </c>
      <c r="F465">
        <f t="shared" si="20"/>
        <v>-1.90792162199757E-2</v>
      </c>
      <c r="G465">
        <f t="shared" si="21"/>
        <v>-2.900664284893505E-2</v>
      </c>
    </row>
    <row r="466" spans="1:7" x14ac:dyDescent="0.35">
      <c r="A466" t="s">
        <v>37</v>
      </c>
      <c r="E466">
        <v>5.510471365673641E-3</v>
      </c>
      <c r="F466">
        <f t="shared" si="20"/>
        <v>-1.9079561299027204E-2</v>
      </c>
      <c r="G466">
        <f t="shared" si="21"/>
        <v>-2.900664284893505E-2</v>
      </c>
    </row>
    <row r="467" spans="1:7" x14ac:dyDescent="0.35">
      <c r="A467" t="s">
        <v>37</v>
      </c>
      <c r="E467">
        <v>-2.2373967612728841E-2</v>
      </c>
      <c r="F467">
        <f t="shared" si="20"/>
        <v>-1.9079906378078704E-2</v>
      </c>
      <c r="G467">
        <f t="shared" si="21"/>
        <v>-2.900664284893505E-2</v>
      </c>
    </row>
    <row r="468" spans="1:7" x14ac:dyDescent="0.35">
      <c r="A468" t="s">
        <v>37</v>
      </c>
      <c r="E468">
        <v>6.5433857321416352E-3</v>
      </c>
      <c r="F468">
        <f t="shared" si="20"/>
        <v>-1.9074413223930324E-2</v>
      </c>
      <c r="G468">
        <f t="shared" si="21"/>
        <v>-2.8986903466970915E-2</v>
      </c>
    </row>
    <row r="469" spans="1:7" x14ac:dyDescent="0.35">
      <c r="A469" t="s">
        <v>37</v>
      </c>
      <c r="E469">
        <v>3.1738100181795265E-2</v>
      </c>
      <c r="F469">
        <f t="shared" si="20"/>
        <v>-1.9074669690662644E-2</v>
      </c>
      <c r="G469">
        <f t="shared" si="21"/>
        <v>-2.8986903466970915E-2</v>
      </c>
    </row>
    <row r="470" spans="1:7" x14ac:dyDescent="0.35">
      <c r="A470" t="s">
        <v>37</v>
      </c>
      <c r="E470">
        <v>-1.1959900241642457E-2</v>
      </c>
      <c r="F470">
        <f t="shared" si="20"/>
        <v>-1.9074926157394968E-2</v>
      </c>
      <c r="G470">
        <f t="shared" si="21"/>
        <v>-2.8986903466970915E-2</v>
      </c>
    </row>
    <row r="471" spans="1:7" x14ac:dyDescent="0.35">
      <c r="A471" t="s">
        <v>37</v>
      </c>
      <c r="E471">
        <v>-8.7060968625173128E-3</v>
      </c>
      <c r="F471">
        <f t="shared" si="20"/>
        <v>-1.9075182624127291E-2</v>
      </c>
      <c r="G471">
        <f t="shared" si="21"/>
        <v>-2.8986903466970915E-2</v>
      </c>
    </row>
    <row r="472" spans="1:7" x14ac:dyDescent="0.35">
      <c r="A472" t="s">
        <v>37</v>
      </c>
      <c r="E472">
        <v>-3.3393860433688972E-3</v>
      </c>
      <c r="F472">
        <f t="shared" si="20"/>
        <v>-1.9075439090859611E-2</v>
      </c>
      <c r="G472">
        <f t="shared" si="21"/>
        <v>-2.8986903466970915E-2</v>
      </c>
    </row>
    <row r="473" spans="1:7" x14ac:dyDescent="0.35">
      <c r="A473" t="s">
        <v>37</v>
      </c>
      <c r="E473">
        <v>-1.074347713542282E-2</v>
      </c>
      <c r="F473">
        <f t="shared" si="20"/>
        <v>-1.9075695557591935E-2</v>
      </c>
      <c r="G473">
        <f t="shared" si="21"/>
        <v>-2.8986903466970915E-2</v>
      </c>
    </row>
    <row r="474" spans="1:7" x14ac:dyDescent="0.35">
      <c r="A474" t="s">
        <v>37</v>
      </c>
      <c r="E474">
        <v>-8.5714246439779554E-3</v>
      </c>
      <c r="F474">
        <f t="shared" si="20"/>
        <v>-1.9075952024324255E-2</v>
      </c>
      <c r="G474">
        <f t="shared" si="21"/>
        <v>-2.8986903466970915E-2</v>
      </c>
    </row>
    <row r="475" spans="1:7" x14ac:dyDescent="0.35">
      <c r="A475" t="s">
        <v>37</v>
      </c>
      <c r="E475">
        <v>-3.4061843264021827E-2</v>
      </c>
      <c r="F475">
        <f t="shared" si="20"/>
        <v>-1.9076208491056578E-2</v>
      </c>
      <c r="G475">
        <f t="shared" si="21"/>
        <v>-2.8986903466970915E-2</v>
      </c>
    </row>
    <row r="476" spans="1:7" x14ac:dyDescent="0.35">
      <c r="A476" t="s">
        <v>37</v>
      </c>
      <c r="E476">
        <v>-1.2314182128464876E-2</v>
      </c>
      <c r="F476">
        <f t="shared" si="20"/>
        <v>-1.9054386136772551E-2</v>
      </c>
      <c r="G476">
        <f t="shared" si="21"/>
        <v>-2.8897146091078997E-2</v>
      </c>
    </row>
    <row r="477" spans="1:7" x14ac:dyDescent="0.35">
      <c r="A477" t="s">
        <v>37</v>
      </c>
      <c r="E477">
        <v>-1.4482989193912594E-2</v>
      </c>
      <c r="F477">
        <f t="shared" si="20"/>
        <v>-1.9058879975097351E-2</v>
      </c>
      <c r="G477">
        <f t="shared" si="21"/>
        <v>-2.8897146091078997E-2</v>
      </c>
    </row>
    <row r="478" spans="1:7" x14ac:dyDescent="0.35">
      <c r="A478" t="s">
        <v>37</v>
      </c>
      <c r="E478">
        <v>-5.4492743618514E-3</v>
      </c>
      <c r="F478">
        <f t="shared" si="20"/>
        <v>-1.9063373813422147E-2</v>
      </c>
      <c r="G478">
        <f t="shared" si="21"/>
        <v>-2.8897146091078997E-2</v>
      </c>
    </row>
    <row r="479" spans="1:7" x14ac:dyDescent="0.35">
      <c r="A479" t="s">
        <v>37</v>
      </c>
      <c r="E479">
        <v>1.1859880537443105E-2</v>
      </c>
      <c r="F479">
        <f t="shared" si="20"/>
        <v>-1.9067867651746947E-2</v>
      </c>
      <c r="G479">
        <f t="shared" si="21"/>
        <v>-2.8897146091078997E-2</v>
      </c>
    </row>
    <row r="480" spans="1:7" x14ac:dyDescent="0.35">
      <c r="A480" t="s">
        <v>37</v>
      </c>
      <c r="E480">
        <v>4.4936463308486149E-2</v>
      </c>
      <c r="F480">
        <f t="shared" si="20"/>
        <v>-1.9072361490071747E-2</v>
      </c>
      <c r="G480">
        <f t="shared" si="21"/>
        <v>-2.8897146091078997E-2</v>
      </c>
    </row>
    <row r="481" spans="1:7" x14ac:dyDescent="0.35">
      <c r="A481" t="s">
        <v>37</v>
      </c>
      <c r="E481">
        <v>9.4550492863037013E-3</v>
      </c>
      <c r="F481">
        <f t="shared" si="20"/>
        <v>-1.907261795680407E-2</v>
      </c>
      <c r="G481">
        <f t="shared" si="21"/>
        <v>-2.8956331540482657E-2</v>
      </c>
    </row>
    <row r="482" spans="1:7" x14ac:dyDescent="0.35">
      <c r="A482" t="s">
        <v>37</v>
      </c>
      <c r="E482">
        <v>4.8615187197835398E-2</v>
      </c>
      <c r="F482">
        <f t="shared" si="20"/>
        <v>-1.907287442353639E-2</v>
      </c>
      <c r="G482">
        <f t="shared" si="21"/>
        <v>-2.8956331540482657E-2</v>
      </c>
    </row>
    <row r="483" spans="1:7" x14ac:dyDescent="0.35">
      <c r="A483" t="s">
        <v>38</v>
      </c>
      <c r="B483" s="3" cm="1">
        <f t="array" ref="B483">_xlfn.STDEV.S(_xlfn._xlws.FILTER($E$2:$E$1000, $A$2:$A$1000="2011-12"))</f>
        <v>1.5275077161004255E-2</v>
      </c>
      <c r="C483" s="3" cm="1">
        <f t="array" ref="C483">AVERAGE(_xlfn._xlws.FILTER($E$2:$E$1000, $A$2:$A$1000="2011-12"))</f>
        <v>-1.5892468303072983E-3</v>
      </c>
      <c r="D483" s="3" cm="1">
        <f t="array" ref="D483">_xlfn.PERCENTILE.EXC(_xlfn._xlws.FILTER($E$253:$E$502, $A$253:$A$502="2011-12"), 0.05)</f>
        <v>-3.350285889740235E-2</v>
      </c>
      <c r="E483">
        <v>-8.7359273961633704E-3</v>
      </c>
      <c r="F483">
        <f t="shared" si="20"/>
        <v>-1.9073130890268714E-2</v>
      </c>
      <c r="G483">
        <f t="shared" si="21"/>
        <v>-2.8956331540482657E-2</v>
      </c>
    </row>
    <row r="484" spans="1:7" x14ac:dyDescent="0.35">
      <c r="A484" t="s">
        <v>38</v>
      </c>
      <c r="E484">
        <v>7.394871837204121E-3</v>
      </c>
      <c r="F484">
        <f t="shared" si="20"/>
        <v>-1.9073387357001034E-2</v>
      </c>
      <c r="G484">
        <f t="shared" si="21"/>
        <v>-2.8956331540482657E-2</v>
      </c>
    </row>
    <row r="485" spans="1:7" x14ac:dyDescent="0.35">
      <c r="A485" t="s">
        <v>38</v>
      </c>
      <c r="E485">
        <v>4.1701019749754917E-3</v>
      </c>
      <c r="F485">
        <f t="shared" si="20"/>
        <v>-1.9073643823733357E-2</v>
      </c>
      <c r="G485">
        <f t="shared" si="21"/>
        <v>-2.8956331540482657E-2</v>
      </c>
    </row>
    <row r="486" spans="1:7" x14ac:dyDescent="0.35">
      <c r="A486" t="s">
        <v>38</v>
      </c>
      <c r="E486">
        <v>-1.2735330440336401E-2</v>
      </c>
      <c r="F486">
        <f t="shared" si="20"/>
        <v>-1.9073900290465681E-2</v>
      </c>
      <c r="G486">
        <f t="shared" si="21"/>
        <v>-2.8956331540482657E-2</v>
      </c>
    </row>
    <row r="487" spans="1:7" x14ac:dyDescent="0.35">
      <c r="A487" t="s">
        <v>38</v>
      </c>
      <c r="E487">
        <v>-5.6705534301346233E-3</v>
      </c>
      <c r="F487">
        <f t="shared" si="20"/>
        <v>-1.9074156757198001E-2</v>
      </c>
      <c r="G487">
        <f t="shared" si="21"/>
        <v>-2.8956331540482657E-2</v>
      </c>
    </row>
    <row r="488" spans="1:7" x14ac:dyDescent="0.35">
      <c r="A488" t="s">
        <v>38</v>
      </c>
      <c r="E488">
        <v>-2.0270013595853748E-2</v>
      </c>
      <c r="F488">
        <f t="shared" si="20"/>
        <v>-1.9074413223930324E-2</v>
      </c>
      <c r="G488">
        <f t="shared" si="21"/>
        <v>-2.8956331540482657E-2</v>
      </c>
    </row>
    <row r="489" spans="1:7" x14ac:dyDescent="0.35">
      <c r="A489" t="s">
        <v>38</v>
      </c>
      <c r="E489">
        <v>1.8931276148969452E-2</v>
      </c>
      <c r="F489">
        <f t="shared" si="20"/>
        <v>-1.9022929268498964E-2</v>
      </c>
      <c r="G489">
        <f t="shared" si="21"/>
        <v>-2.894911676876108E-2</v>
      </c>
    </row>
    <row r="490" spans="1:7" x14ac:dyDescent="0.35">
      <c r="A490" t="s">
        <v>38</v>
      </c>
      <c r="E490">
        <v>-3.4199324439589118E-2</v>
      </c>
      <c r="F490">
        <f t="shared" si="20"/>
        <v>-1.9027423106823763E-2</v>
      </c>
      <c r="G490">
        <f t="shared" si="21"/>
        <v>-2.894911676876108E-2</v>
      </c>
    </row>
    <row r="491" spans="1:7" x14ac:dyDescent="0.35">
      <c r="A491" t="s">
        <v>38</v>
      </c>
      <c r="E491">
        <v>-1.9325783782317683E-3</v>
      </c>
      <c r="F491">
        <f t="shared" si="20"/>
        <v>-1.8981616975601238E-2</v>
      </c>
      <c r="G491">
        <f t="shared" si="21"/>
        <v>-2.8857449059628466E-2</v>
      </c>
    </row>
    <row r="492" spans="1:7" x14ac:dyDescent="0.35">
      <c r="A492" t="s">
        <v>38</v>
      </c>
      <c r="E492">
        <v>-1.731487700257521E-2</v>
      </c>
      <c r="F492">
        <f t="shared" si="20"/>
        <v>-1.8981713392042854E-2</v>
      </c>
      <c r="G492">
        <f t="shared" si="21"/>
        <v>-2.8857449059628466E-2</v>
      </c>
    </row>
    <row r="493" spans="1:7" x14ac:dyDescent="0.35">
      <c r="A493" t="s">
        <v>38</v>
      </c>
      <c r="E493">
        <v>9.7284946497659293E-3</v>
      </c>
      <c r="F493">
        <f t="shared" si="20"/>
        <v>-1.8981809808484469E-2</v>
      </c>
      <c r="G493">
        <f t="shared" si="21"/>
        <v>-2.8857449059628466E-2</v>
      </c>
    </row>
    <row r="494" spans="1:7" x14ac:dyDescent="0.35">
      <c r="A494" t="s">
        <v>38</v>
      </c>
      <c r="E494">
        <v>-5.0453205236778119E-3</v>
      </c>
      <c r="F494">
        <f t="shared" si="20"/>
        <v>-1.8981906224926084E-2</v>
      </c>
      <c r="G494">
        <f t="shared" si="21"/>
        <v>-2.8857449059628466E-2</v>
      </c>
    </row>
    <row r="495" spans="1:7" x14ac:dyDescent="0.35">
      <c r="A495" t="s">
        <v>38</v>
      </c>
      <c r="E495">
        <v>-5.4640764340019082E-3</v>
      </c>
      <c r="F495">
        <f t="shared" si="20"/>
        <v>-1.89820026413677E-2</v>
      </c>
      <c r="G495">
        <f t="shared" si="21"/>
        <v>-2.8857449059628466E-2</v>
      </c>
    </row>
    <row r="496" spans="1:7" x14ac:dyDescent="0.35">
      <c r="A496" t="s">
        <v>38</v>
      </c>
      <c r="E496">
        <v>3.0619509657909733E-2</v>
      </c>
      <c r="F496">
        <f t="shared" si="20"/>
        <v>-1.8982099057809315E-2</v>
      </c>
      <c r="G496">
        <f t="shared" si="21"/>
        <v>-2.8857449059628466E-2</v>
      </c>
    </row>
    <row r="497" spans="1:7" x14ac:dyDescent="0.35">
      <c r="A497" t="s">
        <v>38</v>
      </c>
      <c r="E497">
        <v>-9.5373346346695771E-3</v>
      </c>
      <c r="F497">
        <f t="shared" si="20"/>
        <v>-1.8982195474250934E-2</v>
      </c>
      <c r="G497">
        <f t="shared" si="21"/>
        <v>-2.8857449059628466E-2</v>
      </c>
    </row>
    <row r="498" spans="1:7" x14ac:dyDescent="0.35">
      <c r="A498" t="s">
        <v>38</v>
      </c>
      <c r="E498">
        <v>1.0417736017780238E-2</v>
      </c>
      <c r="F498">
        <f t="shared" si="20"/>
        <v>-1.8982291890692549E-2</v>
      </c>
      <c r="G498">
        <f t="shared" si="21"/>
        <v>-2.8857449059628466E-2</v>
      </c>
    </row>
    <row r="499" spans="1:7" x14ac:dyDescent="0.35">
      <c r="A499" t="s">
        <v>38</v>
      </c>
      <c r="E499">
        <v>4.5605311625555624E-3</v>
      </c>
      <c r="F499">
        <f t="shared" si="20"/>
        <v>-1.8982388307134165E-2</v>
      </c>
      <c r="G499">
        <f t="shared" si="21"/>
        <v>-2.8857449059628466E-2</v>
      </c>
    </row>
    <row r="500" spans="1:7" x14ac:dyDescent="0.35">
      <c r="A500" t="s">
        <v>38</v>
      </c>
      <c r="E500">
        <v>-1.8482612275548232E-2</v>
      </c>
      <c r="F500">
        <f t="shared" si="20"/>
        <v>-1.898248472357578E-2</v>
      </c>
      <c r="G500">
        <f t="shared" si="21"/>
        <v>-2.8857449059628466E-2</v>
      </c>
    </row>
    <row r="501" spans="1:7" x14ac:dyDescent="0.35">
      <c r="A501" t="s">
        <v>38</v>
      </c>
      <c r="E501">
        <v>1.334093219945192E-2</v>
      </c>
      <c r="F501">
        <f t="shared" si="20"/>
        <v>-1.8986978561900576E-2</v>
      </c>
      <c r="G501">
        <f t="shared" si="21"/>
        <v>-2.8917297328331818E-2</v>
      </c>
    </row>
    <row r="502" spans="1:7" x14ac:dyDescent="0.35">
      <c r="A502" t="s">
        <v>38</v>
      </c>
      <c r="E502">
        <v>8.4395582960233636E-3</v>
      </c>
      <c r="F502">
        <f t="shared" si="20"/>
        <v>-1.8991472400225376E-2</v>
      </c>
      <c r="G502">
        <f t="shared" si="21"/>
        <v>-2.8917297328331818E-2</v>
      </c>
    </row>
    <row r="503" spans="1:7" x14ac:dyDescent="0.35">
      <c r="A503" t="s">
        <v>39</v>
      </c>
      <c r="B503" s="3" cm="1">
        <f t="array" ref="B503">_xlfn.STDEV.S(_xlfn._xlws.FILTER($E$2:$E$1000, $A$2:$A$1000="2012-01"))</f>
        <v>1.3169834855916659E-2</v>
      </c>
      <c r="C503" s="3" cm="1">
        <f t="array" ref="C503">AVERAGE(_xlfn._xlws.FILTER($E$2:$E$1000, $A$2:$A$1000="2012-01"))</f>
        <v>4.3232343869260654E-3</v>
      </c>
      <c r="D503" s="3" cm="1">
        <f t="array" ref="D503">_xlfn.PERCENTILE.EXC(_xlfn._xlws.FILTER($E$503:$E$750, $A$503:$A$750="2012-01"), 0.05)</f>
        <v>-1.0278070359128092E-2</v>
      </c>
      <c r="E503">
        <v>4.4470116835338865E-2</v>
      </c>
      <c r="F503">
        <f t="shared" si="20"/>
        <v>-1.8995966238550172E-2</v>
      </c>
      <c r="G503">
        <f t="shared" si="21"/>
        <v>-2.8917297328331818E-2</v>
      </c>
    </row>
    <row r="504" spans="1:7" x14ac:dyDescent="0.35">
      <c r="A504" t="s">
        <v>39</v>
      </c>
      <c r="E504">
        <v>-8.962344118361408E-3</v>
      </c>
      <c r="F504">
        <f t="shared" si="20"/>
        <v>-1.9000460076874972E-2</v>
      </c>
      <c r="G504">
        <f t="shared" si="21"/>
        <v>-2.8917297328331818E-2</v>
      </c>
    </row>
    <row r="505" spans="1:7" x14ac:dyDescent="0.35">
      <c r="A505" t="s">
        <v>39</v>
      </c>
      <c r="E505">
        <v>-2.5492455362154365E-3</v>
      </c>
      <c r="F505">
        <f t="shared" si="20"/>
        <v>-1.9004953915199772E-2</v>
      </c>
      <c r="G505">
        <f t="shared" si="21"/>
        <v>-2.8917297328331818E-2</v>
      </c>
    </row>
    <row r="506" spans="1:7" x14ac:dyDescent="0.35">
      <c r="A506" t="s">
        <v>39</v>
      </c>
      <c r="E506">
        <v>-6.2646711236440155E-3</v>
      </c>
      <c r="F506">
        <f t="shared" si="20"/>
        <v>-1.9009447753524568E-2</v>
      </c>
      <c r="G506">
        <f t="shared" si="21"/>
        <v>-2.8917297328331818E-2</v>
      </c>
    </row>
    <row r="507" spans="1:7" x14ac:dyDescent="0.35">
      <c r="A507" t="s">
        <v>39</v>
      </c>
      <c r="E507">
        <v>-6.7394863026670471E-3</v>
      </c>
      <c r="F507">
        <f t="shared" si="20"/>
        <v>-1.9013941591849368E-2</v>
      </c>
      <c r="G507">
        <f t="shared" si="21"/>
        <v>-2.8917297328331818E-2</v>
      </c>
    </row>
    <row r="508" spans="1:7" x14ac:dyDescent="0.35">
      <c r="A508" t="s">
        <v>39</v>
      </c>
      <c r="E508">
        <v>2.3933406265293809E-2</v>
      </c>
      <c r="F508">
        <f t="shared" si="20"/>
        <v>-1.9018435430174164E-2</v>
      </c>
      <c r="G508">
        <f t="shared" si="21"/>
        <v>-2.8917297328331818E-2</v>
      </c>
    </row>
    <row r="509" spans="1:7" x14ac:dyDescent="0.35">
      <c r="A509" t="s">
        <v>39</v>
      </c>
      <c r="E509">
        <v>-1.7279295458593319E-3</v>
      </c>
      <c r="F509">
        <f t="shared" si="20"/>
        <v>-1.9022929268498964E-2</v>
      </c>
      <c r="G509">
        <f t="shared" si="21"/>
        <v>-2.8917297328331818E-2</v>
      </c>
    </row>
    <row r="510" spans="1:7" x14ac:dyDescent="0.35">
      <c r="A510" t="s">
        <v>39</v>
      </c>
      <c r="E510">
        <v>4.3579343270433247E-3</v>
      </c>
      <c r="F510">
        <f t="shared" si="20"/>
        <v>-1.9027423106823763E-2</v>
      </c>
      <c r="G510">
        <f t="shared" si="21"/>
        <v>-2.8917297328331818E-2</v>
      </c>
    </row>
    <row r="511" spans="1:7" x14ac:dyDescent="0.35">
      <c r="A511" t="s">
        <v>39</v>
      </c>
      <c r="E511">
        <v>-5.8641865332720007E-3</v>
      </c>
      <c r="F511">
        <f t="shared" si="20"/>
        <v>-1.903191694514856E-2</v>
      </c>
      <c r="G511">
        <f t="shared" si="21"/>
        <v>-2.8917297328331818E-2</v>
      </c>
    </row>
    <row r="512" spans="1:7" x14ac:dyDescent="0.35">
      <c r="A512" t="s">
        <v>39</v>
      </c>
      <c r="E512">
        <v>1.2445269416890477E-2</v>
      </c>
      <c r="F512">
        <f t="shared" si="20"/>
        <v>-1.9036410783473359E-2</v>
      </c>
      <c r="G512">
        <f t="shared" si="21"/>
        <v>-2.8917297328331818E-2</v>
      </c>
    </row>
    <row r="513" spans="1:7" x14ac:dyDescent="0.35">
      <c r="A513" t="s">
        <v>39</v>
      </c>
      <c r="E513">
        <v>1.7991489793041476E-2</v>
      </c>
      <c r="F513">
        <f t="shared" si="20"/>
        <v>-1.9040904621798155E-2</v>
      </c>
      <c r="G513">
        <f t="shared" si="21"/>
        <v>-2.8917297328331818E-2</v>
      </c>
    </row>
    <row r="514" spans="1:7" x14ac:dyDescent="0.35">
      <c r="A514" t="s">
        <v>39</v>
      </c>
      <c r="E514">
        <v>3.4112348349989662E-3</v>
      </c>
      <c r="F514">
        <f t="shared" si="20"/>
        <v>-1.9045398460122955E-2</v>
      </c>
      <c r="G514">
        <f t="shared" si="21"/>
        <v>-2.8917297328331818E-2</v>
      </c>
    </row>
    <row r="515" spans="1:7" x14ac:dyDescent="0.35">
      <c r="A515" t="s">
        <v>39</v>
      </c>
      <c r="E515">
        <v>9.661154339045689E-3</v>
      </c>
      <c r="F515">
        <f t="shared" si="20"/>
        <v>-1.9049892298447755E-2</v>
      </c>
      <c r="G515">
        <f t="shared" si="21"/>
        <v>-2.8917297328331818E-2</v>
      </c>
    </row>
    <row r="516" spans="1:7" x14ac:dyDescent="0.35">
      <c r="A516" t="s">
        <v>39</v>
      </c>
      <c r="E516">
        <v>-1.851700715899765E-3</v>
      </c>
      <c r="F516">
        <f t="shared" ref="F516:F579" si="22">_xlfn.PERCENTILE.EXC(E516:E4331,0.05)</f>
        <v>-1.9054386136772551E-2</v>
      </c>
      <c r="G516">
        <f t="shared" ref="G516:G579" si="23">AVERAGEIFS(E516:E4332,E516:E4332,"&lt;=" &amp; F516)</f>
        <v>-2.8917297328331818E-2</v>
      </c>
    </row>
    <row r="517" spans="1:7" x14ac:dyDescent="0.35">
      <c r="A517" t="s">
        <v>39</v>
      </c>
      <c r="E517">
        <v>5.0198648985402272E-3</v>
      </c>
      <c r="F517">
        <f t="shared" si="22"/>
        <v>-1.9058879975097351E-2</v>
      </c>
      <c r="G517">
        <f t="shared" si="23"/>
        <v>-2.8917297328331818E-2</v>
      </c>
    </row>
    <row r="518" spans="1:7" x14ac:dyDescent="0.35">
      <c r="A518" t="s">
        <v>39</v>
      </c>
      <c r="E518">
        <v>-2.7069426229525445E-3</v>
      </c>
      <c r="F518">
        <f t="shared" si="22"/>
        <v>-1.9063373813422147E-2</v>
      </c>
      <c r="G518">
        <f t="shared" si="23"/>
        <v>-2.8917297328331818E-2</v>
      </c>
    </row>
    <row r="519" spans="1:7" x14ac:dyDescent="0.35">
      <c r="A519" t="s">
        <v>39</v>
      </c>
      <c r="E519">
        <v>4.0962319133437794E-4</v>
      </c>
      <c r="F519">
        <f t="shared" si="22"/>
        <v>-1.9067867651746947E-2</v>
      </c>
      <c r="G519">
        <f t="shared" si="23"/>
        <v>-2.8917297328331818E-2</v>
      </c>
    </row>
    <row r="520" spans="1:7" x14ac:dyDescent="0.35">
      <c r="A520" t="s">
        <v>39</v>
      </c>
      <c r="E520">
        <v>1.8207991241315565E-2</v>
      </c>
      <c r="F520">
        <f t="shared" si="22"/>
        <v>-1.9072361490071747E-2</v>
      </c>
      <c r="G520">
        <f t="shared" si="23"/>
        <v>-2.8917297328331818E-2</v>
      </c>
    </row>
    <row r="521" spans="1:7" x14ac:dyDescent="0.35">
      <c r="A521" t="s">
        <v>39</v>
      </c>
      <c r="E521">
        <v>-4.2706719838102539E-3</v>
      </c>
      <c r="F521">
        <f t="shared" si="22"/>
        <v>-1.907261795680407E-2</v>
      </c>
      <c r="G521">
        <f t="shared" si="23"/>
        <v>-2.8977327424906572E-2</v>
      </c>
    </row>
    <row r="522" spans="1:7" x14ac:dyDescent="0.35">
      <c r="A522" t="s">
        <v>39</v>
      </c>
      <c r="E522">
        <v>-1.0424262163657725E-2</v>
      </c>
      <c r="F522">
        <f t="shared" si="22"/>
        <v>-1.907287442353639E-2</v>
      </c>
      <c r="G522">
        <f t="shared" si="23"/>
        <v>-2.8977327424906572E-2</v>
      </c>
    </row>
    <row r="523" spans="1:7" x14ac:dyDescent="0.35">
      <c r="A523" t="s">
        <v>39</v>
      </c>
      <c r="E523">
        <v>2.2412776289441661E-3</v>
      </c>
      <c r="F523">
        <f t="shared" si="22"/>
        <v>-1.9073130890268714E-2</v>
      </c>
      <c r="G523">
        <f t="shared" si="23"/>
        <v>-2.8977327424906572E-2</v>
      </c>
    </row>
    <row r="524" spans="1:7" x14ac:dyDescent="0.35">
      <c r="A524" t="s">
        <v>40</v>
      </c>
      <c r="B524" s="3" cm="1">
        <f t="array" ref="B524">_xlfn.STDEV.S(_xlfn._xlws.FILTER($E$2:$E$1000, $A$2:$A$1000="2012-02"))</f>
        <v>9.240546642943076E-3</v>
      </c>
      <c r="C524" s="3" cm="1">
        <f t="array" ref="C524">AVERAGE(_xlfn._xlws.FILTER($E$2:$E$1000, $A$2:$A$1000="2012-02"))</f>
        <v>2.8416798538618213E-3</v>
      </c>
      <c r="D524" s="3" cm="1">
        <f t="array" ref="D524">_xlfn.PERCENTILE.EXC(_xlfn._xlws.FILTER($E$503:$E$750, $A$503:$A$750="2012-02"), 0.05)</f>
        <v>-1.3731456540784908E-2</v>
      </c>
      <c r="E524">
        <v>2.412711532253008E-2</v>
      </c>
      <c r="F524">
        <f t="shared" si="22"/>
        <v>-1.9073387357001034E-2</v>
      </c>
      <c r="G524">
        <f t="shared" si="23"/>
        <v>-2.8977327424906572E-2</v>
      </c>
    </row>
    <row r="525" spans="1:7" x14ac:dyDescent="0.35">
      <c r="A525" t="s">
        <v>40</v>
      </c>
      <c r="E525">
        <v>5.8754248012091396E-3</v>
      </c>
      <c r="F525">
        <f t="shared" si="22"/>
        <v>-1.9073643823733357E-2</v>
      </c>
      <c r="G525">
        <f t="shared" si="23"/>
        <v>-2.8977327424906572E-2</v>
      </c>
    </row>
    <row r="526" spans="1:7" x14ac:dyDescent="0.35">
      <c r="A526" t="s">
        <v>40</v>
      </c>
      <c r="E526">
        <v>1.6545976958870827E-2</v>
      </c>
      <c r="F526">
        <f t="shared" si="22"/>
        <v>-1.9073900290465681E-2</v>
      </c>
      <c r="G526">
        <f t="shared" si="23"/>
        <v>-2.8977327424906572E-2</v>
      </c>
    </row>
    <row r="527" spans="1:7" x14ac:dyDescent="0.35">
      <c r="A527" t="s">
        <v>40</v>
      </c>
      <c r="E527">
        <v>-2.71958025546418E-4</v>
      </c>
      <c r="F527">
        <f t="shared" si="22"/>
        <v>-1.9074156757198001E-2</v>
      </c>
      <c r="G527">
        <f t="shared" si="23"/>
        <v>-2.8977327424906572E-2</v>
      </c>
    </row>
    <row r="528" spans="1:7" x14ac:dyDescent="0.35">
      <c r="A528" t="s">
        <v>40</v>
      </c>
      <c r="E528">
        <v>-1.5725983581254342E-3</v>
      </c>
      <c r="F528">
        <f t="shared" si="22"/>
        <v>-1.9074413223930324E-2</v>
      </c>
      <c r="G528">
        <f t="shared" si="23"/>
        <v>-2.8977327424906572E-2</v>
      </c>
    </row>
    <row r="529" spans="1:7" x14ac:dyDescent="0.35">
      <c r="A529" t="s">
        <v>40</v>
      </c>
      <c r="E529">
        <v>-8.0574930153358881E-4</v>
      </c>
      <c r="F529">
        <f t="shared" si="22"/>
        <v>-1.9074669690662644E-2</v>
      </c>
      <c r="G529">
        <f t="shared" si="23"/>
        <v>-2.8977327424906572E-2</v>
      </c>
    </row>
    <row r="530" spans="1:7" x14ac:dyDescent="0.35">
      <c r="A530" t="s">
        <v>40</v>
      </c>
      <c r="E530">
        <v>5.9154111607806811E-3</v>
      </c>
      <c r="F530">
        <f t="shared" si="22"/>
        <v>-1.9074926157394968E-2</v>
      </c>
      <c r="G530">
        <f t="shared" si="23"/>
        <v>-2.8977327424906572E-2</v>
      </c>
    </row>
    <row r="531" spans="1:7" x14ac:dyDescent="0.35">
      <c r="A531" t="s">
        <v>40</v>
      </c>
      <c r="E531">
        <v>-1.4217967758523615E-2</v>
      </c>
      <c r="F531">
        <f t="shared" si="22"/>
        <v>-1.9075182624127291E-2</v>
      </c>
      <c r="G531">
        <f t="shared" si="23"/>
        <v>-2.8977327424906572E-2</v>
      </c>
    </row>
    <row r="532" spans="1:7" x14ac:dyDescent="0.35">
      <c r="A532" t="s">
        <v>40</v>
      </c>
      <c r="E532">
        <v>6.776668480383375E-3</v>
      </c>
      <c r="F532">
        <f t="shared" si="22"/>
        <v>-1.9075439090859611E-2</v>
      </c>
      <c r="G532">
        <f t="shared" si="23"/>
        <v>-2.8977327424906572E-2</v>
      </c>
    </row>
    <row r="533" spans="1:7" x14ac:dyDescent="0.35">
      <c r="A533" t="s">
        <v>40</v>
      </c>
      <c r="E533">
        <v>-1.5267337256333511E-3</v>
      </c>
      <c r="F533">
        <f t="shared" si="22"/>
        <v>-1.9075695557591935E-2</v>
      </c>
      <c r="G533">
        <f t="shared" si="23"/>
        <v>-2.8977327424906572E-2</v>
      </c>
    </row>
    <row r="534" spans="1:7" x14ac:dyDescent="0.35">
      <c r="A534" t="s">
        <v>40</v>
      </c>
      <c r="E534">
        <v>4.4119474241547541E-3</v>
      </c>
      <c r="F534">
        <f t="shared" si="22"/>
        <v>-1.9075952024324255E-2</v>
      </c>
      <c r="G534">
        <f t="shared" si="23"/>
        <v>-2.8977327424906572E-2</v>
      </c>
    </row>
    <row r="535" spans="1:7" x14ac:dyDescent="0.35">
      <c r="A535" t="s">
        <v>40</v>
      </c>
      <c r="E535">
        <v>-8.8527678081271348E-4</v>
      </c>
      <c r="F535">
        <f t="shared" si="22"/>
        <v>-1.9076208491056578E-2</v>
      </c>
      <c r="G535">
        <f t="shared" si="23"/>
        <v>-2.8977327424906572E-2</v>
      </c>
    </row>
    <row r="536" spans="1:7" x14ac:dyDescent="0.35">
      <c r="A536" t="s">
        <v>40</v>
      </c>
      <c r="E536">
        <v>1.4128186565474699E-2</v>
      </c>
      <c r="F536">
        <f t="shared" si="22"/>
        <v>-1.9076464957788902E-2</v>
      </c>
      <c r="G536">
        <f t="shared" si="23"/>
        <v>-2.8977327424906572E-2</v>
      </c>
    </row>
    <row r="537" spans="1:7" x14ac:dyDescent="0.35">
      <c r="A537" t="s">
        <v>40</v>
      </c>
      <c r="E537">
        <v>1.4528809638002875E-2</v>
      </c>
      <c r="F537">
        <f t="shared" si="22"/>
        <v>-1.9076721424521222E-2</v>
      </c>
      <c r="G537">
        <f t="shared" si="23"/>
        <v>-2.8977327424906572E-2</v>
      </c>
    </row>
    <row r="538" spans="1:7" x14ac:dyDescent="0.35">
      <c r="A538" t="s">
        <v>40</v>
      </c>
      <c r="E538">
        <v>-5.7836126182063711E-3</v>
      </c>
      <c r="F538">
        <f t="shared" si="22"/>
        <v>-1.9076977891253545E-2</v>
      </c>
      <c r="G538">
        <f t="shared" si="23"/>
        <v>-2.8977327424906572E-2</v>
      </c>
    </row>
    <row r="539" spans="1:7" x14ac:dyDescent="0.35">
      <c r="A539" t="s">
        <v>40</v>
      </c>
      <c r="E539">
        <v>-9.3528555811365471E-3</v>
      </c>
      <c r="F539">
        <f t="shared" si="22"/>
        <v>-1.9077234357985865E-2</v>
      </c>
      <c r="G539">
        <f t="shared" si="23"/>
        <v>-2.8977327424906572E-2</v>
      </c>
    </row>
    <row r="540" spans="1:7" x14ac:dyDescent="0.35">
      <c r="A540" t="s">
        <v>40</v>
      </c>
      <c r="E540">
        <v>-5.0405392464174395E-3</v>
      </c>
      <c r="F540">
        <f t="shared" si="22"/>
        <v>-1.9077490824718189E-2</v>
      </c>
      <c r="G540">
        <f t="shared" si="23"/>
        <v>-2.8977327424906572E-2</v>
      </c>
    </row>
    <row r="541" spans="1:7" x14ac:dyDescent="0.35">
      <c r="A541" t="s">
        <v>40</v>
      </c>
      <c r="E541">
        <v>8.0401840479387716E-3</v>
      </c>
      <c r="F541">
        <f t="shared" si="22"/>
        <v>-1.9077835903769692E-2</v>
      </c>
      <c r="G541">
        <f t="shared" si="23"/>
        <v>-2.9038062618772766E-2</v>
      </c>
    </row>
    <row r="542" spans="1:7" x14ac:dyDescent="0.35">
      <c r="A542" t="s">
        <v>40</v>
      </c>
      <c r="E542">
        <v>-2.1627495026030402E-3</v>
      </c>
      <c r="F542">
        <f t="shared" si="22"/>
        <v>-1.9078180982821193E-2</v>
      </c>
      <c r="G542">
        <f t="shared" si="23"/>
        <v>-2.9038062618772766E-2</v>
      </c>
    </row>
    <row r="543" spans="1:7" x14ac:dyDescent="0.35">
      <c r="A543" t="s">
        <v>40</v>
      </c>
      <c r="E543">
        <v>5.5367926655017011E-3</v>
      </c>
      <c r="F543">
        <f t="shared" si="22"/>
        <v>-1.9078526061872696E-2</v>
      </c>
      <c r="G543">
        <f t="shared" si="23"/>
        <v>-2.9038062618772766E-2</v>
      </c>
    </row>
    <row r="544" spans="1:7" x14ac:dyDescent="0.35">
      <c r="A544" t="s">
        <v>40</v>
      </c>
      <c r="E544">
        <v>-4.5911992352101411E-3</v>
      </c>
      <c r="F544">
        <f t="shared" si="22"/>
        <v>-1.9078871140924197E-2</v>
      </c>
      <c r="G544">
        <f t="shared" si="23"/>
        <v>-2.9038062618772766E-2</v>
      </c>
    </row>
    <row r="545" spans="1:7" x14ac:dyDescent="0.35">
      <c r="A545" t="s">
        <v>41</v>
      </c>
      <c r="B545" s="3" cm="1">
        <f t="array" ref="B545">_xlfn.STDEV.S(_xlfn._xlws.FILTER($E$2:$E$1000, $A$2:$A$1000="2012-03"))</f>
        <v>1.3028620286317651E-2</v>
      </c>
      <c r="C545" s="3" cm="1">
        <f t="array" ref="C545">AVERAGE(_xlfn._xlws.FILTER($E$2:$E$1000, $A$2:$A$1000="2012-03"))</f>
        <v>5.9770866262791615E-4</v>
      </c>
      <c r="D545" s="3" cm="1">
        <f t="array" ref="D545">_xlfn.PERCENTILE.EXC(_xlfn._xlws.FILTER($E$503:$E$750, $A$503:$A$750="2012-03"), 0.05)</f>
        <v>-3.2062464762074153E-2</v>
      </c>
      <c r="E545">
        <v>1.2420935389547524E-2</v>
      </c>
      <c r="F545">
        <f t="shared" si="22"/>
        <v>-1.90792162199757E-2</v>
      </c>
      <c r="G545">
        <f t="shared" si="23"/>
        <v>-2.9038062618772766E-2</v>
      </c>
    </row>
    <row r="546" spans="1:7" x14ac:dyDescent="0.35">
      <c r="A546" t="s">
        <v>41</v>
      </c>
      <c r="E546">
        <v>-2.9430583150289779E-3</v>
      </c>
      <c r="F546">
        <f t="shared" si="22"/>
        <v>-1.9079561299027204E-2</v>
      </c>
      <c r="G546">
        <f t="shared" si="23"/>
        <v>-2.9038062618772766E-2</v>
      </c>
    </row>
    <row r="547" spans="1:7" x14ac:dyDescent="0.35">
      <c r="A547" t="s">
        <v>41</v>
      </c>
      <c r="E547">
        <v>-7.9650373262342439E-3</v>
      </c>
      <c r="F547">
        <f t="shared" si="22"/>
        <v>-1.9079906378078704E-2</v>
      </c>
      <c r="G547">
        <f t="shared" si="23"/>
        <v>-2.9038062618772766E-2</v>
      </c>
    </row>
    <row r="548" spans="1:7" x14ac:dyDescent="0.35">
      <c r="A548" t="s">
        <v>41</v>
      </c>
      <c r="E548">
        <v>-3.4574915433283532E-2</v>
      </c>
      <c r="F548">
        <f t="shared" si="22"/>
        <v>-1.9080251457130208E-2</v>
      </c>
      <c r="G548">
        <f t="shared" si="23"/>
        <v>-2.9038062618772766E-2</v>
      </c>
    </row>
    <row r="549" spans="1:7" x14ac:dyDescent="0.35">
      <c r="A549" t="s">
        <v>41</v>
      </c>
      <c r="E549">
        <v>5.7124887195613159E-3</v>
      </c>
      <c r="F549">
        <f t="shared" si="22"/>
        <v>-1.9074669690662644E-2</v>
      </c>
      <c r="G549">
        <f t="shared" si="23"/>
        <v>-2.8942986394180338E-2</v>
      </c>
    </row>
    <row r="550" spans="1:7" x14ac:dyDescent="0.35">
      <c r="A550" t="s">
        <v>41</v>
      </c>
      <c r="E550">
        <v>2.4202904379347724E-2</v>
      </c>
      <c r="F550">
        <f t="shared" si="22"/>
        <v>-1.9074926157394968E-2</v>
      </c>
      <c r="G550">
        <f t="shared" si="23"/>
        <v>-2.8942986394180338E-2</v>
      </c>
    </row>
    <row r="551" spans="1:7" x14ac:dyDescent="0.35">
      <c r="A551" t="s">
        <v>41</v>
      </c>
      <c r="E551">
        <v>6.6600074824951947E-3</v>
      </c>
      <c r="F551">
        <f t="shared" si="22"/>
        <v>-1.9075182624127291E-2</v>
      </c>
      <c r="G551">
        <f t="shared" si="23"/>
        <v>-2.8942986394180338E-2</v>
      </c>
    </row>
    <row r="552" spans="1:7" x14ac:dyDescent="0.35">
      <c r="A552" t="s">
        <v>41</v>
      </c>
      <c r="E552">
        <v>3.067869904495142E-3</v>
      </c>
      <c r="F552">
        <f t="shared" si="22"/>
        <v>-1.9075439090859611E-2</v>
      </c>
      <c r="G552">
        <f t="shared" si="23"/>
        <v>-2.8942986394180338E-2</v>
      </c>
    </row>
    <row r="553" spans="1:7" x14ac:dyDescent="0.35">
      <c r="A553" t="s">
        <v>41</v>
      </c>
      <c r="E553">
        <v>1.3608647939874334E-2</v>
      </c>
      <c r="F553">
        <f t="shared" si="22"/>
        <v>-1.9075695557591935E-2</v>
      </c>
      <c r="G553">
        <f t="shared" si="23"/>
        <v>-2.8942986394180338E-2</v>
      </c>
    </row>
    <row r="554" spans="1:7" x14ac:dyDescent="0.35">
      <c r="A554" t="s">
        <v>41</v>
      </c>
      <c r="E554">
        <v>1.1866290866362338E-2</v>
      </c>
      <c r="F554">
        <f t="shared" si="22"/>
        <v>-1.9075952024324255E-2</v>
      </c>
      <c r="G554">
        <f t="shared" si="23"/>
        <v>-2.8942986394180338E-2</v>
      </c>
    </row>
    <row r="555" spans="1:7" x14ac:dyDescent="0.35">
      <c r="A555" t="s">
        <v>41</v>
      </c>
      <c r="E555">
        <v>9.1438480660556501E-3</v>
      </c>
      <c r="F555">
        <f t="shared" si="22"/>
        <v>-1.9076208491056578E-2</v>
      </c>
      <c r="G555">
        <f t="shared" si="23"/>
        <v>-2.8942986394180338E-2</v>
      </c>
    </row>
    <row r="556" spans="1:7" x14ac:dyDescent="0.35">
      <c r="A556" t="s">
        <v>41</v>
      </c>
      <c r="E556">
        <v>1.8696338266027215E-3</v>
      </c>
      <c r="F556">
        <f t="shared" si="22"/>
        <v>-1.9076464957788902E-2</v>
      </c>
      <c r="G556">
        <f t="shared" si="23"/>
        <v>-2.8942986394180338E-2</v>
      </c>
    </row>
    <row r="557" spans="1:7" x14ac:dyDescent="0.35">
      <c r="A557" t="s">
        <v>41</v>
      </c>
      <c r="E557">
        <v>-5.0307294780114814E-4</v>
      </c>
      <c r="F557">
        <f t="shared" si="22"/>
        <v>-1.9076721424521222E-2</v>
      </c>
      <c r="G557">
        <f t="shared" si="23"/>
        <v>-2.8942986394180338E-2</v>
      </c>
    </row>
    <row r="558" spans="1:7" x14ac:dyDescent="0.35">
      <c r="A558" t="s">
        <v>41</v>
      </c>
      <c r="E558">
        <v>-1.3974311728879274E-2</v>
      </c>
      <c r="F558">
        <f t="shared" si="22"/>
        <v>-1.9076977891253545E-2</v>
      </c>
      <c r="G558">
        <f t="shared" si="23"/>
        <v>-2.8942986394180338E-2</v>
      </c>
    </row>
    <row r="559" spans="1:7" x14ac:dyDescent="0.35">
      <c r="A559" t="s">
        <v>41</v>
      </c>
      <c r="E559">
        <v>2.3190862041601022E-3</v>
      </c>
      <c r="F559">
        <f t="shared" si="22"/>
        <v>-1.9077234357985865E-2</v>
      </c>
      <c r="G559">
        <f t="shared" si="23"/>
        <v>-2.8942986394180338E-2</v>
      </c>
    </row>
    <row r="560" spans="1:7" x14ac:dyDescent="0.35">
      <c r="A560" t="s">
        <v>41</v>
      </c>
      <c r="E560">
        <v>-1.2817750623526735E-2</v>
      </c>
      <c r="F560">
        <f t="shared" si="22"/>
        <v>-1.9077490824718189E-2</v>
      </c>
      <c r="G560">
        <f t="shared" si="23"/>
        <v>-2.8942986394180338E-2</v>
      </c>
    </row>
    <row r="561" spans="1:7" x14ac:dyDescent="0.35">
      <c r="A561" t="s">
        <v>41</v>
      </c>
      <c r="E561">
        <v>2.0548226861332492E-3</v>
      </c>
      <c r="F561">
        <f t="shared" si="22"/>
        <v>-1.9077835903769692E-2</v>
      </c>
      <c r="G561">
        <f t="shared" si="23"/>
        <v>-2.9003884514979487E-2</v>
      </c>
    </row>
    <row r="562" spans="1:7" x14ac:dyDescent="0.35">
      <c r="A562" t="s">
        <v>41</v>
      </c>
      <c r="E562">
        <v>1.1880905800285885E-2</v>
      </c>
      <c r="F562">
        <f t="shared" si="22"/>
        <v>-1.9078180982821193E-2</v>
      </c>
      <c r="G562">
        <f t="shared" si="23"/>
        <v>-2.9003884514979487E-2</v>
      </c>
    </row>
    <row r="563" spans="1:7" x14ac:dyDescent="0.35">
      <c r="A563" t="s">
        <v>41</v>
      </c>
      <c r="E563">
        <v>-4.6616325752028361E-5</v>
      </c>
      <c r="F563">
        <f t="shared" si="22"/>
        <v>-1.9078526061872696E-2</v>
      </c>
      <c r="G563">
        <f t="shared" si="23"/>
        <v>-2.9003884514979487E-2</v>
      </c>
    </row>
    <row r="564" spans="1:7" x14ac:dyDescent="0.35">
      <c r="A564" t="s">
        <v>41</v>
      </c>
      <c r="E564">
        <v>-1.1379822614923651E-2</v>
      </c>
      <c r="F564">
        <f t="shared" si="22"/>
        <v>-1.9078871140924197E-2</v>
      </c>
      <c r="G564">
        <f t="shared" si="23"/>
        <v>-2.9003884514979487E-2</v>
      </c>
    </row>
    <row r="565" spans="1:7" x14ac:dyDescent="0.35">
      <c r="A565" t="s">
        <v>41</v>
      </c>
      <c r="E565">
        <v>-1.7825244291887674E-2</v>
      </c>
      <c r="F565">
        <f t="shared" si="22"/>
        <v>-1.90792162199757E-2</v>
      </c>
      <c r="G565">
        <f t="shared" si="23"/>
        <v>-2.9003884514979487E-2</v>
      </c>
    </row>
    <row r="566" spans="1:7" x14ac:dyDescent="0.35">
      <c r="A566" t="s">
        <v>41</v>
      </c>
      <c r="E566">
        <v>1.0371978920210237E-2</v>
      </c>
      <c r="F566">
        <f t="shared" si="22"/>
        <v>-1.9079561299027204E-2</v>
      </c>
      <c r="G566">
        <f t="shared" si="23"/>
        <v>-2.9003884514979487E-2</v>
      </c>
    </row>
    <row r="567" spans="1:7" x14ac:dyDescent="0.35">
      <c r="A567" t="s">
        <v>42</v>
      </c>
      <c r="B567" s="3" cm="1">
        <f t="array" ref="B567">_xlfn.STDEV.S(_xlfn._xlws.FILTER($E$2:$E$1000, $A$2:$A$1000="2012-04"))</f>
        <v>1.7217076154349236E-2</v>
      </c>
      <c r="C567" s="3" cm="1">
        <f t="array" ref="C567">AVERAGE(_xlfn._xlws.FILTER($E$2:$E$1000, $A$2:$A$1000="2012-04"))</f>
        <v>-1.4256068605921269E-3</v>
      </c>
      <c r="D567" s="3" cm="1">
        <f t="array" ref="D567">_xlfn.PERCENTILE.EXC(_xlfn._xlws.FILTER($E$503:$E$750, $A$503:$A$750="2012-04"), 0.05)</f>
        <v>-3.4225889690234469E-2</v>
      </c>
      <c r="E567">
        <v>1.568499422644239E-2</v>
      </c>
      <c r="F567">
        <f t="shared" si="22"/>
        <v>-1.9079906378078704E-2</v>
      </c>
      <c r="G567">
        <f t="shared" si="23"/>
        <v>-2.9003884514979487E-2</v>
      </c>
    </row>
    <row r="568" spans="1:7" x14ac:dyDescent="0.35">
      <c r="A568" t="s">
        <v>42</v>
      </c>
      <c r="E568">
        <v>-1.059492364204258E-2</v>
      </c>
      <c r="F568">
        <f t="shared" si="22"/>
        <v>-1.9080251457130208E-2</v>
      </c>
      <c r="G568">
        <f t="shared" si="23"/>
        <v>-2.9003884514979487E-2</v>
      </c>
    </row>
    <row r="569" spans="1:7" x14ac:dyDescent="0.35">
      <c r="A569" t="s">
        <v>42</v>
      </c>
      <c r="E569">
        <v>-2.8799768210936414E-2</v>
      </c>
      <c r="F569">
        <f t="shared" si="22"/>
        <v>-1.9080596536181708E-2</v>
      </c>
      <c r="G569">
        <f t="shared" si="23"/>
        <v>-2.9003884514979487E-2</v>
      </c>
    </row>
    <row r="570" spans="1:7" x14ac:dyDescent="0.35">
      <c r="A570" t="s">
        <v>42</v>
      </c>
      <c r="E570">
        <v>-1.2980003769398716E-3</v>
      </c>
      <c r="F570">
        <f t="shared" si="22"/>
        <v>-1.9074926157394968E-2</v>
      </c>
      <c r="G570">
        <f t="shared" si="23"/>
        <v>-2.8943870457039871E-2</v>
      </c>
    </row>
    <row r="571" spans="1:7" x14ac:dyDescent="0.35">
      <c r="A571" t="s">
        <v>42</v>
      </c>
      <c r="E571">
        <v>-2.5234325222693716E-2</v>
      </c>
      <c r="F571">
        <f t="shared" si="22"/>
        <v>-1.9075182624127291E-2</v>
      </c>
      <c r="G571">
        <f t="shared" si="23"/>
        <v>-2.8943870457039871E-2</v>
      </c>
    </row>
    <row r="572" spans="1:7" x14ac:dyDescent="0.35">
      <c r="A572" t="s">
        <v>42</v>
      </c>
      <c r="E572">
        <v>1.0285336839530106E-2</v>
      </c>
      <c r="F572">
        <f t="shared" si="22"/>
        <v>-1.9036410783473359E-2</v>
      </c>
      <c r="G572">
        <f t="shared" si="23"/>
        <v>-2.8905833643875535E-2</v>
      </c>
    </row>
    <row r="573" spans="1:7" x14ac:dyDescent="0.35">
      <c r="A573" t="s">
        <v>42</v>
      </c>
      <c r="E573">
        <v>1.0211767555299074E-2</v>
      </c>
      <c r="F573">
        <f t="shared" si="22"/>
        <v>-1.9040904621798155E-2</v>
      </c>
      <c r="G573">
        <f t="shared" si="23"/>
        <v>-2.8905833643875535E-2</v>
      </c>
    </row>
    <row r="574" spans="1:7" x14ac:dyDescent="0.35">
      <c r="A574" t="s">
        <v>42</v>
      </c>
      <c r="E574">
        <v>-2.3913246661243118E-2</v>
      </c>
      <c r="F574">
        <f t="shared" si="22"/>
        <v>-1.9045398460122955E-2</v>
      </c>
      <c r="G574">
        <f t="shared" si="23"/>
        <v>-2.8905833643875535E-2</v>
      </c>
    </row>
    <row r="575" spans="1:7" x14ac:dyDescent="0.35">
      <c r="A575" t="s">
        <v>42</v>
      </c>
      <c r="E575">
        <v>6.2517757822608214E-3</v>
      </c>
      <c r="F575">
        <f t="shared" si="22"/>
        <v>-1.89820026413677E-2</v>
      </c>
      <c r="G575">
        <f t="shared" si="23"/>
        <v>-2.8875396841791169E-2</v>
      </c>
    </row>
    <row r="576" spans="1:7" x14ac:dyDescent="0.35">
      <c r="A576" t="s">
        <v>42</v>
      </c>
      <c r="E576">
        <v>2.6190609487174377E-2</v>
      </c>
      <c r="F576">
        <f t="shared" si="22"/>
        <v>-1.8982099057809315E-2</v>
      </c>
      <c r="G576">
        <f t="shared" si="23"/>
        <v>-2.8875396841791169E-2</v>
      </c>
    </row>
    <row r="577" spans="1:7" x14ac:dyDescent="0.35">
      <c r="A577" t="s">
        <v>42</v>
      </c>
      <c r="E577">
        <v>-1.0192927546885751E-2</v>
      </c>
      <c r="F577">
        <f t="shared" si="22"/>
        <v>-1.8982195474250934E-2</v>
      </c>
      <c r="G577">
        <f t="shared" si="23"/>
        <v>-2.8875396841791169E-2</v>
      </c>
    </row>
    <row r="578" spans="1:7" x14ac:dyDescent="0.35">
      <c r="A578" t="s">
        <v>42</v>
      </c>
      <c r="E578">
        <v>-9.0739808990849061E-3</v>
      </c>
      <c r="F578">
        <f t="shared" si="22"/>
        <v>-1.8982291890692549E-2</v>
      </c>
      <c r="G578">
        <f t="shared" si="23"/>
        <v>-2.8875396841791169E-2</v>
      </c>
    </row>
    <row r="579" spans="1:7" x14ac:dyDescent="0.35">
      <c r="A579" t="s">
        <v>42</v>
      </c>
      <c r="E579">
        <v>1.1757530756662374E-2</v>
      </c>
      <c r="F579">
        <f t="shared" si="22"/>
        <v>-1.8982388307134165E-2</v>
      </c>
      <c r="G579">
        <f t="shared" si="23"/>
        <v>-2.8875396841791169E-2</v>
      </c>
    </row>
    <row r="580" spans="1:7" x14ac:dyDescent="0.35">
      <c r="A580" t="s">
        <v>42</v>
      </c>
      <c r="E580">
        <v>-3.4225889690234469E-2</v>
      </c>
      <c r="F580">
        <f t="shared" ref="F580:F643" si="24">_xlfn.PERCENTILE.EXC(E580:E4395,0.05)</f>
        <v>-1.898248472357578E-2</v>
      </c>
      <c r="G580">
        <f t="shared" ref="G580:G643" si="25">AVERAGEIFS(E580:E4396,E580:E4396,"&lt;=" &amp; F580)</f>
        <v>-2.8875396841791169E-2</v>
      </c>
    </row>
    <row r="581" spans="1:7" x14ac:dyDescent="0.35">
      <c r="A581" t="s">
        <v>42</v>
      </c>
      <c r="E581">
        <v>1.0281169243151166E-2</v>
      </c>
      <c r="F581">
        <f t="shared" si="24"/>
        <v>-1.8980652811185078E-2</v>
      </c>
      <c r="G581">
        <f t="shared" si="25"/>
        <v>-2.8842163966956116E-2</v>
      </c>
    </row>
    <row r="582" spans="1:7" x14ac:dyDescent="0.35">
      <c r="A582" t="s">
        <v>42</v>
      </c>
      <c r="E582">
        <v>1.7163380680449578E-2</v>
      </c>
      <c r="F582">
        <f t="shared" si="24"/>
        <v>-1.8980749227626693E-2</v>
      </c>
      <c r="G582">
        <f t="shared" si="25"/>
        <v>-2.8842163966956116E-2</v>
      </c>
    </row>
    <row r="583" spans="1:7" x14ac:dyDescent="0.35">
      <c r="A583" t="s">
        <v>42</v>
      </c>
      <c r="E583">
        <v>5.2661452813373049E-3</v>
      </c>
      <c r="F583">
        <f t="shared" si="24"/>
        <v>-1.8980845644068309E-2</v>
      </c>
      <c r="G583">
        <f t="shared" si="25"/>
        <v>-2.8842163966956116E-2</v>
      </c>
    </row>
    <row r="584" spans="1:7" x14ac:dyDescent="0.35">
      <c r="A584" t="s">
        <v>42</v>
      </c>
      <c r="E584">
        <v>9.0716229718302444E-3</v>
      </c>
      <c r="F584">
        <f t="shared" si="24"/>
        <v>-1.8980942060509928E-2</v>
      </c>
      <c r="G584">
        <f t="shared" si="25"/>
        <v>-2.8842163966956116E-2</v>
      </c>
    </row>
    <row r="585" spans="1:7" x14ac:dyDescent="0.35">
      <c r="A585" t="s">
        <v>42</v>
      </c>
      <c r="E585">
        <v>-5.9178009253270198E-3</v>
      </c>
      <c r="F585">
        <f t="shared" si="24"/>
        <v>-1.8981038476951543E-2</v>
      </c>
      <c r="G585">
        <f t="shared" si="25"/>
        <v>-2.8842163966956116E-2</v>
      </c>
    </row>
    <row r="586" spans="1:7" x14ac:dyDescent="0.35">
      <c r="A586" t="s">
        <v>43</v>
      </c>
      <c r="B586" s="3" cm="1">
        <f t="array" ref="B586">_xlfn.STDEV.S(_xlfn._xlws.FILTER($E$2:$E$1000, $A$2:$A$1000="2012-05"))</f>
        <v>1.1684121201489825E-2</v>
      </c>
      <c r="C586" s="3" cm="1">
        <f t="array" ref="C586">AVERAGE(_xlfn._xlws.FILTER($E$2:$E$1000, $A$2:$A$1000="2012-05"))</f>
        <v>-3.634251862119174E-3</v>
      </c>
      <c r="D586" s="3" cm="1">
        <f t="array" ref="D586">_xlfn.PERCENTILE.EXC(_xlfn._xlws.FILTER($E$503:$E$750, $A$503:$A$750="2012-05"), 0.05)</f>
        <v>-2.3210185908322484E-2</v>
      </c>
      <c r="E586">
        <v>-7.4852115671969893E-3</v>
      </c>
      <c r="F586">
        <f t="shared" si="24"/>
        <v>-1.8981134893393158E-2</v>
      </c>
      <c r="G586">
        <f t="shared" si="25"/>
        <v>-2.8842163966956116E-2</v>
      </c>
    </row>
    <row r="587" spans="1:7" x14ac:dyDescent="0.35">
      <c r="A587" t="s">
        <v>43</v>
      </c>
      <c r="E587">
        <v>-2.4363673642936409E-3</v>
      </c>
      <c r="F587">
        <f t="shared" si="24"/>
        <v>-1.8981231309834774E-2</v>
      </c>
      <c r="G587">
        <f t="shared" si="25"/>
        <v>-2.8842163966956116E-2</v>
      </c>
    </row>
    <row r="588" spans="1:7" x14ac:dyDescent="0.35">
      <c r="A588" t="s">
        <v>43</v>
      </c>
      <c r="E588">
        <v>-2.006266791543368E-2</v>
      </c>
      <c r="F588">
        <f t="shared" si="24"/>
        <v>-1.8981327726276389E-2</v>
      </c>
      <c r="G588">
        <f t="shared" si="25"/>
        <v>-2.8842163966956116E-2</v>
      </c>
    </row>
    <row r="589" spans="1:7" x14ac:dyDescent="0.35">
      <c r="A589" t="s">
        <v>43</v>
      </c>
      <c r="E589">
        <v>-1.7950368990942968E-2</v>
      </c>
      <c r="F589">
        <f t="shared" si="24"/>
        <v>-1.8966243608066181E-2</v>
      </c>
      <c r="G589">
        <f t="shared" si="25"/>
        <v>-2.8835442777386613E-2</v>
      </c>
    </row>
    <row r="590" spans="1:7" x14ac:dyDescent="0.35">
      <c r="A590" t="s">
        <v>43</v>
      </c>
      <c r="E590">
        <v>4.7321886599044887E-3</v>
      </c>
      <c r="F590">
        <f t="shared" si="24"/>
        <v>-1.8967544770491389E-2</v>
      </c>
      <c r="G590">
        <f t="shared" si="25"/>
        <v>-2.8835442777386613E-2</v>
      </c>
    </row>
    <row r="591" spans="1:7" x14ac:dyDescent="0.35">
      <c r="A591" t="s">
        <v>43</v>
      </c>
      <c r="E591">
        <v>6.5710975279323017E-3</v>
      </c>
      <c r="F591">
        <f t="shared" si="24"/>
        <v>-1.8968845932916596E-2</v>
      </c>
      <c r="G591">
        <f t="shared" si="25"/>
        <v>-2.8835442777386613E-2</v>
      </c>
    </row>
    <row r="592" spans="1:7" x14ac:dyDescent="0.35">
      <c r="A592" t="s">
        <v>43</v>
      </c>
      <c r="E592">
        <v>9.4565265673966867E-3</v>
      </c>
      <c r="F592">
        <f t="shared" si="24"/>
        <v>-1.8970147095341804E-2</v>
      </c>
      <c r="G592">
        <f t="shared" si="25"/>
        <v>-2.8835442777386613E-2</v>
      </c>
    </row>
    <row r="593" spans="1:7" x14ac:dyDescent="0.35">
      <c r="A593" t="s">
        <v>43</v>
      </c>
      <c r="E593">
        <v>-1.963859645163071E-2</v>
      </c>
      <c r="F593">
        <f t="shared" si="24"/>
        <v>-1.8971448257767011E-2</v>
      </c>
      <c r="G593">
        <f t="shared" si="25"/>
        <v>-2.8835442777386613E-2</v>
      </c>
    </row>
    <row r="594" spans="1:7" x14ac:dyDescent="0.35">
      <c r="A594" t="s">
        <v>43</v>
      </c>
      <c r="E594">
        <v>-7.9219088798155261E-3</v>
      </c>
      <c r="F594">
        <f t="shared" si="24"/>
        <v>-1.890039930028448E-2</v>
      </c>
      <c r="G594">
        <f t="shared" si="25"/>
        <v>-2.883119393698046E-2</v>
      </c>
    </row>
    <row r="595" spans="1:7" x14ac:dyDescent="0.35">
      <c r="A595" t="s">
        <v>43</v>
      </c>
      <c r="E595">
        <v>-2.6280155160841607E-3</v>
      </c>
      <c r="F595">
        <f t="shared" si="24"/>
        <v>-1.8909421607943622E-2</v>
      </c>
      <c r="G595">
        <f t="shared" si="25"/>
        <v>-2.883119393698046E-2</v>
      </c>
    </row>
    <row r="596" spans="1:7" x14ac:dyDescent="0.35">
      <c r="A596" t="s">
        <v>43</v>
      </c>
      <c r="E596">
        <v>-1.1864740915655841E-2</v>
      </c>
      <c r="F596">
        <f t="shared" si="24"/>
        <v>-1.8918443915602757E-2</v>
      </c>
      <c r="G596">
        <f t="shared" si="25"/>
        <v>-2.883119393698046E-2</v>
      </c>
    </row>
    <row r="597" spans="1:7" x14ac:dyDescent="0.35">
      <c r="A597" t="s">
        <v>43</v>
      </c>
      <c r="E597">
        <v>-5.9999321499964973E-3</v>
      </c>
      <c r="F597">
        <f t="shared" si="24"/>
        <v>-1.8927466223261899E-2</v>
      </c>
      <c r="G597">
        <f t="shared" si="25"/>
        <v>-2.883119393698046E-2</v>
      </c>
    </row>
    <row r="598" spans="1:7" x14ac:dyDescent="0.35">
      <c r="A598" t="s">
        <v>43</v>
      </c>
      <c r="E598">
        <v>9.4936065896477351E-3</v>
      </c>
      <c r="F598">
        <f t="shared" si="24"/>
        <v>-1.8936488530921034E-2</v>
      </c>
      <c r="G598">
        <f t="shared" si="25"/>
        <v>-2.883119393698046E-2</v>
      </c>
    </row>
    <row r="599" spans="1:7" x14ac:dyDescent="0.35">
      <c r="A599" t="s">
        <v>43</v>
      </c>
      <c r="E599">
        <v>1.6380557135511481E-2</v>
      </c>
      <c r="F599">
        <f t="shared" si="24"/>
        <v>-1.8945510838580176E-2</v>
      </c>
      <c r="G599">
        <f t="shared" si="25"/>
        <v>-2.883119393698046E-2</v>
      </c>
    </row>
    <row r="600" spans="1:7" x14ac:dyDescent="0.35">
      <c r="A600" t="s">
        <v>43</v>
      </c>
      <c r="E600">
        <v>-2.3559910129754575E-2</v>
      </c>
      <c r="F600">
        <f t="shared" si="24"/>
        <v>-1.8954533146239318E-2</v>
      </c>
      <c r="G600">
        <f t="shared" si="25"/>
        <v>-2.883119393698046E-2</v>
      </c>
    </row>
    <row r="601" spans="1:7" x14ac:dyDescent="0.35">
      <c r="A601" t="s">
        <v>43</v>
      </c>
      <c r="E601">
        <v>4.783513490615318E-3</v>
      </c>
      <c r="F601">
        <f t="shared" si="24"/>
        <v>-1.878310930071566E-2</v>
      </c>
      <c r="G601">
        <f t="shared" si="25"/>
        <v>-2.8864139460775623E-2</v>
      </c>
    </row>
    <row r="602" spans="1:7" x14ac:dyDescent="0.35">
      <c r="A602" t="s">
        <v>43</v>
      </c>
      <c r="E602">
        <v>3.8006245263523348E-3</v>
      </c>
      <c r="F602">
        <f t="shared" si="24"/>
        <v>-1.8792131608374802E-2</v>
      </c>
      <c r="G602">
        <f t="shared" si="25"/>
        <v>-2.8864139460775623E-2</v>
      </c>
    </row>
    <row r="603" spans="1:7" x14ac:dyDescent="0.35">
      <c r="A603" t="s">
        <v>43</v>
      </c>
      <c r="E603">
        <v>-2.6454770295821963E-3</v>
      </c>
      <c r="F603">
        <f t="shared" si="24"/>
        <v>-1.8801153916033941E-2</v>
      </c>
      <c r="G603">
        <f t="shared" si="25"/>
        <v>-2.8864139460775623E-2</v>
      </c>
    </row>
    <row r="604" spans="1:7" x14ac:dyDescent="0.35">
      <c r="A604" t="s">
        <v>43</v>
      </c>
      <c r="E604">
        <v>1.1580290778582868E-2</v>
      </c>
      <c r="F604">
        <f t="shared" si="24"/>
        <v>-1.8810176223693083E-2</v>
      </c>
      <c r="G604">
        <f t="shared" si="25"/>
        <v>-2.8864139460775623E-2</v>
      </c>
    </row>
    <row r="605" spans="1:7" x14ac:dyDescent="0.35">
      <c r="A605" t="s">
        <v>43</v>
      </c>
      <c r="E605">
        <v>-1.8306757529047715E-2</v>
      </c>
      <c r="F605">
        <f t="shared" si="24"/>
        <v>-1.8819198531352221E-2</v>
      </c>
      <c r="G605">
        <f t="shared" si="25"/>
        <v>-2.8864139460775623E-2</v>
      </c>
    </row>
    <row r="606" spans="1:7" x14ac:dyDescent="0.35">
      <c r="A606" t="s">
        <v>43</v>
      </c>
      <c r="E606">
        <v>-2.6177399410113886E-3</v>
      </c>
      <c r="F606">
        <f t="shared" si="24"/>
        <v>-1.882822083901136E-2</v>
      </c>
      <c r="G606">
        <f t="shared" si="25"/>
        <v>-2.8864139460775623E-2</v>
      </c>
    </row>
    <row r="607" spans="1:7" x14ac:dyDescent="0.35">
      <c r="A607" t="s">
        <v>44</v>
      </c>
      <c r="B607" s="3" cm="1">
        <f t="array" ref="B607">_xlfn.STDEV.S(_xlfn._xlws.FILTER($E$2:$E$1000, $A$2:$A$1000="2012-06"))</f>
        <v>1.624852795578987E-2</v>
      </c>
      <c r="C607" s="3" cm="1">
        <f t="array" ref="C607">AVERAGE(_xlfn._xlws.FILTER($E$2:$E$1000, $A$2:$A$1000="2012-06"))</f>
        <v>1.2609941867808071E-3</v>
      </c>
      <c r="D607" s="3" cm="1">
        <f t="array" ref="D607">_xlfn.PERCENTILE.EXC(_xlfn._xlws.FILTER($E$503:$E$750, $A$503:$A$750="2012-06"), 0.05)</f>
        <v>-3.477341618264166E-2</v>
      </c>
      <c r="E607">
        <v>-3.477341618264166E-2</v>
      </c>
      <c r="F607">
        <f t="shared" si="24"/>
        <v>-1.8837243146670502E-2</v>
      </c>
      <c r="G607">
        <f t="shared" si="25"/>
        <v>-2.8864139460775623E-2</v>
      </c>
    </row>
    <row r="608" spans="1:7" x14ac:dyDescent="0.35">
      <c r="A608" t="s">
        <v>44</v>
      </c>
      <c r="E608">
        <v>7.1968348255955026E-3</v>
      </c>
      <c r="F608">
        <f t="shared" si="24"/>
        <v>-1.8745610585262636E-2</v>
      </c>
      <c r="G608">
        <f t="shared" si="25"/>
        <v>-2.8764143653340717E-2</v>
      </c>
    </row>
    <row r="609" spans="1:7" x14ac:dyDescent="0.35">
      <c r="A609" t="s">
        <v>44</v>
      </c>
      <c r="E609">
        <v>8.2087628921207988E-3</v>
      </c>
      <c r="F609">
        <f t="shared" si="24"/>
        <v>-1.8747983619245463E-2</v>
      </c>
      <c r="G609">
        <f t="shared" si="25"/>
        <v>-2.8764143653340717E-2</v>
      </c>
    </row>
    <row r="610" spans="1:7" x14ac:dyDescent="0.35">
      <c r="A610" t="s">
        <v>44</v>
      </c>
      <c r="E610">
        <v>-2.1832931416748344E-3</v>
      </c>
      <c r="F610">
        <f t="shared" si="24"/>
        <v>-1.8750356653228287E-2</v>
      </c>
      <c r="G610">
        <f t="shared" si="25"/>
        <v>-2.8764143653340717E-2</v>
      </c>
    </row>
    <row r="611" spans="1:7" x14ac:dyDescent="0.35">
      <c r="A611" t="s">
        <v>44</v>
      </c>
      <c r="E611">
        <v>1.6672279562366043E-3</v>
      </c>
      <c r="F611">
        <f t="shared" si="24"/>
        <v>-1.875272968721111E-2</v>
      </c>
      <c r="G611">
        <f t="shared" si="25"/>
        <v>-2.8764143653340717E-2</v>
      </c>
    </row>
    <row r="612" spans="1:7" x14ac:dyDescent="0.35">
      <c r="A612" t="s">
        <v>44</v>
      </c>
      <c r="E612">
        <v>3.282318678328205E-3</v>
      </c>
      <c r="F612">
        <f t="shared" si="24"/>
        <v>-1.8755102721193934E-2</v>
      </c>
      <c r="G612">
        <f t="shared" si="25"/>
        <v>-2.8764143653340717E-2</v>
      </c>
    </row>
    <row r="613" spans="1:7" x14ac:dyDescent="0.35">
      <c r="A613" t="s">
        <v>44</v>
      </c>
      <c r="E613">
        <v>-1.4211780626556152E-3</v>
      </c>
      <c r="F613">
        <f t="shared" si="24"/>
        <v>-1.8757475755176757E-2</v>
      </c>
      <c r="G613">
        <f t="shared" si="25"/>
        <v>-2.8764143653340717E-2</v>
      </c>
    </row>
    <row r="614" spans="1:7" x14ac:dyDescent="0.35">
      <c r="A614" t="s">
        <v>44</v>
      </c>
      <c r="E614">
        <v>-2.2585457607846469E-3</v>
      </c>
      <c r="F614">
        <f t="shared" si="24"/>
        <v>-1.8759848789159581E-2</v>
      </c>
      <c r="G614">
        <f t="shared" si="25"/>
        <v>-2.8764143653340717E-2</v>
      </c>
    </row>
    <row r="615" spans="1:7" x14ac:dyDescent="0.35">
      <c r="A615" t="s">
        <v>44</v>
      </c>
      <c r="E615">
        <v>1.4683293099563795E-2</v>
      </c>
      <c r="F615">
        <f t="shared" si="24"/>
        <v>-1.8762221823142404E-2</v>
      </c>
      <c r="G615">
        <f t="shared" si="25"/>
        <v>-2.8764143653340717E-2</v>
      </c>
    </row>
    <row r="616" spans="1:7" x14ac:dyDescent="0.35">
      <c r="A616" t="s">
        <v>44</v>
      </c>
      <c r="E616">
        <v>3.0117970033600922E-3</v>
      </c>
      <c r="F616">
        <f t="shared" si="24"/>
        <v>-1.8764594857125227E-2</v>
      </c>
      <c r="G616">
        <f t="shared" si="25"/>
        <v>-2.8764143653340717E-2</v>
      </c>
    </row>
    <row r="617" spans="1:7" x14ac:dyDescent="0.35">
      <c r="A617" t="s">
        <v>44</v>
      </c>
      <c r="E617">
        <v>1.8263117468166383E-2</v>
      </c>
      <c r="F617">
        <f t="shared" si="24"/>
        <v>-1.8766967891108054E-2</v>
      </c>
      <c r="G617">
        <f t="shared" si="25"/>
        <v>-2.8764143653340717E-2</v>
      </c>
    </row>
    <row r="618" spans="1:7" x14ac:dyDescent="0.35">
      <c r="A618" t="s">
        <v>44</v>
      </c>
      <c r="E618">
        <v>4.5110064430518102E-3</v>
      </c>
      <c r="F618">
        <f t="shared" si="24"/>
        <v>-1.8769340925090874E-2</v>
      </c>
      <c r="G618">
        <f t="shared" si="25"/>
        <v>-2.8764143653340717E-2</v>
      </c>
    </row>
    <row r="619" spans="1:7" x14ac:dyDescent="0.35">
      <c r="A619" t="s">
        <v>44</v>
      </c>
      <c r="E619">
        <v>-7.6952087039284392E-3</v>
      </c>
      <c r="F619">
        <f t="shared" si="24"/>
        <v>-1.8771713959073701E-2</v>
      </c>
      <c r="G619">
        <f t="shared" si="25"/>
        <v>-2.8764143653340717E-2</v>
      </c>
    </row>
    <row r="620" spans="1:7" x14ac:dyDescent="0.35">
      <c r="A620" t="s">
        <v>44</v>
      </c>
      <c r="E620">
        <v>-1.2673117756323989E-2</v>
      </c>
      <c r="F620">
        <f t="shared" si="24"/>
        <v>-1.8774086993056525E-2</v>
      </c>
      <c r="G620">
        <f t="shared" si="25"/>
        <v>-2.8764143653340717E-2</v>
      </c>
    </row>
    <row r="621" spans="1:7" x14ac:dyDescent="0.35">
      <c r="A621" t="s">
        <v>44</v>
      </c>
      <c r="E621">
        <v>-2.111465994940883E-2</v>
      </c>
      <c r="F621">
        <f t="shared" si="24"/>
        <v>-1.878310930071566E-2</v>
      </c>
      <c r="G621">
        <f t="shared" si="25"/>
        <v>-2.8826974198373944E-2</v>
      </c>
    </row>
    <row r="622" spans="1:7" x14ac:dyDescent="0.35">
      <c r="A622" t="s">
        <v>44</v>
      </c>
      <c r="E622">
        <v>7.0094908111435999E-4</v>
      </c>
      <c r="F622">
        <f t="shared" si="24"/>
        <v>-1.8731372381365696E-2</v>
      </c>
      <c r="G622">
        <f t="shared" si="25"/>
        <v>-2.8812253613742799E-2</v>
      </c>
    </row>
    <row r="623" spans="1:7" x14ac:dyDescent="0.35">
      <c r="A623" t="s">
        <v>44</v>
      </c>
      <c r="E623">
        <v>1.4928692025578703E-2</v>
      </c>
      <c r="F623">
        <f t="shared" si="24"/>
        <v>-1.8733745415348519E-2</v>
      </c>
      <c r="G623">
        <f t="shared" si="25"/>
        <v>-2.8812253613742799E-2</v>
      </c>
    </row>
    <row r="624" spans="1:7" x14ac:dyDescent="0.35">
      <c r="A624" t="s">
        <v>44</v>
      </c>
      <c r="E624">
        <v>-1.2776753311590687E-2</v>
      </c>
      <c r="F624">
        <f t="shared" si="24"/>
        <v>-1.8736118449331342E-2</v>
      </c>
      <c r="G624">
        <f t="shared" si="25"/>
        <v>-2.8812253613742799E-2</v>
      </c>
    </row>
    <row r="625" spans="1:7" x14ac:dyDescent="0.35">
      <c r="A625" t="s">
        <v>44</v>
      </c>
      <c r="E625">
        <v>4.2401062944727778E-2</v>
      </c>
      <c r="F625">
        <f t="shared" si="24"/>
        <v>-1.8738491483314169E-2</v>
      </c>
      <c r="G625">
        <f t="shared" si="25"/>
        <v>-2.8812253613742799E-2</v>
      </c>
    </row>
    <row r="626" spans="1:7" x14ac:dyDescent="0.35">
      <c r="A626" t="s">
        <v>45</v>
      </c>
      <c r="B626" s="3" cm="1">
        <f t="array" ref="B626">_xlfn.STDEV.S(_xlfn._xlws.FILTER($E$2:$E$1000, $A$2:$A$1000="2012-07"))</f>
        <v>1.3997731267969014E-2</v>
      </c>
      <c r="C626" s="3" cm="1">
        <f t="array" ref="C626">AVERAGE(_xlfn._xlws.FILTER($E$2:$E$1000, $A$2:$A$1000="2012-07"))</f>
        <v>2.4543793822124453E-3</v>
      </c>
      <c r="D626" s="3" cm="1">
        <f t="array" ref="D626">_xlfn.PERCENTILE.EXC(_xlfn._xlws.FILTER($E$503:$E$750, $A$503:$A$750="2012-07"), 0.05)</f>
        <v>-3.0357200068210362E-2</v>
      </c>
      <c r="E626">
        <v>1.2360407544747836E-2</v>
      </c>
      <c r="F626">
        <f t="shared" si="24"/>
        <v>-1.8740864517296989E-2</v>
      </c>
      <c r="G626">
        <f t="shared" si="25"/>
        <v>-2.8812253613742799E-2</v>
      </c>
    </row>
    <row r="627" spans="1:7" x14ac:dyDescent="0.35">
      <c r="A627" t="s">
        <v>45</v>
      </c>
      <c r="E627">
        <v>1.2563753799947721E-2</v>
      </c>
      <c r="F627">
        <f t="shared" si="24"/>
        <v>-1.8743237551279816E-2</v>
      </c>
      <c r="G627">
        <f t="shared" si="25"/>
        <v>-2.8812253613742799E-2</v>
      </c>
    </row>
    <row r="628" spans="1:7" x14ac:dyDescent="0.35">
      <c r="A628" t="s">
        <v>45</v>
      </c>
      <c r="E628">
        <v>-2.0406291486434855E-3</v>
      </c>
      <c r="F628">
        <f t="shared" si="24"/>
        <v>-1.8745610585262636E-2</v>
      </c>
      <c r="G628">
        <f t="shared" si="25"/>
        <v>-2.8812253613742799E-2</v>
      </c>
    </row>
    <row r="629" spans="1:7" x14ac:dyDescent="0.35">
      <c r="A629" t="s">
        <v>45</v>
      </c>
      <c r="E629">
        <v>-4.4640068755837569E-3</v>
      </c>
      <c r="F629">
        <f t="shared" si="24"/>
        <v>-1.8747983619245463E-2</v>
      </c>
      <c r="G629">
        <f t="shared" si="25"/>
        <v>-2.8812253613742799E-2</v>
      </c>
    </row>
    <row r="630" spans="1:7" x14ac:dyDescent="0.35">
      <c r="A630" t="s">
        <v>45</v>
      </c>
      <c r="E630">
        <v>-1.9381604358437693E-2</v>
      </c>
      <c r="F630">
        <f t="shared" si="24"/>
        <v>-1.8750356653228287E-2</v>
      </c>
      <c r="G630">
        <f t="shared" si="25"/>
        <v>-2.8812253613742799E-2</v>
      </c>
    </row>
    <row r="631" spans="1:7" x14ac:dyDescent="0.35">
      <c r="A631" t="s">
        <v>45</v>
      </c>
      <c r="E631">
        <v>-3.5225170978791802E-3</v>
      </c>
      <c r="F631">
        <f t="shared" si="24"/>
        <v>-1.8684914095975676E-2</v>
      </c>
      <c r="G631">
        <f t="shared" si="25"/>
        <v>-2.8808134254968979E-2</v>
      </c>
    </row>
    <row r="632" spans="1:7" x14ac:dyDescent="0.35">
      <c r="A632" t="s">
        <v>45</v>
      </c>
      <c r="E632">
        <v>7.9152753437845506E-3</v>
      </c>
      <c r="F632">
        <f t="shared" si="24"/>
        <v>-1.8689548786800604E-2</v>
      </c>
      <c r="G632">
        <f t="shared" si="25"/>
        <v>-2.8808134254968979E-2</v>
      </c>
    </row>
    <row r="633" spans="1:7" x14ac:dyDescent="0.35">
      <c r="A633" t="s">
        <v>45</v>
      </c>
      <c r="E633">
        <v>2.4076622413342331E-3</v>
      </c>
      <c r="F633">
        <f t="shared" si="24"/>
        <v>-1.8694183477625536E-2</v>
      </c>
      <c r="G633">
        <f t="shared" si="25"/>
        <v>-2.8808134254968979E-2</v>
      </c>
    </row>
    <row r="634" spans="1:7" x14ac:dyDescent="0.35">
      <c r="A634" t="s">
        <v>45</v>
      </c>
      <c r="E634">
        <v>-5.3599854887849191E-3</v>
      </c>
      <c r="F634">
        <f t="shared" si="24"/>
        <v>-1.8698818168450464E-2</v>
      </c>
      <c r="G634">
        <f t="shared" si="25"/>
        <v>-2.8808134254968979E-2</v>
      </c>
    </row>
    <row r="635" spans="1:7" x14ac:dyDescent="0.35">
      <c r="A635" t="s">
        <v>45</v>
      </c>
      <c r="E635">
        <v>2.1231565571896434E-2</v>
      </c>
      <c r="F635">
        <f t="shared" si="24"/>
        <v>-1.8703452859275396E-2</v>
      </c>
      <c r="G635">
        <f t="shared" si="25"/>
        <v>-2.8808134254968979E-2</v>
      </c>
    </row>
    <row r="636" spans="1:7" x14ac:dyDescent="0.35">
      <c r="A636" t="s">
        <v>45</v>
      </c>
      <c r="E636">
        <v>1.3137422047676121E-3</v>
      </c>
      <c r="F636">
        <f t="shared" si="24"/>
        <v>-1.8708087550100325E-2</v>
      </c>
      <c r="G636">
        <f t="shared" si="25"/>
        <v>-2.8808134254968979E-2</v>
      </c>
    </row>
    <row r="637" spans="1:7" x14ac:dyDescent="0.35">
      <c r="A637" t="s">
        <v>45</v>
      </c>
      <c r="E637">
        <v>1.8138441415433452E-3</v>
      </c>
      <c r="F637">
        <f t="shared" si="24"/>
        <v>-1.8712722240925257E-2</v>
      </c>
      <c r="G637">
        <f t="shared" si="25"/>
        <v>-2.8808134254968979E-2</v>
      </c>
    </row>
    <row r="638" spans="1:7" x14ac:dyDescent="0.35">
      <c r="A638" t="s">
        <v>45</v>
      </c>
      <c r="E638">
        <v>1.610342699535959E-2</v>
      </c>
      <c r="F638">
        <f t="shared" si="24"/>
        <v>-1.8717356931750185E-2</v>
      </c>
      <c r="G638">
        <f t="shared" si="25"/>
        <v>-2.8808134254968979E-2</v>
      </c>
    </row>
    <row r="639" spans="1:7" x14ac:dyDescent="0.35">
      <c r="A639" t="s">
        <v>45</v>
      </c>
      <c r="E639">
        <v>1.1005250624664946E-2</v>
      </c>
      <c r="F639">
        <f t="shared" si="24"/>
        <v>-1.8721991622575117E-2</v>
      </c>
      <c r="G639">
        <f t="shared" si="25"/>
        <v>-2.8808134254968979E-2</v>
      </c>
    </row>
    <row r="640" spans="1:7" x14ac:dyDescent="0.35">
      <c r="A640" t="s">
        <v>45</v>
      </c>
      <c r="E640">
        <v>-1.9176875223976531E-2</v>
      </c>
      <c r="F640">
        <f t="shared" si="24"/>
        <v>-1.8726626313400049E-2</v>
      </c>
      <c r="G640">
        <f t="shared" si="25"/>
        <v>-2.8808134254968979E-2</v>
      </c>
    </row>
    <row r="641" spans="1:7" x14ac:dyDescent="0.35">
      <c r="A641" t="s">
        <v>45</v>
      </c>
      <c r="E641">
        <v>-3.2294069899346717E-2</v>
      </c>
      <c r="F641">
        <f t="shared" si="24"/>
        <v>-1.8638567187726371E-2</v>
      </c>
      <c r="G641">
        <f t="shared" si="25"/>
        <v>-2.886909159060817E-2</v>
      </c>
    </row>
    <row r="642" spans="1:7" x14ac:dyDescent="0.35">
      <c r="A642" t="s">
        <v>45</v>
      </c>
      <c r="E642">
        <v>-4.5153217997209926E-3</v>
      </c>
      <c r="F642">
        <f t="shared" si="24"/>
        <v>-1.8621049065470727E-2</v>
      </c>
      <c r="G642">
        <f t="shared" si="25"/>
        <v>-2.8782635024769913E-2</v>
      </c>
    </row>
    <row r="643" spans="1:7" x14ac:dyDescent="0.35">
      <c r="A643" t="s">
        <v>45</v>
      </c>
      <c r="E643">
        <v>2.5177927066074189E-3</v>
      </c>
      <c r="F643">
        <f t="shared" si="24"/>
        <v>-1.862176481166132E-2</v>
      </c>
      <c r="G643">
        <f t="shared" si="25"/>
        <v>-2.8782635024769913E-2</v>
      </c>
    </row>
    <row r="644" spans="1:7" x14ac:dyDescent="0.35">
      <c r="A644" t="s">
        <v>45</v>
      </c>
      <c r="E644">
        <v>2.7168270418240496E-2</v>
      </c>
      <c r="F644">
        <f t="shared" ref="F644:F707" si="26">_xlfn.PERCENTILE.EXC(E644:E4459,0.05)</f>
        <v>-1.8622480557851918E-2</v>
      </c>
      <c r="G644">
        <f t="shared" ref="G644:G707" si="27">AVERAGEIFS(E644:E4460,E644:E4460,"&lt;=" &amp; F644)</f>
        <v>-2.8782635024769913E-2</v>
      </c>
    </row>
    <row r="645" spans="1:7" x14ac:dyDescent="0.35">
      <c r="A645" t="s">
        <v>45</v>
      </c>
      <c r="E645">
        <v>1.6039691809190328E-2</v>
      </c>
      <c r="F645">
        <f t="shared" si="26"/>
        <v>-1.8623196304042512E-2</v>
      </c>
      <c r="G645">
        <f t="shared" si="27"/>
        <v>-2.8782635024769913E-2</v>
      </c>
    </row>
    <row r="646" spans="1:7" x14ac:dyDescent="0.35">
      <c r="A646" t="s">
        <v>45</v>
      </c>
      <c r="E646">
        <v>1.2576427732835422E-2</v>
      </c>
      <c r="F646">
        <f t="shared" si="26"/>
        <v>-1.8623912050233109E-2</v>
      </c>
      <c r="G646">
        <f t="shared" si="27"/>
        <v>-2.8782635024769913E-2</v>
      </c>
    </row>
    <row r="647" spans="1:7" x14ac:dyDescent="0.35">
      <c r="A647" t="s">
        <v>45</v>
      </c>
      <c r="E647">
        <v>-2.6575483387285818E-4</v>
      </c>
      <c r="F647">
        <f t="shared" si="26"/>
        <v>-1.8624627796423703E-2</v>
      </c>
      <c r="G647">
        <f t="shared" si="27"/>
        <v>-2.8782635024769913E-2</v>
      </c>
    </row>
    <row r="648" spans="1:7" x14ac:dyDescent="0.35">
      <c r="A648" t="s">
        <v>46</v>
      </c>
      <c r="B648" s="3" cm="1">
        <f t="array" ref="B648">_xlfn.STDEV.S(_xlfn._xlws.FILTER($E$2:$E$1000, $A$2:$A$1000="2012-08"))</f>
        <v>1.206471129769031E-2</v>
      </c>
      <c r="C648" s="3" cm="1">
        <f t="array" ref="C648">AVERAGE(_xlfn._xlws.FILTER($E$2:$E$1000, $A$2:$A$1000="2012-08"))</f>
        <v>1.3758906823495248E-3</v>
      </c>
      <c r="D648" s="3" cm="1">
        <f t="array" ref="D648">_xlfn.PERCENTILE.EXC(_xlfn._xlws.FILTER($E$503:$E$750, $A$503:$A$750="2012-08"), 0.05)</f>
        <v>-2.1645112464478488E-2</v>
      </c>
      <c r="E648">
        <v>-2.6318294862829801E-3</v>
      </c>
      <c r="F648">
        <f t="shared" si="26"/>
        <v>-1.86253435426143E-2</v>
      </c>
      <c r="G648">
        <f t="shared" si="27"/>
        <v>-2.8782635024769913E-2</v>
      </c>
    </row>
    <row r="649" spans="1:7" x14ac:dyDescent="0.35">
      <c r="A649" t="s">
        <v>46</v>
      </c>
      <c r="E649">
        <v>-2.2211076578129374E-2</v>
      </c>
      <c r="F649">
        <f t="shared" si="26"/>
        <v>-1.8626059288804894E-2</v>
      </c>
      <c r="G649">
        <f t="shared" si="27"/>
        <v>-2.8782635024769913E-2</v>
      </c>
    </row>
    <row r="650" spans="1:7" x14ac:dyDescent="0.35">
      <c r="A650" t="s">
        <v>46</v>
      </c>
      <c r="E650">
        <v>3.8540223584569051E-2</v>
      </c>
      <c r="F650">
        <f t="shared" si="26"/>
        <v>-1.8529866510361447E-2</v>
      </c>
      <c r="G650">
        <f t="shared" si="27"/>
        <v>-2.8759904271573457E-2</v>
      </c>
    </row>
    <row r="651" spans="1:7" x14ac:dyDescent="0.35">
      <c r="A651" t="s">
        <v>46</v>
      </c>
      <c r="E651">
        <v>7.6986069834857453E-3</v>
      </c>
      <c r="F651">
        <f t="shared" si="26"/>
        <v>-1.8538841616634254E-2</v>
      </c>
      <c r="G651">
        <f t="shared" si="27"/>
        <v>-2.8759904271573457E-2</v>
      </c>
    </row>
    <row r="652" spans="1:7" x14ac:dyDescent="0.35">
      <c r="A652" t="s">
        <v>46</v>
      </c>
      <c r="E652">
        <v>7.0902824422468718E-3</v>
      </c>
      <c r="F652">
        <f t="shared" si="26"/>
        <v>-1.8547816722907066E-2</v>
      </c>
      <c r="G652">
        <f t="shared" si="27"/>
        <v>-2.8759904271573457E-2</v>
      </c>
    </row>
    <row r="653" spans="1:7" x14ac:dyDescent="0.35">
      <c r="A653" t="s">
        <v>46</v>
      </c>
      <c r="E653">
        <v>-2.5835899125353898E-4</v>
      </c>
      <c r="F653">
        <f t="shared" si="26"/>
        <v>-1.855679182917987E-2</v>
      </c>
      <c r="G653">
        <f t="shared" si="27"/>
        <v>-2.8759904271573457E-2</v>
      </c>
    </row>
    <row r="654" spans="1:7" x14ac:dyDescent="0.35">
      <c r="A654" t="s">
        <v>46</v>
      </c>
      <c r="E654">
        <v>-1.6653339248344815E-4</v>
      </c>
      <c r="F654">
        <f t="shared" si="26"/>
        <v>-1.8565766935452682E-2</v>
      </c>
      <c r="G654">
        <f t="shared" si="27"/>
        <v>-2.8759904271573457E-2</v>
      </c>
    </row>
    <row r="655" spans="1:7" x14ac:dyDescent="0.35">
      <c r="A655" t="s">
        <v>46</v>
      </c>
      <c r="E655">
        <v>-2.9375522128656114E-3</v>
      </c>
      <c r="F655">
        <f t="shared" si="26"/>
        <v>-1.8574742041725493E-2</v>
      </c>
      <c r="G655">
        <f t="shared" si="27"/>
        <v>-2.8759904271573457E-2</v>
      </c>
    </row>
    <row r="656" spans="1:7" x14ac:dyDescent="0.35">
      <c r="A656" t="s">
        <v>46</v>
      </c>
      <c r="E656">
        <v>-5.0352922565343209E-3</v>
      </c>
      <c r="F656">
        <f t="shared" si="26"/>
        <v>-1.8583717147998297E-2</v>
      </c>
      <c r="G656">
        <f t="shared" si="27"/>
        <v>-2.8759904271573457E-2</v>
      </c>
    </row>
    <row r="657" spans="1:7" x14ac:dyDescent="0.35">
      <c r="A657" t="s">
        <v>46</v>
      </c>
      <c r="E657">
        <v>9.3215416747092026E-3</v>
      </c>
      <c r="F657">
        <f t="shared" si="26"/>
        <v>-1.8592692254271109E-2</v>
      </c>
      <c r="G657">
        <f t="shared" si="27"/>
        <v>-2.8759904271573457E-2</v>
      </c>
    </row>
    <row r="658" spans="1:7" x14ac:dyDescent="0.35">
      <c r="A658" t="s">
        <v>46</v>
      </c>
      <c r="E658">
        <v>3.1351398697999355E-3</v>
      </c>
      <c r="F658">
        <f t="shared" si="26"/>
        <v>-1.8601667360543913E-2</v>
      </c>
      <c r="G658">
        <f t="shared" si="27"/>
        <v>-2.8759904271573457E-2</v>
      </c>
    </row>
    <row r="659" spans="1:7" x14ac:dyDescent="0.35">
      <c r="A659" t="s">
        <v>46</v>
      </c>
      <c r="E659">
        <v>6.3531538024341767E-3</v>
      </c>
      <c r="F659">
        <f t="shared" si="26"/>
        <v>-1.8610642466816724E-2</v>
      </c>
      <c r="G659">
        <f t="shared" si="27"/>
        <v>-2.8759904271573457E-2</v>
      </c>
    </row>
    <row r="660" spans="1:7" x14ac:dyDescent="0.35">
      <c r="A660" t="s">
        <v>46</v>
      </c>
      <c r="E660">
        <v>-1.0231226593325387E-3</v>
      </c>
      <c r="F660">
        <f t="shared" si="26"/>
        <v>-1.8619617573089536E-2</v>
      </c>
      <c r="G660">
        <f t="shared" si="27"/>
        <v>-2.8759904271573457E-2</v>
      </c>
    </row>
    <row r="661" spans="1:7" x14ac:dyDescent="0.35">
      <c r="A661" t="s">
        <v>46</v>
      </c>
      <c r="E661">
        <v>7.8793865136173279E-3</v>
      </c>
      <c r="F661">
        <f t="shared" si="26"/>
        <v>-1.8620333319280129E-2</v>
      </c>
      <c r="G661">
        <f t="shared" si="27"/>
        <v>-2.8824492084939597E-2</v>
      </c>
    </row>
    <row r="662" spans="1:7" x14ac:dyDescent="0.35">
      <c r="A662" t="s">
        <v>46</v>
      </c>
      <c r="E662">
        <v>-1.0146772370391794E-2</v>
      </c>
      <c r="F662">
        <f t="shared" si="26"/>
        <v>-1.8621049065470727E-2</v>
      </c>
      <c r="G662">
        <f t="shared" si="27"/>
        <v>-2.8824492084939597E-2</v>
      </c>
    </row>
    <row r="663" spans="1:7" x14ac:dyDescent="0.35">
      <c r="A663" t="s">
        <v>46</v>
      </c>
      <c r="E663">
        <v>-9.7628666829499642E-3</v>
      </c>
      <c r="F663">
        <f t="shared" si="26"/>
        <v>-1.862176481166132E-2</v>
      </c>
      <c r="G663">
        <f t="shared" si="27"/>
        <v>-2.8824492084939597E-2</v>
      </c>
    </row>
    <row r="664" spans="1:7" x14ac:dyDescent="0.35">
      <c r="A664" t="s">
        <v>46</v>
      </c>
      <c r="E664">
        <v>3.0889408957180337E-3</v>
      </c>
      <c r="F664">
        <f t="shared" si="26"/>
        <v>-1.8622480557851918E-2</v>
      </c>
      <c r="G664">
        <f t="shared" si="27"/>
        <v>-2.8824492084939597E-2</v>
      </c>
    </row>
    <row r="665" spans="1:7" x14ac:dyDescent="0.35">
      <c r="A665" t="s">
        <v>46</v>
      </c>
      <c r="E665">
        <v>4.5242048723122662E-3</v>
      </c>
      <c r="F665">
        <f t="shared" si="26"/>
        <v>-1.8623196304042512E-2</v>
      </c>
      <c r="G665">
        <f t="shared" si="27"/>
        <v>-2.8824492084939597E-2</v>
      </c>
    </row>
    <row r="666" spans="1:7" x14ac:dyDescent="0.35">
      <c r="A666" t="s">
        <v>46</v>
      </c>
      <c r="E666">
        <v>1.126077224590001E-3</v>
      </c>
      <c r="F666">
        <f t="shared" si="26"/>
        <v>-1.8623912050233109E-2</v>
      </c>
      <c r="G666">
        <f t="shared" si="27"/>
        <v>-2.8824492084939597E-2</v>
      </c>
    </row>
    <row r="667" spans="1:7" x14ac:dyDescent="0.35">
      <c r="A667" t="s">
        <v>46</v>
      </c>
      <c r="E667">
        <v>-1.6551435441620511E-2</v>
      </c>
      <c r="F667">
        <f t="shared" si="26"/>
        <v>-1.8624627796423703E-2</v>
      </c>
      <c r="G667">
        <f t="shared" si="27"/>
        <v>-2.8824492084939597E-2</v>
      </c>
    </row>
    <row r="668" spans="1:7" x14ac:dyDescent="0.35">
      <c r="A668" t="s">
        <v>46</v>
      </c>
      <c r="E668">
        <v>1.0860986537701494E-2</v>
      </c>
      <c r="F668">
        <f t="shared" si="26"/>
        <v>-1.86253435426143E-2</v>
      </c>
      <c r="G668">
        <f t="shared" si="27"/>
        <v>-2.8824492084939597E-2</v>
      </c>
    </row>
    <row r="669" spans="1:7" x14ac:dyDescent="0.35">
      <c r="A669" t="s">
        <v>47</v>
      </c>
      <c r="B669" s="3" cm="1">
        <f t="array" ref="B669">_xlfn.STDEV.S(_xlfn._xlws.FILTER($E$2:$E$1000, $A$2:$A$1000="2012-09"))</f>
        <v>1.0571199528932486E-2</v>
      </c>
      <c r="C669" s="3" cm="1">
        <f t="array" ref="C669">AVERAGE(_xlfn._xlws.FILTER($E$2:$E$1000, $A$2:$A$1000="2012-09"))</f>
        <v>1.7296504218108273E-3</v>
      </c>
      <c r="D669" s="3" cm="1">
        <f t="array" ref="D669">_xlfn.PERCENTILE.EXC(_xlfn._xlws.FILTER($E$503:$E$750, $A$503:$A$750="2012-09"), 0.05)</f>
        <v>-1.979506240894318E-2</v>
      </c>
      <c r="E669">
        <v>6.2979182282880139E-3</v>
      </c>
      <c r="F669">
        <f t="shared" si="26"/>
        <v>-1.8626059288804894E-2</v>
      </c>
      <c r="G669">
        <f t="shared" si="27"/>
        <v>-2.8824492084939597E-2</v>
      </c>
    </row>
    <row r="670" spans="1:7" x14ac:dyDescent="0.35">
      <c r="A670" t="s">
        <v>47</v>
      </c>
      <c r="E670">
        <v>-1.1794441186282376E-2</v>
      </c>
      <c r="F670">
        <f t="shared" si="26"/>
        <v>-1.8626775034995491E-2</v>
      </c>
      <c r="G670">
        <f t="shared" si="27"/>
        <v>-2.8824492084939597E-2</v>
      </c>
    </row>
    <row r="671" spans="1:7" x14ac:dyDescent="0.35">
      <c r="A671" t="s">
        <v>47</v>
      </c>
      <c r="E671">
        <v>4.6210596959317578E-3</v>
      </c>
      <c r="F671">
        <f t="shared" si="26"/>
        <v>-1.8627490781186085E-2</v>
      </c>
      <c r="G671">
        <f t="shared" si="27"/>
        <v>-2.8824492084939597E-2</v>
      </c>
    </row>
    <row r="672" spans="1:7" x14ac:dyDescent="0.35">
      <c r="A672" t="s">
        <v>47</v>
      </c>
      <c r="E672">
        <v>2.8680102336118448E-2</v>
      </c>
      <c r="F672">
        <f t="shared" si="26"/>
        <v>-1.8628206527376678E-2</v>
      </c>
      <c r="G672">
        <f t="shared" si="27"/>
        <v>-2.8824492084939597E-2</v>
      </c>
    </row>
    <row r="673" spans="1:7" x14ac:dyDescent="0.35">
      <c r="A673" t="s">
        <v>47</v>
      </c>
      <c r="E673">
        <v>6.5596894333714824E-3</v>
      </c>
      <c r="F673">
        <f t="shared" si="26"/>
        <v>-1.8628922273567276E-2</v>
      </c>
      <c r="G673">
        <f t="shared" si="27"/>
        <v>-2.8824492084939597E-2</v>
      </c>
    </row>
    <row r="674" spans="1:7" x14ac:dyDescent="0.35">
      <c r="A674" t="s">
        <v>47</v>
      </c>
      <c r="E674">
        <v>-1.1089394391813738E-4</v>
      </c>
      <c r="F674">
        <f t="shared" si="26"/>
        <v>-1.8629638019757869E-2</v>
      </c>
      <c r="G674">
        <f t="shared" si="27"/>
        <v>-2.8824492084939597E-2</v>
      </c>
    </row>
    <row r="675" spans="1:7" x14ac:dyDescent="0.35">
      <c r="A675" t="s">
        <v>47</v>
      </c>
      <c r="E675">
        <v>1.3276325716830578E-2</v>
      </c>
      <c r="F675">
        <f t="shared" si="26"/>
        <v>-1.8630353765948467E-2</v>
      </c>
      <c r="G675">
        <f t="shared" si="27"/>
        <v>-2.8824492084939597E-2</v>
      </c>
    </row>
    <row r="676" spans="1:7" x14ac:dyDescent="0.35">
      <c r="A676" t="s">
        <v>47</v>
      </c>
      <c r="E676">
        <v>4.5613319208048465E-3</v>
      </c>
      <c r="F676">
        <f t="shared" si="26"/>
        <v>-1.863106951213906E-2</v>
      </c>
      <c r="G676">
        <f t="shared" si="27"/>
        <v>-2.8824492084939597E-2</v>
      </c>
    </row>
    <row r="677" spans="1:7" x14ac:dyDescent="0.35">
      <c r="A677" t="s">
        <v>47</v>
      </c>
      <c r="E677">
        <v>-4.5326049955345454E-3</v>
      </c>
      <c r="F677">
        <f t="shared" si="26"/>
        <v>-1.8631785258329658E-2</v>
      </c>
      <c r="G677">
        <f t="shared" si="27"/>
        <v>-2.8824492084939597E-2</v>
      </c>
    </row>
    <row r="678" spans="1:7" x14ac:dyDescent="0.35">
      <c r="A678" t="s">
        <v>47</v>
      </c>
      <c r="E678">
        <v>1.3830798941690616E-2</v>
      </c>
      <c r="F678">
        <f t="shared" si="26"/>
        <v>-1.8632501004520251E-2</v>
      </c>
      <c r="G678">
        <f t="shared" si="27"/>
        <v>-2.8824492084939597E-2</v>
      </c>
    </row>
    <row r="679" spans="1:7" x14ac:dyDescent="0.35">
      <c r="A679" t="s">
        <v>47</v>
      </c>
      <c r="E679">
        <v>-1.1393228201971427E-3</v>
      </c>
      <c r="F679">
        <f t="shared" si="26"/>
        <v>-1.8633216750710849E-2</v>
      </c>
      <c r="G679">
        <f t="shared" si="27"/>
        <v>-2.8824492084939597E-2</v>
      </c>
    </row>
    <row r="680" spans="1:7" x14ac:dyDescent="0.35">
      <c r="A680" t="s">
        <v>47</v>
      </c>
      <c r="E680">
        <v>-7.5925464624954806E-3</v>
      </c>
      <c r="F680">
        <f t="shared" si="26"/>
        <v>-1.8633932496901442E-2</v>
      </c>
      <c r="G680">
        <f t="shared" si="27"/>
        <v>-2.8824492084939597E-2</v>
      </c>
    </row>
    <row r="681" spans="1:7" x14ac:dyDescent="0.35">
      <c r="A681" t="s">
        <v>47</v>
      </c>
      <c r="E681">
        <v>5.8445932378566523E-3</v>
      </c>
      <c r="F681">
        <f t="shared" si="26"/>
        <v>-1.8638567187726371E-2</v>
      </c>
      <c r="G681">
        <f t="shared" si="27"/>
        <v>-2.8889816184862919E-2</v>
      </c>
    </row>
    <row r="682" spans="1:7" x14ac:dyDescent="0.35">
      <c r="A682" t="s">
        <v>47</v>
      </c>
      <c r="E682">
        <v>-1.7185095017015128E-4</v>
      </c>
      <c r="F682">
        <f t="shared" si="26"/>
        <v>-1.8643201878551303E-2</v>
      </c>
      <c r="G682">
        <f t="shared" si="27"/>
        <v>-2.8889816184862919E-2</v>
      </c>
    </row>
    <row r="683" spans="1:7" x14ac:dyDescent="0.35">
      <c r="A683" t="s">
        <v>47</v>
      </c>
      <c r="E683">
        <v>8.3727380171055871E-3</v>
      </c>
      <c r="F683">
        <f t="shared" si="26"/>
        <v>-1.8647836569376231E-2</v>
      </c>
      <c r="G683">
        <f t="shared" si="27"/>
        <v>-2.8889816184862919E-2</v>
      </c>
    </row>
    <row r="684" spans="1:7" x14ac:dyDescent="0.35">
      <c r="A684" t="s">
        <v>47</v>
      </c>
      <c r="E684">
        <v>-5.1746592711849676E-3</v>
      </c>
      <c r="F684">
        <f t="shared" si="26"/>
        <v>-1.8652471260201163E-2</v>
      </c>
      <c r="G684">
        <f t="shared" si="27"/>
        <v>-2.8889816184862919E-2</v>
      </c>
    </row>
    <row r="685" spans="1:7" x14ac:dyDescent="0.35">
      <c r="A685" t="s">
        <v>47</v>
      </c>
      <c r="E685">
        <v>1.6107002478786291E-3</v>
      </c>
      <c r="F685">
        <f t="shared" si="26"/>
        <v>-1.8657105951026095E-2</v>
      </c>
      <c r="G685">
        <f t="shared" si="27"/>
        <v>-2.8889816184862919E-2</v>
      </c>
    </row>
    <row r="686" spans="1:7" x14ac:dyDescent="0.35">
      <c r="A686" t="s">
        <v>47</v>
      </c>
      <c r="E686">
        <v>-2.0216147736451643E-2</v>
      </c>
      <c r="F686">
        <f t="shared" si="26"/>
        <v>-1.8661740641851023E-2</v>
      </c>
      <c r="G686">
        <f t="shared" si="27"/>
        <v>-2.8889816184862919E-2</v>
      </c>
    </row>
    <row r="687" spans="1:7" x14ac:dyDescent="0.35">
      <c r="A687" t="s">
        <v>47</v>
      </c>
      <c r="E687">
        <v>1.8549378436404018E-3</v>
      </c>
      <c r="F687">
        <f t="shared" si="26"/>
        <v>-1.8624627796423703E-2</v>
      </c>
      <c r="G687">
        <f t="shared" si="27"/>
        <v>-2.8879673779481186E-2</v>
      </c>
    </row>
    <row r="688" spans="1:7" x14ac:dyDescent="0.35">
      <c r="A688" t="s">
        <v>47</v>
      </c>
      <c r="E688">
        <v>-1.0184719817066038E-2</v>
      </c>
      <c r="F688">
        <f t="shared" si="26"/>
        <v>-1.86253435426143E-2</v>
      </c>
      <c r="G688">
        <f t="shared" si="27"/>
        <v>-2.8879673779481186E-2</v>
      </c>
    </row>
    <row r="689" spans="1:7" x14ac:dyDescent="0.35">
      <c r="A689" t="s">
        <v>48</v>
      </c>
      <c r="B689" s="3" cm="1">
        <f t="array" ref="B689">_xlfn.STDEV.S(_xlfn._xlws.FILTER($E$2:$E$1000, $A$2:$A$1000="2012-10"))</f>
        <v>9.2856974886478851E-3</v>
      </c>
      <c r="C689" s="3" cm="1">
        <f t="array" ref="C689">AVERAGE(_xlfn._xlws.FILTER($E$2:$E$1000, $A$2:$A$1000="2012-10"))</f>
        <v>2.6717531510227655E-4</v>
      </c>
      <c r="D689" s="3" cm="1">
        <f t="array" ref="D689">_xlfn.PERCENTILE.EXC(_xlfn._xlws.FILTER($E$503:$E$750, $A$503:$A$750="2012-10"), 0.05)</f>
        <v>-1.993594871014618E-2</v>
      </c>
      <c r="E689">
        <v>1.5207734808061969E-2</v>
      </c>
      <c r="F689">
        <f t="shared" si="26"/>
        <v>-1.8626059288804894E-2</v>
      </c>
      <c r="G689">
        <f t="shared" si="27"/>
        <v>-2.8879673779481186E-2</v>
      </c>
    </row>
    <row r="690" spans="1:7" x14ac:dyDescent="0.35">
      <c r="A690" t="s">
        <v>48</v>
      </c>
      <c r="E690">
        <v>-2.8525386348632244E-3</v>
      </c>
      <c r="F690">
        <f t="shared" si="26"/>
        <v>-1.8626775034995491E-2</v>
      </c>
      <c r="G690">
        <f t="shared" si="27"/>
        <v>-2.8879673779481186E-2</v>
      </c>
    </row>
    <row r="691" spans="1:7" x14ac:dyDescent="0.35">
      <c r="A691" t="s">
        <v>48</v>
      </c>
      <c r="E691">
        <v>2.2176747577041787E-3</v>
      </c>
      <c r="F691">
        <f t="shared" si="26"/>
        <v>-1.8627490781186085E-2</v>
      </c>
      <c r="G691">
        <f t="shared" si="27"/>
        <v>-2.8879673779481186E-2</v>
      </c>
    </row>
    <row r="692" spans="1:7" x14ac:dyDescent="0.35">
      <c r="A692" t="s">
        <v>48</v>
      </c>
      <c r="E692">
        <v>-2.3066483921374442E-3</v>
      </c>
      <c r="F692">
        <f t="shared" si="26"/>
        <v>-1.8628206527376678E-2</v>
      </c>
      <c r="G692">
        <f t="shared" si="27"/>
        <v>-2.8879673779481186E-2</v>
      </c>
    </row>
    <row r="693" spans="1:7" x14ac:dyDescent="0.35">
      <c r="A693" t="s">
        <v>48</v>
      </c>
      <c r="E693">
        <v>1.260432871629664E-2</v>
      </c>
      <c r="F693">
        <f t="shared" si="26"/>
        <v>-1.8628922273567276E-2</v>
      </c>
      <c r="G693">
        <f t="shared" si="27"/>
        <v>-2.8879673779481186E-2</v>
      </c>
    </row>
    <row r="694" spans="1:7" x14ac:dyDescent="0.35">
      <c r="A694" t="s">
        <v>48</v>
      </c>
      <c r="E694">
        <v>-1.4522607896135844E-2</v>
      </c>
      <c r="F694">
        <f t="shared" si="26"/>
        <v>-1.8629638019757869E-2</v>
      </c>
      <c r="G694">
        <f t="shared" si="27"/>
        <v>-2.8879673779481186E-2</v>
      </c>
    </row>
    <row r="695" spans="1:7" x14ac:dyDescent="0.35">
      <c r="A695" t="s">
        <v>48</v>
      </c>
      <c r="E695">
        <v>-7.8041170598881823E-3</v>
      </c>
      <c r="F695">
        <f t="shared" si="26"/>
        <v>-1.8630353765948467E-2</v>
      </c>
      <c r="G695">
        <f t="shared" si="27"/>
        <v>-2.8879673779481186E-2</v>
      </c>
    </row>
    <row r="696" spans="1:7" x14ac:dyDescent="0.35">
      <c r="A696" t="s">
        <v>48</v>
      </c>
      <c r="E696">
        <v>-4.0582447648234033E-3</v>
      </c>
      <c r="F696">
        <f t="shared" si="26"/>
        <v>-1.863106951213906E-2</v>
      </c>
      <c r="G696">
        <f t="shared" si="27"/>
        <v>-2.8879673779481186E-2</v>
      </c>
    </row>
    <row r="697" spans="1:7" x14ac:dyDescent="0.35">
      <c r="A697" t="s">
        <v>48</v>
      </c>
      <c r="E697">
        <v>1.0557200213203447E-2</v>
      </c>
      <c r="F697">
        <f t="shared" si="26"/>
        <v>-1.8631785258329658E-2</v>
      </c>
      <c r="G697">
        <f t="shared" si="27"/>
        <v>-2.8879673779481186E-2</v>
      </c>
    </row>
    <row r="698" spans="1:7" x14ac:dyDescent="0.35">
      <c r="A698" t="s">
        <v>48</v>
      </c>
      <c r="E698">
        <v>-6.7809762119540639E-3</v>
      </c>
      <c r="F698">
        <f t="shared" si="26"/>
        <v>-1.8632501004520251E-2</v>
      </c>
      <c r="G698">
        <f t="shared" si="27"/>
        <v>-2.8879673779481186E-2</v>
      </c>
    </row>
    <row r="699" spans="1:7" x14ac:dyDescent="0.35">
      <c r="A699" t="s">
        <v>48</v>
      </c>
      <c r="E699">
        <v>3.9686151051783617E-3</v>
      </c>
      <c r="F699">
        <f t="shared" si="26"/>
        <v>-1.8633216750710849E-2</v>
      </c>
      <c r="G699">
        <f t="shared" si="27"/>
        <v>-2.8879673779481186E-2</v>
      </c>
    </row>
    <row r="700" spans="1:7" x14ac:dyDescent="0.35">
      <c r="A700" t="s">
        <v>48</v>
      </c>
      <c r="E700">
        <v>1.5716100465807157E-2</v>
      </c>
      <c r="F700">
        <f t="shared" si="26"/>
        <v>-1.8633932496901442E-2</v>
      </c>
      <c r="G700">
        <f t="shared" si="27"/>
        <v>-2.8879673779481186E-2</v>
      </c>
    </row>
    <row r="701" spans="1:7" x14ac:dyDescent="0.35">
      <c r="A701" t="s">
        <v>48</v>
      </c>
      <c r="E701">
        <v>2.4751515938195427E-3</v>
      </c>
      <c r="F701">
        <f t="shared" si="26"/>
        <v>-1.8638567187726371E-2</v>
      </c>
      <c r="G701">
        <f t="shared" si="27"/>
        <v>-2.8945775336142992E-2</v>
      </c>
    </row>
    <row r="702" spans="1:7" x14ac:dyDescent="0.35">
      <c r="A702" t="s">
        <v>48</v>
      </c>
      <c r="E702">
        <v>5.7552253075553641E-3</v>
      </c>
      <c r="F702">
        <f t="shared" si="26"/>
        <v>-1.8643201878551303E-2</v>
      </c>
      <c r="G702">
        <f t="shared" si="27"/>
        <v>-2.8945775336142992E-2</v>
      </c>
    </row>
    <row r="703" spans="1:7" x14ac:dyDescent="0.35">
      <c r="A703" t="s">
        <v>48</v>
      </c>
      <c r="E703">
        <v>-7.6381119722344409E-3</v>
      </c>
      <c r="F703">
        <f t="shared" si="26"/>
        <v>-1.8647836569376231E-2</v>
      </c>
      <c r="G703">
        <f t="shared" si="27"/>
        <v>-2.8945775336142992E-2</v>
      </c>
    </row>
    <row r="704" spans="1:7" x14ac:dyDescent="0.35">
      <c r="A704" t="s">
        <v>48</v>
      </c>
      <c r="E704">
        <v>-7.1509052268963437E-3</v>
      </c>
      <c r="F704">
        <f t="shared" si="26"/>
        <v>-1.8652471260201163E-2</v>
      </c>
      <c r="G704">
        <f t="shared" si="27"/>
        <v>-2.8945775336142992E-2</v>
      </c>
    </row>
    <row r="705" spans="1:7" x14ac:dyDescent="0.35">
      <c r="A705" t="s">
        <v>48</v>
      </c>
      <c r="E705">
        <v>-2.1289283913648767E-2</v>
      </c>
      <c r="F705">
        <f t="shared" si="26"/>
        <v>-1.8657105951026095E-2</v>
      </c>
      <c r="G705">
        <f t="shared" si="27"/>
        <v>-2.8945775336142992E-2</v>
      </c>
    </row>
    <row r="706" spans="1:7" x14ac:dyDescent="0.35">
      <c r="A706" t="s">
        <v>48</v>
      </c>
      <c r="E706">
        <v>2.6673104810980286E-3</v>
      </c>
      <c r="F706">
        <f t="shared" si="26"/>
        <v>-1.8623912050233109E-2</v>
      </c>
      <c r="G706">
        <f t="shared" si="27"/>
        <v>-2.8928644036680107E-2</v>
      </c>
    </row>
    <row r="707" spans="1:7" x14ac:dyDescent="0.35">
      <c r="A707" t="s">
        <v>48</v>
      </c>
      <c r="E707">
        <v>1.0254928961356035E-3</v>
      </c>
      <c r="F707">
        <f t="shared" si="26"/>
        <v>-1.8624627796423703E-2</v>
      </c>
      <c r="G707">
        <f t="shared" si="27"/>
        <v>-2.8928644036680107E-2</v>
      </c>
    </row>
    <row r="708" spans="1:7" x14ac:dyDescent="0.35">
      <c r="A708" t="s">
        <v>48</v>
      </c>
      <c r="E708">
        <v>4.3819117680911355E-3</v>
      </c>
      <c r="F708">
        <f t="shared" ref="F708:F771" si="28">_xlfn.PERCENTILE.EXC(E708:E4523,0.05)</f>
        <v>-1.86253435426143E-2</v>
      </c>
      <c r="G708">
        <f t="shared" ref="G708:G771" si="29">AVERAGEIFS(E708:E4524,E708:E4524,"&lt;=" &amp; F708)</f>
        <v>-2.8928644036680107E-2</v>
      </c>
    </row>
    <row r="709" spans="1:7" x14ac:dyDescent="0.35">
      <c r="A709" t="s">
        <v>48</v>
      </c>
      <c r="E709">
        <v>-3.9750630969914375E-3</v>
      </c>
      <c r="F709">
        <f t="shared" si="28"/>
        <v>-1.8626059288804894E-2</v>
      </c>
      <c r="G709">
        <f t="shared" si="29"/>
        <v>-2.8928644036680107E-2</v>
      </c>
    </row>
    <row r="710" spans="1:7" x14ac:dyDescent="0.35">
      <c r="A710" t="s">
        <v>48</v>
      </c>
      <c r="E710">
        <v>1.1215256612186671E-2</v>
      </c>
      <c r="F710">
        <f t="shared" si="28"/>
        <v>-1.8626775034995491E-2</v>
      </c>
      <c r="G710">
        <f t="shared" si="29"/>
        <v>-2.8928644036680107E-2</v>
      </c>
    </row>
    <row r="711" spans="1:7" x14ac:dyDescent="0.35">
      <c r="A711" t="s">
        <v>48</v>
      </c>
      <c r="E711">
        <v>-3.2684733082125866E-3</v>
      </c>
      <c r="F711">
        <f t="shared" si="28"/>
        <v>-1.8627490781186085E-2</v>
      </c>
      <c r="G711">
        <f t="shared" si="29"/>
        <v>-2.8928644036680107E-2</v>
      </c>
    </row>
    <row r="712" spans="1:7" x14ac:dyDescent="0.35">
      <c r="A712" t="s">
        <v>49</v>
      </c>
      <c r="B712" s="3" cm="1">
        <f t="array" ref="B712">_xlfn.STDEV.S(_xlfn._xlws.FILTER($E$2:$E$1000, $A$2:$A$1000="2012-11"))</f>
        <v>9.4022552934795636E-3</v>
      </c>
      <c r="C712" s="3" cm="1">
        <f t="array" ref="C712">AVERAGE(_xlfn._xlws.FILTER($E$2:$E$1000, $A$2:$A$1000="2012-11"))</f>
        <v>8.9801661152613091E-4</v>
      </c>
      <c r="D712" s="3" cm="1">
        <f t="array" ref="D712">_xlfn.PERCENTILE.EXC(_xlfn._xlws.FILTER($E$503:$E$750, $A$503:$A$750="2012-11"), 0.05)</f>
        <v>-1.8855122306197486E-2</v>
      </c>
      <c r="E712">
        <v>1.0282148368742552E-2</v>
      </c>
      <c r="F712">
        <f t="shared" si="28"/>
        <v>-1.8628206527376678E-2</v>
      </c>
      <c r="G712">
        <f t="shared" si="29"/>
        <v>-2.8928644036680107E-2</v>
      </c>
    </row>
    <row r="713" spans="1:7" x14ac:dyDescent="0.35">
      <c r="A713" t="s">
        <v>49</v>
      </c>
      <c r="E713">
        <v>3.8341434988398045E-3</v>
      </c>
      <c r="F713">
        <f t="shared" si="28"/>
        <v>-1.8628922273567276E-2</v>
      </c>
      <c r="G713">
        <f t="shared" si="29"/>
        <v>-2.8928644036680107E-2</v>
      </c>
    </row>
    <row r="714" spans="1:7" x14ac:dyDescent="0.35">
      <c r="A714" t="s">
        <v>49</v>
      </c>
      <c r="E714">
        <v>-5.0890764359677034E-3</v>
      </c>
      <c r="F714">
        <f t="shared" si="28"/>
        <v>-1.8629638019757869E-2</v>
      </c>
      <c r="G714">
        <f t="shared" si="29"/>
        <v>-2.8928644036680107E-2</v>
      </c>
    </row>
    <row r="715" spans="1:7" x14ac:dyDescent="0.35">
      <c r="A715" t="s">
        <v>49</v>
      </c>
      <c r="E715">
        <v>6.9762521417817049E-3</v>
      </c>
      <c r="F715">
        <f t="shared" si="28"/>
        <v>-1.8630353765948467E-2</v>
      </c>
      <c r="G715">
        <f t="shared" si="29"/>
        <v>-2.8928644036680107E-2</v>
      </c>
    </row>
    <row r="716" spans="1:7" x14ac:dyDescent="0.35">
      <c r="A716" t="s">
        <v>49</v>
      </c>
      <c r="E716">
        <v>-1.9839685301029589E-2</v>
      </c>
      <c r="F716">
        <f t="shared" si="28"/>
        <v>-1.863106951213906E-2</v>
      </c>
      <c r="G716">
        <f t="shared" si="29"/>
        <v>-2.8928644036680107E-2</v>
      </c>
    </row>
    <row r="717" spans="1:7" x14ac:dyDescent="0.35">
      <c r="A717" t="s">
        <v>49</v>
      </c>
      <c r="E717">
        <v>-3.8607064678153904E-3</v>
      </c>
      <c r="F717">
        <f t="shared" si="28"/>
        <v>-1.8592692254271109E-2</v>
      </c>
      <c r="G717">
        <f t="shared" si="29"/>
        <v>-2.892077263198372E-2</v>
      </c>
    </row>
    <row r="718" spans="1:7" x14ac:dyDescent="0.35">
      <c r="A718" t="s">
        <v>49</v>
      </c>
      <c r="E718">
        <v>-5.7709893845765805E-3</v>
      </c>
      <c r="F718">
        <f t="shared" si="28"/>
        <v>-1.8601667360543913E-2</v>
      </c>
      <c r="G718">
        <f t="shared" si="29"/>
        <v>-2.892077263198372E-2</v>
      </c>
    </row>
    <row r="719" spans="1:7" x14ac:dyDescent="0.35">
      <c r="A719" t="s">
        <v>49</v>
      </c>
      <c r="E719">
        <v>7.3400848661131978E-4</v>
      </c>
      <c r="F719">
        <f t="shared" si="28"/>
        <v>-1.8610642466816724E-2</v>
      </c>
      <c r="G719">
        <f t="shared" si="29"/>
        <v>-2.892077263198372E-2</v>
      </c>
    </row>
    <row r="720" spans="1:7" x14ac:dyDescent="0.35">
      <c r="A720" t="s">
        <v>49</v>
      </c>
      <c r="E720">
        <v>5.0216628968254861E-5</v>
      </c>
      <c r="F720">
        <f t="shared" si="28"/>
        <v>-1.8619617573089536E-2</v>
      </c>
      <c r="G720">
        <f t="shared" si="29"/>
        <v>-2.892077263198372E-2</v>
      </c>
    </row>
    <row r="721" spans="1:7" x14ac:dyDescent="0.35">
      <c r="A721" t="s">
        <v>49</v>
      </c>
      <c r="E721">
        <v>-9.4177434419716894E-3</v>
      </c>
      <c r="F721">
        <f t="shared" si="28"/>
        <v>-1.8620333319280129E-2</v>
      </c>
      <c r="G721">
        <f t="shared" si="29"/>
        <v>-2.8987663249249267E-2</v>
      </c>
    </row>
    <row r="722" spans="1:7" x14ac:dyDescent="0.35">
      <c r="A722" t="s">
        <v>49</v>
      </c>
      <c r="E722">
        <v>-8.2713223608115467E-3</v>
      </c>
      <c r="F722">
        <f t="shared" si="28"/>
        <v>-1.8621049065470727E-2</v>
      </c>
      <c r="G722">
        <f t="shared" si="29"/>
        <v>-2.8987663249249267E-2</v>
      </c>
    </row>
    <row r="723" spans="1:7" x14ac:dyDescent="0.35">
      <c r="A723" t="s">
        <v>49</v>
      </c>
      <c r="E723">
        <v>-1.3275932002148903E-2</v>
      </c>
      <c r="F723">
        <f t="shared" si="28"/>
        <v>-1.862176481166132E-2</v>
      </c>
      <c r="G723">
        <f t="shared" si="29"/>
        <v>-2.8987663249249267E-2</v>
      </c>
    </row>
    <row r="724" spans="1:7" x14ac:dyDescent="0.35">
      <c r="A724" t="s">
        <v>49</v>
      </c>
      <c r="E724">
        <v>2.462899022073196E-2</v>
      </c>
      <c r="F724">
        <f t="shared" si="28"/>
        <v>-1.8622480557851918E-2</v>
      </c>
      <c r="G724">
        <f t="shared" si="29"/>
        <v>-2.8987663249249267E-2</v>
      </c>
    </row>
    <row r="725" spans="1:7" x14ac:dyDescent="0.35">
      <c r="A725" t="s">
        <v>49</v>
      </c>
      <c r="E725">
        <v>6.8756771438292395E-3</v>
      </c>
      <c r="F725">
        <f t="shared" si="28"/>
        <v>-1.8623196304042512E-2</v>
      </c>
      <c r="G725">
        <f t="shared" si="29"/>
        <v>-2.8987663249249267E-2</v>
      </c>
    </row>
    <row r="726" spans="1:7" x14ac:dyDescent="0.35">
      <c r="A726" t="s">
        <v>49</v>
      </c>
      <c r="E726">
        <v>1.6325738249310657E-3</v>
      </c>
      <c r="F726">
        <f t="shared" si="28"/>
        <v>-1.8623912050233109E-2</v>
      </c>
      <c r="G726">
        <f t="shared" si="29"/>
        <v>-2.8987663249249267E-2</v>
      </c>
    </row>
    <row r="727" spans="1:7" x14ac:dyDescent="0.35">
      <c r="A727" t="s">
        <v>49</v>
      </c>
      <c r="E727">
        <v>8.3550386580135538E-3</v>
      </c>
      <c r="F727">
        <f t="shared" si="28"/>
        <v>-1.8624627796423703E-2</v>
      </c>
      <c r="G727">
        <f t="shared" si="29"/>
        <v>-2.8987663249249267E-2</v>
      </c>
    </row>
    <row r="728" spans="1:7" x14ac:dyDescent="0.35">
      <c r="A728" t="s">
        <v>49</v>
      </c>
      <c r="E728">
        <v>8.8140561215114561E-3</v>
      </c>
      <c r="F728">
        <f t="shared" si="28"/>
        <v>-1.86253435426143E-2</v>
      </c>
      <c r="G728">
        <f t="shared" si="29"/>
        <v>-2.8987663249249267E-2</v>
      </c>
    </row>
    <row r="729" spans="1:7" x14ac:dyDescent="0.35">
      <c r="A729" t="s">
        <v>49</v>
      </c>
      <c r="E729">
        <v>-2.3422807253597523E-3</v>
      </c>
      <c r="F729">
        <f t="shared" si="28"/>
        <v>-1.8626059288804894E-2</v>
      </c>
      <c r="G729">
        <f t="shared" si="29"/>
        <v>-2.8987663249249267E-2</v>
      </c>
    </row>
    <row r="730" spans="1:7" x14ac:dyDescent="0.35">
      <c r="A730" t="s">
        <v>49</v>
      </c>
      <c r="E730">
        <v>5.5113662423318128E-3</v>
      </c>
      <c r="F730">
        <f t="shared" si="28"/>
        <v>-1.8626775034995491E-2</v>
      </c>
      <c r="G730">
        <f t="shared" si="29"/>
        <v>-2.8987663249249267E-2</v>
      </c>
    </row>
    <row r="731" spans="1:7" x14ac:dyDescent="0.35">
      <c r="A731" t="s">
        <v>49</v>
      </c>
      <c r="E731">
        <v>1.5099752523855977E-3</v>
      </c>
      <c r="F731">
        <f t="shared" si="28"/>
        <v>-1.8627490781186085E-2</v>
      </c>
      <c r="G731">
        <f t="shared" si="29"/>
        <v>-2.8987663249249267E-2</v>
      </c>
    </row>
    <row r="732" spans="1:7" x14ac:dyDescent="0.35">
      <c r="A732" t="s">
        <v>49</v>
      </c>
      <c r="E732">
        <v>7.8064091253676592E-3</v>
      </c>
      <c r="F732">
        <f t="shared" si="28"/>
        <v>-1.8628206527376678E-2</v>
      </c>
      <c r="G732">
        <f t="shared" si="29"/>
        <v>-2.8987663249249267E-2</v>
      </c>
    </row>
    <row r="733" spans="1:7" x14ac:dyDescent="0.35">
      <c r="A733" t="s">
        <v>49</v>
      </c>
      <c r="E733">
        <v>6.1324585921005597E-4</v>
      </c>
      <c r="F733">
        <f t="shared" si="28"/>
        <v>-1.8628922273567276E-2</v>
      </c>
      <c r="G733">
        <f t="shared" si="29"/>
        <v>-2.8987663249249267E-2</v>
      </c>
    </row>
    <row r="734" spans="1:7" x14ac:dyDescent="0.35">
      <c r="A734" t="s">
        <v>50</v>
      </c>
      <c r="B734" s="3" cm="1">
        <f t="array" ref="B734">_xlfn.STDEV.S(_xlfn._xlws.FILTER($E$2:$E$1000, $A$2:$A$1000="2012-12"))</f>
        <v>4.335163882600232E-3</v>
      </c>
      <c r="C734" s="3" cm="1">
        <f t="array" ref="C734">AVERAGE(_xlfn._xlws.FILTER($E$2:$E$1000, $A$2:$A$1000="2012-12"))</f>
        <v>1.62083621346032E-3</v>
      </c>
      <c r="D734" s="3" cm="1">
        <f t="array" ref="D734">_xlfn.PERCENTILE.INC(_xlfn._xlws.FILTER($E$503:$E$750, $A$503:$A$750="2012-12"), 0.05)</f>
        <v>-4.8884362187562192E-3</v>
      </c>
      <c r="E734">
        <v>4.0038569165156941E-3</v>
      </c>
      <c r="F734">
        <f t="shared" si="28"/>
        <v>-1.8629638019757869E-2</v>
      </c>
      <c r="G734">
        <f t="shared" si="29"/>
        <v>-2.8987663249249267E-2</v>
      </c>
    </row>
    <row r="735" spans="1:7" x14ac:dyDescent="0.35">
      <c r="A735" t="s">
        <v>50</v>
      </c>
      <c r="E735">
        <v>-1.2104640583123733E-5</v>
      </c>
      <c r="F735">
        <f t="shared" si="28"/>
        <v>-1.8630353765948467E-2</v>
      </c>
      <c r="G735">
        <f t="shared" si="29"/>
        <v>-2.8987663249249267E-2</v>
      </c>
    </row>
    <row r="736" spans="1:7" x14ac:dyDescent="0.35">
      <c r="A736" t="s">
        <v>50</v>
      </c>
      <c r="E736">
        <v>2.6098645609713899E-3</v>
      </c>
      <c r="F736">
        <f t="shared" si="28"/>
        <v>-1.863106951213906E-2</v>
      </c>
      <c r="G736">
        <f t="shared" si="29"/>
        <v>-2.8987663249249267E-2</v>
      </c>
    </row>
    <row r="737" spans="1:7" x14ac:dyDescent="0.35">
      <c r="A737" t="s">
        <v>50</v>
      </c>
      <c r="E737">
        <v>1.0673197552522044E-2</v>
      </c>
      <c r="F737">
        <f t="shared" si="28"/>
        <v>-1.8631785258329658E-2</v>
      </c>
      <c r="G737">
        <f t="shared" si="29"/>
        <v>-2.8987663249249267E-2</v>
      </c>
    </row>
    <row r="738" spans="1:7" x14ac:dyDescent="0.35">
      <c r="A738" t="s">
        <v>50</v>
      </c>
      <c r="E738">
        <v>-2.2242398060902898E-3</v>
      </c>
      <c r="F738">
        <f t="shared" si="28"/>
        <v>-1.8632501004520251E-2</v>
      </c>
      <c r="G738">
        <f t="shared" si="29"/>
        <v>-2.8987663249249267E-2</v>
      </c>
    </row>
    <row r="739" spans="1:7" x14ac:dyDescent="0.35">
      <c r="A739" t="s">
        <v>50</v>
      </c>
      <c r="E739">
        <v>1.7436703353048721E-3</v>
      </c>
      <c r="F739">
        <f t="shared" si="28"/>
        <v>-1.8633216750710849E-2</v>
      </c>
      <c r="G739">
        <f t="shared" si="29"/>
        <v>-2.8987663249249267E-2</v>
      </c>
    </row>
    <row r="740" spans="1:7" x14ac:dyDescent="0.35">
      <c r="A740" t="s">
        <v>50</v>
      </c>
      <c r="E740">
        <v>7.7814404851208356E-3</v>
      </c>
      <c r="F740">
        <f t="shared" si="28"/>
        <v>-1.8633932496901442E-2</v>
      </c>
      <c r="G740">
        <f t="shared" si="29"/>
        <v>-2.8987663249249267E-2</v>
      </c>
    </row>
    <row r="741" spans="1:7" x14ac:dyDescent="0.35">
      <c r="A741" t="s">
        <v>50</v>
      </c>
      <c r="E741">
        <v>3.2937560278554394E-3</v>
      </c>
      <c r="F741">
        <f t="shared" si="28"/>
        <v>-1.8638567187726371E-2</v>
      </c>
      <c r="G741">
        <f t="shared" si="29"/>
        <v>-2.9055334692075069E-2</v>
      </c>
    </row>
    <row r="742" spans="1:7" x14ac:dyDescent="0.35">
      <c r="A742" t="s">
        <v>50</v>
      </c>
      <c r="E742">
        <v>-4.318029552274452E-3</v>
      </c>
      <c r="F742">
        <f t="shared" si="28"/>
        <v>-1.8643201878551303E-2</v>
      </c>
      <c r="G742">
        <f t="shared" si="29"/>
        <v>-2.9055334692075069E-2</v>
      </c>
    </row>
    <row r="743" spans="1:7" x14ac:dyDescent="0.35">
      <c r="A743" t="s">
        <v>50</v>
      </c>
      <c r="E743">
        <v>1.9092864425274043E-3</v>
      </c>
      <c r="F743">
        <f t="shared" si="28"/>
        <v>-1.8647836569376231E-2</v>
      </c>
      <c r="G743">
        <f t="shared" si="29"/>
        <v>-2.9055334692075069E-2</v>
      </c>
    </row>
    <row r="744" spans="1:7" x14ac:dyDescent="0.35">
      <c r="A744" t="s">
        <v>50</v>
      </c>
      <c r="E744">
        <v>1.1143704270219765E-3</v>
      </c>
      <c r="F744">
        <f t="shared" si="28"/>
        <v>-1.8652471260201163E-2</v>
      </c>
      <c r="G744">
        <f t="shared" si="29"/>
        <v>-2.9055334692075069E-2</v>
      </c>
    </row>
    <row r="745" spans="1:7" x14ac:dyDescent="0.35">
      <c r="A745" t="s">
        <v>50</v>
      </c>
      <c r="E745">
        <v>6.3754760952562965E-3</v>
      </c>
      <c r="F745">
        <f t="shared" si="28"/>
        <v>-1.8657105951026095E-2</v>
      </c>
      <c r="G745">
        <f t="shared" si="29"/>
        <v>-2.9055334692075069E-2</v>
      </c>
    </row>
    <row r="746" spans="1:7" x14ac:dyDescent="0.35">
      <c r="A746" t="s">
        <v>50</v>
      </c>
      <c r="E746">
        <v>1.9475168796588142E-3</v>
      </c>
      <c r="F746">
        <f t="shared" si="28"/>
        <v>-1.8661740641851023E-2</v>
      </c>
      <c r="G746">
        <f t="shared" si="29"/>
        <v>-2.9055334692075069E-2</v>
      </c>
    </row>
    <row r="747" spans="1:7" x14ac:dyDescent="0.35">
      <c r="A747" t="s">
        <v>50</v>
      </c>
      <c r="E747">
        <v>4.6934279833705053E-4</v>
      </c>
      <c r="F747">
        <f t="shared" si="28"/>
        <v>-1.8666375332675955E-2</v>
      </c>
      <c r="G747">
        <f t="shared" si="29"/>
        <v>-2.9055334692075069E-2</v>
      </c>
    </row>
    <row r="748" spans="1:7" x14ac:dyDescent="0.35">
      <c r="A748" t="s">
        <v>50</v>
      </c>
      <c r="E748">
        <v>-4.6863460152183692E-3</v>
      </c>
      <c r="F748">
        <f t="shared" si="28"/>
        <v>-1.8671010023500884E-2</v>
      </c>
      <c r="G748">
        <f t="shared" si="29"/>
        <v>-2.9055334692075069E-2</v>
      </c>
    </row>
    <row r="749" spans="1:7" x14ac:dyDescent="0.35">
      <c r="A749" t="s">
        <v>50</v>
      </c>
      <c r="E749">
        <v>2.5699541548074773E-3</v>
      </c>
      <c r="F749">
        <f t="shared" si="28"/>
        <v>-1.8675644714325815E-2</v>
      </c>
      <c r="G749">
        <f t="shared" si="29"/>
        <v>-2.9055334692075069E-2</v>
      </c>
    </row>
    <row r="750" spans="1:7" x14ac:dyDescent="0.35">
      <c r="A750" t="s">
        <v>50</v>
      </c>
      <c r="E750">
        <v>-5.696797032907621E-3</v>
      </c>
      <c r="F750">
        <f t="shared" si="28"/>
        <v>-1.8680279405150747E-2</v>
      </c>
      <c r="G750">
        <f t="shared" si="29"/>
        <v>-2.9055334692075069E-2</v>
      </c>
    </row>
    <row r="751" spans="1:7" x14ac:dyDescent="0.35">
      <c r="A751" t="s">
        <v>51</v>
      </c>
      <c r="B751" s="3" cm="1">
        <f t="array" ref="B751">_xlfn.STDEV.S(_xlfn._xlws.FILTER($E$2:$E$1000, $A$2:$A$1000="2013-01"))</f>
        <v>6.9181451528899009E-3</v>
      </c>
      <c r="C751" s="3" cm="1">
        <f t="array" ref="C751">AVERAGE(_xlfn._xlws.FILTER($E$2:$E$1000, $A$2:$A$1000="2013-01"))</f>
        <v>9.6687791658644107E-4</v>
      </c>
      <c r="D751" s="3" cm="1">
        <f t="array" ref="D751">_xlfn.PERCENTILE.EXC(_xlfn._xlws.FILTER($E$751:$E$999, $A$751:$A$999="2013-01"), 0.05)</f>
        <v>-6.9385853439948965E-3</v>
      </c>
      <c r="E751">
        <v>2.1622330540912026E-2</v>
      </c>
      <c r="F751">
        <f t="shared" si="28"/>
        <v>-1.8684914095975676E-2</v>
      </c>
      <c r="G751">
        <f t="shared" si="29"/>
        <v>-2.9055334692075069E-2</v>
      </c>
    </row>
    <row r="752" spans="1:7" x14ac:dyDescent="0.35">
      <c r="A752" t="s">
        <v>51</v>
      </c>
      <c r="E752">
        <v>-2.8760475099871602E-3</v>
      </c>
      <c r="F752">
        <f t="shared" si="28"/>
        <v>-1.8689548786800604E-2</v>
      </c>
      <c r="G752">
        <f t="shared" si="29"/>
        <v>-2.9055334692075069E-2</v>
      </c>
    </row>
    <row r="753" spans="1:7" x14ac:dyDescent="0.35">
      <c r="A753" t="s">
        <v>51</v>
      </c>
      <c r="E753">
        <v>2.5661822860218305E-3</v>
      </c>
      <c r="F753">
        <f t="shared" si="28"/>
        <v>-1.8694183477625536E-2</v>
      </c>
      <c r="G753">
        <f t="shared" si="29"/>
        <v>-2.9055334692075069E-2</v>
      </c>
    </row>
    <row r="754" spans="1:7" x14ac:dyDescent="0.35">
      <c r="A754" t="s">
        <v>51</v>
      </c>
      <c r="E754">
        <v>-5.6367310827478223E-3</v>
      </c>
      <c r="F754">
        <f t="shared" si="28"/>
        <v>-1.8698818168450464E-2</v>
      </c>
      <c r="G754">
        <f t="shared" si="29"/>
        <v>-2.9055334692075069E-2</v>
      </c>
    </row>
    <row r="755" spans="1:7" x14ac:dyDescent="0.35">
      <c r="A755" t="s">
        <v>51</v>
      </c>
      <c r="E755">
        <v>-4.7742935255732435E-3</v>
      </c>
      <c r="F755">
        <f t="shared" si="28"/>
        <v>-1.8703452859275396E-2</v>
      </c>
      <c r="G755">
        <f t="shared" si="29"/>
        <v>-2.9055334692075069E-2</v>
      </c>
    </row>
    <row r="756" spans="1:7" x14ac:dyDescent="0.35">
      <c r="A756" t="s">
        <v>51</v>
      </c>
      <c r="E756">
        <v>3.1966192901962658E-3</v>
      </c>
      <c r="F756">
        <f t="shared" si="28"/>
        <v>-1.8708087550100325E-2</v>
      </c>
      <c r="G756">
        <f t="shared" si="29"/>
        <v>-2.9055334692075069E-2</v>
      </c>
    </row>
    <row r="757" spans="1:7" x14ac:dyDescent="0.35">
      <c r="A757" t="s">
        <v>51</v>
      </c>
      <c r="E757">
        <v>-1.5555187095987538E-3</v>
      </c>
      <c r="F757">
        <f t="shared" si="28"/>
        <v>-1.8712722240925257E-2</v>
      </c>
      <c r="G757">
        <f t="shared" si="29"/>
        <v>-2.9055334692075069E-2</v>
      </c>
    </row>
    <row r="758" spans="1:7" x14ac:dyDescent="0.35">
      <c r="A758" t="s">
        <v>51</v>
      </c>
      <c r="E758">
        <v>9.1545649546920151E-4</v>
      </c>
      <c r="F758">
        <f t="shared" si="28"/>
        <v>-1.8717356931750188E-2</v>
      </c>
      <c r="G758">
        <f t="shared" si="29"/>
        <v>-2.9055334692075069E-2</v>
      </c>
    </row>
    <row r="759" spans="1:7" x14ac:dyDescent="0.35">
      <c r="A759" t="s">
        <v>51</v>
      </c>
      <c r="E759">
        <v>1.8115841419841564E-3</v>
      </c>
      <c r="F759">
        <f t="shared" si="28"/>
        <v>-1.8721991622575117E-2</v>
      </c>
      <c r="G759">
        <f t="shared" si="29"/>
        <v>-2.9055334692075069E-2</v>
      </c>
    </row>
    <row r="760" spans="1:7" x14ac:dyDescent="0.35">
      <c r="A760" t="s">
        <v>51</v>
      </c>
      <c r="E760">
        <v>-6.9599117203718221E-3</v>
      </c>
      <c r="F760">
        <f t="shared" si="28"/>
        <v>-1.8726626313400049E-2</v>
      </c>
      <c r="G760">
        <f t="shared" si="29"/>
        <v>-2.9055334692075069E-2</v>
      </c>
    </row>
    <row r="761" spans="1:7" x14ac:dyDescent="0.35">
      <c r="A761" t="s">
        <v>51</v>
      </c>
      <c r="E761">
        <v>1.9808635855326747E-3</v>
      </c>
      <c r="F761">
        <f t="shared" si="28"/>
        <v>-1.8728999347382872E-2</v>
      </c>
      <c r="G761">
        <f t="shared" si="29"/>
        <v>-2.9123286720882147E-2</v>
      </c>
    </row>
    <row r="762" spans="1:7" x14ac:dyDescent="0.35">
      <c r="A762" t="s">
        <v>51</v>
      </c>
      <c r="E762">
        <v>5.7472353930322385E-3</v>
      </c>
      <c r="F762">
        <f t="shared" si="28"/>
        <v>-1.8731372381365696E-2</v>
      </c>
      <c r="G762">
        <f t="shared" si="29"/>
        <v>-2.9123286720882147E-2</v>
      </c>
    </row>
    <row r="763" spans="1:7" x14ac:dyDescent="0.35">
      <c r="A763" t="s">
        <v>51</v>
      </c>
      <c r="E763">
        <v>-4.3050548783306946E-3</v>
      </c>
      <c r="F763">
        <f t="shared" si="28"/>
        <v>-1.8733745415348519E-2</v>
      </c>
      <c r="G763">
        <f t="shared" si="29"/>
        <v>-2.9123286720882147E-2</v>
      </c>
    </row>
    <row r="764" spans="1:7" x14ac:dyDescent="0.35">
      <c r="A764" t="s">
        <v>51</v>
      </c>
      <c r="E764">
        <v>6.0358384510157403E-3</v>
      </c>
      <c r="F764">
        <f t="shared" si="28"/>
        <v>-1.8736118449331342E-2</v>
      </c>
      <c r="G764">
        <f t="shared" si="29"/>
        <v>-2.9123286720882147E-2</v>
      </c>
    </row>
    <row r="765" spans="1:7" x14ac:dyDescent="0.35">
      <c r="A765" t="s">
        <v>51</v>
      </c>
      <c r="E765">
        <v>-6.8177358778589853E-3</v>
      </c>
      <c r="F765">
        <f t="shared" si="28"/>
        <v>-1.8738491483314169E-2</v>
      </c>
      <c r="G765">
        <f t="shared" si="29"/>
        <v>-2.9123286720882147E-2</v>
      </c>
    </row>
    <row r="766" spans="1:7" x14ac:dyDescent="0.35">
      <c r="A766" t="s">
        <v>51</v>
      </c>
      <c r="E766">
        <v>1.4710706215334173E-3</v>
      </c>
      <c r="F766">
        <f t="shared" si="28"/>
        <v>-1.8740864517296989E-2</v>
      </c>
      <c r="G766">
        <f t="shared" si="29"/>
        <v>-2.9123286720882147E-2</v>
      </c>
    </row>
    <row r="767" spans="1:7" x14ac:dyDescent="0.35">
      <c r="A767" t="s">
        <v>51</v>
      </c>
      <c r="E767">
        <v>5.2524534125366574E-3</v>
      </c>
      <c r="F767">
        <f t="shared" si="28"/>
        <v>-1.8743237551279816E-2</v>
      </c>
      <c r="G767">
        <f t="shared" si="29"/>
        <v>-2.9123286720882147E-2</v>
      </c>
    </row>
    <row r="768" spans="1:7" x14ac:dyDescent="0.35">
      <c r="A768" t="s">
        <v>51</v>
      </c>
      <c r="E768">
        <v>1.4076779436164049E-2</v>
      </c>
      <c r="F768">
        <f t="shared" si="28"/>
        <v>-1.874561058526264E-2</v>
      </c>
      <c r="G768">
        <f t="shared" si="29"/>
        <v>-2.9123286720882147E-2</v>
      </c>
    </row>
    <row r="769" spans="1:7" x14ac:dyDescent="0.35">
      <c r="A769" t="s">
        <v>51</v>
      </c>
      <c r="E769">
        <v>-3.1827249785441858E-3</v>
      </c>
      <c r="F769">
        <f t="shared" si="28"/>
        <v>-1.8747983619245463E-2</v>
      </c>
      <c r="G769">
        <f t="shared" si="29"/>
        <v>-2.9123286720882147E-2</v>
      </c>
    </row>
    <row r="770" spans="1:7" x14ac:dyDescent="0.35">
      <c r="A770" t="s">
        <v>51</v>
      </c>
      <c r="E770">
        <v>1.9857712099508791E-3</v>
      </c>
      <c r="F770">
        <f t="shared" si="28"/>
        <v>-1.8750356653228287E-2</v>
      </c>
      <c r="G770">
        <f t="shared" si="29"/>
        <v>-2.9123286720882147E-2</v>
      </c>
    </row>
    <row r="771" spans="1:7" x14ac:dyDescent="0.35">
      <c r="A771" t="s">
        <v>51</v>
      </c>
      <c r="E771">
        <v>-4.7586661344017388E-3</v>
      </c>
      <c r="F771">
        <f t="shared" si="28"/>
        <v>-1.875272968721111E-2</v>
      </c>
      <c r="G771">
        <f t="shared" si="29"/>
        <v>-2.9123286720882147E-2</v>
      </c>
    </row>
    <row r="772" spans="1:7" x14ac:dyDescent="0.35">
      <c r="A772" t="s">
        <v>51</v>
      </c>
      <c r="E772">
        <v>-4.5241862820330301E-3</v>
      </c>
      <c r="F772">
        <f t="shared" ref="F772:F835" si="30">_xlfn.PERCENTILE.EXC(E772:E4587,0.05)</f>
        <v>-1.8755102721193934E-2</v>
      </c>
      <c r="G772">
        <f t="shared" ref="G772:G835" si="31">AVERAGEIFS(E772:E4588,E772:E4588,"&lt;=" &amp; F772)</f>
        <v>-2.9123286720882147E-2</v>
      </c>
    </row>
    <row r="773" spans="1:7" x14ac:dyDescent="0.35">
      <c r="A773" t="s">
        <v>52</v>
      </c>
      <c r="B773" s="3" cm="1">
        <f t="array" ref="B773">_xlfn.STDEV.S(_xlfn._xlws.FILTER($E$2:$E$1000, $A$2:$A$1000="2013-02"))</f>
        <v>1.2038253935342738E-2</v>
      </c>
      <c r="C773" s="3" cm="1">
        <f t="array" ref="C773">AVERAGE(_xlfn._xlws.FILTER($E$2:$E$1000, $A$2:$A$1000="2013-02"))</f>
        <v>-2.2135977255176818E-4</v>
      </c>
      <c r="D773" s="3" cm="1">
        <f t="array" ref="D773">_xlfn.PERCENTILE.EXC(_xlfn._xlws.FILTER($E$751:$E$999, $A$751:$A$999="2013-02"), 0.05)</f>
        <v>-2.5113628361850517E-2</v>
      </c>
      <c r="E773">
        <v>7.3468693197735521E-3</v>
      </c>
      <c r="F773">
        <f t="shared" si="30"/>
        <v>-1.8757475755176757E-2</v>
      </c>
      <c r="G773">
        <f t="shared" si="31"/>
        <v>-2.9123286720882147E-2</v>
      </c>
    </row>
    <row r="774" spans="1:7" x14ac:dyDescent="0.35">
      <c r="A774" t="s">
        <v>52</v>
      </c>
      <c r="E774">
        <v>-2.5229465553521829E-2</v>
      </c>
      <c r="F774">
        <f t="shared" si="30"/>
        <v>-1.8759848789159581E-2</v>
      </c>
      <c r="G774">
        <f t="shared" si="31"/>
        <v>-2.9123286720882147E-2</v>
      </c>
    </row>
    <row r="775" spans="1:7" x14ac:dyDescent="0.35">
      <c r="A775" t="s">
        <v>52</v>
      </c>
      <c r="E775">
        <v>3.4542529260713044E-3</v>
      </c>
      <c r="F775">
        <f t="shared" si="30"/>
        <v>-1.8703452859275396E-2</v>
      </c>
      <c r="G775">
        <f t="shared" si="31"/>
        <v>-2.9080504883776073E-2</v>
      </c>
    </row>
    <row r="776" spans="1:7" x14ac:dyDescent="0.35">
      <c r="A776" t="s">
        <v>52</v>
      </c>
      <c r="E776">
        <v>-1.0951293509197999E-2</v>
      </c>
      <c r="F776">
        <f t="shared" si="30"/>
        <v>-1.8708087550100325E-2</v>
      </c>
      <c r="G776">
        <f t="shared" si="31"/>
        <v>-2.9080504883776073E-2</v>
      </c>
    </row>
    <row r="777" spans="1:7" x14ac:dyDescent="0.35">
      <c r="A777" t="s">
        <v>52</v>
      </c>
      <c r="E777">
        <v>1.2747142352599521E-3</v>
      </c>
      <c r="F777">
        <f t="shared" si="30"/>
        <v>-1.8712722240925257E-2</v>
      </c>
      <c r="G777">
        <f t="shared" si="31"/>
        <v>-2.9080504883776073E-2</v>
      </c>
    </row>
    <row r="778" spans="1:7" x14ac:dyDescent="0.35">
      <c r="A778" t="s">
        <v>52</v>
      </c>
      <c r="E778">
        <v>8.0417726839969485E-3</v>
      </c>
      <c r="F778">
        <f t="shared" si="30"/>
        <v>-1.8717356931750188E-2</v>
      </c>
      <c r="G778">
        <f t="shared" si="31"/>
        <v>-2.9080504883776073E-2</v>
      </c>
    </row>
    <row r="779" spans="1:7" x14ac:dyDescent="0.35">
      <c r="A779" t="s">
        <v>52</v>
      </c>
      <c r="E779">
        <v>-2.4074516988134595E-3</v>
      </c>
      <c r="F779">
        <f t="shared" si="30"/>
        <v>-1.8721991622575117E-2</v>
      </c>
      <c r="G779">
        <f t="shared" si="31"/>
        <v>-2.9080504883776073E-2</v>
      </c>
    </row>
    <row r="780" spans="1:7" x14ac:dyDescent="0.35">
      <c r="A780" t="s">
        <v>52</v>
      </c>
      <c r="E780">
        <v>3.4588920402407355E-3</v>
      </c>
      <c r="F780">
        <f t="shared" si="30"/>
        <v>-1.8726626313400049E-2</v>
      </c>
      <c r="G780">
        <f t="shared" si="31"/>
        <v>-2.9080504883776073E-2</v>
      </c>
    </row>
    <row r="781" spans="1:7" x14ac:dyDescent="0.35">
      <c r="A781" t="s">
        <v>52</v>
      </c>
      <c r="E781">
        <v>6.7265060986159038E-3</v>
      </c>
      <c r="F781">
        <f t="shared" si="30"/>
        <v>-1.8728999347382872E-2</v>
      </c>
      <c r="G781">
        <f t="shared" si="31"/>
        <v>-2.9149073616030217E-2</v>
      </c>
    </row>
    <row r="782" spans="1:7" x14ac:dyDescent="0.35">
      <c r="A782" t="s">
        <v>52</v>
      </c>
      <c r="E782">
        <v>-1.0519497282936423E-2</v>
      </c>
      <c r="F782">
        <f t="shared" si="30"/>
        <v>-1.8731372381365696E-2</v>
      </c>
      <c r="G782">
        <f t="shared" si="31"/>
        <v>-2.9149073616030217E-2</v>
      </c>
    </row>
    <row r="783" spans="1:7" x14ac:dyDescent="0.35">
      <c r="A783" t="s">
        <v>52</v>
      </c>
      <c r="E783">
        <v>-4.949861335002712E-3</v>
      </c>
      <c r="F783">
        <f t="shared" si="30"/>
        <v>-1.8733745415348519E-2</v>
      </c>
      <c r="G783">
        <f t="shared" si="31"/>
        <v>-2.9149073616030217E-2</v>
      </c>
    </row>
    <row r="784" spans="1:7" x14ac:dyDescent="0.35">
      <c r="A784" t="s">
        <v>52</v>
      </c>
      <c r="E784">
        <v>4.6274481085494335E-3</v>
      </c>
      <c r="F784">
        <f t="shared" si="30"/>
        <v>-1.8736118449331342E-2</v>
      </c>
      <c r="G784">
        <f t="shared" si="31"/>
        <v>-2.9149073616030217E-2</v>
      </c>
    </row>
    <row r="785" spans="1:7" x14ac:dyDescent="0.35">
      <c r="A785" t="s">
        <v>52</v>
      </c>
      <c r="E785">
        <v>1.6087539227606605E-2</v>
      </c>
      <c r="F785">
        <f t="shared" si="30"/>
        <v>-1.8738491483314169E-2</v>
      </c>
      <c r="G785">
        <f t="shared" si="31"/>
        <v>-2.9149073616030217E-2</v>
      </c>
    </row>
    <row r="786" spans="1:7" x14ac:dyDescent="0.35">
      <c r="A786" t="s">
        <v>52</v>
      </c>
      <c r="E786">
        <v>-3.0423726826096283E-3</v>
      </c>
      <c r="F786">
        <f t="shared" si="30"/>
        <v>-1.8740864517296989E-2</v>
      </c>
      <c r="G786">
        <f t="shared" si="31"/>
        <v>-2.9149073616030217E-2</v>
      </c>
    </row>
    <row r="787" spans="1:7" x14ac:dyDescent="0.35">
      <c r="A787" t="s">
        <v>52</v>
      </c>
      <c r="E787">
        <v>-1.898248472357578E-2</v>
      </c>
      <c r="F787">
        <f t="shared" si="30"/>
        <v>-1.8743237551279816E-2</v>
      </c>
      <c r="G787">
        <f t="shared" si="31"/>
        <v>-2.9149073616030217E-2</v>
      </c>
    </row>
    <row r="788" spans="1:7" x14ac:dyDescent="0.35">
      <c r="A788" t="s">
        <v>52</v>
      </c>
      <c r="E788">
        <v>1.027723489605026E-2</v>
      </c>
      <c r="F788">
        <f t="shared" si="30"/>
        <v>-1.8671010023500887E-2</v>
      </c>
      <c r="G788">
        <f t="shared" si="31"/>
        <v>-2.9147379189472768E-2</v>
      </c>
    </row>
    <row r="789" spans="1:7" x14ac:dyDescent="0.35">
      <c r="A789" t="s">
        <v>52</v>
      </c>
      <c r="E789">
        <v>1.4419333606993221E-2</v>
      </c>
      <c r="F789">
        <f t="shared" si="30"/>
        <v>-1.8675644714325815E-2</v>
      </c>
      <c r="G789">
        <f t="shared" si="31"/>
        <v>-2.9147379189472768E-2</v>
      </c>
    </row>
    <row r="790" spans="1:7" x14ac:dyDescent="0.35">
      <c r="A790" t="s">
        <v>52</v>
      </c>
      <c r="E790">
        <v>-2.2912721720095574E-2</v>
      </c>
      <c r="F790">
        <f t="shared" si="30"/>
        <v>-1.8680279405150747E-2</v>
      </c>
      <c r="G790">
        <f t="shared" si="31"/>
        <v>-2.9147379189472768E-2</v>
      </c>
    </row>
    <row r="791" spans="1:7" x14ac:dyDescent="0.35">
      <c r="A791" t="s">
        <v>52</v>
      </c>
      <c r="E791">
        <v>1.0308519132646844E-2</v>
      </c>
      <c r="F791">
        <f t="shared" si="30"/>
        <v>-1.8627490781186085E-2</v>
      </c>
      <c r="G791">
        <f t="shared" si="31"/>
        <v>-2.9119042837001282E-2</v>
      </c>
    </row>
    <row r="792" spans="1:7" x14ac:dyDescent="0.35">
      <c r="A792" t="s">
        <v>52</v>
      </c>
      <c r="E792">
        <v>8.5448707789132876E-3</v>
      </c>
      <c r="F792">
        <f t="shared" si="30"/>
        <v>-1.8628206527376678E-2</v>
      </c>
      <c r="G792">
        <f t="shared" si="31"/>
        <v>-2.9119042837001282E-2</v>
      </c>
    </row>
    <row r="793" spans="1:7" x14ac:dyDescent="0.35">
      <c r="A793" t="s">
        <v>53</v>
      </c>
      <c r="B793" s="3" cm="1">
        <f t="array" ref="B793">_xlfn.STDEV.S(_xlfn._xlws.FILTER($E$2:$E$1000, $A$2:$A$1000="2013-03"))</f>
        <v>7.6965030960312363E-3</v>
      </c>
      <c r="C793" s="3" cm="1">
        <f t="array" ref="C793">AVERAGE(_xlfn._xlws.FILTER($E$2:$E$1000, $A$2:$A$1000="2013-03"))</f>
        <v>3.4504845370670614E-4</v>
      </c>
      <c r="D793" s="3" cm="1">
        <f t="array" ref="D793">_xlfn.PERCENTILE.EXC(_xlfn._xlws.FILTER($E$751:$E$999, $A$751:$A$999="2013-03"), 0.05)</f>
        <v>-1.1419801595605791E-2</v>
      </c>
      <c r="E793">
        <v>-4.3417937365142741E-3</v>
      </c>
      <c r="F793">
        <f t="shared" si="30"/>
        <v>-1.8628922273567276E-2</v>
      </c>
      <c r="G793">
        <f t="shared" si="31"/>
        <v>-2.9119042837001282E-2</v>
      </c>
    </row>
    <row r="794" spans="1:7" x14ac:dyDescent="0.35">
      <c r="A794" t="s">
        <v>53</v>
      </c>
      <c r="E794">
        <v>-2.1402827939743583E-3</v>
      </c>
      <c r="F794">
        <f t="shared" si="30"/>
        <v>-1.8629638019757869E-2</v>
      </c>
      <c r="G794">
        <f t="shared" si="31"/>
        <v>-2.9119042837001282E-2</v>
      </c>
    </row>
    <row r="795" spans="1:7" x14ac:dyDescent="0.35">
      <c r="A795" t="s">
        <v>53</v>
      </c>
      <c r="E795">
        <v>2.2958226545394651E-2</v>
      </c>
      <c r="F795">
        <f t="shared" si="30"/>
        <v>-1.8630353765948467E-2</v>
      </c>
      <c r="G795">
        <f t="shared" si="31"/>
        <v>-2.9119042837001282E-2</v>
      </c>
    </row>
    <row r="796" spans="1:7" x14ac:dyDescent="0.35">
      <c r="A796" t="s">
        <v>53</v>
      </c>
      <c r="E796">
        <v>6.2091545458103437E-3</v>
      </c>
      <c r="F796">
        <f t="shared" si="30"/>
        <v>-1.863106951213906E-2</v>
      </c>
      <c r="G796">
        <f t="shared" si="31"/>
        <v>-2.9119042837001282E-2</v>
      </c>
    </row>
    <row r="797" spans="1:7" x14ac:dyDescent="0.35">
      <c r="A797" t="s">
        <v>53</v>
      </c>
      <c r="E797">
        <v>2.5777012967787851E-3</v>
      </c>
      <c r="F797">
        <f t="shared" si="30"/>
        <v>-1.8631785258329658E-2</v>
      </c>
      <c r="G797">
        <f t="shared" si="31"/>
        <v>-2.9119042837001282E-2</v>
      </c>
    </row>
    <row r="798" spans="1:7" x14ac:dyDescent="0.35">
      <c r="A798" t="s">
        <v>53</v>
      </c>
      <c r="E798">
        <v>5.8645523169201129E-3</v>
      </c>
      <c r="F798">
        <f t="shared" si="30"/>
        <v>-1.8632501004520251E-2</v>
      </c>
      <c r="G798">
        <f t="shared" si="31"/>
        <v>-2.9119042837001282E-2</v>
      </c>
    </row>
    <row r="799" spans="1:7" x14ac:dyDescent="0.35">
      <c r="A799" t="s">
        <v>53</v>
      </c>
      <c r="E799">
        <v>-2.7299890719532954E-4</v>
      </c>
      <c r="F799">
        <f t="shared" si="30"/>
        <v>-1.8633216750710849E-2</v>
      </c>
      <c r="G799">
        <f t="shared" si="31"/>
        <v>-2.9119042837001282E-2</v>
      </c>
    </row>
    <row r="800" spans="1:7" x14ac:dyDescent="0.35">
      <c r="A800" t="s">
        <v>53</v>
      </c>
      <c r="E800">
        <v>-2.2783123267169554E-3</v>
      </c>
      <c r="F800">
        <f t="shared" si="30"/>
        <v>-1.8633932496901442E-2</v>
      </c>
      <c r="G800">
        <f t="shared" si="31"/>
        <v>-2.9119042837001282E-2</v>
      </c>
    </row>
    <row r="801" spans="1:7" x14ac:dyDescent="0.35">
      <c r="A801" t="s">
        <v>53</v>
      </c>
      <c r="E801">
        <v>6.0111578433814656E-4</v>
      </c>
      <c r="F801">
        <f t="shared" si="30"/>
        <v>-1.8638567187726371E-2</v>
      </c>
      <c r="G801">
        <f t="shared" si="31"/>
        <v>-2.918894357260194E-2</v>
      </c>
    </row>
    <row r="802" spans="1:7" x14ac:dyDescent="0.35">
      <c r="A802" t="s">
        <v>53</v>
      </c>
      <c r="E802">
        <v>1.0912638363592153E-2</v>
      </c>
      <c r="F802">
        <f t="shared" si="30"/>
        <v>-1.8643201878551303E-2</v>
      </c>
      <c r="G802">
        <f t="shared" si="31"/>
        <v>-2.918894357260194E-2</v>
      </c>
    </row>
    <row r="803" spans="1:7" x14ac:dyDescent="0.35">
      <c r="A803" t="s">
        <v>53</v>
      </c>
      <c r="E803">
        <v>-1.9278048255454362E-3</v>
      </c>
      <c r="F803">
        <f t="shared" si="30"/>
        <v>-1.8647836569376235E-2</v>
      </c>
      <c r="G803">
        <f t="shared" si="31"/>
        <v>-2.918894357260194E-2</v>
      </c>
    </row>
    <row r="804" spans="1:7" x14ac:dyDescent="0.35">
      <c r="A804" t="s">
        <v>53</v>
      </c>
      <c r="E804">
        <v>-4.0053499670041608E-3</v>
      </c>
      <c r="F804">
        <f t="shared" si="30"/>
        <v>-1.8652471260201163E-2</v>
      </c>
      <c r="G804">
        <f t="shared" si="31"/>
        <v>-2.918894357260194E-2</v>
      </c>
    </row>
    <row r="805" spans="1:7" x14ac:dyDescent="0.35">
      <c r="A805" t="s">
        <v>53</v>
      </c>
      <c r="E805">
        <v>-7.8842454242742856E-3</v>
      </c>
      <c r="F805">
        <f t="shared" si="30"/>
        <v>-1.8657105951026095E-2</v>
      </c>
      <c r="G805">
        <f t="shared" si="31"/>
        <v>-2.918894357260194E-2</v>
      </c>
    </row>
    <row r="806" spans="1:7" x14ac:dyDescent="0.35">
      <c r="A806" t="s">
        <v>53</v>
      </c>
      <c r="E806">
        <v>6.7938587660898069E-3</v>
      </c>
      <c r="F806">
        <f t="shared" si="30"/>
        <v>-1.8661740641851023E-2</v>
      </c>
      <c r="G806">
        <f t="shared" si="31"/>
        <v>-2.918894357260194E-2</v>
      </c>
    </row>
    <row r="807" spans="1:7" x14ac:dyDescent="0.35">
      <c r="A807" t="s">
        <v>53</v>
      </c>
      <c r="E807">
        <v>-8.7182562542406968E-3</v>
      </c>
      <c r="F807">
        <f t="shared" si="30"/>
        <v>-1.8666375332675955E-2</v>
      </c>
      <c r="G807">
        <f t="shared" si="31"/>
        <v>-2.918894357260194E-2</v>
      </c>
    </row>
    <row r="808" spans="1:7" x14ac:dyDescent="0.35">
      <c r="A808" t="s">
        <v>53</v>
      </c>
      <c r="E808">
        <v>-2.6710678560253475E-3</v>
      </c>
      <c r="F808">
        <f t="shared" si="30"/>
        <v>-1.8671010023500887E-2</v>
      </c>
      <c r="G808">
        <f t="shared" si="31"/>
        <v>-2.918894357260194E-2</v>
      </c>
    </row>
    <row r="809" spans="1:7" x14ac:dyDescent="0.35">
      <c r="A809" t="s">
        <v>53</v>
      </c>
      <c r="E809">
        <v>-5.1260230413732915E-3</v>
      </c>
      <c r="F809">
        <f t="shared" si="30"/>
        <v>-1.8675644714325815E-2</v>
      </c>
      <c r="G809">
        <f t="shared" si="31"/>
        <v>-2.918894357260194E-2</v>
      </c>
    </row>
    <row r="810" spans="1:7" x14ac:dyDescent="0.35">
      <c r="A810" t="s">
        <v>53</v>
      </c>
      <c r="E810">
        <v>1.1136106066418148E-3</v>
      </c>
      <c r="F810">
        <f t="shared" si="30"/>
        <v>-1.8680279405150747E-2</v>
      </c>
      <c r="G810">
        <f t="shared" si="31"/>
        <v>-2.918894357260194E-2</v>
      </c>
    </row>
    <row r="811" spans="1:7" x14ac:dyDescent="0.35">
      <c r="A811" t="s">
        <v>53</v>
      </c>
      <c r="E811">
        <v>-1.1561988192519744E-2</v>
      </c>
      <c r="F811">
        <f t="shared" si="30"/>
        <v>-1.8684914095975676E-2</v>
      </c>
      <c r="G811">
        <f t="shared" si="31"/>
        <v>-2.918894357260194E-2</v>
      </c>
    </row>
    <row r="812" spans="1:7" x14ac:dyDescent="0.35">
      <c r="A812" t="s">
        <v>53</v>
      </c>
      <c r="E812">
        <v>7.9823417395219042E-4</v>
      </c>
      <c r="F812">
        <f t="shared" si="30"/>
        <v>-1.8689548786800604E-2</v>
      </c>
      <c r="G812">
        <f t="shared" si="31"/>
        <v>-2.918894357260194E-2</v>
      </c>
    </row>
    <row r="813" spans="1:7" x14ac:dyDescent="0.35">
      <c r="A813" t="s">
        <v>54</v>
      </c>
      <c r="B813" s="3" cm="1">
        <f t="array" ref="B813">_xlfn.STDEV.S(_xlfn._xlws.FILTER($E$2:$E$1000, $A$2:$A$1000="2013-04"))</f>
        <v>1.2776017939601451E-2</v>
      </c>
      <c r="C813" s="3" cm="1">
        <f t="array" ref="C813">AVERAGE(_xlfn._xlws.FILTER($E$2:$E$1000, $A$2:$A$1000="2013-04"))</f>
        <v>7.1782988418801178E-4</v>
      </c>
      <c r="D813" s="3" cm="1">
        <f t="array" ref="D813">_xlfn.PERCENTILE.EXC(_xlfn._xlws.FILTER($E$751:$E$999, $A$751:$A$999="2013-04"), 0.05)</f>
        <v>-2.3333835779934788E-2</v>
      </c>
      <c r="E813">
        <v>1.8878291255391477E-2</v>
      </c>
      <c r="F813">
        <f t="shared" si="30"/>
        <v>-1.8694183477625536E-2</v>
      </c>
      <c r="G813">
        <f t="shared" si="31"/>
        <v>-2.918894357260194E-2</v>
      </c>
    </row>
    <row r="814" spans="1:7" x14ac:dyDescent="0.35">
      <c r="A814" t="s">
        <v>54</v>
      </c>
      <c r="E814">
        <v>-8.7391238810728793E-3</v>
      </c>
      <c r="F814">
        <f t="shared" si="30"/>
        <v>-1.8698818168450464E-2</v>
      </c>
      <c r="G814">
        <f t="shared" si="31"/>
        <v>-2.918894357260194E-2</v>
      </c>
    </row>
    <row r="815" spans="1:7" x14ac:dyDescent="0.35">
      <c r="A815" t="s">
        <v>54</v>
      </c>
      <c r="E815">
        <v>-7.3106989197362924E-3</v>
      </c>
      <c r="F815">
        <f t="shared" si="30"/>
        <v>-1.8703452859275396E-2</v>
      </c>
      <c r="G815">
        <f t="shared" si="31"/>
        <v>-2.918894357260194E-2</v>
      </c>
    </row>
    <row r="816" spans="1:7" x14ac:dyDescent="0.35">
      <c r="A816" t="s">
        <v>54</v>
      </c>
      <c r="E816">
        <v>-2.0501954198571242E-2</v>
      </c>
      <c r="F816">
        <f t="shared" si="30"/>
        <v>-1.8708087550100325E-2</v>
      </c>
      <c r="G816">
        <f t="shared" si="31"/>
        <v>-2.918894357260194E-2</v>
      </c>
    </row>
    <row r="817" spans="1:7" x14ac:dyDescent="0.35">
      <c r="A817" t="s">
        <v>54</v>
      </c>
      <c r="E817">
        <v>5.0778683704093264E-4</v>
      </c>
      <c r="F817">
        <f t="shared" si="30"/>
        <v>-1.8631785258329658E-2</v>
      </c>
      <c r="G817">
        <f t="shared" si="31"/>
        <v>-2.917649009459081E-2</v>
      </c>
    </row>
    <row r="818" spans="1:7" x14ac:dyDescent="0.35">
      <c r="A818" t="s">
        <v>54</v>
      </c>
      <c r="E818">
        <v>-3.2849380689427719E-3</v>
      </c>
      <c r="F818">
        <f t="shared" si="30"/>
        <v>-1.8632501004520251E-2</v>
      </c>
      <c r="G818">
        <f t="shared" si="31"/>
        <v>-2.917649009459081E-2</v>
      </c>
    </row>
    <row r="819" spans="1:7" x14ac:dyDescent="0.35">
      <c r="A819" t="s">
        <v>54</v>
      </c>
      <c r="E819">
        <v>2.2413992585517555E-2</v>
      </c>
      <c r="F819">
        <f t="shared" si="30"/>
        <v>-1.8633216750710849E-2</v>
      </c>
      <c r="G819">
        <f t="shared" si="31"/>
        <v>-2.917649009459081E-2</v>
      </c>
    </row>
    <row r="820" spans="1:7" x14ac:dyDescent="0.35">
      <c r="A820" t="s">
        <v>54</v>
      </c>
      <c r="E820">
        <v>7.7795302014588832E-3</v>
      </c>
      <c r="F820">
        <f t="shared" si="30"/>
        <v>-1.8633932496901442E-2</v>
      </c>
      <c r="G820">
        <f t="shared" si="31"/>
        <v>-2.917649009459081E-2</v>
      </c>
    </row>
    <row r="821" spans="1:7" x14ac:dyDescent="0.35">
      <c r="A821" t="s">
        <v>54</v>
      </c>
      <c r="E821">
        <v>-1.6247379763359694E-2</v>
      </c>
      <c r="F821">
        <f t="shared" si="30"/>
        <v>-1.8638567187726371E-2</v>
      </c>
      <c r="G821">
        <f t="shared" si="31"/>
        <v>-2.924724551470953E-2</v>
      </c>
    </row>
    <row r="822" spans="1:7" x14ac:dyDescent="0.35">
      <c r="A822" t="s">
        <v>54</v>
      </c>
      <c r="E822">
        <v>-4.1585320063459354E-3</v>
      </c>
      <c r="F822">
        <f t="shared" si="30"/>
        <v>-1.8643201878551303E-2</v>
      </c>
      <c r="G822">
        <f t="shared" si="31"/>
        <v>-2.924724551470953E-2</v>
      </c>
    </row>
    <row r="823" spans="1:7" x14ac:dyDescent="0.35">
      <c r="A823" t="s">
        <v>54</v>
      </c>
      <c r="E823">
        <v>-3.9038165978832729E-3</v>
      </c>
      <c r="F823">
        <f t="shared" si="30"/>
        <v>-1.8647836569376235E-2</v>
      </c>
      <c r="G823">
        <f t="shared" si="31"/>
        <v>-2.924724551470953E-2</v>
      </c>
    </row>
    <row r="824" spans="1:7" x14ac:dyDescent="0.35">
      <c r="A824" t="s">
        <v>54</v>
      </c>
      <c r="E824">
        <v>-2.3648489288975182E-2</v>
      </c>
      <c r="F824">
        <f t="shared" si="30"/>
        <v>-1.8652471260201163E-2</v>
      </c>
      <c r="G824">
        <f t="shared" si="31"/>
        <v>-2.924724551470953E-2</v>
      </c>
    </row>
    <row r="825" spans="1:7" x14ac:dyDescent="0.35">
      <c r="A825" t="s">
        <v>54</v>
      </c>
      <c r="E825">
        <v>-3.9127337796227906E-3</v>
      </c>
      <c r="F825">
        <f t="shared" si="30"/>
        <v>-1.8623196304042512E-2</v>
      </c>
      <c r="G825">
        <f t="shared" si="31"/>
        <v>-2.9213590771138564E-2</v>
      </c>
    </row>
    <row r="826" spans="1:7" x14ac:dyDescent="0.35">
      <c r="A826" t="s">
        <v>54</v>
      </c>
      <c r="E826">
        <v>-1.8441529056156664E-3</v>
      </c>
      <c r="F826">
        <f t="shared" si="30"/>
        <v>-1.8623912050233109E-2</v>
      </c>
      <c r="G826">
        <f t="shared" si="31"/>
        <v>-2.9213590771138564E-2</v>
      </c>
    </row>
    <row r="827" spans="1:7" x14ac:dyDescent="0.35">
      <c r="A827" t="s">
        <v>54</v>
      </c>
      <c r="E827">
        <v>2.4300339911929865E-3</v>
      </c>
      <c r="F827">
        <f t="shared" si="30"/>
        <v>-1.8624627796423703E-2</v>
      </c>
      <c r="G827">
        <f t="shared" si="31"/>
        <v>-2.9213590771138564E-2</v>
      </c>
    </row>
    <row r="828" spans="1:7" x14ac:dyDescent="0.35">
      <c r="A828" t="s">
        <v>54</v>
      </c>
      <c r="E828">
        <v>2.3798188720399502E-2</v>
      </c>
      <c r="F828">
        <f t="shared" si="30"/>
        <v>-1.86253435426143E-2</v>
      </c>
      <c r="G828">
        <f t="shared" si="31"/>
        <v>-2.9213590771138564E-2</v>
      </c>
    </row>
    <row r="829" spans="1:7" x14ac:dyDescent="0.35">
      <c r="A829" t="s">
        <v>54</v>
      </c>
      <c r="E829">
        <v>1.3079051399384561E-2</v>
      </c>
      <c r="F829">
        <f t="shared" si="30"/>
        <v>-1.8626059288804894E-2</v>
      </c>
      <c r="G829">
        <f t="shared" si="31"/>
        <v>-2.9213590771138564E-2</v>
      </c>
    </row>
    <row r="830" spans="1:7" x14ac:dyDescent="0.35">
      <c r="A830" t="s">
        <v>54</v>
      </c>
      <c r="E830">
        <v>9.4703787424164822E-3</v>
      </c>
      <c r="F830">
        <f t="shared" si="30"/>
        <v>-1.8626775034995491E-2</v>
      </c>
      <c r="G830">
        <f t="shared" si="31"/>
        <v>-2.9213590771138564E-2</v>
      </c>
    </row>
    <row r="831" spans="1:7" x14ac:dyDescent="0.35">
      <c r="A831" t="s">
        <v>54</v>
      </c>
      <c r="E831">
        <v>-2.3134518952644444E-3</v>
      </c>
      <c r="F831">
        <f t="shared" si="30"/>
        <v>-1.8627490781186085E-2</v>
      </c>
      <c r="G831">
        <f t="shared" si="31"/>
        <v>-2.9213590771138564E-2</v>
      </c>
    </row>
    <row r="832" spans="1:7" x14ac:dyDescent="0.35">
      <c r="A832" t="s">
        <v>54</v>
      </c>
      <c r="E832">
        <v>7.4884371491987858E-3</v>
      </c>
      <c r="F832">
        <f t="shared" si="30"/>
        <v>-1.8628206527376678E-2</v>
      </c>
      <c r="G832">
        <f t="shared" si="31"/>
        <v>-2.9213590771138564E-2</v>
      </c>
    </row>
    <row r="833" spans="1:7" x14ac:dyDescent="0.35">
      <c r="A833" t="s">
        <v>54</v>
      </c>
      <c r="E833">
        <v>5.0940079913372547E-3</v>
      </c>
      <c r="F833">
        <f t="shared" si="30"/>
        <v>-1.8628922273567276E-2</v>
      </c>
      <c r="G833">
        <f t="shared" si="31"/>
        <v>-2.9213590771138564E-2</v>
      </c>
    </row>
    <row r="834" spans="1:7" x14ac:dyDescent="0.35">
      <c r="A834" t="s">
        <v>55</v>
      </c>
      <c r="B834" s="3" cm="1">
        <f t="array" ref="B834">_xlfn.STDEV.S(_xlfn._xlws.FILTER($E$2:$E$1000, $A$2:$A$1000="2013-05"))</f>
        <v>9.9948033455375986E-3</v>
      </c>
      <c r="C834" s="3" cm="1">
        <f t="array" ref="C834">AVERAGE(_xlfn._xlws.FILTER($E$2:$E$1000, $A$2:$A$1000="2013-05"))</f>
        <v>2.6762954343417444E-3</v>
      </c>
      <c r="D834" s="3" cm="1">
        <f t="array" ref="D834">_xlfn.PERCENTILE.EXC(_xlfn._xlws.FILTER($E$751:$E$999, $A$751:$A$999="2013-05"), 0.05)</f>
        <v>-2.0993303259482395E-2</v>
      </c>
      <c r="E834">
        <v>6.0471025358330467E-3</v>
      </c>
      <c r="F834">
        <f t="shared" si="30"/>
        <v>-1.8629638019757869E-2</v>
      </c>
      <c r="G834">
        <f t="shared" si="31"/>
        <v>-2.9213590771138564E-2</v>
      </c>
    </row>
    <row r="835" spans="1:7" x14ac:dyDescent="0.35">
      <c r="A835" t="s">
        <v>55</v>
      </c>
      <c r="E835">
        <v>1.9968333212441128E-2</v>
      </c>
      <c r="F835">
        <f t="shared" si="30"/>
        <v>-1.8630353765948467E-2</v>
      </c>
      <c r="G835">
        <f t="shared" si="31"/>
        <v>-2.9213590771138564E-2</v>
      </c>
    </row>
    <row r="836" spans="1:7" x14ac:dyDescent="0.35">
      <c r="A836" t="s">
        <v>55</v>
      </c>
      <c r="E836">
        <v>7.297596736400431E-3</v>
      </c>
      <c r="F836">
        <f t="shared" ref="F836:F899" si="32">_xlfn.PERCENTILE.EXC(E836:E4651,0.05)</f>
        <v>-1.863106951213906E-2</v>
      </c>
      <c r="G836">
        <f t="shared" ref="G836:G899" si="33">AVERAGEIFS(E836:E4652,E836:E4652,"&lt;=" &amp; F836)</f>
        <v>-2.9213590771138564E-2</v>
      </c>
    </row>
    <row r="837" spans="1:7" x14ac:dyDescent="0.35">
      <c r="A837" t="s">
        <v>55</v>
      </c>
      <c r="E837">
        <v>8.2683173592701126E-3</v>
      </c>
      <c r="F837">
        <f t="shared" si="32"/>
        <v>-1.8631785258329658E-2</v>
      </c>
      <c r="G837">
        <f t="shared" si="33"/>
        <v>-2.9213590771138564E-2</v>
      </c>
    </row>
    <row r="838" spans="1:7" x14ac:dyDescent="0.35">
      <c r="A838" t="s">
        <v>55</v>
      </c>
      <c r="E838">
        <v>1.5552083831021377E-3</v>
      </c>
      <c r="F838">
        <f t="shared" si="32"/>
        <v>-1.8632501004520251E-2</v>
      </c>
      <c r="G838">
        <f t="shared" si="33"/>
        <v>-2.9213590771138564E-2</v>
      </c>
    </row>
    <row r="839" spans="1:7" x14ac:dyDescent="0.35">
      <c r="A839" t="s">
        <v>55</v>
      </c>
      <c r="E839">
        <v>1.9394074444211986E-3</v>
      </c>
      <c r="F839">
        <f t="shared" si="32"/>
        <v>-1.8633216750710849E-2</v>
      </c>
      <c r="G839">
        <f t="shared" si="33"/>
        <v>-2.9213590771138564E-2</v>
      </c>
    </row>
    <row r="840" spans="1:7" x14ac:dyDescent="0.35">
      <c r="A840" t="s">
        <v>55</v>
      </c>
      <c r="E840">
        <v>8.4551887127689679E-5</v>
      </c>
      <c r="F840">
        <f t="shared" si="32"/>
        <v>-1.8633932496901442E-2</v>
      </c>
      <c r="G840">
        <f t="shared" si="33"/>
        <v>-2.9213590771138564E-2</v>
      </c>
    </row>
    <row r="841" spans="1:7" x14ac:dyDescent="0.35">
      <c r="A841" t="s">
        <v>55</v>
      </c>
      <c r="E841">
        <v>7.1992801196870031E-3</v>
      </c>
      <c r="F841">
        <f t="shared" si="32"/>
        <v>-1.8638567187726371E-2</v>
      </c>
      <c r="G841">
        <f t="shared" si="33"/>
        <v>-2.9285074948667195E-2</v>
      </c>
    </row>
    <row r="842" spans="1:7" x14ac:dyDescent="0.35">
      <c r="A842" t="s">
        <v>55</v>
      </c>
      <c r="E842">
        <v>2.7913628434506742E-3</v>
      </c>
      <c r="F842">
        <f t="shared" si="32"/>
        <v>-1.8643201878551303E-2</v>
      </c>
      <c r="G842">
        <f t="shared" si="33"/>
        <v>-2.9285074948667195E-2</v>
      </c>
    </row>
    <row r="843" spans="1:7" x14ac:dyDescent="0.35">
      <c r="A843" t="s">
        <v>55</v>
      </c>
      <c r="E843">
        <v>8.9049382867590189E-4</v>
      </c>
      <c r="F843">
        <f t="shared" si="32"/>
        <v>-1.8647836569376235E-2</v>
      </c>
      <c r="G843">
        <f t="shared" si="33"/>
        <v>-2.9285074948667195E-2</v>
      </c>
    </row>
    <row r="844" spans="1:7" x14ac:dyDescent="0.35">
      <c r="A844" t="s">
        <v>55</v>
      </c>
      <c r="E844">
        <v>3.3552295419279929E-3</v>
      </c>
      <c r="F844">
        <f t="shared" si="32"/>
        <v>-1.8652471260201163E-2</v>
      </c>
      <c r="G844">
        <f t="shared" si="33"/>
        <v>-2.9285074948667195E-2</v>
      </c>
    </row>
    <row r="845" spans="1:7" x14ac:dyDescent="0.35">
      <c r="A845" t="s">
        <v>55</v>
      </c>
      <c r="E845">
        <v>6.8625620357281626E-3</v>
      </c>
      <c r="F845">
        <f t="shared" si="32"/>
        <v>-1.8657105951026095E-2</v>
      </c>
      <c r="G845">
        <f t="shared" si="33"/>
        <v>-2.9285074948667195E-2</v>
      </c>
    </row>
    <row r="846" spans="1:7" x14ac:dyDescent="0.35">
      <c r="A846" t="s">
        <v>55</v>
      </c>
      <c r="E846">
        <v>1.9340708993123867E-3</v>
      </c>
      <c r="F846">
        <f t="shared" si="32"/>
        <v>-1.8661740641851023E-2</v>
      </c>
      <c r="G846">
        <f t="shared" si="33"/>
        <v>-2.9285074948667195E-2</v>
      </c>
    </row>
    <row r="847" spans="1:7" x14ac:dyDescent="0.35">
      <c r="A847" t="s">
        <v>55</v>
      </c>
      <c r="E847">
        <v>6.9034784956409972E-3</v>
      </c>
      <c r="F847">
        <f t="shared" si="32"/>
        <v>-1.8666375332675955E-2</v>
      </c>
      <c r="G847">
        <f t="shared" si="33"/>
        <v>-2.9285074948667195E-2</v>
      </c>
    </row>
    <row r="848" spans="1:7" x14ac:dyDescent="0.35">
      <c r="A848" t="s">
        <v>55</v>
      </c>
      <c r="E848">
        <v>-2.1195057191282649E-2</v>
      </c>
      <c r="F848">
        <f t="shared" si="32"/>
        <v>-1.8671010023500887E-2</v>
      </c>
      <c r="G848">
        <f t="shared" si="33"/>
        <v>-2.9285074948667195E-2</v>
      </c>
    </row>
    <row r="849" spans="1:7" x14ac:dyDescent="0.35">
      <c r="A849" t="s">
        <v>55</v>
      </c>
      <c r="E849">
        <v>-5.6023631730239744E-3</v>
      </c>
      <c r="F849">
        <f t="shared" si="32"/>
        <v>-1.8626059288804894E-2</v>
      </c>
      <c r="G849">
        <f t="shared" si="33"/>
        <v>-2.9267770052083537E-2</v>
      </c>
    </row>
    <row r="850" spans="1:7" x14ac:dyDescent="0.35">
      <c r="A850" t="s">
        <v>55</v>
      </c>
      <c r="E850">
        <v>2.0916765552618666E-2</v>
      </c>
      <c r="F850">
        <f t="shared" si="32"/>
        <v>-1.8626775034995491E-2</v>
      </c>
      <c r="G850">
        <f t="shared" si="33"/>
        <v>-2.9267770052083537E-2</v>
      </c>
    </row>
    <row r="851" spans="1:7" x14ac:dyDescent="0.35">
      <c r="A851" t="s">
        <v>55</v>
      </c>
      <c r="E851">
        <v>-1.7159978555277549E-2</v>
      </c>
      <c r="F851">
        <f t="shared" si="32"/>
        <v>-1.8627490781186085E-2</v>
      </c>
      <c r="G851">
        <f t="shared" si="33"/>
        <v>-2.9267770052083537E-2</v>
      </c>
    </row>
    <row r="852" spans="1:7" x14ac:dyDescent="0.35">
      <c r="A852" t="s">
        <v>55</v>
      </c>
      <c r="E852">
        <v>7.6024547639178758E-3</v>
      </c>
      <c r="F852">
        <f t="shared" si="32"/>
        <v>-1.8628206527376678E-2</v>
      </c>
      <c r="G852">
        <f t="shared" si="33"/>
        <v>-2.9267770052083537E-2</v>
      </c>
    </row>
    <row r="853" spans="1:7" x14ac:dyDescent="0.35">
      <c r="A853" t="s">
        <v>55</v>
      </c>
      <c r="E853">
        <v>-6.1329080331363386E-3</v>
      </c>
      <c r="F853">
        <f t="shared" si="32"/>
        <v>-1.8628922273567276E-2</v>
      </c>
      <c r="G853">
        <f t="shared" si="33"/>
        <v>-2.9267770052083537E-2</v>
      </c>
    </row>
    <row r="854" spans="1:7" x14ac:dyDescent="0.35">
      <c r="A854" t="s">
        <v>56</v>
      </c>
      <c r="B854" s="3" cm="1">
        <f t="array" ref="B854">_xlfn.STDEV.S(_xlfn._xlws.FILTER($E$2:$E$1000, $A$2:$A$1000="2013-06"))</f>
        <v>1.2904876151863118E-2</v>
      </c>
      <c r="C854" s="3" cm="1">
        <f t="array" ref="C854">AVERAGE(_xlfn._xlws.FILTER($E$2:$E$1000, $A$2:$A$1000="2013-06"))</f>
        <v>-2.3895800975642545E-3</v>
      </c>
      <c r="D854" s="3" cm="1">
        <f t="array" ref="D854">_xlfn.PERCENTILE.EXC(_xlfn._xlws.FILTER($E$751:$E$999, $A$751:$A$999="2013-06"), 0.05)</f>
        <v>-3.2536722830334576E-2</v>
      </c>
      <c r="E854">
        <v>-7.5794007913142685E-3</v>
      </c>
      <c r="F854">
        <f t="shared" si="32"/>
        <v>-1.8629638019757869E-2</v>
      </c>
      <c r="G854">
        <f t="shared" si="33"/>
        <v>-2.9267770052083537E-2</v>
      </c>
    </row>
    <row r="855" spans="1:7" x14ac:dyDescent="0.35">
      <c r="A855" t="s">
        <v>56</v>
      </c>
      <c r="E855">
        <v>1.2254430496458377E-3</v>
      </c>
      <c r="F855">
        <f t="shared" si="32"/>
        <v>-1.8630353765948467E-2</v>
      </c>
      <c r="G855">
        <f t="shared" si="33"/>
        <v>-2.9267770052083537E-2</v>
      </c>
    </row>
    <row r="856" spans="1:7" x14ac:dyDescent="0.35">
      <c r="A856" t="s">
        <v>56</v>
      </c>
      <c r="E856">
        <v>-1.2100457246686984E-2</v>
      </c>
      <c r="F856">
        <f t="shared" si="32"/>
        <v>-1.863106951213906E-2</v>
      </c>
      <c r="G856">
        <f t="shared" si="33"/>
        <v>-2.9267770052083537E-2</v>
      </c>
    </row>
    <row r="857" spans="1:7" x14ac:dyDescent="0.35">
      <c r="A857" t="s">
        <v>56</v>
      </c>
      <c r="E857">
        <v>-1.1951054762854586E-2</v>
      </c>
      <c r="F857">
        <f t="shared" si="32"/>
        <v>-1.8631785258329658E-2</v>
      </c>
      <c r="G857">
        <f t="shared" si="33"/>
        <v>-2.9267770052083537E-2</v>
      </c>
    </row>
    <row r="858" spans="1:7" x14ac:dyDescent="0.35">
      <c r="A858" t="s">
        <v>56</v>
      </c>
      <c r="E858">
        <v>1.9063174930222949E-2</v>
      </c>
      <c r="F858">
        <f t="shared" si="32"/>
        <v>-1.8632501004520251E-2</v>
      </c>
      <c r="G858">
        <f t="shared" si="33"/>
        <v>-2.9267770052083537E-2</v>
      </c>
    </row>
    <row r="859" spans="1:7" x14ac:dyDescent="0.35">
      <c r="A859" t="s">
        <v>56</v>
      </c>
      <c r="E859">
        <v>6.4012796493546614E-3</v>
      </c>
      <c r="F859">
        <f t="shared" si="32"/>
        <v>-1.8633216750710849E-2</v>
      </c>
      <c r="G859">
        <f t="shared" si="33"/>
        <v>-2.9267770052083537E-2</v>
      </c>
    </row>
    <row r="860" spans="1:7" x14ac:dyDescent="0.35">
      <c r="A860" t="s">
        <v>56</v>
      </c>
      <c r="E860">
        <v>-1.0312157516141337E-2</v>
      </c>
      <c r="F860">
        <f t="shared" si="32"/>
        <v>-1.8633932496901442E-2</v>
      </c>
      <c r="G860">
        <f t="shared" si="33"/>
        <v>-2.9267770052083537E-2</v>
      </c>
    </row>
    <row r="861" spans="1:7" x14ac:dyDescent="0.35">
      <c r="A861" t="s">
        <v>56</v>
      </c>
      <c r="E861">
        <v>-9.6776151203929843E-3</v>
      </c>
      <c r="F861">
        <f t="shared" si="32"/>
        <v>-1.8638567187726371E-2</v>
      </c>
      <c r="G861">
        <f t="shared" si="33"/>
        <v>-2.9340109083071178E-2</v>
      </c>
    </row>
    <row r="862" spans="1:7" x14ac:dyDescent="0.35">
      <c r="A862" t="s">
        <v>56</v>
      </c>
      <c r="E862">
        <v>-5.8970553916660434E-3</v>
      </c>
      <c r="F862">
        <f t="shared" si="32"/>
        <v>-1.8643201878551303E-2</v>
      </c>
      <c r="G862">
        <f t="shared" si="33"/>
        <v>-2.9340109083071178E-2</v>
      </c>
    </row>
    <row r="863" spans="1:7" x14ac:dyDescent="0.35">
      <c r="A863" t="s">
        <v>56</v>
      </c>
      <c r="E863">
        <v>4.0152057075077833E-3</v>
      </c>
      <c r="F863">
        <f t="shared" si="32"/>
        <v>-1.8647836569376235E-2</v>
      </c>
      <c r="G863">
        <f t="shared" si="33"/>
        <v>-2.9340109083071178E-2</v>
      </c>
    </row>
    <row r="864" spans="1:7" x14ac:dyDescent="0.35">
      <c r="A864" t="s">
        <v>56</v>
      </c>
      <c r="E864">
        <v>1.0740639815179014E-2</v>
      </c>
      <c r="F864">
        <f t="shared" si="32"/>
        <v>-1.8652471260201163E-2</v>
      </c>
      <c r="G864">
        <f t="shared" si="33"/>
        <v>-2.9340109083071178E-2</v>
      </c>
    </row>
    <row r="865" spans="1:7" x14ac:dyDescent="0.35">
      <c r="A865" t="s">
        <v>56</v>
      </c>
      <c r="E865">
        <v>1.6758652625467507E-3</v>
      </c>
      <c r="F865">
        <f t="shared" si="32"/>
        <v>-1.8657105951026095E-2</v>
      </c>
      <c r="G865">
        <f t="shared" si="33"/>
        <v>-2.9340109083071178E-2</v>
      </c>
    </row>
    <row r="866" spans="1:7" x14ac:dyDescent="0.35">
      <c r="A866" t="s">
        <v>56</v>
      </c>
      <c r="E866">
        <v>-3.9484813504603701E-3</v>
      </c>
      <c r="F866">
        <f t="shared" si="32"/>
        <v>-1.8661740641851023E-2</v>
      </c>
      <c r="G866">
        <f t="shared" si="33"/>
        <v>-2.9340109083071178E-2</v>
      </c>
    </row>
    <row r="867" spans="1:7" x14ac:dyDescent="0.35">
      <c r="A867" t="s">
        <v>56</v>
      </c>
      <c r="E867">
        <v>-3.3316653192384305E-2</v>
      </c>
      <c r="F867">
        <f t="shared" si="32"/>
        <v>-1.8666375332675955E-2</v>
      </c>
      <c r="G867">
        <f t="shared" si="33"/>
        <v>-2.9340109083071178E-2</v>
      </c>
    </row>
    <row r="868" spans="1:7" x14ac:dyDescent="0.35">
      <c r="A868" t="s">
        <v>56</v>
      </c>
      <c r="E868">
        <v>-1.7718045951389733E-2</v>
      </c>
      <c r="F868">
        <f t="shared" si="32"/>
        <v>-1.86253435426143E-2</v>
      </c>
      <c r="G868">
        <f t="shared" si="33"/>
        <v>-2.9240226629360405E-2</v>
      </c>
    </row>
    <row r="869" spans="1:7" x14ac:dyDescent="0.35">
      <c r="A869" t="s">
        <v>56</v>
      </c>
      <c r="E869">
        <v>-1.2503965792233869E-2</v>
      </c>
      <c r="F869">
        <f t="shared" si="32"/>
        <v>-1.8626059288804894E-2</v>
      </c>
      <c r="G869">
        <f t="shared" si="33"/>
        <v>-2.9240226629360405E-2</v>
      </c>
    </row>
    <row r="870" spans="1:7" x14ac:dyDescent="0.35">
      <c r="A870" t="s">
        <v>56</v>
      </c>
      <c r="E870">
        <v>1.5332074909400186E-2</v>
      </c>
      <c r="F870">
        <f t="shared" si="32"/>
        <v>-1.8626775034995491E-2</v>
      </c>
      <c r="G870">
        <f t="shared" si="33"/>
        <v>-2.9240226629360405E-2</v>
      </c>
    </row>
    <row r="871" spans="1:7" x14ac:dyDescent="0.35">
      <c r="A871" t="s">
        <v>56</v>
      </c>
      <c r="E871">
        <v>1.6466549360205654E-2</v>
      </c>
      <c r="F871">
        <f t="shared" si="32"/>
        <v>-1.8627490781186085E-2</v>
      </c>
      <c r="G871">
        <f t="shared" si="33"/>
        <v>-2.9240226629360405E-2</v>
      </c>
    </row>
    <row r="872" spans="1:7" x14ac:dyDescent="0.35">
      <c r="A872" t="s">
        <v>56</v>
      </c>
      <c r="E872">
        <v>6.2466700820508906E-3</v>
      </c>
      <c r="F872">
        <f t="shared" si="32"/>
        <v>-1.8628206527376678E-2</v>
      </c>
      <c r="G872">
        <f t="shared" si="33"/>
        <v>-2.9240226629360405E-2</v>
      </c>
    </row>
    <row r="873" spans="1:7" x14ac:dyDescent="0.35">
      <c r="A873" t="s">
        <v>56</v>
      </c>
      <c r="E873">
        <v>-3.9536176018743268E-3</v>
      </c>
      <c r="F873">
        <f t="shared" si="32"/>
        <v>-1.8628922273567276E-2</v>
      </c>
      <c r="G873">
        <f t="shared" si="33"/>
        <v>-2.9240226629360405E-2</v>
      </c>
    </row>
    <row r="874" spans="1:7" x14ac:dyDescent="0.35">
      <c r="A874" t="s">
        <v>57</v>
      </c>
      <c r="B874" s="3" cm="1">
        <f t="array" ref="B874">_xlfn.STDEV.S(_xlfn._xlws.FILTER($E$2:$E$1000, $A$2:$A$1000="2013-07"))</f>
        <v>1.0071896541788519E-2</v>
      </c>
      <c r="C874" s="3" cm="1">
        <f t="array" ref="C874">AVERAGE(_xlfn._xlws.FILTER($E$2:$E$1000, $A$2:$A$1000="2013-07"))</f>
        <v>1.6967447753011937E-3</v>
      </c>
      <c r="D874" s="3" cm="1">
        <f t="array" ref="D874">_xlfn.PERCENTILE.EXC(_xlfn._xlws.FILTER($E$751:$E$999, $A$751:$A$999="2013-07"), 0.05)</f>
        <v>-2.1139788172367287E-2</v>
      </c>
      <c r="E874">
        <v>3.0985138136675472E-3</v>
      </c>
      <c r="F874">
        <f t="shared" si="32"/>
        <v>-1.8629638019757869E-2</v>
      </c>
      <c r="G874">
        <f t="shared" si="33"/>
        <v>-2.9240226629360405E-2</v>
      </c>
    </row>
    <row r="875" spans="1:7" x14ac:dyDescent="0.35">
      <c r="A875" t="s">
        <v>57</v>
      </c>
      <c r="E875">
        <v>-9.2043967443058601E-3</v>
      </c>
      <c r="F875">
        <f t="shared" si="32"/>
        <v>-1.8630353765948467E-2</v>
      </c>
      <c r="G875">
        <f t="shared" si="33"/>
        <v>-2.9240226629360405E-2</v>
      </c>
    </row>
    <row r="876" spans="1:7" x14ac:dyDescent="0.35">
      <c r="A876" t="s">
        <v>57</v>
      </c>
      <c r="E876">
        <v>-1.0349461409305911E-2</v>
      </c>
      <c r="F876">
        <f t="shared" si="32"/>
        <v>-1.863106951213906E-2</v>
      </c>
      <c r="G876">
        <f t="shared" si="33"/>
        <v>-2.9240226629360405E-2</v>
      </c>
    </row>
    <row r="877" spans="1:7" x14ac:dyDescent="0.35">
      <c r="A877" t="s">
        <v>57</v>
      </c>
      <c r="E877">
        <v>2.0854377856285737E-2</v>
      </c>
      <c r="F877">
        <f t="shared" si="32"/>
        <v>-1.8631785258329658E-2</v>
      </c>
      <c r="G877">
        <f t="shared" si="33"/>
        <v>-2.9240226629360405E-2</v>
      </c>
    </row>
    <row r="878" spans="1:7" x14ac:dyDescent="0.35">
      <c r="A878" t="s">
        <v>57</v>
      </c>
      <c r="E878">
        <v>-2.3837369863132635E-2</v>
      </c>
      <c r="F878">
        <f t="shared" si="32"/>
        <v>-1.8632501004520251E-2</v>
      </c>
      <c r="G878">
        <f t="shared" si="33"/>
        <v>-2.9240226629360405E-2</v>
      </c>
    </row>
    <row r="879" spans="1:7" x14ac:dyDescent="0.35">
      <c r="A879" t="s">
        <v>57</v>
      </c>
      <c r="E879">
        <v>2.0608620311854942E-2</v>
      </c>
      <c r="F879">
        <f t="shared" si="32"/>
        <v>-1.8610642466816724E-2</v>
      </c>
      <c r="G879">
        <f t="shared" si="33"/>
        <v>-2.9204731715822701E-2</v>
      </c>
    </row>
    <row r="880" spans="1:7" x14ac:dyDescent="0.35">
      <c r="A880" t="s">
        <v>57</v>
      </c>
      <c r="E880">
        <v>1.1133072149334748E-2</v>
      </c>
      <c r="F880">
        <f t="shared" si="32"/>
        <v>-1.8619617573089536E-2</v>
      </c>
      <c r="G880">
        <f t="shared" si="33"/>
        <v>-2.9204731715822701E-2</v>
      </c>
    </row>
    <row r="881" spans="1:7" x14ac:dyDescent="0.35">
      <c r="A881" t="s">
        <v>57</v>
      </c>
      <c r="E881">
        <v>1.082842511304808E-3</v>
      </c>
      <c r="F881">
        <f t="shared" si="32"/>
        <v>-1.8620333319280129E-2</v>
      </c>
      <c r="G881">
        <f t="shared" si="33"/>
        <v>-2.9277232497622242E-2</v>
      </c>
    </row>
    <row r="882" spans="1:7" x14ac:dyDescent="0.35">
      <c r="A882" t="s">
        <v>57</v>
      </c>
      <c r="E882">
        <v>1.1379895607359356E-2</v>
      </c>
      <c r="F882">
        <f t="shared" si="32"/>
        <v>-1.8621049065470727E-2</v>
      </c>
      <c r="G882">
        <f t="shared" si="33"/>
        <v>-2.9277232497622242E-2</v>
      </c>
    </row>
    <row r="883" spans="1:7" x14ac:dyDescent="0.35">
      <c r="A883" t="s">
        <v>57</v>
      </c>
      <c r="E883">
        <v>6.593160644353285E-3</v>
      </c>
      <c r="F883">
        <f t="shared" si="32"/>
        <v>-1.862176481166132E-2</v>
      </c>
      <c r="G883">
        <f t="shared" si="33"/>
        <v>-2.9277232497622242E-2</v>
      </c>
    </row>
    <row r="884" spans="1:7" x14ac:dyDescent="0.35">
      <c r="A884" t="s">
        <v>57</v>
      </c>
      <c r="E884">
        <v>2.6800311282242036E-3</v>
      </c>
      <c r="F884">
        <f t="shared" si="32"/>
        <v>-1.8622480557851918E-2</v>
      </c>
      <c r="G884">
        <f t="shared" si="33"/>
        <v>-2.9277232497622242E-2</v>
      </c>
    </row>
    <row r="885" spans="1:7" x14ac:dyDescent="0.35">
      <c r="A885" t="s">
        <v>57</v>
      </c>
      <c r="E885">
        <v>-4.1080962577047502E-3</v>
      </c>
      <c r="F885">
        <f t="shared" si="32"/>
        <v>-1.8623196304042512E-2</v>
      </c>
      <c r="G885">
        <f t="shared" si="33"/>
        <v>-2.9277232497622242E-2</v>
      </c>
    </row>
    <row r="886" spans="1:7" x14ac:dyDescent="0.35">
      <c r="A886" t="s">
        <v>57</v>
      </c>
      <c r="E886">
        <v>6.522963106616108E-3</v>
      </c>
      <c r="F886">
        <f t="shared" si="32"/>
        <v>-1.8623912050233109E-2</v>
      </c>
      <c r="G886">
        <f t="shared" si="33"/>
        <v>-2.9277232497622242E-2</v>
      </c>
    </row>
    <row r="887" spans="1:7" x14ac:dyDescent="0.35">
      <c r="A887" t="s">
        <v>57</v>
      </c>
      <c r="E887">
        <v>9.929076660531928E-3</v>
      </c>
      <c r="F887">
        <f t="shared" si="32"/>
        <v>-1.8624627796423703E-2</v>
      </c>
      <c r="G887">
        <f t="shared" si="33"/>
        <v>-2.9277232497622242E-2</v>
      </c>
    </row>
    <row r="888" spans="1:7" x14ac:dyDescent="0.35">
      <c r="A888" t="s">
        <v>57</v>
      </c>
      <c r="E888">
        <v>-6.6232081064562407E-4</v>
      </c>
      <c r="F888">
        <f t="shared" si="32"/>
        <v>-1.86253435426143E-2</v>
      </c>
      <c r="G888">
        <f t="shared" si="33"/>
        <v>-2.9277232497622242E-2</v>
      </c>
    </row>
    <row r="889" spans="1:7" x14ac:dyDescent="0.35">
      <c r="A889" t="s">
        <v>57</v>
      </c>
      <c r="E889">
        <v>-6.1214826250062022E-5</v>
      </c>
      <c r="F889">
        <f t="shared" si="32"/>
        <v>-1.8626059288804894E-2</v>
      </c>
      <c r="G889">
        <f t="shared" si="33"/>
        <v>-2.9277232497622242E-2</v>
      </c>
    </row>
    <row r="890" spans="1:7" x14ac:dyDescent="0.35">
      <c r="A890" t="s">
        <v>57</v>
      </c>
      <c r="E890">
        <v>-2.0221943547034304E-3</v>
      </c>
      <c r="F890">
        <f t="shared" si="32"/>
        <v>-1.8626775034995491E-2</v>
      </c>
      <c r="G890">
        <f t="shared" si="33"/>
        <v>-2.9277232497622242E-2</v>
      </c>
    </row>
    <row r="891" spans="1:7" x14ac:dyDescent="0.35">
      <c r="A891" t="s">
        <v>57</v>
      </c>
      <c r="E891">
        <v>7.7731989745191896E-3</v>
      </c>
      <c r="F891">
        <f t="shared" si="32"/>
        <v>-1.8627490781186085E-2</v>
      </c>
      <c r="G891">
        <f t="shared" si="33"/>
        <v>-2.9277232497622242E-2</v>
      </c>
    </row>
    <row r="892" spans="1:7" x14ac:dyDescent="0.35">
      <c r="A892" t="s">
        <v>57</v>
      </c>
      <c r="E892">
        <v>-9.6090879187182704E-3</v>
      </c>
      <c r="F892">
        <f t="shared" si="32"/>
        <v>-1.8628206527376678E-2</v>
      </c>
      <c r="G892">
        <f t="shared" si="33"/>
        <v>-2.9277232497622242E-2</v>
      </c>
    </row>
    <row r="893" spans="1:7" x14ac:dyDescent="0.35">
      <c r="A893" t="s">
        <v>57</v>
      </c>
      <c r="E893">
        <v>-6.536575439003202E-3</v>
      </c>
      <c r="F893">
        <f t="shared" si="32"/>
        <v>-1.8628922273567276E-2</v>
      </c>
      <c r="G893">
        <f t="shared" si="33"/>
        <v>-2.9277232497622242E-2</v>
      </c>
    </row>
    <row r="894" spans="1:7" x14ac:dyDescent="0.35">
      <c r="A894" t="s">
        <v>57</v>
      </c>
      <c r="E894">
        <v>1.7111069775032879E-3</v>
      </c>
      <c r="F894">
        <f t="shared" si="32"/>
        <v>-1.8629638019757869E-2</v>
      </c>
      <c r="G894">
        <f t="shared" si="33"/>
        <v>-2.9277232497622242E-2</v>
      </c>
    </row>
    <row r="895" spans="1:7" x14ac:dyDescent="0.35">
      <c r="A895" t="s">
        <v>57</v>
      </c>
      <c r="E895">
        <v>1.4506915711388927E-3</v>
      </c>
      <c r="F895">
        <f t="shared" si="32"/>
        <v>-1.8630353765948467E-2</v>
      </c>
      <c r="G895">
        <f t="shared" si="33"/>
        <v>-2.9277232497622242E-2</v>
      </c>
    </row>
    <row r="896" spans="1:7" x14ac:dyDescent="0.35">
      <c r="A896" t="s">
        <v>57</v>
      </c>
      <c r="E896">
        <v>5.9829614300317994E-4</v>
      </c>
      <c r="F896">
        <f t="shared" si="32"/>
        <v>-1.863106951213906E-2</v>
      </c>
      <c r="G896">
        <f t="shared" si="33"/>
        <v>-2.9277232497622242E-2</v>
      </c>
    </row>
    <row r="897" spans="1:7" x14ac:dyDescent="0.35">
      <c r="A897" t="s">
        <v>58</v>
      </c>
      <c r="B897" s="3" cm="1">
        <f t="array" ref="B897">_xlfn.STDEV.S(_xlfn._xlws.FILTER($E$2:$E$1000, $A$2:$A$1000="2013-08"))</f>
        <v>8.8821501918989725E-3</v>
      </c>
      <c r="C897" s="3" cm="1">
        <f t="array" ref="C897">AVERAGE(_xlfn._xlws.FILTER($E$2:$E$1000, $A$2:$A$1000="2013-08"))</f>
        <v>-1.0551629983772618E-3</v>
      </c>
      <c r="D897" s="3" cm="1">
        <f t="array" ref="D897">_xlfn.PERCENTILE.EXC(_xlfn._xlws.FILTER($E$751:$E$999, $A$751:$A$999="2013-08"), 0.05)</f>
        <v>-2.0485033828823402E-2</v>
      </c>
      <c r="E897">
        <v>1.6152136707561455E-2</v>
      </c>
      <c r="F897">
        <f t="shared" si="32"/>
        <v>-1.8631785258329658E-2</v>
      </c>
      <c r="G897">
        <f t="shared" si="33"/>
        <v>-2.9277232497622242E-2</v>
      </c>
    </row>
    <row r="898" spans="1:7" x14ac:dyDescent="0.35">
      <c r="A898" t="s">
        <v>58</v>
      </c>
      <c r="E898">
        <v>-4.5071642672962168E-4</v>
      </c>
      <c r="F898">
        <f t="shared" si="32"/>
        <v>-1.8632501004520251E-2</v>
      </c>
      <c r="G898">
        <f t="shared" si="33"/>
        <v>-2.9277232497622242E-2</v>
      </c>
    </row>
    <row r="899" spans="1:7" x14ac:dyDescent="0.35">
      <c r="A899" t="s">
        <v>58</v>
      </c>
      <c r="E899">
        <v>-1.0187251108933245E-3</v>
      </c>
      <c r="F899">
        <f t="shared" si="32"/>
        <v>-1.8633216750710849E-2</v>
      </c>
      <c r="G899">
        <f t="shared" si="33"/>
        <v>-2.9277232497622242E-2</v>
      </c>
    </row>
    <row r="900" spans="1:7" x14ac:dyDescent="0.35">
      <c r="A900" t="s">
        <v>58</v>
      </c>
      <c r="E900">
        <v>-1.1815845954126099E-2</v>
      </c>
      <c r="F900">
        <f t="shared" ref="F900:F963" si="34">_xlfn.PERCENTILE.EXC(E900:E4715,0.05)</f>
        <v>-1.8633932496901442E-2</v>
      </c>
      <c r="G900">
        <f t="shared" ref="G900:G963" si="35">AVERAGEIFS(E900:E4716,E900:E4716,"&lt;=" &amp; F900)</f>
        <v>-2.9277232497622242E-2</v>
      </c>
    </row>
    <row r="901" spans="1:7" x14ac:dyDescent="0.35">
      <c r="A901" t="s">
        <v>58</v>
      </c>
      <c r="E901">
        <v>-4.7402869283233243E-3</v>
      </c>
      <c r="F901">
        <f t="shared" si="34"/>
        <v>-1.8638567187726371E-2</v>
      </c>
      <c r="G901">
        <f t="shared" si="35"/>
        <v>-2.9350634566592732E-2</v>
      </c>
    </row>
    <row r="902" spans="1:7" x14ac:dyDescent="0.35">
      <c r="A902" t="s">
        <v>58</v>
      </c>
      <c r="E902">
        <v>6.9776141423538848E-3</v>
      </c>
      <c r="F902">
        <f t="shared" si="34"/>
        <v>-1.8643201878551303E-2</v>
      </c>
      <c r="G902">
        <f t="shared" si="35"/>
        <v>-2.9350634566592732E-2</v>
      </c>
    </row>
    <row r="903" spans="1:7" x14ac:dyDescent="0.35">
      <c r="A903" t="s">
        <v>58</v>
      </c>
      <c r="E903">
        <v>2.4002465801511363E-3</v>
      </c>
      <c r="F903">
        <f t="shared" si="34"/>
        <v>-1.8647836569376235E-2</v>
      </c>
      <c r="G903">
        <f t="shared" si="35"/>
        <v>-2.9350634566592732E-2</v>
      </c>
    </row>
    <row r="904" spans="1:7" x14ac:dyDescent="0.35">
      <c r="A904" t="s">
        <v>58</v>
      </c>
      <c r="E904">
        <v>2.5081522063694246E-3</v>
      </c>
      <c r="F904">
        <f t="shared" si="34"/>
        <v>-1.8652471260201163E-2</v>
      </c>
      <c r="G904">
        <f t="shared" si="35"/>
        <v>-2.9350634566592732E-2</v>
      </c>
    </row>
    <row r="905" spans="1:7" x14ac:dyDescent="0.35">
      <c r="A905" t="s">
        <v>58</v>
      </c>
      <c r="E905">
        <v>6.7374283249619664E-3</v>
      </c>
      <c r="F905">
        <f t="shared" si="34"/>
        <v>-1.8657105951026095E-2</v>
      </c>
      <c r="G905">
        <f t="shared" si="35"/>
        <v>-2.9350634566592732E-2</v>
      </c>
    </row>
    <row r="906" spans="1:7" x14ac:dyDescent="0.35">
      <c r="A906" t="s">
        <v>58</v>
      </c>
      <c r="E906">
        <v>2.6533965020306876E-3</v>
      </c>
      <c r="F906">
        <f t="shared" si="34"/>
        <v>-1.8661740641851023E-2</v>
      </c>
      <c r="G906">
        <f t="shared" si="35"/>
        <v>-2.9350634566592732E-2</v>
      </c>
    </row>
    <row r="907" spans="1:7" x14ac:dyDescent="0.35">
      <c r="A907" t="s">
        <v>58</v>
      </c>
      <c r="E907">
        <v>-5.4878135784097622E-3</v>
      </c>
      <c r="F907">
        <f t="shared" si="34"/>
        <v>-1.8666375332675955E-2</v>
      </c>
      <c r="G907">
        <f t="shared" si="35"/>
        <v>-2.9350634566592732E-2</v>
      </c>
    </row>
    <row r="908" spans="1:7" x14ac:dyDescent="0.35">
      <c r="A908" t="s">
        <v>58</v>
      </c>
      <c r="E908">
        <v>-3.061184866205372E-3</v>
      </c>
      <c r="F908">
        <f t="shared" si="34"/>
        <v>-1.8671010023500887E-2</v>
      </c>
      <c r="G908">
        <f t="shared" si="35"/>
        <v>-2.9350634566592732E-2</v>
      </c>
    </row>
    <row r="909" spans="1:7" x14ac:dyDescent="0.35">
      <c r="A909" t="s">
        <v>58</v>
      </c>
      <c r="E909">
        <v>-7.951407282031352E-3</v>
      </c>
      <c r="F909">
        <f t="shared" si="34"/>
        <v>-1.8675644714325815E-2</v>
      </c>
      <c r="G909">
        <f t="shared" si="35"/>
        <v>-2.9350634566592732E-2</v>
      </c>
    </row>
    <row r="910" spans="1:7" x14ac:dyDescent="0.35">
      <c r="A910" t="s">
        <v>58</v>
      </c>
      <c r="E910">
        <v>-1.7629925750241582E-3</v>
      </c>
      <c r="F910">
        <f t="shared" si="34"/>
        <v>-1.8680279405150747E-2</v>
      </c>
      <c r="G910">
        <f t="shared" si="35"/>
        <v>-2.9350634566592732E-2</v>
      </c>
    </row>
    <row r="911" spans="1:7" x14ac:dyDescent="0.35">
      <c r="A911" t="s">
        <v>58</v>
      </c>
      <c r="E911">
        <v>1.3484347140638233E-2</v>
      </c>
      <c r="F911">
        <f t="shared" si="34"/>
        <v>-1.8684914095975676E-2</v>
      </c>
      <c r="G911">
        <f t="shared" si="35"/>
        <v>-2.9350634566592732E-2</v>
      </c>
    </row>
    <row r="912" spans="1:7" x14ac:dyDescent="0.35">
      <c r="A912" t="s">
        <v>58</v>
      </c>
      <c r="E912">
        <v>2.271798337508007E-3</v>
      </c>
      <c r="F912">
        <f t="shared" si="34"/>
        <v>-1.8689548786800604E-2</v>
      </c>
      <c r="G912">
        <f t="shared" si="35"/>
        <v>-2.9350634566592732E-2</v>
      </c>
    </row>
    <row r="913" spans="1:7" x14ac:dyDescent="0.35">
      <c r="A913" t="s">
        <v>58</v>
      </c>
      <c r="E913">
        <v>-2.0941306874860104E-2</v>
      </c>
      <c r="F913">
        <f t="shared" si="34"/>
        <v>-1.8694183477625536E-2</v>
      </c>
      <c r="G913">
        <f t="shared" si="35"/>
        <v>-2.9350634566592732E-2</v>
      </c>
    </row>
    <row r="914" spans="1:7" x14ac:dyDescent="0.35">
      <c r="A914" t="s">
        <v>58</v>
      </c>
      <c r="E914">
        <v>-1.0324192368225304E-2</v>
      </c>
      <c r="F914">
        <f t="shared" si="34"/>
        <v>-1.8629638019757869E-2</v>
      </c>
      <c r="G914">
        <f t="shared" si="35"/>
        <v>-2.9334721639848186E-2</v>
      </c>
    </row>
    <row r="915" spans="1:7" x14ac:dyDescent="0.35">
      <c r="A915" t="s">
        <v>58</v>
      </c>
      <c r="E915">
        <v>4.4825162427896319E-3</v>
      </c>
      <c r="F915">
        <f t="shared" si="34"/>
        <v>-1.8630353765948467E-2</v>
      </c>
      <c r="G915">
        <f t="shared" si="35"/>
        <v>-2.9334721639848186E-2</v>
      </c>
    </row>
    <row r="916" spans="1:7" x14ac:dyDescent="0.35">
      <c r="A916" t="s">
        <v>58</v>
      </c>
      <c r="E916">
        <v>-1.1216424187081239E-2</v>
      </c>
      <c r="F916">
        <f t="shared" si="34"/>
        <v>-1.863106951213906E-2</v>
      </c>
      <c r="G916">
        <f t="shared" si="35"/>
        <v>-2.9334721639848186E-2</v>
      </c>
    </row>
    <row r="917" spans="1:7" x14ac:dyDescent="0.35">
      <c r="A917" t="s">
        <v>59</v>
      </c>
      <c r="B917" s="3" cm="1">
        <f t="array" ref="B917">_xlfn.STDEV.S(_xlfn._xlws.FILTER($E$2:$E$1000, $A$2:$A$1000="2013-09"))</f>
        <v>7.0936527254626897E-3</v>
      </c>
      <c r="C917" s="3" cm="1">
        <f t="array" ref="C917">AVERAGE(_xlfn._xlws.FILTER($E$2:$E$1000, $A$2:$A$1000="2013-09"))</f>
        <v>2.8027596857428108E-3</v>
      </c>
      <c r="D917" s="3" cm="1">
        <f t="array" ref="D917">_xlfn.PERCENTILE.EXC(_xlfn._xlws.FILTER($E$751:$E$999, $A$751:$A$999="2013-09"), 0.05)</f>
        <v>-7.7695145049578333E-3</v>
      </c>
      <c r="E917">
        <v>1.7217018890130012E-2</v>
      </c>
      <c r="F917">
        <f t="shared" si="34"/>
        <v>-1.8631785258329658E-2</v>
      </c>
      <c r="G917">
        <f t="shared" si="35"/>
        <v>-2.9334721639848186E-2</v>
      </c>
    </row>
    <row r="918" spans="1:7" x14ac:dyDescent="0.35">
      <c r="A918" t="s">
        <v>59</v>
      </c>
      <c r="E918">
        <v>-7.6909499457036836E-3</v>
      </c>
      <c r="F918">
        <f t="shared" si="34"/>
        <v>-1.8632501004520251E-2</v>
      </c>
      <c r="G918">
        <f t="shared" si="35"/>
        <v>-2.9334721639848186E-2</v>
      </c>
    </row>
    <row r="919" spans="1:7" x14ac:dyDescent="0.35">
      <c r="A919" t="s">
        <v>59</v>
      </c>
      <c r="E919">
        <v>1.8575255560373417E-3</v>
      </c>
      <c r="F919">
        <f t="shared" si="34"/>
        <v>-1.8633216750710849E-2</v>
      </c>
      <c r="G919">
        <f t="shared" si="35"/>
        <v>-2.9334721639848186E-2</v>
      </c>
    </row>
    <row r="920" spans="1:7" x14ac:dyDescent="0.35">
      <c r="A920" t="s">
        <v>59</v>
      </c>
      <c r="E920">
        <v>4.7544654984276839E-3</v>
      </c>
      <c r="F920">
        <f t="shared" si="34"/>
        <v>-1.8633932496901442E-2</v>
      </c>
      <c r="G920">
        <f t="shared" si="35"/>
        <v>-2.9334721639848186E-2</v>
      </c>
    </row>
    <row r="921" spans="1:7" x14ac:dyDescent="0.35">
      <c r="A921" t="s">
        <v>59</v>
      </c>
      <c r="E921">
        <v>4.9289497843783515E-3</v>
      </c>
      <c r="F921">
        <f t="shared" si="34"/>
        <v>-1.8638567187726371E-2</v>
      </c>
      <c r="G921">
        <f t="shared" si="35"/>
        <v>-2.94090326755631E-2</v>
      </c>
    </row>
    <row r="922" spans="1:7" x14ac:dyDescent="0.35">
      <c r="A922" t="s">
        <v>59</v>
      </c>
      <c r="E922">
        <v>7.8540405151700007E-5</v>
      </c>
      <c r="F922">
        <f t="shared" si="34"/>
        <v>-1.8643201878551303E-2</v>
      </c>
      <c r="G922">
        <f t="shared" si="35"/>
        <v>-2.94090326755631E-2</v>
      </c>
    </row>
    <row r="923" spans="1:7" x14ac:dyDescent="0.35">
      <c r="A923" t="s">
        <v>59</v>
      </c>
      <c r="E923">
        <v>2.0358464900753253E-2</v>
      </c>
      <c r="F923">
        <f t="shared" si="34"/>
        <v>-1.8647836569376235E-2</v>
      </c>
      <c r="G923">
        <f t="shared" si="35"/>
        <v>-2.94090326755631E-2</v>
      </c>
    </row>
    <row r="924" spans="1:7" x14ac:dyDescent="0.35">
      <c r="A924" t="s">
        <v>59</v>
      </c>
      <c r="E924">
        <v>5.806794274810405E-3</v>
      </c>
      <c r="F924">
        <f t="shared" si="34"/>
        <v>-1.8652471260201163E-2</v>
      </c>
      <c r="G924">
        <f t="shared" si="35"/>
        <v>-2.94090326755631E-2</v>
      </c>
    </row>
    <row r="925" spans="1:7" x14ac:dyDescent="0.35">
      <c r="A925" t="s">
        <v>59</v>
      </c>
      <c r="E925">
        <v>-2.0365244250243299E-4</v>
      </c>
      <c r="F925">
        <f t="shared" si="34"/>
        <v>-1.8657105951026095E-2</v>
      </c>
      <c r="G925">
        <f t="shared" si="35"/>
        <v>-2.94090326755631E-2</v>
      </c>
    </row>
    <row r="926" spans="1:7" x14ac:dyDescent="0.35">
      <c r="A926" t="s">
        <v>59</v>
      </c>
      <c r="E926">
        <v>1.813753259904803E-3</v>
      </c>
      <c r="F926">
        <f t="shared" si="34"/>
        <v>-1.8661740641851023E-2</v>
      </c>
      <c r="G926">
        <f t="shared" si="35"/>
        <v>-2.94090326755631E-2</v>
      </c>
    </row>
    <row r="927" spans="1:7" x14ac:dyDescent="0.35">
      <c r="A927" t="s">
        <v>59</v>
      </c>
      <c r="E927">
        <v>1.2098904656052427E-2</v>
      </c>
      <c r="F927">
        <f t="shared" si="34"/>
        <v>-1.8666375332675955E-2</v>
      </c>
      <c r="G927">
        <f t="shared" si="35"/>
        <v>-2.94090326755631E-2</v>
      </c>
    </row>
    <row r="928" spans="1:7" x14ac:dyDescent="0.35">
      <c r="A928" t="s">
        <v>59</v>
      </c>
      <c r="E928">
        <v>-1.8652006139617786E-3</v>
      </c>
      <c r="F928">
        <f t="shared" si="34"/>
        <v>-1.8671010023500887E-2</v>
      </c>
      <c r="G928">
        <f t="shared" si="35"/>
        <v>-2.94090326755631E-2</v>
      </c>
    </row>
    <row r="929" spans="1:7" x14ac:dyDescent="0.35">
      <c r="A929" t="s">
        <v>59</v>
      </c>
      <c r="E929">
        <v>4.5389710963053597E-3</v>
      </c>
      <c r="F929">
        <f t="shared" si="34"/>
        <v>-1.8675644714325815E-2</v>
      </c>
      <c r="G929">
        <f t="shared" si="35"/>
        <v>-2.94090326755631E-2</v>
      </c>
    </row>
    <row r="930" spans="1:7" x14ac:dyDescent="0.35">
      <c r="A930" t="s">
        <v>59</v>
      </c>
      <c r="E930">
        <v>6.7073759966441325E-3</v>
      </c>
      <c r="F930">
        <f t="shared" si="34"/>
        <v>-1.8680279405150747E-2</v>
      </c>
      <c r="G930">
        <f t="shared" si="35"/>
        <v>-2.94090326755631E-2</v>
      </c>
    </row>
    <row r="931" spans="1:7" x14ac:dyDescent="0.35">
      <c r="A931" t="s">
        <v>59</v>
      </c>
      <c r="E931">
        <v>-2.1243641375941354E-3</v>
      </c>
      <c r="F931">
        <f t="shared" si="34"/>
        <v>-1.8684914095975676E-2</v>
      </c>
      <c r="G931">
        <f t="shared" si="35"/>
        <v>-2.94090326755631E-2</v>
      </c>
    </row>
    <row r="932" spans="1:7" x14ac:dyDescent="0.35">
      <c r="A932" t="s">
        <v>59</v>
      </c>
      <c r="E932">
        <v>-4.6721768635816395E-3</v>
      </c>
      <c r="F932">
        <f t="shared" si="34"/>
        <v>-1.8689548786800604E-2</v>
      </c>
      <c r="G932">
        <f t="shared" si="35"/>
        <v>-2.94090326755631E-2</v>
      </c>
    </row>
    <row r="933" spans="1:7" x14ac:dyDescent="0.35">
      <c r="A933" t="s">
        <v>59</v>
      </c>
      <c r="E933">
        <v>3.3884640935889403E-3</v>
      </c>
      <c r="F933">
        <f t="shared" si="34"/>
        <v>-1.8694183477625536E-2</v>
      </c>
      <c r="G933">
        <f t="shared" si="35"/>
        <v>-2.94090326755631E-2</v>
      </c>
    </row>
    <row r="934" spans="1:7" x14ac:dyDescent="0.35">
      <c r="A934" t="s">
        <v>59</v>
      </c>
      <c r="E934">
        <v>1.1886743582888881E-4</v>
      </c>
      <c r="F934">
        <f t="shared" si="34"/>
        <v>-1.8698818168450464E-2</v>
      </c>
      <c r="G934">
        <f t="shared" si="35"/>
        <v>-2.94090326755631E-2</v>
      </c>
    </row>
    <row r="935" spans="1:7" x14ac:dyDescent="0.35">
      <c r="A935" t="s">
        <v>59</v>
      </c>
      <c r="E935">
        <v>-1.7657516925811739E-4</v>
      </c>
      <c r="F935">
        <f t="shared" si="34"/>
        <v>-1.8703452859275396E-2</v>
      </c>
      <c r="G935">
        <f t="shared" si="35"/>
        <v>-2.94090326755631E-2</v>
      </c>
    </row>
    <row r="936" spans="1:7" x14ac:dyDescent="0.35">
      <c r="A936" t="s">
        <v>59</v>
      </c>
      <c r="E936">
        <v>-2.9897937438196315E-4</v>
      </c>
      <c r="F936">
        <f t="shared" si="34"/>
        <v>-1.8708087550100325E-2</v>
      </c>
      <c r="G936">
        <f t="shared" si="35"/>
        <v>-2.94090326755631E-2</v>
      </c>
    </row>
    <row r="937" spans="1:7" x14ac:dyDescent="0.35">
      <c r="A937" t="s">
        <v>59</v>
      </c>
      <c r="E937">
        <v>-7.7782439004305164E-3</v>
      </c>
      <c r="F937">
        <f t="shared" si="34"/>
        <v>-1.8712722240925257E-2</v>
      </c>
      <c r="G937">
        <f t="shared" si="35"/>
        <v>-2.94090326755631E-2</v>
      </c>
    </row>
    <row r="938" spans="1:7" x14ac:dyDescent="0.35">
      <c r="A938" t="s">
        <v>60</v>
      </c>
      <c r="B938" s="3" cm="1">
        <f t="array" ref="B938">_xlfn.STDEV.S(_xlfn._xlws.FILTER($E$2:$E$1000, $A$2:$A$1000="2013-10"))</f>
        <v>6.2782677945058497E-3</v>
      </c>
      <c r="C938" s="3" cm="1">
        <f t="array" ref="C938">AVERAGE(_xlfn._xlws.FILTER($E$2:$E$1000, $A$2:$A$1000="2013-10"))</f>
        <v>2.1685023212166801E-3</v>
      </c>
      <c r="D938" s="3" cm="1">
        <f t="array" ref="D938">_xlfn.PERCENTILE.EXC(_xlfn._xlws.FILTER($E$751:$E$999, $A$751:$A$999="2013-10"), 0.05)</f>
        <v>-6.4357730976253285E-3</v>
      </c>
      <c r="E938">
        <v>1.0963141683000435E-2</v>
      </c>
      <c r="F938">
        <f t="shared" si="34"/>
        <v>-1.8717356931750188E-2</v>
      </c>
      <c r="G938">
        <f t="shared" si="35"/>
        <v>-2.94090326755631E-2</v>
      </c>
    </row>
    <row r="939" spans="1:7" x14ac:dyDescent="0.35">
      <c r="A939" t="s">
        <v>60</v>
      </c>
      <c r="E939">
        <v>-6.8966746323698026E-3</v>
      </c>
      <c r="F939">
        <f t="shared" si="34"/>
        <v>-1.8721991622575117E-2</v>
      </c>
      <c r="G939">
        <f t="shared" si="35"/>
        <v>-2.94090326755631E-2</v>
      </c>
    </row>
    <row r="940" spans="1:7" x14ac:dyDescent="0.35">
      <c r="A940" t="s">
        <v>60</v>
      </c>
      <c r="E940">
        <v>-3.6581449521148899E-3</v>
      </c>
      <c r="F940">
        <f t="shared" si="34"/>
        <v>-1.8726626313400049E-2</v>
      </c>
      <c r="G940">
        <f t="shared" si="35"/>
        <v>-2.94090326755631E-2</v>
      </c>
    </row>
    <row r="941" spans="1:7" x14ac:dyDescent="0.35">
      <c r="A941" t="s">
        <v>60</v>
      </c>
      <c r="E941">
        <v>2.910422427813975E-3</v>
      </c>
      <c r="F941">
        <f t="shared" si="34"/>
        <v>-1.8728999347382872E-2</v>
      </c>
      <c r="G941">
        <f t="shared" si="35"/>
        <v>-2.9483734817955846E-2</v>
      </c>
    </row>
    <row r="942" spans="1:7" x14ac:dyDescent="0.35">
      <c r="A942" t="s">
        <v>60</v>
      </c>
      <c r="E942">
        <v>-3.6469190063780706E-3</v>
      </c>
      <c r="F942">
        <f t="shared" si="34"/>
        <v>-1.8731372381365696E-2</v>
      </c>
      <c r="G942">
        <f t="shared" si="35"/>
        <v>-2.9483734817955846E-2</v>
      </c>
    </row>
    <row r="943" spans="1:7" x14ac:dyDescent="0.35">
      <c r="A943" t="s">
        <v>60</v>
      </c>
      <c r="E943">
        <v>-4.1627192276217561E-3</v>
      </c>
      <c r="F943">
        <f t="shared" si="34"/>
        <v>-1.8733745415348519E-2</v>
      </c>
      <c r="G943">
        <f t="shared" si="35"/>
        <v>-2.9483734817955846E-2</v>
      </c>
    </row>
    <row r="944" spans="1:7" x14ac:dyDescent="0.35">
      <c r="A944" t="s">
        <v>60</v>
      </c>
      <c r="E944">
        <v>-4.5921669586474366E-3</v>
      </c>
      <c r="F944">
        <f t="shared" si="34"/>
        <v>-1.8736118449331342E-2</v>
      </c>
      <c r="G944">
        <f t="shared" si="35"/>
        <v>-2.9483734817955846E-2</v>
      </c>
    </row>
    <row r="945" spans="1:7" x14ac:dyDescent="0.35">
      <c r="A945" t="s">
        <v>60</v>
      </c>
      <c r="E945">
        <v>1.9658286666041389E-2</v>
      </c>
      <c r="F945">
        <f t="shared" si="34"/>
        <v>-1.8738491483314169E-2</v>
      </c>
      <c r="G945">
        <f t="shared" si="35"/>
        <v>-2.9483734817955846E-2</v>
      </c>
    </row>
    <row r="946" spans="1:7" x14ac:dyDescent="0.35">
      <c r="A946" t="s">
        <v>60</v>
      </c>
      <c r="E946">
        <v>4.4869292880632189E-3</v>
      </c>
      <c r="F946">
        <f t="shared" si="34"/>
        <v>-1.8740864517296989E-2</v>
      </c>
      <c r="G946">
        <f t="shared" si="35"/>
        <v>-2.9483734817955846E-2</v>
      </c>
    </row>
    <row r="947" spans="1:7" x14ac:dyDescent="0.35">
      <c r="A947" t="s">
        <v>60</v>
      </c>
      <c r="E947">
        <v>-1.1691455622474591E-4</v>
      </c>
      <c r="F947">
        <f t="shared" si="34"/>
        <v>-1.8743237551279816E-2</v>
      </c>
      <c r="G947">
        <f t="shared" si="35"/>
        <v>-2.9483734817955846E-2</v>
      </c>
    </row>
    <row r="948" spans="1:7" x14ac:dyDescent="0.35">
      <c r="A948" t="s">
        <v>60</v>
      </c>
      <c r="E948">
        <v>9.2000705966874766E-3</v>
      </c>
      <c r="F948">
        <f t="shared" si="34"/>
        <v>-1.874561058526264E-2</v>
      </c>
      <c r="G948">
        <f t="shared" si="35"/>
        <v>-2.9483734817955846E-2</v>
      </c>
    </row>
    <row r="949" spans="1:7" x14ac:dyDescent="0.35">
      <c r="A949" t="s">
        <v>60</v>
      </c>
      <c r="E949">
        <v>4.709239747689371E-3</v>
      </c>
      <c r="F949">
        <f t="shared" si="34"/>
        <v>-1.8747983619245463E-2</v>
      </c>
      <c r="G949">
        <f t="shared" si="35"/>
        <v>-2.9483734817955846E-2</v>
      </c>
    </row>
    <row r="950" spans="1:7" x14ac:dyDescent="0.35">
      <c r="A950" t="s">
        <v>60</v>
      </c>
      <c r="E950">
        <v>-3.8532201409336134E-3</v>
      </c>
      <c r="F950">
        <f t="shared" si="34"/>
        <v>-1.8750356653228287E-2</v>
      </c>
      <c r="G950">
        <f t="shared" si="35"/>
        <v>-2.9483734817955846E-2</v>
      </c>
    </row>
    <row r="951" spans="1:7" x14ac:dyDescent="0.35">
      <c r="A951" t="s">
        <v>60</v>
      </c>
      <c r="E951">
        <v>6.0100604731963972E-3</v>
      </c>
      <c r="F951">
        <f t="shared" si="34"/>
        <v>-1.875272968721111E-2</v>
      </c>
      <c r="G951">
        <f t="shared" si="35"/>
        <v>-2.9483734817955846E-2</v>
      </c>
    </row>
    <row r="952" spans="1:7" x14ac:dyDescent="0.35">
      <c r="A952" t="s">
        <v>60</v>
      </c>
      <c r="E952">
        <v>2.3911140900913572E-4</v>
      </c>
      <c r="F952">
        <f t="shared" si="34"/>
        <v>-1.8755102721193934E-2</v>
      </c>
      <c r="G952">
        <f t="shared" si="35"/>
        <v>-2.9483734817955846E-2</v>
      </c>
    </row>
    <row r="953" spans="1:7" x14ac:dyDescent="0.35">
      <c r="A953" t="s">
        <v>60</v>
      </c>
      <c r="E953">
        <v>9.008361938151686E-3</v>
      </c>
      <c r="F953">
        <f t="shared" si="34"/>
        <v>-1.8757475755176757E-2</v>
      </c>
      <c r="G953">
        <f t="shared" si="35"/>
        <v>-2.9483734817955846E-2</v>
      </c>
    </row>
    <row r="954" spans="1:7" x14ac:dyDescent="0.35">
      <c r="A954" t="s">
        <v>60</v>
      </c>
      <c r="E954">
        <v>-3.0894417240739536E-3</v>
      </c>
      <c r="F954">
        <f t="shared" si="34"/>
        <v>-1.8759848789159581E-2</v>
      </c>
      <c r="G954">
        <f t="shared" si="35"/>
        <v>-2.9483734817955846E-2</v>
      </c>
    </row>
    <row r="955" spans="1:7" x14ac:dyDescent="0.35">
      <c r="A955" t="s">
        <v>60</v>
      </c>
      <c r="E955">
        <v>6.7897843538178388E-3</v>
      </c>
      <c r="F955">
        <f t="shared" si="34"/>
        <v>-1.8762221823142404E-2</v>
      </c>
      <c r="G955">
        <f t="shared" si="35"/>
        <v>-2.9483734817955846E-2</v>
      </c>
    </row>
    <row r="956" spans="1:7" x14ac:dyDescent="0.35">
      <c r="A956" t="s">
        <v>60</v>
      </c>
      <c r="E956">
        <v>5.6884057689902913E-4</v>
      </c>
      <c r="F956">
        <f t="shared" si="34"/>
        <v>-1.8764594857125227E-2</v>
      </c>
      <c r="G956">
        <f t="shared" si="35"/>
        <v>-2.9483734817955846E-2</v>
      </c>
    </row>
    <row r="957" spans="1:7" x14ac:dyDescent="0.35">
      <c r="A957" t="s">
        <v>60</v>
      </c>
      <c r="E957">
        <v>-7.8933939511702223E-4</v>
      </c>
      <c r="F957">
        <f t="shared" si="34"/>
        <v>-1.8766967891108054E-2</v>
      </c>
      <c r="G957">
        <f t="shared" si="35"/>
        <v>-2.9483734817955846E-2</v>
      </c>
    </row>
    <row r="958" spans="1:7" x14ac:dyDescent="0.35">
      <c r="A958" t="s">
        <v>60</v>
      </c>
      <c r="E958">
        <v>4.8209356460304723E-3</v>
      </c>
      <c r="F958">
        <f t="shared" si="34"/>
        <v>-1.8769340925090878E-2</v>
      </c>
      <c r="G958">
        <f t="shared" si="35"/>
        <v>-2.9483734817955846E-2</v>
      </c>
    </row>
    <row r="959" spans="1:7" x14ac:dyDescent="0.35">
      <c r="A959" t="s">
        <v>60</v>
      </c>
      <c r="E959">
        <v>-1.3054347081985138E-3</v>
      </c>
      <c r="F959">
        <f t="shared" si="34"/>
        <v>-1.8771713959073701E-2</v>
      </c>
      <c r="G959">
        <f t="shared" si="35"/>
        <v>-2.9483734817955846E-2</v>
      </c>
    </row>
    <row r="960" spans="1:7" x14ac:dyDescent="0.35">
      <c r="A960" t="s">
        <v>60</v>
      </c>
      <c r="E960">
        <v>2.6213438832630239E-3</v>
      </c>
      <c r="F960">
        <f t="shared" si="34"/>
        <v>-1.8774086993056525E-2</v>
      </c>
      <c r="G960">
        <f t="shared" si="35"/>
        <v>-2.9483734817955846E-2</v>
      </c>
    </row>
    <row r="961" spans="1:7" x14ac:dyDescent="0.35">
      <c r="A961" t="s">
        <v>61</v>
      </c>
      <c r="B961" s="3" cm="1">
        <f t="array" ref="B961">_xlfn.STDEV.S(_xlfn._xlws.FILTER($E$2:$E$1000, $A$2:$A$1000="2013-11"))</f>
        <v>4.0086318378225513E-3</v>
      </c>
      <c r="C961" s="3" cm="1">
        <f t="array" ref="C961">AVERAGE(_xlfn._xlws.FILTER($E$2:$E$1000, $A$2:$A$1000="2013-11"))</f>
        <v>1.9184275434628809E-3</v>
      </c>
      <c r="D961" s="3" cm="1">
        <f t="array" ref="D961">_xlfn.PERCENTILE.EXC(_xlfn._xlws.FILTER($E$751:$E$999, $A$751:$A$999="2013-11"), 0.05)</f>
        <v>-3.4860705356662717E-3</v>
      </c>
      <c r="E961">
        <v>-2.8921826526023707E-3</v>
      </c>
      <c r="F961">
        <f t="shared" si="34"/>
        <v>-1.878310930071566E-2</v>
      </c>
      <c r="G961">
        <f t="shared" si="35"/>
        <v>-2.955915487306077E-2</v>
      </c>
    </row>
    <row r="962" spans="1:7" x14ac:dyDescent="0.35">
      <c r="A962" t="s">
        <v>61</v>
      </c>
      <c r="E962">
        <v>3.2585124143513014E-3</v>
      </c>
      <c r="F962">
        <f t="shared" si="34"/>
        <v>-1.8792131608374802E-2</v>
      </c>
      <c r="G962">
        <f t="shared" si="35"/>
        <v>-2.955915487306077E-2</v>
      </c>
    </row>
    <row r="963" spans="1:7" x14ac:dyDescent="0.35">
      <c r="A963" t="s">
        <v>61</v>
      </c>
      <c r="E963">
        <v>-3.1164239129572043E-3</v>
      </c>
      <c r="F963">
        <f t="shared" si="34"/>
        <v>-1.8801153916033944E-2</v>
      </c>
      <c r="G963">
        <f t="shared" si="35"/>
        <v>-2.955915487306077E-2</v>
      </c>
    </row>
    <row r="964" spans="1:7" x14ac:dyDescent="0.35">
      <c r="A964" t="s">
        <v>61</v>
      </c>
      <c r="E964">
        <v>3.5191211044973735E-3</v>
      </c>
      <c r="F964">
        <f t="shared" ref="F964:F1027" si="36">_xlfn.PERCENTILE.EXC(E964:E4779,0.05)</f>
        <v>-1.8810176223693083E-2</v>
      </c>
      <c r="G964">
        <f t="shared" ref="G964:G1027" si="37">AVERAGEIFS(E964:E4780,E964:E4780,"&lt;=" &amp; F964)</f>
        <v>-2.955915487306077E-2</v>
      </c>
    </row>
    <row r="965" spans="1:7" x14ac:dyDescent="0.35">
      <c r="A965" t="s">
        <v>61</v>
      </c>
      <c r="E965">
        <v>4.4322135916906686E-3</v>
      </c>
      <c r="F965">
        <f t="shared" si="36"/>
        <v>-1.8819198531352221E-2</v>
      </c>
      <c r="G965">
        <f t="shared" si="37"/>
        <v>-2.955915487306077E-2</v>
      </c>
    </row>
    <row r="966" spans="1:7" x14ac:dyDescent="0.35">
      <c r="A966" t="s">
        <v>61</v>
      </c>
      <c r="E966">
        <v>-3.0287494635226133E-4</v>
      </c>
      <c r="F966">
        <f t="shared" si="36"/>
        <v>-1.882822083901136E-2</v>
      </c>
      <c r="G966">
        <f t="shared" si="37"/>
        <v>-2.955915487306077E-2</v>
      </c>
    </row>
    <row r="967" spans="1:7" x14ac:dyDescent="0.35">
      <c r="A967" t="s">
        <v>61</v>
      </c>
      <c r="E967">
        <v>3.2530296242218857E-3</v>
      </c>
      <c r="F967">
        <f t="shared" si="36"/>
        <v>-1.8837243146670502E-2</v>
      </c>
      <c r="G967">
        <f t="shared" si="37"/>
        <v>-2.955915487306077E-2</v>
      </c>
    </row>
    <row r="968" spans="1:7" x14ac:dyDescent="0.35">
      <c r="A968" t="s">
        <v>61</v>
      </c>
      <c r="E968">
        <v>-3.4513247276436467E-3</v>
      </c>
      <c r="F968">
        <f t="shared" si="36"/>
        <v>-1.8846265454329644E-2</v>
      </c>
      <c r="G968">
        <f t="shared" si="37"/>
        <v>-2.955915487306077E-2</v>
      </c>
    </row>
    <row r="969" spans="1:7" x14ac:dyDescent="0.35">
      <c r="A969" t="s">
        <v>61</v>
      </c>
      <c r="E969">
        <v>-2.3881352521692048E-3</v>
      </c>
      <c r="F969">
        <f t="shared" si="36"/>
        <v>-1.8855287761988779E-2</v>
      </c>
      <c r="G969">
        <f t="shared" si="37"/>
        <v>-2.955915487306077E-2</v>
      </c>
    </row>
    <row r="970" spans="1:7" x14ac:dyDescent="0.35">
      <c r="A970" t="s">
        <v>61</v>
      </c>
      <c r="E970">
        <v>1.0418403125875261E-2</v>
      </c>
      <c r="F970">
        <f t="shared" si="36"/>
        <v>-1.8864310069647922E-2</v>
      </c>
      <c r="G970">
        <f t="shared" si="37"/>
        <v>-2.955915487306077E-2</v>
      </c>
    </row>
    <row r="971" spans="1:7" x14ac:dyDescent="0.35">
      <c r="A971" t="s">
        <v>61</v>
      </c>
      <c r="E971">
        <v>2.0776987933713029E-3</v>
      </c>
      <c r="F971">
        <f t="shared" si="36"/>
        <v>-1.8873332377307057E-2</v>
      </c>
      <c r="G971">
        <f t="shared" si="37"/>
        <v>-2.955915487306077E-2</v>
      </c>
    </row>
    <row r="972" spans="1:7" x14ac:dyDescent="0.35">
      <c r="A972" t="s">
        <v>61</v>
      </c>
      <c r="E972">
        <v>6.1693823859255087E-3</v>
      </c>
      <c r="F972">
        <f t="shared" si="36"/>
        <v>-1.8882354684966199E-2</v>
      </c>
      <c r="G972">
        <f t="shared" si="37"/>
        <v>-2.955915487306077E-2</v>
      </c>
    </row>
    <row r="973" spans="1:7" x14ac:dyDescent="0.35">
      <c r="A973" t="s">
        <v>61</v>
      </c>
      <c r="E973">
        <v>-3.489931181002119E-3</v>
      </c>
      <c r="F973">
        <f t="shared" si="36"/>
        <v>-1.8891376992625341E-2</v>
      </c>
      <c r="G973">
        <f t="shared" si="37"/>
        <v>-2.955915487306077E-2</v>
      </c>
    </row>
    <row r="974" spans="1:7" x14ac:dyDescent="0.35">
      <c r="A974" t="s">
        <v>61</v>
      </c>
      <c r="E974">
        <v>9.5458862090455707E-4</v>
      </c>
      <c r="F974">
        <f t="shared" si="36"/>
        <v>-1.890039930028448E-2</v>
      </c>
      <c r="G974">
        <f t="shared" si="37"/>
        <v>-2.955915487306077E-2</v>
      </c>
    </row>
    <row r="975" spans="1:7" x14ac:dyDescent="0.35">
      <c r="A975" t="s">
        <v>61</v>
      </c>
      <c r="E975">
        <v>-6.5115244865879057E-4</v>
      </c>
      <c r="F975">
        <f t="shared" si="36"/>
        <v>-1.8909421607943622E-2</v>
      </c>
      <c r="G975">
        <f t="shared" si="37"/>
        <v>-2.955915487306077E-2</v>
      </c>
    </row>
    <row r="976" spans="1:7" x14ac:dyDescent="0.35">
      <c r="A976" t="s">
        <v>61</v>
      </c>
      <c r="E976">
        <v>2.4936043747992454E-3</v>
      </c>
      <c r="F976">
        <f t="shared" si="36"/>
        <v>-1.8918443915602757E-2</v>
      </c>
      <c r="G976">
        <f t="shared" si="37"/>
        <v>-2.955915487306077E-2</v>
      </c>
    </row>
    <row r="977" spans="1:7" x14ac:dyDescent="0.35">
      <c r="A977" t="s">
        <v>61</v>
      </c>
      <c r="E977">
        <v>8.7381131282405176E-3</v>
      </c>
      <c r="F977">
        <f t="shared" si="36"/>
        <v>-1.8927466223261899E-2</v>
      </c>
      <c r="G977">
        <f t="shared" si="37"/>
        <v>-2.955915487306077E-2</v>
      </c>
    </row>
    <row r="978" spans="1:7" x14ac:dyDescent="0.35">
      <c r="A978" t="s">
        <v>61</v>
      </c>
      <c r="E978">
        <v>-1.062936019458843E-3</v>
      </c>
      <c r="F978">
        <f t="shared" si="36"/>
        <v>-1.8936488530921041E-2</v>
      </c>
      <c r="G978">
        <f t="shared" si="37"/>
        <v>-2.955915487306077E-2</v>
      </c>
    </row>
    <row r="979" spans="1:7" x14ac:dyDescent="0.35">
      <c r="A979" t="s">
        <v>61</v>
      </c>
      <c r="E979">
        <v>6.551103831904344E-3</v>
      </c>
      <c r="F979">
        <f t="shared" si="36"/>
        <v>-1.8945510838580176E-2</v>
      </c>
      <c r="G979">
        <f t="shared" si="37"/>
        <v>-2.955915487306077E-2</v>
      </c>
    </row>
    <row r="980" spans="1:7" x14ac:dyDescent="0.35">
      <c r="A980" t="s">
        <v>61</v>
      </c>
      <c r="E980">
        <v>3.8679771788518707E-3</v>
      </c>
      <c r="F980">
        <f t="shared" si="36"/>
        <v>-1.8954533146239318E-2</v>
      </c>
      <c r="G980">
        <f t="shared" si="37"/>
        <v>-2.955915487306077E-2</v>
      </c>
    </row>
    <row r="981" spans="1:7" x14ac:dyDescent="0.35">
      <c r="A981" t="s">
        <v>61</v>
      </c>
      <c r="E981">
        <v>1.9081913789310921E-3</v>
      </c>
      <c r="F981">
        <f t="shared" si="36"/>
        <v>-1.8955834308664526E-2</v>
      </c>
      <c r="G981">
        <f t="shared" si="37"/>
        <v>-2.963436495622972E-2</v>
      </c>
    </row>
    <row r="982" spans="1:7" x14ac:dyDescent="0.35">
      <c r="A982" t="s">
        <v>62</v>
      </c>
      <c r="B982" s="3" cm="1">
        <f t="array" ref="B982">_xlfn.STDEV.S(_xlfn._xlws.FILTER($E$2:$E$1000, $A$2:$A$1000="2013-12"))</f>
        <v>1.0100364865857003E-2</v>
      </c>
      <c r="C982" s="3" cm="1">
        <f t="array" ref="C982">AVERAGE(_xlfn._xlws.FILTER($E$2:$E$1000, $A$2:$A$1000="2013-12"))</f>
        <v>8.6077481987887705E-4</v>
      </c>
      <c r="D982" s="3" cm="1">
        <f t="array" ref="D982">_xlfn.PERCENTILE.INC(_xlfn._xlws.FILTER($E$751:$E$999, $A$751:$A$999="2013-12"), 0.05)</f>
        <v>-1.0538425682937027E-2</v>
      </c>
      <c r="E982">
        <v>-3.5518199196619049E-4</v>
      </c>
      <c r="F982">
        <f t="shared" si="36"/>
        <v>-1.8957135471089733E-2</v>
      </c>
      <c r="G982">
        <f t="shared" si="37"/>
        <v>-2.963436495622972E-2</v>
      </c>
    </row>
    <row r="983" spans="1:7" x14ac:dyDescent="0.35">
      <c r="A983" t="s">
        <v>62</v>
      </c>
      <c r="E983">
        <v>-1.9174445029517623E-2</v>
      </c>
      <c r="F983">
        <f t="shared" si="36"/>
        <v>-1.8958436633514941E-2</v>
      </c>
      <c r="G983">
        <f t="shared" si="37"/>
        <v>-2.963436495622972E-2</v>
      </c>
    </row>
    <row r="984" spans="1:7" x14ac:dyDescent="0.35">
      <c r="A984" t="s">
        <v>62</v>
      </c>
      <c r="E984">
        <v>-9.0144222688345703E-3</v>
      </c>
      <c r="F984">
        <f t="shared" si="36"/>
        <v>-1.8810176223693083E-2</v>
      </c>
      <c r="G984">
        <f t="shared" si="37"/>
        <v>-2.9632805297483061E-2</v>
      </c>
    </row>
    <row r="985" spans="1:7" x14ac:dyDescent="0.35">
      <c r="A985" t="s">
        <v>62</v>
      </c>
      <c r="E985">
        <v>-6.1101126249174069E-3</v>
      </c>
      <c r="F985">
        <f t="shared" si="36"/>
        <v>-1.8819198531352221E-2</v>
      </c>
      <c r="G985">
        <f t="shared" si="37"/>
        <v>-2.9632805297483061E-2</v>
      </c>
    </row>
    <row r="986" spans="1:7" x14ac:dyDescent="0.35">
      <c r="A986" t="s">
        <v>62</v>
      </c>
      <c r="E986">
        <v>9.5808670056404081E-3</v>
      </c>
      <c r="F986">
        <f t="shared" si="36"/>
        <v>-1.882822083901136E-2</v>
      </c>
      <c r="G986">
        <f t="shared" si="37"/>
        <v>-2.9632805297483061E-2</v>
      </c>
    </row>
    <row r="987" spans="1:7" x14ac:dyDescent="0.35">
      <c r="A987" t="s">
        <v>62</v>
      </c>
      <c r="E987">
        <v>2.4782809329363916E-3</v>
      </c>
      <c r="F987">
        <f t="shared" si="36"/>
        <v>-1.8837243146670502E-2</v>
      </c>
      <c r="G987">
        <f t="shared" si="37"/>
        <v>-2.9632805297483061E-2</v>
      </c>
    </row>
    <row r="988" spans="1:7" x14ac:dyDescent="0.35">
      <c r="A988" t="s">
        <v>62</v>
      </c>
      <c r="E988">
        <v>-8.8183771423990566E-3</v>
      </c>
      <c r="F988">
        <f t="shared" si="36"/>
        <v>-1.8846265454329644E-2</v>
      </c>
      <c r="G988">
        <f t="shared" si="37"/>
        <v>-2.9632805297483061E-2</v>
      </c>
    </row>
    <row r="989" spans="1:7" x14ac:dyDescent="0.35">
      <c r="A989" t="s">
        <v>62</v>
      </c>
      <c r="E989">
        <v>-4.10410903941252E-3</v>
      </c>
      <c r="F989">
        <f t="shared" si="36"/>
        <v>-1.8855287761988779E-2</v>
      </c>
      <c r="G989">
        <f t="shared" si="37"/>
        <v>-2.9632805297483061E-2</v>
      </c>
    </row>
    <row r="990" spans="1:7" x14ac:dyDescent="0.35">
      <c r="A990" t="s">
        <v>62</v>
      </c>
      <c r="E990">
        <v>-6.6441754946600122E-3</v>
      </c>
      <c r="F990">
        <f t="shared" si="36"/>
        <v>-1.8864310069647922E-2</v>
      </c>
      <c r="G990">
        <f t="shared" si="37"/>
        <v>-2.9632805297483061E-2</v>
      </c>
    </row>
    <row r="991" spans="1:7" x14ac:dyDescent="0.35">
      <c r="A991" t="s">
        <v>62</v>
      </c>
      <c r="E991">
        <v>-1.1695868830404776E-3</v>
      </c>
      <c r="F991">
        <f t="shared" si="36"/>
        <v>-1.8873332377307057E-2</v>
      </c>
      <c r="G991">
        <f t="shared" si="37"/>
        <v>-2.9632805297483061E-2</v>
      </c>
    </row>
    <row r="992" spans="1:7" x14ac:dyDescent="0.35">
      <c r="A992" t="s">
        <v>62</v>
      </c>
      <c r="E992">
        <v>1.7292651836112827E-2</v>
      </c>
      <c r="F992">
        <f t="shared" si="36"/>
        <v>-1.8882354684966199E-2</v>
      </c>
      <c r="G992">
        <f t="shared" si="37"/>
        <v>-2.9632805297483061E-2</v>
      </c>
    </row>
    <row r="993" spans="1:7" x14ac:dyDescent="0.35">
      <c r="A993" t="s">
        <v>62</v>
      </c>
      <c r="E993">
        <v>-8.5968391243592835E-3</v>
      </c>
      <c r="F993">
        <f t="shared" si="36"/>
        <v>-1.8891376992625341E-2</v>
      </c>
      <c r="G993">
        <f t="shared" si="37"/>
        <v>-2.9632805297483061E-2</v>
      </c>
    </row>
    <row r="994" spans="1:7" x14ac:dyDescent="0.35">
      <c r="A994" t="s">
        <v>62</v>
      </c>
      <c r="E994">
        <v>1.0579907926261154E-2</v>
      </c>
      <c r="F994">
        <f t="shared" si="36"/>
        <v>-1.890039930028448E-2</v>
      </c>
      <c r="G994">
        <f t="shared" si="37"/>
        <v>-2.9632805297483061E-2</v>
      </c>
    </row>
    <row r="995" spans="1:7" x14ac:dyDescent="0.35">
      <c r="A995" t="s">
        <v>62</v>
      </c>
      <c r="E995">
        <v>1.663222713776847E-2</v>
      </c>
      <c r="F995">
        <f t="shared" si="36"/>
        <v>-1.8909421607943622E-2</v>
      </c>
      <c r="G995">
        <f t="shared" si="37"/>
        <v>-2.9632805297483061E-2</v>
      </c>
    </row>
    <row r="996" spans="1:7" x14ac:dyDescent="0.35">
      <c r="A996" t="s">
        <v>62</v>
      </c>
      <c r="E996">
        <v>6.8787926182776538E-3</v>
      </c>
      <c r="F996">
        <f t="shared" si="36"/>
        <v>-1.8918443915602757E-2</v>
      </c>
      <c r="G996">
        <f t="shared" si="37"/>
        <v>-2.9632805297483061E-2</v>
      </c>
    </row>
    <row r="997" spans="1:7" x14ac:dyDescent="0.35">
      <c r="A997" t="s">
        <v>62</v>
      </c>
      <c r="E997">
        <v>9.3854254499995942E-3</v>
      </c>
      <c r="F997">
        <f t="shared" si="36"/>
        <v>-1.8927466223261899E-2</v>
      </c>
      <c r="G997">
        <f t="shared" si="37"/>
        <v>-2.9632805297483061E-2</v>
      </c>
    </row>
    <row r="998" spans="1:7" x14ac:dyDescent="0.35">
      <c r="A998" t="s">
        <v>62</v>
      </c>
      <c r="E998">
        <v>1.0543015468565578E-2</v>
      </c>
      <c r="F998">
        <f t="shared" si="36"/>
        <v>-1.8936488530921041E-2</v>
      </c>
      <c r="G998">
        <f t="shared" si="37"/>
        <v>-2.9632805297483061E-2</v>
      </c>
    </row>
    <row r="999" spans="1:7" x14ac:dyDescent="0.35">
      <c r="A999" t="s">
        <v>62</v>
      </c>
      <c r="E999">
        <v>-3.889972018635144E-3</v>
      </c>
      <c r="F999">
        <f t="shared" si="36"/>
        <v>-1.8945510838580176E-2</v>
      </c>
      <c r="G999">
        <f t="shared" si="37"/>
        <v>-2.9632805297483061E-2</v>
      </c>
    </row>
    <row r="1000" spans="1:7" x14ac:dyDescent="0.35">
      <c r="A1000" t="s">
        <v>63</v>
      </c>
      <c r="B1000" s="3" cm="1">
        <f t="array" ref="B1000">_xlfn.STDEV.S(_xlfn._xlws.FILTER($E$1000:$E$1998, $A$1000:$A$1998="2014-01"))</f>
        <v>9.1316859077763702E-3</v>
      </c>
      <c r="C1000" s="3" cm="1">
        <f t="array" ref="C1000">AVERAGE(_xlfn._xlws.FILTER($E$1000:$E$1998, $A$1000:$A$1998="2014-01"))</f>
        <v>-1.1843806913817488E-3</v>
      </c>
      <c r="D1000" s="3" cm="1">
        <f t="array" ref="D1000">_xlfn.PERCENTILE.EXC(_xlfn._xlws.FILTER($E$1000:$E$1497, $A$1000:$A$1497="2014-01"), 0.05)</f>
        <v>-2.3769204130774144E-2</v>
      </c>
      <c r="E1000">
        <v>-1.6053362342666612E-2</v>
      </c>
      <c r="F1000">
        <f t="shared" si="36"/>
        <v>-1.8954533146239318E-2</v>
      </c>
      <c r="G1000">
        <f t="shared" si="37"/>
        <v>-2.9632805297483061E-2</v>
      </c>
    </row>
    <row r="1001" spans="1:7" x14ac:dyDescent="0.35">
      <c r="A1001" t="s">
        <v>63</v>
      </c>
      <c r="E1001">
        <v>3.7281323592766834E-3</v>
      </c>
      <c r="F1001">
        <f t="shared" si="36"/>
        <v>-1.8955834308664526E-2</v>
      </c>
      <c r="G1001">
        <f t="shared" si="37"/>
        <v>-2.9709078669991947E-2</v>
      </c>
    </row>
    <row r="1002" spans="1:7" x14ac:dyDescent="0.35">
      <c r="A1002" t="s">
        <v>63</v>
      </c>
      <c r="E1002">
        <v>-7.5809187144537681E-4</v>
      </c>
      <c r="F1002">
        <f t="shared" si="36"/>
        <v>-1.8957135471089733E-2</v>
      </c>
      <c r="G1002">
        <f t="shared" si="37"/>
        <v>-2.9709078669991947E-2</v>
      </c>
    </row>
    <row r="1003" spans="1:7" x14ac:dyDescent="0.35">
      <c r="A1003" t="s">
        <v>63</v>
      </c>
      <c r="E1003">
        <v>8.2602322401817453E-3</v>
      </c>
      <c r="F1003">
        <f t="shared" si="36"/>
        <v>-1.8958436633514941E-2</v>
      </c>
      <c r="G1003">
        <f t="shared" si="37"/>
        <v>-2.9709078669991947E-2</v>
      </c>
    </row>
    <row r="1004" spans="1:7" x14ac:dyDescent="0.35">
      <c r="A1004" t="s">
        <v>63</v>
      </c>
      <c r="E1004">
        <v>-8.7981298074200746E-4</v>
      </c>
      <c r="F1004">
        <f t="shared" si="36"/>
        <v>-1.8959737795940148E-2</v>
      </c>
      <c r="G1004">
        <f t="shared" si="37"/>
        <v>-2.9709078669991947E-2</v>
      </c>
    </row>
    <row r="1005" spans="1:7" x14ac:dyDescent="0.35">
      <c r="A1005" t="s">
        <v>63</v>
      </c>
      <c r="E1005">
        <v>-8.0584173978394055E-3</v>
      </c>
      <c r="F1005">
        <f t="shared" si="36"/>
        <v>-1.8961038958365355E-2</v>
      </c>
      <c r="G1005">
        <f t="shared" si="37"/>
        <v>-2.9709078669991947E-2</v>
      </c>
    </row>
    <row r="1006" spans="1:7" x14ac:dyDescent="0.35">
      <c r="A1006" t="s">
        <v>63</v>
      </c>
      <c r="E1006">
        <v>5.4649948000777748E-3</v>
      </c>
      <c r="F1006">
        <f t="shared" si="36"/>
        <v>-1.8962340120790563E-2</v>
      </c>
      <c r="G1006">
        <f t="shared" si="37"/>
        <v>-2.9709078669991947E-2</v>
      </c>
    </row>
    <row r="1007" spans="1:7" x14ac:dyDescent="0.35">
      <c r="A1007" t="s">
        <v>63</v>
      </c>
      <c r="E1007">
        <v>3.8907705820480872E-3</v>
      </c>
      <c r="F1007">
        <f t="shared" si="36"/>
        <v>-1.896364128321577E-2</v>
      </c>
      <c r="G1007">
        <f t="shared" si="37"/>
        <v>-2.9709078669991947E-2</v>
      </c>
    </row>
    <row r="1008" spans="1:7" x14ac:dyDescent="0.35">
      <c r="A1008" t="s">
        <v>63</v>
      </c>
      <c r="E1008">
        <v>3.1851908331934167E-3</v>
      </c>
      <c r="F1008">
        <f t="shared" si="36"/>
        <v>-1.8964942445640978E-2</v>
      </c>
      <c r="G1008">
        <f t="shared" si="37"/>
        <v>-2.9709078669991947E-2</v>
      </c>
    </row>
    <row r="1009" spans="1:7" x14ac:dyDescent="0.35">
      <c r="A1009" t="s">
        <v>63</v>
      </c>
      <c r="E1009">
        <v>2.0058448858943076E-2</v>
      </c>
      <c r="F1009">
        <f t="shared" si="36"/>
        <v>-1.8966243608066181E-2</v>
      </c>
      <c r="G1009">
        <f t="shared" si="37"/>
        <v>-2.9709078669991947E-2</v>
      </c>
    </row>
    <row r="1010" spans="1:7" x14ac:dyDescent="0.35">
      <c r="A1010" t="s">
        <v>63</v>
      </c>
      <c r="E1010">
        <v>-1.6553980024826868E-3</v>
      </c>
      <c r="F1010">
        <f t="shared" si="36"/>
        <v>-1.8967544770491389E-2</v>
      </c>
      <c r="G1010">
        <f t="shared" si="37"/>
        <v>-2.9709078669991947E-2</v>
      </c>
    </row>
    <row r="1011" spans="1:7" x14ac:dyDescent="0.35">
      <c r="A1011" t="s">
        <v>63</v>
      </c>
      <c r="E1011">
        <v>2.5949789158625446E-3</v>
      </c>
      <c r="F1011">
        <f t="shared" si="36"/>
        <v>-1.8968845932916596E-2</v>
      </c>
      <c r="G1011">
        <f t="shared" si="37"/>
        <v>-2.9709078669991947E-2</v>
      </c>
    </row>
    <row r="1012" spans="1:7" x14ac:dyDescent="0.35">
      <c r="A1012" t="s">
        <v>63</v>
      </c>
      <c r="E1012">
        <v>-2.7812541375257E-3</v>
      </c>
      <c r="F1012">
        <f t="shared" si="36"/>
        <v>-1.8970147095341804E-2</v>
      </c>
      <c r="G1012">
        <f t="shared" si="37"/>
        <v>-2.9709078669991947E-2</v>
      </c>
    </row>
    <row r="1013" spans="1:7" x14ac:dyDescent="0.35">
      <c r="A1013" t="s">
        <v>63</v>
      </c>
      <c r="E1013">
        <v>1.4625103270119496E-3</v>
      </c>
      <c r="F1013">
        <f t="shared" si="36"/>
        <v>-1.8971448257767011E-2</v>
      </c>
      <c r="G1013">
        <f t="shared" si="37"/>
        <v>-2.9709078669991947E-2</v>
      </c>
    </row>
    <row r="1014" spans="1:7" x14ac:dyDescent="0.35">
      <c r="A1014" t="s">
        <v>63</v>
      </c>
      <c r="E1014">
        <v>-1.029293831872863E-3</v>
      </c>
      <c r="F1014">
        <f t="shared" si="36"/>
        <v>-1.8972749420192218E-2</v>
      </c>
      <c r="G1014">
        <f t="shared" si="37"/>
        <v>-2.9709078669991947E-2</v>
      </c>
    </row>
    <row r="1015" spans="1:7" x14ac:dyDescent="0.35">
      <c r="A1015" t="s">
        <v>63</v>
      </c>
      <c r="E1015">
        <v>-9.2057194555241265E-3</v>
      </c>
      <c r="F1015">
        <f t="shared" si="36"/>
        <v>-1.8974050582617426E-2</v>
      </c>
      <c r="G1015">
        <f t="shared" si="37"/>
        <v>-2.9709078669991947E-2</v>
      </c>
    </row>
    <row r="1016" spans="1:7" x14ac:dyDescent="0.35">
      <c r="A1016" t="s">
        <v>63</v>
      </c>
      <c r="E1016">
        <v>-2.5130823269851943E-2</v>
      </c>
      <c r="F1016">
        <f t="shared" si="36"/>
        <v>-1.8975351745042633E-2</v>
      </c>
      <c r="G1016">
        <f t="shared" si="37"/>
        <v>-2.9709078669991947E-2</v>
      </c>
    </row>
    <row r="1017" spans="1:7" x14ac:dyDescent="0.35">
      <c r="A1017" t="s">
        <v>63</v>
      </c>
      <c r="E1017">
        <v>-4.5674751945087386E-3</v>
      </c>
      <c r="F1017">
        <f t="shared" si="36"/>
        <v>-1.8927466223261899E-2</v>
      </c>
      <c r="G1017">
        <f t="shared" si="37"/>
        <v>-2.966496231196614E-2</v>
      </c>
    </row>
    <row r="1018" spans="1:7" x14ac:dyDescent="0.35">
      <c r="A1018" t="s">
        <v>63</v>
      </c>
      <c r="E1018">
        <v>6.1516082397237992E-3</v>
      </c>
      <c r="F1018">
        <f t="shared" si="36"/>
        <v>-1.8936488530921041E-2</v>
      </c>
      <c r="G1018">
        <f t="shared" si="37"/>
        <v>-2.966496231196614E-2</v>
      </c>
    </row>
    <row r="1019" spans="1:7" x14ac:dyDescent="0.35">
      <c r="A1019" t="s">
        <v>63</v>
      </c>
      <c r="E1019">
        <v>-7.4884417279968887E-3</v>
      </c>
      <c r="F1019">
        <f t="shared" si="36"/>
        <v>-1.8945510838580176E-2</v>
      </c>
      <c r="G1019">
        <f t="shared" si="37"/>
        <v>-2.966496231196614E-2</v>
      </c>
    </row>
    <row r="1020" spans="1:7" x14ac:dyDescent="0.35">
      <c r="A1020" t="s">
        <v>63</v>
      </c>
      <c r="E1020">
        <v>3.9283415055288975E-3</v>
      </c>
      <c r="F1020">
        <f t="shared" si="36"/>
        <v>-1.8954533146239318E-2</v>
      </c>
      <c r="G1020">
        <f t="shared" si="37"/>
        <v>-2.966496231196614E-2</v>
      </c>
    </row>
    <row r="1021" spans="1:7" x14ac:dyDescent="0.35">
      <c r="A1021" t="s">
        <v>63</v>
      </c>
      <c r="E1021">
        <v>-7.1734936597900962E-3</v>
      </c>
      <c r="F1021">
        <f t="shared" si="36"/>
        <v>-1.8955834308664526E-2</v>
      </c>
      <c r="G1021">
        <f t="shared" si="37"/>
        <v>-2.9742015759201587E-2</v>
      </c>
    </row>
    <row r="1022" spans="1:7" x14ac:dyDescent="0.35">
      <c r="A1022" t="s">
        <v>64</v>
      </c>
      <c r="B1022" s="3" cm="1">
        <f t="array" ref="B1022">_xlfn.STDEV.S(_xlfn._xlws.FILTER($E$1000:$E$1998, $A$1000:$A$1998="2014-02"))</f>
        <v>7.8430950897062646E-3</v>
      </c>
      <c r="C1022" s="3" cm="1">
        <f t="array" ref="C1022">AVERAGE(_xlfn._xlws.FILTER($E$1000:$E$1998, $A$1000:$A$1998="2014-02"))</f>
        <v>2.0299062716092461E-3</v>
      </c>
      <c r="D1022" s="3" cm="1">
        <f t="array" ref="D1022">_xlfn.PERCENTILE.EXC(_xlfn._xlws.FILTER($E$1000:$E$1497, $A$1000:$A$1497="2014-02"), 0.05)</f>
        <v>-1.2706351919281815E-2</v>
      </c>
      <c r="E1022">
        <v>-1.2973739535326293E-2</v>
      </c>
      <c r="F1022">
        <f t="shared" si="36"/>
        <v>-1.8957135471089733E-2</v>
      </c>
      <c r="G1022">
        <f t="shared" si="37"/>
        <v>-2.9742015759201587E-2</v>
      </c>
    </row>
    <row r="1023" spans="1:7" x14ac:dyDescent="0.35">
      <c r="A1023" t="s">
        <v>64</v>
      </c>
      <c r="E1023">
        <v>-6.40043944395805E-3</v>
      </c>
      <c r="F1023">
        <f t="shared" si="36"/>
        <v>-1.8958436633514941E-2</v>
      </c>
      <c r="G1023">
        <f t="shared" si="37"/>
        <v>-2.9742015759201587E-2</v>
      </c>
    </row>
    <row r="1024" spans="1:7" x14ac:dyDescent="0.35">
      <c r="A1024" t="s">
        <v>64</v>
      </c>
      <c r="E1024">
        <v>-1.2705388562975254E-3</v>
      </c>
      <c r="F1024">
        <f t="shared" si="36"/>
        <v>-1.8959737795940148E-2</v>
      </c>
      <c r="G1024">
        <f t="shared" si="37"/>
        <v>-2.9742015759201587E-2</v>
      </c>
    </row>
    <row r="1025" spans="1:7" x14ac:dyDescent="0.35">
      <c r="A1025" t="s">
        <v>64</v>
      </c>
      <c r="E1025">
        <v>1.5268436102495475E-2</v>
      </c>
      <c r="F1025">
        <f t="shared" si="36"/>
        <v>-1.8961038958365355E-2</v>
      </c>
      <c r="G1025">
        <f t="shared" si="37"/>
        <v>-2.9742015759201587E-2</v>
      </c>
    </row>
    <row r="1026" spans="1:7" x14ac:dyDescent="0.35">
      <c r="A1026" t="s">
        <v>64</v>
      </c>
      <c r="E1026">
        <v>4.8861804786770402E-3</v>
      </c>
      <c r="F1026">
        <f t="shared" si="36"/>
        <v>-1.8962340120790563E-2</v>
      </c>
      <c r="G1026">
        <f t="shared" si="37"/>
        <v>-2.9742015759201587E-2</v>
      </c>
    </row>
    <row r="1027" spans="1:7" x14ac:dyDescent="0.35">
      <c r="A1027" t="s">
        <v>64</v>
      </c>
      <c r="E1027">
        <v>-1.2973477194250329E-3</v>
      </c>
      <c r="F1027">
        <f t="shared" si="36"/>
        <v>-1.896364128321577E-2</v>
      </c>
      <c r="G1027">
        <f t="shared" si="37"/>
        <v>-2.9742015759201587E-2</v>
      </c>
    </row>
    <row r="1028" spans="1:7" x14ac:dyDescent="0.35">
      <c r="A1028" t="s">
        <v>64</v>
      </c>
      <c r="E1028">
        <v>2.0131078269151705E-2</v>
      </c>
      <c r="F1028">
        <f t="shared" ref="F1028:F1091" si="38">_xlfn.PERCENTILE.EXC(E1028:E4843,0.05)</f>
        <v>-1.8964942445640978E-2</v>
      </c>
      <c r="G1028">
        <f t="shared" ref="G1028:G1091" si="39">AVERAGEIFS(E1028:E4844,E1028:E4844,"&lt;=" &amp; F1028)</f>
        <v>-2.9742015759201587E-2</v>
      </c>
    </row>
    <row r="1029" spans="1:7" x14ac:dyDescent="0.35">
      <c r="A1029" t="s">
        <v>64</v>
      </c>
      <c r="E1029">
        <v>6.4389244465565152E-3</v>
      </c>
      <c r="F1029">
        <f t="shared" si="38"/>
        <v>-1.8966243608066181E-2</v>
      </c>
      <c r="G1029">
        <f t="shared" si="39"/>
        <v>-2.9742015759201587E-2</v>
      </c>
    </row>
    <row r="1030" spans="1:7" x14ac:dyDescent="0.35">
      <c r="A1030" t="s">
        <v>64</v>
      </c>
      <c r="E1030">
        <v>5.9330980654576744E-3</v>
      </c>
      <c r="F1030">
        <f t="shared" si="38"/>
        <v>-1.8967544770491389E-2</v>
      </c>
      <c r="G1030">
        <f t="shared" si="39"/>
        <v>-2.9742015759201587E-2</v>
      </c>
    </row>
    <row r="1031" spans="1:7" x14ac:dyDescent="0.35">
      <c r="A1031" t="s">
        <v>64</v>
      </c>
      <c r="E1031">
        <v>6.815481045846737E-3</v>
      </c>
      <c r="F1031">
        <f t="shared" si="38"/>
        <v>-1.8968845932916596E-2</v>
      </c>
      <c r="G1031">
        <f t="shared" si="39"/>
        <v>-2.9742015759201587E-2</v>
      </c>
    </row>
    <row r="1032" spans="1:7" x14ac:dyDescent="0.35">
      <c r="A1032" t="s">
        <v>64</v>
      </c>
      <c r="E1032">
        <v>-5.8387633419137303E-4</v>
      </c>
      <c r="F1032">
        <f t="shared" si="38"/>
        <v>-1.8970147095341804E-2</v>
      </c>
      <c r="G1032">
        <f t="shared" si="39"/>
        <v>-2.9742015759201587E-2</v>
      </c>
    </row>
    <row r="1033" spans="1:7" x14ac:dyDescent="0.35">
      <c r="A1033" t="s">
        <v>64</v>
      </c>
      <c r="E1033">
        <v>3.126854006573718E-4</v>
      </c>
      <c r="F1033">
        <f t="shared" si="38"/>
        <v>-1.8971448257767011E-2</v>
      </c>
      <c r="G1033">
        <f t="shared" si="39"/>
        <v>-2.9742015759201587E-2</v>
      </c>
    </row>
    <row r="1034" spans="1:7" x14ac:dyDescent="0.35">
      <c r="A1034" t="s">
        <v>64</v>
      </c>
      <c r="E1034">
        <v>2.7950556502379682E-5</v>
      </c>
      <c r="F1034">
        <f t="shared" si="38"/>
        <v>-1.8972749420192218E-2</v>
      </c>
      <c r="G1034">
        <f t="shared" si="39"/>
        <v>-2.9742015759201587E-2</v>
      </c>
    </row>
    <row r="1035" spans="1:7" x14ac:dyDescent="0.35">
      <c r="A1035" t="s">
        <v>64</v>
      </c>
      <c r="E1035">
        <v>-4.2741092821839081E-3</v>
      </c>
      <c r="F1035">
        <f t="shared" si="38"/>
        <v>-1.8974050582617426E-2</v>
      </c>
      <c r="G1035">
        <f t="shared" si="39"/>
        <v>-2.9742015759201587E-2</v>
      </c>
    </row>
    <row r="1036" spans="1:7" x14ac:dyDescent="0.35">
      <c r="A1036" t="s">
        <v>64</v>
      </c>
      <c r="E1036">
        <v>3.9531484677084519E-3</v>
      </c>
      <c r="F1036">
        <f t="shared" si="38"/>
        <v>-1.8975351745042633E-2</v>
      </c>
      <c r="G1036">
        <f t="shared" si="39"/>
        <v>-2.9742015759201587E-2</v>
      </c>
    </row>
    <row r="1037" spans="1:7" x14ac:dyDescent="0.35">
      <c r="A1037" t="s">
        <v>64</v>
      </c>
      <c r="E1037">
        <v>5.3692471557754504E-3</v>
      </c>
      <c r="F1037">
        <f t="shared" si="38"/>
        <v>-1.8976652907467841E-2</v>
      </c>
      <c r="G1037">
        <f t="shared" si="39"/>
        <v>-2.9742015759201587E-2</v>
      </c>
    </row>
    <row r="1038" spans="1:7" x14ac:dyDescent="0.35">
      <c r="A1038" t="s">
        <v>64</v>
      </c>
      <c r="E1038">
        <v>-9.8823758100037096E-4</v>
      </c>
      <c r="F1038">
        <f t="shared" si="38"/>
        <v>-1.8977954069893048E-2</v>
      </c>
      <c r="G1038">
        <f t="shared" si="39"/>
        <v>-2.9742015759201587E-2</v>
      </c>
    </row>
    <row r="1039" spans="1:7" x14ac:dyDescent="0.35">
      <c r="A1039" t="s">
        <v>64</v>
      </c>
      <c r="E1039">
        <v>-3.8861517379514187E-3</v>
      </c>
      <c r="F1039">
        <f t="shared" si="38"/>
        <v>-1.8979255232318255E-2</v>
      </c>
      <c r="G1039">
        <f t="shared" si="39"/>
        <v>-2.9742015759201587E-2</v>
      </c>
    </row>
    <row r="1040" spans="1:7" x14ac:dyDescent="0.35">
      <c r="A1040" t="s">
        <v>64</v>
      </c>
      <c r="E1040">
        <v>-7.6259872144367304E-3</v>
      </c>
      <c r="F1040">
        <f t="shared" si="38"/>
        <v>-1.8980556394743463E-2</v>
      </c>
      <c r="G1040">
        <f t="shared" si="39"/>
        <v>-2.9742015759201587E-2</v>
      </c>
    </row>
    <row r="1041" spans="1:7" x14ac:dyDescent="0.35">
      <c r="A1041" t="s">
        <v>64</v>
      </c>
      <c r="E1041">
        <v>1.0762323148126822E-2</v>
      </c>
      <c r="F1041">
        <f t="shared" si="38"/>
        <v>-1.8985146649509874E-2</v>
      </c>
      <c r="G1041">
        <f t="shared" si="39"/>
        <v>-2.9819997348799109E-2</v>
      </c>
    </row>
    <row r="1042" spans="1:7" x14ac:dyDescent="0.35">
      <c r="A1042" t="s">
        <v>65</v>
      </c>
      <c r="B1042" s="3" cm="1">
        <f t="array" ref="B1042">_xlfn.STDEV.S(_xlfn._xlws.FILTER($E$1000:$E$1998, $A$1000:$A$1998="2014-03"))</f>
        <v>1.4228089829690741E-2</v>
      </c>
      <c r="C1042" s="3" cm="1">
        <f t="array" ref="C1042">AVERAGE(_xlfn._xlws.FILTER($E$1000:$E$1998, $A$1000:$A$1998="2014-03"))</f>
        <v>-6.7377361418529736E-4</v>
      </c>
      <c r="D1042" s="3" cm="1">
        <f t="array" ref="D1042">_xlfn.PERCENTILE.EXC(_xlfn._xlws.FILTER($E$1000:$E$1497, $A$1000:$A$1497="2014-03"), 0.05)</f>
        <v>-3.3517899573662843E-2</v>
      </c>
      <c r="E1042">
        <v>-3.4982363436915097E-2</v>
      </c>
      <c r="F1042">
        <f t="shared" si="38"/>
        <v>-1.8989736904276289E-2</v>
      </c>
      <c r="G1042">
        <f t="shared" si="39"/>
        <v>-2.9819997348799109E-2</v>
      </c>
    </row>
    <row r="1043" spans="1:7" x14ac:dyDescent="0.35">
      <c r="A1043" t="s">
        <v>65</v>
      </c>
      <c r="E1043">
        <v>2.4305557259787541E-2</v>
      </c>
      <c r="F1043">
        <f t="shared" si="38"/>
        <v>-1.8958436633514941E-2</v>
      </c>
      <c r="G1043">
        <f t="shared" si="39"/>
        <v>-2.9704042225305115E-2</v>
      </c>
    </row>
    <row r="1044" spans="1:7" x14ac:dyDescent="0.35">
      <c r="A1044" t="s">
        <v>65</v>
      </c>
      <c r="E1044">
        <v>-4.9270478850136279E-3</v>
      </c>
      <c r="F1044">
        <f t="shared" si="38"/>
        <v>-1.8959737795940148E-2</v>
      </c>
      <c r="G1044">
        <f t="shared" si="39"/>
        <v>-2.9704042225305115E-2</v>
      </c>
    </row>
    <row r="1045" spans="1:7" x14ac:dyDescent="0.35">
      <c r="A1045" t="s">
        <v>65</v>
      </c>
      <c r="E1045">
        <v>8.9075703403283397E-5</v>
      </c>
      <c r="F1045">
        <f t="shared" si="38"/>
        <v>-1.8961038958365355E-2</v>
      </c>
      <c r="G1045">
        <f t="shared" si="39"/>
        <v>-2.9704042225305115E-2</v>
      </c>
    </row>
    <row r="1046" spans="1:7" x14ac:dyDescent="0.35">
      <c r="A1046" t="s">
        <v>65</v>
      </c>
      <c r="E1046">
        <v>-2.0337724804392596E-2</v>
      </c>
      <c r="F1046">
        <f t="shared" si="38"/>
        <v>-1.8962340120790563E-2</v>
      </c>
      <c r="G1046">
        <f t="shared" si="39"/>
        <v>-2.9704042225305115E-2</v>
      </c>
    </row>
    <row r="1047" spans="1:7" x14ac:dyDescent="0.35">
      <c r="A1047" t="s">
        <v>65</v>
      </c>
      <c r="E1047">
        <v>-9.1587291654493704E-3</v>
      </c>
      <c r="F1047">
        <f t="shared" si="38"/>
        <v>-1.8837243146670502E-2</v>
      </c>
      <c r="G1047">
        <f t="shared" si="39"/>
        <v>-2.9694019097347479E-2</v>
      </c>
    </row>
    <row r="1048" spans="1:7" x14ac:dyDescent="0.35">
      <c r="A1048" t="s">
        <v>65</v>
      </c>
      <c r="E1048">
        <v>4.5538591259652672E-3</v>
      </c>
      <c r="F1048">
        <f t="shared" si="38"/>
        <v>-1.8846265454329644E-2</v>
      </c>
      <c r="G1048">
        <f t="shared" si="39"/>
        <v>-2.9694019097347479E-2</v>
      </c>
    </row>
    <row r="1049" spans="1:7" x14ac:dyDescent="0.35">
      <c r="A1049" t="s">
        <v>65</v>
      </c>
      <c r="E1049">
        <v>-1.2878303986897245E-2</v>
      </c>
      <c r="F1049">
        <f t="shared" si="38"/>
        <v>-1.8855287761988779E-2</v>
      </c>
      <c r="G1049">
        <f t="shared" si="39"/>
        <v>-2.9694019097347479E-2</v>
      </c>
    </row>
    <row r="1050" spans="1:7" x14ac:dyDescent="0.35">
      <c r="A1050" t="s">
        <v>65</v>
      </c>
      <c r="E1050">
        <v>-1.8774086993056525E-2</v>
      </c>
      <c r="F1050">
        <f t="shared" si="38"/>
        <v>-1.8864310069647922E-2</v>
      </c>
      <c r="G1050">
        <f t="shared" si="39"/>
        <v>-2.9694019097347479E-2</v>
      </c>
    </row>
    <row r="1051" spans="1:7" x14ac:dyDescent="0.35">
      <c r="A1051" t="s">
        <v>65</v>
      </c>
      <c r="E1051">
        <v>4.2735013196493858E-3</v>
      </c>
      <c r="F1051">
        <f t="shared" si="38"/>
        <v>-1.8851975071461642E-2</v>
      </c>
      <c r="G1051">
        <f t="shared" si="39"/>
        <v>-2.9694019097347479E-2</v>
      </c>
    </row>
    <row r="1052" spans="1:7" x14ac:dyDescent="0.35">
      <c r="A1052" t="s">
        <v>65</v>
      </c>
      <c r="E1052">
        <v>1.3651355536542325E-2</v>
      </c>
      <c r="F1052">
        <f t="shared" si="38"/>
        <v>-1.8863370413103608E-2</v>
      </c>
      <c r="G1052">
        <f t="shared" si="39"/>
        <v>-2.9694019097347479E-2</v>
      </c>
    </row>
    <row r="1053" spans="1:7" x14ac:dyDescent="0.35">
      <c r="A1053" t="s">
        <v>65</v>
      </c>
      <c r="E1053">
        <v>6.6936717816103086E-3</v>
      </c>
      <c r="F1053">
        <f t="shared" si="38"/>
        <v>-1.8874765754745577E-2</v>
      </c>
      <c r="G1053">
        <f t="shared" si="39"/>
        <v>-2.9694019097347479E-2</v>
      </c>
    </row>
    <row r="1054" spans="1:7" x14ac:dyDescent="0.35">
      <c r="A1054" t="s">
        <v>65</v>
      </c>
      <c r="E1054">
        <v>3.725786724256018E-3</v>
      </c>
      <c r="F1054">
        <f t="shared" si="38"/>
        <v>-1.8886161096387535E-2</v>
      </c>
      <c r="G1054">
        <f t="shared" si="39"/>
        <v>-2.9694019097347479E-2</v>
      </c>
    </row>
    <row r="1055" spans="1:7" x14ac:dyDescent="0.35">
      <c r="A1055" t="s">
        <v>65</v>
      </c>
      <c r="E1055">
        <v>2.0535004742110131E-3</v>
      </c>
      <c r="F1055">
        <f t="shared" si="38"/>
        <v>-1.8897556438029501E-2</v>
      </c>
      <c r="G1055">
        <f t="shared" si="39"/>
        <v>-2.9694019097347479E-2</v>
      </c>
    </row>
    <row r="1056" spans="1:7" x14ac:dyDescent="0.35">
      <c r="A1056" t="s">
        <v>65</v>
      </c>
      <c r="E1056">
        <v>5.0238690658369984E-3</v>
      </c>
      <c r="F1056">
        <f t="shared" si="38"/>
        <v>-1.890895177967146E-2</v>
      </c>
      <c r="G1056">
        <f t="shared" si="39"/>
        <v>-2.9694019097347479E-2</v>
      </c>
    </row>
    <row r="1057" spans="1:7" x14ac:dyDescent="0.35">
      <c r="A1057" t="s">
        <v>65</v>
      </c>
      <c r="E1057">
        <v>-1.6638891591636507E-2</v>
      </c>
      <c r="F1057">
        <f t="shared" si="38"/>
        <v>-1.8920347121313425E-2</v>
      </c>
      <c r="G1057">
        <f t="shared" si="39"/>
        <v>-2.9694019097347479E-2</v>
      </c>
    </row>
    <row r="1058" spans="1:7" x14ac:dyDescent="0.35">
      <c r="A1058" t="s">
        <v>65</v>
      </c>
      <c r="E1058">
        <v>1.6152845077909133E-2</v>
      </c>
      <c r="F1058">
        <f t="shared" si="38"/>
        <v>-1.8931742462955394E-2</v>
      </c>
      <c r="G1058">
        <f t="shared" si="39"/>
        <v>-2.9694019097347479E-2</v>
      </c>
    </row>
    <row r="1059" spans="1:7" x14ac:dyDescent="0.35">
      <c r="A1059" t="s">
        <v>65</v>
      </c>
      <c r="E1059">
        <v>1.1729534308221764E-2</v>
      </c>
      <c r="F1059">
        <f t="shared" si="38"/>
        <v>-1.8943137804597353E-2</v>
      </c>
      <c r="G1059">
        <f t="shared" si="39"/>
        <v>-2.9694019097347479E-2</v>
      </c>
    </row>
    <row r="1060" spans="1:7" x14ac:dyDescent="0.35">
      <c r="A1060" t="s">
        <v>65</v>
      </c>
      <c r="E1060">
        <v>2.7830997243625253E-4</v>
      </c>
      <c r="F1060">
        <f t="shared" si="38"/>
        <v>-1.8954533146239318E-2</v>
      </c>
      <c r="G1060">
        <f t="shared" si="39"/>
        <v>-2.9694019097347479E-2</v>
      </c>
    </row>
    <row r="1061" spans="1:7" x14ac:dyDescent="0.35">
      <c r="A1061" t="s">
        <v>65</v>
      </c>
      <c r="E1061">
        <v>1.4285056765725588E-2</v>
      </c>
      <c r="F1061">
        <f t="shared" si="38"/>
        <v>-1.8955834308664526E-2</v>
      </c>
      <c r="G1061">
        <f t="shared" si="39"/>
        <v>-2.977240950574973E-2</v>
      </c>
    </row>
    <row r="1062" spans="1:7" x14ac:dyDescent="0.35">
      <c r="A1062" t="s">
        <v>65</v>
      </c>
      <c r="E1062">
        <v>-3.2680211500851616E-3</v>
      </c>
      <c r="F1062">
        <f t="shared" si="38"/>
        <v>-1.8957135471089733E-2</v>
      </c>
      <c r="G1062">
        <f t="shared" si="39"/>
        <v>-2.977240950574973E-2</v>
      </c>
    </row>
    <row r="1063" spans="1:7" x14ac:dyDescent="0.35">
      <c r="A1063" t="s">
        <v>66</v>
      </c>
      <c r="B1063" s="3" cm="1">
        <f t="array" ref="B1063">_xlfn.STDEV.S(_xlfn._xlws.FILTER($E$1000:$E$1998, $A$1000:$A$1998="2014-04"))</f>
        <v>1.0960163541798818E-2</v>
      </c>
      <c r="C1063" s="3" cm="1">
        <f t="array" ref="C1063">AVERAGE(_xlfn._xlws.FILTER($E$1000:$E$1998, $A$1000:$A$1998="2014-04"))</f>
        <v>2.4698444825483864E-4</v>
      </c>
      <c r="D1063" s="3" cm="1">
        <f t="array" ref="D1063">_xlfn.PERCENTILE.EXC(_xlfn._xlws.FILTER($E$1000:$E$1497, $A$1000:$A$1497="2014-04"), 0.05)</f>
        <v>-1.9187412901654925E-2</v>
      </c>
      <c r="E1063">
        <v>4.9896708987206551E-3</v>
      </c>
      <c r="F1063">
        <f t="shared" si="38"/>
        <v>-1.8958436633514941E-2</v>
      </c>
      <c r="G1063">
        <f t="shared" si="39"/>
        <v>-2.977240950574973E-2</v>
      </c>
    </row>
    <row r="1064" spans="1:7" x14ac:dyDescent="0.35">
      <c r="A1064" t="s">
        <v>66</v>
      </c>
      <c r="E1064">
        <v>2.0439938941637513E-3</v>
      </c>
      <c r="F1064">
        <f t="shared" si="38"/>
        <v>-1.8959737795940148E-2</v>
      </c>
      <c r="G1064">
        <f t="shared" si="39"/>
        <v>-2.977240950574973E-2</v>
      </c>
    </row>
    <row r="1065" spans="1:7" x14ac:dyDescent="0.35">
      <c r="A1065" t="s">
        <v>66</v>
      </c>
      <c r="E1065">
        <v>5.6720850795959261E-4</v>
      </c>
      <c r="F1065">
        <f t="shared" si="38"/>
        <v>-1.8961038958365355E-2</v>
      </c>
      <c r="G1065">
        <f t="shared" si="39"/>
        <v>-2.977240950574973E-2</v>
      </c>
    </row>
    <row r="1066" spans="1:7" x14ac:dyDescent="0.35">
      <c r="A1066" t="s">
        <v>66</v>
      </c>
      <c r="E1066">
        <v>6.9290233700372078E-3</v>
      </c>
      <c r="F1066">
        <f t="shared" si="38"/>
        <v>-1.8962340120790563E-2</v>
      </c>
      <c r="G1066">
        <f t="shared" si="39"/>
        <v>-2.977240950574973E-2</v>
      </c>
    </row>
    <row r="1067" spans="1:7" x14ac:dyDescent="0.35">
      <c r="A1067" t="s">
        <v>66</v>
      </c>
      <c r="E1067">
        <v>-1.925645575989509E-2</v>
      </c>
      <c r="F1067">
        <f t="shared" si="38"/>
        <v>-1.896364128321577E-2</v>
      </c>
      <c r="G1067">
        <f t="shared" si="39"/>
        <v>-2.977240950574973E-2</v>
      </c>
    </row>
    <row r="1068" spans="1:7" x14ac:dyDescent="0.35">
      <c r="A1068" t="s">
        <v>66</v>
      </c>
      <c r="E1068">
        <v>-2.1113974848790133E-3</v>
      </c>
      <c r="F1068">
        <f t="shared" si="38"/>
        <v>-1.8817789046535759E-2</v>
      </c>
      <c r="G1068">
        <f t="shared" si="39"/>
        <v>-2.9770205691051509E-2</v>
      </c>
    </row>
    <row r="1069" spans="1:7" x14ac:dyDescent="0.35">
      <c r="A1069" t="s">
        <v>66</v>
      </c>
      <c r="E1069">
        <v>1.6381416865501846E-3</v>
      </c>
      <c r="F1069">
        <f t="shared" si="38"/>
        <v>-1.8829184388177718E-2</v>
      </c>
      <c r="G1069">
        <f t="shared" si="39"/>
        <v>-2.9770205691051509E-2</v>
      </c>
    </row>
    <row r="1070" spans="1:7" x14ac:dyDescent="0.35">
      <c r="A1070" t="s">
        <v>66</v>
      </c>
      <c r="E1070">
        <v>-5.4649469455133968E-3</v>
      </c>
      <c r="F1070">
        <f t="shared" si="38"/>
        <v>-1.8840579729819684E-2</v>
      </c>
      <c r="G1070">
        <f t="shared" si="39"/>
        <v>-2.9770205691051509E-2</v>
      </c>
    </row>
    <row r="1071" spans="1:7" x14ac:dyDescent="0.35">
      <c r="A1071" t="s">
        <v>66</v>
      </c>
      <c r="E1071">
        <v>-1.4837913268958572E-2</v>
      </c>
      <c r="F1071">
        <f t="shared" si="38"/>
        <v>-1.8851975071461642E-2</v>
      </c>
      <c r="G1071">
        <f t="shared" si="39"/>
        <v>-2.9770205691051509E-2</v>
      </c>
    </row>
    <row r="1072" spans="1:7" x14ac:dyDescent="0.35">
      <c r="A1072" t="s">
        <v>66</v>
      </c>
      <c r="E1072">
        <v>2.5602470448545184E-3</v>
      </c>
      <c r="F1072">
        <f t="shared" si="38"/>
        <v>-1.8863370413103608E-2</v>
      </c>
      <c r="G1072">
        <f t="shared" si="39"/>
        <v>-2.9770205691051509E-2</v>
      </c>
    </row>
    <row r="1073" spans="1:7" x14ac:dyDescent="0.35">
      <c r="A1073" t="s">
        <v>66</v>
      </c>
      <c r="E1073">
        <v>-1.7875598595091826E-2</v>
      </c>
      <c r="F1073">
        <f t="shared" si="38"/>
        <v>-1.8874765754745577E-2</v>
      </c>
      <c r="G1073">
        <f t="shared" si="39"/>
        <v>-2.9770205691051509E-2</v>
      </c>
    </row>
    <row r="1074" spans="1:7" x14ac:dyDescent="0.35">
      <c r="A1074" t="s">
        <v>66</v>
      </c>
      <c r="E1074">
        <v>1.5586911157361013E-2</v>
      </c>
      <c r="F1074">
        <f t="shared" si="38"/>
        <v>-1.8886161096387535E-2</v>
      </c>
      <c r="G1074">
        <f t="shared" si="39"/>
        <v>-2.9770205691051509E-2</v>
      </c>
    </row>
    <row r="1075" spans="1:7" x14ac:dyDescent="0.35">
      <c r="A1075" t="s">
        <v>66</v>
      </c>
      <c r="E1075">
        <v>9.8134390860440002E-3</v>
      </c>
      <c r="F1075">
        <f t="shared" si="38"/>
        <v>-1.8897556438029501E-2</v>
      </c>
      <c r="G1075">
        <f t="shared" si="39"/>
        <v>-2.9770205691051509E-2</v>
      </c>
    </row>
    <row r="1076" spans="1:7" x14ac:dyDescent="0.35">
      <c r="A1076" t="s">
        <v>66</v>
      </c>
      <c r="E1076">
        <v>2.0030338585877425E-2</v>
      </c>
      <c r="F1076">
        <f t="shared" si="38"/>
        <v>-1.890895177967146E-2</v>
      </c>
      <c r="G1076">
        <f t="shared" si="39"/>
        <v>-2.9770205691051509E-2</v>
      </c>
    </row>
    <row r="1077" spans="1:7" x14ac:dyDescent="0.35">
      <c r="A1077" t="s">
        <v>66</v>
      </c>
      <c r="E1077">
        <v>-5.8398810369143924E-3</v>
      </c>
      <c r="F1077">
        <f t="shared" si="38"/>
        <v>-1.8920347121313425E-2</v>
      </c>
      <c r="G1077">
        <f t="shared" si="39"/>
        <v>-2.9770205691051509E-2</v>
      </c>
    </row>
    <row r="1078" spans="1:7" x14ac:dyDescent="0.35">
      <c r="A1078" t="s">
        <v>66</v>
      </c>
      <c r="E1078">
        <v>4.7033265116983849E-4</v>
      </c>
      <c r="F1078">
        <f t="shared" si="38"/>
        <v>-1.8931742462955394E-2</v>
      </c>
      <c r="G1078">
        <f t="shared" si="39"/>
        <v>-2.9770205691051509E-2</v>
      </c>
    </row>
    <row r="1079" spans="1:7" x14ac:dyDescent="0.35">
      <c r="A1079" t="s">
        <v>66</v>
      </c>
      <c r="E1079">
        <v>-1.5528355744579666E-2</v>
      </c>
      <c r="F1079">
        <f t="shared" si="38"/>
        <v>-1.8943137804597353E-2</v>
      </c>
      <c r="G1079">
        <f t="shared" si="39"/>
        <v>-2.9770205691051509E-2</v>
      </c>
    </row>
    <row r="1080" spans="1:7" x14ac:dyDescent="0.35">
      <c r="A1080" t="s">
        <v>66</v>
      </c>
      <c r="E1080">
        <v>4.7549128180763281E-3</v>
      </c>
      <c r="F1080">
        <f t="shared" si="38"/>
        <v>-1.8954533146239318E-2</v>
      </c>
      <c r="G1080">
        <f t="shared" si="39"/>
        <v>-2.9770205691051509E-2</v>
      </c>
    </row>
    <row r="1081" spans="1:7" x14ac:dyDescent="0.35">
      <c r="A1081" t="s">
        <v>66</v>
      </c>
      <c r="E1081">
        <v>1.4478080045224178E-2</v>
      </c>
      <c r="F1081">
        <f t="shared" si="38"/>
        <v>-1.8955834308664526E-2</v>
      </c>
      <c r="G1081">
        <f t="shared" si="39"/>
        <v>-2.9849732695057484E-2</v>
      </c>
    </row>
    <row r="1082" spans="1:7" x14ac:dyDescent="0.35">
      <c r="A1082" t="s">
        <v>66</v>
      </c>
      <c r="E1082">
        <v>1.9919380548900356E-3</v>
      </c>
      <c r="F1082">
        <f t="shared" si="38"/>
        <v>-1.8957135471089733E-2</v>
      </c>
      <c r="G1082">
        <f t="shared" si="39"/>
        <v>-2.9849732695057484E-2</v>
      </c>
    </row>
    <row r="1083" spans="1:7" x14ac:dyDescent="0.35">
      <c r="A1083" t="s">
        <v>67</v>
      </c>
      <c r="B1083" s="3" cm="1">
        <f t="array" ref="B1083">_xlfn.STDEV.S(_xlfn._xlws.FILTER($E$1000:$E$1998, $A$1000:$A$1998="2014-05"))</f>
        <v>6.8803288208733526E-3</v>
      </c>
      <c r="C1083" s="3" cm="1">
        <f t="array" ref="C1083">AVERAGE(_xlfn._xlws.FILTER($E$1000:$E$1998, $A$1000:$A$1998="2014-05"))</f>
        <v>1.8313915891473396E-3</v>
      </c>
      <c r="D1083" s="3" cm="1">
        <f t="array" ref="D1083">_xlfn.PERCENTILE.EXC(_xlfn._xlws.FILTER($E$1000:$E$1497, $A$1000:$A$1497="2014-05"), 0.05)</f>
        <v>-1.0132778175598404E-2</v>
      </c>
      <c r="E1083">
        <v>-4.9281778304283196E-3</v>
      </c>
      <c r="F1083">
        <f t="shared" si="38"/>
        <v>-1.8958436633514941E-2</v>
      </c>
      <c r="G1083">
        <f t="shared" si="39"/>
        <v>-2.9849732695057484E-2</v>
      </c>
    </row>
    <row r="1084" spans="1:7" x14ac:dyDescent="0.35">
      <c r="A1084" t="s">
        <v>67</v>
      </c>
      <c r="E1084">
        <v>-9.3032728633443747E-3</v>
      </c>
      <c r="F1084">
        <f t="shared" si="38"/>
        <v>-1.8959737795940148E-2</v>
      </c>
      <c r="G1084">
        <f t="shared" si="39"/>
        <v>-2.9849732695057484E-2</v>
      </c>
    </row>
    <row r="1085" spans="1:7" x14ac:dyDescent="0.35">
      <c r="A1085" t="s">
        <v>67</v>
      </c>
      <c r="E1085">
        <v>5.6633445784499623E-3</v>
      </c>
      <c r="F1085">
        <f t="shared" si="38"/>
        <v>-1.8961038958365355E-2</v>
      </c>
      <c r="G1085">
        <f t="shared" si="39"/>
        <v>-2.9849732695057484E-2</v>
      </c>
    </row>
    <row r="1086" spans="1:7" x14ac:dyDescent="0.35">
      <c r="A1086" t="s">
        <v>67</v>
      </c>
      <c r="E1086">
        <v>9.0022407653052115E-3</v>
      </c>
      <c r="F1086">
        <f t="shared" si="38"/>
        <v>-1.8962340120790563E-2</v>
      </c>
      <c r="G1086">
        <f t="shared" si="39"/>
        <v>-2.9849732695057484E-2</v>
      </c>
    </row>
    <row r="1087" spans="1:7" x14ac:dyDescent="0.35">
      <c r="A1087" t="s">
        <v>67</v>
      </c>
      <c r="E1087">
        <v>-2.7046973445019602E-3</v>
      </c>
      <c r="F1087">
        <f t="shared" si="38"/>
        <v>-1.896364128321577E-2</v>
      </c>
      <c r="G1087">
        <f t="shared" si="39"/>
        <v>-2.9849732695057484E-2</v>
      </c>
    </row>
    <row r="1088" spans="1:7" x14ac:dyDescent="0.35">
      <c r="A1088" t="s">
        <v>67</v>
      </c>
      <c r="E1088">
        <v>1.2550524080432038E-2</v>
      </c>
      <c r="F1088">
        <f t="shared" si="38"/>
        <v>-1.8964942445640978E-2</v>
      </c>
      <c r="G1088">
        <f t="shared" si="39"/>
        <v>-2.9849732695057484E-2</v>
      </c>
    </row>
    <row r="1089" spans="1:7" x14ac:dyDescent="0.35">
      <c r="A1089" t="s">
        <v>67</v>
      </c>
      <c r="E1089">
        <v>5.3420791907073332E-3</v>
      </c>
      <c r="F1089">
        <f t="shared" si="38"/>
        <v>-1.8966243608066181E-2</v>
      </c>
      <c r="G1089">
        <f t="shared" si="39"/>
        <v>-2.9849732695057484E-2</v>
      </c>
    </row>
    <row r="1090" spans="1:7" x14ac:dyDescent="0.35">
      <c r="A1090" t="s">
        <v>67</v>
      </c>
      <c r="E1090">
        <v>-4.1007093202875367E-6</v>
      </c>
      <c r="F1090">
        <f t="shared" si="38"/>
        <v>-1.8967544770491389E-2</v>
      </c>
      <c r="G1090">
        <f t="shared" si="39"/>
        <v>-2.9849732695057484E-2</v>
      </c>
    </row>
    <row r="1091" spans="1:7" x14ac:dyDescent="0.35">
      <c r="A1091" t="s">
        <v>67</v>
      </c>
      <c r="E1091">
        <v>-1.0132778175598404E-2</v>
      </c>
      <c r="F1091">
        <f t="shared" si="38"/>
        <v>-1.8968845932916596E-2</v>
      </c>
      <c r="G1091">
        <f t="shared" si="39"/>
        <v>-2.9849732695057484E-2</v>
      </c>
    </row>
    <row r="1092" spans="1:7" x14ac:dyDescent="0.35">
      <c r="A1092" t="s">
        <v>67</v>
      </c>
      <c r="E1092">
        <v>-2.794898410769651E-3</v>
      </c>
      <c r="F1092">
        <f t="shared" ref="F1092:F1155" si="40">_xlfn.PERCENTILE.EXC(E1092:E4907,0.05)</f>
        <v>-1.8970147095341804E-2</v>
      </c>
      <c r="G1092">
        <f t="shared" ref="G1092:G1155" si="41">AVERAGEIFS(E1092:E4908,E1092:E4908,"&lt;=" &amp; F1092)</f>
        <v>-2.9849732695057484E-2</v>
      </c>
    </row>
    <row r="1093" spans="1:7" x14ac:dyDescent="0.35">
      <c r="A1093" t="s">
        <v>67</v>
      </c>
      <c r="E1093">
        <v>3.1407357339981812E-3</v>
      </c>
      <c r="F1093">
        <f t="shared" si="40"/>
        <v>-1.8971448257767011E-2</v>
      </c>
      <c r="G1093">
        <f t="shared" si="41"/>
        <v>-2.9849732695057484E-2</v>
      </c>
    </row>
    <row r="1094" spans="1:7" x14ac:dyDescent="0.35">
      <c r="A1094" t="s">
        <v>67</v>
      </c>
      <c r="E1094">
        <v>-2.1048308491091808E-3</v>
      </c>
      <c r="F1094">
        <f t="shared" si="40"/>
        <v>-1.8972749420192218E-2</v>
      </c>
      <c r="G1094">
        <f t="shared" si="41"/>
        <v>-2.9849732695057484E-2</v>
      </c>
    </row>
    <row r="1095" spans="1:7" x14ac:dyDescent="0.35">
      <c r="A1095" t="s">
        <v>67</v>
      </c>
      <c r="E1095">
        <v>6.0806053840456991E-3</v>
      </c>
      <c r="F1095">
        <f t="shared" si="40"/>
        <v>-1.8974050582617426E-2</v>
      </c>
      <c r="G1095">
        <f t="shared" si="41"/>
        <v>-2.9849732695057484E-2</v>
      </c>
    </row>
    <row r="1096" spans="1:7" x14ac:dyDescent="0.35">
      <c r="A1096" t="s">
        <v>67</v>
      </c>
      <c r="E1096">
        <v>2.3729617217371924E-3</v>
      </c>
      <c r="F1096">
        <f t="shared" si="40"/>
        <v>-1.8975351745042633E-2</v>
      </c>
      <c r="G1096">
        <f t="shared" si="41"/>
        <v>-2.9849732695057484E-2</v>
      </c>
    </row>
    <row r="1097" spans="1:7" x14ac:dyDescent="0.35">
      <c r="A1097" t="s">
        <v>67</v>
      </c>
      <c r="E1097">
        <v>4.833525069588342E-3</v>
      </c>
      <c r="F1097">
        <f t="shared" si="40"/>
        <v>-1.8976652907467841E-2</v>
      </c>
      <c r="G1097">
        <f t="shared" si="41"/>
        <v>-2.9849732695057484E-2</v>
      </c>
    </row>
    <row r="1098" spans="1:7" x14ac:dyDescent="0.35">
      <c r="A1098" t="s">
        <v>67</v>
      </c>
      <c r="E1098">
        <v>1.7536751676875365E-2</v>
      </c>
      <c r="F1098">
        <f t="shared" si="40"/>
        <v>-1.8977954069893048E-2</v>
      </c>
      <c r="G1098">
        <f t="shared" si="41"/>
        <v>-2.9849732695057484E-2</v>
      </c>
    </row>
    <row r="1099" spans="1:7" x14ac:dyDescent="0.35">
      <c r="A1099" t="s">
        <v>67</v>
      </c>
      <c r="E1099">
        <v>-1.6599605973530482E-4</v>
      </c>
      <c r="F1099">
        <f t="shared" si="40"/>
        <v>-1.8979255232318255E-2</v>
      </c>
      <c r="G1099">
        <f t="shared" si="41"/>
        <v>-2.9849732695057484E-2</v>
      </c>
    </row>
    <row r="1100" spans="1:7" x14ac:dyDescent="0.35">
      <c r="A1100" t="s">
        <v>67</v>
      </c>
      <c r="E1100">
        <v>-2.7165615174600203E-5</v>
      </c>
      <c r="F1100">
        <f t="shared" si="40"/>
        <v>-1.8980556394743463E-2</v>
      </c>
      <c r="G1100">
        <f t="shared" si="41"/>
        <v>-2.9849732695057484E-2</v>
      </c>
    </row>
    <row r="1101" spans="1:7" x14ac:dyDescent="0.35">
      <c r="A1101" t="s">
        <v>67</v>
      </c>
      <c r="E1101">
        <v>4.3958985064221454E-4</v>
      </c>
      <c r="F1101">
        <f t="shared" si="40"/>
        <v>-1.8985146649509874E-2</v>
      </c>
      <c r="G1101">
        <f t="shared" si="41"/>
        <v>-2.9930245112096847E-2</v>
      </c>
    </row>
    <row r="1102" spans="1:7" x14ac:dyDescent="0.35">
      <c r="A1102" t="s">
        <v>68</v>
      </c>
      <c r="B1102" s="3" cm="1">
        <f t="array" ref="B1102">_xlfn.STDEV.S(_xlfn._xlws.FILTER($E$1000:$E$1998, $A$1000:$A$1998="2014-06"))</f>
        <v>4.0449412826937302E-3</v>
      </c>
      <c r="C1102" s="3" cm="1">
        <f t="array" ref="C1102">AVERAGE(_xlfn._xlws.FILTER($E$1000:$E$1998, $A$1000:$A$1998="2014-06"))</f>
        <v>-5.3070217873548797E-4</v>
      </c>
      <c r="D1102" s="3" cm="1">
        <f t="array" ref="D1102">_xlfn.PERCENTILE.EXC(_xlfn._xlws.FILTER($E$1000:$E$1497, $A$1000:$A$1497="2014-06"), 0.05)</f>
        <v>-7.826946318369464E-3</v>
      </c>
      <c r="E1102">
        <v>6.8867098777321387E-4</v>
      </c>
      <c r="F1102">
        <f t="shared" si="40"/>
        <v>-1.8989736904276289E-2</v>
      </c>
      <c r="G1102">
        <f t="shared" si="41"/>
        <v>-2.9930245112096847E-2</v>
      </c>
    </row>
    <row r="1103" spans="1:7" x14ac:dyDescent="0.35">
      <c r="A1103" t="s">
        <v>68</v>
      </c>
      <c r="E1103">
        <v>-3.0579001234017169E-3</v>
      </c>
      <c r="F1103">
        <f t="shared" si="40"/>
        <v>-1.8994327159042704E-2</v>
      </c>
      <c r="G1103">
        <f t="shared" si="41"/>
        <v>-2.9930245112096847E-2</v>
      </c>
    </row>
    <row r="1104" spans="1:7" x14ac:dyDescent="0.35">
      <c r="A1104" t="s">
        <v>68</v>
      </c>
      <c r="E1104">
        <v>6.9836310765063561E-4</v>
      </c>
      <c r="F1104">
        <f t="shared" si="40"/>
        <v>-1.8998917413809119E-2</v>
      </c>
      <c r="G1104">
        <f t="shared" si="41"/>
        <v>-2.9930245112096847E-2</v>
      </c>
    </row>
    <row r="1105" spans="1:7" x14ac:dyDescent="0.35">
      <c r="A1105" t="s">
        <v>68</v>
      </c>
      <c r="E1105">
        <v>2.129362549526025E-3</v>
      </c>
      <c r="F1105">
        <f t="shared" si="40"/>
        <v>-1.9003507668575535E-2</v>
      </c>
      <c r="G1105">
        <f t="shared" si="41"/>
        <v>-2.9930245112096847E-2</v>
      </c>
    </row>
    <row r="1106" spans="1:7" x14ac:dyDescent="0.35">
      <c r="A1106" t="s">
        <v>68</v>
      </c>
      <c r="E1106">
        <v>3.9488348791224129E-3</v>
      </c>
      <c r="F1106">
        <f t="shared" si="40"/>
        <v>-1.9008097923341946E-2</v>
      </c>
      <c r="G1106">
        <f t="shared" si="41"/>
        <v>-2.9930245112096847E-2</v>
      </c>
    </row>
    <row r="1107" spans="1:7" x14ac:dyDescent="0.35">
      <c r="A1107" t="s">
        <v>68</v>
      </c>
      <c r="E1107">
        <v>2.1444490114707832E-3</v>
      </c>
      <c r="F1107">
        <f t="shared" si="40"/>
        <v>-1.9012688178108361E-2</v>
      </c>
      <c r="G1107">
        <f t="shared" si="41"/>
        <v>-2.9930245112096847E-2</v>
      </c>
    </row>
    <row r="1108" spans="1:7" x14ac:dyDescent="0.35">
      <c r="A1108" t="s">
        <v>68</v>
      </c>
      <c r="E1108">
        <v>2.0132329158576057E-3</v>
      </c>
      <c r="F1108">
        <f t="shared" si="40"/>
        <v>-1.9017278432874776E-2</v>
      </c>
      <c r="G1108">
        <f t="shared" si="41"/>
        <v>-2.9930245112096847E-2</v>
      </c>
    </row>
    <row r="1109" spans="1:7" x14ac:dyDescent="0.35">
      <c r="A1109" t="s">
        <v>68</v>
      </c>
      <c r="E1109">
        <v>-7.9074982287164336E-3</v>
      </c>
      <c r="F1109">
        <f t="shared" si="40"/>
        <v>-1.9021868687641188E-2</v>
      </c>
      <c r="G1109">
        <f t="shared" si="41"/>
        <v>-2.9930245112096847E-2</v>
      </c>
    </row>
    <row r="1110" spans="1:7" x14ac:dyDescent="0.35">
      <c r="A1110" t="s">
        <v>68</v>
      </c>
      <c r="E1110">
        <v>-1.1172281036259451E-3</v>
      </c>
      <c r="F1110">
        <f t="shared" si="40"/>
        <v>-1.9026458942407606E-2</v>
      </c>
      <c r="G1110">
        <f t="shared" si="41"/>
        <v>-2.9930245112096847E-2</v>
      </c>
    </row>
    <row r="1111" spans="1:7" x14ac:dyDescent="0.35">
      <c r="A1111" t="s">
        <v>68</v>
      </c>
      <c r="E1111">
        <v>-2.6023145350031565E-3</v>
      </c>
      <c r="F1111">
        <f t="shared" si="40"/>
        <v>-1.9031049197174018E-2</v>
      </c>
      <c r="G1111">
        <f t="shared" si="41"/>
        <v>-2.9930245112096847E-2</v>
      </c>
    </row>
    <row r="1112" spans="1:7" x14ac:dyDescent="0.35">
      <c r="A1112" t="s">
        <v>68</v>
      </c>
      <c r="E1112">
        <v>-2.9186482201264724E-3</v>
      </c>
      <c r="F1112">
        <f t="shared" si="40"/>
        <v>-1.9035639451940433E-2</v>
      </c>
      <c r="G1112">
        <f t="shared" si="41"/>
        <v>-2.9930245112096847E-2</v>
      </c>
    </row>
    <row r="1113" spans="1:7" x14ac:dyDescent="0.35">
      <c r="A1113" t="s">
        <v>68</v>
      </c>
      <c r="E1113">
        <v>3.6699141889794808E-3</v>
      </c>
      <c r="F1113">
        <f t="shared" si="40"/>
        <v>-1.9040229706706848E-2</v>
      </c>
      <c r="G1113">
        <f t="shared" si="41"/>
        <v>-2.9930245112096847E-2</v>
      </c>
    </row>
    <row r="1114" spans="1:7" x14ac:dyDescent="0.35">
      <c r="A1114" t="s">
        <v>68</v>
      </c>
      <c r="E1114">
        <v>1.0085312922711329E-3</v>
      </c>
      <c r="F1114">
        <f t="shared" si="40"/>
        <v>-1.904481996147326E-2</v>
      </c>
      <c r="G1114">
        <f t="shared" si="41"/>
        <v>-2.9930245112096847E-2</v>
      </c>
    </row>
    <row r="1115" spans="1:7" x14ac:dyDescent="0.35">
      <c r="A1115" t="s">
        <v>68</v>
      </c>
      <c r="E1115">
        <v>7.3913028820842726E-3</v>
      </c>
      <c r="F1115">
        <f t="shared" si="40"/>
        <v>-1.9049410216239675E-2</v>
      </c>
      <c r="G1115">
        <f t="shared" si="41"/>
        <v>-2.9930245112096847E-2</v>
      </c>
    </row>
    <row r="1116" spans="1:7" x14ac:dyDescent="0.35">
      <c r="A1116" t="s">
        <v>68</v>
      </c>
      <c r="E1116">
        <v>-1.6767348025079536E-3</v>
      </c>
      <c r="F1116">
        <f t="shared" si="40"/>
        <v>-1.905400047100609E-2</v>
      </c>
      <c r="G1116">
        <f t="shared" si="41"/>
        <v>-2.9930245112096847E-2</v>
      </c>
    </row>
    <row r="1117" spans="1:7" x14ac:dyDescent="0.35">
      <c r="A1117" t="s">
        <v>68</v>
      </c>
      <c r="E1117">
        <v>-6.6626192808668964E-3</v>
      </c>
      <c r="F1117">
        <f t="shared" si="40"/>
        <v>-1.9058590725772505E-2</v>
      </c>
      <c r="G1117">
        <f t="shared" si="41"/>
        <v>-2.9930245112096847E-2</v>
      </c>
    </row>
    <row r="1118" spans="1:7" x14ac:dyDescent="0.35">
      <c r="A1118" t="s">
        <v>68</v>
      </c>
      <c r="E1118">
        <v>1.7281841251690236E-3</v>
      </c>
      <c r="F1118">
        <f t="shared" si="40"/>
        <v>-1.906318098053892E-2</v>
      </c>
      <c r="G1118">
        <f t="shared" si="41"/>
        <v>-2.9930245112096847E-2</v>
      </c>
    </row>
    <row r="1119" spans="1:7" x14ac:dyDescent="0.35">
      <c r="A1119" t="s">
        <v>68</v>
      </c>
      <c r="E1119">
        <v>-7.1019791252467414E-3</v>
      </c>
      <c r="F1119">
        <f t="shared" si="40"/>
        <v>-1.9067771235305331E-2</v>
      </c>
      <c r="G1119">
        <f t="shared" si="41"/>
        <v>-2.9930245112096847E-2</v>
      </c>
    </row>
    <row r="1120" spans="1:7" x14ac:dyDescent="0.35">
      <c r="A1120" t="s">
        <v>68</v>
      </c>
      <c r="E1120">
        <v>-6.3896032137430369E-3</v>
      </c>
      <c r="F1120">
        <f t="shared" si="40"/>
        <v>-1.9072361490071747E-2</v>
      </c>
      <c r="G1120">
        <f t="shared" si="41"/>
        <v>-2.9930245112096847E-2</v>
      </c>
    </row>
    <row r="1121" spans="1:7" x14ac:dyDescent="0.35">
      <c r="A1121" t="s">
        <v>68</v>
      </c>
      <c r="E1121">
        <v>1.046887288166618E-3</v>
      </c>
      <c r="F1121">
        <f t="shared" si="40"/>
        <v>-1.907261795680407E-2</v>
      </c>
      <c r="G1121">
        <f t="shared" si="41"/>
        <v>-3.0011274094350768E-2</v>
      </c>
    </row>
    <row r="1122" spans="1:7" x14ac:dyDescent="0.35">
      <c r="A1122" t="s">
        <v>68</v>
      </c>
      <c r="E1122">
        <v>1.8220466517219012E-3</v>
      </c>
      <c r="F1122">
        <f t="shared" si="40"/>
        <v>-1.907287442353639E-2</v>
      </c>
      <c r="G1122">
        <f t="shared" si="41"/>
        <v>-3.0011274094350768E-2</v>
      </c>
    </row>
    <row r="1123" spans="1:7" x14ac:dyDescent="0.35">
      <c r="A1123" t="s">
        <v>69</v>
      </c>
      <c r="B1123" s="3" cm="1">
        <f t="array" ref="B1123">_xlfn.STDEV.S(_xlfn._xlws.FILTER($E$1000:$E$1998, $A$1000:$A$1998="2014-07"))</f>
        <v>9.9767848827967791E-3</v>
      </c>
      <c r="C1123" s="3" cm="1">
        <f t="array" ref="C1123">AVERAGE(_xlfn._xlws.FILTER($E$1000:$E$1998, $A$1000:$A$1998="2014-07"))</f>
        <v>-1.9237424842694487E-3</v>
      </c>
      <c r="D1123" s="3" cm="1">
        <f t="array" ref="D1123">_xlfn.PERCENTILE.EXC(_xlfn._xlws.FILTER($E$1000:$E$1497, $A$1000:$A$1497="2014-07"), 0.05)</f>
        <v>-1.8767361104945042E-2</v>
      </c>
      <c r="E1123">
        <v>7.0269672005806713E-3</v>
      </c>
      <c r="F1123">
        <f t="shared" si="40"/>
        <v>-1.9073130890268714E-2</v>
      </c>
      <c r="G1123">
        <f t="shared" si="41"/>
        <v>-3.0011274094350768E-2</v>
      </c>
    </row>
    <row r="1124" spans="1:7" x14ac:dyDescent="0.35">
      <c r="A1124" t="s">
        <v>69</v>
      </c>
      <c r="E1124">
        <v>8.9433165273092546E-4</v>
      </c>
      <c r="F1124">
        <f t="shared" si="40"/>
        <v>-1.9073387357001034E-2</v>
      </c>
      <c r="G1124">
        <f t="shared" si="41"/>
        <v>-3.0011274094350768E-2</v>
      </c>
    </row>
    <row r="1125" spans="1:7" x14ac:dyDescent="0.35">
      <c r="A1125" t="s">
        <v>69</v>
      </c>
      <c r="E1125">
        <v>1.1851277336143258E-2</v>
      </c>
      <c r="F1125">
        <f t="shared" si="40"/>
        <v>-1.9073643823733357E-2</v>
      </c>
      <c r="G1125">
        <f t="shared" si="41"/>
        <v>-3.0011274094350768E-2</v>
      </c>
    </row>
    <row r="1126" spans="1:7" x14ac:dyDescent="0.35">
      <c r="A1126" t="s">
        <v>69</v>
      </c>
      <c r="E1126">
        <v>-2.0310898361071165E-3</v>
      </c>
      <c r="F1126">
        <f t="shared" si="40"/>
        <v>-1.9073900290465681E-2</v>
      </c>
      <c r="G1126">
        <f t="shared" si="41"/>
        <v>-3.0011274094350768E-2</v>
      </c>
    </row>
    <row r="1127" spans="1:7" x14ac:dyDescent="0.35">
      <c r="A1127" t="s">
        <v>69</v>
      </c>
      <c r="E1127">
        <v>-1.034498044594547E-2</v>
      </c>
      <c r="F1127">
        <f t="shared" si="40"/>
        <v>-1.9074156757198001E-2</v>
      </c>
      <c r="G1127">
        <f t="shared" si="41"/>
        <v>-3.0011274094350768E-2</v>
      </c>
    </row>
    <row r="1128" spans="1:7" x14ac:dyDescent="0.35">
      <c r="A1128" t="s">
        <v>69</v>
      </c>
      <c r="E1128">
        <v>-1.3557986278410048E-2</v>
      </c>
      <c r="F1128">
        <f t="shared" si="40"/>
        <v>-1.9074413223930324E-2</v>
      </c>
      <c r="G1128">
        <f t="shared" si="41"/>
        <v>-3.0011274094350768E-2</v>
      </c>
    </row>
    <row r="1129" spans="1:7" x14ac:dyDescent="0.35">
      <c r="A1129" t="s">
        <v>69</v>
      </c>
      <c r="E1129">
        <v>3.6290562160223813E-3</v>
      </c>
      <c r="F1129">
        <f t="shared" si="40"/>
        <v>-1.9074669690662644E-2</v>
      </c>
      <c r="G1129">
        <f t="shared" si="41"/>
        <v>-3.0011274094350768E-2</v>
      </c>
    </row>
    <row r="1130" spans="1:7" x14ac:dyDescent="0.35">
      <c r="A1130" t="s">
        <v>69</v>
      </c>
      <c r="E1130">
        <v>-1.5315188446290585E-2</v>
      </c>
      <c r="F1130">
        <f t="shared" si="40"/>
        <v>-1.9074926157394968E-2</v>
      </c>
      <c r="G1130">
        <f t="shared" si="41"/>
        <v>-3.0011274094350768E-2</v>
      </c>
    </row>
    <row r="1131" spans="1:7" x14ac:dyDescent="0.35">
      <c r="A1131" t="s">
        <v>69</v>
      </c>
      <c r="E1131">
        <v>7.4616558712659097E-4</v>
      </c>
      <c r="F1131">
        <f t="shared" si="40"/>
        <v>-1.9075182624127291E-2</v>
      </c>
      <c r="G1131">
        <f t="shared" si="41"/>
        <v>-3.0011274094350768E-2</v>
      </c>
    </row>
    <row r="1132" spans="1:7" x14ac:dyDescent="0.35">
      <c r="A1132" t="s">
        <v>69</v>
      </c>
      <c r="E1132">
        <v>1.1997460012188136E-2</v>
      </c>
      <c r="F1132">
        <f t="shared" si="40"/>
        <v>-1.9075439090859611E-2</v>
      </c>
      <c r="G1132">
        <f t="shared" si="41"/>
        <v>-3.0011274094350768E-2</v>
      </c>
    </row>
    <row r="1133" spans="1:7" x14ac:dyDescent="0.35">
      <c r="A1133" t="s">
        <v>69</v>
      </c>
      <c r="E1133">
        <v>-6.5222906145285357E-3</v>
      </c>
      <c r="F1133">
        <f t="shared" si="40"/>
        <v>-1.9075695557591935E-2</v>
      </c>
      <c r="G1133">
        <f t="shared" si="41"/>
        <v>-3.0011274094350768E-2</v>
      </c>
    </row>
    <row r="1134" spans="1:7" x14ac:dyDescent="0.35">
      <c r="A1134" t="s">
        <v>69</v>
      </c>
      <c r="E1134">
        <v>1.4287212320974444E-2</v>
      </c>
      <c r="F1134">
        <f t="shared" si="40"/>
        <v>-1.9075952024324255E-2</v>
      </c>
      <c r="G1134">
        <f t="shared" si="41"/>
        <v>-3.0011274094350768E-2</v>
      </c>
    </row>
    <row r="1135" spans="1:7" x14ac:dyDescent="0.35">
      <c r="A1135" t="s">
        <v>69</v>
      </c>
      <c r="E1135">
        <v>-1.0746974795436232E-2</v>
      </c>
      <c r="F1135">
        <f t="shared" si="40"/>
        <v>-1.9076208491056578E-2</v>
      </c>
      <c r="G1135">
        <f t="shared" si="41"/>
        <v>-3.0011274094350768E-2</v>
      </c>
    </row>
    <row r="1136" spans="1:7" x14ac:dyDescent="0.35">
      <c r="A1136" t="s">
        <v>69</v>
      </c>
      <c r="E1136">
        <v>-3.4774784837143229E-3</v>
      </c>
      <c r="F1136">
        <f t="shared" si="40"/>
        <v>-1.9076464957788902E-2</v>
      </c>
      <c r="G1136">
        <f t="shared" si="41"/>
        <v>-3.0011274094350768E-2</v>
      </c>
    </row>
    <row r="1137" spans="1:7" x14ac:dyDescent="0.35">
      <c r="A1137" t="s">
        <v>69</v>
      </c>
      <c r="E1137">
        <v>-1.1170156391662142E-2</v>
      </c>
      <c r="F1137">
        <f t="shared" si="40"/>
        <v>-1.9076721424521222E-2</v>
      </c>
      <c r="G1137">
        <f t="shared" si="41"/>
        <v>-3.0011274094350768E-2</v>
      </c>
    </row>
    <row r="1138" spans="1:7" x14ac:dyDescent="0.35">
      <c r="A1138" t="s">
        <v>69</v>
      </c>
      <c r="E1138">
        <v>1.2641292932421316E-2</v>
      </c>
      <c r="F1138">
        <f t="shared" si="40"/>
        <v>-1.9076977891253545E-2</v>
      </c>
      <c r="G1138">
        <f t="shared" si="41"/>
        <v>-3.0011274094350768E-2</v>
      </c>
    </row>
    <row r="1139" spans="1:7" x14ac:dyDescent="0.35">
      <c r="A1139" t="s">
        <v>69</v>
      </c>
      <c r="E1139">
        <v>1.9735339476438648E-3</v>
      </c>
      <c r="F1139">
        <f t="shared" si="40"/>
        <v>-1.9077234357985865E-2</v>
      </c>
      <c r="G1139">
        <f t="shared" si="41"/>
        <v>-3.0011274094350768E-2</v>
      </c>
    </row>
    <row r="1140" spans="1:7" x14ac:dyDescent="0.35">
      <c r="A1140" t="s">
        <v>69</v>
      </c>
      <c r="E1140">
        <v>4.1437328892720065E-3</v>
      </c>
      <c r="F1140">
        <f t="shared" si="40"/>
        <v>-1.9077490824718189E-2</v>
      </c>
      <c r="G1140">
        <f t="shared" si="41"/>
        <v>-3.0011274094350768E-2</v>
      </c>
    </row>
    <row r="1141" spans="1:7" x14ac:dyDescent="0.35">
      <c r="A1141" t="s">
        <v>69</v>
      </c>
      <c r="E1141">
        <v>-1.5439082228544085E-2</v>
      </c>
      <c r="F1141">
        <f t="shared" si="40"/>
        <v>-1.9077835903769692E-2</v>
      </c>
      <c r="G1141">
        <f t="shared" si="41"/>
        <v>-3.0093482991114917E-2</v>
      </c>
    </row>
    <row r="1142" spans="1:7" x14ac:dyDescent="0.35">
      <c r="A1142" t="s">
        <v>69</v>
      </c>
      <c r="E1142">
        <v>-4.7645419299946453E-3</v>
      </c>
      <c r="F1142">
        <f t="shared" si="40"/>
        <v>-1.9078180982821193E-2</v>
      </c>
      <c r="G1142">
        <f t="shared" si="41"/>
        <v>-3.0093482991114917E-2</v>
      </c>
    </row>
    <row r="1143" spans="1:7" x14ac:dyDescent="0.35">
      <c r="A1143" t="s">
        <v>69</v>
      </c>
      <c r="E1143">
        <v>5.7615551188491126E-3</v>
      </c>
      <c r="F1143">
        <f t="shared" si="40"/>
        <v>-1.9078526061872696E-2</v>
      </c>
      <c r="G1143">
        <f t="shared" si="41"/>
        <v>-3.0093482991114917E-2</v>
      </c>
    </row>
    <row r="1144" spans="1:7" x14ac:dyDescent="0.35">
      <c r="A1144" t="s">
        <v>69</v>
      </c>
      <c r="E1144">
        <v>-6.229462077471562E-3</v>
      </c>
      <c r="F1144">
        <f t="shared" si="40"/>
        <v>-1.9078871140924197E-2</v>
      </c>
      <c r="G1144">
        <f t="shared" si="41"/>
        <v>-3.0093482991114917E-2</v>
      </c>
    </row>
    <row r="1145" spans="1:7" x14ac:dyDescent="0.35">
      <c r="A1145" t="s">
        <v>69</v>
      </c>
      <c r="E1145">
        <v>-1.9599430824045284E-2</v>
      </c>
      <c r="F1145">
        <f t="shared" si="40"/>
        <v>-1.90792162199757E-2</v>
      </c>
      <c r="G1145">
        <f t="shared" si="41"/>
        <v>-3.0093482991114917E-2</v>
      </c>
    </row>
    <row r="1146" spans="1:7" x14ac:dyDescent="0.35">
      <c r="A1146" t="s">
        <v>70</v>
      </c>
      <c r="B1146" s="3" cm="1">
        <f t="array" ref="B1146">_xlfn.STDEV.S(_xlfn._xlws.FILTER($E$1000:$E$1998, $A$1000:$A$1998="2014-08"))</f>
        <v>1.1597667143392356E-2</v>
      </c>
      <c r="C1146" s="3" cm="1">
        <f t="array" ref="C1146">AVERAGE(_xlfn._xlws.FILTER($E$1000:$E$1998, $A$1000:$A$1998="2014-08"))</f>
        <v>3.495653127657021E-4</v>
      </c>
      <c r="D1146" s="3" cm="1">
        <f t="array" ref="D1146">_xlfn.PERCENTILE.EXC(_xlfn._xlws.FILTER($E$1000:$E$1497, $A$1000:$A$1497="2014-08"), 0.05)</f>
        <v>-2.1206581079737007E-2</v>
      </c>
      <c r="E1146">
        <v>-2.1206581079737007E-2</v>
      </c>
      <c r="F1146">
        <f t="shared" si="40"/>
        <v>-1.9073900290465681E-2</v>
      </c>
      <c r="G1146">
        <f t="shared" si="41"/>
        <v>-3.0089558630217721E-2</v>
      </c>
    </row>
    <row r="1147" spans="1:7" x14ac:dyDescent="0.35">
      <c r="A1147" t="s">
        <v>70</v>
      </c>
      <c r="E1147">
        <v>-6.0923004650234331E-3</v>
      </c>
      <c r="F1147">
        <f t="shared" si="40"/>
        <v>-1.9012688178108361E-2</v>
      </c>
      <c r="G1147">
        <f t="shared" si="41"/>
        <v>-3.0073511866385651E-2</v>
      </c>
    </row>
    <row r="1148" spans="1:7" x14ac:dyDescent="0.35">
      <c r="A1148" t="s">
        <v>70</v>
      </c>
      <c r="E1148">
        <v>3.8814083709449235E-3</v>
      </c>
      <c r="F1148">
        <f t="shared" si="40"/>
        <v>-1.9017278432874776E-2</v>
      </c>
      <c r="G1148">
        <f t="shared" si="41"/>
        <v>-3.0073511866385651E-2</v>
      </c>
    </row>
    <row r="1149" spans="1:7" x14ac:dyDescent="0.35">
      <c r="A1149" t="s">
        <v>70</v>
      </c>
      <c r="E1149">
        <v>-6.5175685877650498E-3</v>
      </c>
      <c r="F1149">
        <f t="shared" si="40"/>
        <v>-1.9021868687641188E-2</v>
      </c>
      <c r="G1149">
        <f t="shared" si="41"/>
        <v>-3.0073511866385651E-2</v>
      </c>
    </row>
    <row r="1150" spans="1:7" x14ac:dyDescent="0.35">
      <c r="A1150" t="s">
        <v>70</v>
      </c>
      <c r="E1150">
        <v>-1.0024845898732971E-2</v>
      </c>
      <c r="F1150">
        <f t="shared" si="40"/>
        <v>-1.9026458942407606E-2</v>
      </c>
      <c r="G1150">
        <f t="shared" si="41"/>
        <v>-3.0073511866385651E-2</v>
      </c>
    </row>
    <row r="1151" spans="1:7" x14ac:dyDescent="0.35">
      <c r="A1151" t="s">
        <v>70</v>
      </c>
      <c r="E1151">
        <v>-3.2856327855533079E-3</v>
      </c>
      <c r="F1151">
        <f t="shared" si="40"/>
        <v>-1.9031049197174018E-2</v>
      </c>
      <c r="G1151">
        <f t="shared" si="41"/>
        <v>-3.0073511866385651E-2</v>
      </c>
    </row>
    <row r="1152" spans="1:7" x14ac:dyDescent="0.35">
      <c r="A1152" t="s">
        <v>70</v>
      </c>
      <c r="E1152">
        <v>1.884821433137104E-2</v>
      </c>
      <c r="F1152">
        <f t="shared" si="40"/>
        <v>-1.9035639451940433E-2</v>
      </c>
      <c r="G1152">
        <f t="shared" si="41"/>
        <v>-3.0073511866385651E-2</v>
      </c>
    </row>
    <row r="1153" spans="1:7" x14ac:dyDescent="0.35">
      <c r="A1153" t="s">
        <v>70</v>
      </c>
      <c r="E1153">
        <v>-1.2193983384801143E-2</v>
      </c>
      <c r="F1153">
        <f t="shared" si="40"/>
        <v>-1.9040229706706848E-2</v>
      </c>
      <c r="G1153">
        <f t="shared" si="41"/>
        <v>-3.0073511866385651E-2</v>
      </c>
    </row>
    <row r="1154" spans="1:7" x14ac:dyDescent="0.35">
      <c r="A1154" t="s">
        <v>70</v>
      </c>
      <c r="E1154">
        <v>1.4167909493179118E-2</v>
      </c>
      <c r="F1154">
        <f t="shared" si="40"/>
        <v>-1.904481996147326E-2</v>
      </c>
      <c r="G1154">
        <f t="shared" si="41"/>
        <v>-3.0073511866385651E-2</v>
      </c>
    </row>
    <row r="1155" spans="1:7" x14ac:dyDescent="0.35">
      <c r="A1155" t="s">
        <v>70</v>
      </c>
      <c r="E1155">
        <v>2.8462924624882056E-3</v>
      </c>
      <c r="F1155">
        <f t="shared" si="40"/>
        <v>-1.9049410216239675E-2</v>
      </c>
      <c r="G1155">
        <f t="shared" si="41"/>
        <v>-3.0073511866385651E-2</v>
      </c>
    </row>
    <row r="1156" spans="1:7" x14ac:dyDescent="0.35">
      <c r="A1156" t="s">
        <v>70</v>
      </c>
      <c r="E1156">
        <v>2.1905291960536291E-3</v>
      </c>
      <c r="F1156">
        <f t="shared" ref="F1156:F1219" si="42">_xlfn.PERCENTILE.EXC(E1156:E4971,0.05)</f>
        <v>-1.905400047100609E-2</v>
      </c>
      <c r="G1156">
        <f t="shared" ref="G1156:G1219" si="43">AVERAGEIFS(E1156:E4972,E1156:E4972,"&lt;=" &amp; F1156)</f>
        <v>-3.0073511866385651E-2</v>
      </c>
    </row>
    <row r="1157" spans="1:7" x14ac:dyDescent="0.35">
      <c r="A1157" t="s">
        <v>70</v>
      </c>
      <c r="E1157">
        <v>9.5750857627010019E-3</v>
      </c>
      <c r="F1157">
        <f t="shared" si="42"/>
        <v>-1.9058590725772505E-2</v>
      </c>
      <c r="G1157">
        <f t="shared" si="43"/>
        <v>-3.0073511866385651E-2</v>
      </c>
    </row>
    <row r="1158" spans="1:7" x14ac:dyDescent="0.35">
      <c r="A1158" t="s">
        <v>70</v>
      </c>
      <c r="E1158">
        <v>-2.1138040510771598E-3</v>
      </c>
      <c r="F1158">
        <f t="shared" si="42"/>
        <v>-1.906318098053892E-2</v>
      </c>
      <c r="G1158">
        <f t="shared" si="43"/>
        <v>-3.0073511866385651E-2</v>
      </c>
    </row>
    <row r="1159" spans="1:7" x14ac:dyDescent="0.35">
      <c r="A1159" t="s">
        <v>70</v>
      </c>
      <c r="E1159">
        <v>9.2926011045478367E-3</v>
      </c>
      <c r="F1159">
        <f t="shared" si="42"/>
        <v>-1.9067771235305331E-2</v>
      </c>
      <c r="G1159">
        <f t="shared" si="43"/>
        <v>-3.0073511866385651E-2</v>
      </c>
    </row>
    <row r="1160" spans="1:7" x14ac:dyDescent="0.35">
      <c r="A1160" t="s">
        <v>70</v>
      </c>
      <c r="E1160">
        <v>-6.6550587928089809E-3</v>
      </c>
      <c r="F1160">
        <f t="shared" si="42"/>
        <v>-1.9072361490071747E-2</v>
      </c>
      <c r="G1160">
        <f t="shared" si="43"/>
        <v>-3.0073511866385651E-2</v>
      </c>
    </row>
    <row r="1161" spans="1:7" x14ac:dyDescent="0.35">
      <c r="A1161" t="s">
        <v>70</v>
      </c>
      <c r="E1161">
        <v>2.6310577809802855E-2</v>
      </c>
      <c r="F1161">
        <f t="shared" si="42"/>
        <v>-1.907261795680407E-2</v>
      </c>
      <c r="G1161">
        <f t="shared" si="43"/>
        <v>-3.015685391469106E-2</v>
      </c>
    </row>
    <row r="1162" spans="1:7" x14ac:dyDescent="0.35">
      <c r="A1162" t="s">
        <v>70</v>
      </c>
      <c r="E1162">
        <v>-1.9250590300440445E-3</v>
      </c>
      <c r="F1162">
        <f t="shared" si="42"/>
        <v>-1.907287442353639E-2</v>
      </c>
      <c r="G1162">
        <f t="shared" si="43"/>
        <v>-3.015685391469106E-2</v>
      </c>
    </row>
    <row r="1163" spans="1:7" x14ac:dyDescent="0.35">
      <c r="A1163" t="s">
        <v>70</v>
      </c>
      <c r="E1163">
        <v>-1.1259942412926965E-2</v>
      </c>
      <c r="F1163">
        <f t="shared" si="42"/>
        <v>-1.9073130890268714E-2</v>
      </c>
      <c r="G1163">
        <f t="shared" si="43"/>
        <v>-3.015685391469106E-2</v>
      </c>
    </row>
    <row r="1164" spans="1:7" x14ac:dyDescent="0.35">
      <c r="A1164" t="s">
        <v>70</v>
      </c>
      <c r="E1164">
        <v>8.0389889992979599E-4</v>
      </c>
      <c r="F1164">
        <f t="shared" si="42"/>
        <v>-1.9073387357001034E-2</v>
      </c>
      <c r="G1164">
        <f t="shared" si="43"/>
        <v>-3.015685391469106E-2</v>
      </c>
    </row>
    <row r="1165" spans="1:7" x14ac:dyDescent="0.35">
      <c r="A1165" t="s">
        <v>71</v>
      </c>
      <c r="B1165" s="3" cm="1">
        <f t="array" ref="B1165">_xlfn.STDEV.S(_xlfn._xlws.FILTER($E$1000:$E$1998, $A$1000:$A$1998="2014-09"))</f>
        <v>7.5508616589449159E-3</v>
      </c>
      <c r="C1165" s="3" cm="1">
        <f t="array" ref="C1165">AVERAGE(_xlfn._xlws.FILTER($E$1000:$E$1998, $A$1000:$A$1998="2014-09"))</f>
        <v>1.9818688588433715E-5</v>
      </c>
      <c r="D1165" s="3" cm="1">
        <f t="array" ref="D1165">_xlfn.PERCENTILE.EXC(_xlfn._xlws.FILTER($E$1000:$E$1497, $A$1000:$A$1497="2014-09"), 0.05)</f>
        <v>-1.5956516042215624E-2</v>
      </c>
      <c r="E1165">
        <v>9.3513189429132845E-4</v>
      </c>
      <c r="F1165">
        <f t="shared" si="42"/>
        <v>-1.9073643823733357E-2</v>
      </c>
      <c r="G1165">
        <f t="shared" si="43"/>
        <v>-3.015685391469106E-2</v>
      </c>
    </row>
    <row r="1166" spans="1:7" x14ac:dyDescent="0.35">
      <c r="A1166" t="s">
        <v>71</v>
      </c>
      <c r="E1166">
        <v>2.9484827310266139E-3</v>
      </c>
      <c r="F1166">
        <f t="shared" si="42"/>
        <v>-1.9073900290465681E-2</v>
      </c>
      <c r="G1166">
        <f t="shared" si="43"/>
        <v>-3.015685391469106E-2</v>
      </c>
    </row>
    <row r="1167" spans="1:7" x14ac:dyDescent="0.35">
      <c r="A1167" t="s">
        <v>71</v>
      </c>
      <c r="E1167">
        <v>1.2488200299831328E-2</v>
      </c>
      <c r="F1167">
        <f t="shared" si="42"/>
        <v>-1.9074156757198001E-2</v>
      </c>
      <c r="G1167">
        <f t="shared" si="43"/>
        <v>-3.015685391469106E-2</v>
      </c>
    </row>
    <row r="1168" spans="1:7" x14ac:dyDescent="0.35">
      <c r="A1168" t="s">
        <v>71</v>
      </c>
      <c r="E1168">
        <v>1.0105120676772987E-2</v>
      </c>
      <c r="F1168">
        <f t="shared" si="42"/>
        <v>-1.9074413223930324E-2</v>
      </c>
      <c r="G1168">
        <f t="shared" si="43"/>
        <v>-3.015685391469106E-2</v>
      </c>
    </row>
    <row r="1169" spans="1:7" x14ac:dyDescent="0.35">
      <c r="A1169" t="s">
        <v>71</v>
      </c>
      <c r="E1169">
        <v>2.3378032020386886E-3</v>
      </c>
      <c r="F1169">
        <f t="shared" si="42"/>
        <v>-1.9074669690662644E-2</v>
      </c>
      <c r="G1169">
        <f t="shared" si="43"/>
        <v>-3.015685391469106E-2</v>
      </c>
    </row>
    <row r="1170" spans="1:7" x14ac:dyDescent="0.35">
      <c r="A1170" t="s">
        <v>71</v>
      </c>
      <c r="E1170">
        <v>1.1289385230343473E-3</v>
      </c>
      <c r="F1170">
        <f t="shared" si="42"/>
        <v>-1.9074926157394968E-2</v>
      </c>
      <c r="G1170">
        <f t="shared" si="43"/>
        <v>-3.015685391469106E-2</v>
      </c>
    </row>
    <row r="1171" spans="1:7" x14ac:dyDescent="0.35">
      <c r="A1171" t="s">
        <v>71</v>
      </c>
      <c r="E1171">
        <v>-4.8621654563639361E-3</v>
      </c>
      <c r="F1171">
        <f t="shared" si="42"/>
        <v>-1.9075182624127291E-2</v>
      </c>
      <c r="G1171">
        <f t="shared" si="43"/>
        <v>-3.015685391469106E-2</v>
      </c>
    </row>
    <row r="1172" spans="1:7" x14ac:dyDescent="0.35">
      <c r="A1172" t="s">
        <v>71</v>
      </c>
      <c r="E1172">
        <v>-1.0849592040890221E-3</v>
      </c>
      <c r="F1172">
        <f t="shared" si="42"/>
        <v>-1.9075439090859611E-2</v>
      </c>
      <c r="G1172">
        <f t="shared" si="43"/>
        <v>-3.015685391469106E-2</v>
      </c>
    </row>
    <row r="1173" spans="1:7" x14ac:dyDescent="0.35">
      <c r="A1173" t="s">
        <v>71</v>
      </c>
      <c r="E1173">
        <v>-9.1689900681180827E-4</v>
      </c>
      <c r="F1173">
        <f t="shared" si="42"/>
        <v>-1.9075695557591935E-2</v>
      </c>
      <c r="G1173">
        <f t="shared" si="43"/>
        <v>-3.015685391469106E-2</v>
      </c>
    </row>
    <row r="1174" spans="1:7" x14ac:dyDescent="0.35">
      <c r="A1174" t="s">
        <v>71</v>
      </c>
      <c r="E1174">
        <v>-4.1515051811440717E-3</v>
      </c>
      <c r="F1174">
        <f t="shared" si="42"/>
        <v>-1.9075952024324255E-2</v>
      </c>
      <c r="G1174">
        <f t="shared" si="43"/>
        <v>-3.015685391469106E-2</v>
      </c>
    </row>
    <row r="1175" spans="1:7" x14ac:dyDescent="0.35">
      <c r="A1175" t="s">
        <v>71</v>
      </c>
      <c r="E1175">
        <v>8.8033827244039331E-4</v>
      </c>
      <c r="F1175">
        <f t="shared" si="42"/>
        <v>-1.9076208491056578E-2</v>
      </c>
      <c r="G1175">
        <f t="shared" si="43"/>
        <v>-3.015685391469106E-2</v>
      </c>
    </row>
    <row r="1176" spans="1:7" x14ac:dyDescent="0.35">
      <c r="A1176" t="s">
        <v>71</v>
      </c>
      <c r="E1176">
        <v>-2.7679081517873769E-3</v>
      </c>
      <c r="F1176">
        <f t="shared" si="42"/>
        <v>-1.9076464957788902E-2</v>
      </c>
      <c r="G1176">
        <f t="shared" si="43"/>
        <v>-3.015685391469106E-2</v>
      </c>
    </row>
    <row r="1177" spans="1:7" x14ac:dyDescent="0.35">
      <c r="A1177" t="s">
        <v>71</v>
      </c>
      <c r="E1177">
        <v>2.9614786112625679E-3</v>
      </c>
      <c r="F1177">
        <f t="shared" si="42"/>
        <v>-1.9076721424521222E-2</v>
      </c>
      <c r="G1177">
        <f t="shared" si="43"/>
        <v>-3.015685391469106E-2</v>
      </c>
    </row>
    <row r="1178" spans="1:7" x14ac:dyDescent="0.35">
      <c r="A1178" t="s">
        <v>71</v>
      </c>
      <c r="E1178">
        <v>1.4042635469326034E-2</v>
      </c>
      <c r="F1178">
        <f t="shared" si="42"/>
        <v>-1.9076977891253545E-2</v>
      </c>
      <c r="G1178">
        <f t="shared" si="43"/>
        <v>-3.015685391469106E-2</v>
      </c>
    </row>
    <row r="1179" spans="1:7" x14ac:dyDescent="0.35">
      <c r="A1179" t="s">
        <v>71</v>
      </c>
      <c r="E1179">
        <v>1.1532147916159997E-4</v>
      </c>
      <c r="F1179">
        <f t="shared" si="42"/>
        <v>-1.9077234357985865E-2</v>
      </c>
      <c r="G1179">
        <f t="shared" si="43"/>
        <v>-3.015685391469106E-2</v>
      </c>
    </row>
    <row r="1180" spans="1:7" x14ac:dyDescent="0.35">
      <c r="A1180" t="s">
        <v>71</v>
      </c>
      <c r="E1180">
        <v>-5.0867682118162305E-3</v>
      </c>
      <c r="F1180">
        <f t="shared" si="42"/>
        <v>-1.9077490824718189E-2</v>
      </c>
      <c r="G1180">
        <f t="shared" si="43"/>
        <v>-3.015685391469106E-2</v>
      </c>
    </row>
    <row r="1181" spans="1:7" x14ac:dyDescent="0.35">
      <c r="A1181" t="s">
        <v>71</v>
      </c>
      <c r="E1181">
        <v>-1.5974848326361622E-2</v>
      </c>
      <c r="F1181">
        <f t="shared" si="42"/>
        <v>-1.9077835903769692E-2</v>
      </c>
      <c r="G1181">
        <f t="shared" si="43"/>
        <v>-3.0241429205454213E-2</v>
      </c>
    </row>
    <row r="1182" spans="1:7" x14ac:dyDescent="0.35">
      <c r="A1182" t="s">
        <v>71</v>
      </c>
      <c r="E1182">
        <v>6.9523050969508057E-3</v>
      </c>
      <c r="F1182">
        <f t="shared" si="42"/>
        <v>-1.9078180982821193E-2</v>
      </c>
      <c r="G1182">
        <f t="shared" si="43"/>
        <v>-3.0241429205454213E-2</v>
      </c>
    </row>
    <row r="1183" spans="1:7" x14ac:dyDescent="0.35">
      <c r="A1183" t="s">
        <v>71</v>
      </c>
      <c r="E1183">
        <v>-1.5852633098721636E-2</v>
      </c>
      <c r="F1183">
        <f t="shared" si="42"/>
        <v>-1.9078526061872696E-2</v>
      </c>
      <c r="G1183">
        <f t="shared" si="43"/>
        <v>-3.0241429205454213E-2</v>
      </c>
    </row>
    <row r="1184" spans="1:7" x14ac:dyDescent="0.35">
      <c r="A1184" t="s">
        <v>71</v>
      </c>
      <c r="E1184">
        <v>-2.0483613961024124E-3</v>
      </c>
      <c r="F1184">
        <f t="shared" si="42"/>
        <v>-1.9078871140924197E-2</v>
      </c>
      <c r="G1184">
        <f t="shared" si="43"/>
        <v>-3.0241429205454213E-2</v>
      </c>
    </row>
    <row r="1185" spans="1:7" x14ac:dyDescent="0.35">
      <c r="A1185" t="s">
        <v>71</v>
      </c>
      <c r="E1185">
        <v>-7.1526086047236951E-3</v>
      </c>
      <c r="F1185">
        <f t="shared" si="42"/>
        <v>-1.90792162199757E-2</v>
      </c>
      <c r="G1185">
        <f t="shared" si="43"/>
        <v>-3.0241429205454213E-2</v>
      </c>
    </row>
    <row r="1186" spans="1:7" x14ac:dyDescent="0.35">
      <c r="A1186" t="s">
        <v>71</v>
      </c>
      <c r="E1186">
        <v>5.438911530730655E-3</v>
      </c>
      <c r="F1186">
        <f t="shared" si="42"/>
        <v>-1.9079561299027204E-2</v>
      </c>
      <c r="G1186">
        <f t="shared" si="43"/>
        <v>-3.0241429205454213E-2</v>
      </c>
    </row>
    <row r="1187" spans="1:7" x14ac:dyDescent="0.35">
      <c r="A1187" t="s">
        <v>72</v>
      </c>
      <c r="B1187" s="3" cm="1">
        <f t="array" ref="B1187">_xlfn.STDEV.S(_xlfn._xlws.FILTER($E$1000:$E$1998, $A$1000:$A$1998="2014-10"))</f>
        <v>1.5362219614856062E-2</v>
      </c>
      <c r="C1187" s="3" cm="1">
        <f t="array" ref="C1187">AVERAGE(_xlfn._xlws.FILTER($E$1000:$E$1998, $A$1000:$A$1998="2014-10"))</f>
        <v>-7.1288127241577728E-4</v>
      </c>
      <c r="D1187" s="3" cm="1">
        <f t="array" ref="D1187">_xlfn.PERCENTILE.EXC(_xlfn._xlws.FILTER($E$1000:$E$1497, $A$1000:$A$1497="2014-10"), 0.05)</f>
        <v>-2.8395012561796384E-2</v>
      </c>
      <c r="E1187">
        <v>-9.7867120977579505E-3</v>
      </c>
      <c r="F1187">
        <f t="shared" si="42"/>
        <v>-1.9079906378078704E-2</v>
      </c>
      <c r="G1187">
        <f t="shared" si="43"/>
        <v>-3.0241429205454213E-2</v>
      </c>
    </row>
    <row r="1188" spans="1:7" x14ac:dyDescent="0.35">
      <c r="A1188" t="s">
        <v>72</v>
      </c>
      <c r="E1188">
        <v>-2.0062348956270567E-2</v>
      </c>
      <c r="F1188">
        <f t="shared" si="42"/>
        <v>-1.9080251457130208E-2</v>
      </c>
      <c r="G1188">
        <f t="shared" si="43"/>
        <v>-3.0241429205454213E-2</v>
      </c>
    </row>
    <row r="1189" spans="1:7" x14ac:dyDescent="0.35">
      <c r="A1189" t="s">
        <v>72</v>
      </c>
      <c r="E1189">
        <v>1.5028372543770534E-3</v>
      </c>
      <c r="F1189">
        <f t="shared" si="42"/>
        <v>-1.9074669690662644E-2</v>
      </c>
      <c r="G1189">
        <f t="shared" si="43"/>
        <v>-3.023391120444999E-2</v>
      </c>
    </row>
    <row r="1190" spans="1:7" x14ac:dyDescent="0.35">
      <c r="A1190" t="s">
        <v>72</v>
      </c>
      <c r="E1190">
        <v>-1.3478766260848006E-2</v>
      </c>
      <c r="F1190">
        <f t="shared" si="42"/>
        <v>-1.9074926157394968E-2</v>
      </c>
      <c r="G1190">
        <f t="shared" si="43"/>
        <v>-3.023391120444999E-2</v>
      </c>
    </row>
    <row r="1191" spans="1:7" x14ac:dyDescent="0.35">
      <c r="A1191" t="s">
        <v>72</v>
      </c>
      <c r="E1191">
        <v>-1.0052325772958488E-2</v>
      </c>
      <c r="F1191">
        <f t="shared" si="42"/>
        <v>-1.9075182624127291E-2</v>
      </c>
      <c r="G1191">
        <f t="shared" si="43"/>
        <v>-3.023391120444999E-2</v>
      </c>
    </row>
    <row r="1192" spans="1:7" x14ac:dyDescent="0.35">
      <c r="A1192" t="s">
        <v>72</v>
      </c>
      <c r="E1192">
        <v>1.0766458358895743E-3</v>
      </c>
      <c r="F1192">
        <f t="shared" si="42"/>
        <v>-1.9075439090859611E-2</v>
      </c>
      <c r="G1192">
        <f t="shared" si="43"/>
        <v>-3.023391120444999E-2</v>
      </c>
    </row>
    <row r="1193" spans="1:7" x14ac:dyDescent="0.35">
      <c r="A1193" t="s">
        <v>72</v>
      </c>
      <c r="E1193">
        <v>-2.4302878196460861E-2</v>
      </c>
      <c r="F1193">
        <f t="shared" si="42"/>
        <v>-1.9075695557591935E-2</v>
      </c>
      <c r="G1193">
        <f t="shared" si="43"/>
        <v>-3.023391120444999E-2</v>
      </c>
    </row>
    <row r="1194" spans="1:7" x14ac:dyDescent="0.35">
      <c r="A1194" t="s">
        <v>72</v>
      </c>
      <c r="E1194">
        <v>2.6839034270958843E-3</v>
      </c>
      <c r="F1194">
        <f t="shared" si="42"/>
        <v>-1.904481996147326E-2</v>
      </c>
      <c r="G1194">
        <f t="shared" si="43"/>
        <v>-3.0193983596004271E-2</v>
      </c>
    </row>
    <row r="1195" spans="1:7" x14ac:dyDescent="0.35">
      <c r="A1195" t="s">
        <v>72</v>
      </c>
      <c r="E1195">
        <v>1.4491737258056142E-3</v>
      </c>
      <c r="F1195">
        <f t="shared" si="42"/>
        <v>-1.9049410216239675E-2</v>
      </c>
      <c r="G1195">
        <f t="shared" si="43"/>
        <v>-3.0193983596004271E-2</v>
      </c>
    </row>
    <row r="1196" spans="1:7" x14ac:dyDescent="0.35">
      <c r="A1196" t="s">
        <v>72</v>
      </c>
      <c r="E1196">
        <v>-2.9117153920385008E-2</v>
      </c>
      <c r="F1196">
        <f t="shared" si="42"/>
        <v>-1.905400047100609E-2</v>
      </c>
      <c r="G1196">
        <f t="shared" si="43"/>
        <v>-3.0193983596004271E-2</v>
      </c>
    </row>
    <row r="1197" spans="1:7" x14ac:dyDescent="0.35">
      <c r="A1197" t="s">
        <v>72</v>
      </c>
      <c r="E1197">
        <v>1.2766070804610854E-3</v>
      </c>
      <c r="F1197">
        <f t="shared" si="42"/>
        <v>-1.8976652907467841E-2</v>
      </c>
      <c r="G1197">
        <f t="shared" si="43"/>
        <v>-3.0116604988938308E-2</v>
      </c>
    </row>
    <row r="1198" spans="1:7" x14ac:dyDescent="0.35">
      <c r="A1198" t="s">
        <v>72</v>
      </c>
      <c r="E1198">
        <v>3.0676115298730777E-2</v>
      </c>
      <c r="F1198">
        <f t="shared" si="42"/>
        <v>-1.8977954069893048E-2</v>
      </c>
      <c r="G1198">
        <f t="shared" si="43"/>
        <v>-3.0116604988938308E-2</v>
      </c>
    </row>
    <row r="1199" spans="1:7" x14ac:dyDescent="0.35">
      <c r="A1199" t="s">
        <v>72</v>
      </c>
      <c r="E1199">
        <v>-1.5085642841604198E-2</v>
      </c>
      <c r="F1199">
        <f t="shared" si="42"/>
        <v>-1.8979255232318255E-2</v>
      </c>
      <c r="G1199">
        <f t="shared" si="43"/>
        <v>-3.0116604988938308E-2</v>
      </c>
    </row>
    <row r="1200" spans="1:7" x14ac:dyDescent="0.35">
      <c r="A1200" t="s">
        <v>72</v>
      </c>
      <c r="E1200">
        <v>1.9222709602319386E-2</v>
      </c>
      <c r="F1200">
        <f t="shared" si="42"/>
        <v>-1.8980556394743463E-2</v>
      </c>
      <c r="G1200">
        <f t="shared" si="43"/>
        <v>-3.0116604988938308E-2</v>
      </c>
    </row>
    <row r="1201" spans="1:7" x14ac:dyDescent="0.35">
      <c r="A1201" t="s">
        <v>72</v>
      </c>
      <c r="E1201">
        <v>5.9662152283087525E-3</v>
      </c>
      <c r="F1201">
        <f t="shared" si="42"/>
        <v>-1.8985146649509874E-2</v>
      </c>
      <c r="G1201">
        <f t="shared" si="43"/>
        <v>-3.0202266901201341E-2</v>
      </c>
    </row>
    <row r="1202" spans="1:7" x14ac:dyDescent="0.35">
      <c r="A1202" t="s">
        <v>72</v>
      </c>
      <c r="E1202">
        <v>1.1916226940867854E-2</v>
      </c>
      <c r="F1202">
        <f t="shared" si="42"/>
        <v>-1.8989736904276289E-2</v>
      </c>
      <c r="G1202">
        <f t="shared" si="43"/>
        <v>-3.0202266901201341E-2</v>
      </c>
    </row>
    <row r="1203" spans="1:7" x14ac:dyDescent="0.35">
      <c r="A1203" t="s">
        <v>72</v>
      </c>
      <c r="E1203">
        <v>-6.5993737748372477E-3</v>
      </c>
      <c r="F1203">
        <f t="shared" si="42"/>
        <v>-1.8994327159042704E-2</v>
      </c>
      <c r="G1203">
        <f t="shared" si="43"/>
        <v>-3.0202266901201341E-2</v>
      </c>
    </row>
    <row r="1204" spans="1:7" x14ac:dyDescent="0.35">
      <c r="A1204" t="s">
        <v>72</v>
      </c>
      <c r="E1204">
        <v>-9.5236100108819065E-3</v>
      </c>
      <c r="F1204">
        <f t="shared" si="42"/>
        <v>-1.8998917413809119E-2</v>
      </c>
      <c r="G1204">
        <f t="shared" si="43"/>
        <v>-3.0202266901201341E-2</v>
      </c>
    </row>
    <row r="1205" spans="1:7" x14ac:dyDescent="0.35">
      <c r="A1205" t="s">
        <v>72</v>
      </c>
      <c r="E1205">
        <v>1.8428193053621488E-2</v>
      </c>
      <c r="F1205">
        <f t="shared" si="42"/>
        <v>-1.9003507668575535E-2</v>
      </c>
      <c r="G1205">
        <f t="shared" si="43"/>
        <v>-3.0202266901201341E-2</v>
      </c>
    </row>
    <row r="1206" spans="1:7" x14ac:dyDescent="0.35">
      <c r="A1206" t="s">
        <v>72</v>
      </c>
      <c r="E1206">
        <v>1.6109308756204457E-3</v>
      </c>
      <c r="F1206">
        <f t="shared" si="42"/>
        <v>-1.9008097923341946E-2</v>
      </c>
      <c r="G1206">
        <f t="shared" si="43"/>
        <v>-3.0202266901201341E-2</v>
      </c>
    </row>
    <row r="1207" spans="1:7" x14ac:dyDescent="0.35">
      <c r="A1207" t="s">
        <v>72</v>
      </c>
      <c r="E1207">
        <v>3.5202383908379373E-3</v>
      </c>
      <c r="F1207">
        <f t="shared" si="42"/>
        <v>-1.9012688178108361E-2</v>
      </c>
      <c r="G1207">
        <f t="shared" si="43"/>
        <v>-3.0202266901201341E-2</v>
      </c>
    </row>
    <row r="1208" spans="1:7" x14ac:dyDescent="0.35">
      <c r="A1208" t="s">
        <v>72</v>
      </c>
      <c r="E1208">
        <v>2.2995627124921314E-2</v>
      </c>
      <c r="F1208">
        <f t="shared" si="42"/>
        <v>-1.9017278432874776E-2</v>
      </c>
      <c r="G1208">
        <f t="shared" si="43"/>
        <v>-3.0202266901201341E-2</v>
      </c>
    </row>
    <row r="1209" spans="1:7" x14ac:dyDescent="0.35">
      <c r="A1209" t="s">
        <v>73</v>
      </c>
      <c r="B1209" s="3" cm="1">
        <f t="array" ref="B1209">_xlfn.STDEV.S(_xlfn._xlws.FILTER($E$1000:$E$1998, $A$1000:$A$1998="2014-11"))</f>
        <v>9.675670586048405E-3</v>
      </c>
      <c r="C1209" s="3" cm="1">
        <f t="array" ref="C1209">AVERAGE(_xlfn._xlws.FILTER($E$1000:$E$1998, $A$1000:$A$1998="2014-11"))</f>
        <v>3.3884387709526122E-3</v>
      </c>
      <c r="D1209" s="3" cm="1">
        <f t="array" ref="D1209">_xlfn.PERCENTILE.EXC(_xlfn._xlws.FILTER($E$1000:$E$1497, $A$1000:$A$1497="2014-11"), 0.05)</f>
        <v>-1.6627468027512658E-2</v>
      </c>
      <c r="E1209">
        <v>-8.0921631962672207E-3</v>
      </c>
      <c r="F1209">
        <f t="shared" si="42"/>
        <v>-1.9021868687641188E-2</v>
      </c>
      <c r="G1209">
        <f t="shared" si="43"/>
        <v>-3.0202266901201341E-2</v>
      </c>
    </row>
    <row r="1210" spans="1:7" x14ac:dyDescent="0.35">
      <c r="A1210" t="s">
        <v>73</v>
      </c>
      <c r="E1210">
        <v>-9.2550571931377199E-3</v>
      </c>
      <c r="F1210">
        <f t="shared" si="42"/>
        <v>-1.9026458942407606E-2</v>
      </c>
      <c r="G1210">
        <f t="shared" si="43"/>
        <v>-3.0202266901201341E-2</v>
      </c>
    </row>
    <row r="1211" spans="1:7" x14ac:dyDescent="0.35">
      <c r="A1211" t="s">
        <v>73</v>
      </c>
      <c r="E1211">
        <v>1.612527128778873E-2</v>
      </c>
      <c r="F1211">
        <f t="shared" si="42"/>
        <v>-1.9031049197174018E-2</v>
      </c>
      <c r="G1211">
        <f t="shared" si="43"/>
        <v>-3.0202266901201341E-2</v>
      </c>
    </row>
    <row r="1212" spans="1:7" x14ac:dyDescent="0.35">
      <c r="A1212" t="s">
        <v>73</v>
      </c>
      <c r="E1212">
        <v>6.6260729705692814E-3</v>
      </c>
      <c r="F1212">
        <f t="shared" si="42"/>
        <v>-1.9035639451940433E-2</v>
      </c>
      <c r="G1212">
        <f t="shared" si="43"/>
        <v>-3.0202266901201341E-2</v>
      </c>
    </row>
    <row r="1213" spans="1:7" x14ac:dyDescent="0.35">
      <c r="A1213" t="s">
        <v>73</v>
      </c>
      <c r="E1213">
        <v>-9.1680860541572644E-3</v>
      </c>
      <c r="F1213">
        <f t="shared" si="42"/>
        <v>-1.9040229706706848E-2</v>
      </c>
      <c r="G1213">
        <f t="shared" si="43"/>
        <v>-3.0202266901201341E-2</v>
      </c>
    </row>
    <row r="1214" spans="1:7" x14ac:dyDescent="0.35">
      <c r="A1214" t="s">
        <v>73</v>
      </c>
      <c r="E1214">
        <v>6.4408038702521283E-3</v>
      </c>
      <c r="F1214">
        <f t="shared" si="42"/>
        <v>-1.904481996147326E-2</v>
      </c>
      <c r="G1214">
        <f t="shared" si="43"/>
        <v>-3.0202266901201341E-2</v>
      </c>
    </row>
    <row r="1215" spans="1:7" x14ac:dyDescent="0.35">
      <c r="A1215" t="s">
        <v>73</v>
      </c>
      <c r="E1215">
        <v>1.8332457099743775E-3</v>
      </c>
      <c r="F1215">
        <f t="shared" si="42"/>
        <v>-1.9049410216239675E-2</v>
      </c>
      <c r="G1215">
        <f t="shared" si="43"/>
        <v>-3.0202266901201341E-2</v>
      </c>
    </row>
    <row r="1216" spans="1:7" x14ac:dyDescent="0.35">
      <c r="A1216" t="s">
        <v>73</v>
      </c>
      <c r="E1216">
        <v>-1.7015489650374499E-2</v>
      </c>
      <c r="F1216">
        <f t="shared" si="42"/>
        <v>-1.905400047100609E-2</v>
      </c>
      <c r="G1216">
        <f t="shared" si="43"/>
        <v>-3.0202266901201341E-2</v>
      </c>
    </row>
    <row r="1217" spans="1:7" x14ac:dyDescent="0.35">
      <c r="A1217" t="s">
        <v>73</v>
      </c>
      <c r="E1217">
        <v>4.0683781054403362E-3</v>
      </c>
      <c r="F1217">
        <f t="shared" si="42"/>
        <v>-1.9058590725772505E-2</v>
      </c>
      <c r="G1217">
        <f t="shared" si="43"/>
        <v>-3.0202266901201341E-2</v>
      </c>
    </row>
    <row r="1218" spans="1:7" x14ac:dyDescent="0.35">
      <c r="A1218" t="s">
        <v>73</v>
      </c>
      <c r="E1218">
        <v>4.7888139412422405E-4</v>
      </c>
      <c r="F1218">
        <f t="shared" si="42"/>
        <v>-1.906318098053892E-2</v>
      </c>
      <c r="G1218">
        <f t="shared" si="43"/>
        <v>-3.0202266901201341E-2</v>
      </c>
    </row>
    <row r="1219" spans="1:7" x14ac:dyDescent="0.35">
      <c r="A1219" t="s">
        <v>73</v>
      </c>
      <c r="E1219">
        <v>5.755623996779779E-3</v>
      </c>
      <c r="F1219">
        <f t="shared" si="42"/>
        <v>-1.9067771235305331E-2</v>
      </c>
      <c r="G1219">
        <f t="shared" si="43"/>
        <v>-3.0202266901201341E-2</v>
      </c>
    </row>
    <row r="1220" spans="1:7" x14ac:dyDescent="0.35">
      <c r="A1220" t="s">
        <v>73</v>
      </c>
      <c r="E1220">
        <v>1.6008545303219834E-2</v>
      </c>
      <c r="F1220">
        <f t="shared" ref="F1220:F1283" si="44">_xlfn.PERCENTILE.EXC(E1220:E5035,0.05)</f>
        <v>-1.9072361490071747E-2</v>
      </c>
      <c r="G1220">
        <f t="shared" ref="G1220:G1283" si="45">AVERAGEIFS(E1220:E5036,E1220:E5036,"&lt;=" &amp; F1220)</f>
        <v>-3.0202266901201341E-2</v>
      </c>
    </row>
    <row r="1221" spans="1:7" x14ac:dyDescent="0.35">
      <c r="A1221" t="s">
        <v>73</v>
      </c>
      <c r="E1221">
        <v>1.7190258721838962E-3</v>
      </c>
      <c r="F1221">
        <f t="shared" si="44"/>
        <v>-1.907261795680407E-2</v>
      </c>
      <c r="G1221">
        <f t="shared" si="45"/>
        <v>-3.0288545237721731E-2</v>
      </c>
    </row>
    <row r="1222" spans="1:7" x14ac:dyDescent="0.35">
      <c r="A1222" t="s">
        <v>73</v>
      </c>
      <c r="E1222">
        <v>1.178470941276885E-3</v>
      </c>
      <c r="F1222">
        <f t="shared" si="44"/>
        <v>-1.907287442353639E-2</v>
      </c>
      <c r="G1222">
        <f t="shared" si="45"/>
        <v>-3.0288545237721731E-2</v>
      </c>
    </row>
    <row r="1223" spans="1:7" x14ac:dyDescent="0.35">
      <c r="A1223" t="s">
        <v>73</v>
      </c>
      <c r="E1223">
        <v>2.5872932939539711E-2</v>
      </c>
      <c r="F1223">
        <f t="shared" si="44"/>
        <v>-1.9073130890268714E-2</v>
      </c>
      <c r="G1223">
        <f t="shared" si="45"/>
        <v>-3.0288545237721731E-2</v>
      </c>
    </row>
    <row r="1224" spans="1:7" x14ac:dyDescent="0.35">
      <c r="A1224" t="s">
        <v>73</v>
      </c>
      <c r="E1224">
        <v>5.4298479198577358E-3</v>
      </c>
      <c r="F1224">
        <f t="shared" si="44"/>
        <v>-1.9073387357001034E-2</v>
      </c>
      <c r="G1224">
        <f t="shared" si="45"/>
        <v>-3.0288545237721731E-2</v>
      </c>
    </row>
    <row r="1225" spans="1:7" x14ac:dyDescent="0.35">
      <c r="A1225" t="s">
        <v>73</v>
      </c>
      <c r="E1225">
        <v>7.7030933027535239E-3</v>
      </c>
      <c r="F1225">
        <f t="shared" si="44"/>
        <v>-1.9073643823733357E-2</v>
      </c>
      <c r="G1225">
        <f t="shared" si="45"/>
        <v>-3.0288545237721731E-2</v>
      </c>
    </row>
    <row r="1226" spans="1:7" x14ac:dyDescent="0.35">
      <c r="A1226" t="s">
        <v>73</v>
      </c>
      <c r="E1226">
        <v>5.4963613194674125E-3</v>
      </c>
      <c r="F1226">
        <f t="shared" si="44"/>
        <v>-1.9073900290465681E-2</v>
      </c>
      <c r="G1226">
        <f t="shared" si="45"/>
        <v>-3.0288545237721731E-2</v>
      </c>
    </row>
    <row r="1227" spans="1:7" x14ac:dyDescent="0.35">
      <c r="A1227" t="s">
        <v>73</v>
      </c>
      <c r="E1227">
        <v>5.9636896520432929E-3</v>
      </c>
      <c r="F1227">
        <f t="shared" si="44"/>
        <v>-1.9074156757198001E-2</v>
      </c>
      <c r="G1227">
        <f t="shared" si="45"/>
        <v>-3.0288545237721731E-2</v>
      </c>
    </row>
    <row r="1228" spans="1:7" x14ac:dyDescent="0.35">
      <c r="A1228" t="s">
        <v>73</v>
      </c>
      <c r="E1228">
        <v>5.9932692771780466E-4</v>
      </c>
      <c r="F1228">
        <f t="shared" si="44"/>
        <v>-1.9074413223930324E-2</v>
      </c>
      <c r="G1228">
        <f t="shared" si="45"/>
        <v>-3.0288545237721731E-2</v>
      </c>
    </row>
    <row r="1229" spans="1:7" x14ac:dyDescent="0.35">
      <c r="A1229" t="s">
        <v>74</v>
      </c>
      <c r="B1229" s="3" cm="1">
        <f t="array" ref="B1229">_xlfn.STDEV.S(_xlfn._xlws.FILTER($E$1000:$E$1998, $A$1000:$A$1998="2014-12"))</f>
        <v>1.5697553036390456E-2</v>
      </c>
      <c r="C1229" s="3" cm="1">
        <f t="array" ref="C1229">AVERAGE(_xlfn._xlws.FILTER($E$1000:$E$1998, $A$1000:$A$1998="2014-12"))</f>
        <v>-9.326160596041281E-4</v>
      </c>
      <c r="D1229" s="3" cm="1">
        <f t="array" ref="D1229">_xlfn.PERCENTILE.EXC(_xlfn._xlws.FILTER($E$1000:$E$1497, $A$1000:$A$1497="2014-12"), 0.05)</f>
        <v>-2.7549270528568506E-2</v>
      </c>
      <c r="E1229">
        <v>-1.7388378838969617E-3</v>
      </c>
      <c r="F1229">
        <f t="shared" si="44"/>
        <v>-1.9074669690662644E-2</v>
      </c>
      <c r="G1229">
        <f t="shared" si="45"/>
        <v>-3.0288545237721731E-2</v>
      </c>
    </row>
    <row r="1230" spans="1:7" x14ac:dyDescent="0.35">
      <c r="A1230" t="s">
        <v>74</v>
      </c>
      <c r="E1230">
        <v>-2.9581493498418701E-3</v>
      </c>
      <c r="F1230">
        <f t="shared" si="44"/>
        <v>-1.9074926157394968E-2</v>
      </c>
      <c r="G1230">
        <f t="shared" si="45"/>
        <v>-3.0288545237721731E-2</v>
      </c>
    </row>
    <row r="1231" spans="1:7" x14ac:dyDescent="0.35">
      <c r="A1231" t="s">
        <v>74</v>
      </c>
      <c r="E1231">
        <v>3.788836670938483E-3</v>
      </c>
      <c r="F1231">
        <f t="shared" si="44"/>
        <v>-1.9075182624127291E-2</v>
      </c>
      <c r="G1231">
        <f t="shared" si="45"/>
        <v>-3.0288545237721731E-2</v>
      </c>
    </row>
    <row r="1232" spans="1:7" x14ac:dyDescent="0.35">
      <c r="A1232" t="s">
        <v>74</v>
      </c>
      <c r="E1232">
        <v>-1.2151604844198341E-2</v>
      </c>
      <c r="F1232">
        <f t="shared" si="44"/>
        <v>-1.9075439090859611E-2</v>
      </c>
      <c r="G1232">
        <f t="shared" si="45"/>
        <v>-3.0288545237721731E-2</v>
      </c>
    </row>
    <row r="1233" spans="1:7" x14ac:dyDescent="0.35">
      <c r="A1233" t="s">
        <v>74</v>
      </c>
      <c r="E1233">
        <v>2.3650860872113866E-2</v>
      </c>
      <c r="F1233">
        <f t="shared" si="44"/>
        <v>-1.9075695557591935E-2</v>
      </c>
      <c r="G1233">
        <f t="shared" si="45"/>
        <v>-3.0288545237721731E-2</v>
      </c>
    </row>
    <row r="1234" spans="1:7" x14ac:dyDescent="0.35">
      <c r="A1234" t="s">
        <v>74</v>
      </c>
      <c r="E1234">
        <v>-7.176391887345342E-3</v>
      </c>
      <c r="F1234">
        <f t="shared" si="44"/>
        <v>-1.9075952024324255E-2</v>
      </c>
      <c r="G1234">
        <f t="shared" si="45"/>
        <v>-3.0288545237721731E-2</v>
      </c>
    </row>
    <row r="1235" spans="1:7" x14ac:dyDescent="0.35">
      <c r="A1235" t="s">
        <v>74</v>
      </c>
      <c r="E1235">
        <v>-2.2342627738579476E-2</v>
      </c>
      <c r="F1235">
        <f t="shared" si="44"/>
        <v>-1.9076208491056578E-2</v>
      </c>
      <c r="G1235">
        <f t="shared" si="45"/>
        <v>-3.0288545237721731E-2</v>
      </c>
    </row>
    <row r="1236" spans="1:7" x14ac:dyDescent="0.35">
      <c r="A1236" t="s">
        <v>74</v>
      </c>
      <c r="E1236">
        <v>6.1449140012476914E-4</v>
      </c>
      <c r="F1236">
        <f t="shared" si="44"/>
        <v>-1.905400047100609E-2</v>
      </c>
      <c r="G1236">
        <f t="shared" si="45"/>
        <v>-3.0263194336570504E-2</v>
      </c>
    </row>
    <row r="1237" spans="1:7" x14ac:dyDescent="0.35">
      <c r="A1237" t="s">
        <v>74</v>
      </c>
      <c r="E1237">
        <v>6.3878937158797664E-3</v>
      </c>
      <c r="F1237">
        <f t="shared" si="44"/>
        <v>-1.9058590725772505E-2</v>
      </c>
      <c r="G1237">
        <f t="shared" si="45"/>
        <v>-3.0263194336570504E-2</v>
      </c>
    </row>
    <row r="1238" spans="1:7" x14ac:dyDescent="0.35">
      <c r="A1238" t="s">
        <v>74</v>
      </c>
      <c r="E1238">
        <v>-2.752873858479667E-2</v>
      </c>
      <c r="F1238">
        <f t="shared" si="44"/>
        <v>-1.906318098053892E-2</v>
      </c>
      <c r="G1238">
        <f t="shared" si="45"/>
        <v>-3.0263194336570504E-2</v>
      </c>
    </row>
    <row r="1239" spans="1:7" x14ac:dyDescent="0.35">
      <c r="A1239" t="s">
        <v>74</v>
      </c>
      <c r="E1239">
        <v>-2.7549270528568506E-2</v>
      </c>
      <c r="F1239">
        <f t="shared" si="44"/>
        <v>-1.8979255232318255E-2</v>
      </c>
      <c r="G1239">
        <f t="shared" si="45"/>
        <v>-3.0196929358353043E-2</v>
      </c>
    </row>
    <row r="1240" spans="1:7" x14ac:dyDescent="0.35">
      <c r="A1240" t="s">
        <v>74</v>
      </c>
      <c r="E1240">
        <v>2.4329829187017052E-2</v>
      </c>
      <c r="F1240">
        <f t="shared" si="44"/>
        <v>-1.8954533146239318E-2</v>
      </c>
      <c r="G1240">
        <f t="shared" si="45"/>
        <v>-3.0130303487172192E-2</v>
      </c>
    </row>
    <row r="1241" spans="1:7" x14ac:dyDescent="0.35">
      <c r="A1241" t="s">
        <v>74</v>
      </c>
      <c r="E1241">
        <v>-2.0368098009281516E-3</v>
      </c>
      <c r="F1241">
        <f t="shared" si="44"/>
        <v>-1.8955834308664526E-2</v>
      </c>
      <c r="G1241">
        <f t="shared" si="45"/>
        <v>-3.0217614192960731E-2</v>
      </c>
    </row>
    <row r="1242" spans="1:7" x14ac:dyDescent="0.35">
      <c r="A1242" t="s">
        <v>74</v>
      </c>
      <c r="E1242">
        <v>2.7552582481916388E-2</v>
      </c>
      <c r="F1242">
        <f t="shared" si="44"/>
        <v>-1.8957135471089733E-2</v>
      </c>
      <c r="G1242">
        <f t="shared" si="45"/>
        <v>-3.0217614192960731E-2</v>
      </c>
    </row>
    <row r="1243" spans="1:7" x14ac:dyDescent="0.35">
      <c r="A1243" t="s">
        <v>74</v>
      </c>
      <c r="E1243">
        <v>-2.4594333660268768E-3</v>
      </c>
      <c r="F1243">
        <f t="shared" si="44"/>
        <v>-1.8958436633514941E-2</v>
      </c>
      <c r="G1243">
        <f t="shared" si="45"/>
        <v>-3.0217614192960731E-2</v>
      </c>
    </row>
    <row r="1244" spans="1:7" x14ac:dyDescent="0.35">
      <c r="A1244" t="s">
        <v>74</v>
      </c>
      <c r="E1244">
        <v>8.0192891666197967E-3</v>
      </c>
      <c r="F1244">
        <f t="shared" si="44"/>
        <v>-1.8959737795940148E-2</v>
      </c>
      <c r="G1244">
        <f t="shared" si="45"/>
        <v>-3.0217614192960731E-2</v>
      </c>
    </row>
    <row r="1245" spans="1:7" x14ac:dyDescent="0.35">
      <c r="A1245" t="s">
        <v>74</v>
      </c>
      <c r="E1245">
        <v>5.6954237442093268E-3</v>
      </c>
      <c r="F1245">
        <f t="shared" si="44"/>
        <v>-1.8961038958365355E-2</v>
      </c>
      <c r="G1245">
        <f t="shared" si="45"/>
        <v>-3.0217614192960731E-2</v>
      </c>
    </row>
    <row r="1246" spans="1:7" x14ac:dyDescent="0.35">
      <c r="A1246" t="s">
        <v>74</v>
      </c>
      <c r="E1246">
        <v>5.058128277986544E-4</v>
      </c>
      <c r="F1246">
        <f t="shared" si="44"/>
        <v>-1.8962340120790563E-2</v>
      </c>
      <c r="G1246">
        <f t="shared" si="45"/>
        <v>-3.0217614192960731E-2</v>
      </c>
    </row>
    <row r="1247" spans="1:7" x14ac:dyDescent="0.35">
      <c r="A1247" t="s">
        <v>74</v>
      </c>
      <c r="E1247">
        <v>-1.2322861214914341E-2</v>
      </c>
      <c r="F1247">
        <f t="shared" si="44"/>
        <v>-1.896364128321577E-2</v>
      </c>
      <c r="G1247">
        <f t="shared" si="45"/>
        <v>-3.0217614192960731E-2</v>
      </c>
    </row>
    <row r="1248" spans="1:7" x14ac:dyDescent="0.35">
      <c r="A1248" t="s">
        <v>75</v>
      </c>
      <c r="B1248" s="3" cm="1">
        <f t="array" ref="B1248">_xlfn.STDEV.S(_xlfn._xlws.FILTER($E$1000:$E$1998, $A$1000:$A$1998="2015-01"))</f>
        <v>1.5017602661704994E-2</v>
      </c>
      <c r="C1248" s="3" cm="1">
        <f t="array" ref="C1248">AVERAGE(_xlfn._xlws.FILTER($E$1000:$E$1998, $A$1000:$A$1998="2015-01"))</f>
        <v>4.1316289283593582E-3</v>
      </c>
      <c r="D1248" s="3" cm="1">
        <f t="array" ref="D1248">_xlfn.PERCENTILE.EXC(_xlfn._xlws.FILTER($E$1000:$E$1497, $A$1000:$A$1497="2015-01"), 0.05)</f>
        <v>-2.9223972838513586E-2</v>
      </c>
      <c r="E1248">
        <v>-4.1716377279932427E-3</v>
      </c>
      <c r="F1248">
        <f t="shared" si="44"/>
        <v>-1.8964942445640978E-2</v>
      </c>
      <c r="G1248">
        <f t="shared" si="45"/>
        <v>-3.0217614192960731E-2</v>
      </c>
    </row>
    <row r="1249" spans="1:7" x14ac:dyDescent="0.35">
      <c r="A1249" t="s">
        <v>75</v>
      </c>
      <c r="E1249">
        <v>-3.0314377317303794E-2</v>
      </c>
      <c r="F1249">
        <f t="shared" si="44"/>
        <v>-1.8966243608066181E-2</v>
      </c>
      <c r="G1249">
        <f t="shared" si="45"/>
        <v>-3.0217614192960731E-2</v>
      </c>
    </row>
    <row r="1250" spans="1:7" x14ac:dyDescent="0.35">
      <c r="A1250" t="s">
        <v>75</v>
      </c>
      <c r="E1250">
        <v>-3.6953315713588391E-4</v>
      </c>
      <c r="F1250">
        <f t="shared" si="44"/>
        <v>-1.8840579729819684E-2</v>
      </c>
      <c r="G1250">
        <f t="shared" si="45"/>
        <v>-3.0128865410374291E-2</v>
      </c>
    </row>
    <row r="1251" spans="1:7" x14ac:dyDescent="0.35">
      <c r="A1251" t="s">
        <v>75</v>
      </c>
      <c r="E1251">
        <v>5.1106503537795087E-3</v>
      </c>
      <c r="F1251">
        <f t="shared" si="44"/>
        <v>-1.8851975071461642E-2</v>
      </c>
      <c r="G1251">
        <f t="shared" si="45"/>
        <v>-3.0128865410374291E-2</v>
      </c>
    </row>
    <row r="1252" spans="1:7" x14ac:dyDescent="0.35">
      <c r="A1252" t="s">
        <v>75</v>
      </c>
      <c r="E1252">
        <v>3.300914132754048E-2</v>
      </c>
      <c r="F1252">
        <f t="shared" si="44"/>
        <v>-1.8863370413103608E-2</v>
      </c>
      <c r="G1252">
        <f t="shared" si="45"/>
        <v>-3.0128865410374291E-2</v>
      </c>
    </row>
    <row r="1253" spans="1:7" x14ac:dyDescent="0.35">
      <c r="A1253" t="s">
        <v>75</v>
      </c>
      <c r="E1253">
        <v>-1.9410332529401723E-2</v>
      </c>
      <c r="F1253">
        <f t="shared" si="44"/>
        <v>-1.8874765754745577E-2</v>
      </c>
      <c r="G1253">
        <f t="shared" si="45"/>
        <v>-3.0128865410374291E-2</v>
      </c>
    </row>
    <row r="1254" spans="1:7" x14ac:dyDescent="0.35">
      <c r="A1254" t="s">
        <v>75</v>
      </c>
      <c r="E1254">
        <v>1.3731276352326974E-2</v>
      </c>
      <c r="F1254">
        <f t="shared" si="44"/>
        <v>-1.8698818168450464E-2</v>
      </c>
      <c r="G1254">
        <f t="shared" si="45"/>
        <v>-3.0123523955561771E-2</v>
      </c>
    </row>
    <row r="1255" spans="1:7" x14ac:dyDescent="0.35">
      <c r="A1255" t="s">
        <v>75</v>
      </c>
      <c r="E1255">
        <v>1.6133880023407716E-2</v>
      </c>
      <c r="F1255">
        <f t="shared" si="44"/>
        <v>-1.8703452859275396E-2</v>
      </c>
      <c r="G1255">
        <f t="shared" si="45"/>
        <v>-3.0123523955561771E-2</v>
      </c>
    </row>
    <row r="1256" spans="1:7" x14ac:dyDescent="0.35">
      <c r="A1256" t="s">
        <v>75</v>
      </c>
      <c r="E1256">
        <v>-1.2543893423765917E-2</v>
      </c>
      <c r="F1256">
        <f t="shared" si="44"/>
        <v>-1.8708087550100325E-2</v>
      </c>
      <c r="G1256">
        <f t="shared" si="45"/>
        <v>-3.0123523955561771E-2</v>
      </c>
    </row>
    <row r="1257" spans="1:7" x14ac:dyDescent="0.35">
      <c r="A1257" t="s">
        <v>75</v>
      </c>
      <c r="E1257">
        <v>2.1717061658395417E-2</v>
      </c>
      <c r="F1257">
        <f t="shared" si="44"/>
        <v>-1.8712722240925257E-2</v>
      </c>
      <c r="G1257">
        <f t="shared" si="45"/>
        <v>-3.0123523955561771E-2</v>
      </c>
    </row>
    <row r="1258" spans="1:7" x14ac:dyDescent="0.35">
      <c r="A1258" t="s">
        <v>75</v>
      </c>
      <c r="E1258">
        <v>1.3382126182415167E-2</v>
      </c>
      <c r="F1258">
        <f t="shared" si="44"/>
        <v>-1.8717356931750188E-2</v>
      </c>
      <c r="G1258">
        <f t="shared" si="45"/>
        <v>-3.0123523955561771E-2</v>
      </c>
    </row>
    <row r="1259" spans="1:7" x14ac:dyDescent="0.35">
      <c r="A1259" t="s">
        <v>75</v>
      </c>
      <c r="E1259">
        <v>7.3081718225048945E-3</v>
      </c>
      <c r="F1259">
        <f t="shared" si="44"/>
        <v>-1.8721991622575117E-2</v>
      </c>
      <c r="G1259">
        <f t="shared" si="45"/>
        <v>-3.0123523955561771E-2</v>
      </c>
    </row>
    <row r="1260" spans="1:7" x14ac:dyDescent="0.35">
      <c r="A1260" t="s">
        <v>75</v>
      </c>
      <c r="E1260">
        <v>1.441988046627593E-3</v>
      </c>
      <c r="F1260">
        <f t="shared" si="44"/>
        <v>-1.8726626313400049E-2</v>
      </c>
      <c r="G1260">
        <f t="shared" si="45"/>
        <v>-3.0123523955561771E-2</v>
      </c>
    </row>
    <row r="1261" spans="1:7" x14ac:dyDescent="0.35">
      <c r="A1261" t="s">
        <v>75</v>
      </c>
      <c r="E1261">
        <v>4.0960616433864125E-3</v>
      </c>
      <c r="F1261">
        <f t="shared" si="44"/>
        <v>-1.8738021655042011E-2</v>
      </c>
      <c r="G1261">
        <f t="shared" si="45"/>
        <v>-3.0213263307074863E-2</v>
      </c>
    </row>
    <row r="1262" spans="1:7" x14ac:dyDescent="0.35">
      <c r="A1262" t="s">
        <v>75</v>
      </c>
      <c r="E1262">
        <v>1.3155819033410817E-2</v>
      </c>
      <c r="F1262">
        <f t="shared" si="44"/>
        <v>-1.8749416996683973E-2</v>
      </c>
      <c r="G1262">
        <f t="shared" si="45"/>
        <v>-3.0213263307074863E-2</v>
      </c>
    </row>
    <row r="1263" spans="1:7" x14ac:dyDescent="0.35">
      <c r="A1263" t="s">
        <v>75</v>
      </c>
      <c r="E1263">
        <v>2.0295500565089095E-2</v>
      </c>
      <c r="F1263">
        <f t="shared" si="44"/>
        <v>-1.8760812338325938E-2</v>
      </c>
      <c r="G1263">
        <f t="shared" si="45"/>
        <v>-3.0213263307074863E-2</v>
      </c>
    </row>
    <row r="1264" spans="1:7" x14ac:dyDescent="0.35">
      <c r="A1264" t="s">
        <v>75</v>
      </c>
      <c r="E1264">
        <v>1.3871037786078871E-2</v>
      </c>
      <c r="F1264">
        <f t="shared" si="44"/>
        <v>-1.8772207679967901E-2</v>
      </c>
      <c r="G1264">
        <f t="shared" si="45"/>
        <v>-3.0213263307074863E-2</v>
      </c>
    </row>
    <row r="1265" spans="1:7" x14ac:dyDescent="0.35">
      <c r="A1265" t="s">
        <v>75</v>
      </c>
      <c r="E1265">
        <v>-1.5844893309130068E-2</v>
      </c>
      <c r="F1265">
        <f t="shared" si="44"/>
        <v>-1.8783603021609866E-2</v>
      </c>
      <c r="G1265">
        <f t="shared" si="45"/>
        <v>-3.0213263307074863E-2</v>
      </c>
    </row>
    <row r="1266" spans="1:7" x14ac:dyDescent="0.35">
      <c r="A1266" t="s">
        <v>75</v>
      </c>
      <c r="E1266">
        <v>7.7218506846194008E-3</v>
      </c>
      <c r="F1266">
        <f t="shared" si="44"/>
        <v>-1.8794998363251828E-2</v>
      </c>
      <c r="G1266">
        <f t="shared" si="45"/>
        <v>-3.0213263307074863E-2</v>
      </c>
    </row>
    <row r="1267" spans="1:7" x14ac:dyDescent="0.35">
      <c r="A1267" t="s">
        <v>75</v>
      </c>
      <c r="E1267">
        <v>2.508295469922781E-3</v>
      </c>
      <c r="F1267">
        <f t="shared" si="44"/>
        <v>-1.880639370489379E-2</v>
      </c>
      <c r="G1267">
        <f t="shared" si="45"/>
        <v>-3.0213263307074863E-2</v>
      </c>
    </row>
    <row r="1268" spans="1:7" x14ac:dyDescent="0.35">
      <c r="A1268" t="s">
        <v>75</v>
      </c>
      <c r="E1268">
        <v>-4.0639859892279738E-3</v>
      </c>
      <c r="F1268">
        <f t="shared" si="44"/>
        <v>-1.8817789046535756E-2</v>
      </c>
      <c r="G1268">
        <f t="shared" si="45"/>
        <v>-3.0213263307074863E-2</v>
      </c>
    </row>
    <row r="1269" spans="1:7" x14ac:dyDescent="0.35">
      <c r="A1269" t="s">
        <v>76</v>
      </c>
      <c r="B1269" s="3" cm="1">
        <f t="array" ref="B1269">_xlfn.STDEV.S(_xlfn._xlws.FILTER($E$1000:$E$1998, $A$1000:$A$1998="2015-02"))</f>
        <v>7.1398432763169839E-3</v>
      </c>
      <c r="C1269" s="3" cm="1">
        <f t="array" ref="C1269">AVERAGE(_xlfn._xlws.FILTER($E$1000:$E$1998, $A$1000:$A$1998="2015-02"))</f>
        <v>3.2023099717253937E-3</v>
      </c>
      <c r="D1269" s="3" cm="1">
        <f t="array" ref="D1269">_xlfn.PERCENTILE.EXC(_xlfn._xlws.FILTER($E$1000:$E$1497, $A$1000:$A$1497="2015-02"), 0.05)</f>
        <v>-1.6425773783482617E-2</v>
      </c>
      <c r="E1269">
        <v>1.2423535882878202E-2</v>
      </c>
      <c r="F1269">
        <f t="shared" si="44"/>
        <v>-1.8829184388177718E-2</v>
      </c>
      <c r="G1269">
        <f t="shared" si="45"/>
        <v>-3.0213263307074863E-2</v>
      </c>
    </row>
    <row r="1270" spans="1:7" x14ac:dyDescent="0.35">
      <c r="A1270" t="s">
        <v>76</v>
      </c>
      <c r="E1270">
        <v>5.7958738531447051E-3</v>
      </c>
      <c r="F1270">
        <f t="shared" si="44"/>
        <v>-1.8840579729819684E-2</v>
      </c>
      <c r="G1270">
        <f t="shared" si="45"/>
        <v>-3.0213263307074863E-2</v>
      </c>
    </row>
    <row r="1271" spans="1:7" x14ac:dyDescent="0.35">
      <c r="A1271" t="s">
        <v>76</v>
      </c>
      <c r="E1271">
        <v>1.8686133074387605E-3</v>
      </c>
      <c r="F1271">
        <f t="shared" si="44"/>
        <v>-1.8851975071461646E-2</v>
      </c>
      <c r="G1271">
        <f t="shared" si="45"/>
        <v>-3.0213263307074863E-2</v>
      </c>
    </row>
    <row r="1272" spans="1:7" x14ac:dyDescent="0.35">
      <c r="A1272" t="s">
        <v>76</v>
      </c>
      <c r="E1272">
        <v>-5.4178606459947859E-4</v>
      </c>
      <c r="F1272">
        <f t="shared" si="44"/>
        <v>-1.8863370413103608E-2</v>
      </c>
      <c r="G1272">
        <f t="shared" si="45"/>
        <v>-3.0213263307074863E-2</v>
      </c>
    </row>
    <row r="1273" spans="1:7" x14ac:dyDescent="0.35">
      <c r="A1273" t="s">
        <v>76</v>
      </c>
      <c r="E1273">
        <v>-5.4266906499496259E-3</v>
      </c>
      <c r="F1273">
        <f t="shared" si="44"/>
        <v>-1.8874765754745573E-2</v>
      </c>
      <c r="G1273">
        <f t="shared" si="45"/>
        <v>-3.0213263307074863E-2</v>
      </c>
    </row>
    <row r="1274" spans="1:7" x14ac:dyDescent="0.35">
      <c r="A1274" t="s">
        <v>76</v>
      </c>
      <c r="E1274">
        <v>-1.7004672895773829E-2</v>
      </c>
      <c r="F1274">
        <f t="shared" si="44"/>
        <v>-1.8886161096387535E-2</v>
      </c>
      <c r="G1274">
        <f t="shared" si="45"/>
        <v>-3.0213263307074863E-2</v>
      </c>
    </row>
    <row r="1275" spans="1:7" x14ac:dyDescent="0.35">
      <c r="A1275" t="s">
        <v>76</v>
      </c>
      <c r="E1275">
        <v>8.4343373576485237E-3</v>
      </c>
      <c r="F1275">
        <f t="shared" si="44"/>
        <v>-1.8897556438029501E-2</v>
      </c>
      <c r="G1275">
        <f t="shared" si="45"/>
        <v>-3.0213263307074863E-2</v>
      </c>
    </row>
    <row r="1276" spans="1:7" x14ac:dyDescent="0.35">
      <c r="A1276" t="s">
        <v>76</v>
      </c>
      <c r="E1276">
        <v>-1.5995580789930926E-4</v>
      </c>
      <c r="F1276">
        <f t="shared" si="44"/>
        <v>-1.8908951779671463E-2</v>
      </c>
      <c r="G1276">
        <f t="shared" si="45"/>
        <v>-3.0213263307074863E-2</v>
      </c>
    </row>
    <row r="1277" spans="1:7" x14ac:dyDescent="0.35">
      <c r="A1277" t="s">
        <v>76</v>
      </c>
      <c r="E1277">
        <v>1.5461904137831406E-2</v>
      </c>
      <c r="F1277">
        <f t="shared" si="44"/>
        <v>-1.8920347121313425E-2</v>
      </c>
      <c r="G1277">
        <f t="shared" si="45"/>
        <v>-3.0213263307074863E-2</v>
      </c>
    </row>
    <row r="1278" spans="1:7" x14ac:dyDescent="0.35">
      <c r="A1278" t="s">
        <v>76</v>
      </c>
      <c r="E1278">
        <v>3.9985338689591428E-3</v>
      </c>
      <c r="F1278">
        <f t="shared" si="44"/>
        <v>-1.8931742462955391E-2</v>
      </c>
      <c r="G1278">
        <f t="shared" si="45"/>
        <v>-3.0213263307074863E-2</v>
      </c>
    </row>
    <row r="1279" spans="1:7" x14ac:dyDescent="0.35">
      <c r="A1279" t="s">
        <v>76</v>
      </c>
      <c r="E1279">
        <v>-3.6707382639788819E-3</v>
      </c>
      <c r="F1279">
        <f t="shared" si="44"/>
        <v>-1.8943137804597353E-2</v>
      </c>
      <c r="G1279">
        <f t="shared" si="45"/>
        <v>-3.0213263307074863E-2</v>
      </c>
    </row>
    <row r="1280" spans="1:7" x14ac:dyDescent="0.35">
      <c r="A1280" t="s">
        <v>76</v>
      </c>
      <c r="E1280">
        <v>-2.5308405105849119E-3</v>
      </c>
      <c r="F1280">
        <f t="shared" si="44"/>
        <v>-1.8954533146239318E-2</v>
      </c>
      <c r="G1280">
        <f t="shared" si="45"/>
        <v>-3.0213263307074863E-2</v>
      </c>
    </row>
    <row r="1281" spans="1:7" x14ac:dyDescent="0.35">
      <c r="A1281" t="s">
        <v>76</v>
      </c>
      <c r="E1281">
        <v>5.9826446181367168E-3</v>
      </c>
      <c r="F1281">
        <f t="shared" si="44"/>
        <v>-1.8955834308664526E-2</v>
      </c>
      <c r="G1281">
        <f t="shared" si="45"/>
        <v>-3.0302618308351334E-2</v>
      </c>
    </row>
    <row r="1282" spans="1:7" x14ac:dyDescent="0.35">
      <c r="A1282" t="s">
        <v>76</v>
      </c>
      <c r="E1282">
        <v>3.7281026509100061E-3</v>
      </c>
      <c r="F1282">
        <f t="shared" si="44"/>
        <v>-1.8957135471089733E-2</v>
      </c>
      <c r="G1282">
        <f t="shared" si="45"/>
        <v>-3.0302618308351334E-2</v>
      </c>
    </row>
    <row r="1283" spans="1:7" x14ac:dyDescent="0.35">
      <c r="A1283" t="s">
        <v>76</v>
      </c>
      <c r="E1283">
        <v>4.4167239540869371E-3</v>
      </c>
      <c r="F1283">
        <f t="shared" si="44"/>
        <v>-1.8958436633514941E-2</v>
      </c>
      <c r="G1283">
        <f t="shared" si="45"/>
        <v>-3.0302618308351334E-2</v>
      </c>
    </row>
    <row r="1284" spans="1:7" x14ac:dyDescent="0.35">
      <c r="A1284" t="s">
        <v>76</v>
      </c>
      <c r="E1284">
        <v>7.2384765116494222E-3</v>
      </c>
      <c r="F1284">
        <f t="shared" ref="F1284:F1347" si="46">_xlfn.PERCENTILE.EXC(E1284:E5099,0.05)</f>
        <v>-1.8959737795940148E-2</v>
      </c>
      <c r="G1284">
        <f t="shared" ref="G1284:G1347" si="47">AVERAGEIFS(E1284:E5100,E1284:E5100,"&lt;=" &amp; F1284)</f>
        <v>-3.0302618308351334E-2</v>
      </c>
    </row>
    <row r="1285" spans="1:7" x14ac:dyDescent="0.35">
      <c r="A1285" t="s">
        <v>76</v>
      </c>
      <c r="E1285">
        <v>6.6993256675442056E-3</v>
      </c>
      <c r="F1285">
        <f t="shared" si="46"/>
        <v>-1.8961038958365355E-2</v>
      </c>
      <c r="G1285">
        <f t="shared" si="47"/>
        <v>-3.0302618308351334E-2</v>
      </c>
    </row>
    <row r="1286" spans="1:7" x14ac:dyDescent="0.35">
      <c r="A1286" t="s">
        <v>76</v>
      </c>
      <c r="E1286">
        <v>4.0417541406067014E-4</v>
      </c>
      <c r="F1286">
        <f t="shared" si="46"/>
        <v>-1.8962340120790563E-2</v>
      </c>
      <c r="G1286">
        <f t="shared" si="47"/>
        <v>-3.0302618308351334E-2</v>
      </c>
    </row>
    <row r="1287" spans="1:7" x14ac:dyDescent="0.35">
      <c r="A1287" t="s">
        <v>76</v>
      </c>
      <c r="E1287">
        <v>1.037570772568832E-2</v>
      </c>
      <c r="F1287">
        <f t="shared" si="46"/>
        <v>-1.896364128321577E-2</v>
      </c>
      <c r="G1287">
        <f t="shared" si="47"/>
        <v>-3.0302618308351334E-2</v>
      </c>
    </row>
    <row r="1288" spans="1:7" x14ac:dyDescent="0.35">
      <c r="A1288" t="s">
        <v>76</v>
      </c>
      <c r="E1288">
        <v>6.5529286773168792E-3</v>
      </c>
      <c r="F1288">
        <f t="shared" si="46"/>
        <v>-1.8964942445640978E-2</v>
      </c>
      <c r="G1288">
        <f t="shared" si="47"/>
        <v>-3.0302618308351334E-2</v>
      </c>
    </row>
    <row r="1289" spans="1:7" x14ac:dyDescent="0.35">
      <c r="A1289" t="s">
        <v>77</v>
      </c>
      <c r="B1289" s="3" cm="1">
        <f t="array" ref="B1289">_xlfn.STDEV.S(_xlfn._xlws.FILTER($E$1000:$E$1998, $A$1000:$A$1998="2015-03"))</f>
        <v>1.1447004604339403E-2</v>
      </c>
      <c r="C1289" s="3" cm="1">
        <f t="array" ref="C1289">AVERAGE(_xlfn._xlws.FILTER($E$1000:$E$1998, $A$1000:$A$1998="2015-03"))</f>
        <v>2.1965701341675036E-3</v>
      </c>
      <c r="D1289" s="3" cm="1">
        <f t="array" ref="D1289">_xlfn.PERCENTILE.EXC(_xlfn._xlws.FILTER($E$1000:$E$1497, $A$1000:$A$1497="2015-03"), 0.05)</f>
        <v>-1.4954454559477958E-2</v>
      </c>
      <c r="E1289">
        <v>7.6275581222566156E-4</v>
      </c>
      <c r="F1289">
        <f t="shared" si="46"/>
        <v>-1.8966243608066181E-2</v>
      </c>
      <c r="G1289">
        <f t="shared" si="47"/>
        <v>-3.0302618308351334E-2</v>
      </c>
    </row>
    <row r="1290" spans="1:7" x14ac:dyDescent="0.35">
      <c r="A1290" t="s">
        <v>77</v>
      </c>
      <c r="E1290">
        <v>-1.1458554192807977E-2</v>
      </c>
      <c r="F1290">
        <f t="shared" si="46"/>
        <v>-1.8967544770491389E-2</v>
      </c>
      <c r="G1290">
        <f t="shared" si="47"/>
        <v>-3.0302618308351334E-2</v>
      </c>
    </row>
    <row r="1291" spans="1:7" x14ac:dyDescent="0.35">
      <c r="A1291" t="s">
        <v>77</v>
      </c>
      <c r="E1291">
        <v>9.7059790470818107E-3</v>
      </c>
      <c r="F1291">
        <f t="shared" si="46"/>
        <v>-1.8968845932916596E-2</v>
      </c>
      <c r="G1291">
        <f t="shared" si="47"/>
        <v>-3.0302618308351334E-2</v>
      </c>
    </row>
    <row r="1292" spans="1:7" x14ac:dyDescent="0.35">
      <c r="A1292" t="s">
        <v>77</v>
      </c>
      <c r="E1292">
        <v>9.9265307398356678E-3</v>
      </c>
      <c r="F1292">
        <f t="shared" si="46"/>
        <v>-1.8970147095341804E-2</v>
      </c>
      <c r="G1292">
        <f t="shared" si="47"/>
        <v>-3.0302618308351334E-2</v>
      </c>
    </row>
    <row r="1293" spans="1:7" x14ac:dyDescent="0.35">
      <c r="A1293" t="s">
        <v>77</v>
      </c>
      <c r="E1293">
        <v>4.0737458842588945E-3</v>
      </c>
      <c r="F1293">
        <f t="shared" si="46"/>
        <v>-1.8971448257767011E-2</v>
      </c>
      <c r="G1293">
        <f t="shared" si="47"/>
        <v>-3.0302618308351334E-2</v>
      </c>
    </row>
    <row r="1294" spans="1:7" x14ac:dyDescent="0.35">
      <c r="A1294" t="s">
        <v>77</v>
      </c>
      <c r="E1294">
        <v>2.6922501291748993E-3</v>
      </c>
      <c r="F1294">
        <f t="shared" si="46"/>
        <v>-1.8972749420192218E-2</v>
      </c>
      <c r="G1294">
        <f t="shared" si="47"/>
        <v>-3.0302618308351334E-2</v>
      </c>
    </row>
    <row r="1295" spans="1:7" x14ac:dyDescent="0.35">
      <c r="A1295" t="s">
        <v>77</v>
      </c>
      <c r="E1295">
        <v>-7.0815879530703252E-3</v>
      </c>
      <c r="F1295">
        <f t="shared" si="46"/>
        <v>-1.8974050582617426E-2</v>
      </c>
      <c r="G1295">
        <f t="shared" si="47"/>
        <v>-3.0302618308351334E-2</v>
      </c>
    </row>
    <row r="1296" spans="1:7" x14ac:dyDescent="0.35">
      <c r="A1296" t="s">
        <v>77</v>
      </c>
      <c r="E1296">
        <v>2.6226951489661879E-2</v>
      </c>
      <c r="F1296">
        <f t="shared" si="46"/>
        <v>-1.8975351745042633E-2</v>
      </c>
      <c r="G1296">
        <f t="shared" si="47"/>
        <v>-3.0302618308351334E-2</v>
      </c>
    </row>
    <row r="1297" spans="1:7" x14ac:dyDescent="0.35">
      <c r="A1297" t="s">
        <v>77</v>
      </c>
      <c r="E1297">
        <v>-5.5919457106685597E-4</v>
      </c>
      <c r="F1297">
        <f t="shared" si="46"/>
        <v>-1.8976652907467841E-2</v>
      </c>
      <c r="G1297">
        <f t="shared" si="47"/>
        <v>-3.0302618308351334E-2</v>
      </c>
    </row>
    <row r="1298" spans="1:7" x14ac:dyDescent="0.35">
      <c r="A1298" t="s">
        <v>77</v>
      </c>
      <c r="E1298">
        <v>8.625849863570411E-3</v>
      </c>
      <c r="F1298">
        <f t="shared" si="46"/>
        <v>-1.8977954069893048E-2</v>
      </c>
      <c r="G1298">
        <f t="shared" si="47"/>
        <v>-3.0302618308351334E-2</v>
      </c>
    </row>
    <row r="1299" spans="1:7" x14ac:dyDescent="0.35">
      <c r="A1299" t="s">
        <v>77</v>
      </c>
      <c r="E1299">
        <v>2.2112858431666015E-2</v>
      </c>
      <c r="F1299">
        <f t="shared" si="46"/>
        <v>-1.8979255232318255E-2</v>
      </c>
      <c r="G1299">
        <f t="shared" si="47"/>
        <v>-3.0302618308351334E-2</v>
      </c>
    </row>
    <row r="1300" spans="1:7" x14ac:dyDescent="0.35">
      <c r="A1300" t="s">
        <v>77</v>
      </c>
      <c r="E1300">
        <v>-1.5477001759037972E-2</v>
      </c>
      <c r="F1300">
        <f t="shared" si="46"/>
        <v>-1.8980556394743463E-2</v>
      </c>
      <c r="G1300">
        <f t="shared" si="47"/>
        <v>-3.0302618308351334E-2</v>
      </c>
    </row>
    <row r="1301" spans="1:7" x14ac:dyDescent="0.35">
      <c r="A1301" t="s">
        <v>77</v>
      </c>
      <c r="E1301">
        <v>-4.8595245654384526E-3</v>
      </c>
      <c r="F1301">
        <f t="shared" si="46"/>
        <v>-1.8985146649509878E-2</v>
      </c>
      <c r="G1301">
        <f t="shared" si="47"/>
        <v>-3.0393194803660196E-2</v>
      </c>
    </row>
    <row r="1302" spans="1:7" x14ac:dyDescent="0.35">
      <c r="A1302" t="s">
        <v>77</v>
      </c>
      <c r="E1302">
        <v>-1.962038512619719E-3</v>
      </c>
      <c r="F1302">
        <f t="shared" si="46"/>
        <v>-1.8989736904276289E-2</v>
      </c>
      <c r="G1302">
        <f t="shared" si="47"/>
        <v>-3.0393194803660196E-2</v>
      </c>
    </row>
    <row r="1303" spans="1:7" x14ac:dyDescent="0.35">
      <c r="A1303" t="s">
        <v>77</v>
      </c>
      <c r="E1303">
        <v>1.1694134251971753E-2</v>
      </c>
      <c r="F1303">
        <f t="shared" si="46"/>
        <v>-1.8994327159042704E-2</v>
      </c>
      <c r="G1303">
        <f t="shared" si="47"/>
        <v>-3.0393194803660196E-2</v>
      </c>
    </row>
    <row r="1304" spans="1:7" x14ac:dyDescent="0.35">
      <c r="A1304" t="s">
        <v>77</v>
      </c>
      <c r="E1304">
        <v>-1.1993353761971212E-2</v>
      </c>
      <c r="F1304">
        <f t="shared" si="46"/>
        <v>-1.8998917413809119E-2</v>
      </c>
      <c r="G1304">
        <f t="shared" si="47"/>
        <v>-3.0393194803660196E-2</v>
      </c>
    </row>
    <row r="1305" spans="1:7" x14ac:dyDescent="0.35">
      <c r="A1305" t="s">
        <v>77</v>
      </c>
      <c r="E1305">
        <v>9.1919449048992134E-3</v>
      </c>
      <c r="F1305">
        <f t="shared" si="46"/>
        <v>-1.9003507668575535E-2</v>
      </c>
      <c r="G1305">
        <f t="shared" si="47"/>
        <v>-3.0393194803660196E-2</v>
      </c>
    </row>
    <row r="1306" spans="1:7" x14ac:dyDescent="0.35">
      <c r="A1306" t="s">
        <v>77</v>
      </c>
      <c r="E1306">
        <v>-1.1760844469068527E-2</v>
      </c>
      <c r="F1306">
        <f t="shared" si="46"/>
        <v>-1.9008097923341946E-2</v>
      </c>
      <c r="G1306">
        <f t="shared" si="47"/>
        <v>-3.0393194803660196E-2</v>
      </c>
    </row>
    <row r="1307" spans="1:7" x14ac:dyDescent="0.35">
      <c r="A1307" t="s">
        <v>77</v>
      </c>
      <c r="E1307">
        <v>-1.8254676291116763E-3</v>
      </c>
      <c r="F1307">
        <f t="shared" si="46"/>
        <v>-1.9012688178108361E-2</v>
      </c>
      <c r="G1307">
        <f t="shared" si="47"/>
        <v>-3.0393194803660196E-2</v>
      </c>
    </row>
    <row r="1308" spans="1:7" x14ac:dyDescent="0.35">
      <c r="A1308" t="s">
        <v>77</v>
      </c>
      <c r="E1308">
        <v>2.0791159315125133E-3</v>
      </c>
      <c r="F1308">
        <f t="shared" si="46"/>
        <v>-1.9017278432874776E-2</v>
      </c>
      <c r="G1308">
        <f t="shared" si="47"/>
        <v>-3.0393194803660196E-2</v>
      </c>
    </row>
    <row r="1309" spans="1:7" x14ac:dyDescent="0.35">
      <c r="A1309" t="s">
        <v>77</v>
      </c>
      <c r="E1309">
        <v>1.8175077436122823E-2</v>
      </c>
      <c r="F1309">
        <f t="shared" si="46"/>
        <v>-1.9021868687641188E-2</v>
      </c>
      <c r="G1309">
        <f t="shared" si="47"/>
        <v>-3.0393194803660196E-2</v>
      </c>
    </row>
    <row r="1310" spans="1:7" x14ac:dyDescent="0.35">
      <c r="A1310" t="s">
        <v>77</v>
      </c>
      <c r="E1310">
        <v>-9.9650835561037356E-3</v>
      </c>
      <c r="F1310">
        <f t="shared" si="46"/>
        <v>-1.9026458942407606E-2</v>
      </c>
      <c r="G1310">
        <f t="shared" si="47"/>
        <v>-3.0393194803660196E-2</v>
      </c>
    </row>
    <row r="1311" spans="1:7" x14ac:dyDescent="0.35">
      <c r="A1311" t="s">
        <v>78</v>
      </c>
      <c r="B1311" s="3" cm="1">
        <f t="array" ref="B1311">_xlfn.STDEV.S(_xlfn._xlws.FILTER($E$1000:$E$1998, $A$1000:$A$1998="2015-04"))</f>
        <v>1.4585187680656002E-2</v>
      </c>
      <c r="C1311" s="3" cm="1">
        <f t="array" ref="C1311">AVERAGE(_xlfn._xlws.FILTER($E$1000:$E$1998, $A$1000:$A$1998="2015-04"))</f>
        <v>-2.1855656091093766E-3</v>
      </c>
      <c r="D1311" s="3" cm="1">
        <f t="array" ref="D1311">_xlfn.PERCENTILE.EXC(_xlfn._xlws.FILTER($E$1000:$E$1497, $A$1000:$A$1497="2015-04"), 0.05)</f>
        <v>-3.2286825565426329E-2</v>
      </c>
      <c r="E1311">
        <v>2.9381413894788359E-3</v>
      </c>
      <c r="F1311">
        <f t="shared" si="46"/>
        <v>-1.9031049197174018E-2</v>
      </c>
      <c r="G1311">
        <f t="shared" si="47"/>
        <v>-3.0393194803660196E-2</v>
      </c>
    </row>
    <row r="1312" spans="1:7" x14ac:dyDescent="0.35">
      <c r="A1312" t="s">
        <v>78</v>
      </c>
      <c r="E1312">
        <v>-2.8361924941991447E-3</v>
      </c>
      <c r="F1312">
        <f t="shared" si="46"/>
        <v>-1.9035639451940433E-2</v>
      </c>
      <c r="G1312">
        <f t="shared" si="47"/>
        <v>-3.0393194803660196E-2</v>
      </c>
    </row>
    <row r="1313" spans="1:7" x14ac:dyDescent="0.35">
      <c r="A1313" t="s">
        <v>78</v>
      </c>
      <c r="E1313">
        <v>1.2961916835914139E-2</v>
      </c>
      <c r="F1313">
        <f t="shared" si="46"/>
        <v>-1.9040229706706848E-2</v>
      </c>
      <c r="G1313">
        <f t="shared" si="47"/>
        <v>-3.0393194803660196E-2</v>
      </c>
    </row>
    <row r="1314" spans="1:7" x14ac:dyDescent="0.35">
      <c r="A1314" t="s">
        <v>78</v>
      </c>
      <c r="E1314">
        <v>-7.2568405889256353E-3</v>
      </c>
      <c r="F1314">
        <f t="shared" si="46"/>
        <v>-1.904481996147326E-2</v>
      </c>
      <c r="G1314">
        <f t="shared" si="47"/>
        <v>-3.0393194803660196E-2</v>
      </c>
    </row>
    <row r="1315" spans="1:7" x14ac:dyDescent="0.35">
      <c r="A1315" t="s">
        <v>78</v>
      </c>
      <c r="E1315">
        <v>1.0790814681010142E-2</v>
      </c>
      <c r="F1315">
        <f t="shared" si="46"/>
        <v>-1.9049410216239675E-2</v>
      </c>
      <c r="G1315">
        <f t="shared" si="47"/>
        <v>-3.0393194803660196E-2</v>
      </c>
    </row>
    <row r="1316" spans="1:7" x14ac:dyDescent="0.35">
      <c r="A1316" t="s">
        <v>78</v>
      </c>
      <c r="E1316">
        <v>1.6975148425109138E-2</v>
      </c>
      <c r="F1316">
        <f t="shared" si="46"/>
        <v>-1.905400047100609E-2</v>
      </c>
      <c r="G1316">
        <f t="shared" si="47"/>
        <v>-3.0393194803660196E-2</v>
      </c>
    </row>
    <row r="1317" spans="1:7" x14ac:dyDescent="0.35">
      <c r="A1317" t="s">
        <v>78</v>
      </c>
      <c r="E1317">
        <v>-2.9133941960044207E-3</v>
      </c>
      <c r="F1317">
        <f t="shared" si="46"/>
        <v>-1.9058590725772505E-2</v>
      </c>
      <c r="G1317">
        <f t="shared" si="47"/>
        <v>-3.0393194803660196E-2</v>
      </c>
    </row>
    <row r="1318" spans="1:7" x14ac:dyDescent="0.35">
      <c r="A1318" t="s">
        <v>78</v>
      </c>
      <c r="E1318">
        <v>-9.0474041543291833E-3</v>
      </c>
      <c r="F1318">
        <f t="shared" si="46"/>
        <v>-1.9063180980538916E-2</v>
      </c>
      <c r="G1318">
        <f t="shared" si="47"/>
        <v>-3.0393194803660196E-2</v>
      </c>
    </row>
    <row r="1319" spans="1:7" x14ac:dyDescent="0.35">
      <c r="A1319" t="s">
        <v>78</v>
      </c>
      <c r="E1319">
        <v>3.0581865192437534E-4</v>
      </c>
      <c r="F1319">
        <f t="shared" si="46"/>
        <v>-1.9067771235305331E-2</v>
      </c>
      <c r="G1319">
        <f t="shared" si="47"/>
        <v>-3.0393194803660196E-2</v>
      </c>
    </row>
    <row r="1320" spans="1:7" x14ac:dyDescent="0.35">
      <c r="A1320" t="s">
        <v>78</v>
      </c>
      <c r="E1320">
        <v>-1.9189865061291955E-2</v>
      </c>
      <c r="F1320">
        <f t="shared" si="46"/>
        <v>-1.9072361490071747E-2</v>
      </c>
      <c r="G1320">
        <f t="shared" si="47"/>
        <v>-3.0393194803660196E-2</v>
      </c>
    </row>
    <row r="1321" spans="1:7" x14ac:dyDescent="0.35">
      <c r="A1321" t="s">
        <v>78</v>
      </c>
      <c r="E1321">
        <v>-2.6189082134211134E-2</v>
      </c>
      <c r="F1321">
        <f t="shared" si="46"/>
        <v>-1.8985146649509878E-2</v>
      </c>
      <c r="G1321">
        <f t="shared" si="47"/>
        <v>-3.0483544237066392E-2</v>
      </c>
    </row>
    <row r="1322" spans="1:7" x14ac:dyDescent="0.35">
      <c r="A1322" t="s">
        <v>78</v>
      </c>
      <c r="E1322">
        <v>1.723577385319229E-2</v>
      </c>
      <c r="F1322">
        <f t="shared" si="46"/>
        <v>-1.8957135471089733E-2</v>
      </c>
      <c r="G1322">
        <f t="shared" si="47"/>
        <v>-3.0425410964973913E-2</v>
      </c>
    </row>
    <row r="1323" spans="1:7" x14ac:dyDescent="0.35">
      <c r="A1323" t="s">
        <v>78</v>
      </c>
      <c r="E1323">
        <v>4.0005944721774383E-3</v>
      </c>
      <c r="F1323">
        <f t="shared" si="46"/>
        <v>-1.8958436633514941E-2</v>
      </c>
      <c r="G1323">
        <f t="shared" si="47"/>
        <v>-3.0425410964973913E-2</v>
      </c>
    </row>
    <row r="1324" spans="1:7" x14ac:dyDescent="0.35">
      <c r="A1324" t="s">
        <v>78</v>
      </c>
      <c r="E1324">
        <v>-6.066314369953839E-3</v>
      </c>
      <c r="F1324">
        <f t="shared" si="46"/>
        <v>-1.8959737795940148E-2</v>
      </c>
      <c r="G1324">
        <f t="shared" si="47"/>
        <v>-3.0425410964973913E-2</v>
      </c>
    </row>
    <row r="1325" spans="1:7" x14ac:dyDescent="0.35">
      <c r="A1325" t="s">
        <v>78</v>
      </c>
      <c r="E1325">
        <v>-1.2190418840336541E-2</v>
      </c>
      <c r="F1325">
        <f t="shared" si="46"/>
        <v>-1.8961038958365355E-2</v>
      </c>
      <c r="G1325">
        <f t="shared" si="47"/>
        <v>-3.0425410964973913E-2</v>
      </c>
    </row>
    <row r="1326" spans="1:7" x14ac:dyDescent="0.35">
      <c r="A1326" t="s">
        <v>78</v>
      </c>
      <c r="E1326">
        <v>7.4164022675811524E-3</v>
      </c>
      <c r="F1326">
        <f t="shared" si="46"/>
        <v>-1.8962340120790563E-2</v>
      </c>
      <c r="G1326">
        <f t="shared" si="47"/>
        <v>-3.0425410964973913E-2</v>
      </c>
    </row>
    <row r="1327" spans="1:7" x14ac:dyDescent="0.35">
      <c r="A1327" t="s">
        <v>78</v>
      </c>
      <c r="E1327">
        <v>1.9146069481289087E-2</v>
      </c>
      <c r="F1327">
        <f t="shared" si="46"/>
        <v>-1.896364128321577E-2</v>
      </c>
      <c r="G1327">
        <f t="shared" si="47"/>
        <v>-3.0425410964973913E-2</v>
      </c>
    </row>
    <row r="1328" spans="1:7" x14ac:dyDescent="0.35">
      <c r="A1328" t="s">
        <v>78</v>
      </c>
      <c r="E1328">
        <v>-1.9077490824718189E-2</v>
      </c>
      <c r="F1328">
        <f t="shared" si="46"/>
        <v>-1.8964942445640978E-2</v>
      </c>
      <c r="G1328">
        <f t="shared" si="47"/>
        <v>-3.0425410964973913E-2</v>
      </c>
    </row>
    <row r="1329" spans="1:7" x14ac:dyDescent="0.35">
      <c r="A1329" t="s">
        <v>78</v>
      </c>
      <c r="E1329">
        <v>-3.2607759430227132E-2</v>
      </c>
      <c r="F1329">
        <f t="shared" si="46"/>
        <v>-1.8829184388177718E-2</v>
      </c>
      <c r="G1329">
        <f t="shared" si="47"/>
        <v>-3.0424419370792634E-2</v>
      </c>
    </row>
    <row r="1330" spans="1:7" x14ac:dyDescent="0.35">
      <c r="A1330" t="s">
        <v>78</v>
      </c>
      <c r="E1330">
        <v>1.8927698543330413E-3</v>
      </c>
      <c r="F1330">
        <f t="shared" si="46"/>
        <v>-1.8680279405150747E-2</v>
      </c>
      <c r="G1330">
        <f t="shared" si="47"/>
        <v>-3.0312474748882729E-2</v>
      </c>
    </row>
    <row r="1331" spans="1:7" x14ac:dyDescent="0.35">
      <c r="A1331" t="s">
        <v>79</v>
      </c>
      <c r="B1331" s="3" cm="1">
        <f t="array" ref="B1331">_xlfn.STDEV.S(_xlfn._xlws.FILTER($E$1000:$E$1998, $A$1000:$A$1998="2015-05"))</f>
        <v>1.4058491366531768E-2</v>
      </c>
      <c r="C1331" s="3" cm="1">
        <f t="array" ref="C1331">AVERAGE(_xlfn._xlws.FILTER($E$1000:$E$1998, $A$1000:$A$1998="2015-05"))</f>
        <v>-1.9707154005890834E-4</v>
      </c>
      <c r="D1331" s="3" cm="1">
        <f t="array" ref="D1331">_xlfn.PERCENTILE.INC(_xlfn._xlws.FILTER($E$1000:$E$1497, $A$1000:$A$1497="2015-05"), 0.05)</f>
        <v>-1.8185677893263783E-2</v>
      </c>
      <c r="E1331">
        <v>-1.1122901639546504E-2</v>
      </c>
      <c r="F1331">
        <f t="shared" si="46"/>
        <v>-1.8684914095975676E-2</v>
      </c>
      <c r="G1331">
        <f t="shared" si="47"/>
        <v>-3.0312474748882729E-2</v>
      </c>
    </row>
    <row r="1332" spans="1:7" x14ac:dyDescent="0.35">
      <c r="A1332" t="s">
        <v>79</v>
      </c>
      <c r="E1332">
        <v>1.9816717343193462E-3</v>
      </c>
      <c r="F1332">
        <f t="shared" si="46"/>
        <v>-1.8689548786800604E-2</v>
      </c>
      <c r="G1332">
        <f t="shared" si="47"/>
        <v>-3.0312474748882729E-2</v>
      </c>
    </row>
    <row r="1333" spans="1:7" x14ac:dyDescent="0.35">
      <c r="A1333" t="s">
        <v>79</v>
      </c>
      <c r="E1333">
        <v>5.0812742358482248E-3</v>
      </c>
      <c r="F1333">
        <f t="shared" si="46"/>
        <v>-1.8694183477625536E-2</v>
      </c>
      <c r="G1333">
        <f t="shared" si="47"/>
        <v>-3.0312474748882729E-2</v>
      </c>
    </row>
    <row r="1334" spans="1:7" x14ac:dyDescent="0.35">
      <c r="A1334" t="s">
        <v>79</v>
      </c>
      <c r="E1334">
        <v>2.6107886192787644E-2</v>
      </c>
      <c r="F1334">
        <f t="shared" si="46"/>
        <v>-1.8698818168450464E-2</v>
      </c>
      <c r="G1334">
        <f t="shared" si="47"/>
        <v>-3.0312474748882729E-2</v>
      </c>
    </row>
    <row r="1335" spans="1:7" x14ac:dyDescent="0.35">
      <c r="A1335" t="s">
        <v>79</v>
      </c>
      <c r="E1335">
        <v>-3.1116541836044326E-3</v>
      </c>
      <c r="F1335">
        <f t="shared" si="46"/>
        <v>-1.8703452859275396E-2</v>
      </c>
      <c r="G1335">
        <f t="shared" si="47"/>
        <v>-3.0312474748882729E-2</v>
      </c>
    </row>
    <row r="1336" spans="1:7" x14ac:dyDescent="0.35">
      <c r="A1336" t="s">
        <v>79</v>
      </c>
      <c r="E1336">
        <v>-1.736344353443639E-2</v>
      </c>
      <c r="F1336">
        <f t="shared" si="46"/>
        <v>-1.8708087550100328E-2</v>
      </c>
      <c r="G1336">
        <f t="shared" si="47"/>
        <v>-3.0312474748882729E-2</v>
      </c>
    </row>
    <row r="1337" spans="1:7" x14ac:dyDescent="0.35">
      <c r="A1337" t="s">
        <v>79</v>
      </c>
      <c r="E1337">
        <v>-1.0598652393753715E-2</v>
      </c>
      <c r="F1337">
        <f t="shared" si="46"/>
        <v>-1.8712722240925257E-2</v>
      </c>
      <c r="G1337">
        <f t="shared" si="47"/>
        <v>-3.0312474748882729E-2</v>
      </c>
    </row>
    <row r="1338" spans="1:7" x14ac:dyDescent="0.35">
      <c r="A1338" t="s">
        <v>79</v>
      </c>
      <c r="E1338">
        <v>1.8188922172792013E-2</v>
      </c>
      <c r="F1338">
        <f t="shared" si="46"/>
        <v>-1.8717356931750188E-2</v>
      </c>
      <c r="G1338">
        <f t="shared" si="47"/>
        <v>-3.0312474748882729E-2</v>
      </c>
    </row>
    <row r="1339" spans="1:7" x14ac:dyDescent="0.35">
      <c r="A1339" t="s">
        <v>79</v>
      </c>
      <c r="E1339">
        <v>-9.8049844818400272E-3</v>
      </c>
      <c r="F1339">
        <f t="shared" si="46"/>
        <v>-1.8721991622575117E-2</v>
      </c>
      <c r="G1339">
        <f t="shared" si="47"/>
        <v>-3.0312474748882729E-2</v>
      </c>
    </row>
    <row r="1340" spans="1:7" x14ac:dyDescent="0.35">
      <c r="A1340" t="s">
        <v>79</v>
      </c>
      <c r="E1340">
        <v>1.2781565341649846E-2</v>
      </c>
      <c r="F1340">
        <f t="shared" si="46"/>
        <v>-1.8726626313400049E-2</v>
      </c>
      <c r="G1340">
        <f t="shared" si="47"/>
        <v>-3.0312474748882729E-2</v>
      </c>
    </row>
    <row r="1341" spans="1:7" x14ac:dyDescent="0.35">
      <c r="A1341" t="s">
        <v>79</v>
      </c>
      <c r="E1341">
        <v>2.2096967714149547E-2</v>
      </c>
      <c r="F1341">
        <f t="shared" si="46"/>
        <v>-1.8738021655042011E-2</v>
      </c>
      <c r="G1341">
        <f t="shared" si="47"/>
        <v>-3.0406668638602103E-2</v>
      </c>
    </row>
    <row r="1342" spans="1:7" x14ac:dyDescent="0.35">
      <c r="A1342" t="s">
        <v>79</v>
      </c>
      <c r="E1342">
        <v>-4.100954415371968E-4</v>
      </c>
      <c r="F1342">
        <f t="shared" si="46"/>
        <v>-1.8749416996683973E-2</v>
      </c>
      <c r="G1342">
        <f t="shared" si="47"/>
        <v>-3.0406668638602103E-2</v>
      </c>
    </row>
    <row r="1343" spans="1:7" x14ac:dyDescent="0.35">
      <c r="A1343" t="s">
        <v>79</v>
      </c>
      <c r="E1343">
        <v>1.3595885544191431E-3</v>
      </c>
      <c r="F1343">
        <f t="shared" si="46"/>
        <v>-1.8760812338325938E-2</v>
      </c>
      <c r="G1343">
        <f t="shared" si="47"/>
        <v>-3.0406668638602103E-2</v>
      </c>
    </row>
    <row r="1344" spans="1:7" x14ac:dyDescent="0.35">
      <c r="A1344" t="s">
        <v>79</v>
      </c>
      <c r="E1344">
        <v>-4.1875768553572279E-3</v>
      </c>
      <c r="F1344">
        <f t="shared" si="46"/>
        <v>-1.8772207679967901E-2</v>
      </c>
      <c r="G1344">
        <f t="shared" si="47"/>
        <v>-3.0406668638602103E-2</v>
      </c>
    </row>
    <row r="1345" spans="1:7" x14ac:dyDescent="0.35">
      <c r="A1345" t="s">
        <v>79</v>
      </c>
      <c r="E1345">
        <v>-1.6201622813639259E-2</v>
      </c>
      <c r="F1345">
        <f t="shared" si="46"/>
        <v>-1.8783603021609866E-2</v>
      </c>
      <c r="G1345">
        <f t="shared" si="47"/>
        <v>-3.0406668638602103E-2</v>
      </c>
    </row>
    <row r="1346" spans="1:7" x14ac:dyDescent="0.35">
      <c r="A1346" t="s">
        <v>79</v>
      </c>
      <c r="E1346">
        <v>1.2480789254177199E-2</v>
      </c>
      <c r="F1346">
        <f t="shared" si="46"/>
        <v>-1.8794998363251828E-2</v>
      </c>
      <c r="G1346">
        <f t="shared" si="47"/>
        <v>-3.0406668638602103E-2</v>
      </c>
    </row>
    <row r="1347" spans="1:7" x14ac:dyDescent="0.35">
      <c r="A1347" t="s">
        <v>79</v>
      </c>
      <c r="E1347">
        <v>-7.980015650869551E-3</v>
      </c>
      <c r="F1347">
        <f t="shared" si="46"/>
        <v>-1.880639370489379E-2</v>
      </c>
      <c r="G1347">
        <f t="shared" si="47"/>
        <v>-3.0406668638602103E-2</v>
      </c>
    </row>
    <row r="1348" spans="1:7" x14ac:dyDescent="0.35">
      <c r="A1348" t="s">
        <v>79</v>
      </c>
      <c r="E1348">
        <v>-2.2845005926619009E-2</v>
      </c>
      <c r="F1348">
        <f t="shared" ref="F1348:F1411" si="48">_xlfn.PERCENTILE.EXC(E1348:E5163,0.05)</f>
        <v>-1.8817789046535756E-2</v>
      </c>
      <c r="G1348">
        <f t="shared" ref="G1348:G1411" si="49">AVERAGEIFS(E1348:E5164,E1348:E5164,"&lt;=" &amp; F1348)</f>
        <v>-3.0406668638602103E-2</v>
      </c>
    </row>
    <row r="1349" spans="1:7" x14ac:dyDescent="0.35">
      <c r="A1349" t="s">
        <v>80</v>
      </c>
      <c r="B1349" s="3" cm="1">
        <f t="array" ref="B1349">_xlfn.STDEV.S(_xlfn._xlws.FILTER($E$1000:$E$1998, $A$1000:$A$1998="2015-06"))</f>
        <v>1.5035497423957916E-2</v>
      </c>
      <c r="C1349" s="3" cm="1">
        <f t="array" ref="C1349">AVERAGE(_xlfn._xlws.FILTER($E$1000:$E$1998, $A$1000:$A$1998="2015-06"))</f>
        <v>-1.9065869040830164E-3</v>
      </c>
      <c r="D1349" s="3" cm="1">
        <f t="array" ref="D1349">_xlfn.PERCENTILE.EXC(_xlfn._xlws.FILTER($E$1000:$E$1497, $A$1000:$A$1497="2015-06"), 0.05)</f>
        <v>-3.3680247268442813E-2</v>
      </c>
      <c r="E1349">
        <v>1.9457447253240147E-3</v>
      </c>
      <c r="F1349">
        <f t="shared" si="48"/>
        <v>-1.8675644714325815E-2</v>
      </c>
      <c r="G1349">
        <f t="shared" si="49"/>
        <v>-3.0373185877519023E-2</v>
      </c>
    </row>
    <row r="1350" spans="1:7" x14ac:dyDescent="0.35">
      <c r="A1350" t="s">
        <v>80</v>
      </c>
      <c r="E1350">
        <v>-9.4224906818928325E-3</v>
      </c>
      <c r="F1350">
        <f t="shared" si="48"/>
        <v>-1.8680279405150747E-2</v>
      </c>
      <c r="G1350">
        <f t="shared" si="49"/>
        <v>-3.0373185877519023E-2</v>
      </c>
    </row>
    <row r="1351" spans="1:7" x14ac:dyDescent="0.35">
      <c r="A1351" t="s">
        <v>80</v>
      </c>
      <c r="E1351">
        <v>7.9847727913115504E-3</v>
      </c>
      <c r="F1351">
        <f t="shared" si="48"/>
        <v>-1.8684914095975676E-2</v>
      </c>
      <c r="G1351">
        <f t="shared" si="49"/>
        <v>-3.0373185877519023E-2</v>
      </c>
    </row>
    <row r="1352" spans="1:7" x14ac:dyDescent="0.35">
      <c r="A1352" t="s">
        <v>80</v>
      </c>
      <c r="E1352">
        <v>-6.9437217651948007E-3</v>
      </c>
      <c r="F1352">
        <f t="shared" si="48"/>
        <v>-1.8689548786800604E-2</v>
      </c>
      <c r="G1352">
        <f t="shared" si="49"/>
        <v>-3.0373185877519023E-2</v>
      </c>
    </row>
    <row r="1353" spans="1:7" x14ac:dyDescent="0.35">
      <c r="A1353" t="s">
        <v>80</v>
      </c>
      <c r="E1353">
        <v>-1.2729925319023892E-2</v>
      </c>
      <c r="F1353">
        <f t="shared" si="48"/>
        <v>-1.8694183477625536E-2</v>
      </c>
      <c r="G1353">
        <f t="shared" si="49"/>
        <v>-3.0373185877519023E-2</v>
      </c>
    </row>
    <row r="1354" spans="1:7" x14ac:dyDescent="0.35">
      <c r="A1354" t="s">
        <v>80</v>
      </c>
      <c r="E1354">
        <v>-1.1879538161447172E-2</v>
      </c>
      <c r="F1354">
        <f t="shared" si="48"/>
        <v>-1.8698818168450464E-2</v>
      </c>
      <c r="G1354">
        <f t="shared" si="49"/>
        <v>-3.0373185877519023E-2</v>
      </c>
    </row>
    <row r="1355" spans="1:7" x14ac:dyDescent="0.35">
      <c r="A1355" t="s">
        <v>80</v>
      </c>
      <c r="E1355">
        <v>-5.7672048226229521E-3</v>
      </c>
      <c r="F1355">
        <f t="shared" si="48"/>
        <v>-1.8703452859275396E-2</v>
      </c>
      <c r="G1355">
        <f t="shared" si="49"/>
        <v>-3.0373185877519023E-2</v>
      </c>
    </row>
    <row r="1356" spans="1:7" x14ac:dyDescent="0.35">
      <c r="A1356" t="s">
        <v>80</v>
      </c>
      <c r="E1356">
        <v>2.3722655141189149E-2</v>
      </c>
      <c r="F1356">
        <f t="shared" si="48"/>
        <v>-1.8708087550100328E-2</v>
      </c>
      <c r="G1356">
        <f t="shared" si="49"/>
        <v>-3.0373185877519023E-2</v>
      </c>
    </row>
    <row r="1357" spans="1:7" x14ac:dyDescent="0.35">
      <c r="A1357" t="s">
        <v>80</v>
      </c>
      <c r="E1357">
        <v>5.9642174358088421E-3</v>
      </c>
      <c r="F1357">
        <f t="shared" si="48"/>
        <v>-1.8712722240925257E-2</v>
      </c>
      <c r="G1357">
        <f t="shared" si="49"/>
        <v>-3.0373185877519023E-2</v>
      </c>
    </row>
    <row r="1358" spans="1:7" x14ac:dyDescent="0.35">
      <c r="A1358" t="s">
        <v>80</v>
      </c>
      <c r="E1358">
        <v>-1.2099074900630544E-2</v>
      </c>
      <c r="F1358">
        <f t="shared" si="48"/>
        <v>-1.8717356931750188E-2</v>
      </c>
      <c r="G1358">
        <f t="shared" si="49"/>
        <v>-3.0373185877519023E-2</v>
      </c>
    </row>
    <row r="1359" spans="1:7" x14ac:dyDescent="0.35">
      <c r="A1359" t="s">
        <v>80</v>
      </c>
      <c r="E1359">
        <v>-1.9072361490071747E-2</v>
      </c>
      <c r="F1359">
        <f t="shared" si="48"/>
        <v>-1.8721991622575117E-2</v>
      </c>
      <c r="G1359">
        <f t="shared" si="49"/>
        <v>-3.0373185877519023E-2</v>
      </c>
    </row>
    <row r="1360" spans="1:7" x14ac:dyDescent="0.35">
      <c r="A1360" t="s">
        <v>80</v>
      </c>
      <c r="E1360">
        <v>5.3602247005006707E-3</v>
      </c>
      <c r="F1360">
        <f t="shared" si="48"/>
        <v>-1.8633932496901442E-2</v>
      </c>
      <c r="G1360">
        <f t="shared" si="49"/>
        <v>-3.0369621414159911E-2</v>
      </c>
    </row>
    <row r="1361" spans="1:7" x14ac:dyDescent="0.35">
      <c r="A1361" t="s">
        <v>80</v>
      </c>
      <c r="E1361">
        <v>-5.9940184965138607E-3</v>
      </c>
      <c r="F1361">
        <f t="shared" si="48"/>
        <v>-1.8638567187726371E-2</v>
      </c>
      <c r="G1361">
        <f t="shared" si="49"/>
        <v>-3.046581558561285E-2</v>
      </c>
    </row>
    <row r="1362" spans="1:7" x14ac:dyDescent="0.35">
      <c r="A1362" t="s">
        <v>80</v>
      </c>
      <c r="E1362">
        <v>1.107795394007466E-2</v>
      </c>
      <c r="F1362">
        <f t="shared" si="48"/>
        <v>-1.8643201878551303E-2</v>
      </c>
      <c r="G1362">
        <f t="shared" si="49"/>
        <v>-3.046581558561285E-2</v>
      </c>
    </row>
    <row r="1363" spans="1:7" x14ac:dyDescent="0.35">
      <c r="A1363" t="s">
        <v>80</v>
      </c>
      <c r="E1363">
        <v>-5.4380362011513276E-3</v>
      </c>
      <c r="F1363">
        <f t="shared" si="48"/>
        <v>-1.8647836569376231E-2</v>
      </c>
      <c r="G1363">
        <f t="shared" si="49"/>
        <v>-3.046581558561285E-2</v>
      </c>
    </row>
    <row r="1364" spans="1:7" x14ac:dyDescent="0.35">
      <c r="A1364" t="s">
        <v>80</v>
      </c>
      <c r="E1364">
        <v>3.7372241573343359E-2</v>
      </c>
      <c r="F1364">
        <f t="shared" si="48"/>
        <v>-1.8652471260201163E-2</v>
      </c>
      <c r="G1364">
        <f t="shared" si="49"/>
        <v>-3.046581558561285E-2</v>
      </c>
    </row>
    <row r="1365" spans="1:7" x14ac:dyDescent="0.35">
      <c r="A1365" t="s">
        <v>80</v>
      </c>
      <c r="E1365">
        <v>7.133000494476305E-3</v>
      </c>
      <c r="F1365">
        <f t="shared" si="48"/>
        <v>-1.8657105951026095E-2</v>
      </c>
      <c r="G1365">
        <f t="shared" si="49"/>
        <v>-3.046581558561285E-2</v>
      </c>
    </row>
    <row r="1366" spans="1:7" x14ac:dyDescent="0.35">
      <c r="A1366" t="s">
        <v>80</v>
      </c>
      <c r="E1366">
        <v>-6.1945639514754498E-3</v>
      </c>
      <c r="F1366">
        <f t="shared" si="48"/>
        <v>-1.8661740641851023E-2</v>
      </c>
      <c r="G1366">
        <f t="shared" si="49"/>
        <v>-3.046581558561285E-2</v>
      </c>
    </row>
    <row r="1367" spans="1:7" x14ac:dyDescent="0.35">
      <c r="A1367" t="s">
        <v>80</v>
      </c>
      <c r="E1367">
        <v>1.6300280845474283E-4</v>
      </c>
      <c r="F1367">
        <f t="shared" si="48"/>
        <v>-1.8666375332675955E-2</v>
      </c>
      <c r="G1367">
        <f t="shared" si="49"/>
        <v>-3.046581558561285E-2</v>
      </c>
    </row>
    <row r="1368" spans="1:7" x14ac:dyDescent="0.35">
      <c r="A1368" t="s">
        <v>80</v>
      </c>
      <c r="E1368">
        <v>1.6807780470901362E-3</v>
      </c>
      <c r="F1368">
        <f t="shared" si="48"/>
        <v>-1.8671010023500884E-2</v>
      </c>
      <c r="G1368">
        <f t="shared" si="49"/>
        <v>-3.046581558561285E-2</v>
      </c>
    </row>
    <row r="1369" spans="1:7" x14ac:dyDescent="0.35">
      <c r="A1369" t="s">
        <v>80</v>
      </c>
      <c r="E1369">
        <v>-3.6258109464625946E-2</v>
      </c>
      <c r="F1369">
        <f t="shared" si="48"/>
        <v>-1.8675644714325815E-2</v>
      </c>
      <c r="G1369">
        <f t="shared" si="49"/>
        <v>-3.046581558561285E-2</v>
      </c>
    </row>
    <row r="1370" spans="1:7" x14ac:dyDescent="0.35">
      <c r="A1370" t="s">
        <v>80</v>
      </c>
      <c r="E1370">
        <v>-1.2550458292749263E-2</v>
      </c>
      <c r="F1370">
        <f t="shared" si="48"/>
        <v>-1.8626775034995491E-2</v>
      </c>
      <c r="G1370">
        <f t="shared" si="49"/>
        <v>-3.0321355118664288E-2</v>
      </c>
    </row>
    <row r="1371" spans="1:7" x14ac:dyDescent="0.35">
      <c r="A1371" t="s">
        <v>81</v>
      </c>
      <c r="B1371" s="3" cm="1">
        <f t="array" ref="B1371">_xlfn.STDEV.S(_xlfn._xlws.FILTER($E$1000:$E$1998, $A$1000:$A$1998="2015-07"))</f>
        <v>1.3842427753018924E-2</v>
      </c>
      <c r="C1371" s="3" cm="1">
        <f t="array" ref="C1371">AVERAGE(_xlfn._xlws.FILTER($E$1000:$E$1998, $A$1000:$A$1998="2015-07"))</f>
        <v>1.4225215062549192E-3</v>
      </c>
      <c r="D1371" s="3" cm="1">
        <f t="array" ref="D1371">_xlfn.PERCENTILE.EXC(_xlfn._xlws.FILTER($E$1000:$E$1497, $A$1000:$A$1497="2015-07"), 0.05)</f>
        <v>-2.4753181922014329E-2</v>
      </c>
      <c r="E1371">
        <v>2.1291199452609089E-2</v>
      </c>
      <c r="F1371">
        <f t="shared" si="48"/>
        <v>-1.8627490781186085E-2</v>
      </c>
      <c r="G1371">
        <f t="shared" si="49"/>
        <v>-3.0321355118664288E-2</v>
      </c>
    </row>
    <row r="1372" spans="1:7" x14ac:dyDescent="0.35">
      <c r="A1372" t="s">
        <v>81</v>
      </c>
      <c r="E1372">
        <v>-7.2846414009528262E-3</v>
      </c>
      <c r="F1372">
        <f t="shared" si="48"/>
        <v>-1.8628206527376678E-2</v>
      </c>
      <c r="G1372">
        <f t="shared" si="49"/>
        <v>-3.0321355118664288E-2</v>
      </c>
    </row>
    <row r="1373" spans="1:7" x14ac:dyDescent="0.35">
      <c r="A1373" t="s">
        <v>81</v>
      </c>
      <c r="E1373">
        <v>-3.6971321674606071E-3</v>
      </c>
      <c r="F1373">
        <f t="shared" si="48"/>
        <v>-1.8628922273567276E-2</v>
      </c>
      <c r="G1373">
        <f t="shared" si="49"/>
        <v>-3.0321355118664288E-2</v>
      </c>
    </row>
    <row r="1374" spans="1:7" x14ac:dyDescent="0.35">
      <c r="A1374" t="s">
        <v>81</v>
      </c>
      <c r="E1374">
        <v>-1.5286629366429938E-2</v>
      </c>
      <c r="F1374">
        <f t="shared" si="48"/>
        <v>-1.8629638019757869E-2</v>
      </c>
      <c r="G1374">
        <f t="shared" si="49"/>
        <v>-3.0321355118664288E-2</v>
      </c>
    </row>
    <row r="1375" spans="1:7" x14ac:dyDescent="0.35">
      <c r="A1375" t="s">
        <v>81</v>
      </c>
      <c r="E1375">
        <v>-1.9831496566209937E-2</v>
      </c>
      <c r="F1375">
        <f t="shared" si="48"/>
        <v>-1.8630353765948467E-2</v>
      </c>
      <c r="G1375">
        <f t="shared" si="49"/>
        <v>-3.0321355118664288E-2</v>
      </c>
    </row>
    <row r="1376" spans="1:7" x14ac:dyDescent="0.35">
      <c r="A1376" t="s">
        <v>81</v>
      </c>
      <c r="E1376">
        <v>6.5832702913078888E-3</v>
      </c>
      <c r="F1376">
        <f t="shared" si="48"/>
        <v>-1.8583717147998301E-2</v>
      </c>
      <c r="G1376">
        <f t="shared" si="49"/>
        <v>-3.0311421684294446E-2</v>
      </c>
    </row>
    <row r="1377" spans="1:7" x14ac:dyDescent="0.35">
      <c r="A1377" t="s">
        <v>81</v>
      </c>
      <c r="E1377">
        <v>2.2914295657487052E-2</v>
      </c>
      <c r="F1377">
        <f t="shared" si="48"/>
        <v>-1.8592692254271109E-2</v>
      </c>
      <c r="G1377">
        <f t="shared" si="49"/>
        <v>-3.0311421684294446E-2</v>
      </c>
    </row>
    <row r="1378" spans="1:7" x14ac:dyDescent="0.35">
      <c r="A1378" t="s">
        <v>81</v>
      </c>
      <c r="E1378">
        <v>2.8616099944853757E-2</v>
      </c>
      <c r="F1378">
        <f t="shared" si="48"/>
        <v>-1.8601667360543916E-2</v>
      </c>
      <c r="G1378">
        <f t="shared" si="49"/>
        <v>-3.0311421684294446E-2</v>
      </c>
    </row>
    <row r="1379" spans="1:7" x14ac:dyDescent="0.35">
      <c r="A1379" t="s">
        <v>81</v>
      </c>
      <c r="E1379">
        <v>1.4802895388560786E-2</v>
      </c>
      <c r="F1379">
        <f t="shared" si="48"/>
        <v>-1.8610642466816724E-2</v>
      </c>
      <c r="G1379">
        <f t="shared" si="49"/>
        <v>-3.0311421684294446E-2</v>
      </c>
    </row>
    <row r="1380" spans="1:7" x14ac:dyDescent="0.35">
      <c r="A1380" t="s">
        <v>81</v>
      </c>
      <c r="E1380">
        <v>2.8276706051490659E-3</v>
      </c>
      <c r="F1380">
        <f t="shared" si="48"/>
        <v>-1.8619617573089536E-2</v>
      </c>
      <c r="G1380">
        <f t="shared" si="49"/>
        <v>-3.0311421684294446E-2</v>
      </c>
    </row>
    <row r="1381" spans="1:7" x14ac:dyDescent="0.35">
      <c r="A1381" t="s">
        <v>81</v>
      </c>
      <c r="E1381">
        <v>1.9742760752481619E-3</v>
      </c>
      <c r="F1381">
        <f t="shared" si="48"/>
        <v>-1.8620333319280129E-2</v>
      </c>
      <c r="G1381">
        <f t="shared" si="49"/>
        <v>-3.0408048164552337E-2</v>
      </c>
    </row>
    <row r="1382" spans="1:7" x14ac:dyDescent="0.35">
      <c r="A1382" t="s">
        <v>81</v>
      </c>
      <c r="E1382">
        <v>1.5230497509817377E-2</v>
      </c>
      <c r="F1382">
        <f t="shared" si="48"/>
        <v>-1.8621049065470727E-2</v>
      </c>
      <c r="G1382">
        <f t="shared" si="49"/>
        <v>-3.0408048164552337E-2</v>
      </c>
    </row>
    <row r="1383" spans="1:7" x14ac:dyDescent="0.35">
      <c r="A1383" t="s">
        <v>81</v>
      </c>
      <c r="E1383">
        <v>-3.7058329264436037E-3</v>
      </c>
      <c r="F1383">
        <f t="shared" si="48"/>
        <v>-1.862176481166132E-2</v>
      </c>
      <c r="G1383">
        <f t="shared" si="49"/>
        <v>-3.0408048164552337E-2</v>
      </c>
    </row>
    <row r="1384" spans="1:7" x14ac:dyDescent="0.35">
      <c r="A1384" t="s">
        <v>81</v>
      </c>
      <c r="E1384">
        <v>5.3227198510358027E-3</v>
      </c>
      <c r="F1384">
        <f t="shared" si="48"/>
        <v>-1.8622480557851918E-2</v>
      </c>
      <c r="G1384">
        <f t="shared" si="49"/>
        <v>-3.0408048164552337E-2</v>
      </c>
    </row>
    <row r="1385" spans="1:7" x14ac:dyDescent="0.35">
      <c r="A1385" t="s">
        <v>81</v>
      </c>
      <c r="E1385">
        <v>-1.1218376715015767E-2</v>
      </c>
      <c r="F1385">
        <f t="shared" si="48"/>
        <v>-1.8623196304042512E-2</v>
      </c>
      <c r="G1385">
        <f t="shared" si="49"/>
        <v>-3.0408048164552337E-2</v>
      </c>
    </row>
    <row r="1386" spans="1:7" x14ac:dyDescent="0.35">
      <c r="A1386" t="s">
        <v>81</v>
      </c>
      <c r="E1386">
        <v>-7.2759923282544898E-3</v>
      </c>
      <c r="F1386">
        <f t="shared" si="48"/>
        <v>-1.8623912050233109E-2</v>
      </c>
      <c r="G1386">
        <f t="shared" si="49"/>
        <v>-3.0408048164552337E-2</v>
      </c>
    </row>
    <row r="1387" spans="1:7" x14ac:dyDescent="0.35">
      <c r="A1387" t="s">
        <v>81</v>
      </c>
      <c r="E1387">
        <v>-7.4328851264161095E-4</v>
      </c>
      <c r="F1387">
        <f t="shared" si="48"/>
        <v>-1.8624627796423703E-2</v>
      </c>
      <c r="G1387">
        <f t="shared" si="49"/>
        <v>-3.0408048164552337E-2</v>
      </c>
    </row>
    <row r="1388" spans="1:7" x14ac:dyDescent="0.35">
      <c r="A1388" t="s">
        <v>81</v>
      </c>
      <c r="E1388">
        <v>-1.4406475704223378E-2</v>
      </c>
      <c r="F1388">
        <f t="shared" si="48"/>
        <v>-1.86253435426143E-2</v>
      </c>
      <c r="G1388">
        <f t="shared" si="49"/>
        <v>-3.0408048164552337E-2</v>
      </c>
    </row>
    <row r="1389" spans="1:7" x14ac:dyDescent="0.35">
      <c r="A1389" t="s">
        <v>81</v>
      </c>
      <c r="E1389">
        <v>-2.5983603260965427E-2</v>
      </c>
      <c r="F1389">
        <f t="shared" si="48"/>
        <v>-1.8626059288804894E-2</v>
      </c>
      <c r="G1389">
        <f t="shared" si="49"/>
        <v>-3.0408048164552337E-2</v>
      </c>
    </row>
    <row r="1390" spans="1:7" x14ac:dyDescent="0.35">
      <c r="A1390" t="s">
        <v>81</v>
      </c>
      <c r="E1390">
        <v>1.0572150771566187E-2</v>
      </c>
      <c r="F1390">
        <f t="shared" si="48"/>
        <v>-1.8529866510361447E-2</v>
      </c>
      <c r="G1390">
        <f t="shared" si="49"/>
        <v>-3.0347188778702121E-2</v>
      </c>
    </row>
    <row r="1391" spans="1:7" x14ac:dyDescent="0.35">
      <c r="A1391" t="s">
        <v>81</v>
      </c>
      <c r="E1391">
        <v>3.3896580975453544E-3</v>
      </c>
      <c r="F1391">
        <f t="shared" si="48"/>
        <v>-1.8538841616634258E-2</v>
      </c>
      <c r="G1391">
        <f t="shared" si="49"/>
        <v>-3.0347188778702121E-2</v>
      </c>
    </row>
    <row r="1392" spans="1:7" x14ac:dyDescent="0.35">
      <c r="A1392" t="s">
        <v>81</v>
      </c>
      <c r="E1392">
        <v>4.0322276360476427E-3</v>
      </c>
      <c r="F1392">
        <f t="shared" si="48"/>
        <v>-1.8547816722907066E-2</v>
      </c>
      <c r="G1392">
        <f t="shared" si="49"/>
        <v>-3.0347188778702121E-2</v>
      </c>
    </row>
    <row r="1393" spans="1:7" x14ac:dyDescent="0.35">
      <c r="A1393" t="s">
        <v>81</v>
      </c>
      <c r="E1393">
        <v>4.5945023112325791E-3</v>
      </c>
      <c r="F1393">
        <f t="shared" si="48"/>
        <v>-1.8556791829179874E-2</v>
      </c>
      <c r="G1393">
        <f t="shared" si="49"/>
        <v>-3.0347188778702121E-2</v>
      </c>
    </row>
    <row r="1394" spans="1:7" x14ac:dyDescent="0.35">
      <c r="A1394" t="s">
        <v>82</v>
      </c>
      <c r="B1394" s="3" cm="1">
        <f t="array" ref="B1394">_xlfn.STDEV.S(_xlfn._xlws.FILTER($E$1000:$E$1998, $A$1000:$A$1998="2015-08"))</f>
        <v>2.2736248178089495E-2</v>
      </c>
      <c r="C1394" s="3" cm="1">
        <f t="array" ref="C1394">AVERAGE(_xlfn._xlws.FILTER($E$1000:$E$1998, $A$1000:$A$1998="2015-08"))</f>
        <v>-4.6798409016788186E-3</v>
      </c>
      <c r="D1394" s="3" cm="1">
        <f t="array" ref="D1394">_xlfn.PERCENTILE.EXC(_xlfn._xlws.FILTER($E$1000:$E$1497, $A$1000:$A$1497="2015-08"), 0.05)</f>
        <v>-4.741787573786245E-2</v>
      </c>
      <c r="E1394">
        <v>1.1843123281633776E-2</v>
      </c>
      <c r="F1394">
        <f t="shared" si="48"/>
        <v>-1.8565766935452682E-2</v>
      </c>
      <c r="G1394">
        <f t="shared" si="49"/>
        <v>-3.0347188778702121E-2</v>
      </c>
    </row>
    <row r="1395" spans="1:7" x14ac:dyDescent="0.35">
      <c r="A1395" t="s">
        <v>82</v>
      </c>
      <c r="E1395">
        <v>1.0786126158657157E-3</v>
      </c>
      <c r="F1395">
        <f t="shared" si="48"/>
        <v>-1.8574742041725493E-2</v>
      </c>
      <c r="G1395">
        <f t="shared" si="49"/>
        <v>-3.0347188778702121E-2</v>
      </c>
    </row>
    <row r="1396" spans="1:7" x14ac:dyDescent="0.35">
      <c r="A1396" t="s">
        <v>82</v>
      </c>
      <c r="E1396">
        <v>1.560980182147559E-2</v>
      </c>
      <c r="F1396">
        <f t="shared" si="48"/>
        <v>-1.8583717147998301E-2</v>
      </c>
      <c r="G1396">
        <f t="shared" si="49"/>
        <v>-3.0347188778702121E-2</v>
      </c>
    </row>
    <row r="1397" spans="1:7" x14ac:dyDescent="0.35">
      <c r="A1397" t="s">
        <v>82</v>
      </c>
      <c r="E1397">
        <v>-4.4097326576754085E-3</v>
      </c>
      <c r="F1397">
        <f t="shared" si="48"/>
        <v>-1.8592692254271109E-2</v>
      </c>
      <c r="G1397">
        <f t="shared" si="49"/>
        <v>-3.0347188778702121E-2</v>
      </c>
    </row>
    <row r="1398" spans="1:7" x14ac:dyDescent="0.35">
      <c r="A1398" t="s">
        <v>82</v>
      </c>
      <c r="E1398">
        <v>-8.1704637193107128E-3</v>
      </c>
      <c r="F1398">
        <f t="shared" si="48"/>
        <v>-1.8601667360543916E-2</v>
      </c>
      <c r="G1398">
        <f t="shared" si="49"/>
        <v>-3.0347188778702121E-2</v>
      </c>
    </row>
    <row r="1399" spans="1:7" x14ac:dyDescent="0.35">
      <c r="A1399" t="s">
        <v>82</v>
      </c>
      <c r="E1399">
        <v>9.8677562214293975E-3</v>
      </c>
      <c r="F1399">
        <f t="shared" si="48"/>
        <v>-1.8610642466816724E-2</v>
      </c>
      <c r="G1399">
        <f t="shared" si="49"/>
        <v>-3.0347188778702121E-2</v>
      </c>
    </row>
    <row r="1400" spans="1:7" x14ac:dyDescent="0.35">
      <c r="A1400" t="s">
        <v>82</v>
      </c>
      <c r="E1400">
        <v>-2.7176461336433116E-2</v>
      </c>
      <c r="F1400">
        <f t="shared" si="48"/>
        <v>-1.8619617573089536E-2</v>
      </c>
      <c r="G1400">
        <f t="shared" si="49"/>
        <v>-3.0347188778702121E-2</v>
      </c>
    </row>
    <row r="1401" spans="1:7" x14ac:dyDescent="0.35">
      <c r="A1401" t="s">
        <v>82</v>
      </c>
      <c r="E1401">
        <v>-3.3222578460339207E-2</v>
      </c>
      <c r="F1401">
        <f t="shared" si="48"/>
        <v>-1.8449090553906169E-2</v>
      </c>
      <c r="G1401">
        <f t="shared" si="49"/>
        <v>-3.03736115073877E-2</v>
      </c>
    </row>
    <row r="1402" spans="1:7" x14ac:dyDescent="0.35">
      <c r="A1402" t="s">
        <v>82</v>
      </c>
      <c r="E1402">
        <v>8.2063467278375088E-3</v>
      </c>
      <c r="F1402">
        <f t="shared" si="48"/>
        <v>-1.8420368974671048E-2</v>
      </c>
      <c r="G1402">
        <f t="shared" si="49"/>
        <v>-3.025042431561515E-2</v>
      </c>
    </row>
    <row r="1403" spans="1:7" x14ac:dyDescent="0.35">
      <c r="A1403" t="s">
        <v>82</v>
      </c>
      <c r="E1403">
        <v>-2.6809387246423898E-3</v>
      </c>
      <c r="F1403">
        <f t="shared" si="48"/>
        <v>-1.8421466000946733E-2</v>
      </c>
      <c r="G1403">
        <f t="shared" si="49"/>
        <v>-3.025042431561515E-2</v>
      </c>
    </row>
    <row r="1404" spans="1:7" x14ac:dyDescent="0.35">
      <c r="A1404" t="s">
        <v>82</v>
      </c>
      <c r="E1404">
        <v>-4.0874893344434197E-3</v>
      </c>
      <c r="F1404">
        <f t="shared" si="48"/>
        <v>-1.8422563027222418E-2</v>
      </c>
      <c r="G1404">
        <f t="shared" si="49"/>
        <v>-3.025042431561515E-2</v>
      </c>
    </row>
    <row r="1405" spans="1:7" x14ac:dyDescent="0.35">
      <c r="A1405" t="s">
        <v>82</v>
      </c>
      <c r="E1405">
        <v>-2.2336869453070444E-3</v>
      </c>
      <c r="F1405">
        <f t="shared" si="48"/>
        <v>-1.8423660053498103E-2</v>
      </c>
      <c r="G1405">
        <f t="shared" si="49"/>
        <v>-3.025042431561515E-2</v>
      </c>
    </row>
    <row r="1406" spans="1:7" x14ac:dyDescent="0.35">
      <c r="A1406" t="s">
        <v>82</v>
      </c>
      <c r="E1406">
        <v>-2.1648149994249053E-2</v>
      </c>
      <c r="F1406">
        <f t="shared" si="48"/>
        <v>-1.8424757079773785E-2</v>
      </c>
      <c r="G1406">
        <f t="shared" si="49"/>
        <v>-3.025042431561515E-2</v>
      </c>
    </row>
    <row r="1407" spans="1:7" x14ac:dyDescent="0.35">
      <c r="A1407" t="s">
        <v>82</v>
      </c>
      <c r="E1407">
        <v>-2.3677905924536443E-2</v>
      </c>
      <c r="F1407">
        <f t="shared" si="48"/>
        <v>-1.8414795557668385E-2</v>
      </c>
      <c r="G1407">
        <f t="shared" si="49"/>
        <v>-3.0223507856680744E-2</v>
      </c>
    </row>
    <row r="1408" spans="1:7" x14ac:dyDescent="0.35">
      <c r="A1408" t="s">
        <v>82</v>
      </c>
      <c r="E1408">
        <v>-2.9936013747194314E-2</v>
      </c>
      <c r="F1408">
        <f t="shared" si="48"/>
        <v>-1.8400568091146614E-2</v>
      </c>
      <c r="G1408">
        <f t="shared" si="49"/>
        <v>-3.0179633439808663E-2</v>
      </c>
    </row>
    <row r="1409" spans="1:7" x14ac:dyDescent="0.35">
      <c r="A1409" t="s">
        <v>82</v>
      </c>
      <c r="E1409">
        <v>-4.8164996647205777E-2</v>
      </c>
      <c r="F1409">
        <f t="shared" si="48"/>
        <v>-1.8365737666232486E-2</v>
      </c>
      <c r="G1409">
        <f t="shared" si="49"/>
        <v>-3.0083435793737477E-2</v>
      </c>
    </row>
    <row r="1410" spans="1:7" x14ac:dyDescent="0.35">
      <c r="A1410" t="s">
        <v>82</v>
      </c>
      <c r="E1410">
        <v>4.8520505858638568E-2</v>
      </c>
      <c r="F1410">
        <f t="shared" si="48"/>
        <v>-1.8316513034008469E-2</v>
      </c>
      <c r="G1410">
        <f t="shared" si="49"/>
        <v>-2.9834927554523473E-2</v>
      </c>
    </row>
    <row r="1411" spans="1:7" x14ac:dyDescent="0.35">
      <c r="A1411" t="s">
        <v>82</v>
      </c>
      <c r="E1411">
        <v>-1.2987653708975262E-2</v>
      </c>
      <c r="F1411">
        <f t="shared" si="48"/>
        <v>-1.8319262524760096E-2</v>
      </c>
      <c r="G1411">
        <f t="shared" si="49"/>
        <v>-2.9834927554523473E-2</v>
      </c>
    </row>
    <row r="1412" spans="1:7" x14ac:dyDescent="0.35">
      <c r="A1412" t="s">
        <v>82</v>
      </c>
      <c r="E1412">
        <v>3.1331191393811422E-2</v>
      </c>
      <c r="F1412">
        <f t="shared" ref="F1412:F1475" si="50">_xlfn.PERCENTILE.EXC(E1412:E5227,0.05)</f>
        <v>-1.8322012015511722E-2</v>
      </c>
      <c r="G1412">
        <f t="shared" ref="G1412:G1475" si="51">AVERAGEIFS(E1412:E5228,E1412:E5228,"&lt;=" &amp; F1412)</f>
        <v>-2.9834927554523473E-2</v>
      </c>
    </row>
    <row r="1413" spans="1:7" x14ac:dyDescent="0.35">
      <c r="A1413" t="s">
        <v>82</v>
      </c>
      <c r="E1413">
        <v>-1.6580847539562052E-3</v>
      </c>
      <c r="F1413">
        <f t="shared" si="50"/>
        <v>-1.8324761506263349E-2</v>
      </c>
      <c r="G1413">
        <f t="shared" si="51"/>
        <v>-2.9834927554523473E-2</v>
      </c>
    </row>
    <row r="1414" spans="1:7" x14ac:dyDescent="0.35">
      <c r="A1414" t="s">
        <v>83</v>
      </c>
      <c r="B1414" s="3" cm="1">
        <f t="array" ref="B1414">_xlfn.STDEV.S(_xlfn._xlws.FILTER($E$1000:$E$1998, $A$1000:$A$1998="2015-09"))</f>
        <v>1.8446741059440695E-2</v>
      </c>
      <c r="C1414" s="3" cm="1">
        <f t="array" ref="C1414">AVERAGE(_xlfn._xlws.FILTER($E$1000:$E$1998, $A$1000:$A$1998="2015-09"))</f>
        <v>-2.9073623073808466E-3</v>
      </c>
      <c r="D1414" s="3" cm="1">
        <f t="array" ref="D1414">_xlfn.PERCENTILE.EXC(_xlfn._xlws.FILTER($E$1000:$E$1497, $A$1000:$A$1497="2015-09"), 0.05)</f>
        <v>-3.7580195290987689E-2</v>
      </c>
      <c r="E1414">
        <v>-2.7860284477478094E-2</v>
      </c>
      <c r="F1414">
        <f t="shared" si="50"/>
        <v>-1.8327510997014976E-2</v>
      </c>
      <c r="G1414">
        <f t="shared" si="51"/>
        <v>-2.9834927554523473E-2</v>
      </c>
    </row>
    <row r="1415" spans="1:7" x14ac:dyDescent="0.35">
      <c r="A1415" t="s">
        <v>83</v>
      </c>
      <c r="E1415">
        <v>3.2377037018482924E-3</v>
      </c>
      <c r="F1415">
        <f t="shared" si="50"/>
        <v>-1.827339730470097E-2</v>
      </c>
      <c r="G1415">
        <f t="shared" si="51"/>
        <v>-2.9755167001598588E-2</v>
      </c>
    </row>
    <row r="1416" spans="1:7" x14ac:dyDescent="0.35">
      <c r="A1416" t="s">
        <v>83</v>
      </c>
      <c r="E1416">
        <v>2.6495849992935076E-2</v>
      </c>
      <c r="F1416">
        <f t="shared" si="50"/>
        <v>-1.8276521469059219E-2</v>
      </c>
      <c r="G1416">
        <f t="shared" si="51"/>
        <v>-2.9755167001598588E-2</v>
      </c>
    </row>
    <row r="1417" spans="1:7" x14ac:dyDescent="0.35">
      <c r="A1417" t="s">
        <v>83</v>
      </c>
      <c r="E1417">
        <v>-2.7492559738702956E-2</v>
      </c>
      <c r="F1417">
        <f t="shared" si="50"/>
        <v>-1.8279645633417465E-2</v>
      </c>
      <c r="G1417">
        <f t="shared" si="51"/>
        <v>-2.9755167001598588E-2</v>
      </c>
    </row>
    <row r="1418" spans="1:7" x14ac:dyDescent="0.35">
      <c r="A1418" t="s">
        <v>83</v>
      </c>
      <c r="E1418">
        <v>7.005659861740802E-3</v>
      </c>
      <c r="F1418">
        <f t="shared" si="50"/>
        <v>-1.8223818648962647E-2</v>
      </c>
      <c r="G1418">
        <f t="shared" si="51"/>
        <v>-2.9677950127437128E-2</v>
      </c>
    </row>
    <row r="1419" spans="1:7" x14ac:dyDescent="0.35">
      <c r="A1419" t="s">
        <v>83</v>
      </c>
      <c r="E1419">
        <v>1.597190376651493E-2</v>
      </c>
      <c r="F1419">
        <f t="shared" si="50"/>
        <v>-1.822517674414495E-2</v>
      </c>
      <c r="G1419">
        <f t="shared" si="51"/>
        <v>-2.9677950127437128E-2</v>
      </c>
    </row>
    <row r="1420" spans="1:7" x14ac:dyDescent="0.35">
      <c r="A1420" t="s">
        <v>83</v>
      </c>
      <c r="E1420">
        <v>3.0873222775841713E-3</v>
      </c>
      <c r="F1420">
        <f t="shared" si="50"/>
        <v>-1.8226534839327253E-2</v>
      </c>
      <c r="G1420">
        <f t="shared" si="51"/>
        <v>-2.9677950127437128E-2</v>
      </c>
    </row>
    <row r="1421" spans="1:7" x14ac:dyDescent="0.35">
      <c r="A1421" t="s">
        <v>83</v>
      </c>
      <c r="E1421">
        <v>-9.0360357352755032E-3</v>
      </c>
      <c r="F1421">
        <f t="shared" si="50"/>
        <v>-1.8229659003685499E-2</v>
      </c>
      <c r="G1421">
        <f t="shared" si="51"/>
        <v>-2.9774180508009476E-2</v>
      </c>
    </row>
    <row r="1422" spans="1:7" x14ac:dyDescent="0.35">
      <c r="A1422" t="s">
        <v>83</v>
      </c>
      <c r="E1422">
        <v>-8.5453455970670618E-3</v>
      </c>
      <c r="F1422">
        <f t="shared" si="50"/>
        <v>-1.8232783168043748E-2</v>
      </c>
      <c r="G1422">
        <f t="shared" si="51"/>
        <v>-2.9774180508009476E-2</v>
      </c>
    </row>
    <row r="1423" spans="1:7" x14ac:dyDescent="0.35">
      <c r="A1423" t="s">
        <v>83</v>
      </c>
      <c r="E1423">
        <v>8.0768988311145321E-4</v>
      </c>
      <c r="F1423">
        <f t="shared" si="50"/>
        <v>-1.8235907332401994E-2</v>
      </c>
      <c r="G1423">
        <f t="shared" si="51"/>
        <v>-2.9774180508009476E-2</v>
      </c>
    </row>
    <row r="1424" spans="1:7" x14ac:dyDescent="0.35">
      <c r="A1424" t="s">
        <v>83</v>
      </c>
      <c r="E1424">
        <v>5.5502466067815278E-3</v>
      </c>
      <c r="F1424">
        <f t="shared" si="50"/>
        <v>-1.8239031496760243E-2</v>
      </c>
      <c r="G1424">
        <f t="shared" si="51"/>
        <v>-2.9774180508009476E-2</v>
      </c>
    </row>
    <row r="1425" spans="1:7" x14ac:dyDescent="0.35">
      <c r="A1425" t="s">
        <v>83</v>
      </c>
      <c r="E1425">
        <v>3.8284983482277635E-3</v>
      </c>
      <c r="F1425">
        <f t="shared" si="50"/>
        <v>-1.8242155661118493E-2</v>
      </c>
      <c r="G1425">
        <f t="shared" si="51"/>
        <v>-2.9774180508009476E-2</v>
      </c>
    </row>
    <row r="1426" spans="1:7" x14ac:dyDescent="0.35">
      <c r="A1426" t="s">
        <v>83</v>
      </c>
      <c r="E1426">
        <v>2.3170790828904383E-4</v>
      </c>
      <c r="F1426">
        <f t="shared" si="50"/>
        <v>-1.8245279825476739E-2</v>
      </c>
      <c r="G1426">
        <f t="shared" si="51"/>
        <v>-2.9774180508009476E-2</v>
      </c>
    </row>
    <row r="1427" spans="1:7" x14ac:dyDescent="0.35">
      <c r="A1427" t="s">
        <v>83</v>
      </c>
      <c r="E1427">
        <v>-3.1117773820959736E-2</v>
      </c>
      <c r="F1427">
        <f t="shared" si="50"/>
        <v>-1.8248403989834988E-2</v>
      </c>
      <c r="G1427">
        <f t="shared" si="51"/>
        <v>-2.9774180508009476E-2</v>
      </c>
    </row>
    <row r="1428" spans="1:7" x14ac:dyDescent="0.35">
      <c r="A1428" t="s">
        <v>83</v>
      </c>
      <c r="E1428">
        <v>3.2570416320289773E-3</v>
      </c>
      <c r="F1428">
        <f t="shared" si="50"/>
        <v>-1.8210237697139614E-2</v>
      </c>
      <c r="G1428">
        <f t="shared" si="51"/>
        <v>-2.9665850768668033E-2</v>
      </c>
    </row>
    <row r="1429" spans="1:7" x14ac:dyDescent="0.35">
      <c r="A1429" t="s">
        <v>83</v>
      </c>
      <c r="E1429">
        <v>-3.8720622609227921E-2</v>
      </c>
      <c r="F1429">
        <f t="shared" si="50"/>
        <v>-1.8211595792321917E-2</v>
      </c>
      <c r="G1429">
        <f t="shared" si="51"/>
        <v>-2.9665850768668033E-2</v>
      </c>
    </row>
    <row r="1430" spans="1:7" x14ac:dyDescent="0.35">
      <c r="A1430" t="s">
        <v>83</v>
      </c>
      <c r="E1430">
        <v>4.3746498948724786E-3</v>
      </c>
      <c r="F1430">
        <f t="shared" si="50"/>
        <v>-1.8193039567956183E-2</v>
      </c>
      <c r="G1430">
        <f t="shared" si="51"/>
        <v>-2.9493403292419739E-2</v>
      </c>
    </row>
    <row r="1431" spans="1:7" x14ac:dyDescent="0.35">
      <c r="A1431" t="s">
        <v>83</v>
      </c>
      <c r="E1431">
        <v>-1.9431018286484216E-2</v>
      </c>
      <c r="F1431">
        <f t="shared" si="50"/>
        <v>-1.8193672904728685E-2</v>
      </c>
      <c r="G1431">
        <f t="shared" si="51"/>
        <v>-2.9493403292419739E-2</v>
      </c>
    </row>
    <row r="1432" spans="1:7" x14ac:dyDescent="0.35">
      <c r="A1432" t="s">
        <v>83</v>
      </c>
      <c r="E1432">
        <v>2.7296911395785314E-2</v>
      </c>
      <c r="F1432">
        <f t="shared" si="50"/>
        <v>-1.8185368633352662E-2</v>
      </c>
      <c r="G1432">
        <f t="shared" si="51"/>
        <v>-2.9482946888333583E-2</v>
      </c>
    </row>
    <row r="1433" spans="1:7" x14ac:dyDescent="0.35">
      <c r="A1433" t="s">
        <v>83</v>
      </c>
      <c r="E1433">
        <v>-2.1383992864850775E-2</v>
      </c>
      <c r="F1433">
        <f t="shared" si="50"/>
        <v>-1.8185535829212479E-2</v>
      </c>
      <c r="G1433">
        <f t="shared" si="51"/>
        <v>-2.9482946888333583E-2</v>
      </c>
    </row>
    <row r="1434" spans="1:7" x14ac:dyDescent="0.35">
      <c r="A1434" t="s">
        <v>83</v>
      </c>
      <c r="E1434">
        <v>-3.5016500912417483E-3</v>
      </c>
      <c r="F1434">
        <f t="shared" si="50"/>
        <v>-1.8182416845473955E-2</v>
      </c>
      <c r="G1434">
        <f t="shared" si="51"/>
        <v>-2.9456050833024206E-2</v>
      </c>
    </row>
    <row r="1435" spans="1:7" x14ac:dyDescent="0.35">
      <c r="A1435" t="s">
        <v>83</v>
      </c>
      <c r="E1435">
        <v>2.1982127189189554E-2</v>
      </c>
      <c r="F1435">
        <f t="shared" si="50"/>
        <v>-1.8182574418400776E-2</v>
      </c>
      <c r="G1435">
        <f t="shared" si="51"/>
        <v>-2.9456050833024206E-2</v>
      </c>
    </row>
    <row r="1436" spans="1:7" x14ac:dyDescent="0.35">
      <c r="A1436" t="s">
        <v>84</v>
      </c>
      <c r="B1436" s="3" cm="1">
        <f t="array" ref="B1436">_xlfn.STDEV.S(_xlfn._xlws.FILTER($E$1000:$E$1998, $A$1000:$A$1998="2015-10"))</f>
        <v>1.1762809955897702E-2</v>
      </c>
      <c r="C1436" s="3" cm="1">
        <f t="array" ref="C1436">AVERAGE(_xlfn._xlws.FILTER($E$1000:$E$1998, $A$1000:$A$1998="2015-10"))</f>
        <v>5.2790357858030204E-3</v>
      </c>
      <c r="D1436" s="3" cm="1">
        <f t="array" ref="D1436">_xlfn.PERCENTILE.EXC(_xlfn._xlws.FILTER($E$1000:$E$1497, $A$1000:$A$1497="2015-10"), 0.05)</f>
        <v>-1.5167143534632593E-2</v>
      </c>
      <c r="E1436">
        <v>-1.5774186747332563E-2</v>
      </c>
      <c r="F1436">
        <f t="shared" si="50"/>
        <v>-1.81827319913276E-2</v>
      </c>
      <c r="G1436">
        <f t="shared" si="51"/>
        <v>-2.9456050833024206E-2</v>
      </c>
    </row>
    <row r="1437" spans="1:7" x14ac:dyDescent="0.35">
      <c r="A1437" t="s">
        <v>84</v>
      </c>
      <c r="E1437">
        <v>4.5975597080814461E-3</v>
      </c>
      <c r="F1437">
        <f t="shared" si="50"/>
        <v>-1.8182889564254422E-2</v>
      </c>
      <c r="G1437">
        <f t="shared" si="51"/>
        <v>-2.9456050833024206E-2</v>
      </c>
    </row>
    <row r="1438" spans="1:7" x14ac:dyDescent="0.35">
      <c r="A1438" t="s">
        <v>84</v>
      </c>
      <c r="E1438">
        <v>2.7027862874698716E-2</v>
      </c>
      <c r="F1438">
        <f t="shared" si="50"/>
        <v>-1.8183047137181243E-2</v>
      </c>
      <c r="G1438">
        <f t="shared" si="51"/>
        <v>-2.9456050833024206E-2</v>
      </c>
    </row>
    <row r="1439" spans="1:7" x14ac:dyDescent="0.35">
      <c r="A1439" t="s">
        <v>84</v>
      </c>
      <c r="E1439">
        <v>8.9301431998117468E-3</v>
      </c>
      <c r="F1439">
        <f t="shared" si="50"/>
        <v>-1.8183204710108068E-2</v>
      </c>
      <c r="G1439">
        <f t="shared" si="51"/>
        <v>-2.9456050833024206E-2</v>
      </c>
    </row>
    <row r="1440" spans="1:7" x14ac:dyDescent="0.35">
      <c r="A1440" t="s">
        <v>84</v>
      </c>
      <c r="E1440">
        <v>6.8001286534082007E-3</v>
      </c>
      <c r="F1440">
        <f t="shared" si="50"/>
        <v>-1.8183362283034889E-2</v>
      </c>
      <c r="G1440">
        <f t="shared" si="51"/>
        <v>-2.9456050833024206E-2</v>
      </c>
    </row>
    <row r="1441" spans="1:7" x14ac:dyDescent="0.35">
      <c r="A1441" t="s">
        <v>84</v>
      </c>
      <c r="E1441">
        <v>2.2711492285203204E-3</v>
      </c>
      <c r="F1441">
        <f t="shared" si="50"/>
        <v>-1.8183529478894702E-2</v>
      </c>
      <c r="G1441">
        <f t="shared" si="51"/>
        <v>-2.9551582091922417E-2</v>
      </c>
    </row>
    <row r="1442" spans="1:7" x14ac:dyDescent="0.35">
      <c r="A1442" t="s">
        <v>84</v>
      </c>
      <c r="E1442">
        <v>1.030688075146606E-2</v>
      </c>
      <c r="F1442">
        <f t="shared" si="50"/>
        <v>-1.8183696674754519E-2</v>
      </c>
      <c r="G1442">
        <f t="shared" si="51"/>
        <v>-2.9551582091922417E-2</v>
      </c>
    </row>
    <row r="1443" spans="1:7" x14ac:dyDescent="0.35">
      <c r="A1443" t="s">
        <v>84</v>
      </c>
      <c r="E1443">
        <v>2.29813178923566E-3</v>
      </c>
      <c r="F1443">
        <f t="shared" si="50"/>
        <v>-1.8183863870614332E-2</v>
      </c>
      <c r="G1443">
        <f t="shared" si="51"/>
        <v>-2.9551582091922417E-2</v>
      </c>
    </row>
    <row r="1444" spans="1:7" x14ac:dyDescent="0.35">
      <c r="A1444" t="s">
        <v>84</v>
      </c>
      <c r="E1444">
        <v>-8.6351463120896421E-3</v>
      </c>
      <c r="F1444">
        <f t="shared" si="50"/>
        <v>-1.8184031066474145E-2</v>
      </c>
      <c r="G1444">
        <f t="shared" si="51"/>
        <v>-2.9551582091922417E-2</v>
      </c>
    </row>
    <row r="1445" spans="1:7" x14ac:dyDescent="0.35">
      <c r="A1445" t="s">
        <v>84</v>
      </c>
      <c r="E1445">
        <v>-1.1727231995999437E-2</v>
      </c>
      <c r="F1445">
        <f t="shared" si="50"/>
        <v>-1.8184198262333962E-2</v>
      </c>
      <c r="G1445">
        <f t="shared" si="51"/>
        <v>-2.9551582091922417E-2</v>
      </c>
    </row>
    <row r="1446" spans="1:7" x14ac:dyDescent="0.35">
      <c r="A1446" t="s">
        <v>84</v>
      </c>
      <c r="E1446">
        <v>1.4909701063620979E-2</v>
      </c>
      <c r="F1446">
        <f t="shared" si="50"/>
        <v>-1.8184365458193776E-2</v>
      </c>
      <c r="G1446">
        <f t="shared" si="51"/>
        <v>-2.9551582091922417E-2</v>
      </c>
    </row>
    <row r="1447" spans="1:7" x14ac:dyDescent="0.35">
      <c r="A1447" t="s">
        <v>84</v>
      </c>
      <c r="E1447">
        <v>3.9297534908741445E-3</v>
      </c>
      <c r="F1447">
        <f t="shared" si="50"/>
        <v>-1.8184532654053589E-2</v>
      </c>
      <c r="G1447">
        <f t="shared" si="51"/>
        <v>-2.9551582091922417E-2</v>
      </c>
    </row>
    <row r="1448" spans="1:7" x14ac:dyDescent="0.35">
      <c r="A1448" t="s">
        <v>84</v>
      </c>
      <c r="E1448">
        <v>5.908623250376996E-3</v>
      </c>
      <c r="F1448">
        <f t="shared" si="50"/>
        <v>-1.8184699849913406E-2</v>
      </c>
      <c r="G1448">
        <f t="shared" si="51"/>
        <v>-2.9551582091922417E-2</v>
      </c>
    </row>
    <row r="1449" spans="1:7" x14ac:dyDescent="0.35">
      <c r="A1449" t="s">
        <v>84</v>
      </c>
      <c r="E1449">
        <v>-1.6374568632404371E-3</v>
      </c>
      <c r="F1449">
        <f t="shared" si="50"/>
        <v>-1.8184867045773219E-2</v>
      </c>
      <c r="G1449">
        <f t="shared" si="51"/>
        <v>-2.9551582091922417E-2</v>
      </c>
    </row>
    <row r="1450" spans="1:7" x14ac:dyDescent="0.35">
      <c r="A1450" t="s">
        <v>84</v>
      </c>
      <c r="E1450">
        <v>8.8709475876160016E-3</v>
      </c>
      <c r="F1450">
        <f t="shared" si="50"/>
        <v>-1.8185034241633036E-2</v>
      </c>
      <c r="G1450">
        <f t="shared" si="51"/>
        <v>-2.9551582091922417E-2</v>
      </c>
    </row>
    <row r="1451" spans="1:7" x14ac:dyDescent="0.35">
      <c r="A1451" t="s">
        <v>84</v>
      </c>
      <c r="E1451">
        <v>2.449414715874081E-2</v>
      </c>
      <c r="F1451">
        <f t="shared" si="50"/>
        <v>-1.8185201437492849E-2</v>
      </c>
      <c r="G1451">
        <f t="shared" si="51"/>
        <v>-2.9551582091922417E-2</v>
      </c>
    </row>
    <row r="1452" spans="1:7" x14ac:dyDescent="0.35">
      <c r="A1452" t="s">
        <v>84</v>
      </c>
      <c r="E1452">
        <v>2.843024805916966E-2</v>
      </c>
      <c r="F1452">
        <f t="shared" si="50"/>
        <v>-1.8185368633352662E-2</v>
      </c>
      <c r="G1452">
        <f t="shared" si="51"/>
        <v>-2.9551582091922417E-2</v>
      </c>
    </row>
    <row r="1453" spans="1:7" x14ac:dyDescent="0.35">
      <c r="A1453" t="s">
        <v>84</v>
      </c>
      <c r="E1453">
        <v>6.2974976937546685E-4</v>
      </c>
      <c r="F1453">
        <f t="shared" si="50"/>
        <v>-1.8185535829212479E-2</v>
      </c>
      <c r="G1453">
        <f t="shared" si="51"/>
        <v>-2.9551582091922417E-2</v>
      </c>
    </row>
    <row r="1454" spans="1:7" x14ac:dyDescent="0.35">
      <c r="A1454" t="s">
        <v>84</v>
      </c>
      <c r="E1454">
        <v>-1.0156632093365887E-2</v>
      </c>
      <c r="F1454">
        <f t="shared" si="50"/>
        <v>-1.8185703025072292E-2</v>
      </c>
      <c r="G1454">
        <f t="shared" si="51"/>
        <v>-2.9551582091922417E-2</v>
      </c>
    </row>
    <row r="1455" spans="1:7" x14ac:dyDescent="0.35">
      <c r="A1455" t="s">
        <v>84</v>
      </c>
      <c r="E1455">
        <v>1.2987454986583944E-2</v>
      </c>
      <c r="F1455">
        <f t="shared" si="50"/>
        <v>-1.8185870220932106E-2</v>
      </c>
      <c r="G1455">
        <f t="shared" si="51"/>
        <v>-2.9551582091922417E-2</v>
      </c>
    </row>
    <row r="1456" spans="1:7" x14ac:dyDescent="0.35">
      <c r="A1456" t="s">
        <v>84</v>
      </c>
      <c r="E1456">
        <v>-2.8771145174974855E-3</v>
      </c>
      <c r="F1456">
        <f t="shared" si="50"/>
        <v>-1.8186037416791923E-2</v>
      </c>
      <c r="G1456">
        <f t="shared" si="51"/>
        <v>-2.9551582091922417E-2</v>
      </c>
    </row>
    <row r="1457" spans="1:7" x14ac:dyDescent="0.35">
      <c r="A1457" t="s">
        <v>84</v>
      </c>
      <c r="E1457">
        <v>4.5540742456117592E-3</v>
      </c>
      <c r="F1457">
        <f t="shared" si="50"/>
        <v>-1.8186204612651736E-2</v>
      </c>
      <c r="G1457">
        <f t="shared" si="51"/>
        <v>-2.9551582091922417E-2</v>
      </c>
    </row>
    <row r="1458" spans="1:7" x14ac:dyDescent="0.35">
      <c r="A1458" t="s">
        <v>85</v>
      </c>
      <c r="B1458" s="3" cm="1">
        <f t="array" ref="B1458">_xlfn.STDEV.S(_xlfn._xlws.FILTER($E$1000:$E$1998, $A$1000:$A$1998="2015-11"))</f>
        <v>1.0659313317883574E-2</v>
      </c>
      <c r="C1458" s="3" cm="1">
        <f t="array" ref="C1458">AVERAGE(_xlfn._xlws.FILTER($E$1000:$E$1998, $A$1000:$A$1998="2015-11"))</f>
        <v>2.2797801996508721E-3</v>
      </c>
      <c r="D1458" s="3" cm="1">
        <f t="array" ref="D1458">_xlfn.PERCENTILE.EXC(_xlfn._xlws.FILTER($E$1000:$E$1497, $A$1000:$A$1497="2015-11"), 0.05)</f>
        <v>-1.5685326912039978E-2</v>
      </c>
      <c r="E1458">
        <v>9.2226584762313806E-3</v>
      </c>
      <c r="F1458">
        <f t="shared" si="50"/>
        <v>-1.8186371808511549E-2</v>
      </c>
      <c r="G1458">
        <f t="shared" si="51"/>
        <v>-2.9551582091922417E-2</v>
      </c>
    </row>
    <row r="1459" spans="1:7" x14ac:dyDescent="0.35">
      <c r="A1459" t="s">
        <v>85</v>
      </c>
      <c r="E1459">
        <v>4.3831973788228345E-5</v>
      </c>
      <c r="F1459">
        <f t="shared" si="50"/>
        <v>-1.8186539004371366E-2</v>
      </c>
      <c r="G1459">
        <f t="shared" si="51"/>
        <v>-2.9551582091922417E-2</v>
      </c>
    </row>
    <row r="1460" spans="1:7" x14ac:dyDescent="0.35">
      <c r="A1460" t="s">
        <v>85</v>
      </c>
      <c r="E1460">
        <v>-9.7181995312447811E-3</v>
      </c>
      <c r="F1460">
        <f t="shared" si="50"/>
        <v>-1.8186706200231179E-2</v>
      </c>
      <c r="G1460">
        <f t="shared" si="51"/>
        <v>-2.9551582091922417E-2</v>
      </c>
    </row>
    <row r="1461" spans="1:7" x14ac:dyDescent="0.35">
      <c r="A1461" t="s">
        <v>85</v>
      </c>
      <c r="E1461">
        <v>3.9111115158739756E-3</v>
      </c>
      <c r="F1461">
        <f t="shared" si="50"/>
        <v>-1.8187339537003681E-2</v>
      </c>
      <c r="G1461">
        <f t="shared" si="51"/>
        <v>-2.9648717783304399E-2</v>
      </c>
    </row>
    <row r="1462" spans="1:7" x14ac:dyDescent="0.35">
      <c r="A1462" t="s">
        <v>85</v>
      </c>
      <c r="E1462">
        <v>9.1691129168057894E-3</v>
      </c>
      <c r="F1462">
        <f t="shared" si="50"/>
        <v>-1.818797287377618E-2</v>
      </c>
      <c r="G1462">
        <f t="shared" si="51"/>
        <v>-2.9648717783304399E-2</v>
      </c>
    </row>
    <row r="1463" spans="1:7" x14ac:dyDescent="0.35">
      <c r="A1463" t="s">
        <v>85</v>
      </c>
      <c r="E1463">
        <v>-1.5830831064526294E-2</v>
      </c>
      <c r="F1463">
        <f t="shared" si="50"/>
        <v>-1.8188606210548682E-2</v>
      </c>
      <c r="G1463">
        <f t="shared" si="51"/>
        <v>-2.9648717783304399E-2</v>
      </c>
    </row>
    <row r="1464" spans="1:7" x14ac:dyDescent="0.35">
      <c r="A1464" t="s">
        <v>85</v>
      </c>
      <c r="E1464">
        <v>1.5770535101347822E-3</v>
      </c>
      <c r="F1464">
        <f t="shared" si="50"/>
        <v>-1.8189239547321181E-2</v>
      </c>
      <c r="G1464">
        <f t="shared" si="51"/>
        <v>-2.9648717783304399E-2</v>
      </c>
    </row>
    <row r="1465" spans="1:7" x14ac:dyDescent="0.35">
      <c r="A1465" t="s">
        <v>85</v>
      </c>
      <c r="E1465">
        <v>6.9318261277794722E-3</v>
      </c>
      <c r="F1465">
        <f t="shared" si="50"/>
        <v>-1.8189872884093683E-2</v>
      </c>
      <c r="G1465">
        <f t="shared" si="51"/>
        <v>-2.9648717783304399E-2</v>
      </c>
    </row>
    <row r="1466" spans="1:7" x14ac:dyDescent="0.35">
      <c r="A1466" t="s">
        <v>85</v>
      </c>
      <c r="E1466">
        <v>-1.1548041013539243E-2</v>
      </c>
      <c r="F1466">
        <f t="shared" si="50"/>
        <v>-1.8190506220866182E-2</v>
      </c>
      <c r="G1466">
        <f t="shared" si="51"/>
        <v>-2.9648717783304399E-2</v>
      </c>
    </row>
    <row r="1467" spans="1:7" x14ac:dyDescent="0.35">
      <c r="A1467" t="s">
        <v>85</v>
      </c>
      <c r="E1467">
        <v>-6.9080258315035786E-3</v>
      </c>
      <c r="F1467">
        <f t="shared" si="50"/>
        <v>-1.8191139557638684E-2</v>
      </c>
      <c r="G1467">
        <f t="shared" si="51"/>
        <v>-2.9648717783304399E-2</v>
      </c>
    </row>
    <row r="1468" spans="1:7" x14ac:dyDescent="0.35">
      <c r="A1468" t="s">
        <v>85</v>
      </c>
      <c r="E1468">
        <v>4.509460841075378E-4</v>
      </c>
      <c r="F1468">
        <f t="shared" si="50"/>
        <v>-1.8191772894411182E-2</v>
      </c>
      <c r="G1468">
        <f t="shared" si="51"/>
        <v>-2.9648717783304399E-2</v>
      </c>
    </row>
    <row r="1469" spans="1:7" x14ac:dyDescent="0.35">
      <c r="A1469" t="s">
        <v>85</v>
      </c>
      <c r="E1469">
        <v>2.3779647511525642E-2</v>
      </c>
      <c r="F1469">
        <f t="shared" si="50"/>
        <v>-1.8192406231183685E-2</v>
      </c>
      <c r="G1469">
        <f t="shared" si="51"/>
        <v>-2.9648717783304399E-2</v>
      </c>
    </row>
    <row r="1470" spans="1:7" x14ac:dyDescent="0.35">
      <c r="A1470" t="s">
        <v>85</v>
      </c>
      <c r="E1470">
        <v>-1.0113543387938887E-3</v>
      </c>
      <c r="F1470">
        <f t="shared" si="50"/>
        <v>-1.8193039567956183E-2</v>
      </c>
      <c r="G1470">
        <f t="shared" si="51"/>
        <v>-2.9648717783304399E-2</v>
      </c>
    </row>
    <row r="1471" spans="1:7" x14ac:dyDescent="0.35">
      <c r="A1471" t="s">
        <v>85</v>
      </c>
      <c r="E1471">
        <v>1.1384816094055814E-2</v>
      </c>
      <c r="F1471">
        <f t="shared" si="50"/>
        <v>-1.8193672904728685E-2</v>
      </c>
      <c r="G1471">
        <f t="shared" si="51"/>
        <v>-2.9648717783304399E-2</v>
      </c>
    </row>
    <row r="1472" spans="1:7" x14ac:dyDescent="0.35">
      <c r="A1472" t="s">
        <v>85</v>
      </c>
      <c r="E1472">
        <v>3.0974653760692987E-3</v>
      </c>
      <c r="F1472">
        <f t="shared" si="50"/>
        <v>-1.8194306241501187E-2</v>
      </c>
      <c r="G1472">
        <f t="shared" si="51"/>
        <v>-2.9648717783304399E-2</v>
      </c>
    </row>
    <row r="1473" spans="1:7" x14ac:dyDescent="0.35">
      <c r="A1473" t="s">
        <v>85</v>
      </c>
      <c r="E1473">
        <v>-2.4779255021199313E-3</v>
      </c>
      <c r="F1473">
        <f t="shared" si="50"/>
        <v>-1.8194939578273686E-2</v>
      </c>
      <c r="G1473">
        <f t="shared" si="51"/>
        <v>-2.9648717783304399E-2</v>
      </c>
    </row>
    <row r="1474" spans="1:7" x14ac:dyDescent="0.35">
      <c r="A1474" t="s">
        <v>85</v>
      </c>
      <c r="E1474">
        <v>-1.4375789539663135E-2</v>
      </c>
      <c r="F1474">
        <f t="shared" si="50"/>
        <v>-1.8195572915046188E-2</v>
      </c>
      <c r="G1474">
        <f t="shared" si="51"/>
        <v>-2.9648717783304399E-2</v>
      </c>
    </row>
    <row r="1475" spans="1:7" x14ac:dyDescent="0.35">
      <c r="A1475" t="s">
        <v>85</v>
      </c>
      <c r="E1475">
        <v>2.131414460231356E-2</v>
      </c>
      <c r="F1475">
        <f t="shared" si="50"/>
        <v>-1.8196206251818687E-2</v>
      </c>
      <c r="G1475">
        <f t="shared" si="51"/>
        <v>-2.9648717783304399E-2</v>
      </c>
    </row>
    <row r="1476" spans="1:7" x14ac:dyDescent="0.35">
      <c r="A1476" t="s">
        <v>85</v>
      </c>
      <c r="E1476">
        <v>1.3448661166789872E-2</v>
      </c>
      <c r="F1476">
        <f t="shared" ref="F1476:F1539" si="52">_xlfn.PERCENTILE.EXC(E1476:E5291,0.05)</f>
        <v>-1.8196839588591189E-2</v>
      </c>
      <c r="G1476">
        <f t="shared" ref="G1476:G1539" si="53">AVERAGEIFS(E1476:E5292,E1476:E5292,"&lt;=" &amp; F1476)</f>
        <v>-2.9648717783304399E-2</v>
      </c>
    </row>
    <row r="1477" spans="1:7" x14ac:dyDescent="0.35">
      <c r="A1477" t="s">
        <v>85</v>
      </c>
      <c r="E1477">
        <v>-2.3887308596139325E-3</v>
      </c>
      <c r="F1477">
        <f t="shared" si="52"/>
        <v>-1.8197472925363688E-2</v>
      </c>
      <c r="G1477">
        <f t="shared" si="53"/>
        <v>-2.9648717783304399E-2</v>
      </c>
    </row>
    <row r="1478" spans="1:7" x14ac:dyDescent="0.35">
      <c r="A1478" t="s">
        <v>85</v>
      </c>
      <c r="E1478">
        <v>7.8030065181977472E-3</v>
      </c>
      <c r="F1478">
        <f t="shared" si="52"/>
        <v>-1.819810626213619E-2</v>
      </c>
      <c r="G1478">
        <f t="shared" si="53"/>
        <v>-2.9648717783304399E-2</v>
      </c>
    </row>
    <row r="1479" spans="1:7" x14ac:dyDescent="0.35">
      <c r="A1479" t="s">
        <v>86</v>
      </c>
      <c r="B1479" s="3" cm="1">
        <f t="array" ref="B1479">_xlfn.STDEV.S(_xlfn._xlws.FILTER($E$1000:$E$1998, $A$1000:$A$1998="2015-12"))</f>
        <v>1.7496179525390829E-2</v>
      </c>
      <c r="C1479" s="3" cm="1">
        <f t="array" ref="C1479">AVERAGE(_xlfn._xlws.FILTER($E$1000:$E$1998, $A$1000:$A$1998="2015-12"))</f>
        <v>-3.0420029894231205E-3</v>
      </c>
      <c r="D1479" s="3" cm="1">
        <f t="array" ref="D1479">_xlfn.PERCENTILE.EXC(_xlfn._xlws.FILTER($E$1000:$E$1497, $A$1000:$A$1497="2015-12"), 0.05)</f>
        <v>-3.6472968431502079E-2</v>
      </c>
      <c r="E1479">
        <v>-1.0686626339466645E-2</v>
      </c>
      <c r="F1479">
        <f t="shared" si="52"/>
        <v>-1.8198739598908689E-2</v>
      </c>
      <c r="G1479">
        <f t="shared" si="53"/>
        <v>-2.9648717783304399E-2</v>
      </c>
    </row>
    <row r="1480" spans="1:7" x14ac:dyDescent="0.35">
      <c r="A1480" t="s">
        <v>86</v>
      </c>
      <c r="E1480">
        <v>-6.3444313498954019E-3</v>
      </c>
      <c r="F1480">
        <f t="shared" si="52"/>
        <v>-1.8199372935681191E-2</v>
      </c>
      <c r="G1480">
        <f t="shared" si="53"/>
        <v>-2.9648717783304399E-2</v>
      </c>
    </row>
    <row r="1481" spans="1:7" x14ac:dyDescent="0.35">
      <c r="A1481" t="s">
        <v>86</v>
      </c>
      <c r="E1481">
        <v>-3.6472968431502079E-2</v>
      </c>
      <c r="F1481">
        <f t="shared" si="52"/>
        <v>-1.8200731030863494E-2</v>
      </c>
      <c r="G1481">
        <f t="shared" si="53"/>
        <v>-2.9747419031990803E-2</v>
      </c>
    </row>
    <row r="1482" spans="1:7" x14ac:dyDescent="0.35">
      <c r="A1482" t="s">
        <v>86</v>
      </c>
      <c r="E1482">
        <v>-3.4482568680512531E-3</v>
      </c>
      <c r="F1482">
        <f t="shared" si="52"/>
        <v>-1.818797287377618E-2</v>
      </c>
      <c r="G1482">
        <f t="shared" si="53"/>
        <v>-2.9589888036337178E-2</v>
      </c>
    </row>
    <row r="1483" spans="1:7" x14ac:dyDescent="0.35">
      <c r="A1483" t="s">
        <v>86</v>
      </c>
      <c r="E1483">
        <v>1.2384743144591754E-2</v>
      </c>
      <c r="F1483">
        <f t="shared" si="52"/>
        <v>-1.8188606210548682E-2</v>
      </c>
      <c r="G1483">
        <f t="shared" si="53"/>
        <v>-2.9589888036337178E-2</v>
      </c>
    </row>
    <row r="1484" spans="1:7" x14ac:dyDescent="0.35">
      <c r="A1484" t="s">
        <v>86</v>
      </c>
      <c r="E1484">
        <v>-1.9712424504259501E-2</v>
      </c>
      <c r="F1484">
        <f t="shared" si="52"/>
        <v>-1.8189239547321181E-2</v>
      </c>
      <c r="G1484">
        <f t="shared" si="53"/>
        <v>-2.9589888036337178E-2</v>
      </c>
    </row>
    <row r="1485" spans="1:7" x14ac:dyDescent="0.35">
      <c r="A1485" t="s">
        <v>86</v>
      </c>
      <c r="E1485">
        <v>-7.6281435191787282E-3</v>
      </c>
      <c r="F1485">
        <f t="shared" si="52"/>
        <v>-1.8184198262333962E-2</v>
      </c>
      <c r="G1485">
        <f t="shared" si="53"/>
        <v>-2.9576735292336929E-2</v>
      </c>
    </row>
    <row r="1486" spans="1:7" x14ac:dyDescent="0.35">
      <c r="A1486" t="s">
        <v>86</v>
      </c>
      <c r="E1486">
        <v>6.0779317273224737E-4</v>
      </c>
      <c r="F1486">
        <f t="shared" si="52"/>
        <v>-1.8184365458193776E-2</v>
      </c>
      <c r="G1486">
        <f t="shared" si="53"/>
        <v>-2.9576735292336929E-2</v>
      </c>
    </row>
    <row r="1487" spans="1:7" x14ac:dyDescent="0.35">
      <c r="A1487" t="s">
        <v>86</v>
      </c>
      <c r="E1487">
        <v>-2.4727380855289784E-2</v>
      </c>
      <c r="F1487">
        <f t="shared" si="52"/>
        <v>-1.8184532654053589E-2</v>
      </c>
      <c r="G1487">
        <f t="shared" si="53"/>
        <v>-2.9576735292336929E-2</v>
      </c>
    </row>
    <row r="1488" spans="1:7" x14ac:dyDescent="0.35">
      <c r="A1488" t="s">
        <v>86</v>
      </c>
      <c r="E1488">
        <v>-1.9602764484102152E-2</v>
      </c>
      <c r="F1488">
        <f t="shared" si="52"/>
        <v>-1.818147140791302E-2</v>
      </c>
      <c r="G1488">
        <f t="shared" si="53"/>
        <v>-2.9520321339127839E-2</v>
      </c>
    </row>
    <row r="1489" spans="1:7" x14ac:dyDescent="0.35">
      <c r="A1489" t="s">
        <v>86</v>
      </c>
      <c r="E1489">
        <v>3.021543409876699E-2</v>
      </c>
      <c r="F1489">
        <f t="shared" si="52"/>
        <v>-1.8163163607674102E-2</v>
      </c>
      <c r="G1489">
        <f t="shared" si="53"/>
        <v>-2.9508057945510566E-2</v>
      </c>
    </row>
    <row r="1490" spans="1:7" x14ac:dyDescent="0.35">
      <c r="A1490" t="s">
        <v>86</v>
      </c>
      <c r="E1490">
        <v>1.8050028706015513E-3</v>
      </c>
      <c r="F1490">
        <f t="shared" si="52"/>
        <v>-1.8164713354658132E-2</v>
      </c>
      <c r="G1490">
        <f t="shared" si="53"/>
        <v>-2.9508057945510566E-2</v>
      </c>
    </row>
    <row r="1491" spans="1:7" x14ac:dyDescent="0.35">
      <c r="A1491" t="s">
        <v>86</v>
      </c>
      <c r="E1491">
        <v>2.5356682946703381E-2</v>
      </c>
      <c r="F1491">
        <f t="shared" si="52"/>
        <v>-1.8166263101642162E-2</v>
      </c>
      <c r="G1491">
        <f t="shared" si="53"/>
        <v>-2.9508057945510566E-2</v>
      </c>
    </row>
    <row r="1492" spans="1:7" x14ac:dyDescent="0.35">
      <c r="A1492" t="s">
        <v>86</v>
      </c>
      <c r="E1492">
        <v>-1.2173682909682982E-2</v>
      </c>
      <c r="F1492">
        <f t="shared" si="52"/>
        <v>-1.8167812848626192E-2</v>
      </c>
      <c r="G1492">
        <f t="shared" si="53"/>
        <v>-2.9508057945510566E-2</v>
      </c>
    </row>
    <row r="1493" spans="1:7" x14ac:dyDescent="0.35">
      <c r="A1493" t="s">
        <v>86</v>
      </c>
      <c r="E1493">
        <v>-1.0463490638595942E-2</v>
      </c>
      <c r="F1493">
        <f t="shared" si="52"/>
        <v>-1.8169362595610226E-2</v>
      </c>
      <c r="G1493">
        <f t="shared" si="53"/>
        <v>-2.9508057945510566E-2</v>
      </c>
    </row>
    <row r="1494" spans="1:7" x14ac:dyDescent="0.35">
      <c r="A1494" t="s">
        <v>86</v>
      </c>
      <c r="E1494">
        <v>-8.5959945292645216E-4</v>
      </c>
      <c r="F1494">
        <f t="shared" si="52"/>
        <v>-1.8170912342594256E-2</v>
      </c>
      <c r="G1494">
        <f t="shared" si="53"/>
        <v>-2.9508057945510566E-2</v>
      </c>
    </row>
    <row r="1495" spans="1:7" x14ac:dyDescent="0.35">
      <c r="A1495" t="s">
        <v>86</v>
      </c>
      <c r="E1495">
        <v>2.2520334167205152E-2</v>
      </c>
      <c r="F1495">
        <f t="shared" si="52"/>
        <v>-1.8172462089578286E-2</v>
      </c>
      <c r="G1495">
        <f t="shared" si="53"/>
        <v>-2.9508057945510566E-2</v>
      </c>
    </row>
    <row r="1496" spans="1:7" x14ac:dyDescent="0.35">
      <c r="A1496" t="s">
        <v>86</v>
      </c>
      <c r="E1496">
        <v>1.2275617397732475E-2</v>
      </c>
      <c r="F1496">
        <f t="shared" si="52"/>
        <v>-1.8174011836562316E-2</v>
      </c>
      <c r="G1496">
        <f t="shared" si="53"/>
        <v>-2.9508057945510566E-2</v>
      </c>
    </row>
    <row r="1497" spans="1:7" x14ac:dyDescent="0.35">
      <c r="A1497" t="s">
        <v>86</v>
      </c>
      <c r="E1497">
        <v>-1.0843895244421918E-2</v>
      </c>
      <c r="F1497">
        <f t="shared" si="52"/>
        <v>-1.8175561583546346E-2</v>
      </c>
      <c r="G1497">
        <f t="shared" si="53"/>
        <v>-2.9508057945510566E-2</v>
      </c>
    </row>
    <row r="1498" spans="1:7" x14ac:dyDescent="0.35">
      <c r="A1498" t="s">
        <v>87</v>
      </c>
      <c r="B1498" s="3" cm="1">
        <f t="array" ref="B1498">_xlfn.STDEV.S(_xlfn._xlws.FILTER($E$1000:$E$1998, $A$1000:$A$1998="2016-01"))</f>
        <v>1.8235884926835193E-2</v>
      </c>
      <c r="C1498" s="3" cm="1">
        <f t="array" ref="C1498">AVERAGE(_xlfn._xlws.FILTER($E$1000:$E$1998, $A$1000:$A$1998="2016-01"))</f>
        <v>-4.6032900294159613E-3</v>
      </c>
      <c r="D1498" s="3" cm="1">
        <f t="array" ref="D1498">_xlfn.PERCENTILE.EXC(_xlfn._xlws.FILTER($E$1498:$E$2489, $A$1498:$A$2489="2016-01"), 0.05)</f>
        <v>-4.2964924277195102E-2</v>
      </c>
      <c r="E1498">
        <v>-4.3720476121692602E-2</v>
      </c>
      <c r="F1498">
        <f t="shared" si="52"/>
        <v>-1.817711133053038E-2</v>
      </c>
      <c r="G1498">
        <f t="shared" si="53"/>
        <v>-2.9508057945510566E-2</v>
      </c>
    </row>
    <row r="1499" spans="1:7" x14ac:dyDescent="0.35">
      <c r="A1499" t="s">
        <v>87</v>
      </c>
      <c r="E1499">
        <v>2.5891629019127861E-3</v>
      </c>
      <c r="F1499">
        <f t="shared" si="52"/>
        <v>-1.813872744263546E-2</v>
      </c>
      <c r="G1499">
        <f t="shared" si="53"/>
        <v>-2.9287616046916817E-2</v>
      </c>
    </row>
    <row r="1500" spans="1:7" x14ac:dyDescent="0.35">
      <c r="A1500" t="s">
        <v>87</v>
      </c>
      <c r="E1500">
        <v>-9.3627109826129318E-3</v>
      </c>
      <c r="F1500">
        <f t="shared" si="52"/>
        <v>-1.8149215884817823E-2</v>
      </c>
      <c r="G1500">
        <f t="shared" si="53"/>
        <v>-2.9287616046916817E-2</v>
      </c>
    </row>
    <row r="1501" spans="1:7" x14ac:dyDescent="0.35">
      <c r="A1501" t="s">
        <v>87</v>
      </c>
      <c r="E1501">
        <v>-2.3193226169965216E-2</v>
      </c>
      <c r="F1501">
        <f t="shared" si="52"/>
        <v>-1.8150765631801853E-2</v>
      </c>
      <c r="G1501">
        <f t="shared" si="53"/>
        <v>-2.9384471700500289E-2</v>
      </c>
    </row>
    <row r="1502" spans="1:7" x14ac:dyDescent="0.35">
      <c r="A1502" t="s">
        <v>87</v>
      </c>
      <c r="E1502">
        <v>-1.3163612287384906E-2</v>
      </c>
      <c r="F1502">
        <f t="shared" si="52"/>
        <v>-1.7960423925535322E-2</v>
      </c>
      <c r="G1502">
        <f t="shared" si="53"/>
        <v>-2.9340610741499004E-2</v>
      </c>
    </row>
    <row r="1503" spans="1:7" x14ac:dyDescent="0.35">
      <c r="A1503" t="s">
        <v>87</v>
      </c>
      <c r="E1503">
        <v>-2.4671654510366368E-3</v>
      </c>
      <c r="F1503">
        <f t="shared" si="52"/>
        <v>-1.7970912367717681E-2</v>
      </c>
      <c r="G1503">
        <f t="shared" si="53"/>
        <v>-2.9340610741499004E-2</v>
      </c>
    </row>
    <row r="1504" spans="1:7" x14ac:dyDescent="0.35">
      <c r="A1504" t="s">
        <v>87</v>
      </c>
      <c r="E1504">
        <v>1.6189748125542459E-2</v>
      </c>
      <c r="F1504">
        <f t="shared" si="52"/>
        <v>-1.7981400809900041E-2</v>
      </c>
      <c r="G1504">
        <f t="shared" si="53"/>
        <v>-2.9340610741499004E-2</v>
      </c>
    </row>
    <row r="1505" spans="1:7" x14ac:dyDescent="0.35">
      <c r="A1505" t="s">
        <v>87</v>
      </c>
      <c r="E1505">
        <v>-2.4535780435332648E-3</v>
      </c>
      <c r="F1505">
        <f t="shared" si="52"/>
        <v>-1.7991889252082404E-2</v>
      </c>
      <c r="G1505">
        <f t="shared" si="53"/>
        <v>-2.9340610741499004E-2</v>
      </c>
    </row>
    <row r="1506" spans="1:7" x14ac:dyDescent="0.35">
      <c r="A1506" t="s">
        <v>87</v>
      </c>
      <c r="E1506">
        <v>-1.6883078756547047E-2</v>
      </c>
      <c r="F1506">
        <f t="shared" si="52"/>
        <v>-1.8002377694264767E-2</v>
      </c>
      <c r="G1506">
        <f t="shared" si="53"/>
        <v>-2.9340610741499004E-2</v>
      </c>
    </row>
    <row r="1507" spans="1:7" x14ac:dyDescent="0.35">
      <c r="A1507" t="s">
        <v>87</v>
      </c>
      <c r="E1507">
        <v>-2.5744629898412169E-2</v>
      </c>
      <c r="F1507">
        <f t="shared" si="52"/>
        <v>-1.8012866136447127E-2</v>
      </c>
      <c r="G1507">
        <f t="shared" si="53"/>
        <v>-2.9340610741499004E-2</v>
      </c>
    </row>
    <row r="1508" spans="1:7" x14ac:dyDescent="0.35">
      <c r="A1508" t="s">
        <v>87</v>
      </c>
      <c r="E1508">
        <v>-2.4565861837496034E-3</v>
      </c>
      <c r="F1508">
        <f t="shared" si="52"/>
        <v>-1.7938240822458172E-2</v>
      </c>
      <c r="G1508">
        <f t="shared" si="53"/>
        <v>-2.9272739586218642E-2</v>
      </c>
    </row>
    <row r="1509" spans="1:7" x14ac:dyDescent="0.35">
      <c r="A1509" t="s">
        <v>87</v>
      </c>
      <c r="E1509">
        <v>1.484021343363468E-2</v>
      </c>
      <c r="F1509">
        <f t="shared" si="52"/>
        <v>-1.793834134068421E-2</v>
      </c>
      <c r="G1509">
        <f t="shared" si="53"/>
        <v>-2.9272739586218642E-2</v>
      </c>
    </row>
    <row r="1510" spans="1:7" x14ac:dyDescent="0.35">
      <c r="A1510" t="s">
        <v>87</v>
      </c>
      <c r="E1510">
        <v>-2.860943923174258E-2</v>
      </c>
      <c r="F1510">
        <f t="shared" si="52"/>
        <v>-1.7938441858910244E-2</v>
      </c>
      <c r="G1510">
        <f t="shared" si="53"/>
        <v>-2.9272739586218642E-2</v>
      </c>
    </row>
    <row r="1511" spans="1:7" x14ac:dyDescent="0.35">
      <c r="A1511" t="s">
        <v>87</v>
      </c>
      <c r="E1511">
        <v>1.9247870901742271E-2</v>
      </c>
      <c r="F1511">
        <f t="shared" si="52"/>
        <v>-1.7922096250292247E-2</v>
      </c>
      <c r="G1511">
        <f t="shared" si="53"/>
        <v>-2.9179939564000439E-2</v>
      </c>
    </row>
    <row r="1512" spans="1:7" x14ac:dyDescent="0.35">
      <c r="A1512" t="s">
        <v>87</v>
      </c>
      <c r="E1512">
        <v>1.9724472707838722E-2</v>
      </c>
      <c r="F1512">
        <f t="shared" si="52"/>
        <v>-1.7923800742109763E-2</v>
      </c>
      <c r="G1512">
        <f t="shared" si="53"/>
        <v>-2.9179939564000439E-2</v>
      </c>
    </row>
    <row r="1513" spans="1:7" x14ac:dyDescent="0.35">
      <c r="A1513" t="s">
        <v>87</v>
      </c>
      <c r="E1513">
        <v>-2.9465131622286073E-3</v>
      </c>
      <c r="F1513">
        <f t="shared" si="52"/>
        <v>-1.7925505233927278E-2</v>
      </c>
      <c r="G1513">
        <f t="shared" si="53"/>
        <v>-2.9179939564000439E-2</v>
      </c>
    </row>
    <row r="1514" spans="1:7" x14ac:dyDescent="0.35">
      <c r="A1514" t="s">
        <v>87</v>
      </c>
      <c r="E1514">
        <v>8.8553615910614003E-3</v>
      </c>
      <c r="F1514">
        <f t="shared" si="52"/>
        <v>-1.7927209725744794E-2</v>
      </c>
      <c r="G1514">
        <f t="shared" si="53"/>
        <v>-2.9179939564000439E-2</v>
      </c>
    </row>
    <row r="1515" spans="1:7" x14ac:dyDescent="0.35">
      <c r="A1515" t="s">
        <v>87</v>
      </c>
      <c r="E1515">
        <v>5.8943803717350892E-3</v>
      </c>
      <c r="F1515">
        <f t="shared" si="52"/>
        <v>-1.7928914217562313E-2</v>
      </c>
      <c r="G1515">
        <f t="shared" si="53"/>
        <v>-2.9179939564000439E-2</v>
      </c>
    </row>
    <row r="1516" spans="1:7" x14ac:dyDescent="0.35">
      <c r="A1516" t="s">
        <v>87</v>
      </c>
      <c r="E1516">
        <v>-2.4716927669571457E-2</v>
      </c>
      <c r="F1516">
        <f t="shared" si="52"/>
        <v>-1.7930618709379828E-2</v>
      </c>
      <c r="G1516">
        <f t="shared" si="53"/>
        <v>-2.9179939564000439E-2</v>
      </c>
    </row>
    <row r="1517" spans="1:7" x14ac:dyDescent="0.35">
      <c r="A1517" t="s">
        <v>87</v>
      </c>
      <c r="E1517">
        <v>1.6310933336690366E-2</v>
      </c>
      <c r="F1517">
        <f t="shared" si="52"/>
        <v>-1.7892038137706252E-2</v>
      </c>
      <c r="G1517">
        <f t="shared" si="53"/>
        <v>-2.9120691035050248E-2</v>
      </c>
    </row>
    <row r="1518" spans="1:7" x14ac:dyDescent="0.35">
      <c r="A1518" t="s">
        <v>88</v>
      </c>
      <c r="B1518" s="3" cm="1">
        <f t="array" ref="B1518">_xlfn.STDEV.S(_xlfn._xlws.FILTER($E$1000:$E$1998, $A$1000:$A$1998="2016-02"))</f>
        <v>1.9114317842604044E-2</v>
      </c>
      <c r="C1518" s="3" cm="1">
        <f t="array" ref="C1518">AVERAGE(_xlfn._xlws.FILTER($E$1000:$E$1998, $A$1000:$A$1998="2016-02"))</f>
        <v>-1.494382815330157E-3</v>
      </c>
      <c r="D1518" s="3" cm="1">
        <f t="array" ref="D1518">_xlfn.PERCENTILE.EXC(_xlfn._xlws.FILTER($E$1498:$E$2489, $A$1498:$A$2489="2016-02"), 0.05)</f>
        <v>-3.3219862614191853E-2</v>
      </c>
      <c r="E1518">
        <v>-4.1143462182773507E-3</v>
      </c>
      <c r="F1518">
        <f t="shared" si="52"/>
        <v>-1.7895807705237358E-2</v>
      </c>
      <c r="G1518">
        <f t="shared" si="53"/>
        <v>-2.9120691035050248E-2</v>
      </c>
    </row>
    <row r="1519" spans="1:7" x14ac:dyDescent="0.35">
      <c r="A1519" t="s">
        <v>88</v>
      </c>
      <c r="E1519">
        <v>-1.828901812649221E-2</v>
      </c>
      <c r="F1519">
        <f t="shared" si="52"/>
        <v>-1.7899577272768464E-2</v>
      </c>
      <c r="G1519">
        <f t="shared" si="53"/>
        <v>-2.9120691035050248E-2</v>
      </c>
    </row>
    <row r="1520" spans="1:7" x14ac:dyDescent="0.35">
      <c r="A1520" t="s">
        <v>88</v>
      </c>
      <c r="E1520">
        <v>-1.5379044852472209E-2</v>
      </c>
      <c r="F1520">
        <f t="shared" si="52"/>
        <v>-1.782795548967742E-2</v>
      </c>
      <c r="G1520">
        <f t="shared" si="53"/>
        <v>-2.911668179473012E-2</v>
      </c>
    </row>
    <row r="1521" spans="1:7" x14ac:dyDescent="0.35">
      <c r="A1521" t="s">
        <v>88</v>
      </c>
      <c r="E1521">
        <v>-4.4040440458705653E-3</v>
      </c>
      <c r="F1521">
        <f t="shared" si="52"/>
        <v>-1.7831725057208526E-2</v>
      </c>
      <c r="G1521">
        <f t="shared" si="53"/>
        <v>-2.9215705709686724E-2</v>
      </c>
    </row>
    <row r="1522" spans="1:7" x14ac:dyDescent="0.35">
      <c r="A1522" t="s">
        <v>88</v>
      </c>
      <c r="E1522">
        <v>-1.1470398931567764E-2</v>
      </c>
      <c r="F1522">
        <f t="shared" si="52"/>
        <v>-1.7835494624739635E-2</v>
      </c>
      <c r="G1522">
        <f t="shared" si="53"/>
        <v>-2.9215705709686724E-2</v>
      </c>
    </row>
    <row r="1523" spans="1:7" x14ac:dyDescent="0.35">
      <c r="A1523" t="s">
        <v>88</v>
      </c>
      <c r="E1523">
        <v>-3.360404747309189E-2</v>
      </c>
      <c r="F1523">
        <f t="shared" si="52"/>
        <v>-1.7839264192270742E-2</v>
      </c>
      <c r="G1523">
        <f t="shared" si="53"/>
        <v>-2.9215705709686724E-2</v>
      </c>
    </row>
    <row r="1524" spans="1:7" x14ac:dyDescent="0.35">
      <c r="A1524" t="s">
        <v>88</v>
      </c>
      <c r="E1524">
        <v>-1.1194623132846951E-2</v>
      </c>
      <c r="F1524">
        <f t="shared" si="52"/>
        <v>-1.7825388252259176E-2</v>
      </c>
      <c r="G1524">
        <f t="shared" si="53"/>
        <v>-2.9077318937902382E-2</v>
      </c>
    </row>
    <row r="1525" spans="1:7" x14ac:dyDescent="0.35">
      <c r="A1525" t="s">
        <v>88</v>
      </c>
      <c r="E1525">
        <v>1.5409858319654178E-2</v>
      </c>
      <c r="F1525">
        <f t="shared" si="52"/>
        <v>-1.7825548704597814E-2</v>
      </c>
      <c r="G1525">
        <f t="shared" si="53"/>
        <v>-2.9077318937902382E-2</v>
      </c>
    </row>
    <row r="1526" spans="1:7" x14ac:dyDescent="0.35">
      <c r="A1526" t="s">
        <v>88</v>
      </c>
      <c r="E1526">
        <v>-2.9762198884091536E-2</v>
      </c>
      <c r="F1526">
        <f t="shared" si="52"/>
        <v>-1.7825709156936455E-2</v>
      </c>
      <c r="G1526">
        <f t="shared" si="53"/>
        <v>-2.9077318937902382E-2</v>
      </c>
    </row>
    <row r="1527" spans="1:7" x14ac:dyDescent="0.35">
      <c r="A1527" t="s">
        <v>88</v>
      </c>
      <c r="E1527">
        <v>2.4226398972394432E-2</v>
      </c>
      <c r="F1527">
        <f t="shared" si="52"/>
        <v>-1.779818233963534E-2</v>
      </c>
      <c r="G1527">
        <f t="shared" si="53"/>
        <v>-2.8972604442804254E-2</v>
      </c>
    </row>
    <row r="1528" spans="1:7" x14ac:dyDescent="0.35">
      <c r="A1528" t="s">
        <v>88</v>
      </c>
      <c r="E1528">
        <v>2.6338640511136806E-2</v>
      </c>
      <c r="F1528">
        <f t="shared" si="52"/>
        <v>-1.7800225732194516E-2</v>
      </c>
      <c r="G1528">
        <f t="shared" si="53"/>
        <v>-2.8972604442804254E-2</v>
      </c>
    </row>
    <row r="1529" spans="1:7" x14ac:dyDescent="0.35">
      <c r="A1529" t="s">
        <v>88</v>
      </c>
      <c r="E1529">
        <v>-7.8214547170949011E-3</v>
      </c>
      <c r="F1529">
        <f t="shared" si="52"/>
        <v>-1.7802269124753689E-2</v>
      </c>
      <c r="G1529">
        <f t="shared" si="53"/>
        <v>-2.8972604442804254E-2</v>
      </c>
    </row>
    <row r="1530" spans="1:7" x14ac:dyDescent="0.35">
      <c r="A1530" t="s">
        <v>88</v>
      </c>
      <c r="E1530">
        <v>2.6157046053352187E-2</v>
      </c>
      <c r="F1530">
        <f t="shared" si="52"/>
        <v>-1.7804312517312865E-2</v>
      </c>
      <c r="G1530">
        <f t="shared" si="53"/>
        <v>-2.8972604442804254E-2</v>
      </c>
    </row>
    <row r="1531" spans="1:7" x14ac:dyDescent="0.35">
      <c r="A1531" t="s">
        <v>88</v>
      </c>
      <c r="E1531">
        <v>9.1748096593247605E-3</v>
      </c>
      <c r="F1531">
        <f t="shared" si="52"/>
        <v>-1.7806355909872042E-2</v>
      </c>
      <c r="G1531">
        <f t="shared" si="53"/>
        <v>-2.8972604442804254E-2</v>
      </c>
    </row>
    <row r="1532" spans="1:7" x14ac:dyDescent="0.35">
      <c r="A1532" t="s">
        <v>88</v>
      </c>
      <c r="E1532">
        <v>-8.0194831457832492E-3</v>
      </c>
      <c r="F1532">
        <f t="shared" si="52"/>
        <v>-1.7808399302431215E-2</v>
      </c>
      <c r="G1532">
        <f t="shared" si="53"/>
        <v>-2.8972604442804254E-2</v>
      </c>
    </row>
    <row r="1533" spans="1:7" x14ac:dyDescent="0.35">
      <c r="A1533" t="s">
        <v>88</v>
      </c>
      <c r="E1533">
        <v>1.9570661814861706E-2</v>
      </c>
      <c r="F1533">
        <f t="shared" si="52"/>
        <v>-1.7810442694990391E-2</v>
      </c>
      <c r="G1533">
        <f t="shared" si="53"/>
        <v>-2.8972604442804254E-2</v>
      </c>
    </row>
    <row r="1534" spans="1:7" x14ac:dyDescent="0.35">
      <c r="A1534" t="s">
        <v>88</v>
      </c>
      <c r="E1534">
        <v>-1.6516123422014792E-2</v>
      </c>
      <c r="F1534">
        <f t="shared" si="52"/>
        <v>-1.7812486087549564E-2</v>
      </c>
      <c r="G1534">
        <f t="shared" si="53"/>
        <v>-2.8972604442804254E-2</v>
      </c>
    </row>
    <row r="1535" spans="1:7" x14ac:dyDescent="0.35">
      <c r="A1535" t="s">
        <v>88</v>
      </c>
      <c r="E1535">
        <v>-2.6794797589752922E-2</v>
      </c>
      <c r="F1535">
        <f t="shared" si="52"/>
        <v>-1.781452948010874E-2</v>
      </c>
      <c r="G1535">
        <f t="shared" si="53"/>
        <v>-2.8972604442804254E-2</v>
      </c>
    </row>
    <row r="1536" spans="1:7" x14ac:dyDescent="0.35">
      <c r="A1536" t="s">
        <v>88</v>
      </c>
      <c r="E1536">
        <v>1.7696285634899323E-2</v>
      </c>
      <c r="F1536">
        <f t="shared" si="52"/>
        <v>-1.7764166597226457E-2</v>
      </c>
      <c r="G1536">
        <f t="shared" si="53"/>
        <v>-2.8893561293698709E-2</v>
      </c>
    </row>
    <row r="1537" spans="1:7" x14ac:dyDescent="0.35">
      <c r="A1537" t="s">
        <v>88</v>
      </c>
      <c r="E1537">
        <v>1.9297189159596037E-2</v>
      </c>
      <c r="F1537">
        <f t="shared" si="52"/>
        <v>-1.7769094595850122E-2</v>
      </c>
      <c r="G1537">
        <f t="shared" si="53"/>
        <v>-2.8893561293698709E-2</v>
      </c>
    </row>
    <row r="1538" spans="1:7" x14ac:dyDescent="0.35">
      <c r="A1538" t="s">
        <v>88</v>
      </c>
      <c r="E1538">
        <v>-1.8833487077963857E-3</v>
      </c>
      <c r="F1538">
        <f t="shared" si="52"/>
        <v>-1.7774022594473787E-2</v>
      </c>
      <c r="G1538">
        <f t="shared" si="53"/>
        <v>-2.8893561293698709E-2</v>
      </c>
    </row>
    <row r="1539" spans="1:7" x14ac:dyDescent="0.35">
      <c r="A1539" t="s">
        <v>89</v>
      </c>
      <c r="B1539" s="3" cm="1">
        <f t="array" ref="B1539">_xlfn.STDEV.S(_xlfn._xlws.FILTER($E$1000:$E$1998, $A$1000:$A$1998="2016-03"))</f>
        <v>1.3147491933031434E-2</v>
      </c>
      <c r="C1539" s="3" cm="1">
        <f t="array" ref="C1539">AVERAGE(_xlfn._xlws.FILTER($E$1000:$E$1998, $A$1000:$A$1998="2016-03"))</f>
        <v>2.3010790795090241E-3</v>
      </c>
      <c r="D1539" s="3" cm="1">
        <f t="array" ref="D1539">_xlfn.PERCENTILE.EXC(_xlfn._xlws.FILTER($E$1498:$E$2489, $A$1498:$A$2489="2016-03"), 0.05)</f>
        <v>-2.2792480392797066E-2</v>
      </c>
      <c r="E1539">
        <v>2.3085923896777705E-2</v>
      </c>
      <c r="F1539">
        <f t="shared" si="52"/>
        <v>-1.7778950593097451E-2</v>
      </c>
      <c r="G1539">
        <f t="shared" si="53"/>
        <v>-2.8893561293698709E-2</v>
      </c>
    </row>
    <row r="1540" spans="1:7" x14ac:dyDescent="0.35">
      <c r="A1540" t="s">
        <v>89</v>
      </c>
      <c r="E1540">
        <v>6.1004263309846025E-3</v>
      </c>
      <c r="F1540">
        <f t="shared" ref="F1540:F1603" si="54">_xlfn.PERCENTILE.EXC(E1540:E5355,0.05)</f>
        <v>-1.7783878591721116E-2</v>
      </c>
      <c r="G1540">
        <f t="shared" ref="G1540:G1603" si="55">AVERAGEIFS(E1540:E5356,E1540:E5356,"&lt;=" &amp; F1540)</f>
        <v>-2.8893561293698709E-2</v>
      </c>
    </row>
    <row r="1541" spans="1:7" x14ac:dyDescent="0.35">
      <c r="A1541" t="s">
        <v>89</v>
      </c>
      <c r="E1541">
        <v>-2.5296323402933295E-3</v>
      </c>
      <c r="F1541">
        <f t="shared" si="54"/>
        <v>-1.7785921984280292E-2</v>
      </c>
      <c r="G1541">
        <f t="shared" si="55"/>
        <v>-2.8991877069822408E-2</v>
      </c>
    </row>
    <row r="1542" spans="1:7" x14ac:dyDescent="0.35">
      <c r="A1542" t="s">
        <v>89</v>
      </c>
      <c r="E1542">
        <v>7.3814871154502604E-3</v>
      </c>
      <c r="F1542">
        <f t="shared" si="54"/>
        <v>-1.7787965376839465E-2</v>
      </c>
      <c r="G1542">
        <f t="shared" si="55"/>
        <v>-2.8991877069822408E-2</v>
      </c>
    </row>
    <row r="1543" spans="1:7" x14ac:dyDescent="0.35">
      <c r="A1543" t="s">
        <v>89</v>
      </c>
      <c r="E1543">
        <v>-4.6156047069415345E-3</v>
      </c>
      <c r="F1543">
        <f t="shared" si="54"/>
        <v>-1.7790008769398642E-2</v>
      </c>
      <c r="G1543">
        <f t="shared" si="55"/>
        <v>-2.8991877069822408E-2</v>
      </c>
    </row>
    <row r="1544" spans="1:7" x14ac:dyDescent="0.35">
      <c r="A1544" t="s">
        <v>89</v>
      </c>
      <c r="E1544">
        <v>-8.8446658724747034E-3</v>
      </c>
      <c r="F1544">
        <f t="shared" si="54"/>
        <v>-1.7792052161957814E-2</v>
      </c>
      <c r="G1544">
        <f t="shared" si="55"/>
        <v>-2.8991877069822408E-2</v>
      </c>
    </row>
    <row r="1545" spans="1:7" x14ac:dyDescent="0.35">
      <c r="A1545" t="s">
        <v>89</v>
      </c>
      <c r="E1545">
        <v>3.1180639511160105E-3</v>
      </c>
      <c r="F1545">
        <f t="shared" si="54"/>
        <v>-1.7794095554516991E-2</v>
      </c>
      <c r="G1545">
        <f t="shared" si="55"/>
        <v>-2.8991877069822408E-2</v>
      </c>
    </row>
    <row r="1546" spans="1:7" x14ac:dyDescent="0.35">
      <c r="A1546" t="s">
        <v>89</v>
      </c>
      <c r="E1546">
        <v>-2.3406426386315779E-2</v>
      </c>
      <c r="F1546">
        <f t="shared" si="54"/>
        <v>-1.7796138947076167E-2</v>
      </c>
      <c r="G1546">
        <f t="shared" si="55"/>
        <v>-2.8991877069822408E-2</v>
      </c>
    </row>
    <row r="1547" spans="1:7" x14ac:dyDescent="0.35">
      <c r="A1547" t="s">
        <v>89</v>
      </c>
      <c r="E1547">
        <v>3.4456838973405908E-2</v>
      </c>
      <c r="F1547">
        <f t="shared" si="54"/>
        <v>-1.7719814609613471E-2</v>
      </c>
      <c r="G1547">
        <f t="shared" si="55"/>
        <v>-2.8942120009693244E-2</v>
      </c>
    </row>
    <row r="1548" spans="1:7" x14ac:dyDescent="0.35">
      <c r="A1548" t="s">
        <v>89</v>
      </c>
      <c r="E1548">
        <v>1.6056736573702136E-2</v>
      </c>
      <c r="F1548">
        <f t="shared" si="54"/>
        <v>-1.7724742608237136E-2</v>
      </c>
      <c r="G1548">
        <f t="shared" si="55"/>
        <v>-2.8942120009693244E-2</v>
      </c>
    </row>
    <row r="1549" spans="1:7" x14ac:dyDescent="0.35">
      <c r="A1549" t="s">
        <v>89</v>
      </c>
      <c r="E1549">
        <v>-5.6625014344003502E-3</v>
      </c>
      <c r="F1549">
        <f t="shared" si="54"/>
        <v>-1.7729670606860801E-2</v>
      </c>
      <c r="G1549">
        <f t="shared" si="55"/>
        <v>-2.8942120009693244E-2</v>
      </c>
    </row>
    <row r="1550" spans="1:7" x14ac:dyDescent="0.35">
      <c r="A1550" t="s">
        <v>89</v>
      </c>
      <c r="E1550">
        <v>4.9765984162211986E-3</v>
      </c>
      <c r="F1550">
        <f t="shared" si="54"/>
        <v>-1.7734598605484465E-2</v>
      </c>
      <c r="G1550">
        <f t="shared" si="55"/>
        <v>-2.8942120009693244E-2</v>
      </c>
    </row>
    <row r="1551" spans="1:7" x14ac:dyDescent="0.35">
      <c r="A1551" t="s">
        <v>89</v>
      </c>
      <c r="E1551">
        <v>-9.1781475165871162E-3</v>
      </c>
      <c r="F1551">
        <f t="shared" si="54"/>
        <v>-1.773952660410813E-2</v>
      </c>
      <c r="G1551">
        <f t="shared" si="55"/>
        <v>-2.8942120009693244E-2</v>
      </c>
    </row>
    <row r="1552" spans="1:7" x14ac:dyDescent="0.35">
      <c r="A1552" t="s">
        <v>89</v>
      </c>
      <c r="E1552">
        <v>5.9063821354322548E-3</v>
      </c>
      <c r="F1552">
        <f t="shared" si="54"/>
        <v>-1.7744454602731795E-2</v>
      </c>
      <c r="G1552">
        <f t="shared" si="55"/>
        <v>-2.8942120009693244E-2</v>
      </c>
    </row>
    <row r="1553" spans="1:7" x14ac:dyDescent="0.35">
      <c r="A1553" t="s">
        <v>89</v>
      </c>
      <c r="E1553">
        <v>-2.1709153709683902E-4</v>
      </c>
      <c r="F1553">
        <f t="shared" si="54"/>
        <v>-1.774938260135546E-2</v>
      </c>
      <c r="G1553">
        <f t="shared" si="55"/>
        <v>-2.8942120009693244E-2</v>
      </c>
    </row>
    <row r="1554" spans="1:7" x14ac:dyDescent="0.35">
      <c r="A1554" t="s">
        <v>89</v>
      </c>
      <c r="E1554">
        <v>4.1487342490758219E-3</v>
      </c>
      <c r="F1554">
        <f t="shared" si="54"/>
        <v>-1.7754310599979124E-2</v>
      </c>
      <c r="G1554">
        <f t="shared" si="55"/>
        <v>-2.8942120009693244E-2</v>
      </c>
    </row>
    <row r="1555" spans="1:7" x14ac:dyDescent="0.35">
      <c r="A1555" t="s">
        <v>89</v>
      </c>
      <c r="E1555">
        <v>3.2908754209342518E-3</v>
      </c>
      <c r="F1555">
        <f t="shared" si="54"/>
        <v>-1.7759238598602792E-2</v>
      </c>
      <c r="G1555">
        <f t="shared" si="55"/>
        <v>-2.8942120009693244E-2</v>
      </c>
    </row>
    <row r="1556" spans="1:7" x14ac:dyDescent="0.35">
      <c r="A1556" t="s">
        <v>89</v>
      </c>
      <c r="E1556">
        <v>-1.7266966451128647E-2</v>
      </c>
      <c r="F1556">
        <f t="shared" si="54"/>
        <v>-1.7764166597226457E-2</v>
      </c>
      <c r="G1556">
        <f t="shared" si="55"/>
        <v>-2.8942120009693244E-2</v>
      </c>
    </row>
    <row r="1557" spans="1:7" x14ac:dyDescent="0.35">
      <c r="A1557" t="s">
        <v>89</v>
      </c>
      <c r="E1557">
        <v>3.7073311054919363E-3</v>
      </c>
      <c r="F1557">
        <f t="shared" si="54"/>
        <v>-1.7769094595850122E-2</v>
      </c>
      <c r="G1557">
        <f t="shared" si="55"/>
        <v>-2.8942120009693244E-2</v>
      </c>
    </row>
    <row r="1558" spans="1:7" x14ac:dyDescent="0.35">
      <c r="A1558" t="s">
        <v>89</v>
      </c>
      <c r="E1558">
        <v>1.5919431433516758E-2</v>
      </c>
      <c r="F1558">
        <f t="shared" si="54"/>
        <v>-1.7774022594473787E-2</v>
      </c>
      <c r="G1558">
        <f t="shared" si="55"/>
        <v>-2.8942120009693244E-2</v>
      </c>
    </row>
    <row r="1559" spans="1:7" x14ac:dyDescent="0.35">
      <c r="A1559" t="s">
        <v>89</v>
      </c>
      <c r="E1559">
        <v>-8.1051326871810336E-3</v>
      </c>
      <c r="F1559">
        <f t="shared" si="54"/>
        <v>-1.7778950593097451E-2</v>
      </c>
      <c r="G1559">
        <f t="shared" si="55"/>
        <v>-2.8942120009693244E-2</v>
      </c>
    </row>
    <row r="1560" spans="1:7" x14ac:dyDescent="0.35">
      <c r="A1560" t="s">
        <v>90</v>
      </c>
      <c r="B1560" s="3" cm="1">
        <f t="array" ref="B1560">_xlfn.STDEV.S(_xlfn._xlws.FILTER($E$1000:$E$1998, $A$1000:$A$1998="2016-04"))</f>
        <v>1.3453300844117118E-2</v>
      </c>
      <c r="C1560" s="3" cm="1">
        <f t="array" ref="C1560">AVERAGE(_xlfn._xlws.FILTER($E$1000:$E$1998, $A$1000:$A$1998="2016-04"))</f>
        <v>3.497327560655299E-4</v>
      </c>
      <c r="D1560" s="3" cm="1">
        <f t="array" ref="D1560">_xlfn.PERCENTILE.EXC(_xlfn._xlws.FILTER($E$1498:$E$2489, $A$1498:$A$2489="2016-04"), 0.05)</f>
        <v>-2.7617980016261645E-2</v>
      </c>
      <c r="E1560">
        <v>-1.7294834206651476E-2</v>
      </c>
      <c r="F1560">
        <f t="shared" si="54"/>
        <v>-1.7783878591721116E-2</v>
      </c>
      <c r="G1560">
        <f t="shared" si="55"/>
        <v>-2.8942120009693244E-2</v>
      </c>
    </row>
    <row r="1561" spans="1:7" x14ac:dyDescent="0.35">
      <c r="A1561" t="s">
        <v>90</v>
      </c>
      <c r="E1561">
        <v>2.7976152890942653E-3</v>
      </c>
      <c r="F1561">
        <f t="shared" si="54"/>
        <v>-1.7785921984280292E-2</v>
      </c>
      <c r="G1561">
        <f t="shared" si="55"/>
        <v>-2.9041747165210855E-2</v>
      </c>
    </row>
    <row r="1562" spans="1:7" x14ac:dyDescent="0.35">
      <c r="A1562" t="s">
        <v>90</v>
      </c>
      <c r="E1562">
        <v>-2.6693782815238518E-2</v>
      </c>
      <c r="F1562">
        <f t="shared" si="54"/>
        <v>-1.7787965376839465E-2</v>
      </c>
      <c r="G1562">
        <f t="shared" si="55"/>
        <v>-2.9041747165210855E-2</v>
      </c>
    </row>
    <row r="1563" spans="1:7" x14ac:dyDescent="0.35">
      <c r="A1563" t="s">
        <v>90</v>
      </c>
      <c r="E1563">
        <v>6.3738400377273338E-3</v>
      </c>
      <c r="F1563">
        <f t="shared" si="54"/>
        <v>-1.7700102615118812E-2</v>
      </c>
      <c r="G1563">
        <f t="shared" si="55"/>
        <v>-2.8962194448929456E-2</v>
      </c>
    </row>
    <row r="1564" spans="1:7" x14ac:dyDescent="0.35">
      <c r="A1564" t="s">
        <v>90</v>
      </c>
      <c r="E1564">
        <v>-9.8031965245905395E-3</v>
      </c>
      <c r="F1564">
        <f t="shared" si="54"/>
        <v>-1.7705030613742477E-2</v>
      </c>
      <c r="G1564">
        <f t="shared" si="55"/>
        <v>-2.8962194448929456E-2</v>
      </c>
    </row>
    <row r="1565" spans="1:7" x14ac:dyDescent="0.35">
      <c r="A1565" t="s">
        <v>90</v>
      </c>
      <c r="E1565">
        <v>9.5693910590242525E-3</v>
      </c>
      <c r="F1565">
        <f t="shared" si="54"/>
        <v>-1.7709958612366142E-2</v>
      </c>
      <c r="G1565">
        <f t="shared" si="55"/>
        <v>-2.8962194448929456E-2</v>
      </c>
    </row>
    <row r="1566" spans="1:7" x14ac:dyDescent="0.35">
      <c r="A1566" t="s">
        <v>90</v>
      </c>
      <c r="E1566">
        <v>6.2915735696122879E-3</v>
      </c>
      <c r="F1566">
        <f t="shared" si="54"/>
        <v>-1.7714886610989806E-2</v>
      </c>
      <c r="G1566">
        <f t="shared" si="55"/>
        <v>-2.8962194448929456E-2</v>
      </c>
    </row>
    <row r="1567" spans="1:7" x14ac:dyDescent="0.35">
      <c r="A1567" t="s">
        <v>90</v>
      </c>
      <c r="E1567">
        <v>8.0722659467632567E-3</v>
      </c>
      <c r="F1567">
        <f t="shared" si="54"/>
        <v>-1.7719814609613471E-2</v>
      </c>
      <c r="G1567">
        <f t="shared" si="55"/>
        <v>-2.8962194448929456E-2</v>
      </c>
    </row>
    <row r="1568" spans="1:7" x14ac:dyDescent="0.35">
      <c r="A1568" t="s">
        <v>90</v>
      </c>
      <c r="E1568">
        <v>2.6748689021159539E-2</v>
      </c>
      <c r="F1568">
        <f t="shared" si="54"/>
        <v>-1.7724742608237136E-2</v>
      </c>
      <c r="G1568">
        <f t="shared" si="55"/>
        <v>-2.8962194448929456E-2</v>
      </c>
    </row>
    <row r="1569" spans="1:7" x14ac:dyDescent="0.35">
      <c r="A1569" t="s">
        <v>90</v>
      </c>
      <c r="E1569">
        <v>6.7148203941153209E-3</v>
      </c>
      <c r="F1569">
        <f t="shared" si="54"/>
        <v>-1.7729670606860801E-2</v>
      </c>
      <c r="G1569">
        <f t="shared" si="55"/>
        <v>-2.8962194448929456E-2</v>
      </c>
    </row>
    <row r="1570" spans="1:7" x14ac:dyDescent="0.35">
      <c r="A1570" t="s">
        <v>90</v>
      </c>
      <c r="E1570">
        <v>-4.1776720434562207E-3</v>
      </c>
      <c r="F1570">
        <f t="shared" si="54"/>
        <v>-1.7734598605484465E-2</v>
      </c>
      <c r="G1570">
        <f t="shared" si="55"/>
        <v>-2.8962194448929456E-2</v>
      </c>
    </row>
    <row r="1571" spans="1:7" x14ac:dyDescent="0.35">
      <c r="A1571" t="s">
        <v>90</v>
      </c>
      <c r="E1571">
        <v>6.8154545915689929E-3</v>
      </c>
      <c r="F1571">
        <f t="shared" si="54"/>
        <v>-1.773952660410813E-2</v>
      </c>
      <c r="G1571">
        <f t="shared" si="55"/>
        <v>-2.8962194448929456E-2</v>
      </c>
    </row>
    <row r="1572" spans="1:7" x14ac:dyDescent="0.35">
      <c r="A1572" t="s">
        <v>90</v>
      </c>
      <c r="E1572">
        <v>2.2402609598947711E-2</v>
      </c>
      <c r="F1572">
        <f t="shared" si="54"/>
        <v>-1.7744454602731795E-2</v>
      </c>
      <c r="G1572">
        <f t="shared" si="55"/>
        <v>-2.8962194448929456E-2</v>
      </c>
    </row>
    <row r="1573" spans="1:7" x14ac:dyDescent="0.35">
      <c r="A1573" t="s">
        <v>90</v>
      </c>
      <c r="E1573">
        <v>6.9039236462913245E-3</v>
      </c>
      <c r="F1573">
        <f t="shared" si="54"/>
        <v>-1.774938260135546E-2</v>
      </c>
      <c r="G1573">
        <f t="shared" si="55"/>
        <v>-2.8962194448929456E-2</v>
      </c>
    </row>
    <row r="1574" spans="1:7" x14ac:dyDescent="0.35">
      <c r="A1574" t="s">
        <v>90</v>
      </c>
      <c r="E1574">
        <v>1.3846659117312354E-3</v>
      </c>
      <c r="F1574">
        <f t="shared" si="54"/>
        <v>-1.7754310599979124E-2</v>
      </c>
      <c r="G1574">
        <f t="shared" si="55"/>
        <v>-2.8962194448929456E-2</v>
      </c>
    </row>
    <row r="1575" spans="1:7" x14ac:dyDescent="0.35">
      <c r="A1575" t="s">
        <v>90</v>
      </c>
      <c r="E1575">
        <v>-5.9819816023962916E-3</v>
      </c>
      <c r="F1575">
        <f t="shared" si="54"/>
        <v>-1.7759238598602792E-2</v>
      </c>
      <c r="G1575">
        <f t="shared" si="55"/>
        <v>-2.8962194448929456E-2</v>
      </c>
    </row>
    <row r="1576" spans="1:7" x14ac:dyDescent="0.35">
      <c r="A1576" t="s">
        <v>90</v>
      </c>
      <c r="E1576">
        <v>-7.6583123146594509E-3</v>
      </c>
      <c r="F1576">
        <f t="shared" si="54"/>
        <v>-1.7764166597226457E-2</v>
      </c>
      <c r="G1576">
        <f t="shared" si="55"/>
        <v>-2.8962194448929456E-2</v>
      </c>
    </row>
    <row r="1577" spans="1:7" x14ac:dyDescent="0.35">
      <c r="A1577" t="s">
        <v>90</v>
      </c>
      <c r="E1577">
        <v>-3.382323110622846E-3</v>
      </c>
      <c r="F1577">
        <f t="shared" si="54"/>
        <v>-1.7769094595850122E-2</v>
      </c>
      <c r="G1577">
        <f t="shared" si="55"/>
        <v>-2.8962194448929456E-2</v>
      </c>
    </row>
    <row r="1578" spans="1:7" x14ac:dyDescent="0.35">
      <c r="A1578" t="s">
        <v>90</v>
      </c>
      <c r="E1578">
        <v>3.9145123144989375E-3</v>
      </c>
      <c r="F1578">
        <f t="shared" si="54"/>
        <v>-1.7774022594473787E-2</v>
      </c>
      <c r="G1578">
        <f t="shared" si="55"/>
        <v>-2.8962194448929456E-2</v>
      </c>
    </row>
    <row r="1579" spans="1:7" x14ac:dyDescent="0.35">
      <c r="A1579" t="s">
        <v>90</v>
      </c>
      <c r="E1579">
        <v>2.067797708610113E-3</v>
      </c>
      <c r="F1579">
        <f t="shared" si="54"/>
        <v>-1.7778950593097451E-2</v>
      </c>
      <c r="G1579">
        <f t="shared" si="55"/>
        <v>-2.8962194448929456E-2</v>
      </c>
    </row>
    <row r="1580" spans="1:7" x14ac:dyDescent="0.35">
      <c r="A1580" t="s">
        <v>90</v>
      </c>
      <c r="E1580">
        <v>-2.7720668594153102E-2</v>
      </c>
      <c r="F1580">
        <f t="shared" si="54"/>
        <v>-1.7783878591721116E-2</v>
      </c>
      <c r="G1580">
        <f t="shared" si="55"/>
        <v>-2.8962194448929456E-2</v>
      </c>
    </row>
    <row r="1581" spans="1:7" x14ac:dyDescent="0.35">
      <c r="A1581" t="s">
        <v>91</v>
      </c>
      <c r="B1581" s="3" cm="1">
        <f t="array" ref="B1581">_xlfn.STDEV.S(_xlfn._xlws.FILTER($E$1000:$E$1998, $A$1000:$A$1998="2016-05"))</f>
        <v>1.0179197568092194E-2</v>
      </c>
      <c r="C1581" s="3" cm="1">
        <f t="array" ref="C1581">AVERAGE(_xlfn._xlws.FILTER($E$1000:$E$1998, $A$1000:$A$1998="2016-05"))</f>
        <v>1.1602811189535794E-3</v>
      </c>
      <c r="D1581" s="3" cm="1">
        <f t="array" ref="D1581">_xlfn.PERCENTILE.EXC(_xlfn._xlws.FILTER($E$1498:$E$2489, $A$1498:$A$2489="2016-05"), 0.05)</f>
        <v>-1.4929007628169533E-2</v>
      </c>
      <c r="E1581">
        <v>-1.1239371154978537E-2</v>
      </c>
      <c r="F1581">
        <f t="shared" si="54"/>
        <v>-1.7690246617871483E-2</v>
      </c>
      <c r="G1581">
        <f t="shared" si="55"/>
        <v>-2.8973379366540049E-2</v>
      </c>
    </row>
    <row r="1582" spans="1:7" x14ac:dyDescent="0.35">
      <c r="A1582" t="s">
        <v>91</v>
      </c>
      <c r="E1582">
        <v>-9.9742563436512142E-3</v>
      </c>
      <c r="F1582">
        <f t="shared" si="54"/>
        <v>-1.7695174616495148E-2</v>
      </c>
      <c r="G1582">
        <f t="shared" si="55"/>
        <v>-2.8973379366540049E-2</v>
      </c>
    </row>
    <row r="1583" spans="1:7" x14ac:dyDescent="0.35">
      <c r="A1583" t="s">
        <v>91</v>
      </c>
      <c r="E1583">
        <v>2.3993779838553226E-3</v>
      </c>
      <c r="F1583">
        <f t="shared" si="54"/>
        <v>-1.7700102615118812E-2</v>
      </c>
      <c r="G1583">
        <f t="shared" si="55"/>
        <v>-2.8973379366540049E-2</v>
      </c>
    </row>
    <row r="1584" spans="1:7" x14ac:dyDescent="0.35">
      <c r="A1584" t="s">
        <v>91</v>
      </c>
      <c r="E1584">
        <v>1.8345177317319653E-3</v>
      </c>
      <c r="F1584">
        <f t="shared" si="54"/>
        <v>-1.7705030613742477E-2</v>
      </c>
      <c r="G1584">
        <f t="shared" si="55"/>
        <v>-2.8973379366540049E-2</v>
      </c>
    </row>
    <row r="1585" spans="1:7" x14ac:dyDescent="0.35">
      <c r="A1585" t="s">
        <v>91</v>
      </c>
      <c r="E1585">
        <v>1.1137399738059186E-2</v>
      </c>
      <c r="F1585">
        <f t="shared" si="54"/>
        <v>-1.7709958612366142E-2</v>
      </c>
      <c r="G1585">
        <f t="shared" si="55"/>
        <v>-2.8973379366540049E-2</v>
      </c>
    </row>
    <row r="1586" spans="1:7" x14ac:dyDescent="0.35">
      <c r="A1586" t="s">
        <v>91</v>
      </c>
      <c r="E1586">
        <v>6.4866128800993824E-3</v>
      </c>
      <c r="F1586">
        <f t="shared" si="54"/>
        <v>-1.7714886610989806E-2</v>
      </c>
      <c r="G1586">
        <f t="shared" si="55"/>
        <v>-2.8973379366540049E-2</v>
      </c>
    </row>
    <row r="1587" spans="1:7" x14ac:dyDescent="0.35">
      <c r="A1587" t="s">
        <v>91</v>
      </c>
      <c r="E1587">
        <v>-7.0047577327180983E-3</v>
      </c>
      <c r="F1587">
        <f t="shared" si="54"/>
        <v>-1.7719814609613471E-2</v>
      </c>
      <c r="G1587">
        <f t="shared" si="55"/>
        <v>-2.8973379366540049E-2</v>
      </c>
    </row>
    <row r="1588" spans="1:7" x14ac:dyDescent="0.35">
      <c r="A1588" t="s">
        <v>91</v>
      </c>
      <c r="E1588">
        <v>-1.1412886816705631E-2</v>
      </c>
      <c r="F1588">
        <f t="shared" si="54"/>
        <v>-1.7724742608237136E-2</v>
      </c>
      <c r="G1588">
        <f t="shared" si="55"/>
        <v>-2.8973379366540049E-2</v>
      </c>
    </row>
    <row r="1589" spans="1:7" x14ac:dyDescent="0.35">
      <c r="A1589" t="s">
        <v>91</v>
      </c>
      <c r="E1589">
        <v>9.1628103463455447E-3</v>
      </c>
      <c r="F1589">
        <f t="shared" si="54"/>
        <v>-1.7729670606860801E-2</v>
      </c>
      <c r="G1589">
        <f t="shared" si="55"/>
        <v>-2.8973379366540049E-2</v>
      </c>
    </row>
    <row r="1590" spans="1:7" x14ac:dyDescent="0.35">
      <c r="A1590" t="s">
        <v>91</v>
      </c>
      <c r="E1590">
        <v>-6.3206092168536874E-3</v>
      </c>
      <c r="F1590">
        <f t="shared" si="54"/>
        <v>-1.7734598605484465E-2</v>
      </c>
      <c r="G1590">
        <f t="shared" si="55"/>
        <v>-2.8973379366540049E-2</v>
      </c>
    </row>
    <row r="1591" spans="1:7" x14ac:dyDescent="0.35">
      <c r="A1591" t="s">
        <v>91</v>
      </c>
      <c r="E1591">
        <v>5.3485608072972391E-3</v>
      </c>
      <c r="F1591">
        <f t="shared" si="54"/>
        <v>-1.773952660410813E-2</v>
      </c>
      <c r="G1591">
        <f t="shared" si="55"/>
        <v>-2.8973379366540049E-2</v>
      </c>
    </row>
    <row r="1592" spans="1:7" x14ac:dyDescent="0.35">
      <c r="A1592" t="s">
        <v>91</v>
      </c>
      <c r="E1592">
        <v>-1.4929007628169533E-2</v>
      </c>
      <c r="F1592">
        <f t="shared" si="54"/>
        <v>-1.7744454602731795E-2</v>
      </c>
      <c r="G1592">
        <f t="shared" si="55"/>
        <v>-2.8973379366540049E-2</v>
      </c>
    </row>
    <row r="1593" spans="1:7" x14ac:dyDescent="0.35">
      <c r="A1593" t="s">
        <v>91</v>
      </c>
      <c r="E1593">
        <v>1.2188721159441753E-2</v>
      </c>
      <c r="F1593">
        <f t="shared" si="54"/>
        <v>-1.774938260135546E-2</v>
      </c>
      <c r="G1593">
        <f t="shared" si="55"/>
        <v>-2.8973379366540049E-2</v>
      </c>
    </row>
    <row r="1594" spans="1:7" x14ac:dyDescent="0.35">
      <c r="A1594" t="s">
        <v>91</v>
      </c>
      <c r="E1594">
        <v>-7.4632235477586455E-3</v>
      </c>
      <c r="F1594">
        <f t="shared" si="54"/>
        <v>-1.7754310599979124E-2</v>
      </c>
      <c r="G1594">
        <f t="shared" si="55"/>
        <v>-2.8973379366540049E-2</v>
      </c>
    </row>
    <row r="1595" spans="1:7" x14ac:dyDescent="0.35">
      <c r="A1595" t="s">
        <v>91</v>
      </c>
      <c r="E1595">
        <v>2.1611325723298856E-2</v>
      </c>
      <c r="F1595">
        <f t="shared" si="54"/>
        <v>-1.7759238598602792E-2</v>
      </c>
      <c r="G1595">
        <f t="shared" si="55"/>
        <v>-2.8973379366540049E-2</v>
      </c>
    </row>
    <row r="1596" spans="1:7" x14ac:dyDescent="0.35">
      <c r="A1596" t="s">
        <v>91</v>
      </c>
      <c r="E1596">
        <v>1.4598640909281603E-2</v>
      </c>
      <c r="F1596">
        <f t="shared" si="54"/>
        <v>-1.7764166597226457E-2</v>
      </c>
      <c r="G1596">
        <f t="shared" si="55"/>
        <v>-2.8973379366540049E-2</v>
      </c>
    </row>
    <row r="1597" spans="1:7" x14ac:dyDescent="0.35">
      <c r="A1597" t="s">
        <v>91</v>
      </c>
      <c r="E1597">
        <v>6.5924902985795633E-3</v>
      </c>
      <c r="F1597">
        <f t="shared" si="54"/>
        <v>-1.7769094595850122E-2</v>
      </c>
      <c r="G1597">
        <f t="shared" si="55"/>
        <v>-2.8973379366540049E-2</v>
      </c>
    </row>
    <row r="1598" spans="1:7" x14ac:dyDescent="0.35">
      <c r="A1598" t="s">
        <v>91</v>
      </c>
      <c r="E1598">
        <v>1.3230204536759797E-3</v>
      </c>
      <c r="F1598">
        <f t="shared" si="54"/>
        <v>-1.7774022594473787E-2</v>
      </c>
      <c r="G1598">
        <f t="shared" si="55"/>
        <v>-2.8973379366540049E-2</v>
      </c>
    </row>
    <row r="1599" spans="1:7" x14ac:dyDescent="0.35">
      <c r="A1599" t="s">
        <v>91</v>
      </c>
      <c r="E1599">
        <v>-2.2940243307130342E-3</v>
      </c>
      <c r="F1599">
        <f t="shared" si="54"/>
        <v>-1.7778950593097451E-2</v>
      </c>
      <c r="G1599">
        <f t="shared" si="55"/>
        <v>-2.8973379366540049E-2</v>
      </c>
    </row>
    <row r="1600" spans="1:7" x14ac:dyDescent="0.35">
      <c r="A1600" t="s">
        <v>92</v>
      </c>
      <c r="B1600" s="3" cm="1">
        <f t="array" ref="B1600">_xlfn.STDEV.S(_xlfn._xlws.FILTER($E$1000:$E$1998, $A$1000:$A$1998="2016-06"))</f>
        <v>2.1844226781094815E-2</v>
      </c>
      <c r="C1600" s="3" cm="1">
        <f t="array" ref="C1600">AVERAGE(_xlfn._xlws.FILTER($E$1000:$E$1998, $A$1000:$A$1998="2016-06"))</f>
        <v>-2.6567573569847877E-3</v>
      </c>
      <c r="D1600" s="3" cm="1">
        <f t="array" ref="D1600">_xlfn.PERCENTILE.EXC(_xlfn._xlws.FILTER($E$1498:$E$2489, $A$1498:$A$2489="2016-06"), 0.05)</f>
        <v>-6.4669574748968228E-2</v>
      </c>
      <c r="E1600">
        <v>-5.69694092471776E-3</v>
      </c>
      <c r="F1600">
        <f t="shared" si="54"/>
        <v>-1.7783878591721116E-2</v>
      </c>
      <c r="G1600">
        <f t="shared" si="55"/>
        <v>-2.8973379366540049E-2</v>
      </c>
    </row>
    <row r="1601" spans="1:7" x14ac:dyDescent="0.35">
      <c r="A1601" t="s">
        <v>92</v>
      </c>
      <c r="E1601">
        <v>3.4880690756154405E-4</v>
      </c>
      <c r="F1601">
        <f t="shared" si="54"/>
        <v>-1.7785921984280292E-2</v>
      </c>
      <c r="G1601">
        <f t="shared" si="55"/>
        <v>-2.9075102100856589E-2</v>
      </c>
    </row>
    <row r="1602" spans="1:7" x14ac:dyDescent="0.35">
      <c r="A1602" t="s">
        <v>92</v>
      </c>
      <c r="E1602">
        <v>-1.0313582557757677E-2</v>
      </c>
      <c r="F1602">
        <f t="shared" si="54"/>
        <v>-1.7787965376839465E-2</v>
      </c>
      <c r="G1602">
        <f t="shared" si="55"/>
        <v>-2.9075102100856589E-2</v>
      </c>
    </row>
    <row r="1603" spans="1:7" x14ac:dyDescent="0.35">
      <c r="A1603" t="s">
        <v>92</v>
      </c>
      <c r="E1603">
        <v>1.7622334881254151E-3</v>
      </c>
      <c r="F1603">
        <f t="shared" si="54"/>
        <v>-1.7790008769398642E-2</v>
      </c>
      <c r="G1603">
        <f t="shared" si="55"/>
        <v>-2.9075102100856589E-2</v>
      </c>
    </row>
    <row r="1604" spans="1:7" x14ac:dyDescent="0.35">
      <c r="A1604" t="s">
        <v>92</v>
      </c>
      <c r="E1604">
        <v>1.6326685279649381E-2</v>
      </c>
      <c r="F1604">
        <f t="shared" ref="F1604:F1667" si="56">_xlfn.PERCENTILE.EXC(E1604:E5419,0.05)</f>
        <v>-1.7792052161957814E-2</v>
      </c>
      <c r="G1604">
        <f t="shared" ref="G1604:G1667" si="57">AVERAGEIFS(E1604:E5420,E1604:E5420,"&lt;=" &amp; F1604)</f>
        <v>-2.9075102100856589E-2</v>
      </c>
    </row>
    <row r="1605" spans="1:7" x14ac:dyDescent="0.35">
      <c r="A1605" t="s">
        <v>92</v>
      </c>
      <c r="E1605">
        <v>-6.8911269248091572E-3</v>
      </c>
      <c r="F1605">
        <f t="shared" si="56"/>
        <v>-1.7794095554516991E-2</v>
      </c>
      <c r="G1605">
        <f t="shared" si="57"/>
        <v>-2.9075102100856589E-2</v>
      </c>
    </row>
    <row r="1606" spans="1:7" x14ac:dyDescent="0.35">
      <c r="A1606" t="s">
        <v>92</v>
      </c>
      <c r="E1606">
        <v>-1.2623099865062331E-2</v>
      </c>
      <c r="F1606">
        <f t="shared" si="56"/>
        <v>-1.7796138947076167E-2</v>
      </c>
      <c r="G1606">
        <f t="shared" si="57"/>
        <v>-2.9075102100856589E-2</v>
      </c>
    </row>
    <row r="1607" spans="1:7" x14ac:dyDescent="0.35">
      <c r="A1607" t="s">
        <v>92</v>
      </c>
      <c r="E1607">
        <v>-2.5524022447069906E-2</v>
      </c>
      <c r="F1607">
        <f t="shared" si="56"/>
        <v>-1.779818233963534E-2</v>
      </c>
      <c r="G1607">
        <f t="shared" si="57"/>
        <v>-2.9075102100856589E-2</v>
      </c>
    </row>
    <row r="1608" spans="1:7" x14ac:dyDescent="0.35">
      <c r="A1608" t="s">
        <v>92</v>
      </c>
      <c r="E1608">
        <v>-1.818021082449844E-2</v>
      </c>
      <c r="F1608">
        <f t="shared" si="56"/>
        <v>-1.7724742608237136E-2</v>
      </c>
      <c r="G1608">
        <f t="shared" si="57"/>
        <v>-2.9004737156717052E-2</v>
      </c>
    </row>
    <row r="1609" spans="1:7" x14ac:dyDescent="0.35">
      <c r="A1609" t="s">
        <v>92</v>
      </c>
      <c r="E1609">
        <v>-1.441779109220463E-2</v>
      </c>
      <c r="F1609">
        <f t="shared" si="56"/>
        <v>-1.7667215416299481E-2</v>
      </c>
      <c r="G1609">
        <f t="shared" si="57"/>
        <v>-2.9000238136669316E-2</v>
      </c>
    </row>
    <row r="1610" spans="1:7" x14ac:dyDescent="0.35">
      <c r="A1610" t="s">
        <v>92</v>
      </c>
      <c r="E1610">
        <v>9.1510009907051684E-3</v>
      </c>
      <c r="F1610">
        <f t="shared" si="56"/>
        <v>-1.7668861162022056E-2</v>
      </c>
      <c r="G1610">
        <f t="shared" si="57"/>
        <v>-2.9000238136669316E-2</v>
      </c>
    </row>
    <row r="1611" spans="1:7" x14ac:dyDescent="0.35">
      <c r="A1611" t="s">
        <v>92</v>
      </c>
      <c r="E1611">
        <v>-5.8714447081889762E-3</v>
      </c>
      <c r="F1611">
        <f t="shared" si="56"/>
        <v>-1.7670506907744632E-2</v>
      </c>
      <c r="G1611">
        <f t="shared" si="57"/>
        <v>-2.9000238136669316E-2</v>
      </c>
    </row>
    <row r="1612" spans="1:7" x14ac:dyDescent="0.35">
      <c r="A1612" t="s">
        <v>92</v>
      </c>
      <c r="E1612">
        <v>8.4340732348391449E-3</v>
      </c>
      <c r="F1612">
        <f t="shared" si="56"/>
        <v>-1.7672152653467207E-2</v>
      </c>
      <c r="G1612">
        <f t="shared" si="57"/>
        <v>-2.9000238136669316E-2</v>
      </c>
    </row>
    <row r="1613" spans="1:7" x14ac:dyDescent="0.35">
      <c r="A1613" t="s">
        <v>92</v>
      </c>
      <c r="E1613">
        <v>3.3755421101904548E-2</v>
      </c>
      <c r="F1613">
        <f t="shared" si="56"/>
        <v>-1.7673798399189786E-2</v>
      </c>
      <c r="G1613">
        <f t="shared" si="57"/>
        <v>-2.9000238136669316E-2</v>
      </c>
    </row>
    <row r="1614" spans="1:7" x14ac:dyDescent="0.35">
      <c r="A1614" t="s">
        <v>92</v>
      </c>
      <c r="E1614">
        <v>5.3580245074495029E-3</v>
      </c>
      <c r="F1614">
        <f t="shared" si="56"/>
        <v>-1.7675444144912362E-2</v>
      </c>
      <c r="G1614">
        <f t="shared" si="57"/>
        <v>-2.9000238136669316E-2</v>
      </c>
    </row>
    <row r="1615" spans="1:7" x14ac:dyDescent="0.35">
      <c r="A1615" t="s">
        <v>92</v>
      </c>
      <c r="E1615">
        <v>5.528077563071946E-3</v>
      </c>
      <c r="F1615">
        <f t="shared" si="56"/>
        <v>-1.7677089890634937E-2</v>
      </c>
      <c r="G1615">
        <f t="shared" si="57"/>
        <v>-2.9000238136669316E-2</v>
      </c>
    </row>
    <row r="1616" spans="1:7" x14ac:dyDescent="0.35">
      <c r="A1616" t="s">
        <v>92</v>
      </c>
      <c r="E1616">
        <v>1.8297359804230647E-2</v>
      </c>
      <c r="F1616">
        <f t="shared" si="56"/>
        <v>-1.7678735636357513E-2</v>
      </c>
      <c r="G1616">
        <f t="shared" si="57"/>
        <v>-2.9000238136669316E-2</v>
      </c>
    </row>
    <row r="1617" spans="1:7" x14ac:dyDescent="0.35">
      <c r="A1617" t="s">
        <v>92</v>
      </c>
      <c r="E1617">
        <v>-7.0672712353585035E-2</v>
      </c>
      <c r="F1617">
        <f t="shared" si="56"/>
        <v>-1.7680381382080088E-2</v>
      </c>
      <c r="G1617">
        <f t="shared" si="57"/>
        <v>-2.9000238136669316E-2</v>
      </c>
    </row>
    <row r="1618" spans="1:7" x14ac:dyDescent="0.35">
      <c r="A1618" t="s">
        <v>92</v>
      </c>
      <c r="E1618">
        <v>-3.0651794989473041E-2</v>
      </c>
      <c r="F1618">
        <f t="shared" si="56"/>
        <v>-1.7636103483866652E-2</v>
      </c>
      <c r="G1618">
        <f t="shared" si="57"/>
        <v>-2.8518235330771233E-2</v>
      </c>
    </row>
    <row r="1619" spans="1:7" x14ac:dyDescent="0.35">
      <c r="A1619" t="s">
        <v>92</v>
      </c>
      <c r="E1619">
        <v>1.9088052576857244E-2</v>
      </c>
      <c r="F1619">
        <f t="shared" si="56"/>
        <v>-1.748580733226528E-2</v>
      </c>
      <c r="G1619">
        <f t="shared" si="57"/>
        <v>-2.8398577208098751E-2</v>
      </c>
    </row>
    <row r="1620" spans="1:7" x14ac:dyDescent="0.35">
      <c r="A1620" t="s">
        <v>92</v>
      </c>
      <c r="E1620">
        <v>1.731353798073133E-2</v>
      </c>
      <c r="F1620">
        <f t="shared" si="56"/>
        <v>-1.7489401495499889E-2</v>
      </c>
      <c r="G1620">
        <f t="shared" si="57"/>
        <v>-2.8398577208098751E-2</v>
      </c>
    </row>
    <row r="1621" spans="1:7" x14ac:dyDescent="0.35">
      <c r="A1621" t="s">
        <v>92</v>
      </c>
      <c r="E1621">
        <v>7.0307913985757442E-3</v>
      </c>
      <c r="F1621">
        <f t="shared" si="56"/>
        <v>-1.7497551605964709E-2</v>
      </c>
      <c r="G1621">
        <f t="shared" si="57"/>
        <v>-2.8498661388948278E-2</v>
      </c>
    </row>
    <row r="1622" spans="1:7" x14ac:dyDescent="0.35">
      <c r="A1622" t="s">
        <v>93</v>
      </c>
      <c r="B1622" s="3" cm="1">
        <f t="array" ref="B1622">_xlfn.STDEV.S(_xlfn._xlws.FILTER($E$1000:$E$1998, $A$1000:$A$1998="2016-07"))</f>
        <v>1.0873219935914278E-2</v>
      </c>
      <c r="C1622" s="3" cm="1">
        <f t="array" ref="C1622">AVERAGE(_xlfn._xlws.FILTER($E$1000:$E$1998, $A$1000:$A$1998="2016-07"))</f>
        <v>3.1288981706611668E-3</v>
      </c>
      <c r="D1622" s="3" cm="1">
        <f t="array" ref="D1622">_xlfn.PERCENTILE.EXC(_xlfn._xlws.FILTER($E$1498:$E$2489, $A$1498:$A$2489="2016-07"), 0.05)</f>
        <v>-1.8195366899629559E-2</v>
      </c>
      <c r="E1622">
        <v>9.8714785470613228E-3</v>
      </c>
      <c r="F1622">
        <f t="shared" si="56"/>
        <v>-1.7505701716429529E-2</v>
      </c>
      <c r="G1622">
        <f t="shared" si="57"/>
        <v>-2.8498661388948278E-2</v>
      </c>
    </row>
    <row r="1623" spans="1:7" x14ac:dyDescent="0.35">
      <c r="A1623" t="s">
        <v>93</v>
      </c>
      <c r="E1623">
        <v>-6.880117218225618E-3</v>
      </c>
      <c r="F1623">
        <f t="shared" si="56"/>
        <v>-1.7513851826894349E-2</v>
      </c>
      <c r="G1623">
        <f t="shared" si="57"/>
        <v>-2.8498661388948278E-2</v>
      </c>
    </row>
    <row r="1624" spans="1:7" x14ac:dyDescent="0.35">
      <c r="A1624" t="s">
        <v>93</v>
      </c>
      <c r="E1624">
        <v>-1.8344007941524732E-2</v>
      </c>
      <c r="F1624">
        <f t="shared" si="56"/>
        <v>-1.7522001937359168E-2</v>
      </c>
      <c r="G1624">
        <f t="shared" si="57"/>
        <v>-2.8498661388948278E-2</v>
      </c>
    </row>
    <row r="1625" spans="1:7" x14ac:dyDescent="0.35">
      <c r="A1625" t="s">
        <v>93</v>
      </c>
      <c r="E1625">
        <v>-1.6857597522573015E-2</v>
      </c>
      <c r="F1625">
        <f t="shared" si="56"/>
        <v>-1.7435489046980772E-2</v>
      </c>
      <c r="G1625">
        <f t="shared" si="57"/>
        <v>-2.8490820962837962E-2</v>
      </c>
    </row>
    <row r="1626" spans="1:7" x14ac:dyDescent="0.35">
      <c r="A1626" t="s">
        <v>93</v>
      </c>
      <c r="E1626">
        <v>4.8446138929648698E-3</v>
      </c>
      <c r="F1626">
        <f t="shared" si="56"/>
        <v>-1.7439083210215381E-2</v>
      </c>
      <c r="G1626">
        <f t="shared" si="57"/>
        <v>-2.8490820962837962E-2</v>
      </c>
    </row>
    <row r="1627" spans="1:7" x14ac:dyDescent="0.35">
      <c r="A1627" t="s">
        <v>93</v>
      </c>
      <c r="E1627">
        <v>2.2142350328751184E-2</v>
      </c>
      <c r="F1627">
        <f t="shared" si="56"/>
        <v>-1.7442677373449986E-2</v>
      </c>
      <c r="G1627">
        <f t="shared" si="57"/>
        <v>-2.8490820962837962E-2</v>
      </c>
    </row>
    <row r="1628" spans="1:7" x14ac:dyDescent="0.35">
      <c r="A1628" t="s">
        <v>93</v>
      </c>
      <c r="E1628">
        <v>2.0937852405061477E-2</v>
      </c>
      <c r="F1628">
        <f t="shared" si="56"/>
        <v>-1.7446271536684595E-2</v>
      </c>
      <c r="G1628">
        <f t="shared" si="57"/>
        <v>-2.8490820962837962E-2</v>
      </c>
    </row>
    <row r="1629" spans="1:7" x14ac:dyDescent="0.35">
      <c r="A1629" t="s">
        <v>93</v>
      </c>
      <c r="E1629">
        <v>1.3199851408864071E-2</v>
      </c>
      <c r="F1629">
        <f t="shared" si="56"/>
        <v>-1.7449865699919204E-2</v>
      </c>
      <c r="G1629">
        <f t="shared" si="57"/>
        <v>-2.8490820962837962E-2</v>
      </c>
    </row>
    <row r="1630" spans="1:7" x14ac:dyDescent="0.35">
      <c r="A1630" t="s">
        <v>93</v>
      </c>
      <c r="E1630">
        <v>-3.3536466617378152E-3</v>
      </c>
      <c r="F1630">
        <f t="shared" si="56"/>
        <v>-1.745345986315381E-2</v>
      </c>
      <c r="G1630">
        <f t="shared" si="57"/>
        <v>-2.8490820962837962E-2</v>
      </c>
    </row>
    <row r="1631" spans="1:7" x14ac:dyDescent="0.35">
      <c r="A1631" t="s">
        <v>93</v>
      </c>
      <c r="E1631">
        <v>1.3759898202400464E-2</v>
      </c>
      <c r="F1631">
        <f t="shared" si="56"/>
        <v>-1.7457054026388419E-2</v>
      </c>
      <c r="G1631">
        <f t="shared" si="57"/>
        <v>-2.8490820962837962E-2</v>
      </c>
    </row>
    <row r="1632" spans="1:7" x14ac:dyDescent="0.35">
      <c r="A1632" t="s">
        <v>93</v>
      </c>
      <c r="E1632">
        <v>-1.3905995493029553E-4</v>
      </c>
      <c r="F1632">
        <f t="shared" si="56"/>
        <v>-1.7460648189623028E-2</v>
      </c>
      <c r="G1632">
        <f t="shared" si="57"/>
        <v>-2.8490820962837962E-2</v>
      </c>
    </row>
    <row r="1633" spans="1:7" x14ac:dyDescent="0.35">
      <c r="A1633" t="s">
        <v>93</v>
      </c>
      <c r="E1633">
        <v>-3.7456477154557436E-4</v>
      </c>
      <c r="F1633">
        <f t="shared" si="56"/>
        <v>-1.7464242352857633E-2</v>
      </c>
      <c r="G1633">
        <f t="shared" si="57"/>
        <v>-2.8490820962837962E-2</v>
      </c>
    </row>
    <row r="1634" spans="1:7" x14ac:dyDescent="0.35">
      <c r="A1634" t="s">
        <v>93</v>
      </c>
      <c r="E1634">
        <v>-8.1709183783299222E-3</v>
      </c>
      <c r="F1634">
        <f t="shared" si="56"/>
        <v>-1.7467836516092242E-2</v>
      </c>
      <c r="G1634">
        <f t="shared" si="57"/>
        <v>-2.8490820962837962E-2</v>
      </c>
    </row>
    <row r="1635" spans="1:7" x14ac:dyDescent="0.35">
      <c r="A1635" t="s">
        <v>93</v>
      </c>
      <c r="E1635">
        <v>1.5978872268996674E-2</v>
      </c>
      <c r="F1635">
        <f t="shared" si="56"/>
        <v>-1.7471430679326851E-2</v>
      </c>
      <c r="G1635">
        <f t="shared" si="57"/>
        <v>-2.8490820962837962E-2</v>
      </c>
    </row>
    <row r="1636" spans="1:7" x14ac:dyDescent="0.35">
      <c r="A1636" t="s">
        <v>93</v>
      </c>
      <c r="E1636">
        <v>1.3991376895585972E-3</v>
      </c>
      <c r="F1636">
        <f t="shared" si="56"/>
        <v>-1.7475024842561457E-2</v>
      </c>
      <c r="G1636">
        <f t="shared" si="57"/>
        <v>-2.8490820962837962E-2</v>
      </c>
    </row>
    <row r="1637" spans="1:7" x14ac:dyDescent="0.35">
      <c r="A1637" t="s">
        <v>93</v>
      </c>
      <c r="E1637">
        <v>-8.6191319517048531E-4</v>
      </c>
      <c r="F1637">
        <f t="shared" si="56"/>
        <v>-1.7478619005796066E-2</v>
      </c>
      <c r="G1637">
        <f t="shared" si="57"/>
        <v>-2.8490820962837962E-2</v>
      </c>
    </row>
    <row r="1638" spans="1:7" x14ac:dyDescent="0.35">
      <c r="A1638" t="s">
        <v>93</v>
      </c>
      <c r="E1638">
        <v>4.991728516776605E-3</v>
      </c>
      <c r="F1638">
        <f t="shared" si="56"/>
        <v>-1.7482213169030675E-2</v>
      </c>
      <c r="G1638">
        <f t="shared" si="57"/>
        <v>-2.8490820962837962E-2</v>
      </c>
    </row>
    <row r="1639" spans="1:7" x14ac:dyDescent="0.35">
      <c r="A1639" t="s">
        <v>93</v>
      </c>
      <c r="E1639">
        <v>4.8439887341293489E-3</v>
      </c>
      <c r="F1639">
        <f t="shared" si="56"/>
        <v>-1.748580733226528E-2</v>
      </c>
      <c r="G1639">
        <f t="shared" si="57"/>
        <v>-2.8490820962837962E-2</v>
      </c>
    </row>
    <row r="1640" spans="1:7" x14ac:dyDescent="0.35">
      <c r="A1640" t="s">
        <v>93</v>
      </c>
      <c r="E1640">
        <v>6.9810093350911101E-3</v>
      </c>
      <c r="F1640">
        <f t="shared" si="56"/>
        <v>-1.7489401495499889E-2</v>
      </c>
      <c r="G1640">
        <f t="shared" si="57"/>
        <v>-2.8490820962837962E-2</v>
      </c>
    </row>
    <row r="1641" spans="1:7" x14ac:dyDescent="0.35">
      <c r="A1641" t="s">
        <v>93</v>
      </c>
      <c r="E1641">
        <v>-4.333206744519401E-3</v>
      </c>
      <c r="F1641">
        <f t="shared" si="56"/>
        <v>-1.7497551605964709E-2</v>
      </c>
      <c r="G1641">
        <f t="shared" si="57"/>
        <v>-2.8592685957905904E-2</v>
      </c>
    </row>
    <row r="1642" spans="1:7" x14ac:dyDescent="0.35">
      <c r="A1642" t="s">
        <v>93</v>
      </c>
      <c r="E1642">
        <v>6.0711126427856407E-3</v>
      </c>
      <c r="F1642">
        <f t="shared" si="56"/>
        <v>-1.7505701716429529E-2</v>
      </c>
      <c r="G1642">
        <f t="shared" si="57"/>
        <v>-2.8592685957905904E-2</v>
      </c>
    </row>
    <row r="1643" spans="1:7" x14ac:dyDescent="0.35">
      <c r="A1643" t="s">
        <v>94</v>
      </c>
      <c r="B1643" s="3" cm="1">
        <f t="array" ref="B1643">_xlfn.STDEV.S(_xlfn._xlws.FILTER($E$1000:$E$1998, $A$1000:$A$1998="2016-08"))</f>
        <v>9.5617657618885955E-3</v>
      </c>
      <c r="C1643" s="3" cm="1">
        <f t="array" ref="C1643">AVERAGE(_xlfn._xlws.FILTER($E$1000:$E$1998, $A$1000:$A$1998="2016-08"))</f>
        <v>1.1612419156013425E-3</v>
      </c>
      <c r="D1643" s="3" cm="1">
        <f t="array" ref="D1643">_xlfn.PERCENTILE.EXC(_xlfn._xlws.FILTER($E$1498:$E$2489, $A$1498:$A$2489="2016-08"), 0.05)</f>
        <v>-1.7678301366061286E-2</v>
      </c>
      <c r="E1643">
        <v>-6.7543966624448147E-4</v>
      </c>
      <c r="F1643">
        <f t="shared" si="56"/>
        <v>-1.7513851826894349E-2</v>
      </c>
      <c r="G1643">
        <f t="shared" si="57"/>
        <v>-2.8592685957905904E-2</v>
      </c>
    </row>
    <row r="1644" spans="1:7" x14ac:dyDescent="0.35">
      <c r="A1644" t="s">
        <v>94</v>
      </c>
      <c r="E1644">
        <v>-1.8186706200231179E-2</v>
      </c>
      <c r="F1644">
        <f t="shared" si="56"/>
        <v>-1.7522001937359168E-2</v>
      </c>
      <c r="G1644">
        <f t="shared" si="57"/>
        <v>-2.8592685957905904E-2</v>
      </c>
    </row>
    <row r="1645" spans="1:7" x14ac:dyDescent="0.35">
      <c r="A1645" t="s">
        <v>94</v>
      </c>
      <c r="E1645">
        <v>2.5469443314990415E-3</v>
      </c>
      <c r="F1645">
        <f t="shared" si="56"/>
        <v>-1.7435489046980772E-2</v>
      </c>
      <c r="G1645">
        <f t="shared" si="57"/>
        <v>-2.8586229432862105E-2</v>
      </c>
    </row>
    <row r="1646" spans="1:7" x14ac:dyDescent="0.35">
      <c r="A1646" t="s">
        <v>94</v>
      </c>
      <c r="E1646">
        <v>5.6525106049006464E-3</v>
      </c>
      <c r="F1646">
        <f t="shared" si="56"/>
        <v>-1.7439083210215381E-2</v>
      </c>
      <c r="G1646">
        <f t="shared" si="57"/>
        <v>-2.8586229432862105E-2</v>
      </c>
    </row>
    <row r="1647" spans="1:7" x14ac:dyDescent="0.35">
      <c r="A1647" t="s">
        <v>94</v>
      </c>
      <c r="E1647">
        <v>1.3532571299468889E-2</v>
      </c>
      <c r="F1647">
        <f t="shared" si="56"/>
        <v>-1.7442677373449986E-2</v>
      </c>
      <c r="G1647">
        <f t="shared" si="57"/>
        <v>-2.8586229432862105E-2</v>
      </c>
    </row>
    <row r="1648" spans="1:7" x14ac:dyDescent="0.35">
      <c r="A1648" t="s">
        <v>94</v>
      </c>
      <c r="E1648">
        <v>6.2645730721195758E-3</v>
      </c>
      <c r="F1648">
        <f t="shared" si="56"/>
        <v>-1.7446271536684595E-2</v>
      </c>
      <c r="G1648">
        <f t="shared" si="57"/>
        <v>-2.8586229432862105E-2</v>
      </c>
    </row>
    <row r="1649" spans="1:7" x14ac:dyDescent="0.35">
      <c r="A1649" t="s">
        <v>94</v>
      </c>
      <c r="E1649">
        <v>2.4667456027001586E-2</v>
      </c>
      <c r="F1649">
        <f t="shared" si="56"/>
        <v>-1.7449865699919204E-2</v>
      </c>
      <c r="G1649">
        <f t="shared" si="57"/>
        <v>-2.8586229432862105E-2</v>
      </c>
    </row>
    <row r="1650" spans="1:7" x14ac:dyDescent="0.35">
      <c r="A1650" t="s">
        <v>94</v>
      </c>
      <c r="E1650">
        <v>-3.9365130793896442E-3</v>
      </c>
      <c r="F1650">
        <f t="shared" si="56"/>
        <v>-1.745345986315381E-2</v>
      </c>
      <c r="G1650">
        <f t="shared" si="57"/>
        <v>-2.8586229432862105E-2</v>
      </c>
    </row>
    <row r="1651" spans="1:7" x14ac:dyDescent="0.35">
      <c r="A1651" t="s">
        <v>94</v>
      </c>
      <c r="E1651">
        <v>8.5960294155924353E-3</v>
      </c>
      <c r="F1651">
        <f t="shared" si="56"/>
        <v>-1.7457054026388419E-2</v>
      </c>
      <c r="G1651">
        <f t="shared" si="57"/>
        <v>-2.8586229432862105E-2</v>
      </c>
    </row>
    <row r="1652" spans="1:7" x14ac:dyDescent="0.35">
      <c r="A1652" t="s">
        <v>94</v>
      </c>
      <c r="E1652">
        <v>-2.741391529708319E-3</v>
      </c>
      <c r="F1652">
        <f t="shared" si="56"/>
        <v>-1.7460648189623028E-2</v>
      </c>
      <c r="G1652">
        <f t="shared" si="57"/>
        <v>-2.8586229432862105E-2</v>
      </c>
    </row>
    <row r="1653" spans="1:7" x14ac:dyDescent="0.35">
      <c r="A1653" t="s">
        <v>94</v>
      </c>
      <c r="E1653">
        <v>-3.4389807096081235E-3</v>
      </c>
      <c r="F1653">
        <f t="shared" si="56"/>
        <v>-1.7464242352857633E-2</v>
      </c>
      <c r="G1653">
        <f t="shared" si="57"/>
        <v>-2.8586229432862105E-2</v>
      </c>
    </row>
    <row r="1654" spans="1:7" x14ac:dyDescent="0.35">
      <c r="A1654" t="s">
        <v>94</v>
      </c>
      <c r="E1654">
        <v>-1.310265785853224E-2</v>
      </c>
      <c r="F1654">
        <f t="shared" si="56"/>
        <v>-1.7467836516092242E-2</v>
      </c>
      <c r="G1654">
        <f t="shared" si="57"/>
        <v>-2.8586229432862105E-2</v>
      </c>
    </row>
    <row r="1655" spans="1:7" x14ac:dyDescent="0.35">
      <c r="A1655" t="s">
        <v>94</v>
      </c>
      <c r="E1655">
        <v>6.183353270889415E-3</v>
      </c>
      <c r="F1655">
        <f t="shared" si="56"/>
        <v>-1.7471430679326851E-2</v>
      </c>
      <c r="G1655">
        <f t="shared" si="57"/>
        <v>-2.8586229432862105E-2</v>
      </c>
    </row>
    <row r="1656" spans="1:7" x14ac:dyDescent="0.35">
      <c r="A1656" t="s">
        <v>94</v>
      </c>
      <c r="E1656">
        <v>-5.5486895098986232E-3</v>
      </c>
      <c r="F1656">
        <f t="shared" si="56"/>
        <v>-1.7475024842561457E-2</v>
      </c>
      <c r="G1656">
        <f t="shared" si="57"/>
        <v>-2.8586229432862105E-2</v>
      </c>
    </row>
    <row r="1657" spans="1:7" x14ac:dyDescent="0.35">
      <c r="A1657" t="s">
        <v>94</v>
      </c>
      <c r="E1657">
        <v>-4.7541027174846495E-3</v>
      </c>
      <c r="F1657">
        <f t="shared" si="56"/>
        <v>-1.7478619005796066E-2</v>
      </c>
      <c r="G1657">
        <f t="shared" si="57"/>
        <v>-2.8586229432862105E-2</v>
      </c>
    </row>
    <row r="1658" spans="1:7" x14ac:dyDescent="0.35">
      <c r="A1658" t="s">
        <v>94</v>
      </c>
      <c r="E1658">
        <v>9.345060214382429E-3</v>
      </c>
      <c r="F1658">
        <f t="shared" si="56"/>
        <v>-1.7482213169030675E-2</v>
      </c>
      <c r="G1658">
        <f t="shared" si="57"/>
        <v>-2.8586229432862105E-2</v>
      </c>
    </row>
    <row r="1659" spans="1:7" x14ac:dyDescent="0.35">
      <c r="A1659" t="s">
        <v>94</v>
      </c>
      <c r="E1659">
        <v>2.8365604183221817E-3</v>
      </c>
      <c r="F1659">
        <f t="shared" si="56"/>
        <v>-1.748580733226528E-2</v>
      </c>
      <c r="G1659">
        <f t="shared" si="57"/>
        <v>-2.8586229432862105E-2</v>
      </c>
    </row>
    <row r="1660" spans="1:7" x14ac:dyDescent="0.35">
      <c r="A1660" t="s">
        <v>94</v>
      </c>
      <c r="E1660">
        <v>-8.8292487173146708E-3</v>
      </c>
      <c r="F1660">
        <f t="shared" si="56"/>
        <v>-1.7489401495499889E-2</v>
      </c>
      <c r="G1660">
        <f t="shared" si="57"/>
        <v>-2.8586229432862105E-2</v>
      </c>
    </row>
    <row r="1661" spans="1:7" x14ac:dyDescent="0.35">
      <c r="A1661" t="s">
        <v>94</v>
      </c>
      <c r="E1661">
        <v>5.5101724083902424E-3</v>
      </c>
      <c r="F1661">
        <f t="shared" si="56"/>
        <v>-1.7497551605964709E-2</v>
      </c>
      <c r="G1661">
        <f t="shared" si="57"/>
        <v>-2.8689938105173896E-2</v>
      </c>
    </row>
    <row r="1662" spans="1:7" x14ac:dyDescent="0.35">
      <c r="A1662" t="s">
        <v>94</v>
      </c>
      <c r="E1662">
        <v>6.5774444359818591E-3</v>
      </c>
      <c r="F1662">
        <f t="shared" si="56"/>
        <v>-1.7505701716429529E-2</v>
      </c>
      <c r="G1662">
        <f t="shared" si="57"/>
        <v>-2.8689938105173896E-2</v>
      </c>
    </row>
    <row r="1663" spans="1:7" x14ac:dyDescent="0.35">
      <c r="A1663" t="s">
        <v>94</v>
      </c>
      <c r="E1663">
        <v>-6.1128652825081769E-3</v>
      </c>
      <c r="F1663">
        <f t="shared" si="56"/>
        <v>-1.7513851826894349E-2</v>
      </c>
      <c r="G1663">
        <f t="shared" si="57"/>
        <v>-2.8689938105173896E-2</v>
      </c>
    </row>
    <row r="1664" spans="1:7" x14ac:dyDescent="0.35">
      <c r="A1664" t="s">
        <v>95</v>
      </c>
      <c r="B1664" s="3" cm="1">
        <f t="array" ref="B1664">_xlfn.STDEV.S(_xlfn._xlws.FILTER($E$1000:$E$1998, $A$1000:$A$1998="2016-09"))</f>
        <v>1.016153863678519E-2</v>
      </c>
      <c r="C1664" s="3" cm="1">
        <f t="array" ref="C1664">AVERAGE(_xlfn._xlws.FILTER($E$1000:$E$1998, $A$1000:$A$1998="2016-09"))</f>
        <v>-3.5181408952286632E-4</v>
      </c>
      <c r="D1664" s="3" cm="1">
        <f t="array" ref="D1664">_xlfn.PERCENTILE.EXC(_xlfn._xlws.FILTER($E$1498:$E$2489, $A$1498:$A$2489="2016-09"), 0.05)</f>
        <v>-2.1111203710092671E-2</v>
      </c>
      <c r="E1664">
        <v>-5.5265914320685849E-3</v>
      </c>
      <c r="F1664">
        <f t="shared" si="56"/>
        <v>-1.7522001937359168E-2</v>
      </c>
      <c r="G1664">
        <f t="shared" si="57"/>
        <v>-2.8689938105173896E-2</v>
      </c>
    </row>
    <row r="1665" spans="1:7" x14ac:dyDescent="0.35">
      <c r="A1665" t="s">
        <v>95</v>
      </c>
      <c r="E1665">
        <v>1.4092898337808616E-2</v>
      </c>
      <c r="F1665">
        <f t="shared" si="56"/>
        <v>-1.7530152047823992E-2</v>
      </c>
      <c r="G1665">
        <f t="shared" si="57"/>
        <v>-2.8689938105173896E-2</v>
      </c>
    </row>
    <row r="1666" spans="1:7" x14ac:dyDescent="0.35">
      <c r="A1666" t="s">
        <v>95</v>
      </c>
      <c r="E1666">
        <v>-1.0863438297367581E-3</v>
      </c>
      <c r="F1666">
        <f t="shared" si="56"/>
        <v>-1.7538302158288811E-2</v>
      </c>
      <c r="G1666">
        <f t="shared" si="57"/>
        <v>-2.8689938105173896E-2</v>
      </c>
    </row>
    <row r="1667" spans="1:7" x14ac:dyDescent="0.35">
      <c r="A1667" t="s">
        <v>95</v>
      </c>
      <c r="E1667">
        <v>1.3970458315847366E-3</v>
      </c>
      <c r="F1667">
        <f t="shared" si="56"/>
        <v>-1.7546452268753631E-2</v>
      </c>
      <c r="G1667">
        <f t="shared" si="57"/>
        <v>-2.8689938105173896E-2</v>
      </c>
    </row>
    <row r="1668" spans="1:7" x14ac:dyDescent="0.35">
      <c r="A1668" t="s">
        <v>95</v>
      </c>
      <c r="E1668">
        <v>6.1417759755714113E-3</v>
      </c>
      <c r="F1668">
        <f t="shared" ref="F1668:F1731" si="58">_xlfn.PERCENTILE.EXC(E1668:E5483,0.05)</f>
        <v>-1.7554602379218451E-2</v>
      </c>
      <c r="G1668">
        <f t="shared" ref="G1668:G1731" si="59">AVERAGEIFS(E1668:E5484,E1668:E5484,"&lt;=" &amp; F1668)</f>
        <v>-2.8689938105173896E-2</v>
      </c>
    </row>
    <row r="1669" spans="1:7" x14ac:dyDescent="0.35">
      <c r="A1669" t="s">
        <v>95</v>
      </c>
      <c r="E1669">
        <v>-7.2512004385596003E-3</v>
      </c>
      <c r="F1669">
        <f t="shared" si="58"/>
        <v>-1.7562752489683271E-2</v>
      </c>
      <c r="G1669">
        <f t="shared" si="59"/>
        <v>-2.8689938105173896E-2</v>
      </c>
    </row>
    <row r="1670" spans="1:7" x14ac:dyDescent="0.35">
      <c r="A1670" t="s">
        <v>95</v>
      </c>
      <c r="E1670">
        <v>-9.5865287020036882E-3</v>
      </c>
      <c r="F1670">
        <f t="shared" si="58"/>
        <v>-1.757090260014809E-2</v>
      </c>
      <c r="G1670">
        <f t="shared" si="59"/>
        <v>-2.8689938105173896E-2</v>
      </c>
    </row>
    <row r="1671" spans="1:7" x14ac:dyDescent="0.35">
      <c r="A1671" t="s">
        <v>95</v>
      </c>
      <c r="E1671">
        <v>-1.3489238924800478E-2</v>
      </c>
      <c r="F1671">
        <f t="shared" si="58"/>
        <v>-1.7579052710612914E-2</v>
      </c>
      <c r="G1671">
        <f t="shared" si="59"/>
        <v>-2.8689938105173896E-2</v>
      </c>
    </row>
    <row r="1672" spans="1:7" x14ac:dyDescent="0.35">
      <c r="A1672" t="s">
        <v>95</v>
      </c>
      <c r="E1672">
        <v>-4.3394435666323306E-3</v>
      </c>
      <c r="F1672">
        <f t="shared" si="58"/>
        <v>-1.7587202821077733E-2</v>
      </c>
      <c r="G1672">
        <f t="shared" si="59"/>
        <v>-2.8689938105173896E-2</v>
      </c>
    </row>
    <row r="1673" spans="1:7" x14ac:dyDescent="0.35">
      <c r="A1673" t="s">
        <v>95</v>
      </c>
      <c r="E1673">
        <v>-7.8979055393621315E-4</v>
      </c>
      <c r="F1673">
        <f t="shared" si="58"/>
        <v>-1.7595352931542553E-2</v>
      </c>
      <c r="G1673">
        <f t="shared" si="59"/>
        <v>-2.8689938105173896E-2</v>
      </c>
    </row>
    <row r="1674" spans="1:7" x14ac:dyDescent="0.35">
      <c r="A1674" t="s">
        <v>95</v>
      </c>
      <c r="E1674">
        <v>5.0745918524600598E-3</v>
      </c>
      <c r="F1674">
        <f t="shared" si="58"/>
        <v>-1.7603503042007373E-2</v>
      </c>
      <c r="G1674">
        <f t="shared" si="59"/>
        <v>-2.8689938105173896E-2</v>
      </c>
    </row>
    <row r="1675" spans="1:7" x14ac:dyDescent="0.35">
      <c r="A1675" t="s">
        <v>95</v>
      </c>
      <c r="E1675">
        <v>-1.4973692614226923E-2</v>
      </c>
      <c r="F1675">
        <f t="shared" si="58"/>
        <v>-1.7611653152472193E-2</v>
      </c>
      <c r="G1675">
        <f t="shared" si="59"/>
        <v>-2.8689938105173896E-2</v>
      </c>
    </row>
    <row r="1676" spans="1:7" x14ac:dyDescent="0.35">
      <c r="A1676" t="s">
        <v>95</v>
      </c>
      <c r="E1676">
        <v>9.4625220094714142E-3</v>
      </c>
      <c r="F1676">
        <f t="shared" si="58"/>
        <v>-1.7619803262937012E-2</v>
      </c>
      <c r="G1676">
        <f t="shared" si="59"/>
        <v>-2.8689938105173896E-2</v>
      </c>
    </row>
    <row r="1677" spans="1:7" x14ac:dyDescent="0.35">
      <c r="A1677" t="s">
        <v>95</v>
      </c>
      <c r="E1677">
        <v>1.9251026639513326E-3</v>
      </c>
      <c r="F1677">
        <f t="shared" si="58"/>
        <v>-1.7627953373401832E-2</v>
      </c>
      <c r="G1677">
        <f t="shared" si="59"/>
        <v>-2.8689938105173896E-2</v>
      </c>
    </row>
    <row r="1678" spans="1:7" x14ac:dyDescent="0.35">
      <c r="A1678" t="s">
        <v>95</v>
      </c>
      <c r="E1678">
        <v>4.093071841409968E-3</v>
      </c>
      <c r="F1678">
        <f t="shared" si="58"/>
        <v>-1.7636103483866652E-2</v>
      </c>
      <c r="G1678">
        <f t="shared" si="59"/>
        <v>-2.8689938105173896E-2</v>
      </c>
    </row>
    <row r="1679" spans="1:7" x14ac:dyDescent="0.35">
      <c r="A1679" t="s">
        <v>95</v>
      </c>
      <c r="E1679">
        <v>2.2519422148244251E-2</v>
      </c>
      <c r="F1679">
        <f t="shared" si="58"/>
        <v>-1.7644253594331472E-2</v>
      </c>
      <c r="G1679">
        <f t="shared" si="59"/>
        <v>-2.8689938105173896E-2</v>
      </c>
    </row>
    <row r="1680" spans="1:7" x14ac:dyDescent="0.35">
      <c r="A1680" t="s">
        <v>95</v>
      </c>
      <c r="E1680">
        <v>-4.4326317874261289E-3</v>
      </c>
      <c r="F1680">
        <f t="shared" si="58"/>
        <v>-1.7652403704796295E-2</v>
      </c>
      <c r="G1680">
        <f t="shared" si="59"/>
        <v>-2.8689938105173896E-2</v>
      </c>
    </row>
    <row r="1681" spans="1:7" x14ac:dyDescent="0.35">
      <c r="A1681" t="s">
        <v>95</v>
      </c>
      <c r="E1681">
        <v>-2.2194293903480745E-2</v>
      </c>
      <c r="F1681">
        <f t="shared" si="58"/>
        <v>-1.765404945051887E-2</v>
      </c>
      <c r="G1681">
        <f t="shared" si="59"/>
        <v>-2.8794065788196325E-2</v>
      </c>
    </row>
    <row r="1682" spans="1:7" x14ac:dyDescent="0.35">
      <c r="A1682" t="s">
        <v>95</v>
      </c>
      <c r="E1682">
        <v>-3.1057317139845326E-3</v>
      </c>
      <c r="F1682">
        <f t="shared" si="58"/>
        <v>-1.7505701716429529E-2</v>
      </c>
      <c r="G1682">
        <f t="shared" si="59"/>
        <v>-2.875121776745402E-2</v>
      </c>
    </row>
    <row r="1683" spans="1:7" x14ac:dyDescent="0.35">
      <c r="A1683" t="s">
        <v>95</v>
      </c>
      <c r="E1683">
        <v>7.390482209541532E-3</v>
      </c>
      <c r="F1683">
        <f t="shared" si="58"/>
        <v>-1.7513851826894349E-2</v>
      </c>
      <c r="G1683">
        <f t="shared" si="59"/>
        <v>-2.875121776745402E-2</v>
      </c>
    </row>
    <row r="1684" spans="1:7" x14ac:dyDescent="0.35">
      <c r="A1684" t="s">
        <v>95</v>
      </c>
      <c r="E1684">
        <v>-3.1472093557879935E-3</v>
      </c>
      <c r="F1684">
        <f t="shared" si="58"/>
        <v>-1.7522001937359168E-2</v>
      </c>
      <c r="G1684">
        <f t="shared" si="59"/>
        <v>-2.875121776745402E-2</v>
      </c>
    </row>
    <row r="1685" spans="1:7" x14ac:dyDescent="0.35">
      <c r="A1685" t="s">
        <v>95</v>
      </c>
      <c r="E1685">
        <v>1.0085873983097593E-2</v>
      </c>
      <c r="F1685">
        <f t="shared" si="58"/>
        <v>-1.7530152047823992E-2</v>
      </c>
      <c r="G1685">
        <f t="shared" si="59"/>
        <v>-2.875121776745402E-2</v>
      </c>
    </row>
    <row r="1686" spans="1:7" x14ac:dyDescent="0.35">
      <c r="A1686" t="s">
        <v>96</v>
      </c>
      <c r="B1686" s="3" cm="1">
        <f t="array" ref="B1686">_xlfn.STDEV.S(_xlfn._xlws.FILTER($E$1000:$E$1998, $A$1000:$A$1998="2016-10"))</f>
        <v>7.2959118916051469E-3</v>
      </c>
      <c r="C1686" s="3" cm="1">
        <f t="array" ref="C1686">AVERAGE(_xlfn._xlws.FILTER($E$1000:$E$1998, $A$1000:$A$1998="2016-10"))</f>
        <v>7.2720294807232673E-4</v>
      </c>
      <c r="D1686" s="3" cm="1">
        <f t="array" ref="D1686">_xlfn.PERCENTILE.EXC(_xlfn._xlws.FILTER($E$1498:$E$2489, $A$1498:$A$2489="2016-10"), 0.05)</f>
        <v>-1.026169585809926E-2</v>
      </c>
      <c r="E1686">
        <v>1.0278061367703911E-2</v>
      </c>
      <c r="F1686">
        <f t="shared" si="58"/>
        <v>-1.7538302158288811E-2</v>
      </c>
      <c r="G1686">
        <f t="shared" si="59"/>
        <v>-2.875121776745402E-2</v>
      </c>
    </row>
    <row r="1687" spans="1:7" x14ac:dyDescent="0.35">
      <c r="A1687" t="s">
        <v>96</v>
      </c>
      <c r="E1687">
        <v>-3.1907009209192136E-3</v>
      </c>
      <c r="F1687">
        <f t="shared" si="58"/>
        <v>-1.7546452268753631E-2</v>
      </c>
      <c r="G1687">
        <f t="shared" si="59"/>
        <v>-2.875121776745402E-2</v>
      </c>
    </row>
    <row r="1688" spans="1:7" x14ac:dyDescent="0.35">
      <c r="A1688" t="s">
        <v>96</v>
      </c>
      <c r="E1688">
        <v>-1.605326472712726E-3</v>
      </c>
      <c r="F1688">
        <f t="shared" si="58"/>
        <v>-1.7554602379218451E-2</v>
      </c>
      <c r="G1688">
        <f t="shared" si="59"/>
        <v>-2.875121776745402E-2</v>
      </c>
    </row>
    <row r="1689" spans="1:7" x14ac:dyDescent="0.35">
      <c r="A1689" t="s">
        <v>96</v>
      </c>
      <c r="E1689">
        <v>-7.4018626934099878E-3</v>
      </c>
      <c r="F1689">
        <f t="shared" si="58"/>
        <v>-1.7562752489683271E-2</v>
      </c>
      <c r="G1689">
        <f t="shared" si="59"/>
        <v>-2.875121776745402E-2</v>
      </c>
    </row>
    <row r="1690" spans="1:7" x14ac:dyDescent="0.35">
      <c r="A1690" t="s">
        <v>96</v>
      </c>
      <c r="E1690">
        <v>1.2618720937611586E-2</v>
      </c>
      <c r="F1690">
        <f t="shared" si="58"/>
        <v>-1.757090260014809E-2</v>
      </c>
      <c r="G1690">
        <f t="shared" si="59"/>
        <v>-2.875121776745402E-2</v>
      </c>
    </row>
    <row r="1691" spans="1:7" x14ac:dyDescent="0.35">
      <c r="A1691" t="s">
        <v>96</v>
      </c>
      <c r="E1691">
        <v>-4.4261634319957823E-3</v>
      </c>
      <c r="F1691">
        <f t="shared" si="58"/>
        <v>-1.7579052710612914E-2</v>
      </c>
      <c r="G1691">
        <f t="shared" si="59"/>
        <v>-2.875121776745402E-2</v>
      </c>
    </row>
    <row r="1692" spans="1:7" x14ac:dyDescent="0.35">
      <c r="A1692" t="s">
        <v>96</v>
      </c>
      <c r="E1692">
        <v>-5.1269695622528869E-3</v>
      </c>
      <c r="F1692">
        <f t="shared" si="58"/>
        <v>-1.7587202821077733E-2</v>
      </c>
      <c r="G1692">
        <f t="shared" si="59"/>
        <v>-2.875121776745402E-2</v>
      </c>
    </row>
    <row r="1693" spans="1:7" x14ac:dyDescent="0.35">
      <c r="A1693" t="s">
        <v>96</v>
      </c>
      <c r="E1693">
        <v>-1.0412213393082905E-2</v>
      </c>
      <c r="F1693">
        <f t="shared" si="58"/>
        <v>-1.7595352931542553E-2</v>
      </c>
      <c r="G1693">
        <f t="shared" si="59"/>
        <v>-2.875121776745402E-2</v>
      </c>
    </row>
    <row r="1694" spans="1:7" x14ac:dyDescent="0.35">
      <c r="A1694" t="s">
        <v>96</v>
      </c>
      <c r="E1694">
        <v>1.5843566170479016E-2</v>
      </c>
      <c r="F1694">
        <f t="shared" si="58"/>
        <v>-1.7603503042007373E-2</v>
      </c>
      <c r="G1694">
        <f t="shared" si="59"/>
        <v>-2.875121776745402E-2</v>
      </c>
    </row>
    <row r="1695" spans="1:7" x14ac:dyDescent="0.35">
      <c r="A1695" t="s">
        <v>96</v>
      </c>
      <c r="E1695">
        <v>-7.2861432327805146E-3</v>
      </c>
      <c r="F1695">
        <f t="shared" si="58"/>
        <v>-1.7611653152472193E-2</v>
      </c>
      <c r="G1695">
        <f t="shared" si="59"/>
        <v>-2.875121776745402E-2</v>
      </c>
    </row>
    <row r="1696" spans="1:7" x14ac:dyDescent="0.35">
      <c r="A1696" t="s">
        <v>96</v>
      </c>
      <c r="E1696">
        <v>1.2110796082204641E-2</v>
      </c>
      <c r="F1696">
        <f t="shared" si="58"/>
        <v>-1.7619803262937012E-2</v>
      </c>
      <c r="G1696">
        <f t="shared" si="59"/>
        <v>-2.875121776745402E-2</v>
      </c>
    </row>
    <row r="1697" spans="1:7" x14ac:dyDescent="0.35">
      <c r="A1697" t="s">
        <v>96</v>
      </c>
      <c r="E1697">
        <v>1.3281806021918066E-3</v>
      </c>
      <c r="F1697">
        <f t="shared" si="58"/>
        <v>-1.7627953373401832E-2</v>
      </c>
      <c r="G1697">
        <f t="shared" si="59"/>
        <v>-2.875121776745402E-2</v>
      </c>
    </row>
    <row r="1698" spans="1:7" x14ac:dyDescent="0.35">
      <c r="A1698" t="s">
        <v>96</v>
      </c>
      <c r="E1698">
        <v>5.2194635118203887E-3</v>
      </c>
      <c r="F1698">
        <f t="shared" si="58"/>
        <v>-1.7636103483866652E-2</v>
      </c>
      <c r="G1698">
        <f t="shared" si="59"/>
        <v>-2.875121776745402E-2</v>
      </c>
    </row>
    <row r="1699" spans="1:7" x14ac:dyDescent="0.35">
      <c r="A1699" t="s">
        <v>96</v>
      </c>
      <c r="E1699">
        <v>8.7240316160931784E-4</v>
      </c>
      <c r="F1699">
        <f t="shared" si="58"/>
        <v>-1.7644253594331472E-2</v>
      </c>
      <c r="G1699">
        <f t="shared" si="59"/>
        <v>-2.875121776745402E-2</v>
      </c>
    </row>
    <row r="1700" spans="1:7" x14ac:dyDescent="0.35">
      <c r="A1700" t="s">
        <v>96</v>
      </c>
      <c r="E1700">
        <v>4.698242147379455E-3</v>
      </c>
      <c r="F1700">
        <f t="shared" si="58"/>
        <v>-1.7652403704796295E-2</v>
      </c>
      <c r="G1700">
        <f t="shared" si="59"/>
        <v>-2.875121776745402E-2</v>
      </c>
    </row>
    <row r="1701" spans="1:7" x14ac:dyDescent="0.35">
      <c r="A1701" t="s">
        <v>96</v>
      </c>
      <c r="E1701">
        <v>-3.5876140335213758E-4</v>
      </c>
      <c r="F1701">
        <f t="shared" si="58"/>
        <v>-1.765404945051887E-2</v>
      </c>
      <c r="G1701">
        <f t="shared" si="59"/>
        <v>-2.8856920758526947E-2</v>
      </c>
    </row>
    <row r="1702" spans="1:7" x14ac:dyDescent="0.35">
      <c r="A1702" t="s">
        <v>96</v>
      </c>
      <c r="E1702">
        <v>-4.4375180832602395E-3</v>
      </c>
      <c r="F1702">
        <f t="shared" si="58"/>
        <v>-1.7655695196241446E-2</v>
      </c>
      <c r="G1702">
        <f t="shared" si="59"/>
        <v>-2.8856920758526947E-2</v>
      </c>
    </row>
    <row r="1703" spans="1:7" x14ac:dyDescent="0.35">
      <c r="A1703" t="s">
        <v>96</v>
      </c>
      <c r="E1703">
        <v>6.907250834200893E-4</v>
      </c>
      <c r="F1703">
        <f t="shared" si="58"/>
        <v>-1.7657340941964025E-2</v>
      </c>
      <c r="G1703">
        <f t="shared" si="59"/>
        <v>-2.8856920758526947E-2</v>
      </c>
    </row>
    <row r="1704" spans="1:7" x14ac:dyDescent="0.35">
      <c r="A1704" t="s">
        <v>96</v>
      </c>
      <c r="E1704">
        <v>-1.9511271867559481E-3</v>
      </c>
      <c r="F1704">
        <f t="shared" si="58"/>
        <v>-1.76589866876866E-2</v>
      </c>
      <c r="G1704">
        <f t="shared" si="59"/>
        <v>-2.8856920758526947E-2</v>
      </c>
    </row>
    <row r="1705" spans="1:7" x14ac:dyDescent="0.35">
      <c r="A1705" t="s">
        <v>96</v>
      </c>
      <c r="E1705">
        <v>-2.9193137224513325E-3</v>
      </c>
      <c r="F1705">
        <f t="shared" si="58"/>
        <v>-1.7660632433409176E-2</v>
      </c>
      <c r="G1705">
        <f t="shared" si="59"/>
        <v>-2.8856920758526947E-2</v>
      </c>
    </row>
    <row r="1706" spans="1:7" x14ac:dyDescent="0.35">
      <c r="A1706" t="s">
        <v>97</v>
      </c>
      <c r="B1706" s="3" cm="1">
        <f t="array" ref="B1706">_xlfn.STDEV.S(_xlfn._xlws.FILTER($E$1000:$E$1998, $A$1000:$A$1998="2016-11"))</f>
        <v>7.9565897451861073E-3</v>
      </c>
      <c r="C1706" s="3" cm="1">
        <f t="array" ref="C1706">AVERAGE(_xlfn._xlws.FILTER($E$1000:$E$1998, $A$1000:$A$1998="2016-11"))</f>
        <v>-1.0543684384757592E-4</v>
      </c>
      <c r="D1706" s="3" cm="1">
        <f t="array" ref="D1706">_xlfn.PERCENTILE.EXC(_xlfn._xlws.FILTER($E$1498:$E$2489, $A$1498:$A$2489="2016-11"), 0.05)</f>
        <v>-1.4594059530436984E-2</v>
      </c>
      <c r="E1706">
        <v>-1.31047022973065E-2</v>
      </c>
      <c r="F1706">
        <f t="shared" si="58"/>
        <v>-1.7662278179131751E-2</v>
      </c>
      <c r="G1706">
        <f t="shared" si="59"/>
        <v>-2.8856920758526947E-2</v>
      </c>
    </row>
    <row r="1707" spans="1:7" x14ac:dyDescent="0.35">
      <c r="A1707" t="s">
        <v>97</v>
      </c>
      <c r="E1707">
        <v>-1.4856887277460011E-2</v>
      </c>
      <c r="F1707">
        <f t="shared" si="58"/>
        <v>-1.7663923924854327E-2</v>
      </c>
      <c r="G1707">
        <f t="shared" si="59"/>
        <v>-2.8856920758526947E-2</v>
      </c>
    </row>
    <row r="1708" spans="1:7" x14ac:dyDescent="0.35">
      <c r="A1708" t="s">
        <v>97</v>
      </c>
      <c r="E1708">
        <v>-4.3533347551778226E-3</v>
      </c>
      <c r="F1708">
        <f t="shared" si="58"/>
        <v>-1.7665569670576906E-2</v>
      </c>
      <c r="G1708">
        <f t="shared" si="59"/>
        <v>-2.8856920758526947E-2</v>
      </c>
    </row>
    <row r="1709" spans="1:7" x14ac:dyDescent="0.35">
      <c r="A1709" t="s">
        <v>97</v>
      </c>
      <c r="E1709">
        <v>-6.4853244137779032E-3</v>
      </c>
      <c r="F1709">
        <f t="shared" si="58"/>
        <v>-1.7667215416299481E-2</v>
      </c>
      <c r="G1709">
        <f t="shared" si="59"/>
        <v>-2.8856920758526947E-2</v>
      </c>
    </row>
    <row r="1710" spans="1:7" x14ac:dyDescent="0.35">
      <c r="A1710" t="s">
        <v>97</v>
      </c>
      <c r="E1710">
        <v>1.9098788293275097E-2</v>
      </c>
      <c r="F1710">
        <f t="shared" si="58"/>
        <v>-1.7668861162022056E-2</v>
      </c>
      <c r="G1710">
        <f t="shared" si="59"/>
        <v>-2.8856920758526947E-2</v>
      </c>
    </row>
    <row r="1711" spans="1:7" x14ac:dyDescent="0.35">
      <c r="A1711" t="s">
        <v>97</v>
      </c>
      <c r="E1711">
        <v>2.4231993201447033E-3</v>
      </c>
      <c r="F1711">
        <f t="shared" si="58"/>
        <v>-1.7670506907744632E-2</v>
      </c>
      <c r="G1711">
        <f t="shared" si="59"/>
        <v>-2.8856920758526947E-2</v>
      </c>
    </row>
    <row r="1712" spans="1:7" x14ac:dyDescent="0.35">
      <c r="A1712" t="s">
        <v>97</v>
      </c>
      <c r="E1712">
        <v>1.5495145630977782E-2</v>
      </c>
      <c r="F1712">
        <f t="shared" si="58"/>
        <v>-1.7672152653467207E-2</v>
      </c>
      <c r="G1712">
        <f t="shared" si="59"/>
        <v>-2.8856920758526947E-2</v>
      </c>
    </row>
    <row r="1713" spans="1:7" x14ac:dyDescent="0.35">
      <c r="A1713" t="s">
        <v>97</v>
      </c>
      <c r="E1713">
        <v>-1.4936929746502646E-3</v>
      </c>
      <c r="F1713">
        <f t="shared" si="58"/>
        <v>-1.7673798399189786E-2</v>
      </c>
      <c r="G1713">
        <f t="shared" si="59"/>
        <v>-2.8856920758526947E-2</v>
      </c>
    </row>
    <row r="1714" spans="1:7" x14ac:dyDescent="0.35">
      <c r="A1714" t="s">
        <v>97</v>
      </c>
      <c r="E1714">
        <v>3.5524382992418533E-3</v>
      </c>
      <c r="F1714">
        <f t="shared" si="58"/>
        <v>-1.7675444144912362E-2</v>
      </c>
      <c r="G1714">
        <f t="shared" si="59"/>
        <v>-2.8856920758526947E-2</v>
      </c>
    </row>
    <row r="1715" spans="1:7" x14ac:dyDescent="0.35">
      <c r="A1715" t="s">
        <v>97</v>
      </c>
      <c r="E1715">
        <v>2.4099284940327535E-3</v>
      </c>
      <c r="F1715">
        <f t="shared" si="58"/>
        <v>-1.7677089890634937E-2</v>
      </c>
      <c r="G1715">
        <f t="shared" si="59"/>
        <v>-2.8856920758526947E-2</v>
      </c>
    </row>
    <row r="1716" spans="1:7" x14ac:dyDescent="0.35">
      <c r="A1716" t="s">
        <v>97</v>
      </c>
      <c r="E1716">
        <v>3.8686248102146412E-3</v>
      </c>
      <c r="F1716">
        <f t="shared" si="58"/>
        <v>-1.7678735636357513E-2</v>
      </c>
      <c r="G1716">
        <f t="shared" si="59"/>
        <v>-2.8856920758526947E-2</v>
      </c>
    </row>
    <row r="1717" spans="1:7" x14ac:dyDescent="0.35">
      <c r="A1717" t="s">
        <v>97</v>
      </c>
      <c r="E1717">
        <v>-6.6610804444303777E-3</v>
      </c>
      <c r="F1717">
        <f t="shared" si="58"/>
        <v>-1.7680381382080088E-2</v>
      </c>
      <c r="G1717">
        <f t="shared" si="59"/>
        <v>-2.8856920758526947E-2</v>
      </c>
    </row>
    <row r="1718" spans="1:7" x14ac:dyDescent="0.35">
      <c r="A1718" t="s">
        <v>97</v>
      </c>
      <c r="E1718">
        <v>2.0300333772131215E-3</v>
      </c>
      <c r="F1718">
        <f t="shared" si="58"/>
        <v>-1.7682027127802667E-2</v>
      </c>
      <c r="G1718">
        <f t="shared" si="59"/>
        <v>-2.8856920758526947E-2</v>
      </c>
    </row>
    <row r="1719" spans="1:7" x14ac:dyDescent="0.35">
      <c r="A1719" t="s">
        <v>97</v>
      </c>
      <c r="E1719">
        <v>-1.96533100575485E-3</v>
      </c>
      <c r="F1719">
        <f t="shared" si="58"/>
        <v>-1.7683672873525243E-2</v>
      </c>
      <c r="G1719">
        <f t="shared" si="59"/>
        <v>-2.8856920758526947E-2</v>
      </c>
    </row>
    <row r="1720" spans="1:7" x14ac:dyDescent="0.35">
      <c r="A1720" t="s">
        <v>97</v>
      </c>
      <c r="E1720">
        <v>1.9269606598506944E-3</v>
      </c>
      <c r="F1720">
        <f t="shared" si="58"/>
        <v>-1.7685318619247818E-2</v>
      </c>
      <c r="G1720">
        <f t="shared" si="59"/>
        <v>-2.8856920758526947E-2</v>
      </c>
    </row>
    <row r="1721" spans="1:7" x14ac:dyDescent="0.35">
      <c r="A1721" t="s">
        <v>97</v>
      </c>
      <c r="E1721">
        <v>2.684241701644849E-3</v>
      </c>
      <c r="F1721">
        <f t="shared" si="58"/>
        <v>-1.7690246617871483E-2</v>
      </c>
      <c r="G1721">
        <f t="shared" si="59"/>
        <v>-2.8964340009866172E-2</v>
      </c>
    </row>
    <row r="1722" spans="1:7" x14ac:dyDescent="0.35">
      <c r="A1722" t="s">
        <v>97</v>
      </c>
      <c r="E1722">
        <v>-4.8100113835786579E-3</v>
      </c>
      <c r="F1722">
        <f t="shared" si="58"/>
        <v>-1.7695174616495148E-2</v>
      </c>
      <c r="G1722">
        <f t="shared" si="59"/>
        <v>-2.8964340009866172E-2</v>
      </c>
    </row>
    <row r="1723" spans="1:7" x14ac:dyDescent="0.35">
      <c r="A1723" t="s">
        <v>97</v>
      </c>
      <c r="E1723">
        <v>2.5122134636180612E-3</v>
      </c>
      <c r="F1723">
        <f t="shared" si="58"/>
        <v>-1.7700102615118812E-2</v>
      </c>
      <c r="G1723">
        <f t="shared" si="59"/>
        <v>-2.8964340009866172E-2</v>
      </c>
    </row>
    <row r="1724" spans="1:7" x14ac:dyDescent="0.35">
      <c r="A1724" t="s">
        <v>97</v>
      </c>
      <c r="E1724">
        <v>9.3601577395314496E-4</v>
      </c>
      <c r="F1724">
        <f t="shared" si="58"/>
        <v>-1.7705030613742477E-2</v>
      </c>
      <c r="G1724">
        <f t="shared" si="59"/>
        <v>-2.8964340009866172E-2</v>
      </c>
    </row>
    <row r="1725" spans="1:7" x14ac:dyDescent="0.35">
      <c r="A1725" t="s">
        <v>97</v>
      </c>
      <c r="E1725">
        <v>-1.0957757300470739E-2</v>
      </c>
      <c r="F1725">
        <f t="shared" si="58"/>
        <v>-1.7709958612366142E-2</v>
      </c>
      <c r="G1725">
        <f t="shared" si="59"/>
        <v>-2.8964340009866172E-2</v>
      </c>
    </row>
    <row r="1726" spans="1:7" x14ac:dyDescent="0.35">
      <c r="A1726" t="s">
        <v>97</v>
      </c>
      <c r="E1726">
        <v>3.5673965681628458E-3</v>
      </c>
      <c r="F1726">
        <f t="shared" si="58"/>
        <v>-1.7714886610989806E-2</v>
      </c>
      <c r="G1726">
        <f t="shared" si="59"/>
        <v>-2.8964340009866172E-2</v>
      </c>
    </row>
    <row r="1727" spans="1:7" x14ac:dyDescent="0.35">
      <c r="A1727" t="s">
        <v>97</v>
      </c>
      <c r="E1727">
        <v>1.8635248956309035E-3</v>
      </c>
      <c r="F1727">
        <f t="shared" si="58"/>
        <v>-1.7719814609613471E-2</v>
      </c>
      <c r="G1727">
        <f t="shared" si="59"/>
        <v>-2.8964340009866172E-2</v>
      </c>
    </row>
    <row r="1728" spans="1:7" x14ac:dyDescent="0.35">
      <c r="A1728" t="s">
        <v>98</v>
      </c>
      <c r="B1728" s="3" cm="1">
        <f t="array" ref="B1728">_xlfn.STDEV.S(_xlfn._xlws.FILTER($E$1000:$E$1998, $A$1000:$A$1998="2016-12"))</f>
        <v>7.5269052087303997E-3</v>
      </c>
      <c r="C1728" s="3" cm="1">
        <f t="array" ref="C1728">AVERAGE(_xlfn._xlws.FILTER($E$1000:$E$1998, $A$1000:$A$1998="2016-12"))</f>
        <v>3.802502105944571E-3</v>
      </c>
      <c r="D1728" s="3" cm="1">
        <f t="array" ref="D1728">_xlfn.PERCENTILE.EXC(_xlfn._xlws.FILTER($E$1498:$E$2489, $A$1498:$A$2489="2016-12"), 0.05)</f>
        <v>-9.7107227689502227E-3</v>
      </c>
      <c r="E1728">
        <v>-1.003581141977259E-2</v>
      </c>
      <c r="F1728">
        <f t="shared" si="58"/>
        <v>-1.7724742608237136E-2</v>
      </c>
      <c r="G1728">
        <f t="shared" si="59"/>
        <v>-2.8964340009866172E-2</v>
      </c>
    </row>
    <row r="1729" spans="1:7" x14ac:dyDescent="0.35">
      <c r="A1729" t="s">
        <v>98</v>
      </c>
      <c r="E1729">
        <v>-1.9669894309135827E-3</v>
      </c>
      <c r="F1729">
        <f t="shared" si="58"/>
        <v>-1.7729670606860801E-2</v>
      </c>
      <c r="G1729">
        <f t="shared" si="59"/>
        <v>-2.8964340009866172E-2</v>
      </c>
    </row>
    <row r="1730" spans="1:7" x14ac:dyDescent="0.35">
      <c r="A1730" t="s">
        <v>98</v>
      </c>
      <c r="E1730">
        <v>1.6179100336072307E-2</v>
      </c>
      <c r="F1730">
        <f t="shared" si="58"/>
        <v>-1.7734598605484465E-2</v>
      </c>
      <c r="G1730">
        <f t="shared" si="59"/>
        <v>-2.8964340009866172E-2</v>
      </c>
    </row>
    <row r="1731" spans="1:7" x14ac:dyDescent="0.35">
      <c r="A1731" t="s">
        <v>98</v>
      </c>
      <c r="E1731">
        <v>8.4333554345724267E-3</v>
      </c>
      <c r="F1731">
        <f t="shared" si="58"/>
        <v>-1.773952660410813E-2</v>
      </c>
      <c r="G1731">
        <f t="shared" si="59"/>
        <v>-2.8964340009866172E-2</v>
      </c>
    </row>
    <row r="1732" spans="1:7" x14ac:dyDescent="0.35">
      <c r="A1732" t="s">
        <v>98</v>
      </c>
      <c r="E1732">
        <v>1.9426206232620282E-2</v>
      </c>
      <c r="F1732">
        <f t="shared" ref="F1732:F1795" si="60">_xlfn.PERCENTILE.EXC(E1732:E5547,0.05)</f>
        <v>-1.7744454602731795E-2</v>
      </c>
      <c r="G1732">
        <f t="shared" ref="G1732:G1795" si="61">AVERAGEIFS(E1732:E5548,E1732:E5548,"&lt;=" &amp; F1732)</f>
        <v>-2.8964340009866172E-2</v>
      </c>
    </row>
    <row r="1733" spans="1:7" x14ac:dyDescent="0.35">
      <c r="A1733" t="s">
        <v>98</v>
      </c>
      <c r="E1733">
        <v>1.7390047869706944E-2</v>
      </c>
      <c r="F1733">
        <f t="shared" si="60"/>
        <v>-1.774938260135546E-2</v>
      </c>
      <c r="G1733">
        <f t="shared" si="61"/>
        <v>-2.8964340009866172E-2</v>
      </c>
    </row>
    <row r="1734" spans="1:7" x14ac:dyDescent="0.35">
      <c r="A1734" t="s">
        <v>98</v>
      </c>
      <c r="E1734">
        <v>2.1632449055110064E-3</v>
      </c>
      <c r="F1734">
        <f t="shared" si="60"/>
        <v>-1.7754310599979124E-2</v>
      </c>
      <c r="G1734">
        <f t="shared" si="61"/>
        <v>-2.8964340009866172E-2</v>
      </c>
    </row>
    <row r="1735" spans="1:7" x14ac:dyDescent="0.35">
      <c r="A1735" t="s">
        <v>98</v>
      </c>
      <c r="E1735">
        <v>-1.1985440287592252E-3</v>
      </c>
      <c r="F1735">
        <f t="shared" si="60"/>
        <v>-1.7759238598602792E-2</v>
      </c>
      <c r="G1735">
        <f t="shared" si="61"/>
        <v>-2.8964340009866172E-2</v>
      </c>
    </row>
    <row r="1736" spans="1:7" x14ac:dyDescent="0.35">
      <c r="A1736" t="s">
        <v>98</v>
      </c>
      <c r="E1736">
        <v>8.4041062635844734E-3</v>
      </c>
      <c r="F1736">
        <f t="shared" si="60"/>
        <v>-1.7764166597226457E-2</v>
      </c>
      <c r="G1736">
        <f t="shared" si="61"/>
        <v>-2.8964340009866172E-2</v>
      </c>
    </row>
    <row r="1737" spans="1:7" x14ac:dyDescent="0.35">
      <c r="A1737" t="s">
        <v>98</v>
      </c>
      <c r="E1737">
        <v>-3.5340384033252462E-3</v>
      </c>
      <c r="F1737">
        <f t="shared" si="60"/>
        <v>-1.7769094595850122E-2</v>
      </c>
      <c r="G1737">
        <f t="shared" si="61"/>
        <v>-2.8964340009866172E-2</v>
      </c>
    </row>
    <row r="1738" spans="1:7" x14ac:dyDescent="0.35">
      <c r="A1738" t="s">
        <v>98</v>
      </c>
      <c r="E1738">
        <v>1.0752278171572587E-2</v>
      </c>
      <c r="F1738">
        <f t="shared" si="60"/>
        <v>-1.7774022594473787E-2</v>
      </c>
      <c r="G1738">
        <f t="shared" si="61"/>
        <v>-2.8964340009866172E-2</v>
      </c>
    </row>
    <row r="1739" spans="1:7" x14ac:dyDescent="0.35">
      <c r="A1739" t="s">
        <v>98</v>
      </c>
      <c r="E1739">
        <v>3.3034129997400372E-3</v>
      </c>
      <c r="F1739">
        <f t="shared" si="60"/>
        <v>-1.7778950593097451E-2</v>
      </c>
      <c r="G1739">
        <f t="shared" si="61"/>
        <v>-2.8964340009866172E-2</v>
      </c>
    </row>
    <row r="1740" spans="1:7" x14ac:dyDescent="0.35">
      <c r="A1740" t="s">
        <v>98</v>
      </c>
      <c r="E1740">
        <v>1.9876742747287125E-3</v>
      </c>
      <c r="F1740">
        <f t="shared" si="60"/>
        <v>-1.7783878591721116E-2</v>
      </c>
      <c r="G1740">
        <f t="shared" si="61"/>
        <v>-2.8964340009866172E-2</v>
      </c>
    </row>
    <row r="1741" spans="1:7" x14ac:dyDescent="0.35">
      <c r="A1741" t="s">
        <v>98</v>
      </c>
      <c r="E1741">
        <v>3.3235161278669496E-3</v>
      </c>
      <c r="F1741">
        <f t="shared" si="60"/>
        <v>-1.7785921984280292E-2</v>
      </c>
      <c r="G1741">
        <f t="shared" si="61"/>
        <v>-2.9072888178974379E-2</v>
      </c>
    </row>
    <row r="1742" spans="1:7" x14ac:dyDescent="0.35">
      <c r="A1742" t="s">
        <v>98</v>
      </c>
      <c r="E1742">
        <v>3.401155902526446E-4</v>
      </c>
      <c r="F1742">
        <f t="shared" si="60"/>
        <v>-1.7787965376839465E-2</v>
      </c>
      <c r="G1742">
        <f t="shared" si="61"/>
        <v>-2.9072888178974379E-2</v>
      </c>
    </row>
    <row r="1743" spans="1:7" x14ac:dyDescent="0.35">
      <c r="A1743" t="s">
        <v>98</v>
      </c>
      <c r="E1743">
        <v>-1.0940146977219101E-3</v>
      </c>
      <c r="F1743">
        <f t="shared" si="60"/>
        <v>-1.7790008769398642E-2</v>
      </c>
      <c r="G1743">
        <f t="shared" si="61"/>
        <v>-2.9072888178974379E-2</v>
      </c>
    </row>
    <row r="1744" spans="1:7" x14ac:dyDescent="0.35">
      <c r="A1744" t="s">
        <v>98</v>
      </c>
      <c r="E1744">
        <v>-5.3872278602815223E-4</v>
      </c>
      <c r="F1744">
        <f t="shared" si="60"/>
        <v>-1.7792052161957814E-2</v>
      </c>
      <c r="G1744">
        <f t="shared" si="61"/>
        <v>-2.9072888178974379E-2</v>
      </c>
    </row>
    <row r="1745" spans="1:7" x14ac:dyDescent="0.35">
      <c r="A1745" t="s">
        <v>98</v>
      </c>
      <c r="E1745">
        <v>2.186268042091179E-3</v>
      </c>
      <c r="F1745">
        <f t="shared" si="60"/>
        <v>-1.7794095554516991E-2</v>
      </c>
      <c r="G1745">
        <f t="shared" si="61"/>
        <v>-2.9072888178974379E-2</v>
      </c>
    </row>
    <row r="1746" spans="1:7" x14ac:dyDescent="0.35">
      <c r="A1746" t="s">
        <v>98</v>
      </c>
      <c r="E1746">
        <v>-2.0884556339852414E-3</v>
      </c>
      <c r="F1746">
        <f t="shared" si="60"/>
        <v>-1.7796138947076167E-2</v>
      </c>
      <c r="G1746">
        <f t="shared" si="61"/>
        <v>-2.9072888178974379E-2</v>
      </c>
    </row>
    <row r="1747" spans="1:7" x14ac:dyDescent="0.35">
      <c r="A1747" t="s">
        <v>98</v>
      </c>
      <c r="E1747">
        <v>2.6172922710778236E-3</v>
      </c>
      <c r="F1747">
        <f t="shared" si="60"/>
        <v>-1.779818233963534E-2</v>
      </c>
      <c r="G1747">
        <f t="shared" si="61"/>
        <v>-2.9072888178974379E-2</v>
      </c>
    </row>
    <row r="1748" spans="1:7" x14ac:dyDescent="0.35">
      <c r="A1748" t="s">
        <v>99</v>
      </c>
      <c r="B1748" s="3" cm="1">
        <f t="array" ref="B1748">_xlfn.STDEV.S(_xlfn._xlws.FILTER($E$1000:$E$1998, $A$1000:$A$1998="2017-01"))</f>
        <v>7.4418455156427341E-3</v>
      </c>
      <c r="C1748" s="3" cm="1">
        <f t="array" ref="C1748">AVERAGE(_xlfn._xlws.FILTER($E$1000:$E$1998, $A$1000:$A$1998="2017-01"))</f>
        <v>2.2447832714555355E-4</v>
      </c>
      <c r="D1748" s="3" cm="1">
        <f t="array" ref="D1748">_xlfn.PERCENTILE.EXC(_xlfn._xlws.FILTER($E$1498:$E$2489, $A$1498:$A$2489="2017-01"), 0.05)</f>
        <v>-1.2491146394489571E-2</v>
      </c>
      <c r="E1748">
        <v>8.9468325371584757E-3</v>
      </c>
      <c r="F1748">
        <f t="shared" si="60"/>
        <v>-1.7800225732194516E-2</v>
      </c>
      <c r="G1748">
        <f t="shared" si="61"/>
        <v>-2.9072888178974379E-2</v>
      </c>
    </row>
    <row r="1749" spans="1:7" x14ac:dyDescent="0.35">
      <c r="A1749" t="s">
        <v>99</v>
      </c>
      <c r="E1749">
        <v>6.0426742287266237E-6</v>
      </c>
      <c r="F1749">
        <f t="shared" si="60"/>
        <v>-1.7802269124753689E-2</v>
      </c>
      <c r="G1749">
        <f t="shared" si="61"/>
        <v>-2.9072888178974379E-2</v>
      </c>
    </row>
    <row r="1750" spans="1:7" x14ac:dyDescent="0.35">
      <c r="A1750" t="s">
        <v>99</v>
      </c>
      <c r="E1750">
        <v>5.438242499480053E-5</v>
      </c>
      <c r="F1750">
        <f t="shared" si="60"/>
        <v>-1.7804312517312865E-2</v>
      </c>
      <c r="G1750">
        <f t="shared" si="61"/>
        <v>-2.9072888178974379E-2</v>
      </c>
    </row>
    <row r="1751" spans="1:7" x14ac:dyDescent="0.35">
      <c r="A1751" t="s">
        <v>99</v>
      </c>
      <c r="E1751">
        <v>1.2137708826472022E-3</v>
      </c>
      <c r="F1751">
        <f t="shared" si="60"/>
        <v>-1.7806355909872042E-2</v>
      </c>
      <c r="G1751">
        <f t="shared" si="61"/>
        <v>-2.9072888178974379E-2</v>
      </c>
    </row>
    <row r="1752" spans="1:7" x14ac:dyDescent="0.35">
      <c r="A1752" t="s">
        <v>99</v>
      </c>
      <c r="E1752">
        <v>-3.0237902416107381E-3</v>
      </c>
      <c r="F1752">
        <f t="shared" si="60"/>
        <v>-1.7808399302431215E-2</v>
      </c>
      <c r="G1752">
        <f t="shared" si="61"/>
        <v>-2.9072888178974379E-2</v>
      </c>
    </row>
    <row r="1753" spans="1:7" x14ac:dyDescent="0.35">
      <c r="A1753" t="s">
        <v>99</v>
      </c>
      <c r="E1753">
        <v>1.6684462396641389E-3</v>
      </c>
      <c r="F1753">
        <f t="shared" si="60"/>
        <v>-1.7810442694990391E-2</v>
      </c>
      <c r="G1753">
        <f t="shared" si="61"/>
        <v>-2.9072888178974379E-2</v>
      </c>
    </row>
    <row r="1754" spans="1:7" x14ac:dyDescent="0.35">
      <c r="A1754" t="s">
        <v>99</v>
      </c>
      <c r="E1754">
        <v>5.4129649543017931E-3</v>
      </c>
      <c r="F1754">
        <f t="shared" si="60"/>
        <v>-1.7812486087549564E-2</v>
      </c>
      <c r="G1754">
        <f t="shared" si="61"/>
        <v>-2.9072888178974379E-2</v>
      </c>
    </row>
    <row r="1755" spans="1:7" x14ac:dyDescent="0.35">
      <c r="A1755" t="s">
        <v>99</v>
      </c>
      <c r="E1755">
        <v>-1.0802441624281159E-2</v>
      </c>
      <c r="F1755">
        <f t="shared" si="60"/>
        <v>-1.781452948010874E-2</v>
      </c>
      <c r="G1755">
        <f t="shared" si="61"/>
        <v>-2.9072888178974379E-2</v>
      </c>
    </row>
    <row r="1756" spans="1:7" x14ac:dyDescent="0.35">
      <c r="A1756" t="s">
        <v>99</v>
      </c>
      <c r="E1756">
        <v>9.3425277654017695E-3</v>
      </c>
      <c r="F1756">
        <f t="shared" si="60"/>
        <v>-1.7816572872667916E-2</v>
      </c>
      <c r="G1756">
        <f t="shared" si="61"/>
        <v>-2.9072888178974379E-2</v>
      </c>
    </row>
    <row r="1757" spans="1:7" x14ac:dyDescent="0.35">
      <c r="A1757" t="s">
        <v>99</v>
      </c>
      <c r="E1757">
        <v>-6.424310685181611E-3</v>
      </c>
      <c r="F1757">
        <f t="shared" si="60"/>
        <v>-1.7818616265227089E-2</v>
      </c>
      <c r="G1757">
        <f t="shared" si="61"/>
        <v>-2.9072888178974379E-2</v>
      </c>
    </row>
    <row r="1758" spans="1:7" x14ac:dyDescent="0.35">
      <c r="A1758" t="s">
        <v>99</v>
      </c>
      <c r="E1758">
        <v>-1.2738849709964845E-3</v>
      </c>
      <c r="F1758">
        <f t="shared" si="60"/>
        <v>-1.7820659657786266E-2</v>
      </c>
      <c r="G1758">
        <f t="shared" si="61"/>
        <v>-2.9072888178974379E-2</v>
      </c>
    </row>
    <row r="1759" spans="1:7" x14ac:dyDescent="0.35">
      <c r="A1759" t="s">
        <v>99</v>
      </c>
      <c r="E1759">
        <v>5.1332494427658339E-3</v>
      </c>
      <c r="F1759">
        <f t="shared" si="60"/>
        <v>-1.7822703050345438E-2</v>
      </c>
      <c r="G1759">
        <f t="shared" si="61"/>
        <v>-2.9072888178974379E-2</v>
      </c>
    </row>
    <row r="1760" spans="1:7" x14ac:dyDescent="0.35">
      <c r="A1760" t="s">
        <v>99</v>
      </c>
      <c r="E1760">
        <v>-2.155518048307577E-4</v>
      </c>
      <c r="F1760">
        <f t="shared" si="60"/>
        <v>-1.7824746442904615E-2</v>
      </c>
      <c r="G1760">
        <f t="shared" si="61"/>
        <v>-2.9072888178974379E-2</v>
      </c>
    </row>
    <row r="1761" spans="1:7" x14ac:dyDescent="0.35">
      <c r="A1761" t="s">
        <v>99</v>
      </c>
      <c r="E1761">
        <v>2.8621857381734362E-3</v>
      </c>
      <c r="F1761">
        <f t="shared" si="60"/>
        <v>-1.7824906895243256E-2</v>
      </c>
      <c r="G1761">
        <f t="shared" si="61"/>
        <v>-2.9183164078347607E-2</v>
      </c>
    </row>
    <row r="1762" spans="1:7" x14ac:dyDescent="0.35">
      <c r="A1762" t="s">
        <v>99</v>
      </c>
      <c r="E1762">
        <v>-7.2817405720926815E-3</v>
      </c>
      <c r="F1762">
        <f t="shared" si="60"/>
        <v>-1.7825067347581894E-2</v>
      </c>
      <c r="G1762">
        <f t="shared" si="61"/>
        <v>-2.9183164078347607E-2</v>
      </c>
    </row>
    <row r="1763" spans="1:7" x14ac:dyDescent="0.35">
      <c r="A1763" t="s">
        <v>99</v>
      </c>
      <c r="E1763">
        <v>4.2513921658939345E-3</v>
      </c>
      <c r="F1763">
        <f t="shared" si="60"/>
        <v>-1.7825227799920535E-2</v>
      </c>
      <c r="G1763">
        <f t="shared" si="61"/>
        <v>-2.9183164078347607E-2</v>
      </c>
    </row>
    <row r="1764" spans="1:7" x14ac:dyDescent="0.35">
      <c r="A1764" t="s">
        <v>99</v>
      </c>
      <c r="E1764">
        <v>1.8043315894343447E-2</v>
      </c>
      <c r="F1764">
        <f t="shared" si="60"/>
        <v>-1.7825388252259176E-2</v>
      </c>
      <c r="G1764">
        <f t="shared" si="61"/>
        <v>-2.9183164078347607E-2</v>
      </c>
    </row>
    <row r="1765" spans="1:7" x14ac:dyDescent="0.35">
      <c r="A1765" t="s">
        <v>99</v>
      </c>
      <c r="E1765">
        <v>3.6001371390264911E-3</v>
      </c>
      <c r="F1765">
        <f t="shared" si="60"/>
        <v>-1.7825548704597814E-2</v>
      </c>
      <c r="G1765">
        <f t="shared" si="61"/>
        <v>-2.9183164078347607E-2</v>
      </c>
    </row>
    <row r="1766" spans="1:7" x14ac:dyDescent="0.35">
      <c r="A1766" t="s">
        <v>99</v>
      </c>
      <c r="E1766">
        <v>-2.9041262186125351E-3</v>
      </c>
      <c r="F1766">
        <f t="shared" si="60"/>
        <v>-1.7825709156936455E-2</v>
      </c>
      <c r="G1766">
        <f t="shared" si="61"/>
        <v>-2.9183164078347607E-2</v>
      </c>
    </row>
    <row r="1767" spans="1:7" x14ac:dyDescent="0.35">
      <c r="A1767" t="s">
        <v>99</v>
      </c>
      <c r="E1767">
        <v>-1.1268343486692674E-2</v>
      </c>
      <c r="F1767">
        <f t="shared" si="60"/>
        <v>-1.7825869609275097E-2</v>
      </c>
      <c r="G1767">
        <f t="shared" si="61"/>
        <v>-2.9183164078347607E-2</v>
      </c>
    </row>
    <row r="1768" spans="1:7" x14ac:dyDescent="0.35">
      <c r="A1768" t="s">
        <v>99</v>
      </c>
      <c r="E1768">
        <v>-1.2627013384244781E-2</v>
      </c>
      <c r="F1768">
        <f t="shared" si="60"/>
        <v>-1.7826030061613738E-2</v>
      </c>
      <c r="G1768">
        <f t="shared" si="61"/>
        <v>-2.9183164078347607E-2</v>
      </c>
    </row>
    <row r="1769" spans="1:7" x14ac:dyDescent="0.35">
      <c r="A1769" t="s">
        <v>100</v>
      </c>
      <c r="B1769" s="3" cm="1">
        <f t="array" ref="B1769">_xlfn.STDEV.S(_xlfn._xlws.FILTER($E$1000:$E$1998, $A$1000:$A$1998="2017-02"))</f>
        <v>6.4037099901725148E-3</v>
      </c>
      <c r="C1769" s="3" cm="1">
        <f t="array" ref="C1769">AVERAGE(_xlfn._xlws.FILTER($E$1000:$E$1998, $A$1000:$A$1998="2017-02"))</f>
        <v>1.2799311798051354E-3</v>
      </c>
      <c r="D1769" s="3" cm="1">
        <f t="array" ref="D1769">_xlfn.PERCENTILE.EXC(_xlfn._xlws.FILTER($E$1498:$E$2489, $A$1498:$A$2489="2017-02"), 0.05)</f>
        <v>-1.2225593457476855E-2</v>
      </c>
      <c r="E1769">
        <v>1.0708532362563795E-2</v>
      </c>
      <c r="F1769">
        <f t="shared" si="60"/>
        <v>-1.7826190513952376E-2</v>
      </c>
      <c r="G1769">
        <f t="shared" si="61"/>
        <v>-2.9183164078347607E-2</v>
      </c>
    </row>
    <row r="1770" spans="1:7" x14ac:dyDescent="0.35">
      <c r="A1770" t="s">
        <v>100</v>
      </c>
      <c r="E1770">
        <v>-2.7096156344625882E-3</v>
      </c>
      <c r="F1770">
        <f t="shared" si="60"/>
        <v>-1.7826350966291017E-2</v>
      </c>
      <c r="G1770">
        <f t="shared" si="61"/>
        <v>-2.9183164078347607E-2</v>
      </c>
    </row>
    <row r="1771" spans="1:7" x14ac:dyDescent="0.35">
      <c r="A1771" t="s">
        <v>100</v>
      </c>
      <c r="E1771">
        <v>2.0223861075099338E-3</v>
      </c>
      <c r="F1771">
        <f t="shared" si="60"/>
        <v>-1.7826511418629658E-2</v>
      </c>
      <c r="G1771">
        <f t="shared" si="61"/>
        <v>-2.9183164078347607E-2</v>
      </c>
    </row>
    <row r="1772" spans="1:7" x14ac:dyDescent="0.35">
      <c r="A1772" t="s">
        <v>100</v>
      </c>
      <c r="E1772">
        <v>-1.2231747147812874E-2</v>
      </c>
      <c r="F1772">
        <f t="shared" si="60"/>
        <v>-1.7826671870968296E-2</v>
      </c>
      <c r="G1772">
        <f t="shared" si="61"/>
        <v>-2.9183164078347607E-2</v>
      </c>
    </row>
    <row r="1773" spans="1:7" x14ac:dyDescent="0.35">
      <c r="A1773" t="s">
        <v>100</v>
      </c>
      <c r="E1773">
        <v>3.4346292624080716E-3</v>
      </c>
      <c r="F1773">
        <f t="shared" si="60"/>
        <v>-1.7826832323306938E-2</v>
      </c>
      <c r="G1773">
        <f t="shared" si="61"/>
        <v>-2.9183164078347607E-2</v>
      </c>
    </row>
    <row r="1774" spans="1:7" x14ac:dyDescent="0.35">
      <c r="A1774" t="s">
        <v>100</v>
      </c>
      <c r="E1774">
        <v>-5.2483846832970728E-4</v>
      </c>
      <c r="F1774">
        <f t="shared" si="60"/>
        <v>-1.7826992775645579E-2</v>
      </c>
      <c r="G1774">
        <f t="shared" si="61"/>
        <v>-2.9183164078347607E-2</v>
      </c>
    </row>
    <row r="1775" spans="1:7" x14ac:dyDescent="0.35">
      <c r="A1775" t="s">
        <v>100</v>
      </c>
      <c r="E1775">
        <v>8.5810041146868292E-3</v>
      </c>
      <c r="F1775">
        <f t="shared" si="60"/>
        <v>-1.782715322798422E-2</v>
      </c>
      <c r="G1775">
        <f t="shared" si="61"/>
        <v>-2.9183164078347607E-2</v>
      </c>
    </row>
    <row r="1776" spans="1:7" x14ac:dyDescent="0.35">
      <c r="A1776" t="s">
        <v>100</v>
      </c>
      <c r="E1776">
        <v>2.0686558930630909E-3</v>
      </c>
      <c r="F1776">
        <f t="shared" si="60"/>
        <v>-1.7827313680322858E-2</v>
      </c>
      <c r="G1776">
        <f t="shared" si="61"/>
        <v>-2.9183164078347607E-2</v>
      </c>
    </row>
    <row r="1777" spans="1:7" x14ac:dyDescent="0.35">
      <c r="A1777" t="s">
        <v>100</v>
      </c>
      <c r="E1777">
        <v>9.1684586041717829E-3</v>
      </c>
      <c r="F1777">
        <f t="shared" si="60"/>
        <v>-1.7827474132661499E-2</v>
      </c>
      <c r="G1777">
        <f t="shared" si="61"/>
        <v>-2.9183164078347607E-2</v>
      </c>
    </row>
    <row r="1778" spans="1:7" x14ac:dyDescent="0.35">
      <c r="A1778" t="s">
        <v>100</v>
      </c>
      <c r="E1778">
        <v>-2.2254083971055976E-4</v>
      </c>
      <c r="F1778">
        <f t="shared" si="60"/>
        <v>-1.7827634585000141E-2</v>
      </c>
      <c r="G1778">
        <f t="shared" si="61"/>
        <v>-2.9183164078347607E-2</v>
      </c>
    </row>
    <row r="1779" spans="1:7" x14ac:dyDescent="0.35">
      <c r="A1779" t="s">
        <v>100</v>
      </c>
      <c r="E1779">
        <v>1.8773020916289379E-3</v>
      </c>
      <c r="F1779">
        <f t="shared" si="60"/>
        <v>-1.7827795037338778E-2</v>
      </c>
      <c r="G1779">
        <f t="shared" si="61"/>
        <v>-2.9183164078347607E-2</v>
      </c>
    </row>
    <row r="1780" spans="1:7" x14ac:dyDescent="0.35">
      <c r="A1780" t="s">
        <v>100</v>
      </c>
      <c r="E1780">
        <v>-3.1157712913880268E-3</v>
      </c>
      <c r="F1780">
        <f t="shared" si="60"/>
        <v>-1.782795548967742E-2</v>
      </c>
      <c r="G1780">
        <f t="shared" si="61"/>
        <v>-2.9183164078347607E-2</v>
      </c>
    </row>
    <row r="1781" spans="1:7" x14ac:dyDescent="0.35">
      <c r="A1781" t="s">
        <v>100</v>
      </c>
      <c r="E1781">
        <v>-1.8712049624796781E-5</v>
      </c>
      <c r="F1781">
        <f t="shared" si="60"/>
        <v>-1.7831725057208526E-2</v>
      </c>
      <c r="G1781">
        <f t="shared" si="61"/>
        <v>-2.9295591886156228E-2</v>
      </c>
    </row>
    <row r="1782" spans="1:7" x14ac:dyDescent="0.35">
      <c r="A1782" t="s">
        <v>100</v>
      </c>
      <c r="E1782">
        <v>5.9869653198543682E-3</v>
      </c>
      <c r="F1782">
        <f t="shared" si="60"/>
        <v>-1.7835494624739635E-2</v>
      </c>
      <c r="G1782">
        <f t="shared" si="61"/>
        <v>-2.9295591886156228E-2</v>
      </c>
    </row>
    <row r="1783" spans="1:7" x14ac:dyDescent="0.35">
      <c r="A1783" t="s">
        <v>100</v>
      </c>
      <c r="E1783">
        <v>1.1756332369529408E-2</v>
      </c>
      <c r="F1783">
        <f t="shared" si="60"/>
        <v>-1.7839264192270742E-2</v>
      </c>
      <c r="G1783">
        <f t="shared" si="61"/>
        <v>-2.9295591886156228E-2</v>
      </c>
    </row>
    <row r="1784" spans="1:7" x14ac:dyDescent="0.35">
      <c r="A1784" t="s">
        <v>100</v>
      </c>
      <c r="E1784">
        <v>2.5953361965635005E-3</v>
      </c>
      <c r="F1784">
        <f t="shared" si="60"/>
        <v>-1.7843033759801851E-2</v>
      </c>
      <c r="G1784">
        <f t="shared" si="61"/>
        <v>-2.9295591886156228E-2</v>
      </c>
    </row>
    <row r="1785" spans="1:7" x14ac:dyDescent="0.35">
      <c r="A1785" t="s">
        <v>100</v>
      </c>
      <c r="E1785">
        <v>-4.2394709544265156E-3</v>
      </c>
      <c r="F1785">
        <f t="shared" si="60"/>
        <v>-1.7846803327332957E-2</v>
      </c>
      <c r="G1785">
        <f t="shared" si="61"/>
        <v>-2.9295591886156228E-2</v>
      </c>
    </row>
    <row r="1786" spans="1:7" x14ac:dyDescent="0.35">
      <c r="A1786" t="s">
        <v>100</v>
      </c>
      <c r="E1786">
        <v>-1.2108673341092497E-2</v>
      </c>
      <c r="F1786">
        <f t="shared" si="60"/>
        <v>-1.7850572894864067E-2</v>
      </c>
      <c r="G1786">
        <f t="shared" si="61"/>
        <v>-2.9295591886156228E-2</v>
      </c>
    </row>
    <row r="1787" spans="1:7" x14ac:dyDescent="0.35">
      <c r="A1787" t="s">
        <v>100</v>
      </c>
      <c r="E1787">
        <v>1.5778762050835144E-3</v>
      </c>
      <c r="F1787">
        <f t="shared" si="60"/>
        <v>-1.7854342462395173E-2</v>
      </c>
      <c r="G1787">
        <f t="shared" si="61"/>
        <v>-2.9295591886156228E-2</v>
      </c>
    </row>
    <row r="1788" spans="1:7" x14ac:dyDescent="0.35">
      <c r="A1788" t="s">
        <v>100</v>
      </c>
      <c r="E1788">
        <v>9.9251479588703608E-4</v>
      </c>
      <c r="F1788">
        <f t="shared" si="60"/>
        <v>-1.7858112029926279E-2</v>
      </c>
      <c r="G1788">
        <f t="shared" si="61"/>
        <v>-2.9295591886156228E-2</v>
      </c>
    </row>
    <row r="1789" spans="1:7" x14ac:dyDescent="0.35">
      <c r="A1789" t="s">
        <v>101</v>
      </c>
      <c r="B1789" s="3" cm="1">
        <f t="array" ref="B1789">_xlfn.STDEV.S(_xlfn._xlws.FILTER($E$1000:$E$1998, $A$1000:$A$1998="2017-03"))</f>
        <v>6.32202241344758E-3</v>
      </c>
      <c r="C1789" s="3" cm="1">
        <f t="array" ref="C1789">AVERAGE(_xlfn._xlws.FILTER($E$1000:$E$1998, $A$1000:$A$1998="2017-03"))</f>
        <v>1.7232029225359765E-3</v>
      </c>
      <c r="D1789" s="3" cm="1">
        <f t="array" ref="D1789">_xlfn.PERCENTILE.EXC(_xlfn._xlws.FILTER($E$1498:$E$2489, $A$1498:$A$2489="2017-03"), 0.05)</f>
        <v>-7.197593701393089E-3</v>
      </c>
      <c r="E1789">
        <v>1.9478809799117147E-2</v>
      </c>
      <c r="F1789">
        <f t="shared" si="60"/>
        <v>-1.7861881597457389E-2</v>
      </c>
      <c r="G1789">
        <f t="shared" si="61"/>
        <v>-2.9295591886156228E-2</v>
      </c>
    </row>
    <row r="1790" spans="1:7" x14ac:dyDescent="0.35">
      <c r="A1790" t="s">
        <v>101</v>
      </c>
      <c r="E1790">
        <v>-6.3166378356362758E-4</v>
      </c>
      <c r="F1790">
        <f t="shared" si="60"/>
        <v>-1.7865651164988498E-2</v>
      </c>
      <c r="G1790">
        <f t="shared" si="61"/>
        <v>-2.9295591886156228E-2</v>
      </c>
    </row>
    <row r="1791" spans="1:7" x14ac:dyDescent="0.35">
      <c r="A1791" t="s">
        <v>101</v>
      </c>
      <c r="E1791">
        <v>-2.6744810732987133E-3</v>
      </c>
      <c r="F1791">
        <f t="shared" si="60"/>
        <v>-1.7869420732519604E-2</v>
      </c>
      <c r="G1791">
        <f t="shared" si="61"/>
        <v>-2.9295591886156228E-2</v>
      </c>
    </row>
    <row r="1792" spans="1:7" x14ac:dyDescent="0.35">
      <c r="A1792" t="s">
        <v>101</v>
      </c>
      <c r="E1792">
        <v>-5.750094223013185E-3</v>
      </c>
      <c r="F1792">
        <f t="shared" si="60"/>
        <v>-1.7873190300050711E-2</v>
      </c>
      <c r="G1792">
        <f t="shared" si="61"/>
        <v>-2.9295591886156228E-2</v>
      </c>
    </row>
    <row r="1793" spans="1:7" x14ac:dyDescent="0.35">
      <c r="A1793" t="s">
        <v>101</v>
      </c>
      <c r="E1793">
        <v>6.4703440651583239E-4</v>
      </c>
      <c r="F1793">
        <f t="shared" si="60"/>
        <v>-1.787695986758182E-2</v>
      </c>
      <c r="G1793">
        <f t="shared" si="61"/>
        <v>-2.9295591886156228E-2</v>
      </c>
    </row>
    <row r="1794" spans="1:7" x14ac:dyDescent="0.35">
      <c r="A1794" t="s">
        <v>101</v>
      </c>
      <c r="E1794">
        <v>9.7771111221506271E-5</v>
      </c>
      <c r="F1794">
        <f t="shared" si="60"/>
        <v>-1.7880729435112926E-2</v>
      </c>
      <c r="G1794">
        <f t="shared" si="61"/>
        <v>-2.9295591886156228E-2</v>
      </c>
    </row>
    <row r="1795" spans="1:7" x14ac:dyDescent="0.35">
      <c r="A1795" t="s">
        <v>101</v>
      </c>
      <c r="E1795">
        <v>9.2542717822043032E-4</v>
      </c>
      <c r="F1795">
        <f t="shared" si="60"/>
        <v>-1.7884499002644036E-2</v>
      </c>
      <c r="G1795">
        <f t="shared" si="61"/>
        <v>-2.9295591886156228E-2</v>
      </c>
    </row>
    <row r="1796" spans="1:7" x14ac:dyDescent="0.35">
      <c r="A1796" t="s">
        <v>101</v>
      </c>
      <c r="E1796">
        <v>-1.2705935363688456E-3</v>
      </c>
      <c r="F1796">
        <f t="shared" ref="F1796:F1859" si="62">_xlfn.PERCENTILE.EXC(E1796:E5611,0.05)</f>
        <v>-1.7888268570175142E-2</v>
      </c>
      <c r="G1796">
        <f t="shared" ref="G1796:G1859" si="63">AVERAGEIFS(E1796:E5612,E1796:E5612,"&lt;=" &amp; F1796)</f>
        <v>-2.9295591886156228E-2</v>
      </c>
    </row>
    <row r="1797" spans="1:7" x14ac:dyDescent="0.35">
      <c r="A1797" t="s">
        <v>101</v>
      </c>
      <c r="E1797">
        <v>2.2418716527471314E-3</v>
      </c>
      <c r="F1797">
        <f t="shared" si="62"/>
        <v>-1.7892038137706252E-2</v>
      </c>
      <c r="G1797">
        <f t="shared" si="63"/>
        <v>-2.9295591886156228E-2</v>
      </c>
    </row>
    <row r="1798" spans="1:7" x14ac:dyDescent="0.35">
      <c r="A1798" t="s">
        <v>101</v>
      </c>
      <c r="E1798">
        <v>-1.0342460563994061E-4</v>
      </c>
      <c r="F1798">
        <f t="shared" si="62"/>
        <v>-1.7895807705237358E-2</v>
      </c>
      <c r="G1798">
        <f t="shared" si="63"/>
        <v>-2.9295591886156228E-2</v>
      </c>
    </row>
    <row r="1799" spans="1:7" x14ac:dyDescent="0.35">
      <c r="A1799" t="s">
        <v>101</v>
      </c>
      <c r="E1799">
        <v>1.7567652045128352E-3</v>
      </c>
      <c r="F1799">
        <f t="shared" si="62"/>
        <v>-1.7899577272768464E-2</v>
      </c>
      <c r="G1799">
        <f t="shared" si="63"/>
        <v>-2.9295591886156228E-2</v>
      </c>
    </row>
    <row r="1800" spans="1:7" x14ac:dyDescent="0.35">
      <c r="A1800" t="s">
        <v>101</v>
      </c>
      <c r="E1800">
        <v>6.0855911766509027E-3</v>
      </c>
      <c r="F1800">
        <f t="shared" si="62"/>
        <v>-1.7903346840299574E-2</v>
      </c>
      <c r="G1800">
        <f t="shared" si="63"/>
        <v>-2.9295591886156228E-2</v>
      </c>
    </row>
    <row r="1801" spans="1:7" x14ac:dyDescent="0.35">
      <c r="A1801" t="s">
        <v>101</v>
      </c>
      <c r="E1801">
        <v>9.9758387852867149E-4</v>
      </c>
      <c r="F1801">
        <f t="shared" si="62"/>
        <v>-1.7905051332117089E-2</v>
      </c>
      <c r="G1801">
        <f t="shared" si="63"/>
        <v>-2.9409514336614796E-2</v>
      </c>
    </row>
    <row r="1802" spans="1:7" x14ac:dyDescent="0.35">
      <c r="A1802" t="s">
        <v>101</v>
      </c>
      <c r="E1802">
        <v>-3.5066918932481982E-3</v>
      </c>
      <c r="F1802">
        <f t="shared" si="62"/>
        <v>-1.7906755823934604E-2</v>
      </c>
      <c r="G1802">
        <f t="shared" si="63"/>
        <v>-2.9409514336614796E-2</v>
      </c>
    </row>
    <row r="1803" spans="1:7" x14ac:dyDescent="0.35">
      <c r="A1803" t="s">
        <v>101</v>
      </c>
      <c r="E1803">
        <v>-7.5594685709880656E-3</v>
      </c>
      <c r="F1803">
        <f t="shared" si="62"/>
        <v>-1.790846031575212E-2</v>
      </c>
      <c r="G1803">
        <f t="shared" si="63"/>
        <v>-2.9409514336614796E-2</v>
      </c>
    </row>
    <row r="1804" spans="1:7" x14ac:dyDescent="0.35">
      <c r="A1804" t="s">
        <v>101</v>
      </c>
      <c r="E1804">
        <v>-4.8612676260918744E-3</v>
      </c>
      <c r="F1804">
        <f t="shared" si="62"/>
        <v>-1.7910164807569635E-2</v>
      </c>
      <c r="G1804">
        <f t="shared" si="63"/>
        <v>-2.9409514336614796E-2</v>
      </c>
    </row>
    <row r="1805" spans="1:7" x14ac:dyDescent="0.35">
      <c r="A1805" t="s">
        <v>101</v>
      </c>
      <c r="E1805">
        <v>1.1323302769293967E-2</v>
      </c>
      <c r="F1805">
        <f t="shared" si="62"/>
        <v>-1.7911869299387151E-2</v>
      </c>
      <c r="G1805">
        <f t="shared" si="63"/>
        <v>-2.9409514336614796E-2</v>
      </c>
    </row>
    <row r="1806" spans="1:7" x14ac:dyDescent="0.35">
      <c r="A1806" t="s">
        <v>101</v>
      </c>
      <c r="E1806">
        <v>2.040330197380319E-3</v>
      </c>
      <c r="F1806">
        <f t="shared" si="62"/>
        <v>-1.791357379120467E-2</v>
      </c>
      <c r="G1806">
        <f t="shared" si="63"/>
        <v>-2.9409514336614796E-2</v>
      </c>
    </row>
    <row r="1807" spans="1:7" x14ac:dyDescent="0.35">
      <c r="A1807" t="s">
        <v>101</v>
      </c>
      <c r="E1807">
        <v>-5.6690955035987173E-3</v>
      </c>
      <c r="F1807">
        <f t="shared" si="62"/>
        <v>-1.7915278283022185E-2</v>
      </c>
      <c r="G1807">
        <f t="shared" si="63"/>
        <v>-2.9409514336614796E-2</v>
      </c>
    </row>
    <row r="1808" spans="1:7" x14ac:dyDescent="0.35">
      <c r="A1808" t="s">
        <v>101</v>
      </c>
      <c r="E1808">
        <v>1.270233587345041E-2</v>
      </c>
      <c r="F1808">
        <f t="shared" si="62"/>
        <v>-1.7916982774839701E-2</v>
      </c>
      <c r="G1808">
        <f t="shared" si="63"/>
        <v>-2.9409514336614796E-2</v>
      </c>
    </row>
    <row r="1809" spans="1:7" x14ac:dyDescent="0.35">
      <c r="A1809" t="s">
        <v>101</v>
      </c>
      <c r="E1809">
        <v>4.4003911280882787E-3</v>
      </c>
      <c r="F1809">
        <f t="shared" si="62"/>
        <v>-1.7918687266657216E-2</v>
      </c>
      <c r="G1809">
        <f t="shared" si="63"/>
        <v>-2.9409514336614796E-2</v>
      </c>
    </row>
    <row r="1810" spans="1:7" x14ac:dyDescent="0.35">
      <c r="A1810" t="s">
        <v>101</v>
      </c>
      <c r="E1810">
        <v>4.3688740894707581E-3</v>
      </c>
      <c r="F1810">
        <f t="shared" si="62"/>
        <v>-1.7920391758474732E-2</v>
      </c>
      <c r="G1810">
        <f t="shared" si="63"/>
        <v>-2.9409514336614796E-2</v>
      </c>
    </row>
    <row r="1811" spans="1:7" x14ac:dyDescent="0.35">
      <c r="A1811" t="s">
        <v>101</v>
      </c>
      <c r="E1811">
        <v>4.5943595689404287E-3</v>
      </c>
      <c r="F1811">
        <f t="shared" si="62"/>
        <v>-1.7922096250292247E-2</v>
      </c>
      <c r="G1811">
        <f t="shared" si="63"/>
        <v>-2.9409514336614796E-2</v>
      </c>
    </row>
    <row r="1812" spans="1:7" x14ac:dyDescent="0.35">
      <c r="A1812" t="s">
        <v>102</v>
      </c>
      <c r="B1812" s="3" cm="1">
        <f t="array" ref="B1812">_xlfn.STDEV.S(_xlfn._xlws.FILTER($E$1000:$E$1998, $A$1000:$A$1998="2017-04"))</f>
        <v>8.7032642550086622E-3</v>
      </c>
      <c r="C1812" s="3" cm="1">
        <f t="array" ref="C1812">AVERAGE(_xlfn._xlws.FILTER($E$1000:$E$1998, $A$1000:$A$1998="2017-04"))</f>
        <v>5.6178054783555676E-4</v>
      </c>
      <c r="D1812" s="3" cm="1">
        <f t="array" ref="D1812">_xlfn.PERCENTILE.INC(_xlfn._xlws.FILTER($E$1498:$E$2489, $A$1498:$A$2489="2017-04"), 0.05)</f>
        <v>-5.8472083368690912E-3</v>
      </c>
      <c r="E1812">
        <v>-4.5315373757153768E-3</v>
      </c>
      <c r="F1812">
        <f t="shared" si="62"/>
        <v>-1.7923800742109763E-2</v>
      </c>
      <c r="G1812">
        <f t="shared" si="63"/>
        <v>-2.9409514336614796E-2</v>
      </c>
    </row>
    <row r="1813" spans="1:7" x14ac:dyDescent="0.35">
      <c r="A1813" t="s">
        <v>102</v>
      </c>
      <c r="E1813">
        <v>2.0489388794675974E-3</v>
      </c>
      <c r="F1813">
        <f t="shared" si="62"/>
        <v>-1.7925505233927278E-2</v>
      </c>
      <c r="G1813">
        <f t="shared" si="63"/>
        <v>-2.9409514336614796E-2</v>
      </c>
    </row>
    <row r="1814" spans="1:7" x14ac:dyDescent="0.35">
      <c r="A1814" t="s">
        <v>102</v>
      </c>
      <c r="E1814">
        <v>-5.2898341628281071E-3</v>
      </c>
      <c r="F1814">
        <f t="shared" si="62"/>
        <v>-1.7927209725744794E-2</v>
      </c>
      <c r="G1814">
        <f t="shared" si="63"/>
        <v>-2.9409514336614796E-2</v>
      </c>
    </row>
    <row r="1815" spans="1:7" x14ac:dyDescent="0.35">
      <c r="A1815" t="s">
        <v>102</v>
      </c>
      <c r="E1815">
        <v>1.092094774743787E-3</v>
      </c>
      <c r="F1815">
        <f t="shared" si="62"/>
        <v>-1.7928914217562313E-2</v>
      </c>
      <c r="G1815">
        <f t="shared" si="63"/>
        <v>-2.9409514336614796E-2</v>
      </c>
    </row>
    <row r="1816" spans="1:7" x14ac:dyDescent="0.35">
      <c r="A1816" t="s">
        <v>102</v>
      </c>
      <c r="E1816">
        <v>-4.7677559942972957E-4</v>
      </c>
      <c r="F1816">
        <f t="shared" si="62"/>
        <v>-1.7930618709379828E-2</v>
      </c>
      <c r="G1816">
        <f t="shared" si="63"/>
        <v>-2.9409514336614796E-2</v>
      </c>
    </row>
    <row r="1817" spans="1:7" x14ac:dyDescent="0.35">
      <c r="A1817" t="s">
        <v>102</v>
      </c>
      <c r="E1817">
        <v>-2.0093695426533159E-3</v>
      </c>
      <c r="F1817">
        <f t="shared" si="62"/>
        <v>-1.7932323201197344E-2</v>
      </c>
      <c r="G1817">
        <f t="shared" si="63"/>
        <v>-2.9409514336614796E-2</v>
      </c>
    </row>
    <row r="1818" spans="1:7" x14ac:dyDescent="0.35">
      <c r="A1818" t="s">
        <v>102</v>
      </c>
      <c r="E1818">
        <v>-5.0263315936553993E-3</v>
      </c>
      <c r="F1818">
        <f t="shared" si="62"/>
        <v>-1.7934027693014859E-2</v>
      </c>
      <c r="G1818">
        <f t="shared" si="63"/>
        <v>-2.9409514336614796E-2</v>
      </c>
    </row>
    <row r="1819" spans="1:7" x14ac:dyDescent="0.35">
      <c r="A1819" t="s">
        <v>102</v>
      </c>
      <c r="E1819">
        <v>1.2636840743061508E-3</v>
      </c>
      <c r="F1819">
        <f t="shared" si="62"/>
        <v>-1.7935732184832374E-2</v>
      </c>
      <c r="G1819">
        <f t="shared" si="63"/>
        <v>-2.9409514336614796E-2</v>
      </c>
    </row>
    <row r="1820" spans="1:7" x14ac:dyDescent="0.35">
      <c r="A1820" t="s">
        <v>102</v>
      </c>
      <c r="E1820">
        <v>-3.7669484901198145E-3</v>
      </c>
      <c r="F1820">
        <f t="shared" si="62"/>
        <v>-1.793743667664989E-2</v>
      </c>
      <c r="G1820">
        <f t="shared" si="63"/>
        <v>-2.9409514336614796E-2</v>
      </c>
    </row>
    <row r="1821" spans="1:7" x14ac:dyDescent="0.35">
      <c r="A1821" t="s">
        <v>102</v>
      </c>
      <c r="E1821">
        <v>-9.005661989768007E-3</v>
      </c>
      <c r="F1821">
        <f t="shared" si="62"/>
        <v>-1.7937537194875924E-2</v>
      </c>
      <c r="G1821">
        <f t="shared" si="63"/>
        <v>-2.9525393908937679E-2</v>
      </c>
    </row>
    <row r="1822" spans="1:7" x14ac:dyDescent="0.35">
      <c r="A1822" t="s">
        <v>102</v>
      </c>
      <c r="E1822">
        <v>1.3332286046593518E-3</v>
      </c>
      <c r="F1822">
        <f t="shared" si="62"/>
        <v>-1.7937637713101962E-2</v>
      </c>
      <c r="G1822">
        <f t="shared" si="63"/>
        <v>-2.9525393908937679E-2</v>
      </c>
    </row>
    <row r="1823" spans="1:7" x14ac:dyDescent="0.35">
      <c r="A1823" t="s">
        <v>102</v>
      </c>
      <c r="E1823">
        <v>9.0418438876780174E-4</v>
      </c>
      <c r="F1823">
        <f t="shared" si="62"/>
        <v>-1.7937738231327997E-2</v>
      </c>
      <c r="G1823">
        <f t="shared" si="63"/>
        <v>-2.9525393908937679E-2</v>
      </c>
    </row>
    <row r="1824" spans="1:7" x14ac:dyDescent="0.35">
      <c r="A1824" t="s">
        <v>102</v>
      </c>
      <c r="E1824">
        <v>1.7652519195026882E-3</v>
      </c>
      <c r="F1824">
        <f t="shared" si="62"/>
        <v>-1.7937838749554031E-2</v>
      </c>
      <c r="G1824">
        <f t="shared" si="63"/>
        <v>-2.9525393908937679E-2</v>
      </c>
    </row>
    <row r="1825" spans="1:7" x14ac:dyDescent="0.35">
      <c r="A1825" t="s">
        <v>102</v>
      </c>
      <c r="E1825">
        <v>3.3174562236652202E-2</v>
      </c>
      <c r="F1825">
        <f t="shared" si="62"/>
        <v>-1.7937939267780069E-2</v>
      </c>
      <c r="G1825">
        <f t="shared" si="63"/>
        <v>-2.9525393908937679E-2</v>
      </c>
    </row>
    <row r="1826" spans="1:7" x14ac:dyDescent="0.35">
      <c r="A1826" t="s">
        <v>102</v>
      </c>
      <c r="E1826">
        <v>9.6781889600902127E-4</v>
      </c>
      <c r="F1826">
        <f t="shared" si="62"/>
        <v>-1.7938039786006103E-2</v>
      </c>
      <c r="G1826">
        <f t="shared" si="63"/>
        <v>-2.9525393908937679E-2</v>
      </c>
    </row>
    <row r="1827" spans="1:7" x14ac:dyDescent="0.35">
      <c r="A1827" t="s">
        <v>102</v>
      </c>
      <c r="E1827">
        <v>4.619115521521548E-4</v>
      </c>
      <c r="F1827">
        <f t="shared" si="62"/>
        <v>-1.7938140304232138E-2</v>
      </c>
      <c r="G1827">
        <f t="shared" si="63"/>
        <v>-2.9525393908937679E-2</v>
      </c>
    </row>
    <row r="1828" spans="1:7" x14ac:dyDescent="0.35">
      <c r="A1828" t="s">
        <v>102</v>
      </c>
      <c r="E1828">
        <v>-2.328570089908727E-3</v>
      </c>
      <c r="F1828">
        <f t="shared" si="62"/>
        <v>-1.7938240822458172E-2</v>
      </c>
      <c r="G1828">
        <f t="shared" si="63"/>
        <v>-2.9525393908937679E-2</v>
      </c>
    </row>
    <row r="1829" spans="1:7" x14ac:dyDescent="0.35">
      <c r="A1829" t="s">
        <v>102</v>
      </c>
      <c r="E1829">
        <v>-4.6459662114225569E-4</v>
      </c>
      <c r="F1829">
        <f t="shared" si="62"/>
        <v>-1.793834134068421E-2</v>
      </c>
      <c r="G1829">
        <f t="shared" si="63"/>
        <v>-2.9525393908937679E-2</v>
      </c>
    </row>
    <row r="1830" spans="1:7" x14ac:dyDescent="0.35">
      <c r="A1830" t="s">
        <v>103</v>
      </c>
      <c r="B1830" s="3" cm="1">
        <f t="array" ref="B1830">_xlfn.STDEV.S(_xlfn._xlws.FILTER($E$1000:$E$1998, $A$1000:$A$1998="2017-05"))</f>
        <v>4.6980496267827491E-3</v>
      </c>
      <c r="C1830" s="3" cm="1">
        <f t="array" ref="C1830">AVERAGE(_xlfn._xlws.FILTER($E$1000:$E$1998, $A$1000:$A$1998="2017-05"))</f>
        <v>6.73058650244025E-4</v>
      </c>
      <c r="D1830" s="3" cm="1">
        <f t="array" ref="D1830">_xlfn.PERCENTILE.EXC(_xlfn._xlws.FILTER($E$1498:$E$2489, $A$1498:$A$2489="2017-05"), 0.05)</f>
        <v>-1.2601322645513202E-2</v>
      </c>
      <c r="E1830">
        <v>5.6033380112070251E-3</v>
      </c>
      <c r="F1830">
        <f t="shared" si="62"/>
        <v>-1.7938441858910244E-2</v>
      </c>
      <c r="G1830">
        <f t="shared" si="63"/>
        <v>-2.9525393908937679E-2</v>
      </c>
    </row>
    <row r="1831" spans="1:7" x14ac:dyDescent="0.35">
      <c r="A1831" t="s">
        <v>103</v>
      </c>
      <c r="E1831">
        <v>1.592923094449854E-3</v>
      </c>
      <c r="F1831">
        <f t="shared" si="62"/>
        <v>-1.7938542377136279E-2</v>
      </c>
      <c r="G1831">
        <f t="shared" si="63"/>
        <v>-2.9525393908937679E-2</v>
      </c>
    </row>
    <row r="1832" spans="1:7" x14ac:dyDescent="0.35">
      <c r="A1832" t="s">
        <v>103</v>
      </c>
      <c r="E1832">
        <v>9.5283379266859272E-3</v>
      </c>
      <c r="F1832">
        <f t="shared" si="62"/>
        <v>-1.7938642895362317E-2</v>
      </c>
      <c r="G1832">
        <f t="shared" si="63"/>
        <v>-2.9525393908937679E-2</v>
      </c>
    </row>
    <row r="1833" spans="1:7" x14ac:dyDescent="0.35">
      <c r="A1833" t="s">
        <v>103</v>
      </c>
      <c r="E1833">
        <v>5.4493254609044237E-3</v>
      </c>
      <c r="F1833">
        <f t="shared" si="62"/>
        <v>-1.7938743413588351E-2</v>
      </c>
      <c r="G1833">
        <f t="shared" si="63"/>
        <v>-2.9525393908937679E-2</v>
      </c>
    </row>
    <row r="1834" spans="1:7" x14ac:dyDescent="0.35">
      <c r="A1834" t="s">
        <v>103</v>
      </c>
      <c r="E1834">
        <v>-1.7582636604084976E-3</v>
      </c>
      <c r="F1834">
        <f t="shared" si="62"/>
        <v>-1.7938843931814386E-2</v>
      </c>
      <c r="G1834">
        <f t="shared" si="63"/>
        <v>-2.9525393908937679E-2</v>
      </c>
    </row>
    <row r="1835" spans="1:7" x14ac:dyDescent="0.35">
      <c r="A1835" t="s">
        <v>103</v>
      </c>
      <c r="E1835">
        <v>4.2894821126366689E-3</v>
      </c>
      <c r="F1835">
        <f t="shared" si="62"/>
        <v>-1.793894445004042E-2</v>
      </c>
      <c r="G1835">
        <f t="shared" si="63"/>
        <v>-2.9525393908937679E-2</v>
      </c>
    </row>
    <row r="1836" spans="1:7" x14ac:dyDescent="0.35">
      <c r="A1836" t="s">
        <v>103</v>
      </c>
      <c r="E1836">
        <v>6.5394892590179751E-4</v>
      </c>
      <c r="F1836">
        <f t="shared" si="62"/>
        <v>-1.7939044968266458E-2</v>
      </c>
      <c r="G1836">
        <f t="shared" si="63"/>
        <v>-2.9525393908937679E-2</v>
      </c>
    </row>
    <row r="1837" spans="1:7" x14ac:dyDescent="0.35">
      <c r="A1837" t="s">
        <v>103</v>
      </c>
      <c r="E1837">
        <v>-3.6437179181582355E-3</v>
      </c>
      <c r="F1837">
        <f t="shared" si="62"/>
        <v>-1.7939145486492492E-2</v>
      </c>
      <c r="G1837">
        <f t="shared" si="63"/>
        <v>-2.9525393908937679E-2</v>
      </c>
    </row>
    <row r="1838" spans="1:7" x14ac:dyDescent="0.35">
      <c r="A1838" t="s">
        <v>103</v>
      </c>
      <c r="E1838">
        <v>4.6582954062808794E-3</v>
      </c>
      <c r="F1838">
        <f t="shared" si="62"/>
        <v>-1.7939246004718527E-2</v>
      </c>
      <c r="G1838">
        <f t="shared" si="63"/>
        <v>-2.9525393908937679E-2</v>
      </c>
    </row>
    <row r="1839" spans="1:7" x14ac:dyDescent="0.35">
      <c r="A1839" t="s">
        <v>103</v>
      </c>
      <c r="E1839">
        <v>2.8642437023533398E-3</v>
      </c>
      <c r="F1839">
        <f t="shared" si="62"/>
        <v>-1.7939346522944564E-2</v>
      </c>
      <c r="G1839">
        <f t="shared" si="63"/>
        <v>-2.9525393908937679E-2</v>
      </c>
    </row>
    <row r="1840" spans="1:7" x14ac:dyDescent="0.35">
      <c r="A1840" t="s">
        <v>103</v>
      </c>
      <c r="E1840">
        <v>-1.9600516548078637E-4</v>
      </c>
      <c r="F1840">
        <f t="shared" si="62"/>
        <v>-1.7939447041170599E-2</v>
      </c>
      <c r="G1840">
        <f t="shared" si="63"/>
        <v>-2.9525393908937679E-2</v>
      </c>
    </row>
    <row r="1841" spans="1:7" x14ac:dyDescent="0.35">
      <c r="A1841" t="s">
        <v>103</v>
      </c>
      <c r="E1841">
        <v>-1.3596612059663754E-2</v>
      </c>
      <c r="F1841">
        <f t="shared" si="62"/>
        <v>-1.7949935483352959E-2</v>
      </c>
      <c r="G1841">
        <f t="shared" si="63"/>
        <v>-2.9643617856567949E-2</v>
      </c>
    </row>
    <row r="1842" spans="1:7" x14ac:dyDescent="0.35">
      <c r="A1842" t="s">
        <v>103</v>
      </c>
      <c r="E1842">
        <v>-3.2947887739094364E-3</v>
      </c>
      <c r="F1842">
        <f t="shared" si="62"/>
        <v>-1.7960423925535322E-2</v>
      </c>
      <c r="G1842">
        <f t="shared" si="63"/>
        <v>-2.9643617856567949E-2</v>
      </c>
    </row>
    <row r="1843" spans="1:7" x14ac:dyDescent="0.35">
      <c r="A1843" t="s">
        <v>103</v>
      </c>
      <c r="E1843">
        <v>3.8551303753348288E-3</v>
      </c>
      <c r="F1843">
        <f t="shared" si="62"/>
        <v>-1.7970912367717681E-2</v>
      </c>
      <c r="G1843">
        <f t="shared" si="63"/>
        <v>-2.9643617856567949E-2</v>
      </c>
    </row>
    <row r="1844" spans="1:7" x14ac:dyDescent="0.35">
      <c r="A1844" t="s">
        <v>103</v>
      </c>
      <c r="E1844">
        <v>-1.5226771331606633E-3</v>
      </c>
      <c r="F1844">
        <f t="shared" si="62"/>
        <v>-1.7981400809900041E-2</v>
      </c>
      <c r="G1844">
        <f t="shared" si="63"/>
        <v>-2.9643617856567949E-2</v>
      </c>
    </row>
    <row r="1845" spans="1:7" x14ac:dyDescent="0.35">
      <c r="A1845" t="s">
        <v>103</v>
      </c>
      <c r="E1845">
        <v>3.1402068875558578E-3</v>
      </c>
      <c r="F1845">
        <f t="shared" si="62"/>
        <v>-1.7991889252082404E-2</v>
      </c>
      <c r="G1845">
        <f t="shared" si="63"/>
        <v>-2.9643617856567949E-2</v>
      </c>
    </row>
    <row r="1846" spans="1:7" x14ac:dyDescent="0.35">
      <c r="A1846" t="s">
        <v>103</v>
      </c>
      <c r="E1846">
        <v>-1.2868539544771229E-3</v>
      </c>
      <c r="F1846">
        <f t="shared" si="62"/>
        <v>-1.8002377694264767E-2</v>
      </c>
      <c r="G1846">
        <f t="shared" si="63"/>
        <v>-2.9643617856567949E-2</v>
      </c>
    </row>
    <row r="1847" spans="1:7" x14ac:dyDescent="0.35">
      <c r="A1847" t="s">
        <v>103</v>
      </c>
      <c r="E1847">
        <v>-1.6742804803614615E-3</v>
      </c>
      <c r="F1847">
        <f t="shared" si="62"/>
        <v>-1.8012866136447127E-2</v>
      </c>
      <c r="G1847">
        <f t="shared" si="63"/>
        <v>-2.9643617856567949E-2</v>
      </c>
    </row>
    <row r="1848" spans="1:7" x14ac:dyDescent="0.35">
      <c r="A1848" t="s">
        <v>103</v>
      </c>
      <c r="E1848">
        <v>-1.5493245619163753E-3</v>
      </c>
      <c r="F1848">
        <f t="shared" si="62"/>
        <v>-1.8023354578629486E-2</v>
      </c>
      <c r="G1848">
        <f t="shared" si="63"/>
        <v>-2.9643617856567949E-2</v>
      </c>
    </row>
    <row r="1849" spans="1:7" x14ac:dyDescent="0.35">
      <c r="A1849" t="s">
        <v>103</v>
      </c>
      <c r="E1849">
        <v>-2.7776830016937673E-4</v>
      </c>
      <c r="F1849">
        <f t="shared" si="62"/>
        <v>-1.8033843020811846E-2</v>
      </c>
      <c r="G1849">
        <f t="shared" si="63"/>
        <v>-2.9643617856567949E-2</v>
      </c>
    </row>
    <row r="1850" spans="1:7" x14ac:dyDescent="0.35">
      <c r="A1850" t="s">
        <v>103</v>
      </c>
      <c r="E1850">
        <v>1.299291759519634E-3</v>
      </c>
      <c r="F1850">
        <f t="shared" si="62"/>
        <v>-1.8044331462994209E-2</v>
      </c>
      <c r="G1850">
        <f t="shared" si="63"/>
        <v>-2.9643617856567949E-2</v>
      </c>
    </row>
    <row r="1851" spans="1:7" x14ac:dyDescent="0.35">
      <c r="A1851" t="s">
        <v>104</v>
      </c>
      <c r="B1851" s="3" cm="1">
        <f t="array" ref="B1851">_xlfn.STDEV.S(_xlfn._xlws.FILTER($E$1000:$E$1998, $A$1000:$A$1998="2017-06"))</f>
        <v>7.8155146052927803E-3</v>
      </c>
      <c r="C1851" s="3" cm="1">
        <f t="array" ref="C1851">AVERAGE(_xlfn._xlws.FILTER($E$1000:$E$1998, $A$1000:$A$1998="2017-06"))</f>
        <v>-1.1072324826002637E-3</v>
      </c>
      <c r="D1851" s="3" cm="1">
        <f t="array" ref="D1851">_xlfn.PERCENTILE.EXC(_xlfn._xlws.FILTER($E$1498:$E$2489, $A$1498:$A$2489="2017-06"), 0.05)</f>
        <v>-1.7637305545611433E-2</v>
      </c>
      <c r="E1851">
        <v>3.9446284888021094E-3</v>
      </c>
      <c r="F1851">
        <f t="shared" si="62"/>
        <v>-1.8054819905176572E-2</v>
      </c>
      <c r="G1851">
        <f t="shared" si="63"/>
        <v>-2.9643617856567949E-2</v>
      </c>
    </row>
    <row r="1852" spans="1:7" x14ac:dyDescent="0.35">
      <c r="A1852" t="s">
        <v>104</v>
      </c>
      <c r="E1852">
        <v>1.2399787560695095E-2</v>
      </c>
      <c r="F1852">
        <f t="shared" si="62"/>
        <v>-1.8065308347358932E-2</v>
      </c>
      <c r="G1852">
        <f t="shared" si="63"/>
        <v>-2.9643617856567949E-2</v>
      </c>
    </row>
    <row r="1853" spans="1:7" x14ac:dyDescent="0.35">
      <c r="A1853" t="s">
        <v>104</v>
      </c>
      <c r="E1853">
        <v>-1.0412016427414078E-2</v>
      </c>
      <c r="F1853">
        <f t="shared" si="62"/>
        <v>-1.8075796789541292E-2</v>
      </c>
      <c r="G1853">
        <f t="shared" si="63"/>
        <v>-2.9643617856567949E-2</v>
      </c>
    </row>
    <row r="1854" spans="1:7" x14ac:dyDescent="0.35">
      <c r="A1854" t="s">
        <v>104</v>
      </c>
      <c r="E1854">
        <v>-1.3902356925837253E-3</v>
      </c>
      <c r="F1854">
        <f t="shared" si="62"/>
        <v>-1.8086285231723655E-2</v>
      </c>
      <c r="G1854">
        <f t="shared" si="63"/>
        <v>-2.9643617856567949E-2</v>
      </c>
    </row>
    <row r="1855" spans="1:7" x14ac:dyDescent="0.35">
      <c r="A1855" t="s">
        <v>104</v>
      </c>
      <c r="E1855">
        <v>3.2372112645772718E-3</v>
      </c>
      <c r="F1855">
        <f t="shared" si="62"/>
        <v>-1.8096773673906018E-2</v>
      </c>
      <c r="G1855">
        <f t="shared" si="63"/>
        <v>-2.9643617856567949E-2</v>
      </c>
    </row>
    <row r="1856" spans="1:7" x14ac:dyDescent="0.35">
      <c r="A1856" t="s">
        <v>104</v>
      </c>
      <c r="E1856">
        <v>8.001828878596946E-3</v>
      </c>
      <c r="F1856">
        <f t="shared" si="62"/>
        <v>-1.8107262116088377E-2</v>
      </c>
      <c r="G1856">
        <f t="shared" si="63"/>
        <v>-2.9643617856567949E-2</v>
      </c>
    </row>
    <row r="1857" spans="1:7" x14ac:dyDescent="0.35">
      <c r="A1857" t="s">
        <v>104</v>
      </c>
      <c r="E1857">
        <v>-9.8235883009061328E-3</v>
      </c>
      <c r="F1857">
        <f t="shared" si="62"/>
        <v>-1.8117750558270737E-2</v>
      </c>
      <c r="G1857">
        <f t="shared" si="63"/>
        <v>-2.9643617856567949E-2</v>
      </c>
    </row>
    <row r="1858" spans="1:7" x14ac:dyDescent="0.35">
      <c r="A1858" t="s">
        <v>104</v>
      </c>
      <c r="E1858">
        <v>5.8565298119983436E-3</v>
      </c>
      <c r="F1858">
        <f t="shared" si="62"/>
        <v>-1.81282390004531E-2</v>
      </c>
      <c r="G1858">
        <f t="shared" si="63"/>
        <v>-2.9643617856567949E-2</v>
      </c>
    </row>
    <row r="1859" spans="1:7" x14ac:dyDescent="0.35">
      <c r="A1859" t="s">
        <v>104</v>
      </c>
      <c r="E1859">
        <v>3.2044227611408636E-3</v>
      </c>
      <c r="F1859">
        <f t="shared" si="62"/>
        <v>-1.813872744263546E-2</v>
      </c>
      <c r="G1859">
        <f t="shared" si="63"/>
        <v>-2.9643617856567949E-2</v>
      </c>
    </row>
    <row r="1860" spans="1:7" x14ac:dyDescent="0.35">
      <c r="A1860" t="s">
        <v>104</v>
      </c>
      <c r="E1860">
        <v>-8.9530031201686313E-3</v>
      </c>
      <c r="F1860">
        <f t="shared" ref="F1860:F1923" si="64">_xlfn.PERCENTILE.EXC(E1860:E5675,0.05)</f>
        <v>-1.8149215884817823E-2</v>
      </c>
      <c r="G1860">
        <f t="shared" ref="G1860:G1923" si="65">AVERAGEIFS(E1860:E5676,E1860:E5676,"&lt;=" &amp; F1860)</f>
        <v>-2.9643617856567949E-2</v>
      </c>
    </row>
    <row r="1861" spans="1:7" x14ac:dyDescent="0.35">
      <c r="A1861" t="s">
        <v>104</v>
      </c>
      <c r="E1861">
        <v>4.7884627825657798E-3</v>
      </c>
      <c r="F1861">
        <f t="shared" si="64"/>
        <v>-1.8150923204728678E-2</v>
      </c>
      <c r="G1861">
        <f t="shared" si="65"/>
        <v>-2.9762116845967437E-2</v>
      </c>
    </row>
    <row r="1862" spans="1:7" x14ac:dyDescent="0.35">
      <c r="A1862" t="s">
        <v>104</v>
      </c>
      <c r="E1862">
        <v>1.0624988806633181E-2</v>
      </c>
      <c r="F1862">
        <f t="shared" si="64"/>
        <v>-1.8152630524639529E-2</v>
      </c>
      <c r="G1862">
        <f t="shared" si="65"/>
        <v>-2.9762116845967437E-2</v>
      </c>
    </row>
    <row r="1863" spans="1:7" x14ac:dyDescent="0.35">
      <c r="A1863" t="s">
        <v>104</v>
      </c>
      <c r="E1863">
        <v>-5.7703825028799739E-3</v>
      </c>
      <c r="F1863">
        <f t="shared" si="64"/>
        <v>-1.8154337844550384E-2</v>
      </c>
      <c r="G1863">
        <f t="shared" si="65"/>
        <v>-2.9762116845967437E-2</v>
      </c>
    </row>
    <row r="1864" spans="1:7" x14ac:dyDescent="0.35">
      <c r="A1864" t="s">
        <v>104</v>
      </c>
      <c r="E1864">
        <v>-3.1677638593295716E-3</v>
      </c>
      <c r="F1864">
        <f t="shared" si="64"/>
        <v>-1.8156045164461235E-2</v>
      </c>
      <c r="G1864">
        <f t="shared" si="65"/>
        <v>-2.9762116845967437E-2</v>
      </c>
    </row>
    <row r="1865" spans="1:7" x14ac:dyDescent="0.35">
      <c r="A1865" t="s">
        <v>104</v>
      </c>
      <c r="E1865">
        <v>1.5441022519399959E-3</v>
      </c>
      <c r="F1865">
        <f t="shared" si="64"/>
        <v>-1.815775248437209E-2</v>
      </c>
      <c r="G1865">
        <f t="shared" si="65"/>
        <v>-2.9762116845967437E-2</v>
      </c>
    </row>
    <row r="1866" spans="1:7" x14ac:dyDescent="0.35">
      <c r="A1866" t="s">
        <v>104</v>
      </c>
      <c r="E1866">
        <v>-4.7470631592435395E-3</v>
      </c>
      <c r="F1866">
        <f t="shared" si="64"/>
        <v>-1.8159459804282942E-2</v>
      </c>
      <c r="G1866">
        <f t="shared" si="65"/>
        <v>-2.9762116845967437E-2</v>
      </c>
    </row>
    <row r="1867" spans="1:7" x14ac:dyDescent="0.35">
      <c r="A1867" t="s">
        <v>104</v>
      </c>
      <c r="E1867">
        <v>2.9344161481648823E-3</v>
      </c>
      <c r="F1867">
        <f t="shared" si="64"/>
        <v>-1.8161167124193797E-2</v>
      </c>
      <c r="G1867">
        <f t="shared" si="65"/>
        <v>-2.9762116845967437E-2</v>
      </c>
    </row>
    <row r="1868" spans="1:7" x14ac:dyDescent="0.35">
      <c r="A1868" t="s">
        <v>104</v>
      </c>
      <c r="E1868">
        <v>-7.8461677939545907E-3</v>
      </c>
      <c r="F1868">
        <f t="shared" si="64"/>
        <v>-1.8162874444104648E-2</v>
      </c>
      <c r="G1868">
        <f t="shared" si="65"/>
        <v>-2.9762116845967437E-2</v>
      </c>
    </row>
    <row r="1869" spans="1:7" x14ac:dyDescent="0.35">
      <c r="A1869" t="s">
        <v>104</v>
      </c>
      <c r="E1869">
        <v>-1.8761146164518218E-3</v>
      </c>
      <c r="F1869">
        <f t="shared" si="64"/>
        <v>-1.8164581764015503E-2</v>
      </c>
      <c r="G1869">
        <f t="shared" si="65"/>
        <v>-2.9762116845967437E-2</v>
      </c>
    </row>
    <row r="1870" spans="1:7" x14ac:dyDescent="0.35">
      <c r="A1870" t="s">
        <v>104</v>
      </c>
      <c r="E1870">
        <v>-1.8440115447633361E-2</v>
      </c>
      <c r="F1870">
        <f t="shared" si="64"/>
        <v>-1.8166289083926354E-2</v>
      </c>
      <c r="G1870">
        <f t="shared" si="65"/>
        <v>-2.9762116845967437E-2</v>
      </c>
    </row>
    <row r="1871" spans="1:7" x14ac:dyDescent="0.35">
      <c r="A1871" t="s">
        <v>104</v>
      </c>
      <c r="E1871">
        <v>-7.3618099691545808E-3</v>
      </c>
      <c r="F1871">
        <f t="shared" si="64"/>
        <v>-1.8054819905176572E-2</v>
      </c>
      <c r="G1871">
        <f t="shared" si="65"/>
        <v>-2.9759117881402331E-2</v>
      </c>
    </row>
    <row r="1872" spans="1:7" x14ac:dyDescent="0.35">
      <c r="A1872" t="s">
        <v>105</v>
      </c>
      <c r="B1872" s="3" cm="1">
        <f t="array" ref="B1872">_xlfn.STDEV.S(_xlfn._xlws.FILTER($E$1000:$E$1998, $A$1000:$A$1998="2017-07"))</f>
        <v>7.1099597917548404E-3</v>
      </c>
      <c r="C1872" s="3" cm="1">
        <f t="array" ref="C1872">AVERAGE(_xlfn._xlws.FILTER($E$1000:$E$1998, $A$1000:$A$1998="2017-07"))</f>
        <v>-8.0604168631459767E-4</v>
      </c>
      <c r="D1872" s="3" cm="1">
        <f t="array" ref="D1872">_xlfn.PERCENTILE.EXC(_xlfn._xlws.FILTER($E$1498:$E$2489, $A$1498:$A$2489="2017-07"), 0.05)</f>
        <v>-1.636027895294162E-2</v>
      </c>
      <c r="E1872">
        <v>1.21120348385597E-2</v>
      </c>
      <c r="F1872">
        <f t="shared" si="64"/>
        <v>-1.8065308347358932E-2</v>
      </c>
      <c r="G1872">
        <f t="shared" si="65"/>
        <v>-2.9759117881402331E-2</v>
      </c>
    </row>
    <row r="1873" spans="1:7" x14ac:dyDescent="0.35">
      <c r="A1873" t="s">
        <v>105</v>
      </c>
      <c r="E1873">
        <v>-3.0651377297426195E-3</v>
      </c>
      <c r="F1873">
        <f t="shared" si="64"/>
        <v>-1.8075796789541292E-2</v>
      </c>
      <c r="G1873">
        <f t="shared" si="65"/>
        <v>-2.9759117881402331E-2</v>
      </c>
    </row>
    <row r="1874" spans="1:7" x14ac:dyDescent="0.35">
      <c r="A1874" t="s">
        <v>105</v>
      </c>
      <c r="E1874">
        <v>1.3298082656936193E-3</v>
      </c>
      <c r="F1874">
        <f t="shared" si="64"/>
        <v>-1.8086285231723655E-2</v>
      </c>
      <c r="G1874">
        <f t="shared" si="65"/>
        <v>-2.9759117881402331E-2</v>
      </c>
    </row>
    <row r="1875" spans="1:7" x14ac:dyDescent="0.35">
      <c r="A1875" t="s">
        <v>105</v>
      </c>
      <c r="E1875">
        <v>-5.8329300994595691E-3</v>
      </c>
      <c r="F1875">
        <f t="shared" si="64"/>
        <v>-1.8096773673906018E-2</v>
      </c>
      <c r="G1875">
        <f t="shared" si="65"/>
        <v>-2.9759117881402331E-2</v>
      </c>
    </row>
    <row r="1876" spans="1:7" x14ac:dyDescent="0.35">
      <c r="A1876" t="s">
        <v>105</v>
      </c>
      <c r="E1876">
        <v>5.9992097053505303E-4</v>
      </c>
      <c r="F1876">
        <f t="shared" si="64"/>
        <v>-1.8107262116088377E-2</v>
      </c>
      <c r="G1876">
        <f t="shared" si="65"/>
        <v>-2.9759117881402331E-2</v>
      </c>
    </row>
    <row r="1877" spans="1:7" x14ac:dyDescent="0.35">
      <c r="A1877" t="s">
        <v>105</v>
      </c>
      <c r="E1877">
        <v>4.6097059231514359E-3</v>
      </c>
      <c r="F1877">
        <f t="shared" si="64"/>
        <v>-1.8117750558270737E-2</v>
      </c>
      <c r="G1877">
        <f t="shared" si="65"/>
        <v>-2.9759117881402331E-2</v>
      </c>
    </row>
    <row r="1878" spans="1:7" x14ac:dyDescent="0.35">
      <c r="A1878" t="s">
        <v>105</v>
      </c>
      <c r="E1878">
        <v>-7.1534958325094331E-4</v>
      </c>
      <c r="F1878">
        <f t="shared" si="64"/>
        <v>-1.81282390004531E-2</v>
      </c>
      <c r="G1878">
        <f t="shared" si="65"/>
        <v>-2.9759117881402331E-2</v>
      </c>
    </row>
    <row r="1879" spans="1:7" x14ac:dyDescent="0.35">
      <c r="A1879" t="s">
        <v>105</v>
      </c>
      <c r="E1879">
        <v>1.5126607070693561E-2</v>
      </c>
      <c r="F1879">
        <f t="shared" si="64"/>
        <v>-1.813872744263546E-2</v>
      </c>
      <c r="G1879">
        <f t="shared" si="65"/>
        <v>-2.9759117881402331E-2</v>
      </c>
    </row>
    <row r="1880" spans="1:7" x14ac:dyDescent="0.35">
      <c r="A1880" t="s">
        <v>105</v>
      </c>
      <c r="E1880">
        <v>1.1674888564500894E-3</v>
      </c>
      <c r="F1880">
        <f t="shared" si="64"/>
        <v>-1.8149215884817823E-2</v>
      </c>
      <c r="G1880">
        <f t="shared" si="65"/>
        <v>-2.9759117881402331E-2</v>
      </c>
    </row>
    <row r="1881" spans="1:7" x14ac:dyDescent="0.35">
      <c r="A1881" t="s">
        <v>105</v>
      </c>
      <c r="E1881">
        <v>-7.604939224322147E-4</v>
      </c>
      <c r="F1881">
        <f t="shared" si="64"/>
        <v>-1.8150923204728678E-2</v>
      </c>
      <c r="G1881">
        <f t="shared" si="65"/>
        <v>-2.9880054360533422E-2</v>
      </c>
    </row>
    <row r="1882" spans="1:7" x14ac:dyDescent="0.35">
      <c r="A1882" t="s">
        <v>105</v>
      </c>
      <c r="E1882">
        <v>-3.5338640235268162E-3</v>
      </c>
      <c r="F1882">
        <f t="shared" si="64"/>
        <v>-1.8152630524639529E-2</v>
      </c>
      <c r="G1882">
        <f t="shared" si="65"/>
        <v>-2.9880054360533422E-2</v>
      </c>
    </row>
    <row r="1883" spans="1:7" x14ac:dyDescent="0.35">
      <c r="A1883" t="s">
        <v>105</v>
      </c>
      <c r="E1883">
        <v>-1.2532966021989235E-2</v>
      </c>
      <c r="F1883">
        <f t="shared" si="64"/>
        <v>-1.8154337844550384E-2</v>
      </c>
      <c r="G1883">
        <f t="shared" si="65"/>
        <v>-2.9880054360533422E-2</v>
      </c>
    </row>
    <row r="1884" spans="1:7" x14ac:dyDescent="0.35">
      <c r="A1884" t="s">
        <v>105</v>
      </c>
      <c r="E1884">
        <v>1.7409872561550217E-3</v>
      </c>
      <c r="F1884">
        <f t="shared" si="64"/>
        <v>-1.8156045164461235E-2</v>
      </c>
      <c r="G1884">
        <f t="shared" si="65"/>
        <v>-2.9880054360533422E-2</v>
      </c>
    </row>
    <row r="1885" spans="1:7" x14ac:dyDescent="0.35">
      <c r="A1885" t="s">
        <v>105</v>
      </c>
      <c r="E1885">
        <v>-3.8555301229033359E-4</v>
      </c>
      <c r="F1885">
        <f t="shared" si="64"/>
        <v>-1.815775248437209E-2</v>
      </c>
      <c r="G1885">
        <f t="shared" si="65"/>
        <v>-2.9880054360533422E-2</v>
      </c>
    </row>
    <row r="1886" spans="1:7" x14ac:dyDescent="0.35">
      <c r="A1886" t="s">
        <v>105</v>
      </c>
      <c r="E1886">
        <v>-1.6785535945269662E-2</v>
      </c>
      <c r="F1886">
        <f t="shared" si="64"/>
        <v>-1.8159459804282942E-2</v>
      </c>
      <c r="G1886">
        <f t="shared" si="65"/>
        <v>-2.9880054360533422E-2</v>
      </c>
    </row>
    <row r="1887" spans="1:7" x14ac:dyDescent="0.35">
      <c r="A1887" t="s">
        <v>105</v>
      </c>
      <c r="E1887">
        <v>-2.5448896941208787E-3</v>
      </c>
      <c r="F1887">
        <f t="shared" si="64"/>
        <v>-1.8161167124193797E-2</v>
      </c>
      <c r="G1887">
        <f t="shared" si="65"/>
        <v>-2.9880054360533422E-2</v>
      </c>
    </row>
    <row r="1888" spans="1:7" x14ac:dyDescent="0.35">
      <c r="A1888" t="s">
        <v>105</v>
      </c>
      <c r="E1888">
        <v>4.524129145401551E-3</v>
      </c>
      <c r="F1888">
        <f t="shared" si="64"/>
        <v>-1.8162874444104648E-2</v>
      </c>
      <c r="G1888">
        <f t="shared" si="65"/>
        <v>-2.9880054360533422E-2</v>
      </c>
    </row>
    <row r="1889" spans="1:7" x14ac:dyDescent="0.35">
      <c r="A1889" t="s">
        <v>105</v>
      </c>
      <c r="E1889">
        <v>3.3212047743380866E-3</v>
      </c>
      <c r="F1889">
        <f t="shared" si="64"/>
        <v>-1.8164581764015503E-2</v>
      </c>
      <c r="G1889">
        <f t="shared" si="65"/>
        <v>-2.9880054360533422E-2</v>
      </c>
    </row>
    <row r="1890" spans="1:7" x14ac:dyDescent="0.35">
      <c r="A1890" t="s">
        <v>105</v>
      </c>
      <c r="E1890">
        <v>-7.5922729245472319E-3</v>
      </c>
      <c r="F1890">
        <f t="shared" si="64"/>
        <v>-1.8166289083926354E-2</v>
      </c>
      <c r="G1890">
        <f t="shared" si="65"/>
        <v>-2.9880054360533422E-2</v>
      </c>
    </row>
    <row r="1891" spans="1:7" x14ac:dyDescent="0.35">
      <c r="A1891" t="s">
        <v>105</v>
      </c>
      <c r="E1891">
        <v>-4.0484589694315034E-3</v>
      </c>
      <c r="F1891">
        <f t="shared" si="64"/>
        <v>-1.8167996403837209E-2</v>
      </c>
      <c r="G1891">
        <f t="shared" si="65"/>
        <v>-2.9880054360533422E-2</v>
      </c>
    </row>
    <row r="1892" spans="1:7" x14ac:dyDescent="0.35">
      <c r="A1892" t="s">
        <v>105</v>
      </c>
      <c r="E1892">
        <v>-3.6613105875236605E-3</v>
      </c>
      <c r="F1892">
        <f t="shared" si="64"/>
        <v>-1.8169703723748064E-2</v>
      </c>
      <c r="G1892">
        <f t="shared" si="65"/>
        <v>-2.9880054360533422E-2</v>
      </c>
    </row>
    <row r="1893" spans="1:7" x14ac:dyDescent="0.35">
      <c r="A1893" t="s">
        <v>106</v>
      </c>
      <c r="B1893" s="3" cm="1">
        <f t="array" ref="B1893">_xlfn.STDEV.S(_xlfn._xlws.FILTER($E$1000:$E$1998, $A$1000:$A$1998="2017-08"))</f>
        <v>8.5995191807657755E-3</v>
      </c>
      <c r="C1893" s="3" cm="1">
        <f t="array" ref="C1893">AVERAGE(_xlfn._xlws.FILTER($E$1000:$E$1998, $A$1000:$A$1998="2017-08"))</f>
        <v>-2.4587575909855886E-4</v>
      </c>
      <c r="D1893" s="3" cm="1">
        <f t="array" ref="D1893">_xlfn.PERCENTILE.EXC(_xlfn._xlws.FILTER($E$1498:$E$2489, $A$1498:$A$2489="2017-08"), 0.05)</f>
        <v>-1.7732430102871642E-2</v>
      </c>
      <c r="E1893">
        <v>1.0918656791818736E-2</v>
      </c>
      <c r="F1893">
        <f t="shared" si="64"/>
        <v>-1.8171411043658915E-2</v>
      </c>
      <c r="G1893">
        <f t="shared" si="65"/>
        <v>-2.9880054360533422E-2</v>
      </c>
    </row>
    <row r="1894" spans="1:7" x14ac:dyDescent="0.35">
      <c r="A1894" t="s">
        <v>106</v>
      </c>
      <c r="E1894">
        <v>-5.7144719957227469E-3</v>
      </c>
      <c r="F1894">
        <f t="shared" si="64"/>
        <v>-1.817311836356977E-2</v>
      </c>
      <c r="G1894">
        <f t="shared" si="65"/>
        <v>-2.9880054360533422E-2</v>
      </c>
    </row>
    <row r="1895" spans="1:7" x14ac:dyDescent="0.35">
      <c r="A1895" t="s">
        <v>106</v>
      </c>
      <c r="E1895">
        <v>-2.1991938581447648E-3</v>
      </c>
      <c r="F1895">
        <f t="shared" si="64"/>
        <v>-1.8174825683480621E-2</v>
      </c>
      <c r="G1895">
        <f t="shared" si="65"/>
        <v>-2.9880054360533422E-2</v>
      </c>
    </row>
    <row r="1896" spans="1:7" x14ac:dyDescent="0.35">
      <c r="A1896" t="s">
        <v>106</v>
      </c>
      <c r="E1896">
        <v>1.1696307627322914E-2</v>
      </c>
      <c r="F1896">
        <f t="shared" si="64"/>
        <v>-1.8176533003391476E-2</v>
      </c>
      <c r="G1896">
        <f t="shared" si="65"/>
        <v>-2.9880054360533422E-2</v>
      </c>
    </row>
    <row r="1897" spans="1:7" x14ac:dyDescent="0.35">
      <c r="A1897" t="s">
        <v>106</v>
      </c>
      <c r="E1897">
        <v>-3.3028074539741656E-3</v>
      </c>
      <c r="F1897">
        <f t="shared" si="64"/>
        <v>-1.8178240323302328E-2</v>
      </c>
      <c r="G1897">
        <f t="shared" si="65"/>
        <v>-2.9880054360533422E-2</v>
      </c>
    </row>
    <row r="1898" spans="1:7" x14ac:dyDescent="0.35">
      <c r="A1898" t="s">
        <v>106</v>
      </c>
      <c r="E1898">
        <v>2.8416400578993683E-3</v>
      </c>
      <c r="F1898">
        <f t="shared" si="64"/>
        <v>-1.8179947643213182E-2</v>
      </c>
      <c r="G1898">
        <f t="shared" si="65"/>
        <v>-2.9880054360533422E-2</v>
      </c>
    </row>
    <row r="1899" spans="1:7" x14ac:dyDescent="0.35">
      <c r="A1899" t="s">
        <v>106</v>
      </c>
      <c r="E1899">
        <v>-1.1294378233101711E-2</v>
      </c>
      <c r="F1899">
        <f t="shared" si="64"/>
        <v>-1.8181654963124034E-2</v>
      </c>
      <c r="G1899">
        <f t="shared" si="65"/>
        <v>-2.9880054360533422E-2</v>
      </c>
    </row>
    <row r="1900" spans="1:7" x14ac:dyDescent="0.35">
      <c r="A1900" t="s">
        <v>106</v>
      </c>
      <c r="E1900">
        <v>-1.1560726729639283E-2</v>
      </c>
      <c r="F1900">
        <f t="shared" si="64"/>
        <v>-1.8183362283034889E-2</v>
      </c>
      <c r="G1900">
        <f t="shared" si="65"/>
        <v>-2.9880054360533422E-2</v>
      </c>
    </row>
    <row r="1901" spans="1:7" x14ac:dyDescent="0.35">
      <c r="A1901" t="s">
        <v>106</v>
      </c>
      <c r="E1901">
        <v>-1.9976394561084857E-5</v>
      </c>
      <c r="F1901">
        <f t="shared" si="64"/>
        <v>-1.8184162815667204E-2</v>
      </c>
      <c r="G1901">
        <f t="shared" si="65"/>
        <v>-3.0003177435033404E-2</v>
      </c>
    </row>
    <row r="1902" spans="1:7" x14ac:dyDescent="0.35">
      <c r="A1902" t="s">
        <v>106</v>
      </c>
      <c r="E1902">
        <v>1.2495209962851908E-2</v>
      </c>
      <c r="F1902">
        <f t="shared" si="64"/>
        <v>-1.818496334829952E-2</v>
      </c>
      <c r="G1902">
        <f t="shared" si="65"/>
        <v>-3.0003177435033404E-2</v>
      </c>
    </row>
    <row r="1903" spans="1:7" x14ac:dyDescent="0.35">
      <c r="A1903" t="s">
        <v>106</v>
      </c>
      <c r="E1903">
        <v>8.0838854274263277E-3</v>
      </c>
      <c r="F1903">
        <f t="shared" si="64"/>
        <v>-1.8185763880931835E-2</v>
      </c>
      <c r="G1903">
        <f t="shared" si="65"/>
        <v>-3.0003177435033404E-2</v>
      </c>
    </row>
    <row r="1904" spans="1:7" x14ac:dyDescent="0.35">
      <c r="A1904" t="s">
        <v>106</v>
      </c>
      <c r="E1904">
        <v>-4.9372078913910121E-3</v>
      </c>
      <c r="F1904">
        <f t="shared" si="64"/>
        <v>-1.818656441356415E-2</v>
      </c>
      <c r="G1904">
        <f t="shared" si="65"/>
        <v>-3.0003177435033404E-2</v>
      </c>
    </row>
    <row r="1905" spans="1:7" x14ac:dyDescent="0.35">
      <c r="A1905" t="s">
        <v>106</v>
      </c>
      <c r="E1905">
        <v>-3.1409233964456453E-3</v>
      </c>
      <c r="F1905">
        <f t="shared" si="64"/>
        <v>-1.8187364946196466E-2</v>
      </c>
      <c r="G1905">
        <f t="shared" si="65"/>
        <v>-3.0003177435033404E-2</v>
      </c>
    </row>
    <row r="1906" spans="1:7" x14ac:dyDescent="0.35">
      <c r="A1906" t="s">
        <v>106</v>
      </c>
      <c r="E1906">
        <v>-8.1878434482485114E-3</v>
      </c>
      <c r="F1906">
        <f t="shared" si="64"/>
        <v>-1.8188165478828778E-2</v>
      </c>
      <c r="G1906">
        <f t="shared" si="65"/>
        <v>-3.0003177435033404E-2</v>
      </c>
    </row>
    <row r="1907" spans="1:7" x14ac:dyDescent="0.35">
      <c r="A1907" t="s">
        <v>106</v>
      </c>
      <c r="E1907">
        <v>1.3447231341508933E-2</v>
      </c>
      <c r="F1907">
        <f t="shared" si="64"/>
        <v>-1.8188966011461093E-2</v>
      </c>
      <c r="G1907">
        <f t="shared" si="65"/>
        <v>-3.0003177435033404E-2</v>
      </c>
    </row>
    <row r="1908" spans="1:7" x14ac:dyDescent="0.35">
      <c r="A1908" t="s">
        <v>106</v>
      </c>
      <c r="E1908">
        <v>-4.5108101354345096E-3</v>
      </c>
      <c r="F1908">
        <f t="shared" si="64"/>
        <v>-1.8189766544093409E-2</v>
      </c>
      <c r="G1908">
        <f t="shared" si="65"/>
        <v>-3.0003177435033404E-2</v>
      </c>
    </row>
    <row r="1909" spans="1:7" x14ac:dyDescent="0.35">
      <c r="A1909" t="s">
        <v>106</v>
      </c>
      <c r="E1909">
        <v>5.3623200996861316E-4</v>
      </c>
      <c r="F1909">
        <f t="shared" si="64"/>
        <v>-1.8190567076725724E-2</v>
      </c>
      <c r="G1909">
        <f t="shared" si="65"/>
        <v>-3.0003177435033404E-2</v>
      </c>
    </row>
    <row r="1910" spans="1:7" x14ac:dyDescent="0.35">
      <c r="A1910" t="s">
        <v>106</v>
      </c>
      <c r="E1910">
        <v>-1.0587804808338947E-3</v>
      </c>
      <c r="F1910">
        <f t="shared" si="64"/>
        <v>-1.819136760935804E-2</v>
      </c>
      <c r="G1910">
        <f t="shared" si="65"/>
        <v>-3.0003177435033404E-2</v>
      </c>
    </row>
    <row r="1911" spans="1:7" x14ac:dyDescent="0.35">
      <c r="A1911" t="s">
        <v>106</v>
      </c>
      <c r="E1911">
        <v>-1.8418174922119682E-2</v>
      </c>
      <c r="F1911">
        <f t="shared" si="64"/>
        <v>-1.8192168141990355E-2</v>
      </c>
      <c r="G1911">
        <f t="shared" si="65"/>
        <v>-3.0003177435033404E-2</v>
      </c>
    </row>
    <row r="1912" spans="1:7" x14ac:dyDescent="0.35">
      <c r="A1912" t="s">
        <v>106</v>
      </c>
      <c r="E1912">
        <v>4.7260128843140221E-3</v>
      </c>
      <c r="F1912">
        <f t="shared" si="64"/>
        <v>-1.8169703723748064E-2</v>
      </c>
      <c r="G1912">
        <f t="shared" si="65"/>
        <v>-3.0000705723043038E-2</v>
      </c>
    </row>
    <row r="1913" spans="1:7" x14ac:dyDescent="0.35">
      <c r="A1913" t="s">
        <v>106</v>
      </c>
      <c r="E1913">
        <v>4.4367278954364521E-3</v>
      </c>
      <c r="F1913">
        <f t="shared" si="64"/>
        <v>-1.8171411043658915E-2</v>
      </c>
      <c r="G1913">
        <f t="shared" si="65"/>
        <v>-3.0000705723043038E-2</v>
      </c>
    </row>
    <row r="1914" spans="1:7" x14ac:dyDescent="0.35">
      <c r="A1914" t="s">
        <v>107</v>
      </c>
      <c r="B1914" s="3" cm="1">
        <f t="array" ref="B1914">_xlfn.STDEV.S(_xlfn._xlws.FILTER($E$1000:$E$1998, $A$1000:$A$1998="2017-09"))</f>
        <v>4.1379973090611847E-3</v>
      </c>
      <c r="C1914" s="3" cm="1">
        <f t="array" ref="C1914">AVERAGE(_xlfn._xlws.FILTER($E$1000:$E$1998, $A$1000:$A$1998="2017-09"))</f>
        <v>2.9594347902818932E-3</v>
      </c>
      <c r="D1914" s="3" cm="1">
        <f t="array" ref="D1914">_xlfn.PERCENTILE.EXC(_xlfn._xlws.FILTER($E$1498:$E$2489, $A$1498:$A$2489="2017-09"), 0.05)</f>
        <v>-3.1743405816973191E-3</v>
      </c>
      <c r="E1914">
        <v>7.1740350861748126E-3</v>
      </c>
      <c r="F1914">
        <f t="shared" si="64"/>
        <v>-1.817311836356977E-2</v>
      </c>
      <c r="G1914">
        <f t="shared" si="65"/>
        <v>-3.0000705723043038E-2</v>
      </c>
    </row>
    <row r="1915" spans="1:7" x14ac:dyDescent="0.35">
      <c r="A1915" t="s">
        <v>107</v>
      </c>
      <c r="E1915">
        <v>-3.3351443688756886E-3</v>
      </c>
      <c r="F1915">
        <f t="shared" si="64"/>
        <v>-1.8174825683480621E-2</v>
      </c>
      <c r="G1915">
        <f t="shared" si="65"/>
        <v>-3.0000705723043038E-2</v>
      </c>
    </row>
    <row r="1916" spans="1:7" x14ac:dyDescent="0.35">
      <c r="A1916" t="s">
        <v>107</v>
      </c>
      <c r="E1916">
        <v>1.7749588576704328E-3</v>
      </c>
      <c r="F1916">
        <f t="shared" si="64"/>
        <v>-1.8176533003391476E-2</v>
      </c>
      <c r="G1916">
        <f t="shared" si="65"/>
        <v>-3.0000705723043038E-2</v>
      </c>
    </row>
    <row r="1917" spans="1:7" x14ac:dyDescent="0.35">
      <c r="A1917" t="s">
        <v>107</v>
      </c>
      <c r="E1917">
        <v>7.464005973179551E-3</v>
      </c>
      <c r="F1917">
        <f t="shared" si="64"/>
        <v>-1.8178240323302328E-2</v>
      </c>
      <c r="G1917">
        <f t="shared" si="65"/>
        <v>-3.0000705723043038E-2</v>
      </c>
    </row>
    <row r="1918" spans="1:7" x14ac:dyDescent="0.35">
      <c r="A1918" t="s">
        <v>107</v>
      </c>
      <c r="E1918">
        <v>6.6981957139871035E-3</v>
      </c>
      <c r="F1918">
        <f t="shared" si="64"/>
        <v>-1.8179947643213182E-2</v>
      </c>
      <c r="G1918">
        <f t="shared" si="65"/>
        <v>-3.0000705723043038E-2</v>
      </c>
    </row>
    <row r="1919" spans="1:7" x14ac:dyDescent="0.35">
      <c r="A1919" t="s">
        <v>107</v>
      </c>
      <c r="E1919">
        <v>5.9754617618845089E-4</v>
      </c>
      <c r="F1919">
        <f t="shared" si="64"/>
        <v>-1.8181654963124034E-2</v>
      </c>
      <c r="G1919">
        <f t="shared" si="65"/>
        <v>-3.0000705723043038E-2</v>
      </c>
    </row>
    <row r="1920" spans="1:7" x14ac:dyDescent="0.35">
      <c r="A1920" t="s">
        <v>107</v>
      </c>
      <c r="E1920">
        <v>1.3823092655158416E-2</v>
      </c>
      <c r="F1920">
        <f t="shared" si="64"/>
        <v>-1.8183362283034889E-2</v>
      </c>
      <c r="G1920">
        <f t="shared" si="65"/>
        <v>-3.0000705723043038E-2</v>
      </c>
    </row>
    <row r="1921" spans="1:7" x14ac:dyDescent="0.35">
      <c r="A1921" t="s">
        <v>107</v>
      </c>
      <c r="E1921">
        <v>3.9624035993893053E-3</v>
      </c>
      <c r="F1921">
        <f t="shared" si="64"/>
        <v>-1.8184162815667204E-2</v>
      </c>
      <c r="G1921">
        <f t="shared" si="65"/>
        <v>-3.0126422142617588E-2</v>
      </c>
    </row>
    <row r="1922" spans="1:7" x14ac:dyDescent="0.35">
      <c r="A1922" t="s">
        <v>107</v>
      </c>
      <c r="E1922">
        <v>2.2968037486321797E-3</v>
      </c>
      <c r="F1922">
        <f t="shared" si="64"/>
        <v>-1.818496334829952E-2</v>
      </c>
      <c r="G1922">
        <f t="shared" si="65"/>
        <v>-3.0126422142617588E-2</v>
      </c>
    </row>
    <row r="1923" spans="1:7" x14ac:dyDescent="0.35">
      <c r="A1923" t="s">
        <v>107</v>
      </c>
      <c r="E1923">
        <v>-1.0456675491190104E-3</v>
      </c>
      <c r="F1923">
        <f t="shared" si="64"/>
        <v>-1.8185763880931835E-2</v>
      </c>
      <c r="G1923">
        <f t="shared" si="65"/>
        <v>-3.0126422142617588E-2</v>
      </c>
    </row>
    <row r="1924" spans="1:7" x14ac:dyDescent="0.35">
      <c r="A1924" t="s">
        <v>107</v>
      </c>
      <c r="E1924">
        <v>-1.7271064970919945E-3</v>
      </c>
      <c r="F1924">
        <f t="shared" ref="F1924:F1987" si="66">_xlfn.PERCENTILE.EXC(E1924:E5739,0.05)</f>
        <v>-1.818656441356415E-2</v>
      </c>
      <c r="G1924">
        <f t="shared" ref="G1924:G1987" si="67">AVERAGEIFS(E1924:E5740,E1924:E5740,"&lt;=" &amp; F1924)</f>
        <v>-3.0126422142617588E-2</v>
      </c>
    </row>
    <row r="1925" spans="1:7" x14ac:dyDescent="0.35">
      <c r="A1925" t="s">
        <v>107</v>
      </c>
      <c r="E1925">
        <v>3.2362797503730826E-3</v>
      </c>
      <c r="F1925">
        <f t="shared" si="66"/>
        <v>-1.8187364946196466E-2</v>
      </c>
      <c r="G1925">
        <f t="shared" si="67"/>
        <v>-3.0126422142617588E-2</v>
      </c>
    </row>
    <row r="1926" spans="1:7" x14ac:dyDescent="0.35">
      <c r="A1926" t="s">
        <v>107</v>
      </c>
      <c r="E1926">
        <v>1.9107382752743359E-4</v>
      </c>
      <c r="F1926">
        <f t="shared" si="66"/>
        <v>-1.8188165478828778E-2</v>
      </c>
      <c r="G1926">
        <f t="shared" si="67"/>
        <v>-3.0126422142617588E-2</v>
      </c>
    </row>
    <row r="1927" spans="1:7" x14ac:dyDescent="0.35">
      <c r="A1927" t="s">
        <v>107</v>
      </c>
      <c r="E1927">
        <v>5.8732338216626993E-4</v>
      </c>
      <c r="F1927">
        <f t="shared" si="66"/>
        <v>-1.8188966011461093E-2</v>
      </c>
      <c r="G1927">
        <f t="shared" si="67"/>
        <v>-3.0126422142617588E-2</v>
      </c>
    </row>
    <row r="1928" spans="1:7" x14ac:dyDescent="0.35">
      <c r="A1928" t="s">
        <v>107</v>
      </c>
      <c r="E1928">
        <v>2.4522047156224878E-3</v>
      </c>
      <c r="F1928">
        <f t="shared" si="66"/>
        <v>-1.8189766544093409E-2</v>
      </c>
      <c r="G1928">
        <f t="shared" si="67"/>
        <v>-3.0126422142617588E-2</v>
      </c>
    </row>
    <row r="1929" spans="1:7" x14ac:dyDescent="0.35">
      <c r="A1929" t="s">
        <v>107</v>
      </c>
      <c r="E1929">
        <v>-6.0970819255004366E-4</v>
      </c>
      <c r="F1929">
        <f t="shared" si="66"/>
        <v>-1.8190567076725724E-2</v>
      </c>
      <c r="G1929">
        <f t="shared" si="67"/>
        <v>-3.0126422142617588E-2</v>
      </c>
    </row>
    <row r="1930" spans="1:7" x14ac:dyDescent="0.35">
      <c r="A1930" t="s">
        <v>107</v>
      </c>
      <c r="E1930">
        <v>1.9533762502957057E-4</v>
      </c>
      <c r="F1930">
        <f t="shared" si="66"/>
        <v>-1.819136760935804E-2</v>
      </c>
      <c r="G1930">
        <f t="shared" si="67"/>
        <v>-3.0126422142617588E-2</v>
      </c>
    </row>
    <row r="1931" spans="1:7" x14ac:dyDescent="0.35">
      <c r="A1931" t="s">
        <v>107</v>
      </c>
      <c r="E1931">
        <v>8.2460289410537255E-4</v>
      </c>
      <c r="F1931">
        <f t="shared" si="66"/>
        <v>-1.8192168141990355E-2</v>
      </c>
      <c r="G1931">
        <f t="shared" si="67"/>
        <v>-3.0126422142617588E-2</v>
      </c>
    </row>
    <row r="1932" spans="1:7" x14ac:dyDescent="0.35">
      <c r="A1932" t="s">
        <v>107</v>
      </c>
      <c r="E1932">
        <v>4.1333871942358102E-3</v>
      </c>
      <c r="F1932">
        <f t="shared" si="66"/>
        <v>-1.8192968674622671E-2</v>
      </c>
      <c r="G1932">
        <f t="shared" si="67"/>
        <v>-3.0126422142617588E-2</v>
      </c>
    </row>
    <row r="1933" spans="1:7" x14ac:dyDescent="0.35">
      <c r="A1933" t="s">
        <v>107</v>
      </c>
      <c r="E1933">
        <v>3.7252537555024119E-3</v>
      </c>
      <c r="F1933">
        <f t="shared" si="66"/>
        <v>-1.8193769207254986E-2</v>
      </c>
      <c r="G1933">
        <f t="shared" si="67"/>
        <v>-3.0126422142617588E-2</v>
      </c>
    </row>
    <row r="1934" spans="1:7" x14ac:dyDescent="0.35">
      <c r="A1934" t="s">
        <v>107</v>
      </c>
      <c r="E1934">
        <v>9.7292522486137917E-3</v>
      </c>
      <c r="F1934">
        <f t="shared" si="66"/>
        <v>-1.8194569739887301E-2</v>
      </c>
      <c r="G1934">
        <f t="shared" si="67"/>
        <v>-3.0126422142617588E-2</v>
      </c>
    </row>
    <row r="1935" spans="1:7" x14ac:dyDescent="0.35">
      <c r="A1935" t="s">
        <v>108</v>
      </c>
      <c r="B1935" s="3" cm="1">
        <f t="array" ref="B1935">_xlfn.STDEV.S(_xlfn._xlws.FILTER($E$1000:$E$1998, $A$1000:$A$1998="2017-10"))</f>
        <v>4.0452992142249317E-3</v>
      </c>
      <c r="C1935" s="3" cm="1">
        <f t="array" ref="C1935">AVERAGE(_xlfn._xlws.FILTER($E$1000:$E$1998, $A$1000:$A$1998="2017-10"))</f>
        <v>1.5378577638552801E-3</v>
      </c>
      <c r="D1935" s="3" cm="1">
        <f t="array" ref="D1935">_xlfn.PERCENTILE.EXC(_xlfn._xlws.FILTER($E$1498:$E$2489, $A$1498:$A$2489="2017-10"), 0.05)</f>
        <v>-4.5774834288331732E-3</v>
      </c>
      <c r="E1935">
        <v>5.7353961951947538E-3</v>
      </c>
      <c r="F1935">
        <f t="shared" si="66"/>
        <v>-1.8195370272519613E-2</v>
      </c>
      <c r="G1935">
        <f t="shared" si="67"/>
        <v>-3.0126422142617588E-2</v>
      </c>
    </row>
    <row r="1936" spans="1:7" x14ac:dyDescent="0.35">
      <c r="A1936" t="s">
        <v>108</v>
      </c>
      <c r="E1936">
        <v>5.2463734187609126E-3</v>
      </c>
      <c r="F1936">
        <f t="shared" si="66"/>
        <v>-1.8196170805151929E-2</v>
      </c>
      <c r="G1936">
        <f t="shared" si="67"/>
        <v>-3.0126422142617588E-2</v>
      </c>
    </row>
    <row r="1937" spans="1:7" x14ac:dyDescent="0.35">
      <c r="A1937" t="s">
        <v>108</v>
      </c>
      <c r="E1937">
        <v>-1.9044997526596801E-4</v>
      </c>
      <c r="F1937">
        <f t="shared" si="66"/>
        <v>-1.8196971337784244E-2</v>
      </c>
      <c r="G1937">
        <f t="shared" si="67"/>
        <v>-3.0126422142617588E-2</v>
      </c>
    </row>
    <row r="1938" spans="1:7" x14ac:dyDescent="0.35">
      <c r="A1938" t="s">
        <v>108</v>
      </c>
      <c r="E1938">
        <v>-9.342698312150388E-4</v>
      </c>
      <c r="F1938">
        <f t="shared" si="66"/>
        <v>-1.819777187041656E-2</v>
      </c>
      <c r="G1938">
        <f t="shared" si="67"/>
        <v>-3.0126422142617588E-2</v>
      </c>
    </row>
    <row r="1939" spans="1:7" x14ac:dyDescent="0.35">
      <c r="A1939" t="s">
        <v>108</v>
      </c>
      <c r="E1939">
        <v>1.5779527991178579E-3</v>
      </c>
      <c r="F1939">
        <f t="shared" si="66"/>
        <v>-1.8198572403048875E-2</v>
      </c>
      <c r="G1939">
        <f t="shared" si="67"/>
        <v>-3.0126422142617588E-2</v>
      </c>
    </row>
    <row r="1940" spans="1:7" x14ac:dyDescent="0.35">
      <c r="A1940" t="s">
        <v>108</v>
      </c>
      <c r="E1940">
        <v>-2.0944516280185679E-3</v>
      </c>
      <c r="F1940">
        <f t="shared" si="66"/>
        <v>-1.8199372935681191E-2</v>
      </c>
      <c r="G1940">
        <f t="shared" si="67"/>
        <v>-3.0126422142617588E-2</v>
      </c>
    </row>
    <row r="1941" spans="1:7" x14ac:dyDescent="0.35">
      <c r="A1941" t="s">
        <v>108</v>
      </c>
      <c r="E1941">
        <v>1.6535542251001031E-3</v>
      </c>
      <c r="F1941">
        <f t="shared" si="66"/>
        <v>-1.8200731030863494E-2</v>
      </c>
      <c r="G1941">
        <f t="shared" si="67"/>
        <v>-3.0254669983552394E-2</v>
      </c>
    </row>
    <row r="1942" spans="1:7" x14ac:dyDescent="0.35">
      <c r="A1942" t="s">
        <v>108</v>
      </c>
      <c r="E1942">
        <v>9.4091108859449698E-4</v>
      </c>
      <c r="F1942">
        <f t="shared" si="66"/>
        <v>-1.8202089126045796E-2</v>
      </c>
      <c r="G1942">
        <f t="shared" si="67"/>
        <v>-3.0254669983552394E-2</v>
      </c>
    </row>
    <row r="1943" spans="1:7" x14ac:dyDescent="0.35">
      <c r="A1943" t="s">
        <v>108</v>
      </c>
      <c r="E1943">
        <v>6.9144048744021567E-4</v>
      </c>
      <c r="F1943">
        <f t="shared" si="66"/>
        <v>-1.8203447221228099E-2</v>
      </c>
      <c r="G1943">
        <f t="shared" si="67"/>
        <v>-3.0254669983552394E-2</v>
      </c>
    </row>
    <row r="1944" spans="1:7" x14ac:dyDescent="0.35">
      <c r="A1944" t="s">
        <v>108</v>
      </c>
      <c r="E1944">
        <v>9.1015513925234235E-4</v>
      </c>
      <c r="F1944">
        <f t="shared" si="66"/>
        <v>-1.8204805316410402E-2</v>
      </c>
      <c r="G1944">
        <f t="shared" si="67"/>
        <v>-3.0254669983552394E-2</v>
      </c>
    </row>
    <row r="1945" spans="1:7" x14ac:dyDescent="0.35">
      <c r="A1945" t="s">
        <v>108</v>
      </c>
      <c r="E1945">
        <v>-6.6464710763627054E-4</v>
      </c>
      <c r="F1945">
        <f t="shared" si="66"/>
        <v>-1.8206163411592705E-2</v>
      </c>
      <c r="G1945">
        <f t="shared" si="67"/>
        <v>-3.0254669983552394E-2</v>
      </c>
    </row>
    <row r="1946" spans="1:7" x14ac:dyDescent="0.35">
      <c r="A1946" t="s">
        <v>108</v>
      </c>
      <c r="E1946">
        <v>3.6846062265964577E-3</v>
      </c>
      <c r="F1946">
        <f t="shared" si="66"/>
        <v>-1.8207521506775008E-2</v>
      </c>
      <c r="G1946">
        <f t="shared" si="67"/>
        <v>-3.0254669983552394E-2</v>
      </c>
    </row>
    <row r="1947" spans="1:7" x14ac:dyDescent="0.35">
      <c r="A1947" t="s">
        <v>108</v>
      </c>
      <c r="E1947">
        <v>-4.0663625875531238E-3</v>
      </c>
      <c r="F1947">
        <f t="shared" si="66"/>
        <v>-1.8208879601957311E-2</v>
      </c>
      <c r="G1947">
        <f t="shared" si="67"/>
        <v>-3.0254669983552394E-2</v>
      </c>
    </row>
    <row r="1948" spans="1:7" x14ac:dyDescent="0.35">
      <c r="A1948" t="s">
        <v>108</v>
      </c>
      <c r="E1948">
        <v>9.0834282152193839E-5</v>
      </c>
      <c r="F1948">
        <f t="shared" si="66"/>
        <v>-1.8210237697139614E-2</v>
      </c>
      <c r="G1948">
        <f t="shared" si="67"/>
        <v>-3.0254669983552394E-2</v>
      </c>
    </row>
    <row r="1949" spans="1:7" x14ac:dyDescent="0.35">
      <c r="A1949" t="s">
        <v>108</v>
      </c>
      <c r="E1949">
        <v>9.1250359292078989E-4</v>
      </c>
      <c r="F1949">
        <f t="shared" si="66"/>
        <v>-1.8211595792321917E-2</v>
      </c>
      <c r="G1949">
        <f t="shared" si="67"/>
        <v>-3.0254669983552394E-2</v>
      </c>
    </row>
    <row r="1950" spans="1:7" x14ac:dyDescent="0.35">
      <c r="A1950" t="s">
        <v>108</v>
      </c>
      <c r="E1950">
        <v>7.7259171450418281E-4</v>
      </c>
      <c r="F1950">
        <f t="shared" si="66"/>
        <v>-1.821295388750422E-2</v>
      </c>
      <c r="G1950">
        <f t="shared" si="67"/>
        <v>-3.0254669983552394E-2</v>
      </c>
    </row>
    <row r="1951" spans="1:7" x14ac:dyDescent="0.35">
      <c r="A1951" t="s">
        <v>108</v>
      </c>
      <c r="E1951">
        <v>-4.6043845257426495E-3</v>
      </c>
      <c r="F1951">
        <f t="shared" si="66"/>
        <v>-1.8214311982686526E-2</v>
      </c>
      <c r="G1951">
        <f t="shared" si="67"/>
        <v>-3.0254669983552394E-2</v>
      </c>
    </row>
    <row r="1952" spans="1:7" x14ac:dyDescent="0.35">
      <c r="A1952" t="s">
        <v>108</v>
      </c>
      <c r="E1952">
        <v>1.3790392767708638E-2</v>
      </c>
      <c r="F1952">
        <f t="shared" si="66"/>
        <v>-1.8215670077868829E-2</v>
      </c>
      <c r="G1952">
        <f t="shared" si="67"/>
        <v>-3.0254669983552394E-2</v>
      </c>
    </row>
    <row r="1953" spans="1:7" x14ac:dyDescent="0.35">
      <c r="A1953" t="s">
        <v>108</v>
      </c>
      <c r="E1953">
        <v>6.3952686999639201E-3</v>
      </c>
      <c r="F1953">
        <f t="shared" si="66"/>
        <v>-1.8217028173051132E-2</v>
      </c>
      <c r="G1953">
        <f t="shared" si="67"/>
        <v>-3.0254669983552394E-2</v>
      </c>
    </row>
    <row r="1954" spans="1:7" x14ac:dyDescent="0.35">
      <c r="A1954" t="s">
        <v>108</v>
      </c>
      <c r="E1954">
        <v>9.0974029523036156E-4</v>
      </c>
      <c r="F1954">
        <f t="shared" si="66"/>
        <v>-1.8218386268233435E-2</v>
      </c>
      <c r="G1954">
        <f t="shared" si="67"/>
        <v>-3.0254669983552394E-2</v>
      </c>
    </row>
    <row r="1955" spans="1:7" x14ac:dyDescent="0.35">
      <c r="A1955" t="s">
        <v>109</v>
      </c>
      <c r="B1955" s="3" cm="1">
        <f t="array" ref="B1955">_xlfn.STDEV.S(_xlfn._xlws.FILTER($E$1000:$E$1998, $A$1000:$A$1998="2017-11"))</f>
        <v>6.8628444835980591E-3</v>
      </c>
      <c r="C1955" s="3" cm="1">
        <f t="array" ref="C1955">AVERAGE(_xlfn._xlws.FILTER($E$1000:$E$1998, $A$1000:$A$1998="2017-11"))</f>
        <v>-7.1191827620689868E-4</v>
      </c>
      <c r="D1955" s="3" cm="1">
        <f t="array" ref="D1955">_xlfn.PERCENTILE.EXC(_xlfn._xlws.FILTER($E$1498:$E$2489, $A$1498:$A$2489="2017-11"), 0.05)</f>
        <v>-1.4537451949019342E-2</v>
      </c>
      <c r="E1955">
        <v>1.7677125812013361E-2</v>
      </c>
      <c r="F1955">
        <f t="shared" si="66"/>
        <v>-1.8219744363415738E-2</v>
      </c>
      <c r="G1955">
        <f t="shared" si="67"/>
        <v>-3.0254669983552394E-2</v>
      </c>
    </row>
    <row r="1956" spans="1:7" x14ac:dyDescent="0.35">
      <c r="A1956" t="s">
        <v>109</v>
      </c>
      <c r="E1956">
        <v>-1.8270723914224501E-3</v>
      </c>
      <c r="F1956">
        <f t="shared" si="66"/>
        <v>-1.8221102458598041E-2</v>
      </c>
      <c r="G1956">
        <f t="shared" si="67"/>
        <v>-3.0254669983552394E-2</v>
      </c>
    </row>
    <row r="1957" spans="1:7" x14ac:dyDescent="0.35">
      <c r="A1957" t="s">
        <v>109</v>
      </c>
      <c r="E1957">
        <v>2.818003045389296E-3</v>
      </c>
      <c r="F1957">
        <f t="shared" si="66"/>
        <v>-1.8222460553780344E-2</v>
      </c>
      <c r="G1957">
        <f t="shared" si="67"/>
        <v>-3.0254669983552394E-2</v>
      </c>
    </row>
    <row r="1958" spans="1:7" x14ac:dyDescent="0.35">
      <c r="A1958" t="s">
        <v>109</v>
      </c>
      <c r="E1958">
        <v>-7.4737503780351552E-4</v>
      </c>
      <c r="F1958">
        <f t="shared" si="66"/>
        <v>-1.8223818648962647E-2</v>
      </c>
      <c r="G1958">
        <f t="shared" si="67"/>
        <v>-3.0254669983552394E-2</v>
      </c>
    </row>
    <row r="1959" spans="1:7" x14ac:dyDescent="0.35">
      <c r="A1959" t="s">
        <v>109</v>
      </c>
      <c r="E1959">
        <v>-6.6686629688629288E-3</v>
      </c>
      <c r="F1959">
        <f t="shared" si="66"/>
        <v>-1.822517674414495E-2</v>
      </c>
      <c r="G1959">
        <f t="shared" si="67"/>
        <v>-3.0254669983552394E-2</v>
      </c>
    </row>
    <row r="1960" spans="1:7" x14ac:dyDescent="0.35">
      <c r="A1960" t="s">
        <v>109</v>
      </c>
      <c r="E1960">
        <v>2.3541114290975707E-4</v>
      </c>
      <c r="F1960">
        <f t="shared" si="66"/>
        <v>-1.8226534839327253E-2</v>
      </c>
      <c r="G1960">
        <f t="shared" si="67"/>
        <v>-3.0254669983552394E-2</v>
      </c>
    </row>
    <row r="1961" spans="1:7" x14ac:dyDescent="0.35">
      <c r="A1961" t="s">
        <v>109</v>
      </c>
      <c r="E1961">
        <v>-1.5047161410399216E-2</v>
      </c>
      <c r="F1961">
        <f t="shared" si="66"/>
        <v>-1.8234822908293542E-2</v>
      </c>
      <c r="G1961">
        <f t="shared" si="67"/>
        <v>-3.0385410582946141E-2</v>
      </c>
    </row>
    <row r="1962" spans="1:7" x14ac:dyDescent="0.35">
      <c r="A1962" t="s">
        <v>109</v>
      </c>
      <c r="E1962">
        <v>-4.1877626525743429E-3</v>
      </c>
      <c r="F1962">
        <f t="shared" si="66"/>
        <v>-1.8243110977259835E-2</v>
      </c>
      <c r="G1962">
        <f t="shared" si="67"/>
        <v>-3.0385410582946141E-2</v>
      </c>
    </row>
    <row r="1963" spans="1:7" x14ac:dyDescent="0.35">
      <c r="A1963" t="s">
        <v>109</v>
      </c>
      <c r="E1963">
        <v>-4.0493317458222032E-3</v>
      </c>
      <c r="F1963">
        <f t="shared" si="66"/>
        <v>-1.8251399046226125E-2</v>
      </c>
      <c r="G1963">
        <f t="shared" si="67"/>
        <v>-3.0385410582946141E-2</v>
      </c>
    </row>
    <row r="1964" spans="1:7" x14ac:dyDescent="0.35">
      <c r="A1964" t="s">
        <v>109</v>
      </c>
      <c r="E1964">
        <v>-3.1362180456247337E-3</v>
      </c>
      <c r="F1964">
        <f t="shared" si="66"/>
        <v>-1.8259687115192415E-2</v>
      </c>
      <c r="G1964">
        <f t="shared" si="67"/>
        <v>-3.0385410582946141E-2</v>
      </c>
    </row>
    <row r="1965" spans="1:7" x14ac:dyDescent="0.35">
      <c r="A1965" t="s">
        <v>109</v>
      </c>
      <c r="E1965">
        <v>-4.3914203102642787E-3</v>
      </c>
      <c r="F1965">
        <f t="shared" si="66"/>
        <v>-1.8267975184158708E-2</v>
      </c>
      <c r="G1965">
        <f t="shared" si="67"/>
        <v>-3.0385410582946141E-2</v>
      </c>
    </row>
    <row r="1966" spans="1:7" x14ac:dyDescent="0.35">
      <c r="A1966" t="s">
        <v>109</v>
      </c>
      <c r="E1966">
        <v>5.4450731087826981E-3</v>
      </c>
      <c r="F1966">
        <f t="shared" si="66"/>
        <v>-1.8276263253125001E-2</v>
      </c>
      <c r="G1966">
        <f t="shared" si="67"/>
        <v>-3.0385410582946141E-2</v>
      </c>
    </row>
    <row r="1967" spans="1:7" x14ac:dyDescent="0.35">
      <c r="A1967" t="s">
        <v>109</v>
      </c>
      <c r="E1967">
        <v>-4.1081508338808564E-3</v>
      </c>
      <c r="F1967">
        <f t="shared" si="66"/>
        <v>-1.8284551322091291E-2</v>
      </c>
      <c r="G1967">
        <f t="shared" si="67"/>
        <v>-3.0385410582946141E-2</v>
      </c>
    </row>
    <row r="1968" spans="1:7" x14ac:dyDescent="0.35">
      <c r="A1968" t="s">
        <v>109</v>
      </c>
      <c r="E1968">
        <v>4.9845817936711037E-3</v>
      </c>
      <c r="F1968">
        <f t="shared" si="66"/>
        <v>-1.829283939105758E-2</v>
      </c>
      <c r="G1968">
        <f t="shared" si="67"/>
        <v>-3.0385410582946141E-2</v>
      </c>
    </row>
    <row r="1969" spans="1:7" x14ac:dyDescent="0.35">
      <c r="A1969" t="s">
        <v>109</v>
      </c>
      <c r="E1969">
        <v>8.3031949380787413E-3</v>
      </c>
      <c r="F1969">
        <f t="shared" si="66"/>
        <v>-1.8301127460023874E-2</v>
      </c>
      <c r="G1969">
        <f t="shared" si="67"/>
        <v>-3.0385410582946141E-2</v>
      </c>
    </row>
    <row r="1970" spans="1:7" x14ac:dyDescent="0.35">
      <c r="A1970" t="s">
        <v>109</v>
      </c>
      <c r="E1970">
        <v>-1.1649098334533398E-2</v>
      </c>
      <c r="F1970">
        <f t="shared" si="66"/>
        <v>-1.8309415528990167E-2</v>
      </c>
      <c r="G1970">
        <f t="shared" si="67"/>
        <v>-3.0385410582946141E-2</v>
      </c>
    </row>
    <row r="1971" spans="1:7" x14ac:dyDescent="0.35">
      <c r="A1971" t="s">
        <v>109</v>
      </c>
      <c r="E1971">
        <v>-4.9877823425205294E-4</v>
      </c>
      <c r="F1971">
        <f t="shared" si="66"/>
        <v>-1.8317703597956456E-2</v>
      </c>
      <c r="G1971">
        <f t="shared" si="67"/>
        <v>-3.0385410582946141E-2</v>
      </c>
    </row>
    <row r="1972" spans="1:7" x14ac:dyDescent="0.35">
      <c r="A1972" t="s">
        <v>109</v>
      </c>
      <c r="E1972">
        <v>3.9350390402672257E-3</v>
      </c>
      <c r="F1972">
        <f t="shared" si="66"/>
        <v>-1.8325991666922746E-2</v>
      </c>
      <c r="G1972">
        <f t="shared" si="67"/>
        <v>-3.0385410582946141E-2</v>
      </c>
    </row>
    <row r="1973" spans="1:7" x14ac:dyDescent="0.35">
      <c r="A1973" t="s">
        <v>109</v>
      </c>
      <c r="E1973">
        <v>-4.5771306661144436E-3</v>
      </c>
      <c r="F1973">
        <f t="shared" si="66"/>
        <v>-1.8334279735889036E-2</v>
      </c>
      <c r="G1973">
        <f t="shared" si="67"/>
        <v>-3.0385410582946141E-2</v>
      </c>
    </row>
    <row r="1974" spans="1:7" x14ac:dyDescent="0.35">
      <c r="A1974" t="s">
        <v>109</v>
      </c>
      <c r="E1974">
        <v>4.5533934932796205E-3</v>
      </c>
      <c r="F1974">
        <f t="shared" si="66"/>
        <v>-1.8342567804855329E-2</v>
      </c>
      <c r="G1974">
        <f t="shared" si="67"/>
        <v>-3.0385410582946141E-2</v>
      </c>
    </row>
    <row r="1975" spans="1:7" x14ac:dyDescent="0.35">
      <c r="A1975" t="s">
        <v>109</v>
      </c>
      <c r="E1975">
        <v>1.7916344501141057E-4</v>
      </c>
      <c r="F1975">
        <f t="shared" si="66"/>
        <v>-1.8350855873821622E-2</v>
      </c>
      <c r="G1975">
        <f t="shared" si="67"/>
        <v>-3.0385410582946141E-2</v>
      </c>
    </row>
    <row r="1976" spans="1:7" x14ac:dyDescent="0.35">
      <c r="A1976" t="s">
        <v>109</v>
      </c>
      <c r="E1976">
        <v>-2.905025264400566E-3</v>
      </c>
      <c r="F1976">
        <f t="shared" si="66"/>
        <v>-1.8359143942787912E-2</v>
      </c>
      <c r="G1976">
        <f t="shared" si="67"/>
        <v>-3.0385410582946141E-2</v>
      </c>
    </row>
    <row r="1977" spans="1:7" x14ac:dyDescent="0.35">
      <c r="A1977" t="s">
        <v>110</v>
      </c>
      <c r="B1977" s="3" cm="1">
        <f t="array" ref="B1977">_xlfn.STDEV.S(_xlfn._xlws.FILTER($E$1000:$E$1998, $A$1000:$A$1998="2017-12"))</f>
        <v>7.7082850097505108E-3</v>
      </c>
      <c r="C1977" s="3" cm="1">
        <f t="array" ref="C1977">AVERAGE(_xlfn._xlws.FILTER($E$1000:$E$1998, $A$1000:$A$1998="2017-12"))</f>
        <v>-4.3149760534459734E-4</v>
      </c>
      <c r="D1977" s="3" cm="1">
        <f t="array" ref="D1977">_xlfn.PERCENTILE.EXC(_xlfn._xlws.FILTER($E$1498:$E$2489, $A$1498:$A$2489="2017-12"), 0.05)</f>
        <v>-1.2554698393087673E-2</v>
      </c>
      <c r="E1977">
        <v>-1.2554698393087673E-2</v>
      </c>
      <c r="F1977">
        <f t="shared" si="66"/>
        <v>-1.8367432011754201E-2</v>
      </c>
      <c r="G1977">
        <f t="shared" si="67"/>
        <v>-3.0385410582946141E-2</v>
      </c>
    </row>
    <row r="1978" spans="1:7" x14ac:dyDescent="0.35">
      <c r="A1978" t="s">
        <v>110</v>
      </c>
      <c r="E1978">
        <v>1.5205516411365817E-2</v>
      </c>
      <c r="F1978">
        <f t="shared" si="66"/>
        <v>-1.8375720080720494E-2</v>
      </c>
      <c r="G1978">
        <f t="shared" si="67"/>
        <v>-3.0385410582946141E-2</v>
      </c>
    </row>
    <row r="1979" spans="1:7" x14ac:dyDescent="0.35">
      <c r="A1979" t="s">
        <v>110</v>
      </c>
      <c r="E1979">
        <v>-7.6684153542404591E-4</v>
      </c>
      <c r="F1979">
        <f t="shared" si="66"/>
        <v>-1.8384008149686784E-2</v>
      </c>
      <c r="G1979">
        <f t="shared" si="67"/>
        <v>-3.0385410582946141E-2</v>
      </c>
    </row>
    <row r="1980" spans="1:7" x14ac:dyDescent="0.35">
      <c r="A1980" t="s">
        <v>110</v>
      </c>
      <c r="E1980">
        <v>-3.815358105201326E-3</v>
      </c>
      <c r="F1980">
        <f t="shared" si="66"/>
        <v>-1.8392296218653077E-2</v>
      </c>
      <c r="G1980">
        <f t="shared" si="67"/>
        <v>-3.0385410582946141E-2</v>
      </c>
    </row>
    <row r="1981" spans="1:7" x14ac:dyDescent="0.35">
      <c r="A1981" t="s">
        <v>110</v>
      </c>
      <c r="E1981">
        <v>3.5555251709499199E-3</v>
      </c>
      <c r="F1981">
        <f t="shared" si="66"/>
        <v>-1.8393330202714768E-2</v>
      </c>
      <c r="G1981">
        <f t="shared" si="67"/>
        <v>-3.0517203048487825E-2</v>
      </c>
    </row>
    <row r="1982" spans="1:7" x14ac:dyDescent="0.35">
      <c r="A1982" t="s">
        <v>110</v>
      </c>
      <c r="E1982">
        <v>8.2866706872106767E-3</v>
      </c>
      <c r="F1982">
        <f t="shared" si="66"/>
        <v>-1.8394364186776462E-2</v>
      </c>
      <c r="G1982">
        <f t="shared" si="67"/>
        <v>-3.0517203048487825E-2</v>
      </c>
    </row>
    <row r="1983" spans="1:7" x14ac:dyDescent="0.35">
      <c r="A1983" t="s">
        <v>110</v>
      </c>
      <c r="E1983">
        <v>-2.2871418236116484E-3</v>
      </c>
      <c r="F1983">
        <f t="shared" si="66"/>
        <v>-1.8395398170838153E-2</v>
      </c>
      <c r="G1983">
        <f t="shared" si="67"/>
        <v>-3.0517203048487825E-2</v>
      </c>
    </row>
    <row r="1984" spans="1:7" x14ac:dyDescent="0.35">
      <c r="A1984" t="s">
        <v>110</v>
      </c>
      <c r="E1984">
        <v>4.5523772151492056E-3</v>
      </c>
      <c r="F1984">
        <f t="shared" si="66"/>
        <v>-1.8396432154899844E-2</v>
      </c>
      <c r="G1984">
        <f t="shared" si="67"/>
        <v>-3.0517203048487825E-2</v>
      </c>
    </row>
    <row r="1985" spans="1:7" x14ac:dyDescent="0.35">
      <c r="A1985" t="s">
        <v>110</v>
      </c>
      <c r="E1985">
        <v>-4.4007540661946416E-3</v>
      </c>
      <c r="F1985">
        <f t="shared" si="66"/>
        <v>-1.8397466138961538E-2</v>
      </c>
      <c r="G1985">
        <f t="shared" si="67"/>
        <v>-3.0517203048487825E-2</v>
      </c>
    </row>
    <row r="1986" spans="1:7" x14ac:dyDescent="0.35">
      <c r="A1986" t="s">
        <v>110</v>
      </c>
      <c r="E1986">
        <v>-4.394953649237243E-3</v>
      </c>
      <c r="F1986">
        <f t="shared" si="66"/>
        <v>-1.8398500123023229E-2</v>
      </c>
      <c r="G1986">
        <f t="shared" si="67"/>
        <v>-3.0517203048487825E-2</v>
      </c>
    </row>
    <row r="1987" spans="1:7" x14ac:dyDescent="0.35">
      <c r="A1987" t="s">
        <v>110</v>
      </c>
      <c r="E1987">
        <v>2.7113334690089205E-3</v>
      </c>
      <c r="F1987">
        <f t="shared" si="66"/>
        <v>-1.8399534107084919E-2</v>
      </c>
      <c r="G1987">
        <f t="shared" si="67"/>
        <v>-3.0517203048487825E-2</v>
      </c>
    </row>
    <row r="1988" spans="1:7" x14ac:dyDescent="0.35">
      <c r="A1988" t="s">
        <v>110</v>
      </c>
      <c r="E1988">
        <v>1.5804470869213962E-2</v>
      </c>
      <c r="F1988">
        <f t="shared" ref="F1988:F2051" si="68">_xlfn.PERCENTILE.EXC(E1988:E5803,0.05)</f>
        <v>-1.8400568091146614E-2</v>
      </c>
      <c r="G1988">
        <f t="shared" ref="G1988:G2051" si="69">AVERAGEIFS(E1988:E5804,E1988:E5804,"&lt;=" &amp; F1988)</f>
        <v>-3.0517203048487825E-2</v>
      </c>
    </row>
    <row r="1989" spans="1:7" x14ac:dyDescent="0.35">
      <c r="A1989" t="s">
        <v>110</v>
      </c>
      <c r="E1989">
        <v>-7.2760930607427996E-3</v>
      </c>
      <c r="F1989">
        <f t="shared" si="68"/>
        <v>-1.8401602075208304E-2</v>
      </c>
      <c r="G1989">
        <f t="shared" si="69"/>
        <v>-3.0517203048487825E-2</v>
      </c>
    </row>
    <row r="1990" spans="1:7" x14ac:dyDescent="0.35">
      <c r="A1990" t="s">
        <v>110</v>
      </c>
      <c r="E1990">
        <v>-1.1156305410326368E-2</v>
      </c>
      <c r="F1990">
        <f t="shared" si="68"/>
        <v>-1.8402636059269999E-2</v>
      </c>
      <c r="G1990">
        <f t="shared" si="69"/>
        <v>-3.0517203048487825E-2</v>
      </c>
    </row>
    <row r="1991" spans="1:7" x14ac:dyDescent="0.35">
      <c r="A1991" t="s">
        <v>110</v>
      </c>
      <c r="E1991">
        <v>3.0994439782367125E-3</v>
      </c>
      <c r="F1991">
        <f t="shared" si="68"/>
        <v>-1.8403670043331689E-2</v>
      </c>
      <c r="G1991">
        <f t="shared" si="69"/>
        <v>-3.0517203048487825E-2</v>
      </c>
    </row>
    <row r="1992" spans="1:7" x14ac:dyDescent="0.35">
      <c r="A1992" t="s">
        <v>110</v>
      </c>
      <c r="E1992">
        <v>-2.8224945817002843E-3</v>
      </c>
      <c r="F1992">
        <f t="shared" si="68"/>
        <v>-1.840470402739338E-2</v>
      </c>
      <c r="G1992">
        <f t="shared" si="69"/>
        <v>-3.0517203048487825E-2</v>
      </c>
    </row>
    <row r="1993" spans="1:7" x14ac:dyDescent="0.35">
      <c r="A1993" t="s">
        <v>110</v>
      </c>
      <c r="E1993">
        <v>-2.1191295123719492E-4</v>
      </c>
      <c r="F1993">
        <f t="shared" si="68"/>
        <v>-1.8405738011455071E-2</v>
      </c>
      <c r="G1993">
        <f t="shared" si="69"/>
        <v>-3.0517203048487825E-2</v>
      </c>
    </row>
    <row r="1994" spans="1:7" x14ac:dyDescent="0.35">
      <c r="A1994" t="s">
        <v>110</v>
      </c>
      <c r="E1994">
        <v>-6.9159690877297402E-3</v>
      </c>
      <c r="F1994">
        <f t="shared" si="68"/>
        <v>-1.8406771995516765E-2</v>
      </c>
      <c r="G1994">
        <f t="shared" si="69"/>
        <v>-3.0517203048487825E-2</v>
      </c>
    </row>
    <row r="1995" spans="1:7" x14ac:dyDescent="0.35">
      <c r="A1995" t="s">
        <v>110</v>
      </c>
      <c r="E1995">
        <v>-4.811269638189601E-3</v>
      </c>
      <c r="F1995">
        <f t="shared" si="68"/>
        <v>-1.8407805979578456E-2</v>
      </c>
      <c r="G1995">
        <f t="shared" si="69"/>
        <v>-3.0517203048487825E-2</v>
      </c>
    </row>
    <row r="1996" spans="1:7" x14ac:dyDescent="0.35">
      <c r="A1996" t="s">
        <v>111</v>
      </c>
      <c r="B1996" s="3" cm="1">
        <f t="array" ref="B1996">_xlfn.STDEV.S(_xlfn._xlws.FILTER($E$1000:$E$1998, $A$1000:$A$1998="2018-01"))</f>
        <v>9.1917735606226771E-3</v>
      </c>
      <c r="C1996" s="3" cm="1">
        <f t="array" ref="C1996">AVERAGE(_xlfn._xlws.FILTER($E$1000:$E$1998, $A$1000:$A$1998="2018-01"))</f>
        <v>6.3958237281509173E-3</v>
      </c>
      <c r="D1996" s="3" cm="1">
        <f t="array" ref="D1996">_xlfn.PERCENTILE.EXC(_xlfn._xlws.FILTER($E$1498:$E$2489, $A$1498:$A$2489="2018-01"), 0.05)</f>
        <v>-1.0563521260119727E-2</v>
      </c>
      <c r="E1996">
        <v>-3.5868002468000615E-3</v>
      </c>
      <c r="F1996">
        <f t="shared" si="68"/>
        <v>-1.840883996364015E-2</v>
      </c>
      <c r="G1996">
        <f t="shared" si="69"/>
        <v>-3.0517203048487825E-2</v>
      </c>
    </row>
    <row r="1997" spans="1:7" x14ac:dyDescent="0.35">
      <c r="A1997" t="s">
        <v>111</v>
      </c>
      <c r="E1997">
        <v>8.2647784137129116E-3</v>
      </c>
      <c r="F1997">
        <f t="shared" si="68"/>
        <v>-1.8409873947701841E-2</v>
      </c>
      <c r="G1997">
        <f t="shared" si="69"/>
        <v>-3.0517203048487825E-2</v>
      </c>
    </row>
    <row r="1998" spans="1:7" x14ac:dyDescent="0.35">
      <c r="A1998" t="s">
        <v>111</v>
      </c>
      <c r="E1998">
        <v>1.4509493017539902E-2</v>
      </c>
      <c r="F1998">
        <f t="shared" si="68"/>
        <v>-1.8410907931763532E-2</v>
      </c>
      <c r="G1998">
        <f t="shared" si="69"/>
        <v>-3.0517203048487825E-2</v>
      </c>
    </row>
    <row r="1999" spans="1:7" x14ac:dyDescent="0.35">
      <c r="A1999" t="s">
        <v>111</v>
      </c>
      <c r="E1999">
        <v>1.1458347404603891E-2</v>
      </c>
      <c r="F1999">
        <f t="shared" si="68"/>
        <v>-1.8411941915825226E-2</v>
      </c>
      <c r="G1999">
        <f t="shared" si="69"/>
        <v>-3.0517203048487825E-2</v>
      </c>
    </row>
    <row r="2000" spans="1:7" x14ac:dyDescent="0.35">
      <c r="A2000" t="s">
        <v>111</v>
      </c>
      <c r="E2000">
        <v>3.6076962264411081E-3</v>
      </c>
      <c r="F2000">
        <f t="shared" si="68"/>
        <v>-1.8412975899886917E-2</v>
      </c>
      <c r="G2000">
        <f t="shared" si="69"/>
        <v>-3.0517203048487825E-2</v>
      </c>
    </row>
    <row r="2001" spans="1:7" x14ac:dyDescent="0.35">
      <c r="A2001" t="s">
        <v>111</v>
      </c>
      <c r="E2001">
        <v>1.3314212475627977E-3</v>
      </c>
      <c r="F2001">
        <f t="shared" si="68"/>
        <v>-1.8423307983547046E-2</v>
      </c>
      <c r="G2001">
        <f t="shared" si="69"/>
        <v>-3.0651694461250059E-2</v>
      </c>
    </row>
    <row r="2002" spans="1:7" x14ac:dyDescent="0.35">
      <c r="A2002" t="s">
        <v>111</v>
      </c>
      <c r="E2002">
        <v>-7.8187126216650617E-3</v>
      </c>
      <c r="F2002">
        <f t="shared" si="68"/>
        <v>-1.8433640067207178E-2</v>
      </c>
      <c r="G2002">
        <f t="shared" si="69"/>
        <v>-3.0651694461250059E-2</v>
      </c>
    </row>
    <row r="2003" spans="1:7" x14ac:dyDescent="0.35">
      <c r="A2003" t="s">
        <v>111</v>
      </c>
      <c r="E2003">
        <v>-5.9235401401413548E-3</v>
      </c>
      <c r="F2003">
        <f t="shared" si="68"/>
        <v>-1.8443972150867308E-2</v>
      </c>
      <c r="G2003">
        <f t="shared" si="69"/>
        <v>-3.0651694461250059E-2</v>
      </c>
    </row>
    <row r="2004" spans="1:7" x14ac:dyDescent="0.35">
      <c r="A2004" t="s">
        <v>111</v>
      </c>
      <c r="E2004">
        <v>3.1858852949533953E-3</v>
      </c>
      <c r="F2004">
        <f t="shared" si="68"/>
        <v>-1.8454304234527437E-2</v>
      </c>
      <c r="G2004">
        <f t="shared" si="69"/>
        <v>-3.0651694461250059E-2</v>
      </c>
    </row>
    <row r="2005" spans="1:7" x14ac:dyDescent="0.35">
      <c r="A2005" t="s">
        <v>111</v>
      </c>
      <c r="E2005">
        <v>-3.3669225175339658E-3</v>
      </c>
      <c r="F2005">
        <f t="shared" si="68"/>
        <v>-1.8464636318187573E-2</v>
      </c>
      <c r="G2005">
        <f t="shared" si="69"/>
        <v>-3.0651694461250059E-2</v>
      </c>
    </row>
    <row r="2006" spans="1:7" x14ac:dyDescent="0.35">
      <c r="A2006" t="s">
        <v>111</v>
      </c>
      <c r="E2006">
        <v>3.4650677242007905E-3</v>
      </c>
      <c r="F2006">
        <f t="shared" si="68"/>
        <v>-1.8474968401847702E-2</v>
      </c>
      <c r="G2006">
        <f t="shared" si="69"/>
        <v>-3.0651694461250059E-2</v>
      </c>
    </row>
    <row r="2007" spans="1:7" x14ac:dyDescent="0.35">
      <c r="A2007" t="s">
        <v>111</v>
      </c>
      <c r="E2007">
        <v>-4.7195937518665961E-3</v>
      </c>
      <c r="F2007">
        <f t="shared" si="68"/>
        <v>-1.8485300485507832E-2</v>
      </c>
      <c r="G2007">
        <f t="shared" si="69"/>
        <v>-3.0651694461250059E-2</v>
      </c>
    </row>
    <row r="2008" spans="1:7" x14ac:dyDescent="0.35">
      <c r="A2008" t="s">
        <v>111</v>
      </c>
      <c r="E2008">
        <v>7.365879792095696E-3</v>
      </c>
      <c r="F2008">
        <f t="shared" si="68"/>
        <v>-1.8495632569167961E-2</v>
      </c>
      <c r="G2008">
        <f t="shared" si="69"/>
        <v>-3.0651694461250059E-2</v>
      </c>
    </row>
    <row r="2009" spans="1:7" x14ac:dyDescent="0.35">
      <c r="A2009" t="s">
        <v>111</v>
      </c>
      <c r="E2009">
        <v>1.1455484406549357E-2</v>
      </c>
      <c r="F2009">
        <f t="shared" si="68"/>
        <v>-1.8505964652828093E-2</v>
      </c>
      <c r="G2009">
        <f t="shared" si="69"/>
        <v>-3.0651694461250059E-2</v>
      </c>
    </row>
    <row r="2010" spans="1:7" x14ac:dyDescent="0.35">
      <c r="A2010" t="s">
        <v>111</v>
      </c>
      <c r="E2010">
        <v>2.1741288816047354E-3</v>
      </c>
      <c r="F2010">
        <f t="shared" si="68"/>
        <v>-1.8516296736488226E-2</v>
      </c>
      <c r="G2010">
        <f t="shared" si="69"/>
        <v>-3.0651694461250059E-2</v>
      </c>
    </row>
    <row r="2011" spans="1:7" x14ac:dyDescent="0.35">
      <c r="A2011" t="s">
        <v>111</v>
      </c>
      <c r="E2011">
        <v>7.0983512899050879E-3</v>
      </c>
      <c r="F2011">
        <f t="shared" si="68"/>
        <v>-1.8526628820148355E-2</v>
      </c>
      <c r="G2011">
        <f t="shared" si="69"/>
        <v>-3.0651694461250059E-2</v>
      </c>
    </row>
    <row r="2012" spans="1:7" x14ac:dyDescent="0.35">
      <c r="A2012" t="s">
        <v>111</v>
      </c>
      <c r="E2012">
        <v>-1.0740681151919142E-2</v>
      </c>
      <c r="F2012">
        <f t="shared" si="68"/>
        <v>-1.8536960903808488E-2</v>
      </c>
      <c r="G2012">
        <f t="shared" si="69"/>
        <v>-3.0651694461250059E-2</v>
      </c>
    </row>
    <row r="2013" spans="1:7" x14ac:dyDescent="0.35">
      <c r="A2013" t="s">
        <v>111</v>
      </c>
      <c r="E2013">
        <v>-8.7133830462250723E-3</v>
      </c>
      <c r="F2013">
        <f t="shared" si="68"/>
        <v>-1.8547292987468617E-2</v>
      </c>
      <c r="G2013">
        <f t="shared" si="69"/>
        <v>-3.0651694461250059E-2</v>
      </c>
    </row>
    <row r="2014" spans="1:7" x14ac:dyDescent="0.35">
      <c r="A2014" t="s">
        <v>111</v>
      </c>
      <c r="E2014">
        <v>3.1390646805226317E-3</v>
      </c>
      <c r="F2014">
        <f t="shared" si="68"/>
        <v>-1.8557625071128746E-2</v>
      </c>
      <c r="G2014">
        <f t="shared" si="69"/>
        <v>-3.0651694461250059E-2</v>
      </c>
    </row>
    <row r="2015" spans="1:7" x14ac:dyDescent="0.35">
      <c r="A2015" t="s">
        <v>111</v>
      </c>
      <c r="E2015">
        <v>-1.1768391342712866E-3</v>
      </c>
      <c r="F2015">
        <f t="shared" si="68"/>
        <v>-1.8567957154788879E-2</v>
      </c>
      <c r="G2015">
        <f t="shared" si="69"/>
        <v>-3.0651694461250059E-2</v>
      </c>
    </row>
    <row r="2016" spans="1:7" x14ac:dyDescent="0.35">
      <c r="A2016" t="s">
        <v>111</v>
      </c>
      <c r="E2016">
        <v>-9.5596152065897111E-3</v>
      </c>
      <c r="F2016">
        <f t="shared" si="68"/>
        <v>-1.8578289238449012E-2</v>
      </c>
      <c r="G2016">
        <f t="shared" si="69"/>
        <v>-3.0651694461250059E-2</v>
      </c>
    </row>
    <row r="2017" spans="1:7" x14ac:dyDescent="0.35">
      <c r="A2017" t="s">
        <v>111</v>
      </c>
      <c r="E2017">
        <v>-6.2378754743225599E-4</v>
      </c>
      <c r="F2017">
        <f t="shared" si="68"/>
        <v>-1.8588621322109141E-2</v>
      </c>
      <c r="G2017">
        <f t="shared" si="69"/>
        <v>-3.0651694461250059E-2</v>
      </c>
    </row>
    <row r="2018" spans="1:7" x14ac:dyDescent="0.35">
      <c r="A2018" t="s">
        <v>112</v>
      </c>
      <c r="B2018" s="3" cm="1">
        <f t="array" ref="B2018">_xlfn.STDEV.S(_xlfn._xlws.FILTER($E$2013:$E$3011, $A$2013:$A$3011="2018-02"))</f>
        <v>1.1803821691198171E-2</v>
      </c>
      <c r="C2018" s="3" cm="1">
        <f t="array" ref="C2018">AVERAGE(_xlfn._xlws.FILTER($E$2013:$E$3011, $A$2013:$A$3011="2018-02"))</f>
        <v>-2.9418055889299612E-3</v>
      </c>
      <c r="D2018" s="3" cm="1">
        <f t="array" ref="D2018">_xlfn.PERCENTILE.EXC(_xlfn._xlws.FILTER($E$1498:$E$2489, $A$1498:$A$2489="2018-02"), 0.05)</f>
        <v>-2.6418451654627677E-2</v>
      </c>
      <c r="E2018">
        <v>-1.4170229675636251E-2</v>
      </c>
      <c r="F2018">
        <f t="shared" si="68"/>
        <v>-1.859895340576927E-2</v>
      </c>
      <c r="G2018">
        <f t="shared" si="69"/>
        <v>-3.0651694461250059E-2</v>
      </c>
    </row>
    <row r="2019" spans="1:7" x14ac:dyDescent="0.35">
      <c r="A2019" t="s">
        <v>112</v>
      </c>
      <c r="E2019">
        <v>-1.6964189140068735E-2</v>
      </c>
      <c r="F2019">
        <f t="shared" si="68"/>
        <v>-1.8609285489429403E-2</v>
      </c>
      <c r="G2019">
        <f t="shared" si="69"/>
        <v>-3.0651694461250059E-2</v>
      </c>
    </row>
    <row r="2020" spans="1:7" x14ac:dyDescent="0.35">
      <c r="A2020" t="s">
        <v>112</v>
      </c>
      <c r="E2020">
        <v>-7.6686547061103894E-3</v>
      </c>
      <c r="F2020">
        <f t="shared" si="68"/>
        <v>-1.8619617573089536E-2</v>
      </c>
      <c r="G2020">
        <f t="shared" si="69"/>
        <v>-3.0651694461250059E-2</v>
      </c>
    </row>
    <row r="2021" spans="1:7" x14ac:dyDescent="0.35">
      <c r="A2021" t="s">
        <v>112</v>
      </c>
      <c r="E2021">
        <v>-2.3512106760210177E-2</v>
      </c>
      <c r="F2021">
        <f t="shared" si="68"/>
        <v>-1.8620333319280129E-2</v>
      </c>
      <c r="G2021">
        <f t="shared" si="69"/>
        <v>-3.078688633639793E-2</v>
      </c>
    </row>
    <row r="2022" spans="1:7" x14ac:dyDescent="0.35">
      <c r="A2022" t="s">
        <v>112</v>
      </c>
      <c r="E2022">
        <v>1.5832639699420756E-2</v>
      </c>
      <c r="F2022">
        <f t="shared" si="68"/>
        <v>-1.8433640067207178E-2</v>
      </c>
      <c r="G2022">
        <f t="shared" si="69"/>
        <v>-3.0731914547778592E-2</v>
      </c>
    </row>
    <row r="2023" spans="1:7" x14ac:dyDescent="0.35">
      <c r="A2023" t="s">
        <v>112</v>
      </c>
      <c r="E2023">
        <v>-2.6571417175386493E-2</v>
      </c>
      <c r="F2023">
        <f t="shared" si="68"/>
        <v>-1.8443972150867308E-2</v>
      </c>
      <c r="G2023">
        <f t="shared" si="69"/>
        <v>-3.0731914547778592E-2</v>
      </c>
    </row>
    <row r="2024" spans="1:7" x14ac:dyDescent="0.35">
      <c r="A2024" t="s">
        <v>112</v>
      </c>
      <c r="E2024">
        <v>-1.2542140962973344E-2</v>
      </c>
      <c r="F2024">
        <f t="shared" si="68"/>
        <v>-1.8396432154899844E-2</v>
      </c>
      <c r="G2024">
        <f t="shared" si="69"/>
        <v>-3.0640246668278599E-2</v>
      </c>
    </row>
    <row r="2025" spans="1:7" x14ac:dyDescent="0.35">
      <c r="A2025" t="s">
        <v>112</v>
      </c>
      <c r="E2025">
        <v>1.4374023889268653E-2</v>
      </c>
      <c r="F2025">
        <f t="shared" si="68"/>
        <v>-1.8397466138961538E-2</v>
      </c>
      <c r="G2025">
        <f t="shared" si="69"/>
        <v>-3.0640246668278599E-2</v>
      </c>
    </row>
    <row r="2026" spans="1:7" x14ac:dyDescent="0.35">
      <c r="A2026" t="s">
        <v>112</v>
      </c>
      <c r="E2026">
        <v>-7.0484419806102665E-3</v>
      </c>
      <c r="F2026">
        <f t="shared" si="68"/>
        <v>-1.8398500123023229E-2</v>
      </c>
      <c r="G2026">
        <f t="shared" si="69"/>
        <v>-3.0640246668278599E-2</v>
      </c>
    </row>
    <row r="2027" spans="1:7" x14ac:dyDescent="0.35">
      <c r="A2027" t="s">
        <v>112</v>
      </c>
      <c r="E2027">
        <v>1.1628919513615997E-2</v>
      </c>
      <c r="F2027">
        <f t="shared" si="68"/>
        <v>-1.8399534107084919E-2</v>
      </c>
      <c r="G2027">
        <f t="shared" si="69"/>
        <v>-3.0640246668278599E-2</v>
      </c>
    </row>
    <row r="2028" spans="1:7" x14ac:dyDescent="0.35">
      <c r="A2028" t="s">
        <v>112</v>
      </c>
      <c r="E2028">
        <v>5.6794867141180883E-4</v>
      </c>
      <c r="F2028">
        <f t="shared" si="68"/>
        <v>-1.8400568091146614E-2</v>
      </c>
      <c r="G2028">
        <f t="shared" si="69"/>
        <v>-3.0640246668278599E-2</v>
      </c>
    </row>
    <row r="2029" spans="1:7" x14ac:dyDescent="0.35">
      <c r="A2029" t="s">
        <v>112</v>
      </c>
      <c r="E2029">
        <v>8.5321467199414892E-3</v>
      </c>
      <c r="F2029">
        <f t="shared" si="68"/>
        <v>-1.8401602075208304E-2</v>
      </c>
      <c r="G2029">
        <f t="shared" si="69"/>
        <v>-3.0640246668278599E-2</v>
      </c>
    </row>
    <row r="2030" spans="1:7" x14ac:dyDescent="0.35">
      <c r="A2030" t="s">
        <v>112</v>
      </c>
      <c r="E2030">
        <v>-5.3435327705223124E-3</v>
      </c>
      <c r="F2030">
        <f t="shared" si="68"/>
        <v>-1.8402636059269999E-2</v>
      </c>
      <c r="G2030">
        <f t="shared" si="69"/>
        <v>-3.0640246668278599E-2</v>
      </c>
    </row>
    <row r="2031" spans="1:7" x14ac:dyDescent="0.35">
      <c r="A2031" t="s">
        <v>112</v>
      </c>
      <c r="E2031">
        <v>8.2256680253773497E-3</v>
      </c>
      <c r="F2031">
        <f t="shared" si="68"/>
        <v>-1.8403670043331689E-2</v>
      </c>
      <c r="G2031">
        <f t="shared" si="69"/>
        <v>-3.0640246668278599E-2</v>
      </c>
    </row>
    <row r="2032" spans="1:7" x14ac:dyDescent="0.35">
      <c r="A2032" t="s">
        <v>112</v>
      </c>
      <c r="E2032">
        <v>-1.3951222674100678E-3</v>
      </c>
      <c r="F2032">
        <f t="shared" si="68"/>
        <v>-1.840470402739338E-2</v>
      </c>
      <c r="G2032">
        <f t="shared" si="69"/>
        <v>-3.0640246668278599E-2</v>
      </c>
    </row>
    <row r="2033" spans="1:7" x14ac:dyDescent="0.35">
      <c r="A2033" t="s">
        <v>112</v>
      </c>
      <c r="E2033">
        <v>-6.8826108506987466E-4</v>
      </c>
      <c r="F2033">
        <f t="shared" si="68"/>
        <v>-1.8405738011455071E-2</v>
      </c>
      <c r="G2033">
        <f t="shared" si="69"/>
        <v>-3.0640246668278599E-2</v>
      </c>
    </row>
    <row r="2034" spans="1:7" x14ac:dyDescent="0.35">
      <c r="A2034" t="s">
        <v>112</v>
      </c>
      <c r="E2034">
        <v>1.7542105942796866E-3</v>
      </c>
      <c r="F2034">
        <f t="shared" si="68"/>
        <v>-1.8406771995516765E-2</v>
      </c>
      <c r="G2034">
        <f t="shared" si="69"/>
        <v>-3.0640246668278599E-2</v>
      </c>
    </row>
    <row r="2035" spans="1:7" x14ac:dyDescent="0.35">
      <c r="A2035" t="s">
        <v>112</v>
      </c>
      <c r="E2035">
        <v>3.4585052243655419E-3</v>
      </c>
      <c r="F2035">
        <f t="shared" si="68"/>
        <v>-1.8407805979578456E-2</v>
      </c>
      <c r="G2035">
        <f t="shared" si="69"/>
        <v>-3.0640246668278599E-2</v>
      </c>
    </row>
    <row r="2036" spans="1:7" x14ac:dyDescent="0.35">
      <c r="A2036" t="s">
        <v>112</v>
      </c>
      <c r="E2036">
        <v>-2.9027387729077376E-3</v>
      </c>
      <c r="F2036">
        <f t="shared" si="68"/>
        <v>-1.840883996364015E-2</v>
      </c>
      <c r="G2036">
        <f t="shared" si="69"/>
        <v>-3.0640246668278599E-2</v>
      </c>
    </row>
    <row r="2037" spans="1:7" x14ac:dyDescent="0.35">
      <c r="A2037" t="s">
        <v>112</v>
      </c>
      <c r="E2037">
        <v>-4.4033388193748628E-3</v>
      </c>
      <c r="F2037">
        <f t="shared" si="68"/>
        <v>-1.8409873947701841E-2</v>
      </c>
      <c r="G2037">
        <f t="shared" si="69"/>
        <v>-3.0640246668278599E-2</v>
      </c>
    </row>
    <row r="2038" spans="1:7" x14ac:dyDescent="0.35">
      <c r="A2038" t="s">
        <v>113</v>
      </c>
      <c r="B2038" s="3" cm="1">
        <f t="array" ref="B2038">_xlfn.STDEV.S(_xlfn._xlws.FILTER($E$2013:$E$3011, $A$2013:$A$3011="2018-03"))</f>
        <v>1.2318202367466032E-2</v>
      </c>
      <c r="C2038" s="3" cm="1">
        <f t="array" ref="C2038">AVERAGE(_xlfn._xlws.FILTER($E$2013:$E$3011, $A$2013:$A$3011="2018-03"))</f>
        <v>-1.3165839153483059E-3</v>
      </c>
      <c r="D2038" s="3" cm="1">
        <f t="array" ref="D2038">_xlfn.PERCENTILE.EXC(_xlfn._xlws.FILTER($E$1498:$E$2489, $A$1498:$A$2489="2018-03"), 0.05)</f>
        <v>-2.2691931343604154E-2</v>
      </c>
      <c r="E2038">
        <v>-1.9890377460196663E-2</v>
      </c>
      <c r="F2038">
        <f t="shared" si="68"/>
        <v>-1.8410907931763532E-2</v>
      </c>
      <c r="G2038">
        <f t="shared" si="69"/>
        <v>-3.0640246668278599E-2</v>
      </c>
    </row>
    <row r="2039" spans="1:7" x14ac:dyDescent="0.35">
      <c r="A2039" t="s">
        <v>113</v>
      </c>
      <c r="E2039">
        <v>-2.3003215108427209E-2</v>
      </c>
      <c r="F2039">
        <f t="shared" si="68"/>
        <v>-1.8384008149686784E-2</v>
      </c>
      <c r="G2039">
        <f t="shared" si="69"/>
        <v>-3.0623414294778113E-2</v>
      </c>
    </row>
    <row r="2040" spans="1:7" x14ac:dyDescent="0.35">
      <c r="A2040" t="s">
        <v>113</v>
      </c>
      <c r="E2040">
        <v>1.4760784536501844E-2</v>
      </c>
      <c r="F2040">
        <f t="shared" si="68"/>
        <v>-1.8226534839327253E-2</v>
      </c>
      <c r="G2040">
        <f t="shared" si="69"/>
        <v>-3.0569743729956762E-2</v>
      </c>
    </row>
    <row r="2041" spans="1:7" x14ac:dyDescent="0.35">
      <c r="A2041" t="s">
        <v>113</v>
      </c>
      <c r="E2041">
        <v>1.9004547805495156E-3</v>
      </c>
      <c r="F2041">
        <f t="shared" si="68"/>
        <v>-1.8234822908293542E-2</v>
      </c>
      <c r="G2041">
        <f t="shared" si="69"/>
        <v>-3.0710007467350274E-2</v>
      </c>
    </row>
    <row r="2042" spans="1:7" x14ac:dyDescent="0.35">
      <c r="A2042" t="s">
        <v>113</v>
      </c>
      <c r="E2042">
        <v>1.0796012610969158E-2</v>
      </c>
      <c r="F2042">
        <f t="shared" si="68"/>
        <v>-1.8243110977259835E-2</v>
      </c>
      <c r="G2042">
        <f t="shared" si="69"/>
        <v>-3.0710007467350274E-2</v>
      </c>
    </row>
    <row r="2043" spans="1:7" x14ac:dyDescent="0.35">
      <c r="A2043" t="s">
        <v>113</v>
      </c>
      <c r="E2043">
        <v>8.9598838173586028E-3</v>
      </c>
      <c r="F2043">
        <f t="shared" si="68"/>
        <v>-1.8251399046226125E-2</v>
      </c>
      <c r="G2043">
        <f t="shared" si="69"/>
        <v>-3.0710007467350274E-2</v>
      </c>
    </row>
    <row r="2044" spans="1:7" x14ac:dyDescent="0.35">
      <c r="A2044" t="s">
        <v>113</v>
      </c>
      <c r="E2044">
        <v>-7.197725214346726E-4</v>
      </c>
      <c r="F2044">
        <f t="shared" si="68"/>
        <v>-1.8259687115192415E-2</v>
      </c>
      <c r="G2044">
        <f t="shared" si="69"/>
        <v>-3.0710007467350274E-2</v>
      </c>
    </row>
    <row r="2045" spans="1:7" x14ac:dyDescent="0.35">
      <c r="A2045" t="s">
        <v>113</v>
      </c>
      <c r="E2045">
        <v>5.7912374501637035E-3</v>
      </c>
      <c r="F2045">
        <f t="shared" si="68"/>
        <v>-1.8267975184158708E-2</v>
      </c>
      <c r="G2045">
        <f t="shared" si="69"/>
        <v>-3.0710007467350274E-2</v>
      </c>
    </row>
    <row r="2046" spans="1:7" x14ac:dyDescent="0.35">
      <c r="A2046" t="s">
        <v>113</v>
      </c>
      <c r="E2046">
        <v>-1.6020200229272218E-2</v>
      </c>
      <c r="F2046">
        <f t="shared" si="68"/>
        <v>-1.8276263253125001E-2</v>
      </c>
      <c r="G2046">
        <f t="shared" si="69"/>
        <v>-3.0710007467350274E-2</v>
      </c>
    </row>
    <row r="2047" spans="1:7" x14ac:dyDescent="0.35">
      <c r="A2047" t="s">
        <v>113</v>
      </c>
      <c r="E2047">
        <v>1.3663812693601083E-3</v>
      </c>
      <c r="F2047">
        <f t="shared" si="68"/>
        <v>-1.8284551322091291E-2</v>
      </c>
      <c r="G2047">
        <f t="shared" si="69"/>
        <v>-3.0710007467350274E-2</v>
      </c>
    </row>
    <row r="2048" spans="1:7" x14ac:dyDescent="0.35">
      <c r="A2048" t="s">
        <v>113</v>
      </c>
      <c r="E2048">
        <v>8.7718647500888165E-3</v>
      </c>
      <c r="F2048">
        <f t="shared" si="68"/>
        <v>-1.829283939105758E-2</v>
      </c>
      <c r="G2048">
        <f t="shared" si="69"/>
        <v>-3.0710007467350274E-2</v>
      </c>
    </row>
    <row r="2049" spans="1:7" x14ac:dyDescent="0.35">
      <c r="A2049" t="s">
        <v>113</v>
      </c>
      <c r="E2049">
        <v>3.559312498172585E-3</v>
      </c>
      <c r="F2049">
        <f t="shared" si="68"/>
        <v>-1.8301127460023874E-2</v>
      </c>
      <c r="G2049">
        <f t="shared" si="69"/>
        <v>-3.0710007467350274E-2</v>
      </c>
    </row>
    <row r="2050" spans="1:7" x14ac:dyDescent="0.35">
      <c r="A2050" t="s">
        <v>113</v>
      </c>
      <c r="E2050">
        <v>-1.4025735277714143E-2</v>
      </c>
      <c r="F2050">
        <f t="shared" si="68"/>
        <v>-1.8309415528990167E-2</v>
      </c>
      <c r="G2050">
        <f t="shared" si="69"/>
        <v>-3.0710007467350274E-2</v>
      </c>
    </row>
    <row r="2051" spans="1:7" x14ac:dyDescent="0.35">
      <c r="A2051" t="s">
        <v>113</v>
      </c>
      <c r="E2051">
        <v>7.3649583553067714E-3</v>
      </c>
      <c r="F2051">
        <f t="shared" si="68"/>
        <v>-1.8317703597956456E-2</v>
      </c>
      <c r="G2051">
        <f t="shared" si="69"/>
        <v>-3.0710007467350274E-2</v>
      </c>
    </row>
    <row r="2052" spans="1:7" x14ac:dyDescent="0.35">
      <c r="A2052" t="s">
        <v>113</v>
      </c>
      <c r="E2052">
        <v>1.4786842012466298E-4</v>
      </c>
      <c r="F2052">
        <f t="shared" ref="F2052:F2115" si="70">_xlfn.PERCENTILE.EXC(E2052:E5867,0.05)</f>
        <v>-1.8325991666922746E-2</v>
      </c>
      <c r="G2052">
        <f t="shared" ref="G2052:G2115" si="71">AVERAGEIFS(E2052:E5868,E2052:E5868,"&lt;=" &amp; F2052)</f>
        <v>-3.0710007467350274E-2</v>
      </c>
    </row>
    <row r="2053" spans="1:7" x14ac:dyDescent="0.35">
      <c r="A2053" t="s">
        <v>113</v>
      </c>
      <c r="E2053">
        <v>-1.7130824108036159E-2</v>
      </c>
      <c r="F2053">
        <f t="shared" si="70"/>
        <v>-1.8334279735889036E-2</v>
      </c>
      <c r="G2053">
        <f t="shared" si="71"/>
        <v>-3.0710007467350274E-2</v>
      </c>
    </row>
    <row r="2054" spans="1:7" x14ac:dyDescent="0.35">
      <c r="A2054" t="s">
        <v>113</v>
      </c>
      <c r="E2054">
        <v>-1.7824746442904615E-2</v>
      </c>
      <c r="F2054">
        <f t="shared" si="70"/>
        <v>-1.8342567804855329E-2</v>
      </c>
      <c r="G2054">
        <f t="shared" si="71"/>
        <v>-3.0710007467350274E-2</v>
      </c>
    </row>
    <row r="2055" spans="1:7" x14ac:dyDescent="0.35">
      <c r="A2055" t="s">
        <v>113</v>
      </c>
      <c r="E2055">
        <v>-8.3680305073168919E-3</v>
      </c>
      <c r="F2055">
        <f t="shared" si="70"/>
        <v>-1.8350855873821622E-2</v>
      </c>
      <c r="G2055">
        <f t="shared" si="71"/>
        <v>-3.0710007467350274E-2</v>
      </c>
    </row>
    <row r="2056" spans="1:7" x14ac:dyDescent="0.35">
      <c r="A2056" t="s">
        <v>113</v>
      </c>
      <c r="E2056">
        <v>1.5453569981816986E-2</v>
      </c>
      <c r="F2056">
        <f t="shared" si="70"/>
        <v>-1.8359143942787912E-2</v>
      </c>
      <c r="G2056">
        <f t="shared" si="71"/>
        <v>-3.0710007467350274E-2</v>
      </c>
    </row>
    <row r="2057" spans="1:7" x14ac:dyDescent="0.35">
      <c r="A2057" t="s">
        <v>113</v>
      </c>
      <c r="E2057">
        <v>-2.519286999539488E-3</v>
      </c>
      <c r="F2057">
        <f t="shared" si="70"/>
        <v>-1.8367432011754201E-2</v>
      </c>
      <c r="G2057">
        <f t="shared" si="71"/>
        <v>-3.0710007467350274E-2</v>
      </c>
    </row>
    <row r="2058" spans="1:7" x14ac:dyDescent="0.35">
      <c r="A2058" t="s">
        <v>113</v>
      </c>
      <c r="E2058">
        <v>1.2981597962114885E-2</v>
      </c>
      <c r="F2058">
        <f t="shared" si="70"/>
        <v>-1.8375720080720494E-2</v>
      </c>
      <c r="G2058">
        <f t="shared" si="71"/>
        <v>-3.0710007467350274E-2</v>
      </c>
    </row>
    <row r="2059" spans="1:7" x14ac:dyDescent="0.35">
      <c r="A2059" t="s">
        <v>114</v>
      </c>
      <c r="B2059" s="3" cm="1">
        <f t="array" ref="B2059">_xlfn.STDEV.S(_xlfn._xlws.FILTER($E$2013:$E$3011, $A$2013:$A$3011="2018-04"))</f>
        <v>9.1713053586304893E-3</v>
      </c>
      <c r="C2059" s="3" cm="1">
        <f t="array" ref="C2059">AVERAGE(_xlfn._xlws.FILTER($E$2013:$E$3011, $A$2013:$A$3011="2018-04"))</f>
        <v>2.0861147675862914E-3</v>
      </c>
      <c r="D2059" s="3" cm="1">
        <f t="array" ref="D2059">_xlfn.PERCENTILE.EXC(_xlfn._xlws.FILTER($E$1498:$E$2489, $A$1498:$A$2489="2018-04"), 0.05)</f>
        <v>-1.0196690763352369E-2</v>
      </c>
      <c r="E2059">
        <v>-7.8243725297682011E-3</v>
      </c>
      <c r="F2059">
        <f t="shared" si="70"/>
        <v>-1.8384008149686784E-2</v>
      </c>
      <c r="G2059">
        <f t="shared" si="71"/>
        <v>-3.0710007467350274E-2</v>
      </c>
    </row>
    <row r="2060" spans="1:7" x14ac:dyDescent="0.35">
      <c r="A2060" t="s">
        <v>114</v>
      </c>
      <c r="E2060">
        <v>-3.7186477941855657E-3</v>
      </c>
      <c r="F2060">
        <f t="shared" si="70"/>
        <v>-1.8392296218653077E-2</v>
      </c>
      <c r="G2060">
        <f t="shared" si="71"/>
        <v>-3.0710007467350274E-2</v>
      </c>
    </row>
    <row r="2061" spans="1:7" x14ac:dyDescent="0.35">
      <c r="A2061" t="s">
        <v>114</v>
      </c>
      <c r="E2061">
        <v>2.8628976780198004E-2</v>
      </c>
      <c r="F2061">
        <f t="shared" si="70"/>
        <v>-1.8393330202714768E-2</v>
      </c>
      <c r="G2061">
        <f t="shared" si="71"/>
        <v>-3.0851590355266339E-2</v>
      </c>
    </row>
    <row r="2062" spans="1:7" x14ac:dyDescent="0.35">
      <c r="A2062" t="s">
        <v>114</v>
      </c>
      <c r="E2062">
        <v>-5.2080947298939629E-3</v>
      </c>
      <c r="F2062">
        <f t="shared" si="70"/>
        <v>-1.8394364186776462E-2</v>
      </c>
      <c r="G2062">
        <f t="shared" si="71"/>
        <v>-3.0851590355266339E-2</v>
      </c>
    </row>
    <row r="2063" spans="1:7" x14ac:dyDescent="0.35">
      <c r="A2063" t="s">
        <v>114</v>
      </c>
      <c r="E2063">
        <v>1.6716310698864153E-3</v>
      </c>
      <c r="F2063">
        <f t="shared" si="70"/>
        <v>-1.8395398170838153E-2</v>
      </c>
      <c r="G2063">
        <f t="shared" si="71"/>
        <v>-3.0851590355266339E-2</v>
      </c>
    </row>
    <row r="2064" spans="1:7" x14ac:dyDescent="0.35">
      <c r="A2064" t="s">
        <v>114</v>
      </c>
      <c r="E2064">
        <v>1.0995659277993439E-2</v>
      </c>
      <c r="F2064">
        <f t="shared" si="70"/>
        <v>-1.8396432154899844E-2</v>
      </c>
      <c r="G2064">
        <f t="shared" si="71"/>
        <v>-3.0851590355266339E-2</v>
      </c>
    </row>
    <row r="2065" spans="1:7" x14ac:dyDescent="0.35">
      <c r="A2065" t="s">
        <v>114</v>
      </c>
      <c r="E2065">
        <v>-8.3714219523865607E-3</v>
      </c>
      <c r="F2065">
        <f t="shared" si="70"/>
        <v>-1.8397466138961538E-2</v>
      </c>
      <c r="G2065">
        <f t="shared" si="71"/>
        <v>-3.0851590355266339E-2</v>
      </c>
    </row>
    <row r="2066" spans="1:7" x14ac:dyDescent="0.35">
      <c r="A2066" t="s">
        <v>114</v>
      </c>
      <c r="E2066">
        <v>9.7973261699494767E-3</v>
      </c>
      <c r="F2066">
        <f t="shared" si="70"/>
        <v>-1.8398500123023229E-2</v>
      </c>
      <c r="G2066">
        <f t="shared" si="71"/>
        <v>-3.0851590355266339E-2</v>
      </c>
    </row>
    <row r="2067" spans="1:7" x14ac:dyDescent="0.35">
      <c r="A2067" t="s">
        <v>114</v>
      </c>
      <c r="E2067">
        <v>2.2037703111624746E-3</v>
      </c>
      <c r="F2067">
        <f t="shared" si="70"/>
        <v>-1.8399534107084919E-2</v>
      </c>
      <c r="G2067">
        <f t="shared" si="71"/>
        <v>-3.0851590355266339E-2</v>
      </c>
    </row>
    <row r="2068" spans="1:7" x14ac:dyDescent="0.35">
      <c r="A2068" t="s">
        <v>114</v>
      </c>
      <c r="E2068">
        <v>-4.1065041292717508E-3</v>
      </c>
      <c r="F2068">
        <f t="shared" si="70"/>
        <v>-1.8400568091146614E-2</v>
      </c>
      <c r="G2068">
        <f t="shared" si="71"/>
        <v>-3.0851590355266339E-2</v>
      </c>
    </row>
    <row r="2069" spans="1:7" x14ac:dyDescent="0.35">
      <c r="A2069" t="s">
        <v>114</v>
      </c>
      <c r="E2069">
        <v>1.5547428956988102E-2</v>
      </c>
      <c r="F2069">
        <f t="shared" si="70"/>
        <v>-1.8401602075208304E-2</v>
      </c>
      <c r="G2069">
        <f t="shared" si="71"/>
        <v>-3.0851590355266339E-2</v>
      </c>
    </row>
    <row r="2070" spans="1:7" x14ac:dyDescent="0.35">
      <c r="A2070" t="s">
        <v>114</v>
      </c>
      <c r="E2070">
        <v>4.1785164491620394E-4</v>
      </c>
      <c r="F2070">
        <f t="shared" si="70"/>
        <v>-1.8402636059269999E-2</v>
      </c>
      <c r="G2070">
        <f t="shared" si="71"/>
        <v>-3.0851590355266339E-2</v>
      </c>
    </row>
    <row r="2071" spans="1:7" x14ac:dyDescent="0.35">
      <c r="A2071" t="s">
        <v>114</v>
      </c>
      <c r="E2071">
        <v>-1.8610202821348408E-3</v>
      </c>
      <c r="F2071">
        <f t="shared" si="70"/>
        <v>-1.8403670043331689E-2</v>
      </c>
      <c r="G2071">
        <f t="shared" si="71"/>
        <v>-3.0851590355266339E-2</v>
      </c>
    </row>
    <row r="2072" spans="1:7" x14ac:dyDescent="0.35">
      <c r="A2072" t="s">
        <v>114</v>
      </c>
      <c r="E2072">
        <v>-2.1443441205261909E-3</v>
      </c>
      <c r="F2072">
        <f t="shared" si="70"/>
        <v>-1.840470402739338E-2</v>
      </c>
      <c r="G2072">
        <f t="shared" si="71"/>
        <v>-3.0851590355266339E-2</v>
      </c>
    </row>
    <row r="2073" spans="1:7" x14ac:dyDescent="0.35">
      <c r="A2073" t="s">
        <v>114</v>
      </c>
      <c r="E2073">
        <v>2.5397329531981366E-3</v>
      </c>
      <c r="F2073">
        <f t="shared" si="70"/>
        <v>-1.8405738011455071E-2</v>
      </c>
      <c r="G2073">
        <f t="shared" si="71"/>
        <v>-3.0851590355266339E-2</v>
      </c>
    </row>
    <row r="2074" spans="1:7" x14ac:dyDescent="0.35">
      <c r="A2074" t="s">
        <v>114</v>
      </c>
      <c r="E2074">
        <v>-1.7171376826480122E-3</v>
      </c>
      <c r="F2074">
        <f t="shared" si="70"/>
        <v>-1.8406771995516765E-2</v>
      </c>
      <c r="G2074">
        <f t="shared" si="71"/>
        <v>-3.0851590355266339E-2</v>
      </c>
    </row>
    <row r="2075" spans="1:7" x14ac:dyDescent="0.35">
      <c r="A2075" t="s">
        <v>114</v>
      </c>
      <c r="E2075">
        <v>-1.0292757542876885E-2</v>
      </c>
      <c r="F2075">
        <f t="shared" si="70"/>
        <v>-1.8407805979578456E-2</v>
      </c>
      <c r="G2075">
        <f t="shared" si="71"/>
        <v>-3.0851590355266339E-2</v>
      </c>
    </row>
    <row r="2076" spans="1:7" x14ac:dyDescent="0.35">
      <c r="A2076" t="s">
        <v>114</v>
      </c>
      <c r="E2076">
        <v>6.2729990555351767E-3</v>
      </c>
      <c r="F2076">
        <f t="shared" si="70"/>
        <v>-1.840883996364015E-2</v>
      </c>
      <c r="G2076">
        <f t="shared" si="71"/>
        <v>-3.0851590355266339E-2</v>
      </c>
    </row>
    <row r="2077" spans="1:7" x14ac:dyDescent="0.35">
      <c r="A2077" t="s">
        <v>114</v>
      </c>
      <c r="E2077">
        <v>6.4111626723259473E-3</v>
      </c>
      <c r="F2077">
        <f t="shared" si="70"/>
        <v>-1.8409873947701841E-2</v>
      </c>
      <c r="G2077">
        <f t="shared" si="71"/>
        <v>-3.0851590355266339E-2</v>
      </c>
    </row>
    <row r="2078" spans="1:7" x14ac:dyDescent="0.35">
      <c r="A2078" t="s">
        <v>114</v>
      </c>
      <c r="E2078">
        <v>2.4800572232644312E-3</v>
      </c>
      <c r="F2078">
        <f t="shared" si="70"/>
        <v>-1.8410907931763532E-2</v>
      </c>
      <c r="G2078">
        <f t="shared" si="71"/>
        <v>-3.0851590355266339E-2</v>
      </c>
    </row>
    <row r="2079" spans="1:7" x14ac:dyDescent="0.35">
      <c r="A2079" t="s">
        <v>115</v>
      </c>
      <c r="B2079" s="3" cm="1">
        <f t="array" ref="B2079">_xlfn.STDEV.S(_xlfn._xlws.FILTER($E$2013:$E$3011, $A$2013:$A$3011="2018-05"))</f>
        <v>9.8063532151187582E-3</v>
      </c>
      <c r="C2079" s="3" cm="1">
        <f t="array" ref="C2079">AVERAGE(_xlfn._xlws.FILTER($E$2013:$E$3011, $A$2013:$A$3011="2018-05"))</f>
        <v>-3.0138399522832401E-5</v>
      </c>
      <c r="D2079" s="3" cm="1">
        <f t="array" ref="D2079">_xlfn.PERCENTILE.EXC(_xlfn._xlws.FILTER($E$1498:$E$2489, $A$1498:$A$2489="2018-05"), 0.05)</f>
        <v>-2.1207987977749788E-2</v>
      </c>
      <c r="E2079">
        <v>1.4963473230874189E-2</v>
      </c>
      <c r="F2079">
        <f t="shared" si="70"/>
        <v>-1.8411941915825226E-2</v>
      </c>
      <c r="G2079">
        <f t="shared" si="71"/>
        <v>-3.0851590355266339E-2</v>
      </c>
    </row>
    <row r="2080" spans="1:7" x14ac:dyDescent="0.35">
      <c r="A2080" t="s">
        <v>115</v>
      </c>
      <c r="E2080">
        <v>-8.7948347404518141E-3</v>
      </c>
      <c r="F2080">
        <f t="shared" si="70"/>
        <v>-1.8412975899886917E-2</v>
      </c>
      <c r="G2080">
        <f t="shared" si="71"/>
        <v>-3.0851590355266339E-2</v>
      </c>
    </row>
    <row r="2081" spans="1:7" x14ac:dyDescent="0.35">
      <c r="A2081" t="s">
        <v>115</v>
      </c>
      <c r="E2081">
        <v>1.0149147770298969E-2</v>
      </c>
      <c r="F2081">
        <f t="shared" si="70"/>
        <v>-1.8423307983547046E-2</v>
      </c>
      <c r="G2081">
        <f t="shared" si="71"/>
        <v>-3.0996225407073075E-2</v>
      </c>
    </row>
    <row r="2082" spans="1:7" x14ac:dyDescent="0.35">
      <c r="A2082" t="s">
        <v>115</v>
      </c>
      <c r="E2082">
        <v>7.1981255781518394E-3</v>
      </c>
      <c r="F2082">
        <f t="shared" si="70"/>
        <v>-1.8433640067207178E-2</v>
      </c>
      <c r="G2082">
        <f t="shared" si="71"/>
        <v>-3.0996225407073075E-2</v>
      </c>
    </row>
    <row r="2083" spans="1:7" x14ac:dyDescent="0.35">
      <c r="A2083" t="s">
        <v>115</v>
      </c>
      <c r="E2083">
        <v>2.3863618241219578E-3</v>
      </c>
      <c r="F2083">
        <f t="shared" si="70"/>
        <v>-1.8443972150867308E-2</v>
      </c>
      <c r="G2083">
        <f t="shared" si="71"/>
        <v>-3.0996225407073075E-2</v>
      </c>
    </row>
    <row r="2084" spans="1:7" x14ac:dyDescent="0.35">
      <c r="A2084" t="s">
        <v>115</v>
      </c>
      <c r="E2084">
        <v>6.1473054368248407E-3</v>
      </c>
      <c r="F2084">
        <f t="shared" si="70"/>
        <v>-1.8454304234527437E-2</v>
      </c>
      <c r="G2084">
        <f t="shared" si="71"/>
        <v>-3.0996225407073075E-2</v>
      </c>
    </row>
    <row r="2085" spans="1:7" x14ac:dyDescent="0.35">
      <c r="A2085" t="s">
        <v>115</v>
      </c>
      <c r="E2085">
        <v>-1.6623050687053847E-3</v>
      </c>
      <c r="F2085">
        <f t="shared" si="70"/>
        <v>-1.8464636318187573E-2</v>
      </c>
      <c r="G2085">
        <f t="shared" si="71"/>
        <v>-3.0996225407073075E-2</v>
      </c>
    </row>
    <row r="2086" spans="1:7" x14ac:dyDescent="0.35">
      <c r="A2086" t="s">
        <v>115</v>
      </c>
      <c r="E2086">
        <v>-1.8114670865685082E-3</v>
      </c>
      <c r="F2086">
        <f t="shared" si="70"/>
        <v>-1.8474968401847702E-2</v>
      </c>
      <c r="G2086">
        <f t="shared" si="71"/>
        <v>-3.0996225407073075E-2</v>
      </c>
    </row>
    <row r="2087" spans="1:7" x14ac:dyDescent="0.35">
      <c r="A2087" t="s">
        <v>115</v>
      </c>
      <c r="E2087">
        <v>-5.9118807784015628E-4</v>
      </c>
      <c r="F2087">
        <f t="shared" si="70"/>
        <v>-1.8485300485507832E-2</v>
      </c>
      <c r="G2087">
        <f t="shared" si="71"/>
        <v>-3.0996225407073075E-2</v>
      </c>
    </row>
    <row r="2088" spans="1:7" x14ac:dyDescent="0.35">
      <c r="A2088" t="s">
        <v>115</v>
      </c>
      <c r="E2088">
        <v>2.0249275492216423E-3</v>
      </c>
      <c r="F2088">
        <f t="shared" si="70"/>
        <v>-1.8495632569167961E-2</v>
      </c>
      <c r="G2088">
        <f t="shared" si="71"/>
        <v>-3.0996225407073075E-2</v>
      </c>
    </row>
    <row r="2089" spans="1:7" x14ac:dyDescent="0.35">
      <c r="A2089" t="s">
        <v>115</v>
      </c>
      <c r="E2089">
        <v>9.0598660213420407E-3</v>
      </c>
      <c r="F2089">
        <f t="shared" si="70"/>
        <v>-1.8505964652828093E-2</v>
      </c>
      <c r="G2089">
        <f t="shared" si="71"/>
        <v>-3.0996225407073075E-2</v>
      </c>
    </row>
    <row r="2090" spans="1:7" x14ac:dyDescent="0.35">
      <c r="A2090" t="s">
        <v>115</v>
      </c>
      <c r="E2090">
        <v>-2.8168570258955122E-3</v>
      </c>
      <c r="F2090">
        <f t="shared" si="70"/>
        <v>-1.8516296736488226E-2</v>
      </c>
      <c r="G2090">
        <f t="shared" si="71"/>
        <v>-3.0996225407073075E-2</v>
      </c>
    </row>
    <row r="2091" spans="1:7" x14ac:dyDescent="0.35">
      <c r="A2091" t="s">
        <v>115</v>
      </c>
      <c r="E2091">
        <v>7.0254224168414103E-3</v>
      </c>
      <c r="F2091">
        <f t="shared" si="70"/>
        <v>-1.8526628820148355E-2</v>
      </c>
      <c r="G2091">
        <f t="shared" si="71"/>
        <v>-3.0996225407073075E-2</v>
      </c>
    </row>
    <row r="2092" spans="1:7" x14ac:dyDescent="0.35">
      <c r="A2092" t="s">
        <v>115</v>
      </c>
      <c r="E2092">
        <v>-1.4769211152163595E-2</v>
      </c>
      <c r="F2092">
        <f t="shared" si="70"/>
        <v>-1.8536960903808488E-2</v>
      </c>
      <c r="G2092">
        <f t="shared" si="71"/>
        <v>-3.0996225407073075E-2</v>
      </c>
    </row>
    <row r="2093" spans="1:7" x14ac:dyDescent="0.35">
      <c r="A2093" t="s">
        <v>115</v>
      </c>
      <c r="E2093">
        <v>-9.4263883128294611E-3</v>
      </c>
      <c r="F2093">
        <f t="shared" si="70"/>
        <v>-1.8547292987468617E-2</v>
      </c>
      <c r="G2093">
        <f t="shared" si="71"/>
        <v>-3.0996225407073075E-2</v>
      </c>
    </row>
    <row r="2094" spans="1:7" x14ac:dyDescent="0.35">
      <c r="A2094" t="s">
        <v>115</v>
      </c>
      <c r="E2094">
        <v>6.4296486782778016E-3</v>
      </c>
      <c r="F2094">
        <f t="shared" si="70"/>
        <v>-1.8557625071128746E-2</v>
      </c>
      <c r="G2094">
        <f t="shared" si="71"/>
        <v>-3.0996225407073075E-2</v>
      </c>
    </row>
    <row r="2095" spans="1:7" x14ac:dyDescent="0.35">
      <c r="A2095" t="s">
        <v>115</v>
      </c>
      <c r="E2095">
        <v>-2.1207987977749788E-2</v>
      </c>
      <c r="F2095">
        <f t="shared" si="70"/>
        <v>-1.8567957154788879E-2</v>
      </c>
      <c r="G2095">
        <f t="shared" si="71"/>
        <v>-3.0996225407073075E-2</v>
      </c>
    </row>
    <row r="2096" spans="1:7" x14ac:dyDescent="0.35">
      <c r="A2096" t="s">
        <v>115</v>
      </c>
      <c r="E2096">
        <v>9.2141128201277296E-3</v>
      </c>
      <c r="F2096">
        <f t="shared" si="70"/>
        <v>-1.840883996364015E-2</v>
      </c>
      <c r="G2096">
        <f t="shared" si="71"/>
        <v>-3.0963725266632811E-2</v>
      </c>
    </row>
    <row r="2097" spans="1:7" x14ac:dyDescent="0.35">
      <c r="A2097" t="s">
        <v>115</v>
      </c>
      <c r="E2097">
        <v>-1.4090781474812014E-2</v>
      </c>
      <c r="F2097">
        <f t="shared" si="70"/>
        <v>-1.8409873947701841E-2</v>
      </c>
      <c r="G2097">
        <f t="shared" si="71"/>
        <v>-3.0963725266632811E-2</v>
      </c>
    </row>
    <row r="2098" spans="1:7" x14ac:dyDescent="0.35">
      <c r="A2098" t="s">
        <v>116</v>
      </c>
      <c r="B2098" s="3" cm="1">
        <f t="array" ref="B2098">_xlfn.STDEV.S(_xlfn._xlws.FILTER($E$2013:$E$3011, $A$2013:$A$3011="2018-06"))</f>
        <v>1.0206730460347088E-2</v>
      </c>
      <c r="C2098" s="3" cm="1">
        <f t="array" ref="C2098">AVERAGE(_xlfn._xlws.FILTER($E$2013:$E$3011, $A$2013:$A$3011="2018-06"))</f>
        <v>-1.1427564565595634E-3</v>
      </c>
      <c r="D2098" s="3" cm="1">
        <f t="array" ref="D2098">_xlfn.PERCENTILE.EXC(_xlfn._xlws.FILTER($E$1498:$E$2489, $A$1498:$A$2489="2018-06"), 0.05)</f>
        <v>-2.3865638999805601E-2</v>
      </c>
      <c r="E2098">
        <v>9.4263594979318854E-3</v>
      </c>
      <c r="F2098">
        <f t="shared" si="70"/>
        <v>-1.8410907931763532E-2</v>
      </c>
      <c r="G2098">
        <f t="shared" si="71"/>
        <v>-3.0963725266632811E-2</v>
      </c>
    </row>
    <row r="2099" spans="1:7" x14ac:dyDescent="0.35">
      <c r="A2099" t="s">
        <v>116</v>
      </c>
      <c r="E2099">
        <v>3.646206317567945E-3</v>
      </c>
      <c r="F2099">
        <f t="shared" si="70"/>
        <v>-1.8411941915825226E-2</v>
      </c>
      <c r="G2099">
        <f t="shared" si="71"/>
        <v>-3.0963725266632811E-2</v>
      </c>
    </row>
    <row r="2100" spans="1:7" x14ac:dyDescent="0.35">
      <c r="A2100" t="s">
        <v>116</v>
      </c>
      <c r="E2100">
        <v>1.2817966312306805E-3</v>
      </c>
      <c r="F2100">
        <f t="shared" si="70"/>
        <v>-1.8412975899886917E-2</v>
      </c>
      <c r="G2100">
        <f t="shared" si="71"/>
        <v>-3.0963725266632811E-2</v>
      </c>
    </row>
    <row r="2101" spans="1:7" x14ac:dyDescent="0.35">
      <c r="A2101" t="s">
        <v>116</v>
      </c>
      <c r="E2101">
        <v>3.3524382224690754E-3</v>
      </c>
      <c r="F2101">
        <f t="shared" si="70"/>
        <v>-1.8423307983547046E-2</v>
      </c>
      <c r="G2101">
        <f t="shared" si="71"/>
        <v>-3.1111381141535704E-2</v>
      </c>
    </row>
    <row r="2102" spans="1:7" x14ac:dyDescent="0.35">
      <c r="A2102" t="s">
        <v>116</v>
      </c>
      <c r="E2102">
        <v>-1.4835548126198544E-3</v>
      </c>
      <c r="F2102">
        <f t="shared" si="70"/>
        <v>-1.8433640067207178E-2</v>
      </c>
      <c r="G2102">
        <f t="shared" si="71"/>
        <v>-3.1111381141535704E-2</v>
      </c>
    </row>
    <row r="2103" spans="1:7" x14ac:dyDescent="0.35">
      <c r="A2103" t="s">
        <v>116</v>
      </c>
      <c r="E2103">
        <v>-3.4796106670948713E-3</v>
      </c>
      <c r="F2103">
        <f t="shared" si="70"/>
        <v>-1.8443972150867308E-2</v>
      </c>
      <c r="G2103">
        <f t="shared" si="71"/>
        <v>-3.1111381141535704E-2</v>
      </c>
    </row>
    <row r="2104" spans="1:7" x14ac:dyDescent="0.35">
      <c r="A2104" t="s">
        <v>116</v>
      </c>
      <c r="E2104">
        <v>5.9634390023510543E-3</v>
      </c>
      <c r="F2104">
        <f t="shared" si="70"/>
        <v>-1.8454304234527437E-2</v>
      </c>
      <c r="G2104">
        <f t="shared" si="71"/>
        <v>-3.1111381141535704E-2</v>
      </c>
    </row>
    <row r="2105" spans="1:7" x14ac:dyDescent="0.35">
      <c r="A2105" t="s">
        <v>116</v>
      </c>
      <c r="E2105">
        <v>-4.7498151669047071E-5</v>
      </c>
      <c r="F2105">
        <f t="shared" si="70"/>
        <v>-1.8464636318187573E-2</v>
      </c>
      <c r="G2105">
        <f t="shared" si="71"/>
        <v>-3.1111381141535704E-2</v>
      </c>
    </row>
    <row r="2106" spans="1:7" x14ac:dyDescent="0.35">
      <c r="A2106" t="s">
        <v>116</v>
      </c>
      <c r="E2106">
        <v>3.7524021136086925E-3</v>
      </c>
      <c r="F2106">
        <f t="shared" si="70"/>
        <v>-1.8474968401847702E-2</v>
      </c>
      <c r="G2106">
        <f t="shared" si="71"/>
        <v>-3.1111381141535704E-2</v>
      </c>
    </row>
    <row r="2107" spans="1:7" x14ac:dyDescent="0.35">
      <c r="A2107" t="s">
        <v>116</v>
      </c>
      <c r="E2107">
        <v>1.665725605942726E-2</v>
      </c>
      <c r="F2107">
        <f t="shared" si="70"/>
        <v>-1.8485300485507832E-2</v>
      </c>
      <c r="G2107">
        <f t="shared" si="71"/>
        <v>-3.1111381141535704E-2</v>
      </c>
    </row>
    <row r="2108" spans="1:7" x14ac:dyDescent="0.35">
      <c r="A2108" t="s">
        <v>116</v>
      </c>
      <c r="E2108">
        <v>-7.393501315464548E-3</v>
      </c>
      <c r="F2108">
        <f t="shared" si="70"/>
        <v>-1.8495632569167961E-2</v>
      </c>
      <c r="G2108">
        <f t="shared" si="71"/>
        <v>-3.1111381141535704E-2</v>
      </c>
    </row>
    <row r="2109" spans="1:7" x14ac:dyDescent="0.35">
      <c r="A2109" t="s">
        <v>116</v>
      </c>
      <c r="E2109">
        <v>-1.3654096528869326E-2</v>
      </c>
      <c r="F2109">
        <f t="shared" si="70"/>
        <v>-1.8505964652828093E-2</v>
      </c>
      <c r="G2109">
        <f t="shared" si="71"/>
        <v>-3.1111381141535704E-2</v>
      </c>
    </row>
    <row r="2110" spans="1:7" x14ac:dyDescent="0.35">
      <c r="A2110" t="s">
        <v>116</v>
      </c>
      <c r="E2110">
        <v>-1.2240628719577039E-2</v>
      </c>
      <c r="F2110">
        <f t="shared" si="70"/>
        <v>-1.8516296736488226E-2</v>
      </c>
      <c r="G2110">
        <f t="shared" si="71"/>
        <v>-3.1111381141535704E-2</v>
      </c>
    </row>
    <row r="2111" spans="1:7" x14ac:dyDescent="0.35">
      <c r="A2111" t="s">
        <v>116</v>
      </c>
      <c r="E2111">
        <v>1.3549769090385126E-3</v>
      </c>
      <c r="F2111">
        <f t="shared" si="70"/>
        <v>-1.8526628820148355E-2</v>
      </c>
      <c r="G2111">
        <f t="shared" si="71"/>
        <v>-3.1111381141535704E-2</v>
      </c>
    </row>
    <row r="2112" spans="1:7" x14ac:dyDescent="0.35">
      <c r="A2112" t="s">
        <v>116</v>
      </c>
      <c r="E2112">
        <v>-1.4539827781924395E-2</v>
      </c>
      <c r="F2112">
        <f t="shared" si="70"/>
        <v>-1.8536960903808488E-2</v>
      </c>
      <c r="G2112">
        <f t="shared" si="71"/>
        <v>-3.1111381141535704E-2</v>
      </c>
    </row>
    <row r="2113" spans="1:7" x14ac:dyDescent="0.35">
      <c r="A2113" t="s">
        <v>116</v>
      </c>
      <c r="E2113">
        <v>5.4050027904665524E-3</v>
      </c>
      <c r="F2113">
        <f t="shared" si="70"/>
        <v>-1.8547292987468617E-2</v>
      </c>
      <c r="G2113">
        <f t="shared" si="71"/>
        <v>-3.1111381141535704E-2</v>
      </c>
    </row>
    <row r="2114" spans="1:7" x14ac:dyDescent="0.35">
      <c r="A2114" t="s">
        <v>116</v>
      </c>
      <c r="E2114">
        <v>-2.4901840246236848E-2</v>
      </c>
      <c r="F2114">
        <f t="shared" si="70"/>
        <v>-1.8557625071128746E-2</v>
      </c>
      <c r="G2114">
        <f t="shared" si="71"/>
        <v>-3.1111381141535704E-2</v>
      </c>
    </row>
    <row r="2115" spans="1:7" x14ac:dyDescent="0.35">
      <c r="A2115" t="s">
        <v>116</v>
      </c>
      <c r="E2115">
        <v>-2.9374013914724205E-3</v>
      </c>
      <c r="F2115">
        <f t="shared" si="70"/>
        <v>-1.8407805979578456E-2</v>
      </c>
      <c r="G2115">
        <f t="shared" si="71"/>
        <v>-3.1035041560990399E-2</v>
      </c>
    </row>
    <row r="2116" spans="1:7" x14ac:dyDescent="0.35">
      <c r="A2116" t="s">
        <v>116</v>
      </c>
      <c r="E2116">
        <v>9.2967542971911215E-3</v>
      </c>
      <c r="F2116">
        <f t="shared" ref="F2116:F2179" si="72">_xlfn.PERCENTILE.EXC(E2116:E5931,0.05)</f>
        <v>-1.840883996364015E-2</v>
      </c>
      <c r="G2116">
        <f t="shared" ref="G2116:G2179" si="73">AVERAGEIFS(E2116:E5932,E2116:E5932,"&lt;=" &amp; F2116)</f>
        <v>-3.1035041560990399E-2</v>
      </c>
    </row>
    <row r="2117" spans="1:7" x14ac:dyDescent="0.35">
      <c r="A2117" t="s">
        <v>116</v>
      </c>
      <c r="E2117">
        <v>-1.3975691718242303E-2</v>
      </c>
      <c r="F2117">
        <f t="shared" si="72"/>
        <v>-1.8409873947701841E-2</v>
      </c>
      <c r="G2117">
        <f t="shared" si="73"/>
        <v>-3.1035041560990399E-2</v>
      </c>
    </row>
    <row r="2118" spans="1:7" x14ac:dyDescent="0.35">
      <c r="A2118" t="s">
        <v>116</v>
      </c>
      <c r="E2118">
        <v>1.0519133904137036E-2</v>
      </c>
      <c r="F2118">
        <f t="shared" si="72"/>
        <v>-1.8410907931763532E-2</v>
      </c>
      <c r="G2118">
        <f t="shared" si="73"/>
        <v>-3.1035041560990399E-2</v>
      </c>
    </row>
    <row r="2119" spans="1:7" x14ac:dyDescent="0.35">
      <c r="A2119" t="s">
        <v>117</v>
      </c>
      <c r="B2119" s="3" cm="1">
        <f t="array" ref="B2119">_xlfn.STDEV.S(_xlfn._xlws.FILTER($E$2013:$E$3011, $A$2013:$A$3011="2018-07"))</f>
        <v>8.0591039031152212E-3</v>
      </c>
      <c r="C2119" s="3" cm="1">
        <f t="array" ref="C2119">AVERAGE(_xlfn._xlws.FILTER($E$2013:$E$3011, $A$2013:$A$3011="2018-07"))</f>
        <v>1.8085371735470728E-3</v>
      </c>
      <c r="D2119" s="3" cm="1">
        <f t="array" ref="D2119">_xlfn.PERCENTILE.EXC(_xlfn._xlws.FILTER($E$1498:$E$2489, $A$1498:$A$2489="2018-07"), 0.05)</f>
        <v>-1.4574841757525634E-2</v>
      </c>
      <c r="E2119">
        <v>-5.5271922157449499E-3</v>
      </c>
      <c r="F2119">
        <f t="shared" si="72"/>
        <v>-1.8411941915825226E-2</v>
      </c>
      <c r="G2119">
        <f t="shared" si="73"/>
        <v>-3.1035041560990399E-2</v>
      </c>
    </row>
    <row r="2120" spans="1:7" x14ac:dyDescent="0.35">
      <c r="A2120" t="s">
        <v>117</v>
      </c>
      <c r="E2120">
        <v>9.0266689192294129E-3</v>
      </c>
      <c r="F2120">
        <f t="shared" si="72"/>
        <v>-1.8412975899886917E-2</v>
      </c>
      <c r="G2120">
        <f t="shared" si="73"/>
        <v>-3.1035041560990399E-2</v>
      </c>
    </row>
    <row r="2121" spans="1:7" x14ac:dyDescent="0.35">
      <c r="A2121" t="s">
        <v>117</v>
      </c>
      <c r="E2121">
        <v>-2.5564792420768325E-3</v>
      </c>
      <c r="F2121">
        <f t="shared" si="72"/>
        <v>-1.8423307983547046E-2</v>
      </c>
      <c r="G2121">
        <f t="shared" si="73"/>
        <v>-3.1185304247432107E-2</v>
      </c>
    </row>
    <row r="2122" spans="1:7" x14ac:dyDescent="0.35">
      <c r="A2122" t="s">
        <v>117</v>
      </c>
      <c r="E2122">
        <v>1.1837810086999754E-2</v>
      </c>
      <c r="F2122">
        <f t="shared" si="72"/>
        <v>-1.8433640067207178E-2</v>
      </c>
      <c r="G2122">
        <f t="shared" si="73"/>
        <v>-3.1185304247432107E-2</v>
      </c>
    </row>
    <row r="2123" spans="1:7" x14ac:dyDescent="0.35">
      <c r="A2123" t="s">
        <v>117</v>
      </c>
      <c r="E2123">
        <v>2.5544414914791488E-3</v>
      </c>
      <c r="F2123">
        <f t="shared" si="72"/>
        <v>-1.8443972150867308E-2</v>
      </c>
      <c r="G2123">
        <f t="shared" si="73"/>
        <v>-3.1185304247432107E-2</v>
      </c>
    </row>
    <row r="2124" spans="1:7" x14ac:dyDescent="0.35">
      <c r="A2124" t="s">
        <v>117</v>
      </c>
      <c r="E2124">
        <v>3.8114970787650779E-3</v>
      </c>
      <c r="F2124">
        <f t="shared" si="72"/>
        <v>-1.8454304234527437E-2</v>
      </c>
      <c r="G2124">
        <f t="shared" si="73"/>
        <v>-3.1185304247432107E-2</v>
      </c>
    </row>
    <row r="2125" spans="1:7" x14ac:dyDescent="0.35">
      <c r="A2125" t="s">
        <v>117</v>
      </c>
      <c r="E2125">
        <v>5.2445601479547861E-3</v>
      </c>
      <c r="F2125">
        <f t="shared" si="72"/>
        <v>-1.8464636318187573E-2</v>
      </c>
      <c r="G2125">
        <f t="shared" si="73"/>
        <v>-3.1185304247432107E-2</v>
      </c>
    </row>
    <row r="2126" spans="1:7" x14ac:dyDescent="0.35">
      <c r="A2126" t="s">
        <v>117</v>
      </c>
      <c r="E2126">
        <v>-1.5401283687407851E-2</v>
      </c>
      <c r="F2126">
        <f t="shared" si="72"/>
        <v>-1.8474968401847702E-2</v>
      </c>
      <c r="G2126">
        <f t="shared" si="73"/>
        <v>-3.1185304247432107E-2</v>
      </c>
    </row>
    <row r="2127" spans="1:7" x14ac:dyDescent="0.35">
      <c r="A2127" t="s">
        <v>117</v>
      </c>
      <c r="E2127">
        <v>6.0891152045589383E-3</v>
      </c>
      <c r="F2127">
        <f t="shared" si="72"/>
        <v>-1.8485300485507832E-2</v>
      </c>
      <c r="G2127">
        <f t="shared" si="73"/>
        <v>-3.1185304247432107E-2</v>
      </c>
    </row>
    <row r="2128" spans="1:7" x14ac:dyDescent="0.35">
      <c r="A2128" t="s">
        <v>117</v>
      </c>
      <c r="E2128">
        <v>3.8156611244745614E-3</v>
      </c>
      <c r="F2128">
        <f t="shared" si="72"/>
        <v>-1.8495632569167961E-2</v>
      </c>
      <c r="G2128">
        <f t="shared" si="73"/>
        <v>-3.1185304247432107E-2</v>
      </c>
    </row>
    <row r="2129" spans="1:7" x14ac:dyDescent="0.35">
      <c r="A2129" t="s">
        <v>117</v>
      </c>
      <c r="E2129">
        <v>1.6166207072360005E-3</v>
      </c>
      <c r="F2129">
        <f t="shared" si="72"/>
        <v>-1.8505964652828093E-2</v>
      </c>
      <c r="G2129">
        <f t="shared" si="73"/>
        <v>-3.1185304247432107E-2</v>
      </c>
    </row>
    <row r="2130" spans="1:7" x14ac:dyDescent="0.35">
      <c r="A2130" t="s">
        <v>117</v>
      </c>
      <c r="E2130">
        <v>7.9706843543419417E-3</v>
      </c>
      <c r="F2130">
        <f t="shared" si="72"/>
        <v>-1.8516296736488226E-2</v>
      </c>
      <c r="G2130">
        <f t="shared" si="73"/>
        <v>-3.1185304247432107E-2</v>
      </c>
    </row>
    <row r="2131" spans="1:7" x14ac:dyDescent="0.35">
      <c r="A2131" t="s">
        <v>117</v>
      </c>
      <c r="E2131">
        <v>8.2116345503789601E-3</v>
      </c>
      <c r="F2131">
        <f t="shared" si="72"/>
        <v>-1.8526628820148355E-2</v>
      </c>
      <c r="G2131">
        <f t="shared" si="73"/>
        <v>-3.1185304247432107E-2</v>
      </c>
    </row>
    <row r="2132" spans="1:7" x14ac:dyDescent="0.35">
      <c r="A2132" t="s">
        <v>117</v>
      </c>
      <c r="E2132">
        <v>-6.258804042565078E-3</v>
      </c>
      <c r="F2132">
        <f t="shared" si="72"/>
        <v>-1.8536960903808488E-2</v>
      </c>
      <c r="G2132">
        <f t="shared" si="73"/>
        <v>-3.1185304247432107E-2</v>
      </c>
    </row>
    <row r="2133" spans="1:7" x14ac:dyDescent="0.35">
      <c r="A2133" t="s">
        <v>117</v>
      </c>
      <c r="E2133">
        <v>-9.8916708215264076E-3</v>
      </c>
      <c r="F2133">
        <f t="shared" si="72"/>
        <v>-1.8547292987468617E-2</v>
      </c>
      <c r="G2133">
        <f t="shared" si="73"/>
        <v>-3.1185304247432107E-2</v>
      </c>
    </row>
    <row r="2134" spans="1:7" x14ac:dyDescent="0.35">
      <c r="A2134" t="s">
        <v>117</v>
      </c>
      <c r="E2134">
        <v>-1.0234971118465272E-3</v>
      </c>
      <c r="F2134">
        <f t="shared" si="72"/>
        <v>-1.8557625071128746E-2</v>
      </c>
      <c r="G2134">
        <f t="shared" si="73"/>
        <v>-3.1185304247432107E-2</v>
      </c>
    </row>
    <row r="2135" spans="1:7" x14ac:dyDescent="0.35">
      <c r="A2135" t="s">
        <v>117</v>
      </c>
      <c r="E2135">
        <v>1.1159496362437482E-2</v>
      </c>
      <c r="F2135">
        <f t="shared" si="72"/>
        <v>-1.8567957154788879E-2</v>
      </c>
      <c r="G2135">
        <f t="shared" si="73"/>
        <v>-3.1185304247432107E-2</v>
      </c>
    </row>
    <row r="2136" spans="1:7" x14ac:dyDescent="0.35">
      <c r="A2136" t="s">
        <v>117</v>
      </c>
      <c r="E2136">
        <v>-8.7112205125049729E-3</v>
      </c>
      <c r="F2136">
        <f t="shared" si="72"/>
        <v>-1.8578289238449012E-2</v>
      </c>
      <c r="G2136">
        <f t="shared" si="73"/>
        <v>-3.1185304247432107E-2</v>
      </c>
    </row>
    <row r="2137" spans="1:7" x14ac:dyDescent="0.35">
      <c r="A2137" t="s">
        <v>117</v>
      </c>
      <c r="E2137">
        <v>1.8111014099907931E-2</v>
      </c>
      <c r="F2137">
        <f t="shared" si="72"/>
        <v>-1.8588621322109141E-2</v>
      </c>
      <c r="G2137">
        <f t="shared" si="73"/>
        <v>-3.1185304247432107E-2</v>
      </c>
    </row>
    <row r="2138" spans="1:7" x14ac:dyDescent="0.35">
      <c r="A2138" t="s">
        <v>117</v>
      </c>
      <c r="E2138">
        <v>3.9868177124250817E-3</v>
      </c>
      <c r="F2138">
        <f t="shared" si="72"/>
        <v>-1.859895340576927E-2</v>
      </c>
      <c r="G2138">
        <f t="shared" si="73"/>
        <v>-3.1185304247432107E-2</v>
      </c>
    </row>
    <row r="2139" spans="1:7" x14ac:dyDescent="0.35">
      <c r="A2139" t="s">
        <v>117</v>
      </c>
      <c r="E2139">
        <v>-4.8482864878655026E-3</v>
      </c>
      <c r="F2139">
        <f t="shared" si="72"/>
        <v>-1.8609285489429403E-2</v>
      </c>
      <c r="G2139">
        <f t="shared" si="73"/>
        <v>-3.1185304247432107E-2</v>
      </c>
    </row>
    <row r="2140" spans="1:7" x14ac:dyDescent="0.35">
      <c r="A2140" t="s">
        <v>117</v>
      </c>
      <c r="E2140">
        <v>5.7023009938465341E-4</v>
      </c>
      <c r="F2140">
        <f t="shared" si="72"/>
        <v>-1.8619617573089536E-2</v>
      </c>
      <c r="G2140">
        <f t="shared" si="73"/>
        <v>-3.1185304247432107E-2</v>
      </c>
    </row>
    <row r="2141" spans="1:7" x14ac:dyDescent="0.35">
      <c r="A2141" t="s">
        <v>118</v>
      </c>
      <c r="B2141" s="3" cm="1">
        <f t="array" ref="B2141">_xlfn.STDEV.S(_xlfn._xlws.FILTER($E$2013:$E$3011, $A$2013:$A$3011="2018-08"))</f>
        <v>7.6647833536606222E-3</v>
      </c>
      <c r="C2141" s="3" cm="1">
        <f t="array" ref="C2141">AVERAGE(_xlfn._xlws.FILTER($E$2013:$E$3011, $A$2013:$A$3011="2018-08"))</f>
        <v>-1.6705185276091271E-3</v>
      </c>
      <c r="D2141" s="3" cm="1">
        <f t="array" ref="D2141">_xlfn.PERCENTILE.EXC(_xlfn._xlws.FILTER($E$1498:$E$2489, $A$1498:$A$2489="2018-08"), 0.05)</f>
        <v>-1.9563464252580147E-2</v>
      </c>
      <c r="E2141">
        <v>-5.359696965245726E-3</v>
      </c>
      <c r="F2141">
        <f t="shared" si="72"/>
        <v>-1.8620333319280129E-2</v>
      </c>
      <c r="G2141">
        <f t="shared" si="73"/>
        <v>-3.1336698062785627E-2</v>
      </c>
    </row>
    <row r="2142" spans="1:7" x14ac:dyDescent="0.35">
      <c r="A2142" t="s">
        <v>118</v>
      </c>
      <c r="E2142">
        <v>-1.5086876638251086E-2</v>
      </c>
      <c r="F2142">
        <f t="shared" si="72"/>
        <v>-1.8621049065470727E-2</v>
      </c>
      <c r="G2142">
        <f t="shared" si="73"/>
        <v>-3.1336698062785627E-2</v>
      </c>
    </row>
    <row r="2143" spans="1:7" x14ac:dyDescent="0.35">
      <c r="A2143" t="s">
        <v>118</v>
      </c>
      <c r="E2143">
        <v>5.5186334846819536E-3</v>
      </c>
      <c r="F2143">
        <f t="shared" si="72"/>
        <v>-1.862176481166132E-2</v>
      </c>
      <c r="G2143">
        <f t="shared" si="73"/>
        <v>-3.1336698062785627E-2</v>
      </c>
    </row>
    <row r="2144" spans="1:7" x14ac:dyDescent="0.35">
      <c r="A2144" t="s">
        <v>118</v>
      </c>
      <c r="E2144">
        <v>-1.3920856441237532E-3</v>
      </c>
      <c r="F2144">
        <f t="shared" si="72"/>
        <v>-1.8622480557851918E-2</v>
      </c>
      <c r="G2144">
        <f t="shared" si="73"/>
        <v>-3.1336698062785627E-2</v>
      </c>
    </row>
    <row r="2145" spans="1:7" x14ac:dyDescent="0.35">
      <c r="A2145" t="s">
        <v>118</v>
      </c>
      <c r="E2145">
        <v>3.9593815588320654E-3</v>
      </c>
      <c r="F2145">
        <f t="shared" si="72"/>
        <v>-1.8623196304042512E-2</v>
      </c>
      <c r="G2145">
        <f t="shared" si="73"/>
        <v>-3.1336698062785627E-2</v>
      </c>
    </row>
    <row r="2146" spans="1:7" x14ac:dyDescent="0.35">
      <c r="A2146" t="s">
        <v>118</v>
      </c>
      <c r="E2146">
        <v>-1.1589398067103217E-3</v>
      </c>
      <c r="F2146">
        <f t="shared" si="72"/>
        <v>-1.8623912050233109E-2</v>
      </c>
      <c r="G2146">
        <f t="shared" si="73"/>
        <v>-3.1336698062785627E-2</v>
      </c>
    </row>
    <row r="2147" spans="1:7" x14ac:dyDescent="0.35">
      <c r="A2147" t="s">
        <v>118</v>
      </c>
      <c r="E2147">
        <v>3.3639374818512668E-3</v>
      </c>
      <c r="F2147">
        <f t="shared" si="72"/>
        <v>-1.8624627796423703E-2</v>
      </c>
      <c r="G2147">
        <f t="shared" si="73"/>
        <v>-3.1336698062785627E-2</v>
      </c>
    </row>
    <row r="2148" spans="1:7" x14ac:dyDescent="0.35">
      <c r="A2148" t="s">
        <v>118</v>
      </c>
      <c r="E2148">
        <v>-2.0060862876394487E-2</v>
      </c>
      <c r="F2148">
        <f t="shared" si="72"/>
        <v>-1.86253435426143E-2</v>
      </c>
      <c r="G2148">
        <f t="shared" si="73"/>
        <v>-3.1336698062785627E-2</v>
      </c>
    </row>
    <row r="2149" spans="1:7" x14ac:dyDescent="0.35">
      <c r="A2149" t="s">
        <v>118</v>
      </c>
      <c r="E2149">
        <v>-5.2947516454149874E-3</v>
      </c>
      <c r="F2149">
        <f t="shared" si="72"/>
        <v>-1.8505964652828093E-2</v>
      </c>
      <c r="G2149">
        <f t="shared" si="73"/>
        <v>-3.1319333661540993E-2</v>
      </c>
    </row>
    <row r="2150" spans="1:7" x14ac:dyDescent="0.35">
      <c r="A2150" t="s">
        <v>118</v>
      </c>
      <c r="E2150">
        <v>1.0518816342090252E-5</v>
      </c>
      <c r="F2150">
        <f t="shared" si="72"/>
        <v>-1.8516296736488226E-2</v>
      </c>
      <c r="G2150">
        <f t="shared" si="73"/>
        <v>-3.1319333661540993E-2</v>
      </c>
    </row>
    <row r="2151" spans="1:7" x14ac:dyDescent="0.35">
      <c r="A2151" t="s">
        <v>118</v>
      </c>
      <c r="E2151">
        <v>-9.8959827010038377E-3</v>
      </c>
      <c r="F2151">
        <f t="shared" si="72"/>
        <v>-1.8526628820148355E-2</v>
      </c>
      <c r="G2151">
        <f t="shared" si="73"/>
        <v>-3.1319333661540993E-2</v>
      </c>
    </row>
    <row r="2152" spans="1:7" x14ac:dyDescent="0.35">
      <c r="A2152" t="s">
        <v>118</v>
      </c>
      <c r="E2152">
        <v>-2.1777090477361938E-3</v>
      </c>
      <c r="F2152">
        <f t="shared" si="72"/>
        <v>-1.8536960903808488E-2</v>
      </c>
      <c r="G2152">
        <f t="shared" si="73"/>
        <v>-3.1319333661540993E-2</v>
      </c>
    </row>
    <row r="2153" spans="1:7" x14ac:dyDescent="0.35">
      <c r="A2153" t="s">
        <v>118</v>
      </c>
      <c r="E2153">
        <v>9.840413366383291E-3</v>
      </c>
      <c r="F2153">
        <f t="shared" si="72"/>
        <v>-1.8547292987468617E-2</v>
      </c>
      <c r="G2153">
        <f t="shared" si="73"/>
        <v>-3.1319333661540993E-2</v>
      </c>
    </row>
    <row r="2154" spans="1:7" x14ac:dyDescent="0.35">
      <c r="A2154" t="s">
        <v>118</v>
      </c>
      <c r="E2154">
        <v>4.3041377285292668E-3</v>
      </c>
      <c r="F2154">
        <f t="shared" si="72"/>
        <v>-1.8557625071128746E-2</v>
      </c>
      <c r="G2154">
        <f t="shared" si="73"/>
        <v>-3.1319333661540993E-2</v>
      </c>
    </row>
    <row r="2155" spans="1:7" x14ac:dyDescent="0.35">
      <c r="A2155" t="s">
        <v>118</v>
      </c>
      <c r="E2155">
        <v>9.7698079906699759E-5</v>
      </c>
      <c r="F2155">
        <f t="shared" si="72"/>
        <v>-1.8567957154788879E-2</v>
      </c>
      <c r="G2155">
        <f t="shared" si="73"/>
        <v>-3.1319333661540993E-2</v>
      </c>
    </row>
    <row r="2156" spans="1:7" x14ac:dyDescent="0.35">
      <c r="A2156" t="s">
        <v>118</v>
      </c>
      <c r="E2156">
        <v>-1.6257748634957178E-3</v>
      </c>
      <c r="F2156">
        <f t="shared" si="72"/>
        <v>-1.8578289238449012E-2</v>
      </c>
      <c r="G2156">
        <f t="shared" si="73"/>
        <v>-3.1319333661540993E-2</v>
      </c>
    </row>
    <row r="2157" spans="1:7" x14ac:dyDescent="0.35">
      <c r="A2157" t="s">
        <v>118</v>
      </c>
      <c r="E2157">
        <v>2.3376329803692641E-3</v>
      </c>
      <c r="F2157">
        <f t="shared" si="72"/>
        <v>-1.8588621322109141E-2</v>
      </c>
      <c r="G2157">
        <f t="shared" si="73"/>
        <v>-3.1319333661540993E-2</v>
      </c>
    </row>
    <row r="2158" spans="1:7" x14ac:dyDescent="0.35">
      <c r="A2158" t="s">
        <v>118</v>
      </c>
      <c r="E2158">
        <v>1.0665402435590715E-2</v>
      </c>
      <c r="F2158">
        <f t="shared" si="72"/>
        <v>-1.859895340576927E-2</v>
      </c>
      <c r="G2158">
        <f t="shared" si="73"/>
        <v>-3.1319333661540993E-2</v>
      </c>
    </row>
    <row r="2159" spans="1:7" x14ac:dyDescent="0.35">
      <c r="A2159" t="s">
        <v>118</v>
      </c>
      <c r="E2159">
        <v>2.7310681765932402E-3</v>
      </c>
      <c r="F2159">
        <f t="shared" si="72"/>
        <v>-1.8609285489429403E-2</v>
      </c>
      <c r="G2159">
        <f t="shared" si="73"/>
        <v>-3.1319333661540993E-2</v>
      </c>
    </row>
    <row r="2160" spans="1:7" x14ac:dyDescent="0.35">
      <c r="A2160" t="s">
        <v>118</v>
      </c>
      <c r="E2160">
        <v>-5.3831719497283307E-3</v>
      </c>
      <c r="F2160">
        <f t="shared" si="72"/>
        <v>-1.8619617573089536E-2</v>
      </c>
      <c r="G2160">
        <f t="shared" si="73"/>
        <v>-3.1319333661540993E-2</v>
      </c>
    </row>
    <row r="2161" spans="1:7" x14ac:dyDescent="0.35">
      <c r="A2161" t="s">
        <v>118</v>
      </c>
      <c r="E2161">
        <v>-1.0473861050767081E-2</v>
      </c>
      <c r="F2161">
        <f t="shared" si="72"/>
        <v>-1.8620333319280129E-2</v>
      </c>
      <c r="G2161">
        <f t="shared" si="73"/>
        <v>-3.1474208247985525E-2</v>
      </c>
    </row>
    <row r="2162" spans="1:7" x14ac:dyDescent="0.35">
      <c r="A2162" t="s">
        <v>119</v>
      </c>
      <c r="B2162" s="3" cm="1">
        <f t="array" ref="B2162">_xlfn.STDEV.S(_xlfn._xlws.FILTER($E$2013:$E$3011, $A$2013:$A$3011="2018-09"))</f>
        <v>7.0232416192133771E-3</v>
      </c>
      <c r="C2162" s="3" cm="1">
        <f t="array" ref="C2162">AVERAGE(_xlfn._xlws.FILTER($E$2013:$E$3011, $A$2013:$A$3011="2018-09"))</f>
        <v>-4.7674572379063104E-4</v>
      </c>
      <c r="D2162" s="3" cm="1">
        <f t="array" ref="D2162">_xlfn.PERCENTILE.EXC(_xlfn._xlws.FILTER($E$1498:$E$2489, $A$1498:$A$2489="2018-09"), 0.05)</f>
        <v>-1.5238374351486087E-2</v>
      </c>
      <c r="E2162">
        <v>-1.4285444996867125E-3</v>
      </c>
      <c r="F2162">
        <f t="shared" si="72"/>
        <v>-1.8621049065470727E-2</v>
      </c>
      <c r="G2162">
        <f t="shared" si="73"/>
        <v>-3.1474208247985525E-2</v>
      </c>
    </row>
    <row r="2163" spans="1:7" x14ac:dyDescent="0.35">
      <c r="A2163" t="s">
        <v>119</v>
      </c>
      <c r="E2163">
        <v>-1.109284556494455E-2</v>
      </c>
      <c r="F2163">
        <f t="shared" si="72"/>
        <v>-1.862176481166132E-2</v>
      </c>
      <c r="G2163">
        <f t="shared" si="73"/>
        <v>-3.1474208247985525E-2</v>
      </c>
    </row>
    <row r="2164" spans="1:7" x14ac:dyDescent="0.35">
      <c r="A2164" t="s">
        <v>119</v>
      </c>
      <c r="E2164">
        <v>-1.3999841860999366E-2</v>
      </c>
      <c r="F2164">
        <f t="shared" si="72"/>
        <v>-1.8622480557851918E-2</v>
      </c>
      <c r="G2164">
        <f t="shared" si="73"/>
        <v>-3.1474208247985525E-2</v>
      </c>
    </row>
    <row r="2165" spans="1:7" x14ac:dyDescent="0.35">
      <c r="A2165" t="s">
        <v>119</v>
      </c>
      <c r="E2165">
        <v>-7.1021326868661704E-3</v>
      </c>
      <c r="F2165">
        <f t="shared" si="72"/>
        <v>-1.8623196304042512E-2</v>
      </c>
      <c r="G2165">
        <f t="shared" si="73"/>
        <v>-3.1474208247985525E-2</v>
      </c>
    </row>
    <row r="2166" spans="1:7" x14ac:dyDescent="0.35">
      <c r="A2166" t="s">
        <v>119</v>
      </c>
      <c r="E2166">
        <v>3.6629914504895798E-4</v>
      </c>
      <c r="F2166">
        <f t="shared" si="72"/>
        <v>-1.8623912050233109E-2</v>
      </c>
      <c r="G2166">
        <f t="shared" si="73"/>
        <v>-3.1474208247985525E-2</v>
      </c>
    </row>
    <row r="2167" spans="1:7" x14ac:dyDescent="0.35">
      <c r="A2167" t="s">
        <v>119</v>
      </c>
      <c r="E2167">
        <v>2.2308564720787444E-3</v>
      </c>
      <c r="F2167">
        <f t="shared" si="72"/>
        <v>-1.8624627796423703E-2</v>
      </c>
      <c r="G2167">
        <f t="shared" si="73"/>
        <v>-3.1474208247985525E-2</v>
      </c>
    </row>
    <row r="2168" spans="1:7" x14ac:dyDescent="0.35">
      <c r="A2168" t="s">
        <v>119</v>
      </c>
      <c r="E2168">
        <v>-1.3415923547050674E-3</v>
      </c>
      <c r="F2168">
        <f t="shared" si="72"/>
        <v>-1.86253435426143E-2</v>
      </c>
      <c r="G2168">
        <f t="shared" si="73"/>
        <v>-3.1474208247985525E-2</v>
      </c>
    </row>
    <row r="2169" spans="1:7" x14ac:dyDescent="0.35">
      <c r="A2169" t="s">
        <v>119</v>
      </c>
      <c r="E2169">
        <v>5.1686247008197175E-3</v>
      </c>
      <c r="F2169">
        <f t="shared" si="72"/>
        <v>-1.8626059288804894E-2</v>
      </c>
      <c r="G2169">
        <f t="shared" si="73"/>
        <v>-3.1474208247985525E-2</v>
      </c>
    </row>
    <row r="2170" spans="1:7" x14ac:dyDescent="0.35">
      <c r="A2170" t="s">
        <v>119</v>
      </c>
      <c r="E2170">
        <v>1.9304344074081558E-3</v>
      </c>
      <c r="F2170">
        <f t="shared" si="72"/>
        <v>-1.8626775034995491E-2</v>
      </c>
      <c r="G2170">
        <f t="shared" si="73"/>
        <v>-3.1474208247985525E-2</v>
      </c>
    </row>
    <row r="2171" spans="1:7" x14ac:dyDescent="0.35">
      <c r="A2171" t="s">
        <v>119</v>
      </c>
      <c r="E2171">
        <v>5.6890427501277837E-3</v>
      </c>
      <c r="F2171">
        <f t="shared" si="72"/>
        <v>-1.8627490781186085E-2</v>
      </c>
      <c r="G2171">
        <f t="shared" si="73"/>
        <v>-3.1474208247985525E-2</v>
      </c>
    </row>
    <row r="2172" spans="1:7" x14ac:dyDescent="0.35">
      <c r="A2172" t="s">
        <v>119</v>
      </c>
      <c r="E2172">
        <v>-2.3054631994402748E-3</v>
      </c>
      <c r="F2172">
        <f t="shared" si="72"/>
        <v>-1.8628206527376678E-2</v>
      </c>
      <c r="G2172">
        <f t="shared" si="73"/>
        <v>-3.1474208247985525E-2</v>
      </c>
    </row>
    <row r="2173" spans="1:7" x14ac:dyDescent="0.35">
      <c r="A2173" t="s">
        <v>119</v>
      </c>
      <c r="E2173">
        <v>5.0515319706382917E-3</v>
      </c>
      <c r="F2173">
        <f t="shared" si="72"/>
        <v>-1.8628922273567276E-2</v>
      </c>
      <c r="G2173">
        <f t="shared" si="73"/>
        <v>-3.1474208247985525E-2</v>
      </c>
    </row>
    <row r="2174" spans="1:7" x14ac:dyDescent="0.35">
      <c r="A2174" t="s">
        <v>119</v>
      </c>
      <c r="E2174">
        <v>5.033507792179464E-3</v>
      </c>
      <c r="F2174">
        <f t="shared" si="72"/>
        <v>-1.8629638019757869E-2</v>
      </c>
      <c r="G2174">
        <f t="shared" si="73"/>
        <v>-3.1474208247985525E-2</v>
      </c>
    </row>
    <row r="2175" spans="1:7" x14ac:dyDescent="0.35">
      <c r="A2175" t="s">
        <v>119</v>
      </c>
      <c r="E2175">
        <v>8.7560397272930628E-3</v>
      </c>
      <c r="F2175">
        <f t="shared" si="72"/>
        <v>-1.8630353765948467E-2</v>
      </c>
      <c r="G2175">
        <f t="shared" si="73"/>
        <v>-3.1474208247985525E-2</v>
      </c>
    </row>
    <row r="2176" spans="1:7" x14ac:dyDescent="0.35">
      <c r="A2176" t="s">
        <v>119</v>
      </c>
      <c r="E2176">
        <v>8.433905621351729E-3</v>
      </c>
      <c r="F2176">
        <f t="shared" si="72"/>
        <v>-1.863106951213906E-2</v>
      </c>
      <c r="G2176">
        <f t="shared" si="73"/>
        <v>-3.1474208247985525E-2</v>
      </c>
    </row>
    <row r="2177" spans="1:7" x14ac:dyDescent="0.35">
      <c r="A2177" t="s">
        <v>119</v>
      </c>
      <c r="E2177">
        <v>-6.4612418458931233E-3</v>
      </c>
      <c r="F2177">
        <f t="shared" si="72"/>
        <v>-1.8631785258329658E-2</v>
      </c>
      <c r="G2177">
        <f t="shared" si="73"/>
        <v>-3.1474208247985525E-2</v>
      </c>
    </row>
    <row r="2178" spans="1:7" x14ac:dyDescent="0.35">
      <c r="A2178" t="s">
        <v>119</v>
      </c>
      <c r="E2178">
        <v>1.9283756988889762E-3</v>
      </c>
      <c r="F2178">
        <f t="shared" si="72"/>
        <v>-1.8632501004520251E-2</v>
      </c>
      <c r="G2178">
        <f t="shared" si="73"/>
        <v>-3.1474208247985525E-2</v>
      </c>
    </row>
    <row r="2179" spans="1:7" x14ac:dyDescent="0.35">
      <c r="A2179" t="s">
        <v>119</v>
      </c>
      <c r="E2179">
        <v>9.0708815191991254E-4</v>
      </c>
      <c r="F2179">
        <f t="shared" si="72"/>
        <v>-1.8633216750710849E-2</v>
      </c>
      <c r="G2179">
        <f t="shared" si="73"/>
        <v>-3.1474208247985525E-2</v>
      </c>
    </row>
    <row r="2180" spans="1:7" x14ac:dyDescent="0.35">
      <c r="A2180" t="s">
        <v>119</v>
      </c>
      <c r="E2180">
        <v>4.0046013710058649E-3</v>
      </c>
      <c r="F2180">
        <f t="shared" ref="F2180:F2243" si="74">_xlfn.PERCENTILE.EXC(E2180:E5995,0.05)</f>
        <v>-1.8633932496901442E-2</v>
      </c>
      <c r="G2180">
        <f t="shared" ref="G2180:G2243" si="75">AVERAGEIFS(E2180:E5996,E2180:E5996,"&lt;=" &amp; F2180)</f>
        <v>-3.1474208247985525E-2</v>
      </c>
    </row>
    <row r="2181" spans="1:7" x14ac:dyDescent="0.35">
      <c r="A2181" t="s">
        <v>119</v>
      </c>
      <c r="E2181">
        <v>-1.530356027203802E-2</v>
      </c>
      <c r="F2181">
        <f t="shared" si="74"/>
        <v>-1.8638567187726371E-2</v>
      </c>
      <c r="G2181">
        <f t="shared" si="75"/>
        <v>-3.1632730170838418E-2</v>
      </c>
    </row>
    <row r="2182" spans="1:7" x14ac:dyDescent="0.35">
      <c r="A2182" t="s">
        <v>120</v>
      </c>
      <c r="B2182" s="3" cm="1">
        <f t="array" ref="B2182">_xlfn.STDEV.S(_xlfn._xlws.FILTER($E$2013:$E$3011, $A$2013:$A$3011="2018-10"))</f>
        <v>1.0730630764016275E-2</v>
      </c>
      <c r="C2182" s="3" cm="1">
        <f t="array" ref="C2182">AVERAGE(_xlfn._xlws.FILTER($E$2013:$E$3011, $A$2013:$A$3011="2018-10"))</f>
        <v>-3.0675783399463558E-3</v>
      </c>
      <c r="D2182" s="3" cm="1">
        <f t="array" ref="D2182">_xlfn.PERCENTILE.EXC(_xlfn._xlws.FILTER($E$1498:$E$2489, $A$1498:$A$2489="2018-10"), 0.05)</f>
        <v>-2.2287979332309825E-2</v>
      </c>
      <c r="E2182">
        <v>7.508446648053598E-3</v>
      </c>
      <c r="F2182">
        <f t="shared" si="74"/>
        <v>-1.8643201878551303E-2</v>
      </c>
      <c r="G2182">
        <f t="shared" si="75"/>
        <v>-3.1632730170838418E-2</v>
      </c>
    </row>
    <row r="2183" spans="1:7" x14ac:dyDescent="0.35">
      <c r="A2183" t="s">
        <v>120</v>
      </c>
      <c r="E2183">
        <v>-4.1784130951051787E-3</v>
      </c>
      <c r="F2183">
        <f t="shared" si="74"/>
        <v>-1.8647836569376231E-2</v>
      </c>
      <c r="G2183">
        <f t="shared" si="75"/>
        <v>-3.1632730170838418E-2</v>
      </c>
    </row>
    <row r="2184" spans="1:7" x14ac:dyDescent="0.35">
      <c r="A2184" t="s">
        <v>120</v>
      </c>
      <c r="E2184">
        <v>-3.5415409440419025E-3</v>
      </c>
      <c r="F2184">
        <f t="shared" si="74"/>
        <v>-1.8652471260201163E-2</v>
      </c>
      <c r="G2184">
        <f t="shared" si="75"/>
        <v>-3.1632730170838418E-2</v>
      </c>
    </row>
    <row r="2185" spans="1:7" x14ac:dyDescent="0.35">
      <c r="A2185" t="s">
        <v>120</v>
      </c>
      <c r="E2185">
        <v>-1.0859014803394781E-2</v>
      </c>
      <c r="F2185">
        <f t="shared" si="74"/>
        <v>-1.8657105951026095E-2</v>
      </c>
      <c r="G2185">
        <f t="shared" si="75"/>
        <v>-3.1632730170838418E-2</v>
      </c>
    </row>
    <row r="2186" spans="1:7" x14ac:dyDescent="0.35">
      <c r="A2186" t="s">
        <v>120</v>
      </c>
      <c r="E2186">
        <v>-1.3694847157363996E-2</v>
      </c>
      <c r="F2186">
        <f t="shared" si="74"/>
        <v>-1.8661740641851023E-2</v>
      </c>
      <c r="G2186">
        <f t="shared" si="75"/>
        <v>-3.1632730170838418E-2</v>
      </c>
    </row>
    <row r="2187" spans="1:7" x14ac:dyDescent="0.35">
      <c r="A2187" t="s">
        <v>120</v>
      </c>
      <c r="E2187">
        <v>2.5129191074942446E-3</v>
      </c>
      <c r="F2187">
        <f t="shared" si="74"/>
        <v>-1.8666375332675955E-2</v>
      </c>
      <c r="G2187">
        <f t="shared" si="75"/>
        <v>-3.1632730170838418E-2</v>
      </c>
    </row>
    <row r="2188" spans="1:7" x14ac:dyDescent="0.35">
      <c r="A2188" t="s">
        <v>120</v>
      </c>
      <c r="E2188">
        <v>-2.2349864771830659E-2</v>
      </c>
      <c r="F2188">
        <f t="shared" si="74"/>
        <v>-1.8671010023500884E-2</v>
      </c>
      <c r="G2188">
        <f t="shared" si="75"/>
        <v>-3.1632730170838418E-2</v>
      </c>
    </row>
    <row r="2189" spans="1:7" x14ac:dyDescent="0.35">
      <c r="A2189" t="s">
        <v>120</v>
      </c>
      <c r="E2189">
        <v>-1.4893713894169327E-2</v>
      </c>
      <c r="F2189">
        <f t="shared" si="74"/>
        <v>-1.8626059288804894E-2</v>
      </c>
      <c r="G2189">
        <f t="shared" si="75"/>
        <v>-3.158685446374053E-2</v>
      </c>
    </row>
    <row r="2190" spans="1:7" x14ac:dyDescent="0.35">
      <c r="A2190" t="s">
        <v>120</v>
      </c>
      <c r="E2190">
        <v>-1.3476039147946885E-3</v>
      </c>
      <c r="F2190">
        <f t="shared" si="74"/>
        <v>-1.8626775034995491E-2</v>
      </c>
      <c r="G2190">
        <f t="shared" si="75"/>
        <v>-3.158685446374053E-2</v>
      </c>
    </row>
    <row r="2191" spans="1:7" x14ac:dyDescent="0.35">
      <c r="A2191" t="s">
        <v>120</v>
      </c>
      <c r="E2191">
        <v>7.809713576052927E-3</v>
      </c>
      <c r="F2191">
        <f t="shared" si="74"/>
        <v>-1.8627490781186085E-2</v>
      </c>
      <c r="G2191">
        <f t="shared" si="75"/>
        <v>-3.158685446374053E-2</v>
      </c>
    </row>
    <row r="2192" spans="1:7" x14ac:dyDescent="0.35">
      <c r="A2192" t="s">
        <v>120</v>
      </c>
      <c r="E2192">
        <v>1.3885222727282209E-2</v>
      </c>
      <c r="F2192">
        <f t="shared" si="74"/>
        <v>-1.8628206527376678E-2</v>
      </c>
      <c r="G2192">
        <f t="shared" si="75"/>
        <v>-3.158685446374053E-2</v>
      </c>
    </row>
    <row r="2193" spans="1:7" x14ac:dyDescent="0.35">
      <c r="A2193" t="s">
        <v>120</v>
      </c>
      <c r="E2193">
        <v>-5.2376332829693157E-3</v>
      </c>
      <c r="F2193">
        <f t="shared" si="74"/>
        <v>-1.8628922273567276E-2</v>
      </c>
      <c r="G2193">
        <f t="shared" si="75"/>
        <v>-3.158685446374053E-2</v>
      </c>
    </row>
    <row r="2194" spans="1:7" x14ac:dyDescent="0.35">
      <c r="A2194" t="s">
        <v>120</v>
      </c>
      <c r="E2194">
        <v>-1.0798139956231766E-2</v>
      </c>
      <c r="F2194">
        <f t="shared" si="74"/>
        <v>-1.8629638019757869E-2</v>
      </c>
      <c r="G2194">
        <f t="shared" si="75"/>
        <v>-3.158685446374053E-2</v>
      </c>
    </row>
    <row r="2195" spans="1:7" x14ac:dyDescent="0.35">
      <c r="A2195" t="s">
        <v>120</v>
      </c>
      <c r="E2195">
        <v>-3.0575090880093176E-3</v>
      </c>
      <c r="F2195">
        <f t="shared" si="74"/>
        <v>-1.8630353765948467E-2</v>
      </c>
      <c r="G2195">
        <f t="shared" si="75"/>
        <v>-3.158685446374053E-2</v>
      </c>
    </row>
    <row r="2196" spans="1:7" x14ac:dyDescent="0.35">
      <c r="A2196" t="s">
        <v>120</v>
      </c>
      <c r="E2196">
        <v>-2.5556633000753202E-3</v>
      </c>
      <c r="F2196">
        <f t="shared" si="74"/>
        <v>-1.863106951213906E-2</v>
      </c>
      <c r="G2196">
        <f t="shared" si="75"/>
        <v>-3.158685446374053E-2</v>
      </c>
    </row>
    <row r="2197" spans="1:7" x14ac:dyDescent="0.35">
      <c r="A2197" t="s">
        <v>120</v>
      </c>
      <c r="E2197">
        <v>-2.1937295175025098E-2</v>
      </c>
      <c r="F2197">
        <f t="shared" si="74"/>
        <v>-1.8631785258329658E-2</v>
      </c>
      <c r="G2197">
        <f t="shared" si="75"/>
        <v>-3.158685446374053E-2</v>
      </c>
    </row>
    <row r="2198" spans="1:7" x14ac:dyDescent="0.35">
      <c r="A2198" t="s">
        <v>120</v>
      </c>
      <c r="E2198">
        <v>-7.3578477679840026E-3</v>
      </c>
      <c r="F2198">
        <f t="shared" si="74"/>
        <v>-1.859895340576927E-2</v>
      </c>
      <c r="G2198">
        <f t="shared" si="75"/>
        <v>-3.1545895481000584E-2</v>
      </c>
    </row>
    <row r="2199" spans="1:7" x14ac:dyDescent="0.35">
      <c r="A2199" t="s">
        <v>120</v>
      </c>
      <c r="E2199">
        <v>1.026643830284189E-2</v>
      </c>
      <c r="F2199">
        <f t="shared" si="74"/>
        <v>-1.8609285489429403E-2</v>
      </c>
      <c r="G2199">
        <f t="shared" si="75"/>
        <v>-3.1545895481000584E-2</v>
      </c>
    </row>
    <row r="2200" spans="1:7" x14ac:dyDescent="0.35">
      <c r="A2200" t="s">
        <v>120</v>
      </c>
      <c r="E2200">
        <v>-9.4634818797027769E-3</v>
      </c>
      <c r="F2200">
        <f t="shared" si="74"/>
        <v>-1.8619617573089536E-2</v>
      </c>
      <c r="G2200">
        <f t="shared" si="75"/>
        <v>-3.1545895481000584E-2</v>
      </c>
    </row>
    <row r="2201" spans="1:7" x14ac:dyDescent="0.35">
      <c r="A2201" t="s">
        <v>120</v>
      </c>
      <c r="E2201">
        <v>1.1968495864858103E-2</v>
      </c>
      <c r="F2201">
        <f t="shared" si="74"/>
        <v>-1.8620333319280129E-2</v>
      </c>
      <c r="G2201">
        <f t="shared" si="75"/>
        <v>-3.170747395484947E-2</v>
      </c>
    </row>
    <row r="2202" spans="1:7" x14ac:dyDescent="0.35">
      <c r="A2202" t="s">
        <v>120</v>
      </c>
      <c r="E2202">
        <v>-4.2514563744622405E-3</v>
      </c>
      <c r="F2202">
        <f t="shared" si="74"/>
        <v>-1.8621049065470727E-2</v>
      </c>
      <c r="G2202">
        <f t="shared" si="75"/>
        <v>-3.170747395484947E-2</v>
      </c>
    </row>
    <row r="2203" spans="1:7" x14ac:dyDescent="0.35">
      <c r="A2203" t="s">
        <v>120</v>
      </c>
      <c r="E2203">
        <v>1.4086065699757568E-2</v>
      </c>
      <c r="F2203">
        <f t="shared" si="74"/>
        <v>-1.862176481166132E-2</v>
      </c>
      <c r="G2203">
        <f t="shared" si="75"/>
        <v>-3.170747395484947E-2</v>
      </c>
    </row>
    <row r="2204" spans="1:7" x14ac:dyDescent="0.35">
      <c r="A2204" t="s">
        <v>121</v>
      </c>
      <c r="B2204" s="3" cm="1">
        <f t="array" ref="B2204">_xlfn.STDEV.S(_xlfn._xlws.FILTER($E$2013:$E$3011, $A$2013:$A$3011="2018-11"))</f>
        <v>8.6547341798768659E-3</v>
      </c>
      <c r="C2204" s="3" cm="1">
        <f t="array" ref="C2204">AVERAGE(_xlfn._xlws.FILTER($E$2013:$E$3011, $A$2013:$A$3011="2018-11"))</f>
        <v>-7.6185281313630128E-4</v>
      </c>
      <c r="D2204" s="3" cm="1">
        <f t="array" ref="D2204">_xlfn.PERCENTILE.EXC(_xlfn._xlws.FILTER($E$1498:$E$2489, $A$1498:$A$2489="2018-11"), 0.05)</f>
        <v>-1.7549004659794955E-2</v>
      </c>
      <c r="E2204">
        <v>1.8353953585897682E-3</v>
      </c>
      <c r="F2204">
        <f t="shared" si="74"/>
        <v>-1.8622480557851918E-2</v>
      </c>
      <c r="G2204">
        <f t="shared" si="75"/>
        <v>-3.170747395484947E-2</v>
      </c>
    </row>
    <row r="2205" spans="1:7" x14ac:dyDescent="0.35">
      <c r="A2205" t="s">
        <v>121</v>
      </c>
      <c r="E2205">
        <v>4.3893433525790809E-3</v>
      </c>
      <c r="F2205">
        <f t="shared" si="74"/>
        <v>-1.8623196304042512E-2</v>
      </c>
      <c r="G2205">
        <f t="shared" si="75"/>
        <v>-3.170747395484947E-2</v>
      </c>
    </row>
    <row r="2206" spans="1:7" x14ac:dyDescent="0.35">
      <c r="A2206" t="s">
        <v>121</v>
      </c>
      <c r="E2206">
        <v>-2.0882993778026538E-3</v>
      </c>
      <c r="F2206">
        <f t="shared" si="74"/>
        <v>-1.8623912050233109E-2</v>
      </c>
      <c r="G2206">
        <f t="shared" si="75"/>
        <v>-3.170747395484947E-2</v>
      </c>
    </row>
    <row r="2207" spans="1:7" x14ac:dyDescent="0.35">
      <c r="A2207" t="s">
        <v>121</v>
      </c>
      <c r="E2207">
        <v>-9.2431020580246146E-4</v>
      </c>
      <c r="F2207">
        <f t="shared" si="74"/>
        <v>-1.8624627796423703E-2</v>
      </c>
      <c r="G2207">
        <f t="shared" si="75"/>
        <v>-3.170747395484947E-2</v>
      </c>
    </row>
    <row r="2208" spans="1:7" x14ac:dyDescent="0.35">
      <c r="A2208" t="s">
        <v>121</v>
      </c>
      <c r="E2208">
        <v>8.2173806877503391E-3</v>
      </c>
      <c r="F2208">
        <f t="shared" si="74"/>
        <v>-1.86253435426143E-2</v>
      </c>
      <c r="G2208">
        <f t="shared" si="75"/>
        <v>-3.170747395484947E-2</v>
      </c>
    </row>
    <row r="2209" spans="1:7" x14ac:dyDescent="0.35">
      <c r="A2209" t="s">
        <v>121</v>
      </c>
      <c r="E2209">
        <v>-4.4818787745051353E-3</v>
      </c>
      <c r="F2209">
        <f t="shared" si="74"/>
        <v>-1.8626059288804894E-2</v>
      </c>
      <c r="G2209">
        <f t="shared" si="75"/>
        <v>-3.170747395484947E-2</v>
      </c>
    </row>
    <row r="2210" spans="1:7" x14ac:dyDescent="0.35">
      <c r="A2210" t="s">
        <v>121</v>
      </c>
      <c r="E2210">
        <v>1.5960805846392315E-4</v>
      </c>
      <c r="F2210">
        <f t="shared" si="74"/>
        <v>-1.8626775034995491E-2</v>
      </c>
      <c r="G2210">
        <f t="shared" si="75"/>
        <v>-3.170747395484947E-2</v>
      </c>
    </row>
    <row r="2211" spans="1:7" x14ac:dyDescent="0.35">
      <c r="A2211" t="s">
        <v>121</v>
      </c>
      <c r="E2211">
        <v>-1.782795548967742E-2</v>
      </c>
      <c r="F2211">
        <f t="shared" si="74"/>
        <v>-1.8627490781186085E-2</v>
      </c>
      <c r="G2211">
        <f t="shared" si="75"/>
        <v>-3.170747395484947E-2</v>
      </c>
    </row>
    <row r="2212" spans="1:7" x14ac:dyDescent="0.35">
      <c r="A2212" t="s">
        <v>121</v>
      </c>
      <c r="E2212">
        <v>1.287693808879869E-2</v>
      </c>
      <c r="F2212">
        <f t="shared" si="74"/>
        <v>-1.8628206527376678E-2</v>
      </c>
      <c r="G2212">
        <f t="shared" si="75"/>
        <v>-3.170747395484947E-2</v>
      </c>
    </row>
    <row r="2213" spans="1:7" x14ac:dyDescent="0.35">
      <c r="A2213" t="s">
        <v>121</v>
      </c>
      <c r="E2213">
        <v>-5.2165861860670052E-3</v>
      </c>
      <c r="F2213">
        <f t="shared" si="74"/>
        <v>-1.8628922273567276E-2</v>
      </c>
      <c r="G2213">
        <f t="shared" si="75"/>
        <v>-3.170747395484947E-2</v>
      </c>
    </row>
    <row r="2214" spans="1:7" x14ac:dyDescent="0.35">
      <c r="A2214" t="s">
        <v>121</v>
      </c>
      <c r="E2214">
        <v>-5.170834934907588E-3</v>
      </c>
      <c r="F2214">
        <f t="shared" si="74"/>
        <v>-1.8629638019757869E-2</v>
      </c>
      <c r="G2214">
        <f t="shared" si="75"/>
        <v>-3.170747395484947E-2</v>
      </c>
    </row>
    <row r="2215" spans="1:7" x14ac:dyDescent="0.35">
      <c r="A2215" t="s">
        <v>121</v>
      </c>
      <c r="E2215">
        <v>-1.1165618461355033E-3</v>
      </c>
      <c r="F2215">
        <f t="shared" si="74"/>
        <v>-1.8630353765948467E-2</v>
      </c>
      <c r="G2215">
        <f t="shared" si="75"/>
        <v>-3.170747395484947E-2</v>
      </c>
    </row>
    <row r="2216" spans="1:7" x14ac:dyDescent="0.35">
      <c r="A2216" t="s">
        <v>121</v>
      </c>
      <c r="E2216">
        <v>-8.5418003284401835E-3</v>
      </c>
      <c r="F2216">
        <f t="shared" si="74"/>
        <v>-1.863106951213906E-2</v>
      </c>
      <c r="G2216">
        <f t="shared" si="75"/>
        <v>-3.170747395484947E-2</v>
      </c>
    </row>
    <row r="2217" spans="1:7" x14ac:dyDescent="0.35">
      <c r="A2217" t="s">
        <v>121</v>
      </c>
      <c r="E2217">
        <v>-1.5968283290460985E-2</v>
      </c>
      <c r="F2217">
        <f t="shared" si="74"/>
        <v>-1.8631785258329658E-2</v>
      </c>
      <c r="G2217">
        <f t="shared" si="75"/>
        <v>-3.170747395484947E-2</v>
      </c>
    </row>
    <row r="2218" spans="1:7" x14ac:dyDescent="0.35">
      <c r="A2218" t="s">
        <v>121</v>
      </c>
      <c r="E2218">
        <v>1.5935377890370458E-2</v>
      </c>
      <c r="F2218">
        <f t="shared" si="74"/>
        <v>-1.8632501004520251E-2</v>
      </c>
      <c r="G2218">
        <f t="shared" si="75"/>
        <v>-3.170747395484947E-2</v>
      </c>
    </row>
    <row r="2219" spans="1:7" x14ac:dyDescent="0.35">
      <c r="A2219" t="s">
        <v>121</v>
      </c>
      <c r="E2219">
        <v>-9.4430943692294742E-3</v>
      </c>
      <c r="F2219">
        <f t="shared" si="74"/>
        <v>-1.8633216750710849E-2</v>
      </c>
      <c r="G2219">
        <f t="shared" si="75"/>
        <v>-3.170747395484947E-2</v>
      </c>
    </row>
    <row r="2220" spans="1:7" x14ac:dyDescent="0.35">
      <c r="A2220" t="s">
        <v>121</v>
      </c>
      <c r="E2220">
        <v>4.8542089068046666E-3</v>
      </c>
      <c r="F2220">
        <f t="shared" si="74"/>
        <v>-1.8633932496901442E-2</v>
      </c>
      <c r="G2220">
        <f t="shared" si="75"/>
        <v>-3.170747395484947E-2</v>
      </c>
    </row>
    <row r="2221" spans="1:7" x14ac:dyDescent="0.35">
      <c r="A2221" t="s">
        <v>121</v>
      </c>
      <c r="E2221">
        <v>1.437262987060898E-2</v>
      </c>
      <c r="F2221">
        <f t="shared" si="74"/>
        <v>-1.8638567187726371E-2</v>
      </c>
      <c r="G2221">
        <f t="shared" si="75"/>
        <v>-3.1872961821405775E-2</v>
      </c>
    </row>
    <row r="2222" spans="1:7" x14ac:dyDescent="0.35">
      <c r="A2222" t="s">
        <v>121</v>
      </c>
      <c r="E2222">
        <v>-4.0249209046695281E-3</v>
      </c>
      <c r="F2222">
        <f t="shared" si="74"/>
        <v>-1.8643201878551303E-2</v>
      </c>
      <c r="G2222">
        <f t="shared" si="75"/>
        <v>-3.1872961821405775E-2</v>
      </c>
    </row>
    <row r="2223" spans="1:7" x14ac:dyDescent="0.35">
      <c r="A2223" t="s">
        <v>121</v>
      </c>
      <c r="E2223">
        <v>-9.0498984635123273E-4</v>
      </c>
      <c r="F2223">
        <f t="shared" si="74"/>
        <v>-1.8647836569376231E-2</v>
      </c>
      <c r="G2223">
        <f t="shared" si="75"/>
        <v>-3.1872961821405775E-2</v>
      </c>
    </row>
    <row r="2224" spans="1:7" x14ac:dyDescent="0.35">
      <c r="A2224" t="s">
        <v>121</v>
      </c>
      <c r="E2224">
        <v>-5.7529480555567728E-5</v>
      </c>
      <c r="F2224">
        <f t="shared" si="74"/>
        <v>-1.8652471260201163E-2</v>
      </c>
      <c r="G2224">
        <f t="shared" si="75"/>
        <v>-3.1872961821405775E-2</v>
      </c>
    </row>
    <row r="2225" spans="1:7" x14ac:dyDescent="0.35">
      <c r="A2225" t="s">
        <v>121</v>
      </c>
      <c r="E2225">
        <v>-3.6345990683597979E-3</v>
      </c>
      <c r="F2225">
        <f t="shared" si="74"/>
        <v>-1.8657105951026095E-2</v>
      </c>
      <c r="G2225">
        <f t="shared" si="75"/>
        <v>-3.1872961821405775E-2</v>
      </c>
    </row>
    <row r="2226" spans="1:7" x14ac:dyDescent="0.35">
      <c r="A2226" t="s">
        <v>122</v>
      </c>
      <c r="B2226" s="3" cm="1">
        <f t="array" ref="B2226">_xlfn.STDEV.S(_xlfn._xlws.FILTER($E$2013:$E$3011, $A$2013:$A$3011="2018-12"))</f>
        <v>1.4726086520803259E-2</v>
      </c>
      <c r="C2226" s="3" cm="1">
        <f t="array" ref="C2226">AVERAGE(_xlfn._xlws.FILTER($E$2013:$E$3011, $A$2013:$A$3011="2018-12"))</f>
        <v>-3.7668640372489313E-3</v>
      </c>
      <c r="D2226" s="3" cm="1">
        <f t="array" ref="D2226">_xlfn.PERCENTILE.INC(_xlfn._xlws.FILTER($E$1498:$E$2489, $A$1498:$A$2489="2018-12"), 0.05)</f>
        <v>-2.6285103565180795E-2</v>
      </c>
      <c r="E2226">
        <v>1.832756040285809E-2</v>
      </c>
      <c r="F2226">
        <f t="shared" si="74"/>
        <v>-1.8661740641851023E-2</v>
      </c>
      <c r="G2226">
        <f t="shared" si="75"/>
        <v>-3.1872961821405775E-2</v>
      </c>
    </row>
    <row r="2227" spans="1:7" x14ac:dyDescent="0.35">
      <c r="A2227" t="s">
        <v>122</v>
      </c>
      <c r="E2227">
        <v>-1.1415522912289153E-2</v>
      </c>
      <c r="F2227">
        <f t="shared" si="74"/>
        <v>-1.8666375332675955E-2</v>
      </c>
      <c r="G2227">
        <f t="shared" si="75"/>
        <v>-3.1872961821405775E-2</v>
      </c>
    </row>
    <row r="2228" spans="1:7" x14ac:dyDescent="0.35">
      <c r="A2228" t="s">
        <v>122</v>
      </c>
      <c r="E2228">
        <v>-1.1988308060591315E-2</v>
      </c>
      <c r="F2228">
        <f t="shared" si="74"/>
        <v>-1.8671010023500884E-2</v>
      </c>
      <c r="G2228">
        <f t="shared" si="75"/>
        <v>-3.1872961821405775E-2</v>
      </c>
    </row>
    <row r="2229" spans="1:7" x14ac:dyDescent="0.35">
      <c r="A2229" t="s">
        <v>122</v>
      </c>
      <c r="E2229">
        <v>-3.5372922301591316E-2</v>
      </c>
      <c r="F2229">
        <f t="shared" si="74"/>
        <v>-1.8675644714325815E-2</v>
      </c>
      <c r="G2229">
        <f t="shared" si="75"/>
        <v>-3.1872961821405775E-2</v>
      </c>
    </row>
    <row r="2230" spans="1:7" x14ac:dyDescent="0.35">
      <c r="A2230" t="s">
        <v>122</v>
      </c>
      <c r="E2230">
        <v>-2.1195364957211854E-3</v>
      </c>
      <c r="F2230">
        <f t="shared" si="74"/>
        <v>-1.8626775034995491E-2</v>
      </c>
      <c r="G2230">
        <f t="shared" si="75"/>
        <v>-3.1661075874510967E-2</v>
      </c>
    </row>
    <row r="2231" spans="1:7" x14ac:dyDescent="0.35">
      <c r="A2231" t="s">
        <v>122</v>
      </c>
      <c r="E2231">
        <v>-1.5508835771056394E-2</v>
      </c>
      <c r="F2231">
        <f t="shared" si="74"/>
        <v>-1.8627490781186085E-2</v>
      </c>
      <c r="G2231">
        <f t="shared" si="75"/>
        <v>-3.1661075874510967E-2</v>
      </c>
    </row>
    <row r="2232" spans="1:7" x14ac:dyDescent="0.35">
      <c r="A2232" t="s">
        <v>122</v>
      </c>
      <c r="E2232">
        <v>1.4805962120280418E-2</v>
      </c>
      <c r="F2232">
        <f t="shared" si="74"/>
        <v>-1.8628206527376678E-2</v>
      </c>
      <c r="G2232">
        <f t="shared" si="75"/>
        <v>-3.1661075874510967E-2</v>
      </c>
    </row>
    <row r="2233" spans="1:7" x14ac:dyDescent="0.35">
      <c r="A2233" t="s">
        <v>122</v>
      </c>
      <c r="E2233">
        <v>1.3719276588040376E-2</v>
      </c>
      <c r="F2233">
        <f t="shared" si="74"/>
        <v>-1.8628922273567276E-2</v>
      </c>
      <c r="G2233">
        <f t="shared" si="75"/>
        <v>-3.1661075874510967E-2</v>
      </c>
    </row>
    <row r="2234" spans="1:7" x14ac:dyDescent="0.35">
      <c r="A2234" t="s">
        <v>122</v>
      </c>
      <c r="E2234">
        <v>-4.3287013245164684E-4</v>
      </c>
      <c r="F2234">
        <f t="shared" si="74"/>
        <v>-1.8629638019757869E-2</v>
      </c>
      <c r="G2234">
        <f t="shared" si="75"/>
        <v>-3.1661075874510967E-2</v>
      </c>
    </row>
    <row r="2235" spans="1:7" x14ac:dyDescent="0.35">
      <c r="A2235" t="s">
        <v>122</v>
      </c>
      <c r="E2235">
        <v>-5.4087996878378168E-3</v>
      </c>
      <c r="F2235">
        <f t="shared" si="74"/>
        <v>-1.8630353765948467E-2</v>
      </c>
      <c r="G2235">
        <f t="shared" si="75"/>
        <v>-3.1661075874510967E-2</v>
      </c>
    </row>
    <row r="2236" spans="1:7" x14ac:dyDescent="0.35">
      <c r="A2236" t="s">
        <v>122</v>
      </c>
      <c r="E2236">
        <v>-8.6487395312680165E-3</v>
      </c>
      <c r="F2236">
        <f t="shared" si="74"/>
        <v>-1.863106951213906E-2</v>
      </c>
      <c r="G2236">
        <f t="shared" si="75"/>
        <v>-3.1661075874510967E-2</v>
      </c>
    </row>
    <row r="2237" spans="1:7" x14ac:dyDescent="0.35">
      <c r="A2237" t="s">
        <v>122</v>
      </c>
      <c r="E2237">
        <v>-2.9107879999247461E-3</v>
      </c>
      <c r="F2237">
        <f t="shared" si="74"/>
        <v>-1.8631785258329658E-2</v>
      </c>
      <c r="G2237">
        <f t="shared" si="75"/>
        <v>-3.1661075874510967E-2</v>
      </c>
    </row>
    <row r="2238" spans="1:7" x14ac:dyDescent="0.35">
      <c r="A2238" t="s">
        <v>122</v>
      </c>
      <c r="E2238">
        <v>2.3545723689257147E-3</v>
      </c>
      <c r="F2238">
        <f t="shared" si="74"/>
        <v>-1.8632501004520251E-2</v>
      </c>
      <c r="G2238">
        <f t="shared" si="75"/>
        <v>-3.1661075874510967E-2</v>
      </c>
    </row>
    <row r="2239" spans="1:7" x14ac:dyDescent="0.35">
      <c r="A2239" t="s">
        <v>122</v>
      </c>
      <c r="E2239">
        <v>-1.4511902770786175E-2</v>
      </c>
      <c r="F2239">
        <f t="shared" si="74"/>
        <v>-1.8633216750710849E-2</v>
      </c>
      <c r="G2239">
        <f t="shared" si="75"/>
        <v>-3.1661075874510967E-2</v>
      </c>
    </row>
    <row r="2240" spans="1:7" x14ac:dyDescent="0.35">
      <c r="A2240" t="s">
        <v>122</v>
      </c>
      <c r="E2240">
        <v>2.1388650709453553E-3</v>
      </c>
      <c r="F2240">
        <f t="shared" si="74"/>
        <v>-1.8633932496901442E-2</v>
      </c>
      <c r="G2240">
        <f t="shared" si="75"/>
        <v>-3.1661075874510967E-2</v>
      </c>
    </row>
    <row r="2241" spans="1:7" x14ac:dyDescent="0.35">
      <c r="A2241" t="s">
        <v>122</v>
      </c>
      <c r="E2241">
        <v>-2.4013148881078163E-2</v>
      </c>
      <c r="F2241">
        <f t="shared" si="74"/>
        <v>-1.8638567187726371E-2</v>
      </c>
      <c r="G2241">
        <f t="shared" si="75"/>
        <v>-3.1828090533198267E-2</v>
      </c>
    </row>
    <row r="2242" spans="1:7" x14ac:dyDescent="0.35">
      <c r="A2242" t="s">
        <v>122</v>
      </c>
      <c r="E2242">
        <v>1.6948449360314127E-2</v>
      </c>
      <c r="F2242">
        <f t="shared" si="74"/>
        <v>-1.8621049065470727E-2</v>
      </c>
      <c r="G2242">
        <f t="shared" si="75"/>
        <v>-3.1759126220580615E-2</v>
      </c>
    </row>
    <row r="2243" spans="1:7" x14ac:dyDescent="0.35">
      <c r="A2243" t="s">
        <v>123</v>
      </c>
      <c r="B2243" s="3" cm="1">
        <f t="array" ref="B2243">_xlfn.STDEV.S(_xlfn._xlws.FILTER($E$2013:$E$3011, $A$2013:$A$3011="2019-01"))</f>
        <v>1.0563662222413773E-2</v>
      </c>
      <c r="C2243" s="3" cm="1">
        <f t="array" ref="C2243">AVERAGE(_xlfn._xlws.FILTER($E$2013:$E$3011, $A$2013:$A$3011="2019-01"))</f>
        <v>2.5697415951430277E-3</v>
      </c>
      <c r="D2243" s="3" cm="1">
        <f t="array" ref="D2243">_xlfn.PERCENTILE.EXC(_xlfn._xlws.FILTER($E$1498:$E$2489, $A$1498:$A$2489="2019-01"), 0.05)</f>
        <v>-1.4193801218080192E-2</v>
      </c>
      <c r="E2243">
        <v>2.0085961013219908E-3</v>
      </c>
      <c r="F2243">
        <f t="shared" si="74"/>
        <v>-1.862176481166132E-2</v>
      </c>
      <c r="G2243">
        <f t="shared" si="75"/>
        <v>-3.1759126220580615E-2</v>
      </c>
    </row>
    <row r="2244" spans="1:7" x14ac:dyDescent="0.35">
      <c r="A2244" t="s">
        <v>123</v>
      </c>
      <c r="E2244">
        <v>-1.5576937166905287E-2</v>
      </c>
      <c r="F2244">
        <f t="shared" ref="F2244:F2307" si="76">_xlfn.PERCENTILE.EXC(E2244:E6059,0.05)</f>
        <v>-1.8622480557851918E-2</v>
      </c>
      <c r="G2244">
        <f t="shared" ref="G2244:G2307" si="77">AVERAGEIFS(E2244:E6060,E2244:E6060,"&lt;=" &amp; F2244)</f>
        <v>-3.1759126220580615E-2</v>
      </c>
    </row>
    <row r="2245" spans="1:7" x14ac:dyDescent="0.35">
      <c r="A2245" t="s">
        <v>123</v>
      </c>
      <c r="E2245">
        <v>3.3143535969407022E-2</v>
      </c>
      <c r="F2245">
        <f t="shared" si="76"/>
        <v>-1.8623196304042512E-2</v>
      </c>
      <c r="G2245">
        <f t="shared" si="77"/>
        <v>-3.1759126220580615E-2</v>
      </c>
    </row>
    <row r="2246" spans="1:7" x14ac:dyDescent="0.35">
      <c r="A2246" t="s">
        <v>123</v>
      </c>
      <c r="E2246">
        <v>-1.8479705939912655E-3</v>
      </c>
      <c r="F2246">
        <f t="shared" si="76"/>
        <v>-1.8623912050233109E-2</v>
      </c>
      <c r="G2246">
        <f t="shared" si="77"/>
        <v>-3.1759126220580615E-2</v>
      </c>
    </row>
    <row r="2247" spans="1:7" x14ac:dyDescent="0.35">
      <c r="A2247" t="s">
        <v>123</v>
      </c>
      <c r="E2247">
        <v>5.2125718729092076E-3</v>
      </c>
      <c r="F2247">
        <f t="shared" si="76"/>
        <v>-1.8624627796423703E-2</v>
      </c>
      <c r="G2247">
        <f t="shared" si="77"/>
        <v>-3.1759126220580615E-2</v>
      </c>
    </row>
    <row r="2248" spans="1:7" x14ac:dyDescent="0.35">
      <c r="A2248" t="s">
        <v>123</v>
      </c>
      <c r="E2248">
        <v>8.235172570314241E-3</v>
      </c>
      <c r="F2248">
        <f t="shared" si="76"/>
        <v>-1.86253435426143E-2</v>
      </c>
      <c r="G2248">
        <f t="shared" si="77"/>
        <v>-3.1759126220580615E-2</v>
      </c>
    </row>
    <row r="2249" spans="1:7" x14ac:dyDescent="0.35">
      <c r="A2249" t="s">
        <v>123</v>
      </c>
      <c r="E2249">
        <v>2.5918067803369677E-3</v>
      </c>
      <c r="F2249">
        <f t="shared" si="76"/>
        <v>-1.8626059288804894E-2</v>
      </c>
      <c r="G2249">
        <f t="shared" si="77"/>
        <v>-3.1759126220580615E-2</v>
      </c>
    </row>
    <row r="2250" spans="1:7" x14ac:dyDescent="0.35">
      <c r="A2250" t="s">
        <v>123</v>
      </c>
      <c r="E2250">
        <v>-3.1298958792023985E-3</v>
      </c>
      <c r="F2250">
        <f t="shared" si="76"/>
        <v>-1.8626775034995491E-2</v>
      </c>
      <c r="G2250">
        <f t="shared" si="77"/>
        <v>-3.1759126220580615E-2</v>
      </c>
    </row>
    <row r="2251" spans="1:7" x14ac:dyDescent="0.35">
      <c r="A2251" t="s">
        <v>123</v>
      </c>
      <c r="E2251">
        <v>-2.9020360820192753E-3</v>
      </c>
      <c r="F2251">
        <f t="shared" si="76"/>
        <v>-1.8627490781186085E-2</v>
      </c>
      <c r="G2251">
        <f t="shared" si="77"/>
        <v>-3.1759126220580615E-2</v>
      </c>
    </row>
    <row r="2252" spans="1:7" x14ac:dyDescent="0.35">
      <c r="A2252" t="s">
        <v>123</v>
      </c>
      <c r="E2252">
        <v>3.2996622681415459E-3</v>
      </c>
      <c r="F2252">
        <f t="shared" si="76"/>
        <v>-1.8628206527376678E-2</v>
      </c>
      <c r="G2252">
        <f t="shared" si="77"/>
        <v>-3.1759126220580615E-2</v>
      </c>
    </row>
    <row r="2253" spans="1:7" x14ac:dyDescent="0.35">
      <c r="A2253" t="s">
        <v>123</v>
      </c>
      <c r="E2253">
        <v>3.6154505559026443E-3</v>
      </c>
      <c r="F2253">
        <f t="shared" si="76"/>
        <v>-1.8628922273567276E-2</v>
      </c>
      <c r="G2253">
        <f t="shared" si="77"/>
        <v>-3.1759126220580615E-2</v>
      </c>
    </row>
    <row r="2254" spans="1:7" x14ac:dyDescent="0.35">
      <c r="A2254" t="s">
        <v>123</v>
      </c>
      <c r="E2254">
        <v>-1.1551562713287603E-3</v>
      </c>
      <c r="F2254">
        <f t="shared" si="76"/>
        <v>-1.8629638019757869E-2</v>
      </c>
      <c r="G2254">
        <f t="shared" si="77"/>
        <v>-3.1759126220580615E-2</v>
      </c>
    </row>
    <row r="2255" spans="1:7" x14ac:dyDescent="0.35">
      <c r="A2255" t="s">
        <v>123</v>
      </c>
      <c r="E2255">
        <v>2.5938710158174481E-2</v>
      </c>
      <c r="F2255">
        <f t="shared" si="76"/>
        <v>-1.8630353765948467E-2</v>
      </c>
      <c r="G2255">
        <f t="shared" si="77"/>
        <v>-3.1759126220580615E-2</v>
      </c>
    </row>
    <row r="2256" spans="1:7" x14ac:dyDescent="0.35">
      <c r="A2256" t="s">
        <v>123</v>
      </c>
      <c r="E2256">
        <v>-6.2072356618363342E-3</v>
      </c>
      <c r="F2256">
        <f t="shared" si="76"/>
        <v>-1.863106951213906E-2</v>
      </c>
      <c r="G2256">
        <f t="shared" si="77"/>
        <v>-3.1759126220580615E-2</v>
      </c>
    </row>
    <row r="2257" spans="1:7" x14ac:dyDescent="0.35">
      <c r="A2257" t="s">
        <v>123</v>
      </c>
      <c r="E2257">
        <v>-4.1473430420128051E-3</v>
      </c>
      <c r="F2257">
        <f t="shared" si="76"/>
        <v>-1.8631785258329658E-2</v>
      </c>
      <c r="G2257">
        <f t="shared" si="77"/>
        <v>-3.1759126220580615E-2</v>
      </c>
    </row>
    <row r="2258" spans="1:7" x14ac:dyDescent="0.35">
      <c r="A2258" t="s">
        <v>123</v>
      </c>
      <c r="E2258">
        <v>-1.6758683894210829E-3</v>
      </c>
      <c r="F2258">
        <f t="shared" si="76"/>
        <v>-1.8632501004520251E-2</v>
      </c>
      <c r="G2258">
        <f t="shared" si="77"/>
        <v>-3.1759126220580615E-2</v>
      </c>
    </row>
    <row r="2259" spans="1:7" x14ac:dyDescent="0.35">
      <c r="A2259" t="s">
        <v>123</v>
      </c>
      <c r="E2259">
        <v>5.2824858939483433E-3</v>
      </c>
      <c r="F2259">
        <f t="shared" si="76"/>
        <v>-1.8633216750710849E-2</v>
      </c>
      <c r="G2259">
        <f t="shared" si="77"/>
        <v>-3.1759126220580615E-2</v>
      </c>
    </row>
    <row r="2260" spans="1:7" x14ac:dyDescent="0.35">
      <c r="A2260" t="s">
        <v>123</v>
      </c>
      <c r="E2260">
        <v>1.3529583760157015E-2</v>
      </c>
      <c r="F2260">
        <f t="shared" si="76"/>
        <v>-1.8633932496901442E-2</v>
      </c>
      <c r="G2260">
        <f t="shared" si="77"/>
        <v>-3.1759126220580615E-2</v>
      </c>
    </row>
    <row r="2261" spans="1:7" x14ac:dyDescent="0.35">
      <c r="A2261" t="s">
        <v>123</v>
      </c>
      <c r="E2261">
        <v>-6.3560308414046538E-3</v>
      </c>
      <c r="F2261">
        <f t="shared" si="76"/>
        <v>-1.8638567187726371E-2</v>
      </c>
      <c r="G2261">
        <f t="shared" si="77"/>
        <v>-3.1929583281927097E-2</v>
      </c>
    </row>
    <row r="2262" spans="1:7" x14ac:dyDescent="0.35">
      <c r="A2262" t="s">
        <v>123</v>
      </c>
      <c r="E2262">
        <v>7.5972600017657627E-4</v>
      </c>
      <c r="F2262">
        <f t="shared" si="76"/>
        <v>-1.8643201878551303E-2</v>
      </c>
      <c r="G2262">
        <f t="shared" si="77"/>
        <v>-3.1929583281927097E-2</v>
      </c>
    </row>
    <row r="2263" spans="1:7" x14ac:dyDescent="0.35">
      <c r="A2263" t="s">
        <v>123</v>
      </c>
      <c r="E2263">
        <v>-3.3186804498244295E-3</v>
      </c>
      <c r="F2263">
        <f t="shared" si="76"/>
        <v>-1.8647836569376231E-2</v>
      </c>
      <c r="G2263">
        <f t="shared" si="77"/>
        <v>-3.1929583281927097E-2</v>
      </c>
    </row>
    <row r="2264" spans="1:7" x14ac:dyDescent="0.35">
      <c r="A2264" t="s">
        <v>123</v>
      </c>
      <c r="E2264">
        <v>-7.6583245969712166E-4</v>
      </c>
      <c r="F2264">
        <f t="shared" si="76"/>
        <v>-1.8652471260201163E-2</v>
      </c>
      <c r="G2264">
        <f t="shared" si="77"/>
        <v>-3.1929583281927097E-2</v>
      </c>
    </row>
    <row r="2265" spans="1:7" x14ac:dyDescent="0.35">
      <c r="A2265" t="s">
        <v>124</v>
      </c>
      <c r="B2265" s="3" cm="1">
        <f t="array" ref="B2265">_xlfn.STDEV.S(_xlfn._xlws.FILTER($E$2013:$E$3011, $A$2013:$A$3011="2019-02"))</f>
        <v>9.8645195339263896E-3</v>
      </c>
      <c r="C2265" s="3" cm="1">
        <f t="array" ref="C2265">AVERAGE(_xlfn._xlws.FILTER($E$2013:$E$3011, $A$2013:$A$3011="2019-02"))</f>
        <v>1.5098503867004653E-3</v>
      </c>
      <c r="D2265" s="3" cm="1">
        <f t="array" ref="D2265">_xlfn.PERCENTILE.EXC(_xlfn._xlws.FILTER($E$1498:$E$2489, $A$1498:$A$2489="2019-02"), 0.05)</f>
        <v>-2.6263737930136991E-2</v>
      </c>
      <c r="E2265">
        <v>6.7639630095625081E-4</v>
      </c>
      <c r="F2265">
        <f t="shared" si="76"/>
        <v>-1.8657105951026095E-2</v>
      </c>
      <c r="G2265">
        <f t="shared" si="77"/>
        <v>-3.1929583281927097E-2</v>
      </c>
    </row>
    <row r="2266" spans="1:7" x14ac:dyDescent="0.35">
      <c r="A2266" t="s">
        <v>124</v>
      </c>
      <c r="E2266">
        <v>-3.6498244374455154E-4</v>
      </c>
      <c r="F2266">
        <f t="shared" si="76"/>
        <v>-1.8661740641851023E-2</v>
      </c>
      <c r="G2266">
        <f t="shared" si="77"/>
        <v>-3.1929583281927097E-2</v>
      </c>
    </row>
    <row r="2267" spans="1:7" x14ac:dyDescent="0.35">
      <c r="A2267" t="s">
        <v>124</v>
      </c>
      <c r="E2267">
        <v>1.6980113938794762E-2</v>
      </c>
      <c r="F2267">
        <f t="shared" si="76"/>
        <v>-1.8666375332675955E-2</v>
      </c>
      <c r="G2267">
        <f t="shared" si="77"/>
        <v>-3.1929583281927097E-2</v>
      </c>
    </row>
    <row r="2268" spans="1:7" x14ac:dyDescent="0.35">
      <c r="A2268" t="s">
        <v>124</v>
      </c>
      <c r="E2268">
        <v>-3.8126844671896002E-3</v>
      </c>
      <c r="F2268">
        <f t="shared" si="76"/>
        <v>-1.8671010023500884E-2</v>
      </c>
      <c r="G2268">
        <f t="shared" si="77"/>
        <v>-3.1929583281927097E-2</v>
      </c>
    </row>
    <row r="2269" spans="1:7" x14ac:dyDescent="0.35">
      <c r="A2269" t="s">
        <v>124</v>
      </c>
      <c r="E2269">
        <v>-2.7092856989532756E-2</v>
      </c>
      <c r="F2269">
        <f t="shared" si="76"/>
        <v>-1.8675644714325815E-2</v>
      </c>
      <c r="G2269">
        <f t="shared" si="77"/>
        <v>-3.1929583281927097E-2</v>
      </c>
    </row>
    <row r="2270" spans="1:7" x14ac:dyDescent="0.35">
      <c r="A2270" t="s">
        <v>124</v>
      </c>
      <c r="E2270">
        <v>-1.0510475801617486E-2</v>
      </c>
      <c r="F2270">
        <f t="shared" si="76"/>
        <v>-1.8626775034995491E-2</v>
      </c>
      <c r="G2270">
        <f t="shared" si="77"/>
        <v>-3.1819727119685136E-2</v>
      </c>
    </row>
    <row r="2271" spans="1:7" x14ac:dyDescent="0.35">
      <c r="A2271" t="s">
        <v>124</v>
      </c>
      <c r="E2271">
        <v>9.8361433810183543E-3</v>
      </c>
      <c r="F2271">
        <f t="shared" si="76"/>
        <v>-1.8627490781186085E-2</v>
      </c>
      <c r="G2271">
        <f t="shared" si="77"/>
        <v>-3.1819727119685136E-2</v>
      </c>
    </row>
    <row r="2272" spans="1:7" x14ac:dyDescent="0.35">
      <c r="A2272" t="s">
        <v>124</v>
      </c>
      <c r="E2272">
        <v>1.007114440065101E-2</v>
      </c>
      <c r="F2272">
        <f t="shared" si="76"/>
        <v>-1.8628206527376678E-2</v>
      </c>
      <c r="G2272">
        <f t="shared" si="77"/>
        <v>-3.1819727119685136E-2</v>
      </c>
    </row>
    <row r="2273" spans="1:7" x14ac:dyDescent="0.35">
      <c r="A2273" t="s">
        <v>124</v>
      </c>
      <c r="E2273">
        <v>3.6907991818832982E-3</v>
      </c>
      <c r="F2273">
        <f t="shared" si="76"/>
        <v>-1.8628922273567276E-2</v>
      </c>
      <c r="G2273">
        <f t="shared" si="77"/>
        <v>-3.1819727119685136E-2</v>
      </c>
    </row>
    <row r="2274" spans="1:7" x14ac:dyDescent="0.35">
      <c r="A2274" t="s">
        <v>124</v>
      </c>
      <c r="E2274">
        <v>-6.9578359694164298E-3</v>
      </c>
      <c r="F2274">
        <f t="shared" si="76"/>
        <v>-1.8629638019757869E-2</v>
      </c>
      <c r="G2274">
        <f t="shared" si="77"/>
        <v>-3.1819727119685136E-2</v>
      </c>
    </row>
    <row r="2275" spans="1:7" x14ac:dyDescent="0.35">
      <c r="A2275" t="s">
        <v>124</v>
      </c>
      <c r="E2275">
        <v>1.8760161241990519E-2</v>
      </c>
      <c r="F2275">
        <f t="shared" si="76"/>
        <v>-1.8630353765948467E-2</v>
      </c>
      <c r="G2275">
        <f t="shared" si="77"/>
        <v>-3.1819727119685136E-2</v>
      </c>
    </row>
    <row r="2276" spans="1:7" x14ac:dyDescent="0.35">
      <c r="A2276" t="s">
        <v>124</v>
      </c>
      <c r="E2276">
        <v>-5.3099694689114489E-5</v>
      </c>
      <c r="F2276">
        <f t="shared" si="76"/>
        <v>-1.863106951213906E-2</v>
      </c>
      <c r="G2276">
        <f t="shared" si="77"/>
        <v>-3.1819727119685136E-2</v>
      </c>
    </row>
    <row r="2277" spans="1:7" x14ac:dyDescent="0.35">
      <c r="A2277" t="s">
        <v>124</v>
      </c>
      <c r="E2277">
        <v>8.8551124595618452E-4</v>
      </c>
      <c r="F2277">
        <f t="shared" si="76"/>
        <v>-1.8631785258329658E-2</v>
      </c>
      <c r="G2277">
        <f t="shared" si="77"/>
        <v>-3.1819727119685136E-2</v>
      </c>
    </row>
    <row r="2278" spans="1:7" x14ac:dyDescent="0.35">
      <c r="A2278" t="s">
        <v>124</v>
      </c>
      <c r="E2278">
        <v>8.1687094906944587E-3</v>
      </c>
      <c r="F2278">
        <f t="shared" si="76"/>
        <v>-1.8632501004520251E-2</v>
      </c>
      <c r="G2278">
        <f t="shared" si="77"/>
        <v>-3.1819727119685136E-2</v>
      </c>
    </row>
    <row r="2279" spans="1:7" x14ac:dyDescent="0.35">
      <c r="A2279" t="s">
        <v>124</v>
      </c>
      <c r="E2279">
        <v>1.8672309123917083E-3</v>
      </c>
      <c r="F2279">
        <f t="shared" si="76"/>
        <v>-1.8633216750710849E-2</v>
      </c>
      <c r="G2279">
        <f t="shared" si="77"/>
        <v>-3.1819727119685136E-2</v>
      </c>
    </row>
    <row r="2280" spans="1:7" x14ac:dyDescent="0.35">
      <c r="A2280" t="s">
        <v>124</v>
      </c>
      <c r="E2280">
        <v>3.0086146627870416E-3</v>
      </c>
      <c r="F2280">
        <f t="shared" si="76"/>
        <v>-1.8633932496901442E-2</v>
      </c>
      <c r="G2280">
        <f t="shared" si="77"/>
        <v>-3.1819727119685136E-2</v>
      </c>
    </row>
    <row r="2281" spans="1:7" x14ac:dyDescent="0.35">
      <c r="A2281" t="s">
        <v>124</v>
      </c>
      <c r="E2281">
        <v>4.1536281541197729E-3</v>
      </c>
      <c r="F2281">
        <f t="shared" si="76"/>
        <v>-1.8638567187726371E-2</v>
      </c>
      <c r="G2281">
        <f t="shared" si="77"/>
        <v>-3.1993224417353347E-2</v>
      </c>
    </row>
    <row r="2282" spans="1:7" x14ac:dyDescent="0.35">
      <c r="A2282" t="s">
        <v>124</v>
      </c>
      <c r="E2282">
        <v>3.0720950579585728E-3</v>
      </c>
      <c r="F2282">
        <f t="shared" si="76"/>
        <v>-1.8643201878551303E-2</v>
      </c>
      <c r="G2282">
        <f t="shared" si="77"/>
        <v>-3.1993224417353347E-2</v>
      </c>
    </row>
    <row r="2283" spans="1:7" x14ac:dyDescent="0.35">
      <c r="A2283" t="s">
        <v>124</v>
      </c>
      <c r="E2283">
        <v>-4.6430273977671856E-3</v>
      </c>
      <c r="F2283">
        <f t="shared" si="76"/>
        <v>-1.8647836569376231E-2</v>
      </c>
      <c r="G2283">
        <f t="shared" si="77"/>
        <v>-3.1993224417353347E-2</v>
      </c>
    </row>
    <row r="2284" spans="1:7" x14ac:dyDescent="0.35">
      <c r="A2284" t="s">
        <v>124</v>
      </c>
      <c r="E2284">
        <v>2.4614225287644949E-3</v>
      </c>
      <c r="F2284">
        <f t="shared" si="76"/>
        <v>-1.8652471260201163E-2</v>
      </c>
      <c r="G2284">
        <f t="shared" si="77"/>
        <v>-3.1993224417353347E-2</v>
      </c>
    </row>
    <row r="2285" spans="1:7" x14ac:dyDescent="0.35">
      <c r="A2285" t="s">
        <v>125</v>
      </c>
      <c r="B2285" s="3" cm="1">
        <f t="array" ref="B2285">_xlfn.STDEV.S(_xlfn._xlws.FILTER($E$2013:$E$3011, $A$2013:$A$3011="2019-03"))</f>
        <v>7.294575341821063E-3</v>
      </c>
      <c r="C2285" s="3" cm="1">
        <f t="array" ref="C2285">AVERAGE(_xlfn._xlws.FILTER($E$2013:$E$3011, $A$2013:$A$3011="2019-03"))</f>
        <v>4.2986286491986613E-5</v>
      </c>
      <c r="D2285" s="3" cm="1">
        <f t="array" ref="D2285">_xlfn.PERCENTILE.EXC(_xlfn._xlws.FILTER($E$1498:$E$2489, $A$1498:$A$2489="2019-03"), 0.05)</f>
        <v>-1.6172541189254156E-2</v>
      </c>
      <c r="E2285">
        <v>7.4438038051881086E-3</v>
      </c>
      <c r="F2285">
        <f t="shared" si="76"/>
        <v>-1.8657105951026095E-2</v>
      </c>
      <c r="G2285">
        <f t="shared" si="77"/>
        <v>-3.1993224417353347E-2</v>
      </c>
    </row>
    <row r="2286" spans="1:7" x14ac:dyDescent="0.35">
      <c r="A2286" t="s">
        <v>125</v>
      </c>
      <c r="E2286">
        <v>-7.7777599661908064E-4</v>
      </c>
      <c r="F2286">
        <f t="shared" si="76"/>
        <v>-1.8661740641851023E-2</v>
      </c>
      <c r="G2286">
        <f t="shared" si="77"/>
        <v>-3.1993224417353347E-2</v>
      </c>
    </row>
    <row r="2287" spans="1:7" x14ac:dyDescent="0.35">
      <c r="A2287" t="s">
        <v>125</v>
      </c>
      <c r="E2287">
        <v>2.419293485312194E-3</v>
      </c>
      <c r="F2287">
        <f t="shared" si="76"/>
        <v>-1.8666375332675955E-2</v>
      </c>
      <c r="G2287">
        <f t="shared" si="77"/>
        <v>-3.1993224417353347E-2</v>
      </c>
    </row>
    <row r="2288" spans="1:7" x14ac:dyDescent="0.35">
      <c r="A2288" t="s">
        <v>125</v>
      </c>
      <c r="E2288">
        <v>-2.8532828856993216E-3</v>
      </c>
      <c r="F2288">
        <f t="shared" si="76"/>
        <v>-1.8671010023500884E-2</v>
      </c>
      <c r="G2288">
        <f t="shared" si="77"/>
        <v>-3.1993224417353347E-2</v>
      </c>
    </row>
    <row r="2289" spans="1:7" x14ac:dyDescent="0.35">
      <c r="A2289" t="s">
        <v>125</v>
      </c>
      <c r="E2289">
        <v>-6.0444850070112749E-3</v>
      </c>
      <c r="F2289">
        <f t="shared" si="76"/>
        <v>-1.8675644714325815E-2</v>
      </c>
      <c r="G2289">
        <f t="shared" si="77"/>
        <v>-3.1993224417353347E-2</v>
      </c>
    </row>
    <row r="2290" spans="1:7" x14ac:dyDescent="0.35">
      <c r="A2290" t="s">
        <v>125</v>
      </c>
      <c r="E2290">
        <v>-5.2194529617085664E-3</v>
      </c>
      <c r="F2290">
        <f t="shared" si="76"/>
        <v>-1.8680279405150747E-2</v>
      </c>
      <c r="G2290">
        <f t="shared" si="77"/>
        <v>-3.1993224417353347E-2</v>
      </c>
    </row>
    <row r="2291" spans="1:7" x14ac:dyDescent="0.35">
      <c r="A2291" t="s">
        <v>125</v>
      </c>
      <c r="E2291">
        <v>7.4465635656684971E-3</v>
      </c>
      <c r="F2291">
        <f t="shared" si="76"/>
        <v>-1.8684914095975676E-2</v>
      </c>
      <c r="G2291">
        <f t="shared" si="77"/>
        <v>-3.1993224417353347E-2</v>
      </c>
    </row>
    <row r="2292" spans="1:7" x14ac:dyDescent="0.35">
      <c r="A2292" t="s">
        <v>125</v>
      </c>
      <c r="E2292">
        <v>-1.6742064762072079E-3</v>
      </c>
      <c r="F2292">
        <f t="shared" si="76"/>
        <v>-1.8689548786800604E-2</v>
      </c>
      <c r="G2292">
        <f t="shared" si="77"/>
        <v>-3.1993224417353347E-2</v>
      </c>
    </row>
    <row r="2293" spans="1:7" x14ac:dyDescent="0.35">
      <c r="A2293" t="s">
        <v>125</v>
      </c>
      <c r="E2293">
        <v>4.177247899608303E-3</v>
      </c>
      <c r="F2293">
        <f t="shared" si="76"/>
        <v>-1.8694183477625536E-2</v>
      </c>
      <c r="G2293">
        <f t="shared" si="77"/>
        <v>-3.1993224417353347E-2</v>
      </c>
    </row>
    <row r="2294" spans="1:7" x14ac:dyDescent="0.35">
      <c r="A2294" t="s">
        <v>125</v>
      </c>
      <c r="E2294">
        <v>1.3005250564909544E-3</v>
      </c>
      <c r="F2294">
        <f t="shared" si="76"/>
        <v>-1.8698818168450468E-2</v>
      </c>
      <c r="G2294">
        <f t="shared" si="77"/>
        <v>-3.1993224417353347E-2</v>
      </c>
    </row>
    <row r="2295" spans="1:7" x14ac:dyDescent="0.35">
      <c r="A2295" t="s">
        <v>125</v>
      </c>
      <c r="E2295">
        <v>8.4406744197615853E-3</v>
      </c>
      <c r="F2295">
        <f t="shared" si="76"/>
        <v>-1.8703452859275396E-2</v>
      </c>
      <c r="G2295">
        <f t="shared" si="77"/>
        <v>-3.1993224417353347E-2</v>
      </c>
    </row>
    <row r="2296" spans="1:7" x14ac:dyDescent="0.35">
      <c r="A2296" t="s">
        <v>125</v>
      </c>
      <c r="E2296">
        <v>-2.4530112652698518E-3</v>
      </c>
      <c r="F2296">
        <f t="shared" si="76"/>
        <v>-1.8708087550100328E-2</v>
      </c>
      <c r="G2296">
        <f t="shared" si="77"/>
        <v>-3.1993224417353347E-2</v>
      </c>
    </row>
    <row r="2297" spans="1:7" x14ac:dyDescent="0.35">
      <c r="A2297" t="s">
        <v>125</v>
      </c>
      <c r="E2297">
        <v>1.1204840357604688E-2</v>
      </c>
      <c r="F2297">
        <f t="shared" si="76"/>
        <v>-1.8712722240925257E-2</v>
      </c>
      <c r="G2297">
        <f t="shared" si="77"/>
        <v>-3.1993224417353347E-2</v>
      </c>
    </row>
    <row r="2298" spans="1:7" x14ac:dyDescent="0.35">
      <c r="A2298" t="s">
        <v>125</v>
      </c>
      <c r="E2298">
        <v>-1.5776458679558899E-2</v>
      </c>
      <c r="F2298">
        <f t="shared" si="76"/>
        <v>-1.8717356931750188E-2</v>
      </c>
      <c r="G2298">
        <f t="shared" si="77"/>
        <v>-3.1993224417353347E-2</v>
      </c>
    </row>
    <row r="2299" spans="1:7" x14ac:dyDescent="0.35">
      <c r="A2299" t="s">
        <v>125</v>
      </c>
      <c r="E2299">
        <v>-4.6584129660534003E-3</v>
      </c>
      <c r="F2299">
        <f t="shared" si="76"/>
        <v>-1.872199162257512E-2</v>
      </c>
      <c r="G2299">
        <f t="shared" si="77"/>
        <v>-3.1993224417353347E-2</v>
      </c>
    </row>
    <row r="2300" spans="1:7" x14ac:dyDescent="0.35">
      <c r="A2300" t="s">
        <v>125</v>
      </c>
      <c r="E2300">
        <v>-1.6216550356998073E-2</v>
      </c>
      <c r="F2300">
        <f t="shared" si="76"/>
        <v>-1.8726626313400049E-2</v>
      </c>
      <c r="G2300">
        <f t="shared" si="77"/>
        <v>-3.1993224417353347E-2</v>
      </c>
    </row>
    <row r="2301" spans="1:7" x14ac:dyDescent="0.35">
      <c r="A2301" t="s">
        <v>125</v>
      </c>
      <c r="E2301">
        <v>-1.5428772255238817E-3</v>
      </c>
      <c r="F2301">
        <f t="shared" si="76"/>
        <v>-1.8738021655042011E-2</v>
      </c>
      <c r="G2301">
        <f t="shared" si="77"/>
        <v>-3.2170112392072722E-2</v>
      </c>
    </row>
    <row r="2302" spans="1:7" x14ac:dyDescent="0.35">
      <c r="A2302" t="s">
        <v>125</v>
      </c>
      <c r="E2302">
        <v>6.3981228647198435E-3</v>
      </c>
      <c r="F2302">
        <f t="shared" si="76"/>
        <v>-1.8749416996683973E-2</v>
      </c>
      <c r="G2302">
        <f t="shared" si="77"/>
        <v>-3.2170112392072722E-2</v>
      </c>
    </row>
    <row r="2303" spans="1:7" x14ac:dyDescent="0.35">
      <c r="A2303" t="s">
        <v>125</v>
      </c>
      <c r="E2303">
        <v>-3.8531393457513025E-5</v>
      </c>
      <c r="F2303">
        <f t="shared" si="76"/>
        <v>-1.8760812338325938E-2</v>
      </c>
      <c r="G2303">
        <f t="shared" si="77"/>
        <v>-3.2170112392072722E-2</v>
      </c>
    </row>
    <row r="2304" spans="1:7" x14ac:dyDescent="0.35">
      <c r="A2304" t="s">
        <v>125</v>
      </c>
      <c r="E2304">
        <v>7.9834732347005373E-4</v>
      </c>
      <c r="F2304">
        <f t="shared" si="76"/>
        <v>-1.8772207679967904E-2</v>
      </c>
      <c r="G2304">
        <f t="shared" si="77"/>
        <v>-3.2170112392072722E-2</v>
      </c>
    </row>
    <row r="2305" spans="1:7" x14ac:dyDescent="0.35">
      <c r="A2305" t="s">
        <v>125</v>
      </c>
      <c r="E2305">
        <v>8.5283384526145603E-3</v>
      </c>
      <c r="F2305">
        <f t="shared" si="76"/>
        <v>-1.8783603021609866E-2</v>
      </c>
      <c r="G2305">
        <f t="shared" si="77"/>
        <v>-3.2170112392072722E-2</v>
      </c>
    </row>
    <row r="2306" spans="1:7" x14ac:dyDescent="0.35">
      <c r="A2306" t="s">
        <v>126</v>
      </c>
      <c r="B2306" s="3" cm="1">
        <f t="array" ref="B2306">_xlfn.STDEV.S(_xlfn._xlws.FILTER($E$2013:$E$3011, $A$2013:$A$3011="2019-04"))</f>
        <v>5.6022215922437177E-3</v>
      </c>
      <c r="C2306" s="3" cm="1">
        <f t="array" ref="C2306">AVERAGE(_xlfn._xlws.FILTER($E$2013:$E$3011, $A$2013:$A$3011="2019-04"))</f>
        <v>3.4283886249045596E-3</v>
      </c>
      <c r="D2306" s="3" cm="1">
        <f t="array" ref="D2306">_xlfn.PERCENTILE.EXC(_xlfn._xlws.FILTER($E$1498:$E$2489, $A$1498:$A$2489="2019-04"), 0.05)</f>
        <v>-9.1955618416949079E-3</v>
      </c>
      <c r="E2306">
        <v>1.3439516176778708E-2</v>
      </c>
      <c r="F2306">
        <f t="shared" si="76"/>
        <v>-1.8794998363251828E-2</v>
      </c>
      <c r="G2306">
        <f t="shared" si="77"/>
        <v>-3.2170112392072722E-2</v>
      </c>
    </row>
    <row r="2307" spans="1:7" x14ac:dyDescent="0.35">
      <c r="A2307" t="s">
        <v>126</v>
      </c>
      <c r="E2307">
        <v>6.2124774941013884E-3</v>
      </c>
      <c r="F2307">
        <f t="shared" si="76"/>
        <v>-1.880639370489379E-2</v>
      </c>
      <c r="G2307">
        <f t="shared" si="77"/>
        <v>-3.2170112392072722E-2</v>
      </c>
    </row>
    <row r="2308" spans="1:7" x14ac:dyDescent="0.35">
      <c r="A2308" t="s">
        <v>126</v>
      </c>
      <c r="E2308">
        <v>1.6838594350998829E-2</v>
      </c>
      <c r="F2308">
        <f t="shared" ref="F2308:F2371" si="78">_xlfn.PERCENTILE.EXC(E2308:E6123,0.05)</f>
        <v>-1.8817789046535756E-2</v>
      </c>
      <c r="G2308">
        <f t="shared" ref="G2308:G2371" si="79">AVERAGEIFS(E2308:E6124,E2308:E6124,"&lt;=" &amp; F2308)</f>
        <v>-3.2170112392072722E-2</v>
      </c>
    </row>
    <row r="2309" spans="1:7" x14ac:dyDescent="0.35">
      <c r="A2309" t="s">
        <v>126</v>
      </c>
      <c r="E2309">
        <v>2.8075721765234833E-3</v>
      </c>
      <c r="F2309">
        <f t="shared" si="78"/>
        <v>-1.8829184388177721E-2</v>
      </c>
      <c r="G2309">
        <f t="shared" si="79"/>
        <v>-3.2170112392072722E-2</v>
      </c>
    </row>
    <row r="2310" spans="1:7" x14ac:dyDescent="0.35">
      <c r="A2310" t="s">
        <v>126</v>
      </c>
      <c r="E2310">
        <v>1.8118362669889577E-3</v>
      </c>
      <c r="F2310">
        <f t="shared" si="78"/>
        <v>-1.8840579729819684E-2</v>
      </c>
      <c r="G2310">
        <f t="shared" si="79"/>
        <v>-3.2170112392072722E-2</v>
      </c>
    </row>
    <row r="2311" spans="1:7" x14ac:dyDescent="0.35">
      <c r="A2311" t="s">
        <v>126</v>
      </c>
      <c r="E2311">
        <v>-3.8668308297871486E-3</v>
      </c>
      <c r="F2311">
        <f t="shared" si="78"/>
        <v>-1.8851975071461646E-2</v>
      </c>
      <c r="G2311">
        <f t="shared" si="79"/>
        <v>-3.2170112392072722E-2</v>
      </c>
    </row>
    <row r="2312" spans="1:7" x14ac:dyDescent="0.35">
      <c r="A2312" t="s">
        <v>126</v>
      </c>
      <c r="E2312">
        <v>-9.4760213686374221E-3</v>
      </c>
      <c r="F2312">
        <f t="shared" si="78"/>
        <v>-1.8863370413103608E-2</v>
      </c>
      <c r="G2312">
        <f t="shared" si="79"/>
        <v>-3.2170112392072722E-2</v>
      </c>
    </row>
    <row r="2313" spans="1:7" x14ac:dyDescent="0.35">
      <c r="A2313" t="s">
        <v>126</v>
      </c>
      <c r="E2313">
        <v>4.6589477986515209E-3</v>
      </c>
      <c r="F2313">
        <f t="shared" si="78"/>
        <v>-1.8874765754745573E-2</v>
      </c>
      <c r="G2313">
        <f t="shared" si="79"/>
        <v>-3.2170112392072722E-2</v>
      </c>
    </row>
    <row r="2314" spans="1:7" x14ac:dyDescent="0.35">
      <c r="A2314" t="s">
        <v>126</v>
      </c>
      <c r="E2314">
        <v>2.4571015977160006E-3</v>
      </c>
      <c r="F2314">
        <f t="shared" si="78"/>
        <v>-1.8886161096387539E-2</v>
      </c>
      <c r="G2314">
        <f t="shared" si="79"/>
        <v>-3.2170112392072722E-2</v>
      </c>
    </row>
    <row r="2315" spans="1:7" x14ac:dyDescent="0.35">
      <c r="A2315" t="s">
        <v>126</v>
      </c>
      <c r="E2315">
        <v>5.4087993511514488E-3</v>
      </c>
      <c r="F2315">
        <f t="shared" si="78"/>
        <v>-1.8897556438029501E-2</v>
      </c>
      <c r="G2315">
        <f t="shared" si="79"/>
        <v>-3.2170112392072722E-2</v>
      </c>
    </row>
    <row r="2316" spans="1:7" x14ac:dyDescent="0.35">
      <c r="A2316" t="s">
        <v>126</v>
      </c>
      <c r="E2316">
        <v>1.694406907247012E-3</v>
      </c>
      <c r="F2316">
        <f t="shared" si="78"/>
        <v>-1.8908951779671463E-2</v>
      </c>
      <c r="G2316">
        <f t="shared" si="79"/>
        <v>-3.2170112392072722E-2</v>
      </c>
    </row>
    <row r="2317" spans="1:7" x14ac:dyDescent="0.35">
      <c r="A2317" t="s">
        <v>126</v>
      </c>
      <c r="E2317">
        <v>6.7193142169056199E-3</v>
      </c>
      <c r="F2317">
        <f t="shared" si="78"/>
        <v>-1.8920347121313425E-2</v>
      </c>
      <c r="G2317">
        <f t="shared" si="79"/>
        <v>-3.2170112392072722E-2</v>
      </c>
    </row>
    <row r="2318" spans="1:7" x14ac:dyDescent="0.35">
      <c r="A2318" t="s">
        <v>126</v>
      </c>
      <c r="E2318">
        <v>4.2672752049454244E-3</v>
      </c>
      <c r="F2318">
        <f t="shared" si="78"/>
        <v>-1.8931742462955391E-2</v>
      </c>
      <c r="G2318">
        <f t="shared" si="79"/>
        <v>-3.2170112392072722E-2</v>
      </c>
    </row>
    <row r="2319" spans="1:7" x14ac:dyDescent="0.35">
      <c r="A2319" t="s">
        <v>126</v>
      </c>
      <c r="E2319">
        <v>5.6877028679546493E-3</v>
      </c>
      <c r="F2319">
        <f t="shared" si="78"/>
        <v>-1.8943137804597356E-2</v>
      </c>
      <c r="G2319">
        <f t="shared" si="79"/>
        <v>-3.2170112392072722E-2</v>
      </c>
    </row>
    <row r="2320" spans="1:7" x14ac:dyDescent="0.35">
      <c r="A2320" t="s">
        <v>126</v>
      </c>
      <c r="E2320">
        <v>1.0728640855076159E-3</v>
      </c>
      <c r="F2320">
        <f t="shared" si="78"/>
        <v>-1.8954533146239318E-2</v>
      </c>
      <c r="G2320">
        <f t="shared" si="79"/>
        <v>-3.2170112392072722E-2</v>
      </c>
    </row>
    <row r="2321" spans="1:7" x14ac:dyDescent="0.35">
      <c r="A2321" t="s">
        <v>126</v>
      </c>
      <c r="E2321">
        <v>6.3262294022610292E-3</v>
      </c>
      <c r="F2321">
        <f t="shared" si="78"/>
        <v>-1.8955834308664526E-2</v>
      </c>
      <c r="G2321">
        <f t="shared" si="79"/>
        <v>-3.2348701300800205E-2</v>
      </c>
    </row>
    <row r="2322" spans="1:7" x14ac:dyDescent="0.35">
      <c r="A2322" t="s">
        <v>126</v>
      </c>
      <c r="E2322">
        <v>-2.4849824299809967E-3</v>
      </c>
      <c r="F2322">
        <f t="shared" si="78"/>
        <v>-1.8957135471089733E-2</v>
      </c>
      <c r="G2322">
        <f t="shared" si="79"/>
        <v>-3.2348701300800205E-2</v>
      </c>
    </row>
    <row r="2323" spans="1:7" x14ac:dyDescent="0.35">
      <c r="A2323" t="s">
        <v>126</v>
      </c>
      <c r="E2323">
        <v>2.649021094749363E-3</v>
      </c>
      <c r="F2323">
        <f t="shared" si="78"/>
        <v>-1.8958436633514941E-2</v>
      </c>
      <c r="G2323">
        <f t="shared" si="79"/>
        <v>-3.2348701300800205E-2</v>
      </c>
    </row>
    <row r="2324" spans="1:7" x14ac:dyDescent="0.35">
      <c r="A2324" t="s">
        <v>126</v>
      </c>
      <c r="E2324">
        <v>1.0420725524224492E-3</v>
      </c>
      <c r="F2324">
        <f t="shared" si="78"/>
        <v>-1.8959737795940148E-2</v>
      </c>
      <c r="G2324">
        <f t="shared" si="79"/>
        <v>-3.2348701300800205E-2</v>
      </c>
    </row>
    <row r="2325" spans="1:7" x14ac:dyDescent="0.35">
      <c r="A2325" t="s">
        <v>126</v>
      </c>
      <c r="E2325">
        <v>1.3018755815932669E-3</v>
      </c>
      <c r="F2325">
        <f t="shared" si="78"/>
        <v>-1.8961038958365355E-2</v>
      </c>
      <c r="G2325">
        <f t="shared" si="79"/>
        <v>-3.2348701300800205E-2</v>
      </c>
    </row>
    <row r="2326" spans="1:7" x14ac:dyDescent="0.35">
      <c r="A2326" t="s">
        <v>127</v>
      </c>
      <c r="B2326" s="3" cm="1">
        <f t="array" ref="B2326">_xlfn.STDEV.S(_xlfn._xlws.FILTER($E$2013:$E$3011, $A$2013:$A$3011="2019-05"))</f>
        <v>1.2360069456095966E-2</v>
      </c>
      <c r="C2326" s="3" cm="1">
        <f t="array" ref="C2326">AVERAGE(_xlfn._xlws.FILTER($E$2013:$E$3011, $A$2013:$A$3011="2019-05"))</f>
        <v>-2.5648182131778378E-3</v>
      </c>
      <c r="D2326" s="3" cm="1">
        <f t="array" ref="D2326">_xlfn.PERCENTILE.EXC(_xlfn._xlws.FILTER($E$1498:$E$2489, $A$1498:$A$2489="2019-05"), 0.05)</f>
        <v>-2.5709824577306407E-2</v>
      </c>
      <c r="E2326">
        <v>1.0854816835634151E-4</v>
      </c>
      <c r="F2326">
        <f t="shared" si="78"/>
        <v>-1.8962340120790563E-2</v>
      </c>
      <c r="G2326">
        <f t="shared" si="79"/>
        <v>-3.2348701300800205E-2</v>
      </c>
    </row>
    <row r="2327" spans="1:7" x14ac:dyDescent="0.35">
      <c r="A2327" t="s">
        <v>127</v>
      </c>
      <c r="E2327">
        <v>5.4390260657572733E-3</v>
      </c>
      <c r="F2327">
        <f t="shared" si="78"/>
        <v>-1.896364128321577E-2</v>
      </c>
      <c r="G2327">
        <f t="shared" si="79"/>
        <v>-3.2348701300800205E-2</v>
      </c>
    </row>
    <row r="2328" spans="1:7" x14ac:dyDescent="0.35">
      <c r="A2328" t="s">
        <v>127</v>
      </c>
      <c r="E2328">
        <v>-2.611889762470938E-2</v>
      </c>
      <c r="F2328">
        <f t="shared" si="78"/>
        <v>-1.8964942445640978E-2</v>
      </c>
      <c r="G2328">
        <f t="shared" si="79"/>
        <v>-3.2348701300800205E-2</v>
      </c>
    </row>
    <row r="2329" spans="1:7" x14ac:dyDescent="0.35">
      <c r="A2329" t="s">
        <v>127</v>
      </c>
      <c r="E2329">
        <v>7.1842426081365381E-3</v>
      </c>
      <c r="F2329">
        <f t="shared" si="78"/>
        <v>-1.8829184388177721E-2</v>
      </c>
      <c r="G2329">
        <f t="shared" si="79"/>
        <v>-3.2251885564604649E-2</v>
      </c>
    </row>
    <row r="2330" spans="1:7" x14ac:dyDescent="0.35">
      <c r="A2330" t="s">
        <v>127</v>
      </c>
      <c r="E2330">
        <v>-1.705856380043342E-2</v>
      </c>
      <c r="F2330">
        <f t="shared" si="78"/>
        <v>-1.8840579729819684E-2</v>
      </c>
      <c r="G2330">
        <f t="shared" si="79"/>
        <v>-3.2251885564604649E-2</v>
      </c>
    </row>
    <row r="2331" spans="1:7" x14ac:dyDescent="0.35">
      <c r="A2331" t="s">
        <v>127</v>
      </c>
      <c r="E2331">
        <v>7.1491436755831694E-3</v>
      </c>
      <c r="F2331">
        <f t="shared" si="78"/>
        <v>-1.8851975071461646E-2</v>
      </c>
      <c r="G2331">
        <f t="shared" si="79"/>
        <v>-3.2251885564604649E-2</v>
      </c>
    </row>
    <row r="2332" spans="1:7" x14ac:dyDescent="0.35">
      <c r="A2332" t="s">
        <v>127</v>
      </c>
      <c r="E2332">
        <v>-1.530580737711478E-2</v>
      </c>
      <c r="F2332">
        <f t="shared" si="78"/>
        <v>-1.8863370413103608E-2</v>
      </c>
      <c r="G2332">
        <f t="shared" si="79"/>
        <v>-3.2251885564604649E-2</v>
      </c>
    </row>
    <row r="2333" spans="1:7" x14ac:dyDescent="0.35">
      <c r="A2333" t="s">
        <v>127</v>
      </c>
      <c r="E2333">
        <v>9.6337848695322893E-3</v>
      </c>
      <c r="F2333">
        <f t="shared" si="78"/>
        <v>-1.8874765754745573E-2</v>
      </c>
      <c r="G2333">
        <f t="shared" si="79"/>
        <v>-3.2251885564604649E-2</v>
      </c>
    </row>
    <row r="2334" spans="1:7" x14ac:dyDescent="0.35">
      <c r="A2334" t="s">
        <v>127</v>
      </c>
      <c r="E2334">
        <v>8.9618422747851523E-3</v>
      </c>
      <c r="F2334">
        <f t="shared" si="78"/>
        <v>-1.8886161096387539E-2</v>
      </c>
      <c r="G2334">
        <f t="shared" si="79"/>
        <v>-3.2251885564604649E-2</v>
      </c>
    </row>
    <row r="2335" spans="1:7" x14ac:dyDescent="0.35">
      <c r="A2335" t="s">
        <v>127</v>
      </c>
      <c r="E2335">
        <v>1.7272081827849731E-2</v>
      </c>
      <c r="F2335">
        <f t="shared" si="78"/>
        <v>-1.8897556438029501E-2</v>
      </c>
      <c r="G2335">
        <f t="shared" si="79"/>
        <v>-3.2251885564604649E-2</v>
      </c>
    </row>
    <row r="2336" spans="1:7" x14ac:dyDescent="0.35">
      <c r="A2336" t="s">
        <v>127</v>
      </c>
      <c r="E2336">
        <v>-5.8193245821208306E-3</v>
      </c>
      <c r="F2336">
        <f t="shared" si="78"/>
        <v>-1.8908951779671463E-2</v>
      </c>
      <c r="G2336">
        <f t="shared" si="79"/>
        <v>-3.2251885564604649E-2</v>
      </c>
    </row>
    <row r="2337" spans="1:7" x14ac:dyDescent="0.35">
      <c r="A2337" t="s">
        <v>127</v>
      </c>
      <c r="E2337">
        <v>-1.6281095028448826E-2</v>
      </c>
      <c r="F2337">
        <f t="shared" si="78"/>
        <v>-1.8920347121313425E-2</v>
      </c>
      <c r="G2337">
        <f t="shared" si="79"/>
        <v>-3.2251885564604649E-2</v>
      </c>
    </row>
    <row r="2338" spans="1:7" x14ac:dyDescent="0.35">
      <c r="A2338" t="s">
        <v>127</v>
      </c>
      <c r="E2338">
        <v>8.4499997512091102E-3</v>
      </c>
      <c r="F2338">
        <f t="shared" si="78"/>
        <v>-1.8931742462955391E-2</v>
      </c>
      <c r="G2338">
        <f t="shared" si="79"/>
        <v>-3.2251885564604649E-2</v>
      </c>
    </row>
    <row r="2339" spans="1:7" x14ac:dyDescent="0.35">
      <c r="A2339" t="s">
        <v>127</v>
      </c>
      <c r="E2339">
        <v>2.0787916113009174E-3</v>
      </c>
      <c r="F2339">
        <f t="shared" si="78"/>
        <v>-1.8943137804597356E-2</v>
      </c>
      <c r="G2339">
        <f t="shared" si="79"/>
        <v>-3.2251885564604649E-2</v>
      </c>
    </row>
    <row r="2340" spans="1:7" x14ac:dyDescent="0.35">
      <c r="A2340" t="s">
        <v>127</v>
      </c>
      <c r="E2340">
        <v>-1.793743667664989E-2</v>
      </c>
      <c r="F2340">
        <f t="shared" si="78"/>
        <v>-1.8954533146239318E-2</v>
      </c>
      <c r="G2340">
        <f t="shared" si="79"/>
        <v>-3.2251885564604649E-2</v>
      </c>
    </row>
    <row r="2341" spans="1:7" x14ac:dyDescent="0.35">
      <c r="A2341" t="s">
        <v>127</v>
      </c>
      <c r="E2341">
        <v>4.8932951630917699E-3</v>
      </c>
      <c r="F2341">
        <f t="shared" si="78"/>
        <v>-1.8955834308664526E-2</v>
      </c>
      <c r="G2341">
        <f t="shared" si="79"/>
        <v>-3.2434041077184998E-2</v>
      </c>
    </row>
    <row r="2342" spans="1:7" x14ac:dyDescent="0.35">
      <c r="A2342" t="s">
        <v>127</v>
      </c>
      <c r="E2342">
        <v>1.3320527851668545E-3</v>
      </c>
      <c r="F2342">
        <f t="shared" si="78"/>
        <v>-1.8957135471089733E-2</v>
      </c>
      <c r="G2342">
        <f t="shared" si="79"/>
        <v>-3.2434041077184998E-2</v>
      </c>
    </row>
    <row r="2343" spans="1:7" x14ac:dyDescent="0.35">
      <c r="A2343" t="s">
        <v>127</v>
      </c>
      <c r="E2343">
        <v>-1.5859633501267831E-2</v>
      </c>
      <c r="F2343">
        <f t="shared" si="78"/>
        <v>-1.8958436633514941E-2</v>
      </c>
      <c r="G2343">
        <f t="shared" si="79"/>
        <v>-3.2434041077184998E-2</v>
      </c>
    </row>
    <row r="2344" spans="1:7" x14ac:dyDescent="0.35">
      <c r="A2344" t="s">
        <v>127</v>
      </c>
      <c r="E2344">
        <v>5.4145286281893044E-3</v>
      </c>
      <c r="F2344">
        <f t="shared" si="78"/>
        <v>-1.8959737795940148E-2</v>
      </c>
      <c r="G2344">
        <f t="shared" si="79"/>
        <v>-3.2434041077184998E-2</v>
      </c>
    </row>
    <row r="2345" spans="1:7" x14ac:dyDescent="0.35">
      <c r="A2345" t="s">
        <v>127</v>
      </c>
      <c r="E2345">
        <v>-1.4832943101770243E-2</v>
      </c>
      <c r="F2345">
        <f t="shared" si="78"/>
        <v>-1.8961038958365355E-2</v>
      </c>
      <c r="G2345">
        <f t="shared" si="79"/>
        <v>-3.2434041077184998E-2</v>
      </c>
    </row>
    <row r="2346" spans="1:7" x14ac:dyDescent="0.35">
      <c r="A2346" t="s">
        <v>128</v>
      </c>
      <c r="B2346" s="3" cm="1">
        <f t="array" ref="B2346">_xlfn.STDEV.S(_xlfn._xlws.FILTER($E$2013:$E$3011, $A$2013:$A$3011="2019-06"))</f>
        <v>7.0315954952239997E-3</v>
      </c>
      <c r="C2346" s="3" cm="1">
        <f t="array" ref="C2346">AVERAGE(_xlfn._xlws.FILTER($E$2013:$E$3011, $A$2013:$A$3011="2019-06"))</f>
        <v>2.932603267200845E-3</v>
      </c>
      <c r="D2346" s="3" cm="1">
        <f t="array" ref="D2346">_xlfn.PERCENTILE.EXC(_xlfn._xlws.FILTER($E$1498:$E$2489, $A$1498:$A$2489="2019-06"), 0.05)</f>
        <v>-5.987955473787868E-3</v>
      </c>
      <c r="E2346">
        <v>5.6097920679051049E-3</v>
      </c>
      <c r="F2346">
        <f t="shared" si="78"/>
        <v>-1.8962340120790563E-2</v>
      </c>
      <c r="G2346">
        <f t="shared" si="79"/>
        <v>-3.2434041077184998E-2</v>
      </c>
    </row>
    <row r="2347" spans="1:7" x14ac:dyDescent="0.35">
      <c r="A2347" t="s">
        <v>128</v>
      </c>
      <c r="E2347">
        <v>1.501123542850788E-2</v>
      </c>
      <c r="F2347">
        <f t="shared" si="78"/>
        <v>-1.896364128321577E-2</v>
      </c>
      <c r="G2347">
        <f t="shared" si="79"/>
        <v>-3.2434041077184998E-2</v>
      </c>
    </row>
    <row r="2348" spans="1:7" x14ac:dyDescent="0.35">
      <c r="A2348" t="s">
        <v>128</v>
      </c>
      <c r="E2348">
        <v>8.049439353661667E-4</v>
      </c>
      <c r="F2348">
        <f t="shared" si="78"/>
        <v>-1.8964942445640978E-2</v>
      </c>
      <c r="G2348">
        <f t="shared" si="79"/>
        <v>-3.2434041077184998E-2</v>
      </c>
    </row>
    <row r="2349" spans="1:7" x14ac:dyDescent="0.35">
      <c r="A2349" t="s">
        <v>128</v>
      </c>
      <c r="E2349">
        <v>-2.312197721444165E-3</v>
      </c>
      <c r="F2349">
        <f t="shared" si="78"/>
        <v>-1.8966243608066185E-2</v>
      </c>
      <c r="G2349">
        <f t="shared" si="79"/>
        <v>-3.2434041077184998E-2</v>
      </c>
    </row>
    <row r="2350" spans="1:7" x14ac:dyDescent="0.35">
      <c r="A2350" t="s">
        <v>128</v>
      </c>
      <c r="E2350">
        <v>7.6871785614736829E-3</v>
      </c>
      <c r="F2350">
        <f t="shared" si="78"/>
        <v>-1.8967544770491389E-2</v>
      </c>
      <c r="G2350">
        <f t="shared" si="79"/>
        <v>-3.2434041077184998E-2</v>
      </c>
    </row>
    <row r="2351" spans="1:7" x14ac:dyDescent="0.35">
      <c r="A2351" t="s">
        <v>128</v>
      </c>
      <c r="E2351">
        <v>9.1260608613896801E-3</v>
      </c>
      <c r="F2351">
        <f t="shared" si="78"/>
        <v>-1.8968845932916596E-2</v>
      </c>
      <c r="G2351">
        <f t="shared" si="79"/>
        <v>-3.2434041077184998E-2</v>
      </c>
    </row>
    <row r="2352" spans="1:7" x14ac:dyDescent="0.35">
      <c r="A2352" t="s">
        <v>128</v>
      </c>
      <c r="E2352">
        <v>-3.3067633315793359E-3</v>
      </c>
      <c r="F2352">
        <f t="shared" si="78"/>
        <v>-1.8970147095341804E-2</v>
      </c>
      <c r="G2352">
        <f t="shared" si="79"/>
        <v>-3.2434041077184998E-2</v>
      </c>
    </row>
    <row r="2353" spans="1:7" x14ac:dyDescent="0.35">
      <c r="A2353" t="s">
        <v>128</v>
      </c>
      <c r="E2353">
        <v>4.3953616879523023E-3</v>
      </c>
      <c r="F2353">
        <f t="shared" si="78"/>
        <v>-1.8971448257767011E-2</v>
      </c>
      <c r="G2353">
        <f t="shared" si="79"/>
        <v>-3.2434041077184998E-2</v>
      </c>
    </row>
    <row r="2354" spans="1:7" x14ac:dyDescent="0.35">
      <c r="A2354" t="s">
        <v>128</v>
      </c>
      <c r="E2354">
        <v>-5.987955473787868E-3</v>
      </c>
      <c r="F2354">
        <f t="shared" si="78"/>
        <v>-1.8972749420192218E-2</v>
      </c>
      <c r="G2354">
        <f t="shared" si="79"/>
        <v>-3.2434041077184998E-2</v>
      </c>
    </row>
    <row r="2355" spans="1:7" x14ac:dyDescent="0.35">
      <c r="A2355" t="s">
        <v>128</v>
      </c>
      <c r="E2355">
        <v>-8.750231099593802E-4</v>
      </c>
      <c r="F2355">
        <f t="shared" si="78"/>
        <v>-1.8974050582617426E-2</v>
      </c>
      <c r="G2355">
        <f t="shared" si="79"/>
        <v>-3.2434041077184998E-2</v>
      </c>
    </row>
    <row r="2356" spans="1:7" x14ac:dyDescent="0.35">
      <c r="A2356" t="s">
        <v>128</v>
      </c>
      <c r="E2356">
        <v>2.0144372793000666E-2</v>
      </c>
      <c r="F2356">
        <f t="shared" si="78"/>
        <v>-1.8975351745042633E-2</v>
      </c>
      <c r="G2356">
        <f t="shared" si="79"/>
        <v>-3.2434041077184998E-2</v>
      </c>
    </row>
    <row r="2357" spans="1:7" x14ac:dyDescent="0.35">
      <c r="A2357" t="s">
        <v>128</v>
      </c>
      <c r="E2357">
        <v>-1.884719400383616E-3</v>
      </c>
      <c r="F2357">
        <f t="shared" si="78"/>
        <v>-1.8976652907467841E-2</v>
      </c>
      <c r="G2357">
        <f t="shared" si="79"/>
        <v>-3.2434041077184998E-2</v>
      </c>
    </row>
    <row r="2358" spans="1:7" x14ac:dyDescent="0.35">
      <c r="A2358" t="s">
        <v>128</v>
      </c>
      <c r="E2358">
        <v>3.7998871537724423E-3</v>
      </c>
      <c r="F2358">
        <f t="shared" si="78"/>
        <v>-1.8977954069893048E-2</v>
      </c>
      <c r="G2358">
        <f t="shared" si="79"/>
        <v>-3.2434041077184998E-2</v>
      </c>
    </row>
    <row r="2359" spans="1:7" x14ac:dyDescent="0.35">
      <c r="A2359" t="s">
        <v>128</v>
      </c>
      <c r="E2359">
        <v>-1.2528696358605025E-3</v>
      </c>
      <c r="F2359">
        <f t="shared" si="78"/>
        <v>-1.8979255232318255E-2</v>
      </c>
      <c r="G2359">
        <f t="shared" si="79"/>
        <v>-3.2434041077184998E-2</v>
      </c>
    </row>
    <row r="2360" spans="1:7" x14ac:dyDescent="0.35">
      <c r="A2360" t="s">
        <v>128</v>
      </c>
      <c r="E2360">
        <v>-5.3098929569532841E-3</v>
      </c>
      <c r="F2360">
        <f t="shared" si="78"/>
        <v>-1.8980556394743463E-2</v>
      </c>
      <c r="G2360">
        <f t="shared" si="79"/>
        <v>-3.2434041077184998E-2</v>
      </c>
    </row>
    <row r="2361" spans="1:7" x14ac:dyDescent="0.35">
      <c r="A2361" t="s">
        <v>128</v>
      </c>
      <c r="E2361">
        <v>-3.7652561460268753E-3</v>
      </c>
      <c r="F2361">
        <f t="shared" si="78"/>
        <v>-1.8985748195293702E-2</v>
      </c>
      <c r="G2361">
        <f t="shared" si="79"/>
        <v>-3.2620895031107794E-2</v>
      </c>
    </row>
    <row r="2362" spans="1:7" x14ac:dyDescent="0.35">
      <c r="A2362" t="s">
        <v>128</v>
      </c>
      <c r="E2362">
        <v>1.3794368071492898E-3</v>
      </c>
      <c r="F2362">
        <f t="shared" si="78"/>
        <v>-1.899093999584394E-2</v>
      </c>
      <c r="G2362">
        <f t="shared" si="79"/>
        <v>-3.2620895031107794E-2</v>
      </c>
    </row>
    <row r="2363" spans="1:7" x14ac:dyDescent="0.35">
      <c r="A2363" t="s">
        <v>128</v>
      </c>
      <c r="E2363">
        <v>2.0973766017235991E-3</v>
      </c>
      <c r="F2363">
        <f t="shared" si="78"/>
        <v>-1.8996131796394179E-2</v>
      </c>
      <c r="G2363">
        <f t="shared" si="79"/>
        <v>-3.2620895031107794E-2</v>
      </c>
    </row>
    <row r="2364" spans="1:7" x14ac:dyDescent="0.35">
      <c r="A2364" t="s">
        <v>128</v>
      </c>
      <c r="E2364">
        <v>1.0358493954570275E-2</v>
      </c>
      <c r="F2364">
        <f t="shared" si="78"/>
        <v>-1.9001323596944418E-2</v>
      </c>
      <c r="G2364">
        <f t="shared" si="79"/>
        <v>-3.2620895031107794E-2</v>
      </c>
    </row>
    <row r="2365" spans="1:7" x14ac:dyDescent="0.35">
      <c r="A2365" t="s">
        <v>129</v>
      </c>
      <c r="B2365" s="3" cm="1">
        <f t="array" ref="B2365">_xlfn.STDEV.S(_xlfn._xlws.FILTER($E$2013:$E$3011, $A$2013:$A$3011="2019-07"))</f>
        <v>8.0330472575953736E-3</v>
      </c>
      <c r="C2365" s="3" cm="1">
        <f t="array" ref="C2365">AVERAGE(_xlfn._xlws.FILTER($E$2013:$E$3011, $A$2013:$A$3011="2019-07"))</f>
        <v>-7.4184810516592559E-4</v>
      </c>
      <c r="D2365" s="3" cm="1">
        <f t="array" ref="D2365">_xlfn.PERCENTILE.EXC(_xlfn._xlws.FILTER($E$1498:$E$2489, $A$1498:$A$2489="2019-07"), 0.05)</f>
        <v>-2.0186460689722911E-2</v>
      </c>
      <c r="E2365">
        <v>9.8378895054273031E-3</v>
      </c>
      <c r="F2365">
        <f t="shared" si="78"/>
        <v>-1.9006515397494657E-2</v>
      </c>
      <c r="G2365">
        <f t="shared" si="79"/>
        <v>-3.2620895031107794E-2</v>
      </c>
    </row>
    <row r="2366" spans="1:7" x14ac:dyDescent="0.35">
      <c r="A2366" t="s">
        <v>129</v>
      </c>
      <c r="E2366">
        <v>4.2637965202161352E-4</v>
      </c>
      <c r="F2366">
        <f t="shared" si="78"/>
        <v>-1.9011707198044896E-2</v>
      </c>
      <c r="G2366">
        <f t="shared" si="79"/>
        <v>-3.2620895031107794E-2</v>
      </c>
    </row>
    <row r="2367" spans="1:7" x14ac:dyDescent="0.35">
      <c r="A2367" t="s">
        <v>129</v>
      </c>
      <c r="E2367">
        <v>7.1209100500963657E-3</v>
      </c>
      <c r="F2367">
        <f t="shared" si="78"/>
        <v>-1.9016898998595131E-2</v>
      </c>
      <c r="G2367">
        <f t="shared" si="79"/>
        <v>-3.2620895031107794E-2</v>
      </c>
    </row>
    <row r="2368" spans="1:7" x14ac:dyDescent="0.35">
      <c r="A2368" t="s">
        <v>129</v>
      </c>
      <c r="E2368">
        <v>1.0821457326176188E-3</v>
      </c>
      <c r="F2368">
        <f t="shared" si="78"/>
        <v>-1.902209079914537E-2</v>
      </c>
      <c r="G2368">
        <f t="shared" si="79"/>
        <v>-3.2620895031107794E-2</v>
      </c>
    </row>
    <row r="2369" spans="1:7" x14ac:dyDescent="0.35">
      <c r="A2369" t="s">
        <v>129</v>
      </c>
      <c r="E2369">
        <v>-4.8709480185358672E-3</v>
      </c>
      <c r="F2369">
        <f t="shared" si="78"/>
        <v>-1.9027282599695612E-2</v>
      </c>
      <c r="G2369">
        <f t="shared" si="79"/>
        <v>-3.2620895031107794E-2</v>
      </c>
    </row>
    <row r="2370" spans="1:7" x14ac:dyDescent="0.35">
      <c r="A2370" t="s">
        <v>129</v>
      </c>
      <c r="E2370">
        <v>-1.9926703110525763E-3</v>
      </c>
      <c r="F2370">
        <f t="shared" si="78"/>
        <v>-1.9032474400245851E-2</v>
      </c>
      <c r="G2370">
        <f t="shared" si="79"/>
        <v>-3.2620895031107794E-2</v>
      </c>
    </row>
    <row r="2371" spans="1:7" x14ac:dyDescent="0.35">
      <c r="A2371" t="s">
        <v>129</v>
      </c>
      <c r="E2371">
        <v>-8.5636826871759875E-3</v>
      </c>
      <c r="F2371">
        <f t="shared" si="78"/>
        <v>-1.9037666200796086E-2</v>
      </c>
      <c r="G2371">
        <f t="shared" si="79"/>
        <v>-3.2620895031107794E-2</v>
      </c>
    </row>
    <row r="2372" spans="1:7" x14ac:dyDescent="0.35">
      <c r="A2372" t="s">
        <v>129</v>
      </c>
      <c r="E2372">
        <v>-5.0899023065328324E-3</v>
      </c>
      <c r="F2372">
        <f t="shared" ref="F2372:F2435" si="80">_xlfn.PERCENTILE.EXC(E2372:E6187,0.05)</f>
        <v>-1.9042858001346325E-2</v>
      </c>
      <c r="G2372">
        <f t="shared" ref="G2372:G2435" si="81">AVERAGEIFS(E2372:E6188,E2372:E6188,"&lt;=" &amp; F2372)</f>
        <v>-3.2620895031107794E-2</v>
      </c>
    </row>
    <row r="2373" spans="1:7" x14ac:dyDescent="0.35">
      <c r="A2373" t="s">
        <v>129</v>
      </c>
      <c r="E2373">
        <v>-3.3425745931175551E-3</v>
      </c>
      <c r="F2373">
        <f t="shared" si="80"/>
        <v>-1.9048049801896564E-2</v>
      </c>
      <c r="G2373">
        <f t="shared" si="81"/>
        <v>-3.2620895031107794E-2</v>
      </c>
    </row>
    <row r="2374" spans="1:7" x14ac:dyDescent="0.35">
      <c r="A2374" t="s">
        <v>129</v>
      </c>
      <c r="E2374">
        <v>-7.1383843676546717E-4</v>
      </c>
      <c r="F2374">
        <f t="shared" si="80"/>
        <v>-1.9053241602446803E-2</v>
      </c>
      <c r="G2374">
        <f t="shared" si="81"/>
        <v>-3.2620895031107794E-2</v>
      </c>
    </row>
    <row r="2375" spans="1:7" x14ac:dyDescent="0.35">
      <c r="A2375" t="s">
        <v>129</v>
      </c>
      <c r="E2375">
        <v>5.1815810049740778E-3</v>
      </c>
      <c r="F2375">
        <f t="shared" si="80"/>
        <v>-1.9058433402997042E-2</v>
      </c>
      <c r="G2375">
        <f t="shared" si="81"/>
        <v>-3.2620895031107794E-2</v>
      </c>
    </row>
    <row r="2376" spans="1:7" x14ac:dyDescent="0.35">
      <c r="A2376" t="s">
        <v>129</v>
      </c>
      <c r="E2376">
        <v>3.5159561586563964E-3</v>
      </c>
      <c r="F2376">
        <f t="shared" si="80"/>
        <v>-1.906362520354728E-2</v>
      </c>
      <c r="G2376">
        <f t="shared" si="81"/>
        <v>-3.2620895031107794E-2</v>
      </c>
    </row>
    <row r="2377" spans="1:7" x14ac:dyDescent="0.35">
      <c r="A2377" t="s">
        <v>129</v>
      </c>
      <c r="E2377">
        <v>-7.2614560957203513E-3</v>
      </c>
      <c r="F2377">
        <f t="shared" si="80"/>
        <v>-1.9068817004097519E-2</v>
      </c>
      <c r="G2377">
        <f t="shared" si="81"/>
        <v>-3.2620895031107794E-2</v>
      </c>
    </row>
    <row r="2378" spans="1:7" x14ac:dyDescent="0.35">
      <c r="A2378" t="s">
        <v>129</v>
      </c>
      <c r="E2378">
        <v>-9.2133463644234505E-3</v>
      </c>
      <c r="F2378">
        <f t="shared" si="80"/>
        <v>-1.9074008804647758E-2</v>
      </c>
      <c r="G2378">
        <f t="shared" si="81"/>
        <v>-3.2620895031107794E-2</v>
      </c>
    </row>
    <row r="2379" spans="1:7" x14ac:dyDescent="0.35">
      <c r="A2379" t="s">
        <v>129</v>
      </c>
      <c r="E2379">
        <v>2.6315030915739705E-3</v>
      </c>
      <c r="F2379">
        <f t="shared" si="80"/>
        <v>-1.9079200605197997E-2</v>
      </c>
      <c r="G2379">
        <f t="shared" si="81"/>
        <v>-3.2620895031107794E-2</v>
      </c>
    </row>
    <row r="2380" spans="1:7" x14ac:dyDescent="0.35">
      <c r="A2380" t="s">
        <v>129</v>
      </c>
      <c r="E2380">
        <v>2.3894620906309192E-3</v>
      </c>
      <c r="F2380">
        <f t="shared" si="80"/>
        <v>-1.9084392405748236E-2</v>
      </c>
      <c r="G2380">
        <f t="shared" si="81"/>
        <v>-3.2620895031107794E-2</v>
      </c>
    </row>
    <row r="2381" spans="1:7" x14ac:dyDescent="0.35">
      <c r="A2381" t="s">
        <v>129</v>
      </c>
      <c r="E2381">
        <v>1.6250467573154521E-2</v>
      </c>
      <c r="F2381">
        <f t="shared" si="80"/>
        <v>-1.9101386621980448E-2</v>
      </c>
      <c r="G2381">
        <f t="shared" si="81"/>
        <v>-3.2811549997662157E-2</v>
      </c>
    </row>
    <row r="2382" spans="1:7" x14ac:dyDescent="0.35">
      <c r="A2382" t="s">
        <v>129</v>
      </c>
      <c r="E2382">
        <v>2.5705999252318311E-3</v>
      </c>
      <c r="F2382">
        <f t="shared" si="80"/>
        <v>-1.911838083821266E-2</v>
      </c>
      <c r="G2382">
        <f t="shared" si="81"/>
        <v>-3.2811549997662157E-2</v>
      </c>
    </row>
    <row r="2383" spans="1:7" x14ac:dyDescent="0.35">
      <c r="A2383" t="s">
        <v>129</v>
      </c>
      <c r="E2383">
        <v>-1.2922829195277727E-2</v>
      </c>
      <c r="F2383">
        <f t="shared" si="80"/>
        <v>-1.9135375054444872E-2</v>
      </c>
      <c r="G2383">
        <f t="shared" si="81"/>
        <v>-3.2811549997662157E-2</v>
      </c>
    </row>
    <row r="2384" spans="1:7" x14ac:dyDescent="0.35">
      <c r="A2384" t="s">
        <v>129</v>
      </c>
      <c r="E2384">
        <v>4.6646844328274428E-3</v>
      </c>
      <c r="F2384">
        <f t="shared" si="80"/>
        <v>-1.9152369270677091E-2</v>
      </c>
      <c r="G2384">
        <f t="shared" si="81"/>
        <v>-3.2811549997662157E-2</v>
      </c>
    </row>
    <row r="2385" spans="1:7" x14ac:dyDescent="0.35">
      <c r="A2385" t="s">
        <v>129</v>
      </c>
      <c r="E2385">
        <v>-1.9567289191675975E-4</v>
      </c>
      <c r="F2385">
        <f t="shared" si="80"/>
        <v>-1.9169363486909303E-2</v>
      </c>
      <c r="G2385">
        <f t="shared" si="81"/>
        <v>-3.2811549997662157E-2</v>
      </c>
    </row>
    <row r="2386" spans="1:7" x14ac:dyDescent="0.35">
      <c r="A2386" t="s">
        <v>129</v>
      </c>
      <c r="E2386">
        <v>-2.2002368563334207E-2</v>
      </c>
      <c r="F2386">
        <f t="shared" si="80"/>
        <v>-1.9186357703141515E-2</v>
      </c>
      <c r="G2386">
        <f t="shared" si="81"/>
        <v>-3.2811549997662157E-2</v>
      </c>
    </row>
    <row r="2387" spans="1:7" x14ac:dyDescent="0.35">
      <c r="A2387" t="s">
        <v>129</v>
      </c>
      <c r="E2387">
        <v>3.4352038278244322E-3</v>
      </c>
      <c r="F2387">
        <f t="shared" si="80"/>
        <v>-1.9016898998595131E-2</v>
      </c>
      <c r="G2387">
        <f t="shared" si="81"/>
        <v>-3.2770451741921523E-2</v>
      </c>
    </row>
    <row r="2388" spans="1:7" x14ac:dyDescent="0.35">
      <c r="A2388" t="s">
        <v>130</v>
      </c>
      <c r="B2388" s="3" cm="1">
        <f t="array" ref="B2388">_xlfn.STDEV.S(_xlfn._xlws.FILTER($E$2013:$E$3011, $A$2013:$A$3011="2019-08"))</f>
        <v>1.3170671020265711E-2</v>
      </c>
      <c r="C2388" s="3" cm="1">
        <f t="array" ref="C2388">AVERAGE(_xlfn._xlws.FILTER($E$2013:$E$3011, $A$2013:$A$3011="2019-08"))</f>
        <v>-1.0351691338496302E-3</v>
      </c>
      <c r="D2388" s="3" cm="1">
        <f t="array" ref="D2388">_xlfn.PERCENTILE.EXC(_xlfn._xlws.FILTER($E$1498:$E$2489, $A$1498:$A$2489="2019-08"), 0.05)</f>
        <v>-3.1092920788207166E-2</v>
      </c>
      <c r="E2388">
        <v>5.2458594766190258E-3</v>
      </c>
      <c r="F2388">
        <f t="shared" si="80"/>
        <v>-1.902209079914537E-2</v>
      </c>
      <c r="G2388">
        <f t="shared" si="81"/>
        <v>-3.2770451741921523E-2</v>
      </c>
    </row>
    <row r="2389" spans="1:7" x14ac:dyDescent="0.35">
      <c r="A2389" t="s">
        <v>130</v>
      </c>
      <c r="E2389">
        <v>-3.1563299059465783E-2</v>
      </c>
      <c r="F2389">
        <f t="shared" si="80"/>
        <v>-1.9027282599695612E-2</v>
      </c>
      <c r="G2389">
        <f t="shared" si="81"/>
        <v>-3.2770451741921523E-2</v>
      </c>
    </row>
    <row r="2390" spans="1:7" x14ac:dyDescent="0.35">
      <c r="A2390" t="s">
        <v>130</v>
      </c>
      <c r="E2390">
        <v>-1.8183362283034889E-2</v>
      </c>
      <c r="F2390">
        <f t="shared" si="80"/>
        <v>-1.8967544770491389E-2</v>
      </c>
      <c r="G2390">
        <f t="shared" si="81"/>
        <v>-3.2593230014249373E-2</v>
      </c>
    </row>
    <row r="2391" spans="1:7" x14ac:dyDescent="0.35">
      <c r="A2391" t="s">
        <v>130</v>
      </c>
      <c r="E2391">
        <v>-7.7971778540508021E-3</v>
      </c>
      <c r="F2391">
        <f t="shared" si="80"/>
        <v>-1.8968845932916596E-2</v>
      </c>
      <c r="G2391">
        <f t="shared" si="81"/>
        <v>-3.2593230014249373E-2</v>
      </c>
    </row>
    <row r="2392" spans="1:7" x14ac:dyDescent="0.35">
      <c r="A2392" t="s">
        <v>130</v>
      </c>
      <c r="E2392">
        <v>7.079847869531905E-3</v>
      </c>
      <c r="F2392">
        <f t="shared" si="80"/>
        <v>-1.8970147095341804E-2</v>
      </c>
      <c r="G2392">
        <f t="shared" si="81"/>
        <v>-3.2593230014249373E-2</v>
      </c>
    </row>
    <row r="2393" spans="1:7" x14ac:dyDescent="0.35">
      <c r="A2393" t="s">
        <v>130</v>
      </c>
      <c r="E2393">
        <v>1.6621395307485715E-2</v>
      </c>
      <c r="F2393">
        <f t="shared" si="80"/>
        <v>-1.8971448257767011E-2</v>
      </c>
      <c r="G2393">
        <f t="shared" si="81"/>
        <v>-3.2593230014249373E-2</v>
      </c>
    </row>
    <row r="2394" spans="1:7" x14ac:dyDescent="0.35">
      <c r="A2394" t="s">
        <v>130</v>
      </c>
      <c r="E2394">
        <v>-1.2881663953317038E-2</v>
      </c>
      <c r="F2394">
        <f t="shared" si="80"/>
        <v>-1.8972749420192218E-2</v>
      </c>
      <c r="G2394">
        <f t="shared" si="81"/>
        <v>-3.2593230014249373E-2</v>
      </c>
    </row>
    <row r="2395" spans="1:7" x14ac:dyDescent="0.35">
      <c r="A2395" t="s">
        <v>130</v>
      </c>
      <c r="E2395">
        <v>-1.2082070549747244E-3</v>
      </c>
      <c r="F2395">
        <f t="shared" si="80"/>
        <v>-1.8974050582617426E-2</v>
      </c>
      <c r="G2395">
        <f t="shared" si="81"/>
        <v>-3.2593230014249373E-2</v>
      </c>
    </row>
    <row r="2396" spans="1:7" x14ac:dyDescent="0.35">
      <c r="A2396" t="s">
        <v>130</v>
      </c>
      <c r="E2396">
        <v>6.0137245942562412E-3</v>
      </c>
      <c r="F2396">
        <f t="shared" si="80"/>
        <v>-1.8975351745042633E-2</v>
      </c>
      <c r="G2396">
        <f t="shared" si="81"/>
        <v>-3.2593230014249373E-2</v>
      </c>
    </row>
    <row r="2397" spans="1:7" x14ac:dyDescent="0.35">
      <c r="A2397" t="s">
        <v>130</v>
      </c>
      <c r="E2397">
        <v>-2.2155733634293462E-2</v>
      </c>
      <c r="F2397">
        <f t="shared" si="80"/>
        <v>-1.8976652907467841E-2</v>
      </c>
      <c r="G2397">
        <f t="shared" si="81"/>
        <v>-3.2593230014249373E-2</v>
      </c>
    </row>
    <row r="2398" spans="1:7" x14ac:dyDescent="0.35">
      <c r="A2398" t="s">
        <v>130</v>
      </c>
      <c r="E2398">
        <v>6.0792886554239551E-3</v>
      </c>
      <c r="F2398">
        <f t="shared" si="80"/>
        <v>-1.8931742462955391E-2</v>
      </c>
      <c r="G2398">
        <f t="shared" si="81"/>
        <v>-3.2548142683431702E-2</v>
      </c>
    </row>
    <row r="2399" spans="1:7" x14ac:dyDescent="0.35">
      <c r="A2399" t="s">
        <v>130</v>
      </c>
      <c r="E2399">
        <v>1.3113795521164985E-2</v>
      </c>
      <c r="F2399">
        <f t="shared" si="80"/>
        <v>-1.8943137804597356E-2</v>
      </c>
      <c r="G2399">
        <f t="shared" si="81"/>
        <v>-3.2548142683431702E-2</v>
      </c>
    </row>
    <row r="2400" spans="1:7" x14ac:dyDescent="0.35">
      <c r="A2400" t="s">
        <v>130</v>
      </c>
      <c r="E2400">
        <v>-5.4941924649271247E-3</v>
      </c>
      <c r="F2400">
        <f t="shared" si="80"/>
        <v>-1.8954533146239318E-2</v>
      </c>
      <c r="G2400">
        <f t="shared" si="81"/>
        <v>-3.2548142683431702E-2</v>
      </c>
    </row>
    <row r="2401" spans="1:7" x14ac:dyDescent="0.35">
      <c r="A2401" t="s">
        <v>130</v>
      </c>
      <c r="E2401">
        <v>1.2933565296658589E-2</v>
      </c>
      <c r="F2401">
        <f t="shared" si="80"/>
        <v>-1.8955834308664526E-2</v>
      </c>
      <c r="G2401">
        <f t="shared" si="81"/>
        <v>-3.2742337105391588E-2</v>
      </c>
    </row>
    <row r="2402" spans="1:7" x14ac:dyDescent="0.35">
      <c r="A2402" t="s">
        <v>130</v>
      </c>
      <c r="E2402">
        <v>-4.7397337721140917E-3</v>
      </c>
      <c r="F2402">
        <f t="shared" si="80"/>
        <v>-1.8957135471089733E-2</v>
      </c>
      <c r="G2402">
        <f t="shared" si="81"/>
        <v>-3.2742337105391588E-2</v>
      </c>
    </row>
    <row r="2403" spans="1:7" x14ac:dyDescent="0.35">
      <c r="A2403" t="s">
        <v>130</v>
      </c>
      <c r="E2403">
        <v>-1.1604446415119729E-2</v>
      </c>
      <c r="F2403">
        <f t="shared" si="80"/>
        <v>-1.8958436633514941E-2</v>
      </c>
      <c r="G2403">
        <f t="shared" si="81"/>
        <v>-3.2742337105391588E-2</v>
      </c>
    </row>
    <row r="2404" spans="1:7" x14ac:dyDescent="0.35">
      <c r="A2404" t="s">
        <v>130</v>
      </c>
      <c r="E2404">
        <v>1.0154520148224008E-2</v>
      </c>
      <c r="F2404">
        <f t="shared" si="80"/>
        <v>-1.8959737795940148E-2</v>
      </c>
      <c r="G2404">
        <f t="shared" si="81"/>
        <v>-3.2742337105391588E-2</v>
      </c>
    </row>
    <row r="2405" spans="1:7" x14ac:dyDescent="0.35">
      <c r="A2405" t="s">
        <v>130</v>
      </c>
      <c r="E2405">
        <v>-2.4753502027893008E-3</v>
      </c>
      <c r="F2405">
        <f t="shared" si="80"/>
        <v>-1.8961038958365355E-2</v>
      </c>
      <c r="G2405">
        <f t="shared" si="81"/>
        <v>-3.2742337105391588E-2</v>
      </c>
    </row>
    <row r="2406" spans="1:7" x14ac:dyDescent="0.35">
      <c r="A2406" t="s">
        <v>130</v>
      </c>
      <c r="E2406">
        <v>1.171301289593476E-2</v>
      </c>
      <c r="F2406">
        <f t="shared" si="80"/>
        <v>-1.8962340120790563E-2</v>
      </c>
      <c r="G2406">
        <f t="shared" si="81"/>
        <v>-3.2742337105391588E-2</v>
      </c>
    </row>
    <row r="2407" spans="1:7" x14ac:dyDescent="0.35">
      <c r="A2407" t="s">
        <v>130</v>
      </c>
      <c r="E2407">
        <v>8.4447742517951598E-3</v>
      </c>
      <c r="F2407">
        <f t="shared" si="80"/>
        <v>-1.896364128321577E-2</v>
      </c>
      <c r="G2407">
        <f t="shared" si="81"/>
        <v>-3.2742337105391588E-2</v>
      </c>
    </row>
    <row r="2408" spans="1:7" x14ac:dyDescent="0.35">
      <c r="A2408" t="s">
        <v>131</v>
      </c>
      <c r="B2408" s="3" cm="1">
        <f t="array" ref="B2408">_xlfn.STDEV.S(_xlfn._xlws.FILTER($E$2013:$E$3011, $A$2013:$A$3011="2019-09"))</f>
        <v>5.2960476779751846E-3</v>
      </c>
      <c r="C2408" s="3" cm="1">
        <f t="array" ref="C2408">AVERAGE(_xlfn._xlws.FILTER($E$2013:$E$3011, $A$2013:$A$3011="2019-09"))</f>
        <v>1.9106963785209617E-3</v>
      </c>
      <c r="D2408" s="3" cm="1">
        <f t="array" ref="D2408">_xlfn.PERCENTILE.EXC(_xlfn._xlws.FILTER($E$1498:$E$2489, $A$1498:$A$2489="2019-09"), 0.05)</f>
        <v>-9.828268053173498E-3</v>
      </c>
      <c r="E2408">
        <v>1.2137417124536152E-3</v>
      </c>
      <c r="F2408">
        <f t="shared" si="80"/>
        <v>-1.8964942445640978E-2</v>
      </c>
      <c r="G2408">
        <f t="shared" si="81"/>
        <v>-3.2742337105391588E-2</v>
      </c>
    </row>
    <row r="2409" spans="1:7" x14ac:dyDescent="0.35">
      <c r="A2409" t="s">
        <v>131</v>
      </c>
      <c r="E2409">
        <v>-3.5969573624633866E-3</v>
      </c>
      <c r="F2409">
        <f t="shared" si="80"/>
        <v>-1.8966243608066185E-2</v>
      </c>
      <c r="G2409">
        <f t="shared" si="81"/>
        <v>-3.2742337105391588E-2</v>
      </c>
    </row>
    <row r="2410" spans="1:7" x14ac:dyDescent="0.35">
      <c r="A2410" t="s">
        <v>131</v>
      </c>
      <c r="E2410">
        <v>9.5405534009192078E-3</v>
      </c>
      <c r="F2410">
        <f t="shared" si="80"/>
        <v>-1.8967544770491389E-2</v>
      </c>
      <c r="G2410">
        <f t="shared" si="81"/>
        <v>-3.2742337105391588E-2</v>
      </c>
    </row>
    <row r="2411" spans="1:7" x14ac:dyDescent="0.35">
      <c r="A2411" t="s">
        <v>131</v>
      </c>
      <c r="E2411">
        <v>8.4250877829686356E-3</v>
      </c>
      <c r="F2411">
        <f t="shared" si="80"/>
        <v>-1.8968845932916596E-2</v>
      </c>
      <c r="G2411">
        <f t="shared" si="81"/>
        <v>-3.2742337105391588E-2</v>
      </c>
    </row>
    <row r="2412" spans="1:7" x14ac:dyDescent="0.35">
      <c r="A2412" t="s">
        <v>131</v>
      </c>
      <c r="E2412">
        <v>5.3416228571927012E-3</v>
      </c>
      <c r="F2412">
        <f t="shared" si="80"/>
        <v>-1.8970147095341804E-2</v>
      </c>
      <c r="G2412">
        <f t="shared" si="81"/>
        <v>-3.2742337105391588E-2</v>
      </c>
    </row>
    <row r="2413" spans="1:7" x14ac:dyDescent="0.35">
      <c r="A2413" t="s">
        <v>131</v>
      </c>
      <c r="E2413">
        <v>2.8151578333409704E-3</v>
      </c>
      <c r="F2413">
        <f t="shared" si="80"/>
        <v>-1.8971448257767011E-2</v>
      </c>
      <c r="G2413">
        <f t="shared" si="81"/>
        <v>-3.2742337105391588E-2</v>
      </c>
    </row>
    <row r="2414" spans="1:7" x14ac:dyDescent="0.35">
      <c r="A2414" t="s">
        <v>131</v>
      </c>
      <c r="E2414">
        <v>3.4791078583550541E-3</v>
      </c>
      <c r="F2414">
        <f t="shared" si="80"/>
        <v>-1.8972749420192218E-2</v>
      </c>
      <c r="G2414">
        <f t="shared" si="81"/>
        <v>-3.2742337105391588E-2</v>
      </c>
    </row>
    <row r="2415" spans="1:7" x14ac:dyDescent="0.35">
      <c r="A2415" t="s">
        <v>131</v>
      </c>
      <c r="E2415">
        <v>7.3380877587466411E-3</v>
      </c>
      <c r="F2415">
        <f t="shared" si="80"/>
        <v>-1.8974050582617426E-2</v>
      </c>
      <c r="G2415">
        <f t="shared" si="81"/>
        <v>-3.2742337105391588E-2</v>
      </c>
    </row>
    <row r="2416" spans="1:7" x14ac:dyDescent="0.35">
      <c r="A2416" t="s">
        <v>131</v>
      </c>
      <c r="E2416">
        <v>4.1325375777035052E-3</v>
      </c>
      <c r="F2416">
        <f t="shared" si="80"/>
        <v>-1.8975351745042633E-2</v>
      </c>
      <c r="G2416">
        <f t="shared" si="81"/>
        <v>-3.2742337105391588E-2</v>
      </c>
    </row>
    <row r="2417" spans="1:7" x14ac:dyDescent="0.35">
      <c r="A2417" t="s">
        <v>131</v>
      </c>
      <c r="E2417">
        <v>4.6851257662758033E-3</v>
      </c>
      <c r="F2417">
        <f t="shared" si="80"/>
        <v>-1.8976652907467841E-2</v>
      </c>
      <c r="G2417">
        <f t="shared" si="81"/>
        <v>-3.2742337105391588E-2</v>
      </c>
    </row>
    <row r="2418" spans="1:7" x14ac:dyDescent="0.35">
      <c r="A2418" t="s">
        <v>131</v>
      </c>
      <c r="E2418">
        <v>-7.1005624935352877E-3</v>
      </c>
      <c r="F2418">
        <f t="shared" si="80"/>
        <v>-1.8977954069893048E-2</v>
      </c>
      <c r="G2418">
        <f t="shared" si="81"/>
        <v>-3.2742337105391588E-2</v>
      </c>
    </row>
    <row r="2419" spans="1:7" x14ac:dyDescent="0.35">
      <c r="A2419" t="s">
        <v>131</v>
      </c>
      <c r="E2419">
        <v>-6.2214884129778761E-4</v>
      </c>
      <c r="F2419">
        <f t="shared" si="80"/>
        <v>-1.8979255232318255E-2</v>
      </c>
      <c r="G2419">
        <f t="shared" si="81"/>
        <v>-3.2742337105391588E-2</v>
      </c>
    </row>
    <row r="2420" spans="1:7" x14ac:dyDescent="0.35">
      <c r="A2420" t="s">
        <v>131</v>
      </c>
      <c r="E2420">
        <v>1.3738667862744716E-3</v>
      </c>
      <c r="F2420">
        <f t="shared" si="80"/>
        <v>-1.8980556394743463E-2</v>
      </c>
      <c r="G2420">
        <f t="shared" si="81"/>
        <v>-3.2742337105391588E-2</v>
      </c>
    </row>
    <row r="2421" spans="1:7" x14ac:dyDescent="0.35">
      <c r="A2421" t="s">
        <v>131</v>
      </c>
      <c r="E2421">
        <v>5.479880354496567E-3</v>
      </c>
      <c r="F2421">
        <f t="shared" si="80"/>
        <v>-1.8985748195293702E-2</v>
      </c>
      <c r="G2421">
        <f t="shared" si="81"/>
        <v>-3.2941783202647366E-2</v>
      </c>
    </row>
    <row r="2422" spans="1:7" x14ac:dyDescent="0.35">
      <c r="A2422" t="s">
        <v>131</v>
      </c>
      <c r="E2422">
        <v>8.2725832788511824E-4</v>
      </c>
      <c r="F2422">
        <f t="shared" si="80"/>
        <v>-1.899093999584394E-2</v>
      </c>
      <c r="G2422">
        <f t="shared" si="81"/>
        <v>-3.2941783202647366E-2</v>
      </c>
    </row>
    <row r="2423" spans="1:7" x14ac:dyDescent="0.35">
      <c r="A2423" t="s">
        <v>131</v>
      </c>
      <c r="E2423">
        <v>-1.0131346448688855E-2</v>
      </c>
      <c r="F2423">
        <f t="shared" si="80"/>
        <v>-1.8996131796394179E-2</v>
      </c>
      <c r="G2423">
        <f t="shared" si="81"/>
        <v>-3.2941783202647366E-2</v>
      </c>
    </row>
    <row r="2424" spans="1:7" x14ac:dyDescent="0.35">
      <c r="A2424" t="s">
        <v>131</v>
      </c>
      <c r="E2424">
        <v>-2.8544232078268209E-3</v>
      </c>
      <c r="F2424">
        <f t="shared" si="80"/>
        <v>-1.9001323596944418E-2</v>
      </c>
      <c r="G2424">
        <f t="shared" si="81"/>
        <v>-3.2941783202647366E-2</v>
      </c>
    </row>
    <row r="2425" spans="1:7" x14ac:dyDescent="0.35">
      <c r="A2425" t="s">
        <v>131</v>
      </c>
      <c r="E2425">
        <v>-5.9467204947187598E-3</v>
      </c>
      <c r="F2425">
        <f t="shared" si="80"/>
        <v>-1.9006515397494657E-2</v>
      </c>
      <c r="G2425">
        <f t="shared" si="81"/>
        <v>-3.2941783202647366E-2</v>
      </c>
    </row>
    <row r="2426" spans="1:7" x14ac:dyDescent="0.35">
      <c r="A2426" t="s">
        <v>131</v>
      </c>
      <c r="E2426">
        <v>4.4334469454585341E-3</v>
      </c>
      <c r="F2426">
        <f t="shared" si="80"/>
        <v>-1.9011707198044896E-2</v>
      </c>
      <c r="G2426">
        <f t="shared" si="81"/>
        <v>-3.2941783202647366E-2</v>
      </c>
    </row>
    <row r="2427" spans="1:7" x14ac:dyDescent="0.35">
      <c r="A2427" t="s">
        <v>131</v>
      </c>
      <c r="E2427">
        <v>7.4910725393552173E-3</v>
      </c>
      <c r="F2427">
        <f t="shared" si="80"/>
        <v>-1.9016898998595131E-2</v>
      </c>
      <c r="G2427">
        <f t="shared" si="81"/>
        <v>-3.2941783202647366E-2</v>
      </c>
    </row>
    <row r="2428" spans="1:7" x14ac:dyDescent="0.35">
      <c r="A2428" t="s">
        <v>131</v>
      </c>
      <c r="E2428">
        <v>3.8002352960450399E-3</v>
      </c>
      <c r="F2428">
        <f t="shared" si="80"/>
        <v>-1.902209079914537E-2</v>
      </c>
      <c r="G2428">
        <f t="shared" si="81"/>
        <v>-3.2941783202647366E-2</v>
      </c>
    </row>
    <row r="2429" spans="1:7" x14ac:dyDescent="0.35">
      <c r="A2429" t="s">
        <v>132</v>
      </c>
      <c r="B2429" s="3" cm="1">
        <f t="array" ref="B2429">_xlfn.STDEV.S(_xlfn._xlws.FILTER($E$2013:$E$3011, $A$2013:$A$3011="2019-10"))</f>
        <v>1.0603464084119118E-2</v>
      </c>
      <c r="C2429" s="3" cm="1">
        <f t="array" ref="C2429">AVERAGE(_xlfn._xlws.FILTER($E$2013:$E$3011, $A$2013:$A$3011="2019-10"))</f>
        <v>1.5768702118778761E-3</v>
      </c>
      <c r="D2429" s="3" cm="1">
        <f t="array" ref="D2429">_xlfn.PERCENTILE.EXC(_xlfn._xlws.FILTER($E$1498:$E$2489, $A$1498:$A$2489="2019-10"), 0.05)</f>
        <v>-2.5792459345251144E-2</v>
      </c>
      <c r="E2429">
        <v>-1.330414882327843E-2</v>
      </c>
      <c r="F2429">
        <f t="shared" si="80"/>
        <v>-1.9027282599695612E-2</v>
      </c>
      <c r="G2429">
        <f t="shared" si="81"/>
        <v>-3.2941783202647366E-2</v>
      </c>
    </row>
    <row r="2430" spans="1:7" x14ac:dyDescent="0.35">
      <c r="A2430" t="s">
        <v>132</v>
      </c>
      <c r="E2430">
        <v>-2.7996278849128683E-2</v>
      </c>
      <c r="F2430">
        <f t="shared" si="80"/>
        <v>-1.9032474400245851E-2</v>
      </c>
      <c r="G2430">
        <f t="shared" si="81"/>
        <v>-3.2941783202647366E-2</v>
      </c>
    </row>
    <row r="2431" spans="1:7" x14ac:dyDescent="0.35">
      <c r="A2431" t="s">
        <v>132</v>
      </c>
      <c r="E2431">
        <v>7.3155794998002654E-3</v>
      </c>
      <c r="F2431">
        <f t="shared" si="80"/>
        <v>-1.8968845932916596E-2</v>
      </c>
      <c r="G2431">
        <f t="shared" si="81"/>
        <v>-3.2811120558380917E-2</v>
      </c>
    </row>
    <row r="2432" spans="1:7" x14ac:dyDescent="0.35">
      <c r="A2432" t="s">
        <v>132</v>
      </c>
      <c r="E2432">
        <v>7.0194529340652312E-3</v>
      </c>
      <c r="F2432">
        <f t="shared" si="80"/>
        <v>-1.8970147095341804E-2</v>
      </c>
      <c r="G2432">
        <f t="shared" si="81"/>
        <v>-3.2811120558380917E-2</v>
      </c>
    </row>
    <row r="2433" spans="1:7" x14ac:dyDescent="0.35">
      <c r="A2433" t="s">
        <v>132</v>
      </c>
      <c r="E2433">
        <v>-1.0572805481049784E-2</v>
      </c>
      <c r="F2433">
        <f t="shared" si="80"/>
        <v>-1.8971448257767011E-2</v>
      </c>
      <c r="G2433">
        <f t="shared" si="81"/>
        <v>-3.2811120558380917E-2</v>
      </c>
    </row>
    <row r="2434" spans="1:7" x14ac:dyDescent="0.35">
      <c r="A2434" t="s">
        <v>132</v>
      </c>
      <c r="E2434">
        <v>1.0310732015480059E-2</v>
      </c>
      <c r="F2434">
        <f t="shared" si="80"/>
        <v>-1.8972749420192218E-2</v>
      </c>
      <c r="G2434">
        <f t="shared" si="81"/>
        <v>-3.2811120558380917E-2</v>
      </c>
    </row>
    <row r="2435" spans="1:7" x14ac:dyDescent="0.35">
      <c r="A2435" t="s">
        <v>132</v>
      </c>
      <c r="E2435">
        <v>5.7662517562938592E-3</v>
      </c>
      <c r="F2435">
        <f t="shared" si="80"/>
        <v>-1.8974050582617426E-2</v>
      </c>
      <c r="G2435">
        <f t="shared" si="81"/>
        <v>-3.2811120558380917E-2</v>
      </c>
    </row>
    <row r="2436" spans="1:7" x14ac:dyDescent="0.35">
      <c r="A2436" t="s">
        <v>132</v>
      </c>
      <c r="E2436">
        <v>2.8162998626087093E-2</v>
      </c>
      <c r="F2436">
        <f t="shared" ref="F2436:F2499" si="82">_xlfn.PERCENTILE.EXC(E2436:E6251,0.05)</f>
        <v>-1.8975351745042633E-2</v>
      </c>
      <c r="G2436">
        <f t="shared" ref="G2436:G2499" si="83">AVERAGEIFS(E2436:E6252,E2436:E6252,"&lt;=" &amp; F2436)</f>
        <v>-3.2811120558380917E-2</v>
      </c>
    </row>
    <row r="2437" spans="1:7" x14ac:dyDescent="0.35">
      <c r="A2437" t="s">
        <v>132</v>
      </c>
      <c r="E2437">
        <v>-2.007344399848612E-3</v>
      </c>
      <c r="F2437">
        <f t="shared" si="82"/>
        <v>-1.8976652907467841E-2</v>
      </c>
      <c r="G2437">
        <f t="shared" si="83"/>
        <v>-3.2811120558380917E-2</v>
      </c>
    </row>
    <row r="2438" spans="1:7" x14ac:dyDescent="0.35">
      <c r="A2438" t="s">
        <v>132</v>
      </c>
      <c r="E2438">
        <v>1.1405443279712825E-2</v>
      </c>
      <c r="F2438">
        <f t="shared" si="82"/>
        <v>-1.8977954069893048E-2</v>
      </c>
      <c r="G2438">
        <f t="shared" si="83"/>
        <v>-3.2811120558380917E-2</v>
      </c>
    </row>
    <row r="2439" spans="1:7" x14ac:dyDescent="0.35">
      <c r="A2439" t="s">
        <v>132</v>
      </c>
      <c r="E2439">
        <v>3.1873670753855225E-3</v>
      </c>
      <c r="F2439">
        <f t="shared" si="82"/>
        <v>-1.8979255232318255E-2</v>
      </c>
      <c r="G2439">
        <f t="shared" si="83"/>
        <v>-3.2811120558380917E-2</v>
      </c>
    </row>
    <row r="2440" spans="1:7" x14ac:dyDescent="0.35">
      <c r="A2440" t="s">
        <v>132</v>
      </c>
      <c r="E2440">
        <v>-1.1972332393937507E-3</v>
      </c>
      <c r="F2440">
        <f t="shared" si="82"/>
        <v>-1.8980556394743463E-2</v>
      </c>
      <c r="G2440">
        <f t="shared" si="83"/>
        <v>-3.2811120558380917E-2</v>
      </c>
    </row>
    <row r="2441" spans="1:7" x14ac:dyDescent="0.35">
      <c r="A2441" t="s">
        <v>132</v>
      </c>
      <c r="E2441">
        <v>-1.6885116048591857E-3</v>
      </c>
      <c r="F2441">
        <f t="shared" si="82"/>
        <v>-1.8985748195293702E-2</v>
      </c>
      <c r="G2441">
        <f t="shared" si="83"/>
        <v>-3.3014511207846174E-2</v>
      </c>
    </row>
    <row r="2442" spans="1:7" x14ac:dyDescent="0.35">
      <c r="A2442" t="s">
        <v>132</v>
      </c>
      <c r="E2442">
        <v>9.0113274261536275E-3</v>
      </c>
      <c r="F2442">
        <f t="shared" si="82"/>
        <v>-1.899093999584394E-2</v>
      </c>
      <c r="G2442">
        <f t="shared" si="83"/>
        <v>-3.3014511207846174E-2</v>
      </c>
    </row>
    <row r="2443" spans="1:7" x14ac:dyDescent="0.35">
      <c r="A2443" t="s">
        <v>132</v>
      </c>
      <c r="E2443">
        <v>5.2778830091997401E-4</v>
      </c>
      <c r="F2443">
        <f t="shared" si="82"/>
        <v>-1.8996131796394179E-2</v>
      </c>
      <c r="G2443">
        <f t="shared" si="83"/>
        <v>-3.3014511207846174E-2</v>
      </c>
    </row>
    <row r="2444" spans="1:7" x14ac:dyDescent="0.35">
      <c r="A2444" t="s">
        <v>132</v>
      </c>
      <c r="E2444">
        <v>3.4047075727755816E-3</v>
      </c>
      <c r="F2444">
        <f t="shared" si="82"/>
        <v>-1.9001323596944418E-2</v>
      </c>
      <c r="G2444">
        <f t="shared" si="83"/>
        <v>-3.3014511207846174E-2</v>
      </c>
    </row>
    <row r="2445" spans="1:7" x14ac:dyDescent="0.35">
      <c r="A2445" t="s">
        <v>132</v>
      </c>
      <c r="E2445">
        <v>5.7584237836371963E-3</v>
      </c>
      <c r="F2445">
        <f t="shared" si="82"/>
        <v>-1.9006515397494657E-2</v>
      </c>
      <c r="G2445">
        <f t="shared" si="83"/>
        <v>-3.3014511207846174E-2</v>
      </c>
    </row>
    <row r="2446" spans="1:7" x14ac:dyDescent="0.35">
      <c r="A2446" t="s">
        <v>132</v>
      </c>
      <c r="E2446">
        <v>1.7394609264112671E-3</v>
      </c>
      <c r="F2446">
        <f t="shared" si="82"/>
        <v>-1.9011707198044896E-2</v>
      </c>
      <c r="G2446">
        <f t="shared" si="83"/>
        <v>-3.3014511207846174E-2</v>
      </c>
    </row>
    <row r="2447" spans="1:7" x14ac:dyDescent="0.35">
      <c r="A2447" t="s">
        <v>132</v>
      </c>
      <c r="E2447">
        <v>3.6537893322382549E-3</v>
      </c>
      <c r="F2447">
        <f t="shared" si="82"/>
        <v>-1.9016898998595131E-2</v>
      </c>
      <c r="G2447">
        <f t="shared" si="83"/>
        <v>-3.3014511207846174E-2</v>
      </c>
    </row>
    <row r="2448" spans="1:7" x14ac:dyDescent="0.35">
      <c r="A2448" t="s">
        <v>132</v>
      </c>
      <c r="E2448">
        <v>-1.6150638352368678E-4</v>
      </c>
      <c r="F2448">
        <f t="shared" si="82"/>
        <v>-1.902209079914537E-2</v>
      </c>
      <c r="G2448">
        <f t="shared" si="83"/>
        <v>-3.3014511207846174E-2</v>
      </c>
    </row>
    <row r="2449" spans="1:7" x14ac:dyDescent="0.35">
      <c r="A2449" t="s">
        <v>132</v>
      </c>
      <c r="E2449">
        <v>-2.273901988888557E-3</v>
      </c>
      <c r="F2449">
        <f t="shared" si="82"/>
        <v>-1.9027282599695612E-2</v>
      </c>
      <c r="G2449">
        <f t="shared" si="83"/>
        <v>-3.3014511207846174E-2</v>
      </c>
    </row>
    <row r="2450" spans="1:7" x14ac:dyDescent="0.35">
      <c r="A2450" t="s">
        <v>132</v>
      </c>
      <c r="E2450">
        <v>-3.3704470976767893E-3</v>
      </c>
      <c r="F2450">
        <f t="shared" si="82"/>
        <v>-1.9032474400245851E-2</v>
      </c>
      <c r="G2450">
        <f t="shared" si="83"/>
        <v>-3.3014511207846174E-2</v>
      </c>
    </row>
    <row r="2451" spans="1:7" x14ac:dyDescent="0.35">
      <c r="A2451" t="s">
        <v>133</v>
      </c>
      <c r="B2451" s="3" cm="1">
        <f t="array" ref="B2451">_xlfn.STDEV.S(_xlfn._xlws.FILTER($E$2013:$E$3011, $A$2013:$A$3011="2019-11"))</f>
        <v>4.9603951357723311E-3</v>
      </c>
      <c r="C2451" s="3" cm="1">
        <f t="array" ref="C2451">AVERAGE(_xlfn._xlws.FILTER($E$2013:$E$3011, $A$2013:$A$3011="2019-11"))</f>
        <v>1.3485488561058938E-3</v>
      </c>
      <c r="D2451" s="3" cm="1">
        <f t="array" ref="D2451">_xlfn.PERCENTILE.EXC(_xlfn._xlws.FILTER($E$1498:$E$2489, $A$1498:$A$2489="2019-11"), 0.05)</f>
        <v>-4.7567863085362858E-3</v>
      </c>
      <c r="E2451">
        <v>7.2991329118610795E-3</v>
      </c>
      <c r="F2451">
        <f t="shared" si="82"/>
        <v>-1.9037666200796086E-2</v>
      </c>
      <c r="G2451">
        <f t="shared" si="83"/>
        <v>-3.3014511207846174E-2</v>
      </c>
    </row>
    <row r="2452" spans="1:7" x14ac:dyDescent="0.35">
      <c r="A2452" t="s">
        <v>133</v>
      </c>
      <c r="E2452">
        <v>1.3429161791017157E-2</v>
      </c>
      <c r="F2452">
        <f t="shared" si="82"/>
        <v>-1.9042858001346325E-2</v>
      </c>
      <c r="G2452">
        <f t="shared" si="83"/>
        <v>-3.3014511207846174E-2</v>
      </c>
    </row>
    <row r="2453" spans="1:7" x14ac:dyDescent="0.35">
      <c r="A2453" t="s">
        <v>133</v>
      </c>
      <c r="E2453">
        <v>9.2981572456817712E-4</v>
      </c>
      <c r="F2453">
        <f t="shared" si="82"/>
        <v>-1.9048049801896564E-2</v>
      </c>
      <c r="G2453">
        <f t="shared" si="83"/>
        <v>-3.3014511207846174E-2</v>
      </c>
    </row>
    <row r="2454" spans="1:7" x14ac:dyDescent="0.35">
      <c r="A2454" t="s">
        <v>133</v>
      </c>
      <c r="E2454">
        <v>2.3844993843679389E-3</v>
      </c>
      <c r="F2454">
        <f t="shared" si="82"/>
        <v>-1.9053241602446803E-2</v>
      </c>
      <c r="G2454">
        <f t="shared" si="83"/>
        <v>-3.3014511207846174E-2</v>
      </c>
    </row>
    <row r="2455" spans="1:7" x14ac:dyDescent="0.35">
      <c r="A2455" t="s">
        <v>133</v>
      </c>
      <c r="E2455">
        <v>8.2790567846960095E-3</v>
      </c>
      <c r="F2455">
        <f t="shared" si="82"/>
        <v>-1.9058433402997042E-2</v>
      </c>
      <c r="G2455">
        <f t="shared" si="83"/>
        <v>-3.3014511207846174E-2</v>
      </c>
    </row>
    <row r="2456" spans="1:7" x14ac:dyDescent="0.35">
      <c r="A2456" t="s">
        <v>133</v>
      </c>
      <c r="E2456">
        <v>-4.5931111799119217E-3</v>
      </c>
      <c r="F2456">
        <f t="shared" si="82"/>
        <v>-1.906362520354728E-2</v>
      </c>
      <c r="G2456">
        <f t="shared" si="83"/>
        <v>-3.3014511207846174E-2</v>
      </c>
    </row>
    <row r="2457" spans="1:7" x14ac:dyDescent="0.35">
      <c r="A2457" t="s">
        <v>133</v>
      </c>
      <c r="E2457">
        <v>-2.2847915466028806E-3</v>
      </c>
      <c r="F2457">
        <f t="shared" si="82"/>
        <v>-1.9068817004097519E-2</v>
      </c>
      <c r="G2457">
        <f t="shared" si="83"/>
        <v>-3.3014511207846174E-2</v>
      </c>
    </row>
    <row r="2458" spans="1:7" x14ac:dyDescent="0.35">
      <c r="A2458" t="s">
        <v>133</v>
      </c>
      <c r="E2458">
        <v>6.4300792352425763E-3</v>
      </c>
      <c r="F2458">
        <f t="shared" si="82"/>
        <v>-1.9074008804647758E-2</v>
      </c>
      <c r="G2458">
        <f t="shared" si="83"/>
        <v>-3.3014511207846174E-2</v>
      </c>
    </row>
    <row r="2459" spans="1:7" x14ac:dyDescent="0.35">
      <c r="A2459" t="s">
        <v>133</v>
      </c>
      <c r="E2459">
        <v>-4.031147236043281E-3</v>
      </c>
      <c r="F2459">
        <f t="shared" si="82"/>
        <v>-1.9079200605197997E-2</v>
      </c>
      <c r="G2459">
        <f t="shared" si="83"/>
        <v>-3.3014511207846174E-2</v>
      </c>
    </row>
    <row r="2460" spans="1:7" x14ac:dyDescent="0.35">
      <c r="A2460" t="s">
        <v>133</v>
      </c>
      <c r="E2460">
        <v>-3.7742895132054236E-3</v>
      </c>
      <c r="F2460">
        <f t="shared" si="82"/>
        <v>-1.9084392405748236E-2</v>
      </c>
      <c r="G2460">
        <f t="shared" si="83"/>
        <v>-3.3014511207846174E-2</v>
      </c>
    </row>
    <row r="2461" spans="1:7" x14ac:dyDescent="0.35">
      <c r="A2461" t="s">
        <v>133</v>
      </c>
      <c r="E2461">
        <v>4.65673739612011E-3</v>
      </c>
      <c r="F2461">
        <f t="shared" si="82"/>
        <v>-1.9101386621980448E-2</v>
      </c>
      <c r="G2461">
        <f t="shared" si="83"/>
        <v>-3.3222423428773011E-2</v>
      </c>
    </row>
    <row r="2462" spans="1:7" x14ac:dyDescent="0.35">
      <c r="A2462" t="s">
        <v>133</v>
      </c>
      <c r="E2462">
        <v>-2.626967765466177E-3</v>
      </c>
      <c r="F2462">
        <f t="shared" si="82"/>
        <v>-1.911838083821266E-2</v>
      </c>
      <c r="G2462">
        <f t="shared" si="83"/>
        <v>-3.3222423428773011E-2</v>
      </c>
    </row>
    <row r="2463" spans="1:7" x14ac:dyDescent="0.35">
      <c r="A2463" t="s">
        <v>133</v>
      </c>
      <c r="E2463">
        <v>1.0678017204158161E-3</v>
      </c>
      <c r="F2463">
        <f t="shared" si="82"/>
        <v>-1.9135375054444872E-2</v>
      </c>
      <c r="G2463">
        <f t="shared" si="83"/>
        <v>-3.3222423428773011E-2</v>
      </c>
    </row>
    <row r="2464" spans="1:7" x14ac:dyDescent="0.35">
      <c r="A2464" t="s">
        <v>133</v>
      </c>
      <c r="E2464">
        <v>-4.774972433938993E-3</v>
      </c>
      <c r="F2464">
        <f t="shared" si="82"/>
        <v>-1.9152369270677091E-2</v>
      </c>
      <c r="G2464">
        <f t="shared" si="83"/>
        <v>-3.3222423428773011E-2</v>
      </c>
    </row>
    <row r="2465" spans="1:7" x14ac:dyDescent="0.35">
      <c r="A2465" t="s">
        <v>133</v>
      </c>
      <c r="E2465">
        <v>-1.5546188383168508E-3</v>
      </c>
      <c r="F2465">
        <f t="shared" si="82"/>
        <v>-1.9169363486909303E-2</v>
      </c>
      <c r="G2465">
        <f t="shared" si="83"/>
        <v>-3.3222423428773011E-2</v>
      </c>
    </row>
    <row r="2466" spans="1:7" x14ac:dyDescent="0.35">
      <c r="A2466" t="s">
        <v>133</v>
      </c>
      <c r="E2466">
        <v>1.9907555854953825E-3</v>
      </c>
      <c r="F2466">
        <f t="shared" si="82"/>
        <v>-1.9186357703141515E-2</v>
      </c>
      <c r="G2466">
        <f t="shared" si="83"/>
        <v>-3.3222423428773011E-2</v>
      </c>
    </row>
    <row r="2467" spans="1:7" x14ac:dyDescent="0.35">
      <c r="A2467" t="s">
        <v>133</v>
      </c>
      <c r="E2467">
        <v>6.2528767364788728E-3</v>
      </c>
      <c r="F2467">
        <f t="shared" si="82"/>
        <v>-1.9203351919373727E-2</v>
      </c>
      <c r="G2467">
        <f t="shared" si="83"/>
        <v>-3.3222423428773011E-2</v>
      </c>
    </row>
    <row r="2468" spans="1:7" x14ac:dyDescent="0.35">
      <c r="A2468" t="s">
        <v>133</v>
      </c>
      <c r="E2468">
        <v>-7.5747080883377437E-4</v>
      </c>
      <c r="F2468">
        <f t="shared" si="82"/>
        <v>-1.9220346135605939E-2</v>
      </c>
      <c r="G2468">
        <f t="shared" si="83"/>
        <v>-3.3222423428773011E-2</v>
      </c>
    </row>
    <row r="2469" spans="1:7" x14ac:dyDescent="0.35">
      <c r="A2469" t="s">
        <v>133</v>
      </c>
      <c r="E2469">
        <v>3.8192607057543322E-3</v>
      </c>
      <c r="F2469">
        <f t="shared" si="82"/>
        <v>-1.9237340351838154E-2</v>
      </c>
      <c r="G2469">
        <f t="shared" si="83"/>
        <v>-3.3222423428773011E-2</v>
      </c>
    </row>
    <row r="2470" spans="1:7" x14ac:dyDescent="0.35">
      <c r="A2470" t="s">
        <v>133</v>
      </c>
      <c r="E2470">
        <v>-3.1274700279119668E-3</v>
      </c>
      <c r="F2470">
        <f t="shared" si="82"/>
        <v>-1.9254334568070366E-2</v>
      </c>
      <c r="G2470">
        <f t="shared" si="83"/>
        <v>-3.3222423428773011E-2</v>
      </c>
    </row>
    <row r="2471" spans="1:7" x14ac:dyDescent="0.35">
      <c r="A2471" t="s">
        <v>133</v>
      </c>
      <c r="E2471">
        <v>-6.9481264756240599E-4</v>
      </c>
      <c r="F2471">
        <f t="shared" si="82"/>
        <v>-1.9271328784302582E-2</v>
      </c>
      <c r="G2471">
        <f t="shared" si="83"/>
        <v>-3.3222423428773011E-2</v>
      </c>
    </row>
    <row r="2472" spans="1:7" x14ac:dyDescent="0.35">
      <c r="A2472" t="s">
        <v>134</v>
      </c>
      <c r="B2472" s="3" cm="1">
        <f t="array" ref="B2472">_xlfn.STDEV.S(_xlfn._xlws.FILTER($E$2013:$E$3011, $A$2013:$A$3011="2019-12"))</f>
        <v>8.0827855684317863E-3</v>
      </c>
      <c r="C2472" s="3" cm="1">
        <f t="array" ref="C2472">AVERAGE(_xlfn._xlws.FILTER($E$2013:$E$3011, $A$2013:$A$3011="2019-12"))</f>
        <v>5.2985190692188211E-5</v>
      </c>
      <c r="D2472" s="3" cm="1">
        <f t="array" ref="D2472">_xlfn.PERCENTILE.INC(_xlfn._xlws.FILTER($E$1498:$E$2489, $A$1498:$A$2489="2019-12"), 0.05)</f>
        <v>-1.0742020044490888E-2</v>
      </c>
      <c r="E2472">
        <v>-2.074036237687241E-2</v>
      </c>
      <c r="F2472">
        <f t="shared" si="82"/>
        <v>-1.9288323000534794E-2</v>
      </c>
      <c r="G2472">
        <f t="shared" si="83"/>
        <v>-3.3222423428773011E-2</v>
      </c>
    </row>
    <row r="2473" spans="1:7" x14ac:dyDescent="0.35">
      <c r="A2473" t="s">
        <v>134</v>
      </c>
      <c r="E2473">
        <v>1.8964349096304443E-3</v>
      </c>
      <c r="F2473">
        <f t="shared" si="82"/>
        <v>-1.9048049801896564E-2</v>
      </c>
      <c r="G2473">
        <f t="shared" si="83"/>
        <v>-3.3197707459054739E-2</v>
      </c>
    </row>
    <row r="2474" spans="1:7" x14ac:dyDescent="0.35">
      <c r="A2474" t="s">
        <v>134</v>
      </c>
      <c r="E2474">
        <v>1.1579219351111619E-2</v>
      </c>
      <c r="F2474">
        <f t="shared" si="82"/>
        <v>-1.9053241602446803E-2</v>
      </c>
      <c r="G2474">
        <f t="shared" si="83"/>
        <v>-3.3197707459054739E-2</v>
      </c>
    </row>
    <row r="2475" spans="1:7" x14ac:dyDescent="0.35">
      <c r="A2475" t="s">
        <v>134</v>
      </c>
      <c r="E2475">
        <v>-6.5485088781566062E-3</v>
      </c>
      <c r="F2475">
        <f t="shared" si="82"/>
        <v>-1.9058433402997042E-2</v>
      </c>
      <c r="G2475">
        <f t="shared" si="83"/>
        <v>-3.3197707459054739E-2</v>
      </c>
    </row>
    <row r="2476" spans="1:7" x14ac:dyDescent="0.35">
      <c r="A2476" t="s">
        <v>134</v>
      </c>
      <c r="E2476">
        <v>8.525918705922066E-3</v>
      </c>
      <c r="F2476">
        <f t="shared" si="82"/>
        <v>-1.906362520354728E-2</v>
      </c>
      <c r="G2476">
        <f t="shared" si="83"/>
        <v>-3.3197707459054739E-2</v>
      </c>
    </row>
    <row r="2477" spans="1:7" x14ac:dyDescent="0.35">
      <c r="A2477" t="s">
        <v>134</v>
      </c>
      <c r="E2477">
        <v>-4.6414181273159716E-3</v>
      </c>
      <c r="F2477">
        <f t="shared" si="82"/>
        <v>-1.9068817004097519E-2</v>
      </c>
      <c r="G2477">
        <f t="shared" si="83"/>
        <v>-3.3197707459054739E-2</v>
      </c>
    </row>
    <row r="2478" spans="1:7" x14ac:dyDescent="0.35">
      <c r="A2478" t="s">
        <v>134</v>
      </c>
      <c r="E2478">
        <v>-2.6657687049049979E-3</v>
      </c>
      <c r="F2478">
        <f t="shared" si="82"/>
        <v>-1.9074008804647758E-2</v>
      </c>
      <c r="G2478">
        <f t="shared" si="83"/>
        <v>-3.3197707459054739E-2</v>
      </c>
    </row>
    <row r="2479" spans="1:7" x14ac:dyDescent="0.35">
      <c r="A2479" t="s">
        <v>134</v>
      </c>
      <c r="E2479">
        <v>5.7992050374724696E-3</v>
      </c>
      <c r="F2479">
        <f t="shared" si="82"/>
        <v>-1.9079200605197997E-2</v>
      </c>
      <c r="G2479">
        <f t="shared" si="83"/>
        <v>-3.3197707459054739E-2</v>
      </c>
    </row>
    <row r="2480" spans="1:7" x14ac:dyDescent="0.35">
      <c r="A2480" t="s">
        <v>134</v>
      </c>
      <c r="E2480">
        <v>5.6810620482827144E-3</v>
      </c>
      <c r="F2480">
        <f t="shared" si="82"/>
        <v>-1.9084392405748236E-2</v>
      </c>
      <c r="G2480">
        <f t="shared" si="83"/>
        <v>-3.3197707459054739E-2</v>
      </c>
    </row>
    <row r="2481" spans="1:7" x14ac:dyDescent="0.35">
      <c r="A2481" t="s">
        <v>134</v>
      </c>
      <c r="E2481">
        <v>4.60906116043522E-3</v>
      </c>
      <c r="F2481">
        <f t="shared" si="82"/>
        <v>-1.9101386621980448E-2</v>
      </c>
      <c r="G2481">
        <f t="shared" si="83"/>
        <v>-3.3411545565923018E-2</v>
      </c>
    </row>
    <row r="2482" spans="1:7" x14ac:dyDescent="0.35">
      <c r="A2482" t="s">
        <v>134</v>
      </c>
      <c r="E2482">
        <v>9.3622430701893987E-3</v>
      </c>
      <c r="F2482">
        <f t="shared" si="82"/>
        <v>-1.911838083821266E-2</v>
      </c>
      <c r="G2482">
        <f t="shared" si="83"/>
        <v>-3.3411545565923018E-2</v>
      </c>
    </row>
    <row r="2483" spans="1:7" x14ac:dyDescent="0.35">
      <c r="A2483" t="s">
        <v>134</v>
      </c>
      <c r="E2483">
        <v>-8.9776066917176787E-3</v>
      </c>
      <c r="F2483">
        <f t="shared" si="82"/>
        <v>-1.9135375054444872E-2</v>
      </c>
      <c r="G2483">
        <f t="shared" si="83"/>
        <v>-3.3411545565923018E-2</v>
      </c>
    </row>
    <row r="2484" spans="1:7" x14ac:dyDescent="0.35">
      <c r="A2484" t="s">
        <v>134</v>
      </c>
      <c r="E2484">
        <v>-4.9543688493790608E-3</v>
      </c>
      <c r="F2484">
        <f t="shared" si="82"/>
        <v>-1.9152369270677091E-2</v>
      </c>
      <c r="G2484">
        <f t="shared" si="83"/>
        <v>-3.3411545565923018E-2</v>
      </c>
    </row>
    <row r="2485" spans="1:7" x14ac:dyDescent="0.35">
      <c r="A2485" t="s">
        <v>134</v>
      </c>
      <c r="E2485">
        <v>-7.7172990863574203E-4</v>
      </c>
      <c r="F2485">
        <f t="shared" si="82"/>
        <v>-1.9169363486909303E-2</v>
      </c>
      <c r="G2485">
        <f t="shared" si="83"/>
        <v>-3.3411545565923018E-2</v>
      </c>
    </row>
    <row r="2486" spans="1:7" x14ac:dyDescent="0.35">
      <c r="A2486" t="s">
        <v>134</v>
      </c>
      <c r="E2486">
        <v>8.061599146282631E-3</v>
      </c>
      <c r="F2486">
        <f t="shared" si="82"/>
        <v>-1.9186357703141515E-2</v>
      </c>
      <c r="G2486">
        <f t="shared" si="83"/>
        <v>-3.3411545565923018E-2</v>
      </c>
    </row>
    <row r="2487" spans="1:7" x14ac:dyDescent="0.35">
      <c r="A2487" t="s">
        <v>134</v>
      </c>
      <c r="E2487">
        <v>-1.3463623958450139E-3</v>
      </c>
      <c r="F2487">
        <f t="shared" si="82"/>
        <v>-1.9203351919373727E-2</v>
      </c>
      <c r="G2487">
        <f t="shared" si="83"/>
        <v>-3.3411545565923018E-2</v>
      </c>
    </row>
    <row r="2488" spans="1:7" x14ac:dyDescent="0.35">
      <c r="A2488" t="s">
        <v>134</v>
      </c>
      <c r="E2488">
        <v>2.712658614432731E-3</v>
      </c>
      <c r="F2488">
        <f t="shared" si="82"/>
        <v>-1.9220346135605939E-2</v>
      </c>
      <c r="G2488">
        <f t="shared" si="83"/>
        <v>-3.3411545565923018E-2</v>
      </c>
    </row>
    <row r="2489" spans="1:7" x14ac:dyDescent="0.35">
      <c r="A2489" t="s">
        <v>134</v>
      </c>
      <c r="E2489">
        <v>-6.6275426784724225E-3</v>
      </c>
      <c r="F2489">
        <f t="shared" si="82"/>
        <v>-1.9237340351838154E-2</v>
      </c>
      <c r="G2489">
        <f t="shared" si="83"/>
        <v>-3.3411545565923018E-2</v>
      </c>
    </row>
    <row r="2490" spans="1:7" x14ac:dyDescent="0.35">
      <c r="A2490" t="s">
        <v>135</v>
      </c>
      <c r="B2490" s="3" cm="1">
        <f t="array" ref="B2490">_xlfn.STDEV.S(_xlfn._xlws.FILTER($E$2013:$E$3011, $A$2013:$A$3011="2020-01"))</f>
        <v>1.014830469118266E-2</v>
      </c>
      <c r="C2490" s="3" cm="1">
        <f t="array" ref="C2490">AVERAGE(_xlfn._xlws.FILTER($E$2013:$E$3011, $A$2013:$A$3011="2020-01"))</f>
        <v>-9.2551640650201069E-4</v>
      </c>
      <c r="D2490" s="3" cm="1">
        <f t="array" ref="D2490">_xlfn.PERCENTILE.EXC(_xlfn._xlws.FILTER($E$2490:$E$3818, $A$2490:$A$3818="2020-01"), 0.05)</f>
        <v>-2.5735972932936686E-2</v>
      </c>
      <c r="E2490">
        <v>1.0281322661040187E-2</v>
      </c>
      <c r="F2490">
        <f t="shared" si="82"/>
        <v>-1.9254334568070366E-2</v>
      </c>
      <c r="G2490">
        <f t="shared" si="83"/>
        <v>-3.3411545565923018E-2</v>
      </c>
    </row>
    <row r="2491" spans="1:7" x14ac:dyDescent="0.35">
      <c r="A2491" t="s">
        <v>135</v>
      </c>
      <c r="E2491">
        <v>-1.2538375963256991E-2</v>
      </c>
      <c r="F2491">
        <f t="shared" si="82"/>
        <v>-1.9271328784302582E-2</v>
      </c>
      <c r="G2491">
        <f t="shared" si="83"/>
        <v>-3.3411545565923018E-2</v>
      </c>
    </row>
    <row r="2492" spans="1:7" x14ac:dyDescent="0.35">
      <c r="A2492" t="s">
        <v>135</v>
      </c>
      <c r="E2492">
        <v>-6.995363325129257E-3</v>
      </c>
      <c r="F2492">
        <f t="shared" si="82"/>
        <v>-1.9288323000534794E-2</v>
      </c>
      <c r="G2492">
        <f t="shared" si="83"/>
        <v>-3.3411545565923018E-2</v>
      </c>
    </row>
    <row r="2493" spans="1:7" x14ac:dyDescent="0.35">
      <c r="A2493" t="s">
        <v>135</v>
      </c>
      <c r="E2493">
        <v>7.5769264303388352E-3</v>
      </c>
      <c r="F2493">
        <f t="shared" si="82"/>
        <v>-1.9305317216767006E-2</v>
      </c>
      <c r="G2493">
        <f t="shared" si="83"/>
        <v>-3.3411545565923018E-2</v>
      </c>
    </row>
    <row r="2494" spans="1:7" x14ac:dyDescent="0.35">
      <c r="A2494" t="s">
        <v>135</v>
      </c>
      <c r="E2494">
        <v>7.0328360718106804E-3</v>
      </c>
      <c r="F2494">
        <f t="shared" si="82"/>
        <v>-1.9322311432999222E-2</v>
      </c>
      <c r="G2494">
        <f t="shared" si="83"/>
        <v>-3.3411545565923018E-2</v>
      </c>
    </row>
    <row r="2495" spans="1:7" x14ac:dyDescent="0.35">
      <c r="A2495" t="s">
        <v>135</v>
      </c>
      <c r="E2495">
        <v>1.3043514016779167E-2</v>
      </c>
      <c r="F2495">
        <f t="shared" si="82"/>
        <v>-1.9339305649231434E-2</v>
      </c>
      <c r="G2495">
        <f t="shared" si="83"/>
        <v>-3.3411545565923018E-2</v>
      </c>
    </row>
    <row r="2496" spans="1:7" x14ac:dyDescent="0.35">
      <c r="A2496" t="s">
        <v>135</v>
      </c>
      <c r="E2496">
        <v>-8.7106824785579916E-4</v>
      </c>
      <c r="F2496">
        <f t="shared" si="82"/>
        <v>-1.9356299865463646E-2</v>
      </c>
      <c r="G2496">
        <f t="shared" si="83"/>
        <v>-3.3411545565923018E-2</v>
      </c>
    </row>
    <row r="2497" spans="1:7" x14ac:dyDescent="0.35">
      <c r="A2497" t="s">
        <v>135</v>
      </c>
      <c r="E2497">
        <v>-2.3605134883879601E-3</v>
      </c>
      <c r="F2497">
        <f t="shared" si="82"/>
        <v>-1.9373294081695858E-2</v>
      </c>
      <c r="G2497">
        <f t="shared" si="83"/>
        <v>-3.3411545565923018E-2</v>
      </c>
    </row>
    <row r="2498" spans="1:7" x14ac:dyDescent="0.35">
      <c r="A2498" t="s">
        <v>135</v>
      </c>
      <c r="E2498">
        <v>3.6940673476164245E-4</v>
      </c>
      <c r="F2498">
        <f t="shared" si="82"/>
        <v>-1.939028829792807E-2</v>
      </c>
      <c r="G2498">
        <f t="shared" si="83"/>
        <v>-3.3411545565923018E-2</v>
      </c>
    </row>
    <row r="2499" spans="1:7" x14ac:dyDescent="0.35">
      <c r="A2499" t="s">
        <v>135</v>
      </c>
      <c r="E2499">
        <v>-1.7992633008740884E-3</v>
      </c>
      <c r="F2499">
        <f t="shared" si="82"/>
        <v>-1.9407282514160289E-2</v>
      </c>
      <c r="G2499">
        <f t="shared" si="83"/>
        <v>-3.3411545565923018E-2</v>
      </c>
    </row>
    <row r="2500" spans="1:7" x14ac:dyDescent="0.35">
      <c r="A2500" t="s">
        <v>135</v>
      </c>
      <c r="E2500">
        <v>-2.1368690779933244E-4</v>
      </c>
      <c r="F2500">
        <f t="shared" ref="F2500:F2563" si="84">_xlfn.PERCENTILE.EXC(E2500:E6315,0.05)</f>
        <v>-1.9424276730392501E-2</v>
      </c>
      <c r="G2500">
        <f t="shared" ref="G2500:G2563" si="85">AVERAGEIFS(E2500:E6316,E2500:E6316,"&lt;=" &amp; F2500)</f>
        <v>-3.3411545565923018E-2</v>
      </c>
    </row>
    <row r="2501" spans="1:7" x14ac:dyDescent="0.35">
      <c r="A2501" t="s">
        <v>135</v>
      </c>
      <c r="E2501">
        <v>7.1748028848137467E-3</v>
      </c>
      <c r="F2501">
        <f t="shared" si="84"/>
        <v>-1.9431796849995294E-2</v>
      </c>
      <c r="G2501">
        <f t="shared" si="85"/>
        <v>-3.3626734317238859E-2</v>
      </c>
    </row>
    <row r="2502" spans="1:7" x14ac:dyDescent="0.35">
      <c r="A2502" t="s">
        <v>135</v>
      </c>
      <c r="E2502">
        <v>1.6849452575039511E-3</v>
      </c>
      <c r="F2502">
        <f t="shared" si="84"/>
        <v>-1.9439316969598091E-2</v>
      </c>
      <c r="G2502">
        <f t="shared" si="85"/>
        <v>-3.3626734317238859E-2</v>
      </c>
    </row>
    <row r="2503" spans="1:7" x14ac:dyDescent="0.35">
      <c r="A2503" t="s">
        <v>135</v>
      </c>
      <c r="E2503">
        <v>5.1134836591756948E-4</v>
      </c>
      <c r="F2503">
        <f t="shared" si="84"/>
        <v>-1.9446837089200884E-2</v>
      </c>
      <c r="G2503">
        <f t="shared" si="85"/>
        <v>-3.3626734317238859E-2</v>
      </c>
    </row>
    <row r="2504" spans="1:7" x14ac:dyDescent="0.35">
      <c r="A2504" t="s">
        <v>135</v>
      </c>
      <c r="E2504">
        <v>-2.9639917649558404E-3</v>
      </c>
      <c r="F2504">
        <f t="shared" si="84"/>
        <v>-1.9454357208803681E-2</v>
      </c>
      <c r="G2504">
        <f t="shared" si="85"/>
        <v>-3.3626734317238859E-2</v>
      </c>
    </row>
    <row r="2505" spans="1:7" x14ac:dyDescent="0.35">
      <c r="A2505" t="s">
        <v>135</v>
      </c>
      <c r="E2505">
        <v>-9.4655178499914311E-3</v>
      </c>
      <c r="F2505">
        <f t="shared" si="84"/>
        <v>-1.9461877328406478E-2</v>
      </c>
      <c r="G2505">
        <f t="shared" si="85"/>
        <v>-3.3626734317238859E-2</v>
      </c>
    </row>
    <row r="2506" spans="1:7" x14ac:dyDescent="0.35">
      <c r="A2506" t="s">
        <v>135</v>
      </c>
      <c r="E2506">
        <v>1.3963460834460787E-2</v>
      </c>
      <c r="F2506">
        <f t="shared" si="84"/>
        <v>-1.9469397448009271E-2</v>
      </c>
      <c r="G2506">
        <f t="shared" si="85"/>
        <v>-3.3626734317238859E-2</v>
      </c>
    </row>
    <row r="2507" spans="1:7" x14ac:dyDescent="0.35">
      <c r="A2507" t="s">
        <v>135</v>
      </c>
      <c r="E2507">
        <v>-2.777548711624727E-2</v>
      </c>
      <c r="F2507">
        <f t="shared" si="84"/>
        <v>-1.9476917567612065E-2</v>
      </c>
      <c r="G2507">
        <f t="shared" si="85"/>
        <v>-3.3626734317238859E-2</v>
      </c>
    </row>
    <row r="2508" spans="1:7" x14ac:dyDescent="0.35">
      <c r="A2508" t="s">
        <v>135</v>
      </c>
      <c r="E2508">
        <v>8.9655258217934269E-3</v>
      </c>
      <c r="F2508">
        <f t="shared" si="84"/>
        <v>-1.9220346135605939E-2</v>
      </c>
      <c r="G2508">
        <f t="shared" si="85"/>
        <v>-3.3498254157456477E-2</v>
      </c>
    </row>
    <row r="2509" spans="1:7" x14ac:dyDescent="0.35">
      <c r="A2509" t="s">
        <v>135</v>
      </c>
      <c r="E2509">
        <v>1.5981290821189271E-3</v>
      </c>
      <c r="F2509">
        <f t="shared" si="84"/>
        <v>-1.9237340351838154E-2</v>
      </c>
      <c r="G2509">
        <f t="shared" si="85"/>
        <v>-3.3498254157456477E-2</v>
      </c>
    </row>
    <row r="2510" spans="1:7" x14ac:dyDescent="0.35">
      <c r="A2510" t="s">
        <v>135</v>
      </c>
      <c r="E2510">
        <v>-1.417872589417672E-2</v>
      </c>
      <c r="F2510">
        <f t="shared" si="84"/>
        <v>-1.9254334568070366E-2</v>
      </c>
      <c r="G2510">
        <f t="shared" si="85"/>
        <v>-3.3498254157456477E-2</v>
      </c>
    </row>
    <row r="2511" spans="1:7" x14ac:dyDescent="0.35">
      <c r="A2511" t="s">
        <v>135</v>
      </c>
      <c r="E2511">
        <v>-1.3401585245708472E-2</v>
      </c>
      <c r="F2511">
        <f t="shared" si="84"/>
        <v>-1.9271328784302582E-2</v>
      </c>
      <c r="G2511">
        <f t="shared" si="85"/>
        <v>-3.3498254157456477E-2</v>
      </c>
    </row>
    <row r="2512" spans="1:7" x14ac:dyDescent="0.35">
      <c r="A2512" t="s">
        <v>136</v>
      </c>
      <c r="B2512" s="3" cm="1">
        <f t="array" ref="B2512">_xlfn.STDEV.S(_xlfn._xlws.FILTER($E$2013:$E$3011, $A$2013:$A$3011="2020-02"))</f>
        <v>1.6710383986576548E-2</v>
      </c>
      <c r="C2512" s="3" cm="1">
        <f t="array" ref="C2512">AVERAGE(_xlfn._xlws.FILTER($E$2013:$E$3011, $A$2013:$A$3011="2020-02"))</f>
        <v>-4.3917162472947597E-3</v>
      </c>
      <c r="D2512" s="3" cm="1">
        <f t="array" ref="D2512">_xlfn.PERCENTILE.EXC(_xlfn._xlws.FILTER($E$2490:$E$3818, $A$2490:$A$3818="2020-02"), 0.05)</f>
        <v>-4.0814792398573115E-2</v>
      </c>
      <c r="E2512">
        <v>4.8580117334418565E-3</v>
      </c>
      <c r="F2512">
        <f t="shared" si="84"/>
        <v>-1.9288323000534794E-2</v>
      </c>
      <c r="G2512">
        <f t="shared" si="85"/>
        <v>-3.3498254157456477E-2</v>
      </c>
    </row>
    <row r="2513" spans="1:7" x14ac:dyDescent="0.35">
      <c r="A2513" t="s">
        <v>136</v>
      </c>
      <c r="E2513">
        <v>1.7970676111722005E-2</v>
      </c>
      <c r="F2513">
        <f t="shared" si="84"/>
        <v>-1.9305317216767006E-2</v>
      </c>
      <c r="G2513">
        <f t="shared" si="85"/>
        <v>-3.3498254157456477E-2</v>
      </c>
    </row>
    <row r="2514" spans="1:7" x14ac:dyDescent="0.35">
      <c r="A2514" t="s">
        <v>136</v>
      </c>
      <c r="E2514">
        <v>1.4693051007380815E-2</v>
      </c>
      <c r="F2514">
        <f t="shared" si="84"/>
        <v>-1.9322311432999222E-2</v>
      </c>
      <c r="G2514">
        <f t="shared" si="85"/>
        <v>-3.3498254157456477E-2</v>
      </c>
    </row>
    <row r="2515" spans="1:7" x14ac:dyDescent="0.35">
      <c r="A2515" t="s">
        <v>136</v>
      </c>
      <c r="E2515">
        <v>7.1333954944338843E-3</v>
      </c>
      <c r="F2515">
        <f t="shared" si="84"/>
        <v>-1.9339305649231434E-2</v>
      </c>
      <c r="G2515">
        <f t="shared" si="85"/>
        <v>-3.3498254157456477E-2</v>
      </c>
    </row>
    <row r="2516" spans="1:7" x14ac:dyDescent="0.35">
      <c r="A2516" t="s">
        <v>136</v>
      </c>
      <c r="E2516">
        <v>-4.5044805262916369E-3</v>
      </c>
      <c r="F2516">
        <f t="shared" si="84"/>
        <v>-1.9356299865463646E-2</v>
      </c>
      <c r="G2516">
        <f t="shared" si="85"/>
        <v>-3.3498254157456477E-2</v>
      </c>
    </row>
    <row r="2517" spans="1:7" x14ac:dyDescent="0.35">
      <c r="A2517" t="s">
        <v>136</v>
      </c>
      <c r="E2517">
        <v>-1.4647601242109677E-3</v>
      </c>
      <c r="F2517">
        <f t="shared" si="84"/>
        <v>-1.9373294081695858E-2</v>
      </c>
      <c r="G2517">
        <f t="shared" si="85"/>
        <v>-3.3498254157456477E-2</v>
      </c>
    </row>
    <row r="2518" spans="1:7" x14ac:dyDescent="0.35">
      <c r="A2518" t="s">
        <v>136</v>
      </c>
      <c r="E2518">
        <v>9.8673937825272152E-3</v>
      </c>
      <c r="F2518">
        <f t="shared" si="84"/>
        <v>-1.939028829792807E-2</v>
      </c>
      <c r="G2518">
        <f t="shared" si="85"/>
        <v>-3.3498254157456477E-2</v>
      </c>
    </row>
    <row r="2519" spans="1:7" x14ac:dyDescent="0.35">
      <c r="A2519" t="s">
        <v>136</v>
      </c>
      <c r="E2519">
        <v>8.9080647889738396E-3</v>
      </c>
      <c r="F2519">
        <f t="shared" si="84"/>
        <v>-1.9407282514160289E-2</v>
      </c>
      <c r="G2519">
        <f t="shared" si="85"/>
        <v>-3.3498254157456477E-2</v>
      </c>
    </row>
    <row r="2520" spans="1:7" x14ac:dyDescent="0.35">
      <c r="A2520" t="s">
        <v>136</v>
      </c>
      <c r="E2520">
        <v>-3.164187533969426E-4</v>
      </c>
      <c r="F2520">
        <f t="shared" si="84"/>
        <v>-1.9424276730392501E-2</v>
      </c>
      <c r="G2520">
        <f t="shared" si="85"/>
        <v>-3.3498254157456477E-2</v>
      </c>
    </row>
    <row r="2521" spans="1:7" x14ac:dyDescent="0.35">
      <c r="A2521" t="s">
        <v>136</v>
      </c>
      <c r="E2521">
        <v>-8.8760711366347065E-5</v>
      </c>
      <c r="F2521">
        <f t="shared" si="84"/>
        <v>-1.9431796849995294E-2</v>
      </c>
      <c r="G2521">
        <f t="shared" si="85"/>
        <v>-3.3718160054754358E-2</v>
      </c>
    </row>
    <row r="2522" spans="1:7" x14ac:dyDescent="0.35">
      <c r="A2522" t="s">
        <v>136</v>
      </c>
      <c r="E2522">
        <v>2.8828744069940094E-3</v>
      </c>
      <c r="F2522">
        <f t="shared" si="84"/>
        <v>-1.9439316969598091E-2</v>
      </c>
      <c r="G2522">
        <f t="shared" si="85"/>
        <v>-3.3718160054754358E-2</v>
      </c>
    </row>
    <row r="2523" spans="1:7" x14ac:dyDescent="0.35">
      <c r="A2523" t="s">
        <v>136</v>
      </c>
      <c r="E2523">
        <v>-7.4786222115748747E-3</v>
      </c>
      <c r="F2523">
        <f t="shared" si="84"/>
        <v>-1.9446837089200884E-2</v>
      </c>
      <c r="G2523">
        <f t="shared" si="85"/>
        <v>-3.3718160054754358E-2</v>
      </c>
    </row>
    <row r="2524" spans="1:7" x14ac:dyDescent="0.35">
      <c r="A2524" t="s">
        <v>136</v>
      </c>
      <c r="E2524">
        <v>7.8492761443692775E-3</v>
      </c>
      <c r="F2524">
        <f t="shared" si="84"/>
        <v>-1.9454357208803681E-2</v>
      </c>
      <c r="G2524">
        <f t="shared" si="85"/>
        <v>-3.3718160054754358E-2</v>
      </c>
    </row>
    <row r="2525" spans="1:7" x14ac:dyDescent="0.35">
      <c r="A2525" t="s">
        <v>136</v>
      </c>
      <c r="E2525">
        <v>-9.1065358133900435E-3</v>
      </c>
      <c r="F2525">
        <f t="shared" si="84"/>
        <v>-1.9461877328406478E-2</v>
      </c>
      <c r="G2525">
        <f t="shared" si="85"/>
        <v>-3.3718160054754358E-2</v>
      </c>
    </row>
    <row r="2526" spans="1:7" x14ac:dyDescent="0.35">
      <c r="A2526" t="s">
        <v>136</v>
      </c>
      <c r="E2526">
        <v>-6.2158533934641175E-3</v>
      </c>
      <c r="F2526">
        <f t="shared" si="84"/>
        <v>-1.9469397448009271E-2</v>
      </c>
      <c r="G2526">
        <f t="shared" si="85"/>
        <v>-3.3718160054754358E-2</v>
      </c>
    </row>
    <row r="2527" spans="1:7" x14ac:dyDescent="0.35">
      <c r="A2527" t="s">
        <v>136</v>
      </c>
      <c r="E2527">
        <v>-4.0892324469004052E-2</v>
      </c>
      <c r="F2527">
        <f t="shared" si="84"/>
        <v>-1.9476917567612065E-2</v>
      </c>
      <c r="G2527">
        <f t="shared" si="85"/>
        <v>-3.3718160054754358E-2</v>
      </c>
    </row>
    <row r="2528" spans="1:7" x14ac:dyDescent="0.35">
      <c r="A2528" t="s">
        <v>136</v>
      </c>
      <c r="E2528">
        <v>-1.8954533146239318E-2</v>
      </c>
      <c r="F2528">
        <f t="shared" si="84"/>
        <v>-1.9220346135605939E-2</v>
      </c>
      <c r="G2528">
        <f t="shared" si="85"/>
        <v>-3.3382721808838563E-2</v>
      </c>
    </row>
    <row r="2529" spans="1:7" x14ac:dyDescent="0.35">
      <c r="A2529" t="s">
        <v>136</v>
      </c>
      <c r="E2529">
        <v>-1.2211833382359282E-3</v>
      </c>
      <c r="F2529">
        <f t="shared" si="84"/>
        <v>-1.9237340351838154E-2</v>
      </c>
      <c r="G2529">
        <f t="shared" si="85"/>
        <v>-3.3382721808838563E-2</v>
      </c>
    </row>
    <row r="2530" spans="1:7" x14ac:dyDescent="0.35">
      <c r="A2530" t="s">
        <v>136</v>
      </c>
      <c r="E2530">
        <v>-3.2411912868178502E-2</v>
      </c>
      <c r="F2530">
        <f t="shared" si="84"/>
        <v>-1.9254334568070366E-2</v>
      </c>
      <c r="G2530">
        <f t="shared" si="85"/>
        <v>-3.3382721808838563E-2</v>
      </c>
    </row>
    <row r="2531" spans="1:7" x14ac:dyDescent="0.35">
      <c r="A2531" t="s">
        <v>136</v>
      </c>
      <c r="E2531">
        <v>-3.9341683060385366E-2</v>
      </c>
      <c r="F2531">
        <f t="shared" si="84"/>
        <v>-1.9037666200796086E-2</v>
      </c>
      <c r="G2531">
        <f t="shared" si="85"/>
        <v>-3.3174479301613082E-2</v>
      </c>
    </row>
    <row r="2532" spans="1:7" x14ac:dyDescent="0.35">
      <c r="A2532" t="s">
        <v>137</v>
      </c>
      <c r="B2532" s="3" cm="1">
        <f t="array" ref="B2532">_xlfn.STDEV.S(_xlfn._xlws.FILTER($E$2013:$E$3011, $A$2013:$A$3011="2020-03"))</f>
        <v>4.7063252830414744E-2</v>
      </c>
      <c r="C2532" s="3" cm="1">
        <f t="array" ref="C2532">AVERAGE(_xlfn._xlws.FILTER($E$2013:$E$3011, $A$2013:$A$3011="2020-03"))</f>
        <v>-8.1626693076736843E-3</v>
      </c>
      <c r="D2532" s="3" cm="1">
        <f t="array" ref="D2532">_xlfn.PERCENTILE.EXC(_xlfn._xlws.FILTER($E$2490:$E$3818, $A$2490:$A$3818="2020-03"), 0.05)</f>
        <v>-0.12338176791038678</v>
      </c>
      <c r="E2532">
        <v>-2.7353646085366947E-3</v>
      </c>
      <c r="F2532">
        <f t="shared" si="84"/>
        <v>-1.8878984362206096E-2</v>
      </c>
      <c r="G2532">
        <f t="shared" si="85"/>
        <v>-3.2856336697462428E-2</v>
      </c>
    </row>
    <row r="2533" spans="1:7" x14ac:dyDescent="0.35">
      <c r="A2533" t="s">
        <v>137</v>
      </c>
      <c r="E2533">
        <v>1.0696625870585947E-2</v>
      </c>
      <c r="F2533">
        <f t="shared" si="84"/>
        <v>-1.8891680866273266E-2</v>
      </c>
      <c r="G2533">
        <f t="shared" si="85"/>
        <v>-3.2856336697462428E-2</v>
      </c>
    </row>
    <row r="2534" spans="1:7" x14ac:dyDescent="0.35">
      <c r="A2534" t="s">
        <v>137</v>
      </c>
      <c r="E2534">
        <v>1.1802859854563951E-2</v>
      </c>
      <c r="F2534">
        <f t="shared" si="84"/>
        <v>-1.8904377370340439E-2</v>
      </c>
      <c r="G2534">
        <f t="shared" si="85"/>
        <v>-3.2856336697462428E-2</v>
      </c>
    </row>
    <row r="2535" spans="1:7" x14ac:dyDescent="0.35">
      <c r="A2535" t="s">
        <v>137</v>
      </c>
      <c r="E2535">
        <v>-1.5201928154483246E-2</v>
      </c>
      <c r="F2535">
        <f t="shared" si="84"/>
        <v>-1.8917073874407608E-2</v>
      </c>
      <c r="G2535">
        <f t="shared" si="85"/>
        <v>-3.2856336697462428E-2</v>
      </c>
    </row>
    <row r="2536" spans="1:7" x14ac:dyDescent="0.35">
      <c r="A2536" t="s">
        <v>137</v>
      </c>
      <c r="E2536">
        <v>-3.4308046720107413E-2</v>
      </c>
      <c r="F2536">
        <f t="shared" si="84"/>
        <v>-1.8929770378474778E-2</v>
      </c>
      <c r="G2536">
        <f t="shared" si="85"/>
        <v>-3.2856336697462428E-2</v>
      </c>
    </row>
    <row r="2537" spans="1:7" x14ac:dyDescent="0.35">
      <c r="A2537" t="s">
        <v>137</v>
      </c>
      <c r="E2537">
        <v>-8.2769695851079392E-2</v>
      </c>
      <c r="F2537">
        <f t="shared" si="84"/>
        <v>-1.8712722240925257E-2</v>
      </c>
      <c r="G2537">
        <f t="shared" si="85"/>
        <v>-3.2612877003607627E-2</v>
      </c>
    </row>
    <row r="2538" spans="1:7" x14ac:dyDescent="0.35">
      <c r="A2538" t="s">
        <v>137</v>
      </c>
      <c r="E2538">
        <v>-1.4173354404547818E-2</v>
      </c>
      <c r="F2538">
        <f t="shared" si="84"/>
        <v>-1.8632501004520251E-2</v>
      </c>
      <c r="G2538">
        <f t="shared" si="85"/>
        <v>-3.1610755701198597E-2</v>
      </c>
    </row>
    <row r="2539" spans="1:7" x14ac:dyDescent="0.35">
      <c r="A2539" t="s">
        <v>137</v>
      </c>
      <c r="E2539">
        <v>-3.5201050780224847E-3</v>
      </c>
      <c r="F2539">
        <f t="shared" si="84"/>
        <v>-1.8633216750710849E-2</v>
      </c>
      <c r="G2539">
        <f t="shared" si="85"/>
        <v>-3.1610755701198597E-2</v>
      </c>
    </row>
    <row r="2540" spans="1:7" x14ac:dyDescent="0.35">
      <c r="A2540" t="s">
        <v>137</v>
      </c>
      <c r="E2540">
        <v>-0.13054860415614691</v>
      </c>
      <c r="F2540">
        <f t="shared" si="84"/>
        <v>-1.8633932496901442E-2</v>
      </c>
      <c r="G2540">
        <f t="shared" si="85"/>
        <v>-3.1610755701198597E-2</v>
      </c>
    </row>
    <row r="2541" spans="1:7" x14ac:dyDescent="0.35">
      <c r="A2541" t="s">
        <v>137</v>
      </c>
      <c r="E2541">
        <v>7.7148417165306656E-3</v>
      </c>
      <c r="F2541">
        <f t="shared" si="84"/>
        <v>-1.8620333319280129E-2</v>
      </c>
      <c r="G2541">
        <f t="shared" si="85"/>
        <v>-3.0040313662231165E-2</v>
      </c>
    </row>
    <row r="2542" spans="1:7" x14ac:dyDescent="0.35">
      <c r="A2542" t="s">
        <v>137</v>
      </c>
      <c r="E2542">
        <v>-5.4516781632317962E-2</v>
      </c>
      <c r="F2542">
        <f t="shared" si="84"/>
        <v>-1.8621049065470727E-2</v>
      </c>
      <c r="G2542">
        <f t="shared" si="85"/>
        <v>-3.0040313662231165E-2</v>
      </c>
    </row>
    <row r="2543" spans="1:7" x14ac:dyDescent="0.35">
      <c r="A2543" t="s">
        <v>137</v>
      </c>
      <c r="E2543">
        <v>2.2267319369658173E-2</v>
      </c>
      <c r="F2543">
        <f t="shared" si="84"/>
        <v>-1.8443972150867308E-2</v>
      </c>
      <c r="G2543">
        <f t="shared" si="85"/>
        <v>-2.9470517407322778E-2</v>
      </c>
    </row>
    <row r="2544" spans="1:7" x14ac:dyDescent="0.35">
      <c r="A2544" t="s">
        <v>137</v>
      </c>
      <c r="E2544">
        <v>-5.7250018255819525E-2</v>
      </c>
      <c r="F2544">
        <f t="shared" si="84"/>
        <v>-1.845430423452744E-2</v>
      </c>
      <c r="G2544">
        <f t="shared" si="85"/>
        <v>-2.9470517407322778E-2</v>
      </c>
    </row>
    <row r="2545" spans="1:7" x14ac:dyDescent="0.35">
      <c r="A2545" t="s">
        <v>137</v>
      </c>
      <c r="E2545">
        <v>1.9789364399589206E-2</v>
      </c>
      <c r="F2545">
        <f t="shared" si="84"/>
        <v>-1.8397466138961538E-2</v>
      </c>
      <c r="G2545">
        <f t="shared" si="85"/>
        <v>-2.885405641754607E-2</v>
      </c>
    </row>
    <row r="2546" spans="1:7" x14ac:dyDescent="0.35">
      <c r="A2546" t="s">
        <v>137</v>
      </c>
      <c r="E2546">
        <v>3.6324547667614435E-2</v>
      </c>
      <c r="F2546">
        <f t="shared" si="84"/>
        <v>-1.8398500123023229E-2</v>
      </c>
      <c r="G2546">
        <f t="shared" si="85"/>
        <v>-2.885405641754607E-2</v>
      </c>
    </row>
    <row r="2547" spans="1:7" x14ac:dyDescent="0.35">
      <c r="A2547" t="s">
        <v>137</v>
      </c>
      <c r="E2547">
        <v>-2.1257046829126009E-2</v>
      </c>
      <c r="F2547">
        <f t="shared" si="84"/>
        <v>-1.8399534107084919E-2</v>
      </c>
      <c r="G2547">
        <f t="shared" si="85"/>
        <v>-2.885405641754607E-2</v>
      </c>
    </row>
    <row r="2548" spans="1:7" x14ac:dyDescent="0.35">
      <c r="A2548" t="s">
        <v>137</v>
      </c>
      <c r="E2548">
        <v>0.10414288671040217</v>
      </c>
      <c r="F2548">
        <f t="shared" si="84"/>
        <v>-1.8292839391057584E-2</v>
      </c>
      <c r="G2548">
        <f t="shared" si="85"/>
        <v>-2.8808584185633802E-2</v>
      </c>
    </row>
    <row r="2549" spans="1:7" x14ac:dyDescent="0.35">
      <c r="A2549" t="s">
        <v>137</v>
      </c>
      <c r="E2549">
        <v>1.7746724600965082E-2</v>
      </c>
      <c r="F2549">
        <f t="shared" si="84"/>
        <v>-1.8301127460023874E-2</v>
      </c>
      <c r="G2549">
        <f t="shared" si="85"/>
        <v>-2.8808584185633802E-2</v>
      </c>
    </row>
    <row r="2550" spans="1:7" x14ac:dyDescent="0.35">
      <c r="A2550" t="s">
        <v>137</v>
      </c>
      <c r="E2550">
        <v>1.2749717115911175E-2</v>
      </c>
      <c r="F2550">
        <f t="shared" si="84"/>
        <v>-1.8309415528990167E-2</v>
      </c>
      <c r="G2550">
        <f t="shared" si="85"/>
        <v>-2.8808584185633802E-2</v>
      </c>
    </row>
    <row r="2551" spans="1:7" x14ac:dyDescent="0.35">
      <c r="A2551" t="s">
        <v>137</v>
      </c>
      <c r="E2551">
        <v>-3.7536214566141812E-2</v>
      </c>
      <c r="F2551">
        <f t="shared" si="84"/>
        <v>-1.8317703597956456E-2</v>
      </c>
      <c r="G2551">
        <f t="shared" si="85"/>
        <v>-2.8808584185633802E-2</v>
      </c>
    </row>
    <row r="2552" spans="1:7" x14ac:dyDescent="0.35">
      <c r="A2552" t="s">
        <v>137</v>
      </c>
      <c r="E2552">
        <v>1.8865777349022464E-2</v>
      </c>
      <c r="F2552">
        <f t="shared" si="84"/>
        <v>-1.8215670077868829E-2</v>
      </c>
      <c r="G2552">
        <f t="shared" si="85"/>
        <v>-2.8502081332827216E-2</v>
      </c>
    </row>
    <row r="2553" spans="1:7" x14ac:dyDescent="0.35">
      <c r="A2553" t="s">
        <v>137</v>
      </c>
      <c r="E2553">
        <v>1.2137770832664839E-2</v>
      </c>
      <c r="F2553">
        <f t="shared" si="84"/>
        <v>-1.8217028173051132E-2</v>
      </c>
      <c r="G2553">
        <f t="shared" si="85"/>
        <v>-2.8502081332827216E-2</v>
      </c>
    </row>
    <row r="2554" spans="1:7" x14ac:dyDescent="0.35">
      <c r="A2554" t="s">
        <v>138</v>
      </c>
      <c r="B2554" s="3" cm="1">
        <f t="array" ref="B2554">_xlfn.STDEV.S(_xlfn._xlws.FILTER($E$2013:$E$3011, $A$2013:$A$3011="2020-04"))</f>
        <v>2.6245162476554944E-2</v>
      </c>
      <c r="C2554" s="3" cm="1">
        <f t="array" ref="C2554">AVERAGE(_xlfn._xlws.FILTER($E$2013:$E$3011, $A$2013:$A$3011="2020-04"))</f>
        <v>4.4544446996974529E-3</v>
      </c>
      <c r="D2554" s="3" cm="1">
        <f t="array" ref="D2554">_xlfn.PERCENTILE.EXC(_xlfn._xlws.FILTER($E$2490:$E$3818, $A$2490:$A$3818="2020-04"), 0.05)</f>
        <v>-4.0697361539728465E-2</v>
      </c>
      <c r="E2554">
        <v>-4.015715689059967E-2</v>
      </c>
      <c r="F2554">
        <f t="shared" si="84"/>
        <v>-1.8218386268233435E-2</v>
      </c>
      <c r="G2554">
        <f t="shared" si="85"/>
        <v>-2.8502081332827216E-2</v>
      </c>
    </row>
    <row r="2555" spans="1:7" x14ac:dyDescent="0.35">
      <c r="A2555" t="s">
        <v>138</v>
      </c>
      <c r="E2555">
        <v>2.7276211133874461E-3</v>
      </c>
      <c r="F2555">
        <f t="shared" si="84"/>
        <v>-1.818683367296535E-2</v>
      </c>
      <c r="G2555">
        <f t="shared" si="85"/>
        <v>-2.815354507957454E-2</v>
      </c>
    </row>
    <row r="2556" spans="1:7" x14ac:dyDescent="0.35">
      <c r="A2556" t="s">
        <v>138</v>
      </c>
      <c r="E2556">
        <v>-4.7181285842641581E-3</v>
      </c>
      <c r="F2556">
        <f t="shared" si="84"/>
        <v>-1.8189341525508516E-2</v>
      </c>
      <c r="G2556">
        <f t="shared" si="85"/>
        <v>-2.815354507957454E-2</v>
      </c>
    </row>
    <row r="2557" spans="1:7" x14ac:dyDescent="0.35">
      <c r="A2557" t="s">
        <v>138</v>
      </c>
      <c r="E2557">
        <v>5.6073223499113617E-2</v>
      </c>
      <c r="F2557">
        <f t="shared" si="84"/>
        <v>-1.8191849378051687E-2</v>
      </c>
      <c r="G2557">
        <f t="shared" si="85"/>
        <v>-2.815354507957454E-2</v>
      </c>
    </row>
    <row r="2558" spans="1:7" x14ac:dyDescent="0.35">
      <c r="A2558" t="s">
        <v>138</v>
      </c>
      <c r="E2558">
        <v>2.7559672130927089E-2</v>
      </c>
      <c r="F2558">
        <f t="shared" si="84"/>
        <v>-1.8194357230594854E-2</v>
      </c>
      <c r="G2558">
        <f t="shared" si="85"/>
        <v>-2.815354507957454E-2</v>
      </c>
    </row>
    <row r="2559" spans="1:7" x14ac:dyDescent="0.35">
      <c r="A2559" t="s">
        <v>138</v>
      </c>
      <c r="E2559">
        <v>-2.301641599590027E-3</v>
      </c>
      <c r="F2559">
        <f t="shared" si="84"/>
        <v>-1.819686508313802E-2</v>
      </c>
      <c r="G2559">
        <f t="shared" si="85"/>
        <v>-2.815354507957454E-2</v>
      </c>
    </row>
    <row r="2560" spans="1:7" x14ac:dyDescent="0.35">
      <c r="A2560" t="s">
        <v>138</v>
      </c>
      <c r="E2560">
        <v>2.2190029534471939E-2</v>
      </c>
      <c r="F2560">
        <f t="shared" si="84"/>
        <v>-1.8199372935681191E-2</v>
      </c>
      <c r="G2560">
        <f t="shared" si="85"/>
        <v>-2.815354507957454E-2</v>
      </c>
    </row>
    <row r="2561" spans="1:7" x14ac:dyDescent="0.35">
      <c r="A2561" t="s">
        <v>138</v>
      </c>
      <c r="E2561">
        <v>1.2400153244723468E-2</v>
      </c>
      <c r="F2561">
        <f t="shared" si="84"/>
        <v>-1.8200731030863494E-2</v>
      </c>
      <c r="G2561">
        <f t="shared" si="85"/>
        <v>-2.8314096243185725E-2</v>
      </c>
    </row>
    <row r="2562" spans="1:7" x14ac:dyDescent="0.35">
      <c r="A2562" t="s">
        <v>138</v>
      </c>
      <c r="E2562">
        <v>-3.9745280999067836E-2</v>
      </c>
      <c r="F2562">
        <f t="shared" si="84"/>
        <v>-1.8202089126045796E-2</v>
      </c>
      <c r="G2562">
        <f t="shared" si="85"/>
        <v>-2.8314096243185725E-2</v>
      </c>
    </row>
    <row r="2563" spans="1:7" x14ac:dyDescent="0.35">
      <c r="A2563" t="s">
        <v>138</v>
      </c>
      <c r="E2563">
        <v>2.1164851715208001E-3</v>
      </c>
      <c r="F2563">
        <f t="shared" si="84"/>
        <v>-1.8156739442447327E-2</v>
      </c>
      <c r="G2563">
        <f t="shared" si="85"/>
        <v>-2.7966581597002067E-2</v>
      </c>
    </row>
    <row r="2564" spans="1:7" x14ac:dyDescent="0.35">
      <c r="A2564" t="s">
        <v>138</v>
      </c>
      <c r="E2564">
        <v>3.0989725258166095E-2</v>
      </c>
      <c r="F2564">
        <f t="shared" ref="F2564:F2627" si="86">_xlfn.PERCENTILE.EXC(E2564:E6379,0.05)</f>
        <v>-1.8159247294990497E-2</v>
      </c>
      <c r="G2564">
        <f t="shared" ref="G2564:G2627" si="87">AVERAGEIFS(E2564:E6380,E2564:E6380,"&lt;=" &amp; F2564)</f>
        <v>-2.7966581597002067E-2</v>
      </c>
    </row>
    <row r="2565" spans="1:7" x14ac:dyDescent="0.35">
      <c r="A2565" t="s">
        <v>138</v>
      </c>
      <c r="E2565">
        <v>4.7057408136876528E-3</v>
      </c>
      <c r="F2565">
        <f t="shared" si="86"/>
        <v>-1.8161755147533664E-2</v>
      </c>
      <c r="G2565">
        <f t="shared" si="87"/>
        <v>-2.7966581597002067E-2</v>
      </c>
    </row>
    <row r="2566" spans="1:7" x14ac:dyDescent="0.35">
      <c r="A2566" t="s">
        <v>138</v>
      </c>
      <c r="E2566">
        <v>-4.0725793363366819E-2</v>
      </c>
      <c r="F2566">
        <f t="shared" si="86"/>
        <v>-1.8164263000076834E-2</v>
      </c>
      <c r="G2566">
        <f t="shared" si="87"/>
        <v>-2.7966581597002067E-2</v>
      </c>
    </row>
    <row r="2567" spans="1:7" x14ac:dyDescent="0.35">
      <c r="A2567" t="s">
        <v>138</v>
      </c>
      <c r="E2567">
        <v>1.59868838386651E-2</v>
      </c>
      <c r="F2567">
        <f t="shared" si="86"/>
        <v>-1.8012866136447127E-2</v>
      </c>
      <c r="G2567">
        <f t="shared" si="87"/>
        <v>-2.7602443250573858E-2</v>
      </c>
    </row>
    <row r="2568" spans="1:7" x14ac:dyDescent="0.35">
      <c r="A2568" t="s">
        <v>138</v>
      </c>
      <c r="E2568">
        <v>9.4377736592839625E-3</v>
      </c>
      <c r="F2568">
        <f t="shared" si="86"/>
        <v>-1.802335457862949E-2</v>
      </c>
      <c r="G2568">
        <f t="shared" si="87"/>
        <v>-2.7602443250573858E-2</v>
      </c>
    </row>
    <row r="2569" spans="1:7" x14ac:dyDescent="0.35">
      <c r="A2569" t="s">
        <v>138</v>
      </c>
      <c r="E2569">
        <v>-1.7046074396267291E-2</v>
      </c>
      <c r="F2569">
        <f t="shared" si="86"/>
        <v>-1.803384302081185E-2</v>
      </c>
      <c r="G2569">
        <f t="shared" si="87"/>
        <v>-2.7602443250573858E-2</v>
      </c>
    </row>
    <row r="2570" spans="1:7" x14ac:dyDescent="0.35">
      <c r="A2570" t="s">
        <v>138</v>
      </c>
      <c r="E2570">
        <v>3.0855826218277326E-2</v>
      </c>
      <c r="F2570">
        <f t="shared" si="86"/>
        <v>-1.8044331462994209E-2</v>
      </c>
      <c r="G2570">
        <f t="shared" si="87"/>
        <v>-2.7602443250573858E-2</v>
      </c>
    </row>
    <row r="2571" spans="1:7" x14ac:dyDescent="0.35">
      <c r="A2571" t="s">
        <v>138</v>
      </c>
      <c r="E2571">
        <v>1.2643941964931869E-2</v>
      </c>
      <c r="F2571">
        <f t="shared" si="86"/>
        <v>-1.8054819905176572E-2</v>
      </c>
      <c r="G2571">
        <f t="shared" si="87"/>
        <v>-2.7602443250573858E-2</v>
      </c>
    </row>
    <row r="2572" spans="1:7" x14ac:dyDescent="0.35">
      <c r="A2572" t="s">
        <v>138</v>
      </c>
      <c r="E2572">
        <v>2.8500740000894038E-2</v>
      </c>
      <c r="F2572">
        <f t="shared" si="86"/>
        <v>-1.8065308347358932E-2</v>
      </c>
      <c r="G2572">
        <f t="shared" si="87"/>
        <v>-2.7602443250573858E-2</v>
      </c>
    </row>
    <row r="2573" spans="1:7" x14ac:dyDescent="0.35">
      <c r="A2573" t="s">
        <v>138</v>
      </c>
      <c r="E2573">
        <v>-2.2404846620945568E-2</v>
      </c>
      <c r="F2573">
        <f t="shared" si="86"/>
        <v>-1.8075796789541295E-2</v>
      </c>
      <c r="G2573">
        <f t="shared" si="87"/>
        <v>-2.7602443250573858E-2</v>
      </c>
    </row>
    <row r="2574" spans="1:7" x14ac:dyDescent="0.35">
      <c r="A2574" t="s">
        <v>139</v>
      </c>
      <c r="B2574" s="3" cm="1">
        <f t="array" ref="B2574">_xlfn.STDEV.S(_xlfn._xlws.FILTER($E$2013:$E$3011, $A$2013:$A$3011="2020-05"))</f>
        <v>2.2732341946980043E-2</v>
      </c>
      <c r="C2574" s="3" cm="1">
        <f t="array" ref="C2574">AVERAGE(_xlfn._xlws.FILTER($E$2013:$E$3011, $A$2013:$A$3011="2020-05"))</f>
        <v>3.5907510218265515E-3</v>
      </c>
      <c r="D2574" s="3" cm="1">
        <f t="array" ref="D2574">_xlfn.PERCENTILE.INC(_xlfn._xlws.FILTER($E$2490:$E$3818, $A$2490:$A$3818="2020-05"), 0.05)</f>
        <v>-2.7586497620954626E-2</v>
      </c>
      <c r="E2574">
        <v>-3.7028972977372239E-2</v>
      </c>
      <c r="F2574">
        <f t="shared" si="86"/>
        <v>-1.7928616980909293E-2</v>
      </c>
      <c r="G2574">
        <f t="shared" si="87"/>
        <v>-2.7530420676706521E-2</v>
      </c>
    </row>
    <row r="2575" spans="1:7" x14ac:dyDescent="0.35">
      <c r="A2575" t="s">
        <v>139</v>
      </c>
      <c r="E2575">
        <v>2.4784886169482025E-2</v>
      </c>
      <c r="F2575">
        <f t="shared" si="86"/>
        <v>-1.7873479778154958E-2</v>
      </c>
      <c r="G2575">
        <f t="shared" si="87"/>
        <v>-2.7221942835785991E-2</v>
      </c>
    </row>
    <row r="2576" spans="1:7" x14ac:dyDescent="0.35">
      <c r="A2576" t="s">
        <v>139</v>
      </c>
      <c r="E2576">
        <v>-1.155449340018919E-2</v>
      </c>
      <c r="F2576">
        <f t="shared" si="86"/>
        <v>-1.7879453190583882E-2</v>
      </c>
      <c r="G2576">
        <f t="shared" si="87"/>
        <v>-2.7221942835785991E-2</v>
      </c>
    </row>
    <row r="2577" spans="1:7" x14ac:dyDescent="0.35">
      <c r="A2577" t="s">
        <v>139</v>
      </c>
      <c r="E2577">
        <v>1.4328972778212797E-2</v>
      </c>
      <c r="F2577">
        <f t="shared" si="86"/>
        <v>-1.7885426603012806E-2</v>
      </c>
      <c r="G2577">
        <f t="shared" si="87"/>
        <v>-2.7221942835785991E-2</v>
      </c>
    </row>
    <row r="2578" spans="1:7" x14ac:dyDescent="0.35">
      <c r="A2578" t="s">
        <v>139</v>
      </c>
      <c r="E2578">
        <v>6.0896415346298055E-3</v>
      </c>
      <c r="F2578">
        <f t="shared" si="86"/>
        <v>-1.7891400015441726E-2</v>
      </c>
      <c r="G2578">
        <f t="shared" si="87"/>
        <v>-2.7221942835785991E-2</v>
      </c>
    </row>
    <row r="2579" spans="1:7" x14ac:dyDescent="0.35">
      <c r="A2579" t="s">
        <v>139</v>
      </c>
      <c r="E2579">
        <v>-5.0728847089804804E-4</v>
      </c>
      <c r="F2579">
        <f t="shared" si="86"/>
        <v>-1.789737342787065E-2</v>
      </c>
      <c r="G2579">
        <f t="shared" si="87"/>
        <v>-2.7221942835785991E-2</v>
      </c>
    </row>
    <row r="2580" spans="1:7" x14ac:dyDescent="0.35">
      <c r="A2580" t="s">
        <v>139</v>
      </c>
      <c r="E2580">
        <v>-2.5920178440410342E-2</v>
      </c>
      <c r="F2580">
        <f t="shared" si="86"/>
        <v>-1.7903346840299574E-2</v>
      </c>
      <c r="G2580">
        <f t="shared" si="87"/>
        <v>-2.7221942835785991E-2</v>
      </c>
    </row>
    <row r="2581" spans="1:7" x14ac:dyDescent="0.35">
      <c r="A2581" t="s">
        <v>139</v>
      </c>
      <c r="E2581">
        <v>-1.9698256807483681E-2</v>
      </c>
      <c r="F2581">
        <f t="shared" si="86"/>
        <v>-1.778985200415004E-2</v>
      </c>
      <c r="G2581">
        <f t="shared" si="87"/>
        <v>-2.7243283235710184E-2</v>
      </c>
    </row>
    <row r="2582" spans="1:7" x14ac:dyDescent="0.35">
      <c r="A2582" t="s">
        <v>139</v>
      </c>
      <c r="E2582">
        <v>1.2320974009154828E-2</v>
      </c>
      <c r="F2582">
        <f t="shared" si="86"/>
        <v>-1.7695174616495148E-2</v>
      </c>
      <c r="G2582">
        <f t="shared" si="87"/>
        <v>-2.7211899986271451E-2</v>
      </c>
    </row>
    <row r="2583" spans="1:7" x14ac:dyDescent="0.35">
      <c r="A2583" t="s">
        <v>139</v>
      </c>
      <c r="E2583">
        <v>5.5180220501603067E-2</v>
      </c>
      <c r="F2583">
        <f t="shared" si="86"/>
        <v>-1.7700102615118812E-2</v>
      </c>
      <c r="G2583">
        <f t="shared" si="87"/>
        <v>-2.7211899986271451E-2</v>
      </c>
    </row>
    <row r="2584" spans="1:7" x14ac:dyDescent="0.35">
      <c r="A2584" t="s">
        <v>139</v>
      </c>
      <c r="E2584">
        <v>1.4836797973919443E-3</v>
      </c>
      <c r="F2584">
        <f t="shared" si="86"/>
        <v>-1.7705030613742477E-2</v>
      </c>
      <c r="G2584">
        <f t="shared" si="87"/>
        <v>-2.7211899986271451E-2</v>
      </c>
    </row>
    <row r="2585" spans="1:7" x14ac:dyDescent="0.35">
      <c r="A2585" t="s">
        <v>139</v>
      </c>
      <c r="E2585">
        <v>1.3312004285319749E-2</v>
      </c>
      <c r="F2585">
        <f t="shared" si="86"/>
        <v>-1.7709958612366142E-2</v>
      </c>
      <c r="G2585">
        <f t="shared" si="87"/>
        <v>-2.7211899986271451E-2</v>
      </c>
    </row>
    <row r="2586" spans="1:7" x14ac:dyDescent="0.35">
      <c r="A2586" t="s">
        <v>139</v>
      </c>
      <c r="E2586">
        <v>-1.4157486201634697E-2</v>
      </c>
      <c r="F2586">
        <f t="shared" si="86"/>
        <v>-1.7714886610989806E-2</v>
      </c>
      <c r="G2586">
        <f t="shared" si="87"/>
        <v>-2.7211899986271451E-2</v>
      </c>
    </row>
    <row r="2587" spans="1:7" x14ac:dyDescent="0.35">
      <c r="A2587" t="s">
        <v>139</v>
      </c>
      <c r="E2587">
        <v>7.1726034927164573E-4</v>
      </c>
      <c r="F2587">
        <f t="shared" si="86"/>
        <v>-1.7719814609613471E-2</v>
      </c>
      <c r="G2587">
        <f t="shared" si="87"/>
        <v>-2.7211899986271451E-2</v>
      </c>
    </row>
    <row r="2588" spans="1:7" x14ac:dyDescent="0.35">
      <c r="A2588" t="s">
        <v>139</v>
      </c>
      <c r="E2588">
        <v>3.8163022345826463E-2</v>
      </c>
      <c r="F2588">
        <f t="shared" si="86"/>
        <v>-1.7724742608237136E-2</v>
      </c>
      <c r="G2588">
        <f t="shared" si="87"/>
        <v>-2.7211899986271451E-2</v>
      </c>
    </row>
    <row r="2589" spans="1:7" x14ac:dyDescent="0.35">
      <c r="A2589" t="s">
        <v>139</v>
      </c>
      <c r="E2589">
        <v>1.3214746619046423E-2</v>
      </c>
      <c r="F2589">
        <f t="shared" si="86"/>
        <v>-1.7729670606860801E-2</v>
      </c>
      <c r="G2589">
        <f t="shared" si="87"/>
        <v>-2.7211899986271451E-2</v>
      </c>
    </row>
    <row r="2590" spans="1:7" x14ac:dyDescent="0.35">
      <c r="A2590" t="s">
        <v>139</v>
      </c>
      <c r="E2590">
        <v>1.0533050832231831E-2</v>
      </c>
      <c r="F2590">
        <f t="shared" si="86"/>
        <v>-1.7734598605484465E-2</v>
      </c>
      <c r="G2590">
        <f t="shared" si="87"/>
        <v>-2.7211899986271451E-2</v>
      </c>
    </row>
    <row r="2591" spans="1:7" x14ac:dyDescent="0.35">
      <c r="A2591" t="s">
        <v>139</v>
      </c>
      <c r="E2591">
        <v>-1.6628264531304445E-2</v>
      </c>
      <c r="F2591">
        <f t="shared" si="86"/>
        <v>-1.773952660410813E-2</v>
      </c>
      <c r="G2591">
        <f t="shared" si="87"/>
        <v>-2.7211899986271451E-2</v>
      </c>
    </row>
    <row r="2592" spans="1:7" x14ac:dyDescent="0.35">
      <c r="A2592" t="s">
        <v>140</v>
      </c>
      <c r="B2592" s="3" cm="1">
        <f t="array" ref="B2592">_xlfn.STDEV.S(_xlfn._xlws.FILTER($E$2013:$E$3011, $A$2013:$A$3011="2020-06"))</f>
        <v>2.1613667219448358E-2</v>
      </c>
      <c r="C2592" s="3" cm="1">
        <f t="array" ref="C2592">AVERAGE(_xlfn._xlws.FILTER($E$2013:$E$3011, $A$2013:$A$3011="2020-06"))</f>
        <v>2.88650720422404E-3</v>
      </c>
      <c r="D2592" s="3" cm="1">
        <f t="array" ref="D2592">_xlfn.PERCENTILE.EXC(_xlfn._xlws.FILTER($E$2490:$E$3818, $A$2490:$A$3818="2020-06"), 0.05)</f>
        <v>-4.4632026439250107E-2</v>
      </c>
      <c r="E2592">
        <v>3.680757823347014E-2</v>
      </c>
      <c r="F2592">
        <f t="shared" si="86"/>
        <v>-1.7744454602731795E-2</v>
      </c>
      <c r="G2592">
        <f t="shared" si="87"/>
        <v>-2.7211899986271451E-2</v>
      </c>
    </row>
    <row r="2593" spans="1:7" x14ac:dyDescent="0.35">
      <c r="A2593" t="s">
        <v>140</v>
      </c>
      <c r="E2593">
        <v>3.803852007843158E-2</v>
      </c>
      <c r="F2593">
        <f t="shared" si="86"/>
        <v>-1.7749382601355463E-2</v>
      </c>
      <c r="G2593">
        <f t="shared" si="87"/>
        <v>-2.7211899986271451E-2</v>
      </c>
    </row>
    <row r="2594" spans="1:7" x14ac:dyDescent="0.35">
      <c r="A2594" t="s">
        <v>140</v>
      </c>
      <c r="E2594">
        <v>-4.5589758999791535E-3</v>
      </c>
      <c r="F2594">
        <f t="shared" si="86"/>
        <v>-1.7754310599979128E-2</v>
      </c>
      <c r="G2594">
        <f t="shared" si="87"/>
        <v>-2.7211899986271451E-2</v>
      </c>
    </row>
    <row r="2595" spans="1:7" x14ac:dyDescent="0.35">
      <c r="A2595" t="s">
        <v>140</v>
      </c>
      <c r="E2595">
        <v>3.3005293493346806E-2</v>
      </c>
      <c r="F2595">
        <f t="shared" si="86"/>
        <v>-1.7759238598602792E-2</v>
      </c>
      <c r="G2595">
        <f t="shared" si="87"/>
        <v>-2.7211899986271451E-2</v>
      </c>
    </row>
    <row r="2596" spans="1:7" x14ac:dyDescent="0.35">
      <c r="A2596" t="s">
        <v>140</v>
      </c>
      <c r="E2596">
        <v>-2.1887805921214981E-3</v>
      </c>
      <c r="F2596">
        <f t="shared" si="86"/>
        <v>-1.7764166597226457E-2</v>
      </c>
      <c r="G2596">
        <f t="shared" si="87"/>
        <v>-2.7211899986271451E-2</v>
      </c>
    </row>
    <row r="2597" spans="1:7" x14ac:dyDescent="0.35">
      <c r="A2597" t="s">
        <v>140</v>
      </c>
      <c r="E2597">
        <v>-1.5850896272181333E-2</v>
      </c>
      <c r="F2597">
        <f t="shared" si="86"/>
        <v>-1.7769094595850122E-2</v>
      </c>
      <c r="G2597">
        <f t="shared" si="87"/>
        <v>-2.7211899986271451E-2</v>
      </c>
    </row>
    <row r="2598" spans="1:7" x14ac:dyDescent="0.35">
      <c r="A2598" t="s">
        <v>140</v>
      </c>
      <c r="E2598">
        <v>-6.9850352496786394E-3</v>
      </c>
      <c r="F2598">
        <f t="shared" si="86"/>
        <v>-1.7774022594473787E-2</v>
      </c>
      <c r="G2598">
        <f t="shared" si="87"/>
        <v>-2.7211899986271451E-2</v>
      </c>
    </row>
    <row r="2599" spans="1:7" x14ac:dyDescent="0.35">
      <c r="A2599" t="s">
        <v>140</v>
      </c>
      <c r="E2599">
        <v>-4.5710791668840234E-2</v>
      </c>
      <c r="F2599">
        <f t="shared" si="86"/>
        <v>-1.7778950593097451E-2</v>
      </c>
      <c r="G2599">
        <f t="shared" si="87"/>
        <v>-2.7211899986271451E-2</v>
      </c>
    </row>
    <row r="2600" spans="1:7" x14ac:dyDescent="0.35">
      <c r="A2600" t="s">
        <v>140</v>
      </c>
      <c r="E2600">
        <v>-1.7567209948332017E-3</v>
      </c>
      <c r="F2600">
        <f t="shared" si="86"/>
        <v>-1.7685318619247818E-2</v>
      </c>
      <c r="G2600">
        <f t="shared" si="87"/>
        <v>-2.6752466001851903E-2</v>
      </c>
    </row>
    <row r="2601" spans="1:7" x14ac:dyDescent="0.35">
      <c r="A2601" t="s">
        <v>140</v>
      </c>
      <c r="E2601">
        <v>-3.1792984468141496E-3</v>
      </c>
      <c r="F2601">
        <f t="shared" si="86"/>
        <v>-1.7690246617871483E-2</v>
      </c>
      <c r="G2601">
        <f t="shared" si="87"/>
        <v>-2.6903585124895307E-2</v>
      </c>
    </row>
    <row r="2602" spans="1:7" x14ac:dyDescent="0.35">
      <c r="A2602" t="s">
        <v>140</v>
      </c>
      <c r="E2602">
        <v>3.3379896245974823E-2</v>
      </c>
      <c r="F2602">
        <f t="shared" si="86"/>
        <v>-1.7695174616495148E-2</v>
      </c>
      <c r="G2602">
        <f t="shared" si="87"/>
        <v>-2.6903585124895307E-2</v>
      </c>
    </row>
    <row r="2603" spans="1:7" x14ac:dyDescent="0.35">
      <c r="A2603" t="s">
        <v>140</v>
      </c>
      <c r="E2603">
        <v>5.3834884532155507E-3</v>
      </c>
      <c r="F2603">
        <f t="shared" si="86"/>
        <v>-1.7700102615118812E-2</v>
      </c>
      <c r="G2603">
        <f t="shared" si="87"/>
        <v>-2.6903585124895307E-2</v>
      </c>
    </row>
    <row r="2604" spans="1:7" x14ac:dyDescent="0.35">
      <c r="A2604" t="s">
        <v>140</v>
      </c>
      <c r="E2604">
        <v>-8.1586039768733916E-3</v>
      </c>
      <c r="F2604">
        <f t="shared" si="86"/>
        <v>-1.7705030613742477E-2</v>
      </c>
      <c r="G2604">
        <f t="shared" si="87"/>
        <v>-2.6903585124895307E-2</v>
      </c>
    </row>
    <row r="2605" spans="1:7" x14ac:dyDescent="0.35">
      <c r="A2605" t="s">
        <v>140</v>
      </c>
      <c r="E2605">
        <v>4.000445765478337E-3</v>
      </c>
      <c r="F2605">
        <f t="shared" si="86"/>
        <v>-1.7709958612366142E-2</v>
      </c>
      <c r="G2605">
        <f t="shared" si="87"/>
        <v>-2.6903585124895307E-2</v>
      </c>
    </row>
    <row r="2606" spans="1:7" x14ac:dyDescent="0.35">
      <c r="A2606" t="s">
        <v>140</v>
      </c>
      <c r="E2606">
        <v>-5.5128011638418276E-3</v>
      </c>
      <c r="F2606">
        <f t="shared" si="86"/>
        <v>-1.7714886610989806E-2</v>
      </c>
      <c r="G2606">
        <f t="shared" si="87"/>
        <v>-2.6903585124895307E-2</v>
      </c>
    </row>
    <row r="2607" spans="1:7" x14ac:dyDescent="0.35">
      <c r="A2607" t="s">
        <v>140</v>
      </c>
      <c r="E2607">
        <v>2.1043487680432751E-2</v>
      </c>
      <c r="F2607">
        <f t="shared" si="86"/>
        <v>-1.7719814609613471E-2</v>
      </c>
      <c r="G2607">
        <f t="shared" si="87"/>
        <v>-2.6903585124895307E-2</v>
      </c>
    </row>
    <row r="2608" spans="1:7" x14ac:dyDescent="0.35">
      <c r="A2608" t="s">
        <v>140</v>
      </c>
      <c r="E2608">
        <v>-3.4923139372938984E-2</v>
      </c>
      <c r="F2608">
        <f t="shared" si="86"/>
        <v>-1.7724742608237136E-2</v>
      </c>
      <c r="G2608">
        <f t="shared" si="87"/>
        <v>-2.6903585124895307E-2</v>
      </c>
    </row>
    <row r="2609" spans="1:7" x14ac:dyDescent="0.35">
      <c r="A2609" t="s">
        <v>140</v>
      </c>
      <c r="E2609">
        <v>6.9158694407611453E-3</v>
      </c>
      <c r="F2609">
        <f t="shared" si="86"/>
        <v>-1.7667215416299481E-2</v>
      </c>
      <c r="G2609">
        <f t="shared" si="87"/>
        <v>-2.6616288112333786E-2</v>
      </c>
    </row>
    <row r="2610" spans="1:7" x14ac:dyDescent="0.35">
      <c r="A2610" t="s">
        <v>140</v>
      </c>
      <c r="E2610">
        <v>-7.2921617093353666E-3</v>
      </c>
      <c r="F2610">
        <f t="shared" si="86"/>
        <v>-1.7668861162022056E-2</v>
      </c>
      <c r="G2610">
        <f t="shared" si="87"/>
        <v>-2.6616288112333786E-2</v>
      </c>
    </row>
    <row r="2611" spans="1:7" x14ac:dyDescent="0.35">
      <c r="A2611" t="s">
        <v>140</v>
      </c>
      <c r="E2611">
        <v>1.1737070479805366E-2</v>
      </c>
      <c r="F2611">
        <f t="shared" si="86"/>
        <v>-1.7670506907744632E-2</v>
      </c>
      <c r="G2611">
        <f t="shared" si="87"/>
        <v>-2.6616288112333786E-2</v>
      </c>
    </row>
    <row r="2612" spans="1:7" x14ac:dyDescent="0.35">
      <c r="A2612" t="s">
        <v>140</v>
      </c>
      <c r="E2612">
        <v>6.4222067652260906E-3</v>
      </c>
      <c r="F2612">
        <f t="shared" si="86"/>
        <v>-1.7672152653467207E-2</v>
      </c>
      <c r="G2612">
        <f t="shared" si="87"/>
        <v>-2.6616288112333786E-2</v>
      </c>
    </row>
    <row r="2613" spans="1:7" x14ac:dyDescent="0.35">
      <c r="A2613" t="s">
        <v>141</v>
      </c>
      <c r="B2613" s="3" cm="1">
        <f t="array" ref="B2613">_xlfn.STDEV.S(_xlfn._xlws.FILTER($E$2013:$E$3011, $A$2013:$A$3011="2020-07"))</f>
        <v>1.3332322726069374E-2</v>
      </c>
      <c r="C2613" s="3" cm="1">
        <f t="array" ref="C2613">AVERAGE(_xlfn._xlws.FILTER($E$2013:$E$3011, $A$2013:$A$3011="2020-07"))</f>
        <v>8.5811346646588352E-6</v>
      </c>
      <c r="D2613" s="3" cm="1">
        <f t="array" ref="D2613">_xlfn.PERCENTILE.EXC(_xlfn._xlws.FILTER($E$2490:$E$3818, $A$2490:$A$3818="2020-07"), 0.05)</f>
        <v>-3.2194337815126262E-2</v>
      </c>
      <c r="E2613">
        <v>-4.0990635910486718E-3</v>
      </c>
      <c r="F2613">
        <f t="shared" si="86"/>
        <v>-1.7673798399189786E-2</v>
      </c>
      <c r="G2613">
        <f t="shared" si="87"/>
        <v>-2.6616288112333786E-2</v>
      </c>
    </row>
    <row r="2614" spans="1:7" x14ac:dyDescent="0.35">
      <c r="A2614" t="s">
        <v>141</v>
      </c>
      <c r="E2614">
        <v>2.797959513517476E-2</v>
      </c>
      <c r="F2614">
        <f t="shared" si="86"/>
        <v>-1.7675444144912362E-2</v>
      </c>
      <c r="G2614">
        <f t="shared" si="87"/>
        <v>-2.6616288112333786E-2</v>
      </c>
    </row>
    <row r="2615" spans="1:7" x14ac:dyDescent="0.35">
      <c r="A2615" t="s">
        <v>141</v>
      </c>
      <c r="E2615">
        <v>-6.3875102602206149E-3</v>
      </c>
      <c r="F2615">
        <f t="shared" si="86"/>
        <v>-1.7677089890634937E-2</v>
      </c>
      <c r="G2615">
        <f t="shared" si="87"/>
        <v>-2.6616288112333786E-2</v>
      </c>
    </row>
    <row r="2616" spans="1:7" x14ac:dyDescent="0.35">
      <c r="A2616" t="s">
        <v>141</v>
      </c>
      <c r="E2616">
        <v>1.6251882244787859E-2</v>
      </c>
      <c r="F2616">
        <f t="shared" si="86"/>
        <v>-1.7678735636357513E-2</v>
      </c>
      <c r="G2616">
        <f t="shared" si="87"/>
        <v>-2.6616288112333786E-2</v>
      </c>
    </row>
    <row r="2617" spans="1:7" x14ac:dyDescent="0.35">
      <c r="A2617" t="s">
        <v>141</v>
      </c>
      <c r="E2617">
        <v>-9.2031300149002186E-3</v>
      </c>
      <c r="F2617">
        <f t="shared" si="86"/>
        <v>-1.7680381382080088E-2</v>
      </c>
      <c r="G2617">
        <f t="shared" si="87"/>
        <v>-2.6616288112333786E-2</v>
      </c>
    </row>
    <row r="2618" spans="1:7" x14ac:dyDescent="0.35">
      <c r="A2618" t="s">
        <v>141</v>
      </c>
      <c r="E2618">
        <v>-9.7159011023418181E-3</v>
      </c>
      <c r="F2618">
        <f t="shared" si="86"/>
        <v>-1.7682027127802667E-2</v>
      </c>
      <c r="G2618">
        <f t="shared" si="87"/>
        <v>-2.6616288112333786E-2</v>
      </c>
    </row>
    <row r="2619" spans="1:7" x14ac:dyDescent="0.35">
      <c r="A2619" t="s">
        <v>141</v>
      </c>
      <c r="E2619">
        <v>-4.2826947369469133E-4</v>
      </c>
      <c r="F2619">
        <f t="shared" si="86"/>
        <v>-1.7683672873525243E-2</v>
      </c>
      <c r="G2619">
        <f t="shared" si="87"/>
        <v>-2.6616288112333786E-2</v>
      </c>
    </row>
    <row r="2620" spans="1:7" x14ac:dyDescent="0.35">
      <c r="A2620" t="s">
        <v>141</v>
      </c>
      <c r="E2620">
        <v>1.148354966405918E-2</v>
      </c>
      <c r="F2620">
        <f t="shared" si="86"/>
        <v>-1.7685318619247818E-2</v>
      </c>
      <c r="G2620">
        <f t="shared" si="87"/>
        <v>-2.6616288112333786E-2</v>
      </c>
    </row>
    <row r="2621" spans="1:7" x14ac:dyDescent="0.35">
      <c r="A2621" t="s">
        <v>141</v>
      </c>
      <c r="E2621">
        <v>1.3074188893591207E-2</v>
      </c>
      <c r="F2621">
        <f t="shared" si="86"/>
        <v>-1.7690246617871483E-2</v>
      </c>
      <c r="G2621">
        <f t="shared" si="87"/>
        <v>-2.6767660476623378E-2</v>
      </c>
    </row>
    <row r="2622" spans="1:7" x14ac:dyDescent="0.35">
      <c r="A2622" t="s">
        <v>141</v>
      </c>
      <c r="E2622">
        <v>-8.0487293328251105E-3</v>
      </c>
      <c r="F2622">
        <f t="shared" si="86"/>
        <v>-1.7695174616495148E-2</v>
      </c>
      <c r="G2622">
        <f t="shared" si="87"/>
        <v>-2.6767660476623378E-2</v>
      </c>
    </row>
    <row r="2623" spans="1:7" x14ac:dyDescent="0.35">
      <c r="A2623" t="s">
        <v>141</v>
      </c>
      <c r="E2623">
        <v>1.8231884801727577E-2</v>
      </c>
      <c r="F2623">
        <f t="shared" si="86"/>
        <v>-1.7700102615118812E-2</v>
      </c>
      <c r="G2623">
        <f t="shared" si="87"/>
        <v>-2.6767660476623378E-2</v>
      </c>
    </row>
    <row r="2624" spans="1:7" x14ac:dyDescent="0.35">
      <c r="A2624" t="s">
        <v>141</v>
      </c>
      <c r="E2624">
        <v>-4.3408661917295937E-3</v>
      </c>
      <c r="F2624">
        <f t="shared" si="86"/>
        <v>-1.7705030613742477E-2</v>
      </c>
      <c r="G2624">
        <f t="shared" si="87"/>
        <v>-2.6767660476623378E-2</v>
      </c>
    </row>
    <row r="2625" spans="1:7" x14ac:dyDescent="0.35">
      <c r="A2625" t="s">
        <v>141</v>
      </c>
      <c r="E2625">
        <v>3.4611956903450184E-3</v>
      </c>
      <c r="F2625">
        <f t="shared" si="86"/>
        <v>-1.7709958612366142E-2</v>
      </c>
      <c r="G2625">
        <f t="shared" si="87"/>
        <v>-2.6767660476623378E-2</v>
      </c>
    </row>
    <row r="2626" spans="1:7" x14ac:dyDescent="0.35">
      <c r="A2626" t="s">
        <v>141</v>
      </c>
      <c r="E2626">
        <v>9.8057784466891538E-3</v>
      </c>
      <c r="F2626">
        <f t="shared" si="86"/>
        <v>-1.7714886610989806E-2</v>
      </c>
      <c r="G2626">
        <f t="shared" si="87"/>
        <v>-2.6767660476623378E-2</v>
      </c>
    </row>
    <row r="2627" spans="1:7" x14ac:dyDescent="0.35">
      <c r="A2627" t="s">
        <v>141</v>
      </c>
      <c r="E2627">
        <v>9.5283676792090721E-3</v>
      </c>
      <c r="F2627">
        <f t="shared" si="86"/>
        <v>-1.7719814609613471E-2</v>
      </c>
      <c r="G2627">
        <f t="shared" si="87"/>
        <v>-2.6767660476623378E-2</v>
      </c>
    </row>
    <row r="2628" spans="1:7" x14ac:dyDescent="0.35">
      <c r="A2628" t="s">
        <v>141</v>
      </c>
      <c r="E2628">
        <v>-5.1438531934347364E-3</v>
      </c>
      <c r="F2628">
        <f t="shared" ref="F2628:F2691" si="88">_xlfn.PERCENTILE.EXC(E2628:E6443,0.05)</f>
        <v>-1.7724742608237136E-2</v>
      </c>
      <c r="G2628">
        <f t="shared" ref="G2628:G2691" si="89">AVERAGEIFS(E2628:E6444,E2628:E6444,"&lt;=" &amp; F2628)</f>
        <v>-2.6767660476623378E-2</v>
      </c>
    </row>
    <row r="2629" spans="1:7" x14ac:dyDescent="0.35">
      <c r="A2629" t="s">
        <v>141</v>
      </c>
      <c r="E2629">
        <v>-6.5629717159527325E-5</v>
      </c>
      <c r="F2629">
        <f t="shared" si="88"/>
        <v>-1.7729670606860801E-2</v>
      </c>
      <c r="G2629">
        <f t="shared" si="89"/>
        <v>-2.6767660476623378E-2</v>
      </c>
    </row>
    <row r="2630" spans="1:7" x14ac:dyDescent="0.35">
      <c r="A2630" t="s">
        <v>141</v>
      </c>
      <c r="E2630">
        <v>-2.0456778851806495E-2</v>
      </c>
      <c r="F2630">
        <f t="shared" si="88"/>
        <v>-1.7734598605484465E-2</v>
      </c>
      <c r="G2630">
        <f t="shared" si="89"/>
        <v>-2.6767660476623378E-2</v>
      </c>
    </row>
    <row r="2631" spans="1:7" x14ac:dyDescent="0.35">
      <c r="A2631" t="s">
        <v>141</v>
      </c>
      <c r="E2631">
        <v>4.6734941231454881E-5</v>
      </c>
      <c r="F2631">
        <f t="shared" si="88"/>
        <v>-1.7670506907744632E-2</v>
      </c>
      <c r="G2631">
        <f t="shared" si="89"/>
        <v>-2.6720686574376623E-2</v>
      </c>
    </row>
    <row r="2632" spans="1:7" x14ac:dyDescent="0.35">
      <c r="A2632" t="s">
        <v>141</v>
      </c>
      <c r="E2632">
        <v>-2.6330201126329003E-4</v>
      </c>
      <c r="F2632">
        <f t="shared" si="88"/>
        <v>-1.7672152653467207E-2</v>
      </c>
      <c r="G2632">
        <f t="shared" si="89"/>
        <v>-2.6720686574376623E-2</v>
      </c>
    </row>
    <row r="2633" spans="1:7" x14ac:dyDescent="0.35">
      <c r="A2633" t="s">
        <v>141</v>
      </c>
      <c r="E2633">
        <v>-1.0149064265388063E-3</v>
      </c>
      <c r="F2633">
        <f t="shared" si="88"/>
        <v>-1.7673798399189786E-2</v>
      </c>
      <c r="G2633">
        <f t="shared" si="89"/>
        <v>-2.6720686574376623E-2</v>
      </c>
    </row>
    <row r="2634" spans="1:7" x14ac:dyDescent="0.35">
      <c r="A2634" t="s">
        <v>141</v>
      </c>
      <c r="E2634">
        <v>-3.5128727555956203E-2</v>
      </c>
      <c r="F2634">
        <f t="shared" si="88"/>
        <v>-1.7675444144912362E-2</v>
      </c>
      <c r="G2634">
        <f t="shared" si="89"/>
        <v>-2.6720686574376623E-2</v>
      </c>
    </row>
    <row r="2635" spans="1:7" x14ac:dyDescent="0.35">
      <c r="A2635" t="s">
        <v>141</v>
      </c>
      <c r="E2635">
        <v>-5.3691436766083404E-3</v>
      </c>
      <c r="F2635">
        <f t="shared" si="88"/>
        <v>-1.7611653152472193E-2</v>
      </c>
      <c r="G2635">
        <f t="shared" si="89"/>
        <v>-2.6424477695543402E-2</v>
      </c>
    </row>
    <row r="2636" spans="1:7" x14ac:dyDescent="0.35">
      <c r="A2636" t="s">
        <v>142</v>
      </c>
      <c r="B2636" s="3" cm="1">
        <f t="array" ref="B2636">_xlfn.STDEV.S(_xlfn._xlws.FILTER($E$2013:$E$3011, $A$2013:$A$3011="2020-08"))</f>
        <v>1.0662612562223369E-2</v>
      </c>
      <c r="C2636" s="3" cm="1">
        <f t="array" ref="C2636">AVERAGE(_xlfn._xlws.FILTER($E$2013:$E$3011, $A$2013:$A$3011="2020-08"))</f>
        <v>2.8407548158574285E-3</v>
      </c>
      <c r="D2636" s="3" cm="1">
        <f t="array" ref="D2636">_xlfn.PERCENTILE.EXC(_xlfn._xlws.FILTER($E$2490:$E$3818, $A$2490:$A$3818="2020-08"), 0.05)</f>
        <v>-1.1203720385702639E-2</v>
      </c>
      <c r="E2636">
        <v>2.6733599719179473E-2</v>
      </c>
      <c r="F2636">
        <f t="shared" si="88"/>
        <v>-1.7619803262937012E-2</v>
      </c>
      <c r="G2636">
        <f t="shared" si="89"/>
        <v>-2.6424477695543402E-2</v>
      </c>
    </row>
    <row r="2637" spans="1:7" x14ac:dyDescent="0.35">
      <c r="A2637" t="s">
        <v>142</v>
      </c>
      <c r="E2637">
        <v>-3.6525923010818232E-3</v>
      </c>
      <c r="F2637">
        <f t="shared" si="88"/>
        <v>-1.7627953373401832E-2</v>
      </c>
      <c r="G2637">
        <f t="shared" si="89"/>
        <v>-2.6424477695543402E-2</v>
      </c>
    </row>
    <row r="2638" spans="1:7" x14ac:dyDescent="0.35">
      <c r="A2638" t="s">
        <v>142</v>
      </c>
      <c r="E2638">
        <v>4.7013045636401483E-3</v>
      </c>
      <c r="F2638">
        <f t="shared" si="88"/>
        <v>-1.7636103483866655E-2</v>
      </c>
      <c r="G2638">
        <f t="shared" si="89"/>
        <v>-2.6424477695543402E-2</v>
      </c>
    </row>
    <row r="2639" spans="1:7" x14ac:dyDescent="0.35">
      <c r="A2639" t="s">
        <v>142</v>
      </c>
      <c r="E2639">
        <v>-5.4308853649203438E-3</v>
      </c>
      <c r="F2639">
        <f t="shared" si="88"/>
        <v>-1.7644253594331475E-2</v>
      </c>
      <c r="G2639">
        <f t="shared" si="89"/>
        <v>-2.6424477695543402E-2</v>
      </c>
    </row>
    <row r="2640" spans="1:7" x14ac:dyDescent="0.35">
      <c r="A2640" t="s">
        <v>142</v>
      </c>
      <c r="E2640">
        <v>6.585803585286187E-3</v>
      </c>
      <c r="F2640">
        <f t="shared" si="88"/>
        <v>-1.7652403704796295E-2</v>
      </c>
      <c r="G2640">
        <f t="shared" si="89"/>
        <v>-2.6424477695543402E-2</v>
      </c>
    </row>
    <row r="2641" spans="1:7" x14ac:dyDescent="0.35">
      <c r="A2641" t="s">
        <v>142</v>
      </c>
      <c r="E2641">
        <v>9.9753935442151794E-4</v>
      </c>
      <c r="F2641">
        <f t="shared" si="88"/>
        <v>-1.765404945051887E-2</v>
      </c>
      <c r="G2641">
        <f t="shared" si="89"/>
        <v>-2.6575720350556286E-2</v>
      </c>
    </row>
    <row r="2642" spans="1:7" x14ac:dyDescent="0.35">
      <c r="A2642" t="s">
        <v>142</v>
      </c>
      <c r="E2642">
        <v>2.0235983532466573E-2</v>
      </c>
      <c r="F2642">
        <f t="shared" si="88"/>
        <v>-1.7655695196241446E-2</v>
      </c>
      <c r="G2642">
        <f t="shared" si="89"/>
        <v>-2.6575720350556286E-2</v>
      </c>
    </row>
    <row r="2643" spans="1:7" x14ac:dyDescent="0.35">
      <c r="A2643" t="s">
        <v>142</v>
      </c>
      <c r="E2643">
        <v>8.5936130227318927E-3</v>
      </c>
      <c r="F2643">
        <f t="shared" si="88"/>
        <v>-1.7657340941964025E-2</v>
      </c>
      <c r="G2643">
        <f t="shared" si="89"/>
        <v>-2.6575720350556286E-2</v>
      </c>
    </row>
    <row r="2644" spans="1:7" x14ac:dyDescent="0.35">
      <c r="A2644" t="s">
        <v>142</v>
      </c>
      <c r="E2644">
        <v>-4.9838236700595773E-3</v>
      </c>
      <c r="F2644">
        <f t="shared" si="88"/>
        <v>-1.76589866876866E-2</v>
      </c>
      <c r="G2644">
        <f t="shared" si="89"/>
        <v>-2.6575720350556286E-2</v>
      </c>
    </row>
    <row r="2645" spans="1:7" x14ac:dyDescent="0.35">
      <c r="A2645" t="s">
        <v>142</v>
      </c>
      <c r="E2645">
        <v>-7.1342122744854032E-3</v>
      </c>
      <c r="F2645">
        <f t="shared" si="88"/>
        <v>-1.7660632433409176E-2</v>
      </c>
      <c r="G2645">
        <f t="shared" si="89"/>
        <v>-2.6575720350556286E-2</v>
      </c>
    </row>
    <row r="2646" spans="1:7" x14ac:dyDescent="0.35">
      <c r="A2646" t="s">
        <v>142</v>
      </c>
      <c r="E2646">
        <v>1.4963986991811153E-3</v>
      </c>
      <c r="F2646">
        <f t="shared" si="88"/>
        <v>-1.7662278179131751E-2</v>
      </c>
      <c r="G2646">
        <f t="shared" si="89"/>
        <v>-2.6575720350556286E-2</v>
      </c>
    </row>
    <row r="2647" spans="1:7" x14ac:dyDescent="0.35">
      <c r="A2647" t="s">
        <v>142</v>
      </c>
      <c r="E2647">
        <v>-3.0152233373334542E-3</v>
      </c>
      <c r="F2647">
        <f t="shared" si="88"/>
        <v>-1.7663923924854327E-2</v>
      </c>
      <c r="G2647">
        <f t="shared" si="89"/>
        <v>-2.6575720350556286E-2</v>
      </c>
    </row>
    <row r="2648" spans="1:7" x14ac:dyDescent="0.35">
      <c r="A2648" t="s">
        <v>142</v>
      </c>
      <c r="E2648">
        <v>7.3916317342615761E-3</v>
      </c>
      <c r="F2648">
        <f t="shared" si="88"/>
        <v>-1.7665569670576906E-2</v>
      </c>
      <c r="G2648">
        <f t="shared" si="89"/>
        <v>-2.6575720350556286E-2</v>
      </c>
    </row>
    <row r="2649" spans="1:7" x14ac:dyDescent="0.35">
      <c r="A2649" t="s">
        <v>142</v>
      </c>
      <c r="E2649">
        <v>-1.141781041044789E-2</v>
      </c>
      <c r="F2649">
        <f t="shared" si="88"/>
        <v>-1.7667215416299481E-2</v>
      </c>
      <c r="G2649">
        <f t="shared" si="89"/>
        <v>-2.6575720350556286E-2</v>
      </c>
    </row>
    <row r="2650" spans="1:7" x14ac:dyDescent="0.35">
      <c r="A2650" t="s">
        <v>142</v>
      </c>
      <c r="E2650">
        <v>-5.094795898594697E-3</v>
      </c>
      <c r="F2650">
        <f t="shared" si="88"/>
        <v>-1.7668861162022056E-2</v>
      </c>
      <c r="G2650">
        <f t="shared" si="89"/>
        <v>-2.6575720350556286E-2</v>
      </c>
    </row>
    <row r="2651" spans="1:7" x14ac:dyDescent="0.35">
      <c r="A2651" t="s">
        <v>142</v>
      </c>
      <c r="E2651">
        <v>2.3363381474819818E-2</v>
      </c>
      <c r="F2651">
        <f t="shared" si="88"/>
        <v>-1.7670506907744632E-2</v>
      </c>
      <c r="G2651">
        <f t="shared" si="89"/>
        <v>-2.6575720350556286E-2</v>
      </c>
    </row>
    <row r="2652" spans="1:7" x14ac:dyDescent="0.35">
      <c r="A2652" t="s">
        <v>142</v>
      </c>
      <c r="E2652">
        <v>-3.766051691471239E-4</v>
      </c>
      <c r="F2652">
        <f t="shared" si="88"/>
        <v>-1.7672152653467207E-2</v>
      </c>
      <c r="G2652">
        <f t="shared" si="89"/>
        <v>-2.6575720350556286E-2</v>
      </c>
    </row>
    <row r="2653" spans="1:7" x14ac:dyDescent="0.35">
      <c r="A2653" t="s">
        <v>142</v>
      </c>
      <c r="E2653">
        <v>9.7921798816423544E-3</v>
      </c>
      <c r="F2653">
        <f t="shared" si="88"/>
        <v>-1.7673798399189786E-2</v>
      </c>
      <c r="G2653">
        <f t="shared" si="89"/>
        <v>-2.6575720350556286E-2</v>
      </c>
    </row>
    <row r="2654" spans="1:7" x14ac:dyDescent="0.35">
      <c r="A2654" t="s">
        <v>142</v>
      </c>
      <c r="E2654">
        <v>-7.1360099155428833E-3</v>
      </c>
      <c r="F2654">
        <f t="shared" si="88"/>
        <v>-1.7675444144912362E-2</v>
      </c>
      <c r="G2654">
        <f t="shared" si="89"/>
        <v>-2.6575720350556286E-2</v>
      </c>
    </row>
    <row r="2655" spans="1:7" x14ac:dyDescent="0.35">
      <c r="A2655" t="s">
        <v>142</v>
      </c>
      <c r="E2655">
        <v>-4.83438090886889E-3</v>
      </c>
      <c r="F2655">
        <f t="shared" si="88"/>
        <v>-1.7677089890634937E-2</v>
      </c>
      <c r="G2655">
        <f t="shared" si="89"/>
        <v>-2.6575720350556286E-2</v>
      </c>
    </row>
    <row r="2656" spans="1:7" x14ac:dyDescent="0.35">
      <c r="A2656" t="s">
        <v>143</v>
      </c>
      <c r="B2656" s="3" cm="1">
        <f t="array" ref="B2656">_xlfn.STDEV.S(_xlfn._xlws.FILTER($E$2013:$E$3011, $A$2013:$A$3011="2020-09"))</f>
        <v>1.5581142999089212E-2</v>
      </c>
      <c r="C2656" s="3" cm="1">
        <f t="array" ref="C2656">AVERAGE(_xlfn._xlws.FILTER($E$2013:$E$3011, $A$2013:$A$3011="2020-09"))</f>
        <v>-9.6033917183150632E-4</v>
      </c>
      <c r="D2656" s="3" cm="1">
        <f t="array" ref="D2656">_xlfn.PERCENTILE.EXC(_xlfn._xlws.FILTER($E$2490:$E$3818, $A$2490:$A$3818="2020-09"), 0.05)</f>
        <v>-4.0515389527007922E-2</v>
      </c>
      <c r="E2656">
        <v>-4.5333241787942728E-3</v>
      </c>
      <c r="F2656">
        <f t="shared" si="88"/>
        <v>-1.7678735636357513E-2</v>
      </c>
      <c r="G2656">
        <f t="shared" si="89"/>
        <v>-2.6575720350556286E-2</v>
      </c>
    </row>
    <row r="2657" spans="1:7" x14ac:dyDescent="0.35">
      <c r="A2657" t="s">
        <v>143</v>
      </c>
      <c r="E2657">
        <v>2.0534956488772019E-2</v>
      </c>
      <c r="F2657">
        <f t="shared" si="88"/>
        <v>-1.7680381382080088E-2</v>
      </c>
      <c r="G2657">
        <f t="shared" si="89"/>
        <v>-2.6575720350556286E-2</v>
      </c>
    </row>
    <row r="2658" spans="1:7" x14ac:dyDescent="0.35">
      <c r="A2658" t="s">
        <v>143</v>
      </c>
      <c r="E2658">
        <v>-1.4118221515901022E-2</v>
      </c>
      <c r="F2658">
        <f t="shared" si="88"/>
        <v>-1.7682027127802667E-2</v>
      </c>
      <c r="G2658">
        <f t="shared" si="89"/>
        <v>-2.6575720350556286E-2</v>
      </c>
    </row>
    <row r="2659" spans="1:7" x14ac:dyDescent="0.35">
      <c r="A2659" t="s">
        <v>143</v>
      </c>
      <c r="E2659">
        <v>-1.6610916970808985E-2</v>
      </c>
      <c r="F2659">
        <f t="shared" si="88"/>
        <v>-1.7683672873525243E-2</v>
      </c>
      <c r="G2659">
        <f t="shared" si="89"/>
        <v>-2.6575720350556286E-2</v>
      </c>
    </row>
    <row r="2660" spans="1:7" x14ac:dyDescent="0.35">
      <c r="A2660" t="s">
        <v>143</v>
      </c>
      <c r="E2660">
        <v>1.9861162109364477E-2</v>
      </c>
      <c r="F2660">
        <f t="shared" si="88"/>
        <v>-1.7685318619247818E-2</v>
      </c>
      <c r="G2660">
        <f t="shared" si="89"/>
        <v>-2.6575720350556286E-2</v>
      </c>
    </row>
    <row r="2661" spans="1:7" x14ac:dyDescent="0.35">
      <c r="A2661" t="s">
        <v>143</v>
      </c>
      <c r="E2661">
        <v>-1.0123372660105651E-2</v>
      </c>
      <c r="F2661">
        <f t="shared" si="88"/>
        <v>-1.7690246617871483E-2</v>
      </c>
      <c r="G2661">
        <f t="shared" si="89"/>
        <v>-2.673169231075468E-2</v>
      </c>
    </row>
    <row r="2662" spans="1:7" x14ac:dyDescent="0.35">
      <c r="A2662" t="s">
        <v>143</v>
      </c>
      <c r="E2662">
        <v>2.0521571863305069E-2</v>
      </c>
      <c r="F2662">
        <f t="shared" si="88"/>
        <v>-1.7695174616495148E-2</v>
      </c>
      <c r="G2662">
        <f t="shared" si="89"/>
        <v>-2.673169231075468E-2</v>
      </c>
    </row>
    <row r="2663" spans="1:7" x14ac:dyDescent="0.35">
      <c r="A2663" t="s">
        <v>143</v>
      </c>
      <c r="E2663">
        <v>-2.1417154760202299E-3</v>
      </c>
      <c r="F2663">
        <f t="shared" si="88"/>
        <v>-1.7700102615118812E-2</v>
      </c>
      <c r="G2663">
        <f t="shared" si="89"/>
        <v>-2.673169231075468E-2</v>
      </c>
    </row>
    <row r="2664" spans="1:7" x14ac:dyDescent="0.35">
      <c r="A2664" t="s">
        <v>143</v>
      </c>
      <c r="E2664">
        <v>-4.5812978595610629E-4</v>
      </c>
      <c r="F2664">
        <f t="shared" si="88"/>
        <v>-1.7705030613742477E-2</v>
      </c>
      <c r="G2664">
        <f t="shared" si="89"/>
        <v>-2.673169231075468E-2</v>
      </c>
    </row>
    <row r="2665" spans="1:7" x14ac:dyDescent="0.35">
      <c r="A2665" t="s">
        <v>143</v>
      </c>
      <c r="E2665">
        <v>-6.9554678613422164E-4</v>
      </c>
      <c r="F2665">
        <f t="shared" si="88"/>
        <v>-1.7709958612366142E-2</v>
      </c>
      <c r="G2665">
        <f t="shared" si="89"/>
        <v>-2.673169231075468E-2</v>
      </c>
    </row>
    <row r="2666" spans="1:7" x14ac:dyDescent="0.35">
      <c r="A2666" t="s">
        <v>143</v>
      </c>
      <c r="E2666">
        <v>1.8181596015167851E-3</v>
      </c>
      <c r="F2666">
        <f t="shared" si="88"/>
        <v>-1.7714886610989806E-2</v>
      </c>
      <c r="G2666">
        <f t="shared" si="89"/>
        <v>-2.673169231075468E-2</v>
      </c>
    </row>
    <row r="2667" spans="1:7" x14ac:dyDescent="0.35">
      <c r="A2667" t="s">
        <v>143</v>
      </c>
      <c r="E2667">
        <v>2.8481825650283022E-3</v>
      </c>
      <c r="F2667">
        <f t="shared" si="88"/>
        <v>-1.7719814609613471E-2</v>
      </c>
      <c r="G2667">
        <f t="shared" si="89"/>
        <v>-2.673169231075468E-2</v>
      </c>
    </row>
    <row r="2668" spans="1:7" x14ac:dyDescent="0.35">
      <c r="A2668" t="s">
        <v>143</v>
      </c>
      <c r="E2668">
        <v>-3.5709613667784731E-3</v>
      </c>
      <c r="F2668">
        <f t="shared" si="88"/>
        <v>-1.7724742608237136E-2</v>
      </c>
      <c r="G2668">
        <f t="shared" si="89"/>
        <v>-2.673169231075468E-2</v>
      </c>
    </row>
    <row r="2669" spans="1:7" x14ac:dyDescent="0.35">
      <c r="A2669" t="s">
        <v>143</v>
      </c>
      <c r="E2669">
        <v>-6.979872489357393E-3</v>
      </c>
      <c r="F2669">
        <f t="shared" si="88"/>
        <v>-1.7729670606860801E-2</v>
      </c>
      <c r="G2669">
        <f t="shared" si="89"/>
        <v>-2.673169231075468E-2</v>
      </c>
    </row>
    <row r="2670" spans="1:7" x14ac:dyDescent="0.35">
      <c r="A2670" t="s">
        <v>143</v>
      </c>
      <c r="E2670">
        <v>-4.4733825860454796E-2</v>
      </c>
      <c r="F2670">
        <f t="shared" si="88"/>
        <v>-1.7734598605484465E-2</v>
      </c>
      <c r="G2670">
        <f t="shared" si="89"/>
        <v>-2.673169231075468E-2</v>
      </c>
    </row>
    <row r="2671" spans="1:7" x14ac:dyDescent="0.35">
      <c r="A2671" t="s">
        <v>143</v>
      </c>
      <c r="E2671">
        <v>4.1333830847538958E-3</v>
      </c>
      <c r="F2671">
        <f t="shared" si="88"/>
        <v>-1.7670506907744632E-2</v>
      </c>
      <c r="G2671">
        <f t="shared" si="89"/>
        <v>-2.6257157095996658E-2</v>
      </c>
    </row>
    <row r="2672" spans="1:7" x14ac:dyDescent="0.35">
      <c r="A2672" t="s">
        <v>143</v>
      </c>
      <c r="E2672">
        <v>3.8498527581185063E-3</v>
      </c>
      <c r="F2672">
        <f t="shared" si="88"/>
        <v>-1.7672152653467207E-2</v>
      </c>
      <c r="G2672">
        <f t="shared" si="89"/>
        <v>-2.6257157095996658E-2</v>
      </c>
    </row>
    <row r="2673" spans="1:7" x14ac:dyDescent="0.35">
      <c r="A2673" t="s">
        <v>143</v>
      </c>
      <c r="E2673">
        <v>-2.8832228401798523E-3</v>
      </c>
      <c r="F2673">
        <f t="shared" si="88"/>
        <v>-1.7673798399189786E-2</v>
      </c>
      <c r="G2673">
        <f t="shared" si="89"/>
        <v>-2.6257157095996658E-2</v>
      </c>
    </row>
    <row r="2674" spans="1:7" x14ac:dyDescent="0.35">
      <c r="A2674" t="s">
        <v>143</v>
      </c>
      <c r="E2674">
        <v>-1.0956502967757159E-2</v>
      </c>
      <c r="F2674">
        <f t="shared" si="88"/>
        <v>-1.7675444144912362E-2</v>
      </c>
      <c r="G2674">
        <f t="shared" si="89"/>
        <v>-2.6257157095996658E-2</v>
      </c>
    </row>
    <row r="2675" spans="1:7" x14ac:dyDescent="0.35">
      <c r="A2675" t="s">
        <v>143</v>
      </c>
      <c r="E2675">
        <v>3.1705014726456128E-2</v>
      </c>
      <c r="F2675">
        <f t="shared" si="88"/>
        <v>-1.7677089890634937E-2</v>
      </c>
      <c r="G2675">
        <f t="shared" si="89"/>
        <v>-2.6257157095996658E-2</v>
      </c>
    </row>
    <row r="2676" spans="1:7" x14ac:dyDescent="0.35">
      <c r="A2676" t="s">
        <v>143</v>
      </c>
      <c r="E2676">
        <v>-3.5062917561774847E-3</v>
      </c>
      <c r="F2676">
        <f t="shared" si="88"/>
        <v>-1.7678735636357513E-2</v>
      </c>
      <c r="G2676">
        <f t="shared" si="89"/>
        <v>-2.6257157095996658E-2</v>
      </c>
    </row>
    <row r="2677" spans="1:7" x14ac:dyDescent="0.35">
      <c r="A2677" t="s">
        <v>143</v>
      </c>
      <c r="E2677">
        <v>-5.0878403231826809E-3</v>
      </c>
      <c r="F2677">
        <f t="shared" si="88"/>
        <v>-1.7680381382080088E-2</v>
      </c>
      <c r="G2677">
        <f t="shared" si="89"/>
        <v>-2.6257157095996658E-2</v>
      </c>
    </row>
    <row r="2678" spans="1:7" x14ac:dyDescent="0.35">
      <c r="A2678" t="s">
        <v>144</v>
      </c>
      <c r="B2678" s="3" cm="1">
        <f t="array" ref="B2678">_xlfn.STDEV.S(_xlfn._xlws.FILTER($E$2013:$E$3011, $A$2013:$A$3011="2020-10"))</f>
        <v>1.4717069875996681E-2</v>
      </c>
      <c r="C2678" s="3" cm="1">
        <f t="array" ref="C2678">AVERAGE(_xlfn._xlws.FILTER($E$2013:$E$3011, $A$2013:$A$3011="2020-10"))</f>
        <v>-4.5057348957380141E-3</v>
      </c>
      <c r="D2678" s="3" cm="1">
        <f t="array" ref="D2678">_xlfn.PERCENTILE.EXC(_xlfn._xlws.FILTER($E$2490:$E$3818, $A$2490:$A$3818="2020-10"), 0.05)</f>
        <v>-4.1869531649098429E-2</v>
      </c>
      <c r="E2678">
        <v>-2.3505885330204926E-3</v>
      </c>
      <c r="F2678">
        <f t="shared" si="88"/>
        <v>-1.7682027127802667E-2</v>
      </c>
      <c r="G2678">
        <f t="shared" si="89"/>
        <v>-2.6257157095996658E-2</v>
      </c>
    </row>
    <row r="2679" spans="1:7" x14ac:dyDescent="0.35">
      <c r="A2679" t="s">
        <v>144</v>
      </c>
      <c r="E2679">
        <v>-3.2832690320612301E-3</v>
      </c>
      <c r="F2679">
        <f t="shared" si="88"/>
        <v>-1.7683672873525243E-2</v>
      </c>
      <c r="G2679">
        <f t="shared" si="89"/>
        <v>-2.6257157095996658E-2</v>
      </c>
    </row>
    <row r="2680" spans="1:7" x14ac:dyDescent="0.35">
      <c r="A2680" t="s">
        <v>144</v>
      </c>
      <c r="E2680">
        <v>1.0915818679561583E-2</v>
      </c>
      <c r="F2680">
        <f t="shared" si="88"/>
        <v>-1.7685318619247818E-2</v>
      </c>
      <c r="G2680">
        <f t="shared" si="89"/>
        <v>-2.6257157095996658E-2</v>
      </c>
    </row>
    <row r="2681" spans="1:7" x14ac:dyDescent="0.35">
      <c r="A2681" t="s">
        <v>144</v>
      </c>
      <c r="E2681">
        <v>6.0394217532288895E-3</v>
      </c>
      <c r="F2681">
        <f t="shared" si="88"/>
        <v>-1.7690246617871483E-2</v>
      </c>
      <c r="G2681">
        <f t="shared" si="89"/>
        <v>-2.6410225640224317E-2</v>
      </c>
    </row>
    <row r="2682" spans="1:7" x14ac:dyDescent="0.35">
      <c r="A2682" t="s">
        <v>144</v>
      </c>
      <c r="E2682">
        <v>1.7457219740544686E-3</v>
      </c>
      <c r="F2682">
        <f t="shared" si="88"/>
        <v>-1.7695174616495148E-2</v>
      </c>
      <c r="G2682">
        <f t="shared" si="89"/>
        <v>-2.6410225640224317E-2</v>
      </c>
    </row>
    <row r="2683" spans="1:7" x14ac:dyDescent="0.35">
      <c r="A2683" t="s">
        <v>144</v>
      </c>
      <c r="E2683">
        <v>8.7514295129275319E-3</v>
      </c>
      <c r="F2683">
        <f t="shared" si="88"/>
        <v>-1.7700102615118812E-2</v>
      </c>
      <c r="G2683">
        <f t="shared" si="89"/>
        <v>-2.6410225640224317E-2</v>
      </c>
    </row>
    <row r="2684" spans="1:7" x14ac:dyDescent="0.35">
      <c r="A2684" t="s">
        <v>144</v>
      </c>
      <c r="E2684">
        <v>6.9136153449163068E-4</v>
      </c>
      <c r="F2684">
        <f t="shared" si="88"/>
        <v>-1.7705030613742477E-2</v>
      </c>
      <c r="G2684">
        <f t="shared" si="89"/>
        <v>-2.6410225640224317E-2</v>
      </c>
    </row>
    <row r="2685" spans="1:7" x14ac:dyDescent="0.35">
      <c r="A2685" t="s">
        <v>144</v>
      </c>
      <c r="E2685">
        <v>6.6576189678687336E-3</v>
      </c>
      <c r="F2685">
        <f t="shared" si="88"/>
        <v>-1.7709958612366142E-2</v>
      </c>
      <c r="G2685">
        <f t="shared" si="89"/>
        <v>-2.6410225640224317E-2</v>
      </c>
    </row>
    <row r="2686" spans="1:7" x14ac:dyDescent="0.35">
      <c r="A2686" t="s">
        <v>144</v>
      </c>
      <c r="E2686">
        <v>-9.1309403617958248E-3</v>
      </c>
      <c r="F2686">
        <f t="shared" si="88"/>
        <v>-1.7714886610989806E-2</v>
      </c>
      <c r="G2686">
        <f t="shared" si="89"/>
        <v>-2.6410225640224317E-2</v>
      </c>
    </row>
    <row r="2687" spans="1:7" x14ac:dyDescent="0.35">
      <c r="A2687" t="s">
        <v>144</v>
      </c>
      <c r="E2687">
        <v>6.9643206171847015E-4</v>
      </c>
      <c r="F2687">
        <f t="shared" si="88"/>
        <v>-1.7719814609613471E-2</v>
      </c>
      <c r="G2687">
        <f t="shared" si="89"/>
        <v>-2.6410225640224317E-2</v>
      </c>
    </row>
    <row r="2688" spans="1:7" x14ac:dyDescent="0.35">
      <c r="A2688" t="s">
        <v>144</v>
      </c>
      <c r="E2688">
        <v>-2.5208267398694736E-2</v>
      </c>
      <c r="F2688">
        <f t="shared" si="88"/>
        <v>-1.7724742608237136E-2</v>
      </c>
      <c r="G2688">
        <f t="shared" si="89"/>
        <v>-2.6410225640224317E-2</v>
      </c>
    </row>
    <row r="2689" spans="1:7" x14ac:dyDescent="0.35">
      <c r="A2689" t="s">
        <v>144</v>
      </c>
      <c r="E2689">
        <v>1.6026742401090432E-2</v>
      </c>
      <c r="F2689">
        <f t="shared" si="88"/>
        <v>-1.7667215416299481E-2</v>
      </c>
      <c r="G2689">
        <f t="shared" si="89"/>
        <v>-2.6275887269162766E-2</v>
      </c>
    </row>
    <row r="2690" spans="1:7" x14ac:dyDescent="0.35">
      <c r="A2690" t="s">
        <v>144</v>
      </c>
      <c r="E2690">
        <v>-4.2175763554403532E-3</v>
      </c>
      <c r="F2690">
        <f t="shared" si="88"/>
        <v>-1.7668861162022056E-2</v>
      </c>
      <c r="G2690">
        <f t="shared" si="89"/>
        <v>-2.6275887269162766E-2</v>
      </c>
    </row>
    <row r="2691" spans="1:7" x14ac:dyDescent="0.35">
      <c r="A2691" t="s">
        <v>144</v>
      </c>
      <c r="E2691">
        <v>-9.1991734867423857E-3</v>
      </c>
      <c r="F2691">
        <f t="shared" si="88"/>
        <v>-1.7670506907744632E-2</v>
      </c>
      <c r="G2691">
        <f t="shared" si="89"/>
        <v>-2.6275887269162766E-2</v>
      </c>
    </row>
    <row r="2692" spans="1:7" x14ac:dyDescent="0.35">
      <c r="A2692" t="s">
        <v>144</v>
      </c>
      <c r="E2692">
        <v>-1.4177972732923807E-2</v>
      </c>
      <c r="F2692">
        <f t="shared" ref="F2692:F2755" si="90">_xlfn.PERCENTILE.EXC(E2692:E6507,0.05)</f>
        <v>-1.7672152653467207E-2</v>
      </c>
      <c r="G2692">
        <f t="shared" ref="G2692:G2755" si="91">AVERAGEIFS(E2692:E6508,E2692:E6508,"&lt;=" &amp; F2692)</f>
        <v>-2.6275887269162766E-2</v>
      </c>
    </row>
    <row r="2693" spans="1:7" x14ac:dyDescent="0.35">
      <c r="A2693" t="s">
        <v>144</v>
      </c>
      <c r="E2693">
        <v>-1.1617207201199561E-3</v>
      </c>
      <c r="F2693">
        <f t="shared" si="90"/>
        <v>-1.7673798399189786E-2</v>
      </c>
      <c r="G2693">
        <f t="shared" si="91"/>
        <v>-2.6275887269162766E-2</v>
      </c>
    </row>
    <row r="2694" spans="1:7" x14ac:dyDescent="0.35">
      <c r="A2694" t="s">
        <v>144</v>
      </c>
      <c r="E2694">
        <v>8.153665768359665E-3</v>
      </c>
      <c r="F2694">
        <f t="shared" si="90"/>
        <v>-1.7675444144912362E-2</v>
      </c>
      <c r="G2694">
        <f t="shared" si="91"/>
        <v>-2.6275887269162766E-2</v>
      </c>
    </row>
    <row r="2695" spans="1:7" x14ac:dyDescent="0.35">
      <c r="A2695" t="s">
        <v>144</v>
      </c>
      <c r="E2695">
        <v>-3.7757481962442961E-2</v>
      </c>
      <c r="F2695">
        <f t="shared" si="90"/>
        <v>-1.7677089890634937E-2</v>
      </c>
      <c r="G2695">
        <f t="shared" si="91"/>
        <v>-2.6275887269162766E-2</v>
      </c>
    </row>
    <row r="2696" spans="1:7" x14ac:dyDescent="0.35">
      <c r="A2696" t="s">
        <v>144</v>
      </c>
      <c r="E2696">
        <v>-9.3735409873289943E-3</v>
      </c>
      <c r="F2696">
        <f t="shared" si="90"/>
        <v>-1.7619803262937012E-2</v>
      </c>
      <c r="G2696">
        <f t="shared" si="91"/>
        <v>-2.5916868014561938E-2</v>
      </c>
    </row>
    <row r="2697" spans="1:7" x14ac:dyDescent="0.35">
      <c r="A2697" t="s">
        <v>144</v>
      </c>
      <c r="E2697">
        <v>-4.2595187476155275E-2</v>
      </c>
      <c r="F2697">
        <f t="shared" si="90"/>
        <v>-1.7627953373401832E-2</v>
      </c>
      <c r="G2697">
        <f t="shared" si="91"/>
        <v>-2.5916868014561938E-2</v>
      </c>
    </row>
    <row r="2698" spans="1:7" x14ac:dyDescent="0.35">
      <c r="A2698" t="s">
        <v>144</v>
      </c>
      <c r="E2698">
        <v>3.2437250412656739E-3</v>
      </c>
      <c r="F2698">
        <f t="shared" si="90"/>
        <v>-1.7482213169030675E-2</v>
      </c>
      <c r="G2698">
        <f t="shared" si="91"/>
        <v>-2.546855040776452E-2</v>
      </c>
    </row>
    <row r="2699" spans="1:7" x14ac:dyDescent="0.35">
      <c r="A2699" t="s">
        <v>144</v>
      </c>
      <c r="E2699">
        <v>-3.592386354077372E-3</v>
      </c>
      <c r="F2699">
        <f t="shared" si="90"/>
        <v>-1.748580733226528E-2</v>
      </c>
      <c r="G2699">
        <f t="shared" si="91"/>
        <v>-2.546855040776452E-2</v>
      </c>
    </row>
    <row r="2700" spans="1:7" x14ac:dyDescent="0.35">
      <c r="A2700" t="s">
        <v>145</v>
      </c>
      <c r="B2700" s="3" cm="1">
        <f t="array" ref="B2700">_xlfn.STDEV.S(_xlfn._xlws.FILTER($E$2013:$E$3011, $A$2013:$A$3011="2020-11"))</f>
        <v>1.3689155436625244E-2</v>
      </c>
      <c r="C2700" s="3" cm="1">
        <f t="array" ref="C2700">AVERAGE(_xlfn._xlws.FILTER($E$2013:$E$3011, $A$2013:$A$3011="2020-11"))</f>
        <v>6.6596587610840714E-3</v>
      </c>
      <c r="D2700" s="3" cm="1">
        <f t="array" ref="D2700">_xlfn.PERCENTILE.EXC(_xlfn._xlws.FILTER($E$2490:$E$3818, $A$2490:$A$3818="2020-11"), 0.05)</f>
        <v>-1.2065389008576829E-2</v>
      </c>
      <c r="E2700">
        <v>1.9859498957148319E-2</v>
      </c>
      <c r="F2700">
        <f t="shared" si="90"/>
        <v>-1.7489401495499889E-2</v>
      </c>
      <c r="G2700">
        <f t="shared" si="91"/>
        <v>-2.546855040776452E-2</v>
      </c>
    </row>
    <row r="2701" spans="1:7" x14ac:dyDescent="0.35">
      <c r="A2701" t="s">
        <v>145</v>
      </c>
      <c r="E2701">
        <v>2.5188476259455337E-2</v>
      </c>
      <c r="F2701">
        <f t="shared" si="90"/>
        <v>-1.7497551605964709E-2</v>
      </c>
      <c r="G2701">
        <f t="shared" si="91"/>
        <v>-2.5613625842532965E-2</v>
      </c>
    </row>
    <row r="2702" spans="1:7" x14ac:dyDescent="0.35">
      <c r="A2702" t="s">
        <v>145</v>
      </c>
      <c r="E2702">
        <v>1.9272138100125777E-2</v>
      </c>
      <c r="F2702">
        <f t="shared" si="90"/>
        <v>-1.7505701716429529E-2</v>
      </c>
      <c r="G2702">
        <f t="shared" si="91"/>
        <v>-2.5613625842532965E-2</v>
      </c>
    </row>
    <row r="2703" spans="1:7" x14ac:dyDescent="0.35">
      <c r="A2703" t="s">
        <v>145</v>
      </c>
      <c r="E2703">
        <v>1.9594630049547691E-2</v>
      </c>
      <c r="F2703">
        <f t="shared" si="90"/>
        <v>-1.7513851826894349E-2</v>
      </c>
      <c r="G2703">
        <f t="shared" si="91"/>
        <v>-2.5613625842532965E-2</v>
      </c>
    </row>
    <row r="2704" spans="1:7" x14ac:dyDescent="0.35">
      <c r="A2704" t="s">
        <v>145</v>
      </c>
      <c r="E2704">
        <v>-7.0320964675008946E-3</v>
      </c>
      <c r="F2704">
        <f t="shared" si="90"/>
        <v>-1.7522001937359168E-2</v>
      </c>
      <c r="G2704">
        <f t="shared" si="91"/>
        <v>-2.5613625842532965E-2</v>
      </c>
    </row>
    <row r="2705" spans="1:7" x14ac:dyDescent="0.35">
      <c r="A2705" t="s">
        <v>145</v>
      </c>
      <c r="E2705">
        <v>4.8175583786300387E-2</v>
      </c>
      <c r="F2705">
        <f t="shared" si="90"/>
        <v>-1.7530152047823992E-2</v>
      </c>
      <c r="G2705">
        <f t="shared" si="91"/>
        <v>-2.5613625842532965E-2</v>
      </c>
    </row>
    <row r="2706" spans="1:7" x14ac:dyDescent="0.35">
      <c r="A2706" t="s">
        <v>145</v>
      </c>
      <c r="E2706">
        <v>5.1136708755307606E-3</v>
      </c>
      <c r="F2706">
        <f t="shared" si="90"/>
        <v>-1.7538302158288811E-2</v>
      </c>
      <c r="G2706">
        <f t="shared" si="91"/>
        <v>-2.5613625842532965E-2</v>
      </c>
    </row>
    <row r="2707" spans="1:7" x14ac:dyDescent="0.35">
      <c r="A2707" t="s">
        <v>145</v>
      </c>
      <c r="E2707">
        <v>4.0236163746630686E-3</v>
      </c>
      <c r="F2707">
        <f t="shared" si="90"/>
        <v>-1.7546452268753631E-2</v>
      </c>
      <c r="G2707">
        <f t="shared" si="91"/>
        <v>-2.5613625842532965E-2</v>
      </c>
    </row>
    <row r="2708" spans="1:7" x14ac:dyDescent="0.35">
      <c r="A2708" t="s">
        <v>145</v>
      </c>
      <c r="E2708">
        <v>-1.2427674678319407E-2</v>
      </c>
      <c r="F2708">
        <f t="shared" si="90"/>
        <v>-1.7554602379218451E-2</v>
      </c>
      <c r="G2708">
        <f t="shared" si="91"/>
        <v>-2.5613625842532965E-2</v>
      </c>
    </row>
    <row r="2709" spans="1:7" x14ac:dyDescent="0.35">
      <c r="A2709" t="s">
        <v>145</v>
      </c>
      <c r="E2709">
        <v>1.8193881941026384E-3</v>
      </c>
      <c r="F2709">
        <f t="shared" si="90"/>
        <v>-1.7562752489683271E-2</v>
      </c>
      <c r="G2709">
        <f t="shared" si="91"/>
        <v>-2.5613625842532965E-2</v>
      </c>
    </row>
    <row r="2710" spans="1:7" x14ac:dyDescent="0.35">
      <c r="A2710" t="s">
        <v>145</v>
      </c>
      <c r="E2710">
        <v>4.7216735385211053E-3</v>
      </c>
      <c r="F2710">
        <f t="shared" si="90"/>
        <v>-1.757090260014809E-2</v>
      </c>
      <c r="G2710">
        <f t="shared" si="91"/>
        <v>-2.5613625842532965E-2</v>
      </c>
    </row>
    <row r="2711" spans="1:7" x14ac:dyDescent="0.35">
      <c r="A2711" t="s">
        <v>145</v>
      </c>
      <c r="E2711">
        <v>-3.9128992189297088E-4</v>
      </c>
      <c r="F2711">
        <f t="shared" si="90"/>
        <v>-1.7579052710612914E-2</v>
      </c>
      <c r="G2711">
        <f t="shared" si="91"/>
        <v>-2.5613625842532965E-2</v>
      </c>
    </row>
    <row r="2712" spans="1:7" x14ac:dyDescent="0.35">
      <c r="A2712" t="s">
        <v>145</v>
      </c>
      <c r="E2712">
        <v>5.1960674879628563E-3</v>
      </c>
      <c r="F2712">
        <f t="shared" si="90"/>
        <v>-1.7587202821077733E-2</v>
      </c>
      <c r="G2712">
        <f t="shared" si="91"/>
        <v>-2.5613625842532965E-2</v>
      </c>
    </row>
    <row r="2713" spans="1:7" x14ac:dyDescent="0.35">
      <c r="A2713" t="s">
        <v>145</v>
      </c>
      <c r="E2713">
        <v>-8.804817980893628E-3</v>
      </c>
      <c r="F2713">
        <f t="shared" si="90"/>
        <v>-1.7595352931542553E-2</v>
      </c>
      <c r="G2713">
        <f t="shared" si="91"/>
        <v>-2.5613625842532965E-2</v>
      </c>
    </row>
    <row r="2714" spans="1:7" x14ac:dyDescent="0.35">
      <c r="A2714" t="s">
        <v>145</v>
      </c>
      <c r="E2714">
        <v>3.8965233462128139E-3</v>
      </c>
      <c r="F2714">
        <f t="shared" si="90"/>
        <v>-1.7603503042007373E-2</v>
      </c>
      <c r="G2714">
        <f t="shared" si="91"/>
        <v>-2.5613625842532965E-2</v>
      </c>
    </row>
    <row r="2715" spans="1:7" x14ac:dyDescent="0.35">
      <c r="A2715" t="s">
        <v>145</v>
      </c>
      <c r="E2715">
        <v>-7.8281407366862768E-4</v>
      </c>
      <c r="F2715">
        <f t="shared" si="90"/>
        <v>-1.7611653152472193E-2</v>
      </c>
      <c r="G2715">
        <f t="shared" si="91"/>
        <v>-2.5613625842532965E-2</v>
      </c>
    </row>
    <row r="2716" spans="1:7" x14ac:dyDescent="0.35">
      <c r="A2716" t="s">
        <v>145</v>
      </c>
      <c r="E2716">
        <v>1.2526560109965015E-2</v>
      </c>
      <c r="F2716">
        <f t="shared" si="90"/>
        <v>-1.7619803262937012E-2</v>
      </c>
      <c r="G2716">
        <f t="shared" si="91"/>
        <v>-2.5613625842532965E-2</v>
      </c>
    </row>
    <row r="2717" spans="1:7" x14ac:dyDescent="0.35">
      <c r="A2717" t="s">
        <v>145</v>
      </c>
      <c r="E2717">
        <v>-1.9862885962067053E-4</v>
      </c>
      <c r="F2717">
        <f t="shared" si="90"/>
        <v>-1.7627953373401832E-2</v>
      </c>
      <c r="G2717">
        <f t="shared" si="91"/>
        <v>-2.5613625842532965E-2</v>
      </c>
    </row>
    <row r="2718" spans="1:7" x14ac:dyDescent="0.35">
      <c r="A2718" t="s">
        <v>145</v>
      </c>
      <c r="E2718">
        <v>-2.4307307701565593E-4</v>
      </c>
      <c r="F2718">
        <f t="shared" si="90"/>
        <v>-1.7636103483866655E-2</v>
      </c>
      <c r="G2718">
        <f t="shared" si="91"/>
        <v>-2.5613625842532965E-2</v>
      </c>
    </row>
    <row r="2719" spans="1:7" x14ac:dyDescent="0.35">
      <c r="A2719" t="s">
        <v>145</v>
      </c>
      <c r="E2719">
        <v>3.6893993336955086E-3</v>
      </c>
      <c r="F2719">
        <f t="shared" si="90"/>
        <v>-1.7644253594331475E-2</v>
      </c>
      <c r="G2719">
        <f t="shared" si="91"/>
        <v>-2.5613625842532965E-2</v>
      </c>
    </row>
    <row r="2720" spans="1:7" x14ac:dyDescent="0.35">
      <c r="A2720" t="s">
        <v>145</v>
      </c>
      <c r="E2720">
        <v>-3.3439973715539604E-3</v>
      </c>
      <c r="F2720">
        <f t="shared" si="90"/>
        <v>-1.7652403704796295E-2</v>
      </c>
      <c r="G2720">
        <f t="shared" si="91"/>
        <v>-2.5613625842532965E-2</v>
      </c>
    </row>
    <row r="2721" spans="1:7" x14ac:dyDescent="0.35">
      <c r="A2721" t="s">
        <v>146</v>
      </c>
      <c r="B2721" s="3" cm="1">
        <f t="array" ref="B2721">_xlfn.STDEV.S(_xlfn._xlws.FILTER($E$2013:$E$3011, $A$2013:$A$3011="2020-12"))</f>
        <v>1.07001350051034E-2</v>
      </c>
      <c r="C2721" s="3" cm="1">
        <f t="array" ref="C2721">AVERAGE(_xlfn._xlws.FILTER($E$2013:$E$3011, $A$2013:$A$3011="2020-12"))</f>
        <v>1.6666602354273223E-3</v>
      </c>
      <c r="D2721" s="3" cm="1">
        <f t="array" ref="D2721">_xlfn.PERCENTILE.EXC(_xlfn._xlws.FILTER($E$2490:$E$3818, $A$2490:$A$3818="2020-12"), 0.05)</f>
        <v>-2.8592394316919123E-2</v>
      </c>
      <c r="E2721">
        <v>6.8337856949180729E-3</v>
      </c>
      <c r="F2721">
        <f t="shared" si="90"/>
        <v>-1.765404945051887E-2</v>
      </c>
      <c r="G2721">
        <f t="shared" si="91"/>
        <v>-2.5761055882120677E-2</v>
      </c>
    </row>
    <row r="2722" spans="1:7" x14ac:dyDescent="0.35">
      <c r="A2722" t="s">
        <v>146</v>
      </c>
      <c r="E2722">
        <v>-5.1739095037957126E-3</v>
      </c>
      <c r="F2722">
        <f t="shared" si="90"/>
        <v>-1.7655695196241446E-2</v>
      </c>
      <c r="G2722">
        <f t="shared" si="91"/>
        <v>-2.5761055882120677E-2</v>
      </c>
    </row>
    <row r="2723" spans="1:7" x14ac:dyDescent="0.35">
      <c r="A2723" t="s">
        <v>146</v>
      </c>
      <c r="E2723">
        <v>-4.545650582432989E-3</v>
      </c>
      <c r="F2723">
        <f t="shared" si="90"/>
        <v>-1.7657340941964025E-2</v>
      </c>
      <c r="G2723">
        <f t="shared" si="91"/>
        <v>-2.5761055882120677E-2</v>
      </c>
    </row>
    <row r="2724" spans="1:7" x14ac:dyDescent="0.35">
      <c r="A2724" t="s">
        <v>146</v>
      </c>
      <c r="E2724">
        <v>3.4724584847805533E-3</v>
      </c>
      <c r="F2724">
        <f t="shared" si="90"/>
        <v>-1.76589866876866E-2</v>
      </c>
      <c r="G2724">
        <f t="shared" si="91"/>
        <v>-2.5761055882120677E-2</v>
      </c>
    </row>
    <row r="2725" spans="1:7" x14ac:dyDescent="0.35">
      <c r="A2725" t="s">
        <v>146</v>
      </c>
      <c r="E2725">
        <v>-2.1046332264473564E-3</v>
      </c>
      <c r="F2725">
        <f t="shared" si="90"/>
        <v>-1.7660632433409176E-2</v>
      </c>
      <c r="G2725">
        <f t="shared" si="91"/>
        <v>-2.5761055882120677E-2</v>
      </c>
    </row>
    <row r="2726" spans="1:7" x14ac:dyDescent="0.35">
      <c r="A2726" t="s">
        <v>146</v>
      </c>
      <c r="E2726">
        <v>5.6422930901548689E-4</v>
      </c>
      <c r="F2726">
        <f t="shared" si="90"/>
        <v>-1.7662278179131751E-2</v>
      </c>
      <c r="G2726">
        <f t="shared" si="91"/>
        <v>-2.5761055882120677E-2</v>
      </c>
    </row>
    <row r="2727" spans="1:7" x14ac:dyDescent="0.35">
      <c r="A2727" t="s">
        <v>146</v>
      </c>
      <c r="E2727">
        <v>4.6410977882900516E-3</v>
      </c>
      <c r="F2727">
        <f t="shared" si="90"/>
        <v>-1.7663923924854327E-2</v>
      </c>
      <c r="G2727">
        <f t="shared" si="91"/>
        <v>-2.5761055882120677E-2</v>
      </c>
    </row>
    <row r="2728" spans="1:7" x14ac:dyDescent="0.35">
      <c r="A2728" t="s">
        <v>146</v>
      </c>
      <c r="E2728">
        <v>-3.3435995047181298E-3</v>
      </c>
      <c r="F2728">
        <f t="shared" si="90"/>
        <v>-1.7665569670576906E-2</v>
      </c>
      <c r="G2728">
        <f t="shared" si="91"/>
        <v>-2.5761055882120677E-2</v>
      </c>
    </row>
    <row r="2729" spans="1:7" x14ac:dyDescent="0.35">
      <c r="A2729" t="s">
        <v>146</v>
      </c>
      <c r="E2729">
        <v>-1.3739693152542622E-2</v>
      </c>
      <c r="F2729">
        <f t="shared" si="90"/>
        <v>-1.7667215416299481E-2</v>
      </c>
      <c r="G2729">
        <f t="shared" si="91"/>
        <v>-2.5761055882120677E-2</v>
      </c>
    </row>
    <row r="2730" spans="1:7" x14ac:dyDescent="0.35">
      <c r="A2730" t="s">
        <v>146</v>
      </c>
      <c r="E2730">
        <v>8.2665997348868835E-3</v>
      </c>
      <c r="F2730">
        <f t="shared" si="90"/>
        <v>-1.7668861162022056E-2</v>
      </c>
      <c r="G2730">
        <f t="shared" si="91"/>
        <v>-2.5761055882120677E-2</v>
      </c>
    </row>
    <row r="2731" spans="1:7" x14ac:dyDescent="0.35">
      <c r="A2731" t="s">
        <v>146</v>
      </c>
      <c r="E2731">
        <v>1.0510127767147994E-2</v>
      </c>
      <c r="F2731">
        <f t="shared" si="90"/>
        <v>-1.7670506907744632E-2</v>
      </c>
      <c r="G2731">
        <f t="shared" si="91"/>
        <v>-2.5761055882120677E-2</v>
      </c>
    </row>
    <row r="2732" spans="1:7" x14ac:dyDescent="0.35">
      <c r="A2732" t="s">
        <v>146</v>
      </c>
      <c r="E2732">
        <v>1.5085222851689107E-2</v>
      </c>
      <c r="F2732">
        <f t="shared" si="90"/>
        <v>-1.7672152653467207E-2</v>
      </c>
      <c r="G2732">
        <f t="shared" si="91"/>
        <v>-2.5761055882120677E-2</v>
      </c>
    </row>
    <row r="2733" spans="1:7" x14ac:dyDescent="0.35">
      <c r="A2733" t="s">
        <v>146</v>
      </c>
      <c r="E2733">
        <v>7.4372718032562225E-3</v>
      </c>
      <c r="F2733">
        <f t="shared" si="90"/>
        <v>-1.7673798399189786E-2</v>
      </c>
      <c r="G2733">
        <f t="shared" si="91"/>
        <v>-2.5761055882120677E-2</v>
      </c>
    </row>
    <row r="2734" spans="1:7" x14ac:dyDescent="0.35">
      <c r="A2734" t="s">
        <v>146</v>
      </c>
      <c r="E2734">
        <v>-2.6917975822296041E-3</v>
      </c>
      <c r="F2734">
        <f t="shared" si="90"/>
        <v>-1.7675444144912362E-2</v>
      </c>
      <c r="G2734">
        <f t="shared" si="91"/>
        <v>-2.5761055882120677E-2</v>
      </c>
    </row>
    <row r="2735" spans="1:7" x14ac:dyDescent="0.35">
      <c r="A2735" t="s">
        <v>146</v>
      </c>
      <c r="E2735">
        <v>-2.8592394316919123E-2</v>
      </c>
      <c r="F2735">
        <f t="shared" si="90"/>
        <v>-1.7677089890634937E-2</v>
      </c>
      <c r="G2735">
        <f t="shared" si="91"/>
        <v>-2.5761055882120677E-2</v>
      </c>
    </row>
    <row r="2736" spans="1:7" x14ac:dyDescent="0.35">
      <c r="A2736" t="s">
        <v>146</v>
      </c>
      <c r="E2736">
        <v>1.2887018897166459E-2</v>
      </c>
      <c r="F2736">
        <f t="shared" si="90"/>
        <v>-1.7619803262937012E-2</v>
      </c>
      <c r="G2736">
        <f t="shared" si="91"/>
        <v>-2.5558463463377663E-2</v>
      </c>
    </row>
    <row r="2737" spans="1:7" x14ac:dyDescent="0.35">
      <c r="A2737" t="s">
        <v>146</v>
      </c>
      <c r="E2737">
        <v>1.2525093994586138E-2</v>
      </c>
      <c r="F2737">
        <f t="shared" si="90"/>
        <v>-1.7627953373401832E-2</v>
      </c>
      <c r="G2737">
        <f t="shared" si="91"/>
        <v>-2.5558463463377663E-2</v>
      </c>
    </row>
    <row r="2738" spans="1:7" x14ac:dyDescent="0.35">
      <c r="A2738" t="s">
        <v>146</v>
      </c>
      <c r="E2738">
        <v>1.2735737129355135E-2</v>
      </c>
      <c r="F2738">
        <f t="shared" si="90"/>
        <v>-1.7636103483866655E-2</v>
      </c>
      <c r="G2738">
        <f t="shared" si="91"/>
        <v>-2.5558463463377663E-2</v>
      </c>
    </row>
    <row r="2739" spans="1:7" x14ac:dyDescent="0.35">
      <c r="A2739" t="s">
        <v>146</v>
      </c>
      <c r="E2739">
        <v>-3.1004211128874441E-3</v>
      </c>
      <c r="F2739">
        <f t="shared" si="90"/>
        <v>-1.7644253594331475E-2</v>
      </c>
      <c r="G2739">
        <f t="shared" si="91"/>
        <v>-2.5558463463377663E-2</v>
      </c>
    </row>
    <row r="2740" spans="1:7" x14ac:dyDescent="0.35">
      <c r="A2740" t="s">
        <v>147</v>
      </c>
      <c r="B2740" s="3" cm="1">
        <f t="array" ref="B2740">_xlfn.STDEV.S(_xlfn._xlws.FILTER($E$2013:$E$3011, $A$2013:$A$3011="2021-01"))</f>
        <v>1.0125418935843062E-2</v>
      </c>
      <c r="C2740" s="3" cm="1">
        <f t="array" ref="C2740">AVERAGE(_xlfn._xlws.FILTER($E$2013:$E$3011, $A$2013:$A$3011="2021-01"))</f>
        <v>-1.0530504343328312E-3</v>
      </c>
      <c r="D2740" s="3" cm="1">
        <f t="array" ref="D2740">_xlfn.PERCENTILE.EXC(_xlfn._xlws.FILTER($E$2490:$E$3818, $A$2490:$A$3818="2021-01"), 0.05)</f>
        <v>-1.8175267385852539E-2</v>
      </c>
      <c r="E2740">
        <v>5.8005825527722747E-4</v>
      </c>
      <c r="F2740">
        <f t="shared" si="90"/>
        <v>-1.7652403704796295E-2</v>
      </c>
      <c r="G2740">
        <f t="shared" si="91"/>
        <v>-2.5558463463377663E-2</v>
      </c>
    </row>
    <row r="2741" spans="1:7" x14ac:dyDescent="0.35">
      <c r="A2741" t="s">
        <v>147</v>
      </c>
      <c r="E2741">
        <v>-5.5168603900519805E-3</v>
      </c>
      <c r="F2741">
        <f t="shared" si="90"/>
        <v>-1.765404945051887E-2</v>
      </c>
      <c r="G2741">
        <f t="shared" si="91"/>
        <v>-2.5707634402218828E-2</v>
      </c>
    </row>
    <row r="2742" spans="1:7" x14ac:dyDescent="0.35">
      <c r="A2742" t="s">
        <v>147</v>
      </c>
      <c r="E2742">
        <v>1.7482080436793425E-2</v>
      </c>
      <c r="F2742">
        <f t="shared" si="90"/>
        <v>-1.7655695196241446E-2</v>
      </c>
      <c r="G2742">
        <f t="shared" si="91"/>
        <v>-2.5707634402218828E-2</v>
      </c>
    </row>
    <row r="2743" spans="1:7" x14ac:dyDescent="0.35">
      <c r="A2743" t="s">
        <v>147</v>
      </c>
      <c r="E2743">
        <v>5.4752057169920026E-3</v>
      </c>
      <c r="F2743">
        <f t="shared" si="90"/>
        <v>-1.7657340941964025E-2</v>
      </c>
      <c r="G2743">
        <f t="shared" si="91"/>
        <v>-2.5707634402218828E-2</v>
      </c>
    </row>
    <row r="2744" spans="1:7" x14ac:dyDescent="0.35">
      <c r="A2744" t="s">
        <v>147</v>
      </c>
      <c r="E2744">
        <v>5.8027621827106812E-3</v>
      </c>
      <c r="F2744">
        <f t="shared" si="90"/>
        <v>-1.76589866876866E-2</v>
      </c>
      <c r="G2744">
        <f t="shared" si="91"/>
        <v>-2.5707634402218828E-2</v>
      </c>
    </row>
    <row r="2745" spans="1:7" x14ac:dyDescent="0.35">
      <c r="A2745" t="s">
        <v>147</v>
      </c>
      <c r="E2745">
        <v>-8.0661649171413115E-3</v>
      </c>
      <c r="F2745">
        <f t="shared" si="90"/>
        <v>-1.7660632433409176E-2</v>
      </c>
      <c r="G2745">
        <f t="shared" si="91"/>
        <v>-2.5707634402218828E-2</v>
      </c>
    </row>
    <row r="2746" spans="1:7" x14ac:dyDescent="0.35">
      <c r="A2746" t="s">
        <v>147</v>
      </c>
      <c r="E2746">
        <v>-8.3268374459659756E-4</v>
      </c>
      <c r="F2746">
        <f t="shared" si="90"/>
        <v>-1.7662278179131751E-2</v>
      </c>
      <c r="G2746">
        <f t="shared" si="91"/>
        <v>-2.5707634402218828E-2</v>
      </c>
    </row>
    <row r="2747" spans="1:7" x14ac:dyDescent="0.35">
      <c r="A2747" t="s">
        <v>147</v>
      </c>
      <c r="E2747">
        <v>1.0515070714622063E-3</v>
      </c>
      <c r="F2747">
        <f t="shared" si="90"/>
        <v>-1.7663923924854327E-2</v>
      </c>
      <c r="G2747">
        <f t="shared" si="91"/>
        <v>-2.5707634402218828E-2</v>
      </c>
    </row>
    <row r="2748" spans="1:7" x14ac:dyDescent="0.35">
      <c r="A2748" t="s">
        <v>147</v>
      </c>
      <c r="E2748">
        <v>3.508259170280162E-3</v>
      </c>
      <c r="F2748">
        <f t="shared" si="90"/>
        <v>-1.7665569670576906E-2</v>
      </c>
      <c r="G2748">
        <f t="shared" si="91"/>
        <v>-2.5707634402218828E-2</v>
      </c>
    </row>
    <row r="2749" spans="1:7" x14ac:dyDescent="0.35">
      <c r="A2749" t="s">
        <v>147</v>
      </c>
      <c r="E2749">
        <v>-1.4470794625481207E-2</v>
      </c>
      <c r="F2749">
        <f t="shared" si="90"/>
        <v>-1.7667215416299481E-2</v>
      </c>
      <c r="G2749">
        <f t="shared" si="91"/>
        <v>-2.5707634402218828E-2</v>
      </c>
    </row>
    <row r="2750" spans="1:7" x14ac:dyDescent="0.35">
      <c r="A2750" t="s">
        <v>147</v>
      </c>
      <c r="E2750">
        <v>4.3870257449190944E-3</v>
      </c>
      <c r="F2750">
        <f t="shared" si="90"/>
        <v>-1.7668861162022056E-2</v>
      </c>
      <c r="G2750">
        <f t="shared" si="91"/>
        <v>-2.5707634402218828E-2</v>
      </c>
    </row>
    <row r="2751" spans="1:7" x14ac:dyDescent="0.35">
      <c r="A2751" t="s">
        <v>147</v>
      </c>
      <c r="E2751">
        <v>-2.4067904911035071E-3</v>
      </c>
      <c r="F2751">
        <f t="shared" si="90"/>
        <v>-1.7670506907744632E-2</v>
      </c>
      <c r="G2751">
        <f t="shared" si="91"/>
        <v>-2.5707634402218828E-2</v>
      </c>
    </row>
    <row r="2752" spans="1:7" x14ac:dyDescent="0.35">
      <c r="A2752" t="s">
        <v>147</v>
      </c>
      <c r="E2752">
        <v>7.6657681323493597E-3</v>
      </c>
      <c r="F2752">
        <f t="shared" si="90"/>
        <v>-1.7672152653467207E-2</v>
      </c>
      <c r="G2752">
        <f t="shared" si="91"/>
        <v>-2.5707634402218828E-2</v>
      </c>
    </row>
    <row r="2753" spans="1:7" x14ac:dyDescent="0.35">
      <c r="A2753" t="s">
        <v>147</v>
      </c>
      <c r="E2753">
        <v>-1.0564884459923233E-3</v>
      </c>
      <c r="F2753">
        <f t="shared" si="90"/>
        <v>-1.7673798399189786E-2</v>
      </c>
      <c r="G2753">
        <f t="shared" si="91"/>
        <v>-2.5707634402218828E-2</v>
      </c>
    </row>
    <row r="2754" spans="1:7" x14ac:dyDescent="0.35">
      <c r="A2754" t="s">
        <v>147</v>
      </c>
      <c r="E2754">
        <v>-2.3541585148592449E-3</v>
      </c>
      <c r="F2754">
        <f t="shared" si="90"/>
        <v>-1.7675444144912362E-2</v>
      </c>
      <c r="G2754">
        <f t="shared" si="91"/>
        <v>-2.5707634402218828E-2</v>
      </c>
    </row>
    <row r="2755" spans="1:7" x14ac:dyDescent="0.35">
      <c r="A2755" t="s">
        <v>147</v>
      </c>
      <c r="E2755">
        <v>-1.6718222707564741E-2</v>
      </c>
      <c r="F2755">
        <f t="shared" si="90"/>
        <v>-1.7677089890634937E-2</v>
      </c>
      <c r="G2755">
        <f t="shared" si="91"/>
        <v>-2.5707634402218828E-2</v>
      </c>
    </row>
    <row r="2756" spans="1:7" x14ac:dyDescent="0.35">
      <c r="A2756" t="s">
        <v>147</v>
      </c>
      <c r="E2756">
        <v>1.6503408917135157E-2</v>
      </c>
      <c r="F2756">
        <f t="shared" ref="F2756:F2819" si="92">_xlfn.PERCENTILE.EXC(E2756:E6571,0.05)</f>
        <v>-1.7678735636357513E-2</v>
      </c>
      <c r="G2756">
        <f t="shared" ref="G2756:G2819" si="93">AVERAGEIFS(E2756:E6572,E2756:E6572,"&lt;=" &amp; F2756)</f>
        <v>-2.5707634402218828E-2</v>
      </c>
    </row>
    <row r="2757" spans="1:7" x14ac:dyDescent="0.35">
      <c r="A2757" t="s">
        <v>147</v>
      </c>
      <c r="E2757">
        <v>-1.8226534839327253E-2</v>
      </c>
      <c r="F2757">
        <f t="shared" si="92"/>
        <v>-1.7680381382080088E-2</v>
      </c>
      <c r="G2757">
        <f t="shared" si="93"/>
        <v>-2.5707634402218828E-2</v>
      </c>
    </row>
    <row r="2758" spans="1:7" x14ac:dyDescent="0.35">
      <c r="A2758" t="s">
        <v>147</v>
      </c>
      <c r="E2758">
        <v>3.3328001313752006E-3</v>
      </c>
      <c r="F2758">
        <f t="shared" si="92"/>
        <v>-1.7636103483866655E-2</v>
      </c>
      <c r="G2758">
        <f t="shared" si="93"/>
        <v>-2.5696801739303148E-2</v>
      </c>
    </row>
    <row r="2759" spans="1:7" x14ac:dyDescent="0.35">
      <c r="A2759" t="s">
        <v>147</v>
      </c>
      <c r="E2759">
        <v>-1.7201185769832972E-2</v>
      </c>
      <c r="F2759">
        <f t="shared" si="92"/>
        <v>-1.7644253594331475E-2</v>
      </c>
      <c r="G2759">
        <f t="shared" si="93"/>
        <v>-2.5696801739303148E-2</v>
      </c>
    </row>
    <row r="2760" spans="1:7" x14ac:dyDescent="0.35">
      <c r="A2760" t="s">
        <v>148</v>
      </c>
      <c r="B2760" s="3" cm="1">
        <f t="array" ref="B2760">_xlfn.STDEV.S(_xlfn._xlws.FILTER($E$2013:$E$3011, $A$2013:$A$3011="2021-02"))</f>
        <v>7.4521186222583679E-3</v>
      </c>
      <c r="C2760" s="3" cm="1">
        <f t="array" ref="C2760">AVERAGE(_xlfn._xlws.FILTER($E$2013:$E$3011, $A$2013:$A$3011="2021-02"))</f>
        <v>1.298496585055616E-3</v>
      </c>
      <c r="D2760" s="3" cm="1">
        <f t="array" ref="D2760">_xlfn.PERCENTILE.EXC(_xlfn._xlws.FILTER($E$2490:$E$3818, $A$2490:$A$3818="2021-02"), 0.05)</f>
        <v>-1.0897248420236788E-2</v>
      </c>
      <c r="E2760">
        <v>1.3982912656681324E-2</v>
      </c>
      <c r="F2760">
        <f t="shared" si="92"/>
        <v>-1.7652403704796295E-2</v>
      </c>
      <c r="G2760">
        <f t="shared" si="93"/>
        <v>-2.5696801739303148E-2</v>
      </c>
    </row>
    <row r="2761" spans="1:7" x14ac:dyDescent="0.35">
      <c r="A2761" t="s">
        <v>148</v>
      </c>
      <c r="E2761">
        <v>1.5525577012485345E-2</v>
      </c>
      <c r="F2761">
        <f t="shared" si="92"/>
        <v>-1.765404945051887E-2</v>
      </c>
      <c r="G2761">
        <f t="shared" si="93"/>
        <v>-2.58515017015052E-2</v>
      </c>
    </row>
    <row r="2762" spans="1:7" x14ac:dyDescent="0.35">
      <c r="A2762" t="s">
        <v>148</v>
      </c>
      <c r="E2762">
        <v>7.0921644582423145E-3</v>
      </c>
      <c r="F2762">
        <f t="shared" si="92"/>
        <v>-1.7655695196241446E-2</v>
      </c>
      <c r="G2762">
        <f t="shared" si="93"/>
        <v>-2.58515017015052E-2</v>
      </c>
    </row>
    <row r="2763" spans="1:7" x14ac:dyDescent="0.35">
      <c r="A2763" t="s">
        <v>148</v>
      </c>
      <c r="E2763">
        <v>9.0491695568940215E-3</v>
      </c>
      <c r="F2763">
        <f t="shared" si="92"/>
        <v>-1.7657340941964025E-2</v>
      </c>
      <c r="G2763">
        <f t="shared" si="93"/>
        <v>-2.58515017015052E-2</v>
      </c>
    </row>
    <row r="2764" spans="1:7" x14ac:dyDescent="0.35">
      <c r="A2764" t="s">
        <v>148</v>
      </c>
      <c r="E2764">
        <v>-2.539388092251398E-4</v>
      </c>
      <c r="F2764">
        <f t="shared" si="92"/>
        <v>-1.76589866876866E-2</v>
      </c>
      <c r="G2764">
        <f t="shared" si="93"/>
        <v>-2.58515017015052E-2</v>
      </c>
    </row>
    <row r="2765" spans="1:7" x14ac:dyDescent="0.35">
      <c r="A2765" t="s">
        <v>148</v>
      </c>
      <c r="E2765">
        <v>2.26911974421349E-4</v>
      </c>
      <c r="F2765">
        <f t="shared" si="92"/>
        <v>-1.7660632433409176E-2</v>
      </c>
      <c r="G2765">
        <f t="shared" si="93"/>
        <v>-2.58515017015052E-2</v>
      </c>
    </row>
    <row r="2766" spans="1:7" x14ac:dyDescent="0.35">
      <c r="A2766" t="s">
        <v>148</v>
      </c>
      <c r="E2766">
        <v>-3.427653470552548E-3</v>
      </c>
      <c r="F2766">
        <f t="shared" si="92"/>
        <v>-1.7662278179131751E-2</v>
      </c>
      <c r="G2766">
        <f t="shared" si="93"/>
        <v>-2.58515017015052E-2</v>
      </c>
    </row>
    <row r="2767" spans="1:7" x14ac:dyDescent="0.35">
      <c r="A2767" t="s">
        <v>148</v>
      </c>
      <c r="E2767">
        <v>-5.6418577859211286E-3</v>
      </c>
      <c r="F2767">
        <f t="shared" si="92"/>
        <v>-1.7663923924854327E-2</v>
      </c>
      <c r="G2767">
        <f t="shared" si="93"/>
        <v>-2.58515017015052E-2</v>
      </c>
    </row>
    <row r="2768" spans="1:7" x14ac:dyDescent="0.35">
      <c r="A2768" t="s">
        <v>148</v>
      </c>
      <c r="E2768">
        <v>7.7172373445128471E-3</v>
      </c>
      <c r="F2768">
        <f t="shared" si="92"/>
        <v>-1.7665569670576906E-2</v>
      </c>
      <c r="G2768">
        <f t="shared" si="93"/>
        <v>-2.58515017015052E-2</v>
      </c>
    </row>
    <row r="2769" spans="1:7" x14ac:dyDescent="0.35">
      <c r="A2769" t="s">
        <v>148</v>
      </c>
      <c r="E2769">
        <v>6.3935525552130798E-4</v>
      </c>
      <c r="F2769">
        <f t="shared" si="92"/>
        <v>-1.7667215416299481E-2</v>
      </c>
      <c r="G2769">
        <f t="shared" si="93"/>
        <v>-2.58515017015052E-2</v>
      </c>
    </row>
    <row r="2770" spans="1:7" x14ac:dyDescent="0.35">
      <c r="A2770" t="s">
        <v>148</v>
      </c>
      <c r="E2770">
        <v>4.232345322476347E-3</v>
      </c>
      <c r="F2770">
        <f t="shared" si="92"/>
        <v>-1.7668861162022056E-2</v>
      </c>
      <c r="G2770">
        <f t="shared" si="93"/>
        <v>-2.58515017015052E-2</v>
      </c>
    </row>
    <row r="2771" spans="1:7" x14ac:dyDescent="0.35">
      <c r="A2771" t="s">
        <v>148</v>
      </c>
      <c r="E2771">
        <v>-3.1859097412281711E-3</v>
      </c>
      <c r="F2771">
        <f t="shared" si="92"/>
        <v>-1.7670506907744632E-2</v>
      </c>
      <c r="G2771">
        <f t="shared" si="93"/>
        <v>-2.58515017015052E-2</v>
      </c>
    </row>
    <row r="2772" spans="1:7" x14ac:dyDescent="0.35">
      <c r="A2772" t="s">
        <v>148</v>
      </c>
      <c r="E2772">
        <v>-1.1105477820694206E-2</v>
      </c>
      <c r="F2772">
        <f t="shared" si="92"/>
        <v>-1.7672152653467207E-2</v>
      </c>
      <c r="G2772">
        <f t="shared" si="93"/>
        <v>-2.58515017015052E-2</v>
      </c>
    </row>
    <row r="2773" spans="1:7" x14ac:dyDescent="0.35">
      <c r="A2773" t="s">
        <v>148</v>
      </c>
      <c r="E2773">
        <v>-1.6074143091600989E-3</v>
      </c>
      <c r="F2773">
        <f t="shared" si="92"/>
        <v>-1.7673798399189786E-2</v>
      </c>
      <c r="G2773">
        <f t="shared" si="93"/>
        <v>-2.58515017015052E-2</v>
      </c>
    </row>
    <row r="2774" spans="1:7" x14ac:dyDescent="0.35">
      <c r="A2774" t="s">
        <v>148</v>
      </c>
      <c r="E2774">
        <v>7.6255312093116397E-3</v>
      </c>
      <c r="F2774">
        <f t="shared" si="92"/>
        <v>-1.7675444144912362E-2</v>
      </c>
      <c r="G2774">
        <f t="shared" si="93"/>
        <v>-2.58515017015052E-2</v>
      </c>
    </row>
    <row r="2775" spans="1:7" x14ac:dyDescent="0.35">
      <c r="A2775" t="s">
        <v>148</v>
      </c>
      <c r="E2775">
        <v>-3.0912655815409315E-3</v>
      </c>
      <c r="F2775">
        <f t="shared" si="92"/>
        <v>-1.7677089890634937E-2</v>
      </c>
      <c r="G2775">
        <f t="shared" si="93"/>
        <v>-2.58515017015052E-2</v>
      </c>
    </row>
    <row r="2776" spans="1:7" x14ac:dyDescent="0.35">
      <c r="A2776" t="s">
        <v>148</v>
      </c>
      <c r="E2776">
        <v>-6.1284002430703772E-3</v>
      </c>
      <c r="F2776">
        <f t="shared" si="92"/>
        <v>-1.7678735636357513E-2</v>
      </c>
      <c r="G2776">
        <f t="shared" si="93"/>
        <v>-2.58515017015052E-2</v>
      </c>
    </row>
    <row r="2777" spans="1:7" x14ac:dyDescent="0.35">
      <c r="A2777" t="s">
        <v>148</v>
      </c>
      <c r="E2777">
        <v>7.9875974280495168E-3</v>
      </c>
      <c r="F2777">
        <f t="shared" si="92"/>
        <v>-1.7680381382080088E-2</v>
      </c>
      <c r="G2777">
        <f t="shared" si="93"/>
        <v>-2.58515017015052E-2</v>
      </c>
    </row>
    <row r="2778" spans="1:7" x14ac:dyDescent="0.35">
      <c r="A2778" t="s">
        <v>148</v>
      </c>
      <c r="E2778">
        <v>-6.9408898115458622E-3</v>
      </c>
      <c r="F2778">
        <f t="shared" si="92"/>
        <v>-1.7682027127802667E-2</v>
      </c>
      <c r="G2778">
        <f t="shared" si="93"/>
        <v>-2.58515017015052E-2</v>
      </c>
    </row>
    <row r="2779" spans="1:7" x14ac:dyDescent="0.35">
      <c r="A2779" t="s">
        <v>148</v>
      </c>
      <c r="E2779">
        <v>-6.7260629445452394E-3</v>
      </c>
      <c r="F2779">
        <f t="shared" si="92"/>
        <v>-1.7683672873525243E-2</v>
      </c>
      <c r="G2779">
        <f t="shared" si="93"/>
        <v>-2.58515017015052E-2</v>
      </c>
    </row>
    <row r="2780" spans="1:7" x14ac:dyDescent="0.35">
      <c r="A2780" t="s">
        <v>149</v>
      </c>
      <c r="B2780" s="3" cm="1">
        <f t="array" ref="B2780">_xlfn.STDEV.S(_xlfn._xlws.FILTER($E$2013:$E$3011, $A$2013:$A$3011="2021-03"))</f>
        <v>9.0646031354637245E-3</v>
      </c>
      <c r="C2780" s="3" cm="1">
        <f t="array" ref="C2780">AVERAGE(_xlfn._xlws.FILTER($E$2013:$E$3011, $A$2013:$A$3011="2021-03"))</f>
        <v>3.6926707180789139E-3</v>
      </c>
      <c r="D2780" s="3" cm="1">
        <f t="array" ref="D2780">_xlfn.PERCENTILE.EXC(_xlfn._xlws.FILTER($E$2490:$E$3818, $A$2490:$A$3818="2021-03"), 0.05)</f>
        <v>-1.0349788039877544E-2</v>
      </c>
      <c r="E2780">
        <v>1.6298004814758578E-2</v>
      </c>
      <c r="F2780">
        <f t="shared" si="92"/>
        <v>-1.7685318619247818E-2</v>
      </c>
      <c r="G2780">
        <f t="shared" si="93"/>
        <v>-2.58515017015052E-2</v>
      </c>
    </row>
    <row r="2781" spans="1:7" x14ac:dyDescent="0.35">
      <c r="A2781" t="s">
        <v>149</v>
      </c>
      <c r="E2781">
        <v>1.9235285915359527E-3</v>
      </c>
      <c r="F2781">
        <f t="shared" si="92"/>
        <v>-1.7690246617871483E-2</v>
      </c>
      <c r="G2781">
        <f t="shared" si="93"/>
        <v>-2.6011622938412207E-2</v>
      </c>
    </row>
    <row r="2782" spans="1:7" x14ac:dyDescent="0.35">
      <c r="A2782" t="s">
        <v>149</v>
      </c>
      <c r="E2782">
        <v>2.8613279274858636E-3</v>
      </c>
      <c r="F2782">
        <f t="shared" si="92"/>
        <v>-1.7695174616495148E-2</v>
      </c>
      <c r="G2782">
        <f t="shared" si="93"/>
        <v>-2.6011622938412207E-2</v>
      </c>
    </row>
    <row r="2783" spans="1:7" x14ac:dyDescent="0.35">
      <c r="A2783" t="s">
        <v>149</v>
      </c>
      <c r="E2783">
        <v>-1.6839418587447958E-3</v>
      </c>
      <c r="F2783">
        <f t="shared" si="92"/>
        <v>-1.7700102615118812E-2</v>
      </c>
      <c r="G2783">
        <f t="shared" si="93"/>
        <v>-2.6011622938412207E-2</v>
      </c>
    </row>
    <row r="2784" spans="1:7" x14ac:dyDescent="0.35">
      <c r="A2784" t="s">
        <v>149</v>
      </c>
      <c r="E2784">
        <v>-9.69731690740952E-3</v>
      </c>
      <c r="F2784">
        <f t="shared" si="92"/>
        <v>-1.7705030613742477E-2</v>
      </c>
      <c r="G2784">
        <f t="shared" si="93"/>
        <v>-2.6011622938412207E-2</v>
      </c>
    </row>
    <row r="2785" spans="1:7" x14ac:dyDescent="0.35">
      <c r="A2785" t="s">
        <v>149</v>
      </c>
      <c r="E2785">
        <v>3.2525409983946228E-2</v>
      </c>
      <c r="F2785">
        <f t="shared" si="92"/>
        <v>-1.7709958612366142E-2</v>
      </c>
      <c r="G2785">
        <f t="shared" si="93"/>
        <v>-2.6011622938412207E-2</v>
      </c>
    </row>
    <row r="2786" spans="1:7" x14ac:dyDescent="0.35">
      <c r="A2786" t="s">
        <v>149</v>
      </c>
      <c r="E2786">
        <v>3.9578313808623098E-3</v>
      </c>
      <c r="F2786">
        <f t="shared" si="92"/>
        <v>-1.7714886610989806E-2</v>
      </c>
      <c r="G2786">
        <f t="shared" si="93"/>
        <v>-2.6011622938412207E-2</v>
      </c>
    </row>
    <row r="2787" spans="1:7" x14ac:dyDescent="0.35">
      <c r="A2787" t="s">
        <v>149</v>
      </c>
      <c r="E2787">
        <v>7.061201897190502E-3</v>
      </c>
      <c r="F2787">
        <f t="shared" si="92"/>
        <v>-1.7719814609613471E-2</v>
      </c>
      <c r="G2787">
        <f t="shared" si="93"/>
        <v>-2.6011622938412207E-2</v>
      </c>
    </row>
    <row r="2788" spans="1:7" x14ac:dyDescent="0.35">
      <c r="A2788" t="s">
        <v>149</v>
      </c>
      <c r="E2788">
        <v>2.0020865756917605E-3</v>
      </c>
      <c r="F2788">
        <f t="shared" si="92"/>
        <v>-1.7724742608237136E-2</v>
      </c>
      <c r="G2788">
        <f t="shared" si="93"/>
        <v>-2.6011622938412207E-2</v>
      </c>
    </row>
    <row r="2789" spans="1:7" x14ac:dyDescent="0.35">
      <c r="A2789" t="s">
        <v>149</v>
      </c>
      <c r="E2789">
        <v>-4.6092890508197867E-3</v>
      </c>
      <c r="F2789">
        <f t="shared" si="92"/>
        <v>-1.7729670606860801E-2</v>
      </c>
      <c r="G2789">
        <f t="shared" si="93"/>
        <v>-2.6011622938412207E-2</v>
      </c>
    </row>
    <row r="2790" spans="1:7" x14ac:dyDescent="0.35">
      <c r="A2790" t="s">
        <v>149</v>
      </c>
      <c r="E2790">
        <v>-2.8290495846611374E-3</v>
      </c>
      <c r="F2790">
        <f t="shared" si="92"/>
        <v>-1.7734598605484465E-2</v>
      </c>
      <c r="G2790">
        <f t="shared" si="93"/>
        <v>-2.6011622938412207E-2</v>
      </c>
    </row>
    <row r="2791" spans="1:7" x14ac:dyDescent="0.35">
      <c r="A2791" t="s">
        <v>149</v>
      </c>
      <c r="E2791">
        <v>6.6274063176189908E-3</v>
      </c>
      <c r="F2791">
        <f t="shared" si="92"/>
        <v>-1.773952660410813E-2</v>
      </c>
      <c r="G2791">
        <f t="shared" si="93"/>
        <v>-2.6011622938412207E-2</v>
      </c>
    </row>
    <row r="2792" spans="1:7" x14ac:dyDescent="0.35">
      <c r="A2792" t="s">
        <v>149</v>
      </c>
      <c r="E2792">
        <v>2.677489809664538E-3</v>
      </c>
      <c r="F2792">
        <f t="shared" si="92"/>
        <v>-1.7744454602731795E-2</v>
      </c>
      <c r="G2792">
        <f t="shared" si="93"/>
        <v>-2.6011622938412207E-2</v>
      </c>
    </row>
    <row r="2793" spans="1:7" x14ac:dyDescent="0.35">
      <c r="A2793" t="s">
        <v>149</v>
      </c>
      <c r="E2793">
        <v>1.2182447285511525E-2</v>
      </c>
      <c r="F2793">
        <f t="shared" si="92"/>
        <v>-1.7749382601355463E-2</v>
      </c>
      <c r="G2793">
        <f t="shared" si="93"/>
        <v>-2.6011622938412207E-2</v>
      </c>
    </row>
    <row r="2794" spans="1:7" x14ac:dyDescent="0.35">
      <c r="A2794" t="s">
        <v>149</v>
      </c>
      <c r="E2794">
        <v>-1.051290582299455E-2</v>
      </c>
      <c r="F2794">
        <f t="shared" si="92"/>
        <v>-1.7754310599979128E-2</v>
      </c>
      <c r="G2794">
        <f t="shared" si="93"/>
        <v>-2.6011622938412207E-2</v>
      </c>
    </row>
    <row r="2795" spans="1:7" x14ac:dyDescent="0.35">
      <c r="A2795" t="s">
        <v>149</v>
      </c>
      <c r="E2795">
        <v>2.4735131322487498E-3</v>
      </c>
      <c r="F2795">
        <f t="shared" si="92"/>
        <v>-1.7759238598602792E-2</v>
      </c>
      <c r="G2795">
        <f t="shared" si="93"/>
        <v>-2.6011622938412207E-2</v>
      </c>
    </row>
    <row r="2796" spans="1:7" x14ac:dyDescent="0.35">
      <c r="A2796" t="s">
        <v>149</v>
      </c>
      <c r="E2796">
        <v>3.281123033009766E-4</v>
      </c>
      <c r="F2796">
        <f t="shared" si="92"/>
        <v>-1.7764166597226457E-2</v>
      </c>
      <c r="G2796">
        <f t="shared" si="93"/>
        <v>-2.6011622938412207E-2</v>
      </c>
    </row>
    <row r="2797" spans="1:7" x14ac:dyDescent="0.35">
      <c r="A2797" t="s">
        <v>149</v>
      </c>
      <c r="E2797">
        <v>-3.5275574193476826E-3</v>
      </c>
      <c r="F2797">
        <f t="shared" si="92"/>
        <v>-1.7769094595850122E-2</v>
      </c>
      <c r="G2797">
        <f t="shared" si="93"/>
        <v>-2.6011622938412207E-2</v>
      </c>
    </row>
    <row r="2798" spans="1:7" x14ac:dyDescent="0.35">
      <c r="A2798" t="s">
        <v>149</v>
      </c>
      <c r="E2798">
        <v>7.5055379954885187E-4</v>
      </c>
      <c r="F2798">
        <f t="shared" si="92"/>
        <v>-1.7774022594473787E-2</v>
      </c>
      <c r="G2798">
        <f t="shared" si="93"/>
        <v>-2.6011622938412207E-2</v>
      </c>
    </row>
    <row r="2799" spans="1:7" x14ac:dyDescent="0.35">
      <c r="A2799" t="s">
        <v>149</v>
      </c>
      <c r="E2799">
        <v>8.687742545627283E-3</v>
      </c>
      <c r="F2799">
        <f t="shared" si="92"/>
        <v>-1.7778950593097451E-2</v>
      </c>
      <c r="G2799">
        <f t="shared" si="93"/>
        <v>-2.6011622938412207E-2</v>
      </c>
    </row>
    <row r="2800" spans="1:7" x14ac:dyDescent="0.35">
      <c r="A2800" t="s">
        <v>149</v>
      </c>
      <c r="E2800">
        <v>4.6525460818821378E-3</v>
      </c>
      <c r="F2800">
        <f t="shared" si="92"/>
        <v>-1.7783878591721116E-2</v>
      </c>
      <c r="G2800">
        <f t="shared" si="93"/>
        <v>-2.6011622938412207E-2</v>
      </c>
    </row>
    <row r="2801" spans="1:7" x14ac:dyDescent="0.35">
      <c r="A2801" t="s">
        <v>149</v>
      </c>
      <c r="E2801">
        <v>1.2800274548661575E-2</v>
      </c>
      <c r="F2801">
        <f t="shared" si="92"/>
        <v>-1.778985200415004E-2</v>
      </c>
      <c r="G2801">
        <f t="shared" si="93"/>
        <v>-2.6176177825346029E-2</v>
      </c>
    </row>
    <row r="2802" spans="1:7" x14ac:dyDescent="0.35">
      <c r="A2802" t="s">
        <v>149</v>
      </c>
      <c r="E2802">
        <v>-1.7989835743312551E-5</v>
      </c>
      <c r="F2802">
        <f t="shared" si="92"/>
        <v>-1.779582541657896E-2</v>
      </c>
      <c r="G2802">
        <f t="shared" si="93"/>
        <v>-2.6176177825346029E-2</v>
      </c>
    </row>
    <row r="2803" spans="1:7" x14ac:dyDescent="0.35">
      <c r="A2803" t="s">
        <v>150</v>
      </c>
      <c r="B2803" s="3" cm="1">
        <f t="array" ref="B2803">_xlfn.STDEV.S(_xlfn._xlws.FILTER($E$2013:$E$3011, $A$2013:$A$3011="2021-04"))</f>
        <v>6.3618180017477391E-3</v>
      </c>
      <c r="C2803" s="3" cm="1">
        <f t="array" ref="C2803">AVERAGE(_xlfn._xlws.FILTER($E$2013:$E$3011, $A$2013:$A$3011="2021-04"))</f>
        <v>4.2320098057851247E-4</v>
      </c>
      <c r="D2803" s="3" cm="1">
        <f t="array" ref="D2803">_xlfn.PERCENTILE.EXC(_xlfn._xlws.FILTER($E$2490:$E$3818, $A$2490:$A$3818="2021-04"), 0.05)</f>
        <v>-1.5335571469315397E-2</v>
      </c>
      <c r="E2803">
        <v>6.5634189682879547E-3</v>
      </c>
      <c r="F2803">
        <f t="shared" si="92"/>
        <v>-1.7801798829007884E-2</v>
      </c>
      <c r="G2803">
        <f t="shared" si="93"/>
        <v>-2.6176177825346029E-2</v>
      </c>
    </row>
    <row r="2804" spans="1:7" x14ac:dyDescent="0.35">
      <c r="A2804" t="s">
        <v>150</v>
      </c>
      <c r="E2804">
        <v>6.9598250585681696E-3</v>
      </c>
      <c r="F2804">
        <f t="shared" si="92"/>
        <v>-1.7807772241436808E-2</v>
      </c>
      <c r="G2804">
        <f t="shared" si="93"/>
        <v>-2.6176177825346029E-2</v>
      </c>
    </row>
    <row r="2805" spans="1:7" x14ac:dyDescent="0.35">
      <c r="A2805" t="s">
        <v>150</v>
      </c>
      <c r="E2805">
        <v>-2.390336601188473E-3</v>
      </c>
      <c r="F2805">
        <f t="shared" si="92"/>
        <v>-1.7813745653865731E-2</v>
      </c>
      <c r="G2805">
        <f t="shared" si="93"/>
        <v>-2.6176177825346029E-2</v>
      </c>
    </row>
    <row r="2806" spans="1:7" x14ac:dyDescent="0.35">
      <c r="A2806" t="s">
        <v>150</v>
      </c>
      <c r="E2806">
        <v>1.7327740827553771E-3</v>
      </c>
      <c r="F2806">
        <f t="shared" si="92"/>
        <v>-1.7819719066294652E-2</v>
      </c>
      <c r="G2806">
        <f t="shared" si="93"/>
        <v>-2.6176177825346029E-2</v>
      </c>
    </row>
    <row r="2807" spans="1:7" x14ac:dyDescent="0.35">
      <c r="A2807" t="s">
        <v>150</v>
      </c>
      <c r="E2807">
        <v>2.0685466181733169E-3</v>
      </c>
      <c r="F2807">
        <f t="shared" si="92"/>
        <v>-1.7825692478723575E-2</v>
      </c>
      <c r="G2807">
        <f t="shared" si="93"/>
        <v>-2.6176177825346029E-2</v>
      </c>
    </row>
    <row r="2808" spans="1:7" x14ac:dyDescent="0.35">
      <c r="A2808" t="s">
        <v>150</v>
      </c>
      <c r="E2808">
        <v>-1.258491369141277E-3</v>
      </c>
      <c r="F2808">
        <f t="shared" si="92"/>
        <v>-1.7831665891152499E-2</v>
      </c>
      <c r="G2808">
        <f t="shared" si="93"/>
        <v>-2.6176177825346029E-2</v>
      </c>
    </row>
    <row r="2809" spans="1:7" x14ac:dyDescent="0.35">
      <c r="A2809" t="s">
        <v>150</v>
      </c>
      <c r="E2809">
        <v>1.271619673371658E-3</v>
      </c>
      <c r="F2809">
        <f t="shared" si="92"/>
        <v>-1.7837639303581423E-2</v>
      </c>
      <c r="G2809">
        <f t="shared" si="93"/>
        <v>-2.6176177825346029E-2</v>
      </c>
    </row>
    <row r="2810" spans="1:7" x14ac:dyDescent="0.35">
      <c r="A2810" t="s">
        <v>150</v>
      </c>
      <c r="E2810">
        <v>-1.6561825993429819E-3</v>
      </c>
      <c r="F2810">
        <f t="shared" si="92"/>
        <v>-1.7843612716010343E-2</v>
      </c>
      <c r="G2810">
        <f t="shared" si="93"/>
        <v>-2.6176177825346029E-2</v>
      </c>
    </row>
    <row r="2811" spans="1:7" x14ac:dyDescent="0.35">
      <c r="A2811" t="s">
        <v>150</v>
      </c>
      <c r="E2811">
        <v>3.0317297634169737E-3</v>
      </c>
      <c r="F2811">
        <f t="shared" si="92"/>
        <v>-1.7849586128439267E-2</v>
      </c>
      <c r="G2811">
        <f t="shared" si="93"/>
        <v>-2.6176177825346029E-2</v>
      </c>
    </row>
    <row r="2812" spans="1:7" x14ac:dyDescent="0.35">
      <c r="A2812" t="s">
        <v>150</v>
      </c>
      <c r="E2812">
        <v>1.3310922078887804E-2</v>
      </c>
      <c r="F2812">
        <f t="shared" si="92"/>
        <v>-1.7855559540868191E-2</v>
      </c>
      <c r="G2812">
        <f t="shared" si="93"/>
        <v>-2.6176177825346029E-2</v>
      </c>
    </row>
    <row r="2813" spans="1:7" x14ac:dyDescent="0.35">
      <c r="A2813" t="s">
        <v>150</v>
      </c>
      <c r="E2813">
        <v>-5.9270697134129599E-3</v>
      </c>
      <c r="F2813">
        <f t="shared" si="92"/>
        <v>-1.7861532953297114E-2</v>
      </c>
      <c r="G2813">
        <f t="shared" si="93"/>
        <v>-2.6176177825346029E-2</v>
      </c>
    </row>
    <row r="2814" spans="1:7" x14ac:dyDescent="0.35">
      <c r="A2814" t="s">
        <v>150</v>
      </c>
      <c r="E2814">
        <v>-1.566566126413068E-2</v>
      </c>
      <c r="F2814">
        <f t="shared" si="92"/>
        <v>-1.7867506365726035E-2</v>
      </c>
      <c r="G2814">
        <f t="shared" si="93"/>
        <v>-2.6176177825346029E-2</v>
      </c>
    </row>
    <row r="2815" spans="1:7" x14ac:dyDescent="0.35">
      <c r="A2815" t="s">
        <v>150</v>
      </c>
      <c r="E2815">
        <v>4.3831198319684251E-3</v>
      </c>
      <c r="F2815">
        <f t="shared" si="92"/>
        <v>-1.7873479778154958E-2</v>
      </c>
      <c r="G2815">
        <f t="shared" si="93"/>
        <v>-2.6176177825346029E-2</v>
      </c>
    </row>
    <row r="2816" spans="1:7" x14ac:dyDescent="0.35">
      <c r="A2816" t="s">
        <v>150</v>
      </c>
      <c r="E2816">
        <v>8.1628451754638346E-3</v>
      </c>
      <c r="F2816">
        <f t="shared" si="92"/>
        <v>-1.7879453190583882E-2</v>
      </c>
      <c r="G2816">
        <f t="shared" si="93"/>
        <v>-2.6176177825346029E-2</v>
      </c>
    </row>
    <row r="2817" spans="1:7" x14ac:dyDescent="0.35">
      <c r="A2817" t="s">
        <v>150</v>
      </c>
      <c r="E2817">
        <v>-2.6731919759709552E-3</v>
      </c>
      <c r="F2817">
        <f t="shared" si="92"/>
        <v>-1.7885426603012806E-2</v>
      </c>
      <c r="G2817">
        <f t="shared" si="93"/>
        <v>-2.6176177825346029E-2</v>
      </c>
    </row>
    <row r="2818" spans="1:7" x14ac:dyDescent="0.35">
      <c r="A2818" t="s">
        <v>150</v>
      </c>
      <c r="E2818">
        <v>1.0936697762937858E-3</v>
      </c>
      <c r="F2818">
        <f t="shared" si="92"/>
        <v>-1.7891400015441726E-2</v>
      </c>
      <c r="G2818">
        <f t="shared" si="93"/>
        <v>-2.6176177825346029E-2</v>
      </c>
    </row>
    <row r="2819" spans="1:7" x14ac:dyDescent="0.35">
      <c r="A2819" t="s">
        <v>150</v>
      </c>
      <c r="E2819">
        <v>-3.0819510402676402E-3</v>
      </c>
      <c r="F2819">
        <f t="shared" si="92"/>
        <v>-1.789737342787065E-2</v>
      </c>
      <c r="G2819">
        <f t="shared" si="93"/>
        <v>-2.6176177825346029E-2</v>
      </c>
    </row>
    <row r="2820" spans="1:7" x14ac:dyDescent="0.35">
      <c r="A2820" t="s">
        <v>150</v>
      </c>
      <c r="E2820">
        <v>2.8099535702594517E-3</v>
      </c>
      <c r="F2820">
        <f t="shared" ref="F2820:F2883" si="94">_xlfn.PERCENTILE.EXC(E2820:E6635,0.05)</f>
        <v>-1.7903346840299574E-2</v>
      </c>
      <c r="G2820">
        <f t="shared" ref="G2820:G2883" si="95">AVERAGEIFS(E2820:E6636,E2820:E6636,"&lt;=" &amp; F2820)</f>
        <v>-2.6176177825346029E-2</v>
      </c>
    </row>
    <row r="2821" spans="1:7" x14ac:dyDescent="0.35">
      <c r="A2821" t="s">
        <v>150</v>
      </c>
      <c r="E2821">
        <v>-9.0638653678250004E-3</v>
      </c>
      <c r="F2821">
        <f t="shared" si="94"/>
        <v>-1.7905151850343123E-2</v>
      </c>
      <c r="G2821">
        <f t="shared" si="95"/>
        <v>-2.6345011110755139E-2</v>
      </c>
    </row>
    <row r="2822" spans="1:7" x14ac:dyDescent="0.35">
      <c r="A2822" t="s">
        <v>150</v>
      </c>
      <c r="E2822">
        <v>-1.2076550545965332E-3</v>
      </c>
      <c r="F2822">
        <f t="shared" si="94"/>
        <v>-1.7906956860386677E-2</v>
      </c>
      <c r="G2822">
        <f t="shared" si="95"/>
        <v>-2.6345011110755139E-2</v>
      </c>
    </row>
    <row r="2823" spans="1:7" x14ac:dyDescent="0.35">
      <c r="A2823" t="s">
        <v>151</v>
      </c>
      <c r="B2823" s="3" cm="1">
        <f t="array" ref="B2823">_xlfn.STDEV.S(_xlfn._xlws.FILTER($E$2013:$E$3011, $A$2013:$A$3011="2021-05"))</f>
        <v>1.1309754778672347E-2</v>
      </c>
      <c r="C2823" s="3" cm="1">
        <f t="array" ref="C2823">AVERAGE(_xlfn._xlws.FILTER($E$2013:$E$3011, $A$2013:$A$3011="2021-05"))</f>
        <v>1.3921199939666235E-3</v>
      </c>
      <c r="D2823" s="3" cm="1">
        <f t="array" ref="D2823">_xlfn.PERCENTILE.INC(_xlfn._xlws.FILTER($E$2490:$E$3818, $A$2490:$A$3818="2021-05"), 0.05)</f>
        <v>-1.8428541660390332E-2</v>
      </c>
      <c r="E2823">
        <v>-1.8633932496901442E-2</v>
      </c>
      <c r="F2823">
        <f t="shared" si="94"/>
        <v>-1.7908761870430227E-2</v>
      </c>
      <c r="G2823">
        <f t="shared" si="95"/>
        <v>-2.6345011110755139E-2</v>
      </c>
    </row>
    <row r="2824" spans="1:7" x14ac:dyDescent="0.35">
      <c r="A2824" t="s">
        <v>151</v>
      </c>
      <c r="E2824">
        <v>2.0935075603399727E-2</v>
      </c>
      <c r="F2824">
        <f t="shared" si="94"/>
        <v>-1.7807772241436808E-2</v>
      </c>
      <c r="G2824">
        <f t="shared" si="95"/>
        <v>-2.6330101199395915E-2</v>
      </c>
    </row>
    <row r="2825" spans="1:7" x14ac:dyDescent="0.35">
      <c r="A2825" t="s">
        <v>151</v>
      </c>
      <c r="E2825">
        <v>1.7097218557027582E-3</v>
      </c>
      <c r="F2825">
        <f t="shared" si="94"/>
        <v>-1.7813745653865731E-2</v>
      </c>
      <c r="G2825">
        <f t="shared" si="95"/>
        <v>-2.6330101199395915E-2</v>
      </c>
    </row>
    <row r="2826" spans="1:7" x14ac:dyDescent="0.35">
      <c r="A2826" t="s">
        <v>151</v>
      </c>
      <c r="E2826">
        <v>1.326385072333734E-2</v>
      </c>
      <c r="F2826">
        <f t="shared" si="94"/>
        <v>-1.7819719066294652E-2</v>
      </c>
      <c r="G2826">
        <f t="shared" si="95"/>
        <v>-2.6330101199395915E-2</v>
      </c>
    </row>
    <row r="2827" spans="1:7" x14ac:dyDescent="0.35">
      <c r="A2827" t="s">
        <v>151</v>
      </c>
      <c r="E2827">
        <v>4.9350553223280724E-5</v>
      </c>
      <c r="F2827">
        <f t="shared" si="94"/>
        <v>-1.7825692478723575E-2</v>
      </c>
      <c r="G2827">
        <f t="shared" si="95"/>
        <v>-2.6330101199395915E-2</v>
      </c>
    </row>
    <row r="2828" spans="1:7" x14ac:dyDescent="0.35">
      <c r="A2828" t="s">
        <v>151</v>
      </c>
      <c r="E2828">
        <v>-1.8392296218653077E-2</v>
      </c>
      <c r="F2828">
        <f t="shared" si="94"/>
        <v>-1.7831665891152499E-2</v>
      </c>
      <c r="G2828">
        <f t="shared" si="95"/>
        <v>-2.6330101199395915E-2</v>
      </c>
    </row>
    <row r="2829" spans="1:7" x14ac:dyDescent="0.35">
      <c r="A2829" t="s">
        <v>151</v>
      </c>
      <c r="E2829">
        <v>2.0132170789301136E-3</v>
      </c>
      <c r="F2829">
        <f t="shared" si="94"/>
        <v>-1.7729670606860801E-2</v>
      </c>
      <c r="G2829">
        <f t="shared" si="95"/>
        <v>-2.6317684513132E-2</v>
      </c>
    </row>
    <row r="2830" spans="1:7" x14ac:dyDescent="0.35">
      <c r="A2830" t="s">
        <v>151</v>
      </c>
      <c r="E2830">
        <v>3.2593216969540439E-3</v>
      </c>
      <c r="F2830">
        <f t="shared" si="94"/>
        <v>-1.7734598605484465E-2</v>
      </c>
      <c r="G2830">
        <f t="shared" si="95"/>
        <v>-2.6317684513132E-2</v>
      </c>
    </row>
    <row r="2831" spans="1:7" x14ac:dyDescent="0.35">
      <c r="A2831" t="s">
        <v>151</v>
      </c>
      <c r="E2831">
        <v>1.4173070560056695E-2</v>
      </c>
      <c r="F2831">
        <f t="shared" si="94"/>
        <v>-1.773952660410813E-2</v>
      </c>
      <c r="G2831">
        <f t="shared" si="95"/>
        <v>-2.6317684513132E-2</v>
      </c>
    </row>
    <row r="2832" spans="1:7" x14ac:dyDescent="0.35">
      <c r="A2832" t="s">
        <v>151</v>
      </c>
      <c r="E2832">
        <v>-1.2994407483697414E-3</v>
      </c>
      <c r="F2832">
        <f t="shared" si="94"/>
        <v>-1.7744454602731795E-2</v>
      </c>
      <c r="G2832">
        <f t="shared" si="95"/>
        <v>-2.6317684513132E-2</v>
      </c>
    </row>
    <row r="2833" spans="1:7" x14ac:dyDescent="0.35">
      <c r="A2833" t="s">
        <v>151</v>
      </c>
      <c r="E2833">
        <v>-6.5230387717997657E-4</v>
      </c>
      <c r="F2833">
        <f t="shared" si="94"/>
        <v>-1.7749382601355463E-2</v>
      </c>
      <c r="G2833">
        <f t="shared" si="95"/>
        <v>-2.6317684513132E-2</v>
      </c>
    </row>
    <row r="2834" spans="1:7" x14ac:dyDescent="0.35">
      <c r="A2834" t="s">
        <v>151</v>
      </c>
      <c r="E2834">
        <v>-1.7903346840299574E-2</v>
      </c>
      <c r="F2834">
        <f t="shared" si="94"/>
        <v>-1.7754310599979128E-2</v>
      </c>
      <c r="G2834">
        <f t="shared" si="95"/>
        <v>-2.6317684513132E-2</v>
      </c>
    </row>
    <row r="2835" spans="1:7" x14ac:dyDescent="0.35">
      <c r="A2835" t="s">
        <v>151</v>
      </c>
      <c r="E2835">
        <v>1.6842119384446706E-2</v>
      </c>
      <c r="F2835">
        <f t="shared" si="94"/>
        <v>-1.7677089890634937E-2</v>
      </c>
      <c r="G2835">
        <f t="shared" si="95"/>
        <v>-2.631323495760033E-2</v>
      </c>
    </row>
    <row r="2836" spans="1:7" x14ac:dyDescent="0.35">
      <c r="A2836" t="s">
        <v>151</v>
      </c>
      <c r="E2836">
        <v>4.3657886835693381E-3</v>
      </c>
      <c r="F2836">
        <f t="shared" si="94"/>
        <v>-1.7678735636357513E-2</v>
      </c>
      <c r="G2836">
        <f t="shared" si="95"/>
        <v>-2.631323495760033E-2</v>
      </c>
    </row>
    <row r="2837" spans="1:7" x14ac:dyDescent="0.35">
      <c r="A2837" t="s">
        <v>151</v>
      </c>
      <c r="E2837">
        <v>1.7849635514621512E-3</v>
      </c>
      <c r="F2837">
        <f t="shared" si="94"/>
        <v>-1.7680381382080088E-2</v>
      </c>
      <c r="G2837">
        <f t="shared" si="95"/>
        <v>-2.631323495760033E-2</v>
      </c>
    </row>
    <row r="2838" spans="1:7" x14ac:dyDescent="0.35">
      <c r="A2838" t="s">
        <v>151</v>
      </c>
      <c r="E2838">
        <v>-9.296215130624603E-4</v>
      </c>
      <c r="F2838">
        <f t="shared" si="94"/>
        <v>-1.7682027127802667E-2</v>
      </c>
      <c r="G2838">
        <f t="shared" si="95"/>
        <v>-2.631323495760033E-2</v>
      </c>
    </row>
    <row r="2839" spans="1:7" x14ac:dyDescent="0.35">
      <c r="A2839" t="s">
        <v>151</v>
      </c>
      <c r="E2839">
        <v>-2.8511772554330357E-3</v>
      </c>
      <c r="F2839">
        <f t="shared" si="94"/>
        <v>-1.7683672873525243E-2</v>
      </c>
      <c r="G2839">
        <f t="shared" si="95"/>
        <v>-2.631323495760033E-2</v>
      </c>
    </row>
    <row r="2840" spans="1:7" x14ac:dyDescent="0.35">
      <c r="A2840" t="s">
        <v>151</v>
      </c>
      <c r="E2840">
        <v>7.3237991502163712E-3</v>
      </c>
      <c r="F2840">
        <f t="shared" si="94"/>
        <v>-1.7685318619247818E-2</v>
      </c>
      <c r="G2840">
        <f t="shared" si="95"/>
        <v>-2.631323495760033E-2</v>
      </c>
    </row>
    <row r="2841" spans="1:7" x14ac:dyDescent="0.35">
      <c r="A2841" t="s">
        <v>152</v>
      </c>
      <c r="B2841" s="3" cm="1">
        <f t="array" ref="B2841">_xlfn.STDEV.S(_xlfn._xlws.FILTER($E$2013:$E$3011, $A$2013:$A$3011="2021-06"))</f>
        <v>6.7597877545147369E-3</v>
      </c>
      <c r="C2841" s="3" cm="1">
        <f t="array" ref="C2841">AVERAGE(_xlfn._xlws.FILTER($E$2013:$E$3011, $A$2013:$A$3011="2021-06"))</f>
        <v>3.2380726558257472E-5</v>
      </c>
      <c r="D2841" s="3" cm="1">
        <f t="array" ref="D2841">_xlfn.PERCENTILE.EXC(_xlfn._xlws.FILTER($E$2490:$E$3818, $A$2490:$A$3818="2021-06"), 0.05)</f>
        <v>-1.6984711401830905E-2</v>
      </c>
      <c r="E2841">
        <v>3.048188534995235E-3</v>
      </c>
      <c r="F2841">
        <f t="shared" si="94"/>
        <v>-1.7690246617871483E-2</v>
      </c>
      <c r="G2841">
        <f t="shared" si="95"/>
        <v>-2.6492983214649341E-2</v>
      </c>
    </row>
    <row r="2842" spans="1:7" x14ac:dyDescent="0.35">
      <c r="A2842" t="s">
        <v>152</v>
      </c>
      <c r="E2842">
        <v>2.2682024875498989E-3</v>
      </c>
      <c r="F2842">
        <f t="shared" si="94"/>
        <v>-1.7695174616495148E-2</v>
      </c>
      <c r="G2842">
        <f t="shared" si="95"/>
        <v>-2.6492983214649341E-2</v>
      </c>
    </row>
    <row r="2843" spans="1:7" x14ac:dyDescent="0.35">
      <c r="A2843" t="s">
        <v>152</v>
      </c>
      <c r="E2843">
        <v>1.9183380632978499E-3</v>
      </c>
      <c r="F2843">
        <f t="shared" si="94"/>
        <v>-1.7700102615118812E-2</v>
      </c>
      <c r="G2843">
        <f t="shared" si="95"/>
        <v>-2.6492983214649341E-2</v>
      </c>
    </row>
    <row r="2844" spans="1:7" x14ac:dyDescent="0.35">
      <c r="A2844" t="s">
        <v>152</v>
      </c>
      <c r="E2844">
        <v>3.845425588099141E-3</v>
      </c>
      <c r="F2844">
        <f t="shared" si="94"/>
        <v>-1.7705030613742477E-2</v>
      </c>
      <c r="G2844">
        <f t="shared" si="95"/>
        <v>-2.6492983214649341E-2</v>
      </c>
    </row>
    <row r="2845" spans="1:7" x14ac:dyDescent="0.35">
      <c r="A2845" t="s">
        <v>152</v>
      </c>
      <c r="E2845">
        <v>-1.0041425705981867E-3</v>
      </c>
      <c r="F2845">
        <f t="shared" si="94"/>
        <v>-1.7709958612366142E-2</v>
      </c>
      <c r="G2845">
        <f t="shared" si="95"/>
        <v>-2.6492983214649341E-2</v>
      </c>
    </row>
    <row r="2846" spans="1:7" x14ac:dyDescent="0.35">
      <c r="A2846" t="s">
        <v>152</v>
      </c>
      <c r="E2846">
        <v>-2.3341406451195001E-3</v>
      </c>
      <c r="F2846">
        <f t="shared" si="94"/>
        <v>-1.7714886610989806E-2</v>
      </c>
      <c r="G2846">
        <f t="shared" si="95"/>
        <v>-2.6492983214649341E-2</v>
      </c>
    </row>
    <row r="2847" spans="1:7" x14ac:dyDescent="0.35">
      <c r="A2847" t="s">
        <v>152</v>
      </c>
      <c r="E2847">
        <v>-3.8088890552108387E-3</v>
      </c>
      <c r="F2847">
        <f t="shared" si="94"/>
        <v>-1.7719814609613471E-2</v>
      </c>
      <c r="G2847">
        <f t="shared" si="95"/>
        <v>-2.6492983214649341E-2</v>
      </c>
    </row>
    <row r="2848" spans="1:7" x14ac:dyDescent="0.35">
      <c r="A2848" t="s">
        <v>152</v>
      </c>
      <c r="E2848">
        <v>-6.3686990875163609E-4</v>
      </c>
      <c r="F2848">
        <f t="shared" si="94"/>
        <v>-1.7724742608237136E-2</v>
      </c>
      <c r="G2848">
        <f t="shared" si="95"/>
        <v>-2.6492983214649341E-2</v>
      </c>
    </row>
    <row r="2849" spans="1:7" x14ac:dyDescent="0.35">
      <c r="A2849" t="s">
        <v>152</v>
      </c>
      <c r="E2849">
        <v>7.8076194431703373E-3</v>
      </c>
      <c r="F2849">
        <f t="shared" si="94"/>
        <v>-1.7729670606860801E-2</v>
      </c>
      <c r="G2849">
        <f t="shared" si="95"/>
        <v>-2.6492983214649341E-2</v>
      </c>
    </row>
    <row r="2850" spans="1:7" x14ac:dyDescent="0.35">
      <c r="A2850" t="s">
        <v>152</v>
      </c>
      <c r="E2850">
        <v>-1.2516376374141795E-3</v>
      </c>
      <c r="F2850">
        <f t="shared" si="94"/>
        <v>-1.7734598605484465E-2</v>
      </c>
      <c r="G2850">
        <f t="shared" si="95"/>
        <v>-2.6492983214649341E-2</v>
      </c>
    </row>
    <row r="2851" spans="1:7" x14ac:dyDescent="0.35">
      <c r="A2851" t="s">
        <v>152</v>
      </c>
      <c r="E2851">
        <v>3.558881270523877E-3</v>
      </c>
      <c r="F2851">
        <f t="shared" si="94"/>
        <v>-1.773952660410813E-2</v>
      </c>
      <c r="G2851">
        <f t="shared" si="95"/>
        <v>-2.6492983214649341E-2</v>
      </c>
    </row>
    <row r="2852" spans="1:7" x14ac:dyDescent="0.35">
      <c r="A2852" t="s">
        <v>152</v>
      </c>
      <c r="E2852">
        <v>-1.2054674331256666E-3</v>
      </c>
      <c r="F2852">
        <f t="shared" si="94"/>
        <v>-1.7744454602731795E-2</v>
      </c>
      <c r="G2852">
        <f t="shared" si="95"/>
        <v>-2.6492983214649341E-2</v>
      </c>
    </row>
    <row r="2853" spans="1:7" x14ac:dyDescent="0.35">
      <c r="A2853" t="s">
        <v>152</v>
      </c>
      <c r="E2853">
        <v>1.0878472641192144E-3</v>
      </c>
      <c r="F2853">
        <f t="shared" si="94"/>
        <v>-1.7749382601355463E-2</v>
      </c>
      <c r="G2853">
        <f t="shared" si="95"/>
        <v>-2.6492983214649341E-2</v>
      </c>
    </row>
    <row r="2854" spans="1:7" x14ac:dyDescent="0.35">
      <c r="A2854" t="s">
        <v>152</v>
      </c>
      <c r="E2854">
        <v>-1.7939447041170599E-2</v>
      </c>
      <c r="F2854">
        <f t="shared" si="94"/>
        <v>-1.7754310599979128E-2</v>
      </c>
      <c r="G2854">
        <f t="shared" si="95"/>
        <v>-2.6492983214649341E-2</v>
      </c>
    </row>
    <row r="2855" spans="1:7" x14ac:dyDescent="0.35">
      <c r="A2855" t="s">
        <v>152</v>
      </c>
      <c r="E2855">
        <v>9.9964505433086832E-3</v>
      </c>
      <c r="F2855">
        <f t="shared" si="94"/>
        <v>-1.7677089890634937E-2</v>
      </c>
      <c r="G2855">
        <f t="shared" si="95"/>
        <v>-2.648768887252595E-2</v>
      </c>
    </row>
    <row r="2856" spans="1:7" x14ac:dyDescent="0.35">
      <c r="A2856" t="s">
        <v>152</v>
      </c>
      <c r="E2856">
        <v>2.11846785185582E-3</v>
      </c>
      <c r="F2856">
        <f t="shared" si="94"/>
        <v>-1.7678735636357513E-2</v>
      </c>
      <c r="G2856">
        <f t="shared" si="95"/>
        <v>-2.648768887252595E-2</v>
      </c>
    </row>
    <row r="2857" spans="1:7" x14ac:dyDescent="0.35">
      <c r="A2857" t="s">
        <v>152</v>
      </c>
      <c r="E2857">
        <v>-1.1574542778905973E-2</v>
      </c>
      <c r="F2857">
        <f t="shared" si="94"/>
        <v>-1.7680381382080088E-2</v>
      </c>
      <c r="G2857">
        <f t="shared" si="95"/>
        <v>-2.648768887252595E-2</v>
      </c>
    </row>
    <row r="2858" spans="1:7" x14ac:dyDescent="0.35">
      <c r="A2858" t="s">
        <v>152</v>
      </c>
      <c r="E2858">
        <v>8.5577811438329737E-3</v>
      </c>
      <c r="F2858">
        <f t="shared" si="94"/>
        <v>-1.7682027127802667E-2</v>
      </c>
      <c r="G2858">
        <f t="shared" si="95"/>
        <v>-2.648768887252595E-2</v>
      </c>
    </row>
    <row r="2859" spans="1:7" x14ac:dyDescent="0.35">
      <c r="A2859" t="s">
        <v>152</v>
      </c>
      <c r="E2859">
        <v>1.2013900128224596E-3</v>
      </c>
      <c r="F2859">
        <f t="shared" si="94"/>
        <v>-1.7683672873525243E-2</v>
      </c>
      <c r="G2859">
        <f t="shared" si="95"/>
        <v>-2.648768887252595E-2</v>
      </c>
    </row>
    <row r="2860" spans="1:7" x14ac:dyDescent="0.35">
      <c r="A2860" t="s">
        <v>152</v>
      </c>
      <c r="E2860">
        <v>-3.4522684361078244E-3</v>
      </c>
      <c r="F2860">
        <f t="shared" si="94"/>
        <v>-1.7685318619247818E-2</v>
      </c>
      <c r="G2860">
        <f t="shared" si="95"/>
        <v>-2.648768887252595E-2</v>
      </c>
    </row>
    <row r="2861" spans="1:7" x14ac:dyDescent="0.35">
      <c r="A2861" t="s">
        <v>152</v>
      </c>
      <c r="E2861">
        <v>8.7317568154772606E-3</v>
      </c>
      <c r="F2861">
        <f t="shared" si="94"/>
        <v>-1.7690246617871483E-2</v>
      </c>
      <c r="G2861">
        <f t="shared" si="95"/>
        <v>-2.6674973345999952E-2</v>
      </c>
    </row>
    <row r="2862" spans="1:7" x14ac:dyDescent="0.35">
      <c r="A2862" t="s">
        <v>152</v>
      </c>
      <c r="E2862">
        <v>-1.0220567528366684E-2</v>
      </c>
      <c r="F2862">
        <f t="shared" si="94"/>
        <v>-1.7695174616495148E-2</v>
      </c>
      <c r="G2862">
        <f t="shared" si="95"/>
        <v>-2.6674973345999952E-2</v>
      </c>
    </row>
    <row r="2863" spans="1:7" x14ac:dyDescent="0.35">
      <c r="A2863" t="s">
        <v>153</v>
      </c>
      <c r="B2863" s="3" cm="1">
        <f t="array" ref="B2863">_xlfn.STDEV.S(_xlfn._xlws.FILTER($E$2013:$E$3011, $A$2013:$A$3011="2021-07"))</f>
        <v>1.025692825900814E-2</v>
      </c>
      <c r="C2863" s="3" cm="1">
        <f t="array" ref="C2863">AVERAGE(_xlfn._xlws.FILTER($E$2013:$E$3011, $A$2013:$A$3011="2021-07"))</f>
        <v>3.9054534025674704E-5</v>
      </c>
      <c r="D2863" s="3" cm="1">
        <f t="array" ref="D2863">_xlfn.PERCENTILE.EXC(_xlfn._xlws.FILTER($E$2490:$E$3818, $A$2490:$A$3818="2021-07"), 0.05)</f>
        <v>-2.5187754593195329E-2</v>
      </c>
      <c r="E2863">
        <v>4.6745131265125504E-3</v>
      </c>
      <c r="F2863">
        <f t="shared" si="94"/>
        <v>-1.7700102615118812E-2</v>
      </c>
      <c r="G2863">
        <f t="shared" si="95"/>
        <v>-2.6674973345999952E-2</v>
      </c>
    </row>
    <row r="2864" spans="1:7" x14ac:dyDescent="0.35">
      <c r="A2864" t="s">
        <v>153</v>
      </c>
      <c r="E2864">
        <v>2.9615525631056117E-3</v>
      </c>
      <c r="F2864">
        <f t="shared" si="94"/>
        <v>-1.7705030613742477E-2</v>
      </c>
      <c r="G2864">
        <f t="shared" si="95"/>
        <v>-2.6674973345999952E-2</v>
      </c>
    </row>
    <row r="2865" spans="1:7" x14ac:dyDescent="0.35">
      <c r="A2865" t="s">
        <v>153</v>
      </c>
      <c r="E2865">
        <v>7.5881309438217124E-4</v>
      </c>
      <c r="F2865">
        <f t="shared" si="94"/>
        <v>-1.7709958612366142E-2</v>
      </c>
      <c r="G2865">
        <f t="shared" si="95"/>
        <v>-2.6674973345999952E-2</v>
      </c>
    </row>
    <row r="2866" spans="1:7" x14ac:dyDescent="0.35">
      <c r="A2866" t="s">
        <v>153</v>
      </c>
      <c r="E2866">
        <v>-9.6615327773785127E-3</v>
      </c>
      <c r="F2866">
        <f t="shared" si="94"/>
        <v>-1.7714886610989806E-2</v>
      </c>
      <c r="G2866">
        <f t="shared" si="95"/>
        <v>-2.6674973345999952E-2</v>
      </c>
    </row>
    <row r="2867" spans="1:7" x14ac:dyDescent="0.35">
      <c r="A2867" t="s">
        <v>153</v>
      </c>
      <c r="E2867">
        <v>1.1622325223600587E-2</v>
      </c>
      <c r="F2867">
        <f t="shared" si="94"/>
        <v>-1.7719814609613471E-2</v>
      </c>
      <c r="G2867">
        <f t="shared" si="95"/>
        <v>-2.6674973345999952E-2</v>
      </c>
    </row>
    <row r="2868" spans="1:7" x14ac:dyDescent="0.35">
      <c r="A2868" t="s">
        <v>153</v>
      </c>
      <c r="E2868">
        <v>-1.7489401495499889E-2</v>
      </c>
      <c r="F2868">
        <f t="shared" si="94"/>
        <v>-1.7724742608237136E-2</v>
      </c>
      <c r="G2868">
        <f t="shared" si="95"/>
        <v>-2.6674973345999952E-2</v>
      </c>
    </row>
    <row r="2869" spans="1:7" x14ac:dyDescent="0.35">
      <c r="A2869" t="s">
        <v>153</v>
      </c>
      <c r="E2869">
        <v>1.7184755061458501E-2</v>
      </c>
      <c r="F2869">
        <f t="shared" si="94"/>
        <v>-1.7729670606860801E-2</v>
      </c>
      <c r="G2869">
        <f t="shared" si="95"/>
        <v>-2.6674973345999952E-2</v>
      </c>
    </row>
    <row r="2870" spans="1:7" x14ac:dyDescent="0.35">
      <c r="A2870" t="s">
        <v>153</v>
      </c>
      <c r="E2870">
        <v>6.5174997944095377E-3</v>
      </c>
      <c r="F2870">
        <f t="shared" si="94"/>
        <v>-1.7734598605484465E-2</v>
      </c>
      <c r="G2870">
        <f t="shared" si="95"/>
        <v>-2.6674973345999952E-2</v>
      </c>
    </row>
    <row r="2871" spans="1:7" x14ac:dyDescent="0.35">
      <c r="A2871" t="s">
        <v>153</v>
      </c>
      <c r="E2871">
        <v>-5.5097901702222564E-5</v>
      </c>
      <c r="F2871">
        <f t="shared" si="94"/>
        <v>-1.773952660410813E-2</v>
      </c>
      <c r="G2871">
        <f t="shared" si="95"/>
        <v>-2.6674973345999952E-2</v>
      </c>
    </row>
    <row r="2872" spans="1:7" x14ac:dyDescent="0.35">
      <c r="A2872" t="s">
        <v>153</v>
      </c>
      <c r="E2872">
        <v>-4.1800433337227246E-5</v>
      </c>
      <c r="F2872">
        <f t="shared" si="94"/>
        <v>-1.7744454602731795E-2</v>
      </c>
      <c r="G2872">
        <f t="shared" si="95"/>
        <v>-2.6674973345999952E-2</v>
      </c>
    </row>
    <row r="2873" spans="1:7" x14ac:dyDescent="0.35">
      <c r="A2873" t="s">
        <v>153</v>
      </c>
      <c r="E2873">
        <v>-1.0141837176524577E-2</v>
      </c>
      <c r="F2873">
        <f t="shared" si="94"/>
        <v>-1.7749382601355463E-2</v>
      </c>
      <c r="G2873">
        <f t="shared" si="95"/>
        <v>-2.6674973345999952E-2</v>
      </c>
    </row>
    <row r="2874" spans="1:7" x14ac:dyDescent="0.35">
      <c r="A2874" t="s">
        <v>153</v>
      </c>
      <c r="E2874">
        <v>-5.7330978972761149E-3</v>
      </c>
      <c r="F2874">
        <f t="shared" si="94"/>
        <v>-1.7754310599979128E-2</v>
      </c>
      <c r="G2874">
        <f t="shared" si="95"/>
        <v>-2.6674973345999952E-2</v>
      </c>
    </row>
    <row r="2875" spans="1:7" x14ac:dyDescent="0.35">
      <c r="A2875" t="s">
        <v>153</v>
      </c>
      <c r="E2875">
        <v>-2.6546287492788645E-2</v>
      </c>
      <c r="F2875">
        <f t="shared" si="94"/>
        <v>-1.7759238598602792E-2</v>
      </c>
      <c r="G2875">
        <f t="shared" si="95"/>
        <v>-2.6674973345999952E-2</v>
      </c>
    </row>
    <row r="2876" spans="1:7" x14ac:dyDescent="0.35">
      <c r="A2876" t="s">
        <v>153</v>
      </c>
      <c r="E2876">
        <v>5.4742443574062249E-3</v>
      </c>
      <c r="F2876">
        <f t="shared" si="94"/>
        <v>-1.7678735636357513E-2</v>
      </c>
      <c r="G2876">
        <f t="shared" si="95"/>
        <v>-2.6486442093371424E-2</v>
      </c>
    </row>
    <row r="2877" spans="1:7" x14ac:dyDescent="0.35">
      <c r="A2877" t="s">
        <v>153</v>
      </c>
      <c r="E2877">
        <v>1.3462231976558176E-2</v>
      </c>
      <c r="F2877">
        <f t="shared" si="94"/>
        <v>-1.7680381382080088E-2</v>
      </c>
      <c r="G2877">
        <f t="shared" si="95"/>
        <v>-2.6486442093371424E-2</v>
      </c>
    </row>
    <row r="2878" spans="1:7" x14ac:dyDescent="0.35">
      <c r="A2878" t="s">
        <v>153</v>
      </c>
      <c r="E2878">
        <v>5.9501666321162723E-3</v>
      </c>
      <c r="F2878">
        <f t="shared" si="94"/>
        <v>-1.7682027127802667E-2</v>
      </c>
      <c r="G2878">
        <f t="shared" si="95"/>
        <v>-2.6486442093371424E-2</v>
      </c>
    </row>
    <row r="2879" spans="1:7" x14ac:dyDescent="0.35">
      <c r="A2879" t="s">
        <v>153</v>
      </c>
      <c r="E2879">
        <v>9.9250970990345123E-3</v>
      </c>
      <c r="F2879">
        <f t="shared" si="94"/>
        <v>-1.7683672873525243E-2</v>
      </c>
      <c r="G2879">
        <f t="shared" si="95"/>
        <v>-2.6486442093371424E-2</v>
      </c>
    </row>
    <row r="2880" spans="1:7" x14ac:dyDescent="0.35">
      <c r="A2880" t="s">
        <v>153</v>
      </c>
      <c r="E2880">
        <v>-3.2159044497508684E-3</v>
      </c>
      <c r="F2880">
        <f t="shared" si="94"/>
        <v>-1.7685318619247818E-2</v>
      </c>
      <c r="G2880">
        <f t="shared" si="95"/>
        <v>-2.6486442093371424E-2</v>
      </c>
    </row>
    <row r="2881" spans="1:7" x14ac:dyDescent="0.35">
      <c r="A2881" t="s">
        <v>153</v>
      </c>
      <c r="E2881">
        <v>-6.4133849002505714E-3</v>
      </c>
      <c r="F2881">
        <f t="shared" si="94"/>
        <v>-1.7690246617871483E-2</v>
      </c>
      <c r="G2881">
        <f t="shared" si="95"/>
        <v>-2.6677770864548023E-2</v>
      </c>
    </row>
    <row r="2882" spans="1:7" x14ac:dyDescent="0.35">
      <c r="A2882" t="s">
        <v>153</v>
      </c>
      <c r="E2882">
        <v>3.2956504830890586E-3</v>
      </c>
      <c r="F2882">
        <f t="shared" si="94"/>
        <v>-1.7695174616495148E-2</v>
      </c>
      <c r="G2882">
        <f t="shared" si="95"/>
        <v>-2.6677770864548023E-2</v>
      </c>
    </row>
    <row r="2883" spans="1:7" x14ac:dyDescent="0.35">
      <c r="A2883" t="s">
        <v>153</v>
      </c>
      <c r="E2883">
        <v>4.4926788506383436E-3</v>
      </c>
      <c r="F2883">
        <f t="shared" si="94"/>
        <v>-1.7700102615118812E-2</v>
      </c>
      <c r="G2883">
        <f t="shared" si="95"/>
        <v>-2.6677770864548023E-2</v>
      </c>
    </row>
    <row r="2884" spans="1:7" x14ac:dyDescent="0.35">
      <c r="A2884" t="s">
        <v>153</v>
      </c>
      <c r="E2884">
        <v>-6.1619839892380728E-3</v>
      </c>
      <c r="F2884">
        <f t="shared" ref="F2884:F2947" si="96">_xlfn.PERCENTILE.EXC(E2884:E6699,0.05)</f>
        <v>-1.7705030613742477E-2</v>
      </c>
      <c r="G2884">
        <f t="shared" ref="G2884:G2947" si="97">AVERAGEIFS(E2884:E6700,E2884:E6700,"&lt;=" &amp; F2884)</f>
        <v>-2.6677770864548023E-2</v>
      </c>
    </row>
    <row r="2885" spans="1:7" x14ac:dyDescent="0.35">
      <c r="A2885" t="s">
        <v>154</v>
      </c>
      <c r="B2885" s="3" cm="1">
        <f t="array" ref="B2885">_xlfn.STDEV.S(_xlfn._xlws.FILTER($E$2013:$E$3011, $A$2013:$A$3011="2021-08"))</f>
        <v>4.4261058765643633E-3</v>
      </c>
      <c r="C2885" s="3" cm="1">
        <f t="array" ref="C2885">AVERAGE(_xlfn._xlws.FILTER($E$2013:$E$3011, $A$2013:$A$3011="2021-08"))</f>
        <v>8.8231246473367538E-4</v>
      </c>
      <c r="D2885" s="3" cm="1">
        <f t="array" ref="D2885">_xlfn.PERCENTILE.EXC(_xlfn._xlws.FILTER($E$2490:$E$3818, $A$2490:$A$3818="2021-08"), 0.05)</f>
        <v>-1.1777896666868447E-2</v>
      </c>
      <c r="E2885">
        <v>1.5646135755842971E-3</v>
      </c>
      <c r="F2885">
        <f t="shared" si="96"/>
        <v>-1.7709958612366142E-2</v>
      </c>
      <c r="G2885">
        <f t="shared" si="97"/>
        <v>-2.6677770864548023E-2</v>
      </c>
    </row>
    <row r="2886" spans="1:7" x14ac:dyDescent="0.35">
      <c r="A2886" t="s">
        <v>154</v>
      </c>
      <c r="E2886">
        <v>-8.7714202568174289E-4</v>
      </c>
      <c r="F2886">
        <f t="shared" si="96"/>
        <v>-1.7714886610989806E-2</v>
      </c>
      <c r="G2886">
        <f t="shared" si="97"/>
        <v>-2.6677770864548023E-2</v>
      </c>
    </row>
    <row r="2887" spans="1:7" x14ac:dyDescent="0.35">
      <c r="A2887" t="s">
        <v>154</v>
      </c>
      <c r="E2887">
        <v>8.7720394119583777E-3</v>
      </c>
      <c r="F2887">
        <f t="shared" si="96"/>
        <v>-1.7719814609613471E-2</v>
      </c>
      <c r="G2887">
        <f t="shared" si="97"/>
        <v>-2.6677770864548023E-2</v>
      </c>
    </row>
    <row r="2888" spans="1:7" x14ac:dyDescent="0.35">
      <c r="A2888" t="s">
        <v>154</v>
      </c>
      <c r="E2888">
        <v>3.342582509573934E-3</v>
      </c>
      <c r="F2888">
        <f t="shared" si="96"/>
        <v>-1.7724742608237136E-2</v>
      </c>
      <c r="G2888">
        <f t="shared" si="97"/>
        <v>-2.6677770864548023E-2</v>
      </c>
    </row>
    <row r="2889" spans="1:7" x14ac:dyDescent="0.35">
      <c r="A2889" t="s">
        <v>154</v>
      </c>
      <c r="E2889">
        <v>1.0651899749376621E-3</v>
      </c>
      <c r="F2889">
        <f t="shared" si="96"/>
        <v>-1.7729670606860801E-2</v>
      </c>
      <c r="G2889">
        <f t="shared" si="97"/>
        <v>-2.6677770864548023E-2</v>
      </c>
    </row>
    <row r="2890" spans="1:7" x14ac:dyDescent="0.35">
      <c r="A2890" t="s">
        <v>154</v>
      </c>
      <c r="E2890">
        <v>-1.0181910470126582E-3</v>
      </c>
      <c r="F2890">
        <f t="shared" si="96"/>
        <v>-1.7734598605484465E-2</v>
      </c>
      <c r="G2890">
        <f t="shared" si="97"/>
        <v>-2.6677770864548023E-2</v>
      </c>
    </row>
    <row r="2891" spans="1:7" x14ac:dyDescent="0.35">
      <c r="A2891" t="s">
        <v>154</v>
      </c>
      <c r="E2891">
        <v>1.6055279288624629E-3</v>
      </c>
      <c r="F2891">
        <f t="shared" si="96"/>
        <v>-1.773952660410813E-2</v>
      </c>
      <c r="G2891">
        <f t="shared" si="97"/>
        <v>-2.6677770864548023E-2</v>
      </c>
    </row>
    <row r="2892" spans="1:7" x14ac:dyDescent="0.35">
      <c r="A2892" t="s">
        <v>154</v>
      </c>
      <c r="E2892">
        <v>3.5054218597470308E-3</v>
      </c>
      <c r="F2892">
        <f t="shared" si="96"/>
        <v>-1.7744454602731795E-2</v>
      </c>
      <c r="G2892">
        <f t="shared" si="97"/>
        <v>-2.6677770864548023E-2</v>
      </c>
    </row>
    <row r="2893" spans="1:7" x14ac:dyDescent="0.35">
      <c r="A2893" t="s">
        <v>154</v>
      </c>
      <c r="E2893">
        <v>7.0156063541635845E-3</v>
      </c>
      <c r="F2893">
        <f t="shared" si="96"/>
        <v>-1.7749382601355463E-2</v>
      </c>
      <c r="G2893">
        <f t="shared" si="97"/>
        <v>-2.6677770864548023E-2</v>
      </c>
    </row>
    <row r="2894" spans="1:7" x14ac:dyDescent="0.35">
      <c r="A2894" t="s">
        <v>154</v>
      </c>
      <c r="E2894">
        <v>2.5022768849565311E-3</v>
      </c>
      <c r="F2894">
        <f t="shared" si="96"/>
        <v>-1.7754310599979128E-2</v>
      </c>
      <c r="G2894">
        <f t="shared" si="97"/>
        <v>-2.6677770864548023E-2</v>
      </c>
    </row>
    <row r="2895" spans="1:7" x14ac:dyDescent="0.35">
      <c r="A2895" t="s">
        <v>154</v>
      </c>
      <c r="E2895">
        <v>-3.2416869723615968E-3</v>
      </c>
      <c r="F2895">
        <f t="shared" si="96"/>
        <v>-1.7759238598602792E-2</v>
      </c>
      <c r="G2895">
        <f t="shared" si="97"/>
        <v>-2.6677770864548023E-2</v>
      </c>
    </row>
    <row r="2896" spans="1:7" x14ac:dyDescent="0.35">
      <c r="A2896" t="s">
        <v>154</v>
      </c>
      <c r="E2896">
        <v>-2.3737992957411657E-4</v>
      </c>
      <c r="F2896">
        <f t="shared" si="96"/>
        <v>-1.7764166597226457E-2</v>
      </c>
      <c r="G2896">
        <f t="shared" si="97"/>
        <v>-2.6677770864548023E-2</v>
      </c>
    </row>
    <row r="2897" spans="1:7" x14ac:dyDescent="0.35">
      <c r="A2897" t="s">
        <v>154</v>
      </c>
      <c r="E2897">
        <v>2.7609218765327079E-3</v>
      </c>
      <c r="F2897">
        <f t="shared" si="96"/>
        <v>-1.7769094595850122E-2</v>
      </c>
      <c r="G2897">
        <f t="shared" si="97"/>
        <v>-2.6677770864548023E-2</v>
      </c>
    </row>
    <row r="2898" spans="1:7" x14ac:dyDescent="0.35">
      <c r="A2898" t="s">
        <v>154</v>
      </c>
      <c r="E2898">
        <v>-1.2615910913406718E-2</v>
      </c>
      <c r="F2898">
        <f t="shared" si="96"/>
        <v>-1.7774022594473787E-2</v>
      </c>
      <c r="G2898">
        <f t="shared" si="97"/>
        <v>-2.6677770864548023E-2</v>
      </c>
    </row>
    <row r="2899" spans="1:7" x14ac:dyDescent="0.35">
      <c r="A2899" t="s">
        <v>154</v>
      </c>
      <c r="E2899">
        <v>2.675000051107778E-3</v>
      </c>
      <c r="F2899">
        <f t="shared" si="96"/>
        <v>-1.7778950593097451E-2</v>
      </c>
      <c r="G2899">
        <f t="shared" si="97"/>
        <v>-2.6677770864548023E-2</v>
      </c>
    </row>
    <row r="2900" spans="1:7" x14ac:dyDescent="0.35">
      <c r="A2900" t="s">
        <v>154</v>
      </c>
      <c r="E2900">
        <v>2.8268387025753832E-3</v>
      </c>
      <c r="F2900">
        <f t="shared" si="96"/>
        <v>-1.7783878591721116E-2</v>
      </c>
      <c r="G2900">
        <f t="shared" si="97"/>
        <v>-2.6677770864548023E-2</v>
      </c>
    </row>
    <row r="2901" spans="1:7" x14ac:dyDescent="0.35">
      <c r="A2901" t="s">
        <v>154</v>
      </c>
      <c r="E2901">
        <v>3.3414560175970593E-3</v>
      </c>
      <c r="F2901">
        <f t="shared" si="96"/>
        <v>-1.7802145456375949E-2</v>
      </c>
      <c r="G2901">
        <f t="shared" si="97"/>
        <v>-2.687541291505529E-2</v>
      </c>
    </row>
    <row r="2902" spans="1:7" x14ac:dyDescent="0.35">
      <c r="A2902" t="s">
        <v>154</v>
      </c>
      <c r="E2902">
        <v>-2.8451366224160144E-3</v>
      </c>
      <c r="F2902">
        <f t="shared" si="96"/>
        <v>-1.7820412321030786E-2</v>
      </c>
      <c r="G2902">
        <f t="shared" si="97"/>
        <v>-2.687541291505529E-2</v>
      </c>
    </row>
    <row r="2903" spans="1:7" x14ac:dyDescent="0.35">
      <c r="A2903" t="s">
        <v>154</v>
      </c>
      <c r="E2903">
        <v>-4.2357684480240215E-3</v>
      </c>
      <c r="F2903">
        <f t="shared" si="96"/>
        <v>-1.7838679185685623E-2</v>
      </c>
      <c r="G2903">
        <f t="shared" si="97"/>
        <v>-2.687541291505529E-2</v>
      </c>
    </row>
    <row r="2904" spans="1:7" x14ac:dyDescent="0.35">
      <c r="A2904" t="s">
        <v>154</v>
      </c>
      <c r="E2904">
        <v>3.6738433067653674E-3</v>
      </c>
      <c r="F2904">
        <f t="shared" si="96"/>
        <v>-1.7856946050340456E-2</v>
      </c>
      <c r="G2904">
        <f t="shared" si="97"/>
        <v>-2.687541291505529E-2</v>
      </c>
    </row>
    <row r="2905" spans="1:7" x14ac:dyDescent="0.35">
      <c r="A2905" t="s">
        <v>154</v>
      </c>
      <c r="E2905">
        <v>-1.0515407364781234E-3</v>
      </c>
      <c r="F2905">
        <f t="shared" si="96"/>
        <v>-1.7875212914995293E-2</v>
      </c>
      <c r="G2905">
        <f t="shared" si="97"/>
        <v>-2.687541291505529E-2</v>
      </c>
    </row>
    <row r="2906" spans="1:7" x14ac:dyDescent="0.35">
      <c r="A2906" t="s">
        <v>155</v>
      </c>
      <c r="B2906" s="3" cm="1">
        <f t="array" ref="B2906">_xlfn.STDEV.S(_xlfn._xlws.FILTER($E$2013:$E$3011, $A$2013:$A$3011="2021-09"))</f>
        <v>9.8392192224972756E-3</v>
      </c>
      <c r="C2906" s="3" cm="1">
        <f t="array" ref="C2906">AVERAGE(_xlfn._xlws.FILTER($E$2013:$E$3011, $A$2013:$A$3011="2021-09"))</f>
        <v>-1.6794601136807933E-3</v>
      </c>
      <c r="D2906" s="3" cm="1">
        <f t="array" ref="D2906">_xlfn.PERCENTILE.EXC(_xlfn._xlws.FILTER($E$2490:$E$3818, $A$2490:$A$3818="2021-09"), 0.05)</f>
        <v>-2.3047975664388536E-2</v>
      </c>
      <c r="E2906">
        <v>-6.8226228175875163E-4</v>
      </c>
      <c r="F2906">
        <f t="shared" si="96"/>
        <v>-1.7893479779650126E-2</v>
      </c>
      <c r="G2906">
        <f t="shared" si="97"/>
        <v>-2.687541291505529E-2</v>
      </c>
    </row>
    <row r="2907" spans="1:7" x14ac:dyDescent="0.35">
      <c r="A2907" t="s">
        <v>155</v>
      </c>
      <c r="E2907">
        <v>1.0295318624131077E-3</v>
      </c>
      <c r="F2907">
        <f t="shared" si="96"/>
        <v>-1.7911746644304963E-2</v>
      </c>
      <c r="G2907">
        <f t="shared" si="97"/>
        <v>-2.687541291505529E-2</v>
      </c>
    </row>
    <row r="2908" spans="1:7" x14ac:dyDescent="0.35">
      <c r="A2908" t="s">
        <v>155</v>
      </c>
      <c r="E2908">
        <v>-3.7562750135747536E-3</v>
      </c>
      <c r="F2908">
        <f t="shared" si="96"/>
        <v>-1.79300135089598E-2</v>
      </c>
      <c r="G2908">
        <f t="shared" si="97"/>
        <v>-2.687541291505529E-2</v>
      </c>
    </row>
    <row r="2909" spans="1:7" x14ac:dyDescent="0.35">
      <c r="A2909" t="s">
        <v>155</v>
      </c>
      <c r="E2909">
        <v>9.5178391482967344E-3</v>
      </c>
      <c r="F2909">
        <f t="shared" si="96"/>
        <v>-1.7948280373614633E-2</v>
      </c>
      <c r="G2909">
        <f t="shared" si="97"/>
        <v>-2.687541291505529E-2</v>
      </c>
    </row>
    <row r="2910" spans="1:7" x14ac:dyDescent="0.35">
      <c r="A2910" t="s">
        <v>155</v>
      </c>
      <c r="E2910">
        <v>-5.6037541830252762E-3</v>
      </c>
      <c r="F2910">
        <f t="shared" si="96"/>
        <v>-1.796654723826947E-2</v>
      </c>
      <c r="G2910">
        <f t="shared" si="97"/>
        <v>-2.687541291505529E-2</v>
      </c>
    </row>
    <row r="2911" spans="1:7" x14ac:dyDescent="0.35">
      <c r="A2911" t="s">
        <v>155</v>
      </c>
      <c r="E2911">
        <v>-1.4803771532852403E-2</v>
      </c>
      <c r="F2911">
        <f t="shared" si="96"/>
        <v>-1.7984814102924303E-2</v>
      </c>
      <c r="G2911">
        <f t="shared" si="97"/>
        <v>-2.687541291505529E-2</v>
      </c>
    </row>
    <row r="2912" spans="1:7" x14ac:dyDescent="0.35">
      <c r="A2912" t="s">
        <v>155</v>
      </c>
      <c r="E2912">
        <v>8.24117026430129E-4</v>
      </c>
      <c r="F2912">
        <f t="shared" si="96"/>
        <v>-1.800308096757914E-2</v>
      </c>
      <c r="G2912">
        <f t="shared" si="97"/>
        <v>-2.687541291505529E-2</v>
      </c>
    </row>
    <row r="2913" spans="1:7" x14ac:dyDescent="0.35">
      <c r="A2913" t="s">
        <v>155</v>
      </c>
      <c r="E2913">
        <v>-8.5422584418417061E-4</v>
      </c>
      <c r="F2913">
        <f t="shared" si="96"/>
        <v>-1.8021347832233976E-2</v>
      </c>
      <c r="G2913">
        <f t="shared" si="97"/>
        <v>-2.687541291505529E-2</v>
      </c>
    </row>
    <row r="2914" spans="1:7" x14ac:dyDescent="0.35">
      <c r="A2914" t="s">
        <v>155</v>
      </c>
      <c r="E2914">
        <v>5.8515913557071987E-3</v>
      </c>
      <c r="F2914">
        <f t="shared" si="96"/>
        <v>-1.803961469688881E-2</v>
      </c>
      <c r="G2914">
        <f t="shared" si="97"/>
        <v>-2.687541291505529E-2</v>
      </c>
    </row>
    <row r="2915" spans="1:7" x14ac:dyDescent="0.35">
      <c r="A2915" t="s">
        <v>155</v>
      </c>
      <c r="E2915">
        <v>1.3728183528423845E-3</v>
      </c>
      <c r="F2915">
        <f t="shared" si="96"/>
        <v>-1.8057881561543646E-2</v>
      </c>
      <c r="G2915">
        <f t="shared" si="97"/>
        <v>-2.687541291505529E-2</v>
      </c>
    </row>
    <row r="2916" spans="1:7" x14ac:dyDescent="0.35">
      <c r="A2916" t="s">
        <v>155</v>
      </c>
      <c r="E2916">
        <v>-6.8279428062605514E-3</v>
      </c>
      <c r="F2916">
        <f t="shared" si="96"/>
        <v>-1.807614842619848E-2</v>
      </c>
      <c r="G2916">
        <f t="shared" si="97"/>
        <v>-2.687541291505529E-2</v>
      </c>
    </row>
    <row r="2917" spans="1:7" x14ac:dyDescent="0.35">
      <c r="A2917" t="s">
        <v>155</v>
      </c>
      <c r="E2917">
        <v>2.2867021501759171E-3</v>
      </c>
      <c r="F2917">
        <f t="shared" si="96"/>
        <v>-1.8094415290853316E-2</v>
      </c>
      <c r="G2917">
        <f t="shared" si="97"/>
        <v>-2.687541291505529E-2</v>
      </c>
    </row>
    <row r="2918" spans="1:7" x14ac:dyDescent="0.35">
      <c r="A2918" t="s">
        <v>155</v>
      </c>
      <c r="E2918">
        <v>-1.0377102629892167E-2</v>
      </c>
      <c r="F2918">
        <f t="shared" si="96"/>
        <v>-1.8112682155508153E-2</v>
      </c>
      <c r="G2918">
        <f t="shared" si="97"/>
        <v>-2.687541291505529E-2</v>
      </c>
    </row>
    <row r="2919" spans="1:7" x14ac:dyDescent="0.35">
      <c r="A2919" t="s">
        <v>155</v>
      </c>
      <c r="E2919">
        <v>-2.3389957321040773E-2</v>
      </c>
      <c r="F2919">
        <f t="shared" si="96"/>
        <v>-1.8130949020162986E-2</v>
      </c>
      <c r="G2919">
        <f t="shared" si="97"/>
        <v>-2.687541291505529E-2</v>
      </c>
    </row>
    <row r="2920" spans="1:7" x14ac:dyDescent="0.35">
      <c r="A2920" t="s">
        <v>155</v>
      </c>
      <c r="E2920">
        <v>1.4204032105108138E-2</v>
      </c>
      <c r="F2920">
        <f t="shared" si="96"/>
        <v>-1.7783878591721116E-2</v>
      </c>
      <c r="G2920">
        <f t="shared" si="97"/>
        <v>-2.6750833387737073E-2</v>
      </c>
    </row>
    <row r="2921" spans="1:7" x14ac:dyDescent="0.35">
      <c r="A2921" t="s">
        <v>155</v>
      </c>
      <c r="E2921">
        <v>1.0255064144837001E-2</v>
      </c>
      <c r="F2921">
        <f t="shared" si="96"/>
        <v>-1.7802145456375949E-2</v>
      </c>
      <c r="G2921">
        <f t="shared" si="97"/>
        <v>-2.6954627814919255E-2</v>
      </c>
    </row>
    <row r="2922" spans="1:7" x14ac:dyDescent="0.35">
      <c r="A2922" t="s">
        <v>155</v>
      </c>
      <c r="E2922">
        <v>8.8107711033886364E-3</v>
      </c>
      <c r="F2922">
        <f t="shared" si="96"/>
        <v>-1.7820412321030786E-2</v>
      </c>
      <c r="G2922">
        <f t="shared" si="97"/>
        <v>-2.6954627814919255E-2</v>
      </c>
    </row>
    <row r="2923" spans="1:7" x14ac:dyDescent="0.35">
      <c r="A2923" t="s">
        <v>155</v>
      </c>
      <c r="E2923">
        <v>-7.1992232856460201E-3</v>
      </c>
      <c r="F2923">
        <f t="shared" si="96"/>
        <v>-1.7838679185685623E-2</v>
      </c>
      <c r="G2923">
        <f t="shared" si="97"/>
        <v>-2.6954627814919255E-2</v>
      </c>
    </row>
    <row r="2924" spans="1:7" x14ac:dyDescent="0.35">
      <c r="A2924" t="s">
        <v>155</v>
      </c>
      <c r="E2924">
        <v>2.708836037833924E-3</v>
      </c>
      <c r="F2924">
        <f t="shared" si="96"/>
        <v>-1.7856946050340456E-2</v>
      </c>
      <c r="G2924">
        <f t="shared" si="97"/>
        <v>-2.6954627814919255E-2</v>
      </c>
    </row>
    <row r="2925" spans="1:7" x14ac:dyDescent="0.35">
      <c r="A2925" t="s">
        <v>155</v>
      </c>
      <c r="E2925">
        <v>-2.1110079610025864E-2</v>
      </c>
      <c r="F2925">
        <f t="shared" si="96"/>
        <v>-1.7875212914995293E-2</v>
      </c>
      <c r="G2925">
        <f t="shared" si="97"/>
        <v>-2.6954627814919255E-2</v>
      </c>
    </row>
    <row r="2926" spans="1:7" x14ac:dyDescent="0.35">
      <c r="A2926" t="s">
        <v>155</v>
      </c>
      <c r="E2926">
        <v>7.6246954673959482E-3</v>
      </c>
      <c r="F2926">
        <f t="shared" si="96"/>
        <v>-1.7714886610989806E-2</v>
      </c>
      <c r="G2926">
        <f t="shared" si="97"/>
        <v>-2.6879032337230511E-2</v>
      </c>
    </row>
    <row r="2927" spans="1:7" x14ac:dyDescent="0.35">
      <c r="A2927" t="s">
        <v>155</v>
      </c>
      <c r="E2927">
        <v>-6.8295267471458372E-3</v>
      </c>
      <c r="F2927">
        <f t="shared" si="96"/>
        <v>-1.7719814609613471E-2</v>
      </c>
      <c r="G2927">
        <f t="shared" si="97"/>
        <v>-2.6879032337230511E-2</v>
      </c>
    </row>
    <row r="2928" spans="1:7" x14ac:dyDescent="0.35">
      <c r="A2928" t="s">
        <v>156</v>
      </c>
      <c r="B2928" s="3" cm="1">
        <f t="array" ref="B2928">_xlfn.STDEV.S(_xlfn._xlws.FILTER($E$2013:$E$3011, $A$2013:$A$3011="2021-10"))</f>
        <v>7.9864962440557227E-3</v>
      </c>
      <c r="C2928" s="3" cm="1">
        <f t="array" ref="C2928">AVERAGE(_xlfn._xlws.FILTER($E$2013:$E$3011, $A$2013:$A$3011="2021-10"))</f>
        <v>1.3173775573715014E-3</v>
      </c>
      <c r="D2928" s="3" cm="1">
        <f t="array" ref="D2928">_xlfn.PERCENTILE.EXC(_xlfn._xlws.FILTER($E$2490:$E$3818, $A$2490:$A$3818="2021-10"), 0.05)</f>
        <v>-1.3990181217327773E-2</v>
      </c>
      <c r="E2928">
        <v>-6.8547169440704783E-3</v>
      </c>
      <c r="F2928">
        <f t="shared" si="96"/>
        <v>-1.7724742608237136E-2</v>
      </c>
      <c r="G2928">
        <f t="shared" si="97"/>
        <v>-2.6879032337230511E-2</v>
      </c>
    </row>
    <row r="2929" spans="1:7" x14ac:dyDescent="0.35">
      <c r="A2929" t="s">
        <v>156</v>
      </c>
      <c r="E2929">
        <v>-7.941620231353216E-3</v>
      </c>
      <c r="F2929">
        <f t="shared" si="96"/>
        <v>-1.7729670606860801E-2</v>
      </c>
      <c r="G2929">
        <f t="shared" si="97"/>
        <v>-2.6879032337230511E-2</v>
      </c>
    </row>
    <row r="2930" spans="1:7" x14ac:dyDescent="0.35">
      <c r="A2930" t="s">
        <v>156</v>
      </c>
      <c r="E2930">
        <v>1.0448958222921363E-2</v>
      </c>
      <c r="F2930">
        <f t="shared" si="96"/>
        <v>-1.7734598605484465E-2</v>
      </c>
      <c r="G2930">
        <f t="shared" si="97"/>
        <v>-2.6879032337230511E-2</v>
      </c>
    </row>
    <row r="2931" spans="1:7" x14ac:dyDescent="0.35">
      <c r="A2931" t="s">
        <v>156</v>
      </c>
      <c r="E2931">
        <v>-1.4662243549102725E-2</v>
      </c>
      <c r="F2931">
        <f t="shared" si="96"/>
        <v>-1.773952660410813E-2</v>
      </c>
      <c r="G2931">
        <f t="shared" si="97"/>
        <v>-2.6879032337230511E-2</v>
      </c>
    </row>
    <row r="2932" spans="1:7" x14ac:dyDescent="0.35">
      <c r="A2932" t="s">
        <v>156</v>
      </c>
      <c r="E2932">
        <v>1.836527632187275E-2</v>
      </c>
      <c r="F2932">
        <f t="shared" si="96"/>
        <v>-1.7744454602731795E-2</v>
      </c>
      <c r="G2932">
        <f t="shared" si="97"/>
        <v>-2.6879032337230511E-2</v>
      </c>
    </row>
    <row r="2933" spans="1:7" x14ac:dyDescent="0.35">
      <c r="A2933" t="s">
        <v>156</v>
      </c>
      <c r="E2933">
        <v>-2.9372588794208147E-3</v>
      </c>
      <c r="F2933">
        <f t="shared" si="96"/>
        <v>-1.7749382601355463E-2</v>
      </c>
      <c r="G2933">
        <f t="shared" si="97"/>
        <v>-2.6879032337230511E-2</v>
      </c>
    </row>
    <row r="2934" spans="1:7" x14ac:dyDescent="0.35">
      <c r="A2934" t="s">
        <v>156</v>
      </c>
      <c r="E2934">
        <v>-4.5978872235922228E-4</v>
      </c>
      <c r="F2934">
        <f t="shared" si="96"/>
        <v>-1.7754310599979128E-2</v>
      </c>
      <c r="G2934">
        <f t="shared" si="97"/>
        <v>-2.6879032337230511E-2</v>
      </c>
    </row>
    <row r="2935" spans="1:7" x14ac:dyDescent="0.35">
      <c r="A2935" t="s">
        <v>156</v>
      </c>
      <c r="E2935">
        <v>-3.4449373537573241E-3</v>
      </c>
      <c r="F2935">
        <f t="shared" si="96"/>
        <v>-1.7759238598602792E-2</v>
      </c>
      <c r="G2935">
        <f t="shared" si="97"/>
        <v>-2.6879032337230511E-2</v>
      </c>
    </row>
    <row r="2936" spans="1:7" x14ac:dyDescent="0.35">
      <c r="A2936" t="s">
        <v>156</v>
      </c>
      <c r="E2936">
        <v>6.7449365387928966E-3</v>
      </c>
      <c r="F2936">
        <f t="shared" si="96"/>
        <v>-1.7764166597226457E-2</v>
      </c>
      <c r="G2936">
        <f t="shared" si="97"/>
        <v>-2.6879032337230511E-2</v>
      </c>
    </row>
    <row r="2937" spans="1:7" x14ac:dyDescent="0.35">
      <c r="A2937" t="s">
        <v>156</v>
      </c>
      <c r="E2937">
        <v>1.3893119099038174E-2</v>
      </c>
      <c r="F2937">
        <f t="shared" si="96"/>
        <v>-1.7769094595850122E-2</v>
      </c>
      <c r="G2937">
        <f t="shared" si="97"/>
        <v>-2.6879032337230511E-2</v>
      </c>
    </row>
    <row r="2938" spans="1:7" x14ac:dyDescent="0.35">
      <c r="A2938" t="s">
        <v>156</v>
      </c>
      <c r="E2938">
        <v>8.0283638217996528E-3</v>
      </c>
      <c r="F2938">
        <f t="shared" si="96"/>
        <v>-1.7774022594473787E-2</v>
      </c>
      <c r="G2938">
        <f t="shared" si="97"/>
        <v>-2.6879032337230511E-2</v>
      </c>
    </row>
    <row r="2939" spans="1:7" x14ac:dyDescent="0.35">
      <c r="A2939" t="s">
        <v>156</v>
      </c>
      <c r="E2939">
        <v>-7.2687602142984184E-3</v>
      </c>
      <c r="F2939">
        <f t="shared" si="96"/>
        <v>-1.7778950593097451E-2</v>
      </c>
      <c r="G2939">
        <f t="shared" si="97"/>
        <v>-2.6879032337230511E-2</v>
      </c>
    </row>
    <row r="2940" spans="1:7" x14ac:dyDescent="0.35">
      <c r="A2940" t="s">
        <v>156</v>
      </c>
      <c r="E2940">
        <v>2.6692238898401704E-3</v>
      </c>
      <c r="F2940">
        <f t="shared" si="96"/>
        <v>-1.7783878591721116E-2</v>
      </c>
      <c r="G2940">
        <f t="shared" si="97"/>
        <v>-2.6879032337230511E-2</v>
      </c>
    </row>
    <row r="2941" spans="1:7" x14ac:dyDescent="0.35">
      <c r="A2941" t="s">
        <v>156</v>
      </c>
      <c r="E2941">
        <v>4.5684830241641454E-4</v>
      </c>
      <c r="F2941">
        <f t="shared" si="96"/>
        <v>-1.7802145456375949E-2</v>
      </c>
      <c r="G2941">
        <f t="shared" si="97"/>
        <v>-2.7090547540614452E-2</v>
      </c>
    </row>
    <row r="2942" spans="1:7" x14ac:dyDescent="0.35">
      <c r="A2942" t="s">
        <v>156</v>
      </c>
      <c r="E2942">
        <v>-3.2495089163897314E-3</v>
      </c>
      <c r="F2942">
        <f t="shared" si="96"/>
        <v>-1.7820412321030786E-2</v>
      </c>
      <c r="G2942">
        <f t="shared" si="97"/>
        <v>-2.7090547540614452E-2</v>
      </c>
    </row>
    <row r="2943" spans="1:7" x14ac:dyDescent="0.35">
      <c r="A2943" t="s">
        <v>156</v>
      </c>
      <c r="E2943">
        <v>4.5409572753986865E-3</v>
      </c>
      <c r="F2943">
        <f t="shared" si="96"/>
        <v>-1.7838679185685623E-2</v>
      </c>
      <c r="G2943">
        <f t="shared" si="97"/>
        <v>-2.7090547540614452E-2</v>
      </c>
    </row>
    <row r="2944" spans="1:7" x14ac:dyDescent="0.35">
      <c r="A2944" t="s">
        <v>156</v>
      </c>
      <c r="E2944">
        <v>3.6124643158841618E-3</v>
      </c>
      <c r="F2944">
        <f t="shared" si="96"/>
        <v>-1.7856946050340456E-2</v>
      </c>
      <c r="G2944">
        <f t="shared" si="97"/>
        <v>-2.7090547540614452E-2</v>
      </c>
    </row>
    <row r="2945" spans="1:7" x14ac:dyDescent="0.35">
      <c r="A2945" t="s">
        <v>156</v>
      </c>
      <c r="E2945">
        <v>1.0066964741160643E-2</v>
      </c>
      <c r="F2945">
        <f t="shared" si="96"/>
        <v>-1.7875212914995293E-2</v>
      </c>
      <c r="G2945">
        <f t="shared" si="97"/>
        <v>-2.7090547540614452E-2</v>
      </c>
    </row>
    <row r="2946" spans="1:7" x14ac:dyDescent="0.35">
      <c r="A2946" t="s">
        <v>156</v>
      </c>
      <c r="E2946">
        <v>-3.2578112122493325E-3</v>
      </c>
      <c r="F2946">
        <f t="shared" si="96"/>
        <v>-1.7893479779650126E-2</v>
      </c>
      <c r="G2946">
        <f t="shared" si="97"/>
        <v>-2.7090547540614452E-2</v>
      </c>
    </row>
    <row r="2947" spans="1:7" x14ac:dyDescent="0.35">
      <c r="A2947" t="s">
        <v>156</v>
      </c>
      <c r="E2947">
        <v>-6.0378052502118044E-4</v>
      </c>
      <c r="F2947">
        <f t="shared" si="96"/>
        <v>-1.7911746644304963E-2</v>
      </c>
      <c r="G2947">
        <f t="shared" si="97"/>
        <v>-2.7090547540614452E-2</v>
      </c>
    </row>
    <row r="2948" spans="1:7" x14ac:dyDescent="0.35">
      <c r="A2948" t="s">
        <v>156</v>
      </c>
      <c r="E2948">
        <v>-4.8175727630094504E-4</v>
      </c>
      <c r="F2948">
        <f t="shared" ref="F2948:F3011" si="98">_xlfn.PERCENTILE.EXC(E2948:E6763,0.05)</f>
        <v>-1.79300135089598E-2</v>
      </c>
      <c r="G2948">
        <f t="shared" ref="G2948:G3011" si="99">AVERAGEIFS(E2948:E6764,E2948:E6764,"&lt;=" &amp; F2948)</f>
        <v>-2.7090547540614452E-2</v>
      </c>
    </row>
    <row r="2949" spans="1:7" x14ac:dyDescent="0.35">
      <c r="A2949" t="s">
        <v>157</v>
      </c>
      <c r="B2949" s="3" cm="1">
        <f t="array" ref="B2949">_xlfn.STDEV.S(_xlfn._xlws.FILTER($E$2013:$E$3011, $A$2013:$A$3011="2021-11"))</f>
        <v>1.0381541323700852E-2</v>
      </c>
      <c r="C2949" s="3" cm="1">
        <f t="array" ref="C2949">AVERAGE(_xlfn._xlws.FILTER($E$2013:$E$3011, $A$2013:$A$3011="2021-11"))</f>
        <v>-1.738264397053852E-3</v>
      </c>
      <c r="D2949" s="3" cm="1">
        <f t="array" ref="D2949">_xlfn.PERCENTILE.EXC(_xlfn._xlws.FILTER($E$2490:$E$3818, $A$2490:$A$3818="2021-11"), 0.05)</f>
        <v>-3.7831671031564817E-2</v>
      </c>
      <c r="E2949">
        <v>7.4627922869324676E-3</v>
      </c>
      <c r="F2949">
        <f t="shared" si="98"/>
        <v>-1.7948280373614633E-2</v>
      </c>
      <c r="G2949">
        <f t="shared" si="99"/>
        <v>-2.7090547540614452E-2</v>
      </c>
    </row>
    <row r="2950" spans="1:7" x14ac:dyDescent="0.35">
      <c r="A2950" t="s">
        <v>157</v>
      </c>
      <c r="E2950">
        <v>9.3298251062097527E-3</v>
      </c>
      <c r="F2950">
        <f t="shared" si="98"/>
        <v>-1.796654723826947E-2</v>
      </c>
      <c r="G2950">
        <f t="shared" si="99"/>
        <v>-2.7090547540614452E-2</v>
      </c>
    </row>
    <row r="2951" spans="1:7" x14ac:dyDescent="0.35">
      <c r="A2951" t="s">
        <v>157</v>
      </c>
      <c r="E2951">
        <v>3.4655170437601667E-4</v>
      </c>
      <c r="F2951">
        <f t="shared" si="98"/>
        <v>-1.7984814102924303E-2</v>
      </c>
      <c r="G2951">
        <f t="shared" si="99"/>
        <v>-2.7090547540614452E-2</v>
      </c>
    </row>
    <row r="2952" spans="1:7" x14ac:dyDescent="0.35">
      <c r="A2952" t="s">
        <v>157</v>
      </c>
      <c r="E2952">
        <v>4.3557934339142146E-3</v>
      </c>
      <c r="F2952">
        <f t="shared" si="98"/>
        <v>-1.800308096757914E-2</v>
      </c>
      <c r="G2952">
        <f t="shared" si="99"/>
        <v>-2.7090547540614452E-2</v>
      </c>
    </row>
    <row r="2953" spans="1:7" x14ac:dyDescent="0.35">
      <c r="A2953" t="s">
        <v>157</v>
      </c>
      <c r="E2953">
        <v>1.540331453931304E-3</v>
      </c>
      <c r="F2953">
        <f t="shared" si="98"/>
        <v>-1.8021347832233976E-2</v>
      </c>
      <c r="G2953">
        <f t="shared" si="99"/>
        <v>-2.7090547540614452E-2</v>
      </c>
    </row>
    <row r="2954" spans="1:7" x14ac:dyDescent="0.35">
      <c r="A2954" t="s">
        <v>157</v>
      </c>
      <c r="E2954">
        <v>-4.8846013915387735E-4</v>
      </c>
      <c r="F2954">
        <f t="shared" si="98"/>
        <v>-1.803961469688881E-2</v>
      </c>
      <c r="G2954">
        <f t="shared" si="99"/>
        <v>-2.7090547540614452E-2</v>
      </c>
    </row>
    <row r="2955" spans="1:7" x14ac:dyDescent="0.35">
      <c r="A2955" t="s">
        <v>157</v>
      </c>
      <c r="E2955">
        <v>-3.7709988202045428E-4</v>
      </c>
      <c r="F2955">
        <f t="shared" si="98"/>
        <v>-1.8057881561543646E-2</v>
      </c>
      <c r="G2955">
        <f t="shared" si="99"/>
        <v>-2.7090547540614452E-2</v>
      </c>
    </row>
    <row r="2956" spans="1:7" x14ac:dyDescent="0.35">
      <c r="A2956" t="s">
        <v>157</v>
      </c>
      <c r="E2956">
        <v>1.7042326514984697E-3</v>
      </c>
      <c r="F2956">
        <f t="shared" si="98"/>
        <v>-1.807614842619848E-2</v>
      </c>
      <c r="G2956">
        <f t="shared" si="99"/>
        <v>-2.7090547540614452E-2</v>
      </c>
    </row>
    <row r="2957" spans="1:7" x14ac:dyDescent="0.35">
      <c r="A2957" t="s">
        <v>157</v>
      </c>
      <c r="E2957">
        <v>9.505166038960382E-4</v>
      </c>
      <c r="F2957">
        <f t="shared" si="98"/>
        <v>-1.8094415290853316E-2</v>
      </c>
      <c r="G2957">
        <f t="shared" si="99"/>
        <v>-2.7090547540614452E-2</v>
      </c>
    </row>
    <row r="2958" spans="1:7" x14ac:dyDescent="0.35">
      <c r="A2958" t="s">
        <v>157</v>
      </c>
      <c r="E2958">
        <v>6.8122815137019023E-4</v>
      </c>
      <c r="F2958">
        <f t="shared" si="98"/>
        <v>-1.8112682155508153E-2</v>
      </c>
      <c r="G2958">
        <f t="shared" si="99"/>
        <v>-2.7090547540614452E-2</v>
      </c>
    </row>
    <row r="2959" spans="1:7" x14ac:dyDescent="0.35">
      <c r="A2959" t="s">
        <v>157</v>
      </c>
      <c r="E2959">
        <v>3.3849544349631952E-3</v>
      </c>
      <c r="F2959">
        <f t="shared" si="98"/>
        <v>-1.8130949020162986E-2</v>
      </c>
      <c r="G2959">
        <f t="shared" si="99"/>
        <v>-2.7090547540614452E-2</v>
      </c>
    </row>
    <row r="2960" spans="1:7" x14ac:dyDescent="0.35">
      <c r="A2960" t="s">
        <v>157</v>
      </c>
      <c r="E2960">
        <v>6.1253721994165254E-3</v>
      </c>
      <c r="F2960">
        <f t="shared" si="98"/>
        <v>-1.8149215884817823E-2</v>
      </c>
      <c r="G2960">
        <f t="shared" si="99"/>
        <v>-2.7090547540614452E-2</v>
      </c>
    </row>
    <row r="2961" spans="1:7" x14ac:dyDescent="0.35">
      <c r="A2961" t="s">
        <v>157</v>
      </c>
      <c r="E2961">
        <v>2.0123702373731924E-4</v>
      </c>
      <c r="F2961">
        <f t="shared" si="98"/>
        <v>-1.815172373736099E-2</v>
      </c>
      <c r="G2961">
        <f t="shared" si="99"/>
        <v>-2.7303436389561987E-2</v>
      </c>
    </row>
    <row r="2962" spans="1:7" x14ac:dyDescent="0.35">
      <c r="A2962" t="s">
        <v>157</v>
      </c>
      <c r="E2962">
        <v>-1.8107433735765021E-3</v>
      </c>
      <c r="F2962">
        <f t="shared" si="98"/>
        <v>-1.815423158990416E-2</v>
      </c>
      <c r="G2962">
        <f t="shared" si="99"/>
        <v>-2.7303436389561987E-2</v>
      </c>
    </row>
    <row r="2963" spans="1:7" x14ac:dyDescent="0.35">
      <c r="A2963" t="s">
        <v>157</v>
      </c>
      <c r="E2963">
        <v>-3.814504790439115E-3</v>
      </c>
      <c r="F2963">
        <f t="shared" si="98"/>
        <v>-1.8156739442447327E-2</v>
      </c>
      <c r="G2963">
        <f t="shared" si="99"/>
        <v>-2.7303436389561987E-2</v>
      </c>
    </row>
    <row r="2964" spans="1:7" x14ac:dyDescent="0.35">
      <c r="A2964" t="s">
        <v>157</v>
      </c>
      <c r="E2964">
        <v>-2.7438650538053212E-3</v>
      </c>
      <c r="F2964">
        <f t="shared" si="98"/>
        <v>-1.8159247294990497E-2</v>
      </c>
      <c r="G2964">
        <f t="shared" si="99"/>
        <v>-2.7303436389561987E-2</v>
      </c>
    </row>
    <row r="2965" spans="1:7" x14ac:dyDescent="0.35">
      <c r="A2965" t="s">
        <v>157</v>
      </c>
      <c r="E2965">
        <v>-1.114988172428071E-2</v>
      </c>
      <c r="F2965">
        <f t="shared" si="98"/>
        <v>-1.8161755147533664E-2</v>
      </c>
      <c r="G2965">
        <f t="shared" si="99"/>
        <v>-2.7303436389561987E-2</v>
      </c>
    </row>
    <row r="2966" spans="1:7" x14ac:dyDescent="0.35">
      <c r="A2966" t="s">
        <v>157</v>
      </c>
      <c r="E2966">
        <v>-3.6843845887812544E-3</v>
      </c>
      <c r="F2966">
        <f t="shared" si="98"/>
        <v>-1.8164263000076834E-2</v>
      </c>
      <c r="G2966">
        <f t="shared" si="99"/>
        <v>-2.7303436389561987E-2</v>
      </c>
    </row>
    <row r="2967" spans="1:7" x14ac:dyDescent="0.35">
      <c r="A2967" t="s">
        <v>157</v>
      </c>
      <c r="E2967">
        <v>2.4902226549018249E-3</v>
      </c>
      <c r="F2967">
        <f t="shared" si="98"/>
        <v>-1.8166770852620001E-2</v>
      </c>
      <c r="G2967">
        <f t="shared" si="99"/>
        <v>-2.7303436389561987E-2</v>
      </c>
    </row>
    <row r="2968" spans="1:7" x14ac:dyDescent="0.35">
      <c r="A2968" t="s">
        <v>157</v>
      </c>
      <c r="E2968">
        <v>-4.2408252068594075E-2</v>
      </c>
      <c r="F2968">
        <f t="shared" si="98"/>
        <v>-1.8169278705163171E-2</v>
      </c>
      <c r="G2968">
        <f t="shared" si="99"/>
        <v>-2.7303436389561987E-2</v>
      </c>
    </row>
    <row r="2969" spans="1:7" x14ac:dyDescent="0.35">
      <c r="A2969" t="s">
        <v>157</v>
      </c>
      <c r="E2969">
        <v>1.5600290020516424E-3</v>
      </c>
      <c r="F2969">
        <f t="shared" si="98"/>
        <v>-1.7948280373614633E-2</v>
      </c>
      <c r="G2969">
        <f t="shared" si="99"/>
        <v>-2.6725840289948271E-2</v>
      </c>
    </row>
    <row r="2970" spans="1:7" x14ac:dyDescent="0.35">
      <c r="A2970" t="s">
        <v>157</v>
      </c>
      <c r="E2970">
        <v>-1.1897711821732396E-2</v>
      </c>
      <c r="F2970">
        <f t="shared" si="98"/>
        <v>-1.796654723826947E-2</v>
      </c>
      <c r="G2970">
        <f t="shared" si="99"/>
        <v>-2.6725840289948271E-2</v>
      </c>
    </row>
    <row r="2971" spans="1:7" x14ac:dyDescent="0.35">
      <c r="A2971" t="s">
        <v>158</v>
      </c>
      <c r="B2971" s="3" cm="1">
        <f t="array" ref="B2971">_xlfn.STDEV.S(_xlfn._xlws.FILTER($E$2013:$E$3011, $A$2013:$A$3011="2021-12"))</f>
        <v>1.2406954217794338E-2</v>
      </c>
      <c r="C2971" s="3" cm="1">
        <f t="array" ref="C2971">AVERAGE(_xlfn._xlws.FILTER($E$2013:$E$3011, $A$2013:$A$3011="2021-12"))</f>
        <v>2.6664790148092365E-3</v>
      </c>
      <c r="D2971" s="3" cm="1">
        <f t="array" ref="D2971">_xlfn.PERCENTILE.EXC(_xlfn._xlws.FILTER($E$2490:$E$3818, $A$2490:$A$3818="2021-12"), 0.05)</f>
        <v>-1.8980556394743463E-2</v>
      </c>
      <c r="E2971">
        <v>2.4371888751095711E-2</v>
      </c>
      <c r="F2971">
        <f t="shared" si="98"/>
        <v>-1.7984814102924303E-2</v>
      </c>
      <c r="G2971">
        <f t="shared" si="99"/>
        <v>-2.6725840289948271E-2</v>
      </c>
    </row>
    <row r="2972" spans="1:7" x14ac:dyDescent="0.35">
      <c r="A2972" t="s">
        <v>158</v>
      </c>
      <c r="E2972">
        <v>-1.3636435928316537E-2</v>
      </c>
      <c r="F2972">
        <f t="shared" si="98"/>
        <v>-1.800308096757914E-2</v>
      </c>
      <c r="G2972">
        <f t="shared" si="99"/>
        <v>-2.6725840289948271E-2</v>
      </c>
    </row>
    <row r="2973" spans="1:7" x14ac:dyDescent="0.35">
      <c r="A2973" t="s">
        <v>158</v>
      </c>
      <c r="E2973">
        <v>-6.1203309101120536E-3</v>
      </c>
      <c r="F2973">
        <f t="shared" si="98"/>
        <v>-1.8021347832233976E-2</v>
      </c>
      <c r="G2973">
        <f t="shared" si="99"/>
        <v>-2.6725840289948271E-2</v>
      </c>
    </row>
    <row r="2974" spans="1:7" x14ac:dyDescent="0.35">
      <c r="A2974" t="s">
        <v>158</v>
      </c>
      <c r="E2974">
        <v>1.3800853199953968E-2</v>
      </c>
      <c r="F2974">
        <f t="shared" si="98"/>
        <v>-1.803961469688881E-2</v>
      </c>
      <c r="G2974">
        <f t="shared" si="99"/>
        <v>-2.6725840289948271E-2</v>
      </c>
    </row>
    <row r="2975" spans="1:7" x14ac:dyDescent="0.35">
      <c r="A2975" t="s">
        <v>158</v>
      </c>
      <c r="E2975">
        <v>2.7772501367086307E-2</v>
      </c>
      <c r="F2975">
        <f t="shared" si="98"/>
        <v>-1.8057881561543646E-2</v>
      </c>
      <c r="G2975">
        <f t="shared" si="99"/>
        <v>-2.6725840289948271E-2</v>
      </c>
    </row>
    <row r="2976" spans="1:7" x14ac:dyDescent="0.35">
      <c r="A2976" t="s">
        <v>158</v>
      </c>
      <c r="E2976">
        <v>-8.0537484427514808E-3</v>
      </c>
      <c r="F2976">
        <f t="shared" si="98"/>
        <v>-1.807614842619848E-2</v>
      </c>
      <c r="G2976">
        <f t="shared" si="99"/>
        <v>-2.6725840289948271E-2</v>
      </c>
    </row>
    <row r="2977" spans="1:7" x14ac:dyDescent="0.35">
      <c r="A2977" t="s">
        <v>158</v>
      </c>
      <c r="E2977">
        <v>-3.0536616725082943E-3</v>
      </c>
      <c r="F2977">
        <f t="shared" si="98"/>
        <v>-1.8094415290853316E-2</v>
      </c>
      <c r="G2977">
        <f t="shared" si="99"/>
        <v>-2.6725840289948271E-2</v>
      </c>
    </row>
    <row r="2978" spans="1:7" x14ac:dyDescent="0.35">
      <c r="A2978" t="s">
        <v>158</v>
      </c>
      <c r="E2978">
        <v>-1.0203896470394568E-3</v>
      </c>
      <c r="F2978">
        <f t="shared" si="98"/>
        <v>-1.8112682155508153E-2</v>
      </c>
      <c r="G2978">
        <f t="shared" si="99"/>
        <v>-2.6725840289948271E-2</v>
      </c>
    </row>
    <row r="2979" spans="1:7" x14ac:dyDescent="0.35">
      <c r="A2979" t="s">
        <v>158</v>
      </c>
      <c r="E2979">
        <v>-1.0177618657252866E-4</v>
      </c>
      <c r="F2979">
        <f t="shared" si="98"/>
        <v>-1.8130949020162986E-2</v>
      </c>
      <c r="G2979">
        <f t="shared" si="99"/>
        <v>-2.6725840289948271E-2</v>
      </c>
    </row>
    <row r="2980" spans="1:7" x14ac:dyDescent="0.35">
      <c r="A2980" t="s">
        <v>158</v>
      </c>
      <c r="E2980">
        <v>-1.0822856073224411E-2</v>
      </c>
      <c r="F2980">
        <f t="shared" si="98"/>
        <v>-1.8149215884817823E-2</v>
      </c>
      <c r="G2980">
        <f t="shared" si="99"/>
        <v>-2.6725840289948271E-2</v>
      </c>
    </row>
    <row r="2981" spans="1:7" x14ac:dyDescent="0.35">
      <c r="A2981" t="s">
        <v>158</v>
      </c>
      <c r="E2981">
        <v>1.4736547325447857E-3</v>
      </c>
      <c r="F2981">
        <f t="shared" si="98"/>
        <v>-1.815172373736099E-2</v>
      </c>
      <c r="G2981">
        <f t="shared" si="99"/>
        <v>-2.6935026251049016E-2</v>
      </c>
    </row>
    <row r="2982" spans="1:7" x14ac:dyDescent="0.35">
      <c r="A2982" t="s">
        <v>158</v>
      </c>
      <c r="E2982">
        <v>1.0288477348275373E-2</v>
      </c>
      <c r="F2982">
        <f t="shared" si="98"/>
        <v>-1.815423158990416E-2</v>
      </c>
      <c r="G2982">
        <f t="shared" si="99"/>
        <v>-2.6935026251049016E-2</v>
      </c>
    </row>
    <row r="2983" spans="1:7" x14ac:dyDescent="0.35">
      <c r="A2983" t="s">
        <v>158</v>
      </c>
      <c r="E2983">
        <v>-6.7190767182785304E-3</v>
      </c>
      <c r="F2983">
        <f t="shared" si="98"/>
        <v>-1.8156739442447327E-2</v>
      </c>
      <c r="G2983">
        <f t="shared" si="99"/>
        <v>-2.6935026251049016E-2</v>
      </c>
    </row>
    <row r="2984" spans="1:7" x14ac:dyDescent="0.35">
      <c r="A2984" t="s">
        <v>158</v>
      </c>
      <c r="E2984">
        <v>-1.8980556394743463E-2</v>
      </c>
      <c r="F2984">
        <f t="shared" si="98"/>
        <v>-1.8159247294990497E-2</v>
      </c>
      <c r="G2984">
        <f t="shared" si="99"/>
        <v>-2.6935026251049016E-2</v>
      </c>
    </row>
    <row r="2985" spans="1:7" x14ac:dyDescent="0.35">
      <c r="A2985" t="s">
        <v>158</v>
      </c>
      <c r="E2985">
        <v>1.3541397341058059E-2</v>
      </c>
      <c r="F2985">
        <f t="shared" si="98"/>
        <v>-1.7875212914995293E-2</v>
      </c>
      <c r="G2985">
        <f t="shared" si="99"/>
        <v>-2.6914749653245949E-2</v>
      </c>
    </row>
    <row r="2986" spans="1:7" x14ac:dyDescent="0.35">
      <c r="A2986" t="s">
        <v>158</v>
      </c>
      <c r="E2986">
        <v>9.4089430569492625E-3</v>
      </c>
      <c r="F2986">
        <f t="shared" si="98"/>
        <v>-1.7893479779650126E-2</v>
      </c>
      <c r="G2986">
        <f t="shared" si="99"/>
        <v>-2.6914749653245949E-2</v>
      </c>
    </row>
    <row r="2987" spans="1:7" x14ac:dyDescent="0.35">
      <c r="A2987" t="s">
        <v>158</v>
      </c>
      <c r="E2987">
        <v>1.0388683080776622E-2</v>
      </c>
      <c r="F2987">
        <f t="shared" si="98"/>
        <v>-1.7911746644304963E-2</v>
      </c>
      <c r="G2987">
        <f t="shared" si="99"/>
        <v>-2.6914749653245949E-2</v>
      </c>
    </row>
    <row r="2988" spans="1:7" x14ac:dyDescent="0.35">
      <c r="A2988" t="s">
        <v>158</v>
      </c>
      <c r="E2988">
        <v>6.070526124939836E-3</v>
      </c>
      <c r="F2988">
        <f t="shared" si="98"/>
        <v>-1.79300135089598E-2</v>
      </c>
      <c r="G2988">
        <f t="shared" si="99"/>
        <v>-2.6914749653245949E-2</v>
      </c>
    </row>
    <row r="2989" spans="1:7" x14ac:dyDescent="0.35">
      <c r="A2989" t="s">
        <v>158</v>
      </c>
      <c r="E2989">
        <v>2.0550082522423252E-3</v>
      </c>
      <c r="F2989">
        <f t="shared" si="98"/>
        <v>-1.7948280373614633E-2</v>
      </c>
      <c r="G2989">
        <f t="shared" si="99"/>
        <v>-2.6914749653245949E-2</v>
      </c>
    </row>
    <row r="2990" spans="1:7" x14ac:dyDescent="0.35">
      <c r="A2990" t="s">
        <v>159</v>
      </c>
      <c r="B2990" s="3" cm="1">
        <f t="array" ref="B2990">_xlfn.STDEV.S(_xlfn._xlws.FILTER($E$2013:$E$3011, $A$2013:$A$3011="2022-01"))</f>
        <v>1.4056721483099204E-2</v>
      </c>
      <c r="C2990" s="3" cm="1">
        <f t="array" ref="C2990">AVERAGE(_xlfn._xlws.FILTER($E$2013:$E$3011, $A$2013:$A$3011="2022-01"))</f>
        <v>-1.3193111635383028E-3</v>
      </c>
      <c r="D2990" s="3" cm="1">
        <f t="array" ref="D2990">_xlfn.PERCENTILE.EXC(_xlfn._xlws.FILTER($E$2490:$E$3818, $A$2490:$A$3818="2022-01"), 0.05)</f>
        <v>-3.7770025512707167E-2</v>
      </c>
      <c r="E2990">
        <v>1.6715192181594084E-2</v>
      </c>
      <c r="F2990">
        <f t="shared" si="98"/>
        <v>-1.796654723826947E-2</v>
      </c>
      <c r="G2990">
        <f t="shared" si="99"/>
        <v>-2.6914749653245949E-2</v>
      </c>
    </row>
    <row r="2991" spans="1:7" x14ac:dyDescent="0.35">
      <c r="A2991" t="s">
        <v>159</v>
      </c>
      <c r="E2991">
        <v>7.3488288547249574E-3</v>
      </c>
      <c r="F2991">
        <f t="shared" si="98"/>
        <v>-1.7984814102924303E-2</v>
      </c>
      <c r="G2991">
        <f t="shared" si="99"/>
        <v>-2.6914749653245949E-2</v>
      </c>
    </row>
    <row r="2992" spans="1:7" x14ac:dyDescent="0.35">
      <c r="A2992" t="s">
        <v>159</v>
      </c>
      <c r="E2992">
        <v>-1.359515404412256E-2</v>
      </c>
      <c r="F2992">
        <f t="shared" si="98"/>
        <v>-1.800308096757914E-2</v>
      </c>
      <c r="G2992">
        <f t="shared" si="99"/>
        <v>-2.6914749653245949E-2</v>
      </c>
    </row>
    <row r="2993" spans="1:7" x14ac:dyDescent="0.35">
      <c r="A2993" t="s">
        <v>159</v>
      </c>
      <c r="E2993">
        <v>-6.5181949274011738E-3</v>
      </c>
      <c r="F2993">
        <f t="shared" si="98"/>
        <v>-1.8021347832233976E-2</v>
      </c>
      <c r="G2993">
        <f t="shared" si="99"/>
        <v>-2.6914749653245949E-2</v>
      </c>
    </row>
    <row r="2994" spans="1:7" x14ac:dyDescent="0.35">
      <c r="A2994" t="s">
        <v>159</v>
      </c>
      <c r="E2994">
        <v>-1.1317433410024641E-2</v>
      </c>
      <c r="F2994">
        <f t="shared" si="98"/>
        <v>-1.803961469688881E-2</v>
      </c>
      <c r="G2994">
        <f t="shared" si="99"/>
        <v>-2.6914749653245949E-2</v>
      </c>
    </row>
    <row r="2995" spans="1:7" x14ac:dyDescent="0.35">
      <c r="A2995" t="s">
        <v>159</v>
      </c>
      <c r="E2995">
        <v>1.0945524739732856E-2</v>
      </c>
      <c r="F2995">
        <f t="shared" si="98"/>
        <v>-1.8057881561543646E-2</v>
      </c>
      <c r="G2995">
        <f t="shared" si="99"/>
        <v>-2.6914749653245949E-2</v>
      </c>
    </row>
    <row r="2996" spans="1:7" x14ac:dyDescent="0.35">
      <c r="A2996" t="s">
        <v>159</v>
      </c>
      <c r="E2996">
        <v>4.2882965854618947E-3</v>
      </c>
      <c r="F2996">
        <f t="shared" si="98"/>
        <v>-1.807614842619848E-2</v>
      </c>
      <c r="G2996">
        <f t="shared" si="99"/>
        <v>-2.6914749653245949E-2</v>
      </c>
    </row>
    <row r="2997" spans="1:7" x14ac:dyDescent="0.35">
      <c r="A2997" t="s">
        <v>159</v>
      </c>
      <c r="E2997">
        <v>1.3276364064590343E-3</v>
      </c>
      <c r="F2997">
        <f t="shared" si="98"/>
        <v>-1.8094415290853316E-2</v>
      </c>
      <c r="G2997">
        <f t="shared" si="99"/>
        <v>-2.6914749653245949E-2</v>
      </c>
    </row>
    <row r="2998" spans="1:7" x14ac:dyDescent="0.35">
      <c r="A2998" t="s">
        <v>159</v>
      </c>
      <c r="E2998">
        <v>-9.2966854887884462E-3</v>
      </c>
      <c r="F2998">
        <f t="shared" si="98"/>
        <v>-1.8112682155508153E-2</v>
      </c>
      <c r="G2998">
        <f t="shared" si="99"/>
        <v>-2.6914749653245949E-2</v>
      </c>
    </row>
    <row r="2999" spans="1:7" x14ac:dyDescent="0.35">
      <c r="A2999" t="s">
        <v>159</v>
      </c>
      <c r="E2999">
        <v>3.173153082915622E-3</v>
      </c>
      <c r="F2999">
        <f t="shared" si="98"/>
        <v>-1.8130949020162986E-2</v>
      </c>
      <c r="G2999">
        <f t="shared" si="99"/>
        <v>-2.6914749653245949E-2</v>
      </c>
    </row>
    <row r="3000" spans="1:7" x14ac:dyDescent="0.35">
      <c r="A3000" t="s">
        <v>159</v>
      </c>
      <c r="E3000">
        <v>-1.0165896972281437E-2</v>
      </c>
      <c r="F3000">
        <f t="shared" si="98"/>
        <v>-1.8149215884817823E-2</v>
      </c>
      <c r="G3000">
        <f t="shared" si="99"/>
        <v>-2.6914749653245949E-2</v>
      </c>
    </row>
    <row r="3001" spans="1:7" x14ac:dyDescent="0.35">
      <c r="A3001" t="s">
        <v>159</v>
      </c>
      <c r="E3001">
        <v>2.3532194096328157E-3</v>
      </c>
      <c r="F3001">
        <f t="shared" si="98"/>
        <v>-1.815172373736099E-2</v>
      </c>
      <c r="G3001">
        <f t="shared" si="99"/>
        <v>-2.7133887997456651E-2</v>
      </c>
    </row>
    <row r="3002" spans="1:7" x14ac:dyDescent="0.35">
      <c r="A3002" t="s">
        <v>159</v>
      </c>
      <c r="E3002">
        <v>6.4693396468555944E-3</v>
      </c>
      <c r="F3002">
        <f t="shared" si="98"/>
        <v>-1.815423158990416E-2</v>
      </c>
      <c r="G3002">
        <f t="shared" si="99"/>
        <v>-2.7133887997456651E-2</v>
      </c>
    </row>
    <row r="3003" spans="1:7" x14ac:dyDescent="0.35">
      <c r="A3003" t="s">
        <v>159</v>
      </c>
      <c r="E3003">
        <v>-1.9574679122448403E-2</v>
      </c>
      <c r="F3003">
        <f t="shared" si="98"/>
        <v>-1.8156739442447327E-2</v>
      </c>
      <c r="G3003">
        <f t="shared" si="99"/>
        <v>-2.7133887997456651E-2</v>
      </c>
    </row>
    <row r="3004" spans="1:7" x14ac:dyDescent="0.35">
      <c r="A3004" t="s">
        <v>159</v>
      </c>
      <c r="E3004">
        <v>-3.8727675322720791E-2</v>
      </c>
      <c r="F3004">
        <f t="shared" si="98"/>
        <v>-1.7856946050340456E-2</v>
      </c>
      <c r="G3004">
        <f t="shared" si="99"/>
        <v>-2.7098251416515885E-2</v>
      </c>
    </row>
    <row r="3005" spans="1:7" x14ac:dyDescent="0.35">
      <c r="A3005" t="s">
        <v>159</v>
      </c>
      <c r="E3005">
        <v>7.4823644258097486E-3</v>
      </c>
      <c r="F3005">
        <f t="shared" si="98"/>
        <v>-1.7709958612366142E-2</v>
      </c>
      <c r="G3005">
        <f t="shared" si="99"/>
        <v>-2.6574656498240895E-2</v>
      </c>
    </row>
    <row r="3006" spans="1:7" x14ac:dyDescent="0.35">
      <c r="A3006" t="s">
        <v>159</v>
      </c>
      <c r="E3006">
        <v>2.1942295336369849E-2</v>
      </c>
      <c r="F3006">
        <f t="shared" si="98"/>
        <v>-1.7714886610989806E-2</v>
      </c>
      <c r="G3006">
        <f t="shared" si="99"/>
        <v>-2.6574656498240895E-2</v>
      </c>
    </row>
    <row r="3007" spans="1:7" x14ac:dyDescent="0.35">
      <c r="A3007" t="s">
        <v>159</v>
      </c>
      <c r="E3007">
        <v>4.1880200615593867E-3</v>
      </c>
      <c r="F3007">
        <f t="shared" si="98"/>
        <v>-1.7719814609613471E-2</v>
      </c>
      <c r="G3007">
        <f t="shared" si="99"/>
        <v>-2.6574656498240895E-2</v>
      </c>
    </row>
    <row r="3008" spans="1:7" x14ac:dyDescent="0.35">
      <c r="A3008" t="s">
        <v>159</v>
      </c>
      <c r="E3008">
        <v>-1.3313981675435151E-2</v>
      </c>
      <c r="F3008">
        <f t="shared" si="98"/>
        <v>-1.7724742608237136E-2</v>
      </c>
      <c r="G3008">
        <f t="shared" si="99"/>
        <v>-2.6574656498240895E-2</v>
      </c>
    </row>
    <row r="3009" spans="1:7" x14ac:dyDescent="0.35">
      <c r="A3009" t="s">
        <v>159</v>
      </c>
      <c r="E3009">
        <v>9.8896069613407037E-3</v>
      </c>
      <c r="F3009">
        <f t="shared" si="98"/>
        <v>-1.7729670606860801E-2</v>
      </c>
      <c r="G3009">
        <f t="shared" si="99"/>
        <v>-2.6574656498240895E-2</v>
      </c>
    </row>
    <row r="3010" spans="1:7" x14ac:dyDescent="0.35">
      <c r="A3010" t="s">
        <v>160</v>
      </c>
      <c r="B3010" s="3" cm="1">
        <f t="array" ref="B3010">_xlfn.STDEV.S(_xlfn._xlws.FILTER($E$2013:$E$3011, $A$2013:$A$3011="2022-02"))</f>
        <v>6.995219309286569E-3</v>
      </c>
      <c r="C3010" s="3" cm="1">
        <f t="array" ref="C3010">AVERAGE(_xlfn._xlws.FILTER($E$2013:$E$3011, $A$2013:$A$3011="2022-02"))</f>
        <v>4.5864930767369402E-3</v>
      </c>
      <c r="D3010" s="3" cm="1">
        <f t="array" ref="D3010">_xlfn.PERCENTILE.EXC(_xlfn._xlws.FILTER($E$2490:$E$3818, $A$2490:$A$3818="2022-02"), 0.05)</f>
        <v>-3.9421450101923543E-2</v>
      </c>
      <c r="E3010">
        <v>9.5328600862205504E-3</v>
      </c>
      <c r="F3010">
        <f t="shared" si="98"/>
        <v>-1.7734598605484465E-2</v>
      </c>
      <c r="G3010">
        <f t="shared" si="99"/>
        <v>-2.6574656498240895E-2</v>
      </c>
    </row>
    <row r="3011" spans="1:7" x14ac:dyDescent="0.35">
      <c r="A3011" t="s">
        <v>160</v>
      </c>
      <c r="E3011">
        <v>-3.5987393274667019E-4</v>
      </c>
      <c r="F3011">
        <f t="shared" si="98"/>
        <v>-1.773952660410813E-2</v>
      </c>
      <c r="G3011">
        <f t="shared" si="99"/>
        <v>-2.6574656498240895E-2</v>
      </c>
    </row>
    <row r="3012" spans="1:7" x14ac:dyDescent="0.35">
      <c r="A3012" t="s">
        <v>160</v>
      </c>
      <c r="E3012">
        <v>-1.5835209191149387E-2</v>
      </c>
      <c r="F3012">
        <f t="shared" ref="F3012:F3075" si="100">_xlfn.PERCENTILE.EXC(E3012:E6827,0.05)</f>
        <v>-1.7744454602731795E-2</v>
      </c>
      <c r="G3012">
        <f t="shared" ref="G3012:G3075" si="101">AVERAGEIFS(E3012:E6828,E3012:E6828,"&lt;=" &amp; F3012)</f>
        <v>-2.6574656498240895E-2</v>
      </c>
    </row>
    <row r="3013" spans="1:7" x14ac:dyDescent="0.35">
      <c r="A3013" t="s">
        <v>160</v>
      </c>
      <c r="E3013">
        <v>-1.7652403704796295E-2</v>
      </c>
      <c r="F3013">
        <f t="shared" si="100"/>
        <v>-1.7749382601355463E-2</v>
      </c>
      <c r="G3013">
        <f t="shared" si="101"/>
        <v>-2.6574656498240895E-2</v>
      </c>
    </row>
    <row r="3014" spans="1:7" x14ac:dyDescent="0.35">
      <c r="A3014" t="s">
        <v>160</v>
      </c>
      <c r="E3014">
        <v>7.0665702462800687E-3</v>
      </c>
      <c r="F3014">
        <f t="shared" si="100"/>
        <v>-1.7754310599979128E-2</v>
      </c>
      <c r="G3014">
        <f t="shared" si="101"/>
        <v>-2.6574656498240895E-2</v>
      </c>
    </row>
    <row r="3015" spans="1:7" x14ac:dyDescent="0.35">
      <c r="A3015" t="s">
        <v>160</v>
      </c>
      <c r="E3015">
        <v>2.3475314747934788E-3</v>
      </c>
      <c r="F3015">
        <f t="shared" si="100"/>
        <v>-1.7759238598602792E-2</v>
      </c>
      <c r="G3015">
        <f t="shared" si="101"/>
        <v>-2.6574656498240895E-2</v>
      </c>
    </row>
    <row r="3016" spans="1:7" x14ac:dyDescent="0.35">
      <c r="A3016" t="s">
        <v>160</v>
      </c>
      <c r="E3016">
        <v>1.5598998649140702E-2</v>
      </c>
      <c r="F3016">
        <f t="shared" si="100"/>
        <v>-1.7764166597226457E-2</v>
      </c>
      <c r="G3016">
        <f t="shared" si="101"/>
        <v>-2.6574656498240895E-2</v>
      </c>
    </row>
    <row r="3017" spans="1:7" x14ac:dyDescent="0.35">
      <c r="A3017" t="s">
        <v>160</v>
      </c>
      <c r="E3017">
        <v>5.4435475451024946E-4</v>
      </c>
      <c r="F3017">
        <f t="shared" si="100"/>
        <v>-1.7769094595850122E-2</v>
      </c>
      <c r="G3017">
        <f t="shared" si="101"/>
        <v>-2.6574656498240895E-2</v>
      </c>
    </row>
    <row r="3018" spans="1:7" x14ac:dyDescent="0.35">
      <c r="A3018" t="s">
        <v>160</v>
      </c>
      <c r="E3018">
        <v>-4.2257101084073947E-3</v>
      </c>
      <c r="F3018">
        <f t="shared" si="100"/>
        <v>-1.7774022594473787E-2</v>
      </c>
      <c r="G3018">
        <f t="shared" si="101"/>
        <v>-2.6574656498240895E-2</v>
      </c>
    </row>
    <row r="3019" spans="1:7" x14ac:dyDescent="0.35">
      <c r="A3019" t="s">
        <v>160</v>
      </c>
      <c r="E3019">
        <v>-2.0377867657887502E-2</v>
      </c>
      <c r="F3019">
        <f t="shared" si="100"/>
        <v>-1.7778950593097451E-2</v>
      </c>
      <c r="G3019">
        <f t="shared" si="101"/>
        <v>-2.6574656498240895E-2</v>
      </c>
    </row>
    <row r="3020" spans="1:7" x14ac:dyDescent="0.35">
      <c r="A3020" t="s">
        <v>160</v>
      </c>
      <c r="E3020">
        <v>1.9573012019865863E-2</v>
      </c>
      <c r="F3020">
        <f t="shared" si="100"/>
        <v>-1.7685318619247818E-2</v>
      </c>
      <c r="G3020">
        <f t="shared" si="101"/>
        <v>-2.65073427722749E-2</v>
      </c>
    </row>
    <row r="3021" spans="1:7" x14ac:dyDescent="0.35">
      <c r="A3021" t="s">
        <v>160</v>
      </c>
      <c r="E3021">
        <v>-2.7554177991395592E-3</v>
      </c>
      <c r="F3021">
        <f t="shared" si="100"/>
        <v>-1.7690246617871483E-2</v>
      </c>
      <c r="G3021">
        <f t="shared" si="101"/>
        <v>-2.6733548519788413E-2</v>
      </c>
    </row>
    <row r="3022" spans="1:7" x14ac:dyDescent="0.35">
      <c r="A3022" t="s">
        <v>160</v>
      </c>
      <c r="E3022">
        <v>-6.7021750046736949E-3</v>
      </c>
      <c r="F3022">
        <f t="shared" si="100"/>
        <v>-1.7695174616495148E-2</v>
      </c>
      <c r="G3022">
        <f t="shared" si="101"/>
        <v>-2.6733548519788413E-2</v>
      </c>
    </row>
    <row r="3023" spans="1:7" x14ac:dyDescent="0.35">
      <c r="A3023" t="s">
        <v>160</v>
      </c>
      <c r="E3023">
        <v>-1.4854708002698622E-2</v>
      </c>
      <c r="F3023">
        <f t="shared" si="100"/>
        <v>-1.7700102615118812E-2</v>
      </c>
      <c r="G3023">
        <f t="shared" si="101"/>
        <v>-2.6733548519788413E-2</v>
      </c>
    </row>
    <row r="3024" spans="1:7" x14ac:dyDescent="0.35">
      <c r="A3024" t="s">
        <v>160</v>
      </c>
      <c r="E3024">
        <v>-2.0917930009156864E-2</v>
      </c>
      <c r="F3024">
        <f t="shared" si="100"/>
        <v>-1.7705030613742477E-2</v>
      </c>
      <c r="G3024">
        <f t="shared" si="101"/>
        <v>-2.6733548519788413E-2</v>
      </c>
    </row>
    <row r="3025" spans="1:7" x14ac:dyDescent="0.35">
      <c r="A3025" t="s">
        <v>160</v>
      </c>
      <c r="E3025">
        <v>-2.5910729922972034E-3</v>
      </c>
      <c r="F3025">
        <f t="shared" si="100"/>
        <v>-1.7484468327917755E-2</v>
      </c>
      <c r="G3025">
        <f t="shared" si="101"/>
        <v>-2.6650661048252287E-2</v>
      </c>
    </row>
    <row r="3026" spans="1:7" x14ac:dyDescent="0.35">
      <c r="A3026" t="s">
        <v>160</v>
      </c>
      <c r="E3026">
        <v>-4.2040195103517477E-3</v>
      </c>
      <c r="F3026">
        <f t="shared" si="100"/>
        <v>-1.7497858347339759E-2</v>
      </c>
      <c r="G3026">
        <f t="shared" si="101"/>
        <v>-2.6650661048252287E-2</v>
      </c>
    </row>
    <row r="3027" spans="1:7" x14ac:dyDescent="0.35">
      <c r="A3027" t="s">
        <v>160</v>
      </c>
      <c r="E3027">
        <v>-4.039531958049021E-2</v>
      </c>
      <c r="F3027">
        <f t="shared" si="100"/>
        <v>-1.7511248366761763E-2</v>
      </c>
      <c r="G3027">
        <f t="shared" si="101"/>
        <v>-2.6650661048252287E-2</v>
      </c>
    </row>
    <row r="3028" spans="1:7" x14ac:dyDescent="0.35">
      <c r="A3028" t="s">
        <v>160</v>
      </c>
      <c r="E3028">
        <v>3.6002634651574099E-2</v>
      </c>
      <c r="F3028">
        <f t="shared" si="100"/>
        <v>-1.7389378597539393E-2</v>
      </c>
      <c r="G3028">
        <f t="shared" si="101"/>
        <v>-2.6061486654670691E-2</v>
      </c>
    </row>
    <row r="3029" spans="1:7" x14ac:dyDescent="0.35">
      <c r="A3029" t="s">
        <v>160</v>
      </c>
      <c r="E3029">
        <v>-7.31773179262329E-3</v>
      </c>
      <c r="F3029">
        <f t="shared" si="100"/>
        <v>-1.7391723566978424E-2</v>
      </c>
      <c r="G3029">
        <f t="shared" si="101"/>
        <v>-2.6061486654670691E-2</v>
      </c>
    </row>
    <row r="3030" spans="1:7" x14ac:dyDescent="0.35">
      <c r="A3030" t="s">
        <v>161</v>
      </c>
      <c r="B3030" s="3" cm="1">
        <f t="array" ref="B3030">_xlfn.STDEV.S(_xlfn._xlws.FILTER($E$2826:$E$3824, $A$2826:$A$3824="2022-03"))</f>
        <v>2.5902344117786278E-2</v>
      </c>
      <c r="C3030" s="3" cm="1">
        <f t="array" ref="C3030">AVERAGE(_xlfn._xlws.FILTER($E$2826:$E$3824, $A$2826:$A$3824="2022-03"))</f>
        <v>-1.3933764206016947E-4</v>
      </c>
      <c r="D3030" s="3" cm="1">
        <f t="array" ref="D3030">_xlfn.PERCENTILE.EXC(_xlfn._xlws.FILTER($E$2490:$E$3818, $A$2490:$A$3818="2022-03"), 0.05)</f>
        <v>-4.3910761313230268E-2</v>
      </c>
      <c r="E3030">
        <v>-3.9219053520690821E-2</v>
      </c>
      <c r="F3030">
        <f t="shared" si="100"/>
        <v>-1.7394068536417451E-2</v>
      </c>
      <c r="G3030">
        <f t="shared" si="101"/>
        <v>-2.6061486654670691E-2</v>
      </c>
    </row>
    <row r="3031" spans="1:7" x14ac:dyDescent="0.35">
      <c r="A3031" t="s">
        <v>161</v>
      </c>
      <c r="E3031">
        <v>6.8274865860213814E-3</v>
      </c>
      <c r="F3031">
        <f t="shared" si="100"/>
        <v>-1.735431744435811E-2</v>
      </c>
      <c r="G3031">
        <f t="shared" si="101"/>
        <v>-2.5501270380858802E-2</v>
      </c>
    </row>
    <row r="3032" spans="1:7" x14ac:dyDescent="0.35">
      <c r="A3032" t="s">
        <v>161</v>
      </c>
      <c r="E3032">
        <v>-2.1786149034624315E-2</v>
      </c>
      <c r="F3032">
        <f t="shared" si="100"/>
        <v>-1.7356128710765781E-2</v>
      </c>
      <c r="G3032">
        <f t="shared" si="101"/>
        <v>-2.5501270380858802E-2</v>
      </c>
    </row>
    <row r="3033" spans="1:7" x14ac:dyDescent="0.35">
      <c r="A3033" t="s">
        <v>161</v>
      </c>
      <c r="E3033">
        <v>-4.5083688261365135E-2</v>
      </c>
      <c r="F3033">
        <f t="shared" si="100"/>
        <v>-1.7308150474448787E-2</v>
      </c>
      <c r="G3033">
        <f t="shared" si="101"/>
        <v>-2.5387122803403658E-2</v>
      </c>
    </row>
    <row r="3034" spans="1:7" x14ac:dyDescent="0.35">
      <c r="A3034" t="s">
        <v>161</v>
      </c>
      <c r="E3034">
        <v>-2.0046804665786504E-2</v>
      </c>
      <c r="F3034">
        <f t="shared" si="100"/>
        <v>-1.7240823988477937E-2</v>
      </c>
      <c r="G3034">
        <f t="shared" si="101"/>
        <v>-2.4673679858272009E-2</v>
      </c>
    </row>
    <row r="3035" spans="1:7" x14ac:dyDescent="0.35">
      <c r="A3035" t="s">
        <v>161</v>
      </c>
      <c r="E3035">
        <v>-2.4468015594580097E-4</v>
      </c>
      <c r="F3035">
        <f t="shared" si="100"/>
        <v>-1.7155741256351338E-2</v>
      </c>
      <c r="G3035">
        <f t="shared" si="101"/>
        <v>-2.4600619448689128E-2</v>
      </c>
    </row>
    <row r="3036" spans="1:7" x14ac:dyDescent="0.35">
      <c r="A3036" t="s">
        <v>161</v>
      </c>
      <c r="E3036">
        <v>7.6231898370033968E-2</v>
      </c>
      <c r="F3036">
        <f t="shared" si="100"/>
        <v>-1.7164082743491856E-2</v>
      </c>
      <c r="G3036">
        <f t="shared" si="101"/>
        <v>-2.4600619448689128E-2</v>
      </c>
    </row>
    <row r="3037" spans="1:7" x14ac:dyDescent="0.35">
      <c r="A3037" t="s">
        <v>161</v>
      </c>
      <c r="E3037">
        <v>-2.9744190090317174E-2</v>
      </c>
      <c r="F3037">
        <f t="shared" si="100"/>
        <v>-1.7172424230632373E-2</v>
      </c>
      <c r="G3037">
        <f t="shared" si="101"/>
        <v>-2.4600619448689128E-2</v>
      </c>
    </row>
    <row r="3038" spans="1:7" x14ac:dyDescent="0.35">
      <c r="A3038" t="s">
        <v>161</v>
      </c>
      <c r="E3038">
        <v>1.3742998494159688E-2</v>
      </c>
      <c r="F3038">
        <f t="shared" si="100"/>
        <v>-1.7028193856420328E-2</v>
      </c>
      <c r="G3038">
        <f t="shared" si="101"/>
        <v>-2.4274630445071853E-2</v>
      </c>
    </row>
    <row r="3039" spans="1:7" x14ac:dyDescent="0.35">
      <c r="A3039" t="s">
        <v>161</v>
      </c>
      <c r="E3039">
        <v>2.1846323484215141E-2</v>
      </c>
      <c r="F3039">
        <f t="shared" si="100"/>
        <v>-1.7029406402831938E-2</v>
      </c>
      <c r="G3039">
        <f t="shared" si="101"/>
        <v>-2.4274630445071853E-2</v>
      </c>
    </row>
    <row r="3040" spans="1:7" x14ac:dyDescent="0.35">
      <c r="A3040" t="s">
        <v>161</v>
      </c>
      <c r="E3040">
        <v>-8.5037988517746319E-4</v>
      </c>
      <c r="F3040">
        <f t="shared" si="100"/>
        <v>-1.7030618949243549E-2</v>
      </c>
      <c r="G3040">
        <f t="shared" si="101"/>
        <v>-2.4274630445071853E-2</v>
      </c>
    </row>
    <row r="3041" spans="1:7" x14ac:dyDescent="0.35">
      <c r="A3041" t="s">
        <v>161</v>
      </c>
      <c r="E3041">
        <v>3.6922863706576131E-2</v>
      </c>
      <c r="F3041">
        <f t="shared" si="100"/>
        <v>-1.7038960436384067E-2</v>
      </c>
      <c r="G3041">
        <f t="shared" si="101"/>
        <v>-2.4465262326541018E-2</v>
      </c>
    </row>
    <row r="3042" spans="1:7" x14ac:dyDescent="0.35">
      <c r="A3042" t="s">
        <v>161</v>
      </c>
      <c r="E3042">
        <v>-3.6546827225500968E-3</v>
      </c>
      <c r="F3042">
        <f t="shared" si="100"/>
        <v>-1.7047301923524587E-2</v>
      </c>
      <c r="G3042">
        <f t="shared" si="101"/>
        <v>-2.4465262326541018E-2</v>
      </c>
    </row>
    <row r="3043" spans="1:7" x14ac:dyDescent="0.35">
      <c r="A3043" t="s">
        <v>161</v>
      </c>
      <c r="E3043">
        <v>1.7381254777306526E-3</v>
      </c>
      <c r="F3043">
        <f t="shared" si="100"/>
        <v>-1.7055643410665105E-2</v>
      </c>
      <c r="G3043">
        <f t="shared" si="101"/>
        <v>-2.4465262326541018E-2</v>
      </c>
    </row>
    <row r="3044" spans="1:7" x14ac:dyDescent="0.35">
      <c r="A3044" t="s">
        <v>161</v>
      </c>
      <c r="E3044">
        <v>-5.9930464836438881E-3</v>
      </c>
      <c r="F3044">
        <f t="shared" si="100"/>
        <v>-1.7063984897805626E-2</v>
      </c>
      <c r="G3044">
        <f t="shared" si="101"/>
        <v>-2.4465262326541018E-2</v>
      </c>
    </row>
    <row r="3045" spans="1:7" x14ac:dyDescent="0.35">
      <c r="A3045" t="s">
        <v>161</v>
      </c>
      <c r="E3045">
        <v>1.0154888434506581E-2</v>
      </c>
      <c r="F3045">
        <f t="shared" si="100"/>
        <v>-1.7072326384946143E-2</v>
      </c>
      <c r="G3045">
        <f t="shared" si="101"/>
        <v>-2.4465262326541018E-2</v>
      </c>
    </row>
    <row r="3046" spans="1:7" x14ac:dyDescent="0.35">
      <c r="A3046" t="s">
        <v>161</v>
      </c>
      <c r="E3046">
        <v>-1.3183136903413334E-2</v>
      </c>
      <c r="F3046">
        <f t="shared" si="100"/>
        <v>-1.7080667872086664E-2</v>
      </c>
      <c r="G3046">
        <f t="shared" si="101"/>
        <v>-2.4465262326541018E-2</v>
      </c>
    </row>
    <row r="3047" spans="1:7" x14ac:dyDescent="0.35">
      <c r="A3047" t="s">
        <v>161</v>
      </c>
      <c r="E3047">
        <v>-6.9053811488741391E-4</v>
      </c>
      <c r="F3047">
        <f t="shared" si="100"/>
        <v>-1.7089009359227181E-2</v>
      </c>
      <c r="G3047">
        <f t="shared" si="101"/>
        <v>-2.4465262326541018E-2</v>
      </c>
    </row>
    <row r="3048" spans="1:7" x14ac:dyDescent="0.35">
      <c r="A3048" t="s">
        <v>161</v>
      </c>
      <c r="E3048">
        <v>2.2372649908831209E-3</v>
      </c>
      <c r="F3048">
        <f t="shared" si="100"/>
        <v>-1.7097350846367702E-2</v>
      </c>
      <c r="G3048">
        <f t="shared" si="101"/>
        <v>-2.4465262326541018E-2</v>
      </c>
    </row>
    <row r="3049" spans="1:7" x14ac:dyDescent="0.35">
      <c r="A3049" t="s">
        <v>161</v>
      </c>
      <c r="E3049">
        <v>7.7714762792990173E-3</v>
      </c>
      <c r="F3049">
        <f t="shared" si="100"/>
        <v>-1.710569233350822E-2</v>
      </c>
      <c r="G3049">
        <f t="shared" si="101"/>
        <v>-2.4465262326541018E-2</v>
      </c>
    </row>
    <row r="3050" spans="1:7" x14ac:dyDescent="0.35">
      <c r="A3050" t="s">
        <v>161</v>
      </c>
      <c r="E3050">
        <v>2.7566157179566037E-2</v>
      </c>
      <c r="F3050">
        <f t="shared" si="100"/>
        <v>-1.7114033820648741E-2</v>
      </c>
      <c r="G3050">
        <f t="shared" si="101"/>
        <v>-2.4465262326541018E-2</v>
      </c>
    </row>
    <row r="3051" spans="1:7" x14ac:dyDescent="0.35">
      <c r="A3051" t="s">
        <v>161</v>
      </c>
      <c r="E3051">
        <v>-1.4564060383730502E-2</v>
      </c>
      <c r="F3051">
        <f t="shared" si="100"/>
        <v>-1.7122375307789258E-2</v>
      </c>
      <c r="G3051">
        <f t="shared" si="101"/>
        <v>-2.4465262326541018E-2</v>
      </c>
    </row>
    <row r="3052" spans="1:7" x14ac:dyDescent="0.35">
      <c r="A3052" t="s">
        <v>161</v>
      </c>
      <c r="E3052">
        <v>-1.318383854824318E-2</v>
      </c>
      <c r="F3052">
        <f t="shared" si="100"/>
        <v>-1.7130716794929779E-2</v>
      </c>
      <c r="G3052">
        <f t="shared" si="101"/>
        <v>-2.4465262326541018E-2</v>
      </c>
    </row>
    <row r="3053" spans="1:7" x14ac:dyDescent="0.35">
      <c r="A3053" t="s">
        <v>162</v>
      </c>
      <c r="B3053" s="3" cm="1">
        <f t="array" ref="B3053">_xlfn.STDEV.S(_xlfn._xlws.FILTER($E$2826:$E$3824, $A$2826:$A$3824="2022-04"))</f>
        <v>1.1421686650834125E-2</v>
      </c>
      <c r="C3053" s="3" cm="1">
        <f t="array" ref="C3053">AVERAGE(_xlfn._xlws.FILTER($E$2826:$E$3824, $A$2826:$A$3824="2022-04"))</f>
        <v>-1.1698713907752013E-3</v>
      </c>
      <c r="D3053" s="3" cm="1">
        <f t="array" ref="D3053">_xlfn.PERCENTILE.EXC(_xlfn._xlws.FILTER($E$2490:$E$3818, $A$2490:$A$3818="2022-04"), 0.05)</f>
        <v>-2.5159385328383806E-2</v>
      </c>
      <c r="E3053">
        <v>2.198798373027621E-3</v>
      </c>
      <c r="F3053">
        <f t="shared" si="100"/>
        <v>-1.7139058282070296E-2</v>
      </c>
      <c r="G3053">
        <f t="shared" si="101"/>
        <v>-2.4465262326541018E-2</v>
      </c>
    </row>
    <row r="3054" spans="1:7" x14ac:dyDescent="0.35">
      <c r="A3054" t="s">
        <v>162</v>
      </c>
      <c r="E3054">
        <v>4.9494933361214971E-3</v>
      </c>
      <c r="F3054">
        <f t="shared" si="100"/>
        <v>-1.7147399769210817E-2</v>
      </c>
      <c r="G3054">
        <f t="shared" si="101"/>
        <v>-2.4465262326541018E-2</v>
      </c>
    </row>
    <row r="3055" spans="1:7" x14ac:dyDescent="0.35">
      <c r="A3055" t="s">
        <v>162</v>
      </c>
      <c r="E3055">
        <v>-6.4818356114609687E-3</v>
      </c>
      <c r="F3055">
        <f t="shared" si="100"/>
        <v>-1.7155741256351338E-2</v>
      </c>
      <c r="G3055">
        <f t="shared" si="101"/>
        <v>-2.4465262326541018E-2</v>
      </c>
    </row>
    <row r="3056" spans="1:7" x14ac:dyDescent="0.35">
      <c r="A3056" t="s">
        <v>162</v>
      </c>
      <c r="E3056">
        <v>-1.9084392405748236E-2</v>
      </c>
      <c r="F3056">
        <f t="shared" si="100"/>
        <v>-1.7164082743491856E-2</v>
      </c>
      <c r="G3056">
        <f t="shared" si="101"/>
        <v>-2.4465262326541018E-2</v>
      </c>
    </row>
    <row r="3057" spans="1:7" x14ac:dyDescent="0.35">
      <c r="A3057" t="s">
        <v>162</v>
      </c>
      <c r="E3057">
        <v>-5.2101015347237279E-3</v>
      </c>
      <c r="F3057">
        <f t="shared" si="100"/>
        <v>-1.7026981310008713E-2</v>
      </c>
      <c r="G3057">
        <f t="shared" si="101"/>
        <v>-2.4411215656633001E-2</v>
      </c>
    </row>
    <row r="3058" spans="1:7" x14ac:dyDescent="0.35">
      <c r="A3058" t="s">
        <v>162</v>
      </c>
      <c r="E3058">
        <v>1.4492976641245447E-2</v>
      </c>
      <c r="F3058">
        <f t="shared" si="100"/>
        <v>-1.7028193856420328E-2</v>
      </c>
      <c r="G3058">
        <f t="shared" si="101"/>
        <v>-2.4411215656633001E-2</v>
      </c>
    </row>
    <row r="3059" spans="1:7" x14ac:dyDescent="0.35">
      <c r="A3059" t="s">
        <v>162</v>
      </c>
      <c r="E3059">
        <v>-6.3835420948977371E-3</v>
      </c>
      <c r="F3059">
        <f t="shared" si="100"/>
        <v>-1.7029406402831938E-2</v>
      </c>
      <c r="G3059">
        <f t="shared" si="101"/>
        <v>-2.4411215656633001E-2</v>
      </c>
    </row>
    <row r="3060" spans="1:7" x14ac:dyDescent="0.35">
      <c r="A3060" t="s">
        <v>162</v>
      </c>
      <c r="E3060">
        <v>-4.7906473948678445E-3</v>
      </c>
      <c r="F3060">
        <f t="shared" si="100"/>
        <v>-1.7030618949243549E-2</v>
      </c>
      <c r="G3060">
        <f t="shared" si="101"/>
        <v>-2.4411215656633001E-2</v>
      </c>
    </row>
    <row r="3061" spans="1:7" x14ac:dyDescent="0.35">
      <c r="A3061" t="s">
        <v>162</v>
      </c>
      <c r="E3061">
        <v>-3.440259352076723E-3</v>
      </c>
      <c r="F3061">
        <f t="shared" si="100"/>
        <v>-1.7038960436384067E-2</v>
      </c>
      <c r="G3061">
        <f t="shared" si="101"/>
        <v>-2.4610691243319202E-2</v>
      </c>
    </row>
    <row r="3062" spans="1:7" x14ac:dyDescent="0.35">
      <c r="A3062" t="s">
        <v>162</v>
      </c>
      <c r="E3062">
        <v>6.1904661136776892E-3</v>
      </c>
      <c r="F3062">
        <f t="shared" si="100"/>
        <v>-1.7047301923524587E-2</v>
      </c>
      <c r="G3062">
        <f t="shared" si="101"/>
        <v>-2.4610691243319202E-2</v>
      </c>
    </row>
    <row r="3063" spans="1:7" x14ac:dyDescent="0.35">
      <c r="A3063" t="s">
        <v>162</v>
      </c>
      <c r="E3063">
        <v>-7.3382679825552129E-4</v>
      </c>
      <c r="F3063">
        <f t="shared" si="100"/>
        <v>-1.7055643410665105E-2</v>
      </c>
      <c r="G3063">
        <f t="shared" si="101"/>
        <v>-2.4610691243319202E-2</v>
      </c>
    </row>
    <row r="3064" spans="1:7" x14ac:dyDescent="0.35">
      <c r="A3064" t="s">
        <v>162</v>
      </c>
      <c r="E3064">
        <v>1.4628801364932836E-2</v>
      </c>
      <c r="F3064">
        <f t="shared" si="100"/>
        <v>-1.7063984897805626E-2</v>
      </c>
      <c r="G3064">
        <f t="shared" si="101"/>
        <v>-2.4610691243319202E-2</v>
      </c>
    </row>
    <row r="3065" spans="1:7" x14ac:dyDescent="0.35">
      <c r="A3065" t="s">
        <v>162</v>
      </c>
      <c r="E3065">
        <v>9.7269239807355502E-3</v>
      </c>
      <c r="F3065">
        <f t="shared" si="100"/>
        <v>-1.7072326384946143E-2</v>
      </c>
      <c r="G3065">
        <f t="shared" si="101"/>
        <v>-2.4610691243319202E-2</v>
      </c>
    </row>
    <row r="3066" spans="1:7" x14ac:dyDescent="0.35">
      <c r="A3066" t="s">
        <v>162</v>
      </c>
      <c r="E3066">
        <v>-2.5159385328383806E-2</v>
      </c>
      <c r="F3066">
        <f t="shared" si="100"/>
        <v>-1.7080667872086664E-2</v>
      </c>
      <c r="G3066">
        <f t="shared" si="101"/>
        <v>-2.4610691243319202E-2</v>
      </c>
    </row>
    <row r="3067" spans="1:7" x14ac:dyDescent="0.35">
      <c r="A3067" t="s">
        <v>162</v>
      </c>
      <c r="E3067">
        <v>-1.552927817389318E-2</v>
      </c>
      <c r="F3067">
        <f t="shared" si="100"/>
        <v>-1.7014855845892598E-2</v>
      </c>
      <c r="G3067">
        <f t="shared" si="101"/>
        <v>-2.4390994854693791E-2</v>
      </c>
    </row>
    <row r="3068" spans="1:7" x14ac:dyDescent="0.35">
      <c r="A3068" t="s">
        <v>162</v>
      </c>
      <c r="E3068">
        <v>-1.2122008642298175E-2</v>
      </c>
      <c r="F3068">
        <f t="shared" si="100"/>
        <v>-1.7016068392304212E-2</v>
      </c>
      <c r="G3068">
        <f t="shared" si="101"/>
        <v>-2.4390994854693791E-2</v>
      </c>
    </row>
    <row r="3069" spans="1:7" x14ac:dyDescent="0.35">
      <c r="A3069" t="s">
        <v>162</v>
      </c>
      <c r="E3069">
        <v>2.7251949147017477E-3</v>
      </c>
      <c r="F3069">
        <f t="shared" si="100"/>
        <v>-1.7017280938715823E-2</v>
      </c>
      <c r="G3069">
        <f t="shared" si="101"/>
        <v>-2.4390994854693791E-2</v>
      </c>
    </row>
    <row r="3070" spans="1:7" x14ac:dyDescent="0.35">
      <c r="A3070" t="s">
        <v>162</v>
      </c>
      <c r="E3070">
        <v>1.3386926536483261E-2</v>
      </c>
      <c r="F3070">
        <f t="shared" si="100"/>
        <v>-1.7018493485127434E-2</v>
      </c>
      <c r="G3070">
        <f t="shared" si="101"/>
        <v>-2.4390994854693791E-2</v>
      </c>
    </row>
    <row r="3071" spans="1:7" x14ac:dyDescent="0.35">
      <c r="A3071" t="s">
        <v>162</v>
      </c>
      <c r="E3071">
        <v>8.4081396509514475E-3</v>
      </c>
      <c r="F3071">
        <f t="shared" si="100"/>
        <v>-1.7019706031539045E-2</v>
      </c>
      <c r="G3071">
        <f t="shared" si="101"/>
        <v>-2.4390994854693791E-2</v>
      </c>
    </row>
    <row r="3072" spans="1:7" x14ac:dyDescent="0.35">
      <c r="A3072" t="s">
        <v>163</v>
      </c>
      <c r="B3072" s="3" cm="1">
        <f t="array" ref="B3072">_xlfn.STDEV.S(_xlfn._xlws.FILTER($E$2826:$E$3824, $A$2826:$A$3824="2022-05"))</f>
        <v>1.3628768492200528E-2</v>
      </c>
      <c r="C3072" s="3" cm="1">
        <f t="array" ref="C3072">AVERAGE(_xlfn._xlws.FILTER($E$2826:$E$3824, $A$2826:$A$3824="2022-05"))</f>
        <v>9.7116285213246704E-4</v>
      </c>
      <c r="D3072" s="3" cm="1">
        <f t="array" ref="D3072">_xlfn.PERCENTILE.EXC(_xlfn._xlws.FILTER($E$2490:$E$3818, $A$2490:$A$3818="2022-05"), 0.05)</f>
        <v>-2.1355606586289318E-2</v>
      </c>
      <c r="E3072">
        <v>-4.1517828724125629E-3</v>
      </c>
      <c r="F3072">
        <f t="shared" si="100"/>
        <v>-1.7020918577950656E-2</v>
      </c>
      <c r="G3072">
        <f t="shared" si="101"/>
        <v>-2.4390994854693791E-2</v>
      </c>
    </row>
    <row r="3073" spans="1:7" x14ac:dyDescent="0.35">
      <c r="A3073" t="s">
        <v>163</v>
      </c>
      <c r="E3073">
        <v>-4.9017798428331698E-3</v>
      </c>
      <c r="F3073">
        <f t="shared" si="100"/>
        <v>-1.702213112436227E-2</v>
      </c>
      <c r="G3073">
        <f t="shared" si="101"/>
        <v>-2.4390994854693791E-2</v>
      </c>
    </row>
    <row r="3074" spans="1:7" x14ac:dyDescent="0.35">
      <c r="A3074" t="s">
        <v>163</v>
      </c>
      <c r="E3074">
        <v>-4.9007500858312923E-3</v>
      </c>
      <c r="F3074">
        <f t="shared" si="100"/>
        <v>-1.7023343670773881E-2</v>
      </c>
      <c r="G3074">
        <f t="shared" si="101"/>
        <v>-2.4390994854693791E-2</v>
      </c>
    </row>
    <row r="3075" spans="1:7" x14ac:dyDescent="0.35">
      <c r="A3075" t="s">
        <v>163</v>
      </c>
      <c r="E3075">
        <v>-1.6552691269794119E-2</v>
      </c>
      <c r="F3075">
        <f t="shared" si="100"/>
        <v>-1.7024556217185492E-2</v>
      </c>
      <c r="G3075">
        <f t="shared" si="101"/>
        <v>-2.4390994854693791E-2</v>
      </c>
    </row>
    <row r="3076" spans="1:7" x14ac:dyDescent="0.35">
      <c r="A3076" t="s">
        <v>163</v>
      </c>
      <c r="E3076">
        <v>-2.1706299214134667E-2</v>
      </c>
      <c r="F3076">
        <f t="shared" ref="F3076:F3139" si="102">_xlfn.PERCENTILE.EXC(E3076:E6891,0.05)</f>
        <v>-1.7025768763597102E-2</v>
      </c>
      <c r="G3076">
        <f t="shared" ref="G3076:G3139" si="103">AVERAGEIFS(E3076:E6892,E3076:E6892,"&lt;=" &amp; F3076)</f>
        <v>-2.4390994854693791E-2</v>
      </c>
    </row>
    <row r="3077" spans="1:7" x14ac:dyDescent="0.35">
      <c r="A3077" t="s">
        <v>163</v>
      </c>
      <c r="E3077">
        <v>1.1448585239996962E-2</v>
      </c>
      <c r="F3077">
        <f t="shared" si="102"/>
        <v>-1.697300561694487E-2</v>
      </c>
      <c r="G3077">
        <f t="shared" si="103"/>
        <v>-2.4263969687312079E-2</v>
      </c>
    </row>
    <row r="3078" spans="1:7" x14ac:dyDescent="0.35">
      <c r="A3078" t="s">
        <v>163</v>
      </c>
      <c r="E3078">
        <v>2.1482090467812746E-2</v>
      </c>
      <c r="F3078">
        <f t="shared" si="102"/>
        <v>-1.6984126418300351E-2</v>
      </c>
      <c r="G3078">
        <f t="shared" si="103"/>
        <v>-2.4263969687312079E-2</v>
      </c>
    </row>
    <row r="3079" spans="1:7" x14ac:dyDescent="0.35">
      <c r="A3079" t="s">
        <v>163</v>
      </c>
      <c r="E3079">
        <v>-6.456718315017828E-3</v>
      </c>
      <c r="F3079">
        <f t="shared" si="102"/>
        <v>-1.6995247219655833E-2</v>
      </c>
      <c r="G3079">
        <f t="shared" si="103"/>
        <v>-2.4263969687312079E-2</v>
      </c>
    </row>
    <row r="3080" spans="1:7" x14ac:dyDescent="0.35">
      <c r="A3080" t="s">
        <v>163</v>
      </c>
      <c r="E3080">
        <v>2.0765256667929589E-2</v>
      </c>
      <c r="F3080">
        <f t="shared" si="102"/>
        <v>-1.7006368021011319E-2</v>
      </c>
      <c r="G3080">
        <f t="shared" si="103"/>
        <v>-2.4263969687312079E-2</v>
      </c>
    </row>
    <row r="3081" spans="1:7" x14ac:dyDescent="0.35">
      <c r="A3081" t="s">
        <v>163</v>
      </c>
      <c r="E3081">
        <v>-4.54054053999521E-3</v>
      </c>
      <c r="F3081">
        <f t="shared" si="102"/>
        <v>-1.7007580567422929E-2</v>
      </c>
      <c r="G3081">
        <f t="shared" si="103"/>
        <v>-2.4465569733598213E-2</v>
      </c>
    </row>
    <row r="3082" spans="1:7" x14ac:dyDescent="0.35">
      <c r="A3082" t="s">
        <v>163</v>
      </c>
      <c r="E3082">
        <v>1.5741531543360422E-2</v>
      </c>
      <c r="F3082">
        <f t="shared" si="102"/>
        <v>-1.700879311383454E-2</v>
      </c>
      <c r="G3082">
        <f t="shared" si="103"/>
        <v>-2.4465569733598213E-2</v>
      </c>
    </row>
    <row r="3083" spans="1:7" x14ac:dyDescent="0.35">
      <c r="A3083" t="s">
        <v>163</v>
      </c>
      <c r="E3083">
        <v>-1.2639871478927506E-2</v>
      </c>
      <c r="F3083">
        <f t="shared" si="102"/>
        <v>-1.7010005660246155E-2</v>
      </c>
      <c r="G3083">
        <f t="shared" si="103"/>
        <v>-2.4465569733598213E-2</v>
      </c>
    </row>
    <row r="3084" spans="1:7" x14ac:dyDescent="0.35">
      <c r="A3084" t="s">
        <v>163</v>
      </c>
      <c r="E3084">
        <v>-8.9968143671588351E-3</v>
      </c>
      <c r="F3084">
        <f t="shared" si="102"/>
        <v>-1.7011218206657765E-2</v>
      </c>
      <c r="G3084">
        <f t="shared" si="103"/>
        <v>-2.4465569733598213E-2</v>
      </c>
    </row>
    <row r="3085" spans="1:7" x14ac:dyDescent="0.35">
      <c r="A3085" t="s">
        <v>163</v>
      </c>
      <c r="E3085">
        <v>7.1497038189013273E-3</v>
      </c>
      <c r="F3085">
        <f t="shared" si="102"/>
        <v>-1.7012430753069376E-2</v>
      </c>
      <c r="G3085">
        <f t="shared" si="103"/>
        <v>-2.4465569733598213E-2</v>
      </c>
    </row>
    <row r="3086" spans="1:7" x14ac:dyDescent="0.35">
      <c r="A3086" t="s">
        <v>163</v>
      </c>
      <c r="E3086">
        <v>1.3743716688859641E-2</v>
      </c>
      <c r="F3086">
        <f t="shared" si="102"/>
        <v>-1.7013643299480987E-2</v>
      </c>
      <c r="G3086">
        <f t="shared" si="103"/>
        <v>-2.4465569733598213E-2</v>
      </c>
    </row>
    <row r="3087" spans="1:7" x14ac:dyDescent="0.35">
      <c r="A3087" t="s">
        <v>163</v>
      </c>
      <c r="E3087">
        <v>-1.8199372935681191E-2</v>
      </c>
      <c r="F3087">
        <f t="shared" si="102"/>
        <v>-1.7014855845892598E-2</v>
      </c>
      <c r="G3087">
        <f t="shared" si="103"/>
        <v>-2.4465569733598213E-2</v>
      </c>
    </row>
    <row r="3088" spans="1:7" x14ac:dyDescent="0.35">
      <c r="A3088" t="s">
        <v>163</v>
      </c>
      <c r="E3088">
        <v>6.3149028516960434E-3</v>
      </c>
      <c r="F3088">
        <f t="shared" si="102"/>
        <v>-1.6872918404745526E-2</v>
      </c>
      <c r="G3088">
        <f t="shared" si="103"/>
        <v>-2.4432430708190712E-2</v>
      </c>
    </row>
    <row r="3089" spans="1:7" x14ac:dyDescent="0.35">
      <c r="A3089" t="s">
        <v>163</v>
      </c>
      <c r="E3089">
        <v>1.5819463715240848E-2</v>
      </c>
      <c r="F3089">
        <f t="shared" si="102"/>
        <v>-1.6884039206101008E-2</v>
      </c>
      <c r="G3089">
        <f t="shared" si="103"/>
        <v>-2.4432430708190712E-2</v>
      </c>
    </row>
    <row r="3090" spans="1:7" x14ac:dyDescent="0.35">
      <c r="A3090" t="s">
        <v>163</v>
      </c>
      <c r="E3090">
        <v>1.6094596003220413E-2</v>
      </c>
      <c r="F3090">
        <f t="shared" si="102"/>
        <v>-1.6895160007456493E-2</v>
      </c>
      <c r="G3090">
        <f t="shared" si="103"/>
        <v>-2.4432430708190712E-2</v>
      </c>
    </row>
    <row r="3091" spans="1:7" x14ac:dyDescent="0.35">
      <c r="A3091" t="s">
        <v>163</v>
      </c>
      <c r="E3091">
        <v>7.837310853072715E-3</v>
      </c>
      <c r="F3091">
        <f t="shared" si="102"/>
        <v>-1.6906280808811975E-2</v>
      </c>
      <c r="G3091">
        <f t="shared" si="103"/>
        <v>-2.4432430708190712E-2</v>
      </c>
    </row>
    <row r="3092" spans="1:7" x14ac:dyDescent="0.35">
      <c r="A3092" t="s">
        <v>163</v>
      </c>
      <c r="E3092">
        <v>-1.2956117033522513E-2</v>
      </c>
      <c r="F3092">
        <f t="shared" si="102"/>
        <v>-1.6917401610167457E-2</v>
      </c>
      <c r="G3092">
        <f t="shared" si="103"/>
        <v>-2.4432430708190712E-2</v>
      </c>
    </row>
    <row r="3093" spans="1:7" x14ac:dyDescent="0.35">
      <c r="A3093" t="s">
        <v>164</v>
      </c>
      <c r="B3093" s="3" cm="1">
        <f t="array" ref="B3093">_xlfn.STDEV.S(_xlfn._xlws.FILTER($E$2826:$E$3824, $A$2826:$A$3824="2022-06"))</f>
        <v>1.5642514783746571E-2</v>
      </c>
      <c r="C3093" s="3" cm="1">
        <f t="array" ref="C3093">AVERAGE(_xlfn._xlws.FILTER($E$2826:$E$3824, $A$2826:$A$3824="2022-06"))</f>
        <v>-5.912122687078099E-3</v>
      </c>
      <c r="D3093" s="3" cm="1">
        <f t="array" ref="D3093">_xlfn.PERCENTILE.EXC(_xlfn._xlws.FILTER($E$2490:$E$3818, $A$2490:$A$3818="2022-06"), 0.05)</f>
        <v>-3.3571955822178035E-2</v>
      </c>
      <c r="E3093">
        <v>-3.3332412769391481E-3</v>
      </c>
      <c r="F3093">
        <f t="shared" si="102"/>
        <v>-1.6928522411522939E-2</v>
      </c>
      <c r="G3093">
        <f t="shared" si="103"/>
        <v>-2.4432430708190712E-2</v>
      </c>
    </row>
    <row r="3094" spans="1:7" x14ac:dyDescent="0.35">
      <c r="A3094" t="s">
        <v>164</v>
      </c>
      <c r="E3094">
        <v>2.1614759822925923E-2</v>
      </c>
      <c r="F3094">
        <f t="shared" si="102"/>
        <v>-1.6939643212878421E-2</v>
      </c>
      <c r="G3094">
        <f t="shared" si="103"/>
        <v>-2.4432430708190712E-2</v>
      </c>
    </row>
    <row r="3095" spans="1:7" x14ac:dyDescent="0.35">
      <c r="A3095" t="s">
        <v>164</v>
      </c>
      <c r="E3095">
        <v>-6.65449694850108E-3</v>
      </c>
      <c r="F3095">
        <f t="shared" si="102"/>
        <v>-1.6950764014233906E-2</v>
      </c>
      <c r="G3095">
        <f t="shared" si="103"/>
        <v>-2.4432430708190712E-2</v>
      </c>
    </row>
    <row r="3096" spans="1:7" x14ac:dyDescent="0.35">
      <c r="A3096" t="s">
        <v>164</v>
      </c>
      <c r="E3096">
        <v>-7.6290055668019078E-3</v>
      </c>
      <c r="F3096">
        <f t="shared" si="102"/>
        <v>-1.6961884815589388E-2</v>
      </c>
      <c r="G3096">
        <f t="shared" si="103"/>
        <v>-2.4432430708190712E-2</v>
      </c>
    </row>
    <row r="3097" spans="1:7" x14ac:dyDescent="0.35">
      <c r="A3097" t="s">
        <v>164</v>
      </c>
      <c r="E3097">
        <v>-1.7259413401231084E-2</v>
      </c>
      <c r="F3097">
        <f t="shared" si="102"/>
        <v>-1.697300561694487E-2</v>
      </c>
      <c r="G3097">
        <f t="shared" si="103"/>
        <v>-2.4432430708190712E-2</v>
      </c>
    </row>
    <row r="3098" spans="1:7" x14ac:dyDescent="0.35">
      <c r="A3098" t="s">
        <v>164</v>
      </c>
      <c r="E3098">
        <v>-3.1258636145738788E-2</v>
      </c>
      <c r="F3098">
        <f t="shared" si="102"/>
        <v>-1.6781996325284591E-2</v>
      </c>
      <c r="G3098">
        <f t="shared" si="103"/>
        <v>-2.4419223446876005E-2</v>
      </c>
    </row>
    <row r="3099" spans="1:7" x14ac:dyDescent="0.35">
      <c r="A3099" t="s">
        <v>164</v>
      </c>
      <c r="E3099">
        <v>-2.4628978456212047E-2</v>
      </c>
      <c r="F3099">
        <f t="shared" si="102"/>
        <v>-1.675303556175934E-2</v>
      </c>
      <c r="G3099">
        <f t="shared" si="103"/>
        <v>-2.4016605645820234E-2</v>
      </c>
    </row>
    <row r="3100" spans="1:7" x14ac:dyDescent="0.35">
      <c r="A3100" t="s">
        <v>164</v>
      </c>
      <c r="E3100">
        <v>-9.1757834392419829E-3</v>
      </c>
      <c r="F3100">
        <f t="shared" si="102"/>
        <v>-1.6537200388298826E-2</v>
      </c>
      <c r="G3100">
        <f t="shared" si="103"/>
        <v>-2.3791834032822642E-2</v>
      </c>
    </row>
    <row r="3101" spans="1:7" x14ac:dyDescent="0.35">
      <c r="A3101" t="s">
        <v>164</v>
      </c>
      <c r="E3101">
        <v>1.3505405783952767E-2</v>
      </c>
      <c r="F3101">
        <f t="shared" si="102"/>
        <v>-1.6548560134270432E-2</v>
      </c>
      <c r="G3101">
        <f t="shared" si="103"/>
        <v>-2.3999109279809038E-2</v>
      </c>
    </row>
    <row r="3102" spans="1:7" x14ac:dyDescent="0.35">
      <c r="A3102" t="s">
        <v>164</v>
      </c>
      <c r="E3102">
        <v>-3.3693709489359049E-2</v>
      </c>
      <c r="F3102">
        <f t="shared" si="102"/>
        <v>-1.6559919880242038E-2</v>
      </c>
      <c r="G3102">
        <f t="shared" si="103"/>
        <v>-2.3999109279809038E-2</v>
      </c>
    </row>
    <row r="3103" spans="1:7" x14ac:dyDescent="0.35">
      <c r="A3103" t="s">
        <v>164</v>
      </c>
      <c r="E3103">
        <v>6.7090516225411416E-3</v>
      </c>
      <c r="F3103">
        <f t="shared" si="102"/>
        <v>-1.6148198436821776E-2</v>
      </c>
      <c r="G3103">
        <f t="shared" si="103"/>
        <v>-2.3508923305493031E-2</v>
      </c>
    </row>
    <row r="3104" spans="1:7" x14ac:dyDescent="0.35">
      <c r="A3104" t="s">
        <v>164</v>
      </c>
      <c r="E3104">
        <v>1.0559414509834955E-2</v>
      </c>
      <c r="F3104">
        <f t="shared" si="102"/>
        <v>-1.6171080904555719E-2</v>
      </c>
      <c r="G3104">
        <f t="shared" si="103"/>
        <v>-2.3508923305493031E-2</v>
      </c>
    </row>
    <row r="3105" spans="1:7" x14ac:dyDescent="0.35">
      <c r="A3105" t="s">
        <v>164</v>
      </c>
      <c r="E3105">
        <v>2.0182249489331182E-3</v>
      </c>
      <c r="F3105">
        <f t="shared" si="102"/>
        <v>-1.6193963372289663E-2</v>
      </c>
      <c r="G3105">
        <f t="shared" si="103"/>
        <v>-2.3508923305493031E-2</v>
      </c>
    </row>
    <row r="3106" spans="1:7" x14ac:dyDescent="0.35">
      <c r="A3106" t="s">
        <v>164</v>
      </c>
      <c r="E3106">
        <v>-1.1205760325243121E-2</v>
      </c>
      <c r="F3106">
        <f t="shared" si="102"/>
        <v>-1.6216845840023607E-2</v>
      </c>
      <c r="G3106">
        <f t="shared" si="103"/>
        <v>-2.3508923305493031E-2</v>
      </c>
    </row>
    <row r="3107" spans="1:7" x14ac:dyDescent="0.35">
      <c r="A3107" t="s">
        <v>164</v>
      </c>
      <c r="E3107">
        <v>-1.7783878591721116E-2</v>
      </c>
      <c r="F3107">
        <f t="shared" si="102"/>
        <v>-1.6239728307757554E-2</v>
      </c>
      <c r="G3107">
        <f t="shared" si="103"/>
        <v>-2.3508923305493031E-2</v>
      </c>
    </row>
    <row r="3108" spans="1:7" x14ac:dyDescent="0.35">
      <c r="A3108" t="s">
        <v>164</v>
      </c>
      <c r="E3108">
        <v>1.5792438457916617E-2</v>
      </c>
      <c r="F3108">
        <f t="shared" si="102"/>
        <v>-1.6058663091227561E-2</v>
      </c>
      <c r="G3108">
        <f t="shared" si="103"/>
        <v>-2.3460228232404425E-2</v>
      </c>
    </row>
    <row r="3109" spans="1:7" x14ac:dyDescent="0.35">
      <c r="A3109" t="s">
        <v>164</v>
      </c>
      <c r="E3109">
        <v>5.1657264680148784E-3</v>
      </c>
      <c r="F3109">
        <f t="shared" si="102"/>
        <v>-1.6060403753093592E-2</v>
      </c>
      <c r="G3109">
        <f t="shared" si="103"/>
        <v>-2.3460228232404425E-2</v>
      </c>
    </row>
    <row r="3110" spans="1:7" x14ac:dyDescent="0.35">
      <c r="A3110" t="s">
        <v>164</v>
      </c>
      <c r="E3110">
        <v>3.4635654653592429E-3</v>
      </c>
      <c r="F3110">
        <f t="shared" si="102"/>
        <v>-1.6062144414959623E-2</v>
      </c>
      <c r="G3110">
        <f t="shared" si="103"/>
        <v>-2.3460228232404425E-2</v>
      </c>
    </row>
    <row r="3111" spans="1:7" x14ac:dyDescent="0.35">
      <c r="A3111" t="s">
        <v>164</v>
      </c>
      <c r="E3111">
        <v>-1.7417518230807734E-2</v>
      </c>
      <c r="F3111">
        <f t="shared" si="102"/>
        <v>-1.6063885076825657E-2</v>
      </c>
      <c r="G3111">
        <f t="shared" si="103"/>
        <v>-2.3460228232404425E-2</v>
      </c>
    </row>
    <row r="3112" spans="1:7" x14ac:dyDescent="0.35">
      <c r="A3112" t="s">
        <v>164</v>
      </c>
      <c r="E3112">
        <v>-1.7030618949243549E-2</v>
      </c>
      <c r="F3112">
        <f t="shared" si="102"/>
        <v>-1.602147477405377E-2</v>
      </c>
      <c r="G3112">
        <f t="shared" si="103"/>
        <v>-2.3421005934275613E-2</v>
      </c>
    </row>
    <row r="3113" spans="1:7" x14ac:dyDescent="0.35">
      <c r="A3113" t="s">
        <v>165</v>
      </c>
      <c r="B3113" s="3" cm="1">
        <f t="array" ref="B3113">_xlfn.STDEV.S(_xlfn._xlws.FILTER($E$2826:$E$3824, $A$2826:$A$3824="2022-07"))</f>
        <v>1.4486445907935281E-2</v>
      </c>
      <c r="C3113" s="3" cm="1">
        <f t="array" ref="C3113">AVERAGE(_xlfn._xlws.FILTER($E$2826:$E$3824, $A$2826:$A$3824="2022-07"))</f>
        <v>2.5395765638286071E-3</v>
      </c>
      <c r="D3113" s="3" cm="1">
        <f t="array" ref="D3113">_xlfn.PERCENTILE.EXC(_xlfn._xlws.FILTER($E$2490:$E$3818, $A$2490:$A$3818="2022-07"), 0.05)</f>
        <v>-2.8485730806639919E-2</v>
      </c>
      <c r="E3113">
        <v>2.2862242737164747E-3</v>
      </c>
      <c r="F3113">
        <f t="shared" si="102"/>
        <v>-1.5842213470695286E-2</v>
      </c>
      <c r="G3113">
        <f t="shared" si="103"/>
        <v>-2.3391176256888239E-2</v>
      </c>
    </row>
    <row r="3114" spans="1:7" x14ac:dyDescent="0.35">
      <c r="A3114" t="s">
        <v>165</v>
      </c>
      <c r="E3114">
        <v>-3.0993040241895941E-3</v>
      </c>
      <c r="F3114">
        <f t="shared" si="102"/>
        <v>-1.5862837294979597E-2</v>
      </c>
      <c r="G3114">
        <f t="shared" si="103"/>
        <v>-2.3391176256888239E-2</v>
      </c>
    </row>
    <row r="3115" spans="1:7" x14ac:dyDescent="0.35">
      <c r="A3115" t="s">
        <v>165</v>
      </c>
      <c r="E3115">
        <v>-2.9570075750333238E-2</v>
      </c>
      <c r="F3115">
        <f t="shared" si="102"/>
        <v>-1.5883461119263909E-2</v>
      </c>
      <c r="G3115">
        <f t="shared" si="103"/>
        <v>-2.3391176256888239E-2</v>
      </c>
    </row>
    <row r="3116" spans="1:7" x14ac:dyDescent="0.35">
      <c r="A3116" t="s">
        <v>165</v>
      </c>
      <c r="E3116">
        <v>1.5468556594881274E-2</v>
      </c>
      <c r="F3116">
        <f t="shared" si="102"/>
        <v>-1.5561876410299959E-2</v>
      </c>
      <c r="G3116">
        <f t="shared" si="103"/>
        <v>-2.299129134273584E-2</v>
      </c>
    </row>
    <row r="3117" spans="1:7" x14ac:dyDescent="0.35">
      <c r="A3117" t="s">
        <v>165</v>
      </c>
      <c r="E3117">
        <v>1.9554246921162578E-2</v>
      </c>
      <c r="F3117">
        <f t="shared" si="102"/>
        <v>-1.5564933246474776E-2</v>
      </c>
      <c r="G3117">
        <f t="shared" si="103"/>
        <v>-2.299129134273584E-2</v>
      </c>
    </row>
    <row r="3118" spans="1:7" x14ac:dyDescent="0.35">
      <c r="A3118" t="s">
        <v>165</v>
      </c>
      <c r="E3118">
        <v>1.3304164569137819E-2</v>
      </c>
      <c r="F3118">
        <f t="shared" si="102"/>
        <v>-1.5567990082649592E-2</v>
      </c>
      <c r="G3118">
        <f t="shared" si="103"/>
        <v>-2.299129134273584E-2</v>
      </c>
    </row>
    <row r="3119" spans="1:7" x14ac:dyDescent="0.35">
      <c r="A3119" t="s">
        <v>165</v>
      </c>
      <c r="E3119">
        <v>-1.4143870394298111E-2</v>
      </c>
      <c r="F3119">
        <f t="shared" si="102"/>
        <v>-1.5571046918824409E-2</v>
      </c>
      <c r="G3119">
        <f t="shared" si="103"/>
        <v>-2.299129134273584E-2</v>
      </c>
    </row>
    <row r="3120" spans="1:7" x14ac:dyDescent="0.35">
      <c r="A3120" t="s">
        <v>165</v>
      </c>
      <c r="E3120">
        <v>5.6756875514648924E-3</v>
      </c>
      <c r="F3120">
        <f t="shared" si="102"/>
        <v>-1.5574103754999225E-2</v>
      </c>
      <c r="G3120">
        <f t="shared" si="103"/>
        <v>-2.299129134273584E-2</v>
      </c>
    </row>
    <row r="3121" spans="1:7" x14ac:dyDescent="0.35">
      <c r="A3121" t="s">
        <v>165</v>
      </c>
      <c r="E3121">
        <v>-1.1625192297481733E-2</v>
      </c>
      <c r="F3121">
        <f t="shared" si="102"/>
        <v>-1.5594727579283537E-2</v>
      </c>
      <c r="G3121">
        <f t="shared" si="103"/>
        <v>-2.3209443918845742E-2</v>
      </c>
    </row>
    <row r="3122" spans="1:7" x14ac:dyDescent="0.35">
      <c r="A3122" t="s">
        <v>165</v>
      </c>
      <c r="E3122">
        <v>-1.8726626313400049E-2</v>
      </c>
      <c r="F3122">
        <f t="shared" si="102"/>
        <v>-1.5615351403567851E-2</v>
      </c>
      <c r="G3122">
        <f t="shared" si="103"/>
        <v>-2.3209443918845742E-2</v>
      </c>
    </row>
    <row r="3123" spans="1:7" x14ac:dyDescent="0.35">
      <c r="A3123" t="s">
        <v>165</v>
      </c>
      <c r="E3123">
        <v>2.718847226590785E-2</v>
      </c>
      <c r="F3123">
        <f t="shared" si="102"/>
        <v>-1.5522137540027342E-2</v>
      </c>
      <c r="G3123">
        <f t="shared" si="103"/>
        <v>-2.3116722667128071E-2</v>
      </c>
    </row>
    <row r="3124" spans="1:7" x14ac:dyDescent="0.35">
      <c r="A3124" t="s">
        <v>165</v>
      </c>
      <c r="E3124">
        <v>7.3643493032415084E-3</v>
      </c>
      <c r="F3124">
        <f t="shared" si="102"/>
        <v>-1.5525194376202159E-2</v>
      </c>
      <c r="G3124">
        <f t="shared" si="103"/>
        <v>-2.3116722667128071E-2</v>
      </c>
    </row>
    <row r="3125" spans="1:7" x14ac:dyDescent="0.35">
      <c r="A3125" t="s">
        <v>165</v>
      </c>
      <c r="E3125">
        <v>2.65431358950406E-2</v>
      </c>
      <c r="F3125">
        <f t="shared" si="102"/>
        <v>-1.5528251212376977E-2</v>
      </c>
      <c r="G3125">
        <f t="shared" si="103"/>
        <v>-2.3116722667128071E-2</v>
      </c>
    </row>
    <row r="3126" spans="1:7" x14ac:dyDescent="0.35">
      <c r="A3126" t="s">
        <v>165</v>
      </c>
      <c r="E3126">
        <v>-1.987936897807345E-3</v>
      </c>
      <c r="F3126">
        <f t="shared" si="102"/>
        <v>-1.5531308048551792E-2</v>
      </c>
      <c r="G3126">
        <f t="shared" si="103"/>
        <v>-2.3116722667128071E-2</v>
      </c>
    </row>
    <row r="3127" spans="1:7" x14ac:dyDescent="0.35">
      <c r="A3127" t="s">
        <v>165</v>
      </c>
      <c r="E3127">
        <v>-2.6642939515865273E-3</v>
      </c>
      <c r="F3127">
        <f t="shared" si="102"/>
        <v>-1.553436488472661E-2</v>
      </c>
      <c r="G3127">
        <f t="shared" si="103"/>
        <v>-2.3116722667128071E-2</v>
      </c>
    </row>
    <row r="3128" spans="1:7" x14ac:dyDescent="0.35">
      <c r="A3128" t="s">
        <v>165</v>
      </c>
      <c r="E3128">
        <v>5.3131435134465277E-4</v>
      </c>
      <c r="F3128">
        <f t="shared" si="102"/>
        <v>-1.5537421720901426E-2</v>
      </c>
      <c r="G3128">
        <f t="shared" si="103"/>
        <v>-2.3116722667128071E-2</v>
      </c>
    </row>
    <row r="3129" spans="1:7" x14ac:dyDescent="0.35">
      <c r="A3129" t="s">
        <v>165</v>
      </c>
      <c r="E3129">
        <v>-3.2769074063186934E-3</v>
      </c>
      <c r="F3129">
        <f t="shared" si="102"/>
        <v>-1.5540478557076243E-2</v>
      </c>
      <c r="G3129">
        <f t="shared" si="103"/>
        <v>-2.3116722667128071E-2</v>
      </c>
    </row>
    <row r="3130" spans="1:7" x14ac:dyDescent="0.35">
      <c r="A3130" t="s">
        <v>165</v>
      </c>
      <c r="E3130">
        <v>-8.6204907159609188E-3</v>
      </c>
      <c r="F3130">
        <f t="shared" si="102"/>
        <v>-1.5543535393251059E-2</v>
      </c>
      <c r="G3130">
        <f t="shared" si="103"/>
        <v>-2.3116722667128071E-2</v>
      </c>
    </row>
    <row r="3131" spans="1:7" x14ac:dyDescent="0.35">
      <c r="A3131" t="s">
        <v>165</v>
      </c>
      <c r="E3131">
        <v>5.2887592525038074E-3</v>
      </c>
      <c r="F3131">
        <f t="shared" si="102"/>
        <v>-1.5546592229425876E-2</v>
      </c>
      <c r="G3131">
        <f t="shared" si="103"/>
        <v>-2.3116722667128071E-2</v>
      </c>
    </row>
    <row r="3132" spans="1:7" x14ac:dyDescent="0.35">
      <c r="A3132" t="s">
        <v>165</v>
      </c>
      <c r="E3132">
        <v>8.7514061194346529E-3</v>
      </c>
      <c r="F3132">
        <f t="shared" si="102"/>
        <v>-1.5549649065600692E-2</v>
      </c>
      <c r="G3132">
        <f t="shared" si="103"/>
        <v>-2.3116722667128071E-2</v>
      </c>
    </row>
    <row r="3133" spans="1:7" x14ac:dyDescent="0.35">
      <c r="A3133" t="s">
        <v>165</v>
      </c>
      <c r="E3133">
        <v>1.5089488493940853E-2</v>
      </c>
      <c r="F3133">
        <f t="shared" si="102"/>
        <v>-1.5552705901775508E-2</v>
      </c>
      <c r="G3133">
        <f t="shared" si="103"/>
        <v>-2.3116722667128071E-2</v>
      </c>
    </row>
    <row r="3134" spans="1:7" x14ac:dyDescent="0.35">
      <c r="A3134" t="s">
        <v>166</v>
      </c>
      <c r="B3134" s="3" cm="1">
        <f t="array" ref="B3134">_xlfn.STDEV.S(_xlfn._xlws.FILTER($E$2826:$E$3824, $A$2826:$A$3824="2022-08"))</f>
        <v>1.0741693455088566E-2</v>
      </c>
      <c r="C3134" s="3" cm="1">
        <f t="array" ref="C3134">AVERAGE(_xlfn._xlws.FILTER($E$2826:$E$3824, $A$2826:$A$3824="2022-08"))</f>
        <v>-2.3492765535027792E-3</v>
      </c>
      <c r="D3134" s="3" cm="1">
        <f t="array" ref="D3134">_xlfn.PERCENTILE.EXC(_xlfn._xlws.FILTER($E$2490:$E$3818, $A$2490:$A$3818="2022-08"), 0.05)</f>
        <v>-2.3396899605450137E-2</v>
      </c>
      <c r="E3134">
        <v>-3.2784842718724835E-4</v>
      </c>
      <c r="F3134">
        <f t="shared" si="102"/>
        <v>-1.5555762737950325E-2</v>
      </c>
      <c r="G3134">
        <f t="shared" si="103"/>
        <v>-2.3116722667128071E-2</v>
      </c>
    </row>
    <row r="3135" spans="1:7" x14ac:dyDescent="0.35">
      <c r="A3135" t="s">
        <v>166</v>
      </c>
      <c r="E3135">
        <v>-2.2600323112731014E-3</v>
      </c>
      <c r="F3135">
        <f t="shared" si="102"/>
        <v>-1.5558819574125141E-2</v>
      </c>
      <c r="G3135">
        <f t="shared" si="103"/>
        <v>-2.3116722667128071E-2</v>
      </c>
    </row>
    <row r="3136" spans="1:7" x14ac:dyDescent="0.35">
      <c r="A3136" t="s">
        <v>166</v>
      </c>
      <c r="E3136">
        <v>1.0235043535979024E-2</v>
      </c>
      <c r="F3136">
        <f t="shared" si="102"/>
        <v>-1.5561876410299959E-2</v>
      </c>
      <c r="G3136">
        <f t="shared" si="103"/>
        <v>-2.3116722667128071E-2</v>
      </c>
    </row>
    <row r="3137" spans="1:7" x14ac:dyDescent="0.35">
      <c r="A3137" t="s">
        <v>166</v>
      </c>
      <c r="E3137">
        <v>5.5133599033245538E-3</v>
      </c>
      <c r="F3137">
        <f t="shared" si="102"/>
        <v>-1.5564933246474776E-2</v>
      </c>
      <c r="G3137">
        <f t="shared" si="103"/>
        <v>-2.3116722667128071E-2</v>
      </c>
    </row>
    <row r="3138" spans="1:7" x14ac:dyDescent="0.35">
      <c r="A3138" t="s">
        <v>166</v>
      </c>
      <c r="E3138">
        <v>-6.5169868136365806E-3</v>
      </c>
      <c r="F3138">
        <f t="shared" si="102"/>
        <v>-1.5567990082649592E-2</v>
      </c>
      <c r="G3138">
        <f t="shared" si="103"/>
        <v>-2.3116722667128071E-2</v>
      </c>
    </row>
    <row r="3139" spans="1:7" x14ac:dyDescent="0.35">
      <c r="A3139" t="s">
        <v>166</v>
      </c>
      <c r="E3139">
        <v>8.3458474082813636E-3</v>
      </c>
      <c r="F3139">
        <f t="shared" si="102"/>
        <v>-1.5571046918824409E-2</v>
      </c>
      <c r="G3139">
        <f t="shared" si="103"/>
        <v>-2.3116722667128071E-2</v>
      </c>
    </row>
    <row r="3140" spans="1:7" x14ac:dyDescent="0.35">
      <c r="A3140" t="s">
        <v>166</v>
      </c>
      <c r="E3140">
        <v>-1.1220182170909736E-2</v>
      </c>
      <c r="F3140">
        <f t="shared" ref="F3140:F3203" si="104">_xlfn.PERCENTILE.EXC(E3140:E6955,0.05)</f>
        <v>-1.5574103754999225E-2</v>
      </c>
      <c r="G3140">
        <f t="shared" ref="G3140:G3203" si="105">AVERAGEIFS(E3140:E6956,E3140:E6956,"&lt;=" &amp; F3140)</f>
        <v>-2.3116722667128071E-2</v>
      </c>
    </row>
    <row r="3141" spans="1:7" x14ac:dyDescent="0.35">
      <c r="A3141" t="s">
        <v>166</v>
      </c>
      <c r="E3141">
        <v>1.2187007153792569E-2</v>
      </c>
      <c r="F3141">
        <f t="shared" si="104"/>
        <v>-1.5594727579283537E-2</v>
      </c>
      <c r="G3141">
        <f t="shared" si="105"/>
        <v>-2.3345286876586518E-2</v>
      </c>
    </row>
    <row r="3142" spans="1:7" x14ac:dyDescent="0.35">
      <c r="A3142" t="s">
        <v>166</v>
      </c>
      <c r="E3142">
        <v>-4.6869114841912056E-4</v>
      </c>
      <c r="F3142">
        <f t="shared" si="104"/>
        <v>-1.5615351403567851E-2</v>
      </c>
      <c r="G3142">
        <f t="shared" si="105"/>
        <v>-2.3345286876586518E-2</v>
      </c>
    </row>
    <row r="3143" spans="1:7" x14ac:dyDescent="0.35">
      <c r="A3143" t="s">
        <v>166</v>
      </c>
      <c r="E3143">
        <v>7.3727997053785847E-3</v>
      </c>
      <c r="F3143">
        <f t="shared" si="104"/>
        <v>-1.5635975227852161E-2</v>
      </c>
      <c r="G3143">
        <f t="shared" si="105"/>
        <v>-2.3345286876586518E-2</v>
      </c>
    </row>
    <row r="3144" spans="1:7" x14ac:dyDescent="0.35">
      <c r="A3144" t="s">
        <v>166</v>
      </c>
      <c r="E3144">
        <v>8.2488104865151794E-3</v>
      </c>
      <c r="F3144">
        <f t="shared" si="104"/>
        <v>-1.5656599052136472E-2</v>
      </c>
      <c r="G3144">
        <f t="shared" si="105"/>
        <v>-2.3345286876586518E-2</v>
      </c>
    </row>
    <row r="3145" spans="1:7" x14ac:dyDescent="0.35">
      <c r="A3145" t="s">
        <v>166</v>
      </c>
      <c r="E3145">
        <v>-2.0584795523849963E-2</v>
      </c>
      <c r="F3145">
        <f t="shared" si="104"/>
        <v>-1.5677222876420788E-2</v>
      </c>
      <c r="G3145">
        <f t="shared" si="105"/>
        <v>-2.3345286876586518E-2</v>
      </c>
    </row>
    <row r="3146" spans="1:7" x14ac:dyDescent="0.35">
      <c r="A3146" t="s">
        <v>166</v>
      </c>
      <c r="E3146">
        <v>5.1749266053559536E-3</v>
      </c>
      <c r="F3146">
        <f t="shared" si="104"/>
        <v>-1.5531308048551792E-2</v>
      </c>
      <c r="G3146">
        <f t="shared" si="105"/>
        <v>-2.3193447732075892E-2</v>
      </c>
    </row>
    <row r="3147" spans="1:7" x14ac:dyDescent="0.35">
      <c r="A3147" t="s">
        <v>166</v>
      </c>
      <c r="E3147">
        <v>-1.1224726388426278E-2</v>
      </c>
      <c r="F3147">
        <f t="shared" si="104"/>
        <v>-1.553436488472661E-2</v>
      </c>
      <c r="G3147">
        <f t="shared" si="105"/>
        <v>-2.3193447732075892E-2</v>
      </c>
    </row>
    <row r="3148" spans="1:7" x14ac:dyDescent="0.35">
      <c r="A3148" t="s">
        <v>166</v>
      </c>
      <c r="E3148">
        <v>-2.3451976379345135E-2</v>
      </c>
      <c r="F3148">
        <f t="shared" si="104"/>
        <v>-1.5537421720901426E-2</v>
      </c>
      <c r="G3148">
        <f t="shared" si="105"/>
        <v>-2.3193447732075892E-2</v>
      </c>
    </row>
    <row r="3149" spans="1:7" x14ac:dyDescent="0.35">
      <c r="A3149" t="s">
        <v>166</v>
      </c>
      <c r="E3149">
        <v>-2.7504482841297292E-3</v>
      </c>
      <c r="F3149">
        <f t="shared" si="104"/>
        <v>-1.5215011247399268E-2</v>
      </c>
      <c r="G3149">
        <f t="shared" si="105"/>
        <v>-2.2952871691232193E-2</v>
      </c>
    </row>
    <row r="3150" spans="1:7" x14ac:dyDescent="0.35">
      <c r="A3150" t="s">
        <v>166</v>
      </c>
      <c r="E3150">
        <v>1.9557601762763247E-3</v>
      </c>
      <c r="F3150">
        <f t="shared" si="104"/>
        <v>-1.5242098136863237E-2</v>
      </c>
      <c r="G3150">
        <f t="shared" si="105"/>
        <v>-2.2952871691232193E-2</v>
      </c>
    </row>
    <row r="3151" spans="1:7" x14ac:dyDescent="0.35">
      <c r="A3151" t="s">
        <v>166</v>
      </c>
      <c r="E3151">
        <v>3.918166028675168E-3</v>
      </c>
      <c r="F3151">
        <f t="shared" si="104"/>
        <v>-1.52691850263272E-2</v>
      </c>
      <c r="G3151">
        <f t="shared" si="105"/>
        <v>-2.2952871691232193E-2</v>
      </c>
    </row>
    <row r="3152" spans="1:7" x14ac:dyDescent="0.35">
      <c r="A3152" t="s">
        <v>166</v>
      </c>
      <c r="E3152">
        <v>-2.2901208640395163E-2</v>
      </c>
      <c r="F3152">
        <f t="shared" si="104"/>
        <v>-1.5296271915791169E-2</v>
      </c>
      <c r="G3152">
        <f t="shared" si="105"/>
        <v>-2.2952871691232193E-2</v>
      </c>
    </row>
    <row r="3153" spans="1:7" x14ac:dyDescent="0.35">
      <c r="A3153" t="s">
        <v>166</v>
      </c>
      <c r="E3153">
        <v>-7.9668036085607367E-4</v>
      </c>
      <c r="F3153">
        <f t="shared" si="104"/>
        <v>-1.494366051497987E-2</v>
      </c>
      <c r="G3153">
        <f t="shared" si="105"/>
        <v>-2.271256928522699E-2</v>
      </c>
    </row>
    <row r="3154" spans="1:7" x14ac:dyDescent="0.35">
      <c r="A3154" t="s">
        <v>166</v>
      </c>
      <c r="E3154">
        <v>-9.7829521787089549E-3</v>
      </c>
      <c r="F3154">
        <f t="shared" si="104"/>
        <v>-1.4947598904586114E-2</v>
      </c>
      <c r="G3154">
        <f t="shared" si="105"/>
        <v>-2.271256928522699E-2</v>
      </c>
    </row>
    <row r="3155" spans="1:7" x14ac:dyDescent="0.35">
      <c r="A3155" t="s">
        <v>167</v>
      </c>
      <c r="B3155" s="3" cm="1">
        <f t="array" ref="B3155">_xlfn.STDEV.S(_xlfn._xlws.FILTER($E$2826:$E$3824, $A$2826:$A$3824="2022-09"))</f>
        <v>1.5148759877815422E-2</v>
      </c>
      <c r="C3155" s="3" cm="1">
        <f t="array" ref="C3155">AVERAGE(_xlfn._xlws.FILTER($E$2826:$E$3824, $A$2826:$A$3824="2022-09"))</f>
        <v>-2.7514843828882517E-3</v>
      </c>
      <c r="D3155" s="3" cm="1">
        <f t="array" ref="D3155">_xlfn.PERCENTILE.EXC(_xlfn._xlws.FILTER($E$2490:$E$3818, $A$2490:$A$3818="2022-09"), 0.05)</f>
        <v>-2.2183454621660291E-2</v>
      </c>
      <c r="E3155">
        <v>-1.6079551033619945E-2</v>
      </c>
      <c r="F3155">
        <f t="shared" si="104"/>
        <v>-1.4951537294192359E-2</v>
      </c>
      <c r="G3155">
        <f t="shared" si="105"/>
        <v>-2.271256928522699E-2</v>
      </c>
    </row>
    <row r="3156" spans="1:7" x14ac:dyDescent="0.35">
      <c r="A3156" t="s">
        <v>167</v>
      </c>
      <c r="E3156">
        <v>3.2715676403598883E-2</v>
      </c>
      <c r="F3156">
        <f t="shared" si="104"/>
        <v>-1.4823543364528752E-2</v>
      </c>
      <c r="G3156">
        <f t="shared" si="105"/>
        <v>-2.2676596873605136E-2</v>
      </c>
    </row>
    <row r="3157" spans="1:7" x14ac:dyDescent="0.35">
      <c r="A3157" t="s">
        <v>167</v>
      </c>
      <c r="E3157">
        <v>-2.243241863482949E-2</v>
      </c>
      <c r="F3157">
        <f t="shared" si="104"/>
        <v>-1.4840772885921238E-2</v>
      </c>
      <c r="G3157">
        <f t="shared" si="105"/>
        <v>-2.2676596873605136E-2</v>
      </c>
    </row>
    <row r="3158" spans="1:7" x14ac:dyDescent="0.35">
      <c r="A3158" t="s">
        <v>167</v>
      </c>
      <c r="E3158">
        <v>8.634498885898052E-3</v>
      </c>
      <c r="F3158">
        <f t="shared" si="104"/>
        <v>-1.4547075460677556E-2</v>
      </c>
      <c r="G3158">
        <f t="shared" si="105"/>
        <v>-2.2437671188375422E-2</v>
      </c>
    </row>
    <row r="3159" spans="1:7" x14ac:dyDescent="0.35">
      <c r="A3159" t="s">
        <v>167</v>
      </c>
      <c r="E3159">
        <v>3.4536267318892523E-3</v>
      </c>
      <c r="F3159">
        <f t="shared" si="104"/>
        <v>-1.4547473241463273E-2</v>
      </c>
      <c r="G3159">
        <f t="shared" si="105"/>
        <v>-2.2437671188375422E-2</v>
      </c>
    </row>
    <row r="3160" spans="1:7" x14ac:dyDescent="0.35">
      <c r="A3160" t="s">
        <v>167</v>
      </c>
      <c r="E3160">
        <v>-9.023911652858294E-4</v>
      </c>
      <c r="F3160">
        <f t="shared" si="104"/>
        <v>-1.454787102224899E-2</v>
      </c>
      <c r="G3160">
        <f t="shared" si="105"/>
        <v>-2.2437671188375422E-2</v>
      </c>
    </row>
    <row r="3161" spans="1:7" x14ac:dyDescent="0.35">
      <c r="A3161" t="s">
        <v>167</v>
      </c>
      <c r="E3161">
        <v>1.414968593642274E-2</v>
      </c>
      <c r="F3161">
        <f t="shared" si="104"/>
        <v>-1.4565100543641473E-2</v>
      </c>
      <c r="G3161">
        <f t="shared" si="105"/>
        <v>-2.2684227443566875E-2</v>
      </c>
    </row>
    <row r="3162" spans="1:7" x14ac:dyDescent="0.35">
      <c r="A3162" t="s">
        <v>167</v>
      </c>
      <c r="E3162">
        <v>2.3712270630933379E-2</v>
      </c>
      <c r="F3162">
        <f t="shared" si="104"/>
        <v>-1.458233006503396E-2</v>
      </c>
      <c r="G3162">
        <f t="shared" si="105"/>
        <v>-2.2684227443566875E-2</v>
      </c>
    </row>
    <row r="3163" spans="1:7" x14ac:dyDescent="0.35">
      <c r="A3163" t="s">
        <v>167</v>
      </c>
      <c r="E3163">
        <v>-1.6044737796299304E-2</v>
      </c>
      <c r="F3163">
        <f t="shared" si="104"/>
        <v>-1.4599559586426445E-2</v>
      </c>
      <c r="G3163">
        <f t="shared" si="105"/>
        <v>-2.2684227443566875E-2</v>
      </c>
    </row>
    <row r="3164" spans="1:7" x14ac:dyDescent="0.35">
      <c r="A3164" t="s">
        <v>167</v>
      </c>
      <c r="E3164">
        <v>-1.2278470384588576E-2</v>
      </c>
      <c r="F3164">
        <f t="shared" si="104"/>
        <v>-1.4541506529677523E-2</v>
      </c>
      <c r="G3164">
        <f t="shared" si="105"/>
        <v>-2.2637450356877805E-2</v>
      </c>
    </row>
    <row r="3165" spans="1:7" x14ac:dyDescent="0.35">
      <c r="A3165" t="s">
        <v>167</v>
      </c>
      <c r="E3165">
        <v>-5.4909457537289826E-3</v>
      </c>
      <c r="F3165">
        <f t="shared" si="104"/>
        <v>-1.454190431046324E-2</v>
      </c>
      <c r="G3165">
        <f t="shared" si="105"/>
        <v>-2.2637450356877805E-2</v>
      </c>
    </row>
    <row r="3166" spans="1:7" x14ac:dyDescent="0.35">
      <c r="A3166" t="s">
        <v>167</v>
      </c>
      <c r="E3166">
        <v>-1.6764395307730946E-2</v>
      </c>
      <c r="F3166">
        <f t="shared" si="104"/>
        <v>-1.4542302091248956E-2</v>
      </c>
      <c r="G3166">
        <f t="shared" si="105"/>
        <v>-2.2637450356877805E-2</v>
      </c>
    </row>
    <row r="3167" spans="1:7" x14ac:dyDescent="0.35">
      <c r="A3167" t="s">
        <v>167</v>
      </c>
      <c r="E3167">
        <v>-5.5430450885465572E-3</v>
      </c>
      <c r="F3167">
        <f t="shared" si="104"/>
        <v>-1.4239963663584683E-2</v>
      </c>
      <c r="G3167">
        <f t="shared" si="105"/>
        <v>-2.2567935359965419E-2</v>
      </c>
    </row>
    <row r="3168" spans="1:7" x14ac:dyDescent="0.35">
      <c r="A3168" t="s">
        <v>167</v>
      </c>
      <c r="E3168">
        <v>7.5729645457086022E-3</v>
      </c>
      <c r="F3168">
        <f t="shared" si="104"/>
        <v>-1.4263036874580833E-2</v>
      </c>
      <c r="G3168">
        <f t="shared" si="105"/>
        <v>-2.2567935359965419E-2</v>
      </c>
    </row>
    <row r="3169" spans="1:7" x14ac:dyDescent="0.35">
      <c r="A3169" t="s">
        <v>167</v>
      </c>
      <c r="E3169">
        <v>-1.8619617573089536E-2</v>
      </c>
      <c r="F3169">
        <f t="shared" si="104"/>
        <v>-1.4286110085576984E-2</v>
      </c>
      <c r="G3169">
        <f t="shared" si="105"/>
        <v>-2.2567935359965419E-2</v>
      </c>
    </row>
    <row r="3170" spans="1:7" x14ac:dyDescent="0.35">
      <c r="A3170" t="s">
        <v>167</v>
      </c>
      <c r="E3170">
        <v>-1.9942778503137512E-2</v>
      </c>
      <c r="F3170">
        <f t="shared" si="104"/>
        <v>-1.4027020717172902E-2</v>
      </c>
      <c r="G3170">
        <f t="shared" si="105"/>
        <v>-2.2426023910387987E-2</v>
      </c>
    </row>
    <row r="3171" spans="1:7" x14ac:dyDescent="0.35">
      <c r="A3171" t="s">
        <v>167</v>
      </c>
      <c r="E3171">
        <v>-4.5912080880682491E-3</v>
      </c>
      <c r="F3171">
        <f t="shared" si="104"/>
        <v>-1.3927654626279257E-2</v>
      </c>
      <c r="G3171">
        <f t="shared" si="105"/>
        <v>-2.2239549277406633E-2</v>
      </c>
    </row>
    <row r="3172" spans="1:7" x14ac:dyDescent="0.35">
      <c r="A3172" t="s">
        <v>167</v>
      </c>
      <c r="E3172">
        <v>-7.2424355047780199E-3</v>
      </c>
      <c r="F3172">
        <f t="shared" si="104"/>
        <v>-1.3932980806440915E-2</v>
      </c>
      <c r="G3172">
        <f t="shared" si="105"/>
        <v>-2.2239549277406633E-2</v>
      </c>
    </row>
    <row r="3173" spans="1:7" x14ac:dyDescent="0.35">
      <c r="A3173" t="s">
        <v>167</v>
      </c>
      <c r="E3173">
        <v>3.585093812500871E-3</v>
      </c>
      <c r="F3173">
        <f t="shared" si="104"/>
        <v>-1.3938306986602573E-2</v>
      </c>
      <c r="G3173">
        <f t="shared" si="105"/>
        <v>-2.2239549277406633E-2</v>
      </c>
    </row>
    <row r="3174" spans="1:7" x14ac:dyDescent="0.35">
      <c r="A3174" t="s">
        <v>167</v>
      </c>
      <c r="E3174">
        <v>-1.7197448692053932E-2</v>
      </c>
      <c r="F3174">
        <f t="shared" si="104"/>
        <v>-1.3943633166764233E-2</v>
      </c>
      <c r="G3174">
        <f t="shared" si="105"/>
        <v>-2.2239549277406633E-2</v>
      </c>
    </row>
    <row r="3175" spans="1:7" x14ac:dyDescent="0.35">
      <c r="A3175" t="s">
        <v>167</v>
      </c>
      <c r="E3175">
        <v>1.152445453815181E-2</v>
      </c>
      <c r="F3175">
        <f t="shared" si="104"/>
        <v>-1.3817493706673846E-2</v>
      </c>
      <c r="G3175">
        <f t="shared" si="105"/>
        <v>-2.2135537338420604E-2</v>
      </c>
    </row>
    <row r="3176" spans="1:7" x14ac:dyDescent="0.35">
      <c r="A3176" t="s">
        <v>168</v>
      </c>
      <c r="B3176" s="3" cm="1">
        <f t="array" ref="B3176">_xlfn.STDEV.S(_xlfn._xlws.FILTER($E$2826:$E$3824, $A$2826:$A$3824="2022-10"))</f>
        <v>1.1425433323212915E-2</v>
      </c>
      <c r="C3176" s="3" cm="1">
        <f t="array" ref="C3176">AVERAGE(_xlfn._xlws.FILTER($E$2826:$E$3824, $A$2826:$A$3824="2022-10"))</f>
        <v>4.2803929026156663E-3</v>
      </c>
      <c r="D3176" s="3" cm="1">
        <f t="array" ref="D3176">_xlfn.PERCENTILE.EXC(_xlfn._xlws.FILTER($E$2490:$E$3818, $A$2490:$A$3818="2022-10"), 0.05)</f>
        <v>-1.5605199986368683E-2</v>
      </c>
      <c r="E3176">
        <v>7.8211733739140272E-3</v>
      </c>
      <c r="F3176">
        <f t="shared" si="104"/>
        <v>-1.3827808294239279E-2</v>
      </c>
      <c r="G3176">
        <f t="shared" si="105"/>
        <v>-2.2135537338420604E-2</v>
      </c>
    </row>
    <row r="3177" spans="1:7" x14ac:dyDescent="0.35">
      <c r="A3177" t="s">
        <v>168</v>
      </c>
      <c r="E3177">
        <v>3.7062179209475618E-2</v>
      </c>
      <c r="F3177">
        <f t="shared" si="104"/>
        <v>-1.3838122881804712E-2</v>
      </c>
      <c r="G3177">
        <f t="shared" si="105"/>
        <v>-2.2135537338420604E-2</v>
      </c>
    </row>
    <row r="3178" spans="1:7" x14ac:dyDescent="0.35">
      <c r="A3178" t="s">
        <v>168</v>
      </c>
      <c r="E3178">
        <v>-1.2172777697517595E-2</v>
      </c>
      <c r="F3178">
        <f t="shared" si="104"/>
        <v>-1.3848437469370145E-2</v>
      </c>
      <c r="G3178">
        <f t="shared" si="105"/>
        <v>-2.2135537338420604E-2</v>
      </c>
    </row>
    <row r="3179" spans="1:7" x14ac:dyDescent="0.35">
      <c r="A3179" t="s">
        <v>168</v>
      </c>
      <c r="E3179">
        <v>-3.7137928290303327E-3</v>
      </c>
      <c r="F3179">
        <f t="shared" si="104"/>
        <v>-1.3858752056935578E-2</v>
      </c>
      <c r="G3179">
        <f t="shared" si="105"/>
        <v>-2.2135537338420604E-2</v>
      </c>
    </row>
    <row r="3180" spans="1:7" x14ac:dyDescent="0.35">
      <c r="A3180" t="s">
        <v>168</v>
      </c>
      <c r="E3180">
        <v>-1.5986580240685472E-2</v>
      </c>
      <c r="F3180">
        <f t="shared" si="104"/>
        <v>-1.3869066644501011E-2</v>
      </c>
      <c r="G3180">
        <f t="shared" si="105"/>
        <v>-2.2135537338420604E-2</v>
      </c>
    </row>
    <row r="3181" spans="1:7" x14ac:dyDescent="0.35">
      <c r="A3181" t="s">
        <v>168</v>
      </c>
      <c r="E3181">
        <v>-4.8887921994154026E-6</v>
      </c>
      <c r="F3181">
        <f t="shared" si="104"/>
        <v>-1.3673089480757787E-2</v>
      </c>
      <c r="G3181">
        <f t="shared" si="105"/>
        <v>-2.2333890793186251E-2</v>
      </c>
    </row>
    <row r="3182" spans="1:7" x14ac:dyDescent="0.35">
      <c r="A3182" t="s">
        <v>168</v>
      </c>
      <c r="E3182">
        <v>-4.3024270238509145E-3</v>
      </c>
      <c r="F3182">
        <f t="shared" si="104"/>
        <v>-1.368340406832322E-2</v>
      </c>
      <c r="G3182">
        <f t="shared" si="105"/>
        <v>-2.2333890793186251E-2</v>
      </c>
    </row>
    <row r="3183" spans="1:7" x14ac:dyDescent="0.35">
      <c r="A3183" t="s">
        <v>168</v>
      </c>
      <c r="E3183">
        <v>-3.9348194932213683E-3</v>
      </c>
      <c r="F3183">
        <f t="shared" si="104"/>
        <v>-1.3693718655888653E-2</v>
      </c>
      <c r="G3183">
        <f t="shared" si="105"/>
        <v>-2.2333890793186251E-2</v>
      </c>
    </row>
    <row r="3184" spans="1:7" x14ac:dyDescent="0.35">
      <c r="A3184" t="s">
        <v>168</v>
      </c>
      <c r="E3184">
        <v>1.4948190589472218E-2</v>
      </c>
      <c r="F3184">
        <f t="shared" si="104"/>
        <v>-1.3704033243454086E-2</v>
      </c>
      <c r="G3184">
        <f t="shared" si="105"/>
        <v>-2.2333890793186251E-2</v>
      </c>
    </row>
    <row r="3185" spans="1:7" x14ac:dyDescent="0.35">
      <c r="A3185" t="s">
        <v>168</v>
      </c>
      <c r="E3185">
        <v>6.633243901641812E-3</v>
      </c>
      <c r="F3185">
        <f t="shared" si="104"/>
        <v>-1.3714347831019519E-2</v>
      </c>
      <c r="G3185">
        <f t="shared" si="105"/>
        <v>-2.2333890793186251E-2</v>
      </c>
    </row>
    <row r="3186" spans="1:7" x14ac:dyDescent="0.35">
      <c r="A3186" t="s">
        <v>168</v>
      </c>
      <c r="E3186">
        <v>1.6839505594369305E-2</v>
      </c>
      <c r="F3186">
        <f t="shared" si="104"/>
        <v>-1.372466241858495E-2</v>
      </c>
      <c r="G3186">
        <f t="shared" si="105"/>
        <v>-2.2333890793186251E-2</v>
      </c>
    </row>
    <row r="3187" spans="1:7" x14ac:dyDescent="0.35">
      <c r="A3187" t="s">
        <v>168</v>
      </c>
      <c r="E3187">
        <v>9.1743040774582753E-3</v>
      </c>
      <c r="F3187">
        <f t="shared" si="104"/>
        <v>-1.3734977006150383E-2</v>
      </c>
      <c r="G3187">
        <f t="shared" si="105"/>
        <v>-2.2333890793186251E-2</v>
      </c>
    </row>
    <row r="3188" spans="1:7" x14ac:dyDescent="0.35">
      <c r="A3188" t="s">
        <v>168</v>
      </c>
      <c r="E3188">
        <v>-1.8975174098075798E-3</v>
      </c>
      <c r="F3188">
        <f t="shared" si="104"/>
        <v>-1.3745291593715816E-2</v>
      </c>
      <c r="G3188">
        <f t="shared" si="105"/>
        <v>-2.2333890793186251E-2</v>
      </c>
    </row>
    <row r="3189" spans="1:7" x14ac:dyDescent="0.35">
      <c r="A3189" t="s">
        <v>168</v>
      </c>
      <c r="E3189">
        <v>2.038511307355263E-3</v>
      </c>
      <c r="F3189">
        <f t="shared" si="104"/>
        <v>-1.3755606181281249E-2</v>
      </c>
      <c r="G3189">
        <f t="shared" si="105"/>
        <v>-2.2333890793186251E-2</v>
      </c>
    </row>
    <row r="3190" spans="1:7" x14ac:dyDescent="0.35">
      <c r="A3190" t="s">
        <v>168</v>
      </c>
      <c r="E3190">
        <v>-2.8637211604402063E-3</v>
      </c>
      <c r="F3190">
        <f t="shared" si="104"/>
        <v>-1.3765920768846682E-2</v>
      </c>
      <c r="G3190">
        <f t="shared" si="105"/>
        <v>-2.2333890793186251E-2</v>
      </c>
    </row>
    <row r="3191" spans="1:7" x14ac:dyDescent="0.35">
      <c r="A3191" t="s">
        <v>168</v>
      </c>
      <c r="E3191">
        <v>1.5630219594857123E-2</v>
      </c>
      <c r="F3191">
        <f t="shared" si="104"/>
        <v>-1.3776235356412115E-2</v>
      </c>
      <c r="G3191">
        <f t="shared" si="105"/>
        <v>-2.2333890793186251E-2</v>
      </c>
    </row>
    <row r="3192" spans="1:7" x14ac:dyDescent="0.35">
      <c r="A3192" t="s">
        <v>168</v>
      </c>
      <c r="E3192">
        <v>9.3525991713186638E-3</v>
      </c>
      <c r="F3192">
        <f t="shared" si="104"/>
        <v>-1.3786549943977548E-2</v>
      </c>
      <c r="G3192">
        <f t="shared" si="105"/>
        <v>-2.2333890793186251E-2</v>
      </c>
    </row>
    <row r="3193" spans="1:7" x14ac:dyDescent="0.35">
      <c r="A3193" t="s">
        <v>168</v>
      </c>
      <c r="E3193">
        <v>1.0884426987838225E-2</v>
      </c>
      <c r="F3193">
        <f t="shared" si="104"/>
        <v>-1.379686453154298E-2</v>
      </c>
      <c r="G3193">
        <f t="shared" si="105"/>
        <v>-2.2333890793186251E-2</v>
      </c>
    </row>
    <row r="3194" spans="1:7" x14ac:dyDescent="0.35">
      <c r="A3194" t="s">
        <v>168</v>
      </c>
      <c r="E3194">
        <v>1.1678705188191863E-3</v>
      </c>
      <c r="F3194">
        <f t="shared" si="104"/>
        <v>-1.3807179119108413E-2</v>
      </c>
      <c r="G3194">
        <f t="shared" si="105"/>
        <v>-2.2333890793186251E-2</v>
      </c>
    </row>
    <row r="3195" spans="1:7" x14ac:dyDescent="0.35">
      <c r="A3195" t="s">
        <v>168</v>
      </c>
      <c r="E3195">
        <v>2.4268039804165326E-3</v>
      </c>
      <c r="F3195">
        <f t="shared" si="104"/>
        <v>-1.3817493706673846E-2</v>
      </c>
      <c r="G3195">
        <f t="shared" si="105"/>
        <v>-2.2333890793186251E-2</v>
      </c>
    </row>
    <row r="3196" spans="1:7" x14ac:dyDescent="0.35">
      <c r="A3196" t="s">
        <v>168</v>
      </c>
      <c r="E3196">
        <v>7.8574729474563225E-4</v>
      </c>
      <c r="F3196">
        <f t="shared" si="104"/>
        <v>-1.3827808294239279E-2</v>
      </c>
      <c r="G3196">
        <f t="shared" si="105"/>
        <v>-2.2333890793186251E-2</v>
      </c>
    </row>
    <row r="3197" spans="1:7" x14ac:dyDescent="0.35">
      <c r="A3197" t="s">
        <v>169</v>
      </c>
      <c r="B3197" s="3" cm="1">
        <f t="array" ref="B3197">_xlfn.STDEV.S(_xlfn._xlws.FILTER($E$2826:$E$3824, $A$2826:$A$3824="2022-11"))</f>
        <v>1.0625285469296425E-2</v>
      </c>
      <c r="C3197" s="3" cm="1">
        <f t="array" ref="C3197">AVERAGE(_xlfn._xlws.FILTER($E$2826:$E$3824, $A$2826:$A$3824="2022-11"))</f>
        <v>3.7610387792189632E-3</v>
      </c>
      <c r="D3197" s="3" cm="1">
        <f t="array" ref="D3197">_xlfn.PERCENTILE.EXC(_xlfn._xlws.FILTER($E$2490:$E$3818, $A$2490:$A$3818="2022-11"), 0.05)</f>
        <v>-1.080230917841165E-2</v>
      </c>
      <c r="E3197">
        <v>6.3928064987764715E-3</v>
      </c>
      <c r="F3197">
        <f t="shared" si="104"/>
        <v>-1.3838122881804712E-2</v>
      </c>
      <c r="G3197">
        <f t="shared" si="105"/>
        <v>-2.2333890793186251E-2</v>
      </c>
    </row>
    <row r="3198" spans="1:7" x14ac:dyDescent="0.35">
      <c r="A3198" t="s">
        <v>169</v>
      </c>
      <c r="E3198">
        <v>-6.1664809088357482E-3</v>
      </c>
      <c r="F3198">
        <f t="shared" si="104"/>
        <v>-1.3848437469370145E-2</v>
      </c>
      <c r="G3198">
        <f t="shared" si="105"/>
        <v>-2.2333890793186251E-2</v>
      </c>
    </row>
    <row r="3199" spans="1:7" x14ac:dyDescent="0.35">
      <c r="A3199" t="s">
        <v>169</v>
      </c>
      <c r="E3199">
        <v>-9.5919434562418814E-3</v>
      </c>
      <c r="F3199">
        <f t="shared" si="104"/>
        <v>-1.3858752056935578E-2</v>
      </c>
      <c r="G3199">
        <f t="shared" si="105"/>
        <v>-2.2333890793186251E-2</v>
      </c>
    </row>
    <row r="3200" spans="1:7" x14ac:dyDescent="0.35">
      <c r="A3200" t="s">
        <v>169</v>
      </c>
      <c r="E3200">
        <v>2.4797021135885118E-2</v>
      </c>
      <c r="F3200">
        <f t="shared" si="104"/>
        <v>-1.3869066644501011E-2</v>
      </c>
      <c r="G3200">
        <f t="shared" si="105"/>
        <v>-2.2333890793186251E-2</v>
      </c>
    </row>
    <row r="3201" spans="1:7" x14ac:dyDescent="0.35">
      <c r="A3201" t="s">
        <v>169</v>
      </c>
      <c r="E3201">
        <v>5.4583909241739505E-3</v>
      </c>
      <c r="F3201">
        <f t="shared" si="104"/>
        <v>-1.3874392824662669E-2</v>
      </c>
      <c r="G3201">
        <f t="shared" si="105"/>
        <v>-2.2616051598142426E-2</v>
      </c>
    </row>
    <row r="3202" spans="1:7" x14ac:dyDescent="0.35">
      <c r="A3202" t="s">
        <v>169</v>
      </c>
      <c r="E3202">
        <v>1.1404756659930224E-2</v>
      </c>
      <c r="F3202">
        <f t="shared" si="104"/>
        <v>-1.3879719004824329E-2</v>
      </c>
      <c r="G3202">
        <f t="shared" si="105"/>
        <v>-2.2616051598142426E-2</v>
      </c>
    </row>
    <row r="3203" spans="1:7" x14ac:dyDescent="0.35">
      <c r="A3203" t="s">
        <v>169</v>
      </c>
      <c r="E3203">
        <v>-1.6399157470109707E-3</v>
      </c>
      <c r="F3203">
        <f t="shared" si="104"/>
        <v>-1.3885045184985987E-2</v>
      </c>
      <c r="G3203">
        <f t="shared" si="105"/>
        <v>-2.2616051598142426E-2</v>
      </c>
    </row>
    <row r="3204" spans="1:7" x14ac:dyDescent="0.35">
      <c r="A3204" t="s">
        <v>169</v>
      </c>
      <c r="E3204">
        <v>3.4503848955274981E-2</v>
      </c>
      <c r="F3204">
        <f t="shared" ref="F3204:F3267" si="106">_xlfn.PERCENTILE.EXC(E3204:E7019,0.05)</f>
        <v>-1.3890371365147645E-2</v>
      </c>
      <c r="G3204">
        <f t="shared" ref="G3204:G3267" si="107">AVERAGEIFS(E3204:E7020,E3204:E7020,"&lt;=" &amp; F3204)</f>
        <v>-2.2616051598142426E-2</v>
      </c>
    </row>
    <row r="3205" spans="1:7" x14ac:dyDescent="0.35">
      <c r="A3205" t="s">
        <v>169</v>
      </c>
      <c r="E3205">
        <v>5.5528773200998029E-3</v>
      </c>
      <c r="F3205">
        <f t="shared" si="106"/>
        <v>-1.3895697545309305E-2</v>
      </c>
      <c r="G3205">
        <f t="shared" si="107"/>
        <v>-2.2616051598142426E-2</v>
      </c>
    </row>
    <row r="3206" spans="1:7" x14ac:dyDescent="0.35">
      <c r="A3206" t="s">
        <v>169</v>
      </c>
      <c r="E3206">
        <v>6.1980368126911657E-3</v>
      </c>
      <c r="F3206">
        <f t="shared" si="106"/>
        <v>-1.3901023725470963E-2</v>
      </c>
      <c r="G3206">
        <f t="shared" si="107"/>
        <v>-2.2616051598142426E-2</v>
      </c>
    </row>
    <row r="3207" spans="1:7" x14ac:dyDescent="0.35">
      <c r="A3207" t="s">
        <v>169</v>
      </c>
      <c r="E3207">
        <v>4.5455558419727682E-3</v>
      </c>
      <c r="F3207">
        <f t="shared" si="106"/>
        <v>-1.3906349905632621E-2</v>
      </c>
      <c r="G3207">
        <f t="shared" si="107"/>
        <v>-2.2616051598142426E-2</v>
      </c>
    </row>
    <row r="3208" spans="1:7" x14ac:dyDescent="0.35">
      <c r="A3208" t="s">
        <v>169</v>
      </c>
      <c r="E3208">
        <v>-1.0099154286381869E-2</v>
      </c>
      <c r="F3208">
        <f t="shared" si="106"/>
        <v>-1.3911676085794281E-2</v>
      </c>
      <c r="G3208">
        <f t="shared" si="107"/>
        <v>-2.2616051598142426E-2</v>
      </c>
    </row>
    <row r="3209" spans="1:7" x14ac:dyDescent="0.35">
      <c r="A3209" t="s">
        <v>169</v>
      </c>
      <c r="E3209">
        <v>2.2701437553436341E-3</v>
      </c>
      <c r="F3209">
        <f t="shared" si="106"/>
        <v>-1.3917002265955939E-2</v>
      </c>
      <c r="G3209">
        <f t="shared" si="107"/>
        <v>-2.2616051598142426E-2</v>
      </c>
    </row>
    <row r="3210" spans="1:7" x14ac:dyDescent="0.35">
      <c r="A3210" t="s">
        <v>169</v>
      </c>
      <c r="E3210">
        <v>1.1532542348206488E-2</v>
      </c>
      <c r="F3210">
        <f t="shared" si="106"/>
        <v>-1.3922328446117599E-2</v>
      </c>
      <c r="G3210">
        <f t="shared" si="107"/>
        <v>-2.2616051598142426E-2</v>
      </c>
    </row>
    <row r="3211" spans="1:7" x14ac:dyDescent="0.35">
      <c r="A3211" t="s">
        <v>169</v>
      </c>
      <c r="E3211">
        <v>-3.6047781990196123E-3</v>
      </c>
      <c r="F3211">
        <f t="shared" si="106"/>
        <v>-1.3927654626279257E-2</v>
      </c>
      <c r="G3211">
        <f t="shared" si="107"/>
        <v>-2.2616051598142426E-2</v>
      </c>
    </row>
    <row r="3212" spans="1:7" x14ac:dyDescent="0.35">
      <c r="A3212" t="s">
        <v>169</v>
      </c>
      <c r="E3212">
        <v>2.9456022697981312E-3</v>
      </c>
      <c r="F3212">
        <f t="shared" si="106"/>
        <v>-1.3932980806440915E-2</v>
      </c>
      <c r="G3212">
        <f t="shared" si="107"/>
        <v>-2.2616051598142426E-2</v>
      </c>
    </row>
    <row r="3213" spans="1:7" x14ac:dyDescent="0.35">
      <c r="A3213" t="s">
        <v>169</v>
      </c>
      <c r="E3213">
        <v>3.6325899170818409E-4</v>
      </c>
      <c r="F3213">
        <f t="shared" si="106"/>
        <v>-1.3938306986602573E-2</v>
      </c>
      <c r="G3213">
        <f t="shared" si="107"/>
        <v>-2.2616051598142426E-2</v>
      </c>
    </row>
    <row r="3214" spans="1:7" x14ac:dyDescent="0.35">
      <c r="A3214" t="s">
        <v>169</v>
      </c>
      <c r="E3214">
        <v>7.7308646289696312E-3</v>
      </c>
      <c r="F3214">
        <f t="shared" si="106"/>
        <v>-1.3943633166764233E-2</v>
      </c>
      <c r="G3214">
        <f t="shared" si="107"/>
        <v>-2.2616051598142426E-2</v>
      </c>
    </row>
    <row r="3215" spans="1:7" x14ac:dyDescent="0.35">
      <c r="A3215" t="s">
        <v>169</v>
      </c>
      <c r="E3215">
        <v>1.2516789363597913E-4</v>
      </c>
      <c r="F3215">
        <f t="shared" si="106"/>
        <v>-1.3948959346925891E-2</v>
      </c>
      <c r="G3215">
        <f t="shared" si="107"/>
        <v>-2.2616051598142426E-2</v>
      </c>
    </row>
    <row r="3216" spans="1:7" x14ac:dyDescent="0.35">
      <c r="A3216" t="s">
        <v>169</v>
      </c>
      <c r="E3216">
        <v>-1.0926395335828669E-2</v>
      </c>
      <c r="F3216">
        <f t="shared" si="106"/>
        <v>-1.3954285527087549E-2</v>
      </c>
      <c r="G3216">
        <f t="shared" si="107"/>
        <v>-2.2616051598142426E-2</v>
      </c>
    </row>
    <row r="3217" spans="1:7" x14ac:dyDescent="0.35">
      <c r="A3217" t="s">
        <v>169</v>
      </c>
      <c r="E3217">
        <v>-1.9423218132184708E-3</v>
      </c>
      <c r="F3217">
        <f t="shared" si="106"/>
        <v>-1.3959611707249209E-2</v>
      </c>
      <c r="G3217">
        <f t="shared" si="107"/>
        <v>-2.2616051598142426E-2</v>
      </c>
    </row>
    <row r="3218" spans="1:7" x14ac:dyDescent="0.35">
      <c r="A3218" t="s">
        <v>169</v>
      </c>
      <c r="E3218">
        <v>2.8929688528878924E-3</v>
      </c>
      <c r="F3218">
        <f t="shared" si="106"/>
        <v>-1.3964937887410867E-2</v>
      </c>
      <c r="G3218">
        <f t="shared" si="107"/>
        <v>-2.2616051598142426E-2</v>
      </c>
    </row>
    <row r="3219" spans="1:7" x14ac:dyDescent="0.35">
      <c r="A3219" t="s">
        <v>170</v>
      </c>
      <c r="B3219" s="3" cm="1">
        <f t="array" ref="B3219">_xlfn.STDEV.S(_xlfn._xlws.FILTER($E$2826:$E$3824, $A$2826:$A$3824="2022-12"))</f>
        <v>1.072210456297415E-2</v>
      </c>
      <c r="C3219" s="3" cm="1">
        <f t="array" ref="C3219">AVERAGE(_xlfn._xlws.FILTER($E$2826:$E$3824, $A$2826:$A$3824="2022-12"))</f>
        <v>-1.6719052971458626E-3</v>
      </c>
      <c r="D3219" s="3" cm="1">
        <f t="array" ref="D3219">_xlfn.PERCENTILE.EXC(_xlfn._xlws.FILTER($E$2490:$E$3818, $A$2490:$A$3818="2022-12"), 0.05)</f>
        <v>-3.2316415899613343E-2</v>
      </c>
      <c r="E3219">
        <v>6.4568301550543055E-3</v>
      </c>
      <c r="F3219">
        <f t="shared" si="106"/>
        <v>-1.3970264067572527E-2</v>
      </c>
      <c r="G3219">
        <f t="shared" si="107"/>
        <v>-2.2616051598142426E-2</v>
      </c>
    </row>
    <row r="3220" spans="1:7" x14ac:dyDescent="0.35">
      <c r="A3220" t="s">
        <v>170</v>
      </c>
      <c r="E3220">
        <v>2.6940345429158127E-3</v>
      </c>
      <c r="F3220">
        <f t="shared" si="106"/>
        <v>-1.3975590247734185E-2</v>
      </c>
      <c r="G3220">
        <f t="shared" si="107"/>
        <v>-2.2616051598142426E-2</v>
      </c>
    </row>
    <row r="3221" spans="1:7" x14ac:dyDescent="0.35">
      <c r="A3221" t="s">
        <v>170</v>
      </c>
      <c r="E3221">
        <v>-5.6444916401098364E-3</v>
      </c>
      <c r="F3221">
        <f t="shared" si="106"/>
        <v>-1.3980733294678057E-2</v>
      </c>
      <c r="G3221">
        <f t="shared" si="107"/>
        <v>-2.2913998541259951E-2</v>
      </c>
    </row>
    <row r="3222" spans="1:7" x14ac:dyDescent="0.35">
      <c r="A3222" t="s">
        <v>170</v>
      </c>
      <c r="E3222">
        <v>-7.253737850472705E-3</v>
      </c>
      <c r="F3222">
        <f t="shared" si="106"/>
        <v>-1.3985876341621928E-2</v>
      </c>
      <c r="G3222">
        <f t="shared" si="107"/>
        <v>-2.2913998541259951E-2</v>
      </c>
    </row>
    <row r="3223" spans="1:7" x14ac:dyDescent="0.35">
      <c r="A3223" t="s">
        <v>170</v>
      </c>
      <c r="E3223">
        <v>-5.7334033895946185E-3</v>
      </c>
      <c r="F3223">
        <f t="shared" si="106"/>
        <v>-1.39910193885658E-2</v>
      </c>
      <c r="G3223">
        <f t="shared" si="107"/>
        <v>-2.2913998541259951E-2</v>
      </c>
    </row>
    <row r="3224" spans="1:7" x14ac:dyDescent="0.35">
      <c r="A3224" t="s">
        <v>170</v>
      </c>
      <c r="E3224">
        <v>2.3627775015049572E-4</v>
      </c>
      <c r="F3224">
        <f t="shared" si="106"/>
        <v>-1.3996162435509671E-2</v>
      </c>
      <c r="G3224">
        <f t="shared" si="107"/>
        <v>-2.2913998541259951E-2</v>
      </c>
    </row>
    <row r="3225" spans="1:7" x14ac:dyDescent="0.35">
      <c r="A3225" t="s">
        <v>170</v>
      </c>
      <c r="E3225">
        <v>7.4146637549803857E-3</v>
      </c>
      <c r="F3225">
        <f t="shared" si="106"/>
        <v>-1.4001305482453544E-2</v>
      </c>
      <c r="G3225">
        <f t="shared" si="107"/>
        <v>-2.2913998541259951E-2</v>
      </c>
    </row>
    <row r="3226" spans="1:7" x14ac:dyDescent="0.35">
      <c r="A3226" t="s">
        <v>170</v>
      </c>
      <c r="E3226">
        <v>-4.4697370365159479E-3</v>
      </c>
      <c r="F3226">
        <f t="shared" si="106"/>
        <v>-1.4006448529397414E-2</v>
      </c>
      <c r="G3226">
        <f t="shared" si="107"/>
        <v>-2.2913998541259951E-2</v>
      </c>
    </row>
    <row r="3227" spans="1:7" x14ac:dyDescent="0.35">
      <c r="A3227" t="s">
        <v>170</v>
      </c>
      <c r="E3227">
        <v>1.328005541311989E-2</v>
      </c>
      <c r="F3227">
        <f t="shared" si="106"/>
        <v>-1.4011591576341288E-2</v>
      </c>
      <c r="G3227">
        <f t="shared" si="107"/>
        <v>-2.2913998541259951E-2</v>
      </c>
    </row>
    <row r="3228" spans="1:7" x14ac:dyDescent="0.35">
      <c r="A3228" t="s">
        <v>170</v>
      </c>
      <c r="E3228">
        <v>-2.6030737028761111E-3</v>
      </c>
      <c r="F3228">
        <f t="shared" si="106"/>
        <v>-1.4016734623285159E-2</v>
      </c>
      <c r="G3228">
        <f t="shared" si="107"/>
        <v>-2.2913998541259951E-2</v>
      </c>
    </row>
    <row r="3229" spans="1:7" x14ac:dyDescent="0.35">
      <c r="A3229" t="s">
        <v>170</v>
      </c>
      <c r="E3229">
        <v>-3.3326773730709969E-2</v>
      </c>
      <c r="F3229">
        <f t="shared" si="106"/>
        <v>-1.4021877670229031E-2</v>
      </c>
      <c r="G3229">
        <f t="shared" si="107"/>
        <v>-2.2913998541259951E-2</v>
      </c>
    </row>
    <row r="3230" spans="1:7" x14ac:dyDescent="0.35">
      <c r="A3230" t="s">
        <v>170</v>
      </c>
      <c r="E3230">
        <v>-6.6831195002694764E-3</v>
      </c>
      <c r="F3230">
        <f t="shared" si="106"/>
        <v>-1.3922328446117599E-2</v>
      </c>
      <c r="G3230">
        <f t="shared" si="107"/>
        <v>-2.2246716352191821E-2</v>
      </c>
    </row>
    <row r="3231" spans="1:7" x14ac:dyDescent="0.35">
      <c r="A3231" t="s">
        <v>170</v>
      </c>
      <c r="E3231">
        <v>3.5781118318231808E-3</v>
      </c>
      <c r="F3231">
        <f t="shared" si="106"/>
        <v>-1.3927654626279257E-2</v>
      </c>
      <c r="G3231">
        <f t="shared" si="107"/>
        <v>-2.2246716352191821E-2</v>
      </c>
    </row>
    <row r="3232" spans="1:7" x14ac:dyDescent="0.35">
      <c r="A3232" t="s">
        <v>170</v>
      </c>
      <c r="E3232">
        <v>-4.1836328918208173E-3</v>
      </c>
      <c r="F3232">
        <f t="shared" si="106"/>
        <v>-1.3932980806440915E-2</v>
      </c>
      <c r="G3232">
        <f t="shared" si="107"/>
        <v>-2.2246716352191821E-2</v>
      </c>
    </row>
    <row r="3233" spans="1:7" x14ac:dyDescent="0.35">
      <c r="A3233" t="s">
        <v>170</v>
      </c>
      <c r="E3233">
        <v>1.5235541899062217E-2</v>
      </c>
      <c r="F3233">
        <f t="shared" si="106"/>
        <v>-1.3938306986602573E-2</v>
      </c>
      <c r="G3233">
        <f t="shared" si="107"/>
        <v>-2.2246716352191821E-2</v>
      </c>
    </row>
    <row r="3234" spans="1:7" x14ac:dyDescent="0.35">
      <c r="A3234" t="s">
        <v>170</v>
      </c>
      <c r="E3234">
        <v>-1.3119617108777407E-2</v>
      </c>
      <c r="F3234">
        <f t="shared" si="106"/>
        <v>-1.3943633166764233E-2</v>
      </c>
      <c r="G3234">
        <f t="shared" si="107"/>
        <v>-2.2246716352191821E-2</v>
      </c>
    </row>
    <row r="3235" spans="1:7" x14ac:dyDescent="0.35">
      <c r="A3235" t="s">
        <v>170</v>
      </c>
      <c r="E3235">
        <v>1.9285592048196353E-3</v>
      </c>
      <c r="F3235">
        <f t="shared" si="106"/>
        <v>-1.3948959346925891E-2</v>
      </c>
      <c r="G3235">
        <f t="shared" si="107"/>
        <v>-2.2246716352191821E-2</v>
      </c>
    </row>
    <row r="3236" spans="1:7" x14ac:dyDescent="0.35">
      <c r="A3236" t="s">
        <v>170</v>
      </c>
      <c r="E3236">
        <v>-1.100244741377098E-3</v>
      </c>
      <c r="F3236">
        <f t="shared" si="106"/>
        <v>-1.3954285527087549E-2</v>
      </c>
      <c r="G3236">
        <f t="shared" si="107"/>
        <v>-2.2246716352191821E-2</v>
      </c>
    </row>
    <row r="3237" spans="1:7" x14ac:dyDescent="0.35">
      <c r="A3237" t="s">
        <v>170</v>
      </c>
      <c r="E3237">
        <v>1.0438236711803158E-2</v>
      </c>
      <c r="F3237">
        <f t="shared" si="106"/>
        <v>-1.3959611707249209E-2</v>
      </c>
      <c r="G3237">
        <f t="shared" si="107"/>
        <v>-2.2246716352191821E-2</v>
      </c>
    </row>
    <row r="3238" spans="1:7" x14ac:dyDescent="0.35">
      <c r="A3238" t="s">
        <v>170</v>
      </c>
      <c r="E3238">
        <v>-1.0582585614122347E-2</v>
      </c>
      <c r="F3238">
        <f t="shared" si="106"/>
        <v>-1.3964937887410867E-2</v>
      </c>
      <c r="G3238">
        <f t="shared" si="107"/>
        <v>-2.2246716352191821E-2</v>
      </c>
    </row>
    <row r="3239" spans="1:7" x14ac:dyDescent="0.35">
      <c r="A3239" t="s">
        <v>171</v>
      </c>
      <c r="B3239" s="3" cm="1">
        <f t="array" ref="B3239">_xlfn.STDEV.S(_xlfn._xlws.FILTER($E$2826:$E$3824, $A$2826:$A$3824="2023-01"))</f>
        <v>8.3666236677085015E-3</v>
      </c>
      <c r="C3239" s="3" cm="1">
        <f t="array" ref="C3239">AVERAGE(_xlfn._xlws.FILTER($E$2826:$E$3824, $A$2826:$A$3824="2023-01"))</f>
        <v>3.951459759165458E-3</v>
      </c>
      <c r="D3239" s="3" cm="1">
        <f t="array" ref="D3239">_xlfn.PERCENTILE.EXC(_xlfn._xlws.FILTER($E$2490:$E$3818, $A$2490:$A$3818="2023-01"), 0.05)</f>
        <v>-1.6010159404726058E-2</v>
      </c>
      <c r="E3239">
        <v>1.8365761724586368E-2</v>
      </c>
      <c r="F3239">
        <f t="shared" si="106"/>
        <v>-1.3970264067572527E-2</v>
      </c>
      <c r="G3239">
        <f t="shared" si="107"/>
        <v>-2.2246716352191821E-2</v>
      </c>
    </row>
    <row r="3240" spans="1:7" x14ac:dyDescent="0.35">
      <c r="A3240" t="s">
        <v>171</v>
      </c>
      <c r="E3240">
        <v>2.1562299432909989E-2</v>
      </c>
      <c r="F3240">
        <f t="shared" si="106"/>
        <v>-1.3975590247734185E-2</v>
      </c>
      <c r="G3240">
        <f t="shared" si="107"/>
        <v>-2.2246716352191821E-2</v>
      </c>
    </row>
    <row r="3241" spans="1:7" x14ac:dyDescent="0.35">
      <c r="A3241" t="s">
        <v>171</v>
      </c>
      <c r="E3241">
        <v>-3.7660244690160731E-3</v>
      </c>
      <c r="F3241">
        <f t="shared" si="106"/>
        <v>-1.3980733294678057E-2</v>
      </c>
      <c r="G3241">
        <f t="shared" si="107"/>
        <v>-2.2542113713065307E-2</v>
      </c>
    </row>
    <row r="3242" spans="1:7" x14ac:dyDescent="0.35">
      <c r="A3242" t="s">
        <v>171</v>
      </c>
      <c r="E3242">
        <v>1.1961034044541272E-2</v>
      </c>
      <c r="F3242">
        <f t="shared" si="106"/>
        <v>-1.3985876341621928E-2</v>
      </c>
      <c r="G3242">
        <f t="shared" si="107"/>
        <v>-2.2542113713065307E-2</v>
      </c>
    </row>
    <row r="3243" spans="1:7" x14ac:dyDescent="0.35">
      <c r="A3243" t="s">
        <v>171</v>
      </c>
      <c r="E3243">
        <v>1.2435009235146333E-2</v>
      </c>
      <c r="F3243">
        <f t="shared" si="106"/>
        <v>-1.39910193885658E-2</v>
      </c>
      <c r="G3243">
        <f t="shared" si="107"/>
        <v>-2.2542113713065307E-2</v>
      </c>
    </row>
    <row r="3244" spans="1:7" x14ac:dyDescent="0.35">
      <c r="A3244" t="s">
        <v>171</v>
      </c>
      <c r="E3244">
        <v>-1.233113754560167E-3</v>
      </c>
      <c r="F3244">
        <f t="shared" si="106"/>
        <v>-1.3996162435509671E-2</v>
      </c>
      <c r="G3244">
        <f t="shared" si="107"/>
        <v>-2.2542113713065307E-2</v>
      </c>
    </row>
    <row r="3245" spans="1:7" x14ac:dyDescent="0.35">
      <c r="A3245" t="s">
        <v>171</v>
      </c>
      <c r="E3245">
        <v>1.1662000565103369E-2</v>
      </c>
      <c r="F3245">
        <f t="shared" si="106"/>
        <v>-1.4001305482453544E-2</v>
      </c>
      <c r="G3245">
        <f t="shared" si="107"/>
        <v>-2.2542113713065307E-2</v>
      </c>
    </row>
    <row r="3246" spans="1:7" x14ac:dyDescent="0.35">
      <c r="A3246" t="s">
        <v>171</v>
      </c>
      <c r="E3246">
        <v>7.3578434612536717E-3</v>
      </c>
      <c r="F3246">
        <f t="shared" si="106"/>
        <v>-1.4006448529397414E-2</v>
      </c>
      <c r="G3246">
        <f t="shared" si="107"/>
        <v>-2.2542113713065307E-2</v>
      </c>
    </row>
    <row r="3247" spans="1:7" x14ac:dyDescent="0.35">
      <c r="A3247" t="s">
        <v>171</v>
      </c>
      <c r="E3247">
        <v>1.8722956875341591E-3</v>
      </c>
      <c r="F3247">
        <f t="shared" si="106"/>
        <v>-1.4011591576341288E-2</v>
      </c>
      <c r="G3247">
        <f t="shared" si="107"/>
        <v>-2.2542113713065307E-2</v>
      </c>
    </row>
    <row r="3248" spans="1:7" x14ac:dyDescent="0.35">
      <c r="A3248" t="s">
        <v>171</v>
      </c>
      <c r="E3248">
        <v>3.1448814426668515E-3</v>
      </c>
      <c r="F3248">
        <f t="shared" si="106"/>
        <v>-1.4016734623285159E-2</v>
      </c>
      <c r="G3248">
        <f t="shared" si="107"/>
        <v>-2.2542113713065307E-2</v>
      </c>
    </row>
    <row r="3249" spans="1:7" x14ac:dyDescent="0.35">
      <c r="A3249" t="s">
        <v>171</v>
      </c>
      <c r="E3249">
        <v>3.4978966185428492E-3</v>
      </c>
      <c r="F3249">
        <f t="shared" si="106"/>
        <v>-1.4021877670229031E-2</v>
      </c>
      <c r="G3249">
        <f t="shared" si="107"/>
        <v>-2.2542113713065307E-2</v>
      </c>
    </row>
    <row r="3250" spans="1:7" x14ac:dyDescent="0.35">
      <c r="A3250" t="s">
        <v>171</v>
      </c>
      <c r="E3250">
        <v>-3.4706592987493213E-4</v>
      </c>
      <c r="F3250">
        <f t="shared" si="106"/>
        <v>-1.4027020717172902E-2</v>
      </c>
      <c r="G3250">
        <f t="shared" si="107"/>
        <v>-2.2542113713065307E-2</v>
      </c>
    </row>
    <row r="3251" spans="1:7" x14ac:dyDescent="0.35">
      <c r="A3251" t="s">
        <v>171</v>
      </c>
      <c r="E3251">
        <v>-1.7370618842027168E-2</v>
      </c>
      <c r="F3251">
        <f t="shared" si="106"/>
        <v>-1.4032163764116774E-2</v>
      </c>
      <c r="G3251">
        <f t="shared" si="107"/>
        <v>-2.2542113713065307E-2</v>
      </c>
    </row>
    <row r="3252" spans="1:7" x14ac:dyDescent="0.35">
      <c r="A3252" t="s">
        <v>171</v>
      </c>
      <c r="E3252">
        <v>7.558312161328691E-3</v>
      </c>
      <c r="F3252">
        <f t="shared" si="106"/>
        <v>-1.3932980806440915E-2</v>
      </c>
      <c r="G3252">
        <f t="shared" si="107"/>
        <v>-2.242086269184056E-2</v>
      </c>
    </row>
    <row r="3253" spans="1:7" x14ac:dyDescent="0.35">
      <c r="A3253" t="s">
        <v>171</v>
      </c>
      <c r="E3253">
        <v>4.6050536460031984E-3</v>
      </c>
      <c r="F3253">
        <f t="shared" si="106"/>
        <v>-1.3938306986602573E-2</v>
      </c>
      <c r="G3253">
        <f t="shared" si="107"/>
        <v>-2.242086269184056E-2</v>
      </c>
    </row>
    <row r="3254" spans="1:7" x14ac:dyDescent="0.35">
      <c r="A3254" t="s">
        <v>171</v>
      </c>
      <c r="E3254">
        <v>-6.5174068062581519E-4</v>
      </c>
      <c r="F3254">
        <f t="shared" si="106"/>
        <v>-1.3943633166764233E-2</v>
      </c>
      <c r="G3254">
        <f t="shared" si="107"/>
        <v>-2.242086269184056E-2</v>
      </c>
    </row>
    <row r="3255" spans="1:7" x14ac:dyDescent="0.35">
      <c r="A3255" t="s">
        <v>171</v>
      </c>
      <c r="E3255">
        <v>-7.6023831530910282E-4</v>
      </c>
      <c r="F3255">
        <f t="shared" si="106"/>
        <v>-1.3948959346925891E-2</v>
      </c>
      <c r="G3255">
        <f t="shared" si="107"/>
        <v>-2.242086269184056E-2</v>
      </c>
    </row>
    <row r="3256" spans="1:7" x14ac:dyDescent="0.35">
      <c r="A3256" t="s">
        <v>171</v>
      </c>
      <c r="E3256">
        <v>3.3897675609154336E-3</v>
      </c>
      <c r="F3256">
        <f t="shared" si="106"/>
        <v>-1.3954285527087549E-2</v>
      </c>
      <c r="G3256">
        <f t="shared" si="107"/>
        <v>-2.242086269184056E-2</v>
      </c>
    </row>
    <row r="3257" spans="1:7" x14ac:dyDescent="0.35">
      <c r="A3257" t="s">
        <v>171</v>
      </c>
      <c r="E3257">
        <v>1.1346346082750627E-3</v>
      </c>
      <c r="F3257">
        <f t="shared" si="106"/>
        <v>-1.3959611707249209E-2</v>
      </c>
      <c r="G3257">
        <f t="shared" si="107"/>
        <v>-2.242086269184056E-2</v>
      </c>
    </row>
    <row r="3258" spans="1:7" x14ac:dyDescent="0.35">
      <c r="A3258" t="s">
        <v>171</v>
      </c>
      <c r="E3258">
        <v>-1.5821058250672204E-3</v>
      </c>
      <c r="F3258">
        <f t="shared" si="106"/>
        <v>-1.3964937887410867E-2</v>
      </c>
      <c r="G3258">
        <f t="shared" si="107"/>
        <v>-2.242086269184056E-2</v>
      </c>
    </row>
    <row r="3259" spans="1:7" x14ac:dyDescent="0.35">
      <c r="A3259" t="s">
        <v>171</v>
      </c>
      <c r="E3259">
        <v>1.4477257014788844E-4</v>
      </c>
      <c r="F3259">
        <f t="shared" si="106"/>
        <v>-1.3970264067572527E-2</v>
      </c>
      <c r="G3259">
        <f t="shared" si="107"/>
        <v>-2.242086269184056E-2</v>
      </c>
    </row>
    <row r="3260" spans="1:7" x14ac:dyDescent="0.35">
      <c r="A3260" t="s">
        <v>172</v>
      </c>
      <c r="B3260" s="3" cm="1">
        <f t="array" ref="B3260">_xlfn.STDEV.S(_xlfn._xlws.FILTER($E$2826:$E$3824, $A$2826:$A$3824="2023-02"))</f>
        <v>8.625348550174489E-3</v>
      </c>
      <c r="C3260" s="3" cm="1">
        <f t="array" ref="C3260">AVERAGE(_xlfn._xlws.FILTER($E$2826:$E$3824, $A$2826:$A$3824="2023-02"))</f>
        <v>7.7680641308658111E-4</v>
      </c>
      <c r="D3260" s="3" cm="1">
        <f t="array" ref="D3260">_xlfn.PERCENTILE.EXC(_xlfn._xlws.FILTER($E$2490:$E$3818, $A$2490:$A$3818="2023-02"), 0.05)</f>
        <v>-1.7166453350566727E-2</v>
      </c>
      <c r="E3260">
        <v>3.4623402358998313E-3</v>
      </c>
      <c r="F3260">
        <f t="shared" si="106"/>
        <v>-1.3975590247734185E-2</v>
      </c>
      <c r="G3260">
        <f t="shared" si="107"/>
        <v>-2.242086269184056E-2</v>
      </c>
    </row>
    <row r="3261" spans="1:7" x14ac:dyDescent="0.35">
      <c r="A3261" t="s">
        <v>172</v>
      </c>
      <c r="E3261">
        <v>2.140523232091647E-2</v>
      </c>
      <c r="F3261">
        <f t="shared" si="106"/>
        <v>-1.3980733294678057E-2</v>
      </c>
      <c r="G3261">
        <f t="shared" si="107"/>
        <v>-2.2733650560140792E-2</v>
      </c>
    </row>
    <row r="3262" spans="1:7" x14ac:dyDescent="0.35">
      <c r="A3262" t="s">
        <v>172</v>
      </c>
      <c r="E3262">
        <v>-2.1145300437091104E-3</v>
      </c>
      <c r="F3262">
        <f t="shared" si="106"/>
        <v>-1.3985876341621928E-2</v>
      </c>
      <c r="G3262">
        <f t="shared" si="107"/>
        <v>-2.2733650560140792E-2</v>
      </c>
    </row>
    <row r="3263" spans="1:7" x14ac:dyDescent="0.35">
      <c r="A3263" t="s">
        <v>172</v>
      </c>
      <c r="E3263">
        <v>-8.4692323917974661E-3</v>
      </c>
      <c r="F3263">
        <f t="shared" si="106"/>
        <v>-1.39910193885658E-2</v>
      </c>
      <c r="G3263">
        <f t="shared" si="107"/>
        <v>-2.2733650560140792E-2</v>
      </c>
    </row>
    <row r="3264" spans="1:7" x14ac:dyDescent="0.35">
      <c r="A3264" t="s">
        <v>172</v>
      </c>
      <c r="E3264">
        <v>-1.6323851018042871E-3</v>
      </c>
      <c r="F3264">
        <f t="shared" si="106"/>
        <v>-1.3996162435509671E-2</v>
      </c>
      <c r="G3264">
        <f t="shared" si="107"/>
        <v>-2.2733650560140792E-2</v>
      </c>
    </row>
    <row r="3265" spans="1:7" x14ac:dyDescent="0.35">
      <c r="A3265" t="s">
        <v>172</v>
      </c>
      <c r="E3265">
        <v>5.9330670679044045E-3</v>
      </c>
      <c r="F3265">
        <f t="shared" si="106"/>
        <v>-1.4001305482453544E-2</v>
      </c>
      <c r="G3265">
        <f t="shared" si="107"/>
        <v>-2.2733650560140792E-2</v>
      </c>
    </row>
    <row r="3266" spans="1:7" x14ac:dyDescent="0.35">
      <c r="A3266" t="s">
        <v>172</v>
      </c>
      <c r="E3266">
        <v>7.2001803200069511E-3</v>
      </c>
      <c r="F3266">
        <f t="shared" si="106"/>
        <v>-1.4006448529397414E-2</v>
      </c>
      <c r="G3266">
        <f t="shared" si="107"/>
        <v>-2.2733650560140792E-2</v>
      </c>
    </row>
    <row r="3267" spans="1:7" x14ac:dyDescent="0.35">
      <c r="A3267" t="s">
        <v>172</v>
      </c>
      <c r="E3267">
        <v>-1.3975590247734185E-2</v>
      </c>
      <c r="F3267">
        <f t="shared" si="106"/>
        <v>-1.4011591576341288E-2</v>
      </c>
      <c r="G3267">
        <f t="shared" si="107"/>
        <v>-2.2733650560140792E-2</v>
      </c>
    </row>
    <row r="3268" spans="1:7" x14ac:dyDescent="0.35">
      <c r="A3268" t="s">
        <v>172</v>
      </c>
      <c r="E3268">
        <v>5.8205061715825264E-3</v>
      </c>
      <c r="F3268">
        <f t="shared" ref="F3268:F3331" si="108">_xlfn.PERCENTILE.EXC(E3268:E7083,0.05)</f>
        <v>-1.3952820461345253E-2</v>
      </c>
      <c r="G3268">
        <f t="shared" ref="G3268:G3331" si="109">AVERAGEIFS(E3268:E7084,E3268:E7084,"&lt;=" &amp; F3268)</f>
        <v>-2.2733650560140792E-2</v>
      </c>
    </row>
    <row r="3269" spans="1:7" x14ac:dyDescent="0.35">
      <c r="A3269" t="s">
        <v>172</v>
      </c>
      <c r="E3269">
        <v>-1.0903928898695851E-3</v>
      </c>
      <c r="F3269">
        <f t="shared" si="108"/>
        <v>-1.3963289688450784E-2</v>
      </c>
      <c r="G3269">
        <f t="shared" si="109"/>
        <v>-2.2733650560140792E-2</v>
      </c>
    </row>
    <row r="3270" spans="1:7" x14ac:dyDescent="0.35">
      <c r="A3270" t="s">
        <v>172</v>
      </c>
      <c r="E3270">
        <v>8.1445982144625478E-3</v>
      </c>
      <c r="F3270">
        <f t="shared" si="108"/>
        <v>-1.3973758915556314E-2</v>
      </c>
      <c r="G3270">
        <f t="shared" si="109"/>
        <v>-2.2733650560140792E-2</v>
      </c>
    </row>
    <row r="3271" spans="1:7" x14ac:dyDescent="0.35">
      <c r="A3271" t="s">
        <v>172</v>
      </c>
      <c r="E3271">
        <v>1.7590222055045911E-3</v>
      </c>
      <c r="F3271">
        <f t="shared" si="108"/>
        <v>-1.3984228142661845E-2</v>
      </c>
      <c r="G3271">
        <f t="shared" si="109"/>
        <v>-2.2733650560140792E-2</v>
      </c>
    </row>
    <row r="3272" spans="1:7" x14ac:dyDescent="0.35">
      <c r="A3272" t="s">
        <v>172</v>
      </c>
      <c r="E3272">
        <v>-3.3299359753588215E-3</v>
      </c>
      <c r="F3272">
        <f t="shared" si="108"/>
        <v>-1.3994697369767375E-2</v>
      </c>
      <c r="G3272">
        <f t="shared" si="109"/>
        <v>-2.2733650560140792E-2</v>
      </c>
    </row>
    <row r="3273" spans="1:7" x14ac:dyDescent="0.35">
      <c r="A3273" t="s">
        <v>172</v>
      </c>
      <c r="E3273">
        <v>-2.8747188060852997E-4</v>
      </c>
      <c r="F3273">
        <f t="shared" si="108"/>
        <v>-1.4005166596872906E-2</v>
      </c>
      <c r="G3273">
        <f t="shared" si="109"/>
        <v>-2.2733650560140792E-2</v>
      </c>
    </row>
    <row r="3274" spans="1:7" x14ac:dyDescent="0.35">
      <c r="A3274" t="s">
        <v>172</v>
      </c>
      <c r="E3274">
        <v>-5.1776348802544045E-3</v>
      </c>
      <c r="F3274">
        <f t="shared" si="108"/>
        <v>-1.4015635823978436E-2</v>
      </c>
      <c r="G3274">
        <f t="shared" si="109"/>
        <v>-2.2733650560140792E-2</v>
      </c>
    </row>
    <row r="3275" spans="1:7" x14ac:dyDescent="0.35">
      <c r="A3275" t="s">
        <v>172</v>
      </c>
      <c r="E3275">
        <v>1.4741451527158463E-4</v>
      </c>
      <c r="F3275">
        <f t="shared" si="108"/>
        <v>-1.4026105051083967E-2</v>
      </c>
      <c r="G3275">
        <f t="shared" si="109"/>
        <v>-2.2733650560140792E-2</v>
      </c>
    </row>
    <row r="3276" spans="1:7" x14ac:dyDescent="0.35">
      <c r="A3276" t="s">
        <v>172</v>
      </c>
      <c r="E3276">
        <v>4.9100390849464663E-3</v>
      </c>
      <c r="F3276">
        <f t="shared" si="108"/>
        <v>-1.4036574278189497E-2</v>
      </c>
      <c r="G3276">
        <f t="shared" si="109"/>
        <v>-2.2733650560140792E-2</v>
      </c>
    </row>
    <row r="3277" spans="1:7" x14ac:dyDescent="0.35">
      <c r="A3277" t="s">
        <v>172</v>
      </c>
      <c r="E3277">
        <v>-1.7334393513873704E-2</v>
      </c>
      <c r="F3277">
        <f t="shared" si="108"/>
        <v>-1.4047043505295027E-2</v>
      </c>
      <c r="G3277">
        <f t="shared" si="109"/>
        <v>-2.2733650560140792E-2</v>
      </c>
    </row>
    <row r="3278" spans="1:7" x14ac:dyDescent="0.35">
      <c r="A3278" t="s">
        <v>172</v>
      </c>
      <c r="E3278">
        <v>1.1224925540686381E-2</v>
      </c>
      <c r="F3278">
        <f t="shared" si="108"/>
        <v>-1.3848437469370145E-2</v>
      </c>
      <c r="G3278">
        <f t="shared" si="109"/>
        <v>-2.2605305120534398E-2</v>
      </c>
    </row>
    <row r="3279" spans="1:7" x14ac:dyDescent="0.35">
      <c r="A3279" t="s">
        <v>172</v>
      </c>
      <c r="E3279">
        <v>-1.0596304904400386E-3</v>
      </c>
      <c r="F3279">
        <f t="shared" si="108"/>
        <v>-1.3858752056935578E-2</v>
      </c>
      <c r="G3279">
        <f t="shared" si="109"/>
        <v>-2.2605305120534398E-2</v>
      </c>
    </row>
    <row r="3280" spans="1:7" x14ac:dyDescent="0.35">
      <c r="A3280" t="s">
        <v>173</v>
      </c>
      <c r="B3280" s="3" cm="1">
        <f t="array" ref="B3280">_xlfn.STDEV.S(_xlfn._xlws.FILTER($E$2826:$E$3824, $A$2826:$A$3824="2023-03"))</f>
        <v>1.4336945624310279E-2</v>
      </c>
      <c r="C3280" s="3" cm="1">
        <f t="array" ref="C3280">AVERAGE(_xlfn._xlws.FILTER($E$2826:$E$3824, $A$2826:$A$3824="2023-03"))</f>
        <v>7.3985296826842783E-4</v>
      </c>
      <c r="D3280" s="3" cm="1">
        <f t="array" ref="D3280">_xlfn.PERCENTILE.EXC(_xlfn._xlws.FILTER($E$2490:$E$3818, $A$2490:$A$3818="2023-03"), 0.05)</f>
        <v>-3.2735275154400993E-2</v>
      </c>
      <c r="E3280">
        <v>-3.9204279992315696E-3</v>
      </c>
      <c r="F3280">
        <f t="shared" si="108"/>
        <v>-1.3869066644501011E-2</v>
      </c>
      <c r="G3280">
        <f t="shared" si="109"/>
        <v>-2.2605305120534398E-2</v>
      </c>
    </row>
    <row r="3281" spans="1:7" x14ac:dyDescent="0.35">
      <c r="A3281" t="s">
        <v>173</v>
      </c>
      <c r="E3281">
        <v>1.4768553636136451E-3</v>
      </c>
      <c r="F3281">
        <f t="shared" si="108"/>
        <v>-1.3879535871606541E-2</v>
      </c>
      <c r="G3281">
        <f t="shared" si="109"/>
        <v>-2.294131429268953E-2</v>
      </c>
    </row>
    <row r="3282" spans="1:7" x14ac:dyDescent="0.35">
      <c r="A3282" t="s">
        <v>173</v>
      </c>
      <c r="E3282">
        <v>1.622696296794815E-2</v>
      </c>
      <c r="F3282">
        <f t="shared" si="108"/>
        <v>-1.3890005098712072E-2</v>
      </c>
      <c r="G3282">
        <f t="shared" si="109"/>
        <v>-2.294131429268953E-2</v>
      </c>
    </row>
    <row r="3283" spans="1:7" x14ac:dyDescent="0.35">
      <c r="A3283" t="s">
        <v>173</v>
      </c>
      <c r="E3283">
        <v>4.8149473289873677E-3</v>
      </c>
      <c r="F3283">
        <f t="shared" si="108"/>
        <v>-1.3900474325817602E-2</v>
      </c>
      <c r="G3283">
        <f t="shared" si="109"/>
        <v>-2.294131429268953E-2</v>
      </c>
    </row>
    <row r="3284" spans="1:7" x14ac:dyDescent="0.35">
      <c r="A3284" t="s">
        <v>173</v>
      </c>
      <c r="E3284">
        <v>-6.0263321810484572E-3</v>
      </c>
      <c r="F3284">
        <f t="shared" si="108"/>
        <v>-1.3910943552923133E-2</v>
      </c>
      <c r="G3284">
        <f t="shared" si="109"/>
        <v>-2.294131429268953E-2</v>
      </c>
    </row>
    <row r="3285" spans="1:7" x14ac:dyDescent="0.35">
      <c r="A3285" t="s">
        <v>173</v>
      </c>
      <c r="E3285">
        <v>4.6384663530188528E-3</v>
      </c>
      <c r="F3285">
        <f t="shared" si="108"/>
        <v>-1.3921412780028663E-2</v>
      </c>
      <c r="G3285">
        <f t="shared" si="109"/>
        <v>-2.294131429268953E-2</v>
      </c>
    </row>
    <row r="3286" spans="1:7" x14ac:dyDescent="0.35">
      <c r="A3286" t="s">
        <v>173</v>
      </c>
      <c r="E3286">
        <v>8.5718635667674715E-5</v>
      </c>
      <c r="F3286">
        <f t="shared" si="108"/>
        <v>-1.3931882007134192E-2</v>
      </c>
      <c r="G3286">
        <f t="shared" si="109"/>
        <v>-2.294131429268953E-2</v>
      </c>
    </row>
    <row r="3287" spans="1:7" x14ac:dyDescent="0.35">
      <c r="A3287" t="s">
        <v>173</v>
      </c>
      <c r="E3287">
        <v>-1.3215401799577885E-2</v>
      </c>
      <c r="F3287">
        <f t="shared" si="108"/>
        <v>-1.3942351234239724E-2</v>
      </c>
      <c r="G3287">
        <f t="shared" si="109"/>
        <v>-2.294131429268953E-2</v>
      </c>
    </row>
    <row r="3288" spans="1:7" x14ac:dyDescent="0.35">
      <c r="A3288" t="s">
        <v>173</v>
      </c>
      <c r="E3288">
        <v>-3.0837551716362273E-2</v>
      </c>
      <c r="F3288">
        <f t="shared" si="108"/>
        <v>-1.3952820461345253E-2</v>
      </c>
      <c r="G3288">
        <f t="shared" si="109"/>
        <v>-2.294131429268953E-2</v>
      </c>
    </row>
    <row r="3289" spans="1:7" x14ac:dyDescent="0.35">
      <c r="A3289" t="s">
        <v>173</v>
      </c>
      <c r="E3289">
        <v>1.8108422999407136E-2</v>
      </c>
      <c r="F3289">
        <f t="shared" si="108"/>
        <v>-1.3755606181281249E-2</v>
      </c>
      <c r="G3289">
        <f t="shared" si="109"/>
        <v>-2.2288680251464098E-2</v>
      </c>
    </row>
    <row r="3290" spans="1:7" x14ac:dyDescent="0.35">
      <c r="A3290" t="s">
        <v>173</v>
      </c>
      <c r="E3290">
        <v>-3.3209706013910677E-2</v>
      </c>
      <c r="F3290">
        <f t="shared" si="108"/>
        <v>-1.3765920768846682E-2</v>
      </c>
      <c r="G3290">
        <f t="shared" si="109"/>
        <v>-2.2288680251464098E-2</v>
      </c>
    </row>
    <row r="3291" spans="1:7" x14ac:dyDescent="0.35">
      <c r="A3291" t="s">
        <v>173</v>
      </c>
      <c r="E3291">
        <v>1.5611197793599561E-2</v>
      </c>
      <c r="F3291">
        <f t="shared" si="108"/>
        <v>-1.3618180281306048E-2</v>
      </c>
      <c r="G3291">
        <f t="shared" si="109"/>
        <v>-2.1536875208359545E-2</v>
      </c>
    </row>
    <row r="3292" spans="1:7" x14ac:dyDescent="0.35">
      <c r="A3292" t="s">
        <v>173</v>
      </c>
      <c r="E3292">
        <v>-1.3378238426334467E-2</v>
      </c>
      <c r="F3292">
        <f t="shared" si="108"/>
        <v>-1.3623135238182303E-2</v>
      </c>
      <c r="G3292">
        <f t="shared" si="109"/>
        <v>-2.1536875208359545E-2</v>
      </c>
    </row>
    <row r="3293" spans="1:7" x14ac:dyDescent="0.35">
      <c r="A3293" t="s">
        <v>173</v>
      </c>
      <c r="E3293">
        <v>1.1122755283920493E-2</v>
      </c>
      <c r="F3293">
        <f t="shared" si="108"/>
        <v>-1.362809019505856E-2</v>
      </c>
      <c r="G3293">
        <f t="shared" si="109"/>
        <v>-2.1536875208359545E-2</v>
      </c>
    </row>
    <row r="3294" spans="1:7" x14ac:dyDescent="0.35">
      <c r="A3294" t="s">
        <v>173</v>
      </c>
      <c r="E3294">
        <v>1.7389826151982535E-2</v>
      </c>
      <c r="F3294">
        <f t="shared" si="108"/>
        <v>-1.3633045151934817E-2</v>
      </c>
      <c r="G3294">
        <f t="shared" si="109"/>
        <v>-2.1536875208359545E-2</v>
      </c>
    </row>
    <row r="3295" spans="1:7" x14ac:dyDescent="0.35">
      <c r="A3295" t="s">
        <v>173</v>
      </c>
      <c r="E3295">
        <v>1.3711906810860296E-3</v>
      </c>
      <c r="F3295">
        <f t="shared" si="108"/>
        <v>-1.3638000108811072E-2</v>
      </c>
      <c r="G3295">
        <f t="shared" si="109"/>
        <v>-2.1536875208359545E-2</v>
      </c>
    </row>
    <row r="3296" spans="1:7" x14ac:dyDescent="0.35">
      <c r="A3296" t="s">
        <v>173</v>
      </c>
      <c r="E3296">
        <v>-3.8124561289852864E-4</v>
      </c>
      <c r="F3296">
        <f t="shared" si="108"/>
        <v>-1.3642955065687329E-2</v>
      </c>
      <c r="G3296">
        <f t="shared" si="109"/>
        <v>-2.1536875208359545E-2</v>
      </c>
    </row>
    <row r="3297" spans="1:7" x14ac:dyDescent="0.35">
      <c r="A3297" t="s">
        <v>173</v>
      </c>
      <c r="E3297">
        <v>-1.6783951993901664E-2</v>
      </c>
      <c r="F3297">
        <f t="shared" si="108"/>
        <v>-1.3647910022563586E-2</v>
      </c>
      <c r="G3297">
        <f t="shared" si="109"/>
        <v>-2.1536875208359545E-2</v>
      </c>
    </row>
    <row r="3298" spans="1:7" x14ac:dyDescent="0.35">
      <c r="A3298" t="s">
        <v>173</v>
      </c>
      <c r="E3298">
        <v>1.1331383329025935E-2</v>
      </c>
      <c r="F3298">
        <f t="shared" si="108"/>
        <v>-1.3545171338698019E-2</v>
      </c>
      <c r="G3298">
        <f t="shared" si="109"/>
        <v>-2.1413018429965909E-2</v>
      </c>
    </row>
    <row r="3299" spans="1:7" x14ac:dyDescent="0.35">
      <c r="A3299" t="s">
        <v>173</v>
      </c>
      <c r="E3299">
        <v>9.4748220648232118E-4</v>
      </c>
      <c r="F3299">
        <f t="shared" si="108"/>
        <v>-1.3554423547182625E-2</v>
      </c>
      <c r="G3299">
        <f t="shared" si="109"/>
        <v>-2.1413018429965909E-2</v>
      </c>
    </row>
    <row r="3300" spans="1:7" x14ac:dyDescent="0.35">
      <c r="A3300" t="s">
        <v>173</v>
      </c>
      <c r="E3300">
        <v>1.2258446689203993E-2</v>
      </c>
      <c r="F3300">
        <f t="shared" si="108"/>
        <v>-1.3563675755667229E-2</v>
      </c>
      <c r="G3300">
        <f t="shared" si="109"/>
        <v>-2.1413018429965909E-2</v>
      </c>
    </row>
    <row r="3301" spans="1:7" x14ac:dyDescent="0.35">
      <c r="A3301" t="s">
        <v>173</v>
      </c>
      <c r="E3301">
        <v>1.2552034775998063E-2</v>
      </c>
      <c r="F3301">
        <f t="shared" si="108"/>
        <v>-1.3568630712543486E-2</v>
      </c>
      <c r="G3301">
        <f t="shared" si="109"/>
        <v>-2.1726992136937861E-2</v>
      </c>
    </row>
    <row r="3302" spans="1:7" x14ac:dyDescent="0.35">
      <c r="A3302" t="s">
        <v>173</v>
      </c>
      <c r="E3302">
        <v>6.8337834534976053E-3</v>
      </c>
      <c r="F3302">
        <f t="shared" si="108"/>
        <v>-1.3573585669419741E-2</v>
      </c>
      <c r="G3302">
        <f t="shared" si="109"/>
        <v>-2.1726992136937861E-2</v>
      </c>
    </row>
    <row r="3303" spans="1:7" x14ac:dyDescent="0.35">
      <c r="A3303" t="s">
        <v>174</v>
      </c>
      <c r="B3303" s="3" cm="1">
        <f t="array" ref="B3303">_xlfn.STDEV.S(_xlfn._xlws.FILTER($E$2826:$E$3824, $A$2826:$A$3824="2023-04"))</f>
        <v>4.0947460516098334E-3</v>
      </c>
      <c r="C3303" s="3" cm="1">
        <f t="array" ref="C3303">AVERAGE(_xlfn._xlws.FILTER($E$2826:$E$3824, $A$2826:$A$3824="2023-04"))</f>
        <v>1.0337634056452731E-3</v>
      </c>
      <c r="D3303" s="3" cm="1">
        <f t="array" ref="D3303">_xlfn.PERCENTILE.INC(_xlfn._xlws.FILTER($E$2490:$E$3818, $A$2490:$A$3818="2023-04"), 0.05)</f>
        <v>-5.4892784446110999E-3</v>
      </c>
      <c r="E3303">
        <v>-3.0708366650226337E-3</v>
      </c>
      <c r="F3303">
        <f t="shared" si="108"/>
        <v>-1.3578540626295998E-2</v>
      </c>
      <c r="G3303">
        <f t="shared" si="109"/>
        <v>-2.1726992136937861E-2</v>
      </c>
    </row>
    <row r="3304" spans="1:7" x14ac:dyDescent="0.35">
      <c r="A3304" t="s">
        <v>174</v>
      </c>
      <c r="E3304">
        <v>1.4462366543302443E-3</v>
      </c>
      <c r="F3304">
        <f t="shared" si="108"/>
        <v>-1.3583495583172255E-2</v>
      </c>
      <c r="G3304">
        <f t="shared" si="109"/>
        <v>-2.1726992136937861E-2</v>
      </c>
    </row>
    <row r="3305" spans="1:7" x14ac:dyDescent="0.35">
      <c r="A3305" t="s">
        <v>174</v>
      </c>
      <c r="E3305">
        <v>-5.3528571144011682E-3</v>
      </c>
      <c r="F3305">
        <f t="shared" si="108"/>
        <v>-1.3588450540048511E-2</v>
      </c>
      <c r="G3305">
        <f t="shared" si="109"/>
        <v>-2.1726992136937861E-2</v>
      </c>
    </row>
    <row r="3306" spans="1:7" x14ac:dyDescent="0.35">
      <c r="A3306" t="s">
        <v>174</v>
      </c>
      <c r="E3306">
        <v>4.9951803939320243E-3</v>
      </c>
      <c r="F3306">
        <f t="shared" si="108"/>
        <v>-1.3593405496924766E-2</v>
      </c>
      <c r="G3306">
        <f t="shared" si="109"/>
        <v>-2.1726992136937861E-2</v>
      </c>
    </row>
    <row r="3307" spans="1:7" x14ac:dyDescent="0.35">
      <c r="A3307" t="s">
        <v>174</v>
      </c>
      <c r="E3307">
        <v>3.6655651725783127E-3</v>
      </c>
      <c r="F3307">
        <f t="shared" si="108"/>
        <v>-1.3598360453801023E-2</v>
      </c>
      <c r="G3307">
        <f t="shared" si="109"/>
        <v>-2.1726992136937861E-2</v>
      </c>
    </row>
    <row r="3308" spans="1:7" x14ac:dyDescent="0.35">
      <c r="A3308" t="s">
        <v>174</v>
      </c>
      <c r="E3308">
        <v>3.0887715623988472E-3</v>
      </c>
      <c r="F3308">
        <f t="shared" si="108"/>
        <v>-1.360331541067728E-2</v>
      </c>
      <c r="G3308">
        <f t="shared" si="109"/>
        <v>-2.1726992136937861E-2</v>
      </c>
    </row>
    <row r="3309" spans="1:7" x14ac:dyDescent="0.35">
      <c r="A3309" t="s">
        <v>174</v>
      </c>
      <c r="E3309">
        <v>1.6454017416267751E-3</v>
      </c>
      <c r="F3309">
        <f t="shared" si="108"/>
        <v>-1.3608270367553535E-2</v>
      </c>
      <c r="G3309">
        <f t="shared" si="109"/>
        <v>-2.1726992136937861E-2</v>
      </c>
    </row>
    <row r="3310" spans="1:7" x14ac:dyDescent="0.35">
      <c r="A3310" t="s">
        <v>174</v>
      </c>
      <c r="E3310">
        <v>4.9491237767654971E-3</v>
      </c>
      <c r="F3310">
        <f t="shared" si="108"/>
        <v>-1.3613225324429792E-2</v>
      </c>
      <c r="G3310">
        <f t="shared" si="109"/>
        <v>-2.1726992136937861E-2</v>
      </c>
    </row>
    <row r="3311" spans="1:7" x14ac:dyDescent="0.35">
      <c r="A3311" t="s">
        <v>174</v>
      </c>
      <c r="E3311">
        <v>-1.1374488005644918E-3</v>
      </c>
      <c r="F3311">
        <f t="shared" si="108"/>
        <v>-1.3618180281306048E-2</v>
      </c>
      <c r="G3311">
        <f t="shared" si="109"/>
        <v>-2.1726992136937861E-2</v>
      </c>
    </row>
    <row r="3312" spans="1:7" x14ac:dyDescent="0.35">
      <c r="A3312" t="s">
        <v>174</v>
      </c>
      <c r="E3312">
        <v>5.8815155557974935E-3</v>
      </c>
      <c r="F3312">
        <f t="shared" si="108"/>
        <v>-1.3623135238182303E-2</v>
      </c>
      <c r="G3312">
        <f t="shared" si="109"/>
        <v>-2.1726992136937861E-2</v>
      </c>
    </row>
    <row r="3313" spans="1:7" x14ac:dyDescent="0.35">
      <c r="A3313" t="s">
        <v>174</v>
      </c>
      <c r="E3313">
        <v>7.8859915087807584E-4</v>
      </c>
      <c r="F3313">
        <f t="shared" si="108"/>
        <v>-1.362809019505856E-2</v>
      </c>
      <c r="G3313">
        <f t="shared" si="109"/>
        <v>-2.1726992136937861E-2</v>
      </c>
    </row>
    <row r="3314" spans="1:7" x14ac:dyDescent="0.35">
      <c r="A3314" t="s">
        <v>174</v>
      </c>
      <c r="E3314">
        <v>-6.2623326491340467E-3</v>
      </c>
      <c r="F3314">
        <f t="shared" si="108"/>
        <v>-1.3633045151934817E-2</v>
      </c>
      <c r="G3314">
        <f t="shared" si="109"/>
        <v>-2.1726992136937861E-2</v>
      </c>
    </row>
    <row r="3315" spans="1:7" x14ac:dyDescent="0.35">
      <c r="A3315" t="s">
        <v>174</v>
      </c>
      <c r="E3315">
        <v>5.4101401531207235E-3</v>
      </c>
      <c r="F3315">
        <f t="shared" si="108"/>
        <v>-1.3638000108811072E-2</v>
      </c>
      <c r="G3315">
        <f t="shared" si="109"/>
        <v>-2.1726992136937861E-2</v>
      </c>
    </row>
    <row r="3316" spans="1:7" x14ac:dyDescent="0.35">
      <c r="A3316" t="s">
        <v>174</v>
      </c>
      <c r="E3316">
        <v>-1.1157449384178652E-3</v>
      </c>
      <c r="F3316">
        <f t="shared" si="108"/>
        <v>-1.3642955065687329E-2</v>
      </c>
      <c r="G3316">
        <f t="shared" si="109"/>
        <v>-2.1726992136937861E-2</v>
      </c>
    </row>
    <row r="3317" spans="1:7" x14ac:dyDescent="0.35">
      <c r="A3317" t="s">
        <v>174</v>
      </c>
      <c r="E3317">
        <v>5.1550161085723949E-4</v>
      </c>
      <c r="F3317">
        <f t="shared" si="108"/>
        <v>-1.3647910022563586E-2</v>
      </c>
      <c r="G3317">
        <f t="shared" si="109"/>
        <v>-2.1726992136937861E-2</v>
      </c>
    </row>
    <row r="3318" spans="1:7" x14ac:dyDescent="0.35">
      <c r="A3318" t="s">
        <v>174</v>
      </c>
      <c r="E3318">
        <v>-4.8250906897715044E-3</v>
      </c>
      <c r="F3318">
        <f t="shared" si="108"/>
        <v>-1.3652864979439842E-2</v>
      </c>
      <c r="G3318">
        <f t="shared" si="109"/>
        <v>-2.1726992136937861E-2</v>
      </c>
    </row>
    <row r="3319" spans="1:7" x14ac:dyDescent="0.35">
      <c r="A3319" t="s">
        <v>174</v>
      </c>
      <c r="E3319">
        <v>2.9877029660611842E-4</v>
      </c>
      <c r="F3319">
        <f t="shared" si="108"/>
        <v>-1.3657819936316097E-2</v>
      </c>
      <c r="G3319">
        <f t="shared" si="109"/>
        <v>-2.1726992136937861E-2</v>
      </c>
    </row>
    <row r="3320" spans="1:7" x14ac:dyDescent="0.35">
      <c r="A3320" t="s">
        <v>174</v>
      </c>
      <c r="E3320">
        <v>7.6872460900352744E-3</v>
      </c>
      <c r="F3320">
        <f t="shared" si="108"/>
        <v>-1.3662774893192354E-2</v>
      </c>
      <c r="G3320">
        <f t="shared" si="109"/>
        <v>-2.1726992136937861E-2</v>
      </c>
    </row>
    <row r="3321" spans="1:7" x14ac:dyDescent="0.35">
      <c r="A3321" t="s">
        <v>175</v>
      </c>
      <c r="B3321" s="3" cm="1">
        <f t="array" ref="B3321">_xlfn.STDEV.S(_xlfn._xlws.FILTER($E$2826:$E$3824, $A$2826:$A$3824="2023-05"))</f>
        <v>8.9203851792917666E-3</v>
      </c>
      <c r="C3321" s="3" cm="1">
        <f t="array" ref="C3321">AVERAGE(_xlfn._xlws.FILTER($E$2826:$E$3824, $A$2826:$A$3824="2023-05"))</f>
        <v>-8.179652064812231E-4</v>
      </c>
      <c r="D3321" s="3" cm="1">
        <f t="array" ref="D3321">_xlfn.PERCENTILE.EXC(_xlfn._xlws.FILTER($E$2490:$E$3818, $A$2490:$A$3818="2023-05"), 0.05)</f>
        <v>-1.9228711245448019E-2</v>
      </c>
      <c r="E3321">
        <v>-1.2350501323786858E-2</v>
      </c>
      <c r="F3321">
        <f t="shared" si="108"/>
        <v>-1.3673089480757787E-2</v>
      </c>
      <c r="G3321">
        <f t="shared" si="109"/>
        <v>-2.2063001188760589E-2</v>
      </c>
    </row>
    <row r="3322" spans="1:7" x14ac:dyDescent="0.35">
      <c r="A3322" t="s">
        <v>175</v>
      </c>
      <c r="E3322">
        <v>5.5874852107463072E-3</v>
      </c>
      <c r="F3322">
        <f t="shared" si="108"/>
        <v>-1.368340406832322E-2</v>
      </c>
      <c r="G3322">
        <f t="shared" si="109"/>
        <v>-2.2063001188760589E-2</v>
      </c>
    </row>
    <row r="3323" spans="1:7" x14ac:dyDescent="0.35">
      <c r="A3323" t="s">
        <v>175</v>
      </c>
      <c r="E3323">
        <v>-5.1234212353323703E-3</v>
      </c>
      <c r="F3323">
        <f t="shared" si="108"/>
        <v>-1.3693718655888653E-2</v>
      </c>
      <c r="G3323">
        <f t="shared" si="109"/>
        <v>-2.2063001188760589E-2</v>
      </c>
    </row>
    <row r="3324" spans="1:7" x14ac:dyDescent="0.35">
      <c r="A3324" t="s">
        <v>175</v>
      </c>
      <c r="E3324">
        <v>1.4310270372290733E-2</v>
      </c>
      <c r="F3324">
        <f t="shared" si="108"/>
        <v>-1.3704033243454086E-2</v>
      </c>
      <c r="G3324">
        <f t="shared" si="109"/>
        <v>-2.2063001188760589E-2</v>
      </c>
    </row>
    <row r="3325" spans="1:7" x14ac:dyDescent="0.35">
      <c r="A3325" t="s">
        <v>175</v>
      </c>
      <c r="E3325">
        <v>-3.4715586330827879E-4</v>
      </c>
      <c r="F3325">
        <f t="shared" si="108"/>
        <v>-1.3714347831019519E-2</v>
      </c>
      <c r="G3325">
        <f t="shared" si="109"/>
        <v>-2.2063001188760589E-2</v>
      </c>
    </row>
    <row r="3326" spans="1:7" x14ac:dyDescent="0.35">
      <c r="A3326" t="s">
        <v>175</v>
      </c>
      <c r="E3326">
        <v>-3.7203696969905966E-3</v>
      </c>
      <c r="F3326">
        <f t="shared" si="108"/>
        <v>-1.372466241858495E-2</v>
      </c>
      <c r="G3326">
        <f t="shared" si="109"/>
        <v>-2.2063001188760589E-2</v>
      </c>
    </row>
    <row r="3327" spans="1:7" x14ac:dyDescent="0.35">
      <c r="A3327" t="s">
        <v>175</v>
      </c>
      <c r="E3327">
        <v>-3.8649778314572966E-3</v>
      </c>
      <c r="F3327">
        <f t="shared" si="108"/>
        <v>-1.3734977006150383E-2</v>
      </c>
      <c r="G3327">
        <f t="shared" si="109"/>
        <v>-2.2063001188760589E-2</v>
      </c>
    </row>
    <row r="3328" spans="1:7" x14ac:dyDescent="0.35">
      <c r="A3328" t="s">
        <v>175</v>
      </c>
      <c r="E3328">
        <v>4.9709177336495439E-3</v>
      </c>
      <c r="F3328">
        <f t="shared" si="108"/>
        <v>-1.3745291593715816E-2</v>
      </c>
      <c r="G3328">
        <f t="shared" si="109"/>
        <v>-2.2063001188760589E-2</v>
      </c>
    </row>
    <row r="3329" spans="1:7" x14ac:dyDescent="0.35">
      <c r="A3329" t="s">
        <v>175</v>
      </c>
      <c r="E3329">
        <v>2.1488445644984489E-4</v>
      </c>
      <c r="F3329">
        <f t="shared" si="108"/>
        <v>-1.3755606181281249E-2</v>
      </c>
      <c r="G3329">
        <f t="shared" si="109"/>
        <v>-2.2063001188760589E-2</v>
      </c>
    </row>
    <row r="3330" spans="1:7" x14ac:dyDescent="0.35">
      <c r="A3330" t="s">
        <v>175</v>
      </c>
      <c r="E3330">
        <v>-1.2138864806405299E-3</v>
      </c>
      <c r="F3330">
        <f t="shared" si="108"/>
        <v>-1.3765920768846682E-2</v>
      </c>
      <c r="G3330">
        <f t="shared" si="109"/>
        <v>-2.2063001188760589E-2</v>
      </c>
    </row>
    <row r="3331" spans="1:7" x14ac:dyDescent="0.35">
      <c r="A3331" t="s">
        <v>175</v>
      </c>
      <c r="E3331">
        <v>3.3514185400611708E-3</v>
      </c>
      <c r="F3331">
        <f t="shared" si="108"/>
        <v>-1.3776235356412115E-2</v>
      </c>
      <c r="G3331">
        <f t="shared" si="109"/>
        <v>-2.2063001188760589E-2</v>
      </c>
    </row>
    <row r="3332" spans="1:7" x14ac:dyDescent="0.35">
      <c r="A3332" t="s">
        <v>175</v>
      </c>
      <c r="E3332">
        <v>1.3206621660776283E-2</v>
      </c>
      <c r="F3332">
        <f t="shared" ref="F3332:F3395" si="110">_xlfn.PERCENTILE.EXC(E3332:E7147,0.05)</f>
        <v>-1.3786549943977548E-2</v>
      </c>
      <c r="G3332">
        <f t="shared" ref="G3332:G3395" si="111">AVERAGEIFS(E3332:E7148,E3332:E7148,"&lt;=" &amp; F3332)</f>
        <v>-2.2063001188760589E-2</v>
      </c>
    </row>
    <row r="3333" spans="1:7" x14ac:dyDescent="0.35">
      <c r="A3333" t="s">
        <v>175</v>
      </c>
      <c r="E3333">
        <v>6.906584243876311E-3</v>
      </c>
      <c r="F3333">
        <f t="shared" si="110"/>
        <v>-1.379686453154298E-2</v>
      </c>
      <c r="G3333">
        <f t="shared" si="111"/>
        <v>-2.2063001188760589E-2</v>
      </c>
    </row>
    <row r="3334" spans="1:7" x14ac:dyDescent="0.35">
      <c r="A3334" t="s">
        <v>175</v>
      </c>
      <c r="E3334">
        <v>-3.1625254785987889E-3</v>
      </c>
      <c r="F3334">
        <f t="shared" si="110"/>
        <v>-1.3807179119108413E-2</v>
      </c>
      <c r="G3334">
        <f t="shared" si="111"/>
        <v>-2.2063001188760589E-2</v>
      </c>
    </row>
    <row r="3335" spans="1:7" x14ac:dyDescent="0.35">
      <c r="A3335" t="s">
        <v>175</v>
      </c>
      <c r="E3335">
        <v>-4.393887264371437E-3</v>
      </c>
      <c r="F3335">
        <f t="shared" si="110"/>
        <v>-1.3817493706673846E-2</v>
      </c>
      <c r="G3335">
        <f t="shared" si="111"/>
        <v>-2.2063001188760589E-2</v>
      </c>
    </row>
    <row r="3336" spans="1:7" x14ac:dyDescent="0.35">
      <c r="A3336" t="s">
        <v>175</v>
      </c>
      <c r="E3336">
        <v>-1.9424276730392501E-2</v>
      </c>
      <c r="F3336">
        <f t="shared" si="110"/>
        <v>-1.3827808294239279E-2</v>
      </c>
      <c r="G3336">
        <f t="shared" si="111"/>
        <v>-2.2063001188760589E-2</v>
      </c>
    </row>
    <row r="3337" spans="1:7" x14ac:dyDescent="0.35">
      <c r="A3337" t="s">
        <v>175</v>
      </c>
      <c r="E3337">
        <v>-3.0553890843940247E-3</v>
      </c>
      <c r="F3337">
        <f t="shared" si="110"/>
        <v>-1.3647910022563586E-2</v>
      </c>
      <c r="G3337">
        <f t="shared" si="111"/>
        <v>-2.1822938612210584E-2</v>
      </c>
    </row>
    <row r="3338" spans="1:7" x14ac:dyDescent="0.35">
      <c r="A3338" t="s">
        <v>175</v>
      </c>
      <c r="E3338">
        <v>1.1968887068943434E-2</v>
      </c>
      <c r="F3338">
        <f t="shared" si="110"/>
        <v>-1.3652864979439842E-2</v>
      </c>
      <c r="G3338">
        <f t="shared" si="111"/>
        <v>-2.1822938612210584E-2</v>
      </c>
    </row>
    <row r="3339" spans="1:7" x14ac:dyDescent="0.35">
      <c r="A3339" t="s">
        <v>175</v>
      </c>
      <c r="E3339">
        <v>-4.7070153956425146E-3</v>
      </c>
      <c r="F3339">
        <f t="shared" si="110"/>
        <v>-1.3657819936316097E-2</v>
      </c>
      <c r="G3339">
        <f t="shared" si="111"/>
        <v>-2.1822938612210584E-2</v>
      </c>
    </row>
    <row r="3340" spans="1:7" x14ac:dyDescent="0.35">
      <c r="A3340" t="s">
        <v>175</v>
      </c>
      <c r="E3340">
        <v>-1.5512967031502893E-2</v>
      </c>
      <c r="F3340">
        <f t="shared" si="110"/>
        <v>-1.3662774893192354E-2</v>
      </c>
      <c r="G3340">
        <f t="shared" si="111"/>
        <v>-2.1822938612210584E-2</v>
      </c>
    </row>
    <row r="3341" spans="1:7" x14ac:dyDescent="0.35">
      <c r="A3341" t="s">
        <v>176</v>
      </c>
      <c r="B3341" s="3" cm="1">
        <f t="array" ref="B3341">_xlfn.STDEV.S(_xlfn._xlws.FILTER($E$2826:$E$3824, $A$2826:$A$3824="2023-06"))</f>
        <v>6.7606936057643847E-3</v>
      </c>
      <c r="C3341" s="3" cm="1">
        <f t="array" ref="C3341">AVERAGE(_xlfn._xlws.FILTER($E$2826:$E$3824, $A$2826:$A$3824="2023-06"))</f>
        <v>1.3828930751700445E-3</v>
      </c>
      <c r="D3341" s="3" cm="1">
        <f t="array" ref="D3341">_xlfn.PERCENTILE.EXC(_xlfn._xlws.FILTER($E$2490:$E$3818, $A$2490:$A$3818="2023-06"), 0.05)</f>
        <v>-9.8949312248266322E-3</v>
      </c>
      <c r="E3341">
        <v>1.2034025892648922E-2</v>
      </c>
      <c r="F3341">
        <f t="shared" si="110"/>
        <v>-1.3568630712543486E-2</v>
      </c>
      <c r="G3341">
        <f t="shared" si="111"/>
        <v>-2.2097285202676131E-2</v>
      </c>
    </row>
    <row r="3342" spans="1:7" x14ac:dyDescent="0.35">
      <c r="A3342" t="s">
        <v>176</v>
      </c>
      <c r="E3342">
        <v>1.2385093660629592E-2</v>
      </c>
      <c r="F3342">
        <f t="shared" si="110"/>
        <v>-1.3573585669419741E-2</v>
      </c>
      <c r="G3342">
        <f t="shared" si="111"/>
        <v>-2.2097285202676131E-2</v>
      </c>
    </row>
    <row r="3343" spans="1:7" x14ac:dyDescent="0.35">
      <c r="A3343" t="s">
        <v>176</v>
      </c>
      <c r="E3343">
        <v>-5.4561854945779009E-3</v>
      </c>
      <c r="F3343">
        <f t="shared" si="110"/>
        <v>-1.3578540626295998E-2</v>
      </c>
      <c r="G3343">
        <f t="shared" si="111"/>
        <v>-2.2097285202676131E-2</v>
      </c>
    </row>
    <row r="3344" spans="1:7" x14ac:dyDescent="0.35">
      <c r="A3344" t="s">
        <v>176</v>
      </c>
      <c r="E3344">
        <v>1.786813917366322E-3</v>
      </c>
      <c r="F3344">
        <f t="shared" si="110"/>
        <v>-1.3583495583172255E-2</v>
      </c>
      <c r="G3344">
        <f t="shared" si="111"/>
        <v>-2.2097285202676131E-2</v>
      </c>
    </row>
    <row r="3345" spans="1:7" x14ac:dyDescent="0.35">
      <c r="A3345" t="s">
        <v>176</v>
      </c>
      <c r="E3345">
        <v>-1.9954314510796851E-3</v>
      </c>
      <c r="F3345">
        <f t="shared" si="110"/>
        <v>-1.3588450540048511E-2</v>
      </c>
      <c r="G3345">
        <f t="shared" si="111"/>
        <v>-2.2097285202676131E-2</v>
      </c>
    </row>
    <row r="3346" spans="1:7" x14ac:dyDescent="0.35">
      <c r="A3346" t="s">
        <v>176</v>
      </c>
      <c r="E3346">
        <v>1.840346153855481E-3</v>
      </c>
      <c r="F3346">
        <f t="shared" si="110"/>
        <v>-1.3593405496924766E-2</v>
      </c>
      <c r="G3346">
        <f t="shared" si="111"/>
        <v>-2.2097285202676131E-2</v>
      </c>
    </row>
    <row r="3347" spans="1:7" x14ac:dyDescent="0.35">
      <c r="A3347" t="s">
        <v>176</v>
      </c>
      <c r="E3347">
        <v>-2.5122274466798087E-3</v>
      </c>
      <c r="F3347">
        <f t="shared" si="110"/>
        <v>-1.3598360453801023E-2</v>
      </c>
      <c r="G3347">
        <f t="shared" si="111"/>
        <v>-2.2097285202676131E-2</v>
      </c>
    </row>
    <row r="3348" spans="1:7" x14ac:dyDescent="0.35">
      <c r="A3348" t="s">
        <v>176</v>
      </c>
      <c r="E3348">
        <v>9.2381672690241765E-3</v>
      </c>
      <c r="F3348">
        <f t="shared" si="110"/>
        <v>-1.360331541067728E-2</v>
      </c>
      <c r="G3348">
        <f t="shared" si="111"/>
        <v>-2.2097285202676131E-2</v>
      </c>
    </row>
    <row r="3349" spans="1:7" x14ac:dyDescent="0.35">
      <c r="A3349" t="s">
        <v>176</v>
      </c>
      <c r="E3349">
        <v>8.2163132674849416E-3</v>
      </c>
      <c r="F3349">
        <f t="shared" si="110"/>
        <v>-1.3608270367553535E-2</v>
      </c>
      <c r="G3349">
        <f t="shared" si="111"/>
        <v>-2.2097285202676131E-2</v>
      </c>
    </row>
    <row r="3350" spans="1:7" x14ac:dyDescent="0.35">
      <c r="A3350" t="s">
        <v>176</v>
      </c>
      <c r="E3350">
        <v>4.9235736328240125E-3</v>
      </c>
      <c r="F3350">
        <f t="shared" si="110"/>
        <v>-1.3613225324429792E-2</v>
      </c>
      <c r="G3350">
        <f t="shared" si="111"/>
        <v>-2.2097285202676131E-2</v>
      </c>
    </row>
    <row r="3351" spans="1:7" x14ac:dyDescent="0.35">
      <c r="A3351" t="s">
        <v>176</v>
      </c>
      <c r="E3351">
        <v>-1.2680629325838807E-3</v>
      </c>
      <c r="F3351">
        <f t="shared" si="110"/>
        <v>-1.3618180281306048E-2</v>
      </c>
      <c r="G3351">
        <f t="shared" si="111"/>
        <v>-2.2097285202676131E-2</v>
      </c>
    </row>
    <row r="3352" spans="1:7" x14ac:dyDescent="0.35">
      <c r="A3352" t="s">
        <v>176</v>
      </c>
      <c r="E3352">
        <v>4.135666085578811E-3</v>
      </c>
      <c r="F3352">
        <f t="shared" si="110"/>
        <v>-1.3623135238182303E-2</v>
      </c>
      <c r="G3352">
        <f t="shared" si="111"/>
        <v>-2.2097285202676131E-2</v>
      </c>
    </row>
    <row r="3353" spans="1:7" x14ac:dyDescent="0.35">
      <c r="A3353" t="s">
        <v>176</v>
      </c>
      <c r="E3353">
        <v>-9.6091415858411099E-3</v>
      </c>
      <c r="F3353">
        <f t="shared" si="110"/>
        <v>-1.362809019505856E-2</v>
      </c>
      <c r="G3353">
        <f t="shared" si="111"/>
        <v>-2.2097285202676131E-2</v>
      </c>
    </row>
    <row r="3354" spans="1:7" x14ac:dyDescent="0.35">
      <c r="A3354" t="s">
        <v>176</v>
      </c>
      <c r="E3354">
        <v>-5.5631830515189152E-3</v>
      </c>
      <c r="F3354">
        <f t="shared" si="110"/>
        <v>-1.3633045151934817E-2</v>
      </c>
      <c r="G3354">
        <f t="shared" si="111"/>
        <v>-2.2097285202676131E-2</v>
      </c>
    </row>
    <row r="3355" spans="1:7" x14ac:dyDescent="0.35">
      <c r="A3355" t="s">
        <v>176</v>
      </c>
      <c r="E3355">
        <v>-5.4888271876369042E-3</v>
      </c>
      <c r="F3355">
        <f t="shared" si="110"/>
        <v>-1.3638000108811072E-2</v>
      </c>
      <c r="G3355">
        <f t="shared" si="111"/>
        <v>-2.2097285202676131E-2</v>
      </c>
    </row>
    <row r="3356" spans="1:7" x14ac:dyDescent="0.35">
      <c r="A3356" t="s">
        <v>176</v>
      </c>
      <c r="E3356">
        <v>-2.1848550252763495E-3</v>
      </c>
      <c r="F3356">
        <f t="shared" si="110"/>
        <v>-1.3642955065687329E-2</v>
      </c>
      <c r="G3356">
        <f t="shared" si="111"/>
        <v>-2.2097285202676131E-2</v>
      </c>
    </row>
    <row r="3357" spans="1:7" x14ac:dyDescent="0.35">
      <c r="A3357" t="s">
        <v>176</v>
      </c>
      <c r="E3357">
        <v>-9.9453646905299595E-3</v>
      </c>
      <c r="F3357">
        <f t="shared" si="110"/>
        <v>-1.3647910022563586E-2</v>
      </c>
      <c r="G3357">
        <f t="shared" si="111"/>
        <v>-2.2097285202676131E-2</v>
      </c>
    </row>
    <row r="3358" spans="1:7" x14ac:dyDescent="0.35">
      <c r="A3358" t="s">
        <v>176</v>
      </c>
      <c r="E3358">
        <v>-1.0669027336967975E-3</v>
      </c>
      <c r="F3358">
        <f t="shared" si="110"/>
        <v>-1.3652864979439842E-2</v>
      </c>
      <c r="G3358">
        <f t="shared" si="111"/>
        <v>-2.2097285202676131E-2</v>
      </c>
    </row>
    <row r="3359" spans="1:7" x14ac:dyDescent="0.35">
      <c r="A3359" t="s">
        <v>176</v>
      </c>
      <c r="E3359">
        <v>2.1351925615298545E-3</v>
      </c>
      <c r="F3359">
        <f t="shared" si="110"/>
        <v>-1.3657819936316097E-2</v>
      </c>
      <c r="G3359">
        <f t="shared" si="111"/>
        <v>-2.2097285202676131E-2</v>
      </c>
    </row>
    <row r="3360" spans="1:7" x14ac:dyDescent="0.35">
      <c r="A3360" t="s">
        <v>176</v>
      </c>
      <c r="E3360">
        <v>6.4247578986822507E-3</v>
      </c>
      <c r="F3360">
        <f t="shared" si="110"/>
        <v>-1.3662774893192354E-2</v>
      </c>
      <c r="G3360">
        <f t="shared" si="111"/>
        <v>-2.2097285202676131E-2</v>
      </c>
    </row>
    <row r="3361" spans="1:7" x14ac:dyDescent="0.35">
      <c r="A3361" t="s">
        <v>176</v>
      </c>
      <c r="E3361">
        <v>-1.4296589033793686E-4</v>
      </c>
      <c r="F3361">
        <f t="shared" si="110"/>
        <v>-1.3673089480757787E-2</v>
      </c>
      <c r="G3361">
        <f t="shared" si="111"/>
        <v>-2.2480672034925396E-2</v>
      </c>
    </row>
    <row r="3362" spans="1:7" x14ac:dyDescent="0.35">
      <c r="A3362" t="s">
        <v>176</v>
      </c>
      <c r="E3362">
        <v>1.253684480387587E-2</v>
      </c>
      <c r="F3362">
        <f t="shared" si="110"/>
        <v>-1.368340406832322E-2</v>
      </c>
      <c r="G3362">
        <f t="shared" si="111"/>
        <v>-2.2480672034925396E-2</v>
      </c>
    </row>
    <row r="3363" spans="1:7" x14ac:dyDescent="0.35">
      <c r="A3363" t="s">
        <v>177</v>
      </c>
      <c r="B3363" s="3" cm="1">
        <f t="array" ref="B3363">_xlfn.STDEV.S(_xlfn._xlws.FILTER($E$2826:$E$3824, $A$2826:$A$3824="2023-07"))</f>
        <v>8.6040625109160117E-3</v>
      </c>
      <c r="C3363" s="3" cm="1">
        <f t="array" ref="C3363">AVERAGE(_xlfn._xlws.FILTER($E$2826:$E$3824, $A$2826:$A$3824="2023-07"))</f>
        <v>8.7346396285840075E-4</v>
      </c>
      <c r="D3363" s="3" cm="1">
        <f t="array" ref="D3363">_xlfn.PERCENTILE.EXC(_xlfn._xlws.FILTER($E$2490:$E$3818, $A$2490:$A$3818="2023-07"), 0.05)</f>
        <v>-2.4035600521789283E-2</v>
      </c>
      <c r="E3363">
        <v>-4.1490719778614054E-3</v>
      </c>
      <c r="F3363">
        <f t="shared" si="110"/>
        <v>-1.3693718655888653E-2</v>
      </c>
      <c r="G3363">
        <f t="shared" si="111"/>
        <v>-2.2480672034925396E-2</v>
      </c>
    </row>
    <row r="3364" spans="1:7" x14ac:dyDescent="0.35">
      <c r="A3364" t="s">
        <v>177</v>
      </c>
      <c r="E3364">
        <v>-2.6070828126870129E-3</v>
      </c>
      <c r="F3364">
        <f t="shared" si="110"/>
        <v>-1.3704033243454086E-2</v>
      </c>
      <c r="G3364">
        <f t="shared" si="111"/>
        <v>-2.2480672034925396E-2</v>
      </c>
    </row>
    <row r="3365" spans="1:7" x14ac:dyDescent="0.35">
      <c r="A3365" t="s">
        <v>177</v>
      </c>
      <c r="E3365">
        <v>-6.3540129497167202E-3</v>
      </c>
      <c r="F3365">
        <f t="shared" si="110"/>
        <v>-1.3714347831019519E-2</v>
      </c>
      <c r="G3365">
        <f t="shared" si="111"/>
        <v>-2.2480672034925396E-2</v>
      </c>
    </row>
    <row r="3366" spans="1:7" x14ac:dyDescent="0.35">
      <c r="A3366" t="s">
        <v>177</v>
      </c>
      <c r="E3366">
        <v>-2.6000221363130682E-2</v>
      </c>
      <c r="F3366">
        <f t="shared" si="110"/>
        <v>-1.372466241858495E-2</v>
      </c>
      <c r="G3366">
        <f t="shared" si="111"/>
        <v>-2.2480672034925396E-2</v>
      </c>
    </row>
    <row r="3367" spans="1:7" x14ac:dyDescent="0.35">
      <c r="A3367" t="s">
        <v>177</v>
      </c>
      <c r="E3367">
        <v>4.8092180753094476E-3</v>
      </c>
      <c r="F3367">
        <f t="shared" si="110"/>
        <v>-1.3598360453801023E-2</v>
      </c>
      <c r="G3367">
        <f t="shared" si="111"/>
        <v>-2.1919879013564562E-2</v>
      </c>
    </row>
    <row r="3368" spans="1:7" x14ac:dyDescent="0.35">
      <c r="A3368" t="s">
        <v>177</v>
      </c>
      <c r="E3368">
        <v>4.4608560328155029E-3</v>
      </c>
      <c r="F3368">
        <f t="shared" si="110"/>
        <v>-1.360331541067728E-2</v>
      </c>
      <c r="G3368">
        <f t="shared" si="111"/>
        <v>-2.1919879013564562E-2</v>
      </c>
    </row>
    <row r="3369" spans="1:7" x14ac:dyDescent="0.35">
      <c r="A3369" t="s">
        <v>177</v>
      </c>
      <c r="E3369">
        <v>7.4486653924226076E-3</v>
      </c>
      <c r="F3369">
        <f t="shared" si="110"/>
        <v>-1.3608270367553535E-2</v>
      </c>
      <c r="G3369">
        <f t="shared" si="111"/>
        <v>-2.1919879013564562E-2</v>
      </c>
    </row>
    <row r="3370" spans="1:7" x14ac:dyDescent="0.35">
      <c r="A3370" t="s">
        <v>177</v>
      </c>
      <c r="E3370">
        <v>1.4626829374436257E-2</v>
      </c>
      <c r="F3370">
        <f t="shared" si="110"/>
        <v>-1.3613225324429792E-2</v>
      </c>
      <c r="G3370">
        <f t="shared" si="111"/>
        <v>-2.1919879013564562E-2</v>
      </c>
    </row>
    <row r="3371" spans="1:7" x14ac:dyDescent="0.35">
      <c r="A3371" t="s">
        <v>177</v>
      </c>
      <c r="E3371">
        <v>7.3392873845758069E-3</v>
      </c>
      <c r="F3371">
        <f t="shared" si="110"/>
        <v>-1.3618180281306048E-2</v>
      </c>
      <c r="G3371">
        <f t="shared" si="111"/>
        <v>-2.1919879013564562E-2</v>
      </c>
    </row>
    <row r="3372" spans="1:7" x14ac:dyDescent="0.35">
      <c r="A3372" t="s">
        <v>177</v>
      </c>
      <c r="E3372">
        <v>-2.2303481603528513E-3</v>
      </c>
      <c r="F3372">
        <f t="shared" si="110"/>
        <v>-1.3623135238182303E-2</v>
      </c>
      <c r="G3372">
        <f t="shared" si="111"/>
        <v>-2.1919879013564562E-2</v>
      </c>
    </row>
    <row r="3373" spans="1:7" x14ac:dyDescent="0.35">
      <c r="A3373" t="s">
        <v>177</v>
      </c>
      <c r="E3373">
        <v>-2.2639604966999418E-3</v>
      </c>
      <c r="F3373">
        <f t="shared" si="110"/>
        <v>-1.362809019505856E-2</v>
      </c>
      <c r="G3373">
        <f t="shared" si="111"/>
        <v>-2.1919879013564562E-2</v>
      </c>
    </row>
    <row r="3374" spans="1:7" x14ac:dyDescent="0.35">
      <c r="A3374" t="s">
        <v>177</v>
      </c>
      <c r="E3374">
        <v>3.5310810637758897E-3</v>
      </c>
      <c r="F3374">
        <f t="shared" si="110"/>
        <v>-1.3633045151934817E-2</v>
      </c>
      <c r="G3374">
        <f t="shared" si="111"/>
        <v>-2.1919879013564562E-2</v>
      </c>
    </row>
    <row r="3375" spans="1:7" x14ac:dyDescent="0.35">
      <c r="A3375" t="s">
        <v>177</v>
      </c>
      <c r="E3375">
        <v>-1.0274732076374533E-3</v>
      </c>
      <c r="F3375">
        <f t="shared" si="110"/>
        <v>-1.3638000108811072E-2</v>
      </c>
      <c r="G3375">
        <f t="shared" si="111"/>
        <v>-2.1919879013564562E-2</v>
      </c>
    </row>
    <row r="3376" spans="1:7" x14ac:dyDescent="0.35">
      <c r="A3376" t="s">
        <v>177</v>
      </c>
      <c r="E3376">
        <v>5.8979255334684708E-3</v>
      </c>
      <c r="F3376">
        <f t="shared" si="110"/>
        <v>-1.3642955065687329E-2</v>
      </c>
      <c r="G3376">
        <f t="shared" si="111"/>
        <v>-2.1919879013564562E-2</v>
      </c>
    </row>
    <row r="3377" spans="1:7" x14ac:dyDescent="0.35">
      <c r="A3377" t="s">
        <v>177</v>
      </c>
      <c r="E3377">
        <v>-1.6676223328652908E-3</v>
      </c>
      <c r="F3377">
        <f t="shared" si="110"/>
        <v>-1.3647910022563586E-2</v>
      </c>
      <c r="G3377">
        <f t="shared" si="111"/>
        <v>-2.1919879013564562E-2</v>
      </c>
    </row>
    <row r="3378" spans="1:7" x14ac:dyDescent="0.35">
      <c r="A3378" t="s">
        <v>177</v>
      </c>
      <c r="E3378">
        <v>8.4836435445581149E-4</v>
      </c>
      <c r="F3378">
        <f t="shared" si="110"/>
        <v>-1.3652864979439842E-2</v>
      </c>
      <c r="G3378">
        <f t="shared" si="111"/>
        <v>-2.1919879013564562E-2</v>
      </c>
    </row>
    <row r="3379" spans="1:7" x14ac:dyDescent="0.35">
      <c r="A3379" t="s">
        <v>177</v>
      </c>
      <c r="E3379">
        <v>1.2739743730941252E-3</v>
      </c>
      <c r="F3379">
        <f t="shared" si="110"/>
        <v>-1.3657819936316097E-2</v>
      </c>
      <c r="G3379">
        <f t="shared" si="111"/>
        <v>-2.1919879013564562E-2</v>
      </c>
    </row>
    <row r="3380" spans="1:7" x14ac:dyDescent="0.35">
      <c r="A3380" t="s">
        <v>177</v>
      </c>
      <c r="E3380">
        <v>-4.9550159275105849E-3</v>
      </c>
      <c r="F3380">
        <f t="shared" si="110"/>
        <v>-1.3662774893192354E-2</v>
      </c>
      <c r="G3380">
        <f t="shared" si="111"/>
        <v>-2.1919879013564562E-2</v>
      </c>
    </row>
    <row r="3381" spans="1:7" x14ac:dyDescent="0.35">
      <c r="A3381" t="s">
        <v>177</v>
      </c>
      <c r="E3381">
        <v>1.6877547568132218E-2</v>
      </c>
      <c r="F3381">
        <f t="shared" si="110"/>
        <v>-1.3673089480757787E-2</v>
      </c>
      <c r="G3381">
        <f t="shared" si="111"/>
        <v>-2.2313074447868002E-2</v>
      </c>
    </row>
    <row r="3382" spans="1:7" x14ac:dyDescent="0.35">
      <c r="A3382" t="s">
        <v>177</v>
      </c>
      <c r="E3382">
        <v>3.8764147826262398E-3</v>
      </c>
      <c r="F3382">
        <f t="shared" si="110"/>
        <v>-1.368340406832322E-2</v>
      </c>
      <c r="G3382">
        <f t="shared" si="111"/>
        <v>-2.2313074447868002E-2</v>
      </c>
    </row>
    <row r="3383" spans="1:7" x14ac:dyDescent="0.35">
      <c r="A3383" t="s">
        <v>177</v>
      </c>
      <c r="E3383">
        <v>-1.3926114866240208E-3</v>
      </c>
      <c r="F3383">
        <f t="shared" si="110"/>
        <v>-1.3693718655888653E-2</v>
      </c>
      <c r="G3383">
        <f t="shared" si="111"/>
        <v>-2.2313074447868002E-2</v>
      </c>
    </row>
    <row r="3384" spans="1:7" x14ac:dyDescent="0.35">
      <c r="A3384" t="s">
        <v>178</v>
      </c>
      <c r="B3384" s="3" cm="1">
        <f t="array" ref="B3384">_xlfn.STDEV.S(_xlfn._xlws.FILTER($E$2826:$E$3824, $A$2826:$A$3824="2023-08"))</f>
        <v>8.2234933371511856E-3</v>
      </c>
      <c r="C3384" s="3" cm="1">
        <f t="array" ref="C3384">AVERAGE(_xlfn._xlws.FILTER($E$2826:$E$3824, $A$2826:$A$3824="2023-08"))</f>
        <v>-1.4693815763516175E-3</v>
      </c>
      <c r="D3384" s="3" cm="1">
        <f t="array" ref="D3384">_xlfn.PERCENTILE.EXC(_xlfn._xlws.FILTER($E$2490:$E$3818, $A$2490:$A$3818="2023-08"), 0.05)</f>
        <v>-1.3559576254083555E-2</v>
      </c>
      <c r="E3384">
        <v>-1.2630788502104355E-2</v>
      </c>
      <c r="F3384">
        <f t="shared" si="110"/>
        <v>-1.3704033243454086E-2</v>
      </c>
      <c r="G3384">
        <f t="shared" si="111"/>
        <v>-2.2313074447868002E-2</v>
      </c>
    </row>
    <row r="3385" spans="1:7" x14ac:dyDescent="0.35">
      <c r="A3385" t="s">
        <v>178</v>
      </c>
      <c r="E3385">
        <v>-1.3662774893192354E-2</v>
      </c>
      <c r="F3385">
        <f t="shared" si="110"/>
        <v>-1.3714347831019519E-2</v>
      </c>
      <c r="G3385">
        <f t="shared" si="111"/>
        <v>-2.2313074447868002E-2</v>
      </c>
    </row>
    <row r="3386" spans="1:7" x14ac:dyDescent="0.35">
      <c r="A3386" t="s">
        <v>178</v>
      </c>
      <c r="E3386">
        <v>-7.9365197526000617E-3</v>
      </c>
      <c r="F3386">
        <f t="shared" si="110"/>
        <v>-1.3655293022317362E-2</v>
      </c>
      <c r="G3386">
        <f t="shared" si="111"/>
        <v>-2.2313074447868002E-2</v>
      </c>
    </row>
    <row r="3387" spans="1:7" x14ac:dyDescent="0.35">
      <c r="A3387" t="s">
        <v>178</v>
      </c>
      <c r="E3387">
        <v>3.6727665256988395E-3</v>
      </c>
      <c r="F3387">
        <f t="shared" si="110"/>
        <v>-1.3670562566759052E-2</v>
      </c>
      <c r="G3387">
        <f t="shared" si="111"/>
        <v>-2.2313074447868002E-2</v>
      </c>
    </row>
    <row r="3388" spans="1:7" x14ac:dyDescent="0.35">
      <c r="A3388" t="s">
        <v>178</v>
      </c>
      <c r="E3388">
        <v>-6.8959853481416741E-5</v>
      </c>
      <c r="F3388">
        <f t="shared" si="110"/>
        <v>-1.3685832111200742E-2</v>
      </c>
      <c r="G3388">
        <f t="shared" si="111"/>
        <v>-2.2313074447868002E-2</v>
      </c>
    </row>
    <row r="3389" spans="1:7" x14ac:dyDescent="0.35">
      <c r="A3389" t="s">
        <v>178</v>
      </c>
      <c r="E3389">
        <v>-1.1084505982021287E-2</v>
      </c>
      <c r="F3389">
        <f t="shared" si="110"/>
        <v>-1.3701101655642431E-2</v>
      </c>
      <c r="G3389">
        <f t="shared" si="111"/>
        <v>-2.2313074447868002E-2</v>
      </c>
    </row>
    <row r="3390" spans="1:7" x14ac:dyDescent="0.35">
      <c r="A3390" t="s">
        <v>178</v>
      </c>
      <c r="E3390">
        <v>4.9102920854657353E-3</v>
      </c>
      <c r="F3390">
        <f t="shared" si="110"/>
        <v>-1.3716371200084121E-2</v>
      </c>
      <c r="G3390">
        <f t="shared" si="111"/>
        <v>-2.2313074447868002E-2</v>
      </c>
    </row>
    <row r="3391" spans="1:7" x14ac:dyDescent="0.35">
      <c r="A3391" t="s">
        <v>178</v>
      </c>
      <c r="E3391">
        <v>9.0389354812794535E-3</v>
      </c>
      <c r="F3391">
        <f t="shared" si="110"/>
        <v>-1.3731640744525809E-2</v>
      </c>
      <c r="G3391">
        <f t="shared" si="111"/>
        <v>-2.2313074447868002E-2</v>
      </c>
    </row>
    <row r="3392" spans="1:7" x14ac:dyDescent="0.35">
      <c r="A3392" t="s">
        <v>178</v>
      </c>
      <c r="E3392">
        <v>-1.0327252594274045E-2</v>
      </c>
      <c r="F3392">
        <f t="shared" si="110"/>
        <v>-1.3746910288967497E-2</v>
      </c>
      <c r="G3392">
        <f t="shared" si="111"/>
        <v>-2.2313074447868002E-2</v>
      </c>
    </row>
    <row r="3393" spans="1:7" x14ac:dyDescent="0.35">
      <c r="A3393" t="s">
        <v>178</v>
      </c>
      <c r="E3393">
        <v>4.5424231176145304E-3</v>
      </c>
      <c r="F3393">
        <f t="shared" si="110"/>
        <v>-1.3762179833409187E-2</v>
      </c>
      <c r="G3393">
        <f t="shared" si="111"/>
        <v>-2.2313074447868002E-2</v>
      </c>
    </row>
    <row r="3394" spans="1:7" x14ac:dyDescent="0.35">
      <c r="A3394" t="s">
        <v>178</v>
      </c>
      <c r="E3394">
        <v>-7.2443736179307553E-3</v>
      </c>
      <c r="F3394">
        <f t="shared" si="110"/>
        <v>-1.3777449377850876E-2</v>
      </c>
      <c r="G3394">
        <f t="shared" si="111"/>
        <v>-2.2313074447868002E-2</v>
      </c>
    </row>
    <row r="3395" spans="1:7" x14ac:dyDescent="0.35">
      <c r="A3395" t="s">
        <v>178</v>
      </c>
      <c r="E3395">
        <v>-7.153704194034753E-3</v>
      </c>
      <c r="F3395">
        <f t="shared" si="110"/>
        <v>-1.3792718922292566E-2</v>
      </c>
      <c r="G3395">
        <f t="shared" si="111"/>
        <v>-2.2313074447868002E-2</v>
      </c>
    </row>
    <row r="3396" spans="1:7" x14ac:dyDescent="0.35">
      <c r="A3396" t="s">
        <v>178</v>
      </c>
      <c r="E3396">
        <v>-6.5687397883399225E-3</v>
      </c>
      <c r="F3396">
        <f t="shared" ref="F3396:F3459" si="112">_xlfn.PERCENTILE.EXC(E3396:E7211,0.05)</f>
        <v>-1.3807988466734254E-2</v>
      </c>
      <c r="G3396">
        <f t="shared" ref="G3396:G3459" si="113">AVERAGEIFS(E3396:E7212,E3396:E7212,"&lt;=" &amp; F3396)</f>
        <v>-2.2313074447868002E-2</v>
      </c>
    </row>
    <row r="3397" spans="1:7" x14ac:dyDescent="0.35">
      <c r="A3397" t="s">
        <v>178</v>
      </c>
      <c r="E3397">
        <v>1.8615970587056228E-3</v>
      </c>
      <c r="F3397">
        <f t="shared" si="112"/>
        <v>-1.3823258011175944E-2</v>
      </c>
      <c r="G3397">
        <f t="shared" si="113"/>
        <v>-2.2313074447868002E-2</v>
      </c>
    </row>
    <row r="3398" spans="1:7" x14ac:dyDescent="0.35">
      <c r="A3398" t="s">
        <v>178</v>
      </c>
      <c r="E3398">
        <v>6.5374615197012582E-3</v>
      </c>
      <c r="F3398">
        <f t="shared" si="112"/>
        <v>-1.3838527555617632E-2</v>
      </c>
      <c r="G3398">
        <f t="shared" si="113"/>
        <v>-2.2313074447868002E-2</v>
      </c>
    </row>
    <row r="3399" spans="1:7" x14ac:dyDescent="0.35">
      <c r="A3399" t="s">
        <v>178</v>
      </c>
      <c r="E3399">
        <v>1.4500211390720719E-3</v>
      </c>
      <c r="F3399">
        <f t="shared" si="112"/>
        <v>-1.3853797100059321E-2</v>
      </c>
      <c r="G3399">
        <f t="shared" si="113"/>
        <v>-2.2313074447868002E-2</v>
      </c>
    </row>
    <row r="3400" spans="1:7" x14ac:dyDescent="0.35">
      <c r="A3400" t="s">
        <v>178</v>
      </c>
      <c r="E3400">
        <v>-6.8211008366189842E-3</v>
      </c>
      <c r="F3400">
        <f t="shared" si="112"/>
        <v>-1.3869066644501011E-2</v>
      </c>
      <c r="G3400">
        <f t="shared" si="113"/>
        <v>-2.2313074447868002E-2</v>
      </c>
    </row>
    <row r="3401" spans="1:7" x14ac:dyDescent="0.35">
      <c r="A3401" t="s">
        <v>178</v>
      </c>
      <c r="E3401">
        <v>6.610500056583638E-4</v>
      </c>
      <c r="F3401">
        <f t="shared" si="112"/>
        <v>-1.3879535871606541E-2</v>
      </c>
      <c r="G3401">
        <f t="shared" si="113"/>
        <v>-2.2735274838036352E-2</v>
      </c>
    </row>
    <row r="3402" spans="1:7" x14ac:dyDescent="0.35">
      <c r="A3402" t="s">
        <v>178</v>
      </c>
      <c r="E3402">
        <v>1.8950783685772438E-2</v>
      </c>
      <c r="F3402">
        <f t="shared" si="112"/>
        <v>-1.3890005098712072E-2</v>
      </c>
      <c r="G3402">
        <f t="shared" si="113"/>
        <v>-2.2735274838036352E-2</v>
      </c>
    </row>
    <row r="3403" spans="1:7" x14ac:dyDescent="0.35">
      <c r="A3403" t="s">
        <v>178</v>
      </c>
      <c r="E3403">
        <v>-2.4479308678407763E-3</v>
      </c>
      <c r="F3403">
        <f t="shared" si="112"/>
        <v>-1.3900474325817602E-2</v>
      </c>
      <c r="G3403">
        <f t="shared" si="113"/>
        <v>-2.2735274838036352E-2</v>
      </c>
    </row>
    <row r="3404" spans="1:7" x14ac:dyDescent="0.35">
      <c r="A3404" t="s">
        <v>178</v>
      </c>
      <c r="E3404">
        <v>3.4643071600864409E-3</v>
      </c>
      <c r="F3404">
        <f t="shared" si="112"/>
        <v>-1.3910943552923133E-2</v>
      </c>
      <c r="G3404">
        <f t="shared" si="113"/>
        <v>-2.2735274838036352E-2</v>
      </c>
    </row>
    <row r="3405" spans="1:7" x14ac:dyDescent="0.35">
      <c r="A3405" t="s">
        <v>179</v>
      </c>
      <c r="B3405" s="3" cm="1">
        <f t="array" ref="B3405">_xlfn.STDEV.S(_xlfn._xlws.FILTER($E$2826:$E$3824, $A$2826:$A$3824="2023-09"))</f>
        <v>6.3672547794827554E-3</v>
      </c>
      <c r="C3405" s="3" cm="1">
        <f t="array" ref="C3405">AVERAGE(_xlfn._xlws.FILTER($E$2826:$E$3824, $A$2826:$A$3824="2023-09"))</f>
        <v>-1.7038114017737219E-3</v>
      </c>
      <c r="D3405" s="3" cm="1">
        <f t="array" ref="D3405">_xlfn.PERCENTILE.EXC(_xlfn._xlws.FILTER($E$2490:$E$3818, $A$2490:$A$3818="2023-09"), 0.05)</f>
        <v>-1.3093318177767781E-2</v>
      </c>
      <c r="E3405">
        <v>-6.7158895684153643E-3</v>
      </c>
      <c r="F3405">
        <f t="shared" si="112"/>
        <v>-1.3921412780028663E-2</v>
      </c>
      <c r="G3405">
        <f t="shared" si="113"/>
        <v>-2.2735274838036352E-2</v>
      </c>
    </row>
    <row r="3406" spans="1:7" x14ac:dyDescent="0.35">
      <c r="A3406" t="s">
        <v>179</v>
      </c>
      <c r="E3406">
        <v>-9.7836149005100918E-4</v>
      </c>
      <c r="F3406">
        <f t="shared" si="112"/>
        <v>-1.3931882007134192E-2</v>
      </c>
      <c r="G3406">
        <f t="shared" si="113"/>
        <v>-2.2735274838036352E-2</v>
      </c>
    </row>
    <row r="3407" spans="1:7" x14ac:dyDescent="0.35">
      <c r="A3407" t="s">
        <v>179</v>
      </c>
      <c r="E3407">
        <v>-3.3636604809569809E-3</v>
      </c>
      <c r="F3407">
        <f t="shared" si="112"/>
        <v>-1.3942351234239724E-2</v>
      </c>
      <c r="G3407">
        <f t="shared" si="113"/>
        <v>-2.2735274838036352E-2</v>
      </c>
    </row>
    <row r="3408" spans="1:7" x14ac:dyDescent="0.35">
      <c r="A3408" t="s">
        <v>179</v>
      </c>
      <c r="E3408">
        <v>-1.9255502397359937E-3</v>
      </c>
      <c r="F3408">
        <f t="shared" si="112"/>
        <v>-1.3952820461345253E-2</v>
      </c>
      <c r="G3408">
        <f t="shared" si="113"/>
        <v>-2.2735274838036352E-2</v>
      </c>
    </row>
    <row r="3409" spans="1:7" x14ac:dyDescent="0.35">
      <c r="A3409" t="s">
        <v>179</v>
      </c>
      <c r="E3409">
        <v>-1.4437369541403671E-3</v>
      </c>
      <c r="F3409">
        <f t="shared" si="112"/>
        <v>-1.3963289688450784E-2</v>
      </c>
      <c r="G3409">
        <f t="shared" si="113"/>
        <v>-2.2735274838036352E-2</v>
      </c>
    </row>
    <row r="3410" spans="1:7" x14ac:dyDescent="0.35">
      <c r="A3410" t="s">
        <v>179</v>
      </c>
      <c r="E3410">
        <v>1.6584347329066664E-3</v>
      </c>
      <c r="F3410">
        <f t="shared" si="112"/>
        <v>-1.3973758915556314E-2</v>
      </c>
      <c r="G3410">
        <f t="shared" si="113"/>
        <v>-2.2735274838036352E-2</v>
      </c>
    </row>
    <row r="3411" spans="1:7" x14ac:dyDescent="0.35">
      <c r="A3411" t="s">
        <v>179</v>
      </c>
      <c r="E3411">
        <v>3.56561992742003E-3</v>
      </c>
      <c r="F3411">
        <f t="shared" si="112"/>
        <v>-1.3984228142661845E-2</v>
      </c>
      <c r="G3411">
        <f t="shared" si="113"/>
        <v>-2.2735274838036352E-2</v>
      </c>
    </row>
    <row r="3412" spans="1:7" x14ac:dyDescent="0.35">
      <c r="A3412" t="s">
        <v>179</v>
      </c>
      <c r="E3412">
        <v>-5.4232008772543182E-3</v>
      </c>
      <c r="F3412">
        <f t="shared" si="112"/>
        <v>-1.3994697369767375E-2</v>
      </c>
      <c r="G3412">
        <f t="shared" si="113"/>
        <v>-2.2735274838036352E-2</v>
      </c>
    </row>
    <row r="3413" spans="1:7" x14ac:dyDescent="0.35">
      <c r="A3413" t="s">
        <v>179</v>
      </c>
      <c r="E3413">
        <v>-3.9210035966783571E-3</v>
      </c>
      <c r="F3413">
        <f t="shared" si="112"/>
        <v>-1.4005166596872906E-2</v>
      </c>
      <c r="G3413">
        <f t="shared" si="113"/>
        <v>-2.2735274838036352E-2</v>
      </c>
    </row>
    <row r="3414" spans="1:7" x14ac:dyDescent="0.35">
      <c r="A3414" t="s">
        <v>179</v>
      </c>
      <c r="E3414">
        <v>9.6163022992086181E-3</v>
      </c>
      <c r="F3414">
        <f t="shared" si="112"/>
        <v>-1.4015635823978436E-2</v>
      </c>
      <c r="G3414">
        <f t="shared" si="113"/>
        <v>-2.2735274838036352E-2</v>
      </c>
    </row>
    <row r="3415" spans="1:7" x14ac:dyDescent="0.35">
      <c r="A3415" t="s">
        <v>179</v>
      </c>
      <c r="E3415">
        <v>5.567414050398763E-3</v>
      </c>
      <c r="F3415">
        <f t="shared" si="112"/>
        <v>-1.4026105051083967E-2</v>
      </c>
      <c r="G3415">
        <f t="shared" si="113"/>
        <v>-2.2735274838036352E-2</v>
      </c>
    </row>
    <row r="3416" spans="1:7" x14ac:dyDescent="0.35">
      <c r="A3416" t="s">
        <v>179</v>
      </c>
      <c r="E3416">
        <v>-1.0525497503901554E-2</v>
      </c>
      <c r="F3416">
        <f t="shared" si="112"/>
        <v>-1.4036574278189497E-2</v>
      </c>
      <c r="G3416">
        <f t="shared" si="113"/>
        <v>-2.2735274838036352E-2</v>
      </c>
    </row>
    <row r="3417" spans="1:7" x14ac:dyDescent="0.35">
      <c r="A3417" t="s">
        <v>179</v>
      </c>
      <c r="E3417">
        <v>-3.9908818371563433E-3</v>
      </c>
      <c r="F3417">
        <f t="shared" si="112"/>
        <v>-1.4047043505295027E-2</v>
      </c>
      <c r="G3417">
        <f t="shared" si="113"/>
        <v>-2.2735274838036352E-2</v>
      </c>
    </row>
    <row r="3418" spans="1:7" x14ac:dyDescent="0.35">
      <c r="A3418" t="s">
        <v>179</v>
      </c>
      <c r="E3418">
        <v>7.448341965566989E-3</v>
      </c>
      <c r="F3418">
        <f t="shared" si="112"/>
        <v>-1.4057512732400558E-2</v>
      </c>
      <c r="G3418">
        <f t="shared" si="113"/>
        <v>-2.2735274838036352E-2</v>
      </c>
    </row>
    <row r="3419" spans="1:7" x14ac:dyDescent="0.35">
      <c r="A3419" t="s">
        <v>179</v>
      </c>
      <c r="E3419">
        <v>-1.337863158597514E-2</v>
      </c>
      <c r="F3419">
        <f t="shared" si="112"/>
        <v>-1.4067981959506088E-2</v>
      </c>
      <c r="G3419">
        <f t="shared" si="113"/>
        <v>-2.2735274838036352E-2</v>
      </c>
    </row>
    <row r="3420" spans="1:7" x14ac:dyDescent="0.35">
      <c r="A3420" t="s">
        <v>179</v>
      </c>
      <c r="E3420">
        <v>-9.361001546109699E-4</v>
      </c>
      <c r="F3420">
        <f t="shared" si="112"/>
        <v>-1.4078451186611619E-2</v>
      </c>
      <c r="G3420">
        <f t="shared" si="113"/>
        <v>-2.2735274838036352E-2</v>
      </c>
    </row>
    <row r="3421" spans="1:7" x14ac:dyDescent="0.35">
      <c r="A3421" t="s">
        <v>179</v>
      </c>
      <c r="E3421">
        <v>-9.8053996600572166E-3</v>
      </c>
      <c r="F3421">
        <f t="shared" si="112"/>
        <v>-1.410152439760777E-2</v>
      </c>
      <c r="G3421">
        <f t="shared" si="113"/>
        <v>-2.3190897135479758E-2</v>
      </c>
    </row>
    <row r="3422" spans="1:7" x14ac:dyDescent="0.35">
      <c r="A3422" t="s">
        <v>179</v>
      </c>
      <c r="E3422">
        <v>-9.7595923730986796E-3</v>
      </c>
      <c r="F3422">
        <f t="shared" si="112"/>
        <v>-1.4124597608603922E-2</v>
      </c>
      <c r="G3422">
        <f t="shared" si="113"/>
        <v>-2.3190897135479758E-2</v>
      </c>
    </row>
    <row r="3423" spans="1:7" x14ac:dyDescent="0.35">
      <c r="A3423" t="s">
        <v>179</v>
      </c>
      <c r="E3423">
        <v>-2.5215513345380222E-3</v>
      </c>
      <c r="F3423">
        <f t="shared" si="112"/>
        <v>-1.4147670819600075E-2</v>
      </c>
      <c r="G3423">
        <f t="shared" si="113"/>
        <v>-2.3190897135479758E-2</v>
      </c>
    </row>
    <row r="3424" spans="1:7" x14ac:dyDescent="0.35">
      <c r="A3424" t="s">
        <v>179</v>
      </c>
      <c r="E3424">
        <v>6.9448020598389384E-3</v>
      </c>
      <c r="F3424">
        <f t="shared" si="112"/>
        <v>-1.4170744030596226E-2</v>
      </c>
      <c r="G3424">
        <f t="shared" si="113"/>
        <v>-2.3190897135479758E-2</v>
      </c>
    </row>
    <row r="3425" spans="1:7" x14ac:dyDescent="0.35">
      <c r="A3425" t="s">
        <v>179</v>
      </c>
      <c r="E3425">
        <v>4.1081031839821491E-3</v>
      </c>
      <c r="F3425">
        <f t="shared" si="112"/>
        <v>-1.4193817241592379E-2</v>
      </c>
      <c r="G3425">
        <f t="shared" si="113"/>
        <v>-2.3190897135479758E-2</v>
      </c>
    </row>
    <row r="3426" spans="1:7" x14ac:dyDescent="0.35">
      <c r="A3426" t="s">
        <v>180</v>
      </c>
      <c r="B3426" s="3" cm="1">
        <f t="array" ref="B3426">_xlfn.STDEV.S(_xlfn._xlws.FILTER($E$2826:$E$3824, $A$2826:$A$3824="2023-10"))</f>
        <v>8.5146109158579855E-3</v>
      </c>
      <c r="C3426" s="3" cm="1">
        <f t="array" ref="C3426">AVERAGE(_xlfn._xlws.FILTER($E$2826:$E$3824, $A$2826:$A$3824="2023-10"))</f>
        <v>-1.7350052480083894E-3</v>
      </c>
      <c r="D3426" s="3" cm="1">
        <f t="array" ref="D3426">_xlfn.PERCENTILE.EXC(_xlfn._xlws.FILTER($E$2490:$E$3818, $A$2490:$A$3818="2023-10"), 0.05)</f>
        <v>-1.6392735893303884E-2</v>
      </c>
      <c r="E3426">
        <v>-9.0991654373432807E-3</v>
      </c>
      <c r="F3426">
        <f t="shared" si="112"/>
        <v>-1.4216890452588529E-2</v>
      </c>
      <c r="G3426">
        <f t="shared" si="113"/>
        <v>-2.3190897135479758E-2</v>
      </c>
    </row>
    <row r="3427" spans="1:7" x14ac:dyDescent="0.35">
      <c r="A3427" t="s">
        <v>180</v>
      </c>
      <c r="E3427">
        <v>-1.0681741868390082E-2</v>
      </c>
      <c r="F3427">
        <f t="shared" si="112"/>
        <v>-1.4239963663584682E-2</v>
      </c>
      <c r="G3427">
        <f t="shared" si="113"/>
        <v>-2.3190897135479758E-2</v>
      </c>
    </row>
    <row r="3428" spans="1:7" x14ac:dyDescent="0.35">
      <c r="A3428" t="s">
        <v>180</v>
      </c>
      <c r="E3428">
        <v>9.7465216578350206E-4</v>
      </c>
      <c r="F3428">
        <f t="shared" si="112"/>
        <v>-1.4263036874580833E-2</v>
      </c>
      <c r="G3428">
        <f t="shared" si="113"/>
        <v>-2.3190897135479758E-2</v>
      </c>
    </row>
    <row r="3429" spans="1:7" x14ac:dyDescent="0.35">
      <c r="A3429" t="s">
        <v>180</v>
      </c>
      <c r="E3429">
        <v>-1.9688347216067319E-3</v>
      </c>
      <c r="F3429">
        <f t="shared" si="112"/>
        <v>-1.4286110085576986E-2</v>
      </c>
      <c r="G3429">
        <f t="shared" si="113"/>
        <v>-2.3190897135479758E-2</v>
      </c>
    </row>
    <row r="3430" spans="1:7" x14ac:dyDescent="0.35">
      <c r="A3430" t="s">
        <v>180</v>
      </c>
      <c r="E3430">
        <v>1.0531453948228289E-2</v>
      </c>
      <c r="F3430">
        <f t="shared" si="112"/>
        <v>-1.4309183296573137E-2</v>
      </c>
      <c r="G3430">
        <f t="shared" si="113"/>
        <v>-2.3190897135479758E-2</v>
      </c>
    </row>
    <row r="3431" spans="1:7" x14ac:dyDescent="0.35">
      <c r="A3431" t="s">
        <v>180</v>
      </c>
      <c r="E3431">
        <v>-6.697462405465664E-3</v>
      </c>
      <c r="F3431">
        <f t="shared" si="112"/>
        <v>-1.4332256507569288E-2</v>
      </c>
      <c r="G3431">
        <f t="shared" si="113"/>
        <v>-2.3190897135479758E-2</v>
      </c>
    </row>
    <row r="3432" spans="1:7" x14ac:dyDescent="0.35">
      <c r="A3432" t="s">
        <v>180</v>
      </c>
      <c r="E3432">
        <v>1.9339014437236998E-2</v>
      </c>
      <c r="F3432">
        <f t="shared" si="112"/>
        <v>-1.4355329718565442E-2</v>
      </c>
      <c r="G3432">
        <f t="shared" si="113"/>
        <v>-2.3190897135479758E-2</v>
      </c>
    </row>
    <row r="3433" spans="1:7" x14ac:dyDescent="0.35">
      <c r="A3433" t="s">
        <v>180</v>
      </c>
      <c r="E3433">
        <v>2.3630729376051892E-3</v>
      </c>
      <c r="F3433">
        <f t="shared" si="112"/>
        <v>-1.4378402929561593E-2</v>
      </c>
      <c r="G3433">
        <f t="shared" si="113"/>
        <v>-2.3190897135479758E-2</v>
      </c>
    </row>
    <row r="3434" spans="1:7" x14ac:dyDescent="0.35">
      <c r="A3434" t="s">
        <v>180</v>
      </c>
      <c r="E3434">
        <v>-2.2651753053853007E-3</v>
      </c>
      <c r="F3434">
        <f t="shared" si="112"/>
        <v>-1.4401476140557746E-2</v>
      </c>
      <c r="G3434">
        <f t="shared" si="113"/>
        <v>-2.3190897135479758E-2</v>
      </c>
    </row>
    <row r="3435" spans="1:7" x14ac:dyDescent="0.35">
      <c r="A3435" t="s">
        <v>180</v>
      </c>
      <c r="E3435">
        <v>-1.5574103754999225E-2</v>
      </c>
      <c r="F3435">
        <f t="shared" si="112"/>
        <v>-1.4424549351553897E-2</v>
      </c>
      <c r="G3435">
        <f t="shared" si="113"/>
        <v>-2.3190897135479758E-2</v>
      </c>
    </row>
    <row r="3436" spans="1:7" x14ac:dyDescent="0.35">
      <c r="A3436" t="s">
        <v>180</v>
      </c>
      <c r="E3436">
        <v>3.37424086728843E-3</v>
      </c>
      <c r="F3436">
        <f t="shared" si="112"/>
        <v>-1.4036574278189497E-2</v>
      </c>
      <c r="G3436">
        <f t="shared" si="113"/>
        <v>-2.311217857924883E-2</v>
      </c>
    </row>
    <row r="3437" spans="1:7" x14ac:dyDescent="0.35">
      <c r="A3437" t="s">
        <v>180</v>
      </c>
      <c r="E3437">
        <v>8.9866478900470876E-4</v>
      </c>
      <c r="F3437">
        <f t="shared" si="112"/>
        <v>-1.4047043505295027E-2</v>
      </c>
      <c r="G3437">
        <f t="shared" si="113"/>
        <v>-2.311217857924883E-2</v>
      </c>
    </row>
    <row r="3438" spans="1:7" x14ac:dyDescent="0.35">
      <c r="A3438" t="s">
        <v>180</v>
      </c>
      <c r="E3438">
        <v>-1.0332715683629702E-2</v>
      </c>
      <c r="F3438">
        <f t="shared" si="112"/>
        <v>-1.4057512732400558E-2</v>
      </c>
      <c r="G3438">
        <f t="shared" si="113"/>
        <v>-2.311217857924883E-2</v>
      </c>
    </row>
    <row r="3439" spans="1:7" x14ac:dyDescent="0.35">
      <c r="A3439" t="s">
        <v>180</v>
      </c>
      <c r="E3439">
        <v>-3.2966034657989575E-3</v>
      </c>
      <c r="F3439">
        <f t="shared" si="112"/>
        <v>-1.4067981959506088E-2</v>
      </c>
      <c r="G3439">
        <f t="shared" si="113"/>
        <v>-2.311217857924883E-2</v>
      </c>
    </row>
    <row r="3440" spans="1:7" x14ac:dyDescent="0.35">
      <c r="A3440" t="s">
        <v>180</v>
      </c>
      <c r="E3440">
        <v>-1.6537200388298826E-2</v>
      </c>
      <c r="F3440">
        <f t="shared" si="112"/>
        <v>-1.4078451186611619E-2</v>
      </c>
      <c r="G3440">
        <f t="shared" si="113"/>
        <v>-2.311217857924883E-2</v>
      </c>
    </row>
    <row r="3441" spans="1:7" x14ac:dyDescent="0.35">
      <c r="A3441" t="s">
        <v>180</v>
      </c>
      <c r="E3441">
        <v>1.520311876328114E-4</v>
      </c>
      <c r="F3441">
        <f t="shared" si="112"/>
        <v>-1.3879535871606542E-2</v>
      </c>
      <c r="G3441">
        <f t="shared" si="113"/>
        <v>-2.3477455145412718E-2</v>
      </c>
    </row>
    <row r="3442" spans="1:7" x14ac:dyDescent="0.35">
      <c r="A3442" t="s">
        <v>180</v>
      </c>
      <c r="E3442">
        <v>5.338168903340954E-3</v>
      </c>
      <c r="F3442">
        <f t="shared" si="112"/>
        <v>-1.3890005098712072E-2</v>
      </c>
      <c r="G3442">
        <f t="shared" si="113"/>
        <v>-2.3477455145412718E-2</v>
      </c>
    </row>
    <row r="3443" spans="1:7" x14ac:dyDescent="0.35">
      <c r="A3443" t="s">
        <v>180</v>
      </c>
      <c r="E3443">
        <v>8.2224582526275124E-4</v>
      </c>
      <c r="F3443">
        <f t="shared" si="112"/>
        <v>-1.3900474325817602E-2</v>
      </c>
      <c r="G3443">
        <f t="shared" si="113"/>
        <v>-2.3477455145412718E-2</v>
      </c>
    </row>
    <row r="3444" spans="1:7" x14ac:dyDescent="0.35">
      <c r="A3444" t="s">
        <v>180</v>
      </c>
      <c r="E3444">
        <v>-1.087873193427165E-2</v>
      </c>
      <c r="F3444">
        <f t="shared" si="112"/>
        <v>-1.3910943552923133E-2</v>
      </c>
      <c r="G3444">
        <f t="shared" si="113"/>
        <v>-2.3477455145412718E-2</v>
      </c>
    </row>
    <row r="3445" spans="1:7" x14ac:dyDescent="0.35">
      <c r="A3445" t="s">
        <v>180</v>
      </c>
      <c r="E3445">
        <v>-2.966846803713711E-3</v>
      </c>
      <c r="F3445">
        <f t="shared" si="112"/>
        <v>-1.3921412780028663E-2</v>
      </c>
      <c r="G3445">
        <f t="shared" si="113"/>
        <v>-2.3477455145412718E-2</v>
      </c>
    </row>
    <row r="3446" spans="1:7" x14ac:dyDescent="0.35">
      <c r="A3446" t="s">
        <v>180</v>
      </c>
      <c r="E3446">
        <v>1.9813670972722319E-3</v>
      </c>
      <c r="F3446">
        <f t="shared" si="112"/>
        <v>-1.3931882007134194E-2</v>
      </c>
      <c r="G3446">
        <f t="shared" si="113"/>
        <v>-2.3477455145412718E-2</v>
      </c>
    </row>
    <row r="3447" spans="1:7" x14ac:dyDescent="0.35">
      <c r="A3447" t="s">
        <v>180</v>
      </c>
      <c r="E3447">
        <v>6.3535541540626966E-3</v>
      </c>
      <c r="F3447">
        <f t="shared" si="112"/>
        <v>-1.3942351234239724E-2</v>
      </c>
      <c r="G3447">
        <f t="shared" si="113"/>
        <v>-2.3477455145412718E-2</v>
      </c>
    </row>
    <row r="3448" spans="1:7" x14ac:dyDescent="0.35">
      <c r="A3448" t="s">
        <v>181</v>
      </c>
      <c r="B3448" s="3" cm="1">
        <f t="array" ref="B3448">_xlfn.STDEV.S(_xlfn._xlws.FILTER($E$2826:$E$3824, $A$2826:$A$3824="2023-11"))</f>
        <v>5.9524589295631312E-3</v>
      </c>
      <c r="C3448" s="3" cm="1">
        <f t="array" ref="C3448">AVERAGE(_xlfn._xlws.FILTER($E$2826:$E$3824, $A$2826:$A$3824="2023-11"))</f>
        <v>4.1198942084486254E-3</v>
      </c>
      <c r="D3448" s="3" cm="1">
        <f t="array" ref="D3448">_xlfn.PERCENTILE.EXC(_xlfn._xlws.FILTER($E$2490:$E$3818, $A$2490:$A$3818="2023-11"), 0.05)</f>
        <v>-7.1585536785449206E-3</v>
      </c>
      <c r="E3448">
        <v>7.5961541850605337E-3</v>
      </c>
      <c r="F3448">
        <f t="shared" si="112"/>
        <v>-1.3952820461345253E-2</v>
      </c>
      <c r="G3448">
        <f t="shared" si="113"/>
        <v>-2.3477455145412718E-2</v>
      </c>
    </row>
    <row r="3449" spans="1:7" x14ac:dyDescent="0.35">
      <c r="A3449" t="s">
        <v>181</v>
      </c>
      <c r="E3449">
        <v>1.465626079486732E-2</v>
      </c>
      <c r="F3449">
        <f t="shared" si="112"/>
        <v>-1.3963289688450784E-2</v>
      </c>
      <c r="G3449">
        <f t="shared" si="113"/>
        <v>-2.3477455145412718E-2</v>
      </c>
    </row>
    <row r="3450" spans="1:7" x14ac:dyDescent="0.35">
      <c r="A3450" t="s">
        <v>181</v>
      </c>
      <c r="E3450">
        <v>3.0099403428796431E-3</v>
      </c>
      <c r="F3450">
        <f t="shared" si="112"/>
        <v>-1.3973758915556314E-2</v>
      </c>
      <c r="G3450">
        <f t="shared" si="113"/>
        <v>-2.3477455145412718E-2</v>
      </c>
    </row>
    <row r="3451" spans="1:7" x14ac:dyDescent="0.35">
      <c r="A3451" t="s">
        <v>181</v>
      </c>
      <c r="E3451">
        <v>-3.5139105222114376E-3</v>
      </c>
      <c r="F3451">
        <f t="shared" si="112"/>
        <v>-1.3984228142661845E-2</v>
      </c>
      <c r="G3451">
        <f t="shared" si="113"/>
        <v>-2.3477455145412718E-2</v>
      </c>
    </row>
    <row r="3452" spans="1:7" x14ac:dyDescent="0.35">
      <c r="A3452" t="s">
        <v>181</v>
      </c>
      <c r="E3452">
        <v>1.1007439220991017E-3</v>
      </c>
      <c r="F3452">
        <f t="shared" si="112"/>
        <v>-1.3994697369767375E-2</v>
      </c>
      <c r="G3452">
        <f t="shared" si="113"/>
        <v>-2.3477455145412718E-2</v>
      </c>
    </row>
    <row r="3453" spans="1:7" x14ac:dyDescent="0.35">
      <c r="A3453" t="s">
        <v>181</v>
      </c>
      <c r="E3453">
        <v>5.0661284093829412E-3</v>
      </c>
      <c r="F3453">
        <f t="shared" si="112"/>
        <v>-1.4005166596872906E-2</v>
      </c>
      <c r="G3453">
        <f t="shared" si="113"/>
        <v>-2.3477455145412718E-2</v>
      </c>
    </row>
    <row r="3454" spans="1:7" x14ac:dyDescent="0.35">
      <c r="A3454" t="s">
        <v>181</v>
      </c>
      <c r="E3454">
        <v>8.0400300474347576E-3</v>
      </c>
      <c r="F3454">
        <f t="shared" si="112"/>
        <v>-1.4015635823978436E-2</v>
      </c>
      <c r="G3454">
        <f t="shared" si="113"/>
        <v>-2.3477455145412718E-2</v>
      </c>
    </row>
    <row r="3455" spans="1:7" x14ac:dyDescent="0.35">
      <c r="A3455" t="s">
        <v>181</v>
      </c>
      <c r="E3455">
        <v>-7.7255604038015801E-3</v>
      </c>
      <c r="F3455">
        <f t="shared" si="112"/>
        <v>-1.4026105051083967E-2</v>
      </c>
      <c r="G3455">
        <f t="shared" si="113"/>
        <v>-2.3477455145412718E-2</v>
      </c>
    </row>
    <row r="3456" spans="1:7" x14ac:dyDescent="0.35">
      <c r="A3456" t="s">
        <v>181</v>
      </c>
      <c r="E3456">
        <v>7.2343158186243383E-3</v>
      </c>
      <c r="F3456">
        <f t="shared" si="112"/>
        <v>-1.4036574278189497E-2</v>
      </c>
      <c r="G3456">
        <f t="shared" si="113"/>
        <v>-2.3477455145412718E-2</v>
      </c>
    </row>
    <row r="3457" spans="1:7" x14ac:dyDescent="0.35">
      <c r="A3457" t="s">
        <v>181</v>
      </c>
      <c r="E3457">
        <v>1.7405798634926792E-2</v>
      </c>
      <c r="F3457">
        <f t="shared" si="112"/>
        <v>-1.4047043505295027E-2</v>
      </c>
      <c r="G3457">
        <f t="shared" si="113"/>
        <v>-2.3477455145412718E-2</v>
      </c>
    </row>
    <row r="3458" spans="1:7" x14ac:dyDescent="0.35">
      <c r="A3458" t="s">
        <v>181</v>
      </c>
      <c r="E3458">
        <v>8.5286813381889991E-3</v>
      </c>
      <c r="F3458">
        <f t="shared" si="112"/>
        <v>-1.4057512732400558E-2</v>
      </c>
      <c r="G3458">
        <f t="shared" si="113"/>
        <v>-2.3477455145412718E-2</v>
      </c>
    </row>
    <row r="3459" spans="1:7" x14ac:dyDescent="0.35">
      <c r="A3459" t="s">
        <v>181</v>
      </c>
      <c r="E3459">
        <v>2.4379443293558157E-3</v>
      </c>
      <c r="F3459">
        <f t="shared" si="112"/>
        <v>-1.4067981959506088E-2</v>
      </c>
      <c r="G3459">
        <f t="shared" si="113"/>
        <v>-2.3477455145412718E-2</v>
      </c>
    </row>
    <row r="3460" spans="1:7" x14ac:dyDescent="0.35">
      <c r="A3460" t="s">
        <v>181</v>
      </c>
      <c r="E3460">
        <v>8.3613028309109071E-3</v>
      </c>
      <c r="F3460">
        <f t="shared" ref="F3460:F3523" si="114">_xlfn.PERCENTILE.EXC(E3460:E7275,0.05)</f>
        <v>-1.4078451186611619E-2</v>
      </c>
      <c r="G3460">
        <f t="shared" ref="G3460:G3523" si="115">AVERAGEIFS(E3460:E7276,E3460:E7276,"&lt;=" &amp; F3460)</f>
        <v>-2.3477455145412718E-2</v>
      </c>
    </row>
    <row r="3461" spans="1:7" x14ac:dyDescent="0.35">
      <c r="A3461" t="s">
        <v>181</v>
      </c>
      <c r="E3461">
        <v>-1.1206616784362766E-3</v>
      </c>
      <c r="F3461">
        <f t="shared" si="114"/>
        <v>-1.4101524397607772E-2</v>
      </c>
      <c r="G3461">
        <f t="shared" si="115"/>
        <v>-2.4030337731224552E-2</v>
      </c>
    </row>
    <row r="3462" spans="1:7" x14ac:dyDescent="0.35">
      <c r="A3462" t="s">
        <v>181</v>
      </c>
      <c r="E3462">
        <v>-5.0311522669908852E-5</v>
      </c>
      <c r="F3462">
        <f t="shared" si="114"/>
        <v>-1.4124597608603922E-2</v>
      </c>
      <c r="G3462">
        <f t="shared" si="115"/>
        <v>-2.4030337731224552E-2</v>
      </c>
    </row>
    <row r="3463" spans="1:7" x14ac:dyDescent="0.35">
      <c r="A3463" t="s">
        <v>181</v>
      </c>
      <c r="E3463">
        <v>3.5965492095242474E-3</v>
      </c>
      <c r="F3463">
        <f t="shared" si="114"/>
        <v>-1.4147670819600075E-2</v>
      </c>
      <c r="G3463">
        <f t="shared" si="115"/>
        <v>-2.4030337731224552E-2</v>
      </c>
    </row>
    <row r="3464" spans="1:7" x14ac:dyDescent="0.35">
      <c r="A3464" t="s">
        <v>181</v>
      </c>
      <c r="E3464">
        <v>2.3103017704216014E-3</v>
      </c>
      <c r="F3464">
        <f t="shared" si="114"/>
        <v>-1.4170744030596226E-2</v>
      </c>
      <c r="G3464">
        <f t="shared" si="115"/>
        <v>-2.4030337731224552E-2</v>
      </c>
    </row>
    <row r="3465" spans="1:7" x14ac:dyDescent="0.35">
      <c r="A3465" t="s">
        <v>181</v>
      </c>
      <c r="E3465">
        <v>2.1708577851949243E-3</v>
      </c>
      <c r="F3465">
        <f t="shared" si="114"/>
        <v>-1.4193817241592379E-2</v>
      </c>
      <c r="G3465">
        <f t="shared" si="115"/>
        <v>-2.4030337731224552E-2</v>
      </c>
    </row>
    <row r="3466" spans="1:7" x14ac:dyDescent="0.35">
      <c r="A3466" t="s">
        <v>181</v>
      </c>
      <c r="E3466">
        <v>-3.945515568757189E-3</v>
      </c>
      <c r="F3466">
        <f t="shared" si="114"/>
        <v>-1.421689045258853E-2</v>
      </c>
      <c r="G3466">
        <f t="shared" si="115"/>
        <v>-2.4030337731224552E-2</v>
      </c>
    </row>
    <row r="3467" spans="1:7" x14ac:dyDescent="0.35">
      <c r="A3467" t="s">
        <v>181</v>
      </c>
      <c r="E3467">
        <v>1.6458570681025851E-3</v>
      </c>
      <c r="F3467">
        <f t="shared" si="114"/>
        <v>-1.4239963663584682E-2</v>
      </c>
      <c r="G3467">
        <f t="shared" si="115"/>
        <v>-2.4030337731224552E-2</v>
      </c>
    </row>
    <row r="3468" spans="1:7" x14ac:dyDescent="0.35">
      <c r="A3468" t="s">
        <v>181</v>
      </c>
      <c r="E3468">
        <v>1.0807614855201547E-2</v>
      </c>
      <c r="F3468">
        <f t="shared" si="114"/>
        <v>-1.4263036874580833E-2</v>
      </c>
      <c r="G3468">
        <f t="shared" si="115"/>
        <v>-2.4030337731224552E-2</v>
      </c>
    </row>
    <row r="3469" spans="1:7" x14ac:dyDescent="0.35">
      <c r="A3469" t="s">
        <v>181</v>
      </c>
      <c r="E3469">
        <v>3.0251509395700887E-3</v>
      </c>
      <c r="F3469">
        <f t="shared" si="114"/>
        <v>-1.4286110085576986E-2</v>
      </c>
      <c r="G3469">
        <f t="shared" si="115"/>
        <v>-2.4030337731224552E-2</v>
      </c>
    </row>
    <row r="3470" spans="1:7" x14ac:dyDescent="0.35">
      <c r="A3470" t="s">
        <v>182</v>
      </c>
      <c r="B3470" s="3" cm="1">
        <f t="array" ref="B3470">_xlfn.STDEV.S(_xlfn._xlws.FILTER($E$2826:$E$3824, $A$2826:$A$3824="2023-12"))</f>
        <v>4.4278727413029568E-3</v>
      </c>
      <c r="C3470" s="3" cm="1">
        <f t="array" ref="C3470">AVERAGE(_xlfn._xlws.FILTER($E$2826:$E$3824, $A$2826:$A$3824="2023-12"))</f>
        <v>1.7122582032993647E-3</v>
      </c>
      <c r="D3470" s="3" cm="1">
        <f t="array" ref="D3470">_xlfn.PERCENTILE.EXC(_xlfn._xlws.FILTER($E$2490:$E$3818, $A$2490:$A$3818="2023-12"), 0.05)</f>
        <v>-6.0409758112003643E-3</v>
      </c>
      <c r="E3470">
        <v>1.1166845819900661E-2</v>
      </c>
      <c r="F3470">
        <f t="shared" si="114"/>
        <v>-1.4309183296573137E-2</v>
      </c>
      <c r="G3470">
        <f t="shared" si="115"/>
        <v>-2.4030337731224552E-2</v>
      </c>
    </row>
    <row r="3471" spans="1:7" x14ac:dyDescent="0.35">
      <c r="A3471" t="s">
        <v>182</v>
      </c>
      <c r="E3471">
        <v>4.4143273684420155E-4</v>
      </c>
      <c r="F3471">
        <f t="shared" si="114"/>
        <v>-1.433225650756929E-2</v>
      </c>
      <c r="G3471">
        <f t="shared" si="115"/>
        <v>-2.4030337731224552E-2</v>
      </c>
    </row>
    <row r="3472" spans="1:7" x14ac:dyDescent="0.35">
      <c r="A3472" t="s">
        <v>182</v>
      </c>
      <c r="E3472">
        <v>7.7935002870427022E-3</v>
      </c>
      <c r="F3472">
        <f t="shared" si="114"/>
        <v>-1.4355329718565442E-2</v>
      </c>
      <c r="G3472">
        <f t="shared" si="115"/>
        <v>-2.4030337731224552E-2</v>
      </c>
    </row>
    <row r="3473" spans="1:7" x14ac:dyDescent="0.35">
      <c r="A3473" t="s">
        <v>182</v>
      </c>
      <c r="E3473">
        <v>7.4318915234917807E-3</v>
      </c>
      <c r="F3473">
        <f t="shared" si="114"/>
        <v>-1.4378402929561593E-2</v>
      </c>
      <c r="G3473">
        <f t="shared" si="115"/>
        <v>-2.4030337731224552E-2</v>
      </c>
    </row>
    <row r="3474" spans="1:7" x14ac:dyDescent="0.35">
      <c r="A3474" t="s">
        <v>182</v>
      </c>
      <c r="E3474">
        <v>-1.6493706839879657E-3</v>
      </c>
      <c r="F3474">
        <f t="shared" si="114"/>
        <v>-1.4401476140557746E-2</v>
      </c>
      <c r="G3474">
        <f t="shared" si="115"/>
        <v>-2.4030337731224552E-2</v>
      </c>
    </row>
    <row r="3475" spans="1:7" x14ac:dyDescent="0.35">
      <c r="A3475" t="s">
        <v>182</v>
      </c>
      <c r="E3475">
        <v>7.8009968449463812E-3</v>
      </c>
      <c r="F3475">
        <f t="shared" si="114"/>
        <v>-1.4424549351553897E-2</v>
      </c>
      <c r="G3475">
        <f t="shared" si="115"/>
        <v>-2.4030337731224552E-2</v>
      </c>
    </row>
    <row r="3476" spans="1:7" x14ac:dyDescent="0.35">
      <c r="A3476" t="s">
        <v>182</v>
      </c>
      <c r="E3476">
        <v>2.0987292246308679E-3</v>
      </c>
      <c r="F3476">
        <f t="shared" si="114"/>
        <v>-1.444762256255005E-2</v>
      </c>
      <c r="G3476">
        <f t="shared" si="115"/>
        <v>-2.4030337731224552E-2</v>
      </c>
    </row>
    <row r="3477" spans="1:7" x14ac:dyDescent="0.35">
      <c r="A3477" t="s">
        <v>182</v>
      </c>
      <c r="E3477">
        <v>-1.6018498124377315E-4</v>
      </c>
      <c r="F3477">
        <f t="shared" si="114"/>
        <v>-1.44706957735462E-2</v>
      </c>
      <c r="G3477">
        <f t="shared" si="115"/>
        <v>-2.4030337731224552E-2</v>
      </c>
    </row>
    <row r="3478" spans="1:7" x14ac:dyDescent="0.35">
      <c r="A3478" t="s">
        <v>182</v>
      </c>
      <c r="E3478">
        <v>-1.5310903977064378E-3</v>
      </c>
      <c r="F3478">
        <f t="shared" si="114"/>
        <v>-1.4493768984542353E-2</v>
      </c>
      <c r="G3478">
        <f t="shared" si="115"/>
        <v>-2.4030337731224552E-2</v>
      </c>
    </row>
    <row r="3479" spans="1:7" x14ac:dyDescent="0.35">
      <c r="A3479" t="s">
        <v>182</v>
      </c>
      <c r="E3479">
        <v>-8.2462469930679849E-4</v>
      </c>
      <c r="F3479">
        <f t="shared" si="114"/>
        <v>-1.4516842195538504E-2</v>
      </c>
      <c r="G3479">
        <f t="shared" si="115"/>
        <v>-2.4030337731224552E-2</v>
      </c>
    </row>
    <row r="3480" spans="1:7" x14ac:dyDescent="0.35">
      <c r="A3480" t="s">
        <v>182</v>
      </c>
      <c r="E3480">
        <v>-4.7159012737796163E-5</v>
      </c>
      <c r="F3480">
        <f t="shared" si="114"/>
        <v>-1.4539915406534657E-2</v>
      </c>
      <c r="G3480">
        <f t="shared" si="115"/>
        <v>-2.4030337731224552E-2</v>
      </c>
    </row>
    <row r="3481" spans="1:7" x14ac:dyDescent="0.35">
      <c r="A3481" t="s">
        <v>182</v>
      </c>
      <c r="E3481">
        <v>-6.0409758112003643E-3</v>
      </c>
      <c r="F3481">
        <f t="shared" si="114"/>
        <v>-1.4540313187320374E-2</v>
      </c>
      <c r="G3481">
        <f t="shared" si="115"/>
        <v>-2.462348912651767E-2</v>
      </c>
    </row>
    <row r="3482" spans="1:7" x14ac:dyDescent="0.35">
      <c r="A3482" t="s">
        <v>182</v>
      </c>
      <c r="E3482">
        <v>5.6212223131869542E-3</v>
      </c>
      <c r="F3482">
        <f t="shared" si="114"/>
        <v>-1.454071096810609E-2</v>
      </c>
      <c r="G3482">
        <f t="shared" si="115"/>
        <v>-2.462348912651767E-2</v>
      </c>
    </row>
    <row r="3483" spans="1:7" x14ac:dyDescent="0.35">
      <c r="A3483" t="s">
        <v>182</v>
      </c>
      <c r="E3483">
        <v>-6.7866561178910024E-4</v>
      </c>
      <c r="F3483">
        <f t="shared" si="114"/>
        <v>-1.4541108748891807E-2</v>
      </c>
      <c r="G3483">
        <f t="shared" si="115"/>
        <v>-2.462348912651767E-2</v>
      </c>
    </row>
    <row r="3484" spans="1:7" x14ac:dyDescent="0.35">
      <c r="A3484" t="s">
        <v>182</v>
      </c>
      <c r="E3484">
        <v>-2.7306634738186288E-3</v>
      </c>
      <c r="F3484">
        <f t="shared" si="114"/>
        <v>-1.4541506529677523E-2</v>
      </c>
      <c r="G3484">
        <f t="shared" si="115"/>
        <v>-2.462348912651767E-2</v>
      </c>
    </row>
    <row r="3485" spans="1:7" x14ac:dyDescent="0.35">
      <c r="A3485" t="s">
        <v>182</v>
      </c>
      <c r="E3485">
        <v>1.1235687061930753E-3</v>
      </c>
      <c r="F3485">
        <f t="shared" si="114"/>
        <v>-1.454190431046324E-2</v>
      </c>
      <c r="G3485">
        <f t="shared" si="115"/>
        <v>-2.462348912651767E-2</v>
      </c>
    </row>
    <row r="3486" spans="1:7" x14ac:dyDescent="0.35">
      <c r="A3486" t="s">
        <v>182</v>
      </c>
      <c r="E3486">
        <v>2.1460024828659791E-3</v>
      </c>
      <c r="F3486">
        <f t="shared" si="114"/>
        <v>-1.4542302091248956E-2</v>
      </c>
      <c r="G3486">
        <f t="shared" si="115"/>
        <v>-2.462348912651767E-2</v>
      </c>
    </row>
    <row r="3487" spans="1:7" x14ac:dyDescent="0.35">
      <c r="A3487" t="s">
        <v>182</v>
      </c>
      <c r="E3487">
        <v>-2.4231838435658437E-3</v>
      </c>
      <c r="F3487">
        <f t="shared" si="114"/>
        <v>-1.4542699872034673E-2</v>
      </c>
      <c r="G3487">
        <f t="shared" si="115"/>
        <v>-2.462348912651767E-2</v>
      </c>
    </row>
    <row r="3488" spans="1:7" x14ac:dyDescent="0.35">
      <c r="A3488" t="s">
        <v>182</v>
      </c>
      <c r="E3488">
        <v>2.9946344389420233E-3</v>
      </c>
      <c r="F3488">
        <f t="shared" si="114"/>
        <v>-1.4543097652820389E-2</v>
      </c>
      <c r="G3488">
        <f t="shared" si="115"/>
        <v>-2.462348912651767E-2</v>
      </c>
    </row>
    <row r="3489" spans="1:7" x14ac:dyDescent="0.35">
      <c r="A3489" t="s">
        <v>183</v>
      </c>
      <c r="B3489" s="3" cm="1">
        <f t="array" ref="B3489">_xlfn.STDEV.S(_xlfn._xlws.FILTER($E$2826:$E$3824, $A$2826:$A$3824="2024-01"))</f>
        <v>6.7533155574008887E-3</v>
      </c>
      <c r="C3489" s="3" cm="1">
        <f t="array" ref="C3489">AVERAGE(_xlfn._xlws.FILTER($E$2826:$E$3824, $A$2826:$A$3824="2024-01"))</f>
        <v>4.1090538472924758E-4</v>
      </c>
      <c r="D3489" s="3" cm="1">
        <f t="array" ref="D3489">_xlfn.PERCENTILE.EXC(_xlfn._xlws.FILTER($E$2490:$E$3818, $A$2490:$A$3818="2024-01"), 0.05)</f>
        <v>-1.307746525099132E-2</v>
      </c>
      <c r="E3489">
        <v>1.0572477939548312E-3</v>
      </c>
      <c r="F3489">
        <f t="shared" si="114"/>
        <v>-1.4543495433606106E-2</v>
      </c>
      <c r="G3489">
        <f t="shared" si="115"/>
        <v>-2.462348912651767E-2</v>
      </c>
    </row>
    <row r="3490" spans="1:7" x14ac:dyDescent="0.35">
      <c r="A3490" t="s">
        <v>183</v>
      </c>
      <c r="E3490">
        <v>-1.3869066644501011E-2</v>
      </c>
      <c r="F3490">
        <f t="shared" si="114"/>
        <v>-1.4543893214391822E-2</v>
      </c>
      <c r="G3490">
        <f t="shared" si="115"/>
        <v>-2.462348912651767E-2</v>
      </c>
    </row>
    <row r="3491" spans="1:7" x14ac:dyDescent="0.35">
      <c r="A3491" t="s">
        <v>183</v>
      </c>
      <c r="E3491">
        <v>4.7593744983974928E-3</v>
      </c>
      <c r="F3491">
        <f t="shared" si="114"/>
        <v>-1.4544290995177541E-2</v>
      </c>
      <c r="G3491">
        <f t="shared" si="115"/>
        <v>-2.462348912651767E-2</v>
      </c>
    </row>
    <row r="3492" spans="1:7" x14ac:dyDescent="0.35">
      <c r="A3492" t="s">
        <v>183</v>
      </c>
      <c r="E3492">
        <v>-1.3898802351856676E-3</v>
      </c>
      <c r="F3492">
        <f t="shared" si="114"/>
        <v>-1.4544688775963257E-2</v>
      </c>
      <c r="G3492">
        <f t="shared" si="115"/>
        <v>-2.462348912651767E-2</v>
      </c>
    </row>
    <row r="3493" spans="1:7" x14ac:dyDescent="0.35">
      <c r="A3493" t="s">
        <v>183</v>
      </c>
      <c r="E3493">
        <v>7.3406216261606792E-3</v>
      </c>
      <c r="F3493">
        <f t="shared" si="114"/>
        <v>-1.4545086556748974E-2</v>
      </c>
      <c r="G3493">
        <f t="shared" si="115"/>
        <v>-2.462348912651767E-2</v>
      </c>
    </row>
    <row r="3494" spans="1:7" x14ac:dyDescent="0.35">
      <c r="A3494" t="s">
        <v>183</v>
      </c>
      <c r="E3494">
        <v>-1.6829905516676574E-3</v>
      </c>
      <c r="F3494">
        <f t="shared" si="114"/>
        <v>-1.454548433753469E-2</v>
      </c>
      <c r="G3494">
        <f t="shared" si="115"/>
        <v>-2.462348912651767E-2</v>
      </c>
    </row>
    <row r="3495" spans="1:7" x14ac:dyDescent="0.35">
      <c r="A3495" t="s">
        <v>183</v>
      </c>
      <c r="E3495">
        <v>8.6883133551868283E-5</v>
      </c>
      <c r="F3495">
        <f t="shared" si="114"/>
        <v>-1.4545882118320407E-2</v>
      </c>
      <c r="G3495">
        <f t="shared" si="115"/>
        <v>-2.462348912651767E-2</v>
      </c>
    </row>
    <row r="3496" spans="1:7" x14ac:dyDescent="0.35">
      <c r="A3496" t="s">
        <v>183</v>
      </c>
      <c r="E3496">
        <v>-8.5917240211030761E-3</v>
      </c>
      <c r="F3496">
        <f t="shared" si="114"/>
        <v>-1.4546279899106123E-2</v>
      </c>
      <c r="G3496">
        <f t="shared" si="115"/>
        <v>-2.462348912651767E-2</v>
      </c>
    </row>
    <row r="3497" spans="1:7" x14ac:dyDescent="0.35">
      <c r="A3497" t="s">
        <v>183</v>
      </c>
      <c r="E3497">
        <v>9.4751065169668049E-3</v>
      </c>
      <c r="F3497">
        <f t="shared" si="114"/>
        <v>-1.454667767989184E-2</v>
      </c>
      <c r="G3497">
        <f t="shared" si="115"/>
        <v>-2.462348912651767E-2</v>
      </c>
    </row>
    <row r="3498" spans="1:7" x14ac:dyDescent="0.35">
      <c r="A3498" t="s">
        <v>183</v>
      </c>
      <c r="E3498">
        <v>-4.9413815281867486E-3</v>
      </c>
      <c r="F3498">
        <f t="shared" si="114"/>
        <v>-1.4547075460677556E-2</v>
      </c>
      <c r="G3498">
        <f t="shared" si="115"/>
        <v>-2.462348912651767E-2</v>
      </c>
    </row>
    <row r="3499" spans="1:7" x14ac:dyDescent="0.35">
      <c r="A3499" t="s">
        <v>183</v>
      </c>
      <c r="E3499">
        <v>-3.0451401645644905E-3</v>
      </c>
      <c r="F3499">
        <f t="shared" si="114"/>
        <v>-1.4547473241463273E-2</v>
      </c>
      <c r="G3499">
        <f t="shared" si="115"/>
        <v>-2.462348912651767E-2</v>
      </c>
    </row>
    <row r="3500" spans="1:7" x14ac:dyDescent="0.35">
      <c r="A3500" t="s">
        <v>183</v>
      </c>
      <c r="E3500">
        <v>-8.4834269695432604E-3</v>
      </c>
      <c r="F3500">
        <f t="shared" si="114"/>
        <v>-1.454787102224899E-2</v>
      </c>
      <c r="G3500">
        <f t="shared" si="115"/>
        <v>-2.462348912651767E-2</v>
      </c>
    </row>
    <row r="3501" spans="1:7" x14ac:dyDescent="0.35">
      <c r="A3501" t="s">
        <v>183</v>
      </c>
      <c r="E3501">
        <v>8.2221036885274136E-3</v>
      </c>
      <c r="F3501">
        <f t="shared" si="114"/>
        <v>-1.4565100543641475E-2</v>
      </c>
      <c r="G3501">
        <f t="shared" si="115"/>
        <v>-2.5295197000135581E-2</v>
      </c>
    </row>
    <row r="3502" spans="1:7" x14ac:dyDescent="0.35">
      <c r="A3502" t="s">
        <v>183</v>
      </c>
      <c r="E3502">
        <v>-7.3786748784674132E-4</v>
      </c>
      <c r="F3502">
        <f t="shared" si="114"/>
        <v>-1.458233006503396E-2</v>
      </c>
      <c r="G3502">
        <f t="shared" si="115"/>
        <v>-2.5295197000135581E-2</v>
      </c>
    </row>
    <row r="3503" spans="1:7" x14ac:dyDescent="0.35">
      <c r="A3503" t="s">
        <v>183</v>
      </c>
      <c r="E3503">
        <v>7.7157919125590401E-3</v>
      </c>
      <c r="F3503">
        <f t="shared" si="114"/>
        <v>-1.4599559586426445E-2</v>
      </c>
      <c r="G3503">
        <f t="shared" si="115"/>
        <v>-2.5295197000135581E-2</v>
      </c>
    </row>
    <row r="3504" spans="1:7" x14ac:dyDescent="0.35">
      <c r="A3504" t="s">
        <v>183</v>
      </c>
      <c r="E3504">
        <v>-3.3785225671874091E-3</v>
      </c>
      <c r="F3504">
        <f t="shared" si="114"/>
        <v>-1.4616789107818931E-2</v>
      </c>
      <c r="G3504">
        <f t="shared" si="115"/>
        <v>-2.5295197000135581E-2</v>
      </c>
    </row>
    <row r="3505" spans="1:7" x14ac:dyDescent="0.35">
      <c r="A3505" t="s">
        <v>183</v>
      </c>
      <c r="E3505">
        <v>1.5683701351746317E-2</v>
      </c>
      <c r="F3505">
        <f t="shared" si="114"/>
        <v>-1.4634018629211416E-2</v>
      </c>
      <c r="G3505">
        <f t="shared" si="115"/>
        <v>-2.5295197000135581E-2</v>
      </c>
    </row>
    <row r="3506" spans="1:7" x14ac:dyDescent="0.35">
      <c r="A3506" t="s">
        <v>183</v>
      </c>
      <c r="E3506">
        <v>1.0060112977278806E-3</v>
      </c>
      <c r="F3506">
        <f t="shared" si="114"/>
        <v>-1.46512481506039E-2</v>
      </c>
      <c r="G3506">
        <f t="shared" si="115"/>
        <v>-2.5295197000135581E-2</v>
      </c>
    </row>
    <row r="3507" spans="1:7" x14ac:dyDescent="0.35">
      <c r="A3507" t="s">
        <v>183</v>
      </c>
      <c r="E3507">
        <v>3.2165789768628631E-3</v>
      </c>
      <c r="F3507">
        <f t="shared" si="114"/>
        <v>-1.4668477671996387E-2</v>
      </c>
      <c r="G3507">
        <f t="shared" si="115"/>
        <v>-2.5295197000135581E-2</v>
      </c>
    </row>
    <row r="3508" spans="1:7" x14ac:dyDescent="0.35">
      <c r="A3508" t="s">
        <v>183</v>
      </c>
      <c r="E3508">
        <v>-1.1609559132010571E-3</v>
      </c>
      <c r="F3508">
        <f t="shared" si="114"/>
        <v>-1.468570719338887E-2</v>
      </c>
      <c r="G3508">
        <f t="shared" si="115"/>
        <v>-2.5295197000135581E-2</v>
      </c>
    </row>
    <row r="3509" spans="1:7" x14ac:dyDescent="0.35">
      <c r="A3509" t="s">
        <v>183</v>
      </c>
      <c r="E3509">
        <v>1.8063314955531055E-3</v>
      </c>
      <c r="F3509">
        <f t="shared" si="114"/>
        <v>-1.4702936714781355E-2</v>
      </c>
      <c r="G3509">
        <f t="shared" si="115"/>
        <v>-2.5295197000135581E-2</v>
      </c>
    </row>
    <row r="3510" spans="1:7" x14ac:dyDescent="0.35">
      <c r="A3510" t="s">
        <v>183</v>
      </c>
      <c r="E3510">
        <v>-4.0488777449777308E-3</v>
      </c>
      <c r="F3510">
        <f t="shared" si="114"/>
        <v>-1.4720166236173841E-2</v>
      </c>
      <c r="G3510">
        <f t="shared" si="115"/>
        <v>-2.5295197000135581E-2</v>
      </c>
    </row>
    <row r="3511" spans="1:7" x14ac:dyDescent="0.35">
      <c r="A3511" t="s">
        <v>184</v>
      </c>
      <c r="B3511" s="3" cm="1">
        <f t="array" ref="B3511">_xlfn.STDEV.S(_xlfn._xlws.FILTER($E$2826:$E$3824, $A$2826:$A$3824="2024-02"))</f>
        <v>5.2418235073292104E-3</v>
      </c>
      <c r="C3511" s="3" cm="1">
        <f t="array" ref="C3511">AVERAGE(_xlfn._xlws.FILTER($E$2826:$E$3824, $A$2826:$A$3824="2024-02"))</f>
        <v>2.1331235244374026E-3</v>
      </c>
      <c r="D3511" s="3" cm="1">
        <f t="array" ref="D3511">_xlfn.PERCENTILE.EXC(_xlfn._xlws.FILTER($E$2490:$E$3818, $A$2490:$A$3818="2024-02"), 0.05)</f>
        <v>-8.9618551063740132E-3</v>
      </c>
      <c r="E3511">
        <v>-2.6490709391498888E-3</v>
      </c>
      <c r="F3511">
        <f t="shared" si="114"/>
        <v>-1.4737395757566326E-2</v>
      </c>
      <c r="G3511">
        <f t="shared" si="115"/>
        <v>-2.5295197000135581E-2</v>
      </c>
    </row>
    <row r="3512" spans="1:7" x14ac:dyDescent="0.35">
      <c r="A3512" t="s">
        <v>184</v>
      </c>
      <c r="E3512">
        <v>3.5035451687228077E-3</v>
      </c>
      <c r="F3512">
        <f t="shared" si="114"/>
        <v>-1.4754625278958811E-2</v>
      </c>
      <c r="G3512">
        <f t="shared" si="115"/>
        <v>-2.5295197000135581E-2</v>
      </c>
    </row>
    <row r="3513" spans="1:7" x14ac:dyDescent="0.35">
      <c r="A3513" t="s">
        <v>184</v>
      </c>
      <c r="E3513">
        <v>-8.3672685633147869E-4</v>
      </c>
      <c r="F3513">
        <f t="shared" si="114"/>
        <v>-1.4771854800351297E-2</v>
      </c>
      <c r="G3513">
        <f t="shared" si="115"/>
        <v>-2.5295197000135581E-2</v>
      </c>
    </row>
    <row r="3514" spans="1:7" x14ac:dyDescent="0.35">
      <c r="A3514" t="s">
        <v>184</v>
      </c>
      <c r="E3514">
        <v>7.612899311275647E-3</v>
      </c>
      <c r="F3514">
        <f t="shared" si="114"/>
        <v>-1.4789084321743782E-2</v>
      </c>
      <c r="G3514">
        <f t="shared" si="115"/>
        <v>-2.5295197000135581E-2</v>
      </c>
    </row>
    <row r="3515" spans="1:7" x14ac:dyDescent="0.35">
      <c r="A3515" t="s">
        <v>184</v>
      </c>
      <c r="E3515">
        <v>-6.5545423617532472E-3</v>
      </c>
      <c r="F3515">
        <f t="shared" si="114"/>
        <v>-1.4806313843136267E-2</v>
      </c>
      <c r="G3515">
        <f t="shared" si="115"/>
        <v>-2.5295197000135581E-2</v>
      </c>
    </row>
    <row r="3516" spans="1:7" x14ac:dyDescent="0.35">
      <c r="A3516" t="s">
        <v>184</v>
      </c>
      <c r="E3516">
        <v>2.4712436279926081E-3</v>
      </c>
      <c r="F3516">
        <f t="shared" si="114"/>
        <v>-1.4823543364528752E-2</v>
      </c>
      <c r="G3516">
        <f t="shared" si="115"/>
        <v>-2.5295197000135581E-2</v>
      </c>
    </row>
    <row r="3517" spans="1:7" x14ac:dyDescent="0.35">
      <c r="A3517" t="s">
        <v>184</v>
      </c>
      <c r="E3517">
        <v>-2.2029891769939636E-3</v>
      </c>
      <c r="F3517">
        <f t="shared" si="114"/>
        <v>-1.4840772885921238E-2</v>
      </c>
      <c r="G3517">
        <f t="shared" si="115"/>
        <v>-2.5295197000135581E-2</v>
      </c>
    </row>
    <row r="3518" spans="1:7" x14ac:dyDescent="0.35">
      <c r="A3518" t="s">
        <v>184</v>
      </c>
      <c r="E3518">
        <v>6.5275517115827896E-3</v>
      </c>
      <c r="F3518">
        <f t="shared" si="114"/>
        <v>-1.4858002407313723E-2</v>
      </c>
      <c r="G3518">
        <f t="shared" si="115"/>
        <v>-2.5295197000135581E-2</v>
      </c>
    </row>
    <row r="3519" spans="1:7" x14ac:dyDescent="0.35">
      <c r="A3519" t="s">
        <v>184</v>
      </c>
      <c r="E3519">
        <v>-9.2293343002207654E-3</v>
      </c>
      <c r="F3519">
        <f t="shared" si="114"/>
        <v>-1.4875231928706208E-2</v>
      </c>
      <c r="G3519">
        <f t="shared" si="115"/>
        <v>-2.5295197000135581E-2</v>
      </c>
    </row>
    <row r="3520" spans="1:7" x14ac:dyDescent="0.35">
      <c r="A3520" t="s">
        <v>184</v>
      </c>
      <c r="E3520">
        <v>3.8224730228250832E-3</v>
      </c>
      <c r="F3520">
        <f t="shared" si="114"/>
        <v>-1.4892461450098694E-2</v>
      </c>
      <c r="G3520">
        <f t="shared" si="115"/>
        <v>-2.5295197000135581E-2</v>
      </c>
    </row>
    <row r="3521" spans="1:7" x14ac:dyDescent="0.35">
      <c r="A3521" t="s">
        <v>184</v>
      </c>
      <c r="E3521">
        <v>5.9549183876318346E-3</v>
      </c>
      <c r="F3521">
        <f t="shared" si="114"/>
        <v>-1.4896399839704939E-2</v>
      </c>
      <c r="G3521">
        <f t="shared" si="115"/>
        <v>-2.6038249539423929E-2</v>
      </c>
    </row>
    <row r="3522" spans="1:7" x14ac:dyDescent="0.35">
      <c r="A3522" t="s">
        <v>184</v>
      </c>
      <c r="E3522">
        <v>4.1417768366387294E-3</v>
      </c>
      <c r="F3522">
        <f t="shared" si="114"/>
        <v>-1.4900338229311182E-2</v>
      </c>
      <c r="G3522">
        <f t="shared" si="115"/>
        <v>-2.6038249539423929E-2</v>
      </c>
    </row>
    <row r="3523" spans="1:7" x14ac:dyDescent="0.35">
      <c r="A3523" t="s">
        <v>184</v>
      </c>
      <c r="E3523">
        <v>-1.4720973611132239E-3</v>
      </c>
      <c r="F3523">
        <f t="shared" si="114"/>
        <v>-1.4904276618917427E-2</v>
      </c>
      <c r="G3523">
        <f t="shared" si="115"/>
        <v>-2.6038249539423929E-2</v>
      </c>
    </row>
    <row r="3524" spans="1:7" x14ac:dyDescent="0.35">
      <c r="A3524" t="s">
        <v>184</v>
      </c>
      <c r="E3524">
        <v>-1.3951711083955098E-3</v>
      </c>
      <c r="F3524">
        <f t="shared" ref="F3524:F3587" si="116">_xlfn.PERCENTILE.EXC(E3524:E7339,0.05)</f>
        <v>-1.490821500852367E-2</v>
      </c>
      <c r="G3524">
        <f t="shared" ref="G3524:G3587" si="117">AVERAGEIFS(E3524:E7340,E3524:E7340,"&lt;=" &amp; F3524)</f>
        <v>-2.6038249539423929E-2</v>
      </c>
    </row>
    <row r="3525" spans="1:7" x14ac:dyDescent="0.35">
      <c r="A3525" t="s">
        <v>184</v>
      </c>
      <c r="E3525">
        <v>2.9069932469090007E-3</v>
      </c>
      <c r="F3525">
        <f t="shared" si="116"/>
        <v>-1.4912153398129915E-2</v>
      </c>
      <c r="G3525">
        <f t="shared" si="117"/>
        <v>-2.6038249539423929E-2</v>
      </c>
    </row>
    <row r="3526" spans="1:7" x14ac:dyDescent="0.35">
      <c r="A3526" t="s">
        <v>184</v>
      </c>
      <c r="E3526">
        <v>1.4632935053605588E-2</v>
      </c>
      <c r="F3526">
        <f t="shared" si="116"/>
        <v>-1.491609178773616E-2</v>
      </c>
      <c r="G3526">
        <f t="shared" si="117"/>
        <v>-2.6038249539423929E-2</v>
      </c>
    </row>
    <row r="3527" spans="1:7" x14ac:dyDescent="0.35">
      <c r="A3527" t="s">
        <v>184</v>
      </c>
      <c r="E3527">
        <v>2.8100224930401314E-3</v>
      </c>
      <c r="F3527">
        <f t="shared" si="116"/>
        <v>-1.4920030177342404E-2</v>
      </c>
      <c r="G3527">
        <f t="shared" si="117"/>
        <v>-2.6038249539423929E-2</v>
      </c>
    </row>
    <row r="3528" spans="1:7" x14ac:dyDescent="0.35">
      <c r="A3528" t="s">
        <v>184</v>
      </c>
      <c r="E3528">
        <v>2.238641486896249E-4</v>
      </c>
      <c r="F3528">
        <f t="shared" si="116"/>
        <v>-1.4923968566948649E-2</v>
      </c>
      <c r="G3528">
        <f t="shared" si="117"/>
        <v>-2.6038249539423929E-2</v>
      </c>
    </row>
    <row r="3529" spans="1:7" x14ac:dyDescent="0.35">
      <c r="A3529" t="s">
        <v>184</v>
      </c>
      <c r="E3529">
        <v>7.6193088273761016E-3</v>
      </c>
      <c r="F3529">
        <f t="shared" si="116"/>
        <v>-1.4927906956554892E-2</v>
      </c>
      <c r="G3529">
        <f t="shared" si="117"/>
        <v>-2.6038249539423929E-2</v>
      </c>
    </row>
    <row r="3530" spans="1:7" x14ac:dyDescent="0.35">
      <c r="A3530" t="s">
        <v>184</v>
      </c>
      <c r="E3530">
        <v>2.5445357012331606E-3</v>
      </c>
      <c r="F3530">
        <f t="shared" si="116"/>
        <v>-1.4931845346161137E-2</v>
      </c>
      <c r="G3530">
        <f t="shared" si="117"/>
        <v>-2.6038249539423929E-2</v>
      </c>
    </row>
    <row r="3531" spans="1:7" x14ac:dyDescent="0.35">
      <c r="A3531" t="s">
        <v>184</v>
      </c>
      <c r="E3531">
        <v>4.3634585796204287E-3</v>
      </c>
      <c r="F3531">
        <f t="shared" si="116"/>
        <v>-1.4935783735767382E-2</v>
      </c>
      <c r="G3531">
        <f t="shared" si="117"/>
        <v>-2.6038249539423929E-2</v>
      </c>
    </row>
    <row r="3532" spans="1:7" x14ac:dyDescent="0.35">
      <c r="A3532" t="s">
        <v>185</v>
      </c>
      <c r="B3532" s="3" cm="1">
        <f t="array" ref="B3532">_xlfn.STDEV.S(_xlfn._xlws.FILTER($E$2826:$E$3824, $A$2826:$A$3824="2024-03"))</f>
        <v>4.0241164021916622E-3</v>
      </c>
      <c r="C3532" s="3" cm="1">
        <f t="array" ref="C3532">AVERAGE(_xlfn._xlws.FILTER($E$2826:$E$3824, $A$2826:$A$3824="2024-03"))</f>
        <v>2.2516513658410835E-3</v>
      </c>
      <c r="D3532" s="3" cm="1">
        <f t="array" ref="D3532">_xlfn.PERCENTILE.EXC(_xlfn._xlws.FILTER($E$2490:$E$3818, $A$2490:$A$3818="2024-03"), 0.05)</f>
        <v>-3.7255224349513022E-3</v>
      </c>
      <c r="E3532">
        <v>3.2123588121079263E-3</v>
      </c>
      <c r="F3532">
        <f t="shared" si="116"/>
        <v>-1.4939722125373625E-2</v>
      </c>
      <c r="G3532">
        <f t="shared" si="117"/>
        <v>-2.6038249539423929E-2</v>
      </c>
    </row>
    <row r="3533" spans="1:7" x14ac:dyDescent="0.35">
      <c r="A3533" t="s">
        <v>185</v>
      </c>
      <c r="E3533">
        <v>-1.0662533547832467E-3</v>
      </c>
      <c r="F3533">
        <f t="shared" si="116"/>
        <v>-1.494366051497987E-2</v>
      </c>
      <c r="G3533">
        <f t="shared" si="117"/>
        <v>-2.6038249539423929E-2</v>
      </c>
    </row>
    <row r="3534" spans="1:7" x14ac:dyDescent="0.35">
      <c r="A3534" t="s">
        <v>185</v>
      </c>
      <c r="E3534">
        <v>-1.0035418468352462E-3</v>
      </c>
      <c r="F3534">
        <f t="shared" si="116"/>
        <v>-1.4947598904586114E-2</v>
      </c>
      <c r="G3534">
        <f t="shared" si="117"/>
        <v>-2.6038249539423929E-2</v>
      </c>
    </row>
    <row r="3535" spans="1:7" x14ac:dyDescent="0.35">
      <c r="A3535" t="s">
        <v>185</v>
      </c>
      <c r="E3535">
        <v>1.0340220110240533E-3</v>
      </c>
      <c r="F3535">
        <f t="shared" si="116"/>
        <v>-1.4951537294192359E-2</v>
      </c>
      <c r="G3535">
        <f t="shared" si="117"/>
        <v>-2.6038249539423929E-2</v>
      </c>
    </row>
    <row r="3536" spans="1:7" x14ac:dyDescent="0.35">
      <c r="A3536" t="s">
        <v>185</v>
      </c>
      <c r="E3536">
        <v>7.0946057312182642E-3</v>
      </c>
      <c r="F3536">
        <f t="shared" si="116"/>
        <v>-1.4955475683798604E-2</v>
      </c>
      <c r="G3536">
        <f t="shared" si="117"/>
        <v>-2.6038249539423929E-2</v>
      </c>
    </row>
    <row r="3537" spans="1:7" x14ac:dyDescent="0.35">
      <c r="A3537" t="s">
        <v>185</v>
      </c>
      <c r="E3537">
        <v>-1.5895739879413554E-3</v>
      </c>
      <c r="F3537">
        <f t="shared" si="116"/>
        <v>-1.4959414073404847E-2</v>
      </c>
      <c r="G3537">
        <f t="shared" si="117"/>
        <v>-2.6038249539423929E-2</v>
      </c>
    </row>
    <row r="3538" spans="1:7" x14ac:dyDescent="0.35">
      <c r="A3538" t="s">
        <v>185</v>
      </c>
      <c r="E3538">
        <v>-3.8379407742676155E-3</v>
      </c>
      <c r="F3538">
        <f t="shared" si="116"/>
        <v>-1.4963352463011092E-2</v>
      </c>
      <c r="G3538">
        <f t="shared" si="117"/>
        <v>-2.6038249539423929E-2</v>
      </c>
    </row>
    <row r="3539" spans="1:7" x14ac:dyDescent="0.35">
      <c r="A3539" t="s">
        <v>185</v>
      </c>
      <c r="E3539">
        <v>1.2256190570040662E-2</v>
      </c>
      <c r="F3539">
        <f t="shared" si="116"/>
        <v>-1.4967290852617336E-2</v>
      </c>
      <c r="G3539">
        <f t="shared" si="117"/>
        <v>-2.6038249539423929E-2</v>
      </c>
    </row>
    <row r="3540" spans="1:7" x14ac:dyDescent="0.35">
      <c r="A3540" t="s">
        <v>185</v>
      </c>
      <c r="E3540">
        <v>-2.076462250223136E-4</v>
      </c>
      <c r="F3540">
        <f t="shared" si="116"/>
        <v>-1.4971229242223581E-2</v>
      </c>
      <c r="G3540">
        <f t="shared" si="117"/>
        <v>-2.6038249539423929E-2</v>
      </c>
    </row>
    <row r="3541" spans="1:7" x14ac:dyDescent="0.35">
      <c r="A3541" t="s">
        <v>185</v>
      </c>
      <c r="E3541">
        <v>-1.0773347982215608E-3</v>
      </c>
      <c r="F3541">
        <f t="shared" si="116"/>
        <v>-1.5072986181162965E-2</v>
      </c>
      <c r="G3541">
        <f t="shared" si="117"/>
        <v>-2.6889558793054727E-2</v>
      </c>
    </row>
    <row r="3542" spans="1:7" x14ac:dyDescent="0.35">
      <c r="A3542" t="s">
        <v>185</v>
      </c>
      <c r="E3542">
        <v>-3.0045690299992716E-4</v>
      </c>
      <c r="F3542">
        <f t="shared" si="116"/>
        <v>-1.5174743120102354E-2</v>
      </c>
      <c r="G3542">
        <f t="shared" si="117"/>
        <v>-2.6889558793054727E-2</v>
      </c>
    </row>
    <row r="3543" spans="1:7" x14ac:dyDescent="0.35">
      <c r="A3543" t="s">
        <v>185</v>
      </c>
      <c r="E3543">
        <v>-2.2135902824009504E-4</v>
      </c>
      <c r="F3543">
        <f t="shared" si="116"/>
        <v>-1.5276500059041739E-2</v>
      </c>
      <c r="G3543">
        <f t="shared" si="117"/>
        <v>-2.6889558793054727E-2</v>
      </c>
    </row>
    <row r="3544" spans="1:7" x14ac:dyDescent="0.35">
      <c r="A3544" t="s">
        <v>185</v>
      </c>
      <c r="E3544">
        <v>3.0517696624756184E-3</v>
      </c>
      <c r="F3544">
        <f t="shared" si="116"/>
        <v>-1.5378256997981126E-2</v>
      </c>
      <c r="G3544">
        <f t="shared" si="117"/>
        <v>-2.6889558793054727E-2</v>
      </c>
    </row>
    <row r="3545" spans="1:7" x14ac:dyDescent="0.35">
      <c r="A3545" t="s">
        <v>185</v>
      </c>
      <c r="E3545">
        <v>1.5354441110293038E-3</v>
      </c>
      <c r="F3545">
        <f t="shared" si="116"/>
        <v>-1.5480013936920514E-2</v>
      </c>
      <c r="G3545">
        <f t="shared" si="117"/>
        <v>-2.6889558793054727E-2</v>
      </c>
    </row>
    <row r="3546" spans="1:7" x14ac:dyDescent="0.35">
      <c r="A3546" t="s">
        <v>185</v>
      </c>
      <c r="E3546">
        <v>9.0688733902105755E-3</v>
      </c>
      <c r="F3546">
        <f t="shared" si="116"/>
        <v>-1.55817708758599E-2</v>
      </c>
      <c r="G3546">
        <f t="shared" si="117"/>
        <v>-2.6889558793054727E-2</v>
      </c>
    </row>
    <row r="3547" spans="1:7" x14ac:dyDescent="0.35">
      <c r="A3547" t="s">
        <v>185</v>
      </c>
      <c r="E3547">
        <v>1.4670806878914365E-3</v>
      </c>
      <c r="F3547">
        <f t="shared" si="116"/>
        <v>-1.568352781479929E-2</v>
      </c>
      <c r="G3547">
        <f t="shared" si="117"/>
        <v>-2.6889558793054727E-2</v>
      </c>
    </row>
    <row r="3548" spans="1:7" x14ac:dyDescent="0.35">
      <c r="A3548" t="s">
        <v>185</v>
      </c>
      <c r="E3548">
        <v>3.0366996441871068E-3</v>
      </c>
      <c r="F3548">
        <f t="shared" si="116"/>
        <v>-1.5785284753738672E-2</v>
      </c>
      <c r="G3548">
        <f t="shared" si="117"/>
        <v>-2.6889558793054727E-2</v>
      </c>
    </row>
    <row r="3549" spans="1:7" x14ac:dyDescent="0.35">
      <c r="A3549" t="s">
        <v>185</v>
      </c>
      <c r="E3549">
        <v>6.7151451143186748E-3</v>
      </c>
      <c r="F3549">
        <f t="shared" si="116"/>
        <v>-1.5887041692678062E-2</v>
      </c>
      <c r="G3549">
        <f t="shared" si="117"/>
        <v>-2.6889558793054727E-2</v>
      </c>
    </row>
    <row r="3550" spans="1:7" x14ac:dyDescent="0.35">
      <c r="A3550" t="s">
        <v>185</v>
      </c>
      <c r="E3550">
        <v>5.0318270624144252E-3</v>
      </c>
      <c r="F3550">
        <f t="shared" si="116"/>
        <v>-1.5988798631617451E-2</v>
      </c>
      <c r="G3550">
        <f t="shared" si="117"/>
        <v>-2.6889558793054727E-2</v>
      </c>
    </row>
    <row r="3551" spans="1:7" x14ac:dyDescent="0.35">
      <c r="A3551" t="s">
        <v>185</v>
      </c>
      <c r="E3551">
        <v>8.3311743821498706E-4</v>
      </c>
      <c r="F3551">
        <f t="shared" si="116"/>
        <v>-1.6090555570556834E-2</v>
      </c>
      <c r="G3551">
        <f t="shared" si="117"/>
        <v>-2.6889558793054727E-2</v>
      </c>
    </row>
    <row r="3552" spans="1:7" x14ac:dyDescent="0.35">
      <c r="A3552" t="s">
        <v>186</v>
      </c>
      <c r="B3552" s="3" cm="1">
        <f t="array" ref="B3552">_xlfn.STDEV.S(_xlfn._xlws.FILTER($E$2826:$E$3824, $A$2826:$A$3824="2024-04"))</f>
        <v>8.7584072391557223E-3</v>
      </c>
      <c r="C3552" s="3" cm="1">
        <f t="array" ref="C3552">AVERAGE(_xlfn._xlws.FILTER($E$2826:$E$3824, $A$2826:$A$3824="2024-04"))</f>
        <v>-1.4651617720457559E-3</v>
      </c>
      <c r="D3552" s="3" cm="1">
        <f t="array" ref="D3552">_xlfn.PERCENTILE.EXC(_xlfn._xlws.FILTER($E$2490:$E$3818, $A$2490:$A$3818="2024-04"), 0.05)</f>
        <v>-1.4424471117576842E-2</v>
      </c>
      <c r="E3552">
        <v>-1.1385926968428675E-2</v>
      </c>
      <c r="F3552">
        <f t="shared" si="116"/>
        <v>-1.6192312509496223E-2</v>
      </c>
      <c r="G3552">
        <f t="shared" si="117"/>
        <v>-2.6889558793054727E-2</v>
      </c>
    </row>
    <row r="3553" spans="1:7" x14ac:dyDescent="0.35">
      <c r="A3553" t="s">
        <v>186</v>
      </c>
      <c r="E3553">
        <v>4.6159993669841123E-3</v>
      </c>
      <c r="F3553">
        <f t="shared" si="116"/>
        <v>-1.6294069448435606E-2</v>
      </c>
      <c r="G3553">
        <f t="shared" si="117"/>
        <v>-2.6889558793054727E-2</v>
      </c>
    </row>
    <row r="3554" spans="1:7" x14ac:dyDescent="0.35">
      <c r="A3554" t="s">
        <v>186</v>
      </c>
      <c r="E3554">
        <v>1.9259827252211339E-3</v>
      </c>
      <c r="F3554">
        <f t="shared" si="116"/>
        <v>-1.6395826387374995E-2</v>
      </c>
      <c r="G3554">
        <f t="shared" si="117"/>
        <v>-2.6889558793054727E-2</v>
      </c>
    </row>
    <row r="3555" spans="1:7" x14ac:dyDescent="0.35">
      <c r="A3555" t="s">
        <v>186</v>
      </c>
      <c r="E3555">
        <v>-1.247153460127781E-2</v>
      </c>
      <c r="F3555">
        <f t="shared" si="116"/>
        <v>-1.6497583326314385E-2</v>
      </c>
      <c r="G3555">
        <f t="shared" si="117"/>
        <v>-2.6889558793054727E-2</v>
      </c>
    </row>
    <row r="3556" spans="1:7" x14ac:dyDescent="0.35">
      <c r="A3556" t="s">
        <v>186</v>
      </c>
      <c r="E3556">
        <v>7.8879107155343103E-3</v>
      </c>
      <c r="F3556">
        <f t="shared" si="116"/>
        <v>-1.6599340265253767E-2</v>
      </c>
      <c r="G3556">
        <f t="shared" si="117"/>
        <v>-2.6889558793054727E-2</v>
      </c>
    </row>
    <row r="3557" spans="1:7" x14ac:dyDescent="0.35">
      <c r="A3557" t="s">
        <v>186</v>
      </c>
      <c r="E3557">
        <v>-1.3313871975527506E-2</v>
      </c>
      <c r="F3557">
        <f t="shared" si="116"/>
        <v>-1.6701097204193157E-2</v>
      </c>
      <c r="G3557">
        <f t="shared" si="117"/>
        <v>-2.6889558793054727E-2</v>
      </c>
    </row>
    <row r="3558" spans="1:7" x14ac:dyDescent="0.35">
      <c r="A3558" t="s">
        <v>186</v>
      </c>
      <c r="E3558">
        <v>1.1394928914436613E-3</v>
      </c>
      <c r="F3558">
        <f t="shared" si="116"/>
        <v>-1.6802854143132543E-2</v>
      </c>
      <c r="G3558">
        <f t="shared" si="117"/>
        <v>-2.6889558793054727E-2</v>
      </c>
    </row>
    <row r="3559" spans="1:7" x14ac:dyDescent="0.35">
      <c r="A3559" t="s">
        <v>186</v>
      </c>
      <c r="E3559">
        <v>-7.9230899073806146E-3</v>
      </c>
      <c r="F3559">
        <f t="shared" si="116"/>
        <v>-1.6904611082071929E-2</v>
      </c>
      <c r="G3559">
        <f t="shared" si="117"/>
        <v>-2.6889558793054727E-2</v>
      </c>
    </row>
    <row r="3560" spans="1:7" x14ac:dyDescent="0.35">
      <c r="A3560" t="s">
        <v>186</v>
      </c>
      <c r="E3560">
        <v>-1.3465313252668291E-3</v>
      </c>
      <c r="F3560">
        <f t="shared" si="116"/>
        <v>-1.7006368021011319E-2</v>
      </c>
      <c r="G3560">
        <f t="shared" si="117"/>
        <v>-2.6889558793054727E-2</v>
      </c>
    </row>
    <row r="3561" spans="1:7" x14ac:dyDescent="0.35">
      <c r="A3561" t="s">
        <v>186</v>
      </c>
      <c r="E3561">
        <v>5.3542007214606776E-3</v>
      </c>
      <c r="F3561">
        <f t="shared" si="116"/>
        <v>-1.7040315550923144E-2</v>
      </c>
      <c r="G3561">
        <f t="shared" si="117"/>
        <v>-2.7713158024058344E-2</v>
      </c>
    </row>
    <row r="3562" spans="1:7" x14ac:dyDescent="0.35">
      <c r="A3562" t="s">
        <v>186</v>
      </c>
      <c r="E3562">
        <v>-1.454787102224899E-2</v>
      </c>
      <c r="F3562">
        <f t="shared" si="116"/>
        <v>-1.707426308083497E-2</v>
      </c>
      <c r="G3562">
        <f t="shared" si="117"/>
        <v>-2.7713158024058344E-2</v>
      </c>
    </row>
    <row r="3563" spans="1:7" x14ac:dyDescent="0.35">
      <c r="A3563" t="s">
        <v>186</v>
      </c>
      <c r="E3563">
        <v>2.1330331784429429E-4</v>
      </c>
      <c r="F3563">
        <f t="shared" si="116"/>
        <v>-1.7108210610746792E-2</v>
      </c>
      <c r="G3563">
        <f t="shared" si="117"/>
        <v>-2.7713158024058344E-2</v>
      </c>
    </row>
    <row r="3564" spans="1:7" x14ac:dyDescent="0.35">
      <c r="A3564" t="s">
        <v>186</v>
      </c>
      <c r="E3564">
        <v>3.7846089621272421E-3</v>
      </c>
      <c r="F3564">
        <f t="shared" si="116"/>
        <v>-1.7142158140658618E-2</v>
      </c>
      <c r="G3564">
        <f t="shared" si="117"/>
        <v>-2.7713158024058344E-2</v>
      </c>
    </row>
    <row r="3565" spans="1:7" x14ac:dyDescent="0.35">
      <c r="A3565" t="s">
        <v>186</v>
      </c>
      <c r="E3565">
        <v>-5.6242270477561722E-3</v>
      </c>
      <c r="F3565">
        <f t="shared" si="116"/>
        <v>-1.7176105670570443E-2</v>
      </c>
      <c r="G3565">
        <f t="shared" si="117"/>
        <v>-2.7713158024058344E-2</v>
      </c>
    </row>
    <row r="3566" spans="1:7" x14ac:dyDescent="0.35">
      <c r="A3566" t="s">
        <v>186</v>
      </c>
      <c r="E3566">
        <v>6.9352177056300531E-3</v>
      </c>
      <c r="F3566">
        <f t="shared" si="116"/>
        <v>-1.7210053200482269E-2</v>
      </c>
      <c r="G3566">
        <f t="shared" si="117"/>
        <v>-2.7713158024058344E-2</v>
      </c>
    </row>
    <row r="3567" spans="1:7" x14ac:dyDescent="0.35">
      <c r="A3567" t="s">
        <v>186</v>
      </c>
      <c r="E3567">
        <v>1.5381521056289395E-2</v>
      </c>
      <c r="F3567">
        <f t="shared" si="116"/>
        <v>-1.7244000730394095E-2</v>
      </c>
      <c r="G3567">
        <f t="shared" si="117"/>
        <v>-2.7713158024058344E-2</v>
      </c>
    </row>
    <row r="3568" spans="1:7" x14ac:dyDescent="0.35">
      <c r="A3568" t="s">
        <v>186</v>
      </c>
      <c r="E3568">
        <v>-2.7024544173625642E-3</v>
      </c>
      <c r="F3568">
        <f t="shared" si="116"/>
        <v>-1.7277948260305917E-2</v>
      </c>
      <c r="G3568">
        <f t="shared" si="117"/>
        <v>-2.7713158024058344E-2</v>
      </c>
    </row>
    <row r="3569" spans="1:7" x14ac:dyDescent="0.35">
      <c r="A3569" t="s">
        <v>186</v>
      </c>
      <c r="E3569">
        <v>-9.5218236053762027E-3</v>
      </c>
      <c r="F3569">
        <f t="shared" si="116"/>
        <v>-1.7311895790217743E-2</v>
      </c>
      <c r="G3569">
        <f t="shared" si="117"/>
        <v>-2.7713158024058344E-2</v>
      </c>
    </row>
    <row r="3570" spans="1:7" x14ac:dyDescent="0.35">
      <c r="A3570" t="s">
        <v>186</v>
      </c>
      <c r="E3570">
        <v>1.351137805480037E-2</v>
      </c>
      <c r="F3570">
        <f t="shared" si="116"/>
        <v>-1.7345843320129568E-2</v>
      </c>
      <c r="G3570">
        <f t="shared" si="117"/>
        <v>-2.7713158024058344E-2</v>
      </c>
    </row>
    <row r="3571" spans="1:7" x14ac:dyDescent="0.35">
      <c r="A3571" t="s">
        <v>186</v>
      </c>
      <c r="E3571">
        <v>-2.353407281959262E-3</v>
      </c>
      <c r="F3571">
        <f t="shared" si="116"/>
        <v>-1.7379790850041394E-2</v>
      </c>
      <c r="G3571">
        <f t="shared" si="117"/>
        <v>-2.7713158024058344E-2</v>
      </c>
    </row>
    <row r="3572" spans="1:7" x14ac:dyDescent="0.35">
      <c r="A3572" t="s">
        <v>186</v>
      </c>
      <c r="E3572">
        <v>-1.0327274577711492E-2</v>
      </c>
      <c r="F3572">
        <f t="shared" si="116"/>
        <v>-1.741373837995322E-2</v>
      </c>
      <c r="G3572">
        <f t="shared" si="117"/>
        <v>-2.7713158024058344E-2</v>
      </c>
    </row>
    <row r="3573" spans="1:7" x14ac:dyDescent="0.35">
      <c r="A3573" t="s">
        <v>187</v>
      </c>
      <c r="B3573" s="3" cm="1">
        <f t="array" ref="B3573">_xlfn.STDEV.S(_xlfn._xlws.FILTER($E$2826:$E$3824, $A$2826:$A$3824="2024-05"))</f>
        <v>7.0715863832869277E-3</v>
      </c>
      <c r="C3573" s="3" cm="1">
        <f t="array" ref="C3573">AVERAGE(_xlfn._xlws.FILTER($E$2826:$E$3824, $A$2826:$A$3824="2024-05"))</f>
        <v>1.5531534012947338E-3</v>
      </c>
      <c r="D3573" s="3" cm="1">
        <f t="array" ref="D3573">_xlfn.PERCENTILE.EXC(_xlfn._xlws.FILTER($E$2490:$E$3818, $A$2490:$A$3818="2024-05"), 0.05)</f>
        <v>-1.0809954198571583E-2</v>
      </c>
      <c r="E3573">
        <v>-1.9911435051832914E-3</v>
      </c>
      <c r="F3573">
        <f t="shared" si="116"/>
        <v>-1.7447685909865042E-2</v>
      </c>
      <c r="G3573">
        <f t="shared" si="117"/>
        <v>-2.7713158024058344E-2</v>
      </c>
    </row>
    <row r="3574" spans="1:7" x14ac:dyDescent="0.35">
      <c r="A3574" t="s">
        <v>187</v>
      </c>
      <c r="E3574">
        <v>5.855479832842697E-3</v>
      </c>
      <c r="F3574">
        <f t="shared" si="116"/>
        <v>-1.7481633439776868E-2</v>
      </c>
      <c r="G3574">
        <f t="shared" si="117"/>
        <v>-2.7713158024058344E-2</v>
      </c>
    </row>
    <row r="3575" spans="1:7" x14ac:dyDescent="0.35">
      <c r="A3575" t="s">
        <v>187</v>
      </c>
      <c r="E3575">
        <v>2.3521841811368446E-2</v>
      </c>
      <c r="F3575">
        <f t="shared" si="116"/>
        <v>-1.7515580969688693E-2</v>
      </c>
      <c r="G3575">
        <f t="shared" si="117"/>
        <v>-2.7713158024058344E-2</v>
      </c>
    </row>
    <row r="3576" spans="1:7" x14ac:dyDescent="0.35">
      <c r="A3576" t="s">
        <v>187</v>
      </c>
      <c r="E3576">
        <v>3.7006760364096209E-3</v>
      </c>
      <c r="F3576">
        <f t="shared" si="116"/>
        <v>-1.7549528499600519E-2</v>
      </c>
      <c r="G3576">
        <f t="shared" si="117"/>
        <v>-2.7713158024058344E-2</v>
      </c>
    </row>
    <row r="3577" spans="1:7" x14ac:dyDescent="0.35">
      <c r="A3577" t="s">
        <v>187</v>
      </c>
      <c r="E3577">
        <v>1.0123528773583993E-2</v>
      </c>
      <c r="F3577">
        <f t="shared" si="116"/>
        <v>-1.7583476029512345E-2</v>
      </c>
      <c r="G3577">
        <f t="shared" si="117"/>
        <v>-2.7713158024058344E-2</v>
      </c>
    </row>
    <row r="3578" spans="1:7" x14ac:dyDescent="0.35">
      <c r="A3578" t="s">
        <v>187</v>
      </c>
      <c r="E3578">
        <v>4.6049876555813067E-3</v>
      </c>
      <c r="F3578">
        <f t="shared" si="116"/>
        <v>-1.7617423559424167E-2</v>
      </c>
      <c r="G3578">
        <f t="shared" si="117"/>
        <v>-2.7713158024058344E-2</v>
      </c>
    </row>
    <row r="3579" spans="1:7" x14ac:dyDescent="0.35">
      <c r="A3579" t="s">
        <v>187</v>
      </c>
      <c r="E3579">
        <v>-1.6329441371830539E-3</v>
      </c>
      <c r="F3579">
        <f t="shared" si="116"/>
        <v>-1.7651371089335992E-2</v>
      </c>
      <c r="G3579">
        <f t="shared" si="117"/>
        <v>-2.7713158024058344E-2</v>
      </c>
    </row>
    <row r="3580" spans="1:7" x14ac:dyDescent="0.35">
      <c r="A3580" t="s">
        <v>187</v>
      </c>
      <c r="E3580">
        <v>-1.3775195297938126E-3</v>
      </c>
      <c r="F3580">
        <f t="shared" si="116"/>
        <v>-1.7685318619247818E-2</v>
      </c>
      <c r="G3580">
        <f t="shared" si="117"/>
        <v>-2.7713158024058344E-2</v>
      </c>
    </row>
    <row r="3581" spans="1:7" x14ac:dyDescent="0.35">
      <c r="A3581" t="s">
        <v>187</v>
      </c>
      <c r="E3581">
        <v>8.138229091441922E-3</v>
      </c>
      <c r="F3581">
        <f t="shared" si="116"/>
        <v>-1.770851348252632E-2</v>
      </c>
      <c r="G3581">
        <f t="shared" si="117"/>
        <v>-2.8624779788132028E-2</v>
      </c>
    </row>
    <row r="3582" spans="1:7" x14ac:dyDescent="0.35">
      <c r="A3582" t="s">
        <v>187</v>
      </c>
      <c r="E3582">
        <v>-6.9426682756647557E-3</v>
      </c>
      <c r="F3582">
        <f t="shared" si="116"/>
        <v>-1.7731708345804818E-2</v>
      </c>
      <c r="G3582">
        <f t="shared" si="117"/>
        <v>-2.8624779788132028E-2</v>
      </c>
    </row>
    <row r="3583" spans="1:7" x14ac:dyDescent="0.35">
      <c r="A3583" t="s">
        <v>187</v>
      </c>
      <c r="E3583">
        <v>-1.8369146929929215E-3</v>
      </c>
      <c r="F3583">
        <f t="shared" si="116"/>
        <v>-1.7754903209083319E-2</v>
      </c>
      <c r="G3583">
        <f t="shared" si="117"/>
        <v>-2.8624779788132028E-2</v>
      </c>
    </row>
    <row r="3584" spans="1:7" x14ac:dyDescent="0.35">
      <c r="A3584" t="s">
        <v>187</v>
      </c>
      <c r="E3584">
        <v>3.4445819306767184E-3</v>
      </c>
      <c r="F3584">
        <f t="shared" si="116"/>
        <v>-1.7778098072361817E-2</v>
      </c>
      <c r="G3584">
        <f t="shared" si="117"/>
        <v>-2.8624779788132028E-2</v>
      </c>
    </row>
    <row r="3585" spans="1:7" x14ac:dyDescent="0.35">
      <c r="A3585" t="s">
        <v>187</v>
      </c>
      <c r="E3585">
        <v>-2.2509245224659486E-3</v>
      </c>
      <c r="F3585">
        <f t="shared" si="116"/>
        <v>-1.7801292935640319E-2</v>
      </c>
      <c r="G3585">
        <f t="shared" si="117"/>
        <v>-2.8624779788132028E-2</v>
      </c>
    </row>
    <row r="3586" spans="1:7" x14ac:dyDescent="0.35">
      <c r="A3586" t="s">
        <v>187</v>
      </c>
      <c r="E3586">
        <v>-2.4893775941353018E-3</v>
      </c>
      <c r="F3586">
        <f t="shared" si="116"/>
        <v>-1.782448779891882E-2</v>
      </c>
      <c r="G3586">
        <f t="shared" si="117"/>
        <v>-2.8624779788132028E-2</v>
      </c>
    </row>
    <row r="3587" spans="1:7" x14ac:dyDescent="0.35">
      <c r="A3587" t="s">
        <v>187</v>
      </c>
      <c r="E3587">
        <v>5.9510559528631554E-4</v>
      </c>
      <c r="F3587">
        <f t="shared" si="116"/>
        <v>-1.7847682662197321E-2</v>
      </c>
      <c r="G3587">
        <f t="shared" si="117"/>
        <v>-2.8624779788132028E-2</v>
      </c>
    </row>
    <row r="3588" spans="1:7" x14ac:dyDescent="0.35">
      <c r="A3588" t="s">
        <v>187</v>
      </c>
      <c r="E3588">
        <v>1.0967056311305027E-4</v>
      </c>
      <c r="F3588">
        <f t="shared" ref="F3588:F3651" si="118">_xlfn.PERCENTILE.EXC(E3588:E7403,0.05)</f>
        <v>-1.7870877525475819E-2</v>
      </c>
      <c r="G3588">
        <f t="shared" ref="G3588:G3651" si="119">AVERAGEIFS(E3588:E7404,E3588:E7404,"&lt;=" &amp; F3588)</f>
        <v>-2.8624779788132028E-2</v>
      </c>
    </row>
    <row r="3589" spans="1:7" x14ac:dyDescent="0.35">
      <c r="A3589" t="s">
        <v>187</v>
      </c>
      <c r="E3589">
        <v>-8.2951493655488643E-4</v>
      </c>
      <c r="F3589">
        <f t="shared" si="118"/>
        <v>-1.7894072388754321E-2</v>
      </c>
      <c r="G3589">
        <f t="shared" si="119"/>
        <v>-2.8624779788132028E-2</v>
      </c>
    </row>
    <row r="3590" spans="1:7" x14ac:dyDescent="0.35">
      <c r="A3590" t="s">
        <v>187</v>
      </c>
      <c r="E3590">
        <v>-1.1013495562935101E-2</v>
      </c>
      <c r="F3590">
        <f t="shared" si="118"/>
        <v>-1.7917267252032819E-2</v>
      </c>
      <c r="G3590">
        <f t="shared" si="119"/>
        <v>-2.8624779788132028E-2</v>
      </c>
    </row>
    <row r="3591" spans="1:7" x14ac:dyDescent="0.35">
      <c r="A3591" t="s">
        <v>187</v>
      </c>
      <c r="E3591">
        <v>1.2712984751484348E-3</v>
      </c>
      <c r="F3591">
        <f t="shared" si="118"/>
        <v>-1.794046211531132E-2</v>
      </c>
      <c r="G3591">
        <f t="shared" si="119"/>
        <v>-2.8624779788132028E-2</v>
      </c>
    </row>
    <row r="3592" spans="1:7" x14ac:dyDescent="0.35">
      <c r="A3592" t="s">
        <v>187</v>
      </c>
      <c r="E3592">
        <v>6.2171017351236562E-5</v>
      </c>
      <c r="F3592">
        <f t="shared" si="118"/>
        <v>-1.7963656978589822E-2</v>
      </c>
      <c r="G3592">
        <f t="shared" si="119"/>
        <v>-2.8624779788132028E-2</v>
      </c>
    </row>
    <row r="3593" spans="1:7" x14ac:dyDescent="0.35">
      <c r="A3593" t="s">
        <v>188</v>
      </c>
      <c r="B3593" s="3" cm="1">
        <f t="array" ref="B3593">_xlfn.STDEV.S(_xlfn._xlws.FILTER($E$2826:$E$3824, $A$2826:$A$3824="2024-06"))</f>
        <v>8.7601601642365752E-3</v>
      </c>
      <c r="C3593" s="3" cm="1">
        <f t="array" ref="C3593">AVERAGE(_xlfn._xlws.FILTER($E$2826:$E$3824, $A$2826:$A$3824="2024-06"))</f>
        <v>-7.1459363796850931E-4</v>
      </c>
      <c r="D3593" s="3" cm="1">
        <f t="array" ref="D3593">_xlfn.PERCENTILE.EXC(_xlfn._xlws.FILTER($E$2490:$E$3818, $A$2490:$A$3818="2024-06"), 0.05)</f>
        <v>-1.9532679372855109E-2</v>
      </c>
      <c r="E3593">
        <v>5.9408196587150339E-3</v>
      </c>
      <c r="F3593">
        <f t="shared" si="118"/>
        <v>-1.798685184186832E-2</v>
      </c>
      <c r="G3593">
        <f t="shared" si="119"/>
        <v>-2.8624779788132028E-2</v>
      </c>
    </row>
    <row r="3594" spans="1:7" x14ac:dyDescent="0.35">
      <c r="A3594" t="s">
        <v>188</v>
      </c>
      <c r="E3594">
        <v>-1.0943054805741011E-2</v>
      </c>
      <c r="F3594">
        <f t="shared" si="118"/>
        <v>-1.8010046705146821E-2</v>
      </c>
      <c r="G3594">
        <f t="shared" si="119"/>
        <v>-2.8624779788132028E-2</v>
      </c>
    </row>
    <row r="3595" spans="1:7" x14ac:dyDescent="0.35">
      <c r="A3595" t="s">
        <v>188</v>
      </c>
      <c r="E3595">
        <v>9.2100555902792959E-3</v>
      </c>
      <c r="F3595">
        <f t="shared" si="118"/>
        <v>-1.8033241568425323E-2</v>
      </c>
      <c r="G3595">
        <f t="shared" si="119"/>
        <v>-2.8624779788132028E-2</v>
      </c>
    </row>
    <row r="3596" spans="1:7" x14ac:dyDescent="0.35">
      <c r="A3596" t="s">
        <v>188</v>
      </c>
      <c r="E3596">
        <v>4.1221044056178923E-3</v>
      </c>
      <c r="F3596">
        <f t="shared" si="118"/>
        <v>-1.8056436431703821E-2</v>
      </c>
      <c r="G3596">
        <f t="shared" si="119"/>
        <v>-2.8624779788132028E-2</v>
      </c>
    </row>
    <row r="3597" spans="1:7" x14ac:dyDescent="0.35">
      <c r="A3597" t="s">
        <v>188</v>
      </c>
      <c r="E3597">
        <v>-5.1276733598348669E-3</v>
      </c>
      <c r="F3597">
        <f t="shared" si="118"/>
        <v>-1.8079631294982322E-2</v>
      </c>
      <c r="G3597">
        <f t="shared" si="119"/>
        <v>-2.8624779788132028E-2</v>
      </c>
    </row>
    <row r="3598" spans="1:7" x14ac:dyDescent="0.35">
      <c r="A3598" t="s">
        <v>188</v>
      </c>
      <c r="E3598">
        <v>-3.3671483086044392E-3</v>
      </c>
      <c r="F3598">
        <f t="shared" si="118"/>
        <v>-1.8102826158260824E-2</v>
      </c>
      <c r="G3598">
        <f t="shared" si="119"/>
        <v>-2.8624779788132028E-2</v>
      </c>
    </row>
    <row r="3599" spans="1:7" x14ac:dyDescent="0.35">
      <c r="A3599" t="s">
        <v>188</v>
      </c>
      <c r="E3599">
        <v>-6.7788446865204299E-3</v>
      </c>
      <c r="F3599">
        <f t="shared" si="118"/>
        <v>-1.8126021021539322E-2</v>
      </c>
      <c r="G3599">
        <f t="shared" si="119"/>
        <v>-2.8624779788132028E-2</v>
      </c>
    </row>
    <row r="3600" spans="1:7" x14ac:dyDescent="0.35">
      <c r="A3600" t="s">
        <v>188</v>
      </c>
      <c r="E3600">
        <v>1.4103712625375844E-2</v>
      </c>
      <c r="F3600">
        <f t="shared" si="118"/>
        <v>-1.8149215884817823E-2</v>
      </c>
      <c r="G3600">
        <f t="shared" si="119"/>
        <v>-2.8624779788132028E-2</v>
      </c>
    </row>
    <row r="3601" spans="1:7" x14ac:dyDescent="0.35">
      <c r="A3601" t="s">
        <v>188</v>
      </c>
      <c r="E3601">
        <v>-1.9795456423714081E-2</v>
      </c>
      <c r="F3601">
        <f t="shared" si="118"/>
        <v>-1.8162403885571277E-2</v>
      </c>
      <c r="G3601">
        <f t="shared" si="119"/>
        <v>-2.9672336178463449E-2</v>
      </c>
    </row>
    <row r="3602" spans="1:7" x14ac:dyDescent="0.35">
      <c r="A3602" t="s">
        <v>188</v>
      </c>
      <c r="E3602">
        <v>-1.4539915406534657E-2</v>
      </c>
      <c r="F3602">
        <f t="shared" si="118"/>
        <v>-1.7731708345804818E-2</v>
      </c>
      <c r="G3602">
        <f t="shared" si="119"/>
        <v>-2.9507712124573822E-2</v>
      </c>
    </row>
    <row r="3603" spans="1:7" x14ac:dyDescent="0.35">
      <c r="A3603" t="s">
        <v>188</v>
      </c>
      <c r="E3603">
        <v>3.6700666613376223E-3</v>
      </c>
      <c r="F3603">
        <f t="shared" si="118"/>
        <v>-1.7754903209083319E-2</v>
      </c>
      <c r="G3603">
        <f t="shared" si="119"/>
        <v>-2.9507712124573822E-2</v>
      </c>
    </row>
    <row r="3604" spans="1:7" x14ac:dyDescent="0.35">
      <c r="A3604" t="s">
        <v>188</v>
      </c>
      <c r="E3604">
        <v>3.5226380605305726E-3</v>
      </c>
      <c r="F3604">
        <f t="shared" si="118"/>
        <v>-1.7778098072361817E-2</v>
      </c>
      <c r="G3604">
        <f t="shared" si="119"/>
        <v>-2.9507712124573822E-2</v>
      </c>
    </row>
    <row r="3605" spans="1:7" x14ac:dyDescent="0.35">
      <c r="A3605" t="s">
        <v>188</v>
      </c>
      <c r="E3605">
        <v>-3.5392419460615406E-3</v>
      </c>
      <c r="F3605">
        <f t="shared" si="118"/>
        <v>-1.7801292935640319E-2</v>
      </c>
      <c r="G3605">
        <f t="shared" si="119"/>
        <v>-2.9507712124573822E-2</v>
      </c>
    </row>
    <row r="3606" spans="1:7" x14ac:dyDescent="0.35">
      <c r="A3606" t="s">
        <v>188</v>
      </c>
      <c r="E3606">
        <v>1.0256658300732569E-2</v>
      </c>
      <c r="F3606">
        <f t="shared" si="118"/>
        <v>-1.782448779891882E-2</v>
      </c>
      <c r="G3606">
        <f t="shared" si="119"/>
        <v>-2.9507712124573822E-2</v>
      </c>
    </row>
    <row r="3607" spans="1:7" x14ac:dyDescent="0.35">
      <c r="A3607" t="s">
        <v>188</v>
      </c>
      <c r="E3607">
        <v>-4.9789079093284566E-3</v>
      </c>
      <c r="F3607">
        <f t="shared" si="118"/>
        <v>-1.7847682662197321E-2</v>
      </c>
      <c r="G3607">
        <f t="shared" si="119"/>
        <v>-2.9507712124573822E-2</v>
      </c>
    </row>
    <row r="3608" spans="1:7" x14ac:dyDescent="0.35">
      <c r="A3608" t="s">
        <v>188</v>
      </c>
      <c r="E3608">
        <v>8.8827110330268241E-3</v>
      </c>
      <c r="F3608">
        <f t="shared" si="118"/>
        <v>-1.7870877525475819E-2</v>
      </c>
      <c r="G3608">
        <f t="shared" si="119"/>
        <v>-2.9507712124573822E-2</v>
      </c>
    </row>
    <row r="3609" spans="1:7" x14ac:dyDescent="0.35">
      <c r="A3609" t="s">
        <v>188</v>
      </c>
      <c r="E3609">
        <v>-8.106730934025046E-3</v>
      </c>
      <c r="F3609">
        <f t="shared" si="118"/>
        <v>-1.7894072388754321E-2</v>
      </c>
      <c r="G3609">
        <f t="shared" si="119"/>
        <v>-2.9507712124573822E-2</v>
      </c>
    </row>
    <row r="3610" spans="1:7" x14ac:dyDescent="0.35">
      <c r="A3610" t="s">
        <v>188</v>
      </c>
      <c r="E3610">
        <v>-1.2319428104738423E-3</v>
      </c>
      <c r="F3610">
        <f t="shared" si="118"/>
        <v>-1.7917267252032819E-2</v>
      </c>
      <c r="G3610">
        <f t="shared" si="119"/>
        <v>-2.9507712124573822E-2</v>
      </c>
    </row>
    <row r="3611" spans="1:7" x14ac:dyDescent="0.35">
      <c r="A3611" t="s">
        <v>188</v>
      </c>
      <c r="E3611">
        <v>3.0418721907897336E-3</v>
      </c>
      <c r="F3611">
        <f t="shared" si="118"/>
        <v>-1.794046211531132E-2</v>
      </c>
      <c r="G3611">
        <f t="shared" si="119"/>
        <v>-2.9507712124573822E-2</v>
      </c>
    </row>
    <row r="3612" spans="1:7" x14ac:dyDescent="0.35">
      <c r="A3612" t="s">
        <v>188</v>
      </c>
      <c r="E3612">
        <v>1.366405305062799E-3</v>
      </c>
      <c r="F3612">
        <f t="shared" si="118"/>
        <v>-1.7963656978589822E-2</v>
      </c>
      <c r="G3612">
        <f t="shared" si="119"/>
        <v>-2.9507712124573822E-2</v>
      </c>
    </row>
    <row r="3613" spans="1:7" x14ac:dyDescent="0.35">
      <c r="A3613" t="s">
        <v>189</v>
      </c>
      <c r="B3613" s="3" cm="1">
        <f t="array" ref="B3613">_xlfn.STDEV.S(_xlfn._xlws.FILTER($E$2826:$E$3824, $A$2826:$A$3824="2024-07"))</f>
        <v>7.7408945563651795E-3</v>
      </c>
      <c r="C3613" s="3" cm="1">
        <f t="array" ref="C3613">AVERAGE(_xlfn._xlws.FILTER($E$2826:$E$3824, $A$2826:$A$3824="2024-07"))</f>
        <v>6.4655167837641416E-4</v>
      </c>
      <c r="D3613" s="3" cm="1">
        <f t="array" ref="D3613">_xlfn.PERCENTILE.EXC(_xlfn._xlws.FILTER($E$2490:$E$3818, $A$2490:$A$3818="2024-07"), 0.05)</f>
        <v>-1.2282727199138865E-2</v>
      </c>
      <c r="E3613">
        <v>3.0230452706899889E-3</v>
      </c>
      <c r="F3613">
        <f t="shared" si="118"/>
        <v>-1.798685184186832E-2</v>
      </c>
      <c r="G3613">
        <f t="shared" si="119"/>
        <v>-2.9507712124573822E-2</v>
      </c>
    </row>
    <row r="3614" spans="1:7" x14ac:dyDescent="0.35">
      <c r="A3614" t="s">
        <v>189</v>
      </c>
      <c r="E3614">
        <v>-6.9456305768038845E-3</v>
      </c>
      <c r="F3614">
        <f t="shared" si="118"/>
        <v>-1.8010046705146821E-2</v>
      </c>
      <c r="G3614">
        <f t="shared" si="119"/>
        <v>-2.9507712124573822E-2</v>
      </c>
    </row>
    <row r="3615" spans="1:7" x14ac:dyDescent="0.35">
      <c r="A3615" t="s">
        <v>189</v>
      </c>
      <c r="E3615">
        <v>1.1520550073057806E-2</v>
      </c>
      <c r="F3615">
        <f t="shared" si="118"/>
        <v>-1.8033241568425323E-2</v>
      </c>
      <c r="G3615">
        <f t="shared" si="119"/>
        <v>-2.9507712124573822E-2</v>
      </c>
    </row>
    <row r="3616" spans="1:7" x14ac:dyDescent="0.35">
      <c r="A3616" t="s">
        <v>189</v>
      </c>
      <c r="E3616">
        <v>4.1249198678024925E-3</v>
      </c>
      <c r="F3616">
        <f t="shared" si="118"/>
        <v>-1.8056436431703821E-2</v>
      </c>
      <c r="G3616">
        <f t="shared" si="119"/>
        <v>-2.9507712124573822E-2</v>
      </c>
    </row>
    <row r="3617" spans="1:7" x14ac:dyDescent="0.35">
      <c r="A3617" t="s">
        <v>189</v>
      </c>
      <c r="E3617">
        <v>1.3524373688637724E-3</v>
      </c>
      <c r="F3617">
        <f t="shared" si="118"/>
        <v>-1.8079631294982322E-2</v>
      </c>
      <c r="G3617">
        <f t="shared" si="119"/>
        <v>-2.9507712124573822E-2</v>
      </c>
    </row>
    <row r="3618" spans="1:7" x14ac:dyDescent="0.35">
      <c r="A3618" t="s">
        <v>189</v>
      </c>
      <c r="E3618">
        <v>-1.840449291344954E-4</v>
      </c>
      <c r="F3618">
        <f t="shared" si="118"/>
        <v>-1.8102826158260824E-2</v>
      </c>
      <c r="G3618">
        <f t="shared" si="119"/>
        <v>-2.9507712124573822E-2</v>
      </c>
    </row>
    <row r="3619" spans="1:7" x14ac:dyDescent="0.35">
      <c r="A3619" t="s">
        <v>189</v>
      </c>
      <c r="E3619">
        <v>-1.2850697599568648E-2</v>
      </c>
      <c r="F3619">
        <f t="shared" si="118"/>
        <v>-1.8126021021539322E-2</v>
      </c>
      <c r="G3619">
        <f t="shared" si="119"/>
        <v>-2.9507712124573822E-2</v>
      </c>
    </row>
    <row r="3620" spans="1:7" x14ac:dyDescent="0.35">
      <c r="A3620" t="s">
        <v>189</v>
      </c>
      <c r="E3620">
        <v>9.3348977055105458E-3</v>
      </c>
      <c r="F3620">
        <f t="shared" si="118"/>
        <v>-1.8149215884817823E-2</v>
      </c>
      <c r="G3620">
        <f t="shared" si="119"/>
        <v>-2.9507712124573822E-2</v>
      </c>
    </row>
    <row r="3621" spans="1:7" x14ac:dyDescent="0.35">
      <c r="A3621" t="s">
        <v>189</v>
      </c>
      <c r="E3621">
        <v>6.8941184945676866E-3</v>
      </c>
      <c r="F3621">
        <f t="shared" si="118"/>
        <v>-1.8162403885571277E-2</v>
      </c>
      <c r="G3621">
        <f t="shared" si="119"/>
        <v>-3.0769767262324485E-2</v>
      </c>
    </row>
    <row r="3622" spans="1:7" x14ac:dyDescent="0.35">
      <c r="A3622" t="s">
        <v>189</v>
      </c>
      <c r="E3622">
        <v>1.1459583589958756E-2</v>
      </c>
      <c r="F3622">
        <f t="shared" si="118"/>
        <v>-1.8175591886324734E-2</v>
      </c>
      <c r="G3622">
        <f t="shared" si="119"/>
        <v>-3.0769767262324485E-2</v>
      </c>
    </row>
    <row r="3623" spans="1:7" x14ac:dyDescent="0.35">
      <c r="A3623" t="s">
        <v>189</v>
      </c>
      <c r="E3623">
        <v>-8.4250052493863008E-3</v>
      </c>
      <c r="F3623">
        <f t="shared" si="118"/>
        <v>-1.8188779887078187E-2</v>
      </c>
      <c r="G3623">
        <f t="shared" si="119"/>
        <v>-3.0769767262324485E-2</v>
      </c>
    </row>
    <row r="3624" spans="1:7" x14ac:dyDescent="0.35">
      <c r="A3624" t="s">
        <v>189</v>
      </c>
      <c r="E3624">
        <v>-3.9268237191887618E-3</v>
      </c>
      <c r="F3624">
        <f t="shared" si="118"/>
        <v>-1.8201967887831641E-2</v>
      </c>
      <c r="G3624">
        <f t="shared" si="119"/>
        <v>-3.0769767262324485E-2</v>
      </c>
    </row>
    <row r="3625" spans="1:7" x14ac:dyDescent="0.35">
      <c r="A3625" t="s">
        <v>189</v>
      </c>
      <c r="E3625">
        <v>-4.3690654863268981E-3</v>
      </c>
      <c r="F3625">
        <f t="shared" si="118"/>
        <v>-1.8215155888585098E-2</v>
      </c>
      <c r="G3625">
        <f t="shared" si="119"/>
        <v>-3.0769767262324485E-2</v>
      </c>
    </row>
    <row r="3626" spans="1:7" x14ac:dyDescent="0.35">
      <c r="A3626" t="s">
        <v>189</v>
      </c>
      <c r="E3626">
        <v>-4.4868451765432372E-3</v>
      </c>
      <c r="F3626">
        <f t="shared" si="118"/>
        <v>-1.8228343889338552E-2</v>
      </c>
      <c r="G3626">
        <f t="shared" si="119"/>
        <v>-3.0769767262324485E-2</v>
      </c>
    </row>
    <row r="3627" spans="1:7" x14ac:dyDescent="0.35">
      <c r="A3627" t="s">
        <v>189</v>
      </c>
      <c r="E3627">
        <v>-1.0010845597419741E-2</v>
      </c>
      <c r="F3627">
        <f t="shared" si="118"/>
        <v>-1.8241531890092005E-2</v>
      </c>
      <c r="G3627">
        <f t="shared" si="119"/>
        <v>-3.0769767262324485E-2</v>
      </c>
    </row>
    <row r="3628" spans="1:7" x14ac:dyDescent="0.35">
      <c r="A3628" t="s">
        <v>189</v>
      </c>
      <c r="E3628">
        <v>1.2856734134809832E-2</v>
      </c>
      <c r="F3628">
        <f t="shared" si="118"/>
        <v>-1.8254719890845459E-2</v>
      </c>
      <c r="G3628">
        <f t="shared" si="119"/>
        <v>-3.0769767262324485E-2</v>
      </c>
    </row>
    <row r="3629" spans="1:7" x14ac:dyDescent="0.35">
      <c r="A3629" t="s">
        <v>189</v>
      </c>
      <c r="E3629">
        <v>8.1499673208204684E-3</v>
      </c>
      <c r="F3629">
        <f t="shared" si="118"/>
        <v>-1.8267907891598916E-2</v>
      </c>
      <c r="G3629">
        <f t="shared" si="119"/>
        <v>-3.0769767262324485E-2</v>
      </c>
    </row>
    <row r="3630" spans="1:7" x14ac:dyDescent="0.35">
      <c r="A3630" t="s">
        <v>189</v>
      </c>
      <c r="E3630">
        <v>-9.2158867309455987E-3</v>
      </c>
      <c r="F3630">
        <f t="shared" si="118"/>
        <v>-1.828109589235237E-2</v>
      </c>
      <c r="G3630">
        <f t="shared" si="119"/>
        <v>-3.0769767262324485E-2</v>
      </c>
    </row>
    <row r="3631" spans="1:7" x14ac:dyDescent="0.35">
      <c r="A3631" t="s">
        <v>189</v>
      </c>
      <c r="E3631">
        <v>-4.8377984884054705E-3</v>
      </c>
      <c r="F3631">
        <f t="shared" si="118"/>
        <v>-1.8294283893105823E-2</v>
      </c>
      <c r="G3631">
        <f t="shared" si="119"/>
        <v>-3.0769767262324485E-2</v>
      </c>
    </row>
    <row r="3632" spans="1:7" x14ac:dyDescent="0.35">
      <c r="A3632" t="s">
        <v>189</v>
      </c>
      <c r="E3632">
        <v>6.4729023345375348E-3</v>
      </c>
      <c r="F3632">
        <f t="shared" si="118"/>
        <v>-1.8307471893859281E-2</v>
      </c>
      <c r="G3632">
        <f t="shared" si="119"/>
        <v>-3.0769767262324485E-2</v>
      </c>
    </row>
    <row r="3633" spans="1:7" x14ac:dyDescent="0.35">
      <c r="A3633" t="s">
        <v>189</v>
      </c>
      <c r="E3633">
        <v>-5.2740837507864865E-3</v>
      </c>
      <c r="F3633">
        <f t="shared" si="118"/>
        <v>-1.8320659894612734E-2</v>
      </c>
      <c r="G3633">
        <f t="shared" si="119"/>
        <v>-3.0769767262324485E-2</v>
      </c>
    </row>
    <row r="3634" spans="1:7" x14ac:dyDescent="0.35">
      <c r="A3634" t="s">
        <v>189</v>
      </c>
      <c r="E3634">
        <v>4.9281581615240018E-3</v>
      </c>
      <c r="F3634">
        <f t="shared" si="118"/>
        <v>-1.8333847895366188E-2</v>
      </c>
      <c r="G3634">
        <f t="shared" si="119"/>
        <v>-3.0769767262324485E-2</v>
      </c>
    </row>
    <row r="3635" spans="1:7" x14ac:dyDescent="0.35">
      <c r="A3635" t="s">
        <v>189</v>
      </c>
      <c r="E3635">
        <v>5.2801015850241616E-3</v>
      </c>
      <c r="F3635">
        <f t="shared" si="118"/>
        <v>-1.8347035896119641E-2</v>
      </c>
      <c r="G3635">
        <f t="shared" si="119"/>
        <v>-3.0769767262324485E-2</v>
      </c>
    </row>
    <row r="3636" spans="1:7" x14ac:dyDescent="0.35">
      <c r="A3636" t="s">
        <v>190</v>
      </c>
      <c r="B3636" s="3" cm="1">
        <f t="array" ref="B3636">_xlfn.STDEV.S(_xlfn._xlws.FILTER($E$2826:$E$3824, $A$2826:$A$3824="2024-08"))</f>
        <v>1.1451949135384731E-2</v>
      </c>
      <c r="C3636" s="3" cm="1">
        <f t="array" ref="C3636">AVERAGE(_xlfn._xlws.FILTER($E$2826:$E$3824, $A$2826:$A$3824="2024-08"))</f>
        <v>1.0644901121769732E-3</v>
      </c>
      <c r="D3636" s="3" cm="1">
        <f t="array" ref="D3636">_xlfn.PERCENTILE.EXC(_xlfn._xlws.FILTER($E$2490:$E$3818, $A$2490:$A$3818="2024-08"), 0.05)</f>
        <v>-2.358672971376001E-2</v>
      </c>
      <c r="E3636">
        <v>-2.3263154949246231E-2</v>
      </c>
      <c r="F3636">
        <f t="shared" si="118"/>
        <v>-1.8360223896873099E-2</v>
      </c>
      <c r="G3636">
        <f t="shared" si="119"/>
        <v>-3.0769767262324485E-2</v>
      </c>
    </row>
    <row r="3637" spans="1:7" x14ac:dyDescent="0.35">
      <c r="A3637" t="s">
        <v>190</v>
      </c>
      <c r="E3637">
        <v>-2.3603759964523893E-2</v>
      </c>
      <c r="F3637">
        <f t="shared" si="118"/>
        <v>-1.8079631294982322E-2</v>
      </c>
      <c r="G3637">
        <f t="shared" si="119"/>
        <v>-3.020155181072133E-2</v>
      </c>
    </row>
    <row r="3638" spans="1:7" x14ac:dyDescent="0.35">
      <c r="A3638" t="s">
        <v>190</v>
      </c>
      <c r="E3638">
        <v>-1.8412975899886917E-2</v>
      </c>
      <c r="F3638">
        <f t="shared" si="118"/>
        <v>-1.7617423559424167E-2</v>
      </c>
      <c r="G3638">
        <f t="shared" si="119"/>
        <v>-2.9543947216801772E-2</v>
      </c>
    </row>
    <row r="3639" spans="1:7" x14ac:dyDescent="0.35">
      <c r="A3639" t="s">
        <v>190</v>
      </c>
      <c r="E3639">
        <v>8.8316719159654497E-4</v>
      </c>
      <c r="F3639">
        <f t="shared" si="118"/>
        <v>-1.6904611082071929E-2</v>
      </c>
      <c r="G3639">
        <f t="shared" si="119"/>
        <v>-2.9387657452482254E-2</v>
      </c>
    </row>
    <row r="3640" spans="1:7" x14ac:dyDescent="0.35">
      <c r="A3640" t="s">
        <v>190</v>
      </c>
      <c r="E3640">
        <v>1.491786047258249E-2</v>
      </c>
      <c r="F3640">
        <f t="shared" si="118"/>
        <v>-1.7006368021011319E-2</v>
      </c>
      <c r="G3640">
        <f t="shared" si="119"/>
        <v>-2.9387657452482254E-2</v>
      </c>
    </row>
    <row r="3641" spans="1:7" x14ac:dyDescent="0.35">
      <c r="A3641" t="s">
        <v>190</v>
      </c>
      <c r="E3641">
        <v>3.6973541612432422E-3</v>
      </c>
      <c r="F3641">
        <f t="shared" si="118"/>
        <v>-1.7040315550923144E-2</v>
      </c>
      <c r="G3641">
        <f t="shared" si="119"/>
        <v>-3.0935318631416124E-2</v>
      </c>
    </row>
    <row r="3642" spans="1:7" x14ac:dyDescent="0.35">
      <c r="A3642" t="s">
        <v>190</v>
      </c>
      <c r="E3642">
        <v>2.3997787994014994E-3</v>
      </c>
      <c r="F3642">
        <f t="shared" si="118"/>
        <v>-1.707426308083497E-2</v>
      </c>
      <c r="G3642">
        <f t="shared" si="119"/>
        <v>-3.0935318631416124E-2</v>
      </c>
    </row>
    <row r="3643" spans="1:7" x14ac:dyDescent="0.35">
      <c r="A3643" t="s">
        <v>190</v>
      </c>
      <c r="E3643">
        <v>2.0254250147163177E-4</v>
      </c>
      <c r="F3643">
        <f t="shared" si="118"/>
        <v>-1.7108210610746792E-2</v>
      </c>
      <c r="G3643">
        <f t="shared" si="119"/>
        <v>-3.0935318631416124E-2</v>
      </c>
    </row>
    <row r="3644" spans="1:7" x14ac:dyDescent="0.35">
      <c r="A3644" t="s">
        <v>190</v>
      </c>
      <c r="E3644">
        <v>4.8161918630244072E-3</v>
      </c>
      <c r="F3644">
        <f t="shared" si="118"/>
        <v>-1.7142158140658618E-2</v>
      </c>
      <c r="G3644">
        <f t="shared" si="119"/>
        <v>-3.0935318631416124E-2</v>
      </c>
    </row>
    <row r="3645" spans="1:7" x14ac:dyDescent="0.35">
      <c r="A3645" t="s">
        <v>190</v>
      </c>
      <c r="E3645">
        <v>4.1207252620566173E-3</v>
      </c>
      <c r="F3645">
        <f t="shared" si="118"/>
        <v>-1.7176105670570443E-2</v>
      </c>
      <c r="G3645">
        <f t="shared" si="119"/>
        <v>-3.0935318631416124E-2</v>
      </c>
    </row>
    <row r="3646" spans="1:7" x14ac:dyDescent="0.35">
      <c r="A3646" t="s">
        <v>190</v>
      </c>
      <c r="E3646">
        <v>2.4128435218561489E-2</v>
      </c>
      <c r="F3646">
        <f t="shared" si="118"/>
        <v>-1.7210053200482269E-2</v>
      </c>
      <c r="G3646">
        <f t="shared" si="119"/>
        <v>-3.0935318631416124E-2</v>
      </c>
    </row>
    <row r="3647" spans="1:7" x14ac:dyDescent="0.35">
      <c r="A3647" t="s">
        <v>190</v>
      </c>
      <c r="E3647">
        <v>5.4044196859788767E-3</v>
      </c>
      <c r="F3647">
        <f t="shared" si="118"/>
        <v>-1.7244000730394095E-2</v>
      </c>
      <c r="G3647">
        <f t="shared" si="119"/>
        <v>-3.0935318631416124E-2</v>
      </c>
    </row>
    <row r="3648" spans="1:7" x14ac:dyDescent="0.35">
      <c r="A3648" t="s">
        <v>190</v>
      </c>
      <c r="E3648">
        <v>-3.4894749024501149E-3</v>
      </c>
      <c r="F3648">
        <f t="shared" si="118"/>
        <v>-1.7277948260305917E-2</v>
      </c>
      <c r="G3648">
        <f t="shared" si="119"/>
        <v>-3.0935318631416124E-2</v>
      </c>
    </row>
    <row r="3649" spans="1:7" x14ac:dyDescent="0.35">
      <c r="A3649" t="s">
        <v>190</v>
      </c>
      <c r="E3649">
        <v>4.9681584819602706E-3</v>
      </c>
      <c r="F3649">
        <f t="shared" si="118"/>
        <v>-1.7311895790217743E-2</v>
      </c>
      <c r="G3649">
        <f t="shared" si="119"/>
        <v>-3.0935318631416124E-2</v>
      </c>
    </row>
    <row r="3650" spans="1:7" x14ac:dyDescent="0.35">
      <c r="A3650" t="s">
        <v>190</v>
      </c>
      <c r="E3650">
        <v>2.4059126431314557E-3</v>
      </c>
      <c r="F3650">
        <f t="shared" si="118"/>
        <v>-1.7345843320129568E-2</v>
      </c>
      <c r="G3650">
        <f t="shared" si="119"/>
        <v>-3.0935318631416124E-2</v>
      </c>
    </row>
    <row r="3651" spans="1:7" x14ac:dyDescent="0.35">
      <c r="A3651" t="s">
        <v>190</v>
      </c>
      <c r="E3651">
        <v>7.5261981120847221E-3</v>
      </c>
      <c r="F3651">
        <f t="shared" si="118"/>
        <v>-1.7379790850041394E-2</v>
      </c>
      <c r="G3651">
        <f t="shared" si="119"/>
        <v>-3.0935318631416124E-2</v>
      </c>
    </row>
    <row r="3652" spans="1:7" x14ac:dyDescent="0.35">
      <c r="A3652" t="s">
        <v>190</v>
      </c>
      <c r="E3652">
        <v>2.610754128439884E-3</v>
      </c>
      <c r="F3652">
        <f t="shared" ref="F3652:F3715" si="120">_xlfn.PERCENTILE.EXC(E3652:E7467,0.05)</f>
        <v>-1.741373837995322E-2</v>
      </c>
      <c r="G3652">
        <f t="shared" ref="G3652:G3715" si="121">AVERAGEIFS(E3652:E7468,E3652:E7468,"&lt;=" &amp; F3652)</f>
        <v>-3.0935318631416124E-2</v>
      </c>
    </row>
    <row r="3653" spans="1:7" x14ac:dyDescent="0.35">
      <c r="A3653" t="s">
        <v>190</v>
      </c>
      <c r="E3653">
        <v>5.3640813967983265E-3</v>
      </c>
      <c r="F3653">
        <f t="shared" si="120"/>
        <v>-1.7447685909865042E-2</v>
      </c>
      <c r="G3653">
        <f t="shared" si="121"/>
        <v>-3.0935318631416124E-2</v>
      </c>
    </row>
    <row r="3654" spans="1:7" x14ac:dyDescent="0.35">
      <c r="A3654" t="s">
        <v>190</v>
      </c>
      <c r="E3654">
        <v>6.9123757849909586E-3</v>
      </c>
      <c r="F3654">
        <f t="shared" si="120"/>
        <v>-1.7481633439776868E-2</v>
      </c>
      <c r="G3654">
        <f t="shared" si="121"/>
        <v>-3.0935318631416124E-2</v>
      </c>
    </row>
    <row r="3655" spans="1:7" x14ac:dyDescent="0.35">
      <c r="A3655" t="s">
        <v>190</v>
      </c>
      <c r="E3655">
        <v>-2.9878774367580882E-4</v>
      </c>
      <c r="F3655">
        <f t="shared" si="120"/>
        <v>-1.7515580969688693E-2</v>
      </c>
      <c r="G3655">
        <f t="shared" si="121"/>
        <v>-3.0935318631416124E-2</v>
      </c>
    </row>
    <row r="3656" spans="1:7" x14ac:dyDescent="0.35">
      <c r="A3656" t="s">
        <v>191</v>
      </c>
      <c r="B3656" s="3" cm="1">
        <f t="array" ref="B3656">_xlfn.STDEV.S(_xlfn._xlws.FILTER($E$2826:$E$3824, $A$2826:$A$3824="2024-09"))</f>
        <v>9.5992045831904925E-3</v>
      </c>
      <c r="C3656" s="3" cm="1">
        <f t="array" ref="C3656">AVERAGE(_xlfn._xlws.FILTER($E$2826:$E$3824, $A$2826:$A$3824="2024-09"))</f>
        <v>1.0413323617249075E-3</v>
      </c>
      <c r="D3656" s="3" cm="1">
        <f t="array" ref="D3656">_xlfn.PERCENTILE.EXC(_xlfn._xlws.FILTER($E$2490:$E$3818, $A$2490:$A$3818="2024-09"), 0.05)</f>
        <v>-1.4963352463011092E-2</v>
      </c>
      <c r="E3656">
        <v>1.2648738649491257E-3</v>
      </c>
      <c r="F3656">
        <f t="shared" si="120"/>
        <v>-1.7549528499600519E-2</v>
      </c>
      <c r="G3656">
        <f t="shared" si="121"/>
        <v>-3.0935318631416124E-2</v>
      </c>
    </row>
    <row r="3657" spans="1:7" x14ac:dyDescent="0.35">
      <c r="A3657" t="s">
        <v>191</v>
      </c>
      <c r="E3657">
        <v>-9.7532592813576388E-3</v>
      </c>
      <c r="F3657">
        <f t="shared" si="120"/>
        <v>-1.7583476029512345E-2</v>
      </c>
      <c r="G3657">
        <f t="shared" si="121"/>
        <v>-3.0935318631416124E-2</v>
      </c>
    </row>
    <row r="3658" spans="1:7" x14ac:dyDescent="0.35">
      <c r="A3658" t="s">
        <v>191</v>
      </c>
      <c r="E3658">
        <v>-8.3162945525999624E-3</v>
      </c>
      <c r="F3658">
        <f t="shared" si="120"/>
        <v>-1.7617423559424167E-2</v>
      </c>
      <c r="G3658">
        <f t="shared" si="121"/>
        <v>-3.0935318631416124E-2</v>
      </c>
    </row>
    <row r="3659" spans="1:7" x14ac:dyDescent="0.35">
      <c r="A3659" t="s">
        <v>191</v>
      </c>
      <c r="E3659">
        <v>-8.2597160609405331E-4</v>
      </c>
      <c r="F3659">
        <f t="shared" si="120"/>
        <v>-1.7651371089335992E-2</v>
      </c>
      <c r="G3659">
        <f t="shared" si="121"/>
        <v>-3.0935318631416124E-2</v>
      </c>
    </row>
    <row r="3660" spans="1:7" x14ac:dyDescent="0.35">
      <c r="A3660" t="s">
        <v>191</v>
      </c>
      <c r="E3660">
        <v>-1.4892461450098694E-2</v>
      </c>
      <c r="F3660">
        <f t="shared" si="120"/>
        <v>-1.7685318619247818E-2</v>
      </c>
      <c r="G3660">
        <f t="shared" si="121"/>
        <v>-3.0935318631416124E-2</v>
      </c>
    </row>
    <row r="3661" spans="1:7" x14ac:dyDescent="0.35">
      <c r="A3661" t="s">
        <v>191</v>
      </c>
      <c r="E3661">
        <v>7.7103784688395249E-3</v>
      </c>
      <c r="F3661">
        <f t="shared" si="120"/>
        <v>-1.770851348252632E-2</v>
      </c>
      <c r="G3661">
        <f t="shared" si="121"/>
        <v>-3.2828175776011596E-2</v>
      </c>
    </row>
    <row r="3662" spans="1:7" x14ac:dyDescent="0.35">
      <c r="A3662" t="s">
        <v>191</v>
      </c>
      <c r="E3662">
        <v>-9.6782295253619571E-3</v>
      </c>
      <c r="F3662">
        <f t="shared" si="120"/>
        <v>-1.7731708345804818E-2</v>
      </c>
      <c r="G3662">
        <f t="shared" si="121"/>
        <v>-3.2828175776011596E-2</v>
      </c>
    </row>
    <row r="3663" spans="1:7" x14ac:dyDescent="0.35">
      <c r="A3663" t="s">
        <v>191</v>
      </c>
      <c r="E3663">
        <v>3.5167631560207445E-3</v>
      </c>
      <c r="F3663">
        <f t="shared" si="120"/>
        <v>-1.7754903209083319E-2</v>
      </c>
      <c r="G3663">
        <f t="shared" si="121"/>
        <v>-3.2828175776011596E-2</v>
      </c>
    </row>
    <row r="3664" spans="1:7" x14ac:dyDescent="0.35">
      <c r="A3664" t="s">
        <v>191</v>
      </c>
      <c r="E3664">
        <v>1.0210500699751554E-2</v>
      </c>
      <c r="F3664">
        <f t="shared" si="120"/>
        <v>-1.7778098072361817E-2</v>
      </c>
      <c r="G3664">
        <f t="shared" si="121"/>
        <v>-3.2828175776011596E-2</v>
      </c>
    </row>
    <row r="3665" spans="1:7" x14ac:dyDescent="0.35">
      <c r="A3665" t="s">
        <v>191</v>
      </c>
      <c r="E3665">
        <v>9.727145390510384E-3</v>
      </c>
      <c r="F3665">
        <f t="shared" si="120"/>
        <v>-1.7801292935640319E-2</v>
      </c>
      <c r="G3665">
        <f t="shared" si="121"/>
        <v>-3.2828175776011596E-2</v>
      </c>
    </row>
    <row r="3666" spans="1:7" x14ac:dyDescent="0.35">
      <c r="A3666" t="s">
        <v>191</v>
      </c>
      <c r="E3666">
        <v>-3.5513320519060267E-3</v>
      </c>
      <c r="F3666">
        <f t="shared" si="120"/>
        <v>-1.782448779891882E-2</v>
      </c>
      <c r="G3666">
        <f t="shared" si="121"/>
        <v>-3.2828175776011596E-2</v>
      </c>
    </row>
    <row r="3667" spans="1:7" x14ac:dyDescent="0.35">
      <c r="A3667" t="s">
        <v>191</v>
      </c>
      <c r="E3667">
        <v>4.9770989101863916E-3</v>
      </c>
      <c r="F3667">
        <f t="shared" si="120"/>
        <v>-1.7847682662197321E-2</v>
      </c>
      <c r="G3667">
        <f t="shared" si="121"/>
        <v>-3.2828175776011596E-2</v>
      </c>
    </row>
    <row r="3668" spans="1:7" x14ac:dyDescent="0.35">
      <c r="A3668" t="s">
        <v>191</v>
      </c>
      <c r="E3668">
        <v>-7.7943096940497113E-4</v>
      </c>
      <c r="F3668">
        <f t="shared" si="120"/>
        <v>-1.7870877525475819E-2</v>
      </c>
      <c r="G3668">
        <f t="shared" si="121"/>
        <v>-3.2828175776011596E-2</v>
      </c>
    </row>
    <row r="3669" spans="1:7" x14ac:dyDescent="0.35">
      <c r="A3669" t="s">
        <v>191</v>
      </c>
      <c r="E3669">
        <v>1.5426460806394631E-2</v>
      </c>
      <c r="F3669">
        <f t="shared" si="120"/>
        <v>-1.7894072388754321E-2</v>
      </c>
      <c r="G3669">
        <f t="shared" si="121"/>
        <v>-3.2828175776011596E-2</v>
      </c>
    </row>
    <row r="3670" spans="1:7" x14ac:dyDescent="0.35">
      <c r="A3670" t="s">
        <v>191</v>
      </c>
      <c r="E3670">
        <v>-1.4971229242223581E-2</v>
      </c>
      <c r="F3670">
        <f t="shared" si="120"/>
        <v>-1.7917267252032819E-2</v>
      </c>
      <c r="G3670">
        <f t="shared" si="121"/>
        <v>-3.2828175776011596E-2</v>
      </c>
    </row>
    <row r="3671" spans="1:7" x14ac:dyDescent="0.35">
      <c r="A3671" t="s">
        <v>191</v>
      </c>
      <c r="E3671">
        <v>6.7496023782031437E-3</v>
      </c>
      <c r="F3671">
        <f t="shared" si="120"/>
        <v>-1.794046211531132E-2</v>
      </c>
      <c r="G3671">
        <f t="shared" si="121"/>
        <v>-3.2828175776011596E-2</v>
      </c>
    </row>
    <row r="3672" spans="1:7" x14ac:dyDescent="0.35">
      <c r="A3672" t="s">
        <v>191</v>
      </c>
      <c r="E3672">
        <v>7.9189873982087149E-3</v>
      </c>
      <c r="F3672">
        <f t="shared" si="120"/>
        <v>-1.7963656978589822E-2</v>
      </c>
      <c r="G3672">
        <f t="shared" si="121"/>
        <v>-3.2828175776011596E-2</v>
      </c>
    </row>
    <row r="3673" spans="1:7" x14ac:dyDescent="0.35">
      <c r="A3673" t="s">
        <v>191</v>
      </c>
      <c r="E3673">
        <v>-4.1213157168686005E-3</v>
      </c>
      <c r="F3673">
        <f t="shared" si="120"/>
        <v>-1.798685184186832E-2</v>
      </c>
      <c r="G3673">
        <f t="shared" si="121"/>
        <v>-3.2828175776011596E-2</v>
      </c>
    </row>
    <row r="3674" spans="1:7" x14ac:dyDescent="0.35">
      <c r="A3674" t="s">
        <v>191</v>
      </c>
      <c r="E3674">
        <v>1.6765923222383346E-2</v>
      </c>
      <c r="F3674">
        <f t="shared" si="120"/>
        <v>-1.8010046705146821E-2</v>
      </c>
      <c r="G3674">
        <f t="shared" si="121"/>
        <v>-3.2828175776011596E-2</v>
      </c>
    </row>
    <row r="3675" spans="1:7" x14ac:dyDescent="0.35">
      <c r="A3675" t="s">
        <v>191</v>
      </c>
      <c r="E3675">
        <v>1.2155040164907134E-2</v>
      </c>
      <c r="F3675">
        <f t="shared" si="120"/>
        <v>-1.8033241568425323E-2</v>
      </c>
      <c r="G3675">
        <f t="shared" si="121"/>
        <v>-3.2828175776011596E-2</v>
      </c>
    </row>
    <row r="3676" spans="1:7" x14ac:dyDescent="0.35">
      <c r="A3676" t="s">
        <v>191</v>
      </c>
      <c r="E3676">
        <v>-7.6652704682161517E-3</v>
      </c>
      <c r="F3676">
        <f t="shared" si="120"/>
        <v>-1.8056436431703821E-2</v>
      </c>
      <c r="G3676">
        <f t="shared" si="121"/>
        <v>-3.2828175776011596E-2</v>
      </c>
    </row>
    <row r="3677" spans="1:7" x14ac:dyDescent="0.35">
      <c r="A3677" t="s">
        <v>192</v>
      </c>
      <c r="B3677" s="3" cm="1">
        <f t="array" ref="B3677">_xlfn.STDEV.S(_xlfn._xlws.FILTER($E$2826:$E$3824, $A$2826:$A$3824="2024-10"))</f>
        <v>6.0037739277690877E-3</v>
      </c>
      <c r="C3677" s="3" cm="1">
        <f t="array" ref="C3677">AVERAGE(_xlfn._xlws.FILTER($E$2826:$E$3824, $A$2826:$A$3824="2024-10"))</f>
        <v>-5.6018457937899587E-4</v>
      </c>
      <c r="D3677" s="3" cm="1">
        <f t="array" ref="D3677">_xlfn.PERCENTILE.EXC(_xlfn._xlws.FILTER($E$2490:$E$3818, $A$2490:$A$3818="2024-10"), 0.05)</f>
        <v>-1.1123565585648719E-2</v>
      </c>
      <c r="E3677">
        <v>-5.801552259997636E-3</v>
      </c>
      <c r="F3677">
        <f t="shared" si="120"/>
        <v>-1.8079631294982322E-2</v>
      </c>
      <c r="G3677">
        <f t="shared" si="121"/>
        <v>-3.2828175776011596E-2</v>
      </c>
    </row>
    <row r="3678" spans="1:7" x14ac:dyDescent="0.35">
      <c r="A3678" t="s">
        <v>192</v>
      </c>
      <c r="E3678">
        <v>-2.5217658210956988E-3</v>
      </c>
      <c r="F3678">
        <f t="shared" si="120"/>
        <v>-1.8102826158260824E-2</v>
      </c>
      <c r="G3678">
        <f t="shared" si="121"/>
        <v>-3.2828175776011596E-2</v>
      </c>
    </row>
    <row r="3679" spans="1:7" x14ac:dyDescent="0.35">
      <c r="A3679" t="s">
        <v>192</v>
      </c>
      <c r="E3679">
        <v>-7.8229510622974917E-3</v>
      </c>
      <c r="F3679">
        <f t="shared" si="120"/>
        <v>-1.8126021021539322E-2</v>
      </c>
      <c r="G3679">
        <f t="shared" si="121"/>
        <v>-3.2828175776011596E-2</v>
      </c>
    </row>
    <row r="3680" spans="1:7" x14ac:dyDescent="0.35">
      <c r="A3680" t="s">
        <v>192</v>
      </c>
      <c r="E3680">
        <v>5.533843535160462E-3</v>
      </c>
      <c r="F3680">
        <f t="shared" si="120"/>
        <v>-1.8149215884817823E-2</v>
      </c>
      <c r="G3680">
        <f t="shared" si="121"/>
        <v>-3.2828175776011596E-2</v>
      </c>
    </row>
    <row r="3681" spans="1:7" x14ac:dyDescent="0.35">
      <c r="A3681" t="s">
        <v>192</v>
      </c>
      <c r="E3681">
        <v>-8.8057490537055648E-4</v>
      </c>
      <c r="F3681">
        <f t="shared" si="120"/>
        <v>-1.8320112495139155E-2</v>
      </c>
      <c r="G3681">
        <f t="shared" si="121"/>
        <v>-3.5274669091210555E-2</v>
      </c>
    </row>
    <row r="3682" spans="1:7" x14ac:dyDescent="0.35">
      <c r="A3682" t="s">
        <v>192</v>
      </c>
      <c r="E3682">
        <v>-1.9716767232229628E-3</v>
      </c>
      <c r="F3682">
        <f t="shared" si="120"/>
        <v>-1.849100910546049E-2</v>
      </c>
      <c r="G3682">
        <f t="shared" si="121"/>
        <v>-3.5274669091210555E-2</v>
      </c>
    </row>
    <row r="3683" spans="1:7" x14ac:dyDescent="0.35">
      <c r="A3683" t="s">
        <v>192</v>
      </c>
      <c r="E3683">
        <v>9.8358368617613347E-3</v>
      </c>
      <c r="F3683">
        <f t="shared" si="120"/>
        <v>-1.8661905715781822E-2</v>
      </c>
      <c r="G3683">
        <f t="shared" si="121"/>
        <v>-3.5274669091210555E-2</v>
      </c>
    </row>
    <row r="3684" spans="1:7" x14ac:dyDescent="0.35">
      <c r="A3684" t="s">
        <v>192</v>
      </c>
      <c r="E3684">
        <v>-2.2893055592356371E-3</v>
      </c>
      <c r="F3684">
        <f t="shared" si="120"/>
        <v>-1.8832802326103158E-2</v>
      </c>
      <c r="G3684">
        <f t="shared" si="121"/>
        <v>-3.5274669091210555E-2</v>
      </c>
    </row>
    <row r="3685" spans="1:7" x14ac:dyDescent="0.35">
      <c r="A3685" t="s">
        <v>192</v>
      </c>
      <c r="E3685">
        <v>8.4453600376056554E-3</v>
      </c>
      <c r="F3685">
        <f t="shared" si="120"/>
        <v>-1.9003698936424493E-2</v>
      </c>
      <c r="G3685">
        <f t="shared" si="121"/>
        <v>-3.5274669091210555E-2</v>
      </c>
    </row>
    <row r="3686" spans="1:7" x14ac:dyDescent="0.35">
      <c r="A3686" t="s">
        <v>192</v>
      </c>
      <c r="E3686">
        <v>6.9163171141751198E-3</v>
      </c>
      <c r="F3686">
        <f t="shared" si="120"/>
        <v>-1.9174595546745825E-2</v>
      </c>
      <c r="G3686">
        <f t="shared" si="121"/>
        <v>-3.5274669091210555E-2</v>
      </c>
    </row>
    <row r="3687" spans="1:7" x14ac:dyDescent="0.35">
      <c r="A3687" t="s">
        <v>192</v>
      </c>
      <c r="E3687">
        <v>-1.1334938876574716E-3</v>
      </c>
      <c r="F3687">
        <f t="shared" si="120"/>
        <v>-1.934549215706716E-2</v>
      </c>
      <c r="G3687">
        <f t="shared" si="121"/>
        <v>-3.5274669091210555E-2</v>
      </c>
    </row>
    <row r="3688" spans="1:7" x14ac:dyDescent="0.35">
      <c r="A3688" t="s">
        <v>192</v>
      </c>
      <c r="E3688">
        <v>-2.7431348941526581E-3</v>
      </c>
      <c r="F3688">
        <f t="shared" si="120"/>
        <v>-1.9516388767388492E-2</v>
      </c>
      <c r="G3688">
        <f t="shared" si="121"/>
        <v>-3.5274669091210555E-2</v>
      </c>
    </row>
    <row r="3689" spans="1:7" x14ac:dyDescent="0.35">
      <c r="A3689" t="s">
        <v>192</v>
      </c>
      <c r="E3689">
        <v>7.7188833173658872E-3</v>
      </c>
      <c r="F3689">
        <f t="shared" si="120"/>
        <v>-1.9687285377709828E-2</v>
      </c>
      <c r="G3689">
        <f t="shared" si="121"/>
        <v>-3.5274669091210555E-2</v>
      </c>
    </row>
    <row r="3690" spans="1:7" x14ac:dyDescent="0.35">
      <c r="A3690" t="s">
        <v>192</v>
      </c>
      <c r="E3690">
        <v>3.770573640733463E-3</v>
      </c>
      <c r="F3690">
        <f t="shared" si="120"/>
        <v>-1.9858181988031163E-2</v>
      </c>
      <c r="G3690">
        <f t="shared" si="121"/>
        <v>-3.5274669091210555E-2</v>
      </c>
    </row>
    <row r="3691" spans="1:7" x14ac:dyDescent="0.35">
      <c r="A3691" t="s">
        <v>192</v>
      </c>
      <c r="E3691">
        <v>-1.0030105642382299E-2</v>
      </c>
      <c r="F3691">
        <f t="shared" si="120"/>
        <v>-2.0029078598352495E-2</v>
      </c>
      <c r="G3691">
        <f t="shared" si="121"/>
        <v>-3.5274669091210555E-2</v>
      </c>
    </row>
    <row r="3692" spans="1:7" x14ac:dyDescent="0.35">
      <c r="A3692" t="s">
        <v>192</v>
      </c>
      <c r="E3692">
        <v>-2.0204157262155163E-3</v>
      </c>
      <c r="F3692">
        <f t="shared" si="120"/>
        <v>-2.019997520867383E-2</v>
      </c>
      <c r="G3692">
        <f t="shared" si="121"/>
        <v>-3.5274669091210555E-2</v>
      </c>
    </row>
    <row r="3693" spans="1:7" x14ac:dyDescent="0.35">
      <c r="A3693" t="s">
        <v>192</v>
      </c>
      <c r="E3693">
        <v>-2.2830183374520359E-3</v>
      </c>
      <c r="F3693">
        <f t="shared" si="120"/>
        <v>-2.0370871818995162E-2</v>
      </c>
      <c r="G3693">
        <f t="shared" si="121"/>
        <v>-3.5274669091210555E-2</v>
      </c>
    </row>
    <row r="3694" spans="1:7" x14ac:dyDescent="0.35">
      <c r="A3694" t="s">
        <v>192</v>
      </c>
      <c r="E3694">
        <v>3.3683162100116553E-3</v>
      </c>
      <c r="F3694">
        <f t="shared" si="120"/>
        <v>-2.0541768429316497E-2</v>
      </c>
      <c r="G3694">
        <f t="shared" si="121"/>
        <v>-3.5274669091210555E-2</v>
      </c>
    </row>
    <row r="3695" spans="1:7" x14ac:dyDescent="0.35">
      <c r="A3695" t="s">
        <v>192</v>
      </c>
      <c r="E3695">
        <v>1.0584326162850039E-3</v>
      </c>
      <c r="F3695">
        <f t="shared" si="120"/>
        <v>-2.0712665039637833E-2</v>
      </c>
      <c r="G3695">
        <f t="shared" si="121"/>
        <v>-3.5274669091210555E-2</v>
      </c>
    </row>
    <row r="3696" spans="1:7" x14ac:dyDescent="0.35">
      <c r="A3696" t="s">
        <v>192</v>
      </c>
      <c r="E3696">
        <v>3.4891500272659238E-3</v>
      </c>
      <c r="F3696">
        <f t="shared" si="120"/>
        <v>-2.0883561649959165E-2</v>
      </c>
      <c r="G3696">
        <f t="shared" si="121"/>
        <v>-3.5274669091210555E-2</v>
      </c>
    </row>
    <row r="3697" spans="1:7" x14ac:dyDescent="0.35">
      <c r="A3697" t="s">
        <v>192</v>
      </c>
      <c r="E3697">
        <v>-2.745473426558535E-3</v>
      </c>
      <c r="F3697">
        <f t="shared" si="120"/>
        <v>-2.10544582602805E-2</v>
      </c>
      <c r="G3697">
        <f t="shared" si="121"/>
        <v>-3.5274669091210555E-2</v>
      </c>
    </row>
    <row r="3698" spans="1:7" x14ac:dyDescent="0.35">
      <c r="A3698" t="s">
        <v>192</v>
      </c>
      <c r="E3698">
        <v>-1.1396930571465324E-2</v>
      </c>
      <c r="F3698">
        <f t="shared" si="120"/>
        <v>-2.1225354870601832E-2</v>
      </c>
      <c r="G3698">
        <f t="shared" si="121"/>
        <v>-3.5274669091210555E-2</v>
      </c>
    </row>
    <row r="3699" spans="1:7" x14ac:dyDescent="0.35">
      <c r="A3699" t="s">
        <v>192</v>
      </c>
      <c r="E3699">
        <v>-9.3805598689775879E-3</v>
      </c>
      <c r="F3699">
        <f t="shared" si="120"/>
        <v>-2.1396251480923167E-2</v>
      </c>
      <c r="G3699">
        <f t="shared" si="121"/>
        <v>-3.5274669091210555E-2</v>
      </c>
    </row>
    <row r="3700" spans="1:7" x14ac:dyDescent="0.35">
      <c r="A3700" t="s">
        <v>193</v>
      </c>
      <c r="B3700" s="3" cm="1">
        <f t="array" ref="B3700">_xlfn.STDEV.S(_xlfn._xlws.FILTER($E$2826:$E$3824, $A$2826:$A$3824="2024-11"))</f>
        <v>9.5169752288837093E-3</v>
      </c>
      <c r="C3700" s="3" cm="1">
        <f t="array" ref="C3700">AVERAGE(_xlfn._xlws.FILTER($E$2826:$E$3824, $A$2826:$A$3824="2024-11"))</f>
        <v>1.3507818761507016E-3</v>
      </c>
      <c r="D3700" s="3" cm="1">
        <f t="array" ref="D3700">_xlfn.PERCENTILE.EXC(_xlfn._xlws.FILTER($E$2490:$E$3818, $A$2490:$A$3818="2024-11"), 0.05)</f>
        <v>-2.0543526559657101E-2</v>
      </c>
      <c r="E3700">
        <v>9.2574823385468772E-3</v>
      </c>
      <c r="F3700">
        <f t="shared" si="120"/>
        <v>-2.1567148091244503E-2</v>
      </c>
      <c r="G3700">
        <f t="shared" si="121"/>
        <v>-3.5274669091210555E-2</v>
      </c>
    </row>
    <row r="3701" spans="1:7" x14ac:dyDescent="0.35">
      <c r="A3701" t="s">
        <v>193</v>
      </c>
      <c r="E3701">
        <v>-5.5787714455212039E-3</v>
      </c>
      <c r="F3701">
        <f t="shared" si="120"/>
        <v>-2.2014222165352579E-2</v>
      </c>
      <c r="G3701">
        <f t="shared" si="121"/>
        <v>-3.801617329120377E-2</v>
      </c>
    </row>
    <row r="3702" spans="1:7" x14ac:dyDescent="0.35">
      <c r="A3702" t="s">
        <v>193</v>
      </c>
      <c r="E3702">
        <v>5.6462842028612709E-3</v>
      </c>
      <c r="F3702">
        <f t="shared" si="120"/>
        <v>-2.2461296239460655E-2</v>
      </c>
      <c r="G3702">
        <f t="shared" si="121"/>
        <v>-3.801617329120377E-2</v>
      </c>
    </row>
    <row r="3703" spans="1:7" x14ac:dyDescent="0.35">
      <c r="A3703" t="s">
        <v>193</v>
      </c>
      <c r="E3703">
        <v>-1.1330932775370494E-2</v>
      </c>
      <c r="F3703">
        <f t="shared" si="120"/>
        <v>-2.2908370313568731E-2</v>
      </c>
      <c r="G3703">
        <f t="shared" si="121"/>
        <v>-3.801617329120377E-2</v>
      </c>
    </row>
    <row r="3704" spans="1:7" x14ac:dyDescent="0.35">
      <c r="A3704" t="s">
        <v>193</v>
      </c>
      <c r="E3704">
        <v>1.6833449456166463E-2</v>
      </c>
      <c r="F3704">
        <f t="shared" si="120"/>
        <v>-2.3355444387676807E-2</v>
      </c>
      <c r="G3704">
        <f t="shared" si="121"/>
        <v>-3.801617329120377E-2</v>
      </c>
    </row>
    <row r="3705" spans="1:7" x14ac:dyDescent="0.35">
      <c r="A3705" t="s">
        <v>193</v>
      </c>
      <c r="E3705">
        <v>-7.62303447812395E-3</v>
      </c>
      <c r="F3705">
        <f t="shared" si="120"/>
        <v>-2.3802518461784893E-2</v>
      </c>
      <c r="G3705">
        <f t="shared" si="121"/>
        <v>-3.801617329120377E-2</v>
      </c>
    </row>
    <row r="3706" spans="1:7" x14ac:dyDescent="0.35">
      <c r="A3706" t="s">
        <v>193</v>
      </c>
      <c r="E3706">
        <v>1.2058883850567024E-2</v>
      </c>
      <c r="F3706">
        <f t="shared" si="120"/>
        <v>-2.4249592535892969E-2</v>
      </c>
      <c r="G3706">
        <f t="shared" si="121"/>
        <v>-3.801617329120377E-2</v>
      </c>
    </row>
    <row r="3707" spans="1:7" x14ac:dyDescent="0.35">
      <c r="A3707" t="s">
        <v>193</v>
      </c>
      <c r="E3707">
        <v>-2.1567148091244503E-2</v>
      </c>
      <c r="F3707">
        <f t="shared" si="120"/>
        <v>-2.4696666610001045E-2</v>
      </c>
      <c r="G3707">
        <f t="shared" si="121"/>
        <v>-3.801617329120377E-2</v>
      </c>
    </row>
    <row r="3708" spans="1:7" x14ac:dyDescent="0.35">
      <c r="A3708" t="s">
        <v>193</v>
      </c>
      <c r="E3708">
        <v>-1.60528996595157E-3</v>
      </c>
      <c r="F3708">
        <f t="shared" si="120"/>
        <v>-2.3092981360253111E-2</v>
      </c>
      <c r="G3708">
        <f t="shared" si="121"/>
        <v>-3.801617329120377E-2</v>
      </c>
    </row>
    <row r="3709" spans="1:7" x14ac:dyDescent="0.35">
      <c r="A3709" t="s">
        <v>193</v>
      </c>
      <c r="E3709">
        <v>1.3619845933279758E-2</v>
      </c>
      <c r="F3709">
        <f t="shared" si="120"/>
        <v>-2.3710952044682522E-2</v>
      </c>
      <c r="G3709">
        <f t="shared" si="121"/>
        <v>-3.801617329120377E-2</v>
      </c>
    </row>
    <row r="3710" spans="1:7" x14ac:dyDescent="0.35">
      <c r="A3710" t="s">
        <v>193</v>
      </c>
      <c r="E3710">
        <v>-2.7493544851418979E-3</v>
      </c>
      <c r="F3710">
        <f t="shared" si="120"/>
        <v>-2.432892272911194E-2</v>
      </c>
      <c r="G3710">
        <f t="shared" si="121"/>
        <v>-3.801617329120377E-2</v>
      </c>
    </row>
    <row r="3711" spans="1:7" x14ac:dyDescent="0.35">
      <c r="A3711" t="s">
        <v>193</v>
      </c>
      <c r="E3711">
        <v>-1.1260417856490811E-3</v>
      </c>
      <c r="F3711">
        <f t="shared" si="120"/>
        <v>-2.4946893413541352E-2</v>
      </c>
      <c r="G3711">
        <f t="shared" si="121"/>
        <v>-3.801617329120377E-2</v>
      </c>
    </row>
    <row r="3712" spans="1:7" x14ac:dyDescent="0.35">
      <c r="A3712" t="s">
        <v>193</v>
      </c>
      <c r="E3712">
        <v>-6.7389371227433532E-3</v>
      </c>
      <c r="F3712">
        <f t="shared" si="120"/>
        <v>-2.5564864097970763E-2</v>
      </c>
      <c r="G3712">
        <f t="shared" si="121"/>
        <v>-3.801617329120377E-2</v>
      </c>
    </row>
    <row r="3713" spans="1:7" x14ac:dyDescent="0.35">
      <c r="A3713" t="s">
        <v>193</v>
      </c>
      <c r="E3713">
        <v>-2.9176360487813894E-3</v>
      </c>
      <c r="F3713">
        <f t="shared" si="120"/>
        <v>-2.6182834782400171E-2</v>
      </c>
      <c r="G3713">
        <f t="shared" si="121"/>
        <v>-3.801617329120377E-2</v>
      </c>
    </row>
    <row r="3714" spans="1:7" x14ac:dyDescent="0.35">
      <c r="A3714" t="s">
        <v>193</v>
      </c>
      <c r="E3714">
        <v>7.4121691508558457E-3</v>
      </c>
      <c r="F3714">
        <f t="shared" si="120"/>
        <v>-2.6800805466829582E-2</v>
      </c>
      <c r="G3714">
        <f t="shared" si="121"/>
        <v>-3.801617329120377E-2</v>
      </c>
    </row>
    <row r="3715" spans="1:7" x14ac:dyDescent="0.35">
      <c r="A3715" t="s">
        <v>193</v>
      </c>
      <c r="E3715">
        <v>9.1721821464318416E-3</v>
      </c>
      <c r="F3715">
        <f t="shared" si="120"/>
        <v>-2.7418776151259001E-2</v>
      </c>
      <c r="G3715">
        <f t="shared" si="121"/>
        <v>-3.801617329120377E-2</v>
      </c>
    </row>
    <row r="3716" spans="1:7" x14ac:dyDescent="0.35">
      <c r="A3716" t="s">
        <v>193</v>
      </c>
      <c r="E3716">
        <v>4.2661936193418414E-3</v>
      </c>
      <c r="F3716">
        <f t="shared" ref="F3716:F3779" si="122">_xlfn.PERCENTILE.EXC(E3716:E7531,0.05)</f>
        <v>-2.8036746835688412E-2</v>
      </c>
      <c r="G3716">
        <f t="shared" ref="G3716:G3779" si="123">AVERAGEIFS(E3716:E7532,E3716:E7532,"&lt;=" &amp; F3716)</f>
        <v>-3.801617329120377E-2</v>
      </c>
    </row>
    <row r="3717" spans="1:7" x14ac:dyDescent="0.35">
      <c r="A3717" t="s">
        <v>193</v>
      </c>
      <c r="E3717">
        <v>-5.6442873297690849E-3</v>
      </c>
      <c r="F3717">
        <f t="shared" si="122"/>
        <v>-2.865471752011782E-2</v>
      </c>
      <c r="G3717">
        <f t="shared" si="123"/>
        <v>-3.801617329120377E-2</v>
      </c>
    </row>
    <row r="3718" spans="1:7" x14ac:dyDescent="0.35">
      <c r="A3718" t="s">
        <v>193</v>
      </c>
      <c r="E3718">
        <v>-1.7755199277769567E-3</v>
      </c>
      <c r="F3718">
        <f t="shared" si="122"/>
        <v>-2.9272688204547231E-2</v>
      </c>
      <c r="G3718">
        <f t="shared" si="123"/>
        <v>-3.801617329120377E-2</v>
      </c>
    </row>
    <row r="3719" spans="1:7" x14ac:dyDescent="0.35">
      <c r="A3719" t="s">
        <v>193</v>
      </c>
      <c r="E3719">
        <v>8.4772118529493484E-3</v>
      </c>
      <c r="F3719">
        <f t="shared" si="122"/>
        <v>-2.9890658888976639E-2</v>
      </c>
      <c r="G3719">
        <f t="shared" si="123"/>
        <v>-3.801617329120377E-2</v>
      </c>
    </row>
    <row r="3720" spans="1:7" x14ac:dyDescent="0.35">
      <c r="A3720" t="s">
        <v>193</v>
      </c>
      <c r="E3720">
        <v>1.0279670304237943E-2</v>
      </c>
      <c r="F3720">
        <f t="shared" si="122"/>
        <v>-3.0508629573406061E-2</v>
      </c>
      <c r="G3720">
        <f t="shared" si="123"/>
        <v>-3.801617329120377E-2</v>
      </c>
    </row>
    <row r="3721" spans="1:7" x14ac:dyDescent="0.35">
      <c r="A3721" t="s">
        <v>194</v>
      </c>
      <c r="B3721" s="3" cm="1">
        <f t="array" ref="B3721">_xlfn.STDEV.S(_xlfn._xlws.FILTER($E$2826:$E$3824, $A$2826:$A$3824="2024-12"))</f>
        <v>6.5019166706792213E-3</v>
      </c>
      <c r="C3721" s="3" cm="1">
        <f t="array" ref="C3721">AVERAGE(_xlfn._xlws.FILTER($E$2826:$E$3824, $A$2826:$A$3824="2024-12"))</f>
        <v>7.9448758217291358E-4</v>
      </c>
      <c r="D3721" s="3" cm="1">
        <f t="array" ref="D3721">_xlfn.PERCENTILE.INC(_xlfn._xlws.FILTER($E$2490:$E$3818, $A$2490:$A$3818="2024-12"), 0.05)</f>
        <v>-5.8800401983420776E-3</v>
      </c>
      <c r="E3721">
        <v>1.5529607166567165E-2</v>
      </c>
      <c r="F3721">
        <f t="shared" si="122"/>
        <v>-3.0510129322539742E-2</v>
      </c>
      <c r="G3721">
        <f t="shared" si="123"/>
        <v>-3.9893059220653199E-2</v>
      </c>
    </row>
    <row r="3722" spans="1:7" x14ac:dyDescent="0.35">
      <c r="A3722" t="s">
        <v>194</v>
      </c>
      <c r="E3722">
        <v>4.1616695905825852E-3</v>
      </c>
      <c r="F3722">
        <f t="shared" si="122"/>
        <v>-3.0511629071673423E-2</v>
      </c>
      <c r="G3722">
        <f t="shared" si="123"/>
        <v>-3.9893059220653199E-2</v>
      </c>
    </row>
    <row r="3723" spans="1:7" x14ac:dyDescent="0.35">
      <c r="A3723" t="s">
        <v>194</v>
      </c>
      <c r="E3723">
        <v>1.0703006028289429E-2</v>
      </c>
      <c r="F3723">
        <f t="shared" si="122"/>
        <v>-3.0513128820807103E-2</v>
      </c>
      <c r="G3723">
        <f t="shared" si="123"/>
        <v>-3.9893059220653199E-2</v>
      </c>
    </row>
    <row r="3724" spans="1:7" x14ac:dyDescent="0.35">
      <c r="A3724" t="s">
        <v>194</v>
      </c>
      <c r="E3724">
        <v>6.2408217742361792E-3</v>
      </c>
      <c r="F3724">
        <f t="shared" si="122"/>
        <v>-3.0514628569940784E-2</v>
      </c>
      <c r="G3724">
        <f t="shared" si="123"/>
        <v>-3.9893059220653199E-2</v>
      </c>
    </row>
    <row r="3725" spans="1:7" x14ac:dyDescent="0.35">
      <c r="A3725" t="s">
        <v>194</v>
      </c>
      <c r="E3725">
        <v>1.2669535246291558E-3</v>
      </c>
      <c r="F3725">
        <f t="shared" si="122"/>
        <v>-3.0516128319074465E-2</v>
      </c>
      <c r="G3725">
        <f t="shared" si="123"/>
        <v>-3.9893059220653199E-2</v>
      </c>
    </row>
    <row r="3726" spans="1:7" x14ac:dyDescent="0.35">
      <c r="A3726" t="s">
        <v>194</v>
      </c>
      <c r="E3726">
        <v>-1.8978379924838864E-3</v>
      </c>
      <c r="F3726">
        <f t="shared" si="122"/>
        <v>-3.0517628068208149E-2</v>
      </c>
      <c r="G3726">
        <f t="shared" si="123"/>
        <v>-3.9893059220653199E-2</v>
      </c>
    </row>
    <row r="3727" spans="1:7" x14ac:dyDescent="0.35">
      <c r="A3727" t="s">
        <v>194</v>
      </c>
      <c r="E3727">
        <v>-8.260578434836262E-4</v>
      </c>
      <c r="F3727">
        <f t="shared" si="122"/>
        <v>-3.051912781734183E-2</v>
      </c>
      <c r="G3727">
        <f t="shared" si="123"/>
        <v>-3.9893059220653199E-2</v>
      </c>
    </row>
    <row r="3728" spans="1:7" x14ac:dyDescent="0.35">
      <c r="A3728" t="s">
        <v>194</v>
      </c>
      <c r="E3728">
        <v>3.4374149940687962E-3</v>
      </c>
      <c r="F3728">
        <f t="shared" si="122"/>
        <v>-3.052062756647551E-2</v>
      </c>
      <c r="G3728">
        <f t="shared" si="123"/>
        <v>-3.9893059220653199E-2</v>
      </c>
    </row>
    <row r="3729" spans="1:7" x14ac:dyDescent="0.35">
      <c r="A3729" t="s">
        <v>194</v>
      </c>
      <c r="E3729">
        <v>1.3280939838131716E-3</v>
      </c>
      <c r="F3729">
        <f t="shared" si="122"/>
        <v>-3.0522127315609191E-2</v>
      </c>
      <c r="G3729">
        <f t="shared" si="123"/>
        <v>-3.9893059220653199E-2</v>
      </c>
    </row>
    <row r="3730" spans="1:7" x14ac:dyDescent="0.35">
      <c r="A3730" t="s">
        <v>194</v>
      </c>
      <c r="E3730">
        <v>-9.9676268575715874E-4</v>
      </c>
      <c r="F3730">
        <f t="shared" si="122"/>
        <v>-3.0523627064742872E-2</v>
      </c>
      <c r="G3730">
        <f t="shared" si="123"/>
        <v>-3.9893059220653199E-2</v>
      </c>
    </row>
    <row r="3731" spans="1:7" x14ac:dyDescent="0.35">
      <c r="A3731" t="s">
        <v>194</v>
      </c>
      <c r="E3731">
        <v>-4.5241045117552859E-3</v>
      </c>
      <c r="F3731">
        <f t="shared" si="122"/>
        <v>-3.0525126813876553E-2</v>
      </c>
      <c r="G3731">
        <f t="shared" si="123"/>
        <v>-3.9893059220653199E-2</v>
      </c>
    </row>
    <row r="3732" spans="1:7" x14ac:dyDescent="0.35">
      <c r="A3732" t="s">
        <v>194</v>
      </c>
      <c r="E3732">
        <v>-3.3254320936816446E-3</v>
      </c>
      <c r="F3732">
        <f t="shared" si="122"/>
        <v>-3.0526626563010233E-2</v>
      </c>
      <c r="G3732">
        <f t="shared" si="123"/>
        <v>-3.9893059220653199E-2</v>
      </c>
    </row>
    <row r="3733" spans="1:7" x14ac:dyDescent="0.35">
      <c r="A3733" t="s">
        <v>194</v>
      </c>
      <c r="E3733">
        <v>-1.8770558138382417E-4</v>
      </c>
      <c r="F3733">
        <f t="shared" si="122"/>
        <v>-3.0528126312143914E-2</v>
      </c>
      <c r="G3733">
        <f t="shared" si="123"/>
        <v>-3.9893059220653199E-2</v>
      </c>
    </row>
    <row r="3734" spans="1:7" x14ac:dyDescent="0.35">
      <c r="A3734" t="s">
        <v>194</v>
      </c>
      <c r="E3734">
        <v>-1.3563675755667229E-2</v>
      </c>
      <c r="F3734">
        <f t="shared" si="122"/>
        <v>-3.0529626061277595E-2</v>
      </c>
      <c r="G3734">
        <f t="shared" si="123"/>
        <v>-3.9893059220653199E-2</v>
      </c>
    </row>
    <row r="3735" spans="1:7" x14ac:dyDescent="0.35">
      <c r="A3735" t="s">
        <v>194</v>
      </c>
      <c r="E3735">
        <v>-4.2710305974257394E-3</v>
      </c>
      <c r="F3735">
        <f t="shared" si="122"/>
        <v>-3.0531125810411279E-2</v>
      </c>
      <c r="G3735">
        <f t="shared" si="123"/>
        <v>-3.9893059220653199E-2</v>
      </c>
    </row>
    <row r="3736" spans="1:7" x14ac:dyDescent="0.35">
      <c r="A3736" t="s">
        <v>194</v>
      </c>
      <c r="E3736">
        <v>-1.8110658121611221E-3</v>
      </c>
      <c r="F3736">
        <f t="shared" si="122"/>
        <v>-3.053262555954496E-2</v>
      </c>
      <c r="G3736">
        <f t="shared" si="123"/>
        <v>-3.9893059220653199E-2</v>
      </c>
    </row>
    <row r="3737" spans="1:7" x14ac:dyDescent="0.35">
      <c r="A3737" t="s">
        <v>194</v>
      </c>
      <c r="E3737">
        <v>6.8059255874768961E-3</v>
      </c>
      <c r="F3737">
        <f t="shared" si="122"/>
        <v>-3.053412530867864E-2</v>
      </c>
      <c r="G3737">
        <f t="shared" si="123"/>
        <v>-3.9893059220653199E-2</v>
      </c>
    </row>
    <row r="3738" spans="1:7" x14ac:dyDescent="0.35">
      <c r="A3738" t="s">
        <v>194</v>
      </c>
      <c r="E3738">
        <v>-3.7690432967514248E-3</v>
      </c>
      <c r="F3738">
        <f t="shared" si="122"/>
        <v>-3.0535625057812321E-2</v>
      </c>
      <c r="G3738">
        <f t="shared" si="123"/>
        <v>-3.9893059220653199E-2</v>
      </c>
    </row>
    <row r="3739" spans="1:7" x14ac:dyDescent="0.35">
      <c r="A3739" t="s">
        <v>195</v>
      </c>
      <c r="B3739" s="3" cm="1">
        <f t="array" ref="B3739">_xlfn.STDEV.S(_xlfn._xlws.FILTER($E$2826:$E$3824, $A$2826:$A$3824="2025-01"))</f>
        <v>6.2837020466361337E-3</v>
      </c>
      <c r="C3739" s="3" cm="1">
        <f t="array" ref="C3739">AVERAGE(_xlfn._xlws.FILTER($E$2826:$E$3824, $A$2826:$A$3824="2025-01"))</f>
        <v>3.9822366669437564E-3</v>
      </c>
      <c r="D3739" s="3" cm="1">
        <f t="array" ref="D3739">_xlfn.PERCENTILE.EXC(_xlfn._xlws.FILTER($E$2490:$E$3818, $A$2490:$A$3818="2025-01"), 0.05)</f>
        <v>-5.8409874151234267E-3</v>
      </c>
      <c r="E3739">
        <v>5.7855912652376501E-3</v>
      </c>
      <c r="F3739">
        <f t="shared" si="122"/>
        <v>-3.0537124806946002E-2</v>
      </c>
      <c r="G3739">
        <f t="shared" si="123"/>
        <v>-3.9893059220653199E-2</v>
      </c>
    </row>
    <row r="3740" spans="1:7" x14ac:dyDescent="0.35">
      <c r="A3740" t="s">
        <v>195</v>
      </c>
      <c r="E3740">
        <v>-5.9393013291790331E-3</v>
      </c>
      <c r="F3740">
        <f t="shared" si="122"/>
        <v>-3.0538624556079683E-2</v>
      </c>
      <c r="G3740">
        <f t="shared" si="123"/>
        <v>-3.9893059220653199E-2</v>
      </c>
    </row>
    <row r="3741" spans="1:7" x14ac:dyDescent="0.35">
      <c r="A3741" t="s">
        <v>195</v>
      </c>
      <c r="E3741">
        <v>1.5458555833394557E-2</v>
      </c>
      <c r="F3741">
        <f t="shared" si="122"/>
        <v>-3.0815585730289655E-2</v>
      </c>
      <c r="G3741">
        <f t="shared" si="123"/>
        <v>-4.3011204108844368E-2</v>
      </c>
    </row>
    <row r="3742" spans="1:7" x14ac:dyDescent="0.35">
      <c r="A3742" t="s">
        <v>195</v>
      </c>
      <c r="E3742">
        <v>6.1336452886121065E-3</v>
      </c>
      <c r="F3742">
        <f t="shared" si="122"/>
        <v>-3.1092546904499627E-2</v>
      </c>
      <c r="G3742">
        <f t="shared" si="123"/>
        <v>-4.3011204108844368E-2</v>
      </c>
    </row>
    <row r="3743" spans="1:7" x14ac:dyDescent="0.35">
      <c r="A3743" t="s">
        <v>195</v>
      </c>
      <c r="E3743">
        <v>-5.2273749417248441E-4</v>
      </c>
      <c r="F3743">
        <f t="shared" si="122"/>
        <v>-3.1369508078709599E-2</v>
      </c>
      <c r="G3743">
        <f t="shared" si="123"/>
        <v>-4.3011204108844368E-2</v>
      </c>
    </row>
    <row r="3744" spans="1:7" x14ac:dyDescent="0.35">
      <c r="A3744" t="s">
        <v>195</v>
      </c>
      <c r="E3744">
        <v>-6.3178034253349405E-4</v>
      </c>
      <c r="F3744">
        <f t="shared" si="122"/>
        <v>-3.1646469252919571E-2</v>
      </c>
      <c r="G3744">
        <f t="shared" si="123"/>
        <v>-4.3011204108844368E-2</v>
      </c>
    </row>
    <row r="3745" spans="1:7" x14ac:dyDescent="0.35">
      <c r="A3745" t="s">
        <v>195</v>
      </c>
      <c r="E3745">
        <v>-5.0483812765998361E-3</v>
      </c>
      <c r="F3745">
        <f t="shared" si="122"/>
        <v>-3.192343042712955E-2</v>
      </c>
      <c r="G3745">
        <f t="shared" si="123"/>
        <v>-4.3011204108844368E-2</v>
      </c>
    </row>
    <row r="3746" spans="1:7" x14ac:dyDescent="0.35">
      <c r="A3746" t="s">
        <v>195</v>
      </c>
      <c r="E3746">
        <v>-4.0617053512949607E-3</v>
      </c>
      <c r="F3746">
        <f t="shared" si="122"/>
        <v>-3.2200391601339522E-2</v>
      </c>
      <c r="G3746">
        <f t="shared" si="123"/>
        <v>-4.3011204108844368E-2</v>
      </c>
    </row>
    <row r="3747" spans="1:7" x14ac:dyDescent="0.35">
      <c r="A3747" t="s">
        <v>195</v>
      </c>
      <c r="E3747">
        <v>6.8547631576008324E-3</v>
      </c>
      <c r="F3747">
        <f t="shared" si="122"/>
        <v>-3.2477352775549494E-2</v>
      </c>
      <c r="G3747">
        <f t="shared" si="123"/>
        <v>-4.3011204108844368E-2</v>
      </c>
    </row>
    <row r="3748" spans="1:7" x14ac:dyDescent="0.35">
      <c r="A3748" t="s">
        <v>195</v>
      </c>
      <c r="E3748">
        <v>1.4853621067199436E-2</v>
      </c>
      <c r="F3748">
        <f t="shared" si="122"/>
        <v>-3.2754313949759466E-2</v>
      </c>
      <c r="G3748">
        <f t="shared" si="123"/>
        <v>-4.3011204108844368E-2</v>
      </c>
    </row>
    <row r="3749" spans="1:7" x14ac:dyDescent="0.35">
      <c r="A3749" t="s">
        <v>195</v>
      </c>
      <c r="E3749">
        <v>3.9151087104174363E-3</v>
      </c>
      <c r="F3749">
        <f t="shared" si="122"/>
        <v>-3.3031275123969438E-2</v>
      </c>
      <c r="G3749">
        <f t="shared" si="123"/>
        <v>-4.3011204108844368E-2</v>
      </c>
    </row>
    <row r="3750" spans="1:7" x14ac:dyDescent="0.35">
      <c r="A3750" t="s">
        <v>195</v>
      </c>
      <c r="E3750">
        <v>1.1935044477353175E-2</v>
      </c>
      <c r="F3750">
        <f t="shared" si="122"/>
        <v>-3.3308236298179417E-2</v>
      </c>
      <c r="G3750">
        <f t="shared" si="123"/>
        <v>-4.3011204108844368E-2</v>
      </c>
    </row>
    <row r="3751" spans="1:7" x14ac:dyDescent="0.35">
      <c r="A3751" t="s">
        <v>195</v>
      </c>
      <c r="E3751">
        <v>4.1495558865212003E-3</v>
      </c>
      <c r="F3751">
        <f t="shared" si="122"/>
        <v>-3.3585197472389389E-2</v>
      </c>
      <c r="G3751">
        <f t="shared" si="123"/>
        <v>-4.3011204108844368E-2</v>
      </c>
    </row>
    <row r="3752" spans="1:7" x14ac:dyDescent="0.35">
      <c r="A3752" t="s">
        <v>195</v>
      </c>
      <c r="E3752">
        <v>2.4595377250248174E-3</v>
      </c>
      <c r="F3752">
        <f t="shared" si="122"/>
        <v>-3.3862158646599361E-2</v>
      </c>
      <c r="G3752">
        <f t="shared" si="123"/>
        <v>-4.3011204108844368E-2</v>
      </c>
    </row>
    <row r="3753" spans="1:7" x14ac:dyDescent="0.35">
      <c r="A3753" t="s">
        <v>195</v>
      </c>
      <c r="E3753">
        <v>1.0037375974826263E-2</v>
      </c>
      <c r="F3753">
        <f t="shared" si="122"/>
        <v>-3.4139119820809333E-2</v>
      </c>
      <c r="G3753">
        <f t="shared" si="123"/>
        <v>-4.3011204108844368E-2</v>
      </c>
    </row>
    <row r="3754" spans="1:7" x14ac:dyDescent="0.35">
      <c r="A3754" t="s">
        <v>195</v>
      </c>
      <c r="E3754">
        <v>7.3717456210625632E-3</v>
      </c>
      <c r="F3754">
        <f t="shared" si="122"/>
        <v>-3.4416080995019305E-2</v>
      </c>
      <c r="G3754">
        <f t="shared" si="123"/>
        <v>-4.3011204108844368E-2</v>
      </c>
    </row>
    <row r="3755" spans="1:7" x14ac:dyDescent="0.35">
      <c r="A3755" t="s">
        <v>195</v>
      </c>
      <c r="E3755">
        <v>-7.755839110319486E-4</v>
      </c>
      <c r="F3755">
        <f t="shared" si="122"/>
        <v>-3.4693042169229277E-2</v>
      </c>
      <c r="G3755">
        <f t="shared" si="123"/>
        <v>-4.3011204108844368E-2</v>
      </c>
    </row>
    <row r="3756" spans="1:7" x14ac:dyDescent="0.35">
      <c r="A3756" t="s">
        <v>195</v>
      </c>
      <c r="E3756">
        <v>-5.2838752354749932E-3</v>
      </c>
      <c r="F3756">
        <f t="shared" si="122"/>
        <v>-3.4970003343439249E-2</v>
      </c>
      <c r="G3756">
        <f t="shared" si="123"/>
        <v>-4.3011204108844368E-2</v>
      </c>
    </row>
    <row r="3757" spans="1:7" x14ac:dyDescent="0.35">
      <c r="A3757" t="s">
        <v>195</v>
      </c>
      <c r="E3757">
        <v>6.9487711461034057E-3</v>
      </c>
      <c r="F3757">
        <f t="shared" si="122"/>
        <v>-3.5246964517649221E-2</v>
      </c>
      <c r="G3757">
        <f t="shared" si="123"/>
        <v>-4.3011204108844368E-2</v>
      </c>
    </row>
    <row r="3758" spans="1:7" x14ac:dyDescent="0.35">
      <c r="A3758" t="s">
        <v>195</v>
      </c>
      <c r="E3758">
        <v>9.6104330015873395E-3</v>
      </c>
      <c r="F3758">
        <f t="shared" si="122"/>
        <v>-3.55239256918592E-2</v>
      </c>
      <c r="G3758">
        <f t="shared" si="123"/>
        <v>-4.3011204108844368E-2</v>
      </c>
    </row>
    <row r="3759" spans="1:7" x14ac:dyDescent="0.35">
      <c r="A3759" t="s">
        <v>195</v>
      </c>
      <c r="E3759">
        <v>4.1356248640344257E-3</v>
      </c>
      <c r="F3759">
        <f t="shared" si="122"/>
        <v>-3.5800886866069172E-2</v>
      </c>
      <c r="G3759">
        <f t="shared" si="123"/>
        <v>-4.3011204108844368E-2</v>
      </c>
    </row>
    <row r="3760" spans="1:7" x14ac:dyDescent="0.35">
      <c r="A3760" t="s">
        <v>195</v>
      </c>
      <c r="E3760">
        <v>2.2319759407417406E-4</v>
      </c>
      <c r="F3760">
        <f t="shared" si="122"/>
        <v>-3.6077848040279144E-2</v>
      </c>
      <c r="G3760">
        <f t="shared" si="123"/>
        <v>-4.3011204108844368E-2</v>
      </c>
    </row>
    <row r="3761" spans="1:7" x14ac:dyDescent="0.35">
      <c r="A3761" t="s">
        <v>196</v>
      </c>
      <c r="B3761" s="3" cm="1">
        <f t="array" ref="B3761">_xlfn.STDEV.S(_xlfn._xlws.FILTER($E$2826:$E$3824, $A$2826:$A$3824="2025-02"))</f>
        <v>9.9978818141416362E-3</v>
      </c>
      <c r="C3761" s="3" cm="1">
        <f t="array" ref="C3761">AVERAGE(_xlfn._xlws.FILTER($E$2826:$E$3824, $A$2826:$A$3824="2025-02"))</f>
        <v>1.8505174565466621E-3</v>
      </c>
      <c r="D3761" s="3" cm="1">
        <f t="array" ref="D3761">_xlfn.PERCENTILE.EXC(_xlfn._xlws.FILTER($E$2490:$E$3818, $A$2490:$A$3818="2025-02"), 0.05)</f>
        <v>-1.7945677649907513E-2</v>
      </c>
      <c r="E3761">
        <v>-1.4078451186611619E-2</v>
      </c>
      <c r="F3761">
        <f t="shared" si="122"/>
        <v>-3.6381791271341356E-2</v>
      </c>
      <c r="G3761">
        <f t="shared" si="123"/>
        <v>-4.6477882143126988E-2</v>
      </c>
    </row>
    <row r="3762" spans="1:7" x14ac:dyDescent="0.35">
      <c r="A3762" t="s">
        <v>196</v>
      </c>
      <c r="E3762">
        <v>3.6083380209105368E-3</v>
      </c>
      <c r="F3762">
        <f t="shared" si="122"/>
        <v>-3.6685734502403575E-2</v>
      </c>
      <c r="G3762">
        <f t="shared" si="123"/>
        <v>-4.6477882143126988E-2</v>
      </c>
    </row>
    <row r="3763" spans="1:7" x14ac:dyDescent="0.35">
      <c r="A3763" t="s">
        <v>196</v>
      </c>
      <c r="E3763">
        <v>3.7236972797369647E-3</v>
      </c>
      <c r="F3763">
        <f t="shared" si="122"/>
        <v>-3.6989677733465787E-2</v>
      </c>
      <c r="G3763">
        <f t="shared" si="123"/>
        <v>-4.6477882143126988E-2</v>
      </c>
    </row>
    <row r="3764" spans="1:7" x14ac:dyDescent="0.35">
      <c r="A3764" t="s">
        <v>196</v>
      </c>
      <c r="E3764">
        <v>1.4555419445319191E-2</v>
      </c>
      <c r="F3764">
        <f t="shared" si="122"/>
        <v>-3.7293620964528006E-2</v>
      </c>
      <c r="G3764">
        <f t="shared" si="123"/>
        <v>-4.6477882143126988E-2</v>
      </c>
    </row>
    <row r="3765" spans="1:7" x14ac:dyDescent="0.35">
      <c r="A3765" t="s">
        <v>196</v>
      </c>
      <c r="E3765">
        <v>-5.2836713564356919E-3</v>
      </c>
      <c r="F3765">
        <f t="shared" si="122"/>
        <v>-3.7597564195590218E-2</v>
      </c>
      <c r="G3765">
        <f t="shared" si="123"/>
        <v>-4.6477882143126988E-2</v>
      </c>
    </row>
    <row r="3766" spans="1:7" x14ac:dyDescent="0.35">
      <c r="A3766" t="s">
        <v>196</v>
      </c>
      <c r="E3766">
        <v>5.709104601787209E-3</v>
      </c>
      <c r="F3766">
        <f t="shared" si="122"/>
        <v>-3.7901507426652437E-2</v>
      </c>
      <c r="G3766">
        <f t="shared" si="123"/>
        <v>-4.6477882143126988E-2</v>
      </c>
    </row>
    <row r="3767" spans="1:7" x14ac:dyDescent="0.35">
      <c r="A3767" t="s">
        <v>196</v>
      </c>
      <c r="E3767">
        <v>5.7379558412145107E-3</v>
      </c>
      <c r="F3767">
        <f t="shared" si="122"/>
        <v>-3.8205450657714649E-2</v>
      </c>
      <c r="G3767">
        <f t="shared" si="123"/>
        <v>-4.6477882143126988E-2</v>
      </c>
    </row>
    <row r="3768" spans="1:7" x14ac:dyDescent="0.35">
      <c r="A3768" t="s">
        <v>196</v>
      </c>
      <c r="E3768">
        <v>4.988031396715247E-3</v>
      </c>
      <c r="F3768">
        <f t="shared" si="122"/>
        <v>-3.8509393888776861E-2</v>
      </c>
      <c r="G3768">
        <f t="shared" si="123"/>
        <v>-4.6477882143126988E-2</v>
      </c>
    </row>
    <row r="3769" spans="1:7" x14ac:dyDescent="0.35">
      <c r="A3769" t="s">
        <v>196</v>
      </c>
      <c r="E3769">
        <v>2.0733069814853015E-2</v>
      </c>
      <c r="F3769">
        <f t="shared" si="122"/>
        <v>-3.8813337119839079E-2</v>
      </c>
      <c r="G3769">
        <f t="shared" si="123"/>
        <v>-4.6477882143126988E-2</v>
      </c>
    </row>
    <row r="3770" spans="1:7" x14ac:dyDescent="0.35">
      <c r="A3770" t="s">
        <v>196</v>
      </c>
      <c r="E3770">
        <v>-4.3700474462396539E-3</v>
      </c>
      <c r="F3770">
        <f t="shared" si="122"/>
        <v>-3.9117280350901298E-2</v>
      </c>
      <c r="G3770">
        <f t="shared" si="123"/>
        <v>-4.6477882143126988E-2</v>
      </c>
    </row>
    <row r="3771" spans="1:7" x14ac:dyDescent="0.35">
      <c r="A3771" t="s">
        <v>196</v>
      </c>
      <c r="E3771">
        <v>1.2565184668979228E-2</v>
      </c>
      <c r="F3771">
        <f t="shared" si="122"/>
        <v>-3.942122358196351E-2</v>
      </c>
      <c r="G3771">
        <f t="shared" si="123"/>
        <v>-4.6477882143126988E-2</v>
      </c>
    </row>
    <row r="3772" spans="1:7" x14ac:dyDescent="0.35">
      <c r="A3772" t="s">
        <v>196</v>
      </c>
      <c r="E3772">
        <v>2.0336276269420236E-3</v>
      </c>
      <c r="F3772">
        <f t="shared" si="122"/>
        <v>-3.9725166813025722E-2</v>
      </c>
      <c r="G3772">
        <f t="shared" si="123"/>
        <v>-4.6477882143126988E-2</v>
      </c>
    </row>
    <row r="3773" spans="1:7" x14ac:dyDescent="0.35">
      <c r="A3773" t="s">
        <v>196</v>
      </c>
      <c r="E3773">
        <v>-1.8149215884817823E-2</v>
      </c>
      <c r="F3773">
        <f t="shared" si="122"/>
        <v>-4.0029110044087941E-2</v>
      </c>
      <c r="G3773">
        <f t="shared" si="123"/>
        <v>-4.6477882143126988E-2</v>
      </c>
    </row>
    <row r="3774" spans="1:7" x14ac:dyDescent="0.35">
      <c r="A3774" t="s">
        <v>196</v>
      </c>
      <c r="E3774">
        <v>-5.3177588225414808E-3</v>
      </c>
      <c r="F3774">
        <f t="shared" si="122"/>
        <v>-4.0333053275150153E-2</v>
      </c>
      <c r="G3774">
        <f t="shared" si="123"/>
        <v>-4.6477882143126988E-2</v>
      </c>
    </row>
    <row r="3775" spans="1:7" x14ac:dyDescent="0.35">
      <c r="A3775" t="s">
        <v>196</v>
      </c>
      <c r="E3775">
        <v>-1.2147381634740767E-3</v>
      </c>
      <c r="F3775">
        <f t="shared" si="122"/>
        <v>-4.0636996506212372E-2</v>
      </c>
      <c r="G3775">
        <f t="shared" si="123"/>
        <v>-4.6477882143126988E-2</v>
      </c>
    </row>
    <row r="3776" spans="1:7" x14ac:dyDescent="0.35">
      <c r="A3776" t="s">
        <v>196</v>
      </c>
      <c r="E3776">
        <v>6.1892033792292252E-3</v>
      </c>
      <c r="F3776">
        <f t="shared" si="122"/>
        <v>-4.0940939737274584E-2</v>
      </c>
      <c r="G3776">
        <f t="shared" si="123"/>
        <v>-4.6477882143126988E-2</v>
      </c>
    </row>
    <row r="3777" spans="1:7" x14ac:dyDescent="0.35">
      <c r="A3777" t="s">
        <v>196</v>
      </c>
      <c r="E3777">
        <v>-6.9854272381648615E-4</v>
      </c>
      <c r="F3777">
        <f t="shared" si="122"/>
        <v>-4.1244882968336803E-2</v>
      </c>
      <c r="G3777">
        <f t="shared" si="123"/>
        <v>-4.6477882143126988E-2</v>
      </c>
    </row>
    <row r="3778" spans="1:7" x14ac:dyDescent="0.35">
      <c r="A3778" t="s">
        <v>196</v>
      </c>
      <c r="E3778">
        <v>1.698283332023047E-2</v>
      </c>
      <c r="F3778">
        <f t="shared" si="122"/>
        <v>-4.1548826199399015E-2</v>
      </c>
      <c r="G3778">
        <f t="shared" si="123"/>
        <v>-4.6477882143126988E-2</v>
      </c>
    </row>
    <row r="3779" spans="1:7" x14ac:dyDescent="0.35">
      <c r="A3779" t="s">
        <v>196</v>
      </c>
      <c r="E3779">
        <v>-1.0727636234182174E-2</v>
      </c>
      <c r="F3779">
        <f t="shared" si="122"/>
        <v>-4.1852769430461227E-2</v>
      </c>
      <c r="G3779">
        <f t="shared" si="123"/>
        <v>-4.6477882143126988E-2</v>
      </c>
    </row>
    <row r="3780" spans="1:7" x14ac:dyDescent="0.35">
      <c r="A3780" t="s">
        <v>196</v>
      </c>
      <c r="E3780">
        <v>2.3945553134628035E-5</v>
      </c>
      <c r="F3780">
        <f t="shared" ref="F3780:F3818" si="124">_xlfn.PERCENTILE.EXC(E3780:E7595,0.05)</f>
        <v>-4.2156712661523446E-2</v>
      </c>
      <c r="G3780">
        <f t="shared" ref="G3780:G3818" si="125">AVERAGEIFS(E3780:E7596,E3780:E7596,"&lt;=" &amp; F3780)</f>
        <v>-4.6477882143126988E-2</v>
      </c>
    </row>
    <row r="3781" spans="1:7" x14ac:dyDescent="0.35">
      <c r="A3781" t="s">
        <v>197</v>
      </c>
      <c r="B3781" s="3" cm="1">
        <f t="array" ref="B3781">_xlfn.STDEV.S(_xlfn._xlws.FILTER($E$2826:$E$3824, $A$2826:$A$3824="2025-03"))</f>
        <v>1.6708524964999388E-2</v>
      </c>
      <c r="C3781" s="3" cm="1">
        <f t="array" ref="C3781">AVERAGE(_xlfn._xlws.FILTER($E$2826:$E$3824, $A$2826:$A$3824="2025-03"))</f>
        <v>-8.2629229137144049E-4</v>
      </c>
      <c r="D3781" s="3" cm="1">
        <f t="array" ref="D3781">_xlfn.PERCENTILE.EXC(_xlfn._xlws.FILTER($E$2490:$E$3818, $A$2490:$A$3818="2025-03"), 0.05)</f>
        <v>-3.4238595098176013E-2</v>
      </c>
      <c r="E3781">
        <v>2.6067567972224315E-2</v>
      </c>
      <c r="F3781">
        <f t="shared" si="124"/>
        <v>-4.2588829609683798E-2</v>
      </c>
      <c r="G3781">
        <f t="shared" si="125"/>
        <v>-5.0799051624730529E-2</v>
      </c>
    </row>
    <row r="3782" spans="1:7" x14ac:dyDescent="0.35">
      <c r="A3782" t="s">
        <v>197</v>
      </c>
      <c r="E3782">
        <v>-3.6077848040279144E-2</v>
      </c>
      <c r="F3782">
        <f t="shared" si="124"/>
        <v>-4.302094655784415E-2</v>
      </c>
      <c r="G3782">
        <f t="shared" si="125"/>
        <v>-5.0799051624730529E-2</v>
      </c>
    </row>
    <row r="3783" spans="1:7" x14ac:dyDescent="0.35">
      <c r="A3783" t="s">
        <v>197</v>
      </c>
      <c r="E3783">
        <v>3.3222869522986427E-2</v>
      </c>
      <c r="F3783">
        <f t="shared" si="124"/>
        <v>-4.3453063506004509E-2</v>
      </c>
      <c r="G3783">
        <f t="shared" si="125"/>
        <v>-5.0799051624730529E-2</v>
      </c>
    </row>
    <row r="3784" spans="1:7" x14ac:dyDescent="0.35">
      <c r="A3784" t="s">
        <v>197</v>
      </c>
      <c r="E3784">
        <v>1.4557086650843551E-2</v>
      </c>
      <c r="F3784">
        <f t="shared" si="124"/>
        <v>-4.3885180454164861E-2</v>
      </c>
      <c r="G3784">
        <f t="shared" si="125"/>
        <v>-5.0799051624730529E-2</v>
      </c>
    </row>
    <row r="3785" spans="1:7" x14ac:dyDescent="0.35">
      <c r="A3785" t="s">
        <v>197</v>
      </c>
      <c r="E3785">
        <v>-1.7685318619247818E-2</v>
      </c>
      <c r="F3785">
        <f t="shared" si="124"/>
        <v>-4.431729740232522E-2</v>
      </c>
      <c r="G3785">
        <f t="shared" si="125"/>
        <v>-5.0799051624730529E-2</v>
      </c>
    </row>
    <row r="3786" spans="1:7" x14ac:dyDescent="0.35">
      <c r="A3786" t="s">
        <v>197</v>
      </c>
      <c r="E3786">
        <v>-1.7006368021011319E-2</v>
      </c>
      <c r="F3786">
        <f t="shared" si="124"/>
        <v>-4.4749414350485572E-2</v>
      </c>
      <c r="G3786">
        <f t="shared" si="125"/>
        <v>-5.0799051624730529E-2</v>
      </c>
    </row>
    <row r="3787" spans="1:7" x14ac:dyDescent="0.35">
      <c r="A3787" t="s">
        <v>197</v>
      </c>
      <c r="E3787">
        <v>-1.3000486550962408E-2</v>
      </c>
      <c r="F3787">
        <f t="shared" si="124"/>
        <v>-4.5181531298645924E-2</v>
      </c>
      <c r="G3787">
        <f t="shared" si="125"/>
        <v>-5.0799051624730529E-2</v>
      </c>
    </row>
    <row r="3788" spans="1:7" x14ac:dyDescent="0.35">
      <c r="A3788" t="s">
        <v>197</v>
      </c>
      <c r="E3788">
        <v>1.5449195602100162E-2</v>
      </c>
      <c r="F3788">
        <f t="shared" si="124"/>
        <v>-4.5613648246806276E-2</v>
      </c>
      <c r="G3788">
        <f t="shared" si="125"/>
        <v>-5.0799051624730529E-2</v>
      </c>
    </row>
    <row r="3789" spans="1:7" x14ac:dyDescent="0.35">
      <c r="A3789" t="s">
        <v>197</v>
      </c>
      <c r="E3789">
        <v>-4.8303111694977634E-3</v>
      </c>
      <c r="F3789">
        <f t="shared" si="124"/>
        <v>-4.6045765194966636E-2</v>
      </c>
      <c r="G3789">
        <f t="shared" si="125"/>
        <v>-5.0799051624730529E-2</v>
      </c>
    </row>
    <row r="3790" spans="1:7" x14ac:dyDescent="0.35">
      <c r="A3790" t="s">
        <v>197</v>
      </c>
      <c r="E3790">
        <v>1.8426142279355816E-2</v>
      </c>
      <c r="F3790">
        <f t="shared" si="124"/>
        <v>-4.6477882143126988E-2</v>
      </c>
      <c r="G3790">
        <f t="shared" si="125"/>
        <v>-5.0799051624730529E-2</v>
      </c>
    </row>
    <row r="3791" spans="1:7" x14ac:dyDescent="0.35">
      <c r="A3791" t="s">
        <v>197</v>
      </c>
      <c r="E3791">
        <v>7.2711610584276082E-3</v>
      </c>
      <c r="F3791">
        <f t="shared" si="124"/>
        <v>-4.690999909128734E-2</v>
      </c>
      <c r="G3791">
        <f t="shared" si="125"/>
        <v>-5.0799051624730529E-2</v>
      </c>
    </row>
    <row r="3792" spans="1:7" x14ac:dyDescent="0.35">
      <c r="A3792" t="s">
        <v>197</v>
      </c>
      <c r="E3792">
        <v>9.7187264583360588E-3</v>
      </c>
      <c r="F3792">
        <f t="shared" si="124"/>
        <v>-4.7342116039447692E-2</v>
      </c>
      <c r="G3792">
        <f t="shared" si="125"/>
        <v>-5.0799051624730529E-2</v>
      </c>
    </row>
    <row r="3793" spans="1:7" x14ac:dyDescent="0.35">
      <c r="A3793" t="s">
        <v>197</v>
      </c>
      <c r="E3793">
        <v>-3.9701128412682396E-3</v>
      </c>
      <c r="F3793">
        <f t="shared" si="124"/>
        <v>-4.7774232987608051E-2</v>
      </c>
      <c r="G3793">
        <f t="shared" si="125"/>
        <v>-5.0799051624730529E-2</v>
      </c>
    </row>
    <row r="3794" spans="1:7" x14ac:dyDescent="0.35">
      <c r="A3794" t="s">
        <v>197</v>
      </c>
      <c r="E3794">
        <v>-1.2483524149716648E-2</v>
      </c>
      <c r="F3794">
        <f t="shared" si="124"/>
        <v>-4.8206349935768403E-2</v>
      </c>
      <c r="G3794">
        <f t="shared" si="125"/>
        <v>-5.0799051624730529E-2</v>
      </c>
    </row>
    <row r="3795" spans="1:7" x14ac:dyDescent="0.35">
      <c r="A3795" t="s">
        <v>197</v>
      </c>
      <c r="E3795">
        <v>-4.683732957857548E-3</v>
      </c>
      <c r="F3795">
        <f t="shared" si="124"/>
        <v>-4.8638466883928755E-2</v>
      </c>
      <c r="G3795">
        <f t="shared" si="125"/>
        <v>-5.0799051624730529E-2</v>
      </c>
    </row>
    <row r="3796" spans="1:7" x14ac:dyDescent="0.35">
      <c r="A3796" t="s">
        <v>197</v>
      </c>
      <c r="E3796">
        <v>-1.7060038231532584E-3</v>
      </c>
      <c r="F3796">
        <f t="shared" si="124"/>
        <v>-4.9070583832089114E-2</v>
      </c>
      <c r="G3796">
        <f t="shared" si="125"/>
        <v>-5.0799051624730529E-2</v>
      </c>
    </row>
    <row r="3797" spans="1:7" x14ac:dyDescent="0.35">
      <c r="A3797" t="s">
        <v>197</v>
      </c>
      <c r="E3797">
        <v>1.118881532617654E-2</v>
      </c>
      <c r="F3797">
        <f t="shared" si="124"/>
        <v>-4.9502700780249466E-2</v>
      </c>
      <c r="G3797">
        <f t="shared" si="125"/>
        <v>-5.0799051624730529E-2</v>
      </c>
    </row>
    <row r="3798" spans="1:7" x14ac:dyDescent="0.35">
      <c r="A3798" t="s">
        <v>197</v>
      </c>
      <c r="E3798">
        <v>-1.1785422735720318E-2</v>
      </c>
      <c r="F3798">
        <f t="shared" si="124"/>
        <v>-4.9934817728409818E-2</v>
      </c>
      <c r="G3798">
        <f t="shared" si="125"/>
        <v>-5.0799051624730529E-2</v>
      </c>
    </row>
    <row r="3799" spans="1:7" x14ac:dyDescent="0.35">
      <c r="A3799" t="s">
        <v>197</v>
      </c>
      <c r="E3799">
        <v>-7.042992773218155E-3</v>
      </c>
      <c r="F3799">
        <f t="shared" si="124"/>
        <v>-5.0366934676570177E-2</v>
      </c>
      <c r="G3799">
        <f t="shared" si="125"/>
        <v>-5.0799051624730529E-2</v>
      </c>
    </row>
    <row r="3800" spans="1:7" x14ac:dyDescent="0.35">
      <c r="A3800" t="s">
        <v>197</v>
      </c>
      <c r="E3800">
        <v>-9.6242988721297936E-3</v>
      </c>
      <c r="F3800">
        <f t="shared" si="124"/>
        <v>-5.0799051624730529E-2</v>
      </c>
      <c r="G3800">
        <f t="shared" si="125"/>
        <v>-5.0799051624730529E-2</v>
      </c>
    </row>
    <row r="3801" spans="1:7" x14ac:dyDescent="0.35">
      <c r="A3801" t="s">
        <v>197</v>
      </c>
      <c r="E3801">
        <v>-1.3357282435188312E-2</v>
      </c>
      <c r="F3801" t="e">
        <f t="shared" si="124"/>
        <v>#NUM!</v>
      </c>
      <c r="G3801" t="e">
        <f t="shared" si="125"/>
        <v>#DIV/0!</v>
      </c>
    </row>
    <row r="3802" spans="1:7" x14ac:dyDescent="0.35">
      <c r="A3802" t="s">
        <v>198</v>
      </c>
      <c r="B3802" s="3" cm="1">
        <f t="array" ref="B3802">_xlfn.STDEV.S(_xlfn._xlws.FILTER($E$2826:$E$3824, $A$2826:$A$3824="2025-04"))</f>
        <v>2.6551548521115114E-2</v>
      </c>
      <c r="C3802" s="3" cm="1">
        <f t="array" ref="C3802">AVERAGE(_xlfn._xlws.FILTER($E$2826:$E$3824, $A$2826:$A$3824="2025-04"))</f>
        <v>2.0919321953536877E-4</v>
      </c>
      <c r="D3802" s="3" cm="1">
        <f t="array" ref="D3802">_xlfn.PERCENTILE.INC(_xlfn._xlws.FILTER($E$2490:$E$3818, $A$2490:$A$3818="2025-04"), 0.05)</f>
        <v>-4.3885180454164861E-2</v>
      </c>
      <c r="E3802">
        <v>1.6844280846379487E-2</v>
      </c>
      <c r="F3802" t="e">
        <f t="shared" si="124"/>
        <v>#NUM!</v>
      </c>
      <c r="G3802" t="e">
        <f t="shared" si="125"/>
        <v>#DIV/0!</v>
      </c>
    </row>
    <row r="3803" spans="1:7" x14ac:dyDescent="0.35">
      <c r="A3803" t="s">
        <v>198</v>
      </c>
      <c r="E3803">
        <v>-6.638674644313983E-3</v>
      </c>
      <c r="F3803" t="e">
        <f t="shared" si="124"/>
        <v>#NUM!</v>
      </c>
      <c r="G3803" t="e">
        <f t="shared" si="125"/>
        <v>#DIV/0!</v>
      </c>
    </row>
    <row r="3804" spans="1:7" x14ac:dyDescent="0.35">
      <c r="A3804" t="s">
        <v>198</v>
      </c>
      <c r="E3804">
        <v>-3.0538624556079683E-2</v>
      </c>
      <c r="F3804" t="e">
        <f t="shared" si="124"/>
        <v>#NUM!</v>
      </c>
      <c r="G3804" t="e">
        <f t="shared" si="125"/>
        <v>#DIV/0!</v>
      </c>
    </row>
    <row r="3805" spans="1:7" x14ac:dyDescent="0.35">
      <c r="A3805" t="s">
        <v>198</v>
      </c>
      <c r="E3805">
        <v>-5.0799051624730529E-2</v>
      </c>
      <c r="F3805" t="e">
        <f t="shared" si="124"/>
        <v>#NUM!</v>
      </c>
      <c r="G3805" t="e">
        <f t="shared" si="125"/>
        <v>#DIV/0!</v>
      </c>
    </row>
    <row r="3806" spans="1:7" x14ac:dyDescent="0.35">
      <c r="A3806" t="s">
        <v>198</v>
      </c>
      <c r="E3806">
        <v>-4.2156712661523446E-2</v>
      </c>
      <c r="F3806" t="e">
        <f t="shared" si="124"/>
        <v>#NUM!</v>
      </c>
      <c r="G3806" t="e">
        <f t="shared" si="125"/>
        <v>#DIV/0!</v>
      </c>
    </row>
    <row r="3807" spans="1:7" x14ac:dyDescent="0.35">
      <c r="A3807" t="s">
        <v>198</v>
      </c>
      <c r="E3807">
        <v>2.4490441340478144E-2</v>
      </c>
      <c r="F3807" t="e">
        <f t="shared" si="124"/>
        <v>#NUM!</v>
      </c>
      <c r="G3807" t="e">
        <f t="shared" si="125"/>
        <v>#DIV/0!</v>
      </c>
    </row>
    <row r="3808" spans="1:7" x14ac:dyDescent="0.35">
      <c r="A3808" t="s">
        <v>198</v>
      </c>
      <c r="E3808">
        <v>-3.0508629573406061E-2</v>
      </c>
      <c r="F3808" t="e">
        <f t="shared" si="124"/>
        <v>#NUM!</v>
      </c>
      <c r="G3808" t="e">
        <f t="shared" si="125"/>
        <v>#DIV/0!</v>
      </c>
    </row>
    <row r="3809" spans="1:7" x14ac:dyDescent="0.35">
      <c r="A3809" t="s">
        <v>198</v>
      </c>
      <c r="E3809">
        <v>4.4340844293153978E-2</v>
      </c>
      <c r="F3809" t="e">
        <f t="shared" si="124"/>
        <v>#NUM!</v>
      </c>
      <c r="G3809" t="e">
        <f t="shared" si="125"/>
        <v>#DIV/0!</v>
      </c>
    </row>
    <row r="3810" spans="1:7" x14ac:dyDescent="0.35">
      <c r="A3810" t="s">
        <v>198</v>
      </c>
      <c r="E3810">
        <v>-9.2157275011853102E-3</v>
      </c>
      <c r="F3810" t="e">
        <f t="shared" si="124"/>
        <v>#NUM!</v>
      </c>
      <c r="G3810" t="e">
        <f t="shared" si="125"/>
        <v>#DIV/0!</v>
      </c>
    </row>
    <row r="3811" spans="1:7" x14ac:dyDescent="0.35">
      <c r="A3811" t="s">
        <v>198</v>
      </c>
      <c r="E3811">
        <v>2.810468234965809E-2</v>
      </c>
      <c r="F3811" t="e">
        <f t="shared" si="124"/>
        <v>#NUM!</v>
      </c>
      <c r="G3811" t="e">
        <f t="shared" si="125"/>
        <v>#DIV/0!</v>
      </c>
    </row>
    <row r="3812" spans="1:7" x14ac:dyDescent="0.35">
      <c r="A3812" t="s">
        <v>198</v>
      </c>
      <c r="E3812">
        <v>1.4161829138925065E-2</v>
      </c>
      <c r="F3812" t="e">
        <f t="shared" si="124"/>
        <v>#NUM!</v>
      </c>
      <c r="G3812" t="e">
        <f t="shared" si="125"/>
        <v>#DIV/0!</v>
      </c>
    </row>
    <row r="3813" spans="1:7" x14ac:dyDescent="0.35">
      <c r="A3813" t="s">
        <v>198</v>
      </c>
      <c r="E3813">
        <v>2.6933119564558844E-3</v>
      </c>
      <c r="F3813" t="e">
        <f t="shared" si="124"/>
        <v>#NUM!</v>
      </c>
      <c r="G3813" t="e">
        <f t="shared" si="125"/>
        <v>#DIV/0!</v>
      </c>
    </row>
    <row r="3814" spans="1:7" x14ac:dyDescent="0.35">
      <c r="A3814" t="s">
        <v>198</v>
      </c>
      <c r="E3814">
        <v>-4.9467512405297221E-3</v>
      </c>
      <c r="F3814" t="e">
        <f t="shared" si="124"/>
        <v>#NUM!</v>
      </c>
      <c r="G3814" t="e">
        <f t="shared" si="125"/>
        <v>#DIV/0!</v>
      </c>
    </row>
    <row r="3815" spans="1:7" x14ac:dyDescent="0.35">
      <c r="A3815" t="s">
        <v>198</v>
      </c>
      <c r="E3815">
        <v>4.1257121269838984E-3</v>
      </c>
      <c r="F3815" t="e">
        <f t="shared" si="124"/>
        <v>#NUM!</v>
      </c>
      <c r="G3815" t="e">
        <f t="shared" si="125"/>
        <v>#DIV/0!</v>
      </c>
    </row>
    <row r="3816" spans="1:7" x14ac:dyDescent="0.35">
      <c r="A3816" t="s">
        <v>198</v>
      </c>
      <c r="E3816">
        <v>3.0909050475101139E-2</v>
      </c>
      <c r="F3816" t="e">
        <f t="shared" si="124"/>
        <v>#NUM!</v>
      </c>
      <c r="G3816" t="e">
        <f t="shared" si="125"/>
        <v>#DIV/0!</v>
      </c>
    </row>
    <row r="3817" spans="1:7" x14ac:dyDescent="0.35">
      <c r="A3817" t="s">
        <v>198</v>
      </c>
      <c r="E3817">
        <v>4.6581141808101538E-3</v>
      </c>
      <c r="F3817" t="e">
        <f t="shared" si="124"/>
        <v>#NUM!</v>
      </c>
      <c r="G3817" t="e">
        <f t="shared" si="125"/>
        <v>#DIV/0!</v>
      </c>
    </row>
    <row r="3818" spans="1:7" x14ac:dyDescent="0.35">
      <c r="A3818" t="s">
        <v>198</v>
      </c>
      <c r="E3818">
        <v>8.0321898259241749E-3</v>
      </c>
      <c r="F3818" t="e">
        <f t="shared" si="124"/>
        <v>#NUM!</v>
      </c>
      <c r="G3818" t="e">
        <f t="shared" si="125"/>
        <v>#DIV/0!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FED14-0EE9-4718-A5EB-24693BF1F6DE}">
  <dimension ref="A1:AD3818"/>
  <sheetViews>
    <sheetView topLeftCell="A116" zoomScale="30" zoomScaleNormal="30" workbookViewId="0">
      <selection activeCell="Y145" sqref="Y145"/>
    </sheetView>
  </sheetViews>
  <sheetFormatPr baseColWidth="10" defaultRowHeight="14.5" x14ac:dyDescent="0.35"/>
  <cols>
    <col min="1" max="1" width="18.81640625" customWidth="1"/>
    <col min="2" max="3" width="19.08984375" customWidth="1"/>
    <col min="4" max="4" width="17.6328125" customWidth="1"/>
    <col min="5" max="5" width="19.36328125" customWidth="1"/>
    <col min="6" max="8" width="10.90625" customWidth="1"/>
    <col min="10" max="10" width="18.453125" bestFit="1" customWidth="1"/>
    <col min="11" max="13" width="18.453125" customWidth="1"/>
    <col min="14" max="14" width="15.81640625" bestFit="1" customWidth="1"/>
    <col min="15" max="15" width="18.453125" bestFit="1" customWidth="1"/>
    <col min="16" max="16" width="18.54296875" bestFit="1" customWidth="1"/>
    <col min="17" max="17" width="15.90625" bestFit="1" customWidth="1"/>
    <col min="18" max="19" width="18.453125" customWidth="1"/>
    <col min="20" max="20" width="18.54296875" bestFit="1" customWidth="1"/>
    <col min="21" max="21" width="18.453125" bestFit="1" customWidth="1"/>
    <col min="22" max="23" width="18.453125" customWidth="1"/>
    <col min="24" max="24" width="19.08984375" bestFit="1" customWidth="1"/>
    <col min="25" max="25" width="20.81640625" bestFit="1" customWidth="1"/>
    <col min="26" max="26" width="11" bestFit="1" customWidth="1"/>
    <col min="27" max="27" width="14.6328125" bestFit="1" customWidth="1"/>
  </cols>
  <sheetData>
    <row r="1" spans="1:25" x14ac:dyDescent="0.35">
      <c r="A1" t="s">
        <v>407</v>
      </c>
      <c r="B1" t="s">
        <v>249</v>
      </c>
      <c r="C1" t="s">
        <v>381</v>
      </c>
      <c r="D1" t="s">
        <v>206</v>
      </c>
      <c r="E1" t="s">
        <v>406</v>
      </c>
      <c r="F1" t="s">
        <v>199</v>
      </c>
      <c r="G1" t="s">
        <v>200</v>
      </c>
    </row>
    <row r="2" spans="1:25" x14ac:dyDescent="0.35">
      <c r="A2" t="s">
        <v>15</v>
      </c>
      <c r="B2" s="3" cm="1">
        <f t="array" ref="B2">_xlfn.STDEV.S(_xlfn._xlws.FILTER($E$2:$E$1000, $A$2:$A$1000="2010-01"))</f>
        <v>1.2153891615313019E-2</v>
      </c>
      <c r="C2" s="3" cm="1">
        <f t="array" ref="C2">AVERAGE(_xlfn._xlws.FILTER($E$2:$E$1000, $A$2:$A$1000="2010-01"))</f>
        <v>-5.4629688275576373E-3</v>
      </c>
      <c r="D2" s="3" cm="1">
        <f t="array" ref="D2">_xlfn.PERCENTILE.EXC(_xlfn._xlws.FILTER($E$2:$E$21, $A$2:$A$21="2010-01"), 0.05)</f>
        <v>-2.7255533807051268E-2</v>
      </c>
      <c r="J2" t="s">
        <v>204</v>
      </c>
      <c r="K2" t="s">
        <v>249</v>
      </c>
      <c r="L2" t="s">
        <v>381</v>
      </c>
      <c r="M2" t="s">
        <v>250</v>
      </c>
      <c r="N2" t="s">
        <v>201</v>
      </c>
      <c r="O2" t="s">
        <v>200</v>
      </c>
      <c r="P2" t="s">
        <v>202</v>
      </c>
      <c r="Q2" t="s">
        <v>220</v>
      </c>
      <c r="R2" t="s">
        <v>295</v>
      </c>
      <c r="S2" t="s">
        <v>382</v>
      </c>
      <c r="T2" t="s">
        <v>203</v>
      </c>
      <c r="U2" t="s">
        <v>222</v>
      </c>
      <c r="V2" t="s">
        <v>223</v>
      </c>
      <c r="W2" t="s">
        <v>224</v>
      </c>
      <c r="X2" t="s">
        <v>274</v>
      </c>
      <c r="Y2" t="s">
        <v>275</v>
      </c>
    </row>
    <row r="3" spans="1:25" x14ac:dyDescent="0.35">
      <c r="A3" t="s">
        <v>15</v>
      </c>
      <c r="E3">
        <v>4.8707461949432469E-3</v>
      </c>
      <c r="F3">
        <f>_xlfn.PERCENTILE.EXC(E3:E3818,0.05)</f>
        <v>-2.154131556790782E-2</v>
      </c>
      <c r="G3">
        <f>AVERAGEIFS(E3:E3819,E3:E3819,"&lt;=" &amp; F3)</f>
        <v>-3.321301424525222E-2</v>
      </c>
      <c r="J3" s="2" t="s">
        <v>15</v>
      </c>
      <c r="K3">
        <f>B2</f>
        <v>1.2153891615313019E-2</v>
      </c>
      <c r="L3">
        <f>C2</f>
        <v>-5.4629688275576373E-3</v>
      </c>
      <c r="N3">
        <f>D2</f>
        <v>-2.7255533807051268E-2</v>
      </c>
      <c r="O3">
        <f>AVERAGEIFS(E2:E21,E2:E21,"&lt;=" &amp; N3)</f>
        <v>-2.7255533807051268E-2</v>
      </c>
      <c r="P3">
        <v>111.14257049560547</v>
      </c>
      <c r="Q3">
        <v>37.116689999999998</v>
      </c>
      <c r="T3">
        <v>24.62</v>
      </c>
      <c r="U3">
        <f>CORREL(P3:P186,N3:N186)</f>
        <v>-0.29171134216608763</v>
      </c>
      <c r="V3">
        <f>CORREL(P3:P186,O3:O186)</f>
        <v>-0.34260951129822653</v>
      </c>
      <c r="W3">
        <f>CORREL(N3:N186,O3:O186)</f>
        <v>0.97687565706357393</v>
      </c>
      <c r="X3">
        <f>CORREL(P3:P186,T3:T186)</f>
        <v>0.46595567999950654</v>
      </c>
      <c r="Y3">
        <f>CORREL(P3:P186,Q3:Q186)</f>
        <v>0.33670775567413697</v>
      </c>
    </row>
    <row r="4" spans="1:25" x14ac:dyDescent="0.35">
      <c r="A4" t="s">
        <v>15</v>
      </c>
      <c r="E4">
        <v>1.4819730143954529E-3</v>
      </c>
      <c r="F4">
        <f t="shared" ref="F4:F67" si="0">_xlfn.PERCENTILE.EXC(E4:E3819,0.05)</f>
        <v>-2.1542314902486332E-2</v>
      </c>
      <c r="G4">
        <f t="shared" ref="G4:G67" si="1">AVERAGEIFS(E4:E3820,E4:E3820,"&lt;=" &amp; F4)</f>
        <v>-3.321301424525222E-2</v>
      </c>
      <c r="J4" s="2" t="s">
        <v>16</v>
      </c>
      <c r="K4">
        <f>B22</f>
        <v>1.9108572886331925E-2</v>
      </c>
      <c r="L4">
        <f>C22</f>
        <v>-2.8864333301030581E-3</v>
      </c>
      <c r="M4">
        <f>K3</f>
        <v>1.2153891615313019E-2</v>
      </c>
      <c r="N4">
        <f>D22</f>
        <v>-5.9402440047720335E-2</v>
      </c>
      <c r="O4">
        <f>AVERAGEIFS(E22:E41,E22:E41,"&lt;=" &amp; N4)</f>
        <v>-6.1230380909932304E-2</v>
      </c>
      <c r="P4">
        <v>136.99745178222656</v>
      </c>
      <c r="Q4">
        <v>33.141820000000003</v>
      </c>
      <c r="R4">
        <f>P3</f>
        <v>111.14257049560547</v>
      </c>
      <c r="S4">
        <v>1.2153891615313019E-2</v>
      </c>
      <c r="T4">
        <v>19.5</v>
      </c>
    </row>
    <row r="5" spans="1:25" x14ac:dyDescent="0.35">
      <c r="A5" t="s">
        <v>15</v>
      </c>
      <c r="E5">
        <v>-4.6086809907569769E-3</v>
      </c>
      <c r="F5">
        <f t="shared" si="0"/>
        <v>-2.1543314237064844E-2</v>
      </c>
      <c r="G5">
        <f t="shared" si="1"/>
        <v>-3.321301424525222E-2</v>
      </c>
      <c r="J5" s="2" t="s">
        <v>17</v>
      </c>
      <c r="K5">
        <f>B42</f>
        <v>1.0978417814048846E-2</v>
      </c>
      <c r="L5">
        <f>C42</f>
        <v>1.0978417814048846E-2</v>
      </c>
      <c r="M5">
        <f>K4</f>
        <v>1.9108572886331925E-2</v>
      </c>
      <c r="N5">
        <f>D42</f>
        <v>-1.1866262623054447E-2</v>
      </c>
      <c r="O5">
        <f>AVERAGEIFS(E42:E64,E42:E64,"&lt;=" &amp; N5)</f>
        <v>-1.188350176577042E-2</v>
      </c>
      <c r="P5">
        <v>99.085060119628906</v>
      </c>
      <c r="Q5">
        <v>27.876359999999998</v>
      </c>
      <c r="R5">
        <f t="shared" ref="R5:R68" si="2">P4</f>
        <v>136.99745178222656</v>
      </c>
      <c r="S5">
        <v>1.9108572886331925E-2</v>
      </c>
      <c r="T5">
        <v>17.59</v>
      </c>
    </row>
    <row r="6" spans="1:25" x14ac:dyDescent="0.35">
      <c r="A6" t="s">
        <v>15</v>
      </c>
      <c r="E6">
        <v>-2.7127784360724531E-4</v>
      </c>
      <c r="F6">
        <f t="shared" si="0"/>
        <v>-2.1544313571643357E-2</v>
      </c>
      <c r="G6">
        <f t="shared" si="1"/>
        <v>-3.321301424525222E-2</v>
      </c>
      <c r="J6" s="2" t="s">
        <v>18</v>
      </c>
      <c r="K6">
        <f>B65</f>
        <v>1.8459158346757456E-2</v>
      </c>
      <c r="L6">
        <f>C65</f>
        <v>1.8459158346757456E-2</v>
      </c>
      <c r="M6">
        <f t="shared" ref="M6:M69" si="3">K5</f>
        <v>1.0978417814048846E-2</v>
      </c>
      <c r="N6">
        <f>D65</f>
        <v>-4.2187262267286321E-2</v>
      </c>
      <c r="O6">
        <f>AVERAGEIFS(E65:E84,E65:E84,"&lt;=" &amp; N6)</f>
        <v>-4.280725650371324E-2</v>
      </c>
      <c r="P6">
        <v>98.701118469238281</v>
      </c>
      <c r="Q6">
        <v>38.34281</v>
      </c>
      <c r="R6">
        <f t="shared" si="2"/>
        <v>99.085060119628906</v>
      </c>
      <c r="S6">
        <v>1.0978417814048846E-2</v>
      </c>
      <c r="T6">
        <v>22.05</v>
      </c>
    </row>
    <row r="7" spans="1:25" x14ac:dyDescent="0.35">
      <c r="A7" t="s">
        <v>15</v>
      </c>
      <c r="E7">
        <v>-7.3027658224872113E-3</v>
      </c>
      <c r="F7">
        <f t="shared" si="0"/>
        <v>-2.1545312906221869E-2</v>
      </c>
      <c r="G7">
        <f t="shared" si="1"/>
        <v>-3.321301424525222E-2</v>
      </c>
      <c r="J7" s="2" t="s">
        <v>19</v>
      </c>
      <c r="K7">
        <f>B85</f>
        <v>4.3862086646526119E-2</v>
      </c>
      <c r="L7">
        <f>C85</f>
        <v>-5.6428074547737739E-3</v>
      </c>
      <c r="M7">
        <f t="shared" si="3"/>
        <v>1.8459158346757456E-2</v>
      </c>
      <c r="N7">
        <f>D85</f>
        <v>-6.8738760524990825E-2</v>
      </c>
      <c r="O7">
        <f>AVERAGEIFS(E85:E103,E85:E103,"&lt;=" &amp; N7)</f>
        <v>-6.8738760524990825E-2</v>
      </c>
      <c r="P7">
        <v>149.98333740234375</v>
      </c>
      <c r="Q7">
        <v>42.291849999999997</v>
      </c>
      <c r="R7">
        <f t="shared" si="2"/>
        <v>98.701118469238281</v>
      </c>
      <c r="S7">
        <v>1.8459158346757456E-2</v>
      </c>
      <c r="T7">
        <v>32.07</v>
      </c>
    </row>
    <row r="8" spans="1:25" x14ac:dyDescent="0.35">
      <c r="A8" t="s">
        <v>15</v>
      </c>
      <c r="E8">
        <v>-9.0181388693590658E-3</v>
      </c>
      <c r="F8">
        <f t="shared" si="0"/>
        <v>-2.1546312240800378E-2</v>
      </c>
      <c r="G8">
        <f t="shared" si="1"/>
        <v>-3.321301424525222E-2</v>
      </c>
      <c r="J8" s="2" t="s">
        <v>20</v>
      </c>
      <c r="K8">
        <f>B104</f>
        <v>2.2981462255541218E-2</v>
      </c>
      <c r="L8">
        <f>C104</f>
        <v>-7.8852865595597588E-4</v>
      </c>
      <c r="M8">
        <f t="shared" si="3"/>
        <v>4.3862086646526119E-2</v>
      </c>
      <c r="N8">
        <f>D104</f>
        <v>-5.3458544951963526E-2</v>
      </c>
      <c r="O8">
        <f>AVERAGEIFS(E104:E125,E104:E125,"&lt;=" &amp; N8)</f>
        <v>-5.6049769303615167E-2</v>
      </c>
      <c r="P8">
        <v>142.48199462890625</v>
      </c>
      <c r="Q8">
        <v>42.061239999999998</v>
      </c>
      <c r="R8">
        <f t="shared" si="2"/>
        <v>149.98333740234375</v>
      </c>
      <c r="S8">
        <v>4.3862086646526119E-2</v>
      </c>
      <c r="T8">
        <v>34.54</v>
      </c>
    </row>
    <row r="9" spans="1:25" x14ac:dyDescent="0.35">
      <c r="A9" t="s">
        <v>15</v>
      </c>
      <c r="E9">
        <v>-6.5205399310867016E-4</v>
      </c>
      <c r="F9">
        <f t="shared" si="0"/>
        <v>-2.154731157537889E-2</v>
      </c>
      <c r="G9">
        <f t="shared" si="1"/>
        <v>-3.321301424525222E-2</v>
      </c>
      <c r="J9" s="2" t="s">
        <v>21</v>
      </c>
      <c r="K9">
        <f>B126</f>
        <v>1.4763016489864233E-2</v>
      </c>
      <c r="L9">
        <f>C126</f>
        <v>5.6947753395101388E-3</v>
      </c>
      <c r="M9">
        <f t="shared" si="3"/>
        <v>2.2981462255541218E-2</v>
      </c>
      <c r="N9">
        <f>D126</f>
        <v>-1.6479167440148466E-2</v>
      </c>
      <c r="O9">
        <f>AVERAGEIFS(E126:E147,E126:E147,"&lt;=" &amp; N9)</f>
        <v>-1.6723378642626806E-2</v>
      </c>
      <c r="P9">
        <v>105.17088317871094</v>
      </c>
      <c r="Q9">
        <v>35.439799999999998</v>
      </c>
      <c r="R9">
        <f t="shared" si="2"/>
        <v>142.48199462890625</v>
      </c>
      <c r="S9">
        <v>2.2981462255541218E-2</v>
      </c>
      <c r="T9">
        <v>23.5</v>
      </c>
    </row>
    <row r="10" spans="1:25" x14ac:dyDescent="0.35">
      <c r="A10" t="s">
        <v>15</v>
      </c>
      <c r="E10">
        <v>3.4643850310986076E-3</v>
      </c>
      <c r="F10">
        <f t="shared" si="0"/>
        <v>-2.1548310909957402E-2</v>
      </c>
      <c r="G10">
        <f t="shared" si="1"/>
        <v>-3.321301424525222E-2</v>
      </c>
      <c r="J10" s="2" t="s">
        <v>22</v>
      </c>
      <c r="K10">
        <f>B148</f>
        <v>1.4594661684560894E-2</v>
      </c>
      <c r="L10">
        <f>C148</f>
        <v>-1.4401815121472458E-3</v>
      </c>
      <c r="M10">
        <f t="shared" si="3"/>
        <v>1.4763016489864233E-2</v>
      </c>
      <c r="N10">
        <f>D148</f>
        <v>-3.1090270771353967E-2</v>
      </c>
      <c r="O10">
        <f>AVERAGEIFS(E148:E168,E148:E168,"&lt;=" &amp; N10)</f>
        <v>-3.2591431656530973E-2</v>
      </c>
      <c r="P10">
        <v>94.590065002441406</v>
      </c>
      <c r="Q10">
        <v>37.272030000000001</v>
      </c>
      <c r="R10">
        <f t="shared" si="2"/>
        <v>105.17088317871094</v>
      </c>
      <c r="S10">
        <v>1.4763016489864233E-2</v>
      </c>
      <c r="T10">
        <v>26.05</v>
      </c>
    </row>
    <row r="11" spans="1:25" x14ac:dyDescent="0.35">
      <c r="A11" t="s">
        <v>15</v>
      </c>
      <c r="E11">
        <v>-1.2984145371694325E-2</v>
      </c>
      <c r="F11">
        <f t="shared" si="0"/>
        <v>-2.1549310244535914E-2</v>
      </c>
      <c r="G11">
        <f t="shared" si="1"/>
        <v>-3.321301424525222E-2</v>
      </c>
      <c r="J11" s="2" t="s">
        <v>23</v>
      </c>
      <c r="K11">
        <f>B169</f>
        <v>1.2269489346395808E-2</v>
      </c>
      <c r="L11">
        <f>C169</f>
        <v>1.4383117863042091E-3</v>
      </c>
      <c r="M11">
        <f t="shared" si="3"/>
        <v>1.4594661684560894E-2</v>
      </c>
      <c r="N11">
        <f>D169</f>
        <v>-1.857341774425076E-2</v>
      </c>
      <c r="O11">
        <f>AVERAGEIFS(E169:E190,E169:E190,"&lt;=" &amp; N11)</f>
        <v>-1.9449240267379764E-2</v>
      </c>
      <c r="P11">
        <v>105.94867706298828</v>
      </c>
      <c r="Q11">
        <v>35.565089999999998</v>
      </c>
      <c r="R11">
        <f t="shared" si="2"/>
        <v>94.590065002441406</v>
      </c>
      <c r="S11">
        <v>1.4594661684560894E-2</v>
      </c>
      <c r="T11">
        <v>23.7</v>
      </c>
    </row>
    <row r="12" spans="1:25" x14ac:dyDescent="0.35">
      <c r="A12" t="s">
        <v>15</v>
      </c>
      <c r="E12">
        <v>2.1673414708567821E-3</v>
      </c>
      <c r="F12">
        <f t="shared" si="0"/>
        <v>-2.1550309579114427E-2</v>
      </c>
      <c r="G12">
        <f t="shared" si="1"/>
        <v>-3.321301424525222E-2</v>
      </c>
      <c r="J12" s="2" t="s">
        <v>24</v>
      </c>
      <c r="K12">
        <f>B191</f>
        <v>8.3606317816655798E-3</v>
      </c>
      <c r="L12">
        <f>C191</f>
        <v>1.3326004231790413E-3</v>
      </c>
      <c r="M12">
        <f t="shared" si="3"/>
        <v>1.2269489346395808E-2</v>
      </c>
      <c r="N12">
        <f>D191</f>
        <v>-8.8495792089510004E-3</v>
      </c>
      <c r="O12">
        <f>AVERAGEIFS(E191:E211,E191:E211,"&lt;=" &amp; N12)</f>
        <v>-9.0893224574714552E-3</v>
      </c>
      <c r="P12">
        <v>105.42673492431641</v>
      </c>
      <c r="Q12">
        <v>32.5473</v>
      </c>
      <c r="R12">
        <f t="shared" si="2"/>
        <v>105.94867706298828</v>
      </c>
      <c r="S12">
        <v>1.2269489346395808E-2</v>
      </c>
      <c r="T12">
        <v>21.2</v>
      </c>
    </row>
    <row r="13" spans="1:25" x14ac:dyDescent="0.35">
      <c r="A13" t="s">
        <v>15</v>
      </c>
      <c r="E13">
        <v>1.2715032791058255E-2</v>
      </c>
      <c r="F13">
        <f t="shared" si="0"/>
        <v>-2.1551308913692939E-2</v>
      </c>
      <c r="G13">
        <f t="shared" si="1"/>
        <v>-3.321301424525222E-2</v>
      </c>
      <c r="J13" s="2" t="s">
        <v>25</v>
      </c>
      <c r="K13">
        <f>B212</f>
        <v>1.4293723467107786E-2</v>
      </c>
      <c r="L13">
        <f>C212</f>
        <v>-7.0117537029195758E-3</v>
      </c>
      <c r="M13">
        <f t="shared" si="3"/>
        <v>8.3606317816655798E-3</v>
      </c>
      <c r="N13">
        <f>D212</f>
        <v>-3.037825877120244E-2</v>
      </c>
      <c r="O13">
        <f>AVERAGEIFS(E212:E233,E212:E233,"&lt;=" &amp; N13)</f>
        <v>-3.0944861012859239E-2</v>
      </c>
      <c r="P13">
        <v>140.54161071777344</v>
      </c>
      <c r="Q13">
        <v>40.515819999999998</v>
      </c>
      <c r="R13">
        <f t="shared" si="2"/>
        <v>105.42673492431641</v>
      </c>
      <c r="S13">
        <v>8.3606317816655798E-3</v>
      </c>
      <c r="T13">
        <v>23.54</v>
      </c>
    </row>
    <row r="14" spans="1:25" x14ac:dyDescent="0.35">
      <c r="A14" t="s">
        <v>15</v>
      </c>
      <c r="E14">
        <v>-2.6430435006076274E-2</v>
      </c>
      <c r="F14">
        <f t="shared" si="0"/>
        <v>-2.1552308248271451E-2</v>
      </c>
      <c r="G14">
        <f t="shared" si="1"/>
        <v>-3.321301424525222E-2</v>
      </c>
      <c r="J14" s="2" t="s">
        <v>26</v>
      </c>
      <c r="K14">
        <f>B234</f>
        <v>1.5441526494109546E-2</v>
      </c>
      <c r="L14">
        <f>C234</f>
        <v>3.2586106436235307E-3</v>
      </c>
      <c r="M14">
        <f t="shared" si="3"/>
        <v>1.4293723467107786E-2</v>
      </c>
      <c r="N14">
        <f>D234</f>
        <v>-1.5159541769532592E-2</v>
      </c>
      <c r="O14">
        <f>AVERAGEIFS(E234:E252,E234:E252,"&lt;=" &amp; N14)</f>
        <v>-1.5159541769532592E-2</v>
      </c>
      <c r="P14">
        <v>138.58390808105469</v>
      </c>
      <c r="Q14">
        <v>31.72045</v>
      </c>
      <c r="R14">
        <f t="shared" si="2"/>
        <v>140.54161071777344</v>
      </c>
      <c r="S14">
        <v>1.4293723467107786E-2</v>
      </c>
      <c r="T14">
        <v>17.75</v>
      </c>
    </row>
    <row r="15" spans="1:25" x14ac:dyDescent="0.35">
      <c r="A15" t="s">
        <v>15</v>
      </c>
      <c r="E15">
        <v>-2.2892201678723797E-2</v>
      </c>
      <c r="F15">
        <f t="shared" si="0"/>
        <v>-2.1538046717632903E-2</v>
      </c>
      <c r="G15">
        <f t="shared" si="1"/>
        <v>-3.3187266258715882E-2</v>
      </c>
      <c r="J15" s="2" t="s">
        <v>27</v>
      </c>
      <c r="K15">
        <f>B253</f>
        <v>1.7320665109370185E-2</v>
      </c>
      <c r="L15">
        <f>C253</f>
        <v>4.5853324431938385E-3</v>
      </c>
      <c r="M15">
        <f t="shared" si="3"/>
        <v>1.5441526494109546E-2</v>
      </c>
      <c r="N15">
        <f>D253</f>
        <v>-1.4709086236753361E-2</v>
      </c>
      <c r="O15">
        <f>AVERAGEIFS(E253:E272,E253:E272,"&lt;=" &amp; N15)</f>
        <v>-1.474325115243354E-2</v>
      </c>
      <c r="P15">
        <v>131.94673156738281</v>
      </c>
      <c r="Q15">
        <v>31.13862</v>
      </c>
      <c r="R15">
        <f t="shared" si="2"/>
        <v>138.58390808105469</v>
      </c>
      <c r="S15">
        <v>1.5441526494109546E-2</v>
      </c>
      <c r="T15">
        <v>19.53</v>
      </c>
    </row>
    <row r="16" spans="1:25" x14ac:dyDescent="0.35">
      <c r="A16" t="s">
        <v>15</v>
      </c>
      <c r="E16">
        <v>-6.1882795849619024E-3</v>
      </c>
      <c r="F16">
        <f t="shared" si="0"/>
        <v>-2.1519478883229935E-2</v>
      </c>
      <c r="G16">
        <f t="shared" si="1"/>
        <v>-3.318013485081741E-2</v>
      </c>
      <c r="J16" s="2" t="s">
        <v>28</v>
      </c>
      <c r="K16">
        <f>B273</f>
        <v>1.057176736013879E-2</v>
      </c>
      <c r="L16">
        <f>C273</f>
        <v>2.068637282682733E-4</v>
      </c>
      <c r="M16">
        <f t="shared" si="3"/>
        <v>1.7320665109370185E-2</v>
      </c>
      <c r="N16">
        <f>D273</f>
        <v>-2.3055319581112482E-2</v>
      </c>
      <c r="O16">
        <f>AVERAGEIFS(E273:E292,E273:E292,"&lt;=" &amp; N16)</f>
        <v>-2.3549212889412564E-2</v>
      </c>
      <c r="P16">
        <v>127.27813720703125</v>
      </c>
      <c r="Q16">
        <v>31.327290000000001</v>
      </c>
      <c r="R16">
        <f t="shared" si="2"/>
        <v>131.94673156738281</v>
      </c>
      <c r="S16">
        <v>1.7320665109370185E-2</v>
      </c>
      <c r="T16">
        <v>18.350000000000001</v>
      </c>
    </row>
    <row r="17" spans="1:20" x14ac:dyDescent="0.35">
      <c r="A17" t="s">
        <v>15</v>
      </c>
      <c r="E17">
        <v>-1.0971391110577869E-2</v>
      </c>
      <c r="F17">
        <f t="shared" si="0"/>
        <v>-2.1523917706926139E-2</v>
      </c>
      <c r="G17">
        <f t="shared" si="1"/>
        <v>-3.318013485081741E-2</v>
      </c>
      <c r="J17" s="2" t="s">
        <v>29</v>
      </c>
      <c r="K17">
        <f>B293</f>
        <v>1.0756947840063057E-2</v>
      </c>
      <c r="L17">
        <f>C293</f>
        <v>-1.1132283105291865E-3</v>
      </c>
      <c r="M17">
        <f t="shared" si="3"/>
        <v>1.057176736013879E-2</v>
      </c>
      <c r="N17">
        <f>D293</f>
        <v>-2.1501272654014136E-2</v>
      </c>
      <c r="O17">
        <f>AVERAGEIFS(E293:E315,E293:E315,"&lt;=" &amp; N17)</f>
        <v>-2.3220759039845495E-2</v>
      </c>
      <c r="P17">
        <v>129.07090759277344</v>
      </c>
      <c r="Q17">
        <v>31.331520000000001</v>
      </c>
      <c r="R17">
        <f t="shared" si="2"/>
        <v>127.27813720703125</v>
      </c>
      <c r="S17">
        <v>1.057176736013879E-2</v>
      </c>
      <c r="T17">
        <v>17.739999999999998</v>
      </c>
    </row>
    <row r="18" spans="1:20" x14ac:dyDescent="0.35">
      <c r="A18" t="s">
        <v>15</v>
      </c>
      <c r="E18">
        <v>8.6739256732978002E-3</v>
      </c>
      <c r="F18">
        <f t="shared" si="0"/>
        <v>-2.1528356530622343E-2</v>
      </c>
      <c r="G18">
        <f t="shared" si="1"/>
        <v>-3.318013485081741E-2</v>
      </c>
      <c r="J18" s="2" t="s">
        <v>30</v>
      </c>
      <c r="K18">
        <f>B316</f>
        <v>1.0236939172115328E-2</v>
      </c>
      <c r="L18">
        <f>C316</f>
        <v>1.5094294388733765E-3</v>
      </c>
      <c r="M18">
        <f t="shared" si="3"/>
        <v>1.0756947840063057E-2</v>
      </c>
      <c r="N18">
        <f>D316</f>
        <v>-1.6034467069995596E-2</v>
      </c>
      <c r="O18">
        <f>AVERAGEIFS(E316:E333,E316:E333,"&lt;=" &amp; N18)</f>
        <v>-2.0447049086370024E-2</v>
      </c>
      <c r="P18">
        <v>126.47275543212891</v>
      </c>
      <c r="Q18">
        <v>27.39622</v>
      </c>
      <c r="R18">
        <f t="shared" si="2"/>
        <v>129.07090759277344</v>
      </c>
      <c r="S18">
        <v>1.0756947840063057E-2</v>
      </c>
      <c r="T18">
        <v>14.75</v>
      </c>
    </row>
    <row r="19" spans="1:20" x14ac:dyDescent="0.35">
      <c r="A19" t="s">
        <v>15</v>
      </c>
      <c r="E19">
        <v>-2.7255533807051268E-2</v>
      </c>
      <c r="F19">
        <f t="shared" si="0"/>
        <v>-2.1532795354318551E-2</v>
      </c>
      <c r="G19">
        <f t="shared" si="1"/>
        <v>-3.318013485081741E-2</v>
      </c>
      <c r="J19" s="2" t="s">
        <v>31</v>
      </c>
      <c r="K19">
        <f>B334</f>
        <v>9.8496527288965269E-3</v>
      </c>
      <c r="L19">
        <f>C334</f>
        <v>-1.8358681049661838E-3</v>
      </c>
      <c r="M19">
        <f t="shared" si="3"/>
        <v>1.0236939172115328E-2</v>
      </c>
      <c r="N19">
        <f>D334</f>
        <v>-2.0103416897604361E-2</v>
      </c>
      <c r="O19">
        <f>AVERAGEIFS(E334:E353,E334:E353,"&lt;=" &amp; N19)</f>
        <v>-2.0394103253296561E-2</v>
      </c>
      <c r="P19">
        <v>113.10902404785156</v>
      </c>
      <c r="Q19">
        <v>29.241160000000001</v>
      </c>
      <c r="R19">
        <f t="shared" si="2"/>
        <v>126.47275543212891</v>
      </c>
      <c r="S19">
        <v>1.0236939172115328E-2</v>
      </c>
      <c r="T19">
        <v>15.45</v>
      </c>
    </row>
    <row r="20" spans="1:20" x14ac:dyDescent="0.35">
      <c r="A20" t="s">
        <v>15</v>
      </c>
      <c r="E20">
        <v>-1.9468872707012121E-2</v>
      </c>
      <c r="F20">
        <f t="shared" si="0"/>
        <v>-2.1448457704090665E-2</v>
      </c>
      <c r="G20">
        <f t="shared" si="1"/>
        <v>-3.3149571292380782E-2</v>
      </c>
      <c r="J20" s="2" t="s">
        <v>32</v>
      </c>
      <c r="K20">
        <f>B354</f>
        <v>1.4385681956972304E-2</v>
      </c>
      <c r="L20">
        <f>C354</f>
        <v>-5.0656101683484969E-4</v>
      </c>
      <c r="M20">
        <f t="shared" si="3"/>
        <v>9.8496527288965269E-3</v>
      </c>
      <c r="N20">
        <f>D354</f>
        <v>-2.6888623898649808E-2</v>
      </c>
      <c r="O20">
        <f>AVERAGEIFS(E354:E375,E354:E375,"&lt;=" &amp; N20)</f>
        <v>-2.8124498574325169E-2</v>
      </c>
      <c r="P20">
        <v>144.17045593261719</v>
      </c>
      <c r="Q20">
        <v>31.286750000000001</v>
      </c>
      <c r="R20">
        <f t="shared" si="2"/>
        <v>113.10902404785156</v>
      </c>
      <c r="S20">
        <v>9.8496527288965269E-3</v>
      </c>
      <c r="T20">
        <v>16.52</v>
      </c>
    </row>
    <row r="21" spans="1:20" x14ac:dyDescent="0.35">
      <c r="A21" t="s">
        <v>15</v>
      </c>
      <c r="E21">
        <v>1.0873964886171462E-2</v>
      </c>
      <c r="F21">
        <f t="shared" si="0"/>
        <v>-2.1452896527786869E-2</v>
      </c>
      <c r="G21">
        <f t="shared" si="1"/>
        <v>-3.3211481946287078E-2</v>
      </c>
      <c r="J21" s="2" t="s">
        <v>33</v>
      </c>
      <c r="K21">
        <f>B376</f>
        <v>1.5452458188434956E-2</v>
      </c>
      <c r="L21">
        <f>C376</f>
        <v>-3.4755557902322299E-3</v>
      </c>
      <c r="M21">
        <f t="shared" si="3"/>
        <v>1.4385681956972304E-2</v>
      </c>
      <c r="N21">
        <f>D376</f>
        <v>-2.7128924787556789E-2</v>
      </c>
      <c r="O21">
        <f>AVERAGEIFS(E376:E396,E376:E396,"&lt;=" &amp; N21)</f>
        <v>-2.7295562641089045E-2</v>
      </c>
      <c r="P21">
        <v>156.86024475097656</v>
      </c>
      <c r="Q21">
        <v>39.728549999999998</v>
      </c>
      <c r="R21">
        <f t="shared" si="2"/>
        <v>144.17045593261719</v>
      </c>
      <c r="S21">
        <v>1.4385681956972304E-2</v>
      </c>
      <c r="T21">
        <v>25.25</v>
      </c>
    </row>
    <row r="22" spans="1:20" x14ac:dyDescent="0.35">
      <c r="A22" t="s">
        <v>16</v>
      </c>
      <c r="B22" s="3" cm="1">
        <f t="array" ref="B22">_xlfn.STDEV.S(_xlfn._xlws.FILTER($E$2:$E$1000, $A$2:$A$1000="2010-02"))</f>
        <v>1.9108572886331925E-2</v>
      </c>
      <c r="C22" s="3" cm="1">
        <f t="array" ref="C22">AVERAGE(_xlfn._xlws.FILTER($E$2:$E$1000, $A$2:$A$1000="2010-02"))</f>
        <v>-2.8864333301030581E-3</v>
      </c>
      <c r="D22" s="3" cm="1">
        <f t="array" ref="D22">_xlfn.PERCENTILE.EXC(_xlfn._xlws.FILTER($E$22:$E$41, $A$22:$A$41="2010-02"), 0.05)</f>
        <v>-5.9402440047720335E-2</v>
      </c>
      <c r="E22">
        <v>4.3294253899599754E-3</v>
      </c>
      <c r="F22">
        <f t="shared" si="0"/>
        <v>-2.1457335351483073E-2</v>
      </c>
      <c r="G22">
        <f t="shared" si="1"/>
        <v>-3.3211481946287078E-2</v>
      </c>
      <c r="J22" s="4" t="s">
        <v>34</v>
      </c>
      <c r="K22" s="3">
        <f>B397</f>
        <v>2.7876667807356068E-2</v>
      </c>
      <c r="L22" s="3">
        <f>C397</f>
        <v>-4.7379637194120668E-3</v>
      </c>
      <c r="M22">
        <f t="shared" si="3"/>
        <v>1.5452458188434956E-2</v>
      </c>
      <c r="N22" s="3">
        <f>D397</f>
        <v>-5.5652752015496278E-2</v>
      </c>
      <c r="O22" s="3">
        <f>AVERAGEIFS(E397:E417,E397:E417,"&lt;=" &amp; N22)</f>
        <v>-5.6483792381981701E-2</v>
      </c>
      <c r="P22" s="3">
        <v>169.69657897949219</v>
      </c>
      <c r="Q22" s="3">
        <v>51.370930000000001</v>
      </c>
      <c r="R22">
        <f t="shared" si="2"/>
        <v>156.86024475097656</v>
      </c>
      <c r="S22">
        <v>1.5452458188434956E-2</v>
      </c>
      <c r="T22" s="3">
        <v>31.62</v>
      </c>
    </row>
    <row r="23" spans="1:20" x14ac:dyDescent="0.35">
      <c r="A23" t="s">
        <v>16</v>
      </c>
      <c r="E23">
        <v>1.3164207254256172E-2</v>
      </c>
      <c r="F23">
        <f t="shared" si="0"/>
        <v>-2.1461774175179277E-2</v>
      </c>
      <c r="G23">
        <f t="shared" si="1"/>
        <v>-3.3211481946287078E-2</v>
      </c>
      <c r="J23" s="2" t="s">
        <v>35</v>
      </c>
      <c r="K23">
        <f>B418</f>
        <v>2.8268690172767546E-2</v>
      </c>
      <c r="L23">
        <f>C418</f>
        <v>-9.0568779684741462E-4</v>
      </c>
      <c r="M23">
        <f t="shared" si="3"/>
        <v>2.7876667807356068E-2</v>
      </c>
      <c r="N23">
        <f>D418</f>
        <v>-4.7935367196568053E-2</v>
      </c>
      <c r="O23">
        <f>AVERAGEIFS(E418:E439,E418:E439,"&lt;=" &amp; N23)</f>
        <v>-4.8043116522953309E-2</v>
      </c>
      <c r="P23">
        <v>142.77693176269531</v>
      </c>
      <c r="Q23">
        <v>62.779389999999999</v>
      </c>
      <c r="R23">
        <f t="shared" si="2"/>
        <v>169.69657897949219</v>
      </c>
      <c r="S23">
        <v>2.7876667807356068E-2</v>
      </c>
      <c r="T23">
        <v>42.96</v>
      </c>
    </row>
    <row r="24" spans="1:20" x14ac:dyDescent="0.35">
      <c r="A24" t="s">
        <v>16</v>
      </c>
      <c r="E24">
        <v>-2.2925018814720758E-2</v>
      </c>
      <c r="F24">
        <f t="shared" si="0"/>
        <v>-2.1466212998875481E-2</v>
      </c>
      <c r="G24">
        <f t="shared" si="1"/>
        <v>-3.3211481946287078E-2</v>
      </c>
      <c r="J24" s="2" t="s">
        <v>36</v>
      </c>
      <c r="K24">
        <f>B440</f>
        <v>2.0346324667241195E-2</v>
      </c>
      <c r="L24">
        <f>C440</f>
        <v>2.2222535934552038E-3</v>
      </c>
      <c r="M24">
        <f t="shared" si="3"/>
        <v>2.8268690172767546E-2</v>
      </c>
      <c r="N24">
        <f>D440</f>
        <v>-2.9450723080659897E-2</v>
      </c>
      <c r="O24">
        <f>AVERAGEIFS(E440:E460,E440:E460,"&lt;=" &amp; N24)</f>
        <v>-2.9651278656465541E-2</v>
      </c>
      <c r="P24">
        <v>136.20451354980469</v>
      </c>
      <c r="Q24">
        <v>48.978070000000002</v>
      </c>
      <c r="R24">
        <f t="shared" si="2"/>
        <v>142.77693176269531</v>
      </c>
      <c r="S24">
        <v>2.8268690172767546E-2</v>
      </c>
      <c r="T24">
        <v>29.96</v>
      </c>
    </row>
    <row r="25" spans="1:20" x14ac:dyDescent="0.35">
      <c r="A25" t="s">
        <v>16</v>
      </c>
      <c r="E25">
        <v>-6.1230380909932304E-2</v>
      </c>
      <c r="F25">
        <f t="shared" si="0"/>
        <v>-2.1437707446523829E-2</v>
      </c>
      <c r="G25">
        <f t="shared" si="1"/>
        <v>-3.3203669453638243E-2</v>
      </c>
      <c r="J25" s="2" t="s">
        <v>37</v>
      </c>
      <c r="K25">
        <f>B461</f>
        <v>2.176599892398778E-2</v>
      </c>
      <c r="L25">
        <f>C461</f>
        <v>-2.6406182038064764E-3</v>
      </c>
      <c r="M25">
        <f t="shared" si="3"/>
        <v>2.0346324667241195E-2</v>
      </c>
      <c r="N25">
        <f>D461</f>
        <v>-4.1702820732960402E-2</v>
      </c>
      <c r="O25">
        <f>AVERAGEIFS(E461:E482,E461:E482,"&lt;=" &amp; N25)</f>
        <v>-4.2813576137981209E-2</v>
      </c>
      <c r="P25">
        <v>177.70838928222656</v>
      </c>
      <c r="Q25">
        <v>49.869079999999997</v>
      </c>
      <c r="R25">
        <f t="shared" si="2"/>
        <v>136.20451354980469</v>
      </c>
      <c r="S25">
        <v>2.0346324667241195E-2</v>
      </c>
      <c r="T25">
        <v>27.8</v>
      </c>
    </row>
    <row r="26" spans="1:20" x14ac:dyDescent="0.35">
      <c r="A26" t="s">
        <v>16</v>
      </c>
      <c r="E26">
        <v>-1.3605518302307962E-2</v>
      </c>
      <c r="F26">
        <f t="shared" si="0"/>
        <v>-2.1416632874466723E-2</v>
      </c>
      <c r="G26">
        <f t="shared" si="1"/>
        <v>-3.2993107247910214E-2</v>
      </c>
      <c r="J26" s="2" t="s">
        <v>38</v>
      </c>
      <c r="K26">
        <f>B483</f>
        <v>1.5723205729199139E-2</v>
      </c>
      <c r="L26">
        <f>C483</f>
        <v>6.8643163699450851E-4</v>
      </c>
      <c r="M26">
        <f t="shared" si="3"/>
        <v>2.176599892398778E-2</v>
      </c>
      <c r="N26">
        <f>D483</f>
        <v>-3.1070033980593648E-2</v>
      </c>
      <c r="O26">
        <f>AVERAGEIFS(E483:E502,E483:E502,"&lt;=" &amp; N26)</f>
        <v>-3.1557399144656773E-2</v>
      </c>
      <c r="P26">
        <v>132.91546630859375</v>
      </c>
      <c r="Q26">
        <v>41.6721</v>
      </c>
      <c r="R26">
        <f t="shared" si="2"/>
        <v>177.70838928222656</v>
      </c>
      <c r="S26">
        <v>2.176599892398778E-2</v>
      </c>
      <c r="T26">
        <v>23.4</v>
      </c>
    </row>
    <row r="27" spans="1:20" x14ac:dyDescent="0.35">
      <c r="A27" t="s">
        <v>16</v>
      </c>
      <c r="E27">
        <v>1.0143073528624489E-2</v>
      </c>
      <c r="F27">
        <f t="shared" si="0"/>
        <v>-2.1417882242528732E-2</v>
      </c>
      <c r="G27">
        <f t="shared" si="1"/>
        <v>-3.2993107247910214E-2</v>
      </c>
      <c r="J27" s="2" t="s">
        <v>39</v>
      </c>
      <c r="K27">
        <f>B503</f>
        <v>1.3508673653871914E-2</v>
      </c>
      <c r="L27">
        <f>C503</f>
        <v>-3.1847474499126829E-4</v>
      </c>
      <c r="M27">
        <f t="shared" si="3"/>
        <v>1.5723205729199139E-2</v>
      </c>
      <c r="N27">
        <f>D503</f>
        <v>-2.8585077745009867E-2</v>
      </c>
      <c r="O27">
        <f>AVERAGEIFS(E503:E523,E503:E523,"&lt;=" &amp; N27)</f>
        <v>-2.9828245888662997E-2</v>
      </c>
      <c r="P27">
        <v>148.67044067382813</v>
      </c>
      <c r="Q27">
        <v>34.387320000000003</v>
      </c>
      <c r="R27">
        <f t="shared" si="2"/>
        <v>132.91546630859375</v>
      </c>
      <c r="S27">
        <v>1.5723205729199139E-2</v>
      </c>
      <c r="T27">
        <v>19.440000000000001</v>
      </c>
    </row>
    <row r="28" spans="1:20" x14ac:dyDescent="0.35">
      <c r="A28" t="s">
        <v>16</v>
      </c>
      <c r="E28">
        <v>6.7475123813470171E-3</v>
      </c>
      <c r="F28">
        <f t="shared" si="0"/>
        <v>-2.1419131610590746E-2</v>
      </c>
      <c r="G28">
        <f t="shared" si="1"/>
        <v>-3.2993107247910214E-2</v>
      </c>
      <c r="J28" s="2" t="s">
        <v>40</v>
      </c>
      <c r="K28">
        <f>B524</f>
        <v>1.0604104091067828E-2</v>
      </c>
      <c r="L28">
        <f>C524</f>
        <v>-2.4293338288292971E-4</v>
      </c>
      <c r="M28">
        <f t="shared" si="3"/>
        <v>1.3508673653871914E-2</v>
      </c>
      <c r="N28">
        <f>D524</f>
        <v>-2.0598388103957373E-2</v>
      </c>
      <c r="O28">
        <f>AVERAGEIFS(E524:E544,E524:E544,"&lt;=" &amp; N28)</f>
        <v>-2.1215036374917711E-2</v>
      </c>
      <c r="P28">
        <v>141.65986633300781</v>
      </c>
      <c r="Q28">
        <v>31.961829999999999</v>
      </c>
      <c r="R28">
        <f t="shared" si="2"/>
        <v>148.67044067382813</v>
      </c>
      <c r="S28">
        <v>1.3508673653871914E-2</v>
      </c>
      <c r="T28">
        <v>18.43</v>
      </c>
    </row>
    <row r="29" spans="1:20" x14ac:dyDescent="0.35">
      <c r="A29" t="s">
        <v>16</v>
      </c>
      <c r="E29">
        <v>1.7327643815640288E-2</v>
      </c>
      <c r="F29">
        <f t="shared" si="0"/>
        <v>-2.1420380978652755E-2</v>
      </c>
      <c r="G29">
        <f t="shared" si="1"/>
        <v>-3.2993107247910214E-2</v>
      </c>
      <c r="J29" s="2" t="s">
        <v>41</v>
      </c>
      <c r="K29">
        <f>B545</f>
        <v>1.3414478152192424E-2</v>
      </c>
      <c r="L29">
        <f>C545</f>
        <v>-2.5275130937433454E-3</v>
      </c>
      <c r="M29">
        <f t="shared" si="3"/>
        <v>1.0604104091067828E-2</v>
      </c>
      <c r="N29">
        <f>D545</f>
        <v>-3.231696412559467E-2</v>
      </c>
      <c r="O29">
        <f>AVERAGEIFS(E545:E566,E545:E566,"&lt;=" &amp; N29)</f>
        <v>-3.4527891210938175E-2</v>
      </c>
      <c r="P29">
        <v>152.198974609375</v>
      </c>
      <c r="Q29">
        <v>30.058730000000001</v>
      </c>
      <c r="R29">
        <f t="shared" si="2"/>
        <v>141.65986633300781</v>
      </c>
      <c r="S29">
        <v>1.0604104091067828E-2</v>
      </c>
      <c r="T29">
        <v>15.5</v>
      </c>
    </row>
    <row r="30" spans="1:20" x14ac:dyDescent="0.35">
      <c r="A30" t="s">
        <v>16</v>
      </c>
      <c r="E30">
        <v>-1.6714716875825576E-2</v>
      </c>
      <c r="F30">
        <f t="shared" si="0"/>
        <v>-2.1421630346714769E-2</v>
      </c>
      <c r="G30">
        <f t="shared" si="1"/>
        <v>-3.2993107247910214E-2</v>
      </c>
      <c r="J30" s="2" t="s">
        <v>42</v>
      </c>
      <c r="K30">
        <f>B567</f>
        <v>2.1694372507065299E-2</v>
      </c>
      <c r="L30">
        <f>C567</f>
        <v>-6.9979314625309968E-3</v>
      </c>
      <c r="M30">
        <f t="shared" si="3"/>
        <v>1.3414478152192424E-2</v>
      </c>
      <c r="N30">
        <f>D567</f>
        <v>-4.0704460209142167E-2</v>
      </c>
      <c r="O30">
        <f>AVERAGEIFS(E567:E585,E567:E585,"&lt;=" &amp; N30)</f>
        <v>-4.0704460209142167E-2</v>
      </c>
      <c r="P30">
        <v>205.71994018554688</v>
      </c>
      <c r="Q30">
        <v>35.65361</v>
      </c>
      <c r="R30">
        <f t="shared" si="2"/>
        <v>152.198974609375</v>
      </c>
      <c r="S30">
        <v>1.3414478152192424E-2</v>
      </c>
      <c r="T30">
        <v>17.149999999999999</v>
      </c>
    </row>
    <row r="31" spans="1:20" x14ac:dyDescent="0.35">
      <c r="A31" t="s">
        <v>16</v>
      </c>
      <c r="E31">
        <v>-5.5396940748302249E-3</v>
      </c>
      <c r="F31">
        <f t="shared" si="0"/>
        <v>-2.1422879714776778E-2</v>
      </c>
      <c r="G31">
        <f t="shared" si="1"/>
        <v>-3.2993107247910214E-2</v>
      </c>
      <c r="J31" s="2" t="s">
        <v>43</v>
      </c>
      <c r="K31">
        <f>B586</f>
        <v>1.8614099251367085E-2</v>
      </c>
      <c r="L31">
        <f>C586</f>
        <v>-6.707862084037587E-3</v>
      </c>
      <c r="M31">
        <f t="shared" si="3"/>
        <v>2.1694372507065299E-2</v>
      </c>
      <c r="N31">
        <f>D586</f>
        <v>-3.3148321509557654E-2</v>
      </c>
      <c r="O31">
        <f>AVERAGEIFS(E586:E606,E586:E606,"&lt;=" &amp; N31)</f>
        <v>-3.3708483845384052E-2</v>
      </c>
      <c r="P31">
        <v>226.41781616210938</v>
      </c>
      <c r="Q31">
        <v>43.20946</v>
      </c>
      <c r="R31">
        <f t="shared" si="2"/>
        <v>205.71994018554688</v>
      </c>
      <c r="S31">
        <v>2.1694372507065299E-2</v>
      </c>
      <c r="T31">
        <v>24.06</v>
      </c>
    </row>
    <row r="32" spans="1:20" x14ac:dyDescent="0.35">
      <c r="A32" t="s">
        <v>16</v>
      </c>
      <c r="E32">
        <v>6.6964209587022485E-3</v>
      </c>
      <c r="F32">
        <f t="shared" si="0"/>
        <v>-2.1424129082838791E-2</v>
      </c>
      <c r="G32">
        <f t="shared" si="1"/>
        <v>-3.2993107247910214E-2</v>
      </c>
      <c r="J32" s="2" t="s">
        <v>44</v>
      </c>
      <c r="K32">
        <f>B607</f>
        <v>2.3461545374109473E-2</v>
      </c>
      <c r="L32">
        <f>C607</f>
        <v>8.0941765655644302E-3</v>
      </c>
      <c r="M32">
        <f t="shared" si="3"/>
        <v>1.8614099251367085E-2</v>
      </c>
      <c r="N32">
        <f>D607</f>
        <v>-3.7381299503334804E-2</v>
      </c>
      <c r="O32">
        <f>AVERAGEIFS(E607:E625,E607:E625,"&lt;=" &amp; N32)</f>
        <v>-3.7381299503334804E-2</v>
      </c>
      <c r="P32">
        <v>234.37637329101563</v>
      </c>
      <c r="Q32">
        <v>31.559560000000001</v>
      </c>
      <c r="R32">
        <f t="shared" si="2"/>
        <v>226.41781616210938</v>
      </c>
      <c r="S32">
        <v>1.8614099251367085E-2</v>
      </c>
      <c r="T32">
        <v>17.079999999999998</v>
      </c>
    </row>
    <row r="33" spans="1:20" x14ac:dyDescent="0.35">
      <c r="A33" t="s">
        <v>16</v>
      </c>
      <c r="E33">
        <v>9.6967527161703447E-3</v>
      </c>
      <c r="F33">
        <f t="shared" si="0"/>
        <v>-2.1425378450900801E-2</v>
      </c>
      <c r="G33">
        <f t="shared" si="1"/>
        <v>-3.2993107247910214E-2</v>
      </c>
      <c r="J33" s="2" t="s">
        <v>45</v>
      </c>
      <c r="K33">
        <f>B626</f>
        <v>2.6125850137888366E-2</v>
      </c>
      <c r="L33">
        <f>C626</f>
        <v>-2.3921185969256924E-3</v>
      </c>
      <c r="M33">
        <f t="shared" si="3"/>
        <v>2.3461545374109473E-2</v>
      </c>
      <c r="N33">
        <f>D626</f>
        <v>-5.6473654585394523E-2</v>
      </c>
      <c r="O33">
        <f>AVERAGEIFS(E626:E647,E626:E647,"&lt;=" &amp; N33)</f>
        <v>-6.0007595739989587E-2</v>
      </c>
      <c r="P33">
        <v>233.64985656738281</v>
      </c>
      <c r="Q33">
        <v>34.46763</v>
      </c>
      <c r="R33">
        <f t="shared" si="2"/>
        <v>234.37637329101563</v>
      </c>
      <c r="S33">
        <v>2.3461545374109473E-2</v>
      </c>
      <c r="T33">
        <v>18.93</v>
      </c>
    </row>
    <row r="34" spans="1:20" x14ac:dyDescent="0.35">
      <c r="A34" t="s">
        <v>16</v>
      </c>
      <c r="E34">
        <v>1.0022819335651544E-2</v>
      </c>
      <c r="F34">
        <f t="shared" si="0"/>
        <v>-2.1426627818962814E-2</v>
      </c>
      <c r="G34">
        <f t="shared" si="1"/>
        <v>-3.2993107247910214E-2</v>
      </c>
      <c r="J34" s="2" t="s">
        <v>46</v>
      </c>
      <c r="K34">
        <f>B648</f>
        <v>2.5134417460151198E-2</v>
      </c>
      <c r="L34">
        <f>C648</f>
        <v>4.5937359181111902E-3</v>
      </c>
      <c r="M34">
        <f t="shared" si="3"/>
        <v>2.6125850137888366E-2</v>
      </c>
      <c r="N34">
        <f>D648</f>
        <v>-5.0398029349712943E-2</v>
      </c>
      <c r="O34">
        <f>AVERAGEIFS(E648:E668,E648:E668,"&lt;=" &amp; N34)</f>
        <v>-5.2955075383574662E-2</v>
      </c>
      <c r="P34">
        <v>164.81138610839844</v>
      </c>
      <c r="Q34">
        <v>32.31174</v>
      </c>
      <c r="R34">
        <f t="shared" si="2"/>
        <v>233.64985656738281</v>
      </c>
      <c r="S34">
        <v>2.6125850137888366E-2</v>
      </c>
      <c r="T34">
        <v>17.47</v>
      </c>
    </row>
    <row r="35" spans="1:20" x14ac:dyDescent="0.35">
      <c r="A35" t="s">
        <v>16</v>
      </c>
      <c r="E35">
        <v>7.1751570120586975E-3</v>
      </c>
      <c r="F35">
        <f t="shared" si="0"/>
        <v>-2.1427877187024824E-2</v>
      </c>
      <c r="G35">
        <f t="shared" si="1"/>
        <v>-3.2993107247910214E-2</v>
      </c>
      <c r="J35" s="2" t="s">
        <v>47</v>
      </c>
      <c r="K35">
        <f>B669</f>
        <v>1.8029808537090967E-2</v>
      </c>
      <c r="L35">
        <f>C669</f>
        <v>1.9038587882260366E-3</v>
      </c>
      <c r="M35">
        <f t="shared" si="3"/>
        <v>2.5134417460151198E-2</v>
      </c>
      <c r="N35">
        <f>D669</f>
        <v>-3.8866917966943498E-2</v>
      </c>
      <c r="O35">
        <f>AVERAGEIFS(E669:E688,E669:E688,"&lt;=" &amp; N35)</f>
        <v>-4.0006832461666177E-2</v>
      </c>
      <c r="P35">
        <v>171.01335144042969</v>
      </c>
      <c r="Q35">
        <v>30.108720000000002</v>
      </c>
      <c r="R35">
        <f t="shared" si="2"/>
        <v>164.81138610839844</v>
      </c>
      <c r="S35">
        <v>2.5134417460151198E-2</v>
      </c>
      <c r="T35">
        <v>15.73</v>
      </c>
    </row>
    <row r="36" spans="1:20" x14ac:dyDescent="0.35">
      <c r="A36" t="s">
        <v>16</v>
      </c>
      <c r="E36">
        <v>9.6467250686160591E-3</v>
      </c>
      <c r="F36">
        <f t="shared" si="0"/>
        <v>-2.1429126555086837E-2</v>
      </c>
      <c r="G36">
        <f t="shared" si="1"/>
        <v>-3.2993107247910214E-2</v>
      </c>
      <c r="J36" s="2" t="s">
        <v>48</v>
      </c>
      <c r="K36">
        <f>B689</f>
        <v>1.3548890039983991E-2</v>
      </c>
      <c r="L36">
        <f>C689</f>
        <v>7.515238177329775E-4</v>
      </c>
      <c r="M36">
        <f t="shared" si="3"/>
        <v>1.8029808537090967E-2</v>
      </c>
      <c r="N36">
        <f>D689</f>
        <v>-2.2399608517518467E-2</v>
      </c>
      <c r="O36">
        <f>AVERAGEIFS(E689:E711,E689:E711,"&lt;=" &amp; N36)</f>
        <v>-2.3343572951818985E-2</v>
      </c>
      <c r="P36">
        <v>160.08543395996094</v>
      </c>
      <c r="Q36">
        <v>28.809349999999998</v>
      </c>
      <c r="R36">
        <f t="shared" si="2"/>
        <v>171.01335144042969</v>
      </c>
      <c r="S36">
        <v>1.8029808537090967E-2</v>
      </c>
      <c r="T36">
        <v>18.600000000000001</v>
      </c>
    </row>
    <row r="37" spans="1:20" x14ac:dyDescent="0.35">
      <c r="A37" t="s">
        <v>16</v>
      </c>
      <c r="E37">
        <v>-9.9966945680901344E-3</v>
      </c>
      <c r="F37">
        <f t="shared" si="0"/>
        <v>-2.1430375923148847E-2</v>
      </c>
      <c r="G37">
        <f t="shared" si="1"/>
        <v>-3.2993107247910214E-2</v>
      </c>
      <c r="J37" s="2" t="s">
        <v>49</v>
      </c>
      <c r="K37">
        <f>B712</f>
        <v>1.1135928698743731E-2</v>
      </c>
      <c r="L37">
        <f>C712</f>
        <v>5.2837632744689262E-4</v>
      </c>
      <c r="M37">
        <f t="shared" si="3"/>
        <v>1.3548890039983991E-2</v>
      </c>
      <c r="N37">
        <f>D712</f>
        <v>-2.2261049707302537E-2</v>
      </c>
      <c r="O37">
        <f>AVERAGEIFS(E712:E733,E712:E733,"&lt;=" &amp; N37)</f>
        <v>-2.2829301659031347E-2</v>
      </c>
      <c r="P37">
        <v>146.38999938964844</v>
      </c>
      <c r="Q37">
        <v>21.524550000000001</v>
      </c>
      <c r="R37">
        <f t="shared" si="2"/>
        <v>160.08543395996094</v>
      </c>
      <c r="S37">
        <v>1.3548890039983991E-2</v>
      </c>
      <c r="T37">
        <v>15.87</v>
      </c>
    </row>
    <row r="38" spans="1:20" x14ac:dyDescent="0.35">
      <c r="A38" t="s">
        <v>16</v>
      </c>
      <c r="E38">
        <v>-2.4671563665692925E-2</v>
      </c>
      <c r="F38">
        <f t="shared" si="0"/>
        <v>-2.143162529121086E-2</v>
      </c>
      <c r="G38">
        <f t="shared" si="1"/>
        <v>-3.2993107247910214E-2</v>
      </c>
      <c r="J38" s="2" t="s">
        <v>50</v>
      </c>
      <c r="K38">
        <f>B734</f>
        <v>8.4860370335528932E-3</v>
      </c>
      <c r="L38">
        <f>C734</f>
        <v>1.4382925938678684E-3</v>
      </c>
      <c r="M38">
        <f t="shared" si="3"/>
        <v>1.1135928698743731E-2</v>
      </c>
      <c r="N38">
        <f>D734</f>
        <v>-9.9787351694260885E-3</v>
      </c>
      <c r="O38">
        <f>AVERAGEIFS(E734:E750,E734:E750,"&lt;=" &amp; N38)</f>
        <v>-1.8267740916697302E-2</v>
      </c>
      <c r="P38">
        <v>151.52682495117188</v>
      </c>
      <c r="Q38">
        <v>28.233470000000001</v>
      </c>
      <c r="R38">
        <f t="shared" si="2"/>
        <v>146.38999938964844</v>
      </c>
      <c r="S38">
        <v>1.1135928698743731E-2</v>
      </c>
      <c r="T38">
        <v>18.02</v>
      </c>
    </row>
    <row r="39" spans="1:20" x14ac:dyDescent="0.35">
      <c r="A39" t="s">
        <v>16</v>
      </c>
      <c r="E39">
        <v>-5.7276654258481023E-3</v>
      </c>
      <c r="F39">
        <f t="shared" si="0"/>
        <v>-2.1406790147661923E-2</v>
      </c>
      <c r="G39">
        <f t="shared" si="1"/>
        <v>-3.297584572939382E-2</v>
      </c>
      <c r="J39" s="2" t="s">
        <v>51</v>
      </c>
      <c r="K39">
        <f>B751</f>
        <v>1.1534701941819272E-2</v>
      </c>
      <c r="L39">
        <f>C751</f>
        <v>1.2749814386214863E-3</v>
      </c>
      <c r="M39">
        <f t="shared" si="3"/>
        <v>8.4860370335528932E-3</v>
      </c>
      <c r="N39">
        <f>D751</f>
        <v>-2.228156732954804E-2</v>
      </c>
      <c r="O39">
        <f>AVERAGEIFS(E751:E772,E751:E772,"&lt;=" &amp; N39)</f>
        <v>-2.4755902778969763E-2</v>
      </c>
      <c r="P39">
        <v>135.85504150390625</v>
      </c>
      <c r="Q39">
        <v>22.603100000000001</v>
      </c>
      <c r="R39">
        <f t="shared" si="2"/>
        <v>151.52682495117188</v>
      </c>
      <c r="S39">
        <v>8.4860370335528932E-3</v>
      </c>
      <c r="T39">
        <v>14.28</v>
      </c>
    </row>
    <row r="40" spans="1:20" x14ac:dyDescent="0.35">
      <c r="A40" t="s">
        <v>16</v>
      </c>
      <c r="E40">
        <v>-1.2541748873152129E-2</v>
      </c>
      <c r="F40">
        <f t="shared" si="0"/>
        <v>-2.1409136666094654E-2</v>
      </c>
      <c r="G40">
        <f t="shared" si="1"/>
        <v>-3.297584572939382E-2</v>
      </c>
      <c r="J40" s="2" t="s">
        <v>52</v>
      </c>
      <c r="K40">
        <f>B773</f>
        <v>1.7868917276529533E-2</v>
      </c>
      <c r="L40">
        <f>C773</f>
        <v>-7.9555214229463478E-4</v>
      </c>
      <c r="M40">
        <f t="shared" si="3"/>
        <v>1.1534701941819272E-2</v>
      </c>
      <c r="N40">
        <f>D773</f>
        <v>-3.8114428615657017E-2</v>
      </c>
      <c r="O40">
        <f>AVERAGEIFS(E773:E792,E773:E792,"&lt;=" &amp; N40)</f>
        <v>-3.8408862519321303E-2</v>
      </c>
      <c r="P40">
        <v>124.12546539306641</v>
      </c>
      <c r="Q40">
        <v>27.480319999999999</v>
      </c>
      <c r="R40">
        <f t="shared" si="2"/>
        <v>135.85504150390625</v>
      </c>
      <c r="S40">
        <v>1.1534701941819272E-2</v>
      </c>
      <c r="T40">
        <v>15.51</v>
      </c>
    </row>
    <row r="41" spans="1:20" x14ac:dyDescent="0.35">
      <c r="A41" t="s">
        <v>16</v>
      </c>
      <c r="E41">
        <v>2.0274597447312106E-2</v>
      </c>
      <c r="F41">
        <f t="shared" si="0"/>
        <v>-2.1410386034156664E-2</v>
      </c>
      <c r="G41">
        <f t="shared" si="1"/>
        <v>-3.3037370777602854E-2</v>
      </c>
      <c r="J41" s="2" t="s">
        <v>53</v>
      </c>
      <c r="K41">
        <f>B793</f>
        <v>1.3853069583714274E-2</v>
      </c>
      <c r="L41">
        <f>C793</f>
        <v>-1.9215630101573078E-3</v>
      </c>
      <c r="M41">
        <f t="shared" si="3"/>
        <v>1.7868917276529533E-2</v>
      </c>
      <c r="N41">
        <f>D793</f>
        <v>-2.290261333893992E-2</v>
      </c>
      <c r="O41">
        <f>AVERAGEIFS(E793:E812,E793:E812,"&lt;=" &amp; N41)</f>
        <v>-2.2939542995929485E-2</v>
      </c>
      <c r="P41">
        <v>129.89584350585938</v>
      </c>
      <c r="Q41">
        <v>26.790800000000001</v>
      </c>
      <c r="R41">
        <f t="shared" si="2"/>
        <v>124.12546539306641</v>
      </c>
      <c r="S41">
        <v>1.7868917276529533E-2</v>
      </c>
      <c r="T41">
        <v>12.7</v>
      </c>
    </row>
    <row r="42" spans="1:20" x14ac:dyDescent="0.35">
      <c r="A42" t="s">
        <v>17</v>
      </c>
      <c r="B42" s="3" cm="1">
        <f t="array" ref="B42">_xlfn.STDEV.S(_xlfn._xlws.FILTER($E$2:$E$1000, $A$2:$A$1000="2010-03"))</f>
        <v>1.0978417814048846E-2</v>
      </c>
      <c r="C42" s="3" cm="1">
        <f t="array" ref="C42">_xlfn.STDEV.S(_xlfn._xlws.FILTER($E$2:$E$1000, $A$2:$A$1000="2010-03"))</f>
        <v>1.0978417814048846E-2</v>
      </c>
      <c r="D42" s="3" cm="1">
        <f t="array" ref="D42">_xlfn.PERCENTILE.EXC(_xlfn._xlws.FILTER($E$42:$E$64, $A$42:$A$64="2010-03"), 0.05)</f>
        <v>-1.1866262623054447E-2</v>
      </c>
      <c r="E42">
        <v>9.7552354138920813E-3</v>
      </c>
      <c r="F42">
        <f t="shared" si="0"/>
        <v>-2.1411635402218677E-2</v>
      </c>
      <c r="G42">
        <f t="shared" si="1"/>
        <v>-3.3037370777602854E-2</v>
      </c>
      <c r="J42" s="4" t="s">
        <v>54</v>
      </c>
      <c r="K42" s="3">
        <f>B813</f>
        <v>1.4728871930831345E-2</v>
      </c>
      <c r="L42" s="3">
        <f>C813</f>
        <v>2.9095166918663255E-3</v>
      </c>
      <c r="M42">
        <f t="shared" si="3"/>
        <v>1.3853069583714274E-2</v>
      </c>
      <c r="N42" s="3">
        <f>D813</f>
        <v>-1.8481592777682503E-2</v>
      </c>
      <c r="O42" s="3">
        <f>AVERAGEIFS(E813:E833,E813:E833,"&lt;=" &amp; N42)</f>
        <v>-1.8500118147855769E-2</v>
      </c>
      <c r="P42" s="3">
        <v>143.94744873046875</v>
      </c>
      <c r="Q42" s="3">
        <v>26.659420000000001</v>
      </c>
      <c r="R42">
        <f t="shared" si="2"/>
        <v>129.89584350585938</v>
      </c>
      <c r="S42">
        <v>1.3853069583714274E-2</v>
      </c>
      <c r="T42" s="3">
        <v>13.52</v>
      </c>
    </row>
    <row r="43" spans="1:20" x14ac:dyDescent="0.35">
      <c r="A43" t="s">
        <v>17</v>
      </c>
      <c r="E43">
        <v>8.2648253469802101E-3</v>
      </c>
      <c r="F43">
        <f t="shared" si="0"/>
        <v>-2.1412884770280687E-2</v>
      </c>
      <c r="G43">
        <f t="shared" si="1"/>
        <v>-3.3037370777602854E-2</v>
      </c>
      <c r="J43" s="2" t="s">
        <v>55</v>
      </c>
      <c r="K43">
        <f>B834</f>
        <v>1.0598317914710066E-2</v>
      </c>
      <c r="L43">
        <f>C834</f>
        <v>-5.8783443689917403E-4</v>
      </c>
      <c r="M43">
        <f t="shared" si="3"/>
        <v>1.4728871930831345E-2</v>
      </c>
      <c r="N43">
        <f>D834</f>
        <v>-1.4105016352725186E-2</v>
      </c>
      <c r="O43">
        <f>AVERAGEIFS(E834:E853,E834:E853,"&lt;=" &amp; N43)</f>
        <v>-1.4138043418742887E-2</v>
      </c>
      <c r="P43">
        <v>135.0992431640625</v>
      </c>
      <c r="Q43">
        <v>25.429390000000001</v>
      </c>
      <c r="R43">
        <f t="shared" si="2"/>
        <v>143.94744873046875</v>
      </c>
      <c r="S43">
        <v>1.4728871930831345E-2</v>
      </c>
      <c r="T43">
        <v>16.3</v>
      </c>
    </row>
    <row r="44" spans="1:20" x14ac:dyDescent="0.35">
      <c r="A44" t="s">
        <v>17</v>
      </c>
      <c r="E44">
        <v>1.3499685802398905E-2</v>
      </c>
      <c r="F44">
        <f t="shared" si="0"/>
        <v>-2.14141341383427E-2</v>
      </c>
      <c r="G44">
        <f t="shared" si="1"/>
        <v>-3.3037370777602854E-2</v>
      </c>
      <c r="J44" s="2" t="s">
        <v>56</v>
      </c>
      <c r="K44">
        <f>B854</f>
        <v>1.33648134982765E-2</v>
      </c>
      <c r="L44">
        <f>C854</f>
        <v>-3.4702077897262409E-3</v>
      </c>
      <c r="M44">
        <f t="shared" si="3"/>
        <v>1.0598317914710066E-2</v>
      </c>
      <c r="N44">
        <f>D854</f>
        <v>-3.3929796683348362E-2</v>
      </c>
      <c r="O44">
        <f>AVERAGEIFS(E854:E873,E854:E873,"&lt;=" &amp; N44)</f>
        <v>-3.470110240231368E-2</v>
      </c>
      <c r="P44">
        <v>154.99974060058594</v>
      </c>
      <c r="Q44">
        <v>28.373660000000001</v>
      </c>
      <c r="R44">
        <f t="shared" si="2"/>
        <v>135.0992431640625</v>
      </c>
      <c r="S44">
        <v>1.0598317914710066E-2</v>
      </c>
      <c r="T44">
        <v>16.86</v>
      </c>
    </row>
    <row r="45" spans="1:20" x14ac:dyDescent="0.35">
      <c r="A45" t="s">
        <v>17</v>
      </c>
      <c r="E45">
        <v>7.5479811685521224E-3</v>
      </c>
      <c r="F45">
        <f t="shared" si="0"/>
        <v>-2.1415383506404713E-2</v>
      </c>
      <c r="G45">
        <f t="shared" si="1"/>
        <v>-3.3037370777602854E-2</v>
      </c>
      <c r="J45" s="2" t="s">
        <v>57</v>
      </c>
      <c r="K45">
        <f>B874</f>
        <v>1.2642925362140327E-2</v>
      </c>
      <c r="L45">
        <f>C874</f>
        <v>3.6030347978017905E-3</v>
      </c>
      <c r="M45">
        <f t="shared" si="3"/>
        <v>1.33648134982765E-2</v>
      </c>
      <c r="N45">
        <f>D874</f>
        <v>-2.2114196651262633E-2</v>
      </c>
      <c r="O45">
        <f>AVERAGEIFS(E874:E896,E874:E896,"&lt;=" &amp; N45)</f>
        <v>-2.3433552724176705E-2</v>
      </c>
      <c r="P45">
        <v>127.65289306640625</v>
      </c>
      <c r="Q45">
        <v>25.309899999999999</v>
      </c>
      <c r="R45">
        <f t="shared" si="2"/>
        <v>154.99974060058594</v>
      </c>
      <c r="S45">
        <v>1.33648134982765E-2</v>
      </c>
      <c r="T45">
        <v>13.45</v>
      </c>
    </row>
    <row r="46" spans="1:20" x14ac:dyDescent="0.35">
      <c r="A46" t="s">
        <v>17</v>
      </c>
      <c r="E46">
        <v>2.5225205072257732E-2</v>
      </c>
      <c r="F46">
        <f t="shared" si="0"/>
        <v>-2.1416632874466723E-2</v>
      </c>
      <c r="G46">
        <f t="shared" si="1"/>
        <v>-3.3037370777602854E-2</v>
      </c>
      <c r="J46" s="2" t="s">
        <v>58</v>
      </c>
      <c r="K46">
        <f>B897</f>
        <v>1.2660361636065681E-2</v>
      </c>
      <c r="L46">
        <f>C897</f>
        <v>-8.5448656065846269E-4</v>
      </c>
      <c r="M46">
        <f t="shared" si="3"/>
        <v>1.2642925362140327E-2</v>
      </c>
      <c r="N46">
        <f>D897</f>
        <v>-3.3512566730637822E-2</v>
      </c>
      <c r="O46">
        <f>AVERAGEIFS(E897:E916,E897:E916,"&lt;=" &amp; N46)</f>
        <v>-3.4287467193559781E-2</v>
      </c>
      <c r="P46">
        <v>129.31399536132813</v>
      </c>
      <c r="Q46">
        <v>31.001010000000001</v>
      </c>
      <c r="R46">
        <f t="shared" si="2"/>
        <v>127.65289306640625</v>
      </c>
      <c r="S46">
        <v>1.2642925362140327E-2</v>
      </c>
      <c r="T46">
        <v>17.010000000000002</v>
      </c>
    </row>
    <row r="47" spans="1:20" x14ac:dyDescent="0.35">
      <c r="A47" t="s">
        <v>17</v>
      </c>
      <c r="E47">
        <v>5.2945852049742451E-3</v>
      </c>
      <c r="F47">
        <f t="shared" si="0"/>
        <v>-2.1417882242528732E-2</v>
      </c>
      <c r="G47">
        <f t="shared" si="1"/>
        <v>-3.3037370777602854E-2</v>
      </c>
      <c r="J47" s="2" t="s">
        <v>59</v>
      </c>
      <c r="K47">
        <f>B917</f>
        <v>6.7356765722230436E-3</v>
      </c>
      <c r="L47">
        <f>C917</f>
        <v>4.8848186198155712E-3</v>
      </c>
      <c r="M47">
        <f t="shared" si="3"/>
        <v>1.2660361636065681E-2</v>
      </c>
      <c r="N47">
        <f>D917</f>
        <v>-6.6098168190030521E-3</v>
      </c>
      <c r="O47">
        <f>AVERAGEIFS(E917:E937,E917:E937,"&lt;=" &amp; N47)</f>
        <v>-6.8157342393272737E-3</v>
      </c>
      <c r="P47">
        <v>132.15348815917969</v>
      </c>
      <c r="Q47">
        <v>26.318200000000001</v>
      </c>
      <c r="R47">
        <f t="shared" si="2"/>
        <v>129.31399536132813</v>
      </c>
      <c r="S47">
        <v>1.2660361636065681E-2</v>
      </c>
      <c r="T47">
        <v>16.600000000000001</v>
      </c>
    </row>
    <row r="48" spans="1:20" x14ac:dyDescent="0.35">
      <c r="A48" t="s">
        <v>17</v>
      </c>
      <c r="E48">
        <v>-6.8384540830057029E-3</v>
      </c>
      <c r="F48">
        <f t="shared" si="0"/>
        <v>-2.1419131610590746E-2</v>
      </c>
      <c r="G48">
        <f t="shared" si="1"/>
        <v>-3.3037370777602854E-2</v>
      </c>
      <c r="J48" s="2" t="s">
        <v>60</v>
      </c>
      <c r="K48">
        <f>B938</f>
        <v>1.0261757799253826E-2</v>
      </c>
      <c r="L48">
        <f>C938</f>
        <v>3.2887368150653863E-3</v>
      </c>
      <c r="M48">
        <f t="shared" si="3"/>
        <v>6.7356765722230436E-3</v>
      </c>
      <c r="N48">
        <f>D938</f>
        <v>-1.6911892989637023E-2</v>
      </c>
      <c r="O48">
        <f>AVERAGEIFS(E938:E960,E938:E960,"&lt;=" &amp; N48)</f>
        <v>-1.8608282435338699E-2</v>
      </c>
      <c r="P48">
        <v>127.76255035400391</v>
      </c>
      <c r="Q48">
        <v>21.606089999999998</v>
      </c>
      <c r="R48">
        <f t="shared" si="2"/>
        <v>132.15348815917969</v>
      </c>
      <c r="S48">
        <v>6.7356765722230436E-3</v>
      </c>
      <c r="T48">
        <v>13.75</v>
      </c>
    </row>
    <row r="49" spans="1:27" x14ac:dyDescent="0.35">
      <c r="A49" t="s">
        <v>17</v>
      </c>
      <c r="E49">
        <v>1.0685426974986523E-2</v>
      </c>
      <c r="F49">
        <f t="shared" si="0"/>
        <v>-2.1420380978652755E-2</v>
      </c>
      <c r="G49">
        <f t="shared" si="1"/>
        <v>-3.3037370777602854E-2</v>
      </c>
      <c r="J49" s="2" t="s">
        <v>61</v>
      </c>
      <c r="K49">
        <f>B961</f>
        <v>6.9018229300320429E-3</v>
      </c>
      <c r="L49">
        <f>C961</f>
        <v>-3.3907808789619681E-4</v>
      </c>
      <c r="M49">
        <f t="shared" si="3"/>
        <v>1.0261757799253826E-2</v>
      </c>
      <c r="N49">
        <f>D961</f>
        <v>-1.5202431827301936E-2</v>
      </c>
      <c r="O49">
        <f>AVERAGEIFS(E961:E981,E961:E981,"&lt;=" &amp; N49)</f>
        <v>-1.5793950074015219E-2</v>
      </c>
      <c r="P49">
        <v>133.37593078613281</v>
      </c>
      <c r="Q49">
        <v>19.903759999999998</v>
      </c>
      <c r="R49">
        <f t="shared" si="2"/>
        <v>127.76255035400391</v>
      </c>
      <c r="S49">
        <v>1.0261757799253826E-2</v>
      </c>
      <c r="T49">
        <v>13.7</v>
      </c>
    </row>
    <row r="50" spans="1:27" x14ac:dyDescent="0.35">
      <c r="A50" t="s">
        <v>17</v>
      </c>
      <c r="E50">
        <v>-6.8211611382705808E-3</v>
      </c>
      <c r="F50">
        <f t="shared" si="0"/>
        <v>-2.1421630346714769E-2</v>
      </c>
      <c r="G50">
        <f t="shared" si="1"/>
        <v>-3.3037370777602854E-2</v>
      </c>
      <c r="J50" s="2" t="s">
        <v>62</v>
      </c>
      <c r="K50">
        <f>B982</f>
        <v>1.1209227361497681E-2</v>
      </c>
      <c r="L50">
        <f>C982</f>
        <v>3.6193772456837606E-4</v>
      </c>
      <c r="M50">
        <f t="shared" si="3"/>
        <v>6.9018229300320429E-3</v>
      </c>
      <c r="N50">
        <f>D982</f>
        <v>-1.469511490809461E-2</v>
      </c>
      <c r="O50">
        <f>AVERAGEIFS(E982:E999,E982:E999,"&lt;=" &amp; N50)</f>
        <v>-1.5676984599746584E-2</v>
      </c>
      <c r="P50">
        <v>136.38491821289063</v>
      </c>
      <c r="Q50">
        <v>23.81176</v>
      </c>
      <c r="R50">
        <f t="shared" si="2"/>
        <v>133.37593078613281</v>
      </c>
      <c r="S50">
        <v>6.9018229300320429E-3</v>
      </c>
      <c r="T50">
        <v>13.72</v>
      </c>
      <c r="V50" t="s">
        <v>225</v>
      </c>
    </row>
    <row r="51" spans="1:27" ht="15" thickBot="1" x14ac:dyDescent="0.4">
      <c r="A51" t="s">
        <v>17</v>
      </c>
      <c r="E51">
        <v>2.856834836361532E-3</v>
      </c>
      <c r="F51">
        <f t="shared" si="0"/>
        <v>-2.1422879714776778E-2</v>
      </c>
      <c r="G51">
        <f t="shared" si="1"/>
        <v>-3.3037370777602854E-2</v>
      </c>
      <c r="J51" s="2" t="s">
        <v>63</v>
      </c>
      <c r="K51">
        <f>B1000</f>
        <v>1.27160797405333E-2</v>
      </c>
      <c r="L51">
        <f>C1000</f>
        <v>8.3928384797116954E-5</v>
      </c>
      <c r="M51">
        <f t="shared" si="3"/>
        <v>1.1209227361497681E-2</v>
      </c>
      <c r="N51">
        <f>D1000</f>
        <v>-3.3636369608041415E-2</v>
      </c>
      <c r="O51">
        <f>AVERAGEIFS(E1000:E1021,E1000:E1021,"&lt;=" &amp; N51)</f>
        <v>-3.7030401845788888E-2</v>
      </c>
      <c r="P51">
        <v>131.92762756347656</v>
      </c>
      <c r="Q51">
        <v>29.466290000000001</v>
      </c>
      <c r="R51">
        <f t="shared" si="2"/>
        <v>136.38491821289063</v>
      </c>
      <c r="S51">
        <v>1.1209227361497681E-2</v>
      </c>
      <c r="T51">
        <v>18.41</v>
      </c>
    </row>
    <row r="52" spans="1:27" x14ac:dyDescent="0.35">
      <c r="A52" t="s">
        <v>17</v>
      </c>
      <c r="E52">
        <v>-1.0819355090881893E-2</v>
      </c>
      <c r="F52">
        <f t="shared" si="0"/>
        <v>-2.1424129082838791E-2</v>
      </c>
      <c r="G52">
        <f t="shared" si="1"/>
        <v>-3.3037370777602854E-2</v>
      </c>
      <c r="J52" s="2" t="s">
        <v>64</v>
      </c>
      <c r="K52">
        <f>B1022</f>
        <v>8.5140041213499461E-3</v>
      </c>
      <c r="L52">
        <f>C1022</f>
        <v>9.6836473241559333E-4</v>
      </c>
      <c r="M52">
        <f t="shared" si="3"/>
        <v>1.27160797405333E-2</v>
      </c>
      <c r="N52">
        <f>D1022</f>
        <v>-1.9287730248646481E-2</v>
      </c>
      <c r="O52">
        <f>AVERAGEIFS(E1022:E1041,E1022:E1041,"&lt;=" &amp; N52)</f>
        <v>-1.9832062619820359E-2</v>
      </c>
      <c r="P52">
        <v>115.33161163330078</v>
      </c>
      <c r="Q52">
        <v>23.15146</v>
      </c>
      <c r="R52">
        <f t="shared" si="2"/>
        <v>131.92762756347656</v>
      </c>
      <c r="S52">
        <v>1.27160797405333E-2</v>
      </c>
      <c r="T52">
        <v>14</v>
      </c>
      <c r="V52" s="8" t="s">
        <v>226</v>
      </c>
      <c r="W52" s="8"/>
    </row>
    <row r="53" spans="1:27" x14ac:dyDescent="0.35">
      <c r="A53" t="s">
        <v>17</v>
      </c>
      <c r="E53">
        <v>9.2201715080655108E-3</v>
      </c>
      <c r="F53">
        <f t="shared" si="0"/>
        <v>-2.1425378450900801E-2</v>
      </c>
      <c r="G53">
        <f t="shared" si="1"/>
        <v>-3.3037370777602854E-2</v>
      </c>
      <c r="J53" s="2" t="s">
        <v>65</v>
      </c>
      <c r="K53">
        <f>B1042</f>
        <v>1.2158190430555042E-2</v>
      </c>
      <c r="L53">
        <f>C1042</f>
        <v>1.0537069894482804E-3</v>
      </c>
      <c r="M53">
        <f t="shared" si="3"/>
        <v>8.5140041213499461E-3</v>
      </c>
      <c r="N53">
        <f>D1042</f>
        <v>-2.2605900578317784E-2</v>
      </c>
      <c r="O53">
        <f>AVERAGEIFS(E1042:E1062,E1042:E1062,"&lt;=" &amp; N53)</f>
        <v>-2.3559452877041302E-2</v>
      </c>
      <c r="P53">
        <v>113.53098297119141</v>
      </c>
      <c r="Q53">
        <v>24.326720000000002</v>
      </c>
      <c r="R53">
        <f t="shared" si="2"/>
        <v>115.33161163330078</v>
      </c>
      <c r="S53">
        <v>8.5140041213499461E-3</v>
      </c>
      <c r="T53">
        <v>13.88</v>
      </c>
      <c r="V53" t="s">
        <v>227</v>
      </c>
      <c r="W53">
        <v>0.34260951129822609</v>
      </c>
    </row>
    <row r="54" spans="1:27" x14ac:dyDescent="0.35">
      <c r="A54" t="s">
        <v>17</v>
      </c>
      <c r="E54">
        <v>9.6733874381540793E-3</v>
      </c>
      <c r="F54">
        <f t="shared" si="0"/>
        <v>-2.1426627818962814E-2</v>
      </c>
      <c r="G54">
        <f t="shared" si="1"/>
        <v>-3.3037370777602854E-2</v>
      </c>
      <c r="J54" s="2" t="s">
        <v>66</v>
      </c>
      <c r="K54">
        <f>B1063</f>
        <v>1.0073698720730216E-2</v>
      </c>
      <c r="L54">
        <f>C1063</f>
        <v>5.6973139807687124E-4</v>
      </c>
      <c r="M54">
        <f t="shared" si="3"/>
        <v>1.2158190430555042E-2</v>
      </c>
      <c r="N54">
        <f>D1063</f>
        <v>-1.4969895462784292E-2</v>
      </c>
      <c r="O54">
        <f>AVERAGEIFS(E1063:E1082,E1063:E1082,"&lt;=" &amp; N54)</f>
        <v>-1.5003989059521586E-2</v>
      </c>
      <c r="P54">
        <v>119.62244415283203</v>
      </c>
      <c r="Q54">
        <v>23.671060000000001</v>
      </c>
      <c r="R54">
        <f t="shared" si="2"/>
        <v>113.53098297119141</v>
      </c>
      <c r="S54">
        <v>1.2158190430555042E-2</v>
      </c>
      <c r="T54">
        <v>13.41</v>
      </c>
      <c r="V54" t="s">
        <v>228</v>
      </c>
      <c r="W54">
        <v>0.11738127723200931</v>
      </c>
      <c r="Y54" t="s">
        <v>378</v>
      </c>
    </row>
    <row r="55" spans="1:27" x14ac:dyDescent="0.35">
      <c r="A55" t="s">
        <v>17</v>
      </c>
      <c r="E55">
        <v>-8.3902238123707753E-3</v>
      </c>
      <c r="F55">
        <f t="shared" si="0"/>
        <v>-2.1427877187024824E-2</v>
      </c>
      <c r="G55">
        <f t="shared" si="1"/>
        <v>-3.3037370777602854E-2</v>
      </c>
      <c r="J55" s="2" t="s">
        <v>67</v>
      </c>
      <c r="K55">
        <f>B1083</f>
        <v>9.1104751674222252E-3</v>
      </c>
      <c r="L55">
        <f>C1083</f>
        <v>1.6822581443462368E-3</v>
      </c>
      <c r="M55">
        <f t="shared" si="3"/>
        <v>1.0073698720730216E-2</v>
      </c>
      <c r="N55">
        <f>D1083</f>
        <v>-2.3729716954828714E-2</v>
      </c>
      <c r="O55">
        <f>AVERAGEIFS(E1083:E1101,E1083:E1101,"&lt;=" &amp; N55)</f>
        <v>-2.3729716954828714E-2</v>
      </c>
      <c r="P55">
        <v>116.78851318359375</v>
      </c>
      <c r="Q55">
        <v>21.531639999999999</v>
      </c>
      <c r="R55">
        <f t="shared" si="2"/>
        <v>119.62244415283203</v>
      </c>
      <c r="S55">
        <v>1.0073698720730216E-2</v>
      </c>
      <c r="T55">
        <v>11.4</v>
      </c>
      <c r="V55" t="s">
        <v>228</v>
      </c>
      <c r="W55">
        <v>0.11253172381020715</v>
      </c>
    </row>
    <row r="56" spans="1:27" x14ac:dyDescent="0.35">
      <c r="A56" t="s">
        <v>17</v>
      </c>
      <c r="E56">
        <v>-7.4963073629578129E-3</v>
      </c>
      <c r="F56">
        <f t="shared" si="0"/>
        <v>-2.1429126555086837E-2</v>
      </c>
      <c r="G56">
        <f t="shared" si="1"/>
        <v>-3.3037370777602854E-2</v>
      </c>
      <c r="J56" s="2" t="s">
        <v>68</v>
      </c>
      <c r="K56">
        <f>B1102</f>
        <v>6.9504329977628058E-3</v>
      </c>
      <c r="L56">
        <f>C1102</f>
        <v>5.4717501282388107E-4</v>
      </c>
      <c r="M56">
        <f t="shared" si="3"/>
        <v>9.1104751674222252E-3</v>
      </c>
      <c r="N56">
        <f>D1102</f>
        <v>-1.2305594210327384E-2</v>
      </c>
      <c r="O56">
        <f>AVERAGEIFS(E1102:E1122,E1102:E1122,"&lt;=" &amp; N56)</f>
        <v>-1.2613090024697567E-2</v>
      </c>
      <c r="P56">
        <v>122.62130737304688</v>
      </c>
      <c r="Q56">
        <v>20.90326</v>
      </c>
      <c r="R56">
        <f t="shared" si="2"/>
        <v>116.78851318359375</v>
      </c>
      <c r="S56">
        <v>9.1104751674222252E-3</v>
      </c>
      <c r="T56">
        <v>11.57</v>
      </c>
      <c r="V56" t="s">
        <v>229</v>
      </c>
      <c r="W56">
        <v>1.3923524485119618E-2</v>
      </c>
    </row>
    <row r="57" spans="1:27" ht="15" thickBot="1" x14ac:dyDescent="0.4">
      <c r="A57" t="s">
        <v>17</v>
      </c>
      <c r="E57">
        <v>-1.1797306052190558E-2</v>
      </c>
      <c r="F57">
        <f t="shared" si="0"/>
        <v>-2.1430375923148847E-2</v>
      </c>
      <c r="G57">
        <f t="shared" si="1"/>
        <v>-3.3037370777602854E-2</v>
      </c>
      <c r="J57" s="2" t="s">
        <v>69</v>
      </c>
      <c r="K57">
        <f>B1123</f>
        <v>1.1273197936403204E-2</v>
      </c>
      <c r="L57">
        <f>C1123</f>
        <v>-8.6956606146507121E-4</v>
      </c>
      <c r="M57">
        <f t="shared" si="3"/>
        <v>6.9504329977628058E-3</v>
      </c>
      <c r="N57">
        <f>D1123</f>
        <v>-2.1026795698269381E-2</v>
      </c>
      <c r="O57">
        <f>AVERAGEIFS(E1123:E1145,E1123:E1145,"&lt;=" &amp; N57)</f>
        <v>-2.1271696414480637E-2</v>
      </c>
      <c r="P57">
        <v>117.79121398925781</v>
      </c>
      <c r="Q57">
        <v>25.594930000000002</v>
      </c>
      <c r="R57">
        <f t="shared" si="2"/>
        <v>122.62130737304688</v>
      </c>
      <c r="S57">
        <v>6.9504329977628058E-3</v>
      </c>
      <c r="T57">
        <v>16.95</v>
      </c>
      <c r="V57" s="6" t="s">
        <v>230</v>
      </c>
      <c r="W57" s="6">
        <v>184</v>
      </c>
    </row>
    <row r="58" spans="1:27" x14ac:dyDescent="0.35">
      <c r="A58" t="s">
        <v>17</v>
      </c>
      <c r="E58">
        <v>1.2288505407134494E-2</v>
      </c>
      <c r="F58">
        <f t="shared" si="0"/>
        <v>-2.143162529121086E-2</v>
      </c>
      <c r="G58">
        <f t="shared" si="1"/>
        <v>-3.3037370777602854E-2</v>
      </c>
      <c r="J58" s="2" t="s">
        <v>70</v>
      </c>
      <c r="K58">
        <f>B1146</f>
        <v>1.1421176139017575E-2</v>
      </c>
      <c r="L58">
        <f>C1146</f>
        <v>1.0606852864635152E-4</v>
      </c>
      <c r="M58">
        <f t="shared" si="3"/>
        <v>1.1273197936403204E-2</v>
      </c>
      <c r="N58">
        <f>D1146</f>
        <v>-1.8208709973056816E-2</v>
      </c>
      <c r="O58">
        <f>AVERAGEIFS(E1146:E1164,E1146:E1164,"&lt;=" &amp; N58)</f>
        <v>-1.8208709973056816E-2</v>
      </c>
      <c r="P58">
        <v>110.56453704833984</v>
      </c>
      <c r="Q58">
        <v>22.59468</v>
      </c>
      <c r="R58">
        <f t="shared" si="2"/>
        <v>117.79121398925781</v>
      </c>
      <c r="S58">
        <v>1.1273197936403204E-2</v>
      </c>
      <c r="T58">
        <v>11.98</v>
      </c>
    </row>
    <row r="59" spans="1:27" ht="15" thickBot="1" x14ac:dyDescent="0.4">
      <c r="A59" t="s">
        <v>17</v>
      </c>
      <c r="E59">
        <v>-1.188350176577042E-2</v>
      </c>
      <c r="F59">
        <f t="shared" si="0"/>
        <v>-2.143287465927287E-2</v>
      </c>
      <c r="G59">
        <f t="shared" si="1"/>
        <v>-3.3037370777602854E-2</v>
      </c>
      <c r="J59" s="2" t="s">
        <v>71</v>
      </c>
      <c r="K59">
        <f>B1165</f>
        <v>8.9653651561393197E-3</v>
      </c>
      <c r="L59">
        <f>C1165</f>
        <v>4.0785217198670406E-4</v>
      </c>
      <c r="M59">
        <f t="shared" si="3"/>
        <v>1.1421176139017575E-2</v>
      </c>
      <c r="N59">
        <f>D1165</f>
        <v>-1.5109748449401023E-2</v>
      </c>
      <c r="O59">
        <f>AVERAGEIFS(E1165:E1186,E1165:E1186,"&lt;=" &amp; N59)</f>
        <v>-1.535963038500761E-2</v>
      </c>
      <c r="P59">
        <v>108.48748779296875</v>
      </c>
      <c r="Q59">
        <v>22.544530000000002</v>
      </c>
      <c r="R59">
        <f t="shared" si="2"/>
        <v>110.56453704833984</v>
      </c>
      <c r="S59">
        <v>1.1421176139017575E-2</v>
      </c>
      <c r="T59">
        <v>16.309999999999999</v>
      </c>
      <c r="V59" t="s">
        <v>231</v>
      </c>
    </row>
    <row r="60" spans="1:27" x14ac:dyDescent="0.35">
      <c r="A60" t="s">
        <v>17</v>
      </c>
      <c r="E60">
        <v>2.0503776446442835E-2</v>
      </c>
      <c r="F60">
        <f t="shared" si="0"/>
        <v>-2.1434124027334883E-2</v>
      </c>
      <c r="G60">
        <f t="shared" si="1"/>
        <v>-3.3037370777602854E-2</v>
      </c>
      <c r="J60" s="2" t="s">
        <v>72</v>
      </c>
      <c r="K60">
        <f>B1187</f>
        <v>1.7717720709013091E-2</v>
      </c>
      <c r="L60">
        <f>C1187</f>
        <v>-1.4838967730265134E-3</v>
      </c>
      <c r="M60">
        <f t="shared" si="3"/>
        <v>8.9653651561393197E-3</v>
      </c>
      <c r="N60">
        <f>D1187</f>
        <v>-3.5828832171723286E-2</v>
      </c>
      <c r="O60">
        <f>AVERAGEIFS(E1187:E1208,E1187:E1208,"&lt;=" &amp; N60)</f>
        <v>-3.6564736675954231E-2</v>
      </c>
      <c r="P60">
        <v>144.52055358886719</v>
      </c>
      <c r="Q60">
        <v>25.459479999999999</v>
      </c>
      <c r="R60">
        <f t="shared" si="2"/>
        <v>108.48748779296875</v>
      </c>
      <c r="S60">
        <v>8.9653651561393197E-3</v>
      </c>
      <c r="T60">
        <v>14.03</v>
      </c>
      <c r="V60" s="7"/>
      <c r="W60" s="7" t="s">
        <v>236</v>
      </c>
      <c r="X60" s="7" t="s">
        <v>237</v>
      </c>
      <c r="Y60" s="7" t="s">
        <v>238</v>
      </c>
      <c r="Z60" s="7" t="s">
        <v>239</v>
      </c>
      <c r="AA60" s="7" t="s">
        <v>240</v>
      </c>
    </row>
    <row r="61" spans="1:27" x14ac:dyDescent="0.35">
      <c r="A61" t="s">
        <v>17</v>
      </c>
      <c r="E61">
        <v>-1.8319238061715744E-3</v>
      </c>
      <c r="F61">
        <f t="shared" si="0"/>
        <v>-2.1434840711172673E-2</v>
      </c>
      <c r="G61">
        <f t="shared" si="1"/>
        <v>-3.3099420225465255E-2</v>
      </c>
      <c r="J61" s="2" t="s">
        <v>73</v>
      </c>
      <c r="K61">
        <f>B1209</f>
        <v>1.3086432306275101E-2</v>
      </c>
      <c r="L61">
        <f>C1209</f>
        <v>1.3785375610973823E-3</v>
      </c>
      <c r="M61">
        <f t="shared" si="3"/>
        <v>1.7717720709013091E-2</v>
      </c>
      <c r="N61">
        <f>D1209</f>
        <v>-2.1247975295232955E-2</v>
      </c>
      <c r="O61">
        <f>AVERAGEIFS(E1209:E1228,E1209:E1228,"&lt;=" &amp; N61)</f>
        <v>-2.1434124027334883E-2</v>
      </c>
      <c r="P61">
        <v>140.28663635253906</v>
      </c>
      <c r="Q61">
        <v>22.414459999999998</v>
      </c>
      <c r="R61">
        <f t="shared" si="2"/>
        <v>144.52055358886719</v>
      </c>
      <c r="S61">
        <v>1.7717720709013091E-2</v>
      </c>
      <c r="T61">
        <v>13.33</v>
      </c>
      <c r="V61" t="s">
        <v>232</v>
      </c>
      <c r="W61">
        <v>1</v>
      </c>
      <c r="X61">
        <v>4.6924045663464878E-3</v>
      </c>
      <c r="Y61">
        <v>4.6924045663464878E-3</v>
      </c>
      <c r="Z61">
        <v>24.204553908881191</v>
      </c>
      <c r="AA61">
        <v>1.9303127331966919E-6</v>
      </c>
    </row>
    <row r="62" spans="1:27" x14ac:dyDescent="0.35">
      <c r="A62" t="s">
        <v>17</v>
      </c>
      <c r="E62">
        <v>1.7958591783547653E-3</v>
      </c>
      <c r="F62">
        <f t="shared" si="0"/>
        <v>-2.1435557395010463E-2</v>
      </c>
      <c r="G62">
        <f t="shared" si="1"/>
        <v>-3.3099420225465255E-2</v>
      </c>
      <c r="J62" s="2" t="s">
        <v>74</v>
      </c>
      <c r="K62">
        <f>B1229</f>
        <v>1.7762126901186646E-2</v>
      </c>
      <c r="L62">
        <f>C1229</f>
        <v>-2.4582657066595376E-3</v>
      </c>
      <c r="M62">
        <f t="shared" si="3"/>
        <v>1.3086432306275101E-2</v>
      </c>
      <c r="N62">
        <f>D1229</f>
        <v>-3.231608912648444E-2</v>
      </c>
      <c r="O62">
        <f>AVERAGEIFS(E1229:E1247,E1229:E1247,"&lt;=" &amp; N62)</f>
        <v>-3.231608912648444E-2</v>
      </c>
      <c r="P62">
        <v>154.86834716796875</v>
      </c>
      <c r="Q62">
        <v>31.836269999999999</v>
      </c>
      <c r="R62">
        <f t="shared" si="2"/>
        <v>140.28663635253906</v>
      </c>
      <c r="S62">
        <v>1.3086432306275101E-2</v>
      </c>
      <c r="T62">
        <v>19.2</v>
      </c>
      <c r="V62" t="s">
        <v>233</v>
      </c>
      <c r="W62">
        <v>182</v>
      </c>
      <c r="X62">
        <v>3.5283345203966046E-2</v>
      </c>
      <c r="Y62">
        <v>1.9386453408772552E-4</v>
      </c>
    </row>
    <row r="63" spans="1:27" ht="15" thickBot="1" x14ac:dyDescent="0.4">
      <c r="A63" t="s">
        <v>17</v>
      </c>
      <c r="E63">
        <v>-9.9947822964429299E-3</v>
      </c>
      <c r="F63">
        <f t="shared" si="0"/>
        <v>-2.1436274078848249E-2</v>
      </c>
      <c r="G63">
        <f t="shared" si="1"/>
        <v>-3.3099420225465255E-2</v>
      </c>
      <c r="J63" s="2" t="s">
        <v>75</v>
      </c>
      <c r="K63">
        <f>B1248</f>
        <v>1.6429526861212091E-2</v>
      </c>
      <c r="L63">
        <f>C1248</f>
        <v>5.7145845338388789E-4</v>
      </c>
      <c r="M63">
        <f t="shared" si="3"/>
        <v>1.7762126901186646E-2</v>
      </c>
      <c r="N63">
        <f>D1248</f>
        <v>-3.9457958585192396E-2</v>
      </c>
      <c r="O63">
        <f>AVERAGEIFS(E1248:E1268,E1248:E1268,"&lt;=" &amp; N63)</f>
        <v>-3.9936738098375203E-2</v>
      </c>
      <c r="P63">
        <v>154.82034301757813</v>
      </c>
      <c r="Q63">
        <v>27.916350000000001</v>
      </c>
      <c r="R63">
        <f t="shared" si="2"/>
        <v>154.86834716796875</v>
      </c>
      <c r="S63">
        <v>1.7762126901186646E-2</v>
      </c>
      <c r="T63">
        <v>20.97</v>
      </c>
      <c r="V63" s="6" t="s">
        <v>234</v>
      </c>
      <c r="W63" s="6">
        <v>183</v>
      </c>
      <c r="X63" s="6">
        <v>3.9975749770312534E-2</v>
      </c>
      <c r="Y63" s="6"/>
      <c r="Z63" s="6"/>
      <c r="AA63" s="6"/>
    </row>
    <row r="64" spans="1:27" ht="15" thickBot="1" x14ac:dyDescent="0.4">
      <c r="A64" t="s">
        <v>17</v>
      </c>
      <c r="E64">
        <v>-1.0012897127789949E-2</v>
      </c>
      <c r="F64">
        <f t="shared" si="0"/>
        <v>-2.1436990762686039E-2</v>
      </c>
      <c r="G64">
        <f t="shared" si="1"/>
        <v>-3.3099420225465255E-2</v>
      </c>
      <c r="J64" s="2" t="s">
        <v>76</v>
      </c>
      <c r="K64">
        <f>B1269</f>
        <v>1.1026154242075779E-2</v>
      </c>
      <c r="L64">
        <f>C1269</f>
        <v>3.5925667705901144E-3</v>
      </c>
      <c r="M64">
        <f t="shared" si="3"/>
        <v>1.6429526861212091E-2</v>
      </c>
      <c r="N64">
        <f>D1269</f>
        <v>-1.9542011229417188E-2</v>
      </c>
      <c r="O64">
        <f>AVERAGEIFS(E1269:E1288,E1269:E1288,"&lt;=" &amp; N64)</f>
        <v>-1.9887941771345605E-2</v>
      </c>
      <c r="P64">
        <v>118.43979644775391</v>
      </c>
      <c r="Q64">
        <v>19.87426</v>
      </c>
      <c r="R64">
        <f t="shared" si="2"/>
        <v>154.82034301757813</v>
      </c>
      <c r="S64">
        <v>1.6429526861212091E-2</v>
      </c>
      <c r="T64">
        <v>13.34</v>
      </c>
    </row>
    <row r="65" spans="1:30" x14ac:dyDescent="0.35">
      <c r="A65" t="s">
        <v>18</v>
      </c>
      <c r="B65" s="3" cm="1">
        <f t="array" ref="B65">_xlfn.STDEV.S(_xlfn._xlws.FILTER($E$2:$E$1000, $A$2:$A$1000="2010-04"))</f>
        <v>1.8459158346757456E-2</v>
      </c>
      <c r="C65" s="3" cm="1">
        <f t="array" ref="C65">_xlfn.STDEV.S(_xlfn._xlws.FILTER($E$2:$E$1000, $A$2:$A$1000="2010-04"))</f>
        <v>1.8459158346757456E-2</v>
      </c>
      <c r="D65" s="3" cm="1">
        <f t="array" ref="D65">_xlfn.PERCENTILE.EXC(_xlfn._xlws.FILTER($E$65:$E$84, $A$65:$A$84="2010-04"), 0.05)</f>
        <v>-4.2187262267286321E-2</v>
      </c>
      <c r="E65">
        <v>1.7922737629474012E-2</v>
      </c>
      <c r="F65">
        <f t="shared" si="0"/>
        <v>-2.1437707446523829E-2</v>
      </c>
      <c r="G65">
        <f t="shared" si="1"/>
        <v>-3.3099420225465255E-2</v>
      </c>
      <c r="J65" s="4" t="s">
        <v>77</v>
      </c>
      <c r="K65" s="3">
        <f>B1289</f>
        <v>9.4226803327106048E-3</v>
      </c>
      <c r="L65" s="3">
        <f>C1289</f>
        <v>1.3729880863795649E-3</v>
      </c>
      <c r="M65">
        <f t="shared" si="3"/>
        <v>1.1026154242075779E-2</v>
      </c>
      <c r="N65" s="3">
        <f>D1289</f>
        <v>-1.4624190708785846E-2</v>
      </c>
      <c r="O65" s="3">
        <f>AVERAGEIFS(E1289:E1310,E1289:E1310,"&lt;=" &amp; N65)</f>
        <v>-1.4761546272600385E-2</v>
      </c>
      <c r="P65" s="3">
        <v>128.2254638671875</v>
      </c>
      <c r="Q65" s="3">
        <v>22.636510000000001</v>
      </c>
      <c r="R65">
        <f t="shared" si="2"/>
        <v>118.43979644775391</v>
      </c>
      <c r="S65">
        <v>1.1026154242075779E-2</v>
      </c>
      <c r="T65" s="3">
        <v>15.29</v>
      </c>
      <c r="V65" s="7"/>
      <c r="W65" s="7" t="s">
        <v>241</v>
      </c>
      <c r="X65" s="7" t="s">
        <v>229</v>
      </c>
      <c r="Y65" s="7" t="s">
        <v>242</v>
      </c>
      <c r="Z65" s="7" t="s">
        <v>243</v>
      </c>
      <c r="AA65" s="7" t="s">
        <v>244</v>
      </c>
      <c r="AB65" s="7" t="s">
        <v>245</v>
      </c>
      <c r="AC65" s="7" t="s">
        <v>246</v>
      </c>
      <c r="AD65" s="7" t="s">
        <v>247</v>
      </c>
    </row>
    <row r="66" spans="1:30" x14ac:dyDescent="0.35">
      <c r="A66" t="s">
        <v>18</v>
      </c>
      <c r="E66">
        <v>8.3406921209773811E-3</v>
      </c>
      <c r="F66">
        <f t="shared" si="0"/>
        <v>-2.1438424130361618E-2</v>
      </c>
      <c r="G66">
        <f t="shared" si="1"/>
        <v>-3.3099420225465255E-2</v>
      </c>
      <c r="J66" s="2" t="s">
        <v>78</v>
      </c>
      <c r="K66">
        <f>B1311</f>
        <v>9.7965511418549294E-3</v>
      </c>
      <c r="L66">
        <f>C1311</f>
        <v>-5.9417186523224067E-4</v>
      </c>
      <c r="M66">
        <f t="shared" si="3"/>
        <v>9.4226803327106048E-3</v>
      </c>
      <c r="N66">
        <f>D1311</f>
        <v>-2.1864630103942167E-2</v>
      </c>
      <c r="O66">
        <f>AVERAGEIFS(E1311:E1330,E1311:E1330,"&lt;=" &amp; N66)</f>
        <v>-2.1967615489161305E-2</v>
      </c>
      <c r="P66">
        <v>124.75897216796875</v>
      </c>
      <c r="Q66">
        <v>27.152229999999999</v>
      </c>
      <c r="R66">
        <f t="shared" si="2"/>
        <v>128.2254638671875</v>
      </c>
      <c r="S66">
        <v>9.4226803327106048E-3</v>
      </c>
      <c r="T66">
        <v>14.55</v>
      </c>
      <c r="V66" t="s">
        <v>235</v>
      </c>
      <c r="W66">
        <v>-2.1121488987142188E-3</v>
      </c>
      <c r="X66">
        <v>4.6867910747440608E-3</v>
      </c>
      <c r="Y66">
        <v>-0.45065992168843588</v>
      </c>
      <c r="Z66">
        <v>0.65277108652813132</v>
      </c>
      <c r="AA66">
        <v>-1.1359581742091736E-2</v>
      </c>
      <c r="AB66">
        <v>7.1352839446632982E-3</v>
      </c>
      <c r="AC66">
        <v>-1.1359581742091736E-2</v>
      </c>
      <c r="AD66">
        <v>7.1352839446632982E-3</v>
      </c>
    </row>
    <row r="67" spans="1:30" ht="15" thickBot="1" x14ac:dyDescent="0.4">
      <c r="A67" t="s">
        <v>18</v>
      </c>
      <c r="E67">
        <v>2.746971783589475E-3</v>
      </c>
      <c r="F67">
        <f t="shared" si="0"/>
        <v>-2.1439140814199408E-2</v>
      </c>
      <c r="G67">
        <f t="shared" si="1"/>
        <v>-3.3099420225465255E-2</v>
      </c>
      <c r="J67" s="2" t="s">
        <v>79</v>
      </c>
      <c r="K67">
        <f>B1331</f>
        <v>1.279340557577999E-2</v>
      </c>
      <c r="L67">
        <f>C1331</f>
        <v>-8.2292922472983491E-4</v>
      </c>
      <c r="M67">
        <f t="shared" si="3"/>
        <v>9.7965511418549294E-3</v>
      </c>
      <c r="N67">
        <f>D1331</f>
        <v>-2.4486617492019885E-2</v>
      </c>
      <c r="O67">
        <f>AVERAGEIFS(E1331:E1348,E1331:E1348,"&lt;=" &amp; N67)</f>
        <v>-2.7543472730938347E-2</v>
      </c>
      <c r="P67">
        <v>124.71321868896484</v>
      </c>
      <c r="Q67">
        <v>25.82891</v>
      </c>
      <c r="R67">
        <f t="shared" si="2"/>
        <v>124.75897216796875</v>
      </c>
      <c r="S67">
        <v>9.7965511418549294E-3</v>
      </c>
      <c r="T67">
        <v>13.84</v>
      </c>
      <c r="V67" s="6" t="s">
        <v>202</v>
      </c>
      <c r="W67" s="6">
        <v>-1.5997219847508717E-4</v>
      </c>
      <c r="X67" s="6">
        <v>3.2515914416852882E-5</v>
      </c>
      <c r="Y67" s="6">
        <v>-4.919812385536793</v>
      </c>
      <c r="Z67" s="6">
        <v>1.9303127331966919E-6</v>
      </c>
      <c r="AA67" s="6">
        <v>-2.2412883147099644E-4</v>
      </c>
      <c r="AB67" s="6">
        <v>-9.5815565479177904E-5</v>
      </c>
      <c r="AC67" s="6">
        <v>-2.2412883147099644E-4</v>
      </c>
      <c r="AD67" s="6">
        <v>-9.5815565479177904E-5</v>
      </c>
    </row>
    <row r="68" spans="1:30" x14ac:dyDescent="0.35">
      <c r="A68" t="s">
        <v>18</v>
      </c>
      <c r="E68">
        <v>-1.0329000200039297E-2</v>
      </c>
      <c r="F68">
        <f t="shared" ref="F68:F131" si="4">_xlfn.PERCENTILE.EXC(E68:E3883,0.05)</f>
        <v>-2.1439857498037194E-2</v>
      </c>
      <c r="G68">
        <f t="shared" ref="G68:G131" si="5">AVERAGEIFS(E68:E3884,E68:E3884,"&lt;=" &amp; F68)</f>
        <v>-3.3099420225465255E-2</v>
      </c>
      <c r="J68" s="2" t="s">
        <v>80</v>
      </c>
      <c r="K68">
        <f>B1349</f>
        <v>1.517492390654124E-2</v>
      </c>
      <c r="L68">
        <f>C1349</f>
        <v>-1.8529958470587865E-3</v>
      </c>
      <c r="M68">
        <f t="shared" si="3"/>
        <v>1.279340557577999E-2</v>
      </c>
      <c r="N68">
        <f>D1349</f>
        <v>-4.2241813721455627E-2</v>
      </c>
      <c r="O68">
        <f>AVERAGEIFS(E1349:E1370,E1349:E1370,"&lt;=" &amp; N68)</f>
        <v>-4.6656111619203494E-2</v>
      </c>
      <c r="P68">
        <v>122.65605163574219</v>
      </c>
      <c r="Q68">
        <v>36.032110000000003</v>
      </c>
      <c r="R68">
        <f t="shared" si="2"/>
        <v>124.71321868896484</v>
      </c>
      <c r="S68">
        <v>1.279340557577999E-2</v>
      </c>
      <c r="T68">
        <v>18.23</v>
      </c>
    </row>
    <row r="69" spans="1:30" x14ac:dyDescent="0.35">
      <c r="A69" t="s">
        <v>18</v>
      </c>
      <c r="E69">
        <v>2.8296763469898682E-2</v>
      </c>
      <c r="F69">
        <f t="shared" si="4"/>
        <v>-2.1440574181874984E-2</v>
      </c>
      <c r="G69">
        <f t="shared" si="5"/>
        <v>-3.3099420225465255E-2</v>
      </c>
      <c r="J69" s="2" t="s">
        <v>81</v>
      </c>
      <c r="K69">
        <f>B1371</f>
        <v>1.3437680570584134E-2</v>
      </c>
      <c r="L69">
        <f>C1371</f>
        <v>1.6291744668887333E-3</v>
      </c>
      <c r="M69">
        <f t="shared" si="3"/>
        <v>1.517492390654124E-2</v>
      </c>
      <c r="N69">
        <f>D1371</f>
        <v>-2.1706997189628489E-2</v>
      </c>
      <c r="O69">
        <f>AVERAGEIFS(E1371:E1393,E1371:E1393,"&lt;=" &amp; N69)</f>
        <v>-2.2486981698805735E-2</v>
      </c>
      <c r="P69">
        <v>108.39608001708984</v>
      </c>
      <c r="Q69">
        <v>21.222370000000002</v>
      </c>
      <c r="R69">
        <f t="shared" ref="R69:R132" si="6">P68</f>
        <v>122.65605163574219</v>
      </c>
      <c r="S69">
        <v>1.517492390654124E-2</v>
      </c>
      <c r="T69">
        <v>12.12</v>
      </c>
    </row>
    <row r="70" spans="1:30" x14ac:dyDescent="0.35">
      <c r="A70" t="s">
        <v>18</v>
      </c>
      <c r="E70">
        <v>5.8280628757777196E-3</v>
      </c>
      <c r="F70">
        <f t="shared" si="4"/>
        <v>-2.1441290865712774E-2</v>
      </c>
      <c r="G70">
        <f t="shared" si="5"/>
        <v>-3.3099420225465255E-2</v>
      </c>
      <c r="J70" s="2" t="s">
        <v>82</v>
      </c>
      <c r="K70">
        <f>B1394</f>
        <v>1.9887605172493578E-2</v>
      </c>
      <c r="L70">
        <f>C1394</f>
        <v>-3.8461201936207078E-3</v>
      </c>
      <c r="M70">
        <f t="shared" ref="M70:M133" si="7">K69</f>
        <v>1.3437680570584134E-2</v>
      </c>
      <c r="N70">
        <f>D1394</f>
        <v>-5.0387848366620192E-2</v>
      </c>
      <c r="O70">
        <f>AVERAGEIFS(E1394:E1413,E1394:E1413,"&lt;=" &amp; N70)</f>
        <v>-5.1448561836041996E-2</v>
      </c>
      <c r="P70">
        <v>109.48021697998047</v>
      </c>
      <c r="Q70">
        <v>34.812840000000001</v>
      </c>
      <c r="R70">
        <f t="shared" si="6"/>
        <v>108.39608001708984</v>
      </c>
      <c r="S70">
        <v>1.3437680570584134E-2</v>
      </c>
      <c r="T70">
        <v>28.43</v>
      </c>
    </row>
    <row r="71" spans="1:30" x14ac:dyDescent="0.35">
      <c r="A71" t="s">
        <v>18</v>
      </c>
      <c r="E71">
        <v>1.7450636512553823E-5</v>
      </c>
      <c r="F71">
        <f t="shared" si="4"/>
        <v>-2.1442007549550564E-2</v>
      </c>
      <c r="G71">
        <f t="shared" si="5"/>
        <v>-3.3099420225465255E-2</v>
      </c>
      <c r="J71" s="2" t="s">
        <v>83</v>
      </c>
      <c r="K71">
        <f>B1414</f>
        <v>1.7253642988513125E-2</v>
      </c>
      <c r="L71">
        <f>C1414</f>
        <v>-3.622245770170179E-3</v>
      </c>
      <c r="M71">
        <f t="shared" si="7"/>
        <v>1.9887605172493578E-2</v>
      </c>
      <c r="N71">
        <f>D1414</f>
        <v>-3.4831485373965347E-2</v>
      </c>
      <c r="O71">
        <f>AVERAGEIFS(E1414:E1435,E1414:E1435,"&lt;=" &amp; N71)</f>
        <v>-3.5401840031736645E-2</v>
      </c>
      <c r="P71">
        <v>147.72125244140625</v>
      </c>
      <c r="Q71">
        <v>35.833730000000003</v>
      </c>
      <c r="R71">
        <f t="shared" si="6"/>
        <v>109.48021697998047</v>
      </c>
      <c r="S71">
        <v>1.9887605172493578E-2</v>
      </c>
      <c r="T71">
        <v>24.5</v>
      </c>
    </row>
    <row r="72" spans="1:30" x14ac:dyDescent="0.35">
      <c r="A72" t="s">
        <v>18</v>
      </c>
      <c r="E72">
        <v>3.7187552381422184E-3</v>
      </c>
      <c r="F72">
        <f t="shared" si="4"/>
        <v>-2.1442724233388354E-2</v>
      </c>
      <c r="G72">
        <f t="shared" si="5"/>
        <v>-3.3099420225465255E-2</v>
      </c>
      <c r="J72" s="2" t="s">
        <v>84</v>
      </c>
      <c r="K72">
        <f>B1436</f>
        <v>1.1911987121377719E-2</v>
      </c>
      <c r="L72">
        <f>C1436</f>
        <v>3.6564788799438464E-3</v>
      </c>
      <c r="M72">
        <f t="shared" si="7"/>
        <v>1.7253642988513125E-2</v>
      </c>
      <c r="N72">
        <f>D1436</f>
        <v>-1.4673231004725036E-2</v>
      </c>
      <c r="O72">
        <f>AVERAGEIFS(E1436:E1457,E1436:E1457,"&lt;=" &amp; N72)</f>
        <v>-1.4990160838867145E-2</v>
      </c>
      <c r="P72">
        <v>130.8016357421875</v>
      </c>
      <c r="Q72">
        <v>22.42923</v>
      </c>
      <c r="R72">
        <f t="shared" si="6"/>
        <v>147.72125244140625</v>
      </c>
      <c r="S72">
        <v>1.7253642988513125E-2</v>
      </c>
      <c r="T72">
        <v>15.07</v>
      </c>
    </row>
    <row r="73" spans="1:30" x14ac:dyDescent="0.35">
      <c r="A73" t="s">
        <v>18</v>
      </c>
      <c r="E73">
        <v>1.7197058157039254E-3</v>
      </c>
      <c r="F73">
        <f t="shared" si="4"/>
        <v>-2.144344091722614E-2</v>
      </c>
      <c r="G73">
        <f t="shared" si="5"/>
        <v>-3.3099420225465255E-2</v>
      </c>
      <c r="J73" s="2" t="s">
        <v>85</v>
      </c>
      <c r="K73">
        <f>B1458</f>
        <v>9.3556634786487146E-3</v>
      </c>
      <c r="L73">
        <f>C1458</f>
        <v>1.2026641257722052E-4</v>
      </c>
      <c r="M73">
        <f t="shared" si="7"/>
        <v>1.1911987121377719E-2</v>
      </c>
      <c r="N73">
        <f>D1458</f>
        <v>-2.168788897317743E-2</v>
      </c>
      <c r="O73">
        <f>AVERAGEIFS(E1458:E1478,E1458:E1478,"&lt;=" &amp; N73)</f>
        <v>-2.2728694135622743E-2</v>
      </c>
      <c r="P73">
        <v>126.88197326660156</v>
      </c>
      <c r="Q73">
        <v>24.974720000000001</v>
      </c>
      <c r="R73">
        <f t="shared" si="6"/>
        <v>130.8016357421875</v>
      </c>
      <c r="S73">
        <v>1.1911987121377719E-2</v>
      </c>
      <c r="T73">
        <v>16.13</v>
      </c>
    </row>
    <row r="74" spans="1:30" x14ac:dyDescent="0.35">
      <c r="A74" t="s">
        <v>18</v>
      </c>
      <c r="E74">
        <v>-2.3158449195808627E-2</v>
      </c>
      <c r="F74">
        <f t="shared" si="4"/>
        <v>-2.144415760106393E-2</v>
      </c>
      <c r="G74">
        <f t="shared" si="5"/>
        <v>-3.3099420225465255E-2</v>
      </c>
      <c r="J74" s="2" t="s">
        <v>86</v>
      </c>
      <c r="K74">
        <f>B1479</f>
        <v>1.6457123510969389E-2</v>
      </c>
      <c r="L74">
        <f>C1479</f>
        <v>-3.9172216917397898E-3</v>
      </c>
      <c r="M74">
        <f t="shared" si="7"/>
        <v>9.3556634786487146E-3</v>
      </c>
      <c r="N74">
        <f>D1479</f>
        <v>-3.6822463346159809E-2</v>
      </c>
      <c r="O74">
        <f>AVERAGEIFS(E1479:E1497,E1479:E1497,"&lt;=" &amp; N74)</f>
        <v>-3.6822463346159809E-2</v>
      </c>
      <c r="P74">
        <v>144.32144165039063</v>
      </c>
      <c r="Q74">
        <v>24.7791</v>
      </c>
      <c r="R74">
        <f t="shared" si="6"/>
        <v>126.88197326660156</v>
      </c>
      <c r="S74">
        <v>9.3556634786487146E-3</v>
      </c>
      <c r="T74">
        <v>18.21</v>
      </c>
    </row>
    <row r="75" spans="1:30" x14ac:dyDescent="0.35">
      <c r="A75" t="s">
        <v>18</v>
      </c>
      <c r="E75">
        <v>-5.3608449252156272E-3</v>
      </c>
      <c r="F75">
        <f t="shared" si="4"/>
        <v>-2.1427877187024824E-2</v>
      </c>
      <c r="G75">
        <f t="shared" si="5"/>
        <v>-3.3090199235259514E-2</v>
      </c>
      <c r="J75" s="2" t="s">
        <v>87</v>
      </c>
      <c r="K75">
        <f>B1498</f>
        <v>1.8955189363860259E-2</v>
      </c>
      <c r="L75">
        <f>C1498</f>
        <v>-4.4786309254783423E-3</v>
      </c>
      <c r="M75">
        <f t="shared" si="7"/>
        <v>1.6457123510969389E-2</v>
      </c>
      <c r="N75">
        <f>D1498</f>
        <v>-3.4575773271613319E-2</v>
      </c>
      <c r="O75">
        <f>AVERAGEIFS(E1498:E1517,E1498:E1517,"&lt;=" &amp; N75)</f>
        <v>-3.4685435971428785E-2</v>
      </c>
      <c r="P75">
        <v>158.0782470703125</v>
      </c>
      <c r="Q75">
        <v>29.697890000000001</v>
      </c>
      <c r="R75">
        <f t="shared" si="6"/>
        <v>144.32144165039063</v>
      </c>
      <c r="S75">
        <v>1.6457123510969389E-2</v>
      </c>
      <c r="T75">
        <v>20.2</v>
      </c>
    </row>
    <row r="76" spans="1:30" x14ac:dyDescent="0.35">
      <c r="A76" t="s">
        <v>18</v>
      </c>
      <c r="E76">
        <v>9.4290437353050753E-3</v>
      </c>
      <c r="F76">
        <f t="shared" si="4"/>
        <v>-2.1429126555086837E-2</v>
      </c>
      <c r="G76">
        <f t="shared" si="5"/>
        <v>-3.3090199235259514E-2</v>
      </c>
      <c r="J76" s="2" t="s">
        <v>88</v>
      </c>
      <c r="K76">
        <f>B1518</f>
        <v>2.550603814308422E-2</v>
      </c>
      <c r="L76">
        <f>C1518</f>
        <v>-1.9538534079613385E-3</v>
      </c>
      <c r="M76">
        <f t="shared" si="7"/>
        <v>1.8955189363860259E-2</v>
      </c>
      <c r="N76">
        <f>D1518</f>
        <v>-4.9568240647494065E-2</v>
      </c>
      <c r="O76">
        <f>AVERAGEIFS(E1518:E1538,E1518:E1538,"&lt;=" &amp; N76)</f>
        <v>-5.0029312184992153E-2</v>
      </c>
      <c r="P76">
        <v>131.87617492675781</v>
      </c>
      <c r="Q76">
        <v>32.331159999999997</v>
      </c>
      <c r="R76">
        <f t="shared" si="6"/>
        <v>158.0782470703125</v>
      </c>
      <c r="S76">
        <v>1.8955189363860259E-2</v>
      </c>
      <c r="T76">
        <v>20.55</v>
      </c>
      <c r="V76" t="s">
        <v>225</v>
      </c>
    </row>
    <row r="77" spans="1:30" ht="15" thickBot="1" x14ac:dyDescent="0.4">
      <c r="A77" t="s">
        <v>18</v>
      </c>
      <c r="E77">
        <v>-2.1538317564172283E-2</v>
      </c>
      <c r="F77">
        <f t="shared" si="4"/>
        <v>-2.1430375923148847E-2</v>
      </c>
      <c r="G77">
        <f t="shared" si="5"/>
        <v>-3.3090199235259514E-2</v>
      </c>
      <c r="J77" s="2" t="s">
        <v>89</v>
      </c>
      <c r="K77">
        <f>B1539</f>
        <v>1.2254397437365202E-2</v>
      </c>
      <c r="L77">
        <f>C1539</f>
        <v>1.4504778462205437E-3</v>
      </c>
      <c r="M77">
        <f t="shared" si="7"/>
        <v>2.550603814308422E-2</v>
      </c>
      <c r="N77">
        <f>D1539</f>
        <v>-1.7001080013167018E-2</v>
      </c>
      <c r="O77">
        <f>AVERAGEIFS(E1539:E1559,E1539:E1559,"&lt;=" &amp; N77)</f>
        <v>-1.7032015053480624E-2</v>
      </c>
      <c r="P77">
        <v>117.06299591064453</v>
      </c>
      <c r="Q77">
        <v>26.686969999999999</v>
      </c>
      <c r="R77">
        <f t="shared" si="6"/>
        <v>131.87617492675781</v>
      </c>
      <c r="S77">
        <v>2.550603814308422E-2</v>
      </c>
      <c r="T77">
        <v>13.95</v>
      </c>
    </row>
    <row r="78" spans="1:30" x14ac:dyDescent="0.35">
      <c r="A78" t="s">
        <v>18</v>
      </c>
      <c r="E78">
        <v>-2.2188001876814988E-2</v>
      </c>
      <c r="F78">
        <f t="shared" si="4"/>
        <v>-2.1404443629229195E-2</v>
      </c>
      <c r="G78">
        <f t="shared" si="5"/>
        <v>-3.3089508428317919E-2</v>
      </c>
      <c r="J78" s="2" t="s">
        <v>90</v>
      </c>
      <c r="K78">
        <f>B1560</f>
        <v>1.4061246491818053E-2</v>
      </c>
      <c r="L78">
        <f>C1560</f>
        <v>1.6238754384167488E-3</v>
      </c>
      <c r="M78">
        <f t="shared" si="7"/>
        <v>1.2254397437365202E-2</v>
      </c>
      <c r="N78">
        <f>D1560</f>
        <v>-2.6410003450446584E-2</v>
      </c>
      <c r="O78">
        <f>AVERAGEIFS(E1560:E1580,E1560:E1580,"&lt;=" &amp; N78)</f>
        <v>-2.6599435355682863E-2</v>
      </c>
      <c r="P78">
        <v>113.32276153564453</v>
      </c>
      <c r="Q78">
        <v>27.493749999999999</v>
      </c>
      <c r="R78">
        <f t="shared" si="6"/>
        <v>117.06299591064453</v>
      </c>
      <c r="S78">
        <v>1.2254397437365202E-2</v>
      </c>
      <c r="T78">
        <v>15.7</v>
      </c>
      <c r="V78" s="8" t="s">
        <v>226</v>
      </c>
      <c r="W78" s="8"/>
    </row>
    <row r="79" spans="1:30" x14ac:dyDescent="0.35">
      <c r="A79" t="s">
        <v>18</v>
      </c>
      <c r="E79">
        <v>8.8592628234132158E-3</v>
      </c>
      <c r="F79">
        <f t="shared" si="4"/>
        <v>-2.13576808032921E-2</v>
      </c>
      <c r="G79">
        <f t="shared" si="5"/>
        <v>-3.3085092409176883E-2</v>
      </c>
      <c r="J79" s="2" t="s">
        <v>91</v>
      </c>
      <c r="K79">
        <f>B1581</f>
        <v>1.2878703657968244E-2</v>
      </c>
      <c r="L79">
        <f>C1581</f>
        <v>4.8377562863145383E-5</v>
      </c>
      <c r="M79">
        <f t="shared" si="7"/>
        <v>1.4061246491818053E-2</v>
      </c>
      <c r="N79">
        <f>D1581</f>
        <v>-2.9320954243018685E-2</v>
      </c>
      <c r="O79">
        <f>AVERAGEIFS(E1581:E1599,E1581:E1599,"&lt;=" &amp; N79)</f>
        <v>-2.9320954243018685E-2</v>
      </c>
      <c r="P79">
        <v>111.18634033203125</v>
      </c>
      <c r="Q79">
        <v>24.633790000000001</v>
      </c>
      <c r="R79">
        <f t="shared" si="6"/>
        <v>113.32276153564453</v>
      </c>
      <c r="S79">
        <v>1.4061246491818053E-2</v>
      </c>
      <c r="T79">
        <v>14.19</v>
      </c>
      <c r="V79" t="s">
        <v>227</v>
      </c>
      <c r="W79">
        <v>0.29171134216608691</v>
      </c>
    </row>
    <row r="80" spans="1:30" x14ac:dyDescent="0.35">
      <c r="A80" t="s">
        <v>18</v>
      </c>
      <c r="E80">
        <v>1.9306880067971532E-3</v>
      </c>
      <c r="F80">
        <f t="shared" si="4"/>
        <v>-2.1362206297440074E-2</v>
      </c>
      <c r="G80">
        <f t="shared" si="5"/>
        <v>-3.3085092409176883E-2</v>
      </c>
      <c r="J80" s="2" t="s">
        <v>92</v>
      </c>
      <c r="K80">
        <f>B1600</f>
        <v>3.378209884415577E-2</v>
      </c>
      <c r="L80">
        <f>C1600</f>
        <v>-4.606669920185825E-3</v>
      </c>
      <c r="M80">
        <f t="shared" si="7"/>
        <v>1.2878703657968244E-2</v>
      </c>
      <c r="N80">
        <f>D1600</f>
        <v>-0.1169245459873989</v>
      </c>
      <c r="O80">
        <f>AVERAGEIFS(E1600:E1621,E1600:E1621,"&lt;=" &amp; N80)</f>
        <v>-0.13185265984190989</v>
      </c>
      <c r="P80">
        <v>138.75936889648438</v>
      </c>
      <c r="Q80">
        <v>28.874510000000001</v>
      </c>
      <c r="R80">
        <f t="shared" si="6"/>
        <v>111.18634033203125</v>
      </c>
      <c r="S80">
        <v>1.2878703657968244E-2</v>
      </c>
      <c r="T80">
        <v>15.63</v>
      </c>
      <c r="V80" t="s">
        <v>228</v>
      </c>
      <c r="W80">
        <v>8.5095507148339827E-2</v>
      </c>
    </row>
    <row r="81" spans="1:30" x14ac:dyDescent="0.35">
      <c r="A81" t="s">
        <v>18</v>
      </c>
      <c r="E81">
        <v>-4.280725650371324E-2</v>
      </c>
      <c r="F81">
        <f t="shared" si="4"/>
        <v>-2.1364552815872802E-2</v>
      </c>
      <c r="G81">
        <f t="shared" si="5"/>
        <v>-3.3148118678594816E-2</v>
      </c>
      <c r="J81" s="2" t="s">
        <v>93</v>
      </c>
      <c r="K81">
        <f>B1622</f>
        <v>1.2774546498297104E-2</v>
      </c>
      <c r="L81">
        <f>C1622</f>
        <v>2.4106773072430027E-3</v>
      </c>
      <c r="M81">
        <f t="shared" si="7"/>
        <v>3.378209884415577E-2</v>
      </c>
      <c r="N81">
        <f>D1622</f>
        <v>-2.2890877043202681E-2</v>
      </c>
      <c r="O81">
        <f>AVERAGEIFS(E1622:E1642,E1622:E1642,"&lt;=" &amp; N81)</f>
        <v>-2.3072055981896048E-2</v>
      </c>
      <c r="P81">
        <v>117.95142364501953</v>
      </c>
      <c r="Q81">
        <v>22.58746</v>
      </c>
      <c r="R81">
        <f t="shared" si="6"/>
        <v>138.75936889648438</v>
      </c>
      <c r="S81">
        <v>3.378209884415577E-2</v>
      </c>
      <c r="T81">
        <v>11.87</v>
      </c>
      <c r="V81" t="s">
        <v>228</v>
      </c>
      <c r="W81">
        <v>8.0068559385418625E-2</v>
      </c>
      <c r="Y81" t="s">
        <v>383</v>
      </c>
    </row>
    <row r="82" spans="1:30" x14ac:dyDescent="0.35">
      <c r="A82" t="s">
        <v>18</v>
      </c>
      <c r="E82">
        <v>-3.0407371775174948E-2</v>
      </c>
      <c r="F82">
        <f t="shared" si="4"/>
        <v>-2.1280747402776579E-2</v>
      </c>
      <c r="G82">
        <f t="shared" si="5"/>
        <v>-3.3032822709743885E-2</v>
      </c>
      <c r="J82" s="2" t="s">
        <v>94</v>
      </c>
      <c r="K82">
        <f>B1643</f>
        <v>1.1244209042928784E-2</v>
      </c>
      <c r="L82">
        <f>C1643</f>
        <v>7.1330836440568527E-4</v>
      </c>
      <c r="M82">
        <f t="shared" si="7"/>
        <v>1.2774546498297104E-2</v>
      </c>
      <c r="N82">
        <f>D1643</f>
        <v>-2.6886778048891231E-2</v>
      </c>
      <c r="O82">
        <f>AVERAGEIFS(E1643:E1663,E1643:E1663,"&lt;=" &amp; N82)</f>
        <v>-2.8124564496451451E-2</v>
      </c>
      <c r="P82">
        <v>110.99262237548828</v>
      </c>
      <c r="Q82">
        <v>21.665040000000001</v>
      </c>
      <c r="R82">
        <f t="shared" si="6"/>
        <v>117.95142364501953</v>
      </c>
      <c r="S82">
        <v>1.2774546498297104E-2</v>
      </c>
      <c r="T82">
        <v>13.42</v>
      </c>
      <c r="V82" t="s">
        <v>229</v>
      </c>
      <c r="W82">
        <v>1.3248386506742408E-2</v>
      </c>
    </row>
    <row r="83" spans="1:30" ht="15" thickBot="1" x14ac:dyDescent="0.4">
      <c r="A83" t="s">
        <v>18</v>
      </c>
      <c r="E83">
        <v>2.6593182014949333E-2</v>
      </c>
      <c r="F83">
        <f t="shared" si="4"/>
        <v>-2.1261981067890123E-2</v>
      </c>
      <c r="G83">
        <f t="shared" si="5"/>
        <v>-3.2983706175546607E-2</v>
      </c>
      <c r="J83" s="2" t="s">
        <v>95</v>
      </c>
      <c r="K83">
        <f>B1664</f>
        <v>1.0580752991853109E-2</v>
      </c>
      <c r="L83">
        <f>C1664</f>
        <v>3.2526682223409927E-4</v>
      </c>
      <c r="M83">
        <f t="shared" si="7"/>
        <v>1.1244209042928784E-2</v>
      </c>
      <c r="N83">
        <f>D1664</f>
        <v>-1.7526716887386214E-2</v>
      </c>
      <c r="O83">
        <f>AVERAGEIFS(E1664:E1685,E1664:E1685,"&lt;=" &amp; N83)</f>
        <v>-1.7762496052094092E-2</v>
      </c>
      <c r="P83">
        <v>107.32561492919922</v>
      </c>
      <c r="Q83">
        <v>22.19697</v>
      </c>
      <c r="R83">
        <f t="shared" si="6"/>
        <v>110.99262237548828</v>
      </c>
      <c r="S83">
        <v>1.1244209042928784E-2</v>
      </c>
      <c r="T83">
        <v>13.29</v>
      </c>
      <c r="V83" s="6" t="s">
        <v>230</v>
      </c>
      <c r="W83" s="6">
        <v>184</v>
      </c>
    </row>
    <row r="84" spans="1:30" x14ac:dyDescent="0.35">
      <c r="A84" t="s">
        <v>18</v>
      </c>
      <c r="E84">
        <v>4.8917606575584922E-3</v>
      </c>
      <c r="F84">
        <f t="shared" si="4"/>
        <v>-2.1262552558866034E-2</v>
      </c>
      <c r="G84">
        <f t="shared" si="5"/>
        <v>-3.2983706175546607E-2</v>
      </c>
      <c r="J84" s="2" t="s">
        <v>96</v>
      </c>
      <c r="K84">
        <f>B1686</f>
        <v>8.6425280903990459E-3</v>
      </c>
      <c r="L84">
        <f>C1686</f>
        <v>2.0306651224601866E-3</v>
      </c>
      <c r="M84">
        <f t="shared" si="7"/>
        <v>1.0580752991853109E-2</v>
      </c>
      <c r="N84">
        <f>D1686</f>
        <v>-1.4999333011839582E-2</v>
      </c>
      <c r="O84">
        <f>AVERAGEIFS(E1686:E1705,E1686:E1705,"&lt;=" &amp; N84)</f>
        <v>-1.5315257036880929E-2</v>
      </c>
      <c r="P84">
        <v>107.81566619873047</v>
      </c>
      <c r="Q84">
        <v>23.51004</v>
      </c>
      <c r="R84">
        <f t="shared" si="6"/>
        <v>107.32561492919922</v>
      </c>
      <c r="S84">
        <v>1.0580752991853109E-2</v>
      </c>
      <c r="T84">
        <v>17.059999999999999</v>
      </c>
    </row>
    <row r="85" spans="1:30" ht="15" thickBot="1" x14ac:dyDescent="0.4">
      <c r="A85" t="s">
        <v>19</v>
      </c>
      <c r="B85" s="3" cm="1">
        <f t="array" ref="B85">_xlfn.STDEV.S(_xlfn._xlws.FILTER($E$2:$E$1000, $A$2:$A$1000="2010-05"))</f>
        <v>4.3862086646526119E-2</v>
      </c>
      <c r="C85" s="3" cm="1">
        <f t="array" ref="C85">AVERAGE(_xlfn._xlws.FILTER($E$2:$E$1000, $A$2:$A$1000="2010-05"))</f>
        <v>-5.6428074547737739E-3</v>
      </c>
      <c r="D85" s="3" cm="1">
        <f t="array" ref="D85">_xlfn.PERCENTILE.EXC(_xlfn._xlws.FILTER($E$85:$E$103, $A$85:$A$103="2010-05"), 0.05)</f>
        <v>-6.8738760524990825E-2</v>
      </c>
      <c r="E85">
        <v>-6.223723740753441E-2</v>
      </c>
      <c r="F85">
        <f t="shared" si="4"/>
        <v>-2.1263124049841948E-2</v>
      </c>
      <c r="G85">
        <f t="shared" si="5"/>
        <v>-3.2983706175546607E-2</v>
      </c>
      <c r="J85" s="4" t="s">
        <v>97</v>
      </c>
      <c r="K85" s="3">
        <f>B1706</f>
        <v>8.4719161740839551E-3</v>
      </c>
      <c r="L85" s="3">
        <f>C1706</f>
        <v>-2.3207085203116404E-3</v>
      </c>
      <c r="M85">
        <f t="shared" si="7"/>
        <v>8.6425280903990459E-3</v>
      </c>
      <c r="N85" s="3">
        <f>D1706</f>
        <v>-1.8335171541833305E-2</v>
      </c>
      <c r="O85" s="3">
        <f>AVERAGEIFS(E1706:E1727,E1706:E1727,"&lt;=" &amp; N85)</f>
        <v>-1.8678567615933818E-2</v>
      </c>
      <c r="P85" s="3">
        <v>108.37412261962891</v>
      </c>
      <c r="Q85" s="3">
        <v>22.72129</v>
      </c>
      <c r="R85">
        <f t="shared" si="6"/>
        <v>107.81566619873047</v>
      </c>
      <c r="S85">
        <v>8.6425280903990459E-3</v>
      </c>
      <c r="T85" s="3">
        <v>13.33</v>
      </c>
      <c r="V85" t="s">
        <v>231</v>
      </c>
    </row>
    <row r="86" spans="1:30" x14ac:dyDescent="0.35">
      <c r="A86" t="s">
        <v>19</v>
      </c>
      <c r="E86">
        <v>-2.2971827252719648E-2</v>
      </c>
      <c r="F86">
        <f t="shared" si="4"/>
        <v>-2.1231306825255609E-2</v>
      </c>
      <c r="G86">
        <f t="shared" si="5"/>
        <v>-3.2763399880855366E-2</v>
      </c>
      <c r="J86" s="2" t="s">
        <v>98</v>
      </c>
      <c r="K86">
        <f>B1728</f>
        <v>9.7430500729501716E-3</v>
      </c>
      <c r="L86">
        <f>C1728</f>
        <v>3.6817566914034449E-3</v>
      </c>
      <c r="M86">
        <f t="shared" si="7"/>
        <v>8.4719161740839551E-3</v>
      </c>
      <c r="N86">
        <f>D1728</f>
        <v>-1.1970090935492306E-2</v>
      </c>
      <c r="O86">
        <f>AVERAGEIFS(E1728:E1747,E1728:E1747,"&lt;=" &amp; N86)</f>
        <v>-1.2172853912254887E-2</v>
      </c>
      <c r="P86">
        <v>115.91750335693359</v>
      </c>
      <c r="Q86">
        <v>19.114329999999999</v>
      </c>
      <c r="R86">
        <f t="shared" si="6"/>
        <v>108.37412261962891</v>
      </c>
      <c r="S86">
        <v>8.4719161740839551E-3</v>
      </c>
      <c r="T86">
        <v>14.04</v>
      </c>
      <c r="V86" s="7"/>
      <c r="W86" s="7" t="s">
        <v>236</v>
      </c>
      <c r="X86" s="7" t="s">
        <v>237</v>
      </c>
      <c r="Y86" s="7" t="s">
        <v>238</v>
      </c>
      <c r="Z86" s="7" t="s">
        <v>239</v>
      </c>
      <c r="AA86" s="7" t="s">
        <v>240</v>
      </c>
    </row>
    <row r="87" spans="1:30" x14ac:dyDescent="0.35">
      <c r="A87" t="s">
        <v>19</v>
      </c>
      <c r="E87">
        <v>-2.9768679794021528E-2</v>
      </c>
      <c r="F87">
        <f t="shared" si="4"/>
        <v>-2.1216387067079959E-2</v>
      </c>
      <c r="G87">
        <f t="shared" si="5"/>
        <v>-3.2753975516568591E-2</v>
      </c>
      <c r="J87" s="2" t="s">
        <v>99</v>
      </c>
      <c r="K87">
        <f>B1748</f>
        <v>7.8942211692144514E-3</v>
      </c>
      <c r="L87">
        <f>C1748</f>
        <v>-1.8825916396885613E-4</v>
      </c>
      <c r="M87">
        <f t="shared" si="7"/>
        <v>9.7430500729501716E-3</v>
      </c>
      <c r="N87">
        <f>D1748</f>
        <v>-1.469911852084381E-2</v>
      </c>
      <c r="O87">
        <f>AVERAGEIFS(E1748:E1768,E1748:E1768,"&lt;=" &amp; N87)</f>
        <v>-1.5139114716235696E-2</v>
      </c>
      <c r="P87">
        <v>108.23075103759766</v>
      </c>
      <c r="Q87">
        <v>18.729869999999998</v>
      </c>
      <c r="R87">
        <f t="shared" si="6"/>
        <v>115.91750335693359</v>
      </c>
      <c r="S87">
        <v>9.7430500729501716E-3</v>
      </c>
      <c r="T87">
        <v>11.99</v>
      </c>
      <c r="V87" t="s">
        <v>232</v>
      </c>
      <c r="W87">
        <v>1</v>
      </c>
      <c r="X87">
        <v>2.9711750394972938E-3</v>
      </c>
      <c r="Y87">
        <v>2.9711750394972938E-3</v>
      </c>
      <c r="Z87">
        <v>16.927867796042101</v>
      </c>
      <c r="AA87">
        <v>5.8759995138346345E-5</v>
      </c>
    </row>
    <row r="88" spans="1:30" x14ac:dyDescent="0.35">
      <c r="A88" t="s">
        <v>19</v>
      </c>
      <c r="E88">
        <v>-3.3320653906934124E-2</v>
      </c>
      <c r="F88">
        <f t="shared" si="4"/>
        <v>-2.1188960224828891E-2</v>
      </c>
      <c r="G88">
        <f t="shared" si="5"/>
        <v>-3.270798818635836E-2</v>
      </c>
      <c r="J88" s="2" t="s">
        <v>100</v>
      </c>
      <c r="K88">
        <f>B1769</f>
        <v>6.5989441292127245E-3</v>
      </c>
      <c r="L88">
        <f>C1769</f>
        <v>1.2734715188865949E-3</v>
      </c>
      <c r="M88">
        <f t="shared" si="7"/>
        <v>7.8942211692144514E-3</v>
      </c>
      <c r="N88">
        <f>D1769</f>
        <v>-1.1081089407981196E-2</v>
      </c>
      <c r="O88">
        <f>AVERAGEIFS(E1769:E1788,E1769:E1788,"&lt;=" &amp; N88)</f>
        <v>-1.1200967265605247E-2</v>
      </c>
      <c r="P88">
        <v>106.89262390136719</v>
      </c>
      <c r="Q88">
        <v>17.275020000000001</v>
      </c>
      <c r="R88">
        <f t="shared" si="6"/>
        <v>108.23075103759766</v>
      </c>
      <c r="S88">
        <v>7.8942211692144514E-3</v>
      </c>
      <c r="T88">
        <v>12.92</v>
      </c>
      <c r="V88" t="s">
        <v>233</v>
      </c>
      <c r="W88">
        <v>182</v>
      </c>
      <c r="X88">
        <v>3.194459359583024E-2</v>
      </c>
      <c r="Y88">
        <v>1.7551974503203429E-4</v>
      </c>
    </row>
    <row r="89" spans="1:30" ht="15" thickBot="1" x14ac:dyDescent="0.4">
      <c r="A89" t="s">
        <v>19</v>
      </c>
      <c r="E89">
        <v>0.13483635213847681</v>
      </c>
      <c r="F89">
        <f t="shared" si="4"/>
        <v>-2.1163269533650352E-2</v>
      </c>
      <c r="G89">
        <f t="shared" si="5"/>
        <v>-3.2642670563873606E-2</v>
      </c>
      <c r="J89" s="2" t="s">
        <v>101</v>
      </c>
      <c r="K89">
        <f>B1789</f>
        <v>7.2184684078466683E-3</v>
      </c>
      <c r="L89">
        <f>C1789</f>
        <v>3.9442939964367939E-3</v>
      </c>
      <c r="M89">
        <f t="shared" si="7"/>
        <v>6.5989441292127245E-3</v>
      </c>
      <c r="N89">
        <f>D1789</f>
        <v>-8.029607966400433E-3</v>
      </c>
      <c r="O89">
        <f>AVERAGEIFS(E1789:E1811,E1789:E1811,"&lt;=" &amp; N89)</f>
        <v>-9.1252329103580429E-3</v>
      </c>
      <c r="P89">
        <v>100.33652496337891</v>
      </c>
      <c r="Q89">
        <v>17.673690000000001</v>
      </c>
      <c r="R89">
        <f t="shared" si="6"/>
        <v>106.89262390136719</v>
      </c>
      <c r="S89">
        <v>6.5989441292127245E-3</v>
      </c>
      <c r="T89">
        <v>12.37</v>
      </c>
      <c r="V89" s="6" t="s">
        <v>234</v>
      </c>
      <c r="W89" s="6">
        <v>183</v>
      </c>
      <c r="X89" s="6">
        <v>3.4915768635327533E-2</v>
      </c>
      <c r="Y89" s="6"/>
      <c r="Z89" s="6"/>
      <c r="AA89" s="6"/>
    </row>
    <row r="90" spans="1:30" ht="15" thickBot="1" x14ac:dyDescent="0.4">
      <c r="A90" t="s">
        <v>19</v>
      </c>
      <c r="E90">
        <v>-3.3725354336871079E-2</v>
      </c>
      <c r="F90">
        <f t="shared" si="4"/>
        <v>-2.1164024678297561E-2</v>
      </c>
      <c r="G90">
        <f t="shared" si="5"/>
        <v>-3.2642670563873606E-2</v>
      </c>
      <c r="J90" s="2" t="s">
        <v>102</v>
      </c>
      <c r="K90">
        <f>B1812</f>
        <v>1.08094597979817E-2</v>
      </c>
      <c r="L90">
        <f>C1812</f>
        <v>1.3268678312650429E-3</v>
      </c>
      <c r="M90">
        <f t="shared" si="7"/>
        <v>7.2184684078466683E-3</v>
      </c>
      <c r="N90">
        <f>D1812</f>
        <v>-9.3885086363792447E-3</v>
      </c>
      <c r="O90">
        <f>AVERAGEIFS(E1812:E1829,E1812:E1829,"&lt;=" &amp; N90)</f>
        <v>-1.3238472749884383E-2</v>
      </c>
      <c r="P90">
        <v>89.540130615234375</v>
      </c>
      <c r="Q90">
        <v>18.585660000000001</v>
      </c>
      <c r="R90">
        <f t="shared" si="6"/>
        <v>100.33652496337891</v>
      </c>
      <c r="S90">
        <v>7.2184684078466683E-3</v>
      </c>
      <c r="T90">
        <v>10.82</v>
      </c>
    </row>
    <row r="91" spans="1:30" x14ac:dyDescent="0.35">
      <c r="A91" t="s">
        <v>19</v>
      </c>
      <c r="E91">
        <v>8.0802891575891753E-3</v>
      </c>
      <c r="F91">
        <f t="shared" si="4"/>
        <v>-2.1152686024921433E-2</v>
      </c>
      <c r="G91">
        <f t="shared" si="5"/>
        <v>-3.2575095934276585E-2</v>
      </c>
      <c r="J91" s="2" t="s">
        <v>103</v>
      </c>
      <c r="K91">
        <f>B1830</f>
        <v>8.8715425232271626E-3</v>
      </c>
      <c r="L91">
        <f>C1830</f>
        <v>7.2414064762289028E-4</v>
      </c>
      <c r="M91">
        <f t="shared" si="7"/>
        <v>1.08094597979817E-2</v>
      </c>
      <c r="N91">
        <f>D1830</f>
        <v>-1.7816020528884511E-2</v>
      </c>
      <c r="O91">
        <f>AVERAGEIFS(E1830:E1850,E1830:E1850,"&lt;=" &amp; N91)</f>
        <v>-1.8035723281757367E-2</v>
      </c>
      <c r="P91">
        <v>104.64061737060547</v>
      </c>
      <c r="Q91">
        <v>16.354109999999999</v>
      </c>
      <c r="R91">
        <f t="shared" si="6"/>
        <v>89.540130615234375</v>
      </c>
      <c r="S91">
        <v>1.08094597979817E-2</v>
      </c>
      <c r="T91">
        <v>10.41</v>
      </c>
      <c r="V91" s="7"/>
      <c r="W91" s="7" t="s">
        <v>241</v>
      </c>
      <c r="X91" s="7" t="s">
        <v>229</v>
      </c>
      <c r="Y91" s="7" t="s">
        <v>242</v>
      </c>
      <c r="Z91" s="7" t="s">
        <v>243</v>
      </c>
      <c r="AA91" s="7" t="s">
        <v>244</v>
      </c>
      <c r="AB91" s="7" t="s">
        <v>245</v>
      </c>
      <c r="AC91" s="7" t="s">
        <v>246</v>
      </c>
      <c r="AD91" s="7" t="s">
        <v>247</v>
      </c>
    </row>
    <row r="92" spans="1:30" x14ac:dyDescent="0.35">
      <c r="A92" t="s">
        <v>19</v>
      </c>
      <c r="E92">
        <v>-1.1192454622764999E-2</v>
      </c>
      <c r="F92">
        <f t="shared" si="4"/>
        <v>-2.1153106825688547E-2</v>
      </c>
      <c r="G92">
        <f t="shared" si="5"/>
        <v>-3.2575095934276585E-2</v>
      </c>
      <c r="J92" s="2" t="s">
        <v>104</v>
      </c>
      <c r="K92">
        <f>B1851</f>
        <v>6.988287351616454E-3</v>
      </c>
      <c r="L92">
        <f>C1851</f>
        <v>-1.945272255201091E-3</v>
      </c>
      <c r="M92">
        <f t="shared" si="7"/>
        <v>8.8715425232271626E-3</v>
      </c>
      <c r="N92">
        <f>D1851</f>
        <v>-1.5792558103162112E-2</v>
      </c>
      <c r="O92">
        <f>AVERAGEIFS(E1851:E1871,E1851:E1871,"&lt;=" &amp; N92)</f>
        <v>-1.6163261957215794E-2</v>
      </c>
      <c r="P92">
        <v>108.39498138427734</v>
      </c>
      <c r="Q92">
        <v>19.691189999999999</v>
      </c>
      <c r="R92">
        <f t="shared" si="6"/>
        <v>104.64061737060547</v>
      </c>
      <c r="S92">
        <v>8.8715425232271626E-3</v>
      </c>
      <c r="T92">
        <v>11.18</v>
      </c>
      <c r="V92" t="s">
        <v>235</v>
      </c>
      <c r="W92">
        <v>-5.496743939014663E-3</v>
      </c>
      <c r="X92">
        <v>4.4595331951273916E-3</v>
      </c>
      <c r="Y92">
        <v>-1.2325828059808046</v>
      </c>
      <c r="Z92">
        <v>0.21932129396527794</v>
      </c>
      <c r="AA92">
        <v>-1.4295777878671411E-2</v>
      </c>
      <c r="AB92">
        <v>3.3022900006420847E-3</v>
      </c>
      <c r="AC92">
        <v>-1.4295777878671411E-2</v>
      </c>
      <c r="AD92">
        <v>3.3022900006420847E-3</v>
      </c>
    </row>
    <row r="93" spans="1:30" ht="15" thickBot="1" x14ac:dyDescent="0.4">
      <c r="A93" t="s">
        <v>19</v>
      </c>
      <c r="E93">
        <v>-6.8738760524990825E-2</v>
      </c>
      <c r="F93">
        <f t="shared" si="4"/>
        <v>-2.1153527626455657E-2</v>
      </c>
      <c r="G93">
        <f t="shared" si="5"/>
        <v>-3.2575095934276585E-2</v>
      </c>
      <c r="J93" s="2" t="s">
        <v>105</v>
      </c>
      <c r="K93">
        <f>B1872</f>
        <v>7.0597090422106577E-3</v>
      </c>
      <c r="L93">
        <f>C1872</f>
        <v>2.6234452177998957E-4</v>
      </c>
      <c r="M93">
        <f t="shared" si="7"/>
        <v>6.988287351616454E-3</v>
      </c>
      <c r="N93">
        <f>D1872</f>
        <v>-1.3047407534606533E-2</v>
      </c>
      <c r="O93">
        <f>AVERAGEIFS(E1872:E1892,E1872:E1892,"&lt;=" &amp; N93)</f>
        <v>-1.316748733150257E-2</v>
      </c>
      <c r="P93">
        <v>101.37307739257813</v>
      </c>
      <c r="Q93">
        <v>16.421189999999999</v>
      </c>
      <c r="R93">
        <f t="shared" si="6"/>
        <v>108.39498138427734</v>
      </c>
      <c r="S93">
        <v>6.988287351616454E-3</v>
      </c>
      <c r="T93">
        <v>10.26</v>
      </c>
      <c r="V93" s="6" t="s">
        <v>202</v>
      </c>
      <c r="W93" s="6">
        <v>-1.2729487176319884E-4</v>
      </c>
      <c r="X93" s="6">
        <v>3.0939249776521199E-5</v>
      </c>
      <c r="Y93" s="6">
        <v>-4.1143490124249498</v>
      </c>
      <c r="Z93" s="6">
        <v>5.8759995138344359E-5</v>
      </c>
      <c r="AA93" s="6">
        <v>-1.8834061286197114E-4</v>
      </c>
      <c r="AB93" s="6">
        <v>-6.6249130664426553E-5</v>
      </c>
      <c r="AC93" s="6">
        <v>-1.8834061286197114E-4</v>
      </c>
      <c r="AD93" s="6">
        <v>-6.6249130664426553E-5</v>
      </c>
    </row>
    <row r="94" spans="1:30" x14ac:dyDescent="0.35">
      <c r="A94" t="s">
        <v>19</v>
      </c>
      <c r="E94">
        <v>-3.0751389765966805E-3</v>
      </c>
      <c r="F94">
        <f t="shared" si="4"/>
        <v>-2.1135173883886711E-2</v>
      </c>
      <c r="G94">
        <f t="shared" si="5"/>
        <v>-3.231923193799429E-2</v>
      </c>
      <c r="J94" s="2" t="s">
        <v>106</v>
      </c>
      <c r="K94">
        <f>B1893</f>
        <v>9.2278653182264175E-3</v>
      </c>
      <c r="L94">
        <f>C1893</f>
        <v>-9.2806707895081711E-4</v>
      </c>
      <c r="M94">
        <f t="shared" si="7"/>
        <v>7.0597090422106577E-3</v>
      </c>
      <c r="N94">
        <f>D1893</f>
        <v>-1.5994725649076683E-2</v>
      </c>
      <c r="O94">
        <f>AVERAGEIFS(E1893:E1913,E1893:E1913,"&lt;=" &amp; N94)</f>
        <v>-1.6119656999538351E-2</v>
      </c>
      <c r="P94">
        <v>66.645698547363281</v>
      </c>
      <c r="Q94">
        <v>18.572019999999998</v>
      </c>
      <c r="R94">
        <f t="shared" si="6"/>
        <v>101.37307739257813</v>
      </c>
      <c r="S94">
        <v>7.0597090422106577E-3</v>
      </c>
      <c r="T94">
        <v>10.59</v>
      </c>
    </row>
    <row r="95" spans="1:30" x14ac:dyDescent="0.35">
      <c r="A95" t="s">
        <v>19</v>
      </c>
      <c r="E95">
        <v>3.6115315126309201E-2</v>
      </c>
      <c r="F95">
        <f t="shared" si="4"/>
        <v>-2.1137321105986123E-2</v>
      </c>
      <c r="G95">
        <f t="shared" si="5"/>
        <v>-3.231923193799429E-2</v>
      </c>
      <c r="J95" s="2" t="s">
        <v>107</v>
      </c>
      <c r="K95">
        <f>B1914</f>
        <v>7.1913168610952477E-3</v>
      </c>
      <c r="L95">
        <f>C1914</f>
        <v>3.7762026666209411E-4</v>
      </c>
      <c r="M95">
        <f t="shared" si="7"/>
        <v>9.2278653182264175E-3</v>
      </c>
      <c r="N95">
        <f>D1914</f>
        <v>-8.5976498393567479E-3</v>
      </c>
      <c r="O95">
        <f>AVERAGEIFS(E1914:E1934,E1914:E1934,"&lt;=" &amp; N95)</f>
        <v>-8.6251539750766288E-3</v>
      </c>
      <c r="P95">
        <v>94.979637145996094</v>
      </c>
      <c r="Q95">
        <v>14.306179999999999</v>
      </c>
      <c r="R95">
        <f t="shared" si="6"/>
        <v>66.645698547363281</v>
      </c>
      <c r="S95">
        <v>9.2278653182264175E-3</v>
      </c>
      <c r="T95">
        <v>9.51</v>
      </c>
    </row>
    <row r="96" spans="1:30" x14ac:dyDescent="0.35">
      <c r="A96" t="s">
        <v>19</v>
      </c>
      <c r="E96">
        <v>-2.642741450763389E-2</v>
      </c>
      <c r="F96">
        <f t="shared" si="4"/>
        <v>-2.1139468328085536E-2</v>
      </c>
      <c r="G96">
        <f t="shared" si="5"/>
        <v>-3.231923193799429E-2</v>
      </c>
      <c r="J96" s="2" t="s">
        <v>108</v>
      </c>
      <c r="K96">
        <f>B1935</f>
        <v>1.3139695191230845E-2</v>
      </c>
      <c r="L96">
        <f>C1935</f>
        <v>3.0968770231082598E-4</v>
      </c>
      <c r="M96">
        <f t="shared" si="7"/>
        <v>7.1913168610952477E-3</v>
      </c>
      <c r="N96">
        <f>D1935</f>
        <v>-2.8058060810578104E-2</v>
      </c>
      <c r="O96">
        <f>AVERAGEIFS(E1935:E1954,E1935:E1954,"&lt;=" &amp; N96)</f>
        <v>-2.8764730088968141E-2</v>
      </c>
      <c r="P96">
        <v>177.32598876953125</v>
      </c>
      <c r="Q96">
        <v>13.96176</v>
      </c>
      <c r="R96">
        <f t="shared" si="6"/>
        <v>94.979637145996094</v>
      </c>
      <c r="S96">
        <v>7.1913168610952477E-3</v>
      </c>
      <c r="T96">
        <v>10.18</v>
      </c>
    </row>
    <row r="97" spans="1:30" x14ac:dyDescent="0.35">
      <c r="A97" t="s">
        <v>19</v>
      </c>
      <c r="E97">
        <v>-1.1369243502068723E-2</v>
      </c>
      <c r="F97">
        <f t="shared" si="4"/>
        <v>-2.1041161239223029E-2</v>
      </c>
      <c r="G97">
        <f t="shared" si="5"/>
        <v>-3.2290617412547303E-2</v>
      </c>
      <c r="J97" s="2" t="s">
        <v>109</v>
      </c>
      <c r="K97">
        <f>B1955</f>
        <v>5.9701574832156691E-3</v>
      </c>
      <c r="L97">
        <f>C1955</f>
        <v>-1.0342527018502579E-3</v>
      </c>
      <c r="M97">
        <f t="shared" si="7"/>
        <v>1.3139695191230845E-2</v>
      </c>
      <c r="N97">
        <f>D1955</f>
        <v>-9.4571677077175641E-3</v>
      </c>
      <c r="O97">
        <f>AVERAGEIFS(E1955:E1976,E1955:E1976,"&lt;=" &amp; N97)</f>
        <v>-9.6082523991398387E-3</v>
      </c>
      <c r="P97">
        <v>130.81230163574219</v>
      </c>
      <c r="Q97">
        <v>16.018129999999999</v>
      </c>
      <c r="R97">
        <f t="shared" si="6"/>
        <v>177.32598876953125</v>
      </c>
      <c r="S97">
        <v>1.3139695191230845E-2</v>
      </c>
      <c r="T97">
        <v>11.28</v>
      </c>
      <c r="V97" t="s">
        <v>225</v>
      </c>
    </row>
    <row r="98" spans="1:30" ht="15" thickBot="1" x14ac:dyDescent="0.4">
      <c r="A98" t="s">
        <v>19</v>
      </c>
      <c r="E98">
        <v>1.4648668070423754E-2</v>
      </c>
      <c r="F98">
        <f t="shared" si="4"/>
        <v>-2.1062478417646982E-2</v>
      </c>
      <c r="G98">
        <f t="shared" si="5"/>
        <v>-3.2290617412547303E-2</v>
      </c>
      <c r="J98" s="2" t="s">
        <v>110</v>
      </c>
      <c r="K98">
        <f>B1977</f>
        <v>6.9739442665411279E-3</v>
      </c>
      <c r="L98">
        <f>C1977</f>
        <v>-8.6842555370407741E-4</v>
      </c>
      <c r="M98">
        <f t="shared" si="7"/>
        <v>5.9701574832156691E-3</v>
      </c>
      <c r="N98">
        <f>D1977</f>
        <v>-1.2416399167225877E-2</v>
      </c>
      <c r="O98">
        <f>AVERAGEIFS(E1977:E1995,E1977:E1995,"&lt;=" &amp; N98)</f>
        <v>-1.2416399167225877E-2</v>
      </c>
      <c r="P98">
        <v>126.73715972900391</v>
      </c>
      <c r="Q98">
        <v>16.243410000000001</v>
      </c>
      <c r="R98">
        <f t="shared" si="6"/>
        <v>130.81230163574219</v>
      </c>
      <c r="S98">
        <v>5.9701574832156691E-3</v>
      </c>
      <c r="T98">
        <v>11.04</v>
      </c>
    </row>
    <row r="99" spans="1:30" x14ac:dyDescent="0.35">
      <c r="A99" t="s">
        <v>19</v>
      </c>
      <c r="E99">
        <v>-1.2773505869098353E-2</v>
      </c>
      <c r="F99">
        <f t="shared" si="4"/>
        <v>-2.1083795596070948E-2</v>
      </c>
      <c r="G99">
        <f t="shared" si="5"/>
        <v>-3.2290617412547303E-2</v>
      </c>
      <c r="J99" s="2" t="s">
        <v>111</v>
      </c>
      <c r="K99">
        <f>B1996</f>
        <v>9.1491550278678287E-3</v>
      </c>
      <c r="L99">
        <f>C1996</f>
        <v>8.8584973538224157E-3</v>
      </c>
      <c r="M99">
        <f t="shared" si="7"/>
        <v>6.9739442665411279E-3</v>
      </c>
      <c r="N99">
        <f>D1996</f>
        <v>-1.0980296895280748E-2</v>
      </c>
      <c r="O99">
        <f>AVERAGEIFS(E1996:E2017,E1996:E2017,"&lt;=" &amp; N99)</f>
        <v>-1.2142849761331682E-2</v>
      </c>
      <c r="P99">
        <v>112.77650451660156</v>
      </c>
      <c r="Q99">
        <v>18.826599999999999</v>
      </c>
      <c r="R99">
        <f t="shared" si="6"/>
        <v>126.73715972900391</v>
      </c>
      <c r="S99">
        <v>6.9739442665411279E-3</v>
      </c>
      <c r="T99">
        <v>13.54</v>
      </c>
      <c r="V99" s="8" t="s">
        <v>226</v>
      </c>
      <c r="W99" s="8"/>
    </row>
    <row r="100" spans="1:30" x14ac:dyDescent="0.35">
      <c r="A100" t="s">
        <v>19</v>
      </c>
      <c r="E100">
        <v>-3.0999130999224956E-2</v>
      </c>
      <c r="F100">
        <f t="shared" si="4"/>
        <v>-2.1105112774494915E-2</v>
      </c>
      <c r="G100">
        <f t="shared" si="5"/>
        <v>-3.2290617412547303E-2</v>
      </c>
      <c r="J100" s="2" t="s">
        <v>112</v>
      </c>
      <c r="K100">
        <f>B2018</f>
        <v>1.2092037067920993E-2</v>
      </c>
      <c r="L100">
        <f>C2018</f>
        <v>-3.0129655187702111E-3</v>
      </c>
      <c r="M100">
        <f t="shared" si="7"/>
        <v>9.1491550278678287E-3</v>
      </c>
      <c r="N100">
        <f>D2018</f>
        <v>-2.5449461354579886E-2</v>
      </c>
      <c r="O100">
        <f>AVERAGEIFS(E2018:E2037,E2018:E2037,"&lt;=" &amp; N100)</f>
        <v>-2.5612107181677717E-2</v>
      </c>
      <c r="P100">
        <v>105.40119171142578</v>
      </c>
      <c r="Q100">
        <v>21.97644</v>
      </c>
      <c r="R100">
        <f t="shared" si="6"/>
        <v>112.77650451660156</v>
      </c>
      <c r="S100">
        <v>9.1491550278678287E-3</v>
      </c>
      <c r="T100">
        <v>19.850000000000001</v>
      </c>
      <c r="V100" t="s">
        <v>227</v>
      </c>
      <c r="W100">
        <v>0.17089827775273606</v>
      </c>
    </row>
    <row r="101" spans="1:30" x14ac:dyDescent="0.35">
      <c r="A101" t="s">
        <v>19</v>
      </c>
      <c r="E101">
        <v>4.2333969136772853E-3</v>
      </c>
      <c r="F101">
        <f t="shared" si="4"/>
        <v>-2.0700086384439639E-2</v>
      </c>
      <c r="G101">
        <f t="shared" si="5"/>
        <v>-3.2297598420186875E-2</v>
      </c>
      <c r="J101" s="2" t="s">
        <v>113</v>
      </c>
      <c r="K101">
        <f>B2038</f>
        <v>8.2711966111312894E-3</v>
      </c>
      <c r="L101">
        <f>C2038</f>
        <v>-1.1753063872319437E-3</v>
      </c>
      <c r="M101">
        <f t="shared" si="7"/>
        <v>1.2092037067920993E-2</v>
      </c>
      <c r="N101">
        <f>D2038</f>
        <v>-2.0884718450742374E-2</v>
      </c>
      <c r="O101">
        <f>AVERAGEIFS(E2038:E2058,E2038:E2058,"&lt;=" &amp; N101)</f>
        <v>-2.1537234178014755E-2</v>
      </c>
      <c r="P101">
        <v>93.329330444335938</v>
      </c>
      <c r="Q101">
        <v>21.431080000000001</v>
      </c>
      <c r="R101">
        <f t="shared" si="6"/>
        <v>105.40119171142578</v>
      </c>
      <c r="S101">
        <v>1.2092037067920993E-2</v>
      </c>
      <c r="T101">
        <v>19.97</v>
      </c>
      <c r="V101" t="s">
        <v>228</v>
      </c>
      <c r="W101">
        <v>2.9206221338851323E-2</v>
      </c>
    </row>
    <row r="102" spans="1:30" x14ac:dyDescent="0.35">
      <c r="A102" t="s">
        <v>19</v>
      </c>
      <c r="E102">
        <v>3.1813320891968914E-2</v>
      </c>
      <c r="F102">
        <f t="shared" si="4"/>
        <v>-2.0721403562863606E-2</v>
      </c>
      <c r="G102">
        <f t="shared" si="5"/>
        <v>-3.2297598420186875E-2</v>
      </c>
      <c r="J102" s="2" t="s">
        <v>114</v>
      </c>
      <c r="K102">
        <f>B2059</f>
        <v>6.3219563523575018E-3</v>
      </c>
      <c r="L102">
        <f>C2059</f>
        <v>1.9419222242139354E-3</v>
      </c>
      <c r="M102">
        <f t="shared" si="7"/>
        <v>8.2711966111312894E-3</v>
      </c>
      <c r="N102">
        <f>D2059</f>
        <v>-5.9485549535602707E-3</v>
      </c>
      <c r="O102">
        <f>AVERAGEIFS(E2059:E2078,E2059:E2078,"&lt;=" &amp; N102)</f>
        <v>-5.9824001893405932E-3</v>
      </c>
      <c r="P102">
        <v>103.66265869140625</v>
      </c>
      <c r="Q102">
        <v>16.597010000000001</v>
      </c>
      <c r="R102">
        <f t="shared" si="6"/>
        <v>93.329330444335938</v>
      </c>
      <c r="S102">
        <v>8.2711966111312894E-3</v>
      </c>
      <c r="T102">
        <v>15.93</v>
      </c>
      <c r="V102" t="s">
        <v>228</v>
      </c>
      <c r="W102">
        <v>2.3842719799286968E-2</v>
      </c>
      <c r="Y102" t="s">
        <v>384</v>
      </c>
    </row>
    <row r="103" spans="1:30" x14ac:dyDescent="0.35">
      <c r="A103" t="s">
        <v>19</v>
      </c>
      <c r="E103">
        <v>9.6587177613123576E-3</v>
      </c>
      <c r="F103">
        <f t="shared" si="4"/>
        <v>-2.0742720741287562E-2</v>
      </c>
      <c r="G103">
        <f t="shared" si="5"/>
        <v>-3.2297598420186875E-2</v>
      </c>
      <c r="J103" s="2" t="s">
        <v>115</v>
      </c>
      <c r="K103">
        <f>B2079</f>
        <v>1.0561173801560254E-2</v>
      </c>
      <c r="L103">
        <f>C2079</f>
        <v>-2.7889262783619413E-3</v>
      </c>
      <c r="M103">
        <f t="shared" si="7"/>
        <v>6.3219563523575018E-3</v>
      </c>
      <c r="N103">
        <f>D2079</f>
        <v>-3.1551423755514806E-2</v>
      </c>
      <c r="O103">
        <f>AVERAGEIFS(E2079:E2097,E2079:E2097,"&lt;=" &amp; N103)</f>
        <v>-3.1551423755514806E-2</v>
      </c>
      <c r="P103">
        <v>140.21331787109375</v>
      </c>
      <c r="Q103">
        <v>20.604800000000001</v>
      </c>
      <c r="R103">
        <f t="shared" si="6"/>
        <v>103.66265869140625</v>
      </c>
      <c r="S103">
        <v>6.3219563523575018E-3</v>
      </c>
      <c r="T103">
        <v>15.43</v>
      </c>
      <c r="V103" t="s">
        <v>229</v>
      </c>
      <c r="W103">
        <v>1.3681761142387304E-2</v>
      </c>
    </row>
    <row r="104" spans="1:30" ht="15" thickBot="1" x14ac:dyDescent="0.4">
      <c r="A104" t="s">
        <v>20</v>
      </c>
      <c r="B104" s="3" cm="1">
        <f t="array" ref="B104">_xlfn.STDEV.S(_xlfn._xlws.FILTER($E$2:$E$1000, $A$2:$A$1000="2010-06"))</f>
        <v>2.2981462255541218E-2</v>
      </c>
      <c r="C104" s="3" cm="1">
        <f t="array" ref="C104">AVERAGE(_xlfn._xlws.FILTER($E$2:$E$1000, $A$2:$A$1000="2010-06"))</f>
        <v>-7.8852865595597588E-4</v>
      </c>
      <c r="D104" s="3" cm="1">
        <f t="array" ref="D104">_xlfn.PERCENTILE.EXC(_xlfn._xlws.FILTER($E$104:$E$125, $A$104:$A$125="2010-06"), 0.05)</f>
        <v>-5.3458544951963526E-2</v>
      </c>
      <c r="E104">
        <v>-1.3436640750438192E-2</v>
      </c>
      <c r="F104">
        <f t="shared" si="4"/>
        <v>-2.0764037919711528E-2</v>
      </c>
      <c r="G104">
        <f t="shared" si="5"/>
        <v>-3.2297598420186875E-2</v>
      </c>
      <c r="J104" s="4" t="s">
        <v>116</v>
      </c>
      <c r="K104" s="3">
        <f>B2098</f>
        <v>9.2875603959198579E-3</v>
      </c>
      <c r="L104" s="3">
        <f>C2098</f>
        <v>7.843467195867076E-4</v>
      </c>
      <c r="M104">
        <f t="shared" si="7"/>
        <v>1.0561173801560254E-2</v>
      </c>
      <c r="N104" s="3">
        <f>D2098</f>
        <v>-1.723230809212686E-2</v>
      </c>
      <c r="O104" s="3">
        <f>AVERAGEIFS(E2098:E2118,E2098:E2118,"&lt;=" &amp; N104)</f>
        <v>-1.7949992506673854E-2</v>
      </c>
      <c r="P104" s="3">
        <v>132.80390930175781</v>
      </c>
      <c r="Q104" s="3">
        <v>19.422699999999999</v>
      </c>
      <c r="R104">
        <f t="shared" si="6"/>
        <v>140.21331787109375</v>
      </c>
      <c r="S104">
        <v>1.0561173801560254E-2</v>
      </c>
      <c r="T104" s="3">
        <v>16.09</v>
      </c>
      <c r="V104" s="6" t="s">
        <v>230</v>
      </c>
      <c r="W104" s="6">
        <v>183</v>
      </c>
    </row>
    <row r="105" spans="1:30" x14ac:dyDescent="0.35">
      <c r="A105" t="s">
        <v>20</v>
      </c>
      <c r="E105">
        <v>-3.4145350042618871E-3</v>
      </c>
      <c r="F105">
        <f t="shared" si="4"/>
        <v>-2.0785355098135495E-2</v>
      </c>
      <c r="G105">
        <f t="shared" si="5"/>
        <v>-3.2297598420186875E-2</v>
      </c>
      <c r="J105" s="2" t="s">
        <v>117</v>
      </c>
      <c r="K105">
        <f>B2119</f>
        <v>6.5822133723010883E-3</v>
      </c>
      <c r="L105">
        <f>C2119</f>
        <v>1.1566310153278E-3</v>
      </c>
      <c r="M105">
        <f t="shared" si="7"/>
        <v>9.2875603959198579E-3</v>
      </c>
      <c r="N105">
        <f>D2119</f>
        <v>-1.456735873763002E-2</v>
      </c>
      <c r="O105">
        <f>AVERAGEIFS(E2119:E2140,E2119:E2140,"&lt;=" &amp; N105)</f>
        <v>-1.5869547074391366E-2</v>
      </c>
      <c r="P105">
        <v>96.504730224609375</v>
      </c>
      <c r="Q105">
        <v>14.70101</v>
      </c>
      <c r="R105">
        <f t="shared" si="6"/>
        <v>132.80390930175781</v>
      </c>
      <c r="S105">
        <v>9.2875603959198579E-3</v>
      </c>
      <c r="T105">
        <v>12.83</v>
      </c>
    </row>
    <row r="106" spans="1:30" ht="15" thickBot="1" x14ac:dyDescent="0.4">
      <c r="A106" t="s">
        <v>20</v>
      </c>
      <c r="E106">
        <v>8.8437360840013142E-4</v>
      </c>
      <c r="F106">
        <f t="shared" si="4"/>
        <v>-2.0806672276559447E-2</v>
      </c>
      <c r="G106">
        <f t="shared" si="5"/>
        <v>-3.2297598420186875E-2</v>
      </c>
      <c r="J106" s="2" t="s">
        <v>118</v>
      </c>
      <c r="K106">
        <f>B2141</f>
        <v>6.2770500453189441E-3</v>
      </c>
      <c r="L106">
        <f>C2141</f>
        <v>-2.3312777573841824E-3</v>
      </c>
      <c r="M106">
        <f t="shared" si="7"/>
        <v>6.5822133723010883E-3</v>
      </c>
      <c r="N106">
        <f>D2141</f>
        <v>-1.5251981093608138E-2</v>
      </c>
      <c r="O106">
        <f>AVERAGEIFS(E2141:E2161,E2141:E2161,"&lt;=" &amp; N106)</f>
        <v>-1.5757144069845526E-2</v>
      </c>
      <c r="P106">
        <v>78.211456298828125</v>
      </c>
      <c r="Q106">
        <v>18.127970000000001</v>
      </c>
      <c r="R106">
        <f t="shared" si="6"/>
        <v>96.504730224609375</v>
      </c>
      <c r="S106">
        <v>6.5822133723010883E-3</v>
      </c>
      <c r="T106">
        <v>12.86</v>
      </c>
      <c r="V106" t="s">
        <v>231</v>
      </c>
    </row>
    <row r="107" spans="1:30" x14ac:dyDescent="0.35">
      <c r="A107" t="s">
        <v>20</v>
      </c>
      <c r="E107">
        <v>-3.8774940292604254E-2</v>
      </c>
      <c r="F107">
        <f t="shared" si="4"/>
        <v>-2.0827989454983414E-2</v>
      </c>
      <c r="G107">
        <f t="shared" si="5"/>
        <v>-3.2297598420186875E-2</v>
      </c>
      <c r="J107" s="2" t="s">
        <v>119</v>
      </c>
      <c r="K107">
        <f>B2162</f>
        <v>6.4368148109206933E-3</v>
      </c>
      <c r="L107">
        <f>C2162</f>
        <v>-5.2692371934866514E-5</v>
      </c>
      <c r="M107">
        <f t="shared" si="7"/>
        <v>6.2770500453189441E-3</v>
      </c>
      <c r="N107">
        <f>D2162</f>
        <v>-1.4391422431362112E-2</v>
      </c>
      <c r="O107">
        <f>AVERAGEIFS(E2162:E2181,E2162:E2181,"&lt;=" &amp; N107)</f>
        <v>-1.4622261193283023E-2</v>
      </c>
      <c r="P107">
        <v>109.84809875488281</v>
      </c>
      <c r="Q107">
        <v>17.146560000000001</v>
      </c>
      <c r="R107">
        <f t="shared" si="6"/>
        <v>78.211456298828125</v>
      </c>
      <c r="S107">
        <v>6.2770500453189441E-3</v>
      </c>
      <c r="T107">
        <v>12.12</v>
      </c>
      <c r="V107" s="7"/>
      <c r="W107" s="7" t="s">
        <v>236</v>
      </c>
      <c r="X107" s="7" t="s">
        <v>237</v>
      </c>
      <c r="Y107" s="7" t="s">
        <v>238</v>
      </c>
      <c r="Z107" s="7" t="s">
        <v>239</v>
      </c>
      <c r="AA107" s="7" t="s">
        <v>240</v>
      </c>
    </row>
    <row r="108" spans="1:30" x14ac:dyDescent="0.35">
      <c r="A108" t="s">
        <v>20</v>
      </c>
      <c r="E108">
        <v>-1.4459551988209553E-2</v>
      </c>
      <c r="F108">
        <f t="shared" si="4"/>
        <v>-2.0664614087597857E-2</v>
      </c>
      <c r="G108">
        <f t="shared" si="5"/>
        <v>-3.2199781279178288E-2</v>
      </c>
      <c r="J108" s="2" t="s">
        <v>120</v>
      </c>
      <c r="K108">
        <f>B2182</f>
        <v>9.1743455906156089E-3</v>
      </c>
      <c r="L108">
        <f>C2182</f>
        <v>-2.4654281699636616E-3</v>
      </c>
      <c r="M108">
        <f t="shared" si="7"/>
        <v>6.4368148109206933E-3</v>
      </c>
      <c r="N108">
        <f>D2182</f>
        <v>-1.6306344070953993E-2</v>
      </c>
      <c r="O108">
        <f>AVERAGEIFS(E2182:E2203,E2182:E2203,"&lt;=" &amp; N108)</f>
        <v>-1.7060752374856363E-2</v>
      </c>
      <c r="P108">
        <v>149.11904907226563</v>
      </c>
      <c r="Q108">
        <v>22.955480000000001</v>
      </c>
      <c r="R108">
        <f t="shared" si="6"/>
        <v>109.84809875488281</v>
      </c>
      <c r="S108">
        <v>6.4368148109206933E-3</v>
      </c>
      <c r="T108">
        <v>21.23</v>
      </c>
      <c r="V108" t="s">
        <v>232</v>
      </c>
      <c r="W108">
        <v>1</v>
      </c>
      <c r="X108">
        <v>1.0193209984378643E-3</v>
      </c>
      <c r="Y108">
        <v>1.0193209984378643E-3</v>
      </c>
      <c r="Z108">
        <v>5.4453645856925688</v>
      </c>
      <c r="AA108">
        <v>2.0718750806204327E-2</v>
      </c>
    </row>
    <row r="109" spans="1:30" x14ac:dyDescent="0.35">
      <c r="A109" t="s">
        <v>20</v>
      </c>
      <c r="E109">
        <v>-1.4371765422087018E-2</v>
      </c>
      <c r="F109">
        <f t="shared" si="4"/>
        <v>-2.0665793680799346E-2</v>
      </c>
      <c r="G109">
        <f t="shared" si="5"/>
        <v>-3.2199781279178288E-2</v>
      </c>
      <c r="J109" s="2" t="s">
        <v>121</v>
      </c>
      <c r="K109">
        <f>B2204</f>
        <v>8.1996702370329237E-3</v>
      </c>
      <c r="L109">
        <f>C2204</f>
        <v>9.293228263606867E-4</v>
      </c>
      <c r="M109">
        <f t="shared" si="7"/>
        <v>9.1743455906156089E-3</v>
      </c>
      <c r="N109">
        <f>D2204</f>
        <v>-1.4261273404343487E-2</v>
      </c>
      <c r="O109">
        <f>AVERAGEIFS(E2204:E2225,E2204:E2225,"&lt;=" &amp; N109)</f>
        <v>-1.5644202500095839E-2</v>
      </c>
      <c r="P109">
        <v>138.01336669921875</v>
      </c>
      <c r="Q109">
        <v>20.9254</v>
      </c>
      <c r="R109">
        <f t="shared" si="6"/>
        <v>149.11904907226563</v>
      </c>
      <c r="S109">
        <v>9.1743455906156089E-3</v>
      </c>
      <c r="T109">
        <v>18.07</v>
      </c>
      <c r="V109" t="s">
        <v>233</v>
      </c>
      <c r="W109">
        <v>181</v>
      </c>
      <c r="X109">
        <v>3.3881496420278379E-2</v>
      </c>
      <c r="Y109">
        <v>1.8719058795733912E-4</v>
      </c>
    </row>
    <row r="110" spans="1:30" ht="15" thickBot="1" x14ac:dyDescent="0.4">
      <c r="A110" t="s">
        <v>20</v>
      </c>
      <c r="E110">
        <v>2.2682501661614698E-2</v>
      </c>
      <c r="F110">
        <f t="shared" si="4"/>
        <v>-2.0666973274000831E-2</v>
      </c>
      <c r="G110">
        <f t="shared" si="5"/>
        <v>-3.2199781279178288E-2</v>
      </c>
      <c r="J110" s="2" t="s">
        <v>122</v>
      </c>
      <c r="K110">
        <f>B2226</f>
        <v>1.3692588055614675E-2</v>
      </c>
      <c r="L110">
        <f>C2226</f>
        <v>-3.9082978114543167E-3</v>
      </c>
      <c r="M110">
        <f t="shared" si="7"/>
        <v>8.1996702370329237E-3</v>
      </c>
      <c r="N110">
        <f>D2226</f>
        <v>-2.3815119049010697E-2</v>
      </c>
      <c r="O110">
        <f>AVERAGEIFS(E2226:E2242,E2226:E2242,"&lt;=" &amp; N110)</f>
        <v>-2.786974327532709E-2</v>
      </c>
      <c r="P110">
        <v>127.73059844970703</v>
      </c>
      <c r="Q110">
        <v>27.303149999999999</v>
      </c>
      <c r="R110">
        <f t="shared" si="6"/>
        <v>138.01336669921875</v>
      </c>
      <c r="S110">
        <v>8.1996702370329237E-3</v>
      </c>
      <c r="T110">
        <v>25.42</v>
      </c>
      <c r="V110" s="6" t="s">
        <v>234</v>
      </c>
      <c r="W110" s="6">
        <v>182</v>
      </c>
      <c r="X110" s="6">
        <v>3.4900817418716243E-2</v>
      </c>
      <c r="Y110" s="6"/>
      <c r="Z110" s="6"/>
      <c r="AA110" s="6"/>
    </row>
    <row r="111" spans="1:30" ht="15" thickBot="1" x14ac:dyDescent="0.4">
      <c r="A111" t="s">
        <v>20</v>
      </c>
      <c r="E111">
        <v>3.6479588601454331E-2</v>
      </c>
      <c r="F111">
        <f t="shared" si="4"/>
        <v>-2.0668152867202316E-2</v>
      </c>
      <c r="G111">
        <f t="shared" si="5"/>
        <v>-3.2199781279178288E-2</v>
      </c>
      <c r="J111" s="2" t="s">
        <v>123</v>
      </c>
      <c r="K111">
        <f>B2243</f>
        <v>8.1570384800824149E-3</v>
      </c>
      <c r="L111">
        <f>C2243</f>
        <v>2.9172774124892374E-3</v>
      </c>
      <c r="M111">
        <f t="shared" si="7"/>
        <v>1.3692588055614675E-2</v>
      </c>
      <c r="N111">
        <f>D2243</f>
        <v>-1.2432351285923593E-2</v>
      </c>
      <c r="O111">
        <f>AVERAGEIFS(E2243:E2264,E2243:E2264,"&lt;=" &amp; N111)</f>
        <v>-1.3459507425424093E-2</v>
      </c>
      <c r="P111">
        <v>131.04118347167969</v>
      </c>
      <c r="Q111">
        <v>17.303930000000001</v>
      </c>
      <c r="R111">
        <f t="shared" si="6"/>
        <v>127.73059844970703</v>
      </c>
      <c r="S111">
        <v>1.3692588055614675E-2</v>
      </c>
      <c r="T111">
        <v>16.57</v>
      </c>
    </row>
    <row r="112" spans="1:30" x14ac:dyDescent="0.35">
      <c r="A112" t="s">
        <v>20</v>
      </c>
      <c r="E112">
        <v>3.8757722783533108E-2</v>
      </c>
      <c r="F112">
        <f t="shared" si="4"/>
        <v>-2.06693324604038E-2</v>
      </c>
      <c r="G112">
        <f t="shared" si="5"/>
        <v>-3.2199781279178288E-2</v>
      </c>
      <c r="J112" s="2" t="s">
        <v>124</v>
      </c>
      <c r="K112">
        <f>B2265</f>
        <v>7.8412353142801455E-3</v>
      </c>
      <c r="L112">
        <f>C2265</f>
        <v>1.2054427979274094E-3</v>
      </c>
      <c r="M112">
        <f t="shared" si="7"/>
        <v>8.1570384800824149E-3</v>
      </c>
      <c r="N112">
        <f>D2265</f>
        <v>-1.7584494913161983E-2</v>
      </c>
      <c r="O112">
        <f>AVERAGEIFS(E2265:E2284,E2265:E2284,"&lt;=" &amp; N112)</f>
        <v>-1.8027895227502522E-2</v>
      </c>
      <c r="P112">
        <v>132.00209045410156</v>
      </c>
      <c r="Q112">
        <v>15.46541</v>
      </c>
      <c r="R112">
        <f t="shared" si="6"/>
        <v>131.04118347167969</v>
      </c>
      <c r="S112">
        <v>8.1570384800824149E-3</v>
      </c>
      <c r="T112">
        <v>14.78</v>
      </c>
      <c r="V112" s="7"/>
      <c r="W112" s="7" t="s">
        <v>241</v>
      </c>
      <c r="X112" s="7" t="s">
        <v>229</v>
      </c>
      <c r="Y112" s="7" t="s">
        <v>242</v>
      </c>
      <c r="Z112" s="7" t="s">
        <v>243</v>
      </c>
      <c r="AA112" s="7" t="s">
        <v>244</v>
      </c>
      <c r="AB112" s="7" t="s">
        <v>245</v>
      </c>
      <c r="AC112" s="7" t="s">
        <v>246</v>
      </c>
      <c r="AD112" s="7" t="s">
        <v>247</v>
      </c>
    </row>
    <row r="113" spans="1:30" x14ac:dyDescent="0.35">
      <c r="A113" t="s">
        <v>20</v>
      </c>
      <c r="E113">
        <v>2.3295058508621957E-3</v>
      </c>
      <c r="F113">
        <f t="shared" si="4"/>
        <v>-2.0670512053605285E-2</v>
      </c>
      <c r="G113">
        <f t="shared" si="5"/>
        <v>-3.2199781279178288E-2</v>
      </c>
      <c r="J113" s="2" t="s">
        <v>125</v>
      </c>
      <c r="K113">
        <f>B2285</f>
        <v>7.4138009376937559E-3</v>
      </c>
      <c r="L113">
        <f>C2285</f>
        <v>-1.92348504424608E-4</v>
      </c>
      <c r="M113">
        <f t="shared" si="7"/>
        <v>7.8412353142801455E-3</v>
      </c>
      <c r="N113">
        <f>D2285</f>
        <v>-1.6465518892408538E-2</v>
      </c>
      <c r="O113">
        <f>AVERAGEIFS(E2285:E2305,E2285:E2305,"&lt;=" &amp; N113)</f>
        <v>-1.6836829957658155E-2</v>
      </c>
      <c r="P113">
        <v>116.68341064453125</v>
      </c>
      <c r="Q113">
        <v>17.139849999999999</v>
      </c>
      <c r="R113">
        <f t="shared" si="6"/>
        <v>132.00209045410156</v>
      </c>
      <c r="S113">
        <v>7.8412353142801455E-3</v>
      </c>
      <c r="T113">
        <v>13.71</v>
      </c>
      <c r="V113" t="s">
        <v>235</v>
      </c>
      <c r="W113">
        <v>-1.2771739758881304E-2</v>
      </c>
      <c r="X113">
        <v>4.6564497131829146E-3</v>
      </c>
      <c r="Y113">
        <v>-2.7428063321983531</v>
      </c>
      <c r="Z113">
        <v>6.7041009804387607E-3</v>
      </c>
      <c r="AA113">
        <v>-2.1959646301908171E-2</v>
      </c>
      <c r="AB113">
        <v>-3.5838332158544366E-3</v>
      </c>
      <c r="AC113">
        <v>-2.1959646301908171E-2</v>
      </c>
      <c r="AD113">
        <v>-3.5838332158544366E-3</v>
      </c>
    </row>
    <row r="114" spans="1:30" ht="15" thickBot="1" x14ac:dyDescent="0.4">
      <c r="A114" t="s">
        <v>20</v>
      </c>
      <c r="E114">
        <v>1.6351394011257372E-2</v>
      </c>
      <c r="F114">
        <f t="shared" si="4"/>
        <v>-2.0671691646806774E-2</v>
      </c>
      <c r="G114">
        <f t="shared" si="5"/>
        <v>-3.2199781279178288E-2</v>
      </c>
      <c r="J114" s="2" t="s">
        <v>126</v>
      </c>
      <c r="K114">
        <f>B2306</f>
        <v>5.3948577004842872E-3</v>
      </c>
      <c r="L114">
        <f>C2306</f>
        <v>1.7560773382659461E-3</v>
      </c>
      <c r="M114">
        <f t="shared" si="7"/>
        <v>7.4138009376937559E-3</v>
      </c>
      <c r="N114">
        <f>D2306</f>
        <v>-7.6529148535249333E-3</v>
      </c>
      <c r="O114">
        <f>AVERAGEIFS(E2306:E2325,E2306:E2325,"&lt;=" &amp; N114)</f>
        <v>-7.6631153974923783E-3</v>
      </c>
      <c r="P114">
        <v>130.68490600585938</v>
      </c>
      <c r="Q114">
        <v>14.876429999999999</v>
      </c>
      <c r="R114">
        <f t="shared" si="6"/>
        <v>116.68341064453125</v>
      </c>
      <c r="S114">
        <v>7.4138009376937559E-3</v>
      </c>
      <c r="T114">
        <v>13.12</v>
      </c>
      <c r="V114" s="6" t="s">
        <v>248</v>
      </c>
      <c r="W114" s="6">
        <v>-7.5627017491371469E-5</v>
      </c>
      <c r="X114" s="6">
        <v>3.2408840403862995E-5</v>
      </c>
      <c r="Y114" s="6">
        <v>-2.3335304981278209</v>
      </c>
      <c r="Z114" s="6">
        <v>2.0718750806202859E-2</v>
      </c>
      <c r="AA114" s="6">
        <v>-1.3957474916246603E-4</v>
      </c>
      <c r="AB114" s="6">
        <v>-1.1679285820276905E-5</v>
      </c>
      <c r="AC114" s="6">
        <v>-1.3957474916246603E-4</v>
      </c>
      <c r="AD114" s="6">
        <v>-1.1679285820276905E-5</v>
      </c>
    </row>
    <row r="115" spans="1:30" x14ac:dyDescent="0.35">
      <c r="A115" t="s">
        <v>20</v>
      </c>
      <c r="E115">
        <v>-6.0436831012570837E-3</v>
      </c>
      <c r="F115">
        <f t="shared" si="4"/>
        <v>-2.0672871240008259E-2</v>
      </c>
      <c r="G115">
        <f t="shared" si="5"/>
        <v>-3.2199781279178288E-2</v>
      </c>
      <c r="J115" s="2" t="s">
        <v>127</v>
      </c>
      <c r="K115">
        <f>B2326</f>
        <v>9.7768369432215761E-3</v>
      </c>
      <c r="L115">
        <f>C2326</f>
        <v>-3.0502382138229102E-3</v>
      </c>
      <c r="M115">
        <f t="shared" si="7"/>
        <v>5.3948577004842872E-3</v>
      </c>
      <c r="N115">
        <f>D2326</f>
        <v>-1.8628794623571542E-2</v>
      </c>
      <c r="O115">
        <f>AVERAGEIFS(E2326:E2345,E2326:E2345,"&lt;=" &amp; N115)</f>
        <v>-1.8719002760647294E-2</v>
      </c>
      <c r="P115">
        <v>123.73332214355469</v>
      </c>
      <c r="Q115">
        <v>19.446210000000001</v>
      </c>
      <c r="R115">
        <f t="shared" si="6"/>
        <v>130.68490600585938</v>
      </c>
      <c r="S115">
        <v>5.3948577004842872E-3</v>
      </c>
      <c r="T115">
        <v>18.71</v>
      </c>
    </row>
    <row r="116" spans="1:30" x14ac:dyDescent="0.35">
      <c r="A116" t="s">
        <v>20</v>
      </c>
      <c r="E116">
        <v>7.3874728926927539E-3</v>
      </c>
      <c r="F116">
        <f t="shared" si="4"/>
        <v>-2.0674050833209744E-2</v>
      </c>
      <c r="G116">
        <f t="shared" si="5"/>
        <v>-3.2199781279178288E-2</v>
      </c>
      <c r="J116" s="2" t="s">
        <v>128</v>
      </c>
      <c r="K116">
        <f>B2346</f>
        <v>5.2577394571302217E-3</v>
      </c>
      <c r="L116">
        <f>C2346</f>
        <v>1.1253634535351635E-3</v>
      </c>
      <c r="M116">
        <f t="shared" si="7"/>
        <v>9.7768369432215761E-3</v>
      </c>
      <c r="N116">
        <f>D2346</f>
        <v>-6.8209738480603313E-3</v>
      </c>
      <c r="O116">
        <f>AVERAGEIFS(E2346:E2364,E2346:E2364,"&lt;=" &amp; N116)</f>
        <v>-6.8209738480603313E-3</v>
      </c>
      <c r="P116">
        <v>116.38347625732422</v>
      </c>
      <c r="Q116">
        <v>15.600680000000001</v>
      </c>
      <c r="R116">
        <f t="shared" si="6"/>
        <v>123.73332214355469</v>
      </c>
      <c r="S116">
        <v>9.7768369432215761E-3</v>
      </c>
      <c r="T116">
        <v>15.08</v>
      </c>
    </row>
    <row r="117" spans="1:30" x14ac:dyDescent="0.35">
      <c r="A117" t="s">
        <v>20</v>
      </c>
      <c r="E117">
        <v>2.1970884127157059E-2</v>
      </c>
      <c r="F117">
        <f t="shared" si="4"/>
        <v>-2.0675230426411229E-2</v>
      </c>
      <c r="G117">
        <f t="shared" si="5"/>
        <v>-3.2199781279178288E-2</v>
      </c>
      <c r="J117" s="2" t="s">
        <v>129</v>
      </c>
      <c r="K117">
        <f>B2365</f>
        <v>7.9264404952012792E-3</v>
      </c>
      <c r="L117">
        <f>C2365</f>
        <v>-1.0902560081688384E-3</v>
      </c>
      <c r="M117">
        <f t="shared" si="7"/>
        <v>5.2577394571302217E-3</v>
      </c>
      <c r="N117">
        <f>D2365</f>
        <v>-2.2104438204009248E-2</v>
      </c>
      <c r="O117">
        <f>AVERAGEIFS(E2365:E2387,E2365:E2387,"&lt;=" &amp; N117)</f>
        <v>-2.5141418716646401E-2</v>
      </c>
      <c r="P117">
        <v>132.63291931152344</v>
      </c>
      <c r="Q117">
        <v>16.014189999999999</v>
      </c>
      <c r="R117">
        <f t="shared" si="6"/>
        <v>116.38347625732422</v>
      </c>
      <c r="S117">
        <v>5.2577394571302217E-3</v>
      </c>
      <c r="T117">
        <v>16.12</v>
      </c>
    </row>
    <row r="118" spans="1:30" x14ac:dyDescent="0.35">
      <c r="A118" t="s">
        <v>20</v>
      </c>
      <c r="E118">
        <v>9.9882588751200874E-3</v>
      </c>
      <c r="F118">
        <f t="shared" si="4"/>
        <v>-2.0676410019612713E-2</v>
      </c>
      <c r="G118">
        <f t="shared" si="5"/>
        <v>-3.2199781279178288E-2</v>
      </c>
      <c r="J118" s="2" t="s">
        <v>130</v>
      </c>
      <c r="K118">
        <f>B2388</f>
        <v>1.0821735351736878E-2</v>
      </c>
      <c r="L118">
        <f>C2388</f>
        <v>-8.8902976989677985E-4</v>
      </c>
      <c r="M118">
        <f t="shared" si="7"/>
        <v>7.9264404952012792E-3</v>
      </c>
      <c r="N118">
        <f>D2388</f>
        <v>-1.980905683199671E-2</v>
      </c>
      <c r="O118">
        <f>AVERAGEIFS(E2388:E2407,E2388:E2407,"&lt;=" &amp; N118)</f>
        <v>-2.0026456555646922E-2</v>
      </c>
      <c r="P118">
        <v>128.254638671875</v>
      </c>
      <c r="Q118">
        <v>19.413709999999998</v>
      </c>
      <c r="R118">
        <f t="shared" si="6"/>
        <v>132.63291931152344</v>
      </c>
      <c r="S118">
        <v>7.9264404952012792E-3</v>
      </c>
      <c r="T118">
        <v>18.98</v>
      </c>
      <c r="V118" t="s">
        <v>225</v>
      </c>
    </row>
    <row r="119" spans="1:30" ht="15" thickBot="1" x14ac:dyDescent="0.4">
      <c r="A119" t="s">
        <v>20</v>
      </c>
      <c r="E119">
        <v>-5.555569844601994E-3</v>
      </c>
      <c r="F119">
        <f t="shared" si="4"/>
        <v>-2.0677589612814202E-2</v>
      </c>
      <c r="G119">
        <f t="shared" si="5"/>
        <v>-3.2199781279178288E-2</v>
      </c>
      <c r="J119" s="2" t="s">
        <v>131</v>
      </c>
      <c r="K119">
        <f>B2408</f>
        <v>6.1332889793965506E-3</v>
      </c>
      <c r="L119">
        <f>C2408</f>
        <v>2.2772876234875431E-3</v>
      </c>
      <c r="M119">
        <f t="shared" si="7"/>
        <v>1.0821735351736878E-2</v>
      </c>
      <c r="N119">
        <f>D2408</f>
        <v>-9.4351244813064717E-3</v>
      </c>
      <c r="O119">
        <f>AVERAGEIFS(E2408:E2428,E2408:E2428,"&lt;=" &amp; N119)</f>
        <v>-9.4448719962749485E-3</v>
      </c>
      <c r="P119">
        <v>164.82621765136719</v>
      </c>
      <c r="Q119">
        <v>17.257490000000001</v>
      </c>
      <c r="R119">
        <f t="shared" si="6"/>
        <v>128.254638671875</v>
      </c>
      <c r="S119">
        <v>1.0821735351736878E-2</v>
      </c>
      <c r="T119">
        <v>16.239999999999998</v>
      </c>
    </row>
    <row r="120" spans="1:30" x14ac:dyDescent="0.35">
      <c r="A120" t="s">
        <v>20</v>
      </c>
      <c r="E120">
        <v>-1.3074183448694283E-2</v>
      </c>
      <c r="F120">
        <f t="shared" si="4"/>
        <v>-2.0678769206015687E-2</v>
      </c>
      <c r="G120">
        <f t="shared" si="5"/>
        <v>-3.2199781279178288E-2</v>
      </c>
      <c r="J120" s="2" t="s">
        <v>132</v>
      </c>
      <c r="K120">
        <f>B2429</f>
        <v>9.9472537539794046E-3</v>
      </c>
      <c r="L120">
        <f>C2429</f>
        <v>6.3383478780958482E-5</v>
      </c>
      <c r="M120">
        <f t="shared" si="7"/>
        <v>6.1332889793965506E-3</v>
      </c>
      <c r="N120">
        <f>D2429</f>
        <v>-2.5714706493313668E-2</v>
      </c>
      <c r="O120">
        <f>AVERAGEIFS(E2429:E2450,E2429:E2450,"&lt;=" &amp; N120)</f>
        <v>-2.8068951558240022E-2</v>
      </c>
      <c r="P120">
        <v>157.70330810546875</v>
      </c>
      <c r="Q120">
        <v>15.372450000000001</v>
      </c>
      <c r="R120">
        <f t="shared" si="6"/>
        <v>164.82621765136719</v>
      </c>
      <c r="S120">
        <v>6.1332889793965506E-3</v>
      </c>
      <c r="T120">
        <v>13.22</v>
      </c>
      <c r="V120" s="8" t="s">
        <v>226</v>
      </c>
      <c r="W120" s="8"/>
    </row>
    <row r="121" spans="1:30" x14ac:dyDescent="0.35">
      <c r="A121" t="s">
        <v>20</v>
      </c>
      <c r="E121">
        <v>-3.0763756108458488E-2</v>
      </c>
      <c r="F121">
        <f t="shared" si="4"/>
        <v>-2.0700086384439639E-2</v>
      </c>
      <c r="G121">
        <f t="shared" si="5"/>
        <v>-3.2262395475228092E-2</v>
      </c>
      <c r="J121" s="2" t="s">
        <v>133</v>
      </c>
      <c r="K121">
        <f>B2451</f>
        <v>5.5886073023170583E-3</v>
      </c>
      <c r="L121">
        <f>C2451</f>
        <v>4.8362811257791948E-4</v>
      </c>
      <c r="M121">
        <f t="shared" si="7"/>
        <v>9.9472537539794046E-3</v>
      </c>
      <c r="N121">
        <f>D2451</f>
        <v>-1.1791279031410376E-2</v>
      </c>
      <c r="O121">
        <f>AVERAGEIFS(E2451:E2471,E2451:E2471,"&lt;=" &amp; N121)</f>
        <v>-1.2129091682768231E-2</v>
      </c>
      <c r="P121">
        <v>164.8609619140625</v>
      </c>
      <c r="Q121">
        <v>14.51248</v>
      </c>
      <c r="R121">
        <f t="shared" si="6"/>
        <v>157.70330810546875</v>
      </c>
      <c r="S121">
        <v>9.9472537539794046E-3</v>
      </c>
      <c r="T121">
        <v>12.62</v>
      </c>
      <c r="V121" t="s">
        <v>227</v>
      </c>
      <c r="W121">
        <v>0.44940605193399857</v>
      </c>
    </row>
    <row r="122" spans="1:30" x14ac:dyDescent="0.35">
      <c r="A122" t="s">
        <v>20</v>
      </c>
      <c r="E122">
        <v>-5.3866197239267636E-3</v>
      </c>
      <c r="F122">
        <f t="shared" si="4"/>
        <v>-2.0657536528388944E-2</v>
      </c>
      <c r="G122">
        <f t="shared" si="5"/>
        <v>-3.2207585763801769E-2</v>
      </c>
      <c r="J122" s="2" t="s">
        <v>134</v>
      </c>
      <c r="K122">
        <f>B2472</f>
        <v>9.1926746778263693E-3</v>
      </c>
      <c r="L122">
        <f>C2472</f>
        <v>1.526917429378845E-3</v>
      </c>
      <c r="M122">
        <f t="shared" si="7"/>
        <v>5.5886073023170583E-3</v>
      </c>
      <c r="N122">
        <f>D2472</f>
        <v>-1.0909497355400945E-2</v>
      </c>
      <c r="O122">
        <f>AVERAGEIFS(E2472:E2489,E2472:E2489,"&lt;=" &amp; N122)</f>
        <v>-2.1148057216483194E-2</v>
      </c>
      <c r="P122">
        <v>144.70758056640625</v>
      </c>
      <c r="Q122">
        <v>15.644729999999999</v>
      </c>
      <c r="R122">
        <f t="shared" si="6"/>
        <v>164.8609619140625</v>
      </c>
      <c r="S122">
        <v>5.5886073023170583E-3</v>
      </c>
      <c r="T122">
        <v>13.78</v>
      </c>
      <c r="V122" t="s">
        <v>228</v>
      </c>
      <c r="W122">
        <v>0.20196579951490384</v>
      </c>
      <c r="Y122" t="s">
        <v>385</v>
      </c>
    </row>
    <row r="123" spans="1:30" x14ac:dyDescent="0.35">
      <c r="A123" t="s">
        <v>20</v>
      </c>
      <c r="E123">
        <v>1.5970376106117557E-2</v>
      </c>
      <c r="F123">
        <f t="shared" si="4"/>
        <v>-2.0658716121590429E-2</v>
      </c>
      <c r="G123">
        <f t="shared" si="5"/>
        <v>-3.2207585763801769E-2</v>
      </c>
      <c r="J123" s="2" t="s">
        <v>135</v>
      </c>
      <c r="K123">
        <f>B2490</f>
        <v>7.5175838275197988E-3</v>
      </c>
      <c r="L123">
        <f>C2490</f>
        <v>-1.1720811953275768E-3</v>
      </c>
      <c r="M123">
        <f t="shared" si="7"/>
        <v>9.1926746778263693E-3</v>
      </c>
      <c r="N123">
        <f>D2490</f>
        <v>-1.932802699600147E-2</v>
      </c>
      <c r="O123">
        <f>AVERAGEIFS(E2490:E2511,E2490:E2511,"&lt;=" &amp; N123)</f>
        <v>-2.0678769206015687E-2</v>
      </c>
      <c r="P123">
        <v>142.4266357421875</v>
      </c>
      <c r="Q123">
        <v>19.012</v>
      </c>
      <c r="R123">
        <f t="shared" si="6"/>
        <v>144.70758056640625</v>
      </c>
      <c r="S123">
        <v>9.1926746778263693E-3</v>
      </c>
      <c r="T123">
        <v>18.84</v>
      </c>
      <c r="V123" t="s">
        <v>228</v>
      </c>
      <c r="W123">
        <v>0.18859092464643856</v>
      </c>
    </row>
    <row r="124" spans="1:30" x14ac:dyDescent="0.35">
      <c r="A124" t="s">
        <v>20</v>
      </c>
      <c r="E124">
        <v>-5.6049769303615167E-2</v>
      </c>
      <c r="F124">
        <f t="shared" si="4"/>
        <v>-2.0659895714791918E-2</v>
      </c>
      <c r="G124">
        <f t="shared" si="5"/>
        <v>-3.2207585763801769E-2</v>
      </c>
      <c r="J124" s="2" t="s">
        <v>136</v>
      </c>
      <c r="K124">
        <f>B2512</f>
        <v>1.6928566873384201E-2</v>
      </c>
      <c r="L124">
        <f>C2512</f>
        <v>-3.565140426067885E-3</v>
      </c>
      <c r="M124">
        <f t="shared" si="7"/>
        <v>7.5175838275197988E-3</v>
      </c>
      <c r="N124">
        <f>D2512</f>
        <v>-4.13152059205436E-2</v>
      </c>
      <c r="O124">
        <f>AVERAGEIFS(E2512:E2531,E2512:E2531,"&lt;=" &amp; N124)</f>
        <v>-4.1586398867063716E-2</v>
      </c>
      <c r="P124">
        <v>136.22872924804688</v>
      </c>
      <c r="Q124">
        <v>46.46481</v>
      </c>
      <c r="R124">
        <f t="shared" si="6"/>
        <v>142.4266357421875</v>
      </c>
      <c r="S124">
        <v>7.5175838275197988E-3</v>
      </c>
      <c r="T124">
        <v>40.11</v>
      </c>
      <c r="V124" t="s">
        <v>229</v>
      </c>
      <c r="W124">
        <v>1.247389361536704E-2</v>
      </c>
    </row>
    <row r="125" spans="1:30" ht="15" thickBot="1" x14ac:dyDescent="0.4">
      <c r="A125" t="s">
        <v>20</v>
      </c>
      <c r="E125">
        <v>1.1181306038913909E-2</v>
      </c>
      <c r="F125">
        <f t="shared" si="4"/>
        <v>-2.0499081150274011E-2</v>
      </c>
      <c r="G125">
        <f t="shared" si="5"/>
        <v>-3.201522385096682E-2</v>
      </c>
      <c r="J125" s="2" t="s">
        <v>137</v>
      </c>
      <c r="K125">
        <f>B2285</f>
        <v>7.4138009376937559E-3</v>
      </c>
      <c r="L125">
        <f>C2285</f>
        <v>-1.92348504424608E-4</v>
      </c>
      <c r="M125">
        <f t="shared" si="7"/>
        <v>1.6928566873384201E-2</v>
      </c>
      <c r="N125">
        <f>D2285</f>
        <v>-1.6465518892408538E-2</v>
      </c>
      <c r="O125">
        <f>AVERAGEIFS(E2532:E2553,E2532:E2553,"&lt;=" &amp; N125)</f>
        <v>-5.3420508999243686E-2</v>
      </c>
      <c r="P125">
        <v>251.94215393066406</v>
      </c>
      <c r="Q125">
        <v>53.310940000000002</v>
      </c>
      <c r="R125">
        <f t="shared" si="6"/>
        <v>136.22872924804688</v>
      </c>
      <c r="S125">
        <v>1.6928566873384201E-2</v>
      </c>
      <c r="T125">
        <v>53.54</v>
      </c>
      <c r="V125" s="6" t="s">
        <v>230</v>
      </c>
      <c r="W125" s="6">
        <v>183</v>
      </c>
    </row>
    <row r="126" spans="1:30" x14ac:dyDescent="0.35">
      <c r="A126" t="s">
        <v>21</v>
      </c>
      <c r="B126" s="3" cm="1">
        <f t="array" ref="B126">_xlfn.STDEV.S(_xlfn._xlws.FILTER($E$2:$E$1000, $A$2:$A$1000="2010-07"))</f>
        <v>1.4763016489864233E-2</v>
      </c>
      <c r="C126" s="3" cm="1">
        <f t="array" ref="C126">AVERAGE(_xlfn._xlws.FILTER($E$2:$E$1000, $A$2:$A$1000="2010-07"))</f>
        <v>5.6947753395101388E-3</v>
      </c>
      <c r="D126" s="3" cm="1">
        <f t="array" ref="D126">_xlfn.PERCENTILE.EXC(_xlfn._xlws.FILTER($E$126:$E$252, $A$126:$A$252="2010-07"), 0.05)</f>
        <v>-1.6479167440148466E-2</v>
      </c>
      <c r="E126">
        <v>-9.2400449186611135E-3</v>
      </c>
      <c r="F126">
        <f t="shared" si="4"/>
        <v>-2.0509487563054804E-2</v>
      </c>
      <c r="G126">
        <f t="shared" si="5"/>
        <v>-3.201522385096682E-2</v>
      </c>
      <c r="J126" s="4" t="s">
        <v>138</v>
      </c>
      <c r="K126" s="3">
        <f>B2554</f>
        <v>2.1292476967355044E-2</v>
      </c>
      <c r="L126" s="3">
        <f>C2554</f>
        <v>9.987419612960968E-4</v>
      </c>
      <c r="M126">
        <f t="shared" si="7"/>
        <v>7.4138009376937559E-3</v>
      </c>
      <c r="N126" s="3">
        <f>D2554</f>
        <v>-3.8202639124834709E-2</v>
      </c>
      <c r="O126" s="3">
        <f>AVERAGEIFS(E2554:E2573,E2554:E2573,"&lt;=" &amp; N126)</f>
        <v>-3.8590689112776008E-2</v>
      </c>
      <c r="P126" s="3">
        <v>253.05889892578125</v>
      </c>
      <c r="Q126" s="3">
        <v>37.087910000000001</v>
      </c>
      <c r="R126">
        <f t="shared" si="6"/>
        <v>251.94215393066406</v>
      </c>
      <c r="S126">
        <v>7.4138009376937559E-3</v>
      </c>
      <c r="T126" s="3">
        <v>34.15</v>
      </c>
    </row>
    <row r="127" spans="1:30" ht="15" thickBot="1" x14ac:dyDescent="0.4">
      <c r="A127" t="s">
        <v>21</v>
      </c>
      <c r="E127">
        <v>7.8789272959418413E-3</v>
      </c>
      <c r="F127">
        <f t="shared" si="4"/>
        <v>-2.0519893975835604E-2</v>
      </c>
      <c r="G127">
        <f t="shared" si="5"/>
        <v>-3.201522385096682E-2</v>
      </c>
      <c r="J127" s="2" t="s">
        <v>139</v>
      </c>
      <c r="K127">
        <f>B2574</f>
        <v>2.2226282849092258E-2</v>
      </c>
      <c r="L127">
        <f>C2574</f>
        <v>1.3807566893363303E-3</v>
      </c>
      <c r="M127">
        <f t="shared" si="7"/>
        <v>2.1292476967355044E-2</v>
      </c>
      <c r="N127">
        <f>D2574</f>
        <v>-2.7107448971331053E-2</v>
      </c>
      <c r="O127">
        <f>AVERAGEIFS(E2574:E2591,E2574:E2591,"&lt;=" &amp; N127)</f>
        <v>-3.6633594147626597E-2</v>
      </c>
      <c r="P127">
        <v>261.6097412109375</v>
      </c>
      <c r="Q127">
        <v>34.543970000000002</v>
      </c>
      <c r="R127">
        <f t="shared" si="6"/>
        <v>253.05889892578125</v>
      </c>
      <c r="S127">
        <v>2.1292476967355044E-2</v>
      </c>
      <c r="T127">
        <v>27.51</v>
      </c>
      <c r="V127" t="s">
        <v>231</v>
      </c>
    </row>
    <row r="128" spans="1:30" x14ac:dyDescent="0.35">
      <c r="A128" t="s">
        <v>21</v>
      </c>
      <c r="E128">
        <v>3.313137396061218E-3</v>
      </c>
      <c r="F128">
        <f t="shared" si="4"/>
        <v>-2.0530300388616401E-2</v>
      </c>
      <c r="G128">
        <f t="shared" si="5"/>
        <v>-3.201522385096682E-2</v>
      </c>
      <c r="J128" s="2" t="s">
        <v>140</v>
      </c>
      <c r="K128">
        <f>B2592</f>
        <v>2.291695451356051E-2</v>
      </c>
      <c r="L128">
        <f>C2592</f>
        <v>8.9671191853226621E-4</v>
      </c>
      <c r="M128">
        <f t="shared" si="7"/>
        <v>2.2226282849092258E-2</v>
      </c>
      <c r="N128">
        <f>D2592</f>
        <v>-4.9818398171696546E-2</v>
      </c>
      <c r="O128">
        <f>AVERAGEIFS(E2592:E2612,E2592:E2612,"&lt;=" &amp; N128)</f>
        <v>-5.1664893376763735E-2</v>
      </c>
      <c r="P128">
        <v>202.88333129882813</v>
      </c>
      <c r="Q128">
        <v>35.660429999999998</v>
      </c>
      <c r="R128">
        <f t="shared" si="6"/>
        <v>261.6097412109375</v>
      </c>
      <c r="S128">
        <v>2.2226282849092258E-2</v>
      </c>
      <c r="T128">
        <v>30.43</v>
      </c>
      <c r="V128" s="7"/>
      <c r="W128" s="7" t="s">
        <v>236</v>
      </c>
      <c r="X128" s="7" t="s">
        <v>237</v>
      </c>
      <c r="Y128" s="7" t="s">
        <v>238</v>
      </c>
      <c r="Z128" s="7" t="s">
        <v>239</v>
      </c>
      <c r="AA128" s="7" t="s">
        <v>240</v>
      </c>
    </row>
    <row r="129" spans="1:30" x14ac:dyDescent="0.35">
      <c r="A129" t="s">
        <v>21</v>
      </c>
      <c r="E129">
        <v>3.5301207373602178E-2</v>
      </c>
      <c r="F129">
        <f t="shared" si="4"/>
        <v>-2.0540706801397201E-2</v>
      </c>
      <c r="G129">
        <f t="shared" si="5"/>
        <v>-3.201522385096682E-2</v>
      </c>
      <c r="J129" s="2" t="s">
        <v>141</v>
      </c>
      <c r="K129">
        <f>B2613</f>
        <v>1.543141194826932E-2</v>
      </c>
      <c r="L129">
        <f>C2613</f>
        <v>-2.1822600653339567E-3</v>
      </c>
      <c r="M129">
        <f t="shared" si="7"/>
        <v>2.291695451356051E-2</v>
      </c>
      <c r="N129">
        <f>D2613</f>
        <v>-2.7050688499664261E-2</v>
      </c>
      <c r="O129">
        <f>AVERAGEIFS(E2613:E2635,E2613:E2635,"&lt;=" &amp; N129)</f>
        <v>-2.9517449817446858E-2</v>
      </c>
      <c r="P129">
        <v>181.4896240234375</v>
      </c>
      <c r="Q129">
        <v>31.437750000000001</v>
      </c>
      <c r="R129">
        <f t="shared" si="6"/>
        <v>202.88333129882813</v>
      </c>
      <c r="S129">
        <v>2.291695451356051E-2</v>
      </c>
      <c r="T129">
        <v>24.46</v>
      </c>
      <c r="V129" t="s">
        <v>232</v>
      </c>
      <c r="W129">
        <v>3</v>
      </c>
      <c r="X129">
        <v>7.0487714936947089E-3</v>
      </c>
      <c r="Y129">
        <v>2.3495904978982365E-3</v>
      </c>
      <c r="Z129">
        <v>15.100387966327078</v>
      </c>
      <c r="AA129">
        <v>8.3740040999984589E-9</v>
      </c>
    </row>
    <row r="130" spans="1:30" x14ac:dyDescent="0.35">
      <c r="A130" t="s">
        <v>21</v>
      </c>
      <c r="E130">
        <v>3.7999919485879913E-2</v>
      </c>
      <c r="F130">
        <f t="shared" si="4"/>
        <v>-2.0551113214177998E-2</v>
      </c>
      <c r="G130">
        <f t="shared" si="5"/>
        <v>-3.201522385096682E-2</v>
      </c>
      <c r="J130" s="2" t="s">
        <v>142</v>
      </c>
      <c r="K130">
        <f>B2636</f>
        <v>1.1246922856038987E-2</v>
      </c>
      <c r="L130">
        <f>C2636</f>
        <v>1.8245614876114806E-3</v>
      </c>
      <c r="M130">
        <f t="shared" si="7"/>
        <v>1.543141194826932E-2</v>
      </c>
      <c r="N130">
        <f>D2636</f>
        <v>-1.4289984901084693E-2</v>
      </c>
      <c r="O130">
        <f>AVERAGEIFS(E2636:E2655,E2636:E2655,"&lt;=" &amp; N130)</f>
        <v>-1.4339096871343635E-2</v>
      </c>
      <c r="P130">
        <v>175.0711669921875</v>
      </c>
      <c r="Q130">
        <v>31.91592</v>
      </c>
      <c r="R130">
        <f t="shared" si="6"/>
        <v>181.4896240234375</v>
      </c>
      <c r="S130">
        <v>1.543141194826932E-2</v>
      </c>
      <c r="T130">
        <v>26.41</v>
      </c>
      <c r="V130" t="s">
        <v>233</v>
      </c>
      <c r="W130">
        <v>179</v>
      </c>
      <c r="X130">
        <v>2.7852045925021534E-2</v>
      </c>
      <c r="Y130">
        <v>1.5559802192749461E-4</v>
      </c>
    </row>
    <row r="131" spans="1:30" ht="15" thickBot="1" x14ac:dyDescent="0.4">
      <c r="A131" t="s">
        <v>21</v>
      </c>
      <c r="E131">
        <v>9.2785660610059644E-3</v>
      </c>
      <c r="F131">
        <f t="shared" si="4"/>
        <v>-2.0561519626958794E-2</v>
      </c>
      <c r="G131">
        <f t="shared" si="5"/>
        <v>-3.201522385096682E-2</v>
      </c>
      <c r="J131" s="2" t="s">
        <v>143</v>
      </c>
      <c r="K131">
        <f>B2656</f>
        <v>1.365347145729018E-2</v>
      </c>
      <c r="L131">
        <f>C2656</f>
        <v>-2.7340831444950002E-3</v>
      </c>
      <c r="M131">
        <f t="shared" si="7"/>
        <v>1.1246922856038987E-2</v>
      </c>
      <c r="N131">
        <f>D2656</f>
        <v>-3.3392029411408661E-2</v>
      </c>
      <c r="O131">
        <f>AVERAGEIFS(E2656:E2677,E2656:E2677,"&lt;=" &amp; N131)</f>
        <v>-3.4873340989394194E-2</v>
      </c>
      <c r="P131">
        <v>179.47554016113281</v>
      </c>
      <c r="Q131">
        <v>30.5473</v>
      </c>
      <c r="R131">
        <f t="shared" si="6"/>
        <v>175.0711669921875</v>
      </c>
      <c r="S131">
        <v>1.1246922856038987E-2</v>
      </c>
      <c r="T131">
        <v>26.37</v>
      </c>
      <c r="V131" s="6" t="s">
        <v>234</v>
      </c>
      <c r="W131" s="6">
        <v>182</v>
      </c>
      <c r="X131" s="6">
        <v>3.4900817418716243E-2</v>
      </c>
      <c r="Y131" s="6"/>
      <c r="Z131" s="6"/>
      <c r="AA131" s="6"/>
    </row>
    <row r="132" spans="1:30" ht="15" thickBot="1" x14ac:dyDescent="0.4">
      <c r="A132" t="s">
        <v>21</v>
      </c>
      <c r="E132">
        <v>4.6318831017626745E-3</v>
      </c>
      <c r="F132">
        <f t="shared" ref="F132:F195" si="8">_xlfn.PERCENTILE.EXC(E132:E3947,0.05)</f>
        <v>-2.0571926039739594E-2</v>
      </c>
      <c r="G132">
        <f t="shared" ref="G132:G195" si="9">AVERAGEIFS(E132:E3948,E132:E3948,"&lt;=" &amp; F132)</f>
        <v>-3.201522385096682E-2</v>
      </c>
      <c r="J132" s="2" t="s">
        <v>144</v>
      </c>
      <c r="K132">
        <f>B2678</f>
        <v>1.1941619691261358E-2</v>
      </c>
      <c r="L132">
        <f>C2678</f>
        <v>-1.8254961906531606E-3</v>
      </c>
      <c r="M132">
        <f t="shared" si="7"/>
        <v>1.365347145729018E-2</v>
      </c>
      <c r="N132">
        <f>D2678</f>
        <v>-2.6161072561919237E-2</v>
      </c>
      <c r="O132">
        <f>AVERAGEIFS(E2678:E2699,E2678:E2699,"&lt;=" &amp; N132)</f>
        <v>-2.6956385084782004E-2</v>
      </c>
      <c r="P132">
        <v>223.81822204589844</v>
      </c>
      <c r="Q132">
        <v>41.165349999999997</v>
      </c>
      <c r="R132">
        <f t="shared" si="6"/>
        <v>179.47554016113281</v>
      </c>
      <c r="S132">
        <v>1.365347145729018E-2</v>
      </c>
      <c r="T132">
        <v>38.020000000000003</v>
      </c>
    </row>
    <row r="133" spans="1:30" x14ac:dyDescent="0.35">
      <c r="A133" t="s">
        <v>21</v>
      </c>
      <c r="E133">
        <v>-6.8465254683956148E-3</v>
      </c>
      <c r="F133">
        <f t="shared" si="8"/>
        <v>-2.0582332452520388E-2</v>
      </c>
      <c r="G133">
        <f t="shared" si="9"/>
        <v>-3.201522385096682E-2</v>
      </c>
      <c r="J133" s="2" t="s">
        <v>145</v>
      </c>
      <c r="K133">
        <f>B2700</f>
        <v>2.1035757332501317E-2</v>
      </c>
      <c r="L133">
        <f>C2700</f>
        <v>1.0694617982209819E-2</v>
      </c>
      <c r="M133">
        <f t="shared" si="7"/>
        <v>1.1941619691261358E-2</v>
      </c>
      <c r="N133">
        <f>D2700</f>
        <v>-1.3464550952595442E-2</v>
      </c>
      <c r="O133">
        <f>AVERAGEIFS(E2700:E2720,E2700:E2720,"&lt;=" &amp; N133)</f>
        <v>-1.3991228749040657E-2</v>
      </c>
      <c r="P133">
        <v>175.02067565917969</v>
      </c>
      <c r="Q133">
        <v>27.392469999999999</v>
      </c>
      <c r="R133">
        <f t="shared" ref="R133:R186" si="10">P132</f>
        <v>223.81822204589844</v>
      </c>
      <c r="S133">
        <v>1.1941619691261358E-2</v>
      </c>
      <c r="T133">
        <v>20.57</v>
      </c>
      <c r="V133" s="7"/>
      <c r="W133" s="7" t="s">
        <v>241</v>
      </c>
      <c r="X133" s="7" t="s">
        <v>229</v>
      </c>
      <c r="Y133" s="7" t="s">
        <v>242</v>
      </c>
      <c r="Z133" s="7" t="s">
        <v>243</v>
      </c>
      <c r="AA133" s="7" t="s">
        <v>244</v>
      </c>
      <c r="AB133" s="7" t="s">
        <v>245</v>
      </c>
      <c r="AC133" s="7" t="s">
        <v>246</v>
      </c>
      <c r="AD133" s="7" t="s">
        <v>247</v>
      </c>
    </row>
    <row r="134" spans="1:30" x14ac:dyDescent="0.35">
      <c r="A134" t="s">
        <v>21</v>
      </c>
      <c r="E134">
        <v>1.9815883390669357E-2</v>
      </c>
      <c r="F134">
        <f t="shared" si="8"/>
        <v>-2.0592738865301188E-2</v>
      </c>
      <c r="G134">
        <f t="shared" si="9"/>
        <v>-3.201522385096682E-2</v>
      </c>
      <c r="J134" s="2" t="s">
        <v>146</v>
      </c>
      <c r="K134">
        <f>B2721</f>
        <v>1.2445248587459519E-2</v>
      </c>
      <c r="L134">
        <f>C2721</f>
        <v>5.0260649068516671E-4</v>
      </c>
      <c r="M134">
        <f t="shared" ref="M134:M186" si="11">K133</f>
        <v>2.1035757332501317E-2</v>
      </c>
      <c r="N134">
        <f>D2721</f>
        <v>-3.1290462194586879E-2</v>
      </c>
      <c r="O134">
        <f>AVERAGEIFS(E2721:E2739,E2721:E2739,"&lt;=" &amp; N134)</f>
        <v>-3.1290462194586879E-2</v>
      </c>
      <c r="P134">
        <v>177.60514831542969</v>
      </c>
      <c r="Q134">
        <v>28.718160000000001</v>
      </c>
      <c r="R134">
        <f t="shared" si="10"/>
        <v>175.02067565917969</v>
      </c>
      <c r="S134">
        <v>2.1035757332501317E-2</v>
      </c>
      <c r="T134">
        <v>22.75</v>
      </c>
      <c r="V134" t="s">
        <v>235</v>
      </c>
      <c r="W134">
        <v>-5.9266567735023184E-3</v>
      </c>
      <c r="X134">
        <v>4.4118039721185972E-3</v>
      </c>
      <c r="Y134">
        <v>-1.3433635789253511</v>
      </c>
      <c r="Z134">
        <v>0.18085488604905348</v>
      </c>
      <c r="AA134">
        <v>-1.4632493524727331E-2</v>
      </c>
      <c r="AB134">
        <v>2.7791799777226942E-3</v>
      </c>
      <c r="AC134">
        <v>-1.4632493524727331E-2</v>
      </c>
      <c r="AD134">
        <v>2.7791799777226942E-3</v>
      </c>
    </row>
    <row r="135" spans="1:30" x14ac:dyDescent="0.35">
      <c r="A135" t="s">
        <v>21</v>
      </c>
      <c r="E135">
        <v>1.8502293719254135E-3</v>
      </c>
      <c r="F135">
        <f t="shared" si="8"/>
        <v>-2.0603145278081988E-2</v>
      </c>
      <c r="G135">
        <f t="shared" si="9"/>
        <v>-3.201522385096682E-2</v>
      </c>
      <c r="J135" s="2" t="s">
        <v>147</v>
      </c>
      <c r="K135">
        <f>B2740</f>
        <v>1.1963047653948651E-2</v>
      </c>
      <c r="L135">
        <f>C2740</f>
        <v>-2.4948770765834149E-3</v>
      </c>
      <c r="M135">
        <f t="shared" si="11"/>
        <v>1.2445248587459519E-2</v>
      </c>
      <c r="N135">
        <f>D2740</f>
        <v>-2.2065735418984721E-2</v>
      </c>
      <c r="O135">
        <f>AVERAGEIFS(E2740:E2759,E2740:E2759,"&lt;=" &amp; N135)</f>
        <v>-2.230812713481533E-2</v>
      </c>
      <c r="P135">
        <v>152.28349304199219</v>
      </c>
      <c r="Q135">
        <v>35.192749999999997</v>
      </c>
      <c r="R135">
        <f t="shared" si="10"/>
        <v>177.60514831542969</v>
      </c>
      <c r="S135">
        <v>1.2445248587459519E-2</v>
      </c>
      <c r="T135">
        <v>33.090000000000003</v>
      </c>
      <c r="V135" t="s">
        <v>248</v>
      </c>
      <c r="W135">
        <v>1.1156431551695598E-5</v>
      </c>
      <c r="X135">
        <v>3.2672268269785165E-5</v>
      </c>
      <c r="Y135">
        <v>0.34146486125705888</v>
      </c>
      <c r="Z135">
        <v>0.73315416637332198</v>
      </c>
      <c r="AA135">
        <v>-5.3315932960997737E-5</v>
      </c>
      <c r="AB135">
        <v>7.562879606438893E-5</v>
      </c>
      <c r="AC135">
        <v>-5.3315932960997737E-5</v>
      </c>
      <c r="AD135">
        <v>7.562879606438893E-5</v>
      </c>
    </row>
    <row r="136" spans="1:30" x14ac:dyDescent="0.35">
      <c r="A136" t="s">
        <v>21</v>
      </c>
      <c r="E136">
        <v>-1.1576207987632498E-2</v>
      </c>
      <c r="F136">
        <f t="shared" si="8"/>
        <v>-2.0613551690862781E-2</v>
      </c>
      <c r="G136">
        <f t="shared" si="9"/>
        <v>-3.201522385096682E-2</v>
      </c>
      <c r="J136" s="2" t="s">
        <v>148</v>
      </c>
      <c r="K136">
        <f>B2760</f>
        <v>1.0032151270132772E-2</v>
      </c>
      <c r="L136">
        <f>C2760</f>
        <v>2.9259089655518612E-3</v>
      </c>
      <c r="M136">
        <f t="shared" si="11"/>
        <v>1.1963047653948651E-2</v>
      </c>
      <c r="N136">
        <f>D2760</f>
        <v>-1.4298959509048989E-2</v>
      </c>
      <c r="O136">
        <f>AVERAGEIFS(E2760:E2779,E2760:E2779,"&lt;=" &amp; N136)</f>
        <v>-1.4461036318008795E-2</v>
      </c>
      <c r="P136">
        <v>148.29005432128906</v>
      </c>
      <c r="Q136">
        <v>32.450749999999999</v>
      </c>
      <c r="R136">
        <f t="shared" si="10"/>
        <v>152.28349304199219</v>
      </c>
      <c r="S136">
        <v>1.1963047653948651E-2</v>
      </c>
      <c r="T136">
        <v>27.95</v>
      </c>
      <c r="V136" t="s">
        <v>251</v>
      </c>
      <c r="W136">
        <v>-0.66064306896339831</v>
      </c>
      <c r="X136">
        <v>0.18330875965791046</v>
      </c>
      <c r="Y136">
        <v>-3.603990721426984</v>
      </c>
      <c r="Z136">
        <v>4.0600536759388982E-4</v>
      </c>
      <c r="AA136">
        <v>-1.0223672404670932</v>
      </c>
      <c r="AB136">
        <v>-0.29891889745970346</v>
      </c>
      <c r="AC136">
        <v>-1.0223672404670932</v>
      </c>
      <c r="AD136">
        <v>-0.29891889745970346</v>
      </c>
    </row>
    <row r="137" spans="1:30" ht="15" thickBot="1" x14ac:dyDescent="0.4">
      <c r="A137" t="s">
        <v>21</v>
      </c>
      <c r="E137">
        <v>-1.6723378642626806E-2</v>
      </c>
      <c r="F137">
        <f t="shared" si="8"/>
        <v>-2.0623958103643581E-2</v>
      </c>
      <c r="G137">
        <f t="shared" si="9"/>
        <v>-3.201522385096682E-2</v>
      </c>
      <c r="J137" s="2" t="s">
        <v>149</v>
      </c>
      <c r="K137">
        <f>B2780</f>
        <v>9.0869001315921939E-3</v>
      </c>
      <c r="L137">
        <f>C2780</f>
        <v>1.8372007325406533E-3</v>
      </c>
      <c r="M137">
        <f t="shared" si="11"/>
        <v>1.0032151270132772E-2</v>
      </c>
      <c r="N137">
        <f>D2780</f>
        <v>-1.7282859800945335E-2</v>
      </c>
      <c r="O137">
        <f>AVERAGEIFS(E2780:E2802,E2780:E2802,"&lt;=" &amp; N137)</f>
        <v>-1.775950219305179E-2</v>
      </c>
      <c r="P137">
        <v>153.37345886230469</v>
      </c>
      <c r="Q137">
        <v>21.119689999999999</v>
      </c>
      <c r="R137">
        <f t="shared" si="10"/>
        <v>148.29005432128906</v>
      </c>
      <c r="S137">
        <v>1.0032151270132772E-2</v>
      </c>
      <c r="T137">
        <v>19.399999999999999</v>
      </c>
      <c r="V137" s="6" t="s">
        <v>252</v>
      </c>
      <c r="W137" s="6">
        <v>-5.9372639847158227E-4</v>
      </c>
      <c r="X137" s="6">
        <v>1.5386730938076886E-4</v>
      </c>
      <c r="Y137" s="6">
        <v>-3.858690977706726</v>
      </c>
      <c r="Z137" s="6">
        <v>1.5896470304955915E-4</v>
      </c>
      <c r="AA137" s="6">
        <v>-8.9735359616322018E-4</v>
      </c>
      <c r="AB137" s="6">
        <v>-2.9009920077994442E-4</v>
      </c>
      <c r="AC137" s="6">
        <v>-8.9735359616322018E-4</v>
      </c>
      <c r="AD137" s="6">
        <v>-2.9009920077994442E-4</v>
      </c>
    </row>
    <row r="138" spans="1:30" x14ac:dyDescent="0.35">
      <c r="A138" t="s">
        <v>21</v>
      </c>
      <c r="E138">
        <v>-6.2144114859909666E-3</v>
      </c>
      <c r="F138">
        <f t="shared" si="8"/>
        <v>-2.0634364516424374E-2</v>
      </c>
      <c r="G138">
        <f t="shared" si="9"/>
        <v>-3.201522385096682E-2</v>
      </c>
      <c r="J138" s="2" t="s">
        <v>150</v>
      </c>
      <c r="K138">
        <f>B2803</f>
        <v>9.4429610307495502E-3</v>
      </c>
      <c r="L138">
        <f>C2803</f>
        <v>1.3510451174981448E-3</v>
      </c>
      <c r="M138">
        <f t="shared" si="11"/>
        <v>9.0869001315921939E-3</v>
      </c>
      <c r="N138">
        <f>D2803</f>
        <v>-2.8305069935539079E-2</v>
      </c>
      <c r="O138">
        <f>AVERAGEIFS(E2803:E2822,E2803:E2822,"&lt;=" &amp; N138)</f>
        <v>-2.9354263618326659E-2</v>
      </c>
      <c r="P138">
        <v>139.83242797851563</v>
      </c>
      <c r="Q138">
        <v>24.81278</v>
      </c>
      <c r="R138">
        <f t="shared" si="10"/>
        <v>153.37345886230469</v>
      </c>
      <c r="S138">
        <v>9.0869001315921939E-3</v>
      </c>
      <c r="T138">
        <v>18.61</v>
      </c>
    </row>
    <row r="139" spans="1:30" x14ac:dyDescent="0.35">
      <c r="A139" t="s">
        <v>21</v>
      </c>
      <c r="E139">
        <v>1.315604410755397E-2</v>
      </c>
      <c r="F139">
        <f t="shared" si="8"/>
        <v>-2.0644770929205174E-2</v>
      </c>
      <c r="G139">
        <f t="shared" si="9"/>
        <v>-3.201522385096682E-2</v>
      </c>
      <c r="J139" s="2" t="s">
        <v>151</v>
      </c>
      <c r="K139">
        <f>B2823</f>
        <v>8.7604105018501306E-3</v>
      </c>
      <c r="L139">
        <f>C2823</f>
        <v>2.5232784835034572E-3</v>
      </c>
      <c r="M139">
        <f t="shared" si="11"/>
        <v>9.4429610307495502E-3</v>
      </c>
      <c r="N139">
        <f>D2823</f>
        <v>-1.3141544238655597E-2</v>
      </c>
      <c r="O139">
        <f>AVERAGEIFS(E2823:E2840,E2823:E2840,"&lt;=" &amp; N139)</f>
        <v>-1.7329391557244538E-2</v>
      </c>
      <c r="P139">
        <v>140.44772338867188</v>
      </c>
      <c r="Q139">
        <v>23.353159999999999</v>
      </c>
      <c r="R139">
        <f t="shared" si="10"/>
        <v>139.83242797851563</v>
      </c>
      <c r="S139">
        <v>9.4429610307495502E-3</v>
      </c>
      <c r="T139">
        <v>16.760000000000002</v>
      </c>
    </row>
    <row r="140" spans="1:30" x14ac:dyDescent="0.35">
      <c r="A140" t="s">
        <v>21</v>
      </c>
      <c r="E140">
        <v>-2.03958861079511E-3</v>
      </c>
      <c r="F140">
        <f t="shared" si="8"/>
        <v>-2.0655177341985975E-2</v>
      </c>
      <c r="G140">
        <f t="shared" si="9"/>
        <v>-3.201522385096682E-2</v>
      </c>
      <c r="J140" s="2" t="s">
        <v>152</v>
      </c>
      <c r="K140">
        <f>B2841</f>
        <v>8.0952329886024108E-3</v>
      </c>
      <c r="L140">
        <f>C2841</f>
        <v>-2.0325415166813948E-3</v>
      </c>
      <c r="M140">
        <f t="shared" si="11"/>
        <v>8.7604105018501306E-3</v>
      </c>
      <c r="N140">
        <f>D2841</f>
        <v>-1.9835922318024217E-2</v>
      </c>
      <c r="O140">
        <f>AVERAGEIFS(E2841:E2862,E2841:E2862,"&lt;=" &amp; N140)</f>
        <v>-2.0135392936898439E-2</v>
      </c>
      <c r="P140">
        <v>138.34951782226563</v>
      </c>
      <c r="Q140">
        <v>21.54729</v>
      </c>
      <c r="R140">
        <f t="shared" si="10"/>
        <v>140.44772338867188</v>
      </c>
      <c r="S140">
        <v>8.7604105018501306E-3</v>
      </c>
      <c r="T140">
        <v>15.83</v>
      </c>
      <c r="V140" t="s">
        <v>225</v>
      </c>
    </row>
    <row r="141" spans="1:30" ht="15" thickBot="1" x14ac:dyDescent="0.4">
      <c r="A141" t="s">
        <v>21</v>
      </c>
      <c r="E141">
        <v>2.5768616640829287E-2</v>
      </c>
      <c r="F141">
        <f t="shared" si="8"/>
        <v>-2.0656356935187459E-2</v>
      </c>
      <c r="G141">
        <f t="shared" si="9"/>
        <v>-3.2077300607846498E-2</v>
      </c>
      <c r="J141" s="2" t="s">
        <v>153</v>
      </c>
      <c r="K141">
        <f>B2863</f>
        <v>1.240785726201773E-2</v>
      </c>
      <c r="L141">
        <f>C2863</f>
        <v>-7.5599549844211449E-4</v>
      </c>
      <c r="M141">
        <f t="shared" si="11"/>
        <v>8.0952329886024108E-3</v>
      </c>
      <c r="N141">
        <f>D2863</f>
        <v>-2.4187985242497143E-2</v>
      </c>
      <c r="O141">
        <f>AVERAGEIFS(E2863:E2884,E2863:E2884,"&lt;=" &amp; N141)</f>
        <v>-2.4334996262447561E-2</v>
      </c>
      <c r="P141">
        <v>154.50654602050781</v>
      </c>
      <c r="Q141">
        <v>24.831800000000001</v>
      </c>
      <c r="R141">
        <f t="shared" si="10"/>
        <v>138.34951782226563</v>
      </c>
      <c r="S141">
        <v>8.0952329886024108E-3</v>
      </c>
      <c r="T141">
        <v>18.239999999999998</v>
      </c>
    </row>
    <row r="142" spans="1:30" x14ac:dyDescent="0.35">
      <c r="A142" t="s">
        <v>21</v>
      </c>
      <c r="E142">
        <v>8.2451375944498032E-3</v>
      </c>
      <c r="F142">
        <f t="shared" si="8"/>
        <v>-2.0657536528388944E-2</v>
      </c>
      <c r="G142">
        <f t="shared" si="9"/>
        <v>-3.2077300607846498E-2</v>
      </c>
      <c r="J142" s="2" t="s">
        <v>154</v>
      </c>
      <c r="K142">
        <f>B2885</f>
        <v>6.1529694621143558E-3</v>
      </c>
      <c r="L142">
        <f>C2885</f>
        <v>9.2891381868345487E-4</v>
      </c>
      <c r="M142">
        <f t="shared" si="11"/>
        <v>1.240785726201773E-2</v>
      </c>
      <c r="N142">
        <f>D2885</f>
        <v>-9.3825682363031394E-3</v>
      </c>
      <c r="O142">
        <f>AVERAGEIFS(E2885:E2905,E2885:E2905,"&lt;=" &amp; N142)</f>
        <v>-9.4795926469102808E-3</v>
      </c>
      <c r="P142">
        <v>116.8482666015625</v>
      </c>
      <c r="Q142">
        <v>22.156310000000001</v>
      </c>
      <c r="R142">
        <f t="shared" si="10"/>
        <v>154.50654602050781</v>
      </c>
      <c r="S142">
        <v>1.240785726201773E-2</v>
      </c>
      <c r="T142">
        <v>16.48</v>
      </c>
      <c r="V142" s="8" t="s">
        <v>226</v>
      </c>
      <c r="W142" s="8"/>
    </row>
    <row r="143" spans="1:30" x14ac:dyDescent="0.35">
      <c r="A143" t="s">
        <v>21</v>
      </c>
      <c r="E143">
        <v>1.1342602305990358E-2</v>
      </c>
      <c r="F143">
        <f t="shared" si="8"/>
        <v>-2.0658716121590429E-2</v>
      </c>
      <c r="G143">
        <f t="shared" si="9"/>
        <v>-3.2077300607846498E-2</v>
      </c>
      <c r="J143" s="2" t="s">
        <v>155</v>
      </c>
      <c r="K143">
        <f>B2906</f>
        <v>1.1522812648444635E-2</v>
      </c>
      <c r="L143">
        <f>C2906</f>
        <v>-2.5918299498280323E-4</v>
      </c>
      <c r="M143">
        <f t="shared" si="11"/>
        <v>6.1529694621143558E-3</v>
      </c>
      <c r="N143">
        <f>D2906</f>
        <v>-2.4827560966742119E-2</v>
      </c>
      <c r="O143">
        <f>AVERAGEIFS(E2906:E2927,E2906:E2927,"&lt;=" &amp; N143)</f>
        <v>-2.6278358663646497E-2</v>
      </c>
      <c r="P143">
        <v>120.61072540283203</v>
      </c>
      <c r="Q143">
        <v>26.89424</v>
      </c>
      <c r="R143">
        <f t="shared" si="10"/>
        <v>116.8482666015625</v>
      </c>
      <c r="S143">
        <v>6.1529694621143558E-3</v>
      </c>
      <c r="T143">
        <v>23.14</v>
      </c>
      <c r="V143" t="s">
        <v>227</v>
      </c>
      <c r="W143">
        <v>0.45388882309905415</v>
      </c>
    </row>
    <row r="144" spans="1:30" x14ac:dyDescent="0.35">
      <c r="A144" t="s">
        <v>21</v>
      </c>
      <c r="E144">
        <v>1.307714944007413E-2</v>
      </c>
      <c r="F144">
        <f t="shared" si="8"/>
        <v>-2.0659895714791918E-2</v>
      </c>
      <c r="G144">
        <f t="shared" si="9"/>
        <v>-3.2077300607846498E-2</v>
      </c>
      <c r="J144" s="2" t="s">
        <v>156</v>
      </c>
      <c r="K144">
        <f>B2928</f>
        <v>8.5070821159821015E-3</v>
      </c>
      <c r="L144">
        <f>C2928</f>
        <v>1.3944783889819196E-3</v>
      </c>
      <c r="M144">
        <f t="shared" si="11"/>
        <v>1.1522812648444635E-2</v>
      </c>
      <c r="N144">
        <f>D2928</f>
        <v>-1.6316090066334794E-2</v>
      </c>
      <c r="O144">
        <f>AVERAGEIFS(E2928:E2948,E2928:E2948,"&lt;=" &amp; N144)</f>
        <v>-1.7218429727640049E-2</v>
      </c>
      <c r="P144">
        <v>147.56269836425781</v>
      </c>
      <c r="Q144">
        <v>20.327559999999998</v>
      </c>
      <c r="R144">
        <f t="shared" si="10"/>
        <v>120.61072540283203</v>
      </c>
      <c r="S144">
        <v>1.1522812648444635E-2</v>
      </c>
      <c r="T144">
        <v>16.260000000000002</v>
      </c>
      <c r="V144" t="s">
        <v>228</v>
      </c>
      <c r="W144">
        <v>0.20601506373424447</v>
      </c>
    </row>
    <row r="145" spans="1:30" x14ac:dyDescent="0.35">
      <c r="A145" t="s">
        <v>21</v>
      </c>
      <c r="E145">
        <v>-1.0334023843221972E-4</v>
      </c>
      <c r="F145">
        <f t="shared" si="8"/>
        <v>-2.0661075307993403E-2</v>
      </c>
      <c r="G145">
        <f t="shared" si="9"/>
        <v>-3.2077300607846498E-2</v>
      </c>
      <c r="J145" s="2" t="s">
        <v>157</v>
      </c>
      <c r="K145">
        <f>B2949</f>
        <v>1.3299029100328721E-2</v>
      </c>
      <c r="L145">
        <f>C2949</f>
        <v>-3.9429745799804674E-3</v>
      </c>
      <c r="M145">
        <f t="shared" si="11"/>
        <v>8.5070821159821015E-3</v>
      </c>
      <c r="N145">
        <f>D2949</f>
        <v>-4.5897036768314144E-2</v>
      </c>
      <c r="O145">
        <f>AVERAGEIFS(E2949:E2970,E2949:E2970,"&lt;=" &amp; N145)</f>
        <v>-5.0835598648421236E-2</v>
      </c>
      <c r="P145">
        <v>155.97068786621094</v>
      </c>
      <c r="Q145">
        <v>34.009799999999998</v>
      </c>
      <c r="R145">
        <f t="shared" si="10"/>
        <v>147.56269836425781</v>
      </c>
      <c r="S145">
        <v>8.5070821159821015E-3</v>
      </c>
      <c r="T145">
        <v>27.19</v>
      </c>
      <c r="V145" t="s">
        <v>228</v>
      </c>
      <c r="W145">
        <v>0.19263329514549579</v>
      </c>
      <c r="Y145" t="s">
        <v>386</v>
      </c>
    </row>
    <row r="146" spans="1:30" x14ac:dyDescent="0.35">
      <c r="A146" t="s">
        <v>21</v>
      </c>
      <c r="E146">
        <v>1.4645552154491704E-3</v>
      </c>
      <c r="F146">
        <f t="shared" si="8"/>
        <v>-2.0662254901194888E-2</v>
      </c>
      <c r="G146">
        <f t="shared" si="9"/>
        <v>-3.2077300607846498E-2</v>
      </c>
      <c r="J146" s="2" t="s">
        <v>158</v>
      </c>
      <c r="K146">
        <f>B2971</f>
        <v>1.2377253368325257E-2</v>
      </c>
      <c r="L146">
        <f>C2971</f>
        <v>2.5283258909324243E-3</v>
      </c>
      <c r="M146">
        <f t="shared" si="11"/>
        <v>1.3299029100328721E-2</v>
      </c>
      <c r="N146">
        <f>D2971</f>
        <v>-1.8122190649271817E-2</v>
      </c>
      <c r="O146">
        <f>AVERAGEIFS(E2971:E2989,E2971:E2989,"&lt;=" &amp; N146)</f>
        <v>-1.8122190649271817E-2</v>
      </c>
      <c r="P146">
        <v>159.57528686523438</v>
      </c>
      <c r="Q146">
        <v>21.801400000000001</v>
      </c>
      <c r="R146">
        <f t="shared" si="10"/>
        <v>155.97068786621094</v>
      </c>
      <c r="S146">
        <v>1.3299029100328721E-2</v>
      </c>
      <c r="T146">
        <v>17.22</v>
      </c>
      <c r="V146" t="s">
        <v>229</v>
      </c>
      <c r="W146">
        <v>1.2306581146756975E-2</v>
      </c>
    </row>
    <row r="147" spans="1:30" ht="15" thickBot="1" x14ac:dyDescent="0.4">
      <c r="A147" t="s">
        <v>21</v>
      </c>
      <c r="E147">
        <v>-1.5095303959437862E-2</v>
      </c>
      <c r="F147">
        <f t="shared" si="8"/>
        <v>-2.0663434494396372E-2</v>
      </c>
      <c r="G147">
        <f t="shared" si="9"/>
        <v>-3.2077300607846498E-2</v>
      </c>
      <c r="J147" s="2" t="s">
        <v>159</v>
      </c>
      <c r="K147">
        <f>B2990</f>
        <v>1.0380525683498317E-2</v>
      </c>
      <c r="L147">
        <f>C2990</f>
        <v>-5.8292535175601655E-4</v>
      </c>
      <c r="M147">
        <f t="shared" si="11"/>
        <v>1.2377253368325257E-2</v>
      </c>
      <c r="N147">
        <f>D2990</f>
        <v>-3.1431666161147502E-2</v>
      </c>
      <c r="O147">
        <f>AVERAGEIFS(E2990:E3009,E2990:E3009,"&lt;=" &amp; N147)</f>
        <v>-3.2365133169682904E-2</v>
      </c>
      <c r="P147">
        <v>124.22967529296875</v>
      </c>
      <c r="Q147">
        <v>30.300719999999998</v>
      </c>
      <c r="R147">
        <f t="shared" si="10"/>
        <v>159.57528686523438</v>
      </c>
      <c r="S147">
        <v>1.2377253368325257E-2</v>
      </c>
      <c r="T147">
        <v>24.83</v>
      </c>
      <c r="V147" s="6" t="s">
        <v>230</v>
      </c>
      <c r="W147" s="6">
        <v>182</v>
      </c>
    </row>
    <row r="148" spans="1:30" x14ac:dyDescent="0.35">
      <c r="A148" t="s">
        <v>22</v>
      </c>
      <c r="B148" s="3" cm="1">
        <f t="array" ref="B148">_xlfn.STDEV.S(_xlfn._xlws.FILTER($E$2:$E$1000, $A$2:$A$1000="2010-08"))</f>
        <v>1.4594661684560894E-2</v>
      </c>
      <c r="C148" s="3" cm="1">
        <f t="array" ref="C148">AVERAGE(_xlfn._xlws.FILTER($E$2:$E$1000, $A$2:$A$1000="2010-08"))</f>
        <v>-1.4401815121472458E-3</v>
      </c>
      <c r="D148" s="3" cm="1">
        <f t="array" ref="D148">_xlfn.PERCENTILE.EXC(_xlfn._xlws.FILTER($E$126:$E$252, $A$126:$A$252="2010-08"), 0.05)</f>
        <v>-3.1090270771353967E-2</v>
      </c>
      <c r="E148">
        <v>3.1462342341193793E-2</v>
      </c>
      <c r="F148">
        <f t="shared" si="8"/>
        <v>-2.0664614087597857E-2</v>
      </c>
      <c r="G148">
        <f t="shared" si="9"/>
        <v>-3.2077300607846498E-2</v>
      </c>
      <c r="J148" s="4" t="s">
        <v>160</v>
      </c>
      <c r="K148" s="3">
        <f>B3010</f>
        <v>1.0384568078133006E-2</v>
      </c>
      <c r="L148" s="3">
        <f>C3010</f>
        <v>5.7948241837543039E-3</v>
      </c>
      <c r="M148">
        <f t="shared" si="11"/>
        <v>1.0380525683498317E-2</v>
      </c>
      <c r="N148" s="3">
        <f>D3010</f>
        <v>-2.888203623822681E-2</v>
      </c>
      <c r="O148" s="3">
        <f>AVERAGEIFS(E3010:E3029,E3010:E3029,"&lt;=" &amp; N148)</f>
        <v>-2.9042946171120899E-2</v>
      </c>
      <c r="P148" s="3">
        <v>133.50860595703125</v>
      </c>
      <c r="Q148" s="3">
        <v>39.545810000000003</v>
      </c>
      <c r="R148">
        <f t="shared" si="10"/>
        <v>124.22967529296875</v>
      </c>
      <c r="S148">
        <v>1.0380525683498317E-2</v>
      </c>
      <c r="T148" s="3">
        <v>30.15</v>
      </c>
    </row>
    <row r="149" spans="1:30" ht="15" thickBot="1" x14ac:dyDescent="0.4">
      <c r="A149" t="s">
        <v>22</v>
      </c>
      <c r="E149">
        <v>3.316935983764157E-3</v>
      </c>
      <c r="F149">
        <f t="shared" si="8"/>
        <v>-2.0665793680799346E-2</v>
      </c>
      <c r="G149">
        <f t="shared" si="9"/>
        <v>-3.2077300607846498E-2</v>
      </c>
      <c r="J149" s="2" t="s">
        <v>161</v>
      </c>
      <c r="K149">
        <f>B3030</f>
        <v>2.0489623698247517E-2</v>
      </c>
      <c r="L149">
        <f>C3030</f>
        <v>-1.7520496587061091E-4</v>
      </c>
      <c r="M149">
        <f t="shared" si="11"/>
        <v>1.0384568078133006E-2</v>
      </c>
      <c r="N149">
        <f>D3030</f>
        <v>-3.7720448025600532E-2</v>
      </c>
      <c r="O149">
        <f>AVERAGEIFS(E3030:E3052,E3030:E3052,"&lt;=" &amp; N149)</f>
        <v>-3.7916912587439712E-2</v>
      </c>
      <c r="P149">
        <v>169.82452392578125</v>
      </c>
      <c r="Q149">
        <v>32.1265</v>
      </c>
      <c r="R149">
        <f t="shared" si="10"/>
        <v>133.50860595703125</v>
      </c>
      <c r="S149">
        <v>1.0384568078133006E-2</v>
      </c>
      <c r="T149">
        <v>20.56</v>
      </c>
      <c r="V149" t="s">
        <v>231</v>
      </c>
    </row>
    <row r="150" spans="1:30" x14ac:dyDescent="0.35">
      <c r="A150" t="s">
        <v>22</v>
      </c>
      <c r="E150">
        <v>-2.5881099610140209E-3</v>
      </c>
      <c r="F150">
        <f t="shared" si="8"/>
        <v>-2.0666973274000831E-2</v>
      </c>
      <c r="G150">
        <f t="shared" si="9"/>
        <v>-3.2077300607846498E-2</v>
      </c>
      <c r="J150" s="2" t="s">
        <v>162</v>
      </c>
      <c r="K150">
        <f>B3053</f>
        <v>9.7948780742318445E-3</v>
      </c>
      <c r="L150">
        <f>C3053</f>
        <v>8.5983751064855124E-4</v>
      </c>
      <c r="M150">
        <f t="shared" si="11"/>
        <v>2.0489623698247517E-2</v>
      </c>
      <c r="N150">
        <f>D3053</f>
        <v>-1.8584256068818264E-2</v>
      </c>
      <c r="O150">
        <f>AVERAGEIFS(E3053:E3071,E3053:E3071,"&lt;=" &amp; N150)</f>
        <v>-1.8584256068818264E-2</v>
      </c>
      <c r="P150">
        <v>164.84947204589844</v>
      </c>
      <c r="Q150">
        <v>32.462649999999996</v>
      </c>
      <c r="R150">
        <f t="shared" si="10"/>
        <v>169.82452392578125</v>
      </c>
      <c r="S150">
        <v>2.0489623698247517E-2</v>
      </c>
      <c r="T150">
        <v>33.4</v>
      </c>
      <c r="V150" s="7"/>
      <c r="W150" s="7" t="s">
        <v>236</v>
      </c>
      <c r="X150" s="7" t="s">
        <v>237</v>
      </c>
      <c r="Y150" s="7" t="s">
        <v>238</v>
      </c>
      <c r="Z150" s="7" t="s">
        <v>239</v>
      </c>
      <c r="AA150" s="7" t="s">
        <v>240</v>
      </c>
    </row>
    <row r="151" spans="1:30" x14ac:dyDescent="0.35">
      <c r="A151" t="s">
        <v>22</v>
      </c>
      <c r="E151">
        <v>-3.0438171546554456E-4</v>
      </c>
      <c r="F151">
        <f t="shared" si="8"/>
        <v>-2.0668152867202316E-2</v>
      </c>
      <c r="G151">
        <f t="shared" si="9"/>
        <v>-3.2077300607846498E-2</v>
      </c>
      <c r="J151" s="2" t="s">
        <v>163</v>
      </c>
      <c r="K151">
        <f>B3072</f>
        <v>1.2014922756246079E-2</v>
      </c>
      <c r="L151">
        <f>C3072</f>
        <v>1.4601729507137781E-3</v>
      </c>
      <c r="M151">
        <f t="shared" si="11"/>
        <v>9.7948780742318445E-3</v>
      </c>
      <c r="N151">
        <f>D3072</f>
        <v>-2.1348594168599085E-2</v>
      </c>
      <c r="O151">
        <f>AVERAGEIFS(E3072:E3092,E3072:E3092,"&lt;=" &amp; N151)</f>
        <v>-2.2210715474386005E-2</v>
      </c>
      <c r="P151">
        <v>151.87469482421875</v>
      </c>
      <c r="Q151">
        <v>27.09723</v>
      </c>
      <c r="R151">
        <f t="shared" si="10"/>
        <v>164.84947204589844</v>
      </c>
      <c r="S151">
        <v>9.7948780742318445E-3</v>
      </c>
      <c r="T151">
        <v>26.19</v>
      </c>
      <c r="V151" t="s">
        <v>232</v>
      </c>
      <c r="W151">
        <v>3</v>
      </c>
      <c r="X151">
        <v>6.9949007337060422E-3</v>
      </c>
      <c r="Y151">
        <v>2.3316335779020141E-3</v>
      </c>
      <c r="Z151">
        <v>15.395204480479562</v>
      </c>
      <c r="AA151">
        <v>6.0011270677963717E-9</v>
      </c>
    </row>
    <row r="152" spans="1:30" x14ac:dyDescent="0.35">
      <c r="A152" t="s">
        <v>22</v>
      </c>
      <c r="E152">
        <v>-1.7579822804760913E-2</v>
      </c>
      <c r="F152">
        <f t="shared" si="8"/>
        <v>-2.06693324604038E-2</v>
      </c>
      <c r="G152">
        <f t="shared" si="9"/>
        <v>-3.2077300607846498E-2</v>
      </c>
      <c r="J152" s="2" t="s">
        <v>164</v>
      </c>
      <c r="K152">
        <f>B3093</f>
        <v>1.4336938971866159E-2</v>
      </c>
      <c r="L152">
        <f>C3093</f>
        <v>-4.4441690606237972E-3</v>
      </c>
      <c r="M152">
        <f t="shared" si="11"/>
        <v>1.2014922756246079E-2</v>
      </c>
      <c r="N152">
        <f>D3093</f>
        <v>-3.6873473268977219E-2</v>
      </c>
      <c r="O152">
        <f>AVERAGEIFS(E3093:E3112,E3093:E3112,"&lt;=" &amp; N152)</f>
        <v>-3.7497522420788805E-2</v>
      </c>
      <c r="P152">
        <v>166.84375</v>
      </c>
      <c r="Q152">
        <v>31.218789999999998</v>
      </c>
      <c r="R152">
        <f t="shared" si="10"/>
        <v>151.87469482421875</v>
      </c>
      <c r="S152">
        <v>1.2014922756246079E-2</v>
      </c>
      <c r="T152">
        <v>28.71</v>
      </c>
      <c r="V152" t="s">
        <v>233</v>
      </c>
      <c r="W152">
        <v>178</v>
      </c>
      <c r="X152">
        <v>2.6958445234865128E-2</v>
      </c>
      <c r="Y152">
        <v>1.5145193952171421E-4</v>
      </c>
    </row>
    <row r="153" spans="1:30" ht="15" thickBot="1" x14ac:dyDescent="0.4">
      <c r="A153" t="s">
        <v>22</v>
      </c>
      <c r="E153">
        <v>1.5048947563404233E-2</v>
      </c>
      <c r="F153">
        <f t="shared" si="8"/>
        <v>-2.0670512053605285E-2</v>
      </c>
      <c r="G153">
        <f t="shared" si="9"/>
        <v>-3.2077300607846498E-2</v>
      </c>
      <c r="J153" s="2" t="s">
        <v>165</v>
      </c>
      <c r="K153">
        <f>B3113</f>
        <v>1.1671482808833518E-2</v>
      </c>
      <c r="L153">
        <f>C3113</f>
        <v>3.3689615548844709E-4</v>
      </c>
      <c r="M153">
        <f t="shared" si="11"/>
        <v>1.4336938971866159E-2</v>
      </c>
      <c r="N153">
        <f>D3113</f>
        <v>-2.4385536432007252E-2</v>
      </c>
      <c r="O153">
        <f>AVERAGEIFS(E3113:E3133,E3113:E3133,"&lt;=" &amp; N153)</f>
        <v>-2.5111112754412971E-2</v>
      </c>
      <c r="P153">
        <v>175.80950927734375</v>
      </c>
      <c r="Q153">
        <v>22.744309999999999</v>
      </c>
      <c r="R153">
        <f t="shared" si="10"/>
        <v>166.84375</v>
      </c>
      <c r="S153">
        <v>1.4336938971866159E-2</v>
      </c>
      <c r="T153">
        <v>21.33</v>
      </c>
      <c r="V153" s="6" t="s">
        <v>234</v>
      </c>
      <c r="W153" s="6">
        <v>181</v>
      </c>
      <c r="X153" s="6">
        <v>3.3953345968571171E-2</v>
      </c>
      <c r="Y153" s="6"/>
      <c r="Z153" s="6"/>
      <c r="AA153" s="6"/>
    </row>
    <row r="154" spans="1:30" ht="15" thickBot="1" x14ac:dyDescent="0.4">
      <c r="A154" t="s">
        <v>22</v>
      </c>
      <c r="E154">
        <v>-8.7409002910901219E-3</v>
      </c>
      <c r="F154">
        <f t="shared" si="8"/>
        <v>-2.0671691646806774E-2</v>
      </c>
      <c r="G154">
        <f t="shared" si="9"/>
        <v>-3.2077300607846498E-2</v>
      </c>
      <c r="J154" s="2" t="s">
        <v>166</v>
      </c>
      <c r="K154">
        <f>B3134</f>
        <v>7.9042695515242744E-3</v>
      </c>
      <c r="L154">
        <f>C3134</f>
        <v>-1.603650388617461E-3</v>
      </c>
      <c r="M154">
        <f t="shared" si="11"/>
        <v>1.1671482808833518E-2</v>
      </c>
      <c r="N154">
        <f>D3134</f>
        <v>-1.4871324694208115E-2</v>
      </c>
      <c r="O154">
        <f>AVERAGEIFS(E3134:E3154,E3134:E3154,"&lt;=" &amp; N154)</f>
        <v>-1.5211290502898857E-2</v>
      </c>
      <c r="P154">
        <v>141.78741455078125</v>
      </c>
      <c r="Q154">
        <v>28.096</v>
      </c>
      <c r="R154">
        <f t="shared" si="10"/>
        <v>175.80950927734375</v>
      </c>
      <c r="S154">
        <v>1.1671482808833518E-2</v>
      </c>
      <c r="T154">
        <v>25.87</v>
      </c>
    </row>
    <row r="155" spans="1:30" x14ac:dyDescent="0.35">
      <c r="A155" t="s">
        <v>22</v>
      </c>
      <c r="E155">
        <v>-3.2591431656530973E-2</v>
      </c>
      <c r="F155">
        <f t="shared" si="8"/>
        <v>-2.0672871240008259E-2</v>
      </c>
      <c r="G155">
        <f t="shared" si="9"/>
        <v>-3.2077300607846498E-2</v>
      </c>
      <c r="J155" s="2" t="s">
        <v>167</v>
      </c>
      <c r="K155">
        <f>B3155</f>
        <v>1.2085861556353982E-2</v>
      </c>
      <c r="L155">
        <f>C3155</f>
        <v>-3.2437284207474789E-3</v>
      </c>
      <c r="M155">
        <f t="shared" si="11"/>
        <v>7.9042695515242744E-3</v>
      </c>
      <c r="N155">
        <f>D3155</f>
        <v>-2.4337879579172935E-2</v>
      </c>
      <c r="O155">
        <f>AVERAGEIFS(E3155:E3175,E3155:E3175,"&lt;=" &amp; N155)</f>
        <v>-2.4900037602551696E-2</v>
      </c>
      <c r="P155">
        <v>151.26394653320313</v>
      </c>
      <c r="Q155">
        <v>30.064309999999999</v>
      </c>
      <c r="R155">
        <f t="shared" si="10"/>
        <v>141.78741455078125</v>
      </c>
      <c r="S155">
        <v>7.9042695515242744E-3</v>
      </c>
      <c r="T155">
        <v>31.62</v>
      </c>
      <c r="V155" s="7"/>
      <c r="W155" s="7" t="s">
        <v>241</v>
      </c>
      <c r="X155" s="7" t="s">
        <v>229</v>
      </c>
      <c r="Y155" s="7" t="s">
        <v>242</v>
      </c>
      <c r="Z155" s="7" t="s">
        <v>243</v>
      </c>
      <c r="AA155" s="7" t="s">
        <v>244</v>
      </c>
      <c r="AB155" s="7" t="s">
        <v>245</v>
      </c>
      <c r="AC155" s="7" t="s">
        <v>246</v>
      </c>
      <c r="AD155" s="7" t="s">
        <v>247</v>
      </c>
    </row>
    <row r="156" spans="1:30" x14ac:dyDescent="0.35">
      <c r="A156" t="s">
        <v>22</v>
      </c>
      <c r="E156">
        <v>-3.1278383579925965E-3</v>
      </c>
      <c r="F156">
        <f t="shared" si="8"/>
        <v>-2.0613551690862781E-2</v>
      </c>
      <c r="G156">
        <f t="shared" si="9"/>
        <v>-3.2012075174433698E-2</v>
      </c>
      <c r="J156" s="2" t="s">
        <v>168</v>
      </c>
      <c r="K156">
        <f>B3176</f>
        <v>1.2641906903522741E-2</v>
      </c>
      <c r="L156">
        <f>C3176</f>
        <v>3.6669421632755947E-3</v>
      </c>
      <c r="M156">
        <f t="shared" si="11"/>
        <v>1.2085861556353982E-2</v>
      </c>
      <c r="N156">
        <f>D3176</f>
        <v>-1.5051673523774864E-2</v>
      </c>
      <c r="O156">
        <f>AVERAGEIFS(E3176:E3196,E3176:E3196,"&lt;=" &amp; N156)</f>
        <v>-1.52786659473244E-2</v>
      </c>
      <c r="P156">
        <v>177.71066284179688</v>
      </c>
      <c r="Q156">
        <v>24.54992</v>
      </c>
      <c r="R156">
        <f t="shared" si="10"/>
        <v>151.26394653320313</v>
      </c>
      <c r="S156">
        <v>1.2085861556353982E-2</v>
      </c>
      <c r="T156">
        <v>25.88</v>
      </c>
      <c r="V156" t="s">
        <v>235</v>
      </c>
      <c r="W156">
        <v>-6.5861516265846055E-3</v>
      </c>
      <c r="X156">
        <v>4.3610880160209094E-3</v>
      </c>
      <c r="Y156">
        <v>-1.5102083705693841</v>
      </c>
      <c r="Z156">
        <v>0.13276338551254863</v>
      </c>
      <c r="AA156">
        <v>-1.5192239370679558E-2</v>
      </c>
      <c r="AB156">
        <v>2.0199361175103469E-3</v>
      </c>
      <c r="AC156">
        <v>-1.5192239370679558E-2</v>
      </c>
      <c r="AD156">
        <v>2.0199361175103469E-3</v>
      </c>
    </row>
    <row r="157" spans="1:30" x14ac:dyDescent="0.35">
      <c r="A157" t="s">
        <v>22</v>
      </c>
      <c r="E157">
        <v>-6.4603342322982465E-3</v>
      </c>
      <c r="F157">
        <f t="shared" si="8"/>
        <v>-2.0623958103643581E-2</v>
      </c>
      <c r="G157">
        <f t="shared" si="9"/>
        <v>-3.2012075174433698E-2</v>
      </c>
      <c r="J157" s="2" t="s">
        <v>169</v>
      </c>
      <c r="K157">
        <f>B3197</f>
        <v>7.809088035523418E-3</v>
      </c>
      <c r="L157">
        <f>C3197</f>
        <v>2.2659965594735818E-3</v>
      </c>
      <c r="M157">
        <f t="shared" si="11"/>
        <v>1.2641906903522741E-2</v>
      </c>
      <c r="N157">
        <f>D3197</f>
        <v>-1.2375829177461842E-2</v>
      </c>
      <c r="O157">
        <f>AVERAGEIFS(E3197:E3218,E3197:E3218,"&lt;=" &amp; N157)</f>
        <v>-1.259053727508189E-2</v>
      </c>
      <c r="P157">
        <v>171.25468444824219</v>
      </c>
      <c r="Q157">
        <v>21.878530000000001</v>
      </c>
      <c r="R157">
        <f t="shared" si="10"/>
        <v>177.71066284179688</v>
      </c>
      <c r="S157">
        <v>1.2641906903522741E-2</v>
      </c>
      <c r="T157">
        <v>20.58</v>
      </c>
      <c r="V157" t="s">
        <v>248</v>
      </c>
      <c r="W157">
        <v>1.7724674021402919E-5</v>
      </c>
      <c r="X157">
        <v>3.2347254742389916E-5</v>
      </c>
      <c r="Y157">
        <v>0.54794986970487392</v>
      </c>
      <c r="Z157">
        <v>0.58441281201969564</v>
      </c>
      <c r="AA157">
        <v>-4.6108780284249512E-5</v>
      </c>
      <c r="AB157">
        <v>8.1558128327055356E-5</v>
      </c>
      <c r="AC157">
        <v>-4.6108780284249512E-5</v>
      </c>
      <c r="AD157">
        <v>8.1558128327055356E-5</v>
      </c>
    </row>
    <row r="158" spans="1:30" x14ac:dyDescent="0.35">
      <c r="A158" t="s">
        <v>22</v>
      </c>
      <c r="E158">
        <v>-1.7044822258425053E-3</v>
      </c>
      <c r="F158">
        <f t="shared" si="8"/>
        <v>-2.0634364516424374E-2</v>
      </c>
      <c r="G158">
        <f t="shared" si="9"/>
        <v>-3.2012075174433698E-2</v>
      </c>
      <c r="J158" s="2" t="s">
        <v>170</v>
      </c>
      <c r="K158">
        <f>B3219</f>
        <v>7.8944191325119213E-3</v>
      </c>
      <c r="L158">
        <f>C3219</f>
        <v>-8.0822381409638325E-4</v>
      </c>
      <c r="M158">
        <f t="shared" si="11"/>
        <v>7.809088035523418E-3</v>
      </c>
      <c r="N158">
        <f>D3219</f>
        <v>-1.6901589303101861E-2</v>
      </c>
      <c r="O158">
        <f>AVERAGEIFS(E3219:E3238,E3219:E3238,"&lt;=" &amp; N158)</f>
        <v>-1.7105981846448574E-2</v>
      </c>
      <c r="P158">
        <v>147.88681030273438</v>
      </c>
      <c r="Q158">
        <v>22.371210000000001</v>
      </c>
      <c r="R158">
        <f t="shared" si="10"/>
        <v>171.25468444824219</v>
      </c>
      <c r="S158">
        <v>7.809088035523418E-3</v>
      </c>
      <c r="T158">
        <v>21.67</v>
      </c>
      <c r="V158" t="s">
        <v>251</v>
      </c>
      <c r="W158">
        <v>-0.68381126016189642</v>
      </c>
      <c r="X158">
        <v>0.1811013794488541</v>
      </c>
      <c r="Y158">
        <v>-3.7758478827877484</v>
      </c>
      <c r="Z158">
        <v>2.1714255116515123E-4</v>
      </c>
      <c r="AA158">
        <v>-1.041193261256093</v>
      </c>
      <c r="AB158">
        <v>-0.32642925906769976</v>
      </c>
      <c r="AC158">
        <v>-1.041193261256093</v>
      </c>
      <c r="AD158">
        <v>-0.32642925906769976</v>
      </c>
    </row>
    <row r="159" spans="1:30" ht="15" thickBot="1" x14ac:dyDescent="0.4">
      <c r="A159" t="s">
        <v>22</v>
      </c>
      <c r="E159">
        <v>1.0781671064903501E-2</v>
      </c>
      <c r="F159">
        <f t="shared" si="8"/>
        <v>-2.0644770929205174E-2</v>
      </c>
      <c r="G159">
        <f t="shared" si="9"/>
        <v>-3.2012075174433698E-2</v>
      </c>
      <c r="J159" s="2" t="s">
        <v>171</v>
      </c>
      <c r="K159">
        <f>B3239</f>
        <v>7.9701144895985704E-3</v>
      </c>
      <c r="L159">
        <f>C3239</f>
        <v>4.4437421208485661E-3</v>
      </c>
      <c r="M159">
        <f t="shared" si="11"/>
        <v>7.8944191325119213E-3</v>
      </c>
      <c r="N159">
        <f>D3239</f>
        <v>-1.4405906977260104E-2</v>
      </c>
      <c r="O159">
        <f>AVERAGEIFS(E3239:E3259,E3239:E3259,"&lt;=" &amp; N159)</f>
        <v>-1.5818544483443681E-2</v>
      </c>
      <c r="P159">
        <v>155.27496337890625</v>
      </c>
      <c r="Q159">
        <v>20.17446</v>
      </c>
      <c r="R159">
        <f t="shared" si="10"/>
        <v>147.88681030273438</v>
      </c>
      <c r="S159">
        <v>7.8944191325119213E-3</v>
      </c>
      <c r="T159">
        <v>19.399999999999999</v>
      </c>
      <c r="V159" s="6" t="s">
        <v>252</v>
      </c>
      <c r="W159" s="6">
        <v>-5.839575844969997E-4</v>
      </c>
      <c r="X159" s="6">
        <v>1.5185674869375098E-4</v>
      </c>
      <c r="Y159" s="6">
        <v>-3.8454503307894807</v>
      </c>
      <c r="Z159" s="6">
        <v>1.673945993142121E-4</v>
      </c>
      <c r="AA159" s="6">
        <v>-8.8362879016640888E-4</v>
      </c>
      <c r="AB159" s="6">
        <v>-2.8428637882759058E-4</v>
      </c>
      <c r="AC159" s="6">
        <v>-8.8362879016640888E-4</v>
      </c>
      <c r="AD159" s="6">
        <v>-2.8428637882759058E-4</v>
      </c>
    </row>
    <row r="160" spans="1:30" x14ac:dyDescent="0.35">
      <c r="A160" t="s">
        <v>22</v>
      </c>
      <c r="E160">
        <v>2.0712417992174094E-3</v>
      </c>
      <c r="F160">
        <f t="shared" si="8"/>
        <v>-2.0655177341985975E-2</v>
      </c>
      <c r="G160">
        <f t="shared" si="9"/>
        <v>-3.2012075174433698E-2</v>
      </c>
      <c r="J160" s="2" t="s">
        <v>172</v>
      </c>
      <c r="K160">
        <f>B3260</f>
        <v>7.2910322114249117E-3</v>
      </c>
      <c r="L160">
        <f>C3260</f>
        <v>1.9569909444213654E-3</v>
      </c>
      <c r="M160">
        <f t="shared" si="11"/>
        <v>7.9701144895985704E-3</v>
      </c>
      <c r="N160">
        <f>D3260</f>
        <v>-1.3480073357652193E-2</v>
      </c>
      <c r="O160">
        <f>AVERAGEIFS(E3260:E3279,E3260:E3279,"&lt;=" &amp; N160)</f>
        <v>-1.3735926088650468E-2</v>
      </c>
      <c r="P160">
        <v>138.87986755371094</v>
      </c>
      <c r="Q160">
        <v>20.68244</v>
      </c>
      <c r="R160">
        <f t="shared" si="10"/>
        <v>155.27496337890625</v>
      </c>
      <c r="S160">
        <v>7.9701144895985704E-3</v>
      </c>
      <c r="T160">
        <v>20.7</v>
      </c>
    </row>
    <row r="161" spans="1:30" x14ac:dyDescent="0.35">
      <c r="A161" t="s">
        <v>22</v>
      </c>
      <c r="E161">
        <v>-1.4833758835118201E-2</v>
      </c>
      <c r="F161">
        <f t="shared" si="8"/>
        <v>-2.0656356935187459E-2</v>
      </c>
      <c r="G161">
        <f t="shared" si="9"/>
        <v>-3.2074475711974616E-2</v>
      </c>
      <c r="J161" s="2" t="s">
        <v>173</v>
      </c>
      <c r="K161">
        <f>B3280</f>
        <v>1.7614089703893089E-2</v>
      </c>
      <c r="L161">
        <f>C3280</f>
        <v>-7.5674732070692206E-4</v>
      </c>
      <c r="M161">
        <f t="shared" si="11"/>
        <v>7.2910322114249117E-3</v>
      </c>
      <c r="N161">
        <f>D3280</f>
        <v>-4.2865622623644559E-2</v>
      </c>
      <c r="O161">
        <f>AVERAGEIFS(E3280:E3302,E3280:E3302,"&lt;=" &amp; N161)</f>
        <v>-4.4643842476664919E-2</v>
      </c>
      <c r="P161">
        <v>149.40985107421875</v>
      </c>
      <c r="Q161">
        <v>21.1126</v>
      </c>
      <c r="R161">
        <f t="shared" si="10"/>
        <v>138.87986755371094</v>
      </c>
      <c r="S161">
        <v>7.2910322114249117E-3</v>
      </c>
      <c r="T161">
        <v>18.7</v>
      </c>
      <c r="V161" t="s">
        <v>225</v>
      </c>
    </row>
    <row r="162" spans="1:30" ht="15" thickBot="1" x14ac:dyDescent="0.4">
      <c r="A162" t="s">
        <v>22</v>
      </c>
      <c r="E162">
        <v>-1.4135379932855496E-2</v>
      </c>
      <c r="F162">
        <f t="shared" si="8"/>
        <v>-2.0657536528388944E-2</v>
      </c>
      <c r="G162">
        <f t="shared" si="9"/>
        <v>-3.2074475711974616E-2</v>
      </c>
      <c r="J162" s="2" t="s">
        <v>174</v>
      </c>
      <c r="K162">
        <f>B3303</f>
        <v>6.1511634210362764E-3</v>
      </c>
      <c r="L162">
        <f>C3303</f>
        <v>5.1124286740105422E-5</v>
      </c>
      <c r="M162">
        <f t="shared" si="11"/>
        <v>1.7614089703893089E-2</v>
      </c>
      <c r="N162">
        <f>D3303</f>
        <v>-8.805355858683233E-3</v>
      </c>
      <c r="O162">
        <f>AVERAGEIFS(E3303:E3320,E3303:E3320,"&lt;=" &amp; N162)</f>
        <v>-1.2419463573563208E-2</v>
      </c>
      <c r="P162">
        <v>137.8336181640625</v>
      </c>
      <c r="Q162">
        <v>19.22747</v>
      </c>
      <c r="R162">
        <f t="shared" si="10"/>
        <v>149.40985107421875</v>
      </c>
      <c r="S162">
        <v>1.7614089703893089E-2</v>
      </c>
      <c r="T162">
        <v>15.78</v>
      </c>
    </row>
    <row r="163" spans="1:30" x14ac:dyDescent="0.35">
      <c r="A163" t="s">
        <v>22</v>
      </c>
      <c r="E163">
        <v>1.2493086609951638E-2</v>
      </c>
      <c r="F163">
        <f t="shared" si="8"/>
        <v>-2.0658716121590429E-2</v>
      </c>
      <c r="G163">
        <f t="shared" si="9"/>
        <v>-3.2074475711974616E-2</v>
      </c>
      <c r="J163" s="2" t="s">
        <v>175</v>
      </c>
      <c r="K163">
        <f>B3321</f>
        <v>7.0842851864489683E-3</v>
      </c>
      <c r="L163">
        <f>C3321</f>
        <v>-1.0431623995371879E-3</v>
      </c>
      <c r="M163">
        <f t="shared" si="11"/>
        <v>6.1511634210362764E-3</v>
      </c>
      <c r="N163">
        <f>D3321</f>
        <v>-1.7131776821045983E-2</v>
      </c>
      <c r="O163">
        <f>AVERAGEIFS(E3321:E3340,E3321:E3340,"&lt;=" &amp; N163)</f>
        <v>-1.7355672230143952E-2</v>
      </c>
      <c r="P163">
        <v>140.48420715332031</v>
      </c>
      <c r="Q163">
        <v>21.256530000000001</v>
      </c>
      <c r="R163">
        <f t="shared" si="10"/>
        <v>137.8336181640625</v>
      </c>
      <c r="S163">
        <v>6.1511634210362764E-3</v>
      </c>
      <c r="T163">
        <v>17.940000000000001</v>
      </c>
      <c r="V163" s="8" t="s">
        <v>226</v>
      </c>
      <c r="W163" s="8"/>
    </row>
    <row r="164" spans="1:30" x14ac:dyDescent="0.35">
      <c r="A164" t="s">
        <v>22</v>
      </c>
      <c r="E164">
        <v>-1.6662530669485726E-2</v>
      </c>
      <c r="F164">
        <f t="shared" si="8"/>
        <v>-2.0659895714791918E-2</v>
      </c>
      <c r="G164">
        <f t="shared" si="9"/>
        <v>-3.2074475711974616E-2</v>
      </c>
      <c r="J164" s="2" t="s">
        <v>176</v>
      </c>
      <c r="K164">
        <f>B3341</f>
        <v>7.0878974428924641E-3</v>
      </c>
      <c r="L164">
        <f>C3341</f>
        <v>2.6475822236659563E-3</v>
      </c>
      <c r="M164">
        <f t="shared" si="11"/>
        <v>7.0842851864489683E-3</v>
      </c>
      <c r="N164">
        <f>D3341</f>
        <v>-1.016862146915487E-2</v>
      </c>
      <c r="O164">
        <f>AVERAGEIFS(E3341:E3362,E3341:E3362,"&lt;=" &amp; N164)</f>
        <v>-1.0617098738292656E-2</v>
      </c>
      <c r="P164">
        <v>133.39378356933594</v>
      </c>
      <c r="Q164">
        <v>14.863659999999999</v>
      </c>
      <c r="R164">
        <f t="shared" si="10"/>
        <v>140.48420715332031</v>
      </c>
      <c r="S164">
        <v>7.0842851864489683E-3</v>
      </c>
      <c r="T164">
        <v>13.59</v>
      </c>
      <c r="V164" t="s">
        <v>227</v>
      </c>
      <c r="W164">
        <v>0.17772563958868318</v>
      </c>
    </row>
    <row r="165" spans="1:30" x14ac:dyDescent="0.35">
      <c r="A165" t="s">
        <v>22</v>
      </c>
      <c r="E165">
        <v>-1.5872951237485028E-2</v>
      </c>
      <c r="F165">
        <f t="shared" si="8"/>
        <v>-2.0661075307993403E-2</v>
      </c>
      <c r="G165">
        <f t="shared" si="9"/>
        <v>-3.2074475711974616E-2</v>
      </c>
      <c r="J165" s="2" t="s">
        <v>177</v>
      </c>
      <c r="K165">
        <f>B3363</f>
        <v>7.7689639076283555E-3</v>
      </c>
      <c r="L165">
        <f>C3363</f>
        <v>2.4014439722439034E-4</v>
      </c>
      <c r="M165">
        <f t="shared" si="11"/>
        <v>7.0878974428924641E-3</v>
      </c>
      <c r="N165">
        <f>D3363</f>
        <v>-2.0374150134517419E-2</v>
      </c>
      <c r="O165">
        <f>AVERAGEIFS(E3363:E3383,E3363:E3383,"&lt;=" &amp; N165)</f>
        <v>-2.1448457704090665E-2</v>
      </c>
      <c r="P165">
        <v>151.34080505371094</v>
      </c>
      <c r="Q165">
        <v>17.860399999999998</v>
      </c>
      <c r="R165">
        <f t="shared" si="10"/>
        <v>133.39378356933594</v>
      </c>
      <c r="S165">
        <v>7.0878974428924641E-3</v>
      </c>
      <c r="T165">
        <v>13.63</v>
      </c>
      <c r="V165" t="s">
        <v>228</v>
      </c>
      <c r="W165">
        <v>3.1586402967206509E-2</v>
      </c>
    </row>
    <row r="166" spans="1:30" x14ac:dyDescent="0.35">
      <c r="A166" t="s">
        <v>22</v>
      </c>
      <c r="E166">
        <v>1.1096483416914094E-2</v>
      </c>
      <c r="F166">
        <f t="shared" si="8"/>
        <v>-2.0662254901194888E-2</v>
      </c>
      <c r="G166">
        <f t="shared" si="9"/>
        <v>-3.2074475711974616E-2</v>
      </c>
      <c r="J166" s="2" t="s">
        <v>178</v>
      </c>
      <c r="K166">
        <f>B3384</f>
        <v>9.5223596118684632E-3</v>
      </c>
      <c r="L166">
        <f>C3384</f>
        <v>-6.7447808156300153E-4</v>
      </c>
      <c r="M166">
        <f t="shared" si="11"/>
        <v>7.7689639076283555E-3</v>
      </c>
      <c r="N166">
        <f>D3384</f>
        <v>-1.8099179255823383E-2</v>
      </c>
      <c r="O166">
        <f>AVERAGEIFS(E3384:E3404,E3384:E3404,"&lt;=" &amp; N166)</f>
        <v>-1.8501345506864792E-2</v>
      </c>
      <c r="P166">
        <v>108.43668365478516</v>
      </c>
      <c r="Q166">
        <v>17.411549999999998</v>
      </c>
      <c r="R166">
        <f t="shared" si="10"/>
        <v>151.34080505371094</v>
      </c>
      <c r="S166">
        <v>7.7689639076283555E-3</v>
      </c>
      <c r="T166">
        <v>13.57</v>
      </c>
      <c r="V166" t="s">
        <v>228</v>
      </c>
      <c r="W166">
        <v>2.6236051602384444E-2</v>
      </c>
      <c r="Y166" t="s">
        <v>387</v>
      </c>
    </row>
    <row r="167" spans="1:30" x14ac:dyDescent="0.35">
      <c r="A167" t="s">
        <v>22</v>
      </c>
      <c r="E167">
        <v>1.427135363730799E-2</v>
      </c>
      <c r="F167">
        <f t="shared" si="8"/>
        <v>-2.0663434494396372E-2</v>
      </c>
      <c r="G167">
        <f t="shared" si="9"/>
        <v>-3.2074475711974616E-2</v>
      </c>
      <c r="J167" s="2" t="s">
        <v>179</v>
      </c>
      <c r="K167">
        <f>B3405</f>
        <v>7.153463707830778E-3</v>
      </c>
      <c r="L167">
        <f>C3405</f>
        <v>-3.9184159003878587E-4</v>
      </c>
      <c r="M167">
        <f t="shared" si="11"/>
        <v>9.5223596118684632E-3</v>
      </c>
      <c r="N167">
        <f>D3405</f>
        <v>-1.206443913688972E-2</v>
      </c>
      <c r="O167">
        <f>AVERAGEIFS(E3405:E3425,E3405:E3425,"&lt;=" &amp; N167)</f>
        <v>-1.2283085392503701E-2</v>
      </c>
      <c r="P167">
        <v>120.35024261474609</v>
      </c>
      <c r="Q167">
        <v>18.48019</v>
      </c>
      <c r="R167">
        <f t="shared" si="10"/>
        <v>108.43668365478516</v>
      </c>
      <c r="S167">
        <v>9.5223596118684632E-3</v>
      </c>
      <c r="T167">
        <v>17.52</v>
      </c>
      <c r="V167" t="s">
        <v>229</v>
      </c>
      <c r="W167">
        <v>1.4623497198768584E-2</v>
      </c>
    </row>
    <row r="168" spans="1:30" ht="15" thickBot="1" x14ac:dyDescent="0.4">
      <c r="A168" t="s">
        <v>22</v>
      </c>
      <c r="E168">
        <v>3.8160477481903954E-3</v>
      </c>
      <c r="F168">
        <f t="shared" si="8"/>
        <v>-2.0664614087597857E-2</v>
      </c>
      <c r="G168">
        <f t="shared" si="9"/>
        <v>-3.2074475711974616E-2</v>
      </c>
      <c r="J168" s="2" t="s">
        <v>180</v>
      </c>
      <c r="K168">
        <f>B3426</f>
        <v>8.9117948478672805E-3</v>
      </c>
      <c r="L168">
        <f>C3426</f>
        <v>-2.0245013918404361E-3</v>
      </c>
      <c r="M168">
        <f t="shared" si="11"/>
        <v>7.153463707830778E-3</v>
      </c>
      <c r="N168">
        <f>D3426</f>
        <v>-1.6060267380574329E-2</v>
      </c>
      <c r="O168">
        <f>AVERAGEIFS(E3426:E3447,E3426:E3447,"&lt;=" &amp; N168)</f>
        <v>-1.6608891626236098E-2</v>
      </c>
      <c r="P168">
        <v>147.13681030273438</v>
      </c>
      <c r="Q168">
        <v>20.840789999999998</v>
      </c>
      <c r="R168">
        <f t="shared" si="10"/>
        <v>120.35024261474609</v>
      </c>
      <c r="S168">
        <v>7.153463707830778E-3</v>
      </c>
      <c r="T168">
        <v>18.14</v>
      </c>
      <c r="V168" s="6" t="s">
        <v>230</v>
      </c>
      <c r="W168" s="6">
        <v>183</v>
      </c>
    </row>
    <row r="169" spans="1:30" x14ac:dyDescent="0.35">
      <c r="A169" t="s">
        <v>23</v>
      </c>
      <c r="B169" s="3" cm="1">
        <f t="array" ref="B169">_xlfn.STDEV.S(_xlfn._xlws.FILTER($E$2:$E$1000, $A$2:$A$1000="2010-09"))</f>
        <v>1.2269489346395808E-2</v>
      </c>
      <c r="C169" s="3" cm="1">
        <f t="array" ref="C169">AVERAGE(_xlfn._xlws.FILTER($E$2:$E$1000, $A$2:$A$1000="2010-09"))</f>
        <v>1.4383117863042091E-3</v>
      </c>
      <c r="D169" s="3" cm="1">
        <f t="array" ref="D169">_xlfn.PERCENTILE.EXC(_xlfn._xlws.FILTER($E$126:$E$252, $A$126:$A$252="2010-09"), 0.05)</f>
        <v>-1.857341774425076E-2</v>
      </c>
      <c r="E169">
        <v>3.4520449808189635E-2</v>
      </c>
      <c r="F169">
        <f t="shared" si="8"/>
        <v>-2.0665793680799346E-2</v>
      </c>
      <c r="G169">
        <f t="shared" si="9"/>
        <v>-3.2074475711974616E-2</v>
      </c>
      <c r="J169" s="4" t="s">
        <v>181</v>
      </c>
      <c r="K169" s="3">
        <f>B3448</f>
        <v>6.3244536743770619E-3</v>
      </c>
      <c r="L169" s="3">
        <f>C3448</f>
        <v>4.9656030803454723E-3</v>
      </c>
      <c r="M169">
        <f t="shared" si="11"/>
        <v>8.9117948478672805E-3</v>
      </c>
      <c r="N169" s="3">
        <f>D3448</f>
        <v>-5.3411843974765349E-3</v>
      </c>
      <c r="O169" s="3">
        <f>AVERAGEIFS(E3448:E3469,E3448:E3469,"&lt;=" &amp; N169)</f>
        <v>-5.6540608344345187E-3</v>
      </c>
      <c r="P169" s="3">
        <v>145.526611328125</v>
      </c>
      <c r="Q169" s="3">
        <v>15.04454</v>
      </c>
      <c r="R169">
        <f t="shared" si="10"/>
        <v>147.13681030273438</v>
      </c>
      <c r="S169">
        <v>8.9117948478672805E-3</v>
      </c>
      <c r="T169" s="3">
        <v>12.92</v>
      </c>
    </row>
    <row r="170" spans="1:30" ht="15" thickBot="1" x14ac:dyDescent="0.4">
      <c r="A170" t="s">
        <v>23</v>
      </c>
      <c r="E170">
        <v>-6.8303421621070375E-4</v>
      </c>
      <c r="F170">
        <f t="shared" si="8"/>
        <v>-2.0666973274000831E-2</v>
      </c>
      <c r="G170">
        <f t="shared" si="9"/>
        <v>-3.2074475711974616E-2</v>
      </c>
      <c r="J170" s="2" t="s">
        <v>182</v>
      </c>
      <c r="K170">
        <f>B3470</f>
        <v>5.4777762126813935E-3</v>
      </c>
      <c r="L170">
        <f>C3470</f>
        <v>2.2921583188236129E-4</v>
      </c>
      <c r="M170">
        <f t="shared" si="11"/>
        <v>6.3244536743770619E-3</v>
      </c>
      <c r="N170">
        <f>D3470</f>
        <v>-1.0988098264046483E-2</v>
      </c>
      <c r="O170">
        <f>AVERAGEIFS(E3470:E3488,E3470:E3488,"&lt;=" &amp; N170)</f>
        <v>-1.0988098264046483E-2</v>
      </c>
      <c r="P170">
        <v>140.71475219726563</v>
      </c>
      <c r="Q170">
        <v>15.01905</v>
      </c>
      <c r="R170">
        <f t="shared" si="10"/>
        <v>145.526611328125</v>
      </c>
      <c r="S170">
        <v>6.3244536743770619E-3</v>
      </c>
      <c r="T170">
        <v>12.45</v>
      </c>
      <c r="V170" t="s">
        <v>231</v>
      </c>
    </row>
    <row r="171" spans="1:30" x14ac:dyDescent="0.35">
      <c r="A171" t="s">
        <v>23</v>
      </c>
      <c r="E171">
        <v>5.8475825424743975E-3</v>
      </c>
      <c r="F171">
        <f t="shared" si="8"/>
        <v>-2.0668152867202316E-2</v>
      </c>
      <c r="G171">
        <f t="shared" si="9"/>
        <v>-3.2074475711974616E-2</v>
      </c>
      <c r="J171" s="2" t="s">
        <v>183</v>
      </c>
      <c r="K171">
        <f>B3489</f>
        <v>8.882678014419795E-3</v>
      </c>
      <c r="L171">
        <f>C3489</f>
        <v>-1.09920955568087E-4</v>
      </c>
      <c r="M171">
        <f t="shared" si="11"/>
        <v>5.4777762126813935E-3</v>
      </c>
      <c r="N171">
        <f>D3489</f>
        <v>-1.437985269376834E-2</v>
      </c>
      <c r="O171">
        <f>AVERAGEIFS(E3489:E3510,E3489:E3510,"&lt;=" &amp; N171)</f>
        <v>-1.4672698886366055E-2</v>
      </c>
      <c r="P171">
        <v>129.10496520996094</v>
      </c>
      <c r="Q171">
        <v>16.078399999999998</v>
      </c>
      <c r="R171">
        <f t="shared" si="10"/>
        <v>140.71475219726563</v>
      </c>
      <c r="S171">
        <v>5.4777762126813935E-3</v>
      </c>
      <c r="T171">
        <v>14.35</v>
      </c>
      <c r="V171" s="7"/>
      <c r="W171" s="7" t="s">
        <v>236</v>
      </c>
      <c r="X171" s="7" t="s">
        <v>237</v>
      </c>
      <c r="Y171" s="7" t="s">
        <v>238</v>
      </c>
      <c r="Z171" s="7" t="s">
        <v>239</v>
      </c>
      <c r="AA171" s="7" t="s">
        <v>240</v>
      </c>
    </row>
    <row r="172" spans="1:30" x14ac:dyDescent="0.35">
      <c r="A172" t="s">
        <v>23</v>
      </c>
      <c r="E172">
        <v>2.1958250467232722E-3</v>
      </c>
      <c r="F172">
        <f t="shared" si="8"/>
        <v>-2.06693324604038E-2</v>
      </c>
      <c r="G172">
        <f t="shared" si="9"/>
        <v>-3.2074475711974616E-2</v>
      </c>
      <c r="J172" s="2" t="s">
        <v>184</v>
      </c>
      <c r="K172">
        <f>B3511</f>
        <v>6.1927509419736106E-3</v>
      </c>
      <c r="L172">
        <f>C3511</f>
        <v>-3.6237987902310563E-4</v>
      </c>
      <c r="M172">
        <f t="shared" si="11"/>
        <v>8.882678014419795E-3</v>
      </c>
      <c r="N172">
        <f>D3511</f>
        <v>-1.2060353423076212E-2</v>
      </c>
      <c r="O172">
        <f>AVERAGEIFS(E3511:E3531,E3511:E3531,"&lt;=" &amp; N172)</f>
        <v>-1.2117845919524074E-2</v>
      </c>
      <c r="P172">
        <v>120.03656005859375</v>
      </c>
      <c r="Q172">
        <v>14.885859999999999</v>
      </c>
      <c r="R172">
        <f t="shared" si="10"/>
        <v>129.10496520996094</v>
      </c>
      <c r="S172">
        <v>8.882678014419795E-3</v>
      </c>
      <c r="T172">
        <v>13.4</v>
      </c>
      <c r="V172" t="s">
        <v>232</v>
      </c>
      <c r="W172">
        <v>1</v>
      </c>
      <c r="X172">
        <v>1.2624679467613045E-3</v>
      </c>
      <c r="Y172">
        <v>1.2624679467613045E-3</v>
      </c>
      <c r="Z172">
        <v>5.9036128309036719</v>
      </c>
      <c r="AA172">
        <v>1.6086488785033531E-2</v>
      </c>
    </row>
    <row r="173" spans="1:30" x14ac:dyDescent="0.35">
      <c r="A173" t="s">
        <v>23</v>
      </c>
      <c r="E173">
        <v>-1.3610423446519741E-2</v>
      </c>
      <c r="F173">
        <f t="shared" si="8"/>
        <v>-2.0670512053605285E-2</v>
      </c>
      <c r="G173">
        <f t="shared" si="9"/>
        <v>-3.2074475711974616E-2</v>
      </c>
      <c r="J173" s="2" t="s">
        <v>185</v>
      </c>
      <c r="K173">
        <f>B3532</f>
        <v>5.7537654688664284E-3</v>
      </c>
      <c r="L173">
        <f>C3532</f>
        <v>5.0969556676341704E-3</v>
      </c>
      <c r="M173">
        <f t="shared" si="11"/>
        <v>6.1927509419736106E-3</v>
      </c>
      <c r="N173">
        <f>D3532</f>
        <v>-6.4834334615648942E-3</v>
      </c>
      <c r="O173">
        <f>AVERAGEIFS(E3532:E3551,E3532:E3551,"&lt;=" &amp; N173)</f>
        <v>-6.6505399274413438E-3</v>
      </c>
      <c r="P173">
        <v>146.37762451171875</v>
      </c>
      <c r="Q173">
        <v>14.443</v>
      </c>
      <c r="R173">
        <f t="shared" si="10"/>
        <v>120.03656005859375</v>
      </c>
      <c r="S173">
        <v>6.1927509419736106E-3</v>
      </c>
      <c r="T173">
        <v>13.01</v>
      </c>
      <c r="V173" t="s">
        <v>233</v>
      </c>
      <c r="W173">
        <v>181</v>
      </c>
      <c r="X173">
        <v>3.8706247328353059E-2</v>
      </c>
      <c r="Y173">
        <v>2.138466703223926E-4</v>
      </c>
    </row>
    <row r="174" spans="1:30" ht="15" thickBot="1" x14ac:dyDescent="0.4">
      <c r="A174" t="s">
        <v>23</v>
      </c>
      <c r="E174">
        <v>1.016846879212702E-2</v>
      </c>
      <c r="F174">
        <f t="shared" si="8"/>
        <v>-2.0671691646806774E-2</v>
      </c>
      <c r="G174">
        <f t="shared" si="9"/>
        <v>-3.2074475711974616E-2</v>
      </c>
      <c r="J174" s="2" t="s">
        <v>186</v>
      </c>
      <c r="K174">
        <f>B3552</f>
        <v>1.0969219518886637E-2</v>
      </c>
      <c r="L174">
        <f>C3552</f>
        <v>-9.563652458154338E-4</v>
      </c>
      <c r="M174">
        <f t="shared" si="11"/>
        <v>5.7537654688664284E-3</v>
      </c>
      <c r="N174">
        <f>D3552</f>
        <v>-2.1791519993793085E-2</v>
      </c>
      <c r="O174">
        <f>AVERAGEIFS(E3552:E3572,E3552:E3572,"&lt;=" &amp; N174)</f>
        <v>-2.2446650057956003E-2</v>
      </c>
      <c r="P174">
        <v>141.76150512695313</v>
      </c>
      <c r="Q174">
        <v>16.62208</v>
      </c>
      <c r="R174">
        <f t="shared" si="10"/>
        <v>146.37762451171875</v>
      </c>
      <c r="S174">
        <v>5.7537654688664284E-3</v>
      </c>
      <c r="T174">
        <v>15.65</v>
      </c>
      <c r="V174" s="6" t="s">
        <v>234</v>
      </c>
      <c r="W174" s="6">
        <v>182</v>
      </c>
      <c r="X174" s="6">
        <v>3.9968715275114364E-2</v>
      </c>
      <c r="Y174" s="6"/>
      <c r="Z174" s="6"/>
      <c r="AA174" s="6"/>
    </row>
    <row r="175" spans="1:30" ht="15" thickBot="1" x14ac:dyDescent="0.4">
      <c r="A175" t="s">
        <v>23</v>
      </c>
      <c r="E175">
        <v>1.1897356648674152E-2</v>
      </c>
      <c r="F175">
        <f t="shared" si="8"/>
        <v>-2.0672871240008259E-2</v>
      </c>
      <c r="G175">
        <f t="shared" si="9"/>
        <v>-3.2074475711974616E-2</v>
      </c>
      <c r="J175" s="2" t="s">
        <v>187</v>
      </c>
      <c r="K175">
        <f>B3573</f>
        <v>7.9732242449839699E-3</v>
      </c>
      <c r="L175">
        <f>C3573</f>
        <v>2.1088603939565524E-3</v>
      </c>
      <c r="M175">
        <f t="shared" si="11"/>
        <v>1.0969219518886637E-2</v>
      </c>
      <c r="N175">
        <f>D3573</f>
        <v>-1.1556254245570436E-2</v>
      </c>
      <c r="O175">
        <f>AVERAGEIFS(E3573:E3592,E3573:E3592,"&lt;=" &amp; N175)</f>
        <v>-1.1676633820819862E-2</v>
      </c>
      <c r="P175">
        <v>187.38909912109375</v>
      </c>
      <c r="Q175">
        <v>15.33592</v>
      </c>
      <c r="R175">
        <f t="shared" si="10"/>
        <v>141.76150512695313</v>
      </c>
      <c r="S175">
        <v>1.0969219518886637E-2</v>
      </c>
      <c r="T175">
        <v>12.92</v>
      </c>
    </row>
    <row r="176" spans="1:30" x14ac:dyDescent="0.35">
      <c r="A176" t="s">
        <v>23</v>
      </c>
      <c r="E176">
        <v>-2.1773165943111965E-3</v>
      </c>
      <c r="F176">
        <f t="shared" si="8"/>
        <v>-2.0674050833209744E-2</v>
      </c>
      <c r="G176">
        <f t="shared" si="9"/>
        <v>-3.2074475711974616E-2</v>
      </c>
      <c r="J176" s="2" t="s">
        <v>188</v>
      </c>
      <c r="K176">
        <f>B3593</f>
        <v>8.6943501489701158E-3</v>
      </c>
      <c r="L176">
        <f>C3593</f>
        <v>-1.6991893695349411E-3</v>
      </c>
      <c r="M176">
        <f t="shared" si="11"/>
        <v>7.9732242449839699E-3</v>
      </c>
      <c r="N176">
        <f>D3593</f>
        <v>-1.6125259471283033E-2</v>
      </c>
      <c r="O176">
        <f>AVERAGEIFS(E3593:E3612,E3593:E3612,"&lt;=" &amp; N176)</f>
        <v>-1.6128021810843215E-2</v>
      </c>
      <c r="P176">
        <v>151.78120422363281</v>
      </c>
      <c r="Q176">
        <v>19.606960000000001</v>
      </c>
      <c r="R176">
        <f t="shared" si="10"/>
        <v>187.38909912109375</v>
      </c>
      <c r="S176">
        <v>7.9732242449839699E-3</v>
      </c>
      <c r="T176">
        <v>12.44</v>
      </c>
      <c r="V176" s="7"/>
      <c r="W176" s="7" t="s">
        <v>241</v>
      </c>
      <c r="X176" s="7" t="s">
        <v>229</v>
      </c>
      <c r="Y176" s="7" t="s">
        <v>242</v>
      </c>
      <c r="Z176" s="7" t="s">
        <v>243</v>
      </c>
      <c r="AA176" s="7" t="s">
        <v>244</v>
      </c>
      <c r="AB176" s="7" t="s">
        <v>245</v>
      </c>
      <c r="AC176" s="7" t="s">
        <v>246</v>
      </c>
      <c r="AD176" s="7" t="s">
        <v>247</v>
      </c>
    </row>
    <row r="177" spans="1:30" x14ac:dyDescent="0.35">
      <c r="A177" t="s">
        <v>23</v>
      </c>
      <c r="E177">
        <v>7.0474031820253399E-3</v>
      </c>
      <c r="F177">
        <f t="shared" si="8"/>
        <v>-2.0675230426411229E-2</v>
      </c>
      <c r="G177">
        <f t="shared" si="9"/>
        <v>-3.2074475711974616E-2</v>
      </c>
      <c r="J177" s="2" t="s">
        <v>189</v>
      </c>
      <c r="K177">
        <f>B3613</f>
        <v>8.1300686784159457E-3</v>
      </c>
      <c r="L177">
        <f>C3613</f>
        <v>4.7926196866277567E-4</v>
      </c>
      <c r="M177">
        <f t="shared" si="11"/>
        <v>8.6943501489701158E-3</v>
      </c>
      <c r="N177">
        <f>D3613</f>
        <v>-1.2973623633632053E-2</v>
      </c>
      <c r="O177">
        <f>AVERAGEIFS(E3613:E3635,E3613:E3635,"&lt;=" &amp; N177)</f>
        <v>-1.3127299363491302E-2</v>
      </c>
      <c r="P177">
        <v>128.46844482421875</v>
      </c>
      <c r="Q177">
        <v>17.017040000000001</v>
      </c>
      <c r="R177">
        <f t="shared" si="10"/>
        <v>151.78120422363281</v>
      </c>
      <c r="S177">
        <v>8.6943501489701158E-3</v>
      </c>
      <c r="T177">
        <v>16.36</v>
      </c>
      <c r="V177" t="s">
        <v>235</v>
      </c>
      <c r="W177">
        <v>-1.2792029685279798E-2</v>
      </c>
      <c r="X177">
        <v>4.9769601024518117E-3</v>
      </c>
      <c r="Y177">
        <v>-2.5702495945221724</v>
      </c>
      <c r="Z177">
        <v>1.0967129594814653E-2</v>
      </c>
      <c r="AA177">
        <v>-2.261235355997776E-2</v>
      </c>
      <c r="AB177">
        <v>-2.9717058105818341E-3</v>
      </c>
      <c r="AC177">
        <v>-2.261235355997776E-2</v>
      </c>
      <c r="AD177">
        <v>-2.9717058105818341E-3</v>
      </c>
    </row>
    <row r="178" spans="1:30" ht="15" thickBot="1" x14ac:dyDescent="0.4">
      <c r="A178" t="s">
        <v>23</v>
      </c>
      <c r="E178">
        <v>3.8383492178285369E-3</v>
      </c>
      <c r="F178">
        <f t="shared" si="8"/>
        <v>-2.0676410019612713E-2</v>
      </c>
      <c r="G178">
        <f t="shared" si="9"/>
        <v>-3.2074475711974616E-2</v>
      </c>
      <c r="J178" s="2" t="s">
        <v>190</v>
      </c>
      <c r="K178">
        <f>B3636</f>
        <v>1.1251275247929316E-2</v>
      </c>
      <c r="L178">
        <f>C3636</f>
        <v>1.4996517338378599E-3</v>
      </c>
      <c r="M178">
        <f t="shared" si="11"/>
        <v>8.1300686784159457E-3</v>
      </c>
      <c r="N178">
        <f>D3636</f>
        <v>-2.3433095708264223E-2</v>
      </c>
      <c r="O178">
        <f>AVERAGEIFS(E3636:E3655,E3636:E3655,"&lt;=" &amp; N178)</f>
        <v>-2.3654539763231404E-2</v>
      </c>
      <c r="P178">
        <v>159.06077575683594</v>
      </c>
      <c r="Q178">
        <v>16.872800000000002</v>
      </c>
      <c r="R178">
        <f t="shared" si="10"/>
        <v>128.46844482421875</v>
      </c>
      <c r="S178">
        <v>8.1300686784159457E-3</v>
      </c>
      <c r="T178">
        <v>15</v>
      </c>
      <c r="V178" s="6" t="s">
        <v>248</v>
      </c>
      <c r="W178" s="6">
        <v>-8.416502721523765E-5</v>
      </c>
      <c r="X178" s="6">
        <v>3.4639589299140002E-5</v>
      </c>
      <c r="Y178" s="6">
        <v>-2.4297351359569155</v>
      </c>
      <c r="Z178" s="6">
        <v>1.6086488785034464E-2</v>
      </c>
      <c r="AA178" s="6">
        <v>-1.525143767783368E-4</v>
      </c>
      <c r="AB178" s="6">
        <v>-1.5815677652138488E-5</v>
      </c>
      <c r="AC178" s="6">
        <v>-1.525143767783368E-4</v>
      </c>
      <c r="AD178" s="6">
        <v>-1.5815677652138488E-5</v>
      </c>
    </row>
    <row r="179" spans="1:30" x14ac:dyDescent="0.35">
      <c r="A179" t="s">
        <v>23</v>
      </c>
      <c r="E179">
        <v>-5.0838761716166065E-3</v>
      </c>
      <c r="F179">
        <f t="shared" si="8"/>
        <v>-2.0677589612814202E-2</v>
      </c>
      <c r="G179">
        <f t="shared" si="9"/>
        <v>-3.2074475711974616E-2</v>
      </c>
      <c r="J179" s="2" t="s">
        <v>191</v>
      </c>
      <c r="K179">
        <f>B3656</f>
        <v>7.3084559666168024E-3</v>
      </c>
      <c r="L179">
        <f>C3656</f>
        <v>1.9451908189092996E-3</v>
      </c>
      <c r="M179">
        <f t="shared" si="11"/>
        <v>1.1251275247929316E-2</v>
      </c>
      <c r="N179">
        <f>D3656</f>
        <v>-1.0112069834686377E-2</v>
      </c>
      <c r="O179">
        <f>AVERAGEIFS(E3656:E3676,E3656:E3676,"&lt;=" &amp; N179)</f>
        <v>-1.0240668118626096E-2</v>
      </c>
      <c r="P179">
        <v>148.10163879394531</v>
      </c>
      <c r="Q179">
        <v>20.138529999999999</v>
      </c>
      <c r="R179">
        <f t="shared" si="10"/>
        <v>159.06077575683594</v>
      </c>
      <c r="S179">
        <v>1.1251275247929316E-2</v>
      </c>
      <c r="T179">
        <v>16.73</v>
      </c>
    </row>
    <row r="180" spans="1:30" x14ac:dyDescent="0.35">
      <c r="A180" t="s">
        <v>23</v>
      </c>
      <c r="E180">
        <v>-3.2605787995648164E-3</v>
      </c>
      <c r="F180">
        <f t="shared" si="8"/>
        <v>-2.0678769206015687E-2</v>
      </c>
      <c r="G180">
        <f t="shared" si="9"/>
        <v>-3.2074475711974616E-2</v>
      </c>
      <c r="J180" s="2" t="s">
        <v>192</v>
      </c>
      <c r="K180">
        <f>B3677</f>
        <v>6.6450298973491136E-3</v>
      </c>
      <c r="L180">
        <f>C3677</f>
        <v>-7.5586088720042859E-4</v>
      </c>
      <c r="M180">
        <f t="shared" si="11"/>
        <v>7.3084559666168024E-3</v>
      </c>
      <c r="N180">
        <f>D3677</f>
        <v>-1.5680825996489171E-2</v>
      </c>
      <c r="O180">
        <f>AVERAGEIFS(E3677:E3699,E3677:E3699,"&lt;=" &amp; N180)</f>
        <v>-1.730769973351081E-2</v>
      </c>
      <c r="P180">
        <v>156.1649169921875</v>
      </c>
      <c r="Q180">
        <v>23.603339999999999</v>
      </c>
      <c r="R180">
        <f t="shared" si="10"/>
        <v>148.10163879394531</v>
      </c>
      <c r="S180">
        <v>7.3084559666168024E-3</v>
      </c>
      <c r="T180">
        <v>23.16</v>
      </c>
    </row>
    <row r="181" spans="1:30" x14ac:dyDescent="0.35">
      <c r="A181" t="s">
        <v>23</v>
      </c>
      <c r="E181">
        <v>-1.2034652932505817E-2</v>
      </c>
      <c r="F181">
        <f t="shared" si="8"/>
        <v>-2.0700086384439639E-2</v>
      </c>
      <c r="G181">
        <f t="shared" si="9"/>
        <v>-3.2137435416427426E-2</v>
      </c>
      <c r="J181" s="2" t="s">
        <v>193</v>
      </c>
      <c r="K181">
        <f>B3700</f>
        <v>9.9048788573868514E-3</v>
      </c>
      <c r="L181">
        <f>C3700</f>
        <v>-1.2786166930210731E-4</v>
      </c>
      <c r="M181">
        <f t="shared" si="11"/>
        <v>6.6450298973491136E-3</v>
      </c>
      <c r="N181">
        <f>D3700</f>
        <v>-2.8398666964042849E-2</v>
      </c>
      <c r="O181">
        <f>AVERAGEIFS(E3700:E3720,E3700:E3720,"&lt;=" &amp; N181)</f>
        <v>-2.9477803427300973E-2</v>
      </c>
      <c r="P181">
        <v>180.67481994628906</v>
      </c>
      <c r="Q181">
        <v>17.92407</v>
      </c>
      <c r="R181">
        <f t="shared" si="10"/>
        <v>156.1649169921875</v>
      </c>
      <c r="S181">
        <v>6.6450298973491136E-3</v>
      </c>
      <c r="T181">
        <v>13.51</v>
      </c>
    </row>
    <row r="182" spans="1:30" x14ac:dyDescent="0.35">
      <c r="A182" t="s">
        <v>23</v>
      </c>
      <c r="E182">
        <v>1.4485737342696717E-2</v>
      </c>
      <c r="F182">
        <f t="shared" si="8"/>
        <v>-2.0721403562863606E-2</v>
      </c>
      <c r="G182">
        <f t="shared" si="9"/>
        <v>-3.2137435416427426E-2</v>
      </c>
      <c r="J182" s="2" t="s">
        <v>194</v>
      </c>
      <c r="K182">
        <f>B3721</f>
        <v>8.8879457758241093E-3</v>
      </c>
      <c r="L182">
        <f>C3721</f>
        <v>-5.0095520278824505E-4</v>
      </c>
      <c r="M182">
        <f t="shared" si="11"/>
        <v>9.9048788573868514E-3</v>
      </c>
      <c r="N182">
        <f>D3721</f>
        <v>-1.5569644839351001E-2</v>
      </c>
      <c r="O182">
        <f>AVERAGEIFS(E3721:E3738,E3721:E3738,"&lt;=" &amp; N182)</f>
        <v>-1.6305616173191526E-2</v>
      </c>
      <c r="P182">
        <v>180.97763061523438</v>
      </c>
      <c r="Q182">
        <v>17.672920000000001</v>
      </c>
      <c r="R182">
        <f t="shared" si="10"/>
        <v>180.67481994628906</v>
      </c>
      <c r="S182">
        <v>9.9048788573868514E-3</v>
      </c>
      <c r="T182">
        <v>17.350000000000001</v>
      </c>
    </row>
    <row r="183" spans="1:30" x14ac:dyDescent="0.35">
      <c r="A183" t="s">
        <v>23</v>
      </c>
      <c r="E183">
        <v>1.8041817259100736E-3</v>
      </c>
      <c r="F183">
        <f t="shared" si="8"/>
        <v>-2.0742720741287562E-2</v>
      </c>
      <c r="G183">
        <f t="shared" si="9"/>
        <v>-3.2137435416427426E-2</v>
      </c>
      <c r="J183" s="2" t="s">
        <v>195</v>
      </c>
      <c r="K183">
        <f>B3739</f>
        <v>7.5326615359845974E-3</v>
      </c>
      <c r="L183">
        <f>C3739</f>
        <v>3.1656059712053975E-3</v>
      </c>
      <c r="M183">
        <f t="shared" si="11"/>
        <v>8.8879457758241093E-3</v>
      </c>
      <c r="N183">
        <f>D3739</f>
        <v>-1.3571807256934037E-2</v>
      </c>
      <c r="O183">
        <f>AVERAGEIFS(E3739:E3760,E3739:E3760,"&lt;=" &amp; N183)</f>
        <v>-1.5106001848499971E-2</v>
      </c>
      <c r="P183">
        <v>191.90888977050781</v>
      </c>
      <c r="Q183">
        <v>16.003240000000002</v>
      </c>
      <c r="R183">
        <f t="shared" si="10"/>
        <v>180.97763061523438</v>
      </c>
      <c r="S183">
        <v>8.8879457758241093E-3</v>
      </c>
      <c r="T183">
        <v>16.43</v>
      </c>
      <c r="V183" t="s">
        <v>225</v>
      </c>
    </row>
    <row r="184" spans="1:30" ht="15" thickBot="1" x14ac:dyDescent="0.4">
      <c r="A184" t="s">
        <v>23</v>
      </c>
      <c r="E184">
        <v>-1.9449240267379764E-2</v>
      </c>
      <c r="F184">
        <f t="shared" si="8"/>
        <v>-2.0764037919711528E-2</v>
      </c>
      <c r="G184">
        <f t="shared" si="9"/>
        <v>-3.2137435416427426E-2</v>
      </c>
      <c r="J184" s="2" t="s">
        <v>196</v>
      </c>
      <c r="K184">
        <f>B3761</f>
        <v>8.711068020591E-3</v>
      </c>
      <c r="L184">
        <f>C3761</f>
        <v>3.8064429784142135E-3</v>
      </c>
      <c r="M184">
        <f t="shared" si="11"/>
        <v>7.5326615359845974E-3</v>
      </c>
      <c r="N184">
        <f>D3761</f>
        <v>-1.6294985894721125E-2</v>
      </c>
      <c r="O184">
        <f>AVERAGEIFS(E3761:E3780,E3761:E3780,"&lt;=" &amp; N184)</f>
        <v>-1.6453984677158126E-2</v>
      </c>
      <c r="P184">
        <v>147.65110778808594</v>
      </c>
      <c r="Q184">
        <v>19.36608</v>
      </c>
      <c r="R184">
        <f t="shared" si="10"/>
        <v>191.90888977050781</v>
      </c>
      <c r="S184">
        <v>7.5326615359845974E-3</v>
      </c>
      <c r="T184">
        <v>19.63</v>
      </c>
    </row>
    <row r="185" spans="1:30" x14ac:dyDescent="0.35">
      <c r="A185" t="s">
        <v>23</v>
      </c>
      <c r="E185">
        <v>-5.1005253832445713E-3</v>
      </c>
      <c r="F185">
        <f t="shared" si="8"/>
        <v>-2.0785355098135495E-2</v>
      </c>
      <c r="G185">
        <f t="shared" si="9"/>
        <v>-3.2137435416427426E-2</v>
      </c>
      <c r="J185" s="2" t="s">
        <v>197</v>
      </c>
      <c r="K185">
        <f>B3781</f>
        <v>1.0904835014980399E-2</v>
      </c>
      <c r="L185">
        <f>C3781</f>
        <v>-7.6205912088125817E-4</v>
      </c>
      <c r="M185">
        <f t="shared" si="11"/>
        <v>8.711068020591E-3</v>
      </c>
      <c r="N185">
        <f>D3781</f>
        <v>-2.4856805792810695E-2</v>
      </c>
      <c r="O185">
        <f>AVERAGEIFS(E3781:E3801,E3781:E3801,"&lt;=" &amp; N185)</f>
        <v>-2.5860375839437146E-2</v>
      </c>
      <c r="P185">
        <v>174.87113952636719</v>
      </c>
      <c r="Q185">
        <v>23.943390000000001</v>
      </c>
      <c r="R185">
        <f t="shared" si="10"/>
        <v>147.65110778808594</v>
      </c>
      <c r="S185">
        <v>8.711068020591E-3</v>
      </c>
      <c r="T185">
        <v>22.28</v>
      </c>
      <c r="V185" s="8" t="s">
        <v>226</v>
      </c>
      <c r="W185" s="8"/>
    </row>
    <row r="186" spans="1:30" x14ac:dyDescent="0.35">
      <c r="A186" t="s">
        <v>23</v>
      </c>
      <c r="E186">
        <v>2.130175557327162E-2</v>
      </c>
      <c r="F186">
        <f t="shared" si="8"/>
        <v>-2.0806672276559447E-2</v>
      </c>
      <c r="G186">
        <f t="shared" si="9"/>
        <v>-3.2137435416427426E-2</v>
      </c>
      <c r="J186" s="2" t="s">
        <v>198</v>
      </c>
      <c r="K186">
        <f>B3802</f>
        <v>2.6368889363732533E-2</v>
      </c>
      <c r="L186">
        <f>C3802</f>
        <v>9.7661377320127198E-4</v>
      </c>
      <c r="M186">
        <f t="shared" si="11"/>
        <v>1.0904835014980399E-2</v>
      </c>
      <c r="N186">
        <f>D3802</f>
        <v>-5.4075111014272204E-2</v>
      </c>
      <c r="O186">
        <f>AVERAGEIFS(E3802:E3818,E3802:E3818,"&lt;=" &amp; N186)</f>
        <v>-6.0080846467510232E-2</v>
      </c>
      <c r="P186">
        <v>212.14144897460938</v>
      </c>
      <c r="R186">
        <f t="shared" si="10"/>
        <v>174.87113952636719</v>
      </c>
      <c r="S186">
        <v>1.0904835014980399E-2</v>
      </c>
      <c r="T186">
        <v>22.28</v>
      </c>
      <c r="V186" t="s">
        <v>227</v>
      </c>
      <c r="W186">
        <v>0.47819431818515107</v>
      </c>
    </row>
    <row r="187" spans="1:30" x14ac:dyDescent="0.35">
      <c r="A187" t="s">
        <v>23</v>
      </c>
      <c r="E187">
        <v>-1.0740194896811038E-2</v>
      </c>
      <c r="F187">
        <f t="shared" si="8"/>
        <v>-2.0827989454983414E-2</v>
      </c>
      <c r="G187">
        <f t="shared" si="9"/>
        <v>-3.2137435416427426E-2</v>
      </c>
      <c r="V187" t="s">
        <v>228</v>
      </c>
      <c r="W187">
        <v>0.22866980594456149</v>
      </c>
      <c r="Y187" t="s">
        <v>388</v>
      </c>
    </row>
    <row r="188" spans="1:30" x14ac:dyDescent="0.35">
      <c r="A188" t="s">
        <v>23</v>
      </c>
      <c r="E188">
        <v>-2.1034072564565754E-3</v>
      </c>
      <c r="F188">
        <f t="shared" si="8"/>
        <v>-2.084930663340737E-2</v>
      </c>
      <c r="G188">
        <f t="shared" si="9"/>
        <v>-3.2137435416427426E-2</v>
      </c>
      <c r="V188" t="s">
        <v>228</v>
      </c>
      <c r="W188">
        <v>0.21574248425648151</v>
      </c>
    </row>
    <row r="189" spans="1:30" x14ac:dyDescent="0.35">
      <c r="A189" t="s">
        <v>23</v>
      </c>
      <c r="E189">
        <v>-9.8589340838671161E-3</v>
      </c>
      <c r="F189">
        <f t="shared" si="8"/>
        <v>-2.0870623811831336E-2</v>
      </c>
      <c r="G189">
        <f t="shared" si="9"/>
        <v>-3.2137435416427426E-2</v>
      </c>
      <c r="V189" t="s">
        <v>229</v>
      </c>
      <c r="W189">
        <v>1.3123622973105651E-2</v>
      </c>
    </row>
    <row r="190" spans="1:30" ht="15" thickBot="1" x14ac:dyDescent="0.4">
      <c r="A190" t="s">
        <v>23</v>
      </c>
      <c r="E190">
        <v>2.6379334672597737E-3</v>
      </c>
      <c r="F190">
        <f t="shared" si="8"/>
        <v>-2.0891940990255299E-2</v>
      </c>
      <c r="G190">
        <f t="shared" si="9"/>
        <v>-3.2137435416427426E-2</v>
      </c>
      <c r="V190" s="6" t="s">
        <v>230</v>
      </c>
      <c r="W190" s="6">
        <v>183</v>
      </c>
    </row>
    <row r="191" spans="1:30" x14ac:dyDescent="0.35">
      <c r="A191" t="s">
        <v>24</v>
      </c>
      <c r="B191" s="3" cm="1">
        <f t="array" ref="B191">_xlfn.STDEV.S(_xlfn._xlws.FILTER($E$2:$E$1000, $A$2:$A$1000="2010-10"))</f>
        <v>8.3606317816655798E-3</v>
      </c>
      <c r="C191" s="3" cm="1">
        <f t="array" ref="C191">AVERAGE(_xlfn._xlws.FILTER($E$2:$E$1000, $A$2:$A$1000="2010-10"))</f>
        <v>1.3326004231790413E-3</v>
      </c>
      <c r="D191" s="3" cm="1">
        <f t="array" ref="D191">_xlfn.PERCENTILE.EXC(_xlfn._xlws.FILTER($E$126:$E$252, $A$126:$A$252="2010-10"), 0.05)</f>
        <v>-8.8495792089510004E-3</v>
      </c>
      <c r="E191">
        <v>-6.1437091635973013E-3</v>
      </c>
      <c r="F191">
        <f t="shared" si="8"/>
        <v>-2.0913258168679255E-2</v>
      </c>
      <c r="G191">
        <f t="shared" si="9"/>
        <v>-3.2137435416427426E-2</v>
      </c>
    </row>
    <row r="192" spans="1:30" ht="15" thickBot="1" x14ac:dyDescent="0.4">
      <c r="A192" t="s">
        <v>24</v>
      </c>
      <c r="E192">
        <v>-6.4416944217073994E-3</v>
      </c>
      <c r="F192">
        <f t="shared" si="8"/>
        <v>-2.0934575347103222E-2</v>
      </c>
      <c r="G192">
        <f t="shared" si="9"/>
        <v>-3.2137435416427426E-2</v>
      </c>
      <c r="V192" t="s">
        <v>231</v>
      </c>
    </row>
    <row r="193" spans="1:30" x14ac:dyDescent="0.35">
      <c r="A193" t="s">
        <v>24</v>
      </c>
      <c r="E193">
        <v>2.550270854298534E-2</v>
      </c>
      <c r="F193">
        <f t="shared" si="8"/>
        <v>-2.0955892525527174E-2</v>
      </c>
      <c r="G193">
        <f t="shared" si="9"/>
        <v>-3.2137435416427426E-2</v>
      </c>
      <c r="V193" s="7"/>
      <c r="W193" s="7" t="s">
        <v>236</v>
      </c>
      <c r="X193" s="7" t="s">
        <v>237</v>
      </c>
      <c r="Y193" s="7" t="s">
        <v>238</v>
      </c>
      <c r="Z193" s="7" t="s">
        <v>239</v>
      </c>
      <c r="AA193" s="7" t="s">
        <v>240</v>
      </c>
    </row>
    <row r="194" spans="1:30" x14ac:dyDescent="0.35">
      <c r="A194" t="s">
        <v>24</v>
      </c>
      <c r="E194">
        <v>4.5898710176579365E-3</v>
      </c>
      <c r="F194">
        <f t="shared" si="8"/>
        <v>-2.0977209703951141E-2</v>
      </c>
      <c r="G194">
        <f t="shared" si="9"/>
        <v>-3.2137435416427426E-2</v>
      </c>
      <c r="V194" t="s">
        <v>232</v>
      </c>
      <c r="W194">
        <v>3</v>
      </c>
      <c r="X194">
        <v>9.1396383658138326E-3</v>
      </c>
      <c r="Y194">
        <v>3.0465461219379444E-3</v>
      </c>
      <c r="Z194">
        <v>17.688877206127962</v>
      </c>
      <c r="AA194">
        <v>4.223510419635199E-10</v>
      </c>
    </row>
    <row r="195" spans="1:30" x14ac:dyDescent="0.35">
      <c r="A195" t="s">
        <v>24</v>
      </c>
      <c r="E195">
        <v>3.740588769534424E-3</v>
      </c>
      <c r="F195">
        <f t="shared" si="8"/>
        <v>-2.0998526882375107E-2</v>
      </c>
      <c r="G195">
        <f t="shared" si="9"/>
        <v>-3.2137435416427426E-2</v>
      </c>
      <c r="V195" t="s">
        <v>233</v>
      </c>
      <c r="W195">
        <v>179</v>
      </c>
      <c r="X195">
        <v>3.0829076909300531E-2</v>
      </c>
      <c r="Y195">
        <v>1.7222947994022643E-4</v>
      </c>
    </row>
    <row r="196" spans="1:30" ht="15" thickBot="1" x14ac:dyDescent="0.4">
      <c r="A196" t="s">
        <v>24</v>
      </c>
      <c r="E196">
        <v>-1.8172419276130545E-3</v>
      </c>
      <c r="F196">
        <f t="shared" ref="F196:F259" si="12">_xlfn.PERCENTILE.EXC(E196:E4011,0.05)</f>
        <v>-2.1019844060799063E-2</v>
      </c>
      <c r="G196">
        <f t="shared" ref="G196:G259" si="13">AVERAGEIFS(E196:E4012,E196:E4012,"&lt;=" &amp; F196)</f>
        <v>-3.2137435416427426E-2</v>
      </c>
      <c r="V196" s="6" t="s">
        <v>234</v>
      </c>
      <c r="W196" s="6">
        <v>182</v>
      </c>
      <c r="X196" s="6">
        <v>3.9968715275114364E-2</v>
      </c>
      <c r="Y196" s="6"/>
      <c r="Z196" s="6"/>
      <c r="AA196" s="6"/>
    </row>
    <row r="197" spans="1:30" ht="15" thickBot="1" x14ac:dyDescent="0.4">
      <c r="A197" t="s">
        <v>24</v>
      </c>
      <c r="E197">
        <v>-1.8672746957455048E-3</v>
      </c>
      <c r="F197">
        <f t="shared" si="12"/>
        <v>-2.1041161239223029E-2</v>
      </c>
      <c r="G197">
        <f t="shared" si="13"/>
        <v>-3.2137435416427426E-2</v>
      </c>
    </row>
    <row r="198" spans="1:30" x14ac:dyDescent="0.35">
      <c r="A198" t="s">
        <v>24</v>
      </c>
      <c r="E198">
        <v>-4.9276412416988163E-3</v>
      </c>
      <c r="F198">
        <f t="shared" si="12"/>
        <v>-2.1062478417646982E-2</v>
      </c>
      <c r="G198">
        <f t="shared" si="13"/>
        <v>-3.2137435416427426E-2</v>
      </c>
      <c r="V198" s="7"/>
      <c r="W198" s="7" t="s">
        <v>241</v>
      </c>
      <c r="X198" s="7" t="s">
        <v>229</v>
      </c>
      <c r="Y198" s="7" t="s">
        <v>242</v>
      </c>
      <c r="Z198" s="7" t="s">
        <v>243</v>
      </c>
      <c r="AA198" s="7" t="s">
        <v>244</v>
      </c>
      <c r="AB198" s="7" t="s">
        <v>245</v>
      </c>
      <c r="AC198" s="7" t="s">
        <v>246</v>
      </c>
      <c r="AD198" s="7" t="s">
        <v>247</v>
      </c>
    </row>
    <row r="199" spans="1:30" x14ac:dyDescent="0.35">
      <c r="A199" t="s">
        <v>24</v>
      </c>
      <c r="E199">
        <v>2.0256987319136721E-2</v>
      </c>
      <c r="F199">
        <f t="shared" si="12"/>
        <v>-2.1083795596070948E-2</v>
      </c>
      <c r="G199">
        <f t="shared" si="13"/>
        <v>-3.2137435416427426E-2</v>
      </c>
      <c r="V199" t="s">
        <v>235</v>
      </c>
      <c r="W199">
        <v>-4.6266143958546991E-3</v>
      </c>
      <c r="X199">
        <v>4.6416021930800102E-3</v>
      </c>
      <c r="Y199">
        <v>-0.99677098626684213</v>
      </c>
      <c r="Z199">
        <v>0.32022122457136803</v>
      </c>
      <c r="AA199">
        <v>-1.3785913225189969E-2</v>
      </c>
      <c r="AB199">
        <v>4.5326844334805712E-3</v>
      </c>
      <c r="AC199">
        <v>-1.3785913225189969E-2</v>
      </c>
      <c r="AD199">
        <v>4.5326844334805712E-3</v>
      </c>
    </row>
    <row r="200" spans="1:30" x14ac:dyDescent="0.35">
      <c r="A200" t="s">
        <v>24</v>
      </c>
      <c r="E200">
        <v>-1.5104212709525174E-3</v>
      </c>
      <c r="F200">
        <f t="shared" si="12"/>
        <v>-2.1105112774494915E-2</v>
      </c>
      <c r="G200">
        <f t="shared" si="13"/>
        <v>-3.2137435416427426E-2</v>
      </c>
      <c r="V200" t="s">
        <v>248</v>
      </c>
      <c r="W200">
        <v>1.4182498760266658E-5</v>
      </c>
      <c r="X200">
        <v>3.4374073057717577E-5</v>
      </c>
      <c r="Y200">
        <v>0.41259290792955478</v>
      </c>
      <c r="Z200">
        <v>0.68039864531408245</v>
      </c>
      <c r="AA200">
        <v>-5.3648046387791136E-5</v>
      </c>
      <c r="AB200">
        <v>8.2013043908324448E-5</v>
      </c>
      <c r="AC200">
        <v>-5.3648046387791136E-5</v>
      </c>
      <c r="AD200">
        <v>8.2013043908324448E-5</v>
      </c>
    </row>
    <row r="201" spans="1:30" x14ac:dyDescent="0.35">
      <c r="A201" t="s">
        <v>24</v>
      </c>
      <c r="E201">
        <v>1.7036642101348467E-3</v>
      </c>
      <c r="F201">
        <f t="shared" si="12"/>
        <v>-2.1107259996594328E-2</v>
      </c>
      <c r="G201">
        <f t="shared" si="13"/>
        <v>-3.2198726097771489E-2</v>
      </c>
      <c r="V201" t="s">
        <v>251</v>
      </c>
      <c r="W201">
        <v>-0.62803791432963951</v>
      </c>
      <c r="X201">
        <v>0.19285678743118495</v>
      </c>
      <c r="Y201">
        <v>-3.2564988906793628</v>
      </c>
      <c r="Z201">
        <v>1.349232372036675E-3</v>
      </c>
      <c r="AA201">
        <v>-1.0086032609208062</v>
      </c>
      <c r="AB201">
        <v>-0.24747256773847282</v>
      </c>
      <c r="AC201">
        <v>-1.0086032609208062</v>
      </c>
      <c r="AD201">
        <v>-0.24747256773847282</v>
      </c>
    </row>
    <row r="202" spans="1:30" ht="15" thickBot="1" x14ac:dyDescent="0.4">
      <c r="A202" t="s">
        <v>24</v>
      </c>
      <c r="E202">
        <v>2.7106637504619338E-3</v>
      </c>
      <c r="F202">
        <f t="shared" si="12"/>
        <v>-2.1109407218693744E-2</v>
      </c>
      <c r="G202">
        <f t="shared" si="13"/>
        <v>-3.2198726097771489E-2</v>
      </c>
      <c r="V202" s="6" t="s">
        <v>252</v>
      </c>
      <c r="W202" s="6">
        <v>-7.7276612417460076E-4</v>
      </c>
      <c r="X202" s="6">
        <v>1.6188181641310206E-4</v>
      </c>
      <c r="Y202" s="6">
        <v>-4.7736437686280881</v>
      </c>
      <c r="Z202" s="6">
        <v>3.7464683811741275E-6</v>
      </c>
      <c r="AA202" s="6">
        <v>-1.0922083921427023E-3</v>
      </c>
      <c r="AB202" s="6">
        <v>-4.5332385620649909E-4</v>
      </c>
      <c r="AC202" s="6">
        <v>-1.0922083921427023E-3</v>
      </c>
      <c r="AD202" s="6">
        <v>-4.5332385620649909E-4</v>
      </c>
    </row>
    <row r="203" spans="1:30" x14ac:dyDescent="0.35">
      <c r="A203" t="s">
        <v>24</v>
      </c>
      <c r="E203">
        <v>-2.2025421095794401E-4</v>
      </c>
      <c r="F203">
        <f t="shared" si="12"/>
        <v>-2.1111554440793157E-2</v>
      </c>
      <c r="G203">
        <f t="shared" si="13"/>
        <v>-3.2198726097771489E-2</v>
      </c>
    </row>
    <row r="204" spans="1:30" x14ac:dyDescent="0.35">
      <c r="A204" t="s">
        <v>24</v>
      </c>
      <c r="E204">
        <v>1.4684153071972735E-4</v>
      </c>
      <c r="F204">
        <f t="shared" si="12"/>
        <v>-2.1113701662892569E-2</v>
      </c>
      <c r="G204">
        <f t="shared" si="13"/>
        <v>-3.2198726097771489E-2</v>
      </c>
    </row>
    <row r="205" spans="1:30" x14ac:dyDescent="0.35">
      <c r="A205" t="s">
        <v>24</v>
      </c>
      <c r="E205">
        <v>-4.2222753183589131E-4</v>
      </c>
      <c r="F205">
        <f t="shared" si="12"/>
        <v>-2.1115848884991986E-2</v>
      </c>
      <c r="G205">
        <f t="shared" si="13"/>
        <v>-3.2198726097771489E-2</v>
      </c>
      <c r="V205" t="s">
        <v>225</v>
      </c>
    </row>
    <row r="206" spans="1:30" ht="15" thickBot="1" x14ac:dyDescent="0.4">
      <c r="A206" t="s">
        <v>24</v>
      </c>
      <c r="E206">
        <v>2.9793165947856358E-3</v>
      </c>
      <c r="F206">
        <f t="shared" si="12"/>
        <v>-2.1117996107091398E-2</v>
      </c>
      <c r="G206">
        <f t="shared" si="13"/>
        <v>-3.2198726097771489E-2</v>
      </c>
    </row>
    <row r="207" spans="1:30" x14ac:dyDescent="0.35">
      <c r="A207" t="s">
        <v>24</v>
      </c>
      <c r="E207">
        <v>-5.0011345296100485E-3</v>
      </c>
      <c r="F207">
        <f t="shared" si="12"/>
        <v>-2.1120143329190811E-2</v>
      </c>
      <c r="G207">
        <f t="shared" si="13"/>
        <v>-3.2198726097771489E-2</v>
      </c>
      <c r="V207" s="8" t="s">
        <v>226</v>
      </c>
      <c r="W207" s="8"/>
    </row>
    <row r="208" spans="1:30" x14ac:dyDescent="0.35">
      <c r="A208" t="s">
        <v>24</v>
      </c>
      <c r="E208">
        <v>-6.6918899722669036E-3</v>
      </c>
      <c r="F208">
        <f t="shared" si="12"/>
        <v>-2.1122290551290227E-2</v>
      </c>
      <c r="G208">
        <f t="shared" si="13"/>
        <v>-3.2198726097771489E-2</v>
      </c>
      <c r="V208" t="s">
        <v>227</v>
      </c>
      <c r="W208">
        <v>0.59189928280028026</v>
      </c>
    </row>
    <row r="209" spans="1:30" x14ac:dyDescent="0.35">
      <c r="A209" t="s">
        <v>24</v>
      </c>
      <c r="E209">
        <v>-9.0893224574714552E-3</v>
      </c>
      <c r="F209">
        <f t="shared" si="12"/>
        <v>-2.112443777338964E-2</v>
      </c>
      <c r="G209">
        <f t="shared" si="13"/>
        <v>-3.2198726097771489E-2</v>
      </c>
      <c r="V209" t="s">
        <v>228</v>
      </c>
      <c r="W209">
        <v>0.35034476097948614</v>
      </c>
      <c r="Y209" t="s">
        <v>389</v>
      </c>
    </row>
    <row r="210" spans="1:30" x14ac:dyDescent="0.35">
      <c r="A210" t="s">
        <v>24</v>
      </c>
      <c r="E210">
        <v>4.9781957603182011E-3</v>
      </c>
      <c r="F210">
        <f t="shared" si="12"/>
        <v>-2.1126584995489056E-2</v>
      </c>
      <c r="G210">
        <f t="shared" si="13"/>
        <v>-3.2198726097771489E-2</v>
      </c>
      <c r="V210" t="s">
        <v>228</v>
      </c>
      <c r="W210">
        <v>0.33939551537801682</v>
      </c>
    </row>
    <row r="211" spans="1:30" x14ac:dyDescent="0.35">
      <c r="A211" t="s">
        <v>24</v>
      </c>
      <c r="E211">
        <v>5.5085828144819391E-3</v>
      </c>
      <c r="F211">
        <f t="shared" si="12"/>
        <v>-2.1128732217588469E-2</v>
      </c>
      <c r="G211">
        <f t="shared" si="13"/>
        <v>-3.2198726097771489E-2</v>
      </c>
      <c r="V211" t="s">
        <v>229</v>
      </c>
      <c r="W211">
        <v>1.1885068297673208E-2</v>
      </c>
    </row>
    <row r="212" spans="1:30" ht="15" thickBot="1" x14ac:dyDescent="0.4">
      <c r="A212" t="s">
        <v>25</v>
      </c>
      <c r="B212" s="3" cm="1">
        <f t="array" ref="B212">_xlfn.STDEV.S(_xlfn._xlws.FILTER($E$2:$E$1000, $A$2:$A$1000="2010-11"))</f>
        <v>1.4293723467107786E-2</v>
      </c>
      <c r="C212" s="3" cm="1">
        <f t="array" ref="C212">AVERAGE(_xlfn._xlws.FILTER($E$2:$E$1000, $A$2:$A$1000="2010-11"))</f>
        <v>-7.0117537029195758E-3</v>
      </c>
      <c r="D212" s="3" cm="1">
        <f t="array" ref="D212">_xlfn.PERCENTILE.EXC(_xlfn._xlws.FILTER($E$126:$E$252, $A$126:$A$252="2010-11"), 0.05)</f>
        <v>-3.037825877120244E-2</v>
      </c>
      <c r="E212">
        <v>-1.5226923096863597E-2</v>
      </c>
      <c r="F212">
        <f t="shared" si="12"/>
        <v>-2.1130879439687882E-2</v>
      </c>
      <c r="G212">
        <f t="shared" si="13"/>
        <v>-3.2198726097771489E-2</v>
      </c>
      <c r="V212" s="6" t="s">
        <v>230</v>
      </c>
      <c r="W212" s="6">
        <v>182</v>
      </c>
    </row>
    <row r="213" spans="1:30" x14ac:dyDescent="0.35">
      <c r="A213" t="s">
        <v>25</v>
      </c>
      <c r="E213">
        <v>1.0517760280708537E-2</v>
      </c>
      <c r="F213">
        <f t="shared" si="12"/>
        <v>-2.1133026661787294E-2</v>
      </c>
      <c r="G213">
        <f t="shared" si="13"/>
        <v>-3.2198726097771489E-2</v>
      </c>
    </row>
    <row r="214" spans="1:30" ht="15" thickBot="1" x14ac:dyDescent="0.4">
      <c r="A214" t="s">
        <v>25</v>
      </c>
      <c r="E214">
        <v>-1.8058207903622881E-2</v>
      </c>
      <c r="F214">
        <f t="shared" si="12"/>
        <v>-2.1135173883886711E-2</v>
      </c>
      <c r="G214">
        <f t="shared" si="13"/>
        <v>-3.2198726097771489E-2</v>
      </c>
      <c r="V214" t="s">
        <v>231</v>
      </c>
    </row>
    <row r="215" spans="1:30" x14ac:dyDescent="0.35">
      <c r="A215" t="s">
        <v>25</v>
      </c>
      <c r="E215">
        <v>3.145622106096019E-3</v>
      </c>
      <c r="F215">
        <f t="shared" si="12"/>
        <v>-2.1137321105986123E-2</v>
      </c>
      <c r="G215">
        <f t="shared" si="13"/>
        <v>-3.2198726097771489E-2</v>
      </c>
      <c r="V215" s="7"/>
      <c r="W215" s="7" t="s">
        <v>236</v>
      </c>
      <c r="X215" s="7" t="s">
        <v>237</v>
      </c>
      <c r="Y215" s="7" t="s">
        <v>238</v>
      </c>
      <c r="Z215" s="7" t="s">
        <v>239</v>
      </c>
      <c r="AA215" s="7" t="s">
        <v>240</v>
      </c>
    </row>
    <row r="216" spans="1:30" x14ac:dyDescent="0.35">
      <c r="A216" t="s">
        <v>25</v>
      </c>
      <c r="E216">
        <v>-1.6614031587872356E-2</v>
      </c>
      <c r="F216">
        <f t="shared" si="12"/>
        <v>-2.1139468328085536E-2</v>
      </c>
      <c r="G216">
        <f t="shared" si="13"/>
        <v>-3.2198726097771489E-2</v>
      </c>
      <c r="V216" t="s">
        <v>232</v>
      </c>
      <c r="W216">
        <v>3</v>
      </c>
      <c r="X216">
        <v>1.3559261865691265E-2</v>
      </c>
      <c r="Y216">
        <v>4.5197539552304213E-3</v>
      </c>
      <c r="Z216">
        <v>31.99715977989128</v>
      </c>
      <c r="AA216">
        <v>1.3627317653452851E-16</v>
      </c>
    </row>
    <row r="217" spans="1:30" x14ac:dyDescent="0.35">
      <c r="A217" t="s">
        <v>25</v>
      </c>
      <c r="E217">
        <v>-1.3156623930130038E-2</v>
      </c>
      <c r="F217">
        <f t="shared" si="12"/>
        <v>-2.1141615550184952E-2</v>
      </c>
      <c r="G217">
        <f t="shared" si="13"/>
        <v>-3.2198726097771489E-2</v>
      </c>
      <c r="V217" t="s">
        <v>233</v>
      </c>
      <c r="W217">
        <v>178</v>
      </c>
      <c r="X217">
        <v>2.51433630223835E-2</v>
      </c>
      <c r="Y217">
        <v>1.4125484844035673E-4</v>
      </c>
    </row>
    <row r="218" spans="1:30" ht="15" thickBot="1" x14ac:dyDescent="0.4">
      <c r="A218" t="s">
        <v>25</v>
      </c>
      <c r="E218">
        <v>1.1400208484752284E-2</v>
      </c>
      <c r="F218">
        <f t="shared" si="12"/>
        <v>-2.1143762772284365E-2</v>
      </c>
      <c r="G218">
        <f t="shared" si="13"/>
        <v>-3.2198726097771489E-2</v>
      </c>
      <c r="V218" s="6" t="s">
        <v>234</v>
      </c>
      <c r="W218" s="6">
        <v>181</v>
      </c>
      <c r="X218" s="6">
        <v>3.8702624888074764E-2</v>
      </c>
      <c r="Y218" s="6"/>
      <c r="Z218" s="6"/>
      <c r="AA218" s="6"/>
    </row>
    <row r="219" spans="1:30" ht="15" thickBot="1" x14ac:dyDescent="0.4">
      <c r="A219" t="s">
        <v>25</v>
      </c>
      <c r="E219">
        <v>-1.6895370214057778E-2</v>
      </c>
      <c r="F219">
        <f t="shared" si="12"/>
        <v>-2.1145909994383781E-2</v>
      </c>
      <c r="G219">
        <f t="shared" si="13"/>
        <v>-3.2198726097771489E-2</v>
      </c>
    </row>
    <row r="220" spans="1:30" x14ac:dyDescent="0.35">
      <c r="A220" t="s">
        <v>25</v>
      </c>
      <c r="E220">
        <v>-8.4278567417063223E-3</v>
      </c>
      <c r="F220">
        <f t="shared" si="12"/>
        <v>-2.1148057216483194E-2</v>
      </c>
      <c r="G220">
        <f t="shared" si="13"/>
        <v>-3.2198726097771489E-2</v>
      </c>
      <c r="V220" s="7"/>
      <c r="W220" s="7" t="s">
        <v>241</v>
      </c>
      <c r="X220" s="7" t="s">
        <v>229</v>
      </c>
      <c r="Y220" s="7" t="s">
        <v>242</v>
      </c>
      <c r="Z220" s="7" t="s">
        <v>243</v>
      </c>
      <c r="AA220" s="7" t="s">
        <v>244</v>
      </c>
      <c r="AB220" s="7" t="s">
        <v>245</v>
      </c>
      <c r="AC220" s="7" t="s">
        <v>246</v>
      </c>
      <c r="AD220" s="7" t="s">
        <v>247</v>
      </c>
    </row>
    <row r="221" spans="1:30" x14ac:dyDescent="0.35">
      <c r="A221" t="s">
        <v>25</v>
      </c>
      <c r="E221">
        <v>7.5872823649167503E-3</v>
      </c>
      <c r="F221">
        <f t="shared" si="12"/>
        <v>-2.1148478017250307E-2</v>
      </c>
      <c r="G221">
        <f t="shared" si="13"/>
        <v>-3.2260461678113882E-2</v>
      </c>
      <c r="V221" t="s">
        <v>235</v>
      </c>
      <c r="W221">
        <v>2.1853792458817779E-3</v>
      </c>
      <c r="X221">
        <v>4.4161380242000387E-3</v>
      </c>
      <c r="Y221">
        <v>0.49486207946991162</v>
      </c>
      <c r="Z221">
        <v>0.62130774731126981</v>
      </c>
      <c r="AA221">
        <v>-6.529343132268323E-3</v>
      </c>
      <c r="AB221">
        <v>1.0900101624031879E-2</v>
      </c>
      <c r="AC221">
        <v>-6.529343132268323E-3</v>
      </c>
      <c r="AD221">
        <v>1.0900101624031879E-2</v>
      </c>
    </row>
    <row r="222" spans="1:30" x14ac:dyDescent="0.35">
      <c r="A222" t="s">
        <v>25</v>
      </c>
      <c r="E222">
        <v>1.1945808228441617E-2</v>
      </c>
      <c r="F222">
        <f t="shared" si="12"/>
        <v>-2.114889881801742E-2</v>
      </c>
      <c r="G222">
        <f t="shared" si="13"/>
        <v>-3.2260461678113882E-2</v>
      </c>
      <c r="V222" t="s">
        <v>248</v>
      </c>
      <c r="W222">
        <v>-9.6568893899973834E-4</v>
      </c>
      <c r="X222">
        <v>1.257474933847272E-4</v>
      </c>
      <c r="Y222">
        <v>-7.679587982284402</v>
      </c>
      <c r="Z222">
        <v>1.0228496366793631E-12</v>
      </c>
      <c r="AA222">
        <v>-1.2138366392280781E-3</v>
      </c>
      <c r="AB222">
        <v>-7.1754123877139863E-4</v>
      </c>
      <c r="AC222">
        <v>-1.2138366392280781E-3</v>
      </c>
      <c r="AD222">
        <v>-7.1754123877139863E-4</v>
      </c>
    </row>
    <row r="223" spans="1:30" x14ac:dyDescent="0.35">
      <c r="A223" t="s">
        <v>25</v>
      </c>
      <c r="E223">
        <v>-2.4877659228208469E-2</v>
      </c>
      <c r="F223">
        <f t="shared" si="12"/>
        <v>-2.114931961878453E-2</v>
      </c>
      <c r="G223">
        <f t="shared" si="13"/>
        <v>-3.2260461678113882E-2</v>
      </c>
      <c r="V223" t="s">
        <v>251</v>
      </c>
      <c r="W223">
        <v>-5.3865727754693615E-6</v>
      </c>
      <c r="X223">
        <v>3.0259108898343447E-5</v>
      </c>
      <c r="Y223">
        <v>-0.17801491754320142</v>
      </c>
      <c r="Z223">
        <v>0.85891368809835034</v>
      </c>
      <c r="AA223">
        <v>-6.5099319979977852E-5</v>
      </c>
      <c r="AB223">
        <v>5.4326174429039132E-5</v>
      </c>
      <c r="AC223">
        <v>-6.5099319979977852E-5</v>
      </c>
      <c r="AD223">
        <v>5.4326174429039132E-5</v>
      </c>
    </row>
    <row r="224" spans="1:30" ht="15" thickBot="1" x14ac:dyDescent="0.4">
      <c r="A224" t="s">
        <v>25</v>
      </c>
      <c r="E224">
        <v>9.2582755203797773E-3</v>
      </c>
      <c r="F224">
        <f t="shared" si="12"/>
        <v>-2.1113701662892569E-2</v>
      </c>
      <c r="G224">
        <f t="shared" si="13"/>
        <v>-3.2239625912685248E-2</v>
      </c>
      <c r="V224" s="6" t="s">
        <v>252</v>
      </c>
      <c r="W224" s="6">
        <v>-8.2733451565091862E-2</v>
      </c>
      <c r="X224" s="6">
        <v>0.19944234395151916</v>
      </c>
      <c r="Y224" s="6">
        <v>-0.4148239031186019</v>
      </c>
      <c r="Z224" s="6">
        <v>0.67877034893016941</v>
      </c>
      <c r="AA224" s="6">
        <v>-0.47630916148640007</v>
      </c>
      <c r="AB224" s="6">
        <v>0.31084225835621632</v>
      </c>
      <c r="AC224" s="6">
        <v>-0.47630916148640007</v>
      </c>
      <c r="AD224" s="6">
        <v>0.31084225835621632</v>
      </c>
    </row>
    <row r="225" spans="1:7" x14ac:dyDescent="0.35">
      <c r="A225" t="s">
        <v>25</v>
      </c>
      <c r="E225">
        <v>1.325904403884544E-2</v>
      </c>
      <c r="F225">
        <f t="shared" si="12"/>
        <v>-2.1115848884991986E-2</v>
      </c>
      <c r="G225">
        <f t="shared" si="13"/>
        <v>-3.2239625912685248E-2</v>
      </c>
    </row>
    <row r="226" spans="1:7" x14ac:dyDescent="0.35">
      <c r="A226" t="s">
        <v>25</v>
      </c>
      <c r="E226">
        <v>-5.2046532014239366E-3</v>
      </c>
      <c r="F226">
        <f t="shared" si="12"/>
        <v>-2.1117996107091398E-2</v>
      </c>
      <c r="G226">
        <f t="shared" si="13"/>
        <v>-3.2239625912685248E-2</v>
      </c>
    </row>
    <row r="227" spans="1:7" x14ac:dyDescent="0.35">
      <c r="A227" t="s">
        <v>25</v>
      </c>
      <c r="E227">
        <v>-2.716751273514726E-2</v>
      </c>
      <c r="F227">
        <f t="shared" si="12"/>
        <v>-2.1120143329190811E-2</v>
      </c>
      <c r="G227">
        <f t="shared" si="13"/>
        <v>-3.2239625912685248E-2</v>
      </c>
    </row>
    <row r="228" spans="1:7" x14ac:dyDescent="0.35">
      <c r="A228" t="s">
        <v>25</v>
      </c>
      <c r="E228">
        <v>-3.0944861012859239E-2</v>
      </c>
      <c r="F228">
        <f t="shared" si="12"/>
        <v>-2.084930663340737E-2</v>
      </c>
      <c r="G228">
        <f t="shared" si="13"/>
        <v>-3.2205757756480491E-2</v>
      </c>
    </row>
    <row r="229" spans="1:7" x14ac:dyDescent="0.35">
      <c r="A229" t="s">
        <v>25</v>
      </c>
      <c r="E229">
        <v>5.2278553182957977E-3</v>
      </c>
      <c r="F229">
        <f t="shared" si="12"/>
        <v>-2.0665793680799346E-2</v>
      </c>
      <c r="G229">
        <f t="shared" si="13"/>
        <v>-3.2148405288285831E-2</v>
      </c>
    </row>
    <row r="230" spans="1:7" x14ac:dyDescent="0.35">
      <c r="A230" t="s">
        <v>25</v>
      </c>
      <c r="E230">
        <v>-2.1372359710529372E-3</v>
      </c>
      <c r="F230">
        <f t="shared" si="12"/>
        <v>-2.0666973274000831E-2</v>
      </c>
      <c r="G230">
        <f t="shared" si="13"/>
        <v>-3.2148405288285831E-2</v>
      </c>
    </row>
    <row r="231" spans="1:7" x14ac:dyDescent="0.35">
      <c r="A231" t="s">
        <v>25</v>
      </c>
      <c r="E231">
        <v>-1.8122868727192484E-2</v>
      </c>
      <c r="F231">
        <f t="shared" si="12"/>
        <v>-2.0668152867202316E-2</v>
      </c>
      <c r="G231">
        <f t="shared" si="13"/>
        <v>-3.2148405288285831E-2</v>
      </c>
    </row>
    <row r="232" spans="1:7" x14ac:dyDescent="0.35">
      <c r="A232" t="s">
        <v>25</v>
      </c>
      <c r="E232">
        <v>-2.3581124355087017E-2</v>
      </c>
      <c r="F232">
        <f t="shared" si="12"/>
        <v>-2.06693324604038E-2</v>
      </c>
      <c r="G232">
        <f t="shared" si="13"/>
        <v>-3.2148405288285831E-2</v>
      </c>
    </row>
    <row r="233" spans="1:7" x14ac:dyDescent="0.35">
      <c r="A233" t="s">
        <v>25</v>
      </c>
      <c r="E233">
        <v>-6.1855091014425424E-3</v>
      </c>
      <c r="F233">
        <f t="shared" si="12"/>
        <v>-2.0582332452520388E-2</v>
      </c>
      <c r="G233">
        <f t="shared" si="13"/>
        <v>-3.2132059215586935E-2</v>
      </c>
    </row>
    <row r="234" spans="1:7" x14ac:dyDescent="0.35">
      <c r="A234" t="s">
        <v>26</v>
      </c>
      <c r="B234" s="3" cm="1">
        <f t="array" ref="B234">_xlfn.STDEV.S(_xlfn._xlws.FILTER($E$2:$E$1000, $A$2:$A$1000="2010-12"))</f>
        <v>1.5441526494109546E-2</v>
      </c>
      <c r="C234" s="3" cm="1">
        <f t="array" ref="C234">AVERAGE(_xlfn._xlws.FILTER($E$2:$E$1000, $A$2:$A$1000="2010-12"))</f>
        <v>3.2586106436235307E-3</v>
      </c>
      <c r="D234" s="3" cm="1">
        <f t="array" ref="D234">_xlfn.PERCENTILE.EXC(_xlfn._xlws.FILTER($E$126:$E$252, $A$126:$A$252="2010-12"), 0.05)</f>
        <v>-1.5159541769532592E-2</v>
      </c>
      <c r="E234">
        <v>4.3415314041361931E-2</v>
      </c>
      <c r="F234">
        <f t="shared" si="12"/>
        <v>-2.0592738865301188E-2</v>
      </c>
      <c r="G234">
        <f t="shared" si="13"/>
        <v>-3.2132059215586935E-2</v>
      </c>
    </row>
    <row r="235" spans="1:7" x14ac:dyDescent="0.35">
      <c r="A235" t="s">
        <v>26</v>
      </c>
      <c r="E235">
        <v>2.7434717674984913E-2</v>
      </c>
      <c r="F235">
        <f t="shared" si="12"/>
        <v>-2.0603145278081988E-2</v>
      </c>
      <c r="G235">
        <f t="shared" si="13"/>
        <v>-3.2132059215586935E-2</v>
      </c>
    </row>
    <row r="236" spans="1:7" x14ac:dyDescent="0.35">
      <c r="A236" t="s">
        <v>26</v>
      </c>
      <c r="E236">
        <v>6.7326828279473463E-3</v>
      </c>
      <c r="F236">
        <f t="shared" si="12"/>
        <v>-2.0613551690862781E-2</v>
      </c>
      <c r="G236">
        <f t="shared" si="13"/>
        <v>-3.2132059215586935E-2</v>
      </c>
    </row>
    <row r="237" spans="1:7" x14ac:dyDescent="0.35">
      <c r="A237" t="s">
        <v>26</v>
      </c>
      <c r="E237">
        <v>-1.2549964513400942E-2</v>
      </c>
      <c r="F237">
        <f t="shared" si="12"/>
        <v>-2.0623958103643581E-2</v>
      </c>
      <c r="G237">
        <f t="shared" si="13"/>
        <v>-3.2132059215586935E-2</v>
      </c>
    </row>
    <row r="238" spans="1:7" x14ac:dyDescent="0.35">
      <c r="A238" t="s">
        <v>26</v>
      </c>
      <c r="E238">
        <v>3.5125650561225502E-3</v>
      </c>
      <c r="F238">
        <f t="shared" si="12"/>
        <v>-2.0634364516424374E-2</v>
      </c>
      <c r="G238">
        <f t="shared" si="13"/>
        <v>-3.2132059215586935E-2</v>
      </c>
    </row>
    <row r="239" spans="1:7" x14ac:dyDescent="0.35">
      <c r="A239" t="s">
        <v>26</v>
      </c>
      <c r="E239">
        <v>1.5367920469361052E-2</v>
      </c>
      <c r="F239">
        <f t="shared" si="12"/>
        <v>-2.0644770929205174E-2</v>
      </c>
      <c r="G239">
        <f t="shared" si="13"/>
        <v>-3.2132059215586935E-2</v>
      </c>
    </row>
    <row r="240" spans="1:7" x14ac:dyDescent="0.35">
      <c r="A240" t="s">
        <v>26</v>
      </c>
      <c r="E240">
        <v>1.0570620389947806E-2</v>
      </c>
      <c r="F240">
        <f t="shared" si="12"/>
        <v>-2.0655177341985975E-2</v>
      </c>
      <c r="G240">
        <f t="shared" si="13"/>
        <v>-3.2132059215586935E-2</v>
      </c>
    </row>
    <row r="241" spans="1:7" x14ac:dyDescent="0.35">
      <c r="A241" t="s">
        <v>26</v>
      </c>
      <c r="E241">
        <v>-6.2637470028516114E-3</v>
      </c>
      <c r="F241">
        <f t="shared" si="12"/>
        <v>-2.0656356935187459E-2</v>
      </c>
      <c r="G241">
        <f t="shared" si="13"/>
        <v>-3.2196536080045371E-2</v>
      </c>
    </row>
    <row r="242" spans="1:7" x14ac:dyDescent="0.35">
      <c r="A242" t="s">
        <v>26</v>
      </c>
      <c r="E242">
        <v>2.8905318279442223E-3</v>
      </c>
      <c r="F242">
        <f t="shared" si="12"/>
        <v>-2.0657536528388944E-2</v>
      </c>
      <c r="G242">
        <f t="shared" si="13"/>
        <v>-3.2196536080045371E-2</v>
      </c>
    </row>
    <row r="243" spans="1:7" x14ac:dyDescent="0.35">
      <c r="A243" t="s">
        <v>26</v>
      </c>
      <c r="E243">
        <v>1.1322297765106158E-3</v>
      </c>
      <c r="F243">
        <f t="shared" si="12"/>
        <v>-2.0658716121590429E-2</v>
      </c>
      <c r="G243">
        <f t="shared" si="13"/>
        <v>-3.2196536080045371E-2</v>
      </c>
    </row>
    <row r="244" spans="1:7" x14ac:dyDescent="0.35">
      <c r="A244" t="s">
        <v>26</v>
      </c>
      <c r="E244">
        <v>-1.5159541769532592E-2</v>
      </c>
      <c r="F244">
        <f t="shared" si="12"/>
        <v>-2.0659895714791918E-2</v>
      </c>
      <c r="G244">
        <f t="shared" si="13"/>
        <v>-3.2196536080045371E-2</v>
      </c>
    </row>
    <row r="245" spans="1:7" x14ac:dyDescent="0.35">
      <c r="A245" t="s">
        <v>26</v>
      </c>
      <c r="E245">
        <v>4.9949800460953027E-5</v>
      </c>
      <c r="F245">
        <f t="shared" si="12"/>
        <v>-2.0661075307993403E-2</v>
      </c>
      <c r="G245">
        <f t="shared" si="13"/>
        <v>-3.2196536080045371E-2</v>
      </c>
    </row>
    <row r="246" spans="1:7" x14ac:dyDescent="0.35">
      <c r="A246" t="s">
        <v>26</v>
      </c>
      <c r="E246">
        <v>-1.1271743378226451E-2</v>
      </c>
      <c r="F246">
        <f t="shared" si="12"/>
        <v>-2.0662254901194888E-2</v>
      </c>
      <c r="G246">
        <f t="shared" si="13"/>
        <v>-3.2196536080045371E-2</v>
      </c>
    </row>
    <row r="247" spans="1:7" x14ac:dyDescent="0.35">
      <c r="A247" t="s">
        <v>26</v>
      </c>
      <c r="E247">
        <v>9.8521973944866708E-3</v>
      </c>
      <c r="F247">
        <f t="shared" si="12"/>
        <v>-2.0663434494396372E-2</v>
      </c>
      <c r="G247">
        <f t="shared" si="13"/>
        <v>-3.2196536080045371E-2</v>
      </c>
    </row>
    <row r="248" spans="1:7" x14ac:dyDescent="0.35">
      <c r="A248" t="s">
        <v>26</v>
      </c>
      <c r="E248">
        <v>2.0525981156078829E-2</v>
      </c>
      <c r="F248">
        <f t="shared" si="12"/>
        <v>-2.0664614087597857E-2</v>
      </c>
      <c r="G248">
        <f t="shared" si="13"/>
        <v>-3.2196536080045371E-2</v>
      </c>
    </row>
    <row r="249" spans="1:7" x14ac:dyDescent="0.35">
      <c r="A249" t="s">
        <v>26</v>
      </c>
      <c r="E249">
        <v>-1.9522346526713477E-3</v>
      </c>
      <c r="F249">
        <f t="shared" si="12"/>
        <v>-2.0665793680799346E-2</v>
      </c>
      <c r="G249">
        <f t="shared" si="13"/>
        <v>-3.2196536080045371E-2</v>
      </c>
    </row>
    <row r="250" spans="1:7" x14ac:dyDescent="0.35">
      <c r="A250" t="s">
        <v>26</v>
      </c>
      <c r="E250">
        <v>-7.5504045168753925E-3</v>
      </c>
      <c r="F250">
        <f t="shared" si="12"/>
        <v>-2.0666973274000831E-2</v>
      </c>
      <c r="G250">
        <f t="shared" si="13"/>
        <v>-3.2196536080045371E-2</v>
      </c>
    </row>
    <row r="251" spans="1:7" x14ac:dyDescent="0.35">
      <c r="A251" t="s">
        <v>26</v>
      </c>
      <c r="E251">
        <v>-1.2484979280227617E-2</v>
      </c>
      <c r="F251">
        <f t="shared" si="12"/>
        <v>-2.0668152867202316E-2</v>
      </c>
      <c r="G251">
        <f t="shared" si="13"/>
        <v>-3.2196536080045371E-2</v>
      </c>
    </row>
    <row r="252" spans="1:7" x14ac:dyDescent="0.35">
      <c r="A252" t="s">
        <v>26</v>
      </c>
      <c r="E252">
        <v>-1.2338493072573889E-2</v>
      </c>
      <c r="F252">
        <f t="shared" si="12"/>
        <v>-2.06693324604038E-2</v>
      </c>
      <c r="G252">
        <f t="shared" si="13"/>
        <v>-3.2196536080045371E-2</v>
      </c>
    </row>
    <row r="253" spans="1:7" x14ac:dyDescent="0.35">
      <c r="A253" t="s">
        <v>27</v>
      </c>
      <c r="B253" s="3" cm="1">
        <f t="array" ref="B253">_xlfn.STDEV.S(_xlfn._xlws.FILTER($E$2:$E$1000, $A$2:$A$1000="2011-01"))</f>
        <v>1.7320665109370185E-2</v>
      </c>
      <c r="C253" s="3" cm="1">
        <f t="array" ref="C253">AVERAGE(_xlfn._xlws.FILTER($E$2:$E$1000, $A$2:$A$1000="2011-01"))</f>
        <v>4.5853324431938385E-3</v>
      </c>
      <c r="D253" s="3" cm="1">
        <f t="array" ref="D253">_xlfn.PERCENTILE.EXC(_xlfn._xlws.FILTER($E$253:$E$502, $A$253:$A$502="2011-01"), 0.05)</f>
        <v>-1.4709086236753361E-2</v>
      </c>
      <c r="E253">
        <v>2.9674664135676838E-3</v>
      </c>
      <c r="F253">
        <f t="shared" si="12"/>
        <v>-2.0670512053605285E-2</v>
      </c>
      <c r="G253">
        <f t="shared" si="13"/>
        <v>-3.2196536080045371E-2</v>
      </c>
    </row>
    <row r="254" spans="1:7" x14ac:dyDescent="0.35">
      <c r="A254" t="s">
        <v>27</v>
      </c>
      <c r="D254" s="5"/>
      <c r="E254">
        <v>-8.8371203552915778E-3</v>
      </c>
      <c r="F254">
        <f t="shared" si="12"/>
        <v>-2.0671691646806774E-2</v>
      </c>
      <c r="G254">
        <f t="shared" si="13"/>
        <v>-3.2196536080045371E-2</v>
      </c>
    </row>
    <row r="255" spans="1:7" x14ac:dyDescent="0.35">
      <c r="A255" t="s">
        <v>27</v>
      </c>
      <c r="D255" s="5"/>
      <c r="E255">
        <v>-1.0121035323789766E-2</v>
      </c>
      <c r="F255">
        <f t="shared" si="12"/>
        <v>-2.0672871240008259E-2</v>
      </c>
      <c r="G255">
        <f t="shared" si="13"/>
        <v>-3.2196536080045371E-2</v>
      </c>
    </row>
    <row r="256" spans="1:7" x14ac:dyDescent="0.35">
      <c r="A256" t="s">
        <v>27</v>
      </c>
      <c r="D256" s="5"/>
      <c r="E256">
        <v>-1.474325115243354E-2</v>
      </c>
      <c r="F256">
        <f t="shared" si="12"/>
        <v>-2.0674050833209744E-2</v>
      </c>
      <c r="G256">
        <f t="shared" si="13"/>
        <v>-3.2196536080045371E-2</v>
      </c>
    </row>
    <row r="257" spans="1:7" x14ac:dyDescent="0.35">
      <c r="A257" t="s">
        <v>27</v>
      </c>
      <c r="D257" s="5"/>
      <c r="E257">
        <v>-1.2938043990667173E-2</v>
      </c>
      <c r="F257">
        <f t="shared" si="12"/>
        <v>-2.0675230426411229E-2</v>
      </c>
      <c r="G257">
        <f t="shared" si="13"/>
        <v>-3.2196536080045371E-2</v>
      </c>
    </row>
    <row r="258" spans="1:7" x14ac:dyDescent="0.35">
      <c r="A258" t="s">
        <v>27</v>
      </c>
      <c r="D258" s="5"/>
      <c r="E258">
        <v>1.5173872491697033E-2</v>
      </c>
      <c r="F258">
        <f t="shared" si="12"/>
        <v>-2.0676410019612713E-2</v>
      </c>
      <c r="G258">
        <f t="shared" si="13"/>
        <v>-3.2196536080045371E-2</v>
      </c>
    </row>
    <row r="259" spans="1:7" x14ac:dyDescent="0.35">
      <c r="A259" t="s">
        <v>27</v>
      </c>
      <c r="D259" s="5"/>
      <c r="E259">
        <v>5.2757454029749518E-2</v>
      </c>
      <c r="F259">
        <f t="shared" si="12"/>
        <v>-2.0677589612814202E-2</v>
      </c>
      <c r="G259">
        <f t="shared" si="13"/>
        <v>-3.2196536080045371E-2</v>
      </c>
    </row>
    <row r="260" spans="1:7" x14ac:dyDescent="0.35">
      <c r="A260" t="s">
        <v>27</v>
      </c>
      <c r="D260" s="5"/>
      <c r="E260">
        <v>2.6339936207380007E-2</v>
      </c>
      <c r="F260">
        <f t="shared" ref="F260:F323" si="14">_xlfn.PERCENTILE.EXC(E260:E4075,0.05)</f>
        <v>-2.0678769206015687E-2</v>
      </c>
      <c r="G260">
        <f t="shared" ref="G260:G323" si="15">AVERAGEIFS(E260:E4076,E260:E4076,"&lt;=" &amp; F260)</f>
        <v>-3.2196536080045371E-2</v>
      </c>
    </row>
    <row r="261" spans="1:7" x14ac:dyDescent="0.35">
      <c r="A261" t="s">
        <v>27</v>
      </c>
      <c r="D261" s="5"/>
      <c r="E261">
        <v>1.3779216764948912E-3</v>
      </c>
      <c r="F261">
        <f t="shared" si="14"/>
        <v>-2.0700086384439639E-2</v>
      </c>
      <c r="G261">
        <f t="shared" si="15"/>
        <v>-3.2261608209277183E-2</v>
      </c>
    </row>
    <row r="262" spans="1:7" x14ac:dyDescent="0.35">
      <c r="A262" t="s">
        <v>27</v>
      </c>
      <c r="D262" s="5"/>
      <c r="E262">
        <v>-1.0171826527685349E-2</v>
      </c>
      <c r="F262">
        <f t="shared" si="14"/>
        <v>-2.0721403562863606E-2</v>
      </c>
      <c r="G262">
        <f t="shared" si="15"/>
        <v>-3.2261608209277183E-2</v>
      </c>
    </row>
    <row r="263" spans="1:7" x14ac:dyDescent="0.35">
      <c r="A263" t="s">
        <v>27</v>
      </c>
      <c r="D263" s="5"/>
      <c r="E263">
        <v>2.9086475836330412E-2</v>
      </c>
      <c r="F263">
        <f t="shared" si="14"/>
        <v>-2.0742720741287562E-2</v>
      </c>
      <c r="G263">
        <f t="shared" si="15"/>
        <v>-3.2261608209277183E-2</v>
      </c>
    </row>
    <row r="264" spans="1:7" x14ac:dyDescent="0.35">
      <c r="A264" t="s">
        <v>27</v>
      </c>
      <c r="D264" s="5"/>
      <c r="E264">
        <v>-2.5449519173487063E-3</v>
      </c>
      <c r="F264">
        <f t="shared" si="14"/>
        <v>-2.0764037919711528E-2</v>
      </c>
      <c r="G264">
        <f t="shared" si="15"/>
        <v>-3.2261608209277183E-2</v>
      </c>
    </row>
    <row r="265" spans="1:7" x14ac:dyDescent="0.35">
      <c r="A265" t="s">
        <v>27</v>
      </c>
      <c r="D265" s="5"/>
      <c r="E265">
        <v>7.5873041323962394E-3</v>
      </c>
      <c r="F265">
        <f t="shared" si="14"/>
        <v>-2.0785355098135495E-2</v>
      </c>
      <c r="G265">
        <f t="shared" si="15"/>
        <v>-3.2261608209277183E-2</v>
      </c>
    </row>
    <row r="266" spans="1:7" x14ac:dyDescent="0.35">
      <c r="A266" t="s">
        <v>27</v>
      </c>
      <c r="D266" s="5"/>
      <c r="E266">
        <v>1.7907866988224098E-2</v>
      </c>
      <c r="F266">
        <f t="shared" si="14"/>
        <v>-2.0806672276559447E-2</v>
      </c>
      <c r="G266">
        <f t="shared" si="15"/>
        <v>-3.2261608209277183E-2</v>
      </c>
    </row>
    <row r="267" spans="1:7" x14ac:dyDescent="0.35">
      <c r="A267" t="s">
        <v>27</v>
      </c>
      <c r="D267" s="5"/>
      <c r="E267">
        <v>-1.2659106774982132E-3</v>
      </c>
      <c r="F267">
        <f t="shared" si="14"/>
        <v>-2.0827989454983414E-2</v>
      </c>
      <c r="G267">
        <f t="shared" si="15"/>
        <v>-3.2261608209277183E-2</v>
      </c>
    </row>
    <row r="268" spans="1:7" x14ac:dyDescent="0.35">
      <c r="A268" t="s">
        <v>27</v>
      </c>
      <c r="D268" s="5"/>
      <c r="E268">
        <v>-1.4059952838829977E-2</v>
      </c>
      <c r="F268">
        <f t="shared" si="14"/>
        <v>-2.084930663340737E-2</v>
      </c>
      <c r="G268">
        <f t="shared" si="15"/>
        <v>-3.2261608209277183E-2</v>
      </c>
    </row>
    <row r="269" spans="1:7" x14ac:dyDescent="0.35">
      <c r="A269" t="s">
        <v>27</v>
      </c>
      <c r="D269" s="5"/>
      <c r="E269">
        <v>5.9057611008247622E-4</v>
      </c>
      <c r="F269">
        <f t="shared" si="14"/>
        <v>-2.0870623811831336E-2</v>
      </c>
      <c r="G269">
        <f t="shared" si="15"/>
        <v>-3.2261608209277183E-2</v>
      </c>
    </row>
    <row r="270" spans="1:7" x14ac:dyDescent="0.35">
      <c r="A270" t="s">
        <v>27</v>
      </c>
      <c r="D270" s="5"/>
      <c r="E270">
        <v>1.4698349213073359E-2</v>
      </c>
      <c r="F270">
        <f t="shared" si="14"/>
        <v>-2.0891940990255299E-2</v>
      </c>
      <c r="G270">
        <f t="shared" si="15"/>
        <v>-3.2261608209277183E-2</v>
      </c>
    </row>
    <row r="271" spans="1:7" x14ac:dyDescent="0.35">
      <c r="A271" t="s">
        <v>27</v>
      </c>
      <c r="D271" s="5"/>
      <c r="E271">
        <v>-7.5733710144323526E-3</v>
      </c>
      <c r="F271">
        <f t="shared" si="14"/>
        <v>-2.0913258168679255E-2</v>
      </c>
      <c r="G271">
        <f t="shared" si="15"/>
        <v>-3.2261608209277183E-2</v>
      </c>
    </row>
    <row r="272" spans="1:7" x14ac:dyDescent="0.35">
      <c r="A272" t="s">
        <v>27</v>
      </c>
      <c r="D272" s="5"/>
      <c r="E272">
        <v>5.4748895628576998E-3</v>
      </c>
      <c r="F272">
        <f t="shared" si="14"/>
        <v>-2.0934575347103222E-2</v>
      </c>
      <c r="G272">
        <f t="shared" si="15"/>
        <v>-3.2261608209277183E-2</v>
      </c>
    </row>
    <row r="273" spans="1:7" x14ac:dyDescent="0.35">
      <c r="A273" t="s">
        <v>28</v>
      </c>
      <c r="B273" s="3" cm="1">
        <f t="array" ref="B273">_xlfn.STDEV.S(_xlfn._xlws.FILTER($E$2:$E$1000, $A$2:$A$1000="2011-02"))</f>
        <v>1.057176736013879E-2</v>
      </c>
      <c r="C273" s="3" cm="1">
        <f t="array" ref="C273">AVERAGE(_xlfn._xlws.FILTER($E$2:$E$1000, $A$2:$A$1000="2011-02"))</f>
        <v>2.068637282682733E-4</v>
      </c>
      <c r="D273" s="3" cm="1">
        <f t="array" ref="D273">_xlfn.PERCENTILE.EXC(_xlfn._xlws.FILTER($E$253:$E$502, $A$253:$A$502="2011-02"), 0.05)</f>
        <v>-2.3055319581112482E-2</v>
      </c>
      <c r="E273">
        <v>1.487128936404423E-2</v>
      </c>
      <c r="F273">
        <f t="shared" si="14"/>
        <v>-2.0955892525527174E-2</v>
      </c>
      <c r="G273">
        <f t="shared" si="15"/>
        <v>-3.2261608209277183E-2</v>
      </c>
    </row>
    <row r="274" spans="1:7" x14ac:dyDescent="0.35">
      <c r="A274" t="s">
        <v>28</v>
      </c>
      <c r="D274" s="5"/>
      <c r="E274">
        <v>3.8492910879522795E-3</v>
      </c>
      <c r="F274">
        <f t="shared" si="14"/>
        <v>-2.0977209703951141E-2</v>
      </c>
      <c r="G274">
        <f t="shared" si="15"/>
        <v>-3.2261608209277183E-2</v>
      </c>
    </row>
    <row r="275" spans="1:7" x14ac:dyDescent="0.35">
      <c r="A275" t="s">
        <v>28</v>
      </c>
      <c r="D275" s="5"/>
      <c r="E275">
        <v>-1.3671346723410908E-2</v>
      </c>
      <c r="F275">
        <f t="shared" si="14"/>
        <v>-2.0998526882375107E-2</v>
      </c>
      <c r="G275">
        <f t="shared" si="15"/>
        <v>-3.2261608209277183E-2</v>
      </c>
    </row>
    <row r="276" spans="1:7" x14ac:dyDescent="0.35">
      <c r="A276" t="s">
        <v>28</v>
      </c>
      <c r="D276" s="5"/>
      <c r="E276">
        <v>-5.5260323573920792E-4</v>
      </c>
      <c r="F276">
        <f t="shared" si="14"/>
        <v>-2.1019844060799063E-2</v>
      </c>
      <c r="G276">
        <f t="shared" si="15"/>
        <v>-3.2261608209277183E-2</v>
      </c>
    </row>
    <row r="277" spans="1:7" x14ac:dyDescent="0.35">
      <c r="A277" t="s">
        <v>28</v>
      </c>
      <c r="D277" s="5"/>
      <c r="E277">
        <v>6.2358712999610591E-3</v>
      </c>
      <c r="F277">
        <f t="shared" si="14"/>
        <v>-2.1041161239223029E-2</v>
      </c>
      <c r="G277">
        <f t="shared" si="15"/>
        <v>-3.2261608209277183E-2</v>
      </c>
    </row>
    <row r="278" spans="1:7" x14ac:dyDescent="0.35">
      <c r="A278" t="s">
        <v>28</v>
      </c>
      <c r="D278" s="5"/>
      <c r="E278">
        <v>3.8834645406244923E-3</v>
      </c>
      <c r="F278">
        <f t="shared" si="14"/>
        <v>-2.1062478417646982E-2</v>
      </c>
      <c r="G278">
        <f t="shared" si="15"/>
        <v>-3.2261608209277183E-2</v>
      </c>
    </row>
    <row r="279" spans="1:7" x14ac:dyDescent="0.35">
      <c r="A279" t="s">
        <v>28</v>
      </c>
      <c r="D279" s="5"/>
      <c r="E279">
        <v>-2.6939794473613684E-3</v>
      </c>
      <c r="F279">
        <f t="shared" si="14"/>
        <v>-2.1083795596070948E-2</v>
      </c>
      <c r="G279">
        <f t="shared" si="15"/>
        <v>-3.2261608209277183E-2</v>
      </c>
    </row>
    <row r="280" spans="1:7" x14ac:dyDescent="0.35">
      <c r="A280" t="s">
        <v>28</v>
      </c>
      <c r="D280" s="5"/>
      <c r="E280">
        <v>-1.3227669568474647E-2</v>
      </c>
      <c r="F280">
        <f t="shared" si="14"/>
        <v>-2.1105112774494915E-2</v>
      </c>
      <c r="G280">
        <f t="shared" si="15"/>
        <v>-3.2261608209277183E-2</v>
      </c>
    </row>
    <row r="281" spans="1:7" x14ac:dyDescent="0.35">
      <c r="A281" t="s">
        <v>28</v>
      </c>
      <c r="D281" s="5"/>
      <c r="E281">
        <v>1.0835591808244914E-3</v>
      </c>
      <c r="F281">
        <f t="shared" si="14"/>
        <v>-2.1107259996594328E-2</v>
      </c>
      <c r="G281">
        <f t="shared" si="15"/>
        <v>-3.2324997387883893E-2</v>
      </c>
    </row>
    <row r="282" spans="1:7" x14ac:dyDescent="0.35">
      <c r="A282" t="s">
        <v>28</v>
      </c>
      <c r="D282" s="5"/>
      <c r="E282">
        <v>-2.6786185454631033E-3</v>
      </c>
      <c r="F282">
        <f t="shared" si="14"/>
        <v>-2.1109407218693744E-2</v>
      </c>
      <c r="G282">
        <f t="shared" si="15"/>
        <v>-3.2324997387883893E-2</v>
      </c>
    </row>
    <row r="283" spans="1:7" x14ac:dyDescent="0.35">
      <c r="A283" t="s">
        <v>28</v>
      </c>
      <c r="D283" s="5"/>
      <c r="E283">
        <v>4.7683288732800026E-3</v>
      </c>
      <c r="F283">
        <f t="shared" si="14"/>
        <v>-2.1111554440793157E-2</v>
      </c>
      <c r="G283">
        <f t="shared" si="15"/>
        <v>-3.2324997387883893E-2</v>
      </c>
    </row>
    <row r="284" spans="1:7" x14ac:dyDescent="0.35">
      <c r="A284" t="s">
        <v>28</v>
      </c>
      <c r="D284" s="5"/>
      <c r="E284">
        <v>2.0262190870980905E-2</v>
      </c>
      <c r="F284">
        <f t="shared" si="14"/>
        <v>-2.1113701662892569E-2</v>
      </c>
      <c r="G284">
        <f t="shared" si="15"/>
        <v>-3.2324997387883893E-2</v>
      </c>
    </row>
    <row r="285" spans="1:7" x14ac:dyDescent="0.35">
      <c r="A285" t="s">
        <v>28</v>
      </c>
      <c r="D285" s="5"/>
      <c r="E285">
        <v>5.884281084417204E-3</v>
      </c>
      <c r="F285">
        <f t="shared" si="14"/>
        <v>-2.1115848884991986E-2</v>
      </c>
      <c r="G285">
        <f t="shared" si="15"/>
        <v>-3.2324997387883893E-2</v>
      </c>
    </row>
    <row r="286" spans="1:7" x14ac:dyDescent="0.35">
      <c r="A286" t="s">
        <v>28</v>
      </c>
      <c r="D286" s="5"/>
      <c r="E286">
        <v>-4.0484972636284523E-3</v>
      </c>
      <c r="F286">
        <f t="shared" si="14"/>
        <v>-2.1117996107091398E-2</v>
      </c>
      <c r="G286">
        <f t="shared" si="15"/>
        <v>-3.2324997387883893E-2</v>
      </c>
    </row>
    <row r="287" spans="1:7" x14ac:dyDescent="0.35">
      <c r="A287" t="s">
        <v>28</v>
      </c>
      <c r="D287" s="5"/>
      <c r="E287">
        <v>-2.3549212889412564E-2</v>
      </c>
      <c r="F287">
        <f t="shared" si="14"/>
        <v>-2.1120143329190811E-2</v>
      </c>
      <c r="G287">
        <f t="shared" si="15"/>
        <v>-3.2324997387883893E-2</v>
      </c>
    </row>
    <row r="288" spans="1:7" x14ac:dyDescent="0.35">
      <c r="A288" t="s">
        <v>28</v>
      </c>
      <c r="D288" s="5"/>
      <c r="E288">
        <v>-1.0096588252852911E-2</v>
      </c>
      <c r="F288">
        <f t="shared" si="14"/>
        <v>-2.084930663340737E-2</v>
      </c>
      <c r="G288">
        <f t="shared" si="15"/>
        <v>-3.2311110455412767E-2</v>
      </c>
    </row>
    <row r="289" spans="1:7" x14ac:dyDescent="0.35">
      <c r="A289" t="s">
        <v>28</v>
      </c>
      <c r="D289" s="5"/>
      <c r="E289">
        <v>-6.4213051021035786E-3</v>
      </c>
      <c r="F289">
        <f t="shared" si="14"/>
        <v>-2.0870623811831336E-2</v>
      </c>
      <c r="G289">
        <f t="shared" si="15"/>
        <v>-3.2311110455412767E-2</v>
      </c>
    </row>
    <row r="290" spans="1:7" x14ac:dyDescent="0.35">
      <c r="A290" t="s">
        <v>28</v>
      </c>
      <c r="D290" s="5"/>
      <c r="E290">
        <v>1.3345239516436092E-3</v>
      </c>
      <c r="F290">
        <f t="shared" si="14"/>
        <v>-2.0891940990255299E-2</v>
      </c>
      <c r="G290">
        <f t="shared" si="15"/>
        <v>-3.2311110455412767E-2</v>
      </c>
    </row>
    <row r="291" spans="1:7" x14ac:dyDescent="0.35">
      <c r="A291" t="s">
        <v>28</v>
      </c>
      <c r="D291" s="5"/>
      <c r="E291">
        <v>1.6311265534569932E-2</v>
      </c>
      <c r="F291">
        <f t="shared" si="14"/>
        <v>-2.0913258168679255E-2</v>
      </c>
      <c r="G291">
        <f t="shared" si="15"/>
        <v>-3.2311110455412767E-2</v>
      </c>
    </row>
    <row r="292" spans="1:7" x14ac:dyDescent="0.35">
      <c r="A292" t="s">
        <v>28</v>
      </c>
      <c r="D292" s="5"/>
      <c r="E292">
        <v>2.5930298055140068E-3</v>
      </c>
      <c r="F292">
        <f t="shared" si="14"/>
        <v>-2.0934575347103222E-2</v>
      </c>
      <c r="G292">
        <f t="shared" si="15"/>
        <v>-3.2311110455412767E-2</v>
      </c>
    </row>
    <row r="293" spans="1:7" x14ac:dyDescent="0.35">
      <c r="A293" t="s">
        <v>29</v>
      </c>
      <c r="B293" s="3" cm="1">
        <f t="array" ref="B293">_xlfn.STDEV.S(_xlfn._xlws.FILTER($E$2:$E$1000, $A$2:$A$1000="2011-03"))</f>
        <v>1.0756947840063057E-2</v>
      </c>
      <c r="C293" s="3" cm="1">
        <f t="array" ref="C293">AVERAGE(_xlfn._xlws.FILTER($E$2:$E$1000, $A$2:$A$1000="2011-03"))</f>
        <v>-1.1132283105291865E-3</v>
      </c>
      <c r="D293" s="3" cm="1">
        <f t="array" ref="D293">_xlfn.PERCENTILE.EXC(_xlfn._xlws.FILTER($E$253:$E$502, $A$253:$A$502="2011-03"), 0.05)</f>
        <v>-2.1501272654014136E-2</v>
      </c>
      <c r="E293">
        <v>-8.2266909163503463E-3</v>
      </c>
      <c r="F293">
        <f t="shared" si="14"/>
        <v>-2.0955892525527174E-2</v>
      </c>
      <c r="G293">
        <f t="shared" si="15"/>
        <v>-3.2311110455412767E-2</v>
      </c>
    </row>
    <row r="294" spans="1:7" x14ac:dyDescent="0.35">
      <c r="A294" t="s">
        <v>29</v>
      </c>
      <c r="E294">
        <v>-1.1034556060577386E-2</v>
      </c>
      <c r="F294">
        <f t="shared" si="14"/>
        <v>-2.0977209703951141E-2</v>
      </c>
      <c r="G294">
        <f t="shared" si="15"/>
        <v>-3.2311110455412767E-2</v>
      </c>
    </row>
    <row r="295" spans="1:7" x14ac:dyDescent="0.35">
      <c r="A295" t="s">
        <v>29</v>
      </c>
      <c r="E295">
        <v>-7.2510890200630099E-3</v>
      </c>
      <c r="F295">
        <f t="shared" si="14"/>
        <v>-2.0998526882375107E-2</v>
      </c>
      <c r="G295">
        <f t="shared" si="15"/>
        <v>-3.2311110455412767E-2</v>
      </c>
    </row>
    <row r="296" spans="1:7" x14ac:dyDescent="0.35">
      <c r="A296" t="s">
        <v>29</v>
      </c>
      <c r="E296">
        <v>-6.4750340156120006E-3</v>
      </c>
      <c r="F296">
        <f t="shared" si="14"/>
        <v>-2.1019844060799063E-2</v>
      </c>
      <c r="G296">
        <f t="shared" si="15"/>
        <v>-3.2311110455412767E-2</v>
      </c>
    </row>
    <row r="297" spans="1:7" x14ac:dyDescent="0.35">
      <c r="A297" t="s">
        <v>29</v>
      </c>
      <c r="E297">
        <v>-2.8579049845850777E-4</v>
      </c>
      <c r="F297">
        <f t="shared" si="14"/>
        <v>-2.1041161239223029E-2</v>
      </c>
      <c r="G297">
        <f t="shared" si="15"/>
        <v>-3.2311110455412767E-2</v>
      </c>
    </row>
    <row r="298" spans="1:7" x14ac:dyDescent="0.35">
      <c r="A298" t="s">
        <v>29</v>
      </c>
      <c r="E298">
        <v>6.9311532489398755E-3</v>
      </c>
      <c r="F298">
        <f t="shared" si="14"/>
        <v>-2.1062478417646982E-2</v>
      </c>
      <c r="G298">
        <f t="shared" si="15"/>
        <v>-3.2311110455412767E-2</v>
      </c>
    </row>
    <row r="299" spans="1:7" x14ac:dyDescent="0.35">
      <c r="A299" t="s">
        <v>29</v>
      </c>
      <c r="E299">
        <v>-8.7087405282587204E-4</v>
      </c>
      <c r="F299">
        <f t="shared" si="14"/>
        <v>-2.1083795596070948E-2</v>
      </c>
      <c r="G299">
        <f t="shared" si="15"/>
        <v>-3.2311110455412767E-2</v>
      </c>
    </row>
    <row r="300" spans="1:7" x14ac:dyDescent="0.35">
      <c r="A300" t="s">
        <v>29</v>
      </c>
      <c r="E300">
        <v>-1.180289099401243E-2</v>
      </c>
      <c r="F300">
        <f t="shared" si="14"/>
        <v>-2.1105112774494915E-2</v>
      </c>
      <c r="G300">
        <f t="shared" si="15"/>
        <v>-3.2311110455412767E-2</v>
      </c>
    </row>
    <row r="301" spans="1:7" x14ac:dyDescent="0.35">
      <c r="A301" t="s">
        <v>29</v>
      </c>
      <c r="E301">
        <v>-3.5710895203323375E-3</v>
      </c>
      <c r="F301">
        <f t="shared" si="14"/>
        <v>-2.1107259996594328E-2</v>
      </c>
      <c r="G301">
        <f t="shared" si="15"/>
        <v>-3.2375144727875164E-2</v>
      </c>
    </row>
    <row r="302" spans="1:7" x14ac:dyDescent="0.35">
      <c r="A302" t="s">
        <v>29</v>
      </c>
      <c r="E302">
        <v>1.6815366477406367E-3</v>
      </c>
      <c r="F302">
        <f t="shared" si="14"/>
        <v>-2.1109407218693744E-2</v>
      </c>
      <c r="G302">
        <f t="shared" si="15"/>
        <v>-3.2375144727875164E-2</v>
      </c>
    </row>
    <row r="303" spans="1:7" x14ac:dyDescent="0.35">
      <c r="A303" t="s">
        <v>29</v>
      </c>
      <c r="E303">
        <v>-8.310243722187886E-3</v>
      </c>
      <c r="F303">
        <f t="shared" si="14"/>
        <v>-2.1111554440793157E-2</v>
      </c>
      <c r="G303">
        <f t="shared" si="15"/>
        <v>-3.2375144727875164E-2</v>
      </c>
    </row>
    <row r="304" spans="1:7" x14ac:dyDescent="0.35">
      <c r="A304" t="s">
        <v>29</v>
      </c>
      <c r="E304">
        <v>-2.3220759039845495E-2</v>
      </c>
      <c r="F304">
        <f t="shared" si="14"/>
        <v>-2.1113701662892569E-2</v>
      </c>
      <c r="G304">
        <f t="shared" si="15"/>
        <v>-3.2375144727875164E-2</v>
      </c>
    </row>
    <row r="305" spans="1:7" x14ac:dyDescent="0.35">
      <c r="A305" t="s">
        <v>29</v>
      </c>
      <c r="E305">
        <v>2.2823766495186418E-2</v>
      </c>
      <c r="F305">
        <f t="shared" si="14"/>
        <v>-2.0785355098135495E-2</v>
      </c>
      <c r="G305">
        <f t="shared" si="15"/>
        <v>-3.2363055320644589E-2</v>
      </c>
    </row>
    <row r="306" spans="1:7" x14ac:dyDescent="0.35">
      <c r="A306" t="s">
        <v>29</v>
      </c>
      <c r="E306">
        <v>2.7113392245113447E-4</v>
      </c>
      <c r="F306">
        <f t="shared" si="14"/>
        <v>-2.0806672276559447E-2</v>
      </c>
      <c r="G306">
        <f t="shared" si="15"/>
        <v>-3.2363055320644589E-2</v>
      </c>
    </row>
    <row r="307" spans="1:7" x14ac:dyDescent="0.35">
      <c r="A307" t="s">
        <v>29</v>
      </c>
      <c r="E307">
        <v>2.3538603272759244E-2</v>
      </c>
      <c r="F307">
        <f t="shared" si="14"/>
        <v>-2.0827989454983414E-2</v>
      </c>
      <c r="G307">
        <f t="shared" si="15"/>
        <v>-3.2363055320644589E-2</v>
      </c>
    </row>
    <row r="308" spans="1:7" x14ac:dyDescent="0.35">
      <c r="A308" t="s">
        <v>29</v>
      </c>
      <c r="E308">
        <v>1.6075270122804393E-4</v>
      </c>
      <c r="F308">
        <f t="shared" si="14"/>
        <v>-2.084930663340737E-2</v>
      </c>
      <c r="G308">
        <f t="shared" si="15"/>
        <v>-3.2363055320644589E-2</v>
      </c>
    </row>
    <row r="309" spans="1:7" x14ac:dyDescent="0.35">
      <c r="A309" t="s">
        <v>29</v>
      </c>
      <c r="E309">
        <v>5.8357578848465671E-3</v>
      </c>
      <c r="F309">
        <f t="shared" si="14"/>
        <v>-2.0870623811831336E-2</v>
      </c>
      <c r="G309">
        <f t="shared" si="15"/>
        <v>-3.2363055320644589E-2</v>
      </c>
    </row>
    <row r="310" spans="1:7" x14ac:dyDescent="0.35">
      <c r="A310" t="s">
        <v>29</v>
      </c>
      <c r="E310">
        <v>1.0994052849053467E-2</v>
      </c>
      <c r="F310">
        <f t="shared" si="14"/>
        <v>-2.0891940990255299E-2</v>
      </c>
      <c r="G310">
        <f t="shared" si="15"/>
        <v>-3.2363055320644589E-2</v>
      </c>
    </row>
    <row r="311" spans="1:7" x14ac:dyDescent="0.35">
      <c r="A311" t="s">
        <v>29</v>
      </c>
      <c r="E311">
        <v>-4.211317134308867E-3</v>
      </c>
      <c r="F311">
        <f t="shared" si="14"/>
        <v>-2.0913258168679255E-2</v>
      </c>
      <c r="G311">
        <f t="shared" si="15"/>
        <v>-3.2363055320644589E-2</v>
      </c>
    </row>
    <row r="312" spans="1:7" x14ac:dyDescent="0.35">
      <c r="A312" t="s">
        <v>29</v>
      </c>
      <c r="E312">
        <v>3.7835414682206229E-3</v>
      </c>
      <c r="F312">
        <f t="shared" si="14"/>
        <v>-2.0934575347103222E-2</v>
      </c>
      <c r="G312">
        <f t="shared" si="15"/>
        <v>-3.2363055320644589E-2</v>
      </c>
    </row>
    <row r="313" spans="1:7" x14ac:dyDescent="0.35">
      <c r="A313" t="s">
        <v>29</v>
      </c>
      <c r="E313">
        <v>-1.4893421723466444E-3</v>
      </c>
      <c r="F313">
        <f t="shared" si="14"/>
        <v>-2.0955892525527174E-2</v>
      </c>
      <c r="G313">
        <f t="shared" si="15"/>
        <v>-3.2363055320644589E-2</v>
      </c>
    </row>
    <row r="314" spans="1:7" x14ac:dyDescent="0.35">
      <c r="A314" t="s">
        <v>29</v>
      </c>
      <c r="E314">
        <v>-2.5154537498781824E-4</v>
      </c>
      <c r="F314">
        <f t="shared" si="14"/>
        <v>-2.0977209703951141E-2</v>
      </c>
      <c r="G314">
        <f t="shared" si="15"/>
        <v>-3.2363055320644589E-2</v>
      </c>
    </row>
    <row r="315" spans="1:7" x14ac:dyDescent="0.35">
      <c r="A315" t="s">
        <v>29</v>
      </c>
      <c r="E315">
        <v>-1.46233271106887E-2</v>
      </c>
      <c r="F315">
        <f t="shared" si="14"/>
        <v>-2.0998526882375107E-2</v>
      </c>
      <c r="G315">
        <f t="shared" si="15"/>
        <v>-3.2363055320644589E-2</v>
      </c>
    </row>
    <row r="316" spans="1:7" x14ac:dyDescent="0.35">
      <c r="A316" t="s">
        <v>30</v>
      </c>
      <c r="B316" s="3" cm="1">
        <f t="array" ref="B316">_xlfn.STDEV.S(_xlfn._xlws.FILTER($E$2:$E$1000, $A$2:$A$1000="2011-04"))</f>
        <v>1.0236939172115328E-2</v>
      </c>
      <c r="C316" s="3" cm="1">
        <f t="array" ref="C316">AVERAGE(_xlfn._xlws.FILTER($E$2:$E$1000, $A$2:$A$1000="2011-04"))</f>
        <v>1.5094294388733765E-3</v>
      </c>
      <c r="D316" s="3" cm="1">
        <f t="array" ref="D316">_xlfn.PERCENTILE.INC(_xlfn._xlws.FILTER($E$253:$E$502, $A$253:$A$502="2011-04"), 0.05)</f>
        <v>-1.6034467069995596E-2</v>
      </c>
      <c r="E316">
        <v>1.4399678089618678E-2</v>
      </c>
      <c r="F316">
        <f t="shared" si="14"/>
        <v>-2.1019844060799063E-2</v>
      </c>
      <c r="G316">
        <f t="shared" si="15"/>
        <v>-3.2363055320644589E-2</v>
      </c>
    </row>
    <row r="317" spans="1:7" x14ac:dyDescent="0.35">
      <c r="A317" t="s">
        <v>30</v>
      </c>
      <c r="E317">
        <v>2.4387985651953782E-3</v>
      </c>
      <c r="F317">
        <f t="shared" si="14"/>
        <v>-2.1041161239223029E-2</v>
      </c>
      <c r="G317">
        <f t="shared" si="15"/>
        <v>-3.2363055320644589E-2</v>
      </c>
    </row>
    <row r="318" spans="1:7" x14ac:dyDescent="0.35">
      <c r="A318" t="s">
        <v>30</v>
      </c>
      <c r="E318">
        <v>-7.2312967026947278E-3</v>
      </c>
      <c r="F318">
        <f t="shared" si="14"/>
        <v>-2.1062478417646982E-2</v>
      </c>
      <c r="G318">
        <f t="shared" si="15"/>
        <v>-3.2363055320644589E-2</v>
      </c>
    </row>
    <row r="319" spans="1:7" x14ac:dyDescent="0.35">
      <c r="A319" t="s">
        <v>30</v>
      </c>
      <c r="E319">
        <v>1.5471626278235012E-2</v>
      </c>
      <c r="F319">
        <f t="shared" si="14"/>
        <v>-2.1083795596070948E-2</v>
      </c>
      <c r="G319">
        <f t="shared" si="15"/>
        <v>-3.2363055320644589E-2</v>
      </c>
    </row>
    <row r="320" spans="1:7" x14ac:dyDescent="0.35">
      <c r="A320" t="s">
        <v>30</v>
      </c>
      <c r="E320">
        <v>3.6876216180628627E-4</v>
      </c>
      <c r="F320">
        <f t="shared" si="14"/>
        <v>-2.1105112774494915E-2</v>
      </c>
      <c r="G320">
        <f t="shared" si="15"/>
        <v>-3.2363055320644589E-2</v>
      </c>
    </row>
    <row r="321" spans="1:7" x14ac:dyDescent="0.35">
      <c r="A321" t="s">
        <v>30</v>
      </c>
      <c r="E321">
        <v>5.8909384920331209E-3</v>
      </c>
      <c r="F321">
        <f t="shared" si="14"/>
        <v>-2.1107259996594328E-2</v>
      </c>
      <c r="G321">
        <f t="shared" si="15"/>
        <v>-3.2427756139875329E-2</v>
      </c>
    </row>
    <row r="322" spans="1:7" x14ac:dyDescent="0.35">
      <c r="A322" t="s">
        <v>30</v>
      </c>
      <c r="E322">
        <v>-3.2030865097683004E-3</v>
      </c>
      <c r="F322">
        <f t="shared" si="14"/>
        <v>-2.1109407218693744E-2</v>
      </c>
      <c r="G322">
        <f t="shared" si="15"/>
        <v>-3.2427756139875329E-2</v>
      </c>
    </row>
    <row r="323" spans="1:7" x14ac:dyDescent="0.35">
      <c r="A323" t="s">
        <v>30</v>
      </c>
      <c r="E323">
        <v>-8.6600611392018516E-3</v>
      </c>
      <c r="F323">
        <f t="shared" si="14"/>
        <v>-2.1111554440793157E-2</v>
      </c>
      <c r="G323">
        <f t="shared" si="15"/>
        <v>-3.2427756139875329E-2</v>
      </c>
    </row>
    <row r="324" spans="1:7" x14ac:dyDescent="0.35">
      <c r="A324" t="s">
        <v>30</v>
      </c>
      <c r="E324">
        <v>1.3907883474348917E-4</v>
      </c>
      <c r="F324">
        <f t="shared" ref="F324:F387" si="16">_xlfn.PERCENTILE.EXC(E324:E4139,0.05)</f>
        <v>-2.1113701662892569E-2</v>
      </c>
      <c r="G324">
        <f t="shared" ref="G324:G387" si="17">AVERAGEIFS(E324:E4140,E324:E4140,"&lt;=" &amp; F324)</f>
        <v>-3.2427756139875329E-2</v>
      </c>
    </row>
    <row r="325" spans="1:7" x14ac:dyDescent="0.35">
      <c r="A325" t="s">
        <v>30</v>
      </c>
      <c r="E325">
        <v>-1.5255776125929519E-2</v>
      </c>
      <c r="F325">
        <f t="shared" si="16"/>
        <v>-2.1115848884991986E-2</v>
      </c>
      <c r="G325">
        <f t="shared" si="17"/>
        <v>-3.2427756139875329E-2</v>
      </c>
    </row>
    <row r="326" spans="1:7" x14ac:dyDescent="0.35">
      <c r="A326" t="s">
        <v>30</v>
      </c>
      <c r="E326">
        <v>-6.0525270575086526E-3</v>
      </c>
      <c r="F326">
        <f t="shared" si="16"/>
        <v>-2.1117996107091398E-2</v>
      </c>
      <c r="G326">
        <f t="shared" si="17"/>
        <v>-3.2427756139875329E-2</v>
      </c>
    </row>
    <row r="327" spans="1:7" x14ac:dyDescent="0.35">
      <c r="A327" t="s">
        <v>30</v>
      </c>
      <c r="E327">
        <v>-2.0447049086370024E-2</v>
      </c>
      <c r="F327">
        <f t="shared" si="16"/>
        <v>-2.1120143329190811E-2</v>
      </c>
      <c r="G327">
        <f t="shared" si="17"/>
        <v>-3.2427756139875329E-2</v>
      </c>
    </row>
    <row r="328" spans="1:7" x14ac:dyDescent="0.35">
      <c r="A328" t="s">
        <v>30</v>
      </c>
      <c r="E328">
        <v>3.0499893343508919E-3</v>
      </c>
      <c r="F328">
        <f t="shared" si="16"/>
        <v>-2.1122290551290227E-2</v>
      </c>
      <c r="G328">
        <f t="shared" si="17"/>
        <v>-3.2427756139875329E-2</v>
      </c>
    </row>
    <row r="329" spans="1:7" x14ac:dyDescent="0.35">
      <c r="A329" t="s">
        <v>30</v>
      </c>
      <c r="E329">
        <v>1.5197381231624887E-2</v>
      </c>
      <c r="F329">
        <f t="shared" si="16"/>
        <v>-2.112443777338964E-2</v>
      </c>
      <c r="G329">
        <f t="shared" si="17"/>
        <v>-3.2427756139875329E-2</v>
      </c>
    </row>
    <row r="330" spans="1:7" x14ac:dyDescent="0.35">
      <c r="A330" t="s">
        <v>30</v>
      </c>
      <c r="E330">
        <v>4.611859780551477E-3</v>
      </c>
      <c r="F330">
        <f t="shared" si="16"/>
        <v>-2.1126584995489056E-2</v>
      </c>
      <c r="G330">
        <f t="shared" si="17"/>
        <v>-3.2427756139875329E-2</v>
      </c>
    </row>
    <row r="331" spans="1:7" x14ac:dyDescent="0.35">
      <c r="A331" t="s">
        <v>30</v>
      </c>
      <c r="E331">
        <v>6.2633536049217483E-3</v>
      </c>
      <c r="F331">
        <f t="shared" si="16"/>
        <v>-2.1128732217588469E-2</v>
      </c>
      <c r="G331">
        <f t="shared" si="17"/>
        <v>-3.2427756139875329E-2</v>
      </c>
    </row>
    <row r="332" spans="1:7" x14ac:dyDescent="0.35">
      <c r="A332" t="s">
        <v>30</v>
      </c>
      <c r="E332">
        <v>8.4426558557939187E-3</v>
      </c>
      <c r="F332">
        <f t="shared" si="16"/>
        <v>-2.1130879439687882E-2</v>
      </c>
      <c r="G332">
        <f t="shared" si="17"/>
        <v>-3.2427756139875329E-2</v>
      </c>
    </row>
    <row r="333" spans="1:7" x14ac:dyDescent="0.35">
      <c r="A333" t="s">
        <v>30</v>
      </c>
      <c r="E333">
        <v>1.1745404292318962E-2</v>
      </c>
      <c r="F333">
        <f t="shared" si="16"/>
        <v>-2.1133026661787294E-2</v>
      </c>
      <c r="G333">
        <f t="shared" si="17"/>
        <v>-3.2427756139875329E-2</v>
      </c>
    </row>
    <row r="334" spans="1:7" x14ac:dyDescent="0.35">
      <c r="A334" t="s">
        <v>31</v>
      </c>
      <c r="B334" s="3" cm="1">
        <f t="array" ref="B334">_xlfn.STDEV.S(_xlfn._xlws.FILTER($E$2:$E$1000, $A$2:$A$1000="2011-05"))</f>
        <v>9.8496527288965269E-3</v>
      </c>
      <c r="C334" s="3" cm="1">
        <f t="array" ref="C334">AVERAGE(_xlfn._xlws.FILTER($E$2:$E$1000, $A$2:$A$1000="2011-05"))</f>
        <v>-1.8358681049661838E-3</v>
      </c>
      <c r="D334" s="3" cm="1">
        <f t="array" ref="D334">_xlfn.PERCENTILE.EXC(_xlfn._xlws.FILTER($E$253:$E$502, $A$253:$A$502="2011-05"), 0.05)</f>
        <v>-2.0103416897604361E-2</v>
      </c>
      <c r="E334">
        <v>-3.8905891405365215E-3</v>
      </c>
      <c r="F334">
        <f t="shared" si="16"/>
        <v>-2.1135173883886711E-2</v>
      </c>
      <c r="G334">
        <f t="shared" si="17"/>
        <v>-3.2427756139875329E-2</v>
      </c>
    </row>
    <row r="335" spans="1:7" x14ac:dyDescent="0.35">
      <c r="A335" t="s">
        <v>31</v>
      </c>
      <c r="E335">
        <v>-1.0493080834775742E-2</v>
      </c>
      <c r="F335">
        <f t="shared" si="16"/>
        <v>-2.1137321105986123E-2</v>
      </c>
      <c r="G335">
        <f t="shared" si="17"/>
        <v>-3.2427756139875329E-2</v>
      </c>
    </row>
    <row r="336" spans="1:7" x14ac:dyDescent="0.35">
      <c r="A336" t="s">
        <v>31</v>
      </c>
      <c r="E336">
        <v>-7.9944567971379169E-3</v>
      </c>
      <c r="F336">
        <f t="shared" si="16"/>
        <v>-2.1139468328085536E-2</v>
      </c>
      <c r="G336">
        <f t="shared" si="17"/>
        <v>-3.2427756139875329E-2</v>
      </c>
    </row>
    <row r="337" spans="1:7" x14ac:dyDescent="0.35">
      <c r="A337" t="s">
        <v>31</v>
      </c>
      <c r="E337">
        <v>-1.5820851033713208E-3</v>
      </c>
      <c r="F337">
        <f t="shared" si="16"/>
        <v>-2.1141615550184952E-2</v>
      </c>
      <c r="G337">
        <f t="shared" si="17"/>
        <v>-3.2427756139875329E-2</v>
      </c>
    </row>
    <row r="338" spans="1:7" x14ac:dyDescent="0.35">
      <c r="A338" t="s">
        <v>31</v>
      </c>
      <c r="E338">
        <v>-2.0394103253296561E-2</v>
      </c>
      <c r="F338">
        <f t="shared" si="16"/>
        <v>-2.1143762772284365E-2</v>
      </c>
      <c r="G338">
        <f t="shared" si="17"/>
        <v>-3.2427756139875329E-2</v>
      </c>
    </row>
    <row r="339" spans="1:7" x14ac:dyDescent="0.35">
      <c r="A339" t="s">
        <v>31</v>
      </c>
      <c r="E339">
        <v>7.4842113157356747E-3</v>
      </c>
      <c r="F339">
        <f t="shared" si="16"/>
        <v>-2.1145909994383781E-2</v>
      </c>
      <c r="G339">
        <f t="shared" si="17"/>
        <v>-3.2427756139875329E-2</v>
      </c>
    </row>
    <row r="340" spans="1:7" x14ac:dyDescent="0.35">
      <c r="A340" t="s">
        <v>31</v>
      </c>
      <c r="E340">
        <v>5.4365812118697364E-3</v>
      </c>
      <c r="F340">
        <f t="shared" si="16"/>
        <v>-2.1148057216483194E-2</v>
      </c>
      <c r="G340">
        <f t="shared" si="17"/>
        <v>-3.2427756139875329E-2</v>
      </c>
    </row>
    <row r="341" spans="1:7" x14ac:dyDescent="0.35">
      <c r="A341" t="s">
        <v>31</v>
      </c>
      <c r="E341">
        <v>-4.1771592345051147E-3</v>
      </c>
      <c r="F341">
        <f t="shared" si="16"/>
        <v>-2.1148478017250307E-2</v>
      </c>
      <c r="G341">
        <f t="shared" si="17"/>
        <v>-3.2492956711686845E-2</v>
      </c>
    </row>
    <row r="342" spans="1:7" x14ac:dyDescent="0.35">
      <c r="A342" t="s">
        <v>31</v>
      </c>
      <c r="E342">
        <v>-1.2579264995330495E-2</v>
      </c>
      <c r="F342">
        <f t="shared" si="16"/>
        <v>-2.114889881801742E-2</v>
      </c>
      <c r="G342">
        <f t="shared" si="17"/>
        <v>-3.2492956711686845E-2</v>
      </c>
    </row>
    <row r="343" spans="1:7" x14ac:dyDescent="0.35">
      <c r="A343" t="s">
        <v>31</v>
      </c>
      <c r="E343">
        <v>7.1427195561989977E-4</v>
      </c>
      <c r="F343">
        <f t="shared" si="16"/>
        <v>-2.114931961878453E-2</v>
      </c>
      <c r="G343">
        <f t="shared" si="17"/>
        <v>-3.2492956711686845E-2</v>
      </c>
    </row>
    <row r="344" spans="1:7" x14ac:dyDescent="0.35">
      <c r="A344" t="s">
        <v>31</v>
      </c>
      <c r="E344">
        <v>-5.56355237388263E-3</v>
      </c>
      <c r="F344">
        <f t="shared" si="16"/>
        <v>-2.1149740419551644E-2</v>
      </c>
      <c r="G344">
        <f t="shared" si="17"/>
        <v>-3.2492956711686845E-2</v>
      </c>
    </row>
    <row r="345" spans="1:7" x14ac:dyDescent="0.35">
      <c r="A345" t="s">
        <v>31</v>
      </c>
      <c r="E345">
        <v>3.6125772336175282E-3</v>
      </c>
      <c r="F345">
        <f t="shared" si="16"/>
        <v>-2.1150161220318757E-2</v>
      </c>
      <c r="G345">
        <f t="shared" si="17"/>
        <v>-3.2492956711686845E-2</v>
      </c>
    </row>
    <row r="346" spans="1:7" x14ac:dyDescent="0.35">
      <c r="A346" t="s">
        <v>31</v>
      </c>
      <c r="E346">
        <v>3.1949063155307096E-3</v>
      </c>
      <c r="F346">
        <f t="shared" si="16"/>
        <v>-2.115058202108587E-2</v>
      </c>
      <c r="G346">
        <f t="shared" si="17"/>
        <v>-3.2492956711686845E-2</v>
      </c>
    </row>
    <row r="347" spans="1:7" x14ac:dyDescent="0.35">
      <c r="A347" t="s">
        <v>31</v>
      </c>
      <c r="E347">
        <v>-1.4580376139452584E-2</v>
      </c>
      <c r="F347">
        <f t="shared" si="16"/>
        <v>-2.1151002821852984E-2</v>
      </c>
      <c r="G347">
        <f t="shared" si="17"/>
        <v>-3.2492956711686845E-2</v>
      </c>
    </row>
    <row r="348" spans="1:7" x14ac:dyDescent="0.35">
      <c r="A348" t="s">
        <v>31</v>
      </c>
      <c r="E348">
        <v>-1.4171084986113629E-2</v>
      </c>
      <c r="F348">
        <f t="shared" si="16"/>
        <v>-2.1151423622620093E-2</v>
      </c>
      <c r="G348">
        <f t="shared" si="17"/>
        <v>-3.2492956711686845E-2</v>
      </c>
    </row>
    <row r="349" spans="1:7" x14ac:dyDescent="0.35">
      <c r="A349" t="s">
        <v>31</v>
      </c>
      <c r="E349">
        <v>3.2873595099283839E-3</v>
      </c>
      <c r="F349">
        <f t="shared" si="16"/>
        <v>-2.1151844423387207E-2</v>
      </c>
      <c r="G349">
        <f t="shared" si="17"/>
        <v>-3.2492956711686845E-2</v>
      </c>
    </row>
    <row r="350" spans="1:7" x14ac:dyDescent="0.35">
      <c r="A350" t="s">
        <v>31</v>
      </c>
      <c r="E350">
        <v>9.9837058497883775E-3</v>
      </c>
      <c r="F350">
        <f t="shared" si="16"/>
        <v>-2.115226522415432E-2</v>
      </c>
      <c r="G350">
        <f t="shared" si="17"/>
        <v>-3.2492956711686845E-2</v>
      </c>
    </row>
    <row r="351" spans="1:7" x14ac:dyDescent="0.35">
      <c r="A351" t="s">
        <v>31</v>
      </c>
      <c r="E351">
        <v>-1.3907526996067064E-3</v>
      </c>
      <c r="F351">
        <f t="shared" si="16"/>
        <v>-2.1152686024921433E-2</v>
      </c>
      <c r="G351">
        <f t="shared" si="17"/>
        <v>-3.2492956711686845E-2</v>
      </c>
    </row>
    <row r="352" spans="1:7" x14ac:dyDescent="0.35">
      <c r="A352" t="s">
        <v>31</v>
      </c>
      <c r="E352">
        <v>5.6683953889026771E-3</v>
      </c>
      <c r="F352">
        <f t="shared" si="16"/>
        <v>-2.1153106825688547E-2</v>
      </c>
      <c r="G352">
        <f t="shared" si="17"/>
        <v>-3.2492956711686845E-2</v>
      </c>
    </row>
    <row r="353" spans="1:7" x14ac:dyDescent="0.35">
      <c r="A353" t="s">
        <v>31</v>
      </c>
      <c r="E353">
        <v>2.071713467769255E-2</v>
      </c>
      <c r="F353">
        <f t="shared" si="16"/>
        <v>-2.1153527626455657E-2</v>
      </c>
      <c r="G353">
        <f t="shared" si="17"/>
        <v>-3.2492956711686845E-2</v>
      </c>
    </row>
    <row r="354" spans="1:7" x14ac:dyDescent="0.35">
      <c r="A354" t="s">
        <v>32</v>
      </c>
      <c r="B354" s="3" cm="1">
        <f t="array" ref="B354">_xlfn.STDEV.S(_xlfn._xlws.FILTER($E$2:$E$1000, $A$2:$A$1000="2011-06"))</f>
        <v>1.4385681956972304E-2</v>
      </c>
      <c r="C354" s="3" cm="1">
        <f t="array" ref="C354">AVERAGE(_xlfn._xlws.FILTER($E$2:$E$1000, $A$2:$A$1000="2011-06"))</f>
        <v>-5.0656101683484969E-4</v>
      </c>
      <c r="D354" s="3" cm="1">
        <f t="array" ref="D354">_xlfn.PERCENTILE.EXC(_xlfn._xlws.FILTER($E$253:$E$502, $A$253:$A$502="2011-06"), 0.05)</f>
        <v>-2.6888623898649808E-2</v>
      </c>
      <c r="E354">
        <v>-1.313475811600069E-2</v>
      </c>
      <c r="F354">
        <f t="shared" si="16"/>
        <v>-2.115394842722277E-2</v>
      </c>
      <c r="G354">
        <f t="shared" si="17"/>
        <v>-3.2492956711686845E-2</v>
      </c>
    </row>
    <row r="355" spans="1:7" x14ac:dyDescent="0.35">
      <c r="A355" t="s">
        <v>32</v>
      </c>
      <c r="E355">
        <v>-7.6018676493926698E-3</v>
      </c>
      <c r="F355">
        <f t="shared" si="16"/>
        <v>-2.1154369227989883E-2</v>
      </c>
      <c r="G355">
        <f t="shared" si="17"/>
        <v>-3.2492956711686845E-2</v>
      </c>
    </row>
    <row r="356" spans="1:7" x14ac:dyDescent="0.35">
      <c r="A356" t="s">
        <v>32</v>
      </c>
      <c r="E356">
        <v>2.4042801908165565E-3</v>
      </c>
      <c r="F356">
        <f t="shared" si="16"/>
        <v>-2.1154790028756996E-2</v>
      </c>
      <c r="G356">
        <f t="shared" si="17"/>
        <v>-3.2492956711686845E-2</v>
      </c>
    </row>
    <row r="357" spans="1:7" x14ac:dyDescent="0.35">
      <c r="A357" t="s">
        <v>32</v>
      </c>
      <c r="E357">
        <v>-1.2522542500665146E-2</v>
      </c>
      <c r="F357">
        <f t="shared" si="16"/>
        <v>-2.115521082952411E-2</v>
      </c>
      <c r="G357">
        <f t="shared" si="17"/>
        <v>-3.2492956711686845E-2</v>
      </c>
    </row>
    <row r="358" spans="1:7" x14ac:dyDescent="0.35">
      <c r="A358" t="s">
        <v>32</v>
      </c>
      <c r="E358">
        <v>1.0233300443355281E-3</v>
      </c>
      <c r="F358">
        <f t="shared" si="16"/>
        <v>-2.115563163029122E-2</v>
      </c>
      <c r="G358">
        <f t="shared" si="17"/>
        <v>-3.2492956711686845E-2</v>
      </c>
    </row>
    <row r="359" spans="1:7" x14ac:dyDescent="0.35">
      <c r="A359" t="s">
        <v>32</v>
      </c>
      <c r="E359">
        <v>-8.4541208491728179E-3</v>
      </c>
      <c r="F359">
        <f t="shared" si="16"/>
        <v>-2.1156052431058333E-2</v>
      </c>
      <c r="G359">
        <f t="shared" si="17"/>
        <v>-3.2492956711686845E-2</v>
      </c>
    </row>
    <row r="360" spans="1:7" x14ac:dyDescent="0.35">
      <c r="A360" t="s">
        <v>32</v>
      </c>
      <c r="E360">
        <v>3.8803861758926811E-3</v>
      </c>
      <c r="F360">
        <f t="shared" si="16"/>
        <v>-2.1156473231825446E-2</v>
      </c>
      <c r="G360">
        <f t="shared" si="17"/>
        <v>-3.2492956711686845E-2</v>
      </c>
    </row>
    <row r="361" spans="1:7" x14ac:dyDescent="0.35">
      <c r="A361" t="s">
        <v>32</v>
      </c>
      <c r="E361">
        <v>-1.7028683992795619E-2</v>
      </c>
      <c r="F361">
        <f t="shared" si="16"/>
        <v>-2.1157228376472659E-2</v>
      </c>
      <c r="G361">
        <f t="shared" si="17"/>
        <v>-3.2558866499360462E-2</v>
      </c>
    </row>
    <row r="362" spans="1:7" x14ac:dyDescent="0.35">
      <c r="A362" t="s">
        <v>32</v>
      </c>
      <c r="E362">
        <v>-4.6238127174490765E-4</v>
      </c>
      <c r="F362">
        <f t="shared" si="16"/>
        <v>-2.1157983521119868E-2</v>
      </c>
      <c r="G362">
        <f t="shared" si="17"/>
        <v>-3.2558866499360462E-2</v>
      </c>
    </row>
    <row r="363" spans="1:7" x14ac:dyDescent="0.35">
      <c r="A363" t="s">
        <v>32</v>
      </c>
      <c r="E363">
        <v>1.8567380027554859E-2</v>
      </c>
      <c r="F363">
        <f t="shared" si="16"/>
        <v>-2.115873866576708E-2</v>
      </c>
      <c r="G363">
        <f t="shared" si="17"/>
        <v>-3.2558866499360462E-2</v>
      </c>
    </row>
    <row r="364" spans="1:7" x14ac:dyDescent="0.35">
      <c r="A364" t="s">
        <v>32</v>
      </c>
      <c r="E364">
        <v>-1.9885334069822763E-2</v>
      </c>
      <c r="F364">
        <f t="shared" si="16"/>
        <v>-2.1159493810414293E-2</v>
      </c>
      <c r="G364">
        <f t="shared" si="17"/>
        <v>-3.2558866499360462E-2</v>
      </c>
    </row>
    <row r="365" spans="1:7" x14ac:dyDescent="0.35">
      <c r="A365" t="s">
        <v>32</v>
      </c>
      <c r="E365">
        <v>-1.4709144484441367E-3</v>
      </c>
      <c r="F365">
        <f t="shared" si="16"/>
        <v>-2.1160248955061505E-2</v>
      </c>
      <c r="G365">
        <f t="shared" si="17"/>
        <v>-3.2558866499360462E-2</v>
      </c>
    </row>
    <row r="366" spans="1:7" x14ac:dyDescent="0.35">
      <c r="A366" t="s">
        <v>32</v>
      </c>
      <c r="E366">
        <v>2.1612813119680222E-2</v>
      </c>
      <c r="F366">
        <f t="shared" si="16"/>
        <v>-2.1161004099708714E-2</v>
      </c>
      <c r="G366">
        <f t="shared" si="17"/>
        <v>-3.2558866499360462E-2</v>
      </c>
    </row>
    <row r="367" spans="1:7" x14ac:dyDescent="0.35">
      <c r="A367" t="s">
        <v>32</v>
      </c>
      <c r="E367">
        <v>-9.6266599787330591E-3</v>
      </c>
      <c r="F367">
        <f t="shared" si="16"/>
        <v>-2.1161759244355927E-2</v>
      </c>
      <c r="G367">
        <f t="shared" si="17"/>
        <v>-3.2558866499360462E-2</v>
      </c>
    </row>
    <row r="368" spans="1:7" x14ac:dyDescent="0.35">
      <c r="A368" t="s">
        <v>32</v>
      </c>
      <c r="E368">
        <v>1.9122437641449812E-2</v>
      </c>
      <c r="F368">
        <f t="shared" si="16"/>
        <v>-2.1162514389003139E-2</v>
      </c>
      <c r="G368">
        <f t="shared" si="17"/>
        <v>-3.2558866499360462E-2</v>
      </c>
    </row>
    <row r="369" spans="1:7" x14ac:dyDescent="0.35">
      <c r="A369" t="s">
        <v>32</v>
      </c>
      <c r="E369">
        <v>-5.5723651243201741E-4</v>
      </c>
      <c r="F369">
        <f t="shared" si="16"/>
        <v>-2.1163269533650352E-2</v>
      </c>
      <c r="G369">
        <f t="shared" si="17"/>
        <v>-3.2558866499360462E-2</v>
      </c>
    </row>
    <row r="370" spans="1:7" x14ac:dyDescent="0.35">
      <c r="A370" t="s">
        <v>32</v>
      </c>
      <c r="E370">
        <v>-2.8124498574325169E-2</v>
      </c>
      <c r="F370">
        <f t="shared" si="16"/>
        <v>-2.1164024678297561E-2</v>
      </c>
      <c r="G370">
        <f t="shared" si="17"/>
        <v>-3.2558866499360462E-2</v>
      </c>
    </row>
    <row r="371" spans="1:7" x14ac:dyDescent="0.35">
      <c r="A371" t="s">
        <v>32</v>
      </c>
      <c r="E371">
        <v>-1.3151090815247604E-2</v>
      </c>
      <c r="F371">
        <f t="shared" si="16"/>
        <v>-2.1152686024921433E-2</v>
      </c>
      <c r="G371">
        <f t="shared" si="17"/>
        <v>-3.2518354724113373E-2</v>
      </c>
    </row>
    <row r="372" spans="1:7" x14ac:dyDescent="0.35">
      <c r="A372" t="s">
        <v>32</v>
      </c>
      <c r="E372">
        <v>6.0452612106831789E-3</v>
      </c>
      <c r="F372">
        <f t="shared" si="16"/>
        <v>-2.1153106825688547E-2</v>
      </c>
      <c r="G372">
        <f t="shared" si="17"/>
        <v>-3.2518354724113373E-2</v>
      </c>
    </row>
    <row r="373" spans="1:7" x14ac:dyDescent="0.35">
      <c r="A373" t="s">
        <v>32</v>
      </c>
      <c r="E373">
        <v>6.5122473181425441E-3</v>
      </c>
      <c r="F373">
        <f t="shared" si="16"/>
        <v>-2.1153527626455657E-2</v>
      </c>
      <c r="G373">
        <f t="shared" si="17"/>
        <v>-3.2518354724113373E-2</v>
      </c>
    </row>
    <row r="374" spans="1:7" x14ac:dyDescent="0.35">
      <c r="A374" t="s">
        <v>32</v>
      </c>
      <c r="E374">
        <v>2.0607991145501044E-2</v>
      </c>
      <c r="F374">
        <f t="shared" si="16"/>
        <v>-2.115394842722277E-2</v>
      </c>
      <c r="G374">
        <f t="shared" si="17"/>
        <v>-3.2518354724113373E-2</v>
      </c>
    </row>
    <row r="375" spans="1:7" x14ac:dyDescent="0.35">
      <c r="A375" t="s">
        <v>32</v>
      </c>
      <c r="E375">
        <v>2.1099619534353495E-2</v>
      </c>
      <c r="F375">
        <f t="shared" si="16"/>
        <v>-2.1154369227989883E-2</v>
      </c>
      <c r="G375">
        <f t="shared" si="17"/>
        <v>-3.2518354724113373E-2</v>
      </c>
    </row>
    <row r="376" spans="1:7" x14ac:dyDescent="0.35">
      <c r="A376" t="s">
        <v>33</v>
      </c>
      <c r="B376" s="3" cm="1">
        <f t="array" ref="B376">_xlfn.STDEV.S(_xlfn._xlws.FILTER($E$2:$E$1000, $A$2:$A$1000="2011-07"))</f>
        <v>1.5452458188434956E-2</v>
      </c>
      <c r="C376" s="3" cm="1">
        <f t="array" ref="C376">AVERAGE(_xlfn._xlws.FILTER($E$2:$E$1000, $A$2:$A$1000="2011-07"))</f>
        <v>-3.4755557902322299E-3</v>
      </c>
      <c r="D376" s="3" cm="1">
        <f t="array" ref="D376">_xlfn.PERCENTILE.EXC(_xlfn._xlws.FILTER($E$253:$E$502, $A$253:$A$502="2011-07"), 0.05)</f>
        <v>-2.7128924787556789E-2</v>
      </c>
      <c r="E376">
        <v>1.2670477729528569E-2</v>
      </c>
      <c r="F376">
        <f t="shared" si="16"/>
        <v>-2.1154790028756996E-2</v>
      </c>
      <c r="G376">
        <f t="shared" si="17"/>
        <v>-3.2518354724113373E-2</v>
      </c>
    </row>
    <row r="377" spans="1:7" x14ac:dyDescent="0.35">
      <c r="A377" t="s">
        <v>33</v>
      </c>
      <c r="E377">
        <v>-2.2900773367278224E-3</v>
      </c>
      <c r="F377">
        <f t="shared" si="16"/>
        <v>-2.115521082952411E-2</v>
      </c>
      <c r="G377">
        <f t="shared" si="17"/>
        <v>-3.2518354724113373E-2</v>
      </c>
    </row>
    <row r="378" spans="1:7" x14ac:dyDescent="0.35">
      <c r="A378" t="s">
        <v>33</v>
      </c>
      <c r="E378">
        <v>-1.3261021041097948E-2</v>
      </c>
      <c r="F378">
        <f t="shared" si="16"/>
        <v>-2.115563163029122E-2</v>
      </c>
      <c r="G378">
        <f t="shared" si="17"/>
        <v>-3.2518354724113373E-2</v>
      </c>
    </row>
    <row r="379" spans="1:7" x14ac:dyDescent="0.35">
      <c r="A379" t="s">
        <v>33</v>
      </c>
      <c r="E379">
        <v>-1.223316415571327E-2</v>
      </c>
      <c r="F379">
        <f t="shared" si="16"/>
        <v>-2.1156052431058333E-2</v>
      </c>
      <c r="G379">
        <f t="shared" si="17"/>
        <v>-3.2518354724113373E-2</v>
      </c>
    </row>
    <row r="380" spans="1:7" x14ac:dyDescent="0.35">
      <c r="A380" t="s">
        <v>33</v>
      </c>
      <c r="E380">
        <v>-8.1369761409699293E-4</v>
      </c>
      <c r="F380">
        <f t="shared" si="16"/>
        <v>-2.1156473231825446E-2</v>
      </c>
      <c r="G380">
        <f t="shared" si="17"/>
        <v>-3.2518354724113373E-2</v>
      </c>
    </row>
    <row r="381" spans="1:7" x14ac:dyDescent="0.35">
      <c r="A381" t="s">
        <v>33</v>
      </c>
      <c r="E381">
        <v>-2.5629184105766471E-2</v>
      </c>
      <c r="F381">
        <f t="shared" si="16"/>
        <v>-2.1157228376472659E-2</v>
      </c>
      <c r="G381">
        <f t="shared" si="17"/>
        <v>-3.2584798475530252E-2</v>
      </c>
    </row>
    <row r="382" spans="1:7" x14ac:dyDescent="0.35">
      <c r="A382" t="s">
        <v>33</v>
      </c>
      <c r="E382">
        <v>-2.7295562641089045E-2</v>
      </c>
      <c r="F382">
        <f t="shared" si="16"/>
        <v>-2.114889881801742E-2</v>
      </c>
      <c r="G382">
        <f t="shared" si="17"/>
        <v>-3.2558642271589076E-2</v>
      </c>
    </row>
    <row r="383" spans="1:7" x14ac:dyDescent="0.35">
      <c r="A383" t="s">
        <v>33</v>
      </c>
      <c r="E383">
        <v>-6.9731526718880971E-3</v>
      </c>
      <c r="F383">
        <f t="shared" si="16"/>
        <v>-2.1111554440793157E-2</v>
      </c>
      <c r="G383">
        <f t="shared" si="17"/>
        <v>-3.2522691947468575E-2</v>
      </c>
    </row>
    <row r="384" spans="1:7" x14ac:dyDescent="0.35">
      <c r="A384" t="s">
        <v>33</v>
      </c>
      <c r="E384">
        <v>6.5904765198361321E-3</v>
      </c>
      <c r="F384">
        <f t="shared" si="16"/>
        <v>-2.1113701662892569E-2</v>
      </c>
      <c r="G384">
        <f t="shared" si="17"/>
        <v>-3.2522691947468575E-2</v>
      </c>
    </row>
    <row r="385" spans="1:7" x14ac:dyDescent="0.35">
      <c r="A385" t="s">
        <v>33</v>
      </c>
      <c r="E385">
        <v>-7.0904244523408337E-3</v>
      </c>
      <c r="F385">
        <f t="shared" si="16"/>
        <v>-2.1115848884991986E-2</v>
      </c>
      <c r="G385">
        <f t="shared" si="17"/>
        <v>-3.2522691947468575E-2</v>
      </c>
    </row>
    <row r="386" spans="1:7" x14ac:dyDescent="0.35">
      <c r="A386" t="s">
        <v>33</v>
      </c>
      <c r="E386">
        <v>-1.1989998376474914E-2</v>
      </c>
      <c r="F386">
        <f t="shared" si="16"/>
        <v>-2.1117996107091398E-2</v>
      </c>
      <c r="G386">
        <f t="shared" si="17"/>
        <v>-3.2522691947468575E-2</v>
      </c>
    </row>
    <row r="387" spans="1:7" x14ac:dyDescent="0.35">
      <c r="A387" t="s">
        <v>33</v>
      </c>
      <c r="E387">
        <v>-1.4486234632323246E-2</v>
      </c>
      <c r="F387">
        <f t="shared" si="16"/>
        <v>-2.1120143329190811E-2</v>
      </c>
      <c r="G387">
        <f t="shared" si="17"/>
        <v>-3.2522691947468575E-2</v>
      </c>
    </row>
    <row r="388" spans="1:7" x14ac:dyDescent="0.35">
      <c r="A388" t="s">
        <v>33</v>
      </c>
      <c r="E388">
        <v>1.0217420034901187E-2</v>
      </c>
      <c r="F388">
        <f t="shared" ref="F388:F451" si="18">_xlfn.PERCENTILE.EXC(E388:E4203,0.05)</f>
        <v>-2.1122290551290227E-2</v>
      </c>
      <c r="G388">
        <f t="shared" ref="G388:G451" si="19">AVERAGEIFS(E388:E4204,E388:E4204,"&lt;=" &amp; F388)</f>
        <v>-3.2522691947468575E-2</v>
      </c>
    </row>
    <row r="389" spans="1:7" x14ac:dyDescent="0.35">
      <c r="A389" t="s">
        <v>33</v>
      </c>
      <c r="E389">
        <v>3.0143183052458097E-2</v>
      </c>
      <c r="F389">
        <f t="shared" si="18"/>
        <v>-2.112443777338964E-2</v>
      </c>
      <c r="G389">
        <f t="shared" si="19"/>
        <v>-3.2522691947468575E-2</v>
      </c>
    </row>
    <row r="390" spans="1:7" x14ac:dyDescent="0.35">
      <c r="A390" t="s">
        <v>33</v>
      </c>
      <c r="E390">
        <v>2.8841921424605139E-2</v>
      </c>
      <c r="F390">
        <f t="shared" si="18"/>
        <v>-2.1126584995489056E-2</v>
      </c>
      <c r="G390">
        <f t="shared" si="19"/>
        <v>-3.2522691947468575E-2</v>
      </c>
    </row>
    <row r="391" spans="1:7" x14ac:dyDescent="0.35">
      <c r="A391" t="s">
        <v>33</v>
      </c>
      <c r="E391">
        <v>4.1540337367390904E-3</v>
      </c>
      <c r="F391">
        <f t="shared" si="18"/>
        <v>-2.1128732217588469E-2</v>
      </c>
      <c r="G391">
        <f t="shared" si="19"/>
        <v>-3.2522691947468575E-2</v>
      </c>
    </row>
    <row r="392" spans="1:7" x14ac:dyDescent="0.35">
      <c r="A392" t="s">
        <v>33</v>
      </c>
      <c r="E392">
        <v>-1.9382805499592735E-2</v>
      </c>
      <c r="F392">
        <f t="shared" si="18"/>
        <v>-2.1130879439687882E-2</v>
      </c>
      <c r="G392">
        <f t="shared" si="19"/>
        <v>-3.2522691947468575E-2</v>
      </c>
    </row>
    <row r="393" spans="1:7" x14ac:dyDescent="0.35">
      <c r="A393" t="s">
        <v>33</v>
      </c>
      <c r="E393">
        <v>-3.3300199303558072E-3</v>
      </c>
      <c r="F393">
        <f t="shared" si="18"/>
        <v>-2.1133026661787294E-2</v>
      </c>
      <c r="G393">
        <f t="shared" si="19"/>
        <v>-3.2522691947468575E-2</v>
      </c>
    </row>
    <row r="394" spans="1:7" x14ac:dyDescent="0.35">
      <c r="A394" t="s">
        <v>33</v>
      </c>
      <c r="E394">
        <v>-1.9521380621165891E-2</v>
      </c>
      <c r="F394">
        <f t="shared" si="18"/>
        <v>-2.1135173883886711E-2</v>
      </c>
      <c r="G394">
        <f t="shared" si="19"/>
        <v>-3.2522691947468575E-2</v>
      </c>
    </row>
    <row r="395" spans="1:7" x14ac:dyDescent="0.35">
      <c r="A395" t="s">
        <v>33</v>
      </c>
      <c r="E395">
        <v>1.4196672902472161E-3</v>
      </c>
      <c r="F395">
        <f t="shared" si="18"/>
        <v>-2.1137321105986123E-2</v>
      </c>
      <c r="G395">
        <f t="shared" si="19"/>
        <v>-3.2522691947468575E-2</v>
      </c>
    </row>
    <row r="396" spans="1:7" x14ac:dyDescent="0.35">
      <c r="A396" t="s">
        <v>33</v>
      </c>
      <c r="E396">
        <v>-2.7271283045591987E-3</v>
      </c>
      <c r="F396">
        <f t="shared" si="18"/>
        <v>-2.1139468328085536E-2</v>
      </c>
      <c r="G396">
        <f t="shared" si="19"/>
        <v>-3.2522691947468575E-2</v>
      </c>
    </row>
    <row r="397" spans="1:7" x14ac:dyDescent="0.35">
      <c r="A397" t="s">
        <v>34</v>
      </c>
      <c r="B397" s="3" cm="1">
        <f t="array" ref="B397">_xlfn.STDEV.S(_xlfn._xlws.FILTER($E$2:$E$1000, $A$2:$A$1000="2011-08"))</f>
        <v>2.7876667807356068E-2</v>
      </c>
      <c r="C397" s="3" cm="1">
        <f t="array" ref="C397">AVERAGE(_xlfn._xlws.FILTER($E$2:$E$1000, $A$2:$A$1000="2011-08"))</f>
        <v>-4.7379637194120668E-3</v>
      </c>
      <c r="D397" s="3" cm="1">
        <f t="array" ref="D397">_xlfn.PERCENTILE.EXC(_xlfn._xlws.FILTER($E$253:$E$502, $A$253:$A$502="2011-08"), 0.05)</f>
        <v>-5.5652752015496278E-2</v>
      </c>
      <c r="E397">
        <v>-3.2986435682520597E-2</v>
      </c>
      <c r="F397">
        <f t="shared" si="18"/>
        <v>-2.1141615550184952E-2</v>
      </c>
      <c r="G397">
        <f t="shared" si="19"/>
        <v>-3.2522691947468575E-2</v>
      </c>
    </row>
    <row r="398" spans="1:7" x14ac:dyDescent="0.35">
      <c r="A398" t="s">
        <v>34</v>
      </c>
      <c r="E398">
        <v>-2.2059039854299047E-2</v>
      </c>
      <c r="F398">
        <f t="shared" si="18"/>
        <v>-2.1062478417646982E-2</v>
      </c>
      <c r="G398">
        <f t="shared" si="19"/>
        <v>-3.245321052695381E-2</v>
      </c>
    </row>
    <row r="399" spans="1:7" x14ac:dyDescent="0.35">
      <c r="A399" t="s">
        <v>34</v>
      </c>
      <c r="E399">
        <v>-8.5057198895526279E-3</v>
      </c>
      <c r="F399">
        <f t="shared" si="18"/>
        <v>-2.0677589612814202E-2</v>
      </c>
      <c r="G399">
        <f t="shared" si="19"/>
        <v>-3.2445138768776714E-2</v>
      </c>
    </row>
    <row r="400" spans="1:7" x14ac:dyDescent="0.35">
      <c r="A400" t="s">
        <v>34</v>
      </c>
      <c r="E400">
        <v>-3.963462090203209E-2</v>
      </c>
      <c r="F400">
        <f t="shared" si="18"/>
        <v>-2.0678769206015687E-2</v>
      </c>
      <c r="G400">
        <f t="shared" si="19"/>
        <v>-3.2445138768776714E-2</v>
      </c>
    </row>
    <row r="401" spans="1:7" x14ac:dyDescent="0.35">
      <c r="A401" t="s">
        <v>34</v>
      </c>
      <c r="E401">
        <v>-1.7629068324139269E-3</v>
      </c>
      <c r="F401">
        <f t="shared" si="18"/>
        <v>-2.0656356935187459E-2</v>
      </c>
      <c r="G401">
        <f t="shared" si="19"/>
        <v>-3.2402847697404619E-2</v>
      </c>
    </row>
    <row r="402" spans="1:7" x14ac:dyDescent="0.35">
      <c r="A402" t="s">
        <v>34</v>
      </c>
      <c r="E402">
        <v>-2.4728940402169868E-2</v>
      </c>
      <c r="F402">
        <f t="shared" si="18"/>
        <v>-2.0657536528388944E-2</v>
      </c>
      <c r="G402">
        <f t="shared" si="19"/>
        <v>-3.2402847697404619E-2</v>
      </c>
    </row>
    <row r="403" spans="1:7" x14ac:dyDescent="0.35">
      <c r="A403" t="s">
        <v>34</v>
      </c>
      <c r="E403">
        <v>-3.6119719757991709E-3</v>
      </c>
      <c r="F403">
        <f t="shared" si="18"/>
        <v>-2.0440549417106622E-2</v>
      </c>
      <c r="G403">
        <f t="shared" si="19"/>
        <v>-3.237888438528589E-2</v>
      </c>
    </row>
    <row r="404" spans="1:7" x14ac:dyDescent="0.35">
      <c r="A404" t="s">
        <v>34</v>
      </c>
      <c r="E404">
        <v>-5.6483792381981701E-2</v>
      </c>
      <c r="F404">
        <f t="shared" si="18"/>
        <v>-2.0453174589158352E-2</v>
      </c>
      <c r="G404">
        <f t="shared" si="19"/>
        <v>-3.237888438528589E-2</v>
      </c>
    </row>
    <row r="405" spans="1:7" x14ac:dyDescent="0.35">
      <c r="A405" t="s">
        <v>34</v>
      </c>
      <c r="E405">
        <v>3.4957985669653448E-2</v>
      </c>
      <c r="F405">
        <f t="shared" si="18"/>
        <v>-2.0202213177911692E-2</v>
      </c>
      <c r="G405">
        <f t="shared" si="19"/>
        <v>-3.2166642511868064E-2</v>
      </c>
    </row>
    <row r="406" spans="1:7" x14ac:dyDescent="0.35">
      <c r="A406" t="s">
        <v>34</v>
      </c>
      <c r="E406">
        <v>4.7106663060925785E-2</v>
      </c>
      <c r="F406">
        <f t="shared" si="18"/>
        <v>-2.0215577226114338E-2</v>
      </c>
      <c r="G406">
        <f t="shared" si="19"/>
        <v>-3.2166642511868064E-2</v>
      </c>
    </row>
    <row r="407" spans="1:7" x14ac:dyDescent="0.35">
      <c r="A407" t="s">
        <v>34</v>
      </c>
      <c r="E407">
        <v>3.1174974444942161E-3</v>
      </c>
      <c r="F407">
        <f t="shared" si="18"/>
        <v>-2.022894127431699E-2</v>
      </c>
      <c r="G407">
        <f t="shared" si="19"/>
        <v>-3.2166642511868064E-2</v>
      </c>
    </row>
    <row r="408" spans="1:7" x14ac:dyDescent="0.35">
      <c r="A408" t="s">
        <v>34</v>
      </c>
      <c r="E408">
        <v>6.194532090808523E-3</v>
      </c>
      <c r="F408">
        <f t="shared" si="18"/>
        <v>-2.0242305322519638E-2</v>
      </c>
      <c r="G408">
        <f t="shared" si="19"/>
        <v>-3.2166642511868064E-2</v>
      </c>
    </row>
    <row r="409" spans="1:7" x14ac:dyDescent="0.35">
      <c r="A409" t="s">
        <v>34</v>
      </c>
      <c r="E409">
        <v>-4.8173388717127494E-2</v>
      </c>
      <c r="F409">
        <f t="shared" si="18"/>
        <v>-2.025566937072229E-2</v>
      </c>
      <c r="G409">
        <f t="shared" si="19"/>
        <v>-3.2166642511868064E-2</v>
      </c>
    </row>
    <row r="410" spans="1:7" x14ac:dyDescent="0.35">
      <c r="A410" t="s">
        <v>34</v>
      </c>
      <c r="E410">
        <v>-2.1362206297440074E-2</v>
      </c>
      <c r="F410">
        <f t="shared" si="18"/>
        <v>-2.0108422762514327E-2</v>
      </c>
      <c r="G410">
        <f t="shared" si="19"/>
        <v>-3.200171312492555E-2</v>
      </c>
    </row>
    <row r="411" spans="1:7" x14ac:dyDescent="0.35">
      <c r="A411" t="s">
        <v>34</v>
      </c>
      <c r="E411">
        <v>1.8496736832128879E-2</v>
      </c>
      <c r="F411">
        <f t="shared" si="18"/>
        <v>-2.0066035698512577E-2</v>
      </c>
      <c r="G411">
        <f t="shared" si="19"/>
        <v>-3.1994179279576672E-2</v>
      </c>
    </row>
    <row r="412" spans="1:7" x14ac:dyDescent="0.35">
      <c r="A412" t="s">
        <v>34</v>
      </c>
      <c r="E412">
        <v>-1.701491326826287E-3</v>
      </c>
      <c r="F412">
        <f t="shared" si="18"/>
        <v>-2.0067748686247871E-2</v>
      </c>
      <c r="G412">
        <f t="shared" si="19"/>
        <v>-3.1994179279576672E-2</v>
      </c>
    </row>
    <row r="413" spans="1:7" x14ac:dyDescent="0.35">
      <c r="A413" t="s">
        <v>34</v>
      </c>
      <c r="E413">
        <v>1.0727538322164555E-2</v>
      </c>
      <c r="F413">
        <f t="shared" si="18"/>
        <v>-2.0069461673983161E-2</v>
      </c>
      <c r="G413">
        <f t="shared" si="19"/>
        <v>-3.1994179279576672E-2</v>
      </c>
    </row>
    <row r="414" spans="1:7" x14ac:dyDescent="0.35">
      <c r="A414" t="s">
        <v>34</v>
      </c>
      <c r="E414">
        <v>-8.3992766499839475E-3</v>
      </c>
      <c r="F414">
        <f t="shared" si="18"/>
        <v>-2.0071174661718455E-2</v>
      </c>
      <c r="G414">
        <f t="shared" si="19"/>
        <v>-3.1994179279576672E-2</v>
      </c>
    </row>
    <row r="415" spans="1:7" x14ac:dyDescent="0.35">
      <c r="A415" t="s">
        <v>34</v>
      </c>
      <c r="E415">
        <v>-1.3782778875990789E-2</v>
      </c>
      <c r="F415">
        <f t="shared" si="18"/>
        <v>-2.0072887649453749E-2</v>
      </c>
      <c r="G415">
        <f t="shared" si="19"/>
        <v>-3.1994179279576672E-2</v>
      </c>
    </row>
    <row r="416" spans="1:7" x14ac:dyDescent="0.35">
      <c r="A416" t="s">
        <v>34</v>
      </c>
      <c r="E416">
        <v>3.1186571014608474E-2</v>
      </c>
      <c r="F416">
        <f t="shared" si="18"/>
        <v>-2.0074600637189043E-2</v>
      </c>
      <c r="G416">
        <f t="shared" si="19"/>
        <v>-3.1994179279576672E-2</v>
      </c>
    </row>
    <row r="417" spans="1:7" x14ac:dyDescent="0.35">
      <c r="A417" t="s">
        <v>34</v>
      </c>
      <c r="E417">
        <v>3.1907807245700325E-2</v>
      </c>
      <c r="F417">
        <f t="shared" si="18"/>
        <v>-2.0076313624924336E-2</v>
      </c>
      <c r="G417">
        <f t="shared" si="19"/>
        <v>-3.1994179279576672E-2</v>
      </c>
    </row>
    <row r="418" spans="1:7" x14ac:dyDescent="0.35">
      <c r="A418" t="s">
        <v>35</v>
      </c>
      <c r="B418" s="3" cm="1">
        <f t="array" ref="B418">_xlfn.STDEV.S(_xlfn._xlws.FILTER($E$2:$E$1000, $A$2:$A$1000="2011-09"))</f>
        <v>2.8268690172767546E-2</v>
      </c>
      <c r="C418" s="3" cm="1">
        <f t="array" ref="C418">AVERAGE(_xlfn._xlws.FILTER($E$2:$E$1000, $A$2:$A$1000="2011-09"))</f>
        <v>-9.0568779684741462E-4</v>
      </c>
      <c r="D418" s="3" cm="1">
        <f t="array" ref="D418">_xlfn.PERCENTILE.EXC(_xlfn._xlws.FILTER($E$253:$E$502, $A$253:$A$502="2011-09"), 0.05)</f>
        <v>-4.7935367196568053E-2</v>
      </c>
      <c r="E418">
        <v>4.8627932686377074E-3</v>
      </c>
      <c r="F418">
        <f t="shared" si="18"/>
        <v>-2.0078026612659627E-2</v>
      </c>
      <c r="G418">
        <f t="shared" si="19"/>
        <v>-3.1994179279576672E-2</v>
      </c>
    </row>
    <row r="419" spans="1:7" x14ac:dyDescent="0.35">
      <c r="A419" t="s">
        <v>35</v>
      </c>
      <c r="E419">
        <v>-3.4558668194190928E-2</v>
      </c>
      <c r="F419">
        <f t="shared" si="18"/>
        <v>-2.0079739600394921E-2</v>
      </c>
      <c r="G419">
        <f t="shared" si="19"/>
        <v>-3.1994179279576672E-2</v>
      </c>
    </row>
    <row r="420" spans="1:7" x14ac:dyDescent="0.35">
      <c r="A420" t="s">
        <v>35</v>
      </c>
      <c r="E420">
        <v>-4.8043116522953309E-2</v>
      </c>
      <c r="F420">
        <f t="shared" si="18"/>
        <v>-2.0047192833424352E-2</v>
      </c>
      <c r="G420">
        <f t="shared" si="19"/>
        <v>-3.1908817659807444E-2</v>
      </c>
    </row>
    <row r="421" spans="1:7" x14ac:dyDescent="0.35">
      <c r="A421" t="s">
        <v>35</v>
      </c>
      <c r="E421">
        <v>-1.6259911185883377E-2</v>
      </c>
      <c r="F421">
        <f t="shared" si="18"/>
        <v>-2.0027493369535795E-2</v>
      </c>
      <c r="G421">
        <f t="shared" si="19"/>
        <v>-3.1813348435765165E-2</v>
      </c>
    </row>
    <row r="422" spans="1:7" x14ac:dyDescent="0.35">
      <c r="A422" t="s">
        <v>35</v>
      </c>
      <c r="E422">
        <v>2.7367643541495023E-2</v>
      </c>
      <c r="F422">
        <f t="shared" si="18"/>
        <v>-2.0028530183424664E-2</v>
      </c>
      <c r="G422">
        <f t="shared" si="19"/>
        <v>-3.1813348435765165E-2</v>
      </c>
    </row>
    <row r="423" spans="1:7" x14ac:dyDescent="0.35">
      <c r="A423" t="s">
        <v>35</v>
      </c>
      <c r="E423">
        <v>1.4749817129776039E-2</v>
      </c>
      <c r="F423">
        <f t="shared" si="18"/>
        <v>-2.0029566997313536E-2</v>
      </c>
      <c r="G423">
        <f t="shared" si="19"/>
        <v>-3.1813348435765165E-2</v>
      </c>
    </row>
    <row r="424" spans="1:7" x14ac:dyDescent="0.35">
      <c r="A424" t="s">
        <v>35</v>
      </c>
      <c r="E424">
        <v>-4.5424166699469949E-2</v>
      </c>
      <c r="F424">
        <f t="shared" si="18"/>
        <v>-2.0030603811202408E-2</v>
      </c>
      <c r="G424">
        <f t="shared" si="19"/>
        <v>-3.1813348435765165E-2</v>
      </c>
    </row>
    <row r="425" spans="1:7" x14ac:dyDescent="0.35">
      <c r="A425" t="s">
        <v>35</v>
      </c>
      <c r="E425">
        <v>-3.4663843892035098E-2</v>
      </c>
      <c r="F425">
        <f t="shared" si="18"/>
        <v>-1.9996557167439918E-2</v>
      </c>
      <c r="G425">
        <f t="shared" si="19"/>
        <v>-3.1663066127221834E-2</v>
      </c>
    </row>
    <row r="426" spans="1:7" x14ac:dyDescent="0.35">
      <c r="A426" t="s">
        <v>35</v>
      </c>
      <c r="E426">
        <v>2.5009542641966618E-2</v>
      </c>
      <c r="F426">
        <f t="shared" si="18"/>
        <v>-1.9961800962296723E-2</v>
      </c>
      <c r="G426">
        <f t="shared" si="19"/>
        <v>-3.1576218475225792E-2</v>
      </c>
    </row>
    <row r="427" spans="1:7" x14ac:dyDescent="0.35">
      <c r="A427" t="s">
        <v>35</v>
      </c>
      <c r="E427">
        <v>2.6639022564804733E-2</v>
      </c>
      <c r="F427">
        <f t="shared" si="18"/>
        <v>-1.9963571658182973E-2</v>
      </c>
      <c r="G427">
        <f t="shared" si="19"/>
        <v>-3.1576218475225792E-2</v>
      </c>
    </row>
    <row r="428" spans="1:7" x14ac:dyDescent="0.35">
      <c r="A428" t="s">
        <v>35</v>
      </c>
      <c r="E428">
        <v>3.5673598878208583E-2</v>
      </c>
      <c r="F428">
        <f t="shared" si="18"/>
        <v>-1.9965342354069226E-2</v>
      </c>
      <c r="G428">
        <f t="shared" si="19"/>
        <v>-3.1576218475225792E-2</v>
      </c>
    </row>
    <row r="429" spans="1:7" x14ac:dyDescent="0.35">
      <c r="A429" t="s">
        <v>35</v>
      </c>
      <c r="E429">
        <v>6.0384129719031863E-3</v>
      </c>
      <c r="F429">
        <f t="shared" si="18"/>
        <v>-1.9967113049955479E-2</v>
      </c>
      <c r="G429">
        <f t="shared" si="19"/>
        <v>-3.1576218475225792E-2</v>
      </c>
    </row>
    <row r="430" spans="1:7" x14ac:dyDescent="0.35">
      <c r="A430" t="s">
        <v>35</v>
      </c>
      <c r="E430">
        <v>-1.9951176786979212E-2</v>
      </c>
      <c r="F430">
        <f t="shared" si="18"/>
        <v>-1.9968883745841728E-2</v>
      </c>
      <c r="G430">
        <f t="shared" si="19"/>
        <v>-3.1576218475225792E-2</v>
      </c>
    </row>
    <row r="431" spans="1:7" x14ac:dyDescent="0.35">
      <c r="A431" t="s">
        <v>35</v>
      </c>
      <c r="E431">
        <v>1.6822928083534149E-2</v>
      </c>
      <c r="F431">
        <f t="shared" si="18"/>
        <v>-1.995118339073769E-2</v>
      </c>
      <c r="G431">
        <f t="shared" si="19"/>
        <v>-3.1576218475225792E-2</v>
      </c>
    </row>
    <row r="432" spans="1:7" x14ac:dyDescent="0.35">
      <c r="A432" t="s">
        <v>35</v>
      </c>
      <c r="E432">
        <v>-1.8332086770746398E-2</v>
      </c>
      <c r="F432">
        <f t="shared" si="18"/>
        <v>-1.9955117536733975E-2</v>
      </c>
      <c r="G432">
        <f t="shared" si="19"/>
        <v>-3.1576218475225792E-2</v>
      </c>
    </row>
    <row r="433" spans="1:7" x14ac:dyDescent="0.35">
      <c r="A433" t="s">
        <v>35</v>
      </c>
      <c r="E433">
        <v>-4.7324787680384936E-2</v>
      </c>
      <c r="F433">
        <f t="shared" si="18"/>
        <v>-1.995905168273026E-2</v>
      </c>
      <c r="G433">
        <f t="shared" si="19"/>
        <v>-3.1576218475225792E-2</v>
      </c>
    </row>
    <row r="434" spans="1:7" x14ac:dyDescent="0.35">
      <c r="A434" t="s">
        <v>35</v>
      </c>
      <c r="E434">
        <v>2.0989290662059464E-2</v>
      </c>
      <c r="F434">
        <f t="shared" si="18"/>
        <v>-1.9901917980748678E-2</v>
      </c>
      <c r="G434">
        <f t="shared" si="19"/>
        <v>-3.1413988416671909E-2</v>
      </c>
    </row>
    <row r="435" spans="1:7" x14ac:dyDescent="0.35">
      <c r="A435" t="s">
        <v>35</v>
      </c>
      <c r="E435">
        <v>2.5287483273853557E-2</v>
      </c>
      <c r="F435">
        <f t="shared" si="18"/>
        <v>-1.9902916281420328E-2</v>
      </c>
      <c r="G435">
        <f t="shared" si="19"/>
        <v>-3.1413988416671909E-2</v>
      </c>
    </row>
    <row r="436" spans="1:7" x14ac:dyDescent="0.35">
      <c r="A436" t="s">
        <v>35</v>
      </c>
      <c r="E436">
        <v>3.9470630102913129E-2</v>
      </c>
      <c r="F436">
        <f t="shared" si="18"/>
        <v>-1.9903914582091974E-2</v>
      </c>
      <c r="G436">
        <f t="shared" si="19"/>
        <v>-3.1413988416671909E-2</v>
      </c>
    </row>
    <row r="437" spans="1:7" x14ac:dyDescent="0.35">
      <c r="A437" t="s">
        <v>35</v>
      </c>
      <c r="E437">
        <v>-6.0780455277240882E-3</v>
      </c>
      <c r="F437">
        <f t="shared" si="18"/>
        <v>-1.9904912882763623E-2</v>
      </c>
      <c r="G437">
        <f t="shared" si="19"/>
        <v>-3.1413988416671909E-2</v>
      </c>
    </row>
    <row r="438" spans="1:7" x14ac:dyDescent="0.35">
      <c r="A438" t="s">
        <v>35</v>
      </c>
      <c r="E438">
        <v>1.3155695310499352E-2</v>
      </c>
      <c r="F438">
        <f t="shared" si="18"/>
        <v>-1.9905911183435272E-2</v>
      </c>
      <c r="G438">
        <f t="shared" si="19"/>
        <v>-3.1413988416671909E-2</v>
      </c>
    </row>
    <row r="439" spans="1:7" x14ac:dyDescent="0.35">
      <c r="A439" t="s">
        <v>35</v>
      </c>
      <c r="E439">
        <v>-5.3561866999273658E-3</v>
      </c>
      <c r="F439">
        <f t="shared" si="18"/>
        <v>-1.9906909484106918E-2</v>
      </c>
      <c r="G439">
        <f t="shared" si="19"/>
        <v>-3.1413988416671909E-2</v>
      </c>
    </row>
    <row r="440" spans="1:7" x14ac:dyDescent="0.35">
      <c r="A440" t="s">
        <v>36</v>
      </c>
      <c r="B440" s="3" cm="1">
        <f t="array" ref="B440">_xlfn.STDEV.S(_xlfn._xlws.FILTER($E$2:$E$1000, $A$2:$A$1000="2011-10"))</f>
        <v>2.0346324667241195E-2</v>
      </c>
      <c r="C440" s="3" cm="1">
        <f t="array" ref="C440">AVERAGE(_xlfn._xlws.FILTER($E$2:$E$1000, $A$2:$A$1000="2011-10"))</f>
        <v>2.2222535934552038E-3</v>
      </c>
      <c r="D440" s="3" cm="1">
        <f t="array" ref="D440">_xlfn.PERCENTILE.EXC(_xlfn._xlws.FILTER($E$253:$E$502, $A$253:$A$502="2011-10"), 0.05)</f>
        <v>-2.9450723080659897E-2</v>
      </c>
      <c r="E440">
        <v>-2.2817017880766843E-2</v>
      </c>
      <c r="F440">
        <f t="shared" si="18"/>
        <v>-1.9907907784778568E-2</v>
      </c>
      <c r="G440">
        <f t="shared" si="19"/>
        <v>-3.1413988416671909E-2</v>
      </c>
    </row>
    <row r="441" spans="1:7" x14ac:dyDescent="0.35">
      <c r="A441" t="s">
        <v>36</v>
      </c>
      <c r="E441">
        <v>-1.5489597473385157E-2</v>
      </c>
      <c r="F441">
        <f t="shared" si="18"/>
        <v>-1.9888940072017254E-2</v>
      </c>
      <c r="G441">
        <f t="shared" si="19"/>
        <v>-3.1465160860338008E-2</v>
      </c>
    </row>
    <row r="442" spans="1:7" x14ac:dyDescent="0.35">
      <c r="A442" t="s">
        <v>36</v>
      </c>
      <c r="E442">
        <v>3.016507519078368E-2</v>
      </c>
      <c r="F442">
        <f t="shared" si="18"/>
        <v>-1.98899383726889E-2</v>
      </c>
      <c r="G442">
        <f t="shared" si="19"/>
        <v>-3.1465160860338008E-2</v>
      </c>
    </row>
    <row r="443" spans="1:7" x14ac:dyDescent="0.35">
      <c r="A443" t="s">
        <v>36</v>
      </c>
      <c r="E443">
        <v>2.6482594776108894E-2</v>
      </c>
      <c r="F443">
        <f t="shared" si="18"/>
        <v>-1.9890936673360549E-2</v>
      </c>
      <c r="G443">
        <f t="shared" si="19"/>
        <v>-3.1465160860338008E-2</v>
      </c>
    </row>
    <row r="444" spans="1:7" x14ac:dyDescent="0.35">
      <c r="A444" t="s">
        <v>36</v>
      </c>
      <c r="E444">
        <v>1.069528911674795E-2</v>
      </c>
      <c r="F444">
        <f t="shared" si="18"/>
        <v>-1.9891934974032199E-2</v>
      </c>
      <c r="G444">
        <f t="shared" si="19"/>
        <v>-3.1465160860338008E-2</v>
      </c>
    </row>
    <row r="445" spans="1:7" x14ac:dyDescent="0.35">
      <c r="A445" t="s">
        <v>36</v>
      </c>
      <c r="E445">
        <v>1.0627092574286193E-2</v>
      </c>
      <c r="F445">
        <f t="shared" si="18"/>
        <v>-1.9892933274703845E-2</v>
      </c>
      <c r="G445">
        <f t="shared" si="19"/>
        <v>-3.1465160860338008E-2</v>
      </c>
    </row>
    <row r="446" spans="1:7" x14ac:dyDescent="0.35">
      <c r="A446" t="s">
        <v>36</v>
      </c>
      <c r="E446">
        <v>-5.2881242191679303E-3</v>
      </c>
      <c r="F446">
        <f t="shared" si="18"/>
        <v>-1.9893931575375494E-2</v>
      </c>
      <c r="G446">
        <f t="shared" si="19"/>
        <v>-3.1465160860338008E-2</v>
      </c>
    </row>
    <row r="447" spans="1:7" x14ac:dyDescent="0.35">
      <c r="A447" t="s">
        <v>36</v>
      </c>
      <c r="E447">
        <v>2.0255840268044167E-2</v>
      </c>
      <c r="F447">
        <f t="shared" si="18"/>
        <v>-1.9894929876047143E-2</v>
      </c>
      <c r="G447">
        <f t="shared" si="19"/>
        <v>-3.1465160860338008E-2</v>
      </c>
    </row>
    <row r="448" spans="1:7" x14ac:dyDescent="0.35">
      <c r="A448" t="s">
        <v>36</v>
      </c>
      <c r="E448">
        <v>-9.237683943412258E-3</v>
      </c>
      <c r="F448">
        <f t="shared" si="18"/>
        <v>-1.9895928176718789E-2</v>
      </c>
      <c r="G448">
        <f t="shared" si="19"/>
        <v>-3.1465160860338008E-2</v>
      </c>
    </row>
    <row r="449" spans="1:7" x14ac:dyDescent="0.35">
      <c r="A449" t="s">
        <v>36</v>
      </c>
      <c r="E449">
        <v>3.5716316778243991E-3</v>
      </c>
      <c r="F449">
        <f t="shared" si="18"/>
        <v>-1.9896926477390438E-2</v>
      </c>
      <c r="G449">
        <f t="shared" si="19"/>
        <v>-3.1465160860338008E-2</v>
      </c>
    </row>
    <row r="450" spans="1:7" x14ac:dyDescent="0.35">
      <c r="A450" t="s">
        <v>36</v>
      </c>
      <c r="E450">
        <v>-1.2466668931437993E-2</v>
      </c>
      <c r="F450">
        <f t="shared" si="18"/>
        <v>-1.9897924778062084E-2</v>
      </c>
      <c r="G450">
        <f t="shared" si="19"/>
        <v>-3.1465160860338008E-2</v>
      </c>
    </row>
    <row r="451" spans="1:7" x14ac:dyDescent="0.35">
      <c r="A451" t="s">
        <v>36</v>
      </c>
      <c r="E451">
        <v>-5.9969855439339038E-3</v>
      </c>
      <c r="F451">
        <f t="shared" si="18"/>
        <v>-1.9898923078733734E-2</v>
      </c>
      <c r="G451">
        <f t="shared" si="19"/>
        <v>-3.1465160860338008E-2</v>
      </c>
    </row>
    <row r="452" spans="1:7" x14ac:dyDescent="0.35">
      <c r="A452" t="s">
        <v>36</v>
      </c>
      <c r="E452">
        <v>4.3259715950555548E-3</v>
      </c>
      <c r="F452">
        <f t="shared" ref="F452:F515" si="20">_xlfn.PERCENTILE.EXC(E452:E4267,0.05)</f>
        <v>-1.9899921379405383E-2</v>
      </c>
      <c r="G452">
        <f t="shared" ref="G452:G515" si="21">AVERAGEIFS(E452:E4268,E452:E4268,"&lt;=" &amp; F452)</f>
        <v>-3.1465160860338008E-2</v>
      </c>
    </row>
    <row r="453" spans="1:7" x14ac:dyDescent="0.35">
      <c r="A453" t="s">
        <v>36</v>
      </c>
      <c r="E453">
        <v>-2.7645722898409091E-2</v>
      </c>
      <c r="F453">
        <f t="shared" si="20"/>
        <v>-1.9900919680077029E-2</v>
      </c>
      <c r="G453">
        <f t="shared" si="21"/>
        <v>-3.1465160860338008E-2</v>
      </c>
    </row>
    <row r="454" spans="1:7" x14ac:dyDescent="0.35">
      <c r="A454" t="s">
        <v>36</v>
      </c>
      <c r="E454">
        <v>2.8041147278649675E-2</v>
      </c>
      <c r="F454">
        <f t="shared" si="20"/>
        <v>-1.9885269698932853E-2</v>
      </c>
      <c r="G454">
        <f t="shared" si="21"/>
        <v>-3.1418983591724535E-2</v>
      </c>
    </row>
    <row r="455" spans="1:7" x14ac:dyDescent="0.35">
      <c r="A455" t="s">
        <v>36</v>
      </c>
      <c r="E455">
        <v>1.1690129254207818E-2</v>
      </c>
      <c r="F455">
        <f t="shared" si="20"/>
        <v>-1.9885715044334978E-2</v>
      </c>
      <c r="G455">
        <f t="shared" si="21"/>
        <v>-3.1418983591724535E-2</v>
      </c>
    </row>
    <row r="456" spans="1:7" x14ac:dyDescent="0.35">
      <c r="A456" t="s">
        <v>36</v>
      </c>
      <c r="E456">
        <v>-8.6900029386446555E-3</v>
      </c>
      <c r="F456">
        <f t="shared" si="20"/>
        <v>-1.9886160389737104E-2</v>
      </c>
      <c r="G456">
        <f t="shared" si="21"/>
        <v>-3.1418983591724535E-2</v>
      </c>
    </row>
    <row r="457" spans="1:7" x14ac:dyDescent="0.35">
      <c r="A457" t="s">
        <v>36</v>
      </c>
      <c r="E457">
        <v>-5.3184106933119963E-3</v>
      </c>
      <c r="F457">
        <f t="shared" si="20"/>
        <v>-1.9886605735139229E-2</v>
      </c>
      <c r="G457">
        <f t="shared" si="21"/>
        <v>-3.1418983591724535E-2</v>
      </c>
    </row>
    <row r="458" spans="1:7" x14ac:dyDescent="0.35">
      <c r="A458" t="s">
        <v>36</v>
      </c>
      <c r="E458">
        <v>4.8399215304607751E-2</v>
      </c>
      <c r="F458">
        <f t="shared" si="20"/>
        <v>-1.9887051080541354E-2</v>
      </c>
      <c r="G458">
        <f t="shared" si="21"/>
        <v>-3.1418983591724535E-2</v>
      </c>
    </row>
    <row r="459" spans="1:7" x14ac:dyDescent="0.35">
      <c r="A459" t="s">
        <v>36</v>
      </c>
      <c r="E459">
        <v>-4.9851683948214272E-3</v>
      </c>
      <c r="F459">
        <f t="shared" si="20"/>
        <v>-1.9887496425943479E-2</v>
      </c>
      <c r="G459">
        <f t="shared" si="21"/>
        <v>-3.1418983591724535E-2</v>
      </c>
    </row>
    <row r="460" spans="1:7" x14ac:dyDescent="0.35">
      <c r="A460" t="s">
        <v>36</v>
      </c>
      <c r="E460">
        <v>-2.9651278656465541E-2</v>
      </c>
      <c r="F460">
        <f t="shared" si="20"/>
        <v>-1.9887941771345605E-2</v>
      </c>
      <c r="G460">
        <f t="shared" si="21"/>
        <v>-3.1418983591724535E-2</v>
      </c>
    </row>
    <row r="461" spans="1:7" x14ac:dyDescent="0.35">
      <c r="A461" t="s">
        <v>37</v>
      </c>
      <c r="B461" s="3" cm="1">
        <f t="array" ref="B461">_xlfn.STDEV.S(_xlfn._xlws.FILTER($E$2:$E$1000, $A$2:$A$1000="2011-11"))</f>
        <v>2.176599892398778E-2</v>
      </c>
      <c r="C461" s="3" cm="1">
        <f t="array" ref="C461">AVERAGE(_xlfn._xlws.FILTER($E$2:$E$1000, $A$2:$A$1000="2011-11"))</f>
        <v>-2.6406182038064764E-3</v>
      </c>
      <c r="D461" s="3" cm="1">
        <f t="array" ref="D461">_xlfn.PERCENTILE.EXC(_xlfn._xlws.FILTER($E$253:$E$502, $A$253:$A$502="2011-11"), 0.05)</f>
        <v>-4.1702820732960402E-2</v>
      </c>
      <c r="E461">
        <v>-4.2813576137981209E-2</v>
      </c>
      <c r="F461">
        <f t="shared" si="20"/>
        <v>-1.9879480208705228E-2</v>
      </c>
      <c r="G461">
        <f t="shared" si="21"/>
        <v>-3.1429568651217106E-2</v>
      </c>
    </row>
    <row r="462" spans="1:7" x14ac:dyDescent="0.35">
      <c r="A462" t="s">
        <v>37</v>
      </c>
      <c r="E462">
        <v>-5.9461005243804986E-4</v>
      </c>
      <c r="F462">
        <f t="shared" si="20"/>
        <v>-1.9853224684637807E-2</v>
      </c>
      <c r="G462">
        <f t="shared" si="21"/>
        <v>-3.1292236068734006E-2</v>
      </c>
    </row>
    <row r="463" spans="1:7" x14ac:dyDescent="0.35">
      <c r="A463" t="s">
        <v>37</v>
      </c>
      <c r="E463">
        <v>1.5977571468545046E-2</v>
      </c>
      <c r="F463">
        <f t="shared" si="20"/>
        <v>-1.9854658583452547E-2</v>
      </c>
      <c r="G463">
        <f t="shared" si="21"/>
        <v>-3.1292236068734006E-2</v>
      </c>
    </row>
    <row r="464" spans="1:7" x14ac:dyDescent="0.35">
      <c r="A464" t="s">
        <v>37</v>
      </c>
      <c r="E464">
        <v>-1.342674281369583E-2</v>
      </c>
      <c r="F464">
        <f t="shared" si="20"/>
        <v>-1.9856092482267284E-2</v>
      </c>
      <c r="G464">
        <f t="shared" si="21"/>
        <v>-3.1292236068734006E-2</v>
      </c>
    </row>
    <row r="465" spans="1:7" x14ac:dyDescent="0.35">
      <c r="A465" t="s">
        <v>37</v>
      </c>
      <c r="E465">
        <v>-1.4057679604640121E-2</v>
      </c>
      <c r="F465">
        <f t="shared" si="20"/>
        <v>-1.9857526381082024E-2</v>
      </c>
      <c r="G465">
        <f t="shared" si="21"/>
        <v>-3.1292236068734006E-2</v>
      </c>
    </row>
    <row r="466" spans="1:7" x14ac:dyDescent="0.35">
      <c r="A466" t="s">
        <v>37</v>
      </c>
      <c r="E466">
        <v>4.9544376391861458E-3</v>
      </c>
      <c r="F466">
        <f t="shared" si="20"/>
        <v>-1.985896027989676E-2</v>
      </c>
      <c r="G466">
        <f t="shared" si="21"/>
        <v>-3.1292236068734006E-2</v>
      </c>
    </row>
    <row r="467" spans="1:7" x14ac:dyDescent="0.35">
      <c r="A467" t="s">
        <v>37</v>
      </c>
      <c r="E467">
        <v>-2.1105112774494915E-2</v>
      </c>
      <c r="F467">
        <f t="shared" si="20"/>
        <v>-1.98603941787115E-2</v>
      </c>
      <c r="G467">
        <f t="shared" si="21"/>
        <v>-3.1292236068734006E-2</v>
      </c>
    </row>
    <row r="468" spans="1:7" x14ac:dyDescent="0.35">
      <c r="A468" t="s">
        <v>37</v>
      </c>
      <c r="E468">
        <v>-3.5672499768841731E-3</v>
      </c>
      <c r="F468">
        <f t="shared" si="20"/>
        <v>-1.9839380326695546E-2</v>
      </c>
      <c r="G468">
        <f t="shared" si="21"/>
        <v>-3.1284722560425707E-2</v>
      </c>
    </row>
    <row r="469" spans="1:7" x14ac:dyDescent="0.35">
      <c r="A469" t="s">
        <v>37</v>
      </c>
      <c r="E469">
        <v>2.9076572604312682E-2</v>
      </c>
      <c r="F469">
        <f t="shared" si="20"/>
        <v>-1.9840295040054946E-2</v>
      </c>
      <c r="G469">
        <f t="shared" si="21"/>
        <v>-3.1284722560425707E-2</v>
      </c>
    </row>
    <row r="470" spans="1:7" x14ac:dyDescent="0.35">
      <c r="A470" t="s">
        <v>37</v>
      </c>
      <c r="E470">
        <v>-2.1727785403657395E-2</v>
      </c>
      <c r="F470">
        <f t="shared" si="20"/>
        <v>-1.9841209753414343E-2</v>
      </c>
      <c r="G470">
        <f t="shared" si="21"/>
        <v>-3.1284722560425707E-2</v>
      </c>
    </row>
    <row r="471" spans="1:7" x14ac:dyDescent="0.35">
      <c r="A471" t="s">
        <v>37</v>
      </c>
      <c r="E471">
        <v>-1.6207654092331963E-2</v>
      </c>
      <c r="F471">
        <f t="shared" si="20"/>
        <v>-1.9812404229792878E-2</v>
      </c>
      <c r="G471">
        <f t="shared" si="21"/>
        <v>-3.1273370926989556E-2</v>
      </c>
    </row>
    <row r="472" spans="1:7" x14ac:dyDescent="0.35">
      <c r="A472" t="s">
        <v>37</v>
      </c>
      <c r="E472">
        <v>8.0403293798298348E-3</v>
      </c>
      <c r="F472">
        <f t="shared" si="20"/>
        <v>-1.9814588495351487E-2</v>
      </c>
      <c r="G472">
        <f t="shared" si="21"/>
        <v>-3.1273370926989556E-2</v>
      </c>
    </row>
    <row r="473" spans="1:7" x14ac:dyDescent="0.35">
      <c r="A473" t="s">
        <v>37</v>
      </c>
      <c r="E473">
        <v>-4.0423109457904073E-3</v>
      </c>
      <c r="F473">
        <f t="shared" si="20"/>
        <v>-1.9816772760910095E-2</v>
      </c>
      <c r="G473">
        <f t="shared" si="21"/>
        <v>-3.1273370926989556E-2</v>
      </c>
    </row>
    <row r="474" spans="1:7" x14ac:dyDescent="0.35">
      <c r="A474" t="s">
        <v>37</v>
      </c>
      <c r="E474">
        <v>4.7645846948532172E-3</v>
      </c>
      <c r="F474">
        <f t="shared" si="20"/>
        <v>-1.9818957026468704E-2</v>
      </c>
      <c r="G474">
        <f t="shared" si="21"/>
        <v>-3.1273370926989556E-2</v>
      </c>
    </row>
    <row r="475" spans="1:7" x14ac:dyDescent="0.35">
      <c r="A475" t="s">
        <v>37</v>
      </c>
      <c r="E475">
        <v>-3.5408540104509188E-2</v>
      </c>
      <c r="F475">
        <f t="shared" si="20"/>
        <v>-1.9821141292027313E-2</v>
      </c>
      <c r="G475">
        <f t="shared" si="21"/>
        <v>-3.1273370926989556E-2</v>
      </c>
    </row>
    <row r="476" spans="1:7" x14ac:dyDescent="0.35">
      <c r="A476" t="s">
        <v>37</v>
      </c>
      <c r="E476">
        <v>-1.4580282024745749E-2</v>
      </c>
      <c r="F476">
        <f t="shared" si="20"/>
        <v>-1.9751956907451511E-2</v>
      </c>
      <c r="G476">
        <f t="shared" si="21"/>
        <v>-3.1179837018032307E-2</v>
      </c>
    </row>
    <row r="477" spans="1:7" x14ac:dyDescent="0.35">
      <c r="A477" t="s">
        <v>37</v>
      </c>
      <c r="E477">
        <v>-2.1171576124769678E-2</v>
      </c>
      <c r="F477">
        <f t="shared" si="20"/>
        <v>-1.9761062007750678E-2</v>
      </c>
      <c r="G477">
        <f t="shared" si="21"/>
        <v>-3.1179837018032307E-2</v>
      </c>
    </row>
    <row r="478" spans="1:7" x14ac:dyDescent="0.35">
      <c r="A478" t="s">
        <v>37</v>
      </c>
      <c r="E478">
        <v>-2.2637467545389054E-3</v>
      </c>
      <c r="F478">
        <f t="shared" si="20"/>
        <v>-1.959817702937355E-2</v>
      </c>
      <c r="G478">
        <f t="shared" si="21"/>
        <v>-3.1170463959217309E-2</v>
      </c>
    </row>
    <row r="479" spans="1:7" x14ac:dyDescent="0.35">
      <c r="A479" t="s">
        <v>37</v>
      </c>
      <c r="E479">
        <v>5.3857659583541823E-3</v>
      </c>
      <c r="F479">
        <f t="shared" si="20"/>
        <v>-1.9602226166019202E-2</v>
      </c>
      <c r="G479">
        <f t="shared" si="21"/>
        <v>-3.1170463959217309E-2</v>
      </c>
    </row>
    <row r="480" spans="1:7" x14ac:dyDescent="0.35">
      <c r="A480" t="s">
        <v>37</v>
      </c>
      <c r="E480">
        <v>4.4884575387729504E-2</v>
      </c>
      <c r="F480">
        <f t="shared" si="20"/>
        <v>-1.9606275302664854E-2</v>
      </c>
      <c r="G480">
        <f t="shared" si="21"/>
        <v>-3.1170463959217309E-2</v>
      </c>
    </row>
    <row r="481" spans="1:7" x14ac:dyDescent="0.35">
      <c r="A481" t="s">
        <v>37</v>
      </c>
      <c r="E481">
        <v>9.9705200930917432E-4</v>
      </c>
      <c r="F481">
        <f t="shared" si="20"/>
        <v>-1.9615380402964018E-2</v>
      </c>
      <c r="G481">
        <f t="shared" si="21"/>
        <v>-3.1240127746304972E-2</v>
      </c>
    </row>
    <row r="482" spans="1:7" x14ac:dyDescent="0.35">
      <c r="A482" t="s">
        <v>37</v>
      </c>
      <c r="E482">
        <v>3.8792377184615326E-2</v>
      </c>
      <c r="F482">
        <f t="shared" si="20"/>
        <v>-1.9624485503263185E-2</v>
      </c>
      <c r="G482">
        <f t="shared" si="21"/>
        <v>-3.1240127746304972E-2</v>
      </c>
    </row>
    <row r="483" spans="1:7" x14ac:dyDescent="0.35">
      <c r="A483" t="s">
        <v>38</v>
      </c>
      <c r="B483" s="3" cm="1">
        <f t="array" ref="B483">_xlfn.STDEV.S(_xlfn._xlws.FILTER($E$2:$E$1000, $A$2:$A$1000="2011-12"))</f>
        <v>1.5723205729199139E-2</v>
      </c>
      <c r="C483" s="3" cm="1">
        <f t="array" ref="C483">AVERAGE(_xlfn._xlws.FILTER($E$2:$E$1000, $A$2:$A$1000="2011-12"))</f>
        <v>6.8643163699450851E-4</v>
      </c>
      <c r="D483" s="3" cm="1">
        <f t="array" ref="D483">_xlfn.PERCENTILE.EXC(_xlfn._xlws.FILTER($E$253:$E$502, $A$253:$A$502="2011-12"), 0.05)</f>
        <v>-3.1070033980593648E-2</v>
      </c>
      <c r="E483">
        <v>-3.378681972886142E-3</v>
      </c>
      <c r="F483">
        <f t="shared" si="20"/>
        <v>-1.9633590603562349E-2</v>
      </c>
      <c r="G483">
        <f t="shared" si="21"/>
        <v>-3.1240127746304972E-2</v>
      </c>
    </row>
    <row r="484" spans="1:7" x14ac:dyDescent="0.35">
      <c r="A484" t="s">
        <v>38</v>
      </c>
      <c r="E484">
        <v>1.620803932793758E-2</v>
      </c>
      <c r="F484">
        <f t="shared" si="20"/>
        <v>-1.9642695703861516E-2</v>
      </c>
      <c r="G484">
        <f t="shared" si="21"/>
        <v>-3.1240127746304972E-2</v>
      </c>
    </row>
    <row r="485" spans="1:7" x14ac:dyDescent="0.35">
      <c r="A485" t="s">
        <v>38</v>
      </c>
      <c r="E485">
        <v>1.705284482790587E-2</v>
      </c>
      <c r="F485">
        <f t="shared" si="20"/>
        <v>-1.9651800804160686E-2</v>
      </c>
      <c r="G485">
        <f t="shared" si="21"/>
        <v>-3.1240127746304972E-2</v>
      </c>
    </row>
    <row r="486" spans="1:7" x14ac:dyDescent="0.35">
      <c r="A486" t="s">
        <v>38</v>
      </c>
      <c r="E486">
        <v>8.0373857564099973E-4</v>
      </c>
      <c r="F486">
        <f t="shared" si="20"/>
        <v>-1.966090590445985E-2</v>
      </c>
      <c r="G486">
        <f t="shared" si="21"/>
        <v>-3.1240127746304972E-2</v>
      </c>
    </row>
    <row r="487" spans="1:7" x14ac:dyDescent="0.35">
      <c r="A487" t="s">
        <v>38</v>
      </c>
      <c r="E487">
        <v>-7.893064582386684E-3</v>
      </c>
      <c r="F487">
        <f t="shared" si="20"/>
        <v>-1.9670011004759017E-2</v>
      </c>
      <c r="G487">
        <f t="shared" si="21"/>
        <v>-3.1240127746304972E-2</v>
      </c>
    </row>
    <row r="488" spans="1:7" x14ac:dyDescent="0.35">
      <c r="A488" t="s">
        <v>38</v>
      </c>
      <c r="E488">
        <v>-2.1409136666094654E-2</v>
      </c>
      <c r="F488">
        <f t="shared" si="20"/>
        <v>-1.9679116105058181E-2</v>
      </c>
      <c r="G488">
        <f t="shared" si="21"/>
        <v>-3.1240127746304972E-2</v>
      </c>
    </row>
    <row r="489" spans="1:7" x14ac:dyDescent="0.35">
      <c r="A489" t="s">
        <v>38</v>
      </c>
      <c r="E489">
        <v>2.2033630730567754E-2</v>
      </c>
      <c r="F489">
        <f t="shared" si="20"/>
        <v>-1.9561734799562698E-2</v>
      </c>
      <c r="G489">
        <f t="shared" si="21"/>
        <v>-3.1229267135681898E-2</v>
      </c>
    </row>
    <row r="490" spans="1:7" x14ac:dyDescent="0.35">
      <c r="A490" t="s">
        <v>38</v>
      </c>
      <c r="E490">
        <v>-3.1557399144656773E-2</v>
      </c>
      <c r="F490">
        <f t="shared" si="20"/>
        <v>-1.956578393620835E-2</v>
      </c>
      <c r="G490">
        <f t="shared" si="21"/>
        <v>-3.1229267135681898E-2</v>
      </c>
    </row>
    <row r="491" spans="1:7" x14ac:dyDescent="0.35">
      <c r="A491" t="s">
        <v>38</v>
      </c>
      <c r="E491">
        <v>-6.3679234623117958E-3</v>
      </c>
      <c r="F491">
        <f t="shared" si="20"/>
        <v>-1.9473675059450832E-2</v>
      </c>
      <c r="G491">
        <f t="shared" si="21"/>
        <v>-3.1156784565953555E-2</v>
      </c>
    </row>
    <row r="492" spans="1:7" x14ac:dyDescent="0.35">
      <c r="A492" t="s">
        <v>38</v>
      </c>
      <c r="E492">
        <v>-1.7662696147250592E-2</v>
      </c>
      <c r="F492">
        <f t="shared" si="20"/>
        <v>-1.9479410338373169E-2</v>
      </c>
      <c r="G492">
        <f t="shared" si="21"/>
        <v>-3.1156784565953555E-2</v>
      </c>
    </row>
    <row r="493" spans="1:7" x14ac:dyDescent="0.35">
      <c r="A493" t="s">
        <v>38</v>
      </c>
      <c r="E493">
        <v>8.3250645125154121E-3</v>
      </c>
      <c r="F493">
        <f t="shared" si="20"/>
        <v>-1.9485145617295498E-2</v>
      </c>
      <c r="G493">
        <f t="shared" si="21"/>
        <v>-3.1156784565953555E-2</v>
      </c>
    </row>
    <row r="494" spans="1:7" x14ac:dyDescent="0.35">
      <c r="A494" t="s">
        <v>38</v>
      </c>
      <c r="E494">
        <v>-5.7129815401568062E-3</v>
      </c>
      <c r="F494">
        <f t="shared" si="20"/>
        <v>-1.9490880896217835E-2</v>
      </c>
      <c r="G494">
        <f t="shared" si="21"/>
        <v>-3.1156784565953555E-2</v>
      </c>
    </row>
    <row r="495" spans="1:7" x14ac:dyDescent="0.35">
      <c r="A495" t="s">
        <v>38</v>
      </c>
      <c r="E495">
        <v>6.0280681309817707E-3</v>
      </c>
      <c r="F495">
        <f t="shared" si="20"/>
        <v>-1.9496616175140171E-2</v>
      </c>
      <c r="G495">
        <f t="shared" si="21"/>
        <v>-3.1156784565953555E-2</v>
      </c>
    </row>
    <row r="496" spans="1:7" x14ac:dyDescent="0.35">
      <c r="A496" t="s">
        <v>38</v>
      </c>
      <c r="E496">
        <v>2.4110245295267153E-2</v>
      </c>
      <c r="F496">
        <f t="shared" si="20"/>
        <v>-1.9502351454062504E-2</v>
      </c>
      <c r="G496">
        <f t="shared" si="21"/>
        <v>-3.1156784565953555E-2</v>
      </c>
    </row>
    <row r="497" spans="1:7" x14ac:dyDescent="0.35">
      <c r="A497" t="s">
        <v>38</v>
      </c>
      <c r="E497">
        <v>-9.0300504290154737E-3</v>
      </c>
      <c r="F497">
        <f t="shared" si="20"/>
        <v>-1.950808673298484E-2</v>
      </c>
      <c r="G497">
        <f t="shared" si="21"/>
        <v>-3.1156784565953555E-2</v>
      </c>
    </row>
    <row r="498" spans="1:7" x14ac:dyDescent="0.35">
      <c r="A498" t="s">
        <v>38</v>
      </c>
      <c r="E498">
        <v>1.0034939000510451E-2</v>
      </c>
      <c r="F498">
        <f t="shared" si="20"/>
        <v>-1.951382201190717E-2</v>
      </c>
      <c r="G498">
        <f t="shared" si="21"/>
        <v>-3.1156784565953555E-2</v>
      </c>
    </row>
    <row r="499" spans="1:7" x14ac:dyDescent="0.35">
      <c r="A499" t="s">
        <v>38</v>
      </c>
      <c r="E499">
        <v>9.3852126059503424E-3</v>
      </c>
      <c r="F499">
        <f t="shared" si="20"/>
        <v>-1.9519557290829506E-2</v>
      </c>
      <c r="G499">
        <f t="shared" si="21"/>
        <v>-3.1156784565953555E-2</v>
      </c>
    </row>
    <row r="500" spans="1:7" x14ac:dyDescent="0.35">
      <c r="A500" t="s">
        <v>38</v>
      </c>
      <c r="E500">
        <v>-2.1810095863394292E-2</v>
      </c>
      <c r="F500">
        <f t="shared" si="20"/>
        <v>-1.9525292569751843E-2</v>
      </c>
      <c r="G500">
        <f t="shared" si="21"/>
        <v>-3.1156784565953555E-2</v>
      </c>
    </row>
    <row r="501" spans="1:7" x14ac:dyDescent="0.35">
      <c r="A501" t="s">
        <v>38</v>
      </c>
      <c r="E501">
        <v>1.5374598684056062E-2</v>
      </c>
      <c r="F501">
        <f t="shared" si="20"/>
        <v>-1.9416322270227489E-2</v>
      </c>
      <c r="G501">
        <f t="shared" si="21"/>
        <v>-3.1213431164150887E-2</v>
      </c>
    </row>
    <row r="502" spans="1:7" x14ac:dyDescent="0.35">
      <c r="A502" t="s">
        <v>38</v>
      </c>
      <c r="E502">
        <v>9.1942808567099851E-3</v>
      </c>
      <c r="F502">
        <f t="shared" si="20"/>
        <v>-1.9422057549149826E-2</v>
      </c>
      <c r="G502">
        <f t="shared" si="21"/>
        <v>-3.1213431164150887E-2</v>
      </c>
    </row>
    <row r="503" spans="1:7" x14ac:dyDescent="0.35">
      <c r="A503" t="s">
        <v>39</v>
      </c>
      <c r="B503" s="3" cm="1">
        <f t="array" ref="B503">_xlfn.STDEV.S(_xlfn._xlws.FILTER($E$2:$E$1000, $A$2:$A$1000="2012-01"))</f>
        <v>1.3508673653871914E-2</v>
      </c>
      <c r="C503" s="3" cm="1">
        <f t="array" ref="C503">AVERAGE(_xlfn._xlws.FILTER($E$2:$E$1000, $A$2:$A$1000="2012-01"))</f>
        <v>-3.1847474499126829E-4</v>
      </c>
      <c r="D503" s="3" cm="1">
        <f t="array" ref="D503">_xlfn.PERCENTILE.EXC(_xlfn._xlws.FILTER($E$503:$E$750, $A$503:$A$750="2012-01"), 0.05)</f>
        <v>-2.8585077745009867E-2</v>
      </c>
      <c r="E503">
        <v>1.9204345398272652E-2</v>
      </c>
      <c r="F503">
        <f t="shared" si="20"/>
        <v>-1.9427792828072155E-2</v>
      </c>
      <c r="G503">
        <f t="shared" si="21"/>
        <v>-3.1213431164150887E-2</v>
      </c>
    </row>
    <row r="504" spans="1:7" x14ac:dyDescent="0.35">
      <c r="A504" t="s">
        <v>39</v>
      </c>
      <c r="E504">
        <v>-1.7396564452131693E-2</v>
      </c>
      <c r="F504">
        <f t="shared" si="20"/>
        <v>-1.9433528106994492E-2</v>
      </c>
      <c r="G504">
        <f t="shared" si="21"/>
        <v>-3.1213431164150887E-2</v>
      </c>
    </row>
    <row r="505" spans="1:7" x14ac:dyDescent="0.35">
      <c r="A505" t="s">
        <v>39</v>
      </c>
      <c r="E505">
        <v>-2.9828245888662997E-2</v>
      </c>
      <c r="F505">
        <f t="shared" si="20"/>
        <v>-1.9439263385916828E-2</v>
      </c>
      <c r="G505">
        <f t="shared" si="21"/>
        <v>-3.1213431164150887E-2</v>
      </c>
    </row>
    <row r="506" spans="1:7" x14ac:dyDescent="0.35">
      <c r="A506" t="s">
        <v>39</v>
      </c>
      <c r="E506">
        <v>-4.8740371000464116E-3</v>
      </c>
      <c r="F506">
        <f t="shared" si="20"/>
        <v>-1.9318096255526399E-2</v>
      </c>
      <c r="G506">
        <f t="shared" si="21"/>
        <v>-3.1150293837500228E-2</v>
      </c>
    </row>
    <row r="507" spans="1:7" x14ac:dyDescent="0.35">
      <c r="A507" t="s">
        <v>39</v>
      </c>
      <c r="E507">
        <v>-1.2312893878154683E-3</v>
      </c>
      <c r="F507">
        <f t="shared" si="20"/>
        <v>-1.9324702736653453E-2</v>
      </c>
      <c r="G507">
        <f t="shared" si="21"/>
        <v>-3.1150293837500228E-2</v>
      </c>
    </row>
    <row r="508" spans="1:7" x14ac:dyDescent="0.35">
      <c r="A508" t="s">
        <v>39</v>
      </c>
      <c r="E508">
        <v>2.3162725621224928E-2</v>
      </c>
      <c r="F508">
        <f t="shared" si="20"/>
        <v>-1.9331309217780507E-2</v>
      </c>
      <c r="G508">
        <f t="shared" si="21"/>
        <v>-3.1150293837500228E-2</v>
      </c>
    </row>
    <row r="509" spans="1:7" x14ac:dyDescent="0.35">
      <c r="A509" t="s">
        <v>39</v>
      </c>
      <c r="E509">
        <v>-5.4557316812941141E-3</v>
      </c>
      <c r="F509">
        <f t="shared" si="20"/>
        <v>-1.9337915698907561E-2</v>
      </c>
      <c r="G509">
        <f t="shared" si="21"/>
        <v>-3.1150293837500228E-2</v>
      </c>
    </row>
    <row r="510" spans="1:7" x14ac:dyDescent="0.35">
      <c r="A510" t="s">
        <v>39</v>
      </c>
      <c r="E510">
        <v>2.3733520038199682E-5</v>
      </c>
      <c r="F510">
        <f t="shared" si="20"/>
        <v>-1.9344522180034615E-2</v>
      </c>
      <c r="G510">
        <f t="shared" si="21"/>
        <v>-3.1150293837500228E-2</v>
      </c>
    </row>
    <row r="511" spans="1:7" x14ac:dyDescent="0.35">
      <c r="A511" t="s">
        <v>39</v>
      </c>
      <c r="E511">
        <v>2.7966079752251376E-3</v>
      </c>
      <c r="F511">
        <f t="shared" si="20"/>
        <v>-1.9351128661161669E-2</v>
      </c>
      <c r="G511">
        <f t="shared" si="21"/>
        <v>-3.1150293837500228E-2</v>
      </c>
    </row>
    <row r="512" spans="1:7" x14ac:dyDescent="0.35">
      <c r="A512" t="s">
        <v>39</v>
      </c>
      <c r="E512">
        <v>-1.1834179490976545E-4</v>
      </c>
      <c r="F512">
        <f t="shared" si="20"/>
        <v>-1.9357735142288723E-2</v>
      </c>
      <c r="G512">
        <f t="shared" si="21"/>
        <v>-3.1150293837500228E-2</v>
      </c>
    </row>
    <row r="513" spans="1:7" x14ac:dyDescent="0.35">
      <c r="A513" t="s">
        <v>39</v>
      </c>
      <c r="E513">
        <v>1.0091402043032794E-2</v>
      </c>
      <c r="F513">
        <f t="shared" si="20"/>
        <v>-1.9364341623415774E-2</v>
      </c>
      <c r="G513">
        <f t="shared" si="21"/>
        <v>-3.1150293837500228E-2</v>
      </c>
    </row>
    <row r="514" spans="1:7" x14ac:dyDescent="0.35">
      <c r="A514" t="s">
        <v>39</v>
      </c>
      <c r="E514">
        <v>-1.3517544822960147E-2</v>
      </c>
      <c r="F514">
        <f t="shared" si="20"/>
        <v>-1.9370948104542832E-2</v>
      </c>
      <c r="G514">
        <f t="shared" si="21"/>
        <v>-3.1150293837500228E-2</v>
      </c>
    </row>
    <row r="515" spans="1:7" x14ac:dyDescent="0.35">
      <c r="A515" t="s">
        <v>39</v>
      </c>
      <c r="E515">
        <v>2.1511005942385551E-2</v>
      </c>
      <c r="F515">
        <f t="shared" si="20"/>
        <v>-1.9377554585669886E-2</v>
      </c>
      <c r="G515">
        <f t="shared" si="21"/>
        <v>-3.1150293837500228E-2</v>
      </c>
    </row>
    <row r="516" spans="1:7" x14ac:dyDescent="0.35">
      <c r="A516" t="s">
        <v>39</v>
      </c>
      <c r="E516">
        <v>-4.8818379925737523E-3</v>
      </c>
      <c r="F516">
        <f t="shared" ref="F516:F579" si="22">_xlfn.PERCENTILE.EXC(E516:E4331,0.05)</f>
        <v>-1.938416106679694E-2</v>
      </c>
      <c r="G516">
        <f t="shared" ref="G516:G579" si="23">AVERAGEIFS(E516:E4332,E516:E4332,"&lt;=" &amp; F516)</f>
        <v>-3.1150293837500228E-2</v>
      </c>
    </row>
    <row r="517" spans="1:7" x14ac:dyDescent="0.35">
      <c r="A517" t="s">
        <v>39</v>
      </c>
      <c r="E517">
        <v>6.7165517462032245E-3</v>
      </c>
      <c r="F517">
        <f t="shared" si="22"/>
        <v>-1.9390767547923994E-2</v>
      </c>
      <c r="G517">
        <f t="shared" si="23"/>
        <v>-3.1150293837500228E-2</v>
      </c>
    </row>
    <row r="518" spans="1:7" x14ac:dyDescent="0.35">
      <c r="A518" t="s">
        <v>39</v>
      </c>
      <c r="E518">
        <v>-3.2769769607407162E-3</v>
      </c>
      <c r="F518">
        <f t="shared" si="22"/>
        <v>-1.9397374029051045E-2</v>
      </c>
      <c r="G518">
        <f t="shared" si="23"/>
        <v>-3.1150293837500228E-2</v>
      </c>
    </row>
    <row r="519" spans="1:7" x14ac:dyDescent="0.35">
      <c r="A519" t="s">
        <v>39</v>
      </c>
      <c r="E519">
        <v>-4.1990403918871072E-3</v>
      </c>
      <c r="F519">
        <f t="shared" si="22"/>
        <v>-1.9403980510178102E-2</v>
      </c>
      <c r="G519">
        <f t="shared" si="23"/>
        <v>-3.1150293837500228E-2</v>
      </c>
    </row>
    <row r="520" spans="1:7" x14ac:dyDescent="0.35">
      <c r="A520" t="s">
        <v>39</v>
      </c>
      <c r="E520">
        <v>1.8345313325684922E-2</v>
      </c>
      <c r="F520">
        <f t="shared" si="22"/>
        <v>-1.9410586991305157E-2</v>
      </c>
      <c r="G520">
        <f t="shared" si="23"/>
        <v>-3.1150293837500228E-2</v>
      </c>
    </row>
    <row r="521" spans="1:7" x14ac:dyDescent="0.35">
      <c r="A521" t="s">
        <v>39</v>
      </c>
      <c r="E521">
        <v>-6.5050801892815495E-3</v>
      </c>
      <c r="F521">
        <f t="shared" si="22"/>
        <v>-1.9416322270227489E-2</v>
      </c>
      <c r="G521">
        <f t="shared" si="23"/>
        <v>-3.1221877415830688E-2</v>
      </c>
    </row>
    <row r="522" spans="1:7" x14ac:dyDescent="0.35">
      <c r="A522" t="s">
        <v>39</v>
      </c>
      <c r="E522">
        <v>-1.6338729511450864E-2</v>
      </c>
      <c r="F522">
        <f t="shared" si="22"/>
        <v>-1.9422057549149826E-2</v>
      </c>
      <c r="G522">
        <f t="shared" si="23"/>
        <v>-3.1221877415830688E-2</v>
      </c>
    </row>
    <row r="523" spans="1:7" x14ac:dyDescent="0.35">
      <c r="A523" t="s">
        <v>39</v>
      </c>
      <c r="E523">
        <v>-9.1623504312945405E-4</v>
      </c>
      <c r="F523">
        <f t="shared" si="22"/>
        <v>-1.9427792828072155E-2</v>
      </c>
      <c r="G523">
        <f t="shared" si="23"/>
        <v>-3.1221877415830688E-2</v>
      </c>
    </row>
    <row r="524" spans="1:7" x14ac:dyDescent="0.35">
      <c r="A524" t="s">
        <v>40</v>
      </c>
      <c r="B524" s="3" cm="1">
        <f t="array" ref="B524">_xlfn.STDEV.S(_xlfn._xlws.FILTER($E$2:$E$1000, $A$2:$A$1000="2012-02"))</f>
        <v>1.0604104091067828E-2</v>
      </c>
      <c r="C524" s="3" cm="1">
        <f t="array" ref="C524">AVERAGE(_xlfn._xlws.FILTER($E$2:$E$1000, $A$2:$A$1000="2012-02"))</f>
        <v>-2.4293338288292971E-4</v>
      </c>
      <c r="D524" s="3" cm="1">
        <f t="array" ref="D524">_xlfn.PERCENTILE.EXC(_xlfn._xlws.FILTER($E$503:$E$750, $A$503:$A$750="2012-02"), 0.05)</f>
        <v>-2.0598388103957373E-2</v>
      </c>
      <c r="E524">
        <v>2.1784213563004251E-2</v>
      </c>
      <c r="F524">
        <f t="shared" si="22"/>
        <v>-1.9433528106994492E-2</v>
      </c>
      <c r="G524">
        <f t="shared" si="23"/>
        <v>-3.1221877415830688E-2</v>
      </c>
    </row>
    <row r="525" spans="1:7" x14ac:dyDescent="0.35">
      <c r="A525" t="s">
        <v>40</v>
      </c>
      <c r="E525">
        <v>8.6668850184277967E-3</v>
      </c>
      <c r="F525">
        <f t="shared" si="22"/>
        <v>-1.9439263385916828E-2</v>
      </c>
      <c r="G525">
        <f t="shared" si="23"/>
        <v>-3.1221877415830688E-2</v>
      </c>
    </row>
    <row r="526" spans="1:7" x14ac:dyDescent="0.35">
      <c r="A526" t="s">
        <v>40</v>
      </c>
      <c r="E526">
        <v>1.0083165929136906E-2</v>
      </c>
      <c r="F526">
        <f t="shared" si="22"/>
        <v>-1.9444998664839161E-2</v>
      </c>
      <c r="G526">
        <f t="shared" si="23"/>
        <v>-3.1221877415830688E-2</v>
      </c>
    </row>
    <row r="527" spans="1:7" x14ac:dyDescent="0.35">
      <c r="A527" t="s">
        <v>40</v>
      </c>
      <c r="E527">
        <v>-2.927134573825413E-3</v>
      </c>
      <c r="F527">
        <f t="shared" si="22"/>
        <v>-1.9450733943761497E-2</v>
      </c>
      <c r="G527">
        <f t="shared" si="23"/>
        <v>-3.1221877415830688E-2</v>
      </c>
    </row>
    <row r="528" spans="1:7" x14ac:dyDescent="0.35">
      <c r="A528" t="s">
        <v>40</v>
      </c>
      <c r="E528">
        <v>1.3120541181644331E-3</v>
      </c>
      <c r="F528">
        <f t="shared" si="22"/>
        <v>-1.9456469222683827E-2</v>
      </c>
      <c r="G528">
        <f t="shared" si="23"/>
        <v>-3.1221877415830688E-2</v>
      </c>
    </row>
    <row r="529" spans="1:7" x14ac:dyDescent="0.35">
      <c r="A529" t="s">
        <v>40</v>
      </c>
      <c r="E529">
        <v>2.7124467566077301E-4</v>
      </c>
      <c r="F529">
        <f t="shared" si="22"/>
        <v>-1.9462204501606163E-2</v>
      </c>
      <c r="G529">
        <f t="shared" si="23"/>
        <v>-3.1221877415830688E-2</v>
      </c>
    </row>
    <row r="530" spans="1:7" x14ac:dyDescent="0.35">
      <c r="A530" t="s">
        <v>40</v>
      </c>
      <c r="E530">
        <v>5.9488441148746705E-3</v>
      </c>
      <c r="F530">
        <f t="shared" si="22"/>
        <v>-1.94679397805285E-2</v>
      </c>
      <c r="G530">
        <f t="shared" si="23"/>
        <v>-3.1221877415830688E-2</v>
      </c>
    </row>
    <row r="531" spans="1:7" x14ac:dyDescent="0.35">
      <c r="A531" t="s">
        <v>40</v>
      </c>
      <c r="E531">
        <v>-1.1865082243678309E-2</v>
      </c>
      <c r="F531">
        <f t="shared" si="22"/>
        <v>-1.9473675059450832E-2</v>
      </c>
      <c r="G531">
        <f t="shared" si="23"/>
        <v>-3.1221877415830688E-2</v>
      </c>
    </row>
    <row r="532" spans="1:7" x14ac:dyDescent="0.35">
      <c r="A532" t="s">
        <v>40</v>
      </c>
      <c r="E532">
        <v>-1.0008303177127455E-3</v>
      </c>
      <c r="F532">
        <f t="shared" si="22"/>
        <v>-1.9479410338373169E-2</v>
      </c>
      <c r="G532">
        <f t="shared" si="23"/>
        <v>-3.1221877415830688E-2</v>
      </c>
    </row>
    <row r="533" spans="1:7" x14ac:dyDescent="0.35">
      <c r="A533" t="s">
        <v>40</v>
      </c>
      <c r="E533">
        <v>-1.8678608180053289E-3</v>
      </c>
      <c r="F533">
        <f t="shared" si="22"/>
        <v>-1.9485145617295498E-2</v>
      </c>
      <c r="G533">
        <f t="shared" si="23"/>
        <v>-3.1221877415830688E-2</v>
      </c>
    </row>
    <row r="534" spans="1:7" x14ac:dyDescent="0.35">
      <c r="A534" t="s">
        <v>40</v>
      </c>
      <c r="E534">
        <v>-3.4601913074628989E-3</v>
      </c>
      <c r="F534">
        <f t="shared" si="22"/>
        <v>-1.9490880896217835E-2</v>
      </c>
      <c r="G534">
        <f t="shared" si="23"/>
        <v>-3.1221877415830688E-2</v>
      </c>
    </row>
    <row r="535" spans="1:7" x14ac:dyDescent="0.35">
      <c r="A535" t="s">
        <v>40</v>
      </c>
      <c r="E535">
        <v>-2.1215036374917711E-2</v>
      </c>
      <c r="F535">
        <f t="shared" si="22"/>
        <v>-1.9496616175140171E-2</v>
      </c>
      <c r="G535">
        <f t="shared" si="23"/>
        <v>-3.1221877415830688E-2</v>
      </c>
    </row>
    <row r="536" spans="1:7" x14ac:dyDescent="0.35">
      <c r="A536" t="s">
        <v>40</v>
      </c>
      <c r="E536">
        <v>1.1490039334155837E-2</v>
      </c>
      <c r="F536">
        <f t="shared" si="22"/>
        <v>-1.938416106679694E-2</v>
      </c>
      <c r="G536">
        <f t="shared" si="23"/>
        <v>-3.1210874675686718E-2</v>
      </c>
    </row>
    <row r="537" spans="1:7" x14ac:dyDescent="0.35">
      <c r="A537" t="s">
        <v>40</v>
      </c>
      <c r="E537">
        <v>1.8438185077815899E-2</v>
      </c>
      <c r="F537">
        <f t="shared" si="22"/>
        <v>-1.9390767547923994E-2</v>
      </c>
      <c r="G537">
        <f t="shared" si="23"/>
        <v>-3.1210874675686718E-2</v>
      </c>
    </row>
    <row r="538" spans="1:7" x14ac:dyDescent="0.35">
      <c r="A538" t="s">
        <v>40</v>
      </c>
      <c r="E538">
        <v>-5.8003483596541262E-3</v>
      </c>
      <c r="F538">
        <f t="shared" si="22"/>
        <v>-1.9397374029051045E-2</v>
      </c>
      <c r="G538">
        <f t="shared" si="23"/>
        <v>-3.1210874675686718E-2</v>
      </c>
    </row>
    <row r="539" spans="1:7" x14ac:dyDescent="0.35">
      <c r="A539" t="s">
        <v>40</v>
      </c>
      <c r="E539">
        <v>-1.2637836718161936E-2</v>
      </c>
      <c r="F539">
        <f t="shared" si="22"/>
        <v>-1.9403980510178102E-2</v>
      </c>
      <c r="G539">
        <f t="shared" si="23"/>
        <v>-3.1210874675686718E-2</v>
      </c>
    </row>
    <row r="540" spans="1:7" x14ac:dyDescent="0.35">
      <c r="A540" t="s">
        <v>40</v>
      </c>
      <c r="E540">
        <v>-1.5048553665314336E-2</v>
      </c>
      <c r="F540">
        <f t="shared" si="22"/>
        <v>-1.9410586991305157E-2</v>
      </c>
      <c r="G540">
        <f t="shared" si="23"/>
        <v>-3.1210874675686718E-2</v>
      </c>
    </row>
    <row r="541" spans="1:7" x14ac:dyDescent="0.35">
      <c r="A541" t="s">
        <v>40</v>
      </c>
      <c r="E541">
        <v>0</v>
      </c>
      <c r="F541">
        <f t="shared" si="22"/>
        <v>-1.9416322270227489E-2</v>
      </c>
      <c r="G541">
        <f t="shared" si="23"/>
        <v>-3.1283269078658381E-2</v>
      </c>
    </row>
    <row r="542" spans="1:7" x14ac:dyDescent="0.35">
      <c r="A542" t="s">
        <v>40</v>
      </c>
      <c r="E542">
        <v>1.1133966189537266E-3</v>
      </c>
      <c r="F542">
        <f t="shared" si="22"/>
        <v>-1.9422057549149826E-2</v>
      </c>
      <c r="G542">
        <f t="shared" si="23"/>
        <v>-3.1283269078658381E-2</v>
      </c>
    </row>
    <row r="543" spans="1:7" x14ac:dyDescent="0.35">
      <c r="A543" t="s">
        <v>40</v>
      </c>
      <c r="E543">
        <v>-1.2306684081864684E-3</v>
      </c>
      <c r="F543">
        <f t="shared" si="22"/>
        <v>-1.9427792828072155E-2</v>
      </c>
      <c r="G543">
        <f t="shared" si="23"/>
        <v>-3.1283269078658381E-2</v>
      </c>
    </row>
    <row r="544" spans="1:7" x14ac:dyDescent="0.35">
      <c r="A544" t="s">
        <v>40</v>
      </c>
      <c r="E544">
        <v>-7.1560867038165405E-3</v>
      </c>
      <c r="F544">
        <f t="shared" si="22"/>
        <v>-1.9433528106994492E-2</v>
      </c>
      <c r="G544">
        <f t="shared" si="23"/>
        <v>-3.1283269078658381E-2</v>
      </c>
    </row>
    <row r="545" spans="1:7" x14ac:dyDescent="0.35">
      <c r="A545" t="s">
        <v>41</v>
      </c>
      <c r="B545" s="3" cm="1">
        <f t="array" ref="B545">_xlfn.STDEV.S(_xlfn._xlws.FILTER($E$2:$E$1000, $A$2:$A$1000="2012-03"))</f>
        <v>1.3414478152192424E-2</v>
      </c>
      <c r="C545" s="3" cm="1">
        <f t="array" ref="C545">AVERAGE(_xlfn._xlws.FILTER($E$2:$E$1000, $A$2:$A$1000="2012-03"))</f>
        <v>-2.5275130937433454E-3</v>
      </c>
      <c r="D545" s="3" cm="1">
        <f t="array" ref="D545">_xlfn.PERCENTILE.EXC(_xlfn._xlws.FILTER($E$503:$E$750, $A$503:$A$750="2012-03"), 0.05)</f>
        <v>-3.231696412559467E-2</v>
      </c>
      <c r="E545">
        <v>9.6159108368794356E-3</v>
      </c>
      <c r="F545">
        <f t="shared" si="22"/>
        <v>-1.9439263385916828E-2</v>
      </c>
      <c r="G545">
        <f t="shared" si="23"/>
        <v>-3.1283269078658381E-2</v>
      </c>
    </row>
    <row r="546" spans="1:7" x14ac:dyDescent="0.35">
      <c r="A546" t="s">
        <v>41</v>
      </c>
      <c r="E546">
        <v>1.8350666416270436E-3</v>
      </c>
      <c r="F546">
        <f t="shared" si="22"/>
        <v>-1.9444998664839161E-2</v>
      </c>
      <c r="G546">
        <f t="shared" si="23"/>
        <v>-3.1283269078658381E-2</v>
      </c>
    </row>
    <row r="547" spans="1:7" x14ac:dyDescent="0.35">
      <c r="A547" t="s">
        <v>41</v>
      </c>
      <c r="E547">
        <v>-1.2916750758895448E-2</v>
      </c>
      <c r="F547">
        <f t="shared" si="22"/>
        <v>-1.9450733943761497E-2</v>
      </c>
      <c r="G547">
        <f t="shared" si="23"/>
        <v>-3.1283269078658381E-2</v>
      </c>
    </row>
    <row r="548" spans="1:7" x14ac:dyDescent="0.35">
      <c r="A548" t="s">
        <v>41</v>
      </c>
      <c r="E548">
        <v>-3.4527891210938175E-2</v>
      </c>
      <c r="F548">
        <f t="shared" si="22"/>
        <v>-1.9456469222683827E-2</v>
      </c>
      <c r="G548">
        <f t="shared" si="23"/>
        <v>-3.1283269078658381E-2</v>
      </c>
    </row>
    <row r="549" spans="1:7" x14ac:dyDescent="0.35">
      <c r="A549" t="s">
        <v>41</v>
      </c>
      <c r="E549">
        <v>-5.8793269864363046E-4</v>
      </c>
      <c r="F549">
        <f t="shared" si="22"/>
        <v>-1.9337915698907561E-2</v>
      </c>
      <c r="G549">
        <f t="shared" si="23"/>
        <v>-3.1190524880991922E-2</v>
      </c>
    </row>
    <row r="550" spans="1:7" x14ac:dyDescent="0.35">
      <c r="A550" t="s">
        <v>41</v>
      </c>
      <c r="E550">
        <v>1.7681950973182273E-2</v>
      </c>
      <c r="F550">
        <f t="shared" si="22"/>
        <v>-1.9344522180034615E-2</v>
      </c>
      <c r="G550">
        <f t="shared" si="23"/>
        <v>-3.1190524880991922E-2</v>
      </c>
    </row>
    <row r="551" spans="1:7" x14ac:dyDescent="0.35">
      <c r="A551" t="s">
        <v>41</v>
      </c>
      <c r="E551">
        <v>-2.9776816595909654E-3</v>
      </c>
      <c r="F551">
        <f t="shared" si="22"/>
        <v>-1.9351128661161669E-2</v>
      </c>
      <c r="G551">
        <f t="shared" si="23"/>
        <v>-3.1190524880991922E-2</v>
      </c>
    </row>
    <row r="552" spans="1:7" x14ac:dyDescent="0.35">
      <c r="A552" t="s">
        <v>41</v>
      </c>
      <c r="E552">
        <v>-1.2452402005380716E-2</v>
      </c>
      <c r="F552">
        <f t="shared" si="22"/>
        <v>-1.9357735142288723E-2</v>
      </c>
      <c r="G552">
        <f t="shared" si="23"/>
        <v>-3.1190524880991922E-2</v>
      </c>
    </row>
    <row r="553" spans="1:7" x14ac:dyDescent="0.35">
      <c r="A553" t="s">
        <v>41</v>
      </c>
      <c r="E553">
        <v>2.3749379797602287E-2</v>
      </c>
      <c r="F553">
        <f t="shared" si="22"/>
        <v>-1.9364341623415774E-2</v>
      </c>
      <c r="G553">
        <f t="shared" si="23"/>
        <v>-3.1190524880991922E-2</v>
      </c>
    </row>
    <row r="554" spans="1:7" x14ac:dyDescent="0.35">
      <c r="A554" t="s">
        <v>41</v>
      </c>
      <c r="E554">
        <v>1.7056403564916969E-3</v>
      </c>
      <c r="F554">
        <f t="shared" si="22"/>
        <v>-1.9370948104542832E-2</v>
      </c>
      <c r="G554">
        <f t="shared" si="23"/>
        <v>-3.1190524880991922E-2</v>
      </c>
    </row>
    <row r="555" spans="1:7" x14ac:dyDescent="0.35">
      <c r="A555" t="s">
        <v>41</v>
      </c>
      <c r="E555">
        <v>4.2336159513190778E-3</v>
      </c>
      <c r="F555">
        <f t="shared" si="22"/>
        <v>-1.9377554585669886E-2</v>
      </c>
      <c r="G555">
        <f t="shared" si="23"/>
        <v>-3.1190524880991922E-2</v>
      </c>
    </row>
    <row r="556" spans="1:7" x14ac:dyDescent="0.35">
      <c r="A556" t="s">
        <v>41</v>
      </c>
      <c r="E556">
        <v>7.0478622013666944E-3</v>
      </c>
      <c r="F556">
        <f t="shared" si="22"/>
        <v>-1.938416106679694E-2</v>
      </c>
      <c r="G556">
        <f t="shared" si="23"/>
        <v>-3.1190524880991922E-2</v>
      </c>
    </row>
    <row r="557" spans="1:7" x14ac:dyDescent="0.35">
      <c r="A557" t="s">
        <v>41</v>
      </c>
      <c r="E557">
        <v>1.2355161527880234E-2</v>
      </c>
      <c r="F557">
        <f t="shared" si="22"/>
        <v>-1.9390767547923994E-2</v>
      </c>
      <c r="G557">
        <f t="shared" si="23"/>
        <v>-3.1190524880991922E-2</v>
      </c>
    </row>
    <row r="558" spans="1:7" x14ac:dyDescent="0.35">
      <c r="A558" t="s">
        <v>41</v>
      </c>
      <c r="E558">
        <v>-2.832285261545899E-3</v>
      </c>
      <c r="F558">
        <f t="shared" si="22"/>
        <v>-1.9397374029051045E-2</v>
      </c>
      <c r="G558">
        <f t="shared" si="23"/>
        <v>-3.1190524880991922E-2</v>
      </c>
    </row>
    <row r="559" spans="1:7" x14ac:dyDescent="0.35">
      <c r="A559" t="s">
        <v>41</v>
      </c>
      <c r="E559">
        <v>-8.9809729945852287E-3</v>
      </c>
      <c r="F559">
        <f t="shared" si="22"/>
        <v>-1.9403980510178102E-2</v>
      </c>
      <c r="G559">
        <f t="shared" si="23"/>
        <v>-3.1190524880991922E-2</v>
      </c>
    </row>
    <row r="560" spans="1:7" x14ac:dyDescent="0.35">
      <c r="A560" t="s">
        <v>41</v>
      </c>
      <c r="E560">
        <v>-1.6302418097890719E-2</v>
      </c>
      <c r="F560">
        <f t="shared" si="22"/>
        <v>-1.9410586991305157E-2</v>
      </c>
      <c r="G560">
        <f t="shared" si="23"/>
        <v>-3.1190524880991922E-2</v>
      </c>
    </row>
    <row r="561" spans="1:7" x14ac:dyDescent="0.35">
      <c r="A561" t="s">
        <v>41</v>
      </c>
      <c r="E561">
        <v>-8.6322475987004946E-3</v>
      </c>
      <c r="F561">
        <f t="shared" si="22"/>
        <v>-1.9416322270227489E-2</v>
      </c>
      <c r="G561">
        <f t="shared" si="23"/>
        <v>-3.1263240546977641E-2</v>
      </c>
    </row>
    <row r="562" spans="1:7" x14ac:dyDescent="0.35">
      <c r="A562" t="s">
        <v>41</v>
      </c>
      <c r="E562">
        <v>-6.9185142533470202E-3</v>
      </c>
      <c r="F562">
        <f t="shared" si="22"/>
        <v>-1.9422057549149826E-2</v>
      </c>
      <c r="G562">
        <f t="shared" si="23"/>
        <v>-3.1263240546977641E-2</v>
      </c>
    </row>
    <row r="563" spans="1:7" x14ac:dyDescent="0.35">
      <c r="A563" t="s">
        <v>41</v>
      </c>
      <c r="E563">
        <v>-1.0314787449929681E-2</v>
      </c>
      <c r="F563">
        <f t="shared" si="22"/>
        <v>-1.9427792828072155E-2</v>
      </c>
      <c r="G563">
        <f t="shared" si="23"/>
        <v>-3.1263240546977641E-2</v>
      </c>
    </row>
    <row r="564" spans="1:7" x14ac:dyDescent="0.35">
      <c r="A564" t="s">
        <v>41</v>
      </c>
      <c r="E564">
        <v>-1.9788377308648179E-2</v>
      </c>
      <c r="F564">
        <f t="shared" si="22"/>
        <v>-1.9433528106994492E-2</v>
      </c>
      <c r="G564">
        <f t="shared" si="23"/>
        <v>-3.1263240546977641E-2</v>
      </c>
    </row>
    <row r="565" spans="1:7" x14ac:dyDescent="0.35">
      <c r="A565" t="s">
        <v>41</v>
      </c>
      <c r="E565">
        <v>-8.7844610242662716E-3</v>
      </c>
      <c r="F565">
        <f t="shared" si="22"/>
        <v>-1.9311489774399348E-2</v>
      </c>
      <c r="G565">
        <f t="shared" si="23"/>
        <v>-3.1260908507981702E-2</v>
      </c>
    </row>
    <row r="566" spans="1:7" x14ac:dyDescent="0.35">
      <c r="A566" t="s">
        <v>41</v>
      </c>
      <c r="E566">
        <v>1.2186845973660087E-2</v>
      </c>
      <c r="F566">
        <f t="shared" si="22"/>
        <v>-1.9318096255526399E-2</v>
      </c>
      <c r="G566">
        <f t="shared" si="23"/>
        <v>-3.1260908507981702E-2</v>
      </c>
    </row>
    <row r="567" spans="1:7" x14ac:dyDescent="0.35">
      <c r="A567" t="s">
        <v>42</v>
      </c>
      <c r="B567" s="3" cm="1">
        <f t="array" ref="B567">_xlfn.STDEV.S(_xlfn._xlws.FILTER($E$2:$E$1000, $A$2:$A$1000="2012-04"))</f>
        <v>2.1694372507065299E-2</v>
      </c>
      <c r="C567" s="3" cm="1">
        <f t="array" ref="C567">AVERAGE(_xlfn._xlws.FILTER($E$2:$E$1000, $A$2:$A$1000="2012-04"))</f>
        <v>-6.9979314625309968E-3</v>
      </c>
      <c r="D567" s="3" cm="1">
        <f t="array" ref="D567">_xlfn.PERCENTILE.EXC(_xlfn._xlws.FILTER($E$503:$E$750, $A$503:$A$750="2012-04"), 0.05)</f>
        <v>-4.0704460209142167E-2</v>
      </c>
      <c r="E567">
        <v>4.3362392564356526E-3</v>
      </c>
      <c r="F567">
        <f t="shared" si="22"/>
        <v>-1.9324702736653453E-2</v>
      </c>
      <c r="G567">
        <f t="shared" si="23"/>
        <v>-3.1260908507981702E-2</v>
      </c>
    </row>
    <row r="568" spans="1:7" x14ac:dyDescent="0.35">
      <c r="A568" t="s">
        <v>42</v>
      </c>
      <c r="E568">
        <v>-2.7517444648265513E-2</v>
      </c>
      <c r="F568">
        <f t="shared" si="22"/>
        <v>-1.9331309217780507E-2</v>
      </c>
      <c r="G568">
        <f t="shared" si="23"/>
        <v>-3.1260908507981702E-2</v>
      </c>
    </row>
    <row r="569" spans="1:7" x14ac:dyDescent="0.35">
      <c r="A569" t="s">
        <v>42</v>
      </c>
      <c r="E569">
        <v>-2.1156473231825446E-2</v>
      </c>
      <c r="F569">
        <f t="shared" si="22"/>
        <v>-1.9276549228597839E-2</v>
      </c>
      <c r="G569">
        <f t="shared" si="23"/>
        <v>-3.121005056181194E-2</v>
      </c>
    </row>
    <row r="570" spans="1:7" x14ac:dyDescent="0.35">
      <c r="A570" t="s">
        <v>42</v>
      </c>
      <c r="E570">
        <v>-2.6107615592961066E-5</v>
      </c>
      <c r="F570">
        <f t="shared" si="22"/>
        <v>-1.925032334344752E-2</v>
      </c>
      <c r="G570">
        <f t="shared" si="23"/>
        <v>-3.1198436455584663E-2</v>
      </c>
    </row>
    <row r="571" spans="1:7" x14ac:dyDescent="0.35">
      <c r="A571" t="s">
        <v>42</v>
      </c>
      <c r="E571">
        <v>-3.0066992179718244E-2</v>
      </c>
      <c r="F571">
        <f t="shared" si="22"/>
        <v>-1.9252789811403492E-2</v>
      </c>
      <c r="G571">
        <f t="shared" si="23"/>
        <v>-3.1198436455584663E-2</v>
      </c>
    </row>
    <row r="572" spans="1:7" x14ac:dyDescent="0.35">
      <c r="A572" t="s">
        <v>42</v>
      </c>
      <c r="E572">
        <v>1.9067485064774767E-2</v>
      </c>
      <c r="F572">
        <f t="shared" si="22"/>
        <v>-1.9170481776209659E-2</v>
      </c>
      <c r="G572">
        <f t="shared" si="23"/>
        <v>-3.1131514643758545E-2</v>
      </c>
    </row>
    <row r="573" spans="1:7" x14ac:dyDescent="0.35">
      <c r="A573" t="s">
        <v>42</v>
      </c>
      <c r="E573">
        <v>-7.5116106969793806E-3</v>
      </c>
      <c r="F573">
        <f t="shared" si="22"/>
        <v>-1.9177378887169416E-2</v>
      </c>
      <c r="G573">
        <f t="shared" si="23"/>
        <v>-3.1131514643758545E-2</v>
      </c>
    </row>
    <row r="574" spans="1:7" x14ac:dyDescent="0.35">
      <c r="A574" t="s">
        <v>42</v>
      </c>
      <c r="E574">
        <v>-3.648191389878104E-2</v>
      </c>
      <c r="F574">
        <f t="shared" si="22"/>
        <v>-1.9184275998129181E-2</v>
      </c>
      <c r="G574">
        <f t="shared" si="23"/>
        <v>-3.1131514643758545E-2</v>
      </c>
    </row>
    <row r="575" spans="1:7" x14ac:dyDescent="0.35">
      <c r="A575" t="s">
        <v>42</v>
      </c>
      <c r="E575">
        <v>-5.7401071872828138E-3</v>
      </c>
      <c r="F575">
        <f t="shared" si="22"/>
        <v>-1.9076894158346E-2</v>
      </c>
      <c r="G575">
        <f t="shared" si="23"/>
        <v>-3.1024143054535772E-2</v>
      </c>
    </row>
    <row r="576" spans="1:7" x14ac:dyDescent="0.35">
      <c r="A576" t="s">
        <v>42</v>
      </c>
      <c r="E576">
        <v>2.2521250304460991E-2</v>
      </c>
      <c r="F576">
        <f t="shared" si="22"/>
        <v>-1.9079058615615301E-2</v>
      </c>
      <c r="G576">
        <f t="shared" si="23"/>
        <v>-3.1024143054535772E-2</v>
      </c>
    </row>
    <row r="577" spans="1:7" x14ac:dyDescent="0.35">
      <c r="A577" t="s">
        <v>42</v>
      </c>
      <c r="E577">
        <v>-4.0704460209142167E-2</v>
      </c>
      <c r="F577">
        <f t="shared" si="22"/>
        <v>-1.9081223072884602E-2</v>
      </c>
      <c r="G577">
        <f t="shared" si="23"/>
        <v>-3.1024143054535772E-2</v>
      </c>
    </row>
    <row r="578" spans="1:7" x14ac:dyDescent="0.35">
      <c r="A578" t="s">
        <v>42</v>
      </c>
      <c r="E578">
        <v>-2.4466270821457008E-2</v>
      </c>
      <c r="F578">
        <f t="shared" si="22"/>
        <v>-1.9044080100793084E-2</v>
      </c>
      <c r="G578">
        <f t="shared" si="23"/>
        <v>-3.0890439147684943E-2</v>
      </c>
    </row>
    <row r="579" spans="1:7" x14ac:dyDescent="0.35">
      <c r="A579" t="s">
        <v>42</v>
      </c>
      <c r="E579">
        <v>1.8998757661494361E-2</v>
      </c>
      <c r="F579">
        <f t="shared" si="22"/>
        <v>-1.9033296811665136E-2</v>
      </c>
      <c r="G579">
        <f t="shared" si="23"/>
        <v>-3.0856949545788121E-2</v>
      </c>
    </row>
    <row r="580" spans="1:7" x14ac:dyDescent="0.35">
      <c r="A580" t="s">
        <v>42</v>
      </c>
      <c r="E580">
        <v>-2.7941215124488723E-2</v>
      </c>
      <c r="F580">
        <f t="shared" ref="F580:F643" si="24">_xlfn.PERCENTILE.EXC(E580:E4395,0.05)</f>
        <v>-1.9040955314172631E-2</v>
      </c>
      <c r="G580">
        <f t="shared" ref="G580:G643" si="25">AVERAGEIFS(E580:E4396,E580:E4396,"&lt;=" &amp; F580)</f>
        <v>-3.0856949545788121E-2</v>
      </c>
    </row>
    <row r="581" spans="1:7" x14ac:dyDescent="0.35">
      <c r="A581" t="s">
        <v>42</v>
      </c>
      <c r="E581">
        <v>2.2143684552433741E-2</v>
      </c>
      <c r="F581">
        <f t="shared" si="24"/>
        <v>-1.8895443766530285E-2</v>
      </c>
      <c r="G581">
        <f t="shared" si="25"/>
        <v>-3.0875059697473214E-2</v>
      </c>
    </row>
    <row r="582" spans="1:7" x14ac:dyDescent="0.35">
      <c r="A582" t="s">
        <v>42</v>
      </c>
      <c r="E582">
        <v>1.6857355867389658E-2</v>
      </c>
      <c r="F582">
        <f t="shared" si="24"/>
        <v>-1.890310226903778E-2</v>
      </c>
      <c r="G582">
        <f t="shared" si="25"/>
        <v>-3.0875059697473214E-2</v>
      </c>
    </row>
    <row r="583" spans="1:7" x14ac:dyDescent="0.35">
      <c r="A583" t="s">
        <v>42</v>
      </c>
      <c r="E583">
        <v>-1.2979116173607303E-2</v>
      </c>
      <c r="F583">
        <f t="shared" si="24"/>
        <v>-1.8910760771545267E-2</v>
      </c>
      <c r="G583">
        <f t="shared" si="25"/>
        <v>-3.0875059697473214E-2</v>
      </c>
    </row>
    <row r="584" spans="1:7" x14ac:dyDescent="0.35">
      <c r="A584" t="s">
        <v>42</v>
      </c>
      <c r="E584">
        <v>1.675066859136895E-2</v>
      </c>
      <c r="F584">
        <f t="shared" si="24"/>
        <v>-1.8918419274052762E-2</v>
      </c>
      <c r="G584">
        <f t="shared" si="25"/>
        <v>-3.0875059697473214E-2</v>
      </c>
    </row>
    <row r="585" spans="1:7" x14ac:dyDescent="0.35">
      <c r="A585" t="s">
        <v>42</v>
      </c>
      <c r="E585">
        <v>-1.9044427299306468E-2</v>
      </c>
      <c r="F585">
        <f t="shared" si="24"/>
        <v>-1.8926077776560257E-2</v>
      </c>
      <c r="G585">
        <f t="shared" si="25"/>
        <v>-3.0875059697473214E-2</v>
      </c>
    </row>
    <row r="586" spans="1:7" x14ac:dyDescent="0.35">
      <c r="A586" t="s">
        <v>43</v>
      </c>
      <c r="B586" s="3" cm="1">
        <f t="array" ref="B586">_xlfn.STDEV.S(_xlfn._xlws.FILTER($E$2:$E$1000, $A$2:$A$1000="2012-05"))</f>
        <v>1.8614099251367085E-2</v>
      </c>
      <c r="C586" s="3" cm="1">
        <f t="array" ref="C586">AVERAGE(_xlfn._xlws.FILTER($E$2:$E$1000, $A$2:$A$1000="2012-05"))</f>
        <v>-6.707862084037587E-3</v>
      </c>
      <c r="D586" s="3" cm="1">
        <f t="array" ref="D586">_xlfn.PERCENTILE.EXC(_xlfn._xlws.FILTER($E$503:$E$750, $A$503:$A$750="2012-05"), 0.05)</f>
        <v>-3.3148321509557654E-2</v>
      </c>
      <c r="E586">
        <v>-2.5877524848025798E-2</v>
      </c>
      <c r="F586">
        <f t="shared" si="24"/>
        <v>-1.8818956133791288E-2</v>
      </c>
      <c r="G586">
        <f t="shared" si="25"/>
        <v>-3.0874086765577045E-2</v>
      </c>
    </row>
    <row r="587" spans="1:7" x14ac:dyDescent="0.35">
      <c r="A587" t="s">
        <v>43</v>
      </c>
      <c r="E587">
        <v>2.9231666995284192E-3</v>
      </c>
      <c r="F587">
        <f t="shared" si="24"/>
        <v>-1.8743662071712967E-2</v>
      </c>
      <c r="G587">
        <f t="shared" si="25"/>
        <v>-3.0830061505248443E-2</v>
      </c>
    </row>
    <row r="588" spans="1:7" x14ac:dyDescent="0.35">
      <c r="A588" t="s">
        <v>43</v>
      </c>
      <c r="E588">
        <v>3.511101444269628E-3</v>
      </c>
      <c r="F588">
        <f t="shared" si="24"/>
        <v>-1.8747184830436633E-2</v>
      </c>
      <c r="G588">
        <f t="shared" si="25"/>
        <v>-3.0830061505248443E-2</v>
      </c>
    </row>
    <row r="589" spans="1:7" x14ac:dyDescent="0.35">
      <c r="A589" t="s">
        <v>43</v>
      </c>
      <c r="E589">
        <v>1.885829032311305E-2</v>
      </c>
      <c r="F589">
        <f t="shared" si="24"/>
        <v>-1.8750707589160299E-2</v>
      </c>
      <c r="G589">
        <f t="shared" si="25"/>
        <v>-3.0830061505248443E-2</v>
      </c>
    </row>
    <row r="590" spans="1:7" x14ac:dyDescent="0.35">
      <c r="A590" t="s">
        <v>43</v>
      </c>
      <c r="E590">
        <v>-2.8106860487120102E-2</v>
      </c>
      <c r="F590">
        <f t="shared" si="24"/>
        <v>-1.8754230347883968E-2</v>
      </c>
      <c r="G590">
        <f t="shared" si="25"/>
        <v>-3.0830061505248443E-2</v>
      </c>
    </row>
    <row r="591" spans="1:7" x14ac:dyDescent="0.35">
      <c r="A591" t="s">
        <v>43</v>
      </c>
      <c r="E591">
        <v>3.3628984307158528E-2</v>
      </c>
      <c r="F591">
        <f t="shared" si="24"/>
        <v>-1.8704348975979893E-2</v>
      </c>
      <c r="G591">
        <f t="shared" si="25"/>
        <v>-3.0771751829928733E-2</v>
      </c>
    </row>
    <row r="592" spans="1:7" x14ac:dyDescent="0.35">
      <c r="A592" t="s">
        <v>43</v>
      </c>
      <c r="E592">
        <v>-7.1361216708551922E-3</v>
      </c>
      <c r="F592">
        <f t="shared" si="24"/>
        <v>-1.8705977174276273E-2</v>
      </c>
      <c r="G592">
        <f t="shared" si="25"/>
        <v>-3.0771751829928733E-2</v>
      </c>
    </row>
    <row r="593" spans="1:7" x14ac:dyDescent="0.35">
      <c r="A593" t="s">
        <v>43</v>
      </c>
      <c r="E593">
        <v>-2.6977369439888016E-2</v>
      </c>
      <c r="F593">
        <f t="shared" si="24"/>
        <v>-1.8707605372572648E-2</v>
      </c>
      <c r="G593">
        <f t="shared" si="25"/>
        <v>-3.0771751829928733E-2</v>
      </c>
    </row>
    <row r="594" spans="1:7" x14ac:dyDescent="0.35">
      <c r="A594" t="s">
        <v>43</v>
      </c>
      <c r="E594">
        <v>-1.6092012001556095E-2</v>
      </c>
      <c r="F594">
        <f t="shared" si="24"/>
        <v>-1.8684077441083961E-2</v>
      </c>
      <c r="G594">
        <f t="shared" si="25"/>
        <v>-3.0720255366294146E-2</v>
      </c>
    </row>
    <row r="595" spans="1:7" x14ac:dyDescent="0.35">
      <c r="A595" t="s">
        <v>43</v>
      </c>
      <c r="E595">
        <v>-1.3401441536714558E-2</v>
      </c>
      <c r="F595">
        <f t="shared" si="24"/>
        <v>-1.8684471000023257E-2</v>
      </c>
      <c r="G595">
        <f t="shared" si="25"/>
        <v>-3.0720255366294146E-2</v>
      </c>
    </row>
    <row r="596" spans="1:7" x14ac:dyDescent="0.35">
      <c r="A596" t="s">
        <v>43</v>
      </c>
      <c r="E596">
        <v>-1.11945440270025E-2</v>
      </c>
      <c r="F596">
        <f t="shared" si="24"/>
        <v>-1.8684864558962552E-2</v>
      </c>
      <c r="G596">
        <f t="shared" si="25"/>
        <v>-3.0720255366294146E-2</v>
      </c>
    </row>
    <row r="597" spans="1:7" x14ac:dyDescent="0.35">
      <c r="A597" t="s">
        <v>43</v>
      </c>
      <c r="E597">
        <v>4.3954102173433792E-3</v>
      </c>
      <c r="F597">
        <f t="shared" si="24"/>
        <v>-1.8685258117901851E-2</v>
      </c>
      <c r="G597">
        <f t="shared" si="25"/>
        <v>-3.0720255366294146E-2</v>
      </c>
    </row>
    <row r="598" spans="1:7" x14ac:dyDescent="0.35">
      <c r="A598" t="s">
        <v>43</v>
      </c>
      <c r="E598">
        <v>-6.523738446314124E-3</v>
      </c>
      <c r="F598">
        <f t="shared" si="24"/>
        <v>-1.8685651676841147E-2</v>
      </c>
      <c r="G598">
        <f t="shared" si="25"/>
        <v>-3.0720255366294146E-2</v>
      </c>
    </row>
    <row r="599" spans="1:7" x14ac:dyDescent="0.35">
      <c r="A599" t="s">
        <v>43</v>
      </c>
      <c r="E599">
        <v>2.0826975940622206E-2</v>
      </c>
      <c r="F599">
        <f t="shared" si="24"/>
        <v>-1.8686045235780442E-2</v>
      </c>
      <c r="G599">
        <f t="shared" si="25"/>
        <v>-3.0720255366294146E-2</v>
      </c>
    </row>
    <row r="600" spans="1:7" x14ac:dyDescent="0.35">
      <c r="A600" t="s">
        <v>43</v>
      </c>
      <c r="E600">
        <v>-3.3708483845384052E-2</v>
      </c>
      <c r="F600">
        <f t="shared" si="24"/>
        <v>-1.8686438794719738E-2</v>
      </c>
      <c r="G600">
        <f t="shared" si="25"/>
        <v>-3.0720255366294146E-2</v>
      </c>
    </row>
    <row r="601" spans="1:7" x14ac:dyDescent="0.35">
      <c r="A601" t="s">
        <v>43</v>
      </c>
      <c r="E601">
        <v>1.4474352694149012E-2</v>
      </c>
      <c r="F601">
        <f t="shared" si="24"/>
        <v>-1.8678961174873113E-2</v>
      </c>
      <c r="G601">
        <f t="shared" si="25"/>
        <v>-3.0701578938299834E-2</v>
      </c>
    </row>
    <row r="602" spans="1:7" x14ac:dyDescent="0.35">
      <c r="A602" t="s">
        <v>43</v>
      </c>
      <c r="E602">
        <v>1.3152463394470971E-3</v>
      </c>
      <c r="F602">
        <f t="shared" si="24"/>
        <v>-1.8679354733812409E-2</v>
      </c>
      <c r="G602">
        <f t="shared" si="25"/>
        <v>-3.0701578938299834E-2</v>
      </c>
    </row>
    <row r="603" spans="1:7" x14ac:dyDescent="0.35">
      <c r="A603" t="s">
        <v>43</v>
      </c>
      <c r="E603">
        <v>-2.191030309790357E-2</v>
      </c>
      <c r="F603">
        <f t="shared" si="24"/>
        <v>-1.8679748292751704E-2</v>
      </c>
      <c r="G603">
        <f t="shared" si="25"/>
        <v>-3.0701578938299834E-2</v>
      </c>
    </row>
    <row r="604" spans="1:7" x14ac:dyDescent="0.35">
      <c r="A604" t="s">
        <v>43</v>
      </c>
      <c r="E604">
        <v>-2.3632046026681532E-2</v>
      </c>
      <c r="F604">
        <f t="shared" si="24"/>
        <v>-1.8634714147439876E-2</v>
      </c>
      <c r="G604">
        <f t="shared" si="25"/>
        <v>-3.0681380591537522E-2</v>
      </c>
    </row>
    <row r="605" spans="1:7" x14ac:dyDescent="0.35">
      <c r="A605" t="s">
        <v>43</v>
      </c>
      <c r="E605">
        <v>-2.6139665753150861E-2</v>
      </c>
      <c r="F605">
        <f t="shared" si="24"/>
        <v>-1.8613851191588062E-2</v>
      </c>
      <c r="G605">
        <f t="shared" si="25"/>
        <v>-3.0650078746247738E-2</v>
      </c>
    </row>
    <row r="606" spans="1:7" x14ac:dyDescent="0.35">
      <c r="A606" t="s">
        <v>43</v>
      </c>
      <c r="E606">
        <v>-9.8520549824272644E-5</v>
      </c>
      <c r="F606">
        <f t="shared" si="24"/>
        <v>-1.8608963103340675E-2</v>
      </c>
      <c r="G606">
        <f t="shared" si="25"/>
        <v>-3.0603021781094787E-2</v>
      </c>
    </row>
    <row r="607" spans="1:7" x14ac:dyDescent="0.35">
      <c r="A607" t="s">
        <v>44</v>
      </c>
      <c r="B607" s="3" cm="1">
        <f t="array" ref="B607">_xlfn.STDEV.S(_xlfn._xlws.FILTER($E$2:$E$1000, $A$2:$A$1000="2012-06"))</f>
        <v>2.3461545374109473E-2</v>
      </c>
      <c r="C607" s="3" cm="1">
        <f t="array" ref="C607">AVERAGE(_xlfn._xlws.FILTER($E$2:$E$1000, $A$2:$A$1000="2012-06"))</f>
        <v>8.0941765655644302E-3</v>
      </c>
      <c r="D607" s="3" cm="1">
        <f t="array" ref="D607">_xlfn.PERCENTILE.EXC(_xlfn._xlws.FILTER($E$503:$E$750, $A$503:$A$750="2012-06"), 0.05)</f>
        <v>-3.7381299503334804E-2</v>
      </c>
      <c r="E607">
        <v>-4.0806980640279555E-3</v>
      </c>
      <c r="F607">
        <f t="shared" si="24"/>
        <v>-1.8609076548007673E-2</v>
      </c>
      <c r="G607">
        <f t="shared" si="25"/>
        <v>-3.0603021781094787E-2</v>
      </c>
    </row>
    <row r="608" spans="1:7" x14ac:dyDescent="0.35">
      <c r="A608" t="s">
        <v>44</v>
      </c>
      <c r="E608">
        <v>5.6712221061693477E-2</v>
      </c>
      <c r="F608">
        <f t="shared" si="24"/>
        <v>-1.8609189992674666E-2</v>
      </c>
      <c r="G608">
        <f t="shared" si="25"/>
        <v>-3.0603021781094787E-2</v>
      </c>
    </row>
    <row r="609" spans="1:7" x14ac:dyDescent="0.35">
      <c r="A609" t="s">
        <v>44</v>
      </c>
      <c r="E609">
        <v>2.9867020724308915E-3</v>
      </c>
      <c r="F609">
        <f t="shared" si="24"/>
        <v>-1.8609303437341664E-2</v>
      </c>
      <c r="G609">
        <f t="shared" si="25"/>
        <v>-3.0603021781094787E-2</v>
      </c>
    </row>
    <row r="610" spans="1:7" x14ac:dyDescent="0.35">
      <c r="A610" t="s">
        <v>44</v>
      </c>
      <c r="E610">
        <v>1.7536881020630547E-2</v>
      </c>
      <c r="F610">
        <f t="shared" si="24"/>
        <v>-1.8609416882008657E-2</v>
      </c>
      <c r="G610">
        <f t="shared" si="25"/>
        <v>-3.0603021781094787E-2</v>
      </c>
    </row>
    <row r="611" spans="1:7" x14ac:dyDescent="0.35">
      <c r="A611" t="s">
        <v>44</v>
      </c>
      <c r="E611">
        <v>-5.4482703408911832E-3</v>
      </c>
      <c r="F611">
        <f t="shared" si="24"/>
        <v>-1.8609530326675654E-2</v>
      </c>
      <c r="G611">
        <f t="shared" si="25"/>
        <v>-3.0603021781094787E-2</v>
      </c>
    </row>
    <row r="612" spans="1:7" x14ac:dyDescent="0.35">
      <c r="A612" t="s">
        <v>44</v>
      </c>
      <c r="E612">
        <v>9.3566181886938296E-4</v>
      </c>
      <c r="F612">
        <f t="shared" si="24"/>
        <v>-1.8609643771342652E-2</v>
      </c>
      <c r="G612">
        <f t="shared" si="25"/>
        <v>-3.0603021781094787E-2</v>
      </c>
    </row>
    <row r="613" spans="1:7" x14ac:dyDescent="0.35">
      <c r="A613" t="s">
        <v>44</v>
      </c>
      <c r="E613">
        <v>1.4127409983748406E-2</v>
      </c>
      <c r="F613">
        <f t="shared" si="24"/>
        <v>-1.8609757216009645E-2</v>
      </c>
      <c r="G613">
        <f t="shared" si="25"/>
        <v>-3.0603021781094787E-2</v>
      </c>
    </row>
    <row r="614" spans="1:7" x14ac:dyDescent="0.35">
      <c r="A614" t="s">
        <v>44</v>
      </c>
      <c r="E614">
        <v>1.2125185174679179E-2</v>
      </c>
      <c r="F614">
        <f t="shared" si="24"/>
        <v>-1.8609870660676642E-2</v>
      </c>
      <c r="G614">
        <f t="shared" si="25"/>
        <v>-3.0603021781094787E-2</v>
      </c>
    </row>
    <row r="615" spans="1:7" x14ac:dyDescent="0.35">
      <c r="A615" t="s">
        <v>44</v>
      </c>
      <c r="E615">
        <v>3.4290007508388015E-3</v>
      </c>
      <c r="F615">
        <f t="shared" si="24"/>
        <v>-1.860998410534364E-2</v>
      </c>
      <c r="G615">
        <f t="shared" si="25"/>
        <v>-3.0603021781094787E-2</v>
      </c>
    </row>
    <row r="616" spans="1:7" x14ac:dyDescent="0.35">
      <c r="A616" t="s">
        <v>44</v>
      </c>
      <c r="E616">
        <v>-3.0080295540383727E-2</v>
      </c>
      <c r="F616">
        <f t="shared" si="24"/>
        <v>-1.8610097550010633E-2</v>
      </c>
      <c r="G616">
        <f t="shared" si="25"/>
        <v>-3.0603021781094787E-2</v>
      </c>
    </row>
    <row r="617" spans="1:7" x14ac:dyDescent="0.35">
      <c r="A617" t="s">
        <v>44</v>
      </c>
      <c r="E617">
        <v>2.6337625528800902E-2</v>
      </c>
      <c r="F617">
        <f t="shared" si="24"/>
        <v>-1.8605098942975819E-2</v>
      </c>
      <c r="G617">
        <f t="shared" si="25"/>
        <v>-3.0531321699188256E-2</v>
      </c>
    </row>
    <row r="618" spans="1:7" x14ac:dyDescent="0.35">
      <c r="A618" t="s">
        <v>44</v>
      </c>
      <c r="E618">
        <v>1.5152254312961154E-2</v>
      </c>
      <c r="F618">
        <f t="shared" si="24"/>
        <v>-1.8606160107096779E-2</v>
      </c>
      <c r="G618">
        <f t="shared" si="25"/>
        <v>-3.0531321699188256E-2</v>
      </c>
    </row>
    <row r="619" spans="1:7" x14ac:dyDescent="0.35">
      <c r="A619" t="s">
        <v>44</v>
      </c>
      <c r="E619">
        <v>-3.3309782007373877E-3</v>
      </c>
      <c r="F619">
        <f t="shared" si="24"/>
        <v>-1.8607221271217739E-2</v>
      </c>
      <c r="G619">
        <f t="shared" si="25"/>
        <v>-3.0531321699188256E-2</v>
      </c>
    </row>
    <row r="620" spans="1:7" x14ac:dyDescent="0.35">
      <c r="A620" t="s">
        <v>44</v>
      </c>
      <c r="E620">
        <v>1.5062776547639309E-2</v>
      </c>
      <c r="F620">
        <f t="shared" si="24"/>
        <v>-1.8608282435338699E-2</v>
      </c>
      <c r="G620">
        <f t="shared" si="25"/>
        <v>-3.0531321699188256E-2</v>
      </c>
    </row>
    <row r="621" spans="1:7" x14ac:dyDescent="0.35">
      <c r="A621" t="s">
        <v>44</v>
      </c>
      <c r="E621">
        <v>-3.7381299503334804E-2</v>
      </c>
      <c r="F621">
        <f t="shared" si="24"/>
        <v>-1.8608395880005697E-2</v>
      </c>
      <c r="G621">
        <f t="shared" si="25"/>
        <v>-3.0606309367514361E-2</v>
      </c>
    </row>
    <row r="622" spans="1:7" x14ac:dyDescent="0.35">
      <c r="A622" t="s">
        <v>44</v>
      </c>
      <c r="E622">
        <v>-1.4537526788554887E-2</v>
      </c>
      <c r="F622">
        <f t="shared" si="24"/>
        <v>-1.858918148116143E-2</v>
      </c>
      <c r="G622">
        <f t="shared" si="25"/>
        <v>-3.0488240077778537E-2</v>
      </c>
    </row>
    <row r="623" spans="1:7" x14ac:dyDescent="0.35">
      <c r="A623" t="s">
        <v>44</v>
      </c>
      <c r="E623">
        <v>2.0993093978991923E-2</v>
      </c>
      <c r="F623">
        <f t="shared" si="24"/>
        <v>-1.8590242645282386E-2</v>
      </c>
      <c r="G623">
        <f t="shared" si="25"/>
        <v>-3.0488240077778537E-2</v>
      </c>
    </row>
    <row r="624" spans="1:7" x14ac:dyDescent="0.35">
      <c r="A624" t="s">
        <v>44</v>
      </c>
      <c r="E624">
        <v>8.1861144590578225E-3</v>
      </c>
      <c r="F624">
        <f t="shared" si="24"/>
        <v>-1.8591303809403346E-2</v>
      </c>
      <c r="G624">
        <f t="shared" si="25"/>
        <v>-3.0488240077778537E-2</v>
      </c>
    </row>
    <row r="625" spans="1:7" x14ac:dyDescent="0.35">
      <c r="A625" t="s">
        <v>44</v>
      </c>
      <c r="E625">
        <v>5.506349647331233E-2</v>
      </c>
      <c r="F625">
        <f t="shared" si="24"/>
        <v>-1.8592364973524306E-2</v>
      </c>
      <c r="G625">
        <f t="shared" si="25"/>
        <v>-3.0488240077778537E-2</v>
      </c>
    </row>
    <row r="626" spans="1:7" x14ac:dyDescent="0.35">
      <c r="A626" t="s">
        <v>45</v>
      </c>
      <c r="B626" s="3" cm="1">
        <f t="array" ref="B626">_xlfn.STDEV.S(_xlfn._xlws.FILTER($E$2:$E$1000, $A$2:$A$1000="2012-07"))</f>
        <v>2.6125850137888366E-2</v>
      </c>
      <c r="C626" s="3" cm="1">
        <f t="array" ref="C626">AVERAGE(_xlfn._xlws.FILTER($E$2:$E$1000, $A$2:$A$1000="2012-07"))</f>
        <v>-2.3921185969256924E-3</v>
      </c>
      <c r="D626" s="3" cm="1">
        <f t="array" ref="D626">_xlfn.PERCENTILE.EXC(_xlfn._xlws.FILTER($E$503:$E$750, $A$503:$A$750="2012-07"), 0.05)</f>
        <v>-5.6473654585394523E-2</v>
      </c>
      <c r="E626">
        <v>3.0647702216493643E-3</v>
      </c>
      <c r="F626">
        <f t="shared" si="24"/>
        <v>-1.8593426137645266E-2</v>
      </c>
      <c r="G626">
        <f t="shared" si="25"/>
        <v>-3.0488240077778537E-2</v>
      </c>
    </row>
    <row r="627" spans="1:7" x14ac:dyDescent="0.35">
      <c r="A627" t="s">
        <v>45</v>
      </c>
      <c r="E627">
        <v>1.3316333001721544E-2</v>
      </c>
      <c r="F627">
        <f t="shared" si="24"/>
        <v>-1.8594487301766226E-2</v>
      </c>
      <c r="G627">
        <f t="shared" si="25"/>
        <v>-3.0488240077778537E-2</v>
      </c>
    </row>
    <row r="628" spans="1:7" x14ac:dyDescent="0.35">
      <c r="A628" t="s">
        <v>45</v>
      </c>
      <c r="E628">
        <v>-7.0892707249511746E-3</v>
      </c>
      <c r="F628">
        <f t="shared" si="24"/>
        <v>-1.8595548465887186E-2</v>
      </c>
      <c r="G628">
        <f t="shared" si="25"/>
        <v>-3.0488240077778537E-2</v>
      </c>
    </row>
    <row r="629" spans="1:7" x14ac:dyDescent="0.35">
      <c r="A629" t="s">
        <v>45</v>
      </c>
      <c r="E629">
        <v>-3.0350634106434678E-2</v>
      </c>
      <c r="F629">
        <f t="shared" si="24"/>
        <v>-1.8596609630008146E-2</v>
      </c>
      <c r="G629">
        <f t="shared" si="25"/>
        <v>-3.0488240077778537E-2</v>
      </c>
    </row>
    <row r="630" spans="1:7" x14ac:dyDescent="0.35">
      <c r="A630" t="s">
        <v>45</v>
      </c>
      <c r="E630">
        <v>-3.1449086740653782E-2</v>
      </c>
      <c r="F630">
        <f t="shared" si="24"/>
        <v>-1.8585657610868889E-2</v>
      </c>
      <c r="G630">
        <f t="shared" si="25"/>
        <v>-3.041425532964322E-2</v>
      </c>
    </row>
    <row r="631" spans="1:7" x14ac:dyDescent="0.35">
      <c r="A631" t="s">
        <v>45</v>
      </c>
      <c r="E631">
        <v>-7.5369756213872503E-3</v>
      </c>
      <c r="F631">
        <f t="shared" si="24"/>
        <v>-1.85469463159392E-2</v>
      </c>
      <c r="G631">
        <f t="shared" si="25"/>
        <v>-3.0333344444914697E-2</v>
      </c>
    </row>
    <row r="632" spans="1:7" x14ac:dyDescent="0.35">
      <c r="A632" t="s">
        <v>45</v>
      </c>
      <c r="E632">
        <v>5.7546822297478584E-3</v>
      </c>
      <c r="F632">
        <f t="shared" si="24"/>
        <v>-1.8551091844036874E-2</v>
      </c>
      <c r="G632">
        <f t="shared" si="25"/>
        <v>-3.0333344444914697E-2</v>
      </c>
    </row>
    <row r="633" spans="1:7" x14ac:dyDescent="0.35">
      <c r="A633" t="s">
        <v>45</v>
      </c>
      <c r="E633">
        <v>1.1675469587300901E-2</v>
      </c>
      <c r="F633">
        <f t="shared" si="24"/>
        <v>-1.8555237372134548E-2</v>
      </c>
      <c r="G633">
        <f t="shared" si="25"/>
        <v>-3.0333344444914697E-2</v>
      </c>
    </row>
    <row r="634" spans="1:7" x14ac:dyDescent="0.35">
      <c r="A634" t="s">
        <v>45</v>
      </c>
      <c r="E634">
        <v>-2.6169996012474498E-2</v>
      </c>
      <c r="F634">
        <f t="shared" si="24"/>
        <v>-1.8559382900232221E-2</v>
      </c>
      <c r="G634">
        <f t="shared" si="25"/>
        <v>-3.0333344444914697E-2</v>
      </c>
    </row>
    <row r="635" spans="1:7" x14ac:dyDescent="0.35">
      <c r="A635" t="s">
        <v>45</v>
      </c>
      <c r="E635">
        <v>5.1900497856646388E-3</v>
      </c>
      <c r="F635">
        <f t="shared" si="24"/>
        <v>-1.8501038667112536E-2</v>
      </c>
      <c r="G635">
        <f t="shared" si="25"/>
        <v>-3.0285113938590107E-2</v>
      </c>
    </row>
    <row r="636" spans="1:7" x14ac:dyDescent="0.35">
      <c r="A636" t="s">
        <v>45</v>
      </c>
      <c r="E636">
        <v>-2.0081452588130214E-2</v>
      </c>
      <c r="F636">
        <f t="shared" si="24"/>
        <v>-1.8501100035062987E-2</v>
      </c>
      <c r="G636">
        <f t="shared" si="25"/>
        <v>-3.0285113938590107E-2</v>
      </c>
    </row>
    <row r="637" spans="1:7" x14ac:dyDescent="0.35">
      <c r="A637" t="s">
        <v>45</v>
      </c>
      <c r="E637">
        <v>3.9876908223860042E-3</v>
      </c>
      <c r="F637">
        <f t="shared" si="24"/>
        <v>-1.8497498788284647E-2</v>
      </c>
      <c r="G637">
        <f t="shared" si="25"/>
        <v>-3.027516843896574E-2</v>
      </c>
    </row>
    <row r="638" spans="1:7" x14ac:dyDescent="0.35">
      <c r="A638" t="s">
        <v>45</v>
      </c>
      <c r="E638">
        <v>5.019250959038545E-3</v>
      </c>
      <c r="F638">
        <f t="shared" si="24"/>
        <v>-1.8498371908141686E-2</v>
      </c>
      <c r="G638">
        <f t="shared" si="25"/>
        <v>-3.027516843896574E-2</v>
      </c>
    </row>
    <row r="639" spans="1:7" x14ac:dyDescent="0.35">
      <c r="A639" t="s">
        <v>45</v>
      </c>
      <c r="E639">
        <v>6.261458167867595E-3</v>
      </c>
      <c r="F639">
        <f t="shared" si="24"/>
        <v>-1.8499245027998729E-2</v>
      </c>
      <c r="G639">
        <f t="shared" si="25"/>
        <v>-3.027516843896574E-2</v>
      </c>
    </row>
    <row r="640" spans="1:7" x14ac:dyDescent="0.35">
      <c r="A640" t="s">
        <v>45</v>
      </c>
      <c r="E640">
        <v>-6.0007595739989587E-2</v>
      </c>
      <c r="F640">
        <f t="shared" si="24"/>
        <v>-1.8500118147855769E-2</v>
      </c>
      <c r="G640">
        <f t="shared" si="25"/>
        <v>-3.027516843896574E-2</v>
      </c>
    </row>
    <row r="641" spans="1:7" x14ac:dyDescent="0.35">
      <c r="A641" t="s">
        <v>45</v>
      </c>
      <c r="E641">
        <v>-1.1091817475744061E-2</v>
      </c>
      <c r="F641">
        <f t="shared" si="24"/>
        <v>-1.8483528870572006E-2</v>
      </c>
      <c r="G641">
        <f t="shared" si="25"/>
        <v>-3.0086988519339008E-2</v>
      </c>
    </row>
    <row r="642" spans="1:7" x14ac:dyDescent="0.35">
      <c r="A642" t="s">
        <v>45</v>
      </c>
      <c r="E642">
        <v>-3.6447988042689165E-2</v>
      </c>
      <c r="F642">
        <f t="shared" si="24"/>
        <v>-1.8484401990429045E-2</v>
      </c>
      <c r="G642">
        <f t="shared" si="25"/>
        <v>-3.0086988519339008E-2</v>
      </c>
    </row>
    <row r="643" spans="1:7" x14ac:dyDescent="0.35">
      <c r="A643" t="s">
        <v>45</v>
      </c>
      <c r="E643">
        <v>8.1263196752574107E-3</v>
      </c>
      <c r="F643">
        <f t="shared" si="24"/>
        <v>-1.843647588820771E-2</v>
      </c>
      <c r="G643">
        <f t="shared" si="25"/>
        <v>-2.997328388457968E-2</v>
      </c>
    </row>
    <row r="644" spans="1:7" x14ac:dyDescent="0.35">
      <c r="A644" t="s">
        <v>45</v>
      </c>
      <c r="E644">
        <v>5.8835266188286099E-2</v>
      </c>
      <c r="F644">
        <f t="shared" ref="F644:F707" si="26">_xlfn.PERCENTILE.EXC(E644:E4459,0.05)</f>
        <v>-1.8439192350708136E-2</v>
      </c>
      <c r="G644">
        <f t="shared" ref="G644:G707" si="27">AVERAGEIFS(E644:E4460,E644:E4460,"&lt;=" &amp; F644)</f>
        <v>-2.997328388457968E-2</v>
      </c>
    </row>
    <row r="645" spans="1:7" x14ac:dyDescent="0.35">
      <c r="A645" t="s">
        <v>45</v>
      </c>
      <c r="E645">
        <v>3.8321697659632253E-2</v>
      </c>
      <c r="F645">
        <f t="shared" si="26"/>
        <v>-1.8441908813208563E-2</v>
      </c>
      <c r="G645">
        <f t="shared" si="27"/>
        <v>-2.997328388457968E-2</v>
      </c>
    </row>
    <row r="646" spans="1:7" x14ac:dyDescent="0.35">
      <c r="A646" t="s">
        <v>45</v>
      </c>
      <c r="E646">
        <v>2.7454516584129656E-2</v>
      </c>
      <c r="F646">
        <f t="shared" si="26"/>
        <v>-1.844462527570899E-2</v>
      </c>
      <c r="G646">
        <f t="shared" si="27"/>
        <v>-2.997328388457968E-2</v>
      </c>
    </row>
    <row r="647" spans="1:7" x14ac:dyDescent="0.35">
      <c r="A647" t="s">
        <v>45</v>
      </c>
      <c r="E647">
        <v>-9.4092969625926819E-3</v>
      </c>
      <c r="F647">
        <f t="shared" si="26"/>
        <v>-1.8447341738209416E-2</v>
      </c>
      <c r="G647">
        <f t="shared" si="27"/>
        <v>-2.997328388457968E-2</v>
      </c>
    </row>
    <row r="648" spans="1:7" x14ac:dyDescent="0.35">
      <c r="A648" t="s">
        <v>46</v>
      </c>
      <c r="B648" s="3" cm="1">
        <f t="array" ref="B648">_xlfn.STDEV.S(_xlfn._xlws.FILTER($E$2:$E$1000, $A$2:$A$1000="2012-08"))</f>
        <v>2.5134417460151198E-2</v>
      </c>
      <c r="C648" s="3" cm="1">
        <f t="array" ref="C648">AVERAGE(_xlfn._xlws.FILTER($E$2:$E$1000, $A$2:$A$1000="2012-08"))</f>
        <v>4.5937359181111902E-3</v>
      </c>
      <c r="D648" s="3" cm="1">
        <f t="array" ref="D648">_xlfn.PERCENTILE.EXC(_xlfn._xlws.FILTER($E$503:$E$750, $A$503:$A$750="2012-08"), 0.05)</f>
        <v>-5.0398029349712943E-2</v>
      </c>
      <c r="E648">
        <v>-2.6898315383423765E-3</v>
      </c>
      <c r="F648">
        <f t="shared" si="26"/>
        <v>-1.8450058200709843E-2</v>
      </c>
      <c r="G648">
        <f t="shared" si="27"/>
        <v>-2.997328388457968E-2</v>
      </c>
    </row>
    <row r="649" spans="1:7" x14ac:dyDescent="0.35">
      <c r="A649" t="s">
        <v>46</v>
      </c>
      <c r="E649">
        <v>-5.2955075383574662E-2</v>
      </c>
      <c r="F649">
        <f t="shared" si="26"/>
        <v>-1.845277466321027E-2</v>
      </c>
      <c r="G649">
        <f t="shared" si="27"/>
        <v>-2.997328388457968E-2</v>
      </c>
    </row>
    <row r="650" spans="1:7" x14ac:dyDescent="0.35">
      <c r="A650" t="s">
        <v>46</v>
      </c>
      <c r="E650">
        <v>5.8253513834783083E-2</v>
      </c>
      <c r="F650">
        <f t="shared" si="26"/>
        <v>-1.8403859830980657E-2</v>
      </c>
      <c r="G650">
        <f t="shared" si="27"/>
        <v>-2.9754760157472925E-2</v>
      </c>
    </row>
    <row r="651" spans="1:7" x14ac:dyDescent="0.35">
      <c r="A651" t="s">
        <v>46</v>
      </c>
      <c r="E651">
        <v>4.3151531804413737E-2</v>
      </c>
      <c r="F651">
        <f t="shared" si="26"/>
        <v>-1.8406306497953235E-2</v>
      </c>
      <c r="G651">
        <f t="shared" si="27"/>
        <v>-2.9754760157472925E-2</v>
      </c>
    </row>
    <row r="652" spans="1:7" x14ac:dyDescent="0.35">
      <c r="A652" t="s">
        <v>46</v>
      </c>
      <c r="E652">
        <v>2.2083380749908246E-2</v>
      </c>
      <c r="F652">
        <f t="shared" si="26"/>
        <v>-1.8408753164925813E-2</v>
      </c>
      <c r="G652">
        <f t="shared" si="27"/>
        <v>-2.9754760157472925E-2</v>
      </c>
    </row>
    <row r="653" spans="1:7" x14ac:dyDescent="0.35">
      <c r="A653" t="s">
        <v>46</v>
      </c>
      <c r="E653">
        <v>-8.4811771979102103E-3</v>
      </c>
      <c r="F653">
        <f t="shared" si="26"/>
        <v>-1.8411199831898387E-2</v>
      </c>
      <c r="G653">
        <f t="shared" si="27"/>
        <v>-2.9754760157472925E-2</v>
      </c>
    </row>
    <row r="654" spans="1:7" x14ac:dyDescent="0.35">
      <c r="A654" t="s">
        <v>46</v>
      </c>
      <c r="E654">
        <v>-5.6099555279349638E-3</v>
      </c>
      <c r="F654">
        <f t="shared" si="26"/>
        <v>-1.8413646498870964E-2</v>
      </c>
      <c r="G654">
        <f t="shared" si="27"/>
        <v>-2.9754760157472925E-2</v>
      </c>
    </row>
    <row r="655" spans="1:7" x14ac:dyDescent="0.35">
      <c r="A655" t="s">
        <v>46</v>
      </c>
      <c r="E655">
        <v>-8.8290503535341236E-3</v>
      </c>
      <c r="F655">
        <f t="shared" si="26"/>
        <v>-1.8416093165843542E-2</v>
      </c>
      <c r="G655">
        <f t="shared" si="27"/>
        <v>-2.9754760157472925E-2</v>
      </c>
    </row>
    <row r="656" spans="1:7" x14ac:dyDescent="0.35">
      <c r="A656" t="s">
        <v>46</v>
      </c>
      <c r="E656">
        <v>3.1025787604482442E-3</v>
      </c>
      <c r="F656">
        <f t="shared" si="26"/>
        <v>-1.8418539832816119E-2</v>
      </c>
      <c r="G656">
        <f t="shared" si="27"/>
        <v>-2.9754760157472925E-2</v>
      </c>
    </row>
    <row r="657" spans="1:7" x14ac:dyDescent="0.35">
      <c r="A657" t="s">
        <v>46</v>
      </c>
      <c r="E657">
        <v>7.7777543636431646E-3</v>
      </c>
      <c r="F657">
        <f t="shared" si="26"/>
        <v>-1.8420986499788697E-2</v>
      </c>
      <c r="G657">
        <f t="shared" si="27"/>
        <v>-2.9754760157472925E-2</v>
      </c>
    </row>
    <row r="658" spans="1:7" x14ac:dyDescent="0.35">
      <c r="A658" t="s">
        <v>46</v>
      </c>
      <c r="E658">
        <v>4.0233453971468949E-2</v>
      </c>
      <c r="F658">
        <f t="shared" si="26"/>
        <v>-1.8423433166761274E-2</v>
      </c>
      <c r="G658">
        <f t="shared" si="27"/>
        <v>-2.9754760157472925E-2</v>
      </c>
    </row>
    <row r="659" spans="1:7" x14ac:dyDescent="0.35">
      <c r="A659" t="s">
        <v>46</v>
      </c>
      <c r="E659">
        <v>1.918834701936302E-2</v>
      </c>
      <c r="F659">
        <f t="shared" si="26"/>
        <v>-1.8425879833733852E-2</v>
      </c>
      <c r="G659">
        <f t="shared" si="27"/>
        <v>-2.9754760157472925E-2</v>
      </c>
    </row>
    <row r="660" spans="1:7" x14ac:dyDescent="0.35">
      <c r="A660" t="s">
        <v>46</v>
      </c>
      <c r="E660">
        <v>-1.2162006388553654E-2</v>
      </c>
      <c r="F660">
        <f t="shared" si="26"/>
        <v>-1.842832650070643E-2</v>
      </c>
      <c r="G660">
        <f t="shared" si="27"/>
        <v>-2.9754760157472925E-2</v>
      </c>
    </row>
    <row r="661" spans="1:7" x14ac:dyDescent="0.35">
      <c r="A661" t="s">
        <v>46</v>
      </c>
      <c r="E661">
        <v>9.9773707839898376E-3</v>
      </c>
      <c r="F661">
        <f t="shared" si="26"/>
        <v>-1.8431042963206856E-2</v>
      </c>
      <c r="G661">
        <f t="shared" si="27"/>
        <v>-2.9826903047006467E-2</v>
      </c>
    </row>
    <row r="662" spans="1:7" x14ac:dyDescent="0.35">
      <c r="A662" t="s">
        <v>46</v>
      </c>
      <c r="E662">
        <v>-2.7384615044957466E-2</v>
      </c>
      <c r="F662">
        <f t="shared" si="26"/>
        <v>-1.8433759425707283E-2</v>
      </c>
      <c r="G662">
        <f t="shared" si="27"/>
        <v>-2.9826903047006467E-2</v>
      </c>
    </row>
    <row r="663" spans="1:7" x14ac:dyDescent="0.35">
      <c r="A663" t="s">
        <v>46</v>
      </c>
      <c r="E663">
        <v>-7.9050713906189049E-3</v>
      </c>
      <c r="F663">
        <f t="shared" si="26"/>
        <v>-1.8386733162172614E-2</v>
      </c>
      <c r="G663">
        <f t="shared" si="27"/>
        <v>-2.9769856623157735E-2</v>
      </c>
    </row>
    <row r="664" spans="1:7" x14ac:dyDescent="0.35">
      <c r="A664" t="s">
        <v>46</v>
      </c>
      <c r="E664">
        <v>3.7551780552726923E-3</v>
      </c>
      <c r="F664">
        <f t="shared" si="26"/>
        <v>-1.8389179829145192E-2</v>
      </c>
      <c r="G664">
        <f t="shared" si="27"/>
        <v>-2.9769856623157735E-2</v>
      </c>
    </row>
    <row r="665" spans="1:7" x14ac:dyDescent="0.35">
      <c r="A665" t="s">
        <v>46</v>
      </c>
      <c r="E665">
        <v>3.1685791134074127E-3</v>
      </c>
      <c r="F665">
        <f t="shared" si="26"/>
        <v>-1.8391626496117773E-2</v>
      </c>
      <c r="G665">
        <f t="shared" si="27"/>
        <v>-2.9769856623157735E-2</v>
      </c>
    </row>
    <row r="666" spans="1:7" x14ac:dyDescent="0.35">
      <c r="A666" t="s">
        <v>46</v>
      </c>
      <c r="E666">
        <v>-3.756963331582157E-3</v>
      </c>
      <c r="F666">
        <f t="shared" si="26"/>
        <v>-1.8394073163090347E-2</v>
      </c>
      <c r="G666">
        <f t="shared" si="27"/>
        <v>-2.9769856623157735E-2</v>
      </c>
    </row>
    <row r="667" spans="1:7" x14ac:dyDescent="0.35">
      <c r="A667" t="s">
        <v>46</v>
      </c>
      <c r="E667">
        <v>-1.5309588033759565E-2</v>
      </c>
      <c r="F667">
        <f t="shared" si="26"/>
        <v>-1.8396519830062925E-2</v>
      </c>
      <c r="G667">
        <f t="shared" si="27"/>
        <v>-2.9769856623157735E-2</v>
      </c>
    </row>
    <row r="668" spans="1:7" x14ac:dyDescent="0.35">
      <c r="A668" t="s">
        <v>46</v>
      </c>
      <c r="E668">
        <v>3.0860100014404687E-2</v>
      </c>
      <c r="F668">
        <f t="shared" si="26"/>
        <v>-1.8398966497035502E-2</v>
      </c>
      <c r="G668">
        <f t="shared" si="27"/>
        <v>-2.9769856623157735E-2</v>
      </c>
    </row>
    <row r="669" spans="1:7" x14ac:dyDescent="0.35">
      <c r="A669" t="s">
        <v>47</v>
      </c>
      <c r="B669" s="3" cm="1">
        <f t="array" ref="B669">_xlfn.STDEV.S(_xlfn._xlws.FILTER($E$2:$E$1000, $A$2:$A$1000="2012-09"))</f>
        <v>1.8029808537090967E-2</v>
      </c>
      <c r="C669" s="3" cm="1">
        <f t="array" ref="C669">AVERAGE(_xlfn._xlws.FILTER($E$2:$E$1000, $A$2:$A$1000="2012-09"))</f>
        <v>1.9038587882260366E-3</v>
      </c>
      <c r="D669" s="3" cm="1">
        <f t="array" ref="D669">_xlfn.PERCENTILE.EXC(_xlfn._xlws.FILTER($E$503:$E$750, $A$503:$A$750="2012-09"), 0.05)</f>
        <v>-3.8866917966943498E-2</v>
      </c>
      <c r="E669">
        <v>1.8445345761679657E-3</v>
      </c>
      <c r="F669">
        <f t="shared" si="26"/>
        <v>-1.840141316400808E-2</v>
      </c>
      <c r="G669">
        <f t="shared" si="27"/>
        <v>-2.9769856623157735E-2</v>
      </c>
    </row>
    <row r="670" spans="1:7" x14ac:dyDescent="0.35">
      <c r="A670" t="s">
        <v>47</v>
      </c>
      <c r="E670">
        <v>7.2374732904066106E-3</v>
      </c>
      <c r="F670">
        <f t="shared" si="26"/>
        <v>-1.8403859830980657E-2</v>
      </c>
      <c r="G670">
        <f t="shared" si="27"/>
        <v>-2.9769856623157735E-2</v>
      </c>
    </row>
    <row r="671" spans="1:7" x14ac:dyDescent="0.35">
      <c r="A671" t="s">
        <v>47</v>
      </c>
      <c r="E671">
        <v>7.7425215118510427E-4</v>
      </c>
      <c r="F671">
        <f t="shared" si="26"/>
        <v>-1.8406306497953235E-2</v>
      </c>
      <c r="G671">
        <f t="shared" si="27"/>
        <v>-2.9769856623157735E-2</v>
      </c>
    </row>
    <row r="672" spans="1:7" x14ac:dyDescent="0.35">
      <c r="A672" t="s">
        <v>47</v>
      </c>
      <c r="E672">
        <v>4.7938326628172975E-2</v>
      </c>
      <c r="F672">
        <f t="shared" si="26"/>
        <v>-1.8408753164925813E-2</v>
      </c>
      <c r="G672">
        <f t="shared" si="27"/>
        <v>-2.9769856623157735E-2</v>
      </c>
    </row>
    <row r="673" spans="1:7" x14ac:dyDescent="0.35">
      <c r="A673" t="s">
        <v>47</v>
      </c>
      <c r="E673">
        <v>2.6421437046219285E-3</v>
      </c>
      <c r="F673">
        <f t="shared" si="26"/>
        <v>-1.8411199831898387E-2</v>
      </c>
      <c r="G673">
        <f t="shared" si="27"/>
        <v>-2.9769856623157735E-2</v>
      </c>
    </row>
    <row r="674" spans="1:7" x14ac:dyDescent="0.35">
      <c r="A674" t="s">
        <v>47</v>
      </c>
      <c r="E674">
        <v>-3.1892279501546509E-3</v>
      </c>
      <c r="F674">
        <f t="shared" si="26"/>
        <v>-1.8413646498870964E-2</v>
      </c>
      <c r="G674">
        <f t="shared" si="27"/>
        <v>-2.9769856623157735E-2</v>
      </c>
    </row>
    <row r="675" spans="1:7" x14ac:dyDescent="0.35">
      <c r="A675" t="s">
        <v>47</v>
      </c>
      <c r="E675">
        <v>9.2095329824147462E-3</v>
      </c>
      <c r="F675">
        <f t="shared" si="26"/>
        <v>-1.8416093165843542E-2</v>
      </c>
      <c r="G675">
        <f t="shared" si="27"/>
        <v>-2.9769856623157735E-2</v>
      </c>
    </row>
    <row r="676" spans="1:7" x14ac:dyDescent="0.35">
      <c r="A676" t="s">
        <v>47</v>
      </c>
      <c r="E676">
        <v>7.7500780439334659E-3</v>
      </c>
      <c r="F676">
        <f t="shared" si="26"/>
        <v>-1.8418539832816119E-2</v>
      </c>
      <c r="G676">
        <f t="shared" si="27"/>
        <v>-2.9769856623157735E-2</v>
      </c>
    </row>
    <row r="677" spans="1:7" x14ac:dyDescent="0.35">
      <c r="A677" t="s">
        <v>47</v>
      </c>
      <c r="E677">
        <v>-7.0567846837549398E-3</v>
      </c>
      <c r="F677">
        <f t="shared" si="26"/>
        <v>-1.8420986499788697E-2</v>
      </c>
      <c r="G677">
        <f t="shared" si="27"/>
        <v>-2.9769856623157735E-2</v>
      </c>
    </row>
    <row r="678" spans="1:7" x14ac:dyDescent="0.35">
      <c r="A678" t="s">
        <v>47</v>
      </c>
      <c r="E678">
        <v>2.7173153018106144E-2</v>
      </c>
      <c r="F678">
        <f t="shared" si="26"/>
        <v>-1.8423433166761274E-2</v>
      </c>
      <c r="G678">
        <f t="shared" si="27"/>
        <v>-2.9769856623157735E-2</v>
      </c>
    </row>
    <row r="679" spans="1:7" x14ac:dyDescent="0.35">
      <c r="A679" t="s">
        <v>47</v>
      </c>
      <c r="E679">
        <v>-7.9742375027597775E-4</v>
      </c>
      <c r="F679">
        <f t="shared" si="26"/>
        <v>-1.8425879833733852E-2</v>
      </c>
      <c r="G679">
        <f t="shared" si="27"/>
        <v>-2.9769856623157735E-2</v>
      </c>
    </row>
    <row r="680" spans="1:7" x14ac:dyDescent="0.35">
      <c r="A680" t="s">
        <v>47</v>
      </c>
      <c r="E680">
        <v>-1.1069882206519941E-2</v>
      </c>
      <c r="F680">
        <f t="shared" si="26"/>
        <v>-1.842832650070643E-2</v>
      </c>
      <c r="G680">
        <f t="shared" si="27"/>
        <v>-2.9769856623157735E-2</v>
      </c>
    </row>
    <row r="681" spans="1:7" x14ac:dyDescent="0.35">
      <c r="A681" t="s">
        <v>47</v>
      </c>
      <c r="E681">
        <v>5.0132863971846476E-3</v>
      </c>
      <c r="F681">
        <f t="shared" si="26"/>
        <v>-1.8431042963206856E-2</v>
      </c>
      <c r="G681">
        <f t="shared" si="27"/>
        <v>-2.9842558739327292E-2</v>
      </c>
    </row>
    <row r="682" spans="1:7" x14ac:dyDescent="0.35">
      <c r="A682" t="s">
        <v>47</v>
      </c>
      <c r="E682">
        <v>-9.5156695657874022E-3</v>
      </c>
      <c r="F682">
        <f t="shared" si="26"/>
        <v>-1.8433759425707283E-2</v>
      </c>
      <c r="G682">
        <f t="shared" si="27"/>
        <v>-2.9842558739327292E-2</v>
      </c>
    </row>
    <row r="683" spans="1:7" x14ac:dyDescent="0.35">
      <c r="A683" t="s">
        <v>47</v>
      </c>
      <c r="E683">
        <v>2.5670832760604948E-2</v>
      </c>
      <c r="F683">
        <f t="shared" si="26"/>
        <v>-1.843647588820771E-2</v>
      </c>
      <c r="G683">
        <f t="shared" si="27"/>
        <v>-2.9842558739327292E-2</v>
      </c>
    </row>
    <row r="684" spans="1:7" x14ac:dyDescent="0.35">
      <c r="A684" t="s">
        <v>47</v>
      </c>
      <c r="E684">
        <v>-1.1277465252640359E-2</v>
      </c>
      <c r="F684">
        <f t="shared" si="26"/>
        <v>-1.8439192350708136E-2</v>
      </c>
      <c r="G684">
        <f t="shared" si="27"/>
        <v>-2.9842558739327292E-2</v>
      </c>
    </row>
    <row r="685" spans="1:7" x14ac:dyDescent="0.35">
      <c r="A685" t="s">
        <v>47</v>
      </c>
      <c r="E685">
        <v>4.4871162859157279E-3</v>
      </c>
      <c r="F685">
        <f t="shared" si="26"/>
        <v>-1.8441908813208563E-2</v>
      </c>
      <c r="G685">
        <f t="shared" si="27"/>
        <v>-2.9842558739327292E-2</v>
      </c>
    </row>
    <row r="686" spans="1:7" x14ac:dyDescent="0.35">
      <c r="A686" t="s">
        <v>47</v>
      </c>
      <c r="E686">
        <v>-4.0006832461666177E-2</v>
      </c>
      <c r="F686">
        <f t="shared" si="26"/>
        <v>-1.844462527570899E-2</v>
      </c>
      <c r="G686">
        <f t="shared" si="27"/>
        <v>-2.9842558739327292E-2</v>
      </c>
    </row>
    <row r="687" spans="1:7" x14ac:dyDescent="0.35">
      <c r="A687" t="s">
        <v>47</v>
      </c>
      <c r="E687">
        <v>-1.5417256361815162E-3</v>
      </c>
      <c r="F687">
        <f t="shared" si="26"/>
        <v>-1.8396519830062925E-2</v>
      </c>
      <c r="G687">
        <f t="shared" si="27"/>
        <v>-2.9704234983167297E-2</v>
      </c>
    </row>
    <row r="688" spans="1:7" x14ac:dyDescent="0.35">
      <c r="A688" t="s">
        <v>47</v>
      </c>
      <c r="E688">
        <v>-1.7208542567212586E-2</v>
      </c>
      <c r="F688">
        <f t="shared" si="26"/>
        <v>-1.8398966497035502E-2</v>
      </c>
      <c r="G688">
        <f t="shared" si="27"/>
        <v>-2.9704234983167297E-2</v>
      </c>
    </row>
    <row r="689" spans="1:7" x14ac:dyDescent="0.35">
      <c r="A689" t="s">
        <v>48</v>
      </c>
      <c r="B689" s="3" cm="1">
        <f t="array" ref="B689">_xlfn.STDEV.S(_xlfn._xlws.FILTER($E$2:$E$1000, $A$2:$A$1000="2012-10"))</f>
        <v>1.3548890039983991E-2</v>
      </c>
      <c r="C689" s="3" cm="1">
        <f t="array" ref="C689">AVERAGE(_xlfn._xlws.FILTER($E$2:$E$1000, $A$2:$A$1000="2012-10"))</f>
        <v>7.515238177329775E-4</v>
      </c>
      <c r="D689" s="3" cm="1">
        <f t="array" ref="D689">_xlfn.PERCENTILE.EXC(_xlfn._xlws.FILTER($E$503:$E$750, $A$503:$A$750="2012-10"), 0.05)</f>
        <v>-2.2399608517518467E-2</v>
      </c>
      <c r="E689">
        <v>9.7595755482916963E-3</v>
      </c>
      <c r="F689">
        <f t="shared" si="26"/>
        <v>-1.840141316400808E-2</v>
      </c>
      <c r="G689">
        <f t="shared" si="27"/>
        <v>-2.9704234983167297E-2</v>
      </c>
    </row>
    <row r="690" spans="1:7" x14ac:dyDescent="0.35">
      <c r="A690" t="s">
        <v>48</v>
      </c>
      <c r="E690">
        <v>1.0606314925559969E-2</v>
      </c>
      <c r="F690">
        <f t="shared" si="26"/>
        <v>-1.8403859830980657E-2</v>
      </c>
      <c r="G690">
        <f t="shared" si="27"/>
        <v>-2.9704234983167297E-2</v>
      </c>
    </row>
    <row r="691" spans="1:7" x14ac:dyDescent="0.35">
      <c r="A691" t="s">
        <v>48</v>
      </c>
      <c r="E691">
        <v>-5.1485413656098648E-3</v>
      </c>
      <c r="F691">
        <f t="shared" si="26"/>
        <v>-1.8406306497953235E-2</v>
      </c>
      <c r="G691">
        <f t="shared" si="27"/>
        <v>-2.9704234983167297E-2</v>
      </c>
    </row>
    <row r="692" spans="1:7" x14ac:dyDescent="0.35">
      <c r="A692" t="s">
        <v>48</v>
      </c>
      <c r="E692">
        <v>-1.7775509012398711E-3</v>
      </c>
      <c r="F692">
        <f t="shared" si="26"/>
        <v>-1.8408753164925813E-2</v>
      </c>
      <c r="G692">
        <f t="shared" si="27"/>
        <v>-2.9704234983167297E-2</v>
      </c>
    </row>
    <row r="693" spans="1:7" x14ac:dyDescent="0.35">
      <c r="A693" t="s">
        <v>48</v>
      </c>
      <c r="E693">
        <v>1.7961820358467839E-2</v>
      </c>
      <c r="F693">
        <f t="shared" si="26"/>
        <v>-1.8411199831898387E-2</v>
      </c>
      <c r="G693">
        <f t="shared" si="27"/>
        <v>-2.9704234983167297E-2</v>
      </c>
    </row>
    <row r="694" spans="1:7" x14ac:dyDescent="0.35">
      <c r="A694" t="s">
        <v>48</v>
      </c>
      <c r="E694">
        <v>-8.0023651448287991E-3</v>
      </c>
      <c r="F694">
        <f t="shared" si="26"/>
        <v>-1.8413646498870964E-2</v>
      </c>
      <c r="G694">
        <f t="shared" si="27"/>
        <v>-2.9704234983167297E-2</v>
      </c>
    </row>
    <row r="695" spans="1:7" x14ac:dyDescent="0.35">
      <c r="A695" t="s">
        <v>48</v>
      </c>
      <c r="E695">
        <v>-1.8623750780316393E-2</v>
      </c>
      <c r="F695">
        <f t="shared" si="26"/>
        <v>-1.8416093165843542E-2</v>
      </c>
      <c r="G695">
        <f t="shared" si="27"/>
        <v>-2.9704234983167297E-2</v>
      </c>
    </row>
    <row r="696" spans="1:7" x14ac:dyDescent="0.35">
      <c r="A696" t="s">
        <v>48</v>
      </c>
      <c r="E696">
        <v>-1.0043293575183507E-2</v>
      </c>
      <c r="F696">
        <f t="shared" si="26"/>
        <v>-1.8375384006087948E-2</v>
      </c>
      <c r="G696">
        <f t="shared" si="27"/>
        <v>-2.9702668588173314E-2</v>
      </c>
    </row>
    <row r="697" spans="1:7" x14ac:dyDescent="0.35">
      <c r="A697" t="s">
        <v>48</v>
      </c>
      <c r="E697">
        <v>8.6608733448165064E-3</v>
      </c>
      <c r="F697">
        <f t="shared" si="26"/>
        <v>-1.8376386294879685E-2</v>
      </c>
      <c r="G697">
        <f t="shared" si="27"/>
        <v>-2.9702668588173314E-2</v>
      </c>
    </row>
    <row r="698" spans="1:7" x14ac:dyDescent="0.35">
      <c r="A698" t="s">
        <v>48</v>
      </c>
      <c r="E698">
        <v>-1.0697374401125507E-2</v>
      </c>
      <c r="F698">
        <f t="shared" si="26"/>
        <v>-1.8377388583671418E-2</v>
      </c>
      <c r="G698">
        <f t="shared" si="27"/>
        <v>-2.9702668588173314E-2</v>
      </c>
    </row>
    <row r="699" spans="1:7" x14ac:dyDescent="0.35">
      <c r="A699" t="s">
        <v>48</v>
      </c>
      <c r="E699">
        <v>3.4048914565213456E-3</v>
      </c>
      <c r="F699">
        <f t="shared" si="26"/>
        <v>-1.8378390872463152E-2</v>
      </c>
      <c r="G699">
        <f t="shared" si="27"/>
        <v>-2.9702668588173314E-2</v>
      </c>
    </row>
    <row r="700" spans="1:7" x14ac:dyDescent="0.35">
      <c r="A700" t="s">
        <v>48</v>
      </c>
      <c r="E700">
        <v>3.351424827507489E-2</v>
      </c>
      <c r="F700">
        <f t="shared" si="26"/>
        <v>-1.8379393161254885E-2</v>
      </c>
      <c r="G700">
        <f t="shared" si="27"/>
        <v>-2.9702668588173314E-2</v>
      </c>
    </row>
    <row r="701" spans="1:7" x14ac:dyDescent="0.35">
      <c r="A701" t="s">
        <v>48</v>
      </c>
      <c r="E701">
        <v>2.3401032973923114E-2</v>
      </c>
      <c r="F701">
        <f t="shared" si="26"/>
        <v>-1.8381839828227463E-2</v>
      </c>
      <c r="G701">
        <f t="shared" si="27"/>
        <v>-2.9775721978024399E-2</v>
      </c>
    </row>
    <row r="702" spans="1:7" x14ac:dyDescent="0.35">
      <c r="A702" t="s">
        <v>48</v>
      </c>
      <c r="E702">
        <v>-3.4383988030325975E-3</v>
      </c>
      <c r="F702">
        <f t="shared" si="26"/>
        <v>-1.838428649520004E-2</v>
      </c>
      <c r="G702">
        <f t="shared" si="27"/>
        <v>-2.9775721978024399E-2</v>
      </c>
    </row>
    <row r="703" spans="1:7" x14ac:dyDescent="0.35">
      <c r="A703" t="s">
        <v>48</v>
      </c>
      <c r="E703">
        <v>-2.3343572951818985E-2</v>
      </c>
      <c r="F703">
        <f t="shared" si="26"/>
        <v>-1.8386733162172614E-2</v>
      </c>
      <c r="G703">
        <f t="shared" si="27"/>
        <v>-2.9775721978024399E-2</v>
      </c>
    </row>
    <row r="704" spans="1:7" x14ac:dyDescent="0.35">
      <c r="A704" t="s">
        <v>48</v>
      </c>
      <c r="E704">
        <v>-4.5977092486293196E-3</v>
      </c>
      <c r="F704">
        <f t="shared" si="26"/>
        <v>-1.8363356540587142E-2</v>
      </c>
      <c r="G704">
        <f t="shared" si="27"/>
        <v>-2.9743695011633663E-2</v>
      </c>
    </row>
    <row r="705" spans="1:7" x14ac:dyDescent="0.35">
      <c r="A705" t="s">
        <v>48</v>
      </c>
      <c r="E705">
        <v>-1.6563790703596183E-2</v>
      </c>
      <c r="F705">
        <f t="shared" si="26"/>
        <v>-1.8364358829378875E-2</v>
      </c>
      <c r="G705">
        <f t="shared" si="27"/>
        <v>-2.9743695011633663E-2</v>
      </c>
    </row>
    <row r="706" spans="1:7" x14ac:dyDescent="0.35">
      <c r="A706" t="s">
        <v>48</v>
      </c>
      <c r="E706">
        <v>5.6373707780006119E-3</v>
      </c>
      <c r="F706">
        <f t="shared" si="26"/>
        <v>-1.8365361118170609E-2</v>
      </c>
      <c r="G706">
        <f t="shared" si="27"/>
        <v>-2.9743695011633663E-2</v>
      </c>
    </row>
    <row r="707" spans="1:7" x14ac:dyDescent="0.35">
      <c r="A707" t="s">
        <v>48</v>
      </c>
      <c r="E707">
        <v>-1.5798907638649954E-3</v>
      </c>
      <c r="F707">
        <f t="shared" si="26"/>
        <v>-1.8366363406962342E-2</v>
      </c>
      <c r="G707">
        <f t="shared" si="27"/>
        <v>-2.9743695011633663E-2</v>
      </c>
    </row>
    <row r="708" spans="1:7" x14ac:dyDescent="0.35">
      <c r="A708" t="s">
        <v>48</v>
      </c>
      <c r="E708">
        <v>-4.6287963384637315E-4</v>
      </c>
      <c r="F708">
        <f t="shared" ref="F708:F771" si="28">_xlfn.PERCENTILE.EXC(E708:E4523,0.05)</f>
        <v>-1.8367365695754076E-2</v>
      </c>
      <c r="G708">
        <f t="shared" ref="G708:G771" si="29">AVERAGEIFS(E708:E4524,E708:E4524,"&lt;=" &amp; F708)</f>
        <v>-2.9743695011633663E-2</v>
      </c>
    </row>
    <row r="709" spans="1:7" x14ac:dyDescent="0.35">
      <c r="A709" t="s">
        <v>48</v>
      </c>
      <c r="E709">
        <v>-6.0628918578605803E-3</v>
      </c>
      <c r="F709">
        <f t="shared" si="28"/>
        <v>-1.8368367984545809E-2</v>
      </c>
      <c r="G709">
        <f t="shared" si="29"/>
        <v>-2.9743695011633663E-2</v>
      </c>
    </row>
    <row r="710" spans="1:7" x14ac:dyDescent="0.35">
      <c r="A710" t="s">
        <v>48</v>
      </c>
      <c r="E710">
        <v>1.3532736643132827E-2</v>
      </c>
      <c r="F710">
        <f t="shared" si="28"/>
        <v>-1.8369370273337543E-2</v>
      </c>
      <c r="G710">
        <f t="shared" si="29"/>
        <v>-2.9743695011633663E-2</v>
      </c>
    </row>
    <row r="711" spans="1:7" x14ac:dyDescent="0.35">
      <c r="A711" t="s">
        <v>48</v>
      </c>
      <c r="E711">
        <v>1.1481936350226619E-3</v>
      </c>
      <c r="F711">
        <f t="shared" si="28"/>
        <v>-1.837037256212928E-2</v>
      </c>
      <c r="G711">
        <f t="shared" si="29"/>
        <v>-2.9743695011633663E-2</v>
      </c>
    </row>
    <row r="712" spans="1:7" x14ac:dyDescent="0.35">
      <c r="A712" t="s">
        <v>49</v>
      </c>
      <c r="B712" s="3" cm="1">
        <f t="array" ref="B712">_xlfn.STDEV.S(_xlfn._xlws.FILTER($E$2:$E$1000, $A$2:$A$1000="2012-11"))</f>
        <v>1.1135928698743731E-2</v>
      </c>
      <c r="C712" s="3" cm="1">
        <f t="array" ref="C712">AVERAGE(_xlfn._xlws.FILTER($E$2:$E$1000, $A$2:$A$1000="2012-11"))</f>
        <v>5.2837632744689262E-4</v>
      </c>
      <c r="D712" s="3" cm="1">
        <f t="array" ref="D712">_xlfn.PERCENTILE.EXC(_xlfn._xlws.FILTER($E$503:$E$750, $A$503:$A$750="2012-11"), 0.05)</f>
        <v>-2.2261049707302537E-2</v>
      </c>
      <c r="E712">
        <v>5.5310930428604963E-3</v>
      </c>
      <c r="F712">
        <f t="shared" si="28"/>
        <v>-1.8371374850921014E-2</v>
      </c>
      <c r="G712">
        <f t="shared" si="29"/>
        <v>-2.9743695011633663E-2</v>
      </c>
    </row>
    <row r="713" spans="1:7" x14ac:dyDescent="0.35">
      <c r="A713" t="s">
        <v>49</v>
      </c>
      <c r="E713">
        <v>1.0406708741974713E-2</v>
      </c>
      <c r="F713">
        <f t="shared" si="28"/>
        <v>-1.8372377139712747E-2</v>
      </c>
      <c r="G713">
        <f t="shared" si="29"/>
        <v>-2.9743695011633663E-2</v>
      </c>
    </row>
    <row r="714" spans="1:7" x14ac:dyDescent="0.35">
      <c r="A714" t="s">
        <v>49</v>
      </c>
      <c r="E714">
        <v>-1.9040955314172631E-2</v>
      </c>
      <c r="F714">
        <f t="shared" si="28"/>
        <v>-1.8373379428504481E-2</v>
      </c>
      <c r="G714">
        <f t="shared" si="29"/>
        <v>-2.9743695011633663E-2</v>
      </c>
    </row>
    <row r="715" spans="1:7" x14ac:dyDescent="0.35">
      <c r="A715" t="s">
        <v>49</v>
      </c>
      <c r="E715">
        <v>2.4271546515172993E-3</v>
      </c>
      <c r="F715">
        <f t="shared" si="28"/>
        <v>-1.834822665059593E-2</v>
      </c>
      <c r="G715">
        <f t="shared" si="29"/>
        <v>-2.973929754112558E-2</v>
      </c>
    </row>
    <row r="716" spans="1:7" x14ac:dyDescent="0.35">
      <c r="A716" t="s">
        <v>49</v>
      </c>
      <c r="E716">
        <v>-2.2829301659031347E-2</v>
      </c>
      <c r="F716">
        <f t="shared" si="28"/>
        <v>-1.8350450797560786E-2</v>
      </c>
      <c r="G716">
        <f t="shared" si="29"/>
        <v>-2.973929754112558E-2</v>
      </c>
    </row>
    <row r="717" spans="1:7" x14ac:dyDescent="0.35">
      <c r="A717" t="s">
        <v>49</v>
      </c>
      <c r="E717">
        <v>-4.7890806490916505E-3</v>
      </c>
      <c r="F717">
        <f t="shared" si="28"/>
        <v>-1.8310886056490554E-2</v>
      </c>
      <c r="G717">
        <f t="shared" si="29"/>
        <v>-2.9710172139751981E-2</v>
      </c>
    </row>
    <row r="718" spans="1:7" x14ac:dyDescent="0.35">
      <c r="A718" t="s">
        <v>49</v>
      </c>
      <c r="E718">
        <v>1.6381952067078584E-3</v>
      </c>
      <c r="F718">
        <f t="shared" si="28"/>
        <v>-1.8312212186368072E-2</v>
      </c>
      <c r="G718">
        <f t="shared" si="29"/>
        <v>-2.9710172139751981E-2</v>
      </c>
    </row>
    <row r="719" spans="1:7" x14ac:dyDescent="0.35">
      <c r="A719" t="s">
        <v>49</v>
      </c>
      <c r="E719">
        <v>-9.0500736078149933E-3</v>
      </c>
      <c r="F719">
        <f t="shared" si="28"/>
        <v>-1.8313538316245589E-2</v>
      </c>
      <c r="G719">
        <f t="shared" si="29"/>
        <v>-2.9710172139751981E-2</v>
      </c>
    </row>
    <row r="720" spans="1:7" x14ac:dyDescent="0.35">
      <c r="A720" t="s">
        <v>49</v>
      </c>
      <c r="E720">
        <v>1.6460414106443454E-2</v>
      </c>
      <c r="F720">
        <f t="shared" si="28"/>
        <v>-1.8314864446123107E-2</v>
      </c>
      <c r="G720">
        <f t="shared" si="29"/>
        <v>-2.9710172139751981E-2</v>
      </c>
    </row>
    <row r="721" spans="1:7" x14ac:dyDescent="0.35">
      <c r="A721" t="s">
        <v>49</v>
      </c>
      <c r="E721">
        <v>-2.6551452499806749E-3</v>
      </c>
      <c r="F721">
        <f t="shared" si="28"/>
        <v>-1.8317088593087963E-2</v>
      </c>
      <c r="G721">
        <f t="shared" si="29"/>
        <v>-2.9784167644256065E-2</v>
      </c>
    </row>
    <row r="722" spans="1:7" x14ac:dyDescent="0.35">
      <c r="A722" t="s">
        <v>49</v>
      </c>
      <c r="E722">
        <v>2.9280692423435013E-3</v>
      </c>
      <c r="F722">
        <f t="shared" si="28"/>
        <v>-1.8319312740052818E-2</v>
      </c>
      <c r="G722">
        <f t="shared" si="29"/>
        <v>-2.9784167644256065E-2</v>
      </c>
    </row>
    <row r="723" spans="1:7" x14ac:dyDescent="0.35">
      <c r="A723" t="s">
        <v>49</v>
      </c>
      <c r="E723">
        <v>-1.4041333306023036E-2</v>
      </c>
      <c r="F723">
        <f t="shared" si="28"/>
        <v>-1.832153688701767E-2</v>
      </c>
      <c r="G723">
        <f t="shared" si="29"/>
        <v>-2.9784167644256065E-2</v>
      </c>
    </row>
    <row r="724" spans="1:7" x14ac:dyDescent="0.35">
      <c r="A724" t="s">
        <v>49</v>
      </c>
      <c r="E724">
        <v>2.2877495925554679E-2</v>
      </c>
      <c r="F724">
        <f t="shared" si="28"/>
        <v>-1.8323761033982526E-2</v>
      </c>
      <c r="G724">
        <f t="shared" si="29"/>
        <v>-2.9784167644256065E-2</v>
      </c>
    </row>
    <row r="725" spans="1:7" x14ac:dyDescent="0.35">
      <c r="A725" t="s">
        <v>49</v>
      </c>
      <c r="E725">
        <v>1.9173240552716939E-3</v>
      </c>
      <c r="F725">
        <f t="shared" si="28"/>
        <v>-1.8325985180947382E-2</v>
      </c>
      <c r="G725">
        <f t="shared" si="29"/>
        <v>-2.9784167644256065E-2</v>
      </c>
    </row>
    <row r="726" spans="1:7" x14ac:dyDescent="0.35">
      <c r="A726" t="s">
        <v>49</v>
      </c>
      <c r="E726">
        <v>3.4265727407564645E-3</v>
      </c>
      <c r="F726">
        <f t="shared" si="28"/>
        <v>-1.8328209327912237E-2</v>
      </c>
      <c r="G726">
        <f t="shared" si="29"/>
        <v>-2.9784167644256065E-2</v>
      </c>
    </row>
    <row r="727" spans="1:7" x14ac:dyDescent="0.35">
      <c r="A727" t="s">
        <v>49</v>
      </c>
      <c r="E727">
        <v>8.9535704321091238E-3</v>
      </c>
      <c r="F727">
        <f t="shared" si="28"/>
        <v>-1.8330433474877093E-2</v>
      </c>
      <c r="G727">
        <f t="shared" si="29"/>
        <v>-2.9784167644256065E-2</v>
      </c>
    </row>
    <row r="728" spans="1:7" x14ac:dyDescent="0.35">
      <c r="A728" t="s">
        <v>49</v>
      </c>
      <c r="E728">
        <v>4.307839315245714E-3</v>
      </c>
      <c r="F728">
        <f t="shared" si="28"/>
        <v>-1.8332657621841945E-2</v>
      </c>
      <c r="G728">
        <f t="shared" si="29"/>
        <v>-2.9784167644256065E-2</v>
      </c>
    </row>
    <row r="729" spans="1:7" x14ac:dyDescent="0.35">
      <c r="A729" t="s">
        <v>49</v>
      </c>
      <c r="E729">
        <v>-4.4094240369910651E-3</v>
      </c>
      <c r="F729">
        <f t="shared" si="28"/>
        <v>-1.83348817688068E-2</v>
      </c>
      <c r="G729">
        <f t="shared" si="29"/>
        <v>-2.9784167644256065E-2</v>
      </c>
    </row>
    <row r="730" spans="1:7" x14ac:dyDescent="0.35">
      <c r="A730" t="s">
        <v>49</v>
      </c>
      <c r="E730">
        <v>-1.4105539715269584E-3</v>
      </c>
      <c r="F730">
        <f t="shared" si="28"/>
        <v>-1.8337105915771656E-2</v>
      </c>
      <c r="G730">
        <f t="shared" si="29"/>
        <v>-2.9784167644256065E-2</v>
      </c>
    </row>
    <row r="731" spans="1:7" x14ac:dyDescent="0.35">
      <c r="A731" t="s">
        <v>49</v>
      </c>
      <c r="E731">
        <v>-3.3245685439726672E-3</v>
      </c>
      <c r="F731">
        <f t="shared" si="28"/>
        <v>-1.8339330062736511E-2</v>
      </c>
      <c r="G731">
        <f t="shared" si="29"/>
        <v>-2.9784167644256065E-2</v>
      </c>
    </row>
    <row r="732" spans="1:7" x14ac:dyDescent="0.35">
      <c r="A732" t="s">
        <v>49</v>
      </c>
      <c r="E732">
        <v>1.7215960930746996E-2</v>
      </c>
      <c r="F732">
        <f t="shared" si="28"/>
        <v>-1.8341554209701367E-2</v>
      </c>
      <c r="G732">
        <f t="shared" si="29"/>
        <v>-2.9784167644256065E-2</v>
      </c>
    </row>
    <row r="733" spans="1:7" x14ac:dyDescent="0.35">
      <c r="A733" t="s">
        <v>49</v>
      </c>
      <c r="E733">
        <v>-4.9156828490953368E-3</v>
      </c>
      <c r="F733">
        <f t="shared" si="28"/>
        <v>-1.8343778356666219E-2</v>
      </c>
      <c r="G733">
        <f t="shared" si="29"/>
        <v>-2.9784167644256065E-2</v>
      </c>
    </row>
    <row r="734" spans="1:7" x14ac:dyDescent="0.35">
      <c r="A734" t="s">
        <v>50</v>
      </c>
      <c r="B734" s="3" cm="1">
        <f t="array" ref="B734">_xlfn.STDEV.S(_xlfn._xlws.FILTER($E$2:$E$1000, $A$2:$A$1000="2012-12"))</f>
        <v>8.4860370335528932E-3</v>
      </c>
      <c r="C734" s="3" cm="1">
        <f t="array" ref="C734">AVERAGE(_xlfn._xlws.FILTER($E$2:$E$1000, $A$2:$A$1000="2012-12"))</f>
        <v>1.4382925938678684E-3</v>
      </c>
      <c r="D734" s="3" cm="1">
        <f t="array" ref="D734">_xlfn.PERCENTILE.INC(_xlfn._xlws.FILTER($E$503:$E$750, $A$503:$A$750="2012-12"), 0.05)</f>
        <v>-9.9787351694260885E-3</v>
      </c>
      <c r="E734">
        <v>-5.7382075827359528E-3</v>
      </c>
      <c r="F734">
        <f t="shared" si="28"/>
        <v>-1.8346002503631074E-2</v>
      </c>
      <c r="G734">
        <f t="shared" si="29"/>
        <v>-2.9784167644256065E-2</v>
      </c>
    </row>
    <row r="735" spans="1:7" x14ac:dyDescent="0.35">
      <c r="A735" t="s">
        <v>50</v>
      </c>
      <c r="E735">
        <v>1.6717752570120244E-3</v>
      </c>
      <c r="F735">
        <f t="shared" si="28"/>
        <v>-1.834822665059593E-2</v>
      </c>
      <c r="G735">
        <f t="shared" si="29"/>
        <v>-2.9784167644256065E-2</v>
      </c>
    </row>
    <row r="736" spans="1:7" x14ac:dyDescent="0.35">
      <c r="A736" t="s">
        <v>50</v>
      </c>
      <c r="E736">
        <v>-2.4325979966617205E-3</v>
      </c>
      <c r="F736">
        <f t="shared" si="28"/>
        <v>-1.8350450797560786E-2</v>
      </c>
      <c r="G736">
        <f t="shared" si="29"/>
        <v>-2.9784167644256065E-2</v>
      </c>
    </row>
    <row r="737" spans="1:7" x14ac:dyDescent="0.35">
      <c r="A737" t="s">
        <v>50</v>
      </c>
      <c r="E737">
        <v>3.495001658171324E-3</v>
      </c>
      <c r="F737">
        <f t="shared" si="28"/>
        <v>-1.8352674944525641E-2</v>
      </c>
      <c r="G737">
        <f t="shared" si="29"/>
        <v>-2.9784167644256065E-2</v>
      </c>
    </row>
    <row r="738" spans="1:7" x14ac:dyDescent="0.35">
      <c r="A738" t="s">
        <v>50</v>
      </c>
      <c r="E738">
        <v>-7.9064837326082854E-3</v>
      </c>
      <c r="F738">
        <f t="shared" si="28"/>
        <v>-1.8354899091490493E-2</v>
      </c>
      <c r="G738">
        <f t="shared" si="29"/>
        <v>-2.9784167644256065E-2</v>
      </c>
    </row>
    <row r="739" spans="1:7" x14ac:dyDescent="0.35">
      <c r="A739" t="s">
        <v>50</v>
      </c>
      <c r="E739">
        <v>-5.634753519518013E-3</v>
      </c>
      <c r="F739">
        <f t="shared" si="28"/>
        <v>-1.8357123238455349E-2</v>
      </c>
      <c r="G739">
        <f t="shared" si="29"/>
        <v>-2.9784167644256065E-2</v>
      </c>
    </row>
    <row r="740" spans="1:7" x14ac:dyDescent="0.35">
      <c r="A740" t="s">
        <v>50</v>
      </c>
      <c r="E740">
        <v>1.4817158520241895E-2</v>
      </c>
      <c r="F740">
        <f t="shared" si="28"/>
        <v>-1.8359347385420204E-2</v>
      </c>
      <c r="G740">
        <f t="shared" si="29"/>
        <v>-2.9784167644256065E-2</v>
      </c>
    </row>
    <row r="741" spans="1:7" x14ac:dyDescent="0.35">
      <c r="A741" t="s">
        <v>50</v>
      </c>
      <c r="E741">
        <v>8.2853431967572586E-3</v>
      </c>
      <c r="F741">
        <f t="shared" si="28"/>
        <v>-1.8360349674211938E-2</v>
      </c>
      <c r="G741">
        <f t="shared" si="29"/>
        <v>-2.9858839672091592E-2</v>
      </c>
    </row>
    <row r="742" spans="1:7" x14ac:dyDescent="0.35">
      <c r="A742" t="s">
        <v>50</v>
      </c>
      <c r="E742">
        <v>3.7865815462414668E-3</v>
      </c>
      <c r="F742">
        <f t="shared" si="28"/>
        <v>-1.8361351963003671E-2</v>
      </c>
      <c r="G742">
        <f t="shared" si="29"/>
        <v>-2.9858839672091592E-2</v>
      </c>
    </row>
    <row r="743" spans="1:7" x14ac:dyDescent="0.35">
      <c r="A743" t="s">
        <v>50</v>
      </c>
      <c r="E743">
        <v>8.7275271729348694E-4</v>
      </c>
      <c r="F743">
        <f t="shared" si="28"/>
        <v>-1.8362354251795405E-2</v>
      </c>
      <c r="G743">
        <f t="shared" si="29"/>
        <v>-2.9858839672091592E-2</v>
      </c>
    </row>
    <row r="744" spans="1:7" x14ac:dyDescent="0.35">
      <c r="A744" t="s">
        <v>50</v>
      </c>
      <c r="E744">
        <v>2.0168827334416748E-3</v>
      </c>
      <c r="F744">
        <f t="shared" si="28"/>
        <v>-1.8363356540587142E-2</v>
      </c>
      <c r="G744">
        <f t="shared" si="29"/>
        <v>-2.9858839672091592E-2</v>
      </c>
    </row>
    <row r="745" spans="1:7" x14ac:dyDescent="0.35">
      <c r="A745" t="s">
        <v>50</v>
      </c>
      <c r="E745">
        <v>1.5855623331609253E-2</v>
      </c>
      <c r="F745">
        <f t="shared" si="28"/>
        <v>-1.8364358829378875E-2</v>
      </c>
      <c r="G745">
        <f t="shared" si="29"/>
        <v>-2.9858839672091592E-2</v>
      </c>
    </row>
    <row r="746" spans="1:7" x14ac:dyDescent="0.35">
      <c r="A746" t="s">
        <v>50</v>
      </c>
      <c r="E746">
        <v>1.161091362057415E-2</v>
      </c>
      <c r="F746">
        <f t="shared" si="28"/>
        <v>-1.8365361118170609E-2</v>
      </c>
      <c r="G746">
        <f t="shared" si="29"/>
        <v>-2.9858839672091592E-2</v>
      </c>
    </row>
    <row r="747" spans="1:7" x14ac:dyDescent="0.35">
      <c r="A747" t="s">
        <v>50</v>
      </c>
      <c r="E747">
        <v>0</v>
      </c>
      <c r="F747">
        <f t="shared" si="28"/>
        <v>-1.8366363406962342E-2</v>
      </c>
      <c r="G747">
        <f t="shared" si="29"/>
        <v>-2.9858839672091592E-2</v>
      </c>
    </row>
    <row r="748" spans="1:7" x14ac:dyDescent="0.35">
      <c r="A748" t="s">
        <v>50</v>
      </c>
      <c r="E748">
        <v>3.2376562543163503E-3</v>
      </c>
      <c r="F748">
        <f t="shared" si="28"/>
        <v>-1.8367365695754076E-2</v>
      </c>
      <c r="G748">
        <f t="shared" si="29"/>
        <v>-2.9858839672091592E-2</v>
      </c>
    </row>
    <row r="749" spans="1:7" x14ac:dyDescent="0.35">
      <c r="A749" t="s">
        <v>50</v>
      </c>
      <c r="E749">
        <v>-1.2189309916838479E-3</v>
      </c>
      <c r="F749">
        <f t="shared" si="28"/>
        <v>-1.8368367984545809E-2</v>
      </c>
      <c r="G749">
        <f t="shared" si="29"/>
        <v>-2.9858839672091592E-2</v>
      </c>
    </row>
    <row r="750" spans="1:7" x14ac:dyDescent="0.35">
      <c r="A750" t="s">
        <v>50</v>
      </c>
      <c r="E750">
        <v>-1.8267740916697302E-2</v>
      </c>
      <c r="F750">
        <f t="shared" si="28"/>
        <v>-1.8369370273337543E-2</v>
      </c>
      <c r="G750">
        <f t="shared" si="29"/>
        <v>-2.9858839672091592E-2</v>
      </c>
    </row>
    <row r="751" spans="1:7" x14ac:dyDescent="0.35">
      <c r="A751" t="s">
        <v>51</v>
      </c>
      <c r="B751" s="3" cm="1">
        <f t="array" ref="B751">_xlfn.STDEV.S(_xlfn._xlws.FILTER($E$2:$E$1000, $A$2:$A$1000="2013-01"))</f>
        <v>1.1534701941819272E-2</v>
      </c>
      <c r="C751" s="3" cm="1">
        <f t="array" ref="C751">AVERAGE(_xlfn._xlws.FILTER($E$2:$E$1000, $A$2:$A$1000="2013-01"))</f>
        <v>1.2749814386214863E-3</v>
      </c>
      <c r="D751" s="3" cm="1">
        <f t="array" ref="D751">_xlfn.PERCENTILE.EXC(_xlfn._xlws.FILTER($E$751:$E$999, $A$751:$A$999="2013-01"), 0.05)</f>
        <v>-2.228156732954804E-2</v>
      </c>
      <c r="E751">
        <v>3.819846013238179E-2</v>
      </c>
      <c r="F751">
        <f t="shared" si="28"/>
        <v>-1.837037256212928E-2</v>
      </c>
      <c r="G751">
        <f t="shared" si="29"/>
        <v>-2.9858839672091592E-2</v>
      </c>
    </row>
    <row r="752" spans="1:7" x14ac:dyDescent="0.35">
      <c r="A752" t="s">
        <v>51</v>
      </c>
      <c r="E752">
        <v>-5.2459914980546671E-3</v>
      </c>
      <c r="F752">
        <f t="shared" si="28"/>
        <v>-1.8371374850921014E-2</v>
      </c>
      <c r="G752">
        <f t="shared" si="29"/>
        <v>-2.9858839672091592E-2</v>
      </c>
    </row>
    <row r="753" spans="1:7" x14ac:dyDescent="0.35">
      <c r="A753" t="s">
        <v>51</v>
      </c>
      <c r="E753">
        <v>3.848168557018567E-3</v>
      </c>
      <c r="F753">
        <f t="shared" si="28"/>
        <v>-1.8372377139712747E-2</v>
      </c>
      <c r="G753">
        <f t="shared" si="29"/>
        <v>-2.9858839672091592E-2</v>
      </c>
    </row>
    <row r="754" spans="1:7" x14ac:dyDescent="0.35">
      <c r="A754" t="s">
        <v>51</v>
      </c>
      <c r="E754">
        <v>-1.9934980615192795E-3</v>
      </c>
      <c r="F754">
        <f t="shared" si="28"/>
        <v>-1.8373379428504481E-2</v>
      </c>
      <c r="G754">
        <f t="shared" si="29"/>
        <v>-2.9858839672091592E-2</v>
      </c>
    </row>
    <row r="755" spans="1:7" x14ac:dyDescent="0.35">
      <c r="A755" t="s">
        <v>51</v>
      </c>
      <c r="E755">
        <v>4.030351591263779E-3</v>
      </c>
      <c r="F755">
        <f t="shared" si="28"/>
        <v>-1.8374381717296214E-2</v>
      </c>
      <c r="G755">
        <f t="shared" si="29"/>
        <v>-2.9858839672091592E-2</v>
      </c>
    </row>
    <row r="756" spans="1:7" x14ac:dyDescent="0.35">
      <c r="A756" t="s">
        <v>51</v>
      </c>
      <c r="E756">
        <v>1.7984704590050419E-2</v>
      </c>
      <c r="F756">
        <f t="shared" si="28"/>
        <v>-1.8375384006087948E-2</v>
      </c>
      <c r="G756">
        <f t="shared" si="29"/>
        <v>-2.9858839672091592E-2</v>
      </c>
    </row>
    <row r="757" spans="1:7" x14ac:dyDescent="0.35">
      <c r="A757" t="s">
        <v>51</v>
      </c>
      <c r="E757">
        <v>1.4513537870684324E-3</v>
      </c>
      <c r="F757">
        <f t="shared" si="28"/>
        <v>-1.8376386294879685E-2</v>
      </c>
      <c r="G757">
        <f t="shared" si="29"/>
        <v>-2.9858839672091592E-2</v>
      </c>
    </row>
    <row r="758" spans="1:7" x14ac:dyDescent="0.35">
      <c r="A758" t="s">
        <v>51</v>
      </c>
      <c r="E758">
        <v>5.2998342016026571E-3</v>
      </c>
      <c r="F758">
        <f t="shared" si="28"/>
        <v>-1.8377388583671418E-2</v>
      </c>
      <c r="G758">
        <f t="shared" si="29"/>
        <v>-2.9858839672091592E-2</v>
      </c>
    </row>
    <row r="759" spans="1:7" x14ac:dyDescent="0.35">
      <c r="A759" t="s">
        <v>51</v>
      </c>
      <c r="E759">
        <v>-3.7694878360404567E-3</v>
      </c>
      <c r="F759">
        <f t="shared" si="28"/>
        <v>-1.8378390872463152E-2</v>
      </c>
      <c r="G759">
        <f t="shared" si="29"/>
        <v>-2.9858839672091592E-2</v>
      </c>
    </row>
    <row r="760" spans="1:7" x14ac:dyDescent="0.35">
      <c r="A760" t="s">
        <v>51</v>
      </c>
      <c r="E760">
        <v>-3.609337120129231E-3</v>
      </c>
      <c r="F760">
        <f t="shared" si="28"/>
        <v>-1.8379393161254885E-2</v>
      </c>
      <c r="G760">
        <f t="shared" si="29"/>
        <v>-2.9858839672091592E-2</v>
      </c>
    </row>
    <row r="761" spans="1:7" x14ac:dyDescent="0.35">
      <c r="A761" t="s">
        <v>51</v>
      </c>
      <c r="E761">
        <v>-2.3163651588415323E-3</v>
      </c>
      <c r="F761">
        <f t="shared" si="28"/>
        <v>-1.8381839828227463E-2</v>
      </c>
      <c r="G761">
        <f t="shared" si="29"/>
        <v>-2.9934362346504994E-2</v>
      </c>
    </row>
    <row r="762" spans="1:7" x14ac:dyDescent="0.35">
      <c r="A762" t="s">
        <v>51</v>
      </c>
      <c r="E762">
        <v>5.5549242201490658E-3</v>
      </c>
      <c r="F762">
        <f t="shared" si="28"/>
        <v>-1.838428649520004E-2</v>
      </c>
      <c r="G762">
        <f t="shared" si="29"/>
        <v>-2.9934362346504994E-2</v>
      </c>
    </row>
    <row r="763" spans="1:7" x14ac:dyDescent="0.35">
      <c r="A763" t="s">
        <v>51</v>
      </c>
      <c r="E763">
        <v>-2.8898232251663904E-3</v>
      </c>
      <c r="F763">
        <f t="shared" si="28"/>
        <v>-1.8386733162172618E-2</v>
      </c>
      <c r="G763">
        <f t="shared" si="29"/>
        <v>-2.9934362346504994E-2</v>
      </c>
    </row>
    <row r="764" spans="1:7" x14ac:dyDescent="0.35">
      <c r="A764" t="s">
        <v>51</v>
      </c>
      <c r="E764">
        <v>7.168572496474606E-3</v>
      </c>
      <c r="F764">
        <f t="shared" si="28"/>
        <v>-1.8389179829145192E-2</v>
      </c>
      <c r="G764">
        <f t="shared" si="29"/>
        <v>-2.9934362346504994E-2</v>
      </c>
    </row>
    <row r="765" spans="1:7" x14ac:dyDescent="0.35">
      <c r="A765" t="s">
        <v>51</v>
      </c>
      <c r="E765">
        <v>-3.9079712124863832E-3</v>
      </c>
      <c r="F765">
        <f t="shared" si="28"/>
        <v>-1.8391626496117773E-2</v>
      </c>
      <c r="G765">
        <f t="shared" si="29"/>
        <v>-2.9934362346504994E-2</v>
      </c>
    </row>
    <row r="766" spans="1:7" x14ac:dyDescent="0.35">
      <c r="A766" t="s">
        <v>51</v>
      </c>
      <c r="E766">
        <v>-2.1802924197089515E-3</v>
      </c>
      <c r="F766">
        <f t="shared" si="28"/>
        <v>-1.8394073163090347E-2</v>
      </c>
      <c r="G766">
        <f t="shared" si="29"/>
        <v>-2.9934362346504994E-2</v>
      </c>
    </row>
    <row r="767" spans="1:7" x14ac:dyDescent="0.35">
      <c r="A767" t="s">
        <v>51</v>
      </c>
      <c r="E767">
        <v>6.053644585946664E-3</v>
      </c>
      <c r="F767">
        <f t="shared" si="28"/>
        <v>-1.8396519830062925E-2</v>
      </c>
      <c r="G767">
        <f t="shared" si="29"/>
        <v>-2.9934362346504994E-2</v>
      </c>
    </row>
    <row r="768" spans="1:7" x14ac:dyDescent="0.35">
      <c r="A768" t="s">
        <v>51</v>
      </c>
      <c r="E768">
        <v>6.7854569096485774E-3</v>
      </c>
      <c r="F768">
        <f t="shared" si="28"/>
        <v>-1.8398966497035502E-2</v>
      </c>
      <c r="G768">
        <f t="shared" si="29"/>
        <v>-2.9934362346504994E-2</v>
      </c>
    </row>
    <row r="769" spans="1:7" x14ac:dyDescent="0.35">
      <c r="A769" t="s">
        <v>51</v>
      </c>
      <c r="E769">
        <v>-5.9895219035902645E-3</v>
      </c>
      <c r="F769">
        <f t="shared" si="28"/>
        <v>-1.840141316400808E-2</v>
      </c>
      <c r="G769">
        <f t="shared" si="29"/>
        <v>-2.9934362346504994E-2</v>
      </c>
    </row>
    <row r="770" spans="1:7" x14ac:dyDescent="0.35">
      <c r="A770" t="s">
        <v>51</v>
      </c>
      <c r="E770">
        <v>-3.4073550912666491E-3</v>
      </c>
      <c r="F770">
        <f t="shared" si="28"/>
        <v>-1.8403859830980657E-2</v>
      </c>
      <c r="G770">
        <f t="shared" si="29"/>
        <v>-2.9934362346504994E-2</v>
      </c>
    </row>
    <row r="771" spans="1:7" x14ac:dyDescent="0.35">
      <c r="A771" t="s">
        <v>51</v>
      </c>
      <c r="E771">
        <v>-8.2603331161582878E-3</v>
      </c>
      <c r="F771">
        <f t="shared" si="28"/>
        <v>-1.8406306497953235E-2</v>
      </c>
      <c r="G771">
        <f t="shared" si="29"/>
        <v>-2.9934362346504994E-2</v>
      </c>
    </row>
    <row r="772" spans="1:7" x14ac:dyDescent="0.35">
      <c r="A772" t="s">
        <v>51</v>
      </c>
      <c r="E772">
        <v>-2.4755902778969763E-2</v>
      </c>
      <c r="F772">
        <f t="shared" ref="F772:F835" si="30">_xlfn.PERCENTILE.EXC(E772:E4587,0.05)</f>
        <v>-1.8408753164925813E-2</v>
      </c>
      <c r="G772">
        <f t="shared" ref="G772:G835" si="31">AVERAGEIFS(E772:E4588,E772:E4588,"&lt;=" &amp; F772)</f>
        <v>-2.9934362346504994E-2</v>
      </c>
    </row>
    <row r="773" spans="1:7" x14ac:dyDescent="0.35">
      <c r="A773" t="s">
        <v>52</v>
      </c>
      <c r="B773" s="3" cm="1">
        <f t="array" ref="B773">_xlfn.STDEV.S(_xlfn._xlws.FILTER($E$2:$E$1000, $A$2:$A$1000="2013-02"))</f>
        <v>1.7868917276529533E-2</v>
      </c>
      <c r="C773" s="3" cm="1">
        <f t="array" ref="C773">AVERAGE(_xlfn._xlws.FILTER($E$2:$E$1000, $A$2:$A$1000="2013-02"))</f>
        <v>-7.9555214229463478E-4</v>
      </c>
      <c r="D773" s="3" cm="1">
        <f t="array" ref="D773">_xlfn.PERCENTILE.EXC(_xlfn._xlws.FILTER($E$751:$E$999, $A$751:$A$999="2013-02"), 0.05)</f>
        <v>-3.8114428615657017E-2</v>
      </c>
      <c r="E773">
        <v>-1.5983946855645283E-2</v>
      </c>
      <c r="F773">
        <f t="shared" si="30"/>
        <v>-1.8372377139712747E-2</v>
      </c>
      <c r="G773">
        <f t="shared" si="31"/>
        <v>-2.9892411625335819E-2</v>
      </c>
    </row>
    <row r="774" spans="1:7" x14ac:dyDescent="0.35">
      <c r="A774" t="s">
        <v>52</v>
      </c>
      <c r="E774">
        <v>-3.8408862519321303E-2</v>
      </c>
      <c r="F774">
        <f t="shared" si="30"/>
        <v>-1.8373379428504481E-2</v>
      </c>
      <c r="G774">
        <f t="shared" si="31"/>
        <v>-2.9892411625335819E-2</v>
      </c>
    </row>
    <row r="775" spans="1:7" x14ac:dyDescent="0.35">
      <c r="A775" t="s">
        <v>52</v>
      </c>
      <c r="E775">
        <v>2.1732926409137057E-2</v>
      </c>
      <c r="F775">
        <f t="shared" si="30"/>
        <v>-1.834822665059593E-2</v>
      </c>
      <c r="G775">
        <f t="shared" si="31"/>
        <v>-2.976050692050752E-2</v>
      </c>
    </row>
    <row r="776" spans="1:7" x14ac:dyDescent="0.35">
      <c r="A776" t="s">
        <v>52</v>
      </c>
      <c r="E776">
        <v>-4.6316445849633138E-3</v>
      </c>
      <c r="F776">
        <f t="shared" si="30"/>
        <v>-1.8350450797560786E-2</v>
      </c>
      <c r="G776">
        <f t="shared" si="31"/>
        <v>-2.976050692050752E-2</v>
      </c>
    </row>
    <row r="777" spans="1:7" x14ac:dyDescent="0.35">
      <c r="A777" t="s">
        <v>52</v>
      </c>
      <c r="E777">
        <v>-5.1771029338833355E-3</v>
      </c>
      <c r="F777">
        <f t="shared" si="30"/>
        <v>-1.8352674944525641E-2</v>
      </c>
      <c r="G777">
        <f t="shared" si="31"/>
        <v>-2.976050692050752E-2</v>
      </c>
    </row>
    <row r="778" spans="1:7" x14ac:dyDescent="0.35">
      <c r="A778" t="s">
        <v>52</v>
      </c>
      <c r="E778">
        <v>1.9803605901901326E-2</v>
      </c>
      <c r="F778">
        <f t="shared" si="30"/>
        <v>-1.8354899091490493E-2</v>
      </c>
      <c r="G778">
        <f t="shared" si="31"/>
        <v>-2.976050692050752E-2</v>
      </c>
    </row>
    <row r="779" spans="1:7" x14ac:dyDescent="0.35">
      <c r="A779" t="s">
        <v>52</v>
      </c>
      <c r="E779">
        <v>-1.1849894098844266E-2</v>
      </c>
      <c r="F779">
        <f t="shared" si="30"/>
        <v>-1.8357123238455349E-2</v>
      </c>
      <c r="G779">
        <f t="shared" si="31"/>
        <v>-2.976050692050752E-2</v>
      </c>
    </row>
    <row r="780" spans="1:7" x14ac:dyDescent="0.35">
      <c r="A780" t="s">
        <v>52</v>
      </c>
      <c r="E780">
        <v>1.9138342899770396E-2</v>
      </c>
      <c r="F780">
        <f t="shared" si="30"/>
        <v>-1.8359347385420204E-2</v>
      </c>
      <c r="G780">
        <f t="shared" si="31"/>
        <v>-2.976050692050752E-2</v>
      </c>
    </row>
    <row r="781" spans="1:7" x14ac:dyDescent="0.35">
      <c r="A781" t="s">
        <v>52</v>
      </c>
      <c r="E781">
        <v>8.6452908041947853E-3</v>
      </c>
      <c r="F781">
        <f t="shared" si="30"/>
        <v>-1.8360349674211938E-2</v>
      </c>
      <c r="G781">
        <f t="shared" si="31"/>
        <v>-2.9836011288289555E-2</v>
      </c>
    </row>
    <row r="782" spans="1:7" x14ac:dyDescent="0.35">
      <c r="A782" t="s">
        <v>52</v>
      </c>
      <c r="E782">
        <v>-7.1042247369559825E-3</v>
      </c>
      <c r="F782">
        <f t="shared" si="30"/>
        <v>-1.8361351963003671E-2</v>
      </c>
      <c r="G782">
        <f t="shared" si="31"/>
        <v>-2.9836011288289555E-2</v>
      </c>
    </row>
    <row r="783" spans="1:7" x14ac:dyDescent="0.35">
      <c r="A783" t="s">
        <v>52</v>
      </c>
      <c r="E783">
        <v>-1.185553233178907E-2</v>
      </c>
      <c r="F783">
        <f t="shared" si="30"/>
        <v>-1.8362354251795405E-2</v>
      </c>
      <c r="G783">
        <f t="shared" si="31"/>
        <v>-2.9836011288289555E-2</v>
      </c>
    </row>
    <row r="784" spans="1:7" x14ac:dyDescent="0.35">
      <c r="A784" t="s">
        <v>52</v>
      </c>
      <c r="E784">
        <v>-5.0802429194091482E-3</v>
      </c>
      <c r="F784">
        <f t="shared" si="30"/>
        <v>-1.8363356540587142E-2</v>
      </c>
      <c r="G784">
        <f t="shared" si="31"/>
        <v>-2.9836011288289555E-2</v>
      </c>
    </row>
    <row r="785" spans="1:7" x14ac:dyDescent="0.35">
      <c r="A785" t="s">
        <v>52</v>
      </c>
      <c r="E785">
        <v>1.4252546240838151E-2</v>
      </c>
      <c r="F785">
        <f t="shared" si="30"/>
        <v>-1.8364358829378875E-2</v>
      </c>
      <c r="G785">
        <f t="shared" si="31"/>
        <v>-2.9836011288289555E-2</v>
      </c>
    </row>
    <row r="786" spans="1:7" x14ac:dyDescent="0.35">
      <c r="A786" t="s">
        <v>52</v>
      </c>
      <c r="E786">
        <v>-7.6030216811842069E-3</v>
      </c>
      <c r="F786">
        <f t="shared" si="30"/>
        <v>-1.8365361118170609E-2</v>
      </c>
      <c r="G786">
        <f t="shared" si="31"/>
        <v>-2.9836011288289555E-2</v>
      </c>
    </row>
    <row r="787" spans="1:7" x14ac:dyDescent="0.35">
      <c r="A787" t="s">
        <v>52</v>
      </c>
      <c r="E787">
        <v>-1.8359347385420204E-2</v>
      </c>
      <c r="F787">
        <f t="shared" si="30"/>
        <v>-1.8366363406962342E-2</v>
      </c>
      <c r="G787">
        <f t="shared" si="31"/>
        <v>-2.9836011288289555E-2</v>
      </c>
    </row>
    <row r="788" spans="1:7" x14ac:dyDescent="0.35">
      <c r="A788" t="s">
        <v>52</v>
      </c>
      <c r="E788">
        <v>2.0317492669038449E-2</v>
      </c>
      <c r="F788">
        <f t="shared" si="30"/>
        <v>-1.834067593217582E-2</v>
      </c>
      <c r="G788">
        <f t="shared" si="31"/>
        <v>-2.9836011288289555E-2</v>
      </c>
    </row>
    <row r="789" spans="1:7" x14ac:dyDescent="0.35">
      <c r="A789" t="s">
        <v>52</v>
      </c>
      <c r="E789">
        <v>7.9764176060487888E-3</v>
      </c>
      <c r="F789">
        <f t="shared" si="30"/>
        <v>-1.8343902367932406E-2</v>
      </c>
      <c r="G789">
        <f t="shared" si="31"/>
        <v>-2.9836011288289555E-2</v>
      </c>
    </row>
    <row r="790" spans="1:7" x14ac:dyDescent="0.35">
      <c r="A790" t="s">
        <v>52</v>
      </c>
      <c r="E790">
        <v>-3.2520184446035619E-2</v>
      </c>
      <c r="F790">
        <f t="shared" si="30"/>
        <v>-1.8347128803688995E-2</v>
      </c>
      <c r="G790">
        <f t="shared" si="31"/>
        <v>-2.9836011288289555E-2</v>
      </c>
    </row>
    <row r="791" spans="1:7" x14ac:dyDescent="0.35">
      <c r="A791" t="s">
        <v>52</v>
      </c>
      <c r="E791">
        <v>1.9358565497205139E-2</v>
      </c>
      <c r="F791">
        <f t="shared" si="30"/>
        <v>-1.8302929277225446E-2</v>
      </c>
      <c r="G791">
        <f t="shared" si="31"/>
        <v>-2.9741936321402714E-2</v>
      </c>
    </row>
    <row r="792" spans="1:7" x14ac:dyDescent="0.35">
      <c r="A792" t="s">
        <v>52</v>
      </c>
      <c r="E792">
        <v>1.143777361942494E-2</v>
      </c>
      <c r="F792">
        <f t="shared" si="30"/>
        <v>-1.8304255407102964E-2</v>
      </c>
      <c r="G792">
        <f t="shared" si="31"/>
        <v>-2.9741936321402714E-2</v>
      </c>
    </row>
    <row r="793" spans="1:7" x14ac:dyDescent="0.35">
      <c r="A793" t="s">
        <v>53</v>
      </c>
      <c r="B793" s="3" cm="1">
        <f t="array" ref="B793">_xlfn.STDEV.S(_xlfn._xlws.FILTER($E$2:$E$1000, $A$2:$A$1000="2013-03"))</f>
        <v>1.3853069583714274E-2</v>
      </c>
      <c r="C793" s="3" cm="1">
        <f t="array" ref="C793">AVERAGE(_xlfn._xlws.FILTER($E$2:$E$1000, $A$2:$A$1000="2013-03"))</f>
        <v>-1.9215630101573078E-3</v>
      </c>
      <c r="D793" s="3" cm="1">
        <f t="array" ref="D793">_xlfn.PERCENTILE.EXC(_xlfn._xlws.FILTER($E$751:$E$999, $A$751:$A$999="2013-03"), 0.05)</f>
        <v>-2.290261333893992E-2</v>
      </c>
      <c r="E793">
        <v>-5.2627212233846751E-3</v>
      </c>
      <c r="F793">
        <f t="shared" si="30"/>
        <v>-1.8305581536980482E-2</v>
      </c>
      <c r="G793">
        <f t="shared" si="31"/>
        <v>-2.9741936321402714E-2</v>
      </c>
    </row>
    <row r="794" spans="1:7" x14ac:dyDescent="0.35">
      <c r="A794" t="s">
        <v>53</v>
      </c>
      <c r="E794">
        <v>7.2048700925998344E-3</v>
      </c>
      <c r="F794">
        <f t="shared" si="30"/>
        <v>-1.8306907666858E-2</v>
      </c>
      <c r="G794">
        <f t="shared" si="31"/>
        <v>-2.9741936321402714E-2</v>
      </c>
    </row>
    <row r="795" spans="1:7" x14ac:dyDescent="0.35">
      <c r="A795" t="s">
        <v>53</v>
      </c>
      <c r="E795">
        <v>2.1237060563892355E-2</v>
      </c>
      <c r="F795">
        <f t="shared" si="30"/>
        <v>-1.8308233796735518E-2</v>
      </c>
      <c r="G795">
        <f t="shared" si="31"/>
        <v>-2.9741936321402714E-2</v>
      </c>
    </row>
    <row r="796" spans="1:7" x14ac:dyDescent="0.35">
      <c r="A796" t="s">
        <v>53</v>
      </c>
      <c r="E796">
        <v>-7.6748359706153855E-3</v>
      </c>
      <c r="F796">
        <f t="shared" si="30"/>
        <v>-1.8309559926613036E-2</v>
      </c>
      <c r="G796">
        <f t="shared" si="31"/>
        <v>-2.9741936321402714E-2</v>
      </c>
    </row>
    <row r="797" spans="1:7" x14ac:dyDescent="0.35">
      <c r="A797" t="s">
        <v>53</v>
      </c>
      <c r="E797">
        <v>3.606404673053479E-3</v>
      </c>
      <c r="F797">
        <f t="shared" si="30"/>
        <v>-1.8310886056490554E-2</v>
      </c>
      <c r="G797">
        <f t="shared" si="31"/>
        <v>-2.9741936321402714E-2</v>
      </c>
    </row>
    <row r="798" spans="1:7" x14ac:dyDescent="0.35">
      <c r="A798" t="s">
        <v>53</v>
      </c>
      <c r="E798">
        <v>2.8091074466252947E-2</v>
      </c>
      <c r="F798">
        <f t="shared" si="30"/>
        <v>-1.8312212186368072E-2</v>
      </c>
      <c r="G798">
        <f t="shared" si="31"/>
        <v>-2.9741936321402714E-2</v>
      </c>
    </row>
    <row r="799" spans="1:7" x14ac:dyDescent="0.35">
      <c r="A799" t="s">
        <v>53</v>
      </c>
      <c r="E799">
        <v>-8.5785481709692735E-3</v>
      </c>
      <c r="F799">
        <f t="shared" si="30"/>
        <v>-1.8313538316245589E-2</v>
      </c>
      <c r="G799">
        <f t="shared" si="31"/>
        <v>-2.9741936321402714E-2</v>
      </c>
    </row>
    <row r="800" spans="1:7" x14ac:dyDescent="0.35">
      <c r="A800" t="s">
        <v>53</v>
      </c>
      <c r="E800">
        <v>-2.5868087253428642E-3</v>
      </c>
      <c r="F800">
        <f t="shared" si="30"/>
        <v>-1.8314864446123107E-2</v>
      </c>
      <c r="G800">
        <f t="shared" si="31"/>
        <v>-2.9741936321402714E-2</v>
      </c>
    </row>
    <row r="801" spans="1:7" x14ac:dyDescent="0.35">
      <c r="A801" t="s">
        <v>53</v>
      </c>
      <c r="E801">
        <v>-3.9928182413633299E-3</v>
      </c>
      <c r="F801">
        <f t="shared" si="30"/>
        <v>-1.8318090881879696E-2</v>
      </c>
      <c r="G801">
        <f t="shared" si="31"/>
        <v>-2.9818116800571247E-2</v>
      </c>
    </row>
    <row r="802" spans="1:7" x14ac:dyDescent="0.35">
      <c r="A802" t="s">
        <v>53</v>
      </c>
      <c r="E802">
        <v>1.8606055447933357E-2</v>
      </c>
      <c r="F802">
        <f t="shared" si="30"/>
        <v>-1.8321317317636285E-2</v>
      </c>
      <c r="G802">
        <f t="shared" si="31"/>
        <v>-2.9818116800571247E-2</v>
      </c>
    </row>
    <row r="803" spans="1:7" x14ac:dyDescent="0.35">
      <c r="A803" t="s">
        <v>53</v>
      </c>
      <c r="E803">
        <v>-4.4915280695348326E-3</v>
      </c>
      <c r="F803">
        <f t="shared" si="30"/>
        <v>-1.8324543753392875E-2</v>
      </c>
      <c r="G803">
        <f t="shared" si="31"/>
        <v>-2.9818116800571247E-2</v>
      </c>
    </row>
    <row r="804" spans="1:7" x14ac:dyDescent="0.35">
      <c r="A804" t="s">
        <v>53</v>
      </c>
      <c r="E804">
        <v>-1.2997281097571086E-2</v>
      </c>
      <c r="F804">
        <f t="shared" si="30"/>
        <v>-1.8327770189149464E-2</v>
      </c>
      <c r="G804">
        <f t="shared" si="31"/>
        <v>-2.9818116800571247E-2</v>
      </c>
    </row>
    <row r="805" spans="1:7" x14ac:dyDescent="0.35">
      <c r="A805" t="s">
        <v>53</v>
      </c>
      <c r="E805">
        <v>-2.2200949856138193E-2</v>
      </c>
      <c r="F805">
        <f t="shared" si="30"/>
        <v>-1.8330996624906053E-2</v>
      </c>
      <c r="G805">
        <f t="shared" si="31"/>
        <v>-2.9818116800571247E-2</v>
      </c>
    </row>
    <row r="806" spans="1:7" x14ac:dyDescent="0.35">
      <c r="A806" t="s">
        <v>53</v>
      </c>
      <c r="E806">
        <v>1.1387861829576408E-2</v>
      </c>
      <c r="F806">
        <f t="shared" si="30"/>
        <v>-1.8296298627837861E-2</v>
      </c>
      <c r="G806">
        <f t="shared" si="31"/>
        <v>-2.9792209564504481E-2</v>
      </c>
    </row>
    <row r="807" spans="1:7" x14ac:dyDescent="0.35">
      <c r="A807" t="s">
        <v>53</v>
      </c>
      <c r="E807">
        <v>-7.7650606359176179E-3</v>
      </c>
      <c r="F807">
        <f t="shared" si="30"/>
        <v>-1.8297624757715378E-2</v>
      </c>
      <c r="G807">
        <f t="shared" si="31"/>
        <v>-2.9792209564504481E-2</v>
      </c>
    </row>
    <row r="808" spans="1:7" x14ac:dyDescent="0.35">
      <c r="A808" t="s">
        <v>53</v>
      </c>
      <c r="E808">
        <v>-2.6018107443171921E-3</v>
      </c>
      <c r="F808">
        <f t="shared" si="30"/>
        <v>-1.8298950887592896E-2</v>
      </c>
      <c r="G808">
        <f t="shared" si="31"/>
        <v>-2.9792209564504481E-2</v>
      </c>
    </row>
    <row r="809" spans="1:7" x14ac:dyDescent="0.35">
      <c r="A809" t="s">
        <v>53</v>
      </c>
      <c r="E809">
        <v>-2.2939542995929485E-2</v>
      </c>
      <c r="F809">
        <f t="shared" si="30"/>
        <v>-1.8300277017470411E-2</v>
      </c>
      <c r="G809">
        <f t="shared" si="31"/>
        <v>-2.9792209564504481E-2</v>
      </c>
    </row>
    <row r="810" spans="1:7" x14ac:dyDescent="0.35">
      <c r="A810" t="s">
        <v>53</v>
      </c>
      <c r="E810">
        <v>-1.8610551328678619E-2</v>
      </c>
      <c r="F810">
        <f t="shared" si="30"/>
        <v>-1.8256416212440563E-2</v>
      </c>
      <c r="G810">
        <f t="shared" si="31"/>
        <v>-2.9761201556855431E-2</v>
      </c>
    </row>
    <row r="811" spans="1:7" x14ac:dyDescent="0.35">
      <c r="A811" t="s">
        <v>53</v>
      </c>
      <c r="E811">
        <v>-1.1339944940460939E-2</v>
      </c>
      <c r="F811">
        <f t="shared" si="30"/>
        <v>-1.821738930484517E-2</v>
      </c>
      <c r="G811">
        <f t="shared" si="31"/>
        <v>-2.9758627818506297E-2</v>
      </c>
    </row>
    <row r="812" spans="1:7" x14ac:dyDescent="0.35">
      <c r="A812" t="s">
        <v>53</v>
      </c>
      <c r="E812">
        <v>2.4778147237689632E-3</v>
      </c>
      <c r="F812">
        <f t="shared" si="30"/>
        <v>-1.8218178335007749E-2</v>
      </c>
      <c r="G812">
        <f t="shared" si="31"/>
        <v>-2.9758627818506297E-2</v>
      </c>
    </row>
    <row r="813" spans="1:7" x14ac:dyDescent="0.35">
      <c r="A813" t="s">
        <v>54</v>
      </c>
      <c r="B813" s="3" cm="1">
        <f t="array" ref="B813">_xlfn.STDEV.S(_xlfn._xlws.FILTER($E$2:$E$1000, $A$2:$A$1000="2013-04"))</f>
        <v>1.4728871930831345E-2</v>
      </c>
      <c r="C813" s="3" cm="1">
        <f t="array" ref="C813">AVERAGE(_xlfn._xlws.FILTER($E$2:$E$1000, $A$2:$A$1000="2013-04"))</f>
        <v>2.9095166918663255E-3</v>
      </c>
      <c r="D813" s="3" cm="1">
        <f t="array" ref="D813">_xlfn.PERCENTILE.EXC(_xlfn._xlws.FILTER($E$751:$E$999, $A$751:$A$999="2013-04"), 0.05)</f>
        <v>-1.8481592777682503E-2</v>
      </c>
      <c r="E813">
        <v>1.6330573810651974E-2</v>
      </c>
      <c r="F813">
        <f t="shared" si="30"/>
        <v>-1.8218967365170327E-2</v>
      </c>
      <c r="G813">
        <f t="shared" si="31"/>
        <v>-2.9758627818506297E-2</v>
      </c>
    </row>
    <row r="814" spans="1:7" x14ac:dyDescent="0.35">
      <c r="A814" t="s">
        <v>54</v>
      </c>
      <c r="E814">
        <v>-1.8314864446123107E-2</v>
      </c>
      <c r="F814">
        <f t="shared" si="30"/>
        <v>-1.8219756395332905E-2</v>
      </c>
      <c r="G814">
        <f t="shared" si="31"/>
        <v>-2.9758627818506297E-2</v>
      </c>
    </row>
    <row r="815" spans="1:7" x14ac:dyDescent="0.35">
      <c r="A815" t="s">
        <v>54</v>
      </c>
      <c r="E815">
        <v>-7.1609351088806495E-3</v>
      </c>
      <c r="F815">
        <f t="shared" si="30"/>
        <v>-1.8191263015893515E-2</v>
      </c>
      <c r="G815">
        <f t="shared" si="31"/>
        <v>-2.975792012201919E-2</v>
      </c>
    </row>
    <row r="816" spans="1:7" x14ac:dyDescent="0.35">
      <c r="A816" t="s">
        <v>54</v>
      </c>
      <c r="E816">
        <v>-6.3273956332326022E-3</v>
      </c>
      <c r="F816">
        <f t="shared" si="30"/>
        <v>-1.8194752407326174E-2</v>
      </c>
      <c r="G816">
        <f t="shared" si="31"/>
        <v>-2.975792012201919E-2</v>
      </c>
    </row>
    <row r="817" spans="1:7" x14ac:dyDescent="0.35">
      <c r="A817" t="s">
        <v>54</v>
      </c>
      <c r="E817">
        <v>-1.4500660203437038E-3</v>
      </c>
      <c r="F817">
        <f t="shared" si="30"/>
        <v>-1.8198241798758837E-2</v>
      </c>
      <c r="G817">
        <f t="shared" si="31"/>
        <v>-2.975792012201919E-2</v>
      </c>
    </row>
    <row r="818" spans="1:7" x14ac:dyDescent="0.35">
      <c r="A818" t="s">
        <v>54</v>
      </c>
      <c r="E818">
        <v>1.0907155564636475E-2</v>
      </c>
      <c r="F818">
        <f t="shared" si="30"/>
        <v>-1.8201731190191497E-2</v>
      </c>
      <c r="G818">
        <f t="shared" si="31"/>
        <v>-2.975792012201919E-2</v>
      </c>
    </row>
    <row r="819" spans="1:7" x14ac:dyDescent="0.35">
      <c r="A819" t="s">
        <v>54</v>
      </c>
      <c r="E819">
        <v>3.297214775315218E-2</v>
      </c>
      <c r="F819">
        <f t="shared" si="30"/>
        <v>-1.8205220581624156E-2</v>
      </c>
      <c r="G819">
        <f t="shared" si="31"/>
        <v>-2.975792012201919E-2</v>
      </c>
    </row>
    <row r="820" spans="1:7" x14ac:dyDescent="0.35">
      <c r="A820" t="s">
        <v>54</v>
      </c>
      <c r="E820">
        <v>2.8350708426573444E-3</v>
      </c>
      <c r="F820">
        <f t="shared" si="30"/>
        <v>-1.8208709973056816E-2</v>
      </c>
      <c r="G820">
        <f t="shared" si="31"/>
        <v>-2.975792012201919E-2</v>
      </c>
    </row>
    <row r="821" spans="1:7" x14ac:dyDescent="0.35">
      <c r="A821" t="s">
        <v>54</v>
      </c>
      <c r="E821">
        <v>-1.4704059391748294E-2</v>
      </c>
      <c r="F821">
        <f t="shared" si="30"/>
        <v>-1.8209499003219394E-2</v>
      </c>
      <c r="G821">
        <f t="shared" si="31"/>
        <v>-2.9835431599529005E-2</v>
      </c>
    </row>
    <row r="822" spans="1:7" x14ac:dyDescent="0.35">
      <c r="A822" t="s">
        <v>54</v>
      </c>
      <c r="E822">
        <v>-3.2763428977883591E-3</v>
      </c>
      <c r="F822">
        <f t="shared" si="30"/>
        <v>-1.8210288033381972E-2</v>
      </c>
      <c r="G822">
        <f t="shared" si="31"/>
        <v>-2.9835431599529005E-2</v>
      </c>
    </row>
    <row r="823" spans="1:7" x14ac:dyDescent="0.35">
      <c r="A823" t="s">
        <v>54</v>
      </c>
      <c r="E823">
        <v>-8.1940970168356657E-3</v>
      </c>
      <c r="F823">
        <f t="shared" si="30"/>
        <v>-1.8211077063544551E-2</v>
      </c>
      <c r="G823">
        <f t="shared" si="31"/>
        <v>-2.9835431599529005E-2</v>
      </c>
    </row>
    <row r="824" spans="1:7" x14ac:dyDescent="0.35">
      <c r="A824" t="s">
        <v>54</v>
      </c>
      <c r="E824">
        <v>-1.8500118147855769E-2</v>
      </c>
      <c r="F824">
        <f t="shared" si="30"/>
        <v>-1.8211866093707126E-2</v>
      </c>
      <c r="G824">
        <f t="shared" si="31"/>
        <v>-2.9835431599529005E-2</v>
      </c>
    </row>
    <row r="825" spans="1:7" x14ac:dyDescent="0.35">
      <c r="A825" t="s">
        <v>54</v>
      </c>
      <c r="E825">
        <v>1.2167399278957428E-3</v>
      </c>
      <c r="F825">
        <f t="shared" si="30"/>
        <v>-1.815636910156692E-2</v>
      </c>
      <c r="G825">
        <f t="shared" si="31"/>
        <v>-2.9833475839966591E-2</v>
      </c>
    </row>
    <row r="826" spans="1:7" x14ac:dyDescent="0.35">
      <c r="A826" t="s">
        <v>54</v>
      </c>
      <c r="E826">
        <v>1.3097847469175389E-2</v>
      </c>
      <c r="F826">
        <f t="shared" si="30"/>
        <v>-1.8159858492999576E-2</v>
      </c>
      <c r="G826">
        <f t="shared" si="31"/>
        <v>-2.9833475839966591E-2</v>
      </c>
    </row>
    <row r="827" spans="1:7" x14ac:dyDescent="0.35">
      <c r="A827" t="s">
        <v>54</v>
      </c>
      <c r="E827">
        <v>1.4075198496377495E-2</v>
      </c>
      <c r="F827">
        <f t="shared" si="30"/>
        <v>-1.8163347884432239E-2</v>
      </c>
      <c r="G827">
        <f t="shared" si="31"/>
        <v>-2.9833475839966591E-2</v>
      </c>
    </row>
    <row r="828" spans="1:7" x14ac:dyDescent="0.35">
      <c r="A828" t="s">
        <v>54</v>
      </c>
      <c r="E828">
        <v>3.2067465470717975E-2</v>
      </c>
      <c r="F828">
        <f t="shared" si="30"/>
        <v>-1.8166837275864899E-2</v>
      </c>
      <c r="G828">
        <f t="shared" si="31"/>
        <v>-2.9833475839966591E-2</v>
      </c>
    </row>
    <row r="829" spans="1:7" x14ac:dyDescent="0.35">
      <c r="A829" t="s">
        <v>54</v>
      </c>
      <c r="E829">
        <v>1.1991557841700256E-2</v>
      </c>
      <c r="F829">
        <f t="shared" si="30"/>
        <v>-1.8170326667297558E-2</v>
      </c>
      <c r="G829">
        <f t="shared" si="31"/>
        <v>-2.9833475839966591E-2</v>
      </c>
    </row>
    <row r="830" spans="1:7" x14ac:dyDescent="0.35">
      <c r="A830" t="s">
        <v>54</v>
      </c>
      <c r="E830">
        <v>-2.8887954005347946E-3</v>
      </c>
      <c r="F830">
        <f t="shared" si="30"/>
        <v>-1.8173816058730217E-2</v>
      </c>
      <c r="G830">
        <f t="shared" si="31"/>
        <v>-2.9833475839966591E-2</v>
      </c>
    </row>
    <row r="831" spans="1:7" x14ac:dyDescent="0.35">
      <c r="A831" t="s">
        <v>54</v>
      </c>
      <c r="E831">
        <v>-8.1742852578077872E-3</v>
      </c>
      <c r="F831">
        <f t="shared" si="30"/>
        <v>-1.8177305450162877E-2</v>
      </c>
      <c r="G831">
        <f t="shared" si="31"/>
        <v>-2.9833475839966591E-2</v>
      </c>
    </row>
    <row r="832" spans="1:7" x14ac:dyDescent="0.35">
      <c r="A832" t="s">
        <v>54</v>
      </c>
      <c r="E832">
        <v>1.8378940891006335E-2</v>
      </c>
      <c r="F832">
        <f t="shared" si="30"/>
        <v>-1.8180794841595536E-2</v>
      </c>
      <c r="G832">
        <f t="shared" si="31"/>
        <v>-2.9833475839966591E-2</v>
      </c>
    </row>
    <row r="833" spans="1:7" x14ac:dyDescent="0.35">
      <c r="A833" t="s">
        <v>54</v>
      </c>
      <c r="E833">
        <v>-3.7818882176276023E-3</v>
      </c>
      <c r="F833">
        <f t="shared" si="30"/>
        <v>-1.8184284233028196E-2</v>
      </c>
      <c r="G833">
        <f t="shared" si="31"/>
        <v>-2.9833475839966591E-2</v>
      </c>
    </row>
    <row r="834" spans="1:7" x14ac:dyDescent="0.35">
      <c r="A834" t="s">
        <v>55</v>
      </c>
      <c r="B834" s="3" cm="1">
        <f t="array" ref="B834">_xlfn.STDEV.S(_xlfn._xlws.FILTER($E$2:$E$1000, $A$2:$A$1000="2013-05"))</f>
        <v>1.0598317914710066E-2</v>
      </c>
      <c r="C834" s="3" cm="1">
        <f t="array" ref="C834">AVERAGE(_xlfn._xlws.FILTER($E$2:$E$1000, $A$2:$A$1000="2013-05"))</f>
        <v>-5.8783443689917403E-4</v>
      </c>
      <c r="D834" s="3" cm="1">
        <f t="array" ref="D834">_xlfn.PERCENTILE.EXC(_xlfn._xlws.FILTER($E$751:$E$999, $A$751:$A$999="2013-05"), 0.05)</f>
        <v>-1.4105016352725186E-2</v>
      </c>
      <c r="E834">
        <v>-1.4977358464433152E-3</v>
      </c>
      <c r="F834">
        <f t="shared" si="30"/>
        <v>-1.8187773624460855E-2</v>
      </c>
      <c r="G834">
        <f t="shared" si="31"/>
        <v>-2.9833475839966591E-2</v>
      </c>
    </row>
    <row r="835" spans="1:7" x14ac:dyDescent="0.35">
      <c r="A835" t="s">
        <v>55</v>
      </c>
      <c r="E835">
        <v>1.6329590284264821E-2</v>
      </c>
      <c r="F835">
        <f t="shared" si="30"/>
        <v>-1.8191263015893515E-2</v>
      </c>
      <c r="G835">
        <f t="shared" si="31"/>
        <v>-2.9833475839966591E-2</v>
      </c>
    </row>
    <row r="836" spans="1:7" x14ac:dyDescent="0.35">
      <c r="A836" t="s">
        <v>55</v>
      </c>
      <c r="E836">
        <v>-9.362857550954252E-5</v>
      </c>
      <c r="F836">
        <f t="shared" ref="F836:F899" si="32">_xlfn.PERCENTILE.EXC(E836:E4651,0.05)</f>
        <v>-1.8194752407326174E-2</v>
      </c>
      <c r="G836">
        <f t="shared" ref="G836:G899" si="33">AVERAGEIFS(E836:E4652,E836:E4652,"&lt;=" &amp; F836)</f>
        <v>-2.9833475839966591E-2</v>
      </c>
    </row>
    <row r="837" spans="1:7" x14ac:dyDescent="0.35">
      <c r="A837" t="s">
        <v>55</v>
      </c>
      <c r="E837">
        <v>6.1840229744680921E-3</v>
      </c>
      <c r="F837">
        <f t="shared" si="32"/>
        <v>-1.8198241798758837E-2</v>
      </c>
      <c r="G837">
        <f t="shared" si="33"/>
        <v>-2.9833475839966591E-2</v>
      </c>
    </row>
    <row r="838" spans="1:7" x14ac:dyDescent="0.35">
      <c r="A838" t="s">
        <v>55</v>
      </c>
      <c r="E838">
        <v>-2.8305696924872952E-3</v>
      </c>
      <c r="F838">
        <f t="shared" si="32"/>
        <v>-1.8201731190191497E-2</v>
      </c>
      <c r="G838">
        <f t="shared" si="33"/>
        <v>-2.9833475839966591E-2</v>
      </c>
    </row>
    <row r="839" spans="1:7" x14ac:dyDescent="0.35">
      <c r="A839" t="s">
        <v>55</v>
      </c>
      <c r="E839">
        <v>-3.2949343949932068E-3</v>
      </c>
      <c r="F839">
        <f t="shared" si="32"/>
        <v>-1.8205220581624156E-2</v>
      </c>
      <c r="G839">
        <f t="shared" si="33"/>
        <v>-2.9833475839966591E-2</v>
      </c>
    </row>
    <row r="840" spans="1:7" x14ac:dyDescent="0.35">
      <c r="A840" t="s">
        <v>55</v>
      </c>
      <c r="E840">
        <v>-1.0198708586175763E-2</v>
      </c>
      <c r="F840">
        <f t="shared" si="32"/>
        <v>-1.8208709973056816E-2</v>
      </c>
      <c r="G840">
        <f t="shared" si="33"/>
        <v>-2.9833475839966591E-2</v>
      </c>
    </row>
    <row r="841" spans="1:7" x14ac:dyDescent="0.35">
      <c r="A841" t="s">
        <v>55</v>
      </c>
      <c r="E841">
        <v>1.9843619939016468E-3</v>
      </c>
      <c r="F841">
        <f t="shared" si="32"/>
        <v>-1.8209499003219394E-2</v>
      </c>
      <c r="G841">
        <f t="shared" si="33"/>
        <v>-2.9912021555283556E-2</v>
      </c>
    </row>
    <row r="842" spans="1:7" x14ac:dyDescent="0.35">
      <c r="A842" t="s">
        <v>55</v>
      </c>
      <c r="E842">
        <v>1.2651791837157794E-2</v>
      </c>
      <c r="F842">
        <f t="shared" si="32"/>
        <v>-1.8210288033381972E-2</v>
      </c>
      <c r="G842">
        <f t="shared" si="33"/>
        <v>-2.9912021555283556E-2</v>
      </c>
    </row>
    <row r="843" spans="1:7" x14ac:dyDescent="0.35">
      <c r="A843" t="s">
        <v>55</v>
      </c>
      <c r="E843">
        <v>-4.6949539664882817E-3</v>
      </c>
      <c r="F843">
        <f t="shared" si="32"/>
        <v>-1.8211077063544551E-2</v>
      </c>
      <c r="G843">
        <f t="shared" si="33"/>
        <v>-2.9912021555283556E-2</v>
      </c>
    </row>
    <row r="844" spans="1:7" x14ac:dyDescent="0.35">
      <c r="A844" t="s">
        <v>55</v>
      </c>
      <c r="E844">
        <v>4.6833022819458827E-3</v>
      </c>
      <c r="F844">
        <f t="shared" si="32"/>
        <v>-1.8211866093707126E-2</v>
      </c>
      <c r="G844">
        <f t="shared" si="33"/>
        <v>-2.9912021555283556E-2</v>
      </c>
    </row>
    <row r="845" spans="1:7" x14ac:dyDescent="0.35">
      <c r="A845" t="s">
        <v>55</v>
      </c>
      <c r="E845">
        <v>-7.8607928639345473E-3</v>
      </c>
      <c r="F845">
        <f t="shared" si="32"/>
        <v>-1.8212655123869704E-2</v>
      </c>
      <c r="G845">
        <f t="shared" si="33"/>
        <v>-2.9912021555283556E-2</v>
      </c>
    </row>
    <row r="846" spans="1:7" x14ac:dyDescent="0.35">
      <c r="A846" t="s">
        <v>55</v>
      </c>
      <c r="E846">
        <v>-5.9718547060656768E-3</v>
      </c>
      <c r="F846">
        <f t="shared" si="32"/>
        <v>-1.8213444154032282E-2</v>
      </c>
      <c r="G846">
        <f t="shared" si="33"/>
        <v>-2.9912021555283556E-2</v>
      </c>
    </row>
    <row r="847" spans="1:7" x14ac:dyDescent="0.35">
      <c r="A847" t="s">
        <v>55</v>
      </c>
      <c r="E847">
        <v>-2.4812576558906152E-4</v>
      </c>
      <c r="F847">
        <f t="shared" si="32"/>
        <v>-1.8214233184194861E-2</v>
      </c>
      <c r="G847">
        <f t="shared" si="33"/>
        <v>-2.9912021555283556E-2</v>
      </c>
    </row>
    <row r="848" spans="1:7" x14ac:dyDescent="0.35">
      <c r="A848" t="s">
        <v>55</v>
      </c>
      <c r="E848">
        <v>-1.4138043418742887E-2</v>
      </c>
      <c r="F848">
        <f t="shared" si="32"/>
        <v>-1.8215022214357439E-2</v>
      </c>
      <c r="G848">
        <f t="shared" si="33"/>
        <v>-2.9912021555283556E-2</v>
      </c>
    </row>
    <row r="849" spans="1:7" x14ac:dyDescent="0.35">
      <c r="A849" t="s">
        <v>55</v>
      </c>
      <c r="E849">
        <v>-9.5134446632178845E-3</v>
      </c>
      <c r="F849">
        <f t="shared" si="32"/>
        <v>-1.8215811244520017E-2</v>
      </c>
      <c r="G849">
        <f t="shared" si="33"/>
        <v>-2.9912021555283556E-2</v>
      </c>
    </row>
    <row r="850" spans="1:7" x14ac:dyDescent="0.35">
      <c r="A850" t="s">
        <v>55</v>
      </c>
      <c r="E850">
        <v>2.9413359127931162E-2</v>
      </c>
      <c r="F850">
        <f t="shared" si="32"/>
        <v>-1.8216600274682596E-2</v>
      </c>
      <c r="G850">
        <f t="shared" si="33"/>
        <v>-2.9912021555283556E-2</v>
      </c>
    </row>
    <row r="851" spans="1:7" x14ac:dyDescent="0.35">
      <c r="A851" t="s">
        <v>55</v>
      </c>
      <c r="E851">
        <v>-8.2109822493824682E-3</v>
      </c>
      <c r="F851">
        <f t="shared" si="32"/>
        <v>-1.821738930484517E-2</v>
      </c>
      <c r="G851">
        <f t="shared" si="33"/>
        <v>-2.9912021555283556E-2</v>
      </c>
    </row>
    <row r="852" spans="1:7" x14ac:dyDescent="0.35">
      <c r="A852" t="s">
        <v>55</v>
      </c>
      <c r="E852">
        <v>-9.7184041023409373E-4</v>
      </c>
      <c r="F852">
        <f t="shared" si="32"/>
        <v>-1.8218178335007749E-2</v>
      </c>
      <c r="G852">
        <f t="shared" si="33"/>
        <v>-2.9912021555283556E-2</v>
      </c>
    </row>
    <row r="853" spans="1:7" x14ac:dyDescent="0.35">
      <c r="A853" t="s">
        <v>55</v>
      </c>
      <c r="E853">
        <v>-1.3477502098388853E-2</v>
      </c>
      <c r="F853">
        <f t="shared" si="32"/>
        <v>-1.8218967365170327E-2</v>
      </c>
      <c r="G853">
        <f t="shared" si="33"/>
        <v>-2.9912021555283556E-2</v>
      </c>
    </row>
    <row r="854" spans="1:7" x14ac:dyDescent="0.35">
      <c r="A854" t="s">
        <v>56</v>
      </c>
      <c r="B854" s="3" cm="1">
        <f t="array" ref="B854">_xlfn.STDEV.S(_xlfn._xlws.FILTER($E$2:$E$1000, $A$2:$A$1000="2013-06"))</f>
        <v>1.33648134982765E-2</v>
      </c>
      <c r="C854" s="3" cm="1">
        <f t="array" ref="C854">AVERAGE(_xlfn._xlws.FILTER($E$2:$E$1000, $A$2:$A$1000="2013-06"))</f>
        <v>-3.4702077897262409E-3</v>
      </c>
      <c r="D854" s="3" cm="1">
        <f t="array" ref="D854">_xlfn.PERCENTILE.EXC(_xlfn._xlws.FILTER($E$751:$E$999, $A$751:$A$999="2013-06"), 0.05)</f>
        <v>-3.3929796683348362E-2</v>
      </c>
      <c r="E854">
        <v>-4.3601393976846091E-3</v>
      </c>
      <c r="F854">
        <f t="shared" si="32"/>
        <v>-1.8219756395332905E-2</v>
      </c>
      <c r="G854">
        <f t="shared" si="33"/>
        <v>-2.9912021555283556E-2</v>
      </c>
    </row>
    <row r="855" spans="1:7" x14ac:dyDescent="0.35">
      <c r="A855" t="s">
        <v>56</v>
      </c>
      <c r="E855">
        <v>9.4429861795300805E-3</v>
      </c>
      <c r="F855">
        <f t="shared" si="32"/>
        <v>-1.8220545425495484E-2</v>
      </c>
      <c r="G855">
        <f t="shared" si="33"/>
        <v>-2.9912021555283556E-2</v>
      </c>
    </row>
    <row r="856" spans="1:7" x14ac:dyDescent="0.35">
      <c r="A856" t="s">
        <v>56</v>
      </c>
      <c r="E856">
        <v>-8.6828097337308813E-3</v>
      </c>
      <c r="F856">
        <f t="shared" si="32"/>
        <v>-1.8221334455658062E-2</v>
      </c>
      <c r="G856">
        <f t="shared" si="33"/>
        <v>-2.9912021555283556E-2</v>
      </c>
    </row>
    <row r="857" spans="1:7" x14ac:dyDescent="0.35">
      <c r="A857" t="s">
        <v>56</v>
      </c>
      <c r="E857">
        <v>-8.9657360581651881E-3</v>
      </c>
      <c r="F857">
        <f t="shared" si="32"/>
        <v>-1.8222123485820637E-2</v>
      </c>
      <c r="G857">
        <f t="shared" si="33"/>
        <v>-2.9912021555283556E-2</v>
      </c>
    </row>
    <row r="858" spans="1:7" x14ac:dyDescent="0.35">
      <c r="A858" t="s">
        <v>56</v>
      </c>
      <c r="E858">
        <v>6.0546313466869383E-3</v>
      </c>
      <c r="F858">
        <f t="shared" si="32"/>
        <v>-1.8222912515983215E-2</v>
      </c>
      <c r="G858">
        <f t="shared" si="33"/>
        <v>-2.9912021555283556E-2</v>
      </c>
    </row>
    <row r="859" spans="1:7" x14ac:dyDescent="0.35">
      <c r="A859" t="s">
        <v>56</v>
      </c>
      <c r="E859">
        <v>-4.753252553063087E-3</v>
      </c>
      <c r="F859">
        <f t="shared" si="32"/>
        <v>-1.8223701546145794E-2</v>
      </c>
      <c r="G859">
        <f t="shared" si="33"/>
        <v>-2.9912021555283556E-2</v>
      </c>
    </row>
    <row r="860" spans="1:7" x14ac:dyDescent="0.35">
      <c r="A860" t="s">
        <v>56</v>
      </c>
      <c r="E860">
        <v>-1.6927846650375809E-2</v>
      </c>
      <c r="F860">
        <f t="shared" si="32"/>
        <v>-1.8224490576308372E-2</v>
      </c>
      <c r="G860">
        <f t="shared" si="33"/>
        <v>-2.9912021555283556E-2</v>
      </c>
    </row>
    <row r="861" spans="1:7" x14ac:dyDescent="0.35">
      <c r="A861" t="s">
        <v>56</v>
      </c>
      <c r="E861">
        <v>4.2558242497856939E-3</v>
      </c>
      <c r="F861">
        <f t="shared" si="32"/>
        <v>-1.822768313992159E-2</v>
      </c>
      <c r="G861">
        <f t="shared" si="33"/>
        <v>-2.9991528568745967E-2</v>
      </c>
    </row>
    <row r="862" spans="1:7" x14ac:dyDescent="0.35">
      <c r="A862" t="s">
        <v>56</v>
      </c>
      <c r="E862">
        <v>-6.433908150279233E-3</v>
      </c>
      <c r="F862">
        <f t="shared" si="32"/>
        <v>-1.8230875703534811E-2</v>
      </c>
      <c r="G862">
        <f t="shared" si="33"/>
        <v>-2.9991528568745967E-2</v>
      </c>
    </row>
    <row r="863" spans="1:7" x14ac:dyDescent="0.35">
      <c r="A863" t="s">
        <v>56</v>
      </c>
      <c r="E863">
        <v>-9.9116623177835389E-5</v>
      </c>
      <c r="F863">
        <f t="shared" si="32"/>
        <v>-1.8234068267148029E-2</v>
      </c>
      <c r="G863">
        <f t="shared" si="33"/>
        <v>-2.9991528568745967E-2</v>
      </c>
    </row>
    <row r="864" spans="1:7" x14ac:dyDescent="0.35">
      <c r="A864" t="s">
        <v>56</v>
      </c>
      <c r="E864">
        <v>8.0705309957339808E-3</v>
      </c>
      <c r="F864">
        <f t="shared" si="32"/>
        <v>-1.8237260830761246E-2</v>
      </c>
      <c r="G864">
        <f t="shared" si="33"/>
        <v>-2.9991528568745967E-2</v>
      </c>
    </row>
    <row r="865" spans="1:7" x14ac:dyDescent="0.35">
      <c r="A865" t="s">
        <v>56</v>
      </c>
      <c r="E865">
        <v>5.3810689707100082E-3</v>
      </c>
      <c r="F865">
        <f t="shared" si="32"/>
        <v>-1.8240453394374467E-2</v>
      </c>
      <c r="G865">
        <f t="shared" si="33"/>
        <v>-2.9991528568745967E-2</v>
      </c>
    </row>
    <row r="866" spans="1:7" x14ac:dyDescent="0.35">
      <c r="A866" t="s">
        <v>56</v>
      </c>
      <c r="E866">
        <v>-1.0062437085493406E-2</v>
      </c>
      <c r="F866">
        <f t="shared" si="32"/>
        <v>-1.8243645957987685E-2</v>
      </c>
      <c r="G866">
        <f t="shared" si="33"/>
        <v>-2.9991528568745967E-2</v>
      </c>
    </row>
    <row r="867" spans="1:7" x14ac:dyDescent="0.35">
      <c r="A867" t="s">
        <v>56</v>
      </c>
      <c r="E867">
        <v>-3.470110240231368E-2</v>
      </c>
      <c r="F867">
        <f t="shared" si="32"/>
        <v>-1.8246838521600906E-2</v>
      </c>
      <c r="G867">
        <f t="shared" si="33"/>
        <v>-2.9991528568745967E-2</v>
      </c>
    </row>
    <row r="868" spans="1:7" x14ac:dyDescent="0.35">
      <c r="A868" t="s">
        <v>56</v>
      </c>
      <c r="E868">
        <v>-1.5706758157412824E-2</v>
      </c>
      <c r="F868">
        <f t="shared" si="32"/>
        <v>-1.8215022214357439E-2</v>
      </c>
      <c r="G868">
        <f t="shared" si="33"/>
        <v>-2.987944277401124E-2</v>
      </c>
    </row>
    <row r="869" spans="1:7" x14ac:dyDescent="0.35">
      <c r="A869" t="s">
        <v>56</v>
      </c>
      <c r="E869">
        <v>-1.927498802300728E-2</v>
      </c>
      <c r="F869">
        <f t="shared" si="32"/>
        <v>-1.8215811244520017E-2</v>
      </c>
      <c r="G869">
        <f t="shared" si="33"/>
        <v>-2.987944277401124E-2</v>
      </c>
    </row>
    <row r="870" spans="1:7" x14ac:dyDescent="0.35">
      <c r="A870" t="s">
        <v>56</v>
      </c>
      <c r="E870">
        <v>7.1895777636784763E-3</v>
      </c>
      <c r="F870">
        <f t="shared" si="32"/>
        <v>-1.8173816058730217E-2</v>
      </c>
      <c r="G870">
        <f t="shared" si="33"/>
        <v>-2.9872189181834704E-2</v>
      </c>
    </row>
    <row r="871" spans="1:7" x14ac:dyDescent="0.35">
      <c r="A871" t="s">
        <v>56</v>
      </c>
      <c r="E871">
        <v>2.7907220413979316E-2</v>
      </c>
      <c r="F871">
        <f t="shared" si="32"/>
        <v>-1.8177305450162877E-2</v>
      </c>
      <c r="G871">
        <f t="shared" si="33"/>
        <v>-2.9872189181834704E-2</v>
      </c>
    </row>
    <row r="872" spans="1:7" x14ac:dyDescent="0.35">
      <c r="A872" t="s">
        <v>56</v>
      </c>
      <c r="E872">
        <v>2.7317887216036069E-3</v>
      </c>
      <c r="F872">
        <f t="shared" si="32"/>
        <v>-1.8180794841595536E-2</v>
      </c>
      <c r="G872">
        <f t="shared" si="33"/>
        <v>-2.9872189181834704E-2</v>
      </c>
    </row>
    <row r="873" spans="1:7" x14ac:dyDescent="0.35">
      <c r="A873" t="s">
        <v>56</v>
      </c>
      <c r="E873">
        <v>-1.0469689601529081E-2</v>
      </c>
      <c r="F873">
        <f t="shared" si="32"/>
        <v>-1.8184284233028196E-2</v>
      </c>
      <c r="G873">
        <f t="shared" si="33"/>
        <v>-2.9872189181834704E-2</v>
      </c>
    </row>
    <row r="874" spans="1:7" x14ac:dyDescent="0.35">
      <c r="A874" t="s">
        <v>57</v>
      </c>
      <c r="B874" s="3" cm="1">
        <f t="array" ref="B874">_xlfn.STDEV.S(_xlfn._xlws.FILTER($E$2:$E$1000, $A$2:$A$1000="2013-07"))</f>
        <v>1.2642925362140327E-2</v>
      </c>
      <c r="C874" s="3" cm="1">
        <f t="array" ref="C874">AVERAGE(_xlfn._xlws.FILTER($E$2:$E$1000, $A$2:$A$1000="2013-07"))</f>
        <v>3.6030347978017905E-3</v>
      </c>
      <c r="D874" s="3" cm="1">
        <f t="array" ref="D874">_xlfn.PERCENTILE.EXC(_xlfn._xlws.FILTER($E$751:$E$999, $A$751:$A$999="2013-07"), 0.05)</f>
        <v>-2.2114196651262633E-2</v>
      </c>
      <c r="E874">
        <v>1.8430878207425505E-2</v>
      </c>
      <c r="F874">
        <f t="shared" si="32"/>
        <v>-1.8187773624460855E-2</v>
      </c>
      <c r="G874">
        <f t="shared" si="33"/>
        <v>-2.9872189181834704E-2</v>
      </c>
    </row>
    <row r="875" spans="1:7" x14ac:dyDescent="0.35">
      <c r="A875" t="s">
        <v>57</v>
      </c>
      <c r="E875">
        <v>-2.5959732694161254E-3</v>
      </c>
      <c r="F875">
        <f t="shared" si="32"/>
        <v>-1.8191263015893515E-2</v>
      </c>
      <c r="G875">
        <f t="shared" si="33"/>
        <v>-2.9872189181834704E-2</v>
      </c>
    </row>
    <row r="876" spans="1:7" x14ac:dyDescent="0.35">
      <c r="A876" t="s">
        <v>57</v>
      </c>
      <c r="E876">
        <v>-1.5693211703624199E-2</v>
      </c>
      <c r="F876">
        <f t="shared" si="32"/>
        <v>-1.8194752407326174E-2</v>
      </c>
      <c r="G876">
        <f t="shared" si="33"/>
        <v>-2.9872189181834704E-2</v>
      </c>
    </row>
    <row r="877" spans="1:7" x14ac:dyDescent="0.35">
      <c r="A877" t="s">
        <v>57</v>
      </c>
      <c r="E877">
        <v>3.0219605377640176E-2</v>
      </c>
      <c r="F877">
        <f t="shared" si="32"/>
        <v>-1.8198241798758837E-2</v>
      </c>
      <c r="G877">
        <f t="shared" si="33"/>
        <v>-2.9872189181834704E-2</v>
      </c>
    </row>
    <row r="878" spans="1:7" x14ac:dyDescent="0.35">
      <c r="A878" t="s">
        <v>57</v>
      </c>
      <c r="E878">
        <v>-1.6836772359606348E-2</v>
      </c>
      <c r="F878">
        <f t="shared" si="32"/>
        <v>-1.8201731190191497E-2</v>
      </c>
      <c r="G878">
        <f t="shared" si="33"/>
        <v>-2.9872189181834704E-2</v>
      </c>
    </row>
    <row r="879" spans="1:7" x14ac:dyDescent="0.35">
      <c r="A879" t="s">
        <v>57</v>
      </c>
      <c r="E879">
        <v>1.8784387147886189E-2</v>
      </c>
      <c r="F879">
        <f t="shared" si="32"/>
        <v>-1.8205220581624156E-2</v>
      </c>
      <c r="G879">
        <f t="shared" si="33"/>
        <v>-2.9872189181834704E-2</v>
      </c>
    </row>
    <row r="880" spans="1:7" x14ac:dyDescent="0.35">
      <c r="A880" t="s">
        <v>57</v>
      </c>
      <c r="E880">
        <v>-3.4929268586967189E-4</v>
      </c>
      <c r="F880">
        <f t="shared" si="32"/>
        <v>-1.8208709973056816E-2</v>
      </c>
      <c r="G880">
        <f t="shared" si="33"/>
        <v>-2.9872189181834704E-2</v>
      </c>
    </row>
    <row r="881" spans="1:7" x14ac:dyDescent="0.35">
      <c r="A881" t="s">
        <v>57</v>
      </c>
      <c r="E881">
        <v>-2.4734862515360667E-3</v>
      </c>
      <c r="F881">
        <f t="shared" si="32"/>
        <v>-1.8209499003219394E-2</v>
      </c>
      <c r="G881">
        <f t="shared" si="33"/>
        <v>-2.9952076025730443E-2</v>
      </c>
    </row>
    <row r="882" spans="1:7" x14ac:dyDescent="0.35">
      <c r="A882" t="s">
        <v>57</v>
      </c>
      <c r="E882">
        <v>4.4553509742704771E-3</v>
      </c>
      <c r="F882">
        <f t="shared" si="32"/>
        <v>-1.8210288033381972E-2</v>
      </c>
      <c r="G882">
        <f t="shared" si="33"/>
        <v>-2.9952076025730443E-2</v>
      </c>
    </row>
    <row r="883" spans="1:7" x14ac:dyDescent="0.35">
      <c r="A883" t="s">
        <v>57</v>
      </c>
      <c r="E883">
        <v>-2.3433552724176705E-2</v>
      </c>
      <c r="F883">
        <f t="shared" si="32"/>
        <v>-1.8211077063544551E-2</v>
      </c>
      <c r="G883">
        <f t="shared" si="33"/>
        <v>-2.9952076025730443E-2</v>
      </c>
    </row>
    <row r="884" spans="1:7" x14ac:dyDescent="0.35">
      <c r="A884" t="s">
        <v>57</v>
      </c>
      <c r="E884">
        <v>1.3248578352865758E-3</v>
      </c>
      <c r="F884">
        <f t="shared" si="32"/>
        <v>-1.8152879710134257E-2</v>
      </c>
      <c r="G884">
        <f t="shared" si="33"/>
        <v>-2.9916289431544691E-2</v>
      </c>
    </row>
    <row r="885" spans="1:7" x14ac:dyDescent="0.35">
      <c r="A885" t="s">
        <v>57</v>
      </c>
      <c r="E885">
        <v>-7.2700645378371591E-3</v>
      </c>
      <c r="F885">
        <f t="shared" si="32"/>
        <v>-1.815636910156692E-2</v>
      </c>
      <c r="G885">
        <f t="shared" si="33"/>
        <v>-2.9916289431544691E-2</v>
      </c>
    </row>
    <row r="886" spans="1:7" x14ac:dyDescent="0.35">
      <c r="A886" t="s">
        <v>57</v>
      </c>
      <c r="E886">
        <v>1.8576769013848003E-3</v>
      </c>
      <c r="F886">
        <f t="shared" si="32"/>
        <v>-1.8159858492999576E-2</v>
      </c>
      <c r="G886">
        <f t="shared" si="33"/>
        <v>-2.9916289431544691E-2</v>
      </c>
    </row>
    <row r="887" spans="1:7" x14ac:dyDescent="0.35">
      <c r="A887" t="s">
        <v>57</v>
      </c>
      <c r="E887">
        <v>1.8339131601578466E-2</v>
      </c>
      <c r="F887">
        <f t="shared" si="32"/>
        <v>-1.8163347884432239E-2</v>
      </c>
      <c r="G887">
        <f t="shared" si="33"/>
        <v>-2.9916289431544691E-2</v>
      </c>
    </row>
    <row r="888" spans="1:7" x14ac:dyDescent="0.35">
      <c r="A888" t="s">
        <v>57</v>
      </c>
      <c r="E888">
        <v>-1.7735295991765597E-3</v>
      </c>
      <c r="F888">
        <f t="shared" si="32"/>
        <v>-1.8166837275864899E-2</v>
      </c>
      <c r="G888">
        <f t="shared" si="33"/>
        <v>-2.9916289431544691E-2</v>
      </c>
    </row>
    <row r="889" spans="1:7" x14ac:dyDescent="0.35">
      <c r="A889" t="s">
        <v>57</v>
      </c>
      <c r="E889">
        <v>2.8662680222051938E-3</v>
      </c>
      <c r="F889">
        <f t="shared" si="32"/>
        <v>-1.8170326667297558E-2</v>
      </c>
      <c r="G889">
        <f t="shared" si="33"/>
        <v>-2.9916289431544691E-2</v>
      </c>
    </row>
    <row r="890" spans="1:7" x14ac:dyDescent="0.35">
      <c r="A890" t="s">
        <v>57</v>
      </c>
      <c r="E890">
        <v>1.3429380676797669E-2</v>
      </c>
      <c r="F890">
        <f t="shared" si="32"/>
        <v>-1.8173816058730217E-2</v>
      </c>
      <c r="G890">
        <f t="shared" si="33"/>
        <v>-2.9916289431544691E-2</v>
      </c>
    </row>
    <row r="891" spans="1:7" x14ac:dyDescent="0.35">
      <c r="A891" t="s">
        <v>57</v>
      </c>
      <c r="E891">
        <v>1.4607236154582455E-2</v>
      </c>
      <c r="F891">
        <f t="shared" si="32"/>
        <v>-1.8177305450162877E-2</v>
      </c>
      <c r="G891">
        <f t="shared" si="33"/>
        <v>-2.9916289431544691E-2</v>
      </c>
    </row>
    <row r="892" spans="1:7" x14ac:dyDescent="0.35">
      <c r="A892" t="s">
        <v>57</v>
      </c>
      <c r="E892">
        <v>1.0877457837817666E-2</v>
      </c>
      <c r="F892">
        <f t="shared" si="32"/>
        <v>-1.8180794841595536E-2</v>
      </c>
      <c r="G892">
        <f t="shared" si="33"/>
        <v>-2.9916289431544691E-2</v>
      </c>
    </row>
    <row r="893" spans="1:7" x14ac:dyDescent="0.35">
      <c r="A893" t="s">
        <v>57</v>
      </c>
      <c r="E893">
        <v>8.5960242455004852E-3</v>
      </c>
      <c r="F893">
        <f t="shared" si="32"/>
        <v>-1.8184284233028196E-2</v>
      </c>
      <c r="G893">
        <f t="shared" si="33"/>
        <v>-2.9916289431544691E-2</v>
      </c>
    </row>
    <row r="894" spans="1:7" x14ac:dyDescent="0.35">
      <c r="A894" t="s">
        <v>57</v>
      </c>
      <c r="E894">
        <v>2.6898286957873735E-3</v>
      </c>
      <c r="F894">
        <f t="shared" si="32"/>
        <v>-1.8187773624460855E-2</v>
      </c>
      <c r="G894">
        <f t="shared" si="33"/>
        <v>-2.9916289431544691E-2</v>
      </c>
    </row>
    <row r="895" spans="1:7" x14ac:dyDescent="0.35">
      <c r="A895" t="s">
        <v>57</v>
      </c>
      <c r="E895">
        <v>9.5529640620213296E-3</v>
      </c>
      <c r="F895">
        <f t="shared" si="32"/>
        <v>-1.8191263015893515E-2</v>
      </c>
      <c r="G895">
        <f t="shared" si="33"/>
        <v>-2.9916289431544691E-2</v>
      </c>
    </row>
    <row r="896" spans="1:7" x14ac:dyDescent="0.35">
      <c r="A896" t="s">
        <v>57</v>
      </c>
      <c r="E896">
        <v>-2.7353642595003618E-3</v>
      </c>
      <c r="F896">
        <f t="shared" si="32"/>
        <v>-1.8194752407326174E-2</v>
      </c>
      <c r="G896">
        <f t="shared" si="33"/>
        <v>-2.9916289431544691E-2</v>
      </c>
    </row>
    <row r="897" spans="1:7" x14ac:dyDescent="0.35">
      <c r="A897" t="s">
        <v>58</v>
      </c>
      <c r="B897" s="3" cm="1">
        <f t="array" ref="B897">_xlfn.STDEV.S(_xlfn._xlws.FILTER($E$2:$E$1000, $A$2:$A$1000="2013-08"))</f>
        <v>1.2660361636065681E-2</v>
      </c>
      <c r="C897" s="3" cm="1">
        <f t="array" ref="C897">AVERAGE(_xlfn._xlws.FILTER($E$2:$E$1000, $A$2:$A$1000="2013-08"))</f>
        <v>-8.5448656065846269E-4</v>
      </c>
      <c r="D897" s="3" cm="1">
        <f t="array" ref="D897">_xlfn.PERCENTILE.EXC(_xlfn._xlws.FILTER($E$751:$E$999, $A$751:$A$999="2013-08"), 0.05)</f>
        <v>-3.3512566730637822E-2</v>
      </c>
      <c r="E897">
        <v>1.2584414557541003E-2</v>
      </c>
      <c r="F897">
        <f t="shared" si="32"/>
        <v>-1.8198241798758837E-2</v>
      </c>
      <c r="G897">
        <f t="shared" si="33"/>
        <v>-2.9916289431544691E-2</v>
      </c>
    </row>
    <row r="898" spans="1:7" x14ac:dyDescent="0.35">
      <c r="A898" t="s">
        <v>58</v>
      </c>
      <c r="E898">
        <v>3.9499414457849309E-3</v>
      </c>
      <c r="F898">
        <f t="shared" si="32"/>
        <v>-1.8201731190191497E-2</v>
      </c>
      <c r="G898">
        <f t="shared" si="33"/>
        <v>-2.9916289431544691E-2</v>
      </c>
    </row>
    <row r="899" spans="1:7" x14ac:dyDescent="0.35">
      <c r="A899" t="s">
        <v>58</v>
      </c>
      <c r="E899">
        <v>-1.5407244451310774E-3</v>
      </c>
      <c r="F899">
        <f t="shared" si="32"/>
        <v>-1.8205220581624156E-2</v>
      </c>
      <c r="G899">
        <f t="shared" si="33"/>
        <v>-2.9916289431544691E-2</v>
      </c>
    </row>
    <row r="900" spans="1:7" x14ac:dyDescent="0.35">
      <c r="A900" t="s">
        <v>58</v>
      </c>
      <c r="E900">
        <v>-3.66290059221718E-3</v>
      </c>
      <c r="F900">
        <f t="shared" ref="F900:F963" si="34">_xlfn.PERCENTILE.EXC(E900:E4715,0.05)</f>
        <v>-1.8208709973056816E-2</v>
      </c>
      <c r="G900">
        <f t="shared" ref="G900:G963" si="35">AVERAGEIFS(E900:E4716,E900:E4716,"&lt;=" &amp; F900)</f>
        <v>-2.9916289431544691E-2</v>
      </c>
    </row>
    <row r="901" spans="1:7" x14ac:dyDescent="0.35">
      <c r="A901" t="s">
        <v>58</v>
      </c>
      <c r="E901">
        <v>5.2152881370504302E-3</v>
      </c>
      <c r="F901">
        <f t="shared" si="34"/>
        <v>-1.8209499003219394E-2</v>
      </c>
      <c r="G901">
        <f t="shared" si="35"/>
        <v>-2.9997031358844607E-2</v>
      </c>
    </row>
    <row r="902" spans="1:7" x14ac:dyDescent="0.35">
      <c r="A902" t="s">
        <v>58</v>
      </c>
      <c r="E902">
        <v>1.1330350425226662E-2</v>
      </c>
      <c r="F902">
        <f t="shared" si="34"/>
        <v>-1.8210288033381972E-2</v>
      </c>
      <c r="G902">
        <f t="shared" si="35"/>
        <v>-2.9997031358844607E-2</v>
      </c>
    </row>
    <row r="903" spans="1:7" x14ac:dyDescent="0.35">
      <c r="A903" t="s">
        <v>58</v>
      </c>
      <c r="E903">
        <v>7.3188012316480035E-3</v>
      </c>
      <c r="F903">
        <f t="shared" si="34"/>
        <v>-1.8211077063544551E-2</v>
      </c>
      <c r="G903">
        <f t="shared" si="35"/>
        <v>-2.9997031358844607E-2</v>
      </c>
    </row>
    <row r="904" spans="1:7" x14ac:dyDescent="0.35">
      <c r="A904" t="s">
        <v>58</v>
      </c>
      <c r="E904">
        <v>-2.0397412705376121E-3</v>
      </c>
      <c r="F904">
        <f t="shared" si="34"/>
        <v>-1.8211866093707126E-2</v>
      </c>
      <c r="G904">
        <f t="shared" si="35"/>
        <v>-2.9997031358844607E-2</v>
      </c>
    </row>
    <row r="905" spans="1:7" x14ac:dyDescent="0.35">
      <c r="A905" t="s">
        <v>58</v>
      </c>
      <c r="E905">
        <v>4.6692157477404121E-3</v>
      </c>
      <c r="F905">
        <f t="shared" si="34"/>
        <v>-1.8212655123869704E-2</v>
      </c>
      <c r="G905">
        <f t="shared" si="35"/>
        <v>-2.9997031358844607E-2</v>
      </c>
    </row>
    <row r="906" spans="1:7" x14ac:dyDescent="0.35">
      <c r="A906" t="s">
        <v>58</v>
      </c>
      <c r="E906">
        <v>3.5104151664668293E-3</v>
      </c>
      <c r="F906">
        <f t="shared" si="34"/>
        <v>-1.8213444154032282E-2</v>
      </c>
      <c r="G906">
        <f t="shared" si="35"/>
        <v>-2.9997031358844607E-2</v>
      </c>
    </row>
    <row r="907" spans="1:7" x14ac:dyDescent="0.35">
      <c r="A907" t="s">
        <v>58</v>
      </c>
      <c r="E907">
        <v>3.634178871741011E-3</v>
      </c>
      <c r="F907">
        <f t="shared" si="34"/>
        <v>-1.8214233184194861E-2</v>
      </c>
      <c r="G907">
        <f t="shared" si="35"/>
        <v>-2.9997031358844607E-2</v>
      </c>
    </row>
    <row r="908" spans="1:7" x14ac:dyDescent="0.35">
      <c r="A908" t="s">
        <v>58</v>
      </c>
      <c r="E908">
        <v>-1.8789457935120643E-2</v>
      </c>
      <c r="F908">
        <f t="shared" si="34"/>
        <v>-1.8215022214357439E-2</v>
      </c>
      <c r="G908">
        <f t="shared" si="35"/>
        <v>-2.9997031358844607E-2</v>
      </c>
    </row>
    <row r="909" spans="1:7" x14ac:dyDescent="0.35">
      <c r="A909" t="s">
        <v>58</v>
      </c>
      <c r="E909">
        <v>-1.803131692929499E-2</v>
      </c>
      <c r="F909">
        <f t="shared" si="34"/>
        <v>-1.8170326667297558E-2</v>
      </c>
      <c r="G909">
        <f t="shared" si="35"/>
        <v>-2.9993026200485544E-2</v>
      </c>
    </row>
    <row r="910" spans="1:7" x14ac:dyDescent="0.35">
      <c r="A910" t="s">
        <v>58</v>
      </c>
      <c r="E910">
        <v>-4.7865596392448933E-3</v>
      </c>
      <c r="F910">
        <f t="shared" si="34"/>
        <v>-1.8173816058730217E-2</v>
      </c>
      <c r="G910">
        <f t="shared" si="35"/>
        <v>-2.9993026200485544E-2</v>
      </c>
    </row>
    <row r="911" spans="1:7" x14ac:dyDescent="0.35">
      <c r="A911" t="s">
        <v>58</v>
      </c>
      <c r="E911">
        <v>1.9647825090449236E-2</v>
      </c>
      <c r="F911">
        <f t="shared" si="34"/>
        <v>-1.8177305450162877E-2</v>
      </c>
      <c r="G911">
        <f t="shared" si="35"/>
        <v>-2.9993026200485544E-2</v>
      </c>
    </row>
    <row r="912" spans="1:7" x14ac:dyDescent="0.35">
      <c r="A912" t="s">
        <v>58</v>
      </c>
      <c r="E912">
        <v>6.5948900703973216E-3</v>
      </c>
      <c r="F912">
        <f t="shared" si="34"/>
        <v>-1.8180794841595536E-2</v>
      </c>
      <c r="G912">
        <f t="shared" si="35"/>
        <v>-2.9993026200485544E-2</v>
      </c>
    </row>
    <row r="913" spans="1:7" x14ac:dyDescent="0.35">
      <c r="A913" t="s">
        <v>58</v>
      </c>
      <c r="E913">
        <v>-3.4287467193559781E-2</v>
      </c>
      <c r="F913">
        <f t="shared" si="34"/>
        <v>-1.8184284233028196E-2</v>
      </c>
      <c r="G913">
        <f t="shared" si="35"/>
        <v>-2.9993026200485544E-2</v>
      </c>
    </row>
    <row r="914" spans="1:7" x14ac:dyDescent="0.35">
      <c r="A914" t="s">
        <v>58</v>
      </c>
      <c r="E914">
        <v>4.8832487675443961E-4</v>
      </c>
      <c r="F914">
        <f t="shared" si="34"/>
        <v>-1.8133902695864079E-2</v>
      </c>
      <c r="G914">
        <f t="shared" si="35"/>
        <v>-2.9881656924284471E-2</v>
      </c>
    </row>
    <row r="915" spans="1:7" x14ac:dyDescent="0.35">
      <c r="A915" t="s">
        <v>58</v>
      </c>
      <c r="E915">
        <v>4.0403615230712531E-3</v>
      </c>
      <c r="F915">
        <f t="shared" si="34"/>
        <v>-1.8134739270620669E-2</v>
      </c>
      <c r="G915">
        <f t="shared" si="35"/>
        <v>-2.9881656924284471E-2</v>
      </c>
    </row>
    <row r="916" spans="1:7" x14ac:dyDescent="0.35">
      <c r="A916" t="s">
        <v>58</v>
      </c>
      <c r="E916">
        <v>-1.6935570351934617E-2</v>
      </c>
      <c r="F916">
        <f t="shared" si="34"/>
        <v>-1.8135575845377259E-2</v>
      </c>
      <c r="G916">
        <f t="shared" si="35"/>
        <v>-2.9881656924284471E-2</v>
      </c>
    </row>
    <row r="917" spans="1:7" x14ac:dyDescent="0.35">
      <c r="A917" t="s">
        <v>59</v>
      </c>
      <c r="B917" s="3" cm="1">
        <f t="array" ref="B917">_xlfn.STDEV.S(_xlfn._xlws.FILTER($E$2:$E$1000, $A$2:$A$1000="2013-09"))</f>
        <v>6.7356765722230436E-3</v>
      </c>
      <c r="C917" s="3" cm="1">
        <f t="array" ref="C917">AVERAGE(_xlfn._xlws.FILTER($E$2:$E$1000, $A$2:$A$1000="2013-09"))</f>
        <v>4.8848186198155712E-3</v>
      </c>
      <c r="D917" s="3" cm="1">
        <f t="array" ref="D917">_xlfn.PERCENTILE.EXC(_xlfn._xlws.FILTER($E$751:$E$999, $A$751:$A$999="2013-09"), 0.05)</f>
        <v>-6.6098168190030521E-3</v>
      </c>
      <c r="E917">
        <v>1.6639040343890594E-2</v>
      </c>
      <c r="F917">
        <f t="shared" si="34"/>
        <v>-1.8136412420133849E-2</v>
      </c>
      <c r="G917">
        <f t="shared" si="35"/>
        <v>-2.9881656924284471E-2</v>
      </c>
    </row>
    <row r="918" spans="1:7" x14ac:dyDescent="0.35">
      <c r="A918" t="s">
        <v>59</v>
      </c>
      <c r="E918">
        <v>1.8489113286102353E-3</v>
      </c>
      <c r="F918">
        <f t="shared" si="34"/>
        <v>-1.8137248994890439E-2</v>
      </c>
      <c r="G918">
        <f t="shared" si="35"/>
        <v>-2.9881656924284471E-2</v>
      </c>
    </row>
    <row r="919" spans="1:7" x14ac:dyDescent="0.35">
      <c r="A919" t="s">
        <v>59</v>
      </c>
      <c r="E919">
        <v>5.3261027562200736E-3</v>
      </c>
      <c r="F919">
        <f t="shared" si="34"/>
        <v>-1.8138085569647029E-2</v>
      </c>
      <c r="G919">
        <f t="shared" si="35"/>
        <v>-2.9881656924284471E-2</v>
      </c>
    </row>
    <row r="920" spans="1:7" x14ac:dyDescent="0.35">
      <c r="A920" t="s">
        <v>59</v>
      </c>
      <c r="E920">
        <v>7.006947560657872E-3</v>
      </c>
      <c r="F920">
        <f t="shared" si="34"/>
        <v>-1.8138922144403619E-2</v>
      </c>
      <c r="G920">
        <f t="shared" si="35"/>
        <v>-2.9881656924284471E-2</v>
      </c>
    </row>
    <row r="921" spans="1:7" x14ac:dyDescent="0.35">
      <c r="A921" t="s">
        <v>59</v>
      </c>
      <c r="E921">
        <v>1.2205905679503764E-2</v>
      </c>
      <c r="F921">
        <f t="shared" si="34"/>
        <v>-1.8142411535836279E-2</v>
      </c>
      <c r="G921">
        <f t="shared" si="35"/>
        <v>-2.9963203693589197E-2</v>
      </c>
    </row>
    <row r="922" spans="1:7" x14ac:dyDescent="0.35">
      <c r="A922" t="s">
        <v>59</v>
      </c>
      <c r="E922">
        <v>-2.603038346162205E-3</v>
      </c>
      <c r="F922">
        <f t="shared" si="34"/>
        <v>-1.8145900927268938E-2</v>
      </c>
      <c r="G922">
        <f t="shared" si="35"/>
        <v>-2.9963203693589197E-2</v>
      </c>
    </row>
    <row r="923" spans="1:7" x14ac:dyDescent="0.35">
      <c r="A923" t="s">
        <v>59</v>
      </c>
      <c r="E923">
        <v>1.9399372857046276E-2</v>
      </c>
      <c r="F923">
        <f t="shared" si="34"/>
        <v>-1.8149390318701598E-2</v>
      </c>
      <c r="G923">
        <f t="shared" si="35"/>
        <v>-2.9963203693589197E-2</v>
      </c>
    </row>
    <row r="924" spans="1:7" x14ac:dyDescent="0.35">
      <c r="A924" t="s">
        <v>59</v>
      </c>
      <c r="E924">
        <v>8.3273471797764304E-3</v>
      </c>
      <c r="F924">
        <f t="shared" si="34"/>
        <v>-1.8152879710134257E-2</v>
      </c>
      <c r="G924">
        <f t="shared" si="35"/>
        <v>-2.9963203693589197E-2</v>
      </c>
    </row>
    <row r="925" spans="1:7" x14ac:dyDescent="0.35">
      <c r="A925" t="s">
        <v>59</v>
      </c>
      <c r="E925">
        <v>5.5058174749947628E-3</v>
      </c>
      <c r="F925">
        <f t="shared" si="34"/>
        <v>-1.815636910156692E-2</v>
      </c>
      <c r="G925">
        <f t="shared" si="35"/>
        <v>-2.9963203693589197E-2</v>
      </c>
    </row>
    <row r="926" spans="1:7" x14ac:dyDescent="0.35">
      <c r="A926" t="s">
        <v>59</v>
      </c>
      <c r="E926">
        <v>1.9478562954369932E-3</v>
      </c>
      <c r="F926">
        <f t="shared" si="34"/>
        <v>-1.8159858492999576E-2</v>
      </c>
      <c r="G926">
        <f t="shared" si="35"/>
        <v>-2.9963203693589197E-2</v>
      </c>
    </row>
    <row r="927" spans="1:7" x14ac:dyDescent="0.35">
      <c r="A927" t="s">
        <v>59</v>
      </c>
      <c r="E927">
        <v>6.4544761481319483E-3</v>
      </c>
      <c r="F927">
        <f t="shared" si="34"/>
        <v>-1.8163347884432239E-2</v>
      </c>
      <c r="G927">
        <f t="shared" si="35"/>
        <v>-2.9963203693589197E-2</v>
      </c>
    </row>
    <row r="928" spans="1:7" x14ac:dyDescent="0.35">
      <c r="A928" t="s">
        <v>59</v>
      </c>
      <c r="E928">
        <v>-8.337270860615016E-4</v>
      </c>
      <c r="F928">
        <f t="shared" si="34"/>
        <v>-1.8166837275864899E-2</v>
      </c>
      <c r="G928">
        <f t="shared" si="35"/>
        <v>-2.9963203693589197E-2</v>
      </c>
    </row>
    <row r="929" spans="1:7" x14ac:dyDescent="0.35">
      <c r="A929" t="s">
        <v>59</v>
      </c>
      <c r="E929">
        <v>7.8097270294578258E-3</v>
      </c>
      <c r="F929">
        <f t="shared" si="34"/>
        <v>-1.8170326667297558E-2</v>
      </c>
      <c r="G929">
        <f t="shared" si="35"/>
        <v>-2.9963203693589197E-2</v>
      </c>
    </row>
    <row r="930" spans="1:7" x14ac:dyDescent="0.35">
      <c r="A930" t="s">
        <v>59</v>
      </c>
      <c r="E930">
        <v>1.0013148955180828E-2</v>
      </c>
      <c r="F930">
        <f t="shared" si="34"/>
        <v>-1.8173816058730217E-2</v>
      </c>
      <c r="G930">
        <f t="shared" si="35"/>
        <v>-2.9963203693589197E-2</v>
      </c>
    </row>
    <row r="931" spans="1:7" x14ac:dyDescent="0.35">
      <c r="A931" t="s">
        <v>59</v>
      </c>
      <c r="E931">
        <v>1.9753901269558799E-3</v>
      </c>
      <c r="F931">
        <f t="shared" si="34"/>
        <v>-1.8177305450162877E-2</v>
      </c>
      <c r="G931">
        <f t="shared" si="35"/>
        <v>-2.9963203693589197E-2</v>
      </c>
    </row>
    <row r="932" spans="1:7" x14ac:dyDescent="0.35">
      <c r="A932" t="s">
        <v>59</v>
      </c>
      <c r="E932">
        <v>-6.8157342393272737E-3</v>
      </c>
      <c r="F932">
        <f t="shared" si="34"/>
        <v>-1.8180794841595536E-2</v>
      </c>
      <c r="G932">
        <f t="shared" si="35"/>
        <v>-2.9963203693589197E-2</v>
      </c>
    </row>
    <row r="933" spans="1:7" x14ac:dyDescent="0.35">
      <c r="A933" t="s">
        <v>59</v>
      </c>
      <c r="E933">
        <v>6.3577039795122215E-3</v>
      </c>
      <c r="F933">
        <f t="shared" si="34"/>
        <v>-1.8184284233028196E-2</v>
      </c>
      <c r="G933">
        <f t="shared" si="35"/>
        <v>-2.9963203693589197E-2</v>
      </c>
    </row>
    <row r="934" spans="1:7" x14ac:dyDescent="0.35">
      <c r="A934" t="s">
        <v>59</v>
      </c>
      <c r="E934">
        <v>8.180160222839029E-3</v>
      </c>
      <c r="F934">
        <f t="shared" si="34"/>
        <v>-1.8187773624460855E-2</v>
      </c>
      <c r="G934">
        <f t="shared" si="35"/>
        <v>-2.9963203693589197E-2</v>
      </c>
    </row>
    <row r="935" spans="1:7" x14ac:dyDescent="0.35">
      <c r="A935" t="s">
        <v>59</v>
      </c>
      <c r="E935">
        <v>3.1865565194473984E-3</v>
      </c>
      <c r="F935">
        <f t="shared" si="34"/>
        <v>-1.8191263015893515E-2</v>
      </c>
      <c r="G935">
        <f t="shared" si="35"/>
        <v>-2.9963203693589197E-2</v>
      </c>
    </row>
    <row r="936" spans="1:7" x14ac:dyDescent="0.35">
      <c r="A936" t="s">
        <v>59</v>
      </c>
      <c r="E936">
        <v>-4.7565600360850602E-3</v>
      </c>
      <c r="F936">
        <f t="shared" si="34"/>
        <v>-1.8194752407326174E-2</v>
      </c>
      <c r="G936">
        <f t="shared" si="35"/>
        <v>-2.9963203693589197E-2</v>
      </c>
    </row>
    <row r="937" spans="1:7" x14ac:dyDescent="0.35">
      <c r="A937" t="s">
        <v>59</v>
      </c>
      <c r="E937">
        <v>-4.5942137338991001E-3</v>
      </c>
      <c r="F937">
        <f t="shared" si="34"/>
        <v>-1.8198241798758837E-2</v>
      </c>
      <c r="G937">
        <f t="shared" si="35"/>
        <v>-2.9963203693589197E-2</v>
      </c>
    </row>
    <row r="938" spans="1:7" x14ac:dyDescent="0.35">
      <c r="A938" t="s">
        <v>60</v>
      </c>
      <c r="B938" s="3" cm="1">
        <f t="array" ref="B938">_xlfn.STDEV.S(_xlfn._xlws.FILTER($E$2:$E$1000, $A$2:$A$1000="2013-10"))</f>
        <v>1.0261757799253826E-2</v>
      </c>
      <c r="C938" s="3" cm="1">
        <f t="array" ref="C938">AVERAGE(_xlfn._xlws.FILTER($E$2:$E$1000, $A$2:$A$1000="2013-10"))</f>
        <v>3.2887368150653863E-3</v>
      </c>
      <c r="D938" s="3" cm="1">
        <f t="array" ref="D938">_xlfn.PERCENTILE.EXC(_xlfn._xlws.FILTER($E$751:$E$999, $A$751:$A$999="2013-10"), 0.05)</f>
        <v>-1.6911892989637023E-2</v>
      </c>
      <c r="E938">
        <v>1.6775366942337805E-2</v>
      </c>
      <c r="F938">
        <f t="shared" si="34"/>
        <v>-1.8201731190191497E-2</v>
      </c>
      <c r="G938">
        <f t="shared" si="35"/>
        <v>-2.9963203693589197E-2</v>
      </c>
    </row>
    <row r="939" spans="1:7" x14ac:dyDescent="0.35">
      <c r="A939" t="s">
        <v>60</v>
      </c>
      <c r="E939">
        <v>9.0950438284061273E-4</v>
      </c>
      <c r="F939">
        <f t="shared" si="34"/>
        <v>-1.8205220581624156E-2</v>
      </c>
      <c r="G939">
        <f t="shared" si="35"/>
        <v>-2.9963203693589197E-2</v>
      </c>
    </row>
    <row r="940" spans="1:7" x14ac:dyDescent="0.35">
      <c r="A940" t="s">
        <v>60</v>
      </c>
      <c r="E940">
        <v>-5.8244156567130731E-3</v>
      </c>
      <c r="F940">
        <f t="shared" si="34"/>
        <v>-1.8208709973056816E-2</v>
      </c>
      <c r="G940">
        <f t="shared" si="35"/>
        <v>-2.9963203693589197E-2</v>
      </c>
    </row>
    <row r="941" spans="1:7" x14ac:dyDescent="0.35">
      <c r="A941" t="s">
        <v>60</v>
      </c>
      <c r="E941">
        <v>1.3378697781874019E-2</v>
      </c>
      <c r="F941">
        <f t="shared" si="34"/>
        <v>-1.8209499003219394E-2</v>
      </c>
      <c r="G941">
        <f t="shared" si="35"/>
        <v>-3.0045402950376138E-2</v>
      </c>
    </row>
    <row r="942" spans="1:7" x14ac:dyDescent="0.35">
      <c r="A942" t="s">
        <v>60</v>
      </c>
      <c r="E942">
        <v>-4.1483242844592505E-3</v>
      </c>
      <c r="F942">
        <f t="shared" si="34"/>
        <v>-1.8210288033381972E-2</v>
      </c>
      <c r="G942">
        <f t="shared" si="35"/>
        <v>-3.0045402950376138E-2</v>
      </c>
    </row>
    <row r="943" spans="1:7" x14ac:dyDescent="0.35">
      <c r="A943" t="s">
        <v>60</v>
      </c>
      <c r="E943">
        <v>-6.737705160457466E-3</v>
      </c>
      <c r="F943">
        <f t="shared" si="34"/>
        <v>-1.8211077063544551E-2</v>
      </c>
      <c r="G943">
        <f t="shared" si="35"/>
        <v>-3.0045402950376138E-2</v>
      </c>
    </row>
    <row r="944" spans="1:7" x14ac:dyDescent="0.35">
      <c r="A944" t="s">
        <v>60</v>
      </c>
      <c r="E944">
        <v>1.2805446361967652E-2</v>
      </c>
      <c r="F944">
        <f t="shared" si="34"/>
        <v>-1.8211866093707126E-2</v>
      </c>
      <c r="G944">
        <f t="shared" si="35"/>
        <v>-3.0045402950376138E-2</v>
      </c>
    </row>
    <row r="945" spans="1:7" x14ac:dyDescent="0.35">
      <c r="A945" t="s">
        <v>60</v>
      </c>
      <c r="E945">
        <v>2.3195364376493721E-2</v>
      </c>
      <c r="F945">
        <f t="shared" si="34"/>
        <v>-1.8212655123869704E-2</v>
      </c>
      <c r="G945">
        <f t="shared" si="35"/>
        <v>-3.0045402950376138E-2</v>
      </c>
    </row>
    <row r="946" spans="1:7" x14ac:dyDescent="0.35">
      <c r="A946" t="s">
        <v>60</v>
      </c>
      <c r="E946">
        <v>8.2777178920839128E-4</v>
      </c>
      <c r="F946">
        <f t="shared" si="34"/>
        <v>-1.8213444154032282E-2</v>
      </c>
      <c r="G946">
        <f t="shared" si="35"/>
        <v>-3.0045402950376138E-2</v>
      </c>
    </row>
    <row r="947" spans="1:7" x14ac:dyDescent="0.35">
      <c r="A947" t="s">
        <v>60</v>
      </c>
      <c r="E947">
        <v>2.840250818449169E-3</v>
      </c>
      <c r="F947">
        <f t="shared" si="34"/>
        <v>-1.8214233184194861E-2</v>
      </c>
      <c r="G947">
        <f t="shared" si="35"/>
        <v>-3.0045402950376138E-2</v>
      </c>
    </row>
    <row r="948" spans="1:7" x14ac:dyDescent="0.35">
      <c r="A948" t="s">
        <v>60</v>
      </c>
      <c r="E948">
        <v>1.120962648765359E-2</v>
      </c>
      <c r="F948">
        <f t="shared" si="34"/>
        <v>-1.8215022214357439E-2</v>
      </c>
      <c r="G948">
        <f t="shared" si="35"/>
        <v>-3.0045402950376138E-2</v>
      </c>
    </row>
    <row r="949" spans="1:7" x14ac:dyDescent="0.35">
      <c r="A949" t="s">
        <v>60</v>
      </c>
      <c r="E949">
        <v>7.4882362477246842E-3</v>
      </c>
      <c r="F949">
        <f t="shared" si="34"/>
        <v>-1.8215811244520017E-2</v>
      </c>
      <c r="G949">
        <f t="shared" si="35"/>
        <v>-3.0045402950376138E-2</v>
      </c>
    </row>
    <row r="950" spans="1:7" x14ac:dyDescent="0.35">
      <c r="A950" t="s">
        <v>60</v>
      </c>
      <c r="E950">
        <v>3.9399960046051855E-3</v>
      </c>
      <c r="F950">
        <f t="shared" si="34"/>
        <v>-1.8216600274682596E-2</v>
      </c>
      <c r="G950">
        <f t="shared" si="35"/>
        <v>-3.0045402950376138E-2</v>
      </c>
    </row>
    <row r="951" spans="1:7" x14ac:dyDescent="0.35">
      <c r="A951" t="s">
        <v>60</v>
      </c>
      <c r="E951">
        <v>8.4137887290473001E-3</v>
      </c>
      <c r="F951">
        <f t="shared" si="34"/>
        <v>-1.821738930484517E-2</v>
      </c>
      <c r="G951">
        <f t="shared" si="35"/>
        <v>-3.0045402950376138E-2</v>
      </c>
    </row>
    <row r="952" spans="1:7" x14ac:dyDescent="0.35">
      <c r="A952" t="s">
        <v>60</v>
      </c>
      <c r="E952">
        <v>3.5928899505546221E-3</v>
      </c>
      <c r="F952">
        <f t="shared" si="34"/>
        <v>-1.8218178335007749E-2</v>
      </c>
      <c r="G952">
        <f t="shared" si="35"/>
        <v>-3.0045402950376138E-2</v>
      </c>
    </row>
    <row r="953" spans="1:7" x14ac:dyDescent="0.35">
      <c r="A953" t="s">
        <v>60</v>
      </c>
      <c r="E953">
        <v>-2.4837050876268117E-3</v>
      </c>
      <c r="F953">
        <f t="shared" si="34"/>
        <v>-1.8218967365170327E-2</v>
      </c>
      <c r="G953">
        <f t="shared" si="35"/>
        <v>-3.0045402950376138E-2</v>
      </c>
    </row>
    <row r="954" spans="1:7" x14ac:dyDescent="0.35">
      <c r="A954" t="s">
        <v>60</v>
      </c>
      <c r="E954">
        <v>-1.8608282435338699E-2</v>
      </c>
      <c r="F954">
        <f t="shared" si="34"/>
        <v>-1.8219756395332905E-2</v>
      </c>
      <c r="G954">
        <f t="shared" si="35"/>
        <v>-3.0045402950376138E-2</v>
      </c>
    </row>
    <row r="955" spans="1:7" x14ac:dyDescent="0.35">
      <c r="A955" t="s">
        <v>60</v>
      </c>
      <c r="E955">
        <v>8.8231248492029977E-3</v>
      </c>
      <c r="F955">
        <f t="shared" si="34"/>
        <v>-1.8191263015893515E-2</v>
      </c>
      <c r="G955">
        <f t="shared" si="35"/>
        <v>-3.0042608737353187E-2</v>
      </c>
    </row>
    <row r="956" spans="1:7" x14ac:dyDescent="0.35">
      <c r="A956" t="s">
        <v>60</v>
      </c>
      <c r="E956">
        <v>-1.0126335206830317E-2</v>
      </c>
      <c r="F956">
        <f t="shared" si="34"/>
        <v>-1.8194752407326174E-2</v>
      </c>
      <c r="G956">
        <f t="shared" si="35"/>
        <v>-3.0042608737353187E-2</v>
      </c>
    </row>
    <row r="957" spans="1:7" x14ac:dyDescent="0.35">
      <c r="A957" t="s">
        <v>60</v>
      </c>
      <c r="E957">
        <v>-8.1118710745420319E-3</v>
      </c>
      <c r="F957">
        <f t="shared" si="34"/>
        <v>-1.8198241798758837E-2</v>
      </c>
      <c r="G957">
        <f t="shared" si="35"/>
        <v>-3.0042608737353187E-2</v>
      </c>
    </row>
    <row r="958" spans="1:7" x14ac:dyDescent="0.35">
      <c r="A958" t="s">
        <v>60</v>
      </c>
      <c r="E958">
        <v>1.3030730144144206E-2</v>
      </c>
      <c r="F958">
        <f t="shared" si="34"/>
        <v>-1.8201731190191497E-2</v>
      </c>
      <c r="G958">
        <f t="shared" si="35"/>
        <v>-3.0042608737353187E-2</v>
      </c>
    </row>
    <row r="959" spans="1:7" x14ac:dyDescent="0.35">
      <c r="A959" t="s">
        <v>60</v>
      </c>
      <c r="E959">
        <v>-8.6750770594278704E-3</v>
      </c>
      <c r="F959">
        <f t="shared" si="34"/>
        <v>-1.8205220581624156E-2</v>
      </c>
      <c r="G959">
        <f t="shared" si="35"/>
        <v>-3.0042608737353187E-2</v>
      </c>
    </row>
    <row r="960" spans="1:7" x14ac:dyDescent="0.35">
      <c r="A960" t="s">
        <v>60</v>
      </c>
      <c r="E960">
        <v>1.3125867845795457E-2</v>
      </c>
      <c r="F960">
        <f t="shared" si="34"/>
        <v>-1.8208709973056816E-2</v>
      </c>
      <c r="G960">
        <f t="shared" si="35"/>
        <v>-3.0042608737353187E-2</v>
      </c>
    </row>
    <row r="961" spans="1:7" x14ac:dyDescent="0.35">
      <c r="A961" t="s">
        <v>61</v>
      </c>
      <c r="B961" s="3" cm="1">
        <f t="array" ref="B961">_xlfn.STDEV.S(_xlfn._xlws.FILTER($E$2:$E$1000, $A$2:$A$1000="2013-11"))</f>
        <v>6.9018229300320429E-3</v>
      </c>
      <c r="C961" s="3" cm="1">
        <f t="array" ref="C961">AVERAGE(_xlfn._xlws.FILTER($E$2:$E$1000, $A$2:$A$1000="2013-11"))</f>
        <v>-3.3907808789619681E-4</v>
      </c>
      <c r="D961" s="3" cm="1">
        <f t="array" ref="D961">_xlfn.PERCENTILE.EXC(_xlfn._xlws.FILTER($E$751:$E$999, $A$751:$A$999="2013-11"), 0.05)</f>
        <v>-1.5202431827301936E-2</v>
      </c>
      <c r="E961">
        <v>-7.049486810859304E-3</v>
      </c>
      <c r="F961">
        <f t="shared" si="34"/>
        <v>-1.8209499003219394E-2</v>
      </c>
      <c r="G961">
        <f t="shared" si="35"/>
        <v>-3.0125946052594714E-2</v>
      </c>
    </row>
    <row r="962" spans="1:7" x14ac:dyDescent="0.35">
      <c r="A962" t="s">
        <v>61</v>
      </c>
      <c r="E962">
        <v>3.6018525047519911E-3</v>
      </c>
      <c r="F962">
        <f t="shared" si="34"/>
        <v>-1.8210288033381972E-2</v>
      </c>
      <c r="G962">
        <f t="shared" si="35"/>
        <v>-3.0125946052594714E-2</v>
      </c>
    </row>
    <row r="963" spans="1:7" x14ac:dyDescent="0.35">
      <c r="A963" t="s">
        <v>61</v>
      </c>
      <c r="E963">
        <v>-7.9412705396328907E-3</v>
      </c>
      <c r="F963">
        <f t="shared" si="34"/>
        <v>-1.8211077063544551E-2</v>
      </c>
      <c r="G963">
        <f t="shared" si="35"/>
        <v>-3.0125946052594714E-2</v>
      </c>
    </row>
    <row r="964" spans="1:7" x14ac:dyDescent="0.35">
      <c r="A964" t="s">
        <v>61</v>
      </c>
      <c r="E964">
        <v>4.2174383036950591E-3</v>
      </c>
      <c r="F964">
        <f t="shared" ref="F964:F1027" si="36">_xlfn.PERCENTILE.EXC(E964:E4779,0.05)</f>
        <v>-1.8211866093707126E-2</v>
      </c>
      <c r="G964">
        <f t="shared" ref="G964:G1027" si="37">AVERAGEIFS(E964:E4780,E964:E4780,"&lt;=" &amp; F964)</f>
        <v>-3.0125946052594714E-2</v>
      </c>
    </row>
    <row r="965" spans="1:7" x14ac:dyDescent="0.35">
      <c r="A965" t="s">
        <v>61</v>
      </c>
      <c r="E965">
        <v>-9.8787676068824003E-3</v>
      </c>
      <c r="F965">
        <f t="shared" si="36"/>
        <v>-1.8212655123869704E-2</v>
      </c>
      <c r="G965">
        <f t="shared" si="37"/>
        <v>-3.0125946052594714E-2</v>
      </c>
    </row>
    <row r="966" spans="1:7" x14ac:dyDescent="0.35">
      <c r="A966" t="s">
        <v>61</v>
      </c>
      <c r="E966">
        <v>6.9787970565779575E-4</v>
      </c>
      <c r="F966">
        <f t="shared" si="36"/>
        <v>-1.8213444154032282E-2</v>
      </c>
      <c r="G966">
        <f t="shared" si="37"/>
        <v>-3.0125946052594714E-2</v>
      </c>
    </row>
    <row r="967" spans="1:7" x14ac:dyDescent="0.35">
      <c r="A967" t="s">
        <v>61</v>
      </c>
      <c r="E967">
        <v>4.3303184365396869E-3</v>
      </c>
      <c r="F967">
        <f t="shared" si="36"/>
        <v>-1.8214233184194861E-2</v>
      </c>
      <c r="G967">
        <f t="shared" si="37"/>
        <v>-3.0125946052594714E-2</v>
      </c>
    </row>
    <row r="968" spans="1:7" x14ac:dyDescent="0.35">
      <c r="A968" t="s">
        <v>61</v>
      </c>
      <c r="E968">
        <v>-8.4012988311459955E-3</v>
      </c>
      <c r="F968">
        <f t="shared" si="36"/>
        <v>-1.8215022214357439E-2</v>
      </c>
      <c r="G968">
        <f t="shared" si="37"/>
        <v>-3.0125946052594714E-2</v>
      </c>
    </row>
    <row r="969" spans="1:7" x14ac:dyDescent="0.35">
      <c r="A969" t="s">
        <v>61</v>
      </c>
      <c r="E969">
        <v>-3.3431733472331551E-3</v>
      </c>
      <c r="F969">
        <f t="shared" si="36"/>
        <v>-1.8215811244520017E-2</v>
      </c>
      <c r="G969">
        <f t="shared" si="37"/>
        <v>-3.0125946052594714E-2</v>
      </c>
    </row>
    <row r="970" spans="1:7" x14ac:dyDescent="0.35">
      <c r="A970" t="s">
        <v>61</v>
      </c>
      <c r="E970">
        <v>3.4564802080848515E-3</v>
      </c>
      <c r="F970">
        <f t="shared" si="36"/>
        <v>-1.8216600274682596E-2</v>
      </c>
      <c r="G970">
        <f t="shared" si="37"/>
        <v>-3.0125946052594714E-2</v>
      </c>
    </row>
    <row r="971" spans="1:7" x14ac:dyDescent="0.35">
      <c r="A971" t="s">
        <v>61</v>
      </c>
      <c r="E971">
        <v>-1.3192750024757025E-3</v>
      </c>
      <c r="F971">
        <f t="shared" si="36"/>
        <v>-1.821738930484517E-2</v>
      </c>
      <c r="G971">
        <f t="shared" si="37"/>
        <v>-3.0125946052594714E-2</v>
      </c>
    </row>
    <row r="972" spans="1:7" x14ac:dyDescent="0.35">
      <c r="A972" t="s">
        <v>61</v>
      </c>
      <c r="E972">
        <v>8.9532914939783829E-3</v>
      </c>
      <c r="F972">
        <f t="shared" si="36"/>
        <v>-1.8218178335007749E-2</v>
      </c>
      <c r="G972">
        <f t="shared" si="37"/>
        <v>-3.0125946052594714E-2</v>
      </c>
    </row>
    <row r="973" spans="1:7" x14ac:dyDescent="0.35">
      <c r="A973" t="s">
        <v>61</v>
      </c>
      <c r="E973">
        <v>-1.5793950074015219E-2</v>
      </c>
      <c r="F973">
        <f t="shared" si="36"/>
        <v>-1.8218967365170327E-2</v>
      </c>
      <c r="G973">
        <f t="shared" si="37"/>
        <v>-3.0125946052594714E-2</v>
      </c>
    </row>
    <row r="974" spans="1:7" x14ac:dyDescent="0.35">
      <c r="A974" t="s">
        <v>61</v>
      </c>
      <c r="E974">
        <v>-7.3270327220623767E-3</v>
      </c>
      <c r="F974">
        <f t="shared" si="36"/>
        <v>-1.8219756395332905E-2</v>
      </c>
      <c r="G974">
        <f t="shared" si="37"/>
        <v>-3.0125946052594714E-2</v>
      </c>
    </row>
    <row r="975" spans="1:7" x14ac:dyDescent="0.35">
      <c r="A975" t="s">
        <v>61</v>
      </c>
      <c r="E975">
        <v>4.1547547082529919E-3</v>
      </c>
      <c r="F975">
        <f t="shared" si="36"/>
        <v>-1.8220545425495484E-2</v>
      </c>
      <c r="G975">
        <f t="shared" si="37"/>
        <v>-3.0125946052594714E-2</v>
      </c>
    </row>
    <row r="976" spans="1:7" x14ac:dyDescent="0.35">
      <c r="A976" t="s">
        <v>61</v>
      </c>
      <c r="E976">
        <v>8.1030910204804279E-3</v>
      </c>
      <c r="F976">
        <f t="shared" si="36"/>
        <v>-1.8221334455658062E-2</v>
      </c>
      <c r="G976">
        <f t="shared" si="37"/>
        <v>-3.0125946052594714E-2</v>
      </c>
    </row>
    <row r="977" spans="1:7" x14ac:dyDescent="0.35">
      <c r="A977" t="s">
        <v>61</v>
      </c>
      <c r="E977">
        <v>1.2082721631089136E-3</v>
      </c>
      <c r="F977">
        <f t="shared" si="36"/>
        <v>-1.8222123485820637E-2</v>
      </c>
      <c r="G977">
        <f t="shared" si="37"/>
        <v>-3.0125946052594714E-2</v>
      </c>
    </row>
    <row r="978" spans="1:7" x14ac:dyDescent="0.35">
      <c r="A978" t="s">
        <v>61</v>
      </c>
      <c r="E978">
        <v>2.6283662064611815E-3</v>
      </c>
      <c r="F978">
        <f t="shared" si="36"/>
        <v>-1.8222912515983215E-2</v>
      </c>
      <c r="G978">
        <f t="shared" si="37"/>
        <v>-3.0125946052594714E-2</v>
      </c>
    </row>
    <row r="979" spans="1:7" x14ac:dyDescent="0.35">
      <c r="A979" t="s">
        <v>61</v>
      </c>
      <c r="E979">
        <v>9.6092528578831434E-3</v>
      </c>
      <c r="F979">
        <f t="shared" si="36"/>
        <v>-1.8223701546145794E-2</v>
      </c>
      <c r="G979">
        <f t="shared" si="37"/>
        <v>-3.0125946052594714E-2</v>
      </c>
    </row>
    <row r="980" spans="1:7" x14ac:dyDescent="0.35">
      <c r="A980" t="s">
        <v>61</v>
      </c>
      <c r="E980">
        <v>5.226723036654151E-3</v>
      </c>
      <c r="F980">
        <f t="shared" si="36"/>
        <v>-1.8224490576308372E-2</v>
      </c>
      <c r="G980">
        <f t="shared" si="37"/>
        <v>-3.0125946052594714E-2</v>
      </c>
    </row>
    <row r="981" spans="1:7" x14ac:dyDescent="0.35">
      <c r="A981" t="s">
        <v>61</v>
      </c>
      <c r="E981">
        <v>-2.2541055570616643E-3</v>
      </c>
      <c r="F981">
        <f t="shared" si="36"/>
        <v>-1.822768313992159E-2</v>
      </c>
      <c r="G981">
        <f t="shared" si="37"/>
        <v>-3.0210353538242134E-2</v>
      </c>
    </row>
    <row r="982" spans="1:7" x14ac:dyDescent="0.35">
      <c r="A982" t="s">
        <v>62</v>
      </c>
      <c r="B982" s="3" cm="1">
        <f t="array" ref="B982">_xlfn.STDEV.S(_xlfn._xlws.FILTER($E$2:$E$1000, $A$2:$A$1000="2013-12"))</f>
        <v>1.1209227361497681E-2</v>
      </c>
      <c r="C982" s="3" cm="1">
        <f t="array" ref="C982">AVERAGE(_xlfn._xlws.FILTER($E$2:$E$1000, $A$2:$A$1000="2013-12"))</f>
        <v>3.6193772456837606E-4</v>
      </c>
      <c r="D982" s="3" cm="1">
        <f t="array" ref="D982">_xlfn.PERCENTILE.INC(_xlfn._xlws.FILTER($E$751:$E$999, $A$751:$A$999="2013-12"), 0.05)</f>
        <v>-1.469511490809461E-2</v>
      </c>
      <c r="E982">
        <v>-9.4061388695422295E-3</v>
      </c>
      <c r="F982">
        <f t="shared" si="36"/>
        <v>-1.8230875703534811E-2</v>
      </c>
      <c r="G982">
        <f t="shared" si="37"/>
        <v>-3.0210353538242134E-2</v>
      </c>
    </row>
    <row r="983" spans="1:7" x14ac:dyDescent="0.35">
      <c r="A983" t="s">
        <v>62</v>
      </c>
      <c r="E983">
        <v>-1.452184378603838E-2</v>
      </c>
      <c r="F983">
        <f t="shared" si="36"/>
        <v>-1.8234068267148029E-2</v>
      </c>
      <c r="G983">
        <f t="shared" si="37"/>
        <v>-3.0210353538242134E-2</v>
      </c>
    </row>
    <row r="984" spans="1:7" x14ac:dyDescent="0.35">
      <c r="A984" t="s">
        <v>62</v>
      </c>
      <c r="E984">
        <v>-6.7379012322605954E-3</v>
      </c>
      <c r="F984">
        <f t="shared" si="36"/>
        <v>-1.8237260830761246E-2</v>
      </c>
      <c r="G984">
        <f t="shared" si="37"/>
        <v>-3.0210353538242134E-2</v>
      </c>
    </row>
    <row r="985" spans="1:7" x14ac:dyDescent="0.35">
      <c r="A985" t="s">
        <v>62</v>
      </c>
      <c r="E985">
        <v>-1.5676984599746584E-2</v>
      </c>
      <c r="F985">
        <f t="shared" si="36"/>
        <v>-1.8240453394374467E-2</v>
      </c>
      <c r="G985">
        <f t="shared" si="37"/>
        <v>-3.0210353538242134E-2</v>
      </c>
    </row>
    <row r="986" spans="1:7" x14ac:dyDescent="0.35">
      <c r="A986" t="s">
        <v>62</v>
      </c>
      <c r="E986">
        <v>8.9396896218996462E-4</v>
      </c>
      <c r="F986">
        <f t="shared" si="36"/>
        <v>-1.8243645957987685E-2</v>
      </c>
      <c r="G986">
        <f t="shared" si="37"/>
        <v>-3.0210353538242134E-2</v>
      </c>
    </row>
    <row r="987" spans="1:7" x14ac:dyDescent="0.35">
      <c r="A987" t="s">
        <v>62</v>
      </c>
      <c r="E987">
        <v>9.2017231310440335E-3</v>
      </c>
      <c r="F987">
        <f t="shared" si="36"/>
        <v>-1.8246838521600906E-2</v>
      </c>
      <c r="G987">
        <f t="shared" si="37"/>
        <v>-3.0210353538242134E-2</v>
      </c>
    </row>
    <row r="988" spans="1:7" x14ac:dyDescent="0.35">
      <c r="A988" t="s">
        <v>62</v>
      </c>
      <c r="E988">
        <v>-5.1887232873052119E-3</v>
      </c>
      <c r="F988">
        <f t="shared" si="36"/>
        <v>-1.8250031085214124E-2</v>
      </c>
      <c r="G988">
        <f t="shared" si="37"/>
        <v>-3.0210353538242134E-2</v>
      </c>
    </row>
    <row r="989" spans="1:7" x14ac:dyDescent="0.35">
      <c r="A989" t="s">
        <v>62</v>
      </c>
      <c r="E989">
        <v>-8.4694872397846829E-3</v>
      </c>
      <c r="F989">
        <f t="shared" si="36"/>
        <v>-1.8253223648827342E-2</v>
      </c>
      <c r="G989">
        <f t="shared" si="37"/>
        <v>-3.0210353538242134E-2</v>
      </c>
    </row>
    <row r="990" spans="1:7" x14ac:dyDescent="0.35">
      <c r="A990" t="s">
        <v>62</v>
      </c>
      <c r="E990">
        <v>-9.296500815745368E-3</v>
      </c>
      <c r="F990">
        <f t="shared" si="36"/>
        <v>-1.8256416212440563E-2</v>
      </c>
      <c r="G990">
        <f t="shared" si="37"/>
        <v>-3.0210353538242134E-2</v>
      </c>
    </row>
    <row r="991" spans="1:7" x14ac:dyDescent="0.35">
      <c r="A991" t="s">
        <v>62</v>
      </c>
      <c r="E991">
        <v>6.4708166193151666E-5</v>
      </c>
      <c r="F991">
        <f t="shared" si="36"/>
        <v>-1.825960877605378E-2</v>
      </c>
      <c r="G991">
        <f t="shared" si="37"/>
        <v>-3.0210353538242134E-2</v>
      </c>
    </row>
    <row r="992" spans="1:7" x14ac:dyDescent="0.35">
      <c r="A992" t="s">
        <v>62</v>
      </c>
      <c r="E992">
        <v>1.6768473665178054E-2</v>
      </c>
      <c r="F992">
        <f t="shared" si="36"/>
        <v>-1.8262801339667002E-2</v>
      </c>
      <c r="G992">
        <f t="shared" si="37"/>
        <v>-3.0210353538242134E-2</v>
      </c>
    </row>
    <row r="993" spans="1:7" x14ac:dyDescent="0.35">
      <c r="A993" t="s">
        <v>62</v>
      </c>
      <c r="E993">
        <v>-9.1728612748784889E-3</v>
      </c>
      <c r="F993">
        <f t="shared" si="36"/>
        <v>-1.8265993903280219E-2</v>
      </c>
      <c r="G993">
        <f t="shared" si="37"/>
        <v>-3.0210353538242134E-2</v>
      </c>
    </row>
    <row r="994" spans="1:7" x14ac:dyDescent="0.35">
      <c r="A994" t="s">
        <v>62</v>
      </c>
      <c r="E994">
        <v>1.066705169651693E-2</v>
      </c>
      <c r="F994">
        <f t="shared" si="36"/>
        <v>-1.8269186466893437E-2</v>
      </c>
      <c r="G994">
        <f t="shared" si="37"/>
        <v>-3.0210353538242134E-2</v>
      </c>
    </row>
    <row r="995" spans="1:7" x14ac:dyDescent="0.35">
      <c r="A995" t="s">
        <v>62</v>
      </c>
      <c r="E995">
        <v>2.3101420365070072E-2</v>
      </c>
      <c r="F995">
        <f t="shared" si="36"/>
        <v>-1.8272379030506658E-2</v>
      </c>
      <c r="G995">
        <f t="shared" si="37"/>
        <v>-3.0210353538242134E-2</v>
      </c>
    </row>
    <row r="996" spans="1:7" x14ac:dyDescent="0.35">
      <c r="A996" t="s">
        <v>62</v>
      </c>
      <c r="E996">
        <v>2.6454221749922196E-3</v>
      </c>
      <c r="F996">
        <f t="shared" si="36"/>
        <v>-1.8275571594119876E-2</v>
      </c>
      <c r="G996">
        <f t="shared" si="37"/>
        <v>-3.0210353538242134E-2</v>
      </c>
    </row>
    <row r="997" spans="1:7" x14ac:dyDescent="0.35">
      <c r="A997" t="s">
        <v>62</v>
      </c>
      <c r="E997">
        <v>7.0443466280714004E-3</v>
      </c>
      <c r="F997">
        <f t="shared" si="36"/>
        <v>-1.8278764157733097E-2</v>
      </c>
      <c r="G997">
        <f t="shared" si="37"/>
        <v>-3.0210353538242134E-2</v>
      </c>
    </row>
    <row r="998" spans="1:7" x14ac:dyDescent="0.35">
      <c r="A998" t="s">
        <v>62</v>
      </c>
      <c r="E998">
        <v>1.4416405539575669E-2</v>
      </c>
      <c r="F998">
        <f t="shared" si="36"/>
        <v>-1.8281956721346315E-2</v>
      </c>
      <c r="G998">
        <f t="shared" si="37"/>
        <v>-3.0210353538242134E-2</v>
      </c>
    </row>
    <row r="999" spans="1:7" x14ac:dyDescent="0.35">
      <c r="A999" t="s">
        <v>62</v>
      </c>
      <c r="E999">
        <v>1.8179981870081906E-4</v>
      </c>
      <c r="F999">
        <f t="shared" si="36"/>
        <v>-1.8285149284959532E-2</v>
      </c>
      <c r="G999">
        <f t="shared" si="37"/>
        <v>-3.0210353538242134E-2</v>
      </c>
    </row>
    <row r="1000" spans="1:7" x14ac:dyDescent="0.35">
      <c r="A1000" t="s">
        <v>63</v>
      </c>
      <c r="B1000" s="3" cm="1">
        <f t="array" ref="B1000">_xlfn.STDEV.S(_xlfn._xlws.FILTER($E$1000:$E$1998, $A$1000:$A$1998="2014-01"))</f>
        <v>1.27160797405333E-2</v>
      </c>
      <c r="C1000" s="3" cm="1">
        <f t="array" ref="C1000">AVERAGE(_xlfn._xlws.FILTER($E$1000:$E$1998, $A$1000:$A$1998="2014-01"))</f>
        <v>8.3928384797116954E-5</v>
      </c>
      <c r="D1000" s="3" cm="1">
        <f t="array" ref="D1000">_xlfn.PERCENTILE.EXC(_xlfn._xlws.FILTER($E$1000:$E$1497, $A$1000:$A$1497="2014-01"), 0.05)</f>
        <v>-3.3636369608041415E-2</v>
      </c>
      <c r="E1000">
        <v>-1.4403520260805743E-2</v>
      </c>
      <c r="F1000">
        <f t="shared" si="36"/>
        <v>-1.8288341848572753E-2</v>
      </c>
      <c r="G1000">
        <f t="shared" si="37"/>
        <v>-3.0210353538242134E-2</v>
      </c>
    </row>
    <row r="1001" spans="1:7" x14ac:dyDescent="0.35">
      <c r="A1001" t="s">
        <v>63</v>
      </c>
      <c r="E1001">
        <v>3.8551455588574724E-3</v>
      </c>
      <c r="F1001">
        <f t="shared" si="36"/>
        <v>-1.8292894414206857E-2</v>
      </c>
      <c r="G1001">
        <f t="shared" si="37"/>
        <v>-3.0295510764596915E-2</v>
      </c>
    </row>
    <row r="1002" spans="1:7" x14ac:dyDescent="0.35">
      <c r="A1002" t="s">
        <v>63</v>
      </c>
      <c r="E1002">
        <v>9.194182563559479E-3</v>
      </c>
      <c r="F1002">
        <f t="shared" si="36"/>
        <v>-1.8297446979840967E-2</v>
      </c>
      <c r="G1002">
        <f t="shared" si="37"/>
        <v>-3.0295510764596915E-2</v>
      </c>
    </row>
    <row r="1003" spans="1:7" x14ac:dyDescent="0.35">
      <c r="A1003" t="s">
        <v>63</v>
      </c>
      <c r="E1003">
        <v>2.892483581267374E-2</v>
      </c>
      <c r="F1003">
        <f t="shared" si="36"/>
        <v>-1.8301999545475074E-2</v>
      </c>
      <c r="G1003">
        <f t="shared" si="37"/>
        <v>-3.0295510764596915E-2</v>
      </c>
    </row>
    <row r="1004" spans="1:7" x14ac:dyDescent="0.35">
      <c r="A1004" t="s">
        <v>63</v>
      </c>
      <c r="E1004">
        <v>7.3315618408609489E-3</v>
      </c>
      <c r="F1004">
        <f t="shared" si="36"/>
        <v>-1.8306552111109178E-2</v>
      </c>
      <c r="G1004">
        <f t="shared" si="37"/>
        <v>-3.0295510764596915E-2</v>
      </c>
    </row>
    <row r="1005" spans="1:7" x14ac:dyDescent="0.35">
      <c r="A1005" t="s">
        <v>63</v>
      </c>
      <c r="E1005">
        <v>-1.8938105407319001E-3</v>
      </c>
      <c r="F1005">
        <f t="shared" si="36"/>
        <v>-1.8311104676743288E-2</v>
      </c>
      <c r="G1005">
        <f t="shared" si="37"/>
        <v>-3.0295510764596915E-2</v>
      </c>
    </row>
    <row r="1006" spans="1:7" x14ac:dyDescent="0.35">
      <c r="A1006" t="s">
        <v>63</v>
      </c>
      <c r="E1006">
        <v>5.4958042912079353E-3</v>
      </c>
      <c r="F1006">
        <f t="shared" si="36"/>
        <v>-1.8315657242377392E-2</v>
      </c>
      <c r="G1006">
        <f t="shared" si="37"/>
        <v>-3.0295510764596915E-2</v>
      </c>
    </row>
    <row r="1007" spans="1:7" x14ac:dyDescent="0.35">
      <c r="A1007" t="s">
        <v>63</v>
      </c>
      <c r="E1007">
        <v>7.2521268070768257E-3</v>
      </c>
      <c r="F1007">
        <f t="shared" si="36"/>
        <v>-1.8320209808011498E-2</v>
      </c>
      <c r="G1007">
        <f t="shared" si="37"/>
        <v>-3.0295510764596915E-2</v>
      </c>
    </row>
    <row r="1008" spans="1:7" x14ac:dyDescent="0.35">
      <c r="A1008" t="s">
        <v>63</v>
      </c>
      <c r="E1008">
        <v>1.5905534140072653E-3</v>
      </c>
      <c r="F1008">
        <f t="shared" si="36"/>
        <v>-1.8324762373645605E-2</v>
      </c>
      <c r="G1008">
        <f t="shared" si="37"/>
        <v>-3.0295510764596915E-2</v>
      </c>
    </row>
    <row r="1009" spans="1:7" x14ac:dyDescent="0.35">
      <c r="A1009" t="s">
        <v>63</v>
      </c>
      <c r="E1009">
        <v>1.3679842163407827E-2</v>
      </c>
      <c r="F1009">
        <f t="shared" si="36"/>
        <v>-1.8329314939279712E-2</v>
      </c>
      <c r="G1009">
        <f t="shared" si="37"/>
        <v>-3.0295510764596915E-2</v>
      </c>
    </row>
    <row r="1010" spans="1:7" x14ac:dyDescent="0.35">
      <c r="A1010" t="s">
        <v>63</v>
      </c>
      <c r="E1010">
        <v>-6.6252238237277973E-3</v>
      </c>
      <c r="F1010">
        <f t="shared" si="36"/>
        <v>-1.8333867504913819E-2</v>
      </c>
      <c r="G1010">
        <f t="shared" si="37"/>
        <v>-3.0295510764596915E-2</v>
      </c>
    </row>
    <row r="1011" spans="1:7" x14ac:dyDescent="0.35">
      <c r="A1011" t="s">
        <v>63</v>
      </c>
      <c r="E1011">
        <v>9.7508754834109413E-4</v>
      </c>
      <c r="F1011">
        <f t="shared" si="36"/>
        <v>-1.8338420070547923E-2</v>
      </c>
      <c r="G1011">
        <f t="shared" si="37"/>
        <v>-3.0295510764596915E-2</v>
      </c>
    </row>
    <row r="1012" spans="1:7" x14ac:dyDescent="0.35">
      <c r="A1012" t="s">
        <v>63</v>
      </c>
      <c r="E1012">
        <v>-1.1089973316073577E-3</v>
      </c>
      <c r="F1012">
        <f t="shared" si="36"/>
        <v>-1.8342972636182033E-2</v>
      </c>
      <c r="G1012">
        <f t="shared" si="37"/>
        <v>-3.0295510764596915E-2</v>
      </c>
    </row>
    <row r="1013" spans="1:7" x14ac:dyDescent="0.35">
      <c r="A1013" t="s">
        <v>63</v>
      </c>
      <c r="E1013">
        <v>-9.2930058781279072E-3</v>
      </c>
      <c r="F1013">
        <f t="shared" si="36"/>
        <v>-1.834752520181614E-2</v>
      </c>
      <c r="G1013">
        <f t="shared" si="37"/>
        <v>-3.0295510764596915E-2</v>
      </c>
    </row>
    <row r="1014" spans="1:7" x14ac:dyDescent="0.35">
      <c r="A1014" t="s">
        <v>63</v>
      </c>
      <c r="E1014">
        <v>-7.5301633615100089E-3</v>
      </c>
      <c r="F1014">
        <f t="shared" si="36"/>
        <v>-1.8352077767450244E-2</v>
      </c>
      <c r="G1014">
        <f t="shared" si="37"/>
        <v>-3.0295510764596915E-2</v>
      </c>
    </row>
    <row r="1015" spans="1:7" x14ac:dyDescent="0.35">
      <c r="A1015" t="s">
        <v>63</v>
      </c>
      <c r="E1015">
        <v>-3.7522764763700494E-3</v>
      </c>
      <c r="F1015">
        <f t="shared" si="36"/>
        <v>-1.8356630333084351E-2</v>
      </c>
      <c r="G1015">
        <f t="shared" si="37"/>
        <v>-3.0295510764596915E-2</v>
      </c>
    </row>
    <row r="1016" spans="1:7" x14ac:dyDescent="0.35">
      <c r="A1016" t="s">
        <v>63</v>
      </c>
      <c r="E1016">
        <v>-3.7030401845788888E-2</v>
      </c>
      <c r="F1016">
        <f t="shared" si="36"/>
        <v>-1.8361182898718457E-2</v>
      </c>
      <c r="G1016">
        <f t="shared" si="37"/>
        <v>-3.0295510764596915E-2</v>
      </c>
    </row>
    <row r="1017" spans="1:7" x14ac:dyDescent="0.35">
      <c r="A1017" t="s">
        <v>63</v>
      </c>
      <c r="E1017">
        <v>-1.1259945839599439E-2</v>
      </c>
      <c r="F1017">
        <f t="shared" si="36"/>
        <v>-1.8278764157733097E-2</v>
      </c>
      <c r="G1017">
        <f t="shared" si="37"/>
        <v>-3.0161638907473937E-2</v>
      </c>
    </row>
    <row r="1018" spans="1:7" x14ac:dyDescent="0.35">
      <c r="A1018" t="s">
        <v>63</v>
      </c>
      <c r="E1018">
        <v>1.2292961933082778E-2</v>
      </c>
      <c r="F1018">
        <f t="shared" si="36"/>
        <v>-1.8281956721346315E-2</v>
      </c>
      <c r="G1018">
        <f t="shared" si="37"/>
        <v>-3.0161638907473937E-2</v>
      </c>
    </row>
    <row r="1019" spans="1:7" x14ac:dyDescent="0.35">
      <c r="A1019" t="s">
        <v>63</v>
      </c>
      <c r="E1019">
        <v>1.7294305787598158E-3</v>
      </c>
      <c r="F1019">
        <f t="shared" si="36"/>
        <v>-1.8285149284959532E-2</v>
      </c>
      <c r="G1019">
        <f t="shared" si="37"/>
        <v>-3.0161638907473937E-2</v>
      </c>
    </row>
    <row r="1020" spans="1:7" x14ac:dyDescent="0.35">
      <c r="A1020" t="s">
        <v>63</v>
      </c>
      <c r="E1020">
        <v>6.877931719370978E-3</v>
      </c>
      <c r="F1020">
        <f t="shared" si="36"/>
        <v>-1.8288341848572753E-2</v>
      </c>
      <c r="G1020">
        <f t="shared" si="37"/>
        <v>-3.0161638907473937E-2</v>
      </c>
    </row>
    <row r="1021" spans="1:7" x14ac:dyDescent="0.35">
      <c r="A1021" t="s">
        <v>63</v>
      </c>
      <c r="E1021">
        <v>-4.4556944074004966E-3</v>
      </c>
      <c r="F1021">
        <f t="shared" si="36"/>
        <v>-1.8292894414206857E-2</v>
      </c>
      <c r="G1021">
        <f t="shared" si="37"/>
        <v>-3.0247058310775395E-2</v>
      </c>
    </row>
    <row r="1022" spans="1:7" x14ac:dyDescent="0.35">
      <c r="A1022" t="s">
        <v>64</v>
      </c>
      <c r="B1022" s="3" cm="1">
        <f t="array" ref="B1022">_xlfn.STDEV.S(_xlfn._xlws.FILTER($E$1000:$E$1998, $A$1000:$A$1998="2014-02"))</f>
        <v>8.5140041213499461E-3</v>
      </c>
      <c r="C1022" s="3" cm="1">
        <f t="array" ref="C1022">AVERAGE(_xlfn._xlws.FILTER($E$1000:$E$1998, $A$1000:$A$1998="2014-02"))</f>
        <v>9.6836473241559333E-4</v>
      </c>
      <c r="D1022" s="3" cm="1">
        <f t="array" ref="D1022">_xlfn.PERCENTILE.EXC(_xlfn._xlws.FILTER($E$1000:$E$1497, $A$1000:$A$1497="2014-02"), 0.05)</f>
        <v>-1.9287730248646481E-2</v>
      </c>
      <c r="E1022">
        <v>-1.9832062619820359E-2</v>
      </c>
      <c r="F1022">
        <f t="shared" si="36"/>
        <v>-1.8297446979840967E-2</v>
      </c>
      <c r="G1022">
        <f t="shared" si="37"/>
        <v>-3.0247058310775395E-2</v>
      </c>
    </row>
    <row r="1023" spans="1:7" x14ac:dyDescent="0.35">
      <c r="A1023" t="s">
        <v>64</v>
      </c>
      <c r="E1023">
        <v>2.9671936635098164E-3</v>
      </c>
      <c r="F1023">
        <f t="shared" si="36"/>
        <v>-1.8234068267148029E-2</v>
      </c>
      <c r="G1023">
        <f t="shared" si="37"/>
        <v>-3.023595240594628E-2</v>
      </c>
    </row>
    <row r="1024" spans="1:7" x14ac:dyDescent="0.35">
      <c r="A1024" t="s">
        <v>64</v>
      </c>
      <c r="E1024">
        <v>2.1198924438717739E-3</v>
      </c>
      <c r="F1024">
        <f t="shared" si="36"/>
        <v>-1.8237260830761246E-2</v>
      </c>
      <c r="G1024">
        <f t="shared" si="37"/>
        <v>-3.023595240594628E-2</v>
      </c>
    </row>
    <row r="1025" spans="1:7" x14ac:dyDescent="0.35">
      <c r="A1025" t="s">
        <v>64</v>
      </c>
      <c r="E1025">
        <v>1.9210706495956461E-2</v>
      </c>
      <c r="F1025">
        <f t="shared" si="36"/>
        <v>-1.8240453394374467E-2</v>
      </c>
      <c r="G1025">
        <f t="shared" si="37"/>
        <v>-3.023595240594628E-2</v>
      </c>
    </row>
    <row r="1026" spans="1:7" x14ac:dyDescent="0.35">
      <c r="A1026" t="s">
        <v>64</v>
      </c>
      <c r="E1026">
        <v>1.0760197644854438E-2</v>
      </c>
      <c r="F1026">
        <f t="shared" si="36"/>
        <v>-1.8243645957987685E-2</v>
      </c>
      <c r="G1026">
        <f t="shared" si="37"/>
        <v>-3.023595240594628E-2</v>
      </c>
    </row>
    <row r="1027" spans="1:7" x14ac:dyDescent="0.35">
      <c r="A1027" t="s">
        <v>64</v>
      </c>
      <c r="E1027">
        <v>-8.9454151963428395E-3</v>
      </c>
      <c r="F1027">
        <f t="shared" si="36"/>
        <v>-1.8246838521600906E-2</v>
      </c>
      <c r="G1027">
        <f t="shared" si="37"/>
        <v>-3.023595240594628E-2</v>
      </c>
    </row>
    <row r="1028" spans="1:7" x14ac:dyDescent="0.35">
      <c r="A1028" t="s">
        <v>64</v>
      </c>
      <c r="E1028">
        <v>1.0810162111352122E-2</v>
      </c>
      <c r="F1028">
        <f t="shared" ref="F1028:F1091" si="38">_xlfn.PERCENTILE.EXC(E1028:E4843,0.05)</f>
        <v>-1.8250031085214124E-2</v>
      </c>
      <c r="G1028">
        <f t="shared" ref="G1028:G1091" si="39">AVERAGEIFS(E1028:E4844,E1028:E4844,"&lt;=" &amp; F1028)</f>
        <v>-3.023595240594628E-2</v>
      </c>
    </row>
    <row r="1029" spans="1:7" x14ac:dyDescent="0.35">
      <c r="A1029" t="s">
        <v>64</v>
      </c>
      <c r="E1029">
        <v>-1.0311323539035091E-3</v>
      </c>
      <c r="F1029">
        <f t="shared" si="38"/>
        <v>-1.8253223648827342E-2</v>
      </c>
      <c r="G1029">
        <f t="shared" si="39"/>
        <v>-3.023595240594628E-2</v>
      </c>
    </row>
    <row r="1030" spans="1:7" x14ac:dyDescent="0.35">
      <c r="A1030" t="s">
        <v>64</v>
      </c>
      <c r="E1030">
        <v>1.7938824515565887E-3</v>
      </c>
      <c r="F1030">
        <f t="shared" si="38"/>
        <v>-1.8256416212440563E-2</v>
      </c>
      <c r="G1030">
        <f t="shared" si="39"/>
        <v>-3.023595240594628E-2</v>
      </c>
    </row>
    <row r="1031" spans="1:7" x14ac:dyDescent="0.35">
      <c r="A1031" t="s">
        <v>64</v>
      </c>
      <c r="E1031">
        <v>3.3511797551258275E-3</v>
      </c>
      <c r="F1031">
        <f t="shared" si="38"/>
        <v>-1.825960877605378E-2</v>
      </c>
      <c r="G1031">
        <f t="shared" si="39"/>
        <v>-3.023595240594628E-2</v>
      </c>
    </row>
    <row r="1032" spans="1:7" x14ac:dyDescent="0.35">
      <c r="A1032" t="s">
        <v>64</v>
      </c>
      <c r="E1032">
        <v>-1.4023724115072704E-3</v>
      </c>
      <c r="F1032">
        <f t="shared" si="38"/>
        <v>-1.8262801339667002E-2</v>
      </c>
      <c r="G1032">
        <f t="shared" si="39"/>
        <v>-3.023595240594628E-2</v>
      </c>
    </row>
    <row r="1033" spans="1:7" x14ac:dyDescent="0.35">
      <c r="A1033" t="s">
        <v>64</v>
      </c>
      <c r="E1033">
        <v>-7.5293119558080684E-3</v>
      </c>
      <c r="F1033">
        <f t="shared" si="38"/>
        <v>-1.8265993903280219E-2</v>
      </c>
      <c r="G1033">
        <f t="shared" si="39"/>
        <v>-3.023595240594628E-2</v>
      </c>
    </row>
    <row r="1034" spans="1:7" x14ac:dyDescent="0.35">
      <c r="A1034" t="s">
        <v>64</v>
      </c>
      <c r="E1034">
        <v>1.1046700797424838E-3</v>
      </c>
      <c r="F1034">
        <f t="shared" si="38"/>
        <v>-1.8269186466893437E-2</v>
      </c>
      <c r="G1034">
        <f t="shared" si="39"/>
        <v>-3.023595240594628E-2</v>
      </c>
    </row>
    <row r="1035" spans="1:7" x14ac:dyDescent="0.35">
      <c r="A1035" t="s">
        <v>64</v>
      </c>
      <c r="E1035">
        <v>8.3515614319356246E-4</v>
      </c>
      <c r="F1035">
        <f t="shared" si="38"/>
        <v>-1.8272379030506658E-2</v>
      </c>
      <c r="G1035">
        <f t="shared" si="39"/>
        <v>-3.023595240594628E-2</v>
      </c>
    </row>
    <row r="1036" spans="1:7" x14ac:dyDescent="0.35">
      <c r="A1036" t="s">
        <v>64</v>
      </c>
      <c r="E1036">
        <v>8.7417803035816529E-4</v>
      </c>
      <c r="F1036">
        <f t="shared" si="38"/>
        <v>-1.8275571594119876E-2</v>
      </c>
      <c r="G1036">
        <f t="shared" si="39"/>
        <v>-3.023595240594628E-2</v>
      </c>
    </row>
    <row r="1037" spans="1:7" x14ac:dyDescent="0.35">
      <c r="A1037" t="s">
        <v>64</v>
      </c>
      <c r="E1037">
        <v>1.205101412651479E-2</v>
      </c>
      <c r="F1037">
        <f t="shared" si="38"/>
        <v>-1.8278764157733097E-2</v>
      </c>
      <c r="G1037">
        <f t="shared" si="39"/>
        <v>-3.023595240594628E-2</v>
      </c>
    </row>
    <row r="1038" spans="1:7" x14ac:dyDescent="0.35">
      <c r="A1038" t="s">
        <v>64</v>
      </c>
      <c r="E1038">
        <v>4.8347096463667869E-3</v>
      </c>
      <c r="F1038">
        <f t="shared" si="38"/>
        <v>-1.8281956721346315E-2</v>
      </c>
      <c r="G1038">
        <f t="shared" si="39"/>
        <v>-3.023595240594628E-2</v>
      </c>
    </row>
    <row r="1039" spans="1:7" x14ac:dyDescent="0.35">
      <c r="A1039" t="s">
        <v>64</v>
      </c>
      <c r="E1039">
        <v>-1.7784905111947402E-3</v>
      </c>
      <c r="F1039">
        <f t="shared" si="38"/>
        <v>-1.8285149284959532E-2</v>
      </c>
      <c r="G1039">
        <f t="shared" si="39"/>
        <v>-3.023595240594628E-2</v>
      </c>
    </row>
    <row r="1040" spans="1:7" x14ac:dyDescent="0.35">
      <c r="A1040" t="s">
        <v>64</v>
      </c>
      <c r="E1040">
        <v>-5.9053358719735457E-3</v>
      </c>
      <c r="F1040">
        <f t="shared" si="38"/>
        <v>-1.8288341848572753E-2</v>
      </c>
      <c r="G1040">
        <f t="shared" si="39"/>
        <v>-3.023595240594628E-2</v>
      </c>
    </row>
    <row r="1041" spans="1:7" x14ac:dyDescent="0.35">
      <c r="A1041" t="s">
        <v>64</v>
      </c>
      <c r="E1041">
        <v>-4.9215270235406184E-3</v>
      </c>
      <c r="F1041">
        <f t="shared" si="38"/>
        <v>-1.8292894414206857E-2</v>
      </c>
      <c r="G1041">
        <f t="shared" si="39"/>
        <v>-3.032252929404319E-2</v>
      </c>
    </row>
    <row r="1042" spans="1:7" x14ac:dyDescent="0.35">
      <c r="A1042" t="s">
        <v>65</v>
      </c>
      <c r="B1042" s="3" cm="1">
        <f t="array" ref="B1042">_xlfn.STDEV.S(_xlfn._xlws.FILTER($E$1000:$E$1998, $A$1000:$A$1998="2014-03"))</f>
        <v>1.2158190430555042E-2</v>
      </c>
      <c r="C1042" s="3" cm="1">
        <f t="array" ref="C1042">AVERAGE(_xlfn._xlws.FILTER($E$1000:$E$1998, $A$1000:$A$1998="2014-03"))</f>
        <v>1.0537069894482804E-3</v>
      </c>
      <c r="D1042" s="3" cm="1">
        <f t="array" ref="D1042">_xlfn.PERCENTILE.EXC(_xlfn._xlws.FILTER($E$1000:$E$1497, $A$1000:$A$1497="2014-03"), 0.05)</f>
        <v>-2.2605900578317784E-2</v>
      </c>
      <c r="E1042">
        <v>-2.3559452877041302E-2</v>
      </c>
      <c r="F1042">
        <f t="shared" si="38"/>
        <v>-1.8297446979840967E-2</v>
      </c>
      <c r="G1042">
        <f t="shared" si="39"/>
        <v>-3.032252929404319E-2</v>
      </c>
    </row>
    <row r="1043" spans="1:7" x14ac:dyDescent="0.35">
      <c r="A1043" t="s">
        <v>65</v>
      </c>
      <c r="E1043">
        <v>2.4794575978197141E-2</v>
      </c>
      <c r="F1043">
        <f t="shared" si="38"/>
        <v>-1.8234068267148029E-2</v>
      </c>
      <c r="G1043">
        <f t="shared" si="39"/>
        <v>-3.0284332837315155E-2</v>
      </c>
    </row>
    <row r="1044" spans="1:7" x14ac:dyDescent="0.35">
      <c r="A1044" t="s">
        <v>65</v>
      </c>
      <c r="E1044">
        <v>8.7013069949982615E-3</v>
      </c>
      <c r="F1044">
        <f t="shared" si="38"/>
        <v>-1.8237260830761246E-2</v>
      </c>
      <c r="G1044">
        <f t="shared" si="39"/>
        <v>-3.0284332837315155E-2</v>
      </c>
    </row>
    <row r="1045" spans="1:7" x14ac:dyDescent="0.35">
      <c r="A1045" t="s">
        <v>65</v>
      </c>
      <c r="E1045">
        <v>8.6553622336634252E-3</v>
      </c>
      <c r="F1045">
        <f t="shared" si="38"/>
        <v>-1.8240453394374467E-2</v>
      </c>
      <c r="G1045">
        <f t="shared" si="39"/>
        <v>-3.0284332837315155E-2</v>
      </c>
    </row>
    <row r="1046" spans="1:7" x14ac:dyDescent="0.35">
      <c r="A1046" t="s">
        <v>65</v>
      </c>
      <c r="E1046">
        <v>-1.3660426805270872E-2</v>
      </c>
      <c r="F1046">
        <f t="shared" si="38"/>
        <v>-1.8243645957987685E-2</v>
      </c>
      <c r="G1046">
        <f t="shared" si="39"/>
        <v>-3.0284332837315155E-2</v>
      </c>
    </row>
    <row r="1047" spans="1:7" x14ac:dyDescent="0.35">
      <c r="A1047" t="s">
        <v>65</v>
      </c>
      <c r="E1047">
        <v>2.9864257809040177E-3</v>
      </c>
      <c r="F1047">
        <f t="shared" si="38"/>
        <v>-1.8246838521600906E-2</v>
      </c>
      <c r="G1047">
        <f t="shared" si="39"/>
        <v>-3.0284332837315155E-2</v>
      </c>
    </row>
    <row r="1048" spans="1:7" x14ac:dyDescent="0.35">
      <c r="A1048" t="s">
        <v>65</v>
      </c>
      <c r="E1048">
        <v>-3.0749757748127441E-3</v>
      </c>
      <c r="F1048">
        <f t="shared" si="38"/>
        <v>-1.8250031085214124E-2</v>
      </c>
      <c r="G1048">
        <f t="shared" si="39"/>
        <v>-3.0284332837315155E-2</v>
      </c>
    </row>
    <row r="1049" spans="1:7" x14ac:dyDescent="0.35">
      <c r="A1049" t="s">
        <v>65</v>
      </c>
      <c r="E1049">
        <v>-9.182764674867552E-3</v>
      </c>
      <c r="F1049">
        <f t="shared" si="38"/>
        <v>-1.8253223648827342E-2</v>
      </c>
      <c r="G1049">
        <f t="shared" si="39"/>
        <v>-3.0284332837315155E-2</v>
      </c>
    </row>
    <row r="1050" spans="1:7" x14ac:dyDescent="0.35">
      <c r="A1050" t="s">
        <v>65</v>
      </c>
      <c r="E1050">
        <v>-1.1997726418205254E-2</v>
      </c>
      <c r="F1050">
        <f t="shared" si="38"/>
        <v>-1.8256416212440563E-2</v>
      </c>
      <c r="G1050">
        <f t="shared" si="39"/>
        <v>-3.0284332837315155E-2</v>
      </c>
    </row>
    <row r="1051" spans="1:7" x14ac:dyDescent="0.35">
      <c r="A1051" t="s">
        <v>65</v>
      </c>
      <c r="E1051">
        <v>-1.3996575073502422E-2</v>
      </c>
      <c r="F1051">
        <f t="shared" si="38"/>
        <v>-1.825960877605378E-2</v>
      </c>
      <c r="G1051">
        <f t="shared" si="39"/>
        <v>-3.0284332837315155E-2</v>
      </c>
    </row>
    <row r="1052" spans="1:7" x14ac:dyDescent="0.35">
      <c r="A1052" t="s">
        <v>65</v>
      </c>
      <c r="E1052">
        <v>1.6475836379684188E-2</v>
      </c>
      <c r="F1052">
        <f t="shared" si="38"/>
        <v>-1.8262801339667002E-2</v>
      </c>
      <c r="G1052">
        <f t="shared" si="39"/>
        <v>-3.0284332837315155E-2</v>
      </c>
    </row>
    <row r="1053" spans="1:7" x14ac:dyDescent="0.35">
      <c r="A1053" t="s">
        <v>65</v>
      </c>
      <c r="E1053">
        <v>7.6299655099154847E-3</v>
      </c>
      <c r="F1053">
        <f t="shared" si="38"/>
        <v>-1.8265993903280219E-2</v>
      </c>
      <c r="G1053">
        <f t="shared" si="39"/>
        <v>-3.0284332837315155E-2</v>
      </c>
    </row>
    <row r="1054" spans="1:7" x14ac:dyDescent="0.35">
      <c r="A1054" t="s">
        <v>65</v>
      </c>
      <c r="E1054">
        <v>4.1599090999349013E-3</v>
      </c>
      <c r="F1054">
        <f t="shared" si="38"/>
        <v>-1.8269186466893437E-2</v>
      </c>
      <c r="G1054">
        <f t="shared" si="39"/>
        <v>-3.0284332837315155E-2</v>
      </c>
    </row>
    <row r="1055" spans="1:7" x14ac:dyDescent="0.35">
      <c r="A1055" t="s">
        <v>65</v>
      </c>
      <c r="E1055">
        <v>-1.3284954266854269E-3</v>
      </c>
      <c r="F1055">
        <f t="shared" si="38"/>
        <v>-1.8272379030506658E-2</v>
      </c>
      <c r="G1055">
        <f t="shared" si="39"/>
        <v>-3.0284332837315155E-2</v>
      </c>
    </row>
    <row r="1056" spans="1:7" x14ac:dyDescent="0.35">
      <c r="A1056" t="s">
        <v>65</v>
      </c>
      <c r="E1056">
        <v>-2.6622973058637723E-3</v>
      </c>
      <c r="F1056">
        <f t="shared" si="38"/>
        <v>-1.8275571594119876E-2</v>
      </c>
      <c r="G1056">
        <f t="shared" si="39"/>
        <v>-3.0284332837315155E-2</v>
      </c>
    </row>
    <row r="1057" spans="1:7" x14ac:dyDescent="0.35">
      <c r="A1057" t="s">
        <v>65</v>
      </c>
      <c r="E1057">
        <v>-1.4023929889806129E-2</v>
      </c>
      <c r="F1057">
        <f t="shared" si="38"/>
        <v>-1.8278764157733097E-2</v>
      </c>
      <c r="G1057">
        <f t="shared" si="39"/>
        <v>-3.0284332837315155E-2</v>
      </c>
    </row>
    <row r="1058" spans="1:7" x14ac:dyDescent="0.35">
      <c r="A1058" t="s">
        <v>65</v>
      </c>
      <c r="E1058">
        <v>7.7775266946280589E-3</v>
      </c>
      <c r="F1058">
        <f t="shared" si="38"/>
        <v>-1.8281956721346315E-2</v>
      </c>
      <c r="G1058">
        <f t="shared" si="39"/>
        <v>-3.0284332837315155E-2</v>
      </c>
    </row>
    <row r="1059" spans="1:7" x14ac:dyDescent="0.35">
      <c r="A1059" t="s">
        <v>65</v>
      </c>
      <c r="E1059">
        <v>1.4932249056414319E-2</v>
      </c>
      <c r="F1059">
        <f t="shared" si="38"/>
        <v>-1.8285149284959532E-2</v>
      </c>
      <c r="G1059">
        <f t="shared" si="39"/>
        <v>-3.0284332837315155E-2</v>
      </c>
    </row>
    <row r="1060" spans="1:7" x14ac:dyDescent="0.35">
      <c r="A1060" t="s">
        <v>65</v>
      </c>
      <c r="E1060">
        <v>5.7227857539167001E-3</v>
      </c>
      <c r="F1060">
        <f t="shared" si="38"/>
        <v>-1.8288341848572753E-2</v>
      </c>
      <c r="G1060">
        <f t="shared" si="39"/>
        <v>-3.0284332837315155E-2</v>
      </c>
    </row>
    <row r="1061" spans="1:7" x14ac:dyDescent="0.35">
      <c r="A1061" t="s">
        <v>65</v>
      </c>
      <c r="E1061">
        <v>1.2656115229919378E-2</v>
      </c>
      <c r="F1061">
        <f t="shared" si="38"/>
        <v>-1.8292894414206857E-2</v>
      </c>
      <c r="G1061">
        <f t="shared" si="39"/>
        <v>-3.0371894815335174E-2</v>
      </c>
    </row>
    <row r="1062" spans="1:7" x14ac:dyDescent="0.35">
      <c r="A1062" t="s">
        <v>65</v>
      </c>
      <c r="E1062">
        <v>1.1224323122934875E-3</v>
      </c>
      <c r="F1062">
        <f t="shared" si="38"/>
        <v>-1.8297446979840967E-2</v>
      </c>
      <c r="G1062">
        <f t="shared" si="39"/>
        <v>-3.0371894815335174E-2</v>
      </c>
    </row>
    <row r="1063" spans="1:7" x14ac:dyDescent="0.35">
      <c r="A1063" t="s">
        <v>66</v>
      </c>
      <c r="B1063" s="3" cm="1">
        <f t="array" ref="B1063">_xlfn.STDEV.S(_xlfn._xlws.FILTER($E$1000:$E$1998, $A$1000:$A$1998="2014-04"))</f>
        <v>1.0073698720730216E-2</v>
      </c>
      <c r="C1063" s="3" cm="1">
        <f t="array" ref="C1063">AVERAGE(_xlfn._xlws.FILTER($E$1000:$E$1998, $A$1000:$A$1998="2014-04"))</f>
        <v>5.6973139807687124E-4</v>
      </c>
      <c r="D1063" s="3" cm="1">
        <f t="array" ref="D1063">_xlfn.PERCENTILE.EXC(_xlfn._xlws.FILTER($E$1000:$E$1497, $A$1000:$A$1497="2014-04"), 0.05)</f>
        <v>-1.4969895462784292E-2</v>
      </c>
      <c r="E1063">
        <v>1.1786558030935835E-2</v>
      </c>
      <c r="F1063">
        <f t="shared" si="38"/>
        <v>-1.8301999545475074E-2</v>
      </c>
      <c r="G1063">
        <f t="shared" si="39"/>
        <v>-3.0371894815335174E-2</v>
      </c>
    </row>
    <row r="1064" spans="1:7" x14ac:dyDescent="0.35">
      <c r="A1064" t="s">
        <v>66</v>
      </c>
      <c r="E1064">
        <v>-2.6125791815043383E-3</v>
      </c>
      <c r="F1064">
        <f t="shared" si="38"/>
        <v>-1.8306552111109178E-2</v>
      </c>
      <c r="G1064">
        <f t="shared" si="39"/>
        <v>-3.0371894815335174E-2</v>
      </c>
    </row>
    <row r="1065" spans="1:7" x14ac:dyDescent="0.35">
      <c r="A1065" t="s">
        <v>66</v>
      </c>
      <c r="E1065">
        <v>1.4110672331728922E-2</v>
      </c>
      <c r="F1065">
        <f t="shared" si="38"/>
        <v>-1.8311104676743288E-2</v>
      </c>
      <c r="G1065">
        <f t="shared" si="39"/>
        <v>-3.0371894815335174E-2</v>
      </c>
    </row>
    <row r="1066" spans="1:7" x14ac:dyDescent="0.35">
      <c r="A1066" t="s">
        <v>66</v>
      </c>
      <c r="E1066">
        <v>8.7577518824890222E-3</v>
      </c>
      <c r="F1066">
        <f t="shared" si="38"/>
        <v>-1.8315657242377392E-2</v>
      </c>
      <c r="G1066">
        <f t="shared" si="39"/>
        <v>-3.0371894815335174E-2</v>
      </c>
    </row>
    <row r="1067" spans="1:7" x14ac:dyDescent="0.35">
      <c r="A1067" t="s">
        <v>66</v>
      </c>
      <c r="E1067">
        <v>-6.6718910864878977E-3</v>
      </c>
      <c r="F1067">
        <f t="shared" si="38"/>
        <v>-1.8320209808011498E-2</v>
      </c>
      <c r="G1067">
        <f t="shared" si="39"/>
        <v>-3.0371894815335174E-2</v>
      </c>
    </row>
    <row r="1068" spans="1:7" x14ac:dyDescent="0.35">
      <c r="A1068" t="s">
        <v>66</v>
      </c>
      <c r="E1068">
        <v>-1.1922348109277413E-2</v>
      </c>
      <c r="F1068">
        <f t="shared" si="38"/>
        <v>-1.8324762373645605E-2</v>
      </c>
      <c r="G1068">
        <f t="shared" si="39"/>
        <v>-3.0371894815335174E-2</v>
      </c>
    </row>
    <row r="1069" spans="1:7" x14ac:dyDescent="0.35">
      <c r="A1069" t="s">
        <v>66</v>
      </c>
      <c r="E1069">
        <v>4.4835136234258139E-4</v>
      </c>
      <c r="F1069">
        <f t="shared" si="38"/>
        <v>-1.8329314939279712E-2</v>
      </c>
      <c r="G1069">
        <f t="shared" si="39"/>
        <v>-3.0371894815335174E-2</v>
      </c>
    </row>
    <row r="1070" spans="1:7" x14ac:dyDescent="0.35">
      <c r="A1070" t="s">
        <v>66</v>
      </c>
      <c r="E1070">
        <v>-1.4322117124775713E-2</v>
      </c>
      <c r="F1070">
        <f t="shared" si="38"/>
        <v>-1.8333867504913819E-2</v>
      </c>
      <c r="G1070">
        <f t="shared" si="39"/>
        <v>-3.0371894815335174E-2</v>
      </c>
    </row>
    <row r="1071" spans="1:7" x14ac:dyDescent="0.35">
      <c r="A1071" t="s">
        <v>66</v>
      </c>
      <c r="E1071">
        <v>-1.2725629950081014E-2</v>
      </c>
      <c r="F1071">
        <f t="shared" si="38"/>
        <v>-1.8338420070547923E-2</v>
      </c>
      <c r="G1071">
        <f t="shared" si="39"/>
        <v>-3.0371894815335174E-2</v>
      </c>
    </row>
    <row r="1072" spans="1:7" x14ac:dyDescent="0.35">
      <c r="A1072" t="s">
        <v>66</v>
      </c>
      <c r="E1072">
        <v>-1.6868041030787659E-3</v>
      </c>
      <c r="F1072">
        <f t="shared" si="38"/>
        <v>-1.8342972636182033E-2</v>
      </c>
      <c r="G1072">
        <f t="shared" si="39"/>
        <v>-3.0371894815335174E-2</v>
      </c>
    </row>
    <row r="1073" spans="1:7" x14ac:dyDescent="0.35">
      <c r="A1073" t="s">
        <v>66</v>
      </c>
      <c r="E1073">
        <v>-8.3482893914712739E-3</v>
      </c>
      <c r="F1073">
        <f t="shared" si="38"/>
        <v>-1.834752520181614E-2</v>
      </c>
      <c r="G1073">
        <f t="shared" si="39"/>
        <v>-3.0371894815335174E-2</v>
      </c>
    </row>
    <row r="1074" spans="1:7" x14ac:dyDescent="0.35">
      <c r="A1074" t="s">
        <v>66</v>
      </c>
      <c r="E1074">
        <v>1.6140625495120024E-2</v>
      </c>
      <c r="F1074">
        <f t="shared" si="38"/>
        <v>-1.8352077767450244E-2</v>
      </c>
      <c r="G1074">
        <f t="shared" si="39"/>
        <v>-3.0371894815335174E-2</v>
      </c>
    </row>
    <row r="1075" spans="1:7" x14ac:dyDescent="0.35">
      <c r="A1075" t="s">
        <v>66</v>
      </c>
      <c r="E1075">
        <v>2.3832348357052105E-3</v>
      </c>
      <c r="F1075">
        <f t="shared" si="38"/>
        <v>-1.8356630333084351E-2</v>
      </c>
      <c r="G1075">
        <f t="shared" si="39"/>
        <v>-3.0371894815335174E-2</v>
      </c>
    </row>
    <row r="1076" spans="1:7" x14ac:dyDescent="0.35">
      <c r="A1076" t="s">
        <v>66</v>
      </c>
      <c r="E1076">
        <v>1.4028073476646764E-2</v>
      </c>
      <c r="F1076">
        <f t="shared" si="38"/>
        <v>-1.8361182898718457E-2</v>
      </c>
      <c r="G1076">
        <f t="shared" si="39"/>
        <v>-3.0371894815335174E-2</v>
      </c>
    </row>
    <row r="1077" spans="1:7" x14ac:dyDescent="0.35">
      <c r="A1077" t="s">
        <v>66</v>
      </c>
      <c r="E1077">
        <v>-1.2846202071476647E-3</v>
      </c>
      <c r="F1077">
        <f t="shared" si="38"/>
        <v>-1.8365735464352564E-2</v>
      </c>
      <c r="G1077">
        <f t="shared" si="39"/>
        <v>-3.0371894815335174E-2</v>
      </c>
    </row>
    <row r="1078" spans="1:7" x14ac:dyDescent="0.35">
      <c r="A1078" t="s">
        <v>66</v>
      </c>
      <c r="E1078">
        <v>3.6004328766812317E-3</v>
      </c>
      <c r="F1078">
        <f t="shared" si="38"/>
        <v>-1.8370288029986671E-2</v>
      </c>
      <c r="G1078">
        <f t="shared" si="39"/>
        <v>-3.0371894815335174E-2</v>
      </c>
    </row>
    <row r="1079" spans="1:7" x14ac:dyDescent="0.35">
      <c r="A1079" t="s">
        <v>66</v>
      </c>
      <c r="E1079">
        <v>-1.5003989059521586E-2</v>
      </c>
      <c r="F1079">
        <f t="shared" si="38"/>
        <v>-1.8374840595620778E-2</v>
      </c>
      <c r="G1079">
        <f t="shared" si="39"/>
        <v>-3.0371894815335174E-2</v>
      </c>
    </row>
    <row r="1080" spans="1:7" x14ac:dyDescent="0.35">
      <c r="A1080" t="s">
        <v>66</v>
      </c>
      <c r="E1080">
        <v>1.4253096643344178E-3</v>
      </c>
      <c r="F1080">
        <f t="shared" si="38"/>
        <v>-1.8379393161254885E-2</v>
      </c>
      <c r="G1080">
        <f t="shared" si="39"/>
        <v>-3.0371894815335174E-2</v>
      </c>
    </row>
    <row r="1081" spans="1:7" x14ac:dyDescent="0.35">
      <c r="A1081" t="s">
        <v>66</v>
      </c>
      <c r="E1081">
        <v>1.3483090808391695E-2</v>
      </c>
      <c r="F1081">
        <f t="shared" si="38"/>
        <v>-1.8381839828227463E-2</v>
      </c>
      <c r="G1081">
        <f t="shared" si="39"/>
        <v>-3.0460074974556352E-2</v>
      </c>
    </row>
    <row r="1082" spans="1:7" x14ac:dyDescent="0.35">
      <c r="A1082" t="s">
        <v>66</v>
      </c>
      <c r="E1082">
        <v>-1.9120458949260601E-4</v>
      </c>
      <c r="F1082">
        <f t="shared" si="38"/>
        <v>-1.838428649520004E-2</v>
      </c>
      <c r="G1082">
        <f t="shared" si="39"/>
        <v>-3.0460074974556352E-2</v>
      </c>
    </row>
    <row r="1083" spans="1:7" x14ac:dyDescent="0.35">
      <c r="A1083" t="s">
        <v>67</v>
      </c>
      <c r="B1083" s="3" cm="1">
        <f t="array" ref="B1083">_xlfn.STDEV.S(_xlfn._xlws.FILTER($E$1000:$E$1998, $A$1000:$A$1998="2014-05"))</f>
        <v>9.1104751674222252E-3</v>
      </c>
      <c r="C1083" s="3" cm="1">
        <f t="array" ref="C1083">AVERAGE(_xlfn._xlws.FILTER($E$1000:$E$1998, $A$1000:$A$1998="2014-05"))</f>
        <v>1.6822581443462368E-3</v>
      </c>
      <c r="D1083" s="3" cm="1">
        <f t="array" ref="D1083">_xlfn.PERCENTILE.EXC(_xlfn._xlws.FILTER($E$1000:$E$1497, $A$1000:$A$1497="2014-05"), 0.05)</f>
        <v>-2.3729716954828714E-2</v>
      </c>
      <c r="E1083">
        <v>1.4808801999315606E-3</v>
      </c>
      <c r="F1083">
        <f t="shared" si="38"/>
        <v>-1.8386733162172618E-2</v>
      </c>
      <c r="G1083">
        <f t="shared" si="39"/>
        <v>-3.0460074974556352E-2</v>
      </c>
    </row>
    <row r="1084" spans="1:7" x14ac:dyDescent="0.35">
      <c r="A1084" t="s">
        <v>67</v>
      </c>
      <c r="E1084">
        <v>6.5852578503914109E-4</v>
      </c>
      <c r="F1084">
        <f t="shared" si="38"/>
        <v>-1.8389179829145192E-2</v>
      </c>
      <c r="G1084">
        <f t="shared" si="39"/>
        <v>-3.0460074974556352E-2</v>
      </c>
    </row>
    <row r="1085" spans="1:7" x14ac:dyDescent="0.35">
      <c r="A1085" t="s">
        <v>67</v>
      </c>
      <c r="E1085">
        <v>-6.4704081172699346E-3</v>
      </c>
      <c r="F1085">
        <f t="shared" si="38"/>
        <v>-1.8391626496117773E-2</v>
      </c>
      <c r="G1085">
        <f t="shared" si="39"/>
        <v>-3.0460074974556352E-2</v>
      </c>
    </row>
    <row r="1086" spans="1:7" x14ac:dyDescent="0.35">
      <c r="A1086" t="s">
        <v>67</v>
      </c>
      <c r="E1086">
        <v>1.6891618001478387E-2</v>
      </c>
      <c r="F1086">
        <f t="shared" si="38"/>
        <v>-1.8394073163090347E-2</v>
      </c>
      <c r="G1086">
        <f t="shared" si="39"/>
        <v>-3.0460074974556352E-2</v>
      </c>
    </row>
    <row r="1087" spans="1:7" x14ac:dyDescent="0.35">
      <c r="A1087" t="s">
        <v>67</v>
      </c>
      <c r="E1087">
        <v>-9.8680017398476341E-3</v>
      </c>
      <c r="F1087">
        <f t="shared" si="38"/>
        <v>-1.8396519830062925E-2</v>
      </c>
      <c r="G1087">
        <f t="shared" si="39"/>
        <v>-3.0460074974556352E-2</v>
      </c>
    </row>
    <row r="1088" spans="1:7" x14ac:dyDescent="0.35">
      <c r="A1088" t="s">
        <v>67</v>
      </c>
      <c r="E1088">
        <v>7.5804715574312514E-3</v>
      </c>
      <c r="F1088">
        <f t="shared" si="38"/>
        <v>-1.8398966497035502E-2</v>
      </c>
      <c r="G1088">
        <f t="shared" si="39"/>
        <v>-3.0460074974556352E-2</v>
      </c>
    </row>
    <row r="1089" spans="1:7" x14ac:dyDescent="0.35">
      <c r="A1089" t="s">
        <v>67</v>
      </c>
      <c r="E1089">
        <v>1.9097868167644093E-3</v>
      </c>
      <c r="F1089">
        <f t="shared" si="38"/>
        <v>-1.840141316400808E-2</v>
      </c>
      <c r="G1089">
        <f t="shared" si="39"/>
        <v>-3.0460074974556352E-2</v>
      </c>
    </row>
    <row r="1090" spans="1:7" x14ac:dyDescent="0.35">
      <c r="A1090" t="s">
        <v>67</v>
      </c>
      <c r="E1090">
        <v>2.5187385669134523E-3</v>
      </c>
      <c r="F1090">
        <f t="shared" si="38"/>
        <v>-1.8403859830980657E-2</v>
      </c>
      <c r="G1090">
        <f t="shared" si="39"/>
        <v>-3.0460074974556352E-2</v>
      </c>
    </row>
    <row r="1091" spans="1:7" x14ac:dyDescent="0.35">
      <c r="A1091" t="s">
        <v>67</v>
      </c>
      <c r="E1091">
        <v>-2.3729716954828714E-2</v>
      </c>
      <c r="F1091">
        <f t="shared" si="38"/>
        <v>-1.8406306497953235E-2</v>
      </c>
      <c r="G1091">
        <f t="shared" si="39"/>
        <v>-3.0460074974556352E-2</v>
      </c>
    </row>
    <row r="1092" spans="1:7" x14ac:dyDescent="0.35">
      <c r="A1092" t="s">
        <v>67</v>
      </c>
      <c r="E1092">
        <v>1.0909879509309864E-2</v>
      </c>
      <c r="F1092">
        <f t="shared" ref="F1092:F1155" si="40">_xlfn.PERCENTILE.EXC(E1092:E4907,0.05)</f>
        <v>-1.8342972636182033E-2</v>
      </c>
      <c r="G1092">
        <f t="shared" ref="G1092:G1155" si="41">AVERAGEIFS(E1092:E4908,E1092:E4908,"&lt;=" &amp; F1092)</f>
        <v>-3.042073435842713E-2</v>
      </c>
    </row>
    <row r="1093" spans="1:7" x14ac:dyDescent="0.35">
      <c r="A1093" t="s">
        <v>67</v>
      </c>
      <c r="E1093">
        <v>-5.0898972316143149E-3</v>
      </c>
      <c r="F1093">
        <f t="shared" si="40"/>
        <v>-1.834752520181614E-2</v>
      </c>
      <c r="G1093">
        <f t="shared" si="41"/>
        <v>-3.042073435842713E-2</v>
      </c>
    </row>
    <row r="1094" spans="1:7" x14ac:dyDescent="0.35">
      <c r="A1094" t="s">
        <v>67</v>
      </c>
      <c r="E1094">
        <v>2.7108205093391963E-3</v>
      </c>
      <c r="F1094">
        <f t="shared" si="40"/>
        <v>-1.8352077767450244E-2</v>
      </c>
      <c r="G1094">
        <f t="shared" si="41"/>
        <v>-3.042073435842713E-2</v>
      </c>
    </row>
    <row r="1095" spans="1:7" x14ac:dyDescent="0.35">
      <c r="A1095" t="s">
        <v>67</v>
      </c>
      <c r="E1095">
        <v>7.3957220998645693E-3</v>
      </c>
      <c r="F1095">
        <f t="shared" si="40"/>
        <v>-1.8356630333084351E-2</v>
      </c>
      <c r="G1095">
        <f t="shared" si="41"/>
        <v>-3.042073435842713E-2</v>
      </c>
    </row>
    <row r="1096" spans="1:7" x14ac:dyDescent="0.35">
      <c r="A1096" t="s">
        <v>67</v>
      </c>
      <c r="E1096">
        <v>-1.0260308709352326E-3</v>
      </c>
      <c r="F1096">
        <f t="shared" si="40"/>
        <v>-1.8361182898718457E-2</v>
      </c>
      <c r="G1096">
        <f t="shared" si="41"/>
        <v>-3.042073435842713E-2</v>
      </c>
    </row>
    <row r="1097" spans="1:7" x14ac:dyDescent="0.35">
      <c r="A1097" t="s">
        <v>67</v>
      </c>
      <c r="E1097">
        <v>3.6338662820178933E-3</v>
      </c>
      <c r="F1097">
        <f t="shared" si="40"/>
        <v>-1.8365735464352564E-2</v>
      </c>
      <c r="G1097">
        <f t="shared" si="41"/>
        <v>-3.042073435842713E-2</v>
      </c>
    </row>
    <row r="1098" spans="1:7" x14ac:dyDescent="0.35">
      <c r="A1098" t="s">
        <v>67</v>
      </c>
      <c r="E1098">
        <v>1.46008582632724E-2</v>
      </c>
      <c r="F1098">
        <f t="shared" si="40"/>
        <v>-1.8370288029986671E-2</v>
      </c>
      <c r="G1098">
        <f t="shared" si="41"/>
        <v>-3.042073435842713E-2</v>
      </c>
    </row>
    <row r="1099" spans="1:7" x14ac:dyDescent="0.35">
      <c r="A1099" t="s">
        <v>67</v>
      </c>
      <c r="E1099">
        <v>4.0053333724218215E-3</v>
      </c>
      <c r="F1099">
        <f t="shared" si="40"/>
        <v>-1.8374840595620778E-2</v>
      </c>
      <c r="G1099">
        <f t="shared" si="41"/>
        <v>-3.042073435842713E-2</v>
      </c>
    </row>
    <row r="1100" spans="1:7" x14ac:dyDescent="0.35">
      <c r="A1100" t="s">
        <v>67</v>
      </c>
      <c r="E1100">
        <v>-2.0844973116423767E-3</v>
      </c>
      <c r="F1100">
        <f t="shared" si="40"/>
        <v>-1.8379393161254885E-2</v>
      </c>
      <c r="G1100">
        <f t="shared" si="41"/>
        <v>-3.042073435842713E-2</v>
      </c>
    </row>
    <row r="1101" spans="1:7" x14ac:dyDescent="0.35">
      <c r="A1101" t="s">
        <v>67</v>
      </c>
      <c r="E1101">
        <v>5.9349560049327572E-3</v>
      </c>
      <c r="F1101">
        <f t="shared" si="40"/>
        <v>-1.8381839828227463E-2</v>
      </c>
      <c r="G1101">
        <f t="shared" si="41"/>
        <v>-3.0509929478406181E-2</v>
      </c>
    </row>
    <row r="1102" spans="1:7" x14ac:dyDescent="0.35">
      <c r="A1102" t="s">
        <v>68</v>
      </c>
      <c r="B1102" s="3" cm="1">
        <f t="array" ref="B1102">_xlfn.STDEV.S(_xlfn._xlws.FILTER($E$1000:$E$1998, $A$1000:$A$1998="2014-06"))</f>
        <v>6.9504329977628058E-3</v>
      </c>
      <c r="C1102" s="3" cm="1">
        <f t="array" ref="C1102">AVERAGE(_xlfn._xlws.FILTER($E$1000:$E$1998, $A$1000:$A$1998="2014-06"))</f>
        <v>5.4717501282388107E-4</v>
      </c>
      <c r="D1102" s="3" cm="1">
        <f t="array" ref="D1102">_xlfn.PERCENTILE.EXC(_xlfn._xlws.FILTER($E$1000:$E$1497, $A$1000:$A$1497="2014-06"), 0.05)</f>
        <v>-1.2305594210327384E-2</v>
      </c>
      <c r="E1102">
        <v>2.654201806962951E-3</v>
      </c>
      <c r="F1102">
        <f t="shared" si="40"/>
        <v>-1.838428649520004E-2</v>
      </c>
      <c r="G1102">
        <f t="shared" si="41"/>
        <v>-3.0509929478406181E-2</v>
      </c>
    </row>
    <row r="1103" spans="1:7" x14ac:dyDescent="0.35">
      <c r="A1103" t="s">
        <v>68</v>
      </c>
      <c r="E1103">
        <v>-4.6935621548419995E-3</v>
      </c>
      <c r="F1103">
        <f t="shared" si="40"/>
        <v>-1.8386733162172618E-2</v>
      </c>
      <c r="G1103">
        <f t="shared" si="41"/>
        <v>-3.0509929478406181E-2</v>
      </c>
    </row>
    <row r="1104" spans="1:7" x14ac:dyDescent="0.35">
      <c r="A1104" t="s">
        <v>68</v>
      </c>
      <c r="E1104">
        <v>-1.9598469976508013E-3</v>
      </c>
      <c r="F1104">
        <f t="shared" si="40"/>
        <v>-1.8389179829145192E-2</v>
      </c>
      <c r="G1104">
        <f t="shared" si="41"/>
        <v>-3.0509929478406181E-2</v>
      </c>
    </row>
    <row r="1105" spans="1:7" x14ac:dyDescent="0.35">
      <c r="A1105" t="s">
        <v>68</v>
      </c>
      <c r="E1105">
        <v>1.1168755152032065E-2</v>
      </c>
      <c r="F1105">
        <f t="shared" si="40"/>
        <v>-1.8391626496117773E-2</v>
      </c>
      <c r="G1105">
        <f t="shared" si="41"/>
        <v>-3.0509929478406181E-2</v>
      </c>
    </row>
    <row r="1106" spans="1:7" x14ac:dyDescent="0.35">
      <c r="A1106" t="s">
        <v>68</v>
      </c>
      <c r="E1106">
        <v>1.7128404641103746E-2</v>
      </c>
      <c r="F1106">
        <f t="shared" si="40"/>
        <v>-1.8394073163090347E-2</v>
      </c>
      <c r="G1106">
        <f t="shared" si="41"/>
        <v>-3.0509929478406181E-2</v>
      </c>
    </row>
    <row r="1107" spans="1:7" x14ac:dyDescent="0.35">
      <c r="A1107" t="s">
        <v>68</v>
      </c>
      <c r="E1107">
        <v>8.9795640345962466E-3</v>
      </c>
      <c r="F1107">
        <f t="shared" si="40"/>
        <v>-1.8396519830062925E-2</v>
      </c>
      <c r="G1107">
        <f t="shared" si="41"/>
        <v>-3.0509929478406181E-2</v>
      </c>
    </row>
    <row r="1108" spans="1:7" x14ac:dyDescent="0.35">
      <c r="A1108" t="s">
        <v>68</v>
      </c>
      <c r="E1108">
        <v>-9.4992300221162973E-4</v>
      </c>
      <c r="F1108">
        <f t="shared" si="40"/>
        <v>-1.8398966497035502E-2</v>
      </c>
      <c r="G1108">
        <f t="shared" si="41"/>
        <v>-3.0509929478406181E-2</v>
      </c>
    </row>
    <row r="1109" spans="1:7" x14ac:dyDescent="0.35">
      <c r="A1109" t="s">
        <v>68</v>
      </c>
      <c r="E1109">
        <v>-7.0720634496375112E-3</v>
      </c>
      <c r="F1109">
        <f t="shared" si="40"/>
        <v>-1.840141316400808E-2</v>
      </c>
      <c r="G1109">
        <f t="shared" si="41"/>
        <v>-3.0509929478406181E-2</v>
      </c>
    </row>
    <row r="1110" spans="1:7" x14ac:dyDescent="0.35">
      <c r="A1110" t="s">
        <v>68</v>
      </c>
      <c r="E1110">
        <v>1.2272486808846067E-3</v>
      </c>
      <c r="F1110">
        <f t="shared" si="40"/>
        <v>-1.8403859830980657E-2</v>
      </c>
      <c r="G1110">
        <f t="shared" si="41"/>
        <v>-3.0509929478406181E-2</v>
      </c>
    </row>
    <row r="1111" spans="1:7" x14ac:dyDescent="0.35">
      <c r="A1111" t="s">
        <v>68</v>
      </c>
      <c r="E1111">
        <v>2.2700462856411214E-3</v>
      </c>
      <c r="F1111">
        <f t="shared" si="40"/>
        <v>-1.8406306497953235E-2</v>
      </c>
      <c r="G1111">
        <f t="shared" si="41"/>
        <v>-3.0509929478406181E-2</v>
      </c>
    </row>
    <row r="1112" spans="1:7" x14ac:dyDescent="0.35">
      <c r="A1112" t="s">
        <v>68</v>
      </c>
      <c r="E1112">
        <v>-9.538131880995733E-3</v>
      </c>
      <c r="F1112">
        <f t="shared" si="40"/>
        <v>-1.8408753164925813E-2</v>
      </c>
      <c r="G1112">
        <f t="shared" si="41"/>
        <v>-3.0509929478406181E-2</v>
      </c>
    </row>
    <row r="1113" spans="1:7" x14ac:dyDescent="0.35">
      <c r="A1113" t="s">
        <v>68</v>
      </c>
      <c r="E1113">
        <v>4.5589133960469404E-3</v>
      </c>
      <c r="F1113">
        <f t="shared" si="40"/>
        <v>-1.841119983189839E-2</v>
      </c>
      <c r="G1113">
        <f t="shared" si="41"/>
        <v>-3.0509929478406181E-2</v>
      </c>
    </row>
    <row r="1114" spans="1:7" x14ac:dyDescent="0.35">
      <c r="A1114" t="s">
        <v>68</v>
      </c>
      <c r="E1114">
        <v>4.8532399011412732E-3</v>
      </c>
      <c r="F1114">
        <f t="shared" si="40"/>
        <v>-1.8413646498870964E-2</v>
      </c>
      <c r="G1114">
        <f t="shared" si="41"/>
        <v>-3.0509929478406181E-2</v>
      </c>
    </row>
    <row r="1115" spans="1:7" x14ac:dyDescent="0.35">
      <c r="A1115" t="s">
        <v>68</v>
      </c>
      <c r="E1115">
        <v>6.7712959561186913E-3</v>
      </c>
      <c r="F1115">
        <f t="shared" si="40"/>
        <v>-1.8416093165843542E-2</v>
      </c>
      <c r="G1115">
        <f t="shared" si="41"/>
        <v>-3.0509929478406181E-2</v>
      </c>
    </row>
    <row r="1116" spans="1:7" x14ac:dyDescent="0.35">
      <c r="A1116" t="s">
        <v>68</v>
      </c>
      <c r="E1116">
        <v>-2.9271064497146562E-3</v>
      </c>
      <c r="F1116">
        <f t="shared" si="40"/>
        <v>-1.8418539832816119E-2</v>
      </c>
      <c r="G1116">
        <f t="shared" si="41"/>
        <v>-3.0509929478406181E-2</v>
      </c>
    </row>
    <row r="1117" spans="1:7" x14ac:dyDescent="0.35">
      <c r="A1117" t="s">
        <v>68</v>
      </c>
      <c r="E1117">
        <v>-3.3043929965760523E-3</v>
      </c>
      <c r="F1117">
        <f t="shared" si="40"/>
        <v>-1.8420986499788697E-2</v>
      </c>
      <c r="G1117">
        <f t="shared" si="41"/>
        <v>-3.0509929478406181E-2</v>
      </c>
    </row>
    <row r="1118" spans="1:7" x14ac:dyDescent="0.35">
      <c r="A1118" t="s">
        <v>68</v>
      </c>
      <c r="E1118">
        <v>-1.1159008006355602E-3</v>
      </c>
      <c r="F1118">
        <f t="shared" si="40"/>
        <v>-1.8423433166761274E-2</v>
      </c>
      <c r="G1118">
        <f t="shared" si="41"/>
        <v>-3.0509929478406181E-2</v>
      </c>
    </row>
    <row r="1119" spans="1:7" x14ac:dyDescent="0.35">
      <c r="A1119" t="s">
        <v>68</v>
      </c>
      <c r="E1119">
        <v>-1.2613090024697567E-2</v>
      </c>
      <c r="F1119">
        <f t="shared" si="40"/>
        <v>-1.8425879833733852E-2</v>
      </c>
      <c r="G1119">
        <f t="shared" si="41"/>
        <v>-3.0509929478406181E-2</v>
      </c>
    </row>
    <row r="1120" spans="1:7" x14ac:dyDescent="0.35">
      <c r="A1120" t="s">
        <v>68</v>
      </c>
      <c r="E1120">
        <v>2.0313638525119551E-3</v>
      </c>
      <c r="F1120">
        <f t="shared" si="40"/>
        <v>-1.842832650070643E-2</v>
      </c>
      <c r="G1120">
        <f t="shared" si="41"/>
        <v>-3.0509929478406181E-2</v>
      </c>
    </row>
    <row r="1121" spans="1:7" x14ac:dyDescent="0.35">
      <c r="A1121" t="s">
        <v>68</v>
      </c>
      <c r="E1121">
        <v>-2.6516150741335365E-3</v>
      </c>
      <c r="F1121">
        <f t="shared" si="40"/>
        <v>-1.8431042963206856E-2</v>
      </c>
      <c r="G1121">
        <f t="shared" si="41"/>
        <v>-3.0600090694657672E-2</v>
      </c>
    </row>
    <row r="1122" spans="1:7" x14ac:dyDescent="0.35">
      <c r="A1122" t="s">
        <v>68</v>
      </c>
      <c r="E1122">
        <v>-3.3267256066430435E-3</v>
      </c>
      <c r="F1122">
        <f t="shared" si="40"/>
        <v>-1.8433759425707283E-2</v>
      </c>
      <c r="G1122">
        <f t="shared" si="41"/>
        <v>-3.0600090694657672E-2</v>
      </c>
    </row>
    <row r="1123" spans="1:7" x14ac:dyDescent="0.35">
      <c r="A1123" t="s">
        <v>69</v>
      </c>
      <c r="B1123" s="3" cm="1">
        <f t="array" ref="B1123">_xlfn.STDEV.S(_xlfn._xlws.FILTER($E$1000:$E$1998, $A$1000:$A$1998="2014-07"))</f>
        <v>1.1273197936403204E-2</v>
      </c>
      <c r="C1123" s="3" cm="1">
        <f t="array" ref="C1123">AVERAGE(_xlfn._xlws.FILTER($E$1000:$E$1998, $A$1000:$A$1998="2014-07"))</f>
        <v>-8.6956606146507121E-4</v>
      </c>
      <c r="D1123" s="3" cm="1">
        <f t="array" ref="D1123">_xlfn.PERCENTILE.EXC(_xlfn._xlws.FILTER($E$1000:$E$1497, $A$1000:$A$1497="2014-07"), 0.05)</f>
        <v>-2.1026795698269381E-2</v>
      </c>
      <c r="E1123">
        <v>7.6876806372751334E-3</v>
      </c>
      <c r="F1123">
        <f t="shared" si="40"/>
        <v>-1.843647588820771E-2</v>
      </c>
      <c r="G1123">
        <f t="shared" si="41"/>
        <v>-3.0600090694657672E-2</v>
      </c>
    </row>
    <row r="1124" spans="1:7" x14ac:dyDescent="0.35">
      <c r="A1124" t="s">
        <v>69</v>
      </c>
      <c r="E1124">
        <v>7.6280425057308448E-4</v>
      </c>
      <c r="F1124">
        <f t="shared" si="40"/>
        <v>-1.8439192350708136E-2</v>
      </c>
      <c r="G1124">
        <f t="shared" si="41"/>
        <v>-3.0600090694657672E-2</v>
      </c>
    </row>
    <row r="1125" spans="1:7" x14ac:dyDescent="0.35">
      <c r="A1125" t="s">
        <v>69</v>
      </c>
      <c r="E1125">
        <v>6.6768846904171801E-3</v>
      </c>
      <c r="F1125">
        <f t="shared" si="40"/>
        <v>-1.8441908813208563E-2</v>
      </c>
      <c r="G1125">
        <f t="shared" si="41"/>
        <v>-3.0600090694657672E-2</v>
      </c>
    </row>
    <row r="1126" spans="1:7" x14ac:dyDescent="0.35">
      <c r="A1126" t="s">
        <v>69</v>
      </c>
      <c r="E1126">
        <v>-7.2943480254498184E-3</v>
      </c>
      <c r="F1126">
        <f t="shared" si="40"/>
        <v>-1.844462527570899E-2</v>
      </c>
      <c r="G1126">
        <f t="shared" si="41"/>
        <v>-3.0600090694657672E-2</v>
      </c>
    </row>
    <row r="1127" spans="1:7" x14ac:dyDescent="0.35">
      <c r="A1127" t="s">
        <v>69</v>
      </c>
      <c r="E1127">
        <v>-1.1042266925957833E-2</v>
      </c>
      <c r="F1127">
        <f t="shared" si="40"/>
        <v>-1.8447341738209416E-2</v>
      </c>
      <c r="G1127">
        <f t="shared" si="41"/>
        <v>-3.0600090694657672E-2</v>
      </c>
    </row>
    <row r="1128" spans="1:7" x14ac:dyDescent="0.35">
      <c r="A1128" t="s">
        <v>69</v>
      </c>
      <c r="E1128">
        <v>-1.8482655750714966E-2</v>
      </c>
      <c r="F1128">
        <f t="shared" si="40"/>
        <v>-1.8450058200709843E-2</v>
      </c>
      <c r="G1128">
        <f t="shared" si="41"/>
        <v>-3.0600090694657672E-2</v>
      </c>
    </row>
    <row r="1129" spans="1:7" x14ac:dyDescent="0.35">
      <c r="A1129" t="s">
        <v>69</v>
      </c>
      <c r="E1129">
        <v>5.3928102332681726E-3</v>
      </c>
      <c r="F1129">
        <f t="shared" si="40"/>
        <v>-1.840141316400808E-2</v>
      </c>
      <c r="G1129">
        <f t="shared" si="41"/>
        <v>-3.059968525249343E-2</v>
      </c>
    </row>
    <row r="1130" spans="1:7" x14ac:dyDescent="0.35">
      <c r="A1130" t="s">
        <v>69</v>
      </c>
      <c r="E1130">
        <v>-2.0047192833424352E-2</v>
      </c>
      <c r="F1130">
        <f t="shared" si="40"/>
        <v>-1.8403859830980657E-2</v>
      </c>
      <c r="G1130">
        <f t="shared" si="41"/>
        <v>-3.059968525249343E-2</v>
      </c>
    </row>
    <row r="1131" spans="1:7" x14ac:dyDescent="0.35">
      <c r="A1131" t="s">
        <v>69</v>
      </c>
      <c r="E1131">
        <v>4.9353657917944175E-4</v>
      </c>
      <c r="F1131">
        <f t="shared" si="40"/>
        <v>-1.8338420070547923E-2</v>
      </c>
      <c r="G1131">
        <f t="shared" si="41"/>
        <v>-3.0587238986283211E-2</v>
      </c>
    </row>
    <row r="1132" spans="1:7" x14ac:dyDescent="0.35">
      <c r="A1132" t="s">
        <v>69</v>
      </c>
      <c r="E1132">
        <v>6.3844795516433796E-3</v>
      </c>
      <c r="F1132">
        <f t="shared" si="40"/>
        <v>-1.8342972636182033E-2</v>
      </c>
      <c r="G1132">
        <f t="shared" si="41"/>
        <v>-3.0587238986283211E-2</v>
      </c>
    </row>
    <row r="1133" spans="1:7" x14ac:dyDescent="0.35">
      <c r="A1133" t="s">
        <v>69</v>
      </c>
      <c r="E1133">
        <v>-1.2370783219016355E-2</v>
      </c>
      <c r="F1133">
        <f t="shared" si="40"/>
        <v>-1.834752520181614E-2</v>
      </c>
      <c r="G1133">
        <f t="shared" si="41"/>
        <v>-3.0587238986283211E-2</v>
      </c>
    </row>
    <row r="1134" spans="1:7" x14ac:dyDescent="0.35">
      <c r="A1134" t="s">
        <v>69</v>
      </c>
      <c r="E1134">
        <v>1.8208719958118763E-2</v>
      </c>
      <c r="F1134">
        <f t="shared" si="40"/>
        <v>-1.8352077767450244E-2</v>
      </c>
      <c r="G1134">
        <f t="shared" si="41"/>
        <v>-3.0587238986283211E-2</v>
      </c>
    </row>
    <row r="1135" spans="1:7" x14ac:dyDescent="0.35">
      <c r="A1135" t="s">
        <v>69</v>
      </c>
      <c r="E1135">
        <v>-1.1795513840957339E-2</v>
      </c>
      <c r="F1135">
        <f t="shared" si="40"/>
        <v>-1.8356630333084351E-2</v>
      </c>
      <c r="G1135">
        <f t="shared" si="41"/>
        <v>-3.0587238986283211E-2</v>
      </c>
    </row>
    <row r="1136" spans="1:7" x14ac:dyDescent="0.35">
      <c r="A1136" t="s">
        <v>69</v>
      </c>
      <c r="E1136">
        <v>-1.5472018197768788E-3</v>
      </c>
      <c r="F1136">
        <f t="shared" si="40"/>
        <v>-1.8361182898718457E-2</v>
      </c>
      <c r="G1136">
        <f t="shared" si="41"/>
        <v>-3.0587238986283211E-2</v>
      </c>
    </row>
    <row r="1137" spans="1:7" x14ac:dyDescent="0.35">
      <c r="A1137" t="s">
        <v>69</v>
      </c>
      <c r="E1137">
        <v>-4.283884889213223E-3</v>
      </c>
      <c r="F1137">
        <f t="shared" si="40"/>
        <v>-1.8365735464352564E-2</v>
      </c>
      <c r="G1137">
        <f t="shared" si="41"/>
        <v>-3.0587238986283211E-2</v>
      </c>
    </row>
    <row r="1138" spans="1:7" x14ac:dyDescent="0.35">
      <c r="A1138" t="s">
        <v>69</v>
      </c>
      <c r="E1138">
        <v>1.5797100056077155E-2</v>
      </c>
      <c r="F1138">
        <f t="shared" si="40"/>
        <v>-1.8370288029986671E-2</v>
      </c>
      <c r="G1138">
        <f t="shared" si="41"/>
        <v>-3.0587238986283211E-2</v>
      </c>
    </row>
    <row r="1139" spans="1:7" x14ac:dyDescent="0.35">
      <c r="A1139" t="s">
        <v>69</v>
      </c>
      <c r="E1139">
        <v>9.573869700678834E-4</v>
      </c>
      <c r="F1139">
        <f t="shared" si="40"/>
        <v>-1.8374840595620778E-2</v>
      </c>
      <c r="G1139">
        <f t="shared" si="41"/>
        <v>-3.0587238986283211E-2</v>
      </c>
    </row>
    <row r="1140" spans="1:7" x14ac:dyDescent="0.35">
      <c r="A1140" t="s">
        <v>69</v>
      </c>
      <c r="E1140">
        <v>1.8736781744340163E-2</v>
      </c>
      <c r="F1140">
        <f t="shared" si="40"/>
        <v>-1.8379393161254885E-2</v>
      </c>
      <c r="G1140">
        <f t="shared" si="41"/>
        <v>-3.0587238986283211E-2</v>
      </c>
    </row>
    <row r="1141" spans="1:7" x14ac:dyDescent="0.35">
      <c r="A1141" t="s">
        <v>69</v>
      </c>
      <c r="E1141">
        <v>2.5196805797472496E-3</v>
      </c>
      <c r="F1141">
        <f t="shared" si="40"/>
        <v>-1.8381839828227463E-2</v>
      </c>
      <c r="G1141">
        <f t="shared" si="41"/>
        <v>-3.0679027300757108E-2</v>
      </c>
    </row>
    <row r="1142" spans="1:7" x14ac:dyDescent="0.35">
      <c r="A1142" t="s">
        <v>69</v>
      </c>
      <c r="E1142">
        <v>-7.6259082430886471E-4</v>
      </c>
      <c r="F1142">
        <f t="shared" si="40"/>
        <v>-1.838428649520004E-2</v>
      </c>
      <c r="G1142">
        <f t="shared" si="41"/>
        <v>-3.0679027300757108E-2</v>
      </c>
    </row>
    <row r="1143" spans="1:7" x14ac:dyDescent="0.35">
      <c r="A1143" t="s">
        <v>69</v>
      </c>
      <c r="E1143">
        <v>1.9650160126683382E-3</v>
      </c>
      <c r="F1143">
        <f t="shared" si="40"/>
        <v>-1.8386733162172618E-2</v>
      </c>
      <c r="G1143">
        <f t="shared" si="41"/>
        <v>-3.0679027300757108E-2</v>
      </c>
    </row>
    <row r="1144" spans="1:7" x14ac:dyDescent="0.35">
      <c r="A1144" t="s">
        <v>69</v>
      </c>
      <c r="E1144">
        <v>3.3152338662276819E-3</v>
      </c>
      <c r="F1144">
        <f t="shared" si="40"/>
        <v>-1.8389179829145192E-2</v>
      </c>
      <c r="G1144">
        <f t="shared" si="41"/>
        <v>-3.0679027300757108E-2</v>
      </c>
    </row>
    <row r="1145" spans="1:7" x14ac:dyDescent="0.35">
      <c r="A1145" t="s">
        <v>69</v>
      </c>
      <c r="E1145">
        <v>-2.1271696414480637E-2</v>
      </c>
      <c r="F1145">
        <f t="shared" si="40"/>
        <v>-1.8391626496117773E-2</v>
      </c>
      <c r="G1145">
        <f t="shared" si="41"/>
        <v>-3.0679027300757108E-2</v>
      </c>
    </row>
    <row r="1146" spans="1:7" x14ac:dyDescent="0.35">
      <c r="A1146" t="s">
        <v>70</v>
      </c>
      <c r="B1146" s="3" cm="1">
        <f t="array" ref="B1146">_xlfn.STDEV.S(_xlfn._xlws.FILTER($E$1000:$E$1998, $A$1000:$A$1998="2014-08"))</f>
        <v>1.1421176139017575E-2</v>
      </c>
      <c r="C1146" s="3" cm="1">
        <f t="array" ref="C1146">AVERAGE(_xlfn._xlws.FILTER($E$1000:$E$1998, $A$1000:$A$1998="2014-08"))</f>
        <v>1.0606852864635152E-4</v>
      </c>
      <c r="D1146" s="3" cm="1">
        <f t="array" ref="D1146">_xlfn.PERCENTILE.EXC(_xlfn._xlws.FILTER($E$1000:$E$1497, $A$1000:$A$1497="2014-08"), 0.05)</f>
        <v>-1.8208709973056816E-2</v>
      </c>
      <c r="E1146">
        <v>-1.8208709973056816E-2</v>
      </c>
      <c r="F1146">
        <f t="shared" si="40"/>
        <v>-1.8315657242377392E-2</v>
      </c>
      <c r="G1146">
        <f t="shared" si="41"/>
        <v>-3.0657280659755412E-2</v>
      </c>
    </row>
    <row r="1147" spans="1:7" x14ac:dyDescent="0.35">
      <c r="A1147" t="s">
        <v>70</v>
      </c>
      <c r="E1147">
        <v>-1.694415499016118E-3</v>
      </c>
      <c r="F1147">
        <f t="shared" si="40"/>
        <v>-1.8320209808011498E-2</v>
      </c>
      <c r="G1147">
        <f t="shared" si="41"/>
        <v>-3.0657280659755412E-2</v>
      </c>
    </row>
    <row r="1148" spans="1:7" x14ac:dyDescent="0.35">
      <c r="A1148" t="s">
        <v>70</v>
      </c>
      <c r="E1148">
        <v>-1.3659684811388042E-2</v>
      </c>
      <c r="F1148">
        <f t="shared" si="40"/>
        <v>-1.8324762373645605E-2</v>
      </c>
      <c r="G1148">
        <f t="shared" si="41"/>
        <v>-3.0657280659755412E-2</v>
      </c>
    </row>
    <row r="1149" spans="1:7" x14ac:dyDescent="0.35">
      <c r="A1149" t="s">
        <v>70</v>
      </c>
      <c r="E1149">
        <v>-1.0446696947740827E-2</v>
      </c>
      <c r="F1149">
        <f t="shared" si="40"/>
        <v>-1.8329314939279712E-2</v>
      </c>
      <c r="G1149">
        <f t="shared" si="41"/>
        <v>-3.0657280659755412E-2</v>
      </c>
    </row>
    <row r="1150" spans="1:7" x14ac:dyDescent="0.35">
      <c r="A1150" t="s">
        <v>70</v>
      </c>
      <c r="E1150">
        <v>-1.6492541030732531E-2</v>
      </c>
      <c r="F1150">
        <f t="shared" si="40"/>
        <v>-1.8333867504913819E-2</v>
      </c>
      <c r="G1150">
        <f t="shared" si="41"/>
        <v>-3.0657280659755412E-2</v>
      </c>
    </row>
    <row r="1151" spans="1:7" x14ac:dyDescent="0.35">
      <c r="A1151" t="s">
        <v>70</v>
      </c>
      <c r="E1151">
        <v>2.5961943692496404E-3</v>
      </c>
      <c r="F1151">
        <f t="shared" si="40"/>
        <v>-1.8338420070547923E-2</v>
      </c>
      <c r="G1151">
        <f t="shared" si="41"/>
        <v>-3.0657280659755412E-2</v>
      </c>
    </row>
    <row r="1152" spans="1:7" x14ac:dyDescent="0.35">
      <c r="A1152" t="s">
        <v>70</v>
      </c>
      <c r="E1152">
        <v>8.7397037774281702E-3</v>
      </c>
      <c r="F1152">
        <f t="shared" si="40"/>
        <v>-1.8342972636182033E-2</v>
      </c>
      <c r="G1152">
        <f t="shared" si="41"/>
        <v>-3.0657280659755412E-2</v>
      </c>
    </row>
    <row r="1153" spans="1:7" x14ac:dyDescent="0.35">
      <c r="A1153" t="s">
        <v>70</v>
      </c>
      <c r="E1153">
        <v>4.6978310035167619E-3</v>
      </c>
      <c r="F1153">
        <f t="shared" si="40"/>
        <v>-1.834752520181614E-2</v>
      </c>
      <c r="G1153">
        <f t="shared" si="41"/>
        <v>-3.0657280659755412E-2</v>
      </c>
    </row>
    <row r="1154" spans="1:7" x14ac:dyDescent="0.35">
      <c r="A1154" t="s">
        <v>70</v>
      </c>
      <c r="E1154">
        <v>6.0840761034245969E-3</v>
      </c>
      <c r="F1154">
        <f t="shared" si="40"/>
        <v>-1.8352077767450244E-2</v>
      </c>
      <c r="G1154">
        <f t="shared" si="41"/>
        <v>-3.0657280659755412E-2</v>
      </c>
    </row>
    <row r="1155" spans="1:7" x14ac:dyDescent="0.35">
      <c r="A1155" t="s">
        <v>70</v>
      </c>
      <c r="E1155">
        <v>-8.9325597721510205E-4</v>
      </c>
      <c r="F1155">
        <f t="shared" si="40"/>
        <v>-1.8356630333084351E-2</v>
      </c>
      <c r="G1155">
        <f t="shared" si="41"/>
        <v>-3.0657280659755412E-2</v>
      </c>
    </row>
    <row r="1156" spans="1:7" x14ac:dyDescent="0.35">
      <c r="A1156" t="s">
        <v>70</v>
      </c>
      <c r="E1156">
        <v>5.6760547969495825E-3</v>
      </c>
      <c r="F1156">
        <f t="shared" ref="F1156:F1219" si="42">_xlfn.PERCENTILE.EXC(E1156:E4971,0.05)</f>
        <v>-1.8361182898718457E-2</v>
      </c>
      <c r="G1156">
        <f t="shared" ref="G1156:G1219" si="43">AVERAGEIFS(E1156:E4972,E1156:E4972,"&lt;=" &amp; F1156)</f>
        <v>-3.0657280659755412E-2</v>
      </c>
    </row>
    <row r="1157" spans="1:7" x14ac:dyDescent="0.35">
      <c r="A1157" t="s">
        <v>70</v>
      </c>
      <c r="E1157">
        <v>3.191917810870035E-3</v>
      </c>
      <c r="F1157">
        <f t="shared" si="42"/>
        <v>-1.8365735464352564E-2</v>
      </c>
      <c r="G1157">
        <f t="shared" si="43"/>
        <v>-3.0657280659755412E-2</v>
      </c>
    </row>
    <row r="1158" spans="1:7" x14ac:dyDescent="0.35">
      <c r="A1158" t="s">
        <v>70</v>
      </c>
      <c r="E1158">
        <v>3.3065189635855391E-3</v>
      </c>
      <c r="F1158">
        <f t="shared" si="42"/>
        <v>-1.8370288029986671E-2</v>
      </c>
      <c r="G1158">
        <f t="shared" si="43"/>
        <v>-3.0657280659755412E-2</v>
      </c>
    </row>
    <row r="1159" spans="1:7" x14ac:dyDescent="0.35">
      <c r="A1159" t="s">
        <v>70</v>
      </c>
      <c r="E1159">
        <v>1.2918906108304339E-2</v>
      </c>
      <c r="F1159">
        <f t="shared" si="42"/>
        <v>-1.8374840595620778E-2</v>
      </c>
      <c r="G1159">
        <f t="shared" si="43"/>
        <v>-3.0657280659755412E-2</v>
      </c>
    </row>
    <row r="1160" spans="1:7" x14ac:dyDescent="0.35">
      <c r="A1160" t="s">
        <v>70</v>
      </c>
      <c r="E1160">
        <v>-5.3380064633702564E-3</v>
      </c>
      <c r="F1160">
        <f t="shared" si="42"/>
        <v>-1.8379393161254885E-2</v>
      </c>
      <c r="G1160">
        <f t="shared" si="43"/>
        <v>-3.0657280659755412E-2</v>
      </c>
    </row>
    <row r="1161" spans="1:7" x14ac:dyDescent="0.35">
      <c r="A1161" t="s">
        <v>70</v>
      </c>
      <c r="E1161">
        <v>3.0639473516148635E-2</v>
      </c>
      <c r="F1161">
        <f t="shared" si="42"/>
        <v>-1.8381839828227463E-2</v>
      </c>
      <c r="G1161">
        <f t="shared" si="43"/>
        <v>-3.0750294958986474E-2</v>
      </c>
    </row>
    <row r="1162" spans="1:7" x14ac:dyDescent="0.35">
      <c r="A1162" t="s">
        <v>70</v>
      </c>
      <c r="E1162">
        <v>9.6933672651903211E-4</v>
      </c>
      <c r="F1162">
        <f t="shared" si="42"/>
        <v>-1.838428649520004E-2</v>
      </c>
      <c r="G1162">
        <f t="shared" si="43"/>
        <v>-3.0750294958986474E-2</v>
      </c>
    </row>
    <row r="1163" spans="1:7" x14ac:dyDescent="0.35">
      <c r="A1163" t="s">
        <v>70</v>
      </c>
      <c r="E1163">
        <v>-1.0686756376076205E-2</v>
      </c>
      <c r="F1163">
        <f t="shared" si="42"/>
        <v>-1.8386733162172618E-2</v>
      </c>
      <c r="G1163">
        <f t="shared" si="43"/>
        <v>-3.0750294958986474E-2</v>
      </c>
    </row>
    <row r="1164" spans="1:7" x14ac:dyDescent="0.35">
      <c r="A1164" t="s">
        <v>70</v>
      </c>
      <c r="E1164">
        <v>6.1535594688025199E-4</v>
      </c>
      <c r="F1164">
        <f t="shared" si="42"/>
        <v>-1.8389179829145192E-2</v>
      </c>
      <c r="G1164">
        <f t="shared" si="43"/>
        <v>-3.0750294958986474E-2</v>
      </c>
    </row>
    <row r="1165" spans="1:7" x14ac:dyDescent="0.35">
      <c r="A1165" t="s">
        <v>71</v>
      </c>
      <c r="B1165" s="3" cm="1">
        <f t="array" ref="B1165">_xlfn.STDEV.S(_xlfn._xlws.FILTER($E$1000:$E$1998, $A$1000:$A$1998="2014-09"))</f>
        <v>8.9653651561393197E-3</v>
      </c>
      <c r="C1165" s="3" cm="1">
        <f t="array" ref="C1165">AVERAGE(_xlfn._xlws.FILTER($E$1000:$E$1998, $A$1000:$A$1998="2014-09"))</f>
        <v>4.0785217198670406E-4</v>
      </c>
      <c r="D1165" s="3" cm="1">
        <f t="array" ref="D1165">_xlfn.PERCENTILE.EXC(_xlfn._xlws.FILTER($E$1000:$E$1497, $A$1000:$A$1497="2014-09"), 0.05)</f>
        <v>-1.5109748449401023E-2</v>
      </c>
      <c r="E1165">
        <v>1.6484057506001236E-3</v>
      </c>
      <c r="F1165">
        <f t="shared" si="42"/>
        <v>-1.8391626496117773E-2</v>
      </c>
      <c r="G1165">
        <f t="shared" si="43"/>
        <v>-3.0750294958986474E-2</v>
      </c>
    </row>
    <row r="1166" spans="1:7" x14ac:dyDescent="0.35">
      <c r="A1166" t="s">
        <v>71</v>
      </c>
      <c r="E1166">
        <v>7.9064255449988778E-4</v>
      </c>
      <c r="F1166">
        <f t="shared" si="42"/>
        <v>-1.8394073163090347E-2</v>
      </c>
      <c r="G1166">
        <f t="shared" si="43"/>
        <v>-3.0750294958986474E-2</v>
      </c>
    </row>
    <row r="1167" spans="1:7" x14ac:dyDescent="0.35">
      <c r="A1167" t="s">
        <v>71</v>
      </c>
      <c r="E1167">
        <v>1.2180283476945282E-2</v>
      </c>
      <c r="F1167">
        <f t="shared" si="42"/>
        <v>-1.8396519830062925E-2</v>
      </c>
      <c r="G1167">
        <f t="shared" si="43"/>
        <v>-3.0750294958986474E-2</v>
      </c>
    </row>
    <row r="1168" spans="1:7" x14ac:dyDescent="0.35">
      <c r="A1168" t="s">
        <v>71</v>
      </c>
      <c r="E1168">
        <v>1.9403071090078081E-2</v>
      </c>
      <c r="F1168">
        <f t="shared" si="42"/>
        <v>-1.8398966497035502E-2</v>
      </c>
      <c r="G1168">
        <f t="shared" si="43"/>
        <v>-3.0750294958986474E-2</v>
      </c>
    </row>
    <row r="1169" spans="1:7" x14ac:dyDescent="0.35">
      <c r="A1169" t="s">
        <v>71</v>
      </c>
      <c r="E1169">
        <v>4.386721044195083E-3</v>
      </c>
      <c r="F1169">
        <f t="shared" si="42"/>
        <v>-1.840141316400808E-2</v>
      </c>
      <c r="G1169">
        <f t="shared" si="43"/>
        <v>-3.0750294958986474E-2</v>
      </c>
    </row>
    <row r="1170" spans="1:7" x14ac:dyDescent="0.35">
      <c r="A1170" t="s">
        <v>71</v>
      </c>
      <c r="E1170">
        <v>-4.1615232069442043E-3</v>
      </c>
      <c r="F1170">
        <f t="shared" si="42"/>
        <v>-1.8403859830980657E-2</v>
      </c>
      <c r="G1170">
        <f t="shared" si="43"/>
        <v>-3.0750294958986474E-2</v>
      </c>
    </row>
    <row r="1171" spans="1:7" x14ac:dyDescent="0.35">
      <c r="A1171" t="s">
        <v>71</v>
      </c>
      <c r="E1171">
        <v>-1.3693750814297032E-2</v>
      </c>
      <c r="F1171">
        <f t="shared" si="42"/>
        <v>-1.8406306497953235E-2</v>
      </c>
      <c r="G1171">
        <f t="shared" si="43"/>
        <v>-3.0750294958986474E-2</v>
      </c>
    </row>
    <row r="1172" spans="1:7" x14ac:dyDescent="0.35">
      <c r="A1172" t="s">
        <v>71</v>
      </c>
      <c r="E1172">
        <v>-1.2608844306654973E-3</v>
      </c>
      <c r="F1172">
        <f t="shared" si="42"/>
        <v>-1.8408753164925813E-2</v>
      </c>
      <c r="G1172">
        <f t="shared" si="43"/>
        <v>-3.0750294958986474E-2</v>
      </c>
    </row>
    <row r="1173" spans="1:7" x14ac:dyDescent="0.35">
      <c r="A1173" t="s">
        <v>71</v>
      </c>
      <c r="E1173">
        <v>-4.719561914918226E-3</v>
      </c>
      <c r="F1173">
        <f t="shared" si="42"/>
        <v>-1.841119983189839E-2</v>
      </c>
      <c r="G1173">
        <f t="shared" si="43"/>
        <v>-3.0750294958986474E-2</v>
      </c>
    </row>
    <row r="1174" spans="1:7" x14ac:dyDescent="0.35">
      <c r="A1174" t="s">
        <v>71</v>
      </c>
      <c r="E1174">
        <v>2.3880377790847865E-4</v>
      </c>
      <c r="F1174">
        <f t="shared" si="42"/>
        <v>-1.8413646498870964E-2</v>
      </c>
      <c r="G1174">
        <f t="shared" si="43"/>
        <v>-3.0750294958986474E-2</v>
      </c>
    </row>
    <row r="1175" spans="1:7" x14ac:dyDescent="0.35">
      <c r="A1175" t="s">
        <v>71</v>
      </c>
      <c r="E1175">
        <v>-4.3810067218047893E-3</v>
      </c>
      <c r="F1175">
        <f t="shared" si="42"/>
        <v>-1.8416093165843542E-2</v>
      </c>
      <c r="G1175">
        <f t="shared" si="43"/>
        <v>-3.0750294958986474E-2</v>
      </c>
    </row>
    <row r="1176" spans="1:7" x14ac:dyDescent="0.35">
      <c r="A1176" t="s">
        <v>71</v>
      </c>
      <c r="E1176">
        <v>-3.9371585054810082E-3</v>
      </c>
      <c r="F1176">
        <f t="shared" si="42"/>
        <v>-1.8418539832816119E-2</v>
      </c>
      <c r="G1176">
        <f t="shared" si="43"/>
        <v>-3.0750294958986474E-2</v>
      </c>
    </row>
    <row r="1177" spans="1:7" x14ac:dyDescent="0.35">
      <c r="A1177" t="s">
        <v>71</v>
      </c>
      <c r="E1177">
        <v>1.0015701455224622E-2</v>
      </c>
      <c r="F1177">
        <f t="shared" si="42"/>
        <v>-1.8420986499788697E-2</v>
      </c>
      <c r="G1177">
        <f t="shared" si="43"/>
        <v>-3.0750294958986474E-2</v>
      </c>
    </row>
    <row r="1178" spans="1:7" x14ac:dyDescent="0.35">
      <c r="A1178" t="s">
        <v>71</v>
      </c>
      <c r="E1178">
        <v>7.6352981168293782E-3</v>
      </c>
      <c r="F1178">
        <f t="shared" si="42"/>
        <v>-1.8423433166761274E-2</v>
      </c>
      <c r="G1178">
        <f t="shared" si="43"/>
        <v>-3.0750294958986474E-2</v>
      </c>
    </row>
    <row r="1179" spans="1:7" x14ac:dyDescent="0.35">
      <c r="A1179" t="s">
        <v>71</v>
      </c>
      <c r="E1179">
        <v>9.9122906869654362E-4</v>
      </c>
      <c r="F1179">
        <f t="shared" si="42"/>
        <v>-1.8425879833733852E-2</v>
      </c>
      <c r="G1179">
        <f t="shared" si="43"/>
        <v>-3.0750294958986474E-2</v>
      </c>
    </row>
    <row r="1180" spans="1:7" x14ac:dyDescent="0.35">
      <c r="A1180" t="s">
        <v>71</v>
      </c>
      <c r="E1180">
        <v>-4.9203281071613448E-3</v>
      </c>
      <c r="F1180">
        <f t="shared" si="42"/>
        <v>-1.842832650070643E-2</v>
      </c>
      <c r="G1180">
        <f t="shared" si="43"/>
        <v>-3.0750294958986474E-2</v>
      </c>
    </row>
    <row r="1181" spans="1:7" x14ac:dyDescent="0.35">
      <c r="A1181" t="s">
        <v>71</v>
      </c>
      <c r="E1181">
        <v>-1.3434870138803803E-2</v>
      </c>
      <c r="F1181">
        <f t="shared" si="42"/>
        <v>-1.8431977451014346E-2</v>
      </c>
      <c r="G1181">
        <f t="shared" si="43"/>
        <v>-3.0844355786912275E-2</v>
      </c>
    </row>
    <row r="1182" spans="1:7" x14ac:dyDescent="0.35">
      <c r="A1182" t="s">
        <v>71</v>
      </c>
      <c r="E1182">
        <v>5.0880356502935693E-3</v>
      </c>
      <c r="F1182">
        <f t="shared" si="42"/>
        <v>-1.8435628401322266E-2</v>
      </c>
      <c r="G1182">
        <f t="shared" si="43"/>
        <v>-3.0844355786912275E-2</v>
      </c>
    </row>
    <row r="1183" spans="1:7" x14ac:dyDescent="0.35">
      <c r="A1183" t="s">
        <v>71</v>
      </c>
      <c r="E1183">
        <v>-6.8207288458577422E-3</v>
      </c>
      <c r="F1183">
        <f t="shared" si="42"/>
        <v>-1.8439279351630183E-2</v>
      </c>
      <c r="G1183">
        <f t="shared" si="43"/>
        <v>-3.0844355786912275E-2</v>
      </c>
    </row>
    <row r="1184" spans="1:7" x14ac:dyDescent="0.35">
      <c r="A1184" t="s">
        <v>71</v>
      </c>
      <c r="E1184">
        <v>6.3140102066567344E-3</v>
      </c>
      <c r="F1184">
        <f t="shared" si="42"/>
        <v>-1.8442930301938103E-2</v>
      </c>
      <c r="G1184">
        <f t="shared" si="43"/>
        <v>-3.0844355786912275E-2</v>
      </c>
    </row>
    <row r="1185" spans="1:7" x14ac:dyDescent="0.35">
      <c r="A1185" t="s">
        <v>71</v>
      </c>
      <c r="E1185">
        <v>-1.535963038500761E-2</v>
      </c>
      <c r="F1185">
        <f t="shared" si="42"/>
        <v>-1.8446581252246019E-2</v>
      </c>
      <c r="G1185">
        <f t="shared" si="43"/>
        <v>-3.0844355786912275E-2</v>
      </c>
    </row>
    <row r="1186" spans="1:7" x14ac:dyDescent="0.35">
      <c r="A1186" t="s">
        <v>71</v>
      </c>
      <c r="E1186">
        <v>1.296998866272096E-2</v>
      </c>
      <c r="F1186">
        <f t="shared" si="42"/>
        <v>-1.8450232202553936E-2</v>
      </c>
      <c r="G1186">
        <f t="shared" si="43"/>
        <v>-3.0844355786912275E-2</v>
      </c>
    </row>
    <row r="1187" spans="1:7" x14ac:dyDescent="0.35">
      <c r="A1187" t="s">
        <v>72</v>
      </c>
      <c r="B1187" s="3" cm="1">
        <f t="array" ref="B1187">_xlfn.STDEV.S(_xlfn._xlws.FILTER($E$1000:$E$1998, $A$1000:$A$1998="2014-10"))</f>
        <v>1.7717720709013091E-2</v>
      </c>
      <c r="C1187" s="3" cm="1">
        <f t="array" ref="C1187">AVERAGE(_xlfn._xlws.FILTER($E$1000:$E$1998, $A$1000:$A$1998="2014-10"))</f>
        <v>-1.4838967730265134E-3</v>
      </c>
      <c r="D1187" s="3" cm="1">
        <f t="array" ref="D1187">_xlfn.PERCENTILE.EXC(_xlfn._xlws.FILTER($E$1000:$E$1497, $A$1000:$A$1497="2014-10"), 0.05)</f>
        <v>-3.5828832171723286E-2</v>
      </c>
      <c r="E1187">
        <v>-6.7010775022634536E-3</v>
      </c>
      <c r="F1187">
        <f t="shared" si="42"/>
        <v>-1.8453883152861856E-2</v>
      </c>
      <c r="G1187">
        <f t="shared" si="43"/>
        <v>-3.0844355786912275E-2</v>
      </c>
    </row>
    <row r="1188" spans="1:7" x14ac:dyDescent="0.35">
      <c r="A1188" t="s">
        <v>72</v>
      </c>
      <c r="E1188">
        <v>-3.1658706647747933E-2</v>
      </c>
      <c r="F1188">
        <f t="shared" si="42"/>
        <v>-1.8457534103169776E-2</v>
      </c>
      <c r="G1188">
        <f t="shared" si="43"/>
        <v>-3.0844355786912275E-2</v>
      </c>
    </row>
    <row r="1189" spans="1:7" x14ac:dyDescent="0.35">
      <c r="A1189" t="s">
        <v>72</v>
      </c>
      <c r="E1189">
        <v>2.1611376707253195E-2</v>
      </c>
      <c r="F1189">
        <f t="shared" si="42"/>
        <v>-1.840141316400808E-2</v>
      </c>
      <c r="G1189">
        <f t="shared" si="43"/>
        <v>-3.0743360518614253E-2</v>
      </c>
    </row>
    <row r="1190" spans="1:7" x14ac:dyDescent="0.35">
      <c r="A1190" t="s">
        <v>72</v>
      </c>
      <c r="E1190">
        <v>-2.0402673900951449E-2</v>
      </c>
      <c r="F1190">
        <f t="shared" si="42"/>
        <v>-1.8403859830980657E-2</v>
      </c>
      <c r="G1190">
        <f t="shared" si="43"/>
        <v>-3.0743360518614253E-2</v>
      </c>
    </row>
    <row r="1191" spans="1:7" x14ac:dyDescent="0.35">
      <c r="A1191" t="s">
        <v>72</v>
      </c>
      <c r="E1191">
        <v>-8.8302282500348165E-3</v>
      </c>
      <c r="F1191">
        <f t="shared" si="42"/>
        <v>-1.8338420070547923E-2</v>
      </c>
      <c r="G1191">
        <f t="shared" si="43"/>
        <v>-3.0727915627471531E-2</v>
      </c>
    </row>
    <row r="1192" spans="1:7" x14ac:dyDescent="0.35">
      <c r="A1192" t="s">
        <v>72</v>
      </c>
      <c r="E1192">
        <v>-6.3359209079394763E-3</v>
      </c>
      <c r="F1192">
        <f t="shared" si="42"/>
        <v>-1.8342972636182033E-2</v>
      </c>
      <c r="G1192">
        <f t="shared" si="43"/>
        <v>-3.0727915627471531E-2</v>
      </c>
    </row>
    <row r="1193" spans="1:7" x14ac:dyDescent="0.35">
      <c r="A1193" t="s">
        <v>72</v>
      </c>
      <c r="E1193">
        <v>-1.2064266338363732E-2</v>
      </c>
      <c r="F1193">
        <f t="shared" si="42"/>
        <v>-1.834752520181614E-2</v>
      </c>
      <c r="G1193">
        <f t="shared" si="43"/>
        <v>-3.0727915627471531E-2</v>
      </c>
    </row>
    <row r="1194" spans="1:7" x14ac:dyDescent="0.35">
      <c r="A1194" t="s">
        <v>72</v>
      </c>
      <c r="E1194">
        <v>3.6188811141793413E-3</v>
      </c>
      <c r="F1194">
        <f t="shared" si="42"/>
        <v>-1.8352077767450244E-2</v>
      </c>
      <c r="G1194">
        <f t="shared" si="43"/>
        <v>-3.0727915627471531E-2</v>
      </c>
    </row>
    <row r="1195" spans="1:7" x14ac:dyDescent="0.35">
      <c r="A1195" t="s">
        <v>72</v>
      </c>
      <c r="E1195">
        <v>1.7261506232847509E-3</v>
      </c>
      <c r="F1195">
        <f t="shared" si="42"/>
        <v>-1.8356630333084351E-2</v>
      </c>
      <c r="G1195">
        <f t="shared" si="43"/>
        <v>-3.0727915627471531E-2</v>
      </c>
    </row>
    <row r="1196" spans="1:7" x14ac:dyDescent="0.35">
      <c r="A1196" t="s">
        <v>72</v>
      </c>
      <c r="E1196">
        <v>-3.6564736675954231E-2</v>
      </c>
      <c r="F1196">
        <f t="shared" si="42"/>
        <v>-1.8361182898718457E-2</v>
      </c>
      <c r="G1196">
        <f t="shared" si="43"/>
        <v>-3.0727915627471531E-2</v>
      </c>
    </row>
    <row r="1197" spans="1:7" x14ac:dyDescent="0.35">
      <c r="A1197" t="s">
        <v>72</v>
      </c>
      <c r="E1197">
        <v>-1.7305975220709112E-2</v>
      </c>
      <c r="F1197">
        <f t="shared" si="42"/>
        <v>-1.8278764157733097E-2</v>
      </c>
      <c r="G1197">
        <f t="shared" si="43"/>
        <v>-3.0588401163140374E-2</v>
      </c>
    </row>
    <row r="1198" spans="1:7" x14ac:dyDescent="0.35">
      <c r="A1198" t="s">
        <v>72</v>
      </c>
      <c r="E1198">
        <v>2.9258449633762701E-2</v>
      </c>
      <c r="F1198">
        <f t="shared" si="42"/>
        <v>-1.8281956721346315E-2</v>
      </c>
      <c r="G1198">
        <f t="shared" si="43"/>
        <v>-3.0588401163140374E-2</v>
      </c>
    </row>
    <row r="1199" spans="1:7" x14ac:dyDescent="0.35">
      <c r="A1199" t="s">
        <v>72</v>
      </c>
      <c r="E1199">
        <v>-4.1868016071102262E-3</v>
      </c>
      <c r="F1199">
        <f t="shared" si="42"/>
        <v>-1.8285149284959532E-2</v>
      </c>
      <c r="G1199">
        <f t="shared" si="43"/>
        <v>-3.0588401163140374E-2</v>
      </c>
    </row>
    <row r="1200" spans="1:7" x14ac:dyDescent="0.35">
      <c r="A1200" t="s">
        <v>72</v>
      </c>
      <c r="E1200">
        <v>2.3611647413674566E-2</v>
      </c>
      <c r="F1200">
        <f t="shared" si="42"/>
        <v>-1.8288341848572753E-2</v>
      </c>
      <c r="G1200">
        <f t="shared" si="43"/>
        <v>-3.0588401163140374E-2</v>
      </c>
    </row>
    <row r="1201" spans="1:7" x14ac:dyDescent="0.35">
      <c r="A1201" t="s">
        <v>72</v>
      </c>
      <c r="E1201">
        <v>9.5873687998844648E-3</v>
      </c>
      <c r="F1201">
        <f t="shared" si="42"/>
        <v>-1.8292894414206857E-2</v>
      </c>
      <c r="G1201">
        <f t="shared" si="43"/>
        <v>-3.0683017004021661E-2</v>
      </c>
    </row>
    <row r="1202" spans="1:7" x14ac:dyDescent="0.35">
      <c r="A1202" t="s">
        <v>72</v>
      </c>
      <c r="E1202">
        <v>8.1424496192015472E-3</v>
      </c>
      <c r="F1202">
        <f t="shared" si="42"/>
        <v>-1.8297446979840967E-2</v>
      </c>
      <c r="G1202">
        <f t="shared" si="43"/>
        <v>-3.0683017004021661E-2</v>
      </c>
    </row>
    <row r="1203" spans="1:7" x14ac:dyDescent="0.35">
      <c r="A1203" t="s">
        <v>72</v>
      </c>
      <c r="E1203">
        <v>5.4176947099805132E-4</v>
      </c>
      <c r="F1203">
        <f t="shared" si="42"/>
        <v>-1.8301999545475074E-2</v>
      </c>
      <c r="G1203">
        <f t="shared" si="43"/>
        <v>-3.0683017004021661E-2</v>
      </c>
    </row>
    <row r="1204" spans="1:7" x14ac:dyDescent="0.35">
      <c r="A1204" t="s">
        <v>72</v>
      </c>
      <c r="E1204">
        <v>-1.4035147235927088E-2</v>
      </c>
      <c r="F1204">
        <f t="shared" si="42"/>
        <v>-1.8306552111109178E-2</v>
      </c>
      <c r="G1204">
        <f t="shared" si="43"/>
        <v>-3.0683017004021661E-2</v>
      </c>
    </row>
    <row r="1205" spans="1:7" x14ac:dyDescent="0.35">
      <c r="A1205" t="s">
        <v>72</v>
      </c>
      <c r="E1205">
        <v>1.938865981210695E-2</v>
      </c>
      <c r="F1205">
        <f t="shared" si="42"/>
        <v>-1.8311104676743288E-2</v>
      </c>
      <c r="G1205">
        <f t="shared" si="43"/>
        <v>-3.0683017004021661E-2</v>
      </c>
    </row>
    <row r="1206" spans="1:7" x14ac:dyDescent="0.35">
      <c r="A1206" t="s">
        <v>72</v>
      </c>
      <c r="E1206">
        <v>-1.4242632704773805E-2</v>
      </c>
      <c r="F1206">
        <f t="shared" si="42"/>
        <v>-1.8315657242377392E-2</v>
      </c>
      <c r="G1206">
        <f t="shared" si="43"/>
        <v>-3.0683017004021661E-2</v>
      </c>
    </row>
    <row r="1207" spans="1:7" x14ac:dyDescent="0.35">
      <c r="A1207" t="s">
        <v>72</v>
      </c>
      <c r="E1207">
        <v>1.5503501143018462E-3</v>
      </c>
      <c r="F1207">
        <f t="shared" si="42"/>
        <v>-1.8320209808011498E-2</v>
      </c>
      <c r="G1207">
        <f t="shared" si="43"/>
        <v>-3.0683017004021661E-2</v>
      </c>
    </row>
    <row r="1208" spans="1:7" x14ac:dyDescent="0.35">
      <c r="A1208" t="s">
        <v>72</v>
      </c>
      <c r="E1208">
        <v>2.0645334676544606E-2</v>
      </c>
      <c r="F1208">
        <f t="shared" si="42"/>
        <v>-1.8324762373645605E-2</v>
      </c>
      <c r="G1208">
        <f t="shared" si="43"/>
        <v>-3.0683017004021661E-2</v>
      </c>
    </row>
    <row r="1209" spans="1:7" x14ac:dyDescent="0.35">
      <c r="A1209" t="s">
        <v>73</v>
      </c>
      <c r="B1209" s="3" cm="1">
        <f t="array" ref="B1209">_xlfn.STDEV.S(_xlfn._xlws.FILTER($E$1000:$E$1998, $A$1000:$A$1998="2014-11"))</f>
        <v>1.3086432306275101E-2</v>
      </c>
      <c r="C1209" s="3" cm="1">
        <f t="array" ref="C1209">AVERAGE(_xlfn._xlws.FILTER($E$1000:$E$1998, $A$1000:$A$1998="2014-11"))</f>
        <v>1.3785375610973823E-3</v>
      </c>
      <c r="D1209" s="3" cm="1">
        <f t="array" ref="D1209">_xlfn.PERCENTILE.EXC(_xlfn._xlws.FILTER($E$1000:$E$1497, $A$1000:$A$1497="2014-11"), 0.05)</f>
        <v>-2.1247975295232955E-2</v>
      </c>
      <c r="E1209">
        <v>-9.9175000725522135E-3</v>
      </c>
      <c r="F1209">
        <f t="shared" si="42"/>
        <v>-1.8329314939279712E-2</v>
      </c>
      <c r="G1209">
        <f t="shared" si="43"/>
        <v>-3.0683017004021661E-2</v>
      </c>
    </row>
    <row r="1210" spans="1:7" x14ac:dyDescent="0.35">
      <c r="A1210" t="s">
        <v>73</v>
      </c>
      <c r="E1210">
        <v>-2.1434124027334883E-2</v>
      </c>
      <c r="F1210">
        <f t="shared" si="42"/>
        <v>-1.8333867504913819E-2</v>
      </c>
      <c r="G1210">
        <f t="shared" si="43"/>
        <v>-3.0683017004021661E-2</v>
      </c>
    </row>
    <row r="1211" spans="1:7" x14ac:dyDescent="0.35">
      <c r="A1211" t="s">
        <v>73</v>
      </c>
      <c r="E1211">
        <v>1.1991549037674959E-2</v>
      </c>
      <c r="F1211">
        <f t="shared" si="42"/>
        <v>-1.825960877605378E-2</v>
      </c>
      <c r="G1211">
        <f t="shared" si="43"/>
        <v>-3.0658818679569651E-2</v>
      </c>
    </row>
    <row r="1212" spans="1:7" x14ac:dyDescent="0.35">
      <c r="A1212" t="s">
        <v>73</v>
      </c>
      <c r="E1212">
        <v>-1.4703951779416133E-3</v>
      </c>
      <c r="F1212">
        <f t="shared" si="42"/>
        <v>-1.8262801339667002E-2</v>
      </c>
      <c r="G1212">
        <f t="shared" si="43"/>
        <v>-3.0658818679569651E-2</v>
      </c>
    </row>
    <row r="1213" spans="1:7" x14ac:dyDescent="0.35">
      <c r="A1213" t="s">
        <v>73</v>
      </c>
      <c r="E1213">
        <v>-1.3292263139173055E-2</v>
      </c>
      <c r="F1213">
        <f t="shared" si="42"/>
        <v>-1.8265993903280219E-2</v>
      </c>
      <c r="G1213">
        <f t="shared" si="43"/>
        <v>-3.0658818679569651E-2</v>
      </c>
    </row>
    <row r="1214" spans="1:7" x14ac:dyDescent="0.35">
      <c r="A1214" t="s">
        <v>73</v>
      </c>
      <c r="E1214">
        <v>1.4383094421736003E-2</v>
      </c>
      <c r="F1214">
        <f t="shared" si="42"/>
        <v>-1.8269186466893437E-2</v>
      </c>
      <c r="G1214">
        <f t="shared" si="43"/>
        <v>-3.0658818679569651E-2</v>
      </c>
    </row>
    <row r="1215" spans="1:7" x14ac:dyDescent="0.35">
      <c r="A1215" t="s">
        <v>73</v>
      </c>
      <c r="E1215">
        <v>6.3847139527441459E-3</v>
      </c>
      <c r="F1215">
        <f t="shared" si="42"/>
        <v>-1.8272379030506658E-2</v>
      </c>
      <c r="G1215">
        <f t="shared" si="43"/>
        <v>-3.0658818679569651E-2</v>
      </c>
    </row>
    <row r="1216" spans="1:7" x14ac:dyDescent="0.35">
      <c r="A1216" t="s">
        <v>73</v>
      </c>
      <c r="E1216">
        <v>-1.7711149385296318E-2</v>
      </c>
      <c r="F1216">
        <f t="shared" si="42"/>
        <v>-1.8275571594119876E-2</v>
      </c>
      <c r="G1216">
        <f t="shared" si="43"/>
        <v>-3.0658818679569651E-2</v>
      </c>
    </row>
    <row r="1217" spans="1:7" x14ac:dyDescent="0.35">
      <c r="A1217" t="s">
        <v>73</v>
      </c>
      <c r="E1217">
        <v>-1.6652136848232428E-3</v>
      </c>
      <c r="F1217">
        <f t="shared" si="42"/>
        <v>-1.8278764157733097E-2</v>
      </c>
      <c r="G1217">
        <f t="shared" si="43"/>
        <v>-3.0658818679569651E-2</v>
      </c>
    </row>
    <row r="1218" spans="1:7" x14ac:dyDescent="0.35">
      <c r="A1218" t="s">
        <v>73</v>
      </c>
      <c r="E1218">
        <v>7.4919662028436753E-4</v>
      </c>
      <c r="F1218">
        <f t="shared" si="42"/>
        <v>-1.8281956721346315E-2</v>
      </c>
      <c r="G1218">
        <f t="shared" si="43"/>
        <v>-3.0658818679569651E-2</v>
      </c>
    </row>
    <row r="1219" spans="1:7" x14ac:dyDescent="0.35">
      <c r="A1219" t="s">
        <v>73</v>
      </c>
      <c r="E1219">
        <v>1.5740658377212238E-2</v>
      </c>
      <c r="F1219">
        <f t="shared" si="42"/>
        <v>-1.8285149284959532E-2</v>
      </c>
      <c r="G1219">
        <f t="shared" si="43"/>
        <v>-3.0658818679569651E-2</v>
      </c>
    </row>
    <row r="1220" spans="1:7" x14ac:dyDescent="0.35">
      <c r="A1220" t="s">
        <v>73</v>
      </c>
      <c r="E1220">
        <v>1.1946974354882607E-2</v>
      </c>
      <c r="F1220">
        <f t="shared" ref="F1220:F1283" si="44">_xlfn.PERCENTILE.EXC(E1220:E5035,0.05)</f>
        <v>-1.8288341848572753E-2</v>
      </c>
      <c r="G1220">
        <f t="shared" ref="G1220:G1283" si="45">AVERAGEIFS(E1220:E5036,E1220:E5036,"&lt;=" &amp; F1220)</f>
        <v>-3.0658818679569651E-2</v>
      </c>
    </row>
    <row r="1221" spans="1:7" x14ac:dyDescent="0.35">
      <c r="A1221" t="s">
        <v>73</v>
      </c>
      <c r="E1221">
        <v>-5.3917294248040934E-3</v>
      </c>
      <c r="F1221">
        <f t="shared" si="44"/>
        <v>-1.8292894414206857E-2</v>
      </c>
      <c r="G1221">
        <f t="shared" si="45"/>
        <v>-3.0754713848802184E-2</v>
      </c>
    </row>
    <row r="1222" spans="1:7" x14ac:dyDescent="0.35">
      <c r="A1222" t="s">
        <v>73</v>
      </c>
      <c r="E1222">
        <v>-1.6283270491988831E-2</v>
      </c>
      <c r="F1222">
        <f t="shared" si="44"/>
        <v>-1.8297446979840967E-2</v>
      </c>
      <c r="G1222">
        <f t="shared" si="45"/>
        <v>-3.0754713848802184E-2</v>
      </c>
    </row>
    <row r="1223" spans="1:7" x14ac:dyDescent="0.35">
      <c r="A1223" t="s">
        <v>73</v>
      </c>
      <c r="E1223">
        <v>3.0064975493280677E-2</v>
      </c>
      <c r="F1223">
        <f t="shared" si="44"/>
        <v>-1.8301999545475074E-2</v>
      </c>
      <c r="G1223">
        <f t="shared" si="45"/>
        <v>-3.0754713848802184E-2</v>
      </c>
    </row>
    <row r="1224" spans="1:7" x14ac:dyDescent="0.35">
      <c r="A1224" t="s">
        <v>73</v>
      </c>
      <c r="E1224">
        <v>1.1501168674552389E-2</v>
      </c>
      <c r="F1224">
        <f t="shared" si="44"/>
        <v>-1.8306552111109178E-2</v>
      </c>
      <c r="G1224">
        <f t="shared" si="45"/>
        <v>-3.0754713848802184E-2</v>
      </c>
    </row>
    <row r="1225" spans="1:7" x14ac:dyDescent="0.35">
      <c r="A1225" t="s">
        <v>73</v>
      </c>
      <c r="E1225">
        <v>5.3509388713517255E-3</v>
      </c>
      <c r="F1225">
        <f t="shared" si="44"/>
        <v>-1.8311104676743288E-2</v>
      </c>
      <c r="G1225">
        <f t="shared" si="45"/>
        <v>-3.0754713848802184E-2</v>
      </c>
    </row>
    <row r="1226" spans="1:7" x14ac:dyDescent="0.35">
      <c r="A1226" t="s">
        <v>73</v>
      </c>
      <c r="E1226">
        <v>-4.9281952590529499E-3</v>
      </c>
      <c r="F1226">
        <f t="shared" si="44"/>
        <v>-1.8315657242377392E-2</v>
      </c>
      <c r="G1226">
        <f t="shared" si="45"/>
        <v>-3.0754713848802184E-2</v>
      </c>
    </row>
    <row r="1227" spans="1:7" x14ac:dyDescent="0.35">
      <c r="A1227" t="s">
        <v>73</v>
      </c>
      <c r="E1227">
        <v>7.5416973440273075E-3</v>
      </c>
      <c r="F1227">
        <f t="shared" si="44"/>
        <v>-1.8320209808011498E-2</v>
      </c>
      <c r="G1227">
        <f t="shared" si="45"/>
        <v>-3.0754713848802184E-2</v>
      </c>
    </row>
    <row r="1228" spans="1:7" x14ac:dyDescent="0.35">
      <c r="A1228" t="s">
        <v>73</v>
      </c>
      <c r="E1228">
        <v>4.0096247371684286E-3</v>
      </c>
      <c r="F1228">
        <f t="shared" si="44"/>
        <v>-1.8324762373645605E-2</v>
      </c>
      <c r="G1228">
        <f t="shared" si="45"/>
        <v>-3.0754713848802184E-2</v>
      </c>
    </row>
    <row r="1229" spans="1:7" x14ac:dyDescent="0.35">
      <c r="A1229" t="s">
        <v>74</v>
      </c>
      <c r="B1229" s="3" cm="1">
        <f t="array" ref="B1229">_xlfn.STDEV.S(_xlfn._xlws.FILTER($E$1000:$E$1998, $A$1000:$A$1998="2014-12"))</f>
        <v>1.7762126901186646E-2</v>
      </c>
      <c r="C1229" s="3" cm="1">
        <f t="array" ref="C1229">AVERAGE(_xlfn._xlws.FILTER($E$1000:$E$1998, $A$1000:$A$1998="2014-12"))</f>
        <v>-2.4582657066595376E-3</v>
      </c>
      <c r="D1229" s="3" cm="1">
        <f t="array" ref="D1229">_xlfn.PERCENTILE.EXC(_xlfn._xlws.FILTER($E$1000:$E$1497, $A$1000:$A$1497="2014-12"), 0.05)</f>
        <v>-3.231608912648444E-2</v>
      </c>
      <c r="E1229">
        <v>-9.1310355312057678E-3</v>
      </c>
      <c r="F1229">
        <f t="shared" si="44"/>
        <v>-1.8329314939279712E-2</v>
      </c>
      <c r="G1229">
        <f t="shared" si="45"/>
        <v>-3.0754713848802184E-2</v>
      </c>
    </row>
    <row r="1230" spans="1:7" x14ac:dyDescent="0.35">
      <c r="A1230" t="s">
        <v>74</v>
      </c>
      <c r="E1230">
        <v>7.1328843173597174E-3</v>
      </c>
      <c r="F1230">
        <f t="shared" si="44"/>
        <v>-1.8333867504913819E-2</v>
      </c>
      <c r="G1230">
        <f t="shared" si="45"/>
        <v>-3.0754713848802184E-2</v>
      </c>
    </row>
    <row r="1231" spans="1:7" x14ac:dyDescent="0.35">
      <c r="A1231" t="s">
        <v>74</v>
      </c>
      <c r="E1231">
        <v>1.1717998971312689E-2</v>
      </c>
      <c r="F1231">
        <f t="shared" si="44"/>
        <v>-1.8338420070547923E-2</v>
      </c>
      <c r="G1231">
        <f t="shared" si="45"/>
        <v>-3.0754713848802184E-2</v>
      </c>
    </row>
    <row r="1232" spans="1:7" x14ac:dyDescent="0.35">
      <c r="A1232" t="s">
        <v>74</v>
      </c>
      <c r="E1232">
        <v>-2.3819732597528516E-2</v>
      </c>
      <c r="F1232">
        <f t="shared" si="44"/>
        <v>-1.8342972636182033E-2</v>
      </c>
      <c r="G1232">
        <f t="shared" si="45"/>
        <v>-3.0754713848802184E-2</v>
      </c>
    </row>
    <row r="1233" spans="1:7" x14ac:dyDescent="0.35">
      <c r="A1233" t="s">
        <v>74</v>
      </c>
      <c r="E1233">
        <v>2.6097407782953337E-2</v>
      </c>
      <c r="F1233">
        <f t="shared" si="44"/>
        <v>-1.8265993903280219E-2</v>
      </c>
      <c r="G1233">
        <f t="shared" si="45"/>
        <v>-3.071183485074826E-2</v>
      </c>
    </row>
    <row r="1234" spans="1:7" x14ac:dyDescent="0.35">
      <c r="A1234" t="s">
        <v>74</v>
      </c>
      <c r="E1234">
        <v>-8.7995076199166491E-3</v>
      </c>
      <c r="F1234">
        <f t="shared" si="44"/>
        <v>-1.8269186466893437E-2</v>
      </c>
      <c r="G1234">
        <f t="shared" si="45"/>
        <v>-3.071183485074826E-2</v>
      </c>
    </row>
    <row r="1235" spans="1:7" x14ac:dyDescent="0.35">
      <c r="A1235" t="s">
        <v>74</v>
      </c>
      <c r="E1235">
        <v>-3.231608912648444E-2</v>
      </c>
      <c r="F1235">
        <f t="shared" si="44"/>
        <v>-1.8272379030506658E-2</v>
      </c>
      <c r="G1235">
        <f t="shared" si="45"/>
        <v>-3.071183485074826E-2</v>
      </c>
    </row>
    <row r="1236" spans="1:7" x14ac:dyDescent="0.35">
      <c r="A1236" t="s">
        <v>74</v>
      </c>
      <c r="E1236">
        <v>-6.2037258196615454E-3</v>
      </c>
      <c r="F1236">
        <f t="shared" si="44"/>
        <v>-1.8207376889927421E-2</v>
      </c>
      <c r="G1236">
        <f t="shared" si="45"/>
        <v>-3.0602597652684881E-2</v>
      </c>
    </row>
    <row r="1237" spans="1:7" x14ac:dyDescent="0.35">
      <c r="A1237" t="s">
        <v>74</v>
      </c>
      <c r="E1237">
        <v>3.3511484308810669E-3</v>
      </c>
      <c r="F1237">
        <f t="shared" si="44"/>
        <v>-1.8211655311522659E-2</v>
      </c>
      <c r="G1237">
        <f t="shared" si="45"/>
        <v>-3.0602597652684881E-2</v>
      </c>
    </row>
    <row r="1238" spans="1:7" x14ac:dyDescent="0.35">
      <c r="A1238" t="s">
        <v>74</v>
      </c>
      <c r="E1238">
        <v>-2.7877859943596973E-2</v>
      </c>
      <c r="F1238">
        <f t="shared" si="44"/>
        <v>-1.8215933733117896E-2</v>
      </c>
      <c r="G1238">
        <f t="shared" si="45"/>
        <v>-3.0602597652684881E-2</v>
      </c>
    </row>
    <row r="1239" spans="1:7" x14ac:dyDescent="0.35">
      <c r="A1239" t="s">
        <v>74</v>
      </c>
      <c r="E1239">
        <v>-2.4052354317045329E-2</v>
      </c>
      <c r="F1239">
        <f t="shared" si="44"/>
        <v>-1.8138085569647029E-2</v>
      </c>
      <c r="G1239">
        <f t="shared" si="45"/>
        <v>-3.0527102010830667E-2</v>
      </c>
    </row>
    <row r="1240" spans="1:7" x14ac:dyDescent="0.35">
      <c r="A1240" t="s">
        <v>74</v>
      </c>
      <c r="E1240">
        <v>1.7813117983584766E-2</v>
      </c>
      <c r="F1240">
        <f t="shared" si="44"/>
        <v>-1.8122190649271817E-2</v>
      </c>
      <c r="G1240">
        <f t="shared" si="45"/>
        <v>-3.0481131749840178E-2</v>
      </c>
    </row>
    <row r="1241" spans="1:7" x14ac:dyDescent="0.35">
      <c r="A1241" t="s">
        <v>74</v>
      </c>
      <c r="E1241">
        <v>-3.2188549206481403E-3</v>
      </c>
      <c r="F1241">
        <f t="shared" si="44"/>
        <v>-1.8123027224028407E-2</v>
      </c>
      <c r="G1241">
        <f t="shared" si="45"/>
        <v>-3.0577685977188365E-2</v>
      </c>
    </row>
    <row r="1242" spans="1:7" x14ac:dyDescent="0.35">
      <c r="A1242" t="s">
        <v>74</v>
      </c>
      <c r="E1242">
        <v>3.3446035568562155E-2</v>
      </c>
      <c r="F1242">
        <f t="shared" si="44"/>
        <v>-1.8123863798784997E-2</v>
      </c>
      <c r="G1242">
        <f t="shared" si="45"/>
        <v>-3.0577685977188365E-2</v>
      </c>
    </row>
    <row r="1243" spans="1:7" x14ac:dyDescent="0.35">
      <c r="A1243" t="s">
        <v>74</v>
      </c>
      <c r="E1243">
        <v>-2.6692507741921112E-3</v>
      </c>
      <c r="F1243">
        <f t="shared" si="44"/>
        <v>-1.8124700373541587E-2</v>
      </c>
      <c r="G1243">
        <f t="shared" si="45"/>
        <v>-3.0577685977188365E-2</v>
      </c>
    </row>
    <row r="1244" spans="1:7" x14ac:dyDescent="0.35">
      <c r="A1244" t="s">
        <v>74</v>
      </c>
      <c r="E1244">
        <v>7.1378278955775462E-4</v>
      </c>
      <c r="F1244">
        <f t="shared" si="44"/>
        <v>-1.8125536948298177E-2</v>
      </c>
      <c r="G1244">
        <f t="shared" si="45"/>
        <v>-3.0577685977188365E-2</v>
      </c>
    </row>
    <row r="1245" spans="1:7" x14ac:dyDescent="0.35">
      <c r="A1245" t="s">
        <v>74</v>
      </c>
      <c r="E1245">
        <v>1.0235739550334359E-2</v>
      </c>
      <c r="F1245">
        <f t="shared" si="44"/>
        <v>-1.8126373523054767E-2</v>
      </c>
      <c r="G1245">
        <f t="shared" si="45"/>
        <v>-3.0577685977188365E-2</v>
      </c>
    </row>
    <row r="1246" spans="1:7" x14ac:dyDescent="0.35">
      <c r="A1246" t="s">
        <v>74</v>
      </c>
      <c r="E1246">
        <v>-8.0012308864939857E-3</v>
      </c>
      <c r="F1246">
        <f t="shared" si="44"/>
        <v>-1.8127210097811357E-2</v>
      </c>
      <c r="G1246">
        <f t="shared" si="45"/>
        <v>-3.0577685977188365E-2</v>
      </c>
    </row>
    <row r="1247" spans="1:7" x14ac:dyDescent="0.35">
      <c r="A1247" t="s">
        <v>74</v>
      </c>
      <c r="E1247">
        <v>-1.1125522284303605E-2</v>
      </c>
      <c r="F1247">
        <f t="shared" si="44"/>
        <v>-1.8128046672567948E-2</v>
      </c>
      <c r="G1247">
        <f t="shared" si="45"/>
        <v>-3.0577685977188365E-2</v>
      </c>
    </row>
    <row r="1248" spans="1:7" x14ac:dyDescent="0.35">
      <c r="A1248" t="s">
        <v>75</v>
      </c>
      <c r="B1248" s="3" cm="1">
        <f t="array" ref="B1248">_xlfn.STDEV.S(_xlfn._xlws.FILTER($E$1000:$E$1998, $A$1000:$A$1998="2015-01"))</f>
        <v>1.6429526861212091E-2</v>
      </c>
      <c r="C1248" s="3" cm="1">
        <f t="array" ref="C1248">AVERAGE(_xlfn._xlws.FILTER($E$1000:$E$1998, $A$1000:$A$1998="2015-01"))</f>
        <v>5.7145845338388789E-4</v>
      </c>
      <c r="D1248" s="3" cm="1">
        <f t="array" ref="D1248">_xlfn.PERCENTILE.EXC(_xlfn._xlws.FILTER($E$1000:$E$1497, $A$1000:$A$1497="2015-01"), 0.05)</f>
        <v>-3.9457958585192396E-2</v>
      </c>
      <c r="E1248">
        <v>6.9413754231541745E-3</v>
      </c>
      <c r="F1248">
        <f t="shared" si="44"/>
        <v>-1.8128883247324538E-2</v>
      </c>
      <c r="G1248">
        <f t="shared" si="45"/>
        <v>-3.0577685977188365E-2</v>
      </c>
    </row>
    <row r="1249" spans="1:7" x14ac:dyDescent="0.35">
      <c r="A1249" t="s">
        <v>75</v>
      </c>
      <c r="E1249">
        <v>-3.5148942966547109E-2</v>
      </c>
      <c r="F1249">
        <f t="shared" si="44"/>
        <v>-1.8129719822081128E-2</v>
      </c>
      <c r="G1249">
        <f t="shared" si="45"/>
        <v>-3.0577685977188365E-2</v>
      </c>
    </row>
    <row r="1250" spans="1:7" x14ac:dyDescent="0.35">
      <c r="A1250" t="s">
        <v>75</v>
      </c>
      <c r="E1250">
        <v>-1.2303572373457567E-2</v>
      </c>
      <c r="F1250">
        <f t="shared" si="44"/>
        <v>-1.8078956965514592E-2</v>
      </c>
      <c r="G1250">
        <f t="shared" si="45"/>
        <v>-3.0444664474709657E-2</v>
      </c>
    </row>
    <row r="1251" spans="1:7" x14ac:dyDescent="0.35">
      <c r="A1251" t="s">
        <v>75</v>
      </c>
      <c r="E1251">
        <v>2.0543966744849618E-3</v>
      </c>
      <c r="F1251">
        <f t="shared" si="44"/>
        <v>-1.8083280333890311E-2</v>
      </c>
      <c r="G1251">
        <f t="shared" si="45"/>
        <v>-3.0444664474709657E-2</v>
      </c>
    </row>
    <row r="1252" spans="1:7" x14ac:dyDescent="0.35">
      <c r="A1252" t="s">
        <v>75</v>
      </c>
      <c r="E1252">
        <v>2.2353777874940469E-2</v>
      </c>
      <c r="F1252">
        <f t="shared" si="44"/>
        <v>-1.8087603702266038E-2</v>
      </c>
      <c r="G1252">
        <f t="shared" si="45"/>
        <v>-3.0444664474709657E-2</v>
      </c>
    </row>
    <row r="1253" spans="1:7" x14ac:dyDescent="0.35">
      <c r="A1253" t="s">
        <v>75</v>
      </c>
      <c r="E1253">
        <v>-3.9936738098375203E-2</v>
      </c>
      <c r="F1253">
        <f t="shared" si="44"/>
        <v>-1.8091927070641761E-2</v>
      </c>
      <c r="G1253">
        <f t="shared" si="45"/>
        <v>-3.0444664474709657E-2</v>
      </c>
    </row>
    <row r="1254" spans="1:7" x14ac:dyDescent="0.35">
      <c r="A1254" t="s">
        <v>75</v>
      </c>
      <c r="E1254">
        <v>8.0445185703158957E-3</v>
      </c>
      <c r="F1254">
        <f t="shared" si="44"/>
        <v>-1.8033374865480914E-2</v>
      </c>
      <c r="G1254">
        <f t="shared" si="45"/>
        <v>-3.027356279645483E-2</v>
      </c>
    </row>
    <row r="1255" spans="1:7" x14ac:dyDescent="0.35">
      <c r="A1255" t="s">
        <v>75</v>
      </c>
      <c r="E1255">
        <v>1.7052048767563398E-2</v>
      </c>
      <c r="F1255">
        <f t="shared" si="44"/>
        <v>-1.8033766268193654E-2</v>
      </c>
      <c r="G1255">
        <f t="shared" si="45"/>
        <v>-3.027356279645483E-2</v>
      </c>
    </row>
    <row r="1256" spans="1:7" x14ac:dyDescent="0.35">
      <c r="A1256" t="s">
        <v>75</v>
      </c>
      <c r="E1256">
        <v>-1.2114018523204007E-2</v>
      </c>
      <c r="F1256">
        <f t="shared" si="44"/>
        <v>-1.8034157670906398E-2</v>
      </c>
      <c r="G1256">
        <f t="shared" si="45"/>
        <v>-3.027356279645483E-2</v>
      </c>
    </row>
    <row r="1257" spans="1:7" x14ac:dyDescent="0.35">
      <c r="A1257" t="s">
        <v>75</v>
      </c>
      <c r="E1257">
        <v>1.3768278619230447E-2</v>
      </c>
      <c r="F1257">
        <f t="shared" si="44"/>
        <v>-1.8034549073619139E-2</v>
      </c>
      <c r="G1257">
        <f t="shared" si="45"/>
        <v>-3.027356279645483E-2</v>
      </c>
    </row>
    <row r="1258" spans="1:7" x14ac:dyDescent="0.35">
      <c r="A1258" t="s">
        <v>75</v>
      </c>
      <c r="E1258">
        <v>5.6339865530285402E-3</v>
      </c>
      <c r="F1258">
        <f t="shared" si="44"/>
        <v>-1.8034940476331883E-2</v>
      </c>
      <c r="G1258">
        <f t="shared" si="45"/>
        <v>-3.027356279645483E-2</v>
      </c>
    </row>
    <row r="1259" spans="1:7" x14ac:dyDescent="0.35">
      <c r="A1259" t="s">
        <v>75</v>
      </c>
      <c r="E1259">
        <v>1.1744802371476917E-2</v>
      </c>
      <c r="F1259">
        <f t="shared" si="44"/>
        <v>-1.8035331879044623E-2</v>
      </c>
      <c r="G1259">
        <f t="shared" si="45"/>
        <v>-3.027356279645483E-2</v>
      </c>
    </row>
    <row r="1260" spans="1:7" x14ac:dyDescent="0.35">
      <c r="A1260" t="s">
        <v>75</v>
      </c>
      <c r="E1260">
        <v>1.2367216633758733E-2</v>
      </c>
      <c r="F1260">
        <f t="shared" si="44"/>
        <v>-1.8035723281757367E-2</v>
      </c>
      <c r="G1260">
        <f t="shared" si="45"/>
        <v>-3.027356279645483E-2</v>
      </c>
    </row>
    <row r="1261" spans="1:7" x14ac:dyDescent="0.35">
      <c r="A1261" t="s">
        <v>75</v>
      </c>
      <c r="E1261">
        <v>4.9856547751335988E-3</v>
      </c>
      <c r="F1261">
        <f t="shared" si="44"/>
        <v>-1.804004665013309E-2</v>
      </c>
      <c r="G1261">
        <f t="shared" si="45"/>
        <v>-3.0369923737515438E-2</v>
      </c>
    </row>
    <row r="1262" spans="1:7" x14ac:dyDescent="0.35">
      <c r="A1262" t="s">
        <v>75</v>
      </c>
      <c r="E1262">
        <v>1.6819051457892198E-2</v>
      </c>
      <c r="F1262">
        <f t="shared" si="44"/>
        <v>-1.8044370018508813E-2</v>
      </c>
      <c r="G1262">
        <f t="shared" si="45"/>
        <v>-3.0369923737515438E-2</v>
      </c>
    </row>
    <row r="1263" spans="1:7" x14ac:dyDescent="0.35">
      <c r="A1263" t="s">
        <v>75</v>
      </c>
      <c r="E1263">
        <v>6.7229215718419702E-3</v>
      </c>
      <c r="F1263">
        <f t="shared" si="44"/>
        <v>-1.8048693386884532E-2</v>
      </c>
      <c r="G1263">
        <f t="shared" si="45"/>
        <v>-3.0369923737515438E-2</v>
      </c>
    </row>
    <row r="1264" spans="1:7" x14ac:dyDescent="0.35">
      <c r="A1264" t="s">
        <v>75</v>
      </c>
      <c r="E1264">
        <v>1.07719957270204E-2</v>
      </c>
      <c r="F1264">
        <f t="shared" si="44"/>
        <v>-1.8053016755260255E-2</v>
      </c>
      <c r="G1264">
        <f t="shared" si="45"/>
        <v>-3.0369923737515438E-2</v>
      </c>
    </row>
    <row r="1265" spans="1:7" x14ac:dyDescent="0.35">
      <c r="A1265" t="s">
        <v>75</v>
      </c>
      <c r="E1265">
        <v>-9.1289668971270155E-3</v>
      </c>
      <c r="F1265">
        <f t="shared" si="44"/>
        <v>-1.8057340123635982E-2</v>
      </c>
      <c r="G1265">
        <f t="shared" si="45"/>
        <v>-3.0369923737515438E-2</v>
      </c>
    </row>
    <row r="1266" spans="1:7" x14ac:dyDescent="0.35">
      <c r="A1266" t="s">
        <v>75</v>
      </c>
      <c r="E1266">
        <v>-1.3488174549710366E-2</v>
      </c>
      <c r="F1266">
        <f t="shared" si="44"/>
        <v>-1.8061663492011701E-2</v>
      </c>
      <c r="G1266">
        <f t="shared" si="45"/>
        <v>-3.0369923737515438E-2</v>
      </c>
    </row>
    <row r="1267" spans="1:7" x14ac:dyDescent="0.35">
      <c r="A1267" t="s">
        <v>75</v>
      </c>
      <c r="E1267">
        <v>4.8367572649523046E-3</v>
      </c>
      <c r="F1267">
        <f t="shared" si="44"/>
        <v>-1.8065986860387424E-2</v>
      </c>
      <c r="G1267">
        <f t="shared" si="45"/>
        <v>-3.0369923737515438E-2</v>
      </c>
    </row>
    <row r="1268" spans="1:7" x14ac:dyDescent="0.35">
      <c r="A1268" t="s">
        <v>75</v>
      </c>
      <c r="E1268">
        <v>-9.9757413553110911E-3</v>
      </c>
      <c r="F1268">
        <f t="shared" si="44"/>
        <v>-1.8070310228763146E-2</v>
      </c>
      <c r="G1268">
        <f t="shared" si="45"/>
        <v>-3.0369923737515438E-2</v>
      </c>
    </row>
    <row r="1269" spans="1:7" x14ac:dyDescent="0.35">
      <c r="A1269" t="s">
        <v>76</v>
      </c>
      <c r="B1269" s="3" cm="1">
        <f t="array" ref="B1269">_xlfn.STDEV.S(_xlfn._xlws.FILTER($E$1000:$E$1998, $A$1000:$A$1998="2015-02"))</f>
        <v>1.1026154242075779E-2</v>
      </c>
      <c r="C1269" s="3" cm="1">
        <f t="array" ref="C1269">AVERAGE(_xlfn._xlws.FILTER($E$1000:$E$1998, $A$1000:$A$1998="2015-02"))</f>
        <v>3.5925667705901144E-3</v>
      </c>
      <c r="D1269" s="3" cm="1">
        <f t="array" ref="D1269">_xlfn.PERCENTILE.EXC(_xlfn._xlws.FILTER($E$1000:$E$1497, $A$1000:$A$1497="2015-02"), 0.05)</f>
        <v>-1.9542011229417188E-2</v>
      </c>
      <c r="E1269">
        <v>-7.2547275939971942E-3</v>
      </c>
      <c r="F1269">
        <f t="shared" si="44"/>
        <v>-1.8074633597138869E-2</v>
      </c>
      <c r="G1269">
        <f t="shared" si="45"/>
        <v>-3.0369923737515438E-2</v>
      </c>
    </row>
    <row r="1270" spans="1:7" x14ac:dyDescent="0.35">
      <c r="A1270" t="s">
        <v>76</v>
      </c>
      <c r="E1270">
        <v>2.5815839463493796E-2</v>
      </c>
      <c r="F1270">
        <f t="shared" si="44"/>
        <v>-1.8078956965514592E-2</v>
      </c>
      <c r="G1270">
        <f t="shared" si="45"/>
        <v>-3.0369923737515438E-2</v>
      </c>
    </row>
    <row r="1271" spans="1:7" x14ac:dyDescent="0.35">
      <c r="A1271" t="s">
        <v>76</v>
      </c>
      <c r="E1271">
        <v>-1.9267100784624827E-3</v>
      </c>
      <c r="F1271">
        <f t="shared" si="44"/>
        <v>-1.8083280333890315E-2</v>
      </c>
      <c r="G1271">
        <f t="shared" si="45"/>
        <v>-3.0369923737515438E-2</v>
      </c>
    </row>
    <row r="1272" spans="1:7" x14ac:dyDescent="0.35">
      <c r="A1272" t="s">
        <v>76</v>
      </c>
      <c r="E1272">
        <v>-4.0069583245044083E-3</v>
      </c>
      <c r="F1272">
        <f t="shared" si="44"/>
        <v>-1.8087603702266038E-2</v>
      </c>
      <c r="G1272">
        <f t="shared" si="45"/>
        <v>-3.0369923737515438E-2</v>
      </c>
    </row>
    <row r="1273" spans="1:7" x14ac:dyDescent="0.35">
      <c r="A1273" t="s">
        <v>76</v>
      </c>
      <c r="E1273">
        <v>3.5625327844697428E-3</v>
      </c>
      <c r="F1273">
        <f t="shared" si="44"/>
        <v>-1.8091927070641757E-2</v>
      </c>
      <c r="G1273">
        <f t="shared" si="45"/>
        <v>-3.0369923737515438E-2</v>
      </c>
    </row>
    <row r="1274" spans="1:7" x14ac:dyDescent="0.35">
      <c r="A1274" t="s">
        <v>76</v>
      </c>
      <c r="E1274">
        <v>-1.9887941771345605E-2</v>
      </c>
      <c r="F1274">
        <f t="shared" si="44"/>
        <v>-1.809625043901748E-2</v>
      </c>
      <c r="G1274">
        <f t="shared" si="45"/>
        <v>-3.0369923737515438E-2</v>
      </c>
    </row>
    <row r="1275" spans="1:7" x14ac:dyDescent="0.35">
      <c r="A1275" t="s">
        <v>76</v>
      </c>
      <c r="E1275">
        <v>1.295968293980101E-2</v>
      </c>
      <c r="F1275">
        <f t="shared" si="44"/>
        <v>-1.8033766268193654E-2</v>
      </c>
      <c r="G1275">
        <f t="shared" si="45"/>
        <v>-3.0355339339959625E-2</v>
      </c>
    </row>
    <row r="1276" spans="1:7" x14ac:dyDescent="0.35">
      <c r="A1276" t="s">
        <v>76</v>
      </c>
      <c r="E1276">
        <v>-1.296933093277731E-2</v>
      </c>
      <c r="F1276">
        <f t="shared" si="44"/>
        <v>-1.8034157670906398E-2</v>
      </c>
      <c r="G1276">
        <f t="shared" si="45"/>
        <v>-3.0355339339959625E-2</v>
      </c>
    </row>
    <row r="1277" spans="1:7" x14ac:dyDescent="0.35">
      <c r="A1277" t="s">
        <v>76</v>
      </c>
      <c r="E1277">
        <v>1.8866139918200523E-2</v>
      </c>
      <c r="F1277">
        <f t="shared" si="44"/>
        <v>-1.8034549073619139E-2</v>
      </c>
      <c r="G1277">
        <f t="shared" si="45"/>
        <v>-3.0355339339959625E-2</v>
      </c>
    </row>
    <row r="1278" spans="1:7" x14ac:dyDescent="0.35">
      <c r="A1278" t="s">
        <v>76</v>
      </c>
      <c r="E1278">
        <v>1.6646943149107488E-2</v>
      </c>
      <c r="F1278">
        <f t="shared" si="44"/>
        <v>-1.8034940476331883E-2</v>
      </c>
      <c r="G1278">
        <f t="shared" si="45"/>
        <v>-3.0355339339959625E-2</v>
      </c>
    </row>
    <row r="1279" spans="1:7" x14ac:dyDescent="0.35">
      <c r="A1279" t="s">
        <v>76</v>
      </c>
      <c r="E1279">
        <v>-4.6665818038552727E-3</v>
      </c>
      <c r="F1279">
        <f t="shared" si="44"/>
        <v>-1.8035331879044623E-2</v>
      </c>
      <c r="G1279">
        <f t="shared" si="45"/>
        <v>-3.0355339339959625E-2</v>
      </c>
    </row>
    <row r="1280" spans="1:7" x14ac:dyDescent="0.35">
      <c r="A1280" t="s">
        <v>76</v>
      </c>
      <c r="E1280">
        <v>7.9485685073281518E-4</v>
      </c>
      <c r="F1280">
        <f t="shared" si="44"/>
        <v>-1.8035723281757367E-2</v>
      </c>
      <c r="G1280">
        <f t="shared" si="45"/>
        <v>-3.0355339339959625E-2</v>
      </c>
    </row>
    <row r="1281" spans="1:7" x14ac:dyDescent="0.35">
      <c r="A1281" t="s">
        <v>76</v>
      </c>
      <c r="E1281">
        <v>9.9799463879989368E-3</v>
      </c>
      <c r="F1281">
        <f t="shared" si="44"/>
        <v>-1.804004665013309E-2</v>
      </c>
      <c r="G1281">
        <f t="shared" si="45"/>
        <v>-3.0453114070580278E-2</v>
      </c>
    </row>
    <row r="1282" spans="1:7" x14ac:dyDescent="0.35">
      <c r="A1282" t="s">
        <v>76</v>
      </c>
      <c r="E1282">
        <v>9.6797082871940138E-3</v>
      </c>
      <c r="F1282">
        <f t="shared" si="44"/>
        <v>-1.8044370018508813E-2</v>
      </c>
      <c r="G1282">
        <f t="shared" si="45"/>
        <v>-3.0453114070580278E-2</v>
      </c>
    </row>
    <row r="1283" spans="1:7" x14ac:dyDescent="0.35">
      <c r="A1283" t="s">
        <v>76</v>
      </c>
      <c r="E1283">
        <v>-2.8545616615419963E-3</v>
      </c>
      <c r="F1283">
        <f t="shared" si="44"/>
        <v>-1.8048693386884532E-2</v>
      </c>
      <c r="G1283">
        <f t="shared" si="45"/>
        <v>-3.0453114070580278E-2</v>
      </c>
    </row>
    <row r="1284" spans="1:7" x14ac:dyDescent="0.35">
      <c r="A1284" t="s">
        <v>76</v>
      </c>
      <c r="E1284">
        <v>1.013296643249716E-2</v>
      </c>
      <c r="F1284">
        <f t="shared" ref="F1284:F1347" si="46">_xlfn.PERCENTILE.EXC(E1284:E5099,0.05)</f>
        <v>-1.8053016755260255E-2</v>
      </c>
      <c r="G1284">
        <f t="shared" ref="G1284:G1347" si="47">AVERAGEIFS(E1284:E5100,E1284:E5100,"&lt;=" &amp; F1284)</f>
        <v>-3.0453114070580278E-2</v>
      </c>
    </row>
    <row r="1285" spans="1:7" x14ac:dyDescent="0.35">
      <c r="A1285" t="s">
        <v>76</v>
      </c>
      <c r="E1285">
        <v>6.7469173985771217E-3</v>
      </c>
      <c r="F1285">
        <f t="shared" si="46"/>
        <v>-1.8057340123635982E-2</v>
      </c>
      <c r="G1285">
        <f t="shared" si="47"/>
        <v>-3.0453114070580278E-2</v>
      </c>
    </row>
    <row r="1286" spans="1:7" x14ac:dyDescent="0.35">
      <c r="A1286" t="s">
        <v>76</v>
      </c>
      <c r="E1286">
        <v>-1.3566068825610852E-3</v>
      </c>
      <c r="F1286">
        <f t="shared" si="46"/>
        <v>-1.8061663492011701E-2</v>
      </c>
      <c r="G1286">
        <f t="shared" si="47"/>
        <v>-3.0453114070580278E-2</v>
      </c>
    </row>
    <row r="1287" spans="1:7" x14ac:dyDescent="0.35">
      <c r="A1287" t="s">
        <v>76</v>
      </c>
      <c r="E1287">
        <v>8.112172117218661E-3</v>
      </c>
      <c r="F1287">
        <f t="shared" si="46"/>
        <v>-1.8065986860387424E-2</v>
      </c>
      <c r="G1287">
        <f t="shared" si="47"/>
        <v>-3.0453114070580278E-2</v>
      </c>
    </row>
    <row r="1288" spans="1:7" x14ac:dyDescent="0.35">
      <c r="A1288" t="s">
        <v>76</v>
      </c>
      <c r="E1288">
        <v>3.4770487315563658E-3</v>
      </c>
      <c r="F1288">
        <f t="shared" si="46"/>
        <v>-1.8070310228763146E-2</v>
      </c>
      <c r="G1288">
        <f t="shared" si="47"/>
        <v>-3.0453114070580278E-2</v>
      </c>
    </row>
    <row r="1289" spans="1:7" x14ac:dyDescent="0.35">
      <c r="A1289" t="s">
        <v>77</v>
      </c>
      <c r="B1289" s="3" cm="1">
        <f t="array" ref="B1289">_xlfn.STDEV.S(_xlfn._xlws.FILTER($E$1000:$E$1998, $A$1000:$A$1998="2015-03"))</f>
        <v>9.4226803327106048E-3</v>
      </c>
      <c r="C1289" s="3" cm="1">
        <f t="array" ref="C1289">AVERAGE(_xlfn._xlws.FILTER($E$1000:$E$1998, $A$1000:$A$1998="2015-03"))</f>
        <v>1.3729880863795649E-3</v>
      </c>
      <c r="D1289" s="3" cm="1">
        <f t="array" ref="D1289">_xlfn.PERCENTILE.EXC(_xlfn._xlws.FILTER($E$1000:$E$1497, $A$1000:$A$1497="2015-03"), 0.05)</f>
        <v>-1.4624190708785846E-2</v>
      </c>
      <c r="E1289">
        <v>1.7891648179145345E-5</v>
      </c>
      <c r="F1289">
        <f t="shared" si="46"/>
        <v>-1.8074633597138869E-2</v>
      </c>
      <c r="G1289">
        <f t="shared" si="47"/>
        <v>-3.0453114070580278E-2</v>
      </c>
    </row>
    <row r="1290" spans="1:7" x14ac:dyDescent="0.35">
      <c r="A1290" t="s">
        <v>77</v>
      </c>
      <c r="E1290">
        <v>-1.4761546272600385E-2</v>
      </c>
      <c r="F1290">
        <f t="shared" si="46"/>
        <v>-1.8078956965514592E-2</v>
      </c>
      <c r="G1290">
        <f t="shared" si="47"/>
        <v>-3.0453114070580278E-2</v>
      </c>
    </row>
    <row r="1291" spans="1:7" x14ac:dyDescent="0.35">
      <c r="A1291" t="s">
        <v>77</v>
      </c>
      <c r="E1291">
        <v>3.3173238071364831E-3</v>
      </c>
      <c r="F1291">
        <f t="shared" si="46"/>
        <v>-1.8083280333890315E-2</v>
      </c>
      <c r="G1291">
        <f t="shared" si="47"/>
        <v>-3.0453114070580278E-2</v>
      </c>
    </row>
    <row r="1292" spans="1:7" x14ac:dyDescent="0.35">
      <c r="A1292" t="s">
        <v>77</v>
      </c>
      <c r="E1292">
        <v>6.5928259109072204E-3</v>
      </c>
      <c r="F1292">
        <f t="shared" si="46"/>
        <v>-1.8087603702266038E-2</v>
      </c>
      <c r="G1292">
        <f t="shared" si="47"/>
        <v>-3.0453114070580278E-2</v>
      </c>
    </row>
    <row r="1293" spans="1:7" x14ac:dyDescent="0.35">
      <c r="A1293" t="s">
        <v>77</v>
      </c>
      <c r="E1293">
        <v>-2.92578180739995E-3</v>
      </c>
      <c r="F1293">
        <f t="shared" si="46"/>
        <v>-1.8091927070641757E-2</v>
      </c>
      <c r="G1293">
        <f t="shared" si="47"/>
        <v>-3.0453114070580278E-2</v>
      </c>
    </row>
    <row r="1294" spans="1:7" x14ac:dyDescent="0.35">
      <c r="A1294" t="s">
        <v>77</v>
      </c>
      <c r="E1294">
        <v>-3.4046659608154943E-3</v>
      </c>
      <c r="F1294">
        <f t="shared" si="46"/>
        <v>-1.809625043901748E-2</v>
      </c>
      <c r="G1294">
        <f t="shared" si="47"/>
        <v>-3.0453114070580278E-2</v>
      </c>
    </row>
    <row r="1295" spans="1:7" x14ac:dyDescent="0.35">
      <c r="A1295" t="s">
        <v>77</v>
      </c>
      <c r="E1295">
        <v>-1.3845842513836791E-2</v>
      </c>
      <c r="F1295">
        <f t="shared" si="46"/>
        <v>-1.8100573807393203E-2</v>
      </c>
      <c r="G1295">
        <f t="shared" si="47"/>
        <v>-3.0453114070580278E-2</v>
      </c>
    </row>
    <row r="1296" spans="1:7" x14ac:dyDescent="0.35">
      <c r="A1296" t="s">
        <v>77</v>
      </c>
      <c r="E1296">
        <v>1.0910526037716077E-2</v>
      </c>
      <c r="F1296">
        <f t="shared" si="46"/>
        <v>-1.8104897175768925E-2</v>
      </c>
      <c r="G1296">
        <f t="shared" si="47"/>
        <v>-3.0453114070580278E-2</v>
      </c>
    </row>
    <row r="1297" spans="1:7" x14ac:dyDescent="0.35">
      <c r="A1297" t="s">
        <v>77</v>
      </c>
      <c r="E1297">
        <v>-9.0770465893963697E-4</v>
      </c>
      <c r="F1297">
        <f t="shared" si="46"/>
        <v>-1.8109220544144648E-2</v>
      </c>
      <c r="G1297">
        <f t="shared" si="47"/>
        <v>-3.0453114070580278E-2</v>
      </c>
    </row>
    <row r="1298" spans="1:7" x14ac:dyDescent="0.35">
      <c r="A1298" t="s">
        <v>77</v>
      </c>
      <c r="E1298">
        <v>1.9958637826170337E-3</v>
      </c>
      <c r="F1298">
        <f t="shared" si="46"/>
        <v>-1.8113543912520371E-2</v>
      </c>
      <c r="G1298">
        <f t="shared" si="47"/>
        <v>-3.0453114070580278E-2</v>
      </c>
    </row>
    <row r="1299" spans="1:7" x14ac:dyDescent="0.35">
      <c r="A1299" t="s">
        <v>77</v>
      </c>
      <c r="E1299">
        <v>7.3052676056408229E-3</v>
      </c>
      <c r="F1299">
        <f t="shared" si="46"/>
        <v>-1.8117867280896094E-2</v>
      </c>
      <c r="G1299">
        <f t="shared" si="47"/>
        <v>-3.0453114070580278E-2</v>
      </c>
    </row>
    <row r="1300" spans="1:7" x14ac:dyDescent="0.35">
      <c r="A1300" t="s">
        <v>77</v>
      </c>
      <c r="E1300">
        <v>-7.8219955508156257E-3</v>
      </c>
      <c r="F1300">
        <f t="shared" si="46"/>
        <v>-1.8122190649271817E-2</v>
      </c>
      <c r="G1300">
        <f t="shared" si="47"/>
        <v>-3.0453114070580278E-2</v>
      </c>
    </row>
    <row r="1301" spans="1:7" x14ac:dyDescent="0.35">
      <c r="A1301" t="s">
        <v>77</v>
      </c>
      <c r="E1301">
        <v>1.9838670159754153E-3</v>
      </c>
      <c r="F1301">
        <f t="shared" si="46"/>
        <v>-1.8123027224028407E-2</v>
      </c>
      <c r="G1301">
        <f t="shared" si="47"/>
        <v>-3.0551761457950747E-2</v>
      </c>
    </row>
    <row r="1302" spans="1:7" x14ac:dyDescent="0.35">
      <c r="A1302" t="s">
        <v>77</v>
      </c>
      <c r="E1302">
        <v>3.7035406588428054E-3</v>
      </c>
      <c r="F1302">
        <f t="shared" si="46"/>
        <v>-1.8123863798784997E-2</v>
      </c>
      <c r="G1302">
        <f t="shared" si="47"/>
        <v>-3.0551761457950747E-2</v>
      </c>
    </row>
    <row r="1303" spans="1:7" x14ac:dyDescent="0.35">
      <c r="A1303" t="s">
        <v>77</v>
      </c>
      <c r="E1303">
        <v>2.9197208722123343E-2</v>
      </c>
      <c r="F1303">
        <f t="shared" si="46"/>
        <v>-1.8124700373541587E-2</v>
      </c>
      <c r="G1303">
        <f t="shared" si="47"/>
        <v>-3.0551761457950747E-2</v>
      </c>
    </row>
    <row r="1304" spans="1:7" x14ac:dyDescent="0.35">
      <c r="A1304" t="s">
        <v>77</v>
      </c>
      <c r="E1304">
        <v>2.9030642448417674E-3</v>
      </c>
      <c r="F1304">
        <f t="shared" si="46"/>
        <v>-1.8125536948298177E-2</v>
      </c>
      <c r="G1304">
        <f t="shared" si="47"/>
        <v>-3.0551761457950747E-2</v>
      </c>
    </row>
    <row r="1305" spans="1:7" x14ac:dyDescent="0.35">
      <c r="A1305" t="s">
        <v>77</v>
      </c>
      <c r="E1305">
        <v>1.0984779678075677E-2</v>
      </c>
      <c r="F1305">
        <f t="shared" si="46"/>
        <v>-1.8126373523054767E-2</v>
      </c>
      <c r="G1305">
        <f t="shared" si="47"/>
        <v>-3.0551761457950747E-2</v>
      </c>
    </row>
    <row r="1306" spans="1:7" x14ac:dyDescent="0.35">
      <c r="A1306" t="s">
        <v>77</v>
      </c>
      <c r="E1306">
        <v>-9.9462718941104936E-3</v>
      </c>
      <c r="F1306">
        <f t="shared" si="46"/>
        <v>-1.8127210097811357E-2</v>
      </c>
      <c r="G1306">
        <f t="shared" si="47"/>
        <v>-3.0551761457950747E-2</v>
      </c>
    </row>
    <row r="1307" spans="1:7" x14ac:dyDescent="0.35">
      <c r="A1307" t="s">
        <v>77</v>
      </c>
      <c r="E1307">
        <v>-9.5119670326055717E-4</v>
      </c>
      <c r="F1307">
        <f t="shared" si="46"/>
        <v>-1.8128046672567948E-2</v>
      </c>
      <c r="G1307">
        <f t="shared" si="47"/>
        <v>-3.0551761457950747E-2</v>
      </c>
    </row>
    <row r="1308" spans="1:7" x14ac:dyDescent="0.35">
      <c r="A1308" t="s">
        <v>77</v>
      </c>
      <c r="E1308">
        <v>-2.3075723051899934E-3</v>
      </c>
      <c r="F1308">
        <f t="shared" si="46"/>
        <v>-1.8128883247324538E-2</v>
      </c>
      <c r="G1308">
        <f t="shared" si="47"/>
        <v>-3.0551761457950747E-2</v>
      </c>
    </row>
    <row r="1309" spans="1:7" x14ac:dyDescent="0.35">
      <c r="A1309" t="s">
        <v>77</v>
      </c>
      <c r="E1309">
        <v>8.8602936272809511E-3</v>
      </c>
      <c r="F1309">
        <f t="shared" si="46"/>
        <v>-1.8129719822081128E-2</v>
      </c>
      <c r="G1309">
        <f t="shared" si="47"/>
        <v>-3.0551761457950747E-2</v>
      </c>
    </row>
    <row r="1310" spans="1:7" x14ac:dyDescent="0.35">
      <c r="A1310" t="s">
        <v>77</v>
      </c>
      <c r="E1310">
        <v>-6.9413717201738574E-4</v>
      </c>
      <c r="F1310">
        <f t="shared" si="46"/>
        <v>-1.8130556396837718E-2</v>
      </c>
      <c r="G1310">
        <f t="shared" si="47"/>
        <v>-3.0551761457950747E-2</v>
      </c>
    </row>
    <row r="1311" spans="1:7" x14ac:dyDescent="0.35">
      <c r="A1311" t="s">
        <v>78</v>
      </c>
      <c r="B1311" s="3" cm="1">
        <f t="array" ref="B1311">_xlfn.STDEV.S(_xlfn._xlws.FILTER($E$1000:$E$1998, $A$1000:$A$1998="2015-04"))</f>
        <v>9.7965511418549294E-3</v>
      </c>
      <c r="C1311" s="3" cm="1">
        <f t="array" ref="C1311">AVERAGE(_xlfn._xlws.FILTER($E$1000:$E$1998, $A$1000:$A$1998="2015-04"))</f>
        <v>-5.9417186523224067E-4</v>
      </c>
      <c r="D1311" s="3" cm="1">
        <f t="array" ref="D1311">_xlfn.PERCENTILE.EXC(_xlfn._xlws.FILTER($E$1000:$E$1497, $A$1000:$A$1497="2015-04"), 0.05)</f>
        <v>-2.1864630103942167E-2</v>
      </c>
      <c r="E1311">
        <v>4.2181181511295011E-3</v>
      </c>
      <c r="F1311">
        <f t="shared" si="46"/>
        <v>-1.8131392971594308E-2</v>
      </c>
      <c r="G1311">
        <f t="shared" si="47"/>
        <v>-3.0551761457950747E-2</v>
      </c>
    </row>
    <row r="1312" spans="1:7" x14ac:dyDescent="0.35">
      <c r="A1312" t="s">
        <v>78</v>
      </c>
      <c r="E1312">
        <v>5.5335905170925664E-3</v>
      </c>
      <c r="F1312">
        <f t="shared" si="46"/>
        <v>-1.8132229546350898E-2</v>
      </c>
      <c r="G1312">
        <f t="shared" si="47"/>
        <v>-3.0551761457950747E-2</v>
      </c>
    </row>
    <row r="1313" spans="1:7" x14ac:dyDescent="0.35">
      <c r="A1313" t="s">
        <v>78</v>
      </c>
      <c r="E1313">
        <v>8.2604420143135085E-3</v>
      </c>
      <c r="F1313">
        <f t="shared" si="46"/>
        <v>-1.8133066121107488E-2</v>
      </c>
      <c r="G1313">
        <f t="shared" si="47"/>
        <v>-3.0551761457950747E-2</v>
      </c>
    </row>
    <row r="1314" spans="1:7" x14ac:dyDescent="0.35">
      <c r="A1314" t="s">
        <v>78</v>
      </c>
      <c r="E1314">
        <v>-6.4141158924433421E-3</v>
      </c>
      <c r="F1314">
        <f t="shared" si="46"/>
        <v>-1.8133902695864079E-2</v>
      </c>
      <c r="G1314">
        <f t="shared" si="47"/>
        <v>-3.0551761457950747E-2</v>
      </c>
    </row>
    <row r="1315" spans="1:7" x14ac:dyDescent="0.35">
      <c r="A1315" t="s">
        <v>78</v>
      </c>
      <c r="E1315">
        <v>6.7635710442838018E-3</v>
      </c>
      <c r="F1315">
        <f t="shared" si="46"/>
        <v>-1.8134739270620669E-2</v>
      </c>
      <c r="G1315">
        <f t="shared" si="47"/>
        <v>-3.0551761457950747E-2</v>
      </c>
    </row>
    <row r="1316" spans="1:7" x14ac:dyDescent="0.35">
      <c r="A1316" t="s">
        <v>78</v>
      </c>
      <c r="E1316">
        <v>1.2519216927299808E-3</v>
      </c>
      <c r="F1316">
        <f t="shared" si="46"/>
        <v>-1.8135575845377259E-2</v>
      </c>
      <c r="G1316">
        <f t="shared" si="47"/>
        <v>-3.0551761457950747E-2</v>
      </c>
    </row>
    <row r="1317" spans="1:7" x14ac:dyDescent="0.35">
      <c r="A1317" t="s">
        <v>78</v>
      </c>
      <c r="E1317">
        <v>9.9172126798117398E-3</v>
      </c>
      <c r="F1317">
        <f t="shared" si="46"/>
        <v>-1.8136412420133849E-2</v>
      </c>
      <c r="G1317">
        <f t="shared" si="47"/>
        <v>-3.0551761457950747E-2</v>
      </c>
    </row>
    <row r="1318" spans="1:7" x14ac:dyDescent="0.35">
      <c r="A1318" t="s">
        <v>78</v>
      </c>
      <c r="E1318">
        <v>-1.3720406485465901E-2</v>
      </c>
      <c r="F1318">
        <f t="shared" si="46"/>
        <v>-1.8137248994890439E-2</v>
      </c>
      <c r="G1318">
        <f t="shared" si="47"/>
        <v>-3.0551761457950747E-2</v>
      </c>
    </row>
    <row r="1319" spans="1:7" x14ac:dyDescent="0.35">
      <c r="A1319" t="s">
        <v>78</v>
      </c>
      <c r="E1319">
        <v>6.2768750272621174E-3</v>
      </c>
      <c r="F1319">
        <f t="shared" si="46"/>
        <v>-1.8138085569647029E-2</v>
      </c>
      <c r="G1319">
        <f t="shared" si="47"/>
        <v>-3.0551761457950747E-2</v>
      </c>
    </row>
    <row r="1320" spans="1:7" x14ac:dyDescent="0.35">
      <c r="A1320" t="s">
        <v>78</v>
      </c>
      <c r="E1320">
        <v>-1.4254135083165255E-2</v>
      </c>
      <c r="F1320">
        <f t="shared" si="46"/>
        <v>-1.8138922144403619E-2</v>
      </c>
      <c r="G1320">
        <f t="shared" si="47"/>
        <v>-3.0551761457950747E-2</v>
      </c>
    </row>
    <row r="1321" spans="1:7" x14ac:dyDescent="0.35">
      <c r="A1321" t="s">
        <v>78</v>
      </c>
      <c r="E1321">
        <v>-2.1967615489161305E-2</v>
      </c>
      <c r="F1321">
        <f t="shared" si="46"/>
        <v>-1.8143200565998857E-2</v>
      </c>
      <c r="G1321">
        <f t="shared" si="47"/>
        <v>-3.0651865000801932E-2</v>
      </c>
    </row>
    <row r="1322" spans="1:7" x14ac:dyDescent="0.35">
      <c r="A1322" t="s">
        <v>78</v>
      </c>
      <c r="E1322">
        <v>2.2159699535787038E-3</v>
      </c>
      <c r="F1322">
        <f t="shared" si="46"/>
        <v>-1.8123863798784997E-2</v>
      </c>
      <c r="G1322">
        <f t="shared" si="47"/>
        <v>-3.0620988441570011E-2</v>
      </c>
    </row>
    <row r="1323" spans="1:7" x14ac:dyDescent="0.35">
      <c r="A1323" t="s">
        <v>78</v>
      </c>
      <c r="E1323">
        <v>3.306020049869345E-3</v>
      </c>
      <c r="F1323">
        <f t="shared" si="46"/>
        <v>-1.8124700373541587E-2</v>
      </c>
      <c r="G1323">
        <f t="shared" si="47"/>
        <v>-3.0620988441570011E-2</v>
      </c>
    </row>
    <row r="1324" spans="1:7" x14ac:dyDescent="0.35">
      <c r="A1324" t="s">
        <v>78</v>
      </c>
      <c r="E1324">
        <v>-2.0244075007411701E-3</v>
      </c>
      <c r="F1324">
        <f t="shared" si="46"/>
        <v>-1.8125536948298177E-2</v>
      </c>
      <c r="G1324">
        <f t="shared" si="47"/>
        <v>-3.0620988441570011E-2</v>
      </c>
    </row>
    <row r="1325" spans="1:7" x14ac:dyDescent="0.35">
      <c r="A1325" t="s">
        <v>78</v>
      </c>
      <c r="E1325">
        <v>2.3307787112468773E-3</v>
      </c>
      <c r="F1325">
        <f t="shared" si="46"/>
        <v>-1.8126373523054767E-2</v>
      </c>
      <c r="G1325">
        <f t="shared" si="47"/>
        <v>-3.0620988441570011E-2</v>
      </c>
    </row>
    <row r="1326" spans="1:7" x14ac:dyDescent="0.35">
      <c r="A1326" t="s">
        <v>78</v>
      </c>
      <c r="E1326">
        <v>6.9425341646596628E-3</v>
      </c>
      <c r="F1326">
        <f t="shared" si="46"/>
        <v>-1.8127210097811357E-2</v>
      </c>
      <c r="G1326">
        <f t="shared" si="47"/>
        <v>-3.0620988441570011E-2</v>
      </c>
    </row>
    <row r="1327" spans="1:7" x14ac:dyDescent="0.35">
      <c r="A1327" t="s">
        <v>78</v>
      </c>
      <c r="E1327">
        <v>1.1648133910916384E-2</v>
      </c>
      <c r="F1327">
        <f t="shared" si="46"/>
        <v>-1.8128046672567948E-2</v>
      </c>
      <c r="G1327">
        <f t="shared" si="47"/>
        <v>-3.0620988441570011E-2</v>
      </c>
    </row>
    <row r="1328" spans="1:7" x14ac:dyDescent="0.35">
      <c r="A1328" t="s">
        <v>78</v>
      </c>
      <c r="E1328">
        <v>-2.7959532836944537E-3</v>
      </c>
      <c r="F1328">
        <f t="shared" si="46"/>
        <v>-1.8128883247324538E-2</v>
      </c>
      <c r="G1328">
        <f t="shared" si="47"/>
        <v>-3.0620988441570011E-2</v>
      </c>
    </row>
    <row r="1329" spans="1:7" x14ac:dyDescent="0.35">
      <c r="A1329" t="s">
        <v>78</v>
      </c>
      <c r="E1329">
        <v>-1.9907907784778568E-2</v>
      </c>
      <c r="F1329">
        <f t="shared" si="46"/>
        <v>-1.8129719822081128E-2</v>
      </c>
      <c r="G1329">
        <f t="shared" si="47"/>
        <v>-3.0620988441570011E-2</v>
      </c>
    </row>
    <row r="1330" spans="1:7" x14ac:dyDescent="0.35">
      <c r="A1330" t="s">
        <v>78</v>
      </c>
      <c r="E1330">
        <v>5.3593629791099534E-4</v>
      </c>
      <c r="F1330">
        <f t="shared" si="46"/>
        <v>-1.8078956965514592E-2</v>
      </c>
      <c r="G1330">
        <f t="shared" si="47"/>
        <v>-3.0606587496928829E-2</v>
      </c>
    </row>
    <row r="1331" spans="1:7" x14ac:dyDescent="0.35">
      <c r="A1331" t="s">
        <v>79</v>
      </c>
      <c r="B1331" s="3" cm="1">
        <f t="array" ref="B1331">_xlfn.STDEV.S(_xlfn._xlws.FILTER($E$1000:$E$1998, $A$1000:$A$1998="2015-05"))</f>
        <v>1.279340557577999E-2</v>
      </c>
      <c r="C1331" s="3" cm="1">
        <f t="array" ref="C1331">AVERAGE(_xlfn._xlws.FILTER($E$1000:$E$1998, $A$1000:$A$1998="2015-05"))</f>
        <v>-8.2292922472983491E-4</v>
      </c>
      <c r="D1331" s="3" cm="1">
        <f t="array" ref="D1331">_xlfn.PERCENTILE.INC(_xlfn._xlws.FILTER($E$1000:$E$1497, $A$1000:$A$1497="2015-05"), 0.05)</f>
        <v>-2.4486617492019885E-2</v>
      </c>
      <c r="E1331">
        <v>-2.3947172449857803E-2</v>
      </c>
      <c r="F1331">
        <f t="shared" si="46"/>
        <v>-1.8083280333890315E-2</v>
      </c>
      <c r="G1331">
        <f t="shared" si="47"/>
        <v>-3.0606587496928829E-2</v>
      </c>
    </row>
    <row r="1332" spans="1:7" x14ac:dyDescent="0.35">
      <c r="A1332" t="s">
        <v>79</v>
      </c>
      <c r="E1332">
        <v>4.3089585145312083E-3</v>
      </c>
      <c r="F1332">
        <f t="shared" si="46"/>
        <v>-1.8032592060055429E-2</v>
      </c>
      <c r="G1332">
        <f t="shared" si="47"/>
        <v>-3.0558914519766733E-2</v>
      </c>
    </row>
    <row r="1333" spans="1:7" x14ac:dyDescent="0.35">
      <c r="A1333" t="s">
        <v>79</v>
      </c>
      <c r="E1333">
        <v>1.494815418046165E-3</v>
      </c>
      <c r="F1333">
        <f t="shared" si="46"/>
        <v>-1.803298346276817E-2</v>
      </c>
      <c r="G1333">
        <f t="shared" si="47"/>
        <v>-3.0558914519766733E-2</v>
      </c>
    </row>
    <row r="1334" spans="1:7" x14ac:dyDescent="0.35">
      <c r="A1334" t="s">
        <v>79</v>
      </c>
      <c r="E1334">
        <v>2.1624377231404014E-2</v>
      </c>
      <c r="F1334">
        <f t="shared" si="46"/>
        <v>-1.8033374865480914E-2</v>
      </c>
      <c r="G1334">
        <f t="shared" si="47"/>
        <v>-3.0558914519766733E-2</v>
      </c>
    </row>
    <row r="1335" spans="1:7" x14ac:dyDescent="0.35">
      <c r="A1335" t="s">
        <v>79</v>
      </c>
      <c r="E1335">
        <v>1.8451722512867125E-3</v>
      </c>
      <c r="F1335">
        <f t="shared" si="46"/>
        <v>-1.8033766268193654E-2</v>
      </c>
      <c r="G1335">
        <f t="shared" si="47"/>
        <v>-3.0558914519766733E-2</v>
      </c>
    </row>
    <row r="1336" spans="1:7" x14ac:dyDescent="0.35">
      <c r="A1336" t="s">
        <v>79</v>
      </c>
      <c r="E1336">
        <v>-1.0822122100145206E-2</v>
      </c>
      <c r="F1336">
        <f t="shared" si="46"/>
        <v>-1.8034157670906398E-2</v>
      </c>
      <c r="G1336">
        <f t="shared" si="47"/>
        <v>-3.0558914519766733E-2</v>
      </c>
    </row>
    <row r="1337" spans="1:7" x14ac:dyDescent="0.35">
      <c r="A1337" t="s">
        <v>79</v>
      </c>
      <c r="E1337">
        <v>1.7662227606047751E-4</v>
      </c>
      <c r="F1337">
        <f t="shared" si="46"/>
        <v>-1.8034549073619139E-2</v>
      </c>
      <c r="G1337">
        <f t="shared" si="47"/>
        <v>-3.0558914519766733E-2</v>
      </c>
    </row>
    <row r="1338" spans="1:7" x14ac:dyDescent="0.35">
      <c r="A1338" t="s">
        <v>79</v>
      </c>
      <c r="E1338">
        <v>6.5219631532069952E-3</v>
      </c>
      <c r="F1338">
        <f t="shared" si="46"/>
        <v>-1.8034940476331883E-2</v>
      </c>
      <c r="G1338">
        <f t="shared" si="47"/>
        <v>-3.0558914519766733E-2</v>
      </c>
    </row>
    <row r="1339" spans="1:7" x14ac:dyDescent="0.35">
      <c r="A1339" t="s">
        <v>79</v>
      </c>
      <c r="E1339">
        <v>-7.1667853857002549E-3</v>
      </c>
      <c r="F1339">
        <f t="shared" si="46"/>
        <v>-1.8035331879044623E-2</v>
      </c>
      <c r="G1339">
        <f t="shared" si="47"/>
        <v>-3.0558914519766733E-2</v>
      </c>
    </row>
    <row r="1340" spans="1:7" x14ac:dyDescent="0.35">
      <c r="A1340" t="s">
        <v>79</v>
      </c>
      <c r="E1340">
        <v>2.4445898072696687E-3</v>
      </c>
      <c r="F1340">
        <f t="shared" si="46"/>
        <v>-1.8035723281757367E-2</v>
      </c>
      <c r="G1340">
        <f t="shared" si="47"/>
        <v>-3.0558914519766733E-2</v>
      </c>
    </row>
    <row r="1341" spans="1:7" x14ac:dyDescent="0.35">
      <c r="A1341" t="s">
        <v>79</v>
      </c>
      <c r="E1341">
        <v>1.3369897134732345E-2</v>
      </c>
      <c r="F1341">
        <f t="shared" si="46"/>
        <v>-1.804004665013309E-2</v>
      </c>
      <c r="G1341">
        <f t="shared" si="47"/>
        <v>-3.0660729082677377E-2</v>
      </c>
    </row>
    <row r="1342" spans="1:7" x14ac:dyDescent="0.35">
      <c r="A1342" t="s">
        <v>79</v>
      </c>
      <c r="E1342">
        <v>6.622827803080952E-3</v>
      </c>
      <c r="F1342">
        <f t="shared" si="46"/>
        <v>-1.8044370018508813E-2</v>
      </c>
      <c r="G1342">
        <f t="shared" si="47"/>
        <v>-3.0660729082677377E-2</v>
      </c>
    </row>
    <row r="1343" spans="1:7" x14ac:dyDescent="0.35">
      <c r="A1343" t="s">
        <v>79</v>
      </c>
      <c r="E1343">
        <v>1.8386245711350736E-3</v>
      </c>
      <c r="F1343">
        <f t="shared" si="46"/>
        <v>-1.8048693386884532E-2</v>
      </c>
      <c r="G1343">
        <f t="shared" si="47"/>
        <v>-3.0660729082677377E-2</v>
      </c>
    </row>
    <row r="1344" spans="1:7" x14ac:dyDescent="0.35">
      <c r="A1344" t="s">
        <v>79</v>
      </c>
      <c r="E1344">
        <v>-3.5594605089933227E-3</v>
      </c>
      <c r="F1344">
        <f t="shared" si="46"/>
        <v>-1.8053016755260255E-2</v>
      </c>
      <c r="G1344">
        <f t="shared" si="47"/>
        <v>-3.0660729082677377E-2</v>
      </c>
    </row>
    <row r="1345" spans="1:7" x14ac:dyDescent="0.35">
      <c r="A1345" t="s">
        <v>79</v>
      </c>
      <c r="E1345">
        <v>-2.7543472730938347E-2</v>
      </c>
      <c r="F1345">
        <f t="shared" si="46"/>
        <v>-1.8057340123635982E-2</v>
      </c>
      <c r="G1345">
        <f t="shared" si="47"/>
        <v>-3.0660729082677377E-2</v>
      </c>
    </row>
    <row r="1346" spans="1:7" x14ac:dyDescent="0.35">
      <c r="A1346" t="s">
        <v>79</v>
      </c>
      <c r="E1346">
        <v>1.683217664557473E-2</v>
      </c>
      <c r="F1346">
        <f t="shared" si="46"/>
        <v>-1.8030243643778976E-2</v>
      </c>
      <c r="G1346">
        <f t="shared" si="47"/>
        <v>-3.0583430306667773E-2</v>
      </c>
    </row>
    <row r="1347" spans="1:7" x14ac:dyDescent="0.35">
      <c r="A1347" t="s">
        <v>79</v>
      </c>
      <c r="E1347">
        <v>-4.2342670182891557E-3</v>
      </c>
      <c r="F1347">
        <f t="shared" si="46"/>
        <v>-1.8030635046491716E-2</v>
      </c>
      <c r="G1347">
        <f t="shared" si="47"/>
        <v>-3.0583430306667773E-2</v>
      </c>
    </row>
    <row r="1348" spans="1:7" x14ac:dyDescent="0.35">
      <c r="A1348" t="s">
        <v>79</v>
      </c>
      <c r="E1348">
        <v>-1.4619470657541277E-2</v>
      </c>
      <c r="F1348">
        <f t="shared" ref="F1348:F1411" si="48">_xlfn.PERCENTILE.EXC(E1348:E5163,0.05)</f>
        <v>-1.803102644920446E-2</v>
      </c>
      <c r="G1348">
        <f t="shared" ref="G1348:G1411" si="49">AVERAGEIFS(E1348:E5164,E1348:E5164,"&lt;=" &amp; F1348)</f>
        <v>-3.0583430306667773E-2</v>
      </c>
    </row>
    <row r="1349" spans="1:7" x14ac:dyDescent="0.35">
      <c r="A1349" t="s">
        <v>80</v>
      </c>
      <c r="B1349" s="3" cm="1">
        <f t="array" ref="B1349">_xlfn.STDEV.S(_xlfn._xlws.FILTER($E$1000:$E$1998, $A$1000:$A$1998="2015-06"))</f>
        <v>1.517492390654124E-2</v>
      </c>
      <c r="C1349" s="3" cm="1">
        <f t="array" ref="C1349">AVERAGE(_xlfn._xlws.FILTER($E$1000:$E$1998, $A$1000:$A$1998="2015-06"))</f>
        <v>-1.8529958470587865E-3</v>
      </c>
      <c r="D1349" s="3" cm="1">
        <f t="array" ref="D1349">_xlfn.PERCENTILE.EXC(_xlfn._xlws.FILTER($E$1000:$E$1497, $A$1000:$A$1497="2015-06"), 0.05)</f>
        <v>-4.2241813721455627E-2</v>
      </c>
      <c r="E1349">
        <v>1.8258175603447628E-3</v>
      </c>
      <c r="F1349">
        <f t="shared" si="48"/>
        <v>-1.8031417851917201E-2</v>
      </c>
      <c r="G1349">
        <f t="shared" si="49"/>
        <v>-3.0583430306667773E-2</v>
      </c>
    </row>
    <row r="1350" spans="1:7" x14ac:dyDescent="0.35">
      <c r="A1350" t="s">
        <v>80</v>
      </c>
      <c r="E1350">
        <v>2.9587529081456505E-3</v>
      </c>
      <c r="F1350">
        <f t="shared" si="48"/>
        <v>-1.8031809254629945E-2</v>
      </c>
      <c r="G1350">
        <f t="shared" si="49"/>
        <v>-3.0583430306667773E-2</v>
      </c>
    </row>
    <row r="1351" spans="1:7" x14ac:dyDescent="0.35">
      <c r="A1351" t="s">
        <v>80</v>
      </c>
      <c r="E1351">
        <v>-3.3719331256968103E-4</v>
      </c>
      <c r="F1351">
        <f t="shared" si="48"/>
        <v>-1.8032200657342685E-2</v>
      </c>
      <c r="G1351">
        <f t="shared" si="49"/>
        <v>-3.0583430306667773E-2</v>
      </c>
    </row>
    <row r="1352" spans="1:7" x14ac:dyDescent="0.35">
      <c r="A1352" t="s">
        <v>80</v>
      </c>
      <c r="E1352">
        <v>-1.0841689690930236E-2</v>
      </c>
      <c r="F1352">
        <f t="shared" si="48"/>
        <v>-1.8032592060055429E-2</v>
      </c>
      <c r="G1352">
        <f t="shared" si="49"/>
        <v>-3.0583430306667773E-2</v>
      </c>
    </row>
    <row r="1353" spans="1:7" x14ac:dyDescent="0.35">
      <c r="A1353" t="s">
        <v>80</v>
      </c>
      <c r="E1353">
        <v>-7.5738493630703738E-3</v>
      </c>
      <c r="F1353">
        <f t="shared" si="48"/>
        <v>-1.803298346276817E-2</v>
      </c>
      <c r="G1353">
        <f t="shared" si="49"/>
        <v>-3.0583430306667773E-2</v>
      </c>
    </row>
    <row r="1354" spans="1:7" x14ac:dyDescent="0.35">
      <c r="A1354" t="s">
        <v>80</v>
      </c>
      <c r="E1354">
        <v>-1.3167124574980048E-2</v>
      </c>
      <c r="F1354">
        <f t="shared" si="48"/>
        <v>-1.8033374865480914E-2</v>
      </c>
      <c r="G1354">
        <f t="shared" si="49"/>
        <v>-3.0583430306667773E-2</v>
      </c>
    </row>
    <row r="1355" spans="1:7" x14ac:dyDescent="0.35">
      <c r="A1355" t="s">
        <v>80</v>
      </c>
      <c r="E1355">
        <v>1.9034203244858189E-3</v>
      </c>
      <c r="F1355">
        <f t="shared" si="48"/>
        <v>-1.8033766268193654E-2</v>
      </c>
      <c r="G1355">
        <f t="shared" si="49"/>
        <v>-3.0583430306667773E-2</v>
      </c>
    </row>
    <row r="1356" spans="1:7" x14ac:dyDescent="0.35">
      <c r="A1356" t="s">
        <v>80</v>
      </c>
      <c r="E1356">
        <v>1.446775040406121E-2</v>
      </c>
      <c r="F1356">
        <f t="shared" si="48"/>
        <v>-1.8034157670906398E-2</v>
      </c>
      <c r="G1356">
        <f t="shared" si="49"/>
        <v>-3.0583430306667773E-2</v>
      </c>
    </row>
    <row r="1357" spans="1:7" x14ac:dyDescent="0.35">
      <c r="A1357" t="s">
        <v>80</v>
      </c>
      <c r="E1357">
        <v>5.3203565748331152E-3</v>
      </c>
      <c r="F1357">
        <f t="shared" si="48"/>
        <v>-1.8034549073619139E-2</v>
      </c>
      <c r="G1357">
        <f t="shared" si="49"/>
        <v>-3.0583430306667773E-2</v>
      </c>
    </row>
    <row r="1358" spans="1:7" x14ac:dyDescent="0.35">
      <c r="A1358" t="s">
        <v>80</v>
      </c>
      <c r="E1358">
        <v>-1.1376051147205695E-2</v>
      </c>
      <c r="F1358">
        <f t="shared" si="48"/>
        <v>-1.8034940476331883E-2</v>
      </c>
      <c r="G1358">
        <f t="shared" si="49"/>
        <v>-3.0583430306667773E-2</v>
      </c>
    </row>
    <row r="1359" spans="1:7" x14ac:dyDescent="0.35">
      <c r="A1359" t="s">
        <v>80</v>
      </c>
      <c r="E1359">
        <v>-1.7227458967551096E-2</v>
      </c>
      <c r="F1359">
        <f t="shared" si="48"/>
        <v>-1.8035331879044623E-2</v>
      </c>
      <c r="G1359">
        <f t="shared" si="49"/>
        <v>-3.0583430306667773E-2</v>
      </c>
    </row>
    <row r="1360" spans="1:7" x14ac:dyDescent="0.35">
      <c r="A1360" t="s">
        <v>80</v>
      </c>
      <c r="E1360">
        <v>2.6987835018500712E-3</v>
      </c>
      <c r="F1360">
        <f t="shared" si="48"/>
        <v>-1.8035723281757367E-2</v>
      </c>
      <c r="G1360">
        <f t="shared" si="49"/>
        <v>-3.0583430306667773E-2</v>
      </c>
    </row>
    <row r="1361" spans="1:7" x14ac:dyDescent="0.35">
      <c r="A1361" t="s">
        <v>80</v>
      </c>
      <c r="E1361">
        <v>-5.3493818997688283E-3</v>
      </c>
      <c r="F1361">
        <f t="shared" si="48"/>
        <v>-1.804004665013309E-2</v>
      </c>
      <c r="G1361">
        <f t="shared" si="49"/>
        <v>-3.0686280364249006E-2</v>
      </c>
    </row>
    <row r="1362" spans="1:7" x14ac:dyDescent="0.35">
      <c r="A1362" t="s">
        <v>80</v>
      </c>
      <c r="E1362">
        <v>5.395373078668832E-3</v>
      </c>
      <c r="F1362">
        <f t="shared" si="48"/>
        <v>-1.8044370018508813E-2</v>
      </c>
      <c r="G1362">
        <f t="shared" si="49"/>
        <v>-3.0686280364249006E-2</v>
      </c>
    </row>
    <row r="1363" spans="1:7" x14ac:dyDescent="0.35">
      <c r="A1363" t="s">
        <v>80</v>
      </c>
      <c r="E1363">
        <v>6.6372939183068792E-3</v>
      </c>
      <c r="F1363">
        <f t="shared" si="48"/>
        <v>-1.8048693386884532E-2</v>
      </c>
      <c r="G1363">
        <f t="shared" si="49"/>
        <v>-3.0686280364249006E-2</v>
      </c>
    </row>
    <row r="1364" spans="1:7" x14ac:dyDescent="0.35">
      <c r="A1364" t="s">
        <v>80</v>
      </c>
      <c r="E1364">
        <v>3.800121109904777E-2</v>
      </c>
      <c r="F1364">
        <f t="shared" si="48"/>
        <v>-1.8053016755260255E-2</v>
      </c>
      <c r="G1364">
        <f t="shared" si="49"/>
        <v>-3.0686280364249006E-2</v>
      </c>
    </row>
    <row r="1365" spans="1:7" x14ac:dyDescent="0.35">
      <c r="A1365" t="s">
        <v>80</v>
      </c>
      <c r="E1365">
        <v>3.0126457194840513E-3</v>
      </c>
      <c r="F1365">
        <f t="shared" si="48"/>
        <v>-1.8057340123635982E-2</v>
      </c>
      <c r="G1365">
        <f t="shared" si="49"/>
        <v>-3.0686280364249006E-2</v>
      </c>
    </row>
    <row r="1366" spans="1:7" x14ac:dyDescent="0.35">
      <c r="A1366" t="s">
        <v>80</v>
      </c>
      <c r="E1366">
        <v>-7.0937263900293914E-3</v>
      </c>
      <c r="F1366">
        <f t="shared" si="48"/>
        <v>-1.8061663492011701E-2</v>
      </c>
      <c r="G1366">
        <f t="shared" si="49"/>
        <v>-3.0686280364249006E-2</v>
      </c>
    </row>
    <row r="1367" spans="1:7" x14ac:dyDescent="0.35">
      <c r="A1367" t="s">
        <v>80</v>
      </c>
      <c r="E1367">
        <v>-1.1930908208374346E-3</v>
      </c>
      <c r="F1367">
        <f t="shared" si="48"/>
        <v>-1.8065986860387424E-2</v>
      </c>
      <c r="G1367">
        <f t="shared" si="49"/>
        <v>-3.0686280364249006E-2</v>
      </c>
    </row>
    <row r="1368" spans="1:7" x14ac:dyDescent="0.35">
      <c r="A1368" t="s">
        <v>80</v>
      </c>
      <c r="E1368">
        <v>5.6347616318305612E-3</v>
      </c>
      <c r="F1368">
        <f t="shared" si="48"/>
        <v>-1.8070310228763146E-2</v>
      </c>
      <c r="G1368">
        <f t="shared" si="49"/>
        <v>-3.0686280364249006E-2</v>
      </c>
    </row>
    <row r="1369" spans="1:7" x14ac:dyDescent="0.35">
      <c r="A1369" t="s">
        <v>80</v>
      </c>
      <c r="E1369">
        <v>-4.6656111619203494E-2</v>
      </c>
      <c r="F1369">
        <f t="shared" si="48"/>
        <v>-1.8074633597138869E-2</v>
      </c>
      <c r="G1369">
        <f t="shared" si="49"/>
        <v>-3.0686280364249006E-2</v>
      </c>
    </row>
    <row r="1370" spans="1:7" x14ac:dyDescent="0.35">
      <c r="A1370" t="s">
        <v>80</v>
      </c>
      <c r="E1370">
        <v>-7.8063975702057295E-3</v>
      </c>
      <c r="F1370">
        <f t="shared" si="48"/>
        <v>-1.8031809254629945E-2</v>
      </c>
      <c r="G1370">
        <f t="shared" si="49"/>
        <v>-3.0451687017220761E-2</v>
      </c>
    </row>
    <row r="1371" spans="1:7" x14ac:dyDescent="0.35">
      <c r="A1371" t="s">
        <v>81</v>
      </c>
      <c r="B1371" s="3" cm="1">
        <f t="array" ref="B1371">_xlfn.STDEV.S(_xlfn._xlws.FILTER($E$1000:$E$1998, $A$1000:$A$1998="2015-07"))</f>
        <v>1.3437680570584134E-2</v>
      </c>
      <c r="C1371" s="3" cm="1">
        <f t="array" ref="C1371">AVERAGE(_xlfn._xlws.FILTER($E$1000:$E$1998, $A$1000:$A$1998="2015-07"))</f>
        <v>1.6291744668887333E-3</v>
      </c>
      <c r="D1371" s="3" cm="1">
        <f t="array" ref="D1371">_xlfn.PERCENTILE.EXC(_xlfn._xlws.FILTER($E$1000:$E$1497, $A$1000:$A$1497="2015-07"), 0.05)</f>
        <v>-2.1706997189628489E-2</v>
      </c>
      <c r="E1371">
        <v>1.309921410164476E-2</v>
      </c>
      <c r="F1371">
        <f t="shared" si="48"/>
        <v>-1.8032200657342685E-2</v>
      </c>
      <c r="G1371">
        <f t="shared" si="49"/>
        <v>-3.0451687017220761E-2</v>
      </c>
    </row>
    <row r="1372" spans="1:7" x14ac:dyDescent="0.35">
      <c r="A1372" t="s">
        <v>81</v>
      </c>
      <c r="E1372">
        <v>-5.9840512423534036E-3</v>
      </c>
      <c r="F1372">
        <f t="shared" si="48"/>
        <v>-1.8032592060055429E-2</v>
      </c>
      <c r="G1372">
        <f t="shared" si="49"/>
        <v>-3.0451687017220761E-2</v>
      </c>
    </row>
    <row r="1373" spans="1:7" x14ac:dyDescent="0.35">
      <c r="A1373" t="s">
        <v>81</v>
      </c>
      <c r="E1373">
        <v>-6.1592152615155427E-3</v>
      </c>
      <c r="F1373">
        <f t="shared" si="48"/>
        <v>-1.803298346276817E-2</v>
      </c>
      <c r="G1373">
        <f t="shared" si="49"/>
        <v>-3.0451687017220761E-2</v>
      </c>
    </row>
    <row r="1374" spans="1:7" x14ac:dyDescent="0.35">
      <c r="A1374" t="s">
        <v>81</v>
      </c>
      <c r="E1374">
        <v>-2.2486981698805735E-2</v>
      </c>
      <c r="F1374">
        <f t="shared" si="48"/>
        <v>-1.8033374865480914E-2</v>
      </c>
      <c r="G1374">
        <f t="shared" si="49"/>
        <v>-3.0451687017220761E-2</v>
      </c>
    </row>
    <row r="1375" spans="1:7" x14ac:dyDescent="0.35">
      <c r="A1375" t="s">
        <v>81</v>
      </c>
      <c r="E1375">
        <v>-1.858705915291951E-2</v>
      </c>
      <c r="F1375">
        <f t="shared" si="48"/>
        <v>-1.8014227209036778E-2</v>
      </c>
      <c r="G1375">
        <f t="shared" si="49"/>
        <v>-3.0415137128111714E-2</v>
      </c>
    </row>
    <row r="1376" spans="1:7" x14ac:dyDescent="0.35">
      <c r="A1376" t="s">
        <v>81</v>
      </c>
      <c r="E1376">
        <v>8.1150602008309494E-3</v>
      </c>
      <c r="F1376">
        <f t="shared" si="48"/>
        <v>-1.7969065105439396E-2</v>
      </c>
      <c r="G1376">
        <f t="shared" si="49"/>
        <v>-3.0410105685494668E-2</v>
      </c>
    </row>
    <row r="1377" spans="1:7" x14ac:dyDescent="0.35">
      <c r="A1377" t="s">
        <v>81</v>
      </c>
      <c r="E1377">
        <v>2.6126661717873319E-2</v>
      </c>
      <c r="F1377">
        <f t="shared" si="48"/>
        <v>-1.7970104617489435E-2</v>
      </c>
      <c r="G1377">
        <f t="shared" si="49"/>
        <v>-3.0410105685494668E-2</v>
      </c>
    </row>
    <row r="1378" spans="1:7" x14ac:dyDescent="0.35">
      <c r="A1378" t="s">
        <v>81</v>
      </c>
      <c r="E1378">
        <v>3.0330024068036678E-2</v>
      </c>
      <c r="F1378">
        <f t="shared" si="48"/>
        <v>-1.7971144129539474E-2</v>
      </c>
      <c r="G1378">
        <f t="shared" si="49"/>
        <v>-3.0410105685494668E-2</v>
      </c>
    </row>
    <row r="1379" spans="1:7" x14ac:dyDescent="0.35">
      <c r="A1379" t="s">
        <v>81</v>
      </c>
      <c r="E1379">
        <v>1.69004440327125E-2</v>
      </c>
      <c r="F1379">
        <f t="shared" si="48"/>
        <v>-1.797218364158951E-2</v>
      </c>
      <c r="G1379">
        <f t="shared" si="49"/>
        <v>-3.0410105685494668E-2</v>
      </c>
    </row>
    <row r="1380" spans="1:7" x14ac:dyDescent="0.35">
      <c r="A1380" t="s">
        <v>81</v>
      </c>
      <c r="E1380">
        <v>3.0334728031926796E-3</v>
      </c>
      <c r="F1380">
        <f t="shared" si="48"/>
        <v>-1.7973223153639549E-2</v>
      </c>
      <c r="G1380">
        <f t="shared" si="49"/>
        <v>-3.0410105685494668E-2</v>
      </c>
    </row>
    <row r="1381" spans="1:7" x14ac:dyDescent="0.35">
      <c r="A1381" t="s">
        <v>81</v>
      </c>
      <c r="E1381">
        <v>6.8514032728956079E-3</v>
      </c>
      <c r="F1381">
        <f t="shared" si="48"/>
        <v>-1.7975956757332698E-2</v>
      </c>
      <c r="G1381">
        <f t="shared" si="49"/>
        <v>-3.0512889838650498E-2</v>
      </c>
    </row>
    <row r="1382" spans="1:7" x14ac:dyDescent="0.35">
      <c r="A1382" t="s">
        <v>81</v>
      </c>
      <c r="E1382">
        <v>1.5311312282118725E-2</v>
      </c>
      <c r="F1382">
        <f t="shared" si="48"/>
        <v>-1.7978690361025847E-2</v>
      </c>
      <c r="G1382">
        <f t="shared" si="49"/>
        <v>-3.0512889838650498E-2</v>
      </c>
    </row>
    <row r="1383" spans="1:7" x14ac:dyDescent="0.35">
      <c r="A1383" t="s">
        <v>81</v>
      </c>
      <c r="E1383">
        <v>-2.6009853167444719E-3</v>
      </c>
      <c r="F1383">
        <f t="shared" si="48"/>
        <v>-1.7981423964718996E-2</v>
      </c>
      <c r="G1383">
        <f t="shared" si="49"/>
        <v>-3.0512889838650498E-2</v>
      </c>
    </row>
    <row r="1384" spans="1:7" x14ac:dyDescent="0.35">
      <c r="A1384" t="s">
        <v>81</v>
      </c>
      <c r="E1384">
        <v>6.5460714376342991E-3</v>
      </c>
      <c r="F1384">
        <f t="shared" si="48"/>
        <v>-1.7984157568412144E-2</v>
      </c>
      <c r="G1384">
        <f t="shared" si="49"/>
        <v>-3.0512889838650498E-2</v>
      </c>
    </row>
    <row r="1385" spans="1:7" x14ac:dyDescent="0.35">
      <c r="A1385" t="s">
        <v>81</v>
      </c>
      <c r="E1385">
        <v>-8.4728963047811072E-3</v>
      </c>
      <c r="F1385">
        <f t="shared" si="48"/>
        <v>-1.7986891172105293E-2</v>
      </c>
      <c r="G1385">
        <f t="shared" si="49"/>
        <v>-3.0512889838650498E-2</v>
      </c>
    </row>
    <row r="1386" spans="1:7" x14ac:dyDescent="0.35">
      <c r="A1386" t="s">
        <v>81</v>
      </c>
      <c r="E1386">
        <v>2.2403454445026234E-3</v>
      </c>
      <c r="F1386">
        <f t="shared" si="48"/>
        <v>-1.7989624775798442E-2</v>
      </c>
      <c r="G1386">
        <f t="shared" si="49"/>
        <v>-3.0512889838650498E-2</v>
      </c>
    </row>
    <row r="1387" spans="1:7" x14ac:dyDescent="0.35">
      <c r="A1387" t="s">
        <v>81</v>
      </c>
      <c r="E1387">
        <v>-3.6988291422663066E-3</v>
      </c>
      <c r="F1387">
        <f t="shared" si="48"/>
        <v>-1.7992358379491591E-2</v>
      </c>
      <c r="G1387">
        <f t="shared" si="49"/>
        <v>-3.0512889838650498E-2</v>
      </c>
    </row>
    <row r="1388" spans="1:7" x14ac:dyDescent="0.35">
      <c r="A1388" t="s">
        <v>81</v>
      </c>
      <c r="E1388">
        <v>-1.1656659995554557E-2</v>
      </c>
      <c r="F1388">
        <f t="shared" si="48"/>
        <v>-1.7995091983184736E-2</v>
      </c>
      <c r="G1388">
        <f t="shared" si="49"/>
        <v>-3.0512889838650498E-2</v>
      </c>
    </row>
    <row r="1389" spans="1:7" x14ac:dyDescent="0.35">
      <c r="A1389" t="s">
        <v>81</v>
      </c>
      <c r="E1389">
        <v>-1.4598539354120366E-2</v>
      </c>
      <c r="F1389">
        <f t="shared" si="48"/>
        <v>-1.7997825586877885E-2</v>
      </c>
      <c r="G1389">
        <f t="shared" si="49"/>
        <v>-3.0512889838650498E-2</v>
      </c>
    </row>
    <row r="1390" spans="1:7" x14ac:dyDescent="0.35">
      <c r="A1390" t="s">
        <v>81</v>
      </c>
      <c r="E1390">
        <v>9.5545825037886972E-3</v>
      </c>
      <c r="F1390">
        <f t="shared" si="48"/>
        <v>-1.8000559190571037E-2</v>
      </c>
      <c r="G1390">
        <f t="shared" si="49"/>
        <v>-3.0512889838650498E-2</v>
      </c>
    </row>
    <row r="1391" spans="1:7" x14ac:dyDescent="0.35">
      <c r="A1391" t="s">
        <v>81</v>
      </c>
      <c r="E1391">
        <v>2.706865994515631E-3</v>
      </c>
      <c r="F1391">
        <f t="shared" si="48"/>
        <v>-1.8003292794264183E-2</v>
      </c>
      <c r="G1391">
        <f t="shared" si="49"/>
        <v>-3.0512889838650498E-2</v>
      </c>
    </row>
    <row r="1392" spans="1:7" x14ac:dyDescent="0.35">
      <c r="A1392" t="s">
        <v>81</v>
      </c>
      <c r="E1392">
        <v>-1.0182035720707123E-2</v>
      </c>
      <c r="F1392">
        <f t="shared" si="48"/>
        <v>-1.8006026397957332E-2</v>
      </c>
      <c r="G1392">
        <f t="shared" si="49"/>
        <v>-3.0512889838650498E-2</v>
      </c>
    </row>
    <row r="1393" spans="1:7" x14ac:dyDescent="0.35">
      <c r="A1393" t="s">
        <v>81</v>
      </c>
      <c r="E1393">
        <v>1.0828080684625262E-3</v>
      </c>
      <c r="F1393">
        <f t="shared" si="48"/>
        <v>-1.800876000165048E-2</v>
      </c>
      <c r="G1393">
        <f t="shared" si="49"/>
        <v>-3.0512889838650498E-2</v>
      </c>
    </row>
    <row r="1394" spans="1:7" x14ac:dyDescent="0.35">
      <c r="A1394" t="s">
        <v>82</v>
      </c>
      <c r="B1394" s="3" cm="1">
        <f t="array" ref="B1394">_xlfn.STDEV.S(_xlfn._xlws.FILTER($E$1000:$E$1998, $A$1000:$A$1998="2015-08"))</f>
        <v>1.9887605172493578E-2</v>
      </c>
      <c r="C1394" s="3" cm="1">
        <f t="array" ref="C1394">AVERAGE(_xlfn._xlws.FILTER($E$1000:$E$1998, $A$1000:$A$1998="2015-08"))</f>
        <v>-3.8461201936207078E-3</v>
      </c>
      <c r="D1394" s="3" cm="1">
        <f t="array" ref="D1394">_xlfn.PERCENTILE.EXC(_xlfn._xlws.FILTER($E$1000:$E$1497, $A$1000:$A$1497="2015-08"), 0.05)</f>
        <v>-5.0387848366620192E-2</v>
      </c>
      <c r="E1394">
        <v>7.5913865945465989E-3</v>
      </c>
      <c r="F1394">
        <f t="shared" si="48"/>
        <v>-1.8011493605343629E-2</v>
      </c>
      <c r="G1394">
        <f t="shared" si="49"/>
        <v>-3.0512889838650498E-2</v>
      </c>
    </row>
    <row r="1395" spans="1:7" x14ac:dyDescent="0.35">
      <c r="A1395" t="s">
        <v>82</v>
      </c>
      <c r="E1395">
        <v>-1.029612421822452E-2</v>
      </c>
      <c r="F1395">
        <f t="shared" si="48"/>
        <v>-1.8014227209036778E-2</v>
      </c>
      <c r="G1395">
        <f t="shared" si="49"/>
        <v>-3.0512889838650498E-2</v>
      </c>
    </row>
    <row r="1396" spans="1:7" x14ac:dyDescent="0.35">
      <c r="A1396" t="s">
        <v>82</v>
      </c>
      <c r="E1396">
        <v>1.1502578896305682E-2</v>
      </c>
      <c r="F1396">
        <f t="shared" si="48"/>
        <v>-1.8016960812729927E-2</v>
      </c>
      <c r="G1396">
        <f t="shared" si="49"/>
        <v>-3.0512889838650498E-2</v>
      </c>
    </row>
    <row r="1397" spans="1:7" x14ac:dyDescent="0.35">
      <c r="A1397" t="s">
        <v>82</v>
      </c>
      <c r="E1397">
        <v>-2.2988413849919895E-3</v>
      </c>
      <c r="F1397">
        <f t="shared" si="48"/>
        <v>-1.8019694416423076E-2</v>
      </c>
      <c r="G1397">
        <f t="shared" si="49"/>
        <v>-3.0512889838650498E-2</v>
      </c>
    </row>
    <row r="1398" spans="1:7" x14ac:dyDescent="0.35">
      <c r="A1398" t="s">
        <v>82</v>
      </c>
      <c r="E1398">
        <v>-6.7226244854841433E-3</v>
      </c>
      <c r="F1398">
        <f t="shared" si="48"/>
        <v>-1.8022428020116225E-2</v>
      </c>
      <c r="G1398">
        <f t="shared" si="49"/>
        <v>-3.0512889838650498E-2</v>
      </c>
    </row>
    <row r="1399" spans="1:7" x14ac:dyDescent="0.35">
      <c r="A1399" t="s">
        <v>82</v>
      </c>
      <c r="E1399">
        <v>1.1872135317483322E-2</v>
      </c>
      <c r="F1399">
        <f t="shared" si="48"/>
        <v>-1.8025161623809374E-2</v>
      </c>
      <c r="G1399">
        <f t="shared" si="49"/>
        <v>-3.0512889838650498E-2</v>
      </c>
    </row>
    <row r="1400" spans="1:7" x14ac:dyDescent="0.35">
      <c r="A1400" t="s">
        <v>82</v>
      </c>
      <c r="E1400">
        <v>-1.4191833632701665E-2</v>
      </c>
      <c r="F1400">
        <f t="shared" si="48"/>
        <v>-1.8027895227502522E-2</v>
      </c>
      <c r="G1400">
        <f t="shared" si="49"/>
        <v>-3.0512889838650498E-2</v>
      </c>
    </row>
    <row r="1401" spans="1:7" x14ac:dyDescent="0.35">
      <c r="A1401" t="s">
        <v>82</v>
      </c>
      <c r="E1401">
        <v>-2.4710322098618072E-2</v>
      </c>
      <c r="F1401">
        <f t="shared" si="48"/>
        <v>-1.8028286630215263E-2</v>
      </c>
      <c r="G1401">
        <f t="shared" si="49"/>
        <v>-3.0616931460410061E-2</v>
      </c>
    </row>
    <row r="1402" spans="1:7" x14ac:dyDescent="0.35">
      <c r="A1402" t="s">
        <v>82</v>
      </c>
      <c r="E1402">
        <v>6.2122244862699095E-3</v>
      </c>
      <c r="F1402">
        <f t="shared" si="48"/>
        <v>-1.7978690361025847E-2</v>
      </c>
      <c r="G1402">
        <f t="shared" si="49"/>
        <v>-3.0561244569817438E-2</v>
      </c>
    </row>
    <row r="1403" spans="1:7" x14ac:dyDescent="0.35">
      <c r="A1403" t="s">
        <v>82</v>
      </c>
      <c r="E1403">
        <v>-6.2857559255892334E-3</v>
      </c>
      <c r="F1403">
        <f t="shared" si="48"/>
        <v>-1.7981423964718996E-2</v>
      </c>
      <c r="G1403">
        <f t="shared" si="49"/>
        <v>-3.0561244569817438E-2</v>
      </c>
    </row>
    <row r="1404" spans="1:7" x14ac:dyDescent="0.35">
      <c r="A1404" t="s">
        <v>82</v>
      </c>
      <c r="E1404">
        <v>1.9284106694194545E-3</v>
      </c>
      <c r="F1404">
        <f t="shared" si="48"/>
        <v>-1.7984157568412144E-2</v>
      </c>
      <c r="G1404">
        <f t="shared" si="49"/>
        <v>-3.0561244569817438E-2</v>
      </c>
    </row>
    <row r="1405" spans="1:7" x14ac:dyDescent="0.35">
      <c r="A1405" t="s">
        <v>82</v>
      </c>
      <c r="E1405">
        <v>-2.2020166891735269E-4</v>
      </c>
      <c r="F1405">
        <f t="shared" si="48"/>
        <v>-1.7986891172105293E-2</v>
      </c>
      <c r="G1405">
        <f t="shared" si="49"/>
        <v>-3.0561244569817438E-2</v>
      </c>
    </row>
    <row r="1406" spans="1:7" x14ac:dyDescent="0.35">
      <c r="A1406" t="s">
        <v>82</v>
      </c>
      <c r="E1406">
        <v>-1.0654934913395822E-2</v>
      </c>
      <c r="F1406">
        <f t="shared" si="48"/>
        <v>-1.7989624775798442E-2</v>
      </c>
      <c r="G1406">
        <f t="shared" si="49"/>
        <v>-3.0561244569817438E-2</v>
      </c>
    </row>
    <row r="1407" spans="1:7" x14ac:dyDescent="0.35">
      <c r="A1407" t="s">
        <v>82</v>
      </c>
      <c r="E1407">
        <v>-1.8288341848572753E-2</v>
      </c>
      <c r="F1407">
        <f t="shared" si="48"/>
        <v>-1.7992358379491591E-2</v>
      </c>
      <c r="G1407">
        <f t="shared" si="49"/>
        <v>-3.0561244569817438E-2</v>
      </c>
    </row>
    <row r="1408" spans="1:7" x14ac:dyDescent="0.35">
      <c r="A1408" t="s">
        <v>82</v>
      </c>
      <c r="E1408">
        <v>-3.0234292447605983E-2</v>
      </c>
      <c r="F1408">
        <f t="shared" si="48"/>
        <v>-1.7960749009039094E-2</v>
      </c>
      <c r="G1408">
        <f t="shared" si="49"/>
        <v>-3.0558618580692989E-2</v>
      </c>
    </row>
    <row r="1409" spans="1:7" x14ac:dyDescent="0.35">
      <c r="A1409" t="s">
        <v>82</v>
      </c>
      <c r="E1409">
        <v>-5.1448561836041996E-2</v>
      </c>
      <c r="F1409">
        <f t="shared" si="48"/>
        <v>-1.7951090689358077E-2</v>
      </c>
      <c r="G1409">
        <f t="shared" si="49"/>
        <v>-3.045626975123493E-2</v>
      </c>
    </row>
    <row r="1410" spans="1:7" x14ac:dyDescent="0.35">
      <c r="A1410" t="s">
        <v>82</v>
      </c>
      <c r="E1410">
        <v>3.6115035990078675E-2</v>
      </c>
      <c r="F1410">
        <f t="shared" si="48"/>
        <v>-1.7930970003035614E-2</v>
      </c>
      <c r="G1410">
        <f t="shared" si="49"/>
        <v>-3.0177115006823525E-2</v>
      </c>
    </row>
    <row r="1411" spans="1:7" x14ac:dyDescent="0.35">
      <c r="A1411" t="s">
        <v>82</v>
      </c>
      <c r="E1411">
        <v>-1.3025124566364191E-2</v>
      </c>
      <c r="F1411">
        <f t="shared" si="48"/>
        <v>-1.7932872253399439E-2</v>
      </c>
      <c r="G1411">
        <f t="shared" si="49"/>
        <v>-3.0177115006823525E-2</v>
      </c>
    </row>
    <row r="1412" spans="1:7" x14ac:dyDescent="0.35">
      <c r="A1412" t="s">
        <v>82</v>
      </c>
      <c r="E1412">
        <v>3.0158095501732825E-2</v>
      </c>
      <c r="F1412">
        <f t="shared" ref="F1412:F1475" si="50">_xlfn.PERCENTILE.EXC(E1412:E5227,0.05)</f>
        <v>-1.7934774503763261E-2</v>
      </c>
      <c r="G1412">
        <f t="shared" ref="G1412:G1475" si="51">AVERAGEIFS(E1412:E5228,E1412:E5228,"&lt;=" &amp; F1412)</f>
        <v>-3.0177115006823525E-2</v>
      </c>
    </row>
    <row r="1413" spans="1:7" x14ac:dyDescent="0.35">
      <c r="A1413" t="s">
        <v>82</v>
      </c>
      <c r="E1413">
        <v>6.0746876982570707E-3</v>
      </c>
      <c r="F1413">
        <f t="shared" si="50"/>
        <v>-1.7936676754127086E-2</v>
      </c>
      <c r="G1413">
        <f t="shared" si="51"/>
        <v>-3.0177115006823525E-2</v>
      </c>
    </row>
    <row r="1414" spans="1:7" x14ac:dyDescent="0.35">
      <c r="A1414" t="s">
        <v>83</v>
      </c>
      <c r="B1414" s="3" cm="1">
        <f t="array" ref="B1414">_xlfn.STDEV.S(_xlfn._xlws.FILTER($E$1000:$E$1998, $A$1000:$A$1998="2015-09"))</f>
        <v>1.7253642988513125E-2</v>
      </c>
      <c r="C1414" s="3" cm="1">
        <f t="array" ref="C1414">AVERAGE(_xlfn._xlws.FILTER($E$1000:$E$1998, $A$1000:$A$1998="2015-09"))</f>
        <v>-3.622245770170179E-3</v>
      </c>
      <c r="D1414" s="3" cm="1">
        <f t="array" ref="D1414">_xlfn.PERCENTILE.EXC(_xlfn._xlws.FILTER($E$1000:$E$1497, $A$1000:$A$1497="2015-09"), 0.05)</f>
        <v>-3.4831485373965347E-2</v>
      </c>
      <c r="E1414">
        <v>-3.5401840031736645E-2</v>
      </c>
      <c r="F1414">
        <f t="shared" si="50"/>
        <v>-1.7938579004490911E-2</v>
      </c>
      <c r="G1414">
        <f t="shared" si="51"/>
        <v>-3.0177115006823525E-2</v>
      </c>
    </row>
    <row r="1415" spans="1:7" x14ac:dyDescent="0.35">
      <c r="A1415" t="s">
        <v>83</v>
      </c>
      <c r="E1415">
        <v>-5.4688537846623846E-3</v>
      </c>
      <c r="F1415">
        <f t="shared" si="50"/>
        <v>-1.7911923819808193E-2</v>
      </c>
      <c r="G1415">
        <f t="shared" si="51"/>
        <v>-3.0031365902387367E-2</v>
      </c>
    </row>
    <row r="1416" spans="1:7" x14ac:dyDescent="0.35">
      <c r="A1416" t="s">
        <v>83</v>
      </c>
      <c r="E1416">
        <v>1.0420149636961584E-2</v>
      </c>
      <c r="F1416">
        <f t="shared" si="50"/>
        <v>-1.7911928555726028E-2</v>
      </c>
      <c r="G1416">
        <f t="shared" si="51"/>
        <v>-3.0031365902387367E-2</v>
      </c>
    </row>
    <row r="1417" spans="1:7" x14ac:dyDescent="0.35">
      <c r="A1417" t="s">
        <v>83</v>
      </c>
      <c r="E1417">
        <v>-2.2211724563765523E-2</v>
      </c>
      <c r="F1417">
        <f t="shared" si="50"/>
        <v>-1.7911933291643867E-2</v>
      </c>
      <c r="G1417">
        <f t="shared" si="51"/>
        <v>-3.0031365902387367E-2</v>
      </c>
    </row>
    <row r="1418" spans="1:7" x14ac:dyDescent="0.35">
      <c r="A1418" t="s">
        <v>83</v>
      </c>
      <c r="E1418">
        <v>-1.6711506294071845E-3</v>
      </c>
      <c r="F1418">
        <f t="shared" si="50"/>
        <v>-1.7906202455972159E-2</v>
      </c>
      <c r="G1418">
        <f t="shared" si="51"/>
        <v>-2.9995533637531321E-2</v>
      </c>
    </row>
    <row r="1419" spans="1:7" x14ac:dyDescent="0.35">
      <c r="A1419" t="s">
        <v>83</v>
      </c>
      <c r="E1419">
        <v>6.1815199173664986E-3</v>
      </c>
      <c r="F1419">
        <f t="shared" si="50"/>
        <v>-1.7909027618506403E-2</v>
      </c>
      <c r="G1419">
        <f t="shared" si="51"/>
        <v>-2.9995533637531321E-2</v>
      </c>
    </row>
    <row r="1420" spans="1:7" x14ac:dyDescent="0.35">
      <c r="A1420" t="s">
        <v>83</v>
      </c>
      <c r="E1420">
        <v>1.7243192500488561E-2</v>
      </c>
      <c r="F1420">
        <f t="shared" si="50"/>
        <v>-1.7911852781040648E-2</v>
      </c>
      <c r="G1420">
        <f t="shared" si="51"/>
        <v>-2.9995533637531321E-2</v>
      </c>
    </row>
    <row r="1421" spans="1:7" x14ac:dyDescent="0.35">
      <c r="A1421" t="s">
        <v>83</v>
      </c>
      <c r="E1421">
        <v>-1.7973223153639549E-2</v>
      </c>
      <c r="F1421">
        <f t="shared" si="50"/>
        <v>-1.7911857516958483E-2</v>
      </c>
      <c r="G1421">
        <f t="shared" si="51"/>
        <v>-3.009707717414049E-2</v>
      </c>
    </row>
    <row r="1422" spans="1:7" x14ac:dyDescent="0.35">
      <c r="A1422" t="s">
        <v>83</v>
      </c>
      <c r="E1422">
        <v>-1.235925493420823E-2</v>
      </c>
      <c r="F1422">
        <f t="shared" si="50"/>
        <v>-1.7860999855424262E-2</v>
      </c>
      <c r="G1422">
        <f t="shared" si="51"/>
        <v>-3.0096561456723691E-2</v>
      </c>
    </row>
    <row r="1423" spans="1:7" x14ac:dyDescent="0.35">
      <c r="A1423" t="s">
        <v>83</v>
      </c>
      <c r="E1423">
        <v>-4.2708060572529327E-3</v>
      </c>
      <c r="F1423">
        <f t="shared" si="50"/>
        <v>-1.7863825017958506E-2</v>
      </c>
      <c r="G1423">
        <f t="shared" si="51"/>
        <v>-3.0096561456723691E-2</v>
      </c>
    </row>
    <row r="1424" spans="1:7" x14ac:dyDescent="0.35">
      <c r="A1424" t="s">
        <v>83</v>
      </c>
      <c r="E1424">
        <v>8.8403925009874554E-3</v>
      </c>
      <c r="F1424">
        <f t="shared" si="50"/>
        <v>-1.786665018049275E-2</v>
      </c>
      <c r="G1424">
        <f t="shared" si="51"/>
        <v>-3.0096561456723691E-2</v>
      </c>
    </row>
    <row r="1425" spans="1:7" x14ac:dyDescent="0.35">
      <c r="A1425" t="s">
        <v>83</v>
      </c>
      <c r="E1425">
        <v>1.9667322521969708E-2</v>
      </c>
      <c r="F1425">
        <f t="shared" si="50"/>
        <v>-1.7869475343026995E-2</v>
      </c>
      <c r="G1425">
        <f t="shared" si="51"/>
        <v>-3.0096561456723691E-2</v>
      </c>
    </row>
    <row r="1426" spans="1:7" x14ac:dyDescent="0.35">
      <c r="A1426" t="s">
        <v>83</v>
      </c>
      <c r="E1426">
        <v>1.292627815383658E-2</v>
      </c>
      <c r="F1426">
        <f t="shared" si="50"/>
        <v>-1.7872300505561236E-2</v>
      </c>
      <c r="G1426">
        <f t="shared" si="51"/>
        <v>-3.0096561456723691E-2</v>
      </c>
    </row>
    <row r="1427" spans="1:7" x14ac:dyDescent="0.35">
      <c r="A1427" t="s">
        <v>83</v>
      </c>
      <c r="E1427">
        <v>-2.6001524964287859E-2</v>
      </c>
      <c r="F1427">
        <f t="shared" si="50"/>
        <v>-1.787512566809548E-2</v>
      </c>
      <c r="G1427">
        <f t="shared" si="51"/>
        <v>-3.0096561456723691E-2</v>
      </c>
    </row>
    <row r="1428" spans="1:7" x14ac:dyDescent="0.35">
      <c r="A1428" t="s">
        <v>83</v>
      </c>
      <c r="E1428">
        <v>9.7442151437239456E-4</v>
      </c>
      <c r="F1428">
        <f t="shared" si="50"/>
        <v>-1.7834712217002231E-2</v>
      </c>
      <c r="G1428">
        <f t="shared" si="51"/>
        <v>-3.0028106200976363E-2</v>
      </c>
    </row>
    <row r="1429" spans="1:7" x14ac:dyDescent="0.35">
      <c r="A1429" t="s">
        <v>83</v>
      </c>
      <c r="E1429">
        <v>-3.1599475646594648E-2</v>
      </c>
      <c r="F1429">
        <f t="shared" si="50"/>
        <v>-1.7836431993115028E-2</v>
      </c>
      <c r="G1429">
        <f t="shared" si="51"/>
        <v>-3.0028106200976363E-2</v>
      </c>
    </row>
    <row r="1430" spans="1:7" x14ac:dyDescent="0.35">
      <c r="A1430" t="s">
        <v>83</v>
      </c>
      <c r="E1430">
        <v>-7.9475629632112747E-3</v>
      </c>
      <c r="F1430">
        <f t="shared" si="50"/>
        <v>-1.7808883586216941E-2</v>
      </c>
      <c r="G1430">
        <f t="shared" si="51"/>
        <v>-2.9912320304854561E-2</v>
      </c>
    </row>
    <row r="1431" spans="1:7" x14ac:dyDescent="0.35">
      <c r="A1431" t="s">
        <v>83</v>
      </c>
      <c r="E1431">
        <v>-1.9525292569751843E-2</v>
      </c>
      <c r="F1431">
        <f t="shared" si="50"/>
        <v>-1.7810090628405235E-2</v>
      </c>
      <c r="G1431">
        <f t="shared" si="51"/>
        <v>-2.9912320304854561E-2</v>
      </c>
    </row>
    <row r="1432" spans="1:7" x14ac:dyDescent="0.35">
      <c r="A1432" t="s">
        <v>83</v>
      </c>
      <c r="E1432">
        <v>2.4253085266830478E-2</v>
      </c>
      <c r="F1432">
        <f t="shared" si="50"/>
        <v>-1.7783086319438045E-2</v>
      </c>
      <c r="G1432">
        <f t="shared" si="51"/>
        <v>-2.9897795267834246E-2</v>
      </c>
    </row>
    <row r="1433" spans="1:7" x14ac:dyDescent="0.35">
      <c r="A1433" t="s">
        <v>83</v>
      </c>
      <c r="E1433">
        <v>-1.3249848852198829E-2</v>
      </c>
      <c r="F1433">
        <f t="shared" si="50"/>
        <v>-1.7784802175050043E-2</v>
      </c>
      <c r="G1433">
        <f t="shared" si="51"/>
        <v>-2.9897795267834246E-2</v>
      </c>
    </row>
    <row r="1434" spans="1:7" x14ac:dyDescent="0.35">
      <c r="A1434" t="s">
        <v>83</v>
      </c>
      <c r="E1434">
        <v>-3.1935107863612741E-5</v>
      </c>
      <c r="F1434">
        <f t="shared" si="50"/>
        <v>-1.778651803066204E-2</v>
      </c>
      <c r="G1434">
        <f t="shared" si="51"/>
        <v>-2.9897795267834246E-2</v>
      </c>
    </row>
    <row r="1435" spans="1:7" x14ac:dyDescent="0.35">
      <c r="A1435" t="s">
        <v>83</v>
      </c>
      <c r="E1435">
        <v>1.7516724302023334E-2</v>
      </c>
      <c r="F1435">
        <f t="shared" si="50"/>
        <v>-1.7788233886274034E-2</v>
      </c>
      <c r="G1435">
        <f t="shared" si="51"/>
        <v>-2.9897795267834246E-2</v>
      </c>
    </row>
    <row r="1436" spans="1:7" x14ac:dyDescent="0.35">
      <c r="A1436" t="s">
        <v>84</v>
      </c>
      <c r="B1436" s="3" cm="1">
        <f t="array" ref="B1436">_xlfn.STDEV.S(_xlfn._xlws.FILTER($E$1000:$E$1998, $A$1000:$A$1998="2015-10"))</f>
        <v>1.1911987121377719E-2</v>
      </c>
      <c r="C1436" s="3" cm="1">
        <f t="array" ref="C1436">AVERAGE(_xlfn._xlws.FILTER($E$1000:$E$1998, $A$1000:$A$1998="2015-10"))</f>
        <v>3.6564788799438464E-3</v>
      </c>
      <c r="D1436" s="3" cm="1">
        <f t="array" ref="D1436">_xlfn.PERCENTILE.EXC(_xlfn._xlws.FILTER($E$1000:$E$1497, $A$1000:$A$1497="2015-10"), 0.05)</f>
        <v>-1.4673231004725036E-2</v>
      </c>
      <c r="E1436">
        <v>7.7376723924135488E-4</v>
      </c>
      <c r="F1436">
        <f t="shared" si="50"/>
        <v>-1.7789949741886031E-2</v>
      </c>
      <c r="G1436">
        <f t="shared" si="51"/>
        <v>-2.9897795267834246E-2</v>
      </c>
    </row>
    <row r="1437" spans="1:7" x14ac:dyDescent="0.35">
      <c r="A1437" t="s">
        <v>84</v>
      </c>
      <c r="E1437">
        <v>3.7869941820673908E-3</v>
      </c>
      <c r="F1437">
        <f t="shared" si="50"/>
        <v>-1.7791665597498028E-2</v>
      </c>
      <c r="G1437">
        <f t="shared" si="51"/>
        <v>-2.9897795267834246E-2</v>
      </c>
    </row>
    <row r="1438" spans="1:7" x14ac:dyDescent="0.35">
      <c r="A1438" t="s">
        <v>84</v>
      </c>
      <c r="E1438">
        <v>3.7572938468213447E-2</v>
      </c>
      <c r="F1438">
        <f t="shared" si="50"/>
        <v>-1.7793381453110026E-2</v>
      </c>
      <c r="G1438">
        <f t="shared" si="51"/>
        <v>-2.9897795267834246E-2</v>
      </c>
    </row>
    <row r="1439" spans="1:7" x14ac:dyDescent="0.35">
      <c r="A1439" t="s">
        <v>84</v>
      </c>
      <c r="E1439">
        <v>1.3151136507907654E-2</v>
      </c>
      <c r="F1439">
        <f t="shared" si="50"/>
        <v>-1.7795097308722019E-2</v>
      </c>
      <c r="G1439">
        <f t="shared" si="51"/>
        <v>-2.9897795267834246E-2</v>
      </c>
    </row>
    <row r="1440" spans="1:7" x14ac:dyDescent="0.35">
      <c r="A1440" t="s">
        <v>84</v>
      </c>
      <c r="E1440">
        <v>6.580106905483659E-3</v>
      </c>
      <c r="F1440">
        <f t="shared" si="50"/>
        <v>-1.7796813164334017E-2</v>
      </c>
      <c r="G1440">
        <f t="shared" si="51"/>
        <v>-2.9897795267834246E-2</v>
      </c>
    </row>
    <row r="1441" spans="1:7" x14ac:dyDescent="0.35">
      <c r="A1441" t="s">
        <v>84</v>
      </c>
      <c r="E1441">
        <v>1.1006723073543863E-3</v>
      </c>
      <c r="F1441">
        <f t="shared" si="50"/>
        <v>-1.7798020206522311E-2</v>
      </c>
      <c r="G1441">
        <f t="shared" si="51"/>
        <v>-3.0000345963626621E-2</v>
      </c>
    </row>
    <row r="1442" spans="1:7" x14ac:dyDescent="0.35">
      <c r="A1442" t="s">
        <v>84</v>
      </c>
      <c r="E1442">
        <v>1.2532617624221535E-2</v>
      </c>
      <c r="F1442">
        <f t="shared" si="50"/>
        <v>-1.7799227248710602E-2</v>
      </c>
      <c r="G1442">
        <f t="shared" si="51"/>
        <v>-3.0000345963626621E-2</v>
      </c>
    </row>
    <row r="1443" spans="1:7" x14ac:dyDescent="0.35">
      <c r="A1443" t="s">
        <v>84</v>
      </c>
      <c r="E1443">
        <v>-6.1490756118406428E-3</v>
      </c>
      <c r="F1443">
        <f t="shared" si="50"/>
        <v>-1.7800434290898896E-2</v>
      </c>
      <c r="G1443">
        <f t="shared" si="51"/>
        <v>-3.0000345963626621E-2</v>
      </c>
    </row>
    <row r="1444" spans="1:7" x14ac:dyDescent="0.35">
      <c r="A1444" t="s">
        <v>84</v>
      </c>
      <c r="E1444">
        <v>-1.2877295277919761E-2</v>
      </c>
      <c r="F1444">
        <f t="shared" si="50"/>
        <v>-1.7801641333087186E-2</v>
      </c>
      <c r="G1444">
        <f t="shared" si="51"/>
        <v>-3.0000345963626621E-2</v>
      </c>
    </row>
    <row r="1445" spans="1:7" x14ac:dyDescent="0.35">
      <c r="A1445" t="s">
        <v>84</v>
      </c>
      <c r="E1445">
        <v>-7.7110872389311042E-3</v>
      </c>
      <c r="F1445">
        <f t="shared" si="50"/>
        <v>-1.780284837527548E-2</v>
      </c>
      <c r="G1445">
        <f t="shared" si="51"/>
        <v>-3.0000345963626621E-2</v>
      </c>
    </row>
    <row r="1446" spans="1:7" x14ac:dyDescent="0.35">
      <c r="A1446" t="s">
        <v>84</v>
      </c>
      <c r="E1446">
        <v>6.3656846518554957E-3</v>
      </c>
      <c r="F1446">
        <f t="shared" si="50"/>
        <v>-1.7804055417463771E-2</v>
      </c>
      <c r="G1446">
        <f t="shared" si="51"/>
        <v>-3.0000345963626621E-2</v>
      </c>
    </row>
    <row r="1447" spans="1:7" x14ac:dyDescent="0.35">
      <c r="A1447" t="s">
        <v>84</v>
      </c>
      <c r="E1447">
        <v>1.2767470265538334E-2</v>
      </c>
      <c r="F1447">
        <f t="shared" si="50"/>
        <v>-1.7805262459652065E-2</v>
      </c>
      <c r="G1447">
        <f t="shared" si="51"/>
        <v>-3.0000345963626621E-2</v>
      </c>
    </row>
    <row r="1448" spans="1:7" x14ac:dyDescent="0.35">
      <c r="A1448" t="s">
        <v>84</v>
      </c>
      <c r="E1448">
        <v>-2.3680461973056735E-3</v>
      </c>
      <c r="F1448">
        <f t="shared" si="50"/>
        <v>-1.7806469501840356E-2</v>
      </c>
      <c r="G1448">
        <f t="shared" si="51"/>
        <v>-3.0000345963626621E-2</v>
      </c>
    </row>
    <row r="1449" spans="1:7" x14ac:dyDescent="0.35">
      <c r="A1449" t="s">
        <v>84</v>
      </c>
      <c r="E1449">
        <v>-1.050832256009609E-2</v>
      </c>
      <c r="F1449">
        <f t="shared" si="50"/>
        <v>-1.780767654402865E-2</v>
      </c>
      <c r="G1449">
        <f t="shared" si="51"/>
        <v>-3.0000345963626621E-2</v>
      </c>
    </row>
    <row r="1450" spans="1:7" x14ac:dyDescent="0.35">
      <c r="A1450" t="s">
        <v>84</v>
      </c>
      <c r="E1450">
        <v>5.617520856400003E-3</v>
      </c>
      <c r="F1450">
        <f t="shared" si="50"/>
        <v>-1.7808883586216941E-2</v>
      </c>
      <c r="G1450">
        <f t="shared" si="51"/>
        <v>-3.0000345963626621E-2</v>
      </c>
    </row>
    <row r="1451" spans="1:7" x14ac:dyDescent="0.35">
      <c r="A1451" t="s">
        <v>84</v>
      </c>
      <c r="E1451">
        <v>2.0260987676779193E-2</v>
      </c>
      <c r="F1451">
        <f t="shared" si="50"/>
        <v>-1.7810090628405235E-2</v>
      </c>
      <c r="G1451">
        <f t="shared" si="51"/>
        <v>-3.0000345963626621E-2</v>
      </c>
    </row>
    <row r="1452" spans="1:7" x14ac:dyDescent="0.35">
      <c r="A1452" t="s">
        <v>84</v>
      </c>
      <c r="E1452">
        <v>1.0642226563220746E-2</v>
      </c>
      <c r="F1452">
        <f t="shared" si="50"/>
        <v>-1.7811297670593529E-2</v>
      </c>
      <c r="G1452">
        <f t="shared" si="51"/>
        <v>-3.0000345963626621E-2</v>
      </c>
    </row>
    <row r="1453" spans="1:7" x14ac:dyDescent="0.35">
      <c r="A1453" t="s">
        <v>84</v>
      </c>
      <c r="E1453">
        <v>1.9088887462151877E-4</v>
      </c>
      <c r="F1453">
        <f t="shared" si="50"/>
        <v>-1.781250471278182E-2</v>
      </c>
      <c r="G1453">
        <f t="shared" si="51"/>
        <v>-3.0000345963626621E-2</v>
      </c>
    </row>
    <row r="1454" spans="1:7" x14ac:dyDescent="0.35">
      <c r="A1454" t="s">
        <v>84</v>
      </c>
      <c r="E1454">
        <v>-1.4990160838867145E-2</v>
      </c>
      <c r="F1454">
        <f t="shared" si="50"/>
        <v>-1.7813711754970114E-2</v>
      </c>
      <c r="G1454">
        <f t="shared" si="51"/>
        <v>-3.0000345963626621E-2</v>
      </c>
    </row>
    <row r="1455" spans="1:7" x14ac:dyDescent="0.35">
      <c r="A1455" t="s">
        <v>84</v>
      </c>
      <c r="E1455">
        <v>9.5930701981753394E-3</v>
      </c>
      <c r="F1455">
        <f t="shared" si="50"/>
        <v>-1.7814918797158404E-2</v>
      </c>
      <c r="G1455">
        <f t="shared" si="51"/>
        <v>-3.0000345963626621E-2</v>
      </c>
    </row>
    <row r="1456" spans="1:7" x14ac:dyDescent="0.35">
      <c r="A1456" t="s">
        <v>84</v>
      </c>
      <c r="E1456">
        <v>-2.3728222246880738E-3</v>
      </c>
      <c r="F1456">
        <f t="shared" si="50"/>
        <v>-1.7816125839346698E-2</v>
      </c>
      <c r="G1456">
        <f t="shared" si="51"/>
        <v>-3.0000345963626621E-2</v>
      </c>
    </row>
    <row r="1457" spans="1:7" x14ac:dyDescent="0.35">
      <c r="A1457" t="s">
        <v>84</v>
      </c>
      <c r="E1457">
        <v>-3.5167370126669589E-3</v>
      </c>
      <c r="F1457">
        <f t="shared" si="50"/>
        <v>-1.7817332881534989E-2</v>
      </c>
      <c r="G1457">
        <f t="shared" si="51"/>
        <v>-3.0000345963626621E-2</v>
      </c>
    </row>
    <row r="1458" spans="1:7" x14ac:dyDescent="0.35">
      <c r="A1458" t="s">
        <v>85</v>
      </c>
      <c r="B1458" s="3" cm="1">
        <f t="array" ref="B1458">_xlfn.STDEV.S(_xlfn._xlws.FILTER($E$1000:$E$1998, $A$1000:$A$1998="2015-11"))</f>
        <v>9.3556634786487146E-3</v>
      </c>
      <c r="C1458" s="3" cm="1">
        <f t="array" ref="C1458">AVERAGE(_xlfn._xlws.FILTER($E$1000:$E$1998, $A$1000:$A$1998="2015-11"))</f>
        <v>1.2026641257722052E-4</v>
      </c>
      <c r="D1458" s="3" cm="1">
        <f t="array" ref="D1458">_xlfn.PERCENTILE.EXC(_xlfn._xlws.FILTER($E$1000:$E$1497, $A$1000:$A$1497="2015-11"), 0.05)</f>
        <v>-2.168788897317743E-2</v>
      </c>
      <c r="E1458">
        <v>5.5344745651246686E-3</v>
      </c>
      <c r="F1458">
        <f t="shared" si="50"/>
        <v>-1.7818539923723283E-2</v>
      </c>
      <c r="G1458">
        <f t="shared" si="51"/>
        <v>-3.0000345963626621E-2</v>
      </c>
    </row>
    <row r="1459" spans="1:7" x14ac:dyDescent="0.35">
      <c r="A1459" t="s">
        <v>85</v>
      </c>
      <c r="E1459">
        <v>4.5011903573593092E-3</v>
      </c>
      <c r="F1459">
        <f t="shared" si="50"/>
        <v>-1.7819746965911574E-2</v>
      </c>
      <c r="G1459">
        <f t="shared" si="51"/>
        <v>-3.0000345963626621E-2</v>
      </c>
    </row>
    <row r="1460" spans="1:7" x14ac:dyDescent="0.35">
      <c r="A1460" t="s">
        <v>85</v>
      </c>
      <c r="E1460">
        <v>7.9279042488046049E-4</v>
      </c>
      <c r="F1460">
        <f t="shared" si="50"/>
        <v>-1.7820954008099868E-2</v>
      </c>
      <c r="G1460">
        <f t="shared" si="51"/>
        <v>-3.0000345963626621E-2</v>
      </c>
    </row>
    <row r="1461" spans="1:7" x14ac:dyDescent="0.35">
      <c r="A1461" t="s">
        <v>85</v>
      </c>
      <c r="E1461">
        <v>-4.0469423365583181E-3</v>
      </c>
      <c r="F1461">
        <f t="shared" si="50"/>
        <v>-1.7822673784212664E-2</v>
      </c>
      <c r="G1461">
        <f t="shared" si="51"/>
        <v>-3.010444333076787E-2</v>
      </c>
    </row>
    <row r="1462" spans="1:7" x14ac:dyDescent="0.35">
      <c r="A1462" t="s">
        <v>85</v>
      </c>
      <c r="E1462">
        <v>2.1068365035840173E-3</v>
      </c>
      <c r="F1462">
        <f t="shared" si="50"/>
        <v>-1.7824393560325457E-2</v>
      </c>
      <c r="G1462">
        <f t="shared" si="51"/>
        <v>-3.010444333076787E-2</v>
      </c>
    </row>
    <row r="1463" spans="1:7" x14ac:dyDescent="0.35">
      <c r="A1463" t="s">
        <v>85</v>
      </c>
      <c r="E1463">
        <v>-1.2320642511169618E-2</v>
      </c>
      <c r="F1463">
        <f t="shared" si="50"/>
        <v>-1.7826113336438253E-2</v>
      </c>
      <c r="G1463">
        <f t="shared" si="51"/>
        <v>-3.010444333076787E-2</v>
      </c>
    </row>
    <row r="1464" spans="1:7" x14ac:dyDescent="0.35">
      <c r="A1464" t="s">
        <v>85</v>
      </c>
      <c r="E1464">
        <v>1.1228343063334769E-3</v>
      </c>
      <c r="F1464">
        <f t="shared" si="50"/>
        <v>-1.782783311255105E-2</v>
      </c>
      <c r="G1464">
        <f t="shared" si="51"/>
        <v>-3.010444333076787E-2</v>
      </c>
    </row>
    <row r="1465" spans="1:7" x14ac:dyDescent="0.35">
      <c r="A1465" t="s">
        <v>85</v>
      </c>
      <c r="E1465">
        <v>3.9007484046193245E-3</v>
      </c>
      <c r="F1465">
        <f t="shared" si="50"/>
        <v>-1.7829552888663846E-2</v>
      </c>
      <c r="G1465">
        <f t="shared" si="51"/>
        <v>-3.010444333076787E-2</v>
      </c>
    </row>
    <row r="1466" spans="1:7" x14ac:dyDescent="0.35">
      <c r="A1466" t="s">
        <v>85</v>
      </c>
      <c r="E1466">
        <v>-2.2728694135622743E-2</v>
      </c>
      <c r="F1466">
        <f t="shared" si="50"/>
        <v>-1.7831272664776639E-2</v>
      </c>
      <c r="G1466">
        <f t="shared" si="51"/>
        <v>-3.010444333076787E-2</v>
      </c>
    </row>
    <row r="1467" spans="1:7" x14ac:dyDescent="0.35">
      <c r="A1467" t="s">
        <v>85</v>
      </c>
      <c r="E1467">
        <v>-3.218897493823588E-3</v>
      </c>
      <c r="F1467">
        <f t="shared" si="50"/>
        <v>-1.7805262459652065E-2</v>
      </c>
      <c r="G1467">
        <f t="shared" si="51"/>
        <v>-3.006249683395144E-2</v>
      </c>
    </row>
    <row r="1468" spans="1:7" x14ac:dyDescent="0.35">
      <c r="A1468" t="s">
        <v>85</v>
      </c>
      <c r="E1468">
        <v>1.2947288561403509E-3</v>
      </c>
      <c r="F1468">
        <f t="shared" si="50"/>
        <v>-1.7806469501840356E-2</v>
      </c>
      <c r="G1468">
        <f t="shared" si="51"/>
        <v>-3.006249683395144E-2</v>
      </c>
    </row>
    <row r="1469" spans="1:7" x14ac:dyDescent="0.35">
      <c r="A1469" t="s">
        <v>85</v>
      </c>
      <c r="E1469">
        <v>2.3360735887969591E-2</v>
      </c>
      <c r="F1469">
        <f t="shared" si="50"/>
        <v>-1.780767654402865E-2</v>
      </c>
      <c r="G1469">
        <f t="shared" si="51"/>
        <v>-3.006249683395144E-2</v>
      </c>
    </row>
    <row r="1470" spans="1:7" x14ac:dyDescent="0.35">
      <c r="A1470" t="s">
        <v>85</v>
      </c>
      <c r="E1470">
        <v>-9.9589184737462928E-3</v>
      </c>
      <c r="F1470">
        <f t="shared" si="50"/>
        <v>-1.7808883586216941E-2</v>
      </c>
      <c r="G1470">
        <f t="shared" si="51"/>
        <v>-3.006249683395144E-2</v>
      </c>
    </row>
    <row r="1471" spans="1:7" x14ac:dyDescent="0.35">
      <c r="A1471" t="s">
        <v>85</v>
      </c>
      <c r="E1471">
        <v>9.0804764451077654E-3</v>
      </c>
      <c r="F1471">
        <f t="shared" si="50"/>
        <v>-1.7810090628405235E-2</v>
      </c>
      <c r="G1471">
        <f t="shared" si="51"/>
        <v>-3.006249683395144E-2</v>
      </c>
    </row>
    <row r="1472" spans="1:7" x14ac:dyDescent="0.35">
      <c r="A1472" t="s">
        <v>85</v>
      </c>
      <c r="E1472">
        <v>-6.2388189765941546E-3</v>
      </c>
      <c r="F1472">
        <f t="shared" si="50"/>
        <v>-1.7811297670593529E-2</v>
      </c>
      <c r="G1472">
        <f t="shared" si="51"/>
        <v>-3.006249683395144E-2</v>
      </c>
    </row>
    <row r="1473" spans="1:7" x14ac:dyDescent="0.35">
      <c r="A1473" t="s">
        <v>85</v>
      </c>
      <c r="E1473">
        <v>-1.2543941900666764E-3</v>
      </c>
      <c r="F1473">
        <f t="shared" si="50"/>
        <v>-1.781250471278182E-2</v>
      </c>
      <c r="G1473">
        <f t="shared" si="51"/>
        <v>-3.006249683395144E-2</v>
      </c>
    </row>
    <row r="1474" spans="1:7" x14ac:dyDescent="0.35">
      <c r="A1474" t="s">
        <v>85</v>
      </c>
      <c r="E1474">
        <v>-6.8539561244606818E-3</v>
      </c>
      <c r="F1474">
        <f t="shared" si="50"/>
        <v>-1.7813711754970114E-2</v>
      </c>
      <c r="G1474">
        <f t="shared" si="51"/>
        <v>-3.006249683395144E-2</v>
      </c>
    </row>
    <row r="1475" spans="1:7" x14ac:dyDescent="0.35">
      <c r="A1475" t="s">
        <v>85</v>
      </c>
      <c r="E1475">
        <v>1.9672618838187583E-3</v>
      </c>
      <c r="F1475">
        <f t="shared" si="50"/>
        <v>-1.7814918797158404E-2</v>
      </c>
      <c r="G1475">
        <f t="shared" si="51"/>
        <v>-3.006249683395144E-2</v>
      </c>
    </row>
    <row r="1476" spans="1:7" x14ac:dyDescent="0.35">
      <c r="A1476" t="s">
        <v>85</v>
      </c>
      <c r="E1476">
        <v>1.021429530748778E-2</v>
      </c>
      <c r="F1476">
        <f t="shared" ref="F1476:F1539" si="52">_xlfn.PERCENTILE.EXC(E1476:E5291,0.05)</f>
        <v>-1.7816125839346698E-2</v>
      </c>
      <c r="G1476">
        <f t="shared" ref="G1476:G1539" si="53">AVERAGEIFS(E1476:E5292,E1476:E5292,"&lt;=" &amp; F1476)</f>
        <v>-3.006249683395144E-2</v>
      </c>
    </row>
    <row r="1477" spans="1:7" x14ac:dyDescent="0.35">
      <c r="A1477" t="s">
        <v>85</v>
      </c>
      <c r="E1477">
        <v>-2.0927198452798503E-3</v>
      </c>
      <c r="F1477">
        <f t="shared" si="52"/>
        <v>-1.7817332881534989E-2</v>
      </c>
      <c r="G1477">
        <f t="shared" si="53"/>
        <v>-3.006249683395144E-2</v>
      </c>
    </row>
    <row r="1478" spans="1:7" x14ac:dyDescent="0.35">
      <c r="A1478" t="s">
        <v>85</v>
      </c>
      <c r="E1478">
        <v>7.3632058090180516E-3</v>
      </c>
      <c r="F1478">
        <f t="shared" si="52"/>
        <v>-1.7818539923723283E-2</v>
      </c>
      <c r="G1478">
        <f t="shared" si="53"/>
        <v>-3.006249683395144E-2</v>
      </c>
    </row>
    <row r="1479" spans="1:7" x14ac:dyDescent="0.35">
      <c r="A1479" t="s">
        <v>86</v>
      </c>
      <c r="B1479" s="3" cm="1">
        <f t="array" ref="B1479">_xlfn.STDEV.S(_xlfn._xlws.FILTER($E$1000:$E$1998, $A$1000:$A$1998="2015-12"))</f>
        <v>1.6457123510969389E-2</v>
      </c>
      <c r="C1479" s="3" cm="1">
        <f t="array" ref="C1479">AVERAGE(_xlfn._xlws.FILTER($E$1000:$E$1998, $A$1000:$A$1998="2015-12"))</f>
        <v>-3.9172216917397898E-3</v>
      </c>
      <c r="D1479" s="3" cm="1">
        <f t="array" ref="D1479">_xlfn.PERCENTILE.EXC(_xlfn._xlws.FILTER($E$1000:$E$1497, $A$1000:$A$1497="2015-12"), 0.05)</f>
        <v>-3.6822463346159809E-2</v>
      </c>
      <c r="E1479">
        <v>-7.4159330378740021E-4</v>
      </c>
      <c r="F1479">
        <f t="shared" si="52"/>
        <v>-1.7819746965911574E-2</v>
      </c>
      <c r="G1479">
        <f t="shared" si="53"/>
        <v>-3.006249683395144E-2</v>
      </c>
    </row>
    <row r="1480" spans="1:7" x14ac:dyDescent="0.35">
      <c r="A1480" t="s">
        <v>86</v>
      </c>
      <c r="E1480">
        <v>-3.590529502624242E-3</v>
      </c>
      <c r="F1480">
        <f t="shared" si="52"/>
        <v>-1.7820954008099868E-2</v>
      </c>
      <c r="G1480">
        <f t="shared" si="53"/>
        <v>-3.006249683395144E-2</v>
      </c>
    </row>
    <row r="1481" spans="1:7" x14ac:dyDescent="0.35">
      <c r="A1481" t="s">
        <v>86</v>
      </c>
      <c r="E1481">
        <v>-2.4381067623320953E-2</v>
      </c>
      <c r="F1481">
        <f t="shared" si="52"/>
        <v>-1.7822673784212664E-2</v>
      </c>
      <c r="G1481">
        <f t="shared" si="53"/>
        <v>-3.0168027375553606E-2</v>
      </c>
    </row>
    <row r="1482" spans="1:7" x14ac:dyDescent="0.35">
      <c r="A1482" t="s">
        <v>86</v>
      </c>
      <c r="E1482">
        <v>-1.4079202785747342E-3</v>
      </c>
      <c r="F1482">
        <f t="shared" si="52"/>
        <v>-1.7799227248710602E-2</v>
      </c>
      <c r="G1482">
        <f t="shared" si="53"/>
        <v>-3.0111474671974118E-2</v>
      </c>
    </row>
    <row r="1483" spans="1:7" x14ac:dyDescent="0.35">
      <c r="A1483" t="s">
        <v>86</v>
      </c>
      <c r="E1483">
        <v>-3.6081565502724447E-3</v>
      </c>
      <c r="F1483">
        <f t="shared" si="52"/>
        <v>-1.7800434290898896E-2</v>
      </c>
      <c r="G1483">
        <f t="shared" si="53"/>
        <v>-3.0111474671974118E-2</v>
      </c>
    </row>
    <row r="1484" spans="1:7" x14ac:dyDescent="0.35">
      <c r="A1484" t="s">
        <v>86</v>
      </c>
      <c r="E1484">
        <v>-2.0655177341985975E-2</v>
      </c>
      <c r="F1484">
        <f t="shared" si="52"/>
        <v>-1.7801641333087186E-2</v>
      </c>
      <c r="G1484">
        <f t="shared" si="53"/>
        <v>-3.0111474671974118E-2</v>
      </c>
    </row>
    <row r="1485" spans="1:7" x14ac:dyDescent="0.35">
      <c r="A1485" t="s">
        <v>86</v>
      </c>
      <c r="E1485">
        <v>-1.6266279022884853E-4</v>
      </c>
      <c r="F1485">
        <f t="shared" si="52"/>
        <v>-1.7771075330154075E-2</v>
      </c>
      <c r="G1485">
        <f t="shared" si="53"/>
        <v>-3.0086833601477115E-2</v>
      </c>
    </row>
    <row r="1486" spans="1:7" x14ac:dyDescent="0.35">
      <c r="A1486" t="s">
        <v>86</v>
      </c>
      <c r="E1486">
        <v>-5.7917385135214175E-3</v>
      </c>
      <c r="F1486">
        <f t="shared" si="52"/>
        <v>-1.7772791185766069E-2</v>
      </c>
      <c r="G1486">
        <f t="shared" si="53"/>
        <v>-3.0086833601477115E-2</v>
      </c>
    </row>
    <row r="1487" spans="1:7" x14ac:dyDescent="0.35">
      <c r="A1487" t="s">
        <v>86</v>
      </c>
      <c r="E1487">
        <v>-1.52506381959037E-2</v>
      </c>
      <c r="F1487">
        <f t="shared" si="52"/>
        <v>-1.7774507041378066E-2</v>
      </c>
      <c r="G1487">
        <f t="shared" si="53"/>
        <v>-3.0086833601477115E-2</v>
      </c>
    </row>
    <row r="1488" spans="1:7" x14ac:dyDescent="0.35">
      <c r="A1488" t="s">
        <v>86</v>
      </c>
      <c r="E1488">
        <v>-2.1218895495381276E-2</v>
      </c>
      <c r="F1488">
        <f t="shared" si="52"/>
        <v>-1.7776222896990063E-2</v>
      </c>
      <c r="G1488">
        <f t="shared" si="53"/>
        <v>-3.0086833601477115E-2</v>
      </c>
    </row>
    <row r="1489" spans="1:7" x14ac:dyDescent="0.35">
      <c r="A1489" t="s">
        <v>86</v>
      </c>
      <c r="E1489">
        <v>2.9584030122679184E-2</v>
      </c>
      <c r="F1489">
        <f t="shared" si="52"/>
        <v>-1.7760849429620827E-2</v>
      </c>
      <c r="G1489">
        <f t="shared" si="53"/>
        <v>-3.0057037054552226E-2</v>
      </c>
    </row>
    <row r="1490" spans="1:7" x14ac:dyDescent="0.35">
      <c r="A1490" t="s">
        <v>86</v>
      </c>
      <c r="E1490">
        <v>-6.178369530252751E-5</v>
      </c>
      <c r="F1490">
        <f t="shared" si="52"/>
        <v>-1.7760999122572941E-2</v>
      </c>
      <c r="G1490">
        <f t="shared" si="53"/>
        <v>-3.0057037054552226E-2</v>
      </c>
    </row>
    <row r="1491" spans="1:7" x14ac:dyDescent="0.35">
      <c r="A1491" t="s">
        <v>86</v>
      </c>
      <c r="E1491">
        <v>1.7101414759105787E-2</v>
      </c>
      <c r="F1491">
        <f t="shared" si="52"/>
        <v>-1.7761148815525055E-2</v>
      </c>
      <c r="G1491">
        <f t="shared" si="53"/>
        <v>-3.0057037054552226E-2</v>
      </c>
    </row>
    <row r="1492" spans="1:7" x14ac:dyDescent="0.35">
      <c r="A1492" t="s">
        <v>86</v>
      </c>
      <c r="E1492">
        <v>-1.6473458324822273E-2</v>
      </c>
      <c r="F1492">
        <f t="shared" si="52"/>
        <v>-1.7761298508477172E-2</v>
      </c>
      <c r="G1492">
        <f t="shared" si="53"/>
        <v>-3.0057037054552226E-2</v>
      </c>
    </row>
    <row r="1493" spans="1:7" x14ac:dyDescent="0.35">
      <c r="A1493" t="s">
        <v>86</v>
      </c>
      <c r="E1493">
        <v>-3.6822463346159809E-2</v>
      </c>
      <c r="F1493">
        <f t="shared" si="52"/>
        <v>-1.7761448201429286E-2</v>
      </c>
      <c r="G1493">
        <f t="shared" si="53"/>
        <v>-3.0057037054552226E-2</v>
      </c>
    </row>
    <row r="1494" spans="1:7" x14ac:dyDescent="0.35">
      <c r="A1494" t="s">
        <v>86</v>
      </c>
      <c r="E1494">
        <v>5.3031314716942878E-3</v>
      </c>
      <c r="F1494">
        <f t="shared" si="52"/>
        <v>-1.7736345261716645E-2</v>
      </c>
      <c r="G1494">
        <f t="shared" si="53"/>
        <v>-2.989270118254268E-2</v>
      </c>
    </row>
    <row r="1495" spans="1:7" x14ac:dyDescent="0.35">
      <c r="A1495" t="s">
        <v>86</v>
      </c>
      <c r="E1495">
        <v>2.365694951020841E-2</v>
      </c>
      <c r="F1495">
        <f t="shared" si="52"/>
        <v>-1.7740204750272506E-2</v>
      </c>
      <c r="G1495">
        <f t="shared" si="53"/>
        <v>-2.989270118254268E-2</v>
      </c>
    </row>
    <row r="1496" spans="1:7" x14ac:dyDescent="0.35">
      <c r="A1496" t="s">
        <v>86</v>
      </c>
      <c r="E1496">
        <v>3.0448359739853499E-3</v>
      </c>
      <c r="F1496">
        <f t="shared" si="52"/>
        <v>-1.774406423882836E-2</v>
      </c>
      <c r="G1496">
        <f t="shared" si="53"/>
        <v>-2.989270118254268E-2</v>
      </c>
    </row>
    <row r="1497" spans="1:7" x14ac:dyDescent="0.35">
      <c r="A1497" t="s">
        <v>86</v>
      </c>
      <c r="E1497">
        <v>-2.9514890188434063E-3</v>
      </c>
      <c r="F1497">
        <f t="shared" si="52"/>
        <v>-1.7747923727384218E-2</v>
      </c>
      <c r="G1497">
        <f t="shared" si="53"/>
        <v>-2.989270118254268E-2</v>
      </c>
    </row>
    <row r="1498" spans="1:7" x14ac:dyDescent="0.35">
      <c r="A1498" t="s">
        <v>87</v>
      </c>
      <c r="B1498" s="3" cm="1">
        <f t="array" ref="B1498">_xlfn.STDEV.S(_xlfn._xlws.FILTER($E$1000:$E$1998, $A$1000:$A$1998="2016-01"))</f>
        <v>1.8955189363860259E-2</v>
      </c>
      <c r="C1498" s="3" cm="1">
        <f t="array" ref="C1498">AVERAGE(_xlfn._xlws.FILTER($E$1000:$E$1998, $A$1000:$A$1998="2016-01"))</f>
        <v>-4.4786309254783423E-3</v>
      </c>
      <c r="D1498" s="3" cm="1">
        <f t="array" ref="D1498">_xlfn.PERCENTILE.EXC(_xlfn._xlws.FILTER($E$1498:$E$2489, $A$1498:$A$2489="2016-01"), 0.05)</f>
        <v>-3.4575773271613319E-2</v>
      </c>
      <c r="E1498">
        <v>-3.4685435971428785E-2</v>
      </c>
      <c r="F1498">
        <f t="shared" si="52"/>
        <v>-1.7751783215940075E-2</v>
      </c>
      <c r="G1498">
        <f t="shared" si="53"/>
        <v>-2.989270118254268E-2</v>
      </c>
    </row>
    <row r="1499" spans="1:7" x14ac:dyDescent="0.35">
      <c r="A1499" t="s">
        <v>87</v>
      </c>
      <c r="E1499">
        <v>2.3594528438040281E-3</v>
      </c>
      <c r="F1499">
        <f t="shared" si="52"/>
        <v>-1.7678311869721405E-2</v>
      </c>
      <c r="G1499">
        <f t="shared" si="53"/>
        <v>-2.974612253125393E-2</v>
      </c>
    </row>
    <row r="1500" spans="1:7" x14ac:dyDescent="0.35">
      <c r="A1500" t="s">
        <v>87</v>
      </c>
      <c r="E1500">
        <v>-1.4871366091780983E-2</v>
      </c>
      <c r="F1500">
        <f t="shared" si="52"/>
        <v>-1.7682312421934649E-2</v>
      </c>
      <c r="G1500">
        <f t="shared" si="53"/>
        <v>-2.974612253125393E-2</v>
      </c>
    </row>
    <row r="1501" spans="1:7" x14ac:dyDescent="0.35">
      <c r="A1501" t="s">
        <v>87</v>
      </c>
      <c r="E1501">
        <v>-1.5128981041164065E-2</v>
      </c>
      <c r="F1501">
        <f t="shared" si="52"/>
        <v>-1.7686171910490506E-2</v>
      </c>
      <c r="G1501">
        <f t="shared" si="53"/>
        <v>-2.9851025227856709E-2</v>
      </c>
    </row>
    <row r="1502" spans="1:7" x14ac:dyDescent="0.35">
      <c r="A1502" t="s">
        <v>87</v>
      </c>
      <c r="E1502">
        <v>-1.6707403681623066E-2</v>
      </c>
      <c r="F1502">
        <f t="shared" si="52"/>
        <v>-1.7690031399046364E-2</v>
      </c>
      <c r="G1502">
        <f t="shared" si="53"/>
        <v>-2.9851025227856709E-2</v>
      </c>
    </row>
    <row r="1503" spans="1:7" x14ac:dyDescent="0.35">
      <c r="A1503" t="s">
        <v>87</v>
      </c>
      <c r="E1503">
        <v>-2.5961925873589321E-3</v>
      </c>
      <c r="F1503">
        <f t="shared" si="52"/>
        <v>-1.7693890887602221E-2</v>
      </c>
      <c r="G1503">
        <f t="shared" si="53"/>
        <v>-2.9851025227856709E-2</v>
      </c>
    </row>
    <row r="1504" spans="1:7" x14ac:dyDescent="0.35">
      <c r="A1504" t="s">
        <v>87</v>
      </c>
      <c r="E1504">
        <v>3.2918604003861168E-3</v>
      </c>
      <c r="F1504">
        <f t="shared" si="52"/>
        <v>-1.7697750376158075E-2</v>
      </c>
      <c r="G1504">
        <f t="shared" si="53"/>
        <v>-2.9851025227856709E-2</v>
      </c>
    </row>
    <row r="1505" spans="1:7" x14ac:dyDescent="0.35">
      <c r="A1505" t="s">
        <v>87</v>
      </c>
      <c r="E1505">
        <v>2.1400688283592989E-3</v>
      </c>
      <c r="F1505">
        <f t="shared" si="52"/>
        <v>-1.7701609864713932E-2</v>
      </c>
      <c r="G1505">
        <f t="shared" si="53"/>
        <v>-2.9851025227856709E-2</v>
      </c>
    </row>
    <row r="1506" spans="1:7" x14ac:dyDescent="0.35">
      <c r="A1506" t="s">
        <v>87</v>
      </c>
      <c r="E1506">
        <v>-1.6567170857084354E-2</v>
      </c>
      <c r="F1506">
        <f t="shared" si="52"/>
        <v>-1.770546935326979E-2</v>
      </c>
      <c r="G1506">
        <f t="shared" si="53"/>
        <v>-2.9851025227856709E-2</v>
      </c>
    </row>
    <row r="1507" spans="1:7" x14ac:dyDescent="0.35">
      <c r="A1507" t="s">
        <v>87</v>
      </c>
      <c r="E1507">
        <v>-2.817055183698185E-2</v>
      </c>
      <c r="F1507">
        <f t="shared" si="52"/>
        <v>-1.7709328841825647E-2</v>
      </c>
      <c r="G1507">
        <f t="shared" si="53"/>
        <v>-2.9851025227856709E-2</v>
      </c>
    </row>
    <row r="1508" spans="1:7" x14ac:dyDescent="0.35">
      <c r="A1508" t="s">
        <v>87</v>
      </c>
      <c r="E1508">
        <v>-8.7346040219044262E-3</v>
      </c>
      <c r="F1508">
        <f t="shared" si="52"/>
        <v>-1.7634305795375744E-2</v>
      </c>
      <c r="G1508">
        <f t="shared" si="53"/>
        <v>-2.9759823145986731E-2</v>
      </c>
    </row>
    <row r="1509" spans="1:7" x14ac:dyDescent="0.35">
      <c r="A1509" t="s">
        <v>87</v>
      </c>
      <c r="E1509">
        <v>1.0056357584511934E-2</v>
      </c>
      <c r="F1509">
        <f t="shared" si="52"/>
        <v>-1.7638306347588985E-2</v>
      </c>
      <c r="G1509">
        <f t="shared" si="53"/>
        <v>-2.9759823145986731E-2</v>
      </c>
    </row>
    <row r="1510" spans="1:7" x14ac:dyDescent="0.35">
      <c r="A1510" t="s">
        <v>87</v>
      </c>
      <c r="E1510">
        <v>-3.2492181975119508E-2</v>
      </c>
      <c r="F1510">
        <f t="shared" si="52"/>
        <v>-1.7642306899802229E-2</v>
      </c>
      <c r="G1510">
        <f t="shared" si="53"/>
        <v>-2.9759823145986731E-2</v>
      </c>
    </row>
    <row r="1511" spans="1:7" x14ac:dyDescent="0.35">
      <c r="A1511" t="s">
        <v>87</v>
      </c>
      <c r="E1511">
        <v>1.9467778932706882E-2</v>
      </c>
      <c r="F1511">
        <f t="shared" si="52"/>
        <v>-1.7584548274292826E-2</v>
      </c>
      <c r="G1511">
        <f t="shared" si="53"/>
        <v>-2.9630345923400206E-2</v>
      </c>
    </row>
    <row r="1512" spans="1:7" x14ac:dyDescent="0.35">
      <c r="A1512" t="s">
        <v>87</v>
      </c>
      <c r="E1512">
        <v>3.247193627677205E-2</v>
      </c>
      <c r="F1512">
        <f t="shared" si="52"/>
        <v>-1.7586520841334715E-2</v>
      </c>
      <c r="G1512">
        <f t="shared" si="53"/>
        <v>-2.9630345923400206E-2</v>
      </c>
    </row>
    <row r="1513" spans="1:7" x14ac:dyDescent="0.35">
      <c r="A1513" t="s">
        <v>87</v>
      </c>
      <c r="E1513">
        <v>-1.7952432912638792E-2</v>
      </c>
      <c r="F1513">
        <f t="shared" si="52"/>
        <v>-1.75884934083766E-2</v>
      </c>
      <c r="G1513">
        <f t="shared" si="53"/>
        <v>-2.9630345923400206E-2</v>
      </c>
    </row>
    <row r="1514" spans="1:7" x14ac:dyDescent="0.35">
      <c r="A1514" t="s">
        <v>87</v>
      </c>
      <c r="E1514">
        <v>1.4461266373038498E-2</v>
      </c>
      <c r="F1514">
        <f t="shared" si="52"/>
        <v>-1.7532082871243401E-2</v>
      </c>
      <c r="G1514">
        <f t="shared" si="53"/>
        <v>-2.9626958246219283E-2</v>
      </c>
    </row>
    <row r="1515" spans="1:7" x14ac:dyDescent="0.35">
      <c r="A1515" t="s">
        <v>87</v>
      </c>
      <c r="E1515">
        <v>5.5640146984715011E-3</v>
      </c>
      <c r="F1515">
        <f t="shared" si="52"/>
        <v>-1.753721073217485E-2</v>
      </c>
      <c r="G1515">
        <f t="shared" si="53"/>
        <v>-2.9626958246219283E-2</v>
      </c>
    </row>
    <row r="1516" spans="1:7" x14ac:dyDescent="0.35">
      <c r="A1516" t="s">
        <v>87</v>
      </c>
      <c r="E1516">
        <v>-1.7356017380257046E-2</v>
      </c>
      <c r="F1516">
        <f t="shared" si="52"/>
        <v>-1.7542338593106294E-2</v>
      </c>
      <c r="G1516">
        <f t="shared" si="53"/>
        <v>-2.9626958246219283E-2</v>
      </c>
    </row>
    <row r="1517" spans="1:7" x14ac:dyDescent="0.35">
      <c r="A1517" t="s">
        <v>87</v>
      </c>
      <c r="E1517">
        <v>2.5876983909724694E-2</v>
      </c>
      <c r="F1517">
        <f t="shared" si="52"/>
        <v>-1.7547466454037739E-2</v>
      </c>
      <c r="G1517">
        <f t="shared" si="53"/>
        <v>-2.9626958246219283E-2</v>
      </c>
    </row>
    <row r="1518" spans="1:7" x14ac:dyDescent="0.35">
      <c r="A1518" t="s">
        <v>88</v>
      </c>
      <c r="B1518" s="3" cm="1">
        <f t="array" ref="B1518">_xlfn.STDEV.S(_xlfn._xlws.FILTER($E$1000:$E$1998, $A$1000:$A$1998="2016-02"))</f>
        <v>2.550603814308422E-2</v>
      </c>
      <c r="C1518" s="3" cm="1">
        <f t="array" ref="C1518">AVERAGE(_xlfn._xlws.FILTER($E$1000:$E$1998, $A$1000:$A$1998="2016-02"))</f>
        <v>-1.9538534079613385E-3</v>
      </c>
      <c r="D1518" s="3" cm="1">
        <f t="array" ref="D1518">_xlfn.PERCENTILE.EXC(_xlfn._xlws.FILTER($E$1498:$E$2489, $A$1498:$A$2489="2016-02"), 0.05)</f>
        <v>-4.9568240647494065E-2</v>
      </c>
      <c r="E1518">
        <v>-3.1015174570025355E-3</v>
      </c>
      <c r="F1518">
        <f t="shared" si="52"/>
        <v>-1.7552594314969184E-2</v>
      </c>
      <c r="G1518">
        <f t="shared" si="53"/>
        <v>-2.9626958246219283E-2</v>
      </c>
    </row>
    <row r="1519" spans="1:7" x14ac:dyDescent="0.35">
      <c r="A1519" t="s">
        <v>88</v>
      </c>
      <c r="E1519">
        <v>-3.0007102064320654E-2</v>
      </c>
      <c r="F1519">
        <f t="shared" si="52"/>
        <v>-1.7557722175900629E-2</v>
      </c>
      <c r="G1519">
        <f t="shared" si="53"/>
        <v>-2.9626958246219283E-2</v>
      </c>
    </row>
    <row r="1520" spans="1:7" x14ac:dyDescent="0.35">
      <c r="A1520" t="s">
        <v>88</v>
      </c>
      <c r="E1520">
        <v>-2.5435968060663231E-2</v>
      </c>
      <c r="F1520">
        <f t="shared" si="52"/>
        <v>-1.7460292818203167E-2</v>
      </c>
      <c r="G1520">
        <f t="shared" si="53"/>
        <v>-2.9517855557122608E-2</v>
      </c>
    </row>
    <row r="1521" spans="1:7" x14ac:dyDescent="0.35">
      <c r="A1521" t="s">
        <v>88</v>
      </c>
      <c r="E1521">
        <v>1.8305183820970218E-2</v>
      </c>
      <c r="F1521">
        <f t="shared" si="52"/>
        <v>-1.7360903259546912E-2</v>
      </c>
      <c r="G1521">
        <f t="shared" si="53"/>
        <v>-2.9553661587793302E-2</v>
      </c>
    </row>
    <row r="1522" spans="1:7" x14ac:dyDescent="0.35">
      <c r="A1522" t="s">
        <v>88</v>
      </c>
      <c r="E1522">
        <v>3.7011758698851163E-3</v>
      </c>
      <c r="F1522">
        <f t="shared" si="52"/>
        <v>-1.7366134288949873E-2</v>
      </c>
      <c r="G1522">
        <f t="shared" si="53"/>
        <v>-2.9553661587793302E-2</v>
      </c>
    </row>
    <row r="1523" spans="1:7" x14ac:dyDescent="0.35">
      <c r="A1523" t="s">
        <v>88</v>
      </c>
      <c r="E1523">
        <v>-4.5418596810011258E-2</v>
      </c>
      <c r="F1523">
        <f t="shared" si="52"/>
        <v>-1.7371365318352833E-2</v>
      </c>
      <c r="G1523">
        <f t="shared" si="53"/>
        <v>-2.9553661587793302E-2</v>
      </c>
    </row>
    <row r="1524" spans="1:7" x14ac:dyDescent="0.35">
      <c r="A1524" t="s">
        <v>88</v>
      </c>
      <c r="E1524">
        <v>-2.4238399758620393E-2</v>
      </c>
      <c r="F1524">
        <f t="shared" si="52"/>
        <v>-1.7334647691824422E-2</v>
      </c>
      <c r="G1524">
        <f t="shared" si="53"/>
        <v>-2.9307495582706747E-2</v>
      </c>
    </row>
    <row r="1525" spans="1:7" x14ac:dyDescent="0.35">
      <c r="A1525" t="s">
        <v>88</v>
      </c>
      <c r="E1525">
        <v>2.6894280526447777E-2</v>
      </c>
      <c r="F1525">
        <f t="shared" si="52"/>
        <v>-1.7313122689444242E-2</v>
      </c>
      <c r="G1525">
        <f t="shared" si="53"/>
        <v>-2.9246890247606957E-2</v>
      </c>
    </row>
    <row r="1526" spans="1:7" x14ac:dyDescent="0.35">
      <c r="A1526" t="s">
        <v>88</v>
      </c>
      <c r="E1526">
        <v>-5.0029312184992153E-2</v>
      </c>
      <c r="F1526">
        <f t="shared" si="52"/>
        <v>-1.731420728063093E-2</v>
      </c>
      <c r="G1526">
        <f t="shared" si="53"/>
        <v>-2.9246890247606957E-2</v>
      </c>
    </row>
    <row r="1527" spans="1:7" x14ac:dyDescent="0.35">
      <c r="A1527" t="s">
        <v>88</v>
      </c>
      <c r="E1527">
        <v>2.2276900816656699E-2</v>
      </c>
      <c r="F1527">
        <f t="shared" si="52"/>
        <v>-1.7249674229694815E-2</v>
      </c>
      <c r="G1527">
        <f t="shared" si="53"/>
        <v>-2.8959858559436072E-2</v>
      </c>
    </row>
    <row r="1528" spans="1:7" x14ac:dyDescent="0.35">
      <c r="A1528" t="s">
        <v>88</v>
      </c>
      <c r="E1528">
        <v>3.2102135494801398E-2</v>
      </c>
      <c r="F1528">
        <f t="shared" si="52"/>
        <v>-1.7254137729988354E-2</v>
      </c>
      <c r="G1528">
        <f t="shared" si="53"/>
        <v>-2.8959858559436072E-2</v>
      </c>
    </row>
    <row r="1529" spans="1:7" x14ac:dyDescent="0.35">
      <c r="A1529" t="s">
        <v>88</v>
      </c>
      <c r="E1529">
        <v>-5.099050075305693E-3</v>
      </c>
      <c r="F1529">
        <f t="shared" si="52"/>
        <v>-1.7258601230281889E-2</v>
      </c>
      <c r="G1529">
        <f t="shared" si="53"/>
        <v>-2.8959858559436072E-2</v>
      </c>
    </row>
    <row r="1530" spans="1:7" x14ac:dyDescent="0.35">
      <c r="A1530" t="s">
        <v>88</v>
      </c>
      <c r="E1530">
        <v>2.7549083549043181E-2</v>
      </c>
      <c r="F1530">
        <f t="shared" si="52"/>
        <v>-1.7263064730575428E-2</v>
      </c>
      <c r="G1530">
        <f t="shared" si="53"/>
        <v>-2.8959858559436072E-2</v>
      </c>
    </row>
    <row r="1531" spans="1:7" x14ac:dyDescent="0.35">
      <c r="A1531" t="s">
        <v>88</v>
      </c>
      <c r="E1531">
        <v>-8.3432354945598176E-3</v>
      </c>
      <c r="F1531">
        <f t="shared" si="52"/>
        <v>-1.7267528230868967E-2</v>
      </c>
      <c r="G1531">
        <f t="shared" si="53"/>
        <v>-2.8959858559436072E-2</v>
      </c>
    </row>
    <row r="1532" spans="1:7" x14ac:dyDescent="0.35">
      <c r="A1532" t="s">
        <v>88</v>
      </c>
      <c r="E1532">
        <v>-1.2274557369850007E-2</v>
      </c>
      <c r="F1532">
        <f t="shared" si="52"/>
        <v>-1.7271991731162506E-2</v>
      </c>
      <c r="G1532">
        <f t="shared" si="53"/>
        <v>-2.8959858559436072E-2</v>
      </c>
    </row>
    <row r="1533" spans="1:7" x14ac:dyDescent="0.35">
      <c r="A1533" t="s">
        <v>88</v>
      </c>
      <c r="E1533">
        <v>2.3256301071977691E-2</v>
      </c>
      <c r="F1533">
        <f t="shared" si="52"/>
        <v>-1.7276455231456045E-2</v>
      </c>
      <c r="G1533">
        <f t="shared" si="53"/>
        <v>-2.8959858559436072E-2</v>
      </c>
    </row>
    <row r="1534" spans="1:7" x14ac:dyDescent="0.35">
      <c r="A1534" t="s">
        <v>88</v>
      </c>
      <c r="E1534">
        <v>-1.433862664673073E-2</v>
      </c>
      <c r="F1534">
        <f t="shared" si="52"/>
        <v>-1.728091873174958E-2</v>
      </c>
      <c r="G1534">
        <f t="shared" si="53"/>
        <v>-2.8959858559436072E-2</v>
      </c>
    </row>
    <row r="1535" spans="1:7" x14ac:dyDescent="0.35">
      <c r="A1535" t="s">
        <v>88</v>
      </c>
      <c r="E1535">
        <v>-3.1191684331922098E-2</v>
      </c>
      <c r="F1535">
        <f t="shared" si="52"/>
        <v>-1.7285382232043119E-2</v>
      </c>
      <c r="G1535">
        <f t="shared" si="53"/>
        <v>-2.8959858559436072E-2</v>
      </c>
    </row>
    <row r="1536" spans="1:7" x14ac:dyDescent="0.35">
      <c r="A1536" t="s">
        <v>88</v>
      </c>
      <c r="E1536">
        <v>2.4882208925734894E-2</v>
      </c>
      <c r="F1536">
        <f t="shared" si="52"/>
        <v>-1.7211472427818817E-2</v>
      </c>
      <c r="G1536">
        <f t="shared" si="53"/>
        <v>-2.8837286150626584E-2</v>
      </c>
    </row>
    <row r="1537" spans="1:7" x14ac:dyDescent="0.35">
      <c r="A1537" t="s">
        <v>88</v>
      </c>
      <c r="E1537">
        <v>1.6130939940257733E-2</v>
      </c>
      <c r="F1537">
        <f t="shared" si="52"/>
        <v>-1.7213211752774127E-2</v>
      </c>
      <c r="G1537">
        <f t="shared" si="53"/>
        <v>-2.8837286150626584E-2</v>
      </c>
    </row>
    <row r="1538" spans="1:7" x14ac:dyDescent="0.35">
      <c r="A1538" t="s">
        <v>88</v>
      </c>
      <c r="E1538">
        <v>1.3348918671015763E-2</v>
      </c>
      <c r="F1538">
        <f t="shared" si="52"/>
        <v>-1.7214951077729433E-2</v>
      </c>
      <c r="G1538">
        <f t="shared" si="53"/>
        <v>-2.8837286150626584E-2</v>
      </c>
    </row>
    <row r="1539" spans="1:7" x14ac:dyDescent="0.35">
      <c r="A1539" t="s">
        <v>89</v>
      </c>
      <c r="B1539" s="3" cm="1">
        <f t="array" ref="B1539">_xlfn.STDEV.S(_xlfn._xlws.FILTER($E$1000:$E$1998, $A$1000:$A$1998="2016-03"))</f>
        <v>1.2254397437365202E-2</v>
      </c>
      <c r="C1539" s="3" cm="1">
        <f t="array" ref="C1539">AVERAGE(_xlfn._xlws.FILTER($E$1000:$E$1998, $A$1000:$A$1998="2016-03"))</f>
        <v>1.4504778462205437E-3</v>
      </c>
      <c r="D1539" s="3" cm="1">
        <f t="array" ref="D1539">_xlfn.PERCENTILE.EXC(_xlfn._xlws.FILTER($E$1498:$E$2489, $A$1498:$A$2489="2016-03"), 0.05)</f>
        <v>-1.7001080013167018E-2</v>
      </c>
      <c r="E1539">
        <v>1.7525811153398168E-2</v>
      </c>
      <c r="F1539">
        <f t="shared" si="52"/>
        <v>-1.7216690402684739E-2</v>
      </c>
      <c r="G1539">
        <f t="shared" si="53"/>
        <v>-2.8837286150626584E-2</v>
      </c>
    </row>
    <row r="1540" spans="1:7" x14ac:dyDescent="0.35">
      <c r="A1540" t="s">
        <v>89</v>
      </c>
      <c r="E1540">
        <v>1.7669015966436278E-2</v>
      </c>
      <c r="F1540">
        <f t="shared" ref="F1540:F1603" si="54">_xlfn.PERCENTILE.EXC(E1540:E5355,0.05)</f>
        <v>-1.7218429727640049E-2</v>
      </c>
      <c r="G1540">
        <f t="shared" ref="G1540:G1603" si="55">AVERAGEIFS(E1540:E5356,E1540:E5356,"&lt;=" &amp; F1540)</f>
        <v>-2.8837286150626584E-2</v>
      </c>
    </row>
    <row r="1541" spans="1:7" x14ac:dyDescent="0.35">
      <c r="A1541" t="s">
        <v>89</v>
      </c>
      <c r="E1541">
        <v>2.8520092598411327E-4</v>
      </c>
      <c r="F1541">
        <f t="shared" si="54"/>
        <v>-1.7222893227933588E-2</v>
      </c>
      <c r="G1541">
        <f t="shared" si="55"/>
        <v>-2.8940107888883102E-2</v>
      </c>
    </row>
    <row r="1542" spans="1:7" x14ac:dyDescent="0.35">
      <c r="A1542" t="s">
        <v>89</v>
      </c>
      <c r="E1542">
        <v>5.074362656979573E-3</v>
      </c>
      <c r="F1542">
        <f t="shared" si="54"/>
        <v>-1.7227356728227124E-2</v>
      </c>
      <c r="G1542">
        <f t="shared" si="55"/>
        <v>-2.8940107888883102E-2</v>
      </c>
    </row>
    <row r="1543" spans="1:7" x14ac:dyDescent="0.35">
      <c r="A1543" t="s">
        <v>89</v>
      </c>
      <c r="E1543">
        <v>-2.8184399055345222E-3</v>
      </c>
      <c r="F1543">
        <f t="shared" si="54"/>
        <v>-1.7231820228520663E-2</v>
      </c>
      <c r="G1543">
        <f t="shared" si="55"/>
        <v>-2.8940107888883102E-2</v>
      </c>
    </row>
    <row r="1544" spans="1:7" x14ac:dyDescent="0.35">
      <c r="A1544" t="s">
        <v>89</v>
      </c>
      <c r="E1544">
        <v>-5.3060813367451472E-3</v>
      </c>
      <c r="F1544">
        <f t="shared" si="54"/>
        <v>-1.7236283728814202E-2</v>
      </c>
      <c r="G1544">
        <f t="shared" si="55"/>
        <v>-2.8940107888883102E-2</v>
      </c>
    </row>
    <row r="1545" spans="1:7" x14ac:dyDescent="0.35">
      <c r="A1545" t="s">
        <v>89</v>
      </c>
      <c r="E1545">
        <v>2.3769538200573929E-3</v>
      </c>
      <c r="F1545">
        <f t="shared" si="54"/>
        <v>-1.724074722910774E-2</v>
      </c>
      <c r="G1545">
        <f t="shared" si="55"/>
        <v>-2.8940107888883102E-2</v>
      </c>
    </row>
    <row r="1546" spans="1:7" x14ac:dyDescent="0.35">
      <c r="A1546" t="s">
        <v>89</v>
      </c>
      <c r="E1546">
        <v>6.6179828978652378E-4</v>
      </c>
      <c r="F1546">
        <f t="shared" si="54"/>
        <v>-1.7245210729401276E-2</v>
      </c>
      <c r="G1546">
        <f t="shared" si="55"/>
        <v>-2.8940107888883102E-2</v>
      </c>
    </row>
    <row r="1547" spans="1:7" x14ac:dyDescent="0.35">
      <c r="A1547" t="s">
        <v>89</v>
      </c>
      <c r="E1547">
        <v>3.6257646480715597E-2</v>
      </c>
      <c r="F1547">
        <f t="shared" si="54"/>
        <v>-1.7249674229694815E-2</v>
      </c>
      <c r="G1547">
        <f t="shared" si="55"/>
        <v>-2.8940107888883102E-2</v>
      </c>
    </row>
    <row r="1548" spans="1:7" x14ac:dyDescent="0.35">
      <c r="A1548" t="s">
        <v>89</v>
      </c>
      <c r="E1548">
        <v>5.7148340449441407E-3</v>
      </c>
      <c r="F1548">
        <f t="shared" si="54"/>
        <v>-1.7254137729988354E-2</v>
      </c>
      <c r="G1548">
        <f t="shared" si="55"/>
        <v>-2.8940107888883102E-2</v>
      </c>
    </row>
    <row r="1549" spans="1:7" x14ac:dyDescent="0.35">
      <c r="A1549" t="s">
        <v>89</v>
      </c>
      <c r="E1549">
        <v>-1.7032015053480624E-2</v>
      </c>
      <c r="F1549">
        <f t="shared" si="54"/>
        <v>-1.7258601230281889E-2</v>
      </c>
      <c r="G1549">
        <f t="shared" si="55"/>
        <v>-2.8940107888883102E-2</v>
      </c>
    </row>
    <row r="1550" spans="1:7" x14ac:dyDescent="0.35">
      <c r="A1550" t="s">
        <v>89</v>
      </c>
      <c r="E1550">
        <v>-2.8410534342870912E-3</v>
      </c>
      <c r="F1550">
        <f t="shared" si="54"/>
        <v>-1.7263064730575428E-2</v>
      </c>
      <c r="G1550">
        <f t="shared" si="55"/>
        <v>-2.8940107888883102E-2</v>
      </c>
    </row>
    <row r="1551" spans="1:7" x14ac:dyDescent="0.35">
      <c r="A1551" t="s">
        <v>89</v>
      </c>
      <c r="E1551">
        <v>1.7835649263690141E-3</v>
      </c>
      <c r="F1551">
        <f t="shared" si="54"/>
        <v>-1.7267528230868967E-2</v>
      </c>
      <c r="G1551">
        <f t="shared" si="55"/>
        <v>-2.8940107888883102E-2</v>
      </c>
    </row>
    <row r="1552" spans="1:7" x14ac:dyDescent="0.35">
      <c r="A1552" t="s">
        <v>89</v>
      </c>
      <c r="E1552">
        <v>8.0200541916742307E-3</v>
      </c>
      <c r="F1552">
        <f t="shared" si="54"/>
        <v>-1.7271991731162506E-2</v>
      </c>
      <c r="G1552">
        <f t="shared" si="55"/>
        <v>-2.8940107888883102E-2</v>
      </c>
    </row>
    <row r="1553" spans="1:7" x14ac:dyDescent="0.35">
      <c r="A1553" t="s">
        <v>89</v>
      </c>
      <c r="E1553">
        <v>-3.3311046124256888E-3</v>
      </c>
      <c r="F1553">
        <f t="shared" si="54"/>
        <v>-1.7276455231456045E-2</v>
      </c>
      <c r="G1553">
        <f t="shared" si="55"/>
        <v>-2.8940107888883102E-2</v>
      </c>
    </row>
    <row r="1554" spans="1:7" x14ac:dyDescent="0.35">
      <c r="A1554" t="s">
        <v>89</v>
      </c>
      <c r="E1554">
        <v>-3.2198995231664212E-3</v>
      </c>
      <c r="F1554">
        <f t="shared" si="54"/>
        <v>-1.728091873174958E-2</v>
      </c>
      <c r="G1554">
        <f t="shared" si="55"/>
        <v>-2.8940107888883102E-2</v>
      </c>
    </row>
    <row r="1555" spans="1:7" x14ac:dyDescent="0.35">
      <c r="A1555" t="s">
        <v>89</v>
      </c>
      <c r="E1555">
        <v>-7.2436990453048529E-3</v>
      </c>
      <c r="F1555">
        <f t="shared" si="54"/>
        <v>-1.7285382232043119E-2</v>
      </c>
      <c r="G1555">
        <f t="shared" si="55"/>
        <v>-2.8940107888883102E-2</v>
      </c>
    </row>
    <row r="1556" spans="1:7" x14ac:dyDescent="0.35">
      <c r="A1556" t="s">
        <v>89</v>
      </c>
      <c r="E1556">
        <v>-1.5499635796356414E-2</v>
      </c>
      <c r="F1556">
        <f t="shared" si="54"/>
        <v>-1.7289845732336658E-2</v>
      </c>
      <c r="G1556">
        <f t="shared" si="55"/>
        <v>-2.8940107888883102E-2</v>
      </c>
    </row>
    <row r="1557" spans="1:7" x14ac:dyDescent="0.35">
      <c r="A1557" t="s">
        <v>89</v>
      </c>
      <c r="E1557">
        <v>2.102500476182136E-3</v>
      </c>
      <c r="F1557">
        <f t="shared" si="54"/>
        <v>-1.7294309232630197E-2</v>
      </c>
      <c r="G1557">
        <f t="shared" si="55"/>
        <v>-2.8940107888883102E-2</v>
      </c>
    </row>
    <row r="1558" spans="1:7" x14ac:dyDescent="0.35">
      <c r="A1558" t="s">
        <v>89</v>
      </c>
      <c r="E1558">
        <v>7.0028851957495922E-3</v>
      </c>
      <c r="F1558">
        <f t="shared" si="54"/>
        <v>-1.7298772732923733E-2</v>
      </c>
      <c r="G1558">
        <f t="shared" si="55"/>
        <v>-2.8940107888883102E-2</v>
      </c>
    </row>
    <row r="1559" spans="1:7" x14ac:dyDescent="0.35">
      <c r="A1559" t="s">
        <v>89</v>
      </c>
      <c r="E1559">
        <v>-1.6722664650344575E-2</v>
      </c>
      <c r="F1559">
        <f t="shared" si="54"/>
        <v>-1.7303236233217272E-2</v>
      </c>
      <c r="G1559">
        <f t="shared" si="55"/>
        <v>-2.8940107888883102E-2</v>
      </c>
    </row>
    <row r="1560" spans="1:7" x14ac:dyDescent="0.35">
      <c r="A1560" t="s">
        <v>90</v>
      </c>
      <c r="B1560" s="3" cm="1">
        <f t="array" ref="B1560">_xlfn.STDEV.S(_xlfn._xlws.FILTER($E$1000:$E$1998, $A$1000:$A$1998="2016-04"))</f>
        <v>1.4061246491818053E-2</v>
      </c>
      <c r="C1560" s="3" cm="1">
        <f t="array" ref="C1560">AVERAGE(_xlfn._xlws.FILTER($E$1000:$E$1998, $A$1000:$A$1998="2016-04"))</f>
        <v>1.6238754384167488E-3</v>
      </c>
      <c r="D1560" s="3" cm="1">
        <f t="array" ref="D1560">_xlfn.PERCENTILE.EXC(_xlfn._xlws.FILTER($E$1498:$E$2489, $A$1498:$A$2489="2016-04"), 0.05)</f>
        <v>-2.6410003450446584E-2</v>
      </c>
      <c r="E1560">
        <v>-1.3945069967533513E-2</v>
      </c>
      <c r="F1560">
        <f t="shared" si="54"/>
        <v>-1.730769973351081E-2</v>
      </c>
      <c r="G1560">
        <f t="shared" si="55"/>
        <v>-2.8940107888883102E-2</v>
      </c>
    </row>
    <row r="1561" spans="1:7" x14ac:dyDescent="0.35">
      <c r="A1561" t="s">
        <v>90</v>
      </c>
      <c r="E1561">
        <v>-5.5814603944344377E-4</v>
      </c>
      <c r="F1561">
        <f t="shared" si="54"/>
        <v>-1.7308784324697495E-2</v>
      </c>
      <c r="G1561">
        <f t="shared" si="55"/>
        <v>-2.904396867598464E-2</v>
      </c>
    </row>
    <row r="1562" spans="1:7" x14ac:dyDescent="0.35">
      <c r="A1562" t="s">
        <v>90</v>
      </c>
      <c r="E1562">
        <v>-2.4705116303320063E-2</v>
      </c>
      <c r="F1562">
        <f t="shared" si="54"/>
        <v>-1.7309868915884184E-2</v>
      </c>
      <c r="G1562">
        <f t="shared" si="55"/>
        <v>-2.904396867598464E-2</v>
      </c>
    </row>
    <row r="1563" spans="1:7" x14ac:dyDescent="0.35">
      <c r="A1563" t="s">
        <v>90</v>
      </c>
      <c r="E1563">
        <v>1.2986782712048589E-3</v>
      </c>
      <c r="F1563">
        <f t="shared" si="54"/>
        <v>-1.7231820228520663E-2</v>
      </c>
      <c r="G1563">
        <f t="shared" si="55"/>
        <v>-2.8977920313754197E-2</v>
      </c>
    </row>
    <row r="1564" spans="1:7" x14ac:dyDescent="0.35">
      <c r="A1564" t="s">
        <v>90</v>
      </c>
      <c r="E1564">
        <v>-1.2665298258279402E-2</v>
      </c>
      <c r="F1564">
        <f t="shared" si="54"/>
        <v>-1.7236283728814202E-2</v>
      </c>
      <c r="G1564">
        <f t="shared" si="55"/>
        <v>-2.8977920313754197E-2</v>
      </c>
    </row>
    <row r="1565" spans="1:7" x14ac:dyDescent="0.35">
      <c r="A1565" t="s">
        <v>90</v>
      </c>
      <c r="E1565">
        <v>1.6112306936948484E-2</v>
      </c>
      <c r="F1565">
        <f t="shared" si="54"/>
        <v>-1.724074722910774E-2</v>
      </c>
      <c r="G1565">
        <f t="shared" si="55"/>
        <v>-2.8977920313754197E-2</v>
      </c>
    </row>
    <row r="1566" spans="1:7" x14ac:dyDescent="0.35">
      <c r="A1566" t="s">
        <v>90</v>
      </c>
      <c r="E1566">
        <v>8.2717367151595236E-3</v>
      </c>
      <c r="F1566">
        <f t="shared" si="54"/>
        <v>-1.7245210729401276E-2</v>
      </c>
      <c r="G1566">
        <f t="shared" si="55"/>
        <v>-2.8977920313754197E-2</v>
      </c>
    </row>
    <row r="1567" spans="1:7" x14ac:dyDescent="0.35">
      <c r="A1567" t="s">
        <v>90</v>
      </c>
      <c r="E1567">
        <v>5.7146700619883327E-3</v>
      </c>
      <c r="F1567">
        <f t="shared" si="54"/>
        <v>-1.7249674229694815E-2</v>
      </c>
      <c r="G1567">
        <f t="shared" si="55"/>
        <v>-2.8977920313754197E-2</v>
      </c>
    </row>
    <row r="1568" spans="1:7" x14ac:dyDescent="0.35">
      <c r="A1568" t="s">
        <v>90</v>
      </c>
      <c r="E1568">
        <v>3.160279120083799E-2</v>
      </c>
      <c r="F1568">
        <f t="shared" si="54"/>
        <v>-1.7254137729988354E-2</v>
      </c>
      <c r="G1568">
        <f t="shared" si="55"/>
        <v>-2.8977920313754197E-2</v>
      </c>
    </row>
    <row r="1569" spans="1:7" x14ac:dyDescent="0.35">
      <c r="A1569" t="s">
        <v>90</v>
      </c>
      <c r="E1569">
        <v>4.6148185642335502E-3</v>
      </c>
      <c r="F1569">
        <f t="shared" si="54"/>
        <v>-1.7258601230281889E-2</v>
      </c>
      <c r="G1569">
        <f t="shared" si="55"/>
        <v>-2.8977920313754197E-2</v>
      </c>
    </row>
    <row r="1570" spans="1:7" x14ac:dyDescent="0.35">
      <c r="A1570" t="s">
        <v>90</v>
      </c>
      <c r="E1570">
        <v>-1.1969017485423533E-3</v>
      </c>
      <c r="F1570">
        <f t="shared" si="54"/>
        <v>-1.7263064730575428E-2</v>
      </c>
      <c r="G1570">
        <f t="shared" si="55"/>
        <v>-2.8977920313754197E-2</v>
      </c>
    </row>
    <row r="1571" spans="1:7" x14ac:dyDescent="0.35">
      <c r="A1571" t="s">
        <v>90</v>
      </c>
      <c r="E1571">
        <v>3.4625721892447307E-3</v>
      </c>
      <c r="F1571">
        <f t="shared" si="54"/>
        <v>-1.7267528230868967E-2</v>
      </c>
      <c r="G1571">
        <f t="shared" si="55"/>
        <v>-2.8977920313754197E-2</v>
      </c>
    </row>
    <row r="1572" spans="1:7" x14ac:dyDescent="0.35">
      <c r="A1572" t="s">
        <v>90</v>
      </c>
      <c r="E1572">
        <v>1.0048872152195899E-2</v>
      </c>
      <c r="F1572">
        <f t="shared" si="54"/>
        <v>-1.7271991731162506E-2</v>
      </c>
      <c r="G1572">
        <f t="shared" si="55"/>
        <v>-2.8977920313754197E-2</v>
      </c>
    </row>
    <row r="1573" spans="1:7" x14ac:dyDescent="0.35">
      <c r="A1573" t="s">
        <v>90</v>
      </c>
      <c r="E1573">
        <v>1.9417228421614023E-2</v>
      </c>
      <c r="F1573">
        <f t="shared" si="54"/>
        <v>-1.7276455231456045E-2</v>
      </c>
      <c r="G1573">
        <f t="shared" si="55"/>
        <v>-2.8977920313754197E-2</v>
      </c>
    </row>
    <row r="1574" spans="1:7" x14ac:dyDescent="0.35">
      <c r="A1574" t="s">
        <v>90</v>
      </c>
      <c r="E1574">
        <v>5.4512683781390361E-3</v>
      </c>
      <c r="F1574">
        <f t="shared" si="54"/>
        <v>-1.728091873174958E-2</v>
      </c>
      <c r="G1574">
        <f t="shared" si="55"/>
        <v>-2.8977920313754197E-2</v>
      </c>
    </row>
    <row r="1575" spans="1:7" x14ac:dyDescent="0.35">
      <c r="A1575" t="s">
        <v>90</v>
      </c>
      <c r="E1575">
        <v>3.863271218349056E-3</v>
      </c>
      <c r="F1575">
        <f t="shared" si="54"/>
        <v>-1.7285382232043119E-2</v>
      </c>
      <c r="G1575">
        <f t="shared" si="55"/>
        <v>-2.8977920313754197E-2</v>
      </c>
    </row>
    <row r="1576" spans="1:7" x14ac:dyDescent="0.35">
      <c r="A1576" t="s">
        <v>90</v>
      </c>
      <c r="E1576">
        <v>-1.0101975657999239E-2</v>
      </c>
      <c r="F1576">
        <f t="shared" si="54"/>
        <v>-1.7289845732336658E-2</v>
      </c>
      <c r="G1576">
        <f t="shared" si="55"/>
        <v>-2.8977920313754197E-2</v>
      </c>
    </row>
    <row r="1577" spans="1:7" x14ac:dyDescent="0.35">
      <c r="A1577" t="s">
        <v>90</v>
      </c>
      <c r="E1577">
        <v>1.5524384951736938E-2</v>
      </c>
      <c r="F1577">
        <f t="shared" si="54"/>
        <v>-1.7294309232630197E-2</v>
      </c>
      <c r="G1577">
        <f t="shared" si="55"/>
        <v>-2.8977920313754197E-2</v>
      </c>
    </row>
    <row r="1578" spans="1:7" x14ac:dyDescent="0.35">
      <c r="A1578" t="s">
        <v>90</v>
      </c>
      <c r="E1578">
        <v>5.3288765738310449E-3</v>
      </c>
      <c r="F1578">
        <f t="shared" si="54"/>
        <v>-1.7298772732923733E-2</v>
      </c>
      <c r="G1578">
        <f t="shared" si="55"/>
        <v>-2.8977920313754197E-2</v>
      </c>
    </row>
    <row r="1579" spans="1:7" x14ac:dyDescent="0.35">
      <c r="A1579" t="s">
        <v>90</v>
      </c>
      <c r="E1579">
        <v>-6.8381480979308714E-3</v>
      </c>
      <c r="F1579">
        <f t="shared" si="54"/>
        <v>-1.7303236233217272E-2</v>
      </c>
      <c r="G1579">
        <f t="shared" si="55"/>
        <v>-2.8977920313754197E-2</v>
      </c>
    </row>
    <row r="1580" spans="1:7" x14ac:dyDescent="0.35">
      <c r="A1580" t="s">
        <v>90</v>
      </c>
      <c r="E1580">
        <v>-2.6599435355682863E-2</v>
      </c>
      <c r="F1580">
        <f t="shared" si="54"/>
        <v>-1.730769973351081E-2</v>
      </c>
      <c r="G1580">
        <f t="shared" si="55"/>
        <v>-2.8977920313754197E-2</v>
      </c>
    </row>
    <row r="1581" spans="1:7" x14ac:dyDescent="0.35">
      <c r="A1581" t="s">
        <v>91</v>
      </c>
      <c r="B1581" s="3" cm="1">
        <f t="array" ref="B1581">_xlfn.STDEV.S(_xlfn._xlws.FILTER($E$1000:$E$1998, $A$1000:$A$1998="2016-05"))</f>
        <v>1.2878703657968244E-2</v>
      </c>
      <c r="C1581" s="3" cm="1">
        <f t="array" ref="C1581">AVERAGE(_xlfn._xlws.FILTER($E$1000:$E$1998, $A$1000:$A$1998="2016-05"))</f>
        <v>4.8377562863145383E-5</v>
      </c>
      <c r="D1581" s="3" cm="1">
        <f t="array" ref="D1581">_xlfn.PERCENTILE.EXC(_xlfn._xlws.FILTER($E$1498:$E$2489, $A$1498:$A$2489="2016-05"), 0.05)</f>
        <v>-2.9320954243018685E-2</v>
      </c>
      <c r="E1581">
        <v>-2.9320954243018685E-2</v>
      </c>
      <c r="F1581">
        <f t="shared" si="54"/>
        <v>-1.7222893227933588E-2</v>
      </c>
      <c r="G1581">
        <f t="shared" si="55"/>
        <v>-2.8999348106169259E-2</v>
      </c>
    </row>
    <row r="1582" spans="1:7" x14ac:dyDescent="0.35">
      <c r="A1582" t="s">
        <v>91</v>
      </c>
      <c r="E1582">
        <v>-1.2698802042773433E-2</v>
      </c>
      <c r="F1582">
        <f t="shared" si="54"/>
        <v>-1.7187121878444508E-2</v>
      </c>
      <c r="G1582">
        <f t="shared" si="55"/>
        <v>-2.8890316353778454E-2</v>
      </c>
    </row>
    <row r="1583" spans="1:7" x14ac:dyDescent="0.35">
      <c r="A1583" t="s">
        <v>91</v>
      </c>
      <c r="E1583">
        <v>4.0475847622012196E-3</v>
      </c>
      <c r="F1583">
        <f t="shared" si="54"/>
        <v>-1.7188861203399814E-2</v>
      </c>
      <c r="G1583">
        <f t="shared" si="55"/>
        <v>-2.8890316353778454E-2</v>
      </c>
    </row>
    <row r="1584" spans="1:7" x14ac:dyDescent="0.35">
      <c r="A1584" t="s">
        <v>91</v>
      </c>
      <c r="E1584">
        <v>1.4604838291624104E-3</v>
      </c>
      <c r="F1584">
        <f t="shared" si="54"/>
        <v>-1.7190600528355124E-2</v>
      </c>
      <c r="G1584">
        <f t="shared" si="55"/>
        <v>-2.8890316353778454E-2</v>
      </c>
    </row>
    <row r="1585" spans="1:7" x14ac:dyDescent="0.35">
      <c r="A1585" t="s">
        <v>91</v>
      </c>
      <c r="E1585">
        <v>-4.757278783007874E-3</v>
      </c>
      <c r="F1585">
        <f t="shared" si="54"/>
        <v>-1.719233985331043E-2</v>
      </c>
      <c r="G1585">
        <f t="shared" si="55"/>
        <v>-2.8890316353778454E-2</v>
      </c>
    </row>
    <row r="1586" spans="1:7" x14ac:dyDescent="0.35">
      <c r="A1586" t="s">
        <v>91</v>
      </c>
      <c r="E1586">
        <v>1.3122464054410995E-2</v>
      </c>
      <c r="F1586">
        <f t="shared" si="54"/>
        <v>-1.719407917826574E-2</v>
      </c>
      <c r="G1586">
        <f t="shared" si="55"/>
        <v>-2.8890316353778454E-2</v>
      </c>
    </row>
    <row r="1587" spans="1:7" x14ac:dyDescent="0.35">
      <c r="A1587" t="s">
        <v>91</v>
      </c>
      <c r="E1587">
        <v>-1.2764593495834538E-2</v>
      </c>
      <c r="F1587">
        <f t="shared" si="54"/>
        <v>-1.7195818503221046E-2</v>
      </c>
      <c r="G1587">
        <f t="shared" si="55"/>
        <v>-2.8890316353778454E-2</v>
      </c>
    </row>
    <row r="1588" spans="1:7" x14ac:dyDescent="0.35">
      <c r="A1588" t="s">
        <v>91</v>
      </c>
      <c r="E1588">
        <v>-9.2341432511968422E-5</v>
      </c>
      <c r="F1588">
        <f t="shared" si="54"/>
        <v>-1.7197557828176356E-2</v>
      </c>
      <c r="G1588">
        <f t="shared" si="55"/>
        <v>-2.8890316353778454E-2</v>
      </c>
    </row>
    <row r="1589" spans="1:7" x14ac:dyDescent="0.35">
      <c r="A1589" t="s">
        <v>91</v>
      </c>
      <c r="E1589">
        <v>6.7186152894115839E-3</v>
      </c>
      <c r="F1589">
        <f t="shared" si="54"/>
        <v>-1.7199297153131662E-2</v>
      </c>
      <c r="G1589">
        <f t="shared" si="55"/>
        <v>-2.8890316353778454E-2</v>
      </c>
    </row>
    <row r="1590" spans="1:7" x14ac:dyDescent="0.35">
      <c r="A1590" t="s">
        <v>91</v>
      </c>
      <c r="E1590">
        <v>-2.6176522679411309E-3</v>
      </c>
      <c r="F1590">
        <f t="shared" si="54"/>
        <v>-1.7201036478086969E-2</v>
      </c>
      <c r="G1590">
        <f t="shared" si="55"/>
        <v>-2.8890316353778454E-2</v>
      </c>
    </row>
    <row r="1591" spans="1:7" x14ac:dyDescent="0.35">
      <c r="A1591" t="s">
        <v>91</v>
      </c>
      <c r="E1591">
        <v>8.7445760902801813E-3</v>
      </c>
      <c r="F1591">
        <f t="shared" si="54"/>
        <v>-1.7202775803042279E-2</v>
      </c>
      <c r="G1591">
        <f t="shared" si="55"/>
        <v>-2.8890316353778454E-2</v>
      </c>
    </row>
    <row r="1592" spans="1:7" x14ac:dyDescent="0.35">
      <c r="A1592" t="s">
        <v>91</v>
      </c>
      <c r="E1592">
        <v>-1.1507422196009118E-2</v>
      </c>
      <c r="F1592">
        <f t="shared" si="54"/>
        <v>-1.7204515127997585E-2</v>
      </c>
      <c r="G1592">
        <f t="shared" si="55"/>
        <v>-2.8890316353778454E-2</v>
      </c>
    </row>
    <row r="1593" spans="1:7" x14ac:dyDescent="0.35">
      <c r="A1593" t="s">
        <v>91</v>
      </c>
      <c r="E1593">
        <v>1.1062884023947298E-2</v>
      </c>
      <c r="F1593">
        <f t="shared" si="54"/>
        <v>-1.7206254452952895E-2</v>
      </c>
      <c r="G1593">
        <f t="shared" si="55"/>
        <v>-2.8890316353778454E-2</v>
      </c>
    </row>
    <row r="1594" spans="1:7" x14ac:dyDescent="0.35">
      <c r="A1594" t="s">
        <v>91</v>
      </c>
      <c r="E1594">
        <v>-6.5426994310792937E-3</v>
      </c>
      <c r="F1594">
        <f t="shared" si="54"/>
        <v>-1.7207993777908201E-2</v>
      </c>
      <c r="G1594">
        <f t="shared" si="55"/>
        <v>-2.8890316353778454E-2</v>
      </c>
    </row>
    <row r="1595" spans="1:7" x14ac:dyDescent="0.35">
      <c r="A1595" t="s">
        <v>91</v>
      </c>
      <c r="E1595">
        <v>2.3151991723685657E-2</v>
      </c>
      <c r="F1595">
        <f t="shared" si="54"/>
        <v>-1.7209733102863511E-2</v>
      </c>
      <c r="G1595">
        <f t="shared" si="55"/>
        <v>-2.8890316353778454E-2</v>
      </c>
    </row>
    <row r="1596" spans="1:7" x14ac:dyDescent="0.35">
      <c r="A1596" t="s">
        <v>91</v>
      </c>
      <c r="E1596">
        <v>2.293498004961924E-2</v>
      </c>
      <c r="F1596">
        <f t="shared" si="54"/>
        <v>-1.7211472427818817E-2</v>
      </c>
      <c r="G1596">
        <f t="shared" si="55"/>
        <v>-2.8890316353778454E-2</v>
      </c>
    </row>
    <row r="1597" spans="1:7" x14ac:dyDescent="0.35">
      <c r="A1597" t="s">
        <v>91</v>
      </c>
      <c r="E1597">
        <v>-5.0318164637629418E-3</v>
      </c>
      <c r="F1597">
        <f t="shared" si="54"/>
        <v>-1.7213211752774127E-2</v>
      </c>
      <c r="G1597">
        <f t="shared" si="55"/>
        <v>-2.8890316353778454E-2</v>
      </c>
    </row>
    <row r="1598" spans="1:7" x14ac:dyDescent="0.35">
      <c r="A1598" t="s">
        <v>91</v>
      </c>
      <c r="E1598">
        <v>3.0902067315265328E-3</v>
      </c>
      <c r="F1598">
        <f t="shared" si="54"/>
        <v>-1.7214951077729433E-2</v>
      </c>
      <c r="G1598">
        <f t="shared" si="55"/>
        <v>-2.8890316353778454E-2</v>
      </c>
    </row>
    <row r="1599" spans="1:7" x14ac:dyDescent="0.35">
      <c r="A1599" t="s">
        <v>91</v>
      </c>
      <c r="E1599">
        <v>-8.0810525039063715E-3</v>
      </c>
      <c r="F1599">
        <f t="shared" si="54"/>
        <v>-1.7216690402684739E-2</v>
      </c>
      <c r="G1599">
        <f t="shared" si="55"/>
        <v>-2.8890316353778454E-2</v>
      </c>
    </row>
    <row r="1600" spans="1:7" x14ac:dyDescent="0.35">
      <c r="A1600" t="s">
        <v>92</v>
      </c>
      <c r="B1600" s="3" cm="1">
        <f t="array" ref="B1600">_xlfn.STDEV.S(_xlfn._xlws.FILTER($E$1000:$E$1998, $A$1000:$A$1998="2016-06"))</f>
        <v>3.378209884415577E-2</v>
      </c>
      <c r="C1600" s="3" cm="1">
        <f t="array" ref="C1600">AVERAGE(_xlfn._xlws.FILTER($E$1000:$E$1998, $A$1000:$A$1998="2016-06"))</f>
        <v>-4.606669920185825E-3</v>
      </c>
      <c r="D1600" s="3" cm="1">
        <f t="array" ref="D1600">_xlfn.PERCENTILE.EXC(_xlfn._xlws.FILTER($E$1498:$E$2489, $A$1498:$A$2489="2016-06"), 0.05)</f>
        <v>-0.1169245459873989</v>
      </c>
      <c r="E1600">
        <v>-1.3046884676589524E-2</v>
      </c>
      <c r="F1600">
        <f t="shared" si="54"/>
        <v>-1.7218429727640049E-2</v>
      </c>
      <c r="G1600">
        <f t="shared" si="55"/>
        <v>-2.8890316353778454E-2</v>
      </c>
    </row>
    <row r="1601" spans="1:7" x14ac:dyDescent="0.35">
      <c r="A1601" t="s">
        <v>92</v>
      </c>
      <c r="E1601">
        <v>4.5874719609035122E-3</v>
      </c>
      <c r="F1601">
        <f t="shared" si="54"/>
        <v>-1.7222893227933588E-2</v>
      </c>
      <c r="G1601">
        <f t="shared" si="55"/>
        <v>-2.8996424414016078E-2</v>
      </c>
    </row>
    <row r="1602" spans="1:7" x14ac:dyDescent="0.35">
      <c r="A1602" t="s">
        <v>92</v>
      </c>
      <c r="E1602">
        <v>-1.7602301377669806E-2</v>
      </c>
      <c r="F1602">
        <f t="shared" si="54"/>
        <v>-1.7227356728227124E-2</v>
      </c>
      <c r="G1602">
        <f t="shared" si="55"/>
        <v>-2.8996424414016078E-2</v>
      </c>
    </row>
    <row r="1603" spans="1:7" x14ac:dyDescent="0.35">
      <c r="A1603" t="s">
        <v>92</v>
      </c>
      <c r="E1603">
        <v>2.4850935620942425E-3</v>
      </c>
      <c r="F1603">
        <f t="shared" si="54"/>
        <v>-1.7188861203399814E-2</v>
      </c>
      <c r="G1603">
        <f t="shared" si="55"/>
        <v>-2.8992934671743079E-2</v>
      </c>
    </row>
    <row r="1604" spans="1:7" x14ac:dyDescent="0.35">
      <c r="A1604" t="s">
        <v>92</v>
      </c>
      <c r="E1604">
        <v>8.0144914820365898E-3</v>
      </c>
      <c r="F1604">
        <f t="shared" ref="F1604:F1667" si="56">_xlfn.PERCENTILE.EXC(E1604:E5419,0.05)</f>
        <v>-1.7190600528355124E-2</v>
      </c>
      <c r="G1604">
        <f t="shared" ref="G1604:G1667" si="57">AVERAGEIFS(E1604:E5420,E1604:E5420,"&lt;=" &amp; F1604)</f>
        <v>-2.8992934671743079E-2</v>
      </c>
    </row>
    <row r="1605" spans="1:7" x14ac:dyDescent="0.35">
      <c r="A1605" t="s">
        <v>92</v>
      </c>
      <c r="E1605">
        <v>-7.1195557387285094E-3</v>
      </c>
      <c r="F1605">
        <f t="shared" si="56"/>
        <v>-1.719233985331043E-2</v>
      </c>
      <c r="G1605">
        <f t="shared" si="57"/>
        <v>-2.8992934671743079E-2</v>
      </c>
    </row>
    <row r="1606" spans="1:7" x14ac:dyDescent="0.35">
      <c r="A1606" t="s">
        <v>92</v>
      </c>
      <c r="E1606">
        <v>-7.0337602284034385E-3</v>
      </c>
      <c r="F1606">
        <f t="shared" si="56"/>
        <v>-1.719407917826574E-2</v>
      </c>
      <c r="G1606">
        <f t="shared" si="57"/>
        <v>-2.8992934671743079E-2</v>
      </c>
    </row>
    <row r="1607" spans="1:7" x14ac:dyDescent="0.35">
      <c r="A1607" t="s">
        <v>92</v>
      </c>
      <c r="E1607">
        <v>-3.2331900811836761E-2</v>
      </c>
      <c r="F1607">
        <f t="shared" si="56"/>
        <v>-1.7195818503221046E-2</v>
      </c>
      <c r="G1607">
        <f t="shared" si="57"/>
        <v>-2.8992934671743079E-2</v>
      </c>
    </row>
    <row r="1608" spans="1:7" x14ac:dyDescent="0.35">
      <c r="A1608" t="s">
        <v>92</v>
      </c>
      <c r="E1608">
        <v>-2.2234650049149027E-2</v>
      </c>
      <c r="F1608">
        <f t="shared" si="56"/>
        <v>-1.7168691663096421E-2</v>
      </c>
      <c r="G1608">
        <f t="shared" si="57"/>
        <v>-2.8855223239167598E-2</v>
      </c>
    </row>
    <row r="1609" spans="1:7" x14ac:dyDescent="0.35">
      <c r="A1609" t="s">
        <v>92</v>
      </c>
      <c r="E1609">
        <v>-2.1558304255742525E-2</v>
      </c>
      <c r="F1609">
        <f t="shared" si="56"/>
        <v>-1.7129715794308862E-2</v>
      </c>
      <c r="G1609">
        <f t="shared" si="57"/>
        <v>-2.8809078456473559E-2</v>
      </c>
    </row>
    <row r="1610" spans="1:7" x14ac:dyDescent="0.35">
      <c r="A1610" t="s">
        <v>92</v>
      </c>
      <c r="E1610">
        <v>1.5155228242974914E-2</v>
      </c>
      <c r="F1610">
        <f t="shared" si="56"/>
        <v>-1.7104088480625404E-2</v>
      </c>
      <c r="G1610">
        <f t="shared" si="57"/>
        <v>-2.8768602798207255E-2</v>
      </c>
    </row>
    <row r="1611" spans="1:7" x14ac:dyDescent="0.35">
      <c r="A1611" t="s">
        <v>92</v>
      </c>
      <c r="E1611">
        <v>-6.1882062684069788E-3</v>
      </c>
      <c r="F1611">
        <f t="shared" si="56"/>
        <v>-1.7104277817207723E-2</v>
      </c>
      <c r="G1611">
        <f t="shared" si="57"/>
        <v>-2.8768602798207255E-2</v>
      </c>
    </row>
    <row r="1612" spans="1:7" x14ac:dyDescent="0.35">
      <c r="A1612" t="s">
        <v>92</v>
      </c>
      <c r="E1612">
        <v>1.9575673860478312E-2</v>
      </c>
      <c r="F1612">
        <f t="shared" si="56"/>
        <v>-1.7104467153790038E-2</v>
      </c>
      <c r="G1612">
        <f t="shared" si="57"/>
        <v>-2.8768602798207255E-2</v>
      </c>
    </row>
    <row r="1613" spans="1:7" x14ac:dyDescent="0.35">
      <c r="A1613" t="s">
        <v>92</v>
      </c>
      <c r="E1613">
        <v>3.3526371681571014E-2</v>
      </c>
      <c r="F1613">
        <f t="shared" si="56"/>
        <v>-1.7104656490372357E-2</v>
      </c>
      <c r="G1613">
        <f t="shared" si="57"/>
        <v>-2.8768602798207255E-2</v>
      </c>
    </row>
    <row r="1614" spans="1:7" x14ac:dyDescent="0.35">
      <c r="A1614" t="s">
        <v>92</v>
      </c>
      <c r="E1614">
        <v>2.3333189905165447E-3</v>
      </c>
      <c r="F1614">
        <f t="shared" si="56"/>
        <v>-1.7104845826954672E-2</v>
      </c>
      <c r="G1614">
        <f t="shared" si="57"/>
        <v>-2.8768602798207255E-2</v>
      </c>
    </row>
    <row r="1615" spans="1:7" x14ac:dyDescent="0.35">
      <c r="A1615" t="s">
        <v>92</v>
      </c>
      <c r="E1615">
        <v>3.9955606920275407E-3</v>
      </c>
      <c r="F1615">
        <f t="shared" si="56"/>
        <v>-1.7105035163536991E-2</v>
      </c>
      <c r="G1615">
        <f t="shared" si="57"/>
        <v>-2.8768602798207255E-2</v>
      </c>
    </row>
    <row r="1616" spans="1:7" x14ac:dyDescent="0.35">
      <c r="A1616" t="s">
        <v>92</v>
      </c>
      <c r="E1616">
        <v>2.0845341510196971E-2</v>
      </c>
      <c r="F1616">
        <f t="shared" si="56"/>
        <v>-1.7105224500119306E-2</v>
      </c>
      <c r="G1616">
        <f t="shared" si="57"/>
        <v>-2.8768602798207255E-2</v>
      </c>
    </row>
    <row r="1617" spans="1:7" x14ac:dyDescent="0.35">
      <c r="A1617" t="s">
        <v>92</v>
      </c>
      <c r="E1617">
        <v>-0.13185265984190989</v>
      </c>
      <c r="F1617">
        <f t="shared" si="56"/>
        <v>-1.7105413836701625E-2</v>
      </c>
      <c r="G1617">
        <f t="shared" si="57"/>
        <v>-2.8768602798207255E-2</v>
      </c>
    </row>
    <row r="1618" spans="1:7" x14ac:dyDescent="0.35">
      <c r="A1618" t="s">
        <v>92</v>
      </c>
      <c r="E1618">
        <v>-1.842832650070643E-2</v>
      </c>
      <c r="F1618">
        <f t="shared" si="56"/>
        <v>-1.7098927203423247E-2</v>
      </c>
      <c r="G1618">
        <f t="shared" si="57"/>
        <v>-2.7725416755233552E-2</v>
      </c>
    </row>
    <row r="1619" spans="1:7" x14ac:dyDescent="0.35">
      <c r="A1619" t="s">
        <v>92</v>
      </c>
      <c r="E1619">
        <v>2.4483636341914999E-2</v>
      </c>
      <c r="F1619">
        <f t="shared" si="56"/>
        <v>-1.7069077819704535E-2</v>
      </c>
      <c r="G1619">
        <f t="shared" si="57"/>
        <v>-2.7713063932509063E-2</v>
      </c>
    </row>
    <row r="1620" spans="1:7" x14ac:dyDescent="0.35">
      <c r="A1620" t="s">
        <v>92</v>
      </c>
      <c r="E1620">
        <v>3.3917292883419541E-2</v>
      </c>
      <c r="F1620">
        <f t="shared" si="56"/>
        <v>-1.7069516001012332E-2</v>
      </c>
      <c r="G1620">
        <f t="shared" si="57"/>
        <v>-2.7713063932509063E-2</v>
      </c>
    </row>
    <row r="1621" spans="1:7" x14ac:dyDescent="0.35">
      <c r="A1621" t="s">
        <v>92</v>
      </c>
      <c r="E1621">
        <v>7.1303302969205765E-3</v>
      </c>
      <c r="F1621">
        <f t="shared" si="56"/>
        <v>-1.7071149956701826E-2</v>
      </c>
      <c r="G1621">
        <f t="shared" si="57"/>
        <v>-2.7810711161238386E-2</v>
      </c>
    </row>
    <row r="1622" spans="1:7" x14ac:dyDescent="0.35">
      <c r="A1622" t="s">
        <v>93</v>
      </c>
      <c r="B1622" s="3" cm="1">
        <f t="array" ref="B1622">_xlfn.STDEV.S(_xlfn._xlws.FILTER($E$1000:$E$1998, $A$1000:$A$1998="2016-07"))</f>
        <v>1.2774546498297104E-2</v>
      </c>
      <c r="C1622" s="3" cm="1">
        <f t="array" ref="C1622">AVERAGE(_xlfn._xlws.FILTER($E$1000:$E$1998, $A$1000:$A$1998="2016-07"))</f>
        <v>2.4106773072430027E-3</v>
      </c>
      <c r="D1622" s="3" cm="1">
        <f t="array" ref="D1622">_xlfn.PERCENTILE.EXC(_xlfn._xlws.FILTER($E$1498:$E$2489, $A$1498:$A$2489="2016-07"), 0.05)</f>
        <v>-2.2890877043202681E-2</v>
      </c>
      <c r="E1622">
        <v>1.2852990317835111E-2</v>
      </c>
      <c r="F1622">
        <f t="shared" si="56"/>
        <v>-1.7072783912391323E-2</v>
      </c>
      <c r="G1622">
        <f t="shared" si="57"/>
        <v>-2.7810711161238386E-2</v>
      </c>
    </row>
    <row r="1623" spans="1:7" x14ac:dyDescent="0.35">
      <c r="A1623" t="s">
        <v>93</v>
      </c>
      <c r="E1623">
        <v>-1.5733930434090511E-3</v>
      </c>
      <c r="F1623">
        <f t="shared" si="56"/>
        <v>-1.7074417868080817E-2</v>
      </c>
      <c r="G1623">
        <f t="shared" si="57"/>
        <v>-2.7810711161238386E-2</v>
      </c>
    </row>
    <row r="1624" spans="1:7" x14ac:dyDescent="0.35">
      <c r="A1624" t="s">
        <v>93</v>
      </c>
      <c r="E1624">
        <v>-2.3072055981896048E-2</v>
      </c>
      <c r="F1624">
        <f t="shared" si="56"/>
        <v>-1.7076051823770314E-2</v>
      </c>
      <c r="G1624">
        <f t="shared" si="57"/>
        <v>-2.7810711161238386E-2</v>
      </c>
    </row>
    <row r="1625" spans="1:7" x14ac:dyDescent="0.35">
      <c r="A1625" t="s">
        <v>93</v>
      </c>
      <c r="E1625">
        <v>-1.7682312421934649E-2</v>
      </c>
      <c r="F1625">
        <f t="shared" si="56"/>
        <v>-1.7062943281395355E-2</v>
      </c>
      <c r="G1625">
        <f t="shared" si="57"/>
        <v>-2.7755641987101832E-2</v>
      </c>
    </row>
    <row r="1626" spans="1:7" x14ac:dyDescent="0.35">
      <c r="A1626" t="s">
        <v>93</v>
      </c>
      <c r="E1626">
        <v>1.0292288867103986E-2</v>
      </c>
      <c r="F1626">
        <f t="shared" si="56"/>
        <v>-1.7012216127764244E-2</v>
      </c>
      <c r="G1626">
        <f t="shared" si="57"/>
        <v>-2.7749939601348823E-2</v>
      </c>
    </row>
    <row r="1627" spans="1:7" x14ac:dyDescent="0.35">
      <c r="A1627" t="s">
        <v>93</v>
      </c>
      <c r="E1627">
        <v>2.1947145291071956E-2</v>
      </c>
      <c r="F1627">
        <f t="shared" si="56"/>
        <v>-1.7015683002556539E-2</v>
      </c>
      <c r="G1627">
        <f t="shared" si="57"/>
        <v>-2.7749939601348823E-2</v>
      </c>
    </row>
    <row r="1628" spans="1:7" x14ac:dyDescent="0.35">
      <c r="A1628" t="s">
        <v>93</v>
      </c>
      <c r="E1628">
        <v>1.4456621914864323E-2</v>
      </c>
      <c r="F1628">
        <f t="shared" si="56"/>
        <v>-1.7019149877348833E-2</v>
      </c>
      <c r="G1628">
        <f t="shared" si="57"/>
        <v>-2.7749939601348823E-2</v>
      </c>
    </row>
    <row r="1629" spans="1:7" x14ac:dyDescent="0.35">
      <c r="A1629" t="s">
        <v>93</v>
      </c>
      <c r="E1629">
        <v>2.390201289948185E-2</v>
      </c>
      <c r="F1629">
        <f t="shared" si="56"/>
        <v>-1.7022616752141125E-2</v>
      </c>
      <c r="G1629">
        <f t="shared" si="57"/>
        <v>-2.7749939601348823E-2</v>
      </c>
    </row>
    <row r="1630" spans="1:7" x14ac:dyDescent="0.35">
      <c r="A1630" t="s">
        <v>93</v>
      </c>
      <c r="E1630">
        <v>-3.7809454991589437E-3</v>
      </c>
      <c r="F1630">
        <f t="shared" si="56"/>
        <v>-1.7026083626933419E-2</v>
      </c>
      <c r="G1630">
        <f t="shared" si="57"/>
        <v>-2.7749939601348823E-2</v>
      </c>
    </row>
    <row r="1631" spans="1:7" x14ac:dyDescent="0.35">
      <c r="A1631" t="s">
        <v>93</v>
      </c>
      <c r="E1631">
        <v>9.2094012887535704E-3</v>
      </c>
      <c r="F1631">
        <f t="shared" si="56"/>
        <v>-1.7029550501725714E-2</v>
      </c>
      <c r="G1631">
        <f t="shared" si="57"/>
        <v>-2.7749939601348823E-2</v>
      </c>
    </row>
    <row r="1632" spans="1:7" x14ac:dyDescent="0.35">
      <c r="A1632" t="s">
        <v>93</v>
      </c>
      <c r="E1632">
        <v>-2.4936646944786873E-3</v>
      </c>
      <c r="F1632">
        <f t="shared" si="56"/>
        <v>-1.7033017376518009E-2</v>
      </c>
      <c r="G1632">
        <f t="shared" si="57"/>
        <v>-2.7749939601348823E-2</v>
      </c>
    </row>
    <row r="1633" spans="1:7" x14ac:dyDescent="0.35">
      <c r="A1633" t="s">
        <v>93</v>
      </c>
      <c r="E1633">
        <v>-7.7394846552392941E-4</v>
      </c>
      <c r="F1633">
        <f t="shared" si="56"/>
        <v>-1.7036484251310303E-2</v>
      </c>
      <c r="G1633">
        <f t="shared" si="57"/>
        <v>-2.7749939601348823E-2</v>
      </c>
    </row>
    <row r="1634" spans="1:7" x14ac:dyDescent="0.35">
      <c r="A1634" t="s">
        <v>93</v>
      </c>
      <c r="E1634">
        <v>-4.609170044975343E-3</v>
      </c>
      <c r="F1634">
        <f t="shared" si="56"/>
        <v>-1.7039951126102598E-2</v>
      </c>
      <c r="G1634">
        <f t="shared" si="57"/>
        <v>-2.7749939601348823E-2</v>
      </c>
    </row>
    <row r="1635" spans="1:7" x14ac:dyDescent="0.35">
      <c r="A1635" t="s">
        <v>93</v>
      </c>
      <c r="E1635">
        <v>1.0585830973940044E-2</v>
      </c>
      <c r="F1635">
        <f t="shared" si="56"/>
        <v>-1.7043418000894893E-2</v>
      </c>
      <c r="G1635">
        <f t="shared" si="57"/>
        <v>-2.7749939601348823E-2</v>
      </c>
    </row>
    <row r="1636" spans="1:7" x14ac:dyDescent="0.35">
      <c r="A1636" t="s">
        <v>93</v>
      </c>
      <c r="E1636">
        <v>9.4410553020271733E-4</v>
      </c>
      <c r="F1636">
        <f t="shared" si="56"/>
        <v>-1.7046884875687188E-2</v>
      </c>
      <c r="G1636">
        <f t="shared" si="57"/>
        <v>-2.7749939601348823E-2</v>
      </c>
    </row>
    <row r="1637" spans="1:7" x14ac:dyDescent="0.35">
      <c r="A1637" t="s">
        <v>93</v>
      </c>
      <c r="E1637">
        <v>1.8971693646791471E-3</v>
      </c>
      <c r="F1637">
        <f t="shared" si="56"/>
        <v>-1.7050351750479479E-2</v>
      </c>
      <c r="G1637">
        <f t="shared" si="57"/>
        <v>-2.7749939601348823E-2</v>
      </c>
    </row>
    <row r="1638" spans="1:7" x14ac:dyDescent="0.35">
      <c r="A1638" t="s">
        <v>93</v>
      </c>
      <c r="E1638">
        <v>-2.8179529115794312E-3</v>
      </c>
      <c r="F1638">
        <f t="shared" si="56"/>
        <v>-1.7053818625271774E-2</v>
      </c>
      <c r="G1638">
        <f t="shared" si="57"/>
        <v>-2.7749939601348823E-2</v>
      </c>
    </row>
    <row r="1639" spans="1:7" x14ac:dyDescent="0.35">
      <c r="A1639" t="s">
        <v>93</v>
      </c>
      <c r="E1639">
        <v>-1.8090680066143992E-3</v>
      </c>
      <c r="F1639">
        <f t="shared" si="56"/>
        <v>-1.7057285500064068E-2</v>
      </c>
      <c r="G1639">
        <f t="shared" si="57"/>
        <v>-2.7749939601348823E-2</v>
      </c>
    </row>
    <row r="1640" spans="1:7" x14ac:dyDescent="0.35">
      <c r="A1640" t="s">
        <v>93</v>
      </c>
      <c r="E1640">
        <v>1.1752817959183886E-2</v>
      </c>
      <c r="F1640">
        <f t="shared" si="56"/>
        <v>-1.7060752374856363E-2</v>
      </c>
      <c r="G1640">
        <f t="shared" si="57"/>
        <v>-2.7749939601348823E-2</v>
      </c>
    </row>
    <row r="1641" spans="1:7" x14ac:dyDescent="0.35">
      <c r="A1641" t="s">
        <v>93</v>
      </c>
      <c r="E1641">
        <v>-2.1260266594962385E-2</v>
      </c>
      <c r="F1641">
        <f t="shared" si="56"/>
        <v>-1.706119055616416E-2</v>
      </c>
      <c r="G1641">
        <f t="shared" si="57"/>
        <v>-2.7848913557149677E-2</v>
      </c>
    </row>
    <row r="1642" spans="1:7" x14ac:dyDescent="0.35">
      <c r="A1642" t="s">
        <v>93</v>
      </c>
      <c r="E1642">
        <v>1.265661670951934E-2</v>
      </c>
      <c r="F1642">
        <f t="shared" si="56"/>
        <v>-1.6998348628595068E-2</v>
      </c>
      <c r="G1642">
        <f t="shared" si="57"/>
        <v>-2.7810029166222775E-2</v>
      </c>
    </row>
    <row r="1643" spans="1:7" x14ac:dyDescent="0.35">
      <c r="A1643" t="s">
        <v>94</v>
      </c>
      <c r="B1643" s="3" cm="1">
        <f t="array" ref="B1643">_xlfn.STDEV.S(_xlfn._xlws.FILTER($E$1000:$E$1998, $A$1000:$A$1998="2016-08"))</f>
        <v>1.1244209042928784E-2</v>
      </c>
      <c r="C1643" s="3" cm="1">
        <f t="array" ref="C1643">AVERAGE(_xlfn._xlws.FILTER($E$1000:$E$1998, $A$1000:$A$1998="2016-08"))</f>
        <v>7.1330836440568527E-4</v>
      </c>
      <c r="D1643" s="3" cm="1">
        <f t="array" ref="D1643">_xlfn.PERCENTILE.EXC(_xlfn._xlws.FILTER($E$1498:$E$2489, $A$1498:$A$2489="2016-08"), 0.05)</f>
        <v>-2.6886778048891231E-2</v>
      </c>
      <c r="E1643">
        <v>-8.6313296812418686E-3</v>
      </c>
      <c r="F1643">
        <f t="shared" si="56"/>
        <v>-1.700181550338736E-2</v>
      </c>
      <c r="G1643">
        <f t="shared" si="57"/>
        <v>-2.7810029166222775E-2</v>
      </c>
    </row>
    <row r="1644" spans="1:7" x14ac:dyDescent="0.35">
      <c r="A1644" t="s">
        <v>94</v>
      </c>
      <c r="E1644">
        <v>-2.8124564496451451E-2</v>
      </c>
      <c r="F1644">
        <f t="shared" si="56"/>
        <v>-1.7005282378179654E-2</v>
      </c>
      <c r="G1644">
        <f t="shared" si="57"/>
        <v>-2.7810029166222775E-2</v>
      </c>
    </row>
    <row r="1645" spans="1:7" x14ac:dyDescent="0.35">
      <c r="A1645" t="s">
        <v>94</v>
      </c>
      <c r="E1645">
        <v>-1.6686016639902723E-3</v>
      </c>
      <c r="F1645">
        <f t="shared" si="56"/>
        <v>-1.6933983734101796E-2</v>
      </c>
      <c r="G1645">
        <f t="shared" si="57"/>
        <v>-2.7706944447542764E-2</v>
      </c>
    </row>
    <row r="1646" spans="1:7" x14ac:dyDescent="0.35">
      <c r="A1646" t="s">
        <v>94</v>
      </c>
      <c r="E1646">
        <v>1.4655797190801642E-2</v>
      </c>
      <c r="F1646">
        <f t="shared" si="56"/>
        <v>-1.6937812477095707E-2</v>
      </c>
      <c r="G1646">
        <f t="shared" si="57"/>
        <v>-2.7706944447542764E-2</v>
      </c>
    </row>
    <row r="1647" spans="1:7" x14ac:dyDescent="0.35">
      <c r="A1647" t="s">
        <v>94</v>
      </c>
      <c r="E1647">
        <v>1.8186723931510346E-2</v>
      </c>
      <c r="F1647">
        <f t="shared" si="56"/>
        <v>-1.694164122008962E-2</v>
      </c>
      <c r="G1647">
        <f t="shared" si="57"/>
        <v>-2.7706944447542764E-2</v>
      </c>
    </row>
    <row r="1648" spans="1:7" x14ac:dyDescent="0.35">
      <c r="A1648" t="s">
        <v>94</v>
      </c>
      <c r="E1648">
        <v>2.701455867288087E-3</v>
      </c>
      <c r="F1648">
        <f t="shared" si="56"/>
        <v>-1.6945469963083531E-2</v>
      </c>
      <c r="G1648">
        <f t="shared" si="57"/>
        <v>-2.7706944447542764E-2</v>
      </c>
    </row>
    <row r="1649" spans="1:7" x14ac:dyDescent="0.35">
      <c r="A1649" t="s">
        <v>94</v>
      </c>
      <c r="E1649">
        <v>1.1945881237360706E-2</v>
      </c>
      <c r="F1649">
        <f t="shared" si="56"/>
        <v>-1.6949298706077445E-2</v>
      </c>
      <c r="G1649">
        <f t="shared" si="57"/>
        <v>-2.7706944447542764E-2</v>
      </c>
    </row>
    <row r="1650" spans="1:7" x14ac:dyDescent="0.35">
      <c r="A1650" t="s">
        <v>94</v>
      </c>
      <c r="E1650">
        <v>-7.5039110440308448E-4</v>
      </c>
      <c r="F1650">
        <f t="shared" si="56"/>
        <v>-1.6953127449071355E-2</v>
      </c>
      <c r="G1650">
        <f t="shared" si="57"/>
        <v>-2.7706944447542764E-2</v>
      </c>
    </row>
    <row r="1651" spans="1:7" x14ac:dyDescent="0.35">
      <c r="A1651" t="s">
        <v>94</v>
      </c>
      <c r="E1651">
        <v>6.9742031060766102E-3</v>
      </c>
      <c r="F1651">
        <f t="shared" si="56"/>
        <v>-1.6956956192065269E-2</v>
      </c>
      <c r="G1651">
        <f t="shared" si="57"/>
        <v>-2.7706944447542764E-2</v>
      </c>
    </row>
    <row r="1652" spans="1:7" x14ac:dyDescent="0.35">
      <c r="A1652" t="s">
        <v>94</v>
      </c>
      <c r="E1652">
        <v>-3.5558818674859554E-4</v>
      </c>
      <c r="F1652">
        <f t="shared" si="56"/>
        <v>-1.6960784935059179E-2</v>
      </c>
      <c r="G1652">
        <f t="shared" si="57"/>
        <v>-2.7706944447542764E-2</v>
      </c>
    </row>
    <row r="1653" spans="1:7" x14ac:dyDescent="0.35">
      <c r="A1653" t="s">
        <v>94</v>
      </c>
      <c r="E1653">
        <v>-1.0924027632240214E-2</v>
      </c>
      <c r="F1653">
        <f t="shared" si="56"/>
        <v>-1.6964613678053093E-2</v>
      </c>
      <c r="G1653">
        <f t="shared" si="57"/>
        <v>-2.7706944447542764E-2</v>
      </c>
    </row>
    <row r="1654" spans="1:7" x14ac:dyDescent="0.35">
      <c r="A1654" t="s">
        <v>94</v>
      </c>
      <c r="E1654">
        <v>-1.5746700020849283E-2</v>
      </c>
      <c r="F1654">
        <f t="shared" si="56"/>
        <v>-1.6968442421047003E-2</v>
      </c>
      <c r="G1654">
        <f t="shared" si="57"/>
        <v>-2.7706944447542764E-2</v>
      </c>
    </row>
    <row r="1655" spans="1:7" x14ac:dyDescent="0.35">
      <c r="A1655" t="s">
        <v>94</v>
      </c>
      <c r="E1655">
        <v>7.4073977991651564E-3</v>
      </c>
      <c r="F1655">
        <f t="shared" si="56"/>
        <v>-1.6972271164040917E-2</v>
      </c>
      <c r="G1655">
        <f t="shared" si="57"/>
        <v>-2.7706944447542764E-2</v>
      </c>
    </row>
    <row r="1656" spans="1:7" x14ac:dyDescent="0.35">
      <c r="A1656" t="s">
        <v>94</v>
      </c>
      <c r="E1656">
        <v>-1.1705534021263573E-2</v>
      </c>
      <c r="F1656">
        <f t="shared" si="56"/>
        <v>-1.6976099907034831E-2</v>
      </c>
      <c r="G1656">
        <f t="shared" si="57"/>
        <v>-2.7706944447542764E-2</v>
      </c>
    </row>
    <row r="1657" spans="1:7" x14ac:dyDescent="0.35">
      <c r="A1657" t="s">
        <v>94</v>
      </c>
      <c r="E1657">
        <v>2.0569085071771749E-3</v>
      </c>
      <c r="F1657">
        <f t="shared" si="56"/>
        <v>-1.6979928650028741E-2</v>
      </c>
      <c r="G1657">
        <f t="shared" si="57"/>
        <v>-2.7706944447542764E-2</v>
      </c>
    </row>
    <row r="1658" spans="1:7" x14ac:dyDescent="0.35">
      <c r="A1658" t="s">
        <v>94</v>
      </c>
      <c r="E1658">
        <v>1.3244449831040407E-2</v>
      </c>
      <c r="F1658">
        <f t="shared" si="56"/>
        <v>-1.6983757393022655E-2</v>
      </c>
      <c r="G1658">
        <f t="shared" si="57"/>
        <v>-2.7706944447542764E-2</v>
      </c>
    </row>
    <row r="1659" spans="1:7" x14ac:dyDescent="0.35">
      <c r="A1659" t="s">
        <v>94</v>
      </c>
      <c r="E1659">
        <v>8.6561539309880468E-3</v>
      </c>
      <c r="F1659">
        <f t="shared" si="56"/>
        <v>-1.6987586136016565E-2</v>
      </c>
      <c r="G1659">
        <f t="shared" si="57"/>
        <v>-2.7706944447542764E-2</v>
      </c>
    </row>
    <row r="1660" spans="1:7" x14ac:dyDescent="0.35">
      <c r="A1660" t="s">
        <v>94</v>
      </c>
      <c r="E1660">
        <v>-6.4908950002371237E-3</v>
      </c>
      <c r="F1660">
        <f t="shared" si="56"/>
        <v>-1.6991414879010479E-2</v>
      </c>
      <c r="G1660">
        <f t="shared" si="57"/>
        <v>-2.7706944447542764E-2</v>
      </c>
    </row>
    <row r="1661" spans="1:7" x14ac:dyDescent="0.35">
      <c r="A1661" t="s">
        <v>94</v>
      </c>
      <c r="E1661">
        <v>6.9529221525509175E-3</v>
      </c>
      <c r="F1661">
        <f t="shared" si="56"/>
        <v>-1.6994881753802774E-2</v>
      </c>
      <c r="G1661">
        <f t="shared" si="57"/>
        <v>-2.7807089583697275E-2</v>
      </c>
    </row>
    <row r="1662" spans="1:7" x14ac:dyDescent="0.35">
      <c r="A1662" t="s">
        <v>94</v>
      </c>
      <c r="E1662">
        <v>2.9864708646564525E-3</v>
      </c>
      <c r="F1662">
        <f t="shared" si="56"/>
        <v>-1.6998348628595068E-2</v>
      </c>
      <c r="G1662">
        <f t="shared" si="57"/>
        <v>-2.7807089583697275E-2</v>
      </c>
    </row>
    <row r="1663" spans="1:7" x14ac:dyDescent="0.35">
      <c r="A1663" t="s">
        <v>94</v>
      </c>
      <c r="E1663">
        <v>3.6087430413293069E-3</v>
      </c>
      <c r="F1663">
        <f t="shared" si="56"/>
        <v>-1.700181550338736E-2</v>
      </c>
      <c r="G1663">
        <f t="shared" si="57"/>
        <v>-2.7807089583697275E-2</v>
      </c>
    </row>
    <row r="1664" spans="1:7" x14ac:dyDescent="0.35">
      <c r="A1664" t="s">
        <v>95</v>
      </c>
      <c r="B1664" s="3" cm="1">
        <f t="array" ref="B1664">_xlfn.STDEV.S(_xlfn._xlws.FILTER($E$1000:$E$1998, $A$1000:$A$1998="2016-09"))</f>
        <v>1.0580752991853109E-2</v>
      </c>
      <c r="C1664" s="3" cm="1">
        <f t="array" ref="C1664">AVERAGE(_xlfn._xlws.FILTER($E$1000:$E$1998, $A$1000:$A$1998="2016-09"))</f>
        <v>3.2526682223409927E-4</v>
      </c>
      <c r="D1664" s="3" cm="1">
        <f t="array" ref="D1664">_xlfn.PERCENTILE.EXC(_xlfn._xlws.FILTER($E$1498:$E$2489, $A$1498:$A$2489="2016-09"), 0.05)</f>
        <v>-1.7526716887386214E-2</v>
      </c>
      <c r="E1664">
        <v>5.2632904862604957E-3</v>
      </c>
      <c r="F1664">
        <f t="shared" si="56"/>
        <v>-1.7005282378179654E-2</v>
      </c>
      <c r="G1664">
        <f t="shared" si="57"/>
        <v>-2.7807089583697275E-2</v>
      </c>
    </row>
    <row r="1665" spans="1:7" x14ac:dyDescent="0.35">
      <c r="A1665" t="s">
        <v>95</v>
      </c>
      <c r="E1665">
        <v>1.65352884919703E-2</v>
      </c>
      <c r="F1665">
        <f t="shared" si="56"/>
        <v>-1.7008749252971949E-2</v>
      </c>
      <c r="G1665">
        <f t="shared" si="57"/>
        <v>-2.7807089583697275E-2</v>
      </c>
    </row>
    <row r="1666" spans="1:7" x14ac:dyDescent="0.35">
      <c r="A1666" t="s">
        <v>95</v>
      </c>
      <c r="E1666">
        <v>4.9714023406830154E-3</v>
      </c>
      <c r="F1666">
        <f t="shared" si="56"/>
        <v>-1.7012216127764244E-2</v>
      </c>
      <c r="G1666">
        <f t="shared" si="57"/>
        <v>-2.7807089583697275E-2</v>
      </c>
    </row>
    <row r="1667" spans="1:7" x14ac:dyDescent="0.35">
      <c r="A1667" t="s">
        <v>95</v>
      </c>
      <c r="E1667">
        <v>-6.0270840271900942E-3</v>
      </c>
      <c r="F1667">
        <f t="shared" si="56"/>
        <v>-1.7015683002556539E-2</v>
      </c>
      <c r="G1667">
        <f t="shared" si="57"/>
        <v>-2.7807089583697275E-2</v>
      </c>
    </row>
    <row r="1668" spans="1:7" x14ac:dyDescent="0.35">
      <c r="A1668" t="s">
        <v>95</v>
      </c>
      <c r="E1668">
        <v>1.2928038587130266E-2</v>
      </c>
      <c r="F1668">
        <f t="shared" ref="F1668:F1731" si="58">_xlfn.PERCENTILE.EXC(E1668:E5483,0.05)</f>
        <v>-1.7019149877348833E-2</v>
      </c>
      <c r="G1668">
        <f t="shared" ref="G1668:G1731" si="59">AVERAGEIFS(E1668:E5484,E1668:E5484,"&lt;=" &amp; F1668)</f>
        <v>-2.7807089583697275E-2</v>
      </c>
    </row>
    <row r="1669" spans="1:7" x14ac:dyDescent="0.35">
      <c r="A1669" t="s">
        <v>95</v>
      </c>
      <c r="E1669">
        <v>9.472151366590598E-3</v>
      </c>
      <c r="F1669">
        <f t="shared" si="58"/>
        <v>-1.7022616752141125E-2</v>
      </c>
      <c r="G1669">
        <f t="shared" si="59"/>
        <v>-2.7807089583697275E-2</v>
      </c>
    </row>
    <row r="1670" spans="1:7" x14ac:dyDescent="0.35">
      <c r="A1670" t="s">
        <v>95</v>
      </c>
      <c r="E1670">
        <v>-8.3413809920121988E-3</v>
      </c>
      <c r="F1670">
        <f t="shared" si="58"/>
        <v>-1.7026083626933419E-2</v>
      </c>
      <c r="G1670">
        <f t="shared" si="59"/>
        <v>-2.7807089583697275E-2</v>
      </c>
    </row>
    <row r="1671" spans="1:7" x14ac:dyDescent="0.35">
      <c r="A1671" t="s">
        <v>95</v>
      </c>
      <c r="E1671">
        <v>-1.7762496052094092E-2</v>
      </c>
      <c r="F1671">
        <f t="shared" si="58"/>
        <v>-1.7029550501725714E-2</v>
      </c>
      <c r="G1671">
        <f t="shared" si="59"/>
        <v>-2.7807089583697275E-2</v>
      </c>
    </row>
    <row r="1672" spans="1:7" x14ac:dyDescent="0.35">
      <c r="A1672" t="s">
        <v>95</v>
      </c>
      <c r="E1672">
        <v>-1.619063495404157E-2</v>
      </c>
      <c r="F1672">
        <f t="shared" si="58"/>
        <v>-1.6960784935059179E-2</v>
      </c>
      <c r="G1672">
        <f t="shared" si="59"/>
        <v>-2.7799883217593691E-2</v>
      </c>
    </row>
    <row r="1673" spans="1:7" x14ac:dyDescent="0.35">
      <c r="A1673" t="s">
        <v>95</v>
      </c>
      <c r="E1673">
        <v>-2.5019236536841416E-3</v>
      </c>
      <c r="F1673">
        <f t="shared" si="58"/>
        <v>-1.6964613678053093E-2</v>
      </c>
      <c r="G1673">
        <f t="shared" si="59"/>
        <v>-2.7799883217593691E-2</v>
      </c>
    </row>
    <row r="1674" spans="1:7" x14ac:dyDescent="0.35">
      <c r="A1674" t="s">
        <v>95</v>
      </c>
      <c r="E1674">
        <v>2.0777260400268935E-3</v>
      </c>
      <c r="F1674">
        <f t="shared" si="58"/>
        <v>-1.6968442421047003E-2</v>
      </c>
      <c r="G1674">
        <f t="shared" si="59"/>
        <v>-2.7799883217593691E-2</v>
      </c>
    </row>
    <row r="1675" spans="1:7" x14ac:dyDescent="0.35">
      <c r="A1675" t="s">
        <v>95</v>
      </c>
      <c r="E1675">
        <v>-1.0038173711296344E-2</v>
      </c>
      <c r="F1675">
        <f t="shared" si="58"/>
        <v>-1.6972271164040917E-2</v>
      </c>
      <c r="G1675">
        <f t="shared" si="59"/>
        <v>-2.7799883217593691E-2</v>
      </c>
    </row>
    <row r="1676" spans="1:7" x14ac:dyDescent="0.35">
      <c r="A1676" t="s">
        <v>95</v>
      </c>
      <c r="E1676">
        <v>9.4646476574933493E-3</v>
      </c>
      <c r="F1676">
        <f t="shared" si="58"/>
        <v>-1.6976099907034831E-2</v>
      </c>
      <c r="G1676">
        <f t="shared" si="59"/>
        <v>-2.7799883217593691E-2</v>
      </c>
    </row>
    <row r="1677" spans="1:7" x14ac:dyDescent="0.35">
      <c r="A1677" t="s">
        <v>95</v>
      </c>
      <c r="E1677">
        <v>-3.3790028472395371E-3</v>
      </c>
      <c r="F1677">
        <f t="shared" si="58"/>
        <v>-1.6979928650028741E-2</v>
      </c>
      <c r="G1677">
        <f t="shared" si="59"/>
        <v>-2.7799883217593691E-2</v>
      </c>
    </row>
    <row r="1678" spans="1:7" x14ac:dyDescent="0.35">
      <c r="A1678" t="s">
        <v>95</v>
      </c>
      <c r="E1678">
        <v>8.3006105840214128E-3</v>
      </c>
      <c r="F1678">
        <f t="shared" si="58"/>
        <v>-1.6983757393022655E-2</v>
      </c>
      <c r="G1678">
        <f t="shared" si="59"/>
        <v>-2.7799883217593691E-2</v>
      </c>
    </row>
    <row r="1679" spans="1:7" x14ac:dyDescent="0.35">
      <c r="A1679" t="s">
        <v>95</v>
      </c>
      <c r="E1679">
        <v>1.9940299197394259E-2</v>
      </c>
      <c r="F1679">
        <f t="shared" si="58"/>
        <v>-1.6987586136016565E-2</v>
      </c>
      <c r="G1679">
        <f t="shared" si="59"/>
        <v>-2.7799883217593691E-2</v>
      </c>
    </row>
    <row r="1680" spans="1:7" x14ac:dyDescent="0.35">
      <c r="A1680" t="s">
        <v>95</v>
      </c>
      <c r="E1680">
        <v>-1.2535006598919308E-2</v>
      </c>
      <c r="F1680">
        <f t="shared" si="58"/>
        <v>-1.6991414879010479E-2</v>
      </c>
      <c r="G1680">
        <f t="shared" si="59"/>
        <v>-2.7799883217593691E-2</v>
      </c>
    </row>
    <row r="1681" spans="1:7" x14ac:dyDescent="0.35">
      <c r="A1681" t="s">
        <v>95</v>
      </c>
      <c r="E1681">
        <v>-1.2797437272479988E-2</v>
      </c>
      <c r="F1681">
        <f t="shared" si="58"/>
        <v>-1.6994881753802774E-2</v>
      </c>
      <c r="G1681">
        <f t="shared" si="59"/>
        <v>-2.7901849900033148E-2</v>
      </c>
    </row>
    <row r="1682" spans="1:7" x14ac:dyDescent="0.35">
      <c r="A1682" t="s">
        <v>95</v>
      </c>
      <c r="E1682">
        <v>-2.6667295511153791E-3</v>
      </c>
      <c r="F1682">
        <f t="shared" si="58"/>
        <v>-1.6998348628595068E-2</v>
      </c>
      <c r="G1682">
        <f t="shared" si="59"/>
        <v>-2.7901849900033148E-2</v>
      </c>
    </row>
    <row r="1683" spans="1:7" x14ac:dyDescent="0.35">
      <c r="A1683" t="s">
        <v>95</v>
      </c>
      <c r="E1683">
        <v>5.9901720261301703E-3</v>
      </c>
      <c r="F1683">
        <f t="shared" si="58"/>
        <v>-1.700181550338736E-2</v>
      </c>
      <c r="G1683">
        <f t="shared" si="59"/>
        <v>-2.7901849900033148E-2</v>
      </c>
    </row>
    <row r="1684" spans="1:7" x14ac:dyDescent="0.35">
      <c r="A1684" t="s">
        <v>95</v>
      </c>
      <c r="E1684">
        <v>6.3752233123350426E-3</v>
      </c>
      <c r="F1684">
        <f t="shared" si="58"/>
        <v>-1.7005282378179654E-2</v>
      </c>
      <c r="G1684">
        <f t="shared" si="59"/>
        <v>-2.7901849900033148E-2</v>
      </c>
    </row>
    <row r="1685" spans="1:7" x14ac:dyDescent="0.35">
      <c r="A1685" t="s">
        <v>95</v>
      </c>
      <c r="E1685">
        <v>-1.9231103408129649E-3</v>
      </c>
      <c r="F1685">
        <f t="shared" si="58"/>
        <v>-1.7008749252971949E-2</v>
      </c>
      <c r="G1685">
        <f t="shared" si="59"/>
        <v>-2.7901849900033148E-2</v>
      </c>
    </row>
    <row r="1686" spans="1:7" x14ac:dyDescent="0.35">
      <c r="A1686" t="s">
        <v>96</v>
      </c>
      <c r="B1686" s="3" cm="1">
        <f t="array" ref="B1686">_xlfn.STDEV.S(_xlfn._xlws.FILTER($E$1000:$E$1998, $A$1000:$A$1998="2016-10"))</f>
        <v>8.6425280903990459E-3</v>
      </c>
      <c r="C1686" s="3" cm="1">
        <f t="array" ref="C1686">AVERAGE(_xlfn._xlws.FILTER($E$1000:$E$1998, $A$1000:$A$1998="2016-10"))</f>
        <v>2.0306651224601866E-3</v>
      </c>
      <c r="D1686" s="3" cm="1">
        <f t="array" ref="D1686">_xlfn.PERCENTILE.EXC(_xlfn._xlws.FILTER($E$1498:$E$2489, $A$1498:$A$2489="2016-10"), 0.05)</f>
        <v>-1.4999333011839582E-2</v>
      </c>
      <c r="E1686">
        <v>-1.185293384878075E-3</v>
      </c>
      <c r="F1686">
        <f t="shared" si="58"/>
        <v>-1.7012216127764244E-2</v>
      </c>
      <c r="G1686">
        <f t="shared" si="59"/>
        <v>-2.7901849900033148E-2</v>
      </c>
    </row>
    <row r="1687" spans="1:7" x14ac:dyDescent="0.35">
      <c r="A1687" t="s">
        <v>96</v>
      </c>
      <c r="E1687">
        <v>1.0599922347913728E-3</v>
      </c>
      <c r="F1687">
        <f t="shared" si="58"/>
        <v>-1.7015683002556539E-2</v>
      </c>
      <c r="G1687">
        <f t="shared" si="59"/>
        <v>-2.7901849900033148E-2</v>
      </c>
    </row>
    <row r="1688" spans="1:7" x14ac:dyDescent="0.35">
      <c r="A1688" t="s">
        <v>96</v>
      </c>
      <c r="E1688">
        <v>-2.3837097915994075E-3</v>
      </c>
      <c r="F1688">
        <f t="shared" si="58"/>
        <v>-1.7019149877348833E-2</v>
      </c>
      <c r="G1688">
        <f t="shared" si="59"/>
        <v>-2.7901849900033148E-2</v>
      </c>
    </row>
    <row r="1689" spans="1:7" x14ac:dyDescent="0.35">
      <c r="A1689" t="s">
        <v>96</v>
      </c>
      <c r="E1689">
        <v>-1.5315257036880929E-2</v>
      </c>
      <c r="F1689">
        <f t="shared" si="58"/>
        <v>-1.7022616752141125E-2</v>
      </c>
      <c r="G1689">
        <f t="shared" si="59"/>
        <v>-2.7901849900033148E-2</v>
      </c>
    </row>
    <row r="1690" spans="1:7" x14ac:dyDescent="0.35">
      <c r="A1690" t="s">
        <v>96</v>
      </c>
      <c r="E1690">
        <v>8.9116243885621251E-3</v>
      </c>
      <c r="F1690">
        <f t="shared" si="58"/>
        <v>-1.7026083626933419E-2</v>
      </c>
      <c r="G1690">
        <f t="shared" si="59"/>
        <v>-2.7901849900033148E-2</v>
      </c>
    </row>
    <row r="1691" spans="1:7" x14ac:dyDescent="0.35">
      <c r="A1691" t="s">
        <v>96</v>
      </c>
      <c r="E1691">
        <v>-9.5431374268143234E-4</v>
      </c>
      <c r="F1691">
        <f t="shared" si="58"/>
        <v>-1.7029550501725714E-2</v>
      </c>
      <c r="G1691">
        <f t="shared" si="59"/>
        <v>-2.7901849900033148E-2</v>
      </c>
    </row>
    <row r="1692" spans="1:7" x14ac:dyDescent="0.35">
      <c r="A1692" t="s">
        <v>96</v>
      </c>
      <c r="E1692">
        <v>-7.7101449759311058E-4</v>
      </c>
      <c r="F1692">
        <f t="shared" si="58"/>
        <v>-1.7033017376518009E-2</v>
      </c>
      <c r="G1692">
        <f t="shared" si="59"/>
        <v>-2.7901849900033148E-2</v>
      </c>
    </row>
    <row r="1693" spans="1:7" x14ac:dyDescent="0.35">
      <c r="A1693" t="s">
        <v>96</v>
      </c>
      <c r="E1693">
        <v>-8.9967765360539909E-3</v>
      </c>
      <c r="F1693">
        <f t="shared" si="58"/>
        <v>-1.7036484251310303E-2</v>
      </c>
      <c r="G1693">
        <f t="shared" si="59"/>
        <v>-2.7901849900033148E-2</v>
      </c>
    </row>
    <row r="1694" spans="1:7" x14ac:dyDescent="0.35">
      <c r="A1694" t="s">
        <v>96</v>
      </c>
      <c r="E1694">
        <v>1.8324005215368689E-2</v>
      </c>
      <c r="F1694">
        <f t="shared" si="58"/>
        <v>-1.7039951126102598E-2</v>
      </c>
      <c r="G1694">
        <f t="shared" si="59"/>
        <v>-2.7901849900033148E-2</v>
      </c>
    </row>
    <row r="1695" spans="1:7" x14ac:dyDescent="0.35">
      <c r="A1695" t="s">
        <v>96</v>
      </c>
      <c r="E1695">
        <v>-3.1070470376625683E-3</v>
      </c>
      <c r="F1695">
        <f t="shared" si="58"/>
        <v>-1.7043418000894893E-2</v>
      </c>
      <c r="G1695">
        <f t="shared" si="59"/>
        <v>-2.7901849900033148E-2</v>
      </c>
    </row>
    <row r="1696" spans="1:7" x14ac:dyDescent="0.35">
      <c r="A1696" t="s">
        <v>96</v>
      </c>
      <c r="E1696">
        <v>1.4154501907656413E-2</v>
      </c>
      <c r="F1696">
        <f t="shared" si="58"/>
        <v>-1.7046884875687188E-2</v>
      </c>
      <c r="G1696">
        <f t="shared" si="59"/>
        <v>-2.7901849900033148E-2</v>
      </c>
    </row>
    <row r="1697" spans="1:7" x14ac:dyDescent="0.35">
      <c r="A1697" t="s">
        <v>96</v>
      </c>
      <c r="E1697">
        <v>9.5199255075762192E-3</v>
      </c>
      <c r="F1697">
        <f t="shared" si="58"/>
        <v>-1.7050351750479479E-2</v>
      </c>
      <c r="G1697">
        <f t="shared" si="59"/>
        <v>-2.7901849900033148E-2</v>
      </c>
    </row>
    <row r="1698" spans="1:7" x14ac:dyDescent="0.35">
      <c r="A1698" t="s">
        <v>96</v>
      </c>
      <c r="E1698">
        <v>1.233685620654109E-2</v>
      </c>
      <c r="F1698">
        <f t="shared" si="58"/>
        <v>-1.7053818625271774E-2</v>
      </c>
      <c r="G1698">
        <f t="shared" si="59"/>
        <v>-2.7901849900033148E-2</v>
      </c>
    </row>
    <row r="1699" spans="1:7" x14ac:dyDescent="0.35">
      <c r="A1699" t="s">
        <v>96</v>
      </c>
      <c r="E1699">
        <v>4.3168069854784838E-3</v>
      </c>
      <c r="F1699">
        <f t="shared" si="58"/>
        <v>-1.7057285500064068E-2</v>
      </c>
      <c r="G1699">
        <f t="shared" si="59"/>
        <v>-2.7901849900033148E-2</v>
      </c>
    </row>
    <row r="1700" spans="1:7" x14ac:dyDescent="0.35">
      <c r="A1700" t="s">
        <v>96</v>
      </c>
      <c r="E1700">
        <v>1.2644436506230865E-2</v>
      </c>
      <c r="F1700">
        <f t="shared" si="58"/>
        <v>-1.7060752374856363E-2</v>
      </c>
      <c r="G1700">
        <f t="shared" si="59"/>
        <v>-2.7901849900033148E-2</v>
      </c>
    </row>
    <row r="1701" spans="1:7" x14ac:dyDescent="0.35">
      <c r="A1701" t="s">
        <v>96</v>
      </c>
      <c r="E1701">
        <v>-8.3352429366840199E-3</v>
      </c>
      <c r="F1701">
        <f t="shared" si="58"/>
        <v>-1.706119055616416E-2</v>
      </c>
      <c r="G1701">
        <f t="shared" si="59"/>
        <v>-2.800509844789198E-2</v>
      </c>
    </row>
    <row r="1702" spans="1:7" x14ac:dyDescent="0.35">
      <c r="A1702" t="s">
        <v>96</v>
      </c>
      <c r="E1702">
        <v>3.6695284992323599E-3</v>
      </c>
      <c r="F1702">
        <f t="shared" si="58"/>
        <v>-1.7061628737471961E-2</v>
      </c>
      <c r="G1702">
        <f t="shared" si="59"/>
        <v>-2.800509844789198E-2</v>
      </c>
    </row>
    <row r="1703" spans="1:7" x14ac:dyDescent="0.35">
      <c r="A1703" t="s">
        <v>96</v>
      </c>
      <c r="E1703">
        <v>2.6019992362080655E-3</v>
      </c>
      <c r="F1703">
        <f t="shared" si="58"/>
        <v>-1.7062066918779758E-2</v>
      </c>
      <c r="G1703">
        <f t="shared" si="59"/>
        <v>-2.800509844789198E-2</v>
      </c>
    </row>
    <row r="1704" spans="1:7" x14ac:dyDescent="0.35">
      <c r="A1704" t="s">
        <v>96</v>
      </c>
      <c r="E1704">
        <v>4.4568851459258102E-4</v>
      </c>
      <c r="F1704">
        <f t="shared" si="58"/>
        <v>-1.7062505100087558E-2</v>
      </c>
      <c r="G1704">
        <f t="shared" si="59"/>
        <v>-2.800509844789198E-2</v>
      </c>
    </row>
    <row r="1705" spans="1:7" x14ac:dyDescent="0.35">
      <c r="A1705" t="s">
        <v>96</v>
      </c>
      <c r="E1705">
        <v>-6.323407789000997E-3</v>
      </c>
      <c r="F1705">
        <f t="shared" si="58"/>
        <v>-1.7062943281395355E-2</v>
      </c>
      <c r="G1705">
        <f t="shared" si="59"/>
        <v>-2.800509844789198E-2</v>
      </c>
    </row>
    <row r="1706" spans="1:7" x14ac:dyDescent="0.35">
      <c r="A1706" t="s">
        <v>97</v>
      </c>
      <c r="B1706" s="3" cm="1">
        <f t="array" ref="B1706">_xlfn.STDEV.S(_xlfn._xlws.FILTER($E$1000:$E$1998, $A$1000:$A$1998="2016-11"))</f>
        <v>8.4719161740839551E-3</v>
      </c>
      <c r="C1706" s="3" cm="1">
        <f t="array" ref="C1706">AVERAGE(_xlfn._xlws.FILTER($E$1000:$E$1998, $A$1000:$A$1998="2016-11"))</f>
        <v>-2.3207085203116404E-3</v>
      </c>
      <c r="D1706" s="3" cm="1">
        <f t="array" ref="D1706">_xlfn.PERCENTILE.EXC(_xlfn._xlws.FILTER($E$1498:$E$2489, $A$1498:$A$2489="2016-11"), 0.05)</f>
        <v>-1.8335171541833305E-2</v>
      </c>
      <c r="E1706">
        <v>-1.1284765596725546E-2</v>
      </c>
      <c r="F1706">
        <f t="shared" si="58"/>
        <v>-1.7063381462703153E-2</v>
      </c>
      <c r="G1706">
        <f t="shared" si="59"/>
        <v>-2.800509844789198E-2</v>
      </c>
    </row>
    <row r="1707" spans="1:7" x14ac:dyDescent="0.35">
      <c r="A1707" t="s">
        <v>97</v>
      </c>
      <c r="E1707">
        <v>-1.8678567615933818E-2</v>
      </c>
      <c r="F1707">
        <f t="shared" si="58"/>
        <v>-1.7063819644010953E-2</v>
      </c>
      <c r="G1707">
        <f t="shared" si="59"/>
        <v>-2.800509844789198E-2</v>
      </c>
    </row>
    <row r="1708" spans="1:7" x14ac:dyDescent="0.35">
      <c r="A1708" t="s">
        <v>97</v>
      </c>
      <c r="E1708">
        <v>7.3225826076752851E-4</v>
      </c>
      <c r="F1708">
        <f t="shared" si="58"/>
        <v>-1.7019149877348833E-2</v>
      </c>
      <c r="G1708">
        <f t="shared" si="59"/>
        <v>-2.798969068369124E-2</v>
      </c>
    </row>
    <row r="1709" spans="1:7" x14ac:dyDescent="0.35">
      <c r="A1709" t="s">
        <v>97</v>
      </c>
      <c r="E1709">
        <v>-9.9935755184271963E-3</v>
      </c>
      <c r="F1709">
        <f t="shared" si="58"/>
        <v>-1.7022616752141125E-2</v>
      </c>
      <c r="G1709">
        <f t="shared" si="59"/>
        <v>-2.798969068369124E-2</v>
      </c>
    </row>
    <row r="1710" spans="1:7" x14ac:dyDescent="0.35">
      <c r="A1710" t="s">
        <v>97</v>
      </c>
      <c r="E1710">
        <v>1.436468823309677E-2</v>
      </c>
      <c r="F1710">
        <f t="shared" si="58"/>
        <v>-1.7026083626933419E-2</v>
      </c>
      <c r="G1710">
        <f t="shared" si="59"/>
        <v>-2.798969068369124E-2</v>
      </c>
    </row>
    <row r="1711" spans="1:7" x14ac:dyDescent="0.35">
      <c r="A1711" t="s">
        <v>97</v>
      </c>
      <c r="E1711">
        <v>2.0385540051764974E-3</v>
      </c>
      <c r="F1711">
        <f t="shared" si="58"/>
        <v>-1.7029550501725714E-2</v>
      </c>
      <c r="G1711">
        <f t="shared" si="59"/>
        <v>-2.798969068369124E-2</v>
      </c>
    </row>
    <row r="1712" spans="1:7" x14ac:dyDescent="0.35">
      <c r="A1712" t="s">
        <v>97</v>
      </c>
      <c r="E1712">
        <v>-3.9801605364746381E-3</v>
      </c>
      <c r="F1712">
        <f t="shared" si="58"/>
        <v>-1.7033017376518009E-2</v>
      </c>
      <c r="G1712">
        <f t="shared" si="59"/>
        <v>-2.798969068369124E-2</v>
      </c>
    </row>
    <row r="1713" spans="1:7" x14ac:dyDescent="0.35">
      <c r="A1713" t="s">
        <v>97</v>
      </c>
      <c r="E1713">
        <v>-1.6389260455263725E-2</v>
      </c>
      <c r="F1713">
        <f t="shared" si="58"/>
        <v>-1.7036484251310303E-2</v>
      </c>
      <c r="G1713">
        <f t="shared" si="59"/>
        <v>-2.798969068369124E-2</v>
      </c>
    </row>
    <row r="1714" spans="1:7" x14ac:dyDescent="0.35">
      <c r="A1714" t="s">
        <v>97</v>
      </c>
      <c r="E1714">
        <v>-1.352055547110351E-2</v>
      </c>
      <c r="F1714">
        <f t="shared" si="58"/>
        <v>-1.7039951126102598E-2</v>
      </c>
      <c r="G1714">
        <f t="shared" si="59"/>
        <v>-2.798969068369124E-2</v>
      </c>
    </row>
    <row r="1715" spans="1:7" x14ac:dyDescent="0.35">
      <c r="A1715" t="s">
        <v>97</v>
      </c>
      <c r="E1715">
        <v>2.196862839674559E-3</v>
      </c>
      <c r="F1715">
        <f t="shared" si="58"/>
        <v>-1.7043418000894893E-2</v>
      </c>
      <c r="G1715">
        <f t="shared" si="59"/>
        <v>-2.798969068369124E-2</v>
      </c>
    </row>
    <row r="1716" spans="1:7" x14ac:dyDescent="0.35">
      <c r="A1716" t="s">
        <v>97</v>
      </c>
      <c r="E1716">
        <v>3.3323178893363858E-3</v>
      </c>
      <c r="F1716">
        <f t="shared" si="58"/>
        <v>-1.7046884875687188E-2</v>
      </c>
      <c r="G1716">
        <f t="shared" si="59"/>
        <v>-2.798969068369124E-2</v>
      </c>
    </row>
    <row r="1717" spans="1:7" x14ac:dyDescent="0.35">
      <c r="A1717" t="s">
        <v>97</v>
      </c>
      <c r="E1717">
        <v>-5.610210032724188E-3</v>
      </c>
      <c r="F1717">
        <f t="shared" si="58"/>
        <v>-1.7050351750479479E-2</v>
      </c>
      <c r="G1717">
        <f t="shared" si="59"/>
        <v>-2.798969068369124E-2</v>
      </c>
    </row>
    <row r="1718" spans="1:7" x14ac:dyDescent="0.35">
      <c r="A1718" t="s">
        <v>97</v>
      </c>
      <c r="E1718">
        <v>9.1608971835012154E-3</v>
      </c>
      <c r="F1718">
        <f t="shared" si="58"/>
        <v>-1.7053818625271774E-2</v>
      </c>
      <c r="G1718">
        <f t="shared" si="59"/>
        <v>-2.798969068369124E-2</v>
      </c>
    </row>
    <row r="1719" spans="1:7" x14ac:dyDescent="0.35">
      <c r="A1719" t="s">
        <v>97</v>
      </c>
      <c r="E1719">
        <v>-1.0968398805290869E-2</v>
      </c>
      <c r="F1719">
        <f t="shared" si="58"/>
        <v>-1.7057285500064068E-2</v>
      </c>
      <c r="G1719">
        <f t="shared" si="59"/>
        <v>-2.798969068369124E-2</v>
      </c>
    </row>
    <row r="1720" spans="1:7" x14ac:dyDescent="0.35">
      <c r="A1720" t="s">
        <v>97</v>
      </c>
      <c r="E1720">
        <v>-9.6301675317786049E-4</v>
      </c>
      <c r="F1720">
        <f t="shared" si="58"/>
        <v>-1.7060752374856363E-2</v>
      </c>
      <c r="G1720">
        <f t="shared" si="59"/>
        <v>-2.798969068369124E-2</v>
      </c>
    </row>
    <row r="1721" spans="1:7" x14ac:dyDescent="0.35">
      <c r="A1721" t="s">
        <v>97</v>
      </c>
      <c r="E1721">
        <v>4.2742780568338669E-3</v>
      </c>
      <c r="F1721">
        <f t="shared" si="58"/>
        <v>-1.706119055616416E-2</v>
      </c>
      <c r="G1721">
        <f t="shared" si="59"/>
        <v>-2.8094776628968497E-2</v>
      </c>
    </row>
    <row r="1722" spans="1:7" x14ac:dyDescent="0.35">
      <c r="A1722" t="s">
        <v>97</v>
      </c>
      <c r="E1722">
        <v>-2.7779403245445531E-3</v>
      </c>
      <c r="F1722">
        <f t="shared" si="58"/>
        <v>-1.7061628737471961E-2</v>
      </c>
      <c r="G1722">
        <f t="shared" si="59"/>
        <v>-2.8094776628968497E-2</v>
      </c>
    </row>
    <row r="1723" spans="1:7" x14ac:dyDescent="0.35">
      <c r="A1723" t="s">
        <v>97</v>
      </c>
      <c r="E1723">
        <v>3.4365686682157736E-3</v>
      </c>
      <c r="F1723">
        <f t="shared" si="58"/>
        <v>-1.7062066918779758E-2</v>
      </c>
      <c r="G1723">
        <f t="shared" si="59"/>
        <v>-2.8094776628968497E-2</v>
      </c>
    </row>
    <row r="1724" spans="1:7" x14ac:dyDescent="0.35">
      <c r="A1724" t="s">
        <v>97</v>
      </c>
      <c r="E1724">
        <v>1.9848145175978861E-3</v>
      </c>
      <c r="F1724">
        <f t="shared" si="58"/>
        <v>-1.7062505100087558E-2</v>
      </c>
      <c r="G1724">
        <f t="shared" si="59"/>
        <v>-2.8094776628968497E-2</v>
      </c>
    </row>
    <row r="1725" spans="1:7" x14ac:dyDescent="0.35">
      <c r="A1725" t="s">
        <v>97</v>
      </c>
      <c r="E1725">
        <v>-6.3722842941792424E-3</v>
      </c>
      <c r="F1725">
        <f t="shared" si="58"/>
        <v>-1.7062943281395355E-2</v>
      </c>
      <c r="G1725">
        <f t="shared" si="59"/>
        <v>-2.8094776628968497E-2</v>
      </c>
    </row>
    <row r="1726" spans="1:7" x14ac:dyDescent="0.35">
      <c r="A1726" t="s">
        <v>97</v>
      </c>
      <c r="E1726">
        <v>5.5188352705520414E-3</v>
      </c>
      <c r="F1726">
        <f t="shared" si="58"/>
        <v>-1.7063381462703153E-2</v>
      </c>
      <c r="G1726">
        <f t="shared" si="59"/>
        <v>-2.8094776628968497E-2</v>
      </c>
    </row>
    <row r="1727" spans="1:7" x14ac:dyDescent="0.35">
      <c r="A1727" t="s">
        <v>97</v>
      </c>
      <c r="E1727">
        <v>2.4430730322365329E-3</v>
      </c>
      <c r="F1727">
        <f t="shared" si="58"/>
        <v>-1.7063819644010953E-2</v>
      </c>
      <c r="G1727">
        <f t="shared" si="59"/>
        <v>-2.8094776628968497E-2</v>
      </c>
    </row>
    <row r="1728" spans="1:7" x14ac:dyDescent="0.35">
      <c r="A1728" t="s">
        <v>98</v>
      </c>
      <c r="B1728" s="3" cm="1">
        <f t="array" ref="B1728">_xlfn.STDEV.S(_xlfn._xlws.FILTER($E$1000:$E$1998, $A$1000:$A$1998="2016-12"))</f>
        <v>9.7430500729501716E-3</v>
      </c>
      <c r="C1728" s="3" cm="1">
        <f t="array" ref="C1728">AVERAGE(_xlfn._xlws.FILTER($E$1000:$E$1998, $A$1000:$A$1998="2016-12"))</f>
        <v>3.6817566914034449E-3</v>
      </c>
      <c r="D1728" s="3" cm="1">
        <f t="array" ref="D1728">_xlfn.PERCENTILE.EXC(_xlfn._xlws.FILTER($E$1498:$E$2489, $A$1498:$A$2489="2016-12"), 0.05)</f>
        <v>-1.1970090935492306E-2</v>
      </c>
      <c r="E1728">
        <v>-2.1892688523343752E-3</v>
      </c>
      <c r="F1728">
        <f t="shared" si="58"/>
        <v>-1.706425782531875E-2</v>
      </c>
      <c r="G1728">
        <f t="shared" si="59"/>
        <v>-2.8094776628968497E-2</v>
      </c>
    </row>
    <row r="1729" spans="1:7" x14ac:dyDescent="0.35">
      <c r="A1729" t="s">
        <v>98</v>
      </c>
      <c r="E1729">
        <v>-7.1890702821675182E-3</v>
      </c>
      <c r="F1729">
        <f t="shared" si="58"/>
        <v>-1.7064696006626551E-2</v>
      </c>
      <c r="G1729">
        <f t="shared" si="59"/>
        <v>-2.8094776628968497E-2</v>
      </c>
    </row>
    <row r="1730" spans="1:7" x14ac:dyDescent="0.35">
      <c r="A1730" t="s">
        <v>98</v>
      </c>
      <c r="E1730">
        <v>6.6698564755696904E-3</v>
      </c>
      <c r="F1730">
        <f t="shared" si="58"/>
        <v>-1.7065134187934348E-2</v>
      </c>
      <c r="G1730">
        <f t="shared" si="59"/>
        <v>-2.8094776628968497E-2</v>
      </c>
    </row>
    <row r="1731" spans="1:7" x14ac:dyDescent="0.35">
      <c r="A1731" t="s">
        <v>98</v>
      </c>
      <c r="E1731">
        <v>2.6040883720839725E-2</v>
      </c>
      <c r="F1731">
        <f t="shared" si="58"/>
        <v>-1.7065572369242145E-2</v>
      </c>
      <c r="G1731">
        <f t="shared" si="59"/>
        <v>-2.8094776628968497E-2</v>
      </c>
    </row>
    <row r="1732" spans="1:7" x14ac:dyDescent="0.35">
      <c r="A1732" t="s">
        <v>98</v>
      </c>
      <c r="E1732">
        <v>7.5166846011673451E-3</v>
      </c>
      <c r="F1732">
        <f t="shared" ref="F1732:F1795" si="60">_xlfn.PERCENTILE.EXC(E1732:E5547,0.05)</f>
        <v>-1.7066010550549945E-2</v>
      </c>
      <c r="G1732">
        <f t="shared" ref="G1732:G1795" si="61">AVERAGEIFS(E1732:E5548,E1732:E5548,"&lt;=" &amp; F1732)</f>
        <v>-2.8094776628968497E-2</v>
      </c>
    </row>
    <row r="1733" spans="1:7" x14ac:dyDescent="0.35">
      <c r="A1733" t="s">
        <v>98</v>
      </c>
      <c r="E1733">
        <v>2.0436151787251312E-2</v>
      </c>
      <c r="F1733">
        <f t="shared" si="60"/>
        <v>-1.7066448731857742E-2</v>
      </c>
      <c r="G1733">
        <f t="shared" si="61"/>
        <v>-2.8094776628968497E-2</v>
      </c>
    </row>
    <row r="1734" spans="1:7" x14ac:dyDescent="0.35">
      <c r="A1734" t="s">
        <v>98</v>
      </c>
      <c r="E1734">
        <v>2.6426441805655538E-3</v>
      </c>
      <c r="F1734">
        <f t="shared" si="60"/>
        <v>-1.7066886913165543E-2</v>
      </c>
      <c r="G1734">
        <f t="shared" si="61"/>
        <v>-2.8094776628968497E-2</v>
      </c>
    </row>
    <row r="1735" spans="1:7" x14ac:dyDescent="0.35">
      <c r="A1735" t="s">
        <v>98</v>
      </c>
      <c r="E1735">
        <v>1.8304646645064954E-3</v>
      </c>
      <c r="F1735">
        <f t="shared" si="60"/>
        <v>-1.706732509447334E-2</v>
      </c>
      <c r="G1735">
        <f t="shared" si="61"/>
        <v>-2.8094776628968497E-2</v>
      </c>
    </row>
    <row r="1736" spans="1:7" x14ac:dyDescent="0.35">
      <c r="A1736" t="s">
        <v>98</v>
      </c>
      <c r="E1736">
        <v>1.5650211150080064E-2</v>
      </c>
      <c r="F1736">
        <f t="shared" si="60"/>
        <v>-1.7067763275781137E-2</v>
      </c>
      <c r="G1736">
        <f t="shared" si="61"/>
        <v>-2.8094776628968497E-2</v>
      </c>
    </row>
    <row r="1737" spans="1:7" x14ac:dyDescent="0.35">
      <c r="A1737" t="s">
        <v>98</v>
      </c>
      <c r="E1737">
        <v>-1.2172853912254887E-2</v>
      </c>
      <c r="F1737">
        <f t="shared" si="60"/>
        <v>-1.7068201457088938E-2</v>
      </c>
      <c r="G1737">
        <f t="shared" si="61"/>
        <v>-2.8094776628968497E-2</v>
      </c>
    </row>
    <row r="1738" spans="1:7" x14ac:dyDescent="0.35">
      <c r="A1738" t="s">
        <v>98</v>
      </c>
      <c r="E1738">
        <v>1.3190414959990772E-2</v>
      </c>
      <c r="F1738">
        <f t="shared" si="60"/>
        <v>-1.7068639638396735E-2</v>
      </c>
      <c r="G1738">
        <f t="shared" si="61"/>
        <v>-2.8094776628968497E-2</v>
      </c>
    </row>
    <row r="1739" spans="1:7" x14ac:dyDescent="0.35">
      <c r="A1739" t="s">
        <v>98</v>
      </c>
      <c r="E1739">
        <v>7.678563450395891E-3</v>
      </c>
      <c r="F1739">
        <f t="shared" si="60"/>
        <v>-1.7069077819704535E-2</v>
      </c>
      <c r="G1739">
        <f t="shared" si="61"/>
        <v>-2.8094776628968497E-2</v>
      </c>
    </row>
    <row r="1740" spans="1:7" x14ac:dyDescent="0.35">
      <c r="A1740" t="s">
        <v>98</v>
      </c>
      <c r="E1740">
        <v>-8.1175943770032798E-3</v>
      </c>
      <c r="F1740">
        <f t="shared" si="60"/>
        <v>-1.7069516001012332E-2</v>
      </c>
      <c r="G1740">
        <f t="shared" si="61"/>
        <v>-2.8094776628968497E-2</v>
      </c>
    </row>
    <row r="1741" spans="1:7" x14ac:dyDescent="0.35">
      <c r="A1741" t="s">
        <v>98</v>
      </c>
      <c r="E1741">
        <v>7.5968910970283026E-3</v>
      </c>
      <c r="F1741">
        <f t="shared" si="60"/>
        <v>-1.7071149956701826E-2</v>
      </c>
      <c r="G1741">
        <f t="shared" si="61"/>
        <v>-2.8201817994288465E-2</v>
      </c>
    </row>
    <row r="1742" spans="1:7" x14ac:dyDescent="0.35">
      <c r="A1742" t="s">
        <v>98</v>
      </c>
      <c r="E1742">
        <v>-3.8552519581467716E-3</v>
      </c>
      <c r="F1742">
        <f t="shared" si="60"/>
        <v>-1.7072783912391323E-2</v>
      </c>
      <c r="G1742">
        <f t="shared" si="61"/>
        <v>-2.8201817994288465E-2</v>
      </c>
    </row>
    <row r="1743" spans="1:7" x14ac:dyDescent="0.35">
      <c r="A1743" t="s">
        <v>98</v>
      </c>
      <c r="E1743">
        <v>-4.073717362422455E-3</v>
      </c>
      <c r="F1743">
        <f t="shared" si="60"/>
        <v>-1.7074417868080817E-2</v>
      </c>
      <c r="G1743">
        <f t="shared" si="61"/>
        <v>-2.8201817994288465E-2</v>
      </c>
    </row>
    <row r="1744" spans="1:7" x14ac:dyDescent="0.35">
      <c r="A1744" t="s">
        <v>98</v>
      </c>
      <c r="E1744">
        <v>3.6468093439427627E-3</v>
      </c>
      <c r="F1744">
        <f t="shared" si="60"/>
        <v>-1.7076051823770314E-2</v>
      </c>
      <c r="G1744">
        <f t="shared" si="61"/>
        <v>-2.8201817994288465E-2</v>
      </c>
    </row>
    <row r="1745" spans="1:7" x14ac:dyDescent="0.35">
      <c r="A1745" t="s">
        <v>98</v>
      </c>
      <c r="E1745">
        <v>-2.4368619307592568E-3</v>
      </c>
      <c r="F1745">
        <f t="shared" si="60"/>
        <v>-1.7077685779459808E-2</v>
      </c>
      <c r="G1745">
        <f t="shared" si="61"/>
        <v>-2.8201817994288465E-2</v>
      </c>
    </row>
    <row r="1746" spans="1:7" x14ac:dyDescent="0.35">
      <c r="A1746" t="s">
        <v>98</v>
      </c>
      <c r="E1746">
        <v>-1.906598692383442E-3</v>
      </c>
      <c r="F1746">
        <f t="shared" si="60"/>
        <v>-1.7079319735149305E-2</v>
      </c>
      <c r="G1746">
        <f t="shared" si="61"/>
        <v>-2.8201817994288465E-2</v>
      </c>
    </row>
    <row r="1747" spans="1:7" x14ac:dyDescent="0.35">
      <c r="A1747" t="s">
        <v>98</v>
      </c>
      <c r="E1747">
        <v>2.6767757642029875E-3</v>
      </c>
      <c r="F1747">
        <f t="shared" si="60"/>
        <v>-1.7080953690838799E-2</v>
      </c>
      <c r="G1747">
        <f t="shared" si="61"/>
        <v>-2.8201817994288465E-2</v>
      </c>
    </row>
    <row r="1748" spans="1:7" x14ac:dyDescent="0.35">
      <c r="A1748" t="s">
        <v>99</v>
      </c>
      <c r="B1748" s="3" cm="1">
        <f t="array" ref="B1748">_xlfn.STDEV.S(_xlfn._xlws.FILTER($E$1000:$E$1998, $A$1000:$A$1998="2017-01"))</f>
        <v>7.8942211692144514E-3</v>
      </c>
      <c r="C1748" s="3" cm="1">
        <f t="array" ref="C1748">AVERAGE(_xlfn._xlws.FILTER($E$1000:$E$1998, $A$1000:$A$1998="2017-01"))</f>
        <v>-1.8825916396885613E-4</v>
      </c>
      <c r="D1748" s="3" cm="1">
        <f t="array" ref="D1748">_xlfn.PERCENTILE.EXC(_xlfn._xlws.FILTER($E$1498:$E$2489, $A$1498:$A$2489="2017-01"), 0.05)</f>
        <v>-1.469911852084381E-2</v>
      </c>
      <c r="E1748">
        <v>1.5132831175966095E-2</v>
      </c>
      <c r="F1748">
        <f t="shared" si="60"/>
        <v>-1.7082587646528296E-2</v>
      </c>
      <c r="G1748">
        <f t="shared" si="61"/>
        <v>-2.8201817994288465E-2</v>
      </c>
    </row>
    <row r="1749" spans="1:7" x14ac:dyDescent="0.35">
      <c r="A1749" t="s">
        <v>99</v>
      </c>
      <c r="E1749">
        <v>-3.3548581915368979E-3</v>
      </c>
      <c r="F1749">
        <f t="shared" si="60"/>
        <v>-1.708422160221779E-2</v>
      </c>
      <c r="G1749">
        <f t="shared" si="61"/>
        <v>-2.8201817994288465E-2</v>
      </c>
    </row>
    <row r="1750" spans="1:7" x14ac:dyDescent="0.35">
      <c r="A1750" t="s">
        <v>99</v>
      </c>
      <c r="E1750">
        <v>2.6700312942730072E-3</v>
      </c>
      <c r="F1750">
        <f t="shared" si="60"/>
        <v>-1.7085855557907287E-2</v>
      </c>
      <c r="G1750">
        <f t="shared" si="61"/>
        <v>-2.8201817994288465E-2</v>
      </c>
    </row>
    <row r="1751" spans="1:7" x14ac:dyDescent="0.35">
      <c r="A1751" t="s">
        <v>99</v>
      </c>
      <c r="E1751">
        <v>2.9151624772138906E-3</v>
      </c>
      <c r="F1751">
        <f t="shared" si="60"/>
        <v>-1.7087489513596781E-2</v>
      </c>
      <c r="G1751">
        <f t="shared" si="61"/>
        <v>-2.8201817994288465E-2</v>
      </c>
    </row>
    <row r="1752" spans="1:7" x14ac:dyDescent="0.35">
      <c r="A1752" t="s">
        <v>99</v>
      </c>
      <c r="E1752">
        <v>-2.4304672461875937E-3</v>
      </c>
      <c r="F1752">
        <f t="shared" si="60"/>
        <v>-1.7089123469286274E-2</v>
      </c>
      <c r="G1752">
        <f t="shared" si="61"/>
        <v>-2.8201817994288465E-2</v>
      </c>
    </row>
    <row r="1753" spans="1:7" x14ac:dyDescent="0.35">
      <c r="A1753" t="s">
        <v>99</v>
      </c>
      <c r="E1753">
        <v>-4.3072571975802205E-3</v>
      </c>
      <c r="F1753">
        <f t="shared" si="60"/>
        <v>-1.7090757424975771E-2</v>
      </c>
      <c r="G1753">
        <f t="shared" si="61"/>
        <v>-2.8201817994288465E-2</v>
      </c>
    </row>
    <row r="1754" spans="1:7" x14ac:dyDescent="0.35">
      <c r="A1754" t="s">
        <v>99</v>
      </c>
      <c r="E1754">
        <v>-4.6021946917575223E-3</v>
      </c>
      <c r="F1754">
        <f t="shared" si="60"/>
        <v>-1.7092391380665265E-2</v>
      </c>
      <c r="G1754">
        <f t="shared" si="61"/>
        <v>-2.8201817994288465E-2</v>
      </c>
    </row>
    <row r="1755" spans="1:7" x14ac:dyDescent="0.35">
      <c r="A1755" t="s">
        <v>99</v>
      </c>
      <c r="E1755">
        <v>-1.2755102058114947E-4</v>
      </c>
      <c r="F1755">
        <f t="shared" si="60"/>
        <v>-1.7094025336354762E-2</v>
      </c>
      <c r="G1755">
        <f t="shared" si="61"/>
        <v>-2.8201817994288465E-2</v>
      </c>
    </row>
    <row r="1756" spans="1:7" x14ac:dyDescent="0.35">
      <c r="A1756" t="s">
        <v>99</v>
      </c>
      <c r="E1756">
        <v>1.101549274728239E-2</v>
      </c>
      <c r="F1756">
        <f t="shared" si="60"/>
        <v>-1.7095659292044256E-2</v>
      </c>
      <c r="G1756">
        <f t="shared" si="61"/>
        <v>-2.8201817994288465E-2</v>
      </c>
    </row>
    <row r="1757" spans="1:7" x14ac:dyDescent="0.35">
      <c r="A1757" t="s">
        <v>99</v>
      </c>
      <c r="E1757">
        <v>-1.073915276231683E-2</v>
      </c>
      <c r="F1757">
        <f t="shared" si="60"/>
        <v>-1.7097293247733753E-2</v>
      </c>
      <c r="G1757">
        <f t="shared" si="61"/>
        <v>-2.8201817994288465E-2</v>
      </c>
    </row>
    <row r="1758" spans="1:7" x14ac:dyDescent="0.35">
      <c r="A1758" t="s">
        <v>99</v>
      </c>
      <c r="E1758">
        <v>-1.6059647480600047E-3</v>
      </c>
      <c r="F1758">
        <f t="shared" si="60"/>
        <v>-1.7098927203423247E-2</v>
      </c>
      <c r="G1758">
        <f t="shared" si="61"/>
        <v>-2.8201817994288465E-2</v>
      </c>
    </row>
    <row r="1759" spans="1:7" x14ac:dyDescent="0.35">
      <c r="A1759" t="s">
        <v>99</v>
      </c>
      <c r="E1759">
        <v>-9.2646337246399225E-4</v>
      </c>
      <c r="F1759">
        <f t="shared" si="60"/>
        <v>-1.7100561159112741E-2</v>
      </c>
      <c r="G1759">
        <f t="shared" si="61"/>
        <v>-2.8201817994288465E-2</v>
      </c>
    </row>
    <row r="1760" spans="1:7" x14ac:dyDescent="0.35">
      <c r="A1760" t="s">
        <v>99</v>
      </c>
      <c r="E1760">
        <v>-7.5671588930628381E-4</v>
      </c>
      <c r="F1760">
        <f t="shared" si="60"/>
        <v>-1.7102195114802238E-2</v>
      </c>
      <c r="G1760">
        <f t="shared" si="61"/>
        <v>-2.8201817994288465E-2</v>
      </c>
    </row>
    <row r="1761" spans="1:7" x14ac:dyDescent="0.35">
      <c r="A1761" t="s">
        <v>99</v>
      </c>
      <c r="E1761">
        <v>1.0661435465779084E-4</v>
      </c>
      <c r="F1761">
        <f t="shared" si="60"/>
        <v>-1.7102384451384553E-2</v>
      </c>
      <c r="G1761">
        <f t="shared" si="61"/>
        <v>-2.8310637826440291E-2</v>
      </c>
    </row>
    <row r="1762" spans="1:7" x14ac:dyDescent="0.35">
      <c r="A1762" t="s">
        <v>99</v>
      </c>
      <c r="E1762">
        <v>-8.060027899423821E-3</v>
      </c>
      <c r="F1762">
        <f t="shared" si="60"/>
        <v>-1.7102573787966872E-2</v>
      </c>
      <c r="G1762">
        <f t="shared" si="61"/>
        <v>-2.8310637826440291E-2</v>
      </c>
    </row>
    <row r="1763" spans="1:7" x14ac:dyDescent="0.35">
      <c r="A1763" t="s">
        <v>99</v>
      </c>
      <c r="E1763">
        <v>8.8166631467665024E-3</v>
      </c>
      <c r="F1763">
        <f t="shared" si="60"/>
        <v>-1.7102763124549187E-2</v>
      </c>
      <c r="G1763">
        <f t="shared" si="61"/>
        <v>-2.8310637826440291E-2</v>
      </c>
    </row>
    <row r="1764" spans="1:7" x14ac:dyDescent="0.35">
      <c r="A1764" t="s">
        <v>99</v>
      </c>
      <c r="E1764">
        <v>1.712079418739974E-2</v>
      </c>
      <c r="F1764">
        <f t="shared" si="60"/>
        <v>-1.7102952461131506E-2</v>
      </c>
      <c r="G1764">
        <f t="shared" si="61"/>
        <v>-2.8310637826440291E-2</v>
      </c>
    </row>
    <row r="1765" spans="1:7" x14ac:dyDescent="0.35">
      <c r="A1765" t="s">
        <v>99</v>
      </c>
      <c r="E1765">
        <v>-3.8295932356263076E-3</v>
      </c>
      <c r="F1765">
        <f t="shared" si="60"/>
        <v>-1.7103141797713821E-2</v>
      </c>
      <c r="G1765">
        <f t="shared" si="61"/>
        <v>-2.8310637826440291E-2</v>
      </c>
    </row>
    <row r="1766" spans="1:7" x14ac:dyDescent="0.35">
      <c r="A1766" t="s">
        <v>99</v>
      </c>
      <c r="E1766">
        <v>-9.1497569077550413E-4</v>
      </c>
      <c r="F1766">
        <f t="shared" si="60"/>
        <v>-1.710333113429614E-2</v>
      </c>
      <c r="G1766">
        <f t="shared" si="61"/>
        <v>-2.8310637826440291E-2</v>
      </c>
    </row>
    <row r="1767" spans="1:7" x14ac:dyDescent="0.35">
      <c r="A1767" t="s">
        <v>99</v>
      </c>
      <c r="E1767">
        <v>-1.5139114716235696E-2</v>
      </c>
      <c r="F1767">
        <f t="shared" si="60"/>
        <v>-1.7103520470878455E-2</v>
      </c>
      <c r="G1767">
        <f t="shared" si="61"/>
        <v>-2.8310637826440291E-2</v>
      </c>
    </row>
    <row r="1768" spans="1:7" x14ac:dyDescent="0.35">
      <c r="A1768" t="s">
        <v>99</v>
      </c>
      <c r="E1768">
        <v>-4.9366951650535668E-3</v>
      </c>
      <c r="F1768">
        <f t="shared" si="60"/>
        <v>-1.7103709807460774E-2</v>
      </c>
      <c r="G1768">
        <f t="shared" si="61"/>
        <v>-2.8310637826440291E-2</v>
      </c>
    </row>
    <row r="1769" spans="1:7" x14ac:dyDescent="0.35">
      <c r="A1769" t="s">
        <v>100</v>
      </c>
      <c r="B1769" s="3" cm="1">
        <f t="array" ref="B1769">_xlfn.STDEV.S(_xlfn._xlws.FILTER($E$1000:$E$1998, $A$1000:$A$1998="2017-02"))</f>
        <v>6.5989441292127245E-3</v>
      </c>
      <c r="C1769" s="3" cm="1">
        <f t="array" ref="C1769">AVERAGE(_xlfn._xlws.FILTER($E$1000:$E$1998, $A$1000:$A$1998="2017-02"))</f>
        <v>1.2734715188865949E-3</v>
      </c>
      <c r="D1769" s="3" cm="1">
        <f t="array" ref="D1769">_xlfn.PERCENTILE.EXC(_xlfn._xlws.FILTER($E$1498:$E$2489, $A$1498:$A$2489="2017-02"), 0.05)</f>
        <v>-1.1081089407981196E-2</v>
      </c>
      <c r="E1769">
        <v>1.6732815230966916E-3</v>
      </c>
      <c r="F1769">
        <f t="shared" si="60"/>
        <v>-1.7103899144043089E-2</v>
      </c>
      <c r="G1769">
        <f t="shared" si="61"/>
        <v>-2.8310637826440291E-2</v>
      </c>
    </row>
    <row r="1770" spans="1:7" x14ac:dyDescent="0.35">
      <c r="A1770" t="s">
        <v>100</v>
      </c>
      <c r="E1770">
        <v>8.0695525735894787E-3</v>
      </c>
      <c r="F1770">
        <f t="shared" si="60"/>
        <v>-1.7104088480625404E-2</v>
      </c>
      <c r="G1770">
        <f t="shared" si="61"/>
        <v>-2.8310637826440291E-2</v>
      </c>
    </row>
    <row r="1771" spans="1:7" x14ac:dyDescent="0.35">
      <c r="A1771" t="s">
        <v>100</v>
      </c>
      <c r="E1771">
        <v>5.9674459377586858E-3</v>
      </c>
      <c r="F1771">
        <f t="shared" si="60"/>
        <v>-1.7104277817207723E-2</v>
      </c>
      <c r="G1771">
        <f t="shared" si="61"/>
        <v>-2.8310637826440291E-2</v>
      </c>
    </row>
    <row r="1772" spans="1:7" x14ac:dyDescent="0.35">
      <c r="A1772" t="s">
        <v>100</v>
      </c>
      <c r="E1772">
        <v>-1.1200967265605247E-2</v>
      </c>
      <c r="F1772">
        <f t="shared" si="60"/>
        <v>-1.7104467153790038E-2</v>
      </c>
      <c r="G1772">
        <f t="shared" si="61"/>
        <v>-2.8310637826440291E-2</v>
      </c>
    </row>
    <row r="1773" spans="1:7" x14ac:dyDescent="0.35">
      <c r="A1773" t="s">
        <v>100</v>
      </c>
      <c r="E1773">
        <v>-2.7610136969596351E-3</v>
      </c>
      <c r="F1773">
        <f t="shared" si="60"/>
        <v>-1.7104656490372357E-2</v>
      </c>
      <c r="G1773">
        <f t="shared" si="61"/>
        <v>-2.8310637826440291E-2</v>
      </c>
    </row>
    <row r="1774" spans="1:7" x14ac:dyDescent="0.35">
      <c r="A1774" t="s">
        <v>100</v>
      </c>
      <c r="E1774">
        <v>-1.9291363959249305E-4</v>
      </c>
      <c r="F1774">
        <f t="shared" si="60"/>
        <v>-1.7104845826954672E-2</v>
      </c>
      <c r="G1774">
        <f t="shared" si="61"/>
        <v>-2.8310637826440291E-2</v>
      </c>
    </row>
    <row r="1775" spans="1:7" x14ac:dyDescent="0.35">
      <c r="A1775" t="s">
        <v>100</v>
      </c>
      <c r="E1775">
        <v>1.15836142652192E-2</v>
      </c>
      <c r="F1775">
        <f t="shared" si="60"/>
        <v>-1.7105035163536991E-2</v>
      </c>
      <c r="G1775">
        <f t="shared" si="61"/>
        <v>-2.8310637826440291E-2</v>
      </c>
    </row>
    <row r="1776" spans="1:7" x14ac:dyDescent="0.35">
      <c r="A1776" t="s">
        <v>100</v>
      </c>
      <c r="E1776">
        <v>-6.4092904017059686E-3</v>
      </c>
      <c r="F1776">
        <f t="shared" si="60"/>
        <v>-1.7105224500119306E-2</v>
      </c>
      <c r="G1776">
        <f t="shared" si="61"/>
        <v>-2.8310637826440291E-2</v>
      </c>
    </row>
    <row r="1777" spans="1:7" x14ac:dyDescent="0.35">
      <c r="A1777" t="s">
        <v>100</v>
      </c>
      <c r="E1777">
        <v>1.1239528356833237E-2</v>
      </c>
      <c r="F1777">
        <f t="shared" si="60"/>
        <v>-1.7105413836701625E-2</v>
      </c>
      <c r="G1777">
        <f t="shared" si="61"/>
        <v>-2.8310637826440291E-2</v>
      </c>
    </row>
    <row r="1778" spans="1:7" x14ac:dyDescent="0.35">
      <c r="A1778" t="s">
        <v>100</v>
      </c>
      <c r="E1778">
        <v>2.7481946085768406E-3</v>
      </c>
      <c r="F1778">
        <f t="shared" si="60"/>
        <v>-1.710560317328394E-2</v>
      </c>
      <c r="G1778">
        <f t="shared" si="61"/>
        <v>-2.8310637826440291E-2</v>
      </c>
    </row>
    <row r="1779" spans="1:7" x14ac:dyDescent="0.35">
      <c r="A1779" t="s">
        <v>100</v>
      </c>
      <c r="E1779">
        <v>7.7405685450425074E-3</v>
      </c>
      <c r="F1779">
        <f t="shared" si="60"/>
        <v>-1.7105792509866258E-2</v>
      </c>
      <c r="G1779">
        <f t="shared" si="61"/>
        <v>-2.8310637826440291E-2</v>
      </c>
    </row>
    <row r="1780" spans="1:7" x14ac:dyDescent="0.35">
      <c r="A1780" t="s">
        <v>100</v>
      </c>
      <c r="E1780">
        <v>-3.0722953503399372E-3</v>
      </c>
      <c r="F1780">
        <f t="shared" si="60"/>
        <v>-1.7105981846448574E-2</v>
      </c>
      <c r="G1780">
        <f t="shared" si="61"/>
        <v>-2.8310637826440291E-2</v>
      </c>
    </row>
    <row r="1781" spans="1:7" x14ac:dyDescent="0.35">
      <c r="A1781" t="s">
        <v>100</v>
      </c>
      <c r="E1781">
        <v>-5.7098029698214462E-3</v>
      </c>
      <c r="F1781">
        <f t="shared" si="60"/>
        <v>-1.7108618951766384E-2</v>
      </c>
      <c r="G1781">
        <f t="shared" si="61"/>
        <v>-2.8421575014361003E-2</v>
      </c>
    </row>
    <row r="1782" spans="1:7" x14ac:dyDescent="0.35">
      <c r="A1782" t="s">
        <v>100</v>
      </c>
      <c r="E1782">
        <v>2.7645088532373711E-3</v>
      </c>
      <c r="F1782">
        <f t="shared" si="60"/>
        <v>-1.7111256057084193E-2</v>
      </c>
      <c r="G1782">
        <f t="shared" si="61"/>
        <v>-2.8421575014361003E-2</v>
      </c>
    </row>
    <row r="1783" spans="1:7" x14ac:dyDescent="0.35">
      <c r="A1783" t="s">
        <v>100</v>
      </c>
      <c r="E1783">
        <v>3.6044381948126757E-3</v>
      </c>
      <c r="F1783">
        <f t="shared" si="60"/>
        <v>-1.7113893162402003E-2</v>
      </c>
      <c r="G1783">
        <f t="shared" si="61"/>
        <v>-2.8421575014361003E-2</v>
      </c>
    </row>
    <row r="1784" spans="1:7" x14ac:dyDescent="0.35">
      <c r="A1784" t="s">
        <v>100</v>
      </c>
      <c r="E1784">
        <v>-8.8034101131242264E-3</v>
      </c>
      <c r="F1784">
        <f t="shared" si="60"/>
        <v>-1.7116530267719813E-2</v>
      </c>
      <c r="G1784">
        <f t="shared" si="61"/>
        <v>-2.8421575014361003E-2</v>
      </c>
    </row>
    <row r="1785" spans="1:7" x14ac:dyDescent="0.35">
      <c r="A1785" t="s">
        <v>100</v>
      </c>
      <c r="E1785">
        <v>1.70790633273314E-3</v>
      </c>
      <c r="F1785">
        <f t="shared" si="60"/>
        <v>-1.7119167373037623E-2</v>
      </c>
      <c r="G1785">
        <f t="shared" si="61"/>
        <v>-2.8421575014361003E-2</v>
      </c>
    </row>
    <row r="1786" spans="1:7" x14ac:dyDescent="0.35">
      <c r="A1786" t="s">
        <v>100</v>
      </c>
      <c r="E1786">
        <v>-4.2117770170714535E-3</v>
      </c>
      <c r="F1786">
        <f t="shared" si="60"/>
        <v>-1.7121804478355433E-2</v>
      </c>
      <c r="G1786">
        <f t="shared" si="61"/>
        <v>-2.8421575014361003E-2</v>
      </c>
    </row>
    <row r="1787" spans="1:7" x14ac:dyDescent="0.35">
      <c r="A1787" t="s">
        <v>100</v>
      </c>
      <c r="E1787">
        <v>1.1417819379948664E-3</v>
      </c>
      <c r="F1787">
        <f t="shared" si="60"/>
        <v>-1.7124441583673242E-2</v>
      </c>
      <c r="G1787">
        <f t="shared" si="61"/>
        <v>-2.8421575014361003E-2</v>
      </c>
    </row>
    <row r="1788" spans="1:7" x14ac:dyDescent="0.35">
      <c r="A1788" t="s">
        <v>100</v>
      </c>
      <c r="E1788">
        <v>9.5900797030576135E-3</v>
      </c>
      <c r="F1788">
        <f t="shared" si="60"/>
        <v>-1.7127078688991052E-2</v>
      </c>
      <c r="G1788">
        <f t="shared" si="61"/>
        <v>-2.8421575014361003E-2</v>
      </c>
    </row>
    <row r="1789" spans="1:7" x14ac:dyDescent="0.35">
      <c r="A1789" t="s">
        <v>101</v>
      </c>
      <c r="B1789" s="3" cm="1">
        <f t="array" ref="B1789">_xlfn.STDEV.S(_xlfn._xlws.FILTER($E$1000:$E$1998, $A$1000:$A$1998="2017-03"))</f>
        <v>7.2184684078466683E-3</v>
      </c>
      <c r="C1789" s="3" cm="1">
        <f t="array" ref="C1789">AVERAGE(_xlfn._xlws.FILTER($E$1000:$E$1998, $A$1000:$A$1998="2017-03"))</f>
        <v>3.9442939964367939E-3</v>
      </c>
      <c r="D1789" s="3" cm="1">
        <f t="array" ref="D1789">_xlfn.PERCENTILE.EXC(_xlfn._xlws.FILTER($E$1498:$E$2489, $A$1498:$A$2489="2017-03"), 0.05)</f>
        <v>-8.029607966400433E-3</v>
      </c>
      <c r="E1789">
        <v>2.0304214383597238E-2</v>
      </c>
      <c r="F1789">
        <f t="shared" si="60"/>
        <v>-1.7129715794308862E-2</v>
      </c>
      <c r="G1789">
        <f t="shared" si="61"/>
        <v>-2.8421575014361003E-2</v>
      </c>
    </row>
    <row r="1790" spans="1:7" x14ac:dyDescent="0.35">
      <c r="A1790" t="s">
        <v>101</v>
      </c>
      <c r="E1790">
        <v>-3.647108190569993E-3</v>
      </c>
      <c r="F1790">
        <f t="shared" si="60"/>
        <v>-1.7132352899626675E-2</v>
      </c>
      <c r="G1790">
        <f t="shared" si="61"/>
        <v>-2.8421575014361003E-2</v>
      </c>
    </row>
    <row r="1791" spans="1:7" x14ac:dyDescent="0.35">
      <c r="A1791" t="s">
        <v>101</v>
      </c>
      <c r="E1791">
        <v>8.4553015970457741E-3</v>
      </c>
      <c r="F1791">
        <f t="shared" si="60"/>
        <v>-1.7134990004944485E-2</v>
      </c>
      <c r="G1791">
        <f t="shared" si="61"/>
        <v>-2.8421575014361003E-2</v>
      </c>
    </row>
    <row r="1792" spans="1:7" x14ac:dyDescent="0.35">
      <c r="A1792" t="s">
        <v>101</v>
      </c>
      <c r="E1792">
        <v>5.7135279527623897E-4</v>
      </c>
      <c r="F1792">
        <f t="shared" si="60"/>
        <v>-1.7137627110262295E-2</v>
      </c>
      <c r="G1792">
        <f t="shared" si="61"/>
        <v>-2.8421575014361003E-2</v>
      </c>
    </row>
    <row r="1793" spans="1:7" x14ac:dyDescent="0.35">
      <c r="A1793" t="s">
        <v>101</v>
      </c>
      <c r="E1793">
        <v>-2.4482551204104542E-4</v>
      </c>
      <c r="F1793">
        <f t="shared" si="60"/>
        <v>-1.7140264215580105E-2</v>
      </c>
      <c r="G1793">
        <f t="shared" si="61"/>
        <v>-2.8421575014361003E-2</v>
      </c>
    </row>
    <row r="1794" spans="1:7" x14ac:dyDescent="0.35">
      <c r="A1794" t="s">
        <v>101</v>
      </c>
      <c r="E1794">
        <v>4.9663752967930496E-3</v>
      </c>
      <c r="F1794">
        <f t="shared" si="60"/>
        <v>-1.7142901320897914E-2</v>
      </c>
      <c r="G1794">
        <f t="shared" si="61"/>
        <v>-2.8421575014361003E-2</v>
      </c>
    </row>
    <row r="1795" spans="1:7" x14ac:dyDescent="0.35">
      <c r="A1795" t="s">
        <v>101</v>
      </c>
      <c r="E1795">
        <v>1.4902864875680199E-2</v>
      </c>
      <c r="F1795">
        <f t="shared" si="60"/>
        <v>-1.7145538426215724E-2</v>
      </c>
      <c r="G1795">
        <f t="shared" si="61"/>
        <v>-2.8421575014361003E-2</v>
      </c>
    </row>
    <row r="1796" spans="1:7" x14ac:dyDescent="0.35">
      <c r="A1796" t="s">
        <v>101</v>
      </c>
      <c r="E1796">
        <v>7.9980808870486891E-4</v>
      </c>
      <c r="F1796">
        <f t="shared" ref="F1796:F1859" si="62">_xlfn.PERCENTILE.EXC(E1796:E5611,0.05)</f>
        <v>-1.7148175531533534E-2</v>
      </c>
      <c r="G1796">
        <f t="shared" ref="G1796:G1859" si="63">AVERAGEIFS(E1796:E5612,E1796:E5612,"&lt;=" &amp; F1796)</f>
        <v>-2.8421575014361003E-2</v>
      </c>
    </row>
    <row r="1797" spans="1:7" x14ac:dyDescent="0.35">
      <c r="A1797" t="s">
        <v>101</v>
      </c>
      <c r="E1797">
        <v>-1.0498793603200946E-3</v>
      </c>
      <c r="F1797">
        <f t="shared" si="62"/>
        <v>-1.7150812636851344E-2</v>
      </c>
      <c r="G1797">
        <f t="shared" si="63"/>
        <v>-2.8421575014361003E-2</v>
      </c>
    </row>
    <row r="1798" spans="1:7" x14ac:dyDescent="0.35">
      <c r="A1798" t="s">
        <v>101</v>
      </c>
      <c r="E1798">
        <v>-9.1252329103580429E-3</v>
      </c>
      <c r="F1798">
        <f t="shared" si="62"/>
        <v>-1.7153449742169154E-2</v>
      </c>
      <c r="G1798">
        <f t="shared" si="63"/>
        <v>-2.8421575014361003E-2</v>
      </c>
    </row>
    <row r="1799" spans="1:7" x14ac:dyDescent="0.35">
      <c r="A1799" t="s">
        <v>101</v>
      </c>
      <c r="E1799">
        <v>7.8539042008007477E-3</v>
      </c>
      <c r="F1799">
        <f t="shared" si="62"/>
        <v>-1.7156086847486963E-2</v>
      </c>
      <c r="G1799">
        <f t="shared" si="63"/>
        <v>-2.8421575014361003E-2</v>
      </c>
    </row>
    <row r="1800" spans="1:7" x14ac:dyDescent="0.35">
      <c r="A1800" t="s">
        <v>101</v>
      </c>
      <c r="E1800">
        <v>1.8341853675645236E-2</v>
      </c>
      <c r="F1800">
        <f t="shared" si="62"/>
        <v>-1.7158723952804773E-2</v>
      </c>
      <c r="G1800">
        <f t="shared" si="63"/>
        <v>-2.8421575014361003E-2</v>
      </c>
    </row>
    <row r="1801" spans="1:7" x14ac:dyDescent="0.35">
      <c r="A1801" t="s">
        <v>101</v>
      </c>
      <c r="E1801">
        <v>7.6223316267337235E-3</v>
      </c>
      <c r="F1801">
        <f t="shared" si="62"/>
        <v>-1.7159969916591231E-2</v>
      </c>
      <c r="G1801">
        <f t="shared" si="63"/>
        <v>-2.8534203524976556E-2</v>
      </c>
    </row>
    <row r="1802" spans="1:7" x14ac:dyDescent="0.35">
      <c r="A1802" t="s">
        <v>101</v>
      </c>
      <c r="E1802">
        <v>-3.1085372884345299E-3</v>
      </c>
      <c r="F1802">
        <f t="shared" si="62"/>
        <v>-1.7161215880377684E-2</v>
      </c>
      <c r="G1802">
        <f t="shared" si="63"/>
        <v>-2.8534203524976556E-2</v>
      </c>
    </row>
    <row r="1803" spans="1:7" x14ac:dyDescent="0.35">
      <c r="A1803" t="s">
        <v>101</v>
      </c>
      <c r="E1803">
        <v>-2.0562129525738019E-4</v>
      </c>
      <c r="F1803">
        <f t="shared" si="62"/>
        <v>-1.7162461844164142E-2</v>
      </c>
      <c r="G1803">
        <f t="shared" si="63"/>
        <v>-2.8534203524976556E-2</v>
      </c>
    </row>
    <row r="1804" spans="1:7" x14ac:dyDescent="0.35">
      <c r="A1804" t="s">
        <v>101</v>
      </c>
      <c r="E1804">
        <v>1.7024444947027369E-3</v>
      </c>
      <c r="F1804">
        <f t="shared" si="62"/>
        <v>-1.7163707807950596E-2</v>
      </c>
      <c r="G1804">
        <f t="shared" si="63"/>
        <v>-2.8534203524976556E-2</v>
      </c>
    </row>
    <row r="1805" spans="1:7" x14ac:dyDescent="0.35">
      <c r="A1805" t="s">
        <v>101</v>
      </c>
      <c r="E1805">
        <v>9.3023021452724227E-3</v>
      </c>
      <c r="F1805">
        <f t="shared" si="62"/>
        <v>-1.7164953771737053E-2</v>
      </c>
      <c r="G1805">
        <f t="shared" si="63"/>
        <v>-2.8534203524976556E-2</v>
      </c>
    </row>
    <row r="1806" spans="1:7" x14ac:dyDescent="0.35">
      <c r="A1806" t="s">
        <v>101</v>
      </c>
      <c r="E1806">
        <v>-1.5023531610352705E-3</v>
      </c>
      <c r="F1806">
        <f t="shared" si="62"/>
        <v>-1.716619973552351E-2</v>
      </c>
      <c r="G1806">
        <f t="shared" si="63"/>
        <v>-2.8534203524976556E-2</v>
      </c>
    </row>
    <row r="1807" spans="1:7" x14ac:dyDescent="0.35">
      <c r="A1807" t="s">
        <v>101</v>
      </c>
      <c r="E1807">
        <v>-6.3069140420616925E-4</v>
      </c>
      <c r="F1807">
        <f t="shared" si="62"/>
        <v>-1.7167445699309964E-2</v>
      </c>
      <c r="G1807">
        <f t="shared" si="63"/>
        <v>-2.8534203524976556E-2</v>
      </c>
    </row>
    <row r="1808" spans="1:7" x14ac:dyDescent="0.35">
      <c r="A1808" t="s">
        <v>101</v>
      </c>
      <c r="E1808">
        <v>8.3221450834659438E-3</v>
      </c>
      <c r="F1808">
        <f t="shared" si="62"/>
        <v>-1.7168691663096421E-2</v>
      </c>
      <c r="G1808">
        <f t="shared" si="63"/>
        <v>-2.8534203524976556E-2</v>
      </c>
    </row>
    <row r="1809" spans="1:7" x14ac:dyDescent="0.35">
      <c r="A1809" t="s">
        <v>101</v>
      </c>
      <c r="E1809">
        <v>-2.0619954696261171E-3</v>
      </c>
      <c r="F1809">
        <f t="shared" si="62"/>
        <v>-1.7169937626882875E-2</v>
      </c>
      <c r="G1809">
        <f t="shared" si="63"/>
        <v>-2.8534203524976556E-2</v>
      </c>
    </row>
    <row r="1810" spans="1:7" x14ac:dyDescent="0.35">
      <c r="A1810" t="s">
        <v>101</v>
      </c>
      <c r="E1810">
        <v>3.6873943626918545E-3</v>
      </c>
      <c r="F1810">
        <f t="shared" si="62"/>
        <v>-1.7171183590669332E-2</v>
      </c>
      <c r="G1810">
        <f t="shared" si="63"/>
        <v>-2.8534203524976556E-2</v>
      </c>
    </row>
    <row r="1811" spans="1:7" x14ac:dyDescent="0.35">
      <c r="A1811" t="s">
        <v>101</v>
      </c>
      <c r="E1811">
        <v>5.4627138834848652E-3</v>
      </c>
      <c r="F1811">
        <f t="shared" si="62"/>
        <v>-1.717242955445579E-2</v>
      </c>
      <c r="G1811">
        <f t="shared" si="63"/>
        <v>-2.8534203524976556E-2</v>
      </c>
    </row>
    <row r="1812" spans="1:7" x14ac:dyDescent="0.35">
      <c r="A1812" t="s">
        <v>102</v>
      </c>
      <c r="B1812" s="3" cm="1">
        <f t="array" ref="B1812">_xlfn.STDEV.S(_xlfn._xlws.FILTER($E$1000:$E$1998, $A$1000:$A$1998="2017-04"))</f>
        <v>1.08094597979817E-2</v>
      </c>
      <c r="C1812" s="3" cm="1">
        <f t="array" ref="C1812">AVERAGE(_xlfn._xlws.FILTER($E$1000:$E$1998, $A$1000:$A$1998="2017-04"))</f>
        <v>1.3268678312650429E-3</v>
      </c>
      <c r="D1812" s="3" cm="1">
        <f t="array" ref="D1812">_xlfn.PERCENTILE.INC(_xlfn._xlws.FILTER($E$1498:$E$2489, $A$1498:$A$2489="2017-04"), 0.05)</f>
        <v>-9.3885086363792447E-3</v>
      </c>
      <c r="E1812">
        <v>-1.3238472749884383E-2</v>
      </c>
      <c r="F1812">
        <f t="shared" si="62"/>
        <v>-1.7173675518242244E-2</v>
      </c>
      <c r="G1812">
        <f t="shared" si="63"/>
        <v>-2.8534203524976556E-2</v>
      </c>
    </row>
    <row r="1813" spans="1:7" x14ac:dyDescent="0.35">
      <c r="A1813" t="s">
        <v>102</v>
      </c>
      <c r="E1813">
        <v>3.4708661243167405E-3</v>
      </c>
      <c r="F1813">
        <f t="shared" si="62"/>
        <v>-1.7174921482028701E-2</v>
      </c>
      <c r="G1813">
        <f t="shared" si="63"/>
        <v>-2.8534203524976556E-2</v>
      </c>
    </row>
    <row r="1814" spans="1:7" x14ac:dyDescent="0.35">
      <c r="A1814" t="s">
        <v>102</v>
      </c>
      <c r="E1814">
        <v>3.9973275983226503E-3</v>
      </c>
      <c r="F1814">
        <f t="shared" si="62"/>
        <v>-1.7176167445815155E-2</v>
      </c>
      <c r="G1814">
        <f t="shared" si="63"/>
        <v>-2.8534203524976556E-2</v>
      </c>
    </row>
    <row r="1815" spans="1:7" x14ac:dyDescent="0.35">
      <c r="A1815" t="s">
        <v>102</v>
      </c>
      <c r="E1815">
        <v>1.1108251267157017E-2</v>
      </c>
      <c r="F1815">
        <f t="shared" si="62"/>
        <v>-1.7177413409601612E-2</v>
      </c>
      <c r="G1815">
        <f t="shared" si="63"/>
        <v>-2.8534203524976556E-2</v>
      </c>
    </row>
    <row r="1816" spans="1:7" x14ac:dyDescent="0.35">
      <c r="A1816" t="s">
        <v>102</v>
      </c>
      <c r="E1816">
        <v>9.5971576976522865E-4</v>
      </c>
      <c r="F1816">
        <f t="shared" si="62"/>
        <v>-1.7178659373388069E-2</v>
      </c>
      <c r="G1816">
        <f t="shared" si="63"/>
        <v>-2.8534203524976556E-2</v>
      </c>
    </row>
    <row r="1817" spans="1:7" x14ac:dyDescent="0.35">
      <c r="A1817" t="s">
        <v>102</v>
      </c>
      <c r="E1817">
        <v>-8.7091032045842204E-3</v>
      </c>
      <c r="F1817">
        <f t="shared" si="62"/>
        <v>-1.7179905337174523E-2</v>
      </c>
      <c r="G1817">
        <f t="shared" si="63"/>
        <v>-2.8534203524976556E-2</v>
      </c>
    </row>
    <row r="1818" spans="1:7" x14ac:dyDescent="0.35">
      <c r="A1818" t="s">
        <v>102</v>
      </c>
      <c r="E1818">
        <v>-2.0523647752718577E-3</v>
      </c>
      <c r="F1818">
        <f t="shared" si="62"/>
        <v>-1.7181151300960981E-2</v>
      </c>
      <c r="G1818">
        <f t="shared" si="63"/>
        <v>-2.8534203524976556E-2</v>
      </c>
    </row>
    <row r="1819" spans="1:7" x14ac:dyDescent="0.35">
      <c r="A1819" t="s">
        <v>102</v>
      </c>
      <c r="E1819">
        <v>-5.3713886797659366E-3</v>
      </c>
      <c r="F1819">
        <f t="shared" si="62"/>
        <v>-1.7182397264747434E-2</v>
      </c>
      <c r="G1819">
        <f t="shared" si="63"/>
        <v>-2.8534203524976556E-2</v>
      </c>
    </row>
    <row r="1820" spans="1:7" x14ac:dyDescent="0.35">
      <c r="A1820" t="s">
        <v>102</v>
      </c>
      <c r="E1820">
        <v>-3.3258275123570855E-3</v>
      </c>
      <c r="F1820">
        <f t="shared" si="62"/>
        <v>-1.7183643228533892E-2</v>
      </c>
      <c r="G1820">
        <f t="shared" si="63"/>
        <v>-2.8534203524976556E-2</v>
      </c>
    </row>
    <row r="1821" spans="1:7" x14ac:dyDescent="0.35">
      <c r="A1821" t="s">
        <v>102</v>
      </c>
      <c r="E1821">
        <v>-5.983330624118181E-3</v>
      </c>
      <c r="F1821">
        <f t="shared" si="62"/>
        <v>-1.7185382553489198E-2</v>
      </c>
      <c r="G1821">
        <f t="shared" si="63"/>
        <v>-2.8648855649183052E-2</v>
      </c>
    </row>
    <row r="1822" spans="1:7" x14ac:dyDescent="0.35">
      <c r="A1822" t="s">
        <v>102</v>
      </c>
      <c r="E1822">
        <v>1.0254611349086663E-2</v>
      </c>
      <c r="F1822">
        <f t="shared" si="62"/>
        <v>-1.7187121878444508E-2</v>
      </c>
      <c r="G1822">
        <f t="shared" si="63"/>
        <v>-2.8648855649183052E-2</v>
      </c>
    </row>
    <row r="1823" spans="1:7" x14ac:dyDescent="0.35">
      <c r="A1823" t="s">
        <v>102</v>
      </c>
      <c r="E1823">
        <v>2.1212179727430008E-4</v>
      </c>
      <c r="F1823">
        <f t="shared" si="62"/>
        <v>-1.7188861203399814E-2</v>
      </c>
      <c r="G1823">
        <f t="shared" si="63"/>
        <v>-2.8648855649183052E-2</v>
      </c>
    </row>
    <row r="1824" spans="1:7" x14ac:dyDescent="0.35">
      <c r="A1824" t="s">
        <v>102</v>
      </c>
      <c r="E1824">
        <v>4.3374539825539034E-4</v>
      </c>
      <c r="F1824">
        <f t="shared" si="62"/>
        <v>-1.7190600528355124E-2</v>
      </c>
      <c r="G1824">
        <f t="shared" si="63"/>
        <v>-2.8648855649183052E-2</v>
      </c>
    </row>
    <row r="1825" spans="1:7" x14ac:dyDescent="0.35">
      <c r="A1825" t="s">
        <v>102</v>
      </c>
      <c r="E1825">
        <v>3.6875506761608584E-2</v>
      </c>
      <c r="F1825">
        <f t="shared" si="62"/>
        <v>-1.719233985331043E-2</v>
      </c>
      <c r="G1825">
        <f t="shared" si="63"/>
        <v>-2.8648855649183052E-2</v>
      </c>
    </row>
    <row r="1826" spans="1:7" x14ac:dyDescent="0.35">
      <c r="A1826" t="s">
        <v>102</v>
      </c>
      <c r="E1826">
        <v>1.5127683291805754E-3</v>
      </c>
      <c r="F1826">
        <f t="shared" si="62"/>
        <v>-1.719407917826574E-2</v>
      </c>
      <c r="G1826">
        <f t="shared" si="63"/>
        <v>-2.8648855649183052E-2</v>
      </c>
    </row>
    <row r="1827" spans="1:7" x14ac:dyDescent="0.35">
      <c r="A1827" t="s">
        <v>102</v>
      </c>
      <c r="E1827">
        <v>-1.8286037629676524E-3</v>
      </c>
      <c r="F1827">
        <f t="shared" si="62"/>
        <v>-1.7195818503221046E-2</v>
      </c>
      <c r="G1827">
        <f t="shared" si="63"/>
        <v>-2.8648855649183052E-2</v>
      </c>
    </row>
    <row r="1828" spans="1:7" x14ac:dyDescent="0.35">
      <c r="A1828" t="s">
        <v>102</v>
      </c>
      <c r="E1828">
        <v>-7.413554537392183E-3</v>
      </c>
      <c r="F1828">
        <f t="shared" si="62"/>
        <v>-1.7197557828176356E-2</v>
      </c>
      <c r="G1828">
        <f t="shared" si="63"/>
        <v>-2.8648855649183052E-2</v>
      </c>
    </row>
    <row r="1829" spans="1:7" x14ac:dyDescent="0.35">
      <c r="A1829" t="s">
        <v>102</v>
      </c>
      <c r="E1829">
        <v>2.9813524141451284E-3</v>
      </c>
      <c r="F1829">
        <f t="shared" si="62"/>
        <v>-1.7199297153131662E-2</v>
      </c>
      <c r="G1829">
        <f t="shared" si="63"/>
        <v>-2.8648855649183052E-2</v>
      </c>
    </row>
    <row r="1830" spans="1:7" x14ac:dyDescent="0.35">
      <c r="A1830" t="s">
        <v>103</v>
      </c>
      <c r="B1830" s="3" cm="1">
        <f t="array" ref="B1830">_xlfn.STDEV.S(_xlfn._xlws.FILTER($E$1000:$E$1998, $A$1000:$A$1998="2017-05"))</f>
        <v>8.8715425232271626E-3</v>
      </c>
      <c r="C1830" s="3" cm="1">
        <f t="array" ref="C1830">AVERAGE(_xlfn._xlws.FILTER($E$1000:$E$1998, $A$1000:$A$1998="2017-05"))</f>
        <v>7.2414064762289028E-4</v>
      </c>
      <c r="D1830" s="3" cm="1">
        <f t="array" ref="D1830">_xlfn.PERCENTILE.EXC(_xlfn._xlws.FILTER($E$1498:$E$2489, $A$1498:$A$2489="2017-05"), 0.05)</f>
        <v>-1.7816020528884511E-2</v>
      </c>
      <c r="E1830">
        <v>9.7047116387815602E-3</v>
      </c>
      <c r="F1830">
        <f t="shared" si="62"/>
        <v>-1.7201036478086969E-2</v>
      </c>
      <c r="G1830">
        <f t="shared" si="63"/>
        <v>-2.8648855649183052E-2</v>
      </c>
    </row>
    <row r="1831" spans="1:7" x14ac:dyDescent="0.35">
      <c r="A1831" t="s">
        <v>103</v>
      </c>
      <c r="E1831">
        <v>1.54220547436074E-3</v>
      </c>
      <c r="F1831">
        <f t="shared" si="62"/>
        <v>-1.7202775803042279E-2</v>
      </c>
      <c r="G1831">
        <f t="shared" si="63"/>
        <v>-2.8648855649183052E-2</v>
      </c>
    </row>
    <row r="1832" spans="1:7" x14ac:dyDescent="0.35">
      <c r="A1832" t="s">
        <v>103</v>
      </c>
      <c r="E1832">
        <v>1.6101108022752112E-2</v>
      </c>
      <c r="F1832">
        <f t="shared" si="62"/>
        <v>-1.7204515127997585E-2</v>
      </c>
      <c r="G1832">
        <f t="shared" si="63"/>
        <v>-2.8648855649183052E-2</v>
      </c>
    </row>
    <row r="1833" spans="1:7" x14ac:dyDescent="0.35">
      <c r="A1833" t="s">
        <v>103</v>
      </c>
      <c r="E1833">
        <v>1.1061909866566468E-2</v>
      </c>
      <c r="F1833">
        <f t="shared" si="62"/>
        <v>-1.7206254452952895E-2</v>
      </c>
      <c r="G1833">
        <f t="shared" si="63"/>
        <v>-2.8648855649183052E-2</v>
      </c>
    </row>
    <row r="1834" spans="1:7" x14ac:dyDescent="0.35">
      <c r="A1834" t="s">
        <v>103</v>
      </c>
      <c r="E1834">
        <v>-3.5175034131261001E-3</v>
      </c>
      <c r="F1834">
        <f t="shared" si="62"/>
        <v>-1.7207993777908201E-2</v>
      </c>
      <c r="G1834">
        <f t="shared" si="63"/>
        <v>-2.8648855649183052E-2</v>
      </c>
    </row>
    <row r="1835" spans="1:7" x14ac:dyDescent="0.35">
      <c r="A1835" t="s">
        <v>103</v>
      </c>
      <c r="E1835">
        <v>-4.2536922642095482E-3</v>
      </c>
      <c r="F1835">
        <f t="shared" si="62"/>
        <v>-1.7209733102863511E-2</v>
      </c>
      <c r="G1835">
        <f t="shared" si="63"/>
        <v>-2.8648855649183052E-2</v>
      </c>
    </row>
    <row r="1836" spans="1:7" x14ac:dyDescent="0.35">
      <c r="A1836" t="s">
        <v>103</v>
      </c>
      <c r="E1836">
        <v>-1.3041117588163899E-3</v>
      </c>
      <c r="F1836">
        <f t="shared" si="62"/>
        <v>-1.7211472427818817E-2</v>
      </c>
      <c r="G1836">
        <f t="shared" si="63"/>
        <v>-2.8648855649183052E-2</v>
      </c>
    </row>
    <row r="1837" spans="1:7" x14ac:dyDescent="0.35">
      <c r="A1837" t="s">
        <v>103</v>
      </c>
      <c r="E1837">
        <v>-1.5838695753028795E-2</v>
      </c>
      <c r="F1837">
        <f t="shared" si="62"/>
        <v>-1.7213211752774127E-2</v>
      </c>
      <c r="G1837">
        <f t="shared" si="63"/>
        <v>-2.8648855649183052E-2</v>
      </c>
    </row>
    <row r="1838" spans="1:7" x14ac:dyDescent="0.35">
      <c r="A1838" t="s">
        <v>103</v>
      </c>
      <c r="E1838">
        <v>3.2723023537531851E-3</v>
      </c>
      <c r="F1838">
        <f t="shared" si="62"/>
        <v>-1.7214951077729433E-2</v>
      </c>
      <c r="G1838">
        <f t="shared" si="63"/>
        <v>-2.8648855649183052E-2</v>
      </c>
    </row>
    <row r="1839" spans="1:7" x14ac:dyDescent="0.35">
      <c r="A1839" t="s">
        <v>103</v>
      </c>
      <c r="E1839">
        <v>5.5640094491647739E-3</v>
      </c>
      <c r="F1839">
        <f t="shared" si="62"/>
        <v>-1.7216690402684739E-2</v>
      </c>
      <c r="G1839">
        <f t="shared" si="63"/>
        <v>-2.8648855649183052E-2</v>
      </c>
    </row>
    <row r="1840" spans="1:7" x14ac:dyDescent="0.35">
      <c r="A1840" t="s">
        <v>103</v>
      </c>
      <c r="E1840">
        <v>2.2424599874827714E-3</v>
      </c>
      <c r="F1840">
        <f t="shared" si="62"/>
        <v>-1.7218429727640049E-2</v>
      </c>
      <c r="G1840">
        <f t="shared" si="63"/>
        <v>-2.8648855649183052E-2</v>
      </c>
    </row>
    <row r="1841" spans="1:7" x14ac:dyDescent="0.35">
      <c r="A1841" t="s">
        <v>103</v>
      </c>
      <c r="E1841">
        <v>-1.8035723281757367E-2</v>
      </c>
      <c r="F1841">
        <f t="shared" si="62"/>
        <v>-1.7222893227933588E-2</v>
      </c>
      <c r="G1841">
        <f t="shared" si="63"/>
        <v>-2.8765492648382473E-2</v>
      </c>
    </row>
    <row r="1842" spans="1:7" x14ac:dyDescent="0.35">
      <c r="A1842" t="s">
        <v>103</v>
      </c>
      <c r="E1842">
        <v>-9.4267383366892204E-3</v>
      </c>
      <c r="F1842">
        <f t="shared" si="62"/>
        <v>-1.7187121878444508E-2</v>
      </c>
      <c r="G1842">
        <f t="shared" si="63"/>
        <v>-2.8757152918238413E-2</v>
      </c>
    </row>
    <row r="1843" spans="1:7" x14ac:dyDescent="0.35">
      <c r="A1843" t="s">
        <v>103</v>
      </c>
      <c r="E1843">
        <v>1.3987021891265444E-2</v>
      </c>
      <c r="F1843">
        <f t="shared" si="62"/>
        <v>-1.7188861203399814E-2</v>
      </c>
      <c r="G1843">
        <f t="shared" si="63"/>
        <v>-2.8757152918238413E-2</v>
      </c>
    </row>
    <row r="1844" spans="1:7" x14ac:dyDescent="0.35">
      <c r="A1844" t="s">
        <v>103</v>
      </c>
      <c r="E1844">
        <v>-3.8837154896570656E-3</v>
      </c>
      <c r="F1844">
        <f t="shared" si="62"/>
        <v>-1.7190600528355124E-2</v>
      </c>
      <c r="G1844">
        <f t="shared" si="63"/>
        <v>-2.8757152918238413E-2</v>
      </c>
    </row>
    <row r="1845" spans="1:7" x14ac:dyDescent="0.35">
      <c r="A1845" t="s">
        <v>103</v>
      </c>
      <c r="E1845">
        <v>1.1322248848250834E-2</v>
      </c>
      <c r="F1845">
        <f t="shared" si="62"/>
        <v>-1.719233985331043E-2</v>
      </c>
      <c r="G1845">
        <f t="shared" si="63"/>
        <v>-2.8757152918238413E-2</v>
      </c>
    </row>
    <row r="1846" spans="1:7" x14ac:dyDescent="0.35">
      <c r="A1846" t="s">
        <v>103</v>
      </c>
      <c r="E1846">
        <v>-8.1562709287533457E-4</v>
      </c>
      <c r="F1846">
        <f t="shared" si="62"/>
        <v>-1.719407917826574E-2</v>
      </c>
      <c r="G1846">
        <f t="shared" si="63"/>
        <v>-2.8757152918238413E-2</v>
      </c>
    </row>
    <row r="1847" spans="1:7" x14ac:dyDescent="0.35">
      <c r="A1847" t="s">
        <v>103</v>
      </c>
      <c r="E1847">
        <v>2.7740792609030167E-3</v>
      </c>
      <c r="F1847">
        <f t="shared" si="62"/>
        <v>-1.7195818503221046E-2</v>
      </c>
      <c r="G1847">
        <f t="shared" si="63"/>
        <v>-2.8757152918238413E-2</v>
      </c>
    </row>
    <row r="1848" spans="1:7" x14ac:dyDescent="0.35">
      <c r="A1848" t="s">
        <v>103</v>
      </c>
      <c r="E1848">
        <v>-3.0675011119324679E-3</v>
      </c>
      <c r="F1848">
        <f t="shared" si="62"/>
        <v>-1.7197557828176356E-2</v>
      </c>
      <c r="G1848">
        <f t="shared" si="63"/>
        <v>-2.8757152918238413E-2</v>
      </c>
    </row>
    <row r="1849" spans="1:7" x14ac:dyDescent="0.35">
      <c r="A1849" t="s">
        <v>103</v>
      </c>
      <c r="E1849">
        <v>-2.5067617609550574E-3</v>
      </c>
      <c r="F1849">
        <f t="shared" si="62"/>
        <v>-1.7199297153131662E-2</v>
      </c>
      <c r="G1849">
        <f t="shared" si="63"/>
        <v>-2.8757152918238413E-2</v>
      </c>
    </row>
    <row r="1850" spans="1:7" x14ac:dyDescent="0.35">
      <c r="A1850" t="s">
        <v>103</v>
      </c>
      <c r="E1850">
        <v>2.8496706984714148E-4</v>
      </c>
      <c r="F1850">
        <f t="shared" si="62"/>
        <v>-1.7201036478086969E-2</v>
      </c>
      <c r="G1850">
        <f t="shared" si="63"/>
        <v>-2.8757152918238413E-2</v>
      </c>
    </row>
    <row r="1851" spans="1:7" x14ac:dyDescent="0.35">
      <c r="A1851" t="s">
        <v>104</v>
      </c>
      <c r="B1851" s="3" cm="1">
        <f t="array" ref="B1851">_xlfn.STDEV.S(_xlfn._xlws.FILTER($E$1000:$E$1998, $A$1000:$A$1998="2017-06"))</f>
        <v>6.988287351616454E-3</v>
      </c>
      <c r="C1851" s="3" cm="1">
        <f t="array" ref="C1851">AVERAGE(_xlfn._xlws.FILTER($E$1000:$E$1998, $A$1000:$A$1998="2017-06"))</f>
        <v>-1.945272255201091E-3</v>
      </c>
      <c r="D1851" s="3" cm="1">
        <f t="array" ref="D1851">_xlfn.PERCENTILE.EXC(_xlfn._xlws.FILTER($E$1498:$E$2489, $A$1498:$A$2489="2017-06"), 0.05)</f>
        <v>-1.5792558103162112E-2</v>
      </c>
      <c r="E1851">
        <v>9.1907541078351814E-5</v>
      </c>
      <c r="F1851">
        <f t="shared" si="62"/>
        <v>-1.7202775803042279E-2</v>
      </c>
      <c r="G1851">
        <f t="shared" si="63"/>
        <v>-2.8757152918238413E-2</v>
      </c>
    </row>
    <row r="1852" spans="1:7" x14ac:dyDescent="0.35">
      <c r="A1852" t="s">
        <v>104</v>
      </c>
      <c r="E1852">
        <v>2.2857782283317589E-3</v>
      </c>
      <c r="F1852">
        <f t="shared" si="62"/>
        <v>-1.7204515127997585E-2</v>
      </c>
      <c r="G1852">
        <f t="shared" si="63"/>
        <v>-2.8757152918238413E-2</v>
      </c>
    </row>
    <row r="1853" spans="1:7" x14ac:dyDescent="0.35">
      <c r="A1853" t="s">
        <v>104</v>
      </c>
      <c r="E1853">
        <v>-2.4052596789787329E-3</v>
      </c>
      <c r="F1853">
        <f t="shared" si="62"/>
        <v>-1.7206254452952895E-2</v>
      </c>
      <c r="G1853">
        <f t="shared" si="63"/>
        <v>-2.8757152918238413E-2</v>
      </c>
    </row>
    <row r="1854" spans="1:7" x14ac:dyDescent="0.35">
      <c r="A1854" t="s">
        <v>104</v>
      </c>
      <c r="E1854">
        <v>-7.3558486908646312E-4</v>
      </c>
      <c r="F1854">
        <f t="shared" si="62"/>
        <v>-1.7207993777908201E-2</v>
      </c>
      <c r="G1854">
        <f t="shared" si="63"/>
        <v>-2.8757152918238413E-2</v>
      </c>
    </row>
    <row r="1855" spans="1:7" x14ac:dyDescent="0.35">
      <c r="A1855" t="s">
        <v>104</v>
      </c>
      <c r="E1855">
        <v>7.459438569534212E-3</v>
      </c>
      <c r="F1855">
        <f t="shared" si="62"/>
        <v>-1.7209733102863511E-2</v>
      </c>
      <c r="G1855">
        <f t="shared" si="63"/>
        <v>-2.8757152918238413E-2</v>
      </c>
    </row>
    <row r="1856" spans="1:7" x14ac:dyDescent="0.35">
      <c r="A1856" t="s">
        <v>104</v>
      </c>
      <c r="E1856">
        <v>2.2980759176723046E-3</v>
      </c>
      <c r="F1856">
        <f t="shared" si="62"/>
        <v>-1.7211472427818817E-2</v>
      </c>
      <c r="G1856">
        <f t="shared" si="63"/>
        <v>-2.8757152918238413E-2</v>
      </c>
    </row>
    <row r="1857" spans="1:7" x14ac:dyDescent="0.35">
      <c r="A1857" t="s">
        <v>104</v>
      </c>
      <c r="E1857">
        <v>-1.2456223416678994E-2</v>
      </c>
      <c r="F1857">
        <f t="shared" si="62"/>
        <v>-1.7213211752774127E-2</v>
      </c>
      <c r="G1857">
        <f t="shared" si="63"/>
        <v>-2.8757152918238413E-2</v>
      </c>
    </row>
    <row r="1858" spans="1:7" x14ac:dyDescent="0.35">
      <c r="A1858" t="s">
        <v>104</v>
      </c>
      <c r="E1858">
        <v>3.6548637890681272E-3</v>
      </c>
      <c r="F1858">
        <f t="shared" si="62"/>
        <v>-1.7214951077729433E-2</v>
      </c>
      <c r="G1858">
        <f t="shared" si="63"/>
        <v>-2.8757152918238413E-2</v>
      </c>
    </row>
    <row r="1859" spans="1:7" x14ac:dyDescent="0.35">
      <c r="A1859" t="s">
        <v>104</v>
      </c>
      <c r="E1859">
        <v>-9.8163583353439825E-3</v>
      </c>
      <c r="F1859">
        <f t="shared" si="62"/>
        <v>-1.7216690402684739E-2</v>
      </c>
      <c r="G1859">
        <f t="shared" si="63"/>
        <v>-2.8757152918238413E-2</v>
      </c>
    </row>
    <row r="1860" spans="1:7" x14ac:dyDescent="0.35">
      <c r="A1860" t="s">
        <v>104</v>
      </c>
      <c r="E1860">
        <v>-7.0965215818711942E-3</v>
      </c>
      <c r="F1860">
        <f t="shared" ref="F1860:F1923" si="64">_xlfn.PERCENTILE.EXC(E1860:E5675,0.05)</f>
        <v>-1.7218429727640049E-2</v>
      </c>
      <c r="G1860">
        <f t="shared" ref="G1860:G1923" si="65">AVERAGEIFS(E1860:E5676,E1860:E5676,"&lt;=" &amp; F1860)</f>
        <v>-2.8757152918238413E-2</v>
      </c>
    </row>
    <row r="1861" spans="1:7" x14ac:dyDescent="0.35">
      <c r="A1861" t="s">
        <v>104</v>
      </c>
      <c r="E1861">
        <v>5.573433505569254E-3</v>
      </c>
      <c r="F1861">
        <f t="shared" si="64"/>
        <v>-1.7222893227933588E-2</v>
      </c>
      <c r="G1861">
        <f t="shared" si="65"/>
        <v>-2.8876108827419842E-2</v>
      </c>
    </row>
    <row r="1862" spans="1:7" x14ac:dyDescent="0.35">
      <c r="A1862" t="s">
        <v>104</v>
      </c>
      <c r="E1862">
        <v>8.2839012613460678E-3</v>
      </c>
      <c r="F1862">
        <f t="shared" si="64"/>
        <v>-1.7227356728227124E-2</v>
      </c>
      <c r="G1862">
        <f t="shared" si="65"/>
        <v>-2.8876108827419842E-2</v>
      </c>
    </row>
    <row r="1863" spans="1:7" x14ac:dyDescent="0.35">
      <c r="A1863" t="s">
        <v>104</v>
      </c>
      <c r="E1863">
        <v>-9.5207943069059945E-3</v>
      </c>
      <c r="F1863">
        <f t="shared" si="64"/>
        <v>-1.7231820228520663E-2</v>
      </c>
      <c r="G1863">
        <f t="shared" si="65"/>
        <v>-2.8876108827419842E-2</v>
      </c>
    </row>
    <row r="1864" spans="1:7" x14ac:dyDescent="0.35">
      <c r="A1864" t="s">
        <v>104</v>
      </c>
      <c r="E1864">
        <v>-5.0263418598290059E-4</v>
      </c>
      <c r="F1864">
        <f t="shared" si="64"/>
        <v>-1.7236283728814202E-2</v>
      </c>
      <c r="G1864">
        <f t="shared" si="65"/>
        <v>-2.8876108827419842E-2</v>
      </c>
    </row>
    <row r="1865" spans="1:7" x14ac:dyDescent="0.35">
      <c r="A1865" t="s">
        <v>104</v>
      </c>
      <c r="E1865">
        <v>-2.8717165176425702E-3</v>
      </c>
      <c r="F1865">
        <f t="shared" si="64"/>
        <v>-1.724074722910774E-2</v>
      </c>
      <c r="G1865">
        <f t="shared" si="65"/>
        <v>-2.8876108827419842E-2</v>
      </c>
    </row>
    <row r="1866" spans="1:7" x14ac:dyDescent="0.35">
      <c r="A1866" t="s">
        <v>104</v>
      </c>
      <c r="E1866">
        <v>-7.4130991240562369E-3</v>
      </c>
      <c r="F1866">
        <f t="shared" si="64"/>
        <v>-1.7245210729401276E-2</v>
      </c>
      <c r="G1866">
        <f t="shared" si="65"/>
        <v>-2.8876108827419842E-2</v>
      </c>
    </row>
    <row r="1867" spans="1:7" x14ac:dyDescent="0.35">
      <c r="A1867" t="s">
        <v>104</v>
      </c>
      <c r="E1867">
        <v>6.1704857392092301E-3</v>
      </c>
      <c r="F1867">
        <f t="shared" si="64"/>
        <v>-1.7249674229694815E-2</v>
      </c>
      <c r="G1867">
        <f t="shared" si="65"/>
        <v>-2.8876108827419842E-2</v>
      </c>
    </row>
    <row r="1868" spans="1:7" x14ac:dyDescent="0.35">
      <c r="A1868" t="s">
        <v>104</v>
      </c>
      <c r="E1868">
        <v>-4.5632443493597435E-3</v>
      </c>
      <c r="F1868">
        <f t="shared" si="64"/>
        <v>-1.7254137729988354E-2</v>
      </c>
      <c r="G1868">
        <f t="shared" si="65"/>
        <v>-2.8876108827419842E-2</v>
      </c>
    </row>
    <row r="1869" spans="1:7" x14ac:dyDescent="0.35">
      <c r="A1869" t="s">
        <v>104</v>
      </c>
      <c r="E1869">
        <v>5.1333564712723037E-3</v>
      </c>
      <c r="F1869">
        <f t="shared" si="64"/>
        <v>-1.7258601230281889E-2</v>
      </c>
      <c r="G1869">
        <f t="shared" si="65"/>
        <v>-2.8876108827419842E-2</v>
      </c>
    </row>
    <row r="1870" spans="1:7" x14ac:dyDescent="0.35">
      <c r="A1870" t="s">
        <v>104</v>
      </c>
      <c r="E1870">
        <v>-1.6163261957215794E-2</v>
      </c>
      <c r="F1870">
        <f t="shared" si="64"/>
        <v>-1.7263064730575428E-2</v>
      </c>
      <c r="G1870">
        <f t="shared" si="65"/>
        <v>-2.8876108827419842E-2</v>
      </c>
    </row>
    <row r="1871" spans="1:7" x14ac:dyDescent="0.35">
      <c r="A1871" t="s">
        <v>104</v>
      </c>
      <c r="E1871">
        <v>-8.2572600591819083E-3</v>
      </c>
      <c r="F1871">
        <f t="shared" si="64"/>
        <v>-1.7267528230868967E-2</v>
      </c>
      <c r="G1871">
        <f t="shared" si="65"/>
        <v>-2.8876108827419842E-2</v>
      </c>
    </row>
    <row r="1872" spans="1:7" x14ac:dyDescent="0.35">
      <c r="A1872" t="s">
        <v>105</v>
      </c>
      <c r="B1872" s="3" cm="1">
        <f t="array" ref="B1872">_xlfn.STDEV.S(_xlfn._xlws.FILTER($E$1000:$E$1998, $A$1000:$A$1998="2017-07"))</f>
        <v>7.0597090422106577E-3</v>
      </c>
      <c r="C1872" s="3" cm="1">
        <f t="array" ref="C1872">AVERAGE(_xlfn._xlws.FILTER($E$1000:$E$1998, $A$1000:$A$1998="2017-07"))</f>
        <v>2.6234452177998957E-4</v>
      </c>
      <c r="D1872" s="3" cm="1">
        <f t="array" ref="D1872">_xlfn.PERCENTILE.EXC(_xlfn._xlws.FILTER($E$1498:$E$2489, $A$1498:$A$2489="2017-07"), 0.05)</f>
        <v>-1.3047407534606533E-2</v>
      </c>
      <c r="E1872">
        <v>1.5174624987584954E-2</v>
      </c>
      <c r="F1872">
        <f t="shared" si="64"/>
        <v>-1.7271991731162506E-2</v>
      </c>
      <c r="G1872">
        <f t="shared" si="65"/>
        <v>-2.8876108827419842E-2</v>
      </c>
    </row>
    <row r="1873" spans="1:7" x14ac:dyDescent="0.35">
      <c r="A1873" t="s">
        <v>105</v>
      </c>
      <c r="E1873">
        <v>-3.5426022718767413E-3</v>
      </c>
      <c r="F1873">
        <f t="shared" si="64"/>
        <v>-1.7276455231456045E-2</v>
      </c>
      <c r="G1873">
        <f t="shared" si="65"/>
        <v>-2.8876108827419842E-2</v>
      </c>
    </row>
    <row r="1874" spans="1:7" x14ac:dyDescent="0.35">
      <c r="A1874" t="s">
        <v>105</v>
      </c>
      <c r="E1874">
        <v>-4.0871926904115135E-3</v>
      </c>
      <c r="F1874">
        <f t="shared" si="64"/>
        <v>-1.728091873174958E-2</v>
      </c>
      <c r="G1874">
        <f t="shared" si="65"/>
        <v>-2.8876108827419842E-2</v>
      </c>
    </row>
    <row r="1875" spans="1:7" x14ac:dyDescent="0.35">
      <c r="A1875" t="s">
        <v>105</v>
      </c>
      <c r="E1875">
        <v>-2.3974894939307995E-3</v>
      </c>
      <c r="F1875">
        <f t="shared" si="64"/>
        <v>-1.7285382232043119E-2</v>
      </c>
      <c r="G1875">
        <f t="shared" si="65"/>
        <v>-2.8876108827419842E-2</v>
      </c>
    </row>
    <row r="1876" spans="1:7" x14ac:dyDescent="0.35">
      <c r="A1876" t="s">
        <v>105</v>
      </c>
      <c r="E1876">
        <v>-9.1484339688485098E-4</v>
      </c>
      <c r="F1876">
        <f t="shared" si="64"/>
        <v>-1.7289845732336658E-2</v>
      </c>
      <c r="G1876">
        <f t="shared" si="65"/>
        <v>-2.8876108827419842E-2</v>
      </c>
    </row>
    <row r="1877" spans="1:7" x14ac:dyDescent="0.35">
      <c r="A1877" t="s">
        <v>105</v>
      </c>
      <c r="E1877">
        <v>1.9715888148427404E-3</v>
      </c>
      <c r="F1877">
        <f t="shared" si="64"/>
        <v>-1.7294309232630197E-2</v>
      </c>
      <c r="G1877">
        <f t="shared" si="65"/>
        <v>-2.8876108827419842E-2</v>
      </c>
    </row>
    <row r="1878" spans="1:7" x14ac:dyDescent="0.35">
      <c r="A1878" t="s">
        <v>105</v>
      </c>
      <c r="E1878">
        <v>-5.763759717910738E-3</v>
      </c>
      <c r="F1878">
        <f t="shared" si="64"/>
        <v>-1.7298772732923733E-2</v>
      </c>
      <c r="G1878">
        <f t="shared" si="65"/>
        <v>-2.8876108827419842E-2</v>
      </c>
    </row>
    <row r="1879" spans="1:7" x14ac:dyDescent="0.35">
      <c r="A1879" t="s">
        <v>105</v>
      </c>
      <c r="E1879">
        <v>1.0595306048624017E-2</v>
      </c>
      <c r="F1879">
        <f t="shared" si="64"/>
        <v>-1.7303236233217272E-2</v>
      </c>
      <c r="G1879">
        <f t="shared" si="65"/>
        <v>-2.8876108827419842E-2</v>
      </c>
    </row>
    <row r="1880" spans="1:7" x14ac:dyDescent="0.35">
      <c r="A1880" t="s">
        <v>105</v>
      </c>
      <c r="E1880">
        <v>9.2277749999800582E-3</v>
      </c>
      <c r="F1880">
        <f t="shared" si="64"/>
        <v>-1.730769973351081E-2</v>
      </c>
      <c r="G1880">
        <f t="shared" si="65"/>
        <v>-2.8876108827419842E-2</v>
      </c>
    </row>
    <row r="1881" spans="1:7" x14ac:dyDescent="0.35">
      <c r="A1881" t="s">
        <v>105</v>
      </c>
      <c r="E1881">
        <v>-3.0028057691816471E-4</v>
      </c>
      <c r="F1881">
        <f t="shared" si="64"/>
        <v>-1.7308784324697495E-2</v>
      </c>
      <c r="G1881">
        <f t="shared" si="65"/>
        <v>-2.8996613088814727E-2</v>
      </c>
    </row>
    <row r="1882" spans="1:7" x14ac:dyDescent="0.35">
      <c r="A1882" t="s">
        <v>105</v>
      </c>
      <c r="E1882">
        <v>-3.6608890737075919E-4</v>
      </c>
      <c r="F1882">
        <f t="shared" si="64"/>
        <v>-1.7309868915884184E-2</v>
      </c>
      <c r="G1882">
        <f t="shared" si="65"/>
        <v>-2.8996613088814727E-2</v>
      </c>
    </row>
    <row r="1883" spans="1:7" x14ac:dyDescent="0.35">
      <c r="A1883" t="s">
        <v>105</v>
      </c>
      <c r="E1883">
        <v>-1.1966689362542195E-2</v>
      </c>
      <c r="F1883">
        <f t="shared" si="64"/>
        <v>-1.7310953507070868E-2</v>
      </c>
      <c r="G1883">
        <f t="shared" si="65"/>
        <v>-2.8996613088814727E-2</v>
      </c>
    </row>
    <row r="1884" spans="1:7" x14ac:dyDescent="0.35">
      <c r="A1884" t="s">
        <v>105</v>
      </c>
      <c r="E1884">
        <v>6.0248564728200725E-3</v>
      </c>
      <c r="F1884">
        <f t="shared" si="64"/>
        <v>-1.7312038098257557E-2</v>
      </c>
      <c r="G1884">
        <f t="shared" si="65"/>
        <v>-2.8996613088814727E-2</v>
      </c>
    </row>
    <row r="1885" spans="1:7" x14ac:dyDescent="0.35">
      <c r="A1885" t="s">
        <v>105</v>
      </c>
      <c r="E1885">
        <v>-2.2030085164102251E-3</v>
      </c>
      <c r="F1885">
        <f t="shared" si="64"/>
        <v>-1.7313122689444242E-2</v>
      </c>
      <c r="G1885">
        <f t="shared" si="65"/>
        <v>-2.8996613088814727E-2</v>
      </c>
    </row>
    <row r="1886" spans="1:7" x14ac:dyDescent="0.35">
      <c r="A1886" t="s">
        <v>105</v>
      </c>
      <c r="E1886">
        <v>-1.316748733150257E-2</v>
      </c>
      <c r="F1886">
        <f t="shared" si="64"/>
        <v>-1.731420728063093E-2</v>
      </c>
      <c r="G1886">
        <f t="shared" si="65"/>
        <v>-2.8996613088814727E-2</v>
      </c>
    </row>
    <row r="1887" spans="1:7" x14ac:dyDescent="0.35">
      <c r="A1887" t="s">
        <v>105</v>
      </c>
      <c r="E1887">
        <v>1.9067609535013265E-3</v>
      </c>
      <c r="F1887">
        <f t="shared" si="64"/>
        <v>-1.7315291871817615E-2</v>
      </c>
      <c r="G1887">
        <f t="shared" si="65"/>
        <v>-2.8996613088814727E-2</v>
      </c>
    </row>
    <row r="1888" spans="1:7" x14ac:dyDescent="0.35">
      <c r="A1888" t="s">
        <v>105</v>
      </c>
      <c r="E1888">
        <v>7.3343549298415982E-3</v>
      </c>
      <c r="F1888">
        <f t="shared" si="64"/>
        <v>-1.7316376463004303E-2</v>
      </c>
      <c r="G1888">
        <f t="shared" si="65"/>
        <v>-2.8996613088814727E-2</v>
      </c>
    </row>
    <row r="1889" spans="1:7" x14ac:dyDescent="0.35">
      <c r="A1889" t="s">
        <v>105</v>
      </c>
      <c r="E1889">
        <v>4.9292002660836203E-3</v>
      </c>
      <c r="F1889">
        <f t="shared" si="64"/>
        <v>-1.7317461054190988E-2</v>
      </c>
      <c r="G1889">
        <f t="shared" si="65"/>
        <v>-2.8996613088814727E-2</v>
      </c>
    </row>
    <row r="1890" spans="1:7" x14ac:dyDescent="0.35">
      <c r="A1890" t="s">
        <v>105</v>
      </c>
      <c r="E1890">
        <v>2.644155128111933E-3</v>
      </c>
      <c r="F1890">
        <f t="shared" si="64"/>
        <v>-1.7318545645377673E-2</v>
      </c>
      <c r="G1890">
        <f t="shared" si="65"/>
        <v>-2.8996613088814727E-2</v>
      </c>
    </row>
    <row r="1891" spans="1:7" x14ac:dyDescent="0.35">
      <c r="A1891" t="s">
        <v>105</v>
      </c>
      <c r="E1891">
        <v>-6.3672487402342279E-3</v>
      </c>
      <c r="F1891">
        <f t="shared" si="64"/>
        <v>-1.7319630236564361E-2</v>
      </c>
      <c r="G1891">
        <f t="shared" si="65"/>
        <v>-2.8996613088814727E-2</v>
      </c>
    </row>
    <row r="1892" spans="1:7" x14ac:dyDescent="0.35">
      <c r="A1892" t="s">
        <v>105</v>
      </c>
      <c r="E1892">
        <v>-3.2226966380177534E-3</v>
      </c>
      <c r="F1892">
        <f t="shared" si="64"/>
        <v>-1.7320714827751046E-2</v>
      </c>
      <c r="G1892">
        <f t="shared" si="65"/>
        <v>-2.8996613088814727E-2</v>
      </c>
    </row>
    <row r="1893" spans="1:7" x14ac:dyDescent="0.35">
      <c r="A1893" t="s">
        <v>106</v>
      </c>
      <c r="B1893" s="3" cm="1">
        <f t="array" ref="B1893">_xlfn.STDEV.S(_xlfn._xlws.FILTER($E$1000:$E$1998, $A$1000:$A$1998="2017-08"))</f>
        <v>9.2278653182264175E-3</v>
      </c>
      <c r="C1893" s="3" cm="1">
        <f t="array" ref="C1893">AVERAGE(_xlfn._xlws.FILTER($E$1000:$E$1998, $A$1000:$A$1998="2017-08"))</f>
        <v>-9.2806707895081711E-4</v>
      </c>
      <c r="D1893" s="3" cm="1">
        <f t="array" ref="D1893">_xlfn.PERCENTILE.EXC(_xlfn._xlws.FILTER($E$1498:$E$2489, $A$1498:$A$2489="2017-08"), 0.05)</f>
        <v>-1.5994725649076683E-2</v>
      </c>
      <c r="E1893">
        <v>8.0137372945243337E-3</v>
      </c>
      <c r="F1893">
        <f t="shared" si="64"/>
        <v>-1.7321799418937734E-2</v>
      </c>
      <c r="G1893">
        <f t="shared" si="65"/>
        <v>-2.8996613088814727E-2</v>
      </c>
    </row>
    <row r="1894" spans="1:7" x14ac:dyDescent="0.35">
      <c r="A1894" t="s">
        <v>106</v>
      </c>
      <c r="E1894">
        <v>-6.9003050964726483E-3</v>
      </c>
      <c r="F1894">
        <f t="shared" si="64"/>
        <v>-1.7322884010124419E-2</v>
      </c>
      <c r="G1894">
        <f t="shared" si="65"/>
        <v>-2.8996613088814727E-2</v>
      </c>
    </row>
    <row r="1895" spans="1:7" x14ac:dyDescent="0.35">
      <c r="A1895" t="s">
        <v>106</v>
      </c>
      <c r="E1895">
        <v>3.3423570022588743E-3</v>
      </c>
      <c r="F1895">
        <f t="shared" si="64"/>
        <v>-1.7323968601311107E-2</v>
      </c>
      <c r="G1895">
        <f t="shared" si="65"/>
        <v>-2.8996613088814727E-2</v>
      </c>
    </row>
    <row r="1896" spans="1:7" x14ac:dyDescent="0.35">
      <c r="A1896" t="s">
        <v>106</v>
      </c>
      <c r="E1896">
        <v>1.0307765437600919E-2</v>
      </c>
      <c r="F1896">
        <f t="shared" si="64"/>
        <v>-1.7325053192497792E-2</v>
      </c>
      <c r="G1896">
        <f t="shared" si="65"/>
        <v>-2.8996613088814727E-2</v>
      </c>
    </row>
    <row r="1897" spans="1:7" x14ac:dyDescent="0.35">
      <c r="A1897" t="s">
        <v>106</v>
      </c>
      <c r="E1897">
        <v>1.6967508019664328E-3</v>
      </c>
      <c r="F1897">
        <f t="shared" si="64"/>
        <v>-1.732613778368448E-2</v>
      </c>
      <c r="G1897">
        <f t="shared" si="65"/>
        <v>-2.8996613088814727E-2</v>
      </c>
    </row>
    <row r="1898" spans="1:7" x14ac:dyDescent="0.35">
      <c r="A1898" t="s">
        <v>106</v>
      </c>
      <c r="E1898">
        <v>5.4364205032944937E-3</v>
      </c>
      <c r="F1898">
        <f t="shared" si="64"/>
        <v>-1.7327222374871165E-2</v>
      </c>
      <c r="G1898">
        <f t="shared" si="65"/>
        <v>-2.8996613088814727E-2</v>
      </c>
    </row>
    <row r="1899" spans="1:7" x14ac:dyDescent="0.35">
      <c r="A1899" t="s">
        <v>106</v>
      </c>
      <c r="E1899">
        <v>-1.3004913559302686E-2</v>
      </c>
      <c r="F1899">
        <f t="shared" si="64"/>
        <v>-1.732830696605785E-2</v>
      </c>
      <c r="G1899">
        <f t="shared" si="65"/>
        <v>-2.8996613088814727E-2</v>
      </c>
    </row>
    <row r="1900" spans="1:7" x14ac:dyDescent="0.35">
      <c r="A1900" t="s">
        <v>106</v>
      </c>
      <c r="E1900">
        <v>-1.3874592999003267E-2</v>
      </c>
      <c r="F1900">
        <f t="shared" si="64"/>
        <v>-1.7329391557244538E-2</v>
      </c>
      <c r="G1900">
        <f t="shared" si="65"/>
        <v>-2.8996613088814727E-2</v>
      </c>
    </row>
    <row r="1901" spans="1:7" x14ac:dyDescent="0.35">
      <c r="A1901" t="s">
        <v>106</v>
      </c>
      <c r="E1901">
        <v>-1.6119656999538351E-2</v>
      </c>
      <c r="F1901">
        <f t="shared" si="64"/>
        <v>-1.7330705590889509E-2</v>
      </c>
      <c r="G1901">
        <f t="shared" si="65"/>
        <v>-2.9119425947041783E-2</v>
      </c>
    </row>
    <row r="1902" spans="1:7" x14ac:dyDescent="0.35">
      <c r="A1902" t="s">
        <v>106</v>
      </c>
      <c r="E1902">
        <v>1.7190853398689664E-2</v>
      </c>
      <c r="F1902">
        <f t="shared" si="64"/>
        <v>-1.733201962453448E-2</v>
      </c>
      <c r="G1902">
        <f t="shared" si="65"/>
        <v>-2.9119425947041783E-2</v>
      </c>
    </row>
    <row r="1903" spans="1:7" x14ac:dyDescent="0.35">
      <c r="A1903" t="s">
        <v>106</v>
      </c>
      <c r="E1903">
        <v>7.9122547457273762E-3</v>
      </c>
      <c r="F1903">
        <f t="shared" si="64"/>
        <v>-1.7333333658179451E-2</v>
      </c>
      <c r="G1903">
        <f t="shared" si="65"/>
        <v>-2.9119425947041783E-2</v>
      </c>
    </row>
    <row r="1904" spans="1:7" x14ac:dyDescent="0.35">
      <c r="A1904" t="s">
        <v>106</v>
      </c>
      <c r="E1904">
        <v>-9.5769286532283466E-3</v>
      </c>
      <c r="F1904">
        <f t="shared" si="64"/>
        <v>-1.7334647691824422E-2</v>
      </c>
      <c r="G1904">
        <f t="shared" si="65"/>
        <v>-2.9119425947041783E-2</v>
      </c>
    </row>
    <row r="1905" spans="1:7" x14ac:dyDescent="0.35">
      <c r="A1905" t="s">
        <v>106</v>
      </c>
      <c r="E1905">
        <v>-5.5786409350743011E-3</v>
      </c>
      <c r="F1905">
        <f t="shared" si="64"/>
        <v>-1.733596172546939E-2</v>
      </c>
      <c r="G1905">
        <f t="shared" si="65"/>
        <v>-2.9119425947041783E-2</v>
      </c>
    </row>
    <row r="1906" spans="1:7" x14ac:dyDescent="0.35">
      <c r="A1906" t="s">
        <v>106</v>
      </c>
      <c r="E1906">
        <v>-2.4583183030934034E-3</v>
      </c>
      <c r="F1906">
        <f t="shared" si="64"/>
        <v>-1.7337275759114361E-2</v>
      </c>
      <c r="G1906">
        <f t="shared" si="65"/>
        <v>-2.9119425947041783E-2</v>
      </c>
    </row>
    <row r="1907" spans="1:7" x14ac:dyDescent="0.35">
      <c r="A1907" t="s">
        <v>106</v>
      </c>
      <c r="E1907">
        <v>4.7761284821469917E-3</v>
      </c>
      <c r="F1907">
        <f t="shared" si="64"/>
        <v>-1.7338589792759332E-2</v>
      </c>
      <c r="G1907">
        <f t="shared" si="65"/>
        <v>-2.9119425947041783E-2</v>
      </c>
    </row>
    <row r="1908" spans="1:7" x14ac:dyDescent="0.35">
      <c r="A1908" t="s">
        <v>106</v>
      </c>
      <c r="E1908">
        <v>-6.9115703685054247E-3</v>
      </c>
      <c r="F1908">
        <f t="shared" si="64"/>
        <v>-1.7339903826404303E-2</v>
      </c>
      <c r="G1908">
        <f t="shared" si="65"/>
        <v>-2.9119425947041783E-2</v>
      </c>
    </row>
    <row r="1909" spans="1:7" x14ac:dyDescent="0.35">
      <c r="A1909" t="s">
        <v>106</v>
      </c>
      <c r="E1909">
        <v>1.8651403053789295E-3</v>
      </c>
      <c r="F1909">
        <f t="shared" si="64"/>
        <v>-1.7341217860049274E-2</v>
      </c>
      <c r="G1909">
        <f t="shared" si="65"/>
        <v>-2.9119425947041783E-2</v>
      </c>
    </row>
    <row r="1910" spans="1:7" x14ac:dyDescent="0.35">
      <c r="A1910" t="s">
        <v>106</v>
      </c>
      <c r="E1910">
        <v>-1.1689297896200631E-3</v>
      </c>
      <c r="F1910">
        <f t="shared" si="64"/>
        <v>-1.7342531893694245E-2</v>
      </c>
      <c r="G1910">
        <f t="shared" si="65"/>
        <v>-2.9119425947041783E-2</v>
      </c>
    </row>
    <row r="1911" spans="1:7" x14ac:dyDescent="0.35">
      <c r="A1911" t="s">
        <v>106</v>
      </c>
      <c r="E1911">
        <v>-1.4870343494921672E-2</v>
      </c>
      <c r="F1911">
        <f t="shared" si="64"/>
        <v>-1.7343845927339216E-2</v>
      </c>
      <c r="G1911">
        <f t="shared" si="65"/>
        <v>-2.9119425947041783E-2</v>
      </c>
    </row>
    <row r="1912" spans="1:7" x14ac:dyDescent="0.35">
      <c r="A1912" t="s">
        <v>106</v>
      </c>
      <c r="E1912">
        <v>5.205898715105065E-3</v>
      </c>
      <c r="F1912">
        <f t="shared" si="64"/>
        <v>-1.7345159960984187E-2</v>
      </c>
      <c r="G1912">
        <f t="shared" si="65"/>
        <v>-2.9119425947041783E-2</v>
      </c>
    </row>
    <row r="1913" spans="1:7" x14ac:dyDescent="0.35">
      <c r="A1913" t="s">
        <v>106</v>
      </c>
      <c r="E1913">
        <v>5.2274848540999211E-3</v>
      </c>
      <c r="F1913">
        <f t="shared" si="64"/>
        <v>-1.7346473994629158E-2</v>
      </c>
      <c r="G1913">
        <f t="shared" si="65"/>
        <v>-2.9119425947041783E-2</v>
      </c>
    </row>
    <row r="1914" spans="1:7" x14ac:dyDescent="0.35">
      <c r="A1914" t="s">
        <v>107</v>
      </c>
      <c r="B1914" s="3" cm="1">
        <f t="array" ref="B1914">_xlfn.STDEV.S(_xlfn._xlws.FILTER($E$1000:$E$1998, $A$1000:$A$1998="2017-09"))</f>
        <v>7.1913168610952477E-3</v>
      </c>
      <c r="C1914" s="3" cm="1">
        <f t="array" ref="C1914">AVERAGE(_xlfn._xlws.FILTER($E$1000:$E$1998, $A$1000:$A$1998="2017-09"))</f>
        <v>3.7762026666209411E-4</v>
      </c>
      <c r="D1914" s="3" cm="1">
        <f t="array" ref="D1914">_xlfn.PERCENTILE.EXC(_xlfn._xlws.FILTER($E$1498:$E$2489, $A$1498:$A$2489="2017-09"), 0.05)</f>
        <v>-8.5976498393567479E-3</v>
      </c>
      <c r="E1914">
        <v>2.5212134567226489E-3</v>
      </c>
      <c r="F1914">
        <f t="shared" si="64"/>
        <v>-1.7347788028274129E-2</v>
      </c>
      <c r="G1914">
        <f t="shared" si="65"/>
        <v>-2.9119425947041783E-2</v>
      </c>
    </row>
    <row r="1915" spans="1:7" x14ac:dyDescent="0.35">
      <c r="A1915" t="s">
        <v>107</v>
      </c>
      <c r="E1915">
        <v>-8.0024930313023976E-3</v>
      </c>
      <c r="F1915">
        <f t="shared" si="64"/>
        <v>-1.73491020619191E-2</v>
      </c>
      <c r="G1915">
        <f t="shared" si="65"/>
        <v>-2.9119425947041783E-2</v>
      </c>
    </row>
    <row r="1916" spans="1:7" x14ac:dyDescent="0.35">
      <c r="A1916" t="s">
        <v>107</v>
      </c>
      <c r="E1916">
        <v>-6.2087062294450971E-3</v>
      </c>
      <c r="F1916">
        <f t="shared" si="64"/>
        <v>-1.7350416095564068E-2</v>
      </c>
      <c r="G1916">
        <f t="shared" si="65"/>
        <v>-2.9119425947041783E-2</v>
      </c>
    </row>
    <row r="1917" spans="1:7" x14ac:dyDescent="0.35">
      <c r="A1917" t="s">
        <v>107</v>
      </c>
      <c r="E1917">
        <v>-4.8053344924215329E-3</v>
      </c>
      <c r="F1917">
        <f t="shared" si="64"/>
        <v>-1.7351730129209039E-2</v>
      </c>
      <c r="G1917">
        <f t="shared" si="65"/>
        <v>-2.9119425947041783E-2</v>
      </c>
    </row>
    <row r="1918" spans="1:7" x14ac:dyDescent="0.35">
      <c r="A1918" t="s">
        <v>107</v>
      </c>
      <c r="E1918">
        <v>-6.0229367092077472E-4</v>
      </c>
      <c r="F1918">
        <f t="shared" si="64"/>
        <v>-1.735304416285401E-2</v>
      </c>
      <c r="G1918">
        <f t="shared" si="65"/>
        <v>-2.9119425947041783E-2</v>
      </c>
    </row>
    <row r="1919" spans="1:7" x14ac:dyDescent="0.35">
      <c r="A1919" t="s">
        <v>107</v>
      </c>
      <c r="E1919">
        <v>4.6409440710550894E-4</v>
      </c>
      <c r="F1919">
        <f t="shared" si="64"/>
        <v>-1.7354358196498981E-2</v>
      </c>
      <c r="G1919">
        <f t="shared" si="65"/>
        <v>-2.9119425947041783E-2</v>
      </c>
    </row>
    <row r="1920" spans="1:7" x14ac:dyDescent="0.35">
      <c r="A1920" t="s">
        <v>107</v>
      </c>
      <c r="E1920">
        <v>1.8873835499143163E-2</v>
      </c>
      <c r="F1920">
        <f t="shared" si="64"/>
        <v>-1.7355672230143952E-2</v>
      </c>
      <c r="G1920">
        <f t="shared" si="65"/>
        <v>-2.9119425947041783E-2</v>
      </c>
    </row>
    <row r="1921" spans="1:7" x14ac:dyDescent="0.35">
      <c r="A1921" t="s">
        <v>107</v>
      </c>
      <c r="E1921">
        <v>1.3166303913732516E-3</v>
      </c>
      <c r="F1921">
        <f t="shared" si="64"/>
        <v>-1.7360903259546912E-2</v>
      </c>
      <c r="G1921">
        <f t="shared" si="65"/>
        <v>-2.9244572263178996E-2</v>
      </c>
    </row>
    <row r="1922" spans="1:7" x14ac:dyDescent="0.35">
      <c r="A1922" t="s">
        <v>107</v>
      </c>
      <c r="E1922">
        <v>3.361152909355597E-3</v>
      </c>
      <c r="F1922">
        <f t="shared" si="64"/>
        <v>-1.7366134288949873E-2</v>
      </c>
      <c r="G1922">
        <f t="shared" si="65"/>
        <v>-2.9244572263178996E-2</v>
      </c>
    </row>
    <row r="1923" spans="1:7" x14ac:dyDescent="0.35">
      <c r="A1923" t="s">
        <v>107</v>
      </c>
      <c r="E1923">
        <v>-9.5504080652563772E-4</v>
      </c>
      <c r="F1923">
        <f t="shared" si="64"/>
        <v>-1.7371365318352833E-2</v>
      </c>
      <c r="G1923">
        <f t="shared" si="65"/>
        <v>-2.9244572263178996E-2</v>
      </c>
    </row>
    <row r="1924" spans="1:7" x14ac:dyDescent="0.35">
      <c r="A1924" t="s">
        <v>107</v>
      </c>
      <c r="E1924">
        <v>-4.2266184738564807E-3</v>
      </c>
      <c r="F1924">
        <f t="shared" ref="F1924:F1987" si="66">_xlfn.PERCENTILE.EXC(E1924:E5739,0.05)</f>
        <v>-1.7376596347755794E-2</v>
      </c>
      <c r="G1924">
        <f t="shared" ref="G1924:G1987" si="67">AVERAGEIFS(E1924:E5740,E1924:E5740,"&lt;=" &amp; F1924)</f>
        <v>-2.9244572263178996E-2</v>
      </c>
    </row>
    <row r="1925" spans="1:7" x14ac:dyDescent="0.35">
      <c r="A1925" t="s">
        <v>107</v>
      </c>
      <c r="E1925">
        <v>2.0333279016294644E-3</v>
      </c>
      <c r="F1925">
        <f t="shared" si="66"/>
        <v>-1.7381827377158755E-2</v>
      </c>
      <c r="G1925">
        <f t="shared" si="67"/>
        <v>-2.9244572263178996E-2</v>
      </c>
    </row>
    <row r="1926" spans="1:7" x14ac:dyDescent="0.35">
      <c r="A1926" t="s">
        <v>107</v>
      </c>
      <c r="E1926">
        <v>3.861605045821137E-3</v>
      </c>
      <c r="F1926">
        <f t="shared" si="66"/>
        <v>-1.7387058406561715E-2</v>
      </c>
      <c r="G1926">
        <f t="shared" si="67"/>
        <v>-2.9244572263178996E-2</v>
      </c>
    </row>
    <row r="1927" spans="1:7" x14ac:dyDescent="0.35">
      <c r="A1927" t="s">
        <v>107</v>
      </c>
      <c r="E1927">
        <v>-8.3501126178778251E-3</v>
      </c>
      <c r="F1927">
        <f t="shared" si="66"/>
        <v>-1.7392289435964676E-2</v>
      </c>
      <c r="G1927">
        <f t="shared" si="67"/>
        <v>-2.9244572263178996E-2</v>
      </c>
    </row>
    <row r="1928" spans="1:7" x14ac:dyDescent="0.35">
      <c r="A1928" t="s">
        <v>107</v>
      </c>
      <c r="E1928">
        <v>4.7598001782596025E-4</v>
      </c>
      <c r="F1928">
        <f t="shared" si="66"/>
        <v>-1.7397520465367636E-2</v>
      </c>
      <c r="G1928">
        <f t="shared" si="67"/>
        <v>-2.9244572263178996E-2</v>
      </c>
    </row>
    <row r="1929" spans="1:7" x14ac:dyDescent="0.35">
      <c r="A1929" t="s">
        <v>107</v>
      </c>
      <c r="E1929">
        <v>7.766236678086255E-4</v>
      </c>
      <c r="F1929">
        <f t="shared" si="66"/>
        <v>-1.7402751494770597E-2</v>
      </c>
      <c r="G1929">
        <f t="shared" si="67"/>
        <v>-2.9244572263178996E-2</v>
      </c>
    </row>
    <row r="1930" spans="1:7" x14ac:dyDescent="0.35">
      <c r="A1930" t="s">
        <v>107</v>
      </c>
      <c r="E1930">
        <v>-8.6251539750766288E-3</v>
      </c>
      <c r="F1930">
        <f t="shared" si="66"/>
        <v>-1.7407982524173561E-2</v>
      </c>
      <c r="G1930">
        <f t="shared" si="67"/>
        <v>-2.9244572263178996E-2</v>
      </c>
    </row>
    <row r="1931" spans="1:7" x14ac:dyDescent="0.35">
      <c r="A1931" t="s">
        <v>107</v>
      </c>
      <c r="E1931">
        <v>-2.6364680739329942E-3</v>
      </c>
      <c r="F1931">
        <f t="shared" si="66"/>
        <v>-1.7413213553576518E-2</v>
      </c>
      <c r="G1931">
        <f t="shared" si="67"/>
        <v>-2.9244572263178996E-2</v>
      </c>
    </row>
    <row r="1932" spans="1:7" x14ac:dyDescent="0.35">
      <c r="A1932" t="s">
        <v>107</v>
      </c>
      <c r="E1932">
        <v>1.7443349104677531E-2</v>
      </c>
      <c r="F1932">
        <f t="shared" si="66"/>
        <v>-1.7418444582979479E-2</v>
      </c>
      <c r="G1932">
        <f t="shared" si="67"/>
        <v>-2.9244572263178996E-2</v>
      </c>
    </row>
    <row r="1933" spans="1:7" x14ac:dyDescent="0.35">
      <c r="A1933" t="s">
        <v>107</v>
      </c>
      <c r="E1933">
        <v>-3.9038769419198721E-3</v>
      </c>
      <c r="F1933">
        <f t="shared" si="66"/>
        <v>-1.7423675612382439E-2</v>
      </c>
      <c r="G1933">
        <f t="shared" si="67"/>
        <v>-2.9244572263178996E-2</v>
      </c>
    </row>
    <row r="1934" spans="1:7" x14ac:dyDescent="0.35">
      <c r="A1934" t="s">
        <v>107</v>
      </c>
      <c r="E1934">
        <v>5.1183115117203306E-3</v>
      </c>
      <c r="F1934">
        <f t="shared" si="66"/>
        <v>-1.74289066417854E-2</v>
      </c>
      <c r="G1934">
        <f t="shared" si="67"/>
        <v>-2.9244572263178996E-2</v>
      </c>
    </row>
    <row r="1935" spans="1:7" x14ac:dyDescent="0.35">
      <c r="A1935" t="s">
        <v>108</v>
      </c>
      <c r="B1935" s="3" cm="1">
        <f t="array" ref="B1935">_xlfn.STDEV.S(_xlfn._xlws.FILTER($E$1000:$E$1998, $A$1000:$A$1998="2017-10"))</f>
        <v>1.3139695191230845E-2</v>
      </c>
      <c r="C1935" s="3" cm="1">
        <f t="array" ref="C1935">AVERAGE(_xlfn._xlws.FILTER($E$1000:$E$1998, $A$1000:$A$1998="2017-10"))</f>
        <v>3.0968770231082598E-4</v>
      </c>
      <c r="D1935" s="3" cm="1">
        <f t="array" ref="D1935">_xlfn.PERCENTILE.EXC(_xlfn._xlws.FILTER($E$1498:$E$2489, $A$1498:$A$2489="2017-10"), 0.05)</f>
        <v>-2.8058060810578104E-2</v>
      </c>
      <c r="E1935">
        <v>-1.2191727387446991E-2</v>
      </c>
      <c r="F1935">
        <f t="shared" si="66"/>
        <v>-1.7434137671188364E-2</v>
      </c>
      <c r="G1935">
        <f t="shared" si="67"/>
        <v>-2.9244572263178996E-2</v>
      </c>
    </row>
    <row r="1936" spans="1:7" x14ac:dyDescent="0.35">
      <c r="A1936" t="s">
        <v>108</v>
      </c>
      <c r="E1936">
        <v>-2.8764730088968141E-2</v>
      </c>
      <c r="F1936">
        <f t="shared" si="66"/>
        <v>-1.7439368700591325E-2</v>
      </c>
      <c r="G1936">
        <f t="shared" si="67"/>
        <v>-2.9244572263178996E-2</v>
      </c>
    </row>
    <row r="1937" spans="1:7" x14ac:dyDescent="0.35">
      <c r="A1937" t="s">
        <v>108</v>
      </c>
      <c r="E1937">
        <v>2.4758940771220834E-2</v>
      </c>
      <c r="F1937">
        <f t="shared" si="66"/>
        <v>-1.7351730129209039E-2</v>
      </c>
      <c r="G1937">
        <f t="shared" si="67"/>
        <v>-2.912319930723406E-2</v>
      </c>
    </row>
    <row r="1938" spans="1:7" x14ac:dyDescent="0.35">
      <c r="A1938" t="s">
        <v>108</v>
      </c>
      <c r="E1938">
        <v>-2.862718987221066E-3</v>
      </c>
      <c r="F1938">
        <f t="shared" si="66"/>
        <v>-1.735304416285401E-2</v>
      </c>
      <c r="G1938">
        <f t="shared" si="67"/>
        <v>-2.912319930723406E-2</v>
      </c>
    </row>
    <row r="1939" spans="1:7" x14ac:dyDescent="0.35">
      <c r="A1939" t="s">
        <v>108</v>
      </c>
      <c r="E1939">
        <v>4.9457780220670752E-3</v>
      </c>
      <c r="F1939">
        <f t="shared" si="66"/>
        <v>-1.7354358196498981E-2</v>
      </c>
      <c r="G1939">
        <f t="shared" si="67"/>
        <v>-2.912319930723406E-2</v>
      </c>
    </row>
    <row r="1940" spans="1:7" x14ac:dyDescent="0.35">
      <c r="A1940" t="s">
        <v>108</v>
      </c>
      <c r="E1940">
        <v>-9.196121397689605E-3</v>
      </c>
      <c r="F1940">
        <f t="shared" si="66"/>
        <v>-1.7355672230143952E-2</v>
      </c>
      <c r="G1940">
        <f t="shared" si="67"/>
        <v>-2.912319930723406E-2</v>
      </c>
    </row>
    <row r="1941" spans="1:7" x14ac:dyDescent="0.35">
      <c r="A1941" t="s">
        <v>108</v>
      </c>
      <c r="E1941">
        <v>1.3329808990343316E-2</v>
      </c>
      <c r="F1941">
        <f t="shared" si="66"/>
        <v>-1.7360903259546912E-2</v>
      </c>
      <c r="G1941">
        <f t="shared" si="67"/>
        <v>-2.9249731856450085E-2</v>
      </c>
    </row>
    <row r="1942" spans="1:7" x14ac:dyDescent="0.35">
      <c r="A1942" t="s">
        <v>108</v>
      </c>
      <c r="E1942">
        <v>-2.4325810291059676E-4</v>
      </c>
      <c r="F1942">
        <f t="shared" si="66"/>
        <v>-1.7366134288949873E-2</v>
      </c>
      <c r="G1942">
        <f t="shared" si="67"/>
        <v>-2.9249731856450085E-2</v>
      </c>
    </row>
    <row r="1943" spans="1:7" x14ac:dyDescent="0.35">
      <c r="A1943" t="s">
        <v>108</v>
      </c>
      <c r="E1943">
        <v>-1.743458820208728E-3</v>
      </c>
      <c r="F1943">
        <f t="shared" si="66"/>
        <v>-1.7371365318352833E-2</v>
      </c>
      <c r="G1943">
        <f t="shared" si="67"/>
        <v>-2.9249731856450085E-2</v>
      </c>
    </row>
    <row r="1944" spans="1:7" x14ac:dyDescent="0.35">
      <c r="A1944" t="s">
        <v>108</v>
      </c>
      <c r="E1944">
        <v>-7.4953627423784055E-3</v>
      </c>
      <c r="F1944">
        <f t="shared" si="66"/>
        <v>-1.7376596347755794E-2</v>
      </c>
      <c r="G1944">
        <f t="shared" si="67"/>
        <v>-2.9249731856450085E-2</v>
      </c>
    </row>
    <row r="1945" spans="1:7" x14ac:dyDescent="0.35">
      <c r="A1945" t="s">
        <v>108</v>
      </c>
      <c r="E1945">
        <v>3.4708979752168345E-3</v>
      </c>
      <c r="F1945">
        <f t="shared" si="66"/>
        <v>-1.7381827377158755E-2</v>
      </c>
      <c r="G1945">
        <f t="shared" si="67"/>
        <v>-2.9249731856450085E-2</v>
      </c>
    </row>
    <row r="1946" spans="1:7" x14ac:dyDescent="0.35">
      <c r="A1946" t="s">
        <v>108</v>
      </c>
      <c r="E1946">
        <v>5.5246062955566231E-3</v>
      </c>
      <c r="F1946">
        <f t="shared" si="66"/>
        <v>-1.7387058406561715E-2</v>
      </c>
      <c r="G1946">
        <f t="shared" si="67"/>
        <v>-2.9249731856450085E-2</v>
      </c>
    </row>
    <row r="1947" spans="1:7" x14ac:dyDescent="0.35">
      <c r="A1947" t="s">
        <v>108</v>
      </c>
      <c r="E1947">
        <v>-7.4154382858952518E-3</v>
      </c>
      <c r="F1947">
        <f t="shared" si="66"/>
        <v>-1.7392289435964676E-2</v>
      </c>
      <c r="G1947">
        <f t="shared" si="67"/>
        <v>-2.9249731856450085E-2</v>
      </c>
    </row>
    <row r="1948" spans="1:7" x14ac:dyDescent="0.35">
      <c r="A1948" t="s">
        <v>108</v>
      </c>
      <c r="E1948">
        <v>2.4681455414402209E-3</v>
      </c>
      <c r="F1948">
        <f t="shared" si="66"/>
        <v>-1.7397520465367636E-2</v>
      </c>
      <c r="G1948">
        <f t="shared" si="67"/>
        <v>-2.9249731856450085E-2</v>
      </c>
    </row>
    <row r="1949" spans="1:7" x14ac:dyDescent="0.35">
      <c r="A1949" t="s">
        <v>108</v>
      </c>
      <c r="E1949">
        <v>-6.0145098179872937E-3</v>
      </c>
      <c r="F1949">
        <f t="shared" si="66"/>
        <v>-1.7402751494770597E-2</v>
      </c>
      <c r="G1949">
        <f t="shared" si="67"/>
        <v>-2.9249731856450085E-2</v>
      </c>
    </row>
    <row r="1950" spans="1:7" x14ac:dyDescent="0.35">
      <c r="A1950" t="s">
        <v>108</v>
      </c>
      <c r="E1950">
        <v>4.3501598028855585E-3</v>
      </c>
      <c r="F1950">
        <f t="shared" si="66"/>
        <v>-1.7407982524173561E-2</v>
      </c>
      <c r="G1950">
        <f t="shared" si="67"/>
        <v>-2.9249731856450085E-2</v>
      </c>
    </row>
    <row r="1951" spans="1:7" x14ac:dyDescent="0.35">
      <c r="A1951" t="s">
        <v>108</v>
      </c>
      <c r="E1951">
        <v>-5.1476119364885567E-3</v>
      </c>
      <c r="F1951">
        <f t="shared" si="66"/>
        <v>-1.7413213553576518E-2</v>
      </c>
      <c r="G1951">
        <f t="shared" si="67"/>
        <v>-2.9249731856450085E-2</v>
      </c>
    </row>
    <row r="1952" spans="1:7" x14ac:dyDescent="0.35">
      <c r="A1952" t="s">
        <v>108</v>
      </c>
      <c r="E1952">
        <v>1.8975160931317521E-2</v>
      </c>
      <c r="F1952">
        <f t="shared" si="66"/>
        <v>-1.7418444582979479E-2</v>
      </c>
      <c r="G1952">
        <f t="shared" si="67"/>
        <v>-2.9249731856450085E-2</v>
      </c>
    </row>
    <row r="1953" spans="1:7" x14ac:dyDescent="0.35">
      <c r="A1953" t="s">
        <v>108</v>
      </c>
      <c r="E1953">
        <v>-1.46313445211674E-2</v>
      </c>
      <c r="F1953">
        <f t="shared" si="66"/>
        <v>-1.7423675612382439E-2</v>
      </c>
      <c r="G1953">
        <f t="shared" si="67"/>
        <v>-2.9249731856450085E-2</v>
      </c>
    </row>
    <row r="1954" spans="1:7" x14ac:dyDescent="0.35">
      <c r="A1954" t="s">
        <v>108</v>
      </c>
      <c r="E1954">
        <v>2.4076537804530569E-2</v>
      </c>
      <c r="F1954">
        <f t="shared" si="66"/>
        <v>-1.74289066417854E-2</v>
      </c>
      <c r="G1954">
        <f t="shared" si="67"/>
        <v>-2.9249731856450085E-2</v>
      </c>
    </row>
    <row r="1955" spans="1:7" x14ac:dyDescent="0.35">
      <c r="A1955" t="s">
        <v>109</v>
      </c>
      <c r="B1955" s="3" cm="1">
        <f t="array" ref="B1955">_xlfn.STDEV.S(_xlfn._xlws.FILTER($E$1000:$E$1998, $A$1000:$A$1998="2017-11"))</f>
        <v>5.9701574832156691E-3</v>
      </c>
      <c r="C1955" s="3" cm="1">
        <f t="array" ref="C1955">AVERAGE(_xlfn._xlws.FILTER($E$1000:$E$1998, $A$1000:$A$1998="2017-11"))</f>
        <v>-1.0342527018502579E-3</v>
      </c>
      <c r="D1955" s="3" cm="1">
        <f t="array" ref="D1955">_xlfn.PERCENTILE.EXC(_xlfn._xlws.FILTER($E$1498:$E$2489, $A$1498:$A$2489="2017-11"), 0.05)</f>
        <v>-9.4571677077175641E-3</v>
      </c>
      <c r="E1955">
        <v>5.7940188912616458E-3</v>
      </c>
      <c r="F1955">
        <f t="shared" si="66"/>
        <v>-1.7434137671188364E-2</v>
      </c>
      <c r="G1955">
        <f t="shared" si="67"/>
        <v>-2.9249731856450085E-2</v>
      </c>
    </row>
    <row r="1956" spans="1:7" x14ac:dyDescent="0.35">
      <c r="A1956" t="s">
        <v>109</v>
      </c>
      <c r="E1956">
        <v>-4.6650374378076299E-3</v>
      </c>
      <c r="F1956">
        <f t="shared" si="66"/>
        <v>-1.7439368700591325E-2</v>
      </c>
      <c r="G1956">
        <f t="shared" si="67"/>
        <v>-2.9249731856450085E-2</v>
      </c>
    </row>
    <row r="1957" spans="1:7" x14ac:dyDescent="0.35">
      <c r="A1957" t="s">
        <v>109</v>
      </c>
      <c r="E1957">
        <v>-9.6082523991398387E-3</v>
      </c>
      <c r="F1957">
        <f t="shared" si="66"/>
        <v>-1.7444599729994285E-2</v>
      </c>
      <c r="G1957">
        <f t="shared" si="67"/>
        <v>-2.9249731856450085E-2</v>
      </c>
    </row>
    <row r="1958" spans="1:7" x14ac:dyDescent="0.35">
      <c r="A1958" t="s">
        <v>109</v>
      </c>
      <c r="E1958">
        <v>-3.9953038252735201E-3</v>
      </c>
      <c r="F1958">
        <f t="shared" si="66"/>
        <v>-1.7449830759397246E-2</v>
      </c>
      <c r="G1958">
        <f t="shared" si="67"/>
        <v>-2.9249731856450085E-2</v>
      </c>
    </row>
    <row r="1959" spans="1:7" x14ac:dyDescent="0.35">
      <c r="A1959" t="s">
        <v>109</v>
      </c>
      <c r="E1959">
        <v>-8.3515514231194115E-3</v>
      </c>
      <c r="F1959">
        <f t="shared" si="66"/>
        <v>-1.7455061788800207E-2</v>
      </c>
      <c r="G1959">
        <f t="shared" si="67"/>
        <v>-2.9249731856450085E-2</v>
      </c>
    </row>
    <row r="1960" spans="1:7" x14ac:dyDescent="0.35">
      <c r="A1960" t="s">
        <v>109</v>
      </c>
      <c r="E1960">
        <v>-1.9550915533890861E-4</v>
      </c>
      <c r="F1960">
        <f t="shared" si="66"/>
        <v>-1.7460292818203167E-2</v>
      </c>
      <c r="G1960">
        <f t="shared" si="67"/>
        <v>-2.9249731856450085E-2</v>
      </c>
    </row>
    <row r="1961" spans="1:7" x14ac:dyDescent="0.35">
      <c r="A1961" t="s">
        <v>109</v>
      </c>
      <c r="E1961">
        <v>-8.601021122991338E-3</v>
      </c>
      <c r="F1961">
        <f t="shared" si="66"/>
        <v>-1.7465420679134612E-2</v>
      </c>
      <c r="G1961">
        <f t="shared" si="67"/>
        <v>-2.9377877932952767E-2</v>
      </c>
    </row>
    <row r="1962" spans="1:7" x14ac:dyDescent="0.35">
      <c r="A1962" t="s">
        <v>109</v>
      </c>
      <c r="E1962">
        <v>-4.7840832975210735E-3</v>
      </c>
      <c r="F1962">
        <f t="shared" si="66"/>
        <v>-1.7470548540066057E-2</v>
      </c>
      <c r="G1962">
        <f t="shared" si="67"/>
        <v>-2.9377877932952767E-2</v>
      </c>
    </row>
    <row r="1963" spans="1:7" x14ac:dyDescent="0.35">
      <c r="A1963" t="s">
        <v>109</v>
      </c>
      <c r="E1963">
        <v>-4.2497060373523736E-3</v>
      </c>
      <c r="F1963">
        <f t="shared" si="66"/>
        <v>-1.7475676400997502E-2</v>
      </c>
      <c r="G1963">
        <f t="shared" si="67"/>
        <v>-2.9377877932952767E-2</v>
      </c>
    </row>
    <row r="1964" spans="1:7" x14ac:dyDescent="0.35">
      <c r="A1964" t="s">
        <v>109</v>
      </c>
      <c r="E1964">
        <v>-5.9380523079032898E-3</v>
      </c>
      <c r="F1964">
        <f t="shared" si="66"/>
        <v>-1.7480804261928946E-2</v>
      </c>
      <c r="G1964">
        <f t="shared" si="67"/>
        <v>-2.9377877932952767E-2</v>
      </c>
    </row>
    <row r="1965" spans="1:7" x14ac:dyDescent="0.35">
      <c r="A1965" t="s">
        <v>109</v>
      </c>
      <c r="E1965">
        <v>2.3494959393987264E-3</v>
      </c>
      <c r="F1965">
        <f t="shared" si="66"/>
        <v>-1.7485932122860395E-2</v>
      </c>
      <c r="G1965">
        <f t="shared" si="67"/>
        <v>-2.9377877932952767E-2</v>
      </c>
    </row>
    <row r="1966" spans="1:7" x14ac:dyDescent="0.35">
      <c r="A1966" t="s">
        <v>109</v>
      </c>
      <c r="E1966">
        <v>7.4418577904806884E-3</v>
      </c>
      <c r="F1966">
        <f t="shared" si="66"/>
        <v>-1.7491059983791839E-2</v>
      </c>
      <c r="G1966">
        <f t="shared" si="67"/>
        <v>-2.9377877932952767E-2</v>
      </c>
    </row>
    <row r="1967" spans="1:7" x14ac:dyDescent="0.35">
      <c r="A1967" t="s">
        <v>109</v>
      </c>
      <c r="E1967">
        <v>-7.7914330600922467E-3</v>
      </c>
      <c r="F1967">
        <f t="shared" si="66"/>
        <v>-1.7496187844723284E-2</v>
      </c>
      <c r="G1967">
        <f t="shared" si="67"/>
        <v>-2.9377877932952767E-2</v>
      </c>
    </row>
    <row r="1968" spans="1:7" x14ac:dyDescent="0.35">
      <c r="A1968" t="s">
        <v>109</v>
      </c>
      <c r="E1968">
        <v>1.5072946919134516E-3</v>
      </c>
      <c r="F1968">
        <f t="shared" si="66"/>
        <v>-1.7501315705654729E-2</v>
      </c>
      <c r="G1968">
        <f t="shared" si="67"/>
        <v>-2.9377877932952767E-2</v>
      </c>
    </row>
    <row r="1969" spans="1:7" x14ac:dyDescent="0.35">
      <c r="A1969" t="s">
        <v>109</v>
      </c>
      <c r="E1969">
        <v>-3.2069721624554178E-3</v>
      </c>
      <c r="F1969">
        <f t="shared" si="66"/>
        <v>-1.7506443566586174E-2</v>
      </c>
      <c r="G1969">
        <f t="shared" si="67"/>
        <v>-2.9377877932952767E-2</v>
      </c>
    </row>
    <row r="1970" spans="1:7" x14ac:dyDescent="0.35">
      <c r="A1970" t="s">
        <v>109</v>
      </c>
      <c r="E1970">
        <v>2.0492527401536303E-3</v>
      </c>
      <c r="F1970">
        <f t="shared" si="66"/>
        <v>-1.7511571427517622E-2</v>
      </c>
      <c r="G1970">
        <f t="shared" si="67"/>
        <v>-2.9377877932952767E-2</v>
      </c>
    </row>
    <row r="1971" spans="1:7" x14ac:dyDescent="0.35">
      <c r="A1971" t="s">
        <v>109</v>
      </c>
      <c r="E1971">
        <v>1.8855976893830133E-3</v>
      </c>
      <c r="F1971">
        <f t="shared" si="66"/>
        <v>-1.7516699288449067E-2</v>
      </c>
      <c r="G1971">
        <f t="shared" si="67"/>
        <v>-2.9377877932952767E-2</v>
      </c>
    </row>
    <row r="1972" spans="1:7" x14ac:dyDescent="0.35">
      <c r="A1972" t="s">
        <v>109</v>
      </c>
      <c r="E1972">
        <v>2.0611070558620706E-3</v>
      </c>
      <c r="F1972">
        <f t="shared" si="66"/>
        <v>-1.7521827149380512E-2</v>
      </c>
      <c r="G1972">
        <f t="shared" si="67"/>
        <v>-2.9377877932952767E-2</v>
      </c>
    </row>
    <row r="1973" spans="1:7" x14ac:dyDescent="0.35">
      <c r="A1973" t="s">
        <v>109</v>
      </c>
      <c r="E1973">
        <v>9.5443571267106952E-4</v>
      </c>
      <c r="F1973">
        <f t="shared" si="66"/>
        <v>-1.7526955010311956E-2</v>
      </c>
      <c r="G1973">
        <f t="shared" si="67"/>
        <v>-2.9377877932952767E-2</v>
      </c>
    </row>
    <row r="1974" spans="1:7" x14ac:dyDescent="0.35">
      <c r="A1974" t="s">
        <v>109</v>
      </c>
      <c r="E1974">
        <v>8.0465607978626227E-3</v>
      </c>
      <c r="F1974">
        <f t="shared" si="66"/>
        <v>-1.7532082871243401E-2</v>
      </c>
      <c r="G1974">
        <f t="shared" si="67"/>
        <v>-2.9377877932952767E-2</v>
      </c>
    </row>
    <row r="1975" spans="1:7" x14ac:dyDescent="0.35">
      <c r="A1975" t="s">
        <v>109</v>
      </c>
      <c r="E1975">
        <v>1.2081216503164021E-2</v>
      </c>
      <c r="F1975">
        <f t="shared" si="66"/>
        <v>-1.753721073217485E-2</v>
      </c>
      <c r="G1975">
        <f t="shared" si="67"/>
        <v>-2.9377877932952767E-2</v>
      </c>
    </row>
    <row r="1976" spans="1:7" x14ac:dyDescent="0.35">
      <c r="A1976" t="s">
        <v>109</v>
      </c>
      <c r="E1976">
        <v>-5.5374750238615638E-3</v>
      </c>
      <c r="F1976">
        <f t="shared" si="66"/>
        <v>-1.7542338593106294E-2</v>
      </c>
      <c r="G1976">
        <f t="shared" si="67"/>
        <v>-2.9377877932952767E-2</v>
      </c>
    </row>
    <row r="1977" spans="1:7" x14ac:dyDescent="0.35">
      <c r="A1977" t="s">
        <v>110</v>
      </c>
      <c r="B1977" s="3" cm="1">
        <f t="array" ref="B1977">_xlfn.STDEV.S(_xlfn._xlws.FILTER($E$1000:$E$1998, $A$1000:$A$1998="2017-12"))</f>
        <v>6.9739442665411279E-3</v>
      </c>
      <c r="C1977" s="3" cm="1">
        <f t="array" ref="C1977">AVERAGE(_xlfn._xlws.FILTER($E$1000:$E$1998, $A$1000:$A$1998="2017-12"))</f>
        <v>-8.6842555370407741E-4</v>
      </c>
      <c r="D1977" s="3" cm="1">
        <f t="array" ref="D1977">_xlfn.PERCENTILE.EXC(_xlfn._xlws.FILTER($E$1498:$E$2489, $A$1498:$A$2489="2017-12"), 0.05)</f>
        <v>-1.2416399167225877E-2</v>
      </c>
      <c r="E1977">
        <v>-1.2416399167225877E-2</v>
      </c>
      <c r="F1977">
        <f t="shared" si="66"/>
        <v>-1.7547466454037739E-2</v>
      </c>
      <c r="G1977">
        <f t="shared" si="67"/>
        <v>-2.9377877932952767E-2</v>
      </c>
    </row>
    <row r="1978" spans="1:7" x14ac:dyDescent="0.35">
      <c r="A1978" t="s">
        <v>110</v>
      </c>
      <c r="E1978">
        <v>1.2181330898400563E-2</v>
      </c>
      <c r="F1978">
        <f t="shared" si="66"/>
        <v>-1.7552594314969184E-2</v>
      </c>
      <c r="G1978">
        <f t="shared" si="67"/>
        <v>-2.9377877932952767E-2</v>
      </c>
    </row>
    <row r="1979" spans="1:7" x14ac:dyDescent="0.35">
      <c r="A1979" t="s">
        <v>110</v>
      </c>
      <c r="E1979">
        <v>2.6444791754454713E-4</v>
      </c>
      <c r="F1979">
        <f t="shared" si="66"/>
        <v>-1.7557722175900629E-2</v>
      </c>
      <c r="G1979">
        <f t="shared" si="67"/>
        <v>-2.9377877932952767E-2</v>
      </c>
    </row>
    <row r="1980" spans="1:7" x14ac:dyDescent="0.35">
      <c r="A1980" t="s">
        <v>110</v>
      </c>
      <c r="E1980">
        <v>-2.6770889670148556E-3</v>
      </c>
      <c r="F1980">
        <f t="shared" si="66"/>
        <v>-1.7562850036832077E-2</v>
      </c>
      <c r="G1980">
        <f t="shared" si="67"/>
        <v>-2.9377877932952767E-2</v>
      </c>
    </row>
    <row r="1981" spans="1:7" x14ac:dyDescent="0.35">
      <c r="A1981" t="s">
        <v>110</v>
      </c>
      <c r="E1981">
        <v>7.688357690339394E-3</v>
      </c>
      <c r="F1981">
        <f t="shared" si="66"/>
        <v>-1.757268264464306E-2</v>
      </c>
      <c r="G1981">
        <f t="shared" si="67"/>
        <v>-2.950771340433871E-2</v>
      </c>
    </row>
    <row r="1982" spans="1:7" x14ac:dyDescent="0.35">
      <c r="A1982" t="s">
        <v>110</v>
      </c>
      <c r="E1982">
        <v>5.6841245750392519E-3</v>
      </c>
      <c r="F1982">
        <f t="shared" si="66"/>
        <v>-1.7582515252454047E-2</v>
      </c>
      <c r="G1982">
        <f t="shared" si="67"/>
        <v>-2.950771340433871E-2</v>
      </c>
    </row>
    <row r="1983" spans="1:7" x14ac:dyDescent="0.35">
      <c r="A1983" t="s">
        <v>110</v>
      </c>
      <c r="E1983">
        <v>-1.3767696570683205E-3</v>
      </c>
      <c r="F1983">
        <f t="shared" si="66"/>
        <v>-1.7592347860265031E-2</v>
      </c>
      <c r="G1983">
        <f t="shared" si="67"/>
        <v>-2.950771340433871E-2</v>
      </c>
    </row>
    <row r="1984" spans="1:7" x14ac:dyDescent="0.35">
      <c r="A1984" t="s">
        <v>110</v>
      </c>
      <c r="E1984">
        <v>-1.8062466066769334E-3</v>
      </c>
      <c r="F1984">
        <f t="shared" si="66"/>
        <v>-1.7602180468076017E-2</v>
      </c>
      <c r="G1984">
        <f t="shared" si="67"/>
        <v>-2.950771340433871E-2</v>
      </c>
    </row>
    <row r="1985" spans="1:7" x14ac:dyDescent="0.35">
      <c r="A1985" t="s">
        <v>110</v>
      </c>
      <c r="E1985">
        <v>-2.705755758056766E-3</v>
      </c>
      <c r="F1985">
        <f t="shared" si="66"/>
        <v>-1.7612013075887004E-2</v>
      </c>
      <c r="G1985">
        <f t="shared" si="67"/>
        <v>-2.950771340433871E-2</v>
      </c>
    </row>
    <row r="1986" spans="1:7" x14ac:dyDescent="0.35">
      <c r="A1986" t="s">
        <v>110</v>
      </c>
      <c r="E1986">
        <v>-8.2204308878852713E-3</v>
      </c>
      <c r="F1986">
        <f t="shared" si="66"/>
        <v>-1.7621845683697991E-2</v>
      </c>
      <c r="G1986">
        <f t="shared" si="67"/>
        <v>-2.950771340433871E-2</v>
      </c>
    </row>
    <row r="1987" spans="1:7" x14ac:dyDescent="0.35">
      <c r="A1987" t="s">
        <v>110</v>
      </c>
      <c r="E1987">
        <v>-2.5680270325143455E-3</v>
      </c>
      <c r="F1987">
        <f t="shared" si="66"/>
        <v>-1.7631678291508975E-2</v>
      </c>
      <c r="G1987">
        <f t="shared" si="67"/>
        <v>-2.950771340433871E-2</v>
      </c>
    </row>
    <row r="1988" spans="1:7" x14ac:dyDescent="0.35">
      <c r="A1988" t="s">
        <v>110</v>
      </c>
      <c r="E1988">
        <v>9.188816523142556E-3</v>
      </c>
      <c r="F1988">
        <f t="shared" ref="F1988:F2051" si="68">_xlfn.PERCENTILE.EXC(E1988:E5803,0.05)</f>
        <v>-1.7641510899319961E-2</v>
      </c>
      <c r="G1988">
        <f t="shared" ref="G1988:G2051" si="69">AVERAGEIFS(E1988:E5804,E1988:E5804,"&lt;=" &amp; F1988)</f>
        <v>-2.950771340433871E-2</v>
      </c>
    </row>
    <row r="1989" spans="1:7" x14ac:dyDescent="0.35">
      <c r="A1989" t="s">
        <v>110</v>
      </c>
      <c r="E1989">
        <v>-9.5710609697145365E-4</v>
      </c>
      <c r="F1989">
        <f t="shared" si="68"/>
        <v>-1.7651343507130945E-2</v>
      </c>
      <c r="G1989">
        <f t="shared" si="69"/>
        <v>-2.950771340433871E-2</v>
      </c>
    </row>
    <row r="1990" spans="1:7" x14ac:dyDescent="0.35">
      <c r="A1990" t="s">
        <v>110</v>
      </c>
      <c r="E1990">
        <v>-2.6024865486095699E-3</v>
      </c>
      <c r="F1990">
        <f t="shared" si="68"/>
        <v>-1.7661176114941932E-2</v>
      </c>
      <c r="G1990">
        <f t="shared" si="69"/>
        <v>-2.950771340433871E-2</v>
      </c>
    </row>
    <row r="1991" spans="1:7" x14ac:dyDescent="0.35">
      <c r="A1991" t="s">
        <v>110</v>
      </c>
      <c r="E1991">
        <v>9.448060024528868E-3</v>
      </c>
      <c r="F1991">
        <f t="shared" si="68"/>
        <v>-1.7671008722752918E-2</v>
      </c>
      <c r="G1991">
        <f t="shared" si="69"/>
        <v>-2.950771340433871E-2</v>
      </c>
    </row>
    <row r="1992" spans="1:7" x14ac:dyDescent="0.35">
      <c r="A1992" t="s">
        <v>110</v>
      </c>
      <c r="E1992">
        <v>-1.1968942000228423E-2</v>
      </c>
      <c r="F1992">
        <f t="shared" si="68"/>
        <v>-1.7680841330563902E-2</v>
      </c>
      <c r="G1992">
        <f t="shared" si="69"/>
        <v>-2.950771340433871E-2</v>
      </c>
    </row>
    <row r="1993" spans="1:7" x14ac:dyDescent="0.35">
      <c r="A1993" t="s">
        <v>110</v>
      </c>
      <c r="E1993">
        <v>-1.6513332367757215E-3</v>
      </c>
      <c r="F1993">
        <f t="shared" si="68"/>
        <v>-1.7690673938374889E-2</v>
      </c>
      <c r="G1993">
        <f t="shared" si="69"/>
        <v>-2.950771340433871E-2</v>
      </c>
    </row>
    <row r="1994" spans="1:7" x14ac:dyDescent="0.35">
      <c r="A1994" t="s">
        <v>110</v>
      </c>
      <c r="E1994">
        <v>-7.1181001787980628E-3</v>
      </c>
      <c r="F1994">
        <f t="shared" si="68"/>
        <v>-1.7700506546185872E-2</v>
      </c>
      <c r="G1994">
        <f t="shared" si="69"/>
        <v>-2.950771340433871E-2</v>
      </c>
    </row>
    <row r="1995" spans="1:7" x14ac:dyDescent="0.35">
      <c r="A1995" t="s">
        <v>110</v>
      </c>
      <c r="E1995">
        <v>-4.8865370115470513E-3</v>
      </c>
      <c r="F1995">
        <f t="shared" si="68"/>
        <v>-1.7710339153996862E-2</v>
      </c>
      <c r="G1995">
        <f t="shared" si="69"/>
        <v>-2.950771340433871E-2</v>
      </c>
    </row>
    <row r="1996" spans="1:7" x14ac:dyDescent="0.35">
      <c r="A1996" t="s">
        <v>111</v>
      </c>
      <c r="B1996" s="3" cm="1">
        <f t="array" ref="B1996">_xlfn.STDEV.S(_xlfn._xlws.FILTER($E$1000:$E$1998, $A$1000:$A$1998="2018-01"))</f>
        <v>9.1491550278678287E-3</v>
      </c>
      <c r="C1996" s="3" cm="1">
        <f t="array" ref="C1996">AVERAGE(_xlfn._xlws.FILTER($E$1000:$E$1998, $A$1000:$A$1998="2018-01"))</f>
        <v>8.8584973538224157E-3</v>
      </c>
      <c r="D1996" s="3" cm="1">
        <f t="array" ref="D1996">_xlfn.PERCENTILE.EXC(_xlfn._xlws.FILTER($E$1498:$E$2489, $A$1498:$A$2489="2018-01"), 0.05)</f>
        <v>-1.0980296895280748E-2</v>
      </c>
      <c r="E1996">
        <v>3.4984878897067807E-3</v>
      </c>
      <c r="F1996">
        <f t="shared" si="68"/>
        <v>-1.7720171761807846E-2</v>
      </c>
      <c r="G1996">
        <f t="shared" si="69"/>
        <v>-2.950771340433871E-2</v>
      </c>
    </row>
    <row r="1997" spans="1:7" x14ac:dyDescent="0.35">
      <c r="A1997" t="s">
        <v>111</v>
      </c>
      <c r="E1997">
        <v>3.6543558649884469E-3</v>
      </c>
      <c r="F1997">
        <f t="shared" si="68"/>
        <v>-1.7730004369618833E-2</v>
      </c>
      <c r="G1997">
        <f t="shared" si="69"/>
        <v>-2.950771340433871E-2</v>
      </c>
    </row>
    <row r="1998" spans="1:7" x14ac:dyDescent="0.35">
      <c r="A1998" t="s">
        <v>111</v>
      </c>
      <c r="E1998">
        <v>1.9422648306772022E-2</v>
      </c>
      <c r="F1998">
        <f t="shared" si="68"/>
        <v>-1.7739836977429816E-2</v>
      </c>
      <c r="G1998">
        <f t="shared" si="69"/>
        <v>-2.950771340433871E-2</v>
      </c>
    </row>
    <row r="1999" spans="1:7" x14ac:dyDescent="0.35">
      <c r="A1999" t="s">
        <v>111</v>
      </c>
      <c r="E1999">
        <v>9.3603825410311751E-3</v>
      </c>
      <c r="F1999">
        <f t="shared" si="68"/>
        <v>-1.7749669585240803E-2</v>
      </c>
      <c r="G1999">
        <f t="shared" si="69"/>
        <v>-2.950771340433871E-2</v>
      </c>
    </row>
    <row r="2000" spans="1:7" x14ac:dyDescent="0.35">
      <c r="A2000" t="s">
        <v>111</v>
      </c>
      <c r="E2000">
        <v>-1.2494114975747184E-3</v>
      </c>
      <c r="F2000">
        <f t="shared" si="68"/>
        <v>-1.775950219305179E-2</v>
      </c>
      <c r="G2000">
        <f t="shared" si="69"/>
        <v>-2.950771340433871E-2</v>
      </c>
    </row>
    <row r="2001" spans="1:7" x14ac:dyDescent="0.35">
      <c r="A2001" t="s">
        <v>111</v>
      </c>
      <c r="E2001">
        <v>2.6986940685658871E-3</v>
      </c>
      <c r="F2001">
        <f t="shared" si="68"/>
        <v>-1.7761367741615901E-2</v>
      </c>
      <c r="G2001">
        <f t="shared" si="69"/>
        <v>-2.9638249084464115E-2</v>
      </c>
    </row>
    <row r="2002" spans="1:7" x14ac:dyDescent="0.35">
      <c r="A2002" t="s">
        <v>111</v>
      </c>
      <c r="E2002">
        <v>1.7262213058563214E-4</v>
      </c>
      <c r="F2002">
        <f t="shared" si="68"/>
        <v>-1.7763233290180012E-2</v>
      </c>
      <c r="G2002">
        <f t="shared" si="69"/>
        <v>-2.9638249084464115E-2</v>
      </c>
    </row>
    <row r="2003" spans="1:7" x14ac:dyDescent="0.35">
      <c r="A2003" t="s">
        <v>111</v>
      </c>
      <c r="E2003">
        <v>6.6144225576401981E-4</v>
      </c>
      <c r="F2003">
        <f t="shared" si="68"/>
        <v>-1.7765098838744123E-2</v>
      </c>
      <c r="G2003">
        <f t="shared" si="69"/>
        <v>-2.9638249084464115E-2</v>
      </c>
    </row>
    <row r="2004" spans="1:7" x14ac:dyDescent="0.35">
      <c r="A2004" t="s">
        <v>111</v>
      </c>
      <c r="E2004">
        <v>2.6031712120114527E-3</v>
      </c>
      <c r="F2004">
        <f t="shared" si="68"/>
        <v>-1.7766964387308234E-2</v>
      </c>
      <c r="G2004">
        <f t="shared" si="69"/>
        <v>-2.9638249084464115E-2</v>
      </c>
    </row>
    <row r="2005" spans="1:7" x14ac:dyDescent="0.35">
      <c r="A2005" t="s">
        <v>111</v>
      </c>
      <c r="E2005">
        <v>4.586805370533085E-4</v>
      </c>
      <c r="F2005">
        <f t="shared" si="68"/>
        <v>-1.7768829935872345E-2</v>
      </c>
      <c r="G2005">
        <f t="shared" si="69"/>
        <v>-2.9638249084464115E-2</v>
      </c>
    </row>
    <row r="2006" spans="1:7" x14ac:dyDescent="0.35">
      <c r="A2006" t="s">
        <v>111</v>
      </c>
      <c r="E2006">
        <v>5.069671038475403E-3</v>
      </c>
      <c r="F2006">
        <f t="shared" si="68"/>
        <v>-1.7770695484436459E-2</v>
      </c>
      <c r="G2006">
        <f t="shared" si="69"/>
        <v>-2.9638249084464115E-2</v>
      </c>
    </row>
    <row r="2007" spans="1:7" x14ac:dyDescent="0.35">
      <c r="A2007" t="s">
        <v>111</v>
      </c>
      <c r="E2007">
        <v>-4.3629504788294873E-3</v>
      </c>
      <c r="F2007">
        <f t="shared" si="68"/>
        <v>-1.777256103300057E-2</v>
      </c>
      <c r="G2007">
        <f t="shared" si="69"/>
        <v>-2.9638249084464115E-2</v>
      </c>
    </row>
    <row r="2008" spans="1:7" x14ac:dyDescent="0.35">
      <c r="A2008" t="s">
        <v>111</v>
      </c>
      <c r="E2008">
        <v>-4.0081747614692017E-3</v>
      </c>
      <c r="F2008">
        <f t="shared" si="68"/>
        <v>-1.7774426581564681E-2</v>
      </c>
      <c r="G2008">
        <f t="shared" si="69"/>
        <v>-2.9638249084464115E-2</v>
      </c>
    </row>
    <row r="2009" spans="1:7" x14ac:dyDescent="0.35">
      <c r="A2009" t="s">
        <v>111</v>
      </c>
      <c r="E2009">
        <v>4.4758636709729812E-3</v>
      </c>
      <c r="F2009">
        <f t="shared" si="68"/>
        <v>-1.7776292130128792E-2</v>
      </c>
      <c r="G2009">
        <f t="shared" si="69"/>
        <v>-2.9638249084464115E-2</v>
      </c>
    </row>
    <row r="2010" spans="1:7" x14ac:dyDescent="0.35">
      <c r="A2010" t="s">
        <v>111</v>
      </c>
      <c r="E2010">
        <v>9.9224589815770994E-3</v>
      </c>
      <c r="F2010">
        <f t="shared" si="68"/>
        <v>-1.7778157678692903E-2</v>
      </c>
      <c r="G2010">
        <f t="shared" si="69"/>
        <v>-2.9638249084464115E-2</v>
      </c>
    </row>
    <row r="2011" spans="1:7" x14ac:dyDescent="0.35">
      <c r="A2011" t="s">
        <v>111</v>
      </c>
      <c r="E2011">
        <v>2.406399349362597E-3</v>
      </c>
      <c r="F2011">
        <f t="shared" si="68"/>
        <v>-1.7780023227257014E-2</v>
      </c>
      <c r="G2011">
        <f t="shared" si="69"/>
        <v>-2.9638249084464115E-2</v>
      </c>
    </row>
    <row r="2012" spans="1:7" x14ac:dyDescent="0.35">
      <c r="A2012" t="s">
        <v>111</v>
      </c>
      <c r="E2012">
        <v>-4.3924973209921205E-3</v>
      </c>
      <c r="F2012">
        <f t="shared" si="68"/>
        <v>-1.7781888775821125E-2</v>
      </c>
      <c r="G2012">
        <f t="shared" si="69"/>
        <v>-2.9638249084464115E-2</v>
      </c>
    </row>
    <row r="2013" spans="1:7" x14ac:dyDescent="0.35">
      <c r="A2013" t="s">
        <v>111</v>
      </c>
      <c r="E2013">
        <v>3.0531777214074457E-3</v>
      </c>
      <c r="F2013">
        <f t="shared" si="68"/>
        <v>-1.7783754324385236E-2</v>
      </c>
      <c r="G2013">
        <f t="shared" si="69"/>
        <v>-2.9638249084464115E-2</v>
      </c>
    </row>
    <row r="2014" spans="1:7" x14ac:dyDescent="0.35">
      <c r="A2014" t="s">
        <v>111</v>
      </c>
      <c r="E2014">
        <v>9.438102563939072E-6</v>
      </c>
      <c r="F2014">
        <f t="shared" si="68"/>
        <v>-1.7785619872949347E-2</v>
      </c>
      <c r="G2014">
        <f t="shared" si="69"/>
        <v>-2.9638249084464115E-2</v>
      </c>
    </row>
    <row r="2015" spans="1:7" x14ac:dyDescent="0.35">
      <c r="A2015" t="s">
        <v>111</v>
      </c>
      <c r="E2015">
        <v>-3.7634198832234701E-3</v>
      </c>
      <c r="F2015">
        <f t="shared" si="68"/>
        <v>-1.7787485421513462E-2</v>
      </c>
      <c r="G2015">
        <f t="shared" si="69"/>
        <v>-2.9638249084464115E-2</v>
      </c>
    </row>
    <row r="2016" spans="1:7" x14ac:dyDescent="0.35">
      <c r="A2016" t="s">
        <v>111</v>
      </c>
      <c r="E2016">
        <v>-1.2142849761331682E-2</v>
      </c>
      <c r="F2016">
        <f t="shared" si="68"/>
        <v>-1.7789350970077573E-2</v>
      </c>
      <c r="G2016">
        <f t="shared" si="69"/>
        <v>-2.9638249084464115E-2</v>
      </c>
    </row>
    <row r="2017" spans="1:7" x14ac:dyDescent="0.35">
      <c r="A2017" t="s">
        <v>111</v>
      </c>
      <c r="E2017">
        <v>2.2318337592588215E-3</v>
      </c>
      <c r="F2017">
        <f t="shared" si="68"/>
        <v>-1.7791216518641684E-2</v>
      </c>
      <c r="G2017">
        <f t="shared" si="69"/>
        <v>-2.9638249084464115E-2</v>
      </c>
    </row>
    <row r="2018" spans="1:7" x14ac:dyDescent="0.35">
      <c r="A2018" t="s">
        <v>112</v>
      </c>
      <c r="B2018" s="3" cm="1">
        <f t="array" ref="B2018">_xlfn.STDEV.S(_xlfn._xlws.FILTER($E$2013:$E$3011, $A$2013:$A$3011="2018-02"))</f>
        <v>1.2092037067920993E-2</v>
      </c>
      <c r="C2018" s="3" cm="1">
        <f t="array" ref="C2018">AVERAGE(_xlfn._xlws.FILTER($E$2013:$E$3011, $A$2013:$A$3011="2018-02"))</f>
        <v>-3.0129655187702111E-3</v>
      </c>
      <c r="D2018" s="3" cm="1">
        <f t="array" ref="D2018">_xlfn.PERCENTILE.EXC(_xlfn._xlws.FILTER($E$1498:$E$2489, $A$1498:$A$2489="2018-02"), 0.05)</f>
        <v>-2.5449461354579886E-2</v>
      </c>
      <c r="E2018">
        <v>-5.0358611016045572E-3</v>
      </c>
      <c r="F2018">
        <f t="shared" si="68"/>
        <v>-1.7793082067205795E-2</v>
      </c>
      <c r="G2018">
        <f t="shared" si="69"/>
        <v>-2.9638249084464115E-2</v>
      </c>
    </row>
    <row r="2019" spans="1:7" x14ac:dyDescent="0.35">
      <c r="A2019" t="s">
        <v>112</v>
      </c>
      <c r="E2019">
        <v>-1.8224490576308372E-2</v>
      </c>
      <c r="F2019">
        <f t="shared" si="68"/>
        <v>-1.7794947615769906E-2</v>
      </c>
      <c r="G2019">
        <f t="shared" si="69"/>
        <v>-2.9638249084464115E-2</v>
      </c>
    </row>
    <row r="2020" spans="1:7" x14ac:dyDescent="0.35">
      <c r="A2020" t="s">
        <v>112</v>
      </c>
      <c r="E2020">
        <v>-1.4470776342837962E-2</v>
      </c>
      <c r="F2020">
        <f t="shared" si="68"/>
        <v>-1.775950219305179E-2</v>
      </c>
      <c r="G2020">
        <f t="shared" si="69"/>
        <v>-2.9633082546872375E-2</v>
      </c>
    </row>
    <row r="2021" spans="1:7" x14ac:dyDescent="0.35">
      <c r="A2021" t="s">
        <v>112</v>
      </c>
      <c r="E2021">
        <v>-2.5612107181677717E-2</v>
      </c>
      <c r="F2021">
        <f t="shared" si="68"/>
        <v>-1.7761367741615901E-2</v>
      </c>
      <c r="G2021">
        <f t="shared" si="69"/>
        <v>-2.9766493562083843E-2</v>
      </c>
    </row>
    <row r="2022" spans="1:7" x14ac:dyDescent="0.35">
      <c r="A2022" t="s">
        <v>112</v>
      </c>
      <c r="E2022">
        <v>1.6870147250845215E-2</v>
      </c>
      <c r="F2022">
        <f t="shared" si="68"/>
        <v>-1.7582515252454047E-2</v>
      </c>
      <c r="G2022">
        <f t="shared" si="69"/>
        <v>-2.9678262045357711E-2</v>
      </c>
    </row>
    <row r="2023" spans="1:7" x14ac:dyDescent="0.35">
      <c r="A2023" t="s">
        <v>112</v>
      </c>
      <c r="E2023">
        <v>-2.2359190639721128E-2</v>
      </c>
      <c r="F2023">
        <f t="shared" si="68"/>
        <v>-1.7592347860265031E-2</v>
      </c>
      <c r="G2023">
        <f t="shared" si="69"/>
        <v>-2.9678262045357711E-2</v>
      </c>
    </row>
    <row r="2024" spans="1:7" x14ac:dyDescent="0.35">
      <c r="A2024" t="s">
        <v>112</v>
      </c>
      <c r="E2024">
        <v>-1.2033616202765727E-2</v>
      </c>
      <c r="F2024">
        <f t="shared" si="68"/>
        <v>-1.7480804261928946E-2</v>
      </c>
      <c r="G2024">
        <f t="shared" si="69"/>
        <v>-2.9624370577909516E-2</v>
      </c>
    </row>
    <row r="2025" spans="1:7" x14ac:dyDescent="0.35">
      <c r="A2025" t="s">
        <v>112</v>
      </c>
      <c r="E2025">
        <v>1.3549435291209711E-2</v>
      </c>
      <c r="F2025">
        <f t="shared" si="68"/>
        <v>-1.7485932122860395E-2</v>
      </c>
      <c r="G2025">
        <f t="shared" si="69"/>
        <v>-2.9624370577909516E-2</v>
      </c>
    </row>
    <row r="2026" spans="1:7" x14ac:dyDescent="0.35">
      <c r="A2026" t="s">
        <v>112</v>
      </c>
      <c r="E2026">
        <v>-1.2398597696657465E-2</v>
      </c>
      <c r="F2026">
        <f t="shared" si="68"/>
        <v>-1.7491059983791839E-2</v>
      </c>
      <c r="G2026">
        <f t="shared" si="69"/>
        <v>-2.9624370577909516E-2</v>
      </c>
    </row>
    <row r="2027" spans="1:7" x14ac:dyDescent="0.35">
      <c r="A2027" t="s">
        <v>112</v>
      </c>
      <c r="E2027">
        <v>3.6717405461361126E-3</v>
      </c>
      <c r="F2027">
        <f t="shared" si="68"/>
        <v>-1.7496187844723284E-2</v>
      </c>
      <c r="G2027">
        <f t="shared" si="69"/>
        <v>-2.9624370577909516E-2</v>
      </c>
    </row>
    <row r="2028" spans="1:7" x14ac:dyDescent="0.35">
      <c r="A2028" t="s">
        <v>112</v>
      </c>
      <c r="E2028">
        <v>2.9585972893255482E-3</v>
      </c>
      <c r="F2028">
        <f t="shared" si="68"/>
        <v>-1.7501315705654729E-2</v>
      </c>
      <c r="G2028">
        <f t="shared" si="69"/>
        <v>-2.9624370577909516E-2</v>
      </c>
    </row>
    <row r="2029" spans="1:7" x14ac:dyDescent="0.35">
      <c r="A2029" t="s">
        <v>112</v>
      </c>
      <c r="E2029">
        <v>1.1991753666993184E-2</v>
      </c>
      <c r="F2029">
        <f t="shared" si="68"/>
        <v>-1.7506443566586174E-2</v>
      </c>
      <c r="G2029">
        <f t="shared" si="69"/>
        <v>-2.9624370577909516E-2</v>
      </c>
    </row>
    <row r="2030" spans="1:7" x14ac:dyDescent="0.35">
      <c r="A2030" t="s">
        <v>112</v>
      </c>
      <c r="E2030">
        <v>-2.6377043854680839E-3</v>
      </c>
      <c r="F2030">
        <f t="shared" si="68"/>
        <v>-1.7511571427517622E-2</v>
      </c>
      <c r="G2030">
        <f t="shared" si="69"/>
        <v>-2.9624370577909516E-2</v>
      </c>
    </row>
    <row r="2031" spans="1:7" x14ac:dyDescent="0.35">
      <c r="A2031" t="s">
        <v>112</v>
      </c>
      <c r="E2031">
        <v>9.0450582403652571E-3</v>
      </c>
      <c r="F2031">
        <f t="shared" si="68"/>
        <v>-1.7516699288449067E-2</v>
      </c>
      <c r="G2031">
        <f t="shared" si="69"/>
        <v>-2.9624370577909516E-2</v>
      </c>
    </row>
    <row r="2032" spans="1:7" x14ac:dyDescent="0.35">
      <c r="A2032" t="s">
        <v>112</v>
      </c>
      <c r="E2032">
        <v>-7.3027821431012382E-3</v>
      </c>
      <c r="F2032">
        <f t="shared" si="68"/>
        <v>-1.7521827149380512E-2</v>
      </c>
      <c r="G2032">
        <f t="shared" si="69"/>
        <v>-2.9624370577909516E-2</v>
      </c>
    </row>
    <row r="2033" spans="1:7" x14ac:dyDescent="0.35">
      <c r="A2033" t="s">
        <v>112</v>
      </c>
      <c r="E2033">
        <v>5.4010831914848611E-3</v>
      </c>
      <c r="F2033">
        <f t="shared" si="68"/>
        <v>-1.7526955010311956E-2</v>
      </c>
      <c r="G2033">
        <f t="shared" si="69"/>
        <v>-2.9624370577909516E-2</v>
      </c>
    </row>
    <row r="2034" spans="1:7" x14ac:dyDescent="0.35">
      <c r="A2034" t="s">
        <v>112</v>
      </c>
      <c r="E2034">
        <v>-5.4927062948233775E-3</v>
      </c>
      <c r="F2034">
        <f t="shared" si="68"/>
        <v>-1.7532082871243401E-2</v>
      </c>
      <c r="G2034">
        <f t="shared" si="69"/>
        <v>-2.9624370577909516E-2</v>
      </c>
    </row>
    <row r="2035" spans="1:7" x14ac:dyDescent="0.35">
      <c r="A2035" t="s">
        <v>112</v>
      </c>
      <c r="E2035">
        <v>8.1116603118651966E-3</v>
      </c>
      <c r="F2035">
        <f t="shared" si="68"/>
        <v>-1.753721073217485E-2</v>
      </c>
      <c r="G2035">
        <f t="shared" si="69"/>
        <v>-2.9624370577909516E-2</v>
      </c>
    </row>
    <row r="2036" spans="1:7" x14ac:dyDescent="0.35">
      <c r="A2036" t="s">
        <v>112</v>
      </c>
      <c r="E2036">
        <v>-2.2219304627171081E-4</v>
      </c>
      <c r="F2036">
        <f t="shared" si="68"/>
        <v>-1.7542338593106294E-2</v>
      </c>
      <c r="G2036">
        <f t="shared" si="69"/>
        <v>-2.9624370577909516E-2</v>
      </c>
    </row>
    <row r="2037" spans="1:7" x14ac:dyDescent="0.35">
      <c r="A2037" t="s">
        <v>112</v>
      </c>
      <c r="E2037">
        <v>-6.0687605523919554E-3</v>
      </c>
      <c r="F2037">
        <f t="shared" si="68"/>
        <v>-1.7547466454037739E-2</v>
      </c>
      <c r="G2037">
        <f t="shared" si="69"/>
        <v>-2.9624370577909516E-2</v>
      </c>
    </row>
    <row r="2038" spans="1:7" x14ac:dyDescent="0.35">
      <c r="A2038" t="s">
        <v>113</v>
      </c>
      <c r="B2038" s="3" cm="1">
        <f t="array" ref="B2038">_xlfn.STDEV.S(_xlfn._xlws.FILTER($E$2013:$E$3011, $A$2013:$A$3011="2018-03"))</f>
        <v>8.2711966111312894E-3</v>
      </c>
      <c r="C2038" s="3" cm="1">
        <f t="array" ref="C2038">AVERAGE(_xlfn._xlws.FILTER($E$2013:$E$3011, $A$2013:$A$3011="2018-03"))</f>
        <v>-1.1753063872319437E-3</v>
      </c>
      <c r="D2038" s="3" cm="1">
        <f t="array" ref="D2038">_xlfn.PERCENTILE.EXC(_xlfn._xlws.FILTER($E$1498:$E$2489, $A$1498:$A$2489="2018-03"), 0.05)</f>
        <v>-2.0884718450742374E-2</v>
      </c>
      <c r="E2038">
        <v>-1.0388828247353521E-2</v>
      </c>
      <c r="F2038">
        <f t="shared" si="68"/>
        <v>-1.7552594314969184E-2</v>
      </c>
      <c r="G2038">
        <f t="shared" si="69"/>
        <v>-2.9624370577909516E-2</v>
      </c>
    </row>
    <row r="2039" spans="1:7" x14ac:dyDescent="0.35">
      <c r="A2039" t="s">
        <v>113</v>
      </c>
      <c r="E2039">
        <v>-2.1537234178014755E-2</v>
      </c>
      <c r="F2039">
        <f t="shared" si="68"/>
        <v>-1.7557722175900629E-2</v>
      </c>
      <c r="G2039">
        <f t="shared" si="69"/>
        <v>-2.9624370577909516E-2</v>
      </c>
    </row>
    <row r="2040" spans="1:7" x14ac:dyDescent="0.35">
      <c r="A2040" t="s">
        <v>113</v>
      </c>
      <c r="E2040">
        <v>6.244169666550425E-3</v>
      </c>
      <c r="F2040">
        <f t="shared" si="68"/>
        <v>-1.7460292818203167E-2</v>
      </c>
      <c r="G2040">
        <f t="shared" si="69"/>
        <v>-2.9578562248023996E-2</v>
      </c>
    </row>
    <row r="2041" spans="1:7" x14ac:dyDescent="0.35">
      <c r="A2041" t="s">
        <v>113</v>
      </c>
      <c r="E2041">
        <v>-4.1715335161908917E-4</v>
      </c>
      <c r="F2041">
        <f t="shared" si="68"/>
        <v>-1.7465420679134612E-2</v>
      </c>
      <c r="G2041">
        <f t="shared" si="69"/>
        <v>-2.9716269855181051E-2</v>
      </c>
    </row>
    <row r="2042" spans="1:7" x14ac:dyDescent="0.35">
      <c r="A2042" t="s">
        <v>113</v>
      </c>
      <c r="E2042">
        <v>1.3030268547149729E-3</v>
      </c>
      <c r="F2042">
        <f t="shared" si="68"/>
        <v>-1.7470548540066057E-2</v>
      </c>
      <c r="G2042">
        <f t="shared" si="69"/>
        <v>-2.9716269855181051E-2</v>
      </c>
    </row>
    <row r="2043" spans="1:7" x14ac:dyDescent="0.35">
      <c r="A2043" t="s">
        <v>113</v>
      </c>
      <c r="E2043">
        <v>4.8738762662579342E-3</v>
      </c>
      <c r="F2043">
        <f t="shared" si="68"/>
        <v>-1.7475676400997502E-2</v>
      </c>
      <c r="G2043">
        <f t="shared" si="69"/>
        <v>-2.9716269855181051E-2</v>
      </c>
    </row>
    <row r="2044" spans="1:7" x14ac:dyDescent="0.35">
      <c r="A2044" t="s">
        <v>113</v>
      </c>
      <c r="E2044">
        <v>4.1278126921388391E-3</v>
      </c>
      <c r="F2044">
        <f t="shared" si="68"/>
        <v>-1.7480804261928946E-2</v>
      </c>
      <c r="G2044">
        <f t="shared" si="69"/>
        <v>-2.9716269855181051E-2</v>
      </c>
    </row>
    <row r="2045" spans="1:7" x14ac:dyDescent="0.35">
      <c r="A2045" t="s">
        <v>113</v>
      </c>
      <c r="E2045">
        <v>4.2650577696004728E-3</v>
      </c>
      <c r="F2045">
        <f t="shared" si="68"/>
        <v>-1.7485932122860395E-2</v>
      </c>
      <c r="G2045">
        <f t="shared" si="69"/>
        <v>-2.9716269855181051E-2</v>
      </c>
    </row>
    <row r="2046" spans="1:7" x14ac:dyDescent="0.35">
      <c r="A2046" t="s">
        <v>113</v>
      </c>
      <c r="E2046">
        <v>-3.6870767649562664E-3</v>
      </c>
      <c r="F2046">
        <f t="shared" si="68"/>
        <v>-1.7491059983791839E-2</v>
      </c>
      <c r="G2046">
        <f t="shared" si="69"/>
        <v>-2.9716269855181051E-2</v>
      </c>
    </row>
    <row r="2047" spans="1:7" x14ac:dyDescent="0.35">
      <c r="A2047" t="s">
        <v>113</v>
      </c>
      <c r="E2047">
        <v>-3.3023395311521206E-4</v>
      </c>
      <c r="F2047">
        <f t="shared" si="68"/>
        <v>-1.7496187844723284E-2</v>
      </c>
      <c r="G2047">
        <f t="shared" si="69"/>
        <v>-2.9716269855181051E-2</v>
      </c>
    </row>
    <row r="2048" spans="1:7" x14ac:dyDescent="0.35">
      <c r="A2048" t="s">
        <v>113</v>
      </c>
      <c r="E2048">
        <v>-4.4392367306730424E-4</v>
      </c>
      <c r="F2048">
        <f t="shared" si="68"/>
        <v>-1.7501315705654729E-2</v>
      </c>
      <c r="G2048">
        <f t="shared" si="69"/>
        <v>-2.9716269855181051E-2</v>
      </c>
    </row>
    <row r="2049" spans="1:7" x14ac:dyDescent="0.35">
      <c r="A2049" t="s">
        <v>113</v>
      </c>
      <c r="E2049">
        <v>7.8991627073951888E-3</v>
      </c>
      <c r="F2049">
        <f t="shared" si="68"/>
        <v>-1.7506443566586174E-2</v>
      </c>
      <c r="G2049">
        <f t="shared" si="69"/>
        <v>-2.9716269855181051E-2</v>
      </c>
    </row>
    <row r="2050" spans="1:7" x14ac:dyDescent="0.35">
      <c r="A2050" t="s">
        <v>113</v>
      </c>
      <c r="E2050">
        <v>-9.9768653717866133E-3</v>
      </c>
      <c r="F2050">
        <f t="shared" si="68"/>
        <v>-1.7511571427517622E-2</v>
      </c>
      <c r="G2050">
        <f t="shared" si="69"/>
        <v>-2.9716269855181051E-2</v>
      </c>
    </row>
    <row r="2051" spans="1:7" x14ac:dyDescent="0.35">
      <c r="A2051" t="s">
        <v>113</v>
      </c>
      <c r="E2051">
        <v>1.8091880648785524E-3</v>
      </c>
      <c r="F2051">
        <f t="shared" si="68"/>
        <v>-1.7516699288449067E-2</v>
      </c>
      <c r="G2051">
        <f t="shared" si="69"/>
        <v>-2.9716269855181051E-2</v>
      </c>
    </row>
    <row r="2052" spans="1:7" x14ac:dyDescent="0.35">
      <c r="A2052" t="s">
        <v>113</v>
      </c>
      <c r="E2052">
        <v>-5.2504974988821628E-3</v>
      </c>
      <c r="F2052">
        <f t="shared" ref="F2052:F2115" si="70">_xlfn.PERCENTILE.EXC(E2052:E5867,0.05)</f>
        <v>-1.7521827149380512E-2</v>
      </c>
      <c r="G2052">
        <f t="shared" ref="G2052:G2115" si="71">AVERAGEIFS(E2052:E5868,E2052:E5868,"&lt;=" &amp; F2052)</f>
        <v>-2.9716269855181051E-2</v>
      </c>
    </row>
    <row r="2053" spans="1:7" x14ac:dyDescent="0.35">
      <c r="A2053" t="s">
        <v>113</v>
      </c>
      <c r="E2053">
        <v>-1.5012076905290949E-2</v>
      </c>
      <c r="F2053">
        <f t="shared" si="70"/>
        <v>-1.7526955010311956E-2</v>
      </c>
      <c r="G2053">
        <f t="shared" si="71"/>
        <v>-2.9716269855181051E-2</v>
      </c>
    </row>
    <row r="2054" spans="1:7" x14ac:dyDescent="0.35">
      <c r="A2054" t="s">
        <v>113</v>
      </c>
      <c r="E2054">
        <v>-9.9892253001263188E-3</v>
      </c>
      <c r="F2054">
        <f t="shared" si="70"/>
        <v>-1.7532082871243401E-2</v>
      </c>
      <c r="G2054">
        <f t="shared" si="71"/>
        <v>-2.9716269855181051E-2</v>
      </c>
    </row>
    <row r="2055" spans="1:7" x14ac:dyDescent="0.35">
      <c r="A2055" t="s">
        <v>113</v>
      </c>
      <c r="E2055">
        <v>-1.2890100378066553E-3</v>
      </c>
      <c r="F2055">
        <f t="shared" si="70"/>
        <v>-1.753721073217485E-2</v>
      </c>
      <c r="G2055">
        <f t="shared" si="71"/>
        <v>-2.9716269855181051E-2</v>
      </c>
    </row>
    <row r="2056" spans="1:7" x14ac:dyDescent="0.35">
      <c r="A2056" t="s">
        <v>113</v>
      </c>
      <c r="E2056">
        <v>9.8226156515606681E-3</v>
      </c>
      <c r="F2056">
        <f t="shared" si="70"/>
        <v>-1.7542338593106294E-2</v>
      </c>
      <c r="G2056">
        <f t="shared" si="71"/>
        <v>-2.9716269855181051E-2</v>
      </c>
    </row>
    <row r="2057" spans="1:7" x14ac:dyDescent="0.35">
      <c r="A2057" t="s">
        <v>113</v>
      </c>
      <c r="E2057">
        <v>8.5555948968616263E-3</v>
      </c>
      <c r="F2057">
        <f t="shared" si="70"/>
        <v>-1.7547466454037739E-2</v>
      </c>
      <c r="G2057">
        <f t="shared" si="71"/>
        <v>-2.9716269855181051E-2</v>
      </c>
    </row>
    <row r="2058" spans="1:7" x14ac:dyDescent="0.35">
      <c r="A2058" t="s">
        <v>113</v>
      </c>
      <c r="E2058">
        <v>4.740186580189344E-3</v>
      </c>
      <c r="F2058">
        <f t="shared" si="70"/>
        <v>-1.7552594314969184E-2</v>
      </c>
      <c r="G2058">
        <f t="shared" si="71"/>
        <v>-2.9716269855181051E-2</v>
      </c>
    </row>
    <row r="2059" spans="1:7" x14ac:dyDescent="0.35">
      <c r="A2059" t="s">
        <v>114</v>
      </c>
      <c r="B2059" s="3" cm="1">
        <f t="array" ref="B2059">_xlfn.STDEV.S(_xlfn._xlws.FILTER($E$2013:$E$3011, $A$2013:$A$3011="2018-04"))</f>
        <v>6.3219563523575018E-3</v>
      </c>
      <c r="C2059" s="3" cm="1">
        <f t="array" ref="C2059">AVERAGE(_xlfn._xlws.FILTER($E$2013:$E$3011, $A$2013:$A$3011="2018-04"))</f>
        <v>1.9419222242139354E-3</v>
      </c>
      <c r="D2059" s="3" cm="1">
        <f t="array" ref="D2059">_xlfn.PERCENTILE.EXC(_xlfn._xlws.FILTER($E$1498:$E$2489, $A$1498:$A$2489="2018-04"), 0.05)</f>
        <v>-5.9485549535602707E-3</v>
      </c>
      <c r="E2059">
        <v>-5.3054954737341391E-3</v>
      </c>
      <c r="F2059">
        <f t="shared" si="70"/>
        <v>-1.7557722175900629E-2</v>
      </c>
      <c r="G2059">
        <f t="shared" si="71"/>
        <v>-2.9716269855181051E-2</v>
      </c>
    </row>
    <row r="2060" spans="1:7" x14ac:dyDescent="0.35">
      <c r="A2060" t="s">
        <v>114</v>
      </c>
      <c r="E2060">
        <v>-3.8084492784891213E-3</v>
      </c>
      <c r="F2060">
        <f t="shared" si="70"/>
        <v>-1.7562850036832077E-2</v>
      </c>
      <c r="G2060">
        <f t="shared" si="71"/>
        <v>-2.9716269855181051E-2</v>
      </c>
    </row>
    <row r="2061" spans="1:7" x14ac:dyDescent="0.35">
      <c r="A2061" t="s">
        <v>114</v>
      </c>
      <c r="E2061">
        <v>2.3642696329462306E-2</v>
      </c>
      <c r="F2061">
        <f t="shared" si="70"/>
        <v>-1.757268264464306E-2</v>
      </c>
      <c r="G2061">
        <f t="shared" si="71"/>
        <v>-2.9855964335851731E-2</v>
      </c>
    </row>
    <row r="2062" spans="1:7" x14ac:dyDescent="0.35">
      <c r="A2062" t="s">
        <v>114</v>
      </c>
      <c r="E2062">
        <v>-5.9824001893405932E-3</v>
      </c>
      <c r="F2062">
        <f t="shared" si="70"/>
        <v>-1.7582515252454047E-2</v>
      </c>
      <c r="G2062">
        <f t="shared" si="71"/>
        <v>-2.9855964335851731E-2</v>
      </c>
    </row>
    <row r="2063" spans="1:7" x14ac:dyDescent="0.35">
      <c r="A2063" t="s">
        <v>114</v>
      </c>
      <c r="E2063">
        <v>6.1774350139399839E-3</v>
      </c>
      <c r="F2063">
        <f t="shared" si="70"/>
        <v>-1.7592347860265031E-2</v>
      </c>
      <c r="G2063">
        <f t="shared" si="71"/>
        <v>-2.9855964335851731E-2</v>
      </c>
    </row>
    <row r="2064" spans="1:7" x14ac:dyDescent="0.35">
      <c r="A2064" t="s">
        <v>114</v>
      </c>
      <c r="E2064">
        <v>2.1223920241507334E-3</v>
      </c>
      <c r="F2064">
        <f t="shared" si="70"/>
        <v>-1.7602180468076017E-2</v>
      </c>
      <c r="G2064">
        <f t="shared" si="71"/>
        <v>-2.9855964335851731E-2</v>
      </c>
    </row>
    <row r="2065" spans="1:7" x14ac:dyDescent="0.35">
      <c r="A2065" t="s">
        <v>114</v>
      </c>
      <c r="E2065">
        <v>-2.8411295413582924E-3</v>
      </c>
      <c r="F2065">
        <f t="shared" si="70"/>
        <v>-1.7612013075887004E-2</v>
      </c>
      <c r="G2065">
        <f t="shared" si="71"/>
        <v>-2.9855964335851731E-2</v>
      </c>
    </row>
    <row r="2066" spans="1:7" x14ac:dyDescent="0.35">
      <c r="A2066" t="s">
        <v>114</v>
      </c>
      <c r="E2066">
        <v>1.1497321980166032E-3</v>
      </c>
      <c r="F2066">
        <f t="shared" si="70"/>
        <v>-1.7621845683697991E-2</v>
      </c>
      <c r="G2066">
        <f t="shared" si="71"/>
        <v>-2.9855964335851731E-2</v>
      </c>
    </row>
    <row r="2067" spans="1:7" x14ac:dyDescent="0.35">
      <c r="A2067" t="s">
        <v>114</v>
      </c>
      <c r="E2067">
        <v>2.0805263137832447E-3</v>
      </c>
      <c r="F2067">
        <f t="shared" si="70"/>
        <v>-1.7631678291508975E-2</v>
      </c>
      <c r="G2067">
        <f t="shared" si="71"/>
        <v>-2.9855964335851731E-2</v>
      </c>
    </row>
    <row r="2068" spans="1:7" x14ac:dyDescent="0.35">
      <c r="A2068" t="s">
        <v>114</v>
      </c>
      <c r="E2068">
        <v>-1.2286647501295032E-4</v>
      </c>
      <c r="F2068">
        <f t="shared" si="70"/>
        <v>-1.7641510899319961E-2</v>
      </c>
      <c r="G2068">
        <f t="shared" si="71"/>
        <v>-2.9855964335851731E-2</v>
      </c>
    </row>
    <row r="2069" spans="1:7" x14ac:dyDescent="0.35">
      <c r="A2069" t="s">
        <v>114</v>
      </c>
      <c r="E2069">
        <v>3.8630605016026754E-3</v>
      </c>
      <c r="F2069">
        <f t="shared" si="70"/>
        <v>-1.7651343507130945E-2</v>
      </c>
      <c r="G2069">
        <f t="shared" si="71"/>
        <v>-2.9855964335851731E-2</v>
      </c>
    </row>
    <row r="2070" spans="1:7" x14ac:dyDescent="0.35">
      <c r="A2070" t="s">
        <v>114</v>
      </c>
      <c r="E2070">
        <v>5.4320317484127054E-3</v>
      </c>
      <c r="F2070">
        <f t="shared" si="70"/>
        <v>-1.7661176114941932E-2</v>
      </c>
      <c r="G2070">
        <f t="shared" si="71"/>
        <v>-2.9855964335851731E-2</v>
      </c>
    </row>
    <row r="2071" spans="1:7" x14ac:dyDescent="0.35">
      <c r="A2071" t="s">
        <v>114</v>
      </c>
      <c r="E2071">
        <v>1.0849012232515077E-3</v>
      </c>
      <c r="F2071">
        <f t="shared" si="70"/>
        <v>-1.7671008722752918E-2</v>
      </c>
      <c r="G2071">
        <f t="shared" si="71"/>
        <v>-2.9855964335851731E-2</v>
      </c>
    </row>
    <row r="2072" spans="1:7" x14ac:dyDescent="0.35">
      <c r="A2072" t="s">
        <v>114</v>
      </c>
      <c r="E2072">
        <v>1.6403239773185665E-3</v>
      </c>
      <c r="F2072">
        <f t="shared" si="70"/>
        <v>-1.7680841330563902E-2</v>
      </c>
      <c r="G2072">
        <f t="shared" si="71"/>
        <v>-2.9855964335851731E-2</v>
      </c>
    </row>
    <row r="2073" spans="1:7" x14ac:dyDescent="0.35">
      <c r="A2073" t="s">
        <v>114</v>
      </c>
      <c r="E2073">
        <v>3.8169912344284112E-3</v>
      </c>
      <c r="F2073">
        <f t="shared" si="70"/>
        <v>-1.7690673938374889E-2</v>
      </c>
      <c r="G2073">
        <f t="shared" si="71"/>
        <v>-2.9855964335851731E-2</v>
      </c>
    </row>
    <row r="2074" spans="1:7" x14ac:dyDescent="0.35">
      <c r="A2074" t="s">
        <v>114</v>
      </c>
      <c r="E2074">
        <v>-3.8979317634190041E-3</v>
      </c>
      <c r="F2074">
        <f t="shared" si="70"/>
        <v>-1.7700506546185872E-2</v>
      </c>
      <c r="G2074">
        <f t="shared" si="71"/>
        <v>-2.9855964335851731E-2</v>
      </c>
    </row>
    <row r="2075" spans="1:7" x14ac:dyDescent="0.35">
      <c r="A2075" t="s">
        <v>114</v>
      </c>
      <c r="E2075">
        <v>-2.5732738322521019E-3</v>
      </c>
      <c r="F2075">
        <f t="shared" si="70"/>
        <v>-1.7710339153996862E-2</v>
      </c>
      <c r="G2075">
        <f t="shared" si="71"/>
        <v>-2.9855964335851731E-2</v>
      </c>
    </row>
    <row r="2076" spans="1:7" x14ac:dyDescent="0.35">
      <c r="A2076" t="s">
        <v>114</v>
      </c>
      <c r="E2076">
        <v>4.483745106818213E-3</v>
      </c>
      <c r="F2076">
        <f t="shared" si="70"/>
        <v>-1.7720171761807846E-2</v>
      </c>
      <c r="G2076">
        <f t="shared" si="71"/>
        <v>-2.9855964335851731E-2</v>
      </c>
    </row>
    <row r="2077" spans="1:7" x14ac:dyDescent="0.35">
      <c r="A2077" t="s">
        <v>114</v>
      </c>
      <c r="E2077">
        <v>2.3300746381376466E-3</v>
      </c>
      <c r="F2077">
        <f t="shared" si="70"/>
        <v>-1.7730004369618833E-2</v>
      </c>
      <c r="G2077">
        <f t="shared" si="71"/>
        <v>-2.9855964335851731E-2</v>
      </c>
    </row>
    <row r="2078" spans="1:7" x14ac:dyDescent="0.35">
      <c r="A2078" t="s">
        <v>114</v>
      </c>
      <c r="E2078">
        <v>5.5460807285623087E-3</v>
      </c>
      <c r="F2078">
        <f t="shared" si="70"/>
        <v>-1.7739836977429816E-2</v>
      </c>
      <c r="G2078">
        <f t="shared" si="71"/>
        <v>-2.9855964335851731E-2</v>
      </c>
    </row>
    <row r="2079" spans="1:7" x14ac:dyDescent="0.35">
      <c r="A2079" t="s">
        <v>115</v>
      </c>
      <c r="B2079" s="3" cm="1">
        <f t="array" ref="B2079">_xlfn.STDEV.S(_xlfn._xlws.FILTER($E$2013:$E$3011, $A$2013:$A$3011="2018-05"))</f>
        <v>1.0561173801560254E-2</v>
      </c>
      <c r="C2079" s="3" cm="1">
        <f t="array" ref="C2079">AVERAGE(_xlfn._xlws.FILTER($E$2013:$E$3011, $A$2013:$A$3011="2018-05"))</f>
        <v>-2.7889262783619413E-3</v>
      </c>
      <c r="D2079" s="3" cm="1">
        <f t="array" ref="D2079">_xlfn.PERCENTILE.EXC(_xlfn._xlws.FILTER($E$1498:$E$2489, $A$1498:$A$2489="2018-05"), 0.05)</f>
        <v>-3.1551423755514806E-2</v>
      </c>
      <c r="E2079">
        <v>1.0792600835303269E-2</v>
      </c>
      <c r="F2079">
        <f t="shared" si="70"/>
        <v>-1.7749669585240803E-2</v>
      </c>
      <c r="G2079">
        <f t="shared" si="71"/>
        <v>-2.9855964335851731E-2</v>
      </c>
    </row>
    <row r="2080" spans="1:7" x14ac:dyDescent="0.35">
      <c r="A2080" t="s">
        <v>115</v>
      </c>
      <c r="E2080">
        <v>-4.9782243840881327E-3</v>
      </c>
      <c r="F2080">
        <f t="shared" si="70"/>
        <v>-1.775950219305179E-2</v>
      </c>
      <c r="G2080">
        <f t="shared" si="71"/>
        <v>-2.9855964335851731E-2</v>
      </c>
    </row>
    <row r="2081" spans="1:7" x14ac:dyDescent="0.35">
      <c r="A2081" t="s">
        <v>115</v>
      </c>
      <c r="E2081">
        <v>6.4836968617619723E-3</v>
      </c>
      <c r="F2081">
        <f t="shared" si="70"/>
        <v>-1.7761367741615901E-2</v>
      </c>
      <c r="G2081">
        <f t="shared" si="71"/>
        <v>-2.9996620872395914E-2</v>
      </c>
    </row>
    <row r="2082" spans="1:7" x14ac:dyDescent="0.35">
      <c r="A2082" t="s">
        <v>115</v>
      </c>
      <c r="E2082">
        <v>6.3140865448775736E-3</v>
      </c>
      <c r="F2082">
        <f t="shared" si="70"/>
        <v>-1.7763233290180012E-2</v>
      </c>
      <c r="G2082">
        <f t="shared" si="71"/>
        <v>-2.9996620872395914E-2</v>
      </c>
    </row>
    <row r="2083" spans="1:7" x14ac:dyDescent="0.35">
      <c r="A2083" t="s">
        <v>115</v>
      </c>
      <c r="E2083">
        <v>5.2086260979286167E-3</v>
      </c>
      <c r="F2083">
        <f t="shared" si="70"/>
        <v>-1.7765098838744123E-2</v>
      </c>
      <c r="G2083">
        <f t="shared" si="71"/>
        <v>-2.9996620872395914E-2</v>
      </c>
    </row>
    <row r="2084" spans="1:7" x14ac:dyDescent="0.35">
      <c r="A2084" t="s">
        <v>115</v>
      </c>
      <c r="E2084">
        <v>2.4819485278153521E-3</v>
      </c>
      <c r="F2084">
        <f t="shared" si="70"/>
        <v>-1.7766964387308234E-2</v>
      </c>
      <c r="G2084">
        <f t="shared" si="71"/>
        <v>-2.9996620872395914E-2</v>
      </c>
    </row>
    <row r="2085" spans="1:7" x14ac:dyDescent="0.35">
      <c r="A2085" t="s">
        <v>115</v>
      </c>
      <c r="E2085">
        <v>2.4173907863475142E-3</v>
      </c>
      <c r="F2085">
        <f t="shared" si="70"/>
        <v>-1.7768829935872345E-2</v>
      </c>
      <c r="G2085">
        <f t="shared" si="71"/>
        <v>-2.9996620872395914E-2</v>
      </c>
    </row>
    <row r="2086" spans="1:7" x14ac:dyDescent="0.35">
      <c r="A2086" t="s">
        <v>115</v>
      </c>
      <c r="E2086">
        <v>-1.324942227610945E-3</v>
      </c>
      <c r="F2086">
        <f t="shared" si="70"/>
        <v>-1.7770695484436459E-2</v>
      </c>
      <c r="G2086">
        <f t="shared" si="71"/>
        <v>-2.9996620872395914E-2</v>
      </c>
    </row>
    <row r="2087" spans="1:7" x14ac:dyDescent="0.35">
      <c r="A2087" t="s">
        <v>115</v>
      </c>
      <c r="E2087">
        <v>-4.9058509173339144E-3</v>
      </c>
      <c r="F2087">
        <f t="shared" si="70"/>
        <v>-1.777256103300057E-2</v>
      </c>
      <c r="G2087">
        <f t="shared" si="71"/>
        <v>-2.9996620872395914E-2</v>
      </c>
    </row>
    <row r="2088" spans="1:7" x14ac:dyDescent="0.35">
      <c r="A2088" t="s">
        <v>115</v>
      </c>
      <c r="E2088">
        <v>-9.5086007724437087E-3</v>
      </c>
      <c r="F2088">
        <f t="shared" si="70"/>
        <v>-1.7774426581564681E-2</v>
      </c>
      <c r="G2088">
        <f t="shared" si="71"/>
        <v>-2.9996620872395914E-2</v>
      </c>
    </row>
    <row r="2089" spans="1:7" x14ac:dyDescent="0.35">
      <c r="A2089" t="s">
        <v>115</v>
      </c>
      <c r="E2089">
        <v>1.0370332122282919E-2</v>
      </c>
      <c r="F2089">
        <f t="shared" si="70"/>
        <v>-1.7776292130128792E-2</v>
      </c>
      <c r="G2089">
        <f t="shared" si="71"/>
        <v>-2.9996620872395914E-2</v>
      </c>
    </row>
    <row r="2090" spans="1:7" x14ac:dyDescent="0.35">
      <c r="A2090" t="s">
        <v>115</v>
      </c>
      <c r="E2090">
        <v>-1.0231878647374059E-2</v>
      </c>
      <c r="F2090">
        <f t="shared" si="70"/>
        <v>-1.7778157678692903E-2</v>
      </c>
      <c r="G2090">
        <f t="shared" si="71"/>
        <v>-2.9996620872395914E-2</v>
      </c>
    </row>
    <row r="2091" spans="1:7" x14ac:dyDescent="0.35">
      <c r="A2091" t="s">
        <v>115</v>
      </c>
      <c r="E2091">
        <v>2.6072543804914507E-3</v>
      </c>
      <c r="F2091">
        <f t="shared" si="70"/>
        <v>-1.7780023227257014E-2</v>
      </c>
      <c r="G2091">
        <f t="shared" si="71"/>
        <v>-2.9996620872395914E-2</v>
      </c>
    </row>
    <row r="2092" spans="1:7" x14ac:dyDescent="0.35">
      <c r="A2092" t="s">
        <v>115</v>
      </c>
      <c r="E2092">
        <v>-1.1287674772029466E-2</v>
      </c>
      <c r="F2092">
        <f t="shared" si="70"/>
        <v>-1.7781888775821125E-2</v>
      </c>
      <c r="G2092">
        <f t="shared" si="71"/>
        <v>-2.9996620872395914E-2</v>
      </c>
    </row>
    <row r="2093" spans="1:7" x14ac:dyDescent="0.35">
      <c r="A2093" t="s">
        <v>115</v>
      </c>
      <c r="E2093">
        <v>-2.8969602199269808E-3</v>
      </c>
      <c r="F2093">
        <f t="shared" si="70"/>
        <v>-1.7783754324385236E-2</v>
      </c>
      <c r="G2093">
        <f t="shared" si="71"/>
        <v>-2.9996620872395914E-2</v>
      </c>
    </row>
    <row r="2094" spans="1:7" x14ac:dyDescent="0.35">
      <c r="A2094" t="s">
        <v>115</v>
      </c>
      <c r="E2094">
        <v>-1.7102195114802238E-2</v>
      </c>
      <c r="F2094">
        <f t="shared" si="70"/>
        <v>-1.7785619872949347E-2</v>
      </c>
      <c r="G2094">
        <f t="shared" si="71"/>
        <v>-2.9996620872395914E-2</v>
      </c>
    </row>
    <row r="2095" spans="1:7" x14ac:dyDescent="0.35">
      <c r="A2095" t="s">
        <v>115</v>
      </c>
      <c r="E2095">
        <v>-3.1551423755514806E-2</v>
      </c>
      <c r="F2095">
        <f t="shared" si="70"/>
        <v>-1.7787485421513462E-2</v>
      </c>
      <c r="G2095">
        <f t="shared" si="71"/>
        <v>-2.9996620872395914E-2</v>
      </c>
    </row>
    <row r="2096" spans="1:7" x14ac:dyDescent="0.35">
      <c r="A2096" t="s">
        <v>115</v>
      </c>
      <c r="E2096">
        <v>4.7046583174652924E-3</v>
      </c>
      <c r="F2096">
        <f t="shared" si="70"/>
        <v>-1.7720171761807846E-2</v>
      </c>
      <c r="G2096">
        <f t="shared" si="71"/>
        <v>-2.9836249691437042E-2</v>
      </c>
    </row>
    <row r="2097" spans="1:7" x14ac:dyDescent="0.35">
      <c r="A2097" t="s">
        <v>115</v>
      </c>
      <c r="E2097">
        <v>-1.0582442952026601E-2</v>
      </c>
      <c r="F2097">
        <f t="shared" si="70"/>
        <v>-1.7730004369618833E-2</v>
      </c>
      <c r="G2097">
        <f t="shared" si="71"/>
        <v>-2.9836249691437042E-2</v>
      </c>
    </row>
    <row r="2098" spans="1:7" x14ac:dyDescent="0.35">
      <c r="A2098" t="s">
        <v>116</v>
      </c>
      <c r="B2098" s="3" cm="1">
        <f t="array" ref="B2098">_xlfn.STDEV.S(_xlfn._xlws.FILTER($E$2013:$E$3011, $A$2013:$A$3011="2018-06"))</f>
        <v>9.2875603959198579E-3</v>
      </c>
      <c r="C2098" s="3" cm="1">
        <f t="array" ref="C2098">AVERAGE(_xlfn._xlws.FILTER($E$2013:$E$3011, $A$2013:$A$3011="2018-06"))</f>
        <v>7.843467195867076E-4</v>
      </c>
      <c r="D2098" s="3" cm="1">
        <f t="array" ref="D2098">_xlfn.PERCENTILE.EXC(_xlfn._xlws.FILTER($E$1498:$E$2489, $A$1498:$A$2489="2018-06"), 0.05)</f>
        <v>-1.723230809212686E-2</v>
      </c>
      <c r="E2098">
        <v>1.7478806475566874E-2</v>
      </c>
      <c r="F2098">
        <f t="shared" si="70"/>
        <v>-1.7739836977429816E-2</v>
      </c>
      <c r="G2098">
        <f t="shared" si="71"/>
        <v>-2.9836249691437042E-2</v>
      </c>
    </row>
    <row r="2099" spans="1:7" x14ac:dyDescent="0.35">
      <c r="A2099" t="s">
        <v>116</v>
      </c>
      <c r="E2099">
        <v>1.2165637823767414E-2</v>
      </c>
      <c r="F2099">
        <f t="shared" si="70"/>
        <v>-1.7749669585240803E-2</v>
      </c>
      <c r="G2099">
        <f t="shared" si="71"/>
        <v>-2.9836249691437042E-2</v>
      </c>
    </row>
    <row r="2100" spans="1:7" x14ac:dyDescent="0.35">
      <c r="A2100" t="s">
        <v>116</v>
      </c>
      <c r="E2100">
        <v>-6.5752139218994811E-3</v>
      </c>
      <c r="F2100">
        <f t="shared" si="70"/>
        <v>-1.775950219305179E-2</v>
      </c>
      <c r="G2100">
        <f t="shared" si="71"/>
        <v>-2.9836249691437042E-2</v>
      </c>
    </row>
    <row r="2101" spans="1:7" x14ac:dyDescent="0.35">
      <c r="A2101" t="s">
        <v>116</v>
      </c>
      <c r="E2101">
        <v>1.0802035417134599E-2</v>
      </c>
      <c r="F2101">
        <f t="shared" si="70"/>
        <v>-1.7761367741615901E-2</v>
      </c>
      <c r="G2101">
        <f t="shared" si="71"/>
        <v>-2.9978329073770984E-2</v>
      </c>
    </row>
    <row r="2102" spans="1:7" x14ac:dyDescent="0.35">
      <c r="A2102" t="s">
        <v>116</v>
      </c>
      <c r="E2102">
        <v>3.8123243220952283E-3</v>
      </c>
      <c r="F2102">
        <f t="shared" si="70"/>
        <v>-1.7763233290180012E-2</v>
      </c>
      <c r="G2102">
        <f t="shared" si="71"/>
        <v>-2.9978329073770984E-2</v>
      </c>
    </row>
    <row r="2103" spans="1:7" x14ac:dyDescent="0.35">
      <c r="A2103" t="s">
        <v>116</v>
      </c>
      <c r="E2103">
        <v>-8.4494737777053679E-3</v>
      </c>
      <c r="F2103">
        <f t="shared" si="70"/>
        <v>-1.7765098838744123E-2</v>
      </c>
      <c r="G2103">
        <f t="shared" si="71"/>
        <v>-2.9978329073770984E-2</v>
      </c>
    </row>
    <row r="2104" spans="1:7" x14ac:dyDescent="0.35">
      <c r="A2104" t="s">
        <v>116</v>
      </c>
      <c r="E2104">
        <v>1.5475299416958431E-2</v>
      </c>
      <c r="F2104">
        <f t="shared" si="70"/>
        <v>-1.7766964387308234E-2</v>
      </c>
      <c r="G2104">
        <f t="shared" si="71"/>
        <v>-2.9978329073770984E-2</v>
      </c>
    </row>
    <row r="2105" spans="1:7" x14ac:dyDescent="0.35">
      <c r="A2105" t="s">
        <v>116</v>
      </c>
      <c r="E2105">
        <v>1.6252205447818589E-3</v>
      </c>
      <c r="F2105">
        <f t="shared" si="70"/>
        <v>-1.7768829935872345E-2</v>
      </c>
      <c r="G2105">
        <f t="shared" si="71"/>
        <v>-2.9978329073770984E-2</v>
      </c>
    </row>
    <row r="2106" spans="1:7" x14ac:dyDescent="0.35">
      <c r="A2106" t="s">
        <v>116</v>
      </c>
      <c r="E2106">
        <v>-1.5444018513740248E-3</v>
      </c>
      <c r="F2106">
        <f t="shared" si="70"/>
        <v>-1.7770695484436459E-2</v>
      </c>
      <c r="G2106">
        <f t="shared" si="71"/>
        <v>-2.9978329073770984E-2</v>
      </c>
    </row>
    <row r="2107" spans="1:7" x14ac:dyDescent="0.35">
      <c r="A2107" t="s">
        <v>116</v>
      </c>
      <c r="E2107">
        <v>5.9022773175927455E-3</v>
      </c>
      <c r="F2107">
        <f t="shared" si="70"/>
        <v>-1.777256103300057E-2</v>
      </c>
      <c r="G2107">
        <f t="shared" si="71"/>
        <v>-2.9978329073770984E-2</v>
      </c>
    </row>
    <row r="2108" spans="1:7" x14ac:dyDescent="0.35">
      <c r="A2108" t="s">
        <v>116</v>
      </c>
      <c r="E2108">
        <v>-1.0773148361203938E-2</v>
      </c>
      <c r="F2108">
        <f t="shared" si="70"/>
        <v>-1.7774426581564681E-2</v>
      </c>
      <c r="G2108">
        <f t="shared" si="71"/>
        <v>-2.9978329073770984E-2</v>
      </c>
    </row>
    <row r="2109" spans="1:7" x14ac:dyDescent="0.35">
      <c r="A2109" t="s">
        <v>116</v>
      </c>
      <c r="E2109">
        <v>-8.3179211918804844E-3</v>
      </c>
      <c r="F2109">
        <f t="shared" si="70"/>
        <v>-1.7776292130128792E-2</v>
      </c>
      <c r="G2109">
        <f t="shared" si="71"/>
        <v>-2.9978329073770984E-2</v>
      </c>
    </row>
    <row r="2110" spans="1:7" x14ac:dyDescent="0.35">
      <c r="A2110" t="s">
        <v>116</v>
      </c>
      <c r="E2110">
        <v>-1.4340738342343117E-3</v>
      </c>
      <c r="F2110">
        <f t="shared" si="70"/>
        <v>-1.7778157678692903E-2</v>
      </c>
      <c r="G2110">
        <f t="shared" si="71"/>
        <v>-2.9978329073770984E-2</v>
      </c>
    </row>
    <row r="2111" spans="1:7" x14ac:dyDescent="0.35">
      <c r="A2111" t="s">
        <v>116</v>
      </c>
      <c r="E2111">
        <v>3.4281128316226198E-3</v>
      </c>
      <c r="F2111">
        <f t="shared" si="70"/>
        <v>-1.7780023227257014E-2</v>
      </c>
      <c r="G2111">
        <f t="shared" si="71"/>
        <v>-2.9978329073770984E-2</v>
      </c>
    </row>
    <row r="2112" spans="1:7" x14ac:dyDescent="0.35">
      <c r="A2112" t="s">
        <v>116</v>
      </c>
      <c r="E2112">
        <v>-8.9067337559791595E-3</v>
      </c>
      <c r="F2112">
        <f t="shared" si="70"/>
        <v>-1.7781888775821125E-2</v>
      </c>
      <c r="G2112">
        <f t="shared" si="71"/>
        <v>-2.9978329073770984E-2</v>
      </c>
    </row>
    <row r="2113" spans="1:7" x14ac:dyDescent="0.35">
      <c r="A2113" t="s">
        <v>116</v>
      </c>
      <c r="E2113">
        <v>9.2335812130538344E-3</v>
      </c>
      <c r="F2113">
        <f t="shared" si="70"/>
        <v>-1.7783754324385236E-2</v>
      </c>
      <c r="G2113">
        <f t="shared" si="71"/>
        <v>-2.9978329073770984E-2</v>
      </c>
    </row>
    <row r="2114" spans="1:7" x14ac:dyDescent="0.35">
      <c r="A2114" t="s">
        <v>116</v>
      </c>
      <c r="E2114">
        <v>-1.7949992506673854E-2</v>
      </c>
      <c r="F2114">
        <f t="shared" si="70"/>
        <v>-1.7785619872949347E-2</v>
      </c>
      <c r="G2114">
        <f t="shared" si="71"/>
        <v>-2.9978329073770984E-2</v>
      </c>
    </row>
    <row r="2115" spans="1:7" x14ac:dyDescent="0.35">
      <c r="A2115" t="s">
        <v>116</v>
      </c>
      <c r="E2115">
        <v>2.0254170712750244E-3</v>
      </c>
      <c r="F2115">
        <f t="shared" si="70"/>
        <v>-1.7710339153996862E-2</v>
      </c>
      <c r="G2115">
        <f t="shared" si="71"/>
        <v>-2.9976088011257781E-2</v>
      </c>
    </row>
    <row r="2116" spans="1:7" x14ac:dyDescent="0.35">
      <c r="A2116" t="s">
        <v>116</v>
      </c>
      <c r="E2116">
        <v>2.1973474844588811E-3</v>
      </c>
      <c r="F2116">
        <f t="shared" ref="F2116:F2179" si="72">_xlfn.PERCENTILE.EXC(E2116:E5931,0.05)</f>
        <v>-1.7720171761807846E-2</v>
      </c>
      <c r="G2116">
        <f t="shared" ref="G2116:G2179" si="73">AVERAGEIFS(E2116:E5932,E2116:E5932,"&lt;=" &amp; F2116)</f>
        <v>-2.9976088011257781E-2</v>
      </c>
    </row>
    <row r="2117" spans="1:7" x14ac:dyDescent="0.35">
      <c r="A2117" t="s">
        <v>116</v>
      </c>
      <c r="E2117">
        <v>-7.2321020136405052E-3</v>
      </c>
      <c r="F2117">
        <f t="shared" si="72"/>
        <v>-1.7730004369618833E-2</v>
      </c>
      <c r="G2117">
        <f t="shared" si="73"/>
        <v>-2.9976088011257781E-2</v>
      </c>
    </row>
    <row r="2118" spans="1:7" x14ac:dyDescent="0.35">
      <c r="A2118" t="s">
        <v>116</v>
      </c>
      <c r="E2118">
        <v>3.5082824076044608E-3</v>
      </c>
      <c r="F2118">
        <f t="shared" si="72"/>
        <v>-1.7739836977429816E-2</v>
      </c>
      <c r="G2118">
        <f t="shared" si="73"/>
        <v>-2.9976088011257781E-2</v>
      </c>
    </row>
    <row r="2119" spans="1:7" x14ac:dyDescent="0.35">
      <c r="A2119" t="s">
        <v>117</v>
      </c>
      <c r="B2119" s="3" cm="1">
        <f t="array" ref="B2119">_xlfn.STDEV.S(_xlfn._xlws.FILTER($E$2013:$E$3011, $A$2013:$A$3011="2018-07"))</f>
        <v>6.5822133723010883E-3</v>
      </c>
      <c r="C2119" s="3" cm="1">
        <f t="array" ref="C2119">AVERAGE(_xlfn._xlws.FILTER($E$2013:$E$3011, $A$2013:$A$3011="2018-07"))</f>
        <v>1.1566310153278E-3</v>
      </c>
      <c r="D2119" s="3" cm="1">
        <f t="array" ref="D2119">_xlfn.PERCENTILE.EXC(_xlfn._xlws.FILTER($E$1498:$E$2489, $A$1498:$A$2489="2018-07"), 0.05)</f>
        <v>-1.456735873763002E-2</v>
      </c>
      <c r="E2119">
        <v>-6.7150035962309021E-3</v>
      </c>
      <c r="F2119">
        <f t="shared" si="72"/>
        <v>-1.7749669585240803E-2</v>
      </c>
      <c r="G2119">
        <f t="shared" si="73"/>
        <v>-2.9976088011257781E-2</v>
      </c>
    </row>
    <row r="2120" spans="1:7" x14ac:dyDescent="0.35">
      <c r="A2120" t="s">
        <v>117</v>
      </c>
      <c r="E2120">
        <v>1.0676924603531434E-2</v>
      </c>
      <c r="F2120">
        <f t="shared" si="72"/>
        <v>-1.775950219305179E-2</v>
      </c>
      <c r="G2120">
        <f t="shared" si="73"/>
        <v>-2.9976088011257781E-2</v>
      </c>
    </row>
    <row r="2121" spans="1:7" x14ac:dyDescent="0.35">
      <c r="A2121" t="s">
        <v>117</v>
      </c>
      <c r="E2121">
        <v>9.9494084861837823E-3</v>
      </c>
      <c r="F2121">
        <f t="shared" si="72"/>
        <v>-1.7761367741615901E-2</v>
      </c>
      <c r="G2121">
        <f t="shared" si="73"/>
        <v>-3.0121523556712614E-2</v>
      </c>
    </row>
    <row r="2122" spans="1:7" x14ac:dyDescent="0.35">
      <c r="A2122" t="s">
        <v>117</v>
      </c>
      <c r="E2122">
        <v>1.1078554173422269E-2</v>
      </c>
      <c r="F2122">
        <f t="shared" si="72"/>
        <v>-1.7763233290180012E-2</v>
      </c>
      <c r="G2122">
        <f t="shared" si="73"/>
        <v>-3.0121523556712614E-2</v>
      </c>
    </row>
    <row r="2123" spans="1:7" x14ac:dyDescent="0.35">
      <c r="A2123" t="s">
        <v>117</v>
      </c>
      <c r="E2123">
        <v>3.9249059044588284E-3</v>
      </c>
      <c r="F2123">
        <f t="shared" si="72"/>
        <v>-1.7765098838744123E-2</v>
      </c>
      <c r="G2123">
        <f t="shared" si="73"/>
        <v>-3.0121523556712614E-2</v>
      </c>
    </row>
    <row r="2124" spans="1:7" x14ac:dyDescent="0.35">
      <c r="A2124" t="s">
        <v>117</v>
      </c>
      <c r="E2124">
        <v>2.2186374570705523E-3</v>
      </c>
      <c r="F2124">
        <f t="shared" si="72"/>
        <v>-1.7766964387308234E-2</v>
      </c>
      <c r="G2124">
        <f t="shared" si="73"/>
        <v>-3.0121523556712614E-2</v>
      </c>
    </row>
    <row r="2125" spans="1:7" x14ac:dyDescent="0.35">
      <c r="A2125" t="s">
        <v>117</v>
      </c>
      <c r="E2125">
        <v>-3.8049530420912153E-3</v>
      </c>
      <c r="F2125">
        <f t="shared" si="72"/>
        <v>-1.7768829935872345E-2</v>
      </c>
      <c r="G2125">
        <f t="shared" si="73"/>
        <v>-3.0121523556712614E-2</v>
      </c>
    </row>
    <row r="2126" spans="1:7" x14ac:dyDescent="0.35">
      <c r="A2126" t="s">
        <v>117</v>
      </c>
      <c r="E2126">
        <v>-1.5869547074391366E-2</v>
      </c>
      <c r="F2126">
        <f t="shared" si="72"/>
        <v>-1.7770695484436459E-2</v>
      </c>
      <c r="G2126">
        <f t="shared" si="73"/>
        <v>-3.0121523556712614E-2</v>
      </c>
    </row>
    <row r="2127" spans="1:7" x14ac:dyDescent="0.35">
      <c r="A2127" t="s">
        <v>117</v>
      </c>
      <c r="E2127">
        <v>3.4664923692797117E-3</v>
      </c>
      <c r="F2127">
        <f t="shared" si="72"/>
        <v>-1.777256103300057E-2</v>
      </c>
      <c r="G2127">
        <f t="shared" si="73"/>
        <v>-3.0121523556712614E-2</v>
      </c>
    </row>
    <row r="2128" spans="1:7" x14ac:dyDescent="0.35">
      <c r="A2128" t="s">
        <v>117</v>
      </c>
      <c r="E2128">
        <v>-3.3432156745829568E-3</v>
      </c>
      <c r="F2128">
        <f t="shared" si="72"/>
        <v>-1.7774426581564681E-2</v>
      </c>
      <c r="G2128">
        <f t="shared" si="73"/>
        <v>-3.0121523556712614E-2</v>
      </c>
    </row>
    <row r="2129" spans="1:7" x14ac:dyDescent="0.35">
      <c r="A2129" t="s">
        <v>117</v>
      </c>
      <c r="E2129">
        <v>-1.8404566236054228E-3</v>
      </c>
      <c r="F2129">
        <f t="shared" si="72"/>
        <v>-1.7776292130128792E-2</v>
      </c>
      <c r="G2129">
        <f t="shared" si="73"/>
        <v>-3.0121523556712614E-2</v>
      </c>
    </row>
    <row r="2130" spans="1:7" x14ac:dyDescent="0.35">
      <c r="A2130" t="s">
        <v>117</v>
      </c>
      <c r="E2130">
        <v>2.5725060981647915E-4</v>
      </c>
      <c r="F2130">
        <f t="shared" si="72"/>
        <v>-1.7778157678692903E-2</v>
      </c>
      <c r="G2130">
        <f t="shared" si="73"/>
        <v>-3.0121523556712614E-2</v>
      </c>
    </row>
    <row r="2131" spans="1:7" x14ac:dyDescent="0.35">
      <c r="A2131" t="s">
        <v>117</v>
      </c>
      <c r="E2131">
        <v>3.4715481184294963E-3</v>
      </c>
      <c r="F2131">
        <f t="shared" si="72"/>
        <v>-1.7780023227257014E-2</v>
      </c>
      <c r="G2131">
        <f t="shared" si="73"/>
        <v>-3.0121523556712614E-2</v>
      </c>
    </row>
    <row r="2132" spans="1:7" x14ac:dyDescent="0.35">
      <c r="A2132" t="s">
        <v>117</v>
      </c>
      <c r="E2132">
        <v>-3.2966554969090082E-3</v>
      </c>
      <c r="F2132">
        <f t="shared" si="72"/>
        <v>-1.7781888775821125E-2</v>
      </c>
      <c r="G2132">
        <f t="shared" si="73"/>
        <v>-3.0121523556712614E-2</v>
      </c>
    </row>
    <row r="2133" spans="1:7" x14ac:dyDescent="0.35">
      <c r="A2133" t="s">
        <v>117</v>
      </c>
      <c r="E2133">
        <v>3.8054294680616785E-4</v>
      </c>
      <c r="F2133">
        <f t="shared" si="72"/>
        <v>-1.7783754324385236E-2</v>
      </c>
      <c r="G2133">
        <f t="shared" si="73"/>
        <v>-3.0121523556712614E-2</v>
      </c>
    </row>
    <row r="2134" spans="1:7" x14ac:dyDescent="0.35">
      <c r="A2134" t="s">
        <v>117</v>
      </c>
      <c r="E2134">
        <v>1.3366990750416686E-4</v>
      </c>
      <c r="F2134">
        <f t="shared" si="72"/>
        <v>-1.7785619872949347E-2</v>
      </c>
      <c r="G2134">
        <f t="shared" si="73"/>
        <v>-3.0121523556712614E-2</v>
      </c>
    </row>
    <row r="2135" spans="1:7" x14ac:dyDescent="0.35">
      <c r="A2135" t="s">
        <v>117</v>
      </c>
      <c r="E2135">
        <v>4.8207199290960347E-3</v>
      </c>
      <c r="F2135">
        <f t="shared" si="72"/>
        <v>-1.7787485421513462E-2</v>
      </c>
      <c r="G2135">
        <f t="shared" si="73"/>
        <v>-3.0121523556712614E-2</v>
      </c>
    </row>
    <row r="2136" spans="1:7" x14ac:dyDescent="0.35">
      <c r="A2136" t="s">
        <v>117</v>
      </c>
      <c r="E2136">
        <v>-7.1882914959824082E-3</v>
      </c>
      <c r="F2136">
        <f t="shared" si="72"/>
        <v>-1.7789350970077573E-2</v>
      </c>
      <c r="G2136">
        <f t="shared" si="73"/>
        <v>-3.0121523556712614E-2</v>
      </c>
    </row>
    <row r="2137" spans="1:7" x14ac:dyDescent="0.35">
      <c r="A2137" t="s">
        <v>117</v>
      </c>
      <c r="E2137">
        <v>7.8940619657711358E-3</v>
      </c>
      <c r="F2137">
        <f t="shared" si="72"/>
        <v>-1.7791216518641684E-2</v>
      </c>
      <c r="G2137">
        <f t="shared" si="73"/>
        <v>-3.0121523556712614E-2</v>
      </c>
    </row>
    <row r="2138" spans="1:7" x14ac:dyDescent="0.35">
      <c r="A2138" t="s">
        <v>117</v>
      </c>
      <c r="E2138">
        <v>8.9475808033299929E-3</v>
      </c>
      <c r="F2138">
        <f t="shared" si="72"/>
        <v>-1.7793082067205795E-2</v>
      </c>
      <c r="G2138">
        <f t="shared" si="73"/>
        <v>-3.0121523556712614E-2</v>
      </c>
    </row>
    <row r="2139" spans="1:7" x14ac:dyDescent="0.35">
      <c r="A2139" t="s">
        <v>117</v>
      </c>
      <c r="E2139">
        <v>-1.3994526165943121E-3</v>
      </c>
      <c r="F2139">
        <f t="shared" si="72"/>
        <v>-1.7794947615769906E-2</v>
      </c>
      <c r="G2139">
        <f t="shared" si="73"/>
        <v>-3.0121523556712614E-2</v>
      </c>
    </row>
    <row r="2140" spans="1:7" x14ac:dyDescent="0.35">
      <c r="A2140" t="s">
        <v>117</v>
      </c>
      <c r="E2140">
        <v>1.6831606828991452E-3</v>
      </c>
      <c r="F2140">
        <f t="shared" si="72"/>
        <v>-1.7796813164334017E-2</v>
      </c>
      <c r="G2140">
        <f t="shared" si="73"/>
        <v>-3.0121523556712614E-2</v>
      </c>
    </row>
    <row r="2141" spans="1:7" x14ac:dyDescent="0.35">
      <c r="A2141" t="s">
        <v>118</v>
      </c>
      <c r="B2141" s="3" cm="1">
        <f t="array" ref="B2141">_xlfn.STDEV.S(_xlfn._xlws.FILTER($E$2013:$E$3011, $A$2013:$A$3011="2018-08"))</f>
        <v>6.2770500453189441E-3</v>
      </c>
      <c r="C2141" s="3" cm="1">
        <f t="array" ref="C2141">AVERAGE(_xlfn._xlws.FILTER($E$2013:$E$3011, $A$2013:$A$3011="2018-08"))</f>
        <v>-2.3312777573841824E-3</v>
      </c>
      <c r="D2141" s="3" cm="1">
        <f t="array" ref="D2141">_xlfn.PERCENTILE.EXC(_xlfn._xlws.FILTER($E$1498:$E$2489, $A$1498:$A$2489="2018-08"), 0.05)</f>
        <v>-1.5251981093608138E-2</v>
      </c>
      <c r="E2141">
        <v>-7.2598183624051149E-3</v>
      </c>
      <c r="F2141">
        <f t="shared" si="72"/>
        <v>-1.7798020206522311E-2</v>
      </c>
      <c r="G2141">
        <f t="shared" si="73"/>
        <v>-3.0270014043367779E-2</v>
      </c>
    </row>
    <row r="2142" spans="1:7" x14ac:dyDescent="0.35">
      <c r="A2142" t="s">
        <v>118</v>
      </c>
      <c r="E2142">
        <v>-1.0370653274615713E-2</v>
      </c>
      <c r="F2142">
        <f t="shared" si="72"/>
        <v>-1.7799227248710602E-2</v>
      </c>
      <c r="G2142">
        <f t="shared" si="73"/>
        <v>-3.0270014043367779E-2</v>
      </c>
    </row>
    <row r="2143" spans="1:7" x14ac:dyDescent="0.35">
      <c r="A2143" t="s">
        <v>118</v>
      </c>
      <c r="E2143">
        <v>4.2802822833771948E-3</v>
      </c>
      <c r="F2143">
        <f t="shared" si="72"/>
        <v>-1.7800434290898896E-2</v>
      </c>
      <c r="G2143">
        <f t="shared" si="73"/>
        <v>-3.0270014043367779E-2</v>
      </c>
    </row>
    <row r="2144" spans="1:7" x14ac:dyDescent="0.35">
      <c r="A2144" t="s">
        <v>118</v>
      </c>
      <c r="E2144">
        <v>-1.7572258856955133E-3</v>
      </c>
      <c r="F2144">
        <f t="shared" si="72"/>
        <v>-1.7801641333087186E-2</v>
      </c>
      <c r="G2144">
        <f t="shared" si="73"/>
        <v>-3.0270014043367779E-2</v>
      </c>
    </row>
    <row r="2145" spans="1:7" x14ac:dyDescent="0.35">
      <c r="A2145" t="s">
        <v>118</v>
      </c>
      <c r="E2145">
        <v>5.139658925099785E-3</v>
      </c>
      <c r="F2145">
        <f t="shared" si="72"/>
        <v>-1.780284837527548E-2</v>
      </c>
      <c r="G2145">
        <f t="shared" si="73"/>
        <v>-3.0270014043367779E-2</v>
      </c>
    </row>
    <row r="2146" spans="1:7" x14ac:dyDescent="0.35">
      <c r="A2146" t="s">
        <v>118</v>
      </c>
      <c r="E2146">
        <v>-2.6332117326311999E-3</v>
      </c>
      <c r="F2146">
        <f t="shared" si="72"/>
        <v>-1.7804055417463771E-2</v>
      </c>
      <c r="G2146">
        <f t="shared" si="73"/>
        <v>-3.0270014043367779E-2</v>
      </c>
    </row>
    <row r="2147" spans="1:7" x14ac:dyDescent="0.35">
      <c r="A2147" t="s">
        <v>118</v>
      </c>
      <c r="E2147">
        <v>7.6916375185328613E-4</v>
      </c>
      <c r="F2147">
        <f t="shared" si="72"/>
        <v>-1.7805262459652065E-2</v>
      </c>
      <c r="G2147">
        <f t="shared" si="73"/>
        <v>-3.0270014043367779E-2</v>
      </c>
    </row>
    <row r="2148" spans="1:7" x14ac:dyDescent="0.35">
      <c r="A2148" t="s">
        <v>118</v>
      </c>
      <c r="E2148">
        <v>-1.5757144069845526E-2</v>
      </c>
      <c r="F2148">
        <f t="shared" si="72"/>
        <v>-1.7806469501840356E-2</v>
      </c>
      <c r="G2148">
        <f t="shared" si="73"/>
        <v>-3.0270014043367779E-2</v>
      </c>
    </row>
    <row r="2149" spans="1:7" x14ac:dyDescent="0.35">
      <c r="A2149" t="s">
        <v>118</v>
      </c>
      <c r="E2149">
        <v>-7.4951350484835861E-3</v>
      </c>
      <c r="F2149">
        <f t="shared" si="72"/>
        <v>-1.780767654402865E-2</v>
      </c>
      <c r="G2149">
        <f t="shared" si="73"/>
        <v>-3.0270014043367779E-2</v>
      </c>
    </row>
    <row r="2150" spans="1:7" x14ac:dyDescent="0.35">
      <c r="A2150" t="s">
        <v>118</v>
      </c>
      <c r="E2150">
        <v>-2.4583201261209036E-3</v>
      </c>
      <c r="F2150">
        <f t="shared" si="72"/>
        <v>-1.7808883586216941E-2</v>
      </c>
      <c r="G2150">
        <f t="shared" si="73"/>
        <v>-3.0270014043367779E-2</v>
      </c>
    </row>
    <row r="2151" spans="1:7" x14ac:dyDescent="0.35">
      <c r="A2151" t="s">
        <v>118</v>
      </c>
      <c r="E2151">
        <v>-8.4080265487529154E-3</v>
      </c>
      <c r="F2151">
        <f t="shared" si="72"/>
        <v>-1.7810090628405235E-2</v>
      </c>
      <c r="G2151">
        <f t="shared" si="73"/>
        <v>-3.0270014043367779E-2</v>
      </c>
    </row>
    <row r="2152" spans="1:7" x14ac:dyDescent="0.35">
      <c r="A2152" t="s">
        <v>118</v>
      </c>
      <c r="E2152">
        <v>-1.0719195282583277E-3</v>
      </c>
      <c r="F2152">
        <f t="shared" si="72"/>
        <v>-1.7811297670593529E-2</v>
      </c>
      <c r="G2152">
        <f t="shared" si="73"/>
        <v>-3.0270014043367779E-2</v>
      </c>
    </row>
    <row r="2153" spans="1:7" x14ac:dyDescent="0.35">
      <c r="A2153" t="s">
        <v>118</v>
      </c>
      <c r="E2153">
        <v>5.4326377001229437E-3</v>
      </c>
      <c r="F2153">
        <f t="shared" si="72"/>
        <v>-1.781250471278182E-2</v>
      </c>
      <c r="G2153">
        <f t="shared" si="73"/>
        <v>-3.0270014043367779E-2</v>
      </c>
    </row>
    <row r="2154" spans="1:7" x14ac:dyDescent="0.35">
      <c r="A2154" t="s">
        <v>118</v>
      </c>
      <c r="E2154">
        <v>8.455375968060513E-3</v>
      </c>
      <c r="F2154">
        <f t="shared" si="72"/>
        <v>-1.7813711754970114E-2</v>
      </c>
      <c r="G2154">
        <f t="shared" si="73"/>
        <v>-3.0270014043367779E-2</v>
      </c>
    </row>
    <row r="2155" spans="1:7" x14ac:dyDescent="0.35">
      <c r="A2155" t="s">
        <v>118</v>
      </c>
      <c r="E2155">
        <v>3.2620316235081833E-3</v>
      </c>
      <c r="F2155">
        <f t="shared" si="72"/>
        <v>-1.7814918797158404E-2</v>
      </c>
      <c r="G2155">
        <f t="shared" si="73"/>
        <v>-3.0270014043367779E-2</v>
      </c>
    </row>
    <row r="2156" spans="1:7" x14ac:dyDescent="0.35">
      <c r="A2156" t="s">
        <v>118</v>
      </c>
      <c r="E2156">
        <v>-1.347434594777412E-3</v>
      </c>
      <c r="F2156">
        <f t="shared" si="72"/>
        <v>-1.7816125839346698E-2</v>
      </c>
      <c r="G2156">
        <f t="shared" si="73"/>
        <v>-3.0270014043367779E-2</v>
      </c>
    </row>
    <row r="2157" spans="1:7" x14ac:dyDescent="0.35">
      <c r="A2157" t="s">
        <v>118</v>
      </c>
      <c r="E2157">
        <v>2.3177158959578215E-3</v>
      </c>
      <c r="F2157">
        <f t="shared" si="72"/>
        <v>-1.7817332881534989E-2</v>
      </c>
      <c r="G2157">
        <f t="shared" si="73"/>
        <v>-3.0270014043367779E-2</v>
      </c>
    </row>
    <row r="2158" spans="1:7" x14ac:dyDescent="0.35">
      <c r="A2158" t="s">
        <v>118</v>
      </c>
      <c r="E2158">
        <v>1.7712027968649171E-3</v>
      </c>
      <c r="F2158">
        <f t="shared" si="72"/>
        <v>-1.7818539923723283E-2</v>
      </c>
      <c r="G2158">
        <f t="shared" si="73"/>
        <v>-3.0270014043367779E-2</v>
      </c>
    </row>
    <row r="2159" spans="1:7" x14ac:dyDescent="0.35">
      <c r="A2159" t="s">
        <v>118</v>
      </c>
      <c r="E2159">
        <v>-3.8589951936281869E-3</v>
      </c>
      <c r="F2159">
        <f t="shared" si="72"/>
        <v>-1.7819746965911574E-2</v>
      </c>
      <c r="G2159">
        <f t="shared" si="73"/>
        <v>-3.0270014043367779E-2</v>
      </c>
    </row>
    <row r="2160" spans="1:7" x14ac:dyDescent="0.35">
      <c r="A2160" t="s">
        <v>118</v>
      </c>
      <c r="E2160">
        <v>-1.070551430747165E-2</v>
      </c>
      <c r="F2160">
        <f t="shared" si="72"/>
        <v>-1.7820954008099868E-2</v>
      </c>
      <c r="G2160">
        <f t="shared" si="73"/>
        <v>-3.0270014043367779E-2</v>
      </c>
    </row>
    <row r="2161" spans="1:7" x14ac:dyDescent="0.35">
      <c r="A2161" t="s">
        <v>118</v>
      </c>
      <c r="E2161">
        <v>-7.2615031772264235E-3</v>
      </c>
      <c r="F2161">
        <f t="shared" si="72"/>
        <v>-1.7822673784212664E-2</v>
      </c>
      <c r="G2161">
        <f t="shared" si="73"/>
        <v>-3.0421831848675931E-2</v>
      </c>
    </row>
    <row r="2162" spans="1:7" x14ac:dyDescent="0.35">
      <c r="A2162" t="s">
        <v>119</v>
      </c>
      <c r="B2162" s="3" cm="1">
        <f t="array" ref="B2162">_xlfn.STDEV.S(_xlfn._xlws.FILTER($E$2013:$E$3011, $A$2013:$A$3011="2018-09"))</f>
        <v>6.4368148109206933E-3</v>
      </c>
      <c r="C2162" s="3" cm="1">
        <f t="array" ref="C2162">AVERAGE(_xlfn._xlws.FILTER($E$2013:$E$3011, $A$2013:$A$3011="2018-09"))</f>
        <v>-5.2692371934866514E-5</v>
      </c>
      <c r="D2162" s="3" cm="1">
        <f t="array" ref="D2162">_xlfn.PERCENTILE.EXC(_xlfn._xlws.FILTER($E$1498:$E$2489, $A$1498:$A$2489="2018-09"), 0.05)</f>
        <v>-1.4391422431362112E-2</v>
      </c>
      <c r="E2162">
        <v>-2.4500417045019048E-3</v>
      </c>
      <c r="F2162">
        <f t="shared" si="72"/>
        <v>-1.7824393560325457E-2</v>
      </c>
      <c r="G2162">
        <f t="shared" si="73"/>
        <v>-3.0421831848675931E-2</v>
      </c>
    </row>
    <row r="2163" spans="1:7" x14ac:dyDescent="0.35">
      <c r="A2163" t="s">
        <v>119</v>
      </c>
      <c r="E2163">
        <v>2.1330603016767749E-5</v>
      </c>
      <c r="F2163">
        <f t="shared" si="72"/>
        <v>-1.7826113336438253E-2</v>
      </c>
      <c r="G2163">
        <f t="shared" si="73"/>
        <v>-3.0421831848675931E-2</v>
      </c>
    </row>
    <row r="2164" spans="1:7" x14ac:dyDescent="0.35">
      <c r="A2164" t="s">
        <v>119</v>
      </c>
      <c r="E2164">
        <v>-8.0310535733660662E-3</v>
      </c>
      <c r="F2164">
        <f t="shared" si="72"/>
        <v>-1.782783311255105E-2</v>
      </c>
      <c r="G2164">
        <f t="shared" si="73"/>
        <v>-3.0421831848675931E-2</v>
      </c>
    </row>
    <row r="2165" spans="1:7" x14ac:dyDescent="0.35">
      <c r="A2165" t="s">
        <v>119</v>
      </c>
      <c r="E2165">
        <v>-1.000548595486481E-2</v>
      </c>
      <c r="F2165">
        <f t="shared" si="72"/>
        <v>-1.7829552888663846E-2</v>
      </c>
      <c r="G2165">
        <f t="shared" si="73"/>
        <v>-3.0421831848675931E-2</v>
      </c>
    </row>
    <row r="2166" spans="1:7" x14ac:dyDescent="0.35">
      <c r="A2166" t="s">
        <v>119</v>
      </c>
      <c r="E2166">
        <v>-4.0805501699156064E-3</v>
      </c>
      <c r="F2166">
        <f t="shared" si="72"/>
        <v>-1.7831272664776639E-2</v>
      </c>
      <c r="G2166">
        <f t="shared" si="73"/>
        <v>-3.0421831848675931E-2</v>
      </c>
    </row>
    <row r="2167" spans="1:7" x14ac:dyDescent="0.35">
      <c r="A2167" t="s">
        <v>119</v>
      </c>
      <c r="E2167">
        <v>1.0801536534606228E-2</v>
      </c>
      <c r="F2167">
        <f t="shared" si="72"/>
        <v>-1.7832992440889435E-2</v>
      </c>
      <c r="G2167">
        <f t="shared" si="73"/>
        <v>-3.0421831848675931E-2</v>
      </c>
    </row>
    <row r="2168" spans="1:7" x14ac:dyDescent="0.35">
      <c r="A2168" t="s">
        <v>119</v>
      </c>
      <c r="E2168">
        <v>1.4335838272162033E-3</v>
      </c>
      <c r="F2168">
        <f t="shared" si="72"/>
        <v>-1.7834712217002231E-2</v>
      </c>
      <c r="G2168">
        <f t="shared" si="73"/>
        <v>-3.0421831848675931E-2</v>
      </c>
    </row>
    <row r="2169" spans="1:7" x14ac:dyDescent="0.35">
      <c r="A2169" t="s">
        <v>119</v>
      </c>
      <c r="E2169">
        <v>2.4420561975175329E-3</v>
      </c>
      <c r="F2169">
        <f t="shared" si="72"/>
        <v>-1.7836431993115028E-2</v>
      </c>
      <c r="G2169">
        <f t="shared" si="73"/>
        <v>-3.0421831848675931E-2</v>
      </c>
    </row>
    <row r="2170" spans="1:7" x14ac:dyDescent="0.35">
      <c r="A2170" t="s">
        <v>119</v>
      </c>
      <c r="E2170">
        <v>2.4039505030507488E-3</v>
      </c>
      <c r="F2170">
        <f t="shared" si="72"/>
        <v>-1.7838151769227824E-2</v>
      </c>
      <c r="G2170">
        <f t="shared" si="73"/>
        <v>-3.0421831848675931E-2</v>
      </c>
    </row>
    <row r="2171" spans="1:7" x14ac:dyDescent="0.35">
      <c r="A2171" t="s">
        <v>119</v>
      </c>
      <c r="E2171">
        <v>3.8621032786980837E-3</v>
      </c>
      <c r="F2171">
        <f t="shared" si="72"/>
        <v>-1.7839871545340617E-2</v>
      </c>
      <c r="G2171">
        <f t="shared" si="73"/>
        <v>-3.0421831848675931E-2</v>
      </c>
    </row>
    <row r="2172" spans="1:7" x14ac:dyDescent="0.35">
      <c r="A2172" t="s">
        <v>119</v>
      </c>
      <c r="E2172">
        <v>4.1875617269472188E-3</v>
      </c>
      <c r="F2172">
        <f t="shared" si="72"/>
        <v>-1.7841591321453413E-2</v>
      </c>
      <c r="G2172">
        <f t="shared" si="73"/>
        <v>-3.0421831848675931E-2</v>
      </c>
    </row>
    <row r="2173" spans="1:7" x14ac:dyDescent="0.35">
      <c r="A2173" t="s">
        <v>119</v>
      </c>
      <c r="E2173">
        <v>4.5512249618098518E-3</v>
      </c>
      <c r="F2173">
        <f t="shared" si="72"/>
        <v>-1.7843311097566209E-2</v>
      </c>
      <c r="G2173">
        <f t="shared" si="73"/>
        <v>-3.0421831848675931E-2</v>
      </c>
    </row>
    <row r="2174" spans="1:7" x14ac:dyDescent="0.35">
      <c r="A2174" t="s">
        <v>119</v>
      </c>
      <c r="E2174">
        <v>4.0984962672528467E-3</v>
      </c>
      <c r="F2174">
        <f t="shared" si="72"/>
        <v>-1.7845030873679002E-2</v>
      </c>
      <c r="G2174">
        <f t="shared" si="73"/>
        <v>-3.0421831848675931E-2</v>
      </c>
    </row>
    <row r="2175" spans="1:7" x14ac:dyDescent="0.35">
      <c r="A2175" t="s">
        <v>119</v>
      </c>
      <c r="E2175">
        <v>1.021508620412691E-2</v>
      </c>
      <c r="F2175">
        <f t="shared" si="72"/>
        <v>-1.7846750649791798E-2</v>
      </c>
      <c r="G2175">
        <f t="shared" si="73"/>
        <v>-3.0421831848675931E-2</v>
      </c>
    </row>
    <row r="2176" spans="1:7" x14ac:dyDescent="0.35">
      <c r="A2176" t="s">
        <v>119</v>
      </c>
      <c r="E2176">
        <v>6.9885942732043991E-4</v>
      </c>
      <c r="F2176">
        <f t="shared" si="72"/>
        <v>-1.7848470425904595E-2</v>
      </c>
      <c r="G2176">
        <f t="shared" si="73"/>
        <v>-3.0421831848675931E-2</v>
      </c>
    </row>
    <row r="2177" spans="1:7" x14ac:dyDescent="0.35">
      <c r="A2177" t="s">
        <v>119</v>
      </c>
      <c r="E2177">
        <v>-8.1243379989750196E-3</v>
      </c>
      <c r="F2177">
        <f t="shared" si="72"/>
        <v>-1.7850190202017391E-2</v>
      </c>
      <c r="G2177">
        <f t="shared" si="73"/>
        <v>-3.0421831848675931E-2</v>
      </c>
    </row>
    <row r="2178" spans="1:7" x14ac:dyDescent="0.35">
      <c r="A2178" t="s">
        <v>119</v>
      </c>
      <c r="E2178">
        <v>-2.0203727724396785E-3</v>
      </c>
      <c r="F2178">
        <f t="shared" si="72"/>
        <v>-1.7851909978130184E-2</v>
      </c>
      <c r="G2178">
        <f t="shared" si="73"/>
        <v>-3.0421831848675931E-2</v>
      </c>
    </row>
    <row r="2179" spans="1:7" x14ac:dyDescent="0.35">
      <c r="A2179" t="s">
        <v>119</v>
      </c>
      <c r="E2179">
        <v>3.28103604819615E-3</v>
      </c>
      <c r="F2179">
        <f t="shared" si="72"/>
        <v>-1.785362975424298E-2</v>
      </c>
      <c r="G2179">
        <f t="shared" si="73"/>
        <v>-3.0421831848675931E-2</v>
      </c>
    </row>
    <row r="2180" spans="1:7" x14ac:dyDescent="0.35">
      <c r="A2180" t="s">
        <v>119</v>
      </c>
      <c r="E2180">
        <v>2.834303488897915E-4</v>
      </c>
      <c r="F2180">
        <f t="shared" ref="F2180:F2243" si="74">_xlfn.PERCENTILE.EXC(E2180:E5995,0.05)</f>
        <v>-1.7855349530355776E-2</v>
      </c>
      <c r="G2180">
        <f t="shared" ref="G2180:G2243" si="75">AVERAGEIFS(E2180:E5996,E2180:E5996,"&lt;=" &amp; F2180)</f>
        <v>-3.0421831848675931E-2</v>
      </c>
    </row>
    <row r="2181" spans="1:7" x14ac:dyDescent="0.35">
      <c r="A2181" t="s">
        <v>119</v>
      </c>
      <c r="E2181">
        <v>-1.4622261193283023E-2</v>
      </c>
      <c r="F2181">
        <f t="shared" si="74"/>
        <v>-1.7858174692890021E-2</v>
      </c>
      <c r="G2181">
        <f t="shared" si="75"/>
        <v>-3.0576973605692222E-2</v>
      </c>
    </row>
    <row r="2182" spans="1:7" x14ac:dyDescent="0.35">
      <c r="A2182" t="s">
        <v>120</v>
      </c>
      <c r="B2182" s="3" cm="1">
        <f t="array" ref="B2182">_xlfn.STDEV.S(_xlfn._xlws.FILTER($E$2013:$E$3011, $A$2013:$A$3011="2018-10"))</f>
        <v>9.1743455906156089E-3</v>
      </c>
      <c r="C2182" s="3" cm="1">
        <f t="array" ref="C2182">AVERAGE(_xlfn._xlws.FILTER($E$2013:$E$3011, $A$2013:$A$3011="2018-10"))</f>
        <v>-2.4654281699636616E-3</v>
      </c>
      <c r="D2182" s="3" cm="1">
        <f t="array" ref="D2182">_xlfn.PERCENTILE.EXC(_xlfn._xlws.FILTER($E$1498:$E$2489, $A$1498:$A$2489="2018-10"), 0.05)</f>
        <v>-1.6306344070953993E-2</v>
      </c>
      <c r="E2182">
        <v>1.8940004172191846E-3</v>
      </c>
      <c r="F2182">
        <f t="shared" si="74"/>
        <v>-1.7860999855424262E-2</v>
      </c>
      <c r="G2182">
        <f t="shared" si="75"/>
        <v>-3.0576973605692222E-2</v>
      </c>
    </row>
    <row r="2183" spans="1:7" x14ac:dyDescent="0.35">
      <c r="A2183" t="s">
        <v>120</v>
      </c>
      <c r="E2183">
        <v>-1.0848469787933081E-2</v>
      </c>
      <c r="F2183">
        <f t="shared" si="74"/>
        <v>-1.7863825017958506E-2</v>
      </c>
      <c r="G2183">
        <f t="shared" si="75"/>
        <v>-3.0576973605692222E-2</v>
      </c>
    </row>
    <row r="2184" spans="1:7" x14ac:dyDescent="0.35">
      <c r="A2184" t="s">
        <v>120</v>
      </c>
      <c r="E2184">
        <v>9.6670254574489367E-4</v>
      </c>
      <c r="F2184">
        <f t="shared" si="74"/>
        <v>-1.786665018049275E-2</v>
      </c>
      <c r="G2184">
        <f t="shared" si="75"/>
        <v>-3.0576973605692222E-2</v>
      </c>
    </row>
    <row r="2185" spans="1:7" x14ac:dyDescent="0.35">
      <c r="A2185" t="s">
        <v>120</v>
      </c>
      <c r="E2185">
        <v>-6.5272414590915075E-3</v>
      </c>
      <c r="F2185">
        <f t="shared" si="74"/>
        <v>-1.7869475343026995E-2</v>
      </c>
      <c r="G2185">
        <f t="shared" si="75"/>
        <v>-3.0576973605692222E-2</v>
      </c>
    </row>
    <row r="2186" spans="1:7" x14ac:dyDescent="0.35">
      <c r="A2186" t="s">
        <v>120</v>
      </c>
      <c r="E2186">
        <v>-5.9285605362166859E-3</v>
      </c>
      <c r="F2186">
        <f t="shared" si="74"/>
        <v>-1.7872300505561236E-2</v>
      </c>
      <c r="G2186">
        <f t="shared" si="75"/>
        <v>-3.0576973605692222E-2</v>
      </c>
    </row>
    <row r="2187" spans="1:7" x14ac:dyDescent="0.35">
      <c r="A2187" t="s">
        <v>120</v>
      </c>
      <c r="E2187">
        <v>6.641519128401302E-3</v>
      </c>
      <c r="F2187">
        <f t="shared" si="74"/>
        <v>-1.787512566809548E-2</v>
      </c>
      <c r="G2187">
        <f t="shared" si="75"/>
        <v>-3.0576973605692222E-2</v>
      </c>
    </row>
    <row r="2188" spans="1:7" x14ac:dyDescent="0.35">
      <c r="A2188" t="s">
        <v>120</v>
      </c>
      <c r="E2188">
        <v>-1.0595320413487014E-2</v>
      </c>
      <c r="F2188">
        <f t="shared" si="74"/>
        <v>-1.7877950830629725E-2</v>
      </c>
      <c r="G2188">
        <f t="shared" si="75"/>
        <v>-3.0576973605692222E-2</v>
      </c>
    </row>
    <row r="2189" spans="1:7" x14ac:dyDescent="0.35">
      <c r="A2189" t="s">
        <v>120</v>
      </c>
      <c r="E2189">
        <v>-1.7060752374856363E-2</v>
      </c>
      <c r="F2189">
        <f t="shared" si="74"/>
        <v>-1.7880775993163969E-2</v>
      </c>
      <c r="G2189">
        <f t="shared" si="75"/>
        <v>-3.0576973605692222E-2</v>
      </c>
    </row>
    <row r="2190" spans="1:7" x14ac:dyDescent="0.35">
      <c r="A2190" t="s">
        <v>120</v>
      </c>
      <c r="E2190">
        <v>-1.1825999498713487E-2</v>
      </c>
      <c r="F2190">
        <f t="shared" si="74"/>
        <v>-1.788360115569821E-2</v>
      </c>
      <c r="G2190">
        <f t="shared" si="75"/>
        <v>-3.0576973605692222E-2</v>
      </c>
    </row>
    <row r="2191" spans="1:7" x14ac:dyDescent="0.35">
      <c r="A2191" t="s">
        <v>120</v>
      </c>
      <c r="E2191">
        <v>2.4346881995398638E-3</v>
      </c>
      <c r="F2191">
        <f t="shared" si="74"/>
        <v>-1.7886426318232455E-2</v>
      </c>
      <c r="G2191">
        <f t="shared" si="75"/>
        <v>-3.0576973605692222E-2</v>
      </c>
    </row>
    <row r="2192" spans="1:7" x14ac:dyDescent="0.35">
      <c r="A2192" t="s">
        <v>120</v>
      </c>
      <c r="E2192">
        <v>1.6779662960049558E-2</v>
      </c>
      <c r="F2192">
        <f t="shared" si="74"/>
        <v>-1.7889251480766699E-2</v>
      </c>
      <c r="G2192">
        <f t="shared" si="75"/>
        <v>-3.0576973605692222E-2</v>
      </c>
    </row>
    <row r="2193" spans="1:7" x14ac:dyDescent="0.35">
      <c r="A2193" t="s">
        <v>120</v>
      </c>
      <c r="E2193">
        <v>-8.5769039332453372E-3</v>
      </c>
      <c r="F2193">
        <f t="shared" si="74"/>
        <v>-1.7892076643300944E-2</v>
      </c>
      <c r="G2193">
        <f t="shared" si="75"/>
        <v>-3.0576973605692222E-2</v>
      </c>
    </row>
    <row r="2194" spans="1:7" x14ac:dyDescent="0.35">
      <c r="A2194" t="s">
        <v>120</v>
      </c>
      <c r="E2194">
        <v>-1.2031363682173894E-2</v>
      </c>
      <c r="F2194">
        <f t="shared" si="74"/>
        <v>-1.7894901805835185E-2</v>
      </c>
      <c r="G2194">
        <f t="shared" si="75"/>
        <v>-3.0576973605692222E-2</v>
      </c>
    </row>
    <row r="2195" spans="1:7" x14ac:dyDescent="0.35">
      <c r="A2195" t="s">
        <v>120</v>
      </c>
      <c r="E2195">
        <v>2.8118796475836322E-4</v>
      </c>
      <c r="F2195">
        <f t="shared" si="74"/>
        <v>-1.7897726968369429E-2</v>
      </c>
      <c r="G2195">
        <f t="shared" si="75"/>
        <v>-3.0576973605692222E-2</v>
      </c>
    </row>
    <row r="2196" spans="1:7" x14ac:dyDescent="0.35">
      <c r="A2196" t="s">
        <v>120</v>
      </c>
      <c r="E2196">
        <v>-9.6731569123780798E-3</v>
      </c>
      <c r="F2196">
        <f t="shared" si="74"/>
        <v>-1.7900552130903673E-2</v>
      </c>
      <c r="G2196">
        <f t="shared" si="75"/>
        <v>-3.0576973605692222E-2</v>
      </c>
    </row>
    <row r="2197" spans="1:7" x14ac:dyDescent="0.35">
      <c r="A2197" t="s">
        <v>120</v>
      </c>
      <c r="E2197">
        <v>-9.1715505498766708E-3</v>
      </c>
      <c r="F2197">
        <f t="shared" si="74"/>
        <v>-1.7903377293437918E-2</v>
      </c>
      <c r="G2197">
        <f t="shared" si="75"/>
        <v>-3.0576973605692222E-2</v>
      </c>
    </row>
    <row r="2198" spans="1:7" x14ac:dyDescent="0.35">
      <c r="A2198" t="s">
        <v>120</v>
      </c>
      <c r="E2198">
        <v>-5.5965900094026664E-3</v>
      </c>
      <c r="F2198">
        <f t="shared" si="74"/>
        <v>-1.7906202455972159E-2</v>
      </c>
      <c r="G2198">
        <f t="shared" si="75"/>
        <v>-3.0576973605692222E-2</v>
      </c>
    </row>
    <row r="2199" spans="1:7" x14ac:dyDescent="0.35">
      <c r="A2199" t="s">
        <v>120</v>
      </c>
      <c r="E2199">
        <v>1.2346542827526339E-2</v>
      </c>
      <c r="F2199">
        <f t="shared" si="74"/>
        <v>-1.7909027618506403E-2</v>
      </c>
      <c r="G2199">
        <f t="shared" si="75"/>
        <v>-3.0576973605692222E-2</v>
      </c>
    </row>
    <row r="2200" spans="1:7" x14ac:dyDescent="0.35">
      <c r="A2200" t="s">
        <v>120</v>
      </c>
      <c r="E2200">
        <v>-6.2572996417174049E-3</v>
      </c>
      <c r="F2200">
        <f t="shared" si="74"/>
        <v>-1.7911852781040648E-2</v>
      </c>
      <c r="G2200">
        <f t="shared" si="75"/>
        <v>-3.0576973605692222E-2</v>
      </c>
    </row>
    <row r="2201" spans="1:7" x14ac:dyDescent="0.35">
      <c r="A2201" t="s">
        <v>120</v>
      </c>
      <c r="E2201">
        <v>1.0346727369162407E-2</v>
      </c>
      <c r="F2201">
        <f t="shared" si="74"/>
        <v>-1.7911857516958483E-2</v>
      </c>
      <c r="G2201">
        <f t="shared" si="75"/>
        <v>-3.0735287616000369E-2</v>
      </c>
    </row>
    <row r="2202" spans="1:7" x14ac:dyDescent="0.35">
      <c r="A2202" t="s">
        <v>120</v>
      </c>
      <c r="E2202">
        <v>-1.7132520231120381E-3</v>
      </c>
      <c r="F2202">
        <f t="shared" si="74"/>
        <v>-1.7911862252876321E-2</v>
      </c>
      <c r="G2202">
        <f t="shared" si="75"/>
        <v>-3.0735287616000369E-2</v>
      </c>
    </row>
    <row r="2203" spans="1:7" x14ac:dyDescent="0.35">
      <c r="A2203" t="s">
        <v>120</v>
      </c>
      <c r="E2203">
        <v>9.8760096706017823E-3</v>
      </c>
      <c r="F2203">
        <f t="shared" si="74"/>
        <v>-1.7911866988794156E-2</v>
      </c>
      <c r="G2203">
        <f t="shared" si="75"/>
        <v>-3.0735287616000369E-2</v>
      </c>
    </row>
    <row r="2204" spans="1:7" x14ac:dyDescent="0.35">
      <c r="A2204" t="s">
        <v>121</v>
      </c>
      <c r="B2204" s="3" cm="1">
        <f t="array" ref="B2204">_xlfn.STDEV.S(_xlfn._xlws.FILTER($E$2013:$E$3011, $A$2013:$A$3011="2018-11"))</f>
        <v>8.1996702370329237E-3</v>
      </c>
      <c r="C2204" s="3" cm="1">
        <f t="array" ref="C2204">AVERAGE(_xlfn._xlws.FILTER($E$2013:$E$3011, $A$2013:$A$3011="2018-11"))</f>
        <v>9.293228263606867E-4</v>
      </c>
      <c r="D2204" s="3" cm="1">
        <f t="array" ref="D2204">_xlfn.PERCENTILE.EXC(_xlfn._xlws.FILTER($E$1498:$E$2489, $A$1498:$A$2489="2018-11"), 0.05)</f>
        <v>-1.4261273404343487E-2</v>
      </c>
      <c r="E2204">
        <v>6.8690285381942714E-3</v>
      </c>
      <c r="F2204">
        <f t="shared" si="74"/>
        <v>-1.7911871724711995E-2</v>
      </c>
      <c r="G2204">
        <f t="shared" si="75"/>
        <v>-3.0735287616000369E-2</v>
      </c>
    </row>
    <row r="2205" spans="1:7" x14ac:dyDescent="0.35">
      <c r="A2205" t="s">
        <v>121</v>
      </c>
      <c r="E2205">
        <v>4.2567955607890071E-3</v>
      </c>
      <c r="F2205">
        <f t="shared" si="74"/>
        <v>-1.791187646062983E-2</v>
      </c>
      <c r="G2205">
        <f t="shared" si="75"/>
        <v>-3.0735287616000369E-2</v>
      </c>
    </row>
    <row r="2206" spans="1:7" x14ac:dyDescent="0.35">
      <c r="A2206" t="s">
        <v>121</v>
      </c>
      <c r="E2206">
        <v>1.9662631239835493E-3</v>
      </c>
      <c r="F2206">
        <f t="shared" si="74"/>
        <v>-1.7911881196547665E-2</v>
      </c>
      <c r="G2206">
        <f t="shared" si="75"/>
        <v>-3.0735287616000369E-2</v>
      </c>
    </row>
    <row r="2207" spans="1:7" x14ac:dyDescent="0.35">
      <c r="A2207" t="s">
        <v>121</v>
      </c>
      <c r="E2207">
        <v>-2.4222772349562268E-3</v>
      </c>
      <c r="F2207">
        <f t="shared" si="74"/>
        <v>-1.7911885932465503E-2</v>
      </c>
      <c r="G2207">
        <f t="shared" si="75"/>
        <v>-3.0735287616000369E-2</v>
      </c>
    </row>
    <row r="2208" spans="1:7" x14ac:dyDescent="0.35">
      <c r="A2208" t="s">
        <v>121</v>
      </c>
      <c r="E2208">
        <v>1.971776958712778E-2</v>
      </c>
      <c r="F2208">
        <f t="shared" si="74"/>
        <v>-1.7911890668383338E-2</v>
      </c>
      <c r="G2208">
        <f t="shared" si="75"/>
        <v>-3.0735287616000369E-2</v>
      </c>
    </row>
    <row r="2209" spans="1:7" x14ac:dyDescent="0.35">
      <c r="A2209" t="s">
        <v>121</v>
      </c>
      <c r="E2209">
        <v>9.9210142834267275E-4</v>
      </c>
      <c r="F2209">
        <f t="shared" si="74"/>
        <v>-1.7911895404301176E-2</v>
      </c>
      <c r="G2209">
        <f t="shared" si="75"/>
        <v>-3.0735287616000369E-2</v>
      </c>
    </row>
    <row r="2210" spans="1:7" x14ac:dyDescent="0.35">
      <c r="A2210" t="s">
        <v>121</v>
      </c>
      <c r="E2210">
        <v>-4.6090580615764896E-3</v>
      </c>
      <c r="F2210">
        <f t="shared" si="74"/>
        <v>-1.7911900140219011E-2</v>
      </c>
      <c r="G2210">
        <f t="shared" si="75"/>
        <v>-3.0735287616000369E-2</v>
      </c>
    </row>
    <row r="2211" spans="1:7" x14ac:dyDescent="0.35">
      <c r="A2211" t="s">
        <v>121</v>
      </c>
      <c r="E2211">
        <v>-6.4246751950801642E-3</v>
      </c>
      <c r="F2211">
        <f t="shared" si="74"/>
        <v>-1.7911904876136846E-2</v>
      </c>
      <c r="G2211">
        <f t="shared" si="75"/>
        <v>-3.0735287616000369E-2</v>
      </c>
    </row>
    <row r="2212" spans="1:7" x14ac:dyDescent="0.35">
      <c r="A2212" t="s">
        <v>121</v>
      </c>
      <c r="E2212">
        <v>7.5844000545509721E-3</v>
      </c>
      <c r="F2212">
        <f t="shared" si="74"/>
        <v>-1.7911909612054685E-2</v>
      </c>
      <c r="G2212">
        <f t="shared" si="75"/>
        <v>-3.0735287616000369E-2</v>
      </c>
    </row>
    <row r="2213" spans="1:7" x14ac:dyDescent="0.35">
      <c r="A2213" t="s">
        <v>121</v>
      </c>
      <c r="E2213">
        <v>-4.2515952713036084E-3</v>
      </c>
      <c r="F2213">
        <f t="shared" si="74"/>
        <v>-1.791191434797252E-2</v>
      </c>
      <c r="G2213">
        <f t="shared" si="75"/>
        <v>-3.0735287616000369E-2</v>
      </c>
    </row>
    <row r="2214" spans="1:7" x14ac:dyDescent="0.35">
      <c r="A2214" t="s">
        <v>121</v>
      </c>
      <c r="E2214">
        <v>-3.6413481305253132E-3</v>
      </c>
      <c r="F2214">
        <f t="shared" si="74"/>
        <v>-1.7911919083890358E-2</v>
      </c>
      <c r="G2214">
        <f t="shared" si="75"/>
        <v>-3.0735287616000369E-2</v>
      </c>
    </row>
    <row r="2215" spans="1:7" x14ac:dyDescent="0.35">
      <c r="A2215" t="s">
        <v>121</v>
      </c>
      <c r="E2215">
        <v>-1.8422204511790363E-3</v>
      </c>
      <c r="F2215">
        <f t="shared" si="74"/>
        <v>-1.7911923819808193E-2</v>
      </c>
      <c r="G2215">
        <f t="shared" si="75"/>
        <v>-3.0735287616000369E-2</v>
      </c>
    </row>
    <row r="2216" spans="1:7" x14ac:dyDescent="0.35">
      <c r="A2216" t="s">
        <v>121</v>
      </c>
      <c r="E2216">
        <v>-5.591524331269848E-3</v>
      </c>
      <c r="F2216">
        <f t="shared" si="74"/>
        <v>-1.7911928555726028E-2</v>
      </c>
      <c r="G2216">
        <f t="shared" si="75"/>
        <v>-3.0735287616000369E-2</v>
      </c>
    </row>
    <row r="2217" spans="1:7" x14ac:dyDescent="0.35">
      <c r="A2217" t="s">
        <v>121</v>
      </c>
      <c r="E2217">
        <v>-1.5644202500095839E-2</v>
      </c>
      <c r="F2217">
        <f t="shared" si="74"/>
        <v>-1.7911933291643867E-2</v>
      </c>
      <c r="G2217">
        <f t="shared" si="75"/>
        <v>-3.0735287616000369E-2</v>
      </c>
    </row>
    <row r="2218" spans="1:7" x14ac:dyDescent="0.35">
      <c r="A2218" t="s">
        <v>121</v>
      </c>
      <c r="E2218">
        <v>1.0557059080148918E-2</v>
      </c>
      <c r="F2218">
        <f t="shared" si="74"/>
        <v>-1.7911938027561702E-2</v>
      </c>
      <c r="G2218">
        <f t="shared" si="75"/>
        <v>-3.0735287616000369E-2</v>
      </c>
    </row>
    <row r="2219" spans="1:7" x14ac:dyDescent="0.35">
      <c r="A2219" t="s">
        <v>121</v>
      </c>
      <c r="E2219">
        <v>-6.0895256124681189E-3</v>
      </c>
      <c r="F2219">
        <f t="shared" si="74"/>
        <v>-1.791194276347954E-2</v>
      </c>
      <c r="G2219">
        <f t="shared" si="75"/>
        <v>-3.0735287616000369E-2</v>
      </c>
    </row>
    <row r="2220" spans="1:7" x14ac:dyDescent="0.35">
      <c r="A2220" t="s">
        <v>121</v>
      </c>
      <c r="E2220">
        <v>1.1782595665978698E-3</v>
      </c>
      <c r="F2220">
        <f t="shared" si="74"/>
        <v>-1.7911947499397375E-2</v>
      </c>
      <c r="G2220">
        <f t="shared" si="75"/>
        <v>-3.0735287616000369E-2</v>
      </c>
    </row>
    <row r="2221" spans="1:7" x14ac:dyDescent="0.35">
      <c r="A2221" t="s">
        <v>121</v>
      </c>
      <c r="E2221">
        <v>1.9380989693056298E-2</v>
      </c>
      <c r="F2221">
        <f t="shared" si="74"/>
        <v>-1.7917744885802632E-2</v>
      </c>
      <c r="G2221">
        <f t="shared" si="75"/>
        <v>-3.0897608376970025E-2</v>
      </c>
    </row>
    <row r="2222" spans="1:7" x14ac:dyDescent="0.35">
      <c r="A2222" t="s">
        <v>121</v>
      </c>
      <c r="E2222">
        <v>-6.1617008243234413E-4</v>
      </c>
      <c r="F2222">
        <f t="shared" si="74"/>
        <v>-1.7923542272207889E-2</v>
      </c>
      <c r="G2222">
        <f t="shared" si="75"/>
        <v>-3.0897608376970025E-2</v>
      </c>
    </row>
    <row r="2223" spans="1:7" x14ac:dyDescent="0.35">
      <c r="A2223" t="s">
        <v>121</v>
      </c>
      <c r="E2223">
        <v>1.8803302164896285E-3</v>
      </c>
      <c r="F2223">
        <f t="shared" si="74"/>
        <v>-1.7929339658613146E-2</v>
      </c>
      <c r="G2223">
        <f t="shared" si="75"/>
        <v>-3.0897608376970025E-2</v>
      </c>
    </row>
    <row r="2224" spans="1:7" x14ac:dyDescent="0.35">
      <c r="A2224" t="s">
        <v>121</v>
      </c>
      <c r="E2224">
        <v>-4.1754571633372277E-4</v>
      </c>
      <c r="F2224">
        <f t="shared" si="74"/>
        <v>-1.7935137045018403E-2</v>
      </c>
      <c r="G2224">
        <f t="shared" si="75"/>
        <v>-3.0897608376970025E-2</v>
      </c>
    </row>
    <row r="2225" spans="1:7" x14ac:dyDescent="0.35">
      <c r="A2225" t="s">
        <v>121</v>
      </c>
      <c r="E2225">
        <v>-2.387752082125146E-3</v>
      </c>
      <c r="F2225">
        <f t="shared" si="74"/>
        <v>-1.7940934431423663E-2</v>
      </c>
      <c r="G2225">
        <f t="shared" si="75"/>
        <v>-3.0897608376970025E-2</v>
      </c>
    </row>
    <row r="2226" spans="1:7" x14ac:dyDescent="0.35">
      <c r="A2226" t="s">
        <v>122</v>
      </c>
      <c r="B2226" s="3" cm="1">
        <f t="array" ref="B2226">_xlfn.STDEV.S(_xlfn._xlws.FILTER($E$2013:$E$3011, $A$2013:$A$3011="2018-12"))</f>
        <v>1.3692588055614675E-2</v>
      </c>
      <c r="C2226" s="3" cm="1">
        <f t="array" ref="C2226">AVERAGE(_xlfn._xlws.FILTER($E$2013:$E$3011, $A$2013:$A$3011="2018-12"))</f>
        <v>-3.9082978114543167E-3</v>
      </c>
      <c r="D2226" s="3" cm="1">
        <f t="array" ref="D2226">_xlfn.PERCENTILE.INC(_xlfn._xlws.FILTER($E$1498:$E$2489, $A$1498:$A$2489="2018-12"), 0.05)</f>
        <v>-2.3815119049010697E-2</v>
      </c>
      <c r="E2226">
        <v>1.1217855684989272E-2</v>
      </c>
      <c r="F2226">
        <f t="shared" si="74"/>
        <v>-1.794673181782892E-2</v>
      </c>
      <c r="G2226">
        <f t="shared" si="75"/>
        <v>-3.0897608376970025E-2</v>
      </c>
    </row>
    <row r="2227" spans="1:7" x14ac:dyDescent="0.35">
      <c r="A2227" t="s">
        <v>122</v>
      </c>
      <c r="E2227">
        <v>-1.2926890276138605E-2</v>
      </c>
      <c r="F2227">
        <f t="shared" si="74"/>
        <v>-1.7952529204234177E-2</v>
      </c>
      <c r="G2227">
        <f t="shared" si="75"/>
        <v>-3.0897608376970025E-2</v>
      </c>
    </row>
    <row r="2228" spans="1:7" x14ac:dyDescent="0.35">
      <c r="A2228" t="s">
        <v>122</v>
      </c>
      <c r="E2228">
        <v>-5.4775254663896496E-3</v>
      </c>
      <c r="F2228">
        <f t="shared" si="74"/>
        <v>-1.7958326590639433E-2</v>
      </c>
      <c r="G2228">
        <f t="shared" si="75"/>
        <v>-3.0897608376970025E-2</v>
      </c>
    </row>
    <row r="2229" spans="1:7" x14ac:dyDescent="0.35">
      <c r="A2229" t="s">
        <v>122</v>
      </c>
      <c r="E2229">
        <v>-2.786974327532709E-2</v>
      </c>
      <c r="F2229">
        <f t="shared" si="74"/>
        <v>-1.796412397704469E-2</v>
      </c>
      <c r="G2229">
        <f t="shared" si="75"/>
        <v>-3.0897608376970025E-2</v>
      </c>
    </row>
    <row r="2230" spans="1:7" x14ac:dyDescent="0.35">
      <c r="A2230" t="s">
        <v>122</v>
      </c>
      <c r="E2230">
        <v>5.802064058213487E-3</v>
      </c>
      <c r="F2230">
        <f t="shared" si="74"/>
        <v>-1.7911900140219011E-2</v>
      </c>
      <c r="G2230">
        <f t="shared" si="75"/>
        <v>-3.0771560329173449E-2</v>
      </c>
    </row>
    <row r="2231" spans="1:7" x14ac:dyDescent="0.35">
      <c r="A2231" t="s">
        <v>122</v>
      </c>
      <c r="E2231">
        <v>-1.7796813164334017E-2</v>
      </c>
      <c r="F2231">
        <f t="shared" si="74"/>
        <v>-1.7911904876136846E-2</v>
      </c>
      <c r="G2231">
        <f t="shared" si="75"/>
        <v>-3.0771560329173449E-2</v>
      </c>
    </row>
    <row r="2232" spans="1:7" x14ac:dyDescent="0.35">
      <c r="A2232" t="s">
        <v>122</v>
      </c>
      <c r="E2232">
        <v>8.6804603580183399E-3</v>
      </c>
      <c r="F2232">
        <f t="shared" si="74"/>
        <v>-1.7911909612054685E-2</v>
      </c>
      <c r="G2232">
        <f t="shared" si="75"/>
        <v>-3.0771560329173449E-2</v>
      </c>
    </row>
    <row r="2233" spans="1:7" x14ac:dyDescent="0.35">
      <c r="A2233" t="s">
        <v>122</v>
      </c>
      <c r="E2233">
        <v>1.3406383099891978E-2</v>
      </c>
      <c r="F2233">
        <f t="shared" si="74"/>
        <v>-1.791191434797252E-2</v>
      </c>
      <c r="G2233">
        <f t="shared" si="75"/>
        <v>-3.0771560329173449E-2</v>
      </c>
    </row>
    <row r="2234" spans="1:7" x14ac:dyDescent="0.35">
      <c r="A2234" t="s">
        <v>122</v>
      </c>
      <c r="E2234">
        <v>8.2004092896192041E-3</v>
      </c>
      <c r="F2234">
        <f t="shared" si="74"/>
        <v>-1.7911919083890358E-2</v>
      </c>
      <c r="G2234">
        <f t="shared" si="75"/>
        <v>-3.0771560329173449E-2</v>
      </c>
    </row>
    <row r="2235" spans="1:7" x14ac:dyDescent="0.35">
      <c r="A2235" t="s">
        <v>122</v>
      </c>
      <c r="E2235">
        <v>-4.5137172140396831E-3</v>
      </c>
      <c r="F2235">
        <f t="shared" si="74"/>
        <v>-1.7911923819808193E-2</v>
      </c>
      <c r="G2235">
        <f t="shared" si="75"/>
        <v>-3.0771560329173449E-2</v>
      </c>
    </row>
    <row r="2236" spans="1:7" x14ac:dyDescent="0.35">
      <c r="A2236" t="s">
        <v>122</v>
      </c>
      <c r="E2236">
        <v>-8.3170899694465037E-3</v>
      </c>
      <c r="F2236">
        <f t="shared" si="74"/>
        <v>-1.7911928555726028E-2</v>
      </c>
      <c r="G2236">
        <f t="shared" si="75"/>
        <v>-3.0771560329173449E-2</v>
      </c>
    </row>
    <row r="2237" spans="1:7" x14ac:dyDescent="0.35">
      <c r="A2237" t="s">
        <v>122</v>
      </c>
      <c r="E2237">
        <v>-1.2756192682372569E-2</v>
      </c>
      <c r="F2237">
        <f t="shared" si="74"/>
        <v>-1.7911933291643867E-2</v>
      </c>
      <c r="G2237">
        <f t="shared" si="75"/>
        <v>-3.0771560329173449E-2</v>
      </c>
    </row>
    <row r="2238" spans="1:7" x14ac:dyDescent="0.35">
      <c r="A2238" t="s">
        <v>122</v>
      </c>
      <c r="E2238">
        <v>7.8192030850533865E-3</v>
      </c>
      <c r="F2238">
        <f t="shared" si="74"/>
        <v>-1.7911938027561702E-2</v>
      </c>
      <c r="G2238">
        <f t="shared" si="75"/>
        <v>-3.0771560329173449E-2</v>
      </c>
    </row>
    <row r="2239" spans="1:7" x14ac:dyDescent="0.35">
      <c r="A2239" t="s">
        <v>122</v>
      </c>
      <c r="E2239">
        <v>-1.9879034863303103E-2</v>
      </c>
      <c r="F2239">
        <f t="shared" si="74"/>
        <v>-1.791194276347954E-2</v>
      </c>
      <c r="G2239">
        <f t="shared" si="75"/>
        <v>-3.0771560329173449E-2</v>
      </c>
    </row>
    <row r="2240" spans="1:7" x14ac:dyDescent="0.35">
      <c r="A2240" t="s">
        <v>122</v>
      </c>
      <c r="E2240">
        <v>-4.6288551923325452E-3</v>
      </c>
      <c r="F2240">
        <f t="shared" si="74"/>
        <v>-1.7911852781040648E-2</v>
      </c>
      <c r="G2240">
        <f t="shared" si="75"/>
        <v>-3.0746659290157467E-2</v>
      </c>
    </row>
    <row r="2241" spans="1:7" x14ac:dyDescent="0.35">
      <c r="A2241" t="s">
        <v>122</v>
      </c>
      <c r="E2241">
        <v>-2.28014629924316E-2</v>
      </c>
      <c r="F2241">
        <f t="shared" si="74"/>
        <v>-1.7911857516958483E-2</v>
      </c>
      <c r="G2241">
        <f t="shared" si="75"/>
        <v>-3.0911208091556397E-2</v>
      </c>
    </row>
    <row r="2242" spans="1:7" x14ac:dyDescent="0.35">
      <c r="A2242" t="s">
        <v>122</v>
      </c>
      <c r="E2242">
        <v>1.539988672560633E-2</v>
      </c>
      <c r="F2242">
        <f t="shared" si="74"/>
        <v>-1.7860999855424262E-2</v>
      </c>
      <c r="G2242">
        <f t="shared" si="75"/>
        <v>-3.0848520781153955E-2</v>
      </c>
    </row>
    <row r="2243" spans="1:7" x14ac:dyDescent="0.35">
      <c r="A2243" t="s">
        <v>123</v>
      </c>
      <c r="B2243" s="3" cm="1">
        <f t="array" ref="B2243">_xlfn.STDEV.S(_xlfn._xlws.FILTER($E$2013:$E$3011, $A$2013:$A$3011="2019-01"))</f>
        <v>8.1570384800824149E-3</v>
      </c>
      <c r="C2243" s="3" cm="1">
        <f t="array" ref="C2243">AVERAGE(_xlfn._xlws.FILTER($E$2013:$E$3011, $A$2013:$A$3011="2019-01"))</f>
        <v>2.9172774124892374E-3</v>
      </c>
      <c r="D2243" s="3" cm="1">
        <f t="array" ref="D2243">_xlfn.PERCENTILE.EXC(_xlfn._xlws.FILTER($E$1498:$E$2489, $A$1498:$A$2489="2019-01"), 0.05)</f>
        <v>-1.2432351285923593E-2</v>
      </c>
      <c r="E2243">
        <v>6.6065707300618816E-3</v>
      </c>
      <c r="F2243">
        <f t="shared" si="74"/>
        <v>-1.7863825017958506E-2</v>
      </c>
      <c r="G2243">
        <f t="shared" si="75"/>
        <v>-3.0848520781153955E-2</v>
      </c>
    </row>
    <row r="2244" spans="1:7" x14ac:dyDescent="0.35">
      <c r="A2244" t="s">
        <v>123</v>
      </c>
      <c r="E2244">
        <v>-3.1276931543381594E-3</v>
      </c>
      <c r="F2244">
        <f t="shared" ref="F2244:F2307" si="76">_xlfn.PERCENTILE.EXC(E2244:E6059,0.05)</f>
        <v>-1.786665018049275E-2</v>
      </c>
      <c r="G2244">
        <f t="shared" ref="G2244:G2307" si="77">AVERAGEIFS(E2244:E6060,E2244:E6060,"&lt;=" &amp; F2244)</f>
        <v>-3.0848520781153955E-2</v>
      </c>
    </row>
    <row r="2245" spans="1:7" x14ac:dyDescent="0.35">
      <c r="A2245" t="s">
        <v>123</v>
      </c>
      <c r="E2245">
        <v>2.4854851940121825E-2</v>
      </c>
      <c r="F2245">
        <f t="shared" si="76"/>
        <v>-1.7869475343026995E-2</v>
      </c>
      <c r="G2245">
        <f t="shared" si="77"/>
        <v>-3.0848520781153955E-2</v>
      </c>
    </row>
    <row r="2246" spans="1:7" x14ac:dyDescent="0.35">
      <c r="A2246" t="s">
        <v>123</v>
      </c>
      <c r="E2246">
        <v>4.3964647927718318E-3</v>
      </c>
      <c r="F2246">
        <f t="shared" si="76"/>
        <v>-1.7872300505561236E-2</v>
      </c>
      <c r="G2246">
        <f t="shared" si="77"/>
        <v>-3.0848520781153955E-2</v>
      </c>
    </row>
    <row r="2247" spans="1:7" x14ac:dyDescent="0.35">
      <c r="A2247" t="s">
        <v>123</v>
      </c>
      <c r="E2247">
        <v>8.0574211990322286E-3</v>
      </c>
      <c r="F2247">
        <f t="shared" si="76"/>
        <v>-1.787512566809548E-2</v>
      </c>
      <c r="G2247">
        <f t="shared" si="77"/>
        <v>-3.0848520781153955E-2</v>
      </c>
    </row>
    <row r="2248" spans="1:7" x14ac:dyDescent="0.35">
      <c r="A2248" t="s">
        <v>123</v>
      </c>
      <c r="E2248">
        <v>-2.6823777182168056E-3</v>
      </c>
      <c r="F2248">
        <f t="shared" si="76"/>
        <v>-1.7877950830629725E-2</v>
      </c>
      <c r="G2248">
        <f t="shared" si="77"/>
        <v>-3.0848520781153955E-2</v>
      </c>
    </row>
    <row r="2249" spans="1:7" x14ac:dyDescent="0.35">
      <c r="A2249" t="s">
        <v>123</v>
      </c>
      <c r="E2249">
        <v>3.7555755550800884E-3</v>
      </c>
      <c r="F2249">
        <f t="shared" si="76"/>
        <v>-1.7880775993163969E-2</v>
      </c>
      <c r="G2249">
        <f t="shared" si="77"/>
        <v>-3.0848520781153955E-2</v>
      </c>
    </row>
    <row r="2250" spans="1:7" x14ac:dyDescent="0.35">
      <c r="A2250" t="s">
        <v>123</v>
      </c>
      <c r="E2250">
        <v>2.2894015266390977E-3</v>
      </c>
      <c r="F2250">
        <f t="shared" si="76"/>
        <v>-1.788360115569821E-2</v>
      </c>
      <c r="G2250">
        <f t="shared" si="77"/>
        <v>-3.0848520781153955E-2</v>
      </c>
    </row>
    <row r="2251" spans="1:7" x14ac:dyDescent="0.35">
      <c r="A2251" t="s">
        <v>123</v>
      </c>
      <c r="E2251">
        <v>-6.6117998287541077E-3</v>
      </c>
      <c r="F2251">
        <f t="shared" si="76"/>
        <v>-1.7886426318232455E-2</v>
      </c>
      <c r="G2251">
        <f t="shared" si="77"/>
        <v>-3.0848520781153955E-2</v>
      </c>
    </row>
    <row r="2252" spans="1:7" x14ac:dyDescent="0.35">
      <c r="A2252" t="s">
        <v>123</v>
      </c>
      <c r="E2252">
        <v>3.56563113002328E-3</v>
      </c>
      <c r="F2252">
        <f t="shared" si="76"/>
        <v>-1.7889251480766699E-2</v>
      </c>
      <c r="G2252">
        <f t="shared" si="77"/>
        <v>-3.0848520781153955E-2</v>
      </c>
    </row>
    <row r="2253" spans="1:7" x14ac:dyDescent="0.35">
      <c r="A2253" t="s">
        <v>123</v>
      </c>
      <c r="E2253">
        <v>7.0484674903112388E-3</v>
      </c>
      <c r="F2253">
        <f t="shared" si="76"/>
        <v>-1.7892076643300944E-2</v>
      </c>
      <c r="G2253">
        <f t="shared" si="77"/>
        <v>-3.0848520781153955E-2</v>
      </c>
    </row>
    <row r="2254" spans="1:7" x14ac:dyDescent="0.35">
      <c r="A2254" t="s">
        <v>123</v>
      </c>
      <c r="E2254">
        <v>-4.6012356812757092E-4</v>
      </c>
      <c r="F2254">
        <f t="shared" si="76"/>
        <v>-1.7894901805835185E-2</v>
      </c>
      <c r="G2254">
        <f t="shared" si="77"/>
        <v>-3.0848520781153955E-2</v>
      </c>
    </row>
    <row r="2255" spans="1:7" x14ac:dyDescent="0.35">
      <c r="A2255" t="s">
        <v>123</v>
      </c>
      <c r="E2255">
        <v>1.7855928665470176E-2</v>
      </c>
      <c r="F2255">
        <f t="shared" si="76"/>
        <v>-1.7897726968369429E-2</v>
      </c>
      <c r="G2255">
        <f t="shared" si="77"/>
        <v>-3.0848520781153955E-2</v>
      </c>
    </row>
    <row r="2256" spans="1:7" x14ac:dyDescent="0.35">
      <c r="A2256" t="s">
        <v>123</v>
      </c>
      <c r="E2256">
        <v>-1.6884718930133468E-3</v>
      </c>
      <c r="F2256">
        <f t="shared" si="76"/>
        <v>-1.7900552130903673E-2</v>
      </c>
      <c r="G2256">
        <f t="shared" si="77"/>
        <v>-3.0848520781153955E-2</v>
      </c>
    </row>
    <row r="2257" spans="1:7" x14ac:dyDescent="0.35">
      <c r="A2257" t="s">
        <v>123</v>
      </c>
      <c r="E2257">
        <v>-1.8019716007855039E-3</v>
      </c>
      <c r="F2257">
        <f t="shared" si="76"/>
        <v>-1.7903377293437918E-2</v>
      </c>
      <c r="G2257">
        <f t="shared" si="77"/>
        <v>-3.0848520781153955E-2</v>
      </c>
    </row>
    <row r="2258" spans="1:7" x14ac:dyDescent="0.35">
      <c r="A2258" t="s">
        <v>123</v>
      </c>
      <c r="E2258">
        <v>1.0051663653449746E-2</v>
      </c>
      <c r="F2258">
        <f t="shared" si="76"/>
        <v>-1.7906202455972159E-2</v>
      </c>
      <c r="G2258">
        <f t="shared" si="77"/>
        <v>-3.0848520781153955E-2</v>
      </c>
    </row>
    <row r="2259" spans="1:7" x14ac:dyDescent="0.35">
      <c r="A2259" t="s">
        <v>123</v>
      </c>
      <c r="E2259">
        <v>2.3196281490972695E-3</v>
      </c>
      <c r="F2259">
        <f t="shared" si="76"/>
        <v>-1.7909027618506403E-2</v>
      </c>
      <c r="G2259">
        <f t="shared" si="77"/>
        <v>-3.0848520781153955E-2</v>
      </c>
    </row>
    <row r="2260" spans="1:7" x14ac:dyDescent="0.35">
      <c r="A2260" t="s">
        <v>123</v>
      </c>
      <c r="E2260">
        <v>3.8396137751483947E-3</v>
      </c>
      <c r="F2260">
        <f t="shared" si="76"/>
        <v>-1.7911852781040648E-2</v>
      </c>
      <c r="G2260">
        <f t="shared" si="77"/>
        <v>-3.0848520781153955E-2</v>
      </c>
    </row>
    <row r="2261" spans="1:7" x14ac:dyDescent="0.35">
      <c r="A2261" t="s">
        <v>123</v>
      </c>
      <c r="E2261">
        <v>-1.3459507425424093E-2</v>
      </c>
      <c r="F2261">
        <f t="shared" si="76"/>
        <v>-1.7911857516958483E-2</v>
      </c>
      <c r="G2261">
        <f t="shared" si="77"/>
        <v>-3.1016529456480101E-2</v>
      </c>
    </row>
    <row r="2262" spans="1:7" x14ac:dyDescent="0.35">
      <c r="A2262" t="s">
        <v>123</v>
      </c>
      <c r="E2262">
        <v>6.2371293689525145E-3</v>
      </c>
      <c r="F2262">
        <f t="shared" si="76"/>
        <v>-1.7911862252876321E-2</v>
      </c>
      <c r="G2262">
        <f t="shared" si="77"/>
        <v>-3.1016529456480101E-2</v>
      </c>
    </row>
    <row r="2263" spans="1:7" x14ac:dyDescent="0.35">
      <c r="A2263" t="s">
        <v>123</v>
      </c>
      <c r="E2263">
        <v>-5.2334841780259274E-3</v>
      </c>
      <c r="F2263">
        <f t="shared" si="76"/>
        <v>-1.7911866988794156E-2</v>
      </c>
      <c r="G2263">
        <f t="shared" si="77"/>
        <v>-3.1016529456480101E-2</v>
      </c>
    </row>
    <row r="2264" spans="1:7" x14ac:dyDescent="0.35">
      <c r="A2264" t="s">
        <v>123</v>
      </c>
      <c r="E2264">
        <v>-1.6328155347108454E-3</v>
      </c>
      <c r="F2264">
        <f t="shared" si="76"/>
        <v>-1.7911871724711995E-2</v>
      </c>
      <c r="G2264">
        <f t="shared" si="77"/>
        <v>-3.1016529456480101E-2</v>
      </c>
    </row>
    <row r="2265" spans="1:7" x14ac:dyDescent="0.35">
      <c r="A2265" t="s">
        <v>124</v>
      </c>
      <c r="B2265" s="3" cm="1">
        <f t="array" ref="B2265">_xlfn.STDEV.S(_xlfn._xlws.FILTER($E$2013:$E$3011, $A$2013:$A$3011="2019-02"))</f>
        <v>7.8412353142801455E-3</v>
      </c>
      <c r="C2265" s="3" cm="1">
        <f t="array" ref="C2265">AVERAGE(_xlfn._xlws.FILTER($E$2013:$E$3011, $A$2013:$A$3011="2019-02"))</f>
        <v>1.2054427979274094E-3</v>
      </c>
      <c r="D2265" s="3" cm="1">
        <f t="array" ref="D2265">_xlfn.PERCENTILE.EXC(_xlfn._xlws.FILTER($E$1498:$E$2489, $A$1498:$A$2489="2019-02"), 0.05)</f>
        <v>-1.7584494913161983E-2</v>
      </c>
      <c r="E2265">
        <v>-4.1270022783209777E-3</v>
      </c>
      <c r="F2265">
        <f t="shared" si="76"/>
        <v>-1.791187646062983E-2</v>
      </c>
      <c r="G2265">
        <f t="shared" si="77"/>
        <v>-3.1016529456480101E-2</v>
      </c>
    </row>
    <row r="2266" spans="1:7" x14ac:dyDescent="0.35">
      <c r="A2266" t="s">
        <v>124</v>
      </c>
      <c r="E2266">
        <v>-4.9125947664310629E-3</v>
      </c>
      <c r="F2266">
        <f t="shared" si="76"/>
        <v>-1.7911881196547665E-2</v>
      </c>
      <c r="G2266">
        <f t="shared" si="77"/>
        <v>-3.1016529456480101E-2</v>
      </c>
    </row>
    <row r="2267" spans="1:7" x14ac:dyDescent="0.35">
      <c r="A2267" t="s">
        <v>124</v>
      </c>
      <c r="E2267">
        <v>1.2929687741678813E-2</v>
      </c>
      <c r="F2267">
        <f t="shared" si="76"/>
        <v>-1.7911885932465503E-2</v>
      </c>
      <c r="G2267">
        <f t="shared" si="77"/>
        <v>-3.1016529456480101E-2</v>
      </c>
    </row>
    <row r="2268" spans="1:7" x14ac:dyDescent="0.35">
      <c r="A2268" t="s">
        <v>124</v>
      </c>
      <c r="E2268">
        <v>9.7840374101748249E-4</v>
      </c>
      <c r="F2268">
        <f t="shared" si="76"/>
        <v>-1.7911890668383338E-2</v>
      </c>
      <c r="G2268">
        <f t="shared" si="77"/>
        <v>-3.1016529456480101E-2</v>
      </c>
    </row>
    <row r="2269" spans="1:7" x14ac:dyDescent="0.35">
      <c r="A2269" t="s">
        <v>124</v>
      </c>
      <c r="E2269">
        <v>-1.8027895227502522E-2</v>
      </c>
      <c r="F2269">
        <f t="shared" si="76"/>
        <v>-1.7911895404301176E-2</v>
      </c>
      <c r="G2269">
        <f t="shared" si="77"/>
        <v>-3.1016529456480101E-2</v>
      </c>
    </row>
    <row r="2270" spans="1:7" x14ac:dyDescent="0.35">
      <c r="A2270" t="s">
        <v>124</v>
      </c>
      <c r="E2270">
        <v>-9.159888940691762E-3</v>
      </c>
      <c r="F2270">
        <f t="shared" si="76"/>
        <v>-1.788360115569821E-2</v>
      </c>
      <c r="G2270">
        <f t="shared" si="77"/>
        <v>-3.1015022411720852E-2</v>
      </c>
    </row>
    <row r="2271" spans="1:7" x14ac:dyDescent="0.35">
      <c r="A2271" t="s">
        <v>124</v>
      </c>
      <c r="E2271">
        <v>8.9472979593431499E-3</v>
      </c>
      <c r="F2271">
        <f t="shared" si="76"/>
        <v>-1.7886426318232455E-2</v>
      </c>
      <c r="G2271">
        <f t="shared" si="77"/>
        <v>-3.1015022411720852E-2</v>
      </c>
    </row>
    <row r="2272" spans="1:7" x14ac:dyDescent="0.35">
      <c r="A2272" t="s">
        <v>124</v>
      </c>
      <c r="E2272">
        <v>5.2122108011286392E-3</v>
      </c>
      <c r="F2272">
        <f t="shared" si="76"/>
        <v>-1.7889251480766699E-2</v>
      </c>
      <c r="G2272">
        <f t="shared" si="77"/>
        <v>-3.1015022411720852E-2</v>
      </c>
    </row>
    <row r="2273" spans="1:7" x14ac:dyDescent="0.35">
      <c r="A2273" t="s">
        <v>124</v>
      </c>
      <c r="E2273">
        <v>-7.7927138165315697E-5</v>
      </c>
      <c r="F2273">
        <f t="shared" si="76"/>
        <v>-1.7892076643300944E-2</v>
      </c>
      <c r="G2273">
        <f t="shared" si="77"/>
        <v>-3.1015022411720852E-2</v>
      </c>
    </row>
    <row r="2274" spans="1:7" x14ac:dyDescent="0.35">
      <c r="A2274" t="s">
        <v>124</v>
      </c>
      <c r="E2274">
        <v>-3.3342842949755764E-3</v>
      </c>
      <c r="F2274">
        <f t="shared" si="76"/>
        <v>-1.7894901805835185E-2</v>
      </c>
      <c r="G2274">
        <f t="shared" si="77"/>
        <v>-3.1015022411720852E-2</v>
      </c>
    </row>
    <row r="2275" spans="1:7" x14ac:dyDescent="0.35">
      <c r="A2275" t="s">
        <v>124</v>
      </c>
      <c r="E2275">
        <v>1.8887796845765133E-2</v>
      </c>
      <c r="F2275">
        <f t="shared" si="76"/>
        <v>-1.7897726968369429E-2</v>
      </c>
      <c r="G2275">
        <f t="shared" si="77"/>
        <v>-3.1015022411720852E-2</v>
      </c>
    </row>
    <row r="2276" spans="1:7" x14ac:dyDescent="0.35">
      <c r="A2276" t="s">
        <v>124</v>
      </c>
      <c r="E2276">
        <v>3.5341718634155916E-3</v>
      </c>
      <c r="F2276">
        <f t="shared" si="76"/>
        <v>-1.7900552130903673E-2</v>
      </c>
      <c r="G2276">
        <f t="shared" si="77"/>
        <v>-3.1015022411720852E-2</v>
      </c>
    </row>
    <row r="2277" spans="1:7" x14ac:dyDescent="0.35">
      <c r="A2277" t="s">
        <v>124</v>
      </c>
      <c r="E2277">
        <v>-2.0883568072896804E-3</v>
      </c>
      <c r="F2277">
        <f t="shared" si="76"/>
        <v>-1.7903377293437918E-2</v>
      </c>
      <c r="G2277">
        <f t="shared" si="77"/>
        <v>-3.1015022411720852E-2</v>
      </c>
    </row>
    <row r="2278" spans="1:7" x14ac:dyDescent="0.35">
      <c r="A2278" t="s">
        <v>124</v>
      </c>
      <c r="E2278">
        <v>4.8805883695916472E-3</v>
      </c>
      <c r="F2278">
        <f t="shared" si="76"/>
        <v>-1.7906202455972159E-2</v>
      </c>
      <c r="G2278">
        <f t="shared" si="77"/>
        <v>-3.1015022411720852E-2</v>
      </c>
    </row>
    <row r="2279" spans="1:7" x14ac:dyDescent="0.35">
      <c r="A2279" t="s">
        <v>124</v>
      </c>
      <c r="E2279">
        <v>1.0994813950846844E-3</v>
      </c>
      <c r="F2279">
        <f t="shared" si="76"/>
        <v>-1.7909027618506403E-2</v>
      </c>
      <c r="G2279">
        <f t="shared" si="77"/>
        <v>-3.1015022411720852E-2</v>
      </c>
    </row>
    <row r="2280" spans="1:7" x14ac:dyDescent="0.35">
      <c r="A2280" t="s">
        <v>124</v>
      </c>
      <c r="E2280">
        <v>1.4568545396277078E-3</v>
      </c>
      <c r="F2280">
        <f t="shared" si="76"/>
        <v>-1.7911852781040648E-2</v>
      </c>
      <c r="G2280">
        <f t="shared" si="77"/>
        <v>-3.1015022411720852E-2</v>
      </c>
    </row>
    <row r="2281" spans="1:7" x14ac:dyDescent="0.35">
      <c r="A2281" t="s">
        <v>124</v>
      </c>
      <c r="E2281">
        <v>-3.2592930596316466E-5</v>
      </c>
      <c r="F2281">
        <f t="shared" si="76"/>
        <v>-1.7911857516958483E-2</v>
      </c>
      <c r="G2281">
        <f t="shared" si="77"/>
        <v>-3.1187432538440328E-2</v>
      </c>
    </row>
    <row r="2282" spans="1:7" x14ac:dyDescent="0.35">
      <c r="A2282" t="s">
        <v>124</v>
      </c>
      <c r="E2282">
        <v>2.4848777129618223E-3</v>
      </c>
      <c r="F2282">
        <f t="shared" si="76"/>
        <v>-1.7911862252876321E-2</v>
      </c>
      <c r="G2282">
        <f t="shared" si="77"/>
        <v>-3.1187432538440328E-2</v>
      </c>
    </row>
    <row r="2283" spans="1:7" x14ac:dyDescent="0.35">
      <c r="A2283" t="s">
        <v>124</v>
      </c>
      <c r="E2283">
        <v>-1.6812286688397242E-3</v>
      </c>
      <c r="F2283">
        <f t="shared" si="76"/>
        <v>-1.7911866988794156E-2</v>
      </c>
      <c r="G2283">
        <f t="shared" si="77"/>
        <v>-3.1187432538440328E-2</v>
      </c>
    </row>
    <row r="2284" spans="1:7" x14ac:dyDescent="0.35">
      <c r="A2284" t="s">
        <v>124</v>
      </c>
      <c r="E2284">
        <v>7.1392560417464536E-3</v>
      </c>
      <c r="F2284">
        <f t="shared" si="76"/>
        <v>-1.7911871724711995E-2</v>
      </c>
      <c r="G2284">
        <f t="shared" si="77"/>
        <v>-3.1187432538440328E-2</v>
      </c>
    </row>
    <row r="2285" spans="1:7" x14ac:dyDescent="0.35">
      <c r="A2285" t="s">
        <v>125</v>
      </c>
      <c r="B2285" s="3" cm="1">
        <f t="array" ref="B2285">_xlfn.STDEV.S(_xlfn._xlws.FILTER($E$2013:$E$3011, $A$2013:$A$3011="2019-03"))</f>
        <v>7.4138009376937559E-3</v>
      </c>
      <c r="C2285" s="3" cm="1">
        <f t="array" ref="C2285">AVERAGE(_xlfn._xlws.FILTER($E$2013:$E$3011, $A$2013:$A$3011="2019-03"))</f>
        <v>-1.92348504424608E-4</v>
      </c>
      <c r="D2285" s="3" cm="1">
        <f t="array" ref="D2285">_xlfn.PERCENTILE.EXC(_xlfn._xlws.FILTER($E$1498:$E$2489, $A$1498:$A$2489="2019-03"), 0.05)</f>
        <v>-1.6465518892408538E-2</v>
      </c>
      <c r="E2285">
        <v>-1.0784346489355657E-3</v>
      </c>
      <c r="F2285">
        <f t="shared" si="76"/>
        <v>-1.791187646062983E-2</v>
      </c>
      <c r="G2285">
        <f t="shared" si="77"/>
        <v>-3.1187432538440328E-2</v>
      </c>
    </row>
    <row r="2286" spans="1:7" x14ac:dyDescent="0.35">
      <c r="A2286" t="s">
        <v>125</v>
      </c>
      <c r="E2286">
        <v>-8.5278645027882802E-4</v>
      </c>
      <c r="F2286">
        <f t="shared" si="76"/>
        <v>-1.7911881196547665E-2</v>
      </c>
      <c r="G2286">
        <f t="shared" si="77"/>
        <v>-3.1187432538440328E-2</v>
      </c>
    </row>
    <row r="2287" spans="1:7" x14ac:dyDescent="0.35">
      <c r="A2287" t="s">
        <v>125</v>
      </c>
      <c r="E2287">
        <v>-1.7280483896529072E-4</v>
      </c>
      <c r="F2287">
        <f t="shared" si="76"/>
        <v>-1.7911885932465503E-2</v>
      </c>
      <c r="G2287">
        <f t="shared" si="77"/>
        <v>-3.1187432538440328E-2</v>
      </c>
    </row>
    <row r="2288" spans="1:7" x14ac:dyDescent="0.35">
      <c r="A2288" t="s">
        <v>125</v>
      </c>
      <c r="E2288">
        <v>4.1498531656431435E-3</v>
      </c>
      <c r="F2288">
        <f t="shared" si="76"/>
        <v>-1.7911890668383338E-2</v>
      </c>
      <c r="G2288">
        <f t="shared" si="77"/>
        <v>-3.1187432538440328E-2</v>
      </c>
    </row>
    <row r="2289" spans="1:7" x14ac:dyDescent="0.35">
      <c r="A2289" t="s">
        <v>125</v>
      </c>
      <c r="E2289">
        <v>-5.046757824295583E-3</v>
      </c>
      <c r="F2289">
        <f t="shared" si="76"/>
        <v>-1.7911895404301176E-2</v>
      </c>
      <c r="G2289">
        <f t="shared" si="77"/>
        <v>-3.1187432538440328E-2</v>
      </c>
    </row>
    <row r="2290" spans="1:7" x14ac:dyDescent="0.35">
      <c r="A2290" t="s">
        <v>125</v>
      </c>
      <c r="E2290">
        <v>-1.3123719305161975E-2</v>
      </c>
      <c r="F2290">
        <f t="shared" si="76"/>
        <v>-1.7911900140219011E-2</v>
      </c>
      <c r="G2290">
        <f t="shared" si="77"/>
        <v>-3.1187432538440328E-2</v>
      </c>
    </row>
    <row r="2291" spans="1:7" x14ac:dyDescent="0.35">
      <c r="A2291" t="s">
        <v>125</v>
      </c>
      <c r="E2291">
        <v>4.6554408388063545E-3</v>
      </c>
      <c r="F2291">
        <f t="shared" si="76"/>
        <v>-1.7911904876136846E-2</v>
      </c>
      <c r="G2291">
        <f t="shared" si="77"/>
        <v>-3.1187432538440328E-2</v>
      </c>
    </row>
    <row r="2292" spans="1:7" x14ac:dyDescent="0.35">
      <c r="A2292" t="s">
        <v>125</v>
      </c>
      <c r="E2292">
        <v>-1.1127112026450025E-3</v>
      </c>
      <c r="F2292">
        <f t="shared" si="76"/>
        <v>-1.7911909612054685E-2</v>
      </c>
      <c r="G2292">
        <f t="shared" si="77"/>
        <v>-3.1187432538440328E-2</v>
      </c>
    </row>
    <row r="2293" spans="1:7" x14ac:dyDescent="0.35">
      <c r="A2293" t="s">
        <v>125</v>
      </c>
      <c r="E2293">
        <v>3.3779398375387527E-3</v>
      </c>
      <c r="F2293">
        <f t="shared" si="76"/>
        <v>-1.791191434797252E-2</v>
      </c>
      <c r="G2293">
        <f t="shared" si="77"/>
        <v>-3.1187432538440328E-2</v>
      </c>
    </row>
    <row r="2294" spans="1:7" x14ac:dyDescent="0.35">
      <c r="A2294" t="s">
        <v>125</v>
      </c>
      <c r="E2294">
        <v>1.8584436812043754E-3</v>
      </c>
      <c r="F2294">
        <f t="shared" si="76"/>
        <v>-1.7911919083890358E-2</v>
      </c>
      <c r="G2294">
        <f t="shared" si="77"/>
        <v>-3.1187432538440328E-2</v>
      </c>
    </row>
    <row r="2295" spans="1:7" x14ac:dyDescent="0.35">
      <c r="A2295" t="s">
        <v>125</v>
      </c>
      <c r="E2295">
        <v>1.4273636037854181E-2</v>
      </c>
      <c r="F2295">
        <f t="shared" si="76"/>
        <v>-1.7911923819808193E-2</v>
      </c>
      <c r="G2295">
        <f t="shared" si="77"/>
        <v>-3.1187432538440328E-2</v>
      </c>
    </row>
    <row r="2296" spans="1:7" x14ac:dyDescent="0.35">
      <c r="A2296" t="s">
        <v>125</v>
      </c>
      <c r="E2296">
        <v>7.1355355474787786E-3</v>
      </c>
      <c r="F2296">
        <f t="shared" si="76"/>
        <v>-1.7911928555726028E-2</v>
      </c>
      <c r="G2296">
        <f t="shared" si="77"/>
        <v>-3.1187432538440328E-2</v>
      </c>
    </row>
    <row r="2297" spans="1:7" x14ac:dyDescent="0.35">
      <c r="A2297" t="s">
        <v>125</v>
      </c>
      <c r="E2297">
        <v>8.8036375464894071E-3</v>
      </c>
      <c r="F2297">
        <f t="shared" si="76"/>
        <v>-1.7911933291643867E-2</v>
      </c>
      <c r="G2297">
        <f t="shared" si="77"/>
        <v>-3.1187432538440328E-2</v>
      </c>
    </row>
    <row r="2298" spans="1:7" x14ac:dyDescent="0.35">
      <c r="A2298" t="s">
        <v>125</v>
      </c>
      <c r="E2298">
        <v>-9.1756870652564514E-3</v>
      </c>
      <c r="F2298">
        <f t="shared" si="76"/>
        <v>-1.7911938027561702E-2</v>
      </c>
      <c r="G2298">
        <f t="shared" si="77"/>
        <v>-3.1187432538440328E-2</v>
      </c>
    </row>
    <row r="2299" spans="1:7" x14ac:dyDescent="0.35">
      <c r="A2299" t="s">
        <v>125</v>
      </c>
      <c r="E2299">
        <v>-5.3301620767924919E-3</v>
      </c>
      <c r="F2299">
        <f t="shared" si="76"/>
        <v>-1.791194276347954E-2</v>
      </c>
      <c r="G2299">
        <f t="shared" si="77"/>
        <v>-3.1187432538440328E-2</v>
      </c>
    </row>
    <row r="2300" spans="1:7" x14ac:dyDescent="0.35">
      <c r="A2300" t="s">
        <v>125</v>
      </c>
      <c r="E2300">
        <v>-1.6836829957658155E-2</v>
      </c>
      <c r="F2300">
        <f t="shared" si="76"/>
        <v>-1.7911947499397375E-2</v>
      </c>
      <c r="G2300">
        <f t="shared" si="77"/>
        <v>-3.1187432538440328E-2</v>
      </c>
    </row>
    <row r="2301" spans="1:7" x14ac:dyDescent="0.35">
      <c r="A2301" t="s">
        <v>125</v>
      </c>
      <c r="E2301">
        <v>-2.1219532100638242E-3</v>
      </c>
      <c r="F2301">
        <f t="shared" si="76"/>
        <v>-1.7922459656891095E-2</v>
      </c>
      <c r="G2301">
        <f t="shared" si="77"/>
        <v>-3.1364439005627569E-2</v>
      </c>
    </row>
    <row r="2302" spans="1:7" x14ac:dyDescent="0.35">
      <c r="A2302" t="s">
        <v>125</v>
      </c>
      <c r="E2302">
        <v>3.4852693267914392E-4</v>
      </c>
      <c r="F2302">
        <f t="shared" si="76"/>
        <v>-1.7932971814384819E-2</v>
      </c>
      <c r="G2302">
        <f t="shared" si="77"/>
        <v>-3.1364439005627569E-2</v>
      </c>
    </row>
    <row r="2303" spans="1:7" x14ac:dyDescent="0.35">
      <c r="A2303" t="s">
        <v>125</v>
      </c>
      <c r="E2303">
        <v>5.083375960324708E-3</v>
      </c>
      <c r="F2303">
        <f t="shared" si="76"/>
        <v>-1.7943483971878539E-2</v>
      </c>
      <c r="G2303">
        <f t="shared" si="77"/>
        <v>-3.1364439005627569E-2</v>
      </c>
    </row>
    <row r="2304" spans="1:7" x14ac:dyDescent="0.35">
      <c r="A2304" t="s">
        <v>125</v>
      </c>
      <c r="E2304">
        <v>-5.9985183615100359E-3</v>
      </c>
      <c r="F2304">
        <f t="shared" si="76"/>
        <v>-1.7953996129372263E-2</v>
      </c>
      <c r="G2304">
        <f t="shared" si="77"/>
        <v>-3.1364439005627569E-2</v>
      </c>
    </row>
    <row r="2305" spans="1:7" x14ac:dyDescent="0.35">
      <c r="A2305" t="s">
        <v>125</v>
      </c>
      <c r="E2305">
        <v>7.124656800627592E-3</v>
      </c>
      <c r="F2305">
        <f t="shared" si="76"/>
        <v>-1.7964508286865986E-2</v>
      </c>
      <c r="G2305">
        <f t="shared" si="77"/>
        <v>-3.1364439005627569E-2</v>
      </c>
    </row>
    <row r="2306" spans="1:7" x14ac:dyDescent="0.35">
      <c r="A2306" t="s">
        <v>126</v>
      </c>
      <c r="B2306" s="3" cm="1">
        <f t="array" ref="B2306">_xlfn.STDEV.S(_xlfn._xlws.FILTER($E$2013:$E$3011, $A$2013:$A$3011="2019-04"))</f>
        <v>5.3948577004842872E-3</v>
      </c>
      <c r="C2306" s="3" cm="1">
        <f t="array" ref="C2306">AVERAGE(_xlfn._xlws.FILTER($E$2013:$E$3011, $A$2013:$A$3011="2019-04"))</f>
        <v>1.7560773382659461E-3</v>
      </c>
      <c r="D2306" s="3" cm="1">
        <f t="array" ref="D2306">_xlfn.PERCENTILE.EXC(_xlfn._xlws.FILTER($E$1498:$E$2489, $A$1498:$A$2489="2019-04"), 0.05)</f>
        <v>-7.6529148535249333E-3</v>
      </c>
      <c r="E2306">
        <v>1.0913895867387099E-2</v>
      </c>
      <c r="F2306">
        <f t="shared" si="76"/>
        <v>-1.7975020444359707E-2</v>
      </c>
      <c r="G2306">
        <f t="shared" si="77"/>
        <v>-3.1364439005627569E-2</v>
      </c>
    </row>
    <row r="2307" spans="1:7" x14ac:dyDescent="0.35">
      <c r="A2307" t="s">
        <v>126</v>
      </c>
      <c r="E2307">
        <v>2.3309036920376031E-3</v>
      </c>
      <c r="F2307">
        <f t="shared" si="76"/>
        <v>-1.798553260185343E-2</v>
      </c>
      <c r="G2307">
        <f t="shared" si="77"/>
        <v>-3.1364439005627569E-2</v>
      </c>
    </row>
    <row r="2308" spans="1:7" x14ac:dyDescent="0.35">
      <c r="A2308" t="s">
        <v>126</v>
      </c>
      <c r="E2308">
        <v>1.3187610556762763E-2</v>
      </c>
      <c r="F2308">
        <f t="shared" ref="F2308:F2371" si="78">_xlfn.PERCENTILE.EXC(E2308:E6123,0.05)</f>
        <v>-1.799604475934715E-2</v>
      </c>
      <c r="G2308">
        <f t="shared" ref="G2308:G2371" si="79">AVERAGEIFS(E2308:E6124,E2308:E6124,"&lt;=" &amp; F2308)</f>
        <v>-3.1364439005627569E-2</v>
      </c>
    </row>
    <row r="2309" spans="1:7" x14ac:dyDescent="0.35">
      <c r="A2309" t="s">
        <v>126</v>
      </c>
      <c r="E2309">
        <v>4.8680827294470775E-3</v>
      </c>
      <c r="F2309">
        <f t="shared" si="78"/>
        <v>-1.8006556916840874E-2</v>
      </c>
      <c r="G2309">
        <f t="shared" si="79"/>
        <v>-3.1364439005627569E-2</v>
      </c>
    </row>
    <row r="2310" spans="1:7" x14ac:dyDescent="0.35">
      <c r="A2310" t="s">
        <v>126</v>
      </c>
      <c r="E2310">
        <v>-2.4994237035683314E-3</v>
      </c>
      <c r="F2310">
        <f t="shared" si="78"/>
        <v>-1.8017069074334598E-2</v>
      </c>
      <c r="G2310">
        <f t="shared" si="79"/>
        <v>-3.1364439005627569E-2</v>
      </c>
    </row>
    <row r="2311" spans="1:7" x14ac:dyDescent="0.35">
      <c r="A2311" t="s">
        <v>126</v>
      </c>
      <c r="E2311">
        <v>-7.6631153974923783E-3</v>
      </c>
      <c r="F2311">
        <f t="shared" si="78"/>
        <v>-1.8027581231828318E-2</v>
      </c>
      <c r="G2311">
        <f t="shared" si="79"/>
        <v>-3.1364439005627569E-2</v>
      </c>
    </row>
    <row r="2312" spans="1:7" x14ac:dyDescent="0.35">
      <c r="A2312" t="s">
        <v>126</v>
      </c>
      <c r="E2312">
        <v>-3.1731739766704143E-3</v>
      </c>
      <c r="F2312">
        <f t="shared" si="78"/>
        <v>-1.8038093389322038E-2</v>
      </c>
      <c r="G2312">
        <f t="shared" si="79"/>
        <v>-3.1364439005627569E-2</v>
      </c>
    </row>
    <row r="2313" spans="1:7" x14ac:dyDescent="0.35">
      <c r="A2313" t="s">
        <v>126</v>
      </c>
      <c r="E2313">
        <v>-1.3819275785628357E-4</v>
      </c>
      <c r="F2313">
        <f t="shared" si="78"/>
        <v>-1.8048605546815762E-2</v>
      </c>
      <c r="G2313">
        <f t="shared" si="79"/>
        <v>-3.1364439005627569E-2</v>
      </c>
    </row>
    <row r="2314" spans="1:7" x14ac:dyDescent="0.35">
      <c r="A2314" t="s">
        <v>126</v>
      </c>
      <c r="E2314">
        <v>4.1269108376431425E-3</v>
      </c>
      <c r="F2314">
        <f t="shared" si="78"/>
        <v>-1.8059117704309485E-2</v>
      </c>
      <c r="G2314">
        <f t="shared" si="79"/>
        <v>-3.1364439005627569E-2</v>
      </c>
    </row>
    <row r="2315" spans="1:7" x14ac:dyDescent="0.35">
      <c r="A2315" t="s">
        <v>126</v>
      </c>
      <c r="E2315">
        <v>2.4426492141312751E-3</v>
      </c>
      <c r="F2315">
        <f t="shared" si="78"/>
        <v>-1.8069629861803205E-2</v>
      </c>
      <c r="G2315">
        <f t="shared" si="79"/>
        <v>-3.1364439005627569E-2</v>
      </c>
    </row>
    <row r="2316" spans="1:7" x14ac:dyDescent="0.35">
      <c r="A2316" t="s">
        <v>126</v>
      </c>
      <c r="E2316">
        <v>3.0159891254956466E-3</v>
      </c>
      <c r="F2316">
        <f t="shared" si="78"/>
        <v>-1.8080142019296929E-2</v>
      </c>
      <c r="G2316">
        <f t="shared" si="79"/>
        <v>-3.1364439005627569E-2</v>
      </c>
    </row>
    <row r="2317" spans="1:7" x14ac:dyDescent="0.35">
      <c r="A2317" t="s">
        <v>126</v>
      </c>
      <c r="E2317">
        <v>2.1058838395049526E-5</v>
      </c>
      <c r="F2317">
        <f t="shared" si="78"/>
        <v>-1.8090654176790649E-2</v>
      </c>
      <c r="G2317">
        <f t="shared" si="79"/>
        <v>-3.1364439005627569E-2</v>
      </c>
    </row>
    <row r="2318" spans="1:7" x14ac:dyDescent="0.35">
      <c r="A2318" t="s">
        <v>126</v>
      </c>
      <c r="E2318">
        <v>5.512664180252879E-3</v>
      </c>
      <c r="F2318">
        <f t="shared" si="78"/>
        <v>-1.8101166334284369E-2</v>
      </c>
      <c r="G2318">
        <f t="shared" si="79"/>
        <v>-3.1364439005627569E-2</v>
      </c>
    </row>
    <row r="2319" spans="1:7" x14ac:dyDescent="0.35">
      <c r="A2319" t="s">
        <v>126</v>
      </c>
      <c r="E2319">
        <v>3.3556903068992679E-3</v>
      </c>
      <c r="F2319">
        <f t="shared" si="78"/>
        <v>-1.8111678491778097E-2</v>
      </c>
      <c r="G2319">
        <f t="shared" si="79"/>
        <v>-3.1364439005627569E-2</v>
      </c>
    </row>
    <row r="2320" spans="1:7" x14ac:dyDescent="0.35">
      <c r="A2320" t="s">
        <v>126</v>
      </c>
      <c r="E2320">
        <v>-5.7250367002168413E-3</v>
      </c>
      <c r="F2320">
        <f t="shared" si="78"/>
        <v>-1.8122190649271817E-2</v>
      </c>
      <c r="G2320">
        <f t="shared" si="79"/>
        <v>-3.1364439005627569E-2</v>
      </c>
    </row>
    <row r="2321" spans="1:7" x14ac:dyDescent="0.35">
      <c r="A2321" t="s">
        <v>126</v>
      </c>
      <c r="E2321">
        <v>-7.4591045181434754E-3</v>
      </c>
      <c r="F2321">
        <f t="shared" si="78"/>
        <v>-1.8123027224028407E-2</v>
      </c>
      <c r="G2321">
        <f t="shared" si="79"/>
        <v>-3.1543388307740484E-2</v>
      </c>
    </row>
    <row r="2322" spans="1:7" x14ac:dyDescent="0.35">
      <c r="A2322" t="s">
        <v>126</v>
      </c>
      <c r="E2322">
        <v>4.7263454652957887E-3</v>
      </c>
      <c r="F2322">
        <f t="shared" si="78"/>
        <v>-1.8123863798784997E-2</v>
      </c>
      <c r="G2322">
        <f t="shared" si="79"/>
        <v>-3.1543388307740484E-2</v>
      </c>
    </row>
    <row r="2323" spans="1:7" x14ac:dyDescent="0.35">
      <c r="A2323" t="s">
        <v>126</v>
      </c>
      <c r="E2323">
        <v>5.0507177301636278E-4</v>
      </c>
      <c r="F2323">
        <f t="shared" si="78"/>
        <v>-1.8124700373541587E-2</v>
      </c>
      <c r="G2323">
        <f t="shared" si="79"/>
        <v>-3.1543388307740484E-2</v>
      </c>
    </row>
    <row r="2324" spans="1:7" x14ac:dyDescent="0.35">
      <c r="A2324" t="s">
        <v>126</v>
      </c>
      <c r="E2324">
        <v>1.1775097033195003E-3</v>
      </c>
      <c r="F2324">
        <f t="shared" si="78"/>
        <v>-1.8125536948298177E-2</v>
      </c>
      <c r="G2324">
        <f t="shared" si="79"/>
        <v>-3.1543388307740484E-2</v>
      </c>
    </row>
    <row r="2325" spans="1:7" x14ac:dyDescent="0.35">
      <c r="A2325" t="s">
        <v>126</v>
      </c>
      <c r="E2325">
        <v>5.5952115291832008E-3</v>
      </c>
      <c r="F2325">
        <f t="shared" si="78"/>
        <v>-1.8126373523054767E-2</v>
      </c>
      <c r="G2325">
        <f t="shared" si="79"/>
        <v>-3.1543388307740484E-2</v>
      </c>
    </row>
    <row r="2326" spans="1:7" x14ac:dyDescent="0.35">
      <c r="A2326" t="s">
        <v>127</v>
      </c>
      <c r="B2326" s="3" cm="1">
        <f t="array" ref="B2326">_xlfn.STDEV.S(_xlfn._xlws.FILTER($E$2013:$E$3011, $A$2013:$A$3011="2019-05"))</f>
        <v>9.7768369432215761E-3</v>
      </c>
      <c r="C2326" s="3" cm="1">
        <f t="array" ref="C2326">AVERAGE(_xlfn._xlws.FILTER($E$2013:$E$3011, $A$2013:$A$3011="2019-05"))</f>
        <v>-3.0502382138229102E-3</v>
      </c>
      <c r="D2326" s="3" cm="1">
        <f t="array" ref="D2326">_xlfn.PERCENTILE.EXC(_xlfn._xlws.FILTER($E$1498:$E$2489, $A$1498:$A$2489="2019-05"), 0.05)</f>
        <v>-1.8628794623571542E-2</v>
      </c>
      <c r="E2326">
        <v>-1.6051911897241217E-2</v>
      </c>
      <c r="F2326">
        <f t="shared" si="78"/>
        <v>-1.8127210097811357E-2</v>
      </c>
      <c r="G2326">
        <f t="shared" si="79"/>
        <v>-3.1543388307740484E-2</v>
      </c>
    </row>
    <row r="2327" spans="1:7" x14ac:dyDescent="0.35">
      <c r="A2327" t="s">
        <v>127</v>
      </c>
      <c r="E2327">
        <v>-9.1354280352480088E-4</v>
      </c>
      <c r="F2327">
        <f t="shared" si="78"/>
        <v>-1.8128046672567948E-2</v>
      </c>
      <c r="G2327">
        <f t="shared" si="79"/>
        <v>-3.1543388307740484E-2</v>
      </c>
    </row>
    <row r="2328" spans="1:7" x14ac:dyDescent="0.35">
      <c r="A2328" t="s">
        <v>127</v>
      </c>
      <c r="E2328">
        <v>-1.8719002760647294E-2</v>
      </c>
      <c r="F2328">
        <f t="shared" si="78"/>
        <v>-1.8128883247324538E-2</v>
      </c>
      <c r="G2328">
        <f t="shared" si="79"/>
        <v>-3.1543388307740484E-2</v>
      </c>
    </row>
    <row r="2329" spans="1:7" x14ac:dyDescent="0.35">
      <c r="A2329" t="s">
        <v>127</v>
      </c>
      <c r="E2329">
        <v>-8.7747336648843566E-4</v>
      </c>
      <c r="F2329">
        <f t="shared" si="78"/>
        <v>-1.8006556916840874E-2</v>
      </c>
      <c r="G2329">
        <f t="shared" si="79"/>
        <v>-3.153532327920839E-2</v>
      </c>
    </row>
    <row r="2330" spans="1:7" x14ac:dyDescent="0.35">
      <c r="A2330" t="s">
        <v>127</v>
      </c>
      <c r="E2330">
        <v>-1.4387166763658966E-2</v>
      </c>
      <c r="F2330">
        <f t="shared" si="78"/>
        <v>-1.8017069074334598E-2</v>
      </c>
      <c r="G2330">
        <f t="shared" si="79"/>
        <v>-3.153532327920839E-2</v>
      </c>
    </row>
    <row r="2331" spans="1:7" x14ac:dyDescent="0.35">
      <c r="A2331" t="s">
        <v>127</v>
      </c>
      <c r="E2331">
        <v>2.448841867938493E-3</v>
      </c>
      <c r="F2331">
        <f t="shared" si="78"/>
        <v>-1.8027581231828318E-2</v>
      </c>
      <c r="G2331">
        <f t="shared" si="79"/>
        <v>-3.153532327920839E-2</v>
      </c>
    </row>
    <row r="2332" spans="1:7" x14ac:dyDescent="0.35">
      <c r="A2332" t="s">
        <v>127</v>
      </c>
      <c r="E2332">
        <v>-7.7845396771788885E-3</v>
      </c>
      <c r="F2332">
        <f t="shared" si="78"/>
        <v>-1.8038093389322038E-2</v>
      </c>
      <c r="G2332">
        <f t="shared" si="79"/>
        <v>-3.153532327920839E-2</v>
      </c>
    </row>
    <row r="2333" spans="1:7" x14ac:dyDescent="0.35">
      <c r="A2333" t="s">
        <v>127</v>
      </c>
      <c r="E2333">
        <v>8.8916863666124602E-3</v>
      </c>
      <c r="F2333">
        <f t="shared" si="78"/>
        <v>-1.8048605546815762E-2</v>
      </c>
      <c r="G2333">
        <f t="shared" si="79"/>
        <v>-3.153532327920839E-2</v>
      </c>
    </row>
    <row r="2334" spans="1:7" x14ac:dyDescent="0.35">
      <c r="A2334" t="s">
        <v>127</v>
      </c>
      <c r="E2334">
        <v>5.4084601946099847E-3</v>
      </c>
      <c r="F2334">
        <f t="shared" si="78"/>
        <v>-1.8059117704309485E-2</v>
      </c>
      <c r="G2334">
        <f t="shared" si="79"/>
        <v>-3.153532327920839E-2</v>
      </c>
    </row>
    <row r="2335" spans="1:7" x14ac:dyDescent="0.35">
      <c r="A2335" t="s">
        <v>127</v>
      </c>
      <c r="E2335">
        <v>1.3765408307833222E-2</v>
      </c>
      <c r="F2335">
        <f t="shared" si="78"/>
        <v>-1.8069629861803205E-2</v>
      </c>
      <c r="G2335">
        <f t="shared" si="79"/>
        <v>-3.153532327920839E-2</v>
      </c>
    </row>
    <row r="2336" spans="1:7" x14ac:dyDescent="0.35">
      <c r="A2336" t="s">
        <v>127</v>
      </c>
      <c r="E2336">
        <v>-2.6043362904559701E-3</v>
      </c>
      <c r="F2336">
        <f t="shared" si="78"/>
        <v>-1.8080142019296929E-2</v>
      </c>
      <c r="G2336">
        <f t="shared" si="79"/>
        <v>-3.153532327920839E-2</v>
      </c>
    </row>
    <row r="2337" spans="1:7" x14ac:dyDescent="0.35">
      <c r="A2337" t="s">
        <v>127</v>
      </c>
      <c r="E2337">
        <v>-8.7014477744515716E-3</v>
      </c>
      <c r="F2337">
        <f t="shared" si="78"/>
        <v>-1.8090654176790649E-2</v>
      </c>
      <c r="G2337">
        <f t="shared" si="79"/>
        <v>-3.153532327920839E-2</v>
      </c>
    </row>
    <row r="2338" spans="1:7" x14ac:dyDescent="0.35">
      <c r="A2338" t="s">
        <v>127</v>
      </c>
      <c r="E2338">
        <v>4.2736034845817809E-3</v>
      </c>
      <c r="F2338">
        <f t="shared" si="78"/>
        <v>-1.8101166334284369E-2</v>
      </c>
      <c r="G2338">
        <f t="shared" si="79"/>
        <v>-3.153532327920839E-2</v>
      </c>
    </row>
    <row r="2339" spans="1:7" x14ac:dyDescent="0.35">
      <c r="A2339" t="s">
        <v>127</v>
      </c>
      <c r="E2339">
        <v>-7.4710500299865305E-4</v>
      </c>
      <c r="F2339">
        <f t="shared" si="78"/>
        <v>-1.8111678491778097E-2</v>
      </c>
      <c r="G2339">
        <f t="shared" si="79"/>
        <v>-3.153532327920839E-2</v>
      </c>
    </row>
    <row r="2340" spans="1:7" x14ac:dyDescent="0.35">
      <c r="A2340" t="s">
        <v>127</v>
      </c>
      <c r="E2340">
        <v>-1.2885680467559708E-2</v>
      </c>
      <c r="F2340">
        <f t="shared" si="78"/>
        <v>-1.8122190649271817E-2</v>
      </c>
      <c r="G2340">
        <f t="shared" si="79"/>
        <v>-3.153532327920839E-2</v>
      </c>
    </row>
    <row r="2341" spans="1:7" x14ac:dyDescent="0.35">
      <c r="A2341" t="s">
        <v>127</v>
      </c>
      <c r="E2341">
        <v>6.6271034183329807E-3</v>
      </c>
      <c r="F2341">
        <f t="shared" si="78"/>
        <v>-1.8123027224028407E-2</v>
      </c>
      <c r="G2341">
        <f t="shared" si="79"/>
        <v>-3.1719064822084232E-2</v>
      </c>
    </row>
    <row r="2342" spans="1:7" x14ac:dyDescent="0.35">
      <c r="A2342" t="s">
        <v>127</v>
      </c>
      <c r="E2342">
        <v>1.8729859992423306E-3</v>
      </c>
      <c r="F2342">
        <f t="shared" si="78"/>
        <v>-1.8123863798784997E-2</v>
      </c>
      <c r="G2342">
        <f t="shared" si="79"/>
        <v>-3.1719064822084232E-2</v>
      </c>
    </row>
    <row r="2343" spans="1:7" x14ac:dyDescent="0.35">
      <c r="A2343" t="s">
        <v>127</v>
      </c>
      <c r="E2343">
        <v>-1.2182525082849791E-2</v>
      </c>
      <c r="F2343">
        <f t="shared" si="78"/>
        <v>-1.8124700373541587E-2</v>
      </c>
      <c r="G2343">
        <f t="shared" si="79"/>
        <v>-3.1719064822084232E-2</v>
      </c>
    </row>
    <row r="2344" spans="1:7" x14ac:dyDescent="0.35">
      <c r="A2344" t="s">
        <v>127</v>
      </c>
      <c r="E2344">
        <v>8.4767179905780778E-3</v>
      </c>
      <c r="F2344">
        <f t="shared" si="78"/>
        <v>-1.8125536948298177E-2</v>
      </c>
      <c r="G2344">
        <f t="shared" si="79"/>
        <v>-3.1719064822084232E-2</v>
      </c>
    </row>
    <row r="2345" spans="1:7" x14ac:dyDescent="0.35">
      <c r="A2345" t="s">
        <v>127</v>
      </c>
      <c r="E2345">
        <v>-1.6914840019132234E-2</v>
      </c>
      <c r="F2345">
        <f t="shared" si="78"/>
        <v>-1.8126373523054767E-2</v>
      </c>
      <c r="G2345">
        <f t="shared" si="79"/>
        <v>-3.1719064822084232E-2</v>
      </c>
    </row>
    <row r="2346" spans="1:7" x14ac:dyDescent="0.35">
      <c r="A2346" t="s">
        <v>128</v>
      </c>
      <c r="B2346" s="3" cm="1">
        <f t="array" ref="B2346">_xlfn.STDEV.S(_xlfn._xlws.FILTER($E$2013:$E$3011, $A$2013:$A$3011="2019-06"))</f>
        <v>5.2577394571302217E-3</v>
      </c>
      <c r="C2346" s="3" cm="1">
        <f t="array" ref="C2346">AVERAGE(_xlfn._xlws.FILTER($E$2013:$E$3011, $A$2013:$A$3011="2019-06"))</f>
        <v>1.1253634535351635E-3</v>
      </c>
      <c r="D2346" s="3" cm="1">
        <f t="array" ref="D2346">_xlfn.PERCENTILE.EXC(_xlfn._xlws.FILTER($E$1498:$E$2489, $A$1498:$A$2489="2019-06"), 0.05)</f>
        <v>-6.8209738480603313E-3</v>
      </c>
      <c r="E2346">
        <v>2.0635720419825412E-3</v>
      </c>
      <c r="F2346">
        <f t="shared" si="78"/>
        <v>-1.8127210097811357E-2</v>
      </c>
      <c r="G2346">
        <f t="shared" si="79"/>
        <v>-3.1719064822084232E-2</v>
      </c>
    </row>
    <row r="2347" spans="1:7" x14ac:dyDescent="0.35">
      <c r="A2347" t="s">
        <v>128</v>
      </c>
      <c r="E2347">
        <v>1.0451904369544207E-2</v>
      </c>
      <c r="F2347">
        <f t="shared" si="78"/>
        <v>-1.8128046672567948E-2</v>
      </c>
      <c r="G2347">
        <f t="shared" si="79"/>
        <v>-3.1719064822084232E-2</v>
      </c>
    </row>
    <row r="2348" spans="1:7" x14ac:dyDescent="0.35">
      <c r="A2348" t="s">
        <v>128</v>
      </c>
      <c r="E2348">
        <v>3.6019110438114442E-3</v>
      </c>
      <c r="F2348">
        <f t="shared" si="78"/>
        <v>-1.8128883247324538E-2</v>
      </c>
      <c r="G2348">
        <f t="shared" si="79"/>
        <v>-3.1719064822084232E-2</v>
      </c>
    </row>
    <row r="2349" spans="1:7" x14ac:dyDescent="0.35">
      <c r="A2349" t="s">
        <v>128</v>
      </c>
      <c r="E2349">
        <v>2.0415188561845126E-3</v>
      </c>
      <c r="F2349">
        <f t="shared" si="78"/>
        <v>-1.8129719822081128E-2</v>
      </c>
      <c r="G2349">
        <f t="shared" si="79"/>
        <v>-3.1719064822084232E-2</v>
      </c>
    </row>
    <row r="2350" spans="1:7" x14ac:dyDescent="0.35">
      <c r="A2350" t="s">
        <v>128</v>
      </c>
      <c r="E2350">
        <v>7.2696771721720982E-3</v>
      </c>
      <c r="F2350">
        <f t="shared" si="78"/>
        <v>-1.8130556396837718E-2</v>
      </c>
      <c r="G2350">
        <f t="shared" si="79"/>
        <v>-3.1719064822084232E-2</v>
      </c>
    </row>
    <row r="2351" spans="1:7" x14ac:dyDescent="0.35">
      <c r="A2351" t="s">
        <v>128</v>
      </c>
      <c r="E2351">
        <v>4.9680956695786838E-3</v>
      </c>
      <c r="F2351">
        <f t="shared" si="78"/>
        <v>-1.8131392971594308E-2</v>
      </c>
      <c r="G2351">
        <f t="shared" si="79"/>
        <v>-3.1719064822084232E-2</v>
      </c>
    </row>
    <row r="2352" spans="1:7" x14ac:dyDescent="0.35">
      <c r="A2352" t="s">
        <v>128</v>
      </c>
      <c r="E2352">
        <v>-4.7082794880646652E-3</v>
      </c>
      <c r="F2352">
        <f t="shared" si="78"/>
        <v>-1.8132229546350898E-2</v>
      </c>
      <c r="G2352">
        <f t="shared" si="79"/>
        <v>-3.1719064822084232E-2</v>
      </c>
    </row>
    <row r="2353" spans="1:7" x14ac:dyDescent="0.35">
      <c r="A2353" t="s">
        <v>128</v>
      </c>
      <c r="E2353">
        <v>9.3045404211400395E-4</v>
      </c>
      <c r="F2353">
        <f t="shared" si="78"/>
        <v>-1.8133066121107488E-2</v>
      </c>
      <c r="G2353">
        <f t="shared" si="79"/>
        <v>-3.1719064822084232E-2</v>
      </c>
    </row>
    <row r="2354" spans="1:7" x14ac:dyDescent="0.35">
      <c r="A2354" t="s">
        <v>128</v>
      </c>
      <c r="E2354">
        <v>-5.7371383903672855E-3</v>
      </c>
      <c r="F2354">
        <f t="shared" si="78"/>
        <v>-1.8133902695864079E-2</v>
      </c>
      <c r="G2354">
        <f t="shared" si="79"/>
        <v>-3.1719064822084232E-2</v>
      </c>
    </row>
    <row r="2355" spans="1:7" x14ac:dyDescent="0.35">
      <c r="A2355" t="s">
        <v>128</v>
      </c>
      <c r="E2355">
        <v>-6.8209738480603313E-3</v>
      </c>
      <c r="F2355">
        <f t="shared" si="78"/>
        <v>-1.8134739270620669E-2</v>
      </c>
      <c r="G2355">
        <f t="shared" si="79"/>
        <v>-3.1719064822084232E-2</v>
      </c>
    </row>
    <row r="2356" spans="1:7" x14ac:dyDescent="0.35">
      <c r="A2356" t="s">
        <v>128</v>
      </c>
      <c r="E2356">
        <v>1.1865763743133341E-2</v>
      </c>
      <c r="F2356">
        <f t="shared" si="78"/>
        <v>-1.8135575845377259E-2</v>
      </c>
      <c r="G2356">
        <f t="shared" si="79"/>
        <v>-3.1719064822084232E-2</v>
      </c>
    </row>
    <row r="2357" spans="1:7" x14ac:dyDescent="0.35">
      <c r="A2357" t="s">
        <v>128</v>
      </c>
      <c r="E2357">
        <v>-1.0285894615692419E-3</v>
      </c>
      <c r="F2357">
        <f t="shared" si="78"/>
        <v>-1.8136412420133849E-2</v>
      </c>
      <c r="G2357">
        <f t="shared" si="79"/>
        <v>-3.1719064822084232E-2</v>
      </c>
    </row>
    <row r="2358" spans="1:7" x14ac:dyDescent="0.35">
      <c r="A2358" t="s">
        <v>128</v>
      </c>
      <c r="E2358">
        <v>-2.4620803447973042E-3</v>
      </c>
      <c r="F2358">
        <f t="shared" si="78"/>
        <v>-1.8137248994890439E-2</v>
      </c>
      <c r="G2358">
        <f t="shared" si="79"/>
        <v>-3.1719064822084232E-2</v>
      </c>
    </row>
    <row r="2359" spans="1:7" x14ac:dyDescent="0.35">
      <c r="A2359" t="s">
        <v>128</v>
      </c>
      <c r="E2359">
        <v>2.0286733254874264E-3</v>
      </c>
      <c r="F2359">
        <f t="shared" si="78"/>
        <v>-1.8138085569647029E-2</v>
      </c>
      <c r="G2359">
        <f t="shared" si="79"/>
        <v>-3.1719064822084232E-2</v>
      </c>
    </row>
    <row r="2360" spans="1:7" x14ac:dyDescent="0.35">
      <c r="A2360" t="s">
        <v>128</v>
      </c>
      <c r="E2360">
        <v>-3.7677096857212122E-3</v>
      </c>
      <c r="F2360">
        <f t="shared" si="78"/>
        <v>-1.8138922144403619E-2</v>
      </c>
      <c r="G2360">
        <f t="shared" si="79"/>
        <v>-3.1719064822084232E-2</v>
      </c>
    </row>
    <row r="2361" spans="1:7" x14ac:dyDescent="0.35">
      <c r="A2361" t="s">
        <v>128</v>
      </c>
      <c r="E2361">
        <v>-3.5635898067531415E-3</v>
      </c>
      <c r="F2361">
        <f t="shared" si="78"/>
        <v>-1.8150945695246182E-2</v>
      </c>
      <c r="G2361">
        <f t="shared" si="79"/>
        <v>-3.1907677914829798E-2</v>
      </c>
    </row>
    <row r="2362" spans="1:7" x14ac:dyDescent="0.35">
      <c r="A2362" t="s">
        <v>128</v>
      </c>
      <c r="E2362">
        <v>-2.6204878624830872E-4</v>
      </c>
      <c r="F2362">
        <f t="shared" si="78"/>
        <v>-1.8162969246088744E-2</v>
      </c>
      <c r="G2362">
        <f t="shared" si="79"/>
        <v>-3.1907677914829798E-2</v>
      </c>
    </row>
    <row r="2363" spans="1:7" x14ac:dyDescent="0.35">
      <c r="A2363" t="s">
        <v>128</v>
      </c>
      <c r="E2363">
        <v>-1.0488823809762632E-3</v>
      </c>
      <c r="F2363">
        <f t="shared" si="78"/>
        <v>-1.8174992796931307E-2</v>
      </c>
      <c r="G2363">
        <f t="shared" si="79"/>
        <v>-3.1907677914829798E-2</v>
      </c>
    </row>
    <row r="2364" spans="1:7" x14ac:dyDescent="0.35">
      <c r="A2364" t="s">
        <v>128</v>
      </c>
      <c r="E2364">
        <v>5.5596275457176067E-3</v>
      </c>
      <c r="F2364">
        <f t="shared" si="78"/>
        <v>-1.8187016347773872E-2</v>
      </c>
      <c r="G2364">
        <f t="shared" si="79"/>
        <v>-3.1907677914829798E-2</v>
      </c>
    </row>
    <row r="2365" spans="1:7" x14ac:dyDescent="0.35">
      <c r="A2365" t="s">
        <v>129</v>
      </c>
      <c r="B2365" s="3" cm="1">
        <f t="array" ref="B2365">_xlfn.STDEV.S(_xlfn._xlws.FILTER($E$2013:$E$3011, $A$2013:$A$3011="2019-07"))</f>
        <v>7.9264404952012792E-3</v>
      </c>
      <c r="C2365" s="3" cm="1">
        <f t="array" ref="C2365">AVERAGE(_xlfn._xlws.FILTER($E$2013:$E$3011, $A$2013:$A$3011="2019-07"))</f>
        <v>-1.0902560081688384E-3</v>
      </c>
      <c r="D2365" s="3" cm="1">
        <f t="array" ref="D2365">_xlfn.PERCENTILE.EXC(_xlfn._xlws.FILTER($E$1498:$E$2489, $A$1498:$A$2489="2019-07"), 0.05)</f>
        <v>-2.2104438204009248E-2</v>
      </c>
      <c r="E2365">
        <v>7.1276448077066687E-3</v>
      </c>
      <c r="F2365">
        <f t="shared" si="78"/>
        <v>-1.8199039898616435E-2</v>
      </c>
      <c r="G2365">
        <f t="shared" si="79"/>
        <v>-3.1907677914829798E-2</v>
      </c>
    </row>
    <row r="2366" spans="1:7" x14ac:dyDescent="0.35">
      <c r="A2366" t="s">
        <v>129</v>
      </c>
      <c r="E2366">
        <v>1.8224860944044267E-3</v>
      </c>
      <c r="F2366">
        <f t="shared" si="78"/>
        <v>-1.8211063449458997E-2</v>
      </c>
      <c r="G2366">
        <f t="shared" si="79"/>
        <v>-3.1907677914829798E-2</v>
      </c>
    </row>
    <row r="2367" spans="1:7" x14ac:dyDescent="0.35">
      <c r="A2367" t="s">
        <v>129</v>
      </c>
      <c r="E2367">
        <v>1.209059540159336E-2</v>
      </c>
      <c r="F2367">
        <f t="shared" si="78"/>
        <v>-1.822308700030156E-2</v>
      </c>
      <c r="G2367">
        <f t="shared" si="79"/>
        <v>-3.1907677914829798E-2</v>
      </c>
    </row>
    <row r="2368" spans="1:7" x14ac:dyDescent="0.35">
      <c r="A2368" t="s">
        <v>129</v>
      </c>
      <c r="E2368">
        <v>7.0229952767946824E-4</v>
      </c>
      <c r="F2368">
        <f t="shared" si="78"/>
        <v>-1.8235110551144122E-2</v>
      </c>
      <c r="G2368">
        <f t="shared" si="79"/>
        <v>-3.1907677914829798E-2</v>
      </c>
    </row>
    <row r="2369" spans="1:7" x14ac:dyDescent="0.35">
      <c r="A2369" t="s">
        <v>129</v>
      </c>
      <c r="E2369">
        <v>-7.0452896027279411E-3</v>
      </c>
      <c r="F2369">
        <f t="shared" si="78"/>
        <v>-1.8247134101986688E-2</v>
      </c>
      <c r="G2369">
        <f t="shared" si="79"/>
        <v>-3.1907677914829798E-2</v>
      </c>
    </row>
    <row r="2370" spans="1:7" x14ac:dyDescent="0.35">
      <c r="A2370" t="s">
        <v>129</v>
      </c>
      <c r="E2370">
        <v>-5.4028928887077015E-3</v>
      </c>
      <c r="F2370">
        <f t="shared" si="78"/>
        <v>-1.8259157652829254E-2</v>
      </c>
      <c r="G2370">
        <f t="shared" si="79"/>
        <v>-3.1907677914829798E-2</v>
      </c>
    </row>
    <row r="2371" spans="1:7" x14ac:dyDescent="0.35">
      <c r="A2371" t="s">
        <v>129</v>
      </c>
      <c r="E2371">
        <v>-1.1638810275730331E-3</v>
      </c>
      <c r="F2371">
        <f t="shared" si="78"/>
        <v>-1.8271181203671816E-2</v>
      </c>
      <c r="G2371">
        <f t="shared" si="79"/>
        <v>-3.1907677914829798E-2</v>
      </c>
    </row>
    <row r="2372" spans="1:7" x14ac:dyDescent="0.35">
      <c r="A2372" t="s">
        <v>129</v>
      </c>
      <c r="E2372">
        <v>-2.2669871746500256E-3</v>
      </c>
      <c r="F2372">
        <f t="shared" ref="F2372:F2435" si="80">_xlfn.PERCENTILE.EXC(E2372:E6187,0.05)</f>
        <v>-1.8283204754514379E-2</v>
      </c>
      <c r="G2372">
        <f t="shared" ref="G2372:G2435" si="81">AVERAGEIFS(E2372:E6188,E2372:E6188,"&lt;=" &amp; F2372)</f>
        <v>-3.1907677914829798E-2</v>
      </c>
    </row>
    <row r="2373" spans="1:7" x14ac:dyDescent="0.35">
      <c r="A2373" t="s">
        <v>129</v>
      </c>
      <c r="E2373">
        <v>2.9568579590357061E-3</v>
      </c>
      <c r="F2373">
        <f t="shared" si="80"/>
        <v>-1.8295228305356941E-2</v>
      </c>
      <c r="G2373">
        <f t="shared" si="81"/>
        <v>-3.1907677914829798E-2</v>
      </c>
    </row>
    <row r="2374" spans="1:7" x14ac:dyDescent="0.35">
      <c r="A2374" t="s">
        <v>129</v>
      </c>
      <c r="E2374">
        <v>1.3890760572049831E-3</v>
      </c>
      <c r="F2374">
        <f t="shared" si="80"/>
        <v>-1.8307251856199507E-2</v>
      </c>
      <c r="G2374">
        <f t="shared" si="81"/>
        <v>-3.1907677914829798E-2</v>
      </c>
    </row>
    <row r="2375" spans="1:7" x14ac:dyDescent="0.35">
      <c r="A2375" t="s">
        <v>129</v>
      </c>
      <c r="E2375">
        <v>3.2658702913817019E-3</v>
      </c>
      <c r="F2375">
        <f t="shared" si="80"/>
        <v>-1.831927540704207E-2</v>
      </c>
      <c r="G2375">
        <f t="shared" si="81"/>
        <v>-3.1907677914829798E-2</v>
      </c>
    </row>
    <row r="2376" spans="1:7" x14ac:dyDescent="0.35">
      <c r="A2376" t="s">
        <v>129</v>
      </c>
      <c r="E2376">
        <v>5.7217265618428534E-3</v>
      </c>
      <c r="F2376">
        <f t="shared" si="80"/>
        <v>-1.8331298957884632E-2</v>
      </c>
      <c r="G2376">
        <f t="shared" si="81"/>
        <v>-3.1907677914829798E-2</v>
      </c>
    </row>
    <row r="2377" spans="1:7" x14ac:dyDescent="0.35">
      <c r="A2377" t="s">
        <v>129</v>
      </c>
      <c r="E2377">
        <v>-9.9565161534606438E-3</v>
      </c>
      <c r="F2377">
        <f t="shared" si="80"/>
        <v>-1.8343322508727194E-2</v>
      </c>
      <c r="G2377">
        <f t="shared" si="81"/>
        <v>-3.1907677914829798E-2</v>
      </c>
    </row>
    <row r="2378" spans="1:7" x14ac:dyDescent="0.35">
      <c r="A2378" t="s">
        <v>129</v>
      </c>
      <c r="E2378">
        <v>-6.3209628121603254E-3</v>
      </c>
      <c r="F2378">
        <f t="shared" si="80"/>
        <v>-1.8355346059569757E-2</v>
      </c>
      <c r="G2378">
        <f t="shared" si="81"/>
        <v>-3.1907677914829798E-2</v>
      </c>
    </row>
    <row r="2379" spans="1:7" x14ac:dyDescent="0.35">
      <c r="A2379" t="s">
        <v>129</v>
      </c>
      <c r="E2379">
        <v>-6.0012573976491648E-3</v>
      </c>
      <c r="F2379">
        <f t="shared" si="80"/>
        <v>-1.8367369610412323E-2</v>
      </c>
      <c r="G2379">
        <f t="shared" si="81"/>
        <v>-3.1907677914829798E-2</v>
      </c>
    </row>
    <row r="2380" spans="1:7" x14ac:dyDescent="0.35">
      <c r="A2380" t="s">
        <v>129</v>
      </c>
      <c r="E2380">
        <v>-7.6360863315594774E-4</v>
      </c>
      <c r="F2380">
        <f t="shared" si="80"/>
        <v>-1.8379393161254885E-2</v>
      </c>
      <c r="G2380">
        <f t="shared" si="81"/>
        <v>-3.1907677914829798E-2</v>
      </c>
    </row>
    <row r="2381" spans="1:7" x14ac:dyDescent="0.35">
      <c r="A2381" t="s">
        <v>129</v>
      </c>
      <c r="E2381">
        <v>1.2805743953868652E-2</v>
      </c>
      <c r="F2381">
        <f t="shared" si="80"/>
        <v>-1.8385490778535379E-2</v>
      </c>
      <c r="G2381">
        <f t="shared" si="81"/>
        <v>-3.2098217136711134E-2</v>
      </c>
    </row>
    <row r="2382" spans="1:7" x14ac:dyDescent="0.35">
      <c r="A2382" t="s">
        <v>129</v>
      </c>
      <c r="E2382">
        <v>5.1689142717917256E-3</v>
      </c>
      <c r="F2382">
        <f t="shared" si="80"/>
        <v>-1.8391588395815874E-2</v>
      </c>
      <c r="G2382">
        <f t="shared" si="81"/>
        <v>-3.2098217136711134E-2</v>
      </c>
    </row>
    <row r="2383" spans="1:7" x14ac:dyDescent="0.35">
      <c r="A2383" t="s">
        <v>129</v>
      </c>
      <c r="E2383">
        <v>-4.275071496290566E-3</v>
      </c>
      <c r="F2383">
        <f t="shared" si="80"/>
        <v>-1.8397686013096371E-2</v>
      </c>
      <c r="G2383">
        <f t="shared" si="81"/>
        <v>-3.2098217136711134E-2</v>
      </c>
    </row>
    <row r="2384" spans="1:7" x14ac:dyDescent="0.35">
      <c r="A2384" t="s">
        <v>129</v>
      </c>
      <c r="E2384">
        <v>-6.956399505363968E-3</v>
      </c>
      <c r="F2384">
        <f t="shared" si="80"/>
        <v>-1.8403783630376869E-2</v>
      </c>
      <c r="G2384">
        <f t="shared" si="81"/>
        <v>-3.2098217136711134E-2</v>
      </c>
    </row>
    <row r="2385" spans="1:7" x14ac:dyDescent="0.35">
      <c r="A2385" t="s">
        <v>129</v>
      </c>
      <c r="E2385">
        <v>-1.0953913322995243E-3</v>
      </c>
      <c r="F2385">
        <f t="shared" si="80"/>
        <v>-1.8409881247657363E-2</v>
      </c>
      <c r="G2385">
        <f t="shared" si="81"/>
        <v>-3.2098217136711134E-2</v>
      </c>
    </row>
    <row r="2386" spans="1:7" x14ac:dyDescent="0.35">
      <c r="A2386" t="s">
        <v>129</v>
      </c>
      <c r="E2386">
        <v>-2.5141418716646401E-2</v>
      </c>
      <c r="F2386">
        <f t="shared" si="80"/>
        <v>-1.8415978864937857E-2</v>
      </c>
      <c r="G2386">
        <f t="shared" si="81"/>
        <v>-3.2098217136711134E-2</v>
      </c>
    </row>
    <row r="2387" spans="1:7" x14ac:dyDescent="0.35">
      <c r="A2387" t="s">
        <v>129</v>
      </c>
      <c r="E2387">
        <v>-1.7374263737075842E-3</v>
      </c>
      <c r="F2387">
        <f t="shared" si="80"/>
        <v>-1.822308700030156E-2</v>
      </c>
      <c r="G2387">
        <f t="shared" si="81"/>
        <v>-3.2002977340156322E-2</v>
      </c>
    </row>
    <row r="2388" spans="1:7" x14ac:dyDescent="0.35">
      <c r="A2388" t="s">
        <v>130</v>
      </c>
      <c r="B2388" s="3" cm="1">
        <f t="array" ref="B2388">_xlfn.STDEV.S(_xlfn._xlws.FILTER($E$2013:$E$3011, $A$2013:$A$3011="2019-08"))</f>
        <v>1.0821735351736878E-2</v>
      </c>
      <c r="C2388" s="3" cm="1">
        <f t="array" ref="C2388">AVERAGE(_xlfn._xlws.FILTER($E$2013:$E$3011, $A$2013:$A$3011="2019-08"))</f>
        <v>-8.8902976989677985E-4</v>
      </c>
      <c r="D2388" s="3" cm="1">
        <f t="array" ref="D2388">_xlfn.PERCENTILE.EXC(_xlfn._xlws.FILTER($E$1498:$E$2489, $A$1498:$A$2489="2019-08"), 0.05)</f>
        <v>-1.980905683199671E-2</v>
      </c>
      <c r="E2388">
        <v>7.4628869566587784E-3</v>
      </c>
      <c r="F2388">
        <f t="shared" si="80"/>
        <v>-1.8235110551144122E-2</v>
      </c>
      <c r="G2388">
        <f t="shared" si="81"/>
        <v>-3.2002977340156322E-2</v>
      </c>
    </row>
    <row r="2389" spans="1:7" x14ac:dyDescent="0.35">
      <c r="A2389" t="s">
        <v>130</v>
      </c>
      <c r="E2389">
        <v>-1.5678462082642664E-2</v>
      </c>
      <c r="F2389">
        <f t="shared" si="80"/>
        <v>-1.8247134101986688E-2</v>
      </c>
      <c r="G2389">
        <f t="shared" si="81"/>
        <v>-3.2002977340156322E-2</v>
      </c>
    </row>
    <row r="2390" spans="1:7" x14ac:dyDescent="0.35">
      <c r="A2390" t="s">
        <v>130</v>
      </c>
      <c r="E2390">
        <v>-1.3624127271585025E-2</v>
      </c>
      <c r="F2390">
        <f t="shared" si="80"/>
        <v>-1.8259157652829254E-2</v>
      </c>
      <c r="G2390">
        <f t="shared" si="81"/>
        <v>-3.2002977340156322E-2</v>
      </c>
    </row>
    <row r="2391" spans="1:7" x14ac:dyDescent="0.35">
      <c r="A2391" t="s">
        <v>130</v>
      </c>
      <c r="E2391">
        <v>-8.9033924145114941E-3</v>
      </c>
      <c r="F2391">
        <f t="shared" si="80"/>
        <v>-1.8271181203671816E-2</v>
      </c>
      <c r="G2391">
        <f t="shared" si="81"/>
        <v>-3.2002977340156322E-2</v>
      </c>
    </row>
    <row r="2392" spans="1:7" x14ac:dyDescent="0.35">
      <c r="A2392" t="s">
        <v>130</v>
      </c>
      <c r="E2392">
        <v>5.3538289586052574E-3</v>
      </c>
      <c r="F2392">
        <f t="shared" si="80"/>
        <v>-1.8283204754514379E-2</v>
      </c>
      <c r="G2392">
        <f t="shared" si="81"/>
        <v>-3.2002977340156322E-2</v>
      </c>
    </row>
    <row r="2393" spans="1:7" x14ac:dyDescent="0.35">
      <c r="A2393" t="s">
        <v>130</v>
      </c>
      <c r="E2393">
        <v>1.3954163670643888E-2</v>
      </c>
      <c r="F2393">
        <f t="shared" si="80"/>
        <v>-1.8295228305356941E-2</v>
      </c>
      <c r="G2393">
        <f t="shared" si="81"/>
        <v>-3.2002977340156322E-2</v>
      </c>
    </row>
    <row r="2394" spans="1:7" x14ac:dyDescent="0.35">
      <c r="A2394" t="s">
        <v>130</v>
      </c>
      <c r="E2394">
        <v>-1.2617318539847449E-2</v>
      </c>
      <c r="F2394">
        <f t="shared" si="80"/>
        <v>-1.8307251856199507E-2</v>
      </c>
      <c r="G2394">
        <f t="shared" si="81"/>
        <v>-3.2002977340156322E-2</v>
      </c>
    </row>
    <row r="2395" spans="1:7" x14ac:dyDescent="0.35">
      <c r="A2395" t="s">
        <v>130</v>
      </c>
      <c r="E2395">
        <v>-9.3380357571239674E-3</v>
      </c>
      <c r="F2395">
        <f t="shared" si="80"/>
        <v>-1.831927540704207E-2</v>
      </c>
      <c r="G2395">
        <f t="shared" si="81"/>
        <v>-3.2002977340156322E-2</v>
      </c>
    </row>
    <row r="2396" spans="1:7" x14ac:dyDescent="0.35">
      <c r="A2396" t="s">
        <v>130</v>
      </c>
      <c r="E2396">
        <v>2.1529525053327102E-3</v>
      </c>
      <c r="F2396">
        <f t="shared" si="80"/>
        <v>-1.8331298957884632E-2</v>
      </c>
      <c r="G2396">
        <f t="shared" si="81"/>
        <v>-3.2002977340156322E-2</v>
      </c>
    </row>
    <row r="2397" spans="1:7" x14ac:dyDescent="0.35">
      <c r="A2397" t="s">
        <v>130</v>
      </c>
      <c r="E2397">
        <v>-2.0026456555646922E-2</v>
      </c>
      <c r="F2397">
        <f t="shared" si="80"/>
        <v>-1.8343322508727194E-2</v>
      </c>
      <c r="G2397">
        <f t="shared" si="81"/>
        <v>-3.2002977340156322E-2</v>
      </c>
    </row>
    <row r="2398" spans="1:7" x14ac:dyDescent="0.35">
      <c r="A2398" t="s">
        <v>130</v>
      </c>
      <c r="E2398">
        <v>1.7181733782682916E-2</v>
      </c>
      <c r="F2398">
        <f t="shared" si="80"/>
        <v>-1.8137248994890439E-2</v>
      </c>
      <c r="G2398">
        <f t="shared" si="81"/>
        <v>-3.1976392348448672E-2</v>
      </c>
    </row>
    <row r="2399" spans="1:7" x14ac:dyDescent="0.35">
      <c r="A2399" t="s">
        <v>130</v>
      </c>
      <c r="E2399">
        <v>7.228379468051568E-3</v>
      </c>
      <c r="F2399">
        <f t="shared" si="80"/>
        <v>-1.8138085569647029E-2</v>
      </c>
      <c r="G2399">
        <f t="shared" si="81"/>
        <v>-3.1976392348448672E-2</v>
      </c>
    </row>
    <row r="2400" spans="1:7" x14ac:dyDescent="0.35">
      <c r="A2400" t="s">
        <v>130</v>
      </c>
      <c r="E2400">
        <v>-1.3255455849013428E-2</v>
      </c>
      <c r="F2400">
        <f t="shared" si="80"/>
        <v>-1.8138922144403619E-2</v>
      </c>
      <c r="G2400">
        <f t="shared" si="81"/>
        <v>-3.1976392348448672E-2</v>
      </c>
    </row>
    <row r="2401" spans="1:7" x14ac:dyDescent="0.35">
      <c r="A2401" t="s">
        <v>130</v>
      </c>
      <c r="E2401">
        <v>9.6075751433408914E-3</v>
      </c>
      <c r="F2401">
        <f t="shared" si="80"/>
        <v>-1.8150945695246182E-2</v>
      </c>
      <c r="G2401">
        <f t="shared" si="81"/>
        <v>-3.217407049422074E-2</v>
      </c>
    </row>
    <row r="2402" spans="1:7" x14ac:dyDescent="0.35">
      <c r="A2402" t="s">
        <v>130</v>
      </c>
      <c r="E2402">
        <v>1.7108840485376667E-3</v>
      </c>
      <c r="F2402">
        <f t="shared" si="80"/>
        <v>-1.8162969246088744E-2</v>
      </c>
      <c r="G2402">
        <f t="shared" si="81"/>
        <v>-3.217407049422074E-2</v>
      </c>
    </row>
    <row r="2403" spans="1:7" x14ac:dyDescent="0.35">
      <c r="A2403" t="s">
        <v>130</v>
      </c>
      <c r="E2403">
        <v>-7.7047928357343032E-3</v>
      </c>
      <c r="F2403">
        <f t="shared" si="80"/>
        <v>-1.8174992796931307E-2</v>
      </c>
      <c r="G2403">
        <f t="shared" si="81"/>
        <v>-3.217407049422074E-2</v>
      </c>
    </row>
    <row r="2404" spans="1:7" x14ac:dyDescent="0.35">
      <c r="A2404" t="s">
        <v>130</v>
      </c>
      <c r="E2404">
        <v>9.1378438167095104E-3</v>
      </c>
      <c r="F2404">
        <f t="shared" si="80"/>
        <v>-1.8187016347773872E-2</v>
      </c>
      <c r="G2404">
        <f t="shared" si="81"/>
        <v>-3.217407049422074E-2</v>
      </c>
    </row>
    <row r="2405" spans="1:7" x14ac:dyDescent="0.35">
      <c r="A2405" t="s">
        <v>130</v>
      </c>
      <c r="E2405">
        <v>2.0828572419028719E-3</v>
      </c>
      <c r="F2405">
        <f t="shared" si="80"/>
        <v>-1.8199039898616435E-2</v>
      </c>
      <c r="G2405">
        <f t="shared" si="81"/>
        <v>-3.217407049422074E-2</v>
      </c>
    </row>
    <row r="2406" spans="1:7" x14ac:dyDescent="0.35">
      <c r="A2406" t="s">
        <v>130</v>
      </c>
      <c r="E2406">
        <v>5.3815674819874841E-3</v>
      </c>
      <c r="F2406">
        <f t="shared" si="80"/>
        <v>-1.8211063449458997E-2</v>
      </c>
      <c r="G2406">
        <f t="shared" si="81"/>
        <v>-3.217407049422074E-2</v>
      </c>
    </row>
    <row r="2407" spans="1:7" x14ac:dyDescent="0.35">
      <c r="A2407" t="s">
        <v>130</v>
      </c>
      <c r="E2407">
        <v>2.1127728337161106E-3</v>
      </c>
      <c r="F2407">
        <f t="shared" si="80"/>
        <v>-1.822308700030156E-2</v>
      </c>
      <c r="G2407">
        <f t="shared" si="81"/>
        <v>-3.217407049422074E-2</v>
      </c>
    </row>
    <row r="2408" spans="1:7" x14ac:dyDescent="0.35">
      <c r="A2408" t="s">
        <v>131</v>
      </c>
      <c r="B2408" s="3" cm="1">
        <f t="array" ref="B2408">_xlfn.STDEV.S(_xlfn._xlws.FILTER($E$2013:$E$3011, $A$2013:$A$3011="2019-09"))</f>
        <v>6.1332889793965506E-3</v>
      </c>
      <c r="C2408" s="3" cm="1">
        <f t="array" ref="C2408">AVERAGE(_xlfn._xlws.FILTER($E$2013:$E$3011, $A$2013:$A$3011="2019-09"))</f>
        <v>2.2772876234875431E-3</v>
      </c>
      <c r="D2408" s="3" cm="1">
        <f t="array" ref="D2408">_xlfn.PERCENTILE.EXC(_xlfn._xlws.FILTER($E$1498:$E$2489, $A$1498:$A$2489="2019-09"), 0.05)</f>
        <v>-9.4351244813064717E-3</v>
      </c>
      <c r="E2408">
        <v>2.9497855946688557E-4</v>
      </c>
      <c r="F2408">
        <f t="shared" si="80"/>
        <v>-1.8235110551144122E-2</v>
      </c>
      <c r="G2408">
        <f t="shared" si="81"/>
        <v>-3.217407049422074E-2</v>
      </c>
    </row>
    <row r="2409" spans="1:7" x14ac:dyDescent="0.35">
      <c r="A2409" t="s">
        <v>131</v>
      </c>
      <c r="E2409">
        <v>-7.1490581607875335E-4</v>
      </c>
      <c r="F2409">
        <f t="shared" si="80"/>
        <v>-1.8247134101986688E-2</v>
      </c>
      <c r="G2409">
        <f t="shared" si="81"/>
        <v>-3.217407049422074E-2</v>
      </c>
    </row>
    <row r="2410" spans="1:7" x14ac:dyDescent="0.35">
      <c r="A2410" t="s">
        <v>131</v>
      </c>
      <c r="E2410">
        <v>5.3663138662700784E-3</v>
      </c>
      <c r="F2410">
        <f t="shared" si="80"/>
        <v>-1.8259157652829254E-2</v>
      </c>
      <c r="G2410">
        <f t="shared" si="81"/>
        <v>-3.217407049422074E-2</v>
      </c>
    </row>
    <row r="2411" spans="1:7" x14ac:dyDescent="0.35">
      <c r="A2411" t="s">
        <v>131</v>
      </c>
      <c r="E2411">
        <v>1.5250193307636734E-2</v>
      </c>
      <c r="F2411">
        <f t="shared" si="80"/>
        <v>-1.8271181203671816E-2</v>
      </c>
      <c r="G2411">
        <f t="shared" si="81"/>
        <v>-3.217407049422074E-2</v>
      </c>
    </row>
    <row r="2412" spans="1:7" x14ac:dyDescent="0.35">
      <c r="A2412" t="s">
        <v>131</v>
      </c>
      <c r="E2412">
        <v>-2.8916520431939487E-4</v>
      </c>
      <c r="F2412">
        <f t="shared" si="80"/>
        <v>-1.8283204754514379E-2</v>
      </c>
      <c r="G2412">
        <f t="shared" si="81"/>
        <v>-3.217407049422074E-2</v>
      </c>
    </row>
    <row r="2413" spans="1:7" x14ac:dyDescent="0.35">
      <c r="A2413" t="s">
        <v>131</v>
      </c>
      <c r="E2413">
        <v>2.2776901856722512E-3</v>
      </c>
      <c r="F2413">
        <f t="shared" si="80"/>
        <v>-1.8295228305356941E-2</v>
      </c>
      <c r="G2413">
        <f t="shared" si="81"/>
        <v>-3.217407049422074E-2</v>
      </c>
    </row>
    <row r="2414" spans="1:7" x14ac:dyDescent="0.35">
      <c r="A2414" t="s">
        <v>131</v>
      </c>
      <c r="E2414">
        <v>7.4742729981539906E-3</v>
      </c>
      <c r="F2414">
        <f t="shared" si="80"/>
        <v>-1.8307251856199507E-2</v>
      </c>
      <c r="G2414">
        <f t="shared" si="81"/>
        <v>-3.217407049422074E-2</v>
      </c>
    </row>
    <row r="2415" spans="1:7" x14ac:dyDescent="0.35">
      <c r="A2415" t="s">
        <v>131</v>
      </c>
      <c r="E2415">
        <v>-2.0620041819874617E-3</v>
      </c>
      <c r="F2415">
        <f t="shared" si="80"/>
        <v>-1.831927540704207E-2</v>
      </c>
      <c r="G2415">
        <f t="shared" si="81"/>
        <v>-3.217407049422074E-2</v>
      </c>
    </row>
    <row r="2416" spans="1:7" x14ac:dyDescent="0.35">
      <c r="A2416" t="s">
        <v>131</v>
      </c>
      <c r="E2416">
        <v>2.5135336079016072E-3</v>
      </c>
      <c r="F2416">
        <f t="shared" si="80"/>
        <v>-1.8331298957884632E-2</v>
      </c>
      <c r="G2416">
        <f t="shared" si="81"/>
        <v>-3.217407049422074E-2</v>
      </c>
    </row>
    <row r="2417" spans="1:7" x14ac:dyDescent="0.35">
      <c r="A2417" t="s">
        <v>131</v>
      </c>
      <c r="E2417">
        <v>6.1031352656391149E-3</v>
      </c>
      <c r="F2417">
        <f t="shared" si="80"/>
        <v>-1.8343322508727194E-2</v>
      </c>
      <c r="G2417">
        <f t="shared" si="81"/>
        <v>-3.217407049422074E-2</v>
      </c>
    </row>
    <row r="2418" spans="1:7" x14ac:dyDescent="0.35">
      <c r="A2418" t="s">
        <v>131</v>
      </c>
      <c r="E2418">
        <v>-9.4448719962749485E-3</v>
      </c>
      <c r="F2418">
        <f t="shared" si="80"/>
        <v>-1.8355346059569757E-2</v>
      </c>
      <c r="G2418">
        <f t="shared" si="81"/>
        <v>-3.217407049422074E-2</v>
      </c>
    </row>
    <row r="2419" spans="1:7" x14ac:dyDescent="0.35">
      <c r="A2419" t="s">
        <v>131</v>
      </c>
      <c r="E2419">
        <v>-5.2945926234290062E-3</v>
      </c>
      <c r="F2419">
        <f t="shared" si="80"/>
        <v>-1.8367369610412323E-2</v>
      </c>
      <c r="G2419">
        <f t="shared" si="81"/>
        <v>-3.217407049422074E-2</v>
      </c>
    </row>
    <row r="2420" spans="1:7" x14ac:dyDescent="0.35">
      <c r="A2420" t="s">
        <v>131</v>
      </c>
      <c r="E2420">
        <v>3.0494759131399103E-3</v>
      </c>
      <c r="F2420">
        <f t="shared" si="80"/>
        <v>-1.8379393161254885E-2</v>
      </c>
      <c r="G2420">
        <f t="shared" si="81"/>
        <v>-3.217407049422074E-2</v>
      </c>
    </row>
    <row r="2421" spans="1:7" x14ac:dyDescent="0.35">
      <c r="A2421" t="s">
        <v>131</v>
      </c>
      <c r="E2421">
        <v>1.1482041852652445E-2</v>
      </c>
      <c r="F2421">
        <f t="shared" si="80"/>
        <v>-1.8385490778535379E-2</v>
      </c>
      <c r="G2421">
        <f t="shared" si="81"/>
        <v>-3.2373993354118794E-2</v>
      </c>
    </row>
    <row r="2422" spans="1:7" x14ac:dyDescent="0.35">
      <c r="A2422" t="s">
        <v>131</v>
      </c>
      <c r="E2422">
        <v>4.6956133232994302E-3</v>
      </c>
      <c r="F2422">
        <f t="shared" si="80"/>
        <v>-1.8391588395815874E-2</v>
      </c>
      <c r="G2422">
        <f t="shared" si="81"/>
        <v>-3.2373993354118794E-2</v>
      </c>
    </row>
    <row r="2423" spans="1:7" x14ac:dyDescent="0.35">
      <c r="A2423" t="s">
        <v>131</v>
      </c>
      <c r="E2423">
        <v>-9.3473968465901894E-3</v>
      </c>
      <c r="F2423">
        <f t="shared" si="80"/>
        <v>-1.8397686013096371E-2</v>
      </c>
      <c r="G2423">
        <f t="shared" si="81"/>
        <v>-3.2373993354118794E-2</v>
      </c>
    </row>
    <row r="2424" spans="1:7" x14ac:dyDescent="0.35">
      <c r="A2424" t="s">
        <v>131</v>
      </c>
      <c r="E2424">
        <v>2.7015467951137444E-3</v>
      </c>
      <c r="F2424">
        <f t="shared" si="80"/>
        <v>-1.8403783630376869E-2</v>
      </c>
      <c r="G2424">
        <f t="shared" si="81"/>
        <v>-3.2373993354118794E-2</v>
      </c>
    </row>
    <row r="2425" spans="1:7" x14ac:dyDescent="0.35">
      <c r="A2425" t="s">
        <v>131</v>
      </c>
      <c r="E2425">
        <v>-3.6146934185880657E-3</v>
      </c>
      <c r="F2425">
        <f t="shared" si="80"/>
        <v>-1.8409881247657363E-2</v>
      </c>
      <c r="G2425">
        <f t="shared" si="81"/>
        <v>-3.2373993354118794E-2</v>
      </c>
    </row>
    <row r="2426" spans="1:7" x14ac:dyDescent="0.35">
      <c r="A2426" t="s">
        <v>131</v>
      </c>
      <c r="E2426">
        <v>4.875112592570988E-3</v>
      </c>
      <c r="F2426">
        <f t="shared" si="80"/>
        <v>-1.8415978864937857E-2</v>
      </c>
      <c r="G2426">
        <f t="shared" si="81"/>
        <v>-3.2373993354118794E-2</v>
      </c>
    </row>
    <row r="2427" spans="1:7" x14ac:dyDescent="0.35">
      <c r="A2427" t="s">
        <v>131</v>
      </c>
      <c r="E2427">
        <v>5.940892660213061E-3</v>
      </c>
      <c r="F2427">
        <f t="shared" si="80"/>
        <v>-1.8422076482218351E-2</v>
      </c>
      <c r="G2427">
        <f t="shared" si="81"/>
        <v>-3.2373993354118794E-2</v>
      </c>
    </row>
    <row r="2428" spans="1:7" x14ac:dyDescent="0.35">
      <c r="A2428" t="s">
        <v>131</v>
      </c>
      <c r="E2428">
        <v>6.5658692527759835E-3</v>
      </c>
      <c r="F2428">
        <f t="shared" si="80"/>
        <v>-1.8428174099498845E-2</v>
      </c>
      <c r="G2428">
        <f t="shared" si="81"/>
        <v>-3.2373993354118794E-2</v>
      </c>
    </row>
    <row r="2429" spans="1:7" x14ac:dyDescent="0.35">
      <c r="A2429" t="s">
        <v>132</v>
      </c>
      <c r="B2429" s="3" cm="1">
        <f t="array" ref="B2429">_xlfn.STDEV.S(_xlfn._xlws.FILTER($E$2013:$E$3011, $A$2013:$A$3011="2019-10"))</f>
        <v>9.9472537539794046E-3</v>
      </c>
      <c r="C2429" s="3" cm="1">
        <f t="array" ref="C2429">AVERAGE(_xlfn._xlws.FILTER($E$2013:$E$3011, $A$2013:$A$3011="2019-10"))</f>
        <v>6.3383478780958482E-5</v>
      </c>
      <c r="D2429" s="3" cm="1">
        <f t="array" ref="D2429">_xlfn.PERCENTILE.EXC(_xlfn._xlws.FILTER($E$1498:$E$2489, $A$1498:$A$2489="2019-10"), 0.05)</f>
        <v>-2.5714706493313668E-2</v>
      </c>
      <c r="E2429">
        <v>-8.5495211293855587E-3</v>
      </c>
      <c r="F2429">
        <f t="shared" si="80"/>
        <v>-1.8434271716779343E-2</v>
      </c>
      <c r="G2429">
        <f t="shared" si="81"/>
        <v>-3.2373993354118794E-2</v>
      </c>
    </row>
    <row r="2430" spans="1:7" x14ac:dyDescent="0.35">
      <c r="A2430" t="s">
        <v>132</v>
      </c>
      <c r="E2430">
        <v>-2.8068951558240022E-2</v>
      </c>
      <c r="F2430">
        <f t="shared" si="80"/>
        <v>-1.844036933405984E-2</v>
      </c>
      <c r="G2430">
        <f t="shared" si="81"/>
        <v>-3.2373993354118794E-2</v>
      </c>
    </row>
    <row r="2431" spans="1:7" x14ac:dyDescent="0.35">
      <c r="A2431" t="s">
        <v>132</v>
      </c>
      <c r="E2431">
        <v>5.5499750828901673E-3</v>
      </c>
      <c r="F2431">
        <f t="shared" si="80"/>
        <v>-1.8271181203671816E-2</v>
      </c>
      <c r="G2431">
        <f t="shared" si="81"/>
        <v>-3.2233564971553788E-2</v>
      </c>
    </row>
    <row r="2432" spans="1:7" x14ac:dyDescent="0.35">
      <c r="A2432" t="s">
        <v>132</v>
      </c>
      <c r="E2432">
        <v>9.1415117412814544E-3</v>
      </c>
      <c r="F2432">
        <f t="shared" si="80"/>
        <v>-1.8283204754514379E-2</v>
      </c>
      <c r="G2432">
        <f t="shared" si="81"/>
        <v>-3.2233564971553788E-2</v>
      </c>
    </row>
    <row r="2433" spans="1:7" x14ac:dyDescent="0.35">
      <c r="A2433" t="s">
        <v>132</v>
      </c>
      <c r="E2433">
        <v>-1.1565836603805281E-2</v>
      </c>
      <c r="F2433">
        <f t="shared" si="80"/>
        <v>-1.8295228305356941E-2</v>
      </c>
      <c r="G2433">
        <f t="shared" si="81"/>
        <v>-3.2233564971553788E-2</v>
      </c>
    </row>
    <row r="2434" spans="1:7" x14ac:dyDescent="0.35">
      <c r="A2434" t="s">
        <v>132</v>
      </c>
      <c r="E2434">
        <v>5.7773972878649429E-3</v>
      </c>
      <c r="F2434">
        <f t="shared" si="80"/>
        <v>-1.8307251856199507E-2</v>
      </c>
      <c r="G2434">
        <f t="shared" si="81"/>
        <v>-3.2233564971553788E-2</v>
      </c>
    </row>
    <row r="2435" spans="1:7" x14ac:dyDescent="0.35">
      <c r="A2435" t="s">
        <v>132</v>
      </c>
      <c r="E2435">
        <v>1.2433641056837095E-2</v>
      </c>
      <c r="F2435">
        <f t="shared" si="80"/>
        <v>-1.831927540704207E-2</v>
      </c>
      <c r="G2435">
        <f t="shared" si="81"/>
        <v>-3.2233564971553788E-2</v>
      </c>
    </row>
    <row r="2436" spans="1:7" x14ac:dyDescent="0.35">
      <c r="A2436" t="s">
        <v>132</v>
      </c>
      <c r="E2436">
        <v>1.8435406919376836E-2</v>
      </c>
      <c r="F2436">
        <f t="shared" ref="F2436:F2499" si="82">_xlfn.PERCENTILE.EXC(E2436:E6251,0.05)</f>
        <v>-1.8331298957884632E-2</v>
      </c>
      <c r="G2436">
        <f t="shared" ref="G2436:G2499" si="83">AVERAGEIFS(E2436:E6252,E2436:E6252,"&lt;=" &amp; F2436)</f>
        <v>-3.2233564971553788E-2</v>
      </c>
    </row>
    <row r="2437" spans="1:7" x14ac:dyDescent="0.35">
      <c r="A2437" t="s">
        <v>132</v>
      </c>
      <c r="E2437">
        <v>-2.9481185264750823E-3</v>
      </c>
      <c r="F2437">
        <f t="shared" si="82"/>
        <v>-1.8343322508727194E-2</v>
      </c>
      <c r="G2437">
        <f t="shared" si="83"/>
        <v>-3.2233564971553788E-2</v>
      </c>
    </row>
    <row r="2438" spans="1:7" x14ac:dyDescent="0.35">
      <c r="A2438" t="s">
        <v>132</v>
      </c>
      <c r="E2438">
        <v>1.1783435450364069E-2</v>
      </c>
      <c r="F2438">
        <f t="shared" si="82"/>
        <v>-1.8355346059569757E-2</v>
      </c>
      <c r="G2438">
        <f t="shared" si="83"/>
        <v>-3.2233564971553788E-2</v>
      </c>
    </row>
    <row r="2439" spans="1:7" x14ac:dyDescent="0.35">
      <c r="A2439" t="s">
        <v>132</v>
      </c>
      <c r="E2439">
        <v>3.2652567586321018E-3</v>
      </c>
      <c r="F2439">
        <f t="shared" si="82"/>
        <v>-1.8367369610412323E-2</v>
      </c>
      <c r="G2439">
        <f t="shared" si="83"/>
        <v>-3.2233564971553788E-2</v>
      </c>
    </row>
    <row r="2440" spans="1:7" x14ac:dyDescent="0.35">
      <c r="A2440" t="s">
        <v>132</v>
      </c>
      <c r="E2440">
        <v>-4.9875415110391622E-3</v>
      </c>
      <c r="F2440">
        <f t="shared" si="82"/>
        <v>-1.8379393161254885E-2</v>
      </c>
      <c r="G2440">
        <f t="shared" si="83"/>
        <v>-3.2233564971553788E-2</v>
      </c>
    </row>
    <row r="2441" spans="1:7" x14ac:dyDescent="0.35">
      <c r="A2441" t="s">
        <v>132</v>
      </c>
      <c r="E2441">
        <v>-1.0926738384820366E-3</v>
      </c>
      <c r="F2441">
        <f t="shared" si="82"/>
        <v>-1.8385490778535379E-2</v>
      </c>
      <c r="G2441">
        <f t="shared" si="83"/>
        <v>-3.2437302792293475E-2</v>
      </c>
    </row>
    <row r="2442" spans="1:7" x14ac:dyDescent="0.35">
      <c r="A2442" t="s">
        <v>132</v>
      </c>
      <c r="E2442">
        <v>7.7407617952754294E-3</v>
      </c>
      <c r="F2442">
        <f t="shared" si="82"/>
        <v>-1.8391588395815874E-2</v>
      </c>
      <c r="G2442">
        <f t="shared" si="83"/>
        <v>-3.2437302792293475E-2</v>
      </c>
    </row>
    <row r="2443" spans="1:7" x14ac:dyDescent="0.35">
      <c r="A2443" t="s">
        <v>132</v>
      </c>
      <c r="E2443">
        <v>-2.3532554451004719E-3</v>
      </c>
      <c r="F2443">
        <f t="shared" si="82"/>
        <v>-1.8397686013096371E-2</v>
      </c>
      <c r="G2443">
        <f t="shared" si="83"/>
        <v>-3.2437302792293475E-2</v>
      </c>
    </row>
    <row r="2444" spans="1:7" x14ac:dyDescent="0.35">
      <c r="A2444" t="s">
        <v>132</v>
      </c>
      <c r="E2444">
        <v>5.1158528602815001E-4</v>
      </c>
      <c r="F2444">
        <f t="shared" si="82"/>
        <v>-1.8403783630376869E-2</v>
      </c>
      <c r="G2444">
        <f t="shared" si="83"/>
        <v>-3.2437302792293475E-2</v>
      </c>
    </row>
    <row r="2445" spans="1:7" x14ac:dyDescent="0.35">
      <c r="A2445" t="s">
        <v>132</v>
      </c>
      <c r="E2445">
        <v>7.2429810162286091E-4</v>
      </c>
      <c r="F2445">
        <f t="shared" si="82"/>
        <v>-1.8409881247657363E-2</v>
      </c>
      <c r="G2445">
        <f t="shared" si="83"/>
        <v>-3.2437302792293475E-2</v>
      </c>
    </row>
    <row r="2446" spans="1:7" x14ac:dyDescent="0.35">
      <c r="A2446" t="s">
        <v>132</v>
      </c>
      <c r="E2446">
        <v>4.0803371881066837E-3</v>
      </c>
      <c r="F2446">
        <f t="shared" si="82"/>
        <v>-1.8415978864937857E-2</v>
      </c>
      <c r="G2446">
        <f t="shared" si="83"/>
        <v>-3.2437302792293475E-2</v>
      </c>
    </row>
    <row r="2447" spans="1:7" x14ac:dyDescent="0.35">
      <c r="A2447" t="s">
        <v>132</v>
      </c>
      <c r="E2447">
        <v>2.9687433951430331E-4</v>
      </c>
      <c r="F2447">
        <f t="shared" si="82"/>
        <v>-1.8422076482218351E-2</v>
      </c>
      <c r="G2447">
        <f t="shared" si="83"/>
        <v>-3.2437302792293475E-2</v>
      </c>
    </row>
    <row r="2448" spans="1:7" x14ac:dyDescent="0.35">
      <c r="A2448" t="s">
        <v>132</v>
      </c>
      <c r="E2448">
        <v>-3.4938521504718901E-3</v>
      </c>
      <c r="F2448">
        <f t="shared" si="82"/>
        <v>-1.8428174099498845E-2</v>
      </c>
      <c r="G2448">
        <f t="shared" si="83"/>
        <v>-3.2437302792293475E-2</v>
      </c>
    </row>
    <row r="2449" spans="1:7" x14ac:dyDescent="0.35">
      <c r="A2449" t="s">
        <v>132</v>
      </c>
      <c r="E2449">
        <v>-1.2373984458731013E-2</v>
      </c>
      <c r="F2449">
        <f t="shared" si="82"/>
        <v>-1.8434271716779343E-2</v>
      </c>
      <c r="G2449">
        <f t="shared" si="83"/>
        <v>-3.2437302792293475E-2</v>
      </c>
    </row>
    <row r="2450" spans="1:7" x14ac:dyDescent="0.35">
      <c r="A2450" t="s">
        <v>132</v>
      </c>
      <c r="E2450">
        <v>-2.9123092528824859E-3</v>
      </c>
      <c r="F2450">
        <f t="shared" si="82"/>
        <v>-1.844036933405984E-2</v>
      </c>
      <c r="G2450">
        <f t="shared" si="83"/>
        <v>-3.2437302792293475E-2</v>
      </c>
    </row>
    <row r="2451" spans="1:7" x14ac:dyDescent="0.35">
      <c r="A2451" t="s">
        <v>133</v>
      </c>
      <c r="B2451" s="3" cm="1">
        <f t="array" ref="B2451">_xlfn.STDEV.S(_xlfn._xlws.FILTER($E$2013:$E$3011, $A$2013:$A$3011="2019-11"))</f>
        <v>5.5886073023170583E-3</v>
      </c>
      <c r="C2451" s="3" cm="1">
        <f t="array" ref="C2451">AVERAGE(_xlfn._xlws.FILTER($E$2013:$E$3011, $A$2013:$A$3011="2019-11"))</f>
        <v>4.8362811257791948E-4</v>
      </c>
      <c r="D2451" s="3" cm="1">
        <f t="array" ref="D2451">_xlfn.PERCENTILE.EXC(_xlfn._xlws.FILTER($E$1498:$E$2489, $A$1498:$A$2489="2019-11"), 0.05)</f>
        <v>-1.1791279031410376E-2</v>
      </c>
      <c r="E2451">
        <v>7.5865958025058983E-3</v>
      </c>
      <c r="F2451">
        <f t="shared" si="82"/>
        <v>-1.8446466951340335E-2</v>
      </c>
      <c r="G2451">
        <f t="shared" si="83"/>
        <v>-3.2437302792293475E-2</v>
      </c>
    </row>
    <row r="2452" spans="1:7" x14ac:dyDescent="0.35">
      <c r="A2452" t="s">
        <v>133</v>
      </c>
      <c r="E2452">
        <v>9.4322203311542167E-3</v>
      </c>
      <c r="F2452">
        <f t="shared" si="82"/>
        <v>-1.8452564568620829E-2</v>
      </c>
      <c r="G2452">
        <f t="shared" si="83"/>
        <v>-3.2437302792293475E-2</v>
      </c>
    </row>
    <row r="2453" spans="1:7" x14ac:dyDescent="0.35">
      <c r="A2453" t="s">
        <v>133</v>
      </c>
      <c r="E2453">
        <v>-9.030880912112609E-4</v>
      </c>
      <c r="F2453">
        <f t="shared" si="82"/>
        <v>-1.8458662185901323E-2</v>
      </c>
      <c r="G2453">
        <f t="shared" si="83"/>
        <v>-3.2437302792293475E-2</v>
      </c>
    </row>
    <row r="2454" spans="1:7" x14ac:dyDescent="0.35">
      <c r="A2454" t="s">
        <v>133</v>
      </c>
      <c r="E2454">
        <v>-1.0102998259156905E-3</v>
      </c>
      <c r="F2454">
        <f t="shared" si="82"/>
        <v>-1.846475980318182E-2</v>
      </c>
      <c r="G2454">
        <f t="shared" si="83"/>
        <v>-3.2437302792293475E-2</v>
      </c>
    </row>
    <row r="2455" spans="1:7" x14ac:dyDescent="0.35">
      <c r="A2455" t="s">
        <v>133</v>
      </c>
      <c r="E2455">
        <v>5.1895243736703664E-3</v>
      </c>
      <c r="F2455">
        <f t="shared" si="82"/>
        <v>-1.8470857420462315E-2</v>
      </c>
      <c r="G2455">
        <f t="shared" si="83"/>
        <v>-3.2437302792293475E-2</v>
      </c>
    </row>
    <row r="2456" spans="1:7" x14ac:dyDescent="0.35">
      <c r="A2456" t="s">
        <v>133</v>
      </c>
      <c r="E2456">
        <v>-5.6897345788095976E-3</v>
      </c>
      <c r="F2456">
        <f t="shared" si="82"/>
        <v>-1.8476955037742812E-2</v>
      </c>
      <c r="G2456">
        <f t="shared" si="83"/>
        <v>-3.2437302792293475E-2</v>
      </c>
    </row>
    <row r="2457" spans="1:7" x14ac:dyDescent="0.35">
      <c r="A2457" t="s">
        <v>133</v>
      </c>
      <c r="E2457">
        <v>-5.5371576629591787E-4</v>
      </c>
      <c r="F2457">
        <f t="shared" si="82"/>
        <v>-1.8483052655023306E-2</v>
      </c>
      <c r="G2457">
        <f t="shared" si="83"/>
        <v>-3.2437302792293475E-2</v>
      </c>
    </row>
    <row r="2458" spans="1:7" x14ac:dyDescent="0.35">
      <c r="A2458" t="s">
        <v>133</v>
      </c>
      <c r="E2458">
        <v>-8.7509651691896808E-3</v>
      </c>
      <c r="F2458">
        <f t="shared" si="82"/>
        <v>-1.84891502723038E-2</v>
      </c>
      <c r="G2458">
        <f t="shared" si="83"/>
        <v>-3.2437302792293475E-2</v>
      </c>
    </row>
    <row r="2459" spans="1:7" x14ac:dyDescent="0.35">
      <c r="A2459" t="s">
        <v>133</v>
      </c>
      <c r="E2459">
        <v>-1.2129091682768231E-2</v>
      </c>
      <c r="F2459">
        <f t="shared" si="82"/>
        <v>-1.8495247889584298E-2</v>
      </c>
      <c r="G2459">
        <f t="shared" si="83"/>
        <v>-3.2437302792293475E-2</v>
      </c>
    </row>
    <row r="2460" spans="1:7" x14ac:dyDescent="0.35">
      <c r="A2460" t="s">
        <v>133</v>
      </c>
      <c r="E2460">
        <v>-2.3083885292698759E-3</v>
      </c>
      <c r="F2460">
        <f t="shared" si="82"/>
        <v>-1.8501345506864792E-2</v>
      </c>
      <c r="G2460">
        <f t="shared" si="83"/>
        <v>-3.2437302792293475E-2</v>
      </c>
    </row>
    <row r="2461" spans="1:7" x14ac:dyDescent="0.35">
      <c r="A2461" t="s">
        <v>133</v>
      </c>
      <c r="E2461">
        <v>9.5581344658152434E-3</v>
      </c>
      <c r="F2461">
        <f t="shared" si="82"/>
        <v>-1.8505491034962466E-2</v>
      </c>
      <c r="G2461">
        <f t="shared" si="83"/>
        <v>-3.2645302154762565E-2</v>
      </c>
    </row>
    <row r="2462" spans="1:7" x14ac:dyDescent="0.35">
      <c r="A2462" t="s">
        <v>133</v>
      </c>
      <c r="E2462">
        <v>-3.6718252623725459E-4</v>
      </c>
      <c r="F2462">
        <f t="shared" si="82"/>
        <v>-1.850963656306014E-2</v>
      </c>
      <c r="G2462">
        <f t="shared" si="83"/>
        <v>-3.2645302154762565E-2</v>
      </c>
    </row>
    <row r="2463" spans="1:7" x14ac:dyDescent="0.35">
      <c r="A2463" t="s">
        <v>133</v>
      </c>
      <c r="E2463">
        <v>1.2960922835853397E-4</v>
      </c>
      <c r="F2463">
        <f t="shared" si="82"/>
        <v>-1.8513782091157813E-2</v>
      </c>
      <c r="G2463">
        <f t="shared" si="83"/>
        <v>-3.2645302154762565E-2</v>
      </c>
    </row>
    <row r="2464" spans="1:7" x14ac:dyDescent="0.35">
      <c r="A2464" t="s">
        <v>133</v>
      </c>
      <c r="E2464">
        <v>-3.6571024172785569E-3</v>
      </c>
      <c r="F2464">
        <f t="shared" si="82"/>
        <v>-1.8517927619255487E-2</v>
      </c>
      <c r="G2464">
        <f t="shared" si="83"/>
        <v>-3.2645302154762565E-2</v>
      </c>
    </row>
    <row r="2465" spans="1:7" x14ac:dyDescent="0.35">
      <c r="A2465" t="s">
        <v>133</v>
      </c>
      <c r="E2465">
        <v>-1.2364829064335262E-3</v>
      </c>
      <c r="F2465">
        <f t="shared" si="82"/>
        <v>-1.8522073147353161E-2</v>
      </c>
      <c r="G2465">
        <f t="shared" si="83"/>
        <v>-3.2645302154762565E-2</v>
      </c>
    </row>
    <row r="2466" spans="1:7" x14ac:dyDescent="0.35">
      <c r="A2466" t="s">
        <v>133</v>
      </c>
      <c r="E2466">
        <v>4.4074640755019882E-3</v>
      </c>
      <c r="F2466">
        <f t="shared" si="82"/>
        <v>-1.8526218675450835E-2</v>
      </c>
      <c r="G2466">
        <f t="shared" si="83"/>
        <v>-3.2645302154762565E-2</v>
      </c>
    </row>
    <row r="2467" spans="1:7" x14ac:dyDescent="0.35">
      <c r="A2467" t="s">
        <v>133</v>
      </c>
      <c r="E2467">
        <v>7.020368436975729E-3</v>
      </c>
      <c r="F2467">
        <f t="shared" si="82"/>
        <v>-1.8530364203548508E-2</v>
      </c>
      <c r="G2467">
        <f t="shared" si="83"/>
        <v>-3.2645302154762565E-2</v>
      </c>
    </row>
    <row r="2468" spans="1:7" x14ac:dyDescent="0.35">
      <c r="A2468" t="s">
        <v>133</v>
      </c>
      <c r="E2468">
        <v>5.256185524906157E-4</v>
      </c>
      <c r="F2468">
        <f t="shared" si="82"/>
        <v>-1.8534509731646179E-2</v>
      </c>
      <c r="G2468">
        <f t="shared" si="83"/>
        <v>-3.2645302154762565E-2</v>
      </c>
    </row>
    <row r="2469" spans="1:7" x14ac:dyDescent="0.35">
      <c r="A2469" t="s">
        <v>133</v>
      </c>
      <c r="E2469">
        <v>4.0561928522379791E-3</v>
      </c>
      <c r="F2469">
        <f t="shared" si="82"/>
        <v>-1.8538655259743856E-2</v>
      </c>
      <c r="G2469">
        <f t="shared" si="83"/>
        <v>-3.2645302154762565E-2</v>
      </c>
    </row>
    <row r="2470" spans="1:7" x14ac:dyDescent="0.35">
      <c r="A2470" t="s">
        <v>133</v>
      </c>
      <c r="E2470">
        <v>-3.9526325581255069E-4</v>
      </c>
      <c r="F2470">
        <f t="shared" si="82"/>
        <v>-1.8542800787841526E-2</v>
      </c>
      <c r="G2470">
        <f t="shared" si="83"/>
        <v>-3.2645302154762565E-2</v>
      </c>
    </row>
    <row r="2471" spans="1:7" x14ac:dyDescent="0.35">
      <c r="A2471" t="s">
        <v>133</v>
      </c>
      <c r="E2471">
        <v>-7.4822300535211947E-4</v>
      </c>
      <c r="F2471">
        <f t="shared" si="82"/>
        <v>-1.85469463159392E-2</v>
      </c>
      <c r="G2471">
        <f t="shared" si="83"/>
        <v>-3.2645302154762565E-2</v>
      </c>
    </row>
    <row r="2472" spans="1:7" x14ac:dyDescent="0.35">
      <c r="A2472" t="s">
        <v>134</v>
      </c>
      <c r="B2472" s="3" cm="1">
        <f t="array" ref="B2472">_xlfn.STDEV.S(_xlfn._xlws.FILTER($E$2013:$E$3011, $A$2013:$A$3011="2019-12"))</f>
        <v>9.1926746778263693E-3</v>
      </c>
      <c r="C2472" s="3" cm="1">
        <f t="array" ref="C2472">AVERAGE(_xlfn._xlws.FILTER($E$2013:$E$3011, $A$2013:$A$3011="2019-12"))</f>
        <v>1.526917429378845E-3</v>
      </c>
      <c r="D2472" s="3" cm="1">
        <f t="array" ref="D2472">_xlfn.PERCENTILE.INC(_xlfn._xlws.FILTER($E$1498:$E$2489, $A$1498:$A$2489="2019-12"), 0.05)</f>
        <v>-1.0909497355400945E-2</v>
      </c>
      <c r="E2472">
        <v>-2.1148057216483194E-2</v>
      </c>
      <c r="F2472">
        <f t="shared" si="82"/>
        <v>-1.8551091844036874E-2</v>
      </c>
      <c r="G2472">
        <f t="shared" si="83"/>
        <v>-3.2645302154762565E-2</v>
      </c>
    </row>
    <row r="2473" spans="1:7" x14ac:dyDescent="0.35">
      <c r="A2473" t="s">
        <v>134</v>
      </c>
      <c r="E2473">
        <v>-2.2523517066258096E-3</v>
      </c>
      <c r="F2473">
        <f t="shared" si="82"/>
        <v>-1.8458662185901323E-2</v>
      </c>
      <c r="G2473">
        <f t="shared" si="83"/>
        <v>-3.2605798994917508E-2</v>
      </c>
    </row>
    <row r="2474" spans="1:7" x14ac:dyDescent="0.35">
      <c r="A2474" t="s">
        <v>134</v>
      </c>
      <c r="E2474">
        <v>1.4679860499609164E-2</v>
      </c>
      <c r="F2474">
        <f t="shared" si="82"/>
        <v>-1.846475980318182E-2</v>
      </c>
      <c r="G2474">
        <f t="shared" si="83"/>
        <v>-3.2605798994917508E-2</v>
      </c>
    </row>
    <row r="2475" spans="1:7" x14ac:dyDescent="0.35">
      <c r="A2475" t="s">
        <v>134</v>
      </c>
      <c r="E2475">
        <v>-2.9598924073624862E-3</v>
      </c>
      <c r="F2475">
        <f t="shared" si="82"/>
        <v>-1.8470857420462315E-2</v>
      </c>
      <c r="G2475">
        <f t="shared" si="83"/>
        <v>-3.2605798994917508E-2</v>
      </c>
    </row>
    <row r="2476" spans="1:7" x14ac:dyDescent="0.35">
      <c r="A2476" t="s">
        <v>134</v>
      </c>
      <c r="E2476">
        <v>1.4957784741254487E-2</v>
      </c>
      <c r="F2476">
        <f t="shared" si="82"/>
        <v>-1.8476955037742812E-2</v>
      </c>
      <c r="G2476">
        <f t="shared" si="83"/>
        <v>-3.2605798994917508E-2</v>
      </c>
    </row>
    <row r="2477" spans="1:7" x14ac:dyDescent="0.35">
      <c r="A2477" t="s">
        <v>134</v>
      </c>
      <c r="E2477">
        <v>-2.999367151735433E-3</v>
      </c>
      <c r="F2477">
        <f t="shared" si="82"/>
        <v>-1.8483052655023306E-2</v>
      </c>
      <c r="G2477">
        <f t="shared" si="83"/>
        <v>-3.2605798994917508E-2</v>
      </c>
    </row>
    <row r="2478" spans="1:7" x14ac:dyDescent="0.35">
      <c r="A2478" t="s">
        <v>134</v>
      </c>
      <c r="E2478">
        <v>-3.5875534443420109E-3</v>
      </c>
      <c r="F2478">
        <f t="shared" si="82"/>
        <v>-1.84891502723038E-2</v>
      </c>
      <c r="G2478">
        <f t="shared" si="83"/>
        <v>-3.2605798994917508E-2</v>
      </c>
    </row>
    <row r="2479" spans="1:7" x14ac:dyDescent="0.35">
      <c r="A2479" t="s">
        <v>134</v>
      </c>
      <c r="E2479">
        <v>7.6308509819050683E-3</v>
      </c>
      <c r="F2479">
        <f t="shared" si="82"/>
        <v>-1.8495247889584298E-2</v>
      </c>
      <c r="G2479">
        <f t="shared" si="83"/>
        <v>-3.2605798994917508E-2</v>
      </c>
    </row>
    <row r="2480" spans="1:7" x14ac:dyDescent="0.35">
      <c r="A2480" t="s">
        <v>134</v>
      </c>
      <c r="E2480">
        <v>8.0590012548357372E-3</v>
      </c>
      <c r="F2480">
        <f t="shared" si="82"/>
        <v>-1.8501345506864792E-2</v>
      </c>
      <c r="G2480">
        <f t="shared" si="83"/>
        <v>-3.2605798994917508E-2</v>
      </c>
    </row>
    <row r="2481" spans="1:7" x14ac:dyDescent="0.35">
      <c r="A2481" t="s">
        <v>134</v>
      </c>
      <c r="E2481">
        <v>1.0004181754673934E-2</v>
      </c>
      <c r="F2481">
        <f t="shared" si="82"/>
        <v>-1.8505491034962466E-2</v>
      </c>
      <c r="G2481">
        <f t="shared" si="83"/>
        <v>-3.2819502835645581E-2</v>
      </c>
    </row>
    <row r="2482" spans="1:7" x14ac:dyDescent="0.35">
      <c r="A2482" t="s">
        <v>134</v>
      </c>
      <c r="E2482">
        <v>1.2149201363167279E-2</v>
      </c>
      <c r="F2482">
        <f t="shared" si="82"/>
        <v>-1.850963656306014E-2</v>
      </c>
      <c r="G2482">
        <f t="shared" si="83"/>
        <v>-3.2819502835645581E-2</v>
      </c>
    </row>
    <row r="2483" spans="1:7" x14ac:dyDescent="0.35">
      <c r="A2483" t="s">
        <v>134</v>
      </c>
      <c r="E2483">
        <v>-6.7059044343284451E-3</v>
      </c>
      <c r="F2483">
        <f t="shared" si="82"/>
        <v>-1.8513782091157813E-2</v>
      </c>
      <c r="G2483">
        <f t="shared" si="83"/>
        <v>-3.2819502835645581E-2</v>
      </c>
    </row>
    <row r="2484" spans="1:7" x14ac:dyDescent="0.35">
      <c r="A2484" t="s">
        <v>134</v>
      </c>
      <c r="E2484">
        <v>6.1337895746175553E-4</v>
      </c>
      <c r="F2484">
        <f t="shared" si="82"/>
        <v>-1.8517927619255487E-2</v>
      </c>
      <c r="G2484">
        <f t="shared" si="83"/>
        <v>-3.2819502835645581E-2</v>
      </c>
    </row>
    <row r="2485" spans="1:7" x14ac:dyDescent="0.35">
      <c r="A2485" t="s">
        <v>134</v>
      </c>
      <c r="E2485">
        <v>-4.7819534151005315E-4</v>
      </c>
      <c r="F2485">
        <f t="shared" si="82"/>
        <v>-1.8522073147353161E-2</v>
      </c>
      <c r="G2485">
        <f t="shared" si="83"/>
        <v>-3.2819502835645581E-2</v>
      </c>
    </row>
    <row r="2486" spans="1:7" x14ac:dyDescent="0.35">
      <c r="A2486" t="s">
        <v>134</v>
      </c>
      <c r="E2486">
        <v>6.0437551467775706E-3</v>
      </c>
      <c r="F2486">
        <f t="shared" si="82"/>
        <v>-1.8526218675450835E-2</v>
      </c>
      <c r="G2486">
        <f t="shared" si="83"/>
        <v>-3.2819502835645581E-2</v>
      </c>
    </row>
    <row r="2487" spans="1:7" x14ac:dyDescent="0.35">
      <c r="A2487" t="s">
        <v>134</v>
      </c>
      <c r="E2487">
        <v>-1.6446776674625429E-3</v>
      </c>
      <c r="F2487">
        <f t="shared" si="82"/>
        <v>-1.8530364203548508E-2</v>
      </c>
      <c r="G2487">
        <f t="shared" si="83"/>
        <v>-3.2819502835645581E-2</v>
      </c>
    </row>
    <row r="2488" spans="1:7" x14ac:dyDescent="0.35">
      <c r="A2488" t="s">
        <v>134</v>
      </c>
      <c r="E2488">
        <v>4.2251910730176706E-3</v>
      </c>
      <c r="F2488">
        <f t="shared" si="82"/>
        <v>-1.8534509731646179E-2</v>
      </c>
      <c r="G2488">
        <f t="shared" si="83"/>
        <v>-3.2819502835645581E-2</v>
      </c>
    </row>
    <row r="2489" spans="1:7" x14ac:dyDescent="0.35">
      <c r="A2489" t="s">
        <v>134</v>
      </c>
      <c r="E2489">
        <v>-9.1026926740334912E-3</v>
      </c>
      <c r="F2489">
        <f t="shared" si="82"/>
        <v>-1.8538655259743856E-2</v>
      </c>
      <c r="G2489">
        <f t="shared" si="83"/>
        <v>-3.2819502835645581E-2</v>
      </c>
    </row>
    <row r="2490" spans="1:7" x14ac:dyDescent="0.35">
      <c r="A2490" t="s">
        <v>135</v>
      </c>
      <c r="B2490" s="3" cm="1">
        <f t="array" ref="B2490">_xlfn.STDEV.S(_xlfn._xlws.FILTER($E$2013:$E$3011, $A$2013:$A$3011="2020-01"))</f>
        <v>7.5175838275197988E-3</v>
      </c>
      <c r="C2490" s="3" cm="1">
        <f t="array" ref="C2490">AVERAGE(_xlfn._xlws.FILTER($E$2013:$E$3011, $A$2013:$A$3011="2020-01"))</f>
        <v>-1.1720811953275768E-3</v>
      </c>
      <c r="D2490" s="3" cm="1">
        <f t="array" ref="D2490">_xlfn.PERCENTILE.EXC(_xlfn._xlws.FILTER($E$2490:$E$3818, $A$2490:$A$3818="2020-01"), 0.05)</f>
        <v>-1.932802699600147E-2</v>
      </c>
      <c r="E2490">
        <v>8.1435193459592596E-3</v>
      </c>
      <c r="F2490">
        <f t="shared" si="82"/>
        <v>-1.8542800787841526E-2</v>
      </c>
      <c r="G2490">
        <f t="shared" si="83"/>
        <v>-3.2819502835645581E-2</v>
      </c>
    </row>
    <row r="2491" spans="1:7" x14ac:dyDescent="0.35">
      <c r="A2491" t="s">
        <v>135</v>
      </c>
      <c r="E2491">
        <v>-4.6127355832321498E-3</v>
      </c>
      <c r="F2491">
        <f t="shared" si="82"/>
        <v>-1.85469463159392E-2</v>
      </c>
      <c r="G2491">
        <f t="shared" si="83"/>
        <v>-3.2819502835645581E-2</v>
      </c>
    </row>
    <row r="2492" spans="1:7" x14ac:dyDescent="0.35">
      <c r="A2492" t="s">
        <v>135</v>
      </c>
      <c r="E2492">
        <v>-4.7486775817796164E-3</v>
      </c>
      <c r="F2492">
        <f t="shared" si="82"/>
        <v>-1.8551091844036874E-2</v>
      </c>
      <c r="G2492">
        <f t="shared" si="83"/>
        <v>-3.2819502835645581E-2</v>
      </c>
    </row>
    <row r="2493" spans="1:7" x14ac:dyDescent="0.35">
      <c r="A2493" t="s">
        <v>135</v>
      </c>
      <c r="E2493">
        <v>-2.2001291414111379E-3</v>
      </c>
      <c r="F2493">
        <f t="shared" si="82"/>
        <v>-1.8555237372134548E-2</v>
      </c>
      <c r="G2493">
        <f t="shared" si="83"/>
        <v>-3.2819502835645581E-2</v>
      </c>
    </row>
    <row r="2494" spans="1:7" x14ac:dyDescent="0.35">
      <c r="A2494" t="s">
        <v>135</v>
      </c>
      <c r="E2494">
        <v>1.210148703852142E-3</v>
      </c>
      <c r="F2494">
        <f t="shared" si="82"/>
        <v>-1.8559382900232221E-2</v>
      </c>
      <c r="G2494">
        <f t="shared" si="83"/>
        <v>-3.2819502835645581E-2</v>
      </c>
    </row>
    <row r="2495" spans="1:7" x14ac:dyDescent="0.35">
      <c r="A2495" t="s">
        <v>135</v>
      </c>
      <c r="E2495">
        <v>-1.0013978680907473E-3</v>
      </c>
      <c r="F2495">
        <f t="shared" si="82"/>
        <v>-1.8563528428329895E-2</v>
      </c>
      <c r="G2495">
        <f t="shared" si="83"/>
        <v>-3.2819502835645581E-2</v>
      </c>
    </row>
    <row r="2496" spans="1:7" x14ac:dyDescent="0.35">
      <c r="A2496" t="s">
        <v>135</v>
      </c>
      <c r="E2496">
        <v>-8.5615549671460298E-4</v>
      </c>
      <c r="F2496">
        <f t="shared" si="82"/>
        <v>-1.8567673956427569E-2</v>
      </c>
      <c r="G2496">
        <f t="shared" si="83"/>
        <v>-3.2819502835645581E-2</v>
      </c>
    </row>
    <row r="2497" spans="1:7" x14ac:dyDescent="0.35">
      <c r="A2497" t="s">
        <v>135</v>
      </c>
      <c r="E2497">
        <v>-3.1071033235383549E-3</v>
      </c>
      <c r="F2497">
        <f t="shared" si="82"/>
        <v>-1.8571819484525243E-2</v>
      </c>
      <c r="G2497">
        <f t="shared" si="83"/>
        <v>-3.2819502835645581E-2</v>
      </c>
    </row>
    <row r="2498" spans="1:7" x14ac:dyDescent="0.35">
      <c r="A2498" t="s">
        <v>135</v>
      </c>
      <c r="E2498">
        <v>-1.6358892502148382E-3</v>
      </c>
      <c r="F2498">
        <f t="shared" si="82"/>
        <v>-1.8575965012622916E-2</v>
      </c>
      <c r="G2498">
        <f t="shared" si="83"/>
        <v>-3.2819502835645581E-2</v>
      </c>
    </row>
    <row r="2499" spans="1:7" x14ac:dyDescent="0.35">
      <c r="A2499" t="s">
        <v>135</v>
      </c>
      <c r="E2499">
        <v>-1.7436979207981851E-3</v>
      </c>
      <c r="F2499">
        <f t="shared" si="82"/>
        <v>-1.858011054072059E-2</v>
      </c>
      <c r="G2499">
        <f t="shared" si="83"/>
        <v>-3.2819502835645581E-2</v>
      </c>
    </row>
    <row r="2500" spans="1:7" x14ac:dyDescent="0.35">
      <c r="A2500" t="s">
        <v>135</v>
      </c>
      <c r="E2500">
        <v>6.3717845866945117E-3</v>
      </c>
      <c r="F2500">
        <f t="shared" ref="F2500:F2563" si="84">_xlfn.PERCENTILE.EXC(E2500:E6315,0.05)</f>
        <v>-1.8584256068818264E-2</v>
      </c>
      <c r="G2500">
        <f t="shared" ref="G2500:G2563" si="85">AVERAGEIFS(E2500:E6316,E2500:E6316,"&lt;=" &amp; F2500)</f>
        <v>-3.2819502835645581E-2</v>
      </c>
    </row>
    <row r="2501" spans="1:7" x14ac:dyDescent="0.35">
      <c r="A2501" t="s">
        <v>135</v>
      </c>
      <c r="E2501">
        <v>1.1301785422729501E-2</v>
      </c>
      <c r="F2501">
        <f t="shared" si="84"/>
        <v>-1.8589365205113336E-2</v>
      </c>
      <c r="G2501">
        <f t="shared" si="85"/>
        <v>-3.3038506632058304E-2</v>
      </c>
    </row>
    <row r="2502" spans="1:7" x14ac:dyDescent="0.35">
      <c r="A2502" t="s">
        <v>135</v>
      </c>
      <c r="E2502">
        <v>-2.3267728864906499E-3</v>
      </c>
      <c r="F2502">
        <f t="shared" si="84"/>
        <v>-1.8594474341408412E-2</v>
      </c>
      <c r="G2502">
        <f t="shared" si="85"/>
        <v>-3.3038506632058304E-2</v>
      </c>
    </row>
    <row r="2503" spans="1:7" x14ac:dyDescent="0.35">
      <c r="A2503" t="s">
        <v>135</v>
      </c>
      <c r="E2503">
        <v>-4.9299273178675896E-3</v>
      </c>
      <c r="F2503">
        <f t="shared" si="84"/>
        <v>-1.8599583477703484E-2</v>
      </c>
      <c r="G2503">
        <f t="shared" si="85"/>
        <v>-3.3038506632058304E-2</v>
      </c>
    </row>
    <row r="2504" spans="1:7" x14ac:dyDescent="0.35">
      <c r="A2504" t="s">
        <v>135</v>
      </c>
      <c r="E2504">
        <v>-3.9197339735736348E-3</v>
      </c>
      <c r="F2504">
        <f t="shared" si="84"/>
        <v>-1.8604692613998559E-2</v>
      </c>
      <c r="G2504">
        <f t="shared" si="85"/>
        <v>-3.3038506632058304E-2</v>
      </c>
    </row>
    <row r="2505" spans="1:7" x14ac:dyDescent="0.35">
      <c r="A2505" t="s">
        <v>135</v>
      </c>
      <c r="E2505">
        <v>-5.7824822504037561E-3</v>
      </c>
      <c r="F2505">
        <f t="shared" si="84"/>
        <v>-1.8609801750293632E-2</v>
      </c>
      <c r="G2505">
        <f t="shared" si="85"/>
        <v>-3.3038506632058304E-2</v>
      </c>
    </row>
    <row r="2506" spans="1:7" x14ac:dyDescent="0.35">
      <c r="A2506" t="s">
        <v>135</v>
      </c>
      <c r="E2506">
        <v>4.5596368402053382E-3</v>
      </c>
      <c r="F2506">
        <f t="shared" si="84"/>
        <v>-1.8614910886588707E-2</v>
      </c>
      <c r="G2506">
        <f t="shared" si="85"/>
        <v>-3.3038506632058304E-2</v>
      </c>
    </row>
    <row r="2507" spans="1:7" x14ac:dyDescent="0.35">
      <c r="A2507" t="s">
        <v>135</v>
      </c>
      <c r="E2507">
        <v>-2.0678769206015687E-2</v>
      </c>
      <c r="F2507">
        <f t="shared" si="84"/>
        <v>-1.8620020022883779E-2</v>
      </c>
      <c r="G2507">
        <f t="shared" si="85"/>
        <v>-3.3038506632058304E-2</v>
      </c>
    </row>
    <row r="2508" spans="1:7" x14ac:dyDescent="0.35">
      <c r="A2508" t="s">
        <v>135</v>
      </c>
      <c r="E2508">
        <v>1.2509115131371795E-2</v>
      </c>
      <c r="F2508">
        <f t="shared" si="84"/>
        <v>-1.8534509731646179E-2</v>
      </c>
      <c r="G2508">
        <f t="shared" si="85"/>
        <v>-3.3006283353024503E-2</v>
      </c>
    </row>
    <row r="2509" spans="1:7" x14ac:dyDescent="0.35">
      <c r="A2509" t="s">
        <v>135</v>
      </c>
      <c r="E2509">
        <v>6.568288909083432E-3</v>
      </c>
      <c r="F2509">
        <f t="shared" si="84"/>
        <v>-1.8538655259743856E-2</v>
      </c>
      <c r="G2509">
        <f t="shared" si="85"/>
        <v>-3.3006283353024503E-2</v>
      </c>
    </row>
    <row r="2510" spans="1:7" x14ac:dyDescent="0.35">
      <c r="A2510" t="s">
        <v>135</v>
      </c>
      <c r="E2510">
        <v>-7.2327722977174663E-3</v>
      </c>
      <c r="F2510">
        <f t="shared" si="84"/>
        <v>-1.8542800787841526E-2</v>
      </c>
      <c r="G2510">
        <f t="shared" si="85"/>
        <v>-3.3006283353024503E-2</v>
      </c>
    </row>
    <row r="2511" spans="1:7" x14ac:dyDescent="0.35">
      <c r="A2511" t="s">
        <v>135</v>
      </c>
      <c r="E2511">
        <v>-1.1673821139254255E-2</v>
      </c>
      <c r="F2511">
        <f t="shared" si="84"/>
        <v>-1.85469463159392E-2</v>
      </c>
      <c r="G2511">
        <f t="shared" si="85"/>
        <v>-3.3006283353024503E-2</v>
      </c>
    </row>
    <row r="2512" spans="1:7" x14ac:dyDescent="0.35">
      <c r="A2512" t="s">
        <v>136</v>
      </c>
      <c r="B2512" s="3" cm="1">
        <f t="array" ref="B2512">_xlfn.STDEV.S(_xlfn._xlws.FILTER($E$2013:$E$3011, $A$2013:$A$3011="2020-02"))</f>
        <v>1.6928566873384201E-2</v>
      </c>
      <c r="C2512" s="3" cm="1">
        <f t="array" ref="C2512">AVERAGE(_xlfn._xlws.FILTER($E$2013:$E$3011, $A$2013:$A$3011="2020-02"))</f>
        <v>-3.565140426067885E-3</v>
      </c>
      <c r="D2512" s="3" cm="1">
        <f t="array" ref="D2512">_xlfn.PERCENTILE.EXC(_xlfn._xlws.FILTER($E$2490:$E$3818, $A$2490:$A$3818="2020-02"), 0.05)</f>
        <v>-4.13152059205436E-2</v>
      </c>
      <c r="E2512">
        <v>3.9206127162297634E-3</v>
      </c>
      <c r="F2512">
        <f t="shared" si="84"/>
        <v>-1.8551091844036874E-2</v>
      </c>
      <c r="G2512">
        <f t="shared" si="85"/>
        <v>-3.3006283353024503E-2</v>
      </c>
    </row>
    <row r="2513" spans="1:7" x14ac:dyDescent="0.35">
      <c r="A2513" t="s">
        <v>136</v>
      </c>
      <c r="E2513">
        <v>1.6681464025551637E-2</v>
      </c>
      <c r="F2513">
        <f t="shared" si="84"/>
        <v>-1.8555237372134548E-2</v>
      </c>
      <c r="G2513">
        <f t="shared" si="85"/>
        <v>-3.3006283353024503E-2</v>
      </c>
    </row>
    <row r="2514" spans="1:7" x14ac:dyDescent="0.35">
      <c r="A2514" t="s">
        <v>136</v>
      </c>
      <c r="E2514">
        <v>1.6068227062441057E-2</v>
      </c>
      <c r="F2514">
        <f t="shared" si="84"/>
        <v>-1.8559382900232221E-2</v>
      </c>
      <c r="G2514">
        <f t="shared" si="85"/>
        <v>-3.3006283353024503E-2</v>
      </c>
    </row>
    <row r="2515" spans="1:7" x14ac:dyDescent="0.35">
      <c r="A2515" t="s">
        <v>136</v>
      </c>
      <c r="E2515">
        <v>9.575527230896325E-3</v>
      </c>
      <c r="F2515">
        <f t="shared" si="84"/>
        <v>-1.8563528428329895E-2</v>
      </c>
      <c r="G2515">
        <f t="shared" si="85"/>
        <v>-3.3006283353024503E-2</v>
      </c>
    </row>
    <row r="2516" spans="1:7" x14ac:dyDescent="0.35">
      <c r="A2516" t="s">
        <v>136</v>
      </c>
      <c r="E2516">
        <v>-3.0577455244609861E-5</v>
      </c>
      <c r="F2516">
        <f t="shared" si="84"/>
        <v>-1.8567673956427569E-2</v>
      </c>
      <c r="G2516">
        <f t="shared" si="85"/>
        <v>-3.3006283353024503E-2</v>
      </c>
    </row>
    <row r="2517" spans="1:7" x14ac:dyDescent="0.35">
      <c r="A2517" t="s">
        <v>136</v>
      </c>
      <c r="E2517">
        <v>5.0950222735653443E-4</v>
      </c>
      <c r="F2517">
        <f t="shared" si="84"/>
        <v>-1.8571819484525243E-2</v>
      </c>
      <c r="G2517">
        <f t="shared" si="85"/>
        <v>-3.3006283353024503E-2</v>
      </c>
    </row>
    <row r="2518" spans="1:7" x14ac:dyDescent="0.35">
      <c r="A2518" t="s">
        <v>136</v>
      </c>
      <c r="E2518">
        <v>6.7619276259378077E-3</v>
      </c>
      <c r="F2518">
        <f t="shared" si="84"/>
        <v>-1.8575965012622916E-2</v>
      </c>
      <c r="G2518">
        <f t="shared" si="85"/>
        <v>-3.3006283353024503E-2</v>
      </c>
    </row>
    <row r="2519" spans="1:7" x14ac:dyDescent="0.35">
      <c r="A2519" t="s">
        <v>136</v>
      </c>
      <c r="E2519">
        <v>5.8316262729613258E-3</v>
      </c>
      <c r="F2519">
        <f t="shared" si="84"/>
        <v>-1.858011054072059E-2</v>
      </c>
      <c r="G2519">
        <f t="shared" si="85"/>
        <v>-3.3006283353024503E-2</v>
      </c>
    </row>
    <row r="2520" spans="1:7" x14ac:dyDescent="0.35">
      <c r="A2520" t="s">
        <v>136</v>
      </c>
      <c r="E2520">
        <v>-3.0830948039771763E-3</v>
      </c>
      <c r="F2520">
        <f t="shared" si="84"/>
        <v>-1.8584256068818264E-2</v>
      </c>
      <c r="G2520">
        <f t="shared" si="85"/>
        <v>-3.3006283353024503E-2</v>
      </c>
    </row>
    <row r="2521" spans="1:7" x14ac:dyDescent="0.35">
      <c r="A2521" t="s">
        <v>136</v>
      </c>
      <c r="E2521">
        <v>4.7315683292841011E-3</v>
      </c>
      <c r="F2521">
        <f t="shared" si="84"/>
        <v>-1.8589365205113336E-2</v>
      </c>
      <c r="G2521">
        <f t="shared" si="85"/>
        <v>-3.3231627529340224E-2</v>
      </c>
    </row>
    <row r="2522" spans="1:7" x14ac:dyDescent="0.35">
      <c r="A2522" t="s">
        <v>136</v>
      </c>
      <c r="E2522">
        <v>6.5468976021838422E-3</v>
      </c>
      <c r="F2522">
        <f t="shared" si="84"/>
        <v>-1.8594474341408412E-2</v>
      </c>
      <c r="G2522">
        <f t="shared" si="85"/>
        <v>-3.3231627529340224E-2</v>
      </c>
    </row>
    <row r="2523" spans="1:7" x14ac:dyDescent="0.35">
      <c r="A2523" t="s">
        <v>136</v>
      </c>
      <c r="E2523">
        <v>-1.6377075759455341E-3</v>
      </c>
      <c r="F2523">
        <f t="shared" si="84"/>
        <v>-1.8599583477703484E-2</v>
      </c>
      <c r="G2523">
        <f t="shared" si="85"/>
        <v>-3.3231627529340224E-2</v>
      </c>
    </row>
    <row r="2524" spans="1:7" x14ac:dyDescent="0.35">
      <c r="A2524" t="s">
        <v>136</v>
      </c>
      <c r="E2524">
        <v>7.7454168809811706E-3</v>
      </c>
      <c r="F2524">
        <f t="shared" si="84"/>
        <v>-1.8604692613998559E-2</v>
      </c>
      <c r="G2524">
        <f t="shared" si="85"/>
        <v>-3.3231627529340224E-2</v>
      </c>
    </row>
    <row r="2525" spans="1:7" x14ac:dyDescent="0.35">
      <c r="A2525" t="s">
        <v>136</v>
      </c>
      <c r="E2525">
        <v>-1.5249163818814327E-2</v>
      </c>
      <c r="F2525">
        <f t="shared" si="84"/>
        <v>-1.8609801750293632E-2</v>
      </c>
      <c r="G2525">
        <f t="shared" si="85"/>
        <v>-3.3231627529340224E-2</v>
      </c>
    </row>
    <row r="2526" spans="1:7" x14ac:dyDescent="0.35">
      <c r="A2526" t="s">
        <v>136</v>
      </c>
      <c r="E2526">
        <v>-4.5213326119176878E-3</v>
      </c>
      <c r="F2526">
        <f t="shared" si="84"/>
        <v>-1.8614910886588707E-2</v>
      </c>
      <c r="G2526">
        <f t="shared" si="85"/>
        <v>-3.3231627529340224E-2</v>
      </c>
    </row>
    <row r="2527" spans="1:7" x14ac:dyDescent="0.35">
      <c r="A2527" t="s">
        <v>136</v>
      </c>
      <c r="E2527">
        <v>-4.1586398867063716E-2</v>
      </c>
      <c r="F2527">
        <f t="shared" si="84"/>
        <v>-1.8620020022883779E-2</v>
      </c>
      <c r="G2527">
        <f t="shared" si="85"/>
        <v>-3.3231627529340224E-2</v>
      </c>
    </row>
    <row r="2528" spans="1:7" x14ac:dyDescent="0.35">
      <c r="A2528" t="s">
        <v>136</v>
      </c>
      <c r="E2528">
        <v>-2.4843412171160369E-2</v>
      </c>
      <c r="F2528">
        <f t="shared" si="84"/>
        <v>-1.8534509731646179E-2</v>
      </c>
      <c r="G2528">
        <f t="shared" si="85"/>
        <v>-3.2872219048117636E-2</v>
      </c>
    </row>
    <row r="2529" spans="1:7" x14ac:dyDescent="0.35">
      <c r="A2529" t="s">
        <v>136</v>
      </c>
      <c r="E2529">
        <v>7.1091878296387148E-3</v>
      </c>
      <c r="F2529">
        <f t="shared" si="84"/>
        <v>-1.8434271716779343E-2</v>
      </c>
      <c r="G2529">
        <f t="shared" si="85"/>
        <v>-3.2773124256488019E-2</v>
      </c>
    </row>
    <row r="2530" spans="1:7" x14ac:dyDescent="0.35">
      <c r="A2530" t="s">
        <v>136</v>
      </c>
      <c r="E2530">
        <v>-3.6162539936661353E-2</v>
      </c>
      <c r="F2530">
        <f t="shared" si="84"/>
        <v>-1.844036933405984E-2</v>
      </c>
      <c r="G2530">
        <f t="shared" si="85"/>
        <v>-3.2773124256488019E-2</v>
      </c>
    </row>
    <row r="2531" spans="1:7" x14ac:dyDescent="0.35">
      <c r="A2531" t="s">
        <v>136</v>
      </c>
      <c r="E2531">
        <v>-2.9670539084035202E-2</v>
      </c>
      <c r="F2531">
        <f t="shared" si="84"/>
        <v>-1.8271181203671816E-2</v>
      </c>
      <c r="G2531">
        <f t="shared" si="85"/>
        <v>-3.2495262588122291E-2</v>
      </c>
    </row>
    <row r="2532" spans="1:7" x14ac:dyDescent="0.35">
      <c r="A2532" t="s">
        <v>137</v>
      </c>
      <c r="B2532" s="3" cm="1">
        <f t="array" ref="B2532">_xlfn.STDEV.S(_xlfn._xlws.FILTER($E$2013:$E$3011, $A$2013:$A$3011="2020-03"))</f>
        <v>5.064536810261637E-2</v>
      </c>
      <c r="C2532" s="3" cm="1">
        <f t="array" ref="C2532">AVERAGE(_xlfn._xlws.FILTER($E$2013:$E$3011, $A$2013:$A$3011="2020-03"))</f>
        <v>-1.1418768088946485E-2</v>
      </c>
      <c r="D2532" s="3" cm="1">
        <f t="array" ref="D2532">_xlfn.PERCENTILE.EXC(_xlfn._xlws.FILTER($E$2490:$E$3818, $A$2490:$A$3818="2020-03"), 0.05)</f>
        <v>-0.14123096701243235</v>
      </c>
      <c r="E2532">
        <v>2.0956565755447256E-3</v>
      </c>
      <c r="F2532">
        <f t="shared" si="84"/>
        <v>-1.8132229546350898E-2</v>
      </c>
      <c r="G2532">
        <f t="shared" si="85"/>
        <v>-3.2315081073440548E-2</v>
      </c>
    </row>
    <row r="2533" spans="1:7" x14ac:dyDescent="0.35">
      <c r="A2533" t="s">
        <v>137</v>
      </c>
      <c r="E2533">
        <v>7.9872356078614752E-3</v>
      </c>
      <c r="F2533">
        <f t="shared" si="84"/>
        <v>-1.8133066121107488E-2</v>
      </c>
      <c r="G2533">
        <f t="shared" si="85"/>
        <v>-3.2315081073440548E-2</v>
      </c>
    </row>
    <row r="2534" spans="1:7" x14ac:dyDescent="0.35">
      <c r="A2534" t="s">
        <v>137</v>
      </c>
      <c r="E2534">
        <v>1.1105206219289867E-2</v>
      </c>
      <c r="F2534">
        <f t="shared" si="84"/>
        <v>-1.8133902695864079E-2</v>
      </c>
      <c r="G2534">
        <f t="shared" si="85"/>
        <v>-3.2315081073440548E-2</v>
      </c>
    </row>
    <row r="2535" spans="1:7" x14ac:dyDescent="0.35">
      <c r="A2535" t="s">
        <v>137</v>
      </c>
      <c r="E2535">
        <v>-2.5807150404209864E-2</v>
      </c>
      <c r="F2535">
        <f t="shared" si="84"/>
        <v>-1.8134739270620669E-2</v>
      </c>
      <c r="G2535">
        <f t="shared" si="85"/>
        <v>-3.2315081073440548E-2</v>
      </c>
    </row>
    <row r="2536" spans="1:7" x14ac:dyDescent="0.35">
      <c r="A2536" t="s">
        <v>137</v>
      </c>
      <c r="E2536">
        <v>-3.6044374142483675E-2</v>
      </c>
      <c r="F2536">
        <f t="shared" si="84"/>
        <v>-1.8080142019296929E-2</v>
      </c>
      <c r="G2536">
        <f t="shared" si="85"/>
        <v>-3.2195003577269642E-2</v>
      </c>
    </row>
    <row r="2537" spans="1:7" x14ac:dyDescent="0.35">
      <c r="A2537" t="s">
        <v>137</v>
      </c>
      <c r="E2537">
        <v>-8.2973155769378582E-2</v>
      </c>
      <c r="F2537">
        <f t="shared" si="84"/>
        <v>-1.7911933291643867E-2</v>
      </c>
      <c r="G2537">
        <f t="shared" si="85"/>
        <v>-3.1911684410971419E-2</v>
      </c>
    </row>
    <row r="2538" spans="1:7" x14ac:dyDescent="0.35">
      <c r="A2538" t="s">
        <v>137</v>
      </c>
      <c r="E2538">
        <v>-3.2593094777260204E-2</v>
      </c>
      <c r="F2538">
        <f t="shared" si="84"/>
        <v>-1.7906202455972159E-2</v>
      </c>
      <c r="G2538">
        <f t="shared" si="85"/>
        <v>-3.0895101551778641E-2</v>
      </c>
    </row>
    <row r="2539" spans="1:7" x14ac:dyDescent="0.35">
      <c r="A2539" t="s">
        <v>137</v>
      </c>
      <c r="E2539">
        <v>-3.369605615460616E-3</v>
      </c>
      <c r="F2539">
        <f t="shared" si="84"/>
        <v>-1.785362975424298E-2</v>
      </c>
      <c r="G2539">
        <f t="shared" si="85"/>
        <v>-3.0664824282295753E-2</v>
      </c>
    </row>
    <row r="2540" spans="1:7" x14ac:dyDescent="0.35">
      <c r="A2540" t="s">
        <v>137</v>
      </c>
      <c r="E2540">
        <v>-0.15151175723179477</v>
      </c>
      <c r="F2540">
        <f t="shared" si="84"/>
        <v>-1.7855349530355776E-2</v>
      </c>
      <c r="G2540">
        <f t="shared" si="85"/>
        <v>-3.0664824282295753E-2</v>
      </c>
    </row>
    <row r="2541" spans="1:7" x14ac:dyDescent="0.35">
      <c r="A2541" t="s">
        <v>137</v>
      </c>
      <c r="E2541">
        <v>3.6669367010565508E-2</v>
      </c>
      <c r="F2541">
        <f t="shared" si="84"/>
        <v>-1.7822673784212664E-2</v>
      </c>
      <c r="G2541">
        <f t="shared" si="85"/>
        <v>-2.874661899738307E-2</v>
      </c>
    </row>
    <row r="2542" spans="1:7" x14ac:dyDescent="0.35">
      <c r="A2542" t="s">
        <v>137</v>
      </c>
      <c r="E2542">
        <v>-8.2076067543867579E-2</v>
      </c>
      <c r="F2542">
        <f t="shared" si="84"/>
        <v>-1.7824393560325457E-2</v>
      </c>
      <c r="G2542">
        <f t="shared" si="85"/>
        <v>-2.874661899738307E-2</v>
      </c>
    </row>
    <row r="2543" spans="1:7" x14ac:dyDescent="0.35">
      <c r="A2543" t="s">
        <v>137</v>
      </c>
      <c r="E2543">
        <v>6.2102978030677942E-2</v>
      </c>
      <c r="F2543">
        <f t="shared" si="84"/>
        <v>-1.7768719965309002E-2</v>
      </c>
      <c r="G2543">
        <f t="shared" si="85"/>
        <v>-2.7726696560307386E-2</v>
      </c>
    </row>
    <row r="2544" spans="1:7" x14ac:dyDescent="0.35">
      <c r="A2544" t="s">
        <v>137</v>
      </c>
      <c r="E2544">
        <v>-3.5029769039557887E-2</v>
      </c>
      <c r="F2544">
        <f t="shared" si="84"/>
        <v>-1.7771792556061407E-2</v>
      </c>
      <c r="G2544">
        <f t="shared" si="85"/>
        <v>-2.7726696560307386E-2</v>
      </c>
    </row>
    <row r="2545" spans="1:7" x14ac:dyDescent="0.35">
      <c r="A2545" t="s">
        <v>137</v>
      </c>
      <c r="E2545">
        <v>1.9099912939392578E-2</v>
      </c>
      <c r="F2545">
        <f t="shared" si="84"/>
        <v>-1.7612013075887004E-2</v>
      </c>
      <c r="G2545">
        <f t="shared" si="85"/>
        <v>-2.7452565340521574E-2</v>
      </c>
    </row>
    <row r="2546" spans="1:7" x14ac:dyDescent="0.35">
      <c r="A2546" t="s">
        <v>137</v>
      </c>
      <c r="E2546">
        <v>7.399306293665143E-3</v>
      </c>
      <c r="F2546">
        <f t="shared" si="84"/>
        <v>-1.7621845683697991E-2</v>
      </c>
      <c r="G2546">
        <f t="shared" si="85"/>
        <v>-2.7452565340521574E-2</v>
      </c>
    </row>
    <row r="2547" spans="1:7" x14ac:dyDescent="0.35">
      <c r="A2547" t="s">
        <v>137</v>
      </c>
      <c r="E2547">
        <v>-3.3632396220193733E-2</v>
      </c>
      <c r="F2547">
        <f t="shared" si="84"/>
        <v>-1.7631678291508975E-2</v>
      </c>
      <c r="G2547">
        <f t="shared" si="85"/>
        <v>-2.7452565340521574E-2</v>
      </c>
    </row>
    <row r="2548" spans="1:7" x14ac:dyDescent="0.35">
      <c r="A2548" t="s">
        <v>137</v>
      </c>
      <c r="E2548">
        <v>7.5277853070453454E-2</v>
      </c>
      <c r="F2548">
        <f t="shared" si="84"/>
        <v>-1.7501315705654732E-2</v>
      </c>
      <c r="G2548">
        <f t="shared" si="85"/>
        <v>-2.7197493178880924E-2</v>
      </c>
    </row>
    <row r="2549" spans="1:7" x14ac:dyDescent="0.35">
      <c r="A2549" t="s">
        <v>137</v>
      </c>
      <c r="E2549">
        <v>3.2961247978683557E-2</v>
      </c>
      <c r="F2549">
        <f t="shared" si="84"/>
        <v>-1.7506443566586177E-2</v>
      </c>
      <c r="G2549">
        <f t="shared" si="85"/>
        <v>-2.7197493178880924E-2</v>
      </c>
    </row>
    <row r="2550" spans="1:7" x14ac:dyDescent="0.35">
      <c r="A2550" t="s">
        <v>137</v>
      </c>
      <c r="E2550">
        <v>1.299425822629767E-2</v>
      </c>
      <c r="F2550">
        <f t="shared" si="84"/>
        <v>-1.7511571427517622E-2</v>
      </c>
      <c r="G2550">
        <f t="shared" si="85"/>
        <v>-2.7197493178880924E-2</v>
      </c>
    </row>
    <row r="2551" spans="1:7" x14ac:dyDescent="0.35">
      <c r="A2551" t="s">
        <v>137</v>
      </c>
      <c r="E2551">
        <v>-3.6974474826858429E-2</v>
      </c>
      <c r="F2551">
        <f t="shared" si="84"/>
        <v>-1.7516699288449067E-2</v>
      </c>
      <c r="G2551">
        <f t="shared" si="85"/>
        <v>-2.7197493178880924E-2</v>
      </c>
    </row>
    <row r="2552" spans="1:7" x14ac:dyDescent="0.35">
      <c r="A2552" t="s">
        <v>137</v>
      </c>
      <c r="E2552">
        <v>-1.7562850036832077E-2</v>
      </c>
      <c r="F2552">
        <f t="shared" si="84"/>
        <v>-1.7418444582979479E-2</v>
      </c>
      <c r="G2552">
        <f t="shared" si="85"/>
        <v>-2.6887744258108616E-2</v>
      </c>
    </row>
    <row r="2553" spans="1:7" x14ac:dyDescent="0.35">
      <c r="A2553" t="s">
        <v>137</v>
      </c>
      <c r="E2553">
        <v>1.8668775698642951E-2</v>
      </c>
      <c r="F2553">
        <f t="shared" si="84"/>
        <v>-1.7346473994629158E-2</v>
      </c>
      <c r="G2553">
        <f t="shared" si="85"/>
        <v>-2.6884455721494515E-2</v>
      </c>
    </row>
    <row r="2554" spans="1:7" x14ac:dyDescent="0.35">
      <c r="A2554" t="s">
        <v>138</v>
      </c>
      <c r="B2554" s="3" cm="1">
        <f t="array" ref="B2554">_xlfn.STDEV.S(_xlfn._xlws.FILTER($E$2013:$E$3011, $A$2013:$A$3011="2020-04"))</f>
        <v>2.1292476967355044E-2</v>
      </c>
      <c r="C2554" s="3" cm="1">
        <f t="array" ref="C2554">AVERAGE(_xlfn._xlws.FILTER($E$2013:$E$3011, $A$2013:$A$3011="2020-04"))</f>
        <v>9.987419612960968E-4</v>
      </c>
      <c r="D2554" s="3" cm="1">
        <f t="array" ref="D2554">_xlfn.PERCENTILE.EXC(_xlfn._xlws.FILTER($E$2490:$E$3818, $A$2490:$A$3818="2020-04"), 0.05)</f>
        <v>-3.8202639124834709E-2</v>
      </c>
      <c r="E2554">
        <v>-3.0829689353950019E-2</v>
      </c>
      <c r="F2554">
        <f t="shared" si="84"/>
        <v>-1.7347788028274129E-2</v>
      </c>
      <c r="G2554">
        <f t="shared" si="85"/>
        <v>-2.6884455721494515E-2</v>
      </c>
    </row>
    <row r="2555" spans="1:7" x14ac:dyDescent="0.35">
      <c r="A2555" t="s">
        <v>138</v>
      </c>
      <c r="E2555">
        <v>-8.0586920391206547E-4</v>
      </c>
      <c r="F2555">
        <f t="shared" si="84"/>
        <v>-1.7323968601311107E-2</v>
      </c>
      <c r="G2555">
        <f t="shared" si="85"/>
        <v>-2.6670165280276967E-2</v>
      </c>
    </row>
    <row r="2556" spans="1:7" x14ac:dyDescent="0.35">
      <c r="A2556" t="s">
        <v>138</v>
      </c>
      <c r="E2556">
        <v>1.1401903072464138E-3</v>
      </c>
      <c r="F2556">
        <f t="shared" si="84"/>
        <v>-1.7325053192497792E-2</v>
      </c>
      <c r="G2556">
        <f t="shared" si="85"/>
        <v>-2.6670165280276967E-2</v>
      </c>
    </row>
    <row r="2557" spans="1:7" x14ac:dyDescent="0.35">
      <c r="A2557" t="s">
        <v>138</v>
      </c>
      <c r="E2557">
        <v>3.9138312211876906E-2</v>
      </c>
      <c r="F2557">
        <f t="shared" si="84"/>
        <v>-1.732613778368448E-2</v>
      </c>
      <c r="G2557">
        <f t="shared" si="85"/>
        <v>-2.6670165280276967E-2</v>
      </c>
    </row>
    <row r="2558" spans="1:7" x14ac:dyDescent="0.35">
      <c r="A2558" t="s">
        <v>138</v>
      </c>
      <c r="E2558">
        <v>2.2779633448013408E-2</v>
      </c>
      <c r="F2558">
        <f t="shared" si="84"/>
        <v>-1.7327222374871165E-2</v>
      </c>
      <c r="G2558">
        <f t="shared" si="85"/>
        <v>-2.6670165280276967E-2</v>
      </c>
    </row>
    <row r="2559" spans="1:7" x14ac:dyDescent="0.35">
      <c r="A2559" t="s">
        <v>138</v>
      </c>
      <c r="E2559">
        <v>-7.1952036828647438E-3</v>
      </c>
      <c r="F2559">
        <f t="shared" si="84"/>
        <v>-1.7328306966057853E-2</v>
      </c>
      <c r="G2559">
        <f t="shared" si="85"/>
        <v>-2.6670165280276967E-2</v>
      </c>
    </row>
    <row r="2560" spans="1:7" x14ac:dyDescent="0.35">
      <c r="A2560" t="s">
        <v>138</v>
      </c>
      <c r="E2560">
        <v>1.6944723087408485E-2</v>
      </c>
      <c r="F2560">
        <f t="shared" si="84"/>
        <v>-1.7329391557244538E-2</v>
      </c>
      <c r="G2560">
        <f t="shared" si="85"/>
        <v>-2.6670165280276967E-2</v>
      </c>
    </row>
    <row r="2561" spans="1:7" x14ac:dyDescent="0.35">
      <c r="A2561" t="s">
        <v>138</v>
      </c>
      <c r="E2561">
        <v>5.3599767231202961E-3</v>
      </c>
      <c r="F2561">
        <f t="shared" si="84"/>
        <v>-1.7330705590889509E-2</v>
      </c>
      <c r="G2561">
        <f t="shared" si="85"/>
        <v>-2.6820822920971037E-2</v>
      </c>
    </row>
    <row r="2562" spans="1:7" x14ac:dyDescent="0.35">
      <c r="A2562" t="s">
        <v>138</v>
      </c>
      <c r="E2562">
        <v>-3.8590689112776008E-2</v>
      </c>
      <c r="F2562">
        <f t="shared" si="84"/>
        <v>-1.733201962453448E-2</v>
      </c>
      <c r="G2562">
        <f t="shared" si="85"/>
        <v>-2.6820822920971037E-2</v>
      </c>
    </row>
    <row r="2563" spans="1:7" x14ac:dyDescent="0.35">
      <c r="A2563" t="s">
        <v>138</v>
      </c>
      <c r="E2563">
        <v>-1.1188907353879505E-2</v>
      </c>
      <c r="F2563">
        <f t="shared" si="84"/>
        <v>-1.7310953507070868E-2</v>
      </c>
      <c r="G2563">
        <f t="shared" si="85"/>
        <v>-2.6477898766849566E-2</v>
      </c>
    </row>
    <row r="2564" spans="1:7" x14ac:dyDescent="0.35">
      <c r="A2564" t="s">
        <v>138</v>
      </c>
      <c r="E2564">
        <v>1.6482278225793331E-2</v>
      </c>
      <c r="F2564">
        <f t="shared" ref="F2564:F2627" si="86">_xlfn.PERCENTILE.EXC(E2564:E6379,0.05)</f>
        <v>-1.7312038098257557E-2</v>
      </c>
      <c r="G2564">
        <f t="shared" ref="G2564:G2627" si="87">AVERAGEIFS(E2564:E6380,E2564:E6380,"&lt;=" &amp; F2564)</f>
        <v>-2.6477898766849566E-2</v>
      </c>
    </row>
    <row r="2565" spans="1:7" x14ac:dyDescent="0.35">
      <c r="A2565" t="s">
        <v>138</v>
      </c>
      <c r="E2565">
        <v>-6.4637316228704222E-3</v>
      </c>
      <c r="F2565">
        <f t="shared" si="86"/>
        <v>-1.7313122689444242E-2</v>
      </c>
      <c r="G2565">
        <f t="shared" si="87"/>
        <v>-2.6477898766849566E-2</v>
      </c>
    </row>
    <row r="2566" spans="1:7" x14ac:dyDescent="0.35">
      <c r="A2566" t="s">
        <v>138</v>
      </c>
      <c r="E2566">
        <v>-2.9200672715865027E-2</v>
      </c>
      <c r="F2566">
        <f t="shared" si="86"/>
        <v>-1.731420728063093E-2</v>
      </c>
      <c r="G2566">
        <f t="shared" si="87"/>
        <v>-2.6477898766849566E-2</v>
      </c>
    </row>
    <row r="2567" spans="1:7" x14ac:dyDescent="0.35">
      <c r="A2567" t="s">
        <v>138</v>
      </c>
      <c r="E2567">
        <v>1.2714796106861581E-2</v>
      </c>
      <c r="F2567">
        <f t="shared" si="86"/>
        <v>-1.7249674229694815E-2</v>
      </c>
      <c r="G2567">
        <f t="shared" si="87"/>
        <v>-2.6286076621972885E-2</v>
      </c>
    </row>
    <row r="2568" spans="1:7" x14ac:dyDescent="0.35">
      <c r="A2568" t="s">
        <v>138</v>
      </c>
      <c r="E2568">
        <v>3.9654597013029638E-3</v>
      </c>
      <c r="F2568">
        <f t="shared" si="86"/>
        <v>-1.7254137729988354E-2</v>
      </c>
      <c r="G2568">
        <f t="shared" si="87"/>
        <v>-2.6286076621972885E-2</v>
      </c>
    </row>
    <row r="2569" spans="1:7" x14ac:dyDescent="0.35">
      <c r="A2569" t="s">
        <v>138</v>
      </c>
      <c r="E2569">
        <v>-1.9850356887008331E-2</v>
      </c>
      <c r="F2569">
        <f t="shared" si="86"/>
        <v>-1.7258601230281893E-2</v>
      </c>
      <c r="G2569">
        <f t="shared" si="87"/>
        <v>-2.6286076621972885E-2</v>
      </c>
    </row>
    <row r="2570" spans="1:7" x14ac:dyDescent="0.35">
      <c r="A2570" t="s">
        <v>138</v>
      </c>
      <c r="E2570">
        <v>1.7669072032307997E-2</v>
      </c>
      <c r="F2570">
        <f t="shared" si="86"/>
        <v>-1.7201036478086969E-2</v>
      </c>
      <c r="G2570">
        <f t="shared" si="87"/>
        <v>-2.6243626183918553E-2</v>
      </c>
    </row>
    <row r="2571" spans="1:7" x14ac:dyDescent="0.35">
      <c r="A2571" t="s">
        <v>138</v>
      </c>
      <c r="E2571">
        <v>1.5418710258208469E-2</v>
      </c>
      <c r="F2571">
        <f t="shared" si="86"/>
        <v>-1.7202775803042279E-2</v>
      </c>
      <c r="G2571">
        <f t="shared" si="87"/>
        <v>-2.6243626183918553E-2</v>
      </c>
    </row>
    <row r="2572" spans="1:7" x14ac:dyDescent="0.35">
      <c r="A2572" t="s">
        <v>138</v>
      </c>
      <c r="E2572">
        <v>3.1574523501600706E-2</v>
      </c>
      <c r="F2572">
        <f t="shared" si="86"/>
        <v>-1.7204515127997585E-2</v>
      </c>
      <c r="G2572">
        <f t="shared" si="87"/>
        <v>-2.6243626183918553E-2</v>
      </c>
    </row>
    <row r="2573" spans="1:7" x14ac:dyDescent="0.35">
      <c r="A2573" t="s">
        <v>138</v>
      </c>
      <c r="E2573">
        <v>-1.908771644469251E-2</v>
      </c>
      <c r="F2573">
        <f t="shared" si="86"/>
        <v>-1.7206254452952895E-2</v>
      </c>
      <c r="G2573">
        <f t="shared" si="87"/>
        <v>-2.6243626183918553E-2</v>
      </c>
    </row>
    <row r="2574" spans="1:7" x14ac:dyDescent="0.35">
      <c r="A2574" t="s">
        <v>139</v>
      </c>
      <c r="B2574" s="3" cm="1">
        <f t="array" ref="B2574">_xlfn.STDEV.S(_xlfn._xlws.FILTER($E$2013:$E$3011, $A$2013:$A$3011="2020-05"))</f>
        <v>2.2226282849092258E-2</v>
      </c>
      <c r="C2574" s="3" cm="1">
        <f t="array" ref="C2574">AVERAGE(_xlfn._xlws.FILTER($E$2013:$E$3011, $A$2013:$A$3011="2020-05"))</f>
        <v>1.3807566893363303E-3</v>
      </c>
      <c r="D2574" s="3" cm="1">
        <f t="array" ref="D2574">_xlfn.PERCENTILE.INC(_xlfn._xlws.FILTER($E$2490:$E$3818, $A$2490:$A$3818="2020-05"), 0.05)</f>
        <v>-2.7107448971331053E-2</v>
      </c>
      <c r="E2574">
        <v>-3.6633594147626597E-2</v>
      </c>
      <c r="F2574">
        <f t="shared" si="86"/>
        <v>-1.7176167445815155E-2</v>
      </c>
      <c r="G2574">
        <f t="shared" si="87"/>
        <v>-2.6212915325593417E-2</v>
      </c>
    </row>
    <row r="2575" spans="1:7" x14ac:dyDescent="0.35">
      <c r="A2575" t="s">
        <v>139</v>
      </c>
      <c r="E2575">
        <v>1.1087215876886177E-2</v>
      </c>
      <c r="F2575">
        <f t="shared" si="86"/>
        <v>-1.7145538426215724E-2</v>
      </c>
      <c r="G2575">
        <f t="shared" si="87"/>
        <v>-2.5898804515999525E-2</v>
      </c>
    </row>
    <row r="2576" spans="1:7" x14ac:dyDescent="0.35">
      <c r="A2576" t="s">
        <v>139</v>
      </c>
      <c r="E2576">
        <v>-1.1327006061624605E-2</v>
      </c>
      <c r="F2576">
        <f t="shared" si="86"/>
        <v>-1.7148175531533534E-2</v>
      </c>
      <c r="G2576">
        <f t="shared" si="87"/>
        <v>-2.5898804515999525E-2</v>
      </c>
    </row>
    <row r="2577" spans="1:7" x14ac:dyDescent="0.35">
      <c r="A2577" t="s">
        <v>139</v>
      </c>
      <c r="E2577">
        <v>8.8341642679720042E-3</v>
      </c>
      <c r="F2577">
        <f t="shared" si="86"/>
        <v>-1.7150812636851344E-2</v>
      </c>
      <c r="G2577">
        <f t="shared" si="87"/>
        <v>-2.5898804515999525E-2</v>
      </c>
    </row>
    <row r="2578" spans="1:7" x14ac:dyDescent="0.35">
      <c r="A2578" t="s">
        <v>139</v>
      </c>
      <c r="E2578">
        <v>-8.7592236583699072E-3</v>
      </c>
      <c r="F2578">
        <f t="shared" si="86"/>
        <v>-1.7153449742169154E-2</v>
      </c>
      <c r="G2578">
        <f t="shared" si="87"/>
        <v>-2.5898804515999525E-2</v>
      </c>
    </row>
    <row r="2579" spans="1:7" x14ac:dyDescent="0.35">
      <c r="A2579" t="s">
        <v>139</v>
      </c>
      <c r="E2579">
        <v>1.3472577970281795E-2</v>
      </c>
      <c r="F2579">
        <f t="shared" si="86"/>
        <v>-1.7156086847486963E-2</v>
      </c>
      <c r="G2579">
        <f t="shared" si="87"/>
        <v>-2.5898804515999525E-2</v>
      </c>
    </row>
    <row r="2580" spans="1:7" x14ac:dyDescent="0.35">
      <c r="A2580" t="s">
        <v>139</v>
      </c>
      <c r="E2580">
        <v>-1.9606275302664854E-2</v>
      </c>
      <c r="F2580">
        <f t="shared" si="86"/>
        <v>-1.7158723952804773E-2</v>
      </c>
      <c r="G2580">
        <f t="shared" si="87"/>
        <v>-2.5898804515999525E-2</v>
      </c>
    </row>
    <row r="2581" spans="1:7" x14ac:dyDescent="0.35">
      <c r="A2581" t="s">
        <v>139</v>
      </c>
      <c r="E2581">
        <v>-1.3022875100978127E-2</v>
      </c>
      <c r="F2581">
        <f t="shared" si="86"/>
        <v>-1.7108618951766384E-2</v>
      </c>
      <c r="G2581">
        <f t="shared" si="87"/>
        <v>-2.6001960732611563E-2</v>
      </c>
    </row>
    <row r="2582" spans="1:7" x14ac:dyDescent="0.35">
      <c r="A2582" t="s">
        <v>139</v>
      </c>
      <c r="E2582">
        <v>-1.0859904742099779E-2</v>
      </c>
      <c r="F2582">
        <f t="shared" si="86"/>
        <v>-1.7111256057084193E-2</v>
      </c>
      <c r="G2582">
        <f t="shared" si="87"/>
        <v>-2.6001960732611563E-2</v>
      </c>
    </row>
    <row r="2583" spans="1:7" x14ac:dyDescent="0.35">
      <c r="A2583" t="s">
        <v>139</v>
      </c>
      <c r="E2583">
        <v>4.5940688333533632E-2</v>
      </c>
      <c r="F2583">
        <f t="shared" si="86"/>
        <v>-1.7113893162402003E-2</v>
      </c>
      <c r="G2583">
        <f t="shared" si="87"/>
        <v>-2.6001960732611563E-2</v>
      </c>
    </row>
    <row r="2584" spans="1:7" x14ac:dyDescent="0.35">
      <c r="A2584" t="s">
        <v>139</v>
      </c>
      <c r="E2584">
        <v>-2.542636452845537E-2</v>
      </c>
      <c r="F2584">
        <f t="shared" si="86"/>
        <v>-1.7116530267719813E-2</v>
      </c>
      <c r="G2584">
        <f t="shared" si="87"/>
        <v>-2.6001960732611563E-2</v>
      </c>
    </row>
    <row r="2585" spans="1:7" x14ac:dyDescent="0.35">
      <c r="A2585" t="s">
        <v>139</v>
      </c>
      <c r="E2585">
        <v>1.120927728187574E-2</v>
      </c>
      <c r="F2585">
        <f t="shared" si="86"/>
        <v>-1.7078632462371394E-2</v>
      </c>
      <c r="G2585">
        <f t="shared" si="87"/>
        <v>-2.5865561016513092E-2</v>
      </c>
    </row>
    <row r="2586" spans="1:7" x14ac:dyDescent="0.35">
      <c r="A2586" t="s">
        <v>139</v>
      </c>
      <c r="E2586">
        <v>3.7397997399149486E-4</v>
      </c>
      <c r="F2586">
        <f t="shared" si="86"/>
        <v>-1.7080455754643203E-2</v>
      </c>
      <c r="G2586">
        <f t="shared" si="87"/>
        <v>-2.5865561016513092E-2</v>
      </c>
    </row>
    <row r="2587" spans="1:7" x14ac:dyDescent="0.35">
      <c r="A2587" t="s">
        <v>139</v>
      </c>
      <c r="E2587">
        <v>1.7035779247838289E-3</v>
      </c>
      <c r="F2587">
        <f t="shared" si="86"/>
        <v>-1.7082279046915016E-2</v>
      </c>
      <c r="G2587">
        <f t="shared" si="87"/>
        <v>-2.5865561016513092E-2</v>
      </c>
    </row>
    <row r="2588" spans="1:7" x14ac:dyDescent="0.35">
      <c r="A2588" t="s">
        <v>139</v>
      </c>
      <c r="E2588">
        <v>4.4732814329370853E-2</v>
      </c>
      <c r="F2588">
        <f t="shared" si="86"/>
        <v>-1.7084102339186828E-2</v>
      </c>
      <c r="G2588">
        <f t="shared" si="87"/>
        <v>-2.5865561016513092E-2</v>
      </c>
    </row>
    <row r="2589" spans="1:7" x14ac:dyDescent="0.35">
      <c r="A2589" t="s">
        <v>139</v>
      </c>
      <c r="E2589">
        <v>2.4065936040326485E-2</v>
      </c>
      <c r="F2589">
        <f t="shared" si="86"/>
        <v>-1.7085925631458641E-2</v>
      </c>
      <c r="G2589">
        <f t="shared" si="87"/>
        <v>-2.5865561016513092E-2</v>
      </c>
    </row>
    <row r="2590" spans="1:7" x14ac:dyDescent="0.35">
      <c r="A2590" t="s">
        <v>139</v>
      </c>
      <c r="E2590">
        <v>6.8895859589510333E-3</v>
      </c>
      <c r="F2590">
        <f t="shared" si="86"/>
        <v>-1.7087748923730453E-2</v>
      </c>
      <c r="G2590">
        <f t="shared" si="87"/>
        <v>-2.5865561016513092E-2</v>
      </c>
    </row>
    <row r="2591" spans="1:7" x14ac:dyDescent="0.35">
      <c r="A2591" t="s">
        <v>139</v>
      </c>
      <c r="E2591">
        <v>-1.7820954008099868E-2</v>
      </c>
      <c r="F2591">
        <f t="shared" si="86"/>
        <v>-1.7089572216002265E-2</v>
      </c>
      <c r="G2591">
        <f t="shared" si="87"/>
        <v>-2.5865561016513092E-2</v>
      </c>
    </row>
    <row r="2592" spans="1:7" x14ac:dyDescent="0.35">
      <c r="A2592" t="s">
        <v>140</v>
      </c>
      <c r="B2592" s="3" cm="1">
        <f t="array" ref="B2592">_xlfn.STDEV.S(_xlfn._xlws.FILTER($E$2013:$E$3011, $A$2013:$A$3011="2020-06"))</f>
        <v>2.291695451356051E-2</v>
      </c>
      <c r="C2592" s="3" cm="1">
        <f t="array" ref="C2592">AVERAGE(_xlfn._xlws.FILTER($E$2013:$E$3011, $A$2013:$A$3011="2020-06"))</f>
        <v>8.9671191853226621E-4</v>
      </c>
      <c r="D2592" s="3" cm="1">
        <f t="array" ref="D2592">_xlfn.PERCENTILE.EXC(_xlfn._xlws.FILTER($E$2490:$E$3818, $A$2490:$A$3818="2020-06"), 0.05)</f>
        <v>-4.9818398171696546E-2</v>
      </c>
      <c r="E2592">
        <v>4.2972291415679785E-2</v>
      </c>
      <c r="F2592">
        <f t="shared" si="86"/>
        <v>-1.7038275552211591E-2</v>
      </c>
      <c r="G2592">
        <f t="shared" si="87"/>
        <v>-2.5853242360659195E-2</v>
      </c>
    </row>
    <row r="2593" spans="1:7" x14ac:dyDescent="0.35">
      <c r="A2593" t="s">
        <v>140</v>
      </c>
      <c r="E2593">
        <v>2.9041916024376124E-2</v>
      </c>
      <c r="F2593">
        <f t="shared" si="86"/>
        <v>-1.7042180608311683E-2</v>
      </c>
      <c r="G2593">
        <f t="shared" si="87"/>
        <v>-2.5853242360659195E-2</v>
      </c>
    </row>
    <row r="2594" spans="1:7" x14ac:dyDescent="0.35">
      <c r="A2594" t="s">
        <v>140</v>
      </c>
      <c r="E2594">
        <v>-7.845655387860067E-3</v>
      </c>
      <c r="F2594">
        <f t="shared" si="86"/>
        <v>-1.7046085664411775E-2</v>
      </c>
      <c r="G2594">
        <f t="shared" si="87"/>
        <v>-2.5853242360659195E-2</v>
      </c>
    </row>
    <row r="2595" spans="1:7" x14ac:dyDescent="0.35">
      <c r="A2595" t="s">
        <v>140</v>
      </c>
      <c r="E2595">
        <v>3.9618119548216812E-2</v>
      </c>
      <c r="F2595">
        <f t="shared" si="86"/>
        <v>-1.704999072051187E-2</v>
      </c>
      <c r="G2595">
        <f t="shared" si="87"/>
        <v>-2.5853242360659195E-2</v>
      </c>
    </row>
    <row r="2596" spans="1:7" x14ac:dyDescent="0.35">
      <c r="A2596" t="s">
        <v>140</v>
      </c>
      <c r="E2596">
        <v>2.9805903337209033E-3</v>
      </c>
      <c r="F2596">
        <f t="shared" si="86"/>
        <v>-1.7053895776611962E-2</v>
      </c>
      <c r="G2596">
        <f t="shared" si="87"/>
        <v>-2.5853242360659195E-2</v>
      </c>
    </row>
    <row r="2597" spans="1:7" x14ac:dyDescent="0.35">
      <c r="A2597" t="s">
        <v>140</v>
      </c>
      <c r="E2597">
        <v>-1.8379393161254885E-2</v>
      </c>
      <c r="F2597">
        <f t="shared" si="86"/>
        <v>-1.7057800832712054E-2</v>
      </c>
      <c r="G2597">
        <f t="shared" si="87"/>
        <v>-2.5853242360659195E-2</v>
      </c>
    </row>
    <row r="2598" spans="1:7" x14ac:dyDescent="0.35">
      <c r="A2598" t="s">
        <v>140</v>
      </c>
      <c r="E2598">
        <v>-1.1468580963322109E-2</v>
      </c>
      <c r="F2598">
        <f t="shared" si="86"/>
        <v>-1.6978050058146992E-2</v>
      </c>
      <c r="G2598">
        <f t="shared" si="87"/>
        <v>-2.5830488618327319E-2</v>
      </c>
    </row>
    <row r="2599" spans="1:7" x14ac:dyDescent="0.35">
      <c r="A2599" t="s">
        <v>140</v>
      </c>
      <c r="E2599">
        <v>-5.1664893376763735E-2</v>
      </c>
      <c r="F2599">
        <f t="shared" si="86"/>
        <v>-1.6984732468578734E-2</v>
      </c>
      <c r="G2599">
        <f t="shared" si="87"/>
        <v>-2.5830488618327319E-2</v>
      </c>
    </row>
    <row r="2600" spans="1:7" x14ac:dyDescent="0.35">
      <c r="A2600" t="s">
        <v>140</v>
      </c>
      <c r="E2600">
        <v>2.0177486307938388E-3</v>
      </c>
      <c r="F2600">
        <f t="shared" si="86"/>
        <v>-1.6857766670375612E-2</v>
      </c>
      <c r="G2600">
        <f t="shared" si="87"/>
        <v>-2.525987998379637E-2</v>
      </c>
    </row>
    <row r="2601" spans="1:7" x14ac:dyDescent="0.35">
      <c r="A2601" t="s">
        <v>140</v>
      </c>
      <c r="E2601">
        <v>-4.5904423654243515E-3</v>
      </c>
      <c r="F2601">
        <f t="shared" si="86"/>
        <v>-1.6864449080807354E-2</v>
      </c>
      <c r="G2601">
        <f t="shared" si="87"/>
        <v>-2.539991520568672E-2</v>
      </c>
    </row>
    <row r="2602" spans="1:7" x14ac:dyDescent="0.35">
      <c r="A2602" t="s">
        <v>140</v>
      </c>
      <c r="E2602">
        <v>3.1992751982633467E-2</v>
      </c>
      <c r="F2602">
        <f t="shared" si="86"/>
        <v>-1.6871131491239099E-2</v>
      </c>
      <c r="G2602">
        <f t="shared" si="87"/>
        <v>-2.539991520568672E-2</v>
      </c>
    </row>
    <row r="2603" spans="1:7" x14ac:dyDescent="0.35">
      <c r="A2603" t="s">
        <v>140</v>
      </c>
      <c r="E2603">
        <v>-2.2171773474414045E-3</v>
      </c>
      <c r="F2603">
        <f t="shared" si="86"/>
        <v>-1.6877813901670841E-2</v>
      </c>
      <c r="G2603">
        <f t="shared" si="87"/>
        <v>-2.539991520568672E-2</v>
      </c>
    </row>
    <row r="2604" spans="1:7" x14ac:dyDescent="0.35">
      <c r="A2604" t="s">
        <v>140</v>
      </c>
      <c r="E2604">
        <v>-1.1904181897172999E-2</v>
      </c>
      <c r="F2604">
        <f t="shared" si="86"/>
        <v>-1.6884496312102586E-2</v>
      </c>
      <c r="G2604">
        <f t="shared" si="87"/>
        <v>-2.539991520568672E-2</v>
      </c>
    </row>
    <row r="2605" spans="1:7" x14ac:dyDescent="0.35">
      <c r="A2605" t="s">
        <v>140</v>
      </c>
      <c r="E2605">
        <v>3.2422821627061419E-3</v>
      </c>
      <c r="F2605">
        <f t="shared" si="86"/>
        <v>-1.6891178722534331E-2</v>
      </c>
      <c r="G2605">
        <f t="shared" si="87"/>
        <v>-2.539991520568672E-2</v>
      </c>
    </row>
    <row r="2606" spans="1:7" x14ac:dyDescent="0.35">
      <c r="A2606" t="s">
        <v>140</v>
      </c>
      <c r="E2606">
        <v>-9.2819723440962076E-3</v>
      </c>
      <c r="F2606">
        <f t="shared" si="86"/>
        <v>-1.6897861132966072E-2</v>
      </c>
      <c r="G2606">
        <f t="shared" si="87"/>
        <v>-2.539991520568672E-2</v>
      </c>
    </row>
    <row r="2607" spans="1:7" x14ac:dyDescent="0.35">
      <c r="A2607" t="s">
        <v>140</v>
      </c>
      <c r="E2607">
        <v>1.2540663942216758E-2</v>
      </c>
      <c r="F2607">
        <f t="shared" si="86"/>
        <v>-1.6904543543397814E-2</v>
      </c>
      <c r="G2607">
        <f t="shared" si="87"/>
        <v>-2.539991520568672E-2</v>
      </c>
    </row>
    <row r="2608" spans="1:7" x14ac:dyDescent="0.35">
      <c r="A2608" t="s">
        <v>140</v>
      </c>
      <c r="E2608">
        <v>-3.3199941326091893E-2</v>
      </c>
      <c r="F2608">
        <f t="shared" si="86"/>
        <v>-1.6911225953829559E-2</v>
      </c>
      <c r="G2608">
        <f t="shared" si="87"/>
        <v>-2.539991520568672E-2</v>
      </c>
    </row>
    <row r="2609" spans="1:7" x14ac:dyDescent="0.35">
      <c r="A2609" t="s">
        <v>140</v>
      </c>
      <c r="E2609">
        <v>1.0341725540493552E-2</v>
      </c>
      <c r="F2609">
        <f t="shared" si="86"/>
        <v>-1.6855418015117255E-2</v>
      </c>
      <c r="G2609">
        <f t="shared" si="87"/>
        <v>-2.5127545628091445E-2</v>
      </c>
    </row>
    <row r="2610" spans="1:7" x14ac:dyDescent="0.35">
      <c r="A2610" t="s">
        <v>140</v>
      </c>
      <c r="E2610">
        <v>-1.2721039166873845E-2</v>
      </c>
      <c r="F2610">
        <f t="shared" si="86"/>
        <v>-1.6855631529231651E-2</v>
      </c>
      <c r="G2610">
        <f t="shared" si="87"/>
        <v>-2.5127545628091445E-2</v>
      </c>
    </row>
    <row r="2611" spans="1:7" x14ac:dyDescent="0.35">
      <c r="A2611" t="s">
        <v>140</v>
      </c>
      <c r="E2611">
        <v>1.3793322132335988E-2</v>
      </c>
      <c r="F2611">
        <f t="shared" si="86"/>
        <v>-1.6855845043346047E-2</v>
      </c>
      <c r="G2611">
        <f t="shared" si="87"/>
        <v>-2.5127545628091445E-2</v>
      </c>
    </row>
    <row r="2612" spans="1:7" x14ac:dyDescent="0.35">
      <c r="A2612" t="s">
        <v>140</v>
      </c>
      <c r="E2612">
        <v>-6.437184087694268E-3</v>
      </c>
      <c r="F2612">
        <f t="shared" si="86"/>
        <v>-1.6856058557460443E-2</v>
      </c>
      <c r="G2612">
        <f t="shared" si="87"/>
        <v>-2.5127545628091445E-2</v>
      </c>
    </row>
    <row r="2613" spans="1:7" x14ac:dyDescent="0.35">
      <c r="A2613" t="s">
        <v>141</v>
      </c>
      <c r="B2613" s="3" cm="1">
        <f t="array" ref="B2613">_xlfn.STDEV.S(_xlfn._xlws.FILTER($E$2013:$E$3011, $A$2013:$A$3011="2020-07"))</f>
        <v>1.543141194826932E-2</v>
      </c>
      <c r="C2613" s="3" cm="1">
        <f t="array" ref="C2613">AVERAGE(_xlfn._xlws.FILTER($E$2013:$E$3011, $A$2013:$A$3011="2020-07"))</f>
        <v>-2.1822600653339567E-3</v>
      </c>
      <c r="D2613" s="3" cm="1">
        <f t="array" ref="D2613">_xlfn.PERCENTILE.EXC(_xlfn._xlws.FILTER($E$2490:$E$3818, $A$2490:$A$3818="2020-07"), 0.05)</f>
        <v>-2.7050688499664261E-2</v>
      </c>
      <c r="E2613">
        <v>-5.5329627659909844E-4</v>
      </c>
      <c r="F2613">
        <f t="shared" si="86"/>
        <v>-1.6856272071574838E-2</v>
      </c>
      <c r="G2613">
        <f t="shared" si="87"/>
        <v>-2.5127545628091445E-2</v>
      </c>
    </row>
    <row r="2614" spans="1:7" x14ac:dyDescent="0.35">
      <c r="A2614" t="s">
        <v>141</v>
      </c>
      <c r="E2614">
        <v>3.6836977681454199E-2</v>
      </c>
      <c r="F2614">
        <f t="shared" si="86"/>
        <v>-1.6856485585689234E-2</v>
      </c>
      <c r="G2614">
        <f t="shared" si="87"/>
        <v>-2.5127545628091445E-2</v>
      </c>
    </row>
    <row r="2615" spans="1:7" x14ac:dyDescent="0.35">
      <c r="A2615" t="s">
        <v>141</v>
      </c>
      <c r="E2615">
        <v>-1.2763475084570992E-2</v>
      </c>
      <c r="F2615">
        <f t="shared" si="86"/>
        <v>-1.6856699099803633E-2</v>
      </c>
      <c r="G2615">
        <f t="shared" si="87"/>
        <v>-2.5127545628091445E-2</v>
      </c>
    </row>
    <row r="2616" spans="1:7" x14ac:dyDescent="0.35">
      <c r="A2616" t="s">
        <v>141</v>
      </c>
      <c r="E2616">
        <v>2.0415556953561391E-2</v>
      </c>
      <c r="F2616">
        <f t="shared" si="86"/>
        <v>-1.6856912613918029E-2</v>
      </c>
      <c r="G2616">
        <f t="shared" si="87"/>
        <v>-2.5127545628091445E-2</v>
      </c>
    </row>
    <row r="2617" spans="1:7" x14ac:dyDescent="0.35">
      <c r="A2617" t="s">
        <v>141</v>
      </c>
      <c r="E2617">
        <v>-1.4503440129650623E-2</v>
      </c>
      <c r="F2617">
        <f t="shared" si="86"/>
        <v>-1.6857126128032425E-2</v>
      </c>
      <c r="G2617">
        <f t="shared" si="87"/>
        <v>-2.5127545628091445E-2</v>
      </c>
    </row>
    <row r="2618" spans="1:7" x14ac:dyDescent="0.35">
      <c r="A2618" t="s">
        <v>141</v>
      </c>
      <c r="E2618">
        <v>-1.6380715269853411E-2</v>
      </c>
      <c r="F2618">
        <f t="shared" si="86"/>
        <v>-1.6857339642146821E-2</v>
      </c>
      <c r="G2618">
        <f t="shared" si="87"/>
        <v>-2.5127545628091445E-2</v>
      </c>
    </row>
    <row r="2619" spans="1:7" x14ac:dyDescent="0.35">
      <c r="A2619" t="s">
        <v>141</v>
      </c>
      <c r="E2619">
        <v>-1.2291325012508295E-2</v>
      </c>
      <c r="F2619">
        <f t="shared" si="86"/>
        <v>-1.6857553156261217E-2</v>
      </c>
      <c r="G2619">
        <f t="shared" si="87"/>
        <v>-2.5127545628091445E-2</v>
      </c>
    </row>
    <row r="2620" spans="1:7" x14ac:dyDescent="0.35">
      <c r="A2620" t="s">
        <v>141</v>
      </c>
      <c r="E2620">
        <v>1.1567651999188461E-2</v>
      </c>
      <c r="F2620">
        <f t="shared" si="86"/>
        <v>-1.6857766670375612E-2</v>
      </c>
      <c r="G2620">
        <f t="shared" si="87"/>
        <v>-2.5127545628091445E-2</v>
      </c>
    </row>
    <row r="2621" spans="1:7" x14ac:dyDescent="0.35">
      <c r="A2621" t="s">
        <v>141</v>
      </c>
      <c r="E2621">
        <v>1.4347954302442494E-2</v>
      </c>
      <c r="F2621">
        <f t="shared" si="86"/>
        <v>-1.6864449080807354E-2</v>
      </c>
      <c r="G2621">
        <f t="shared" si="87"/>
        <v>-2.5267711373137471E-2</v>
      </c>
    </row>
    <row r="2622" spans="1:7" x14ac:dyDescent="0.35">
      <c r="A2622" t="s">
        <v>141</v>
      </c>
      <c r="E2622">
        <v>-1.0136159156430615E-2</v>
      </c>
      <c r="F2622">
        <f t="shared" si="86"/>
        <v>-1.6871131491239099E-2</v>
      </c>
      <c r="G2622">
        <f t="shared" si="87"/>
        <v>-2.5267711373137471E-2</v>
      </c>
    </row>
    <row r="2623" spans="1:7" x14ac:dyDescent="0.35">
      <c r="A2623" t="s">
        <v>141</v>
      </c>
      <c r="E2623">
        <v>1.8275933891651205E-2</v>
      </c>
      <c r="F2623">
        <f t="shared" si="86"/>
        <v>-1.6877813901670841E-2</v>
      </c>
      <c r="G2623">
        <f t="shared" si="87"/>
        <v>-2.5267711373137471E-2</v>
      </c>
    </row>
    <row r="2624" spans="1:7" x14ac:dyDescent="0.35">
      <c r="A2624" t="s">
        <v>141</v>
      </c>
      <c r="E2624">
        <v>-1.7243342529328083E-3</v>
      </c>
      <c r="F2624">
        <f t="shared" si="86"/>
        <v>-1.6884496312102586E-2</v>
      </c>
      <c r="G2624">
        <f t="shared" si="87"/>
        <v>-2.5267711373137471E-2</v>
      </c>
    </row>
    <row r="2625" spans="1:7" x14ac:dyDescent="0.35">
      <c r="A2625" t="s">
        <v>141</v>
      </c>
      <c r="E2625">
        <v>-4.5993738514455082E-3</v>
      </c>
      <c r="F2625">
        <f t="shared" si="86"/>
        <v>-1.6891178722534331E-2</v>
      </c>
      <c r="G2625">
        <f t="shared" si="87"/>
        <v>-2.5267711373137471E-2</v>
      </c>
    </row>
    <row r="2626" spans="1:7" x14ac:dyDescent="0.35">
      <c r="A2626" t="s">
        <v>141</v>
      </c>
      <c r="E2626">
        <v>5.0407657142633542E-3</v>
      </c>
      <c r="F2626">
        <f t="shared" si="86"/>
        <v>-1.6897861132966072E-2</v>
      </c>
      <c r="G2626">
        <f t="shared" si="87"/>
        <v>-2.5267711373137471E-2</v>
      </c>
    </row>
    <row r="2627" spans="1:7" x14ac:dyDescent="0.35">
      <c r="A2627" t="s">
        <v>141</v>
      </c>
      <c r="E2627">
        <v>2.2040416335913837E-3</v>
      </c>
      <c r="F2627">
        <f t="shared" si="86"/>
        <v>-1.6904543543397814E-2</v>
      </c>
      <c r="G2627">
        <f t="shared" si="87"/>
        <v>-2.5267711373137471E-2</v>
      </c>
    </row>
    <row r="2628" spans="1:7" x14ac:dyDescent="0.35">
      <c r="A2628" t="s">
        <v>141</v>
      </c>
      <c r="E2628">
        <v>-1.4028151520227584E-2</v>
      </c>
      <c r="F2628">
        <f t="shared" ref="F2628:F2691" si="88">_xlfn.PERCENTILE.EXC(E2628:E6443,0.05)</f>
        <v>-1.6911225953829559E-2</v>
      </c>
      <c r="G2628">
        <f t="shared" ref="G2628:G2691" si="89">AVERAGEIFS(E2628:E6444,E2628:E6444,"&lt;=" &amp; F2628)</f>
        <v>-2.5267711373137471E-2</v>
      </c>
    </row>
    <row r="2629" spans="1:7" x14ac:dyDescent="0.35">
      <c r="A2629" t="s">
        <v>141</v>
      </c>
      <c r="E2629">
        <v>-7.0389173803062002E-4</v>
      </c>
      <c r="F2629">
        <f t="shared" si="88"/>
        <v>-1.6917908364261301E-2</v>
      </c>
      <c r="G2629">
        <f t="shared" si="89"/>
        <v>-2.5267711373137471E-2</v>
      </c>
    </row>
    <row r="2630" spans="1:7" x14ac:dyDescent="0.35">
      <c r="A2630" t="s">
        <v>141</v>
      </c>
      <c r="E2630">
        <v>-1.2289317858697194E-2</v>
      </c>
      <c r="F2630">
        <f t="shared" si="88"/>
        <v>-1.6924590774693046E-2</v>
      </c>
      <c r="G2630">
        <f t="shared" si="89"/>
        <v>-2.5267711373137471E-2</v>
      </c>
    </row>
    <row r="2631" spans="1:7" x14ac:dyDescent="0.35">
      <c r="A2631" t="s">
        <v>141</v>
      </c>
      <c r="E2631">
        <v>-1.7158723952804773E-2</v>
      </c>
      <c r="F2631">
        <f t="shared" si="88"/>
        <v>-1.6931273185124787E-2</v>
      </c>
      <c r="G2631">
        <f t="shared" si="89"/>
        <v>-2.5267711373137471E-2</v>
      </c>
    </row>
    <row r="2632" spans="1:7" x14ac:dyDescent="0.35">
      <c r="A2632" t="s">
        <v>141</v>
      </c>
      <c r="E2632">
        <v>1.051546070105908E-2</v>
      </c>
      <c r="F2632">
        <f t="shared" si="88"/>
        <v>-1.6856058557460443E-2</v>
      </c>
      <c r="G2632">
        <f t="shared" si="89"/>
        <v>-2.526261040224884E-2</v>
      </c>
    </row>
    <row r="2633" spans="1:7" x14ac:dyDescent="0.35">
      <c r="A2633" t="s">
        <v>141</v>
      </c>
      <c r="E2633">
        <v>-5.5630272301602952E-3</v>
      </c>
      <c r="F2633">
        <f t="shared" si="88"/>
        <v>-1.6856272071574838E-2</v>
      </c>
      <c r="G2633">
        <f t="shared" si="89"/>
        <v>-2.526261040224884E-2</v>
      </c>
    </row>
    <row r="2634" spans="1:7" x14ac:dyDescent="0.35">
      <c r="A2634" t="s">
        <v>141</v>
      </c>
      <c r="E2634">
        <v>-2.9517449817446858E-2</v>
      </c>
      <c r="F2634">
        <f t="shared" si="88"/>
        <v>-1.6856485585689234E-2</v>
      </c>
      <c r="G2634">
        <f t="shared" si="89"/>
        <v>-2.526261040224884E-2</v>
      </c>
    </row>
    <row r="2635" spans="1:7" x14ac:dyDescent="0.35">
      <c r="A2635" t="s">
        <v>141</v>
      </c>
      <c r="E2635">
        <v>-1.7183643228533892E-2</v>
      </c>
      <c r="F2635">
        <f t="shared" si="88"/>
        <v>-1.6792345197624792E-2</v>
      </c>
      <c r="G2635">
        <f t="shared" si="89"/>
        <v>-2.5047967123785132E-2</v>
      </c>
    </row>
    <row r="2636" spans="1:7" x14ac:dyDescent="0.35">
      <c r="A2636" t="s">
        <v>142</v>
      </c>
      <c r="B2636" s="3" cm="1">
        <f t="array" ref="B2636">_xlfn.STDEV.S(_xlfn._xlws.FILTER($E$2013:$E$3011, $A$2013:$A$3011="2020-08"))</f>
        <v>1.1246922856038987E-2</v>
      </c>
      <c r="C2636" s="3" cm="1">
        <f t="array" ref="C2636">AVERAGE(_xlfn._xlws.FILTER($E$2013:$E$3011, $A$2013:$A$3011="2020-08"))</f>
        <v>1.8245614876114806E-3</v>
      </c>
      <c r="D2636" s="3" cm="1">
        <f t="array" ref="D2636">_xlfn.PERCENTILE.EXC(_xlfn._xlws.FILTER($E$2490:$E$3818, $A$2490:$A$3818="2020-08"), 0.05)</f>
        <v>-1.4289984901084693E-2</v>
      </c>
      <c r="E2636">
        <v>1.4091654163757952E-2</v>
      </c>
      <c r="F2636">
        <f t="shared" si="88"/>
        <v>-1.6608388104512341E-2</v>
      </c>
      <c r="G2636">
        <f t="shared" si="89"/>
        <v>-2.5038225571203807E-2</v>
      </c>
    </row>
    <row r="2637" spans="1:7" x14ac:dyDescent="0.35">
      <c r="A2637" t="s">
        <v>142</v>
      </c>
      <c r="E2637">
        <v>6.6587845883415951E-3</v>
      </c>
      <c r="F2637">
        <f t="shared" si="88"/>
        <v>-1.6608513984943282E-2</v>
      </c>
      <c r="G2637">
        <f t="shared" si="89"/>
        <v>-2.5038225571203807E-2</v>
      </c>
    </row>
    <row r="2638" spans="1:7" x14ac:dyDescent="0.35">
      <c r="A2638" t="s">
        <v>142</v>
      </c>
      <c r="E2638">
        <v>2.5744433298297625E-3</v>
      </c>
      <c r="F2638">
        <f t="shared" si="88"/>
        <v>-1.6608639865374222E-2</v>
      </c>
      <c r="G2638">
        <f t="shared" si="89"/>
        <v>-2.5038225571203807E-2</v>
      </c>
    </row>
    <row r="2639" spans="1:7" x14ac:dyDescent="0.35">
      <c r="A2639" t="s">
        <v>142</v>
      </c>
      <c r="E2639">
        <v>-1.1687850945089269E-2</v>
      </c>
      <c r="F2639">
        <f t="shared" si="88"/>
        <v>-1.6608765745805158E-2</v>
      </c>
      <c r="G2639">
        <f t="shared" si="89"/>
        <v>-2.5038225571203807E-2</v>
      </c>
    </row>
    <row r="2640" spans="1:7" x14ac:dyDescent="0.35">
      <c r="A2640" t="s">
        <v>142</v>
      </c>
      <c r="E2640">
        <v>-1.0641052455011176E-3</v>
      </c>
      <c r="F2640">
        <f t="shared" si="88"/>
        <v>-1.6608891626236098E-2</v>
      </c>
      <c r="G2640">
        <f t="shared" si="89"/>
        <v>-2.5038225571203807E-2</v>
      </c>
    </row>
    <row r="2641" spans="1:7" x14ac:dyDescent="0.35">
      <c r="A2641" t="s">
        <v>142</v>
      </c>
      <c r="E2641">
        <v>1.4767055924522631E-2</v>
      </c>
      <c r="F2641">
        <f t="shared" si="88"/>
        <v>-1.6621121864328677E-2</v>
      </c>
      <c r="G2641">
        <f t="shared" si="89"/>
        <v>-2.5183558915082564E-2</v>
      </c>
    </row>
    <row r="2642" spans="1:7" x14ac:dyDescent="0.35">
      <c r="A2642" t="s">
        <v>142</v>
      </c>
      <c r="E2642">
        <v>2.9281150971268162E-2</v>
      </c>
      <c r="F2642">
        <f t="shared" si="88"/>
        <v>-1.6633352102421256E-2</v>
      </c>
      <c r="G2642">
        <f t="shared" si="89"/>
        <v>-2.5183558915082564E-2</v>
      </c>
    </row>
    <row r="2643" spans="1:7" x14ac:dyDescent="0.35">
      <c r="A2643" t="s">
        <v>142</v>
      </c>
      <c r="E2643">
        <v>4.4644464412290537E-3</v>
      </c>
      <c r="F2643">
        <f t="shared" si="88"/>
        <v>-1.6645582340513838E-2</v>
      </c>
      <c r="G2643">
        <f t="shared" si="89"/>
        <v>-2.5183558915082564E-2</v>
      </c>
    </row>
    <row r="2644" spans="1:7" x14ac:dyDescent="0.35">
      <c r="A2644" t="s">
        <v>142</v>
      </c>
      <c r="E2644">
        <v>-6.2558207662173834E-3</v>
      </c>
      <c r="F2644">
        <f t="shared" si="88"/>
        <v>-1.6657812578606414E-2</v>
      </c>
      <c r="G2644">
        <f t="shared" si="89"/>
        <v>-2.5183558915082564E-2</v>
      </c>
    </row>
    <row r="2645" spans="1:7" x14ac:dyDescent="0.35">
      <c r="A2645" t="s">
        <v>142</v>
      </c>
      <c r="E2645">
        <v>-1.3356857466164815E-2</v>
      </c>
      <c r="F2645">
        <f t="shared" si="88"/>
        <v>-1.6670042816698996E-2</v>
      </c>
      <c r="G2645">
        <f t="shared" si="89"/>
        <v>-2.5183558915082564E-2</v>
      </c>
    </row>
    <row r="2646" spans="1:7" x14ac:dyDescent="0.35">
      <c r="A2646" t="s">
        <v>142</v>
      </c>
      <c r="E2646">
        <v>-9.0141297227220724E-3</v>
      </c>
      <c r="F2646">
        <f t="shared" si="88"/>
        <v>-1.6682273054791575E-2</v>
      </c>
      <c r="G2646">
        <f t="shared" si="89"/>
        <v>-2.5183558915082564E-2</v>
      </c>
    </row>
    <row r="2647" spans="1:7" x14ac:dyDescent="0.35">
      <c r="A2647" t="s">
        <v>142</v>
      </c>
      <c r="E2647">
        <v>-6.5942390987013978E-3</v>
      </c>
      <c r="F2647">
        <f t="shared" si="88"/>
        <v>-1.6694503292884154E-2</v>
      </c>
      <c r="G2647">
        <f t="shared" si="89"/>
        <v>-2.5183558915082564E-2</v>
      </c>
    </row>
    <row r="2648" spans="1:7" x14ac:dyDescent="0.35">
      <c r="A2648" t="s">
        <v>142</v>
      </c>
      <c r="E2648">
        <v>7.1864389975684548E-3</v>
      </c>
      <c r="F2648">
        <f t="shared" si="88"/>
        <v>-1.6706733530976736E-2</v>
      </c>
      <c r="G2648">
        <f t="shared" si="89"/>
        <v>-2.5183558915082564E-2</v>
      </c>
    </row>
    <row r="2649" spans="1:7" x14ac:dyDescent="0.35">
      <c r="A2649" t="s">
        <v>142</v>
      </c>
      <c r="E2649">
        <v>-1.4339096871343635E-2</v>
      </c>
      <c r="F2649">
        <f t="shared" si="88"/>
        <v>-1.6718963769069312E-2</v>
      </c>
      <c r="G2649">
        <f t="shared" si="89"/>
        <v>-2.5183558915082564E-2</v>
      </c>
    </row>
    <row r="2650" spans="1:7" x14ac:dyDescent="0.35">
      <c r="A2650" t="s">
        <v>142</v>
      </c>
      <c r="E2650">
        <v>-1.6028167204879202E-3</v>
      </c>
      <c r="F2650">
        <f t="shared" si="88"/>
        <v>-1.6731194007161894E-2</v>
      </c>
      <c r="G2650">
        <f t="shared" si="89"/>
        <v>-2.5183558915082564E-2</v>
      </c>
    </row>
    <row r="2651" spans="1:7" x14ac:dyDescent="0.35">
      <c r="A2651" t="s">
        <v>142</v>
      </c>
      <c r="E2651">
        <v>1.8025922400494269E-2</v>
      </c>
      <c r="F2651">
        <f t="shared" si="88"/>
        <v>-1.6743424245254473E-2</v>
      </c>
      <c r="G2651">
        <f t="shared" si="89"/>
        <v>-2.5183558915082564E-2</v>
      </c>
    </row>
    <row r="2652" spans="1:7" x14ac:dyDescent="0.35">
      <c r="A2652" t="s">
        <v>142</v>
      </c>
      <c r="E2652">
        <v>-9.8470195261672063E-5</v>
      </c>
      <c r="F2652">
        <f t="shared" si="88"/>
        <v>-1.6755654483347052E-2</v>
      </c>
      <c r="G2652">
        <f t="shared" si="89"/>
        <v>-2.5183558915082564E-2</v>
      </c>
    </row>
    <row r="2653" spans="1:7" x14ac:dyDescent="0.35">
      <c r="A2653" t="s">
        <v>142</v>
      </c>
      <c r="E2653">
        <v>2.0518016670226821E-3</v>
      </c>
      <c r="F2653">
        <f t="shared" si="88"/>
        <v>-1.6767884721439634E-2</v>
      </c>
      <c r="G2653">
        <f t="shared" si="89"/>
        <v>-2.5183558915082564E-2</v>
      </c>
    </row>
    <row r="2654" spans="1:7" x14ac:dyDescent="0.35">
      <c r="A2654" t="s">
        <v>142</v>
      </c>
      <c r="E2654">
        <v>-4.544918719238164E-3</v>
      </c>
      <c r="F2654">
        <f t="shared" si="88"/>
        <v>-1.6780114959532209E-2</v>
      </c>
      <c r="G2654">
        <f t="shared" si="89"/>
        <v>-2.5183558915082564E-2</v>
      </c>
    </row>
    <row r="2655" spans="1:7" x14ac:dyDescent="0.35">
      <c r="A2655" t="s">
        <v>142</v>
      </c>
      <c r="E2655">
        <v>5.9478370189224869E-3</v>
      </c>
      <c r="F2655">
        <f t="shared" si="88"/>
        <v>-1.6792345197624792E-2</v>
      </c>
      <c r="G2655">
        <f t="shared" si="89"/>
        <v>-2.5183558915082564E-2</v>
      </c>
    </row>
    <row r="2656" spans="1:7" x14ac:dyDescent="0.35">
      <c r="A2656" t="s">
        <v>143</v>
      </c>
      <c r="B2656" s="3" cm="1">
        <f t="array" ref="B2656">_xlfn.STDEV.S(_xlfn._xlws.FILTER($E$2013:$E$3011, $A$2013:$A$3011="2020-09"))</f>
        <v>1.365347145729018E-2</v>
      </c>
      <c r="C2656" s="3" cm="1">
        <f t="array" ref="C2656">AVERAGE(_xlfn._xlws.FILTER($E$2013:$E$3011, $A$2013:$A$3011="2020-09"))</f>
        <v>-2.7340831444950002E-3</v>
      </c>
      <c r="D2656" s="3" cm="1">
        <f t="array" ref="D2656">_xlfn.PERCENTILE.EXC(_xlfn._xlws.FILTER($E$2490:$E$3818, $A$2490:$A$3818="2020-09"), 0.05)</f>
        <v>-3.3392029411408661E-2</v>
      </c>
      <c r="E2656">
        <v>-2.4997930469490639E-2</v>
      </c>
      <c r="F2656">
        <f t="shared" si="88"/>
        <v>-1.6804575435717371E-2</v>
      </c>
      <c r="G2656">
        <f t="shared" si="89"/>
        <v>-2.5183558915082564E-2</v>
      </c>
    </row>
    <row r="2657" spans="1:7" x14ac:dyDescent="0.35">
      <c r="A2657" t="s">
        <v>143</v>
      </c>
      <c r="E2657">
        <v>5.7332209958600357E-3</v>
      </c>
      <c r="F2657">
        <f t="shared" si="88"/>
        <v>-1.6608513984943282E-2</v>
      </c>
      <c r="G2657">
        <f t="shared" si="89"/>
        <v>-2.5038920314336802E-2</v>
      </c>
    </row>
    <row r="2658" spans="1:7" x14ac:dyDescent="0.35">
      <c r="A2658" t="s">
        <v>143</v>
      </c>
      <c r="E2658">
        <v>1.2997309530244118E-3</v>
      </c>
      <c r="F2658">
        <f t="shared" si="88"/>
        <v>-1.6608639865374222E-2</v>
      </c>
      <c r="G2658">
        <f t="shared" si="89"/>
        <v>-2.5038920314336802E-2</v>
      </c>
    </row>
    <row r="2659" spans="1:7" x14ac:dyDescent="0.35">
      <c r="A2659" t="s">
        <v>143</v>
      </c>
      <c r="E2659">
        <v>-2.3292879055350408E-3</v>
      </c>
      <c r="F2659">
        <f t="shared" si="88"/>
        <v>-1.6608765745805158E-2</v>
      </c>
      <c r="G2659">
        <f t="shared" si="89"/>
        <v>-2.5038920314336802E-2</v>
      </c>
    </row>
    <row r="2660" spans="1:7" x14ac:dyDescent="0.35">
      <c r="A2660" t="s">
        <v>143</v>
      </c>
      <c r="E2660">
        <v>1.2935136005043689E-2</v>
      </c>
      <c r="F2660">
        <f t="shared" si="88"/>
        <v>-1.6608891626236098E-2</v>
      </c>
      <c r="G2660">
        <f t="shared" si="89"/>
        <v>-2.5038920314336802E-2</v>
      </c>
    </row>
    <row r="2661" spans="1:7" x14ac:dyDescent="0.35">
      <c r="A2661" t="s">
        <v>143</v>
      </c>
      <c r="E2661">
        <v>-1.7911947499397375E-2</v>
      </c>
      <c r="F2661">
        <f t="shared" si="88"/>
        <v>-1.6621121864328677E-2</v>
      </c>
      <c r="G2661">
        <f t="shared" si="89"/>
        <v>-2.5186815554478919E-2</v>
      </c>
    </row>
    <row r="2662" spans="1:7" x14ac:dyDescent="0.35">
      <c r="A2662" t="s">
        <v>143</v>
      </c>
      <c r="E2662">
        <v>9.4305895729434579E-3</v>
      </c>
      <c r="F2662">
        <f t="shared" si="88"/>
        <v>-1.6606625778479194E-2</v>
      </c>
      <c r="G2662">
        <f t="shared" si="89"/>
        <v>-2.5163954925125211E-2</v>
      </c>
    </row>
    <row r="2663" spans="1:7" x14ac:dyDescent="0.35">
      <c r="A2663" t="s">
        <v>143</v>
      </c>
      <c r="E2663">
        <v>-3.0955581384320028E-3</v>
      </c>
      <c r="F2663">
        <f t="shared" si="88"/>
        <v>-1.6606751658910134E-2</v>
      </c>
      <c r="G2663">
        <f t="shared" si="89"/>
        <v>-2.5163954925125211E-2</v>
      </c>
    </row>
    <row r="2664" spans="1:7" x14ac:dyDescent="0.35">
      <c r="A2664" t="s">
        <v>143</v>
      </c>
      <c r="E2664">
        <v>-8.0330934620197261E-3</v>
      </c>
      <c r="F2664">
        <f t="shared" si="88"/>
        <v>-1.6606877539341074E-2</v>
      </c>
      <c r="G2664">
        <f t="shared" si="89"/>
        <v>-2.5163954925125211E-2</v>
      </c>
    </row>
    <row r="2665" spans="1:7" x14ac:dyDescent="0.35">
      <c r="A2665" t="s">
        <v>143</v>
      </c>
      <c r="E2665">
        <v>1.137157086187755E-3</v>
      </c>
      <c r="F2665">
        <f t="shared" si="88"/>
        <v>-1.6607003419772011E-2</v>
      </c>
      <c r="G2665">
        <f t="shared" si="89"/>
        <v>-2.5163954925125211E-2</v>
      </c>
    </row>
    <row r="2666" spans="1:7" x14ac:dyDescent="0.35">
      <c r="A2666" t="s">
        <v>143</v>
      </c>
      <c r="E2666">
        <v>1.2139906441226129E-2</v>
      </c>
      <c r="F2666">
        <f t="shared" si="88"/>
        <v>-1.6607129300202951E-2</v>
      </c>
      <c r="G2666">
        <f t="shared" si="89"/>
        <v>-2.5163954925125211E-2</v>
      </c>
    </row>
    <row r="2667" spans="1:7" x14ac:dyDescent="0.35">
      <c r="A2667" t="s">
        <v>143</v>
      </c>
      <c r="E2667">
        <v>1.0574928191081693E-2</v>
      </c>
      <c r="F2667">
        <f t="shared" si="88"/>
        <v>-1.6607255180633891E-2</v>
      </c>
      <c r="G2667">
        <f t="shared" si="89"/>
        <v>-2.5163954925125211E-2</v>
      </c>
    </row>
    <row r="2668" spans="1:7" x14ac:dyDescent="0.35">
      <c r="A2668" t="s">
        <v>143</v>
      </c>
      <c r="E2668">
        <v>-3.4655243530614084E-3</v>
      </c>
      <c r="F2668">
        <f t="shared" si="88"/>
        <v>-1.6607381061064831E-2</v>
      </c>
      <c r="G2668">
        <f t="shared" si="89"/>
        <v>-2.5163954925125211E-2</v>
      </c>
    </row>
    <row r="2669" spans="1:7" x14ac:dyDescent="0.35">
      <c r="A2669" t="s">
        <v>143</v>
      </c>
      <c r="E2669">
        <v>-2.2318277956838727E-2</v>
      </c>
      <c r="F2669">
        <f t="shared" si="88"/>
        <v>-1.6607506941495768E-2</v>
      </c>
      <c r="G2669">
        <f t="shared" si="89"/>
        <v>-2.5163954925125211E-2</v>
      </c>
    </row>
    <row r="2670" spans="1:7" x14ac:dyDescent="0.35">
      <c r="A2670" t="s">
        <v>143</v>
      </c>
      <c r="E2670">
        <v>-3.4873340989394194E-2</v>
      </c>
      <c r="F2670">
        <f t="shared" si="88"/>
        <v>-1.6558077701786689E-2</v>
      </c>
      <c r="G2670">
        <f t="shared" si="89"/>
        <v>-2.5063746084086239E-2</v>
      </c>
    </row>
    <row r="2671" spans="1:7" x14ac:dyDescent="0.35">
      <c r="A2671" t="s">
        <v>143</v>
      </c>
      <c r="E2671">
        <v>-6.551305578901304E-3</v>
      </c>
      <c r="F2671">
        <f t="shared" si="88"/>
        <v>-1.648467286699699E-2</v>
      </c>
      <c r="G2671">
        <f t="shared" si="89"/>
        <v>-2.4741578371745218E-2</v>
      </c>
    </row>
    <row r="2672" spans="1:7" x14ac:dyDescent="0.35">
      <c r="A2672" t="s">
        <v>143</v>
      </c>
      <c r="E2672">
        <v>8.4192806488748442E-4</v>
      </c>
      <c r="F2672">
        <f t="shared" si="88"/>
        <v>-1.6487462702436888E-2</v>
      </c>
      <c r="G2672">
        <f t="shared" si="89"/>
        <v>-2.4741578371745218E-2</v>
      </c>
    </row>
    <row r="2673" spans="1:7" x14ac:dyDescent="0.35">
      <c r="A2673" t="s">
        <v>143</v>
      </c>
      <c r="E2673">
        <v>-1.6243536239129103E-3</v>
      </c>
      <c r="F2673">
        <f t="shared" si="88"/>
        <v>-1.6490252537876785E-2</v>
      </c>
      <c r="G2673">
        <f t="shared" si="89"/>
        <v>-2.4741578371745218E-2</v>
      </c>
    </row>
    <row r="2674" spans="1:7" x14ac:dyDescent="0.35">
      <c r="A2674" t="s">
        <v>143</v>
      </c>
      <c r="E2674">
        <v>-2.2755195665416948E-3</v>
      </c>
      <c r="F2674">
        <f t="shared" si="88"/>
        <v>-1.6493042373316683E-2</v>
      </c>
      <c r="G2674">
        <f t="shared" si="89"/>
        <v>-2.4741578371745218E-2</v>
      </c>
    </row>
    <row r="2675" spans="1:7" x14ac:dyDescent="0.35">
      <c r="A2675" t="s">
        <v>143</v>
      </c>
      <c r="E2675">
        <v>2.4323469217777692E-2</v>
      </c>
      <c r="F2675">
        <f t="shared" si="88"/>
        <v>-1.649583220875658E-2</v>
      </c>
      <c r="G2675">
        <f t="shared" si="89"/>
        <v>-2.4741578371745218E-2</v>
      </c>
    </row>
    <row r="2676" spans="1:7" x14ac:dyDescent="0.35">
      <c r="A2676" t="s">
        <v>143</v>
      </c>
      <c r="E2676">
        <v>-1.153651050062207E-2</v>
      </c>
      <c r="F2676">
        <f t="shared" si="88"/>
        <v>-1.6498622044196477E-2</v>
      </c>
      <c r="G2676">
        <f t="shared" si="89"/>
        <v>-2.4741578371745218E-2</v>
      </c>
    </row>
    <row r="2677" spans="1:7" x14ac:dyDescent="0.35">
      <c r="A2677" t="s">
        <v>143</v>
      </c>
      <c r="E2677">
        <v>4.4675433722474775E-4</v>
      </c>
      <c r="F2677">
        <f t="shared" si="88"/>
        <v>-1.6501411879636371E-2</v>
      </c>
      <c r="G2677">
        <f t="shared" si="89"/>
        <v>-2.4741578371745218E-2</v>
      </c>
    </row>
    <row r="2678" spans="1:7" x14ac:dyDescent="0.35">
      <c r="A2678" t="s">
        <v>144</v>
      </c>
      <c r="B2678" s="3" cm="1">
        <f t="array" ref="B2678">_xlfn.STDEV.S(_xlfn._xlws.FILTER($E$2013:$E$3011, $A$2013:$A$3011="2020-10"))</f>
        <v>1.1941619691261358E-2</v>
      </c>
      <c r="C2678" s="3" cm="1">
        <f t="array" ref="C2678">AVERAGE(_xlfn._xlws.FILTER($E$2013:$E$3011, $A$2013:$A$3011="2020-10"))</f>
        <v>-1.8254961906531606E-3</v>
      </c>
      <c r="D2678" s="3" cm="1">
        <f t="array" ref="D2678">_xlfn.PERCENTILE.EXC(_xlfn._xlws.FILTER($E$2490:$E$3818, $A$2490:$A$3818="2020-10"), 0.05)</f>
        <v>-2.6161072561919237E-2</v>
      </c>
      <c r="E2678">
        <v>2.0970760178369891E-3</v>
      </c>
      <c r="F2678">
        <f t="shared" si="88"/>
        <v>-1.6504201715076269E-2</v>
      </c>
      <c r="G2678">
        <f t="shared" si="89"/>
        <v>-2.4741578371745218E-2</v>
      </c>
    </row>
    <row r="2679" spans="1:7" x14ac:dyDescent="0.35">
      <c r="A2679" t="s">
        <v>144</v>
      </c>
      <c r="E2679">
        <v>3.5297992927509911E-3</v>
      </c>
      <c r="F2679">
        <f t="shared" si="88"/>
        <v>-1.6506991550516166E-2</v>
      </c>
      <c r="G2679">
        <f t="shared" si="89"/>
        <v>-2.4741578371745218E-2</v>
      </c>
    </row>
    <row r="2680" spans="1:7" x14ac:dyDescent="0.35">
      <c r="A2680" t="s">
        <v>144</v>
      </c>
      <c r="E2680">
        <v>1.2271717523465548E-2</v>
      </c>
      <c r="F2680">
        <f t="shared" si="88"/>
        <v>-1.6509781385956063E-2</v>
      </c>
      <c r="G2680">
        <f t="shared" si="89"/>
        <v>-2.4741578371745218E-2</v>
      </c>
    </row>
    <row r="2681" spans="1:7" x14ac:dyDescent="0.35">
      <c r="A2681" t="s">
        <v>144</v>
      </c>
      <c r="E2681">
        <v>1.4273407174890703E-2</v>
      </c>
      <c r="F2681">
        <f t="shared" si="88"/>
        <v>-1.6514611017539125E-2</v>
      </c>
      <c r="G2681">
        <f t="shared" si="89"/>
        <v>-2.4888574746491449E-2</v>
      </c>
    </row>
    <row r="2682" spans="1:7" x14ac:dyDescent="0.35">
      <c r="A2682" t="s">
        <v>144</v>
      </c>
      <c r="E2682">
        <v>-3.7699646710630755E-3</v>
      </c>
      <c r="F2682">
        <f t="shared" si="88"/>
        <v>-1.651944064912219E-2</v>
      </c>
      <c r="G2682">
        <f t="shared" si="89"/>
        <v>-2.4888574746491449E-2</v>
      </c>
    </row>
    <row r="2683" spans="1:7" x14ac:dyDescent="0.35">
      <c r="A2683" t="s">
        <v>144</v>
      </c>
      <c r="E2683">
        <v>1.1896938829248799E-2</v>
      </c>
      <c r="F2683">
        <f t="shared" si="88"/>
        <v>-1.6524270280705251E-2</v>
      </c>
      <c r="G2683">
        <f t="shared" si="89"/>
        <v>-2.4888574746491449E-2</v>
      </c>
    </row>
    <row r="2684" spans="1:7" x14ac:dyDescent="0.35">
      <c r="A2684" t="s">
        <v>144</v>
      </c>
      <c r="E2684">
        <v>-6.0099006884981807E-3</v>
      </c>
      <c r="F2684">
        <f t="shared" si="88"/>
        <v>-1.6529099912288313E-2</v>
      </c>
      <c r="G2684">
        <f t="shared" si="89"/>
        <v>-2.4888574746491449E-2</v>
      </c>
    </row>
    <row r="2685" spans="1:7" x14ac:dyDescent="0.35">
      <c r="A2685" t="s">
        <v>144</v>
      </c>
      <c r="E2685">
        <v>1.4386522705839039E-5</v>
      </c>
      <c r="F2685">
        <f t="shared" si="88"/>
        <v>-1.6533929543871378E-2</v>
      </c>
      <c r="G2685">
        <f t="shared" si="89"/>
        <v>-2.4888574746491449E-2</v>
      </c>
    </row>
    <row r="2686" spans="1:7" x14ac:dyDescent="0.35">
      <c r="A2686" t="s">
        <v>144</v>
      </c>
      <c r="E2686">
        <v>-1.0964800079755215E-2</v>
      </c>
      <c r="F2686">
        <f t="shared" si="88"/>
        <v>-1.6538759175454439E-2</v>
      </c>
      <c r="G2686">
        <f t="shared" si="89"/>
        <v>-2.4888574746491449E-2</v>
      </c>
    </row>
    <row r="2687" spans="1:7" x14ac:dyDescent="0.35">
      <c r="A2687" t="s">
        <v>144</v>
      </c>
      <c r="E2687">
        <v>6.00358536933609E-3</v>
      </c>
      <c r="F2687">
        <f t="shared" si="88"/>
        <v>-1.6543588807037501E-2</v>
      </c>
      <c r="G2687">
        <f t="shared" si="89"/>
        <v>-2.4888574746491449E-2</v>
      </c>
    </row>
    <row r="2688" spans="1:7" x14ac:dyDescent="0.35">
      <c r="A2688" t="s">
        <v>144</v>
      </c>
      <c r="E2688">
        <v>-1.4534165876320469E-2</v>
      </c>
      <c r="F2688">
        <f t="shared" si="88"/>
        <v>-1.6548418438620566E-2</v>
      </c>
      <c r="G2688">
        <f t="shared" si="89"/>
        <v>-2.4888574746491449E-2</v>
      </c>
    </row>
    <row r="2689" spans="1:7" x14ac:dyDescent="0.35">
      <c r="A2689" t="s">
        <v>144</v>
      </c>
      <c r="E2689">
        <v>4.8147021630304898E-3</v>
      </c>
      <c r="F2689">
        <f t="shared" si="88"/>
        <v>-1.6553248070203627E-2</v>
      </c>
      <c r="G2689">
        <f t="shared" si="89"/>
        <v>-2.4888574746491449E-2</v>
      </c>
    </row>
    <row r="2690" spans="1:7" x14ac:dyDescent="0.35">
      <c r="A2690" t="s">
        <v>144</v>
      </c>
      <c r="E2690">
        <v>1.5317401371197396E-3</v>
      </c>
      <c r="F2690">
        <f t="shared" si="88"/>
        <v>-1.6558077701786689E-2</v>
      </c>
      <c r="G2690">
        <f t="shared" si="89"/>
        <v>-2.4888574746491449E-2</v>
      </c>
    </row>
    <row r="2691" spans="1:7" x14ac:dyDescent="0.35">
      <c r="A2691" t="s">
        <v>144</v>
      </c>
      <c r="E2691">
        <v>9.7335310625945581E-3</v>
      </c>
      <c r="F2691">
        <f t="shared" si="88"/>
        <v>-1.6562907333369754E-2</v>
      </c>
      <c r="G2691">
        <f t="shared" si="89"/>
        <v>-2.4888574746491449E-2</v>
      </c>
    </row>
    <row r="2692" spans="1:7" x14ac:dyDescent="0.35">
      <c r="A2692" t="s">
        <v>144</v>
      </c>
      <c r="E2692">
        <v>-1.6857766670375612E-2</v>
      </c>
      <c r="F2692">
        <f t="shared" ref="F2692:F2755" si="90">_xlfn.PERCENTILE.EXC(E2692:E6507,0.05)</f>
        <v>-1.6567736964952815E-2</v>
      </c>
      <c r="G2692">
        <f t="shared" ref="G2692:G2755" si="91">AVERAGEIFS(E2692:E6508,E2692:E6508,"&lt;=" &amp; F2692)</f>
        <v>-2.4888574746491449E-2</v>
      </c>
    </row>
    <row r="2693" spans="1:7" x14ac:dyDescent="0.35">
      <c r="A2693" t="s">
        <v>144</v>
      </c>
      <c r="E2693">
        <v>-2.1898730835996417E-3</v>
      </c>
      <c r="F2693">
        <f t="shared" si="90"/>
        <v>-1.6490252537876785E-2</v>
      </c>
      <c r="G2693">
        <f t="shared" si="91"/>
        <v>-2.4882360723555385E-2</v>
      </c>
    </row>
    <row r="2694" spans="1:7" x14ac:dyDescent="0.35">
      <c r="A2694" t="s">
        <v>144</v>
      </c>
      <c r="E2694">
        <v>1.4141944964858214E-2</v>
      </c>
      <c r="F2694">
        <f t="shared" si="90"/>
        <v>-1.6493042373316683E-2</v>
      </c>
      <c r="G2694">
        <f t="shared" si="91"/>
        <v>-2.4882360723555385E-2</v>
      </c>
    </row>
    <row r="2695" spans="1:7" x14ac:dyDescent="0.35">
      <c r="A2695" t="s">
        <v>144</v>
      </c>
      <c r="E2695">
        <v>-1.4097806222069768E-2</v>
      </c>
      <c r="F2695">
        <f t="shared" si="90"/>
        <v>-1.649583220875658E-2</v>
      </c>
      <c r="G2695">
        <f t="shared" si="91"/>
        <v>-2.4882360723555385E-2</v>
      </c>
    </row>
    <row r="2696" spans="1:7" x14ac:dyDescent="0.35">
      <c r="A2696" t="s">
        <v>144</v>
      </c>
      <c r="E2696">
        <v>-2.1654301599030229E-2</v>
      </c>
      <c r="F2696">
        <f t="shared" si="90"/>
        <v>-1.6498622044196477E-2</v>
      </c>
      <c r="G2696">
        <f t="shared" si="91"/>
        <v>-2.4882360723555385E-2</v>
      </c>
    </row>
    <row r="2697" spans="1:7" x14ac:dyDescent="0.35">
      <c r="A2697" t="s">
        <v>144</v>
      </c>
      <c r="E2697">
        <v>-2.6956385084782004E-2</v>
      </c>
      <c r="F2697">
        <f t="shared" si="90"/>
        <v>-1.6431729401563136E-2</v>
      </c>
      <c r="G2697">
        <f t="shared" si="91"/>
        <v>-2.4789497921379099E-2</v>
      </c>
    </row>
    <row r="2698" spans="1:7" x14ac:dyDescent="0.35">
      <c r="A2698" t="s">
        <v>144</v>
      </c>
      <c r="E2698">
        <v>-9.7158964544215454E-3</v>
      </c>
      <c r="F2698">
        <f t="shared" si="90"/>
        <v>-1.6287856736956693E-2</v>
      </c>
      <c r="G2698">
        <f t="shared" si="91"/>
        <v>-2.4599305619386416E-2</v>
      </c>
    </row>
    <row r="2699" spans="1:7" x14ac:dyDescent="0.35">
      <c r="A2699" t="s">
        <v>144</v>
      </c>
      <c r="E2699">
        <v>6.2811151777082425E-3</v>
      </c>
      <c r="F2699">
        <f t="shared" si="90"/>
        <v>-1.629673645507411E-2</v>
      </c>
      <c r="G2699">
        <f t="shared" si="91"/>
        <v>-2.4599305619386416E-2</v>
      </c>
    </row>
    <row r="2700" spans="1:7" x14ac:dyDescent="0.35">
      <c r="A2700" t="s">
        <v>145</v>
      </c>
      <c r="B2700" s="3" cm="1">
        <f t="array" ref="B2700">_xlfn.STDEV.S(_xlfn._xlws.FILTER($E$2013:$E$3011, $A$2013:$A$3011="2020-11"))</f>
        <v>2.1035757332501317E-2</v>
      </c>
      <c r="C2700" s="3" cm="1">
        <f t="array" ref="C2700">AVERAGE(_xlfn._xlws.FILTER($E$2013:$E$3011, $A$2013:$A$3011="2020-11"))</f>
        <v>1.0694617982209819E-2</v>
      </c>
      <c r="D2700" s="3" cm="1">
        <f t="array" ref="D2700">_xlfn.PERCENTILE.EXC(_xlfn._xlws.FILTER($E$2490:$E$3818, $A$2490:$A$3818="2020-11"), 0.05)</f>
        <v>-1.3464550952595442E-2</v>
      </c>
      <c r="E2700">
        <v>2.0464289294897135E-2</v>
      </c>
      <c r="F2700">
        <f t="shared" si="90"/>
        <v>-1.6305616173191526E-2</v>
      </c>
      <c r="G2700">
        <f t="shared" si="91"/>
        <v>-2.4599305619386416E-2</v>
      </c>
    </row>
    <row r="2701" spans="1:7" x14ac:dyDescent="0.35">
      <c r="A2701" t="s">
        <v>145</v>
      </c>
      <c r="E2701">
        <v>2.4894066615097014E-2</v>
      </c>
      <c r="F2701">
        <f t="shared" si="90"/>
        <v>-1.6313034598389856E-2</v>
      </c>
      <c r="G2701">
        <f t="shared" si="91"/>
        <v>-2.4750099972953594E-2</v>
      </c>
    </row>
    <row r="2702" spans="1:7" x14ac:dyDescent="0.35">
      <c r="A2702" t="s">
        <v>145</v>
      </c>
      <c r="E2702">
        <v>4.4777848490987699E-3</v>
      </c>
      <c r="F2702">
        <f t="shared" si="90"/>
        <v>-1.6320453023588186E-2</v>
      </c>
      <c r="G2702">
        <f t="shared" si="91"/>
        <v>-2.4750099972953594E-2</v>
      </c>
    </row>
    <row r="2703" spans="1:7" x14ac:dyDescent="0.35">
      <c r="A2703" t="s">
        <v>145</v>
      </c>
      <c r="E2703">
        <v>2.0765223252614241E-2</v>
      </c>
      <c r="F2703">
        <f t="shared" si="90"/>
        <v>-1.6327871448786516E-2</v>
      </c>
      <c r="G2703">
        <f t="shared" si="91"/>
        <v>-2.4750099972953594E-2</v>
      </c>
    </row>
    <row r="2704" spans="1:7" x14ac:dyDescent="0.35">
      <c r="A2704" t="s">
        <v>145</v>
      </c>
      <c r="E2704">
        <v>-7.8001932320238693E-3</v>
      </c>
      <c r="F2704">
        <f t="shared" si="90"/>
        <v>-1.6335289873984846E-2</v>
      </c>
      <c r="G2704">
        <f t="shared" si="91"/>
        <v>-2.4750099972953594E-2</v>
      </c>
    </row>
    <row r="2705" spans="1:7" x14ac:dyDescent="0.35">
      <c r="A2705" t="s">
        <v>145</v>
      </c>
      <c r="E2705">
        <v>8.2252653324339217E-2</v>
      </c>
      <c r="F2705">
        <f t="shared" si="90"/>
        <v>-1.6342708299183176E-2</v>
      </c>
      <c r="G2705">
        <f t="shared" si="91"/>
        <v>-2.4750099972953594E-2</v>
      </c>
    </row>
    <row r="2706" spans="1:7" x14ac:dyDescent="0.35">
      <c r="A2706" t="s">
        <v>145</v>
      </c>
      <c r="E2706">
        <v>3.3224771425063387E-2</v>
      </c>
      <c r="F2706">
        <f t="shared" si="90"/>
        <v>-1.6350126724381506E-2</v>
      </c>
      <c r="G2706">
        <f t="shared" si="91"/>
        <v>-2.4750099972953594E-2</v>
      </c>
    </row>
    <row r="2707" spans="1:7" x14ac:dyDescent="0.35">
      <c r="A2707" t="s">
        <v>145</v>
      </c>
      <c r="E2707">
        <v>1.0615961576950781E-2</v>
      </c>
      <c r="F2707">
        <f t="shared" si="90"/>
        <v>-1.6357545149579836E-2</v>
      </c>
      <c r="G2707">
        <f t="shared" si="91"/>
        <v>-2.4750099972953594E-2</v>
      </c>
    </row>
    <row r="2708" spans="1:7" x14ac:dyDescent="0.35">
      <c r="A2708" t="s">
        <v>145</v>
      </c>
      <c r="E2708">
        <v>-8.7244507845885121E-3</v>
      </c>
      <c r="F2708">
        <f t="shared" si="90"/>
        <v>-1.6364963574778166E-2</v>
      </c>
      <c r="G2708">
        <f t="shared" si="91"/>
        <v>-2.4750099972953594E-2</v>
      </c>
    </row>
    <row r="2709" spans="1:7" x14ac:dyDescent="0.35">
      <c r="A2709" t="s">
        <v>145</v>
      </c>
      <c r="E2709">
        <v>7.4405393008118471E-3</v>
      </c>
      <c r="F2709">
        <f t="shared" si="90"/>
        <v>-1.6372381999976496E-2</v>
      </c>
      <c r="G2709">
        <f t="shared" si="91"/>
        <v>-2.4750099972953594E-2</v>
      </c>
    </row>
    <row r="2710" spans="1:7" x14ac:dyDescent="0.35">
      <c r="A2710" t="s">
        <v>145</v>
      </c>
      <c r="E2710">
        <v>2.5683248609233478E-2</v>
      </c>
      <c r="F2710">
        <f t="shared" si="90"/>
        <v>-1.6379800425174826E-2</v>
      </c>
      <c r="G2710">
        <f t="shared" si="91"/>
        <v>-2.4750099972953594E-2</v>
      </c>
    </row>
    <row r="2711" spans="1:7" x14ac:dyDescent="0.35">
      <c r="A2711" t="s">
        <v>145</v>
      </c>
      <c r="E2711">
        <v>-6.5199188282744572E-3</v>
      </c>
      <c r="F2711">
        <f t="shared" si="90"/>
        <v>-1.6387218850373156E-2</v>
      </c>
      <c r="G2711">
        <f t="shared" si="91"/>
        <v>-2.4750099972953594E-2</v>
      </c>
    </row>
    <row r="2712" spans="1:7" x14ac:dyDescent="0.35">
      <c r="A2712" t="s">
        <v>145</v>
      </c>
      <c r="E2712">
        <v>5.9312303965361633E-3</v>
      </c>
      <c r="F2712">
        <f t="shared" si="90"/>
        <v>-1.6394637275571486E-2</v>
      </c>
      <c r="G2712">
        <f t="shared" si="91"/>
        <v>-2.4750099972953594E-2</v>
      </c>
    </row>
    <row r="2713" spans="1:7" x14ac:dyDescent="0.35">
      <c r="A2713" t="s">
        <v>145</v>
      </c>
      <c r="E2713">
        <v>-6.448107712717672E-3</v>
      </c>
      <c r="F2713">
        <f t="shared" si="90"/>
        <v>-1.6402055700769816E-2</v>
      </c>
      <c r="G2713">
        <f t="shared" si="91"/>
        <v>-2.4750099972953594E-2</v>
      </c>
    </row>
    <row r="2714" spans="1:7" x14ac:dyDescent="0.35">
      <c r="A2714" t="s">
        <v>145</v>
      </c>
      <c r="E2714">
        <v>5.9969629251868158E-3</v>
      </c>
      <c r="F2714">
        <f t="shared" si="90"/>
        <v>-1.6409474125968146E-2</v>
      </c>
      <c r="G2714">
        <f t="shared" si="91"/>
        <v>-2.4750099972953594E-2</v>
      </c>
    </row>
    <row r="2715" spans="1:7" x14ac:dyDescent="0.35">
      <c r="A2715" t="s">
        <v>145</v>
      </c>
      <c r="E2715">
        <v>4.135571613728252E-4</v>
      </c>
      <c r="F2715">
        <f t="shared" si="90"/>
        <v>-1.6416892551166476E-2</v>
      </c>
      <c r="G2715">
        <f t="shared" si="91"/>
        <v>-2.4750099972953594E-2</v>
      </c>
    </row>
    <row r="2716" spans="1:7" x14ac:dyDescent="0.35">
      <c r="A2716" t="s">
        <v>145</v>
      </c>
      <c r="E2716">
        <v>2.0094447059754328E-2</v>
      </c>
      <c r="F2716">
        <f t="shared" si="90"/>
        <v>-1.6424310976364806E-2</v>
      </c>
      <c r="G2716">
        <f t="shared" si="91"/>
        <v>-2.4750099972953594E-2</v>
      </c>
    </row>
    <row r="2717" spans="1:7" x14ac:dyDescent="0.35">
      <c r="A2717" t="s">
        <v>145</v>
      </c>
      <c r="E2717">
        <v>2.6367603991402856E-3</v>
      </c>
      <c r="F2717">
        <f t="shared" si="90"/>
        <v>-1.6431729401563136E-2</v>
      </c>
      <c r="G2717">
        <f t="shared" si="91"/>
        <v>-2.4750099972953594E-2</v>
      </c>
    </row>
    <row r="2718" spans="1:7" x14ac:dyDescent="0.35">
      <c r="A2718" t="s">
        <v>145</v>
      </c>
      <c r="E2718">
        <v>-7.3881818370528608E-3</v>
      </c>
      <c r="F2718">
        <f t="shared" si="90"/>
        <v>-1.6439147826761466E-2</v>
      </c>
      <c r="G2718">
        <f t="shared" si="91"/>
        <v>-2.4750099972953594E-2</v>
      </c>
    </row>
    <row r="2719" spans="1:7" x14ac:dyDescent="0.35">
      <c r="A2719" t="s">
        <v>145</v>
      </c>
      <c r="E2719">
        <v>1.0567562580007931E-2</v>
      </c>
      <c r="F2719">
        <f t="shared" si="90"/>
        <v>-1.6446566251959796E-2</v>
      </c>
      <c r="G2719">
        <f t="shared" si="91"/>
        <v>-2.4750099972953594E-2</v>
      </c>
    </row>
    <row r="2720" spans="1:7" x14ac:dyDescent="0.35">
      <c r="A2720" t="s">
        <v>145</v>
      </c>
      <c r="E2720">
        <v>-1.3991228749040657E-2</v>
      </c>
      <c r="F2720">
        <f t="shared" si="90"/>
        <v>-1.6453984677158126E-2</v>
      </c>
      <c r="G2720">
        <f t="shared" si="91"/>
        <v>-2.4750099972953594E-2</v>
      </c>
    </row>
    <row r="2721" spans="1:7" x14ac:dyDescent="0.35">
      <c r="A2721" t="s">
        <v>146</v>
      </c>
      <c r="B2721" s="3" cm="1">
        <f t="array" ref="B2721">_xlfn.STDEV.S(_xlfn._xlws.FILTER($E$2013:$E$3011, $A$2013:$A$3011="2020-12"))</f>
        <v>1.2445248587459519E-2</v>
      </c>
      <c r="C2721" s="3" cm="1">
        <f t="array" ref="C2721">AVERAGE(_xlfn._xlws.FILTER($E$2013:$E$3011, $A$2013:$A$3011="2020-12"))</f>
        <v>5.0260649068516671E-4</v>
      </c>
      <c r="D2721" s="3" cm="1">
        <f t="array" ref="D2721">_xlfn.PERCENTILE.EXC(_xlfn._xlws.FILTER($E$2490:$E$3818, $A$2490:$A$3818="2020-12"), 0.05)</f>
        <v>-3.1290462194586879E-2</v>
      </c>
      <c r="E2721">
        <v>7.8803197345088359E-3</v>
      </c>
      <c r="F2721">
        <f t="shared" si="90"/>
        <v>-1.6456774512598023E-2</v>
      </c>
      <c r="G2721">
        <f t="shared" si="91"/>
        <v>-2.4903731737690546E-2</v>
      </c>
    </row>
    <row r="2722" spans="1:7" x14ac:dyDescent="0.35">
      <c r="A2722" t="s">
        <v>146</v>
      </c>
      <c r="E2722">
        <v>9.7790726498706883E-3</v>
      </c>
      <c r="F2722">
        <f t="shared" si="90"/>
        <v>-1.6459564348037921E-2</v>
      </c>
      <c r="G2722">
        <f t="shared" si="91"/>
        <v>-2.4903731737690546E-2</v>
      </c>
    </row>
    <row r="2723" spans="1:7" x14ac:dyDescent="0.35">
      <c r="A2723" t="s">
        <v>146</v>
      </c>
      <c r="E2723">
        <v>-2.4480114530184014E-3</v>
      </c>
      <c r="F2723">
        <f t="shared" si="90"/>
        <v>-1.6462354183477818E-2</v>
      </c>
      <c r="G2723">
        <f t="shared" si="91"/>
        <v>-2.4903731737690546E-2</v>
      </c>
    </row>
    <row r="2724" spans="1:7" x14ac:dyDescent="0.35">
      <c r="A2724" t="s">
        <v>146</v>
      </c>
      <c r="E2724">
        <v>1.4791235312895458E-2</v>
      </c>
      <c r="F2724">
        <f t="shared" si="90"/>
        <v>-1.6465144018917712E-2</v>
      </c>
      <c r="G2724">
        <f t="shared" si="91"/>
        <v>-2.4903731737690546E-2</v>
      </c>
    </row>
    <row r="2725" spans="1:7" x14ac:dyDescent="0.35">
      <c r="A2725" t="s">
        <v>146</v>
      </c>
      <c r="E2725">
        <v>-5.6993256058533153E-3</v>
      </c>
      <c r="F2725">
        <f t="shared" si="90"/>
        <v>-1.646793385435761E-2</v>
      </c>
      <c r="G2725">
        <f t="shared" si="91"/>
        <v>-2.4903731737690546E-2</v>
      </c>
    </row>
    <row r="2726" spans="1:7" x14ac:dyDescent="0.35">
      <c r="A2726" t="s">
        <v>146</v>
      </c>
      <c r="E2726">
        <v>-5.8170700655799943E-3</v>
      </c>
      <c r="F2726">
        <f t="shared" si="90"/>
        <v>-1.6470723689797507E-2</v>
      </c>
      <c r="G2726">
        <f t="shared" si="91"/>
        <v>-2.4903731737690546E-2</v>
      </c>
    </row>
    <row r="2727" spans="1:7" x14ac:dyDescent="0.35">
      <c r="A2727" t="s">
        <v>146</v>
      </c>
      <c r="E2727">
        <v>9.3543671667621208E-4</v>
      </c>
      <c r="F2727">
        <f t="shared" si="90"/>
        <v>-1.6473513525237404E-2</v>
      </c>
      <c r="G2727">
        <f t="shared" si="91"/>
        <v>-2.4903731737690546E-2</v>
      </c>
    </row>
    <row r="2728" spans="1:7" x14ac:dyDescent="0.35">
      <c r="A2728" t="s">
        <v>146</v>
      </c>
      <c r="E2728">
        <v>-6.4565081516464555E-3</v>
      </c>
      <c r="F2728">
        <f t="shared" si="90"/>
        <v>-1.6476303360677302E-2</v>
      </c>
      <c r="G2728">
        <f t="shared" si="91"/>
        <v>-2.4903731737690546E-2</v>
      </c>
    </row>
    <row r="2729" spans="1:7" x14ac:dyDescent="0.35">
      <c r="A2729" t="s">
        <v>146</v>
      </c>
      <c r="E2729">
        <v>-1.4675186729285828E-2</v>
      </c>
      <c r="F2729">
        <f t="shared" si="90"/>
        <v>-1.6479093196117199E-2</v>
      </c>
      <c r="G2729">
        <f t="shared" si="91"/>
        <v>-2.4903731737690546E-2</v>
      </c>
    </row>
    <row r="2730" spans="1:7" x14ac:dyDescent="0.35">
      <c r="A2730" t="s">
        <v>146</v>
      </c>
      <c r="E2730">
        <v>9.5903573259415731E-3</v>
      </c>
      <c r="F2730">
        <f t="shared" si="90"/>
        <v>-1.6481883031557093E-2</v>
      </c>
      <c r="G2730">
        <f t="shared" si="91"/>
        <v>-2.4903731737690546E-2</v>
      </c>
    </row>
    <row r="2731" spans="1:7" x14ac:dyDescent="0.35">
      <c r="A2731" t="s">
        <v>146</v>
      </c>
      <c r="E2731">
        <v>1.4239071465306894E-3</v>
      </c>
      <c r="F2731">
        <f t="shared" si="90"/>
        <v>-1.648467286699699E-2</v>
      </c>
      <c r="G2731">
        <f t="shared" si="91"/>
        <v>-2.4903731737690546E-2</v>
      </c>
    </row>
    <row r="2732" spans="1:7" x14ac:dyDescent="0.35">
      <c r="A2732" t="s">
        <v>146</v>
      </c>
      <c r="E2732">
        <v>-1.5836093636597953E-3</v>
      </c>
      <c r="F2732">
        <f t="shared" si="90"/>
        <v>-1.6487462702436888E-2</v>
      </c>
      <c r="G2732">
        <f t="shared" si="91"/>
        <v>-2.4903731737690546E-2</v>
      </c>
    </row>
    <row r="2733" spans="1:7" x14ac:dyDescent="0.35">
      <c r="A2733" t="s">
        <v>146</v>
      </c>
      <c r="E2733">
        <v>1.7062651059421734E-3</v>
      </c>
      <c r="F2733">
        <f t="shared" si="90"/>
        <v>-1.6490252537876785E-2</v>
      </c>
      <c r="G2733">
        <f t="shared" si="91"/>
        <v>-2.4903731737690546E-2</v>
      </c>
    </row>
    <row r="2734" spans="1:7" x14ac:dyDescent="0.35">
      <c r="A2734" t="s">
        <v>146</v>
      </c>
      <c r="E2734">
        <v>-1.4329370365657021E-2</v>
      </c>
      <c r="F2734">
        <f t="shared" si="90"/>
        <v>-1.6493042373316683E-2</v>
      </c>
      <c r="G2734">
        <f t="shared" si="91"/>
        <v>-2.4903731737690546E-2</v>
      </c>
    </row>
    <row r="2735" spans="1:7" x14ac:dyDescent="0.35">
      <c r="A2735" t="s">
        <v>146</v>
      </c>
      <c r="E2735">
        <v>-3.1290462194586879E-2</v>
      </c>
      <c r="F2735">
        <f t="shared" si="90"/>
        <v>-1.649583220875658E-2</v>
      </c>
      <c r="G2735">
        <f t="shared" si="91"/>
        <v>-2.4903731737690546E-2</v>
      </c>
    </row>
    <row r="2736" spans="1:7" x14ac:dyDescent="0.35">
      <c r="A2736" t="s">
        <v>146</v>
      </c>
      <c r="E2736">
        <v>1.8367344128014395E-2</v>
      </c>
      <c r="F2736">
        <f t="shared" si="90"/>
        <v>-1.6424310976364806E-2</v>
      </c>
      <c r="G2736">
        <f t="shared" si="91"/>
        <v>-2.4628982154034449E-2</v>
      </c>
    </row>
    <row r="2737" spans="1:7" x14ac:dyDescent="0.35">
      <c r="A2737" t="s">
        <v>146</v>
      </c>
      <c r="E2737">
        <v>1.7416949724461468E-2</v>
      </c>
      <c r="F2737">
        <f t="shared" si="90"/>
        <v>-1.6431729401563136E-2</v>
      </c>
      <c r="G2737">
        <f t="shared" si="91"/>
        <v>-2.4628982154034449E-2</v>
      </c>
    </row>
    <row r="2738" spans="1:7" x14ac:dyDescent="0.35">
      <c r="A2738" t="s">
        <v>146</v>
      </c>
      <c r="E2738">
        <v>1.2456772187642339E-2</v>
      </c>
      <c r="F2738">
        <f t="shared" si="90"/>
        <v>-1.6439147826761466E-2</v>
      </c>
      <c r="G2738">
        <f t="shared" si="91"/>
        <v>-2.4628982154034449E-2</v>
      </c>
    </row>
    <row r="2739" spans="1:7" x14ac:dyDescent="0.35">
      <c r="A2739" t="s">
        <v>146</v>
      </c>
      <c r="E2739">
        <v>-2.4985927801779773E-3</v>
      </c>
      <c r="F2739">
        <f t="shared" si="90"/>
        <v>-1.6446566251959796E-2</v>
      </c>
      <c r="G2739">
        <f t="shared" si="91"/>
        <v>-2.4628982154034449E-2</v>
      </c>
    </row>
    <row r="2740" spans="1:7" x14ac:dyDescent="0.35">
      <c r="A2740" t="s">
        <v>147</v>
      </c>
      <c r="B2740" s="3" cm="1">
        <f t="array" ref="B2740">_xlfn.STDEV.S(_xlfn._xlws.FILTER($E$2013:$E$3011, $A$2013:$A$3011="2021-01"))</f>
        <v>1.1963047653948651E-2</v>
      </c>
      <c r="C2740" s="3" cm="1">
        <f t="array" ref="C2740">AVERAGE(_xlfn._xlws.FILTER($E$2013:$E$3011, $A$2013:$A$3011="2021-01"))</f>
        <v>-2.4948770765834149E-3</v>
      </c>
      <c r="D2740" s="3" cm="1">
        <f t="array" ref="D2740">_xlfn.PERCENTILE.EXC(_xlfn._xlws.FILTER($E$2490:$E$3818, $A$2490:$A$3818="2021-01"), 0.05)</f>
        <v>-2.2065735418984721E-2</v>
      </c>
      <c r="E2740">
        <v>-6.7923675033981059E-3</v>
      </c>
      <c r="F2740">
        <f t="shared" si="90"/>
        <v>-1.6453984677158126E-2</v>
      </c>
      <c r="G2740">
        <f t="shared" si="91"/>
        <v>-2.4628982154034449E-2</v>
      </c>
    </row>
    <row r="2741" spans="1:7" x14ac:dyDescent="0.35">
      <c r="A2741" t="s">
        <v>147</v>
      </c>
      <c r="E2741">
        <v>-9.5116339386481434E-4</v>
      </c>
      <c r="F2741">
        <f t="shared" si="90"/>
        <v>-1.6456774512598023E-2</v>
      </c>
      <c r="G2741">
        <f t="shared" si="91"/>
        <v>-2.4783227389447212E-2</v>
      </c>
    </row>
    <row r="2742" spans="1:7" x14ac:dyDescent="0.35">
      <c r="A2742" t="s">
        <v>147</v>
      </c>
      <c r="E2742">
        <v>3.1483338386273207E-2</v>
      </c>
      <c r="F2742">
        <f t="shared" si="90"/>
        <v>-1.6459564348037921E-2</v>
      </c>
      <c r="G2742">
        <f t="shared" si="91"/>
        <v>-2.4783227389447212E-2</v>
      </c>
    </row>
    <row r="2743" spans="1:7" x14ac:dyDescent="0.35">
      <c r="A2743" t="s">
        <v>147</v>
      </c>
      <c r="E2743">
        <v>4.2423328304988118E-3</v>
      </c>
      <c r="F2743">
        <f t="shared" si="90"/>
        <v>-1.6462354183477818E-2</v>
      </c>
      <c r="G2743">
        <f t="shared" si="91"/>
        <v>-2.4783227389447212E-2</v>
      </c>
    </row>
    <row r="2744" spans="1:7" x14ac:dyDescent="0.35">
      <c r="A2744" t="s">
        <v>147</v>
      </c>
      <c r="E2744">
        <v>2.6081534420456264E-3</v>
      </c>
      <c r="F2744">
        <f t="shared" si="90"/>
        <v>-1.6465144018917712E-2</v>
      </c>
      <c r="G2744">
        <f t="shared" si="91"/>
        <v>-2.4783227389447212E-2</v>
      </c>
    </row>
    <row r="2745" spans="1:7" x14ac:dyDescent="0.35">
      <c r="A2745" t="s">
        <v>147</v>
      </c>
      <c r="E2745">
        <v>-5.988613321504372E-3</v>
      </c>
      <c r="F2745">
        <f t="shared" si="90"/>
        <v>-1.646793385435761E-2</v>
      </c>
      <c r="G2745">
        <f t="shared" si="91"/>
        <v>-2.4783227389447212E-2</v>
      </c>
    </row>
    <row r="2746" spans="1:7" x14ac:dyDescent="0.35">
      <c r="A2746" t="s">
        <v>147</v>
      </c>
      <c r="E2746">
        <v>-1.3889390022206779E-3</v>
      </c>
      <c r="F2746">
        <f t="shared" si="90"/>
        <v>-1.6470723689797507E-2</v>
      </c>
      <c r="G2746">
        <f t="shared" si="91"/>
        <v>-2.4783227389447212E-2</v>
      </c>
    </row>
    <row r="2747" spans="1:7" x14ac:dyDescent="0.35">
      <c r="A2747" t="s">
        <v>147</v>
      </c>
      <c r="E2747">
        <v>1.8195970783323003E-3</v>
      </c>
      <c r="F2747">
        <f t="shared" si="90"/>
        <v>-1.6473513525237404E-2</v>
      </c>
      <c r="G2747">
        <f t="shared" si="91"/>
        <v>-2.4783227389447212E-2</v>
      </c>
    </row>
    <row r="2748" spans="1:7" x14ac:dyDescent="0.35">
      <c r="A2748" t="s">
        <v>147</v>
      </c>
      <c r="E2748">
        <v>1.3505843628257971E-3</v>
      </c>
      <c r="F2748">
        <f t="shared" si="90"/>
        <v>-1.6476303360677302E-2</v>
      </c>
      <c r="G2748">
        <f t="shared" si="91"/>
        <v>-2.4783227389447212E-2</v>
      </c>
    </row>
    <row r="2749" spans="1:7" x14ac:dyDescent="0.35">
      <c r="A2749" t="s">
        <v>147</v>
      </c>
      <c r="E2749">
        <v>-1.7069516001012332E-2</v>
      </c>
      <c r="F2749">
        <f t="shared" si="90"/>
        <v>-1.6479093196117199E-2</v>
      </c>
      <c r="G2749">
        <f t="shared" si="91"/>
        <v>-2.4783227389447212E-2</v>
      </c>
    </row>
    <row r="2750" spans="1:7" x14ac:dyDescent="0.35">
      <c r="A2750" t="s">
        <v>147</v>
      </c>
      <c r="E2750">
        <v>2.8874404357443107E-3</v>
      </c>
      <c r="F2750">
        <f t="shared" si="90"/>
        <v>-1.6379800425174826E-2</v>
      </c>
      <c r="G2750">
        <f t="shared" si="91"/>
        <v>-2.477161359088393E-2</v>
      </c>
    </row>
    <row r="2751" spans="1:7" x14ac:dyDescent="0.35">
      <c r="A2751" t="s">
        <v>147</v>
      </c>
      <c r="E2751">
        <v>-6.7463105717455027E-3</v>
      </c>
      <c r="F2751">
        <f t="shared" si="90"/>
        <v>-1.6387218850373156E-2</v>
      </c>
      <c r="G2751">
        <f t="shared" si="91"/>
        <v>-2.477161359088393E-2</v>
      </c>
    </row>
    <row r="2752" spans="1:7" x14ac:dyDescent="0.35">
      <c r="A2752" t="s">
        <v>147</v>
      </c>
      <c r="E2752">
        <v>6.2183369781782698E-4</v>
      </c>
      <c r="F2752">
        <f t="shared" si="90"/>
        <v>-1.6394637275571486E-2</v>
      </c>
      <c r="G2752">
        <f t="shared" si="91"/>
        <v>-2.477161359088393E-2</v>
      </c>
    </row>
    <row r="2753" spans="1:7" x14ac:dyDescent="0.35">
      <c r="A2753" t="s">
        <v>147</v>
      </c>
      <c r="E2753">
        <v>-1.0045287885182481E-2</v>
      </c>
      <c r="F2753">
        <f t="shared" si="90"/>
        <v>-1.6402055700769816E-2</v>
      </c>
      <c r="G2753">
        <f t="shared" si="91"/>
        <v>-2.477161359088393E-2</v>
      </c>
    </row>
    <row r="2754" spans="1:7" x14ac:dyDescent="0.35">
      <c r="A2754" t="s">
        <v>147</v>
      </c>
      <c r="E2754">
        <v>-1.0607519704808365E-2</v>
      </c>
      <c r="F2754">
        <f t="shared" si="90"/>
        <v>-1.6409474125968146E-2</v>
      </c>
      <c r="G2754">
        <f t="shared" si="91"/>
        <v>-2.477161359088393E-2</v>
      </c>
    </row>
    <row r="2755" spans="1:7" x14ac:dyDescent="0.35">
      <c r="A2755" t="s">
        <v>147</v>
      </c>
      <c r="E2755">
        <v>-1.7460292818203167E-2</v>
      </c>
      <c r="F2755">
        <f t="shared" si="90"/>
        <v>-1.6416892551166476E-2</v>
      </c>
      <c r="G2755">
        <f t="shared" si="91"/>
        <v>-2.477161359088393E-2</v>
      </c>
    </row>
    <row r="2756" spans="1:7" x14ac:dyDescent="0.35">
      <c r="A2756" t="s">
        <v>147</v>
      </c>
      <c r="E2756">
        <v>8.5234594517242662E-3</v>
      </c>
      <c r="F2756">
        <f t="shared" ref="F2756:F2819" si="92">_xlfn.PERCENTILE.EXC(E2756:E6571,0.05)</f>
        <v>-1.6270097300721861E-2</v>
      </c>
      <c r="G2756">
        <f t="shared" ref="G2756:G2819" si="93">AVERAGEIFS(E2756:E6572,E2756:E6572,"&lt;=" &amp; F2756)</f>
        <v>-2.4749827239091256E-2</v>
      </c>
    </row>
    <row r="2757" spans="1:7" x14ac:dyDescent="0.35">
      <c r="A2757" t="s">
        <v>147</v>
      </c>
      <c r="E2757">
        <v>-1.418696665339882E-2</v>
      </c>
      <c r="F2757">
        <f t="shared" si="92"/>
        <v>-1.6278977018839277E-2</v>
      </c>
      <c r="G2757">
        <f t="shared" si="93"/>
        <v>-2.4749827239091256E-2</v>
      </c>
    </row>
    <row r="2758" spans="1:7" x14ac:dyDescent="0.35">
      <c r="A2758" t="s">
        <v>147</v>
      </c>
      <c r="E2758">
        <v>1.0110822773223524E-2</v>
      </c>
      <c r="F2758">
        <f t="shared" si="92"/>
        <v>-1.6287856736956693E-2</v>
      </c>
      <c r="G2758">
        <f t="shared" si="93"/>
        <v>-2.4749827239091256E-2</v>
      </c>
    </row>
    <row r="2759" spans="1:7" x14ac:dyDescent="0.35">
      <c r="A2759" t="s">
        <v>147</v>
      </c>
      <c r="E2759">
        <v>-2.230812713481533E-2</v>
      </c>
      <c r="F2759">
        <f t="shared" si="92"/>
        <v>-1.629673645507411E-2</v>
      </c>
      <c r="G2759">
        <f t="shared" si="93"/>
        <v>-2.4749827239091256E-2</v>
      </c>
    </row>
    <row r="2760" spans="1:7" x14ac:dyDescent="0.35">
      <c r="A2760" t="s">
        <v>148</v>
      </c>
      <c r="B2760" s="3" cm="1">
        <f t="array" ref="B2760">_xlfn.STDEV.S(_xlfn._xlws.FILTER($E$2013:$E$3011, $A$2013:$A$3011="2021-02"))</f>
        <v>1.0032151270132772E-2</v>
      </c>
      <c r="C2760" s="3" cm="1">
        <f t="array" ref="C2760">AVERAGE(_xlfn._xlws.FILTER($E$2013:$E$3011, $A$2013:$A$3011="2021-02"))</f>
        <v>2.9259089655518612E-3</v>
      </c>
      <c r="D2760" s="3" cm="1">
        <f t="array" ref="D2760">_xlfn.PERCENTILE.EXC(_xlfn._xlws.FILTER($E$2490:$E$3818, $A$2490:$A$3818="2021-02"), 0.05)</f>
        <v>-1.4298959509048989E-2</v>
      </c>
      <c r="E2760">
        <v>5.2328204930623566E-3</v>
      </c>
      <c r="F2760">
        <f t="shared" si="92"/>
        <v>-1.6128021810843215E-2</v>
      </c>
      <c r="G2760">
        <f t="shared" si="93"/>
        <v>-2.4633221478261594E-2</v>
      </c>
    </row>
    <row r="2761" spans="1:7" x14ac:dyDescent="0.35">
      <c r="A2761" t="s">
        <v>148</v>
      </c>
      <c r="E2761">
        <v>1.939219197245886E-2</v>
      </c>
      <c r="F2761">
        <f t="shared" si="92"/>
        <v>-1.6136901528960631E-2</v>
      </c>
      <c r="G2761">
        <f t="shared" si="93"/>
        <v>-2.4796783010327332E-2</v>
      </c>
    </row>
    <row r="2762" spans="1:7" x14ac:dyDescent="0.35">
      <c r="A2762" t="s">
        <v>148</v>
      </c>
      <c r="E2762">
        <v>7.7551332376135235E-3</v>
      </c>
      <c r="F2762">
        <f t="shared" si="92"/>
        <v>-1.6145781247078043E-2</v>
      </c>
      <c r="G2762">
        <f t="shared" si="93"/>
        <v>-2.4796783010327332E-2</v>
      </c>
    </row>
    <row r="2763" spans="1:7" x14ac:dyDescent="0.35">
      <c r="A2763" t="s">
        <v>148</v>
      </c>
      <c r="E2763">
        <v>1.3610036922255146E-2</v>
      </c>
      <c r="F2763">
        <f t="shared" si="92"/>
        <v>-1.615466096519546E-2</v>
      </c>
      <c r="G2763">
        <f t="shared" si="93"/>
        <v>-2.4796783010327332E-2</v>
      </c>
    </row>
    <row r="2764" spans="1:7" x14ac:dyDescent="0.35">
      <c r="A2764" t="s">
        <v>148</v>
      </c>
      <c r="E2764">
        <v>1.1274932293021192E-2</v>
      </c>
      <c r="F2764">
        <f t="shared" si="92"/>
        <v>-1.6163540683312876E-2</v>
      </c>
      <c r="G2764">
        <f t="shared" si="93"/>
        <v>-2.4796783010327332E-2</v>
      </c>
    </row>
    <row r="2765" spans="1:7" x14ac:dyDescent="0.35">
      <c r="A2765" t="s">
        <v>148</v>
      </c>
      <c r="E2765">
        <v>5.2331490755363065E-4</v>
      </c>
      <c r="F2765">
        <f t="shared" si="92"/>
        <v>-1.6172420401430292E-2</v>
      </c>
      <c r="G2765">
        <f t="shared" si="93"/>
        <v>-2.4796783010327332E-2</v>
      </c>
    </row>
    <row r="2766" spans="1:7" x14ac:dyDescent="0.35">
      <c r="A2766" t="s">
        <v>148</v>
      </c>
      <c r="E2766">
        <v>-1.4461036318008795E-2</v>
      </c>
      <c r="F2766">
        <f t="shared" si="92"/>
        <v>-1.6181300119547708E-2</v>
      </c>
      <c r="G2766">
        <f t="shared" si="93"/>
        <v>-2.4796783010327332E-2</v>
      </c>
    </row>
    <row r="2767" spans="1:7" x14ac:dyDescent="0.35">
      <c r="A2767" t="s">
        <v>148</v>
      </c>
      <c r="E2767">
        <v>-4.4042034768952002E-3</v>
      </c>
      <c r="F2767">
        <f t="shared" si="92"/>
        <v>-1.6190179837665124E-2</v>
      </c>
      <c r="G2767">
        <f t="shared" si="93"/>
        <v>-2.4796783010327332E-2</v>
      </c>
    </row>
    <row r="2768" spans="1:7" x14ac:dyDescent="0.35">
      <c r="A2768" t="s">
        <v>148</v>
      </c>
      <c r="E2768">
        <v>-3.4527762054914861E-3</v>
      </c>
      <c r="F2768">
        <f t="shared" si="92"/>
        <v>-1.619905955578254E-2</v>
      </c>
      <c r="G2768">
        <f t="shared" si="93"/>
        <v>-2.4796783010327332E-2</v>
      </c>
    </row>
    <row r="2769" spans="1:7" x14ac:dyDescent="0.35">
      <c r="A2769" t="s">
        <v>148</v>
      </c>
      <c r="E2769">
        <v>2.1624854629702715E-3</v>
      </c>
      <c r="F2769">
        <f t="shared" si="92"/>
        <v>-1.6207939273899952E-2</v>
      </c>
      <c r="G2769">
        <f t="shared" si="93"/>
        <v>-2.4796783010327332E-2</v>
      </c>
    </row>
    <row r="2770" spans="1:7" x14ac:dyDescent="0.35">
      <c r="A2770" t="s">
        <v>148</v>
      </c>
      <c r="E2770">
        <v>1.8267875843862257E-2</v>
      </c>
      <c r="F2770">
        <f t="shared" si="92"/>
        <v>-1.6216818992017372E-2</v>
      </c>
      <c r="G2770">
        <f t="shared" si="93"/>
        <v>-2.4796783010327332E-2</v>
      </c>
    </row>
    <row r="2771" spans="1:7" x14ac:dyDescent="0.35">
      <c r="A2771" t="s">
        <v>148</v>
      </c>
      <c r="E2771">
        <v>-6.0890805112178599E-3</v>
      </c>
      <c r="F2771">
        <f t="shared" si="92"/>
        <v>-1.6225698710134785E-2</v>
      </c>
      <c r="G2771">
        <f t="shared" si="93"/>
        <v>-2.4796783010327332E-2</v>
      </c>
    </row>
    <row r="2772" spans="1:7" x14ac:dyDescent="0.35">
      <c r="A2772" t="s">
        <v>148</v>
      </c>
      <c r="E2772">
        <v>-3.8092007426930273E-3</v>
      </c>
      <c r="F2772">
        <f t="shared" si="92"/>
        <v>-1.6234578428252201E-2</v>
      </c>
      <c r="G2772">
        <f t="shared" si="93"/>
        <v>-2.4796783010327332E-2</v>
      </c>
    </row>
    <row r="2773" spans="1:7" x14ac:dyDescent="0.35">
      <c r="A2773" t="s">
        <v>148</v>
      </c>
      <c r="E2773">
        <v>-7.98481449943538E-3</v>
      </c>
      <c r="F2773">
        <f t="shared" si="92"/>
        <v>-1.6243458146369617E-2</v>
      </c>
      <c r="G2773">
        <f t="shared" si="93"/>
        <v>-2.4796783010327332E-2</v>
      </c>
    </row>
    <row r="2774" spans="1:7" x14ac:dyDescent="0.35">
      <c r="A2774" t="s">
        <v>148</v>
      </c>
      <c r="E2774">
        <v>1.1536430283665779E-2</v>
      </c>
      <c r="F2774">
        <f t="shared" si="92"/>
        <v>-1.6252337864487033E-2</v>
      </c>
      <c r="G2774">
        <f t="shared" si="93"/>
        <v>-2.4796783010327332E-2</v>
      </c>
    </row>
    <row r="2775" spans="1:7" x14ac:dyDescent="0.35">
      <c r="A2775" t="s">
        <v>148</v>
      </c>
      <c r="E2775">
        <v>-4.8451256258704558E-3</v>
      </c>
      <c r="F2775">
        <f t="shared" si="92"/>
        <v>-1.6261217582604449E-2</v>
      </c>
      <c r="G2775">
        <f t="shared" si="93"/>
        <v>-2.4796783010327332E-2</v>
      </c>
    </row>
    <row r="2776" spans="1:7" x14ac:dyDescent="0.35">
      <c r="A2776" t="s">
        <v>148</v>
      </c>
      <c r="E2776">
        <v>1.7098612032688351E-2</v>
      </c>
      <c r="F2776">
        <f t="shared" si="92"/>
        <v>-1.6270097300721861E-2</v>
      </c>
      <c r="G2776">
        <f t="shared" si="93"/>
        <v>-2.4796783010327332E-2</v>
      </c>
    </row>
    <row r="2777" spans="1:7" x14ac:dyDescent="0.35">
      <c r="A2777" t="s">
        <v>148</v>
      </c>
      <c r="E2777">
        <v>2.118426862200597E-3</v>
      </c>
      <c r="F2777">
        <f t="shared" si="92"/>
        <v>-1.6278977018839277E-2</v>
      </c>
      <c r="G2777">
        <f t="shared" si="93"/>
        <v>-2.4796783010327332E-2</v>
      </c>
    </row>
    <row r="2778" spans="1:7" x14ac:dyDescent="0.35">
      <c r="A2778" t="s">
        <v>148</v>
      </c>
      <c r="E2778">
        <v>5.811656518110166E-3</v>
      </c>
      <c r="F2778">
        <f t="shared" si="92"/>
        <v>-1.6287856736956693E-2</v>
      </c>
      <c r="G2778">
        <f t="shared" si="93"/>
        <v>-2.4796783010327332E-2</v>
      </c>
    </row>
    <row r="2779" spans="1:7" x14ac:dyDescent="0.35">
      <c r="A2779" t="s">
        <v>148</v>
      </c>
      <c r="E2779">
        <v>-1.1219500138812693E-2</v>
      </c>
      <c r="F2779">
        <f t="shared" si="92"/>
        <v>-1.629673645507411E-2</v>
      </c>
      <c r="G2779">
        <f t="shared" si="93"/>
        <v>-2.4796783010327332E-2</v>
      </c>
    </row>
    <row r="2780" spans="1:7" x14ac:dyDescent="0.35">
      <c r="A2780" t="s">
        <v>149</v>
      </c>
      <c r="B2780" s="3" cm="1">
        <f t="array" ref="B2780">_xlfn.STDEV.S(_xlfn._xlws.FILTER($E$2013:$E$3011, $A$2013:$A$3011="2021-03"))</f>
        <v>9.0869001315921939E-3</v>
      </c>
      <c r="C2780" s="3" cm="1">
        <f t="array" ref="C2780">AVERAGE(_xlfn._xlws.FILTER($E$2013:$E$3011, $A$2013:$A$3011="2021-03"))</f>
        <v>1.8372007325406533E-3</v>
      </c>
      <c r="D2780" s="3" cm="1">
        <f t="array" ref="D2780">_xlfn.PERCENTILE.EXC(_xlfn._xlws.FILTER($E$2490:$E$3818, $A$2490:$A$3818="2021-03"), 0.05)</f>
        <v>-1.7282859800945335E-2</v>
      </c>
      <c r="E2780">
        <v>1.8442861825091077E-2</v>
      </c>
      <c r="F2780">
        <f t="shared" si="92"/>
        <v>-1.6305616173191526E-2</v>
      </c>
      <c r="G2780">
        <f t="shared" si="93"/>
        <v>-2.4796783010327332E-2</v>
      </c>
    </row>
    <row r="2781" spans="1:7" x14ac:dyDescent="0.35">
      <c r="A2781" t="s">
        <v>149</v>
      </c>
      <c r="E2781">
        <v>-2.6652499657315318E-3</v>
      </c>
      <c r="F2781">
        <f t="shared" si="92"/>
        <v>-1.6313034598389856E-2</v>
      </c>
      <c r="G2781">
        <f t="shared" si="93"/>
        <v>-2.496327647772215E-2</v>
      </c>
    </row>
    <row r="2782" spans="1:7" x14ac:dyDescent="0.35">
      <c r="A2782" t="s">
        <v>149</v>
      </c>
      <c r="E2782">
        <v>-3.1764894765111537E-3</v>
      </c>
      <c r="F2782">
        <f t="shared" si="92"/>
        <v>-1.6320453023588186E-2</v>
      </c>
      <c r="G2782">
        <f t="shared" si="93"/>
        <v>-2.496327647772215E-2</v>
      </c>
    </row>
    <row r="2783" spans="1:7" x14ac:dyDescent="0.35">
      <c r="A2783" t="s">
        <v>149</v>
      </c>
      <c r="E2783">
        <v>2.961047040699724E-3</v>
      </c>
      <c r="F2783">
        <f t="shared" si="92"/>
        <v>-1.6327871448786516E-2</v>
      </c>
      <c r="G2783">
        <f t="shared" si="93"/>
        <v>-2.496327647772215E-2</v>
      </c>
    </row>
    <row r="2784" spans="1:7" x14ac:dyDescent="0.35">
      <c r="A2784" t="s">
        <v>149</v>
      </c>
      <c r="E2784">
        <v>-8.0765786853869755E-3</v>
      </c>
      <c r="F2784">
        <f t="shared" si="92"/>
        <v>-1.6335289873984846E-2</v>
      </c>
      <c r="G2784">
        <f t="shared" si="93"/>
        <v>-2.496327647772215E-2</v>
      </c>
    </row>
    <row r="2785" spans="1:7" x14ac:dyDescent="0.35">
      <c r="A2785" t="s">
        <v>149</v>
      </c>
      <c r="E2785">
        <v>1.8815927773110877E-2</v>
      </c>
      <c r="F2785">
        <f t="shared" si="92"/>
        <v>-1.6342708299183176E-2</v>
      </c>
      <c r="G2785">
        <f t="shared" si="93"/>
        <v>-2.496327647772215E-2</v>
      </c>
    </row>
    <row r="2786" spans="1:7" x14ac:dyDescent="0.35">
      <c r="A2786" t="s">
        <v>149</v>
      </c>
      <c r="E2786">
        <v>6.1627292078852104E-3</v>
      </c>
      <c r="F2786">
        <f t="shared" si="92"/>
        <v>-1.6350126724381506E-2</v>
      </c>
      <c r="G2786">
        <f t="shared" si="93"/>
        <v>-2.496327647772215E-2</v>
      </c>
    </row>
    <row r="2787" spans="1:7" x14ac:dyDescent="0.35">
      <c r="A2787" t="s">
        <v>149</v>
      </c>
      <c r="E2787">
        <v>3.3839389343537449E-3</v>
      </c>
      <c r="F2787">
        <f t="shared" si="92"/>
        <v>-1.6357545149579836E-2</v>
      </c>
      <c r="G2787">
        <f t="shared" si="93"/>
        <v>-2.496327647772215E-2</v>
      </c>
    </row>
    <row r="2788" spans="1:7" x14ac:dyDescent="0.35">
      <c r="A2788" t="s">
        <v>149</v>
      </c>
      <c r="E2788">
        <v>7.9214350261392584E-3</v>
      </c>
      <c r="F2788">
        <f t="shared" si="92"/>
        <v>-1.6364963574778166E-2</v>
      </c>
      <c r="G2788">
        <f t="shared" si="93"/>
        <v>-2.496327647772215E-2</v>
      </c>
    </row>
    <row r="2789" spans="1:7" x14ac:dyDescent="0.35">
      <c r="A2789" t="s">
        <v>149</v>
      </c>
      <c r="E2789">
        <v>5.9753622316077249E-3</v>
      </c>
      <c r="F2789">
        <f t="shared" si="92"/>
        <v>-1.6372381999976496E-2</v>
      </c>
      <c r="G2789">
        <f t="shared" si="93"/>
        <v>-2.496327647772215E-2</v>
      </c>
    </row>
    <row r="2790" spans="1:7" x14ac:dyDescent="0.35">
      <c r="A2790" t="s">
        <v>149</v>
      </c>
      <c r="E2790">
        <v>-1.0532469332856949E-3</v>
      </c>
      <c r="F2790">
        <f t="shared" si="92"/>
        <v>-1.6379800425174826E-2</v>
      </c>
      <c r="G2790">
        <f t="shared" si="93"/>
        <v>-2.496327647772215E-2</v>
      </c>
    </row>
    <row r="2791" spans="1:7" x14ac:dyDescent="0.35">
      <c r="A2791" t="s">
        <v>149</v>
      </c>
      <c r="E2791">
        <v>2.5790647554046059E-3</v>
      </c>
      <c r="F2791">
        <f t="shared" si="92"/>
        <v>-1.6387218850373156E-2</v>
      </c>
      <c r="G2791">
        <f t="shared" si="93"/>
        <v>-2.496327647772215E-2</v>
      </c>
    </row>
    <row r="2792" spans="1:7" x14ac:dyDescent="0.35">
      <c r="A2792" t="s">
        <v>149</v>
      </c>
      <c r="E2792">
        <v>-6.7450363504025076E-3</v>
      </c>
      <c r="F2792">
        <f t="shared" si="92"/>
        <v>-1.6394637275571486E-2</v>
      </c>
      <c r="G2792">
        <f t="shared" si="93"/>
        <v>-2.496327647772215E-2</v>
      </c>
    </row>
    <row r="2793" spans="1:7" x14ac:dyDescent="0.35">
      <c r="A2793" t="s">
        <v>149</v>
      </c>
      <c r="E2793">
        <v>2.914522995981615E-3</v>
      </c>
      <c r="F2793">
        <f t="shared" si="92"/>
        <v>-1.6402055700769816E-2</v>
      </c>
      <c r="G2793">
        <f t="shared" si="93"/>
        <v>-2.496327647772215E-2</v>
      </c>
    </row>
    <row r="2794" spans="1:7" x14ac:dyDescent="0.35">
      <c r="A2794" t="s">
        <v>149</v>
      </c>
      <c r="E2794">
        <v>-1.5376290232519529E-2</v>
      </c>
      <c r="F2794">
        <f t="shared" si="92"/>
        <v>-1.6409474125968146E-2</v>
      </c>
      <c r="G2794">
        <f t="shared" si="93"/>
        <v>-2.496327647772215E-2</v>
      </c>
    </row>
    <row r="2795" spans="1:7" x14ac:dyDescent="0.35">
      <c r="A2795" t="s">
        <v>149</v>
      </c>
      <c r="E2795">
        <v>-1.775950219305179E-2</v>
      </c>
      <c r="F2795">
        <f t="shared" si="92"/>
        <v>-1.6416892551166476E-2</v>
      </c>
      <c r="G2795">
        <f t="shared" si="93"/>
        <v>-2.496327647772215E-2</v>
      </c>
    </row>
    <row r="2796" spans="1:7" x14ac:dyDescent="0.35">
      <c r="A2796" t="s">
        <v>149</v>
      </c>
      <c r="E2796">
        <v>5.5934840884301279E-3</v>
      </c>
      <c r="F2796">
        <f t="shared" si="92"/>
        <v>-1.6270097300721861E-2</v>
      </c>
      <c r="G2796">
        <f t="shared" si="93"/>
        <v>-2.4934768908705281E-2</v>
      </c>
    </row>
    <row r="2797" spans="1:7" x14ac:dyDescent="0.35">
      <c r="A2797" t="s">
        <v>149</v>
      </c>
      <c r="E2797">
        <v>6.3443244759887512E-3</v>
      </c>
      <c r="F2797">
        <f t="shared" si="92"/>
        <v>-1.6278977018839277E-2</v>
      </c>
      <c r="G2797">
        <f t="shared" si="93"/>
        <v>-2.4934768908705281E-2</v>
      </c>
    </row>
    <row r="2798" spans="1:7" x14ac:dyDescent="0.35">
      <c r="A2798" t="s">
        <v>149</v>
      </c>
      <c r="E2798">
        <v>-4.0585819838888223E-3</v>
      </c>
      <c r="F2798">
        <f t="shared" si="92"/>
        <v>-1.6287856736956693E-2</v>
      </c>
      <c r="G2798">
        <f t="shared" si="93"/>
        <v>-2.4934768908705281E-2</v>
      </c>
    </row>
    <row r="2799" spans="1:7" x14ac:dyDescent="0.35">
      <c r="A2799" t="s">
        <v>149</v>
      </c>
      <c r="E2799">
        <v>1.0492357179726734E-2</v>
      </c>
      <c r="F2799">
        <f t="shared" si="92"/>
        <v>-1.629673645507411E-2</v>
      </c>
      <c r="G2799">
        <f t="shared" si="93"/>
        <v>-2.4934768908705281E-2</v>
      </c>
    </row>
    <row r="2800" spans="1:7" x14ac:dyDescent="0.35">
      <c r="A2800" t="s">
        <v>149</v>
      </c>
      <c r="E2800">
        <v>-7.1805680442372025E-4</v>
      </c>
      <c r="F2800">
        <f t="shared" si="92"/>
        <v>-1.6305616173191526E-2</v>
      </c>
      <c r="G2800">
        <f t="shared" si="93"/>
        <v>-2.4934768908705281E-2</v>
      </c>
    </row>
    <row r="2801" spans="1:7" x14ac:dyDescent="0.35">
      <c r="A2801" t="s">
        <v>149</v>
      </c>
      <c r="E2801">
        <v>1.2067588346073164E-2</v>
      </c>
      <c r="F2801">
        <f t="shared" si="92"/>
        <v>-1.6313034598389856E-2</v>
      </c>
      <c r="G2801">
        <f t="shared" si="93"/>
        <v>-2.5107351963415556E-2</v>
      </c>
    </row>
    <row r="2802" spans="1:7" x14ac:dyDescent="0.35">
      <c r="A2802" t="s">
        <v>149</v>
      </c>
      <c r="E2802">
        <v>-1.7699944068558502E-3</v>
      </c>
      <c r="F2802">
        <f t="shared" si="92"/>
        <v>-1.6320453023588186E-2</v>
      </c>
      <c r="G2802">
        <f t="shared" si="93"/>
        <v>-2.5107351963415556E-2</v>
      </c>
    </row>
    <row r="2803" spans="1:7" x14ac:dyDescent="0.35">
      <c r="A2803" t="s">
        <v>150</v>
      </c>
      <c r="B2803" s="3" cm="1">
        <f t="array" ref="B2803">_xlfn.STDEV.S(_xlfn._xlws.FILTER($E$2013:$E$3011, $A$2013:$A$3011="2021-04"))</f>
        <v>9.4429610307495502E-3</v>
      </c>
      <c r="C2803" s="3" cm="1">
        <f t="array" ref="C2803">AVERAGE(_xlfn._xlws.FILTER($E$2013:$E$3011, $A$2013:$A$3011="2021-04"))</f>
        <v>1.3510451174981448E-3</v>
      </c>
      <c r="D2803" s="3" cm="1">
        <f t="array" ref="D2803">_xlfn.PERCENTILE.EXC(_xlfn._xlws.FILTER($E$2490:$E$3818, $A$2490:$A$3818="2021-04"), 0.05)</f>
        <v>-2.8305069935539079E-2</v>
      </c>
      <c r="E2803">
        <v>-2.7975940873462967E-4</v>
      </c>
      <c r="F2803">
        <f t="shared" si="92"/>
        <v>-1.6327871448786516E-2</v>
      </c>
      <c r="G2803">
        <f t="shared" si="93"/>
        <v>-2.5107351963415556E-2</v>
      </c>
    </row>
    <row r="2804" spans="1:7" x14ac:dyDescent="0.35">
      <c r="A2804" t="s">
        <v>150</v>
      </c>
      <c r="E2804">
        <v>6.6232333309096843E-3</v>
      </c>
      <c r="F2804">
        <f t="shared" si="92"/>
        <v>-1.6335289873984846E-2</v>
      </c>
      <c r="G2804">
        <f t="shared" si="93"/>
        <v>-2.5107351963415556E-2</v>
      </c>
    </row>
    <row r="2805" spans="1:7" x14ac:dyDescent="0.35">
      <c r="A2805" t="s">
        <v>150</v>
      </c>
      <c r="E2805">
        <v>-4.3175554535708604E-3</v>
      </c>
      <c r="F2805">
        <f t="shared" si="92"/>
        <v>-1.6342708299183176E-2</v>
      </c>
      <c r="G2805">
        <f t="shared" si="93"/>
        <v>-2.5107351963415556E-2</v>
      </c>
    </row>
    <row r="2806" spans="1:7" x14ac:dyDescent="0.35">
      <c r="A2806" t="s">
        <v>150</v>
      </c>
      <c r="E2806">
        <v>4.6880887942311782E-3</v>
      </c>
      <c r="F2806">
        <f t="shared" si="92"/>
        <v>-1.6350126724381506E-2</v>
      </c>
      <c r="G2806">
        <f t="shared" si="93"/>
        <v>-2.5107351963415556E-2</v>
      </c>
    </row>
    <row r="2807" spans="1:7" x14ac:dyDescent="0.35">
      <c r="A2807" t="s">
        <v>150</v>
      </c>
      <c r="E2807">
        <v>-8.3703899625750516E-3</v>
      </c>
      <c r="F2807">
        <f t="shared" si="92"/>
        <v>-1.6357545149579836E-2</v>
      </c>
      <c r="G2807">
        <f t="shared" si="93"/>
        <v>-2.5107351963415556E-2</v>
      </c>
    </row>
    <row r="2808" spans="1:7" x14ac:dyDescent="0.35">
      <c r="A2808" t="s">
        <v>150</v>
      </c>
      <c r="E2808">
        <v>-3.8834091755626382E-3</v>
      </c>
      <c r="F2808">
        <f t="shared" si="92"/>
        <v>-1.6364963574778166E-2</v>
      </c>
      <c r="G2808">
        <f t="shared" si="93"/>
        <v>-2.5107351963415556E-2</v>
      </c>
    </row>
    <row r="2809" spans="1:7" x14ac:dyDescent="0.35">
      <c r="A2809" t="s">
        <v>150</v>
      </c>
      <c r="E2809">
        <v>-8.7936831850779973E-4</v>
      </c>
      <c r="F2809">
        <f t="shared" si="92"/>
        <v>-1.6372381999976496E-2</v>
      </c>
      <c r="G2809">
        <f t="shared" si="93"/>
        <v>-2.5107351963415556E-2</v>
      </c>
    </row>
    <row r="2810" spans="1:7" x14ac:dyDescent="0.35">
      <c r="A2810" t="s">
        <v>150</v>
      </c>
      <c r="E2810">
        <v>7.3977022443541887E-3</v>
      </c>
      <c r="F2810">
        <f t="shared" si="92"/>
        <v>-1.6379800425174826E-2</v>
      </c>
      <c r="G2810">
        <f t="shared" si="93"/>
        <v>-2.5107351963415556E-2</v>
      </c>
    </row>
    <row r="2811" spans="1:7" x14ac:dyDescent="0.35">
      <c r="A2811" t="s">
        <v>150</v>
      </c>
      <c r="E2811">
        <v>-1.9580425836248946E-3</v>
      </c>
      <c r="F2811">
        <f t="shared" si="92"/>
        <v>-1.6387218850373156E-2</v>
      </c>
      <c r="G2811">
        <f t="shared" si="93"/>
        <v>-2.5107351963415556E-2</v>
      </c>
    </row>
    <row r="2812" spans="1:7" x14ac:dyDescent="0.35">
      <c r="A2812" t="s">
        <v>150</v>
      </c>
      <c r="E2812">
        <v>4.8763269374967463E-3</v>
      </c>
      <c r="F2812">
        <f t="shared" si="92"/>
        <v>-1.6394637275571486E-2</v>
      </c>
      <c r="G2812">
        <f t="shared" si="93"/>
        <v>-2.5107351963415556E-2</v>
      </c>
    </row>
    <row r="2813" spans="1:7" x14ac:dyDescent="0.35">
      <c r="A2813" t="s">
        <v>150</v>
      </c>
      <c r="E2813">
        <v>1.1301772831273153E-2</v>
      </c>
      <c r="F2813">
        <f t="shared" si="92"/>
        <v>-1.6402055700769816E-2</v>
      </c>
      <c r="G2813">
        <f t="shared" si="93"/>
        <v>-2.5107351963415556E-2</v>
      </c>
    </row>
    <row r="2814" spans="1:7" x14ac:dyDescent="0.35">
      <c r="A2814" t="s">
        <v>150</v>
      </c>
      <c r="E2814">
        <v>-2.9354263618326659E-2</v>
      </c>
      <c r="F2814">
        <f t="shared" si="92"/>
        <v>-1.6409474125968146E-2</v>
      </c>
      <c r="G2814">
        <f t="shared" si="93"/>
        <v>-2.5107351963415556E-2</v>
      </c>
    </row>
    <row r="2815" spans="1:7" x14ac:dyDescent="0.35">
      <c r="A2815" t="s">
        <v>150</v>
      </c>
      <c r="E2815">
        <v>7.1146172700643617E-3</v>
      </c>
      <c r="F2815">
        <f t="shared" si="92"/>
        <v>-1.6261217582604449E-2</v>
      </c>
      <c r="G2815">
        <f t="shared" si="93"/>
        <v>-2.4846379014512854E-2</v>
      </c>
    </row>
    <row r="2816" spans="1:7" x14ac:dyDescent="0.35">
      <c r="A2816" t="s">
        <v>150</v>
      </c>
      <c r="E2816">
        <v>1.595227288800416E-2</v>
      </c>
      <c r="F2816">
        <f t="shared" si="92"/>
        <v>-1.6270097300721861E-2</v>
      </c>
      <c r="G2816">
        <f t="shared" si="93"/>
        <v>-2.4846379014512854E-2</v>
      </c>
    </row>
    <row r="2817" spans="1:7" x14ac:dyDescent="0.35">
      <c r="A2817" t="s">
        <v>150</v>
      </c>
      <c r="E2817">
        <v>-4.4224807831578271E-3</v>
      </c>
      <c r="F2817">
        <f t="shared" si="92"/>
        <v>-1.6278977018839277E-2</v>
      </c>
      <c r="G2817">
        <f t="shared" si="93"/>
        <v>-2.4846379014512854E-2</v>
      </c>
    </row>
    <row r="2818" spans="1:7" x14ac:dyDescent="0.35">
      <c r="A2818" t="s">
        <v>150</v>
      </c>
      <c r="E2818">
        <v>9.6187341291913905E-3</v>
      </c>
      <c r="F2818">
        <f t="shared" si="92"/>
        <v>-1.6287856736956693E-2</v>
      </c>
      <c r="G2818">
        <f t="shared" si="93"/>
        <v>-2.4846379014512854E-2</v>
      </c>
    </row>
    <row r="2819" spans="1:7" x14ac:dyDescent="0.35">
      <c r="A2819" t="s">
        <v>150</v>
      </c>
      <c r="E2819">
        <v>6.2777290242833706E-3</v>
      </c>
      <c r="F2819">
        <f t="shared" si="92"/>
        <v>-1.629673645507411E-2</v>
      </c>
      <c r="G2819">
        <f t="shared" si="93"/>
        <v>-2.4846379014512854E-2</v>
      </c>
    </row>
    <row r="2820" spans="1:7" x14ac:dyDescent="0.35">
      <c r="A2820" t="s">
        <v>150</v>
      </c>
      <c r="E2820">
        <v>4.8871442599985786E-3</v>
      </c>
      <c r="F2820">
        <f t="shared" ref="F2820:F2883" si="94">_xlfn.PERCENTILE.EXC(E2820:E6635,0.05)</f>
        <v>-1.6305616173191526E-2</v>
      </c>
      <c r="G2820">
        <f t="shared" ref="G2820:G2883" si="95">AVERAGEIFS(E2820:E6636,E2820:E6636,"&lt;=" &amp; F2820)</f>
        <v>-2.4846379014512854E-2</v>
      </c>
    </row>
    <row r="2821" spans="1:7" x14ac:dyDescent="0.35">
      <c r="A2821" t="s">
        <v>150</v>
      </c>
      <c r="E2821">
        <v>2.6783501041830866E-3</v>
      </c>
      <c r="F2821">
        <f t="shared" si="94"/>
        <v>-1.6313034598389856E-2</v>
      </c>
      <c r="G2821">
        <f t="shared" si="95"/>
        <v>-2.5020680296988798E-2</v>
      </c>
    </row>
    <row r="2822" spans="1:7" x14ac:dyDescent="0.35">
      <c r="A2822" t="s">
        <v>150</v>
      </c>
      <c r="E2822">
        <v>-9.2980015996663873E-4</v>
      </c>
      <c r="F2822">
        <f t="shared" si="94"/>
        <v>-1.6320453023588186E-2</v>
      </c>
      <c r="G2822">
        <f t="shared" si="95"/>
        <v>-2.5020680296988798E-2</v>
      </c>
    </row>
    <row r="2823" spans="1:7" x14ac:dyDescent="0.35">
      <c r="A2823" t="s">
        <v>151</v>
      </c>
      <c r="B2823" s="3" cm="1">
        <f t="array" ref="B2823">_xlfn.STDEV.S(_xlfn._xlws.FILTER($E$2013:$E$3011, $A$2013:$A$3011="2021-05"))</f>
        <v>8.7604105018501306E-3</v>
      </c>
      <c r="C2823" s="3" cm="1">
        <f t="array" ref="C2823">AVERAGE(_xlfn._xlws.FILTER($E$2013:$E$3011, $A$2013:$A$3011="2021-05"))</f>
        <v>2.5232784835034572E-3</v>
      </c>
      <c r="D2823" s="3" cm="1">
        <f t="array" ref="D2823">_xlfn.PERCENTILE.INC(_xlfn._xlws.FILTER($E$2490:$E$3818, $A$2490:$A$3818="2021-05"), 0.05)</f>
        <v>-1.3141544238655597E-2</v>
      </c>
      <c r="E2823">
        <v>1.7454978532662306E-3</v>
      </c>
      <c r="F2823">
        <f t="shared" si="94"/>
        <v>-1.6327871448786516E-2</v>
      </c>
      <c r="G2823">
        <f t="shared" si="95"/>
        <v>-2.5020680296988798E-2</v>
      </c>
    </row>
    <row r="2824" spans="1:7" x14ac:dyDescent="0.35">
      <c r="A2824" t="s">
        <v>151</v>
      </c>
      <c r="E2824">
        <v>1.5440070301573216E-2</v>
      </c>
      <c r="F2824">
        <f t="shared" si="94"/>
        <v>-1.6335289873984846E-2</v>
      </c>
      <c r="G2824">
        <f t="shared" si="95"/>
        <v>-2.5020680296988798E-2</v>
      </c>
    </row>
    <row r="2825" spans="1:7" x14ac:dyDescent="0.35">
      <c r="A2825" t="s">
        <v>151</v>
      </c>
      <c r="E2825">
        <v>1.6044571687065712E-3</v>
      </c>
      <c r="F2825">
        <f t="shared" si="94"/>
        <v>-1.6342708299183176E-2</v>
      </c>
      <c r="G2825">
        <f t="shared" si="95"/>
        <v>-2.5020680296988798E-2</v>
      </c>
    </row>
    <row r="2826" spans="1:7" x14ac:dyDescent="0.35">
      <c r="A2826" t="s">
        <v>151</v>
      </c>
      <c r="E2826">
        <v>8.5359747620638634E-3</v>
      </c>
      <c r="F2826">
        <f t="shared" si="94"/>
        <v>-1.6350126724381506E-2</v>
      </c>
      <c r="G2826">
        <f t="shared" si="95"/>
        <v>-2.5020680296988798E-2</v>
      </c>
    </row>
    <row r="2827" spans="1:7" x14ac:dyDescent="0.35">
      <c r="A2827" t="s">
        <v>151</v>
      </c>
      <c r="E2827">
        <v>9.3499184178324236E-3</v>
      </c>
      <c r="F2827">
        <f t="shared" si="94"/>
        <v>-1.6357545149579836E-2</v>
      </c>
      <c r="G2827">
        <f t="shared" si="95"/>
        <v>-2.5020680296988798E-2</v>
      </c>
    </row>
    <row r="2828" spans="1:7" x14ac:dyDescent="0.35">
      <c r="A2828" t="s">
        <v>151</v>
      </c>
      <c r="E2828">
        <v>-1.7329391557244538E-2</v>
      </c>
      <c r="F2828">
        <f t="shared" si="94"/>
        <v>-1.6364963574778166E-2</v>
      </c>
      <c r="G2828">
        <f t="shared" si="95"/>
        <v>-2.5020680296988798E-2</v>
      </c>
    </row>
    <row r="2829" spans="1:7" x14ac:dyDescent="0.35">
      <c r="A2829" t="s">
        <v>151</v>
      </c>
      <c r="E2829">
        <v>2.2784243167040456E-3</v>
      </c>
      <c r="F2829">
        <f t="shared" si="94"/>
        <v>-1.6207939273899952E-2</v>
      </c>
      <c r="G2829">
        <f t="shared" si="95"/>
        <v>-2.4999786921804042E-2</v>
      </c>
    </row>
    <row r="2830" spans="1:7" x14ac:dyDescent="0.35">
      <c r="A2830" t="s">
        <v>151</v>
      </c>
      <c r="E2830">
        <v>-4.6178151370847038E-3</v>
      </c>
      <c r="F2830">
        <f t="shared" si="94"/>
        <v>-1.6216818992017372E-2</v>
      </c>
      <c r="G2830">
        <f t="shared" si="95"/>
        <v>-2.4999786921804042E-2</v>
      </c>
    </row>
    <row r="2831" spans="1:7" x14ac:dyDescent="0.35">
      <c r="A2831" t="s">
        <v>151</v>
      </c>
      <c r="E2831">
        <v>1.9810937337705975E-2</v>
      </c>
      <c r="F2831">
        <f t="shared" si="94"/>
        <v>-1.6225698710134785E-2</v>
      </c>
      <c r="G2831">
        <f t="shared" si="95"/>
        <v>-2.4999786921804042E-2</v>
      </c>
    </row>
    <row r="2832" spans="1:7" x14ac:dyDescent="0.35">
      <c r="A2832" t="s">
        <v>151</v>
      </c>
      <c r="E2832">
        <v>1.0928246229997599E-3</v>
      </c>
      <c r="F2832">
        <f t="shared" si="94"/>
        <v>-1.6234578428252201E-2</v>
      </c>
      <c r="G2832">
        <f t="shared" si="95"/>
        <v>-2.4999786921804042E-2</v>
      </c>
    </row>
    <row r="2833" spans="1:7" x14ac:dyDescent="0.35">
      <c r="A2833" t="s">
        <v>151</v>
      </c>
      <c r="E2833">
        <v>3.0862370798318754E-3</v>
      </c>
      <c r="F2833">
        <f t="shared" si="94"/>
        <v>-1.6243458146369617E-2</v>
      </c>
      <c r="G2833">
        <f t="shared" si="95"/>
        <v>-2.4999786921804042E-2</v>
      </c>
    </row>
    <row r="2834" spans="1:7" x14ac:dyDescent="0.35">
      <c r="A2834" t="s">
        <v>151</v>
      </c>
      <c r="E2834">
        <v>-1.2402512358904607E-2</v>
      </c>
      <c r="F2834">
        <f t="shared" si="94"/>
        <v>-1.6252337864487033E-2</v>
      </c>
      <c r="G2834">
        <f t="shared" si="95"/>
        <v>-2.4999786921804042E-2</v>
      </c>
    </row>
    <row r="2835" spans="1:7" x14ac:dyDescent="0.35">
      <c r="A2835" t="s">
        <v>151</v>
      </c>
      <c r="E2835">
        <v>5.8917455399631448E-3</v>
      </c>
      <c r="F2835">
        <f t="shared" si="94"/>
        <v>-1.6261217582604449E-2</v>
      </c>
      <c r="G2835">
        <f t="shared" si="95"/>
        <v>-2.4999786921804042E-2</v>
      </c>
    </row>
    <row r="2836" spans="1:7" x14ac:dyDescent="0.35">
      <c r="A2836" t="s">
        <v>151</v>
      </c>
      <c r="E2836">
        <v>8.6969879758725301E-3</v>
      </c>
      <c r="F2836">
        <f t="shared" si="94"/>
        <v>-1.6270097300721861E-2</v>
      </c>
      <c r="G2836">
        <f t="shared" si="95"/>
        <v>-2.4999786921804042E-2</v>
      </c>
    </row>
    <row r="2837" spans="1:7" x14ac:dyDescent="0.35">
      <c r="A2837" t="s">
        <v>151</v>
      </c>
      <c r="E2837">
        <v>5.1051720845726734E-4</v>
      </c>
      <c r="F2837">
        <f t="shared" si="94"/>
        <v>-1.6278977018839277E-2</v>
      </c>
      <c r="G2837">
        <f t="shared" si="95"/>
        <v>-2.4999786921804042E-2</v>
      </c>
    </row>
    <row r="2838" spans="1:7" x14ac:dyDescent="0.35">
      <c r="A2838" t="s">
        <v>151</v>
      </c>
      <c r="E2838">
        <v>-1.2822186309258765E-3</v>
      </c>
      <c r="F2838">
        <f t="shared" si="94"/>
        <v>-1.6287856736956693E-2</v>
      </c>
      <c r="G2838">
        <f t="shared" si="95"/>
        <v>-2.4999786921804042E-2</v>
      </c>
    </row>
    <row r="2839" spans="1:7" x14ac:dyDescent="0.35">
      <c r="A2839" t="s">
        <v>151</v>
      </c>
      <c r="E2839">
        <v>-1.1749987752335323E-3</v>
      </c>
      <c r="F2839">
        <f t="shared" si="94"/>
        <v>-1.629673645507411E-2</v>
      </c>
      <c r="G2839">
        <f t="shared" si="95"/>
        <v>-2.4999786921804042E-2</v>
      </c>
    </row>
    <row r="2840" spans="1:7" x14ac:dyDescent="0.35">
      <c r="A2840" t="s">
        <v>151</v>
      </c>
      <c r="E2840">
        <v>4.1823565774785736E-3</v>
      </c>
      <c r="F2840">
        <f t="shared" si="94"/>
        <v>-1.6305616173191526E-2</v>
      </c>
      <c r="G2840">
        <f t="shared" si="95"/>
        <v>-2.4999786921804042E-2</v>
      </c>
    </row>
    <row r="2841" spans="1:7" x14ac:dyDescent="0.35">
      <c r="A2841" t="s">
        <v>152</v>
      </c>
      <c r="B2841" s="3" cm="1">
        <f t="array" ref="B2841">_xlfn.STDEV.S(_xlfn._xlws.FILTER($E$2013:$E$3011, $A$2013:$A$3011="2021-06"))</f>
        <v>8.0952329886024108E-3</v>
      </c>
      <c r="C2841" s="3" cm="1">
        <f t="array" ref="C2841">AVERAGE(_xlfn._xlws.FILTER($E$2013:$E$3011, $A$2013:$A$3011="2021-06"))</f>
        <v>-2.0325415166813948E-3</v>
      </c>
      <c r="D2841" s="3" cm="1">
        <f t="array" ref="D2841">_xlfn.PERCENTILE.EXC(_xlfn._xlws.FILTER($E$2490:$E$3818, $A$2490:$A$3818="2021-06"), 0.05)</f>
        <v>-1.9835922318024217E-2</v>
      </c>
      <c r="E2841">
        <v>-3.7905368965877005E-3</v>
      </c>
      <c r="F2841">
        <f t="shared" si="94"/>
        <v>-1.6313034598389856E-2</v>
      </c>
      <c r="G2841">
        <f t="shared" si="95"/>
        <v>-2.5180915479066802E-2</v>
      </c>
    </row>
    <row r="2842" spans="1:7" x14ac:dyDescent="0.35">
      <c r="A2842" t="s">
        <v>152</v>
      </c>
      <c r="E2842">
        <v>-9.7983720768849455E-4</v>
      </c>
      <c r="F2842">
        <f t="shared" si="94"/>
        <v>-1.6320453023588186E-2</v>
      </c>
      <c r="G2842">
        <f t="shared" si="95"/>
        <v>-2.5180915479066802E-2</v>
      </c>
    </row>
    <row r="2843" spans="1:7" x14ac:dyDescent="0.35">
      <c r="A2843" t="s">
        <v>152</v>
      </c>
      <c r="E2843">
        <v>-4.1805213943027861E-3</v>
      </c>
      <c r="F2843">
        <f t="shared" si="94"/>
        <v>-1.6327871448786516E-2</v>
      </c>
      <c r="G2843">
        <f t="shared" si="95"/>
        <v>-2.5180915479066802E-2</v>
      </c>
    </row>
    <row r="2844" spans="1:7" x14ac:dyDescent="0.35">
      <c r="A2844" t="s">
        <v>152</v>
      </c>
      <c r="E2844">
        <v>-5.9350610569777681E-3</v>
      </c>
      <c r="F2844">
        <f t="shared" si="94"/>
        <v>-1.6335289873984846E-2</v>
      </c>
      <c r="G2844">
        <f t="shared" si="95"/>
        <v>-2.5180915479066802E-2</v>
      </c>
    </row>
    <row r="2845" spans="1:7" x14ac:dyDescent="0.35">
      <c r="A2845" t="s">
        <v>152</v>
      </c>
      <c r="E2845">
        <v>8.2512425797168516E-3</v>
      </c>
      <c r="F2845">
        <f t="shared" si="94"/>
        <v>-1.6342708299183176E-2</v>
      </c>
      <c r="G2845">
        <f t="shared" si="95"/>
        <v>-2.5180915479066802E-2</v>
      </c>
    </row>
    <row r="2846" spans="1:7" x14ac:dyDescent="0.35">
      <c r="A2846" t="s">
        <v>152</v>
      </c>
      <c r="E2846">
        <v>-1.0918700449286847E-3</v>
      </c>
      <c r="F2846">
        <f t="shared" si="94"/>
        <v>-1.6350126724381506E-2</v>
      </c>
      <c r="G2846">
        <f t="shared" si="95"/>
        <v>-2.5180915479066802E-2</v>
      </c>
    </row>
    <row r="2847" spans="1:7" x14ac:dyDescent="0.35">
      <c r="A2847" t="s">
        <v>152</v>
      </c>
      <c r="E2847">
        <v>2.7307929846311085E-4</v>
      </c>
      <c r="F2847">
        <f t="shared" si="94"/>
        <v>-1.6357545149579836E-2</v>
      </c>
      <c r="G2847">
        <f t="shared" si="95"/>
        <v>-2.5180915479066802E-2</v>
      </c>
    </row>
    <row r="2848" spans="1:7" x14ac:dyDescent="0.35">
      <c r="A2848" t="s">
        <v>152</v>
      </c>
      <c r="E2848">
        <v>-2.4385055194642274E-3</v>
      </c>
      <c r="F2848">
        <f t="shared" si="94"/>
        <v>-1.6364963574778166E-2</v>
      </c>
      <c r="G2848">
        <f t="shared" si="95"/>
        <v>-2.5180915479066802E-2</v>
      </c>
    </row>
    <row r="2849" spans="1:7" x14ac:dyDescent="0.35">
      <c r="A2849" t="s">
        <v>152</v>
      </c>
      <c r="E2849">
        <v>7.7649963739148814E-3</v>
      </c>
      <c r="F2849">
        <f t="shared" si="94"/>
        <v>-1.6372381999976496E-2</v>
      </c>
      <c r="G2849">
        <f t="shared" si="95"/>
        <v>-2.5180915479066802E-2</v>
      </c>
    </row>
    <row r="2850" spans="1:7" x14ac:dyDescent="0.35">
      <c r="A2850" t="s">
        <v>152</v>
      </c>
      <c r="E2850">
        <v>8.2332595711699444E-3</v>
      </c>
      <c r="F2850">
        <f t="shared" si="94"/>
        <v>-1.6379800425174826E-2</v>
      </c>
      <c r="G2850">
        <f t="shared" si="95"/>
        <v>-2.5180915479066802E-2</v>
      </c>
    </row>
    <row r="2851" spans="1:7" x14ac:dyDescent="0.35">
      <c r="A2851" t="s">
        <v>152</v>
      </c>
      <c r="E2851">
        <v>-5.4451889638269637E-3</v>
      </c>
      <c r="F2851">
        <f t="shared" si="94"/>
        <v>-1.6387218850373156E-2</v>
      </c>
      <c r="G2851">
        <f t="shared" si="95"/>
        <v>-2.5180915479066802E-2</v>
      </c>
    </row>
    <row r="2852" spans="1:7" x14ac:dyDescent="0.35">
      <c r="A2852" t="s">
        <v>152</v>
      </c>
      <c r="E2852">
        <v>-3.0922993897320411E-3</v>
      </c>
      <c r="F2852">
        <f t="shared" si="94"/>
        <v>-1.6394637275571486E-2</v>
      </c>
      <c r="G2852">
        <f t="shared" si="95"/>
        <v>-2.5180915479066802E-2</v>
      </c>
    </row>
    <row r="2853" spans="1:7" x14ac:dyDescent="0.35">
      <c r="A2853" t="s">
        <v>152</v>
      </c>
      <c r="E2853">
        <v>-6.8485335401361901E-4</v>
      </c>
      <c r="F2853">
        <f t="shared" si="94"/>
        <v>-1.6402055700769816E-2</v>
      </c>
      <c r="G2853">
        <f t="shared" si="95"/>
        <v>-2.5180915479066802E-2</v>
      </c>
    </row>
    <row r="2854" spans="1:7" x14ac:dyDescent="0.35">
      <c r="A2854" t="s">
        <v>152</v>
      </c>
      <c r="E2854">
        <v>-1.8138922144403619E-2</v>
      </c>
      <c r="F2854">
        <f t="shared" si="94"/>
        <v>-1.6409474125968146E-2</v>
      </c>
      <c r="G2854">
        <f t="shared" si="95"/>
        <v>-2.5180915479066802E-2</v>
      </c>
    </row>
    <row r="2855" spans="1:7" x14ac:dyDescent="0.35">
      <c r="A2855" t="s">
        <v>152</v>
      </c>
      <c r="E2855">
        <v>2.3337749707473187E-3</v>
      </c>
      <c r="F2855">
        <f t="shared" si="94"/>
        <v>-1.6261217582604449E-2</v>
      </c>
      <c r="G2855">
        <f t="shared" si="95"/>
        <v>-2.5142721604666549E-2</v>
      </c>
    </row>
    <row r="2856" spans="1:7" x14ac:dyDescent="0.35">
      <c r="A2856" t="s">
        <v>152</v>
      </c>
      <c r="E2856">
        <v>1.7674675550010633E-4</v>
      </c>
      <c r="F2856">
        <f t="shared" si="94"/>
        <v>-1.6270097300721861E-2</v>
      </c>
      <c r="G2856">
        <f t="shared" si="95"/>
        <v>-2.5142721604666549E-2</v>
      </c>
    </row>
    <row r="2857" spans="1:7" x14ac:dyDescent="0.35">
      <c r="A2857" t="s">
        <v>152</v>
      </c>
      <c r="E2857">
        <v>-1.1017804181085888E-2</v>
      </c>
      <c r="F2857">
        <f t="shared" si="94"/>
        <v>-1.6278977018839277E-2</v>
      </c>
      <c r="G2857">
        <f t="shared" si="95"/>
        <v>-2.5142721604666549E-2</v>
      </c>
    </row>
    <row r="2858" spans="1:7" x14ac:dyDescent="0.35">
      <c r="A2858" t="s">
        <v>152</v>
      </c>
      <c r="E2858">
        <v>1.3312673729777048E-2</v>
      </c>
      <c r="F2858">
        <f t="shared" si="94"/>
        <v>-1.6287856736956693E-2</v>
      </c>
      <c r="G2858">
        <f t="shared" si="95"/>
        <v>-2.5142721604666549E-2</v>
      </c>
    </row>
    <row r="2859" spans="1:7" x14ac:dyDescent="0.35">
      <c r="A2859" t="s">
        <v>152</v>
      </c>
      <c r="E2859">
        <v>2.3006102909121974E-3</v>
      </c>
      <c r="F2859">
        <f t="shared" si="94"/>
        <v>-1.629673645507411E-2</v>
      </c>
      <c r="G2859">
        <f t="shared" si="95"/>
        <v>-2.5142721604666549E-2</v>
      </c>
    </row>
    <row r="2860" spans="1:7" x14ac:dyDescent="0.35">
      <c r="A2860" t="s">
        <v>152</v>
      </c>
      <c r="E2860">
        <v>-2.0135392936898439E-2</v>
      </c>
      <c r="F2860">
        <f t="shared" si="94"/>
        <v>-1.6305616173191526E-2</v>
      </c>
      <c r="G2860">
        <f t="shared" si="95"/>
        <v>-2.5142721604666549E-2</v>
      </c>
    </row>
    <row r="2861" spans="1:7" x14ac:dyDescent="0.35">
      <c r="A2861" t="s">
        <v>152</v>
      </c>
      <c r="E2861">
        <v>1.5704926892179353E-4</v>
      </c>
      <c r="F2861">
        <f t="shared" si="94"/>
        <v>-1.6136901528960631E-2</v>
      </c>
      <c r="G2861">
        <f t="shared" si="95"/>
        <v>-2.5249260512491399E-2</v>
      </c>
    </row>
    <row r="2862" spans="1:7" x14ac:dyDescent="0.35">
      <c r="A2862" t="s">
        <v>152</v>
      </c>
      <c r="E2862">
        <v>-1.0588553116203712E-2</v>
      </c>
      <c r="F2862">
        <f t="shared" si="94"/>
        <v>-1.6145781247078043E-2</v>
      </c>
      <c r="G2862">
        <f t="shared" si="95"/>
        <v>-2.5249260512491399E-2</v>
      </c>
    </row>
    <row r="2863" spans="1:7" x14ac:dyDescent="0.35">
      <c r="A2863" t="s">
        <v>153</v>
      </c>
      <c r="B2863" s="3" cm="1">
        <f t="array" ref="B2863">_xlfn.STDEV.S(_xlfn._xlws.FILTER($E$2013:$E$3011, $A$2013:$A$3011="2021-07"))</f>
        <v>1.240785726201773E-2</v>
      </c>
      <c r="C2863" s="3" cm="1">
        <f t="array" ref="C2863">AVERAGE(_xlfn._xlws.FILTER($E$2013:$E$3011, $A$2013:$A$3011="2021-07"))</f>
        <v>-7.5599549844211449E-4</v>
      </c>
      <c r="D2863" s="3" cm="1">
        <f t="array" ref="D2863">_xlfn.PERCENTILE.EXC(_xlfn._xlws.FILTER($E$2490:$E$3818, $A$2490:$A$3818="2021-07"), 0.05)</f>
        <v>-2.4187985242497143E-2</v>
      </c>
      <c r="E2863">
        <v>1.2516005330524566E-2</v>
      </c>
      <c r="F2863">
        <f t="shared" si="94"/>
        <v>-1.615466096519546E-2</v>
      </c>
      <c r="G2863">
        <f t="shared" si="95"/>
        <v>-2.5249260512491399E-2</v>
      </c>
    </row>
    <row r="2864" spans="1:7" x14ac:dyDescent="0.35">
      <c r="A2864" t="s">
        <v>153</v>
      </c>
      <c r="E2864">
        <v>-2.7690755870653245E-3</v>
      </c>
      <c r="F2864">
        <f t="shared" si="94"/>
        <v>-1.6163540683312876E-2</v>
      </c>
      <c r="G2864">
        <f t="shared" si="95"/>
        <v>-2.5249260512491399E-2</v>
      </c>
    </row>
    <row r="2865" spans="1:7" x14ac:dyDescent="0.35">
      <c r="A2865" t="s">
        <v>153</v>
      </c>
      <c r="E2865">
        <v>4.3463718024768843E-3</v>
      </c>
      <c r="F2865">
        <f t="shared" si="94"/>
        <v>-1.6172420401430292E-2</v>
      </c>
      <c r="G2865">
        <f t="shared" si="95"/>
        <v>-2.5249260512491399E-2</v>
      </c>
    </row>
    <row r="2866" spans="1:7" x14ac:dyDescent="0.35">
      <c r="A2866" t="s">
        <v>153</v>
      </c>
      <c r="E2866">
        <v>-9.6141627373359396E-3</v>
      </c>
      <c r="F2866">
        <f t="shared" si="94"/>
        <v>-1.6181300119547708E-2</v>
      </c>
      <c r="G2866">
        <f t="shared" si="95"/>
        <v>-2.5249260512491399E-2</v>
      </c>
    </row>
    <row r="2867" spans="1:7" x14ac:dyDescent="0.35">
      <c r="A2867" t="s">
        <v>153</v>
      </c>
      <c r="E2867">
        <v>-7.1124962778889558E-4</v>
      </c>
      <c r="F2867">
        <f t="shared" si="94"/>
        <v>-1.6190179837665124E-2</v>
      </c>
      <c r="G2867">
        <f t="shared" si="95"/>
        <v>-2.5249260512491399E-2</v>
      </c>
    </row>
    <row r="2868" spans="1:7" x14ac:dyDescent="0.35">
      <c r="A2868" t="s">
        <v>153</v>
      </c>
      <c r="E2868">
        <v>-2.3354922796111434E-2</v>
      </c>
      <c r="F2868">
        <f t="shared" si="94"/>
        <v>-1.619905955578254E-2</v>
      </c>
      <c r="G2868">
        <f t="shared" si="95"/>
        <v>-2.5249260512491399E-2</v>
      </c>
    </row>
    <row r="2869" spans="1:7" x14ac:dyDescent="0.35">
      <c r="A2869" t="s">
        <v>153</v>
      </c>
      <c r="E2869">
        <v>1.4518207342439237E-2</v>
      </c>
      <c r="F2869">
        <f t="shared" si="94"/>
        <v>-1.6097636075681203E-2</v>
      </c>
      <c r="G2869">
        <f t="shared" si="95"/>
        <v>-2.5095496661741015E-2</v>
      </c>
    </row>
    <row r="2870" spans="1:7" x14ac:dyDescent="0.35">
      <c r="A2870" t="s">
        <v>153</v>
      </c>
      <c r="E2870">
        <v>4.55856143434402E-3</v>
      </c>
      <c r="F2870">
        <f t="shared" si="94"/>
        <v>-1.6100398415241385E-2</v>
      </c>
      <c r="G2870">
        <f t="shared" si="95"/>
        <v>-2.5095496661741015E-2</v>
      </c>
    </row>
    <row r="2871" spans="1:7" x14ac:dyDescent="0.35">
      <c r="A2871" t="s">
        <v>153</v>
      </c>
      <c r="E2871">
        <v>-1.3922504530815255E-2</v>
      </c>
      <c r="F2871">
        <f t="shared" si="94"/>
        <v>-1.6103160754801567E-2</v>
      </c>
      <c r="G2871">
        <f t="shared" si="95"/>
        <v>-2.5095496661741015E-2</v>
      </c>
    </row>
    <row r="2872" spans="1:7" x14ac:dyDescent="0.35">
      <c r="A2872" t="s">
        <v>153</v>
      </c>
      <c r="E2872">
        <v>-4.2067473624329988E-3</v>
      </c>
      <c r="F2872">
        <f t="shared" si="94"/>
        <v>-1.6105923094361752E-2</v>
      </c>
      <c r="G2872">
        <f t="shared" si="95"/>
        <v>-2.5095496661741015E-2</v>
      </c>
    </row>
    <row r="2873" spans="1:7" x14ac:dyDescent="0.35">
      <c r="A2873" t="s">
        <v>153</v>
      </c>
      <c r="E2873">
        <v>-1.5280798694227668E-2</v>
      </c>
      <c r="F2873">
        <f t="shared" si="94"/>
        <v>-1.6108685433921934E-2</v>
      </c>
      <c r="G2873">
        <f t="shared" si="95"/>
        <v>-2.5095496661741015E-2</v>
      </c>
    </row>
    <row r="2874" spans="1:7" x14ac:dyDescent="0.35">
      <c r="A2874" t="s">
        <v>153</v>
      </c>
      <c r="E2874">
        <v>-2.4422903904085997E-3</v>
      </c>
      <c r="F2874">
        <f t="shared" si="94"/>
        <v>-1.6111447773482116E-2</v>
      </c>
      <c r="G2874">
        <f t="shared" si="95"/>
        <v>-2.5095496661741015E-2</v>
      </c>
    </row>
    <row r="2875" spans="1:7" x14ac:dyDescent="0.35">
      <c r="A2875" t="s">
        <v>153</v>
      </c>
      <c r="E2875">
        <v>-2.4334996262447561E-2</v>
      </c>
      <c r="F2875">
        <f t="shared" si="94"/>
        <v>-1.6114210113042302E-2</v>
      </c>
      <c r="G2875">
        <f t="shared" si="95"/>
        <v>-2.5095496661741015E-2</v>
      </c>
    </row>
    <row r="2876" spans="1:7" x14ac:dyDescent="0.35">
      <c r="A2876" t="s">
        <v>153</v>
      </c>
      <c r="E2876">
        <v>6.7588509186673161E-3</v>
      </c>
      <c r="F2876">
        <f t="shared" si="94"/>
        <v>-1.6064035871850318E-2</v>
      </c>
      <c r="G2876">
        <f t="shared" si="95"/>
        <v>-2.4919704720404674E-2</v>
      </c>
    </row>
    <row r="2877" spans="1:7" x14ac:dyDescent="0.35">
      <c r="A2877" t="s">
        <v>153</v>
      </c>
      <c r="E2877">
        <v>2.4698448956183266E-2</v>
      </c>
      <c r="F2877">
        <f t="shared" si="94"/>
        <v>-1.6066220658797627E-2</v>
      </c>
      <c r="G2877">
        <f t="shared" si="95"/>
        <v>-2.4919704720404674E-2</v>
      </c>
    </row>
    <row r="2878" spans="1:7" x14ac:dyDescent="0.35">
      <c r="A2878" t="s">
        <v>153</v>
      </c>
      <c r="E2878">
        <v>6.3762665998575111E-3</v>
      </c>
      <c r="F2878">
        <f t="shared" si="94"/>
        <v>-1.6068405445744938E-2</v>
      </c>
      <c r="G2878">
        <f t="shared" si="95"/>
        <v>-2.4919704720404674E-2</v>
      </c>
    </row>
    <row r="2879" spans="1:7" x14ac:dyDescent="0.35">
      <c r="A2879" t="s">
        <v>153</v>
      </c>
      <c r="E2879">
        <v>1.1004205857754632E-2</v>
      </c>
      <c r="F2879">
        <f t="shared" si="94"/>
        <v>-1.6070590232692247E-2</v>
      </c>
      <c r="G2879">
        <f t="shared" si="95"/>
        <v>-2.4919704720404674E-2</v>
      </c>
    </row>
    <row r="2880" spans="1:7" x14ac:dyDescent="0.35">
      <c r="A2880" t="s">
        <v>153</v>
      </c>
      <c r="E2880">
        <v>6.6314756754682685E-3</v>
      </c>
      <c r="F2880">
        <f t="shared" si="94"/>
        <v>-1.6072775019639555E-2</v>
      </c>
      <c r="G2880">
        <f t="shared" si="95"/>
        <v>-2.4919704720404674E-2</v>
      </c>
    </row>
    <row r="2881" spans="1:7" x14ac:dyDescent="0.35">
      <c r="A2881" t="s">
        <v>153</v>
      </c>
      <c r="E2881">
        <v>-8.6984937054681768E-3</v>
      </c>
      <c r="F2881">
        <f t="shared" si="94"/>
        <v>-1.6075537359199737E-2</v>
      </c>
      <c r="G2881">
        <f t="shared" si="95"/>
        <v>-2.511202927911696E-2</v>
      </c>
    </row>
    <row r="2882" spans="1:7" x14ac:dyDescent="0.35">
      <c r="A2882" t="s">
        <v>153</v>
      </c>
      <c r="E2882">
        <v>3.9580385409126069E-3</v>
      </c>
      <c r="F2882">
        <f t="shared" si="94"/>
        <v>-1.6078299698759922E-2</v>
      </c>
      <c r="G2882">
        <f t="shared" si="95"/>
        <v>-2.511202927911696E-2</v>
      </c>
    </row>
    <row r="2883" spans="1:7" x14ac:dyDescent="0.35">
      <c r="A2883" t="s">
        <v>153</v>
      </c>
      <c r="E2883">
        <v>6.0045842512702358E-3</v>
      </c>
      <c r="F2883">
        <f t="shared" si="94"/>
        <v>-1.6081062038320104E-2</v>
      </c>
      <c r="G2883">
        <f t="shared" si="95"/>
        <v>-2.511202927911696E-2</v>
      </c>
    </row>
    <row r="2884" spans="1:7" x14ac:dyDescent="0.35">
      <c r="A2884" t="s">
        <v>153</v>
      </c>
      <c r="E2884">
        <v>-1.2667675981523213E-2</v>
      </c>
      <c r="F2884">
        <f t="shared" ref="F2884:F2947" si="96">_xlfn.PERCENTILE.EXC(E2884:E6699,0.05)</f>
        <v>-1.6083824377880286E-2</v>
      </c>
      <c r="G2884">
        <f t="shared" ref="G2884:G2947" si="97">AVERAGEIFS(E2884:E6700,E2884:E6700,"&lt;=" &amp; F2884)</f>
        <v>-2.511202927911696E-2</v>
      </c>
    </row>
    <row r="2885" spans="1:7" x14ac:dyDescent="0.35">
      <c r="A2885" t="s">
        <v>154</v>
      </c>
      <c r="B2885" s="3" cm="1">
        <f t="array" ref="B2885">_xlfn.STDEV.S(_xlfn._xlws.FILTER($E$2013:$E$3011, $A$2013:$A$3011="2021-08"))</f>
        <v>6.1529694621143558E-3</v>
      </c>
      <c r="C2885" s="3" cm="1">
        <f t="array" ref="C2885">AVERAGE(_xlfn._xlws.FILTER($E$2013:$E$3011, $A$2013:$A$3011="2021-08"))</f>
        <v>9.2891381868345487E-4</v>
      </c>
      <c r="D2885" s="3" cm="1">
        <f t="array" ref="D2885">_xlfn.PERCENTILE.EXC(_xlfn._xlws.FILTER($E$2490:$E$3818, $A$2490:$A$3818="2021-08"), 0.05)</f>
        <v>-9.3825682363031394E-3</v>
      </c>
      <c r="E2885">
        <v>9.5214778889968314E-3</v>
      </c>
      <c r="F2885">
        <f t="shared" si="96"/>
        <v>-1.6086586717440468E-2</v>
      </c>
      <c r="G2885">
        <f t="shared" si="97"/>
        <v>-2.511202927911696E-2</v>
      </c>
    </row>
    <row r="2886" spans="1:7" x14ac:dyDescent="0.35">
      <c r="A2886" t="s">
        <v>154</v>
      </c>
      <c r="E2886">
        <v>1.6085335584713751E-3</v>
      </c>
      <c r="F2886">
        <f t="shared" si="96"/>
        <v>-1.6089349057000654E-2</v>
      </c>
      <c r="G2886">
        <f t="shared" si="97"/>
        <v>-2.511202927911696E-2</v>
      </c>
    </row>
    <row r="2887" spans="1:7" x14ac:dyDescent="0.35">
      <c r="A2887" t="s">
        <v>154</v>
      </c>
      <c r="E2887">
        <v>2.2885519817328775E-3</v>
      </c>
      <c r="F2887">
        <f t="shared" si="96"/>
        <v>-1.6092111396560835E-2</v>
      </c>
      <c r="G2887">
        <f t="shared" si="97"/>
        <v>-2.511202927911696E-2</v>
      </c>
    </row>
    <row r="2888" spans="1:7" x14ac:dyDescent="0.35">
      <c r="A2888" t="s">
        <v>154</v>
      </c>
      <c r="E2888">
        <v>4.9462929983349994E-3</v>
      </c>
      <c r="F2888">
        <f t="shared" si="96"/>
        <v>-1.6094873736121017E-2</v>
      </c>
      <c r="G2888">
        <f t="shared" si="97"/>
        <v>-2.511202927911696E-2</v>
      </c>
    </row>
    <row r="2889" spans="1:7" x14ac:dyDescent="0.35">
      <c r="A2889" t="s">
        <v>154</v>
      </c>
      <c r="E2889">
        <v>4.798067402475111E-3</v>
      </c>
      <c r="F2889">
        <f t="shared" si="96"/>
        <v>-1.6097636075681203E-2</v>
      </c>
      <c r="G2889">
        <f t="shared" si="97"/>
        <v>-2.511202927911696E-2</v>
      </c>
    </row>
    <row r="2890" spans="1:7" x14ac:dyDescent="0.35">
      <c r="A2890" t="s">
        <v>154</v>
      </c>
      <c r="E2890">
        <v>-1.4764808344740318E-3</v>
      </c>
      <c r="F2890">
        <f t="shared" si="96"/>
        <v>-1.6100398415241385E-2</v>
      </c>
      <c r="G2890">
        <f t="shared" si="97"/>
        <v>-2.511202927911696E-2</v>
      </c>
    </row>
    <row r="2891" spans="1:7" x14ac:dyDescent="0.35">
      <c r="A2891" t="s">
        <v>154</v>
      </c>
      <c r="E2891">
        <v>3.7264536590094397E-3</v>
      </c>
      <c r="F2891">
        <f t="shared" si="96"/>
        <v>-1.6103160754801567E-2</v>
      </c>
      <c r="G2891">
        <f t="shared" si="97"/>
        <v>-2.511202927911696E-2</v>
      </c>
    </row>
    <row r="2892" spans="1:7" x14ac:dyDescent="0.35">
      <c r="A2892" t="s">
        <v>154</v>
      </c>
      <c r="E2892">
        <v>8.5931560174470224E-3</v>
      </c>
      <c r="F2892">
        <f t="shared" si="96"/>
        <v>-1.6105923094361752E-2</v>
      </c>
      <c r="G2892">
        <f t="shared" si="97"/>
        <v>-2.511202927911696E-2</v>
      </c>
    </row>
    <row r="2893" spans="1:7" x14ac:dyDescent="0.35">
      <c r="A2893" t="s">
        <v>154</v>
      </c>
      <c r="E2893">
        <v>4.0099804493846128E-4</v>
      </c>
      <c r="F2893">
        <f t="shared" si="96"/>
        <v>-1.6108685433921934E-2</v>
      </c>
      <c r="G2893">
        <f t="shared" si="97"/>
        <v>-2.511202927911696E-2</v>
      </c>
    </row>
    <row r="2894" spans="1:7" x14ac:dyDescent="0.35">
      <c r="A2894" t="s">
        <v>154</v>
      </c>
      <c r="E2894">
        <v>2.2692899299690842E-3</v>
      </c>
      <c r="F2894">
        <f t="shared" si="96"/>
        <v>-1.6111447773482116E-2</v>
      </c>
      <c r="G2894">
        <f t="shared" si="97"/>
        <v>-2.511202927911696E-2</v>
      </c>
    </row>
    <row r="2895" spans="1:7" x14ac:dyDescent="0.35">
      <c r="A2895" t="s">
        <v>154</v>
      </c>
      <c r="E2895">
        <v>-8.1667715599460632E-3</v>
      </c>
      <c r="F2895">
        <f t="shared" si="96"/>
        <v>-1.6114210113042302E-2</v>
      </c>
      <c r="G2895">
        <f t="shared" si="97"/>
        <v>-2.511202927911696E-2</v>
      </c>
    </row>
    <row r="2896" spans="1:7" x14ac:dyDescent="0.35">
      <c r="A2896" t="s">
        <v>154</v>
      </c>
      <c r="E2896">
        <v>-6.845684687371823E-3</v>
      </c>
      <c r="F2896">
        <f t="shared" si="96"/>
        <v>-1.6116972452602484E-2</v>
      </c>
      <c r="G2896">
        <f t="shared" si="97"/>
        <v>-2.511202927911696E-2</v>
      </c>
    </row>
    <row r="2897" spans="1:7" x14ac:dyDescent="0.35">
      <c r="A2897" t="s">
        <v>154</v>
      </c>
      <c r="E2897">
        <v>1.171807374641431E-2</v>
      </c>
      <c r="F2897">
        <f t="shared" si="96"/>
        <v>-1.6119734792162665E-2</v>
      </c>
      <c r="G2897">
        <f t="shared" si="97"/>
        <v>-2.511202927911696E-2</v>
      </c>
    </row>
    <row r="2898" spans="1:7" x14ac:dyDescent="0.35">
      <c r="A2898" t="s">
        <v>154</v>
      </c>
      <c r="E2898">
        <v>-7.6095351635103118E-3</v>
      </c>
      <c r="F2898">
        <f t="shared" si="96"/>
        <v>-1.6122497131722847E-2</v>
      </c>
      <c r="G2898">
        <f t="shared" si="97"/>
        <v>-2.511202927911696E-2</v>
      </c>
    </row>
    <row r="2899" spans="1:7" x14ac:dyDescent="0.35">
      <c r="A2899" t="s">
        <v>154</v>
      </c>
      <c r="E2899">
        <v>1.4704646959979766E-3</v>
      </c>
      <c r="F2899">
        <f t="shared" si="96"/>
        <v>-1.6125259471283033E-2</v>
      </c>
      <c r="G2899">
        <f t="shared" si="97"/>
        <v>-2.511202927911696E-2</v>
      </c>
    </row>
    <row r="2900" spans="1:7" x14ac:dyDescent="0.35">
      <c r="A2900" t="s">
        <v>154</v>
      </c>
      <c r="E2900">
        <v>5.9049345672770688E-3</v>
      </c>
      <c r="F2900">
        <f t="shared" si="96"/>
        <v>-1.6128021810843215E-2</v>
      </c>
      <c r="G2900">
        <f t="shared" si="97"/>
        <v>-2.511202927911696E-2</v>
      </c>
    </row>
    <row r="2901" spans="1:7" x14ac:dyDescent="0.35">
      <c r="A2901" t="s">
        <v>154</v>
      </c>
      <c r="E2901">
        <v>-2.1767409957834153E-3</v>
      </c>
      <c r="F2901">
        <f t="shared" si="96"/>
        <v>-1.6136901528960631E-2</v>
      </c>
      <c r="G2901">
        <f t="shared" si="97"/>
        <v>-2.5311673889523042E-2</v>
      </c>
    </row>
    <row r="2902" spans="1:7" x14ac:dyDescent="0.35">
      <c r="A2902" t="s">
        <v>154</v>
      </c>
      <c r="E2902">
        <v>3.2132126273970996E-3</v>
      </c>
      <c r="F2902">
        <f t="shared" si="96"/>
        <v>-1.6145781247078043E-2</v>
      </c>
      <c r="G2902">
        <f t="shared" si="97"/>
        <v>-2.5311673889523042E-2</v>
      </c>
    </row>
    <row r="2903" spans="1:7" x14ac:dyDescent="0.35">
      <c r="A2903" t="s">
        <v>154</v>
      </c>
      <c r="E2903">
        <v>-9.4795926469102808E-3</v>
      </c>
      <c r="F2903">
        <f t="shared" si="96"/>
        <v>-1.615466096519546E-2</v>
      </c>
      <c r="G2903">
        <f t="shared" si="97"/>
        <v>-2.5311673889523042E-2</v>
      </c>
    </row>
    <row r="2904" spans="1:7" x14ac:dyDescent="0.35">
      <c r="A2904" t="s">
        <v>154</v>
      </c>
      <c r="E2904">
        <v>3.311837502725689E-3</v>
      </c>
      <c r="F2904">
        <f t="shared" si="96"/>
        <v>-1.6163540683312876E-2</v>
      </c>
      <c r="G2904">
        <f t="shared" si="97"/>
        <v>-2.5311673889523042E-2</v>
      </c>
    </row>
    <row r="2905" spans="1:7" x14ac:dyDescent="0.35">
      <c r="A2905" t="s">
        <v>154</v>
      </c>
      <c r="E2905">
        <v>-8.5093485408388684E-3</v>
      </c>
      <c r="F2905">
        <f t="shared" si="96"/>
        <v>-1.6172420401430292E-2</v>
      </c>
      <c r="G2905">
        <f t="shared" si="97"/>
        <v>-2.5311673889523042E-2</v>
      </c>
    </row>
    <row r="2906" spans="1:7" x14ac:dyDescent="0.35">
      <c r="A2906" t="s">
        <v>155</v>
      </c>
      <c r="B2906" s="3" cm="1">
        <f t="array" ref="B2906">_xlfn.STDEV.S(_xlfn._xlws.FILTER($E$2013:$E$3011, $A$2013:$A$3011="2021-09"))</f>
        <v>1.1522812648444635E-2</v>
      </c>
      <c r="C2906" s="3" cm="1">
        <f t="array" ref="C2906">AVERAGE(_xlfn._xlws.FILTER($E$2013:$E$3011, $A$2013:$A$3011="2021-09"))</f>
        <v>-2.5918299498280323E-4</v>
      </c>
      <c r="D2906" s="3" cm="1">
        <f t="array" ref="D2906">_xlfn.PERCENTILE.EXC(_xlfn._xlws.FILTER($E$2490:$E$3818, $A$2490:$A$3818="2021-09"), 0.05)</f>
        <v>-2.4827560966742119E-2</v>
      </c>
      <c r="E2906">
        <v>1.6246482210583283E-2</v>
      </c>
      <c r="F2906">
        <f t="shared" si="96"/>
        <v>-1.6181300119547708E-2</v>
      </c>
      <c r="G2906">
        <f t="shared" si="97"/>
        <v>-2.5311673889523042E-2</v>
      </c>
    </row>
    <row r="2907" spans="1:7" x14ac:dyDescent="0.35">
      <c r="A2907" t="s">
        <v>155</v>
      </c>
      <c r="E2907">
        <v>-1.1239144560065829E-3</v>
      </c>
      <c r="F2907">
        <f t="shared" si="96"/>
        <v>-1.6190179837665124E-2</v>
      </c>
      <c r="G2907">
        <f t="shared" si="97"/>
        <v>-2.5311673889523042E-2</v>
      </c>
    </row>
    <row r="2908" spans="1:7" x14ac:dyDescent="0.35">
      <c r="A2908" t="s">
        <v>155</v>
      </c>
      <c r="E2908">
        <v>-1.3157642162180018E-2</v>
      </c>
      <c r="F2908">
        <f t="shared" si="96"/>
        <v>-1.619905955578254E-2</v>
      </c>
      <c r="G2908">
        <f t="shared" si="97"/>
        <v>-2.5311673889523042E-2</v>
      </c>
    </row>
    <row r="2909" spans="1:7" x14ac:dyDescent="0.35">
      <c r="A2909" t="s">
        <v>155</v>
      </c>
      <c r="E2909">
        <v>2.0624024711169498E-3</v>
      </c>
      <c r="F2909">
        <f t="shared" si="96"/>
        <v>-1.6207939273899952E-2</v>
      </c>
      <c r="G2909">
        <f t="shared" si="97"/>
        <v>-2.5311673889523042E-2</v>
      </c>
    </row>
    <row r="2910" spans="1:7" x14ac:dyDescent="0.35">
      <c r="A2910" t="s">
        <v>155</v>
      </c>
      <c r="E2910">
        <v>1.3725757071423265E-3</v>
      </c>
      <c r="F2910">
        <f t="shared" si="96"/>
        <v>-1.6216818992017372E-2</v>
      </c>
      <c r="G2910">
        <f t="shared" si="97"/>
        <v>-2.5311673889523042E-2</v>
      </c>
    </row>
    <row r="2911" spans="1:7" x14ac:dyDescent="0.35">
      <c r="A2911" t="s">
        <v>155</v>
      </c>
      <c r="E2911">
        <v>-6.2933011713737011E-3</v>
      </c>
      <c r="F2911">
        <f t="shared" si="96"/>
        <v>-1.6225698710134785E-2</v>
      </c>
      <c r="G2911">
        <f t="shared" si="97"/>
        <v>-2.5311673889523042E-2</v>
      </c>
    </row>
    <row r="2912" spans="1:7" x14ac:dyDescent="0.35">
      <c r="A2912" t="s">
        <v>155</v>
      </c>
      <c r="E2912">
        <v>-4.3199060337455516E-3</v>
      </c>
      <c r="F2912">
        <f t="shared" si="96"/>
        <v>-1.6234578428252201E-2</v>
      </c>
      <c r="G2912">
        <f t="shared" si="97"/>
        <v>-2.5311673889523042E-2</v>
      </c>
    </row>
    <row r="2913" spans="1:7" x14ac:dyDescent="0.35">
      <c r="A2913" t="s">
        <v>155</v>
      </c>
      <c r="E2913">
        <v>-1.2037251179328331E-2</v>
      </c>
      <c r="F2913">
        <f t="shared" si="96"/>
        <v>-1.6243458146369617E-2</v>
      </c>
      <c r="G2913">
        <f t="shared" si="97"/>
        <v>-2.5311673889523042E-2</v>
      </c>
    </row>
    <row r="2914" spans="1:7" x14ac:dyDescent="0.35">
      <c r="A2914" t="s">
        <v>155</v>
      </c>
      <c r="E2914">
        <v>1.3796945560191599E-2</v>
      </c>
      <c r="F2914">
        <f t="shared" si="96"/>
        <v>-1.6252337864487033E-2</v>
      </c>
      <c r="G2914">
        <f t="shared" si="97"/>
        <v>-2.5311673889523042E-2</v>
      </c>
    </row>
    <row r="2915" spans="1:7" x14ac:dyDescent="0.35">
      <c r="A2915" t="s">
        <v>155</v>
      </c>
      <c r="E2915">
        <v>-4.103187711906142E-3</v>
      </c>
      <c r="F2915">
        <f t="shared" si="96"/>
        <v>-1.6261217582604449E-2</v>
      </c>
      <c r="G2915">
        <f t="shared" si="97"/>
        <v>-2.5311673889523042E-2</v>
      </c>
    </row>
    <row r="2916" spans="1:7" x14ac:dyDescent="0.35">
      <c r="A2916" t="s">
        <v>155</v>
      </c>
      <c r="E2916">
        <v>-1.6606374017617317E-2</v>
      </c>
      <c r="F2916">
        <f t="shared" si="96"/>
        <v>-1.6270097300721861E-2</v>
      </c>
      <c r="G2916">
        <f t="shared" si="97"/>
        <v>-2.5311673889523042E-2</v>
      </c>
    </row>
    <row r="2917" spans="1:7" x14ac:dyDescent="0.35">
      <c r="A2917" t="s">
        <v>155</v>
      </c>
      <c r="E2917">
        <v>1.1319072321023756E-2</v>
      </c>
      <c r="F2917">
        <f t="shared" si="96"/>
        <v>-1.6119734792162665E-2</v>
      </c>
      <c r="G2917">
        <f t="shared" si="97"/>
        <v>-2.5301043840483615E-2</v>
      </c>
    </row>
    <row r="2918" spans="1:7" x14ac:dyDescent="0.35">
      <c r="A2918" t="s">
        <v>155</v>
      </c>
      <c r="E2918">
        <v>3.1095334465314323E-3</v>
      </c>
      <c r="F2918">
        <f t="shared" si="96"/>
        <v>-1.6122497131722847E-2</v>
      </c>
      <c r="G2918">
        <f t="shared" si="97"/>
        <v>-2.5301043840483615E-2</v>
      </c>
    </row>
    <row r="2919" spans="1:7" x14ac:dyDescent="0.35">
      <c r="A2919" t="s">
        <v>155</v>
      </c>
      <c r="E2919">
        <v>-1.2115235776639009E-2</v>
      </c>
      <c r="F2919">
        <f t="shared" si="96"/>
        <v>-1.6125259471283033E-2</v>
      </c>
      <c r="G2919">
        <f t="shared" si="97"/>
        <v>-2.5301043840483615E-2</v>
      </c>
    </row>
    <row r="2920" spans="1:7" x14ac:dyDescent="0.35">
      <c r="A2920" t="s">
        <v>155</v>
      </c>
      <c r="E2920">
        <v>1.155577604029223E-2</v>
      </c>
      <c r="F2920">
        <f t="shared" si="96"/>
        <v>-1.6128021810843215E-2</v>
      </c>
      <c r="G2920">
        <f t="shared" si="97"/>
        <v>-2.5301043840483615E-2</v>
      </c>
    </row>
    <row r="2921" spans="1:7" x14ac:dyDescent="0.35">
      <c r="A2921" t="s">
        <v>155</v>
      </c>
      <c r="E2921">
        <v>5.9666319892835518E-3</v>
      </c>
      <c r="F2921">
        <f t="shared" si="96"/>
        <v>-1.6136901528960631E-2</v>
      </c>
      <c r="G2921">
        <f t="shared" si="97"/>
        <v>-2.5509521613884534E-2</v>
      </c>
    </row>
    <row r="2922" spans="1:7" x14ac:dyDescent="0.35">
      <c r="A2922" t="s">
        <v>155</v>
      </c>
      <c r="E2922">
        <v>7.7465853058038478E-3</v>
      </c>
      <c r="F2922">
        <f t="shared" si="96"/>
        <v>-1.6145781247078043E-2</v>
      </c>
      <c r="G2922">
        <f t="shared" si="97"/>
        <v>-2.5509521613884534E-2</v>
      </c>
    </row>
    <row r="2923" spans="1:7" x14ac:dyDescent="0.35">
      <c r="A2923" t="s">
        <v>155</v>
      </c>
      <c r="E2923">
        <v>-4.2816902062569776E-4</v>
      </c>
      <c r="F2923">
        <f t="shared" si="96"/>
        <v>-1.615466096519546E-2</v>
      </c>
      <c r="G2923">
        <f t="shared" si="97"/>
        <v>-2.5509521613884534E-2</v>
      </c>
    </row>
    <row r="2924" spans="1:7" x14ac:dyDescent="0.35">
      <c r="A2924" t="s">
        <v>155</v>
      </c>
      <c r="E2924">
        <v>1.4522519720932429E-2</v>
      </c>
      <c r="F2924">
        <f t="shared" si="96"/>
        <v>-1.6163540683312876E-2</v>
      </c>
      <c r="G2924">
        <f t="shared" si="97"/>
        <v>-2.5509521613884534E-2</v>
      </c>
    </row>
    <row r="2925" spans="1:7" x14ac:dyDescent="0.35">
      <c r="A2925" t="s">
        <v>155</v>
      </c>
      <c r="E2925">
        <v>-2.6278358663646497E-2</v>
      </c>
      <c r="F2925">
        <f t="shared" si="96"/>
        <v>-1.6172420401430292E-2</v>
      </c>
      <c r="G2925">
        <f t="shared" si="97"/>
        <v>-2.5509521613884534E-2</v>
      </c>
    </row>
    <row r="2926" spans="1:7" x14ac:dyDescent="0.35">
      <c r="A2926" t="s">
        <v>155</v>
      </c>
      <c r="E2926">
        <v>1.2465598161356204E-2</v>
      </c>
      <c r="F2926">
        <f t="shared" si="96"/>
        <v>-1.6089349057000654E-2</v>
      </c>
      <c r="G2926">
        <f t="shared" si="97"/>
        <v>-2.5278832139957189E-2</v>
      </c>
    </row>
    <row r="2927" spans="1:7" x14ac:dyDescent="0.35">
      <c r="A2927" t="s">
        <v>155</v>
      </c>
      <c r="E2927">
        <v>-9.4028086308104303E-3</v>
      </c>
      <c r="F2927">
        <f t="shared" si="96"/>
        <v>-1.6092111396560835E-2</v>
      </c>
      <c r="G2927">
        <f t="shared" si="97"/>
        <v>-2.5278832139957189E-2</v>
      </c>
    </row>
    <row r="2928" spans="1:7" x14ac:dyDescent="0.35">
      <c r="A2928" t="s">
        <v>156</v>
      </c>
      <c r="B2928" s="3" cm="1">
        <f t="array" ref="B2928">_xlfn.STDEV.S(_xlfn._xlws.FILTER($E$2013:$E$3011, $A$2013:$A$3011="2021-10"))</f>
        <v>8.5070821159821015E-3</v>
      </c>
      <c r="C2928" s="3" cm="1">
        <f t="array" ref="C2928">AVERAGE(_xlfn._xlws.FILTER($E$2013:$E$3011, $A$2013:$A$3011="2021-10"))</f>
        <v>1.3944783889819196E-3</v>
      </c>
      <c r="D2928" s="3" cm="1">
        <f t="array" ref="D2928">_xlfn.PERCENTILE.EXC(_xlfn._xlws.FILTER($E$2490:$E$3818, $A$2490:$A$3818="2021-10"), 0.05)</f>
        <v>-1.6316090066334794E-2</v>
      </c>
      <c r="E2928">
        <v>3.6372316521878059E-4</v>
      </c>
      <c r="F2928">
        <f t="shared" si="96"/>
        <v>-1.6094873736121017E-2</v>
      </c>
      <c r="G2928">
        <f t="shared" si="97"/>
        <v>-2.5278832139957189E-2</v>
      </c>
    </row>
    <row r="2929" spans="1:7" x14ac:dyDescent="0.35">
      <c r="A2929" t="s">
        <v>156</v>
      </c>
      <c r="E2929">
        <v>-8.8680709800084733E-4</v>
      </c>
      <c r="F2929">
        <f t="shared" si="96"/>
        <v>-1.6097636075681203E-2</v>
      </c>
      <c r="G2929">
        <f t="shared" si="97"/>
        <v>-2.5278832139957189E-2</v>
      </c>
    </row>
    <row r="2930" spans="1:7" x14ac:dyDescent="0.35">
      <c r="A2930" t="s">
        <v>156</v>
      </c>
      <c r="E2930">
        <v>1.5317104489441957E-2</v>
      </c>
      <c r="F2930">
        <f t="shared" si="96"/>
        <v>-1.6100398415241385E-2</v>
      </c>
      <c r="G2930">
        <f t="shared" si="97"/>
        <v>-2.5278832139957189E-2</v>
      </c>
    </row>
    <row r="2931" spans="1:7" x14ac:dyDescent="0.35">
      <c r="A2931" t="s">
        <v>156</v>
      </c>
      <c r="E2931">
        <v>-1.7218429727640049E-2</v>
      </c>
      <c r="F2931">
        <f t="shared" si="96"/>
        <v>-1.6103160754801567E-2</v>
      </c>
      <c r="G2931">
        <f t="shared" si="97"/>
        <v>-2.5278832139957189E-2</v>
      </c>
    </row>
    <row r="2932" spans="1:7" x14ac:dyDescent="0.35">
      <c r="A2932" t="s">
        <v>156</v>
      </c>
      <c r="E2932">
        <v>2.1175908816954716E-2</v>
      </c>
      <c r="F2932">
        <f t="shared" si="96"/>
        <v>-1.6055296724061082E-2</v>
      </c>
      <c r="G2932">
        <f t="shared" si="97"/>
        <v>-2.5252794532957177E-2</v>
      </c>
    </row>
    <row r="2933" spans="1:7" x14ac:dyDescent="0.35">
      <c r="A2933" t="s">
        <v>156</v>
      </c>
      <c r="E2933">
        <v>-8.7064265620906075E-4</v>
      </c>
      <c r="F2933">
        <f t="shared" si="96"/>
        <v>-1.6057481511008394E-2</v>
      </c>
      <c r="G2933">
        <f t="shared" si="97"/>
        <v>-2.5252794532957177E-2</v>
      </c>
    </row>
    <row r="2934" spans="1:7" x14ac:dyDescent="0.35">
      <c r="A2934" t="s">
        <v>156</v>
      </c>
      <c r="E2934">
        <v>-6.2731246379499738E-3</v>
      </c>
      <c r="F2934">
        <f t="shared" si="96"/>
        <v>-1.6059666297955702E-2</v>
      </c>
      <c r="G2934">
        <f t="shared" si="97"/>
        <v>-2.5252794532957177E-2</v>
      </c>
    </row>
    <row r="2935" spans="1:7" x14ac:dyDescent="0.35">
      <c r="A2935" t="s">
        <v>156</v>
      </c>
      <c r="E2935">
        <v>4.1379601402116856E-3</v>
      </c>
      <c r="F2935">
        <f t="shared" si="96"/>
        <v>-1.606185108490301E-2</v>
      </c>
      <c r="G2935">
        <f t="shared" si="97"/>
        <v>-2.5252794532957177E-2</v>
      </c>
    </row>
    <row r="2936" spans="1:7" x14ac:dyDescent="0.35">
      <c r="A2936" t="s">
        <v>156</v>
      </c>
      <c r="E2936">
        <v>-6.117668779862937E-3</v>
      </c>
      <c r="F2936">
        <f t="shared" si="96"/>
        <v>-1.6064035871850318E-2</v>
      </c>
      <c r="G2936">
        <f t="shared" si="97"/>
        <v>-2.5252794532957177E-2</v>
      </c>
    </row>
    <row r="2937" spans="1:7" x14ac:dyDescent="0.35">
      <c r="A2937" t="s">
        <v>156</v>
      </c>
      <c r="E2937">
        <v>4.8971254306289218E-3</v>
      </c>
      <c r="F2937">
        <f t="shared" si="96"/>
        <v>-1.6066220658797627E-2</v>
      </c>
      <c r="G2937">
        <f t="shared" si="97"/>
        <v>-2.5252794532957177E-2</v>
      </c>
    </row>
    <row r="2938" spans="1:7" x14ac:dyDescent="0.35">
      <c r="A2938" t="s">
        <v>156</v>
      </c>
      <c r="E2938">
        <v>8.0348607692788815E-3</v>
      </c>
      <c r="F2938">
        <f t="shared" si="96"/>
        <v>-1.6068405445744938E-2</v>
      </c>
      <c r="G2938">
        <f t="shared" si="97"/>
        <v>-2.5252794532957177E-2</v>
      </c>
    </row>
    <row r="2939" spans="1:7" x14ac:dyDescent="0.35">
      <c r="A2939" t="s">
        <v>156</v>
      </c>
      <c r="E2939">
        <v>-6.8031266680821899E-3</v>
      </c>
      <c r="F2939">
        <f t="shared" si="96"/>
        <v>-1.6070590232692247E-2</v>
      </c>
      <c r="G2939">
        <f t="shared" si="97"/>
        <v>-2.5252794532957177E-2</v>
      </c>
    </row>
    <row r="2940" spans="1:7" x14ac:dyDescent="0.35">
      <c r="A2940" t="s">
        <v>156</v>
      </c>
      <c r="E2940">
        <v>6.725319928867728E-3</v>
      </c>
      <c r="F2940">
        <f t="shared" si="96"/>
        <v>-1.6072775019639555E-2</v>
      </c>
      <c r="G2940">
        <f t="shared" si="97"/>
        <v>-2.5252794532957177E-2</v>
      </c>
    </row>
    <row r="2941" spans="1:7" x14ac:dyDescent="0.35">
      <c r="A2941" t="s">
        <v>156</v>
      </c>
      <c r="E2941">
        <v>2.3981093083977377E-3</v>
      </c>
      <c r="F2941">
        <f t="shared" si="96"/>
        <v>-1.6075537359199737E-2</v>
      </c>
      <c r="G2941">
        <f t="shared" si="97"/>
        <v>-2.5466283358848287E-2</v>
      </c>
    </row>
    <row r="2942" spans="1:7" x14ac:dyDescent="0.35">
      <c r="A2942" t="s">
        <v>156</v>
      </c>
      <c r="E2942">
        <v>-8.1950331145874897E-3</v>
      </c>
      <c r="F2942">
        <f t="shared" si="96"/>
        <v>-1.6078299698759922E-2</v>
      </c>
      <c r="G2942">
        <f t="shared" si="97"/>
        <v>-2.5466283358848287E-2</v>
      </c>
    </row>
    <row r="2943" spans="1:7" x14ac:dyDescent="0.35">
      <c r="A2943" t="s">
        <v>156</v>
      </c>
      <c r="E2943">
        <v>-4.2463384572171484E-3</v>
      </c>
      <c r="F2943">
        <f t="shared" si="96"/>
        <v>-1.6081062038320104E-2</v>
      </c>
      <c r="G2943">
        <f t="shared" si="97"/>
        <v>-2.5466283358848287E-2</v>
      </c>
    </row>
    <row r="2944" spans="1:7" x14ac:dyDescent="0.35">
      <c r="A2944" t="s">
        <v>156</v>
      </c>
      <c r="E2944">
        <v>1.6267189307981381E-3</v>
      </c>
      <c r="F2944">
        <f t="shared" si="96"/>
        <v>-1.6083824377880286E-2</v>
      </c>
      <c r="G2944">
        <f t="shared" si="97"/>
        <v>-2.5466283358848287E-2</v>
      </c>
    </row>
    <row r="2945" spans="1:7" x14ac:dyDescent="0.35">
      <c r="A2945" t="s">
        <v>156</v>
      </c>
      <c r="E2945">
        <v>9.005500950242112E-3</v>
      </c>
      <c r="F2945">
        <f t="shared" si="96"/>
        <v>-1.6086586717440468E-2</v>
      </c>
      <c r="G2945">
        <f t="shared" si="97"/>
        <v>-2.5466283358848287E-2</v>
      </c>
    </row>
    <row r="2946" spans="1:7" x14ac:dyDescent="0.35">
      <c r="A2946" t="s">
        <v>156</v>
      </c>
      <c r="E2946">
        <v>-3.2602858537773144E-3</v>
      </c>
      <c r="F2946">
        <f t="shared" si="96"/>
        <v>-1.6089349057000654E-2</v>
      </c>
      <c r="G2946">
        <f t="shared" si="97"/>
        <v>-2.5466283358848287E-2</v>
      </c>
    </row>
    <row r="2947" spans="1:7" x14ac:dyDescent="0.35">
      <c r="A2947" t="s">
        <v>156</v>
      </c>
      <c r="E2947">
        <v>5.9450894900725483E-3</v>
      </c>
      <c r="F2947">
        <f t="shared" si="96"/>
        <v>-1.6092111396560835E-2</v>
      </c>
      <c r="G2947">
        <f t="shared" si="97"/>
        <v>-2.5466283358848287E-2</v>
      </c>
    </row>
    <row r="2948" spans="1:7" x14ac:dyDescent="0.35">
      <c r="A2948" t="s">
        <v>156</v>
      </c>
      <c r="E2948">
        <v>3.52808174183411E-3</v>
      </c>
      <c r="F2948">
        <f t="shared" ref="F2948:F3011" si="98">_xlfn.PERCENTILE.EXC(E2948:E6763,0.05)</f>
        <v>-1.6094873736121017E-2</v>
      </c>
      <c r="G2948">
        <f t="shared" ref="G2948:G3011" si="99">AVERAGEIFS(E2948:E6764,E2948:E6764,"&lt;=" &amp; F2948)</f>
        <v>-2.5466283358848287E-2</v>
      </c>
    </row>
    <row r="2949" spans="1:7" x14ac:dyDescent="0.35">
      <c r="A2949" t="s">
        <v>157</v>
      </c>
      <c r="B2949" s="3" cm="1">
        <f t="array" ref="B2949">_xlfn.STDEV.S(_xlfn._xlws.FILTER($E$2013:$E$3011, $A$2013:$A$3011="2021-11"))</f>
        <v>1.3299029100328721E-2</v>
      </c>
      <c r="C2949" s="3" cm="1">
        <f t="array" ref="C2949">AVERAGE(_xlfn._xlws.FILTER($E$2013:$E$3011, $A$2013:$A$3011="2021-11"))</f>
        <v>-3.9429745799804674E-3</v>
      </c>
      <c r="D2949" s="3" cm="1">
        <f t="array" ref="D2949">_xlfn.PERCENTILE.EXC(_xlfn._xlws.FILTER($E$2490:$E$3818, $A$2490:$A$3818="2021-11"), 0.05)</f>
        <v>-4.5897036768314144E-2</v>
      </c>
      <c r="E2949">
        <v>1.369516424128144E-2</v>
      </c>
      <c r="F2949">
        <f t="shared" si="98"/>
        <v>-1.6097636075681203E-2</v>
      </c>
      <c r="G2949">
        <f t="shared" si="99"/>
        <v>-2.5466283358848287E-2</v>
      </c>
    </row>
    <row r="2950" spans="1:7" x14ac:dyDescent="0.35">
      <c r="A2950" t="s">
        <v>157</v>
      </c>
      <c r="E2950">
        <v>-8.4097978737137195E-3</v>
      </c>
      <c r="F2950">
        <f t="shared" si="98"/>
        <v>-1.6100398415241385E-2</v>
      </c>
      <c r="G2950">
        <f t="shared" si="99"/>
        <v>-2.5466283358848287E-2</v>
      </c>
    </row>
    <row r="2951" spans="1:7" x14ac:dyDescent="0.35">
      <c r="A2951" t="s">
        <v>157</v>
      </c>
      <c r="E2951">
        <v>-8.2596339774171443E-3</v>
      </c>
      <c r="F2951">
        <f t="shared" si="98"/>
        <v>-1.6103160754801567E-2</v>
      </c>
      <c r="G2951">
        <f t="shared" si="99"/>
        <v>-2.5466283358848287E-2</v>
      </c>
    </row>
    <row r="2952" spans="1:7" x14ac:dyDescent="0.35">
      <c r="A2952" t="s">
        <v>157</v>
      </c>
      <c r="E2952">
        <v>9.5184343829114509E-4</v>
      </c>
      <c r="F2952">
        <f t="shared" si="98"/>
        <v>-1.6105923094361752E-2</v>
      </c>
      <c r="G2952">
        <f t="shared" si="99"/>
        <v>-2.5466283358848287E-2</v>
      </c>
    </row>
    <row r="2953" spans="1:7" x14ac:dyDescent="0.35">
      <c r="A2953" t="s">
        <v>157</v>
      </c>
      <c r="E2953">
        <v>1.0038609342725676E-2</v>
      </c>
      <c r="F2953">
        <f t="shared" si="98"/>
        <v>-1.6108685433921934E-2</v>
      </c>
      <c r="G2953">
        <f t="shared" si="99"/>
        <v>-2.5466283358848287E-2</v>
      </c>
    </row>
    <row r="2954" spans="1:7" x14ac:dyDescent="0.35">
      <c r="A2954" t="s">
        <v>157</v>
      </c>
      <c r="E2954">
        <v>-6.5709467587032576E-3</v>
      </c>
      <c r="F2954">
        <f t="shared" si="98"/>
        <v>-1.6111447773482116E-2</v>
      </c>
      <c r="G2954">
        <f t="shared" si="99"/>
        <v>-2.5466283358848287E-2</v>
      </c>
    </row>
    <row r="2955" spans="1:7" x14ac:dyDescent="0.35">
      <c r="A2955" t="s">
        <v>157</v>
      </c>
      <c r="E2955">
        <v>4.5189770246094693E-4</v>
      </c>
      <c r="F2955">
        <f t="shared" si="98"/>
        <v>-1.6114210113042302E-2</v>
      </c>
      <c r="G2955">
        <f t="shared" si="99"/>
        <v>-2.5466283358848287E-2</v>
      </c>
    </row>
    <row r="2956" spans="1:7" x14ac:dyDescent="0.35">
      <c r="A2956" t="s">
        <v>157</v>
      </c>
      <c r="E2956">
        <v>7.3449418128177235E-3</v>
      </c>
      <c r="F2956">
        <f t="shared" si="98"/>
        <v>-1.6116972452602484E-2</v>
      </c>
      <c r="G2956">
        <f t="shared" si="99"/>
        <v>-2.5466283358848287E-2</v>
      </c>
    </row>
    <row r="2957" spans="1:7" x14ac:dyDescent="0.35">
      <c r="A2957" t="s">
        <v>157</v>
      </c>
      <c r="E2957">
        <v>-5.4403995105975628E-3</v>
      </c>
      <c r="F2957">
        <f t="shared" si="98"/>
        <v>-1.6119734792162665E-2</v>
      </c>
      <c r="G2957">
        <f t="shared" si="99"/>
        <v>-2.5466283358848287E-2</v>
      </c>
    </row>
    <row r="2958" spans="1:7" x14ac:dyDescent="0.35">
      <c r="A2958" t="s">
        <v>157</v>
      </c>
      <c r="E2958">
        <v>-1.2546086496826915E-3</v>
      </c>
      <c r="F2958">
        <f t="shared" si="98"/>
        <v>-1.6122497131722847E-2</v>
      </c>
      <c r="G2958">
        <f t="shared" si="99"/>
        <v>-2.5466283358848287E-2</v>
      </c>
    </row>
    <row r="2959" spans="1:7" x14ac:dyDescent="0.35">
      <c r="A2959" t="s">
        <v>157</v>
      </c>
      <c r="E2959">
        <v>1.6394799149968026E-3</v>
      </c>
      <c r="F2959">
        <f t="shared" si="98"/>
        <v>-1.6125259471283033E-2</v>
      </c>
      <c r="G2959">
        <f t="shared" si="99"/>
        <v>-2.5466283358848287E-2</v>
      </c>
    </row>
    <row r="2960" spans="1:7" x14ac:dyDescent="0.35">
      <c r="A2960" t="s">
        <v>157</v>
      </c>
      <c r="E2960">
        <v>-6.1204763208285795E-3</v>
      </c>
      <c r="F2960">
        <f t="shared" si="98"/>
        <v>-1.6128021810843215E-2</v>
      </c>
      <c r="G2960">
        <f t="shared" si="99"/>
        <v>-2.5466283358848287E-2</v>
      </c>
    </row>
    <row r="2961" spans="1:7" x14ac:dyDescent="0.35">
      <c r="A2961" t="s">
        <v>157</v>
      </c>
      <c r="E2961">
        <v>-5.1903230706928476E-3</v>
      </c>
      <c r="F2961">
        <f t="shared" si="98"/>
        <v>-1.6136901528960631E-2</v>
      </c>
      <c r="G2961">
        <f t="shared" si="99"/>
        <v>-2.5688622919515073E-2</v>
      </c>
    </row>
    <row r="2962" spans="1:7" x14ac:dyDescent="0.35">
      <c r="A2962" t="s">
        <v>157</v>
      </c>
      <c r="E2962">
        <v>-1.0080212305389647E-2</v>
      </c>
      <c r="F2962">
        <f t="shared" si="98"/>
        <v>-1.6145781247078043E-2</v>
      </c>
      <c r="G2962">
        <f t="shared" si="99"/>
        <v>-2.5688622919515073E-2</v>
      </c>
    </row>
    <row r="2963" spans="1:7" x14ac:dyDescent="0.35">
      <c r="A2963" t="s">
        <v>157</v>
      </c>
      <c r="E2963">
        <v>-1.6991414879010479E-2</v>
      </c>
      <c r="F2963">
        <f t="shared" si="98"/>
        <v>-1.615466096519546E-2</v>
      </c>
      <c r="G2963">
        <f t="shared" si="99"/>
        <v>-2.5688622919515073E-2</v>
      </c>
    </row>
    <row r="2964" spans="1:7" x14ac:dyDescent="0.35">
      <c r="A2964" t="s">
        <v>157</v>
      </c>
      <c r="E2964">
        <v>7.7499036497049008E-3</v>
      </c>
      <c r="F2964">
        <f t="shared" si="98"/>
        <v>-1.6083824377880286E-2</v>
      </c>
      <c r="G2964">
        <f t="shared" si="99"/>
        <v>-2.5668065941701568E-2</v>
      </c>
    </row>
    <row r="2965" spans="1:7" x14ac:dyDescent="0.35">
      <c r="A2965" t="s">
        <v>157</v>
      </c>
      <c r="E2965">
        <v>-7.0309136279586028E-4</v>
      </c>
      <c r="F2965">
        <f t="shared" si="98"/>
        <v>-1.6086586717440468E-2</v>
      </c>
      <c r="G2965">
        <f t="shared" si="99"/>
        <v>-2.5668065941701568E-2</v>
      </c>
    </row>
    <row r="2966" spans="1:7" x14ac:dyDescent="0.35">
      <c r="A2966" t="s">
        <v>157</v>
      </c>
      <c r="E2966">
        <v>-2.623942983656825E-3</v>
      </c>
      <c r="F2966">
        <f t="shared" si="98"/>
        <v>-1.6089349057000654E-2</v>
      </c>
      <c r="G2966">
        <f t="shared" si="99"/>
        <v>-2.5668065941701568E-2</v>
      </c>
    </row>
    <row r="2967" spans="1:7" x14ac:dyDescent="0.35">
      <c r="A2967" t="s">
        <v>157</v>
      </c>
      <c r="E2967">
        <v>5.5464643207011419E-3</v>
      </c>
      <c r="F2967">
        <f t="shared" si="98"/>
        <v>-1.6092111396560835E-2</v>
      </c>
      <c r="G2967">
        <f t="shared" si="99"/>
        <v>-2.5668065941701568E-2</v>
      </c>
    </row>
    <row r="2968" spans="1:7" x14ac:dyDescent="0.35">
      <c r="A2968" t="s">
        <v>157</v>
      </c>
      <c r="E2968">
        <v>-5.0835598648421236E-2</v>
      </c>
      <c r="F2968">
        <f t="shared" si="98"/>
        <v>-1.6094873736121017E-2</v>
      </c>
      <c r="G2968">
        <f t="shared" si="99"/>
        <v>-2.5668065941701568E-2</v>
      </c>
    </row>
    <row r="2969" spans="1:7" x14ac:dyDescent="0.35">
      <c r="A2969" t="s">
        <v>157</v>
      </c>
      <c r="E2969">
        <v>6.2285539394004502E-3</v>
      </c>
      <c r="F2969">
        <f t="shared" si="98"/>
        <v>-1.6048742363219157E-2</v>
      </c>
      <c r="G2969">
        <f t="shared" si="99"/>
        <v>-2.4840379664825812E-2</v>
      </c>
    </row>
    <row r="2970" spans="1:7" x14ac:dyDescent="0.35">
      <c r="A2970" t="s">
        <v>157</v>
      </c>
      <c r="E2970">
        <v>-1.7911852781040648E-2</v>
      </c>
      <c r="F2970">
        <f t="shared" si="98"/>
        <v>-1.6050927150166466E-2</v>
      </c>
      <c r="G2970">
        <f t="shared" si="99"/>
        <v>-2.4840379664825812E-2</v>
      </c>
    </row>
    <row r="2971" spans="1:7" x14ac:dyDescent="0.35">
      <c r="A2971" t="s">
        <v>158</v>
      </c>
      <c r="B2971" s="3" cm="1">
        <f t="array" ref="B2971">_xlfn.STDEV.S(_xlfn._xlws.FILTER($E$2013:$E$3011, $A$2013:$A$3011="2021-12"))</f>
        <v>1.2377253368325257E-2</v>
      </c>
      <c r="C2971" s="3" cm="1">
        <f t="array" ref="C2971">AVERAGE(_xlfn._xlws.FILTER($E$2013:$E$3011, $A$2013:$A$3011="2021-12"))</f>
        <v>2.5283258909324243E-3</v>
      </c>
      <c r="D2971" s="3" cm="1">
        <f t="array" ref="D2971">_xlfn.PERCENTILE.EXC(_xlfn._xlws.FILTER($E$2490:$E$3818, $A$2490:$A$3818="2021-12"), 0.05)</f>
        <v>-1.8122190649271817E-2</v>
      </c>
      <c r="E2971">
        <v>1.7604302417244633E-2</v>
      </c>
      <c r="F2971">
        <f t="shared" si="98"/>
        <v>-1.5973233683683755E-2</v>
      </c>
      <c r="G2971">
        <f t="shared" si="99"/>
        <v>-2.4795551724341353E-2</v>
      </c>
    </row>
    <row r="2972" spans="1:7" x14ac:dyDescent="0.35">
      <c r="A2972" t="s">
        <v>158</v>
      </c>
      <c r="E2972">
        <v>-1.8122190649271817E-2</v>
      </c>
      <c r="F2972">
        <f t="shared" si="98"/>
        <v>-1.5979438750018157E-2</v>
      </c>
      <c r="G2972">
        <f t="shared" si="99"/>
        <v>-2.4795551724341353E-2</v>
      </c>
    </row>
    <row r="2973" spans="1:7" x14ac:dyDescent="0.35">
      <c r="A2973" t="s">
        <v>158</v>
      </c>
      <c r="E2973">
        <v>-7.1452623780623864E-3</v>
      </c>
      <c r="F2973">
        <f t="shared" si="98"/>
        <v>-1.5901607965817858E-2</v>
      </c>
      <c r="G2973">
        <f t="shared" si="99"/>
        <v>-2.4742760945882628E-2</v>
      </c>
    </row>
    <row r="2974" spans="1:7" x14ac:dyDescent="0.35">
      <c r="A2974" t="s">
        <v>158</v>
      </c>
      <c r="E2974">
        <v>2.3740129630559301E-2</v>
      </c>
      <c r="F2974">
        <f t="shared" si="98"/>
        <v>-1.5902089392701782E-2</v>
      </c>
      <c r="G2974">
        <f t="shared" si="99"/>
        <v>-2.4742760945882628E-2</v>
      </c>
    </row>
    <row r="2975" spans="1:7" x14ac:dyDescent="0.35">
      <c r="A2975" t="s">
        <v>158</v>
      </c>
      <c r="E2975">
        <v>1.4095014280266171E-2</v>
      </c>
      <c r="F2975">
        <f t="shared" si="98"/>
        <v>-1.590257081958571E-2</v>
      </c>
      <c r="G2975">
        <f t="shared" si="99"/>
        <v>-2.4742760945882628E-2</v>
      </c>
    </row>
    <row r="2976" spans="1:7" x14ac:dyDescent="0.35">
      <c r="A2976" t="s">
        <v>158</v>
      </c>
      <c r="E2976">
        <v>-9.5200244763354504E-3</v>
      </c>
      <c r="F2976">
        <f t="shared" si="98"/>
        <v>-1.5903052246469634E-2</v>
      </c>
      <c r="G2976">
        <f t="shared" si="99"/>
        <v>-2.4742760945882628E-2</v>
      </c>
    </row>
    <row r="2977" spans="1:7" x14ac:dyDescent="0.35">
      <c r="A2977" t="s">
        <v>158</v>
      </c>
      <c r="E2977">
        <v>-9.3376670885344897E-3</v>
      </c>
      <c r="F2977">
        <f t="shared" si="98"/>
        <v>-1.5903533673353558E-2</v>
      </c>
      <c r="G2977">
        <f t="shared" si="99"/>
        <v>-2.4742760945882628E-2</v>
      </c>
    </row>
    <row r="2978" spans="1:7" x14ac:dyDescent="0.35">
      <c r="A2978" t="s">
        <v>158</v>
      </c>
      <c r="E2978">
        <v>-4.7017354124007458E-3</v>
      </c>
      <c r="F2978">
        <f t="shared" si="98"/>
        <v>-1.5904015100237482E-2</v>
      </c>
      <c r="G2978">
        <f t="shared" si="99"/>
        <v>-2.4742760945882628E-2</v>
      </c>
    </row>
    <row r="2979" spans="1:7" x14ac:dyDescent="0.35">
      <c r="A2979" t="s">
        <v>158</v>
      </c>
      <c r="E2979">
        <v>-4.4956288365151538E-3</v>
      </c>
      <c r="F2979">
        <f t="shared" si="98"/>
        <v>-1.5904496527121406E-2</v>
      </c>
      <c r="G2979">
        <f t="shared" si="99"/>
        <v>-2.4742760945882628E-2</v>
      </c>
    </row>
    <row r="2980" spans="1:7" x14ac:dyDescent="0.35">
      <c r="A2980" t="s">
        <v>158</v>
      </c>
      <c r="E2980">
        <v>6.6821794397316633E-3</v>
      </c>
      <c r="F2980">
        <f t="shared" si="98"/>
        <v>-1.590497795400533E-2</v>
      </c>
      <c r="G2980">
        <f t="shared" si="99"/>
        <v>-2.4742760945882628E-2</v>
      </c>
    </row>
    <row r="2981" spans="1:7" x14ac:dyDescent="0.35">
      <c r="A2981" t="s">
        <v>158</v>
      </c>
      <c r="E2981">
        <v>-1.2429979595515126E-2</v>
      </c>
      <c r="F2981">
        <f t="shared" si="98"/>
        <v>-1.5911183020339732E-2</v>
      </c>
      <c r="G2981">
        <f t="shared" si="99"/>
        <v>-2.4958316628611345E-2</v>
      </c>
    </row>
    <row r="2982" spans="1:7" x14ac:dyDescent="0.35">
      <c r="A2982" t="s">
        <v>158</v>
      </c>
      <c r="E2982">
        <v>1.2608993230865036E-2</v>
      </c>
      <c r="F2982">
        <f t="shared" si="98"/>
        <v>-1.5917388086674134E-2</v>
      </c>
      <c r="G2982">
        <f t="shared" si="99"/>
        <v>-2.4958316628611345E-2</v>
      </c>
    </row>
    <row r="2983" spans="1:7" x14ac:dyDescent="0.35">
      <c r="A2983" t="s">
        <v>158</v>
      </c>
      <c r="E2983">
        <v>-8.1957850504036159E-3</v>
      </c>
      <c r="F2983">
        <f t="shared" si="98"/>
        <v>-1.5923593153008536E-2</v>
      </c>
      <c r="G2983">
        <f t="shared" si="99"/>
        <v>-2.4958316628611345E-2</v>
      </c>
    </row>
    <row r="2984" spans="1:7" x14ac:dyDescent="0.35">
      <c r="A2984" t="s">
        <v>158</v>
      </c>
      <c r="E2984">
        <v>-8.3605657948668862E-3</v>
      </c>
      <c r="F2984">
        <f t="shared" si="98"/>
        <v>-1.5929798219342938E-2</v>
      </c>
      <c r="G2984">
        <f t="shared" si="99"/>
        <v>-2.4958316628611345E-2</v>
      </c>
    </row>
    <row r="2985" spans="1:7" x14ac:dyDescent="0.35">
      <c r="A2985" t="s">
        <v>158</v>
      </c>
      <c r="E2985">
        <v>1.745093864907897E-2</v>
      </c>
      <c r="F2985">
        <f t="shared" si="98"/>
        <v>-1.593600328567734E-2</v>
      </c>
      <c r="G2985">
        <f t="shared" si="99"/>
        <v>-2.4958316628611345E-2</v>
      </c>
    </row>
    <row r="2986" spans="1:7" x14ac:dyDescent="0.35">
      <c r="A2986" t="s">
        <v>158</v>
      </c>
      <c r="E2986">
        <v>8.5002826825378817E-3</v>
      </c>
      <c r="F2986">
        <f t="shared" si="98"/>
        <v>-1.5942208352011746E-2</v>
      </c>
      <c r="G2986">
        <f t="shared" si="99"/>
        <v>-2.4958316628611345E-2</v>
      </c>
    </row>
    <row r="2987" spans="1:7" x14ac:dyDescent="0.35">
      <c r="A2987" t="s">
        <v>158</v>
      </c>
      <c r="E2987">
        <v>1.2289554773875994E-2</v>
      </c>
      <c r="F2987">
        <f t="shared" si="98"/>
        <v>-1.5948413418346144E-2</v>
      </c>
      <c r="G2987">
        <f t="shared" si="99"/>
        <v>-2.4958316628611345E-2</v>
      </c>
    </row>
    <row r="2988" spans="1:7" x14ac:dyDescent="0.35">
      <c r="A2988" t="s">
        <v>158</v>
      </c>
      <c r="E2988">
        <v>1.2763118941409525E-2</v>
      </c>
      <c r="F2988">
        <f t="shared" si="98"/>
        <v>-1.5954618484680549E-2</v>
      </c>
      <c r="G2988">
        <f t="shared" si="99"/>
        <v>-2.4958316628611345E-2</v>
      </c>
    </row>
    <row r="2989" spans="1:7" x14ac:dyDescent="0.35">
      <c r="A2989" t="s">
        <v>158</v>
      </c>
      <c r="E2989">
        <v>4.6125171640525667E-3</v>
      </c>
      <c r="F2989">
        <f t="shared" si="98"/>
        <v>-1.5960823551014951E-2</v>
      </c>
      <c r="G2989">
        <f t="shared" si="99"/>
        <v>-2.4958316628611345E-2</v>
      </c>
    </row>
    <row r="2990" spans="1:7" x14ac:dyDescent="0.35">
      <c r="A2990" t="s">
        <v>159</v>
      </c>
      <c r="B2990" s="3" cm="1">
        <f t="array" ref="B2990">_xlfn.STDEV.S(_xlfn._xlws.FILTER($E$2013:$E$3011, $A$2013:$A$3011="2022-01"))</f>
        <v>1.0380525683498317E-2</v>
      </c>
      <c r="C2990" s="3" cm="1">
        <f t="array" ref="C2990">AVERAGE(_xlfn._xlws.FILTER($E$2013:$E$3011, $A$2013:$A$3011="2022-01"))</f>
        <v>-5.8292535175601655E-4</v>
      </c>
      <c r="D2990" s="3" cm="1">
        <f t="array" ref="D2990">_xlfn.PERCENTILE.EXC(_xlfn._xlws.FILTER($E$2490:$E$3818, $A$2490:$A$3818="2022-01"), 0.05)</f>
        <v>-3.1431666161147502E-2</v>
      </c>
      <c r="E2990">
        <v>9.3663589663315686E-3</v>
      </c>
      <c r="F2990">
        <f t="shared" si="98"/>
        <v>-1.5967028617349353E-2</v>
      </c>
      <c r="G2990">
        <f t="shared" si="99"/>
        <v>-2.4958316628611345E-2</v>
      </c>
    </row>
    <row r="2991" spans="1:7" x14ac:dyDescent="0.35">
      <c r="A2991" t="s">
        <v>159</v>
      </c>
      <c r="E2991">
        <v>-5.6861475608901329E-4</v>
      </c>
      <c r="F2991">
        <f t="shared" si="98"/>
        <v>-1.5973233683683755E-2</v>
      </c>
      <c r="G2991">
        <f t="shared" si="99"/>
        <v>-2.4958316628611345E-2</v>
      </c>
    </row>
    <row r="2992" spans="1:7" x14ac:dyDescent="0.35">
      <c r="A2992" t="s">
        <v>159</v>
      </c>
      <c r="E2992">
        <v>-1.0238500182428052E-4</v>
      </c>
      <c r="F2992">
        <f t="shared" si="98"/>
        <v>-1.5979438750018157E-2</v>
      </c>
      <c r="G2992">
        <f t="shared" si="99"/>
        <v>-2.4958316628611345E-2</v>
      </c>
    </row>
    <row r="2993" spans="1:7" x14ac:dyDescent="0.35">
      <c r="A2993" t="s">
        <v>159</v>
      </c>
      <c r="E2993">
        <v>-4.3439415691394687E-3</v>
      </c>
      <c r="F2993">
        <f t="shared" si="98"/>
        <v>-1.5985643816352559E-2</v>
      </c>
      <c r="G2993">
        <f t="shared" si="99"/>
        <v>-2.4958316628611345E-2</v>
      </c>
    </row>
    <row r="2994" spans="1:7" x14ac:dyDescent="0.35">
      <c r="A2994" t="s">
        <v>159</v>
      </c>
      <c r="E2994">
        <v>-5.1435787304889439E-3</v>
      </c>
      <c r="F2994">
        <f t="shared" si="98"/>
        <v>-1.5991848882686961E-2</v>
      </c>
      <c r="G2994">
        <f t="shared" si="99"/>
        <v>-2.4958316628611345E-2</v>
      </c>
    </row>
    <row r="2995" spans="1:7" x14ac:dyDescent="0.35">
      <c r="A2995" t="s">
        <v>159</v>
      </c>
      <c r="E2995">
        <v>5.6119440868692971E-3</v>
      </c>
      <c r="F2995">
        <f t="shared" si="98"/>
        <v>-1.5998053949021367E-2</v>
      </c>
      <c r="G2995">
        <f t="shared" si="99"/>
        <v>-2.4958316628611345E-2</v>
      </c>
    </row>
    <row r="2996" spans="1:7" x14ac:dyDescent="0.35">
      <c r="A2996" t="s">
        <v>159</v>
      </c>
      <c r="E2996">
        <v>1.6432544693479186E-3</v>
      </c>
      <c r="F2996">
        <f t="shared" si="98"/>
        <v>-1.6004259015355765E-2</v>
      </c>
      <c r="G2996">
        <f t="shared" si="99"/>
        <v>-2.4958316628611345E-2</v>
      </c>
    </row>
    <row r="2997" spans="1:7" x14ac:dyDescent="0.35">
      <c r="A2997" t="s">
        <v>159</v>
      </c>
      <c r="E2997">
        <v>5.2993209896782826E-3</v>
      </c>
      <c r="F2997">
        <f t="shared" si="98"/>
        <v>-1.6010464081690167E-2</v>
      </c>
      <c r="G2997">
        <f t="shared" si="99"/>
        <v>-2.4958316628611345E-2</v>
      </c>
    </row>
    <row r="2998" spans="1:7" x14ac:dyDescent="0.35">
      <c r="A2998" t="s">
        <v>159</v>
      </c>
      <c r="E2998">
        <v>-1.1688939396545979E-3</v>
      </c>
      <c r="F2998">
        <f t="shared" si="98"/>
        <v>-1.6016669148024573E-2</v>
      </c>
      <c r="G2998">
        <f t="shared" si="99"/>
        <v>-2.4958316628611345E-2</v>
      </c>
    </row>
    <row r="2999" spans="1:7" x14ac:dyDescent="0.35">
      <c r="A2999" t="s">
        <v>159</v>
      </c>
      <c r="E2999">
        <v>3.6383666371068357E-3</v>
      </c>
      <c r="F2999">
        <f t="shared" si="98"/>
        <v>-1.6022874214358974E-2</v>
      </c>
      <c r="G2999">
        <f t="shared" si="99"/>
        <v>-2.4958316628611345E-2</v>
      </c>
    </row>
    <row r="3000" spans="1:7" x14ac:dyDescent="0.35">
      <c r="A3000" t="s">
        <v>159</v>
      </c>
      <c r="E3000">
        <v>-6.4811836208439949E-3</v>
      </c>
      <c r="F3000">
        <f t="shared" si="98"/>
        <v>-1.6029079280693376E-2</v>
      </c>
      <c r="G3000">
        <f t="shared" si="99"/>
        <v>-2.4958316628611345E-2</v>
      </c>
    </row>
    <row r="3001" spans="1:7" x14ac:dyDescent="0.35">
      <c r="A3001" t="s">
        <v>159</v>
      </c>
      <c r="E3001">
        <v>-7.6325011537129578E-4</v>
      </c>
      <c r="F3001">
        <f t="shared" si="98"/>
        <v>-1.6031264067640685E-2</v>
      </c>
      <c r="G3001">
        <f t="shared" si="99"/>
        <v>-2.5181547562309298E-2</v>
      </c>
    </row>
    <row r="3002" spans="1:7" x14ac:dyDescent="0.35">
      <c r="A3002" t="s">
        <v>159</v>
      </c>
      <c r="E3002">
        <v>4.5140643467009535E-3</v>
      </c>
      <c r="F3002">
        <f t="shared" si="98"/>
        <v>-1.6033448854587993E-2</v>
      </c>
      <c r="G3002">
        <f t="shared" si="99"/>
        <v>-2.5181547562309298E-2</v>
      </c>
    </row>
    <row r="3003" spans="1:7" x14ac:dyDescent="0.35">
      <c r="A3003" t="s">
        <v>159</v>
      </c>
      <c r="E3003">
        <v>-1.3695792998974936E-2</v>
      </c>
      <c r="F3003">
        <f t="shared" si="98"/>
        <v>-1.6035633641535305E-2</v>
      </c>
      <c r="G3003">
        <f t="shared" si="99"/>
        <v>-2.5181547562309298E-2</v>
      </c>
    </row>
    <row r="3004" spans="1:7" x14ac:dyDescent="0.35">
      <c r="A3004" t="s">
        <v>159</v>
      </c>
      <c r="E3004">
        <v>-3.2365133169682904E-2</v>
      </c>
      <c r="F3004">
        <f t="shared" si="98"/>
        <v>-1.6037818428482613E-2</v>
      </c>
      <c r="G3004">
        <f t="shared" si="99"/>
        <v>-2.5181547562309298E-2</v>
      </c>
    </row>
    <row r="3005" spans="1:7" x14ac:dyDescent="0.35">
      <c r="A3005" t="s">
        <v>159</v>
      </c>
      <c r="E3005">
        <v>7.3029743476766065E-3</v>
      </c>
      <c r="F3005">
        <f t="shared" si="98"/>
        <v>-1.593600328567734E-2</v>
      </c>
      <c r="G3005">
        <f t="shared" si="99"/>
        <v>-2.4773146215084554E-2</v>
      </c>
    </row>
    <row r="3006" spans="1:7" x14ac:dyDescent="0.35">
      <c r="A3006" t="s">
        <v>159</v>
      </c>
      <c r="E3006">
        <v>1.6456800461273263E-2</v>
      </c>
      <c r="F3006">
        <f t="shared" si="98"/>
        <v>-1.5942208352011746E-2</v>
      </c>
      <c r="G3006">
        <f t="shared" si="99"/>
        <v>-2.4773146215084554E-2</v>
      </c>
    </row>
    <row r="3007" spans="1:7" x14ac:dyDescent="0.35">
      <c r="A3007" t="s">
        <v>159</v>
      </c>
      <c r="E3007">
        <v>9.9041568675144083E-3</v>
      </c>
      <c r="F3007">
        <f t="shared" si="98"/>
        <v>-1.5948413418346144E-2</v>
      </c>
      <c r="G3007">
        <f t="shared" si="99"/>
        <v>-2.4773146215084554E-2</v>
      </c>
    </row>
    <row r="3008" spans="1:7" x14ac:dyDescent="0.35">
      <c r="A3008" t="s">
        <v>159</v>
      </c>
      <c r="E3008">
        <v>-1.1111353763975863E-2</v>
      </c>
      <c r="F3008">
        <f t="shared" si="98"/>
        <v>-1.5954618484680549E-2</v>
      </c>
      <c r="G3008">
        <f t="shared" si="99"/>
        <v>-2.4773146215084554E-2</v>
      </c>
    </row>
    <row r="3009" spans="1:7" x14ac:dyDescent="0.35">
      <c r="A3009" t="s">
        <v>159</v>
      </c>
      <c r="E3009">
        <v>3.4837945842583251E-4</v>
      </c>
      <c r="F3009">
        <f t="shared" si="98"/>
        <v>-1.5960823551014951E-2</v>
      </c>
      <c r="G3009">
        <f t="shared" si="99"/>
        <v>-2.4773146215084554E-2</v>
      </c>
    </row>
    <row r="3010" spans="1:7" x14ac:dyDescent="0.35">
      <c r="A3010" t="s">
        <v>160</v>
      </c>
      <c r="B3010" s="3" cm="1">
        <f t="array" ref="B3010">_xlfn.STDEV.S(_xlfn._xlws.FILTER($E$2013:$E$3011, $A$2013:$A$3011="2022-02"))</f>
        <v>1.0384568078133006E-2</v>
      </c>
      <c r="C3010" s="3" cm="1">
        <f t="array" ref="C3010">AVERAGE(_xlfn._xlws.FILTER($E$2013:$E$3011, $A$2013:$A$3011="2022-02"))</f>
        <v>5.7948241837543039E-3</v>
      </c>
      <c r="D3010" s="3" cm="1">
        <f t="array" ref="D3010">_xlfn.PERCENTILE.EXC(_xlfn._xlws.FILTER($E$2490:$E$3818, $A$2490:$A$3818="2022-02"), 0.05)</f>
        <v>-2.888203623822681E-2</v>
      </c>
      <c r="E3010">
        <v>1.3137822691495505E-2</v>
      </c>
      <c r="F3010">
        <f t="shared" si="98"/>
        <v>-1.5967028617349353E-2</v>
      </c>
      <c r="G3010">
        <f t="shared" si="99"/>
        <v>-2.4773146215084554E-2</v>
      </c>
    </row>
    <row r="3011" spans="1:7" x14ac:dyDescent="0.35">
      <c r="A3011" t="s">
        <v>160</v>
      </c>
      <c r="E3011">
        <v>-1.5481743239868968E-3</v>
      </c>
      <c r="F3011">
        <f t="shared" si="98"/>
        <v>-1.5973233683683755E-2</v>
      </c>
      <c r="G3011">
        <f t="shared" si="99"/>
        <v>-2.4773146215084554E-2</v>
      </c>
    </row>
    <row r="3012" spans="1:7" x14ac:dyDescent="0.35">
      <c r="A3012" t="s">
        <v>160</v>
      </c>
      <c r="E3012">
        <v>-2.7352251776426059E-3</v>
      </c>
      <c r="F3012">
        <f t="shared" ref="F3012:F3075" si="100">_xlfn.PERCENTILE.EXC(E3012:E6827,0.05)</f>
        <v>-1.5979438750018157E-2</v>
      </c>
      <c r="G3012">
        <f t="shared" ref="G3012:G3075" si="101">AVERAGEIFS(E3012:E6828,E3012:E6828,"&lt;=" &amp; F3012)</f>
        <v>-2.4773146215084554E-2</v>
      </c>
    </row>
    <row r="3013" spans="1:7" x14ac:dyDescent="0.35">
      <c r="A3013" t="s">
        <v>160</v>
      </c>
      <c r="E3013">
        <v>-1.1586649443529794E-2</v>
      </c>
      <c r="F3013">
        <f t="shared" si="100"/>
        <v>-1.5985643816352559E-2</v>
      </c>
      <c r="G3013">
        <f t="shared" si="101"/>
        <v>-2.4773146215084554E-2</v>
      </c>
    </row>
    <row r="3014" spans="1:7" x14ac:dyDescent="0.35">
      <c r="A3014" t="s">
        <v>160</v>
      </c>
      <c r="E3014">
        <v>-3.6039857760433408E-3</v>
      </c>
      <c r="F3014">
        <f t="shared" si="100"/>
        <v>-1.5991848882686961E-2</v>
      </c>
      <c r="G3014">
        <f t="shared" si="101"/>
        <v>-2.4773146215084554E-2</v>
      </c>
    </row>
    <row r="3015" spans="1:7" x14ac:dyDescent="0.35">
      <c r="A3015" t="s">
        <v>160</v>
      </c>
      <c r="E3015">
        <v>1.3485958464911851E-2</v>
      </c>
      <c r="F3015">
        <f t="shared" si="100"/>
        <v>-1.5998053949021367E-2</v>
      </c>
      <c r="G3015">
        <f t="shared" si="101"/>
        <v>-2.4773146215084554E-2</v>
      </c>
    </row>
    <row r="3016" spans="1:7" x14ac:dyDescent="0.35">
      <c r="A3016" t="s">
        <v>160</v>
      </c>
      <c r="E3016">
        <v>1.9611381341771039E-2</v>
      </c>
      <c r="F3016">
        <f t="shared" si="100"/>
        <v>-1.6004259015355765E-2</v>
      </c>
      <c r="G3016">
        <f t="shared" si="101"/>
        <v>-2.4773146215084554E-2</v>
      </c>
    </row>
    <row r="3017" spans="1:7" x14ac:dyDescent="0.35">
      <c r="A3017" t="s">
        <v>160</v>
      </c>
      <c r="E3017">
        <v>4.4889149737768579E-3</v>
      </c>
      <c r="F3017">
        <f t="shared" si="100"/>
        <v>-1.6010464081690167E-2</v>
      </c>
      <c r="G3017">
        <f t="shared" si="101"/>
        <v>-2.4773146215084554E-2</v>
      </c>
    </row>
    <row r="3018" spans="1:7" x14ac:dyDescent="0.35">
      <c r="A3018" t="s">
        <v>160</v>
      </c>
      <c r="E3018">
        <v>-9.9637224937798828E-3</v>
      </c>
      <c r="F3018">
        <f t="shared" si="100"/>
        <v>-1.6016669148024573E-2</v>
      </c>
      <c r="G3018">
        <f t="shared" si="101"/>
        <v>-2.4773146215084554E-2</v>
      </c>
    </row>
    <row r="3019" spans="1:7" x14ac:dyDescent="0.35">
      <c r="A3019" t="s">
        <v>160</v>
      </c>
      <c r="E3019">
        <v>-2.5824747513239085E-2</v>
      </c>
      <c r="F3019">
        <f t="shared" si="100"/>
        <v>-1.6022874214358974E-2</v>
      </c>
      <c r="G3019">
        <f t="shared" si="101"/>
        <v>-2.4773146215084554E-2</v>
      </c>
    </row>
    <row r="3020" spans="1:7" x14ac:dyDescent="0.35">
      <c r="A3020" t="s">
        <v>160</v>
      </c>
      <c r="E3020">
        <v>1.6678812247911505E-2</v>
      </c>
      <c r="F3020">
        <f t="shared" si="100"/>
        <v>-1.590497795400533E-2</v>
      </c>
      <c r="G3020">
        <f t="shared" si="101"/>
        <v>-2.4525151976103714E-2</v>
      </c>
    </row>
    <row r="3021" spans="1:7" x14ac:dyDescent="0.35">
      <c r="A3021" t="s">
        <v>160</v>
      </c>
      <c r="E3021">
        <v>2.1999183903278429E-3</v>
      </c>
      <c r="F3021">
        <f t="shared" si="100"/>
        <v>-1.5911183020339732E-2</v>
      </c>
      <c r="G3021">
        <f t="shared" si="101"/>
        <v>-2.474618207923444E-2</v>
      </c>
    </row>
    <row r="3022" spans="1:7" x14ac:dyDescent="0.35">
      <c r="A3022" t="s">
        <v>160</v>
      </c>
      <c r="E3022">
        <v>-7.5941151828153924E-3</v>
      </c>
      <c r="F3022">
        <f t="shared" si="100"/>
        <v>-1.5917388086674134E-2</v>
      </c>
      <c r="G3022">
        <f t="shared" si="101"/>
        <v>-2.474618207923444E-2</v>
      </c>
    </row>
    <row r="3023" spans="1:7" x14ac:dyDescent="0.35">
      <c r="A3023" t="s">
        <v>160</v>
      </c>
      <c r="E3023">
        <v>-9.3969210275493039E-3</v>
      </c>
      <c r="F3023">
        <f t="shared" si="100"/>
        <v>-1.5923593153008536E-2</v>
      </c>
      <c r="G3023">
        <f t="shared" si="101"/>
        <v>-2.474618207923444E-2</v>
      </c>
    </row>
    <row r="3024" spans="1:7" x14ac:dyDescent="0.35">
      <c r="A3024" t="s">
        <v>160</v>
      </c>
      <c r="E3024">
        <v>-1.1839308260241625E-2</v>
      </c>
      <c r="F3024">
        <f t="shared" si="100"/>
        <v>-1.5929798219342938E-2</v>
      </c>
      <c r="G3024">
        <f t="shared" si="101"/>
        <v>-2.474618207923444E-2</v>
      </c>
    </row>
    <row r="3025" spans="1:7" x14ac:dyDescent="0.35">
      <c r="A3025" t="s">
        <v>160</v>
      </c>
      <c r="E3025">
        <v>5.0641558957931687E-4</v>
      </c>
      <c r="F3025">
        <f t="shared" si="100"/>
        <v>-1.593600328567734E-2</v>
      </c>
      <c r="G3025">
        <f t="shared" si="101"/>
        <v>-2.474618207923444E-2</v>
      </c>
    </row>
    <row r="3026" spans="1:7" x14ac:dyDescent="0.35">
      <c r="A3026" t="s">
        <v>160</v>
      </c>
      <c r="E3026">
        <v>-6.2716864465947294E-3</v>
      </c>
      <c r="F3026">
        <f t="shared" si="100"/>
        <v>-1.5942208352011746E-2</v>
      </c>
      <c r="G3026">
        <f t="shared" si="101"/>
        <v>-2.474618207923444E-2</v>
      </c>
    </row>
    <row r="3027" spans="1:7" x14ac:dyDescent="0.35">
      <c r="A3027" t="s">
        <v>160</v>
      </c>
      <c r="E3027">
        <v>-2.9042946171120899E-2</v>
      </c>
      <c r="F3027">
        <f t="shared" si="100"/>
        <v>-1.5948413418346144E-2</v>
      </c>
      <c r="G3027">
        <f t="shared" si="101"/>
        <v>-2.474618207923444E-2</v>
      </c>
    </row>
    <row r="3028" spans="1:7" x14ac:dyDescent="0.35">
      <c r="A3028" t="s">
        <v>160</v>
      </c>
      <c r="E3028">
        <v>3.4537238262966133E-2</v>
      </c>
      <c r="F3028">
        <f t="shared" si="100"/>
        <v>-1.5899200831398237E-2</v>
      </c>
      <c r="G3028">
        <f t="shared" si="101"/>
        <v>-2.4409311099308401E-2</v>
      </c>
    </row>
    <row r="3029" spans="1:7" x14ac:dyDescent="0.35">
      <c r="A3029" t="s">
        <v>160</v>
      </c>
      <c r="E3029">
        <v>-8.7234323984400656E-4</v>
      </c>
      <c r="F3029">
        <f t="shared" si="100"/>
        <v>-1.5899682258282161E-2</v>
      </c>
      <c r="G3029">
        <f t="shared" si="101"/>
        <v>-2.4409311099308401E-2</v>
      </c>
    </row>
    <row r="3030" spans="1:7" x14ac:dyDescent="0.35">
      <c r="A3030" t="s">
        <v>161</v>
      </c>
      <c r="B3030" s="3" cm="1">
        <f t="array" ref="B3030">_xlfn.STDEV.S(_xlfn._xlws.FILTER($E$2826:$E$3824, $A$2826:$A$3824="2022-03"))</f>
        <v>2.0489623698247517E-2</v>
      </c>
      <c r="C3030" s="3" cm="1">
        <f t="array" ref="C3030">AVERAGE(_xlfn._xlws.FILTER($E$2826:$E$3824, $A$2826:$A$3824="2022-03"))</f>
        <v>-1.7520496587061091E-4</v>
      </c>
      <c r="D3030" s="3" cm="1">
        <f t="array" ref="D3030">_xlfn.PERCENTILE.EXC(_xlfn._xlws.FILTER($E$2490:$E$3818, $A$2490:$A$3818="2022-03"), 0.05)</f>
        <v>-3.7720448025600532E-2</v>
      </c>
      <c r="E3030">
        <v>-3.4922012240922132E-2</v>
      </c>
      <c r="F3030">
        <f t="shared" si="100"/>
        <v>-1.5900163685166085E-2</v>
      </c>
      <c r="G3030">
        <f t="shared" si="101"/>
        <v>-2.4409311099308401E-2</v>
      </c>
    </row>
    <row r="3031" spans="1:7" x14ac:dyDescent="0.35">
      <c r="A3031" t="s">
        <v>161</v>
      </c>
      <c r="E3031">
        <v>1.6088346428306779E-2</v>
      </c>
      <c r="F3031">
        <f t="shared" si="100"/>
        <v>-1.5863546096907447E-2</v>
      </c>
      <c r="G3031">
        <f t="shared" si="101"/>
        <v>-2.39214479499598E-2</v>
      </c>
    </row>
    <row r="3032" spans="1:7" x14ac:dyDescent="0.35">
      <c r="A3032" t="s">
        <v>161</v>
      </c>
      <c r="E3032">
        <v>-3.7916912587439712E-2</v>
      </c>
      <c r="F3032">
        <f t="shared" si="100"/>
        <v>-1.5867079799065157E-2</v>
      </c>
      <c r="G3032">
        <f t="shared" si="101"/>
        <v>-2.39214479499598E-2</v>
      </c>
    </row>
    <row r="3033" spans="1:7" x14ac:dyDescent="0.35">
      <c r="A3033" t="s">
        <v>161</v>
      </c>
      <c r="E3033">
        <v>-3.693458977824382E-2</v>
      </c>
      <c r="F3033">
        <f t="shared" si="100"/>
        <v>-1.5822529561767499E-2</v>
      </c>
      <c r="G3033">
        <f t="shared" si="101"/>
        <v>-2.3354980329081159E-2</v>
      </c>
    </row>
    <row r="3034" spans="1:7" x14ac:dyDescent="0.35">
      <c r="A3034" t="s">
        <v>161</v>
      </c>
      <c r="E3034">
        <v>-9.9314213193560739E-3</v>
      </c>
      <c r="F3034">
        <f t="shared" si="100"/>
        <v>-1.5780599471846068E-2</v>
      </c>
      <c r="G3034">
        <f t="shared" si="101"/>
        <v>-2.2813543270240128E-2</v>
      </c>
    </row>
    <row r="3035" spans="1:7" x14ac:dyDescent="0.35">
      <c r="A3035" t="s">
        <v>161</v>
      </c>
      <c r="E3035">
        <v>1.7993744487353809E-2</v>
      </c>
      <c r="F3035">
        <f t="shared" si="100"/>
        <v>-1.578692364044567E-2</v>
      </c>
      <c r="G3035">
        <f t="shared" si="101"/>
        <v>-2.2813543270240128E-2</v>
      </c>
    </row>
    <row r="3036" spans="1:7" x14ac:dyDescent="0.35">
      <c r="A3036" t="s">
        <v>161</v>
      </c>
      <c r="E3036">
        <v>4.7630738071714411E-2</v>
      </c>
      <c r="F3036">
        <f t="shared" si="100"/>
        <v>-1.5793247809045272E-2</v>
      </c>
      <c r="G3036">
        <f t="shared" si="101"/>
        <v>-2.2813543270240128E-2</v>
      </c>
    </row>
    <row r="3037" spans="1:7" x14ac:dyDescent="0.35">
      <c r="A3037" t="s">
        <v>161</v>
      </c>
      <c r="E3037">
        <v>-1.1557261288792468E-2</v>
      </c>
      <c r="F3037">
        <f t="shared" si="100"/>
        <v>-1.5799571977644873E-2</v>
      </c>
      <c r="G3037">
        <f t="shared" si="101"/>
        <v>-2.2813543270240128E-2</v>
      </c>
    </row>
    <row r="3038" spans="1:7" x14ac:dyDescent="0.35">
      <c r="A3038" t="s">
        <v>161</v>
      </c>
      <c r="E3038">
        <v>8.9813944964310579E-3</v>
      </c>
      <c r="F3038">
        <f t="shared" si="100"/>
        <v>-1.5805896146244478E-2</v>
      </c>
      <c r="G3038">
        <f t="shared" si="101"/>
        <v>-2.2813543270240128E-2</v>
      </c>
    </row>
    <row r="3039" spans="1:7" x14ac:dyDescent="0.35">
      <c r="A3039" t="s">
        <v>161</v>
      </c>
      <c r="E3039">
        <v>1.1272369230252658E-2</v>
      </c>
      <c r="F3039">
        <f t="shared" si="100"/>
        <v>-1.581222031484408E-2</v>
      </c>
      <c r="G3039">
        <f t="shared" si="101"/>
        <v>-2.2813543270240128E-2</v>
      </c>
    </row>
    <row r="3040" spans="1:7" x14ac:dyDescent="0.35">
      <c r="A3040" t="s">
        <v>161</v>
      </c>
      <c r="E3040">
        <v>2.0642967803488632E-4</v>
      </c>
      <c r="F3040">
        <f t="shared" si="100"/>
        <v>-1.5818544483443681E-2</v>
      </c>
      <c r="G3040">
        <f t="shared" si="101"/>
        <v>-2.2813543270240128E-2</v>
      </c>
    </row>
    <row r="3041" spans="1:7" x14ac:dyDescent="0.35">
      <c r="A3041" t="s">
        <v>161</v>
      </c>
      <c r="E3041">
        <v>1.7368715143472619E-2</v>
      </c>
      <c r="F3041">
        <f t="shared" si="100"/>
        <v>-1.5818851027930129E-2</v>
      </c>
      <c r="G3041">
        <f t="shared" si="101"/>
        <v>-2.2997622185682142E-2</v>
      </c>
    </row>
    <row r="3042" spans="1:7" x14ac:dyDescent="0.35">
      <c r="A3042" t="s">
        <v>161</v>
      </c>
      <c r="E3042">
        <v>3.7636117887332181E-3</v>
      </c>
      <c r="F3042">
        <f t="shared" si="100"/>
        <v>-1.5819157572416576E-2</v>
      </c>
      <c r="G3042">
        <f t="shared" si="101"/>
        <v>-2.2997622185682142E-2</v>
      </c>
    </row>
    <row r="3043" spans="1:7" x14ac:dyDescent="0.35">
      <c r="A3043" t="s">
        <v>161</v>
      </c>
      <c r="E3043">
        <v>6.6549415395245959E-4</v>
      </c>
      <c r="F3043">
        <f t="shared" si="100"/>
        <v>-1.5819464116903024E-2</v>
      </c>
      <c r="G3043">
        <f t="shared" si="101"/>
        <v>-2.2997622185682142E-2</v>
      </c>
    </row>
    <row r="3044" spans="1:7" x14ac:dyDescent="0.35">
      <c r="A3044" t="s">
        <v>161</v>
      </c>
      <c r="E3044">
        <v>-3.3795876706029281E-3</v>
      </c>
      <c r="F3044">
        <f t="shared" si="100"/>
        <v>-1.5819770661389471E-2</v>
      </c>
      <c r="G3044">
        <f t="shared" si="101"/>
        <v>-2.2997622185682142E-2</v>
      </c>
    </row>
    <row r="3045" spans="1:7" x14ac:dyDescent="0.35">
      <c r="A3045" t="s">
        <v>161</v>
      </c>
      <c r="E3045">
        <v>1.1613981839122073E-2</v>
      </c>
      <c r="F3045">
        <f t="shared" si="100"/>
        <v>-1.5820077205875919E-2</v>
      </c>
      <c r="G3045">
        <f t="shared" si="101"/>
        <v>-2.2997622185682142E-2</v>
      </c>
    </row>
    <row r="3046" spans="1:7" x14ac:dyDescent="0.35">
      <c r="A3046" t="s">
        <v>161</v>
      </c>
      <c r="E3046">
        <v>-1.8887785264022797E-2</v>
      </c>
      <c r="F3046">
        <f t="shared" si="100"/>
        <v>-1.5820383750362366E-2</v>
      </c>
      <c r="G3046">
        <f t="shared" si="101"/>
        <v>-2.2997622185682142E-2</v>
      </c>
    </row>
    <row r="3047" spans="1:7" x14ac:dyDescent="0.35">
      <c r="A3047" t="s">
        <v>161</v>
      </c>
      <c r="E3047">
        <v>-2.8015769669421341E-3</v>
      </c>
      <c r="F3047">
        <f t="shared" si="100"/>
        <v>-1.5736330291648851E-2</v>
      </c>
      <c r="G3047">
        <f t="shared" si="101"/>
        <v>-2.291685269145638E-2</v>
      </c>
    </row>
    <row r="3048" spans="1:7" x14ac:dyDescent="0.35">
      <c r="A3048" t="s">
        <v>161</v>
      </c>
      <c r="E3048">
        <v>3.0656984643657129E-3</v>
      </c>
      <c r="F3048">
        <f t="shared" si="100"/>
        <v>-1.5742654460248456E-2</v>
      </c>
      <c r="G3048">
        <f t="shared" si="101"/>
        <v>-2.291685269145638E-2</v>
      </c>
    </row>
    <row r="3049" spans="1:7" x14ac:dyDescent="0.35">
      <c r="A3049" t="s">
        <v>161</v>
      </c>
      <c r="E3049">
        <v>4.1925769059164052E-3</v>
      </c>
      <c r="F3049">
        <f t="shared" si="100"/>
        <v>-1.5748978628848057E-2</v>
      </c>
      <c r="G3049">
        <f t="shared" si="101"/>
        <v>-2.291685269145638E-2</v>
      </c>
    </row>
    <row r="3050" spans="1:7" x14ac:dyDescent="0.35">
      <c r="A3050" t="s">
        <v>161</v>
      </c>
      <c r="E3050">
        <v>2.9330378955490018E-2</v>
      </c>
      <c r="F3050">
        <f t="shared" si="100"/>
        <v>-1.5755302797447659E-2</v>
      </c>
      <c r="G3050">
        <f t="shared" si="101"/>
        <v>-2.291685269145638E-2</v>
      </c>
    </row>
    <row r="3051" spans="1:7" x14ac:dyDescent="0.35">
      <c r="A3051" t="s">
        <v>161</v>
      </c>
      <c r="E3051">
        <v>-7.45698233264761E-3</v>
      </c>
      <c r="F3051">
        <f t="shared" si="100"/>
        <v>-1.576162696604726E-2</v>
      </c>
      <c r="G3051">
        <f t="shared" si="101"/>
        <v>-2.291685269145638E-2</v>
      </c>
    </row>
    <row r="3052" spans="1:7" x14ac:dyDescent="0.35">
      <c r="A3052" t="s">
        <v>161</v>
      </c>
      <c r="E3052">
        <v>-1.2415064409200481E-2</v>
      </c>
      <c r="F3052">
        <f t="shared" si="100"/>
        <v>-1.5767951134646862E-2</v>
      </c>
      <c r="G3052">
        <f t="shared" si="101"/>
        <v>-2.291685269145638E-2</v>
      </c>
    </row>
    <row r="3053" spans="1:7" x14ac:dyDescent="0.35">
      <c r="A3053" t="s">
        <v>162</v>
      </c>
      <c r="B3053" s="3" cm="1">
        <f t="array" ref="B3053">_xlfn.STDEV.S(_xlfn._xlws.FILTER($E$2826:$E$3824, $A$2826:$A$3824="2022-04"))</f>
        <v>9.7948780742318445E-3</v>
      </c>
      <c r="C3053" s="3" cm="1">
        <f t="array" ref="C3053">AVERAGE(_xlfn._xlws.FILTER($E$2826:$E$3824, $A$2826:$A$3824="2022-04"))</f>
        <v>8.5983751064855124E-4</v>
      </c>
      <c r="D3053" s="3" cm="1">
        <f t="array" ref="D3053">_xlfn.PERCENTILE.EXC(_xlfn._xlws.FILTER($E$2490:$E$3818, $A$2490:$A$3818="2022-04"), 0.05)</f>
        <v>-1.8584256068818264E-2</v>
      </c>
      <c r="E3053">
        <v>6.9149713850338934E-3</v>
      </c>
      <c r="F3053">
        <f t="shared" si="100"/>
        <v>-1.5774275303246467E-2</v>
      </c>
      <c r="G3053">
        <f t="shared" si="101"/>
        <v>-2.291685269145638E-2</v>
      </c>
    </row>
    <row r="3054" spans="1:7" x14ac:dyDescent="0.35">
      <c r="A3054" t="s">
        <v>162</v>
      </c>
      <c r="E3054">
        <v>2.0088702459010936E-3</v>
      </c>
      <c r="F3054">
        <f t="shared" si="100"/>
        <v>-1.5780599471846068E-2</v>
      </c>
      <c r="G3054">
        <f t="shared" si="101"/>
        <v>-2.291685269145638E-2</v>
      </c>
    </row>
    <row r="3055" spans="1:7" x14ac:dyDescent="0.35">
      <c r="A3055" t="s">
        <v>162</v>
      </c>
      <c r="E3055">
        <v>1.1957608894285871E-2</v>
      </c>
      <c r="F3055">
        <f t="shared" si="100"/>
        <v>-1.578692364044567E-2</v>
      </c>
      <c r="G3055">
        <f t="shared" si="101"/>
        <v>-2.291685269145638E-2</v>
      </c>
    </row>
    <row r="3056" spans="1:7" x14ac:dyDescent="0.35">
      <c r="A3056" t="s">
        <v>162</v>
      </c>
      <c r="E3056">
        <v>-1.6509781385956063E-2</v>
      </c>
      <c r="F3056">
        <f t="shared" si="100"/>
        <v>-1.5793247809045272E-2</v>
      </c>
      <c r="G3056">
        <f t="shared" si="101"/>
        <v>-2.291685269145638E-2</v>
      </c>
    </row>
    <row r="3057" spans="1:7" x14ac:dyDescent="0.35">
      <c r="A3057" t="s">
        <v>162</v>
      </c>
      <c r="E3057">
        <v>-1.7345648763298657E-3</v>
      </c>
      <c r="F3057">
        <f t="shared" si="100"/>
        <v>-1.565421707650547E-2</v>
      </c>
      <c r="G3057">
        <f t="shared" si="101"/>
        <v>-2.2895333736864153E-2</v>
      </c>
    </row>
    <row r="3058" spans="1:7" x14ac:dyDescent="0.35">
      <c r="A3058" t="s">
        <v>162</v>
      </c>
      <c r="E3058">
        <v>1.6282616758022426E-2</v>
      </c>
      <c r="F3058">
        <f t="shared" si="100"/>
        <v>-1.5666831754820858E-2</v>
      </c>
      <c r="G3058">
        <f t="shared" si="101"/>
        <v>-2.2895333736864153E-2</v>
      </c>
    </row>
    <row r="3059" spans="1:7" x14ac:dyDescent="0.35">
      <c r="A3059" t="s">
        <v>162</v>
      </c>
      <c r="E3059">
        <v>-2.4896181874021843E-3</v>
      </c>
      <c r="F3059">
        <f t="shared" si="100"/>
        <v>-1.5679446433136245E-2</v>
      </c>
      <c r="G3059">
        <f t="shared" si="101"/>
        <v>-2.2895333736864153E-2</v>
      </c>
    </row>
    <row r="3060" spans="1:7" x14ac:dyDescent="0.35">
      <c r="A3060" t="s">
        <v>162</v>
      </c>
      <c r="E3060">
        <v>-8.1570825475017078E-4</v>
      </c>
      <c r="F3060">
        <f t="shared" si="100"/>
        <v>-1.5692061111451636E-2</v>
      </c>
      <c r="G3060">
        <f t="shared" si="101"/>
        <v>-2.2895333736864153E-2</v>
      </c>
    </row>
    <row r="3061" spans="1:7" x14ac:dyDescent="0.35">
      <c r="A3061" t="s">
        <v>162</v>
      </c>
      <c r="E3061">
        <v>4.6290455890062284E-3</v>
      </c>
      <c r="F3061">
        <f t="shared" si="100"/>
        <v>-1.5698385280051238E-2</v>
      </c>
      <c r="G3061">
        <f t="shared" si="101"/>
        <v>-2.3090016780794219E-2</v>
      </c>
    </row>
    <row r="3062" spans="1:7" x14ac:dyDescent="0.35">
      <c r="A3062" t="s">
        <v>162</v>
      </c>
      <c r="E3062">
        <v>9.3782448417087695E-3</v>
      </c>
      <c r="F3062">
        <f t="shared" si="100"/>
        <v>-1.5704709448650839E-2</v>
      </c>
      <c r="G3062">
        <f t="shared" si="101"/>
        <v>-2.3090016780794219E-2</v>
      </c>
    </row>
    <row r="3063" spans="1:7" x14ac:dyDescent="0.35">
      <c r="A3063" t="s">
        <v>162</v>
      </c>
      <c r="E3063">
        <v>-5.7494395880342399E-4</v>
      </c>
      <c r="F3063">
        <f t="shared" si="100"/>
        <v>-1.5711033617250444E-2</v>
      </c>
      <c r="G3063">
        <f t="shared" si="101"/>
        <v>-2.3090016780794219E-2</v>
      </c>
    </row>
    <row r="3064" spans="1:7" x14ac:dyDescent="0.35">
      <c r="A3064" t="s">
        <v>162</v>
      </c>
      <c r="E3064">
        <v>8.6466596494550914E-3</v>
      </c>
      <c r="F3064">
        <f t="shared" si="100"/>
        <v>-1.5717357785850046E-2</v>
      </c>
      <c r="G3064">
        <f t="shared" si="101"/>
        <v>-2.3090016780794219E-2</v>
      </c>
    </row>
    <row r="3065" spans="1:7" x14ac:dyDescent="0.35">
      <c r="A3065" t="s">
        <v>162</v>
      </c>
      <c r="E3065">
        <v>5.1296454062439607E-3</v>
      </c>
      <c r="F3065">
        <f t="shared" si="100"/>
        <v>-1.5723681954449648E-2</v>
      </c>
      <c r="G3065">
        <f t="shared" si="101"/>
        <v>-2.3090016780794219E-2</v>
      </c>
    </row>
    <row r="3066" spans="1:7" x14ac:dyDescent="0.35">
      <c r="A3066" t="s">
        <v>162</v>
      </c>
      <c r="E3066">
        <v>-1.8584256068818264E-2</v>
      </c>
      <c r="F3066">
        <f t="shared" si="100"/>
        <v>-1.5730006123049249E-2</v>
      </c>
      <c r="G3066">
        <f t="shared" si="101"/>
        <v>-2.3090016780794219E-2</v>
      </c>
    </row>
    <row r="3067" spans="1:7" x14ac:dyDescent="0.35">
      <c r="A3067" t="s">
        <v>162</v>
      </c>
      <c r="E3067">
        <v>-9.0208368198140369E-3</v>
      </c>
      <c r="F3067">
        <f t="shared" si="100"/>
        <v>-1.5528070293351575E-2</v>
      </c>
      <c r="G3067">
        <f t="shared" si="101"/>
        <v>-2.3011849349514044E-2</v>
      </c>
    </row>
    <row r="3068" spans="1:7" x14ac:dyDescent="0.35">
      <c r="A3068" t="s">
        <v>162</v>
      </c>
      <c r="E3068">
        <v>-1.590497795400533E-2</v>
      </c>
      <c r="F3068">
        <f t="shared" si="100"/>
        <v>-1.5540684971666963E-2</v>
      </c>
      <c r="G3068">
        <f t="shared" si="101"/>
        <v>-2.3011849349514044E-2</v>
      </c>
    </row>
    <row r="3069" spans="1:7" x14ac:dyDescent="0.35">
      <c r="A3069" t="s">
        <v>162</v>
      </c>
      <c r="E3069">
        <v>4.5398198205193283E-3</v>
      </c>
      <c r="F3069">
        <f t="shared" si="100"/>
        <v>-1.5351161666343151E-2</v>
      </c>
      <c r="G3069">
        <f t="shared" si="101"/>
        <v>-2.299927609522049E-2</v>
      </c>
    </row>
    <row r="3070" spans="1:7" x14ac:dyDescent="0.35">
      <c r="A3070" t="s">
        <v>162</v>
      </c>
      <c r="E3070">
        <v>4.0612419636766837E-3</v>
      </c>
      <c r="F3070">
        <f t="shared" si="100"/>
        <v>-1.5359216746234125E-2</v>
      </c>
      <c r="G3070">
        <f t="shared" si="101"/>
        <v>-2.299927609522049E-2</v>
      </c>
    </row>
    <row r="3071" spans="1:7" x14ac:dyDescent="0.35">
      <c r="A3071" t="s">
        <v>162</v>
      </c>
      <c r="E3071">
        <v>8.4228756543484624E-3</v>
      </c>
      <c r="F3071">
        <f t="shared" si="100"/>
        <v>-1.5367271826125095E-2</v>
      </c>
      <c r="G3071">
        <f t="shared" si="101"/>
        <v>-2.299927609522049E-2</v>
      </c>
    </row>
    <row r="3072" spans="1:7" x14ac:dyDescent="0.35">
      <c r="A3072" t="s">
        <v>163</v>
      </c>
      <c r="B3072" s="3" cm="1">
        <f t="array" ref="B3072">_xlfn.STDEV.S(_xlfn._xlws.FILTER($E$2826:$E$3824, $A$2826:$A$3824="2022-05"))</f>
        <v>1.2014922756246079E-2</v>
      </c>
      <c r="C3072" s="3" cm="1">
        <f t="array" ref="C3072">AVERAGE(_xlfn._xlws.FILTER($E$2826:$E$3824, $A$2826:$A$3824="2022-05"))</f>
        <v>1.4601729507137781E-3</v>
      </c>
      <c r="D3072" s="3" cm="1">
        <f t="array" ref="D3072">_xlfn.PERCENTILE.EXC(_xlfn._xlws.FILTER($E$2490:$E$3818, $A$2490:$A$3818="2022-05"), 0.05)</f>
        <v>-2.1348594168599085E-2</v>
      </c>
      <c r="E3072">
        <v>6.9871439399344303E-4</v>
      </c>
      <c r="F3072">
        <f t="shared" si="100"/>
        <v>-1.5375326906016069E-2</v>
      </c>
      <c r="G3072">
        <f t="shared" si="101"/>
        <v>-2.299927609522049E-2</v>
      </c>
    </row>
    <row r="3073" spans="1:7" x14ac:dyDescent="0.35">
      <c r="A3073" t="s">
        <v>163</v>
      </c>
      <c r="E3073">
        <v>-1.0497033316553319E-2</v>
      </c>
      <c r="F3073">
        <f t="shared" si="100"/>
        <v>-1.5383381985907042E-2</v>
      </c>
      <c r="G3073">
        <f t="shared" si="101"/>
        <v>-2.299927609522049E-2</v>
      </c>
    </row>
    <row r="3074" spans="1:7" x14ac:dyDescent="0.35">
      <c r="A3074" t="s">
        <v>163</v>
      </c>
      <c r="E3074">
        <v>-7.7708360238607855E-3</v>
      </c>
      <c r="F3074">
        <f t="shared" si="100"/>
        <v>-1.5391437065798014E-2</v>
      </c>
      <c r="G3074">
        <f t="shared" si="101"/>
        <v>-2.299927609522049E-2</v>
      </c>
    </row>
    <row r="3075" spans="1:7" x14ac:dyDescent="0.35">
      <c r="A3075" t="s">
        <v>163</v>
      </c>
      <c r="E3075">
        <v>-1.345153871103633E-2</v>
      </c>
      <c r="F3075">
        <f t="shared" si="100"/>
        <v>-1.5399492145688986E-2</v>
      </c>
      <c r="G3075">
        <f t="shared" si="101"/>
        <v>-2.299927609522049E-2</v>
      </c>
    </row>
    <row r="3076" spans="1:7" x14ac:dyDescent="0.35">
      <c r="A3076" t="s">
        <v>163</v>
      </c>
      <c r="E3076">
        <v>-2.2210715474386005E-2</v>
      </c>
      <c r="F3076">
        <f t="shared" ref="F3076:F3139" si="102">_xlfn.PERCENTILE.EXC(E3076:E6891,0.05)</f>
        <v>-1.5407547225579958E-2</v>
      </c>
      <c r="G3076">
        <f t="shared" ref="G3076:G3139" si="103">AVERAGEIFS(E3076:E6892,E3076:E6892,"&lt;=" &amp; F3076)</f>
        <v>-2.299927609522049E-2</v>
      </c>
    </row>
    <row r="3077" spans="1:7" x14ac:dyDescent="0.35">
      <c r="A3077" t="s">
        <v>163</v>
      </c>
      <c r="E3077">
        <v>0</v>
      </c>
      <c r="F3077">
        <f t="shared" si="102"/>
        <v>-1.5268559630660568E-2</v>
      </c>
      <c r="G3077">
        <f t="shared" si="103"/>
        <v>-2.2811923405299906E-2</v>
      </c>
    </row>
    <row r="3078" spans="1:7" x14ac:dyDescent="0.35">
      <c r="A3078" t="s">
        <v>163</v>
      </c>
      <c r="E3078">
        <v>2.1080540898436185E-2</v>
      </c>
      <c r="F3078">
        <f t="shared" si="102"/>
        <v>-1.5271928402881845E-2</v>
      </c>
      <c r="G3078">
        <f t="shared" si="103"/>
        <v>-2.2811923405299906E-2</v>
      </c>
    </row>
    <row r="3079" spans="1:7" x14ac:dyDescent="0.35">
      <c r="A3079" t="s">
        <v>163</v>
      </c>
      <c r="E3079">
        <v>-1.3589502416516804E-2</v>
      </c>
      <c r="F3079">
        <f t="shared" si="102"/>
        <v>-1.5275297175103123E-2</v>
      </c>
      <c r="G3079">
        <f t="shared" si="103"/>
        <v>-2.2811923405299906E-2</v>
      </c>
    </row>
    <row r="3080" spans="1:7" x14ac:dyDescent="0.35">
      <c r="A3080" t="s">
        <v>163</v>
      </c>
      <c r="E3080">
        <v>1.6652439102164421E-2</v>
      </c>
      <c r="F3080">
        <f t="shared" si="102"/>
        <v>-1.52786659473244E-2</v>
      </c>
      <c r="G3080">
        <f t="shared" si="103"/>
        <v>-2.2811923405299906E-2</v>
      </c>
    </row>
    <row r="3081" spans="1:7" x14ac:dyDescent="0.35">
      <c r="A3081" t="s">
        <v>163</v>
      </c>
      <c r="E3081">
        <v>1.8691818188562742E-3</v>
      </c>
      <c r="F3081">
        <f t="shared" si="102"/>
        <v>-1.5286721027215372E-2</v>
      </c>
      <c r="G3081">
        <f t="shared" si="103"/>
        <v>-2.3021180556910339E-2</v>
      </c>
    </row>
    <row r="3082" spans="1:7" x14ac:dyDescent="0.35">
      <c r="A3082" t="s">
        <v>163</v>
      </c>
      <c r="E3082">
        <v>1.4498691236565605E-2</v>
      </c>
      <c r="F3082">
        <f t="shared" si="102"/>
        <v>-1.5294776107106344E-2</v>
      </c>
      <c r="G3082">
        <f t="shared" si="103"/>
        <v>-2.3021180556910339E-2</v>
      </c>
    </row>
    <row r="3083" spans="1:7" x14ac:dyDescent="0.35">
      <c r="A3083" t="s">
        <v>163</v>
      </c>
      <c r="E3083">
        <v>8.2585638404246225E-5</v>
      </c>
      <c r="F3083">
        <f t="shared" si="102"/>
        <v>-1.5302831186997316E-2</v>
      </c>
      <c r="G3083">
        <f t="shared" si="103"/>
        <v>-2.3021180556910339E-2</v>
      </c>
    </row>
    <row r="3084" spans="1:7" x14ac:dyDescent="0.35">
      <c r="A3084" t="s">
        <v>163</v>
      </c>
      <c r="E3084">
        <v>-8.3400947813487974E-3</v>
      </c>
      <c r="F3084">
        <f t="shared" si="102"/>
        <v>-1.5310886266888288E-2</v>
      </c>
      <c r="G3084">
        <f t="shared" si="103"/>
        <v>-2.3021180556910339E-2</v>
      </c>
    </row>
    <row r="3085" spans="1:7" x14ac:dyDescent="0.35">
      <c r="A3085" t="s">
        <v>163</v>
      </c>
      <c r="E3085">
        <v>9.2952328478188573E-3</v>
      </c>
      <c r="F3085">
        <f t="shared" si="102"/>
        <v>-1.5318941346779262E-2</v>
      </c>
      <c r="G3085">
        <f t="shared" si="103"/>
        <v>-2.3021180556910339E-2</v>
      </c>
    </row>
    <row r="3086" spans="1:7" x14ac:dyDescent="0.35">
      <c r="A3086" t="s">
        <v>163</v>
      </c>
      <c r="E3086">
        <v>1.6516742808516768E-2</v>
      </c>
      <c r="F3086">
        <f t="shared" si="102"/>
        <v>-1.5326996426670235E-2</v>
      </c>
      <c r="G3086">
        <f t="shared" si="103"/>
        <v>-2.3021180556910339E-2</v>
      </c>
    </row>
    <row r="3087" spans="1:7" x14ac:dyDescent="0.35">
      <c r="A3087" t="s">
        <v>163</v>
      </c>
      <c r="E3087">
        <v>6.2583301573292344E-4</v>
      </c>
      <c r="F3087">
        <f t="shared" si="102"/>
        <v>-1.5335051506561207E-2</v>
      </c>
      <c r="G3087">
        <f t="shared" si="103"/>
        <v>-2.3021180556910339E-2</v>
      </c>
    </row>
    <row r="3088" spans="1:7" x14ac:dyDescent="0.35">
      <c r="A3088" t="s">
        <v>163</v>
      </c>
      <c r="E3088">
        <v>1.4835190482910534E-2</v>
      </c>
      <c r="F3088">
        <f t="shared" si="102"/>
        <v>-1.5343106586452179E-2</v>
      </c>
      <c r="G3088">
        <f t="shared" si="103"/>
        <v>-2.3021180556910339E-2</v>
      </c>
    </row>
    <row r="3089" spans="1:7" x14ac:dyDescent="0.35">
      <c r="A3089" t="s">
        <v>163</v>
      </c>
      <c r="E3089">
        <v>1.4573321549757868E-2</v>
      </c>
      <c r="F3089">
        <f t="shared" si="102"/>
        <v>-1.5351161666343151E-2</v>
      </c>
      <c r="G3089">
        <f t="shared" si="103"/>
        <v>-2.3021180556910339E-2</v>
      </c>
    </row>
    <row r="3090" spans="1:7" x14ac:dyDescent="0.35">
      <c r="A3090" t="s">
        <v>163</v>
      </c>
      <c r="E3090">
        <v>5.0273918617835455E-3</v>
      </c>
      <c r="F3090">
        <f t="shared" si="102"/>
        <v>-1.5359216746234125E-2</v>
      </c>
      <c r="G3090">
        <f t="shared" si="103"/>
        <v>-2.3021180556910339E-2</v>
      </c>
    </row>
    <row r="3091" spans="1:7" x14ac:dyDescent="0.35">
      <c r="A3091" t="s">
        <v>163</v>
      </c>
      <c r="E3091">
        <v>-3.1347260730053334E-4</v>
      </c>
      <c r="F3091">
        <f t="shared" si="102"/>
        <v>-1.5367271826125095E-2</v>
      </c>
      <c r="G3091">
        <f t="shared" si="103"/>
        <v>-2.3021180556910339E-2</v>
      </c>
    </row>
    <row r="3092" spans="1:7" x14ac:dyDescent="0.35">
      <c r="A3092" t="s">
        <v>163</v>
      </c>
      <c r="E3092">
        <v>-8.9190403589487662E-3</v>
      </c>
      <c r="F3092">
        <f t="shared" si="102"/>
        <v>-1.5375326906016069E-2</v>
      </c>
      <c r="G3092">
        <f t="shared" si="103"/>
        <v>-2.3021180556910339E-2</v>
      </c>
    </row>
    <row r="3093" spans="1:7" x14ac:dyDescent="0.35">
      <c r="A3093" t="s">
        <v>164</v>
      </c>
      <c r="B3093" s="3" cm="1">
        <f t="array" ref="B3093">_xlfn.STDEV.S(_xlfn._xlws.FILTER($E$2826:$E$3824, $A$2826:$A$3824="2022-06"))</f>
        <v>1.4336938971866159E-2</v>
      </c>
      <c r="C3093" s="3" cm="1">
        <f t="array" ref="C3093">AVERAGE(_xlfn._xlws.FILTER($E$2826:$E$3824, $A$2826:$A$3824="2022-06"))</f>
        <v>-4.4441690606237972E-3</v>
      </c>
      <c r="D3093" s="3" cm="1">
        <f t="array" ref="D3093">_xlfn.PERCENTILE.EXC(_xlfn._xlws.FILTER($E$2490:$E$3818, $A$2490:$A$3818="2022-06"), 0.05)</f>
        <v>-3.6873473268977219E-2</v>
      </c>
      <c r="E3093">
        <v>-1.1853287024598251E-2</v>
      </c>
      <c r="F3093">
        <f t="shared" si="102"/>
        <v>-1.5383381985907042E-2</v>
      </c>
      <c r="G3093">
        <f t="shared" si="103"/>
        <v>-2.3021180556910339E-2</v>
      </c>
    </row>
    <row r="3094" spans="1:7" x14ac:dyDescent="0.35">
      <c r="A3094" t="s">
        <v>164</v>
      </c>
      <c r="E3094">
        <v>1.0134587837402443E-2</v>
      </c>
      <c r="F3094">
        <f t="shared" si="102"/>
        <v>-1.5391437065798014E-2</v>
      </c>
      <c r="G3094">
        <f t="shared" si="103"/>
        <v>-2.3021180556910339E-2</v>
      </c>
    </row>
    <row r="3095" spans="1:7" x14ac:dyDescent="0.35">
      <c r="A3095" t="s">
        <v>164</v>
      </c>
      <c r="E3095">
        <v>5.9961875096017534E-4</v>
      </c>
      <c r="F3095">
        <f t="shared" si="102"/>
        <v>-1.5399492145688986E-2</v>
      </c>
      <c r="G3095">
        <f t="shared" si="103"/>
        <v>-2.3021180556910339E-2</v>
      </c>
    </row>
    <row r="3096" spans="1:7" x14ac:dyDescent="0.35">
      <c r="A3096" t="s">
        <v>164</v>
      </c>
      <c r="E3096">
        <v>1.2440413263952168E-4</v>
      </c>
      <c r="F3096">
        <f t="shared" si="102"/>
        <v>-1.5407547225579958E-2</v>
      </c>
      <c r="G3096">
        <f t="shared" si="103"/>
        <v>-2.3021180556910339E-2</v>
      </c>
    </row>
    <row r="3097" spans="1:7" x14ac:dyDescent="0.35">
      <c r="A3097" t="s">
        <v>164</v>
      </c>
      <c r="E3097">
        <v>-1.4982705829885734E-2</v>
      </c>
      <c r="F3097">
        <f t="shared" si="102"/>
        <v>-1.5415602305470932E-2</v>
      </c>
      <c r="G3097">
        <f t="shared" si="103"/>
        <v>-2.3021180556910339E-2</v>
      </c>
    </row>
    <row r="3098" spans="1:7" x14ac:dyDescent="0.35">
      <c r="A3098" t="s">
        <v>164</v>
      </c>
      <c r="E3098">
        <v>-3.7497522420788805E-2</v>
      </c>
      <c r="F3098">
        <f t="shared" si="102"/>
        <v>-1.5423657385361904E-2</v>
      </c>
      <c r="G3098">
        <f t="shared" si="103"/>
        <v>-2.3021180556910339E-2</v>
      </c>
    </row>
    <row r="3099" spans="1:7" x14ac:dyDescent="0.35">
      <c r="A3099" t="s">
        <v>164</v>
      </c>
      <c r="E3099">
        <v>-2.5016539384557109E-2</v>
      </c>
      <c r="F3099">
        <f t="shared" si="102"/>
        <v>-1.5275297175103123E-2</v>
      </c>
      <c r="G3099">
        <f t="shared" si="103"/>
        <v>-2.2403990099314108E-2</v>
      </c>
    </row>
    <row r="3100" spans="1:7" x14ac:dyDescent="0.35">
      <c r="A3100" t="s">
        <v>164</v>
      </c>
      <c r="E3100">
        <v>-1.4388206147499786E-2</v>
      </c>
      <c r="F3100">
        <f t="shared" si="102"/>
        <v>-1.5211290502898857E-2</v>
      </c>
      <c r="G3100">
        <f t="shared" si="103"/>
        <v>-2.2131622074823599E-2</v>
      </c>
    </row>
    <row r="3101" spans="1:7" x14ac:dyDescent="0.35">
      <c r="A3101" t="s">
        <v>164</v>
      </c>
      <c r="E3101">
        <v>1.3336732765381753E-2</v>
      </c>
      <c r="F3101">
        <f t="shared" si="102"/>
        <v>-1.5214659275120133E-2</v>
      </c>
      <c r="G3101">
        <f t="shared" si="103"/>
        <v>-2.232934583402145E-2</v>
      </c>
    </row>
    <row r="3102" spans="1:7" x14ac:dyDescent="0.35">
      <c r="A3102" t="s">
        <v>164</v>
      </c>
      <c r="E3102">
        <v>-1.188732249584456E-2</v>
      </c>
      <c r="F3102">
        <f t="shared" si="102"/>
        <v>-1.5218028047341412E-2</v>
      </c>
      <c r="G3102">
        <f t="shared" si="103"/>
        <v>-2.232934583402145E-2</v>
      </c>
    </row>
    <row r="3103" spans="1:7" x14ac:dyDescent="0.35">
      <c r="A3103" t="s">
        <v>164</v>
      </c>
      <c r="E3103">
        <v>8.3580368208017071E-3</v>
      </c>
      <c r="F3103">
        <f t="shared" si="102"/>
        <v>-1.5221396819562688E-2</v>
      </c>
      <c r="G3103">
        <f t="shared" si="103"/>
        <v>-2.232934583402145E-2</v>
      </c>
    </row>
    <row r="3104" spans="1:7" x14ac:dyDescent="0.35">
      <c r="A3104" t="s">
        <v>164</v>
      </c>
      <c r="E3104">
        <v>1.7052610468002619E-2</v>
      </c>
      <c r="F3104">
        <f t="shared" si="102"/>
        <v>-1.5224765591783965E-2</v>
      </c>
      <c r="G3104">
        <f t="shared" si="103"/>
        <v>-2.232934583402145E-2</v>
      </c>
    </row>
    <row r="3105" spans="1:7" x14ac:dyDescent="0.35">
      <c r="A3105" t="s">
        <v>164</v>
      </c>
      <c r="E3105">
        <v>-6.1011229347577474E-3</v>
      </c>
      <c r="F3105">
        <f t="shared" si="102"/>
        <v>-1.5228134364005243E-2</v>
      </c>
      <c r="G3105">
        <f t="shared" si="103"/>
        <v>-2.232934583402145E-2</v>
      </c>
    </row>
    <row r="3106" spans="1:7" x14ac:dyDescent="0.35">
      <c r="A3106" t="s">
        <v>164</v>
      </c>
      <c r="E3106">
        <v>-1.1012869988930694E-2</v>
      </c>
      <c r="F3106">
        <f t="shared" si="102"/>
        <v>-1.523150313622652E-2</v>
      </c>
      <c r="G3106">
        <f t="shared" si="103"/>
        <v>-2.232934583402145E-2</v>
      </c>
    </row>
    <row r="3107" spans="1:7" x14ac:dyDescent="0.35">
      <c r="A3107" t="s">
        <v>164</v>
      </c>
      <c r="E3107">
        <v>-4.799477579550882E-3</v>
      </c>
      <c r="F3107">
        <f t="shared" si="102"/>
        <v>-1.5234871908447797E-2</v>
      </c>
      <c r="G3107">
        <f t="shared" si="103"/>
        <v>-2.232934583402145E-2</v>
      </c>
    </row>
    <row r="3108" spans="1:7" x14ac:dyDescent="0.35">
      <c r="A3108" t="s">
        <v>164</v>
      </c>
      <c r="E3108">
        <v>1.684391983663782E-2</v>
      </c>
      <c r="F3108">
        <f t="shared" si="102"/>
        <v>-1.5238240680669073E-2</v>
      </c>
      <c r="G3108">
        <f t="shared" si="103"/>
        <v>-2.232934583402145E-2</v>
      </c>
    </row>
    <row r="3109" spans="1:7" x14ac:dyDescent="0.35">
      <c r="A3109" t="s">
        <v>164</v>
      </c>
      <c r="E3109">
        <v>-1.8196485702281421E-4</v>
      </c>
      <c r="F3109">
        <f t="shared" si="102"/>
        <v>-1.5241609452890352E-2</v>
      </c>
      <c r="G3109">
        <f t="shared" si="103"/>
        <v>-2.232934583402145E-2</v>
      </c>
    </row>
    <row r="3110" spans="1:7" x14ac:dyDescent="0.35">
      <c r="A3110" t="s">
        <v>164</v>
      </c>
      <c r="E3110">
        <v>9.0459007789090561E-3</v>
      </c>
      <c r="F3110">
        <f t="shared" si="102"/>
        <v>-1.5244978225111628E-2</v>
      </c>
      <c r="G3110">
        <f t="shared" si="103"/>
        <v>-2.232934583402145E-2</v>
      </c>
    </row>
    <row r="3111" spans="1:7" x14ac:dyDescent="0.35">
      <c r="A3111" t="s">
        <v>164</v>
      </c>
      <c r="E3111">
        <v>-1.5692061111451636E-2</v>
      </c>
      <c r="F3111">
        <f t="shared" si="102"/>
        <v>-1.5248346997332905E-2</v>
      </c>
      <c r="G3111">
        <f t="shared" si="103"/>
        <v>-2.232934583402145E-2</v>
      </c>
    </row>
    <row r="3112" spans="1:7" x14ac:dyDescent="0.35">
      <c r="A3112" t="s">
        <v>164</v>
      </c>
      <c r="E3112">
        <v>-1.0966112828323013E-2</v>
      </c>
      <c r="F3112">
        <f t="shared" si="102"/>
        <v>-1.517192544251419E-2</v>
      </c>
      <c r="G3112">
        <f t="shared" si="103"/>
        <v>-2.2315609530919944E-2</v>
      </c>
    </row>
    <row r="3113" spans="1:7" x14ac:dyDescent="0.35">
      <c r="A3113" t="s">
        <v>165</v>
      </c>
      <c r="B3113" s="3" cm="1">
        <f t="array" ref="B3113">_xlfn.STDEV.S(_xlfn._xlws.FILTER($E$2826:$E$3824, $A$2826:$A$3824="2022-07"))</f>
        <v>1.1671482808833518E-2</v>
      </c>
      <c r="C3113" s="3" cm="1">
        <f t="array" ref="C3113">AVERAGE(_xlfn._xlws.FILTER($E$2826:$E$3824, $A$2826:$A$3824="2022-07"))</f>
        <v>3.3689615548844709E-4</v>
      </c>
      <c r="D3113" s="3" cm="1">
        <f t="array" ref="D3113">_xlfn.PERCENTILE.EXC(_xlfn._xlws.FILTER($E$2490:$E$3818, $A$2490:$A$3818="2022-07"), 0.05)</f>
        <v>-2.4385536432007252E-2</v>
      </c>
      <c r="E3113">
        <v>9.5117093355966478E-3</v>
      </c>
      <c r="F3113">
        <f t="shared" si="102"/>
        <v>-1.5176846075062273E-2</v>
      </c>
      <c r="G3113">
        <f t="shared" si="103"/>
        <v>-2.2315609530919944E-2</v>
      </c>
    </row>
    <row r="3114" spans="1:7" x14ac:dyDescent="0.35">
      <c r="A3114" t="s">
        <v>165</v>
      </c>
      <c r="E3114">
        <v>-1.7505314210144449E-3</v>
      </c>
      <c r="F3114">
        <f t="shared" si="102"/>
        <v>-1.5181766707610357E-2</v>
      </c>
      <c r="G3114">
        <f t="shared" si="103"/>
        <v>-2.2315609530919944E-2</v>
      </c>
    </row>
    <row r="3115" spans="1:7" x14ac:dyDescent="0.35">
      <c r="A3115" t="s">
        <v>165</v>
      </c>
      <c r="E3115">
        <v>-2.5111112754412971E-2</v>
      </c>
      <c r="F3115">
        <f t="shared" si="102"/>
        <v>-1.518668734015844E-2</v>
      </c>
      <c r="G3115">
        <f t="shared" si="103"/>
        <v>-2.2315609530919944E-2</v>
      </c>
    </row>
    <row r="3116" spans="1:7" x14ac:dyDescent="0.35">
      <c r="A3116" t="s">
        <v>165</v>
      </c>
      <c r="E3116">
        <v>-1.3578076011160091E-3</v>
      </c>
      <c r="F3116">
        <f t="shared" si="102"/>
        <v>-1.5111502651249746E-2</v>
      </c>
      <c r="G3116">
        <f t="shared" si="103"/>
        <v>-2.2029945676563491E-2</v>
      </c>
    </row>
    <row r="3117" spans="1:7" x14ac:dyDescent="0.35">
      <c r="A3117" t="s">
        <v>165</v>
      </c>
      <c r="E3117">
        <v>2.1642176031344888E-2</v>
      </c>
      <c r="F3117">
        <f t="shared" si="102"/>
        <v>-1.5111846451421607E-2</v>
      </c>
      <c r="G3117">
        <f t="shared" si="103"/>
        <v>-2.2029945676563491E-2</v>
      </c>
    </row>
    <row r="3118" spans="1:7" x14ac:dyDescent="0.35">
      <c r="A3118" t="s">
        <v>165</v>
      </c>
      <c r="E3118">
        <v>-2.7368905315423241E-3</v>
      </c>
      <c r="F3118">
        <f t="shared" si="102"/>
        <v>-1.5112190251593468E-2</v>
      </c>
      <c r="G3118">
        <f t="shared" si="103"/>
        <v>-2.2029945676563491E-2</v>
      </c>
    </row>
    <row r="3119" spans="1:7" x14ac:dyDescent="0.35">
      <c r="A3119" t="s">
        <v>165</v>
      </c>
      <c r="E3119">
        <v>-4.3425882477925934E-3</v>
      </c>
      <c r="F3119">
        <f t="shared" si="102"/>
        <v>-1.5112534051765329E-2</v>
      </c>
      <c r="G3119">
        <f t="shared" si="103"/>
        <v>-2.2029945676563491E-2</v>
      </c>
    </row>
    <row r="3120" spans="1:7" x14ac:dyDescent="0.35">
      <c r="A3120" t="s">
        <v>165</v>
      </c>
      <c r="E3120">
        <v>-6.2686772443298041E-3</v>
      </c>
      <c r="F3120">
        <f t="shared" si="102"/>
        <v>-1.5112877851937189E-2</v>
      </c>
      <c r="G3120">
        <f t="shared" si="103"/>
        <v>-2.2029945676563491E-2</v>
      </c>
    </row>
    <row r="3121" spans="1:7" x14ac:dyDescent="0.35">
      <c r="A3121" t="s">
        <v>165</v>
      </c>
      <c r="E3121">
        <v>-8.75961916039566E-3</v>
      </c>
      <c r="F3121">
        <f t="shared" si="102"/>
        <v>-1.5117798484485273E-2</v>
      </c>
      <c r="G3121">
        <f t="shared" si="103"/>
        <v>-2.223338884787603E-2</v>
      </c>
    </row>
    <row r="3122" spans="1:7" x14ac:dyDescent="0.35">
      <c r="A3122" t="s">
        <v>165</v>
      </c>
      <c r="E3122">
        <v>-1.7855349530355776E-2</v>
      </c>
      <c r="F3122">
        <f t="shared" si="102"/>
        <v>-1.5122719117033357E-2</v>
      </c>
      <c r="G3122">
        <f t="shared" si="103"/>
        <v>-2.223338884787603E-2</v>
      </c>
    </row>
    <row r="3123" spans="1:7" x14ac:dyDescent="0.35">
      <c r="A3123" t="s">
        <v>165</v>
      </c>
      <c r="E3123">
        <v>1.7981208518112284E-2</v>
      </c>
      <c r="F3123">
        <f t="shared" si="102"/>
        <v>-1.5107033249015554E-2</v>
      </c>
      <c r="G3123">
        <f t="shared" si="103"/>
        <v>-2.2152727916157834E-2</v>
      </c>
    </row>
    <row r="3124" spans="1:7" x14ac:dyDescent="0.35">
      <c r="A3124" t="s">
        <v>165</v>
      </c>
      <c r="E3124">
        <v>2.1622989127667398E-3</v>
      </c>
      <c r="F3124">
        <f t="shared" si="102"/>
        <v>-1.5107377049187415E-2</v>
      </c>
      <c r="G3124">
        <f t="shared" si="103"/>
        <v>-2.2152727916157834E-2</v>
      </c>
    </row>
    <row r="3125" spans="1:7" x14ac:dyDescent="0.35">
      <c r="A3125" t="s">
        <v>165</v>
      </c>
      <c r="E3125">
        <v>2.0139664554788841E-2</v>
      </c>
      <c r="F3125">
        <f t="shared" si="102"/>
        <v>-1.5107720849359275E-2</v>
      </c>
      <c r="G3125">
        <f t="shared" si="103"/>
        <v>-2.2152727916157834E-2</v>
      </c>
    </row>
    <row r="3126" spans="1:7" x14ac:dyDescent="0.35">
      <c r="A3126" t="s">
        <v>165</v>
      </c>
      <c r="E3126">
        <v>-1.1910503558549871E-2</v>
      </c>
      <c r="F3126">
        <f t="shared" si="102"/>
        <v>-1.5108064649531136E-2</v>
      </c>
      <c r="G3126">
        <f t="shared" si="103"/>
        <v>-2.2152727916157834E-2</v>
      </c>
    </row>
    <row r="3127" spans="1:7" x14ac:dyDescent="0.35">
      <c r="A3127" t="s">
        <v>165</v>
      </c>
      <c r="E3127">
        <v>-2.0197493401122105E-3</v>
      </c>
      <c r="F3127">
        <f t="shared" si="102"/>
        <v>-1.5108408449702997E-2</v>
      </c>
      <c r="G3127">
        <f t="shared" si="103"/>
        <v>-2.2152727916157834E-2</v>
      </c>
    </row>
    <row r="3128" spans="1:7" x14ac:dyDescent="0.35">
      <c r="A3128" t="s">
        <v>165</v>
      </c>
      <c r="E3128">
        <v>4.8430465110318273E-3</v>
      </c>
      <c r="F3128">
        <f t="shared" si="102"/>
        <v>-1.5108752249874858E-2</v>
      </c>
      <c r="G3128">
        <f t="shared" si="103"/>
        <v>-2.2152727916157834E-2</v>
      </c>
    </row>
    <row r="3129" spans="1:7" x14ac:dyDescent="0.35">
      <c r="A3129" t="s">
        <v>165</v>
      </c>
      <c r="E3129">
        <v>4.2138723335761203E-3</v>
      </c>
      <c r="F3129">
        <f t="shared" si="102"/>
        <v>-1.5109096050046719E-2</v>
      </c>
      <c r="G3129">
        <f t="shared" si="103"/>
        <v>-2.2152727916157834E-2</v>
      </c>
    </row>
    <row r="3130" spans="1:7" x14ac:dyDescent="0.35">
      <c r="A3130" t="s">
        <v>165</v>
      </c>
      <c r="E3130">
        <v>-1.9807870198271437E-3</v>
      </c>
      <c r="F3130">
        <f t="shared" si="102"/>
        <v>-1.510943985021858E-2</v>
      </c>
      <c r="G3130">
        <f t="shared" si="103"/>
        <v>-2.2152727916157834E-2</v>
      </c>
    </row>
    <row r="3131" spans="1:7" x14ac:dyDescent="0.35">
      <c r="A3131" t="s">
        <v>165</v>
      </c>
      <c r="E3131">
        <v>6.7679645767048562E-3</v>
      </c>
      <c r="F3131">
        <f t="shared" si="102"/>
        <v>-1.5109783650390441E-2</v>
      </c>
      <c r="G3131">
        <f t="shared" si="103"/>
        <v>-2.2152727916157834E-2</v>
      </c>
    </row>
    <row r="3132" spans="1:7" x14ac:dyDescent="0.35">
      <c r="A3132" t="s">
        <v>165</v>
      </c>
      <c r="E3132">
        <v>-4.8737549664121475E-3</v>
      </c>
      <c r="F3132">
        <f t="shared" si="102"/>
        <v>-1.5110127450562302E-2</v>
      </c>
      <c r="G3132">
        <f t="shared" si="103"/>
        <v>-2.2152727916157834E-2</v>
      </c>
    </row>
    <row r="3133" spans="1:7" x14ac:dyDescent="0.35">
      <c r="A3133" t="s">
        <v>165</v>
      </c>
      <c r="E3133">
        <v>8.7802498671961399E-3</v>
      </c>
      <c r="F3133">
        <f t="shared" si="102"/>
        <v>-1.5110471250734163E-2</v>
      </c>
      <c r="G3133">
        <f t="shared" si="103"/>
        <v>-2.2152727916157834E-2</v>
      </c>
    </row>
    <row r="3134" spans="1:7" x14ac:dyDescent="0.35">
      <c r="A3134" t="s">
        <v>166</v>
      </c>
      <c r="B3134" s="3" cm="1">
        <f t="array" ref="B3134">_xlfn.STDEV.S(_xlfn._xlws.FILTER($E$2826:$E$3824, $A$2826:$A$3824="2022-08"))</f>
        <v>7.9042695515242744E-3</v>
      </c>
      <c r="C3134" s="3" cm="1">
        <f t="array" ref="C3134">AVERAGE(_xlfn._xlws.FILTER($E$2826:$E$3824, $A$2826:$A$3824="2022-08"))</f>
        <v>-1.603650388617461E-3</v>
      </c>
      <c r="D3134" s="3" cm="1">
        <f t="array" ref="D3134">_xlfn.PERCENTILE.EXC(_xlfn._xlws.FILTER($E$2490:$E$3818, $A$2490:$A$3818="2022-08"), 0.05)</f>
        <v>-1.4871324694208115E-2</v>
      </c>
      <c r="E3134">
        <v>-8.755512699600336E-3</v>
      </c>
      <c r="F3134">
        <f t="shared" si="102"/>
        <v>-1.5110815050906024E-2</v>
      </c>
      <c r="G3134">
        <f t="shared" si="103"/>
        <v>-2.2152727916157834E-2</v>
      </c>
    </row>
    <row r="3135" spans="1:7" x14ac:dyDescent="0.35">
      <c r="A3135" t="s">
        <v>166</v>
      </c>
      <c r="E3135">
        <v>1.4584108381549628E-3</v>
      </c>
      <c r="F3135">
        <f t="shared" si="102"/>
        <v>-1.5111158851077885E-2</v>
      </c>
      <c r="G3135">
        <f t="shared" si="103"/>
        <v>-2.2152727916157834E-2</v>
      </c>
    </row>
    <row r="3136" spans="1:7" x14ac:dyDescent="0.35">
      <c r="A3136" t="s">
        <v>166</v>
      </c>
      <c r="E3136">
        <v>5.5668596254280014E-3</v>
      </c>
      <c r="F3136">
        <f t="shared" si="102"/>
        <v>-1.5111502651249746E-2</v>
      </c>
      <c r="G3136">
        <f t="shared" si="103"/>
        <v>-2.2152727916157834E-2</v>
      </c>
    </row>
    <row r="3137" spans="1:7" x14ac:dyDescent="0.35">
      <c r="A3137" t="s">
        <v>166</v>
      </c>
      <c r="E3137">
        <v>2.3308318123922349E-3</v>
      </c>
      <c r="F3137">
        <f t="shared" si="102"/>
        <v>-1.5111846451421607E-2</v>
      </c>
      <c r="G3137">
        <f t="shared" si="103"/>
        <v>-2.2152727916157834E-2</v>
      </c>
    </row>
    <row r="3138" spans="1:7" x14ac:dyDescent="0.35">
      <c r="A3138" t="s">
        <v>166</v>
      </c>
      <c r="E3138">
        <v>8.4511705001237851E-4</v>
      </c>
      <c r="F3138">
        <f t="shared" si="102"/>
        <v>-1.5112190251593468E-2</v>
      </c>
      <c r="G3138">
        <f t="shared" si="103"/>
        <v>-2.2152727916157834E-2</v>
      </c>
    </row>
    <row r="3139" spans="1:7" x14ac:dyDescent="0.35">
      <c r="A3139" t="s">
        <v>166</v>
      </c>
      <c r="E3139">
        <v>1.2712679951265812E-2</v>
      </c>
      <c r="F3139">
        <f t="shared" si="102"/>
        <v>-1.5112534051765329E-2</v>
      </c>
      <c r="G3139">
        <f t="shared" si="103"/>
        <v>-2.2152727916157834E-2</v>
      </c>
    </row>
    <row r="3140" spans="1:7" x14ac:dyDescent="0.35">
      <c r="A3140" t="s">
        <v>166</v>
      </c>
      <c r="E3140">
        <v>4.7514621120802666E-3</v>
      </c>
      <c r="F3140">
        <f t="shared" ref="F3140:F3203" si="104">_xlfn.PERCENTILE.EXC(E3140:E6955,0.05)</f>
        <v>-1.5112877851937189E-2</v>
      </c>
      <c r="G3140">
        <f t="shared" ref="G3140:G3203" si="105">AVERAGEIFS(E3140:E6956,E3140:E6956,"&lt;=" &amp; F3140)</f>
        <v>-2.2152727916157834E-2</v>
      </c>
    </row>
    <row r="3141" spans="1:7" x14ac:dyDescent="0.35">
      <c r="A3141" t="s">
        <v>166</v>
      </c>
      <c r="E3141">
        <v>4.9085890680528616E-3</v>
      </c>
      <c r="F3141">
        <f t="shared" si="104"/>
        <v>-1.5117798484485273E-2</v>
      </c>
      <c r="G3141">
        <f t="shared" si="105"/>
        <v>-2.2366056705982705E-2</v>
      </c>
    </row>
    <row r="3142" spans="1:7" x14ac:dyDescent="0.35">
      <c r="A3142" t="s">
        <v>166</v>
      </c>
      <c r="E3142">
        <v>3.2511025002281242E-3</v>
      </c>
      <c r="F3142">
        <f t="shared" si="104"/>
        <v>-1.5122719117033357E-2</v>
      </c>
      <c r="G3142">
        <f t="shared" si="105"/>
        <v>-2.2366056705982705E-2</v>
      </c>
    </row>
    <row r="3143" spans="1:7" x14ac:dyDescent="0.35">
      <c r="A3143" t="s">
        <v>166</v>
      </c>
      <c r="E3143">
        <v>2.4314092691442991E-3</v>
      </c>
      <c r="F3143">
        <f t="shared" si="104"/>
        <v>-1.5127639749581439E-2</v>
      </c>
      <c r="G3143">
        <f t="shared" si="105"/>
        <v>-2.2366056705982705E-2</v>
      </c>
    </row>
    <row r="3144" spans="1:7" x14ac:dyDescent="0.35">
      <c r="A3144" t="s">
        <v>166</v>
      </c>
      <c r="E3144">
        <v>1.3185860646842061E-2</v>
      </c>
      <c r="F3144">
        <f t="shared" si="104"/>
        <v>-1.5132560382129522E-2</v>
      </c>
      <c r="G3144">
        <f t="shared" si="105"/>
        <v>-2.2366056705982705E-2</v>
      </c>
    </row>
    <row r="3145" spans="1:7" x14ac:dyDescent="0.35">
      <c r="A3145" t="s">
        <v>166</v>
      </c>
      <c r="E3145">
        <v>-9.0991794222552193E-3</v>
      </c>
      <c r="F3145">
        <f t="shared" si="104"/>
        <v>-1.5137481014677606E-2</v>
      </c>
      <c r="G3145">
        <f t="shared" si="105"/>
        <v>-2.2366056705982705E-2</v>
      </c>
    </row>
    <row r="3146" spans="1:7" x14ac:dyDescent="0.35">
      <c r="A3146" t="s">
        <v>166</v>
      </c>
      <c r="E3146">
        <v>-5.3364641855571085E-4</v>
      </c>
      <c r="F3146">
        <f t="shared" si="104"/>
        <v>-1.5142401647225689E-2</v>
      </c>
      <c r="G3146">
        <f t="shared" si="105"/>
        <v>-2.2366056705982705E-2</v>
      </c>
    </row>
    <row r="3147" spans="1:7" x14ac:dyDescent="0.35">
      <c r="A3147" t="s">
        <v>166</v>
      </c>
      <c r="E3147">
        <v>-1.0996985898719733E-2</v>
      </c>
      <c r="F3147">
        <f t="shared" si="104"/>
        <v>-1.5147322279773773E-2</v>
      </c>
      <c r="G3147">
        <f t="shared" si="105"/>
        <v>-2.2366056705982705E-2</v>
      </c>
    </row>
    <row r="3148" spans="1:7" x14ac:dyDescent="0.35">
      <c r="A3148" t="s">
        <v>166</v>
      </c>
      <c r="E3148">
        <v>-6.4128620953661161E-3</v>
      </c>
      <c r="F3148">
        <f t="shared" si="104"/>
        <v>-1.5152242912321857E-2</v>
      </c>
      <c r="G3148">
        <f t="shared" si="105"/>
        <v>-2.2366056705982705E-2</v>
      </c>
    </row>
    <row r="3149" spans="1:7" x14ac:dyDescent="0.35">
      <c r="A3149" t="s">
        <v>166</v>
      </c>
      <c r="E3149">
        <v>-7.0861717017295751E-3</v>
      </c>
      <c r="F3149">
        <f t="shared" si="104"/>
        <v>-1.5157163544869939E-2</v>
      </c>
      <c r="G3149">
        <f t="shared" si="105"/>
        <v>-2.2366056705982705E-2</v>
      </c>
    </row>
    <row r="3150" spans="1:7" x14ac:dyDescent="0.35">
      <c r="A3150" t="s">
        <v>166</v>
      </c>
      <c r="E3150">
        <v>-3.2753580119602665E-3</v>
      </c>
      <c r="F3150">
        <f t="shared" si="104"/>
        <v>-1.5162084177418024E-2</v>
      </c>
      <c r="G3150">
        <f t="shared" si="105"/>
        <v>-2.2366056705982705E-2</v>
      </c>
    </row>
    <row r="3151" spans="1:7" x14ac:dyDescent="0.35">
      <c r="A3151" t="s">
        <v>166</v>
      </c>
      <c r="E3151">
        <v>-1.4523799000211817E-3</v>
      </c>
      <c r="F3151">
        <f t="shared" si="104"/>
        <v>-1.5167004809966106E-2</v>
      </c>
      <c r="G3151">
        <f t="shared" si="105"/>
        <v>-2.2366056705982705E-2</v>
      </c>
    </row>
    <row r="3152" spans="1:7" x14ac:dyDescent="0.35">
      <c r="A3152" t="s">
        <v>166</v>
      </c>
      <c r="E3152">
        <v>-1.5211290502898857E-2</v>
      </c>
      <c r="F3152">
        <f t="shared" si="104"/>
        <v>-1.517192544251419E-2</v>
      </c>
      <c r="G3152">
        <f t="shared" si="105"/>
        <v>-2.2366056705982705E-2</v>
      </c>
    </row>
    <row r="3153" spans="1:7" x14ac:dyDescent="0.35">
      <c r="A3153" t="s">
        <v>166</v>
      </c>
      <c r="E3153">
        <v>-1.0483961967469256E-2</v>
      </c>
      <c r="F3153">
        <f t="shared" si="104"/>
        <v>-1.5110471250734163E-2</v>
      </c>
      <c r="G3153">
        <f t="shared" si="105"/>
        <v>-2.2363074504438411E-2</v>
      </c>
    </row>
    <row r="3154" spans="1:7" x14ac:dyDescent="0.35">
      <c r="A3154" t="s">
        <v>166</v>
      </c>
      <c r="E3154">
        <v>-1.1811632415991442E-2</v>
      </c>
      <c r="F3154">
        <f t="shared" si="104"/>
        <v>-1.5110815050906024E-2</v>
      </c>
      <c r="G3154">
        <f t="shared" si="105"/>
        <v>-2.2363074504438411E-2</v>
      </c>
    </row>
    <row r="3155" spans="1:7" x14ac:dyDescent="0.35">
      <c r="A3155" t="s">
        <v>167</v>
      </c>
      <c r="B3155" s="3" cm="1">
        <f t="array" ref="B3155">_xlfn.STDEV.S(_xlfn._xlws.FILTER($E$2826:$E$3824, $A$2826:$A$3824="2022-09"))</f>
        <v>1.2085861556353982E-2</v>
      </c>
      <c r="C3155" s="3" cm="1">
        <f t="array" ref="C3155">AVERAGE(_xlfn._xlws.FILTER($E$2826:$E$3824, $A$2826:$A$3824="2022-09"))</f>
        <v>-3.2437284207474789E-3</v>
      </c>
      <c r="D3155" s="3" cm="1">
        <f t="array" ref="D3155">_xlfn.PERCENTILE.EXC(_xlfn._xlws.FILTER($E$2490:$E$3818, $A$2490:$A$3818="2022-09"), 0.05)</f>
        <v>-2.4337879579172935E-2</v>
      </c>
      <c r="E3155">
        <v>-1.0209047316587552E-2</v>
      </c>
      <c r="F3155">
        <f t="shared" si="104"/>
        <v>-1.5111158851077885E-2</v>
      </c>
      <c r="G3155">
        <f t="shared" si="105"/>
        <v>-2.2363074504438411E-2</v>
      </c>
    </row>
    <row r="3156" spans="1:7" x14ac:dyDescent="0.35">
      <c r="A3156" t="s">
        <v>167</v>
      </c>
      <c r="E3156">
        <v>1.6037755902985382E-2</v>
      </c>
      <c r="F3156">
        <f t="shared" si="104"/>
        <v>-1.5111502651249746E-2</v>
      </c>
      <c r="G3156">
        <f t="shared" si="105"/>
        <v>-2.2363074504438411E-2</v>
      </c>
    </row>
    <row r="3157" spans="1:7" x14ac:dyDescent="0.35">
      <c r="A3157" t="s">
        <v>167</v>
      </c>
      <c r="E3157">
        <v>-8.8003657564620901E-3</v>
      </c>
      <c r="F3157">
        <f t="shared" si="104"/>
        <v>-1.5111846451421607E-2</v>
      </c>
      <c r="G3157">
        <f t="shared" si="105"/>
        <v>-2.2363074504438411E-2</v>
      </c>
    </row>
    <row r="3158" spans="1:7" x14ac:dyDescent="0.35">
      <c r="A3158" t="s">
        <v>167</v>
      </c>
      <c r="E3158">
        <v>-2.6106516619842407E-3</v>
      </c>
      <c r="F3158">
        <f t="shared" si="104"/>
        <v>-1.5112190251593468E-2</v>
      </c>
      <c r="G3158">
        <f t="shared" si="105"/>
        <v>-2.2363074504438411E-2</v>
      </c>
    </row>
    <row r="3159" spans="1:7" x14ac:dyDescent="0.35">
      <c r="A3159" t="s">
        <v>167</v>
      </c>
      <c r="E3159">
        <v>1.7454346039501177E-3</v>
      </c>
      <c r="F3159">
        <f t="shared" si="104"/>
        <v>-1.5112534051765329E-2</v>
      </c>
      <c r="G3159">
        <f t="shared" si="105"/>
        <v>-2.2363074504438411E-2</v>
      </c>
    </row>
    <row r="3160" spans="1:7" x14ac:dyDescent="0.35">
      <c r="A3160" t="s">
        <v>167</v>
      </c>
      <c r="E3160">
        <v>7.7222419290645236E-3</v>
      </c>
      <c r="F3160">
        <f t="shared" si="104"/>
        <v>-1.5112877851937189E-2</v>
      </c>
      <c r="G3160">
        <f t="shared" si="105"/>
        <v>-2.2363074504438411E-2</v>
      </c>
    </row>
    <row r="3161" spans="1:7" x14ac:dyDescent="0.35">
      <c r="A3161" t="s">
        <v>167</v>
      </c>
      <c r="E3161">
        <v>1.4583421987536172E-2</v>
      </c>
      <c r="F3161">
        <f t="shared" si="104"/>
        <v>-1.512116725670655E-2</v>
      </c>
      <c r="G3161">
        <f t="shared" si="105"/>
        <v>-2.2589643149829076E-2</v>
      </c>
    </row>
    <row r="3162" spans="1:7" x14ac:dyDescent="0.35">
      <c r="A3162" t="s">
        <v>167</v>
      </c>
      <c r="E3162">
        <v>1.9868284846192921E-2</v>
      </c>
      <c r="F3162">
        <f t="shared" si="104"/>
        <v>-1.512945666147591E-2</v>
      </c>
      <c r="G3162">
        <f t="shared" si="105"/>
        <v>-2.2589643149829076E-2</v>
      </c>
    </row>
    <row r="3163" spans="1:7" x14ac:dyDescent="0.35">
      <c r="A3163" t="s">
        <v>167</v>
      </c>
      <c r="E3163">
        <v>-1.6029079280693376E-2</v>
      </c>
      <c r="F3163">
        <f t="shared" si="104"/>
        <v>-1.513774606624527E-2</v>
      </c>
      <c r="G3163">
        <f t="shared" si="105"/>
        <v>-2.2589643149829076E-2</v>
      </c>
    </row>
    <row r="3164" spans="1:7" x14ac:dyDescent="0.35">
      <c r="A3164" t="s">
        <v>167</v>
      </c>
      <c r="E3164">
        <v>-1.0422095784436427E-3</v>
      </c>
      <c r="F3164">
        <f t="shared" si="104"/>
        <v>-1.5107377049187415E-2</v>
      </c>
      <c r="G3164">
        <f t="shared" si="105"/>
        <v>-2.2561011855180446E-2</v>
      </c>
    </row>
    <row r="3165" spans="1:7" x14ac:dyDescent="0.35">
      <c r="A3165" t="s">
        <v>167</v>
      </c>
      <c r="E3165">
        <v>3.7048322852923192E-3</v>
      </c>
      <c r="F3165">
        <f t="shared" si="104"/>
        <v>-1.5107720849359275E-2</v>
      </c>
      <c r="G3165">
        <f t="shared" si="105"/>
        <v>-2.2561011855180446E-2</v>
      </c>
    </row>
    <row r="3166" spans="1:7" x14ac:dyDescent="0.35">
      <c r="A3166" t="s">
        <v>167</v>
      </c>
      <c r="E3166">
        <v>-1.2545123519256155E-2</v>
      </c>
      <c r="F3166">
        <f t="shared" si="104"/>
        <v>-1.5108064649531136E-2</v>
      </c>
      <c r="G3166">
        <f t="shared" si="105"/>
        <v>-2.2561011855180446E-2</v>
      </c>
    </row>
    <row r="3167" spans="1:7" x14ac:dyDescent="0.35">
      <c r="A3167" t="s">
        <v>167</v>
      </c>
      <c r="E3167">
        <v>-1.4075324756428882E-2</v>
      </c>
      <c r="F3167">
        <f t="shared" si="104"/>
        <v>-1.5108408449702997E-2</v>
      </c>
      <c r="G3167">
        <f t="shared" si="105"/>
        <v>-2.2561011855180446E-2</v>
      </c>
    </row>
    <row r="3168" spans="1:7" x14ac:dyDescent="0.35">
      <c r="A3168" t="s">
        <v>167</v>
      </c>
      <c r="E3168">
        <v>-1.1431982889882009E-4</v>
      </c>
      <c r="F3168">
        <f t="shared" si="104"/>
        <v>-1.5108752249874858E-2</v>
      </c>
      <c r="G3168">
        <f t="shared" si="105"/>
        <v>-2.2561011855180446E-2</v>
      </c>
    </row>
    <row r="3169" spans="1:7" x14ac:dyDescent="0.35">
      <c r="A3169" t="s">
        <v>167</v>
      </c>
      <c r="E3169">
        <v>-1.246269381941134E-2</v>
      </c>
      <c r="F3169">
        <f t="shared" si="104"/>
        <v>-1.5109096050046719E-2</v>
      </c>
      <c r="G3169">
        <f t="shared" si="105"/>
        <v>-2.2561011855180446E-2</v>
      </c>
    </row>
    <row r="3170" spans="1:7" x14ac:dyDescent="0.35">
      <c r="A3170" t="s">
        <v>167</v>
      </c>
      <c r="E3170">
        <v>-2.4900037602551696E-2</v>
      </c>
      <c r="F3170">
        <f t="shared" si="104"/>
        <v>-1.510943985021858E-2</v>
      </c>
      <c r="G3170">
        <f t="shared" si="105"/>
        <v>-2.2561011855180446E-2</v>
      </c>
    </row>
    <row r="3171" spans="1:7" x14ac:dyDescent="0.35">
      <c r="A3171" t="s">
        <v>167</v>
      </c>
      <c r="E3171">
        <v>-9.9391223711162192E-3</v>
      </c>
      <c r="F3171">
        <f t="shared" si="104"/>
        <v>-1.4984126886645181E-2</v>
      </c>
      <c r="G3171">
        <f t="shared" si="105"/>
        <v>-2.2254948237866331E-2</v>
      </c>
    </row>
    <row r="3172" spans="1:7" x14ac:dyDescent="0.35">
      <c r="A3172" t="s">
        <v>167</v>
      </c>
      <c r="E3172">
        <v>-8.3990275879788356E-3</v>
      </c>
      <c r="F3172">
        <f t="shared" si="104"/>
        <v>-1.4997668549073492E-2</v>
      </c>
      <c r="G3172">
        <f t="shared" si="105"/>
        <v>-2.2254948237866331E-2</v>
      </c>
    </row>
    <row r="3173" spans="1:7" x14ac:dyDescent="0.35">
      <c r="A3173" t="s">
        <v>167</v>
      </c>
      <c r="E3173">
        <v>-4.7018049079836977E-4</v>
      </c>
      <c r="F3173">
        <f t="shared" si="104"/>
        <v>-1.5011210211501801E-2</v>
      </c>
      <c r="G3173">
        <f t="shared" si="105"/>
        <v>-2.2254948237866331E-2</v>
      </c>
    </row>
    <row r="3174" spans="1:7" x14ac:dyDescent="0.35">
      <c r="A3174" t="s">
        <v>167</v>
      </c>
      <c r="E3174">
        <v>-1.9278457368764077E-2</v>
      </c>
      <c r="F3174">
        <f t="shared" si="104"/>
        <v>-1.502475187393011E-2</v>
      </c>
      <c r="G3174">
        <f t="shared" si="105"/>
        <v>-2.2254948237866331E-2</v>
      </c>
    </row>
    <row r="3175" spans="1:7" x14ac:dyDescent="0.35">
      <c r="A3175" t="s">
        <v>167</v>
      </c>
      <c r="E3175">
        <v>9.0953725486568101E-3</v>
      </c>
      <c r="F3175">
        <f t="shared" si="104"/>
        <v>-1.4820011164392502E-2</v>
      </c>
      <c r="G3175">
        <f t="shared" si="105"/>
        <v>-2.2116095463840385E-2</v>
      </c>
    </row>
    <row r="3176" spans="1:7" x14ac:dyDescent="0.35">
      <c r="A3176" t="s">
        <v>168</v>
      </c>
      <c r="B3176" s="3" cm="1">
        <f t="array" ref="B3176">_xlfn.STDEV.S(_xlfn._xlws.FILTER($E$2826:$E$3824, $A$2826:$A$3824="2022-10"))</f>
        <v>1.2641906903522741E-2</v>
      </c>
      <c r="C3176" s="3" cm="1">
        <f t="array" ref="C3176">AVERAGE(_xlfn._xlws.FILTER($E$2826:$E$3824, $A$2826:$A$3824="2022-10"))</f>
        <v>3.6669421632755947E-3</v>
      </c>
      <c r="D3176" s="3" cm="1">
        <f t="array" ref="D3176">_xlfn.PERCENTILE.EXC(_xlfn._xlws.FILTER($E$2490:$E$3818, $A$2490:$A$3818="2022-10"), 0.05)</f>
        <v>-1.5051673523774864E-2</v>
      </c>
      <c r="E3176">
        <v>1.2840055559652118E-2</v>
      </c>
      <c r="F3176">
        <f t="shared" si="104"/>
        <v>-1.4823042651500758E-2</v>
      </c>
      <c r="G3176">
        <f t="shared" si="105"/>
        <v>-2.2116095463840385E-2</v>
      </c>
    </row>
    <row r="3177" spans="1:7" x14ac:dyDescent="0.35">
      <c r="A3177" t="s">
        <v>168</v>
      </c>
      <c r="E3177">
        <v>3.0955198103478118E-2</v>
      </c>
      <c r="F3177">
        <f t="shared" si="104"/>
        <v>-1.4826074138609011E-2</v>
      </c>
      <c r="G3177">
        <f t="shared" si="105"/>
        <v>-2.2116095463840385E-2</v>
      </c>
    </row>
    <row r="3178" spans="1:7" x14ac:dyDescent="0.35">
      <c r="A3178" t="s">
        <v>168</v>
      </c>
      <c r="E3178">
        <v>-1.52786659473244E-2</v>
      </c>
      <c r="F3178">
        <f t="shared" si="104"/>
        <v>-1.4829105625717265E-2</v>
      </c>
      <c r="G3178">
        <f t="shared" si="105"/>
        <v>-2.2116095463840385E-2</v>
      </c>
    </row>
    <row r="3179" spans="1:7" x14ac:dyDescent="0.35">
      <c r="A3179" t="s">
        <v>168</v>
      </c>
      <c r="E3179">
        <v>-9.1180805334556796E-3</v>
      </c>
      <c r="F3179">
        <f t="shared" si="104"/>
        <v>-1.4769446859198558E-2</v>
      </c>
      <c r="G3179">
        <f t="shared" si="105"/>
        <v>-2.2100341492291769E-2</v>
      </c>
    </row>
    <row r="3180" spans="1:7" x14ac:dyDescent="0.35">
      <c r="A3180" t="s">
        <v>168</v>
      </c>
      <c r="E3180">
        <v>-9.9278310730061114E-3</v>
      </c>
      <c r="F3180">
        <f t="shared" si="104"/>
        <v>-1.477453885776869E-2</v>
      </c>
      <c r="G3180">
        <f t="shared" si="105"/>
        <v>-2.2100341492291769E-2</v>
      </c>
    </row>
    <row r="3181" spans="1:7" x14ac:dyDescent="0.35">
      <c r="A3181" t="s">
        <v>168</v>
      </c>
      <c r="E3181">
        <v>-3.151432872714314E-3</v>
      </c>
      <c r="F3181">
        <f t="shared" si="104"/>
        <v>-1.4777570344876943E-2</v>
      </c>
      <c r="G3181">
        <f t="shared" si="105"/>
        <v>-2.2336657706308643E-2</v>
      </c>
    </row>
    <row r="3182" spans="1:7" x14ac:dyDescent="0.35">
      <c r="A3182" t="s">
        <v>168</v>
      </c>
      <c r="E3182">
        <v>-7.7999501710256441E-3</v>
      </c>
      <c r="F3182">
        <f t="shared" si="104"/>
        <v>-1.4780601831985199E-2</v>
      </c>
      <c r="G3182">
        <f t="shared" si="105"/>
        <v>-2.2336657706308643E-2</v>
      </c>
    </row>
    <row r="3183" spans="1:7" x14ac:dyDescent="0.35">
      <c r="A3183" t="s">
        <v>168</v>
      </c>
      <c r="E3183">
        <v>-1.2971379793959473E-2</v>
      </c>
      <c r="F3183">
        <f t="shared" si="104"/>
        <v>-1.4783633319093452E-2</v>
      </c>
      <c r="G3183">
        <f t="shared" si="105"/>
        <v>-2.2336657706308643E-2</v>
      </c>
    </row>
    <row r="3184" spans="1:7" x14ac:dyDescent="0.35">
      <c r="A3184" t="s">
        <v>168</v>
      </c>
      <c r="E3184">
        <v>1.2005702078433404E-2</v>
      </c>
      <c r="F3184">
        <f t="shared" si="104"/>
        <v>-1.4786664806201706E-2</v>
      </c>
      <c r="G3184">
        <f t="shared" si="105"/>
        <v>-2.2336657706308643E-2</v>
      </c>
    </row>
    <row r="3185" spans="1:7" x14ac:dyDescent="0.35">
      <c r="A3185" t="s">
        <v>168</v>
      </c>
      <c r="E3185">
        <v>4.5753000465486001E-3</v>
      </c>
      <c r="F3185">
        <f t="shared" si="104"/>
        <v>-1.4789696293309961E-2</v>
      </c>
      <c r="G3185">
        <f t="shared" si="105"/>
        <v>-2.2336657706308643E-2</v>
      </c>
    </row>
    <row r="3186" spans="1:7" x14ac:dyDescent="0.35">
      <c r="A3186" t="s">
        <v>168</v>
      </c>
      <c r="E3186">
        <v>2.33751840794145E-2</v>
      </c>
      <c r="F3186">
        <f t="shared" si="104"/>
        <v>-1.4792727780418215E-2</v>
      </c>
      <c r="G3186">
        <f t="shared" si="105"/>
        <v>-2.2336657706308643E-2</v>
      </c>
    </row>
    <row r="3187" spans="1:7" x14ac:dyDescent="0.35">
      <c r="A3187" t="s">
        <v>168</v>
      </c>
      <c r="E3187">
        <v>7.1464664269037465E-3</v>
      </c>
      <c r="F3187">
        <f t="shared" si="104"/>
        <v>-1.4795759267526468E-2</v>
      </c>
      <c r="G3187">
        <f t="shared" si="105"/>
        <v>-2.2336657706308643E-2</v>
      </c>
    </row>
    <row r="3188" spans="1:7" x14ac:dyDescent="0.35">
      <c r="A3188" t="s">
        <v>168</v>
      </c>
      <c r="E3188">
        <v>-3.6459641965126402E-3</v>
      </c>
      <c r="F3188">
        <f t="shared" si="104"/>
        <v>-1.4798790754634724E-2</v>
      </c>
      <c r="G3188">
        <f t="shared" si="105"/>
        <v>-2.2336657706308643E-2</v>
      </c>
    </row>
    <row r="3189" spans="1:7" x14ac:dyDescent="0.35">
      <c r="A3189" t="s">
        <v>168</v>
      </c>
      <c r="E3189">
        <v>7.9853326869428597E-3</v>
      </c>
      <c r="F3189">
        <f t="shared" si="104"/>
        <v>-1.4801822241742977E-2</v>
      </c>
      <c r="G3189">
        <f t="shared" si="105"/>
        <v>-2.2336657706308643E-2</v>
      </c>
    </row>
    <row r="3190" spans="1:7" x14ac:dyDescent="0.35">
      <c r="A3190" t="s">
        <v>168</v>
      </c>
      <c r="E3190">
        <v>-1.3008741711829032E-2</v>
      </c>
      <c r="F3190">
        <f t="shared" si="104"/>
        <v>-1.4804853728851233E-2</v>
      </c>
      <c r="G3190">
        <f t="shared" si="105"/>
        <v>-2.2336657706308643E-2</v>
      </c>
    </row>
    <row r="3191" spans="1:7" x14ac:dyDescent="0.35">
      <c r="A3191" t="s">
        <v>168</v>
      </c>
      <c r="E3191">
        <v>1.7720037286203076E-2</v>
      </c>
      <c r="F3191">
        <f t="shared" si="104"/>
        <v>-1.4807885215959486E-2</v>
      </c>
      <c r="G3191">
        <f t="shared" si="105"/>
        <v>-2.2336657706308643E-2</v>
      </c>
    </row>
    <row r="3192" spans="1:7" x14ac:dyDescent="0.35">
      <c r="A3192" t="s">
        <v>168</v>
      </c>
      <c r="E3192">
        <v>1.4785024484018292E-2</v>
      </c>
      <c r="F3192">
        <f t="shared" si="104"/>
        <v>-1.481091670306774E-2</v>
      </c>
      <c r="G3192">
        <f t="shared" si="105"/>
        <v>-2.2336657706308643E-2</v>
      </c>
    </row>
    <row r="3193" spans="1:7" x14ac:dyDescent="0.35">
      <c r="A3193" t="s">
        <v>168</v>
      </c>
      <c r="E3193">
        <v>9.6646247140244369E-3</v>
      </c>
      <c r="F3193">
        <f t="shared" si="104"/>
        <v>-1.4813948190175993E-2</v>
      </c>
      <c r="G3193">
        <f t="shared" si="105"/>
        <v>-2.2336657706308643E-2</v>
      </c>
    </row>
    <row r="3194" spans="1:7" x14ac:dyDescent="0.35">
      <c r="A3194" t="s">
        <v>168</v>
      </c>
      <c r="E3194">
        <v>6.3957866659488027E-3</v>
      </c>
      <c r="F3194">
        <f t="shared" si="104"/>
        <v>-1.4816979677284249E-2</v>
      </c>
      <c r="G3194">
        <f t="shared" si="105"/>
        <v>-2.2336657706308643E-2</v>
      </c>
    </row>
    <row r="3195" spans="1:7" x14ac:dyDescent="0.35">
      <c r="A3195" t="s">
        <v>168</v>
      </c>
      <c r="E3195">
        <v>-5.8089611170285282E-4</v>
      </c>
      <c r="F3195">
        <f t="shared" si="104"/>
        <v>-1.4820011164392502E-2</v>
      </c>
      <c r="G3195">
        <f t="shared" si="105"/>
        <v>-2.2336657706308643E-2</v>
      </c>
    </row>
    <row r="3196" spans="1:7" x14ac:dyDescent="0.35">
      <c r="A3196" t="s">
        <v>168</v>
      </c>
      <c r="E3196">
        <v>5.0400157087496797E-3</v>
      </c>
      <c r="F3196">
        <f t="shared" si="104"/>
        <v>-1.4823042651500758E-2</v>
      </c>
      <c r="G3196">
        <f t="shared" si="105"/>
        <v>-2.2336657706308643E-2</v>
      </c>
    </row>
    <row r="3197" spans="1:7" x14ac:dyDescent="0.35">
      <c r="A3197" t="s">
        <v>169</v>
      </c>
      <c r="B3197" s="3" cm="1">
        <f t="array" ref="B3197">_xlfn.STDEV.S(_xlfn._xlws.FILTER($E$2826:$E$3824, $A$2826:$A$3824="2022-11"))</f>
        <v>7.809088035523418E-3</v>
      </c>
      <c r="C3197" s="3" cm="1">
        <f t="array" ref="C3197">AVERAGE(_xlfn._xlws.FILTER($E$2826:$E$3824, $A$2826:$A$3824="2022-11"))</f>
        <v>2.2659965594735818E-3</v>
      </c>
      <c r="D3197" s="3" cm="1">
        <f t="array" ref="D3197">_xlfn.PERCENTILE.EXC(_xlfn._xlws.FILTER($E$2490:$E$3818, $A$2490:$A$3818="2022-11"), 0.05)</f>
        <v>-1.2375829177461842E-2</v>
      </c>
      <c r="E3197">
        <v>5.327329198583244E-3</v>
      </c>
      <c r="F3197">
        <f t="shared" si="104"/>
        <v>-1.4826074138609011E-2</v>
      </c>
      <c r="G3197">
        <f t="shared" si="105"/>
        <v>-2.2336657706308643E-2</v>
      </c>
    </row>
    <row r="3198" spans="1:7" x14ac:dyDescent="0.35">
      <c r="A3198" t="s">
        <v>169</v>
      </c>
      <c r="E3198">
        <v>-3.8077152145618346E-3</v>
      </c>
      <c r="F3198">
        <f t="shared" si="104"/>
        <v>-1.4829105625717265E-2</v>
      </c>
      <c r="G3198">
        <f t="shared" si="105"/>
        <v>-2.2336657706308643E-2</v>
      </c>
    </row>
    <row r="3199" spans="1:7" x14ac:dyDescent="0.35">
      <c r="A3199" t="s">
        <v>169</v>
      </c>
      <c r="E3199">
        <v>-1.259053727508189E-2</v>
      </c>
      <c r="F3199">
        <f t="shared" si="104"/>
        <v>-1.483213711282552E-2</v>
      </c>
      <c r="G3199">
        <f t="shared" si="105"/>
        <v>-2.2336657706308643E-2</v>
      </c>
    </row>
    <row r="3200" spans="1:7" x14ac:dyDescent="0.35">
      <c r="A3200" t="s">
        <v>169</v>
      </c>
      <c r="E3200">
        <v>9.3349864558110712E-3</v>
      </c>
      <c r="F3200">
        <f t="shared" si="104"/>
        <v>-1.4835168599933774E-2</v>
      </c>
      <c r="G3200">
        <f t="shared" si="105"/>
        <v>-2.2336657706308643E-2</v>
      </c>
    </row>
    <row r="3201" spans="1:7" x14ac:dyDescent="0.35">
      <c r="A3201" t="s">
        <v>169</v>
      </c>
      <c r="E3201">
        <v>2.4646350105703547E-3</v>
      </c>
      <c r="F3201">
        <f t="shared" si="104"/>
        <v>-1.4848710262362083E-2</v>
      </c>
      <c r="G3201">
        <f t="shared" si="105"/>
        <v>-2.2586707343187802E-2</v>
      </c>
    </row>
    <row r="3202" spans="1:7" x14ac:dyDescent="0.35">
      <c r="A3202" t="s">
        <v>169</v>
      </c>
      <c r="E3202">
        <v>4.5861293824216868E-3</v>
      </c>
      <c r="F3202">
        <f t="shared" si="104"/>
        <v>-1.4862251924790394E-2</v>
      </c>
      <c r="G3202">
        <f t="shared" si="105"/>
        <v>-2.2586707343187802E-2</v>
      </c>
    </row>
    <row r="3203" spans="1:7" x14ac:dyDescent="0.35">
      <c r="A3203" t="s">
        <v>169</v>
      </c>
      <c r="E3203">
        <v>5.1748009712597751E-3</v>
      </c>
      <c r="F3203">
        <f t="shared" si="104"/>
        <v>-1.4875793587218702E-2</v>
      </c>
      <c r="G3203">
        <f t="shared" si="105"/>
        <v>-2.2586707343187802E-2</v>
      </c>
    </row>
    <row r="3204" spans="1:7" x14ac:dyDescent="0.35">
      <c r="A3204" t="s">
        <v>169</v>
      </c>
      <c r="E3204">
        <v>1.1475616856945566E-2</v>
      </c>
      <c r="F3204">
        <f t="shared" ref="F3204:F3267" si="106">_xlfn.PERCENTILE.EXC(E3204:E7019,0.05)</f>
        <v>-1.4889335249647013E-2</v>
      </c>
      <c r="G3204">
        <f t="shared" ref="G3204:G3267" si="107">AVERAGEIFS(E3204:E7020,E3204:E7020,"&lt;=" &amp; F3204)</f>
        <v>-2.2586707343187802E-2</v>
      </c>
    </row>
    <row r="3205" spans="1:7" x14ac:dyDescent="0.35">
      <c r="A3205" t="s">
        <v>169</v>
      </c>
      <c r="E3205">
        <v>-4.3249837922440569E-3</v>
      </c>
      <c r="F3205">
        <f t="shared" si="106"/>
        <v>-1.4902876912075324E-2</v>
      </c>
      <c r="G3205">
        <f t="shared" si="107"/>
        <v>-2.2586707343187802E-2</v>
      </c>
    </row>
    <row r="3206" spans="1:7" x14ac:dyDescent="0.35">
      <c r="A3206" t="s">
        <v>169</v>
      </c>
      <c r="E3206">
        <v>8.410954249251406E-3</v>
      </c>
      <c r="F3206">
        <f t="shared" si="106"/>
        <v>-1.4916418574503633E-2</v>
      </c>
      <c r="G3206">
        <f t="shared" si="107"/>
        <v>-2.2586707343187802E-2</v>
      </c>
    </row>
    <row r="3207" spans="1:7" x14ac:dyDescent="0.35">
      <c r="A3207" t="s">
        <v>169</v>
      </c>
      <c r="E3207">
        <v>2.6780980732722345E-3</v>
      </c>
      <c r="F3207">
        <f t="shared" si="106"/>
        <v>-1.4929960236931942E-2</v>
      </c>
      <c r="G3207">
        <f t="shared" si="107"/>
        <v>-2.2586707343187802E-2</v>
      </c>
    </row>
    <row r="3208" spans="1:7" x14ac:dyDescent="0.35">
      <c r="A3208" t="s">
        <v>169</v>
      </c>
      <c r="E3208">
        <v>-1.0681632334789828E-2</v>
      </c>
      <c r="F3208">
        <f t="shared" si="106"/>
        <v>-1.4943501899360253E-2</v>
      </c>
      <c r="G3208">
        <f t="shared" si="107"/>
        <v>-2.2586707343187802E-2</v>
      </c>
    </row>
    <row r="3209" spans="1:7" x14ac:dyDescent="0.35">
      <c r="A3209" t="s">
        <v>169</v>
      </c>
      <c r="E3209">
        <v>-7.5207421719564078E-3</v>
      </c>
      <c r="F3209">
        <f t="shared" si="106"/>
        <v>-1.4957043561788562E-2</v>
      </c>
      <c r="G3209">
        <f t="shared" si="107"/>
        <v>-2.2586707343187802E-2</v>
      </c>
    </row>
    <row r="3210" spans="1:7" x14ac:dyDescent="0.35">
      <c r="A3210" t="s">
        <v>169</v>
      </c>
      <c r="E3210">
        <v>1.0774140156590738E-2</v>
      </c>
      <c r="F3210">
        <f t="shared" si="106"/>
        <v>-1.4970585224216872E-2</v>
      </c>
      <c r="G3210">
        <f t="shared" si="107"/>
        <v>-2.2586707343187802E-2</v>
      </c>
    </row>
    <row r="3211" spans="1:7" x14ac:dyDescent="0.35">
      <c r="A3211" t="s">
        <v>169</v>
      </c>
      <c r="E3211">
        <v>7.4282343501554902E-3</v>
      </c>
      <c r="F3211">
        <f t="shared" si="106"/>
        <v>-1.4984126886645181E-2</v>
      </c>
      <c r="G3211">
        <f t="shared" si="107"/>
        <v>-2.2586707343187802E-2</v>
      </c>
    </row>
    <row r="3212" spans="1:7" x14ac:dyDescent="0.35">
      <c r="A3212" t="s">
        <v>169</v>
      </c>
      <c r="E3212">
        <v>1.6544517282178348E-2</v>
      </c>
      <c r="F3212">
        <f t="shared" si="106"/>
        <v>-1.4997668549073492E-2</v>
      </c>
      <c r="G3212">
        <f t="shared" si="107"/>
        <v>-2.2586707343187802E-2</v>
      </c>
    </row>
    <row r="3213" spans="1:7" x14ac:dyDescent="0.35">
      <c r="A3213" t="s">
        <v>169</v>
      </c>
      <c r="E3213">
        <v>7.4446755999015013E-4</v>
      </c>
      <c r="F3213">
        <f t="shared" si="106"/>
        <v>-1.5011210211501801E-2</v>
      </c>
      <c r="G3213">
        <f t="shared" si="107"/>
        <v>-2.2586707343187802E-2</v>
      </c>
    </row>
    <row r="3214" spans="1:7" x14ac:dyDescent="0.35">
      <c r="A3214" t="s">
        <v>169</v>
      </c>
      <c r="E3214">
        <v>6.8065313351495689E-3</v>
      </c>
      <c r="F3214">
        <f t="shared" si="106"/>
        <v>-1.5024751873930112E-2</v>
      </c>
      <c r="G3214">
        <f t="shared" si="107"/>
        <v>-2.2586707343187802E-2</v>
      </c>
    </row>
    <row r="3215" spans="1:7" x14ac:dyDescent="0.35">
      <c r="A3215" t="s">
        <v>169</v>
      </c>
      <c r="E3215">
        <v>3.3919114681630596E-3</v>
      </c>
      <c r="F3215">
        <f t="shared" si="106"/>
        <v>-1.5038293536358421E-2</v>
      </c>
      <c r="G3215">
        <f t="shared" si="107"/>
        <v>-2.2586707343187802E-2</v>
      </c>
    </row>
    <row r="3216" spans="1:7" x14ac:dyDescent="0.35">
      <c r="A3216" t="s">
        <v>169</v>
      </c>
      <c r="E3216">
        <v>-1.1159149957614908E-2</v>
      </c>
      <c r="F3216">
        <f t="shared" si="106"/>
        <v>-1.5051835198786731E-2</v>
      </c>
      <c r="G3216">
        <f t="shared" si="107"/>
        <v>-2.2586707343187802E-2</v>
      </c>
    </row>
    <row r="3217" spans="1:7" x14ac:dyDescent="0.35">
      <c r="A3217" t="s">
        <v>169</v>
      </c>
      <c r="E3217">
        <v>-1.3216944141611006E-4</v>
      </c>
      <c r="F3217">
        <f t="shared" si="106"/>
        <v>-1.506537686121504E-2</v>
      </c>
      <c r="G3217">
        <f t="shared" si="107"/>
        <v>-2.2586707343187802E-2</v>
      </c>
    </row>
    <row r="3218" spans="1:7" x14ac:dyDescent="0.35">
      <c r="A3218" t="s">
        <v>169</v>
      </c>
      <c r="E3218">
        <v>4.926502145741138E-3</v>
      </c>
      <c r="F3218">
        <f t="shared" si="106"/>
        <v>-1.5078918523643351E-2</v>
      </c>
      <c r="G3218">
        <f t="shared" si="107"/>
        <v>-2.2586707343187802E-2</v>
      </c>
    </row>
    <row r="3219" spans="1:7" x14ac:dyDescent="0.35">
      <c r="A3219" t="s">
        <v>170</v>
      </c>
      <c r="B3219" s="3" cm="1">
        <f t="array" ref="B3219">_xlfn.STDEV.S(_xlfn._xlws.FILTER($E$2826:$E$3824, $A$2826:$A$3824="2022-12"))</f>
        <v>7.8944191325119213E-3</v>
      </c>
      <c r="C3219" s="3" cm="1">
        <f t="array" ref="C3219">AVERAGE(_xlfn._xlws.FILTER($E$2826:$E$3824, $A$2826:$A$3824="2022-12"))</f>
        <v>-8.0822381409638325E-4</v>
      </c>
      <c r="D3219" s="3" cm="1">
        <f t="array" ref="D3219">_xlfn.PERCENTILE.EXC(_xlfn._xlws.FILTER($E$2490:$E$3818, $A$2490:$A$3818="2022-12"), 0.05)</f>
        <v>-1.6901589303101861E-2</v>
      </c>
      <c r="E3219">
        <v>5.3306110925780198E-3</v>
      </c>
      <c r="F3219">
        <f t="shared" si="106"/>
        <v>-1.509246018607166E-2</v>
      </c>
      <c r="G3219">
        <f t="shared" si="107"/>
        <v>-2.2586707343187802E-2</v>
      </c>
    </row>
    <row r="3220" spans="1:7" x14ac:dyDescent="0.35">
      <c r="A3220" t="s">
        <v>170</v>
      </c>
      <c r="E3220">
        <v>-3.0136111667393409E-3</v>
      </c>
      <c r="F3220">
        <f t="shared" si="106"/>
        <v>-1.5106001848499971E-2</v>
      </c>
      <c r="G3220">
        <f t="shared" si="107"/>
        <v>-2.2586707343187802E-2</v>
      </c>
    </row>
    <row r="3221" spans="1:7" x14ac:dyDescent="0.35">
      <c r="A3221" t="s">
        <v>170</v>
      </c>
      <c r="E3221">
        <v>-1.492297041042899E-3</v>
      </c>
      <c r="F3221">
        <f t="shared" si="106"/>
        <v>-1.5106345648671832E-2</v>
      </c>
      <c r="G3221">
        <f t="shared" si="107"/>
        <v>-2.2844662705073595E-2</v>
      </c>
    </row>
    <row r="3222" spans="1:7" x14ac:dyDescent="0.35">
      <c r="A3222" t="s">
        <v>170</v>
      </c>
      <c r="E3222">
        <v>-4.574310454921621E-3</v>
      </c>
      <c r="F3222">
        <f t="shared" si="106"/>
        <v>-1.5106689448843693E-2</v>
      </c>
      <c r="G3222">
        <f t="shared" si="107"/>
        <v>-2.2844662705073595E-2</v>
      </c>
    </row>
    <row r="3223" spans="1:7" x14ac:dyDescent="0.35">
      <c r="A3223" t="s">
        <v>170</v>
      </c>
      <c r="E3223">
        <v>-4.9812404471043775E-3</v>
      </c>
      <c r="F3223">
        <f t="shared" si="106"/>
        <v>-1.5107033249015554E-2</v>
      </c>
      <c r="G3223">
        <f t="shared" si="107"/>
        <v>-2.2844662705073595E-2</v>
      </c>
    </row>
    <row r="3224" spans="1:7" x14ac:dyDescent="0.35">
      <c r="A3224" t="s">
        <v>170</v>
      </c>
      <c r="E3224">
        <v>-7.9076684940638797E-3</v>
      </c>
      <c r="F3224">
        <f t="shared" si="106"/>
        <v>-1.5107377049187415E-2</v>
      </c>
      <c r="G3224">
        <f t="shared" si="107"/>
        <v>-2.2844662705073595E-2</v>
      </c>
    </row>
    <row r="3225" spans="1:7" x14ac:dyDescent="0.35">
      <c r="A3225" t="s">
        <v>170</v>
      </c>
      <c r="E3225">
        <v>7.7508502159692643E-3</v>
      </c>
      <c r="F3225">
        <f t="shared" si="106"/>
        <v>-1.5107720849359275E-2</v>
      </c>
      <c r="G3225">
        <f t="shared" si="107"/>
        <v>-2.2844662705073595E-2</v>
      </c>
    </row>
    <row r="3226" spans="1:7" x14ac:dyDescent="0.35">
      <c r="A3226" t="s">
        <v>170</v>
      </c>
      <c r="E3226">
        <v>-3.6620559293083165E-3</v>
      </c>
      <c r="F3226">
        <f t="shared" si="106"/>
        <v>-1.5108064649531136E-2</v>
      </c>
      <c r="G3226">
        <f t="shared" si="107"/>
        <v>-2.2844662705073595E-2</v>
      </c>
    </row>
    <row r="3227" spans="1:7" x14ac:dyDescent="0.35">
      <c r="A3227" t="s">
        <v>170</v>
      </c>
      <c r="E3227">
        <v>8.2959008571797353E-3</v>
      </c>
      <c r="F3227">
        <f t="shared" si="106"/>
        <v>-1.5108408449702997E-2</v>
      </c>
      <c r="G3227">
        <f t="shared" si="107"/>
        <v>-2.2844662705073595E-2</v>
      </c>
    </row>
    <row r="3228" spans="1:7" x14ac:dyDescent="0.35">
      <c r="A3228" t="s">
        <v>170</v>
      </c>
      <c r="E3228">
        <v>3.9428872471042814E-3</v>
      </c>
      <c r="F3228">
        <f t="shared" si="106"/>
        <v>-1.5108752249874858E-2</v>
      </c>
      <c r="G3228">
        <f t="shared" si="107"/>
        <v>-2.2844662705073595E-2</v>
      </c>
    </row>
    <row r="3229" spans="1:7" x14ac:dyDescent="0.35">
      <c r="A3229" t="s">
        <v>170</v>
      </c>
      <c r="E3229">
        <v>-1.7105981846448574E-2</v>
      </c>
      <c r="F3229">
        <f t="shared" si="106"/>
        <v>-1.5109096050046719E-2</v>
      </c>
      <c r="G3229">
        <f t="shared" si="107"/>
        <v>-2.2844662705073595E-2</v>
      </c>
    </row>
    <row r="3230" spans="1:7" x14ac:dyDescent="0.35">
      <c r="A3230" t="s">
        <v>170</v>
      </c>
      <c r="E3230">
        <v>-1.3018130979514294E-2</v>
      </c>
      <c r="F3230">
        <f t="shared" si="106"/>
        <v>-1.4970585224216872E-2</v>
      </c>
      <c r="G3230">
        <f t="shared" si="107"/>
        <v>-2.2775697877558124E-2</v>
      </c>
    </row>
    <row r="3231" spans="1:7" x14ac:dyDescent="0.35">
      <c r="A3231" t="s">
        <v>170</v>
      </c>
      <c r="E3231">
        <v>2.9909002990409755E-3</v>
      </c>
      <c r="F3231">
        <f t="shared" si="106"/>
        <v>-1.4984126886645181E-2</v>
      </c>
      <c r="G3231">
        <f t="shared" si="107"/>
        <v>-2.2775697877558124E-2</v>
      </c>
    </row>
    <row r="3232" spans="1:7" x14ac:dyDescent="0.35">
      <c r="A3232" t="s">
        <v>170</v>
      </c>
      <c r="E3232">
        <v>5.9306631372874124E-3</v>
      </c>
      <c r="F3232">
        <f t="shared" si="106"/>
        <v>-1.4997668549073492E-2</v>
      </c>
      <c r="G3232">
        <f t="shared" si="107"/>
        <v>-2.2775697877558124E-2</v>
      </c>
    </row>
    <row r="3233" spans="1:7" x14ac:dyDescent="0.35">
      <c r="A3233" t="s">
        <v>170</v>
      </c>
      <c r="E3233">
        <v>1.4204939382299641E-2</v>
      </c>
      <c r="F3233">
        <f t="shared" si="106"/>
        <v>-1.5011210211501801E-2</v>
      </c>
      <c r="G3233">
        <f t="shared" si="107"/>
        <v>-2.2775697877558124E-2</v>
      </c>
    </row>
    <row r="3234" spans="1:7" x14ac:dyDescent="0.35">
      <c r="A3234" t="s">
        <v>170</v>
      </c>
      <c r="E3234">
        <v>-3.644178180979334E-3</v>
      </c>
      <c r="F3234">
        <f t="shared" si="106"/>
        <v>-1.5024751873930112E-2</v>
      </c>
      <c r="G3234">
        <f t="shared" si="107"/>
        <v>-2.2775697877558124E-2</v>
      </c>
    </row>
    <row r="3235" spans="1:7" x14ac:dyDescent="0.35">
      <c r="A3235" t="s">
        <v>170</v>
      </c>
      <c r="E3235">
        <v>-3.6273064020667632E-4</v>
      </c>
      <c r="F3235">
        <f t="shared" si="106"/>
        <v>-1.5038293536358421E-2</v>
      </c>
      <c r="G3235">
        <f t="shared" si="107"/>
        <v>-2.2775697877558124E-2</v>
      </c>
    </row>
    <row r="3236" spans="1:7" x14ac:dyDescent="0.35">
      <c r="A3236" t="s">
        <v>170</v>
      </c>
      <c r="E3236">
        <v>-1.2827030486425588E-3</v>
      </c>
      <c r="F3236">
        <f t="shared" si="106"/>
        <v>-1.5051835198786731E-2</v>
      </c>
      <c r="G3236">
        <f t="shared" si="107"/>
        <v>-2.2775697877558124E-2</v>
      </c>
    </row>
    <row r="3237" spans="1:7" x14ac:dyDescent="0.35">
      <c r="A3237" t="s">
        <v>170</v>
      </c>
      <c r="E3237">
        <v>7.2149340534425942E-3</v>
      </c>
      <c r="F3237">
        <f t="shared" si="106"/>
        <v>-1.506537686121504E-2</v>
      </c>
      <c r="G3237">
        <f t="shared" si="107"/>
        <v>-2.2775697877558124E-2</v>
      </c>
    </row>
    <row r="3238" spans="1:7" x14ac:dyDescent="0.35">
      <c r="A3238" t="s">
        <v>170</v>
      </c>
      <c r="E3238">
        <v>-1.0781254337857723E-2</v>
      </c>
      <c r="F3238">
        <f t="shared" si="106"/>
        <v>-1.5078918523643351E-2</v>
      </c>
      <c r="G3238">
        <f t="shared" si="107"/>
        <v>-2.2775697877558124E-2</v>
      </c>
    </row>
    <row r="3239" spans="1:7" x14ac:dyDescent="0.35">
      <c r="A3239" t="s">
        <v>171</v>
      </c>
      <c r="B3239" s="3" cm="1">
        <f t="array" ref="B3239">_xlfn.STDEV.S(_xlfn._xlws.FILTER($E$2826:$E$3824, $A$2826:$A$3824="2023-01"))</f>
        <v>7.9701144895985704E-3</v>
      </c>
      <c r="C3239" s="3" cm="1">
        <f t="array" ref="C3239">AVERAGE(_xlfn._xlws.FILTER($E$2826:$E$3824, $A$2826:$A$3824="2023-01"))</f>
        <v>4.4437421208485661E-3</v>
      </c>
      <c r="D3239" s="3" cm="1">
        <f t="array" ref="D3239">_xlfn.PERCENTILE.EXC(_xlfn._xlws.FILTER($E$2490:$E$3818, $A$2490:$A$3818="2023-01"), 0.05)</f>
        <v>-1.4405906977260104E-2</v>
      </c>
      <c r="E3239">
        <v>2.0245481432770041E-2</v>
      </c>
      <c r="F3239">
        <f t="shared" si="106"/>
        <v>-1.509246018607166E-2</v>
      </c>
      <c r="G3239">
        <f t="shared" si="107"/>
        <v>-2.2775697877558124E-2</v>
      </c>
    </row>
    <row r="3240" spans="1:7" x14ac:dyDescent="0.35">
      <c r="A3240" t="s">
        <v>171</v>
      </c>
      <c r="E3240">
        <v>1.9154691267352596E-2</v>
      </c>
      <c r="F3240">
        <f t="shared" si="106"/>
        <v>-1.5106001848499971E-2</v>
      </c>
      <c r="G3240">
        <f t="shared" si="107"/>
        <v>-2.2775697877558124E-2</v>
      </c>
    </row>
    <row r="3241" spans="1:7" x14ac:dyDescent="0.35">
      <c r="A3241" t="s">
        <v>171</v>
      </c>
      <c r="E3241">
        <v>5.5687085435364879E-3</v>
      </c>
      <c r="F3241">
        <f t="shared" si="106"/>
        <v>-1.5106345648671832E-2</v>
      </c>
      <c r="G3241">
        <f t="shared" si="107"/>
        <v>-2.3049615592881628E-2</v>
      </c>
    </row>
    <row r="3242" spans="1:7" x14ac:dyDescent="0.35">
      <c r="A3242" t="s">
        <v>171</v>
      </c>
      <c r="E3242">
        <v>1.0803920511439068E-2</v>
      </c>
      <c r="F3242">
        <f t="shared" si="106"/>
        <v>-1.5106689448843693E-2</v>
      </c>
      <c r="G3242">
        <f t="shared" si="107"/>
        <v>-2.3049615592881628E-2</v>
      </c>
    </row>
    <row r="3243" spans="1:7" x14ac:dyDescent="0.35">
      <c r="A3243" t="s">
        <v>171</v>
      </c>
      <c r="E3243">
        <v>-7.1280757214489036E-4</v>
      </c>
      <c r="F3243">
        <f t="shared" si="106"/>
        <v>-1.5107033249015554E-2</v>
      </c>
      <c r="G3243">
        <f t="shared" si="107"/>
        <v>-2.3049615592881628E-2</v>
      </c>
    </row>
    <row r="3244" spans="1:7" x14ac:dyDescent="0.35">
      <c r="A3244" t="s">
        <v>171</v>
      </c>
      <c r="E3244">
        <v>2.0450844692951257E-3</v>
      </c>
      <c r="F3244">
        <f t="shared" si="106"/>
        <v>-1.5107377049187415E-2</v>
      </c>
      <c r="G3244">
        <f t="shared" si="107"/>
        <v>-2.3049615592881628E-2</v>
      </c>
    </row>
    <row r="3245" spans="1:7" x14ac:dyDescent="0.35">
      <c r="A3245" t="s">
        <v>171</v>
      </c>
      <c r="E3245">
        <v>1.5597227773494996E-3</v>
      </c>
      <c r="F3245">
        <f t="shared" si="106"/>
        <v>-1.5107720849359275E-2</v>
      </c>
      <c r="G3245">
        <f t="shared" si="107"/>
        <v>-2.3049615592881628E-2</v>
      </c>
    </row>
    <row r="3246" spans="1:7" x14ac:dyDescent="0.35">
      <c r="A3246" t="s">
        <v>171</v>
      </c>
      <c r="E3246">
        <v>1.159836180016174E-2</v>
      </c>
      <c r="F3246">
        <f t="shared" si="106"/>
        <v>-1.5108064649531136E-2</v>
      </c>
      <c r="G3246">
        <f t="shared" si="107"/>
        <v>-2.3049615592881628E-2</v>
      </c>
    </row>
    <row r="3247" spans="1:7" x14ac:dyDescent="0.35">
      <c r="A3247" t="s">
        <v>171</v>
      </c>
      <c r="E3247">
        <v>6.0531641985935832E-3</v>
      </c>
      <c r="F3247">
        <f t="shared" si="106"/>
        <v>-1.5108408449702997E-2</v>
      </c>
      <c r="G3247">
        <f t="shared" si="107"/>
        <v>-2.3049615592881628E-2</v>
      </c>
    </row>
    <row r="3248" spans="1:7" x14ac:dyDescent="0.35">
      <c r="A3248" t="s">
        <v>171</v>
      </c>
      <c r="E3248">
        <v>-1.1941779617510833E-3</v>
      </c>
      <c r="F3248">
        <f t="shared" si="106"/>
        <v>-1.5108752249874858E-2</v>
      </c>
      <c r="G3248">
        <f t="shared" si="107"/>
        <v>-2.3049615592881628E-2</v>
      </c>
    </row>
    <row r="3249" spans="1:7" x14ac:dyDescent="0.35">
      <c r="A3249" t="s">
        <v>171</v>
      </c>
      <c r="E3249">
        <v>2.1732407281048051E-3</v>
      </c>
      <c r="F3249">
        <f t="shared" si="106"/>
        <v>-1.5109096050046719E-2</v>
      </c>
      <c r="G3249">
        <f t="shared" si="107"/>
        <v>-2.3049615592881628E-2</v>
      </c>
    </row>
    <row r="3250" spans="1:7" x14ac:dyDescent="0.35">
      <c r="A3250" t="s">
        <v>171</v>
      </c>
      <c r="E3250">
        <v>4.8138246091566214E-3</v>
      </c>
      <c r="F3250">
        <f t="shared" si="106"/>
        <v>-1.510943985021858E-2</v>
      </c>
      <c r="G3250">
        <f t="shared" si="107"/>
        <v>-2.3049615592881628E-2</v>
      </c>
    </row>
    <row r="3251" spans="1:7" x14ac:dyDescent="0.35">
      <c r="A3251" t="s">
        <v>171</v>
      </c>
      <c r="E3251">
        <v>-1.5818544483443681E-2</v>
      </c>
      <c r="F3251">
        <f t="shared" si="106"/>
        <v>-1.5109783650390441E-2</v>
      </c>
      <c r="G3251">
        <f t="shared" si="107"/>
        <v>-2.3049615592881628E-2</v>
      </c>
    </row>
    <row r="3252" spans="1:7" x14ac:dyDescent="0.35">
      <c r="A3252" t="s">
        <v>171</v>
      </c>
      <c r="E3252">
        <v>1.412680949183993E-2</v>
      </c>
      <c r="F3252">
        <f t="shared" si="106"/>
        <v>-1.4997668549073492E-2</v>
      </c>
      <c r="G3252">
        <f t="shared" si="107"/>
        <v>-2.302416764163364E-2</v>
      </c>
    </row>
    <row r="3253" spans="1:7" x14ac:dyDescent="0.35">
      <c r="A3253" t="s">
        <v>171</v>
      </c>
      <c r="E3253">
        <v>2.8999645231730441E-3</v>
      </c>
      <c r="F3253">
        <f t="shared" si="106"/>
        <v>-1.5011210211501801E-2</v>
      </c>
      <c r="G3253">
        <f t="shared" si="107"/>
        <v>-2.302416764163364E-2</v>
      </c>
    </row>
    <row r="3254" spans="1:7" x14ac:dyDescent="0.35">
      <c r="A3254" t="s">
        <v>171</v>
      </c>
      <c r="E3254">
        <v>2.5682268794864362E-3</v>
      </c>
      <c r="F3254">
        <f t="shared" si="106"/>
        <v>-1.5024751873930112E-2</v>
      </c>
      <c r="G3254">
        <f t="shared" si="107"/>
        <v>-2.302416764163364E-2</v>
      </c>
    </row>
    <row r="3255" spans="1:7" x14ac:dyDescent="0.35">
      <c r="A3255" t="s">
        <v>171</v>
      </c>
      <c r="E3255">
        <v>-1.0711537125398908E-3</v>
      </c>
      <c r="F3255">
        <f t="shared" si="106"/>
        <v>-1.5038293536358421E-2</v>
      </c>
      <c r="G3255">
        <f t="shared" si="107"/>
        <v>-2.302416764163364E-2</v>
      </c>
    </row>
    <row r="3256" spans="1:7" x14ac:dyDescent="0.35">
      <c r="A3256" t="s">
        <v>171</v>
      </c>
      <c r="E3256">
        <v>8.6811600540111535E-3</v>
      </c>
      <c r="F3256">
        <f t="shared" si="106"/>
        <v>-1.5051835198786731E-2</v>
      </c>
      <c r="G3256">
        <f t="shared" si="107"/>
        <v>-2.302416764163364E-2</v>
      </c>
    </row>
    <row r="3257" spans="1:7" x14ac:dyDescent="0.35">
      <c r="A3257" t="s">
        <v>171</v>
      </c>
      <c r="E3257">
        <v>2.7188646154420858E-3</v>
      </c>
      <c r="F3257">
        <f t="shared" si="106"/>
        <v>-1.506537686121504E-2</v>
      </c>
      <c r="G3257">
        <f t="shared" si="107"/>
        <v>-2.302416764163364E-2</v>
      </c>
    </row>
    <row r="3258" spans="1:7" x14ac:dyDescent="0.35">
      <c r="A3258" t="s">
        <v>171</v>
      </c>
      <c r="E3258">
        <v>-1.2037882124048473E-3</v>
      </c>
      <c r="F3258">
        <f t="shared" si="106"/>
        <v>-1.5078918523643351E-2</v>
      </c>
      <c r="G3258">
        <f t="shared" si="107"/>
        <v>-2.302416764163364E-2</v>
      </c>
    </row>
    <row r="3259" spans="1:7" x14ac:dyDescent="0.35">
      <c r="A3259" t="s">
        <v>171</v>
      </c>
      <c r="E3259">
        <v>-1.6921694216079284E-3</v>
      </c>
      <c r="F3259">
        <f t="shared" si="106"/>
        <v>-1.509246018607166E-2</v>
      </c>
      <c r="G3259">
        <f t="shared" si="107"/>
        <v>-2.302416764163364E-2</v>
      </c>
    </row>
    <row r="3260" spans="1:7" x14ac:dyDescent="0.35">
      <c r="A3260" t="s">
        <v>172</v>
      </c>
      <c r="B3260" s="3" cm="1">
        <f t="array" ref="B3260">_xlfn.STDEV.S(_xlfn._xlws.FILTER($E$2826:$E$3824, $A$2826:$A$3824="2023-02"))</f>
        <v>7.2910322114249117E-3</v>
      </c>
      <c r="C3260" s="3" cm="1">
        <f t="array" ref="C3260">AVERAGE(_xlfn._xlws.FILTER($E$2826:$E$3824, $A$2826:$A$3824="2023-02"))</f>
        <v>1.9569909444213654E-3</v>
      </c>
      <c r="D3260" s="3" cm="1">
        <f t="array" ref="D3260">_xlfn.PERCENTILE.EXC(_xlfn._xlws.FILTER($E$2490:$E$3818, $A$2490:$A$3818="2023-02"), 0.05)</f>
        <v>-1.3480073357652193E-2</v>
      </c>
      <c r="E3260">
        <v>7.0703632816819682E-3</v>
      </c>
      <c r="F3260">
        <f t="shared" si="106"/>
        <v>-1.5106001848499971E-2</v>
      </c>
      <c r="G3260">
        <f t="shared" si="107"/>
        <v>-2.302416764163364E-2</v>
      </c>
    </row>
    <row r="3261" spans="1:7" x14ac:dyDescent="0.35">
      <c r="A3261" t="s">
        <v>172</v>
      </c>
      <c r="E3261">
        <v>1.4360944763883164E-2</v>
      </c>
      <c r="F3261">
        <f t="shared" si="106"/>
        <v>-1.5106345648671832E-2</v>
      </c>
      <c r="G3261">
        <f t="shared" si="107"/>
        <v>-2.3317433041379329E-2</v>
      </c>
    </row>
    <row r="3262" spans="1:7" x14ac:dyDescent="0.35">
      <c r="A3262" t="s">
        <v>172</v>
      </c>
      <c r="E3262">
        <v>-4.4431681603132952E-4</v>
      </c>
      <c r="F3262">
        <f t="shared" si="106"/>
        <v>-1.5106689448843693E-2</v>
      </c>
      <c r="G3262">
        <f t="shared" si="107"/>
        <v>-2.3317433041379329E-2</v>
      </c>
    </row>
    <row r="3263" spans="1:7" x14ac:dyDescent="0.35">
      <c r="A3263" t="s">
        <v>172</v>
      </c>
      <c r="E3263">
        <v>-7.2233898344803912E-3</v>
      </c>
      <c r="F3263">
        <f t="shared" si="106"/>
        <v>-1.5107033249015554E-2</v>
      </c>
      <c r="G3263">
        <f t="shared" si="107"/>
        <v>-2.3317433041379329E-2</v>
      </c>
    </row>
    <row r="3264" spans="1:7" x14ac:dyDescent="0.35">
      <c r="A3264" t="s">
        <v>172</v>
      </c>
      <c r="E3264">
        <v>1.4401364072302268E-3</v>
      </c>
      <c r="F3264">
        <f t="shared" si="106"/>
        <v>-1.5107377049187415E-2</v>
      </c>
      <c r="G3264">
        <f t="shared" si="107"/>
        <v>-2.3317433041379329E-2</v>
      </c>
    </row>
    <row r="3265" spans="1:7" x14ac:dyDescent="0.35">
      <c r="A3265" t="s">
        <v>172</v>
      </c>
      <c r="E3265">
        <v>5.9675063094321431E-3</v>
      </c>
      <c r="F3265">
        <f t="shared" si="106"/>
        <v>-1.5107720849359275E-2</v>
      </c>
      <c r="G3265">
        <f t="shared" si="107"/>
        <v>-2.3317433041379329E-2</v>
      </c>
    </row>
    <row r="3266" spans="1:7" x14ac:dyDescent="0.35">
      <c r="A3266" t="s">
        <v>172</v>
      </c>
      <c r="E3266">
        <v>1.7541204662350489E-3</v>
      </c>
      <c r="F3266">
        <f t="shared" si="106"/>
        <v>-1.5108064649531136E-2</v>
      </c>
      <c r="G3266">
        <f t="shared" si="107"/>
        <v>-2.3317433041379329E-2</v>
      </c>
    </row>
    <row r="3267" spans="1:7" x14ac:dyDescent="0.35">
      <c r="A3267" t="s">
        <v>172</v>
      </c>
      <c r="E3267">
        <v>-1.3735926088650468E-2</v>
      </c>
      <c r="F3267">
        <f t="shared" si="106"/>
        <v>-1.5108408449702997E-2</v>
      </c>
      <c r="G3267">
        <f t="shared" si="107"/>
        <v>-2.3317433041379329E-2</v>
      </c>
    </row>
    <row r="3268" spans="1:7" x14ac:dyDescent="0.35">
      <c r="A3268" t="s">
        <v>172</v>
      </c>
      <c r="E3268">
        <v>1.013774730490675E-2</v>
      </c>
      <c r="F3268">
        <f t="shared" ref="F3268:F3331" si="108">_xlfn.PERCENTILE.EXC(E3268:E7083,0.05)</f>
        <v>-1.5108752249874858E-2</v>
      </c>
      <c r="G3268">
        <f t="shared" ref="G3268:G3331" si="109">AVERAGEIFS(E3268:E7084,E3268:E7084,"&lt;=" &amp; F3268)</f>
        <v>-2.3317433041379329E-2</v>
      </c>
    </row>
    <row r="3269" spans="1:7" x14ac:dyDescent="0.35">
      <c r="A3269" t="s">
        <v>172</v>
      </c>
      <c r="E3269">
        <v>5.7271382893066287E-3</v>
      </c>
      <c r="F3269">
        <f t="shared" si="108"/>
        <v>-1.5109096050046719E-2</v>
      </c>
      <c r="G3269">
        <f t="shared" si="109"/>
        <v>-2.3317433041379329E-2</v>
      </c>
    </row>
    <row r="3270" spans="1:7" x14ac:dyDescent="0.35">
      <c r="A3270" t="s">
        <v>172</v>
      </c>
      <c r="E3270">
        <v>3.4055426813942788E-3</v>
      </c>
      <c r="F3270">
        <f t="shared" si="108"/>
        <v>-1.510943985021858E-2</v>
      </c>
      <c r="G3270">
        <f t="shared" si="109"/>
        <v>-2.3317433041379329E-2</v>
      </c>
    </row>
    <row r="3271" spans="1:7" x14ac:dyDescent="0.35">
      <c r="A3271" t="s">
        <v>172</v>
      </c>
      <c r="E3271">
        <v>3.4904799133112811E-3</v>
      </c>
      <c r="F3271">
        <f t="shared" si="108"/>
        <v>-1.5109783650390441E-2</v>
      </c>
      <c r="G3271">
        <f t="shared" si="109"/>
        <v>-2.3317433041379329E-2</v>
      </c>
    </row>
    <row r="3272" spans="1:7" x14ac:dyDescent="0.35">
      <c r="A3272" t="s">
        <v>172</v>
      </c>
      <c r="E3272">
        <v>6.1092267297772494E-4</v>
      </c>
      <c r="F3272">
        <f t="shared" si="108"/>
        <v>-1.5110127450562302E-2</v>
      </c>
      <c r="G3272">
        <f t="shared" si="109"/>
        <v>-2.3317433041379329E-2</v>
      </c>
    </row>
    <row r="3273" spans="1:7" x14ac:dyDescent="0.35">
      <c r="A3273" t="s">
        <v>172</v>
      </c>
      <c r="E3273">
        <v>-5.5548833897603464E-3</v>
      </c>
      <c r="F3273">
        <f t="shared" si="108"/>
        <v>-1.5110471250734163E-2</v>
      </c>
      <c r="G3273">
        <f t="shared" si="109"/>
        <v>-2.3317433041379329E-2</v>
      </c>
    </row>
    <row r="3274" spans="1:7" x14ac:dyDescent="0.35">
      <c r="A3274" t="s">
        <v>172</v>
      </c>
      <c r="E3274">
        <v>-3.1510704092241088E-3</v>
      </c>
      <c r="F3274">
        <f t="shared" si="108"/>
        <v>-1.5110815050906024E-2</v>
      </c>
      <c r="G3274">
        <f t="shared" si="109"/>
        <v>-2.3317433041379329E-2</v>
      </c>
    </row>
    <row r="3275" spans="1:7" x14ac:dyDescent="0.35">
      <c r="A3275" t="s">
        <v>172</v>
      </c>
      <c r="E3275">
        <v>-8.6188714686849868E-3</v>
      </c>
      <c r="F3275">
        <f t="shared" si="108"/>
        <v>-1.5111158851077885E-2</v>
      </c>
      <c r="G3275">
        <f t="shared" si="109"/>
        <v>-2.3317433041379329E-2</v>
      </c>
    </row>
    <row r="3276" spans="1:7" x14ac:dyDescent="0.35">
      <c r="A3276" t="s">
        <v>172</v>
      </c>
      <c r="E3276">
        <v>6.4006999548120525E-3</v>
      </c>
      <c r="F3276">
        <f t="shared" si="108"/>
        <v>-1.5111502651249746E-2</v>
      </c>
      <c r="G3276">
        <f t="shared" si="109"/>
        <v>-2.3317433041379329E-2</v>
      </c>
    </row>
    <row r="3277" spans="1:7" x14ac:dyDescent="0.35">
      <c r="A3277" t="s">
        <v>172</v>
      </c>
      <c r="E3277">
        <v>-3.2658670276401102E-3</v>
      </c>
      <c r="F3277">
        <f t="shared" si="108"/>
        <v>-1.5111846451421607E-2</v>
      </c>
      <c r="G3277">
        <f t="shared" si="109"/>
        <v>-2.3317433041379329E-2</v>
      </c>
    </row>
    <row r="3278" spans="1:7" x14ac:dyDescent="0.35">
      <c r="A3278" t="s">
        <v>172</v>
      </c>
      <c r="E3278">
        <v>1.2184339375336748E-2</v>
      </c>
      <c r="F3278">
        <f t="shared" si="108"/>
        <v>-1.5112190251593468E-2</v>
      </c>
      <c r="G3278">
        <f t="shared" si="109"/>
        <v>-2.3317433041379329E-2</v>
      </c>
    </row>
    <row r="3279" spans="1:7" x14ac:dyDescent="0.35">
      <c r="A3279" t="s">
        <v>172</v>
      </c>
      <c r="E3279">
        <v>8.5842025023910359E-3</v>
      </c>
      <c r="F3279">
        <f t="shared" si="108"/>
        <v>-1.5112534051765329E-2</v>
      </c>
      <c r="G3279">
        <f t="shared" si="109"/>
        <v>-2.3317433041379329E-2</v>
      </c>
    </row>
    <row r="3280" spans="1:7" x14ac:dyDescent="0.35">
      <c r="A3280" t="s">
        <v>173</v>
      </c>
      <c r="B3280" s="3" cm="1">
        <f t="array" ref="B3280">_xlfn.STDEV.S(_xlfn._xlws.FILTER($E$2826:$E$3824, $A$2826:$A$3824="2023-03"))</f>
        <v>1.7614089703893089E-2</v>
      </c>
      <c r="C3280" s="3" cm="1">
        <f t="array" ref="C3280">AVERAGE(_xlfn._xlws.FILTER($E$2826:$E$3824, $A$2826:$A$3824="2023-03"))</f>
        <v>-7.5674732070692206E-4</v>
      </c>
      <c r="D3280" s="3" cm="1">
        <f t="array" ref="D3280">_xlfn.PERCENTILE.EXC(_xlfn._xlws.FILTER($E$2490:$E$3818, $A$2490:$A$3818="2023-03"), 0.05)</f>
        <v>-4.2865622623644559E-2</v>
      </c>
      <c r="E3280">
        <v>-7.6613170249162504E-3</v>
      </c>
      <c r="F3280">
        <f t="shared" si="108"/>
        <v>-1.5112877851937189E-2</v>
      </c>
      <c r="G3280">
        <f t="shared" si="109"/>
        <v>-2.3317433041379329E-2</v>
      </c>
    </row>
    <row r="3281" spans="1:7" x14ac:dyDescent="0.35">
      <c r="A3281" t="s">
        <v>173</v>
      </c>
      <c r="E3281">
        <v>4.7184481470790115E-4</v>
      </c>
      <c r="F3281">
        <f t="shared" si="108"/>
        <v>-1.5129222336597522E-2</v>
      </c>
      <c r="G3281">
        <f t="shared" si="109"/>
        <v>-2.3632992856357875E-2</v>
      </c>
    </row>
    <row r="3282" spans="1:7" x14ac:dyDescent="0.35">
      <c r="A3282" t="s">
        <v>173</v>
      </c>
      <c r="E3282">
        <v>1.45706752556015E-2</v>
      </c>
      <c r="F3282">
        <f t="shared" si="108"/>
        <v>-1.5145566821257854E-2</v>
      </c>
      <c r="G3282">
        <f t="shared" si="109"/>
        <v>-2.3632992856357875E-2</v>
      </c>
    </row>
    <row r="3283" spans="1:7" x14ac:dyDescent="0.35">
      <c r="A3283" t="s">
        <v>173</v>
      </c>
      <c r="E3283">
        <v>4.9327643340150431E-3</v>
      </c>
      <c r="F3283">
        <f t="shared" si="108"/>
        <v>-1.5161911305918188E-2</v>
      </c>
      <c r="G3283">
        <f t="shared" si="109"/>
        <v>-2.3632992856357875E-2</v>
      </c>
    </row>
    <row r="3284" spans="1:7" x14ac:dyDescent="0.35">
      <c r="A3284" t="s">
        <v>173</v>
      </c>
      <c r="E3284">
        <v>-1.0559179816700317E-2</v>
      </c>
      <c r="F3284">
        <f t="shared" si="108"/>
        <v>-1.5178255790578521E-2</v>
      </c>
      <c r="G3284">
        <f t="shared" si="109"/>
        <v>-2.3632992856357875E-2</v>
      </c>
    </row>
    <row r="3285" spans="1:7" x14ac:dyDescent="0.35">
      <c r="A3285" t="s">
        <v>173</v>
      </c>
      <c r="E3285">
        <v>5.8271518689422784E-3</v>
      </c>
      <c r="F3285">
        <f t="shared" si="108"/>
        <v>-1.5194600275238855E-2</v>
      </c>
      <c r="G3285">
        <f t="shared" si="109"/>
        <v>-2.3632992856357875E-2</v>
      </c>
    </row>
    <row r="3286" spans="1:7" x14ac:dyDescent="0.35">
      <c r="A3286" t="s">
        <v>173</v>
      </c>
      <c r="E3286">
        <v>-4.5422618900526589E-3</v>
      </c>
      <c r="F3286">
        <f t="shared" si="108"/>
        <v>-1.5210944759899186E-2</v>
      </c>
      <c r="G3286">
        <f t="shared" si="109"/>
        <v>-2.3632992856357875E-2</v>
      </c>
    </row>
    <row r="3287" spans="1:7" x14ac:dyDescent="0.35">
      <c r="A3287" t="s">
        <v>173</v>
      </c>
      <c r="E3287">
        <v>-1.477453885776869E-2</v>
      </c>
      <c r="F3287">
        <f t="shared" si="108"/>
        <v>-1.522728924455952E-2</v>
      </c>
      <c r="G3287">
        <f t="shared" si="109"/>
        <v>-2.3632992856357875E-2</v>
      </c>
    </row>
    <row r="3288" spans="1:7" x14ac:dyDescent="0.35">
      <c r="A3288" t="s">
        <v>173</v>
      </c>
      <c r="E3288">
        <v>-3.5752743211563132E-2</v>
      </c>
      <c r="F3288">
        <f t="shared" si="108"/>
        <v>-1.5243633729219852E-2</v>
      </c>
      <c r="G3288">
        <f t="shared" si="109"/>
        <v>-2.3632992856357875E-2</v>
      </c>
    </row>
    <row r="3289" spans="1:7" x14ac:dyDescent="0.35">
      <c r="A3289" t="s">
        <v>173</v>
      </c>
      <c r="E3289">
        <v>2.2089550827744428E-2</v>
      </c>
      <c r="F3289">
        <f t="shared" si="108"/>
        <v>-1.5109096050046719E-2</v>
      </c>
      <c r="G3289">
        <f t="shared" si="109"/>
        <v>-2.2839151880987649E-2</v>
      </c>
    </row>
    <row r="3290" spans="1:7" x14ac:dyDescent="0.35">
      <c r="A3290" t="s">
        <v>173</v>
      </c>
      <c r="E3290">
        <v>-4.4643842476664919E-2</v>
      </c>
      <c r="F3290">
        <f t="shared" si="108"/>
        <v>-1.510943985021858E-2</v>
      </c>
      <c r="G3290">
        <f t="shared" si="109"/>
        <v>-2.2839151880987649E-2</v>
      </c>
    </row>
    <row r="3291" spans="1:7" x14ac:dyDescent="0.35">
      <c r="A3291" t="s">
        <v>173</v>
      </c>
      <c r="E3291">
        <v>1.4856386516421285E-2</v>
      </c>
      <c r="F3291">
        <f t="shared" si="108"/>
        <v>-1.4984126886645181E-2</v>
      </c>
      <c r="G3291">
        <f t="shared" si="109"/>
        <v>-2.1703081087596682E-2</v>
      </c>
    </row>
    <row r="3292" spans="1:7" x14ac:dyDescent="0.35">
      <c r="A3292" t="s">
        <v>173</v>
      </c>
      <c r="E3292">
        <v>-1.9410586991305157E-2</v>
      </c>
      <c r="F3292">
        <f t="shared" si="108"/>
        <v>-1.4997668549073492E-2</v>
      </c>
      <c r="G3292">
        <f t="shared" si="109"/>
        <v>-2.1703081087596682E-2</v>
      </c>
    </row>
    <row r="3293" spans="1:7" x14ac:dyDescent="0.35">
      <c r="A3293" t="s">
        <v>173</v>
      </c>
      <c r="E3293">
        <v>1.29670694115407E-2</v>
      </c>
      <c r="F3293">
        <f t="shared" si="108"/>
        <v>-1.4778304200185072E-2</v>
      </c>
      <c r="G3293">
        <f t="shared" si="109"/>
        <v>-2.1527103457159323E-2</v>
      </c>
    </row>
    <row r="3294" spans="1:7" x14ac:dyDescent="0.35">
      <c r="A3294" t="s">
        <v>173</v>
      </c>
      <c r="E3294">
        <v>2.4192428290618587E-2</v>
      </c>
      <c r="F3294">
        <f t="shared" si="108"/>
        <v>-1.4786427685863458E-2</v>
      </c>
      <c r="G3294">
        <f t="shared" si="109"/>
        <v>-2.1527103457159323E-2</v>
      </c>
    </row>
    <row r="3295" spans="1:7" x14ac:dyDescent="0.35">
      <c r="A3295" t="s">
        <v>173</v>
      </c>
      <c r="E3295">
        <v>-4.4410800232919231E-3</v>
      </c>
      <c r="F3295">
        <f t="shared" si="108"/>
        <v>-1.4794551171541845E-2</v>
      </c>
      <c r="G3295">
        <f t="shared" si="109"/>
        <v>-2.1527103457159323E-2</v>
      </c>
    </row>
    <row r="3296" spans="1:7" x14ac:dyDescent="0.35">
      <c r="A3296" t="s">
        <v>173</v>
      </c>
      <c r="E3296">
        <v>-4.3717010774642993E-3</v>
      </c>
      <c r="F3296">
        <f t="shared" si="108"/>
        <v>-1.480267465722023E-2</v>
      </c>
      <c r="G3296">
        <f t="shared" si="109"/>
        <v>-2.1527103457159323E-2</v>
      </c>
    </row>
    <row r="3297" spans="1:7" x14ac:dyDescent="0.35">
      <c r="A3297" t="s">
        <v>173</v>
      </c>
      <c r="E3297">
        <v>-1.9986590704704248E-2</v>
      </c>
      <c r="F3297">
        <f t="shared" si="108"/>
        <v>-1.4810798142898615E-2</v>
      </c>
      <c r="G3297">
        <f t="shared" si="109"/>
        <v>-2.1527103457159323E-2</v>
      </c>
    </row>
    <row r="3298" spans="1:7" x14ac:dyDescent="0.35">
      <c r="A3298" t="s">
        <v>173</v>
      </c>
      <c r="E3298">
        <v>1.2837349855830505E-2</v>
      </c>
      <c r="F3298">
        <f t="shared" si="108"/>
        <v>-1.4653397297374518E-2</v>
      </c>
      <c r="G3298">
        <f t="shared" si="109"/>
        <v>-2.1322723002607853E-2</v>
      </c>
    </row>
    <row r="3299" spans="1:7" x14ac:dyDescent="0.35">
      <c r="A3299" t="s">
        <v>173</v>
      </c>
      <c r="E3299">
        <v>4.2800226677466684E-3</v>
      </c>
      <c r="F3299">
        <f t="shared" si="108"/>
        <v>-1.4663048091870287E-2</v>
      </c>
      <c r="G3299">
        <f t="shared" si="109"/>
        <v>-2.1322723002607853E-2</v>
      </c>
    </row>
    <row r="3300" spans="1:7" x14ac:dyDescent="0.35">
      <c r="A3300" t="s">
        <v>173</v>
      </c>
      <c r="E3300">
        <v>1.4032980767706073E-2</v>
      </c>
      <c r="F3300">
        <f t="shared" si="108"/>
        <v>-1.4672698886366055E-2</v>
      </c>
      <c r="G3300">
        <f t="shared" si="109"/>
        <v>-2.1322723002607853E-2</v>
      </c>
    </row>
    <row r="3301" spans="1:7" x14ac:dyDescent="0.35">
      <c r="A3301" t="s">
        <v>173</v>
      </c>
      <c r="E3301">
        <v>1.4925486890625457E-2</v>
      </c>
      <c r="F3301">
        <f t="shared" si="108"/>
        <v>-1.468082237204444E-2</v>
      </c>
      <c r="G3301">
        <f t="shared" si="109"/>
        <v>-2.1588723967257525E-2</v>
      </c>
    </row>
    <row r="3302" spans="1:7" x14ac:dyDescent="0.35">
      <c r="A3302" t="s">
        <v>173</v>
      </c>
      <c r="E3302">
        <v>2.7549421966719524E-3</v>
      </c>
      <c r="F3302">
        <f t="shared" si="108"/>
        <v>-1.4688945857722827E-2</v>
      </c>
      <c r="G3302">
        <f t="shared" si="109"/>
        <v>-2.1588723967257525E-2</v>
      </c>
    </row>
    <row r="3303" spans="1:7" x14ac:dyDescent="0.35">
      <c r="A3303" t="s">
        <v>174</v>
      </c>
      <c r="B3303" s="3" cm="1">
        <f t="array" ref="B3303">_xlfn.STDEV.S(_xlfn._xlws.FILTER($E$2826:$E$3824, $A$2826:$A$3824="2023-04"))</f>
        <v>6.1511634210362764E-3</v>
      </c>
      <c r="C3303" s="3" cm="1">
        <f t="array" ref="C3303">AVERAGE(_xlfn._xlws.FILTER($E$2826:$E$3824, $A$2826:$A$3824="2023-04"))</f>
        <v>5.1124286740105422E-5</v>
      </c>
      <c r="D3303" s="3" cm="1">
        <f t="array" ref="D3303">_xlfn.PERCENTILE.INC(_xlfn._xlws.FILTER($E$2490:$E$3818, $A$2490:$A$3818="2023-04"), 0.05)</f>
        <v>-8.805355858683233E-3</v>
      </c>
      <c r="E3303">
        <v>-8.1675721442926487E-3</v>
      </c>
      <c r="F3303">
        <f t="shared" si="108"/>
        <v>-1.4697069343401212E-2</v>
      </c>
      <c r="G3303">
        <f t="shared" si="109"/>
        <v>-2.1588723967257525E-2</v>
      </c>
    </row>
    <row r="3304" spans="1:7" x14ac:dyDescent="0.35">
      <c r="A3304" t="s">
        <v>174</v>
      </c>
      <c r="E3304">
        <v>2.8134321688613592E-3</v>
      </c>
      <c r="F3304">
        <f t="shared" si="108"/>
        <v>-1.4705192829079599E-2</v>
      </c>
      <c r="G3304">
        <f t="shared" si="109"/>
        <v>-2.1588723967257525E-2</v>
      </c>
    </row>
    <row r="3305" spans="1:7" x14ac:dyDescent="0.35">
      <c r="A3305" t="s">
        <v>174</v>
      </c>
      <c r="E3305">
        <v>7.7449974411595039E-3</v>
      </c>
      <c r="F3305">
        <f t="shared" si="108"/>
        <v>-1.4713316314757984E-2</v>
      </c>
      <c r="G3305">
        <f t="shared" si="109"/>
        <v>-2.1588723967257525E-2</v>
      </c>
    </row>
    <row r="3306" spans="1:7" x14ac:dyDescent="0.35">
      <c r="A3306" t="s">
        <v>174</v>
      </c>
      <c r="E3306">
        <v>6.2153817546776588E-3</v>
      </c>
      <c r="F3306">
        <f t="shared" si="108"/>
        <v>-1.4721439800436369E-2</v>
      </c>
      <c r="G3306">
        <f t="shared" si="109"/>
        <v>-2.1588723967257525E-2</v>
      </c>
    </row>
    <row r="3307" spans="1:7" x14ac:dyDescent="0.35">
      <c r="A3307" t="s">
        <v>174</v>
      </c>
      <c r="E3307">
        <v>-8.0431700454768034E-3</v>
      </c>
      <c r="F3307">
        <f t="shared" si="108"/>
        <v>-1.4729563286114756E-2</v>
      </c>
      <c r="G3307">
        <f t="shared" si="109"/>
        <v>-2.1588723967257525E-2</v>
      </c>
    </row>
    <row r="3308" spans="1:7" x14ac:dyDescent="0.35">
      <c r="A3308" t="s">
        <v>174</v>
      </c>
      <c r="E3308">
        <v>4.4285138587132145E-3</v>
      </c>
      <c r="F3308">
        <f t="shared" si="108"/>
        <v>-1.4737686771793141E-2</v>
      </c>
      <c r="G3308">
        <f t="shared" si="109"/>
        <v>-2.1588723967257525E-2</v>
      </c>
    </row>
    <row r="3309" spans="1:7" x14ac:dyDescent="0.35">
      <c r="A3309" t="s">
        <v>174</v>
      </c>
      <c r="E3309">
        <v>3.3676405107521405E-3</v>
      </c>
      <c r="F3309">
        <f t="shared" si="108"/>
        <v>-1.4745810257471528E-2</v>
      </c>
      <c r="G3309">
        <f t="shared" si="109"/>
        <v>-2.1588723967257525E-2</v>
      </c>
    </row>
    <row r="3310" spans="1:7" x14ac:dyDescent="0.35">
      <c r="A3310" t="s">
        <v>174</v>
      </c>
      <c r="E3310">
        <v>5.6659802732424141E-3</v>
      </c>
      <c r="F3310">
        <f t="shared" si="108"/>
        <v>-1.4753933743149913E-2</v>
      </c>
      <c r="G3310">
        <f t="shared" si="109"/>
        <v>-2.1588723967257525E-2</v>
      </c>
    </row>
    <row r="3311" spans="1:7" x14ac:dyDescent="0.35">
      <c r="A3311" t="s">
        <v>174</v>
      </c>
      <c r="E3311">
        <v>1.6647639560406432E-3</v>
      </c>
      <c r="F3311">
        <f t="shared" si="108"/>
        <v>-1.47620572288283E-2</v>
      </c>
      <c r="G3311">
        <f t="shared" si="109"/>
        <v>-2.1588723967257525E-2</v>
      </c>
    </row>
    <row r="3312" spans="1:7" x14ac:dyDescent="0.35">
      <c r="A3312" t="s">
        <v>174</v>
      </c>
      <c r="E3312">
        <v>4.6169312454027991E-3</v>
      </c>
      <c r="F3312">
        <f t="shared" si="108"/>
        <v>-1.4770180714506686E-2</v>
      </c>
      <c r="G3312">
        <f t="shared" si="109"/>
        <v>-2.1588723967257525E-2</v>
      </c>
    </row>
    <row r="3313" spans="1:7" x14ac:dyDescent="0.35">
      <c r="A3313" t="s">
        <v>174</v>
      </c>
      <c r="E3313">
        <v>7.7075135609980562E-3</v>
      </c>
      <c r="F3313">
        <f t="shared" si="108"/>
        <v>-1.4778304200185072E-2</v>
      </c>
      <c r="G3313">
        <f t="shared" si="109"/>
        <v>-2.1588723967257525E-2</v>
      </c>
    </row>
    <row r="3314" spans="1:7" x14ac:dyDescent="0.35">
      <c r="A3314" t="s">
        <v>174</v>
      </c>
      <c r="E3314">
        <v>-4.6343052586298034E-3</v>
      </c>
      <c r="F3314">
        <f t="shared" si="108"/>
        <v>-1.4786427685863458E-2</v>
      </c>
      <c r="G3314">
        <f t="shared" si="109"/>
        <v>-2.1588723967257525E-2</v>
      </c>
    </row>
    <row r="3315" spans="1:7" x14ac:dyDescent="0.35">
      <c r="A3315" t="s">
        <v>174</v>
      </c>
      <c r="E3315">
        <v>-3.7420868939950064E-3</v>
      </c>
      <c r="F3315">
        <f t="shared" si="108"/>
        <v>-1.4794551171541845E-2</v>
      </c>
      <c r="G3315">
        <f t="shared" si="109"/>
        <v>-2.1588723967257525E-2</v>
      </c>
    </row>
    <row r="3316" spans="1:7" x14ac:dyDescent="0.35">
      <c r="A3316" t="s">
        <v>174</v>
      </c>
      <c r="E3316">
        <v>-9.7757950618158678E-4</v>
      </c>
      <c r="F3316">
        <f t="shared" si="108"/>
        <v>-1.480267465722023E-2</v>
      </c>
      <c r="G3316">
        <f t="shared" si="109"/>
        <v>-2.1588723967257525E-2</v>
      </c>
    </row>
    <row r="3317" spans="1:7" x14ac:dyDescent="0.35">
      <c r="A3317" t="s">
        <v>174</v>
      </c>
      <c r="E3317">
        <v>-1.2419463573563208E-2</v>
      </c>
      <c r="F3317">
        <f t="shared" si="108"/>
        <v>-1.4810798142898615E-2</v>
      </c>
      <c r="G3317">
        <f t="shared" si="109"/>
        <v>-2.1588723967257525E-2</v>
      </c>
    </row>
    <row r="3318" spans="1:7" x14ac:dyDescent="0.35">
      <c r="A3318" t="s">
        <v>174</v>
      </c>
      <c r="E3318">
        <v>3.6590615991575814E-4</v>
      </c>
      <c r="F3318">
        <f t="shared" si="108"/>
        <v>-1.4818921628577002E-2</v>
      </c>
      <c r="G3318">
        <f t="shared" si="109"/>
        <v>-2.1588723967257525E-2</v>
      </c>
    </row>
    <row r="3319" spans="1:7" x14ac:dyDescent="0.35">
      <c r="A3319" t="s">
        <v>174</v>
      </c>
      <c r="E3319">
        <v>2.2463103871167463E-3</v>
      </c>
      <c r="F3319">
        <f t="shared" si="108"/>
        <v>-1.4827045114255387E-2</v>
      </c>
      <c r="G3319">
        <f t="shared" si="109"/>
        <v>-2.1588723967257525E-2</v>
      </c>
    </row>
    <row r="3320" spans="1:7" x14ac:dyDescent="0.35">
      <c r="A3320" t="s">
        <v>174</v>
      </c>
      <c r="E3320">
        <v>-7.932956733419344E-3</v>
      </c>
      <c r="F3320">
        <f t="shared" si="108"/>
        <v>-1.4835168599933774E-2</v>
      </c>
      <c r="G3320">
        <f t="shared" si="109"/>
        <v>-2.1588723967257525E-2</v>
      </c>
    </row>
    <row r="3321" spans="1:7" x14ac:dyDescent="0.35">
      <c r="A3321" t="s">
        <v>175</v>
      </c>
      <c r="B3321" s="3" cm="1">
        <f t="array" ref="B3321">_xlfn.STDEV.S(_xlfn._xlws.FILTER($E$2826:$E$3824, $A$2826:$A$3824="2023-05"))</f>
        <v>7.0842851864489683E-3</v>
      </c>
      <c r="C3321" s="3" cm="1">
        <f t="array" ref="C3321">AVERAGE(_xlfn._xlws.FILTER($E$2826:$E$3824, $A$2826:$A$3824="2023-05"))</f>
        <v>-1.0431623995371879E-3</v>
      </c>
      <c r="D3321" s="3" cm="1">
        <f t="array" ref="D3321">_xlfn.PERCENTILE.EXC(_xlfn._xlws.FILTER($E$2490:$E$3818, $A$2490:$A$3818="2023-05"), 0.05)</f>
        <v>-1.7131776821045983E-2</v>
      </c>
      <c r="E3321">
        <v>-1.7355672230143952E-2</v>
      </c>
      <c r="F3321">
        <f t="shared" si="108"/>
        <v>-1.4848710262362083E-2</v>
      </c>
      <c r="G3321">
        <f t="shared" si="109"/>
        <v>-2.1870122107562683E-2</v>
      </c>
    </row>
    <row r="3322" spans="1:7" x14ac:dyDescent="0.35">
      <c r="A3322" t="s">
        <v>175</v>
      </c>
      <c r="E3322">
        <v>-5.8374224481916933E-4</v>
      </c>
      <c r="F3322">
        <f t="shared" si="108"/>
        <v>-1.4688945857722827E-2</v>
      </c>
      <c r="G3322">
        <f t="shared" si="109"/>
        <v>-2.1765101122970587E-2</v>
      </c>
    </row>
    <row r="3323" spans="1:7" x14ac:dyDescent="0.35">
      <c r="A3323" t="s">
        <v>175</v>
      </c>
      <c r="E3323">
        <v>-3.6533652109159791E-3</v>
      </c>
      <c r="F3323">
        <f t="shared" si="108"/>
        <v>-1.4697069343401212E-2</v>
      </c>
      <c r="G3323">
        <f t="shared" si="109"/>
        <v>-2.1765101122970587E-2</v>
      </c>
    </row>
    <row r="3324" spans="1:7" x14ac:dyDescent="0.35">
      <c r="A3324" t="s">
        <v>175</v>
      </c>
      <c r="E3324">
        <v>1.140142855494247E-2</v>
      </c>
      <c r="F3324">
        <f t="shared" si="108"/>
        <v>-1.4705192829079599E-2</v>
      </c>
      <c r="G3324">
        <f t="shared" si="109"/>
        <v>-2.1765101122970587E-2</v>
      </c>
    </row>
    <row r="3325" spans="1:7" x14ac:dyDescent="0.35">
      <c r="A3325" t="s">
        <v>175</v>
      </c>
      <c r="E3325">
        <v>3.9169739941833847E-3</v>
      </c>
      <c r="F3325">
        <f t="shared" si="108"/>
        <v>-1.4713316314757984E-2</v>
      </c>
      <c r="G3325">
        <f t="shared" si="109"/>
        <v>-2.1765101122970587E-2</v>
      </c>
    </row>
    <row r="3326" spans="1:7" x14ac:dyDescent="0.35">
      <c r="A3326" t="s">
        <v>175</v>
      </c>
      <c r="E3326">
        <v>-1.6892908452483544E-3</v>
      </c>
      <c r="F3326">
        <f t="shared" si="108"/>
        <v>-1.4721439800436369E-2</v>
      </c>
      <c r="G3326">
        <f t="shared" si="109"/>
        <v>-2.1765101122970587E-2</v>
      </c>
    </row>
    <row r="3327" spans="1:7" x14ac:dyDescent="0.35">
      <c r="A3327" t="s">
        <v>175</v>
      </c>
      <c r="E3327">
        <v>1.6457320953774141E-3</v>
      </c>
      <c r="F3327">
        <f t="shared" si="108"/>
        <v>-1.4729563286114756E-2</v>
      </c>
      <c r="G3327">
        <f t="shared" si="109"/>
        <v>-2.1765101122970587E-2</v>
      </c>
    </row>
    <row r="3328" spans="1:7" x14ac:dyDescent="0.35">
      <c r="A3328" t="s">
        <v>175</v>
      </c>
      <c r="E3328">
        <v>5.570984549872436E-3</v>
      </c>
      <c r="F3328">
        <f t="shared" si="108"/>
        <v>-1.4737686771793141E-2</v>
      </c>
      <c r="G3328">
        <f t="shared" si="109"/>
        <v>-2.1765101122970587E-2</v>
      </c>
    </row>
    <row r="3329" spans="1:7" x14ac:dyDescent="0.35">
      <c r="A3329" t="s">
        <v>175</v>
      </c>
      <c r="E3329">
        <v>-3.5366393260392445E-3</v>
      </c>
      <c r="F3329">
        <f t="shared" si="108"/>
        <v>-1.4745810257471528E-2</v>
      </c>
      <c r="G3329">
        <f t="shared" si="109"/>
        <v>-2.1765101122970587E-2</v>
      </c>
    </row>
    <row r="3330" spans="1:7" x14ac:dyDescent="0.35">
      <c r="A3330" t="s">
        <v>175</v>
      </c>
      <c r="E3330">
        <v>-1.0982499785437681E-3</v>
      </c>
      <c r="F3330">
        <f t="shared" si="108"/>
        <v>-1.4753933743149913E-2</v>
      </c>
      <c r="G3330">
        <f t="shared" si="109"/>
        <v>-2.1765101122970587E-2</v>
      </c>
    </row>
    <row r="3331" spans="1:7" x14ac:dyDescent="0.35">
      <c r="A3331" t="s">
        <v>175</v>
      </c>
      <c r="E3331">
        <v>2.195295127155614E-3</v>
      </c>
      <c r="F3331">
        <f t="shared" si="108"/>
        <v>-1.47620572288283E-2</v>
      </c>
      <c r="G3331">
        <f t="shared" si="109"/>
        <v>-2.1765101122970587E-2</v>
      </c>
    </row>
    <row r="3332" spans="1:7" x14ac:dyDescent="0.35">
      <c r="A3332" t="s">
        <v>175</v>
      </c>
      <c r="E3332">
        <v>1.6282490388588812E-4</v>
      </c>
      <c r="F3332">
        <f t="shared" ref="F3332:F3395" si="110">_xlfn.PERCENTILE.EXC(E3332:E7147,0.05)</f>
        <v>-1.4770180714506686E-2</v>
      </c>
      <c r="G3332">
        <f t="shared" ref="G3332:G3395" si="111">AVERAGEIFS(E3332:E7148,E3332:E7148,"&lt;=" &amp; F3332)</f>
        <v>-2.1765101122970587E-2</v>
      </c>
    </row>
    <row r="3333" spans="1:7" x14ac:dyDescent="0.35">
      <c r="A3333" t="s">
        <v>175</v>
      </c>
      <c r="E3333">
        <v>4.159316244023826E-3</v>
      </c>
      <c r="F3333">
        <f t="shared" si="110"/>
        <v>-1.4778304200185072E-2</v>
      </c>
      <c r="G3333">
        <f t="shared" si="111"/>
        <v>-2.1765101122970587E-2</v>
      </c>
    </row>
    <row r="3334" spans="1:7" x14ac:dyDescent="0.35">
      <c r="A3334" t="s">
        <v>175</v>
      </c>
      <c r="E3334">
        <v>5.7661895545802477E-3</v>
      </c>
      <c r="F3334">
        <f t="shared" si="110"/>
        <v>-1.4786427685863458E-2</v>
      </c>
      <c r="G3334">
        <f t="shared" si="111"/>
        <v>-2.1765101122970587E-2</v>
      </c>
    </row>
    <row r="3335" spans="1:7" x14ac:dyDescent="0.35">
      <c r="A3335" t="s">
        <v>175</v>
      </c>
      <c r="E3335">
        <v>-4.0921874896597387E-3</v>
      </c>
      <c r="F3335">
        <f t="shared" si="110"/>
        <v>-1.4794551171541845E-2</v>
      </c>
      <c r="G3335">
        <f t="shared" si="111"/>
        <v>-2.1765101122970587E-2</v>
      </c>
    </row>
    <row r="3336" spans="1:7" x14ac:dyDescent="0.35">
      <c r="A3336" t="s">
        <v>175</v>
      </c>
      <c r="E3336">
        <v>-1.1231500828760068E-2</v>
      </c>
      <c r="F3336">
        <f t="shared" si="110"/>
        <v>-1.480267465722023E-2</v>
      </c>
      <c r="G3336">
        <f t="shared" si="111"/>
        <v>-2.1765101122970587E-2</v>
      </c>
    </row>
    <row r="3337" spans="1:7" x14ac:dyDescent="0.35">
      <c r="A3337" t="s">
        <v>175</v>
      </c>
      <c r="E3337">
        <v>-5.18612072896045E-3</v>
      </c>
      <c r="F3337">
        <f t="shared" si="110"/>
        <v>-1.4810798142898615E-2</v>
      </c>
      <c r="G3337">
        <f t="shared" si="111"/>
        <v>-2.1765101122970587E-2</v>
      </c>
    </row>
    <row r="3338" spans="1:7" x14ac:dyDescent="0.35">
      <c r="A3338" t="s">
        <v>175</v>
      </c>
      <c r="E3338">
        <v>8.1935434788496103E-3</v>
      </c>
      <c r="F3338">
        <f t="shared" si="110"/>
        <v>-1.4818921628577002E-2</v>
      </c>
      <c r="G3338">
        <f t="shared" si="111"/>
        <v>-2.1765101122970587E-2</v>
      </c>
    </row>
    <row r="3339" spans="1:7" x14ac:dyDescent="0.35">
      <c r="A3339" t="s">
        <v>175</v>
      </c>
      <c r="E3339">
        <v>-2.5710035623393718E-3</v>
      </c>
      <c r="F3339">
        <f t="shared" si="110"/>
        <v>-1.4827045114255387E-2</v>
      </c>
      <c r="G3339">
        <f t="shared" si="111"/>
        <v>-2.1765101122970587E-2</v>
      </c>
    </row>
    <row r="3340" spans="1:7" x14ac:dyDescent="0.35">
      <c r="A3340" t="s">
        <v>175</v>
      </c>
      <c r="E3340">
        <v>-1.2877764048184553E-2</v>
      </c>
      <c r="F3340">
        <f t="shared" si="110"/>
        <v>-1.4835168599933774E-2</v>
      </c>
      <c r="G3340">
        <f t="shared" si="111"/>
        <v>-2.1765101122970587E-2</v>
      </c>
    </row>
    <row r="3341" spans="1:7" x14ac:dyDescent="0.35">
      <c r="A3341" t="s">
        <v>176</v>
      </c>
      <c r="B3341" s="3" cm="1">
        <f t="array" ref="B3341">_xlfn.STDEV.S(_xlfn._xlws.FILTER($E$2826:$E$3824, $A$2826:$A$3824="2023-06"))</f>
        <v>7.0878974428924641E-3</v>
      </c>
      <c r="C3341" s="3" cm="1">
        <f t="array" ref="C3341">AVERAGE(_xlfn._xlws.FILTER($E$2826:$E$3824, $A$2826:$A$3824="2023-06"))</f>
        <v>2.6475822236659563E-3</v>
      </c>
      <c r="D3341" s="3" cm="1">
        <f t="array" ref="D3341">_xlfn.PERCENTILE.EXC(_xlfn._xlws.FILTER($E$2490:$E$3818, $A$2490:$A$3818="2023-06"), 0.05)</f>
        <v>-1.016862146915487E-2</v>
      </c>
      <c r="E3341">
        <v>1.2877764048184663E-2</v>
      </c>
      <c r="F3341">
        <f t="shared" si="110"/>
        <v>-1.4848710262362083E-2</v>
      </c>
      <c r="G3341">
        <f t="shared" si="111"/>
        <v>-2.2066402537015667E-2</v>
      </c>
    </row>
    <row r="3342" spans="1:7" x14ac:dyDescent="0.35">
      <c r="A3342" t="s">
        <v>176</v>
      </c>
      <c r="E3342">
        <v>1.6208266192313449E-2</v>
      </c>
      <c r="F3342">
        <f t="shared" si="110"/>
        <v>-1.4862251924790394E-2</v>
      </c>
      <c r="G3342">
        <f t="shared" si="111"/>
        <v>-2.2066402537015667E-2</v>
      </c>
    </row>
    <row r="3343" spans="1:7" x14ac:dyDescent="0.35">
      <c r="A3343" t="s">
        <v>176</v>
      </c>
      <c r="E3343">
        <v>-3.0312173867541384E-3</v>
      </c>
      <c r="F3343">
        <f t="shared" si="110"/>
        <v>-1.4875793587218702E-2</v>
      </c>
      <c r="G3343">
        <f t="shared" si="111"/>
        <v>-2.2066402537015667E-2</v>
      </c>
    </row>
    <row r="3344" spans="1:7" x14ac:dyDescent="0.35">
      <c r="A3344" t="s">
        <v>176</v>
      </c>
      <c r="E3344">
        <v>2.3333469368635134E-3</v>
      </c>
      <c r="F3344">
        <f t="shared" si="110"/>
        <v>-1.4889335249647013E-2</v>
      </c>
      <c r="G3344">
        <f t="shared" si="111"/>
        <v>-2.2066402537015667E-2</v>
      </c>
    </row>
    <row r="3345" spans="1:7" x14ac:dyDescent="0.35">
      <c r="A3345" t="s">
        <v>176</v>
      </c>
      <c r="E3345">
        <v>5.2489060340776099E-3</v>
      </c>
      <c r="F3345">
        <f t="shared" si="110"/>
        <v>-1.4902876912075324E-2</v>
      </c>
      <c r="G3345">
        <f t="shared" si="111"/>
        <v>-2.2066402537015667E-2</v>
      </c>
    </row>
    <row r="3346" spans="1:7" x14ac:dyDescent="0.35">
      <c r="A3346" t="s">
        <v>176</v>
      </c>
      <c r="E3346">
        <v>-2.299699913407565E-3</v>
      </c>
      <c r="F3346">
        <f t="shared" si="110"/>
        <v>-1.4916418574503633E-2</v>
      </c>
      <c r="G3346">
        <f t="shared" si="111"/>
        <v>-2.2066402537015667E-2</v>
      </c>
    </row>
    <row r="3347" spans="1:7" x14ac:dyDescent="0.35">
      <c r="A3347" t="s">
        <v>176</v>
      </c>
      <c r="E3347">
        <v>-3.0673554723284905E-3</v>
      </c>
      <c r="F3347">
        <f t="shared" si="110"/>
        <v>-1.4929960236931942E-2</v>
      </c>
      <c r="G3347">
        <f t="shared" si="111"/>
        <v>-2.2066402537015667E-2</v>
      </c>
    </row>
    <row r="3348" spans="1:7" x14ac:dyDescent="0.35">
      <c r="A3348" t="s">
        <v>176</v>
      </c>
      <c r="E3348">
        <v>3.720366034695363E-3</v>
      </c>
      <c r="F3348">
        <f t="shared" si="110"/>
        <v>-1.4943501899360253E-2</v>
      </c>
      <c r="G3348">
        <f t="shared" si="111"/>
        <v>-2.2066402537015667E-2</v>
      </c>
    </row>
    <row r="3349" spans="1:7" x14ac:dyDescent="0.35">
      <c r="A3349" t="s">
        <v>176</v>
      </c>
      <c r="E3349">
        <v>-1.1457269390871053E-3</v>
      </c>
      <c r="F3349">
        <f t="shared" si="110"/>
        <v>-1.4957043561788562E-2</v>
      </c>
      <c r="G3349">
        <f t="shared" si="111"/>
        <v>-2.2066402537015667E-2</v>
      </c>
    </row>
    <row r="3350" spans="1:7" x14ac:dyDescent="0.35">
      <c r="A3350" t="s">
        <v>176</v>
      </c>
      <c r="E3350">
        <v>1.0561470830609784E-2</v>
      </c>
      <c r="F3350">
        <f t="shared" si="110"/>
        <v>-1.4970585224216872E-2</v>
      </c>
      <c r="G3350">
        <f t="shared" si="111"/>
        <v>-2.2066402537015667E-2</v>
      </c>
    </row>
    <row r="3351" spans="1:7" x14ac:dyDescent="0.35">
      <c r="A3351" t="s">
        <v>176</v>
      </c>
      <c r="E3351">
        <v>-2.1204860233403817E-4</v>
      </c>
      <c r="F3351">
        <f t="shared" si="110"/>
        <v>-1.4984126886645181E-2</v>
      </c>
      <c r="G3351">
        <f t="shared" si="111"/>
        <v>-2.2066402537015667E-2</v>
      </c>
    </row>
    <row r="3352" spans="1:7" x14ac:dyDescent="0.35">
      <c r="A3352" t="s">
        <v>176</v>
      </c>
      <c r="E3352">
        <v>6.7844155862568098E-3</v>
      </c>
      <c r="F3352">
        <f t="shared" si="110"/>
        <v>-1.4997668549073492E-2</v>
      </c>
      <c r="G3352">
        <f t="shared" si="111"/>
        <v>-2.2066402537015667E-2</v>
      </c>
    </row>
    <row r="3353" spans="1:7" x14ac:dyDescent="0.35">
      <c r="A3353" t="s">
        <v>176</v>
      </c>
      <c r="E3353">
        <v>-6.6677832906418526E-3</v>
      </c>
      <c r="F3353">
        <f t="shared" si="110"/>
        <v>-1.5011210211501801E-2</v>
      </c>
      <c r="G3353">
        <f t="shared" si="111"/>
        <v>-2.2066402537015667E-2</v>
      </c>
    </row>
    <row r="3354" spans="1:7" x14ac:dyDescent="0.35">
      <c r="A3354" t="s">
        <v>176</v>
      </c>
      <c r="E3354">
        <v>8.3723251868812168E-4</v>
      </c>
      <c r="F3354">
        <f t="shared" si="110"/>
        <v>-1.5024751873930112E-2</v>
      </c>
      <c r="G3354">
        <f t="shared" si="111"/>
        <v>-2.2066402537015667E-2</v>
      </c>
    </row>
    <row r="3355" spans="1:7" x14ac:dyDescent="0.35">
      <c r="A3355" t="s">
        <v>176</v>
      </c>
      <c r="E3355">
        <v>-3.6024200175558931E-4</v>
      </c>
      <c r="F3355">
        <f t="shared" si="110"/>
        <v>-1.5038293536358421E-2</v>
      </c>
      <c r="G3355">
        <f t="shared" si="111"/>
        <v>-2.2066402537015667E-2</v>
      </c>
    </row>
    <row r="3356" spans="1:7" x14ac:dyDescent="0.35">
      <c r="A3356" t="s">
        <v>176</v>
      </c>
      <c r="E3356">
        <v>-7.6272502773740824E-3</v>
      </c>
      <c r="F3356">
        <f t="shared" si="110"/>
        <v>-1.5051835198786731E-2</v>
      </c>
      <c r="G3356">
        <f t="shared" si="111"/>
        <v>-2.2066402537015667E-2</v>
      </c>
    </row>
    <row r="3357" spans="1:7" x14ac:dyDescent="0.35">
      <c r="A3357" t="s">
        <v>176</v>
      </c>
      <c r="E3357">
        <v>-1.0617098738292656E-2</v>
      </c>
      <c r="F3357">
        <f t="shared" si="110"/>
        <v>-1.506537686121504E-2</v>
      </c>
      <c r="G3357">
        <f t="shared" si="111"/>
        <v>-2.2066402537015667E-2</v>
      </c>
    </row>
    <row r="3358" spans="1:7" x14ac:dyDescent="0.35">
      <c r="A3358" t="s">
        <v>176</v>
      </c>
      <c r="E3358">
        <v>8.8458349439592533E-4</v>
      </c>
      <c r="F3358">
        <f t="shared" si="110"/>
        <v>-1.5078918523643351E-2</v>
      </c>
      <c r="G3358">
        <f t="shared" si="111"/>
        <v>-2.2066402537015667E-2</v>
      </c>
    </row>
    <row r="3359" spans="1:7" x14ac:dyDescent="0.35">
      <c r="A3359" t="s">
        <v>176</v>
      </c>
      <c r="E3359">
        <v>1.2749945043109291E-2</v>
      </c>
      <c r="F3359">
        <f t="shared" si="110"/>
        <v>-1.509246018607166E-2</v>
      </c>
      <c r="G3359">
        <f t="shared" si="111"/>
        <v>-2.2066402537015667E-2</v>
      </c>
    </row>
    <row r="3360" spans="1:7" x14ac:dyDescent="0.35">
      <c r="A3360" t="s">
        <v>176</v>
      </c>
      <c r="E3360">
        <v>9.3567066546707857E-3</v>
      </c>
      <c r="F3360">
        <f t="shared" si="110"/>
        <v>-1.5106001848499971E-2</v>
      </c>
      <c r="G3360">
        <f t="shared" si="111"/>
        <v>-2.2066402537015667E-2</v>
      </c>
    </row>
    <row r="3361" spans="1:7" x14ac:dyDescent="0.35">
      <c r="A3361" t="s">
        <v>176</v>
      </c>
      <c r="E3361">
        <v>3.0855283827156479E-3</v>
      </c>
      <c r="F3361">
        <f t="shared" si="110"/>
        <v>-1.5106345648671832E-2</v>
      </c>
      <c r="G3361">
        <f t="shared" si="111"/>
        <v>-2.2382784386493656E-2</v>
      </c>
    </row>
    <row r="3362" spans="1:7" x14ac:dyDescent="0.35">
      <c r="A3362" t="s">
        <v>176</v>
      </c>
      <c r="E3362">
        <v>8.6266997860455982E-3</v>
      </c>
      <c r="F3362">
        <f t="shared" si="110"/>
        <v>-1.5106689448843693E-2</v>
      </c>
      <c r="G3362">
        <f t="shared" si="111"/>
        <v>-2.2382784386493656E-2</v>
      </c>
    </row>
    <row r="3363" spans="1:7" x14ac:dyDescent="0.35">
      <c r="A3363" t="s">
        <v>177</v>
      </c>
      <c r="B3363" s="3" cm="1">
        <f t="array" ref="B3363">_xlfn.STDEV.S(_xlfn._xlws.FILTER($E$2826:$E$3824, $A$2826:$A$3824="2023-07"))</f>
        <v>7.7689639076283555E-3</v>
      </c>
      <c r="C3363" s="3" cm="1">
        <f t="array" ref="C3363">AVERAGE(_xlfn._xlws.FILTER($E$2826:$E$3824, $A$2826:$A$3824="2023-07"))</f>
        <v>2.4014439722439034E-4</v>
      </c>
      <c r="D3363" s="3" cm="1">
        <f t="array" ref="D3363">_xlfn.PERCENTILE.EXC(_xlfn._xlws.FILTER($E$2490:$E$3818, $A$2490:$A$3818="2023-07"), 0.05)</f>
        <v>-2.0374150134517419E-2</v>
      </c>
      <c r="E3363">
        <v>5.3852441741739825E-3</v>
      </c>
      <c r="F3363">
        <f t="shared" si="110"/>
        <v>-1.5107033249015554E-2</v>
      </c>
      <c r="G3363">
        <f t="shared" si="111"/>
        <v>-2.2382784386493656E-2</v>
      </c>
    </row>
    <row r="3364" spans="1:7" x14ac:dyDescent="0.35">
      <c r="A3364" t="s">
        <v>177</v>
      </c>
      <c r="E3364">
        <v>-5.8648754928665812E-3</v>
      </c>
      <c r="F3364">
        <f t="shared" si="110"/>
        <v>-1.5107377049187415E-2</v>
      </c>
      <c r="G3364">
        <f t="shared" si="111"/>
        <v>-2.2382784386493656E-2</v>
      </c>
    </row>
    <row r="3365" spans="1:7" x14ac:dyDescent="0.35">
      <c r="A3365" t="s">
        <v>177</v>
      </c>
      <c r="E3365">
        <v>-1.0705382008358206E-2</v>
      </c>
      <c r="F3365">
        <f t="shared" si="110"/>
        <v>-1.5107720849359275E-2</v>
      </c>
      <c r="G3365">
        <f t="shared" si="111"/>
        <v>-2.2382784386493656E-2</v>
      </c>
    </row>
    <row r="3366" spans="1:7" x14ac:dyDescent="0.35">
      <c r="A3366" t="s">
        <v>177</v>
      </c>
      <c r="E3366">
        <v>-2.1448457704090665E-2</v>
      </c>
      <c r="F3366">
        <f t="shared" si="110"/>
        <v>-1.5108064649531136E-2</v>
      </c>
      <c r="G3366">
        <f t="shared" si="111"/>
        <v>-2.2382784386493656E-2</v>
      </c>
    </row>
    <row r="3367" spans="1:7" x14ac:dyDescent="0.35">
      <c r="A3367" t="s">
        <v>177</v>
      </c>
      <c r="E3367">
        <v>-3.9063814256943318E-3</v>
      </c>
      <c r="F3367">
        <f t="shared" si="110"/>
        <v>-1.4929960236931942E-2</v>
      </c>
      <c r="G3367">
        <f t="shared" si="111"/>
        <v>-2.2094490938512262E-2</v>
      </c>
    </row>
    <row r="3368" spans="1:7" x14ac:dyDescent="0.35">
      <c r="A3368" t="s">
        <v>177</v>
      </c>
      <c r="E3368">
        <v>4.4320252378043468E-4</v>
      </c>
      <c r="F3368">
        <f t="shared" si="110"/>
        <v>-1.4943501899360253E-2</v>
      </c>
      <c r="G3368">
        <f t="shared" si="111"/>
        <v>-2.2094490938512262E-2</v>
      </c>
    </row>
    <row r="3369" spans="1:7" x14ac:dyDescent="0.35">
      <c r="A3369" t="s">
        <v>177</v>
      </c>
      <c r="E3369">
        <v>8.4158912566591696E-3</v>
      </c>
      <c r="F3369">
        <f t="shared" si="110"/>
        <v>-1.4957043561788562E-2</v>
      </c>
      <c r="G3369">
        <f t="shared" si="111"/>
        <v>-2.2094490938512262E-2</v>
      </c>
    </row>
    <row r="3370" spans="1:7" x14ac:dyDescent="0.35">
      <c r="A3370" t="s">
        <v>177</v>
      </c>
      <c r="E3370">
        <v>1.3053292108183109E-2</v>
      </c>
      <c r="F3370">
        <f t="shared" si="110"/>
        <v>-1.4970585224216872E-2</v>
      </c>
      <c r="G3370">
        <f t="shared" si="111"/>
        <v>-2.2094490938512262E-2</v>
      </c>
    </row>
    <row r="3371" spans="1:7" x14ac:dyDescent="0.35">
      <c r="A3371" t="s">
        <v>177</v>
      </c>
      <c r="E3371">
        <v>2.6409767943573236E-3</v>
      </c>
      <c r="F3371">
        <f t="shared" si="110"/>
        <v>-1.4984126886645181E-2</v>
      </c>
      <c r="G3371">
        <f t="shared" si="111"/>
        <v>-2.2094490938512262E-2</v>
      </c>
    </row>
    <row r="3372" spans="1:7" x14ac:dyDescent="0.35">
      <c r="A3372" t="s">
        <v>177</v>
      </c>
      <c r="E3372">
        <v>-4.2712968675130102E-3</v>
      </c>
      <c r="F3372">
        <f t="shared" si="110"/>
        <v>-1.4997668549073492E-2</v>
      </c>
      <c r="G3372">
        <f t="shared" si="111"/>
        <v>-2.2094490938512262E-2</v>
      </c>
    </row>
    <row r="3373" spans="1:7" x14ac:dyDescent="0.35">
      <c r="A3373" t="s">
        <v>177</v>
      </c>
      <c r="E3373">
        <v>-3.1785890245920244E-5</v>
      </c>
      <c r="F3373">
        <f t="shared" si="110"/>
        <v>-1.5011210211501801E-2</v>
      </c>
      <c r="G3373">
        <f t="shared" si="111"/>
        <v>-2.2094490938512262E-2</v>
      </c>
    </row>
    <row r="3374" spans="1:7" x14ac:dyDescent="0.35">
      <c r="A3374" t="s">
        <v>177</v>
      </c>
      <c r="E3374">
        <v>1.8736409679451099E-3</v>
      </c>
      <c r="F3374">
        <f t="shared" si="110"/>
        <v>-1.5024751873930112E-2</v>
      </c>
      <c r="G3374">
        <f t="shared" si="111"/>
        <v>-2.2094490938512262E-2</v>
      </c>
    </row>
    <row r="3375" spans="1:7" x14ac:dyDescent="0.35">
      <c r="A3375" t="s">
        <v>177</v>
      </c>
      <c r="E3375">
        <v>-4.1253471429973009E-4</v>
      </c>
      <c r="F3375">
        <f t="shared" si="110"/>
        <v>-1.5038293536358421E-2</v>
      </c>
      <c r="G3375">
        <f t="shared" si="111"/>
        <v>-2.2094490938512262E-2</v>
      </c>
    </row>
    <row r="3376" spans="1:7" x14ac:dyDescent="0.35">
      <c r="A3376" t="s">
        <v>177</v>
      </c>
      <c r="E3376">
        <v>7.1476315559792711E-3</v>
      </c>
      <c r="F3376">
        <f t="shared" si="110"/>
        <v>-1.5051835198786731E-2</v>
      </c>
      <c r="G3376">
        <f t="shared" si="111"/>
        <v>-2.2094490938512262E-2</v>
      </c>
    </row>
    <row r="3377" spans="1:7" x14ac:dyDescent="0.35">
      <c r="A3377" t="s">
        <v>177</v>
      </c>
      <c r="E3377">
        <v>5.4371018805536193E-3</v>
      </c>
      <c r="F3377">
        <f t="shared" si="110"/>
        <v>-1.506537686121504E-2</v>
      </c>
      <c r="G3377">
        <f t="shared" si="111"/>
        <v>-2.2094490938512262E-2</v>
      </c>
    </row>
    <row r="3378" spans="1:7" x14ac:dyDescent="0.35">
      <c r="A3378" t="s">
        <v>177</v>
      </c>
      <c r="E3378">
        <v>-2.9296385065642593E-3</v>
      </c>
      <c r="F3378">
        <f t="shared" si="110"/>
        <v>-1.5078918523643351E-2</v>
      </c>
      <c r="G3378">
        <f t="shared" si="111"/>
        <v>-2.2094490938512262E-2</v>
      </c>
    </row>
    <row r="3379" spans="1:7" x14ac:dyDescent="0.35">
      <c r="A3379" t="s">
        <v>177</v>
      </c>
      <c r="E3379">
        <v>-2.5494828290031986E-3</v>
      </c>
      <c r="F3379">
        <f t="shared" si="110"/>
        <v>-1.509246018607166E-2</v>
      </c>
      <c r="G3379">
        <f t="shared" si="111"/>
        <v>-2.2094490938512262E-2</v>
      </c>
    </row>
    <row r="3380" spans="1:7" x14ac:dyDescent="0.35">
      <c r="A3380" t="s">
        <v>177</v>
      </c>
      <c r="E3380">
        <v>8.5043687920275043E-3</v>
      </c>
      <c r="F3380">
        <f t="shared" si="110"/>
        <v>-1.5106001848499971E-2</v>
      </c>
      <c r="G3380">
        <f t="shared" si="111"/>
        <v>-2.2094490938512262E-2</v>
      </c>
    </row>
    <row r="3381" spans="1:7" x14ac:dyDescent="0.35">
      <c r="A3381" t="s">
        <v>177</v>
      </c>
      <c r="E3381">
        <v>9.7641639795558906E-3</v>
      </c>
      <c r="F3381">
        <f t="shared" si="110"/>
        <v>-1.5106345648671832E-2</v>
      </c>
      <c r="G3381">
        <f t="shared" si="111"/>
        <v>-2.2427276133274752E-2</v>
      </c>
    </row>
    <row r="3382" spans="1:7" x14ac:dyDescent="0.35">
      <c r="A3382" t="s">
        <v>177</v>
      </c>
      <c r="E3382">
        <v>-9.9072237951112227E-4</v>
      </c>
      <c r="F3382">
        <f t="shared" si="110"/>
        <v>-1.5106689448843693E-2</v>
      </c>
      <c r="G3382">
        <f t="shared" si="111"/>
        <v>-2.2427276133274752E-2</v>
      </c>
    </row>
    <row r="3383" spans="1:7" x14ac:dyDescent="0.35">
      <c r="A3383" t="s">
        <v>177</v>
      </c>
      <c r="E3383">
        <v>-4.5119238733561879E-3</v>
      </c>
      <c r="F3383">
        <f t="shared" si="110"/>
        <v>-1.5107033249015554E-2</v>
      </c>
      <c r="G3383">
        <f t="shared" si="111"/>
        <v>-2.2427276133274752E-2</v>
      </c>
    </row>
    <row r="3384" spans="1:7" x14ac:dyDescent="0.35">
      <c r="A3384" t="s">
        <v>178</v>
      </c>
      <c r="B3384" s="3" cm="1">
        <f t="array" ref="B3384">_xlfn.STDEV.S(_xlfn._xlws.FILTER($E$2826:$E$3824, $A$2826:$A$3824="2023-08"))</f>
        <v>9.5223596118684632E-3</v>
      </c>
      <c r="C3384" s="3" cm="1">
        <f t="array" ref="C3384">AVERAGE(_xlfn._xlws.FILTER($E$2826:$E$3824, $A$2826:$A$3824="2023-08"))</f>
        <v>-6.7447808156300153E-4</v>
      </c>
      <c r="D3384" s="3" cm="1">
        <f t="array" ref="D3384">_xlfn.PERCENTILE.EXC(_xlfn._xlws.FILTER($E$2490:$E$3818, $A$2490:$A$3818="2023-08"), 0.05)</f>
        <v>-1.8099179255823383E-2</v>
      </c>
      <c r="E3384">
        <v>-1.4479682996450693E-2</v>
      </c>
      <c r="F3384">
        <f t="shared" si="110"/>
        <v>-1.5107377049187415E-2</v>
      </c>
      <c r="G3384">
        <f t="shared" si="111"/>
        <v>-2.2427276133274752E-2</v>
      </c>
    </row>
    <row r="3385" spans="1:7" x14ac:dyDescent="0.35">
      <c r="A3385" t="s">
        <v>178</v>
      </c>
      <c r="E3385">
        <v>-1.8501345506864792E-2</v>
      </c>
      <c r="F3385">
        <f t="shared" si="110"/>
        <v>-1.5107720849359275E-2</v>
      </c>
      <c r="G3385">
        <f t="shared" si="111"/>
        <v>-2.2427276133274752E-2</v>
      </c>
    </row>
    <row r="3386" spans="1:7" x14ac:dyDescent="0.35">
      <c r="A3386" t="s">
        <v>178</v>
      </c>
      <c r="E3386">
        <v>-2.3181199275183837E-3</v>
      </c>
      <c r="F3386">
        <f t="shared" si="110"/>
        <v>-1.4916418574503633E-2</v>
      </c>
      <c r="G3386">
        <f t="shared" si="111"/>
        <v>-2.2265593101924046E-2</v>
      </c>
    </row>
    <row r="3387" spans="1:7" x14ac:dyDescent="0.35">
      <c r="A3387" t="s">
        <v>178</v>
      </c>
      <c r="E3387">
        <v>6.5647741854198E-3</v>
      </c>
      <c r="F3387">
        <f t="shared" si="110"/>
        <v>-1.4929960236931942E-2</v>
      </c>
      <c r="G3387">
        <f t="shared" si="111"/>
        <v>-2.2265593101924046E-2</v>
      </c>
    </row>
    <row r="3388" spans="1:7" x14ac:dyDescent="0.35">
      <c r="A3388" t="s">
        <v>178</v>
      </c>
      <c r="E3388">
        <v>-1.0466172792846901E-3</v>
      </c>
      <c r="F3388">
        <f t="shared" si="110"/>
        <v>-1.4943501899360253E-2</v>
      </c>
      <c r="G3388">
        <f t="shared" si="111"/>
        <v>-2.2265593101924046E-2</v>
      </c>
    </row>
    <row r="3389" spans="1:7" x14ac:dyDescent="0.35">
      <c r="A3389" t="s">
        <v>178</v>
      </c>
      <c r="E3389">
        <v>-6.0877768345894588E-3</v>
      </c>
      <c r="F3389">
        <f t="shared" si="110"/>
        <v>-1.4957043561788562E-2</v>
      </c>
      <c r="G3389">
        <f t="shared" si="111"/>
        <v>-2.2265593101924046E-2</v>
      </c>
    </row>
    <row r="3390" spans="1:7" x14ac:dyDescent="0.35">
      <c r="A3390" t="s">
        <v>178</v>
      </c>
      <c r="E3390">
        <v>5.6388910257372492E-3</v>
      </c>
      <c r="F3390">
        <f t="shared" si="110"/>
        <v>-1.4970585224216872E-2</v>
      </c>
      <c r="G3390">
        <f t="shared" si="111"/>
        <v>-2.2265593101924046E-2</v>
      </c>
    </row>
    <row r="3391" spans="1:7" x14ac:dyDescent="0.35">
      <c r="A3391" t="s">
        <v>178</v>
      </c>
      <c r="E3391">
        <v>1.5676529899626718E-2</v>
      </c>
      <c r="F3391">
        <f t="shared" si="110"/>
        <v>-1.4984126886645181E-2</v>
      </c>
      <c r="G3391">
        <f t="shared" si="111"/>
        <v>-2.2265593101924046E-2</v>
      </c>
    </row>
    <row r="3392" spans="1:7" x14ac:dyDescent="0.35">
      <c r="A3392" t="s">
        <v>178</v>
      </c>
      <c r="E3392">
        <v>-7.1713665143331032E-3</v>
      </c>
      <c r="F3392">
        <f t="shared" si="110"/>
        <v>-1.4997668549073492E-2</v>
      </c>
      <c r="G3392">
        <f t="shared" si="111"/>
        <v>-2.2265593101924046E-2</v>
      </c>
    </row>
    <row r="3393" spans="1:7" x14ac:dyDescent="0.35">
      <c r="A3393" t="s">
        <v>178</v>
      </c>
      <c r="E3393">
        <v>-4.9830629904241801E-4</v>
      </c>
      <c r="F3393">
        <f t="shared" si="110"/>
        <v>-1.5011210211501801E-2</v>
      </c>
      <c r="G3393">
        <f t="shared" si="111"/>
        <v>-2.2265593101924046E-2</v>
      </c>
    </row>
    <row r="3394" spans="1:7" x14ac:dyDescent="0.35">
      <c r="A3394" t="s">
        <v>178</v>
      </c>
      <c r="E3394">
        <v>-8.4238601235851144E-3</v>
      </c>
      <c r="F3394">
        <f t="shared" si="110"/>
        <v>-1.5024751873930112E-2</v>
      </c>
      <c r="G3394">
        <f t="shared" si="111"/>
        <v>-2.2265593101924046E-2</v>
      </c>
    </row>
    <row r="3395" spans="1:7" x14ac:dyDescent="0.35">
      <c r="A3395" t="s">
        <v>178</v>
      </c>
      <c r="E3395">
        <v>-7.7838114770856373E-3</v>
      </c>
      <c r="F3395">
        <f t="shared" si="110"/>
        <v>-1.5038293536358421E-2</v>
      </c>
      <c r="G3395">
        <f t="shared" si="111"/>
        <v>-2.2265593101924046E-2</v>
      </c>
    </row>
    <row r="3396" spans="1:7" x14ac:dyDescent="0.35">
      <c r="A3396" t="s">
        <v>178</v>
      </c>
      <c r="E3396">
        <v>-1.1107697265693417E-3</v>
      </c>
      <c r="F3396">
        <f t="shared" ref="F3396:F3459" si="112">_xlfn.PERCENTILE.EXC(E3396:E7211,0.05)</f>
        <v>-1.5051835198786731E-2</v>
      </c>
      <c r="G3396">
        <f t="shared" ref="G3396:G3459" si="113">AVERAGEIFS(E3396:E7212,E3396:E7212,"&lt;=" &amp; F3396)</f>
        <v>-2.2265593101924046E-2</v>
      </c>
    </row>
    <row r="3397" spans="1:7" x14ac:dyDescent="0.35">
      <c r="A3397" t="s">
        <v>178</v>
      </c>
      <c r="E3397">
        <v>-5.28857841311229E-4</v>
      </c>
      <c r="F3397">
        <f t="shared" si="112"/>
        <v>-1.506537686121504E-2</v>
      </c>
      <c r="G3397">
        <f t="shared" si="113"/>
        <v>-2.2265593101924046E-2</v>
      </c>
    </row>
    <row r="3398" spans="1:7" x14ac:dyDescent="0.35">
      <c r="A3398" t="s">
        <v>178</v>
      </c>
      <c r="E3398">
        <v>5.5122657985141937E-3</v>
      </c>
      <c r="F3398">
        <f t="shared" si="112"/>
        <v>-1.5078918523643351E-2</v>
      </c>
      <c r="G3398">
        <f t="shared" si="113"/>
        <v>-2.2265593101924046E-2</v>
      </c>
    </row>
    <row r="3399" spans="1:7" x14ac:dyDescent="0.35">
      <c r="A3399" t="s">
        <v>178</v>
      </c>
      <c r="E3399">
        <v>1.7176965731257313E-4</v>
      </c>
      <c r="F3399">
        <f t="shared" si="112"/>
        <v>-1.509246018607166E-2</v>
      </c>
      <c r="G3399">
        <f t="shared" si="113"/>
        <v>-2.2265593101924046E-2</v>
      </c>
    </row>
    <row r="3400" spans="1:7" x14ac:dyDescent="0.35">
      <c r="A3400" t="s">
        <v>178</v>
      </c>
      <c r="E3400">
        <v>9.7637921309545229E-4</v>
      </c>
      <c r="F3400">
        <f t="shared" si="112"/>
        <v>-1.5106001848499971E-2</v>
      </c>
      <c r="G3400">
        <f t="shared" si="113"/>
        <v>-2.2265593101924046E-2</v>
      </c>
    </row>
    <row r="3401" spans="1:7" x14ac:dyDescent="0.35">
      <c r="A3401" t="s">
        <v>178</v>
      </c>
      <c r="E3401">
        <v>1.5216788550992963E-3</v>
      </c>
      <c r="F3401">
        <f t="shared" si="112"/>
        <v>-1.5106345648671832E-2</v>
      </c>
      <c r="G3401">
        <f t="shared" si="113"/>
        <v>-2.2623572664595252E-2</v>
      </c>
    </row>
    <row r="3402" spans="1:7" x14ac:dyDescent="0.35">
      <c r="A3402" t="s">
        <v>178</v>
      </c>
      <c r="E3402">
        <v>2.561437281291153E-2</v>
      </c>
      <c r="F3402">
        <f t="shared" si="112"/>
        <v>-1.5106689448843693E-2</v>
      </c>
      <c r="G3402">
        <f t="shared" si="113"/>
        <v>-2.2623572664595252E-2</v>
      </c>
    </row>
    <row r="3403" spans="1:7" x14ac:dyDescent="0.35">
      <c r="A3403" t="s">
        <v>178</v>
      </c>
      <c r="E3403">
        <v>-3.1465139929728256E-3</v>
      </c>
      <c r="F3403">
        <f t="shared" si="112"/>
        <v>-1.5107033249015554E-2</v>
      </c>
      <c r="G3403">
        <f t="shared" si="113"/>
        <v>-2.2623572664595252E-2</v>
      </c>
    </row>
    <row r="3404" spans="1:7" x14ac:dyDescent="0.35">
      <c r="A3404" t="s">
        <v>178</v>
      </c>
      <c r="E3404">
        <v>-4.7436726409321632E-3</v>
      </c>
      <c r="F3404">
        <f t="shared" si="112"/>
        <v>-1.5107377049187415E-2</v>
      </c>
      <c r="G3404">
        <f t="shared" si="113"/>
        <v>-2.2623572664595252E-2</v>
      </c>
    </row>
    <row r="3405" spans="1:7" x14ac:dyDescent="0.35">
      <c r="A3405" t="s">
        <v>179</v>
      </c>
      <c r="B3405" s="3" cm="1">
        <f t="array" ref="B3405">_xlfn.STDEV.S(_xlfn._xlws.FILTER($E$2826:$E$3824, $A$2826:$A$3824="2023-09"))</f>
        <v>7.153463707830778E-3</v>
      </c>
      <c r="C3405" s="3" cm="1">
        <f t="array" ref="C3405">AVERAGE(_xlfn._xlws.FILTER($E$2826:$E$3824, $A$2826:$A$3824="2023-09"))</f>
        <v>-3.9184159003878587E-4</v>
      </c>
      <c r="D3405" s="3" cm="1">
        <f t="array" ref="D3405">_xlfn.PERCENTILE.EXC(_xlfn._xlws.FILTER($E$2490:$E$3818, $A$2490:$A$3818="2023-09"), 0.05)</f>
        <v>-1.206443913688972E-2</v>
      </c>
      <c r="E3405">
        <v>-5.9402458972327441E-3</v>
      </c>
      <c r="F3405">
        <f t="shared" si="112"/>
        <v>-1.5107720849359275E-2</v>
      </c>
      <c r="G3405">
        <f t="shared" si="113"/>
        <v>-2.2623572664595252E-2</v>
      </c>
    </row>
    <row r="3406" spans="1:7" x14ac:dyDescent="0.35">
      <c r="A3406" t="s">
        <v>179</v>
      </c>
      <c r="E3406">
        <v>-3.5301824543293035E-3</v>
      </c>
      <c r="F3406">
        <f t="shared" si="112"/>
        <v>-1.5108064649531136E-2</v>
      </c>
      <c r="G3406">
        <f t="shared" si="113"/>
        <v>-2.2623572664595252E-2</v>
      </c>
    </row>
    <row r="3407" spans="1:7" x14ac:dyDescent="0.35">
      <c r="A3407" t="s">
        <v>179</v>
      </c>
      <c r="E3407">
        <v>-2.583967027396503E-3</v>
      </c>
      <c r="F3407">
        <f t="shared" si="112"/>
        <v>-1.5108408449702997E-2</v>
      </c>
      <c r="G3407">
        <f t="shared" si="113"/>
        <v>-2.2623572664595252E-2</v>
      </c>
    </row>
    <row r="3408" spans="1:7" x14ac:dyDescent="0.35">
      <c r="A3408" t="s">
        <v>179</v>
      </c>
      <c r="E3408">
        <v>-8.2966733450715122E-3</v>
      </c>
      <c r="F3408">
        <f t="shared" si="112"/>
        <v>-1.5108752249874858E-2</v>
      </c>
      <c r="G3408">
        <f t="shared" si="113"/>
        <v>-2.2623572664595252E-2</v>
      </c>
    </row>
    <row r="3409" spans="1:7" x14ac:dyDescent="0.35">
      <c r="A3409" t="s">
        <v>179</v>
      </c>
      <c r="E3409">
        <v>-4.724984516934704E-4</v>
      </c>
      <c r="F3409">
        <f t="shared" si="112"/>
        <v>-1.5109096050046719E-2</v>
      </c>
      <c r="G3409">
        <f t="shared" si="113"/>
        <v>-2.2623572664595252E-2</v>
      </c>
    </row>
    <row r="3410" spans="1:7" x14ac:dyDescent="0.35">
      <c r="A3410" t="s">
        <v>179</v>
      </c>
      <c r="E3410">
        <v>5.84753146850823E-3</v>
      </c>
      <c r="F3410">
        <f t="shared" si="112"/>
        <v>-1.510943985021858E-2</v>
      </c>
      <c r="G3410">
        <f t="shared" si="113"/>
        <v>-2.2623572664595252E-2</v>
      </c>
    </row>
    <row r="3411" spans="1:7" x14ac:dyDescent="0.35">
      <c r="A3411" t="s">
        <v>179</v>
      </c>
      <c r="E3411">
        <v>7.5107535066187394E-3</v>
      </c>
      <c r="F3411">
        <f t="shared" si="112"/>
        <v>-1.5109783650390441E-2</v>
      </c>
      <c r="G3411">
        <f t="shared" si="113"/>
        <v>-2.2623572664595252E-2</v>
      </c>
    </row>
    <row r="3412" spans="1:7" x14ac:dyDescent="0.35">
      <c r="A3412" t="s">
        <v>179</v>
      </c>
      <c r="E3412">
        <v>2.1386306098408452E-3</v>
      </c>
      <c r="F3412">
        <f t="shared" si="112"/>
        <v>-1.5110127450562302E-2</v>
      </c>
      <c r="G3412">
        <f t="shared" si="113"/>
        <v>-2.2623572664595252E-2</v>
      </c>
    </row>
    <row r="3413" spans="1:7" x14ac:dyDescent="0.35">
      <c r="A3413" t="s">
        <v>179</v>
      </c>
      <c r="E3413">
        <v>-3.3157688155780619E-3</v>
      </c>
      <c r="F3413">
        <f t="shared" si="112"/>
        <v>-1.5110471250734163E-2</v>
      </c>
      <c r="G3413">
        <f t="shared" si="113"/>
        <v>-2.2623572664595252E-2</v>
      </c>
    </row>
    <row r="3414" spans="1:7" x14ac:dyDescent="0.35">
      <c r="A3414" t="s">
        <v>179</v>
      </c>
      <c r="E3414">
        <v>1.3166198909700054E-2</v>
      </c>
      <c r="F3414">
        <f t="shared" si="112"/>
        <v>-1.5110815050906024E-2</v>
      </c>
      <c r="G3414">
        <f t="shared" si="113"/>
        <v>-2.2623572664595252E-2</v>
      </c>
    </row>
    <row r="3415" spans="1:7" x14ac:dyDescent="0.35">
      <c r="A3415" t="s">
        <v>179</v>
      </c>
      <c r="E3415">
        <v>7.3303418590262806E-5</v>
      </c>
      <c r="F3415">
        <f t="shared" si="112"/>
        <v>-1.5111158851077885E-2</v>
      </c>
      <c r="G3415">
        <f t="shared" si="113"/>
        <v>-2.2623572664595252E-2</v>
      </c>
    </row>
    <row r="3416" spans="1:7" x14ac:dyDescent="0.35">
      <c r="A3416" t="s">
        <v>179</v>
      </c>
      <c r="E3416">
        <v>-7.103929664091492E-3</v>
      </c>
      <c r="F3416">
        <f t="shared" si="112"/>
        <v>-1.5111502651249746E-2</v>
      </c>
      <c r="G3416">
        <f t="shared" si="113"/>
        <v>-2.2623572664595252E-2</v>
      </c>
    </row>
    <row r="3417" spans="1:7" x14ac:dyDescent="0.35">
      <c r="A3417" t="s">
        <v>179</v>
      </c>
      <c r="E3417">
        <v>4.7450547490850582E-3</v>
      </c>
      <c r="F3417">
        <f t="shared" si="112"/>
        <v>-1.5111846451421607E-2</v>
      </c>
      <c r="G3417">
        <f t="shared" si="113"/>
        <v>-2.2623572664595252E-2</v>
      </c>
    </row>
    <row r="3418" spans="1:7" x14ac:dyDescent="0.35">
      <c r="A3418" t="s">
        <v>179</v>
      </c>
      <c r="E3418">
        <v>1.2371721977180797E-2</v>
      </c>
      <c r="F3418">
        <f t="shared" si="112"/>
        <v>-1.5112190251593468E-2</v>
      </c>
      <c r="G3418">
        <f t="shared" si="113"/>
        <v>-2.2623572664595252E-2</v>
      </c>
    </row>
    <row r="3419" spans="1:7" x14ac:dyDescent="0.35">
      <c r="A3419" t="s">
        <v>179</v>
      </c>
      <c r="E3419">
        <v>-1.0096622836363889E-2</v>
      </c>
      <c r="F3419">
        <f t="shared" si="112"/>
        <v>-1.5112534051765329E-2</v>
      </c>
      <c r="G3419">
        <f t="shared" si="113"/>
        <v>-2.2623572664595252E-2</v>
      </c>
    </row>
    <row r="3420" spans="1:7" x14ac:dyDescent="0.35">
      <c r="A3420" t="s">
        <v>179</v>
      </c>
      <c r="E3420">
        <v>-4.9236618477364689E-3</v>
      </c>
      <c r="F3420">
        <f t="shared" si="112"/>
        <v>-1.5112877851937189E-2</v>
      </c>
      <c r="G3420">
        <f t="shared" si="113"/>
        <v>-2.2623572664595252E-2</v>
      </c>
    </row>
    <row r="3421" spans="1:7" x14ac:dyDescent="0.35">
      <c r="A3421" t="s">
        <v>179</v>
      </c>
      <c r="E3421">
        <v>-1.2283085392503701E-2</v>
      </c>
      <c r="F3421">
        <f t="shared" si="112"/>
        <v>-1.5129222336597522E-2</v>
      </c>
      <c r="G3421">
        <f t="shared" si="113"/>
        <v>-2.3018872391577249E-2</v>
      </c>
    </row>
    <row r="3422" spans="1:7" x14ac:dyDescent="0.35">
      <c r="A3422" t="s">
        <v>179</v>
      </c>
      <c r="E3422">
        <v>-2.0370189788817489E-3</v>
      </c>
      <c r="F3422">
        <f t="shared" si="112"/>
        <v>-1.5145566821257854E-2</v>
      </c>
      <c r="G3422">
        <f t="shared" si="113"/>
        <v>-2.3018872391577249E-2</v>
      </c>
    </row>
    <row r="3423" spans="1:7" x14ac:dyDescent="0.35">
      <c r="A3423" t="s">
        <v>179</v>
      </c>
      <c r="E3423">
        <v>-3.7435601081206782E-3</v>
      </c>
      <c r="F3423">
        <f t="shared" si="112"/>
        <v>-1.5161911305918188E-2</v>
      </c>
      <c r="G3423">
        <f t="shared" si="113"/>
        <v>-2.3018872391577249E-2</v>
      </c>
    </row>
    <row r="3424" spans="1:7" x14ac:dyDescent="0.35">
      <c r="A3424" t="s">
        <v>179</v>
      </c>
      <c r="E3424">
        <v>1.0118058246579412E-2</v>
      </c>
      <c r="F3424">
        <f t="shared" si="112"/>
        <v>-1.5178255790578521E-2</v>
      </c>
      <c r="G3424">
        <f t="shared" si="113"/>
        <v>-2.3018872391577249E-2</v>
      </c>
    </row>
    <row r="3425" spans="1:7" x14ac:dyDescent="0.35">
      <c r="A3425" t="s">
        <v>179</v>
      </c>
      <c r="E3425">
        <v>1.2728854208167198E-4</v>
      </c>
      <c r="F3425">
        <f t="shared" si="112"/>
        <v>-1.5194600275238855E-2</v>
      </c>
      <c r="G3425">
        <f t="shared" si="113"/>
        <v>-2.3018872391577249E-2</v>
      </c>
    </row>
    <row r="3426" spans="1:7" x14ac:dyDescent="0.35">
      <c r="A3426" t="s">
        <v>180</v>
      </c>
      <c r="B3426" s="3" cm="1">
        <f t="array" ref="B3426">_xlfn.STDEV.S(_xlfn._xlws.FILTER($E$2826:$E$3824, $A$2826:$A$3824="2023-10"))</f>
        <v>8.9117948478672805E-3</v>
      </c>
      <c r="C3426" s="3" cm="1">
        <f t="array" ref="C3426">AVERAGE(_xlfn._xlws.FILTER($E$2826:$E$3824, $A$2826:$A$3824="2023-10"))</f>
        <v>-2.0245013918404361E-3</v>
      </c>
      <c r="D3426" s="3" cm="1">
        <f t="array" ref="D3426">_xlfn.PERCENTILE.EXC(_xlfn._xlws.FILTER($E$2490:$E$3818, $A$2490:$A$3818="2023-10"), 0.05)</f>
        <v>-1.6060267380574329E-2</v>
      </c>
      <c r="E3426">
        <v>-1.162865827036628E-2</v>
      </c>
      <c r="F3426">
        <f t="shared" si="112"/>
        <v>-1.5210944759899186E-2</v>
      </c>
      <c r="G3426">
        <f t="shared" si="113"/>
        <v>-2.3018872391577249E-2</v>
      </c>
    </row>
    <row r="3427" spans="1:7" x14ac:dyDescent="0.35">
      <c r="A3427" t="s">
        <v>180</v>
      </c>
      <c r="E3427">
        <v>-1.6608891626236098E-2</v>
      </c>
      <c r="F3427">
        <f t="shared" si="112"/>
        <v>-1.522728924455952E-2</v>
      </c>
      <c r="G3427">
        <f t="shared" si="113"/>
        <v>-2.3018872391577249E-2</v>
      </c>
    </row>
    <row r="3428" spans="1:7" x14ac:dyDescent="0.35">
      <c r="A3428" t="s">
        <v>180</v>
      </c>
      <c r="E3428">
        <v>-6.8533911039026126E-3</v>
      </c>
      <c r="F3428">
        <f t="shared" si="112"/>
        <v>-1.5108752249874858E-2</v>
      </c>
      <c r="G3428">
        <f t="shared" si="113"/>
        <v>-2.2940134824508882E-2</v>
      </c>
    </row>
    <row r="3429" spans="1:7" x14ac:dyDescent="0.35">
      <c r="A3429" t="s">
        <v>180</v>
      </c>
      <c r="E3429">
        <v>6.0020113808029497E-3</v>
      </c>
      <c r="F3429">
        <f t="shared" si="112"/>
        <v>-1.5109096050046719E-2</v>
      </c>
      <c r="G3429">
        <f t="shared" si="113"/>
        <v>-2.2940134824508882E-2</v>
      </c>
    </row>
    <row r="3430" spans="1:7" x14ac:dyDescent="0.35">
      <c r="A3430" t="s">
        <v>180</v>
      </c>
      <c r="E3430">
        <v>8.4921814077640028E-3</v>
      </c>
      <c r="F3430">
        <f t="shared" si="112"/>
        <v>-1.510943985021858E-2</v>
      </c>
      <c r="G3430">
        <f t="shared" si="113"/>
        <v>-2.2940134824508882E-2</v>
      </c>
    </row>
    <row r="3431" spans="1:7" x14ac:dyDescent="0.35">
      <c r="A3431" t="s">
        <v>180</v>
      </c>
      <c r="E3431">
        <v>-9.191291163695027E-3</v>
      </c>
      <c r="F3431">
        <f t="shared" si="112"/>
        <v>-1.5109783650390441E-2</v>
      </c>
      <c r="G3431">
        <f t="shared" si="113"/>
        <v>-2.2940134824508882E-2</v>
      </c>
    </row>
    <row r="3432" spans="1:7" x14ac:dyDescent="0.35">
      <c r="A3432" t="s">
        <v>180</v>
      </c>
      <c r="E3432">
        <v>2.1704971314261537E-2</v>
      </c>
      <c r="F3432">
        <f t="shared" si="112"/>
        <v>-1.5110127450562302E-2</v>
      </c>
      <c r="G3432">
        <f t="shared" si="113"/>
        <v>-2.2940134824508882E-2</v>
      </c>
    </row>
    <row r="3433" spans="1:7" x14ac:dyDescent="0.35">
      <c r="A3433" t="s">
        <v>180</v>
      </c>
      <c r="E3433">
        <v>8.8710760660666707E-4</v>
      </c>
      <c r="F3433">
        <f t="shared" si="112"/>
        <v>-1.5110471250734163E-2</v>
      </c>
      <c r="G3433">
        <f t="shared" si="113"/>
        <v>-2.2940134824508882E-2</v>
      </c>
    </row>
    <row r="3434" spans="1:7" x14ac:dyDescent="0.35">
      <c r="A3434" t="s">
        <v>180</v>
      </c>
      <c r="E3434">
        <v>-2.6101296348648574E-3</v>
      </c>
      <c r="F3434">
        <f t="shared" si="112"/>
        <v>-1.5110815050906024E-2</v>
      </c>
      <c r="G3434">
        <f t="shared" si="113"/>
        <v>-2.2940134824508882E-2</v>
      </c>
    </row>
    <row r="3435" spans="1:7" x14ac:dyDescent="0.35">
      <c r="A3435" t="s">
        <v>180</v>
      </c>
      <c r="E3435">
        <v>-1.1104702968326947E-2</v>
      </c>
      <c r="F3435">
        <f t="shared" si="112"/>
        <v>-1.5111158851077885E-2</v>
      </c>
      <c r="G3435">
        <f t="shared" si="113"/>
        <v>-2.2940134824508882E-2</v>
      </c>
    </row>
    <row r="3436" spans="1:7" x14ac:dyDescent="0.35">
      <c r="A3436" t="s">
        <v>180</v>
      </c>
      <c r="E3436">
        <v>5.8531484598230718E-3</v>
      </c>
      <c r="F3436">
        <f t="shared" si="112"/>
        <v>-1.5111502651249746E-2</v>
      </c>
      <c r="G3436">
        <f t="shared" si="113"/>
        <v>-2.2940134824508882E-2</v>
      </c>
    </row>
    <row r="3437" spans="1:7" x14ac:dyDescent="0.35">
      <c r="A3437" t="s">
        <v>180</v>
      </c>
      <c r="E3437">
        <v>1.2267563521956085E-3</v>
      </c>
      <c r="F3437">
        <f t="shared" si="112"/>
        <v>-1.5111846451421607E-2</v>
      </c>
      <c r="G3437">
        <f t="shared" si="113"/>
        <v>-2.2940134824508882E-2</v>
      </c>
    </row>
    <row r="3438" spans="1:7" x14ac:dyDescent="0.35">
      <c r="A3438" t="s">
        <v>180</v>
      </c>
      <c r="E3438">
        <v>-9.2701299144923883E-3</v>
      </c>
      <c r="F3438">
        <f t="shared" si="112"/>
        <v>-1.5112190251593468E-2</v>
      </c>
      <c r="G3438">
        <f t="shared" si="113"/>
        <v>-2.2940134824508882E-2</v>
      </c>
    </row>
    <row r="3439" spans="1:7" x14ac:dyDescent="0.35">
      <c r="A3439" t="s">
        <v>180</v>
      </c>
      <c r="E3439">
        <v>-7.1788755706516565E-3</v>
      </c>
      <c r="F3439">
        <f t="shared" si="112"/>
        <v>-1.5112534051765329E-2</v>
      </c>
      <c r="G3439">
        <f t="shared" si="113"/>
        <v>-2.2940134824508882E-2</v>
      </c>
    </row>
    <row r="3440" spans="1:7" x14ac:dyDescent="0.35">
      <c r="A3440" t="s">
        <v>180</v>
      </c>
      <c r="E3440">
        <v>-1.2951396655157628E-2</v>
      </c>
      <c r="F3440">
        <f t="shared" si="112"/>
        <v>-1.5112877851937189E-2</v>
      </c>
      <c r="G3440">
        <f t="shared" si="113"/>
        <v>-2.2940134824508882E-2</v>
      </c>
    </row>
    <row r="3441" spans="1:7" x14ac:dyDescent="0.35">
      <c r="A3441" t="s">
        <v>180</v>
      </c>
      <c r="E3441">
        <v>-3.7282423931079937E-3</v>
      </c>
      <c r="F3441">
        <f t="shared" si="112"/>
        <v>-1.5129222336597522E-2</v>
      </c>
      <c r="G3441">
        <f t="shared" si="113"/>
        <v>-2.3374982434096202E-2</v>
      </c>
    </row>
    <row r="3442" spans="1:7" x14ac:dyDescent="0.35">
      <c r="A3442" t="s">
        <v>180</v>
      </c>
      <c r="E3442">
        <v>-2.1923854023647655E-3</v>
      </c>
      <c r="F3442">
        <f t="shared" si="112"/>
        <v>-1.5145566821257854E-2</v>
      </c>
      <c r="G3442">
        <f t="shared" si="113"/>
        <v>-2.3374982434096202E-2</v>
      </c>
    </row>
    <row r="3443" spans="1:7" x14ac:dyDescent="0.35">
      <c r="A3443" t="s">
        <v>180</v>
      </c>
      <c r="E3443">
        <v>1.0021937745168324E-3</v>
      </c>
      <c r="F3443">
        <f t="shared" si="112"/>
        <v>-1.5161911305918188E-2</v>
      </c>
      <c r="G3443">
        <f t="shared" si="113"/>
        <v>-2.3374982434096202E-2</v>
      </c>
    </row>
    <row r="3444" spans="1:7" x14ac:dyDescent="0.35">
      <c r="A3444" t="s">
        <v>180</v>
      </c>
      <c r="E3444">
        <v>-2.4515824978050731E-3</v>
      </c>
      <c r="F3444">
        <f t="shared" si="112"/>
        <v>-1.5178255790578521E-2</v>
      </c>
      <c r="G3444">
        <f t="shared" si="113"/>
        <v>-2.3374982434096202E-2</v>
      </c>
    </row>
    <row r="3445" spans="1:7" x14ac:dyDescent="0.35">
      <c r="A3445" t="s">
        <v>180</v>
      </c>
      <c r="E3445">
        <v>-4.9773326998475403E-3</v>
      </c>
      <c r="F3445">
        <f t="shared" si="112"/>
        <v>-1.5194600275238855E-2</v>
      </c>
      <c r="G3445">
        <f t="shared" si="113"/>
        <v>-2.3374982434096202E-2</v>
      </c>
    </row>
    <row r="3446" spans="1:7" x14ac:dyDescent="0.35">
      <c r="A3446" t="s">
        <v>180</v>
      </c>
      <c r="E3446">
        <v>1.0662484883877742E-2</v>
      </c>
      <c r="F3446">
        <f t="shared" si="112"/>
        <v>-1.5210944759899188E-2</v>
      </c>
      <c r="G3446">
        <f t="shared" si="113"/>
        <v>-2.3374982434096202E-2</v>
      </c>
    </row>
    <row r="3447" spans="1:7" x14ac:dyDescent="0.35">
      <c r="A3447" t="s">
        <v>180</v>
      </c>
      <c r="E3447">
        <v>3.7712410048086907E-4</v>
      </c>
      <c r="F3447">
        <f t="shared" si="112"/>
        <v>-1.522728924455952E-2</v>
      </c>
      <c r="G3447">
        <f t="shared" si="113"/>
        <v>-2.3374982434096202E-2</v>
      </c>
    </row>
    <row r="3448" spans="1:7" x14ac:dyDescent="0.35">
      <c r="A3448" t="s">
        <v>181</v>
      </c>
      <c r="B3448" s="3" cm="1">
        <f t="array" ref="B3448">_xlfn.STDEV.S(_xlfn._xlws.FILTER($E$2826:$E$3824, $A$2826:$A$3824="2023-11"))</f>
        <v>6.3244536743770619E-3</v>
      </c>
      <c r="C3448" s="3" cm="1">
        <f t="array" ref="C3448">AVERAGE(_xlfn._xlws.FILTER($E$2826:$E$3824, $A$2826:$A$3824="2023-11"))</f>
        <v>4.9656030803454723E-3</v>
      </c>
      <c r="D3448" s="3" cm="1">
        <f t="array" ref="D3448">_xlfn.PERCENTILE.EXC(_xlfn._xlws.FILTER($E$2490:$E$3818, $A$2490:$A$3818="2023-11"), 0.05)</f>
        <v>-5.3411843974765349E-3</v>
      </c>
      <c r="E3448">
        <v>6.3784256975190729E-3</v>
      </c>
      <c r="F3448">
        <f t="shared" si="112"/>
        <v>-1.5243633729219852E-2</v>
      </c>
      <c r="G3448">
        <f t="shared" si="113"/>
        <v>-2.3374982434096202E-2</v>
      </c>
    </row>
    <row r="3449" spans="1:7" x14ac:dyDescent="0.35">
      <c r="A3449" t="s">
        <v>181</v>
      </c>
      <c r="E3449">
        <v>2.0223864118506081E-2</v>
      </c>
      <c r="F3449">
        <f t="shared" si="112"/>
        <v>-1.5259978213880187E-2</v>
      </c>
      <c r="G3449">
        <f t="shared" si="113"/>
        <v>-2.3374982434096202E-2</v>
      </c>
    </row>
    <row r="3450" spans="1:7" x14ac:dyDescent="0.35">
      <c r="A3450" t="s">
        <v>181</v>
      </c>
      <c r="E3450">
        <v>3.611026705611922E-3</v>
      </c>
      <c r="F3450">
        <f t="shared" si="112"/>
        <v>-1.5276322698540519E-2</v>
      </c>
      <c r="G3450">
        <f t="shared" si="113"/>
        <v>-2.3374982434096202E-2</v>
      </c>
    </row>
    <row r="3451" spans="1:7" x14ac:dyDescent="0.35">
      <c r="A3451" t="s">
        <v>181</v>
      </c>
      <c r="E3451">
        <v>-5.6540608344345187E-3</v>
      </c>
      <c r="F3451">
        <f t="shared" si="112"/>
        <v>-1.5292667183200851E-2</v>
      </c>
      <c r="G3451">
        <f t="shared" si="113"/>
        <v>-2.3374982434096202E-2</v>
      </c>
    </row>
    <row r="3452" spans="1:7" x14ac:dyDescent="0.35">
      <c r="A3452" t="s">
        <v>181</v>
      </c>
      <c r="E3452">
        <v>-6.0614590488485356E-4</v>
      </c>
      <c r="F3452">
        <f t="shared" si="112"/>
        <v>-1.5309011667861184E-2</v>
      </c>
      <c r="G3452">
        <f t="shared" si="113"/>
        <v>-2.3374982434096202E-2</v>
      </c>
    </row>
    <row r="3453" spans="1:7" x14ac:dyDescent="0.35">
      <c r="A3453" t="s">
        <v>181</v>
      </c>
      <c r="E3453">
        <v>5.172881505831564E-3</v>
      </c>
      <c r="F3453">
        <f t="shared" si="112"/>
        <v>-1.5325356152521518E-2</v>
      </c>
      <c r="G3453">
        <f t="shared" si="113"/>
        <v>-2.3374982434096202E-2</v>
      </c>
    </row>
    <row r="3454" spans="1:7" x14ac:dyDescent="0.35">
      <c r="A3454" t="s">
        <v>181</v>
      </c>
      <c r="E3454">
        <v>1.2991782069769304E-2</v>
      </c>
      <c r="F3454">
        <f t="shared" si="112"/>
        <v>-1.534170063718185E-2</v>
      </c>
      <c r="G3454">
        <f t="shared" si="113"/>
        <v>-2.3374982434096202E-2</v>
      </c>
    </row>
    <row r="3455" spans="1:7" x14ac:dyDescent="0.35">
      <c r="A3455" t="s">
        <v>181</v>
      </c>
      <c r="E3455">
        <v>-3.5682179213812944E-3</v>
      </c>
      <c r="F3455">
        <f t="shared" si="112"/>
        <v>-1.5358045121842183E-2</v>
      </c>
      <c r="G3455">
        <f t="shared" si="113"/>
        <v>-2.3374982434096202E-2</v>
      </c>
    </row>
    <row r="3456" spans="1:7" x14ac:dyDescent="0.35">
      <c r="A3456" t="s">
        <v>181</v>
      </c>
      <c r="E3456">
        <v>9.5575610459348644E-3</v>
      </c>
      <c r="F3456">
        <f t="shared" si="112"/>
        <v>-1.5374389606502517E-2</v>
      </c>
      <c r="G3456">
        <f t="shared" si="113"/>
        <v>-2.3374982434096202E-2</v>
      </c>
    </row>
    <row r="3457" spans="1:7" x14ac:dyDescent="0.35">
      <c r="A3457" t="s">
        <v>181</v>
      </c>
      <c r="E3457">
        <v>1.693517026161134E-2</v>
      </c>
      <c r="F3457">
        <f t="shared" si="112"/>
        <v>-1.539073409116285E-2</v>
      </c>
      <c r="G3457">
        <f t="shared" si="113"/>
        <v>-2.3374982434096202E-2</v>
      </c>
    </row>
    <row r="3458" spans="1:7" x14ac:dyDescent="0.35">
      <c r="A3458" t="s">
        <v>181</v>
      </c>
      <c r="E3458">
        <v>1.80647889658246E-3</v>
      </c>
      <c r="F3458">
        <f t="shared" si="112"/>
        <v>-1.5407078575823182E-2</v>
      </c>
      <c r="G3458">
        <f t="shared" si="113"/>
        <v>-2.3374982434096202E-2</v>
      </c>
    </row>
    <row r="3459" spans="1:7" x14ac:dyDescent="0.35">
      <c r="A3459" t="s">
        <v>181</v>
      </c>
      <c r="E3459">
        <v>2.765680415887119E-3</v>
      </c>
      <c r="F3459">
        <f t="shared" si="112"/>
        <v>-1.5423423060483516E-2</v>
      </c>
      <c r="G3459">
        <f t="shared" si="113"/>
        <v>-2.3374982434096202E-2</v>
      </c>
    </row>
    <row r="3460" spans="1:7" x14ac:dyDescent="0.35">
      <c r="A3460" t="s">
        <v>181</v>
      </c>
      <c r="E3460">
        <v>9.6764322510938926E-3</v>
      </c>
      <c r="F3460">
        <f t="shared" ref="F3460:F3523" si="114">_xlfn.PERCENTILE.EXC(E3460:E7275,0.05)</f>
        <v>-1.5439767545143849E-2</v>
      </c>
      <c r="G3460">
        <f t="shared" ref="G3460:G3523" si="115">AVERAGEIFS(E3460:E7276,E3460:E7276,"&lt;=" &amp; F3460)</f>
        <v>-2.3374982434096202E-2</v>
      </c>
    </row>
    <row r="3461" spans="1:7" x14ac:dyDescent="0.35">
      <c r="A3461" t="s">
        <v>181</v>
      </c>
      <c r="E3461">
        <v>7.9182471225858475E-3</v>
      </c>
      <c r="F3461">
        <f t="shared" si="114"/>
        <v>-1.5459012936545289E-2</v>
      </c>
      <c r="G3461">
        <f t="shared" si="115"/>
        <v>-2.3841759780505161E-2</v>
      </c>
    </row>
    <row r="3462" spans="1:7" x14ac:dyDescent="0.35">
      <c r="A3462" t="s">
        <v>181</v>
      </c>
      <c r="E3462">
        <v>-1.1695015697500476E-3</v>
      </c>
      <c r="F3462">
        <f t="shared" si="114"/>
        <v>-1.5478258327946725E-2</v>
      </c>
      <c r="G3462">
        <f t="shared" si="115"/>
        <v>-2.3841759780505161E-2</v>
      </c>
    </row>
    <row r="3463" spans="1:7" x14ac:dyDescent="0.35">
      <c r="A3463" t="s">
        <v>181</v>
      </c>
      <c r="E3463">
        <v>6.0766409487238776E-3</v>
      </c>
      <c r="F3463">
        <f t="shared" si="114"/>
        <v>-1.5497503719348165E-2</v>
      </c>
      <c r="G3463">
        <f t="shared" si="115"/>
        <v>-2.3841759780505161E-2</v>
      </c>
    </row>
    <row r="3464" spans="1:7" x14ac:dyDescent="0.35">
      <c r="A3464" t="s">
        <v>181</v>
      </c>
      <c r="E3464">
        <v>1.82893916964192E-3</v>
      </c>
      <c r="F3464">
        <f t="shared" si="114"/>
        <v>-1.5516749110749605E-2</v>
      </c>
      <c r="G3464">
        <f t="shared" si="115"/>
        <v>-2.3841759780505161E-2</v>
      </c>
    </row>
    <row r="3465" spans="1:7" x14ac:dyDescent="0.35">
      <c r="A3465" t="s">
        <v>181</v>
      </c>
      <c r="E3465">
        <v>3.3762535536242372E-3</v>
      </c>
      <c r="F3465">
        <f t="shared" si="114"/>
        <v>-1.5535994502151044E-2</v>
      </c>
      <c r="G3465">
        <f t="shared" si="115"/>
        <v>-2.3841759780505161E-2</v>
      </c>
    </row>
    <row r="3466" spans="1:7" x14ac:dyDescent="0.35">
      <c r="A3466" t="s">
        <v>181</v>
      </c>
      <c r="E3466">
        <v>-2.9182243315306996E-4</v>
      </c>
      <c r="F3466">
        <f t="shared" si="114"/>
        <v>-1.5555239893552484E-2</v>
      </c>
      <c r="G3466">
        <f t="shared" si="115"/>
        <v>-2.3841759780505161E-2</v>
      </c>
    </row>
    <row r="3467" spans="1:7" x14ac:dyDescent="0.35">
      <c r="A3467" t="s">
        <v>181</v>
      </c>
      <c r="E3467">
        <v>6.7504456544282615E-3</v>
      </c>
      <c r="F3467">
        <f t="shared" si="114"/>
        <v>-1.5574485284953922E-2</v>
      </c>
      <c r="G3467">
        <f t="shared" si="115"/>
        <v>-2.3841759780505161E-2</v>
      </c>
    </row>
    <row r="3468" spans="1:7" x14ac:dyDescent="0.35">
      <c r="A3468" t="s">
        <v>181</v>
      </c>
      <c r="E3468">
        <v>5.9005453763565233E-3</v>
      </c>
      <c r="F3468">
        <f t="shared" si="114"/>
        <v>-1.5593730676355361E-2</v>
      </c>
      <c r="G3468">
        <f t="shared" si="115"/>
        <v>-2.3841759780505161E-2</v>
      </c>
    </row>
    <row r="3469" spans="1:7" x14ac:dyDescent="0.35">
      <c r="A3469" t="s">
        <v>181</v>
      </c>
      <c r="E3469">
        <v>-4.3735836250410637E-4</v>
      </c>
      <c r="F3469">
        <f t="shared" si="114"/>
        <v>-1.5612976067756801E-2</v>
      </c>
      <c r="G3469">
        <f t="shared" si="115"/>
        <v>-2.3841759780505161E-2</v>
      </c>
    </row>
    <row r="3470" spans="1:7" x14ac:dyDescent="0.35">
      <c r="A3470" t="s">
        <v>182</v>
      </c>
      <c r="B3470" s="3" cm="1">
        <f t="array" ref="B3470">_xlfn.STDEV.S(_xlfn._xlws.FILTER($E$2826:$E$3824, $A$2826:$A$3824="2023-12"))</f>
        <v>5.4777762126813935E-3</v>
      </c>
      <c r="C3470" s="3" cm="1">
        <f t="array" ref="C3470">AVERAGE(_xlfn._xlws.FILTER($E$2826:$E$3824, $A$2826:$A$3824="2023-12"))</f>
        <v>2.2921583188236129E-4</v>
      </c>
      <c r="D3470" s="3" cm="1">
        <f t="array" ref="D3470">_xlfn.PERCENTILE.EXC(_xlfn._xlws.FILTER($E$2490:$E$3818, $A$2490:$A$3818="2023-12"), 0.05)</f>
        <v>-1.0988098264046483E-2</v>
      </c>
      <c r="E3470">
        <v>8.1786682934685672E-3</v>
      </c>
      <c r="F3470">
        <f t="shared" si="114"/>
        <v>-1.5632221459158241E-2</v>
      </c>
      <c r="G3470">
        <f t="shared" si="115"/>
        <v>-2.3841759780505161E-2</v>
      </c>
    </row>
    <row r="3471" spans="1:7" x14ac:dyDescent="0.35">
      <c r="A3471" t="s">
        <v>182</v>
      </c>
      <c r="E3471">
        <v>3.6911125567535038E-3</v>
      </c>
      <c r="F3471">
        <f t="shared" si="114"/>
        <v>-1.5651466850559681E-2</v>
      </c>
      <c r="G3471">
        <f t="shared" si="115"/>
        <v>-2.3841759780505161E-2</v>
      </c>
    </row>
    <row r="3472" spans="1:7" x14ac:dyDescent="0.35">
      <c r="A3472" t="s">
        <v>182</v>
      </c>
      <c r="E3472">
        <v>5.8873543318406635E-3</v>
      </c>
      <c r="F3472">
        <f t="shared" si="114"/>
        <v>-1.5670712241961118E-2</v>
      </c>
      <c r="G3472">
        <f t="shared" si="115"/>
        <v>-2.3841759780505161E-2</v>
      </c>
    </row>
    <row r="3473" spans="1:7" x14ac:dyDescent="0.35">
      <c r="A3473" t="s">
        <v>182</v>
      </c>
      <c r="E3473">
        <v>1.9222800054859929E-3</v>
      </c>
      <c r="F3473">
        <f t="shared" si="114"/>
        <v>-1.5689957633362558E-2</v>
      </c>
      <c r="G3473">
        <f t="shared" si="115"/>
        <v>-2.3841759780505161E-2</v>
      </c>
    </row>
    <row r="3474" spans="1:7" x14ac:dyDescent="0.35">
      <c r="A3474" t="s">
        <v>182</v>
      </c>
      <c r="E3474">
        <v>-1.0988098264046483E-2</v>
      </c>
      <c r="F3474">
        <f t="shared" si="114"/>
        <v>-1.5709203024763998E-2</v>
      </c>
      <c r="G3474">
        <f t="shared" si="115"/>
        <v>-2.3841759780505161E-2</v>
      </c>
    </row>
    <row r="3475" spans="1:7" x14ac:dyDescent="0.35">
      <c r="A3475" t="s">
        <v>182</v>
      </c>
      <c r="E3475">
        <v>7.5996713226131919E-3</v>
      </c>
      <c r="F3475">
        <f t="shared" si="114"/>
        <v>-1.5728448416165434E-2</v>
      </c>
      <c r="G3475">
        <f t="shared" si="115"/>
        <v>-2.3841759780505161E-2</v>
      </c>
    </row>
    <row r="3476" spans="1:7" x14ac:dyDescent="0.35">
      <c r="A3476" t="s">
        <v>182</v>
      </c>
      <c r="E3476">
        <v>-2.4875878341473899E-3</v>
      </c>
      <c r="F3476">
        <f t="shared" si="114"/>
        <v>-1.5747693807566875E-2</v>
      </c>
      <c r="G3476">
        <f t="shared" si="115"/>
        <v>-2.3841759780505161E-2</v>
      </c>
    </row>
    <row r="3477" spans="1:7" x14ac:dyDescent="0.35">
      <c r="A3477" t="s">
        <v>182</v>
      </c>
      <c r="E3477">
        <v>-7.8064255231676894E-3</v>
      </c>
      <c r="F3477">
        <f t="shared" si="114"/>
        <v>-1.5766939198968315E-2</v>
      </c>
      <c r="G3477">
        <f t="shared" si="115"/>
        <v>-2.3841759780505161E-2</v>
      </c>
    </row>
    <row r="3478" spans="1:7" x14ac:dyDescent="0.35">
      <c r="A3478" t="s">
        <v>182</v>
      </c>
      <c r="E3478">
        <v>-2.2359864471554695E-3</v>
      </c>
      <c r="F3478">
        <f t="shared" si="114"/>
        <v>-1.5786184590369751E-2</v>
      </c>
      <c r="G3478">
        <f t="shared" si="115"/>
        <v>-2.3841759780505161E-2</v>
      </c>
    </row>
    <row r="3479" spans="1:7" x14ac:dyDescent="0.35">
      <c r="A3479" t="s">
        <v>182</v>
      </c>
      <c r="E3479">
        <v>7.4601437371855971E-3</v>
      </c>
      <c r="F3479">
        <f t="shared" si="114"/>
        <v>-1.5805429981771191E-2</v>
      </c>
      <c r="G3479">
        <f t="shared" si="115"/>
        <v>-2.3841759780505161E-2</v>
      </c>
    </row>
    <row r="3480" spans="1:7" x14ac:dyDescent="0.35">
      <c r="A3480" t="s">
        <v>182</v>
      </c>
      <c r="E3480">
        <v>-7.5096690371952929E-3</v>
      </c>
      <c r="F3480">
        <f t="shared" si="114"/>
        <v>-1.5824675373172632E-2</v>
      </c>
      <c r="G3480">
        <f t="shared" si="115"/>
        <v>-2.3841759780505161E-2</v>
      </c>
    </row>
    <row r="3481" spans="1:7" x14ac:dyDescent="0.35">
      <c r="A3481" t="s">
        <v>182</v>
      </c>
      <c r="E3481">
        <v>-4.0396074883160531E-3</v>
      </c>
      <c r="F3481">
        <f t="shared" si="114"/>
        <v>-1.5828209075330342E-2</v>
      </c>
      <c r="G3481">
        <f t="shared" si="115"/>
        <v>-2.434282755596345E-2</v>
      </c>
    </row>
    <row r="3482" spans="1:7" x14ac:dyDescent="0.35">
      <c r="A3482" t="s">
        <v>182</v>
      </c>
      <c r="E3482">
        <v>5.1384923793414573E-3</v>
      </c>
      <c r="F3482">
        <f t="shared" si="114"/>
        <v>-1.5831742777488052E-2</v>
      </c>
      <c r="G3482">
        <f t="shared" si="115"/>
        <v>-2.434282755596345E-2</v>
      </c>
    </row>
    <row r="3483" spans="1:7" x14ac:dyDescent="0.35">
      <c r="A3483" t="s">
        <v>182</v>
      </c>
      <c r="E3483">
        <v>-5.64141406609557E-4</v>
      </c>
      <c r="F3483">
        <f t="shared" si="114"/>
        <v>-1.5835276479645763E-2</v>
      </c>
      <c r="G3483">
        <f t="shared" si="115"/>
        <v>-2.434282755596345E-2</v>
      </c>
    </row>
    <row r="3484" spans="1:7" x14ac:dyDescent="0.35">
      <c r="A3484" t="s">
        <v>182</v>
      </c>
      <c r="E3484">
        <v>3.2664697176890183E-4</v>
      </c>
      <c r="F3484">
        <f t="shared" si="114"/>
        <v>-1.5838810181803473E-2</v>
      </c>
      <c r="G3484">
        <f t="shared" si="115"/>
        <v>-2.434282755596345E-2</v>
      </c>
    </row>
    <row r="3485" spans="1:7" x14ac:dyDescent="0.35">
      <c r="A3485" t="s">
        <v>182</v>
      </c>
      <c r="E3485">
        <v>7.5187229628042858E-4</v>
      </c>
      <c r="F3485">
        <f t="shared" si="114"/>
        <v>-1.5842343883961184E-2</v>
      </c>
      <c r="G3485">
        <f t="shared" si="115"/>
        <v>-2.434282755596345E-2</v>
      </c>
    </row>
    <row r="3486" spans="1:7" x14ac:dyDescent="0.35">
      <c r="A3486" t="s">
        <v>182</v>
      </c>
      <c r="E3486">
        <v>9.7856554065851907E-4</v>
      </c>
      <c r="F3486">
        <f t="shared" si="114"/>
        <v>-1.5845877586118894E-2</v>
      </c>
      <c r="G3486">
        <f t="shared" si="115"/>
        <v>-2.434282755596345E-2</v>
      </c>
    </row>
    <row r="3487" spans="1:7" x14ac:dyDescent="0.35">
      <c r="A3487" t="s">
        <v>182</v>
      </c>
      <c r="E3487">
        <v>-3.5233607312352938E-3</v>
      </c>
      <c r="F3487">
        <f t="shared" si="114"/>
        <v>-1.5849411288276605E-2</v>
      </c>
      <c r="G3487">
        <f t="shared" si="115"/>
        <v>-2.434282755596345E-2</v>
      </c>
    </row>
    <row r="3488" spans="1:7" x14ac:dyDescent="0.35">
      <c r="A3488" t="s">
        <v>182</v>
      </c>
      <c r="E3488">
        <v>1.575170102241272E-3</v>
      </c>
      <c r="F3488">
        <f t="shared" si="114"/>
        <v>-1.5852944990434315E-2</v>
      </c>
      <c r="G3488">
        <f t="shared" si="115"/>
        <v>-2.434282755596345E-2</v>
      </c>
    </row>
    <row r="3489" spans="1:7" x14ac:dyDescent="0.35">
      <c r="A3489" t="s">
        <v>183</v>
      </c>
      <c r="B3489" s="3" cm="1">
        <f t="array" ref="B3489">_xlfn.STDEV.S(_xlfn._xlws.FILTER($E$2826:$E$3824, $A$2826:$A$3824="2024-01"))</f>
        <v>8.882678014419795E-3</v>
      </c>
      <c r="C3489" s="3" cm="1">
        <f t="array" ref="C3489">AVERAGE(_xlfn._xlws.FILTER($E$2826:$E$3824, $A$2826:$A$3824="2024-01"))</f>
        <v>-1.09920955568087E-4</v>
      </c>
      <c r="D3489" s="3" cm="1">
        <f t="array" ref="D3489">_xlfn.PERCENTILE.EXC(_xlfn._xlws.FILTER($E$2490:$E$3818, $A$2490:$A$3818="2024-01"), 0.05)</f>
        <v>-1.437985269376834E-2</v>
      </c>
      <c r="E3489">
        <v>7.8879536583472444E-3</v>
      </c>
      <c r="F3489">
        <f t="shared" si="114"/>
        <v>-1.5856478692592026E-2</v>
      </c>
      <c r="G3489">
        <f t="shared" si="115"/>
        <v>-2.434282755596345E-2</v>
      </c>
    </row>
    <row r="3490" spans="1:7" x14ac:dyDescent="0.35">
      <c r="A3490" t="s">
        <v>183</v>
      </c>
      <c r="E3490">
        <v>-1.2720390935714625E-2</v>
      </c>
      <c r="F3490">
        <f t="shared" si="114"/>
        <v>-1.5860012394749736E-2</v>
      </c>
      <c r="G3490">
        <f t="shared" si="115"/>
        <v>-2.434282755596345E-2</v>
      </c>
    </row>
    <row r="3491" spans="1:7" x14ac:dyDescent="0.35">
      <c r="A3491" t="s">
        <v>183</v>
      </c>
      <c r="E3491">
        <v>1.2749853971882538E-2</v>
      </c>
      <c r="F3491">
        <f t="shared" si="114"/>
        <v>-1.5863546096907447E-2</v>
      </c>
      <c r="G3491">
        <f t="shared" si="115"/>
        <v>-2.434282755596345E-2</v>
      </c>
    </row>
    <row r="3492" spans="1:7" x14ac:dyDescent="0.35">
      <c r="A3492" t="s">
        <v>183</v>
      </c>
      <c r="E3492">
        <v>-1.7594822422942193E-3</v>
      </c>
      <c r="F3492">
        <f t="shared" si="114"/>
        <v>-1.5867079799065157E-2</v>
      </c>
      <c r="G3492">
        <f t="shared" si="115"/>
        <v>-2.434282755596345E-2</v>
      </c>
    </row>
    <row r="3493" spans="1:7" x14ac:dyDescent="0.35">
      <c r="A3493" t="s">
        <v>183</v>
      </c>
      <c r="E3493">
        <v>4.3684267078966483E-3</v>
      </c>
      <c r="F3493">
        <f t="shared" si="114"/>
        <v>-1.5870613501222867E-2</v>
      </c>
      <c r="G3493">
        <f t="shared" si="115"/>
        <v>-2.434282755596345E-2</v>
      </c>
    </row>
    <row r="3494" spans="1:7" x14ac:dyDescent="0.35">
      <c r="A3494" t="s">
        <v>183</v>
      </c>
      <c r="E3494">
        <v>-1.4672698886366055E-2</v>
      </c>
      <c r="F3494">
        <f t="shared" si="114"/>
        <v>-1.5874147203380578E-2</v>
      </c>
      <c r="G3494">
        <f t="shared" si="115"/>
        <v>-2.434282755596345E-2</v>
      </c>
    </row>
    <row r="3495" spans="1:7" x14ac:dyDescent="0.35">
      <c r="A3495" t="s">
        <v>183</v>
      </c>
      <c r="E3495">
        <v>6.7569584335008391E-4</v>
      </c>
      <c r="F3495">
        <f t="shared" si="114"/>
        <v>-1.5877680905538288E-2</v>
      </c>
      <c r="G3495">
        <f t="shared" si="115"/>
        <v>-2.434282755596345E-2</v>
      </c>
    </row>
    <row r="3496" spans="1:7" x14ac:dyDescent="0.35">
      <c r="A3496" t="s">
        <v>183</v>
      </c>
      <c r="E3496">
        <v>-6.1977081606147235E-3</v>
      </c>
      <c r="F3496">
        <f t="shared" si="114"/>
        <v>-1.5881214607695999E-2</v>
      </c>
      <c r="G3496">
        <f t="shared" si="115"/>
        <v>-2.434282755596345E-2</v>
      </c>
    </row>
    <row r="3497" spans="1:7" x14ac:dyDescent="0.35">
      <c r="A3497" t="s">
        <v>183</v>
      </c>
      <c r="E3497">
        <v>8.9454667972831518E-3</v>
      </c>
      <c r="F3497">
        <f t="shared" si="114"/>
        <v>-1.5884748309853709E-2</v>
      </c>
      <c r="G3497">
        <f t="shared" si="115"/>
        <v>-2.434282755596345E-2</v>
      </c>
    </row>
    <row r="3498" spans="1:7" x14ac:dyDescent="0.35">
      <c r="A3498" t="s">
        <v>183</v>
      </c>
      <c r="E3498">
        <v>-1.7747641198741727E-3</v>
      </c>
      <c r="F3498">
        <f t="shared" si="114"/>
        <v>-1.588828201201142E-2</v>
      </c>
      <c r="G3498">
        <f t="shared" si="115"/>
        <v>-2.434282755596345E-2</v>
      </c>
    </row>
    <row r="3499" spans="1:7" x14ac:dyDescent="0.35">
      <c r="A3499" t="s">
        <v>183</v>
      </c>
      <c r="E3499">
        <v>-8.2507567851009683E-3</v>
      </c>
      <c r="F3499">
        <f t="shared" si="114"/>
        <v>-1.589181571416913E-2</v>
      </c>
      <c r="G3499">
        <f t="shared" si="115"/>
        <v>-2.434282755596345E-2</v>
      </c>
    </row>
    <row r="3500" spans="1:7" x14ac:dyDescent="0.35">
      <c r="A3500" t="s">
        <v>183</v>
      </c>
      <c r="E3500">
        <v>-1.2717987945249452E-2</v>
      </c>
      <c r="F3500">
        <f t="shared" si="114"/>
        <v>-1.5895349416326841E-2</v>
      </c>
      <c r="G3500">
        <f t="shared" si="115"/>
        <v>-2.434282755596345E-2</v>
      </c>
    </row>
    <row r="3501" spans="1:7" x14ac:dyDescent="0.35">
      <c r="A3501" t="s">
        <v>183</v>
      </c>
      <c r="E3501">
        <v>1.2659447409514883E-3</v>
      </c>
      <c r="F3501">
        <f t="shared" si="114"/>
        <v>-1.5904220696492475E-2</v>
      </c>
      <c r="G3501">
        <f t="shared" si="115"/>
        <v>-2.4905992765272562E-2</v>
      </c>
    </row>
    <row r="3502" spans="1:7" x14ac:dyDescent="0.35">
      <c r="A3502" t="s">
        <v>183</v>
      </c>
      <c r="E3502">
        <v>-2.2291357147839162E-3</v>
      </c>
      <c r="F3502">
        <f t="shared" si="114"/>
        <v>-1.5913091976658113E-2</v>
      </c>
      <c r="G3502">
        <f t="shared" si="115"/>
        <v>-2.4905992765272562E-2</v>
      </c>
    </row>
    <row r="3503" spans="1:7" x14ac:dyDescent="0.35">
      <c r="A3503" t="s">
        <v>183</v>
      </c>
      <c r="E3503">
        <v>1.1076254141031052E-2</v>
      </c>
      <c r="F3503">
        <f t="shared" si="114"/>
        <v>-1.5921963256823747E-2</v>
      </c>
      <c r="G3503">
        <f t="shared" si="115"/>
        <v>-2.4905992765272562E-2</v>
      </c>
    </row>
    <row r="3504" spans="1:7" x14ac:dyDescent="0.35">
      <c r="A3504" t="s">
        <v>183</v>
      </c>
      <c r="E3504">
        <v>-1.0984964677293044E-2</v>
      </c>
      <c r="F3504">
        <f t="shared" si="114"/>
        <v>-1.5930834536989385E-2</v>
      </c>
      <c r="G3504">
        <f t="shared" si="115"/>
        <v>-2.4905992765272562E-2</v>
      </c>
    </row>
    <row r="3505" spans="1:7" x14ac:dyDescent="0.35">
      <c r="A3505" t="s">
        <v>183</v>
      </c>
      <c r="E3505">
        <v>1.1576677703718957E-2</v>
      </c>
      <c r="F3505">
        <f t="shared" si="114"/>
        <v>-1.5939705817155019E-2</v>
      </c>
      <c r="G3505">
        <f t="shared" si="115"/>
        <v>-2.4905992765272562E-2</v>
      </c>
    </row>
    <row r="3506" spans="1:7" x14ac:dyDescent="0.35">
      <c r="A3506" t="s">
        <v>183</v>
      </c>
      <c r="E3506">
        <v>-5.77158651207466E-3</v>
      </c>
      <c r="F3506">
        <f t="shared" si="114"/>
        <v>-1.5948577097320654E-2</v>
      </c>
      <c r="G3506">
        <f t="shared" si="115"/>
        <v>-2.4905992765272562E-2</v>
      </c>
    </row>
    <row r="3507" spans="1:7" x14ac:dyDescent="0.35">
      <c r="A3507" t="s">
        <v>183</v>
      </c>
      <c r="E3507">
        <v>2.0147892295072005E-3</v>
      </c>
      <c r="F3507">
        <f t="shared" si="114"/>
        <v>-1.5957448377486291E-2</v>
      </c>
      <c r="G3507">
        <f t="shared" si="115"/>
        <v>-2.4905992765272562E-2</v>
      </c>
    </row>
    <row r="3508" spans="1:7" x14ac:dyDescent="0.35">
      <c r="A3508" t="s">
        <v>183</v>
      </c>
      <c r="E3508">
        <v>-4.6704309964249215E-3</v>
      </c>
      <c r="F3508">
        <f t="shared" si="114"/>
        <v>-1.5966319657651926E-2</v>
      </c>
      <c r="G3508">
        <f t="shared" si="115"/>
        <v>-2.4905992765272562E-2</v>
      </c>
    </row>
    <row r="3509" spans="1:7" x14ac:dyDescent="0.35">
      <c r="A3509" t="s">
        <v>183</v>
      </c>
      <c r="E3509">
        <v>1.4952911872476991E-2</v>
      </c>
      <c r="F3509">
        <f t="shared" si="114"/>
        <v>-1.5975190937817563E-2</v>
      </c>
      <c r="G3509">
        <f t="shared" si="115"/>
        <v>-2.4905992765272562E-2</v>
      </c>
    </row>
    <row r="3510" spans="1:7" x14ac:dyDescent="0.35">
      <c r="A3510" t="s">
        <v>183</v>
      </c>
      <c r="E3510">
        <v>3.8176712868474875E-3</v>
      </c>
      <c r="F3510">
        <f t="shared" si="114"/>
        <v>-1.5984062217983198E-2</v>
      </c>
      <c r="G3510">
        <f t="shared" si="115"/>
        <v>-2.4905992765272562E-2</v>
      </c>
    </row>
    <row r="3511" spans="1:7" x14ac:dyDescent="0.35">
      <c r="A3511" t="s">
        <v>184</v>
      </c>
      <c r="B3511" s="3" cm="1">
        <f t="array" ref="B3511">_xlfn.STDEV.S(_xlfn._xlws.FILTER($E$2826:$E$3824, $A$2826:$A$3824="2024-02"))</f>
        <v>6.1927509419736106E-3</v>
      </c>
      <c r="C3511" s="3" cm="1">
        <f t="array" ref="C3511">AVERAGE(_xlfn._xlws.FILTER($E$2826:$E$3824, $A$2826:$A$3824="2024-02"))</f>
        <v>-3.6237987902310563E-4</v>
      </c>
      <c r="D3511" s="3" cm="1">
        <f t="array" ref="D3511">_xlfn.PERCENTILE.EXC(_xlfn._xlws.FILTER($E$2490:$E$3818, $A$2490:$A$3818="2024-02"), 0.05)</f>
        <v>-1.2060353423076212E-2</v>
      </c>
      <c r="E3511">
        <v>-6.3409480965096673E-3</v>
      </c>
      <c r="F3511">
        <f t="shared" si="114"/>
        <v>-1.5992933498148832E-2</v>
      </c>
      <c r="G3511">
        <f t="shared" si="115"/>
        <v>-2.4905992765272562E-2</v>
      </c>
    </row>
    <row r="3512" spans="1:7" x14ac:dyDescent="0.35">
      <c r="A3512" t="s">
        <v>184</v>
      </c>
      <c r="E3512">
        <v>4.8315288369286877E-3</v>
      </c>
      <c r="F3512">
        <f t="shared" si="114"/>
        <v>-1.600180477831447E-2</v>
      </c>
      <c r="G3512">
        <f t="shared" si="115"/>
        <v>-2.4905992765272562E-2</v>
      </c>
    </row>
    <row r="3513" spans="1:7" x14ac:dyDescent="0.35">
      <c r="A3513" t="s">
        <v>184</v>
      </c>
      <c r="E3513">
        <v>-1.2117845919524074E-2</v>
      </c>
      <c r="F3513">
        <f t="shared" si="114"/>
        <v>-1.6010676058480104E-2</v>
      </c>
      <c r="G3513">
        <f t="shared" si="115"/>
        <v>-2.4905992765272562E-2</v>
      </c>
    </row>
    <row r="3514" spans="1:7" x14ac:dyDescent="0.35">
      <c r="A3514" t="s">
        <v>184</v>
      </c>
      <c r="E3514">
        <v>6.1872511778859191E-3</v>
      </c>
      <c r="F3514">
        <f t="shared" si="114"/>
        <v>-1.6019547338645742E-2</v>
      </c>
      <c r="G3514">
        <f t="shared" si="115"/>
        <v>-2.4905992765272562E-2</v>
      </c>
    </row>
    <row r="3515" spans="1:7" x14ac:dyDescent="0.35">
      <c r="A3515" t="s">
        <v>184</v>
      </c>
      <c r="E3515">
        <v>-1.1542920955045465E-2</v>
      </c>
      <c r="F3515">
        <f t="shared" si="114"/>
        <v>-1.6028418618811376E-2</v>
      </c>
      <c r="G3515">
        <f t="shared" si="115"/>
        <v>-2.4905992765272562E-2</v>
      </c>
    </row>
    <row r="3516" spans="1:7" x14ac:dyDescent="0.35">
      <c r="A3516" t="s">
        <v>184</v>
      </c>
      <c r="E3516">
        <v>1.7379359317424754E-3</v>
      </c>
      <c r="F3516">
        <f t="shared" si="114"/>
        <v>-1.6037289898977011E-2</v>
      </c>
      <c r="G3516">
        <f t="shared" si="115"/>
        <v>-2.4905992765272562E-2</v>
      </c>
    </row>
    <row r="3517" spans="1:7" x14ac:dyDescent="0.35">
      <c r="A3517" t="s">
        <v>184</v>
      </c>
      <c r="E3517">
        <v>-8.8879916971074037E-4</v>
      </c>
      <c r="F3517">
        <f t="shared" si="114"/>
        <v>-1.6046161179142648E-2</v>
      </c>
      <c r="G3517">
        <f t="shared" si="115"/>
        <v>-2.4905992765272562E-2</v>
      </c>
    </row>
    <row r="3518" spans="1:7" x14ac:dyDescent="0.35">
      <c r="A3518" t="s">
        <v>184</v>
      </c>
      <c r="E3518">
        <v>8.8626575387851028E-3</v>
      </c>
      <c r="F3518">
        <f t="shared" si="114"/>
        <v>-1.6055032459308283E-2</v>
      </c>
      <c r="G3518">
        <f t="shared" si="115"/>
        <v>-2.4905992765272562E-2</v>
      </c>
    </row>
    <row r="3519" spans="1:7" x14ac:dyDescent="0.35">
      <c r="A3519" t="s">
        <v>184</v>
      </c>
      <c r="E3519">
        <v>-5.9567933206730829E-3</v>
      </c>
      <c r="F3519">
        <f t="shared" si="114"/>
        <v>-1.6063903739473921E-2</v>
      </c>
      <c r="G3519">
        <f t="shared" si="115"/>
        <v>-2.4905992765272562E-2</v>
      </c>
    </row>
    <row r="3520" spans="1:7" x14ac:dyDescent="0.35">
      <c r="A3520" t="s">
        <v>184</v>
      </c>
      <c r="E3520">
        <v>-8.8700741628594982E-4</v>
      </c>
      <c r="F3520">
        <f t="shared" si="114"/>
        <v>-1.6072775019639555E-2</v>
      </c>
      <c r="G3520">
        <f t="shared" si="115"/>
        <v>-2.4905992765272562E-2</v>
      </c>
    </row>
    <row r="3521" spans="1:7" x14ac:dyDescent="0.35">
      <c r="A3521" t="s">
        <v>184</v>
      </c>
      <c r="E3521">
        <v>1.078417149551469E-3</v>
      </c>
      <c r="F3521">
        <f t="shared" si="114"/>
        <v>-1.6075537359199737E-2</v>
      </c>
      <c r="G3521">
        <f t="shared" si="115"/>
        <v>-2.5536936889960636E-2</v>
      </c>
    </row>
    <row r="3522" spans="1:7" x14ac:dyDescent="0.35">
      <c r="A3522" t="s">
        <v>184</v>
      </c>
      <c r="E3522">
        <v>-4.1284624368295416E-3</v>
      </c>
      <c r="F3522">
        <f t="shared" si="114"/>
        <v>-1.6078299698759922E-2</v>
      </c>
      <c r="G3522">
        <f t="shared" si="115"/>
        <v>-2.5536936889960636E-2</v>
      </c>
    </row>
    <row r="3523" spans="1:7" x14ac:dyDescent="0.35">
      <c r="A3523" t="s">
        <v>184</v>
      </c>
      <c r="E3523">
        <v>5.889726170790496E-3</v>
      </c>
      <c r="F3523">
        <f t="shared" si="114"/>
        <v>-1.6081062038320104E-2</v>
      </c>
      <c r="G3523">
        <f t="shared" si="115"/>
        <v>-2.5536936889960636E-2</v>
      </c>
    </row>
    <row r="3524" spans="1:7" x14ac:dyDescent="0.35">
      <c r="A3524" t="s">
        <v>184</v>
      </c>
      <c r="E3524">
        <v>9.3480138265941669E-3</v>
      </c>
      <c r="F3524">
        <f t="shared" ref="F3524:F3587" si="116">_xlfn.PERCENTILE.EXC(E3524:E7339,0.05)</f>
        <v>-1.6083824377880286E-2</v>
      </c>
      <c r="G3524">
        <f t="shared" ref="G3524:G3587" si="117">AVERAGEIFS(E3524:E7340,E3524:E7340,"&lt;=" &amp; F3524)</f>
        <v>-2.5536936889960636E-2</v>
      </c>
    </row>
    <row r="3525" spans="1:7" x14ac:dyDescent="0.35">
      <c r="A3525" t="s">
        <v>184</v>
      </c>
      <c r="E3525">
        <v>6.8502258403362274E-3</v>
      </c>
      <c r="F3525">
        <f t="shared" si="116"/>
        <v>-1.6086586717440468E-2</v>
      </c>
      <c r="G3525">
        <f t="shared" si="117"/>
        <v>-2.5536936889960636E-2</v>
      </c>
    </row>
    <row r="3526" spans="1:7" x14ac:dyDescent="0.35">
      <c r="A3526" t="s">
        <v>184</v>
      </c>
      <c r="E3526">
        <v>3.1314698538929906E-3</v>
      </c>
      <c r="F3526">
        <f t="shared" si="116"/>
        <v>-1.6089349057000654E-2</v>
      </c>
      <c r="G3526">
        <f t="shared" si="117"/>
        <v>-2.5536936889960636E-2</v>
      </c>
    </row>
    <row r="3527" spans="1:7" x14ac:dyDescent="0.35">
      <c r="A3527" t="s">
        <v>184</v>
      </c>
      <c r="E3527">
        <v>-8.1896449975601482E-4</v>
      </c>
      <c r="F3527">
        <f t="shared" si="116"/>
        <v>-1.6092111396560835E-2</v>
      </c>
      <c r="G3527">
        <f t="shared" si="117"/>
        <v>-2.5536936889960636E-2</v>
      </c>
    </row>
    <row r="3528" spans="1:7" x14ac:dyDescent="0.35">
      <c r="A3528" t="s">
        <v>184</v>
      </c>
      <c r="E3528">
        <v>7.6964826928129903E-4</v>
      </c>
      <c r="F3528">
        <f t="shared" si="116"/>
        <v>-1.6094873736121017E-2</v>
      </c>
      <c r="G3528">
        <f t="shared" si="117"/>
        <v>-2.5536936889960636E-2</v>
      </c>
    </row>
    <row r="3529" spans="1:7" x14ac:dyDescent="0.35">
      <c r="A3529" t="s">
        <v>184</v>
      </c>
      <c r="E3529">
        <v>-2.4293668933486261E-3</v>
      </c>
      <c r="F3529">
        <f t="shared" si="116"/>
        <v>-1.6097636075681203E-2</v>
      </c>
      <c r="G3529">
        <f t="shared" si="117"/>
        <v>-2.5536936889960636E-2</v>
      </c>
    </row>
    <row r="3530" spans="1:7" x14ac:dyDescent="0.35">
      <c r="A3530" t="s">
        <v>184</v>
      </c>
      <c r="E3530">
        <v>-4.4791576393346808E-3</v>
      </c>
      <c r="F3530">
        <f t="shared" si="116"/>
        <v>-1.6100398415241385E-2</v>
      </c>
      <c r="G3530">
        <f t="shared" si="117"/>
        <v>-2.5536936889960636E-2</v>
      </c>
    </row>
    <row r="3531" spans="1:7" x14ac:dyDescent="0.35">
      <c r="A3531" t="s">
        <v>184</v>
      </c>
      <c r="E3531">
        <v>-6.7065857082562064E-3</v>
      </c>
      <c r="F3531">
        <f t="shared" si="116"/>
        <v>-1.6103160754801567E-2</v>
      </c>
      <c r="G3531">
        <f t="shared" si="117"/>
        <v>-2.5536936889960636E-2</v>
      </c>
    </row>
    <row r="3532" spans="1:7" x14ac:dyDescent="0.35">
      <c r="A3532" t="s">
        <v>185</v>
      </c>
      <c r="B3532" s="3" cm="1">
        <f t="array" ref="B3532">_xlfn.STDEV.S(_xlfn._xlws.FILTER($E$2826:$E$3824, $A$2826:$A$3824="2024-03"))</f>
        <v>5.7537654688664284E-3</v>
      </c>
      <c r="C3532" s="3" cm="1">
        <f t="array" ref="C3532">AVERAGE(_xlfn._xlws.FILTER($E$2826:$E$3824, $A$2826:$A$3824="2024-03"))</f>
        <v>5.0969556676341704E-3</v>
      </c>
      <c r="D3532" s="3" cm="1">
        <f t="array" ref="D3532">_xlfn.PERCENTILE.EXC(_xlfn._xlws.FILTER($E$2490:$E$3818, $A$2490:$A$3818="2024-03"), 0.05)</f>
        <v>-6.4834334615648942E-3</v>
      </c>
      <c r="E3532">
        <v>6.3191678434472449E-3</v>
      </c>
      <c r="F3532">
        <f t="shared" si="116"/>
        <v>-1.6105923094361752E-2</v>
      </c>
      <c r="G3532">
        <f t="shared" si="117"/>
        <v>-2.5536936889960636E-2</v>
      </c>
    </row>
    <row r="3533" spans="1:7" x14ac:dyDescent="0.35">
      <c r="A3533" t="s">
        <v>185</v>
      </c>
      <c r="E3533">
        <v>5.0659317182639855E-4</v>
      </c>
      <c r="F3533">
        <f t="shared" si="116"/>
        <v>-1.6108685433921934E-2</v>
      </c>
      <c r="G3533">
        <f t="shared" si="117"/>
        <v>-2.5536936889960636E-2</v>
      </c>
    </row>
    <row r="3534" spans="1:7" x14ac:dyDescent="0.35">
      <c r="A3534" t="s">
        <v>185</v>
      </c>
      <c r="E3534">
        <v>4.6862159679210546E-3</v>
      </c>
      <c r="F3534">
        <f t="shared" si="116"/>
        <v>-1.6111447773482116E-2</v>
      </c>
      <c r="G3534">
        <f t="shared" si="117"/>
        <v>-2.5536936889960636E-2</v>
      </c>
    </row>
    <row r="3535" spans="1:7" x14ac:dyDescent="0.35">
      <c r="A3535" t="s">
        <v>185</v>
      </c>
      <c r="E3535">
        <v>7.8861112736183514E-3</v>
      </c>
      <c r="F3535">
        <f t="shared" si="116"/>
        <v>-1.6114210113042302E-2</v>
      </c>
      <c r="G3535">
        <f t="shared" si="117"/>
        <v>-2.5536936889960636E-2</v>
      </c>
    </row>
    <row r="3536" spans="1:7" x14ac:dyDescent="0.35">
      <c r="A3536" t="s">
        <v>185</v>
      </c>
      <c r="E3536">
        <v>1.1931826810727067E-2</v>
      </c>
      <c r="F3536">
        <f t="shared" si="116"/>
        <v>-1.6116972452602484E-2</v>
      </c>
      <c r="G3536">
        <f t="shared" si="117"/>
        <v>-2.5536936889960636E-2</v>
      </c>
    </row>
    <row r="3537" spans="1:7" x14ac:dyDescent="0.35">
      <c r="A3537" t="s">
        <v>185</v>
      </c>
      <c r="E3537">
        <v>-1.3478593867117727E-3</v>
      </c>
      <c r="F3537">
        <f t="shared" si="116"/>
        <v>-1.6119734792162665E-2</v>
      </c>
      <c r="G3537">
        <f t="shared" si="117"/>
        <v>-2.5536936889960636E-2</v>
      </c>
    </row>
    <row r="3538" spans="1:7" x14ac:dyDescent="0.35">
      <c r="A3538" t="s">
        <v>185</v>
      </c>
      <c r="E3538">
        <v>1.9387929335734802E-3</v>
      </c>
      <c r="F3538">
        <f t="shared" si="116"/>
        <v>-1.6122497131722847E-2</v>
      </c>
      <c r="G3538">
        <f t="shared" si="117"/>
        <v>-2.5536936889960636E-2</v>
      </c>
    </row>
    <row r="3539" spans="1:7" x14ac:dyDescent="0.35">
      <c r="A3539" t="s">
        <v>185</v>
      </c>
      <c r="E3539">
        <v>6.1019953173868423E-3</v>
      </c>
      <c r="F3539">
        <f t="shared" si="116"/>
        <v>-1.6125259471283033E-2</v>
      </c>
      <c r="G3539">
        <f t="shared" si="117"/>
        <v>-2.5536936889960636E-2</v>
      </c>
    </row>
    <row r="3540" spans="1:7" x14ac:dyDescent="0.35">
      <c r="A3540" t="s">
        <v>185</v>
      </c>
      <c r="E3540">
        <v>1.6382697165493142E-2</v>
      </c>
      <c r="F3540">
        <f t="shared" si="116"/>
        <v>-1.6128021810843215E-2</v>
      </c>
      <c r="G3540">
        <f t="shared" si="117"/>
        <v>-2.5536936889960636E-2</v>
      </c>
    </row>
    <row r="3541" spans="1:7" x14ac:dyDescent="0.35">
      <c r="A3541" t="s">
        <v>185</v>
      </c>
      <c r="E3541">
        <v>-6.6505399274413438E-3</v>
      </c>
      <c r="F3541">
        <f t="shared" si="116"/>
        <v>-1.6136901528960631E-2</v>
      </c>
      <c r="G3541">
        <f t="shared" si="117"/>
        <v>-2.6260699588354277E-2</v>
      </c>
    </row>
    <row r="3542" spans="1:7" x14ac:dyDescent="0.35">
      <c r="A3542" t="s">
        <v>185</v>
      </c>
      <c r="E3542">
        <v>1.0185782568842023E-2</v>
      </c>
      <c r="F3542">
        <f t="shared" si="116"/>
        <v>-1.6145781247078047E-2</v>
      </c>
      <c r="G3542">
        <f t="shared" si="117"/>
        <v>-2.6260699588354277E-2</v>
      </c>
    </row>
    <row r="3543" spans="1:7" x14ac:dyDescent="0.35">
      <c r="A3543" t="s">
        <v>185</v>
      </c>
      <c r="E3543">
        <v>-1.1323639052220181E-4</v>
      </c>
      <c r="F3543">
        <f t="shared" si="116"/>
        <v>-1.615466096519546E-2</v>
      </c>
      <c r="G3543">
        <f t="shared" si="117"/>
        <v>-2.6260699588354277E-2</v>
      </c>
    </row>
    <row r="3544" spans="1:7" x14ac:dyDescent="0.35">
      <c r="A3544" t="s">
        <v>185</v>
      </c>
      <c r="E3544">
        <v>9.8319421374645014E-3</v>
      </c>
      <c r="F3544">
        <f t="shared" si="116"/>
        <v>-1.6163540683312876E-2</v>
      </c>
      <c r="G3544">
        <f t="shared" si="117"/>
        <v>-2.6260699588354277E-2</v>
      </c>
    </row>
    <row r="3545" spans="1:7" x14ac:dyDescent="0.35">
      <c r="A3545" t="s">
        <v>185</v>
      </c>
      <c r="E3545">
        <v>4.763711645351487E-3</v>
      </c>
      <c r="F3545">
        <f t="shared" si="116"/>
        <v>-1.6172420401430292E-2</v>
      </c>
      <c r="G3545">
        <f t="shared" si="117"/>
        <v>-2.6260699588354277E-2</v>
      </c>
    </row>
    <row r="3546" spans="1:7" x14ac:dyDescent="0.35">
      <c r="A3546" t="s">
        <v>185</v>
      </c>
      <c r="E3546">
        <v>1.0638398205055797E-2</v>
      </c>
      <c r="F3546">
        <f t="shared" si="116"/>
        <v>-1.6181300119547708E-2</v>
      </c>
      <c r="G3546">
        <f t="shared" si="117"/>
        <v>-2.6260699588354277E-2</v>
      </c>
    </row>
    <row r="3547" spans="1:7" x14ac:dyDescent="0.35">
      <c r="A3547" t="s">
        <v>185</v>
      </c>
      <c r="E3547">
        <v>6.9415749122875214E-3</v>
      </c>
      <c r="F3547">
        <f t="shared" si="116"/>
        <v>-1.6190179837665124E-2</v>
      </c>
      <c r="G3547">
        <f t="shared" si="117"/>
        <v>-2.6260699588354277E-2</v>
      </c>
    </row>
    <row r="3548" spans="1:7" x14ac:dyDescent="0.35">
      <c r="A3548" t="s">
        <v>185</v>
      </c>
      <c r="E3548">
        <v>8.2209053105899315E-4</v>
      </c>
      <c r="F3548">
        <f t="shared" si="116"/>
        <v>-1.619905955578254E-2</v>
      </c>
      <c r="G3548">
        <f t="shared" si="117"/>
        <v>-2.6260699588354277E-2</v>
      </c>
    </row>
    <row r="3549" spans="1:7" x14ac:dyDescent="0.35">
      <c r="A3549" t="s">
        <v>185</v>
      </c>
      <c r="E3549">
        <v>3.5818974938782058E-3</v>
      </c>
      <c r="F3549">
        <f t="shared" si="116"/>
        <v>-1.6207939273899956E-2</v>
      </c>
      <c r="G3549">
        <f t="shared" si="117"/>
        <v>-2.6260699588354277E-2</v>
      </c>
    </row>
    <row r="3550" spans="1:7" x14ac:dyDescent="0.35">
      <c r="A3550" t="s">
        <v>185</v>
      </c>
      <c r="E3550">
        <v>1.0840361689338988E-2</v>
      </c>
      <c r="F3550">
        <f t="shared" si="116"/>
        <v>-1.6216818992017372E-2</v>
      </c>
      <c r="G3550">
        <f t="shared" si="117"/>
        <v>-2.6260699588354277E-2</v>
      </c>
    </row>
    <row r="3551" spans="1:7" x14ac:dyDescent="0.35">
      <c r="A3551" t="s">
        <v>185</v>
      </c>
      <c r="E3551">
        <v>-3.3084106099123493E-3</v>
      </c>
      <c r="F3551">
        <f t="shared" si="116"/>
        <v>-1.6225698710134785E-2</v>
      </c>
      <c r="G3551">
        <f t="shared" si="117"/>
        <v>-2.6260699588354277E-2</v>
      </c>
    </row>
    <row r="3552" spans="1:7" x14ac:dyDescent="0.35">
      <c r="A3552" t="s">
        <v>186</v>
      </c>
      <c r="B3552" s="3" cm="1">
        <f t="array" ref="B3552">_xlfn.STDEV.S(_xlfn._xlws.FILTER($E$2826:$E$3824, $A$2826:$A$3824="2024-04"))</f>
        <v>1.0969219518886637E-2</v>
      </c>
      <c r="C3552" s="3" cm="1">
        <f t="array" ref="C3552">AVERAGE(_xlfn._xlws.FILTER($E$2826:$E$3824, $A$2826:$A$3824="2024-04"))</f>
        <v>-9.563652458154338E-4</v>
      </c>
      <c r="D3552" s="3" cm="1">
        <f t="array" ref="D3552">_xlfn.PERCENTILE.EXC(_xlfn._xlws.FILTER($E$2490:$E$3818, $A$2490:$A$3818="2024-04"), 0.05)</f>
        <v>-2.1791519993793085E-2</v>
      </c>
      <c r="E3552">
        <v>-8.9795707266874716E-3</v>
      </c>
      <c r="F3552">
        <f t="shared" si="116"/>
        <v>-1.6234578428252201E-2</v>
      </c>
      <c r="G3552">
        <f t="shared" si="117"/>
        <v>-2.6260699588354277E-2</v>
      </c>
    </row>
    <row r="3553" spans="1:7" x14ac:dyDescent="0.35">
      <c r="A3553" t="s">
        <v>186</v>
      </c>
      <c r="E3553">
        <v>5.152706569051247E-3</v>
      </c>
      <c r="F3553">
        <f t="shared" si="116"/>
        <v>-1.6243458146369617E-2</v>
      </c>
      <c r="G3553">
        <f t="shared" si="117"/>
        <v>-2.6260699588354277E-2</v>
      </c>
    </row>
    <row r="3554" spans="1:7" x14ac:dyDescent="0.35">
      <c r="A3554" t="s">
        <v>186</v>
      </c>
      <c r="E3554">
        <v>5.2976185225939399E-3</v>
      </c>
      <c r="F3554">
        <f t="shared" si="116"/>
        <v>-1.6252337864487033E-2</v>
      </c>
      <c r="G3554">
        <f t="shared" si="117"/>
        <v>-2.6260699588354277E-2</v>
      </c>
    </row>
    <row r="3555" spans="1:7" x14ac:dyDescent="0.35">
      <c r="A3555" t="s">
        <v>186</v>
      </c>
      <c r="E3555">
        <v>-1.5895349416326841E-2</v>
      </c>
      <c r="F3555">
        <f t="shared" si="116"/>
        <v>-1.6261217582604449E-2</v>
      </c>
      <c r="G3555">
        <f t="shared" si="117"/>
        <v>-2.6260699588354277E-2</v>
      </c>
    </row>
    <row r="3556" spans="1:7" x14ac:dyDescent="0.35">
      <c r="A3556" t="s">
        <v>186</v>
      </c>
      <c r="E3556">
        <v>-3.848303587016366E-4</v>
      </c>
      <c r="F3556">
        <f t="shared" si="116"/>
        <v>-1.6270097300721865E-2</v>
      </c>
      <c r="G3556">
        <f t="shared" si="117"/>
        <v>-2.6260699588354277E-2</v>
      </c>
    </row>
    <row r="3557" spans="1:7" x14ac:dyDescent="0.35">
      <c r="A3557" t="s">
        <v>186</v>
      </c>
      <c r="E3557">
        <v>-8.8182531867821521E-3</v>
      </c>
      <c r="F3557">
        <f t="shared" si="116"/>
        <v>-1.6278977018839277E-2</v>
      </c>
      <c r="G3557">
        <f t="shared" si="117"/>
        <v>-2.6260699588354277E-2</v>
      </c>
    </row>
    <row r="3558" spans="1:7" x14ac:dyDescent="0.35">
      <c r="A3558" t="s">
        <v>186</v>
      </c>
      <c r="E3558">
        <v>-3.7978833107968424E-3</v>
      </c>
      <c r="F3558">
        <f t="shared" si="116"/>
        <v>-1.6287856736956693E-2</v>
      </c>
      <c r="G3558">
        <f t="shared" si="117"/>
        <v>-2.6260699588354277E-2</v>
      </c>
    </row>
    <row r="3559" spans="1:7" x14ac:dyDescent="0.35">
      <c r="A3559" t="s">
        <v>186</v>
      </c>
      <c r="E3559">
        <v>-1.1687523353434511E-2</v>
      </c>
      <c r="F3559">
        <f t="shared" si="116"/>
        <v>-1.629673645507411E-2</v>
      </c>
      <c r="G3559">
        <f t="shared" si="117"/>
        <v>-2.6260699588354277E-2</v>
      </c>
    </row>
    <row r="3560" spans="1:7" x14ac:dyDescent="0.35">
      <c r="A3560" t="s">
        <v>186</v>
      </c>
      <c r="E3560">
        <v>3.3933608992025265E-3</v>
      </c>
      <c r="F3560">
        <f t="shared" si="116"/>
        <v>-1.6305616173191526E-2</v>
      </c>
      <c r="G3560">
        <f t="shared" si="117"/>
        <v>-2.6260699588354277E-2</v>
      </c>
    </row>
    <row r="3561" spans="1:7" x14ac:dyDescent="0.35">
      <c r="A3561" t="s">
        <v>186</v>
      </c>
      <c r="E3561">
        <v>1.1229015788565603E-4</v>
      </c>
      <c r="F3561">
        <f t="shared" si="116"/>
        <v>-1.6313034598389856E-2</v>
      </c>
      <c r="G3561">
        <f t="shared" si="117"/>
        <v>-2.7090289872951177E-2</v>
      </c>
    </row>
    <row r="3562" spans="1:7" x14ac:dyDescent="0.35">
      <c r="A3562" t="s">
        <v>186</v>
      </c>
      <c r="E3562">
        <v>-1.5112877851937189E-2</v>
      </c>
      <c r="F3562">
        <f t="shared" si="116"/>
        <v>-1.6320453023588186E-2</v>
      </c>
      <c r="G3562">
        <f t="shared" si="117"/>
        <v>-2.7090289872951177E-2</v>
      </c>
    </row>
    <row r="3563" spans="1:7" x14ac:dyDescent="0.35">
      <c r="A3563" t="s">
        <v>186</v>
      </c>
      <c r="E3563">
        <v>1.0113125397267796E-2</v>
      </c>
      <c r="F3563">
        <f t="shared" si="116"/>
        <v>-1.6327871448786516E-2</v>
      </c>
      <c r="G3563">
        <f t="shared" si="117"/>
        <v>-2.7090289872951177E-2</v>
      </c>
    </row>
    <row r="3564" spans="1:7" x14ac:dyDescent="0.35">
      <c r="A3564" t="s">
        <v>186</v>
      </c>
      <c r="E3564">
        <v>1.2253119577530436E-2</v>
      </c>
      <c r="F3564">
        <f t="shared" si="116"/>
        <v>-1.6335289873984846E-2</v>
      </c>
      <c r="G3564">
        <f t="shared" si="117"/>
        <v>-2.7090289872951177E-2</v>
      </c>
    </row>
    <row r="3565" spans="1:7" x14ac:dyDescent="0.35">
      <c r="A3565" t="s">
        <v>186</v>
      </c>
      <c r="E3565">
        <v>-3.3031735819152438E-3</v>
      </c>
      <c r="F3565">
        <f t="shared" si="116"/>
        <v>-1.6342708299183176E-2</v>
      </c>
      <c r="G3565">
        <f t="shared" si="117"/>
        <v>-2.7090289872951177E-2</v>
      </c>
    </row>
    <row r="3566" spans="1:7" x14ac:dyDescent="0.35">
      <c r="A3566" t="s">
        <v>186</v>
      </c>
      <c r="E3566">
        <v>1.4866345014725699E-2</v>
      </c>
      <c r="F3566">
        <f t="shared" si="116"/>
        <v>-1.6350126724381506E-2</v>
      </c>
      <c r="G3566">
        <f t="shared" si="117"/>
        <v>-2.7090289872951177E-2</v>
      </c>
    </row>
    <row r="3567" spans="1:7" x14ac:dyDescent="0.35">
      <c r="A3567" t="s">
        <v>186</v>
      </c>
      <c r="E3567">
        <v>1.6863130411335348E-2</v>
      </c>
      <c r="F3567">
        <f t="shared" si="116"/>
        <v>-1.6357545149579836E-2</v>
      </c>
      <c r="G3567">
        <f t="shared" si="117"/>
        <v>-2.7090289872951177E-2</v>
      </c>
    </row>
    <row r="3568" spans="1:7" x14ac:dyDescent="0.35">
      <c r="A3568" t="s">
        <v>186</v>
      </c>
      <c r="E3568">
        <v>-4.3070753180720778E-3</v>
      </c>
      <c r="F3568">
        <f t="shared" si="116"/>
        <v>-1.6364963574778166E-2</v>
      </c>
      <c r="G3568">
        <f t="shared" si="117"/>
        <v>-2.7090289872951177E-2</v>
      </c>
    </row>
    <row r="3569" spans="1:7" x14ac:dyDescent="0.35">
      <c r="A3569" t="s">
        <v>186</v>
      </c>
      <c r="E3569">
        <v>-4.0070017042012455E-3</v>
      </c>
      <c r="F3569">
        <f t="shared" si="116"/>
        <v>-1.6372381999976496E-2</v>
      </c>
      <c r="G3569">
        <f t="shared" si="117"/>
        <v>-2.7090289872951177E-2</v>
      </c>
    </row>
    <row r="3570" spans="1:7" x14ac:dyDescent="0.35">
      <c r="A3570" t="s">
        <v>186</v>
      </c>
      <c r="E3570">
        <v>1.5439613243890496E-2</v>
      </c>
      <c r="F3570">
        <f t="shared" si="116"/>
        <v>-1.6379800425174826E-2</v>
      </c>
      <c r="G3570">
        <f t="shared" si="117"/>
        <v>-2.7090289872951177E-2</v>
      </c>
    </row>
    <row r="3571" spans="1:7" x14ac:dyDescent="0.35">
      <c r="A3571" t="s">
        <v>186</v>
      </c>
      <c r="E3571">
        <v>-4.8347910887960414E-3</v>
      </c>
      <c r="F3571">
        <f t="shared" si="116"/>
        <v>-1.6387218850373156E-2</v>
      </c>
      <c r="G3571">
        <f t="shared" si="117"/>
        <v>-2.7090289872951177E-2</v>
      </c>
    </row>
    <row r="3572" spans="1:7" x14ac:dyDescent="0.35">
      <c r="A3572" t="s">
        <v>186</v>
      </c>
      <c r="E3572">
        <v>-2.2446650057956003E-2</v>
      </c>
      <c r="F3572">
        <f t="shared" si="116"/>
        <v>-1.6394637275571486E-2</v>
      </c>
      <c r="G3572">
        <f t="shared" si="117"/>
        <v>-2.7090289872951177E-2</v>
      </c>
    </row>
    <row r="3573" spans="1:7" x14ac:dyDescent="0.35">
      <c r="A3573" t="s">
        <v>187</v>
      </c>
      <c r="B3573" s="3" cm="1">
        <f t="array" ref="B3573">_xlfn.STDEV.S(_xlfn._xlws.FILTER($E$2826:$E$3824, $A$2826:$A$3824="2024-05"))</f>
        <v>7.9732242449839699E-3</v>
      </c>
      <c r="C3573" s="3" cm="1">
        <f t="array" ref="C3573">AVERAGE(_xlfn._xlws.FILTER($E$2826:$E$3824, $A$2826:$A$3824="2024-05"))</f>
        <v>2.1088603939565524E-3</v>
      </c>
      <c r="D3573" s="3" cm="1">
        <f t="array" ref="D3573">_xlfn.PERCENTILE.EXC(_xlfn._xlws.FILTER($E$2490:$E$3818, $A$2490:$A$3818="2024-05"), 0.05)</f>
        <v>-1.1556254245570436E-2</v>
      </c>
      <c r="E3573">
        <v>1.6201491135051948E-3</v>
      </c>
      <c r="F3573">
        <f t="shared" si="116"/>
        <v>-1.6243458146369617E-2</v>
      </c>
      <c r="G3573">
        <f t="shared" si="117"/>
        <v>-2.6578537049220804E-2</v>
      </c>
    </row>
    <row r="3574" spans="1:7" x14ac:dyDescent="0.35">
      <c r="A3574" t="s">
        <v>187</v>
      </c>
      <c r="E3574">
        <v>-1.5925109341222278E-3</v>
      </c>
      <c r="F3574">
        <f t="shared" si="116"/>
        <v>-1.6252337864487033E-2</v>
      </c>
      <c r="G3574">
        <f t="shared" si="117"/>
        <v>-2.6578537049220804E-2</v>
      </c>
    </row>
    <row r="3575" spans="1:7" x14ac:dyDescent="0.35">
      <c r="A3575" t="s">
        <v>187</v>
      </c>
      <c r="E3575">
        <v>2.0624739542470953E-2</v>
      </c>
      <c r="F3575">
        <f t="shared" si="116"/>
        <v>-1.6261217582604449E-2</v>
      </c>
      <c r="G3575">
        <f t="shared" si="117"/>
        <v>-2.6578537049220804E-2</v>
      </c>
    </row>
    <row r="3576" spans="1:7" x14ac:dyDescent="0.35">
      <c r="A3576" t="s">
        <v>187</v>
      </c>
      <c r="E3576">
        <v>6.485614555208746E-3</v>
      </c>
      <c r="F3576">
        <f t="shared" si="116"/>
        <v>-1.6270097300721865E-2</v>
      </c>
      <c r="G3576">
        <f t="shared" si="117"/>
        <v>-2.6578537049220804E-2</v>
      </c>
    </row>
    <row r="3577" spans="1:7" x14ac:dyDescent="0.35">
      <c r="A3577" t="s">
        <v>187</v>
      </c>
      <c r="E3577">
        <v>-9.2690423158313384E-3</v>
      </c>
      <c r="F3577">
        <f t="shared" si="116"/>
        <v>-1.6278977018839277E-2</v>
      </c>
      <c r="G3577">
        <f t="shared" si="117"/>
        <v>-2.6578537049220804E-2</v>
      </c>
    </row>
    <row r="3578" spans="1:7" x14ac:dyDescent="0.35">
      <c r="A3578" t="s">
        <v>187</v>
      </c>
      <c r="E3578">
        <v>5.0010033998579232E-3</v>
      </c>
      <c r="F3578">
        <f t="shared" si="116"/>
        <v>-1.6287856736956693E-2</v>
      </c>
      <c r="G3578">
        <f t="shared" si="117"/>
        <v>-2.6578537049220804E-2</v>
      </c>
    </row>
    <row r="3579" spans="1:7" x14ac:dyDescent="0.35">
      <c r="A3579" t="s">
        <v>187</v>
      </c>
      <c r="E3579">
        <v>4.1783729217416288E-3</v>
      </c>
      <c r="F3579">
        <f t="shared" si="116"/>
        <v>-1.629673645507411E-2</v>
      </c>
      <c r="G3579">
        <f t="shared" si="117"/>
        <v>-2.6578537049220804E-2</v>
      </c>
    </row>
    <row r="3580" spans="1:7" x14ac:dyDescent="0.35">
      <c r="A3580" t="s">
        <v>187</v>
      </c>
      <c r="E3580">
        <v>7.7977109279767495E-3</v>
      </c>
      <c r="F3580">
        <f t="shared" si="116"/>
        <v>-1.6305616173191526E-2</v>
      </c>
      <c r="G3580">
        <f t="shared" si="117"/>
        <v>-2.6578537049220804E-2</v>
      </c>
    </row>
    <row r="3581" spans="1:7" x14ac:dyDescent="0.35">
      <c r="A3581" t="s">
        <v>187</v>
      </c>
      <c r="E3581">
        <v>1.092829684917295E-2</v>
      </c>
      <c r="F3581">
        <f t="shared" si="116"/>
        <v>-1.6313034598389856E-2</v>
      </c>
      <c r="G3581">
        <f t="shared" si="117"/>
        <v>-2.751243894704165E-2</v>
      </c>
    </row>
    <row r="3582" spans="1:7" x14ac:dyDescent="0.35">
      <c r="A3582" t="s">
        <v>187</v>
      </c>
      <c r="E3582">
        <v>-5.6040848984662914E-3</v>
      </c>
      <c r="F3582">
        <f t="shared" si="116"/>
        <v>-1.6320453023588186E-2</v>
      </c>
      <c r="G3582">
        <f t="shared" si="117"/>
        <v>-2.751243894704165E-2</v>
      </c>
    </row>
    <row r="3583" spans="1:7" x14ac:dyDescent="0.35">
      <c r="A3583" t="s">
        <v>187</v>
      </c>
      <c r="E3583">
        <v>2.5102766529829651E-3</v>
      </c>
      <c r="F3583">
        <f t="shared" si="116"/>
        <v>-1.6327871448786516E-2</v>
      </c>
      <c r="G3583">
        <f t="shared" si="117"/>
        <v>-2.751243894704165E-2</v>
      </c>
    </row>
    <row r="3584" spans="1:7" x14ac:dyDescent="0.35">
      <c r="A3584" t="s">
        <v>187</v>
      </c>
      <c r="E3584">
        <v>1.0411520669451474E-3</v>
      </c>
      <c r="F3584">
        <f t="shared" si="116"/>
        <v>-1.6335289873984846E-2</v>
      </c>
      <c r="G3584">
        <f t="shared" si="117"/>
        <v>-2.751243894704165E-2</v>
      </c>
    </row>
    <row r="3585" spans="1:7" x14ac:dyDescent="0.35">
      <c r="A3585" t="s">
        <v>187</v>
      </c>
      <c r="E3585">
        <v>-4.0574392822806258E-4</v>
      </c>
      <c r="F3585">
        <f t="shared" si="116"/>
        <v>-1.6342708299183176E-2</v>
      </c>
      <c r="G3585">
        <f t="shared" si="117"/>
        <v>-2.751243894704165E-2</v>
      </c>
    </row>
    <row r="3586" spans="1:7" x14ac:dyDescent="0.35">
      <c r="A3586" t="s">
        <v>187</v>
      </c>
      <c r="E3586">
        <v>-5.2065179719991655E-4</v>
      </c>
      <c r="F3586">
        <f t="shared" si="116"/>
        <v>-1.6350126724381506E-2</v>
      </c>
      <c r="G3586">
        <f t="shared" si="117"/>
        <v>-2.751243894704165E-2</v>
      </c>
    </row>
    <row r="3587" spans="1:7" x14ac:dyDescent="0.35">
      <c r="A3587" t="s">
        <v>187</v>
      </c>
      <c r="E3587">
        <v>-1.5812654299021437E-3</v>
      </c>
      <c r="F3587">
        <f t="shared" si="116"/>
        <v>-1.6357545149579836E-2</v>
      </c>
      <c r="G3587">
        <f t="shared" si="117"/>
        <v>-2.751243894704165E-2</v>
      </c>
    </row>
    <row r="3588" spans="1:7" x14ac:dyDescent="0.35">
      <c r="A3588" t="s">
        <v>187</v>
      </c>
      <c r="E3588">
        <v>-5.7720345914394587E-3</v>
      </c>
      <c r="F3588">
        <f t="shared" ref="F3588:F3651" si="118">_xlfn.PERCENTILE.EXC(E3588:E7403,0.05)</f>
        <v>-1.6364963574778166E-2</v>
      </c>
      <c r="G3588">
        <f t="shared" ref="G3588:G3651" si="119">AVERAGEIFS(E3588:E7404,E3588:E7404,"&lt;=" &amp; F3588)</f>
        <v>-2.751243894704165E-2</v>
      </c>
    </row>
    <row r="3589" spans="1:7" x14ac:dyDescent="0.35">
      <c r="A3589" t="s">
        <v>187</v>
      </c>
      <c r="E3589">
        <v>2.6640633818562497E-3</v>
      </c>
      <c r="F3589">
        <f t="shared" si="118"/>
        <v>-1.6372381999976496E-2</v>
      </c>
      <c r="G3589">
        <f t="shared" si="119"/>
        <v>-2.751243894704165E-2</v>
      </c>
    </row>
    <row r="3590" spans="1:7" x14ac:dyDescent="0.35">
      <c r="A3590" t="s">
        <v>187</v>
      </c>
      <c r="E3590">
        <v>-1.1676633820819862E-2</v>
      </c>
      <c r="F3590">
        <f t="shared" si="118"/>
        <v>-1.6379800425174826E-2</v>
      </c>
      <c r="G3590">
        <f t="shared" si="119"/>
        <v>-2.751243894704165E-2</v>
      </c>
    </row>
    <row r="3591" spans="1:7" x14ac:dyDescent="0.35">
      <c r="A3591" t="s">
        <v>187</v>
      </c>
      <c r="E3591">
        <v>1.7177616110864748E-2</v>
      </c>
      <c r="F3591">
        <f t="shared" si="118"/>
        <v>-1.6387218850373156E-2</v>
      </c>
      <c r="G3591">
        <f t="shared" si="119"/>
        <v>-2.751243894704165E-2</v>
      </c>
    </row>
    <row r="3592" spans="1:7" x14ac:dyDescent="0.35">
      <c r="A3592" t="s">
        <v>187</v>
      </c>
      <c r="E3592">
        <v>-1.4298199274428978E-3</v>
      </c>
      <c r="F3592">
        <f t="shared" si="118"/>
        <v>-1.6394637275571486E-2</v>
      </c>
      <c r="G3592">
        <f t="shared" si="119"/>
        <v>-2.751243894704165E-2</v>
      </c>
    </row>
    <row r="3593" spans="1:7" x14ac:dyDescent="0.35">
      <c r="A3593" t="s">
        <v>188</v>
      </c>
      <c r="B3593" s="3" cm="1">
        <f t="array" ref="B3593">_xlfn.STDEV.S(_xlfn._xlws.FILTER($E$2826:$E$3824, $A$2826:$A$3824="2024-06"))</f>
        <v>8.6943501489701158E-3</v>
      </c>
      <c r="C3593" s="3" cm="1">
        <f t="array" ref="C3593">AVERAGE(_xlfn._xlws.FILTER($E$2826:$E$3824, $A$2826:$A$3824="2024-06"))</f>
        <v>-1.6991893695349411E-3</v>
      </c>
      <c r="D3593" s="3" cm="1">
        <f t="array" ref="D3593">_xlfn.PERCENTILE.EXC(_xlfn._xlws.FILTER($E$2490:$E$3818, $A$2490:$A$3818="2024-06"), 0.05)</f>
        <v>-1.6125259471283033E-2</v>
      </c>
      <c r="E3593">
        <v>6.6199755828270064E-3</v>
      </c>
      <c r="F3593">
        <f t="shared" si="118"/>
        <v>-1.6402055700769816E-2</v>
      </c>
      <c r="G3593">
        <f t="shared" si="119"/>
        <v>-2.751243894704165E-2</v>
      </c>
    </row>
    <row r="3594" spans="1:7" x14ac:dyDescent="0.35">
      <c r="A3594" t="s">
        <v>188</v>
      </c>
      <c r="E3594">
        <v>-9.7692501376993521E-3</v>
      </c>
      <c r="F3594">
        <f t="shared" si="118"/>
        <v>-1.6409474125968146E-2</v>
      </c>
      <c r="G3594">
        <f t="shared" si="119"/>
        <v>-2.751243894704165E-2</v>
      </c>
    </row>
    <row r="3595" spans="1:7" x14ac:dyDescent="0.35">
      <c r="A3595" t="s">
        <v>188</v>
      </c>
      <c r="E3595">
        <v>5.8923733285253443E-3</v>
      </c>
      <c r="F3595">
        <f t="shared" si="118"/>
        <v>-1.6416892551166476E-2</v>
      </c>
      <c r="G3595">
        <f t="shared" si="119"/>
        <v>-2.751243894704165E-2</v>
      </c>
    </row>
    <row r="3596" spans="1:7" x14ac:dyDescent="0.35">
      <c r="A3596" t="s">
        <v>188</v>
      </c>
      <c r="E3596">
        <v>7.9747407997426169E-3</v>
      </c>
      <c r="F3596">
        <f t="shared" si="118"/>
        <v>-1.6424310976364806E-2</v>
      </c>
      <c r="G3596">
        <f t="shared" si="119"/>
        <v>-2.751243894704165E-2</v>
      </c>
    </row>
    <row r="3597" spans="1:7" x14ac:dyDescent="0.35">
      <c r="A3597" t="s">
        <v>188</v>
      </c>
      <c r="E3597">
        <v>-3.4224875741260168E-3</v>
      </c>
      <c r="F3597">
        <f t="shared" si="118"/>
        <v>-1.6431729401563136E-2</v>
      </c>
      <c r="G3597">
        <f t="shared" si="119"/>
        <v>-2.751243894704165E-2</v>
      </c>
    </row>
    <row r="3598" spans="1:7" x14ac:dyDescent="0.35">
      <c r="A3598" t="s">
        <v>188</v>
      </c>
      <c r="E3598">
        <v>-4.1911835748816391E-3</v>
      </c>
      <c r="F3598">
        <f t="shared" si="118"/>
        <v>-1.6439147826761466E-2</v>
      </c>
      <c r="G3598">
        <f t="shared" si="119"/>
        <v>-2.751243894704165E-2</v>
      </c>
    </row>
    <row r="3599" spans="1:7" x14ac:dyDescent="0.35">
      <c r="A3599" t="s">
        <v>188</v>
      </c>
      <c r="E3599">
        <v>-1.6128021810843215E-2</v>
      </c>
      <c r="F3599">
        <f t="shared" si="118"/>
        <v>-1.6446566251959796E-2</v>
      </c>
      <c r="G3599">
        <f t="shared" si="119"/>
        <v>-2.751243894704165E-2</v>
      </c>
    </row>
    <row r="3600" spans="1:7" x14ac:dyDescent="0.35">
      <c r="A3600" t="s">
        <v>188</v>
      </c>
      <c r="E3600">
        <v>6.2352739156711998E-3</v>
      </c>
      <c r="F3600">
        <f t="shared" si="118"/>
        <v>-1.6453984677158126E-2</v>
      </c>
      <c r="G3600">
        <f t="shared" si="119"/>
        <v>-2.751243894704165E-2</v>
      </c>
    </row>
    <row r="3601" spans="1:7" x14ac:dyDescent="0.35">
      <c r="A3601" t="s">
        <v>188</v>
      </c>
      <c r="E3601">
        <v>-1.6072775019639555E-2</v>
      </c>
      <c r="F3601">
        <f t="shared" si="118"/>
        <v>-1.6473960262704604E-2</v>
      </c>
      <c r="G3601">
        <f t="shared" si="119"/>
        <v>-2.8618284374029995E-2</v>
      </c>
    </row>
    <row r="3602" spans="1:7" x14ac:dyDescent="0.35">
      <c r="A3602" t="s">
        <v>188</v>
      </c>
      <c r="E3602">
        <v>-6.6913534400674527E-3</v>
      </c>
      <c r="F3602">
        <f t="shared" si="118"/>
        <v>-1.6493935848251082E-2</v>
      </c>
      <c r="G3602">
        <f t="shared" si="119"/>
        <v>-2.8618284374029995E-2</v>
      </c>
    </row>
    <row r="3603" spans="1:7" x14ac:dyDescent="0.35">
      <c r="A3603" t="s">
        <v>188</v>
      </c>
      <c r="E3603">
        <v>-2.9883676427075951E-3</v>
      </c>
      <c r="F3603">
        <f t="shared" si="118"/>
        <v>-1.651391143379756E-2</v>
      </c>
      <c r="G3603">
        <f t="shared" si="119"/>
        <v>-2.8618284374029995E-2</v>
      </c>
    </row>
    <row r="3604" spans="1:7" x14ac:dyDescent="0.35">
      <c r="A3604" t="s">
        <v>188</v>
      </c>
      <c r="E3604">
        <v>9.8242963480062607E-3</v>
      </c>
      <c r="F3604">
        <f t="shared" si="118"/>
        <v>-1.6533887019344037E-2</v>
      </c>
      <c r="G3604">
        <f t="shared" si="119"/>
        <v>-2.8618284374029995E-2</v>
      </c>
    </row>
    <row r="3605" spans="1:7" x14ac:dyDescent="0.35">
      <c r="A3605" t="s">
        <v>188</v>
      </c>
      <c r="E3605">
        <v>-1.0215105683499311E-3</v>
      </c>
      <c r="F3605">
        <f t="shared" si="118"/>
        <v>-1.6553862604890515E-2</v>
      </c>
      <c r="G3605">
        <f t="shared" si="119"/>
        <v>-2.8618284374029995E-2</v>
      </c>
    </row>
    <row r="3606" spans="1:7" x14ac:dyDescent="0.35">
      <c r="A3606" t="s">
        <v>188</v>
      </c>
      <c r="E3606">
        <v>9.3713129960039682E-3</v>
      </c>
      <c r="F3606">
        <f t="shared" si="118"/>
        <v>-1.6573838190436993E-2</v>
      </c>
      <c r="G3606">
        <f t="shared" si="119"/>
        <v>-2.8618284374029995E-2</v>
      </c>
    </row>
    <row r="3607" spans="1:7" x14ac:dyDescent="0.35">
      <c r="A3607" t="s">
        <v>188</v>
      </c>
      <c r="E3607">
        <v>-1.1553425077104822E-2</v>
      </c>
      <c r="F3607">
        <f t="shared" si="118"/>
        <v>-1.6593813775983474E-2</v>
      </c>
      <c r="G3607">
        <f t="shared" si="119"/>
        <v>-2.8618284374029995E-2</v>
      </c>
    </row>
    <row r="3608" spans="1:7" x14ac:dyDescent="0.35">
      <c r="A3608" t="s">
        <v>188</v>
      </c>
      <c r="E3608">
        <v>1.2592265251846358E-2</v>
      </c>
      <c r="F3608">
        <f t="shared" si="118"/>
        <v>-1.6613789361529952E-2</v>
      </c>
      <c r="G3608">
        <f t="shared" si="119"/>
        <v>-2.8618284374029995E-2</v>
      </c>
    </row>
    <row r="3609" spans="1:7" x14ac:dyDescent="0.35">
      <c r="A3609" t="s">
        <v>188</v>
      </c>
      <c r="E3609">
        <v>-4.7732359255358032E-3</v>
      </c>
      <c r="F3609">
        <f t="shared" si="118"/>
        <v>-1.663376494707643E-2</v>
      </c>
      <c r="G3609">
        <f t="shared" si="119"/>
        <v>-2.8618284374029995E-2</v>
      </c>
    </row>
    <row r="3610" spans="1:7" x14ac:dyDescent="0.35">
      <c r="A3610" t="s">
        <v>188</v>
      </c>
      <c r="E3610">
        <v>-7.9821999124550114E-3</v>
      </c>
      <c r="F3610">
        <f t="shared" si="118"/>
        <v>-1.6653740532622908E-2</v>
      </c>
      <c r="G3610">
        <f t="shared" si="119"/>
        <v>-2.8618284374029995E-2</v>
      </c>
    </row>
    <row r="3611" spans="1:7" x14ac:dyDescent="0.35">
      <c r="A3611" t="s">
        <v>188</v>
      </c>
      <c r="E3611">
        <v>-7.1877299715676453E-3</v>
      </c>
      <c r="F3611">
        <f t="shared" si="118"/>
        <v>-1.6673716118169386E-2</v>
      </c>
      <c r="G3611">
        <f t="shared" si="119"/>
        <v>-2.8618284374029995E-2</v>
      </c>
    </row>
    <row r="3612" spans="1:7" x14ac:dyDescent="0.35">
      <c r="A3612" t="s">
        <v>188</v>
      </c>
      <c r="E3612">
        <v>-7.1248495834353354E-4</v>
      </c>
      <c r="F3612">
        <f t="shared" si="118"/>
        <v>-1.6693691703715863E-2</v>
      </c>
      <c r="G3612">
        <f t="shared" si="119"/>
        <v>-2.8618284374029995E-2</v>
      </c>
    </row>
    <row r="3613" spans="1:7" x14ac:dyDescent="0.35">
      <c r="A3613" t="s">
        <v>189</v>
      </c>
      <c r="B3613" s="3" cm="1">
        <f t="array" ref="B3613">_xlfn.STDEV.S(_xlfn._xlws.FILTER($E$2826:$E$3824, $A$2826:$A$3824="2024-07"))</f>
        <v>8.1300686784159457E-3</v>
      </c>
      <c r="C3613" s="3" cm="1">
        <f t="array" ref="C3613">AVERAGE(_xlfn._xlws.FILTER($E$2826:$E$3824, $A$2826:$A$3824="2024-07"))</f>
        <v>4.7926196866277567E-4</v>
      </c>
      <c r="D3613" s="3" cm="1">
        <f t="array" ref="D3613">_xlfn.PERCENTILE.EXC(_xlfn._xlws.FILTER($E$2490:$E$3818, $A$2490:$A$3818="2024-07"), 0.05)</f>
        <v>-1.2973623633632053E-2</v>
      </c>
      <c r="E3613">
        <v>1.0299763336495188E-2</v>
      </c>
      <c r="F3613">
        <f t="shared" si="118"/>
        <v>-1.6713667289262341E-2</v>
      </c>
      <c r="G3613">
        <f t="shared" si="119"/>
        <v>-2.8618284374029995E-2</v>
      </c>
    </row>
    <row r="3614" spans="1:7" x14ac:dyDescent="0.35">
      <c r="A3614" t="s">
        <v>189</v>
      </c>
      <c r="E3614">
        <v>-1.3127299363491302E-2</v>
      </c>
      <c r="F3614">
        <f t="shared" si="118"/>
        <v>-1.6733642874808819E-2</v>
      </c>
      <c r="G3614">
        <f t="shared" si="119"/>
        <v>-2.8618284374029995E-2</v>
      </c>
    </row>
    <row r="3615" spans="1:7" x14ac:dyDescent="0.35">
      <c r="A3615" t="s">
        <v>189</v>
      </c>
      <c r="E3615">
        <v>1.3109211110906438E-2</v>
      </c>
      <c r="F3615">
        <f t="shared" si="118"/>
        <v>-1.67536184603553E-2</v>
      </c>
      <c r="G3615">
        <f t="shared" si="119"/>
        <v>-2.8618284374029995E-2</v>
      </c>
    </row>
    <row r="3616" spans="1:7" x14ac:dyDescent="0.35">
      <c r="A3616" t="s">
        <v>189</v>
      </c>
      <c r="E3616">
        <v>8.5883086763852493E-4</v>
      </c>
      <c r="F3616">
        <f t="shared" si="118"/>
        <v>-1.6773594045901775E-2</v>
      </c>
      <c r="G3616">
        <f t="shared" si="119"/>
        <v>-2.8618284374029995E-2</v>
      </c>
    </row>
    <row r="3617" spans="1:7" x14ac:dyDescent="0.35">
      <c r="A3617" t="s">
        <v>189</v>
      </c>
      <c r="E3617">
        <v>-3.8750965204196546E-3</v>
      </c>
      <c r="F3617">
        <f t="shared" si="118"/>
        <v>-1.6793569631448256E-2</v>
      </c>
      <c r="G3617">
        <f t="shared" si="119"/>
        <v>-2.8618284374029995E-2</v>
      </c>
    </row>
    <row r="3618" spans="1:7" x14ac:dyDescent="0.35">
      <c r="A3618" t="s">
        <v>189</v>
      </c>
      <c r="E3618">
        <v>-1.2700947144846892E-4</v>
      </c>
      <c r="F3618">
        <f t="shared" si="118"/>
        <v>-1.6813545216994734E-2</v>
      </c>
      <c r="G3618">
        <f t="shared" si="119"/>
        <v>-2.8618284374029995E-2</v>
      </c>
    </row>
    <row r="3619" spans="1:7" x14ac:dyDescent="0.35">
      <c r="A3619" t="s">
        <v>189</v>
      </c>
      <c r="E3619">
        <v>-1.1249656752012248E-2</v>
      </c>
      <c r="F3619">
        <f t="shared" si="118"/>
        <v>-1.6833520802541212E-2</v>
      </c>
      <c r="G3619">
        <f t="shared" si="119"/>
        <v>-2.8618284374029995E-2</v>
      </c>
    </row>
    <row r="3620" spans="1:7" x14ac:dyDescent="0.35">
      <c r="A3620" t="s">
        <v>189</v>
      </c>
      <c r="E3620">
        <v>1.573057962364402E-2</v>
      </c>
      <c r="F3620">
        <f t="shared" si="118"/>
        <v>-1.685349638808769E-2</v>
      </c>
      <c r="G3620">
        <f t="shared" si="119"/>
        <v>-2.8618284374029995E-2</v>
      </c>
    </row>
    <row r="3621" spans="1:7" x14ac:dyDescent="0.35">
      <c r="A3621" t="s">
        <v>189</v>
      </c>
      <c r="E3621">
        <v>8.8483420260274913E-3</v>
      </c>
      <c r="F3621">
        <f t="shared" si="118"/>
        <v>-1.6876206555358843E-2</v>
      </c>
      <c r="G3621">
        <f t="shared" si="119"/>
        <v>-2.9925483039134695E-2</v>
      </c>
    </row>
    <row r="3622" spans="1:7" x14ac:dyDescent="0.35">
      <c r="A3622" t="s">
        <v>189</v>
      </c>
      <c r="E3622">
        <v>7.1898474804815652E-3</v>
      </c>
      <c r="F3622">
        <f t="shared" si="118"/>
        <v>-1.6898916722630001E-2</v>
      </c>
      <c r="G3622">
        <f t="shared" si="119"/>
        <v>-2.9925483039134695E-2</v>
      </c>
    </row>
    <row r="3623" spans="1:7" x14ac:dyDescent="0.35">
      <c r="A3623" t="s">
        <v>189</v>
      </c>
      <c r="E3623">
        <v>-9.6099624966740158E-3</v>
      </c>
      <c r="F3623">
        <f t="shared" si="118"/>
        <v>-1.6921626889901158E-2</v>
      </c>
      <c r="G3623">
        <f t="shared" si="119"/>
        <v>-2.9925483039134695E-2</v>
      </c>
    </row>
    <row r="3624" spans="1:7" x14ac:dyDescent="0.35">
      <c r="A3624" t="s">
        <v>189</v>
      </c>
      <c r="E3624">
        <v>-4.7226120562098538E-3</v>
      </c>
      <c r="F3624">
        <f t="shared" si="118"/>
        <v>-1.6944337057172312E-2</v>
      </c>
      <c r="G3624">
        <f t="shared" si="119"/>
        <v>-2.9925483039134695E-2</v>
      </c>
    </row>
    <row r="3625" spans="1:7" x14ac:dyDescent="0.35">
      <c r="A3625" t="s">
        <v>189</v>
      </c>
      <c r="E3625">
        <v>1.3245810809553757E-3</v>
      </c>
      <c r="F3625">
        <f t="shared" si="118"/>
        <v>-1.696704722444347E-2</v>
      </c>
      <c r="G3625">
        <f t="shared" si="119"/>
        <v>-2.9925483039134695E-2</v>
      </c>
    </row>
    <row r="3626" spans="1:7" x14ac:dyDescent="0.35">
      <c r="A3626" t="s">
        <v>189</v>
      </c>
      <c r="E3626">
        <v>3.8017904298322486E-3</v>
      </c>
      <c r="F3626">
        <f t="shared" si="118"/>
        <v>-1.6989757391714624E-2</v>
      </c>
      <c r="G3626">
        <f t="shared" si="119"/>
        <v>-2.9925483039134695E-2</v>
      </c>
    </row>
    <row r="3627" spans="1:7" x14ac:dyDescent="0.35">
      <c r="A3627" t="s">
        <v>189</v>
      </c>
      <c r="E3627">
        <v>-5.3969098837968058E-3</v>
      </c>
      <c r="F3627">
        <f t="shared" si="118"/>
        <v>-1.7012467558985781E-2</v>
      </c>
      <c r="G3627">
        <f t="shared" si="119"/>
        <v>-2.9925483039134695E-2</v>
      </c>
    </row>
    <row r="3628" spans="1:7" x14ac:dyDescent="0.35">
      <c r="A3628" t="s">
        <v>189</v>
      </c>
      <c r="E3628">
        <v>5.0649418035161797E-3</v>
      </c>
      <c r="F3628">
        <f t="shared" si="118"/>
        <v>-1.7035177726256939E-2</v>
      </c>
      <c r="G3628">
        <f t="shared" si="119"/>
        <v>-2.9925483039134695E-2</v>
      </c>
    </row>
    <row r="3629" spans="1:7" x14ac:dyDescent="0.35">
      <c r="A3629" t="s">
        <v>189</v>
      </c>
      <c r="E3629">
        <v>6.1637750218475782E-3</v>
      </c>
      <c r="F3629">
        <f t="shared" si="118"/>
        <v>-1.7057887893528093E-2</v>
      </c>
      <c r="G3629">
        <f t="shared" si="119"/>
        <v>-2.9925483039134695E-2</v>
      </c>
    </row>
    <row r="3630" spans="1:7" x14ac:dyDescent="0.35">
      <c r="A3630" t="s">
        <v>189</v>
      </c>
      <c r="E3630">
        <v>-2.3190681018008175E-4</v>
      </c>
      <c r="F3630">
        <f t="shared" si="118"/>
        <v>-1.708059806079925E-2</v>
      </c>
      <c r="G3630">
        <f t="shared" si="119"/>
        <v>-2.9925483039134695E-2</v>
      </c>
    </row>
    <row r="3631" spans="1:7" x14ac:dyDescent="0.35">
      <c r="A3631" t="s">
        <v>189</v>
      </c>
      <c r="E3631">
        <v>-5.7703564613363666E-3</v>
      </c>
      <c r="F3631">
        <f t="shared" si="118"/>
        <v>-1.7103308228070404E-2</v>
      </c>
      <c r="G3631">
        <f t="shared" si="119"/>
        <v>-2.9925483039134695E-2</v>
      </c>
    </row>
    <row r="3632" spans="1:7" x14ac:dyDescent="0.35">
      <c r="A3632" t="s">
        <v>189</v>
      </c>
      <c r="E3632">
        <v>1.8196898999678429E-3</v>
      </c>
      <c r="F3632">
        <f t="shared" si="118"/>
        <v>-1.7126018395341561E-2</v>
      </c>
      <c r="G3632">
        <f t="shared" si="119"/>
        <v>-2.9925483039134695E-2</v>
      </c>
    </row>
    <row r="3633" spans="1:7" x14ac:dyDescent="0.35">
      <c r="A3633" t="s">
        <v>189</v>
      </c>
      <c r="E3633">
        <v>-4.3170635669513898E-3</v>
      </c>
      <c r="F3633">
        <f t="shared" si="118"/>
        <v>-1.7148728562612719E-2</v>
      </c>
      <c r="G3633">
        <f t="shared" si="119"/>
        <v>-2.9925483039134695E-2</v>
      </c>
    </row>
    <row r="3634" spans="1:7" x14ac:dyDescent="0.35">
      <c r="A3634" t="s">
        <v>189</v>
      </c>
      <c r="E3634">
        <v>7.5984666946466387E-3</v>
      </c>
      <c r="F3634">
        <f t="shared" si="118"/>
        <v>-1.7171438729883873E-2</v>
      </c>
      <c r="G3634">
        <f t="shared" si="119"/>
        <v>-2.9925483039134695E-2</v>
      </c>
    </row>
    <row r="3635" spans="1:7" x14ac:dyDescent="0.35">
      <c r="A3635" t="s">
        <v>189</v>
      </c>
      <c r="E3635">
        <v>-1.2358920714195061E-2</v>
      </c>
      <c r="F3635">
        <f t="shared" si="118"/>
        <v>-1.719414889715503E-2</v>
      </c>
      <c r="G3635">
        <f t="shared" si="119"/>
        <v>-2.9925483039134695E-2</v>
      </c>
    </row>
    <row r="3636" spans="1:7" x14ac:dyDescent="0.35">
      <c r="A3636" t="s">
        <v>190</v>
      </c>
      <c r="B3636" s="3" cm="1">
        <f t="array" ref="B3636">_xlfn.STDEV.S(_xlfn._xlws.FILTER($E$2826:$E$3824, $A$2826:$A$3824="2024-08"))</f>
        <v>1.1251275247929316E-2</v>
      </c>
      <c r="C3636" s="3" cm="1">
        <f t="array" ref="C3636">AVERAGE(_xlfn._xlws.FILTER($E$2826:$E$3824, $A$2826:$A$3824="2024-08"))</f>
        <v>1.4996517338378599E-3</v>
      </c>
      <c r="D3636" s="3" cm="1">
        <f t="array" ref="D3636">_xlfn.PERCENTILE.EXC(_xlfn._xlws.FILTER($E$2490:$E$3818, $A$2490:$A$3818="2024-08"), 0.05)</f>
        <v>-2.3433095708264223E-2</v>
      </c>
      <c r="E3636">
        <v>-1.9225658663887757E-2</v>
      </c>
      <c r="F3636">
        <f t="shared" si="118"/>
        <v>-1.7216859064426184E-2</v>
      </c>
      <c r="G3636">
        <f t="shared" si="119"/>
        <v>-2.9925483039134695E-2</v>
      </c>
    </row>
    <row r="3637" spans="1:7" x14ac:dyDescent="0.35">
      <c r="A3637" t="s">
        <v>190</v>
      </c>
      <c r="E3637">
        <v>-1.685349638808769E-2</v>
      </c>
      <c r="F3637">
        <f t="shared" si="118"/>
        <v>-1.6793569631448256E-2</v>
      </c>
      <c r="G3637">
        <f t="shared" si="119"/>
        <v>-2.966190945293469E-2</v>
      </c>
    </row>
    <row r="3638" spans="1:7" x14ac:dyDescent="0.35">
      <c r="A3638" t="s">
        <v>190</v>
      </c>
      <c r="E3638">
        <v>-2.3654539763231404E-2</v>
      </c>
      <c r="F3638">
        <f t="shared" si="118"/>
        <v>-1.6439147826761466E-2</v>
      </c>
      <c r="G3638">
        <f t="shared" si="119"/>
        <v>-2.9617519262831397E-2</v>
      </c>
    </row>
    <row r="3639" spans="1:7" x14ac:dyDescent="0.35">
      <c r="A3639" t="s">
        <v>190</v>
      </c>
      <c r="E3639">
        <v>-3.1613515391738928E-3</v>
      </c>
      <c r="F3639">
        <f t="shared" si="118"/>
        <v>-1.6281569133190579E-2</v>
      </c>
      <c r="G3639">
        <f t="shared" si="119"/>
        <v>-2.8800972197271416E-2</v>
      </c>
    </row>
    <row r="3640" spans="1:7" x14ac:dyDescent="0.35">
      <c r="A3640" t="s">
        <v>190</v>
      </c>
      <c r="E3640">
        <v>1.9867729896485394E-2</v>
      </c>
      <c r="F3640">
        <f t="shared" si="118"/>
        <v>-1.6305616173191526E-2</v>
      </c>
      <c r="G3640">
        <f t="shared" si="119"/>
        <v>-2.8800972197271416E-2</v>
      </c>
    </row>
    <row r="3641" spans="1:7" x14ac:dyDescent="0.35">
      <c r="A3641" t="s">
        <v>190</v>
      </c>
      <c r="E3641">
        <v>-3.8757906436933725E-3</v>
      </c>
      <c r="F3641">
        <f t="shared" si="118"/>
        <v>-1.6313034598389856E-2</v>
      </c>
      <c r="G3641">
        <f t="shared" si="119"/>
        <v>-3.0362891700281402E-2</v>
      </c>
    </row>
    <row r="3642" spans="1:7" x14ac:dyDescent="0.35">
      <c r="A3642" t="s">
        <v>190</v>
      </c>
      <c r="E3642">
        <v>7.5956301302110537E-3</v>
      </c>
      <c r="F3642">
        <f t="shared" si="118"/>
        <v>-1.6320453023588186E-2</v>
      </c>
      <c r="G3642">
        <f t="shared" si="119"/>
        <v>-3.0362891700281402E-2</v>
      </c>
    </row>
    <row r="3643" spans="1:7" x14ac:dyDescent="0.35">
      <c r="A3643" t="s">
        <v>190</v>
      </c>
      <c r="E3643">
        <v>7.2352444111547338E-4</v>
      </c>
      <c r="F3643">
        <f t="shared" si="118"/>
        <v>-1.6327871448786516E-2</v>
      </c>
      <c r="G3643">
        <f t="shared" si="119"/>
        <v>-3.0362891700281402E-2</v>
      </c>
    </row>
    <row r="3644" spans="1:7" x14ac:dyDescent="0.35">
      <c r="A3644" t="s">
        <v>190</v>
      </c>
      <c r="E3644">
        <v>7.2625494694998176E-3</v>
      </c>
      <c r="F3644">
        <f t="shared" si="118"/>
        <v>-1.6335289873984846E-2</v>
      </c>
      <c r="G3644">
        <f t="shared" si="119"/>
        <v>-3.0362891700281402E-2</v>
      </c>
    </row>
    <row r="3645" spans="1:7" x14ac:dyDescent="0.35">
      <c r="A3645" t="s">
        <v>190</v>
      </c>
      <c r="E3645">
        <v>2.7192149661383939E-3</v>
      </c>
      <c r="F3645">
        <f t="shared" si="118"/>
        <v>-1.6342708299183176E-2</v>
      </c>
      <c r="G3645">
        <f t="shared" si="119"/>
        <v>-3.0362891700281402E-2</v>
      </c>
    </row>
    <row r="3646" spans="1:7" x14ac:dyDescent="0.35">
      <c r="A3646" t="s">
        <v>190</v>
      </c>
      <c r="E3646">
        <v>1.8127273218534849E-2</v>
      </c>
      <c r="F3646">
        <f t="shared" si="118"/>
        <v>-1.6350126724381506E-2</v>
      </c>
      <c r="G3646">
        <f t="shared" si="119"/>
        <v>-3.0362891700281402E-2</v>
      </c>
    </row>
    <row r="3647" spans="1:7" x14ac:dyDescent="0.35">
      <c r="A3647" t="s">
        <v>190</v>
      </c>
      <c r="E3647">
        <v>1.3858249557196051E-2</v>
      </c>
      <c r="F3647">
        <f t="shared" si="118"/>
        <v>-1.6357545149579836E-2</v>
      </c>
      <c r="G3647">
        <f t="shared" si="119"/>
        <v>-3.0362891700281402E-2</v>
      </c>
    </row>
    <row r="3648" spans="1:7" x14ac:dyDescent="0.35">
      <c r="A3648" t="s">
        <v>190</v>
      </c>
      <c r="E3648">
        <v>-1.3249034172884736E-3</v>
      </c>
      <c r="F3648">
        <f t="shared" si="118"/>
        <v>-1.6364963574778166E-2</v>
      </c>
      <c r="G3648">
        <f t="shared" si="119"/>
        <v>-3.0362891700281402E-2</v>
      </c>
    </row>
    <row r="3649" spans="1:7" x14ac:dyDescent="0.35">
      <c r="A3649" t="s">
        <v>190</v>
      </c>
      <c r="E3649">
        <v>2.441145757753979E-3</v>
      </c>
      <c r="F3649">
        <f t="shared" si="118"/>
        <v>-1.6372381999976496E-2</v>
      </c>
      <c r="G3649">
        <f t="shared" si="119"/>
        <v>-3.0362891700281402E-2</v>
      </c>
    </row>
    <row r="3650" spans="1:7" x14ac:dyDescent="0.35">
      <c r="A3650" t="s">
        <v>190</v>
      </c>
      <c r="E3650">
        <v>3.7178102380004711E-3</v>
      </c>
      <c r="F3650">
        <f t="shared" si="118"/>
        <v>-1.6379800425174826E-2</v>
      </c>
      <c r="G3650">
        <f t="shared" si="119"/>
        <v>-3.0362891700281402E-2</v>
      </c>
    </row>
    <row r="3651" spans="1:7" x14ac:dyDescent="0.35">
      <c r="A3651" t="s">
        <v>190</v>
      </c>
      <c r="E3651">
        <v>1.0858431403452169E-2</v>
      </c>
      <c r="F3651">
        <f t="shared" si="118"/>
        <v>-1.6387218850373156E-2</v>
      </c>
      <c r="G3651">
        <f t="shared" si="119"/>
        <v>-3.0362891700281402E-2</v>
      </c>
    </row>
    <row r="3652" spans="1:7" x14ac:dyDescent="0.35">
      <c r="A3652" t="s">
        <v>190</v>
      </c>
      <c r="E3652">
        <v>4.3176355506022099E-3</v>
      </c>
      <c r="F3652">
        <f t="shared" ref="F3652:F3715" si="120">_xlfn.PERCENTILE.EXC(E3652:E7467,0.05)</f>
        <v>-1.6394637275571486E-2</v>
      </c>
      <c r="G3652">
        <f t="shared" ref="G3652:G3715" si="121">AVERAGEIFS(E3652:E7468,E3652:E7468,"&lt;=" &amp; F3652)</f>
        <v>-3.0362891700281402E-2</v>
      </c>
    </row>
    <row r="3653" spans="1:7" x14ac:dyDescent="0.35">
      <c r="A3653" t="s">
        <v>190</v>
      </c>
      <c r="E3653">
        <v>4.5015425162936494E-4</v>
      </c>
      <c r="F3653">
        <f t="shared" si="120"/>
        <v>-1.6402055700769816E-2</v>
      </c>
      <c r="G3653">
        <f t="shared" si="121"/>
        <v>-3.0362891700281402E-2</v>
      </c>
    </row>
    <row r="3654" spans="1:7" x14ac:dyDescent="0.35">
      <c r="A3654" t="s">
        <v>190</v>
      </c>
      <c r="E3654">
        <v>2.3445842935121931E-3</v>
      </c>
      <c r="F3654">
        <f t="shared" si="120"/>
        <v>-1.6409474125968146E-2</v>
      </c>
      <c r="G3654">
        <f t="shared" si="121"/>
        <v>-3.0362891700281402E-2</v>
      </c>
    </row>
    <row r="3655" spans="1:7" x14ac:dyDescent="0.35">
      <c r="A3655" t="s">
        <v>190</v>
      </c>
      <c r="E3655">
        <v>3.8048419179883687E-3</v>
      </c>
      <c r="F3655">
        <f t="shared" si="120"/>
        <v>-1.6416892551166476E-2</v>
      </c>
      <c r="G3655">
        <f t="shared" si="121"/>
        <v>-3.0362891700281402E-2</v>
      </c>
    </row>
    <row r="3656" spans="1:7" x14ac:dyDescent="0.35">
      <c r="A3656" t="s">
        <v>191</v>
      </c>
      <c r="B3656" s="3" cm="1">
        <f t="array" ref="B3656">_xlfn.STDEV.S(_xlfn._xlws.FILTER($E$2826:$E$3824, $A$2826:$A$3824="2024-09"))</f>
        <v>7.3084559666168024E-3</v>
      </c>
      <c r="C3656" s="3" cm="1">
        <f t="array" ref="C3656">AVERAGE(_xlfn._xlws.FILTER($E$2826:$E$3824, $A$2826:$A$3824="2024-09"))</f>
        <v>1.9451908189092996E-3</v>
      </c>
      <c r="D3656" s="3" cm="1">
        <f t="array" ref="D3656">_xlfn.PERCENTILE.EXC(_xlfn._xlws.FILTER($E$2490:$E$3818, $A$2490:$A$3818="2024-09"), 0.05)</f>
        <v>-1.0112069834686377E-2</v>
      </c>
      <c r="E3656">
        <v>-5.790184921301945E-4</v>
      </c>
      <c r="F3656">
        <f t="shared" si="120"/>
        <v>-1.6424310976364806E-2</v>
      </c>
      <c r="G3656">
        <f t="shared" si="121"/>
        <v>-3.0362891700281402E-2</v>
      </c>
    </row>
    <row r="3657" spans="1:7" x14ac:dyDescent="0.35">
      <c r="A3657" t="s">
        <v>191</v>
      </c>
      <c r="E3657">
        <v>-1.0240668118626096E-2</v>
      </c>
      <c r="F3657">
        <f t="shared" si="120"/>
        <v>-1.6431729401563136E-2</v>
      </c>
      <c r="G3657">
        <f t="shared" si="121"/>
        <v>-3.0362891700281402E-2</v>
      </c>
    </row>
    <row r="3658" spans="1:7" x14ac:dyDescent="0.35">
      <c r="A3658" t="s">
        <v>191</v>
      </c>
      <c r="E3658">
        <v>-5.8062413319418535E-3</v>
      </c>
      <c r="F3658">
        <f t="shared" si="120"/>
        <v>-1.6439147826761466E-2</v>
      </c>
      <c r="G3658">
        <f t="shared" si="121"/>
        <v>-3.0362891700281402E-2</v>
      </c>
    </row>
    <row r="3659" spans="1:7" x14ac:dyDescent="0.35">
      <c r="A3659" t="s">
        <v>191</v>
      </c>
      <c r="E3659">
        <v>5.3007586073571464E-3</v>
      </c>
      <c r="F3659">
        <f t="shared" si="120"/>
        <v>-1.6446566251959796E-2</v>
      </c>
      <c r="G3659">
        <f t="shared" si="121"/>
        <v>-3.0362891700281402E-2</v>
      </c>
    </row>
    <row r="3660" spans="1:7" x14ac:dyDescent="0.35">
      <c r="A3660" t="s">
        <v>191</v>
      </c>
      <c r="E3660">
        <v>-8.954685279228906E-3</v>
      </c>
      <c r="F3660">
        <f t="shared" si="120"/>
        <v>-1.6453984677158126E-2</v>
      </c>
      <c r="G3660">
        <f t="shared" si="121"/>
        <v>-3.0362891700281402E-2</v>
      </c>
    </row>
    <row r="3661" spans="1:7" x14ac:dyDescent="0.35">
      <c r="A3661" t="s">
        <v>191</v>
      </c>
      <c r="E3661">
        <v>8.8925908335569584E-3</v>
      </c>
      <c r="F3661">
        <f t="shared" si="120"/>
        <v>-1.6496670429975761E-2</v>
      </c>
      <c r="G3661">
        <f t="shared" si="121"/>
        <v>-3.2349878417870445E-2</v>
      </c>
    </row>
    <row r="3662" spans="1:7" x14ac:dyDescent="0.35">
      <c r="A3662" t="s">
        <v>191</v>
      </c>
      <c r="E3662">
        <v>-6.1665149156639038E-3</v>
      </c>
      <c r="F3662">
        <f t="shared" si="120"/>
        <v>-1.6539356182793393E-2</v>
      </c>
      <c r="G3662">
        <f t="shared" si="121"/>
        <v>-3.2349878417870445E-2</v>
      </c>
    </row>
    <row r="3663" spans="1:7" x14ac:dyDescent="0.35">
      <c r="A3663" t="s">
        <v>191</v>
      </c>
      <c r="E3663">
        <v>6.7074941011594346E-3</v>
      </c>
      <c r="F3663">
        <f t="shared" si="120"/>
        <v>-1.6582041935611028E-2</v>
      </c>
      <c r="G3663">
        <f t="shared" si="121"/>
        <v>-3.2349878417870445E-2</v>
      </c>
    </row>
    <row r="3664" spans="1:7" x14ac:dyDescent="0.35">
      <c r="A3664" t="s">
        <v>191</v>
      </c>
      <c r="E3664">
        <v>1.0697175521953971E-2</v>
      </c>
      <c r="F3664">
        <f t="shared" si="120"/>
        <v>-1.6624727688428664E-2</v>
      </c>
      <c r="G3664">
        <f t="shared" si="121"/>
        <v>-3.2349878417870445E-2</v>
      </c>
    </row>
    <row r="3665" spans="1:7" x14ac:dyDescent="0.35">
      <c r="A3665" t="s">
        <v>191</v>
      </c>
      <c r="E3665">
        <v>1.22056928460963E-2</v>
      </c>
      <c r="F3665">
        <f t="shared" si="120"/>
        <v>-1.6667413441246295E-2</v>
      </c>
      <c r="G3665">
        <f t="shared" si="121"/>
        <v>-3.2349878417870445E-2</v>
      </c>
    </row>
    <row r="3666" spans="1:7" x14ac:dyDescent="0.35">
      <c r="A3666" t="s">
        <v>191</v>
      </c>
      <c r="E3666">
        <v>3.5292322499371801E-3</v>
      </c>
      <c r="F3666">
        <f t="shared" si="120"/>
        <v>-1.6710099194063931E-2</v>
      </c>
      <c r="G3666">
        <f t="shared" si="121"/>
        <v>-3.2349878417870445E-2</v>
      </c>
    </row>
    <row r="3667" spans="1:7" x14ac:dyDescent="0.35">
      <c r="A3667" t="s">
        <v>191</v>
      </c>
      <c r="E3667">
        <v>1.0513573676563102E-2</v>
      </c>
      <c r="F3667">
        <f t="shared" si="120"/>
        <v>-1.6752784946881566E-2</v>
      </c>
      <c r="G3667">
        <f t="shared" si="121"/>
        <v>-3.2349878417870445E-2</v>
      </c>
    </row>
    <row r="3668" spans="1:7" x14ac:dyDescent="0.35">
      <c r="A3668" t="s">
        <v>191</v>
      </c>
      <c r="E3668">
        <v>-1.5991041585136172E-3</v>
      </c>
      <c r="F3668">
        <f t="shared" si="120"/>
        <v>-1.6795470699699198E-2</v>
      </c>
      <c r="G3668">
        <f t="shared" si="121"/>
        <v>-3.2349878417870445E-2</v>
      </c>
    </row>
    <row r="3669" spans="1:7" x14ac:dyDescent="0.35">
      <c r="A3669" t="s">
        <v>191</v>
      </c>
      <c r="E3669">
        <v>7.9615811718869185E-3</v>
      </c>
      <c r="F3669">
        <f t="shared" si="120"/>
        <v>-1.6838156452516833E-2</v>
      </c>
      <c r="G3669">
        <f t="shared" si="121"/>
        <v>-3.2349878417870445E-2</v>
      </c>
    </row>
    <row r="3670" spans="1:7" x14ac:dyDescent="0.35">
      <c r="A3670" t="s">
        <v>191</v>
      </c>
      <c r="E3670">
        <v>-2.107822669456803E-3</v>
      </c>
      <c r="F3670">
        <f t="shared" si="120"/>
        <v>-1.6880842205334468E-2</v>
      </c>
      <c r="G3670">
        <f t="shared" si="121"/>
        <v>-3.2349878417870445E-2</v>
      </c>
    </row>
    <row r="3671" spans="1:7" x14ac:dyDescent="0.35">
      <c r="A3671" t="s">
        <v>191</v>
      </c>
      <c r="E3671">
        <v>3.7874973093579628E-3</v>
      </c>
      <c r="F3671">
        <f t="shared" si="120"/>
        <v>-1.6923527958152104E-2</v>
      </c>
      <c r="G3671">
        <f t="shared" si="121"/>
        <v>-3.2349878417870445E-2</v>
      </c>
    </row>
    <row r="3672" spans="1:7" x14ac:dyDescent="0.35">
      <c r="A3672" t="s">
        <v>191</v>
      </c>
      <c r="E3672">
        <v>3.3086694396781643E-3</v>
      </c>
      <c r="F3672">
        <f t="shared" si="120"/>
        <v>-1.6966213710969735E-2</v>
      </c>
      <c r="G3672">
        <f t="shared" si="121"/>
        <v>-3.2349878417870445E-2</v>
      </c>
    </row>
    <row r="3673" spans="1:7" x14ac:dyDescent="0.35">
      <c r="A3673" t="s">
        <v>191</v>
      </c>
      <c r="E3673">
        <v>-3.7580028653514111E-3</v>
      </c>
      <c r="F3673">
        <f t="shared" si="120"/>
        <v>-1.7008899463787371E-2</v>
      </c>
      <c r="G3673">
        <f t="shared" si="121"/>
        <v>-3.2349878417870445E-2</v>
      </c>
    </row>
    <row r="3674" spans="1:7" x14ac:dyDescent="0.35">
      <c r="A3674" t="s">
        <v>191</v>
      </c>
      <c r="E3674">
        <v>1.352680885057821E-2</v>
      </c>
      <c r="F3674">
        <f t="shared" si="120"/>
        <v>-1.7051585216605006E-2</v>
      </c>
      <c r="G3674">
        <f t="shared" si="121"/>
        <v>-3.2349878417870445E-2</v>
      </c>
    </row>
    <row r="3675" spans="1:7" x14ac:dyDescent="0.35">
      <c r="A3675" t="s">
        <v>191</v>
      </c>
      <c r="E3675">
        <v>1.229040625256432E-3</v>
      </c>
      <c r="F3675">
        <f t="shared" si="120"/>
        <v>-1.7094270969422641E-2</v>
      </c>
      <c r="G3675">
        <f t="shared" si="121"/>
        <v>-3.2349878417870445E-2</v>
      </c>
    </row>
    <row r="3676" spans="1:7" x14ac:dyDescent="0.35">
      <c r="A3676" t="s">
        <v>191</v>
      </c>
      <c r="E3676">
        <v>-7.599050205373702E-3</v>
      </c>
      <c r="F3676">
        <f t="shared" si="120"/>
        <v>-1.7136956722240273E-2</v>
      </c>
      <c r="G3676">
        <f t="shared" si="121"/>
        <v>-3.2349878417870445E-2</v>
      </c>
    </row>
    <row r="3677" spans="1:7" x14ac:dyDescent="0.35">
      <c r="A3677" t="s">
        <v>192</v>
      </c>
      <c r="B3677" s="3" cm="1">
        <f t="array" ref="B3677">_xlfn.STDEV.S(_xlfn._xlws.FILTER($E$2826:$E$3824, $A$2826:$A$3824="2024-10"))</f>
        <v>6.6450298973491136E-3</v>
      </c>
      <c r="C3677" s="3" cm="1">
        <f t="array" ref="C3677">AVERAGE(_xlfn._xlws.FILTER($E$2826:$E$3824, $A$2826:$A$3824="2024-10"))</f>
        <v>-7.5586088720042859E-4</v>
      </c>
      <c r="D3677" s="3" cm="1">
        <f t="array" ref="D3677">_xlfn.PERCENTILE.EXC(_xlfn._xlws.FILTER($E$2490:$E$3818, $A$2490:$A$3818="2024-10"), 0.05)</f>
        <v>-1.5680825996489171E-2</v>
      </c>
      <c r="E3677">
        <v>-1.730769973351081E-2</v>
      </c>
      <c r="F3677">
        <f t="shared" si="120"/>
        <v>-1.7179642475057908E-2</v>
      </c>
      <c r="G3677">
        <f t="shared" si="121"/>
        <v>-3.2349878417870445E-2</v>
      </c>
    </row>
    <row r="3678" spans="1:7" x14ac:dyDescent="0.35">
      <c r="A3678" t="s">
        <v>192</v>
      </c>
      <c r="E3678">
        <v>-5.4717466107879371E-3</v>
      </c>
      <c r="F3678">
        <f t="shared" si="120"/>
        <v>-1.6439147826761466E-2</v>
      </c>
      <c r="G3678">
        <f t="shared" si="121"/>
        <v>-3.2227919124105775E-2</v>
      </c>
    </row>
    <row r="3679" spans="1:7" x14ac:dyDescent="0.35">
      <c r="A3679" t="s">
        <v>192</v>
      </c>
      <c r="E3679">
        <v>7.0605053777340204E-4</v>
      </c>
      <c r="F3679">
        <f t="shared" si="120"/>
        <v>-1.6446566251959796E-2</v>
      </c>
      <c r="G3679">
        <f t="shared" si="121"/>
        <v>-3.2227919124105775E-2</v>
      </c>
    </row>
    <row r="3680" spans="1:7" x14ac:dyDescent="0.35">
      <c r="A3680" t="s">
        <v>192</v>
      </c>
      <c r="E3680">
        <v>3.5399483635399783E-3</v>
      </c>
      <c r="F3680">
        <f t="shared" si="120"/>
        <v>-1.6453984677158126E-2</v>
      </c>
      <c r="G3680">
        <f t="shared" si="121"/>
        <v>-3.2227919124105775E-2</v>
      </c>
    </row>
    <row r="3681" spans="1:7" x14ac:dyDescent="0.35">
      <c r="A3681" t="s">
        <v>192</v>
      </c>
      <c r="E3681">
        <v>4.9878828808433157E-3</v>
      </c>
      <c r="F3681">
        <f t="shared" si="120"/>
        <v>-1.6565607383036206E-2</v>
      </c>
      <c r="G3681">
        <f t="shared" si="121"/>
        <v>-3.4856908198597047E-2</v>
      </c>
    </row>
    <row r="3682" spans="1:7" x14ac:dyDescent="0.35">
      <c r="A3682" t="s">
        <v>192</v>
      </c>
      <c r="E3682">
        <v>1.4668136109941105E-3</v>
      </c>
      <c r="F3682">
        <f t="shared" si="120"/>
        <v>-1.6677230088914287E-2</v>
      </c>
      <c r="G3682">
        <f t="shared" si="121"/>
        <v>-3.4856908198597047E-2</v>
      </c>
    </row>
    <row r="3683" spans="1:7" x14ac:dyDescent="0.35">
      <c r="A3683" t="s">
        <v>192</v>
      </c>
      <c r="E3683">
        <v>5.7931012601456844E-4</v>
      </c>
      <c r="F3683">
        <f t="shared" si="120"/>
        <v>-1.6788852794792367E-2</v>
      </c>
      <c r="G3683">
        <f t="shared" si="121"/>
        <v>-3.4856908198597047E-2</v>
      </c>
    </row>
    <row r="3684" spans="1:7" x14ac:dyDescent="0.35">
      <c r="A3684" t="s">
        <v>192</v>
      </c>
      <c r="E3684">
        <v>-7.2484525547089765E-3</v>
      </c>
      <c r="F3684">
        <f t="shared" si="120"/>
        <v>-1.6900475500670448E-2</v>
      </c>
      <c r="G3684">
        <f t="shared" si="121"/>
        <v>-3.4856908198597047E-2</v>
      </c>
    </row>
    <row r="3685" spans="1:7" x14ac:dyDescent="0.35">
      <c r="A3685" t="s">
        <v>192</v>
      </c>
      <c r="E3685">
        <v>5.4156621518426495E-3</v>
      </c>
      <c r="F3685">
        <f t="shared" si="120"/>
        <v>-1.7012098206548528E-2</v>
      </c>
      <c r="G3685">
        <f t="shared" si="121"/>
        <v>-3.4856908198597047E-2</v>
      </c>
    </row>
    <row r="3686" spans="1:7" x14ac:dyDescent="0.35">
      <c r="A3686" t="s">
        <v>192</v>
      </c>
      <c r="E3686">
        <v>1.1107029915355131E-2</v>
      </c>
      <c r="F3686">
        <f t="shared" si="120"/>
        <v>-1.7123720912426608E-2</v>
      </c>
      <c r="G3686">
        <f t="shared" si="121"/>
        <v>-3.4856908198597047E-2</v>
      </c>
    </row>
    <row r="3687" spans="1:7" x14ac:dyDescent="0.35">
      <c r="A3687" t="s">
        <v>192</v>
      </c>
      <c r="E3687">
        <v>6.6691863644274046E-3</v>
      </c>
      <c r="F3687">
        <f t="shared" si="120"/>
        <v>-1.7235343618304689E-2</v>
      </c>
      <c r="G3687">
        <f t="shared" si="121"/>
        <v>-3.4856908198597047E-2</v>
      </c>
    </row>
    <row r="3688" spans="1:7" x14ac:dyDescent="0.35">
      <c r="A3688" t="s">
        <v>192</v>
      </c>
      <c r="E3688">
        <v>5.5586115399176511E-3</v>
      </c>
      <c r="F3688">
        <f t="shared" si="120"/>
        <v>-1.7346966324182769E-2</v>
      </c>
      <c r="G3688">
        <f t="shared" si="121"/>
        <v>-3.4856908198597047E-2</v>
      </c>
    </row>
    <row r="3689" spans="1:7" x14ac:dyDescent="0.35">
      <c r="A3689" t="s">
        <v>192</v>
      </c>
      <c r="E3689">
        <v>-7.7151320717467574E-3</v>
      </c>
      <c r="F3689">
        <f t="shared" si="120"/>
        <v>-1.745858903006085E-2</v>
      </c>
      <c r="G3689">
        <f t="shared" si="121"/>
        <v>-3.4856908198597047E-2</v>
      </c>
    </row>
    <row r="3690" spans="1:7" x14ac:dyDescent="0.35">
      <c r="A3690" t="s">
        <v>192</v>
      </c>
      <c r="E3690">
        <v>1.737328225414845E-3</v>
      </c>
      <c r="F3690">
        <f t="shared" si="120"/>
        <v>-1.757021173593893E-2</v>
      </c>
      <c r="G3690">
        <f t="shared" si="121"/>
        <v>-3.4856908198597047E-2</v>
      </c>
    </row>
    <row r="3691" spans="1:7" x14ac:dyDescent="0.35">
      <c r="A3691" t="s">
        <v>192</v>
      </c>
      <c r="E3691">
        <v>-7.0772775764095346E-3</v>
      </c>
      <c r="F3691">
        <f t="shared" si="120"/>
        <v>-1.7681834441817011E-2</v>
      </c>
      <c r="G3691">
        <f t="shared" si="121"/>
        <v>-3.4856908198597047E-2</v>
      </c>
    </row>
    <row r="3692" spans="1:7" x14ac:dyDescent="0.35">
      <c r="A3692" t="s">
        <v>192</v>
      </c>
      <c r="E3692">
        <v>-7.0964529163190348E-4</v>
      </c>
      <c r="F3692">
        <f t="shared" si="120"/>
        <v>-1.7793457147695091E-2</v>
      </c>
      <c r="G3692">
        <f t="shared" si="121"/>
        <v>-3.4856908198597047E-2</v>
      </c>
    </row>
    <row r="3693" spans="1:7" x14ac:dyDescent="0.35">
      <c r="A3693" t="s">
        <v>192</v>
      </c>
      <c r="E3693">
        <v>2.742860791509997E-3</v>
      </c>
      <c r="F3693">
        <f t="shared" si="120"/>
        <v>-1.7905079853573171E-2</v>
      </c>
      <c r="G3693">
        <f t="shared" si="121"/>
        <v>-3.4856908198597047E-2</v>
      </c>
    </row>
    <row r="3694" spans="1:7" x14ac:dyDescent="0.35">
      <c r="A3694" t="s">
        <v>192</v>
      </c>
      <c r="E3694">
        <v>-2.1430086244052008E-3</v>
      </c>
      <c r="F3694">
        <f t="shared" si="120"/>
        <v>-1.8016702559451252E-2</v>
      </c>
      <c r="G3694">
        <f t="shared" si="121"/>
        <v>-3.4856908198597047E-2</v>
      </c>
    </row>
    <row r="3695" spans="1:7" x14ac:dyDescent="0.35">
      <c r="A3695" t="s">
        <v>192</v>
      </c>
      <c r="E3695">
        <v>-2.3084446014369525E-3</v>
      </c>
      <c r="F3695">
        <f t="shared" si="120"/>
        <v>-1.8128325265329336E-2</v>
      </c>
      <c r="G3695">
        <f t="shared" si="121"/>
        <v>-3.4856908198597047E-2</v>
      </c>
    </row>
    <row r="3696" spans="1:7" x14ac:dyDescent="0.35">
      <c r="A3696" t="s">
        <v>192</v>
      </c>
      <c r="E3696">
        <v>7.7161852708749964E-3</v>
      </c>
      <c r="F3696">
        <f t="shared" si="120"/>
        <v>-1.8239947971207416E-2</v>
      </c>
      <c r="G3696">
        <f t="shared" si="121"/>
        <v>-3.4856908198597047E-2</v>
      </c>
    </row>
    <row r="3697" spans="1:7" x14ac:dyDescent="0.35">
      <c r="A3697" t="s">
        <v>192</v>
      </c>
      <c r="E3697">
        <v>-9.1733310484026151E-3</v>
      </c>
      <c r="F3697">
        <f t="shared" si="120"/>
        <v>-1.8351570677085496E-2</v>
      </c>
      <c r="G3697">
        <f t="shared" si="121"/>
        <v>-3.4856908198597047E-2</v>
      </c>
    </row>
    <row r="3698" spans="1:7" x14ac:dyDescent="0.35">
      <c r="A3698" t="s">
        <v>192</v>
      </c>
      <c r="E3698">
        <v>-6.831075082574435E-3</v>
      </c>
      <c r="F3698">
        <f t="shared" si="120"/>
        <v>-1.8463193382963577E-2</v>
      </c>
      <c r="G3698">
        <f t="shared" si="121"/>
        <v>-3.4856908198597047E-2</v>
      </c>
    </row>
    <row r="3699" spans="1:7" x14ac:dyDescent="0.35">
      <c r="A3699" t="s">
        <v>192</v>
      </c>
      <c r="E3699">
        <v>-3.6258569885027816E-3</v>
      </c>
      <c r="F3699">
        <f t="shared" si="120"/>
        <v>-1.8574816088841654E-2</v>
      </c>
      <c r="G3699">
        <f t="shared" si="121"/>
        <v>-3.4856908198597047E-2</v>
      </c>
    </row>
    <row r="3700" spans="1:7" x14ac:dyDescent="0.35">
      <c r="A3700" t="s">
        <v>193</v>
      </c>
      <c r="B3700" s="3" cm="1">
        <f t="array" ref="B3700">_xlfn.STDEV.S(_xlfn._xlws.FILTER($E$2826:$E$3824, $A$2826:$A$3824="2024-11"))</f>
        <v>9.9048788573868514E-3</v>
      </c>
      <c r="C3700" s="3" cm="1">
        <f t="array" ref="C3700">AVERAGE(_xlfn._xlws.FILTER($E$2826:$E$3824, $A$2826:$A$3824="2024-11"))</f>
        <v>-1.2786166930210731E-4</v>
      </c>
      <c r="D3700" s="3" cm="1">
        <f t="array" ref="D3700">_xlfn.PERCENTILE.EXC(_xlfn._xlws.FILTER($E$2490:$E$3818, $A$2490:$A$3818="2024-11"), 0.05)</f>
        <v>-2.8398666964042849E-2</v>
      </c>
      <c r="E3700">
        <v>1.4492760768101789E-2</v>
      </c>
      <c r="F3700">
        <f t="shared" si="120"/>
        <v>-1.8686438794719738E-2</v>
      </c>
      <c r="G3700">
        <f t="shared" si="121"/>
        <v>-3.4856908198597047E-2</v>
      </c>
    </row>
    <row r="3701" spans="1:7" x14ac:dyDescent="0.35">
      <c r="A3701" t="s">
        <v>193</v>
      </c>
      <c r="E3701">
        <v>-3.205334250890402E-3</v>
      </c>
      <c r="F3701">
        <f t="shared" si="120"/>
        <v>-1.8875232230566325E-2</v>
      </c>
      <c r="G3701">
        <f t="shared" si="121"/>
        <v>-3.8091002079372507E-2</v>
      </c>
    </row>
    <row r="3702" spans="1:7" x14ac:dyDescent="0.35">
      <c r="A3702" t="s">
        <v>193</v>
      </c>
      <c r="E3702">
        <v>2.884418117033449E-3</v>
      </c>
      <c r="F3702">
        <f t="shared" si="120"/>
        <v>-1.9064025666412913E-2</v>
      </c>
      <c r="G3702">
        <f t="shared" si="121"/>
        <v>-3.8091002079372507E-2</v>
      </c>
    </row>
    <row r="3703" spans="1:7" x14ac:dyDescent="0.35">
      <c r="A3703" t="s">
        <v>193</v>
      </c>
      <c r="E3703">
        <v>-2.9477803427300973E-2</v>
      </c>
      <c r="F3703">
        <f t="shared" si="120"/>
        <v>-1.9252819102259497E-2</v>
      </c>
      <c r="G3703">
        <f t="shared" si="121"/>
        <v>-3.8091002079372507E-2</v>
      </c>
    </row>
    <row r="3704" spans="1:7" x14ac:dyDescent="0.35">
      <c r="A3704" t="s">
        <v>193</v>
      </c>
      <c r="E3704">
        <v>6.4859280323849838E-3</v>
      </c>
      <c r="F3704">
        <f t="shared" si="120"/>
        <v>-1.6900475500670448E-2</v>
      </c>
      <c r="G3704">
        <f t="shared" si="121"/>
        <v>-3.5932729152856266E-2</v>
      </c>
    </row>
    <row r="3705" spans="1:7" x14ac:dyDescent="0.35">
      <c r="A3705" t="s">
        <v>193</v>
      </c>
      <c r="E3705">
        <v>-1.6002286983910693E-3</v>
      </c>
      <c r="F3705">
        <f t="shared" si="120"/>
        <v>-1.7012098206548528E-2</v>
      </c>
      <c r="G3705">
        <f t="shared" si="121"/>
        <v>-3.5932729152856266E-2</v>
      </c>
    </row>
    <row r="3706" spans="1:7" x14ac:dyDescent="0.35">
      <c r="A3706" t="s">
        <v>193</v>
      </c>
      <c r="E3706">
        <v>3.9483568869431353E-3</v>
      </c>
      <c r="F3706">
        <f t="shared" si="120"/>
        <v>-1.7123720912426608E-2</v>
      </c>
      <c r="G3706">
        <f t="shared" si="121"/>
        <v>-3.5932729152856266E-2</v>
      </c>
    </row>
    <row r="3707" spans="1:7" x14ac:dyDescent="0.35">
      <c r="A3707" t="s">
        <v>193</v>
      </c>
      <c r="E3707">
        <v>-1.8686438794719738E-2</v>
      </c>
      <c r="F3707">
        <f t="shared" si="120"/>
        <v>-1.7235343618304689E-2</v>
      </c>
      <c r="G3707">
        <f t="shared" si="121"/>
        <v>-3.5932729152856266E-2</v>
      </c>
    </row>
    <row r="3708" spans="1:7" x14ac:dyDescent="0.35">
      <c r="A3708" t="s">
        <v>193</v>
      </c>
      <c r="E3708">
        <v>-4.8331042211111812E-4</v>
      </c>
      <c r="F3708">
        <f t="shared" si="120"/>
        <v>-1.6364963574778166E-2</v>
      </c>
      <c r="G3708">
        <f t="shared" si="121"/>
        <v>-3.5486238329343937E-2</v>
      </c>
    </row>
    <row r="3709" spans="1:7" x14ac:dyDescent="0.35">
      <c r="A3709" t="s">
        <v>193</v>
      </c>
      <c r="E3709">
        <v>1.285528632869231E-2</v>
      </c>
      <c r="F3709">
        <f t="shared" si="120"/>
        <v>-1.6372381999976496E-2</v>
      </c>
      <c r="G3709">
        <f t="shared" si="121"/>
        <v>-3.5486238329343937E-2</v>
      </c>
    </row>
    <row r="3710" spans="1:7" x14ac:dyDescent="0.35">
      <c r="A3710" t="s">
        <v>193</v>
      </c>
      <c r="E3710">
        <v>9.6372970664643873E-3</v>
      </c>
      <c r="F3710">
        <f t="shared" si="120"/>
        <v>-1.6379800425174826E-2</v>
      </c>
      <c r="G3710">
        <f t="shared" si="121"/>
        <v>-3.5486238329343937E-2</v>
      </c>
    </row>
    <row r="3711" spans="1:7" x14ac:dyDescent="0.35">
      <c r="A3711" t="s">
        <v>193</v>
      </c>
      <c r="E3711">
        <v>3.3375262097817908E-3</v>
      </c>
      <c r="F3711">
        <f t="shared" si="120"/>
        <v>-1.6387218850373156E-2</v>
      </c>
      <c r="G3711">
        <f t="shared" si="121"/>
        <v>-3.5486238329343937E-2</v>
      </c>
    </row>
    <row r="3712" spans="1:7" x14ac:dyDescent="0.35">
      <c r="A3712" t="s">
        <v>193</v>
      </c>
      <c r="E3712">
        <v>-7.4280750085097486E-3</v>
      </c>
      <c r="F3712">
        <f t="shared" si="120"/>
        <v>-1.6394637275571486E-2</v>
      </c>
      <c r="G3712">
        <f t="shared" si="121"/>
        <v>-3.5486238329343937E-2</v>
      </c>
    </row>
    <row r="3713" spans="1:7" x14ac:dyDescent="0.35">
      <c r="A3713" t="s">
        <v>193</v>
      </c>
      <c r="E3713">
        <v>9.4918003859420123E-5</v>
      </c>
      <c r="F3713">
        <f t="shared" si="120"/>
        <v>-1.6402055700769816E-2</v>
      </c>
      <c r="G3713">
        <f t="shared" si="121"/>
        <v>-3.5486238329343937E-2</v>
      </c>
    </row>
    <row r="3714" spans="1:7" x14ac:dyDescent="0.35">
      <c r="A3714" t="s">
        <v>193</v>
      </c>
      <c r="E3714">
        <v>1.9136947033017186E-3</v>
      </c>
      <c r="F3714">
        <f t="shared" si="120"/>
        <v>-1.6409474125968146E-2</v>
      </c>
      <c r="G3714">
        <f t="shared" si="121"/>
        <v>-3.5486238329343937E-2</v>
      </c>
    </row>
    <row r="3715" spans="1:7" x14ac:dyDescent="0.35">
      <c r="A3715" t="s">
        <v>193</v>
      </c>
      <c r="E3715">
        <v>3.8593327170483539E-3</v>
      </c>
      <c r="F3715">
        <f t="shared" si="120"/>
        <v>-1.6416892551166476E-2</v>
      </c>
      <c r="G3715">
        <f t="shared" si="121"/>
        <v>-3.5486238329343937E-2</v>
      </c>
    </row>
    <row r="3716" spans="1:7" x14ac:dyDescent="0.35">
      <c r="A3716" t="s">
        <v>193</v>
      </c>
      <c r="E3716">
        <v>4.7243373674734088E-3</v>
      </c>
      <c r="F3716">
        <f t="shared" ref="F3716:F3779" si="122">_xlfn.PERCENTILE.EXC(E3716:E7531,0.05)</f>
        <v>-1.6424310976364806E-2</v>
      </c>
      <c r="G3716">
        <f t="shared" ref="G3716:G3779" si="123">AVERAGEIFS(E3716:E7532,E3716:E7532,"&lt;=" &amp; F3716)</f>
        <v>-3.5486238329343937E-2</v>
      </c>
    </row>
    <row r="3717" spans="1:7" x14ac:dyDescent="0.35">
      <c r="A3717" t="s">
        <v>193</v>
      </c>
      <c r="E3717">
        <v>-8.0498683705689956E-3</v>
      </c>
      <c r="F3717">
        <f t="shared" si="122"/>
        <v>-1.6431729401563136E-2</v>
      </c>
      <c r="G3717">
        <f t="shared" si="123"/>
        <v>-3.5486238329343937E-2</v>
      </c>
    </row>
    <row r="3718" spans="1:7" x14ac:dyDescent="0.35">
      <c r="A3718" t="s">
        <v>193</v>
      </c>
      <c r="E3718">
        <v>-3.3107188801109813E-3</v>
      </c>
      <c r="F3718">
        <f t="shared" si="122"/>
        <v>-1.6439147826761466E-2</v>
      </c>
      <c r="G3718">
        <f t="shared" si="123"/>
        <v>-3.5486238329343937E-2</v>
      </c>
    </row>
    <row r="3719" spans="1:7" x14ac:dyDescent="0.35">
      <c r="A3719" t="s">
        <v>193</v>
      </c>
      <c r="E3719">
        <v>2.69940613156223E-3</v>
      </c>
      <c r="F3719">
        <f t="shared" si="122"/>
        <v>-1.6446566251959796E-2</v>
      </c>
      <c r="G3719">
        <f t="shared" si="123"/>
        <v>-3.5486238329343937E-2</v>
      </c>
    </row>
    <row r="3720" spans="1:7" x14ac:dyDescent="0.35">
      <c r="A3720" t="s">
        <v>193</v>
      </c>
      <c r="E3720">
        <v>2.6234204646117952E-3</v>
      </c>
      <c r="F3720">
        <f t="shared" si="122"/>
        <v>-1.6453984677158126E-2</v>
      </c>
      <c r="G3720">
        <f t="shared" si="123"/>
        <v>-3.5486238329343937E-2</v>
      </c>
    </row>
    <row r="3721" spans="1:7" x14ac:dyDescent="0.35">
      <c r="A3721" t="s">
        <v>194</v>
      </c>
      <c r="B3721" s="3" cm="1">
        <f t="array" ref="B3721">_xlfn.STDEV.S(_xlfn._xlws.FILTER($E$2826:$E$3824, $A$2826:$A$3824="2024-12"))</f>
        <v>8.8879457758241093E-3</v>
      </c>
      <c r="C3721" s="3" cm="1">
        <f t="array" ref="C3721">AVERAGE(_xlfn._xlws.FILTER($E$2826:$E$3824, $A$2826:$A$3824="2024-12"))</f>
        <v>-5.0095520278824505E-4</v>
      </c>
      <c r="D3721" s="3" cm="1">
        <f t="array" ref="D3721">_xlfn.PERCENTILE.INC(_xlfn._xlws.FILTER($E$2490:$E$3818, $A$2490:$A$3818="2024-12"), 0.05)</f>
        <v>-1.5569644839351001E-2</v>
      </c>
      <c r="E3721">
        <v>8.0422736107970665E-3</v>
      </c>
      <c r="F3721">
        <f t="shared" si="122"/>
        <v>-1.6754400818882794E-2</v>
      </c>
      <c r="G3721">
        <f t="shared" si="123"/>
        <v>-4.0244301742390388E-2</v>
      </c>
    </row>
    <row r="3722" spans="1:7" x14ac:dyDescent="0.35">
      <c r="A3722" t="s">
        <v>194</v>
      </c>
      <c r="E3722">
        <v>1.1716054707022978E-2</v>
      </c>
      <c r="F3722">
        <f t="shared" si="122"/>
        <v>-1.7054816960607462E-2</v>
      </c>
      <c r="G3722">
        <f t="shared" si="123"/>
        <v>-4.0244301742390388E-2</v>
      </c>
    </row>
    <row r="3723" spans="1:7" x14ac:dyDescent="0.35">
      <c r="A3723" t="s">
        <v>194</v>
      </c>
      <c r="E3723">
        <v>4.8728945581591855E-3</v>
      </c>
      <c r="F3723">
        <f t="shared" si="122"/>
        <v>-1.7355233102332127E-2</v>
      </c>
      <c r="G3723">
        <f t="shared" si="123"/>
        <v>-4.0244301742390388E-2</v>
      </c>
    </row>
    <row r="3724" spans="1:7" x14ac:dyDescent="0.35">
      <c r="A3724" t="s">
        <v>194</v>
      </c>
      <c r="E3724">
        <v>1.5559371370361624E-2</v>
      </c>
      <c r="F3724">
        <f t="shared" si="122"/>
        <v>-1.7655649244056795E-2</v>
      </c>
      <c r="G3724">
        <f t="shared" si="123"/>
        <v>-4.0244301742390388E-2</v>
      </c>
    </row>
    <row r="3725" spans="1:7" x14ac:dyDescent="0.35">
      <c r="A3725" t="s">
        <v>194</v>
      </c>
      <c r="E3725">
        <v>-3.8609926967050653E-3</v>
      </c>
      <c r="F3725">
        <f t="shared" si="122"/>
        <v>-1.7956065385781466E-2</v>
      </c>
      <c r="G3725">
        <f t="shared" si="123"/>
        <v>-4.0244301742390388E-2</v>
      </c>
    </row>
    <row r="3726" spans="1:7" x14ac:dyDescent="0.35">
      <c r="A3726" t="s">
        <v>194</v>
      </c>
      <c r="E3726">
        <v>-5.0241972524350184E-3</v>
      </c>
      <c r="F3726">
        <f t="shared" si="122"/>
        <v>-1.8256481527506134E-2</v>
      </c>
      <c r="G3726">
        <f t="shared" si="123"/>
        <v>-4.0244301742390388E-2</v>
      </c>
    </row>
    <row r="3727" spans="1:7" x14ac:dyDescent="0.35">
      <c r="A3727" t="s">
        <v>194</v>
      </c>
      <c r="E3727">
        <v>-3.8370151759558996E-3</v>
      </c>
      <c r="F3727">
        <f t="shared" si="122"/>
        <v>-1.8556897669230802E-2</v>
      </c>
      <c r="G3727">
        <f t="shared" si="123"/>
        <v>-4.0244301742390388E-2</v>
      </c>
    </row>
    <row r="3728" spans="1:7" x14ac:dyDescent="0.35">
      <c r="A3728" t="s">
        <v>194</v>
      </c>
      <c r="E3728">
        <v>-1.4835168599933774E-2</v>
      </c>
      <c r="F3728">
        <f t="shared" si="122"/>
        <v>-1.885731381095547E-2</v>
      </c>
      <c r="G3728">
        <f t="shared" si="123"/>
        <v>-4.0244301742390388E-2</v>
      </c>
    </row>
    <row r="3729" spans="1:7" x14ac:dyDescent="0.35">
      <c r="A3729" t="s">
        <v>194</v>
      </c>
      <c r="E3729">
        <v>-2.0803179774023513E-3</v>
      </c>
      <c r="F3729">
        <f t="shared" si="122"/>
        <v>-1.9157729952680141E-2</v>
      </c>
      <c r="G3729">
        <f t="shared" si="123"/>
        <v>-4.0244301742390388E-2</v>
      </c>
    </row>
    <row r="3730" spans="1:7" x14ac:dyDescent="0.35">
      <c r="A3730" t="s">
        <v>194</v>
      </c>
      <c r="E3730">
        <v>-1.0800744345223724E-3</v>
      </c>
      <c r="F3730">
        <f t="shared" si="122"/>
        <v>-1.9458146094404806E-2</v>
      </c>
      <c r="G3730">
        <f t="shared" si="123"/>
        <v>-4.0244301742390388E-2</v>
      </c>
    </row>
    <row r="3731" spans="1:7" x14ac:dyDescent="0.35">
      <c r="A3731" t="s">
        <v>194</v>
      </c>
      <c r="E3731">
        <v>2.2523776346072702E-3</v>
      </c>
      <c r="F3731">
        <f t="shared" si="122"/>
        <v>-1.9758562236129474E-2</v>
      </c>
      <c r="G3731">
        <f t="shared" si="123"/>
        <v>-4.0244301742390388E-2</v>
      </c>
    </row>
    <row r="3732" spans="1:7" x14ac:dyDescent="0.35">
      <c r="A3732" t="s">
        <v>194</v>
      </c>
      <c r="E3732">
        <v>-1.6305616173191526E-2</v>
      </c>
      <c r="F3732">
        <f t="shared" si="122"/>
        <v>-2.0058978377854142E-2</v>
      </c>
      <c r="G3732">
        <f t="shared" si="123"/>
        <v>-4.0244301742390388E-2</v>
      </c>
    </row>
    <row r="3733" spans="1:7" x14ac:dyDescent="0.35">
      <c r="A3733" t="s">
        <v>194</v>
      </c>
      <c r="E3733">
        <v>2.5683027131352667E-3</v>
      </c>
      <c r="F3733">
        <f t="shared" si="122"/>
        <v>-2.035939451957881E-2</v>
      </c>
      <c r="G3733">
        <f t="shared" si="123"/>
        <v>-4.0244301742390388E-2</v>
      </c>
    </row>
    <row r="3734" spans="1:7" x14ac:dyDescent="0.35">
      <c r="A3734" t="s">
        <v>194</v>
      </c>
      <c r="E3734">
        <v>-1.5439767545143849E-2</v>
      </c>
      <c r="F3734">
        <f t="shared" si="122"/>
        <v>-2.0659810661303481E-2</v>
      </c>
      <c r="G3734">
        <f t="shared" si="123"/>
        <v>-4.0244301742390388E-2</v>
      </c>
    </row>
    <row r="3735" spans="1:7" x14ac:dyDescent="0.35">
      <c r="A3735" t="s">
        <v>194</v>
      </c>
      <c r="E3735">
        <v>2.3922620894154447E-3</v>
      </c>
      <c r="F3735">
        <f t="shared" si="122"/>
        <v>-2.0960226803028149E-2</v>
      </c>
      <c r="G3735">
        <f t="shared" si="123"/>
        <v>-4.0244301742390388E-2</v>
      </c>
    </row>
    <row r="3736" spans="1:7" x14ac:dyDescent="0.35">
      <c r="A3736" t="s">
        <v>194</v>
      </c>
      <c r="E3736">
        <v>-2.7594655767286262E-3</v>
      </c>
      <c r="F3736">
        <f t="shared" si="122"/>
        <v>-2.1260642944752814E-2</v>
      </c>
      <c r="G3736">
        <f t="shared" si="123"/>
        <v>-4.0244301742390388E-2</v>
      </c>
    </row>
    <row r="3737" spans="1:7" x14ac:dyDescent="0.35">
      <c r="A3737" t="s">
        <v>194</v>
      </c>
      <c r="E3737">
        <v>8.3510519163096757E-3</v>
      </c>
      <c r="F3737">
        <f t="shared" si="122"/>
        <v>-2.1561059086477482E-2</v>
      </c>
      <c r="G3737">
        <f t="shared" si="123"/>
        <v>-4.0244301742390388E-2</v>
      </c>
    </row>
    <row r="3738" spans="1:7" x14ac:dyDescent="0.35">
      <c r="A3738" t="s">
        <v>194</v>
      </c>
      <c r="E3738">
        <v>4.5083318202155715E-4</v>
      </c>
      <c r="F3738">
        <f t="shared" si="122"/>
        <v>-2.186147522820215E-2</v>
      </c>
      <c r="G3738">
        <f t="shared" si="123"/>
        <v>-4.0244301742390388E-2</v>
      </c>
    </row>
    <row r="3739" spans="1:7" x14ac:dyDescent="0.35">
      <c r="A3739" t="s">
        <v>195</v>
      </c>
      <c r="B3739" s="3" cm="1">
        <f t="array" ref="B3739">_xlfn.STDEV.S(_xlfn._xlws.FILTER($E$2826:$E$3824, $A$2826:$A$3824="2025-01"))</f>
        <v>7.5326615359845974E-3</v>
      </c>
      <c r="C3739" s="3" cm="1">
        <f t="array" ref="C3739">AVERAGE(_xlfn._xlws.FILTER($E$2826:$E$3824, $A$2826:$A$3824="2025-01"))</f>
        <v>3.1656059712053975E-3</v>
      </c>
      <c r="D3739" s="3" cm="1">
        <f t="array" ref="D3739">_xlfn.PERCENTILE.EXC(_xlfn._xlws.FILTER($E$2490:$E$3818, $A$2490:$A$3818="2025-01"), 0.05)</f>
        <v>-1.3571807256934037E-2</v>
      </c>
      <c r="E3739">
        <v>1.207060494773146E-2</v>
      </c>
      <c r="F3739">
        <f t="shared" si="122"/>
        <v>-2.2161891369926821E-2</v>
      </c>
      <c r="G3739">
        <f t="shared" si="123"/>
        <v>-4.0244301742390388E-2</v>
      </c>
    </row>
    <row r="3740" spans="1:7" x14ac:dyDescent="0.35">
      <c r="A3740" t="s">
        <v>195</v>
      </c>
      <c r="E3740">
        <v>-2.1690215760960642E-3</v>
      </c>
      <c r="F3740">
        <f t="shared" si="122"/>
        <v>-2.2462307511651489E-2</v>
      </c>
      <c r="G3740">
        <f t="shared" si="123"/>
        <v>-4.0244301742390388E-2</v>
      </c>
    </row>
    <row r="3741" spans="1:7" x14ac:dyDescent="0.35">
      <c r="A3741" t="s">
        <v>195</v>
      </c>
      <c r="E3741">
        <v>1.3350695746693963E-2</v>
      </c>
      <c r="F3741">
        <f t="shared" si="122"/>
        <v>-2.2632210928040773E-2</v>
      </c>
      <c r="G3741">
        <f t="shared" si="123"/>
        <v>-4.6171633152636692E-2</v>
      </c>
    </row>
    <row r="3742" spans="1:7" x14ac:dyDescent="0.35">
      <c r="A3742" t="s">
        <v>195</v>
      </c>
      <c r="E3742">
        <v>3.1329249497350956E-4</v>
      </c>
      <c r="F3742">
        <f t="shared" si="122"/>
        <v>-2.2802114344430052E-2</v>
      </c>
      <c r="G3742">
        <f t="shared" si="123"/>
        <v>-4.6171633152636692E-2</v>
      </c>
    </row>
    <row r="3743" spans="1:7" x14ac:dyDescent="0.35">
      <c r="A3743" t="s">
        <v>195</v>
      </c>
      <c r="E3743">
        <v>-1.168996321180441E-3</v>
      </c>
      <c r="F3743">
        <f t="shared" si="122"/>
        <v>-2.2972017760819339E-2</v>
      </c>
      <c r="G3743">
        <f t="shared" si="123"/>
        <v>-4.6171633152636692E-2</v>
      </c>
    </row>
    <row r="3744" spans="1:7" x14ac:dyDescent="0.35">
      <c r="A3744" t="s">
        <v>195</v>
      </c>
      <c r="E3744">
        <v>8.5410733000543665E-3</v>
      </c>
      <c r="F3744">
        <f t="shared" si="122"/>
        <v>-2.3141921177208619E-2</v>
      </c>
      <c r="G3744">
        <f t="shared" si="123"/>
        <v>-4.6171633152636692E-2</v>
      </c>
    </row>
    <row r="3745" spans="1:7" x14ac:dyDescent="0.35">
      <c r="A3745" t="s">
        <v>195</v>
      </c>
      <c r="E3745">
        <v>-1.5106001848499971E-2</v>
      </c>
      <c r="F3745">
        <f t="shared" si="122"/>
        <v>-2.3311824593597902E-2</v>
      </c>
      <c r="G3745">
        <f t="shared" si="123"/>
        <v>-4.6171633152636692E-2</v>
      </c>
    </row>
    <row r="3746" spans="1:7" x14ac:dyDescent="0.35">
      <c r="A3746" t="s">
        <v>195</v>
      </c>
      <c r="E3746">
        <v>-2.7937871399833876E-3</v>
      </c>
      <c r="F3746">
        <f t="shared" si="122"/>
        <v>-2.3481728009987185E-2</v>
      </c>
      <c r="G3746">
        <f t="shared" si="123"/>
        <v>-4.6171633152636692E-2</v>
      </c>
    </row>
    <row r="3747" spans="1:7" x14ac:dyDescent="0.35">
      <c r="A3747" t="s">
        <v>195</v>
      </c>
      <c r="E3747">
        <v>5.4521621558816184E-3</v>
      </c>
      <c r="F3747">
        <f t="shared" si="122"/>
        <v>-2.3651631426376468E-2</v>
      </c>
      <c r="G3747">
        <f t="shared" si="123"/>
        <v>-4.6171633152636692E-2</v>
      </c>
    </row>
    <row r="3748" spans="1:7" x14ac:dyDescent="0.35">
      <c r="A3748" t="s">
        <v>195</v>
      </c>
      <c r="E3748">
        <v>1.2380393726995313E-2</v>
      </c>
      <c r="F3748">
        <f t="shared" si="122"/>
        <v>-2.3821534842765751E-2</v>
      </c>
      <c r="G3748">
        <f t="shared" si="123"/>
        <v>-4.6171633152636692E-2</v>
      </c>
    </row>
    <row r="3749" spans="1:7" x14ac:dyDescent="0.35">
      <c r="A3749" t="s">
        <v>195</v>
      </c>
      <c r="E3749">
        <v>-4.878037904727084E-3</v>
      </c>
      <c r="F3749">
        <f t="shared" si="122"/>
        <v>-2.3991438259155035E-2</v>
      </c>
      <c r="G3749">
        <f t="shared" si="123"/>
        <v>-4.6171633152636692E-2</v>
      </c>
    </row>
    <row r="3750" spans="1:7" x14ac:dyDescent="0.35">
      <c r="A3750" t="s">
        <v>195</v>
      </c>
      <c r="E3750">
        <v>6.3729069201885038E-3</v>
      </c>
      <c r="F3750">
        <f t="shared" si="122"/>
        <v>-2.4161341675544318E-2</v>
      </c>
      <c r="G3750">
        <f t="shared" si="123"/>
        <v>-4.6171633152636692E-2</v>
      </c>
    </row>
    <row r="3751" spans="1:7" x14ac:dyDescent="0.35">
      <c r="A3751" t="s">
        <v>195</v>
      </c>
      <c r="E3751">
        <v>2.2883592901260475E-3</v>
      </c>
      <c r="F3751">
        <f t="shared" si="122"/>
        <v>-2.4331245091933601E-2</v>
      </c>
      <c r="G3751">
        <f t="shared" si="123"/>
        <v>-4.6171633152636692E-2</v>
      </c>
    </row>
    <row r="3752" spans="1:7" x14ac:dyDescent="0.35">
      <c r="A3752" t="s">
        <v>195</v>
      </c>
      <c r="E3752">
        <v>-1.3572956714876124E-3</v>
      </c>
      <c r="F3752">
        <f t="shared" si="122"/>
        <v>-2.4501148508322881E-2</v>
      </c>
      <c r="G3752">
        <f t="shared" si="123"/>
        <v>-4.6171633152636692E-2</v>
      </c>
    </row>
    <row r="3753" spans="1:7" x14ac:dyDescent="0.35">
      <c r="A3753" t="s">
        <v>195</v>
      </c>
      <c r="E3753">
        <v>-3.7547135471557775E-3</v>
      </c>
      <c r="F3753">
        <f t="shared" si="122"/>
        <v>-2.4671051924712167E-2</v>
      </c>
      <c r="G3753">
        <f t="shared" si="123"/>
        <v>-4.6171633152636692E-2</v>
      </c>
    </row>
    <row r="3754" spans="1:7" x14ac:dyDescent="0.35">
      <c r="A3754" t="s">
        <v>195</v>
      </c>
      <c r="E3754">
        <v>9.1145046288452023E-3</v>
      </c>
      <c r="F3754">
        <f t="shared" si="122"/>
        <v>-2.4840955341101447E-2</v>
      </c>
      <c r="G3754">
        <f t="shared" si="123"/>
        <v>-4.6171633152636692E-2</v>
      </c>
    </row>
    <row r="3755" spans="1:7" x14ac:dyDescent="0.35">
      <c r="A3755" t="s">
        <v>195</v>
      </c>
      <c r="E3755">
        <v>-7.4246794739740198E-4</v>
      </c>
      <c r="F3755">
        <f t="shared" si="122"/>
        <v>-2.5010858757490734E-2</v>
      </c>
      <c r="G3755">
        <f t="shared" si="123"/>
        <v>-4.6171633152636692E-2</v>
      </c>
    </row>
    <row r="3756" spans="1:7" x14ac:dyDescent="0.35">
      <c r="A3756" t="s">
        <v>195</v>
      </c>
      <c r="E3756">
        <v>1.2093563945535784E-3</v>
      </c>
      <c r="F3756">
        <f t="shared" si="122"/>
        <v>-2.5180762173880013E-2</v>
      </c>
      <c r="G3756">
        <f t="shared" si="123"/>
        <v>-4.6171633152636692E-2</v>
      </c>
    </row>
    <row r="3757" spans="1:7" x14ac:dyDescent="0.35">
      <c r="A3757" t="s">
        <v>195</v>
      </c>
      <c r="E3757">
        <v>1.3009835150439394E-2</v>
      </c>
      <c r="F3757">
        <f t="shared" si="122"/>
        <v>-2.5350665590269297E-2</v>
      </c>
      <c r="G3757">
        <f t="shared" si="123"/>
        <v>-4.6171633152636692E-2</v>
      </c>
    </row>
    <row r="3758" spans="1:7" x14ac:dyDescent="0.35">
      <c r="A3758" t="s">
        <v>195</v>
      </c>
      <c r="E3758">
        <v>1.0826309575950764E-2</v>
      </c>
      <c r="F3758">
        <f t="shared" si="122"/>
        <v>-2.552056900665858E-2</v>
      </c>
      <c r="G3758">
        <f t="shared" si="123"/>
        <v>-4.6171633152636692E-2</v>
      </c>
    </row>
    <row r="3759" spans="1:7" x14ac:dyDescent="0.35">
      <c r="A3759" t="s">
        <v>195</v>
      </c>
      <c r="E3759">
        <v>1.0774771225912501E-2</v>
      </c>
      <c r="F3759">
        <f t="shared" si="122"/>
        <v>-2.5690472423047863E-2</v>
      </c>
      <c r="G3759">
        <f t="shared" si="123"/>
        <v>-4.6171633152636692E-2</v>
      </c>
    </row>
    <row r="3760" spans="1:7" x14ac:dyDescent="0.35">
      <c r="A3760" t="s">
        <v>195</v>
      </c>
      <c r="E3760">
        <v>-4.0906122352997254E-3</v>
      </c>
      <c r="F3760">
        <f t="shared" si="122"/>
        <v>-2.5860375839437146E-2</v>
      </c>
      <c r="G3760">
        <f t="shared" si="123"/>
        <v>-4.6171633152636692E-2</v>
      </c>
    </row>
    <row r="3761" spans="1:7" x14ac:dyDescent="0.35">
      <c r="A3761" t="s">
        <v>196</v>
      </c>
      <c r="B3761" s="3" cm="1">
        <f t="array" ref="B3761">_xlfn.STDEV.S(_xlfn._xlws.FILTER($E$2826:$E$3824, $A$2826:$A$3824="2025-02"))</f>
        <v>8.711068020591E-3</v>
      </c>
      <c r="C3761" s="3" cm="1">
        <f t="array" ref="C3761">AVERAGE(_xlfn._xlws.FILTER($E$2826:$E$3824, $A$2826:$A$3824="2025-02"))</f>
        <v>3.8064429784142135E-3</v>
      </c>
      <c r="D3761" s="3" cm="1">
        <f t="array" ref="D3761">_xlfn.PERCENTILE.EXC(_xlfn._xlws.FILTER($E$2490:$E$3818, $A$2490:$A$3818="2025-02"), 0.05)</f>
        <v>-1.6294985894721125E-2</v>
      </c>
      <c r="E3761">
        <v>-1.3274009028418117E-2</v>
      </c>
      <c r="F3761">
        <f t="shared" si="122"/>
        <v>-2.719604090501342E-2</v>
      </c>
      <c r="G3761">
        <f t="shared" si="123"/>
        <v>-5.6327261809236466E-2</v>
      </c>
    </row>
    <row r="3762" spans="1:7" x14ac:dyDescent="0.35">
      <c r="A3762" t="s">
        <v>196</v>
      </c>
      <c r="E3762">
        <v>1.358926626880993E-2</v>
      </c>
      <c r="F3762">
        <f t="shared" si="122"/>
        <v>-2.8531705970589693E-2</v>
      </c>
      <c r="G3762">
        <f t="shared" si="123"/>
        <v>-5.6327261809236466E-2</v>
      </c>
    </row>
    <row r="3763" spans="1:7" x14ac:dyDescent="0.35">
      <c r="A3763" t="s">
        <v>196</v>
      </c>
      <c r="E3763">
        <v>1.3159827805289308E-2</v>
      </c>
      <c r="F3763">
        <f t="shared" si="122"/>
        <v>-2.9867371036165977E-2</v>
      </c>
      <c r="G3763">
        <f t="shared" si="123"/>
        <v>-5.6327261809236466E-2</v>
      </c>
    </row>
    <row r="3764" spans="1:7" x14ac:dyDescent="0.35">
      <c r="A3764" t="s">
        <v>196</v>
      </c>
      <c r="E3764">
        <v>1.5379621401585138E-2</v>
      </c>
      <c r="F3764">
        <f t="shared" si="122"/>
        <v>-3.120303610174225E-2</v>
      </c>
      <c r="G3764">
        <f t="shared" si="123"/>
        <v>-5.6327261809236466E-2</v>
      </c>
    </row>
    <row r="3765" spans="1:7" x14ac:dyDescent="0.35">
      <c r="A3765" t="s">
        <v>196</v>
      </c>
      <c r="E3765">
        <v>-3.3123685374587398E-3</v>
      </c>
      <c r="F3765">
        <f t="shared" si="122"/>
        <v>-3.2538701167318537E-2</v>
      </c>
      <c r="G3765">
        <f t="shared" si="123"/>
        <v>-5.6327261809236466E-2</v>
      </c>
    </row>
    <row r="3766" spans="1:7" x14ac:dyDescent="0.35">
      <c r="A3766" t="s">
        <v>196</v>
      </c>
      <c r="E3766">
        <v>1.5670713546807966E-3</v>
      </c>
      <c r="F3766">
        <f t="shared" si="122"/>
        <v>-3.3874366232894804E-2</v>
      </c>
      <c r="G3766">
        <f t="shared" si="123"/>
        <v>-5.6327261809236466E-2</v>
      </c>
    </row>
    <row r="3767" spans="1:7" x14ac:dyDescent="0.35">
      <c r="A3767" t="s">
        <v>196</v>
      </c>
      <c r="E3767">
        <v>5.1798134931884173E-3</v>
      </c>
      <c r="F3767">
        <f t="shared" si="122"/>
        <v>-3.5210031298471084E-2</v>
      </c>
      <c r="G3767">
        <f t="shared" si="123"/>
        <v>-5.6327261809236466E-2</v>
      </c>
    </row>
    <row r="3768" spans="1:7" x14ac:dyDescent="0.35">
      <c r="A3768" t="s">
        <v>196</v>
      </c>
      <c r="E3768">
        <v>1.0643906719987674E-2</v>
      </c>
      <c r="F3768">
        <f t="shared" si="122"/>
        <v>-3.6545696364047364E-2</v>
      </c>
      <c r="G3768">
        <f t="shared" si="123"/>
        <v>-5.6327261809236466E-2</v>
      </c>
    </row>
    <row r="3769" spans="1:7" x14ac:dyDescent="0.35">
      <c r="A3769" t="s">
        <v>196</v>
      </c>
      <c r="E3769">
        <v>1.9189259906094022E-3</v>
      </c>
      <c r="F3769">
        <f t="shared" si="122"/>
        <v>-3.7881361429623638E-2</v>
      </c>
      <c r="G3769">
        <f t="shared" si="123"/>
        <v>-5.6327261809236466E-2</v>
      </c>
    </row>
    <row r="3770" spans="1:7" x14ac:dyDescent="0.35">
      <c r="A3770" t="s">
        <v>196</v>
      </c>
      <c r="E3770">
        <v>1.5216882085667177E-3</v>
      </c>
      <c r="F3770">
        <f t="shared" si="122"/>
        <v>-3.9217026495199925E-2</v>
      </c>
      <c r="G3770">
        <f t="shared" si="123"/>
        <v>-5.6327261809236466E-2</v>
      </c>
    </row>
    <row r="3771" spans="1:7" x14ac:dyDescent="0.35">
      <c r="A3771" t="s">
        <v>196</v>
      </c>
      <c r="E3771">
        <v>4.6895118840739412E-3</v>
      </c>
      <c r="F3771">
        <f t="shared" si="122"/>
        <v>-4.0552691560776198E-2</v>
      </c>
      <c r="G3771">
        <f t="shared" si="123"/>
        <v>-5.6327261809236466E-2</v>
      </c>
    </row>
    <row r="3772" spans="1:7" x14ac:dyDescent="0.35">
      <c r="A3772" t="s">
        <v>196</v>
      </c>
      <c r="E3772">
        <v>9.7092594787849262E-3</v>
      </c>
      <c r="F3772">
        <f t="shared" si="122"/>
        <v>-4.1888356626352471E-2</v>
      </c>
      <c r="G3772">
        <f t="shared" si="123"/>
        <v>-5.6327261809236466E-2</v>
      </c>
    </row>
    <row r="3773" spans="1:7" x14ac:dyDescent="0.35">
      <c r="A3773" t="s">
        <v>196</v>
      </c>
      <c r="E3773">
        <v>-1.6453984677158126E-2</v>
      </c>
      <c r="F3773">
        <f t="shared" si="122"/>
        <v>-4.3224021691928752E-2</v>
      </c>
      <c r="G3773">
        <f t="shared" si="123"/>
        <v>-5.6327261809236466E-2</v>
      </c>
    </row>
    <row r="3774" spans="1:7" x14ac:dyDescent="0.35">
      <c r="A3774" t="s">
        <v>196</v>
      </c>
      <c r="E3774">
        <v>2.9115924262406558E-3</v>
      </c>
      <c r="F3774">
        <f t="shared" si="122"/>
        <v>-4.4559686757505025E-2</v>
      </c>
      <c r="G3774">
        <f t="shared" si="123"/>
        <v>-5.6327261809236466E-2</v>
      </c>
    </row>
    <row r="3775" spans="1:7" x14ac:dyDescent="0.35">
      <c r="A3775" t="s">
        <v>196</v>
      </c>
      <c r="E3775">
        <v>-1.1651640456900253E-3</v>
      </c>
      <c r="F3775">
        <f t="shared" si="122"/>
        <v>-4.5895351823081312E-2</v>
      </c>
      <c r="G3775">
        <f t="shared" si="123"/>
        <v>-5.6327261809236466E-2</v>
      </c>
    </row>
    <row r="3776" spans="1:7" x14ac:dyDescent="0.35">
      <c r="A3776" t="s">
        <v>196</v>
      </c>
      <c r="E3776">
        <v>4.6909567666902317E-3</v>
      </c>
      <c r="F3776">
        <f t="shared" si="122"/>
        <v>-4.7231016888657586E-2</v>
      </c>
      <c r="G3776">
        <f t="shared" si="123"/>
        <v>-5.6327261809236466E-2</v>
      </c>
    </row>
    <row r="3777" spans="1:7" x14ac:dyDescent="0.35">
      <c r="A3777" t="s">
        <v>196</v>
      </c>
      <c r="E3777">
        <v>7.9526781858571712E-3</v>
      </c>
      <c r="F3777">
        <f t="shared" si="122"/>
        <v>-4.8566681954233873E-2</v>
      </c>
      <c r="G3777">
        <f t="shared" si="123"/>
        <v>-5.6327261809236466E-2</v>
      </c>
    </row>
    <row r="3778" spans="1:7" x14ac:dyDescent="0.35">
      <c r="A3778" t="s">
        <v>196</v>
      </c>
      <c r="E3778">
        <v>1.6273309117612041E-2</v>
      </c>
      <c r="F3778">
        <f t="shared" si="122"/>
        <v>-4.9902347019810139E-2</v>
      </c>
      <c r="G3778">
        <f t="shared" si="123"/>
        <v>-5.6327261809236466E-2</v>
      </c>
    </row>
    <row r="3779" spans="1:7" x14ac:dyDescent="0.35">
      <c r="A3779" t="s">
        <v>196</v>
      </c>
      <c r="E3779">
        <v>-4.61609835337576E-3</v>
      </c>
      <c r="F3779">
        <f t="shared" si="122"/>
        <v>-5.1238012085386413E-2</v>
      </c>
      <c r="G3779">
        <f t="shared" si="123"/>
        <v>-5.6327261809236466E-2</v>
      </c>
    </row>
    <row r="3780" spans="1:7" x14ac:dyDescent="0.35">
      <c r="A3780" t="s">
        <v>196</v>
      </c>
      <c r="E3780">
        <v>5.7630551084086887E-3</v>
      </c>
      <c r="F3780">
        <f t="shared" ref="F3780:F3818" si="124">_xlfn.PERCENTILE.EXC(E3780:E7595,0.05)</f>
        <v>-5.25736771509627E-2</v>
      </c>
      <c r="G3780">
        <f t="shared" ref="G3780:G3818" si="125">AVERAGEIFS(E3780:E7596,E3780:E7596,"&lt;=" &amp; F3780)</f>
        <v>-5.6327261809236466E-2</v>
      </c>
    </row>
    <row r="3781" spans="1:7" x14ac:dyDescent="0.35">
      <c r="A3781" t="s">
        <v>197</v>
      </c>
      <c r="B3781" s="3" cm="1">
        <f t="array" ref="B3781">_xlfn.STDEV.S(_xlfn._xlws.FILTER($E$2826:$E$3824, $A$2826:$A$3824="2025-03"))</f>
        <v>1.0904835014980399E-2</v>
      </c>
      <c r="C3781" s="3" cm="1">
        <f t="array" ref="C3781">AVERAGE(_xlfn._xlws.FILTER($E$2826:$E$3824, $A$2826:$A$3824="2025-03"))</f>
        <v>-7.6205912088125817E-4</v>
      </c>
      <c r="D3781" s="3" cm="1">
        <f t="array" ref="D3781">_xlfn.PERCENTILE.EXC(_xlfn._xlws.FILTER($E$2490:$E$3818, $A$2490:$A$3818="2025-03"), 0.05)</f>
        <v>-2.4856805792810695E-2</v>
      </c>
      <c r="E3781">
        <v>1.9311094158578665E-3</v>
      </c>
      <c r="F3781">
        <f t="shared" si="124"/>
        <v>-5.2949035616790076E-2</v>
      </c>
      <c r="G3781">
        <f t="shared" si="125"/>
        <v>-6.0080846467510232E-2</v>
      </c>
    </row>
    <row r="3782" spans="1:7" x14ac:dyDescent="0.35">
      <c r="A3782" t="s">
        <v>197</v>
      </c>
      <c r="E3782">
        <v>-2.5860375839437146E-2</v>
      </c>
      <c r="F3782">
        <f t="shared" si="124"/>
        <v>-5.3324394082617452E-2</v>
      </c>
      <c r="G3782">
        <f t="shared" si="125"/>
        <v>-6.0080846467510232E-2</v>
      </c>
    </row>
    <row r="3783" spans="1:7" x14ac:dyDescent="0.35">
      <c r="A3783" t="s">
        <v>197</v>
      </c>
      <c r="E3783">
        <v>1.3892022830746909E-2</v>
      </c>
      <c r="F3783">
        <f t="shared" si="124"/>
        <v>-5.3699752548444828E-2</v>
      </c>
      <c r="G3783">
        <f t="shared" si="125"/>
        <v>-6.0080846467510232E-2</v>
      </c>
    </row>
    <row r="3784" spans="1:7" x14ac:dyDescent="0.35">
      <c r="A3784" t="s">
        <v>197</v>
      </c>
      <c r="E3784">
        <v>1.5275144567663595E-3</v>
      </c>
      <c r="F3784">
        <f t="shared" si="124"/>
        <v>-5.4075111014272204E-2</v>
      </c>
      <c r="G3784">
        <f t="shared" si="125"/>
        <v>-6.0080846467510232E-2</v>
      </c>
    </row>
    <row r="3785" spans="1:7" x14ac:dyDescent="0.35">
      <c r="A3785" t="s">
        <v>197</v>
      </c>
      <c r="E3785">
        <v>1.728869908535253E-3</v>
      </c>
      <c r="F3785">
        <f t="shared" si="124"/>
        <v>-5.4450469480099586E-2</v>
      </c>
      <c r="G3785">
        <f t="shared" si="125"/>
        <v>-6.0080846467510232E-2</v>
      </c>
    </row>
    <row r="3786" spans="1:7" x14ac:dyDescent="0.35">
      <c r="A3786" t="s">
        <v>197</v>
      </c>
      <c r="E3786">
        <v>-1.3242511227687614E-2</v>
      </c>
      <c r="F3786">
        <f t="shared" si="124"/>
        <v>-5.4825827945926955E-2</v>
      </c>
      <c r="G3786">
        <f t="shared" si="125"/>
        <v>-6.0080846467510232E-2</v>
      </c>
    </row>
    <row r="3787" spans="1:7" x14ac:dyDescent="0.35">
      <c r="A3787" t="s">
        <v>197</v>
      </c>
      <c r="E3787">
        <v>-1.5824675373172632E-2</v>
      </c>
      <c r="F3787">
        <f t="shared" si="124"/>
        <v>-5.5201186411754338E-2</v>
      </c>
      <c r="G3787">
        <f t="shared" si="125"/>
        <v>-6.0080846467510232E-2</v>
      </c>
    </row>
    <row r="3788" spans="1:7" x14ac:dyDescent="0.35">
      <c r="A3788" t="s">
        <v>197</v>
      </c>
      <c r="E3788">
        <v>-5.7084492645187055E-3</v>
      </c>
      <c r="F3788">
        <f t="shared" si="124"/>
        <v>-5.5576544877581714E-2</v>
      </c>
      <c r="G3788">
        <f t="shared" si="125"/>
        <v>-6.0080846467510232E-2</v>
      </c>
    </row>
    <row r="3789" spans="1:7" x14ac:dyDescent="0.35">
      <c r="A3789" t="s">
        <v>197</v>
      </c>
      <c r="E3789">
        <v>1.3502283000256998E-3</v>
      </c>
      <c r="F3789">
        <f t="shared" si="124"/>
        <v>-5.595190334340909E-2</v>
      </c>
      <c r="G3789">
        <f t="shared" si="125"/>
        <v>-6.0080846467510232E-2</v>
      </c>
    </row>
    <row r="3790" spans="1:7" x14ac:dyDescent="0.35">
      <c r="A3790" t="s">
        <v>197</v>
      </c>
      <c r="E3790">
        <v>1.4241427075221297E-2</v>
      </c>
      <c r="F3790">
        <f t="shared" si="124"/>
        <v>-5.6327261809236466E-2</v>
      </c>
      <c r="G3790">
        <f t="shared" si="125"/>
        <v>-6.0080846467510232E-2</v>
      </c>
    </row>
    <row r="3791" spans="1:7" x14ac:dyDescent="0.35">
      <c r="A3791" t="s">
        <v>197</v>
      </c>
      <c r="E3791">
        <v>1.0859530711922765E-2</v>
      </c>
      <c r="F3791">
        <f t="shared" si="124"/>
        <v>-5.6702620275063842E-2</v>
      </c>
      <c r="G3791">
        <f t="shared" si="125"/>
        <v>-6.0080846467510232E-2</v>
      </c>
    </row>
    <row r="3792" spans="1:7" x14ac:dyDescent="0.35">
      <c r="A3792" t="s">
        <v>197</v>
      </c>
      <c r="E3792">
        <v>1.565957461801205E-2</v>
      </c>
      <c r="F3792">
        <f t="shared" si="124"/>
        <v>-5.7077978740891218E-2</v>
      </c>
      <c r="G3792">
        <f t="shared" si="125"/>
        <v>-6.0080846467510232E-2</v>
      </c>
    </row>
    <row r="3793" spans="1:7" x14ac:dyDescent="0.35">
      <c r="A3793" t="s">
        <v>197</v>
      </c>
      <c r="E3793">
        <v>3.9906191330064686E-3</v>
      </c>
      <c r="F3793">
        <f t="shared" si="124"/>
        <v>-5.7453337206718594E-2</v>
      </c>
      <c r="G3793">
        <f t="shared" si="125"/>
        <v>-6.0080846467510232E-2</v>
      </c>
    </row>
    <row r="3794" spans="1:7" x14ac:dyDescent="0.35">
      <c r="A3794" t="s">
        <v>197</v>
      </c>
      <c r="E3794">
        <v>-7.6213946605209306E-3</v>
      </c>
      <c r="F3794">
        <f t="shared" si="124"/>
        <v>-5.782869567254597E-2</v>
      </c>
      <c r="G3794">
        <f t="shared" si="125"/>
        <v>-6.0080846467510232E-2</v>
      </c>
    </row>
    <row r="3795" spans="1:7" x14ac:dyDescent="0.35">
      <c r="A3795" t="s">
        <v>197</v>
      </c>
      <c r="E3795">
        <v>3.293758722164739E-3</v>
      </c>
      <c r="F3795">
        <f t="shared" si="124"/>
        <v>-5.8204054138373346E-2</v>
      </c>
      <c r="G3795">
        <f t="shared" si="125"/>
        <v>-6.0080846467510232E-2</v>
      </c>
    </row>
    <row r="3796" spans="1:7" x14ac:dyDescent="0.35">
      <c r="A3796" t="s">
        <v>197</v>
      </c>
      <c r="E3796">
        <v>-2.0169838318632748E-3</v>
      </c>
      <c r="F3796">
        <f t="shared" si="124"/>
        <v>-5.8579412604200722E-2</v>
      </c>
      <c r="G3796">
        <f t="shared" si="125"/>
        <v>-6.0080846467510232E-2</v>
      </c>
    </row>
    <row r="3797" spans="1:7" x14ac:dyDescent="0.35">
      <c r="A3797" t="s">
        <v>197</v>
      </c>
      <c r="E3797">
        <v>1.2011663539655167E-2</v>
      </c>
      <c r="F3797">
        <f t="shared" si="124"/>
        <v>-5.8954771070028104E-2</v>
      </c>
      <c r="G3797">
        <f t="shared" si="125"/>
        <v>-6.0080846467510232E-2</v>
      </c>
    </row>
    <row r="3798" spans="1:7" x14ac:dyDescent="0.35">
      <c r="A3798" t="s">
        <v>197</v>
      </c>
      <c r="E3798">
        <v>-3.8712362354867001E-3</v>
      </c>
      <c r="F3798">
        <f t="shared" si="124"/>
        <v>-5.933012953585548E-2</v>
      </c>
      <c r="G3798">
        <f t="shared" si="125"/>
        <v>-6.0080846467510232E-2</v>
      </c>
    </row>
    <row r="3799" spans="1:7" x14ac:dyDescent="0.35">
      <c r="A3799" t="s">
        <v>197</v>
      </c>
      <c r="E3799">
        <v>-7.1495601597698969E-4</v>
      </c>
      <c r="F3799">
        <f t="shared" si="124"/>
        <v>-5.9705488001682856E-2</v>
      </c>
      <c r="G3799">
        <f t="shared" si="125"/>
        <v>-6.0080846467510232E-2</v>
      </c>
    </row>
    <row r="3800" spans="1:7" x14ac:dyDescent="0.35">
      <c r="A3800" t="s">
        <v>197</v>
      </c>
      <c r="E3800">
        <v>-8.476814475829304E-3</v>
      </c>
      <c r="F3800">
        <f t="shared" si="124"/>
        <v>-6.0080846467510232E-2</v>
      </c>
      <c r="G3800">
        <f t="shared" si="125"/>
        <v>-6.0080846467510232E-2</v>
      </c>
    </row>
    <row r="3801" spans="1:7" x14ac:dyDescent="0.35">
      <c r="A3801" t="s">
        <v>197</v>
      </c>
      <c r="E3801">
        <v>-1.3152163325927703E-2</v>
      </c>
      <c r="F3801" t="e">
        <f t="shared" si="124"/>
        <v>#NUM!</v>
      </c>
      <c r="G3801" t="e">
        <f t="shared" si="125"/>
        <v>#DIV/0!</v>
      </c>
    </row>
    <row r="3802" spans="1:7" x14ac:dyDescent="0.35">
      <c r="A3802" t="s">
        <v>198</v>
      </c>
      <c r="B3802" s="3" cm="1">
        <f t="array" ref="B3802">_xlfn.STDEV.S(_xlfn._xlws.FILTER($E$2826:$E$3824, $A$2826:$A$3824="2025-04"))</f>
        <v>2.6368889363732533E-2</v>
      </c>
      <c r="C3802" s="3" cm="1">
        <f t="array" ref="C3802">AVERAGE(_xlfn._xlws.FILTER($E$2826:$E$3824, $A$2826:$A$3824="2025-04"))</f>
        <v>9.7661377320127198E-4</v>
      </c>
      <c r="D3802" s="3" cm="1">
        <f t="array" ref="D3802">_xlfn.PERCENTILE.INC(_xlfn._xlws.FILTER($E$2490:$E$3818, $A$2490:$A$3818="2025-04"), 0.05)</f>
        <v>-5.4075111014272204E-2</v>
      </c>
      <c r="E3802">
        <v>1.2227570212548977E-2</v>
      </c>
      <c r="F3802" t="e">
        <f t="shared" si="124"/>
        <v>#NUM!</v>
      </c>
      <c r="G3802" t="e">
        <f t="shared" si="125"/>
        <v>#DIV/0!</v>
      </c>
    </row>
    <row r="3803" spans="1:7" x14ac:dyDescent="0.35">
      <c r="A3803" t="s">
        <v>198</v>
      </c>
      <c r="E3803">
        <v>3.9929201328798613E-3</v>
      </c>
      <c r="F3803" t="e">
        <f t="shared" si="124"/>
        <v>#NUM!</v>
      </c>
      <c r="G3803" t="e">
        <f t="shared" si="125"/>
        <v>#DIV/0!</v>
      </c>
    </row>
    <row r="3804" spans="1:7" x14ac:dyDescent="0.35">
      <c r="A3804" t="s">
        <v>198</v>
      </c>
      <c r="E3804">
        <v>-1.198142540282713E-2</v>
      </c>
      <c r="F3804" t="e">
        <f t="shared" si="124"/>
        <v>#NUM!</v>
      </c>
      <c r="G3804" t="e">
        <f t="shared" si="125"/>
        <v>#DIV/0!</v>
      </c>
    </row>
    <row r="3805" spans="1:7" x14ac:dyDescent="0.35">
      <c r="A3805" t="s">
        <v>198</v>
      </c>
      <c r="E3805">
        <v>-6.0080846467510232E-2</v>
      </c>
      <c r="F3805" t="e">
        <f t="shared" si="124"/>
        <v>#NUM!</v>
      </c>
      <c r="G3805" t="e">
        <f t="shared" si="125"/>
        <v>#DIV/0!</v>
      </c>
    </row>
    <row r="3806" spans="1:7" x14ac:dyDescent="0.35">
      <c r="A3806" t="s">
        <v>198</v>
      </c>
      <c r="E3806">
        <v>-5.25736771509627E-2</v>
      </c>
      <c r="F3806" t="e">
        <f t="shared" si="124"/>
        <v>#NUM!</v>
      </c>
      <c r="G3806" t="e">
        <f t="shared" si="125"/>
        <v>#DIV/0!</v>
      </c>
    </row>
    <row r="3807" spans="1:7" x14ac:dyDescent="0.35">
      <c r="A3807" t="s">
        <v>198</v>
      </c>
      <c r="E3807">
        <v>2.3463011480097131E-2</v>
      </c>
      <c r="F3807" t="e">
        <f t="shared" si="124"/>
        <v>#NUM!</v>
      </c>
      <c r="G3807" t="e">
        <f t="shared" si="125"/>
        <v>#DIV/0!</v>
      </c>
    </row>
    <row r="3808" spans="1:7" x14ac:dyDescent="0.35">
      <c r="A3808" t="s">
        <v>198</v>
      </c>
      <c r="E3808">
        <v>-2.2462307511651489E-2</v>
      </c>
      <c r="F3808" t="e">
        <f t="shared" si="124"/>
        <v>#NUM!</v>
      </c>
      <c r="G3808" t="e">
        <f t="shared" si="125"/>
        <v>#DIV/0!</v>
      </c>
    </row>
    <row r="3809" spans="1:7" x14ac:dyDescent="0.35">
      <c r="A3809" t="s">
        <v>198</v>
      </c>
      <c r="E3809">
        <v>4.2320836789571069E-2</v>
      </c>
      <c r="F3809" t="e">
        <f t="shared" si="124"/>
        <v>#NUM!</v>
      </c>
      <c r="G3809" t="e">
        <f t="shared" si="125"/>
        <v>#DIV/0!</v>
      </c>
    </row>
    <row r="3810" spans="1:7" x14ac:dyDescent="0.35">
      <c r="A3810" t="s">
        <v>198</v>
      </c>
      <c r="E3810">
        <v>-1.756555002429398E-3</v>
      </c>
      <c r="F3810" t="e">
        <f t="shared" si="124"/>
        <v>#NUM!</v>
      </c>
      <c r="G3810" t="e">
        <f t="shared" si="125"/>
        <v>#DIV/0!</v>
      </c>
    </row>
    <row r="3811" spans="1:7" x14ac:dyDescent="0.35">
      <c r="A3811" t="s">
        <v>198</v>
      </c>
      <c r="E3811">
        <v>2.6013886681082999E-2</v>
      </c>
      <c r="F3811" t="e">
        <f t="shared" si="124"/>
        <v>#NUM!</v>
      </c>
      <c r="G3811" t="e">
        <f t="shared" si="125"/>
        <v>#DIV/0!</v>
      </c>
    </row>
    <row r="3812" spans="1:7" x14ac:dyDescent="0.35">
      <c r="A3812" t="s">
        <v>198</v>
      </c>
      <c r="E3812">
        <v>2.114708195040536E-2</v>
      </c>
      <c r="F3812" t="e">
        <f t="shared" si="124"/>
        <v>#NUM!</v>
      </c>
      <c r="G3812" t="e">
        <f t="shared" si="125"/>
        <v>#DIV/0!</v>
      </c>
    </row>
    <row r="3813" spans="1:7" x14ac:dyDescent="0.35">
      <c r="A3813" t="s">
        <v>198</v>
      </c>
      <c r="E3813">
        <v>4.864192013021928E-3</v>
      </c>
      <c r="F3813" t="e">
        <f t="shared" si="124"/>
        <v>#NUM!</v>
      </c>
      <c r="G3813" t="e">
        <f t="shared" si="125"/>
        <v>#DIV/0!</v>
      </c>
    </row>
    <row r="3814" spans="1:7" x14ac:dyDescent="0.35">
      <c r="A3814" t="s">
        <v>198</v>
      </c>
      <c r="E3814">
        <v>-1.8638757759649933E-3</v>
      </c>
      <c r="F3814" t="e">
        <f t="shared" si="124"/>
        <v>#NUM!</v>
      </c>
      <c r="G3814" t="e">
        <f t="shared" si="125"/>
        <v>#DIV/0!</v>
      </c>
    </row>
    <row r="3815" spans="1:7" x14ac:dyDescent="0.35">
      <c r="A3815" t="s">
        <v>198</v>
      </c>
      <c r="E3815">
        <v>7.1427222211978619E-3</v>
      </c>
      <c r="F3815" t="e">
        <f t="shared" si="124"/>
        <v>#NUM!</v>
      </c>
      <c r="G3815" t="e">
        <f t="shared" si="125"/>
        <v>#DIV/0!</v>
      </c>
    </row>
    <row r="3816" spans="1:7" x14ac:dyDescent="0.35">
      <c r="A3816" t="s">
        <v>198</v>
      </c>
      <c r="E3816">
        <v>1.5081010035365758E-2</v>
      </c>
      <c r="F3816" t="e">
        <f t="shared" si="124"/>
        <v>#NUM!</v>
      </c>
      <c r="G3816" t="e">
        <f t="shared" si="125"/>
        <v>#DIV/0!</v>
      </c>
    </row>
    <row r="3817" spans="1:7" x14ac:dyDescent="0.35">
      <c r="A3817" t="s">
        <v>198</v>
      </c>
      <c r="E3817">
        <v>-2.1676528117789309E-3</v>
      </c>
      <c r="F3817" t="e">
        <f t="shared" si="124"/>
        <v>#NUM!</v>
      </c>
      <c r="G3817" t="e">
        <f t="shared" si="125"/>
        <v>#DIV/0!</v>
      </c>
    </row>
    <row r="3818" spans="1:7" x14ac:dyDescent="0.35">
      <c r="A3818" t="s">
        <v>198</v>
      </c>
      <c r="E3818">
        <v>1.3235542751375557E-2</v>
      </c>
      <c r="F3818" t="e">
        <f t="shared" si="124"/>
        <v>#NUM!</v>
      </c>
      <c r="G3818" t="e">
        <f t="shared" si="125"/>
        <v>#DIV/0!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98F85-9A2E-48B5-B8CF-3EC942A9139A}">
  <dimension ref="A1:EN3818"/>
  <sheetViews>
    <sheetView zoomScale="21" zoomScaleNormal="21" workbookViewId="0">
      <selection activeCell="AA10" sqref="AA10"/>
    </sheetView>
  </sheetViews>
  <sheetFormatPr baseColWidth="10" defaultRowHeight="14.5" x14ac:dyDescent="0.35"/>
  <cols>
    <col min="1" max="1" width="26.36328125" customWidth="1"/>
    <col min="2" max="3" width="19.08984375" customWidth="1"/>
    <col min="4" max="4" width="19.453125" customWidth="1"/>
    <col min="5" max="5" width="28.1796875" customWidth="1"/>
    <col min="6" max="8" width="10.90625" customWidth="1"/>
    <col min="9" max="9" width="7.453125" bestFit="1" customWidth="1"/>
    <col min="10" max="10" width="18.453125" bestFit="1" customWidth="1"/>
    <col min="11" max="13" width="18.453125" customWidth="1"/>
    <col min="14" max="14" width="16.1796875" customWidth="1"/>
    <col min="15" max="16" width="18.453125" bestFit="1" customWidth="1"/>
    <col min="17" max="17" width="15.81640625" bestFit="1" customWidth="1"/>
    <col min="18" max="19" width="18.453125" customWidth="1"/>
    <col min="20" max="21" width="18.453125" bestFit="1" customWidth="1"/>
    <col min="22" max="24" width="18.453125" customWidth="1"/>
    <col min="25" max="26" width="17.26953125" bestFit="1" customWidth="1"/>
    <col min="27" max="27" width="18.453125" bestFit="1" customWidth="1"/>
    <col min="28" max="30" width="17.26953125" bestFit="1" customWidth="1"/>
    <col min="31" max="31" width="18.453125" bestFit="1" customWidth="1"/>
    <col min="32" max="32" width="17.26953125" bestFit="1" customWidth="1"/>
    <col min="33" max="33" width="18.453125" bestFit="1" customWidth="1"/>
    <col min="34" max="34" width="17.08984375" bestFit="1" customWidth="1"/>
    <col min="35" max="37" width="18.453125" bestFit="1" customWidth="1"/>
    <col min="38" max="38" width="17.26953125" bestFit="1" customWidth="1"/>
    <col min="39" max="40" width="18.453125" bestFit="1" customWidth="1"/>
    <col min="41" max="42" width="17.26953125" bestFit="1" customWidth="1"/>
    <col min="43" max="45" width="18.453125" bestFit="1" customWidth="1"/>
    <col min="46" max="46" width="17.26953125" bestFit="1" customWidth="1"/>
    <col min="47" max="47" width="18.453125" bestFit="1" customWidth="1"/>
    <col min="48" max="48" width="17.26953125" bestFit="1" customWidth="1"/>
    <col min="49" max="49" width="18.453125" bestFit="1" customWidth="1"/>
    <col min="50" max="53" width="17.26953125" bestFit="1" customWidth="1"/>
    <col min="54" max="55" width="18.453125" bestFit="1" customWidth="1"/>
    <col min="56" max="57" width="17.26953125" bestFit="1" customWidth="1"/>
    <col min="58" max="58" width="18.453125" bestFit="1" customWidth="1"/>
    <col min="59" max="60" width="17.26953125" bestFit="1" customWidth="1"/>
    <col min="61" max="61" width="15.81640625" bestFit="1" customWidth="1"/>
    <col min="62" max="62" width="17.26953125" bestFit="1" customWidth="1"/>
    <col min="63" max="64" width="18.453125" bestFit="1" customWidth="1"/>
    <col min="65" max="68" width="17.26953125" bestFit="1" customWidth="1"/>
    <col min="69" max="72" width="18.453125" bestFit="1" customWidth="1"/>
    <col min="73" max="73" width="17.26953125" bestFit="1" customWidth="1"/>
    <col min="74" max="74" width="18.453125" bestFit="1" customWidth="1"/>
    <col min="75" max="75" width="17.26953125" bestFit="1" customWidth="1"/>
    <col min="76" max="76" width="18.453125" bestFit="1" customWidth="1"/>
    <col min="77" max="79" width="17.26953125" bestFit="1" customWidth="1"/>
    <col min="80" max="80" width="18.453125" bestFit="1" customWidth="1"/>
    <col min="81" max="81" width="17.26953125" bestFit="1" customWidth="1"/>
    <col min="82" max="82" width="18.453125" bestFit="1" customWidth="1"/>
    <col min="83" max="83" width="15.81640625" bestFit="1" customWidth="1"/>
    <col min="84" max="85" width="18.453125" bestFit="1" customWidth="1"/>
    <col min="86" max="87" width="17.26953125" bestFit="1" customWidth="1"/>
    <col min="88" max="90" width="18.453125" bestFit="1" customWidth="1"/>
    <col min="91" max="92" width="17.26953125" bestFit="1" customWidth="1"/>
    <col min="93" max="94" width="18.453125" bestFit="1" customWidth="1"/>
    <col min="95" max="96" width="17.26953125" bestFit="1" customWidth="1"/>
    <col min="97" max="97" width="18.453125" bestFit="1" customWidth="1"/>
    <col min="98" max="98" width="11.6328125" bestFit="1" customWidth="1"/>
    <col min="99" max="99" width="18.453125" bestFit="1" customWidth="1"/>
    <col min="100" max="100" width="17.26953125" bestFit="1" customWidth="1"/>
    <col min="101" max="101" width="18.453125" bestFit="1" customWidth="1"/>
    <col min="102" max="105" width="17.26953125" bestFit="1" customWidth="1"/>
    <col min="106" max="106" width="18.453125" bestFit="1" customWidth="1"/>
    <col min="107" max="110" width="17.26953125" bestFit="1" customWidth="1"/>
    <col min="111" max="112" width="18.453125" bestFit="1" customWidth="1"/>
    <col min="113" max="113" width="17.26953125" bestFit="1" customWidth="1"/>
    <col min="114" max="115" width="18.453125" bestFit="1" customWidth="1"/>
    <col min="116" max="116" width="17.26953125" bestFit="1" customWidth="1"/>
    <col min="117" max="118" width="17.08984375" bestFit="1" customWidth="1"/>
    <col min="119" max="119" width="17.26953125" bestFit="1" customWidth="1"/>
    <col min="120" max="120" width="18.453125" bestFit="1" customWidth="1"/>
    <col min="121" max="121" width="17.26953125" bestFit="1" customWidth="1"/>
    <col min="122" max="122" width="18.453125" bestFit="1" customWidth="1"/>
    <col min="123" max="123" width="17.26953125" bestFit="1" customWidth="1"/>
    <col min="124" max="124" width="18.453125" bestFit="1" customWidth="1"/>
    <col min="125" max="126" width="17.26953125" bestFit="1" customWidth="1"/>
    <col min="127" max="127" width="15.81640625" bestFit="1" customWidth="1"/>
    <col min="128" max="128" width="17.26953125" bestFit="1" customWidth="1"/>
    <col min="129" max="129" width="18.453125" bestFit="1" customWidth="1"/>
    <col min="130" max="131" width="17.26953125" bestFit="1" customWidth="1"/>
    <col min="132" max="132" width="18.453125" bestFit="1" customWidth="1"/>
    <col min="133" max="133" width="15.81640625" bestFit="1" customWidth="1"/>
    <col min="134" max="135" width="17.26953125" bestFit="1" customWidth="1"/>
    <col min="136" max="136" width="15.81640625" bestFit="1" customWidth="1"/>
    <col min="137" max="138" width="18.453125" bestFit="1" customWidth="1"/>
    <col min="139" max="139" width="17.08984375" bestFit="1" customWidth="1"/>
    <col min="140" max="142" width="17.26953125" bestFit="1" customWidth="1"/>
    <col min="143" max="143" width="18.453125" bestFit="1" customWidth="1"/>
    <col min="144" max="144" width="17.26953125" bestFit="1" customWidth="1"/>
    <col min="145" max="146" width="18.453125" bestFit="1" customWidth="1"/>
    <col min="147" max="148" width="17.26953125" bestFit="1" customWidth="1"/>
    <col min="149" max="149" width="18.453125" bestFit="1" customWidth="1"/>
    <col min="150" max="151" width="17.26953125" bestFit="1" customWidth="1"/>
    <col min="152" max="152" width="18.453125" bestFit="1" customWidth="1"/>
    <col min="153" max="153" width="17.26953125" bestFit="1" customWidth="1"/>
    <col min="154" max="154" width="18.453125" bestFit="1" customWidth="1"/>
    <col min="155" max="156" width="15.81640625" bestFit="1" customWidth="1"/>
    <col min="157" max="157" width="18.453125" bestFit="1" customWidth="1"/>
    <col min="158" max="158" width="17.26953125" bestFit="1" customWidth="1"/>
    <col min="159" max="159" width="18.453125" bestFit="1" customWidth="1"/>
    <col min="160" max="160" width="17.26953125" bestFit="1" customWidth="1"/>
    <col min="161" max="164" width="18.453125" bestFit="1" customWidth="1"/>
    <col min="165" max="165" width="17.26953125" bestFit="1" customWidth="1"/>
    <col min="166" max="166" width="18.453125" bestFit="1" customWidth="1"/>
    <col min="167" max="167" width="17.26953125" bestFit="1" customWidth="1"/>
    <col min="168" max="169" width="18.453125" bestFit="1" customWidth="1"/>
    <col min="170" max="171" width="17.26953125" bestFit="1" customWidth="1"/>
    <col min="172" max="172" width="18.453125" bestFit="1" customWidth="1"/>
    <col min="173" max="174" width="17.26953125" bestFit="1" customWidth="1"/>
    <col min="175" max="177" width="18.453125" bestFit="1" customWidth="1"/>
    <col min="178" max="179" width="17.26953125" bestFit="1" customWidth="1"/>
    <col min="180" max="182" width="18.453125" bestFit="1" customWidth="1"/>
    <col min="183" max="187" width="17.26953125" bestFit="1" customWidth="1"/>
    <col min="188" max="188" width="18.453125" bestFit="1" customWidth="1"/>
    <col min="189" max="189" width="17.26953125" bestFit="1" customWidth="1"/>
    <col min="190" max="190" width="18.453125" bestFit="1" customWidth="1"/>
    <col min="191" max="191" width="15.81640625" bestFit="1" customWidth="1"/>
    <col min="192" max="192" width="17.26953125" bestFit="1" customWidth="1"/>
    <col min="193" max="193" width="18.453125" bestFit="1" customWidth="1"/>
    <col min="194" max="194" width="17.26953125" bestFit="1" customWidth="1"/>
    <col min="195" max="195" width="18.453125" bestFit="1" customWidth="1"/>
    <col min="196" max="196" width="17.26953125" bestFit="1" customWidth="1"/>
    <col min="197" max="197" width="15.81640625" bestFit="1" customWidth="1"/>
    <col min="198" max="198" width="17.26953125" bestFit="1" customWidth="1"/>
    <col min="199" max="200" width="18.453125" bestFit="1" customWidth="1"/>
    <col min="201" max="201" width="8" bestFit="1" customWidth="1"/>
    <col min="202" max="202" width="17.26953125" bestFit="1" customWidth="1"/>
  </cols>
  <sheetData>
    <row r="1" spans="1:144" x14ac:dyDescent="0.35">
      <c r="A1" t="s">
        <v>410</v>
      </c>
      <c r="B1" t="s">
        <v>249</v>
      </c>
      <c r="C1" t="s">
        <v>432</v>
      </c>
      <c r="D1" t="s">
        <v>205</v>
      </c>
      <c r="E1" t="s">
        <v>433</v>
      </c>
      <c r="F1" t="s">
        <v>199</v>
      </c>
      <c r="G1" t="s">
        <v>200</v>
      </c>
    </row>
    <row r="2" spans="1:144" s="3" customFormat="1" x14ac:dyDescent="0.35">
      <c r="A2" s="3" t="s">
        <v>15</v>
      </c>
      <c r="B2" s="3" cm="1">
        <f t="array" ref="B2">_xlfn.STDEV.S(_xlfn._xlws.FILTER($E$2:$E$1000, $A$2:$A$1000="2010-01"))</f>
        <v>1.0522384279956574E-2</v>
      </c>
      <c r="C2" s="3" cm="1">
        <f t="array" ref="C2">AVERAGE(_xlfn._xlws.FILTER($E$2:$E$1000, $A$2:$A$1000="2010-01"))</f>
        <v>-3.8209008975541047E-3</v>
      </c>
      <c r="D2" s="3" cm="1">
        <f t="array" ref="D2">_xlfn.PERCENTILE.EXC(_xlfn._xlws.FILTER($E$2:$E$21, $A$2:$A$21="2010-01"), 0.05)</f>
        <v>-2.4755869500105197E-2</v>
      </c>
      <c r="J2" t="s">
        <v>204</v>
      </c>
      <c r="K2" t="s">
        <v>249</v>
      </c>
      <c r="L2" t="s">
        <v>381</v>
      </c>
      <c r="M2" t="s">
        <v>250</v>
      </c>
      <c r="N2" t="s">
        <v>221</v>
      </c>
      <c r="O2" t="s">
        <v>200</v>
      </c>
      <c r="P2" t="s">
        <v>215</v>
      </c>
      <c r="Q2" t="s">
        <v>220</v>
      </c>
      <c r="R2" t="s">
        <v>295</v>
      </c>
      <c r="S2" t="s">
        <v>382</v>
      </c>
      <c r="T2" t="s">
        <v>203</v>
      </c>
      <c r="U2" t="s">
        <v>222</v>
      </c>
      <c r="V2" t="s">
        <v>223</v>
      </c>
      <c r="W2" t="s">
        <v>224</v>
      </c>
      <c r="X2" t="s">
        <v>274</v>
      </c>
      <c r="Y2" t="s">
        <v>275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</row>
    <row r="3" spans="1:144" x14ac:dyDescent="0.35">
      <c r="A3" t="s">
        <v>15</v>
      </c>
      <c r="E3">
        <v>4.5476983634368479E-4</v>
      </c>
      <c r="F3">
        <f>_xlfn.PERCENTILE.EXC(E3:E3818,0.05)</f>
        <v>-2.4765555336007834E-2</v>
      </c>
      <c r="G3">
        <f>AVERAGEIFS(E3:E3819,E3:E3819,"&lt;=" &amp; F3)</f>
        <v>-3.7309270656263778E-2</v>
      </c>
      <c r="J3" s="2" t="s">
        <v>15</v>
      </c>
      <c r="K3">
        <f>B2</f>
        <v>1.0522384279956574E-2</v>
      </c>
      <c r="L3">
        <f>C2</f>
        <v>-3.8209008975541047E-3</v>
      </c>
      <c r="N3">
        <f>D2</f>
        <v>-2.4755869500105197E-2</v>
      </c>
      <c r="O3">
        <f>AVERAGEIFS(E2:E21,E2:E21,"&lt;=" &amp; N3)</f>
        <v>-2.4755869500105197E-2</v>
      </c>
      <c r="P3">
        <v>104.52817810625834</v>
      </c>
      <c r="Q3">
        <v>37.116689999999998</v>
      </c>
      <c r="T3">
        <v>24.62</v>
      </c>
      <c r="U3">
        <f>CORREL(P3:P186,N3:N186)</f>
        <v>-0.30206923698691251</v>
      </c>
      <c r="V3">
        <f>CORREL(P3:P186,O3:O186)</f>
        <v>-0.36037598628810241</v>
      </c>
      <c r="W3">
        <f>CORREL(N3:N186,O3:O186)</f>
        <v>0.96472158398996244</v>
      </c>
      <c r="X3">
        <f>CORREL(P3:P186,T3:T186)</f>
        <v>0.41261682512465814</v>
      </c>
      <c r="Y3">
        <f>CORREL(P3:P186,Q3:Q186)</f>
        <v>0.4365358047757259</v>
      </c>
    </row>
    <row r="4" spans="1:144" x14ac:dyDescent="0.35">
      <c r="A4" t="s">
        <v>15</v>
      </c>
      <c r="E4">
        <v>2.8216548367689248E-3</v>
      </c>
      <c r="F4">
        <f t="shared" ref="F4:F67" si="0">_xlfn.PERCENTILE.EXC(E4:E3819,0.05)</f>
        <v>-2.4768783947975381E-2</v>
      </c>
      <c r="G4">
        <f t="shared" ref="G4:G67" si="1">AVERAGEIFS(E4:E3820,E4:E3820,"&lt;=" &amp; F4)</f>
        <v>-3.7309270656263778E-2</v>
      </c>
      <c r="J4" s="2" t="s">
        <v>16</v>
      </c>
      <c r="K4">
        <f>B22</f>
        <v>1.5484104029112293E-2</v>
      </c>
      <c r="L4">
        <f>C22</f>
        <v>-1.9273362830495382E-3</v>
      </c>
      <c r="M4">
        <f>K3</f>
        <v>1.0522384279956574E-2</v>
      </c>
      <c r="N4">
        <f>D22</f>
        <v>-3.4730558750733165E-2</v>
      </c>
      <c r="O4">
        <f>AVERAGEIFS(E22:E41,E22:E41,"&lt;=" &amp; N4)</f>
        <v>-3.5090063245289974E-2</v>
      </c>
      <c r="P4">
        <v>106.47966280686907</v>
      </c>
      <c r="Q4">
        <v>33.141820000000003</v>
      </c>
      <c r="R4">
        <f>P3</f>
        <v>104.52817810625834</v>
      </c>
      <c r="S4">
        <v>1.0522384279956574E-2</v>
      </c>
      <c r="T4">
        <v>19.5</v>
      </c>
    </row>
    <row r="5" spans="1:144" x14ac:dyDescent="0.35">
      <c r="A5" t="s">
        <v>15</v>
      </c>
      <c r="E5">
        <v>3.6643868660997643E-3</v>
      </c>
      <c r="F5">
        <f t="shared" si="0"/>
        <v>-2.4772012559942928E-2</v>
      </c>
      <c r="G5">
        <f t="shared" si="1"/>
        <v>-3.7309270656263778E-2</v>
      </c>
      <c r="J5" s="2" t="s">
        <v>17</v>
      </c>
      <c r="K5">
        <f>B42</f>
        <v>7.7746000487525987E-3</v>
      </c>
      <c r="L5">
        <f>C42</f>
        <v>7.7746000487525987E-3</v>
      </c>
      <c r="M5">
        <f>K4</f>
        <v>1.5484104029112293E-2</v>
      </c>
      <c r="N5">
        <f>D42</f>
        <v>-8.1900687105120797E-3</v>
      </c>
      <c r="O5">
        <f>AVERAGEIFS(E42:E64,E42:E64,"&lt;=" &amp; N5)</f>
        <v>-8.5432984765582178E-3</v>
      </c>
      <c r="P5">
        <v>98.562370444944619</v>
      </c>
      <c r="Q5">
        <v>27.876359999999998</v>
      </c>
      <c r="R5">
        <f t="shared" ref="R5:R68" si="2">P4</f>
        <v>106.47966280686907</v>
      </c>
      <c r="S5">
        <v>1.5484104029112293E-2</v>
      </c>
      <c r="T5">
        <v>17.59</v>
      </c>
    </row>
    <row r="6" spans="1:144" x14ac:dyDescent="0.35">
      <c r="A6" t="s">
        <v>15</v>
      </c>
      <c r="E6">
        <v>4.2979737518279125E-3</v>
      </c>
      <c r="F6">
        <f t="shared" si="0"/>
        <v>-2.4775241171910475E-2</v>
      </c>
      <c r="G6">
        <f t="shared" si="1"/>
        <v>-3.7309270656263778E-2</v>
      </c>
      <c r="J6" s="2" t="s">
        <v>18</v>
      </c>
      <c r="K6">
        <f>B65</f>
        <v>1.4785630807333394E-2</v>
      </c>
      <c r="L6">
        <f>C65</f>
        <v>1.4785630807333394E-2</v>
      </c>
      <c r="M6">
        <f t="shared" ref="M6:M69" si="3">K5</f>
        <v>7.7746000487525987E-3</v>
      </c>
      <c r="N6">
        <f>D65</f>
        <v>-3.2890712253285548E-2</v>
      </c>
      <c r="O6">
        <f>AVERAGEIFS(E65:E84,E65:E84,"&lt;=" &amp; N6)</f>
        <v>-3.3327686570369157E-2</v>
      </c>
      <c r="P6">
        <v>110.83781665824699</v>
      </c>
      <c r="Q6">
        <v>38.34281</v>
      </c>
      <c r="R6">
        <f t="shared" si="2"/>
        <v>98.562370444944619</v>
      </c>
      <c r="S6">
        <v>7.7746000487525987E-3</v>
      </c>
      <c r="T6">
        <v>22.05</v>
      </c>
    </row>
    <row r="7" spans="1:144" x14ac:dyDescent="0.35">
      <c r="A7" t="s">
        <v>15</v>
      </c>
      <c r="E7">
        <v>-1.5286046801665468E-3</v>
      </c>
      <c r="F7">
        <f t="shared" si="0"/>
        <v>-2.4778469783878022E-2</v>
      </c>
      <c r="G7">
        <f t="shared" si="1"/>
        <v>-3.7309270656263778E-2</v>
      </c>
      <c r="J7" s="2" t="s">
        <v>19</v>
      </c>
      <c r="K7">
        <f>B85</f>
        <v>3.7844902235982691E-2</v>
      </c>
      <c r="L7">
        <f>C85</f>
        <v>-5.3567363359418706E-3</v>
      </c>
      <c r="M7">
        <f t="shared" si="3"/>
        <v>1.4785630807333394E-2</v>
      </c>
      <c r="N7">
        <f>D85</f>
        <v>-5.4005251859224841E-2</v>
      </c>
      <c r="O7">
        <f>AVERAGEIFS(E85:E103,E85:E103,"&lt;=" &amp; N7)</f>
        <v>-5.4005251859224841E-2</v>
      </c>
      <c r="P7">
        <v>114.94949165378587</v>
      </c>
      <c r="Q7">
        <v>42.291849999999997</v>
      </c>
      <c r="R7">
        <f t="shared" si="2"/>
        <v>110.83781665824699</v>
      </c>
      <c r="S7">
        <v>1.4785630807333394E-2</v>
      </c>
      <c r="T7">
        <v>32.07</v>
      </c>
    </row>
    <row r="8" spans="1:144" x14ac:dyDescent="0.35">
      <c r="A8" t="s">
        <v>15</v>
      </c>
      <c r="E8">
        <v>-8.0835591745103338E-3</v>
      </c>
      <c r="F8">
        <f t="shared" si="0"/>
        <v>-2.4781698395845566E-2</v>
      </c>
      <c r="G8">
        <f t="shared" si="1"/>
        <v>-3.7309270656263778E-2</v>
      </c>
      <c r="J8" s="2" t="s">
        <v>20</v>
      </c>
      <c r="K8">
        <f>B104</f>
        <v>1.8375573673946786E-2</v>
      </c>
      <c r="L8">
        <f>C104</f>
        <v>-3.8468445089134671E-4</v>
      </c>
      <c r="M8">
        <f t="shared" si="3"/>
        <v>3.7844902235982691E-2</v>
      </c>
      <c r="N8">
        <f>D104</f>
        <v>-4.4428003721429944E-2</v>
      </c>
      <c r="O8">
        <f>AVERAGEIFS(E104:E125,E104:E125,"&lt;=" &amp; N8)</f>
        <v>-4.5444502575244225E-2</v>
      </c>
      <c r="P8">
        <v>160.79039833506351</v>
      </c>
      <c r="Q8">
        <v>42.061239999999998</v>
      </c>
      <c r="R8">
        <f t="shared" si="2"/>
        <v>114.94949165378587</v>
      </c>
      <c r="S8">
        <v>3.7844902235982691E-2</v>
      </c>
      <c r="T8">
        <v>34.54</v>
      </c>
    </row>
    <row r="9" spans="1:144" x14ac:dyDescent="0.35">
      <c r="A9" t="s">
        <v>15</v>
      </c>
      <c r="E9">
        <v>3.1772770118111298E-3</v>
      </c>
      <c r="F9">
        <f t="shared" si="0"/>
        <v>-2.4784927007813113E-2</v>
      </c>
      <c r="G9">
        <f t="shared" si="1"/>
        <v>-3.7309270656263778E-2</v>
      </c>
      <c r="J9" s="2" t="s">
        <v>21</v>
      </c>
      <c r="K9">
        <f>B126</f>
        <v>1.4376770612039307E-2</v>
      </c>
      <c r="L9">
        <f>C126</f>
        <v>3.8561299443588969E-3</v>
      </c>
      <c r="M9">
        <f t="shared" si="3"/>
        <v>1.8375573673946786E-2</v>
      </c>
      <c r="N9">
        <f>D126</f>
        <v>-1.8709813019539036E-2</v>
      </c>
      <c r="O9">
        <f>AVERAGEIFS(E126:E147,E126:E147,"&lt;=" &amp; N9)</f>
        <v>-1.9239129249986893E-2</v>
      </c>
      <c r="P9">
        <v>144.46775976560252</v>
      </c>
      <c r="Q9">
        <v>35.439799999999998</v>
      </c>
      <c r="R9">
        <f t="shared" si="2"/>
        <v>160.79039833506351</v>
      </c>
      <c r="S9">
        <v>1.8375573673946786E-2</v>
      </c>
      <c r="T9">
        <v>23.5</v>
      </c>
    </row>
    <row r="10" spans="1:144" x14ac:dyDescent="0.35">
      <c r="A10" t="s">
        <v>15</v>
      </c>
      <c r="E10">
        <v>6.2189981028511355E-3</v>
      </c>
      <c r="F10">
        <f t="shared" si="0"/>
        <v>-2.4788155619780664E-2</v>
      </c>
      <c r="G10">
        <f t="shared" si="1"/>
        <v>-3.7309270656263778E-2</v>
      </c>
      <c r="J10" s="2" t="s">
        <v>22</v>
      </c>
      <c r="K10">
        <f>B148</f>
        <v>1.2809905321156796E-2</v>
      </c>
      <c r="L10">
        <f>C148</f>
        <v>-3.0084122643406035E-3</v>
      </c>
      <c r="M10">
        <f t="shared" si="3"/>
        <v>1.4376770612039307E-2</v>
      </c>
      <c r="N10">
        <f>D148</f>
        <v>-3.1357141420582609E-2</v>
      </c>
      <c r="O10">
        <f>AVERAGEIFS(E148:E168,E148:E168,"&lt;=" &amp; N10)</f>
        <v>-3.2539398197996589E-2</v>
      </c>
      <c r="P10">
        <v>111.56591378723688</v>
      </c>
      <c r="Q10">
        <v>37.272030000000001</v>
      </c>
      <c r="R10">
        <f t="shared" si="2"/>
        <v>144.46775976560252</v>
      </c>
      <c r="S10">
        <v>1.4376770612039307E-2</v>
      </c>
      <c r="T10">
        <v>26.05</v>
      </c>
    </row>
    <row r="11" spans="1:144" x14ac:dyDescent="0.35">
      <c r="A11" t="s">
        <v>15</v>
      </c>
      <c r="E11">
        <v>-1.4124321858884901E-2</v>
      </c>
      <c r="F11">
        <f t="shared" si="0"/>
        <v>-2.4791384231748207E-2</v>
      </c>
      <c r="G11">
        <f t="shared" si="1"/>
        <v>-3.7309270656263778E-2</v>
      </c>
      <c r="J11" s="2" t="s">
        <v>23</v>
      </c>
      <c r="K11">
        <f>B169</f>
        <v>1.1212148591933646E-2</v>
      </c>
      <c r="L11">
        <f>C169</f>
        <v>1.7412087426321088E-3</v>
      </c>
      <c r="M11">
        <f t="shared" si="3"/>
        <v>1.2809905321156796E-2</v>
      </c>
      <c r="N11">
        <f>D169</f>
        <v>-1.7466639426002368E-2</v>
      </c>
      <c r="O11">
        <f>AVERAGEIFS(E169:E190,E169:E190,"&lt;=" &amp; N11)</f>
        <v>-1.826692771931961E-2</v>
      </c>
      <c r="P11">
        <v>126.12784996964379</v>
      </c>
      <c r="Q11">
        <v>35.565089999999998</v>
      </c>
      <c r="R11">
        <f t="shared" si="2"/>
        <v>111.56591378723688</v>
      </c>
      <c r="S11">
        <v>1.2809905321156796E-2</v>
      </c>
      <c r="T11">
        <v>23.7</v>
      </c>
    </row>
    <row r="12" spans="1:144" x14ac:dyDescent="0.35">
      <c r="A12" t="s">
        <v>15</v>
      </c>
      <c r="E12">
        <v>1.6027462533778061E-3</v>
      </c>
      <c r="F12">
        <f t="shared" si="0"/>
        <v>-2.4794612843715754E-2</v>
      </c>
      <c r="G12">
        <f t="shared" si="1"/>
        <v>-3.7309270656263778E-2</v>
      </c>
      <c r="J12" s="2" t="s">
        <v>24</v>
      </c>
      <c r="K12">
        <f>B191</f>
        <v>8.6834365088572073E-3</v>
      </c>
      <c r="L12">
        <f>C191</f>
        <v>2.146408127764044E-3</v>
      </c>
      <c r="M12">
        <f t="shared" si="3"/>
        <v>1.1212148591933646E-2</v>
      </c>
      <c r="N12">
        <f>D191</f>
        <v>-1.3909931366004998E-2</v>
      </c>
      <c r="O12">
        <f>AVERAGEIFS(E191:E211,E191:E211,"&lt;=" &amp; N12)</f>
        <v>-1.4836407691748037E-2</v>
      </c>
      <c r="P12">
        <v>133.0658143633579</v>
      </c>
      <c r="Q12">
        <v>32.5473</v>
      </c>
      <c r="R12">
        <f t="shared" si="2"/>
        <v>126.12784996964379</v>
      </c>
      <c r="S12">
        <v>1.1212148591933646E-2</v>
      </c>
      <c r="T12">
        <v>21.2</v>
      </c>
    </row>
    <row r="13" spans="1:144" x14ac:dyDescent="0.35">
      <c r="A13" t="s">
        <v>15</v>
      </c>
      <c r="E13">
        <v>8.2986059560444733E-3</v>
      </c>
      <c r="F13">
        <f t="shared" si="0"/>
        <v>-2.4797841455683301E-2</v>
      </c>
      <c r="G13">
        <f t="shared" si="1"/>
        <v>-3.7309270656263778E-2</v>
      </c>
      <c r="J13" s="2" t="s">
        <v>25</v>
      </c>
      <c r="K13">
        <f>B212</f>
        <v>1.2755540535979593E-2</v>
      </c>
      <c r="L13">
        <f>C212</f>
        <v>-5.2620836337930995E-3</v>
      </c>
      <c r="M13">
        <f t="shared" si="3"/>
        <v>8.6834365088572073E-3</v>
      </c>
      <c r="N13">
        <f>D212</f>
        <v>-2.666963369057233E-2</v>
      </c>
      <c r="O13">
        <f>AVERAGEIFS(E212:E233,E212:E233,"&lt;=" &amp; N13)</f>
        <v>-2.7067419968776128E-2</v>
      </c>
      <c r="P13">
        <v>143.53141554704732</v>
      </c>
      <c r="Q13">
        <v>40.515819999999998</v>
      </c>
      <c r="R13">
        <f t="shared" si="2"/>
        <v>133.0658143633579</v>
      </c>
      <c r="S13">
        <v>8.6834365088572073E-3</v>
      </c>
      <c r="T13">
        <v>23.54</v>
      </c>
    </row>
    <row r="14" spans="1:144" x14ac:dyDescent="0.35">
      <c r="A14" t="s">
        <v>15</v>
      </c>
      <c r="E14">
        <v>-2.4755869500105197E-2</v>
      </c>
      <c r="F14">
        <f t="shared" si="0"/>
        <v>-2.4801070067650848E-2</v>
      </c>
      <c r="G14">
        <f t="shared" si="1"/>
        <v>-3.7309270656263778E-2</v>
      </c>
      <c r="J14" s="2" t="s">
        <v>26</v>
      </c>
      <c r="K14">
        <f>B234</f>
        <v>1.2728297032928413E-2</v>
      </c>
      <c r="L14">
        <f>C234</f>
        <v>2.8616952076236583E-3</v>
      </c>
      <c r="M14">
        <f t="shared" si="3"/>
        <v>1.2755540535979593E-2</v>
      </c>
      <c r="N14">
        <f>D234</f>
        <v>-1.4711981208040646E-2</v>
      </c>
      <c r="O14">
        <f>AVERAGEIFS(E234:E252,E234:E252,"&lt;=" &amp; N14)</f>
        <v>-1.4711981208040646E-2</v>
      </c>
      <c r="P14">
        <v>109.6550150801729</v>
      </c>
      <c r="Q14">
        <v>31.72045</v>
      </c>
      <c r="R14">
        <f t="shared" si="2"/>
        <v>143.53141554704732</v>
      </c>
      <c r="S14">
        <v>1.2755540535979593E-2</v>
      </c>
      <c r="T14">
        <v>17.75</v>
      </c>
    </row>
    <row r="15" spans="1:144" x14ac:dyDescent="0.35">
      <c r="A15" t="s">
        <v>15</v>
      </c>
      <c r="E15">
        <v>-1.0849956272403399E-2</v>
      </c>
      <c r="F15">
        <f t="shared" si="0"/>
        <v>-2.479449621838873E-2</v>
      </c>
      <c r="G15">
        <f t="shared" si="1"/>
        <v>-3.7309270656263778E-2</v>
      </c>
      <c r="J15" s="2" t="s">
        <v>27</v>
      </c>
      <c r="K15">
        <f>B253</f>
        <v>1.28696482397754E-2</v>
      </c>
      <c r="L15">
        <f>C253</f>
        <v>4.4486778824184888E-3</v>
      </c>
      <c r="M15">
        <f t="shared" si="3"/>
        <v>1.2728297032928413E-2</v>
      </c>
      <c r="N15">
        <f>D253</f>
        <v>-2.3291567477674226E-2</v>
      </c>
      <c r="O15">
        <f>AVERAGEIFS(E253:E272,E253:E272,"&lt;=" &amp; N15)</f>
        <v>-2.3837440983223008E-2</v>
      </c>
      <c r="P15">
        <v>87.866726289025721</v>
      </c>
      <c r="Q15">
        <v>31.13862</v>
      </c>
      <c r="R15">
        <f t="shared" si="2"/>
        <v>109.6550150801729</v>
      </c>
      <c r="S15">
        <v>1.2728297032928413E-2</v>
      </c>
      <c r="T15">
        <v>19.53</v>
      </c>
    </row>
    <row r="16" spans="1:144" x14ac:dyDescent="0.35">
      <c r="A16" t="s">
        <v>15</v>
      </c>
      <c r="E16">
        <v>-1.3583879597558839E-2</v>
      </c>
      <c r="F16">
        <f t="shared" si="0"/>
        <v>-2.4799685322602207E-2</v>
      </c>
      <c r="G16">
        <f t="shared" si="1"/>
        <v>-3.7309270656263778E-2</v>
      </c>
      <c r="J16" s="2" t="s">
        <v>28</v>
      </c>
      <c r="K16">
        <f>B273</f>
        <v>1.2274425230233489E-2</v>
      </c>
      <c r="L16">
        <f>C273</f>
        <v>9.3477083611975961E-4</v>
      </c>
      <c r="M16">
        <f t="shared" si="3"/>
        <v>1.28696482397754E-2</v>
      </c>
      <c r="N16">
        <f>D273</f>
        <v>-3.5309631468476183E-2</v>
      </c>
      <c r="O16">
        <f>AVERAGEIFS(E273:E292,E273:E292,"&lt;=" &amp; N16)</f>
        <v>-3.6605724989055545E-2</v>
      </c>
      <c r="P16">
        <v>103.48958500979919</v>
      </c>
      <c r="Q16">
        <v>31.327290000000001</v>
      </c>
      <c r="R16">
        <f t="shared" si="2"/>
        <v>87.866726289025721</v>
      </c>
      <c r="S16">
        <v>1.28696482397754E-2</v>
      </c>
      <c r="T16">
        <v>18.350000000000001</v>
      </c>
    </row>
    <row r="17" spans="1:144" x14ac:dyDescent="0.35">
      <c r="A17" t="s">
        <v>15</v>
      </c>
      <c r="E17">
        <v>-8.6656572751125614E-3</v>
      </c>
      <c r="F17">
        <f t="shared" si="0"/>
        <v>-2.4804874426815688E-2</v>
      </c>
      <c r="G17">
        <f t="shared" si="1"/>
        <v>-3.7309270656263778E-2</v>
      </c>
      <c r="J17" s="2" t="s">
        <v>29</v>
      </c>
      <c r="K17">
        <f>B293</f>
        <v>1.1046752358071088E-2</v>
      </c>
      <c r="L17">
        <f>C293</f>
        <v>-1.4544542922607583E-3</v>
      </c>
      <c r="M17">
        <f t="shared" si="3"/>
        <v>1.2274425230233489E-2</v>
      </c>
      <c r="N17">
        <f>D293</f>
        <v>-2.4109926162205385E-2</v>
      </c>
      <c r="O17">
        <f>AVERAGEIFS(E293:E315,E293:E315,"&lt;=" &amp; N17)</f>
        <v>-2.5053576660109232E-2</v>
      </c>
      <c r="P17">
        <v>99.256666401889788</v>
      </c>
      <c r="Q17">
        <v>31.331520000000001</v>
      </c>
      <c r="R17">
        <f t="shared" si="2"/>
        <v>103.48958500979919</v>
      </c>
      <c r="S17">
        <v>1.2274425230233489E-2</v>
      </c>
      <c r="T17">
        <v>17.739999999999998</v>
      </c>
    </row>
    <row r="18" spans="1:144" x14ac:dyDescent="0.35">
      <c r="A18" t="s">
        <v>15</v>
      </c>
      <c r="E18">
        <v>1.5461986787754986E-3</v>
      </c>
      <c r="F18">
        <f t="shared" si="0"/>
        <v>-2.4810063531029165E-2</v>
      </c>
      <c r="G18">
        <f t="shared" si="1"/>
        <v>-3.7309270656263778E-2</v>
      </c>
      <c r="J18" s="2" t="s">
        <v>30</v>
      </c>
      <c r="K18">
        <f>B316</f>
        <v>1.1314211047877266E-2</v>
      </c>
      <c r="L18">
        <f>C316</f>
        <v>1.6444563734685285E-3</v>
      </c>
      <c r="M18">
        <f t="shared" si="3"/>
        <v>1.1046752358071088E-2</v>
      </c>
      <c r="N18">
        <f>D316</f>
        <v>-1.7746545663505524E-2</v>
      </c>
      <c r="O18">
        <f>AVERAGEIFS(E316:E333,E316:E333,"&lt;=" &amp; N18)</f>
        <v>-2.9606917027677693E-2</v>
      </c>
      <c r="P18">
        <v>103.88103682653349</v>
      </c>
      <c r="Q18">
        <v>27.39622</v>
      </c>
      <c r="R18">
        <f t="shared" si="2"/>
        <v>99.256666401889788</v>
      </c>
      <c r="S18">
        <v>1.1046752358071088E-2</v>
      </c>
      <c r="T18">
        <v>14.75</v>
      </c>
    </row>
    <row r="19" spans="1:144" x14ac:dyDescent="0.35">
      <c r="A19" t="s">
        <v>15</v>
      </c>
      <c r="E19">
        <v>-1.8472194164334915E-2</v>
      </c>
      <c r="F19">
        <f t="shared" si="0"/>
        <v>-2.4815252635242646E-2</v>
      </c>
      <c r="G19">
        <f t="shared" si="1"/>
        <v>-3.7309270656263778E-2</v>
      </c>
      <c r="J19" s="2" t="s">
        <v>31</v>
      </c>
      <c r="K19">
        <f>B334</f>
        <v>1.2215137456959718E-2</v>
      </c>
      <c r="L19">
        <f>C334</f>
        <v>-2.9220586754584769E-3</v>
      </c>
      <c r="M19">
        <f t="shared" si="3"/>
        <v>1.1314211047877266E-2</v>
      </c>
      <c r="N19">
        <f>D334</f>
        <v>-3.2942038370812964E-2</v>
      </c>
      <c r="O19">
        <f>AVERAGEIFS(E334:E353,E334:E353,"&lt;=" &amp; N19)</f>
        <v>-3.3723006982009633E-2</v>
      </c>
      <c r="P19">
        <v>138.29416361895559</v>
      </c>
      <c r="Q19">
        <v>29.241160000000001</v>
      </c>
      <c r="R19">
        <f t="shared" si="2"/>
        <v>103.88103682653349</v>
      </c>
      <c r="S19">
        <v>1.1314211047877266E-2</v>
      </c>
      <c r="T19">
        <v>15.45</v>
      </c>
    </row>
    <row r="20" spans="1:144" x14ac:dyDescent="0.35">
      <c r="A20" t="s">
        <v>15</v>
      </c>
      <c r="E20">
        <v>-1.8094690303766366E-2</v>
      </c>
      <c r="F20">
        <f t="shared" si="0"/>
        <v>-2.4820441739456127E-2</v>
      </c>
      <c r="G20">
        <f t="shared" si="1"/>
        <v>-3.7309270656263778E-2</v>
      </c>
      <c r="J20" s="2" t="s">
        <v>32</v>
      </c>
      <c r="K20">
        <f>B354</f>
        <v>1.4284213784997446E-2</v>
      </c>
      <c r="L20">
        <f>C354</f>
        <v>-2.0317799273410482E-3</v>
      </c>
      <c r="M20">
        <f t="shared" si="3"/>
        <v>1.2215137456959718E-2</v>
      </c>
      <c r="N20">
        <f>D354</f>
        <v>-2.678238823974867E-2</v>
      </c>
      <c r="O20">
        <f>AVERAGEIFS(E354:E375,E354:E375,"&lt;=" &amp; N20)</f>
        <v>-2.7649509394545448E-2</v>
      </c>
      <c r="P20">
        <v>97.679091866441041</v>
      </c>
      <c r="Q20">
        <v>31.286750000000001</v>
      </c>
      <c r="R20">
        <f t="shared" si="2"/>
        <v>138.29416361895559</v>
      </c>
      <c r="S20">
        <v>1.2215137456959718E-2</v>
      </c>
      <c r="T20">
        <v>16.52</v>
      </c>
    </row>
    <row r="21" spans="1:144" x14ac:dyDescent="0.35">
      <c r="A21" t="s">
        <v>15</v>
      </c>
      <c r="E21">
        <v>1.3479004479414745E-2</v>
      </c>
      <c r="F21">
        <f t="shared" si="0"/>
        <v>-2.4823777426610724E-2</v>
      </c>
      <c r="G21">
        <f t="shared" si="1"/>
        <v>-3.7375349116141071E-2</v>
      </c>
      <c r="J21" s="2" t="s">
        <v>33</v>
      </c>
      <c r="K21">
        <f>B376</f>
        <v>2.1498002049553093E-2</v>
      </c>
      <c r="L21">
        <f>C376</f>
        <v>-4.3264968793690784E-3</v>
      </c>
      <c r="M21">
        <f t="shared" si="3"/>
        <v>1.4284213784997446E-2</v>
      </c>
      <c r="N21">
        <f>D376</f>
        <v>-3.9916839639104904E-2</v>
      </c>
      <c r="O21">
        <f>AVERAGEIFS(E376:E396,E376:E396,"&lt;=" &amp; N21)</f>
        <v>-4.042261857183993E-2</v>
      </c>
      <c r="P21">
        <v>125.64202928930554</v>
      </c>
      <c r="Q21">
        <v>39.728549999999998</v>
      </c>
      <c r="R21">
        <f t="shared" si="2"/>
        <v>97.679091866441041</v>
      </c>
      <c r="S21">
        <v>1.4284213784997446E-2</v>
      </c>
      <c r="T21">
        <v>25.25</v>
      </c>
    </row>
    <row r="22" spans="1:144" s="3" customFormat="1" x14ac:dyDescent="0.35">
      <c r="A22" s="3" t="s">
        <v>16</v>
      </c>
      <c r="B22" s="3" cm="1">
        <f t="array" ref="B22">_xlfn.STDEV.S(_xlfn._xlws.FILTER($E$2:$E$1000, $A$2:$A$1000="2010-02"))</f>
        <v>1.5484104029112293E-2</v>
      </c>
      <c r="C22" s="3" cm="1">
        <f t="array" ref="C22">AVERAGE(_xlfn._xlws.FILTER($E$2:$E$1000, $A$2:$A$1000="2010-02"))</f>
        <v>-1.9273362830495382E-3</v>
      </c>
      <c r="D22" s="3" cm="1">
        <f t="array" ref="D22">_xlfn.PERCENTILE.EXC(_xlfn._xlws.FILTER($E$22:$E$41, $A$22:$A$41="2010-02"), 0.05)</f>
        <v>-3.4730558750733165E-2</v>
      </c>
      <c r="E22" s="3">
        <v>5.2705431186350479E-3</v>
      </c>
      <c r="F22" s="3">
        <f t="shared" si="0"/>
        <v>-2.4827113113765321E-2</v>
      </c>
      <c r="G22" s="3">
        <f t="shared" si="1"/>
        <v>-3.7375349116141071E-2</v>
      </c>
      <c r="J22" s="4" t="s">
        <v>34</v>
      </c>
      <c r="K22" s="3">
        <f>B397</f>
        <v>3.1202992546988242E-2</v>
      </c>
      <c r="L22" s="3">
        <f>C397</f>
        <v>-8.0604891933450506E-3</v>
      </c>
      <c r="M22">
        <f t="shared" si="3"/>
        <v>2.1498002049553093E-2</v>
      </c>
      <c r="N22" s="3">
        <f>D397</f>
        <v>-6.8271770506754884E-2</v>
      </c>
      <c r="O22" s="3">
        <f>AVERAGEIFS(E397:E417,E397:E417,"&lt;=" &amp; N22)</f>
        <v>-6.8809789905423857E-2</v>
      </c>
      <c r="P22" s="3">
        <v>173.38817186305968</v>
      </c>
      <c r="Q22" s="3">
        <v>51.370930000000001</v>
      </c>
      <c r="R22">
        <f t="shared" si="2"/>
        <v>125.64202928930554</v>
      </c>
      <c r="S22">
        <v>2.1498002049553093E-2</v>
      </c>
      <c r="T22" s="3">
        <v>31.62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</row>
    <row r="23" spans="1:144" x14ac:dyDescent="0.35">
      <c r="A23" t="s">
        <v>16</v>
      </c>
      <c r="E23">
        <v>1.8086404472120569E-2</v>
      </c>
      <c r="F23">
        <f t="shared" si="0"/>
        <v>-2.4830448800919915E-2</v>
      </c>
      <c r="G23">
        <f t="shared" si="1"/>
        <v>-3.7375349116141071E-2</v>
      </c>
      <c r="J23" s="2" t="s">
        <v>35</v>
      </c>
      <c r="K23">
        <f>B418</f>
        <v>3.1401586486304187E-2</v>
      </c>
      <c r="L23">
        <f>C418</f>
        <v>-2.1741022982198111E-3</v>
      </c>
      <c r="M23">
        <f t="shared" si="3"/>
        <v>3.1202992546988242E-2</v>
      </c>
      <c r="N23">
        <f>D418</f>
        <v>-5.0415234612314799E-2</v>
      </c>
      <c r="O23">
        <f>AVERAGEIFS(E418:E439,E418:E439,"&lt;=" &amp; N23)</f>
        <v>-5.0582637356671428E-2</v>
      </c>
      <c r="P23">
        <v>171.93279149278845</v>
      </c>
      <c r="Q23">
        <v>62.779389999999999</v>
      </c>
      <c r="R23">
        <f t="shared" si="2"/>
        <v>173.38817186305968</v>
      </c>
      <c r="S23">
        <v>3.1202992546988242E-2</v>
      </c>
      <c r="T23">
        <v>42.96</v>
      </c>
    </row>
    <row r="24" spans="1:144" x14ac:dyDescent="0.35">
      <c r="A24" t="s">
        <v>16</v>
      </c>
      <c r="E24">
        <v>-1.0967970112966715E-2</v>
      </c>
      <c r="F24">
        <f t="shared" si="0"/>
        <v>-2.4833784488074512E-2</v>
      </c>
      <c r="G24">
        <f t="shared" si="1"/>
        <v>-3.7375349116141071E-2</v>
      </c>
      <c r="J24" s="2" t="s">
        <v>36</v>
      </c>
      <c r="K24">
        <f>B440</f>
        <v>2.8076394606003016E-2</v>
      </c>
      <c r="L24">
        <f>C440</f>
        <v>3.6484443404887637E-3</v>
      </c>
      <c r="M24">
        <f t="shared" si="3"/>
        <v>3.1401586486304187E-2</v>
      </c>
      <c r="N24">
        <f>D440</f>
        <v>-3.8884226180071334E-2</v>
      </c>
      <c r="O24">
        <f>AVERAGEIFS(E440:E460,E440:E460,"&lt;=" &amp; N24)</f>
        <v>-3.8927173190491701E-2</v>
      </c>
      <c r="P24">
        <v>203.88967799719163</v>
      </c>
      <c r="Q24">
        <v>48.978070000000002</v>
      </c>
      <c r="R24">
        <f t="shared" si="2"/>
        <v>171.93279149278845</v>
      </c>
      <c r="S24">
        <v>3.1401586486304187E-2</v>
      </c>
      <c r="T24">
        <v>29.96</v>
      </c>
    </row>
    <row r="25" spans="1:144" x14ac:dyDescent="0.35">
      <c r="A25" t="s">
        <v>16</v>
      </c>
      <c r="E25">
        <v>-3.5090063245289974E-2</v>
      </c>
      <c r="F25">
        <f t="shared" si="0"/>
        <v>-2.483712017522911E-2</v>
      </c>
      <c r="G25">
        <f t="shared" si="1"/>
        <v>-3.7375349116141071E-2</v>
      </c>
      <c r="J25" s="2" t="s">
        <v>37</v>
      </c>
      <c r="K25">
        <f>B461</f>
        <v>2.9436755079751818E-2</v>
      </c>
      <c r="L25">
        <f>C461</f>
        <v>-2.1769941867303189E-3</v>
      </c>
      <c r="M25">
        <f t="shared" si="3"/>
        <v>2.8076394606003016E-2</v>
      </c>
      <c r="N25">
        <f>D461</f>
        <v>-6.7165482230472445E-2</v>
      </c>
      <c r="O25">
        <f>AVERAGEIFS(E461:E482,E461:E482,"&lt;=" &amp; N25)</f>
        <v>-7.0441512576297827E-2</v>
      </c>
      <c r="P25">
        <v>218.43799518661436</v>
      </c>
      <c r="Q25">
        <v>49.869079999999997</v>
      </c>
      <c r="R25">
        <f t="shared" si="2"/>
        <v>203.88967799719163</v>
      </c>
      <c r="S25">
        <v>2.8076394606003016E-2</v>
      </c>
      <c r="T25">
        <v>27.8</v>
      </c>
    </row>
    <row r="26" spans="1:144" x14ac:dyDescent="0.35">
      <c r="A26" t="s">
        <v>16</v>
      </c>
      <c r="E26">
        <v>-2.789997335415385E-2</v>
      </c>
      <c r="F26">
        <f t="shared" si="0"/>
        <v>-2.4747794280467413E-2</v>
      </c>
      <c r="G26">
        <f t="shared" si="1"/>
        <v>-3.7321012494417077E-2</v>
      </c>
      <c r="J26" s="2" t="s">
        <v>38</v>
      </c>
      <c r="K26">
        <f>B483</f>
        <v>2.1063090316034649E-2</v>
      </c>
      <c r="L26">
        <f>C483</f>
        <v>-5.8936594683459392E-4</v>
      </c>
      <c r="M26">
        <f t="shared" si="3"/>
        <v>2.9436755079751818E-2</v>
      </c>
      <c r="N26">
        <f>D483</f>
        <v>-4.361560914149995E-2</v>
      </c>
      <c r="O26">
        <f>AVERAGEIFS(E483:E502,E483:E502,"&lt;=" &amp; N26)</f>
        <v>-4.3876446755877395E-2</v>
      </c>
      <c r="P26">
        <v>188.17796907844254</v>
      </c>
      <c r="Q26">
        <v>41.6721</v>
      </c>
      <c r="R26">
        <f t="shared" si="2"/>
        <v>218.43799518661436</v>
      </c>
      <c r="S26">
        <v>2.9436755079751818E-2</v>
      </c>
      <c r="T26">
        <v>23.4</v>
      </c>
    </row>
    <row r="27" spans="1:144" x14ac:dyDescent="0.35">
      <c r="A27" t="s">
        <v>16</v>
      </c>
      <c r="E27">
        <v>5.8609952870857995E-3</v>
      </c>
      <c r="F27">
        <f t="shared" si="0"/>
        <v>-2.4692366202439083E-2</v>
      </c>
      <c r="G27">
        <f t="shared" si="1"/>
        <v>-3.7304169564792912E-2</v>
      </c>
      <c r="J27" s="2" t="s">
        <v>39</v>
      </c>
      <c r="K27">
        <f>B503</f>
        <v>1.8156488644119492E-2</v>
      </c>
      <c r="L27">
        <f>C503</f>
        <v>2.2746971332993646E-3</v>
      </c>
      <c r="M27">
        <f t="shared" si="3"/>
        <v>2.1063090316034649E-2</v>
      </c>
      <c r="N27">
        <f>D503</f>
        <v>-3.5544192624611184E-2</v>
      </c>
      <c r="O27">
        <f>AVERAGEIFS(E503:E523,E503:E523,"&lt;=" &amp; N27)</f>
        <v>-3.7208076880830485E-2</v>
      </c>
      <c r="P27">
        <v>179.26256039004437</v>
      </c>
      <c r="Q27">
        <v>34.387320000000003</v>
      </c>
      <c r="R27">
        <f t="shared" si="2"/>
        <v>188.17796907844254</v>
      </c>
      <c r="S27">
        <v>2.1063090316034649E-2</v>
      </c>
      <c r="T27">
        <v>19.440000000000001</v>
      </c>
    </row>
    <row r="28" spans="1:144" x14ac:dyDescent="0.35">
      <c r="A28" t="s">
        <v>16</v>
      </c>
      <c r="E28">
        <v>-5.7125619431119302E-3</v>
      </c>
      <c r="F28">
        <f t="shared" si="0"/>
        <v>-2.4694234929573504E-2</v>
      </c>
      <c r="G28">
        <f t="shared" si="1"/>
        <v>-3.7304169564792912E-2</v>
      </c>
      <c r="J28" s="2" t="s">
        <v>40</v>
      </c>
      <c r="K28">
        <f>B524</f>
        <v>1.0389117653279612E-2</v>
      </c>
      <c r="L28">
        <f>C524</f>
        <v>1.5490690323832629E-3</v>
      </c>
      <c r="M28">
        <f t="shared" si="3"/>
        <v>1.8156488644119492E-2</v>
      </c>
      <c r="N28">
        <f>D524</f>
        <v>-1.7456288485643227E-2</v>
      </c>
      <c r="O28">
        <f>AVERAGEIFS(E524:E544,E524:E544,"&lt;=" &amp; N28)</f>
        <v>-1.7737321167346189E-2</v>
      </c>
      <c r="P28">
        <v>135.01561396446792</v>
      </c>
      <c r="Q28">
        <v>31.961829999999999</v>
      </c>
      <c r="R28">
        <f t="shared" si="2"/>
        <v>179.26256039004437</v>
      </c>
      <c r="S28">
        <v>1.8156488644119492E-2</v>
      </c>
      <c r="T28">
        <v>18.43</v>
      </c>
    </row>
    <row r="29" spans="1:144" x14ac:dyDescent="0.35">
      <c r="A29" t="s">
        <v>16</v>
      </c>
      <c r="E29">
        <v>2.0098345124259141E-2</v>
      </c>
      <c r="F29">
        <f t="shared" si="0"/>
        <v>-2.4696103656707925E-2</v>
      </c>
      <c r="G29">
        <f t="shared" si="1"/>
        <v>-3.7304169564792912E-2</v>
      </c>
      <c r="J29" s="2" t="s">
        <v>41</v>
      </c>
      <c r="K29">
        <f>B545</f>
        <v>1.5370337388126683E-2</v>
      </c>
      <c r="L29">
        <f>C545</f>
        <v>-1.0441732433143329E-3</v>
      </c>
      <c r="M29">
        <f t="shared" si="3"/>
        <v>1.0389117653279612E-2</v>
      </c>
      <c r="N29">
        <f>D545</f>
        <v>-3.4348114929431336E-2</v>
      </c>
      <c r="O29">
        <f>AVERAGEIFS(E545:E566,E545:E566,"&lt;=" &amp; N29)</f>
        <v>-3.4488276677581607E-2</v>
      </c>
      <c r="P29">
        <v>140.95085099893987</v>
      </c>
      <c r="Q29">
        <v>30.058730000000001</v>
      </c>
      <c r="R29">
        <f t="shared" si="2"/>
        <v>135.01561396446792</v>
      </c>
      <c r="S29">
        <v>1.0389117653279612E-2</v>
      </c>
      <c r="T29">
        <v>15.5</v>
      </c>
    </row>
    <row r="30" spans="1:144" x14ac:dyDescent="0.35">
      <c r="A30" t="s">
        <v>16</v>
      </c>
      <c r="E30">
        <v>-7.8066320062947408E-3</v>
      </c>
      <c r="F30">
        <f t="shared" si="0"/>
        <v>-2.4697972383842345E-2</v>
      </c>
      <c r="G30">
        <f t="shared" si="1"/>
        <v>-3.7304169564792912E-2</v>
      </c>
      <c r="J30" s="2" t="s">
        <v>42</v>
      </c>
      <c r="K30">
        <f>B567</f>
        <v>2.4398871293035179E-2</v>
      </c>
      <c r="L30">
        <f>C567</f>
        <v>-4.7813467002635638E-3</v>
      </c>
      <c r="M30">
        <f t="shared" si="3"/>
        <v>1.5370337388126683E-2</v>
      </c>
      <c r="N30">
        <f>D567</f>
        <v>-5.1040061525647239E-2</v>
      </c>
      <c r="O30">
        <f>AVERAGEIFS(E567:E585,E567:E585,"&lt;=" &amp; N30)</f>
        <v>-5.1040061525647239E-2</v>
      </c>
      <c r="P30">
        <v>190.27880336916857</v>
      </c>
      <c r="Q30">
        <v>35.65361</v>
      </c>
      <c r="R30">
        <f t="shared" si="2"/>
        <v>140.95085099893987</v>
      </c>
      <c r="S30">
        <v>1.5370337388126683E-2</v>
      </c>
      <c r="T30">
        <v>17.149999999999999</v>
      </c>
    </row>
    <row r="31" spans="1:144" x14ac:dyDescent="0.35">
      <c r="A31" t="s">
        <v>16</v>
      </c>
      <c r="E31">
        <v>-1.9253260811352311E-3</v>
      </c>
      <c r="F31">
        <f t="shared" si="0"/>
        <v>-2.4699841110976763E-2</v>
      </c>
      <c r="G31">
        <f t="shared" si="1"/>
        <v>-3.7304169564792912E-2</v>
      </c>
      <c r="J31" s="2" t="s">
        <v>43</v>
      </c>
      <c r="K31">
        <f>B586</f>
        <v>1.6393653135580017E-2</v>
      </c>
      <c r="L31">
        <f>C586</f>
        <v>-5.9666375283660292E-3</v>
      </c>
      <c r="M31">
        <f t="shared" si="3"/>
        <v>2.4398871293035179E-2</v>
      </c>
      <c r="N31">
        <f>D586</f>
        <v>-3.6518846817210689E-2</v>
      </c>
      <c r="O31">
        <f>AVERAGEIFS(E586:E606,E586:E606,"&lt;=" &amp; N31)</f>
        <v>-3.7492514416145289E-2</v>
      </c>
      <c r="P31">
        <v>147.67372029484213</v>
      </c>
      <c r="Q31">
        <v>43.20946</v>
      </c>
      <c r="R31">
        <f t="shared" si="2"/>
        <v>190.27880336916857</v>
      </c>
      <c r="S31">
        <v>2.4398871293035179E-2</v>
      </c>
      <c r="T31">
        <v>24.06</v>
      </c>
    </row>
    <row r="32" spans="1:144" x14ac:dyDescent="0.35">
      <c r="A32" t="s">
        <v>16</v>
      </c>
      <c r="E32">
        <v>4.1064254194044863E-3</v>
      </c>
      <c r="F32">
        <f t="shared" si="0"/>
        <v>-2.4701709838111183E-2</v>
      </c>
      <c r="G32">
        <f t="shared" si="1"/>
        <v>-3.7304169564792912E-2</v>
      </c>
      <c r="J32" s="2" t="s">
        <v>44</v>
      </c>
      <c r="K32">
        <f>B607</f>
        <v>2.6940817178371435E-2</v>
      </c>
      <c r="L32">
        <f>C607</f>
        <v>5.4351724244694815E-3</v>
      </c>
      <c r="M32">
        <f t="shared" si="3"/>
        <v>1.6393653135580017E-2</v>
      </c>
      <c r="N32">
        <f>D607</f>
        <v>-4.1013225439491881E-2</v>
      </c>
      <c r="O32">
        <f>AVERAGEIFS(E607:E625,E607:E625,"&lt;=" &amp; N32)</f>
        <v>-4.1013225439491881E-2</v>
      </c>
      <c r="P32">
        <v>141.23330463924509</v>
      </c>
      <c r="Q32">
        <v>31.559560000000001</v>
      </c>
      <c r="R32">
        <f t="shared" si="2"/>
        <v>147.67372029484213</v>
      </c>
      <c r="S32">
        <v>1.6393653135580017E-2</v>
      </c>
      <c r="T32">
        <v>17.079999999999998</v>
      </c>
    </row>
    <row r="33" spans="1:144" x14ac:dyDescent="0.35">
      <c r="A33" t="s">
        <v>16</v>
      </c>
      <c r="E33">
        <v>7.8624991150363054E-3</v>
      </c>
      <c r="F33">
        <f t="shared" si="0"/>
        <v>-2.4703578565245601E-2</v>
      </c>
      <c r="G33">
        <f t="shared" si="1"/>
        <v>-3.7304169564792912E-2</v>
      </c>
      <c r="J33" s="2" t="s">
        <v>45</v>
      </c>
      <c r="K33">
        <f>B626</f>
        <v>2.213680568024376E-2</v>
      </c>
      <c r="L33">
        <f>C626</f>
        <v>-1.2375087701790243E-3</v>
      </c>
      <c r="M33">
        <f t="shared" si="3"/>
        <v>2.6940817178371435E-2</v>
      </c>
      <c r="N33">
        <f>D626</f>
        <v>-4.2314662208443862E-2</v>
      </c>
      <c r="O33">
        <f>AVERAGEIFS(E626:E647,E626:E647,"&lt;=" &amp; N33)</f>
        <v>-4.484004695290128E-2</v>
      </c>
      <c r="P33">
        <v>126.45848968867102</v>
      </c>
      <c r="Q33">
        <v>34.46763</v>
      </c>
      <c r="R33">
        <f t="shared" si="2"/>
        <v>141.23330463924509</v>
      </c>
      <c r="S33">
        <v>2.6940817178371435E-2</v>
      </c>
      <c r="T33">
        <v>18.93</v>
      </c>
    </row>
    <row r="34" spans="1:144" x14ac:dyDescent="0.35">
      <c r="A34" t="s">
        <v>16</v>
      </c>
      <c r="E34">
        <v>1.6842965271088212E-2</v>
      </c>
      <c r="F34">
        <f t="shared" si="0"/>
        <v>-2.4705447292380021E-2</v>
      </c>
      <c r="G34">
        <f t="shared" si="1"/>
        <v>-3.7304169564792912E-2</v>
      </c>
      <c r="J34" s="2" t="s">
        <v>46</v>
      </c>
      <c r="K34">
        <f>B648</f>
        <v>2.0850056446232272E-2</v>
      </c>
      <c r="L34">
        <f>C648</f>
        <v>3.9755287081286754E-3</v>
      </c>
      <c r="M34">
        <f t="shared" si="3"/>
        <v>2.213680568024376E-2</v>
      </c>
      <c r="N34">
        <f>D648</f>
        <v>-4.4120720770660087E-2</v>
      </c>
      <c r="O34">
        <f>AVERAGEIFS(E648:E668,E648:E668,"&lt;=" &amp; N34)</f>
        <v>-4.7492418593466132E-2</v>
      </c>
      <c r="P34">
        <v>98.053052881741252</v>
      </c>
      <c r="Q34">
        <v>32.31174</v>
      </c>
      <c r="R34">
        <f t="shared" si="2"/>
        <v>126.45848968867102</v>
      </c>
      <c r="S34">
        <v>2.213680568024376E-2</v>
      </c>
      <c r="T34">
        <v>17.47</v>
      </c>
    </row>
    <row r="35" spans="1:144" x14ac:dyDescent="0.35">
      <c r="A35" t="s">
        <v>16</v>
      </c>
      <c r="E35">
        <v>1.6295574150583061E-3</v>
      </c>
      <c r="F35">
        <f t="shared" si="0"/>
        <v>-2.4707316019514442E-2</v>
      </c>
      <c r="G35">
        <f t="shared" si="1"/>
        <v>-3.7304169564792912E-2</v>
      </c>
      <c r="J35" s="2" t="s">
        <v>47</v>
      </c>
      <c r="K35">
        <f>B669</f>
        <v>1.7839977326215513E-2</v>
      </c>
      <c r="L35">
        <f>C669</f>
        <v>-1.536611095828179E-5</v>
      </c>
      <c r="M35">
        <f t="shared" si="3"/>
        <v>2.0850056446232272E-2</v>
      </c>
      <c r="N35">
        <f>D669</f>
        <v>-3.3015429739302118E-2</v>
      </c>
      <c r="O35">
        <f>AVERAGEIFS(E669:E688,E669:E688,"&lt;=" &amp; N35)</f>
        <v>-3.3478522571137766E-2</v>
      </c>
      <c r="P35">
        <v>101.1551720585623</v>
      </c>
      <c r="Q35">
        <v>30.108720000000002</v>
      </c>
      <c r="R35">
        <f t="shared" si="2"/>
        <v>98.053052881741252</v>
      </c>
      <c r="S35">
        <v>2.0850056446232272E-2</v>
      </c>
      <c r="T35">
        <v>15.73</v>
      </c>
    </row>
    <row r="36" spans="1:144" x14ac:dyDescent="0.35">
      <c r="A36" t="s">
        <v>16</v>
      </c>
      <c r="E36">
        <v>3.9674729809647015E-3</v>
      </c>
      <c r="F36">
        <f t="shared" si="0"/>
        <v>-2.4709184746648859E-2</v>
      </c>
      <c r="G36">
        <f t="shared" si="1"/>
        <v>-3.7304169564792912E-2</v>
      </c>
      <c r="J36" s="2" t="s">
        <v>48</v>
      </c>
      <c r="K36">
        <f>B689</f>
        <v>1.3735779765093895E-2</v>
      </c>
      <c r="L36">
        <f>C689</f>
        <v>1.2599771335112414E-3</v>
      </c>
      <c r="M36">
        <f t="shared" si="3"/>
        <v>1.7839977326215513E-2</v>
      </c>
      <c r="N36">
        <f>D689</f>
        <v>-2.013191571240168E-2</v>
      </c>
      <c r="O36">
        <f>AVERAGEIFS(E689:E711,E689:E711,"&lt;=" &amp; N36)</f>
        <v>-2.0166835480088657E-2</v>
      </c>
      <c r="P36">
        <v>130.07621242181372</v>
      </c>
      <c r="Q36">
        <v>28.809349999999998</v>
      </c>
      <c r="R36">
        <f t="shared" si="2"/>
        <v>101.1551720585623</v>
      </c>
      <c r="S36">
        <v>1.7839977326215513E-2</v>
      </c>
      <c r="T36">
        <v>18.600000000000001</v>
      </c>
    </row>
    <row r="37" spans="1:144" x14ac:dyDescent="0.35">
      <c r="A37" t="s">
        <v>16</v>
      </c>
      <c r="E37">
        <v>-3.1073847527734793E-3</v>
      </c>
      <c r="F37">
        <f t="shared" si="0"/>
        <v>-2.471105347378328E-2</v>
      </c>
      <c r="G37">
        <f t="shared" si="1"/>
        <v>-3.7304169564792912E-2</v>
      </c>
      <c r="J37" s="2" t="s">
        <v>49</v>
      </c>
      <c r="K37">
        <f>B712</f>
        <v>1.3642001116807547E-2</v>
      </c>
      <c r="L37">
        <f>C712</f>
        <v>7.7875635589941641E-4</v>
      </c>
      <c r="M37">
        <f t="shared" si="3"/>
        <v>1.3735779765093895E-2</v>
      </c>
      <c r="N37">
        <f>D712</f>
        <v>-2.4579593786369196E-2</v>
      </c>
      <c r="O37">
        <f>AVERAGEIFS(E712:E733,E712:E733,"&lt;=" &amp; N37)</f>
        <v>-2.5307164954761589E-2</v>
      </c>
      <c r="P37">
        <v>113.17735866815497</v>
      </c>
      <c r="Q37">
        <v>21.524550000000001</v>
      </c>
      <c r="R37">
        <f t="shared" si="2"/>
        <v>130.07621242181372</v>
      </c>
      <c r="S37">
        <v>1.3735779765093895E-2</v>
      </c>
      <c r="T37">
        <v>15.87</v>
      </c>
    </row>
    <row r="38" spans="1:144" x14ac:dyDescent="0.35">
      <c r="A38" t="s">
        <v>16</v>
      </c>
      <c r="E38">
        <v>-2.2396597803770131E-2</v>
      </c>
      <c r="F38">
        <f t="shared" si="0"/>
        <v>-2.4712922200917697E-2</v>
      </c>
      <c r="G38">
        <f t="shared" si="1"/>
        <v>-3.7304169564792912E-2</v>
      </c>
      <c r="J38" s="2" t="s">
        <v>50</v>
      </c>
      <c r="K38">
        <f>B734</f>
        <v>9.6789407406504668E-3</v>
      </c>
      <c r="L38">
        <f>C734</f>
        <v>1.7058424054867923E-3</v>
      </c>
      <c r="M38">
        <f t="shared" si="3"/>
        <v>1.3642001116807547E-2</v>
      </c>
      <c r="N38">
        <f>D734</f>
        <v>-1.1347305239613751E-2</v>
      </c>
      <c r="O38">
        <f>AVERAGEIFS(E734:E750,E734:E750,"&lt;=" &amp; N38)</f>
        <v>-2.2234351889858003E-2</v>
      </c>
      <c r="P38">
        <v>141.23975786569349</v>
      </c>
      <c r="Q38">
        <v>28.233470000000001</v>
      </c>
      <c r="R38">
        <f t="shared" si="2"/>
        <v>113.17735866815497</v>
      </c>
      <c r="S38">
        <v>1.3642001116807547E-2</v>
      </c>
      <c r="T38">
        <v>18.02</v>
      </c>
    </row>
    <row r="39" spans="1:144" x14ac:dyDescent="0.35">
      <c r="A39" t="s">
        <v>16</v>
      </c>
      <c r="E39">
        <v>5.742976030477116E-3</v>
      </c>
      <c r="F39">
        <f t="shared" si="0"/>
        <v>-2.4714790928052118E-2</v>
      </c>
      <c r="G39">
        <f t="shared" si="1"/>
        <v>-3.7304169564792912E-2</v>
      </c>
      <c r="J39" s="2" t="s">
        <v>51</v>
      </c>
      <c r="K39">
        <f>B751</f>
        <v>1.3121020496989495E-2</v>
      </c>
      <c r="L39">
        <f>C751</f>
        <v>3.1446306352674062E-3</v>
      </c>
      <c r="M39">
        <f t="shared" si="3"/>
        <v>9.6789407406504668E-3</v>
      </c>
      <c r="N39">
        <f>D751</f>
        <v>-3.0255356905610535E-2</v>
      </c>
      <c r="O39">
        <f>AVERAGEIFS(E751:E772,E751:E772,"&lt;=" &amp; N39)</f>
        <v>-3.4225561016207148E-2</v>
      </c>
      <c r="P39">
        <v>171.1816904372161</v>
      </c>
      <c r="Q39">
        <v>22.603100000000001</v>
      </c>
      <c r="R39">
        <f t="shared" si="2"/>
        <v>141.23975786569349</v>
      </c>
      <c r="S39">
        <v>9.6789407406504668E-3</v>
      </c>
      <c r="T39">
        <v>14.28</v>
      </c>
    </row>
    <row r="40" spans="1:144" x14ac:dyDescent="0.35">
      <c r="A40" t="s">
        <v>16</v>
      </c>
      <c r="E40">
        <v>-2.3849695735045532E-2</v>
      </c>
      <c r="F40">
        <f t="shared" si="0"/>
        <v>-2.4716659655186539E-2</v>
      </c>
      <c r="G40">
        <f t="shared" si="1"/>
        <v>-3.7304169564792912E-2</v>
      </c>
      <c r="J40" s="2" t="s">
        <v>52</v>
      </c>
      <c r="K40">
        <f>B773</f>
        <v>1.9084581586317775E-2</v>
      </c>
      <c r="L40">
        <f>C773</f>
        <v>-4.5528911511912538E-3</v>
      </c>
      <c r="M40">
        <f t="shared" si="3"/>
        <v>1.3121020496989495E-2</v>
      </c>
      <c r="N40">
        <f>D773</f>
        <v>-4.9944093622649524E-2</v>
      </c>
      <c r="O40">
        <f>AVERAGEIFS(E773:E792,E773:E792,"&lt;=" &amp; N40)</f>
        <v>-5.014749475742096E-2</v>
      </c>
      <c r="P40">
        <v>184.06682589384593</v>
      </c>
      <c r="Q40">
        <v>27.480319999999999</v>
      </c>
      <c r="R40">
        <f t="shared" si="2"/>
        <v>171.1816904372161</v>
      </c>
      <c r="S40">
        <v>1.3121020496989495E-2</v>
      </c>
      <c r="T40">
        <v>15.51</v>
      </c>
    </row>
    <row r="41" spans="1:144" x14ac:dyDescent="0.35">
      <c r="A41" t="s">
        <v>16</v>
      </c>
      <c r="E41">
        <v>1.0741295139421141E-2</v>
      </c>
      <c r="F41">
        <f t="shared" si="0"/>
        <v>-2.4721848759400016E-2</v>
      </c>
      <c r="G41">
        <f t="shared" si="1"/>
        <v>-3.7371124404737631E-2</v>
      </c>
      <c r="J41" s="2" t="s">
        <v>53</v>
      </c>
      <c r="K41">
        <f>B793</f>
        <v>1.4433728589472863E-2</v>
      </c>
      <c r="L41">
        <f>C793</f>
        <v>-1.8637172222972689E-3</v>
      </c>
      <c r="M41">
        <f t="shared" si="3"/>
        <v>1.9084581586317775E-2</v>
      </c>
      <c r="N41">
        <f>D793</f>
        <v>-2.4929756550999976E-2</v>
      </c>
      <c r="O41">
        <f>AVERAGEIFS(E793:E812,E793:E812,"&lt;=" &amp; N41)</f>
        <v>-2.5318591013778018E-2</v>
      </c>
      <c r="P41">
        <v>241.01820609666288</v>
      </c>
      <c r="Q41">
        <v>26.790800000000001</v>
      </c>
      <c r="R41">
        <f t="shared" si="2"/>
        <v>184.06682589384593</v>
      </c>
      <c r="S41">
        <v>1.9084581586317775E-2</v>
      </c>
      <c r="T41">
        <v>12.7</v>
      </c>
    </row>
    <row r="42" spans="1:144" s="3" customFormat="1" x14ac:dyDescent="0.35">
      <c r="A42" s="3" t="s">
        <v>17</v>
      </c>
      <c r="B42" s="3" cm="1">
        <f t="array" ref="B42">_xlfn.STDEV.S(_xlfn._xlws.FILTER($E$2:$E$1000, $A$2:$A$1000="2010-03"))</f>
        <v>7.7746000487525987E-3</v>
      </c>
      <c r="C42" s="3" cm="1">
        <f t="array" ref="C42">_xlfn.STDEV.S(_xlfn._xlws.FILTER($E$2:$E$1000, $A$2:$A$1000="2010-03"))</f>
        <v>7.7746000487525987E-3</v>
      </c>
      <c r="D42" s="3" cm="1">
        <f t="array" ref="D42">_xlfn.PERCENTILE.EXC(_xlfn._xlws.FILTER($E$42:$E$64, $A$42:$A$64="2010-03"), 0.05)</f>
        <v>-8.1900687105120797E-3</v>
      </c>
      <c r="E42" s="3">
        <v>1.1912631627927552E-2</v>
      </c>
      <c r="F42" s="3">
        <f t="shared" si="0"/>
        <v>-2.4727037863613497E-2</v>
      </c>
      <c r="G42" s="3">
        <f t="shared" si="1"/>
        <v>-3.7371124404737631E-2</v>
      </c>
      <c r="J42" s="4" t="s">
        <v>54</v>
      </c>
      <c r="K42" s="3">
        <f>B813</f>
        <v>1.4375219878184839E-2</v>
      </c>
      <c r="L42" s="3">
        <f>C813</f>
        <v>4.2415086066481672E-3</v>
      </c>
      <c r="M42">
        <f t="shared" si="3"/>
        <v>1.4433728589472863E-2</v>
      </c>
      <c r="N42" s="3">
        <f>D813</f>
        <v>-2.2276640930490369E-2</v>
      </c>
      <c r="O42" s="3">
        <f>AVERAGEIFS(E813:E833,E813:E833,"&lt;=" &amp; N42)</f>
        <v>-2.3068894488482126E-2</v>
      </c>
      <c r="P42" s="3">
        <v>199.69656267358627</v>
      </c>
      <c r="Q42" s="3">
        <v>26.659420000000001</v>
      </c>
      <c r="R42">
        <f t="shared" si="2"/>
        <v>241.01820609666288</v>
      </c>
      <c r="S42">
        <v>1.4433728589472863E-2</v>
      </c>
      <c r="T42" s="3">
        <v>13.52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</row>
    <row r="43" spans="1:144" x14ac:dyDescent="0.35">
      <c r="A43" t="s">
        <v>17</v>
      </c>
      <c r="E43">
        <v>5.1744808888607172E-3</v>
      </c>
      <c r="F43">
        <f t="shared" si="0"/>
        <v>-2.4732226967826974E-2</v>
      </c>
      <c r="G43">
        <f t="shared" si="1"/>
        <v>-3.7371124404737631E-2</v>
      </c>
      <c r="J43" s="2" t="s">
        <v>55</v>
      </c>
      <c r="K43">
        <f>B834</f>
        <v>1.3603035274399326E-2</v>
      </c>
      <c r="L43">
        <f>C834</f>
        <v>1.3137811190512157E-3</v>
      </c>
      <c r="M43">
        <f t="shared" si="3"/>
        <v>1.4375219878184839E-2</v>
      </c>
      <c r="N43">
        <f>D834</f>
        <v>-3.0345728934825969E-2</v>
      </c>
      <c r="O43">
        <f>AVERAGEIFS(E834:E853,E834:E853,"&lt;=" &amp; N43)</f>
        <v>-3.1086711431077902E-2</v>
      </c>
      <c r="P43">
        <v>130.02479517251641</v>
      </c>
      <c r="Q43">
        <v>25.429390000000001</v>
      </c>
      <c r="R43">
        <f t="shared" si="2"/>
        <v>199.69656267358627</v>
      </c>
      <c r="S43">
        <v>1.4375219878184839E-2</v>
      </c>
      <c r="T43">
        <v>16.3</v>
      </c>
    </row>
    <row r="44" spans="1:144" x14ac:dyDescent="0.35">
      <c r="A44" t="s">
        <v>17</v>
      </c>
      <c r="E44">
        <v>1.4529002366121348E-2</v>
      </c>
      <c r="F44">
        <f t="shared" si="0"/>
        <v>-2.4737416072040455E-2</v>
      </c>
      <c r="G44">
        <f t="shared" si="1"/>
        <v>-3.7371124404737631E-2</v>
      </c>
      <c r="J44" s="2" t="s">
        <v>56</v>
      </c>
      <c r="K44">
        <f>B854</f>
        <v>1.2631649240086534E-2</v>
      </c>
      <c r="L44">
        <f>C854</f>
        <v>-6.0925674274274425E-3</v>
      </c>
      <c r="M44">
        <f t="shared" si="3"/>
        <v>1.3603035274399326E-2</v>
      </c>
      <c r="N44">
        <f>D854</f>
        <v>-3.1179505030441344E-2</v>
      </c>
      <c r="O44">
        <f>AVERAGEIFS(E854:E873,E854:E873,"&lt;=" &amp; N44)</f>
        <v>-3.1418563172459224E-2</v>
      </c>
      <c r="P44">
        <v>134.50194626251573</v>
      </c>
      <c r="Q44">
        <v>28.373660000000001</v>
      </c>
      <c r="R44">
        <f t="shared" si="2"/>
        <v>130.02479517251641</v>
      </c>
      <c r="S44">
        <v>1.3603035274399326E-2</v>
      </c>
      <c r="T44">
        <v>16.86</v>
      </c>
    </row>
    <row r="45" spans="1:144" x14ac:dyDescent="0.35">
      <c r="A45" t="s">
        <v>17</v>
      </c>
      <c r="E45">
        <v>4.5653149908484059E-3</v>
      </c>
      <c r="F45">
        <f t="shared" si="0"/>
        <v>-2.4742605176253936E-2</v>
      </c>
      <c r="G45">
        <f t="shared" si="1"/>
        <v>-3.7371124404737631E-2</v>
      </c>
      <c r="J45" s="2" t="s">
        <v>57</v>
      </c>
      <c r="K45">
        <f>B874</f>
        <v>1.2399295334540541E-2</v>
      </c>
      <c r="L45">
        <f>C874</f>
        <v>3.4092959284665707E-3</v>
      </c>
      <c r="M45">
        <f t="shared" si="3"/>
        <v>1.2631649240086534E-2</v>
      </c>
      <c r="N45">
        <f>D874</f>
        <v>-1.7184172903072965E-2</v>
      </c>
      <c r="O45">
        <f>AVERAGEIFS(E874:E896,E874:E896,"&lt;=" &amp; N45)</f>
        <v>-1.7514416253616966E-2</v>
      </c>
      <c r="P45">
        <v>172.21577239699857</v>
      </c>
      <c r="Q45">
        <v>25.309899999999999</v>
      </c>
      <c r="R45">
        <f t="shared" si="2"/>
        <v>134.50194626251573</v>
      </c>
      <c r="S45">
        <v>1.2631649240086534E-2</v>
      </c>
      <c r="T45">
        <v>13.45</v>
      </c>
    </row>
    <row r="46" spans="1:144" x14ac:dyDescent="0.35">
      <c r="A46" t="s">
        <v>17</v>
      </c>
      <c r="E46">
        <v>1.9653110596781678E-2</v>
      </c>
      <c r="F46">
        <f t="shared" si="0"/>
        <v>-2.4747794280467413E-2</v>
      </c>
      <c r="G46">
        <f t="shared" si="1"/>
        <v>-3.7371124404737631E-2</v>
      </c>
      <c r="J46" s="2" t="s">
        <v>58</v>
      </c>
      <c r="K46">
        <f>B897</f>
        <v>1.6202304484128849E-2</v>
      </c>
      <c r="L46">
        <f>C897</f>
        <v>6.026385378067829E-4</v>
      </c>
      <c r="M46">
        <f t="shared" si="3"/>
        <v>1.2399295334540541E-2</v>
      </c>
      <c r="N46">
        <f>D897</f>
        <v>-4.3956959895367943E-2</v>
      </c>
      <c r="O46">
        <f>AVERAGEIFS(E897:E916,E897:E916,"&lt;=" &amp; N46)</f>
        <v>-4.496063381183215E-2</v>
      </c>
      <c r="P46">
        <v>126.31225467787539</v>
      </c>
      <c r="Q46">
        <v>31.001010000000001</v>
      </c>
      <c r="R46">
        <f t="shared" si="2"/>
        <v>172.21577239699857</v>
      </c>
      <c r="S46">
        <v>1.2399295334540541E-2</v>
      </c>
      <c r="T46">
        <v>17.010000000000002</v>
      </c>
    </row>
    <row r="47" spans="1:144" x14ac:dyDescent="0.35">
      <c r="A47" t="s">
        <v>17</v>
      </c>
      <c r="E47">
        <v>5.3760140652508673E-3</v>
      </c>
      <c r="F47">
        <f t="shared" si="0"/>
        <v>-2.4752983384680894E-2</v>
      </c>
      <c r="G47">
        <f t="shared" si="1"/>
        <v>-3.7371124404737631E-2</v>
      </c>
      <c r="J47" s="2" t="s">
        <v>59</v>
      </c>
      <c r="K47">
        <f>B917</f>
        <v>9.637041411776303E-3</v>
      </c>
      <c r="L47">
        <f>C917</f>
        <v>2.1013699100699622E-3</v>
      </c>
      <c r="M47">
        <f t="shared" si="3"/>
        <v>1.6202304484128849E-2</v>
      </c>
      <c r="N47">
        <f>D917</f>
        <v>-1.3514218844482779E-2</v>
      </c>
      <c r="O47">
        <f>AVERAGEIFS(E917:E937,E917:E937,"&lt;=" &amp; N47)</f>
        <v>-1.3599498577825627E-2</v>
      </c>
      <c r="P47">
        <v>170.23085290357875</v>
      </c>
      <c r="Q47">
        <v>26.318200000000001</v>
      </c>
      <c r="R47">
        <f t="shared" si="2"/>
        <v>126.31225467787539</v>
      </c>
      <c r="S47">
        <v>1.6202304484128849E-2</v>
      </c>
      <c r="T47">
        <v>16.600000000000001</v>
      </c>
    </row>
    <row r="48" spans="1:144" x14ac:dyDescent="0.35">
      <c r="A48" t="s">
        <v>17</v>
      </c>
      <c r="E48">
        <v>-1.8952497304542937E-3</v>
      </c>
      <c r="F48">
        <f t="shared" si="0"/>
        <v>-2.4758172488894371E-2</v>
      </c>
      <c r="G48">
        <f t="shared" si="1"/>
        <v>-3.7371124404737631E-2</v>
      </c>
      <c r="J48" s="2" t="s">
        <v>60</v>
      </c>
      <c r="K48">
        <f>B938</f>
        <v>1.1745704373991491E-2</v>
      </c>
      <c r="L48">
        <f>C938</f>
        <v>4.5347530039970803E-3</v>
      </c>
      <c r="M48">
        <f t="shared" si="3"/>
        <v>9.637041411776303E-3</v>
      </c>
      <c r="N48">
        <f>D938</f>
        <v>-2.2204746694548926E-2</v>
      </c>
      <c r="O48">
        <f>AVERAGEIFS(E938:E960,E938:E960,"&lt;=" &amp; N48)</f>
        <v>-2.4098269238272213E-2</v>
      </c>
      <c r="P48">
        <v>153.34207709728366</v>
      </c>
      <c r="Q48">
        <v>21.606089999999998</v>
      </c>
      <c r="R48">
        <f t="shared" si="2"/>
        <v>170.23085290357875</v>
      </c>
      <c r="S48">
        <v>9.637041411776303E-3</v>
      </c>
      <c r="T48">
        <v>13.75</v>
      </c>
    </row>
    <row r="49" spans="1:27" x14ac:dyDescent="0.35">
      <c r="A49" t="s">
        <v>17</v>
      </c>
      <c r="E49">
        <v>1.257282735861626E-2</v>
      </c>
      <c r="F49">
        <f t="shared" si="0"/>
        <v>-2.4763361593107852E-2</v>
      </c>
      <c r="G49">
        <f t="shared" si="1"/>
        <v>-3.7371124404737631E-2</v>
      </c>
      <c r="J49" s="2" t="s">
        <v>61</v>
      </c>
      <c r="K49">
        <f>B961</f>
        <v>1.0361245284195202E-2</v>
      </c>
      <c r="L49">
        <f>C961</f>
        <v>-8.1914773541236284E-4</v>
      </c>
      <c r="M49">
        <f t="shared" si="3"/>
        <v>1.1745704373991491E-2</v>
      </c>
      <c r="N49">
        <f>D961</f>
        <v>-2.0631574944213811E-2</v>
      </c>
      <c r="O49">
        <f>AVERAGEIFS(E961:E981,E961:E981,"&lt;=" &amp; N49)</f>
        <v>-2.0936652989130774E-2</v>
      </c>
      <c r="P49">
        <v>187.17674543804279</v>
      </c>
      <c r="Q49">
        <v>19.903759999999998</v>
      </c>
      <c r="R49">
        <f t="shared" si="2"/>
        <v>153.34207709728366</v>
      </c>
      <c r="S49">
        <v>1.1745704373991491E-2</v>
      </c>
      <c r="T49">
        <v>13.7</v>
      </c>
    </row>
    <row r="50" spans="1:27" x14ac:dyDescent="0.35">
      <c r="A50" t="s">
        <v>17</v>
      </c>
      <c r="E50">
        <v>-4.3294039447725197E-3</v>
      </c>
      <c r="F50">
        <f t="shared" si="0"/>
        <v>-2.4768550697321333E-2</v>
      </c>
      <c r="G50">
        <f t="shared" si="1"/>
        <v>-3.7371124404737631E-2</v>
      </c>
      <c r="J50" s="2" t="s">
        <v>62</v>
      </c>
      <c r="K50">
        <f>B982</f>
        <v>1.3069350169804836E-2</v>
      </c>
      <c r="L50">
        <f>C982</f>
        <v>-1.5726706555503742E-4</v>
      </c>
      <c r="M50">
        <f t="shared" si="3"/>
        <v>1.0361245284195202E-2</v>
      </c>
      <c r="N50">
        <f>D982</f>
        <v>-1.7934795044482067E-2</v>
      </c>
      <c r="O50">
        <f>AVERAGEIFS(E982:E999,E982:E999,"&lt;=" &amp; N50)</f>
        <v>-1.9721221555108397E-2</v>
      </c>
      <c r="P50">
        <v>94.338459199038809</v>
      </c>
      <c r="Q50">
        <v>23.81176</v>
      </c>
      <c r="R50">
        <f t="shared" si="2"/>
        <v>187.17674543804279</v>
      </c>
      <c r="S50">
        <v>1.0361245284195202E-2</v>
      </c>
      <c r="T50">
        <v>13.72</v>
      </c>
      <c r="V50" t="s">
        <v>225</v>
      </c>
    </row>
    <row r="51" spans="1:27" ht="15" thickBot="1" x14ac:dyDescent="0.4">
      <c r="A51" t="s">
        <v>17</v>
      </c>
      <c r="E51">
        <v>1.0792347261030445E-3</v>
      </c>
      <c r="F51">
        <f t="shared" si="0"/>
        <v>-2.477373980153481E-2</v>
      </c>
      <c r="G51">
        <f t="shared" si="1"/>
        <v>-3.7371124404737631E-2</v>
      </c>
      <c r="J51" s="2" t="s">
        <v>63</v>
      </c>
      <c r="K51">
        <f>B1000</f>
        <v>8.2320956432559728E-3</v>
      </c>
      <c r="L51">
        <f>C1000</f>
        <v>1.0672691174232658E-3</v>
      </c>
      <c r="M51">
        <f t="shared" si="3"/>
        <v>1.3069350169804836E-2</v>
      </c>
      <c r="N51">
        <f>D1000</f>
        <v>-2.1048706935085263E-2</v>
      </c>
      <c r="O51">
        <f>AVERAGEIFS(E1000:E1021,E1000:E1021,"&lt;=" &amp; N51)</f>
        <v>-2.3259605250318713E-2</v>
      </c>
      <c r="P51">
        <v>116.01047551371981</v>
      </c>
      <c r="Q51">
        <v>29.466290000000001</v>
      </c>
      <c r="R51">
        <f t="shared" si="2"/>
        <v>94.338459199038809</v>
      </c>
      <c r="S51">
        <v>1.3069350169804836E-2</v>
      </c>
      <c r="T51">
        <v>18.41</v>
      </c>
    </row>
    <row r="52" spans="1:27" x14ac:dyDescent="0.35">
      <c r="A52" t="s">
        <v>17</v>
      </c>
      <c r="E52">
        <v>-8.5432984765582178E-3</v>
      </c>
      <c r="F52">
        <f t="shared" si="0"/>
        <v>-2.4778928905748291E-2</v>
      </c>
      <c r="G52">
        <f t="shared" si="1"/>
        <v>-3.7371124404737631E-2</v>
      </c>
      <c r="J52" s="2" t="s">
        <v>64</v>
      </c>
      <c r="K52">
        <f>B1022</f>
        <v>9.8731401690601867E-3</v>
      </c>
      <c r="L52">
        <f>C1022</f>
        <v>2.5696842064880012E-3</v>
      </c>
      <c r="M52">
        <f t="shared" si="3"/>
        <v>8.2320956432559728E-3</v>
      </c>
      <c r="N52">
        <f>D1022</f>
        <v>-2.5532824785016395E-2</v>
      </c>
      <c r="O52">
        <f>AVERAGEIFS(E1022:E1041,E1022:E1041,"&lt;=" &amp; N52)</f>
        <v>-2.66772940177048E-2</v>
      </c>
      <c r="P52">
        <v>136.19007171624747</v>
      </c>
      <c r="Q52">
        <v>23.15146</v>
      </c>
      <c r="R52">
        <f t="shared" si="2"/>
        <v>116.01047551371981</v>
      </c>
      <c r="S52">
        <v>8.2320956432559728E-3</v>
      </c>
      <c r="T52">
        <v>14</v>
      </c>
      <c r="V52" s="8" t="s">
        <v>226</v>
      </c>
      <c r="W52" s="8"/>
    </row>
    <row r="53" spans="1:27" x14ac:dyDescent="0.35">
      <c r="A53" t="s">
        <v>17</v>
      </c>
      <c r="E53">
        <v>1.0962684479640919E-2</v>
      </c>
      <c r="F53">
        <f t="shared" si="0"/>
        <v>-2.4784118009961768E-2</v>
      </c>
      <c r="G53">
        <f t="shared" si="1"/>
        <v>-3.7371124404737631E-2</v>
      </c>
      <c r="J53" s="2" t="s">
        <v>65</v>
      </c>
      <c r="K53">
        <f>B1042</f>
        <v>1.4948323940459692E-2</v>
      </c>
      <c r="L53">
        <f>C1042</f>
        <v>2.825151263084432E-3</v>
      </c>
      <c r="M53">
        <f t="shared" si="3"/>
        <v>9.8731401690601867E-3</v>
      </c>
      <c r="N53">
        <f>D1042</f>
        <v>-3.2232806775445863E-2</v>
      </c>
      <c r="O53">
        <f>AVERAGEIFS(E1042:E1062,E1042:E1062,"&lt;=" &amp; N53)</f>
        <v>-3.3967660514115601E-2</v>
      </c>
      <c r="P53">
        <v>128.51749671647175</v>
      </c>
      <c r="Q53">
        <v>24.326720000000002</v>
      </c>
      <c r="R53">
        <f t="shared" si="2"/>
        <v>136.19007171624747</v>
      </c>
      <c r="S53">
        <v>9.8731401690601867E-3</v>
      </c>
      <c r="T53">
        <v>13.88</v>
      </c>
      <c r="V53" t="s">
        <v>227</v>
      </c>
      <c r="W53">
        <v>0.36037598628810374</v>
      </c>
    </row>
    <row r="54" spans="1:27" x14ac:dyDescent="0.35">
      <c r="A54" t="s">
        <v>17</v>
      </c>
      <c r="E54">
        <v>1.2421728603315875E-2</v>
      </c>
      <c r="F54">
        <f t="shared" si="0"/>
        <v>-2.4789307114175249E-2</v>
      </c>
      <c r="G54">
        <f t="shared" si="1"/>
        <v>-3.7371124404737631E-2</v>
      </c>
      <c r="J54" s="2" t="s">
        <v>66</v>
      </c>
      <c r="K54">
        <f>B1063</f>
        <v>1.4607839844917552E-2</v>
      </c>
      <c r="L54">
        <f>C1063</f>
        <v>2.1037263670113624E-4</v>
      </c>
      <c r="M54">
        <f t="shared" si="3"/>
        <v>1.4948323940459692E-2</v>
      </c>
      <c r="N54">
        <f>D1063</f>
        <v>-2.3290642458531491E-2</v>
      </c>
      <c r="O54">
        <f>AVERAGEIFS(E1063:E1082,E1063:E1082,"&lt;=" &amp; N54)</f>
        <v>-2.359690850161025E-2</v>
      </c>
      <c r="P54">
        <v>102.5639684539114</v>
      </c>
      <c r="Q54">
        <v>23.671060000000001</v>
      </c>
      <c r="R54">
        <f t="shared" si="2"/>
        <v>128.51749671647175</v>
      </c>
      <c r="S54">
        <v>1.4948323940459692E-2</v>
      </c>
      <c r="T54">
        <v>13.41</v>
      </c>
      <c r="V54" t="s">
        <v>228</v>
      </c>
      <c r="W54">
        <v>0.12987085149312352</v>
      </c>
      <c r="Y54" t="s">
        <v>378</v>
      </c>
    </row>
    <row r="55" spans="1:27" x14ac:dyDescent="0.35">
      <c r="A55" t="s">
        <v>17</v>
      </c>
      <c r="E55">
        <v>-5.1405599969193251E-3</v>
      </c>
      <c r="F55">
        <f t="shared" si="0"/>
        <v>-2.479449621838873E-2</v>
      </c>
      <c r="G55">
        <f t="shared" si="1"/>
        <v>-3.7371124404737631E-2</v>
      </c>
      <c r="J55" s="2" t="s">
        <v>67</v>
      </c>
      <c r="K55">
        <f>B1083</f>
        <v>1.6047675172626442E-2</v>
      </c>
      <c r="L55">
        <f>C1083</f>
        <v>-3.726032178969752E-4</v>
      </c>
      <c r="M55">
        <f t="shared" si="3"/>
        <v>1.4607839844917552E-2</v>
      </c>
      <c r="N55">
        <f>D1083</f>
        <v>-3.6778299259635633E-2</v>
      </c>
      <c r="O55">
        <f>AVERAGEIFS(E1083:E1101,E1083:E1101,"&lt;=" &amp; N55)</f>
        <v>-3.6778299259635633E-2</v>
      </c>
      <c r="P55">
        <v>105.47377658482908</v>
      </c>
      <c r="Q55">
        <v>21.531639999999999</v>
      </c>
      <c r="R55">
        <f t="shared" si="2"/>
        <v>102.5639684539114</v>
      </c>
      <c r="S55">
        <v>1.4607839844917552E-2</v>
      </c>
      <c r="T55">
        <v>11.4</v>
      </c>
      <c r="V55" t="s">
        <v>228</v>
      </c>
      <c r="W55">
        <v>0.12508992210572309</v>
      </c>
    </row>
    <row r="56" spans="1:27" x14ac:dyDescent="0.35">
      <c r="A56" t="s">
        <v>17</v>
      </c>
      <c r="E56">
        <v>-4.3037114134327203E-3</v>
      </c>
      <c r="F56">
        <f t="shared" si="0"/>
        <v>-2.4799685322602207E-2</v>
      </c>
      <c r="G56">
        <f t="shared" si="1"/>
        <v>-3.7371124404737631E-2</v>
      </c>
      <c r="J56" s="2" t="s">
        <v>68</v>
      </c>
      <c r="K56">
        <f>B1102</f>
        <v>8.1123883288985316E-3</v>
      </c>
      <c r="L56">
        <f>C1102</f>
        <v>-7.6941861976324226E-4</v>
      </c>
      <c r="M56">
        <f t="shared" si="3"/>
        <v>1.6047675172626442E-2</v>
      </c>
      <c r="N56">
        <f>D1102</f>
        <v>-1.3335659664974613E-2</v>
      </c>
      <c r="O56">
        <f>AVERAGEIFS(E1102:E1122,E1102:E1122,"&lt;=" &amp; N56)</f>
        <v>-1.3430192548552633E-2</v>
      </c>
      <c r="P56">
        <v>104.60302906318174</v>
      </c>
      <c r="Q56">
        <v>20.90326</v>
      </c>
      <c r="R56">
        <f t="shared" si="2"/>
        <v>105.47377658482908</v>
      </c>
      <c r="S56">
        <v>1.6047675172626442E-2</v>
      </c>
      <c r="T56">
        <v>11.57</v>
      </c>
      <c r="V56" t="s">
        <v>229</v>
      </c>
      <c r="W56">
        <v>1.5083143873340633E-2</v>
      </c>
    </row>
    <row r="57" spans="1:27" ht="15" thickBot="1" x14ac:dyDescent="0.4">
      <c r="A57" t="s">
        <v>17</v>
      </c>
      <c r="E57">
        <v>-2.8466072383312719E-3</v>
      </c>
      <c r="F57">
        <f t="shared" si="0"/>
        <v>-2.4804874426815688E-2</v>
      </c>
      <c r="G57">
        <f t="shared" si="1"/>
        <v>-3.7371124404737631E-2</v>
      </c>
      <c r="J57" s="2" t="s">
        <v>69</v>
      </c>
      <c r="K57">
        <f>B1123</f>
        <v>1.5314294746461456E-2</v>
      </c>
      <c r="L57">
        <f>C1123</f>
        <v>-1.4798890024821613E-3</v>
      </c>
      <c r="M57">
        <f t="shared" si="3"/>
        <v>8.1123883288985316E-3</v>
      </c>
      <c r="N57">
        <f>D1123</f>
        <v>-2.6311367142456604E-2</v>
      </c>
      <c r="O57">
        <f>AVERAGEIFS(E1123:E1145,E1123:E1145,"&lt;=" &amp; N57)</f>
        <v>-2.7289700875964936E-2</v>
      </c>
      <c r="P57">
        <v>110.70175213162423</v>
      </c>
      <c r="Q57">
        <v>25.594930000000002</v>
      </c>
      <c r="R57">
        <f t="shared" si="2"/>
        <v>104.60302906318174</v>
      </c>
      <c r="S57">
        <v>8.1123883288985316E-3</v>
      </c>
      <c r="T57">
        <v>16.95</v>
      </c>
      <c r="V57" s="6" t="s">
        <v>230</v>
      </c>
      <c r="W57" s="6">
        <v>184</v>
      </c>
    </row>
    <row r="58" spans="1:27" x14ac:dyDescent="0.35">
      <c r="A58" t="s">
        <v>17</v>
      </c>
      <c r="E58">
        <v>6.3046738037973752E-3</v>
      </c>
      <c r="F58">
        <f t="shared" si="0"/>
        <v>-2.4810063531029165E-2</v>
      </c>
      <c r="G58">
        <f t="shared" si="1"/>
        <v>-3.7371124404737631E-2</v>
      </c>
      <c r="J58" s="2" t="s">
        <v>70</v>
      </c>
      <c r="K58">
        <f>B1146</f>
        <v>1.4976615009147118E-2</v>
      </c>
      <c r="L58">
        <f>C1146</f>
        <v>-3.0872375875536876E-4</v>
      </c>
      <c r="M58">
        <f t="shared" si="3"/>
        <v>1.5314294746461456E-2</v>
      </c>
      <c r="N58">
        <f>D1146</f>
        <v>-2.7419919740152749E-2</v>
      </c>
      <c r="O58">
        <f>AVERAGEIFS(E1146:E1164,E1146:E1164,"&lt;=" &amp; N58)</f>
        <v>-2.7419919740152749E-2</v>
      </c>
      <c r="P58">
        <v>78.323611840616962</v>
      </c>
      <c r="Q58">
        <v>22.59468</v>
      </c>
      <c r="R58">
        <f t="shared" si="2"/>
        <v>110.70175213162423</v>
      </c>
      <c r="S58">
        <v>1.5314294746461456E-2</v>
      </c>
      <c r="T58">
        <v>11.98</v>
      </c>
    </row>
    <row r="59" spans="1:27" ht="15" thickBot="1" x14ac:dyDescent="0.4">
      <c r="A59" t="s">
        <v>17</v>
      </c>
      <c r="E59">
        <v>1.4401536662912752E-3</v>
      </c>
      <c r="F59">
        <f t="shared" si="0"/>
        <v>-2.4815252635242646E-2</v>
      </c>
      <c r="G59">
        <f t="shared" si="1"/>
        <v>-3.7371124404737631E-2</v>
      </c>
      <c r="J59" s="2" t="s">
        <v>71</v>
      </c>
      <c r="K59">
        <f>B1165</f>
        <v>1.2692954985408872E-2</v>
      </c>
      <c r="L59">
        <f>C1165</f>
        <v>9.7112421143246775E-4</v>
      </c>
      <c r="M59">
        <f t="shared" si="3"/>
        <v>1.4976615009147118E-2</v>
      </c>
      <c r="N59">
        <f>D1165</f>
        <v>-1.5498890124058116E-2</v>
      </c>
      <c r="O59">
        <f>AVERAGEIFS(E1165:E1186,E1165:E1186,"&lt;=" &amp; N59)</f>
        <v>-1.5696976184820379E-2</v>
      </c>
      <c r="P59">
        <v>135.20099615318983</v>
      </c>
      <c r="Q59">
        <v>22.544530000000002</v>
      </c>
      <c r="R59">
        <f t="shared" si="2"/>
        <v>78.323611840616962</v>
      </c>
      <c r="S59">
        <v>1.4976615009147118E-2</v>
      </c>
      <c r="T59">
        <v>16.309999999999999</v>
      </c>
      <c r="V59" t="s">
        <v>231</v>
      </c>
    </row>
    <row r="60" spans="1:27" x14ac:dyDescent="0.35">
      <c r="A60" t="s">
        <v>17</v>
      </c>
      <c r="E60">
        <v>1.0287838734757974E-2</v>
      </c>
      <c r="F60">
        <f t="shared" si="0"/>
        <v>-2.4820441739456127E-2</v>
      </c>
      <c r="G60">
        <f t="shared" si="1"/>
        <v>-3.7371124404737631E-2</v>
      </c>
      <c r="J60" s="2" t="s">
        <v>72</v>
      </c>
      <c r="K60">
        <f>B1187</f>
        <v>2.0697046992155656E-2</v>
      </c>
      <c r="L60">
        <f>C1187</f>
        <v>-2.4772068624287769E-3</v>
      </c>
      <c r="M60">
        <f t="shared" si="3"/>
        <v>1.2692954985408872E-2</v>
      </c>
      <c r="N60">
        <f>D1187</f>
        <v>-4.4615694853439906E-2</v>
      </c>
      <c r="O60">
        <f>AVERAGEIFS(E1187:E1208,E1187:E1208,"&lt;=" &amp; N60)</f>
        <v>-4.543445173171054E-2</v>
      </c>
      <c r="P60">
        <v>104.25889493839674</v>
      </c>
      <c r="Q60">
        <v>25.459479999999999</v>
      </c>
      <c r="R60">
        <f t="shared" si="2"/>
        <v>135.20099615318983</v>
      </c>
      <c r="S60">
        <v>1.2692954985408872E-2</v>
      </c>
      <c r="T60">
        <v>14.03</v>
      </c>
      <c r="V60" s="7"/>
      <c r="W60" s="7" t="s">
        <v>236</v>
      </c>
      <c r="X60" s="7" t="s">
        <v>237</v>
      </c>
      <c r="Y60" s="7" t="s">
        <v>238</v>
      </c>
      <c r="Z60" s="7" t="s">
        <v>239</v>
      </c>
      <c r="AA60" s="7" t="s">
        <v>240</v>
      </c>
    </row>
    <row r="61" spans="1:27" x14ac:dyDescent="0.35">
      <c r="A61" t="s">
        <v>17</v>
      </c>
      <c r="E61">
        <v>1.2759683047167739E-3</v>
      </c>
      <c r="F61">
        <f t="shared" si="0"/>
        <v>-2.4823777426610724E-2</v>
      </c>
      <c r="G61">
        <f t="shared" si="1"/>
        <v>-3.7438240354819352E-2</v>
      </c>
      <c r="J61" s="2" t="s">
        <v>73</v>
      </c>
      <c r="K61">
        <f>B1209</f>
        <v>1.568440794049443E-2</v>
      </c>
      <c r="L61">
        <f>C1209</f>
        <v>5.7999871945041133E-4</v>
      </c>
      <c r="M61">
        <f t="shared" si="3"/>
        <v>2.0697046992155656E-2</v>
      </c>
      <c r="N61">
        <f>D1209</f>
        <v>-2.8828423663602776E-2</v>
      </c>
      <c r="O61">
        <f>AVERAGEIFS(E1209:E1228,E1209:E1228,"&lt;=" &amp; N61)</f>
        <v>-2.9151873430307517E-2</v>
      </c>
      <c r="P61">
        <v>159.69913090432092</v>
      </c>
      <c r="Q61">
        <v>22.414459999999998</v>
      </c>
      <c r="R61">
        <f t="shared" si="2"/>
        <v>104.25889493839674</v>
      </c>
      <c r="S61">
        <v>2.0697046992155656E-2</v>
      </c>
      <c r="T61">
        <v>13.33</v>
      </c>
      <c r="V61" t="s">
        <v>232</v>
      </c>
      <c r="W61">
        <v>1</v>
      </c>
      <c r="X61">
        <v>6.1799235975580832E-3</v>
      </c>
      <c r="Y61">
        <v>6.1799235975580832E-3</v>
      </c>
      <c r="Z61">
        <v>27.164352570314669</v>
      </c>
      <c r="AA61">
        <v>5.0358886913868131E-7</v>
      </c>
    </row>
    <row r="62" spans="1:27" x14ac:dyDescent="0.35">
      <c r="A62" t="s">
        <v>17</v>
      </c>
      <c r="E62">
        <v>1.7804220706831634E-3</v>
      </c>
      <c r="F62">
        <f t="shared" si="0"/>
        <v>-2.4827113113765321E-2</v>
      </c>
      <c r="G62">
        <f t="shared" si="1"/>
        <v>-3.7438240354819352E-2</v>
      </c>
      <c r="J62" s="2" t="s">
        <v>74</v>
      </c>
      <c r="K62">
        <f>B1229</f>
        <v>1.9860784627277278E-2</v>
      </c>
      <c r="L62">
        <f>C1229</f>
        <v>-2.7055128596761356E-3</v>
      </c>
      <c r="M62">
        <f t="shared" si="3"/>
        <v>1.568440794049443E-2</v>
      </c>
      <c r="N62">
        <f>D1229</f>
        <v>-3.1759803268126233E-2</v>
      </c>
      <c r="O62">
        <f>AVERAGEIFS(E1229:E1247,E1229:E1247,"&lt;=" &amp; N62)</f>
        <v>-3.1759803268126233E-2</v>
      </c>
      <c r="P62">
        <v>120.30161379733218</v>
      </c>
      <c r="Q62">
        <v>31.836269999999999</v>
      </c>
      <c r="R62">
        <f t="shared" si="2"/>
        <v>159.69913090432092</v>
      </c>
      <c r="S62">
        <v>1.568440794049443E-2</v>
      </c>
      <c r="T62">
        <v>19.2</v>
      </c>
      <c r="V62" t="s">
        <v>233</v>
      </c>
      <c r="W62">
        <v>182</v>
      </c>
      <c r="X62">
        <v>4.1405223696908536E-2</v>
      </c>
      <c r="Y62">
        <v>2.2750122910389305E-4</v>
      </c>
    </row>
    <row r="63" spans="1:27" ht="15" thickBot="1" x14ac:dyDescent="0.4">
      <c r="A63" t="s">
        <v>17</v>
      </c>
      <c r="E63">
        <v>-4.4083231237020985E-3</v>
      </c>
      <c r="F63">
        <f t="shared" si="0"/>
        <v>-2.4830448800919915E-2</v>
      </c>
      <c r="G63">
        <f t="shared" si="1"/>
        <v>-3.7438240354819352E-2</v>
      </c>
      <c r="J63" s="2" t="s">
        <v>75</v>
      </c>
      <c r="K63">
        <f>B1248</f>
        <v>1.9775558262265836E-2</v>
      </c>
      <c r="L63">
        <f>C1248</f>
        <v>3.5962617041456874E-3</v>
      </c>
      <c r="M63">
        <f t="shared" si="3"/>
        <v>1.9860784627277278E-2</v>
      </c>
      <c r="N63">
        <f>D1248</f>
        <v>-4.8762651517772204E-2</v>
      </c>
      <c r="O63">
        <f>AVERAGEIFS(E1248:E1268,E1248:E1268,"&lt;=" &amp; N63)</f>
        <v>-5.0485147132839504E-2</v>
      </c>
      <c r="P63">
        <v>99.27145741657985</v>
      </c>
      <c r="Q63">
        <v>27.916350000000001</v>
      </c>
      <c r="R63">
        <f t="shared" si="2"/>
        <v>120.30161379733218</v>
      </c>
      <c r="S63">
        <v>1.9860784627277278E-2</v>
      </c>
      <c r="T63">
        <v>20.97</v>
      </c>
      <c r="V63" s="6" t="s">
        <v>234</v>
      </c>
      <c r="W63" s="6">
        <v>183</v>
      </c>
      <c r="X63" s="6">
        <v>4.7585147294466619E-2</v>
      </c>
      <c r="Y63" s="6"/>
      <c r="Z63" s="6"/>
      <c r="AA63" s="6"/>
    </row>
    <row r="64" spans="1:27" ht="15" thickBot="1" x14ac:dyDescent="0.4">
      <c r="A64" t="s">
        <v>17</v>
      </c>
      <c r="E64">
        <v>-6.7771496463275302E-3</v>
      </c>
      <c r="F64">
        <f t="shared" si="0"/>
        <v>-2.4833784488074512E-2</v>
      </c>
      <c r="G64">
        <f t="shared" si="1"/>
        <v>-3.7438240354819352E-2</v>
      </c>
      <c r="J64" s="2" t="s">
        <v>76</v>
      </c>
      <c r="K64">
        <f>B1269</f>
        <v>1.1144808021464305E-2</v>
      </c>
      <c r="L64">
        <f>C1269</f>
        <v>4.2845056225755667E-3</v>
      </c>
      <c r="M64">
        <f t="shared" si="3"/>
        <v>1.9775558262265836E-2</v>
      </c>
      <c r="N64">
        <f>D1269</f>
        <v>-1.8689191229195275E-2</v>
      </c>
      <c r="O64">
        <f>AVERAGEIFS(E1269:E1288,E1269:E1288,"&lt;=" &amp; N64)</f>
        <v>-1.9165434954851082E-2</v>
      </c>
      <c r="P64">
        <v>85.669578942883007</v>
      </c>
      <c r="Q64">
        <v>19.87426</v>
      </c>
      <c r="R64">
        <f t="shared" si="2"/>
        <v>99.27145741657985</v>
      </c>
      <c r="S64">
        <v>1.9775558262265836E-2</v>
      </c>
      <c r="T64">
        <v>13.34</v>
      </c>
    </row>
    <row r="65" spans="1:144" s="3" customFormat="1" x14ac:dyDescent="0.35">
      <c r="A65" s="3" t="s">
        <v>18</v>
      </c>
      <c r="B65" s="3" cm="1">
        <f t="array" ref="B65">_xlfn.STDEV.S(_xlfn._xlws.FILTER($E$2:$E$1000, $A$2:$A$1000="2010-04"))</f>
        <v>1.4785630807333394E-2</v>
      </c>
      <c r="C65" s="3" cm="1">
        <f t="array" ref="C65">_xlfn.STDEV.S(_xlfn._xlws.FILTER($E$2:$E$1000, $A$2:$A$1000="2010-04"))</f>
        <v>1.4785630807333394E-2</v>
      </c>
      <c r="D65" s="3" cm="1">
        <f t="array" ref="D65">_xlfn.PERCENTILE.EXC(_xlfn._xlws.FILTER($E$65:$E$84, $A$65:$A$84="2010-04"), 0.05)</f>
        <v>-3.2890712253285548E-2</v>
      </c>
      <c r="E65" s="3">
        <v>1.557703331026818E-2</v>
      </c>
      <c r="F65" s="3">
        <f t="shared" si="0"/>
        <v>-2.483712017522911E-2</v>
      </c>
      <c r="G65" s="3">
        <f t="shared" si="1"/>
        <v>-3.7438240354819352E-2</v>
      </c>
      <c r="J65" s="4" t="s">
        <v>77</v>
      </c>
      <c r="K65" s="3">
        <f>B1289</f>
        <v>9.9079628543695935E-3</v>
      </c>
      <c r="L65" s="3">
        <f>C1289</f>
        <v>1.637383163046987E-3</v>
      </c>
      <c r="M65">
        <f t="shared" si="3"/>
        <v>1.1144808021464305E-2</v>
      </c>
      <c r="N65" s="3">
        <f>D1289</f>
        <v>-1.3511728280216009E-2</v>
      </c>
      <c r="O65" s="3">
        <f>AVERAGEIFS(E1289:E1310,E1289:E1310,"&lt;=" &amp; N65)</f>
        <v>-1.4019493121819002E-2</v>
      </c>
      <c r="P65" s="3">
        <v>109.0559028232944</v>
      </c>
      <c r="Q65" s="3">
        <v>22.636510000000001</v>
      </c>
      <c r="R65">
        <f t="shared" si="2"/>
        <v>85.669578942883007</v>
      </c>
      <c r="S65">
        <v>1.1144808021464305E-2</v>
      </c>
      <c r="T65" s="3">
        <v>15.29</v>
      </c>
      <c r="U65"/>
      <c r="V65" s="7"/>
      <c r="W65" s="7" t="s">
        <v>241</v>
      </c>
      <c r="X65" s="7" t="s">
        <v>229</v>
      </c>
      <c r="Y65" s="7" t="s">
        <v>242</v>
      </c>
      <c r="Z65" s="7" t="s">
        <v>243</v>
      </c>
      <c r="AA65" s="7" t="s">
        <v>244</v>
      </c>
      <c r="AB65" s="7" t="s">
        <v>245</v>
      </c>
      <c r="AC65" s="7" t="s">
        <v>246</v>
      </c>
      <c r="AD65" s="7" t="s">
        <v>247</v>
      </c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</row>
    <row r="66" spans="1:144" x14ac:dyDescent="0.35">
      <c r="A66" t="s">
        <v>18</v>
      </c>
      <c r="E66">
        <v>6.0146267570169885E-3</v>
      </c>
      <c r="F66">
        <f t="shared" si="0"/>
        <v>-2.4840455862383707E-2</v>
      </c>
      <c r="G66">
        <f t="shared" si="1"/>
        <v>-3.7438240354819352E-2</v>
      </c>
      <c r="J66" s="2" t="s">
        <v>78</v>
      </c>
      <c r="K66">
        <f>B1311</f>
        <v>1.2365576586859175E-2</v>
      </c>
      <c r="L66">
        <f>C1311</f>
        <v>-2.4154510876379375E-4</v>
      </c>
      <c r="M66">
        <f t="shared" si="3"/>
        <v>9.9079628543695935E-3</v>
      </c>
      <c r="N66">
        <f>D1311</f>
        <v>-2.4234007980894767E-2</v>
      </c>
      <c r="O66">
        <f>AVERAGEIFS(E1311:E1330,E1311:E1330,"&lt;=" &amp; N66)</f>
        <v>-2.4295754522135067E-2</v>
      </c>
      <c r="P66">
        <v>54.126877966934053</v>
      </c>
      <c r="Q66">
        <v>27.152229999999999</v>
      </c>
      <c r="R66">
        <f t="shared" si="2"/>
        <v>109.0559028232944</v>
      </c>
      <c r="S66">
        <v>9.9079628543695935E-3</v>
      </c>
      <c r="T66">
        <v>14.55</v>
      </c>
      <c r="V66" t="s">
        <v>235</v>
      </c>
      <c r="W66">
        <v>-9.7591049960327678E-3</v>
      </c>
      <c r="X66">
        <v>3.607154617920127E-3</v>
      </c>
      <c r="Y66">
        <v>-2.7054856333438333</v>
      </c>
      <c r="Z66">
        <v>7.4685721713490328E-3</v>
      </c>
      <c r="AA66">
        <v>-1.6876324337139634E-2</v>
      </c>
      <c r="AB66">
        <v>-2.6418856549259026E-3</v>
      </c>
      <c r="AC66">
        <v>-1.6876324337139634E-2</v>
      </c>
      <c r="AD66">
        <v>-2.6418856549259026E-3</v>
      </c>
    </row>
    <row r="67" spans="1:144" ht="15" thickBot="1" x14ac:dyDescent="0.4">
      <c r="A67" t="s">
        <v>18</v>
      </c>
      <c r="E67">
        <v>-8.4029987352460499E-3</v>
      </c>
      <c r="F67">
        <f t="shared" si="0"/>
        <v>-2.4843791549538304E-2</v>
      </c>
      <c r="G67">
        <f t="shared" si="1"/>
        <v>-3.7438240354819352E-2</v>
      </c>
      <c r="J67" s="2" t="s">
        <v>79</v>
      </c>
      <c r="K67">
        <f>B1331</f>
        <v>1.3007038425330061E-2</v>
      </c>
      <c r="L67">
        <f>C1331</f>
        <v>1.0747324443662648E-3</v>
      </c>
      <c r="M67">
        <f t="shared" si="3"/>
        <v>1.2365576586859175E-2</v>
      </c>
      <c r="N67">
        <f>D1331</f>
        <v>-1.9499111083468544E-2</v>
      </c>
      <c r="O67">
        <f>AVERAGEIFS(E1331:E1348,E1331:E1348,"&lt;=" &amp; N67)</f>
        <v>-2.0568492286007781E-2</v>
      </c>
      <c r="P67">
        <v>146.4051790740865</v>
      </c>
      <c r="Q67">
        <v>25.82891</v>
      </c>
      <c r="R67">
        <f t="shared" si="2"/>
        <v>54.126877966934053</v>
      </c>
      <c r="S67">
        <v>1.2365576586859175E-2</v>
      </c>
      <c r="T67">
        <v>13.84</v>
      </c>
      <c r="V67" s="6" t="s">
        <v>215</v>
      </c>
      <c r="W67" s="6">
        <v>-1.4318322327488712E-4</v>
      </c>
      <c r="X67" s="6">
        <v>2.7472137754888304E-5</v>
      </c>
      <c r="Y67" s="6">
        <v>-5.211943262384434</v>
      </c>
      <c r="Z67" s="6">
        <v>5.0358886913871858E-7</v>
      </c>
      <c r="AA67" s="6">
        <v>-1.9738806084943565E-4</v>
      </c>
      <c r="AB67" s="6">
        <v>-8.8978385700338585E-5</v>
      </c>
      <c r="AC67" s="6">
        <v>-1.9738806084943565E-4</v>
      </c>
      <c r="AD67" s="6">
        <v>-8.8978385700338585E-5</v>
      </c>
    </row>
    <row r="68" spans="1:144" x14ac:dyDescent="0.35">
      <c r="A68" t="s">
        <v>18</v>
      </c>
      <c r="E68">
        <v>-1.4413151817212788E-2</v>
      </c>
      <c r="F68">
        <f t="shared" ref="F68:F131" si="4">_xlfn.PERCENTILE.EXC(E68:E3883,0.05)</f>
        <v>-2.4847127236692898E-2</v>
      </c>
      <c r="G68">
        <f t="shared" ref="G68:G131" si="5">AVERAGEIFS(E68:E3884,E68:E3884,"&lt;=" &amp; F68)</f>
        <v>-3.7438240354819352E-2</v>
      </c>
      <c r="J68" s="2" t="s">
        <v>80</v>
      </c>
      <c r="K68">
        <f>B1349</f>
        <v>1.7537890925767755E-2</v>
      </c>
      <c r="L68">
        <f>C1349</f>
        <v>-2.0476824499648595E-3</v>
      </c>
      <c r="M68">
        <f t="shared" si="3"/>
        <v>1.3007038425330061E-2</v>
      </c>
      <c r="N68">
        <f>D1349</f>
        <v>-4.8771750748442234E-2</v>
      </c>
      <c r="O68">
        <f>AVERAGEIFS(E1349:E1370,E1349:E1370,"&lt;=" &amp; N68)</f>
        <v>-5.3085952884695177E-2</v>
      </c>
      <c r="P68">
        <v>119.77798777558419</v>
      </c>
      <c r="Q68">
        <v>36.032110000000003</v>
      </c>
      <c r="R68">
        <f t="shared" si="2"/>
        <v>146.4051790740865</v>
      </c>
      <c r="S68">
        <v>1.3007038425330061E-2</v>
      </c>
      <c r="T68">
        <v>18.23</v>
      </c>
    </row>
    <row r="69" spans="1:144" x14ac:dyDescent="0.35">
      <c r="A69" t="s">
        <v>18</v>
      </c>
      <c r="E69">
        <v>1.2362353317355418E-2</v>
      </c>
      <c r="F69">
        <f t="shared" si="4"/>
        <v>-2.4850462923847495E-2</v>
      </c>
      <c r="G69">
        <f t="shared" si="5"/>
        <v>-3.7438240354819352E-2</v>
      </c>
      <c r="J69" s="2" t="s">
        <v>81</v>
      </c>
      <c r="K69">
        <f>B1371</f>
        <v>1.9450891065686135E-2</v>
      </c>
      <c r="L69">
        <f>C1371</f>
        <v>2.0369500184594424E-3</v>
      </c>
      <c r="M69">
        <f t="shared" si="3"/>
        <v>1.7537890925767755E-2</v>
      </c>
      <c r="N69">
        <f>D1371</f>
        <v>-3.8956605794239166E-2</v>
      </c>
      <c r="O69">
        <f>AVERAGEIFS(E1371:E1393,E1371:E1393,"&lt;=" &amp; N69)</f>
        <v>-4.1149929810630592E-2</v>
      </c>
      <c r="P69">
        <v>142.43014946273306</v>
      </c>
      <c r="Q69">
        <v>21.222370000000002</v>
      </c>
      <c r="R69">
        <f t="shared" ref="R69:R132" si="6">P68</f>
        <v>119.77798777558419</v>
      </c>
      <c r="S69">
        <v>1.7537890925767755E-2</v>
      </c>
      <c r="T69">
        <v>12.12</v>
      </c>
    </row>
    <row r="70" spans="1:144" x14ac:dyDescent="0.35">
      <c r="A70" t="s">
        <v>18</v>
      </c>
      <c r="E70">
        <v>8.0947912801076216E-3</v>
      </c>
      <c r="F70">
        <f t="shared" si="4"/>
        <v>-2.4853798611002093E-2</v>
      </c>
      <c r="G70">
        <f t="shared" si="5"/>
        <v>-3.7438240354819352E-2</v>
      </c>
      <c r="J70" s="2" t="s">
        <v>82</v>
      </c>
      <c r="K70">
        <f>B1394</f>
        <v>2.5011986433755479E-2</v>
      </c>
      <c r="L70">
        <f>C1394</f>
        <v>-3.3929771788210792E-3</v>
      </c>
      <c r="M70">
        <f t="shared" ref="M70:M133" si="7">K69</f>
        <v>1.9450891065686135E-2</v>
      </c>
      <c r="N70">
        <f>D1394</f>
        <v>-5.9863236092193808E-2</v>
      </c>
      <c r="O70">
        <f>AVERAGEIFS(E1394:E1413,E1394:E1413,"&lt;=" &amp; N70)</f>
        <v>-6.1433740912047355E-2</v>
      </c>
      <c r="P70">
        <v>114.18858695469855</v>
      </c>
      <c r="Q70">
        <v>34.812840000000001</v>
      </c>
      <c r="R70">
        <f t="shared" si="6"/>
        <v>142.43014946273306</v>
      </c>
      <c r="S70">
        <v>1.9450891065686135E-2</v>
      </c>
      <c r="T70">
        <v>28.43</v>
      </c>
    </row>
    <row r="71" spans="1:144" x14ac:dyDescent="0.35">
      <c r="A71" t="s">
        <v>18</v>
      </c>
      <c r="E71">
        <v>-4.1340461968289045E-3</v>
      </c>
      <c r="F71">
        <f t="shared" si="4"/>
        <v>-2.485713429815669E-2</v>
      </c>
      <c r="G71">
        <f t="shared" si="5"/>
        <v>-3.7438240354819352E-2</v>
      </c>
      <c r="J71" s="2" t="s">
        <v>83</v>
      </c>
      <c r="K71">
        <f>B1414</f>
        <v>2.0189643138919001E-2</v>
      </c>
      <c r="L71">
        <f>C1414</f>
        <v>-1.4675683284499262E-3</v>
      </c>
      <c r="M71">
        <f t="shared" si="7"/>
        <v>2.5011986433755479E-2</v>
      </c>
      <c r="N71">
        <f>D1414</f>
        <v>-3.3596887779313592E-2</v>
      </c>
      <c r="O71">
        <f>AVERAGEIFS(E1414:E1435,E1414:E1435,"&lt;=" &amp; N71)</f>
        <v>-3.3827343829741459E-2</v>
      </c>
      <c r="P71">
        <v>124.55347917761495</v>
      </c>
      <c r="Q71">
        <v>35.833730000000003</v>
      </c>
      <c r="R71">
        <f t="shared" si="6"/>
        <v>114.18858695469855</v>
      </c>
      <c r="S71">
        <v>2.5011986433755479E-2</v>
      </c>
      <c r="T71">
        <v>24.5</v>
      </c>
    </row>
    <row r="72" spans="1:144" x14ac:dyDescent="0.35">
      <c r="A72" t="s">
        <v>18</v>
      </c>
      <c r="E72">
        <v>1.2206001317236665E-2</v>
      </c>
      <c r="F72">
        <f t="shared" si="4"/>
        <v>-2.4860469985311287E-2</v>
      </c>
      <c r="G72">
        <f t="shared" si="5"/>
        <v>-3.7438240354819352E-2</v>
      </c>
      <c r="J72" s="2" t="s">
        <v>84</v>
      </c>
      <c r="K72">
        <f>B1436</f>
        <v>1.0809995257754335E-2</v>
      </c>
      <c r="L72">
        <f>C1436</f>
        <v>2.385707456574146E-3</v>
      </c>
      <c r="M72">
        <f t="shared" si="7"/>
        <v>2.0189643138919001E-2</v>
      </c>
      <c r="N72">
        <f>D1436</f>
        <v>-1.143089302156855E-2</v>
      </c>
      <c r="O72">
        <f>AVERAGEIFS(E1436:E1457,E1436:E1457,"&lt;=" &amp; N72)</f>
        <v>-1.1543352154806188E-2</v>
      </c>
      <c r="P72">
        <v>95.383616847345195</v>
      </c>
      <c r="Q72">
        <v>22.42923</v>
      </c>
      <c r="R72">
        <f t="shared" si="6"/>
        <v>124.55347917761495</v>
      </c>
      <c r="S72">
        <v>2.0189643138919001E-2</v>
      </c>
      <c r="T72">
        <v>15.07</v>
      </c>
    </row>
    <row r="73" spans="1:144" x14ac:dyDescent="0.35">
      <c r="A73" t="s">
        <v>18</v>
      </c>
      <c r="E73">
        <v>2.5019334756066006E-3</v>
      </c>
      <c r="F73">
        <f t="shared" si="4"/>
        <v>-2.4863805672465884E-2</v>
      </c>
      <c r="G73">
        <f t="shared" si="5"/>
        <v>-3.7438240354819352E-2</v>
      </c>
      <c r="J73" s="2" t="s">
        <v>85</v>
      </c>
      <c r="K73">
        <f>B1458</f>
        <v>1.1879245578438643E-2</v>
      </c>
      <c r="L73">
        <f>C1458</f>
        <v>5.8094062942343184E-4</v>
      </c>
      <c r="M73">
        <f t="shared" si="7"/>
        <v>1.0809995257754335E-2</v>
      </c>
      <c r="N73">
        <f>D1458</f>
        <v>-2.3286724651523642E-2</v>
      </c>
      <c r="O73">
        <f>AVERAGEIFS(E1458:E1478,E1458:E1478,"&lt;=" &amp; N73)</f>
        <v>-2.3770002879299906E-2</v>
      </c>
      <c r="P73">
        <v>95.951449425055173</v>
      </c>
      <c r="Q73">
        <v>24.974720000000001</v>
      </c>
      <c r="R73">
        <f t="shared" si="6"/>
        <v>95.383616847345195</v>
      </c>
      <c r="S73">
        <v>1.0809995257754335E-2</v>
      </c>
      <c r="T73">
        <v>16.13</v>
      </c>
    </row>
    <row r="74" spans="1:144" x14ac:dyDescent="0.35">
      <c r="A74" t="s">
        <v>18</v>
      </c>
      <c r="E74">
        <v>-2.2860736127168595E-2</v>
      </c>
      <c r="F74">
        <f t="shared" si="4"/>
        <v>-2.4867141359620482E-2</v>
      </c>
      <c r="G74">
        <f t="shared" si="5"/>
        <v>-3.7438240354819352E-2</v>
      </c>
      <c r="J74" s="2" t="s">
        <v>86</v>
      </c>
      <c r="K74">
        <f>B1479</f>
        <v>1.5506649173796993E-2</v>
      </c>
      <c r="L74">
        <f>C1479</f>
        <v>-3.1004061279523085E-3</v>
      </c>
      <c r="M74">
        <f t="shared" si="7"/>
        <v>1.1879245578438643E-2</v>
      </c>
      <c r="N74">
        <f>D1479</f>
        <v>-2.4972328683633232E-2</v>
      </c>
      <c r="O74">
        <f>AVERAGEIFS(E1479:E1497,E1479:E1497,"&lt;=" &amp; N74)</f>
        <v>-2.4972328683633232E-2</v>
      </c>
      <c r="P74">
        <v>86.652669339006465</v>
      </c>
      <c r="Q74">
        <v>24.7791</v>
      </c>
      <c r="R74">
        <f t="shared" si="6"/>
        <v>95.951449425055173</v>
      </c>
      <c r="S74">
        <v>1.1879245578438643E-2</v>
      </c>
      <c r="T74">
        <v>18.21</v>
      </c>
    </row>
    <row r="75" spans="1:144" x14ac:dyDescent="0.35">
      <c r="A75" t="s">
        <v>18</v>
      </c>
      <c r="E75">
        <v>-9.6714225342709667E-3</v>
      </c>
      <c r="F75">
        <f t="shared" si="4"/>
        <v>-2.4870477046775079E-2</v>
      </c>
      <c r="G75">
        <f t="shared" si="5"/>
        <v>-3.7438240354819352E-2</v>
      </c>
      <c r="J75" s="2" t="s">
        <v>87</v>
      </c>
      <c r="K75">
        <f>B1498</f>
        <v>2.3678247206332707E-2</v>
      </c>
      <c r="L75">
        <f>C1498</f>
        <v>-6.9006005292884228E-3</v>
      </c>
      <c r="M75">
        <f t="shared" si="7"/>
        <v>1.5506649173796993E-2</v>
      </c>
      <c r="N75">
        <f>D1498</f>
        <v>-4.8843105719798552E-2</v>
      </c>
      <c r="O75">
        <f>AVERAGEIFS(E1498:E1517,E1498:E1517,"&lt;=" &amp; N75)</f>
        <v>-4.9543313632128584E-2</v>
      </c>
      <c r="P75">
        <v>96.989878412286643</v>
      </c>
      <c r="Q75">
        <v>29.697890000000001</v>
      </c>
      <c r="R75">
        <f t="shared" si="6"/>
        <v>86.652669339006465</v>
      </c>
      <c r="S75">
        <v>1.5506649173796993E-2</v>
      </c>
      <c r="T75">
        <v>20.2</v>
      </c>
    </row>
    <row r="76" spans="1:144" x14ac:dyDescent="0.35">
      <c r="A76" t="s">
        <v>18</v>
      </c>
      <c r="E76">
        <v>2.110051349069527E-2</v>
      </c>
      <c r="F76">
        <f t="shared" si="4"/>
        <v>-2.4873812733929673E-2</v>
      </c>
      <c r="G76">
        <f t="shared" si="5"/>
        <v>-3.7438240354819352E-2</v>
      </c>
      <c r="J76" s="2" t="s">
        <v>88</v>
      </c>
      <c r="K76">
        <f>B1518</f>
        <v>3.0753483109554152E-2</v>
      </c>
      <c r="L76">
        <f>C1518</f>
        <v>-2.7156245369767463E-3</v>
      </c>
      <c r="M76">
        <f t="shared" si="7"/>
        <v>2.3678247206332707E-2</v>
      </c>
      <c r="N76">
        <f>D1518</f>
        <v>-5.6963588841609888E-2</v>
      </c>
      <c r="O76">
        <f>AVERAGEIFS(E1518:E1538,E1518:E1538,"&lt;=" &amp; N76)</f>
        <v>-5.7955450250386314E-2</v>
      </c>
      <c r="P76">
        <v>119.48192793729947</v>
      </c>
      <c r="Q76">
        <v>32.331159999999997</v>
      </c>
      <c r="R76">
        <f t="shared" si="6"/>
        <v>96.989878412286643</v>
      </c>
      <c r="S76">
        <v>2.3678247206332707E-2</v>
      </c>
      <c r="T76">
        <v>20.55</v>
      </c>
      <c r="V76" t="s">
        <v>225</v>
      </c>
    </row>
    <row r="77" spans="1:144" ht="15" thickBot="1" x14ac:dyDescent="0.4">
      <c r="A77" t="s">
        <v>18</v>
      </c>
      <c r="E77">
        <v>-9.7861748305029927E-3</v>
      </c>
      <c r="F77">
        <f t="shared" si="4"/>
        <v>-2.487714842108427E-2</v>
      </c>
      <c r="G77">
        <f t="shared" si="5"/>
        <v>-3.7438240354819352E-2</v>
      </c>
      <c r="J77" s="2" t="s">
        <v>89</v>
      </c>
      <c r="K77">
        <f>B1539</f>
        <v>1.4255486827142252E-2</v>
      </c>
      <c r="L77">
        <f>C1539</f>
        <v>1.3159648191654822E-3</v>
      </c>
      <c r="M77">
        <f t="shared" si="7"/>
        <v>3.0753483109554152E-2</v>
      </c>
      <c r="N77">
        <f>D1539</f>
        <v>-1.6013826231062608E-2</v>
      </c>
      <c r="O77">
        <f>AVERAGEIFS(E1539:E1559,E1539:E1559,"&lt;=" &amp; N77)</f>
        <v>-1.6219322528459409E-2</v>
      </c>
      <c r="P77">
        <v>104.27644481308872</v>
      </c>
      <c r="Q77">
        <v>26.686969999999999</v>
      </c>
      <c r="R77">
        <f t="shared" si="6"/>
        <v>119.48192793729947</v>
      </c>
      <c r="S77">
        <v>3.0753483109554152E-2</v>
      </c>
      <c r="T77">
        <v>13.95</v>
      </c>
    </row>
    <row r="78" spans="1:144" x14ac:dyDescent="0.35">
      <c r="A78" t="s">
        <v>18</v>
      </c>
      <c r="E78">
        <v>-1.8771267449300379E-2</v>
      </c>
      <c r="F78">
        <f t="shared" si="4"/>
        <v>-2.4880484108238867E-2</v>
      </c>
      <c r="G78">
        <f t="shared" si="5"/>
        <v>-3.7438240354819352E-2</v>
      </c>
      <c r="J78" s="2" t="s">
        <v>90</v>
      </c>
      <c r="K78">
        <f>B1560</f>
        <v>1.8626645944507768E-2</v>
      </c>
      <c r="L78">
        <f>C1560</f>
        <v>1.2546470206694273E-3</v>
      </c>
      <c r="M78">
        <f t="shared" si="7"/>
        <v>1.4255486827142252E-2</v>
      </c>
      <c r="N78">
        <f>D1560</f>
        <v>-2.9936476013037974E-2</v>
      </c>
      <c r="O78">
        <f>AVERAGEIFS(E1560:E1580,E1560:E1580,"&lt;=" &amp; N78)</f>
        <v>-3.0504924265658179E-2</v>
      </c>
      <c r="P78">
        <v>108.33815230084166</v>
      </c>
      <c r="Q78">
        <v>27.493749999999999</v>
      </c>
      <c r="R78">
        <f t="shared" si="6"/>
        <v>104.27644481308872</v>
      </c>
      <c r="S78">
        <v>1.4255486827142252E-2</v>
      </c>
      <c r="T78">
        <v>15.7</v>
      </c>
      <c r="V78" s="8" t="s">
        <v>226</v>
      </c>
      <c r="W78" s="8"/>
    </row>
    <row r="79" spans="1:144" x14ac:dyDescent="0.35">
      <c r="A79" t="s">
        <v>18</v>
      </c>
      <c r="E79">
        <v>4.8299151069590499E-3</v>
      </c>
      <c r="F79">
        <f t="shared" si="4"/>
        <v>-2.4883819795393464E-2</v>
      </c>
      <c r="G79">
        <f t="shared" si="5"/>
        <v>-3.7438240354819352E-2</v>
      </c>
      <c r="J79" s="2" t="s">
        <v>91</v>
      </c>
      <c r="K79">
        <f>B1581</f>
        <v>1.5798069552093497E-2</v>
      </c>
      <c r="L79">
        <f>C1581</f>
        <v>-1.6535860574981305E-3</v>
      </c>
      <c r="M79">
        <f t="shared" si="7"/>
        <v>1.8626645944507768E-2</v>
      </c>
      <c r="N79">
        <f>D1581</f>
        <v>-3.4665520841245828E-2</v>
      </c>
      <c r="O79">
        <f>AVERAGEIFS(E1581:E1599,E1581:E1599,"&lt;=" &amp; N79)</f>
        <v>-3.4665520841245828E-2</v>
      </c>
      <c r="P79">
        <v>81.414462900355815</v>
      </c>
      <c r="Q79">
        <v>24.633790000000001</v>
      </c>
      <c r="R79">
        <f t="shared" si="6"/>
        <v>108.33815230084166</v>
      </c>
      <c r="S79">
        <v>1.8626645944507768E-2</v>
      </c>
      <c r="T79">
        <v>14.19</v>
      </c>
      <c r="V79" t="s">
        <v>227</v>
      </c>
      <c r="W79">
        <v>0.30206923698691046</v>
      </c>
    </row>
    <row r="80" spans="1:144" x14ac:dyDescent="0.35">
      <c r="A80" t="s">
        <v>18</v>
      </c>
      <c r="E80">
        <v>2.5168511923654561E-3</v>
      </c>
      <c r="F80">
        <f t="shared" si="4"/>
        <v>-2.4887155482548062E-2</v>
      </c>
      <c r="G80">
        <f t="shared" si="5"/>
        <v>-3.7438240354819352E-2</v>
      </c>
      <c r="J80" s="2" t="s">
        <v>92</v>
      </c>
      <c r="K80">
        <f>B1600</f>
        <v>3.6358103858633459E-2</v>
      </c>
      <c r="L80">
        <f>C1600</f>
        <v>-4.8590616767946078E-3</v>
      </c>
      <c r="M80">
        <f t="shared" si="7"/>
        <v>1.5798069552093497E-2</v>
      </c>
      <c r="N80">
        <f>D1600</f>
        <v>-0.1193539062128996</v>
      </c>
      <c r="O80">
        <f>AVERAGEIFS(E1600:E1621,E1600:E1621,"&lt;=" &amp; N80)</f>
        <v>-0.13331442103267852</v>
      </c>
      <c r="P80">
        <v>197.15905814303221</v>
      </c>
      <c r="Q80">
        <v>28.874510000000001</v>
      </c>
      <c r="R80">
        <f t="shared" si="6"/>
        <v>81.414462900355815</v>
      </c>
      <c r="S80">
        <v>1.5798069552093497E-2</v>
      </c>
      <c r="T80">
        <v>15.63</v>
      </c>
      <c r="V80" t="s">
        <v>228</v>
      </c>
      <c r="W80">
        <v>9.1245823933854289E-2</v>
      </c>
      <c r="Y80" t="s">
        <v>383</v>
      </c>
    </row>
    <row r="81" spans="1:144" x14ac:dyDescent="0.35">
      <c r="A81" t="s">
        <v>18</v>
      </c>
      <c r="E81">
        <v>-3.3327686570369157E-2</v>
      </c>
      <c r="F81">
        <f t="shared" si="4"/>
        <v>-2.4887555164809946E-2</v>
      </c>
      <c r="G81">
        <f t="shared" si="5"/>
        <v>-3.750571930574554E-2</v>
      </c>
      <c r="J81" s="2" t="s">
        <v>93</v>
      </c>
      <c r="K81">
        <f>B1622</f>
        <v>1.5687198936018391E-2</v>
      </c>
      <c r="L81">
        <f>C1622</f>
        <v>1.8709568320851324E-3</v>
      </c>
      <c r="M81">
        <f t="shared" si="7"/>
        <v>3.6358103858633459E-2</v>
      </c>
      <c r="N81">
        <f>D1622</f>
        <v>-2.2597189345889838E-2</v>
      </c>
      <c r="O81">
        <f>AVERAGEIFS(E1622:E1642,E1622:E1642,"&lt;=" &amp; N81)</f>
        <v>-2.2842332153033409E-2</v>
      </c>
      <c r="P81">
        <v>129.44780619469799</v>
      </c>
      <c r="Q81">
        <v>22.58746</v>
      </c>
      <c r="R81">
        <f t="shared" si="6"/>
        <v>197.15905814303221</v>
      </c>
      <c r="S81">
        <v>3.6358103858633459E-2</v>
      </c>
      <c r="T81">
        <v>11.87</v>
      </c>
      <c r="V81" t="s">
        <v>228</v>
      </c>
      <c r="W81">
        <v>8.6252669120304035E-2</v>
      </c>
    </row>
    <row r="82" spans="1:144" x14ac:dyDescent="0.35">
      <c r="A82" t="s">
        <v>18</v>
      </c>
      <c r="E82">
        <v>-2.4588200228697017E-2</v>
      </c>
      <c r="F82">
        <f t="shared" si="4"/>
        <v>-2.4827113113765321E-2</v>
      </c>
      <c r="G82">
        <f t="shared" si="5"/>
        <v>-3.7460340106348647E-2</v>
      </c>
      <c r="J82" s="2" t="s">
        <v>94</v>
      </c>
      <c r="K82">
        <f>B1643</f>
        <v>1.3592415412205456E-2</v>
      </c>
      <c r="L82">
        <f>C1643</f>
        <v>2.7204322767715569E-4</v>
      </c>
      <c r="M82">
        <f t="shared" si="7"/>
        <v>1.5687198936018391E-2</v>
      </c>
      <c r="N82">
        <f>D1643</f>
        <v>-2.7368223305164009E-2</v>
      </c>
      <c r="O82">
        <f>AVERAGEIFS(E1643:E1663,E1643:E1663,"&lt;=" &amp; N82)</f>
        <v>-2.7959877516467307E-2</v>
      </c>
      <c r="P82">
        <v>102.52937405861893</v>
      </c>
      <c r="Q82">
        <v>21.665040000000001</v>
      </c>
      <c r="R82">
        <f t="shared" si="6"/>
        <v>129.44780619469799</v>
      </c>
      <c r="S82">
        <v>1.5687198936018391E-2</v>
      </c>
      <c r="T82">
        <v>13.42</v>
      </c>
      <c r="V82" t="s">
        <v>229</v>
      </c>
      <c r="W82">
        <v>1.443322322287567E-2</v>
      </c>
    </row>
    <row r="83" spans="1:144" ht="15" thickBot="1" x14ac:dyDescent="0.4">
      <c r="A83" t="s">
        <v>18</v>
      </c>
      <c r="E83">
        <v>9.0034763396403816E-3</v>
      </c>
      <c r="F83">
        <f t="shared" si="4"/>
        <v>-2.4830448800919915E-2</v>
      </c>
      <c r="G83">
        <f t="shared" si="5"/>
        <v>-3.7460340106348647E-2</v>
      </c>
      <c r="J83" s="2" t="s">
        <v>95</v>
      </c>
      <c r="K83">
        <f>B1664</f>
        <v>1.2091762818702025E-2</v>
      </c>
      <c r="L83">
        <f>C1664</f>
        <v>-1.4788585674957028E-3</v>
      </c>
      <c r="M83">
        <f t="shared" si="7"/>
        <v>1.3592415412205456E-2</v>
      </c>
      <c r="N83">
        <f>D1664</f>
        <v>-2.3700500868560605E-2</v>
      </c>
      <c r="O83">
        <f>AVERAGEIFS(E1664:E1685,E1664:E1685,"&lt;=" &amp; N83)</f>
        <v>-2.4600181776186038E-2</v>
      </c>
      <c r="P83">
        <v>140.2138283302819</v>
      </c>
      <c r="Q83">
        <v>22.19697</v>
      </c>
      <c r="R83">
        <f t="shared" si="6"/>
        <v>102.52937405861893</v>
      </c>
      <c r="S83">
        <v>1.3592415412205456E-2</v>
      </c>
      <c r="T83">
        <v>13.29</v>
      </c>
      <c r="V83" s="6" t="s">
        <v>230</v>
      </c>
      <c r="W83" s="6">
        <v>184</v>
      </c>
    </row>
    <row r="84" spans="1:144" x14ac:dyDescent="0.35">
      <c r="A84" t="s">
        <v>18</v>
      </c>
      <c r="E84">
        <v>-6.1593169738405054E-3</v>
      </c>
      <c r="F84">
        <f t="shared" si="4"/>
        <v>-2.4833784488074512E-2</v>
      </c>
      <c r="G84">
        <f t="shared" si="5"/>
        <v>-3.7460340106348647E-2</v>
      </c>
      <c r="J84" s="2" t="s">
        <v>96</v>
      </c>
      <c r="K84">
        <f>B1686</f>
        <v>9.4099443163968236E-3</v>
      </c>
      <c r="L84">
        <f>C1686</f>
        <v>2.1599997635541987E-3</v>
      </c>
      <c r="M84">
        <f t="shared" si="7"/>
        <v>1.2091762818702025E-2</v>
      </c>
      <c r="N84">
        <f>D1686</f>
        <v>-1.224429138136888E-2</v>
      </c>
      <c r="O84">
        <f>AVERAGEIFS(E1686:E1705,E1686:E1705,"&lt;=" &amp; N84)</f>
        <v>-1.22801069387155E-2</v>
      </c>
      <c r="P84">
        <v>132.1904712086538</v>
      </c>
      <c r="Q84">
        <v>23.51004</v>
      </c>
      <c r="R84">
        <f t="shared" si="6"/>
        <v>140.2138283302819</v>
      </c>
      <c r="S84">
        <v>1.2091762818702025E-2</v>
      </c>
      <c r="T84">
        <v>17.059999999999999</v>
      </c>
    </row>
    <row r="85" spans="1:144" s="3" customFormat="1" ht="15" thickBot="1" x14ac:dyDescent="0.4">
      <c r="A85" s="3" t="s">
        <v>19</v>
      </c>
      <c r="B85" s="3" cm="1">
        <f t="array" ref="B85">_xlfn.STDEV.S(_xlfn._xlws.FILTER($E$2:$E$1000, $A$2:$A$1000="2010-05"))</f>
        <v>3.7844902235982691E-2</v>
      </c>
      <c r="C85" s="3" cm="1">
        <f t="array" ref="C85">AVERAGE(_xlfn._xlws.FILTER($E$2:$E$1000, $A$2:$A$1000="2010-05"))</f>
        <v>-5.3567363359418706E-3</v>
      </c>
      <c r="D85" s="3" cm="1">
        <f t="array" ref="D85">_xlfn.PERCENTILE.EXC(_xlfn._xlws.FILTER($E$85:$E$103, $A$85:$A$103="2010-05"), 0.05)</f>
        <v>-5.4005251859224841E-2</v>
      </c>
      <c r="E85" s="3">
        <v>-4.5020694342846355E-2</v>
      </c>
      <c r="F85" s="3">
        <f t="shared" si="4"/>
        <v>-2.483712017522911E-2</v>
      </c>
      <c r="G85" s="3">
        <f t="shared" si="5"/>
        <v>-3.7460340106348647E-2</v>
      </c>
      <c r="J85" s="4" t="s">
        <v>97</v>
      </c>
      <c r="K85" s="3">
        <f>B1706</f>
        <v>1.2733289004412448E-2</v>
      </c>
      <c r="L85" s="3">
        <f>C1706</f>
        <v>-5.1958593793745669E-4</v>
      </c>
      <c r="M85">
        <f t="shared" si="7"/>
        <v>9.4099443163968236E-3</v>
      </c>
      <c r="N85" s="3">
        <f>D1706</f>
        <v>-2.4320171369630751E-2</v>
      </c>
      <c r="O85" s="3">
        <f>AVERAGEIFS(E1706:E1727,E1706:E1727,"&lt;=" &amp; N85)</f>
        <v>-2.5396896690630614E-2</v>
      </c>
      <c r="P85" s="3">
        <v>180.27573916014421</v>
      </c>
      <c r="Q85" s="3">
        <v>22.72129</v>
      </c>
      <c r="R85">
        <f t="shared" si="6"/>
        <v>132.1904712086538</v>
      </c>
      <c r="S85">
        <v>9.4099443163968236E-3</v>
      </c>
      <c r="T85" s="3">
        <v>13.33</v>
      </c>
      <c r="U85"/>
      <c r="V85" t="s">
        <v>231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</row>
    <row r="86" spans="1:144" x14ac:dyDescent="0.35">
      <c r="A86" t="s">
        <v>19</v>
      </c>
      <c r="E86">
        <v>-1.2757342518382548E-2</v>
      </c>
      <c r="F86">
        <f t="shared" si="4"/>
        <v>-2.4747794280467413E-2</v>
      </c>
      <c r="G86">
        <f t="shared" si="5"/>
        <v>-3.7351736597728273E-2</v>
      </c>
      <c r="J86" s="2" t="s">
        <v>98</v>
      </c>
      <c r="K86">
        <f>B1728</f>
        <v>1.3176443430861016E-2</v>
      </c>
      <c r="L86">
        <f>C1728</f>
        <v>6.3799143776089541E-3</v>
      </c>
      <c r="M86">
        <f t="shared" si="7"/>
        <v>1.2733289004412448E-2</v>
      </c>
      <c r="N86">
        <f>D1728</f>
        <v>-1.1600161969498481E-2</v>
      </c>
      <c r="O86">
        <f>AVERAGEIFS(E1728:E1747,E1728:E1747,"&lt;=" &amp; N86)</f>
        <v>-1.1823101542335826E-2</v>
      </c>
      <c r="P86">
        <v>159.45264506945205</v>
      </c>
      <c r="Q86">
        <v>19.114329999999999</v>
      </c>
      <c r="R86">
        <f t="shared" si="6"/>
        <v>180.27573916014421</v>
      </c>
      <c r="S86">
        <v>1.2733289004412448E-2</v>
      </c>
      <c r="T86">
        <v>14.04</v>
      </c>
      <c r="V86" s="7"/>
      <c r="W86" s="7" t="s">
        <v>236</v>
      </c>
      <c r="X86" s="7" t="s">
        <v>237</v>
      </c>
      <c r="Y86" s="7" t="s">
        <v>238</v>
      </c>
      <c r="Z86" s="7" t="s">
        <v>239</v>
      </c>
      <c r="AA86" s="7" t="s">
        <v>240</v>
      </c>
    </row>
    <row r="87" spans="1:144" x14ac:dyDescent="0.35">
      <c r="A87" t="s">
        <v>19</v>
      </c>
      <c r="E87">
        <v>-4.3586707147284125E-2</v>
      </c>
      <c r="F87">
        <f t="shared" si="4"/>
        <v>-2.4752983384680894E-2</v>
      </c>
      <c r="G87">
        <f t="shared" si="5"/>
        <v>-3.7351736597728273E-2</v>
      </c>
      <c r="J87" s="2" t="s">
        <v>99</v>
      </c>
      <c r="K87">
        <f>B1748</f>
        <v>1.1563507101401317E-2</v>
      </c>
      <c r="L87">
        <f>C1748</f>
        <v>-1.6212681611123005E-3</v>
      </c>
      <c r="M87">
        <f t="shared" si="7"/>
        <v>1.3176443430861016E-2</v>
      </c>
      <c r="N87">
        <f>D1748</f>
        <v>-2.8642008596303489E-2</v>
      </c>
      <c r="O87">
        <f>AVERAGEIFS(E1748:E1768,E1748:E1768,"&lt;=" &amp; N87)</f>
        <v>-2.9925049900770967E-2</v>
      </c>
      <c r="P87">
        <v>112.90602380801526</v>
      </c>
      <c r="Q87">
        <v>18.729869999999998</v>
      </c>
      <c r="R87">
        <f t="shared" si="6"/>
        <v>159.45264506945205</v>
      </c>
      <c r="S87">
        <v>1.3176443430861016E-2</v>
      </c>
      <c r="T87">
        <v>11.99</v>
      </c>
      <c r="V87" t="s">
        <v>232</v>
      </c>
      <c r="W87">
        <v>1</v>
      </c>
      <c r="X87">
        <v>3.8068399859792768E-3</v>
      </c>
      <c r="Y87">
        <v>3.8068399859792768E-3</v>
      </c>
      <c r="Z87">
        <v>18.274182824500961</v>
      </c>
      <c r="AA87">
        <v>3.0821303202094862E-5</v>
      </c>
    </row>
    <row r="88" spans="1:144" x14ac:dyDescent="0.35">
      <c r="A88" t="s">
        <v>19</v>
      </c>
      <c r="E88">
        <v>-3.3279782409074012E-2</v>
      </c>
      <c r="F88">
        <f t="shared" si="4"/>
        <v>-2.4694234929573504E-2</v>
      </c>
      <c r="G88">
        <f t="shared" si="5"/>
        <v>-3.7250284729491191E-2</v>
      </c>
      <c r="J88" s="2" t="s">
        <v>100</v>
      </c>
      <c r="K88">
        <f>B1769</f>
        <v>9.3072179327280315E-3</v>
      </c>
      <c r="L88">
        <f>C1769</f>
        <v>8.6006257211062567E-4</v>
      </c>
      <c r="M88">
        <f t="shared" si="7"/>
        <v>1.1563507101401317E-2</v>
      </c>
      <c r="N88">
        <f>D1769</f>
        <v>-2.1822237254134836E-2</v>
      </c>
      <c r="O88">
        <f>AVERAGEIFS(E1769:E1788,E1769:E1788,"&lt;=" &amp; N88)</f>
        <v>-2.2343879201355409E-2</v>
      </c>
      <c r="P88">
        <v>114.10034157680262</v>
      </c>
      <c r="Q88">
        <v>17.275020000000001</v>
      </c>
      <c r="R88">
        <f t="shared" si="6"/>
        <v>112.90602380801526</v>
      </c>
      <c r="S88">
        <v>1.1563507101401317E-2</v>
      </c>
      <c r="T88">
        <v>12.92</v>
      </c>
      <c r="V88" t="s">
        <v>233</v>
      </c>
      <c r="W88">
        <v>182</v>
      </c>
      <c r="X88">
        <v>3.7913863733447073E-2</v>
      </c>
      <c r="Y88">
        <v>2.0831793260135754E-4</v>
      </c>
    </row>
    <row r="89" spans="1:144" ht="15" thickBot="1" x14ac:dyDescent="0.4">
      <c r="A89" t="s">
        <v>19</v>
      </c>
      <c r="E89">
        <v>0.10684030389013521</v>
      </c>
      <c r="F89">
        <f t="shared" si="4"/>
        <v>-2.4671545282983466E-2</v>
      </c>
      <c r="G89">
        <f t="shared" si="5"/>
        <v>-3.7204045496713897E-2</v>
      </c>
      <c r="J89" s="2" t="s">
        <v>101</v>
      </c>
      <c r="K89">
        <f>B1789</f>
        <v>8.0566677755887373E-3</v>
      </c>
      <c r="L89">
        <f>C1789</f>
        <v>3.4876572067850638E-3</v>
      </c>
      <c r="M89">
        <f t="shared" si="7"/>
        <v>9.3072179327280315E-3</v>
      </c>
      <c r="N89">
        <f>D1789</f>
        <v>-1.0506620861295194E-2</v>
      </c>
      <c r="O89">
        <f>AVERAGEIFS(E1789:E1811,E1789:E1811,"&lt;=" &amp; N89)</f>
        <v>-1.0973079068288686E-2</v>
      </c>
      <c r="P89">
        <v>98.555708019424543</v>
      </c>
      <c r="Q89">
        <v>17.673690000000001</v>
      </c>
      <c r="R89">
        <f t="shared" si="6"/>
        <v>114.10034157680262</v>
      </c>
      <c r="S89">
        <v>9.3072179327280315E-3</v>
      </c>
      <c r="T89">
        <v>12.37</v>
      </c>
      <c r="V89" s="6" t="s">
        <v>234</v>
      </c>
      <c r="W89" s="6">
        <v>183</v>
      </c>
      <c r="X89" s="6">
        <v>4.172070371942635E-2</v>
      </c>
      <c r="Y89" s="6"/>
      <c r="Z89" s="6"/>
      <c r="AA89" s="6"/>
    </row>
    <row r="90" spans="1:144" ht="15" thickBot="1" x14ac:dyDescent="0.4">
      <c r="A90" t="s">
        <v>19</v>
      </c>
      <c r="E90">
        <v>-4.6150405981700039E-3</v>
      </c>
      <c r="F90">
        <f t="shared" si="4"/>
        <v>-2.4672248903848434E-2</v>
      </c>
      <c r="G90">
        <f t="shared" si="5"/>
        <v>-3.7204045496713897E-2</v>
      </c>
      <c r="J90" s="2" t="s">
        <v>102</v>
      </c>
      <c r="K90">
        <f>B1812</f>
        <v>1.4144350881067736E-2</v>
      </c>
      <c r="L90">
        <f>C1812</f>
        <v>3.141778096189916E-4</v>
      </c>
      <c r="M90">
        <f t="shared" si="7"/>
        <v>8.0566677755887373E-3</v>
      </c>
      <c r="N90">
        <f>D1812</f>
        <v>-1.2967648508420974E-2</v>
      </c>
      <c r="O90">
        <f>AVERAGEIFS(E1812:E1829,E1812:E1829,"&lt;=" &amp; N90)</f>
        <v>-1.6879567868868999E-2</v>
      </c>
      <c r="P90">
        <v>61.858981816280064</v>
      </c>
      <c r="Q90">
        <v>18.585660000000001</v>
      </c>
      <c r="R90">
        <f t="shared" si="6"/>
        <v>98.555708019424543</v>
      </c>
      <c r="S90">
        <v>8.0566677755887373E-3</v>
      </c>
      <c r="T90">
        <v>10.82</v>
      </c>
    </row>
    <row r="91" spans="1:144" x14ac:dyDescent="0.35">
      <c r="A91" t="s">
        <v>19</v>
      </c>
      <c r="E91">
        <v>7.3897586985322119E-3</v>
      </c>
      <c r="F91">
        <f t="shared" si="4"/>
        <v>-2.4672952524713406E-2</v>
      </c>
      <c r="G91">
        <f t="shared" si="5"/>
        <v>-3.7204045496713897E-2</v>
      </c>
      <c r="J91" s="2" t="s">
        <v>103</v>
      </c>
      <c r="K91">
        <f>B1830</f>
        <v>1.0010192822911365E-2</v>
      </c>
      <c r="L91">
        <f>C1830</f>
        <v>2.8225371306976236E-4</v>
      </c>
      <c r="M91">
        <f t="shared" si="7"/>
        <v>1.4144350881067736E-2</v>
      </c>
      <c r="N91">
        <f>D1830</f>
        <v>-2.2956152140615894E-2</v>
      </c>
      <c r="O91">
        <f>AVERAGEIFS(E1830:E1850,E1830:E1850,"&lt;=" &amp; N91)</f>
        <v>-2.3412308602825022E-2</v>
      </c>
      <c r="P91">
        <v>62.901830521814503</v>
      </c>
      <c r="Q91">
        <v>16.354109999999999</v>
      </c>
      <c r="R91">
        <f t="shared" si="6"/>
        <v>61.858981816280064</v>
      </c>
      <c r="S91">
        <v>1.4144350881067736E-2</v>
      </c>
      <c r="T91">
        <v>10.41</v>
      </c>
      <c r="V91" s="7"/>
      <c r="W91" s="7" t="s">
        <v>241</v>
      </c>
      <c r="X91" s="7" t="s">
        <v>229</v>
      </c>
      <c r="Y91" s="7" t="s">
        <v>242</v>
      </c>
      <c r="Z91" s="7" t="s">
        <v>243</v>
      </c>
      <c r="AA91" s="7" t="s">
        <v>244</v>
      </c>
      <c r="AB91" s="7" t="s">
        <v>245</v>
      </c>
      <c r="AC91" s="7" t="s">
        <v>246</v>
      </c>
      <c r="AD91" s="7" t="s">
        <v>247</v>
      </c>
    </row>
    <row r="92" spans="1:144" x14ac:dyDescent="0.35">
      <c r="A92" t="s">
        <v>19</v>
      </c>
      <c r="E92">
        <v>-7.1895358661376299E-3</v>
      </c>
      <c r="F92">
        <f t="shared" si="4"/>
        <v>-2.4673656145578378E-2</v>
      </c>
      <c r="G92">
        <f t="shared" si="5"/>
        <v>-3.7204045496713897E-2</v>
      </c>
      <c r="J92" s="2" t="s">
        <v>104</v>
      </c>
      <c r="K92">
        <f>B1851</f>
        <v>8.9365762713483361E-3</v>
      </c>
      <c r="L92">
        <f>C1851</f>
        <v>-3.3989126133064656E-4</v>
      </c>
      <c r="M92">
        <f t="shared" si="7"/>
        <v>1.0010192822911365E-2</v>
      </c>
      <c r="N92">
        <f>D1851</f>
        <v>-1.5804138339411227E-2</v>
      </c>
      <c r="O92">
        <f>AVERAGEIFS(E1851:E1871,E1851:E1871,"&lt;=" &amp; N92)</f>
        <v>-1.6437728877169582E-2</v>
      </c>
      <c r="P92">
        <v>99.649020356625059</v>
      </c>
      <c r="Q92">
        <v>19.691189999999999</v>
      </c>
      <c r="R92">
        <f t="shared" si="6"/>
        <v>62.901830521814503</v>
      </c>
      <c r="S92">
        <v>1.0010192822911365E-2</v>
      </c>
      <c r="T92">
        <v>11.18</v>
      </c>
      <c r="V92" t="s">
        <v>235</v>
      </c>
      <c r="W92">
        <v>-1.2128412183784213E-2</v>
      </c>
      <c r="X92">
        <v>3.4517251998032587E-3</v>
      </c>
      <c r="Y92">
        <v>-3.5137247265441376</v>
      </c>
      <c r="Z92">
        <v>5.5745682242940096E-4</v>
      </c>
      <c r="AA92">
        <v>-1.8938956214855102E-2</v>
      </c>
      <c r="AB92">
        <v>-5.3178681527133254E-3</v>
      </c>
      <c r="AC92">
        <v>-1.8938956214855102E-2</v>
      </c>
      <c r="AD92">
        <v>-5.3178681527133254E-3</v>
      </c>
    </row>
    <row r="93" spans="1:144" ht="15" thickBot="1" x14ac:dyDescent="0.4">
      <c r="A93" t="s">
        <v>19</v>
      </c>
      <c r="E93">
        <v>-5.4005251859224841E-2</v>
      </c>
      <c r="F93">
        <f t="shared" si="4"/>
        <v>-2.467435976644335E-2</v>
      </c>
      <c r="G93">
        <f t="shared" si="5"/>
        <v>-3.7204045496713897E-2</v>
      </c>
      <c r="J93" s="2" t="s">
        <v>105</v>
      </c>
      <c r="K93">
        <f>B1872</f>
        <v>7.5689070558784734E-3</v>
      </c>
      <c r="L93">
        <f>C1872</f>
        <v>2.04374589826163E-3</v>
      </c>
      <c r="M93">
        <f t="shared" si="7"/>
        <v>8.9365762713483361E-3</v>
      </c>
      <c r="N93">
        <f>D1872</f>
        <v>-1.09313168018712E-2</v>
      </c>
      <c r="O93">
        <f>AVERAGEIFS(E1872:E1892,E1872:E1892,"&lt;=" &amp; N93)</f>
        <v>-1.1091371626912797E-2</v>
      </c>
      <c r="P93">
        <v>74.033660960354041</v>
      </c>
      <c r="Q93">
        <v>16.421189999999999</v>
      </c>
      <c r="R93">
        <f t="shared" si="6"/>
        <v>99.649020356625059</v>
      </c>
      <c r="S93">
        <v>8.9365762713483361E-3</v>
      </c>
      <c r="T93">
        <v>10.26</v>
      </c>
      <c r="V93" s="6" t="s">
        <v>215</v>
      </c>
      <c r="W93" s="6">
        <v>-1.1237841256545951E-4</v>
      </c>
      <c r="X93" s="6">
        <v>2.6288385230265229E-5</v>
      </c>
      <c r="Y93" s="6">
        <v>-4.2748313211752835</v>
      </c>
      <c r="Z93" s="6">
        <v>3.0821303202090823E-5</v>
      </c>
      <c r="AA93" s="6">
        <v>-1.6424760688216807E-4</v>
      </c>
      <c r="AB93" s="6">
        <v>-6.050921824875094E-5</v>
      </c>
      <c r="AC93" s="6">
        <v>-1.6424760688216807E-4</v>
      </c>
      <c r="AD93" s="6">
        <v>-6.050921824875094E-5</v>
      </c>
    </row>
    <row r="94" spans="1:144" x14ac:dyDescent="0.35">
      <c r="A94" t="s">
        <v>19</v>
      </c>
      <c r="E94">
        <v>2.3055958506621394E-3</v>
      </c>
      <c r="F94">
        <f t="shared" si="4"/>
        <v>-2.464694085895117E-2</v>
      </c>
      <c r="G94">
        <f t="shared" si="5"/>
        <v>-3.7046303350670745E-2</v>
      </c>
      <c r="J94" s="2" t="s">
        <v>106</v>
      </c>
      <c r="K94">
        <f>B1893</f>
        <v>8.5893089049559092E-3</v>
      </c>
      <c r="L94">
        <f>C1893</f>
        <v>4.040869511950593E-4</v>
      </c>
      <c r="M94">
        <f t="shared" si="7"/>
        <v>7.5689070558784734E-3</v>
      </c>
      <c r="N94">
        <f>D1893</f>
        <v>-1.5615704690587004E-2</v>
      </c>
      <c r="O94">
        <f>AVERAGEIFS(E1893:E1913,E1893:E1913,"&lt;=" &amp; N94)</f>
        <v>-1.5659180383048643E-2</v>
      </c>
      <c r="P94">
        <v>31.701534582704117</v>
      </c>
      <c r="Q94">
        <v>18.572019999999998</v>
      </c>
      <c r="R94">
        <f t="shared" si="6"/>
        <v>74.033660960354041</v>
      </c>
      <c r="S94">
        <v>7.5689070558784734E-3</v>
      </c>
      <c r="T94">
        <v>10.59</v>
      </c>
    </row>
    <row r="95" spans="1:144" x14ac:dyDescent="0.35">
      <c r="A95" t="s">
        <v>19</v>
      </c>
      <c r="E95">
        <v>2.4284570208888277E-2</v>
      </c>
      <c r="F95">
        <f t="shared" si="4"/>
        <v>-2.4649986164992428E-2</v>
      </c>
      <c r="G95">
        <f t="shared" si="5"/>
        <v>-3.7046303350670745E-2</v>
      </c>
      <c r="J95" s="2" t="s">
        <v>107</v>
      </c>
      <c r="K95">
        <f>B1914</f>
        <v>5.2662416095219343E-3</v>
      </c>
      <c r="L95">
        <f>C1914</f>
        <v>2.2034789678644926E-3</v>
      </c>
      <c r="M95">
        <f t="shared" si="7"/>
        <v>8.5893089049559092E-3</v>
      </c>
      <c r="N95">
        <f>D1914</f>
        <v>-6.0832899677741043E-3</v>
      </c>
      <c r="O95">
        <f>AVERAGEIFS(E1914:E1934,E1914:E1934,"&lt;=" &amp; N95)</f>
        <v>-6.2893681107702836E-3</v>
      </c>
      <c r="P95">
        <v>91.194235420073483</v>
      </c>
      <c r="Q95">
        <v>14.306179999999999</v>
      </c>
      <c r="R95">
        <f t="shared" si="6"/>
        <v>31.701534582704117</v>
      </c>
      <c r="S95">
        <v>8.5893089049559092E-3</v>
      </c>
      <c r="T95">
        <v>9.51</v>
      </c>
    </row>
    <row r="96" spans="1:144" x14ac:dyDescent="0.35">
      <c r="A96" t="s">
        <v>19</v>
      </c>
      <c r="E96">
        <v>-3.5145365073680629E-2</v>
      </c>
      <c r="F96">
        <f t="shared" si="4"/>
        <v>-2.4653031471033687E-2</v>
      </c>
      <c r="G96">
        <f t="shared" si="5"/>
        <v>-3.7046303350670745E-2</v>
      </c>
      <c r="J96" s="2" t="s">
        <v>108</v>
      </c>
      <c r="K96">
        <f>B1935</f>
        <v>8.1359667400274713E-3</v>
      </c>
      <c r="L96">
        <f>C1935</f>
        <v>1.2446867440291418E-4</v>
      </c>
      <c r="M96">
        <f t="shared" si="7"/>
        <v>5.2662416095219343E-3</v>
      </c>
      <c r="N96">
        <f>D1935</f>
        <v>-1.5390469279010159E-2</v>
      </c>
      <c r="O96">
        <f>AVERAGEIFS(E1935:E1954,E1935:E1954,"&lt;=" &amp; N96)</f>
        <v>-1.5676444139148486E-2</v>
      </c>
      <c r="P96">
        <v>66.270566265736932</v>
      </c>
      <c r="Q96">
        <v>13.96176</v>
      </c>
      <c r="R96">
        <f t="shared" si="6"/>
        <v>91.194235420073483</v>
      </c>
      <c r="S96">
        <v>5.2662416095219343E-3</v>
      </c>
      <c r="T96">
        <v>10.18</v>
      </c>
    </row>
    <row r="97" spans="1:144" x14ac:dyDescent="0.35">
      <c r="A97" t="s">
        <v>19</v>
      </c>
      <c r="E97">
        <v>-1.7000664757504828E-2</v>
      </c>
      <c r="F97">
        <f t="shared" si="4"/>
        <v>-2.4603687854645423E-2</v>
      </c>
      <c r="G97">
        <f t="shared" si="5"/>
        <v>-3.6989630993147601E-2</v>
      </c>
      <c r="J97" s="2" t="s">
        <v>109</v>
      </c>
      <c r="K97">
        <f>B1955</f>
        <v>5.2597393457996877E-3</v>
      </c>
      <c r="L97">
        <f>C1955</f>
        <v>-7.7490178994111994E-4</v>
      </c>
      <c r="M97">
        <f t="shared" si="7"/>
        <v>8.1359667400274713E-3</v>
      </c>
      <c r="N97">
        <f>D1955</f>
        <v>-1.0388079282818433E-2</v>
      </c>
      <c r="O97">
        <f>AVERAGEIFS(E1955:E1976,E1955:E1976,"&lt;=" &amp; N97)</f>
        <v>-1.0746630740718358E-2</v>
      </c>
      <c r="P97">
        <v>63.299969300003845</v>
      </c>
      <c r="Q97">
        <v>16.018129999999999</v>
      </c>
      <c r="R97">
        <f t="shared" si="6"/>
        <v>66.270566265736932</v>
      </c>
      <c r="S97">
        <v>8.1359667400274713E-3</v>
      </c>
      <c r="T97">
        <v>11.28</v>
      </c>
      <c r="V97" t="s">
        <v>225</v>
      </c>
    </row>
    <row r="98" spans="1:144" ht="15" thickBot="1" x14ac:dyDescent="0.4">
      <c r="A98" t="s">
        <v>19</v>
      </c>
      <c r="E98">
        <v>1.3079699147300781E-2</v>
      </c>
      <c r="F98">
        <f t="shared" si="4"/>
        <v>-2.4603894094554796E-2</v>
      </c>
      <c r="G98">
        <f t="shared" si="5"/>
        <v>-3.6989630993147601E-2</v>
      </c>
      <c r="J98" s="2" t="s">
        <v>110</v>
      </c>
      <c r="K98">
        <f>B1977</f>
        <v>8.5081367465933162E-3</v>
      </c>
      <c r="L98">
        <f>C1977</f>
        <v>-1.2258189813551443E-3</v>
      </c>
      <c r="M98">
        <f t="shared" si="7"/>
        <v>5.2597393457996877E-3</v>
      </c>
      <c r="N98">
        <f>D1977</f>
        <v>-1.4498284093834555E-2</v>
      </c>
      <c r="O98">
        <f>AVERAGEIFS(E1977:E1995,E1977:E1995,"&lt;=" &amp; N98)</f>
        <v>-1.4498284093834555E-2</v>
      </c>
      <c r="P98">
        <v>62.125211795591085</v>
      </c>
      <c r="Q98">
        <v>16.243410000000001</v>
      </c>
      <c r="R98">
        <f t="shared" si="6"/>
        <v>63.299969300003845</v>
      </c>
      <c r="S98">
        <v>5.2597393457996877E-3</v>
      </c>
      <c r="T98">
        <v>11.04</v>
      </c>
    </row>
    <row r="99" spans="1:144" x14ac:dyDescent="0.35">
      <c r="A99" t="s">
        <v>19</v>
      </c>
      <c r="E99">
        <v>-2.6211880683910883E-2</v>
      </c>
      <c r="F99">
        <f t="shared" si="4"/>
        <v>-2.4604100334464172E-2</v>
      </c>
      <c r="G99">
        <f t="shared" si="5"/>
        <v>-3.6989630993147601E-2</v>
      </c>
      <c r="J99" s="2" t="s">
        <v>111</v>
      </c>
      <c r="K99">
        <f>B1996</f>
        <v>1.5198895041653991E-2</v>
      </c>
      <c r="L99">
        <f>C1996</f>
        <v>9.9001682605875056E-3</v>
      </c>
      <c r="M99">
        <f t="shared" si="7"/>
        <v>8.5081367465933162E-3</v>
      </c>
      <c r="N99">
        <f>D1996</f>
        <v>-1.2880771964173594E-2</v>
      </c>
      <c r="O99">
        <f>AVERAGEIFS(E1996:E2017,E1996:E2017,"&lt;=" &amp; N99)</f>
        <v>-1.3562528132156131E-2</v>
      </c>
      <c r="P99">
        <v>102.9585200968542</v>
      </c>
      <c r="Q99">
        <v>18.826599999999999</v>
      </c>
      <c r="R99">
        <f t="shared" si="6"/>
        <v>62.125211795591085</v>
      </c>
      <c r="S99">
        <v>8.5081367465933162E-3</v>
      </c>
      <c r="T99">
        <v>13.54</v>
      </c>
      <c r="V99" s="8" t="s">
        <v>226</v>
      </c>
      <c r="W99" s="8"/>
    </row>
    <row r="100" spans="1:144" x14ac:dyDescent="0.35">
      <c r="A100" t="s">
        <v>19</v>
      </c>
      <c r="E100">
        <v>-3.4631880862622859E-2</v>
      </c>
      <c r="F100">
        <f t="shared" si="4"/>
        <v>-2.4600181776186038E-2</v>
      </c>
      <c r="G100">
        <f t="shared" si="5"/>
        <v>-3.69809659452566E-2</v>
      </c>
      <c r="J100" s="2" t="s">
        <v>112</v>
      </c>
      <c r="K100">
        <f>B2018</f>
        <v>1.3401933247303979E-2</v>
      </c>
      <c r="L100">
        <f>C2018</f>
        <v>-1.9507113150360074E-3</v>
      </c>
      <c r="M100">
        <f t="shared" si="7"/>
        <v>1.5198895041653991E-2</v>
      </c>
      <c r="N100">
        <f>D2018</f>
        <v>-2.2771045643879575E-2</v>
      </c>
      <c r="O100">
        <f>AVERAGEIFS(E2018:E2037,E2018:E2037,"&lt;=" &amp; N100)</f>
        <v>-2.2863403882770496E-2</v>
      </c>
      <c r="P100">
        <v>79.059170638918047</v>
      </c>
      <c r="Q100">
        <v>21.97644</v>
      </c>
      <c r="R100">
        <f t="shared" si="6"/>
        <v>102.9585200968542</v>
      </c>
      <c r="S100">
        <v>1.5198895041653991E-2</v>
      </c>
      <c r="T100">
        <v>19.850000000000001</v>
      </c>
      <c r="V100" t="s">
        <v>227</v>
      </c>
      <c r="W100">
        <v>0.1621682386264956</v>
      </c>
      <c r="Y100" t="s">
        <v>384</v>
      </c>
    </row>
    <row r="101" spans="1:144" x14ac:dyDescent="0.35">
      <c r="A101" t="s">
        <v>19</v>
      </c>
      <c r="E101">
        <v>2.1297256727534741E-2</v>
      </c>
      <c r="F101">
        <f t="shared" si="4"/>
        <v>-2.4522461754297366E-2</v>
      </c>
      <c r="G101">
        <f t="shared" si="5"/>
        <v>-3.6993663702460038E-2</v>
      </c>
      <c r="J101" s="2" t="s">
        <v>113</v>
      </c>
      <c r="K101">
        <f>B2038</f>
        <v>1.0789871348682659E-2</v>
      </c>
      <c r="L101">
        <f>C2038</f>
        <v>-4.1561773284671004E-4</v>
      </c>
      <c r="M101">
        <f t="shared" si="7"/>
        <v>1.3401933247303979E-2</v>
      </c>
      <c r="N101">
        <f>D2038</f>
        <v>-2.36276748177775E-2</v>
      </c>
      <c r="O101">
        <f>AVERAGEIFS(E2038:E2058,E2038:E2058,"&lt;=" &amp; N101)</f>
        <v>-2.417763009472975E-2</v>
      </c>
      <c r="P101">
        <v>77.476555490256473</v>
      </c>
      <c r="Q101">
        <v>21.431080000000001</v>
      </c>
      <c r="R101">
        <f t="shared" si="6"/>
        <v>79.059170638918047</v>
      </c>
      <c r="S101">
        <v>1.3401933247303979E-2</v>
      </c>
      <c r="T101">
        <v>19.97</v>
      </c>
      <c r="V101" t="s">
        <v>228</v>
      </c>
      <c r="W101">
        <v>2.6298537619220019E-2</v>
      </c>
    </row>
    <row r="102" spans="1:144" x14ac:dyDescent="0.35">
      <c r="A102" t="s">
        <v>19</v>
      </c>
      <c r="E102">
        <v>4.4446460445608876E-2</v>
      </c>
      <c r="F102">
        <f t="shared" si="4"/>
        <v>-2.4526552281765191E-2</v>
      </c>
      <c r="G102">
        <f t="shared" si="5"/>
        <v>-3.6993663702460038E-2</v>
      </c>
      <c r="J102" s="2" t="s">
        <v>114</v>
      </c>
      <c r="K102">
        <f>B2059</f>
        <v>7.5559215763014824E-3</v>
      </c>
      <c r="L102">
        <f>C2059</f>
        <v>3.3817637244099121E-3</v>
      </c>
      <c r="M102">
        <f t="shared" si="7"/>
        <v>1.0789871348682659E-2</v>
      </c>
      <c r="N102">
        <f>D2059</f>
        <v>-9.6539121640302379E-3</v>
      </c>
      <c r="O102">
        <f>AVERAGEIFS(E2059:E2078,E2059:E2078,"&lt;=" &amp; N102)</f>
        <v>-9.7954884993897724E-3</v>
      </c>
      <c r="P102">
        <v>77.249375718371923</v>
      </c>
      <c r="Q102">
        <v>16.597010000000001</v>
      </c>
      <c r="R102">
        <f t="shared" si="6"/>
        <v>77.476555490256473</v>
      </c>
      <c r="S102">
        <v>1.0789871348682659E-2</v>
      </c>
      <c r="T102">
        <v>15.93</v>
      </c>
      <c r="V102" t="s">
        <v>228</v>
      </c>
      <c r="W102">
        <v>2.091897152871847E-2</v>
      </c>
    </row>
    <row r="103" spans="1:144" x14ac:dyDescent="0.35">
      <c r="A103" t="s">
        <v>19</v>
      </c>
      <c r="E103">
        <v>-7.9774892327190792E-3</v>
      </c>
      <c r="F103">
        <f t="shared" si="4"/>
        <v>-2.4530642809233016E-2</v>
      </c>
      <c r="G103">
        <f t="shared" si="5"/>
        <v>-3.6993663702460038E-2</v>
      </c>
      <c r="J103" s="2" t="s">
        <v>115</v>
      </c>
      <c r="K103">
        <f>B2079</f>
        <v>1.5175117490402384E-2</v>
      </c>
      <c r="L103">
        <f>C2079</f>
        <v>-5.0531504778110487E-3</v>
      </c>
      <c r="M103">
        <f t="shared" si="7"/>
        <v>7.5559215763014824E-3</v>
      </c>
      <c r="N103">
        <f>D2079</f>
        <v>-4.7885409540798736E-2</v>
      </c>
      <c r="O103">
        <f>AVERAGEIFS(E2079:E2097,E2079:E2097,"&lt;=" &amp; N103)</f>
        <v>-4.7885409540798736E-2</v>
      </c>
      <c r="P103">
        <v>135.18132578443829</v>
      </c>
      <c r="Q103">
        <v>20.604800000000001</v>
      </c>
      <c r="R103">
        <f t="shared" si="6"/>
        <v>77.249375718371923</v>
      </c>
      <c r="S103">
        <v>7.5559215763014824E-3</v>
      </c>
      <c r="T103">
        <v>15.43</v>
      </c>
      <c r="V103" t="s">
        <v>229</v>
      </c>
      <c r="W103">
        <v>1.4980939115401045E-2</v>
      </c>
    </row>
    <row r="104" spans="1:144" s="3" customFormat="1" ht="15" thickBot="1" x14ac:dyDescent="0.4">
      <c r="A104" s="3" t="s">
        <v>20</v>
      </c>
      <c r="B104" s="3" cm="1">
        <f t="array" ref="B104">_xlfn.STDEV.S(_xlfn._xlws.FILTER($E$2:$E$1000, $A$2:$A$1000="2010-06"))</f>
        <v>1.8375573673946786E-2</v>
      </c>
      <c r="C104" s="3" cm="1">
        <f t="array" ref="C104">AVERAGE(_xlfn._xlws.FILTER($E$2:$E$1000, $A$2:$A$1000="2010-06"))</f>
        <v>-3.8468445089134671E-4</v>
      </c>
      <c r="D104" s="3" cm="1">
        <f t="array" ref="D104">_xlfn.PERCENTILE.EXC(_xlfn._xlws.FILTER($E$104:$E$125, $A$104:$A$125="2010-06"), 0.05)</f>
        <v>-4.4428003721429944E-2</v>
      </c>
      <c r="E104" s="3">
        <v>-1.0151019714427331E-2</v>
      </c>
      <c r="F104" s="3">
        <f t="shared" si="4"/>
        <v>-2.453473333670084E-2</v>
      </c>
      <c r="G104" s="3">
        <f t="shared" si="5"/>
        <v>-3.6993663702460038E-2</v>
      </c>
      <c r="J104" s="4" t="s">
        <v>116</v>
      </c>
      <c r="K104" s="3">
        <f>B2098</f>
        <v>1.3297182893174426E-2</v>
      </c>
      <c r="L104" s="3">
        <f>C2098</f>
        <v>-3.4643994597141278E-4</v>
      </c>
      <c r="M104">
        <f t="shared" si="7"/>
        <v>1.5175117490402384E-2</v>
      </c>
      <c r="N104" s="3">
        <f>D2098</f>
        <v>-2.424229895491245E-2</v>
      </c>
      <c r="O104" s="3">
        <f>AVERAGEIFS(E2098:E2118,E2098:E2118,"&lt;=" &amp; N104)</f>
        <v>-2.4665212695198724E-2</v>
      </c>
      <c r="P104" s="3">
        <v>129.37375720618235</v>
      </c>
      <c r="Q104" s="3">
        <v>19.422699999999999</v>
      </c>
      <c r="R104">
        <f t="shared" si="6"/>
        <v>135.18132578443829</v>
      </c>
      <c r="S104">
        <v>1.5175117490402384E-2</v>
      </c>
      <c r="T104" s="3">
        <v>16.09</v>
      </c>
      <c r="U104"/>
      <c r="V104" s="6" t="s">
        <v>230</v>
      </c>
      <c r="W104" s="6">
        <v>183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</row>
    <row r="105" spans="1:144" x14ac:dyDescent="0.35">
      <c r="A105" t="s">
        <v>20</v>
      </c>
      <c r="E105">
        <v>-4.9945101927009209E-3</v>
      </c>
      <c r="F105">
        <f t="shared" si="4"/>
        <v>-2.4538823864168665E-2</v>
      </c>
      <c r="G105">
        <f t="shared" si="5"/>
        <v>-3.6993663702460038E-2</v>
      </c>
      <c r="J105" s="2" t="s">
        <v>117</v>
      </c>
      <c r="K105">
        <f>B2119</f>
        <v>8.8126726388279581E-3</v>
      </c>
      <c r="L105">
        <f>C2119</f>
        <v>1.2222734810384453E-3</v>
      </c>
      <c r="M105">
        <f t="shared" si="7"/>
        <v>1.3297182893174426E-2</v>
      </c>
      <c r="N105">
        <f>D2119</f>
        <v>-1.572941364649575E-2</v>
      </c>
      <c r="O105">
        <f>AVERAGEIFS(E2119:E2140,E2119:E2140,"&lt;=" &amp; N105)</f>
        <v>-1.5959992706989373E-2</v>
      </c>
      <c r="P105">
        <v>101.33782814702596</v>
      </c>
      <c r="Q105">
        <v>14.70101</v>
      </c>
      <c r="R105">
        <f t="shared" si="6"/>
        <v>129.37375720618235</v>
      </c>
      <c r="S105">
        <v>1.3297182893174426E-2</v>
      </c>
      <c r="T105">
        <v>12.83</v>
      </c>
    </row>
    <row r="106" spans="1:144" ht="15" thickBot="1" x14ac:dyDescent="0.4">
      <c r="A106" t="s">
        <v>20</v>
      </c>
      <c r="E106">
        <v>1.5015617197502969E-2</v>
      </c>
      <c r="F106">
        <f t="shared" si="4"/>
        <v>-2.454291439163649E-2</v>
      </c>
      <c r="G106">
        <f t="shared" si="5"/>
        <v>-3.6993663702460038E-2</v>
      </c>
      <c r="J106" s="2" t="s">
        <v>118</v>
      </c>
      <c r="K106">
        <f>B2141</f>
        <v>1.0724370661663278E-2</v>
      </c>
      <c r="L106">
        <f>C2141</f>
        <v>-4.3658563282510309E-3</v>
      </c>
      <c r="M106">
        <f t="shared" si="7"/>
        <v>8.8126726388279581E-3</v>
      </c>
      <c r="N106">
        <f>D2141</f>
        <v>-2.4825666476541674E-2</v>
      </c>
      <c r="O106">
        <f>AVERAGEIFS(E2141:E2161,E2141:E2161,"&lt;=" &amp; N106)</f>
        <v>-2.5441728866032742E-2</v>
      </c>
      <c r="P106">
        <v>87.705528675658257</v>
      </c>
      <c r="Q106">
        <v>18.127970000000001</v>
      </c>
      <c r="R106">
        <f t="shared" si="6"/>
        <v>101.33782814702596</v>
      </c>
      <c r="S106">
        <v>8.8126726388279581E-3</v>
      </c>
      <c r="T106">
        <v>12.86</v>
      </c>
      <c r="V106" t="s">
        <v>231</v>
      </c>
    </row>
    <row r="107" spans="1:144" x14ac:dyDescent="0.35">
      <c r="A107" t="s">
        <v>20</v>
      </c>
      <c r="E107">
        <v>-3.8667843549815686E-2</v>
      </c>
      <c r="F107">
        <f t="shared" si="4"/>
        <v>-2.4547004919104314E-2</v>
      </c>
      <c r="G107">
        <f t="shared" si="5"/>
        <v>-3.6993663702460038E-2</v>
      </c>
      <c r="J107" s="2" t="s">
        <v>119</v>
      </c>
      <c r="K107">
        <f>B2162</f>
        <v>1.2026136791502624E-2</v>
      </c>
      <c r="L107">
        <f>C2162</f>
        <v>1.0791472440333325E-3</v>
      </c>
      <c r="M107">
        <f t="shared" si="7"/>
        <v>1.0724370661663278E-2</v>
      </c>
      <c r="N107">
        <f>D2162</f>
        <v>-3.6434639938618951E-2</v>
      </c>
      <c r="O107">
        <f>AVERAGEIFS(E2162:E2181,E2162:E2181,"&lt;=" &amp; N107)</f>
        <v>-3.7868928359963527E-2</v>
      </c>
      <c r="P107">
        <v>109.44738459303053</v>
      </c>
      <c r="Q107">
        <v>17.146560000000001</v>
      </c>
      <c r="R107">
        <f t="shared" si="6"/>
        <v>87.705528675658257</v>
      </c>
      <c r="S107">
        <v>1.0724370661663278E-2</v>
      </c>
      <c r="T107">
        <v>12.12</v>
      </c>
      <c r="V107" s="7"/>
      <c r="W107" s="7" t="s">
        <v>236</v>
      </c>
      <c r="X107" s="7" t="s">
        <v>237</v>
      </c>
      <c r="Y107" s="7" t="s">
        <v>238</v>
      </c>
      <c r="Z107" s="7" t="s">
        <v>239</v>
      </c>
      <c r="AA107" s="7" t="s">
        <v>240</v>
      </c>
    </row>
    <row r="108" spans="1:144" x14ac:dyDescent="0.35">
      <c r="A108" t="s">
        <v>20</v>
      </c>
      <c r="E108">
        <v>-5.5424993038741162E-3</v>
      </c>
      <c r="F108">
        <f t="shared" si="4"/>
        <v>-2.4513941371027165E-2</v>
      </c>
      <c r="G108">
        <f t="shared" si="5"/>
        <v>-3.6917180068281721E-2</v>
      </c>
      <c r="J108" s="2" t="s">
        <v>120</v>
      </c>
      <c r="K108">
        <f>B2182</f>
        <v>1.2796695835052911E-2</v>
      </c>
      <c r="L108">
        <f>C2182</f>
        <v>-3.8009139965902816E-3</v>
      </c>
      <c r="M108">
        <f t="shared" si="7"/>
        <v>1.2026136791502624E-2</v>
      </c>
      <c r="N108">
        <f>D2182</f>
        <v>-2.3773913114760514E-2</v>
      </c>
      <c r="O108">
        <f>AVERAGEIFS(E2182:E2203,E2182:E2203,"&lt;=" &amp; N108)</f>
        <v>-2.4604306574373548E-2</v>
      </c>
      <c r="P108">
        <v>148.87244196236679</v>
      </c>
      <c r="Q108">
        <v>22.955480000000001</v>
      </c>
      <c r="R108">
        <f t="shared" si="6"/>
        <v>109.44738459303053</v>
      </c>
      <c r="S108">
        <v>1.2026136791502624E-2</v>
      </c>
      <c r="T108">
        <v>21.23</v>
      </c>
      <c r="V108" t="s">
        <v>232</v>
      </c>
      <c r="W108">
        <v>1</v>
      </c>
      <c r="X108">
        <v>1.0971409623053915E-3</v>
      </c>
      <c r="Y108">
        <v>1.0971409623053915E-3</v>
      </c>
      <c r="Z108">
        <v>4.8885982952517573</v>
      </c>
      <c r="AA108">
        <v>2.8287352936269543E-2</v>
      </c>
    </row>
    <row r="109" spans="1:144" x14ac:dyDescent="0.35">
      <c r="A109" t="s">
        <v>20</v>
      </c>
      <c r="E109">
        <v>-4.7549477628767841E-3</v>
      </c>
      <c r="F109">
        <f t="shared" si="4"/>
        <v>-2.4514310525677364E-2</v>
      </c>
      <c r="G109">
        <f t="shared" si="5"/>
        <v>-3.6917180068281721E-2</v>
      </c>
      <c r="J109" s="2" t="s">
        <v>121</v>
      </c>
      <c r="K109">
        <f>B2204</f>
        <v>1.0367830225181229E-2</v>
      </c>
      <c r="L109">
        <f>C2204</f>
        <v>3.2986294219233922E-4</v>
      </c>
      <c r="M109">
        <f t="shared" si="7"/>
        <v>1.2796695835052911E-2</v>
      </c>
      <c r="N109">
        <f>D2204</f>
        <v>-1.7617505188386215E-2</v>
      </c>
      <c r="O109">
        <f>AVERAGEIFS(E2204:E2225,E2204:E2225,"&lt;=" &amp; N109)</f>
        <v>-1.8863925587090914E-2</v>
      </c>
      <c r="P109">
        <v>139.26294795344006</v>
      </c>
      <c r="Q109">
        <v>20.9254</v>
      </c>
      <c r="R109">
        <f t="shared" si="6"/>
        <v>148.87244196236679</v>
      </c>
      <c r="S109">
        <v>1.2796695835052911E-2</v>
      </c>
      <c r="T109">
        <v>18.07</v>
      </c>
      <c r="V109" t="s">
        <v>233</v>
      </c>
      <c r="W109">
        <v>181</v>
      </c>
      <c r="X109">
        <v>4.0621565157062903E-2</v>
      </c>
      <c r="Y109">
        <v>2.2442853677935305E-4</v>
      </c>
    </row>
    <row r="110" spans="1:144" ht="15" thickBot="1" x14ac:dyDescent="0.4">
      <c r="A110" t="s">
        <v>20</v>
      </c>
      <c r="E110">
        <v>1.9763184117536605E-2</v>
      </c>
      <c r="F110">
        <f t="shared" si="4"/>
        <v>-2.4514679680327563E-2</v>
      </c>
      <c r="G110">
        <f t="shared" si="5"/>
        <v>-3.6917180068281721E-2</v>
      </c>
      <c r="J110" s="2" t="s">
        <v>122</v>
      </c>
      <c r="K110">
        <f>B2226</f>
        <v>1.610245331451891E-2</v>
      </c>
      <c r="L110">
        <f>C2226</f>
        <v>-2.7130777394361056E-3</v>
      </c>
      <c r="M110">
        <f t="shared" si="7"/>
        <v>1.0367830225181229E-2</v>
      </c>
      <c r="N110">
        <f>D2226</f>
        <v>-2.2781176443697988E-2</v>
      </c>
      <c r="O110">
        <f>AVERAGEIFS(E2226:E2242,E2226:E2242,"&lt;=" &amp; N110)</f>
        <v>-3.6075777730057934E-2</v>
      </c>
      <c r="P110">
        <v>187.63554528275972</v>
      </c>
      <c r="Q110">
        <v>27.303149999999999</v>
      </c>
      <c r="R110">
        <f t="shared" si="6"/>
        <v>139.26294795344006</v>
      </c>
      <c r="S110">
        <v>1.0367830225181229E-2</v>
      </c>
      <c r="T110">
        <v>25.42</v>
      </c>
      <c r="V110" s="6" t="s">
        <v>234</v>
      </c>
      <c r="W110" s="6">
        <v>182</v>
      </c>
      <c r="X110" s="6">
        <v>4.1718706119368294E-2</v>
      </c>
      <c r="Y110" s="6"/>
      <c r="Z110" s="6"/>
      <c r="AA110" s="6"/>
    </row>
    <row r="111" spans="1:144" ht="15" thickBot="1" x14ac:dyDescent="0.4">
      <c r="A111" t="s">
        <v>20</v>
      </c>
      <c r="E111">
        <v>2.496892455479546E-2</v>
      </c>
      <c r="F111">
        <f t="shared" si="4"/>
        <v>-2.4515048834977758E-2</v>
      </c>
      <c r="G111">
        <f t="shared" si="5"/>
        <v>-3.6917180068281721E-2</v>
      </c>
      <c r="J111" s="2" t="s">
        <v>123</v>
      </c>
      <c r="K111">
        <f>B2243</f>
        <v>9.7660825418702021E-3</v>
      </c>
      <c r="L111">
        <f>C2243</f>
        <v>3.3621154426286925E-3</v>
      </c>
      <c r="M111">
        <f t="shared" si="7"/>
        <v>1.610245331451891E-2</v>
      </c>
      <c r="N111">
        <f>D2243</f>
        <v>-1.0301017505314878E-2</v>
      </c>
      <c r="O111">
        <f>AVERAGEIFS(E2243:E2264,E2243:E2264,"&lt;=" &amp; N111)</f>
        <v>-1.030669702081234E-2</v>
      </c>
      <c r="P111">
        <v>169.99783581953128</v>
      </c>
      <c r="Q111">
        <v>17.303930000000001</v>
      </c>
      <c r="R111">
        <f t="shared" si="6"/>
        <v>187.63554528275972</v>
      </c>
      <c r="S111">
        <v>1.610245331451891E-2</v>
      </c>
      <c r="T111">
        <v>16.57</v>
      </c>
    </row>
    <row r="112" spans="1:144" x14ac:dyDescent="0.35">
      <c r="A112" t="s">
        <v>20</v>
      </c>
      <c r="E112">
        <v>1.3786165875528559E-2</v>
      </c>
      <c r="F112">
        <f t="shared" si="4"/>
        <v>-2.4515417989627957E-2</v>
      </c>
      <c r="G112">
        <f t="shared" si="5"/>
        <v>-3.6917180068281721E-2</v>
      </c>
      <c r="J112" s="2" t="s">
        <v>124</v>
      </c>
      <c r="K112">
        <f>B2265</f>
        <v>1.0002962044686084E-2</v>
      </c>
      <c r="L112">
        <f>C2265</f>
        <v>2.2996736464049915E-3</v>
      </c>
      <c r="M112">
        <f t="shared" si="7"/>
        <v>9.7660825418702021E-3</v>
      </c>
      <c r="N112">
        <f>D2265</f>
        <v>-2.5332830177147301E-2</v>
      </c>
      <c r="O112">
        <f>AVERAGEIFS(E2265:E2284,E2265:E2284,"&lt;=" &amp; N112)</f>
        <v>-2.6253705780519623E-2</v>
      </c>
      <c r="P112">
        <v>158.58831954067259</v>
      </c>
      <c r="Q112">
        <v>15.46541</v>
      </c>
      <c r="R112">
        <f t="shared" si="6"/>
        <v>169.99783581953128</v>
      </c>
      <c r="S112">
        <v>9.7660825418702021E-3</v>
      </c>
      <c r="T112">
        <v>14.78</v>
      </c>
      <c r="V112" s="7"/>
      <c r="W112" s="7" t="s">
        <v>241</v>
      </c>
      <c r="X112" s="7" t="s">
        <v>229</v>
      </c>
      <c r="Y112" s="7" t="s">
        <v>242</v>
      </c>
      <c r="Z112" s="7" t="s">
        <v>243</v>
      </c>
      <c r="AA112" s="7" t="s">
        <v>244</v>
      </c>
      <c r="AB112" s="7" t="s">
        <v>245</v>
      </c>
      <c r="AC112" s="7" t="s">
        <v>246</v>
      </c>
      <c r="AD112" s="7" t="s">
        <v>247</v>
      </c>
    </row>
    <row r="113" spans="1:144" x14ac:dyDescent="0.35">
      <c r="A113" t="s">
        <v>20</v>
      </c>
      <c r="E113">
        <v>2.6515268590092688E-2</v>
      </c>
      <c r="F113">
        <f t="shared" si="4"/>
        <v>-2.4515787144278156E-2</v>
      </c>
      <c r="G113">
        <f t="shared" si="5"/>
        <v>-3.6917180068281721E-2</v>
      </c>
      <c r="J113" s="2" t="s">
        <v>125</v>
      </c>
      <c r="K113">
        <f>B2285</f>
        <v>6.6483285893752103E-3</v>
      </c>
      <c r="L113">
        <f>C2285</f>
        <v>1.4229695721224421E-3</v>
      </c>
      <c r="M113">
        <f t="shared" si="7"/>
        <v>1.0002962044686084E-2</v>
      </c>
      <c r="N113">
        <f>D2285</f>
        <v>-1.3514085476556652E-2</v>
      </c>
      <c r="O113">
        <f>AVERAGEIFS(E2285:E2305,E2285:E2305,"&lt;=" &amp; N113)</f>
        <v>-1.3865352056368564E-2</v>
      </c>
      <c r="P113">
        <v>107.76082900119499</v>
      </c>
      <c r="Q113">
        <v>17.139849999999999</v>
      </c>
      <c r="R113">
        <f t="shared" si="6"/>
        <v>158.58831954067259</v>
      </c>
      <c r="S113">
        <v>1.0002962044686084E-2</v>
      </c>
      <c r="T113">
        <v>13.71</v>
      </c>
      <c r="V113" t="s">
        <v>235</v>
      </c>
      <c r="W113">
        <v>-1.8485615131989319E-2</v>
      </c>
      <c r="X113">
        <v>3.6489976840483307E-3</v>
      </c>
      <c r="Y113">
        <v>-5.0659432349873965</v>
      </c>
      <c r="Z113">
        <v>9.9672757339389138E-7</v>
      </c>
      <c r="AA113">
        <v>-2.5685660609091748E-2</v>
      </c>
      <c r="AB113">
        <v>-1.1285569654886892E-2</v>
      </c>
      <c r="AC113">
        <v>-2.5685660609091748E-2</v>
      </c>
      <c r="AD113">
        <v>-1.1285569654886892E-2</v>
      </c>
    </row>
    <row r="114" spans="1:144" ht="15" thickBot="1" x14ac:dyDescent="0.4">
      <c r="A114" t="s">
        <v>20</v>
      </c>
      <c r="E114">
        <v>1.9336772141387688E-2</v>
      </c>
      <c r="F114">
        <f t="shared" si="4"/>
        <v>-2.4516156298928352E-2</v>
      </c>
      <c r="G114">
        <f t="shared" si="5"/>
        <v>-3.6917180068281721E-2</v>
      </c>
      <c r="J114" s="2" t="s">
        <v>126</v>
      </c>
      <c r="K114">
        <f>B2306</f>
        <v>4.6471569862134377E-3</v>
      </c>
      <c r="L114">
        <f>C2306</f>
        <v>1.3789037455818375E-3</v>
      </c>
      <c r="M114">
        <f t="shared" si="7"/>
        <v>6.6483285893752103E-3</v>
      </c>
      <c r="N114">
        <f>D2306</f>
        <v>-7.7398156022815958E-3</v>
      </c>
      <c r="O114">
        <f>AVERAGEIFS(E2306:E2325,E2306:E2325,"&lt;=" &amp; N114)</f>
        <v>-7.9044401095470646E-3</v>
      </c>
      <c r="P114">
        <v>145.0856423888163</v>
      </c>
      <c r="Q114">
        <v>14.876429999999999</v>
      </c>
      <c r="R114">
        <f t="shared" si="6"/>
        <v>107.76082900119499</v>
      </c>
      <c r="S114">
        <v>6.6483285893752103E-3</v>
      </c>
      <c r="T114">
        <v>13.12</v>
      </c>
      <c r="V114" s="6" t="s">
        <v>248</v>
      </c>
      <c r="W114" s="6">
        <v>-6.1874110847176311E-5</v>
      </c>
      <c r="X114" s="6">
        <v>2.7984451238888274E-5</v>
      </c>
      <c r="Y114" s="6">
        <v>-2.2110174796350361</v>
      </c>
      <c r="Z114" s="6">
        <v>2.8287352936271232E-2</v>
      </c>
      <c r="AA114" s="6">
        <v>-1.1709182788014833E-4</v>
      </c>
      <c r="AB114" s="6">
        <v>-6.6563938142042952E-6</v>
      </c>
      <c r="AC114" s="6">
        <v>-1.1709182788014833E-4</v>
      </c>
      <c r="AD114" s="6">
        <v>-6.6563938142042952E-6</v>
      </c>
    </row>
    <row r="115" spans="1:144" x14ac:dyDescent="0.35">
      <c r="A115" t="s">
        <v>20</v>
      </c>
      <c r="E115">
        <v>-9.7653813111467402E-4</v>
      </c>
      <c r="F115">
        <f t="shared" si="4"/>
        <v>-2.4516525453578551E-2</v>
      </c>
      <c r="G115">
        <f t="shared" si="5"/>
        <v>-3.6917180068281721E-2</v>
      </c>
      <c r="J115" s="2" t="s">
        <v>127</v>
      </c>
      <c r="K115">
        <f>B2326</f>
        <v>1.2225500204075899E-2</v>
      </c>
      <c r="L115">
        <f>C2326</f>
        <v>-4.9922632066536918E-3</v>
      </c>
      <c r="M115">
        <f t="shared" si="7"/>
        <v>4.6471569862134377E-3</v>
      </c>
      <c r="N115">
        <f>D2326</f>
        <v>-2.7064088794964285E-2</v>
      </c>
      <c r="O115">
        <f>AVERAGEIFS(E2326:E2345,E2326:E2345,"&lt;=" &amp; N115)</f>
        <v>-2.7155370778338697E-2</v>
      </c>
      <c r="P115">
        <v>163.96968899462195</v>
      </c>
      <c r="Q115">
        <v>19.446210000000001</v>
      </c>
      <c r="R115">
        <f t="shared" si="6"/>
        <v>145.0856423888163</v>
      </c>
      <c r="S115">
        <v>4.6471569862134377E-3</v>
      </c>
      <c r="T115">
        <v>18.71</v>
      </c>
    </row>
    <row r="116" spans="1:144" x14ac:dyDescent="0.35">
      <c r="A116" t="s">
        <v>20</v>
      </c>
      <c r="E116">
        <v>3.0536177584396707E-4</v>
      </c>
      <c r="F116">
        <f t="shared" si="4"/>
        <v>-2.4516894608228749E-2</v>
      </c>
      <c r="G116">
        <f t="shared" si="5"/>
        <v>-3.6917180068281721E-2</v>
      </c>
      <c r="J116" s="2" t="s">
        <v>128</v>
      </c>
      <c r="K116">
        <f>B2346</f>
        <v>8.2158874015862519E-3</v>
      </c>
      <c r="L116">
        <f>C2346</f>
        <v>3.6764408791235977E-3</v>
      </c>
      <c r="M116">
        <f t="shared" si="7"/>
        <v>1.2225500204075899E-2</v>
      </c>
      <c r="N116">
        <f>D2346</f>
        <v>-7.3417347532991825E-3</v>
      </c>
      <c r="O116">
        <f>AVERAGEIFS(E2346:E2364,E2346:E2364,"&lt;=" &amp; N116)</f>
        <v>-7.3417347532991825E-3</v>
      </c>
      <c r="P116">
        <v>114.65299591661471</v>
      </c>
      <c r="Q116">
        <v>15.600680000000001</v>
      </c>
      <c r="R116">
        <f t="shared" si="6"/>
        <v>163.96968899462195</v>
      </c>
      <c r="S116">
        <v>1.2225500204075899E-2</v>
      </c>
      <c r="T116">
        <v>15.08</v>
      </c>
    </row>
    <row r="117" spans="1:144" x14ac:dyDescent="0.35">
      <c r="A117" t="s">
        <v>20</v>
      </c>
      <c r="E117">
        <v>8.8768533118112371E-3</v>
      </c>
      <c r="F117">
        <f t="shared" si="4"/>
        <v>-2.4517263762878948E-2</v>
      </c>
      <c r="G117">
        <f t="shared" si="5"/>
        <v>-3.6917180068281721E-2</v>
      </c>
      <c r="J117" s="2" t="s">
        <v>129</v>
      </c>
      <c r="K117">
        <f>B2365</f>
        <v>9.5001397940318935E-3</v>
      </c>
      <c r="L117">
        <f>C2365</f>
        <v>3.3328107081840908E-4</v>
      </c>
      <c r="M117">
        <f t="shared" si="7"/>
        <v>8.2158874015862519E-3</v>
      </c>
      <c r="N117">
        <f>D2365</f>
        <v>-2.0451769640048332E-2</v>
      </c>
      <c r="O117">
        <f>AVERAGEIFS(E2365:E2387,E2365:E2387,"&lt;=" &amp; N117)</f>
        <v>-2.0550765580473401E-2</v>
      </c>
      <c r="P117">
        <v>88.916760644204544</v>
      </c>
      <c r="Q117">
        <v>16.014189999999999</v>
      </c>
      <c r="R117">
        <f t="shared" si="6"/>
        <v>114.65299591661471</v>
      </c>
      <c r="S117">
        <v>8.2158874015862519E-3</v>
      </c>
      <c r="T117">
        <v>16.12</v>
      </c>
      <c r="V117" t="s">
        <v>225</v>
      </c>
    </row>
    <row r="118" spans="1:144" ht="15" thickBot="1" x14ac:dyDescent="0.4">
      <c r="A118" t="s">
        <v>20</v>
      </c>
      <c r="E118">
        <v>2.7972180812303924E-3</v>
      </c>
      <c r="F118">
        <f t="shared" si="4"/>
        <v>-2.4517632917529144E-2</v>
      </c>
      <c r="G118">
        <f t="shared" si="5"/>
        <v>-3.6917180068281721E-2</v>
      </c>
      <c r="J118" s="2" t="s">
        <v>130</v>
      </c>
      <c r="K118">
        <f>B2388</f>
        <v>1.6045530566424021E-2</v>
      </c>
      <c r="L118">
        <f>C2388</f>
        <v>-1.7623632250094367E-4</v>
      </c>
      <c r="M118">
        <f t="shared" si="7"/>
        <v>9.5001397940318935E-3</v>
      </c>
      <c r="N118">
        <f>D2388</f>
        <v>-2.5576440271069766E-2</v>
      </c>
      <c r="O118">
        <f>AVERAGEIFS(E2388:E2407,E2388:E2407,"&lt;=" &amp; N118)</f>
        <v>-2.5600693581814059E-2</v>
      </c>
      <c r="P118">
        <v>112.59803082900295</v>
      </c>
      <c r="Q118">
        <v>19.413709999999998</v>
      </c>
      <c r="R118">
        <f t="shared" si="6"/>
        <v>88.916760644204544</v>
      </c>
      <c r="S118">
        <v>9.5001397940318935E-3</v>
      </c>
      <c r="T118">
        <v>18.98</v>
      </c>
    </row>
    <row r="119" spans="1:144" x14ac:dyDescent="0.35">
      <c r="A119" t="s">
        <v>20</v>
      </c>
      <c r="E119">
        <v>-9.7254545999240875E-3</v>
      </c>
      <c r="F119">
        <f t="shared" si="4"/>
        <v>-2.4518002072179343E-2</v>
      </c>
      <c r="G119">
        <f t="shared" si="5"/>
        <v>-3.6917180068281721E-2</v>
      </c>
      <c r="J119" s="2" t="s">
        <v>131</v>
      </c>
      <c r="K119">
        <f>B2408</f>
        <v>6.8135027777892774E-3</v>
      </c>
      <c r="L119">
        <f>C2408</f>
        <v>1.7211595985213151E-3</v>
      </c>
      <c r="M119">
        <f t="shared" si="7"/>
        <v>1.6045530566424021E-2</v>
      </c>
      <c r="N119">
        <f>D2408</f>
        <v>-1.0094266680065453E-2</v>
      </c>
      <c r="O119">
        <f>AVERAGEIFS(E2408:E2428,E2408:E2428,"&lt;=" &amp; N119)</f>
        <v>-1.0147934365150151E-2</v>
      </c>
      <c r="P119">
        <v>111.84922127195817</v>
      </c>
      <c r="Q119">
        <v>17.257490000000001</v>
      </c>
      <c r="R119">
        <f t="shared" si="6"/>
        <v>112.59803082900295</v>
      </c>
      <c r="S119">
        <v>1.6045530566424021E-2</v>
      </c>
      <c r="T119">
        <v>16.239999999999998</v>
      </c>
      <c r="V119" s="8" t="s">
        <v>226</v>
      </c>
      <c r="W119" s="8"/>
    </row>
    <row r="120" spans="1:144" x14ac:dyDescent="0.35">
      <c r="A120" t="s">
        <v>20</v>
      </c>
      <c r="E120">
        <v>-1.2210184174281354E-2</v>
      </c>
      <c r="F120">
        <f t="shared" si="4"/>
        <v>-2.4518371226829542E-2</v>
      </c>
      <c r="G120">
        <f t="shared" si="5"/>
        <v>-3.6917180068281721E-2</v>
      </c>
      <c r="J120" s="2" t="s">
        <v>132</v>
      </c>
      <c r="K120">
        <f>B2429</f>
        <v>9.7452191386858955E-3</v>
      </c>
      <c r="L120">
        <f>C2429</f>
        <v>1.1892942431635588E-3</v>
      </c>
      <c r="M120">
        <f t="shared" si="7"/>
        <v>6.8135027777892774E-3</v>
      </c>
      <c r="N120">
        <f>D2429</f>
        <v>-2.6469179657863807E-2</v>
      </c>
      <c r="O120">
        <f>AVERAGEIFS(E2429:E2450,E2429:E2450,"&lt;=" &amp; N120)</f>
        <v>-2.9120308983266553E-2</v>
      </c>
      <c r="P120">
        <v>95.26595263668905</v>
      </c>
      <c r="Q120">
        <v>15.372450000000001</v>
      </c>
      <c r="R120">
        <f t="shared" si="6"/>
        <v>111.84922127195817</v>
      </c>
      <c r="S120">
        <v>6.8135027777892774E-3</v>
      </c>
      <c r="T120">
        <v>13.22</v>
      </c>
      <c r="V120" t="s">
        <v>227</v>
      </c>
      <c r="W120">
        <v>0.42214037197423065</v>
      </c>
    </row>
    <row r="121" spans="1:144" x14ac:dyDescent="0.35">
      <c r="A121" t="s">
        <v>20</v>
      </c>
      <c r="E121">
        <v>-2.0671528158892699E-2</v>
      </c>
      <c r="F121">
        <f t="shared" si="4"/>
        <v>-2.4522461754297366E-2</v>
      </c>
      <c r="G121">
        <f t="shared" si="5"/>
        <v>-3.6984564898941794E-2</v>
      </c>
      <c r="J121" s="2" t="s">
        <v>133</v>
      </c>
      <c r="K121">
        <f>B2451</f>
        <v>6.6095620346862845E-3</v>
      </c>
      <c r="L121">
        <f>C2451</f>
        <v>1.1721859228800292E-3</v>
      </c>
      <c r="M121">
        <f t="shared" si="7"/>
        <v>9.7452191386858955E-3</v>
      </c>
      <c r="N121">
        <f>D2451</f>
        <v>-8.3517784932952439E-3</v>
      </c>
      <c r="O121">
        <f>AVERAGEIFS(E2451:E2471,E2451:E2471,"&lt;=" &amp; N121)</f>
        <v>-8.6029882431942952E-3</v>
      </c>
      <c r="P121">
        <v>89.521094544257565</v>
      </c>
      <c r="Q121">
        <v>14.51248</v>
      </c>
      <c r="R121">
        <f t="shared" si="6"/>
        <v>95.26595263668905</v>
      </c>
      <c r="S121">
        <v>9.7452191386858955E-3</v>
      </c>
      <c r="T121">
        <v>12.62</v>
      </c>
      <c r="V121" t="s">
        <v>228</v>
      </c>
      <c r="W121">
        <v>0.17820249365054183</v>
      </c>
      <c r="Y121" t="s">
        <v>385</v>
      </c>
    </row>
    <row r="122" spans="1:144" x14ac:dyDescent="0.35">
      <c r="A122" t="s">
        <v>20</v>
      </c>
      <c r="E122">
        <v>9.6982450270962045E-4</v>
      </c>
      <c r="F122">
        <f t="shared" si="4"/>
        <v>-2.4526552281765191E-2</v>
      </c>
      <c r="G122">
        <f t="shared" si="5"/>
        <v>-3.6984564898941794E-2</v>
      </c>
      <c r="J122" s="2" t="s">
        <v>134</v>
      </c>
      <c r="K122">
        <f>B2472</f>
        <v>9.2967666511426621E-3</v>
      </c>
      <c r="L122">
        <f>C2472</f>
        <v>5.8695035490110062E-4</v>
      </c>
      <c r="M122">
        <f t="shared" si="7"/>
        <v>6.6095620346862845E-3</v>
      </c>
      <c r="N122">
        <f>D2472</f>
        <v>-1.2498787157846124E-2</v>
      </c>
      <c r="O122">
        <f>AVERAGEIFS(E2472:E2489,E2472:E2489,"&lt;=" &amp; N122)</f>
        <v>-2.3082738476258489E-2</v>
      </c>
      <c r="P122">
        <v>149.83251519551408</v>
      </c>
      <c r="Q122">
        <v>15.644729999999999</v>
      </c>
      <c r="R122">
        <f t="shared" si="6"/>
        <v>89.521094544257565</v>
      </c>
      <c r="S122">
        <v>6.6095620346862845E-3</v>
      </c>
      <c r="T122">
        <v>13.78</v>
      </c>
      <c r="V122" t="s">
        <v>228</v>
      </c>
      <c r="W122">
        <v>0.16442935108602577</v>
      </c>
    </row>
    <row r="123" spans="1:144" x14ac:dyDescent="0.35">
      <c r="A123" t="s">
        <v>20</v>
      </c>
      <c r="E123">
        <v>8.4241007903229134E-3</v>
      </c>
      <c r="F123">
        <f t="shared" si="4"/>
        <v>-2.4530642809233016E-2</v>
      </c>
      <c r="G123">
        <f t="shared" si="5"/>
        <v>-3.6984564898941794E-2</v>
      </c>
      <c r="J123" s="2" t="s">
        <v>135</v>
      </c>
      <c r="K123">
        <f>B2490</f>
        <v>1.1605572013354541E-2</v>
      </c>
      <c r="L123">
        <f>C2490</f>
        <v>-5.2383278789274249E-4</v>
      </c>
      <c r="M123">
        <f t="shared" si="7"/>
        <v>9.2967666511426621E-3</v>
      </c>
      <c r="N123">
        <f>D2490</f>
        <v>-2.331200668754781E-2</v>
      </c>
      <c r="O123">
        <f>AVERAGEIFS(E2490:E2511,E2490:E2511,"&lt;=" &amp; N123)</f>
        <v>-2.3341651284734175E-2</v>
      </c>
      <c r="P123">
        <v>127.87341148074616</v>
      </c>
      <c r="Q123">
        <v>19.012</v>
      </c>
      <c r="R123">
        <f t="shared" si="6"/>
        <v>149.83251519551408</v>
      </c>
      <c r="S123">
        <v>9.2967666511426621E-3</v>
      </c>
      <c r="T123">
        <v>18.84</v>
      </c>
      <c r="V123" t="s">
        <v>229</v>
      </c>
      <c r="W123">
        <v>1.3839528977885627E-2</v>
      </c>
    </row>
    <row r="124" spans="1:144" ht="15" thickBot="1" x14ac:dyDescent="0.4">
      <c r="A124" t="s">
        <v>20</v>
      </c>
      <c r="E124">
        <v>-4.5444502575244225E-2</v>
      </c>
      <c r="F124">
        <f t="shared" si="4"/>
        <v>-2.453473333670084E-2</v>
      </c>
      <c r="G124">
        <f t="shared" si="5"/>
        <v>-3.6984564898941794E-2</v>
      </c>
      <c r="J124" s="2" t="s">
        <v>136</v>
      </c>
      <c r="K124">
        <f>B2512</f>
        <v>1.9041763708919027E-2</v>
      </c>
      <c r="L124">
        <f>C2512</f>
        <v>-2.7711329259517779E-3</v>
      </c>
      <c r="M124">
        <f t="shared" si="7"/>
        <v>1.1605572013354541E-2</v>
      </c>
      <c r="N124">
        <f>D2512</f>
        <v>-5.4890358955676552E-2</v>
      </c>
      <c r="O124">
        <f>AVERAGEIFS(E2512:E2531,E2512:E2531,"&lt;=" &amp; N124)</f>
        <v>-5.5863091763679165E-2</v>
      </c>
      <c r="P124">
        <v>106.60549120564356</v>
      </c>
      <c r="Q124">
        <v>46.46481</v>
      </c>
      <c r="R124">
        <f t="shared" si="6"/>
        <v>127.87341148074616</v>
      </c>
      <c r="S124">
        <v>1.1605572013354541E-2</v>
      </c>
      <c r="T124">
        <v>40.11</v>
      </c>
      <c r="V124" s="6" t="s">
        <v>230</v>
      </c>
      <c r="W124" s="6">
        <v>183</v>
      </c>
    </row>
    <row r="125" spans="1:144" x14ac:dyDescent="0.35">
      <c r="A125" t="s">
        <v>20</v>
      </c>
      <c r="E125">
        <v>3.9166793047801518E-3</v>
      </c>
      <c r="F125">
        <f t="shared" si="4"/>
        <v>-2.4512833907076571E-2</v>
      </c>
      <c r="G125">
        <f t="shared" si="5"/>
        <v>-3.6870835924222148E-2</v>
      </c>
      <c r="J125" s="2" t="s">
        <v>137</v>
      </c>
      <c r="K125">
        <f>B2285</f>
        <v>6.6483285893752103E-3</v>
      </c>
      <c r="L125">
        <f>C2285</f>
        <v>1.4229695721224421E-3</v>
      </c>
      <c r="M125">
        <f t="shared" si="7"/>
        <v>1.9041763708919027E-2</v>
      </c>
      <c r="N125">
        <f>D2285</f>
        <v>-1.3514085476556652E-2</v>
      </c>
      <c r="O125">
        <f>AVERAGEIFS(E2532:E2553,E2532:E2553,"&lt;=" &amp; N125)</f>
        <v>-6.2615447784510225E-2</v>
      </c>
      <c r="P125">
        <v>225.07434688035408</v>
      </c>
      <c r="Q125">
        <v>53.310940000000002</v>
      </c>
      <c r="R125">
        <f t="shared" si="6"/>
        <v>106.60549120564356</v>
      </c>
      <c r="S125">
        <v>1.9041763708919027E-2</v>
      </c>
      <c r="T125">
        <v>53.54</v>
      </c>
    </row>
    <row r="126" spans="1:144" s="3" customFormat="1" ht="15" thickBot="1" x14ac:dyDescent="0.4">
      <c r="A126" s="3" t="s">
        <v>21</v>
      </c>
      <c r="B126" s="3" cm="1">
        <f t="array" ref="B126">_xlfn.STDEV.S(_xlfn._xlws.FILTER($E$2:$E$1000, $A$2:$A$1000="2010-07"))</f>
        <v>1.4376770612039307E-2</v>
      </c>
      <c r="C126" s="3" cm="1">
        <f t="array" ref="C126">AVERAGE(_xlfn._xlws.FILTER($E$2:$E$1000, $A$2:$A$1000="2010-07"))</f>
        <v>3.8561299443588969E-3</v>
      </c>
      <c r="D126" s="3" cm="1">
        <f t="array" ref="D126">_xlfn.PERCENTILE.EXC(_xlfn._xlws.FILTER($E$126:$E$252, $A$126:$A$252="2010-07"), 0.05)</f>
        <v>-1.8709813019539036E-2</v>
      </c>
      <c r="E126" s="3">
        <v>-1.9239129249986893E-2</v>
      </c>
      <c r="F126" s="3">
        <f t="shared" si="4"/>
        <v>-2.4513203061726767E-2</v>
      </c>
      <c r="G126" s="3">
        <f t="shared" si="5"/>
        <v>-3.6870835924222148E-2</v>
      </c>
      <c r="J126" s="4" t="s">
        <v>138</v>
      </c>
      <c r="K126" s="3">
        <f>B2554</f>
        <v>2.3957094791187045E-2</v>
      </c>
      <c r="L126" s="3">
        <f>C2554</f>
        <v>1.8410936439286838E-3</v>
      </c>
      <c r="M126">
        <f t="shared" si="7"/>
        <v>6.6483285893752103E-3</v>
      </c>
      <c r="N126" s="3">
        <f>D2554</f>
        <v>-4.836508464338074E-2</v>
      </c>
      <c r="O126" s="3">
        <f>AVERAGEIFS(E2554:E2573,E2554:E2573,"&lt;=" &amp; N126)</f>
        <v>-4.8984192364960447E-2</v>
      </c>
      <c r="P126" s="3">
        <v>211.46612739542979</v>
      </c>
      <c r="Q126" s="3">
        <v>37.087910000000001</v>
      </c>
      <c r="R126">
        <f t="shared" si="6"/>
        <v>225.07434688035408</v>
      </c>
      <c r="S126">
        <v>6.6483285893752103E-3</v>
      </c>
      <c r="T126" s="3">
        <v>34.15</v>
      </c>
      <c r="V126" t="s">
        <v>231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</row>
    <row r="127" spans="1:144" x14ac:dyDescent="0.35">
      <c r="A127" t="s">
        <v>21</v>
      </c>
      <c r="E127">
        <v>6.8436973151633851E-3</v>
      </c>
      <c r="F127">
        <f t="shared" si="4"/>
        <v>-2.4513572216376966E-2</v>
      </c>
      <c r="G127">
        <f t="shared" si="5"/>
        <v>-3.6870835924222148E-2</v>
      </c>
      <c r="J127" s="2" t="s">
        <v>139</v>
      </c>
      <c r="K127">
        <f>B2574</f>
        <v>1.9439007455224405E-2</v>
      </c>
      <c r="L127">
        <f>C2574</f>
        <v>1.5700173393247423E-3</v>
      </c>
      <c r="M127">
        <f t="shared" si="7"/>
        <v>2.3957094791187045E-2</v>
      </c>
      <c r="N127">
        <f>D2574</f>
        <v>-2.4051125873958461E-2</v>
      </c>
      <c r="O127">
        <f>AVERAGEIFS(E2574:E2591,E2574:E2591,"&lt;=" &amp; N127)</f>
        <v>-3.7721347952089063E-2</v>
      </c>
      <c r="P127">
        <v>174.28109207331573</v>
      </c>
      <c r="Q127">
        <v>34.543970000000002</v>
      </c>
      <c r="R127">
        <f t="shared" si="6"/>
        <v>211.46612739542979</v>
      </c>
      <c r="S127">
        <v>2.3957094791187045E-2</v>
      </c>
      <c r="T127">
        <v>27.51</v>
      </c>
      <c r="V127" s="7"/>
      <c r="W127" s="7" t="s">
        <v>236</v>
      </c>
      <c r="X127" s="7" t="s">
        <v>237</v>
      </c>
      <c r="Y127" s="7" t="s">
        <v>238</v>
      </c>
      <c r="Z127" s="7" t="s">
        <v>239</v>
      </c>
      <c r="AA127" s="7" t="s">
        <v>240</v>
      </c>
    </row>
    <row r="128" spans="1:144" x14ac:dyDescent="0.35">
      <c r="A128" t="s">
        <v>21</v>
      </c>
      <c r="E128">
        <v>-1.1881768614573818E-2</v>
      </c>
      <c r="F128">
        <f t="shared" si="4"/>
        <v>-2.4513941371027165E-2</v>
      </c>
      <c r="G128">
        <f t="shared" si="5"/>
        <v>-3.6870835924222148E-2</v>
      </c>
      <c r="J128" s="2" t="s">
        <v>140</v>
      </c>
      <c r="K128">
        <f>B2592</f>
        <v>2.1770776443514644E-2</v>
      </c>
      <c r="L128">
        <f>C2592</f>
        <v>2.9868044965663241E-3</v>
      </c>
      <c r="M128">
        <f t="shared" si="7"/>
        <v>1.9439007455224405E-2</v>
      </c>
      <c r="N128">
        <f>D2592</f>
        <v>-4.7883497963209024E-2</v>
      </c>
      <c r="O128">
        <f>AVERAGEIFS(E2592:E2612,E2592:E2612,"&lt;=" &amp; N128)</f>
        <v>-4.9337281850816324E-2</v>
      </c>
      <c r="P128">
        <v>156.47175198515851</v>
      </c>
      <c r="Q128">
        <v>35.660429999999998</v>
      </c>
      <c r="R128">
        <f t="shared" si="6"/>
        <v>174.28109207331573</v>
      </c>
      <c r="S128">
        <v>1.9439007455224405E-2</v>
      </c>
      <c r="T128">
        <v>30.43</v>
      </c>
      <c r="V128" t="s">
        <v>232</v>
      </c>
      <c r="W128">
        <v>3</v>
      </c>
      <c r="X128">
        <v>7.4343774623455497E-3</v>
      </c>
      <c r="Y128">
        <v>2.4781258207818499E-3</v>
      </c>
      <c r="Z128">
        <v>12.938404784224586</v>
      </c>
      <c r="AA128">
        <v>1.0908383941799885E-7</v>
      </c>
    </row>
    <row r="129" spans="1:30" x14ac:dyDescent="0.35">
      <c r="A129" t="s">
        <v>21</v>
      </c>
      <c r="E129">
        <v>2.660002790085856E-2</v>
      </c>
      <c r="F129">
        <f t="shared" si="4"/>
        <v>-2.4514310525677364E-2</v>
      </c>
      <c r="G129">
        <f t="shared" si="5"/>
        <v>-3.6870835924222148E-2</v>
      </c>
      <c r="J129" s="2" t="s">
        <v>141</v>
      </c>
      <c r="K129">
        <f>B2613</f>
        <v>1.3612414684268825E-2</v>
      </c>
      <c r="L129">
        <f>C2613</f>
        <v>-6.4107308300707575E-4</v>
      </c>
      <c r="M129">
        <f t="shared" si="7"/>
        <v>2.1770776443514644E-2</v>
      </c>
      <c r="N129">
        <f>D2613</f>
        <v>-3.0676016903073828E-2</v>
      </c>
      <c r="O129">
        <f>AVERAGEIFS(E2613:E2635,E2613:E2635,"&lt;=" &amp; N129)</f>
        <v>-3.3350879596743037E-2</v>
      </c>
      <c r="P129">
        <v>150.86637954896941</v>
      </c>
      <c r="Q129">
        <v>31.437750000000001</v>
      </c>
      <c r="R129">
        <f t="shared" si="6"/>
        <v>156.47175198515851</v>
      </c>
      <c r="S129">
        <v>2.1770776443514644E-2</v>
      </c>
      <c r="T129">
        <v>24.46</v>
      </c>
      <c r="V129" t="s">
        <v>233</v>
      </c>
      <c r="W129">
        <v>179</v>
      </c>
      <c r="X129">
        <v>3.4284328657022745E-2</v>
      </c>
      <c r="Y129">
        <v>1.9153256232973601E-4</v>
      </c>
    </row>
    <row r="130" spans="1:30" ht="15" thickBot="1" x14ac:dyDescent="0.4">
      <c r="A130" t="s">
        <v>21</v>
      </c>
      <c r="E130">
        <v>3.3349013811975976E-2</v>
      </c>
      <c r="F130">
        <f t="shared" si="4"/>
        <v>-2.4514679680327563E-2</v>
      </c>
      <c r="G130">
        <f t="shared" si="5"/>
        <v>-3.6870835924222148E-2</v>
      </c>
      <c r="J130" s="2" t="s">
        <v>142</v>
      </c>
      <c r="K130">
        <f>B2636</f>
        <v>1.2052922590584813E-2</v>
      </c>
      <c r="L130">
        <f>C2636</f>
        <v>1.9242637569643474E-3</v>
      </c>
      <c r="M130">
        <f t="shared" si="7"/>
        <v>1.3612414684268825E-2</v>
      </c>
      <c r="N130">
        <f>D2636</f>
        <v>-1.4500575421230793E-2</v>
      </c>
      <c r="O130">
        <f>AVERAGEIFS(E2636:E2655,E2636:E2655,"&lt;=" &amp; N130)</f>
        <v>-1.4501311645987723E-2</v>
      </c>
      <c r="P130">
        <v>160.26182113782582</v>
      </c>
      <c r="Q130">
        <v>31.91592</v>
      </c>
      <c r="R130">
        <f t="shared" si="6"/>
        <v>150.86637954896941</v>
      </c>
      <c r="S130">
        <v>1.3612414684268825E-2</v>
      </c>
      <c r="T130">
        <v>26.41</v>
      </c>
      <c r="V130" s="6" t="s">
        <v>234</v>
      </c>
      <c r="W130" s="6">
        <v>182</v>
      </c>
      <c r="X130" s="6">
        <v>4.1718706119368294E-2</v>
      </c>
      <c r="Y130" s="6"/>
      <c r="Z130" s="6"/>
      <c r="AA130" s="6"/>
    </row>
    <row r="131" spans="1:30" ht="15" thickBot="1" x14ac:dyDescent="0.4">
      <c r="A131" t="s">
        <v>21</v>
      </c>
      <c r="E131">
        <v>1.145955586191889E-2</v>
      </c>
      <c r="F131">
        <f t="shared" si="4"/>
        <v>-2.4515048834977758E-2</v>
      </c>
      <c r="G131">
        <f t="shared" si="5"/>
        <v>-3.6870835924222148E-2</v>
      </c>
      <c r="J131" s="2" t="s">
        <v>143</v>
      </c>
      <c r="K131">
        <f>B2656</f>
        <v>1.4101204140466894E-2</v>
      </c>
      <c r="L131">
        <f>C2656</f>
        <v>-1.9322121465144358E-3</v>
      </c>
      <c r="M131">
        <f t="shared" si="7"/>
        <v>1.2052922590584813E-2</v>
      </c>
      <c r="N131">
        <f>D2656</f>
        <v>-3.5205406654986338E-2</v>
      </c>
      <c r="O131">
        <f>AVERAGEIFS(E2656:E2677,E2656:E2677,"&lt;=" &amp; N131)</f>
        <v>-3.8189538880905094E-2</v>
      </c>
      <c r="P131">
        <v>169.11854068448324</v>
      </c>
      <c r="Q131">
        <v>30.5473</v>
      </c>
      <c r="R131">
        <f t="shared" si="6"/>
        <v>160.26182113782582</v>
      </c>
      <c r="S131">
        <v>1.2052922590584813E-2</v>
      </c>
      <c r="T131">
        <v>26.37</v>
      </c>
    </row>
    <row r="132" spans="1:30" x14ac:dyDescent="0.35">
      <c r="A132" t="s">
        <v>21</v>
      </c>
      <c r="E132">
        <v>1.1553878265744744E-2</v>
      </c>
      <c r="F132">
        <f t="shared" ref="F132:F195" si="8">_xlfn.PERCENTILE.EXC(E132:E3947,0.05)</f>
        <v>-2.4515417989627957E-2</v>
      </c>
      <c r="G132">
        <f t="shared" ref="G132:G195" si="9">AVERAGEIFS(E132:E3948,E132:E3948,"&lt;=" &amp; F132)</f>
        <v>-3.6870835924222148E-2</v>
      </c>
      <c r="J132" s="2" t="s">
        <v>144</v>
      </c>
      <c r="K132">
        <f>B2678</f>
        <v>1.403633672615447E-2</v>
      </c>
      <c r="L132">
        <f>C2678</f>
        <v>-2.6380065163439225E-3</v>
      </c>
      <c r="M132">
        <f t="shared" si="7"/>
        <v>1.4101204140466894E-2</v>
      </c>
      <c r="N132">
        <f>D2678</f>
        <v>-3.9426132791430889E-2</v>
      </c>
      <c r="O132">
        <f>AVERAGEIFS(E2678:E2699,E2678:E2699,"&lt;=" &amp; N132)</f>
        <v>-4.1434284885656529E-2</v>
      </c>
      <c r="P132">
        <v>173.7636249251571</v>
      </c>
      <c r="Q132">
        <v>41.165349999999997</v>
      </c>
      <c r="R132">
        <f t="shared" si="6"/>
        <v>169.11854068448324</v>
      </c>
      <c r="S132">
        <v>1.4101204140466894E-2</v>
      </c>
      <c r="T132">
        <v>38.020000000000003</v>
      </c>
      <c r="V132" s="7"/>
      <c r="W132" s="7" t="s">
        <v>241</v>
      </c>
      <c r="X132" s="7" t="s">
        <v>229</v>
      </c>
      <c r="Y132" s="7" t="s">
        <v>242</v>
      </c>
      <c r="Z132" s="7" t="s">
        <v>243</v>
      </c>
      <c r="AA132" s="7" t="s">
        <v>244</v>
      </c>
      <c r="AB132" s="7" t="s">
        <v>245</v>
      </c>
      <c r="AC132" s="7" t="s">
        <v>246</v>
      </c>
      <c r="AD132" s="7" t="s">
        <v>247</v>
      </c>
    </row>
    <row r="133" spans="1:30" x14ac:dyDescent="0.35">
      <c r="A133" t="s">
        <v>21</v>
      </c>
      <c r="E133">
        <v>1.8996563989086743E-3</v>
      </c>
      <c r="F133">
        <f t="shared" si="8"/>
        <v>-2.4515787144278156E-2</v>
      </c>
      <c r="G133">
        <f t="shared" si="9"/>
        <v>-3.6870835924222148E-2</v>
      </c>
      <c r="J133" s="2" t="s">
        <v>145</v>
      </c>
      <c r="K133">
        <f>B2700</f>
        <v>1.508260640658832E-2</v>
      </c>
      <c r="L133">
        <f>C2700</f>
        <v>9.8382971380867323E-3</v>
      </c>
      <c r="M133">
        <f t="shared" si="7"/>
        <v>1.403633672615447E-2</v>
      </c>
      <c r="N133">
        <f>D2700</f>
        <v>-1.2651847888327126E-2</v>
      </c>
      <c r="O133">
        <f>AVERAGEIFS(E2700:E2720,E2700:E2720,"&lt;=" &amp; N133)</f>
        <v>-1.3125944980734107E-2</v>
      </c>
      <c r="P133">
        <v>279.38913293818945</v>
      </c>
      <c r="Q133">
        <v>27.392469999999999</v>
      </c>
      <c r="R133">
        <f t="shared" ref="R133:R186" si="10">P132</f>
        <v>173.7636249251571</v>
      </c>
      <c r="S133">
        <v>1.403633672615447E-2</v>
      </c>
      <c r="T133">
        <v>20.57</v>
      </c>
      <c r="V133" t="s">
        <v>235</v>
      </c>
      <c r="W133">
        <v>-6.4113920007024903E-3</v>
      </c>
      <c r="X133">
        <v>3.9928354410996751E-3</v>
      </c>
      <c r="Y133">
        <v>-1.6057240763563037</v>
      </c>
      <c r="Z133">
        <v>0.11009727025805216</v>
      </c>
      <c r="AA133">
        <v>-1.4290475873059285E-2</v>
      </c>
      <c r="AB133">
        <v>1.4676918716543044E-3</v>
      </c>
      <c r="AC133">
        <v>-1.4290475873059285E-2</v>
      </c>
      <c r="AD133">
        <v>1.4676918716543044E-3</v>
      </c>
    </row>
    <row r="134" spans="1:30" x14ac:dyDescent="0.35">
      <c r="A134" t="s">
        <v>21</v>
      </c>
      <c r="E134">
        <v>1.6144022682989517E-2</v>
      </c>
      <c r="F134">
        <f t="shared" si="8"/>
        <v>-2.4516156298928352E-2</v>
      </c>
      <c r="G134">
        <f t="shared" si="9"/>
        <v>-3.6870835924222148E-2</v>
      </c>
      <c r="J134" s="2" t="s">
        <v>146</v>
      </c>
      <c r="K134">
        <f>B2721</f>
        <v>9.4176326161378131E-3</v>
      </c>
      <c r="L134">
        <f>C2721</f>
        <v>4.0856508803478888E-4</v>
      </c>
      <c r="M134">
        <f t="shared" ref="M134:M186" si="11">K133</f>
        <v>1.508260640658832E-2</v>
      </c>
      <c r="N134">
        <f>D2721</f>
        <v>-2.6074486317987478E-2</v>
      </c>
      <c r="O134">
        <f>AVERAGEIFS(E2721:E2739,E2721:E2739,"&lt;=" &amp; N134)</f>
        <v>-2.6074486317987478E-2</v>
      </c>
      <c r="P134">
        <v>141.72860467210816</v>
      </c>
      <c r="Q134">
        <v>28.718160000000001</v>
      </c>
      <c r="R134">
        <f t="shared" si="10"/>
        <v>279.38913293818945</v>
      </c>
      <c r="S134">
        <v>1.508260640658832E-2</v>
      </c>
      <c r="T134">
        <v>22.75</v>
      </c>
      <c r="V134" t="s">
        <v>248</v>
      </c>
      <c r="W134">
        <v>5.7385062561291657E-10</v>
      </c>
      <c r="X134">
        <v>2.8129537941565145E-5</v>
      </c>
      <c r="Y134">
        <v>2.0400286233105012E-5</v>
      </c>
      <c r="Z134">
        <v>0.99998374564393666</v>
      </c>
      <c r="AA134">
        <v>-5.5507596220914703E-5</v>
      </c>
      <c r="AB134">
        <v>5.5508743922165932E-5</v>
      </c>
      <c r="AC134">
        <v>-5.5507596220914703E-5</v>
      </c>
      <c r="AD134">
        <v>5.5508743922165932E-5</v>
      </c>
    </row>
    <row r="135" spans="1:30" x14ac:dyDescent="0.35">
      <c r="A135" t="s">
        <v>21</v>
      </c>
      <c r="E135">
        <v>-2.2796125313984134E-3</v>
      </c>
      <c r="F135">
        <f t="shared" si="8"/>
        <v>-2.4516525453578551E-2</v>
      </c>
      <c r="G135">
        <f t="shared" si="9"/>
        <v>-3.6870835924222148E-2</v>
      </c>
      <c r="J135" s="2" t="s">
        <v>147</v>
      </c>
      <c r="K135">
        <f>B2740</f>
        <v>1.076926124532333E-2</v>
      </c>
      <c r="L135">
        <f>C2740</f>
        <v>-1.5076213874947804E-3</v>
      </c>
      <c r="M135">
        <f t="shared" si="11"/>
        <v>9.4176326161378131E-3</v>
      </c>
      <c r="N135">
        <f>D2740</f>
        <v>-1.6069992677068885E-2</v>
      </c>
      <c r="O135">
        <f>AVERAGEIFS(E2740:E2759,E2740:E2759,"&lt;=" &amp; N135)</f>
        <v>-1.6083201147475197E-2</v>
      </c>
      <c r="P135">
        <v>247.12470893831093</v>
      </c>
      <c r="Q135">
        <v>35.192749999999997</v>
      </c>
      <c r="R135">
        <f t="shared" si="10"/>
        <v>141.72860467210816</v>
      </c>
      <c r="S135">
        <v>9.4176326161378131E-3</v>
      </c>
      <c r="T135">
        <v>33.090000000000003</v>
      </c>
      <c r="V135" t="s">
        <v>251</v>
      </c>
      <c r="W135">
        <v>-0.57756073370640171</v>
      </c>
      <c r="X135">
        <v>0.19353301508241375</v>
      </c>
      <c r="Y135">
        <v>-2.984300810176777</v>
      </c>
      <c r="Z135">
        <v>3.2394725211011338E-3</v>
      </c>
      <c r="AA135">
        <v>-0.95946048399625206</v>
      </c>
      <c r="AB135">
        <v>-0.19566098341655136</v>
      </c>
      <c r="AC135">
        <v>-0.95946048399625206</v>
      </c>
      <c r="AD135">
        <v>-0.19566098341655136</v>
      </c>
    </row>
    <row r="136" spans="1:30" ht="15" thickBot="1" x14ac:dyDescent="0.4">
      <c r="A136" t="s">
        <v>21</v>
      </c>
      <c r="E136">
        <v>-1.5710354380334527E-2</v>
      </c>
      <c r="F136">
        <f t="shared" si="8"/>
        <v>-2.4516894608228749E-2</v>
      </c>
      <c r="G136">
        <f t="shared" si="9"/>
        <v>-3.6870835924222148E-2</v>
      </c>
      <c r="J136" s="2" t="s">
        <v>148</v>
      </c>
      <c r="K136">
        <f>B2760</f>
        <v>9.6066403817790021E-3</v>
      </c>
      <c r="L136">
        <f>C2760</f>
        <v>2.8734112465137788E-3</v>
      </c>
      <c r="M136">
        <f t="shared" si="11"/>
        <v>1.076926124532333E-2</v>
      </c>
      <c r="N136">
        <f>D2760</f>
        <v>-1.1245165708644082E-2</v>
      </c>
      <c r="O136">
        <f>AVERAGEIFS(E2760:E2779,E2760:E2779,"&lt;=" &amp; N136)</f>
        <v>-1.1250806963240613E-2</v>
      </c>
      <c r="P136">
        <v>136.78912165027251</v>
      </c>
      <c r="Q136">
        <v>32.450749999999999</v>
      </c>
      <c r="R136">
        <f t="shared" si="10"/>
        <v>247.12470893831093</v>
      </c>
      <c r="S136">
        <v>1.076926124532333E-2</v>
      </c>
      <c r="T136">
        <v>27.95</v>
      </c>
      <c r="V136" s="6" t="s">
        <v>252</v>
      </c>
      <c r="W136" s="6">
        <v>-6.4903202548711732E-4</v>
      </c>
      <c r="X136" s="6">
        <v>1.6647900238277047E-4</v>
      </c>
      <c r="Y136" s="6">
        <v>-3.8985819004060063</v>
      </c>
      <c r="Z136" s="6">
        <v>1.3666254199560927E-4</v>
      </c>
      <c r="AA136" s="6">
        <v>-9.7754594550954546E-4</v>
      </c>
      <c r="AB136" s="6">
        <v>-3.2051810546468922E-4</v>
      </c>
      <c r="AC136" s="6">
        <v>-9.7754594550954546E-4</v>
      </c>
      <c r="AD136" s="6">
        <v>-3.2051810546468922E-4</v>
      </c>
    </row>
    <row r="137" spans="1:30" x14ac:dyDescent="0.35">
      <c r="A137" t="s">
        <v>21</v>
      </c>
      <c r="E137">
        <v>-1.5701669252310535E-2</v>
      </c>
      <c r="F137">
        <f t="shared" si="8"/>
        <v>-2.4517263762878948E-2</v>
      </c>
      <c r="G137">
        <f t="shared" si="9"/>
        <v>-3.6870835924222148E-2</v>
      </c>
      <c r="J137" s="2" t="s">
        <v>149</v>
      </c>
      <c r="K137">
        <f>B2780</f>
        <v>8.2808682563494003E-3</v>
      </c>
      <c r="L137">
        <f>C2780</f>
        <v>3.296935214929294E-3</v>
      </c>
      <c r="M137">
        <f t="shared" si="11"/>
        <v>9.6066403817790021E-3</v>
      </c>
      <c r="N137">
        <f>D2780</f>
        <v>-7.5858383446014647E-3</v>
      </c>
      <c r="O137">
        <f>AVERAGEIFS(E2780:E2802,E2780:E2802,"&lt;=" &amp; N137)</f>
        <v>-7.8238250185912756E-3</v>
      </c>
      <c r="P137">
        <v>175.08766129905771</v>
      </c>
      <c r="Q137">
        <v>21.119689999999999</v>
      </c>
      <c r="R137">
        <f t="shared" si="10"/>
        <v>136.78912165027251</v>
      </c>
      <c r="S137">
        <v>9.6066403817790021E-3</v>
      </c>
      <c r="T137">
        <v>19.399999999999999</v>
      </c>
    </row>
    <row r="138" spans="1:30" x14ac:dyDescent="0.35">
      <c r="A138" t="s">
        <v>21</v>
      </c>
      <c r="E138">
        <v>-2.1589658065649625E-3</v>
      </c>
      <c r="F138">
        <f t="shared" si="8"/>
        <v>-2.4517632917529144E-2</v>
      </c>
      <c r="G138">
        <f t="shared" si="9"/>
        <v>-3.6870835924222148E-2</v>
      </c>
      <c r="J138" s="2" t="s">
        <v>150</v>
      </c>
      <c r="K138">
        <f>B2803</f>
        <v>7.3430174931990453E-3</v>
      </c>
      <c r="L138">
        <f>C2803</f>
        <v>-1.040010669675461E-3</v>
      </c>
      <c r="M138">
        <f t="shared" si="11"/>
        <v>8.2808682563494003E-3</v>
      </c>
      <c r="N138">
        <f>D2803</f>
        <v>-2.38529627739252E-2</v>
      </c>
      <c r="O138">
        <f>AVERAGEIFS(E2803:E2822,E2803:E2822,"&lt;=" &amp; N138)</f>
        <v>-2.4716659655186539E-2</v>
      </c>
      <c r="P138">
        <v>133.86842941008666</v>
      </c>
      <c r="Q138">
        <v>24.81278</v>
      </c>
      <c r="R138">
        <f t="shared" si="10"/>
        <v>175.08766129905771</v>
      </c>
      <c r="S138">
        <v>8.2808682563494003E-3</v>
      </c>
      <c r="T138">
        <v>18.61</v>
      </c>
    </row>
    <row r="139" spans="1:30" x14ac:dyDescent="0.35">
      <c r="A139" t="s">
        <v>21</v>
      </c>
      <c r="E139">
        <v>-6.5940673106995073E-3</v>
      </c>
      <c r="F139">
        <f t="shared" si="8"/>
        <v>-2.4518002072179343E-2</v>
      </c>
      <c r="G139">
        <f t="shared" si="9"/>
        <v>-3.6870835924222148E-2</v>
      </c>
      <c r="J139" s="2" t="s">
        <v>151</v>
      </c>
      <c r="K139">
        <f>B2823</f>
        <v>9.3676486367943994E-3</v>
      </c>
      <c r="L139">
        <f>C2823</f>
        <v>2.317239228556043E-3</v>
      </c>
      <c r="M139">
        <f t="shared" si="11"/>
        <v>7.3430174931990453E-3</v>
      </c>
      <c r="N139">
        <f>D2823</f>
        <v>-1.6040900538543606E-2</v>
      </c>
      <c r="O139">
        <f>AVERAGEIFS(E2823:E2840,E2823:E2840,"&lt;=" &amp; N139)</f>
        <v>-1.654098748099812E-2</v>
      </c>
      <c r="P139">
        <v>59.527955400035857</v>
      </c>
      <c r="Q139">
        <v>23.353159999999999</v>
      </c>
      <c r="R139">
        <f t="shared" si="10"/>
        <v>133.86842941008666</v>
      </c>
      <c r="S139">
        <v>7.3430174931990453E-3</v>
      </c>
      <c r="T139">
        <v>16.760000000000002</v>
      </c>
      <c r="V139" t="s">
        <v>225</v>
      </c>
    </row>
    <row r="140" spans="1:30" ht="15" thickBot="1" x14ac:dyDescent="0.4">
      <c r="A140" t="s">
        <v>21</v>
      </c>
      <c r="E140">
        <v>7.6066008522945022E-3</v>
      </c>
      <c r="F140">
        <f t="shared" si="8"/>
        <v>-2.4518371226829542E-2</v>
      </c>
      <c r="G140">
        <f t="shared" si="9"/>
        <v>-3.6870835924222148E-2</v>
      </c>
      <c r="J140" s="2" t="s">
        <v>152</v>
      </c>
      <c r="K140">
        <f>B2841</f>
        <v>7.5347282702992102E-3</v>
      </c>
      <c r="L140">
        <f>C2841</f>
        <v>-1.2179345079095677E-4</v>
      </c>
      <c r="M140">
        <f t="shared" si="11"/>
        <v>9.3676486367943994E-3</v>
      </c>
      <c r="N140">
        <f>D2841</f>
        <v>-1.8213012961315271E-2</v>
      </c>
      <c r="O140">
        <f>AVERAGEIFS(E2841:E2862,E2841:E2862,"&lt;=" &amp; N140)</f>
        <v>-1.9455664907322305E-2</v>
      </c>
      <c r="P140">
        <v>104.80567408669692</v>
      </c>
      <c r="Q140">
        <v>21.54729</v>
      </c>
      <c r="R140">
        <f t="shared" si="10"/>
        <v>59.527955400035857</v>
      </c>
      <c r="S140">
        <v>9.3676486367943994E-3</v>
      </c>
      <c r="T140">
        <v>15.83</v>
      </c>
    </row>
    <row r="141" spans="1:30" x14ac:dyDescent="0.35">
      <c r="A141" t="s">
        <v>21</v>
      </c>
      <c r="E141">
        <v>2.7251762235655414E-2</v>
      </c>
      <c r="F141">
        <f t="shared" si="8"/>
        <v>-2.4522461754297366E-2</v>
      </c>
      <c r="G141">
        <f t="shared" si="9"/>
        <v>-3.6938335731311729E-2</v>
      </c>
      <c r="J141" s="2" t="s">
        <v>153</v>
      </c>
      <c r="K141">
        <f>B2863</f>
        <v>1.3105910564164392E-2</v>
      </c>
      <c r="L141">
        <f>C2863</f>
        <v>4.701404507699528E-4</v>
      </c>
      <c r="M141">
        <f t="shared" si="11"/>
        <v>7.5347282702992102E-3</v>
      </c>
      <c r="N141">
        <f>D2863</f>
        <v>-3.2698732935478064E-2</v>
      </c>
      <c r="O141">
        <f>AVERAGEIFS(E2863:E2884,E2863:E2884,"&lt;=" &amp; N141)</f>
        <v>-3.39196605598963E-2</v>
      </c>
      <c r="P141">
        <v>61.540165650860757</v>
      </c>
      <c r="Q141">
        <v>24.831800000000001</v>
      </c>
      <c r="R141">
        <f t="shared" si="10"/>
        <v>104.80567408669692</v>
      </c>
      <c r="S141">
        <v>7.5347282702992102E-3</v>
      </c>
      <c r="T141">
        <v>18.239999999999998</v>
      </c>
      <c r="V141" s="8" t="s">
        <v>226</v>
      </c>
      <c r="W141" s="8"/>
    </row>
    <row r="142" spans="1:30" x14ac:dyDescent="0.35">
      <c r="A142" t="s">
        <v>21</v>
      </c>
      <c r="E142">
        <v>-4.3672526950364089E-3</v>
      </c>
      <c r="F142">
        <f t="shared" si="8"/>
        <v>-2.4526552281765191E-2</v>
      </c>
      <c r="G142">
        <f t="shared" si="9"/>
        <v>-3.6938335731311729E-2</v>
      </c>
      <c r="J142" s="2" t="s">
        <v>154</v>
      </c>
      <c r="K142">
        <f>B2885</f>
        <v>6.7449798557369291E-3</v>
      </c>
      <c r="L142">
        <f>C2885</f>
        <v>1.198170202007026E-3</v>
      </c>
      <c r="M142">
        <f t="shared" si="11"/>
        <v>1.3105910564164392E-2</v>
      </c>
      <c r="N142">
        <f>D2885</f>
        <v>-1.5599894805212219E-2</v>
      </c>
      <c r="O142">
        <f>AVERAGEIFS(E2885:E2905,E2885:E2905,"&lt;=" &amp; N142)</f>
        <v>-1.6388313153124369E-2</v>
      </c>
      <c r="P142">
        <v>41.307136491746519</v>
      </c>
      <c r="Q142">
        <v>22.156310000000001</v>
      </c>
      <c r="R142">
        <f t="shared" si="10"/>
        <v>61.540165650860757</v>
      </c>
      <c r="S142">
        <v>1.3105910564164392E-2</v>
      </c>
      <c r="T142">
        <v>16.48</v>
      </c>
      <c r="V142" t="s">
        <v>227</v>
      </c>
      <c r="W142">
        <v>0.42294230094287533</v>
      </c>
      <c r="Y142" t="s">
        <v>386</v>
      </c>
    </row>
    <row r="143" spans="1:30" x14ac:dyDescent="0.35">
      <c r="A143" t="s">
        <v>21</v>
      </c>
      <c r="E143">
        <v>1.0423027518373987E-2</v>
      </c>
      <c r="F143">
        <f t="shared" si="8"/>
        <v>-2.4530642809233016E-2</v>
      </c>
      <c r="G143">
        <f t="shared" si="9"/>
        <v>-3.6938335731311729E-2</v>
      </c>
      <c r="J143" s="2" t="s">
        <v>155</v>
      </c>
      <c r="K143">
        <f>B2906</f>
        <v>1.0881091399410516E-2</v>
      </c>
      <c r="L143">
        <f>C2906</f>
        <v>-5.7240679962627494E-4</v>
      </c>
      <c r="M143">
        <f t="shared" si="11"/>
        <v>6.7449798557369291E-3</v>
      </c>
      <c r="N143">
        <f>D2906</f>
        <v>-2.5393199325203418E-2</v>
      </c>
      <c r="O143">
        <f>AVERAGEIFS(E2906:E2927,E2906:E2927,"&lt;=" &amp; N143)</f>
        <v>-2.6058543127417177E-2</v>
      </c>
      <c r="P143">
        <v>102.89989592077029</v>
      </c>
      <c r="Q143">
        <v>26.89424</v>
      </c>
      <c r="R143">
        <f t="shared" si="10"/>
        <v>41.307136491746519</v>
      </c>
      <c r="S143">
        <v>6.7449798557369291E-3</v>
      </c>
      <c r="T143">
        <v>23.14</v>
      </c>
      <c r="V143" t="s">
        <v>228</v>
      </c>
      <c r="W143">
        <v>0.17888018992685373</v>
      </c>
    </row>
    <row r="144" spans="1:30" x14ac:dyDescent="0.35">
      <c r="A144" t="s">
        <v>21</v>
      </c>
      <c r="E144">
        <v>1.6109723677760465E-2</v>
      </c>
      <c r="F144">
        <f t="shared" si="8"/>
        <v>-2.453473333670084E-2</v>
      </c>
      <c r="G144">
        <f t="shared" si="9"/>
        <v>-3.6938335731311729E-2</v>
      </c>
      <c r="J144" s="2" t="s">
        <v>156</v>
      </c>
      <c r="K144">
        <f>B2928</f>
        <v>8.0905298734845234E-3</v>
      </c>
      <c r="L144">
        <f>C2928</f>
        <v>2.1605416398696436E-3</v>
      </c>
      <c r="M144">
        <f t="shared" si="11"/>
        <v>1.0881091399410516E-2</v>
      </c>
      <c r="N144">
        <f>D2928</f>
        <v>-1.3064799137222447E-2</v>
      </c>
      <c r="O144">
        <f>AVERAGEIFS(E2928:E2948,E2928:E2948,"&lt;=" &amp; N144)</f>
        <v>-1.3587412728637102E-2</v>
      </c>
      <c r="P144">
        <v>70.720974801923688</v>
      </c>
      <c r="Q144">
        <v>20.327559999999998</v>
      </c>
      <c r="R144">
        <f t="shared" si="10"/>
        <v>102.89989592077029</v>
      </c>
      <c r="S144">
        <v>1.0881091399410516E-2</v>
      </c>
      <c r="T144">
        <v>16.260000000000002</v>
      </c>
      <c r="V144" t="s">
        <v>228</v>
      </c>
      <c r="W144">
        <v>0.16504109200427261</v>
      </c>
    </row>
    <row r="145" spans="1:144" x14ac:dyDescent="0.35">
      <c r="A145" t="s">
        <v>21</v>
      </c>
      <c r="E145">
        <v>-3.5994237744146644E-3</v>
      </c>
      <c r="F145">
        <f t="shared" si="8"/>
        <v>-2.4538823864168665E-2</v>
      </c>
      <c r="G145">
        <f t="shared" si="9"/>
        <v>-3.6938335731311729E-2</v>
      </c>
      <c r="J145" s="2" t="s">
        <v>157</v>
      </c>
      <c r="K145">
        <f>B2949</f>
        <v>1.2439090488933015E-2</v>
      </c>
      <c r="L145">
        <f>C2949</f>
        <v>-1.8319116030175353E-3</v>
      </c>
      <c r="M145">
        <f t="shared" si="11"/>
        <v>8.0905298734845234E-3</v>
      </c>
      <c r="N145">
        <f>D2949</f>
        <v>-4.2453808611006803E-2</v>
      </c>
      <c r="O145">
        <f>AVERAGEIFS(E2949:E2970,E2949:E2970,"&lt;=" &amp; N145)</f>
        <v>-4.7064291945019016E-2</v>
      </c>
      <c r="P145">
        <v>102.59614203779499</v>
      </c>
      <c r="Q145">
        <v>34.009799999999998</v>
      </c>
      <c r="R145">
        <f t="shared" si="10"/>
        <v>70.720974801923688</v>
      </c>
      <c r="S145">
        <v>8.0905298734845234E-3</v>
      </c>
      <c r="T145">
        <v>27.19</v>
      </c>
      <c r="V145" t="s">
        <v>229</v>
      </c>
      <c r="W145">
        <v>1.3722355856625172E-2</v>
      </c>
    </row>
    <row r="146" spans="1:144" ht="15" thickBot="1" x14ac:dyDescent="0.4">
      <c r="A146" t="s">
        <v>21</v>
      </c>
      <c r="E146">
        <v>7.0698641581082603E-4</v>
      </c>
      <c r="F146">
        <f t="shared" si="8"/>
        <v>-2.454291439163649E-2</v>
      </c>
      <c r="G146">
        <f t="shared" si="9"/>
        <v>-3.6938335731311729E-2</v>
      </c>
      <c r="J146" s="2" t="s">
        <v>158</v>
      </c>
      <c r="K146">
        <f>B2971</f>
        <v>1.2207493633644257E-2</v>
      </c>
      <c r="L146">
        <f>C2971</f>
        <v>3.035287670567557E-3</v>
      </c>
      <c r="M146">
        <f t="shared" si="11"/>
        <v>1.2439090488933015E-2</v>
      </c>
      <c r="N146">
        <f>D2971</f>
        <v>-1.6429875860617841E-2</v>
      </c>
      <c r="O146">
        <f>AVERAGEIFS(E2971:E2989,E2971:E2989,"&lt;=" &amp; N146)</f>
        <v>-1.6429875860617841E-2</v>
      </c>
      <c r="P146">
        <v>128.32329926757942</v>
      </c>
      <c r="Q146">
        <v>21.801400000000001</v>
      </c>
      <c r="R146">
        <f t="shared" si="10"/>
        <v>102.59614203779499</v>
      </c>
      <c r="S146">
        <v>1.2439090488933015E-2</v>
      </c>
      <c r="T146">
        <v>17.22</v>
      </c>
      <c r="V146" s="6" t="s">
        <v>230</v>
      </c>
      <c r="W146" s="6">
        <v>182</v>
      </c>
    </row>
    <row r="147" spans="1:144" x14ac:dyDescent="0.35">
      <c r="A147" t="s">
        <v>21</v>
      </c>
      <c r="E147">
        <v>-3.5808505462394751E-3</v>
      </c>
      <c r="F147">
        <f t="shared" si="8"/>
        <v>-2.4547004919104314E-2</v>
      </c>
      <c r="G147">
        <f t="shared" si="9"/>
        <v>-3.6938335731311729E-2</v>
      </c>
      <c r="J147" s="2" t="s">
        <v>159</v>
      </c>
      <c r="K147">
        <f>B2990</f>
        <v>1.4842055430514187E-2</v>
      </c>
      <c r="L147">
        <f>C2990</f>
        <v>-9.8373066696511697E-4</v>
      </c>
      <c r="M147">
        <f t="shared" si="11"/>
        <v>1.2207493633644257E-2</v>
      </c>
      <c r="N147">
        <f>D2990</f>
        <v>-3.9932931297269943E-2</v>
      </c>
      <c r="O147">
        <f>AVERAGEIFS(E2990:E3009,E2990:E3009,"&lt;=" &amp; N147)</f>
        <v>-4.105467153658076E-2</v>
      </c>
      <c r="P147">
        <v>123.7361361084206</v>
      </c>
      <c r="Q147">
        <v>30.300719999999998</v>
      </c>
      <c r="R147">
        <f t="shared" si="10"/>
        <v>128.32329926757942</v>
      </c>
      <c r="S147">
        <v>1.2207493633644257E-2</v>
      </c>
      <c r="T147">
        <v>24.83</v>
      </c>
    </row>
    <row r="148" spans="1:144" s="3" customFormat="1" ht="15" thickBot="1" x14ac:dyDescent="0.4">
      <c r="A148" s="3" t="s">
        <v>22</v>
      </c>
      <c r="B148" s="3" cm="1">
        <f t="array" ref="B148">_xlfn.STDEV.S(_xlfn._xlws.FILTER($E$2:$E$1000, $A$2:$A$1000="2010-08"))</f>
        <v>1.2809905321156796E-2</v>
      </c>
      <c r="C148" s="3" cm="1">
        <f t="array" ref="C148">AVERAGE(_xlfn._xlws.FILTER($E$2:$E$1000, $A$2:$A$1000="2010-08"))</f>
        <v>-3.0084122643406035E-3</v>
      </c>
      <c r="D148" s="3" cm="1">
        <f t="array" ref="D148">_xlfn.PERCENTILE.EXC(_xlfn._xlws.FILTER($E$126:$E$252, $A$126:$A$252="2010-08"), 0.05)</f>
        <v>-3.1357141420582609E-2</v>
      </c>
      <c r="E148" s="3">
        <v>2.4727001779323542E-2</v>
      </c>
      <c r="F148" s="3">
        <f t="shared" si="8"/>
        <v>-2.4551095446572139E-2</v>
      </c>
      <c r="G148" s="3">
        <f t="shared" si="9"/>
        <v>-3.6938335731311729E-2</v>
      </c>
      <c r="J148" s="4" t="s">
        <v>160</v>
      </c>
      <c r="K148" s="3">
        <f>B3010</f>
        <v>6.5093690731961211E-3</v>
      </c>
      <c r="L148" s="3">
        <f>C3010</f>
        <v>1.0602805518741345E-2</v>
      </c>
      <c r="M148">
        <f t="shared" si="11"/>
        <v>1.4842055430514187E-2</v>
      </c>
      <c r="N148" s="3">
        <f>D3010</f>
        <v>-4.1224159962709755E-2</v>
      </c>
      <c r="O148" s="3">
        <f>AVERAGEIFS(E3010:E3029,E3010:E3029,"&lt;=" &amp; N148)</f>
        <v>-4.2307906823974124E-2</v>
      </c>
      <c r="P148" s="3">
        <v>119.77629193859694</v>
      </c>
      <c r="Q148" s="3">
        <v>39.545810000000003</v>
      </c>
      <c r="R148">
        <f t="shared" si="10"/>
        <v>123.7361361084206</v>
      </c>
      <c r="S148">
        <v>1.4842055430514187E-2</v>
      </c>
      <c r="T148" s="3">
        <v>30.15</v>
      </c>
      <c r="U148"/>
      <c r="V148" t="s">
        <v>231</v>
      </c>
      <c r="W148"/>
      <c r="X148"/>
      <c r="Y148"/>
      <c r="Z148"/>
      <c r="AA148"/>
      <c r="AB148"/>
      <c r="AC148"/>
      <c r="AD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</row>
    <row r="149" spans="1:144" x14ac:dyDescent="0.35">
      <c r="A149" t="s">
        <v>22</v>
      </c>
      <c r="E149">
        <v>-2.300786961950027E-3</v>
      </c>
      <c r="F149">
        <f t="shared" si="8"/>
        <v>-2.4555185974039963E-2</v>
      </c>
      <c r="G149">
        <f t="shared" si="9"/>
        <v>-3.6938335731311729E-2</v>
      </c>
      <c r="J149" s="2" t="s">
        <v>161</v>
      </c>
      <c r="K149">
        <f>B3030</f>
        <v>2.6619416868316148E-2</v>
      </c>
      <c r="L149">
        <f>C3030</f>
        <v>-6.8037849967341173E-4</v>
      </c>
      <c r="M149">
        <f t="shared" si="11"/>
        <v>6.5093690731961211E-3</v>
      </c>
      <c r="N149">
        <f>D3030</f>
        <v>-6.0084322943977309E-2</v>
      </c>
      <c r="O149">
        <f>AVERAGEIFS(E3030:E3052,E3030:E3052,"&lt;=" &amp; N149)</f>
        <v>-6.4384630082924402E-2</v>
      </c>
      <c r="P149">
        <v>139.12014865643766</v>
      </c>
      <c r="Q149">
        <v>32.1265</v>
      </c>
      <c r="R149">
        <f t="shared" si="10"/>
        <v>119.77629193859694</v>
      </c>
      <c r="S149">
        <v>6.5093690731961211E-3</v>
      </c>
      <c r="T149">
        <v>20.56</v>
      </c>
      <c r="V149" s="7"/>
      <c r="W149" s="7" t="s">
        <v>236</v>
      </c>
      <c r="X149" s="7" t="s">
        <v>237</v>
      </c>
      <c r="Y149" s="7" t="s">
        <v>238</v>
      </c>
      <c r="Z149" s="7" t="s">
        <v>239</v>
      </c>
      <c r="AA149" s="7" t="s">
        <v>240</v>
      </c>
    </row>
    <row r="150" spans="1:144" x14ac:dyDescent="0.35">
      <c r="A150" t="s">
        <v>22</v>
      </c>
      <c r="E150">
        <v>-1.4840071654405886E-3</v>
      </c>
      <c r="F150">
        <f t="shared" si="8"/>
        <v>-2.4559276501507792E-2</v>
      </c>
      <c r="G150">
        <f t="shared" si="9"/>
        <v>-3.6938335731311729E-2</v>
      </c>
      <c r="J150" s="2" t="s">
        <v>162</v>
      </c>
      <c r="K150">
        <f>B3053</f>
        <v>1.107283085743627E-2</v>
      </c>
      <c r="L150">
        <f>C3053</f>
        <v>-1.6431672579598087E-3</v>
      </c>
      <c r="M150">
        <f t="shared" si="11"/>
        <v>2.6619416868316148E-2</v>
      </c>
      <c r="N150">
        <f>D3053</f>
        <v>-2.1432513205888466E-2</v>
      </c>
      <c r="O150">
        <f>AVERAGEIFS(E3053:E3071,E3053:E3071,"&lt;=" &amp; N150)</f>
        <v>-2.1432513205888466E-2</v>
      </c>
      <c r="P150">
        <v>129.17140713574705</v>
      </c>
      <c r="Q150">
        <v>32.462649999999996</v>
      </c>
      <c r="R150">
        <f t="shared" si="10"/>
        <v>139.12014865643766</v>
      </c>
      <c r="S150">
        <v>2.6619416868316148E-2</v>
      </c>
      <c r="T150">
        <v>33.4</v>
      </c>
      <c r="V150" t="s">
        <v>232</v>
      </c>
      <c r="W150">
        <v>3</v>
      </c>
      <c r="X150">
        <v>7.3018528191664683E-3</v>
      </c>
      <c r="Y150">
        <v>2.4339509397221563E-3</v>
      </c>
      <c r="Z150">
        <v>12.925711699385889</v>
      </c>
      <c r="AA150">
        <v>1.1171657868160995E-7</v>
      </c>
    </row>
    <row r="151" spans="1:144" x14ac:dyDescent="0.35">
      <c r="A151" t="s">
        <v>22</v>
      </c>
      <c r="E151">
        <v>-7.6442857655243798E-3</v>
      </c>
      <c r="F151">
        <f t="shared" si="8"/>
        <v>-2.4563367028975613E-2</v>
      </c>
      <c r="G151">
        <f t="shared" si="9"/>
        <v>-3.6938335731311729E-2</v>
      </c>
      <c r="J151" s="2" t="s">
        <v>163</v>
      </c>
      <c r="K151">
        <f>B3072</f>
        <v>1.3076648682142552E-2</v>
      </c>
      <c r="L151">
        <f>C3072</f>
        <v>4.9403606734762921E-4</v>
      </c>
      <c r="M151">
        <f t="shared" si="11"/>
        <v>1.107283085743627E-2</v>
      </c>
      <c r="N151">
        <f>D3072</f>
        <v>-2.6414430421800746E-2</v>
      </c>
      <c r="O151">
        <f>AVERAGEIFS(E3072:E3092,E3072:E3092,"&lt;=" &amp; N151)</f>
        <v>-2.7779108137124163E-2</v>
      </c>
      <c r="P151">
        <v>132.8385195338322</v>
      </c>
      <c r="Q151">
        <v>27.09723</v>
      </c>
      <c r="R151">
        <f t="shared" si="10"/>
        <v>129.17140713574705</v>
      </c>
      <c r="S151">
        <v>1.107283085743627E-2</v>
      </c>
      <c r="T151">
        <v>26.19</v>
      </c>
      <c r="V151" t="s">
        <v>233</v>
      </c>
      <c r="W151">
        <v>178</v>
      </c>
      <c r="X151">
        <v>3.3517942945542216E-2</v>
      </c>
      <c r="Y151">
        <v>1.8830305025585516E-4</v>
      </c>
    </row>
    <row r="152" spans="1:144" ht="15" thickBot="1" x14ac:dyDescent="0.4">
      <c r="A152" t="s">
        <v>22</v>
      </c>
      <c r="E152">
        <v>-1.030974908497361E-2</v>
      </c>
      <c r="F152">
        <f t="shared" si="8"/>
        <v>-2.4567457556443437E-2</v>
      </c>
      <c r="G152">
        <f t="shared" si="9"/>
        <v>-3.6938335731311729E-2</v>
      </c>
      <c r="J152" s="2" t="s">
        <v>164</v>
      </c>
      <c r="K152">
        <f>B3093</f>
        <v>1.9302105377162537E-2</v>
      </c>
      <c r="L152">
        <f>C3093</f>
        <v>-7.0230837373604473E-3</v>
      </c>
      <c r="M152">
        <f t="shared" si="11"/>
        <v>1.3076648682142552E-2</v>
      </c>
      <c r="N152">
        <f>D3093</f>
        <v>-5.212946673690684E-2</v>
      </c>
      <c r="O152">
        <f>AVERAGEIFS(E3093:E3112,E3093:E3112,"&lt;=" &amp; N152)</f>
        <v>-5.3094157104921262E-2</v>
      </c>
      <c r="P152">
        <v>137.63568185516743</v>
      </c>
      <c r="Q152">
        <v>31.218789999999998</v>
      </c>
      <c r="R152">
        <f t="shared" si="10"/>
        <v>132.8385195338322</v>
      </c>
      <c r="S152">
        <v>1.3076648682142552E-2</v>
      </c>
      <c r="T152">
        <v>28.71</v>
      </c>
      <c r="V152" s="6" t="s">
        <v>234</v>
      </c>
      <c r="W152" s="6">
        <v>181</v>
      </c>
      <c r="X152" s="6">
        <v>4.0819795764708684E-2</v>
      </c>
      <c r="Y152" s="6"/>
      <c r="Z152" s="6"/>
      <c r="AA152" s="6"/>
    </row>
    <row r="153" spans="1:144" ht="15" thickBot="1" x14ac:dyDescent="0.4">
      <c r="A153" t="s">
        <v>22</v>
      </c>
      <c r="E153">
        <v>1.2122406239504739E-2</v>
      </c>
      <c r="F153">
        <f t="shared" si="8"/>
        <v>-2.4571548083911262E-2</v>
      </c>
      <c r="G153">
        <f t="shared" si="9"/>
        <v>-3.6938335731311729E-2</v>
      </c>
      <c r="J153" s="2" t="s">
        <v>165</v>
      </c>
      <c r="K153">
        <f>B3113</f>
        <v>1.7317155622858335E-2</v>
      </c>
      <c r="L153">
        <f>C3113</f>
        <v>2.4231811213862317E-3</v>
      </c>
      <c r="M153">
        <f t="shared" si="11"/>
        <v>1.9302105377162537E-2</v>
      </c>
      <c r="N153">
        <f>D3113</f>
        <v>-3.4533040000274864E-2</v>
      </c>
      <c r="O153">
        <f>AVERAGEIFS(E3113:E3133,E3113:E3133,"&lt;=" &amp; N153)</f>
        <v>-3.4993458303244532E-2</v>
      </c>
      <c r="P153">
        <v>125.29542795683584</v>
      </c>
      <c r="Q153">
        <v>22.744309999999999</v>
      </c>
      <c r="R153">
        <f t="shared" si="10"/>
        <v>137.63568185516743</v>
      </c>
      <c r="S153">
        <v>1.9302105377162537E-2</v>
      </c>
      <c r="T153">
        <v>21.33</v>
      </c>
    </row>
    <row r="154" spans="1:144" x14ac:dyDescent="0.35">
      <c r="A154" t="s">
        <v>22</v>
      </c>
      <c r="E154">
        <v>-3.8369579045784705E-3</v>
      </c>
      <c r="F154">
        <f t="shared" si="8"/>
        <v>-2.4575638611379087E-2</v>
      </c>
      <c r="G154">
        <f t="shared" si="9"/>
        <v>-3.6938335731311729E-2</v>
      </c>
      <c r="J154" s="2" t="s">
        <v>166</v>
      </c>
      <c r="K154">
        <f>B3134</f>
        <v>1.0348517267453084E-2</v>
      </c>
      <c r="L154">
        <f>C3134</f>
        <v>-1.8332079115824934E-3</v>
      </c>
      <c r="M154">
        <f t="shared" si="11"/>
        <v>1.7317155622858335E-2</v>
      </c>
      <c r="N154">
        <f>D3134</f>
        <v>-2.4678554306945023E-2</v>
      </c>
      <c r="O154">
        <f>AVERAGEIFS(E3134:E3154,E3134:E3154,"&lt;=" &amp; N154)</f>
        <v>-2.5218203795814364E-2</v>
      </c>
      <c r="P154">
        <v>116.83594315451541</v>
      </c>
      <c r="Q154">
        <v>28.096</v>
      </c>
      <c r="R154">
        <f t="shared" si="10"/>
        <v>125.29542795683584</v>
      </c>
      <c r="S154">
        <v>1.7317155622858335E-2</v>
      </c>
      <c r="T154">
        <v>25.87</v>
      </c>
      <c r="V154" s="7"/>
      <c r="W154" s="7" t="s">
        <v>241</v>
      </c>
      <c r="X154" s="7" t="s">
        <v>229</v>
      </c>
      <c r="Y154" s="7" t="s">
        <v>242</v>
      </c>
      <c r="Z154" s="7" t="s">
        <v>243</v>
      </c>
      <c r="AA154" s="7" t="s">
        <v>244</v>
      </c>
      <c r="AB154" s="7" t="s">
        <v>245</v>
      </c>
      <c r="AC154" s="7" t="s">
        <v>246</v>
      </c>
      <c r="AD154" s="7" t="s">
        <v>247</v>
      </c>
    </row>
    <row r="155" spans="1:144" x14ac:dyDescent="0.35">
      <c r="A155" t="s">
        <v>22</v>
      </c>
      <c r="E155">
        <v>-3.2539398197996589E-2</v>
      </c>
      <c r="F155">
        <f t="shared" si="8"/>
        <v>-2.4579729138846915E-2</v>
      </c>
      <c r="G155">
        <f t="shared" si="9"/>
        <v>-3.6938335731311729E-2</v>
      </c>
      <c r="J155" s="2" t="s">
        <v>167</v>
      </c>
      <c r="K155">
        <f>B3155</f>
        <v>1.6240542460713468E-2</v>
      </c>
      <c r="L155">
        <f>C3155</f>
        <v>-2.054694184336583E-3</v>
      </c>
      <c r="M155">
        <f t="shared" si="11"/>
        <v>1.0348517267453084E-2</v>
      </c>
      <c r="N155">
        <f>D3155</f>
        <v>-3.3189867809601453E-2</v>
      </c>
      <c r="O155">
        <f>AVERAGEIFS(E3155:E3175,E3155:E3175,"&lt;=" &amp; N155)</f>
        <v>-3.418266877889508E-2</v>
      </c>
      <c r="P155">
        <v>173.12961791946989</v>
      </c>
      <c r="Q155">
        <v>30.064309999999999</v>
      </c>
      <c r="R155">
        <f t="shared" si="10"/>
        <v>116.83594315451541</v>
      </c>
      <c r="S155">
        <v>1.0348517267453084E-2</v>
      </c>
      <c r="T155">
        <v>31.62</v>
      </c>
      <c r="V155" t="s">
        <v>235</v>
      </c>
      <c r="W155">
        <v>-7.115334963891478E-3</v>
      </c>
      <c r="X155">
        <v>3.9743769431032621E-3</v>
      </c>
      <c r="Y155">
        <v>-1.7903019934328881</v>
      </c>
      <c r="Z155">
        <v>7.5105002525850936E-2</v>
      </c>
      <c r="AA155">
        <v>-1.4958294467300536E-2</v>
      </c>
      <c r="AB155">
        <v>7.2762453951757955E-4</v>
      </c>
      <c r="AC155">
        <v>-1.4958294467300536E-2</v>
      </c>
      <c r="AD155">
        <v>7.2762453951757955E-4</v>
      </c>
    </row>
    <row r="156" spans="1:144" x14ac:dyDescent="0.35">
      <c r="A156" t="s">
        <v>22</v>
      </c>
      <c r="E156">
        <v>-1.9378078879519866E-3</v>
      </c>
      <c r="F156">
        <f t="shared" si="8"/>
        <v>-2.4516894608228749E-2</v>
      </c>
      <c r="G156">
        <f t="shared" si="9"/>
        <v>-3.6894504982835398E-2</v>
      </c>
      <c r="J156" s="2" t="s">
        <v>168</v>
      </c>
      <c r="K156">
        <f>B3176</f>
        <v>1.2730394614413653E-2</v>
      </c>
      <c r="L156">
        <f>C3176</f>
        <v>4.4092084066411109E-3</v>
      </c>
      <c r="M156">
        <f t="shared" si="11"/>
        <v>1.6240542460713468E-2</v>
      </c>
      <c r="N156">
        <f>D3176</f>
        <v>-1.5075158700783686E-2</v>
      </c>
      <c r="O156">
        <f>AVERAGEIFS(E3176:E3196,E3176:E3196,"&lt;=" &amp; N156)</f>
        <v>-1.5327570727757468E-2</v>
      </c>
      <c r="P156">
        <v>96.821887271473926</v>
      </c>
      <c r="Q156">
        <v>24.54992</v>
      </c>
      <c r="R156">
        <f t="shared" si="10"/>
        <v>173.12961791946989</v>
      </c>
      <c r="S156">
        <v>1.6240542460713468E-2</v>
      </c>
      <c r="T156">
        <v>25.88</v>
      </c>
      <c r="V156" t="s">
        <v>248</v>
      </c>
      <c r="W156">
        <v>8.3562168303671778E-6</v>
      </c>
      <c r="X156">
        <v>2.8197218286182391E-5</v>
      </c>
      <c r="Y156">
        <v>0.29634897831258811</v>
      </c>
      <c r="Z156">
        <v>0.76730906543180755</v>
      </c>
      <c r="AA156">
        <v>-4.7287634845824459E-5</v>
      </c>
      <c r="AB156">
        <v>6.4000068506558808E-5</v>
      </c>
      <c r="AC156">
        <v>-4.7287634845824459E-5</v>
      </c>
      <c r="AD156">
        <v>6.4000068506558808E-5</v>
      </c>
    </row>
    <row r="157" spans="1:144" x14ac:dyDescent="0.35">
      <c r="A157" t="s">
        <v>22</v>
      </c>
      <c r="E157">
        <v>-3.230721212117575E-3</v>
      </c>
      <c r="F157">
        <f t="shared" si="8"/>
        <v>-2.4517263762878948E-2</v>
      </c>
      <c r="G157">
        <f t="shared" si="9"/>
        <v>-3.6894504982835398E-2</v>
      </c>
      <c r="J157" s="2" t="s">
        <v>169</v>
      </c>
      <c r="K157">
        <f>B3197</f>
        <v>9.7735874054070727E-3</v>
      </c>
      <c r="L157">
        <f>C3197</f>
        <v>3.7687110835514718E-3</v>
      </c>
      <c r="M157">
        <f t="shared" si="11"/>
        <v>1.2730394614413653E-2</v>
      </c>
      <c r="N157">
        <f>D3197</f>
        <v>-1.2761064084958347E-2</v>
      </c>
      <c r="O157">
        <f>AVERAGEIFS(E3197:E3218,E3197:E3218,"&lt;=" &amp; N157)</f>
        <v>-1.3017601499297777E-2</v>
      </c>
      <c r="P157">
        <v>86.189838910138576</v>
      </c>
      <c r="Q157">
        <v>21.878530000000001</v>
      </c>
      <c r="R157">
        <f t="shared" si="10"/>
        <v>96.821887271473926</v>
      </c>
      <c r="S157">
        <v>1.2730394614413653E-2</v>
      </c>
      <c r="T157">
        <v>20.58</v>
      </c>
      <c r="V157" t="s">
        <v>251</v>
      </c>
      <c r="W157">
        <v>-0.59721776698627316</v>
      </c>
      <c r="X157">
        <v>0.19214167176442692</v>
      </c>
      <c r="Y157">
        <v>-3.1082157321837247</v>
      </c>
      <c r="Z157">
        <v>2.1916566110345296E-3</v>
      </c>
      <c r="AA157">
        <v>-0.97638646994001366</v>
      </c>
      <c r="AB157">
        <v>-0.21804906403253266</v>
      </c>
      <c r="AC157">
        <v>-0.97638646994001366</v>
      </c>
      <c r="AD157">
        <v>-0.21804906403253266</v>
      </c>
    </row>
    <row r="158" spans="1:144" ht="15" thickBot="1" x14ac:dyDescent="0.4">
      <c r="A158" t="s">
        <v>22</v>
      </c>
      <c r="E158">
        <v>-3.1353516604253986E-3</v>
      </c>
      <c r="F158">
        <f t="shared" si="8"/>
        <v>-2.4517632917529144E-2</v>
      </c>
      <c r="G158">
        <f t="shared" si="9"/>
        <v>-3.6894504982835398E-2</v>
      </c>
      <c r="J158" s="2" t="s">
        <v>170</v>
      </c>
      <c r="K158">
        <f>B3219</f>
        <v>1.1103606845819567E-2</v>
      </c>
      <c r="L158">
        <f>C3219</f>
        <v>-1.8697986123470439E-3</v>
      </c>
      <c r="M158">
        <f t="shared" si="11"/>
        <v>9.7735874054070727E-3</v>
      </c>
      <c r="N158">
        <f>D3219</f>
        <v>-3.4088829700625892E-2</v>
      </c>
      <c r="O158">
        <f>AVERAGEIFS(E3219:E3238,E3219:E3238,"&lt;=" &amp; N158)</f>
        <v>-3.5112524272791386E-2</v>
      </c>
      <c r="P158">
        <v>78.633408504815833</v>
      </c>
      <c r="Q158">
        <v>22.371210000000001</v>
      </c>
      <c r="R158">
        <f t="shared" si="10"/>
        <v>86.189838910138576</v>
      </c>
      <c r="S158">
        <v>9.7735874054070727E-3</v>
      </c>
      <c r="T158">
        <v>21.67</v>
      </c>
      <c r="V158" s="6" t="s">
        <v>252</v>
      </c>
      <c r="W158" s="6">
        <v>-6.4471421778294837E-4</v>
      </c>
      <c r="X158" s="6">
        <v>1.6508337352905074E-4</v>
      </c>
      <c r="Y158" s="6">
        <v>-3.9053855273286744</v>
      </c>
      <c r="Z158" s="6">
        <v>1.3341545578560637E-4</v>
      </c>
      <c r="AA158" s="6">
        <v>-9.7048659212234324E-4</v>
      </c>
      <c r="AB158" s="6">
        <v>-3.1894184344355349E-4</v>
      </c>
      <c r="AC158" s="6">
        <v>-9.7048659212234324E-4</v>
      </c>
      <c r="AD158" s="6">
        <v>-3.1894184344355349E-4</v>
      </c>
    </row>
    <row r="159" spans="1:144" x14ac:dyDescent="0.35">
      <c r="A159" t="s">
        <v>22</v>
      </c>
      <c r="E159">
        <v>1.2635269004350819E-2</v>
      </c>
      <c r="F159">
        <f t="shared" si="8"/>
        <v>-2.4518002072179343E-2</v>
      </c>
      <c r="G159">
        <f t="shared" si="9"/>
        <v>-3.6894504982835398E-2</v>
      </c>
      <c r="J159" s="2" t="s">
        <v>171</v>
      </c>
      <c r="K159">
        <f>B3239</f>
        <v>9.2600427929325473E-3</v>
      </c>
      <c r="L159">
        <f>C3239</f>
        <v>5.4825126375945606E-3</v>
      </c>
      <c r="M159">
        <f t="shared" si="11"/>
        <v>1.1103606845819567E-2</v>
      </c>
      <c r="N159">
        <f>D3239</f>
        <v>-1.6274353553272961E-2</v>
      </c>
      <c r="O159">
        <f>AVERAGEIFS(E3239:E3259,E3239:E3259,"&lt;=" &amp; N159)</f>
        <v>-1.7662482205352624E-2</v>
      </c>
      <c r="P159">
        <v>100.37407363713609</v>
      </c>
      <c r="Q159">
        <v>20.17446</v>
      </c>
      <c r="R159">
        <f t="shared" si="10"/>
        <v>78.633408504815833</v>
      </c>
      <c r="S159">
        <v>1.1103606845819567E-2</v>
      </c>
      <c r="T159">
        <v>19.399999999999999</v>
      </c>
    </row>
    <row r="160" spans="1:144" x14ac:dyDescent="0.35">
      <c r="A160" t="s">
        <v>22</v>
      </c>
      <c r="E160">
        <v>-6.3972509141108184E-3</v>
      </c>
      <c r="F160">
        <f t="shared" si="8"/>
        <v>-2.4518371226829542E-2</v>
      </c>
      <c r="G160">
        <f t="shared" si="9"/>
        <v>-3.6894504982835398E-2</v>
      </c>
      <c r="J160" s="2" t="s">
        <v>172</v>
      </c>
      <c r="K160">
        <f>B3260</f>
        <v>8.2836347195456156E-3</v>
      </c>
      <c r="L160">
        <f>C3260</f>
        <v>1.6248854212507625E-3</v>
      </c>
      <c r="M160">
        <f t="shared" si="11"/>
        <v>9.2600427929325473E-3</v>
      </c>
      <c r="N160">
        <f>D3260</f>
        <v>-1.1265735154387595E-2</v>
      </c>
      <c r="O160">
        <f>AVERAGEIFS(E3260:E3279,E3260:E3279,"&lt;=" &amp; N160)</f>
        <v>-1.1293647364876489E-2</v>
      </c>
      <c r="P160">
        <v>117.90849826230965</v>
      </c>
      <c r="Q160">
        <v>20.68244</v>
      </c>
      <c r="R160">
        <f t="shared" si="10"/>
        <v>100.37407363713609</v>
      </c>
      <c r="S160">
        <v>9.2600427929325473E-3</v>
      </c>
      <c r="T160">
        <v>20.7</v>
      </c>
    </row>
    <row r="161" spans="1:144" x14ac:dyDescent="0.35">
      <c r="A161" t="s">
        <v>22</v>
      </c>
      <c r="E161">
        <v>-2.0716830423856782E-2</v>
      </c>
      <c r="F161">
        <f t="shared" si="8"/>
        <v>-2.4522461754297366E-2</v>
      </c>
      <c r="G161">
        <f t="shared" si="9"/>
        <v>-3.6962505717758512E-2</v>
      </c>
      <c r="J161" s="2" t="s">
        <v>173</v>
      </c>
      <c r="K161">
        <f>B3280</f>
        <v>1.8458038566676712E-2</v>
      </c>
      <c r="L161">
        <f>C3280</f>
        <v>-5.8046931039597174E-4</v>
      </c>
      <c r="M161">
        <f t="shared" si="11"/>
        <v>8.2836347195456156E-3</v>
      </c>
      <c r="N161">
        <f>D3280</f>
        <v>-4.596403664591503E-2</v>
      </c>
      <c r="O161">
        <f>AVERAGEIFS(E3280:E3302,E3280:E3302,"&lt;=" &amp; N161)</f>
        <v>-4.7181368598001393E-2</v>
      </c>
      <c r="P161">
        <v>128.97455213024261</v>
      </c>
      <c r="Q161">
        <v>21.1126</v>
      </c>
      <c r="R161">
        <f t="shared" si="10"/>
        <v>117.90849826230965</v>
      </c>
      <c r="S161">
        <v>8.2836347195456156E-3</v>
      </c>
      <c r="T161">
        <v>18.7</v>
      </c>
      <c r="V161" t="s">
        <v>225</v>
      </c>
    </row>
    <row r="162" spans="1:144" ht="15" thickBot="1" x14ac:dyDescent="0.4">
      <c r="A162" t="s">
        <v>22</v>
      </c>
      <c r="E162">
        <v>-1.2265900798695311E-2</v>
      </c>
      <c r="F162">
        <f t="shared" si="8"/>
        <v>-2.4526552281765191E-2</v>
      </c>
      <c r="G162">
        <f t="shared" si="9"/>
        <v>-3.6962505717758512E-2</v>
      </c>
      <c r="J162" s="2" t="s">
        <v>174</v>
      </c>
      <c r="K162">
        <f>B3303</f>
        <v>7.2441481927213846E-3</v>
      </c>
      <c r="L162">
        <f>C3303</f>
        <v>-7.4858151459935814E-5</v>
      </c>
      <c r="M162">
        <f t="shared" si="11"/>
        <v>1.8458038566676712E-2</v>
      </c>
      <c r="N162">
        <f>D3303</f>
        <v>-1.0454004574479391E-2</v>
      </c>
      <c r="O162">
        <f>AVERAGEIFS(E3303:E3320,E3303:E3320,"&lt;=" &amp; N162)</f>
        <v>-1.103272433064242E-2</v>
      </c>
      <c r="P162">
        <v>156.72842110023004</v>
      </c>
      <c r="Q162">
        <v>19.22747</v>
      </c>
      <c r="R162">
        <f t="shared" si="10"/>
        <v>128.97455213024261</v>
      </c>
      <c r="S162">
        <v>1.8458038566676712E-2</v>
      </c>
      <c r="T162">
        <v>15.78</v>
      </c>
    </row>
    <row r="163" spans="1:144" x14ac:dyDescent="0.35">
      <c r="A163" t="s">
        <v>22</v>
      </c>
      <c r="E163">
        <v>7.0149331816709137E-3</v>
      </c>
      <c r="F163">
        <f t="shared" si="8"/>
        <v>-2.4530642809233016E-2</v>
      </c>
      <c r="G163">
        <f t="shared" si="9"/>
        <v>-3.6962505717758512E-2</v>
      </c>
      <c r="J163" s="2" t="s">
        <v>175</v>
      </c>
      <c r="K163">
        <f>B3321</f>
        <v>1.1342541688076508E-2</v>
      </c>
      <c r="L163">
        <f>C3321</f>
        <v>-1.9316043152577005E-3</v>
      </c>
      <c r="M163">
        <f t="shared" si="11"/>
        <v>7.2441481927213846E-3</v>
      </c>
      <c r="N163">
        <f>D3321</f>
        <v>-2.4011222468031723E-2</v>
      </c>
      <c r="O163">
        <f>AVERAGEIFS(E3321:E3340,E3321:E3340,"&lt;=" &amp; N163)</f>
        <v>-2.4225986831217662E-2</v>
      </c>
      <c r="P163">
        <v>115.4877875823241</v>
      </c>
      <c r="Q163">
        <v>21.256530000000001</v>
      </c>
      <c r="R163">
        <f t="shared" si="10"/>
        <v>156.72842110023004</v>
      </c>
      <c r="S163">
        <v>7.2441481927213846E-3</v>
      </c>
      <c r="T163">
        <v>17.940000000000001</v>
      </c>
      <c r="V163" s="8" t="s">
        <v>226</v>
      </c>
      <c r="W163" s="8"/>
    </row>
    <row r="164" spans="1:144" x14ac:dyDescent="0.35">
      <c r="A164" t="s">
        <v>22</v>
      </c>
      <c r="E164">
        <v>-1.5890436468212567E-2</v>
      </c>
      <c r="F164">
        <f t="shared" si="8"/>
        <v>-2.453473333670084E-2</v>
      </c>
      <c r="G164">
        <f t="shared" si="9"/>
        <v>-3.6962505717758512E-2</v>
      </c>
      <c r="J164" s="2" t="s">
        <v>176</v>
      </c>
      <c r="K164">
        <f>B3341</f>
        <v>8.0191369001483444E-3</v>
      </c>
      <c r="L164">
        <f>C3341</f>
        <v>3.6520827555002089E-3</v>
      </c>
      <c r="M164">
        <f t="shared" si="11"/>
        <v>1.1342541688076508E-2</v>
      </c>
      <c r="N164">
        <f>D3341</f>
        <v>-7.7677910467809736E-3</v>
      </c>
      <c r="O164">
        <f>AVERAGEIFS(E3341:E3362,E3341:E3362,"&lt;=" &amp; N164)</f>
        <v>-7.8435003534575512E-3</v>
      </c>
      <c r="P164">
        <v>96.531035403385104</v>
      </c>
      <c r="Q164">
        <v>14.863659999999999</v>
      </c>
      <c r="R164">
        <f t="shared" si="10"/>
        <v>115.4877875823241</v>
      </c>
      <c r="S164">
        <v>1.1342541688076508E-2</v>
      </c>
      <c r="T164">
        <v>13.59</v>
      </c>
      <c r="V164" t="s">
        <v>227</v>
      </c>
      <c r="W164">
        <v>0.15356172365926654</v>
      </c>
    </row>
    <row r="165" spans="1:144" x14ac:dyDescent="0.35">
      <c r="A165" t="s">
        <v>22</v>
      </c>
      <c r="E165">
        <v>-1.1717604274458027E-2</v>
      </c>
      <c r="F165">
        <f t="shared" si="8"/>
        <v>-2.4538823864168665E-2</v>
      </c>
      <c r="G165">
        <f t="shared" si="9"/>
        <v>-3.6962505717758512E-2</v>
      </c>
      <c r="J165" s="2" t="s">
        <v>177</v>
      </c>
      <c r="K165">
        <f>B3363</f>
        <v>9.1798203056689988E-3</v>
      </c>
      <c r="L165">
        <f>C3363</f>
        <v>2.3270976908020442E-3</v>
      </c>
      <c r="M165">
        <f t="shared" si="11"/>
        <v>8.0191369001483444E-3</v>
      </c>
      <c r="N165">
        <f>D3363</f>
        <v>-2.3629045294404457E-2</v>
      </c>
      <c r="O165">
        <f>AVERAGEIFS(E3363:E3383,E3363:E3383,"&lt;=" &amp; N165)</f>
        <v>-2.5600079023228254E-2</v>
      </c>
      <c r="P165">
        <v>105.49304729035246</v>
      </c>
      <c r="Q165">
        <v>17.860399999999998</v>
      </c>
      <c r="R165">
        <f t="shared" si="10"/>
        <v>96.531035403385104</v>
      </c>
      <c r="S165">
        <v>8.0191369001483444E-3</v>
      </c>
      <c r="T165">
        <v>13.63</v>
      </c>
      <c r="V165" t="s">
        <v>228</v>
      </c>
      <c r="W165">
        <v>2.3581202973204939E-2</v>
      </c>
    </row>
    <row r="166" spans="1:144" x14ac:dyDescent="0.35">
      <c r="A166" t="s">
        <v>22</v>
      </c>
      <c r="E166">
        <v>1.3776425174477981E-2</v>
      </c>
      <c r="F166">
        <f t="shared" si="8"/>
        <v>-2.454291439163649E-2</v>
      </c>
      <c r="G166">
        <f t="shared" si="9"/>
        <v>-3.6962505717758512E-2</v>
      </c>
      <c r="J166" s="2" t="s">
        <v>178</v>
      </c>
      <c r="K166">
        <f>B3384</f>
        <v>1.0387308146036979E-2</v>
      </c>
      <c r="L166">
        <f>C3384</f>
        <v>-1.3244981698796662E-3</v>
      </c>
      <c r="M166">
        <f t="shared" si="11"/>
        <v>9.1798203056689988E-3</v>
      </c>
      <c r="N166">
        <f>D3384</f>
        <v>-2.0598494733996133E-2</v>
      </c>
      <c r="O166">
        <f>AVERAGEIFS(E3384:E3404,E3384:E3404,"&lt;=" &amp; N166)</f>
        <v>-2.1433339520333126E-2</v>
      </c>
      <c r="P166">
        <v>119.72513391711146</v>
      </c>
      <c r="Q166">
        <v>17.411549999999998</v>
      </c>
      <c r="R166">
        <f t="shared" si="10"/>
        <v>105.49304729035246</v>
      </c>
      <c r="S166">
        <v>9.1798203056689988E-3</v>
      </c>
      <c r="T166">
        <v>13.57</v>
      </c>
      <c r="V166" t="s">
        <v>228</v>
      </c>
      <c r="W166">
        <v>1.8186623984106625E-2</v>
      </c>
      <c r="Y166" t="s">
        <v>387</v>
      </c>
    </row>
    <row r="167" spans="1:144" x14ac:dyDescent="0.35">
      <c r="A167" t="s">
        <v>22</v>
      </c>
      <c r="E167">
        <v>4.1458429217288715E-3</v>
      </c>
      <c r="F167">
        <f t="shared" si="8"/>
        <v>-2.4547004919104314E-2</v>
      </c>
      <c r="G167">
        <f t="shared" si="9"/>
        <v>-3.6962505717758512E-2</v>
      </c>
      <c r="J167" s="2" t="s">
        <v>179</v>
      </c>
      <c r="K167">
        <f>B3405</f>
        <v>8.7617286728199316E-3</v>
      </c>
      <c r="L167">
        <f>C3405</f>
        <v>-9.8163752679510151E-4</v>
      </c>
      <c r="M167">
        <f t="shared" si="11"/>
        <v>1.0387308146036979E-2</v>
      </c>
      <c r="N167">
        <f>D3405</f>
        <v>-1.772910399213232E-2</v>
      </c>
      <c r="O167">
        <f>AVERAGEIFS(E3405:E3425,E3405:E3425,"&lt;=" &amp; N167)</f>
        <v>-1.79766430307206E-2</v>
      </c>
      <c r="P167">
        <v>108.98336439855198</v>
      </c>
      <c r="Q167">
        <v>18.48019</v>
      </c>
      <c r="R167">
        <f t="shared" si="10"/>
        <v>119.72513391711146</v>
      </c>
      <c r="S167">
        <v>1.0387308146036979E-2</v>
      </c>
      <c r="T167">
        <v>17.52</v>
      </c>
      <c r="V167" t="s">
        <v>229</v>
      </c>
      <c r="W167">
        <v>1.6020505508225622E-2</v>
      </c>
    </row>
    <row r="168" spans="1:144" ht="15" thickBot="1" x14ac:dyDescent="0.4">
      <c r="A168" t="s">
        <v>22</v>
      </c>
      <c r="E168">
        <v>-4.1914471319174154E-3</v>
      </c>
      <c r="F168">
        <f t="shared" si="8"/>
        <v>-2.4551095446572139E-2</v>
      </c>
      <c r="G168">
        <f t="shared" si="9"/>
        <v>-3.6962505717758512E-2</v>
      </c>
      <c r="J168" s="2" t="s">
        <v>180</v>
      </c>
      <c r="K168">
        <f>B3426</f>
        <v>9.7628283698832589E-3</v>
      </c>
      <c r="L168">
        <f>C3426</f>
        <v>-8.1411722266418695E-4</v>
      </c>
      <c r="M168">
        <f t="shared" si="11"/>
        <v>8.7617286728199316E-3</v>
      </c>
      <c r="N168">
        <f>D3426</f>
        <v>-1.4131648112972916E-2</v>
      </c>
      <c r="O168">
        <f>AVERAGEIFS(E3426:E3447,E3426:E3447,"&lt;=" &amp; N168)</f>
        <v>-1.4148801411748516E-2</v>
      </c>
      <c r="P168">
        <v>119.67225210110932</v>
      </c>
      <c r="Q168">
        <v>20.840789999999998</v>
      </c>
      <c r="R168">
        <f t="shared" si="10"/>
        <v>108.98336439855198</v>
      </c>
      <c r="S168">
        <v>8.7617286728199316E-3</v>
      </c>
      <c r="T168">
        <v>18.14</v>
      </c>
      <c r="V168" s="6" t="s">
        <v>230</v>
      </c>
      <c r="W168" s="6">
        <v>183</v>
      </c>
    </row>
    <row r="169" spans="1:144" s="3" customFormat="1" x14ac:dyDescent="0.35">
      <c r="A169" s="3" t="s">
        <v>23</v>
      </c>
      <c r="B169" s="3" cm="1">
        <f t="array" ref="B169">_xlfn.STDEV.S(_xlfn._xlws.FILTER($E$2:$E$1000, $A$2:$A$1000="2010-09"))</f>
        <v>1.1212148591933646E-2</v>
      </c>
      <c r="C169" s="3" cm="1">
        <f t="array" ref="C169">AVERAGE(_xlfn._xlws.FILTER($E$2:$E$1000, $A$2:$A$1000="2010-09"))</f>
        <v>1.7412087426321088E-3</v>
      </c>
      <c r="D169" s="3" cm="1">
        <f t="array" ref="D169">_xlfn.PERCENTILE.EXC(_xlfn._xlws.FILTER($E$126:$E$252, $A$126:$A$252="2010-09"), 0.05)</f>
        <v>-1.7466639426002368E-2</v>
      </c>
      <c r="E169" s="3">
        <v>3.1689346387565119E-2</v>
      </c>
      <c r="F169" s="3">
        <f t="shared" si="8"/>
        <v>-2.4555185974039963E-2</v>
      </c>
      <c r="G169" s="3">
        <f t="shared" si="9"/>
        <v>-3.6962505717758512E-2</v>
      </c>
      <c r="J169" s="4" t="s">
        <v>181</v>
      </c>
      <c r="K169" s="3">
        <f>B3448</f>
        <v>7.7383930465729492E-3</v>
      </c>
      <c r="L169" s="3">
        <f>C3448</f>
        <v>3.1572988252112095E-3</v>
      </c>
      <c r="M169">
        <f t="shared" si="11"/>
        <v>9.7628283698832589E-3</v>
      </c>
      <c r="N169" s="3">
        <f>D3448</f>
        <v>-1.2318583701717394E-2</v>
      </c>
      <c r="O169" s="3">
        <f>AVERAGEIFS(E3448:E3469,E3448:E3469,"&lt;=" &amp; N169)</f>
        <v>-1.3237364501702297E-2</v>
      </c>
      <c r="P169" s="3">
        <v>155.81360604028364</v>
      </c>
      <c r="Q169" s="3">
        <v>15.04454</v>
      </c>
      <c r="R169">
        <f t="shared" si="10"/>
        <v>119.67225210110932</v>
      </c>
      <c r="S169">
        <v>9.7628283698832589E-3</v>
      </c>
      <c r="T169" s="3">
        <v>12.92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</row>
    <row r="170" spans="1:144" ht="15" thickBot="1" x14ac:dyDescent="0.4">
      <c r="A170" t="s">
        <v>23</v>
      </c>
      <c r="E170">
        <v>2.0754139640472851E-3</v>
      </c>
      <c r="F170">
        <f t="shared" si="8"/>
        <v>-2.4559276501507792E-2</v>
      </c>
      <c r="G170">
        <f t="shared" si="9"/>
        <v>-3.6962505717758512E-2</v>
      </c>
      <c r="J170" s="2" t="s">
        <v>182</v>
      </c>
      <c r="K170">
        <f>B3470</f>
        <v>4.2734239202494176E-3</v>
      </c>
      <c r="L170">
        <f>C3470</f>
        <v>1.0760554228552211E-3</v>
      </c>
      <c r="M170">
        <f t="shared" si="11"/>
        <v>7.7383930465729492E-3</v>
      </c>
      <c r="N170">
        <f>D3470</f>
        <v>-6.7668269391187256E-3</v>
      </c>
      <c r="O170">
        <f>AVERAGEIFS(E3470:E3488,E3470:E3488,"&lt;=" &amp; N170)</f>
        <v>-6.7668269391187256E-3</v>
      </c>
      <c r="P170">
        <v>70.540534630926643</v>
      </c>
      <c r="Q170">
        <v>15.01905</v>
      </c>
      <c r="R170">
        <f t="shared" si="10"/>
        <v>155.81360604028364</v>
      </c>
      <c r="S170">
        <v>7.7383930465729492E-3</v>
      </c>
      <c r="T170">
        <v>12.45</v>
      </c>
      <c r="V170" t="s">
        <v>231</v>
      </c>
    </row>
    <row r="171" spans="1:144" x14ac:dyDescent="0.35">
      <c r="A171" t="s">
        <v>23</v>
      </c>
      <c r="E171">
        <v>1.1087477115854514E-2</v>
      </c>
      <c r="F171">
        <f t="shared" si="8"/>
        <v>-2.4563367028975613E-2</v>
      </c>
      <c r="G171">
        <f t="shared" si="9"/>
        <v>-3.6962505717758512E-2</v>
      </c>
      <c r="J171" s="2" t="s">
        <v>183</v>
      </c>
      <c r="K171">
        <f>B3489</f>
        <v>6.9547890521725973E-3</v>
      </c>
      <c r="L171">
        <f>C3489</f>
        <v>5.8421664941324218E-4</v>
      </c>
      <c r="M171">
        <f t="shared" si="11"/>
        <v>4.2734239202494176E-3</v>
      </c>
      <c r="N171">
        <f>D3489</f>
        <v>-1.3068881702962434E-2</v>
      </c>
      <c r="O171">
        <f>AVERAGEIFS(E3489:E3510,E3489:E3510,"&lt;=" &amp; N171)</f>
        <v>-1.3980820369002932E-2</v>
      </c>
      <c r="P171">
        <v>105.67805968575729</v>
      </c>
      <c r="Q171">
        <v>16.078399999999998</v>
      </c>
      <c r="R171">
        <f t="shared" si="10"/>
        <v>70.540534630926643</v>
      </c>
      <c r="S171">
        <v>4.2734239202494176E-3</v>
      </c>
      <c r="T171">
        <v>14.35</v>
      </c>
      <c r="V171" s="7"/>
      <c r="W171" s="7" t="s">
        <v>236</v>
      </c>
      <c r="X171" s="7" t="s">
        <v>237</v>
      </c>
      <c r="Y171" s="7" t="s">
        <v>238</v>
      </c>
      <c r="Z171" s="7" t="s">
        <v>239</v>
      </c>
      <c r="AA171" s="7" t="s">
        <v>240</v>
      </c>
    </row>
    <row r="172" spans="1:144" x14ac:dyDescent="0.35">
      <c r="A172" t="s">
        <v>23</v>
      </c>
      <c r="E172">
        <v>1.0193515434562947E-3</v>
      </c>
      <c r="F172">
        <f t="shared" si="8"/>
        <v>-2.4567457556443437E-2</v>
      </c>
      <c r="G172">
        <f t="shared" si="9"/>
        <v>-3.6962505717758512E-2</v>
      </c>
      <c r="J172" s="2" t="s">
        <v>184</v>
      </c>
      <c r="K172">
        <f>B3511</f>
        <v>5.9750982582458742E-3</v>
      </c>
      <c r="L172">
        <f>C3511</f>
        <v>2.7630854848019397E-3</v>
      </c>
      <c r="M172">
        <f t="shared" si="11"/>
        <v>6.9547890521725973E-3</v>
      </c>
      <c r="N172">
        <f>D3511</f>
        <v>-9.7296090281967923E-3</v>
      </c>
      <c r="O172">
        <f>AVERAGEIFS(E3511:E3531,E3511:E3531,"&lt;=" &amp; N172)</f>
        <v>-1.0307020847538841E-2</v>
      </c>
      <c r="P172">
        <v>84.470167189569651</v>
      </c>
      <c r="Q172">
        <v>14.885859999999999</v>
      </c>
      <c r="R172">
        <f t="shared" si="10"/>
        <v>105.67805968575729</v>
      </c>
      <c r="S172">
        <v>6.9547890521725973E-3</v>
      </c>
      <c r="T172">
        <v>13.4</v>
      </c>
      <c r="V172" t="s">
        <v>232</v>
      </c>
      <c r="W172">
        <v>1</v>
      </c>
      <c r="X172">
        <v>1.1219172644143724E-3</v>
      </c>
      <c r="Y172">
        <v>1.1219172644143724E-3</v>
      </c>
      <c r="Z172">
        <v>4.3712777254460882</v>
      </c>
      <c r="AA172">
        <v>3.7946109370048234E-2</v>
      </c>
    </row>
    <row r="173" spans="1:144" x14ac:dyDescent="0.35">
      <c r="A173" t="s">
        <v>23</v>
      </c>
      <c r="E173">
        <v>-1.2931672430538011E-2</v>
      </c>
      <c r="F173">
        <f t="shared" si="8"/>
        <v>-2.4571548083911262E-2</v>
      </c>
      <c r="G173">
        <f t="shared" si="9"/>
        <v>-3.6962505717758512E-2</v>
      </c>
      <c r="J173" s="2" t="s">
        <v>185</v>
      </c>
      <c r="K173">
        <f>B3532</f>
        <v>4.5761006232043402E-3</v>
      </c>
      <c r="L173">
        <f>C3532</f>
        <v>3.2231094544181256E-3</v>
      </c>
      <c r="M173">
        <f t="shared" si="11"/>
        <v>5.9750982582458742E-3</v>
      </c>
      <c r="N173">
        <f>D3532</f>
        <v>-2.919612023860701E-3</v>
      </c>
      <c r="O173">
        <f>AVERAGEIFS(E3532:E3551,E3532:E3551,"&lt;=" &amp; N173)</f>
        <v>-2.9332853515259419E-3</v>
      </c>
      <c r="P173">
        <v>68.584206649630701</v>
      </c>
      <c r="Q173">
        <v>14.443</v>
      </c>
      <c r="R173">
        <f t="shared" si="10"/>
        <v>84.470167189569651</v>
      </c>
      <c r="S173">
        <v>5.9750982582458742E-3</v>
      </c>
      <c r="T173">
        <v>13.01</v>
      </c>
      <c r="V173" t="s">
        <v>233</v>
      </c>
      <c r="W173">
        <v>181</v>
      </c>
      <c r="X173">
        <v>4.6454844009774843E-2</v>
      </c>
      <c r="Y173">
        <v>2.5665659673908752E-4</v>
      </c>
    </row>
    <row r="174" spans="1:144" ht="15" thickBot="1" x14ac:dyDescent="0.4">
      <c r="A174" t="s">
        <v>23</v>
      </c>
      <c r="E174">
        <v>9.0205271934388157E-3</v>
      </c>
      <c r="F174">
        <f t="shared" si="8"/>
        <v>-2.4575638611379087E-2</v>
      </c>
      <c r="G174">
        <f t="shared" si="9"/>
        <v>-3.6962505717758512E-2</v>
      </c>
      <c r="J174" s="2" t="s">
        <v>186</v>
      </c>
      <c r="K174">
        <f>B3552</f>
        <v>9.6112020215257509E-3</v>
      </c>
      <c r="L174">
        <f>C3552</f>
        <v>-1.3956283068622146E-3</v>
      </c>
      <c r="M174">
        <f t="shared" si="11"/>
        <v>4.5761006232043402E-3</v>
      </c>
      <c r="N174">
        <f>D3552</f>
        <v>-1.6594478137488933E-2</v>
      </c>
      <c r="O174">
        <f>AVERAGEIFS(E3552:E3572,E3552:E3572,"&lt;=" &amp; N174)</f>
        <v>-1.6643162513722578E-2</v>
      </c>
      <c r="P174">
        <v>112.375302460402</v>
      </c>
      <c r="Q174">
        <v>16.62208</v>
      </c>
      <c r="R174">
        <f t="shared" si="10"/>
        <v>68.584206649630701</v>
      </c>
      <c r="S174">
        <v>4.5761006232043402E-3</v>
      </c>
      <c r="T174">
        <v>15.65</v>
      </c>
      <c r="V174" s="6" t="s">
        <v>234</v>
      </c>
      <c r="W174" s="6">
        <v>182</v>
      </c>
      <c r="X174" s="6">
        <v>4.7576761274189215E-2</v>
      </c>
      <c r="Y174" s="6"/>
      <c r="Z174" s="6"/>
      <c r="AA174" s="6"/>
    </row>
    <row r="175" spans="1:144" ht="15" thickBot="1" x14ac:dyDescent="0.4">
      <c r="A175" t="s">
        <v>23</v>
      </c>
      <c r="E175">
        <v>1.3427736814719858E-2</v>
      </c>
      <c r="F175">
        <f t="shared" si="8"/>
        <v>-2.4579729138846915E-2</v>
      </c>
      <c r="G175">
        <f t="shared" si="9"/>
        <v>-3.6962505717758512E-2</v>
      </c>
      <c r="J175" s="2" t="s">
        <v>187</v>
      </c>
      <c r="K175">
        <f>B3573</f>
        <v>8.0509364648155279E-3</v>
      </c>
      <c r="L175">
        <f>C3573</f>
        <v>1.0928925187672738E-3</v>
      </c>
      <c r="M175">
        <f t="shared" si="11"/>
        <v>9.6112020215257509E-3</v>
      </c>
      <c r="N175">
        <f>D3573</f>
        <v>-1.6265290585908962E-2</v>
      </c>
      <c r="O175">
        <f>AVERAGEIFS(E3573:E3592,E3573:E3592,"&lt;=" &amp; N175)</f>
        <v>-1.6342679434963397E-2</v>
      </c>
      <c r="P175">
        <v>82.447442489332715</v>
      </c>
      <c r="Q175">
        <v>15.33592</v>
      </c>
      <c r="R175">
        <f t="shared" si="10"/>
        <v>112.375302460402</v>
      </c>
      <c r="S175">
        <v>9.6112020215257509E-3</v>
      </c>
      <c r="T175">
        <v>12.92</v>
      </c>
    </row>
    <row r="176" spans="1:144" x14ac:dyDescent="0.35">
      <c r="A176" t="s">
        <v>23</v>
      </c>
      <c r="E176">
        <v>-1.2127127151193981E-3</v>
      </c>
      <c r="F176">
        <f t="shared" si="8"/>
        <v>-2.4583819666314736E-2</v>
      </c>
      <c r="G176">
        <f t="shared" si="9"/>
        <v>-3.6962505717758512E-2</v>
      </c>
      <c r="J176" s="2" t="s">
        <v>188</v>
      </c>
      <c r="K176">
        <f>B3593</f>
        <v>1.266575748906832E-2</v>
      </c>
      <c r="L176">
        <f>C3593</f>
        <v>-1.9787209359287865E-3</v>
      </c>
      <c r="M176">
        <f t="shared" si="11"/>
        <v>8.0509364648155279E-3</v>
      </c>
      <c r="N176">
        <f>D3593</f>
        <v>-2.8185145845431376E-2</v>
      </c>
      <c r="O176">
        <f>AVERAGEIFS(E3593:E3612,E3593:E3612,"&lt;=" &amp; N176)</f>
        <v>-2.8508581598120131E-2</v>
      </c>
      <c r="P176">
        <v>106.16297380930011</v>
      </c>
      <c r="Q176">
        <v>19.606960000000001</v>
      </c>
      <c r="R176">
        <f t="shared" si="10"/>
        <v>82.447442489332715</v>
      </c>
      <c r="S176">
        <v>8.0509364648155279E-3</v>
      </c>
      <c r="T176">
        <v>12.44</v>
      </c>
      <c r="V176" s="7"/>
      <c r="W176" s="7" t="s">
        <v>241</v>
      </c>
      <c r="X176" s="7" t="s">
        <v>229</v>
      </c>
      <c r="Y176" s="7" t="s">
        <v>242</v>
      </c>
      <c r="Z176" s="7" t="s">
        <v>243</v>
      </c>
      <c r="AA176" s="7" t="s">
        <v>244</v>
      </c>
      <c r="AB176" s="7" t="s">
        <v>245</v>
      </c>
      <c r="AC176" s="7" t="s">
        <v>246</v>
      </c>
      <c r="AD176" s="7" t="s">
        <v>247</v>
      </c>
    </row>
    <row r="177" spans="1:144" x14ac:dyDescent="0.35">
      <c r="A177" t="s">
        <v>23</v>
      </c>
      <c r="E177">
        <v>8.0521895546298312E-3</v>
      </c>
      <c r="F177">
        <f t="shared" si="8"/>
        <v>-2.4587910193782564E-2</v>
      </c>
      <c r="G177">
        <f t="shared" si="9"/>
        <v>-3.6962505717758512E-2</v>
      </c>
      <c r="J177" s="2" t="s">
        <v>189</v>
      </c>
      <c r="K177">
        <f>B3613</f>
        <v>8.496997751476618E-3</v>
      </c>
      <c r="L177">
        <f>C3613</f>
        <v>7.9243993780609627E-4</v>
      </c>
      <c r="M177">
        <f t="shared" si="11"/>
        <v>1.266575748906832E-2</v>
      </c>
      <c r="N177">
        <f>D3613</f>
        <v>-1.824910678969081E-2</v>
      </c>
      <c r="O177">
        <f>AVERAGEIFS(E3613:E3635,E3613:E3635,"&lt;=" &amp; N177)</f>
        <v>-2.0532728271234809E-2</v>
      </c>
      <c r="P177">
        <v>98.660453193677739</v>
      </c>
      <c r="Q177">
        <v>17.017040000000001</v>
      </c>
      <c r="R177">
        <f t="shared" si="10"/>
        <v>106.16297380930011</v>
      </c>
      <c r="S177">
        <v>1.266575748906832E-2</v>
      </c>
      <c r="T177">
        <v>16.36</v>
      </c>
      <c r="V177" t="s">
        <v>235</v>
      </c>
      <c r="W177">
        <v>-1.9885840946902284E-2</v>
      </c>
      <c r="X177">
        <v>3.9022111395340159E-3</v>
      </c>
      <c r="Y177">
        <v>-5.0960443286718107</v>
      </c>
      <c r="Z177">
        <v>8.6768340848828699E-7</v>
      </c>
      <c r="AA177">
        <v>-2.7585516336865748E-2</v>
      </c>
      <c r="AB177">
        <v>-1.2186165556938822E-2</v>
      </c>
      <c r="AC177">
        <v>-2.7585516336865748E-2</v>
      </c>
      <c r="AD177">
        <v>-1.2186165556938822E-2</v>
      </c>
    </row>
    <row r="178" spans="1:144" ht="15" thickBot="1" x14ac:dyDescent="0.4">
      <c r="A178" t="s">
        <v>23</v>
      </c>
      <c r="E178">
        <v>1.1046156758089968E-4</v>
      </c>
      <c r="F178">
        <f t="shared" si="8"/>
        <v>-2.4592000721250385E-2</v>
      </c>
      <c r="G178">
        <f t="shared" si="9"/>
        <v>-3.6962505717758512E-2</v>
      </c>
      <c r="J178" s="2" t="s">
        <v>190</v>
      </c>
      <c r="K178">
        <f>B3636</f>
        <v>1.3502686094008424E-2</v>
      </c>
      <c r="L178">
        <f>C3636</f>
        <v>8.9353860932666414E-4</v>
      </c>
      <c r="M178">
        <f t="shared" si="11"/>
        <v>8.496997751476618E-3</v>
      </c>
      <c r="N178">
        <f>D3636</f>
        <v>-2.7145147890274599E-2</v>
      </c>
      <c r="O178">
        <f>AVERAGEIFS(E3636:E3655,E3636:E3655,"&lt;=" &amp; N178)</f>
        <v>-2.7213100724597844E-2</v>
      </c>
      <c r="P178">
        <v>70.598770598333658</v>
      </c>
      <c r="Q178">
        <v>16.872800000000002</v>
      </c>
      <c r="R178">
        <f t="shared" si="10"/>
        <v>98.660453193677739</v>
      </c>
      <c r="S178">
        <v>8.496997751476618E-3</v>
      </c>
      <c r="T178">
        <v>15</v>
      </c>
      <c r="V178" s="6" t="s">
        <v>248</v>
      </c>
      <c r="W178" s="6">
        <v>-6.2568849824445164E-5</v>
      </c>
      <c r="X178" s="6">
        <v>2.9926365214072839E-5</v>
      </c>
      <c r="Y178" s="6">
        <v>-2.0907600831865221</v>
      </c>
      <c r="Z178" s="6">
        <v>3.7946109370048234E-2</v>
      </c>
      <c r="AA178" s="6">
        <v>-1.2161826809281989E-4</v>
      </c>
      <c r="AB178" s="6">
        <v>-3.5194315560704387E-6</v>
      </c>
      <c r="AC178" s="6">
        <v>-1.2161826809281989E-4</v>
      </c>
      <c r="AD178" s="6">
        <v>-3.5194315560704387E-6</v>
      </c>
    </row>
    <row r="179" spans="1:144" x14ac:dyDescent="0.35">
      <c r="A179" t="s">
        <v>23</v>
      </c>
      <c r="E179">
        <v>-6.2636423037836257E-3</v>
      </c>
      <c r="F179">
        <f t="shared" si="8"/>
        <v>-2.4596091248718213E-2</v>
      </c>
      <c r="G179">
        <f t="shared" si="9"/>
        <v>-3.6962505717758512E-2</v>
      </c>
      <c r="J179" s="2" t="s">
        <v>191</v>
      </c>
      <c r="K179">
        <f>B3656</f>
        <v>8.9529876766194574E-3</v>
      </c>
      <c r="L179">
        <f>C3656</f>
        <v>-3.4399520702591951E-4</v>
      </c>
      <c r="M179">
        <f t="shared" si="11"/>
        <v>1.3502686094008424E-2</v>
      </c>
      <c r="N179">
        <f>D3656</f>
        <v>-1.7083023973461314E-2</v>
      </c>
      <c r="O179">
        <f>AVERAGEIFS(E3656:E3676,E3656:E3676,"&lt;=" &amp; N179)</f>
        <v>-1.7491128199236722E-2</v>
      </c>
      <c r="P179">
        <v>110.57981659915444</v>
      </c>
      <c r="Q179">
        <v>20.138529999999999</v>
      </c>
      <c r="R179">
        <f t="shared" si="10"/>
        <v>70.598770598333658</v>
      </c>
      <c r="S179">
        <v>1.3502686094008424E-2</v>
      </c>
      <c r="T179">
        <v>16.73</v>
      </c>
    </row>
    <row r="180" spans="1:144" x14ac:dyDescent="0.35">
      <c r="A180" t="s">
        <v>23</v>
      </c>
      <c r="E180">
        <v>-9.0685377291916253E-3</v>
      </c>
      <c r="F180">
        <f t="shared" si="8"/>
        <v>-2.4600181776186038E-2</v>
      </c>
      <c r="G180">
        <f t="shared" si="9"/>
        <v>-3.6962505717758512E-2</v>
      </c>
      <c r="J180" s="2" t="s">
        <v>192</v>
      </c>
      <c r="K180">
        <f>B3677</f>
        <v>7.5819739185884853E-3</v>
      </c>
      <c r="L180">
        <f>C3677</f>
        <v>1.9827796726494299E-4</v>
      </c>
      <c r="M180">
        <f t="shared" si="11"/>
        <v>8.9529876766194574E-3</v>
      </c>
      <c r="N180">
        <f>D3677</f>
        <v>-1.452979188973307E-2</v>
      </c>
      <c r="O180">
        <f>AVERAGEIFS(E3677:E3699,E3677:E3699,"&lt;=" &amp; N180)</f>
        <v>-1.5116685737527592E-2</v>
      </c>
      <c r="P180">
        <v>100.49800105414319</v>
      </c>
      <c r="Q180">
        <v>23.603339999999999</v>
      </c>
      <c r="R180">
        <f t="shared" si="10"/>
        <v>110.57981659915444</v>
      </c>
      <c r="S180">
        <v>8.9529876766194574E-3</v>
      </c>
      <c r="T180">
        <v>23.16</v>
      </c>
    </row>
    <row r="181" spans="1:144" x14ac:dyDescent="0.35">
      <c r="A181" t="s">
        <v>23</v>
      </c>
      <c r="E181">
        <v>-8.077258983942957E-3</v>
      </c>
      <c r="F181">
        <f t="shared" si="8"/>
        <v>-2.4600388016095414E-2</v>
      </c>
      <c r="G181">
        <f t="shared" si="9"/>
        <v>-3.7030805850032399E-2</v>
      </c>
      <c r="J181" s="2" t="s">
        <v>193</v>
      </c>
      <c r="K181">
        <f>B3700</f>
        <v>9.9744756856543527E-3</v>
      </c>
      <c r="L181">
        <f>C3700</f>
        <v>-1.2193586968339786E-3</v>
      </c>
      <c r="M181">
        <f t="shared" si="11"/>
        <v>7.5819739185884853E-3</v>
      </c>
      <c r="N181">
        <f>D3700</f>
        <v>-2.1068819674285415E-2</v>
      </c>
      <c r="O181">
        <f>AVERAGEIFS(E3700:E3720,E3700:E3720,"&lt;=" &amp; N181)</f>
        <v>-2.1683836597305082E-2</v>
      </c>
      <c r="P181">
        <v>124.80652873457198</v>
      </c>
      <c r="Q181">
        <v>17.92407</v>
      </c>
      <c r="R181">
        <f t="shared" si="10"/>
        <v>100.49800105414319</v>
      </c>
      <c r="S181">
        <v>7.5819739185884853E-3</v>
      </c>
      <c r="T181">
        <v>13.51</v>
      </c>
    </row>
    <row r="182" spans="1:144" x14ac:dyDescent="0.35">
      <c r="A182" t="s">
        <v>23</v>
      </c>
      <c r="E182">
        <v>1.1416234379538421E-2</v>
      </c>
      <c r="F182">
        <f t="shared" si="8"/>
        <v>-2.460059425600479E-2</v>
      </c>
      <c r="G182">
        <f t="shared" si="9"/>
        <v>-3.7030805850032399E-2</v>
      </c>
      <c r="J182" s="2" t="s">
        <v>194</v>
      </c>
      <c r="K182">
        <f>B3721</f>
        <v>8.1719890149332883E-3</v>
      </c>
      <c r="L182">
        <f>C3721</f>
        <v>1.2683186497889996E-3</v>
      </c>
      <c r="M182">
        <f t="shared" si="11"/>
        <v>9.9744756856543527E-3</v>
      </c>
      <c r="N182">
        <f>D3721</f>
        <v>-1.3164363216522635E-2</v>
      </c>
      <c r="O182">
        <f>AVERAGEIFS(E3721:E3738,E3721:E3738,"&lt;=" &amp; N182)</f>
        <v>-1.8009229914120604E-2</v>
      </c>
      <c r="P182">
        <v>133.7399421612094</v>
      </c>
      <c r="Q182">
        <v>17.672920000000001</v>
      </c>
      <c r="R182">
        <f t="shared" si="10"/>
        <v>124.80652873457198</v>
      </c>
      <c r="S182">
        <v>9.9744756856543527E-3</v>
      </c>
      <c r="T182">
        <v>17.350000000000001</v>
      </c>
    </row>
    <row r="183" spans="1:144" x14ac:dyDescent="0.35">
      <c r="A183" t="s">
        <v>23</v>
      </c>
      <c r="E183">
        <v>-6.1743466782081507E-4</v>
      </c>
      <c r="F183">
        <f t="shared" si="8"/>
        <v>-2.4600800495914163E-2</v>
      </c>
      <c r="G183">
        <f t="shared" si="9"/>
        <v>-3.7030805850032399E-2</v>
      </c>
      <c r="J183" s="2" t="s">
        <v>195</v>
      </c>
      <c r="K183">
        <f>B3739</f>
        <v>7.1503667135840434E-3</v>
      </c>
      <c r="L183">
        <f>C3739</f>
        <v>2.9416599763988777E-3</v>
      </c>
      <c r="M183">
        <f t="shared" si="11"/>
        <v>8.1719890149332883E-3</v>
      </c>
      <c r="N183">
        <f>D3739</f>
        <v>-8.159760099958736E-3</v>
      </c>
      <c r="O183">
        <f>AVERAGEIFS(E3739:E3760,E3739:E3760,"&lt;=" &amp; N183)</f>
        <v>-8.3263345986816784E-3</v>
      </c>
      <c r="P183">
        <v>98.461246106871087</v>
      </c>
      <c r="Q183">
        <v>16.003240000000002</v>
      </c>
      <c r="R183">
        <f t="shared" si="10"/>
        <v>133.7399421612094</v>
      </c>
      <c r="S183">
        <v>8.1719890149332883E-3</v>
      </c>
      <c r="T183">
        <v>16.43</v>
      </c>
      <c r="V183" t="s">
        <v>225</v>
      </c>
    </row>
    <row r="184" spans="1:144" ht="15" thickBot="1" x14ac:dyDescent="0.4">
      <c r="A184" t="s">
        <v>23</v>
      </c>
      <c r="E184">
        <v>-1.826692771931961E-2</v>
      </c>
      <c r="F184">
        <f t="shared" si="8"/>
        <v>-2.4601006735823539E-2</v>
      </c>
      <c r="G184">
        <f t="shared" si="9"/>
        <v>-3.7030805850032399E-2</v>
      </c>
      <c r="J184" s="2" t="s">
        <v>196</v>
      </c>
      <c r="K184">
        <f>B3761</f>
        <v>7.7439186727301093E-3</v>
      </c>
      <c r="L184">
        <f>C3761</f>
        <v>2.9070236372079586E-3</v>
      </c>
      <c r="M184">
        <f t="shared" si="11"/>
        <v>7.1503667135840434E-3</v>
      </c>
      <c r="N184">
        <f>D3761</f>
        <v>-1.5037674197004452E-2</v>
      </c>
      <c r="O184">
        <f>AVERAGEIFS(E3761:E3780,E3761:E3780,"&lt;=" &amp; N184)</f>
        <v>-1.5463094023561023E-2</v>
      </c>
      <c r="P184">
        <v>107.04153164899981</v>
      </c>
      <c r="Q184">
        <v>19.36608</v>
      </c>
      <c r="R184">
        <f t="shared" si="10"/>
        <v>98.461246106871087</v>
      </c>
      <c r="S184">
        <v>7.1503667135840434E-3</v>
      </c>
      <c r="T184">
        <v>19.63</v>
      </c>
    </row>
    <row r="185" spans="1:144" x14ac:dyDescent="0.35">
      <c r="A185" t="s">
        <v>23</v>
      </c>
      <c r="E185">
        <v>-5.0457795205687212E-3</v>
      </c>
      <c r="F185">
        <f t="shared" si="8"/>
        <v>-2.4601212975732915E-2</v>
      </c>
      <c r="G185">
        <f t="shared" si="9"/>
        <v>-3.7030805850032399E-2</v>
      </c>
      <c r="J185" s="2" t="s">
        <v>197</v>
      </c>
      <c r="K185">
        <f>B3781</f>
        <v>1.3706567171779255E-2</v>
      </c>
      <c r="L185">
        <f>C3781</f>
        <v>-7.4881326250167879E-4</v>
      </c>
      <c r="M185">
        <f t="shared" si="11"/>
        <v>7.7439186727301093E-3</v>
      </c>
      <c r="N185">
        <f>D3781</f>
        <v>-3.30388099564961E-2</v>
      </c>
      <c r="O185">
        <f>AVERAGEIFS(E3781:E3801,E3781:E3801,"&lt;=" &amp; N185)</f>
        <v>-3.4720765941600416E-2</v>
      </c>
      <c r="P185">
        <v>201.14896143292088</v>
      </c>
      <c r="Q185">
        <v>23.943390000000001</v>
      </c>
      <c r="R185">
        <f t="shared" si="10"/>
        <v>107.04153164899981</v>
      </c>
      <c r="S185">
        <v>7.7439186727301093E-3</v>
      </c>
      <c r="T185">
        <v>22.28</v>
      </c>
      <c r="V185" s="8" t="s">
        <v>226</v>
      </c>
      <c r="W185" s="8"/>
    </row>
    <row r="186" spans="1:144" x14ac:dyDescent="0.35">
      <c r="A186" t="s">
        <v>23</v>
      </c>
      <c r="E186">
        <v>1.6879070245417533E-2</v>
      </c>
      <c r="F186">
        <f t="shared" si="8"/>
        <v>-2.4601419215642292E-2</v>
      </c>
      <c r="G186">
        <f t="shared" si="9"/>
        <v>-3.7030805850032399E-2</v>
      </c>
      <c r="J186" s="2" t="s">
        <v>198</v>
      </c>
      <c r="K186">
        <f>B3802</f>
        <v>2.9952688079154934E-2</v>
      </c>
      <c r="L186">
        <f>C3802</f>
        <v>-1.0978732589239407E-3</v>
      </c>
      <c r="M186">
        <f t="shared" si="11"/>
        <v>1.3706567171779255E-2</v>
      </c>
      <c r="N186">
        <f>D3802</f>
        <v>-5.6072894641028236E-2</v>
      </c>
      <c r="O186">
        <f>AVERAGEIFS(E3802:E3818,E3802:E3818,"&lt;=" &amp; N186)</f>
        <v>-6.7555192424793076E-2</v>
      </c>
      <c r="P186">
        <v>246.47596118518496</v>
      </c>
      <c r="R186">
        <f t="shared" si="10"/>
        <v>201.14896143292088</v>
      </c>
      <c r="S186">
        <v>1.3706567171779255E-2</v>
      </c>
      <c r="T186">
        <v>22.28</v>
      </c>
      <c r="V186" t="s">
        <v>227</v>
      </c>
      <c r="W186">
        <v>0.47538234063254325</v>
      </c>
      <c r="Y186" t="s">
        <v>388</v>
      </c>
    </row>
    <row r="187" spans="1:144" x14ac:dyDescent="0.35">
      <c r="A187" t="s">
        <v>23</v>
      </c>
      <c r="E187">
        <v>-6.6890511274573649E-4</v>
      </c>
      <c r="F187">
        <f t="shared" si="8"/>
        <v>-2.4601625455551668E-2</v>
      </c>
      <c r="G187">
        <f t="shared" si="9"/>
        <v>-3.7030805850032399E-2</v>
      </c>
      <c r="V187" t="s">
        <v>228</v>
      </c>
      <c r="W187">
        <v>0.22598836978527539</v>
      </c>
    </row>
    <row r="188" spans="1:144" x14ac:dyDescent="0.35">
      <c r="A188" t="s">
        <v>23</v>
      </c>
      <c r="E188">
        <v>-2.5452463241138665E-3</v>
      </c>
      <c r="F188">
        <f t="shared" si="8"/>
        <v>-2.4601831695461041E-2</v>
      </c>
      <c r="G188">
        <f t="shared" si="9"/>
        <v>-3.7030805850032399E-2</v>
      </c>
      <c r="V188" t="s">
        <v>228</v>
      </c>
      <c r="W188">
        <v>0.2130161078263694</v>
      </c>
    </row>
    <row r="189" spans="1:144" x14ac:dyDescent="0.35">
      <c r="A189" t="s">
        <v>23</v>
      </c>
      <c r="E189">
        <v>-8.2681135159020785E-3</v>
      </c>
      <c r="F189">
        <f t="shared" si="8"/>
        <v>-2.4602037935370417E-2</v>
      </c>
      <c r="G189">
        <f t="shared" si="9"/>
        <v>-3.7030805850032399E-2</v>
      </c>
      <c r="V189" t="s">
        <v>229</v>
      </c>
      <c r="W189">
        <v>1.4343154120870311E-2</v>
      </c>
    </row>
    <row r="190" spans="1:144" ht="15" thickBot="1" x14ac:dyDescent="0.4">
      <c r="A190" t="s">
        <v>23</v>
      </c>
      <c r="E190">
        <v>6.4950145947042731E-3</v>
      </c>
      <c r="F190">
        <f t="shared" si="8"/>
        <v>-2.4602244175279793E-2</v>
      </c>
      <c r="G190">
        <f t="shared" si="9"/>
        <v>-3.7030805850032399E-2</v>
      </c>
      <c r="V190" s="6" t="s">
        <v>230</v>
      </c>
      <c r="W190" s="6">
        <v>183</v>
      </c>
    </row>
    <row r="191" spans="1:144" s="3" customFormat="1" x14ac:dyDescent="0.35">
      <c r="A191" s="3" t="s">
        <v>24</v>
      </c>
      <c r="B191" s="3" cm="1">
        <f t="array" ref="B191">_xlfn.STDEV.S(_xlfn._xlws.FILTER($E$2:$E$1000, $A$2:$A$1000="2010-10"))</f>
        <v>8.6834365088572073E-3</v>
      </c>
      <c r="C191" s="3" cm="1">
        <f t="array" ref="C191">AVERAGE(_xlfn._xlws.FILTER($E$2:$E$1000, $A$2:$A$1000="2010-10"))</f>
        <v>2.146408127764044E-3</v>
      </c>
      <c r="D191" s="3" cm="1">
        <f t="array" ref="D191">_xlfn.PERCENTILE.EXC(_xlfn._xlws.FILTER($E$126:$E$252, $A$126:$A$252="2010-10"), 0.05)</f>
        <v>-1.3909931366004998E-2</v>
      </c>
      <c r="E191" s="3">
        <v>-5.5716444343176606E-3</v>
      </c>
      <c r="F191" s="3">
        <f t="shared" si="8"/>
        <v>-2.4602450415189169E-2</v>
      </c>
      <c r="G191" s="3">
        <f t="shared" si="9"/>
        <v>-3.7030805850032399E-2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</row>
    <row r="192" spans="1:144" ht="15" thickBot="1" x14ac:dyDescent="0.4">
      <c r="A192" t="s">
        <v>24</v>
      </c>
      <c r="E192">
        <v>-1.4836407691748037E-2</v>
      </c>
      <c r="F192">
        <f t="shared" si="8"/>
        <v>-2.4602656655098545E-2</v>
      </c>
      <c r="G192">
        <f t="shared" si="9"/>
        <v>-3.7030805850032399E-2</v>
      </c>
      <c r="V192" t="s">
        <v>231</v>
      </c>
    </row>
    <row r="193" spans="1:30" x14ac:dyDescent="0.35">
      <c r="A193" t="s">
        <v>24</v>
      </c>
      <c r="E193">
        <v>2.064308682889986E-2</v>
      </c>
      <c r="F193">
        <f t="shared" si="8"/>
        <v>-2.4602862895007918E-2</v>
      </c>
      <c r="G193">
        <f t="shared" si="9"/>
        <v>-3.7030805850032399E-2</v>
      </c>
      <c r="V193" s="7"/>
      <c r="W193" s="7" t="s">
        <v>236</v>
      </c>
      <c r="X193" s="7" t="s">
        <v>237</v>
      </c>
      <c r="Y193" s="7" t="s">
        <v>238</v>
      </c>
      <c r="Z193" s="7" t="s">
        <v>239</v>
      </c>
      <c r="AA193" s="7" t="s">
        <v>240</v>
      </c>
    </row>
    <row r="194" spans="1:30" x14ac:dyDescent="0.35">
      <c r="A194" t="s">
        <v>24</v>
      </c>
      <c r="E194">
        <v>2.8379945885501361E-3</v>
      </c>
      <c r="F194">
        <f t="shared" si="8"/>
        <v>-2.4603069134917294E-2</v>
      </c>
      <c r="G194">
        <f t="shared" si="9"/>
        <v>-3.7030805850032399E-2</v>
      </c>
      <c r="V194" t="s">
        <v>232</v>
      </c>
      <c r="W194">
        <v>3</v>
      </c>
      <c r="X194">
        <v>1.0751794720017242E-2</v>
      </c>
      <c r="Y194">
        <v>3.5839315733390809E-3</v>
      </c>
      <c r="Z194">
        <v>17.420891630246871</v>
      </c>
      <c r="AA194">
        <v>5.7295502505790556E-10</v>
      </c>
    </row>
    <row r="195" spans="1:30" x14ac:dyDescent="0.35">
      <c r="A195" t="s">
        <v>24</v>
      </c>
      <c r="E195">
        <v>5.9907775375282737E-3</v>
      </c>
      <c r="F195">
        <f t="shared" si="8"/>
        <v>-2.4603275374826671E-2</v>
      </c>
      <c r="G195">
        <f t="shared" si="9"/>
        <v>-3.7030805850032399E-2</v>
      </c>
      <c r="V195" t="s">
        <v>233</v>
      </c>
      <c r="W195">
        <v>179</v>
      </c>
      <c r="X195">
        <v>3.6824966554171973E-2</v>
      </c>
      <c r="Y195">
        <v>2.0572607013503896E-4</v>
      </c>
    </row>
    <row r="196" spans="1:30" ht="15" thickBot="1" x14ac:dyDescent="0.4">
      <c r="A196" t="s">
        <v>24</v>
      </c>
      <c r="E196">
        <v>2.8395893474394314E-3</v>
      </c>
      <c r="F196">
        <f t="shared" ref="F196:F259" si="12">_xlfn.PERCENTILE.EXC(E196:E4011,0.05)</f>
        <v>-2.4603481614736047E-2</v>
      </c>
      <c r="G196">
        <f t="shared" ref="G196:G259" si="13">AVERAGEIFS(E196:E4012,E196:E4012,"&lt;=" &amp; F196)</f>
        <v>-3.7030805850032399E-2</v>
      </c>
      <c r="V196" s="6" t="s">
        <v>234</v>
      </c>
      <c r="W196" s="6">
        <v>182</v>
      </c>
      <c r="X196" s="6">
        <v>4.7576761274189215E-2</v>
      </c>
      <c r="Y196" s="6"/>
      <c r="Z196" s="6"/>
      <c r="AA196" s="6"/>
    </row>
    <row r="197" spans="1:30" ht="15" thickBot="1" x14ac:dyDescent="0.4">
      <c r="A197" t="s">
        <v>24</v>
      </c>
      <c r="E197">
        <v>4.1824173191202683E-3</v>
      </c>
      <c r="F197">
        <f t="shared" si="12"/>
        <v>-2.4603687854645423E-2</v>
      </c>
      <c r="G197">
        <f t="shared" si="13"/>
        <v>-3.7030805850032399E-2</v>
      </c>
    </row>
    <row r="198" spans="1:30" x14ac:dyDescent="0.35">
      <c r="A198" t="s">
        <v>24</v>
      </c>
      <c r="E198">
        <v>-4.207476980392125E-3</v>
      </c>
      <c r="F198">
        <f t="shared" si="12"/>
        <v>-2.4603894094554796E-2</v>
      </c>
      <c r="G198">
        <f t="shared" si="13"/>
        <v>-3.7030805850032399E-2</v>
      </c>
      <c r="V198" s="7"/>
      <c r="W198" s="7" t="s">
        <v>241</v>
      </c>
      <c r="X198" s="7" t="s">
        <v>229</v>
      </c>
      <c r="Y198" s="7" t="s">
        <v>242</v>
      </c>
      <c r="Z198" s="7" t="s">
        <v>243</v>
      </c>
      <c r="AA198" s="7" t="s">
        <v>244</v>
      </c>
      <c r="AB198" s="7" t="s">
        <v>245</v>
      </c>
      <c r="AC198" s="7" t="s">
        <v>246</v>
      </c>
      <c r="AD198" s="7" t="s">
        <v>247</v>
      </c>
    </row>
    <row r="199" spans="1:30" x14ac:dyDescent="0.35">
      <c r="A199" t="s">
        <v>24</v>
      </c>
      <c r="E199">
        <v>1.8858917869791179E-2</v>
      </c>
      <c r="F199">
        <f t="shared" si="12"/>
        <v>-2.4604100334464172E-2</v>
      </c>
      <c r="G199">
        <f t="shared" si="13"/>
        <v>-3.7030805850032399E-2</v>
      </c>
      <c r="V199" t="s">
        <v>235</v>
      </c>
      <c r="W199">
        <v>-4.7421785217027258E-3</v>
      </c>
      <c r="X199">
        <v>4.1381360740295513E-3</v>
      </c>
      <c r="Y199">
        <v>-1.1459696918774791</v>
      </c>
      <c r="Z199">
        <v>0.25333738725644828</v>
      </c>
      <c r="AA199">
        <v>-1.290798492256065E-2</v>
      </c>
      <c r="AB199">
        <v>3.4236278791551986E-3</v>
      </c>
      <c r="AC199">
        <v>-1.290798492256065E-2</v>
      </c>
      <c r="AD199">
        <v>3.4236278791551986E-3</v>
      </c>
    </row>
    <row r="200" spans="1:30" x14ac:dyDescent="0.35">
      <c r="A200" t="s">
        <v>24</v>
      </c>
      <c r="E200">
        <v>-2.3863579894069231E-3</v>
      </c>
      <c r="F200">
        <f t="shared" si="12"/>
        <v>-2.4604306574373548E-2</v>
      </c>
      <c r="G200">
        <f t="shared" si="13"/>
        <v>-3.7030805850032399E-2</v>
      </c>
      <c r="V200" t="s">
        <v>248</v>
      </c>
      <c r="W200">
        <v>1.0506527518030755E-5</v>
      </c>
      <c r="X200">
        <v>2.9153181346665932E-5</v>
      </c>
      <c r="Y200">
        <v>0.36039042851260972</v>
      </c>
      <c r="Z200">
        <v>0.71898008774172539</v>
      </c>
      <c r="AA200">
        <v>-4.7021603647110931E-5</v>
      </c>
      <c r="AB200">
        <v>6.8034658683172438E-5</v>
      </c>
      <c r="AC200">
        <v>-4.7021603647110931E-5</v>
      </c>
      <c r="AD200">
        <v>6.8034658683172438E-5</v>
      </c>
    </row>
    <row r="201" spans="1:30" x14ac:dyDescent="0.35">
      <c r="A201" t="s">
        <v>24</v>
      </c>
      <c r="E201">
        <v>-1.5503937916957215E-3</v>
      </c>
      <c r="F201">
        <f t="shared" si="12"/>
        <v>-2.4607351880414807E-2</v>
      </c>
      <c r="G201">
        <f t="shared" si="13"/>
        <v>-3.7099841957119385E-2</v>
      </c>
      <c r="V201" t="s">
        <v>251</v>
      </c>
      <c r="W201">
        <v>-0.55020114467046677</v>
      </c>
      <c r="X201">
        <v>0.20057574699539166</v>
      </c>
      <c r="Y201">
        <v>-2.7431090394149598</v>
      </c>
      <c r="Z201">
        <v>6.7051651903015114E-3</v>
      </c>
      <c r="AA201">
        <v>-0.9459983561132852</v>
      </c>
      <c r="AB201">
        <v>-0.15440393322764839</v>
      </c>
      <c r="AC201">
        <v>-0.9459983561132852</v>
      </c>
      <c r="AD201">
        <v>-0.15440393322764839</v>
      </c>
    </row>
    <row r="202" spans="1:30" ht="15" thickBot="1" x14ac:dyDescent="0.4">
      <c r="A202" t="s">
        <v>24</v>
      </c>
      <c r="E202">
        <v>9.2820338646391332E-3</v>
      </c>
      <c r="F202">
        <f t="shared" si="12"/>
        <v>-2.4610397186456065E-2</v>
      </c>
      <c r="G202">
        <f t="shared" si="13"/>
        <v>-3.7099841957119385E-2</v>
      </c>
      <c r="V202" s="6" t="s">
        <v>252</v>
      </c>
      <c r="W202" s="6">
        <v>-9.0804453241313181E-4</v>
      </c>
      <c r="X202" s="6">
        <v>1.7253722961817306E-4</v>
      </c>
      <c r="Y202" s="6">
        <v>-5.2628904174632058</v>
      </c>
      <c r="Z202" s="6">
        <v>4.0250094130572133E-7</v>
      </c>
      <c r="AA202" s="6">
        <v>-1.2485131851586262E-3</v>
      </c>
      <c r="AB202" s="6">
        <v>-5.6757587966763741E-4</v>
      </c>
      <c r="AC202" s="6">
        <v>-1.2485131851586262E-3</v>
      </c>
      <c r="AD202" s="6">
        <v>-5.6757587966763741E-4</v>
      </c>
    </row>
    <row r="203" spans="1:30" x14ac:dyDescent="0.35">
      <c r="A203" t="s">
        <v>24</v>
      </c>
      <c r="E203">
        <v>-1.1818677189803708E-3</v>
      </c>
      <c r="F203">
        <f t="shared" si="12"/>
        <v>-2.4613442492497323E-2</v>
      </c>
      <c r="G203">
        <f t="shared" si="13"/>
        <v>-3.7099841957119385E-2</v>
      </c>
    </row>
    <row r="204" spans="1:30" x14ac:dyDescent="0.35">
      <c r="A204" t="s">
        <v>24</v>
      </c>
      <c r="E204">
        <v>9.0161553517053451E-3</v>
      </c>
      <c r="F204">
        <f t="shared" si="12"/>
        <v>-2.4616487798538582E-2</v>
      </c>
      <c r="G204">
        <f t="shared" si="13"/>
        <v>-3.7099841957119385E-2</v>
      </c>
    </row>
    <row r="205" spans="1:30" x14ac:dyDescent="0.35">
      <c r="A205" t="s">
        <v>24</v>
      </c>
      <c r="E205">
        <v>8.8583370758877188E-3</v>
      </c>
      <c r="F205">
        <f t="shared" si="12"/>
        <v>-2.4619533104579844E-2</v>
      </c>
      <c r="G205">
        <f t="shared" si="13"/>
        <v>-3.7099841957119385E-2</v>
      </c>
      <c r="V205" t="s">
        <v>225</v>
      </c>
    </row>
    <row r="206" spans="1:30" ht="15" thickBot="1" x14ac:dyDescent="0.4">
      <c r="A206" t="s">
        <v>24</v>
      </c>
      <c r="E206">
        <v>-3.7179691628926904E-3</v>
      </c>
      <c r="F206">
        <f t="shared" si="12"/>
        <v>-2.4622578410621099E-2</v>
      </c>
      <c r="G206">
        <f t="shared" si="13"/>
        <v>-3.7099841957119385E-2</v>
      </c>
    </row>
    <row r="207" spans="1:30" x14ac:dyDescent="0.35">
      <c r="A207" t="s">
        <v>24</v>
      </c>
      <c r="E207">
        <v>-4.7092049001015756E-3</v>
      </c>
      <c r="F207">
        <f t="shared" si="12"/>
        <v>-2.4625623716662361E-2</v>
      </c>
      <c r="G207">
        <f t="shared" si="13"/>
        <v>-3.7099841957119385E-2</v>
      </c>
      <c r="V207" s="8" t="s">
        <v>226</v>
      </c>
      <c r="W207" s="8"/>
    </row>
    <row r="208" spans="1:30" x14ac:dyDescent="0.35">
      <c r="A208" t="s">
        <v>24</v>
      </c>
      <c r="E208">
        <v>-3.3417051066430038E-3</v>
      </c>
      <c r="F208">
        <f t="shared" si="12"/>
        <v>-2.4628669022703616E-2</v>
      </c>
      <c r="G208">
        <f t="shared" si="13"/>
        <v>-3.7099841957119385E-2</v>
      </c>
      <c r="V208" t="s">
        <v>227</v>
      </c>
      <c r="W208">
        <v>0.6122477360590699</v>
      </c>
      <c r="Y208" t="s">
        <v>389</v>
      </c>
    </row>
    <row r="209" spans="1:144" x14ac:dyDescent="0.35">
      <c r="A209" t="s">
        <v>24</v>
      </c>
      <c r="E209">
        <v>-5.2893116612307677E-3</v>
      </c>
      <c r="F209">
        <f t="shared" si="12"/>
        <v>-2.4631714328744878E-2</v>
      </c>
      <c r="G209">
        <f t="shared" si="13"/>
        <v>-3.7099841957119385E-2</v>
      </c>
      <c r="V209" t="s">
        <v>228</v>
      </c>
      <c r="W209">
        <v>0.37484729030945652</v>
      </c>
    </row>
    <row r="210" spans="1:144" x14ac:dyDescent="0.35">
      <c r="A210" t="s">
        <v>24</v>
      </c>
      <c r="E210">
        <v>1.2104794060609764E-2</v>
      </c>
      <c r="F210">
        <f t="shared" si="12"/>
        <v>-2.4634759634786136E-2</v>
      </c>
      <c r="G210">
        <f t="shared" si="13"/>
        <v>-3.7099841957119385E-2</v>
      </c>
      <c r="V210" t="s">
        <v>228</v>
      </c>
      <c r="W210">
        <v>0.36431100868545863</v>
      </c>
    </row>
    <row r="211" spans="1:144" x14ac:dyDescent="0.35">
      <c r="A211" t="s">
        <v>24</v>
      </c>
      <c r="E211">
        <v>-2.7471937237173107E-3</v>
      </c>
      <c r="F211">
        <f t="shared" si="12"/>
        <v>-2.4637804940827394E-2</v>
      </c>
      <c r="G211">
        <f t="shared" si="13"/>
        <v>-3.7099841957119385E-2</v>
      </c>
      <c r="V211" t="s">
        <v>229</v>
      </c>
      <c r="W211">
        <v>1.2707214225297135E-2</v>
      </c>
    </row>
    <row r="212" spans="1:144" s="3" customFormat="1" ht="15" thickBot="1" x14ac:dyDescent="0.4">
      <c r="A212" s="3" t="s">
        <v>25</v>
      </c>
      <c r="B212" s="3" cm="1">
        <f t="array" ref="B212">_xlfn.STDEV.S(_xlfn._xlws.FILTER($E$2:$E$1000, $A$2:$A$1000="2010-11"))</f>
        <v>1.2755540535979593E-2</v>
      </c>
      <c r="C212" s="3" cm="1">
        <f t="array" ref="C212">AVERAGE(_xlfn._xlws.FILTER($E$2:$E$1000, $A$2:$A$1000="2010-11"))</f>
        <v>-5.2620836337930995E-3</v>
      </c>
      <c r="D212" s="3" cm="1">
        <f t="array" ref="D212">_xlfn.PERCENTILE.EXC(_xlfn._xlws.FILTER($E$126:$E$252, $A$126:$A$252="2010-11"), 0.05)</f>
        <v>-2.666963369057233E-2</v>
      </c>
      <c r="E212" s="3">
        <v>-1.2463003349729196E-2</v>
      </c>
      <c r="F212" s="3">
        <f t="shared" si="12"/>
        <v>-2.4640850246868653E-2</v>
      </c>
      <c r="G212" s="3">
        <f t="shared" si="13"/>
        <v>-3.7099841957119385E-2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 s="6" t="s">
        <v>230</v>
      </c>
      <c r="W212" s="6">
        <v>182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</row>
    <row r="213" spans="1:144" x14ac:dyDescent="0.35">
      <c r="A213" t="s">
        <v>25</v>
      </c>
      <c r="E213">
        <v>9.9989678315357162E-3</v>
      </c>
      <c r="F213">
        <f t="shared" si="12"/>
        <v>-2.4643895552909911E-2</v>
      </c>
      <c r="G213">
        <f t="shared" si="13"/>
        <v>-3.7099841957119385E-2</v>
      </c>
    </row>
    <row r="214" spans="1:144" ht="15" thickBot="1" x14ac:dyDescent="0.4">
      <c r="A214" t="s">
        <v>25</v>
      </c>
      <c r="E214">
        <v>-1.0193464611858124E-2</v>
      </c>
      <c r="F214">
        <f t="shared" si="12"/>
        <v>-2.464694085895117E-2</v>
      </c>
      <c r="G214">
        <f t="shared" si="13"/>
        <v>-3.7099841957119385E-2</v>
      </c>
      <c r="V214" t="s">
        <v>231</v>
      </c>
    </row>
    <row r="215" spans="1:144" x14ac:dyDescent="0.35">
      <c r="A215" t="s">
        <v>25</v>
      </c>
      <c r="E215">
        <v>1.3523301049936825E-2</v>
      </c>
      <c r="F215">
        <f t="shared" si="12"/>
        <v>-2.4649986164992428E-2</v>
      </c>
      <c r="G215">
        <f t="shared" si="13"/>
        <v>-3.7099841957119385E-2</v>
      </c>
      <c r="V215" s="7"/>
      <c r="W215" s="7" t="s">
        <v>236</v>
      </c>
      <c r="X215" s="7" t="s">
        <v>237</v>
      </c>
      <c r="Y215" s="7" t="s">
        <v>238</v>
      </c>
      <c r="Z215" s="7" t="s">
        <v>239</v>
      </c>
      <c r="AA215" s="7" t="s">
        <v>240</v>
      </c>
    </row>
    <row r="216" spans="1:144" x14ac:dyDescent="0.35">
      <c r="A216" t="s">
        <v>25</v>
      </c>
      <c r="E216">
        <v>-1.2865846432745159E-2</v>
      </c>
      <c r="F216">
        <f t="shared" si="12"/>
        <v>-2.4653031471033687E-2</v>
      </c>
      <c r="G216">
        <f t="shared" si="13"/>
        <v>-3.7099841957119385E-2</v>
      </c>
      <c r="V216" t="s">
        <v>232</v>
      </c>
      <c r="W216">
        <v>3</v>
      </c>
      <c r="X216">
        <v>1.7234114074454552E-2</v>
      </c>
      <c r="Y216">
        <v>5.7447046914848509E-3</v>
      </c>
      <c r="Z216">
        <v>35.576810082191329</v>
      </c>
      <c r="AA216">
        <v>4.5986946182964131E-18</v>
      </c>
    </row>
    <row r="217" spans="1:144" x14ac:dyDescent="0.35">
      <c r="A217" t="s">
        <v>25</v>
      </c>
      <c r="E217">
        <v>1.614191656680977E-3</v>
      </c>
      <c r="F217">
        <f t="shared" si="12"/>
        <v>-2.4656076777074949E-2</v>
      </c>
      <c r="G217">
        <f t="shared" si="13"/>
        <v>-3.7099841957119385E-2</v>
      </c>
      <c r="V217" t="s">
        <v>233</v>
      </c>
      <c r="W217">
        <v>178</v>
      </c>
      <c r="X217">
        <v>2.8742246219431705E-2</v>
      </c>
      <c r="Y217">
        <v>1.6147329336759384E-4</v>
      </c>
    </row>
    <row r="218" spans="1:144" ht="15" thickBot="1" x14ac:dyDescent="0.4">
      <c r="A218" t="s">
        <v>25</v>
      </c>
      <c r="E218">
        <v>1.6329292418851719E-2</v>
      </c>
      <c r="F218">
        <f t="shared" si="12"/>
        <v>-2.4659122083116203E-2</v>
      </c>
      <c r="G218">
        <f t="shared" si="13"/>
        <v>-3.7099841957119385E-2</v>
      </c>
      <c r="V218" s="6" t="s">
        <v>234</v>
      </c>
      <c r="W218" s="6">
        <v>181</v>
      </c>
      <c r="X218" s="6">
        <v>4.5976360293886256E-2</v>
      </c>
      <c r="Y218" s="6"/>
      <c r="Z218" s="6"/>
      <c r="AA218" s="6"/>
    </row>
    <row r="219" spans="1:144" ht="15" thickBot="1" x14ac:dyDescent="0.4">
      <c r="A219" t="s">
        <v>25</v>
      </c>
      <c r="E219">
        <v>-2.4415511447417475E-2</v>
      </c>
      <c r="F219">
        <f t="shared" si="12"/>
        <v>-2.4662167389157465E-2</v>
      </c>
      <c r="G219">
        <f t="shared" si="13"/>
        <v>-3.7099841957119385E-2</v>
      </c>
    </row>
    <row r="220" spans="1:144" x14ac:dyDescent="0.35">
      <c r="A220" t="s">
        <v>25</v>
      </c>
      <c r="E220">
        <v>-9.6412515973096323E-3</v>
      </c>
      <c r="F220">
        <f t="shared" si="12"/>
        <v>-2.4665212695198724E-2</v>
      </c>
      <c r="G220">
        <f t="shared" si="13"/>
        <v>-3.7099841957119385E-2</v>
      </c>
      <c r="V220" s="7"/>
      <c r="W220" s="7" t="s">
        <v>241</v>
      </c>
      <c r="X220" s="7" t="s">
        <v>229</v>
      </c>
      <c r="Y220" s="7" t="s">
        <v>242</v>
      </c>
      <c r="Z220" s="7" t="s">
        <v>243</v>
      </c>
      <c r="AA220" s="7" t="s">
        <v>244</v>
      </c>
      <c r="AB220" s="7" t="s">
        <v>245</v>
      </c>
      <c r="AC220" s="7" t="s">
        <v>246</v>
      </c>
      <c r="AD220" s="7" t="s">
        <v>247</v>
      </c>
    </row>
    <row r="221" spans="1:144" x14ac:dyDescent="0.35">
      <c r="A221" t="s">
        <v>25</v>
      </c>
      <c r="E221">
        <v>-1.2536647822829229E-3</v>
      </c>
      <c r="F221">
        <f t="shared" si="12"/>
        <v>-2.4665916316063696E-2</v>
      </c>
      <c r="G221">
        <f t="shared" si="13"/>
        <v>-3.7169309159699945E-2</v>
      </c>
      <c r="V221" t="s">
        <v>235</v>
      </c>
      <c r="W221">
        <v>-1.7766175983042196E-3</v>
      </c>
      <c r="X221">
        <v>3.652835156265685E-3</v>
      </c>
      <c r="Y221">
        <v>-0.48636675959953973</v>
      </c>
      <c r="Z221">
        <v>0.62730542089883912</v>
      </c>
      <c r="AA221">
        <v>-8.9850526846981631E-3</v>
      </c>
      <c r="AB221">
        <v>5.4318174880897243E-3</v>
      </c>
      <c r="AC221">
        <v>-8.9850526846981631E-3</v>
      </c>
      <c r="AD221">
        <v>5.4318174880897243E-3</v>
      </c>
    </row>
    <row r="222" spans="1:144" x14ac:dyDescent="0.35">
      <c r="A222" t="s">
        <v>25</v>
      </c>
      <c r="E222">
        <v>7.8158162357101924E-3</v>
      </c>
      <c r="F222">
        <f t="shared" si="12"/>
        <v>-2.4666619936928667E-2</v>
      </c>
      <c r="G222">
        <f t="shared" si="13"/>
        <v>-3.7169309159699945E-2</v>
      </c>
      <c r="V222" t="s">
        <v>248</v>
      </c>
      <c r="W222">
        <v>-1.1695770944926468E-3</v>
      </c>
      <c r="X222">
        <v>1.34086518994851E-4</v>
      </c>
      <c r="Y222">
        <v>-8.7225554310762536</v>
      </c>
      <c r="Z222">
        <v>1.8925401332415148E-15</v>
      </c>
      <c r="AA222">
        <v>-1.4341808684891241E-3</v>
      </c>
      <c r="AB222">
        <v>-9.0497332049616942E-4</v>
      </c>
      <c r="AC222">
        <v>-1.4341808684891241E-3</v>
      </c>
      <c r="AD222">
        <v>-9.0497332049616942E-4</v>
      </c>
    </row>
    <row r="223" spans="1:144" x14ac:dyDescent="0.35">
      <c r="A223" t="s">
        <v>25</v>
      </c>
      <c r="E223">
        <v>-2.0705161663348317E-2</v>
      </c>
      <c r="F223">
        <f t="shared" si="12"/>
        <v>-2.4667323557793636E-2</v>
      </c>
      <c r="G223">
        <f t="shared" si="13"/>
        <v>-3.7169309159699945E-2</v>
      </c>
      <c r="V223" t="s">
        <v>251</v>
      </c>
      <c r="W223">
        <v>3.9158230894754861E-5</v>
      </c>
      <c r="X223">
        <v>2.6191862150793767E-5</v>
      </c>
      <c r="Y223">
        <v>1.4950533363878495</v>
      </c>
      <c r="Z223">
        <v>0.13667127317563563</v>
      </c>
      <c r="AA223">
        <v>-1.2528289309126744E-5</v>
      </c>
      <c r="AB223">
        <v>9.0844751098636466E-5</v>
      </c>
      <c r="AC223">
        <v>-1.2528289309126744E-5</v>
      </c>
      <c r="AD223">
        <v>9.0844751098636466E-5</v>
      </c>
    </row>
    <row r="224" spans="1:144" ht="15" thickBot="1" x14ac:dyDescent="0.4">
      <c r="A224" t="s">
        <v>25</v>
      </c>
      <c r="E224">
        <v>3.6896174703866815E-3</v>
      </c>
      <c r="F224">
        <f t="shared" si="12"/>
        <v>-2.4668027178658607E-2</v>
      </c>
      <c r="G224">
        <f t="shared" si="13"/>
        <v>-3.7169309159699945E-2</v>
      </c>
      <c r="V224" s="6" t="s">
        <v>252</v>
      </c>
      <c r="W224" s="6">
        <v>-3.2673266571015332E-2</v>
      </c>
      <c r="X224" s="6">
        <v>0.19595344957991734</v>
      </c>
      <c r="Y224" s="6">
        <v>-0.16673994074133366</v>
      </c>
      <c r="Z224" s="6">
        <v>0.86776393728255985</v>
      </c>
      <c r="AA224" s="6">
        <v>-0.41936405901723894</v>
      </c>
      <c r="AB224" s="6">
        <v>0.35401752587520829</v>
      </c>
      <c r="AC224" s="6">
        <v>-0.41936405901723894</v>
      </c>
      <c r="AD224" s="6">
        <v>0.35401752587520829</v>
      </c>
    </row>
    <row r="225" spans="1:144" x14ac:dyDescent="0.35">
      <c r="A225" t="s">
        <v>25</v>
      </c>
      <c r="E225">
        <v>1.1623596106033598E-2</v>
      </c>
      <c r="F225">
        <f t="shared" si="12"/>
        <v>-2.4668730799523579E-2</v>
      </c>
      <c r="G225">
        <f t="shared" si="13"/>
        <v>-3.7169309159699945E-2</v>
      </c>
    </row>
    <row r="226" spans="1:144" x14ac:dyDescent="0.35">
      <c r="A226" t="s">
        <v>25</v>
      </c>
      <c r="E226">
        <v>-5.1501188172798093E-3</v>
      </c>
      <c r="F226">
        <f t="shared" si="12"/>
        <v>-2.4669434420388551E-2</v>
      </c>
      <c r="G226">
        <f t="shared" si="13"/>
        <v>-3.7169309159699945E-2</v>
      </c>
    </row>
    <row r="227" spans="1:144" x14ac:dyDescent="0.35">
      <c r="A227" t="s">
        <v>25</v>
      </c>
      <c r="E227">
        <v>-1.9488616894676326E-2</v>
      </c>
      <c r="F227">
        <f t="shared" si="12"/>
        <v>-2.4670138041253523E-2</v>
      </c>
      <c r="G227">
        <f t="shared" si="13"/>
        <v>-3.7169309159699945E-2</v>
      </c>
    </row>
    <row r="228" spans="1:144" x14ac:dyDescent="0.35">
      <c r="A228" t="s">
        <v>25</v>
      </c>
      <c r="E228">
        <v>-2.0893963891714568E-2</v>
      </c>
      <c r="F228">
        <f t="shared" si="12"/>
        <v>-2.4670841662118494E-2</v>
      </c>
      <c r="G228">
        <f t="shared" si="13"/>
        <v>-3.7169309159699945E-2</v>
      </c>
    </row>
    <row r="229" spans="1:144" x14ac:dyDescent="0.35">
      <c r="A229" t="s">
        <v>25</v>
      </c>
      <c r="E229">
        <v>-4.8982068879911982E-4</v>
      </c>
      <c r="F229">
        <f t="shared" si="12"/>
        <v>-2.4671545282983466E-2</v>
      </c>
      <c r="G229">
        <f t="shared" si="13"/>
        <v>-3.7169309159699945E-2</v>
      </c>
    </row>
    <row r="230" spans="1:144" x14ac:dyDescent="0.35">
      <c r="A230" t="s">
        <v>25</v>
      </c>
      <c r="E230">
        <v>2.3817206314192719E-4</v>
      </c>
      <c r="F230">
        <f t="shared" si="12"/>
        <v>-2.4672248903848434E-2</v>
      </c>
      <c r="G230">
        <f t="shared" si="13"/>
        <v>-3.7169309159699945E-2</v>
      </c>
    </row>
    <row r="231" spans="1:144" x14ac:dyDescent="0.35">
      <c r="A231" t="s">
        <v>25</v>
      </c>
      <c r="E231">
        <v>-5.1082976860064109E-3</v>
      </c>
      <c r="F231">
        <f t="shared" si="12"/>
        <v>-2.4672952524713406E-2</v>
      </c>
      <c r="G231">
        <f t="shared" si="13"/>
        <v>-3.7169309159699945E-2</v>
      </c>
    </row>
    <row r="232" spans="1:144" x14ac:dyDescent="0.35">
      <c r="A232" t="s">
        <v>25</v>
      </c>
      <c r="E232">
        <v>-2.7067419968776128E-2</v>
      </c>
      <c r="F232">
        <f t="shared" si="12"/>
        <v>-2.4673656145578378E-2</v>
      </c>
      <c r="G232">
        <f t="shared" si="13"/>
        <v>-3.7169309159699945E-2</v>
      </c>
    </row>
    <row r="233" spans="1:144" x14ac:dyDescent="0.35">
      <c r="A233" t="s">
        <v>25</v>
      </c>
      <c r="E233">
        <v>-1.0862652943782629E-2</v>
      </c>
      <c r="F233">
        <f t="shared" si="12"/>
        <v>-2.4643895552909911E-2</v>
      </c>
      <c r="G233">
        <f t="shared" si="13"/>
        <v>-3.7155889007333597E-2</v>
      </c>
    </row>
    <row r="234" spans="1:144" s="3" customFormat="1" x14ac:dyDescent="0.35">
      <c r="A234" s="3" t="s">
        <v>26</v>
      </c>
      <c r="B234" s="3" cm="1">
        <f t="array" ref="B234">_xlfn.STDEV.S(_xlfn._xlws.FILTER($E$2:$E$1000, $A$2:$A$1000="2010-12"))</f>
        <v>1.2728297032928413E-2</v>
      </c>
      <c r="C234" s="3" cm="1">
        <f t="array" ref="C234">AVERAGE(_xlfn._xlws.FILTER($E$2:$E$1000, $A$2:$A$1000="2010-12"))</f>
        <v>2.8616952076236583E-3</v>
      </c>
      <c r="D234" s="3" cm="1">
        <f t="array" ref="D234">_xlfn.PERCENTILE.EXC(_xlfn._xlws.FILTER($E$126:$E$252, $A$126:$A$252="2010-12"), 0.05)</f>
        <v>-1.4711981208040646E-2</v>
      </c>
      <c r="E234" s="3">
        <v>2.3809189319882934E-2</v>
      </c>
      <c r="F234" s="3">
        <f t="shared" si="12"/>
        <v>-2.464694085895117E-2</v>
      </c>
      <c r="G234" s="3">
        <f t="shared" si="13"/>
        <v>-3.7155889007333597E-2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</row>
    <row r="235" spans="1:144" x14ac:dyDescent="0.35">
      <c r="A235" t="s">
        <v>26</v>
      </c>
      <c r="E235">
        <v>2.4636690399839459E-2</v>
      </c>
      <c r="F235">
        <f t="shared" si="12"/>
        <v>-2.4649986164992428E-2</v>
      </c>
      <c r="G235">
        <f t="shared" si="13"/>
        <v>-3.7155889007333597E-2</v>
      </c>
    </row>
    <row r="236" spans="1:144" x14ac:dyDescent="0.35">
      <c r="A236" t="s">
        <v>26</v>
      </c>
      <c r="E236">
        <v>3.3209828981054265E-3</v>
      </c>
      <c r="F236">
        <f t="shared" si="12"/>
        <v>-2.4653031471033687E-2</v>
      </c>
      <c r="G236">
        <f t="shared" si="13"/>
        <v>-3.7155889007333597E-2</v>
      </c>
    </row>
    <row r="237" spans="1:144" x14ac:dyDescent="0.35">
      <c r="A237" t="s">
        <v>26</v>
      </c>
      <c r="E237">
        <v>-9.5134208253966485E-3</v>
      </c>
      <c r="F237">
        <f t="shared" si="12"/>
        <v>-2.4656076777074949E-2</v>
      </c>
      <c r="G237">
        <f t="shared" si="13"/>
        <v>-3.7155889007333597E-2</v>
      </c>
    </row>
    <row r="238" spans="1:144" x14ac:dyDescent="0.35">
      <c r="A238" t="s">
        <v>26</v>
      </c>
      <c r="E238">
        <v>9.0978440475723305E-3</v>
      </c>
      <c r="F238">
        <f t="shared" si="12"/>
        <v>-2.4659122083116203E-2</v>
      </c>
      <c r="G238">
        <f t="shared" si="13"/>
        <v>-3.7155889007333597E-2</v>
      </c>
    </row>
    <row r="239" spans="1:144" x14ac:dyDescent="0.35">
      <c r="A239" t="s">
        <v>26</v>
      </c>
      <c r="E239">
        <v>1.3899759142886861E-2</v>
      </c>
      <c r="F239">
        <f t="shared" si="12"/>
        <v>-2.4662167389157465E-2</v>
      </c>
      <c r="G239">
        <f t="shared" si="13"/>
        <v>-3.7155889007333597E-2</v>
      </c>
    </row>
    <row r="240" spans="1:144" x14ac:dyDescent="0.35">
      <c r="A240" t="s">
        <v>26</v>
      </c>
      <c r="E240">
        <v>6.8223325339267227E-3</v>
      </c>
      <c r="F240">
        <f t="shared" si="12"/>
        <v>-2.4665212695198724E-2</v>
      </c>
      <c r="G240">
        <f t="shared" si="13"/>
        <v>-3.7155889007333597E-2</v>
      </c>
    </row>
    <row r="241" spans="1:144" x14ac:dyDescent="0.35">
      <c r="A241" t="s">
        <v>26</v>
      </c>
      <c r="E241">
        <v>-2.2534863720463207E-3</v>
      </c>
      <c r="F241">
        <f t="shared" si="12"/>
        <v>-2.4665916316063696E-2</v>
      </c>
      <c r="G241">
        <f t="shared" si="13"/>
        <v>-3.7226061346165816E-2</v>
      </c>
    </row>
    <row r="242" spans="1:144" x14ac:dyDescent="0.35">
      <c r="A242" t="s">
        <v>26</v>
      </c>
      <c r="E242">
        <v>7.162144076405412E-3</v>
      </c>
      <c r="F242">
        <f t="shared" si="12"/>
        <v>-2.4666619936928667E-2</v>
      </c>
      <c r="G242">
        <f t="shared" si="13"/>
        <v>-3.7226061346165816E-2</v>
      </c>
    </row>
    <row r="243" spans="1:144" x14ac:dyDescent="0.35">
      <c r="A243" t="s">
        <v>26</v>
      </c>
      <c r="E243">
        <v>3.5788286707212681E-3</v>
      </c>
      <c r="F243">
        <f t="shared" si="12"/>
        <v>-2.4667323557793636E-2</v>
      </c>
      <c r="G243">
        <f t="shared" si="13"/>
        <v>-3.7226061346165816E-2</v>
      </c>
    </row>
    <row r="244" spans="1:144" x14ac:dyDescent="0.35">
      <c r="A244" t="s">
        <v>26</v>
      </c>
      <c r="E244">
        <v>-1.4509901602894421E-2</v>
      </c>
      <c r="F244">
        <f t="shared" si="12"/>
        <v>-2.4668027178658607E-2</v>
      </c>
      <c r="G244">
        <f t="shared" si="13"/>
        <v>-3.7226061346165816E-2</v>
      </c>
    </row>
    <row r="245" spans="1:144" x14ac:dyDescent="0.35">
      <c r="A245" t="s">
        <v>26</v>
      </c>
      <c r="E245">
        <v>-2.1409193625414619E-3</v>
      </c>
      <c r="F245">
        <f t="shared" si="12"/>
        <v>-2.4668730799523579E-2</v>
      </c>
      <c r="G245">
        <f t="shared" si="13"/>
        <v>-3.7226061346165816E-2</v>
      </c>
    </row>
    <row r="246" spans="1:144" x14ac:dyDescent="0.35">
      <c r="A246" t="s">
        <v>26</v>
      </c>
      <c r="E246">
        <v>-1.4711981208040646E-2</v>
      </c>
      <c r="F246">
        <f t="shared" si="12"/>
        <v>-2.4669434420388551E-2</v>
      </c>
      <c r="G246">
        <f t="shared" si="13"/>
        <v>-3.7226061346165816E-2</v>
      </c>
    </row>
    <row r="247" spans="1:144" x14ac:dyDescent="0.35">
      <c r="A247" t="s">
        <v>26</v>
      </c>
      <c r="E247">
        <v>1.5057585119946672E-2</v>
      </c>
      <c r="F247">
        <f t="shared" si="12"/>
        <v>-2.4670138041253523E-2</v>
      </c>
      <c r="G247">
        <f t="shared" si="13"/>
        <v>-3.7226061346165816E-2</v>
      </c>
    </row>
    <row r="248" spans="1:144" x14ac:dyDescent="0.35">
      <c r="A248" t="s">
        <v>26</v>
      </c>
      <c r="E248">
        <v>1.7657364843409615E-2</v>
      </c>
      <c r="F248">
        <f t="shared" si="12"/>
        <v>-2.4670841662118494E-2</v>
      </c>
      <c r="G248">
        <f t="shared" si="13"/>
        <v>-3.7226061346165816E-2</v>
      </c>
    </row>
    <row r="249" spans="1:144" x14ac:dyDescent="0.35">
      <c r="A249" t="s">
        <v>26</v>
      </c>
      <c r="E249">
        <v>-1.557753722286316E-4</v>
      </c>
      <c r="F249">
        <f t="shared" si="12"/>
        <v>-2.4671545282983466E-2</v>
      </c>
      <c r="G249">
        <f t="shared" si="13"/>
        <v>-3.7226061346165816E-2</v>
      </c>
    </row>
    <row r="250" spans="1:144" x14ac:dyDescent="0.35">
      <c r="A250" t="s">
        <v>26</v>
      </c>
      <c r="E250">
        <v>1.9654271468649565E-3</v>
      </c>
      <c r="F250">
        <f t="shared" si="12"/>
        <v>-2.4672248903848434E-2</v>
      </c>
      <c r="G250">
        <f t="shared" si="13"/>
        <v>-3.7226061346165816E-2</v>
      </c>
    </row>
    <row r="251" spans="1:144" x14ac:dyDescent="0.35">
      <c r="A251" t="s">
        <v>26</v>
      </c>
      <c r="E251">
        <v>-1.4700167756785209E-2</v>
      </c>
      <c r="F251">
        <f t="shared" si="12"/>
        <v>-2.4672952524713406E-2</v>
      </c>
      <c r="G251">
        <f t="shared" si="13"/>
        <v>-3.7226061346165816E-2</v>
      </c>
    </row>
    <row r="252" spans="1:144" x14ac:dyDescent="0.35">
      <c r="A252" t="s">
        <v>26</v>
      </c>
      <c r="E252">
        <v>-1.4650286754778797E-2</v>
      </c>
      <c r="F252">
        <f t="shared" si="12"/>
        <v>-2.4673656145578378E-2</v>
      </c>
      <c r="G252">
        <f t="shared" si="13"/>
        <v>-3.7226061346165816E-2</v>
      </c>
    </row>
    <row r="253" spans="1:144" s="3" customFormat="1" x14ac:dyDescent="0.35">
      <c r="A253" s="3" t="s">
        <v>27</v>
      </c>
      <c r="B253" s="3" cm="1">
        <f t="array" ref="B253">_xlfn.STDEV.S(_xlfn._xlws.FILTER($E$2:$E$1000, $A$2:$A$1000="2011-01"))</f>
        <v>1.28696482397754E-2</v>
      </c>
      <c r="C253" s="3" cm="1">
        <f t="array" ref="C253">AVERAGE(_xlfn._xlws.FILTER($E$2:$E$1000, $A$2:$A$1000="2011-01"))</f>
        <v>4.4486778824184888E-3</v>
      </c>
      <c r="D253" s="3" cm="1">
        <f t="array" ref="D253">_xlfn.PERCENTILE.EXC(_xlfn._xlws.FILTER($E$253:$E$502, $A$253:$A$502="2011-01"), 0.05)</f>
        <v>-2.3291567477674226E-2</v>
      </c>
      <c r="E253" s="3">
        <v>1.8356952750467923E-2</v>
      </c>
      <c r="F253" s="3">
        <f t="shared" si="12"/>
        <v>-2.467435976644335E-2</v>
      </c>
      <c r="G253" s="3">
        <f t="shared" si="13"/>
        <v>-3.7226061346165816E-2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</row>
    <row r="254" spans="1:144" x14ac:dyDescent="0.35">
      <c r="A254" t="s">
        <v>27</v>
      </c>
      <c r="D254" s="5"/>
      <c r="E254">
        <v>2.2141868148779672E-4</v>
      </c>
      <c r="F254">
        <f t="shared" si="12"/>
        <v>-2.4675063387308321E-2</v>
      </c>
      <c r="G254">
        <f t="shared" si="13"/>
        <v>-3.7226061346165816E-2</v>
      </c>
    </row>
    <row r="255" spans="1:144" x14ac:dyDescent="0.35">
      <c r="A255" t="s">
        <v>27</v>
      </c>
      <c r="D255" s="5"/>
      <c r="E255">
        <v>4.1666554976105283E-3</v>
      </c>
      <c r="F255">
        <f t="shared" si="12"/>
        <v>-2.4675767008173293E-2</v>
      </c>
      <c r="G255">
        <f t="shared" si="13"/>
        <v>-3.7226061346165816E-2</v>
      </c>
    </row>
    <row r="256" spans="1:144" x14ac:dyDescent="0.35">
      <c r="A256" t="s">
        <v>27</v>
      </c>
      <c r="D256" s="5"/>
      <c r="E256">
        <v>-4.6299875446285379E-3</v>
      </c>
      <c r="F256">
        <f t="shared" si="12"/>
        <v>-2.4676470629038265E-2</v>
      </c>
      <c r="G256">
        <f t="shared" si="13"/>
        <v>-3.7226061346165816E-2</v>
      </c>
    </row>
    <row r="257" spans="1:7" x14ac:dyDescent="0.35">
      <c r="A257" t="s">
        <v>27</v>
      </c>
      <c r="D257" s="5"/>
      <c r="E257">
        <v>-2.3837440983223008E-2</v>
      </c>
      <c r="F257">
        <f t="shared" si="12"/>
        <v>-2.4677174249903233E-2</v>
      </c>
      <c r="G257">
        <f t="shared" si="13"/>
        <v>-3.7226061346165816E-2</v>
      </c>
    </row>
    <row r="258" spans="1:7" x14ac:dyDescent="0.35">
      <c r="A258" t="s">
        <v>27</v>
      </c>
      <c r="D258" s="5"/>
      <c r="E258">
        <v>1.3905632930399481E-2</v>
      </c>
      <c r="F258">
        <f t="shared" si="12"/>
        <v>-2.4677877870768205E-2</v>
      </c>
      <c r="G258">
        <f t="shared" si="13"/>
        <v>-3.7226061346165816E-2</v>
      </c>
    </row>
    <row r="259" spans="1:7" x14ac:dyDescent="0.35">
      <c r="A259" t="s">
        <v>27</v>
      </c>
      <c r="D259" s="5"/>
      <c r="E259">
        <v>3.7506832666275809E-2</v>
      </c>
      <c r="F259">
        <f t="shared" si="12"/>
        <v>-2.4678581491633177E-2</v>
      </c>
      <c r="G259">
        <f t="shared" si="13"/>
        <v>-3.7226061346165816E-2</v>
      </c>
    </row>
    <row r="260" spans="1:7" x14ac:dyDescent="0.35">
      <c r="A260" t="s">
        <v>27</v>
      </c>
      <c r="D260" s="5"/>
      <c r="E260">
        <v>9.0391738331762408E-3</v>
      </c>
      <c r="F260">
        <f t="shared" ref="F260:F323" si="14">_xlfn.PERCENTILE.EXC(E260:E4075,0.05)</f>
        <v>-2.4679285112498148E-2</v>
      </c>
      <c r="G260">
        <f t="shared" ref="G260:G323" si="15">AVERAGEIFS(E260:E4076,E260:E4076,"&lt;=" &amp; F260)</f>
        <v>-3.7226061346165816E-2</v>
      </c>
    </row>
    <row r="261" spans="1:7" x14ac:dyDescent="0.35">
      <c r="A261" t="s">
        <v>27</v>
      </c>
      <c r="D261" s="5"/>
      <c r="E261">
        <v>7.1062410117063513E-3</v>
      </c>
      <c r="F261">
        <f t="shared" si="14"/>
        <v>-2.4681153839632566E-2</v>
      </c>
      <c r="G261">
        <f t="shared" si="15"/>
        <v>-3.7296947087598967E-2</v>
      </c>
    </row>
    <row r="262" spans="1:7" x14ac:dyDescent="0.35">
      <c r="A262" t="s">
        <v>27</v>
      </c>
      <c r="D262" s="5"/>
      <c r="E262">
        <v>-5.4177021106882528E-3</v>
      </c>
      <c r="F262">
        <f t="shared" si="14"/>
        <v>-2.4683022566766986E-2</v>
      </c>
      <c r="G262">
        <f t="shared" si="15"/>
        <v>-3.7296947087598967E-2</v>
      </c>
    </row>
    <row r="263" spans="1:7" x14ac:dyDescent="0.35">
      <c r="A263" t="s">
        <v>27</v>
      </c>
      <c r="D263" s="5"/>
      <c r="E263">
        <v>1.1492848057438535E-2</v>
      </c>
      <c r="F263">
        <f t="shared" si="14"/>
        <v>-2.4684891293901407E-2</v>
      </c>
      <c r="G263">
        <f t="shared" si="15"/>
        <v>-3.7296947087598967E-2</v>
      </c>
    </row>
    <row r="264" spans="1:7" x14ac:dyDescent="0.35">
      <c r="A264" t="s">
        <v>27</v>
      </c>
      <c r="D264" s="5"/>
      <c r="E264">
        <v>5.6014741293576613E-3</v>
      </c>
      <c r="F264">
        <f t="shared" si="14"/>
        <v>-2.4686760021035824E-2</v>
      </c>
      <c r="G264">
        <f t="shared" si="15"/>
        <v>-3.7296947087598967E-2</v>
      </c>
    </row>
    <row r="265" spans="1:7" x14ac:dyDescent="0.35">
      <c r="A265" t="s">
        <v>27</v>
      </c>
      <c r="D265" s="5"/>
      <c r="E265">
        <v>3.68422751750526E-3</v>
      </c>
      <c r="F265">
        <f t="shared" si="14"/>
        <v>-2.4688628748170245E-2</v>
      </c>
      <c r="G265">
        <f t="shared" si="15"/>
        <v>-3.7296947087598967E-2</v>
      </c>
    </row>
    <row r="266" spans="1:7" x14ac:dyDescent="0.35">
      <c r="A266" t="s">
        <v>27</v>
      </c>
      <c r="D266" s="5"/>
      <c r="E266">
        <v>1.374351061711274E-2</v>
      </c>
      <c r="F266">
        <f t="shared" si="14"/>
        <v>-2.4690497475304666E-2</v>
      </c>
      <c r="G266">
        <f t="shared" si="15"/>
        <v>-3.7296947087598967E-2</v>
      </c>
    </row>
    <row r="267" spans="1:7" x14ac:dyDescent="0.35">
      <c r="A267" t="s">
        <v>27</v>
      </c>
      <c r="D267" s="5"/>
      <c r="E267">
        <v>2.8474145071506521E-3</v>
      </c>
      <c r="F267">
        <f t="shared" si="14"/>
        <v>-2.4692366202439083E-2</v>
      </c>
      <c r="G267">
        <f t="shared" si="15"/>
        <v>-3.7296947087598967E-2</v>
      </c>
    </row>
    <row r="268" spans="1:7" x14ac:dyDescent="0.35">
      <c r="A268" t="s">
        <v>27</v>
      </c>
      <c r="D268" s="5"/>
      <c r="E268">
        <v>-9.8293236804423978E-3</v>
      </c>
      <c r="F268">
        <f t="shared" si="14"/>
        <v>-2.4694234929573504E-2</v>
      </c>
      <c r="G268">
        <f t="shared" si="15"/>
        <v>-3.7296947087598967E-2</v>
      </c>
    </row>
    <row r="269" spans="1:7" x14ac:dyDescent="0.35">
      <c r="A269" t="s">
        <v>27</v>
      </c>
      <c r="D269" s="5"/>
      <c r="E269">
        <v>3.0432044871842546E-3</v>
      </c>
      <c r="F269">
        <f t="shared" si="14"/>
        <v>-2.4696103656707925E-2</v>
      </c>
      <c r="G269">
        <f t="shared" si="15"/>
        <v>-3.7296947087598967E-2</v>
      </c>
    </row>
    <row r="270" spans="1:7" x14ac:dyDescent="0.35">
      <c r="A270" t="s">
        <v>27</v>
      </c>
      <c r="D270" s="5"/>
      <c r="E270">
        <v>1.3742552439252159E-2</v>
      </c>
      <c r="F270">
        <f t="shared" si="14"/>
        <v>-2.4697972383842345E-2</v>
      </c>
      <c r="G270">
        <f t="shared" si="15"/>
        <v>-3.7296947087598967E-2</v>
      </c>
    </row>
    <row r="271" spans="1:7" x14ac:dyDescent="0.35">
      <c r="A271" t="s">
        <v>27</v>
      </c>
      <c r="D271" s="5"/>
      <c r="E271">
        <v>-1.2919970872247387E-2</v>
      </c>
      <c r="F271">
        <f t="shared" si="14"/>
        <v>-2.4699841110976763E-2</v>
      </c>
      <c r="G271">
        <f t="shared" si="15"/>
        <v>-3.7296947087598967E-2</v>
      </c>
    </row>
    <row r="272" spans="1:7" x14ac:dyDescent="0.35">
      <c r="A272" t="s">
        <v>27</v>
      </c>
      <c r="D272" s="5"/>
      <c r="E272">
        <v>1.1498437134739774E-3</v>
      </c>
      <c r="F272">
        <f t="shared" si="14"/>
        <v>-2.4701709838111183E-2</v>
      </c>
      <c r="G272">
        <f t="shared" si="15"/>
        <v>-3.7296947087598967E-2</v>
      </c>
    </row>
    <row r="273" spans="1:144" s="3" customFormat="1" x14ac:dyDescent="0.35">
      <c r="A273" s="3" t="s">
        <v>28</v>
      </c>
      <c r="B273" s="3" cm="1">
        <f t="array" ref="B273">_xlfn.STDEV.S(_xlfn._xlws.FILTER($E$2:$E$1000, $A$2:$A$1000="2011-02"))</f>
        <v>1.2274425230233489E-2</v>
      </c>
      <c r="C273" s="3" cm="1">
        <f t="array" ref="C273">AVERAGE(_xlfn._xlws.FILTER($E$2:$E$1000, $A$2:$A$1000="2011-02"))</f>
        <v>9.3477083611975961E-4</v>
      </c>
      <c r="D273" s="3" cm="1">
        <f t="array" ref="D273">_xlfn.PERCENTILE.EXC(_xlfn._xlws.FILTER($E$253:$E$502, $A$253:$A$502="2011-02"), 0.05)</f>
        <v>-3.5309631468476183E-2</v>
      </c>
      <c r="E273" s="3">
        <v>2.1318986422248241E-2</v>
      </c>
      <c r="F273" s="3">
        <f t="shared" si="14"/>
        <v>-2.4703578565245601E-2</v>
      </c>
      <c r="G273" s="3">
        <f t="shared" si="15"/>
        <v>-3.7296947087598967E-2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</row>
    <row r="274" spans="1:144" x14ac:dyDescent="0.35">
      <c r="A274" t="s">
        <v>28</v>
      </c>
      <c r="D274" s="5"/>
      <c r="E274">
        <v>5.6663419955426102E-3</v>
      </c>
      <c r="F274">
        <f t="shared" si="14"/>
        <v>-2.4705447292380021E-2</v>
      </c>
      <c r="G274">
        <f t="shared" si="15"/>
        <v>-3.7296947087598967E-2</v>
      </c>
    </row>
    <row r="275" spans="1:144" x14ac:dyDescent="0.35">
      <c r="A275" t="s">
        <v>28</v>
      </c>
      <c r="D275" s="5"/>
      <c r="E275">
        <v>-9.3012581436787162E-3</v>
      </c>
      <c r="F275">
        <f t="shared" si="14"/>
        <v>-2.4707316019514442E-2</v>
      </c>
      <c r="G275">
        <f t="shared" si="15"/>
        <v>-3.7296947087598967E-2</v>
      </c>
    </row>
    <row r="276" spans="1:144" x14ac:dyDescent="0.35">
      <c r="A276" t="s">
        <v>28</v>
      </c>
      <c r="D276" s="5"/>
      <c r="E276">
        <v>7.7311799534058815E-3</v>
      </c>
      <c r="F276">
        <f t="shared" si="14"/>
        <v>-2.4709184746648859E-2</v>
      </c>
      <c r="G276">
        <f t="shared" si="15"/>
        <v>-3.7296947087598967E-2</v>
      </c>
    </row>
    <row r="277" spans="1:144" x14ac:dyDescent="0.35">
      <c r="A277" t="s">
        <v>28</v>
      </c>
      <c r="D277" s="5"/>
      <c r="E277">
        <v>7.705649932699129E-3</v>
      </c>
      <c r="F277">
        <f t="shared" si="14"/>
        <v>-2.471105347378328E-2</v>
      </c>
      <c r="G277">
        <f t="shared" si="15"/>
        <v>-3.7296947087598967E-2</v>
      </c>
    </row>
    <row r="278" spans="1:144" x14ac:dyDescent="0.35">
      <c r="A278" t="s">
        <v>28</v>
      </c>
      <c r="D278" s="5"/>
      <c r="E278">
        <v>-2.5848309849583972E-3</v>
      </c>
      <c r="F278">
        <f t="shared" si="14"/>
        <v>-2.4712922200917697E-2</v>
      </c>
      <c r="G278">
        <f t="shared" si="15"/>
        <v>-3.7296947087598967E-2</v>
      </c>
    </row>
    <row r="279" spans="1:144" x14ac:dyDescent="0.35">
      <c r="A279" t="s">
        <v>28</v>
      </c>
      <c r="D279" s="5"/>
      <c r="E279">
        <v>-2.2330544800444638E-3</v>
      </c>
      <c r="F279">
        <f t="shared" si="14"/>
        <v>-2.4714790928052118E-2</v>
      </c>
      <c r="G279">
        <f t="shared" si="15"/>
        <v>-3.7296947087598967E-2</v>
      </c>
    </row>
    <row r="280" spans="1:144" x14ac:dyDescent="0.35">
      <c r="A280" t="s">
        <v>28</v>
      </c>
      <c r="D280" s="5"/>
      <c r="E280">
        <v>-3.8281637510631478E-3</v>
      </c>
      <c r="F280">
        <f t="shared" si="14"/>
        <v>-2.4716659655186539E-2</v>
      </c>
      <c r="G280">
        <f t="shared" si="15"/>
        <v>-3.7296947087598967E-2</v>
      </c>
    </row>
    <row r="281" spans="1:144" x14ac:dyDescent="0.35">
      <c r="A281" t="s">
        <v>28</v>
      </c>
      <c r="D281" s="5"/>
      <c r="E281">
        <v>4.3451469694381828E-3</v>
      </c>
      <c r="F281">
        <f t="shared" si="14"/>
        <v>-2.4721848759400016E-2</v>
      </c>
      <c r="G281">
        <f t="shared" si="15"/>
        <v>-3.7368425993464946E-2</v>
      </c>
    </row>
    <row r="282" spans="1:144" x14ac:dyDescent="0.35">
      <c r="A282" t="s">
        <v>28</v>
      </c>
      <c r="D282" s="5"/>
      <c r="E282">
        <v>-2.5544612377011774E-3</v>
      </c>
      <c r="F282">
        <f t="shared" si="14"/>
        <v>-2.4727037863613497E-2</v>
      </c>
      <c r="G282">
        <f t="shared" si="15"/>
        <v>-3.7368425993464946E-2</v>
      </c>
    </row>
    <row r="283" spans="1:144" x14ac:dyDescent="0.35">
      <c r="A283" t="s">
        <v>28</v>
      </c>
      <c r="D283" s="5"/>
      <c r="E283">
        <v>8.2061809210047729E-3</v>
      </c>
      <c r="F283">
        <f t="shared" si="14"/>
        <v>-2.4732226967826974E-2</v>
      </c>
      <c r="G283">
        <f t="shared" si="15"/>
        <v>-3.7368425993464946E-2</v>
      </c>
    </row>
    <row r="284" spans="1:144" x14ac:dyDescent="0.35">
      <c r="A284" t="s">
        <v>28</v>
      </c>
      <c r="D284" s="5"/>
      <c r="E284">
        <v>1.4949160141175328E-2</v>
      </c>
      <c r="F284">
        <f t="shared" si="14"/>
        <v>-2.4737416072040455E-2</v>
      </c>
      <c r="G284">
        <f t="shared" si="15"/>
        <v>-3.7368425993464946E-2</v>
      </c>
    </row>
    <row r="285" spans="1:144" x14ac:dyDescent="0.35">
      <c r="A285" t="s">
        <v>28</v>
      </c>
      <c r="D285" s="5"/>
      <c r="E285">
        <v>4.6606004905247347E-4</v>
      </c>
      <c r="F285">
        <f t="shared" si="14"/>
        <v>-2.4742605176253936E-2</v>
      </c>
      <c r="G285">
        <f t="shared" si="15"/>
        <v>-3.7368425993464946E-2</v>
      </c>
    </row>
    <row r="286" spans="1:144" x14ac:dyDescent="0.35">
      <c r="A286" t="s">
        <v>28</v>
      </c>
      <c r="D286" s="5"/>
      <c r="E286">
        <v>-5.1624978592057285E-3</v>
      </c>
      <c r="F286">
        <f t="shared" si="14"/>
        <v>-2.4747794280467413E-2</v>
      </c>
      <c r="G286">
        <f t="shared" si="15"/>
        <v>-3.7368425993464946E-2</v>
      </c>
    </row>
    <row r="287" spans="1:144" x14ac:dyDescent="0.35">
      <c r="A287" t="s">
        <v>28</v>
      </c>
      <c r="D287" s="5"/>
      <c r="E287">
        <v>-3.6605724989055545E-2</v>
      </c>
      <c r="F287">
        <f t="shared" si="14"/>
        <v>-2.4752983384680894E-2</v>
      </c>
      <c r="G287">
        <f t="shared" si="15"/>
        <v>-3.7368425993464946E-2</v>
      </c>
    </row>
    <row r="288" spans="1:144" x14ac:dyDescent="0.35">
      <c r="A288" t="s">
        <v>28</v>
      </c>
      <c r="D288" s="5"/>
      <c r="E288">
        <v>-1.06838545774683E-2</v>
      </c>
      <c r="F288">
        <f t="shared" si="14"/>
        <v>-2.4694234929573504E-2</v>
      </c>
      <c r="G288">
        <f t="shared" si="15"/>
        <v>-3.7300874485886142E-2</v>
      </c>
    </row>
    <row r="289" spans="1:144" x14ac:dyDescent="0.35">
      <c r="A289" t="s">
        <v>28</v>
      </c>
      <c r="D289" s="5"/>
      <c r="E289">
        <v>-2.9218837487128744E-3</v>
      </c>
      <c r="F289">
        <f t="shared" si="14"/>
        <v>-2.4696103656707925E-2</v>
      </c>
      <c r="G289">
        <f t="shared" si="15"/>
        <v>-3.7300874485886142E-2</v>
      </c>
    </row>
    <row r="290" spans="1:144" x14ac:dyDescent="0.35">
      <c r="A290" t="s">
        <v>28</v>
      </c>
      <c r="D290" s="5"/>
      <c r="E290">
        <v>8.632926168105899E-4</v>
      </c>
      <c r="F290">
        <f t="shared" si="14"/>
        <v>-2.4697972383842345E-2</v>
      </c>
      <c r="G290">
        <f t="shared" si="15"/>
        <v>-3.7300874485886142E-2</v>
      </c>
    </row>
    <row r="291" spans="1:144" x14ac:dyDescent="0.35">
      <c r="A291" t="s">
        <v>28</v>
      </c>
      <c r="D291" s="5"/>
      <c r="E291">
        <v>1.8104066506532221E-2</v>
      </c>
      <c r="F291">
        <f t="shared" si="14"/>
        <v>-2.4699841110976763E-2</v>
      </c>
      <c r="G291">
        <f t="shared" si="15"/>
        <v>-3.7300874485886142E-2</v>
      </c>
    </row>
    <row r="292" spans="1:144" x14ac:dyDescent="0.35">
      <c r="A292" t="s">
        <v>28</v>
      </c>
      <c r="D292" s="5"/>
      <c r="E292">
        <v>5.2150809863741078E-3</v>
      </c>
      <c r="F292">
        <f t="shared" si="14"/>
        <v>-2.4701709838111183E-2</v>
      </c>
      <c r="G292">
        <f t="shared" si="15"/>
        <v>-3.7300874485886142E-2</v>
      </c>
    </row>
    <row r="293" spans="1:144" s="3" customFormat="1" x14ac:dyDescent="0.35">
      <c r="A293" s="3" t="s">
        <v>29</v>
      </c>
      <c r="B293" s="3" cm="1">
        <f t="array" ref="B293">_xlfn.STDEV.S(_xlfn._xlws.FILTER($E$2:$E$1000, $A$2:$A$1000="2011-03"))</f>
        <v>1.1046752358071088E-2</v>
      </c>
      <c r="C293" s="3" cm="1">
        <f t="array" ref="C293">AVERAGE(_xlfn._xlws.FILTER($E$2:$E$1000, $A$2:$A$1000="2011-03"))</f>
        <v>-1.4544542922607583E-3</v>
      </c>
      <c r="D293" s="3" cm="1">
        <f t="array" ref="D293">_xlfn.PERCENTILE.EXC(_xlfn._xlws.FILTER($E$253:$E$502, $A$253:$A$502="2011-03"), 0.05)</f>
        <v>-2.4109926162205385E-2</v>
      </c>
      <c r="E293" s="3">
        <v>-1.071031274595198E-2</v>
      </c>
      <c r="F293" s="3">
        <f t="shared" si="14"/>
        <v>-2.4703578565245601E-2</v>
      </c>
      <c r="G293" s="3">
        <f t="shared" si="15"/>
        <v>-3.7300874485886142E-2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</row>
    <row r="294" spans="1:144" x14ac:dyDescent="0.35">
      <c r="A294" t="s">
        <v>29</v>
      </c>
      <c r="E294">
        <v>5.181489425281694E-4</v>
      </c>
      <c r="F294">
        <f t="shared" si="14"/>
        <v>-2.4705447292380021E-2</v>
      </c>
      <c r="G294">
        <f t="shared" si="15"/>
        <v>-3.7300874485886142E-2</v>
      </c>
    </row>
    <row r="295" spans="1:144" x14ac:dyDescent="0.35">
      <c r="A295" t="s">
        <v>29</v>
      </c>
      <c r="E295">
        <v>-3.8078138536502912E-3</v>
      </c>
      <c r="F295">
        <f t="shared" si="14"/>
        <v>-2.4707316019514442E-2</v>
      </c>
      <c r="G295">
        <f t="shared" si="15"/>
        <v>-3.7300874485886142E-2</v>
      </c>
    </row>
    <row r="296" spans="1:144" x14ac:dyDescent="0.35">
      <c r="A296" t="s">
        <v>29</v>
      </c>
      <c r="E296">
        <v>-7.1298481978630151E-4</v>
      </c>
      <c r="F296">
        <f t="shared" si="14"/>
        <v>-2.4709184746648859E-2</v>
      </c>
      <c r="G296">
        <f t="shared" si="15"/>
        <v>-3.7300874485886142E-2</v>
      </c>
    </row>
    <row r="297" spans="1:144" x14ac:dyDescent="0.35">
      <c r="A297" t="s">
        <v>29</v>
      </c>
      <c r="E297">
        <v>3.319466124844591E-4</v>
      </c>
      <c r="F297">
        <f t="shared" si="14"/>
        <v>-2.471105347378328E-2</v>
      </c>
      <c r="G297">
        <f t="shared" si="15"/>
        <v>-3.7300874485886142E-2</v>
      </c>
    </row>
    <row r="298" spans="1:144" x14ac:dyDescent="0.35">
      <c r="A298" t="s">
        <v>29</v>
      </c>
      <c r="E298">
        <v>9.3332608571371975E-3</v>
      </c>
      <c r="F298">
        <f t="shared" si="14"/>
        <v>-2.4712922200917697E-2</v>
      </c>
      <c r="G298">
        <f t="shared" si="15"/>
        <v>-3.7300874485886142E-2</v>
      </c>
    </row>
    <row r="299" spans="1:144" x14ac:dyDescent="0.35">
      <c r="A299" t="s">
        <v>29</v>
      </c>
      <c r="E299">
        <v>3.91966603179255E-3</v>
      </c>
      <c r="F299">
        <f t="shared" si="14"/>
        <v>-2.4714790928052118E-2</v>
      </c>
      <c r="G299">
        <f t="shared" si="15"/>
        <v>-3.7300874485886142E-2</v>
      </c>
    </row>
    <row r="300" spans="1:144" x14ac:dyDescent="0.35">
      <c r="A300" t="s">
        <v>29</v>
      </c>
      <c r="E300">
        <v>-1.6026143830097744E-2</v>
      </c>
      <c r="F300">
        <f t="shared" si="14"/>
        <v>-2.4716659655186539E-2</v>
      </c>
      <c r="G300">
        <f t="shared" si="15"/>
        <v>-3.7300874485886142E-2</v>
      </c>
    </row>
    <row r="301" spans="1:144" x14ac:dyDescent="0.35">
      <c r="A301" t="s">
        <v>29</v>
      </c>
      <c r="E301">
        <v>-1.0077568682855441E-2</v>
      </c>
      <c r="F301">
        <f t="shared" si="14"/>
        <v>-2.4721848759400016E-2</v>
      </c>
      <c r="G301">
        <f t="shared" si="15"/>
        <v>-3.7372784284918713E-2</v>
      </c>
    </row>
    <row r="302" spans="1:144" x14ac:dyDescent="0.35">
      <c r="A302" t="s">
        <v>29</v>
      </c>
      <c r="E302">
        <v>-2.6885097813321088E-3</v>
      </c>
      <c r="F302">
        <f t="shared" si="14"/>
        <v>-2.4727037863613497E-2</v>
      </c>
      <c r="G302">
        <f t="shared" si="15"/>
        <v>-3.7372784284918713E-2</v>
      </c>
    </row>
    <row r="303" spans="1:144" x14ac:dyDescent="0.35">
      <c r="A303" t="s">
        <v>29</v>
      </c>
      <c r="E303">
        <v>-2.0335324170590002E-2</v>
      </c>
      <c r="F303">
        <f t="shared" si="14"/>
        <v>-2.4732226967826974E-2</v>
      </c>
      <c r="G303">
        <f t="shared" si="15"/>
        <v>-3.7372784284918713E-2</v>
      </c>
    </row>
    <row r="304" spans="1:144" x14ac:dyDescent="0.35">
      <c r="A304" t="s">
        <v>29</v>
      </c>
      <c r="E304">
        <v>-2.5053576660109232E-2</v>
      </c>
      <c r="F304">
        <f t="shared" si="14"/>
        <v>-2.4737416072040455E-2</v>
      </c>
      <c r="G304">
        <f t="shared" si="15"/>
        <v>-3.7372784284918713E-2</v>
      </c>
    </row>
    <row r="305" spans="1:144" x14ac:dyDescent="0.35">
      <c r="A305" t="s">
        <v>29</v>
      </c>
      <c r="E305">
        <v>1.4475674759712199E-2</v>
      </c>
      <c r="F305">
        <f t="shared" si="14"/>
        <v>-2.4688628748170245E-2</v>
      </c>
      <c r="G305">
        <f t="shared" si="15"/>
        <v>-3.7370859044890577E-2</v>
      </c>
    </row>
    <row r="306" spans="1:144" x14ac:dyDescent="0.35">
      <c r="A306" t="s">
        <v>29</v>
      </c>
      <c r="E306">
        <v>2.669490638642046E-3</v>
      </c>
      <c r="F306">
        <f t="shared" si="14"/>
        <v>-2.4690497475304666E-2</v>
      </c>
      <c r="G306">
        <f t="shared" si="15"/>
        <v>-3.7370859044890577E-2</v>
      </c>
    </row>
    <row r="307" spans="1:144" x14ac:dyDescent="0.35">
      <c r="A307" t="s">
        <v>29</v>
      </c>
      <c r="E307">
        <v>1.544869119309264E-2</v>
      </c>
      <c r="F307">
        <f t="shared" si="14"/>
        <v>-2.4692366202439083E-2</v>
      </c>
      <c r="G307">
        <f t="shared" si="15"/>
        <v>-3.7370859044890577E-2</v>
      </c>
    </row>
    <row r="308" spans="1:144" x14ac:dyDescent="0.35">
      <c r="A308" t="s">
        <v>29</v>
      </c>
      <c r="E308">
        <v>1.3791687392164772E-3</v>
      </c>
      <c r="F308">
        <f t="shared" si="14"/>
        <v>-2.4694234929573504E-2</v>
      </c>
      <c r="G308">
        <f t="shared" si="15"/>
        <v>-3.7370859044890577E-2</v>
      </c>
    </row>
    <row r="309" spans="1:144" x14ac:dyDescent="0.35">
      <c r="A309" t="s">
        <v>29</v>
      </c>
      <c r="E309">
        <v>6.5453635812522497E-3</v>
      </c>
      <c r="F309">
        <f t="shared" si="14"/>
        <v>-2.4696103656707925E-2</v>
      </c>
      <c r="G309">
        <f t="shared" si="15"/>
        <v>-3.7370859044890577E-2</v>
      </c>
    </row>
    <row r="310" spans="1:144" x14ac:dyDescent="0.35">
      <c r="A310" t="s">
        <v>29</v>
      </c>
      <c r="E310">
        <v>1.4891077999055371E-2</v>
      </c>
      <c r="F310">
        <f t="shared" si="14"/>
        <v>-2.4697972383842345E-2</v>
      </c>
      <c r="G310">
        <f t="shared" si="15"/>
        <v>-3.7370859044890577E-2</v>
      </c>
    </row>
    <row r="311" spans="1:144" x14ac:dyDescent="0.35">
      <c r="A311" t="s">
        <v>29</v>
      </c>
      <c r="E311">
        <v>-1.7687336037256736E-3</v>
      </c>
      <c r="F311">
        <f t="shared" si="14"/>
        <v>-2.4699841110976763E-2</v>
      </c>
      <c r="G311">
        <f t="shared" si="15"/>
        <v>-3.7370859044890577E-2</v>
      </c>
    </row>
    <row r="312" spans="1:144" x14ac:dyDescent="0.35">
      <c r="A312" t="s">
        <v>29</v>
      </c>
      <c r="E312">
        <v>1.1346760640191308E-3</v>
      </c>
      <c r="F312">
        <f t="shared" si="14"/>
        <v>-2.4701709838111183E-2</v>
      </c>
      <c r="G312">
        <f t="shared" si="15"/>
        <v>-3.7370859044890577E-2</v>
      </c>
    </row>
    <row r="313" spans="1:144" x14ac:dyDescent="0.35">
      <c r="A313" t="s">
        <v>29</v>
      </c>
      <c r="E313">
        <v>-1.0466694305373564E-2</v>
      </c>
      <c r="F313">
        <f t="shared" si="14"/>
        <v>-2.4703578565245601E-2</v>
      </c>
      <c r="G313">
        <f t="shared" si="15"/>
        <v>-3.7370859044890577E-2</v>
      </c>
    </row>
    <row r="314" spans="1:144" x14ac:dyDescent="0.35">
      <c r="A314" t="s">
        <v>29</v>
      </c>
      <c r="E314">
        <v>1.006861326881392E-2</v>
      </c>
      <c r="F314">
        <f t="shared" si="14"/>
        <v>-2.4705447292380021E-2</v>
      </c>
      <c r="G314">
        <f t="shared" si="15"/>
        <v>-3.7370859044890577E-2</v>
      </c>
    </row>
    <row r="315" spans="1:144" x14ac:dyDescent="0.35">
      <c r="A315" t="s">
        <v>29</v>
      </c>
      <c r="E315">
        <v>-1.2520564956271506E-2</v>
      </c>
      <c r="F315">
        <f t="shared" si="14"/>
        <v>-2.4707316019514442E-2</v>
      </c>
      <c r="G315">
        <f t="shared" si="15"/>
        <v>-3.7370859044890577E-2</v>
      </c>
    </row>
    <row r="316" spans="1:144" s="3" customFormat="1" x14ac:dyDescent="0.35">
      <c r="A316" s="3" t="s">
        <v>30</v>
      </c>
      <c r="B316" s="3" cm="1">
        <f t="array" ref="B316">_xlfn.STDEV.S(_xlfn._xlws.FILTER($E$2:$E$1000, $A$2:$A$1000="2011-04"))</f>
        <v>1.1314211047877266E-2</v>
      </c>
      <c r="C316" s="3" cm="1">
        <f t="array" ref="C316">AVERAGE(_xlfn._xlws.FILTER($E$2:$E$1000, $A$2:$A$1000="2011-04"))</f>
        <v>1.6444563734685285E-3</v>
      </c>
      <c r="D316" s="3" cm="1">
        <f t="array" ref="D316">_xlfn.PERCENTILE.INC(_xlfn._xlws.FILTER($E$253:$E$502, $A$253:$A$502="2011-04"), 0.05)</f>
        <v>-1.7746545663505524E-2</v>
      </c>
      <c r="E316" s="3">
        <v>1.1000401348315004E-2</v>
      </c>
      <c r="F316" s="3">
        <f t="shared" si="14"/>
        <v>-2.4709184746648859E-2</v>
      </c>
      <c r="G316" s="3">
        <f t="shared" si="15"/>
        <v>-3.7370859044890577E-2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</row>
    <row r="317" spans="1:144" x14ac:dyDescent="0.35">
      <c r="A317" t="s">
        <v>30</v>
      </c>
      <c r="E317">
        <v>1.8210111641351876E-3</v>
      </c>
      <c r="F317">
        <f t="shared" si="14"/>
        <v>-2.471105347378328E-2</v>
      </c>
      <c r="G317">
        <f t="shared" si="15"/>
        <v>-3.7370859044890577E-2</v>
      </c>
    </row>
    <row r="318" spans="1:144" x14ac:dyDescent="0.35">
      <c r="A318" t="s">
        <v>30</v>
      </c>
      <c r="E318">
        <v>2.3223848616454909E-3</v>
      </c>
      <c r="F318">
        <f t="shared" si="14"/>
        <v>-2.4712922200917697E-2</v>
      </c>
      <c r="G318">
        <f t="shared" si="15"/>
        <v>-3.7370859044890577E-2</v>
      </c>
    </row>
    <row r="319" spans="1:144" x14ac:dyDescent="0.35">
      <c r="A319" t="s">
        <v>30</v>
      </c>
      <c r="E319">
        <v>1.2055434328889699E-2</v>
      </c>
      <c r="F319">
        <f t="shared" si="14"/>
        <v>-2.4714790928052118E-2</v>
      </c>
      <c r="G319">
        <f t="shared" si="15"/>
        <v>-3.7370859044890577E-2</v>
      </c>
    </row>
    <row r="320" spans="1:144" x14ac:dyDescent="0.35">
      <c r="A320" t="s">
        <v>30</v>
      </c>
      <c r="E320">
        <v>-3.7033497854753036E-3</v>
      </c>
      <c r="F320">
        <f t="shared" si="14"/>
        <v>-2.4716659655186539E-2</v>
      </c>
      <c r="G320">
        <f t="shared" si="15"/>
        <v>-3.7370859044890577E-2</v>
      </c>
    </row>
    <row r="321" spans="1:144" x14ac:dyDescent="0.35">
      <c r="A321" t="s">
        <v>30</v>
      </c>
      <c r="E321">
        <v>6.5046067477440295E-3</v>
      </c>
      <c r="F321">
        <f t="shared" si="14"/>
        <v>-2.4721848759400016E-2</v>
      </c>
      <c r="G321">
        <f t="shared" si="15"/>
        <v>-3.7443584328739454E-2</v>
      </c>
    </row>
    <row r="322" spans="1:144" x14ac:dyDescent="0.35">
      <c r="A322" t="s">
        <v>30</v>
      </c>
      <c r="E322">
        <v>-1.0376476629442438E-3</v>
      </c>
      <c r="F322">
        <f t="shared" si="14"/>
        <v>-2.4727037863613497E-2</v>
      </c>
      <c r="G322">
        <f t="shared" si="15"/>
        <v>-3.7443584328739454E-2</v>
      </c>
    </row>
    <row r="323" spans="1:144" x14ac:dyDescent="0.35">
      <c r="A323" t="s">
        <v>30</v>
      </c>
      <c r="E323">
        <v>-1.5653538952181027E-2</v>
      </c>
      <c r="F323">
        <f t="shared" si="14"/>
        <v>-2.4732226967826974E-2</v>
      </c>
      <c r="G323">
        <f t="shared" si="15"/>
        <v>-3.7443584328739454E-2</v>
      </c>
    </row>
    <row r="324" spans="1:144" x14ac:dyDescent="0.35">
      <c r="A324" t="s">
        <v>30</v>
      </c>
      <c r="E324">
        <v>3.5547626024460301E-3</v>
      </c>
      <c r="F324">
        <f t="shared" ref="F324:F387" si="16">_xlfn.PERCENTILE.EXC(E324:E4139,0.05)</f>
        <v>-2.4737416072040455E-2</v>
      </c>
      <c r="G324">
        <f t="shared" ref="G324:G387" si="17">AVERAGEIFS(E324:E4140,E324:E4140,"&lt;=" &amp; F324)</f>
        <v>-3.7443584328739454E-2</v>
      </c>
    </row>
    <row r="325" spans="1:144" x14ac:dyDescent="0.35">
      <c r="A325" t="s">
        <v>30</v>
      </c>
      <c r="E325">
        <v>-1.1984478760907847E-2</v>
      </c>
      <c r="F325">
        <f t="shared" si="16"/>
        <v>-2.4742605176253936E-2</v>
      </c>
      <c r="G325">
        <f t="shared" si="17"/>
        <v>-3.7443584328739454E-2</v>
      </c>
    </row>
    <row r="326" spans="1:144" x14ac:dyDescent="0.35">
      <c r="A326" t="s">
        <v>30</v>
      </c>
      <c r="E326">
        <v>-5.7083981430532268E-4</v>
      </c>
      <c r="F326">
        <f t="shared" si="16"/>
        <v>-2.4747794280467413E-2</v>
      </c>
      <c r="G326">
        <f t="shared" si="17"/>
        <v>-3.7443584328739454E-2</v>
      </c>
    </row>
    <row r="327" spans="1:144" x14ac:dyDescent="0.35">
      <c r="A327" t="s">
        <v>30</v>
      </c>
      <c r="E327">
        <v>-2.9606917027677693E-2</v>
      </c>
      <c r="F327">
        <f t="shared" si="16"/>
        <v>-2.4752983384680894E-2</v>
      </c>
      <c r="G327">
        <f t="shared" si="17"/>
        <v>-3.7443584328739454E-2</v>
      </c>
    </row>
    <row r="328" spans="1:144" x14ac:dyDescent="0.35">
      <c r="A328" t="s">
        <v>30</v>
      </c>
      <c r="E328">
        <v>3.0743825790413969E-3</v>
      </c>
      <c r="F328">
        <f t="shared" si="16"/>
        <v>-2.4694234929573504E-2</v>
      </c>
      <c r="G328">
        <f t="shared" si="17"/>
        <v>-3.741547940131134E-2</v>
      </c>
    </row>
    <row r="329" spans="1:144" x14ac:dyDescent="0.35">
      <c r="A329" t="s">
        <v>30</v>
      </c>
      <c r="E329">
        <v>1.1814692652783329E-2</v>
      </c>
      <c r="F329">
        <f t="shared" si="16"/>
        <v>-2.4696103656707925E-2</v>
      </c>
      <c r="G329">
        <f t="shared" si="17"/>
        <v>-3.741547940131134E-2</v>
      </c>
    </row>
    <row r="330" spans="1:144" x14ac:dyDescent="0.35">
      <c r="A330" t="s">
        <v>30</v>
      </c>
      <c r="E330">
        <v>1.4233792937805344E-2</v>
      </c>
      <c r="F330">
        <f t="shared" si="16"/>
        <v>-2.4697972383842345E-2</v>
      </c>
      <c r="G330">
        <f t="shared" si="17"/>
        <v>-3.741547940131134E-2</v>
      </c>
    </row>
    <row r="331" spans="1:144" x14ac:dyDescent="0.35">
      <c r="A331" t="s">
        <v>30</v>
      </c>
      <c r="E331">
        <v>5.5816463138163384E-3</v>
      </c>
      <c r="F331">
        <f t="shared" si="16"/>
        <v>-2.4699841110976763E-2</v>
      </c>
      <c r="G331">
        <f t="shared" si="17"/>
        <v>-3.741547940131134E-2</v>
      </c>
    </row>
    <row r="332" spans="1:144" x14ac:dyDescent="0.35">
      <c r="A332" t="s">
        <v>30</v>
      </c>
      <c r="E332">
        <v>1.3827410765395806E-2</v>
      </c>
      <c r="F332">
        <f t="shared" si="16"/>
        <v>-2.4701709838111183E-2</v>
      </c>
      <c r="G332">
        <f t="shared" si="17"/>
        <v>-3.741547940131134E-2</v>
      </c>
    </row>
    <row r="333" spans="1:144" x14ac:dyDescent="0.35">
      <c r="A333" t="s">
        <v>30</v>
      </c>
      <c r="E333">
        <v>6.3664604239072956E-3</v>
      </c>
      <c r="F333">
        <f t="shared" si="16"/>
        <v>-2.4703578565245601E-2</v>
      </c>
      <c r="G333">
        <f t="shared" si="17"/>
        <v>-3.741547940131134E-2</v>
      </c>
    </row>
    <row r="334" spans="1:144" s="3" customFormat="1" x14ac:dyDescent="0.35">
      <c r="A334" s="3" t="s">
        <v>31</v>
      </c>
      <c r="B334" s="3" cm="1">
        <f t="array" ref="B334">_xlfn.STDEV.S(_xlfn._xlws.FILTER($E$2:$E$1000, $A$2:$A$1000="2011-05"))</f>
        <v>1.2215137456959718E-2</v>
      </c>
      <c r="C334" s="3" cm="1">
        <f t="array" ref="C334">AVERAGE(_xlfn._xlws.FILTER($E$2:$E$1000, $A$2:$A$1000="2011-05"))</f>
        <v>-2.9220586754584769E-3</v>
      </c>
      <c r="D334" s="3" cm="1">
        <f t="array" ref="D334">_xlfn.PERCENTILE.EXC(_xlfn._xlws.FILTER($E$253:$E$502, $A$253:$A$502="2011-05"), 0.05)</f>
        <v>-3.2942038370812964E-2</v>
      </c>
      <c r="E334" s="3">
        <v>-2.8866221776014155E-3</v>
      </c>
      <c r="F334" s="3">
        <f t="shared" si="16"/>
        <v>-2.4705447292380021E-2</v>
      </c>
      <c r="G334" s="3">
        <f t="shared" si="17"/>
        <v>-3.741547940131134E-2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</row>
    <row r="335" spans="1:144" x14ac:dyDescent="0.35">
      <c r="A335" t="s">
        <v>31</v>
      </c>
      <c r="E335">
        <v>-1.8103634758076297E-2</v>
      </c>
      <c r="F335">
        <f t="shared" si="16"/>
        <v>-2.4707316019514442E-2</v>
      </c>
      <c r="G335">
        <f t="shared" si="17"/>
        <v>-3.741547940131134E-2</v>
      </c>
    </row>
    <row r="336" spans="1:144" x14ac:dyDescent="0.35">
      <c r="A336" t="s">
        <v>31</v>
      </c>
      <c r="E336">
        <v>-7.9851369193131867E-3</v>
      </c>
      <c r="F336">
        <f t="shared" si="16"/>
        <v>-2.4709184746648859E-2</v>
      </c>
      <c r="G336">
        <f t="shared" si="17"/>
        <v>-3.741547940131134E-2</v>
      </c>
    </row>
    <row r="337" spans="1:7" x14ac:dyDescent="0.35">
      <c r="A337" t="s">
        <v>31</v>
      </c>
      <c r="E337">
        <v>9.737624541032849E-3</v>
      </c>
      <c r="F337">
        <f t="shared" si="16"/>
        <v>-2.471105347378328E-2</v>
      </c>
      <c r="G337">
        <f t="shared" si="17"/>
        <v>-3.741547940131134E-2</v>
      </c>
    </row>
    <row r="338" spans="1:7" x14ac:dyDescent="0.35">
      <c r="A338" t="s">
        <v>31</v>
      </c>
      <c r="E338">
        <v>-1.3175749797271187E-2</v>
      </c>
      <c r="F338">
        <f t="shared" si="16"/>
        <v>-2.4712922200917697E-2</v>
      </c>
      <c r="G338">
        <f t="shared" si="17"/>
        <v>-3.741547940131134E-2</v>
      </c>
    </row>
    <row r="339" spans="1:7" x14ac:dyDescent="0.35">
      <c r="A339" t="s">
        <v>31</v>
      </c>
      <c r="E339">
        <v>1.4566798515278041E-2</v>
      </c>
      <c r="F339">
        <f t="shared" si="16"/>
        <v>-2.4714790928052118E-2</v>
      </c>
      <c r="G339">
        <f t="shared" si="17"/>
        <v>-3.741547940131134E-2</v>
      </c>
    </row>
    <row r="340" spans="1:7" x14ac:dyDescent="0.35">
      <c r="A340" t="s">
        <v>31</v>
      </c>
      <c r="E340">
        <v>2.1283429230574422E-3</v>
      </c>
      <c r="F340">
        <f t="shared" si="16"/>
        <v>-2.4716659655186539E-2</v>
      </c>
      <c r="G340">
        <f t="shared" si="17"/>
        <v>-3.741547940131134E-2</v>
      </c>
    </row>
    <row r="341" spans="1:7" x14ac:dyDescent="0.35">
      <c r="A341" t="s">
        <v>31</v>
      </c>
      <c r="E341">
        <v>-1.1112683493027532E-2</v>
      </c>
      <c r="F341">
        <f t="shared" si="16"/>
        <v>-2.4721848759400016E-2</v>
      </c>
      <c r="G341">
        <f t="shared" si="17"/>
        <v>-3.7488882983658885E-2</v>
      </c>
    </row>
    <row r="342" spans="1:7" x14ac:dyDescent="0.35">
      <c r="A342" t="s">
        <v>31</v>
      </c>
      <c r="E342">
        <v>-1.0736591773478279E-3</v>
      </c>
      <c r="F342">
        <f t="shared" si="16"/>
        <v>-2.4727037863613497E-2</v>
      </c>
      <c r="G342">
        <f t="shared" si="17"/>
        <v>-3.7488882983658885E-2</v>
      </c>
    </row>
    <row r="343" spans="1:7" x14ac:dyDescent="0.35">
      <c r="A343" t="s">
        <v>31</v>
      </c>
      <c r="E343">
        <v>-3.6350160222133393E-3</v>
      </c>
      <c r="F343">
        <f t="shared" si="16"/>
        <v>-2.4732226967826974E-2</v>
      </c>
      <c r="G343">
        <f t="shared" si="17"/>
        <v>-3.7488882983658885E-2</v>
      </c>
    </row>
    <row r="344" spans="1:7" x14ac:dyDescent="0.35">
      <c r="A344" t="s">
        <v>31</v>
      </c>
      <c r="E344">
        <v>-1.2827864404239355E-2</v>
      </c>
      <c r="F344">
        <f t="shared" si="16"/>
        <v>-2.4737416072040455E-2</v>
      </c>
      <c r="G344">
        <f t="shared" si="17"/>
        <v>-3.7488882983658885E-2</v>
      </c>
    </row>
    <row r="345" spans="1:7" x14ac:dyDescent="0.35">
      <c r="A345" t="s">
        <v>31</v>
      </c>
      <c r="E345">
        <v>1.6381594861984185E-3</v>
      </c>
      <c r="F345">
        <f t="shared" si="16"/>
        <v>-2.4742605176253936E-2</v>
      </c>
      <c r="G345">
        <f t="shared" si="17"/>
        <v>-3.7488882983658885E-2</v>
      </c>
    </row>
    <row r="346" spans="1:7" x14ac:dyDescent="0.35">
      <c r="A346" t="s">
        <v>31</v>
      </c>
      <c r="E346">
        <v>5.3800076562922905E-3</v>
      </c>
      <c r="F346">
        <f t="shared" si="16"/>
        <v>-2.4747794280467413E-2</v>
      </c>
      <c r="G346">
        <f t="shared" si="17"/>
        <v>-3.7488882983658885E-2</v>
      </c>
    </row>
    <row r="347" spans="1:7" x14ac:dyDescent="0.35">
      <c r="A347" t="s">
        <v>31</v>
      </c>
      <c r="E347">
        <v>-1.508793689396179E-2</v>
      </c>
      <c r="F347">
        <f t="shared" si="16"/>
        <v>-2.4752983384680894E-2</v>
      </c>
      <c r="G347">
        <f t="shared" si="17"/>
        <v>-3.7488882983658885E-2</v>
      </c>
    </row>
    <row r="348" spans="1:7" x14ac:dyDescent="0.35">
      <c r="A348" t="s">
        <v>31</v>
      </c>
      <c r="E348">
        <v>-3.3723006982009633E-2</v>
      </c>
      <c r="F348">
        <f t="shared" si="16"/>
        <v>-2.4758172488894371E-2</v>
      </c>
      <c r="G348">
        <f t="shared" si="17"/>
        <v>-3.7488882983658885E-2</v>
      </c>
    </row>
    <row r="349" spans="1:7" x14ac:dyDescent="0.35">
      <c r="A349" t="s">
        <v>31</v>
      </c>
      <c r="E349">
        <v>2.4083802413219836E-3</v>
      </c>
      <c r="F349">
        <f t="shared" si="16"/>
        <v>-2.4696103656707925E-2</v>
      </c>
      <c r="G349">
        <f t="shared" si="17"/>
        <v>-3.7436823172521172E-2</v>
      </c>
    </row>
    <row r="350" spans="1:7" x14ac:dyDescent="0.35">
      <c r="A350" t="s">
        <v>31</v>
      </c>
      <c r="E350">
        <v>1.1284755585501282E-2</v>
      </c>
      <c r="F350">
        <f t="shared" si="16"/>
        <v>-2.4697972383842345E-2</v>
      </c>
      <c r="G350">
        <f t="shared" si="17"/>
        <v>-3.7436823172521172E-2</v>
      </c>
    </row>
    <row r="351" spans="1:7" x14ac:dyDescent="0.35">
      <c r="A351" t="s">
        <v>31</v>
      </c>
      <c r="E351">
        <v>-7.105406221446741E-3</v>
      </c>
      <c r="F351">
        <f t="shared" si="16"/>
        <v>-2.4699841110976763E-2</v>
      </c>
      <c r="G351">
        <f t="shared" si="17"/>
        <v>-3.7436823172521172E-2</v>
      </c>
    </row>
    <row r="352" spans="1:7" x14ac:dyDescent="0.35">
      <c r="A352" t="s">
        <v>31</v>
      </c>
      <c r="E352">
        <v>7.8324764104637078E-3</v>
      </c>
      <c r="F352">
        <f t="shared" si="16"/>
        <v>-2.4701709838111183E-2</v>
      </c>
      <c r="G352">
        <f t="shared" si="17"/>
        <v>-3.7436823172521172E-2</v>
      </c>
    </row>
    <row r="353" spans="1:144" x14ac:dyDescent="0.35">
      <c r="A353" t="s">
        <v>31</v>
      </c>
      <c r="E353">
        <v>1.3298997978192752E-2</v>
      </c>
      <c r="F353">
        <f t="shared" si="16"/>
        <v>-2.4703578565245601E-2</v>
      </c>
      <c r="G353">
        <f t="shared" si="17"/>
        <v>-3.7436823172521172E-2</v>
      </c>
    </row>
    <row r="354" spans="1:144" s="3" customFormat="1" x14ac:dyDescent="0.35">
      <c r="A354" s="3" t="s">
        <v>32</v>
      </c>
      <c r="B354" s="3" cm="1">
        <f t="array" ref="B354">_xlfn.STDEV.S(_xlfn._xlws.FILTER($E$2:$E$1000, $A$2:$A$1000="2011-06"))</f>
        <v>1.4284213784997446E-2</v>
      </c>
      <c r="C354" s="3" cm="1">
        <f t="array" ref="C354">AVERAGE(_xlfn._xlws.FILTER($E$2:$E$1000, $A$2:$A$1000="2011-06"))</f>
        <v>-2.0317799273410482E-3</v>
      </c>
      <c r="D354" s="3" cm="1">
        <f t="array" ref="D354">_xlfn.PERCENTILE.EXC(_xlfn._xlws.FILTER($E$253:$E$502, $A$253:$A$502="2011-06"), 0.05)</f>
        <v>-2.678238823974867E-2</v>
      </c>
      <c r="E354" s="3">
        <v>-1.1600080904729936E-2</v>
      </c>
      <c r="F354" s="3">
        <f t="shared" si="16"/>
        <v>-2.4705447292380021E-2</v>
      </c>
      <c r="G354" s="3">
        <f t="shared" si="17"/>
        <v>-3.7436823172521172E-2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</row>
    <row r="355" spans="1:144" x14ac:dyDescent="0.35">
      <c r="A355" t="s">
        <v>32</v>
      </c>
      <c r="E355">
        <v>-7.9563113584652147E-3</v>
      </c>
      <c r="F355">
        <f t="shared" si="16"/>
        <v>-2.4707316019514442E-2</v>
      </c>
      <c r="G355">
        <f t="shared" si="17"/>
        <v>-3.7436823172521172E-2</v>
      </c>
    </row>
    <row r="356" spans="1:144" x14ac:dyDescent="0.35">
      <c r="A356" t="s">
        <v>32</v>
      </c>
      <c r="E356">
        <v>5.2511692941875745E-3</v>
      </c>
      <c r="F356">
        <f t="shared" si="16"/>
        <v>-2.4709184746648859E-2</v>
      </c>
      <c r="G356">
        <f t="shared" si="17"/>
        <v>-3.7436823172521172E-2</v>
      </c>
    </row>
    <row r="357" spans="1:144" x14ac:dyDescent="0.35">
      <c r="A357" t="s">
        <v>32</v>
      </c>
      <c r="E357">
        <v>-1.3784191913063805E-2</v>
      </c>
      <c r="F357">
        <f t="shared" si="16"/>
        <v>-2.471105347378328E-2</v>
      </c>
      <c r="G357">
        <f t="shared" si="17"/>
        <v>-3.7436823172521172E-2</v>
      </c>
    </row>
    <row r="358" spans="1:144" x14ac:dyDescent="0.35">
      <c r="A358" t="s">
        <v>32</v>
      </c>
      <c r="E358">
        <v>2.4063547131492388E-3</v>
      </c>
      <c r="F358">
        <f t="shared" si="16"/>
        <v>-2.4712922200917697E-2</v>
      </c>
      <c r="G358">
        <f t="shared" si="17"/>
        <v>-3.7436823172521172E-2</v>
      </c>
    </row>
    <row r="359" spans="1:144" x14ac:dyDescent="0.35">
      <c r="A359" t="s">
        <v>32</v>
      </c>
      <c r="E359">
        <v>-1.4550911452801279E-2</v>
      </c>
      <c r="F359">
        <f t="shared" si="16"/>
        <v>-2.4714790928052118E-2</v>
      </c>
      <c r="G359">
        <f t="shared" si="17"/>
        <v>-3.7436823172521172E-2</v>
      </c>
    </row>
    <row r="360" spans="1:144" x14ac:dyDescent="0.35">
      <c r="A360" t="s">
        <v>32</v>
      </c>
      <c r="E360">
        <v>5.523429048354447E-3</v>
      </c>
      <c r="F360">
        <f t="shared" si="16"/>
        <v>-2.4716659655186539E-2</v>
      </c>
      <c r="G360">
        <f t="shared" si="17"/>
        <v>-3.7436823172521172E-2</v>
      </c>
    </row>
    <row r="361" spans="1:144" x14ac:dyDescent="0.35">
      <c r="A361" t="s">
        <v>32</v>
      </c>
      <c r="E361">
        <v>-1.3434890529799477E-2</v>
      </c>
      <c r="F361">
        <f t="shared" si="16"/>
        <v>-2.4721848759400016E-2</v>
      </c>
      <c r="G361">
        <f t="shared" si="17"/>
        <v>-3.7510777611575452E-2</v>
      </c>
    </row>
    <row r="362" spans="1:144" x14ac:dyDescent="0.35">
      <c r="A362" t="s">
        <v>32</v>
      </c>
      <c r="E362">
        <v>-1.8095157978846995E-3</v>
      </c>
      <c r="F362">
        <f t="shared" si="16"/>
        <v>-2.4727037863613497E-2</v>
      </c>
      <c r="G362">
        <f t="shared" si="17"/>
        <v>-3.7510777611575452E-2</v>
      </c>
    </row>
    <row r="363" spans="1:144" x14ac:dyDescent="0.35">
      <c r="A363" t="s">
        <v>32</v>
      </c>
      <c r="E363">
        <v>1.3738583742939067E-2</v>
      </c>
      <c r="F363">
        <f t="shared" si="16"/>
        <v>-2.4732226967826974E-2</v>
      </c>
      <c r="G363">
        <f t="shared" si="17"/>
        <v>-3.7510777611575452E-2</v>
      </c>
    </row>
    <row r="364" spans="1:144" x14ac:dyDescent="0.35">
      <c r="A364" t="s">
        <v>32</v>
      </c>
      <c r="E364">
        <v>-2.1868701695900258E-2</v>
      </c>
      <c r="F364">
        <f t="shared" si="16"/>
        <v>-2.4737416072040455E-2</v>
      </c>
      <c r="G364">
        <f t="shared" si="17"/>
        <v>-3.7510777611575452E-2</v>
      </c>
    </row>
    <row r="365" spans="1:144" x14ac:dyDescent="0.35">
      <c r="A365" t="s">
        <v>32</v>
      </c>
      <c r="E365">
        <v>-3.32303071424681E-3</v>
      </c>
      <c r="F365">
        <f t="shared" si="16"/>
        <v>-2.4742605176253936E-2</v>
      </c>
      <c r="G365">
        <f t="shared" si="17"/>
        <v>-3.7510777611575452E-2</v>
      </c>
    </row>
    <row r="366" spans="1:144" x14ac:dyDescent="0.35">
      <c r="A366" t="s">
        <v>32</v>
      </c>
      <c r="E366">
        <v>1.2235667281998985E-2</v>
      </c>
      <c r="F366">
        <f t="shared" si="16"/>
        <v>-2.4747794280467413E-2</v>
      </c>
      <c r="G366">
        <f t="shared" si="17"/>
        <v>-3.7510777611575452E-2</v>
      </c>
    </row>
    <row r="367" spans="1:144" x14ac:dyDescent="0.35">
      <c r="A367" t="s">
        <v>32</v>
      </c>
      <c r="E367">
        <v>-2.0323720565368013E-2</v>
      </c>
      <c r="F367">
        <f t="shared" si="16"/>
        <v>-2.4752983384680894E-2</v>
      </c>
      <c r="G367">
        <f t="shared" si="17"/>
        <v>-3.7510777611575452E-2</v>
      </c>
    </row>
    <row r="368" spans="1:144" x14ac:dyDescent="0.35">
      <c r="A368" t="s">
        <v>32</v>
      </c>
      <c r="E368">
        <v>2.0597357989530326E-2</v>
      </c>
      <c r="F368">
        <f t="shared" si="16"/>
        <v>-2.4758172488894371E-2</v>
      </c>
      <c r="G368">
        <f t="shared" si="17"/>
        <v>-3.7510777611575452E-2</v>
      </c>
    </row>
    <row r="369" spans="1:144" x14ac:dyDescent="0.35">
      <c r="A369" t="s">
        <v>32</v>
      </c>
      <c r="E369">
        <v>-4.3987013935851173E-3</v>
      </c>
      <c r="F369">
        <f t="shared" si="16"/>
        <v>-2.4763361593107852E-2</v>
      </c>
      <c r="G369">
        <f t="shared" si="17"/>
        <v>-3.7510777611575452E-2</v>
      </c>
    </row>
    <row r="370" spans="1:144" x14ac:dyDescent="0.35">
      <c r="A370" t="s">
        <v>32</v>
      </c>
      <c r="E370">
        <v>-2.7649509394545448E-2</v>
      </c>
      <c r="F370">
        <f t="shared" si="16"/>
        <v>-2.4768550697321333E-2</v>
      </c>
      <c r="G370">
        <f t="shared" si="17"/>
        <v>-3.7510777611575452E-2</v>
      </c>
    </row>
    <row r="371" spans="1:144" x14ac:dyDescent="0.35">
      <c r="A371" t="s">
        <v>32</v>
      </c>
      <c r="E371">
        <v>-1.6257649458746214E-2</v>
      </c>
      <c r="F371">
        <f t="shared" si="16"/>
        <v>-2.4699841110976763E-2</v>
      </c>
      <c r="G371">
        <f t="shared" si="17"/>
        <v>-3.7493726159602433E-2</v>
      </c>
    </row>
    <row r="372" spans="1:144" x14ac:dyDescent="0.35">
      <c r="A372" t="s">
        <v>32</v>
      </c>
      <c r="E372">
        <v>7.4249778133426529E-3</v>
      </c>
      <c r="F372">
        <f t="shared" si="16"/>
        <v>-2.4701709838111183E-2</v>
      </c>
      <c r="G372">
        <f t="shared" si="17"/>
        <v>-3.7493726159602433E-2</v>
      </c>
    </row>
    <row r="373" spans="1:144" x14ac:dyDescent="0.35">
      <c r="A373" t="s">
        <v>32</v>
      </c>
      <c r="E373">
        <v>8.1323143215120235E-3</v>
      </c>
      <c r="F373">
        <f t="shared" si="16"/>
        <v>-2.4703578565245601E-2</v>
      </c>
      <c r="G373">
        <f t="shared" si="17"/>
        <v>-3.7493726159602433E-2</v>
      </c>
    </row>
    <row r="374" spans="1:144" x14ac:dyDescent="0.35">
      <c r="A374" t="s">
        <v>32</v>
      </c>
      <c r="E374">
        <v>2.0855118909272233E-2</v>
      </c>
      <c r="F374">
        <f t="shared" si="16"/>
        <v>-2.4705447292380021E-2</v>
      </c>
      <c r="G374">
        <f t="shared" si="17"/>
        <v>-3.7493726159602433E-2</v>
      </c>
    </row>
    <row r="375" spans="1:144" x14ac:dyDescent="0.35">
      <c r="A375" t="s">
        <v>32</v>
      </c>
      <c r="E375">
        <v>1.6093083663346656E-2</v>
      </c>
      <c r="F375">
        <f t="shared" si="16"/>
        <v>-2.4707316019514442E-2</v>
      </c>
      <c r="G375">
        <f t="shared" si="17"/>
        <v>-3.7493726159602433E-2</v>
      </c>
    </row>
    <row r="376" spans="1:144" s="3" customFormat="1" x14ac:dyDescent="0.35">
      <c r="A376" s="3" t="s">
        <v>33</v>
      </c>
      <c r="B376" s="3" cm="1">
        <f t="array" ref="B376">_xlfn.STDEV.S(_xlfn._xlws.FILTER($E$2:$E$1000, $A$2:$A$1000="2011-07"))</f>
        <v>2.1498002049553093E-2</v>
      </c>
      <c r="C376" s="3" cm="1">
        <f t="array" ref="C376">AVERAGE(_xlfn._xlws.FILTER($E$2:$E$1000, $A$2:$A$1000="2011-07"))</f>
        <v>-4.3264968793690784E-3</v>
      </c>
      <c r="D376" s="3" cm="1">
        <f t="array" ref="D376">_xlfn.PERCENTILE.EXC(_xlfn._xlws.FILTER($E$253:$E$502, $A$253:$A$502="2011-07"), 0.05)</f>
        <v>-3.9916839639104904E-2</v>
      </c>
      <c r="E376" s="3">
        <v>1.621746272322222E-2</v>
      </c>
      <c r="F376" s="3">
        <f t="shared" si="16"/>
        <v>-2.4709184746648859E-2</v>
      </c>
      <c r="G376" s="3">
        <f t="shared" si="17"/>
        <v>-3.7493726159602433E-2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</row>
    <row r="377" spans="1:144" x14ac:dyDescent="0.35">
      <c r="A377" t="s">
        <v>33</v>
      </c>
      <c r="E377">
        <v>-1.9925291652125557E-3</v>
      </c>
      <c r="F377">
        <f t="shared" si="16"/>
        <v>-2.471105347378328E-2</v>
      </c>
      <c r="G377">
        <f t="shared" si="17"/>
        <v>-3.7493726159602433E-2</v>
      </c>
    </row>
    <row r="378" spans="1:144" x14ac:dyDescent="0.35">
      <c r="A378" t="s">
        <v>33</v>
      </c>
      <c r="E378">
        <v>-9.7479109412880512E-3</v>
      </c>
      <c r="F378">
        <f t="shared" si="16"/>
        <v>-2.4712922200917697E-2</v>
      </c>
      <c r="G378">
        <f t="shared" si="17"/>
        <v>-3.7493726159602433E-2</v>
      </c>
    </row>
    <row r="379" spans="1:144" x14ac:dyDescent="0.35">
      <c r="A379" t="s">
        <v>33</v>
      </c>
      <c r="E379">
        <v>-2.4679285112498148E-2</v>
      </c>
      <c r="F379">
        <f t="shared" si="16"/>
        <v>-2.4714790928052118E-2</v>
      </c>
      <c r="G379">
        <f t="shared" si="17"/>
        <v>-3.7493726159602433E-2</v>
      </c>
    </row>
    <row r="380" spans="1:144" x14ac:dyDescent="0.35">
      <c r="A380" t="s">
        <v>33</v>
      </c>
      <c r="E380">
        <v>-2.4079665794981718E-3</v>
      </c>
      <c r="F380">
        <f t="shared" si="16"/>
        <v>-2.4716659655186539E-2</v>
      </c>
      <c r="G380">
        <f t="shared" si="17"/>
        <v>-3.7493726159602433E-2</v>
      </c>
    </row>
    <row r="381" spans="1:144" x14ac:dyDescent="0.35">
      <c r="A381" t="s">
        <v>33</v>
      </c>
      <c r="E381">
        <v>-3.5364829244489665E-2</v>
      </c>
      <c r="F381">
        <f t="shared" si="16"/>
        <v>-2.4721848759400016E-2</v>
      </c>
      <c r="G381">
        <f t="shared" si="17"/>
        <v>-3.7568445846762763E-2</v>
      </c>
    </row>
    <row r="382" spans="1:144" x14ac:dyDescent="0.35">
      <c r="A382" t="s">
        <v>33</v>
      </c>
      <c r="E382">
        <v>-4.042261857183993E-2</v>
      </c>
      <c r="F382">
        <f t="shared" si="16"/>
        <v>-2.4670357391197505E-2</v>
      </c>
      <c r="G382">
        <f t="shared" si="17"/>
        <v>-3.7506175849164498E-2</v>
      </c>
    </row>
    <row r="383" spans="1:144" x14ac:dyDescent="0.35">
      <c r="A383" t="s">
        <v>33</v>
      </c>
      <c r="E383">
        <v>1.1701575578312E-2</v>
      </c>
      <c r="F383">
        <f t="shared" si="16"/>
        <v>-2.4613442492497323E-2</v>
      </c>
      <c r="G383">
        <f t="shared" si="17"/>
        <v>-3.7414027276786478E-2</v>
      </c>
    </row>
    <row r="384" spans="1:144" x14ac:dyDescent="0.35">
      <c r="A384" t="s">
        <v>33</v>
      </c>
      <c r="E384">
        <v>1.7783158084137791E-2</v>
      </c>
      <c r="F384">
        <f t="shared" si="16"/>
        <v>-2.4616487798538582E-2</v>
      </c>
      <c r="G384">
        <f t="shared" si="17"/>
        <v>-3.7414027276786478E-2</v>
      </c>
    </row>
    <row r="385" spans="1:144" x14ac:dyDescent="0.35">
      <c r="A385" t="s">
        <v>33</v>
      </c>
      <c r="E385">
        <v>-1.079433152568428E-2</v>
      </c>
      <c r="F385">
        <f t="shared" si="16"/>
        <v>-2.4619533104579844E-2</v>
      </c>
      <c r="G385">
        <f t="shared" si="17"/>
        <v>-3.7414027276786478E-2</v>
      </c>
    </row>
    <row r="386" spans="1:144" x14ac:dyDescent="0.35">
      <c r="A386" t="s">
        <v>33</v>
      </c>
      <c r="E386">
        <v>-1.0239825472195511E-2</v>
      </c>
      <c r="F386">
        <f t="shared" si="16"/>
        <v>-2.4622578410621099E-2</v>
      </c>
      <c r="G386">
        <f t="shared" si="17"/>
        <v>-3.7414027276786478E-2</v>
      </c>
    </row>
    <row r="387" spans="1:144" x14ac:dyDescent="0.35">
      <c r="A387" t="s">
        <v>33</v>
      </c>
      <c r="E387">
        <v>-3.1085013123669538E-2</v>
      </c>
      <c r="F387">
        <f t="shared" si="16"/>
        <v>-2.4625623716662361E-2</v>
      </c>
      <c r="G387">
        <f t="shared" si="17"/>
        <v>-3.7414027276786478E-2</v>
      </c>
    </row>
    <row r="388" spans="1:144" x14ac:dyDescent="0.35">
      <c r="A388" t="s">
        <v>33</v>
      </c>
      <c r="E388">
        <v>1.9035768001948387E-2</v>
      </c>
      <c r="F388">
        <f t="shared" ref="F388:F451" si="18">_xlfn.PERCENTILE.EXC(E388:E4203,0.05)</f>
        <v>-2.4601831695461041E-2</v>
      </c>
      <c r="G388">
        <f t="shared" ref="G388:G451" si="19">AVERAGEIFS(E388:E4204,E388:E4204,"&lt;=" &amp; F388)</f>
        <v>-3.7376128408077143E-2</v>
      </c>
    </row>
    <row r="389" spans="1:144" x14ac:dyDescent="0.35">
      <c r="A389" t="s">
        <v>33</v>
      </c>
      <c r="E389">
        <v>2.9971784364959276E-2</v>
      </c>
      <c r="F389">
        <f t="shared" si="18"/>
        <v>-2.4602037935370417E-2</v>
      </c>
      <c r="G389">
        <f t="shared" si="19"/>
        <v>-3.7376128408077143E-2</v>
      </c>
    </row>
    <row r="390" spans="1:144" x14ac:dyDescent="0.35">
      <c r="A390" t="s">
        <v>33</v>
      </c>
      <c r="E390">
        <v>3.6929207439049774E-2</v>
      </c>
      <c r="F390">
        <f t="shared" si="18"/>
        <v>-2.4602244175279793E-2</v>
      </c>
      <c r="G390">
        <f t="shared" si="19"/>
        <v>-3.7376128408077143E-2</v>
      </c>
    </row>
    <row r="391" spans="1:144" x14ac:dyDescent="0.35">
      <c r="A391" t="s">
        <v>33</v>
      </c>
      <c r="E391">
        <v>-1.5208503672077213E-3</v>
      </c>
      <c r="F391">
        <f t="shared" si="18"/>
        <v>-2.4602450415189169E-2</v>
      </c>
      <c r="G391">
        <f t="shared" si="19"/>
        <v>-3.7376128408077143E-2</v>
      </c>
    </row>
    <row r="392" spans="1:144" x14ac:dyDescent="0.35">
      <c r="A392" t="s">
        <v>33</v>
      </c>
      <c r="E392">
        <v>-2.5063895629481033E-2</v>
      </c>
      <c r="F392">
        <f t="shared" si="18"/>
        <v>-2.4602656655098545E-2</v>
      </c>
      <c r="G392">
        <f t="shared" si="19"/>
        <v>-3.7376128408077143E-2</v>
      </c>
    </row>
    <row r="393" spans="1:144" x14ac:dyDescent="0.35">
      <c r="A393" t="s">
        <v>33</v>
      </c>
      <c r="E393">
        <v>2.6535633573515518E-3</v>
      </c>
      <c r="F393">
        <f t="shared" si="18"/>
        <v>-2.4571548083911262E-2</v>
      </c>
      <c r="G393">
        <f t="shared" si="19"/>
        <v>-3.7373416631157293E-2</v>
      </c>
    </row>
    <row r="394" spans="1:144" x14ac:dyDescent="0.35">
      <c r="A394" t="s">
        <v>33</v>
      </c>
      <c r="E394">
        <v>-2.8548370097562059E-2</v>
      </c>
      <c r="F394">
        <f t="shared" si="18"/>
        <v>-2.4575638611379087E-2</v>
      </c>
      <c r="G394">
        <f t="shared" si="19"/>
        <v>-3.7373416631157293E-2</v>
      </c>
    </row>
    <row r="395" spans="1:144" x14ac:dyDescent="0.35">
      <c r="A395" t="s">
        <v>33</v>
      </c>
      <c r="E395">
        <v>3.4410862543555452E-3</v>
      </c>
      <c r="F395">
        <f t="shared" si="18"/>
        <v>-2.4516525453578551E-2</v>
      </c>
      <c r="G395">
        <f t="shared" si="19"/>
        <v>-3.7349849386299205E-2</v>
      </c>
    </row>
    <row r="396" spans="1:144" x14ac:dyDescent="0.35">
      <c r="A396" t="s">
        <v>33</v>
      </c>
      <c r="E396">
        <v>-6.7226144394605279E-3</v>
      </c>
      <c r="F396">
        <f t="shared" si="18"/>
        <v>-2.4516894608228749E-2</v>
      </c>
      <c r="G396">
        <f t="shared" si="19"/>
        <v>-3.7349849386299205E-2</v>
      </c>
    </row>
    <row r="397" spans="1:144" s="3" customFormat="1" x14ac:dyDescent="0.35">
      <c r="A397" s="3" t="s">
        <v>34</v>
      </c>
      <c r="B397" s="3" cm="1">
        <f t="array" ref="B397">_xlfn.STDEV.S(_xlfn._xlws.FILTER($E$2:$E$1000, $A$2:$A$1000="2011-08"))</f>
        <v>3.1202992546988242E-2</v>
      </c>
      <c r="C397" s="3" cm="1">
        <f t="array" ref="C397">AVERAGE(_xlfn._xlws.FILTER($E$2:$E$1000, $A$2:$A$1000="2011-08"))</f>
        <v>-8.0604891933450506E-3</v>
      </c>
      <c r="D397" s="3" cm="1">
        <f t="array" ref="D397">_xlfn.PERCENTILE.EXC(_xlfn._xlws.FILTER($E$253:$E$502, $A$253:$A$502="2011-08"), 0.05)</f>
        <v>-6.8271770506754884E-2</v>
      </c>
      <c r="E397" s="3">
        <v>-3.9460650624852649E-2</v>
      </c>
      <c r="F397" s="3">
        <f t="shared" si="18"/>
        <v>-2.4517263762878948E-2</v>
      </c>
      <c r="G397" s="3">
        <f t="shared" si="19"/>
        <v>-3.7349849386299205E-2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</row>
    <row r="398" spans="1:144" x14ac:dyDescent="0.35">
      <c r="A398" t="s">
        <v>34</v>
      </c>
      <c r="E398">
        <v>-2.5586344633963524E-2</v>
      </c>
      <c r="F398">
        <f t="shared" si="18"/>
        <v>-2.4510432627791776E-2</v>
      </c>
      <c r="G398">
        <f t="shared" si="19"/>
        <v>-3.7262424459451098E-2</v>
      </c>
    </row>
    <row r="399" spans="1:144" x14ac:dyDescent="0.35">
      <c r="A399" t="s">
        <v>34</v>
      </c>
      <c r="E399">
        <v>-1.5565031916049792E-2</v>
      </c>
      <c r="F399">
        <f t="shared" si="18"/>
        <v>-2.4500602182984603E-2</v>
      </c>
      <c r="G399">
        <f t="shared" si="19"/>
        <v>-3.7256103339214398E-2</v>
      </c>
    </row>
    <row r="400" spans="1:144" x14ac:dyDescent="0.35">
      <c r="A400" t="s">
        <v>34</v>
      </c>
      <c r="E400">
        <v>-5.3006166861102183E-2</v>
      </c>
      <c r="F400">
        <f t="shared" si="18"/>
        <v>-2.4505433073487549E-2</v>
      </c>
      <c r="G400">
        <f t="shared" si="19"/>
        <v>-3.7256103339214398E-2</v>
      </c>
    </row>
    <row r="401" spans="1:7" x14ac:dyDescent="0.35">
      <c r="A401" t="s">
        <v>34</v>
      </c>
      <c r="E401">
        <v>-6.9811265005110699E-3</v>
      </c>
      <c r="F401">
        <f t="shared" si="18"/>
        <v>-2.4413646153931566E-2</v>
      </c>
      <c r="G401">
        <f t="shared" si="19"/>
        <v>-3.7163455906732708E-2</v>
      </c>
    </row>
    <row r="402" spans="1:7" x14ac:dyDescent="0.35">
      <c r="A402" t="s">
        <v>34</v>
      </c>
      <c r="E402">
        <v>-2.3764355322128242E-2</v>
      </c>
      <c r="F402">
        <f t="shared" si="18"/>
        <v>-2.4418477044434513E-2</v>
      </c>
      <c r="G402">
        <f t="shared" si="19"/>
        <v>-3.7163455906732708E-2</v>
      </c>
    </row>
    <row r="403" spans="1:7" x14ac:dyDescent="0.35">
      <c r="A403" t="s">
        <v>34</v>
      </c>
      <c r="E403">
        <v>5.2102715983614913E-3</v>
      </c>
      <c r="F403">
        <f t="shared" si="18"/>
        <v>-2.4423307934937456E-2</v>
      </c>
      <c r="G403">
        <f t="shared" si="19"/>
        <v>-3.7163455906732708E-2</v>
      </c>
    </row>
    <row r="404" spans="1:7" x14ac:dyDescent="0.35">
      <c r="A404" t="s">
        <v>34</v>
      </c>
      <c r="E404">
        <v>-6.8809789905423857E-2</v>
      </c>
      <c r="F404">
        <f t="shared" si="18"/>
        <v>-2.4428138825440406E-2</v>
      </c>
      <c r="G404">
        <f t="shared" si="19"/>
        <v>-3.7163455906732708E-2</v>
      </c>
    </row>
    <row r="405" spans="1:7" x14ac:dyDescent="0.35">
      <c r="A405" t="s">
        <v>34</v>
      </c>
      <c r="E405">
        <v>4.0144634275424307E-2</v>
      </c>
      <c r="F405">
        <f t="shared" si="18"/>
        <v>-2.4345657798113846E-2</v>
      </c>
      <c r="G405">
        <f t="shared" si="19"/>
        <v>-3.6902273702956262E-2</v>
      </c>
    </row>
    <row r="406" spans="1:7" x14ac:dyDescent="0.35">
      <c r="A406" t="s">
        <v>34</v>
      </c>
      <c r="E406">
        <v>3.9241634019050002E-2</v>
      </c>
      <c r="F406">
        <f t="shared" si="18"/>
        <v>-2.4349868295801498E-2</v>
      </c>
      <c r="G406">
        <f t="shared" si="19"/>
        <v>-3.6902273702956262E-2</v>
      </c>
    </row>
    <row r="407" spans="1:7" x14ac:dyDescent="0.35">
      <c r="A407" t="s">
        <v>34</v>
      </c>
      <c r="E407">
        <v>-8.7240405379572887E-3</v>
      </c>
      <c r="F407">
        <f t="shared" si="18"/>
        <v>-2.4354078793489151E-2</v>
      </c>
      <c r="G407">
        <f t="shared" si="19"/>
        <v>-3.6902273702956262E-2</v>
      </c>
    </row>
    <row r="408" spans="1:7" x14ac:dyDescent="0.35">
      <c r="A408" t="s">
        <v>34</v>
      </c>
      <c r="E408">
        <v>1.2627390284798177E-2</v>
      </c>
      <c r="F408">
        <f t="shared" si="18"/>
        <v>-2.43582892911768E-2</v>
      </c>
      <c r="G408">
        <f t="shared" si="19"/>
        <v>-3.6902273702956262E-2</v>
      </c>
    </row>
    <row r="409" spans="1:7" x14ac:dyDescent="0.35">
      <c r="A409" t="s">
        <v>34</v>
      </c>
      <c r="E409">
        <v>-6.3429595918734191E-2</v>
      </c>
      <c r="F409">
        <f t="shared" si="18"/>
        <v>-2.4362499788864452E-2</v>
      </c>
      <c r="G409">
        <f t="shared" si="19"/>
        <v>-3.6902273702956262E-2</v>
      </c>
    </row>
    <row r="410" spans="1:7" x14ac:dyDescent="0.35">
      <c r="A410" t="s">
        <v>34</v>
      </c>
      <c r="E410">
        <v>-2.4895149127785753E-2</v>
      </c>
      <c r="F410">
        <f t="shared" si="18"/>
        <v>-2.4310179915905328E-2</v>
      </c>
      <c r="G410">
        <f t="shared" si="19"/>
        <v>-3.6672244346432396E-2</v>
      </c>
    </row>
    <row r="411" spans="1:7" x14ac:dyDescent="0.35">
      <c r="A411" t="s">
        <v>34</v>
      </c>
      <c r="E411">
        <v>1.7602291569267063E-2</v>
      </c>
      <c r="F411">
        <f t="shared" si="18"/>
        <v>-2.4277261575855764E-2</v>
      </c>
      <c r="G411">
        <f t="shared" si="19"/>
        <v>-3.6668718495810916E-2</v>
      </c>
    </row>
    <row r="412" spans="1:7" x14ac:dyDescent="0.35">
      <c r="A412" t="s">
        <v>34</v>
      </c>
      <c r="E412">
        <v>-1.0438067563844505E-2</v>
      </c>
      <c r="F412">
        <f t="shared" si="18"/>
        <v>-2.4279316347664576E-2</v>
      </c>
      <c r="G412">
        <f t="shared" si="19"/>
        <v>-3.6668718495810916E-2</v>
      </c>
    </row>
    <row r="413" spans="1:7" x14ac:dyDescent="0.35">
      <c r="A413" t="s">
        <v>34</v>
      </c>
      <c r="E413">
        <v>1.8460765160876531E-2</v>
      </c>
      <c r="F413">
        <f t="shared" si="18"/>
        <v>-2.4281371119473389E-2</v>
      </c>
      <c r="G413">
        <f t="shared" si="19"/>
        <v>-3.6668718495810916E-2</v>
      </c>
    </row>
    <row r="414" spans="1:7" x14ac:dyDescent="0.35">
      <c r="A414" t="s">
        <v>34</v>
      </c>
      <c r="E414">
        <v>-2.4553944774818159E-3</v>
      </c>
      <c r="F414">
        <f t="shared" si="18"/>
        <v>-2.4283425891282198E-2</v>
      </c>
      <c r="G414">
        <f t="shared" si="19"/>
        <v>-3.6668718495810916E-2</v>
      </c>
    </row>
    <row r="415" spans="1:7" x14ac:dyDescent="0.35">
      <c r="A415" t="s">
        <v>34</v>
      </c>
      <c r="E415">
        <v>-9.7228432657107903E-3</v>
      </c>
      <c r="F415">
        <f t="shared" si="18"/>
        <v>-2.4285480663091011E-2</v>
      </c>
      <c r="G415">
        <f t="shared" si="19"/>
        <v>-3.6668718495810916E-2</v>
      </c>
    </row>
    <row r="416" spans="1:7" x14ac:dyDescent="0.35">
      <c r="A416" t="s">
        <v>34</v>
      </c>
      <c r="E416">
        <v>2.0482694955142041E-2</v>
      </c>
      <c r="F416">
        <f t="shared" si="18"/>
        <v>-2.428753543489982E-2</v>
      </c>
      <c r="G416">
        <f t="shared" si="19"/>
        <v>-3.6668718495810916E-2</v>
      </c>
    </row>
    <row r="417" spans="1:144" x14ac:dyDescent="0.35">
      <c r="A417" t="s">
        <v>34</v>
      </c>
      <c r="E417">
        <v>2.9798601732379984E-2</v>
      </c>
      <c r="F417">
        <f t="shared" si="18"/>
        <v>-2.4289590206708633E-2</v>
      </c>
      <c r="G417">
        <f t="shared" si="19"/>
        <v>-3.6668718495810916E-2</v>
      </c>
    </row>
    <row r="418" spans="1:144" s="3" customFormat="1" x14ac:dyDescent="0.35">
      <c r="A418" s="3" t="s">
        <v>35</v>
      </c>
      <c r="B418" s="3" cm="1">
        <f t="array" ref="B418">_xlfn.STDEV.S(_xlfn._xlws.FILTER($E$2:$E$1000, $A$2:$A$1000="2011-09"))</f>
        <v>3.1401586486304187E-2</v>
      </c>
      <c r="C418" s="3" cm="1">
        <f t="array" ref="C418">AVERAGE(_xlfn._xlws.FILTER($E$2:$E$1000, $A$2:$A$1000="2011-09"))</f>
        <v>-2.1741022982198111E-3</v>
      </c>
      <c r="D418" s="3" cm="1">
        <f t="array" ref="D418">_xlfn.PERCENTILE.EXC(_xlfn._xlws.FILTER($E$253:$E$502, $A$253:$A$502="2011-09"), 0.05)</f>
        <v>-5.0415234612314799E-2</v>
      </c>
      <c r="E418" s="3">
        <v>6.8912311574010031E-3</v>
      </c>
      <c r="F418" s="3">
        <f t="shared" si="18"/>
        <v>-2.4291644978517445E-2</v>
      </c>
      <c r="G418" s="3">
        <f t="shared" si="19"/>
        <v>-3.6668718495810916E-2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</row>
    <row r="419" spans="1:144" x14ac:dyDescent="0.35">
      <c r="A419" t="s">
        <v>35</v>
      </c>
      <c r="E419">
        <v>-3.9705706455194764E-2</v>
      </c>
      <c r="F419">
        <f t="shared" si="18"/>
        <v>-2.4293699750326254E-2</v>
      </c>
      <c r="G419">
        <f t="shared" si="19"/>
        <v>-3.6668718495810916E-2</v>
      </c>
    </row>
    <row r="420" spans="1:144" x14ac:dyDescent="0.35">
      <c r="A420" t="s">
        <v>35</v>
      </c>
      <c r="E420">
        <v>-4.9466619060960559E-2</v>
      </c>
      <c r="F420">
        <f t="shared" si="18"/>
        <v>-2.4254659085958842E-2</v>
      </c>
      <c r="G420">
        <f t="shared" si="19"/>
        <v>-3.6577829981874241E-2</v>
      </c>
    </row>
    <row r="421" spans="1:144" x14ac:dyDescent="0.35">
      <c r="A421" t="s">
        <v>35</v>
      </c>
      <c r="E421">
        <v>-2.0026303776944341E-2</v>
      </c>
      <c r="F421">
        <f t="shared" si="18"/>
        <v>-2.424654063409459E-2</v>
      </c>
      <c r="G421">
        <f t="shared" si="19"/>
        <v>-3.6501564957737639E-2</v>
      </c>
    </row>
    <row r="422" spans="1:144" x14ac:dyDescent="0.35">
      <c r="A422" t="s">
        <v>35</v>
      </c>
      <c r="E422">
        <v>4.1562774516683026E-2</v>
      </c>
      <c r="F422">
        <f t="shared" si="18"/>
        <v>-2.4246967921034816E-2</v>
      </c>
      <c r="G422">
        <f t="shared" si="19"/>
        <v>-3.6501564957737639E-2</v>
      </c>
    </row>
    <row r="423" spans="1:144" x14ac:dyDescent="0.35">
      <c r="A423" t="s">
        <v>35</v>
      </c>
      <c r="E423">
        <v>6.915828168387303E-3</v>
      </c>
      <c r="F423">
        <f t="shared" si="18"/>
        <v>-2.4247395207975038E-2</v>
      </c>
      <c r="G423">
        <f t="shared" si="19"/>
        <v>-3.6501564957737639E-2</v>
      </c>
    </row>
    <row r="424" spans="1:144" x14ac:dyDescent="0.35">
      <c r="A424" t="s">
        <v>35</v>
      </c>
      <c r="E424">
        <v>-5.0582637356671428E-2</v>
      </c>
      <c r="F424">
        <f t="shared" si="18"/>
        <v>-2.4247822494915264E-2</v>
      </c>
      <c r="G424">
        <f t="shared" si="19"/>
        <v>-3.6501564957737639E-2</v>
      </c>
    </row>
    <row r="425" spans="1:144" x14ac:dyDescent="0.35">
      <c r="A425" t="s">
        <v>35</v>
      </c>
      <c r="E425">
        <v>-3.972542745977535E-2</v>
      </c>
      <c r="F425">
        <f t="shared" si="18"/>
        <v>-2.4231018460201838E-2</v>
      </c>
      <c r="G425">
        <f t="shared" si="19"/>
        <v>-3.6345727537562982E-2</v>
      </c>
    </row>
    <row r="426" spans="1:144" x14ac:dyDescent="0.35">
      <c r="A426" t="s">
        <v>35</v>
      </c>
      <c r="E426">
        <v>2.167935092852976E-2</v>
      </c>
      <c r="F426">
        <f t="shared" si="18"/>
        <v>-2.4219462203462723E-2</v>
      </c>
      <c r="G426">
        <f t="shared" si="19"/>
        <v>-3.6254014871121815E-2</v>
      </c>
    </row>
    <row r="427" spans="1:144" x14ac:dyDescent="0.35">
      <c r="A427" t="s">
        <v>35</v>
      </c>
      <c r="E427">
        <v>2.656167436655622E-2</v>
      </c>
      <c r="F427">
        <f t="shared" si="18"/>
        <v>-2.4219928248302363E-2</v>
      </c>
      <c r="G427">
        <f t="shared" si="19"/>
        <v>-3.6254014871121815E-2</v>
      </c>
    </row>
    <row r="428" spans="1:144" x14ac:dyDescent="0.35">
      <c r="A428" t="s">
        <v>35</v>
      </c>
      <c r="E428">
        <v>3.492996546458127E-2</v>
      </c>
      <c r="F428">
        <f t="shared" si="18"/>
        <v>-2.4220394293142E-2</v>
      </c>
      <c r="G428">
        <f t="shared" si="19"/>
        <v>-3.6254014871121815E-2</v>
      </c>
    </row>
    <row r="429" spans="1:144" x14ac:dyDescent="0.35">
      <c r="A429" t="s">
        <v>35</v>
      </c>
      <c r="E429">
        <v>-6.5323749509719363E-3</v>
      </c>
      <c r="F429">
        <f t="shared" si="18"/>
        <v>-2.422086033798164E-2</v>
      </c>
      <c r="G429">
        <f t="shared" si="19"/>
        <v>-3.6254014871121815E-2</v>
      </c>
    </row>
    <row r="430" spans="1:144" x14ac:dyDescent="0.35">
      <c r="A430" t="s">
        <v>35</v>
      </c>
      <c r="E430">
        <v>-3.2178399075892025E-2</v>
      </c>
      <c r="F430">
        <f t="shared" si="18"/>
        <v>-2.4221326382821276E-2</v>
      </c>
      <c r="G430">
        <f t="shared" si="19"/>
        <v>-3.6254014871121815E-2</v>
      </c>
    </row>
    <row r="431" spans="1:144" x14ac:dyDescent="0.35">
      <c r="A431" t="s">
        <v>35</v>
      </c>
      <c r="E431">
        <v>1.8944519092793079E-2</v>
      </c>
      <c r="F431">
        <f t="shared" si="18"/>
        <v>-2.4199099806562079E-2</v>
      </c>
      <c r="G431">
        <f t="shared" si="19"/>
        <v>-3.6206904024130883E-2</v>
      </c>
    </row>
    <row r="432" spans="1:144" x14ac:dyDescent="0.35">
      <c r="A432" t="s">
        <v>35</v>
      </c>
      <c r="E432">
        <v>-1.6601793938056521E-2</v>
      </c>
      <c r="F432">
        <f t="shared" si="18"/>
        <v>-2.4201051598546835E-2</v>
      </c>
      <c r="G432">
        <f t="shared" si="19"/>
        <v>-3.6206904024130883E-2</v>
      </c>
    </row>
    <row r="433" spans="1:144" x14ac:dyDescent="0.35">
      <c r="A433" t="s">
        <v>35</v>
      </c>
      <c r="E433">
        <v>-4.625018370293936E-2</v>
      </c>
      <c r="F433">
        <f t="shared" si="18"/>
        <v>-2.4203003390531594E-2</v>
      </c>
      <c r="G433">
        <f t="shared" si="19"/>
        <v>-3.6206904024130883E-2</v>
      </c>
    </row>
    <row r="434" spans="1:144" x14ac:dyDescent="0.35">
      <c r="A434" t="s">
        <v>35</v>
      </c>
      <c r="E434">
        <v>1.3506182138732916E-2</v>
      </c>
      <c r="F434">
        <f t="shared" si="18"/>
        <v>-2.4153821837792487E-2</v>
      </c>
      <c r="G434">
        <f t="shared" si="19"/>
        <v>-3.6076297198046808E-2</v>
      </c>
    </row>
    <row r="435" spans="1:144" x14ac:dyDescent="0.35">
      <c r="A435" t="s">
        <v>35</v>
      </c>
      <c r="E435">
        <v>3.2688758306171427E-2</v>
      </c>
      <c r="F435">
        <f t="shared" si="18"/>
        <v>-2.4157789880615364E-2</v>
      </c>
      <c r="G435">
        <f t="shared" si="19"/>
        <v>-3.6076297198046808E-2</v>
      </c>
    </row>
    <row r="436" spans="1:144" x14ac:dyDescent="0.35">
      <c r="A436" t="s">
        <v>35</v>
      </c>
      <c r="E436">
        <v>4.7860959172733218E-2</v>
      </c>
      <c r="F436">
        <f t="shared" si="18"/>
        <v>-2.4161757923438242E-2</v>
      </c>
      <c r="G436">
        <f t="shared" si="19"/>
        <v>-3.6076297198046808E-2</v>
      </c>
    </row>
    <row r="437" spans="1:144" x14ac:dyDescent="0.35">
      <c r="A437" t="s">
        <v>35</v>
      </c>
      <c r="E437">
        <v>-4.7332993538014272E-3</v>
      </c>
      <c r="F437">
        <f t="shared" si="18"/>
        <v>-2.4165725966261119E-2</v>
      </c>
      <c r="G437">
        <f t="shared" si="19"/>
        <v>-3.6076297198046808E-2</v>
      </c>
    </row>
    <row r="438" spans="1:144" x14ac:dyDescent="0.35">
      <c r="A438" t="s">
        <v>35</v>
      </c>
      <c r="E438">
        <v>2.0465853079691086E-2</v>
      </c>
      <c r="F438">
        <f t="shared" si="18"/>
        <v>-2.4169694009083996E-2</v>
      </c>
      <c r="G438">
        <f t="shared" si="19"/>
        <v>-3.6076297198046808E-2</v>
      </c>
    </row>
    <row r="439" spans="1:144" x14ac:dyDescent="0.35">
      <c r="A439" t="s">
        <v>35</v>
      </c>
      <c r="E439">
        <v>-1.4034601821888436E-2</v>
      </c>
      <c r="F439">
        <f t="shared" si="18"/>
        <v>-2.4173662051906873E-2</v>
      </c>
      <c r="G439">
        <f t="shared" si="19"/>
        <v>-3.6076297198046808E-2</v>
      </c>
    </row>
    <row r="440" spans="1:144" s="3" customFormat="1" x14ac:dyDescent="0.35">
      <c r="A440" s="3" t="s">
        <v>36</v>
      </c>
      <c r="B440" s="3" cm="1">
        <f t="array" ref="B440">_xlfn.STDEV.S(_xlfn._xlws.FILTER($E$2:$E$1000, $A$2:$A$1000="2011-10"))</f>
        <v>2.8076394606003016E-2</v>
      </c>
      <c r="C440" s="3" cm="1">
        <f t="array" ref="C440">AVERAGE(_xlfn._xlws.FILTER($E$2:$E$1000, $A$2:$A$1000="2011-10"))</f>
        <v>3.6484443404887637E-3</v>
      </c>
      <c r="D440" s="3" cm="1">
        <f t="array" ref="D440">_xlfn.PERCENTILE.EXC(_xlfn._xlws.FILTER($E$253:$E$502, $A$253:$A$502="2011-10"), 0.05)</f>
        <v>-3.8884226180071334E-2</v>
      </c>
      <c r="E440" s="3">
        <v>-1.3149277704363008E-2</v>
      </c>
      <c r="F440" s="3">
        <f t="shared" si="18"/>
        <v>-2.417763009472975E-2</v>
      </c>
      <c r="G440" s="3">
        <f t="shared" si="19"/>
        <v>-3.6076297198046808E-2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</row>
    <row r="441" spans="1:144" x14ac:dyDescent="0.35">
      <c r="A441" t="s">
        <v>36</v>
      </c>
      <c r="E441">
        <v>-2.7595965604484896E-2</v>
      </c>
      <c r="F441">
        <f t="shared" si="18"/>
        <v>-2.4179581886714506E-2</v>
      </c>
      <c r="G441">
        <f t="shared" si="19"/>
        <v>-3.6147122597471312E-2</v>
      </c>
    </row>
    <row r="442" spans="1:144" x14ac:dyDescent="0.35">
      <c r="A442" t="s">
        <v>36</v>
      </c>
      <c r="E442">
        <v>3.8663723243864224E-2</v>
      </c>
      <c r="F442">
        <f t="shared" si="18"/>
        <v>-2.4106205323917967E-2</v>
      </c>
      <c r="G442">
        <f t="shared" si="19"/>
        <v>-3.6126775362294195E-2</v>
      </c>
    </row>
    <row r="443" spans="1:144" x14ac:dyDescent="0.35">
      <c r="A443" t="s">
        <v>36</v>
      </c>
      <c r="E443">
        <v>3.4914109701668562E-2</v>
      </c>
      <c r="F443">
        <f t="shared" si="18"/>
        <v>-2.4110173366740841E-2</v>
      </c>
      <c r="G443">
        <f t="shared" si="19"/>
        <v>-3.6126775362294195E-2</v>
      </c>
    </row>
    <row r="444" spans="1:144" x14ac:dyDescent="0.35">
      <c r="A444" t="s">
        <v>36</v>
      </c>
      <c r="E444">
        <v>1.2797751378163913E-2</v>
      </c>
      <c r="F444">
        <f t="shared" si="18"/>
        <v>-2.4114141409563718E-2</v>
      </c>
      <c r="G444">
        <f t="shared" si="19"/>
        <v>-3.6126775362294195E-2</v>
      </c>
    </row>
    <row r="445" spans="1:144" x14ac:dyDescent="0.35">
      <c r="A445" t="s">
        <v>36</v>
      </c>
      <c r="E445">
        <v>3.5995736157969596E-2</v>
      </c>
      <c r="F445">
        <f t="shared" si="18"/>
        <v>-2.4118109452386599E-2</v>
      </c>
      <c r="G445">
        <f t="shared" si="19"/>
        <v>-3.6126775362294195E-2</v>
      </c>
    </row>
    <row r="446" spans="1:144" x14ac:dyDescent="0.35">
      <c r="A446" t="s">
        <v>36</v>
      </c>
      <c r="E446">
        <v>-3.8600546461731874E-3</v>
      </c>
      <c r="F446">
        <f t="shared" si="18"/>
        <v>-2.4122077495209473E-2</v>
      </c>
      <c r="G446">
        <f t="shared" si="19"/>
        <v>-3.6126775362294195E-2</v>
      </c>
    </row>
    <row r="447" spans="1:144" x14ac:dyDescent="0.35">
      <c r="A447" t="s">
        <v>36</v>
      </c>
      <c r="E447">
        <v>2.8877814390308763E-2</v>
      </c>
      <c r="F447">
        <f t="shared" si="18"/>
        <v>-2.412604553803235E-2</v>
      </c>
      <c r="G447">
        <f t="shared" si="19"/>
        <v>-3.6126775362294195E-2</v>
      </c>
    </row>
    <row r="448" spans="1:144" x14ac:dyDescent="0.35">
      <c r="A448" t="s">
        <v>36</v>
      </c>
      <c r="E448">
        <v>-3.7756522710866838E-2</v>
      </c>
      <c r="F448">
        <f t="shared" si="18"/>
        <v>-2.4130013580855227E-2</v>
      </c>
      <c r="G448">
        <f t="shared" si="19"/>
        <v>-3.6126775362294195E-2</v>
      </c>
    </row>
    <row r="449" spans="1:144" x14ac:dyDescent="0.35">
      <c r="A449" t="s">
        <v>36</v>
      </c>
      <c r="E449">
        <v>2.4563720030873155E-2</v>
      </c>
      <c r="F449">
        <f t="shared" si="18"/>
        <v>-2.3917722740837439E-2</v>
      </c>
      <c r="G449">
        <f t="shared" si="19"/>
        <v>-3.6045476234481129E-2</v>
      </c>
    </row>
    <row r="450" spans="1:144" x14ac:dyDescent="0.35">
      <c r="A450" t="s">
        <v>36</v>
      </c>
      <c r="E450">
        <v>-2.32930099127945E-2</v>
      </c>
      <c r="F450">
        <f t="shared" si="18"/>
        <v>-2.3934136058786061E-2</v>
      </c>
      <c r="G450">
        <f t="shared" si="19"/>
        <v>-3.6045476234481129E-2</v>
      </c>
    </row>
    <row r="451" spans="1:144" x14ac:dyDescent="0.35">
      <c r="A451" t="s">
        <v>36</v>
      </c>
      <c r="E451">
        <v>3.4838017291963777E-3</v>
      </c>
      <c r="F451">
        <f t="shared" si="18"/>
        <v>-2.3950549376734669E-2</v>
      </c>
      <c r="G451">
        <f t="shared" si="19"/>
        <v>-3.6045476234481129E-2</v>
      </c>
    </row>
    <row r="452" spans="1:144" x14ac:dyDescent="0.35">
      <c r="A452" t="s">
        <v>36</v>
      </c>
      <c r="E452">
        <v>2.0026500476960484E-2</v>
      </c>
      <c r="F452">
        <f t="shared" ref="F452:F515" si="20">_xlfn.PERCENTILE.EXC(E452:E4267,0.05)</f>
        <v>-2.3966962694683288E-2</v>
      </c>
      <c r="G452">
        <f t="shared" ref="G452:G515" si="21">AVERAGEIFS(E452:E4268,E452:E4268,"&lt;=" &amp; F452)</f>
        <v>-3.6045476234481129E-2</v>
      </c>
    </row>
    <row r="453" spans="1:144" x14ac:dyDescent="0.35">
      <c r="A453" t="s">
        <v>36</v>
      </c>
      <c r="E453">
        <v>-3.8497703086287999E-2</v>
      </c>
      <c r="F453">
        <f t="shared" si="20"/>
        <v>-2.3983376012631896E-2</v>
      </c>
      <c r="G453">
        <f t="shared" si="21"/>
        <v>-3.6045476234481129E-2</v>
      </c>
    </row>
    <row r="454" spans="1:144" x14ac:dyDescent="0.35">
      <c r="A454" t="s">
        <v>36</v>
      </c>
      <c r="E454">
        <v>2.7592824934851174E-2</v>
      </c>
      <c r="F454">
        <f t="shared" si="20"/>
        <v>-2.3759928187179823E-2</v>
      </c>
      <c r="G454">
        <f t="shared" si="21"/>
        <v>-3.5957811352296677E-2</v>
      </c>
    </row>
    <row r="455" spans="1:144" x14ac:dyDescent="0.35">
      <c r="A455" t="s">
        <v>36</v>
      </c>
      <c r="E455">
        <v>7.1582691868720977E-3</v>
      </c>
      <c r="F455">
        <f t="shared" si="20"/>
        <v>-2.3761607302533169E-2</v>
      </c>
      <c r="G455">
        <f t="shared" si="21"/>
        <v>-3.5957811352296677E-2</v>
      </c>
    </row>
    <row r="456" spans="1:144" x14ac:dyDescent="0.35">
      <c r="A456" t="s">
        <v>36</v>
      </c>
      <c r="E456">
        <v>-1.0638401499479115E-2</v>
      </c>
      <c r="F456">
        <f t="shared" si="20"/>
        <v>-2.3763286417886519E-2</v>
      </c>
      <c r="G456">
        <f t="shared" si="21"/>
        <v>-3.5957811352296677E-2</v>
      </c>
    </row>
    <row r="457" spans="1:144" x14ac:dyDescent="0.35">
      <c r="A457" t="s">
        <v>36</v>
      </c>
      <c r="E457">
        <v>7.1143126096626205E-4</v>
      </c>
      <c r="F457">
        <f t="shared" si="20"/>
        <v>-2.3764965533239864E-2</v>
      </c>
      <c r="G457">
        <f t="shared" si="21"/>
        <v>-3.5957811352296677E-2</v>
      </c>
    </row>
    <row r="458" spans="1:144" x14ac:dyDescent="0.35">
      <c r="A458" t="s">
        <v>36</v>
      </c>
      <c r="E458">
        <v>5.3470252011400446E-2</v>
      </c>
      <c r="F458">
        <f t="shared" si="20"/>
        <v>-2.376664464859321E-2</v>
      </c>
      <c r="G458">
        <f t="shared" si="21"/>
        <v>-3.5957811352296677E-2</v>
      </c>
    </row>
    <row r="459" spans="1:144" x14ac:dyDescent="0.35">
      <c r="A459" t="s">
        <v>36</v>
      </c>
      <c r="E459">
        <v>-1.7920494997889762E-2</v>
      </c>
      <c r="F459">
        <f t="shared" si="20"/>
        <v>-2.376832376394656E-2</v>
      </c>
      <c r="G459">
        <f t="shared" si="21"/>
        <v>-3.5957811352296677E-2</v>
      </c>
    </row>
    <row r="460" spans="1:144" x14ac:dyDescent="0.35">
      <c r="A460" t="s">
        <v>36</v>
      </c>
      <c r="E460">
        <v>-3.8927173190491701E-2</v>
      </c>
      <c r="F460">
        <f t="shared" si="20"/>
        <v>-2.3770002879299906E-2</v>
      </c>
      <c r="G460">
        <f t="shared" si="21"/>
        <v>-3.5957811352296677E-2</v>
      </c>
    </row>
    <row r="461" spans="1:144" s="3" customFormat="1" x14ac:dyDescent="0.35">
      <c r="A461" s="3" t="s">
        <v>37</v>
      </c>
      <c r="B461" s="3" cm="1">
        <f t="array" ref="B461">_xlfn.STDEV.S(_xlfn._xlws.FILTER($E$2:$E$1000, $A$2:$A$1000="2011-11"))</f>
        <v>2.9436755079751818E-2</v>
      </c>
      <c r="C461" s="3" cm="1">
        <f t="array" ref="C461">AVERAGE(_xlfn._xlws.FILTER($E$2:$E$1000, $A$2:$A$1000="2011-11"))</f>
        <v>-2.1769941867303189E-3</v>
      </c>
      <c r="D461" s="3" cm="1">
        <f t="array" ref="D461">_xlfn.PERCENTILE.EXC(_xlfn._xlws.FILTER($E$253:$E$502, $A$253:$A$502="2011-11"), 0.05)</f>
        <v>-6.7165482230472445E-2</v>
      </c>
      <c r="E461" s="3">
        <v>-7.0441512576297827E-2</v>
      </c>
      <c r="F461" s="3">
        <f t="shared" si="20"/>
        <v>-2.3738099687586313E-2</v>
      </c>
      <c r="G461" s="3">
        <f t="shared" si="21"/>
        <v>-3.5940030742487132E-2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</row>
    <row r="462" spans="1:144" x14ac:dyDescent="0.35">
      <c r="A462" t="s">
        <v>37</v>
      </c>
      <c r="E462">
        <v>2.2852139492748998E-2</v>
      </c>
      <c r="F462">
        <f t="shared" si="20"/>
        <v>-2.3610859708672521E-2</v>
      </c>
      <c r="G462">
        <f t="shared" si="21"/>
        <v>-3.5660359532881949E-2</v>
      </c>
    </row>
    <row r="463" spans="1:144" x14ac:dyDescent="0.35">
      <c r="A463" t="s">
        <v>37</v>
      </c>
      <c r="E463">
        <v>3.1759010367954907E-2</v>
      </c>
      <c r="F463">
        <f t="shared" si="20"/>
        <v>-2.3617835312203656E-2</v>
      </c>
      <c r="G463">
        <f t="shared" si="21"/>
        <v>-3.5660359532881949E-2</v>
      </c>
    </row>
    <row r="464" spans="1:144" x14ac:dyDescent="0.35">
      <c r="A464" t="s">
        <v>37</v>
      </c>
      <c r="E464">
        <v>-2.6975177935340804E-2</v>
      </c>
      <c r="F464">
        <f t="shared" si="20"/>
        <v>-2.3624810915734793E-2</v>
      </c>
      <c r="G464">
        <f t="shared" si="21"/>
        <v>-3.5660359532881949E-2</v>
      </c>
    </row>
    <row r="465" spans="1:7" x14ac:dyDescent="0.35">
      <c r="A465" t="s">
        <v>37</v>
      </c>
      <c r="E465">
        <v>1.3101776027648771E-2</v>
      </c>
      <c r="F465">
        <f t="shared" si="20"/>
        <v>-2.3480722667795211E-2</v>
      </c>
      <c r="G465">
        <f t="shared" si="21"/>
        <v>-3.5640130374596138E-2</v>
      </c>
    </row>
    <row r="466" spans="1:7" x14ac:dyDescent="0.35">
      <c r="A466" t="s">
        <v>37</v>
      </c>
      <c r="E466">
        <v>7.3764471208605893E-3</v>
      </c>
      <c r="F466">
        <f t="shared" si="20"/>
        <v>-2.3488468390049547E-2</v>
      </c>
      <c r="G466">
        <f t="shared" si="21"/>
        <v>-3.5640130374596138E-2</v>
      </c>
    </row>
    <row r="467" spans="1:7" x14ac:dyDescent="0.35">
      <c r="A467" t="s">
        <v>37</v>
      </c>
      <c r="E467">
        <v>-3.8545458587396768E-2</v>
      </c>
      <c r="F467">
        <f t="shared" si="20"/>
        <v>-2.3496214112303883E-2</v>
      </c>
      <c r="G467">
        <f t="shared" si="21"/>
        <v>-3.5640130374596138E-2</v>
      </c>
    </row>
    <row r="468" spans="1:7" x14ac:dyDescent="0.35">
      <c r="A468" t="s">
        <v>37</v>
      </c>
      <c r="E468">
        <v>9.6778218355719897E-3</v>
      </c>
      <c r="F468">
        <f t="shared" si="20"/>
        <v>-2.3424182784304425E-2</v>
      </c>
      <c r="G468">
        <f t="shared" si="21"/>
        <v>-3.5549690467225635E-2</v>
      </c>
    </row>
    <row r="469" spans="1:7" x14ac:dyDescent="0.35">
      <c r="A469" t="s">
        <v>37</v>
      </c>
      <c r="E469">
        <v>3.6169156234279784E-2</v>
      </c>
      <c r="F469">
        <f t="shared" si="20"/>
        <v>-2.3425667056989351E-2</v>
      </c>
      <c r="G469">
        <f t="shared" si="21"/>
        <v>-3.5549690467225635E-2</v>
      </c>
    </row>
    <row r="470" spans="1:7" x14ac:dyDescent="0.35">
      <c r="A470" t="s">
        <v>37</v>
      </c>
      <c r="E470">
        <v>-2.0126594375058853E-2</v>
      </c>
      <c r="F470">
        <f t="shared" si="20"/>
        <v>-2.3427151329674278E-2</v>
      </c>
      <c r="G470">
        <f t="shared" si="21"/>
        <v>-3.5549690467225635E-2</v>
      </c>
    </row>
    <row r="471" spans="1:7" x14ac:dyDescent="0.35">
      <c r="A471" t="s">
        <v>37</v>
      </c>
      <c r="E471">
        <v>-1.0847887978393764E-2</v>
      </c>
      <c r="F471">
        <f t="shared" si="20"/>
        <v>-2.3428635602359204E-2</v>
      </c>
      <c r="G471">
        <f t="shared" si="21"/>
        <v>-3.5549690467225635E-2</v>
      </c>
    </row>
    <row r="472" spans="1:7" x14ac:dyDescent="0.35">
      <c r="A472" t="s">
        <v>37</v>
      </c>
      <c r="E472">
        <v>7.9175327658413067E-3</v>
      </c>
      <c r="F472">
        <f t="shared" si="20"/>
        <v>-2.343011987504413E-2</v>
      </c>
      <c r="G472">
        <f t="shared" si="21"/>
        <v>-3.5549690467225635E-2</v>
      </c>
    </row>
    <row r="473" spans="1:7" x14ac:dyDescent="0.35">
      <c r="A473" t="s">
        <v>37</v>
      </c>
      <c r="E473">
        <v>-1.4429248654604153E-2</v>
      </c>
      <c r="F473">
        <f t="shared" si="20"/>
        <v>-2.3431604147729053E-2</v>
      </c>
      <c r="G473">
        <f t="shared" si="21"/>
        <v>-3.5549690467225635E-2</v>
      </c>
    </row>
    <row r="474" spans="1:7" x14ac:dyDescent="0.35">
      <c r="A474" t="s">
        <v>37</v>
      </c>
      <c r="E474">
        <v>2.2510046188048195E-3</v>
      </c>
      <c r="F474">
        <f t="shared" si="20"/>
        <v>-2.3433088420413979E-2</v>
      </c>
      <c r="G474">
        <f t="shared" si="21"/>
        <v>-3.5549690467225635E-2</v>
      </c>
    </row>
    <row r="475" spans="1:7" x14ac:dyDescent="0.35">
      <c r="A475" t="s">
        <v>37</v>
      </c>
      <c r="E475">
        <v>-4.860131027079527E-2</v>
      </c>
      <c r="F475">
        <f t="shared" si="20"/>
        <v>-2.3434572693098905E-2</v>
      </c>
      <c r="G475">
        <f t="shared" si="21"/>
        <v>-3.5549690467225635E-2</v>
      </c>
    </row>
    <row r="476" spans="1:7" x14ac:dyDescent="0.35">
      <c r="A476" t="s">
        <v>37</v>
      </c>
      <c r="E476">
        <v>-1.5549695168328563E-2</v>
      </c>
      <c r="F476">
        <f t="shared" si="20"/>
        <v>-2.3407531386588163E-2</v>
      </c>
      <c r="G476">
        <f t="shared" si="21"/>
        <v>-3.5398858121908447E-2</v>
      </c>
    </row>
    <row r="477" spans="1:7" x14ac:dyDescent="0.35">
      <c r="A477" t="s">
        <v>37</v>
      </c>
      <c r="E477">
        <v>-2.6260788615790492E-2</v>
      </c>
      <c r="F477">
        <f t="shared" si="20"/>
        <v>-2.3408725690647378E-2</v>
      </c>
      <c r="G477">
        <f t="shared" si="21"/>
        <v>-3.5398858121908447E-2</v>
      </c>
    </row>
    <row r="478" spans="1:7" x14ac:dyDescent="0.35">
      <c r="A478" t="s">
        <v>37</v>
      </c>
      <c r="E478">
        <v>3.4487268073647378E-4</v>
      </c>
      <c r="F478">
        <f t="shared" si="20"/>
        <v>-2.338374539795007E-2</v>
      </c>
      <c r="G478">
        <f t="shared" si="21"/>
        <v>-3.5381658324937497E-2</v>
      </c>
    </row>
    <row r="479" spans="1:7" x14ac:dyDescent="0.35">
      <c r="A479" t="s">
        <v>37</v>
      </c>
      <c r="E479">
        <v>1.2075536017966194E-3</v>
      </c>
      <c r="F479">
        <f t="shared" si="20"/>
        <v>-2.3386083959795398E-2</v>
      </c>
      <c r="G479">
        <f t="shared" si="21"/>
        <v>-3.5381658324937497E-2</v>
      </c>
    </row>
    <row r="480" spans="1:7" x14ac:dyDescent="0.35">
      <c r="A480" t="s">
        <v>37</v>
      </c>
      <c r="E480">
        <v>4.4953445727375412E-2</v>
      </c>
      <c r="F480">
        <f t="shared" si="20"/>
        <v>-2.3388422521640726E-2</v>
      </c>
      <c r="G480">
        <f t="shared" si="21"/>
        <v>-3.5381658324937497E-2</v>
      </c>
    </row>
    <row r="481" spans="1:144" x14ac:dyDescent="0.35">
      <c r="A481" t="s">
        <v>37</v>
      </c>
      <c r="E481">
        <v>3.3651112369999987E-3</v>
      </c>
      <c r="F481">
        <f t="shared" si="20"/>
        <v>-2.3389616825699941E-2</v>
      </c>
      <c r="G481">
        <f t="shared" si="21"/>
        <v>-3.5453906733391091E-2</v>
      </c>
    </row>
    <row r="482" spans="1:144" x14ac:dyDescent="0.35">
      <c r="A482" t="s">
        <v>37</v>
      </c>
      <c r="E482">
        <v>4.2907930343319828E-2</v>
      </c>
      <c r="F482">
        <f t="shared" si="20"/>
        <v>-2.3390811129759156E-2</v>
      </c>
      <c r="G482">
        <f t="shared" si="21"/>
        <v>-3.5453906733391091E-2</v>
      </c>
    </row>
    <row r="483" spans="1:144" s="3" customFormat="1" x14ac:dyDescent="0.35">
      <c r="A483" s="3" t="s">
        <v>38</v>
      </c>
      <c r="B483" s="3" cm="1">
        <f t="array" ref="B483">_xlfn.STDEV.S(_xlfn._xlws.FILTER($E$2:$E$1000, $A$2:$A$1000="2011-12"))</f>
        <v>2.1063090316034649E-2</v>
      </c>
      <c r="C483" s="3" cm="1">
        <f t="array" ref="C483">AVERAGE(_xlfn._xlws.FILTER($E$2:$E$1000, $A$2:$A$1000="2011-12"))</f>
        <v>-5.8936594683459392E-4</v>
      </c>
      <c r="D483" s="3" cm="1">
        <f t="array" ref="D483">_xlfn.PERCENTILE.EXC(_xlfn._xlws.FILTER($E$253:$E$502, $A$253:$A$502="2011-12"), 0.05)</f>
        <v>-4.361560914149995E-2</v>
      </c>
      <c r="E483" s="3">
        <v>-1.5757076901588263E-3</v>
      </c>
      <c r="F483" s="3">
        <f t="shared" si="20"/>
        <v>-2.3392005433818371E-2</v>
      </c>
      <c r="G483" s="3">
        <f t="shared" si="21"/>
        <v>-3.5453906733391091E-2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</row>
    <row r="484" spans="1:144" x14ac:dyDescent="0.35">
      <c r="A484" t="s">
        <v>38</v>
      </c>
      <c r="E484">
        <v>1.5069598353305205E-2</v>
      </c>
      <c r="F484">
        <f t="shared" si="20"/>
        <v>-2.3393199737877585E-2</v>
      </c>
      <c r="G484">
        <f t="shared" si="21"/>
        <v>-3.5453906733391091E-2</v>
      </c>
    </row>
    <row r="485" spans="1:144" x14ac:dyDescent="0.35">
      <c r="A485" t="s">
        <v>38</v>
      </c>
      <c r="E485">
        <v>2.8686252612894793E-2</v>
      </c>
      <c r="F485">
        <f t="shared" si="20"/>
        <v>-2.33943940419368E-2</v>
      </c>
      <c r="G485">
        <f t="shared" si="21"/>
        <v>-3.5453906733391091E-2</v>
      </c>
    </row>
    <row r="486" spans="1:144" x14ac:dyDescent="0.35">
      <c r="A486" t="s">
        <v>38</v>
      </c>
      <c r="E486">
        <v>-4.9259446985920547E-3</v>
      </c>
      <c r="F486">
        <f t="shared" si="20"/>
        <v>-2.3395588345996015E-2</v>
      </c>
      <c r="G486">
        <f t="shared" si="21"/>
        <v>-3.5453906733391091E-2</v>
      </c>
    </row>
    <row r="487" spans="1:144" x14ac:dyDescent="0.35">
      <c r="A487" t="s">
        <v>38</v>
      </c>
      <c r="E487">
        <v>-1.2526220051150351E-2</v>
      </c>
      <c r="F487">
        <f t="shared" si="20"/>
        <v>-2.339678265005523E-2</v>
      </c>
      <c r="G487">
        <f t="shared" si="21"/>
        <v>-3.5453906733391091E-2</v>
      </c>
    </row>
    <row r="488" spans="1:144" x14ac:dyDescent="0.35">
      <c r="A488" t="s">
        <v>38</v>
      </c>
      <c r="E488">
        <v>-4.3876446755877395E-2</v>
      </c>
      <c r="F488">
        <f t="shared" si="20"/>
        <v>-2.3397976954114445E-2</v>
      </c>
      <c r="G488">
        <f t="shared" si="21"/>
        <v>-3.5453906733391091E-2</v>
      </c>
    </row>
    <row r="489" spans="1:144" x14ac:dyDescent="0.35">
      <c r="A489" t="s">
        <v>38</v>
      </c>
      <c r="E489">
        <v>3.3147526862124514E-2</v>
      </c>
      <c r="F489">
        <f t="shared" si="20"/>
        <v>-2.3362698341342122E-2</v>
      </c>
      <c r="G489">
        <f t="shared" si="21"/>
        <v>-3.5330484900654727E-2</v>
      </c>
    </row>
    <row r="490" spans="1:144" x14ac:dyDescent="0.35">
      <c r="A490" t="s">
        <v>38</v>
      </c>
      <c r="E490">
        <v>-3.8659694468328565E-2</v>
      </c>
      <c r="F490">
        <f t="shared" si="20"/>
        <v>-2.3365036903187451E-2</v>
      </c>
      <c r="G490">
        <f t="shared" si="21"/>
        <v>-3.5330484900654727E-2</v>
      </c>
    </row>
    <row r="491" spans="1:144" x14ac:dyDescent="0.35">
      <c r="A491" t="s">
        <v>38</v>
      </c>
      <c r="E491">
        <v>-3.0576889882576509E-3</v>
      </c>
      <c r="F491">
        <f t="shared" si="20"/>
        <v>-2.3304730569247215E-2</v>
      </c>
      <c r="G491">
        <f t="shared" si="21"/>
        <v>-3.5238207532078847E-2</v>
      </c>
    </row>
    <row r="492" spans="1:144" x14ac:dyDescent="0.35">
      <c r="A492" t="s">
        <v>38</v>
      </c>
      <c r="E492">
        <v>-2.877327800415504E-2</v>
      </c>
      <c r="F492">
        <f t="shared" si="20"/>
        <v>-2.330883287096799E-2</v>
      </c>
      <c r="G492">
        <f t="shared" si="21"/>
        <v>-3.5238207532078847E-2</v>
      </c>
    </row>
    <row r="493" spans="1:144" x14ac:dyDescent="0.35">
      <c r="A493" t="s">
        <v>38</v>
      </c>
      <c r="E493">
        <v>1.3605549042299672E-2</v>
      </c>
      <c r="F493">
        <f t="shared" si="20"/>
        <v>-2.3238342878104067E-2</v>
      </c>
      <c r="G493">
        <f t="shared" si="21"/>
        <v>-3.5204992635971405E-2</v>
      </c>
    </row>
    <row r="494" spans="1:144" x14ac:dyDescent="0.35">
      <c r="A494" t="s">
        <v>38</v>
      </c>
      <c r="E494">
        <v>-3.7993313489936963E-3</v>
      </c>
      <c r="F494">
        <f t="shared" si="20"/>
        <v>-2.3241380359849018E-2</v>
      </c>
      <c r="G494">
        <f t="shared" si="21"/>
        <v>-3.5204992635971405E-2</v>
      </c>
    </row>
    <row r="495" spans="1:144" x14ac:dyDescent="0.35">
      <c r="A495" t="s">
        <v>38</v>
      </c>
      <c r="E495">
        <v>-1.6497018550945674E-3</v>
      </c>
      <c r="F495">
        <f t="shared" si="20"/>
        <v>-2.3244417841593968E-2</v>
      </c>
      <c r="G495">
        <f t="shared" si="21"/>
        <v>-3.5204992635971405E-2</v>
      </c>
    </row>
    <row r="496" spans="1:144" x14ac:dyDescent="0.35">
      <c r="A496" t="s">
        <v>38</v>
      </c>
      <c r="E496">
        <v>2.8258894673395454E-2</v>
      </c>
      <c r="F496">
        <f t="shared" si="20"/>
        <v>-2.3247455323338915E-2</v>
      </c>
      <c r="G496">
        <f t="shared" si="21"/>
        <v>-3.5204992635971405E-2</v>
      </c>
    </row>
    <row r="497" spans="1:144" x14ac:dyDescent="0.35">
      <c r="A497" t="s">
        <v>38</v>
      </c>
      <c r="E497">
        <v>-9.7579961681484601E-3</v>
      </c>
      <c r="F497">
        <f t="shared" si="20"/>
        <v>-2.3250492805083865E-2</v>
      </c>
      <c r="G497">
        <f t="shared" si="21"/>
        <v>-3.5204992635971405E-2</v>
      </c>
    </row>
    <row r="498" spans="1:144" x14ac:dyDescent="0.35">
      <c r="A498" t="s">
        <v>38</v>
      </c>
      <c r="E498">
        <v>1.3909690113459371E-2</v>
      </c>
      <c r="F498">
        <f t="shared" si="20"/>
        <v>-2.3253530286828812E-2</v>
      </c>
      <c r="G498">
        <f t="shared" si="21"/>
        <v>-3.5204992635971405E-2</v>
      </c>
    </row>
    <row r="499" spans="1:144" x14ac:dyDescent="0.35">
      <c r="A499" t="s">
        <v>38</v>
      </c>
      <c r="E499">
        <v>3.0928787840120557E-3</v>
      </c>
      <c r="F499">
        <f t="shared" si="20"/>
        <v>-2.3256567768573762E-2</v>
      </c>
      <c r="G499">
        <f t="shared" si="21"/>
        <v>-3.5204992635971405E-2</v>
      </c>
    </row>
    <row r="500" spans="1:144" x14ac:dyDescent="0.35">
      <c r="A500" t="s">
        <v>38</v>
      </c>
      <c r="E500">
        <v>-1.8576696539091619E-2</v>
      </c>
      <c r="F500">
        <f t="shared" si="20"/>
        <v>-2.3259605250318713E-2</v>
      </c>
      <c r="G500">
        <f t="shared" si="21"/>
        <v>-3.5204992635971405E-2</v>
      </c>
    </row>
    <row r="501" spans="1:144" x14ac:dyDescent="0.35">
      <c r="A501" t="s">
        <v>38</v>
      </c>
      <c r="E501">
        <v>7.5394868788418255E-3</v>
      </c>
      <c r="F501">
        <f t="shared" si="20"/>
        <v>-2.3263707552039485E-2</v>
      </c>
      <c r="G501">
        <f t="shared" si="21"/>
        <v>-3.5277388923157169E-2</v>
      </c>
    </row>
    <row r="502" spans="1:144" x14ac:dyDescent="0.35">
      <c r="A502" t="s">
        <v>38</v>
      </c>
      <c r="E502">
        <v>1.2081510310823471E-2</v>
      </c>
      <c r="F502">
        <f t="shared" si="20"/>
        <v>-2.3267809853760257E-2</v>
      </c>
      <c r="G502">
        <f t="shared" si="21"/>
        <v>-3.5277388923157169E-2</v>
      </c>
    </row>
    <row r="503" spans="1:144" s="3" customFormat="1" x14ac:dyDescent="0.35">
      <c r="A503" s="3" t="s">
        <v>39</v>
      </c>
      <c r="B503" s="3" cm="1">
        <f t="array" ref="B503">_xlfn.STDEV.S(_xlfn._xlws.FILTER($E$2:$E$1000, $A$2:$A$1000="2012-01"))</f>
        <v>1.8156488644119492E-2</v>
      </c>
      <c r="C503" s="3" cm="1">
        <f t="array" ref="C503">AVERAGE(_xlfn._xlws.FILTER($E$2:$E$1000, $A$2:$A$1000="2012-01"))</f>
        <v>2.2746971332993646E-3</v>
      </c>
      <c r="D503" s="3" cm="1">
        <f t="array" ref="D503">_xlfn.PERCENTILE.EXC(_xlfn._xlws.FILTER($E$503:$E$750, $A$503:$A$750="2012-01"), 0.05)</f>
        <v>-3.5544192624611184E-2</v>
      </c>
      <c r="E503" s="3">
        <v>3.6172127985985521E-2</v>
      </c>
      <c r="F503" s="3">
        <f t="shared" si="20"/>
        <v>-2.327191215548103E-2</v>
      </c>
      <c r="G503" s="3">
        <f t="shared" si="21"/>
        <v>-3.5277388923157169E-2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</row>
    <row r="504" spans="1:144" x14ac:dyDescent="0.35">
      <c r="A504" t="s">
        <v>39</v>
      </c>
      <c r="E504">
        <v>-2.0569234318637469E-2</v>
      </c>
      <c r="F504">
        <f t="shared" si="20"/>
        <v>-2.3276014457201805E-2</v>
      </c>
      <c r="G504">
        <f t="shared" si="21"/>
        <v>-3.5277388923157169E-2</v>
      </c>
    </row>
    <row r="505" spans="1:144" x14ac:dyDescent="0.35">
      <c r="A505" t="s">
        <v>39</v>
      </c>
      <c r="E505">
        <v>-3.7208076880830485E-2</v>
      </c>
      <c r="F505">
        <f t="shared" si="20"/>
        <v>-2.3280116758922578E-2</v>
      </c>
      <c r="G505">
        <f t="shared" si="21"/>
        <v>-3.5277388923157169E-2</v>
      </c>
    </row>
    <row r="506" spans="1:144" x14ac:dyDescent="0.35">
      <c r="A506" t="s">
        <v>39</v>
      </c>
      <c r="E506">
        <v>-8.2671792175706329E-3</v>
      </c>
      <c r="F506">
        <f t="shared" si="20"/>
        <v>-2.3217080505889425E-2</v>
      </c>
      <c r="G506">
        <f t="shared" si="21"/>
        <v>-3.51928527314571E-2</v>
      </c>
    </row>
    <row r="507" spans="1:144" x14ac:dyDescent="0.35">
      <c r="A507" t="s">
        <v>39</v>
      </c>
      <c r="E507">
        <v>-1.6806840568461327E-2</v>
      </c>
      <c r="F507">
        <f t="shared" si="20"/>
        <v>-2.3220117987634376E-2</v>
      </c>
      <c r="G507">
        <f t="shared" si="21"/>
        <v>-3.51928527314571E-2</v>
      </c>
    </row>
    <row r="508" spans="1:144" x14ac:dyDescent="0.35">
      <c r="A508" t="s">
        <v>39</v>
      </c>
      <c r="E508">
        <v>3.0314469533425807E-2</v>
      </c>
      <c r="F508">
        <f t="shared" si="20"/>
        <v>-2.3223155469379322E-2</v>
      </c>
      <c r="G508">
        <f t="shared" si="21"/>
        <v>-3.51928527314571E-2</v>
      </c>
    </row>
    <row r="509" spans="1:144" x14ac:dyDescent="0.35">
      <c r="A509" t="s">
        <v>39</v>
      </c>
      <c r="E509">
        <v>2.5316852449456173E-3</v>
      </c>
      <c r="F509">
        <f t="shared" si="20"/>
        <v>-2.3226192951124273E-2</v>
      </c>
      <c r="G509">
        <f t="shared" si="21"/>
        <v>-3.51928527314571E-2</v>
      </c>
    </row>
    <row r="510" spans="1:144" x14ac:dyDescent="0.35">
      <c r="A510" t="s">
        <v>39</v>
      </c>
      <c r="E510">
        <v>2.0638978754597005E-2</v>
      </c>
      <c r="F510">
        <f t="shared" si="20"/>
        <v>-2.3229230432869223E-2</v>
      </c>
      <c r="G510">
        <f t="shared" si="21"/>
        <v>-3.51928527314571E-2</v>
      </c>
    </row>
    <row r="511" spans="1:144" x14ac:dyDescent="0.35">
      <c r="A511" t="s">
        <v>39</v>
      </c>
      <c r="E511">
        <v>-1.203171194787305E-2</v>
      </c>
      <c r="F511">
        <f t="shared" si="20"/>
        <v>-2.323226791461417E-2</v>
      </c>
      <c r="G511">
        <f t="shared" si="21"/>
        <v>-3.51928527314571E-2</v>
      </c>
    </row>
    <row r="512" spans="1:144" x14ac:dyDescent="0.35">
      <c r="A512" t="s">
        <v>39</v>
      </c>
      <c r="E512">
        <v>1.3885478059261941E-2</v>
      </c>
      <c r="F512">
        <f t="shared" si="20"/>
        <v>-2.323530539635912E-2</v>
      </c>
      <c r="G512">
        <f t="shared" si="21"/>
        <v>-3.51928527314571E-2</v>
      </c>
    </row>
    <row r="513" spans="1:144" x14ac:dyDescent="0.35">
      <c r="A513" t="s">
        <v>39</v>
      </c>
      <c r="E513">
        <v>6.8746882528661095E-3</v>
      </c>
      <c r="F513">
        <f t="shared" si="20"/>
        <v>-2.3238342878104067E-2</v>
      </c>
      <c r="G513">
        <f t="shared" si="21"/>
        <v>-3.51928527314571E-2</v>
      </c>
    </row>
    <row r="514" spans="1:144" x14ac:dyDescent="0.35">
      <c r="A514" t="s">
        <v>39</v>
      </c>
      <c r="E514">
        <v>-3.1355424562499834E-3</v>
      </c>
      <c r="F514">
        <f t="shared" si="20"/>
        <v>-2.3241380359849018E-2</v>
      </c>
      <c r="G514">
        <f t="shared" si="21"/>
        <v>-3.51928527314571E-2</v>
      </c>
    </row>
    <row r="515" spans="1:144" x14ac:dyDescent="0.35">
      <c r="A515" t="s">
        <v>39</v>
      </c>
      <c r="E515">
        <v>2.4184180332806202E-2</v>
      </c>
      <c r="F515">
        <f t="shared" si="20"/>
        <v>-2.3244417841593968E-2</v>
      </c>
      <c r="G515">
        <f t="shared" si="21"/>
        <v>-3.51928527314571E-2</v>
      </c>
    </row>
    <row r="516" spans="1:144" x14ac:dyDescent="0.35">
      <c r="A516" t="s">
        <v>39</v>
      </c>
      <c r="E516">
        <v>-1.2741318784630982E-3</v>
      </c>
      <c r="F516">
        <f t="shared" ref="F516:F579" si="22">_xlfn.PERCENTILE.EXC(E516:E4331,0.05)</f>
        <v>-2.3247455323338915E-2</v>
      </c>
      <c r="G516">
        <f t="shared" ref="G516:G579" si="23">AVERAGEIFS(E516:E4332,E516:E4332,"&lt;=" &amp; F516)</f>
        <v>-3.51928527314571E-2</v>
      </c>
    </row>
    <row r="517" spans="1:144" x14ac:dyDescent="0.35">
      <c r="A517" t="s">
        <v>39</v>
      </c>
      <c r="E517">
        <v>1.7468019819092729E-2</v>
      </c>
      <c r="F517">
        <f t="shared" si="22"/>
        <v>-2.3250492805083865E-2</v>
      </c>
      <c r="G517">
        <f t="shared" si="23"/>
        <v>-3.51928527314571E-2</v>
      </c>
    </row>
    <row r="518" spans="1:144" x14ac:dyDescent="0.35">
      <c r="A518" t="s">
        <v>39</v>
      </c>
      <c r="E518">
        <v>1.3650884417249771E-3</v>
      </c>
      <c r="F518">
        <f t="shared" si="22"/>
        <v>-2.3253530286828812E-2</v>
      </c>
      <c r="G518">
        <f t="shared" si="23"/>
        <v>-3.51928527314571E-2</v>
      </c>
    </row>
    <row r="519" spans="1:144" x14ac:dyDescent="0.35">
      <c r="A519" t="s">
        <v>39</v>
      </c>
      <c r="E519">
        <v>-5.6035040476804946E-3</v>
      </c>
      <c r="F519">
        <f t="shared" si="22"/>
        <v>-2.3256567768573762E-2</v>
      </c>
      <c r="G519">
        <f t="shared" si="23"/>
        <v>-3.51928527314571E-2</v>
      </c>
    </row>
    <row r="520" spans="1:144" x14ac:dyDescent="0.35">
      <c r="A520" t="s">
        <v>39</v>
      </c>
      <c r="E520">
        <v>1.6951213494862605E-2</v>
      </c>
      <c r="F520">
        <f t="shared" si="22"/>
        <v>-2.3259605250318713E-2</v>
      </c>
      <c r="G520">
        <f t="shared" si="23"/>
        <v>-3.51928527314571E-2</v>
      </c>
    </row>
    <row r="521" spans="1:144" x14ac:dyDescent="0.35">
      <c r="A521" t="s">
        <v>39</v>
      </c>
      <c r="E521">
        <v>-1.0242179552414929E-2</v>
      </c>
      <c r="F521">
        <f t="shared" si="22"/>
        <v>-2.3263707552039485E-2</v>
      </c>
      <c r="G521">
        <f t="shared" si="23"/>
        <v>-3.5265616435610381E-2</v>
      </c>
    </row>
    <row r="522" spans="1:144" x14ac:dyDescent="0.35">
      <c r="A522" t="s">
        <v>39</v>
      </c>
      <c r="E522">
        <v>-1.2222861248665229E-2</v>
      </c>
      <c r="F522">
        <f t="shared" si="22"/>
        <v>-2.3267809853760257E-2</v>
      </c>
      <c r="G522">
        <f t="shared" si="23"/>
        <v>-3.5265616435610381E-2</v>
      </c>
    </row>
    <row r="523" spans="1:144" x14ac:dyDescent="0.35">
      <c r="A523" t="s">
        <v>39</v>
      </c>
      <c r="E523">
        <v>4.7439719965648346E-3</v>
      </c>
      <c r="F523">
        <f t="shared" si="22"/>
        <v>-2.327191215548103E-2</v>
      </c>
      <c r="G523">
        <f t="shared" si="23"/>
        <v>-3.5265616435610381E-2</v>
      </c>
    </row>
    <row r="524" spans="1:144" s="3" customFormat="1" x14ac:dyDescent="0.35">
      <c r="A524" s="3" t="s">
        <v>40</v>
      </c>
      <c r="B524" s="3" cm="1">
        <f t="array" ref="B524">_xlfn.STDEV.S(_xlfn._xlws.FILTER($E$2:$E$1000, $A$2:$A$1000="2012-02"))</f>
        <v>1.0389117653279612E-2</v>
      </c>
      <c r="C524" s="3" cm="1">
        <f t="array" ref="C524">AVERAGE(_xlfn._xlws.FILTER($E$2:$E$1000, $A$2:$A$1000="2012-02"))</f>
        <v>1.5490690323832629E-3</v>
      </c>
      <c r="D524" s="3" cm="1">
        <f t="array" ref="D524">_xlfn.PERCENTILE.EXC(_xlfn._xlws.FILTER($E$503:$E$750, $A$503:$A$750="2012-02"), 0.05)</f>
        <v>-1.7456288485643227E-2</v>
      </c>
      <c r="E524" s="3">
        <v>2.7204210296450919E-2</v>
      </c>
      <c r="F524" s="3">
        <f t="shared" si="22"/>
        <v>-2.3276014457201805E-2</v>
      </c>
      <c r="G524" s="3">
        <f t="shared" si="23"/>
        <v>-3.5265616435610381E-2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</row>
    <row r="525" spans="1:144" x14ac:dyDescent="0.35">
      <c r="A525" t="s">
        <v>40</v>
      </c>
      <c r="E525">
        <v>7.344569727885295E-4</v>
      </c>
      <c r="F525">
        <f t="shared" si="22"/>
        <v>-2.3280116758922578E-2</v>
      </c>
      <c r="G525">
        <f t="shared" si="23"/>
        <v>-3.5265616435610381E-2</v>
      </c>
    </row>
    <row r="526" spans="1:144" x14ac:dyDescent="0.35">
      <c r="A526" t="s">
        <v>40</v>
      </c>
      <c r="E526">
        <v>9.9719252594268788E-3</v>
      </c>
      <c r="F526">
        <f t="shared" si="22"/>
        <v>-2.328421906064335E-2</v>
      </c>
      <c r="G526">
        <f t="shared" si="23"/>
        <v>-3.5265616435610381E-2</v>
      </c>
    </row>
    <row r="527" spans="1:144" x14ac:dyDescent="0.35">
      <c r="A527" t="s">
        <v>40</v>
      </c>
      <c r="E527">
        <v>-3.0338646165137947E-3</v>
      </c>
      <c r="F527">
        <f t="shared" si="22"/>
        <v>-2.3288321362364126E-2</v>
      </c>
      <c r="G527">
        <f t="shared" si="23"/>
        <v>-3.5265616435610381E-2</v>
      </c>
    </row>
    <row r="528" spans="1:144" x14ac:dyDescent="0.35">
      <c r="A528" t="s">
        <v>40</v>
      </c>
      <c r="E528">
        <v>6.1974200176114248E-3</v>
      </c>
      <c r="F528">
        <f t="shared" si="22"/>
        <v>-2.3292423664084894E-2</v>
      </c>
      <c r="G528">
        <f t="shared" si="23"/>
        <v>-3.5265616435610381E-2</v>
      </c>
    </row>
    <row r="529" spans="1:7" x14ac:dyDescent="0.35">
      <c r="A529" t="s">
        <v>40</v>
      </c>
      <c r="E529">
        <v>1.0706074619355556E-2</v>
      </c>
      <c r="F529">
        <f t="shared" si="22"/>
        <v>-2.329652596580567E-2</v>
      </c>
      <c r="G529">
        <f t="shared" si="23"/>
        <v>-3.5265616435610381E-2</v>
      </c>
    </row>
    <row r="530" spans="1:7" x14ac:dyDescent="0.35">
      <c r="A530" t="s">
        <v>40</v>
      </c>
      <c r="E530">
        <v>-9.2368502248271213E-4</v>
      </c>
      <c r="F530">
        <f t="shared" si="22"/>
        <v>-2.3300628267526442E-2</v>
      </c>
      <c r="G530">
        <f t="shared" si="23"/>
        <v>-3.5265616435610381E-2</v>
      </c>
    </row>
    <row r="531" spans="1:7" x14ac:dyDescent="0.35">
      <c r="A531" t="s">
        <v>40</v>
      </c>
      <c r="E531">
        <v>-1.7737321167346189E-2</v>
      </c>
      <c r="F531">
        <f t="shared" si="22"/>
        <v>-2.3304730569247215E-2</v>
      </c>
      <c r="G531">
        <f t="shared" si="23"/>
        <v>-3.5265616435610381E-2</v>
      </c>
    </row>
    <row r="532" spans="1:7" x14ac:dyDescent="0.35">
      <c r="A532" t="s">
        <v>40</v>
      </c>
      <c r="E532">
        <v>5.0350868394110596E-4</v>
      </c>
      <c r="F532">
        <f t="shared" si="22"/>
        <v>-2.330883287096799E-2</v>
      </c>
      <c r="G532">
        <f t="shared" si="23"/>
        <v>-3.5265616435610381E-2</v>
      </c>
    </row>
    <row r="533" spans="1:7" x14ac:dyDescent="0.35">
      <c r="A533" t="s">
        <v>40</v>
      </c>
      <c r="E533">
        <v>4.6704065581944353E-3</v>
      </c>
      <c r="F533">
        <f t="shared" si="22"/>
        <v>-2.3312935172688763E-2</v>
      </c>
      <c r="G533">
        <f t="shared" si="23"/>
        <v>-3.5265616435610381E-2</v>
      </c>
    </row>
    <row r="534" spans="1:7" x14ac:dyDescent="0.35">
      <c r="A534" t="s">
        <v>40</v>
      </c>
      <c r="E534">
        <v>4.0838525746395805E-3</v>
      </c>
      <c r="F534">
        <f t="shared" si="22"/>
        <v>-2.3317037474409535E-2</v>
      </c>
      <c r="G534">
        <f t="shared" si="23"/>
        <v>-3.5265616435610381E-2</v>
      </c>
    </row>
    <row r="535" spans="1:7" x14ac:dyDescent="0.35">
      <c r="A535" t="s">
        <v>40</v>
      </c>
      <c r="E535">
        <v>-8.731045186382692E-3</v>
      </c>
      <c r="F535">
        <f t="shared" si="22"/>
        <v>-2.332113977613031E-2</v>
      </c>
      <c r="G535">
        <f t="shared" si="23"/>
        <v>-3.5265616435610381E-2</v>
      </c>
    </row>
    <row r="536" spans="1:7" x14ac:dyDescent="0.35">
      <c r="A536" t="s">
        <v>40</v>
      </c>
      <c r="E536">
        <v>1.0787886084754996E-2</v>
      </c>
      <c r="F536">
        <f t="shared" si="22"/>
        <v>-2.3325242077851083E-2</v>
      </c>
      <c r="G536">
        <f t="shared" si="23"/>
        <v>-3.5265616435610381E-2</v>
      </c>
    </row>
    <row r="537" spans="1:7" x14ac:dyDescent="0.35">
      <c r="A537" t="s">
        <v>40</v>
      </c>
      <c r="E537">
        <v>1.064046060403033E-2</v>
      </c>
      <c r="F537">
        <f t="shared" si="22"/>
        <v>-2.3329344379571855E-2</v>
      </c>
      <c r="G537">
        <f t="shared" si="23"/>
        <v>-3.5265616435610381E-2</v>
      </c>
    </row>
    <row r="538" spans="1:7" x14ac:dyDescent="0.35">
      <c r="A538" t="s">
        <v>40</v>
      </c>
      <c r="E538">
        <v>-7.9916068458868493E-4</v>
      </c>
      <c r="F538">
        <f t="shared" si="22"/>
        <v>-2.3333446681292627E-2</v>
      </c>
      <c r="G538">
        <f t="shared" si="23"/>
        <v>-3.5265616435610381E-2</v>
      </c>
    </row>
    <row r="539" spans="1:7" x14ac:dyDescent="0.35">
      <c r="A539" t="s">
        <v>40</v>
      </c>
      <c r="E539">
        <v>-9.2123886492057327E-3</v>
      </c>
      <c r="F539">
        <f t="shared" si="22"/>
        <v>-2.3337548983013399E-2</v>
      </c>
      <c r="G539">
        <f t="shared" si="23"/>
        <v>-3.5265616435610381E-2</v>
      </c>
    </row>
    <row r="540" spans="1:7" x14ac:dyDescent="0.35">
      <c r="A540" t="s">
        <v>40</v>
      </c>
      <c r="E540">
        <v>-1.4926994350316572E-2</v>
      </c>
      <c r="F540">
        <f t="shared" si="22"/>
        <v>-2.3341651284734175E-2</v>
      </c>
      <c r="G540">
        <f t="shared" si="23"/>
        <v>-3.5265616435610381E-2</v>
      </c>
    </row>
    <row r="541" spans="1:7" x14ac:dyDescent="0.35">
      <c r="A541" t="s">
        <v>40</v>
      </c>
      <c r="E541">
        <v>1.0684913130697698E-2</v>
      </c>
      <c r="F541">
        <f t="shared" si="22"/>
        <v>-2.3343989846579503E-2</v>
      </c>
      <c r="G541">
        <f t="shared" si="23"/>
        <v>-3.5338769596045212E-2</v>
      </c>
    </row>
    <row r="542" spans="1:7" x14ac:dyDescent="0.35">
      <c r="A542" t="s">
        <v>40</v>
      </c>
      <c r="E542">
        <v>-1.0911761563197585E-2</v>
      </c>
      <c r="F542">
        <f t="shared" si="22"/>
        <v>-2.3346328408424832E-2</v>
      </c>
      <c r="G542">
        <f t="shared" si="23"/>
        <v>-3.5338769596045212E-2</v>
      </c>
    </row>
    <row r="543" spans="1:7" x14ac:dyDescent="0.35">
      <c r="A543" t="s">
        <v>40</v>
      </c>
      <c r="E543">
        <v>2.2478182056535987E-3</v>
      </c>
      <c r="F543">
        <f t="shared" si="22"/>
        <v>-2.3348666970270156E-2</v>
      </c>
      <c r="G543">
        <f t="shared" si="23"/>
        <v>-3.5338769596045212E-2</v>
      </c>
    </row>
    <row r="544" spans="1:7" x14ac:dyDescent="0.35">
      <c r="A544" t="s">
        <v>40</v>
      </c>
      <c r="E544">
        <v>3.73737912537442E-4</v>
      </c>
      <c r="F544">
        <f t="shared" si="22"/>
        <v>-2.3351005532115485E-2</v>
      </c>
      <c r="G544">
        <f t="shared" si="23"/>
        <v>-3.5338769596045212E-2</v>
      </c>
    </row>
    <row r="545" spans="1:144" s="3" customFormat="1" x14ac:dyDescent="0.35">
      <c r="A545" s="3" t="s">
        <v>41</v>
      </c>
      <c r="B545" s="3" cm="1">
        <f t="array" ref="B545">_xlfn.STDEV.S(_xlfn._xlws.FILTER($E$2:$E$1000, $A$2:$A$1000="2012-03"))</f>
        <v>1.5370337388126683E-2</v>
      </c>
      <c r="C545" s="3" cm="1">
        <f t="array" ref="C545">AVERAGE(_xlfn._xlws.FILTER($E$2:$E$1000, $A$2:$A$1000="2012-03"))</f>
        <v>-1.0441732433143329E-3</v>
      </c>
      <c r="D545" s="3" cm="1">
        <f t="array" ref="D545">_xlfn.PERCENTILE.EXC(_xlfn._xlws.FILTER($E$503:$E$750, $A$503:$A$750="2012-03"), 0.05)</f>
        <v>-3.4348114929431336E-2</v>
      </c>
      <c r="E545" s="3">
        <v>2.888452603408798E-2</v>
      </c>
      <c r="F545" s="3">
        <f t="shared" si="22"/>
        <v>-2.3353344093960813E-2</v>
      </c>
      <c r="G545" s="3">
        <f t="shared" si="23"/>
        <v>-3.5338769596045212E-2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</row>
    <row r="546" spans="1:144" x14ac:dyDescent="0.35">
      <c r="A546" t="s">
        <v>41</v>
      </c>
      <c r="E546">
        <v>4.2634734198460098E-3</v>
      </c>
      <c r="F546">
        <f t="shared" si="22"/>
        <v>-2.3355682655806141E-2</v>
      </c>
      <c r="G546">
        <f t="shared" si="23"/>
        <v>-3.5338769596045212E-2</v>
      </c>
    </row>
    <row r="547" spans="1:144" x14ac:dyDescent="0.35">
      <c r="A547" t="s">
        <v>41</v>
      </c>
      <c r="E547">
        <v>-6.8484188248297065E-3</v>
      </c>
      <c r="F547">
        <f t="shared" si="22"/>
        <v>-2.3358021217651469E-2</v>
      </c>
      <c r="G547">
        <f t="shared" si="23"/>
        <v>-3.5338769596045212E-2</v>
      </c>
    </row>
    <row r="548" spans="1:144" x14ac:dyDescent="0.35">
      <c r="A548" t="s">
        <v>41</v>
      </c>
      <c r="E548">
        <v>-3.4488276677581607E-2</v>
      </c>
      <c r="F548">
        <f t="shared" si="22"/>
        <v>-2.3360359779496794E-2</v>
      </c>
      <c r="G548">
        <f t="shared" si="23"/>
        <v>-3.5338769596045212E-2</v>
      </c>
    </row>
    <row r="549" spans="1:144" x14ac:dyDescent="0.35">
      <c r="A549" t="s">
        <v>41</v>
      </c>
      <c r="E549">
        <v>1.1088213504163877E-2</v>
      </c>
      <c r="F549">
        <f t="shared" si="22"/>
        <v>-2.329652596580567E-2</v>
      </c>
      <c r="G549">
        <f t="shared" si="23"/>
        <v>-3.527038539118111E-2</v>
      </c>
    </row>
    <row r="550" spans="1:144" x14ac:dyDescent="0.35">
      <c r="A550" t="s">
        <v>41</v>
      </c>
      <c r="E550">
        <v>1.6052056633789277E-2</v>
      </c>
      <c r="F550">
        <f t="shared" si="22"/>
        <v>-2.3300628267526442E-2</v>
      </c>
      <c r="G550">
        <f t="shared" si="23"/>
        <v>-3.527038539118111E-2</v>
      </c>
    </row>
    <row r="551" spans="1:144" x14ac:dyDescent="0.35">
      <c r="A551" t="s">
        <v>41</v>
      </c>
      <c r="E551">
        <v>-1.1166726632797802E-2</v>
      </c>
      <c r="F551">
        <f t="shared" si="22"/>
        <v>-2.3304730569247215E-2</v>
      </c>
      <c r="G551">
        <f t="shared" si="23"/>
        <v>-3.527038539118111E-2</v>
      </c>
    </row>
    <row r="552" spans="1:144" x14ac:dyDescent="0.35">
      <c r="A552" t="s">
        <v>41</v>
      </c>
      <c r="E552">
        <v>-1.3365158280143588E-3</v>
      </c>
      <c r="F552">
        <f t="shared" si="22"/>
        <v>-2.330883287096799E-2</v>
      </c>
      <c r="G552">
        <f t="shared" si="23"/>
        <v>-3.527038539118111E-2</v>
      </c>
    </row>
    <row r="553" spans="1:144" x14ac:dyDescent="0.35">
      <c r="A553" t="s">
        <v>41</v>
      </c>
      <c r="E553">
        <v>2.055749231572019E-2</v>
      </c>
      <c r="F553">
        <f t="shared" si="22"/>
        <v>-2.3312935172688763E-2</v>
      </c>
      <c r="G553">
        <f t="shared" si="23"/>
        <v>-3.527038539118111E-2</v>
      </c>
    </row>
    <row r="554" spans="1:144" x14ac:dyDescent="0.35">
      <c r="A554" t="s">
        <v>41</v>
      </c>
      <c r="E554">
        <v>3.0496916145368274E-3</v>
      </c>
      <c r="F554">
        <f t="shared" si="22"/>
        <v>-2.3317037474409535E-2</v>
      </c>
      <c r="G554">
        <f t="shared" si="23"/>
        <v>-3.527038539118111E-2</v>
      </c>
    </row>
    <row r="555" spans="1:144" x14ac:dyDescent="0.35">
      <c r="A555" t="s">
        <v>41</v>
      </c>
      <c r="E555">
        <v>8.4500894754668734E-3</v>
      </c>
      <c r="F555">
        <f t="shared" si="22"/>
        <v>-2.332113977613031E-2</v>
      </c>
      <c r="G555">
        <f t="shared" si="23"/>
        <v>-3.527038539118111E-2</v>
      </c>
    </row>
    <row r="556" spans="1:144" x14ac:dyDescent="0.35">
      <c r="A556" t="s">
        <v>41</v>
      </c>
      <c r="E556">
        <v>5.1873924099773124E-3</v>
      </c>
      <c r="F556">
        <f t="shared" si="22"/>
        <v>-2.3325242077851083E-2</v>
      </c>
      <c r="G556">
        <f t="shared" si="23"/>
        <v>-3.527038539118111E-2</v>
      </c>
    </row>
    <row r="557" spans="1:144" x14ac:dyDescent="0.35">
      <c r="A557" t="s">
        <v>41</v>
      </c>
      <c r="E557">
        <v>3.023812544565766E-3</v>
      </c>
      <c r="F557">
        <f t="shared" si="22"/>
        <v>-2.3329344379571855E-2</v>
      </c>
      <c r="G557">
        <f t="shared" si="23"/>
        <v>-3.527038539118111E-2</v>
      </c>
    </row>
    <row r="558" spans="1:144" x14ac:dyDescent="0.35">
      <c r="A558" t="s">
        <v>41</v>
      </c>
      <c r="E558">
        <v>-1.0549561800662742E-2</v>
      </c>
      <c r="F558">
        <f t="shared" si="22"/>
        <v>-2.3333446681292627E-2</v>
      </c>
      <c r="G558">
        <f t="shared" si="23"/>
        <v>-3.527038539118111E-2</v>
      </c>
    </row>
    <row r="559" spans="1:144" x14ac:dyDescent="0.35">
      <c r="A559" t="s">
        <v>41</v>
      </c>
      <c r="E559">
        <v>-1.2993984544726857E-2</v>
      </c>
      <c r="F559">
        <f t="shared" si="22"/>
        <v>-2.3337548983013399E-2</v>
      </c>
      <c r="G559">
        <f t="shared" si="23"/>
        <v>-3.527038539118111E-2</v>
      </c>
    </row>
    <row r="560" spans="1:144" x14ac:dyDescent="0.35">
      <c r="A560" t="s">
        <v>41</v>
      </c>
      <c r="E560">
        <v>-1.7120582057552274E-2</v>
      </c>
      <c r="F560">
        <f t="shared" si="22"/>
        <v>-2.3341651284734175E-2</v>
      </c>
      <c r="G560">
        <f t="shared" si="23"/>
        <v>-3.527038539118111E-2</v>
      </c>
    </row>
    <row r="561" spans="1:144" x14ac:dyDescent="0.35">
      <c r="A561" t="s">
        <v>41</v>
      </c>
      <c r="E561">
        <v>2.0986213644026753E-3</v>
      </c>
      <c r="F561">
        <f t="shared" si="22"/>
        <v>-2.3343989846579503E-2</v>
      </c>
      <c r="G561">
        <f t="shared" si="23"/>
        <v>-3.5344019552332025E-2</v>
      </c>
    </row>
    <row r="562" spans="1:144" x14ac:dyDescent="0.35">
      <c r="A562" t="s">
        <v>41</v>
      </c>
      <c r="E562">
        <v>8.0878029461857858E-3</v>
      </c>
      <c r="F562">
        <f t="shared" si="22"/>
        <v>-2.3346328408424832E-2</v>
      </c>
      <c r="G562">
        <f t="shared" si="23"/>
        <v>-3.5344019552332025E-2</v>
      </c>
    </row>
    <row r="563" spans="1:144" x14ac:dyDescent="0.35">
      <c r="A563" t="s">
        <v>41</v>
      </c>
      <c r="E563">
        <v>-7.2698298063753808E-3</v>
      </c>
      <c r="F563">
        <f t="shared" si="22"/>
        <v>-2.3348666970270156E-2</v>
      </c>
      <c r="G563">
        <f t="shared" si="23"/>
        <v>-3.5344019552332025E-2</v>
      </c>
    </row>
    <row r="564" spans="1:144" x14ac:dyDescent="0.35">
      <c r="A564" t="s">
        <v>41</v>
      </c>
      <c r="E564">
        <v>-2.8539850706530557E-3</v>
      </c>
      <c r="F564">
        <f t="shared" si="22"/>
        <v>-2.3351005532115485E-2</v>
      </c>
      <c r="G564">
        <f t="shared" si="23"/>
        <v>-3.5344019552332025E-2</v>
      </c>
    </row>
    <row r="565" spans="1:144" x14ac:dyDescent="0.35">
      <c r="A565" t="s">
        <v>41</v>
      </c>
      <c r="E565">
        <v>-3.3553865023246462E-2</v>
      </c>
      <c r="F565">
        <f t="shared" si="22"/>
        <v>-2.3353344093960813E-2</v>
      </c>
      <c r="G565">
        <f t="shared" si="23"/>
        <v>-3.5344019552332025E-2</v>
      </c>
    </row>
    <row r="566" spans="1:144" x14ac:dyDescent="0.35">
      <c r="A566" t="s">
        <v>41</v>
      </c>
      <c r="E566">
        <v>4.4667626507823481E-3</v>
      </c>
      <c r="F566">
        <f t="shared" si="22"/>
        <v>-2.328421906064335E-2</v>
      </c>
      <c r="G566">
        <f t="shared" si="23"/>
        <v>-3.5280981195921456E-2</v>
      </c>
    </row>
    <row r="567" spans="1:144" s="3" customFormat="1" x14ac:dyDescent="0.35">
      <c r="A567" s="3" t="s">
        <v>42</v>
      </c>
      <c r="B567" s="3" cm="1">
        <f t="array" ref="B567">_xlfn.STDEV.S(_xlfn._xlws.FILTER($E$2:$E$1000, $A$2:$A$1000="2012-04"))</f>
        <v>2.4398871293035179E-2</v>
      </c>
      <c r="C567" s="3" cm="1">
        <f t="array" ref="C567">AVERAGE(_xlfn._xlws.FILTER($E$2:$E$1000, $A$2:$A$1000="2012-04"))</f>
        <v>-4.7813467002635638E-3</v>
      </c>
      <c r="D567" s="3" cm="1">
        <f t="array" ref="D567">_xlfn.PERCENTILE.EXC(_xlfn._xlws.FILTER($E$503:$E$750, $A$503:$A$750="2012-04"), 0.05)</f>
        <v>-5.1040061525647239E-2</v>
      </c>
      <c r="E567" s="3">
        <v>-1.9549674818490586E-3</v>
      </c>
      <c r="F567" s="3">
        <f t="shared" si="22"/>
        <v>-2.3288321362364126E-2</v>
      </c>
      <c r="G567" s="3">
        <f t="shared" si="23"/>
        <v>-3.5280981195921456E-2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</row>
    <row r="568" spans="1:144" x14ac:dyDescent="0.35">
      <c r="A568" t="s">
        <v>42</v>
      </c>
      <c r="E568">
        <v>-2.0564438914113692E-2</v>
      </c>
      <c r="F568">
        <f t="shared" si="22"/>
        <v>-2.3292423664084894E-2</v>
      </c>
      <c r="G568">
        <f t="shared" si="23"/>
        <v>-3.5280981195921456E-2</v>
      </c>
    </row>
    <row r="569" spans="1:144" x14ac:dyDescent="0.35">
      <c r="A569" t="s">
        <v>42</v>
      </c>
      <c r="E569">
        <v>-2.451098813382558E-2</v>
      </c>
      <c r="F569">
        <f t="shared" si="22"/>
        <v>-2.329652596580567E-2</v>
      </c>
      <c r="G569">
        <f t="shared" si="23"/>
        <v>-3.5280981195921456E-2</v>
      </c>
    </row>
    <row r="570" spans="1:144" x14ac:dyDescent="0.35">
      <c r="A570" t="s">
        <v>42</v>
      </c>
      <c r="E570">
        <v>-1.9631060662812401E-3</v>
      </c>
      <c r="F570">
        <f t="shared" si="22"/>
        <v>-2.3229230432869223E-2</v>
      </c>
      <c r="G570">
        <f t="shared" si="23"/>
        <v>-3.5273256610220786E-2</v>
      </c>
    </row>
    <row r="571" spans="1:144" x14ac:dyDescent="0.35">
      <c r="A571" t="s">
        <v>42</v>
      </c>
      <c r="E571">
        <v>-5.1040061525647239E-2</v>
      </c>
      <c r="F571">
        <f t="shared" si="22"/>
        <v>-2.323226791461417E-2</v>
      </c>
      <c r="G571">
        <f t="shared" si="23"/>
        <v>-3.5273256610220786E-2</v>
      </c>
    </row>
    <row r="572" spans="1:144" x14ac:dyDescent="0.35">
      <c r="A572" t="s">
        <v>42</v>
      </c>
      <c r="E572">
        <v>1.584733968095417E-2</v>
      </c>
      <c r="F572">
        <f t="shared" si="22"/>
        <v>-2.3176921623981873E-2</v>
      </c>
      <c r="G572">
        <f t="shared" si="23"/>
        <v>-3.5101397314478651E-2</v>
      </c>
    </row>
    <row r="573" spans="1:144" x14ac:dyDescent="0.35">
      <c r="A573" t="s">
        <v>42</v>
      </c>
      <c r="E573">
        <v>1.2183609635774709E-2</v>
      </c>
      <c r="F573">
        <f t="shared" si="22"/>
        <v>-2.3179663372911604E-2</v>
      </c>
      <c r="G573">
        <f t="shared" si="23"/>
        <v>-3.5101397314478651E-2</v>
      </c>
    </row>
    <row r="574" spans="1:144" x14ac:dyDescent="0.35">
      <c r="A574" t="s">
        <v>42</v>
      </c>
      <c r="E574">
        <v>-3.4927963926760355E-2</v>
      </c>
      <c r="F574">
        <f t="shared" si="22"/>
        <v>-2.3182405121841335E-2</v>
      </c>
      <c r="G574">
        <f t="shared" si="23"/>
        <v>-3.5101397314478651E-2</v>
      </c>
    </row>
    <row r="575" spans="1:144" x14ac:dyDescent="0.35">
      <c r="A575" t="s">
        <v>42</v>
      </c>
      <c r="E575">
        <v>3.5967135900718266E-3</v>
      </c>
      <c r="F575">
        <f t="shared" si="22"/>
        <v>-2.3128700096683434E-2</v>
      </c>
      <c r="G575">
        <f t="shared" si="23"/>
        <v>-3.5028656923800028E-2</v>
      </c>
    </row>
    <row r="576" spans="1:144" x14ac:dyDescent="0.35">
      <c r="A576" t="s">
        <v>42</v>
      </c>
      <c r="E576">
        <v>3.6170928157811019E-2</v>
      </c>
      <c r="F576">
        <f t="shared" si="22"/>
        <v>-2.3131764204711761E-2</v>
      </c>
      <c r="G576">
        <f t="shared" si="23"/>
        <v>-3.5028656923800028E-2</v>
      </c>
    </row>
    <row r="577" spans="1:144" x14ac:dyDescent="0.35">
      <c r="A577" t="s">
        <v>42</v>
      </c>
      <c r="E577">
        <v>-2.4518371226829542E-2</v>
      </c>
      <c r="F577">
        <f t="shared" si="22"/>
        <v>-2.313482831274009E-2</v>
      </c>
      <c r="G577">
        <f t="shared" si="23"/>
        <v>-3.5028656923800028E-2</v>
      </c>
    </row>
    <row r="578" spans="1:144" x14ac:dyDescent="0.35">
      <c r="A578" t="s">
        <v>42</v>
      </c>
      <c r="E578">
        <v>-2.0292083589830388E-2</v>
      </c>
      <c r="F578">
        <f t="shared" si="22"/>
        <v>-2.3081354077480853E-2</v>
      </c>
      <c r="G578">
        <f t="shared" si="23"/>
        <v>-3.5019794993240955E-2</v>
      </c>
    </row>
    <row r="579" spans="1:144" x14ac:dyDescent="0.35">
      <c r="A579" t="s">
        <v>42</v>
      </c>
      <c r="E579">
        <v>7.9828790502386778E-3</v>
      </c>
      <c r="F579">
        <f t="shared" si="22"/>
        <v>-2.3082046276869671E-2</v>
      </c>
      <c r="G579">
        <f t="shared" si="23"/>
        <v>-3.5019794993240955E-2</v>
      </c>
    </row>
    <row r="580" spans="1:144" x14ac:dyDescent="0.35">
      <c r="A580" t="s">
        <v>42</v>
      </c>
      <c r="E580">
        <v>-3.909906892306713E-2</v>
      </c>
      <c r="F580">
        <f t="shared" ref="F580:F643" si="24">_xlfn.PERCENTILE.EXC(E580:E4395,0.05)</f>
        <v>-2.3082738476258489E-2</v>
      </c>
      <c r="G580">
        <f t="shared" ref="G580:G643" si="25">AVERAGEIFS(E580:E4396,E580:E4396,"&lt;=" &amp; F580)</f>
        <v>-3.5019794993240955E-2</v>
      </c>
    </row>
    <row r="581" spans="1:144" x14ac:dyDescent="0.35">
      <c r="A581" t="s">
        <v>42</v>
      </c>
      <c r="E581">
        <v>2.4479938883477128E-2</v>
      </c>
      <c r="F581">
        <f t="shared" si="24"/>
        <v>-2.3069586687870944E-2</v>
      </c>
      <c r="G581">
        <f t="shared" si="25"/>
        <v>-3.4994457888086743E-2</v>
      </c>
    </row>
    <row r="582" spans="1:144" x14ac:dyDescent="0.35">
      <c r="A582" t="s">
        <v>42</v>
      </c>
      <c r="E582">
        <v>2.8729162706501294E-2</v>
      </c>
      <c r="F582">
        <f t="shared" si="24"/>
        <v>-2.3070278887259762E-2</v>
      </c>
      <c r="G582">
        <f t="shared" si="25"/>
        <v>-3.4994457888086743E-2</v>
      </c>
    </row>
    <row r="583" spans="1:144" x14ac:dyDescent="0.35">
      <c r="A583" t="s">
        <v>42</v>
      </c>
      <c r="E583">
        <v>-6.6265325479605607E-3</v>
      </c>
      <c r="F583">
        <f t="shared" si="24"/>
        <v>-2.307097108664858E-2</v>
      </c>
      <c r="G583">
        <f t="shared" si="25"/>
        <v>-3.4994457888086743E-2</v>
      </c>
    </row>
    <row r="584" spans="1:144" x14ac:dyDescent="0.35">
      <c r="A584" t="s">
        <v>42</v>
      </c>
      <c r="E584">
        <v>1.8365177679081204E-2</v>
      </c>
      <c r="F584">
        <f t="shared" si="24"/>
        <v>-2.3071663286037398E-2</v>
      </c>
      <c r="G584">
        <f t="shared" si="25"/>
        <v>-3.4994457888086743E-2</v>
      </c>
    </row>
    <row r="585" spans="1:144" x14ac:dyDescent="0.35">
      <c r="A585" t="s">
        <v>42</v>
      </c>
      <c r="E585">
        <v>-1.2703754352752974E-2</v>
      </c>
      <c r="F585">
        <f t="shared" si="24"/>
        <v>-2.3072355485426216E-2</v>
      </c>
      <c r="G585">
        <f t="shared" si="25"/>
        <v>-3.4994457888086743E-2</v>
      </c>
    </row>
    <row r="586" spans="1:144" s="3" customFormat="1" x14ac:dyDescent="0.35">
      <c r="A586" s="3" t="s">
        <v>43</v>
      </c>
      <c r="B586" s="3" cm="1">
        <f t="array" ref="B586">_xlfn.STDEV.S(_xlfn._xlws.FILTER($E$2:$E$1000, $A$2:$A$1000="2012-05"))</f>
        <v>1.6393653135580017E-2</v>
      </c>
      <c r="C586" s="3" cm="1">
        <f t="array" ref="C586">AVERAGE(_xlfn._xlws.FILTER($E$2:$E$1000, $A$2:$A$1000="2012-05"))</f>
        <v>-5.9666375283660292E-3</v>
      </c>
      <c r="D586" s="3" cm="1">
        <f t="array" ref="D586">_xlfn.PERCENTILE.EXC(_xlfn._xlws.FILTER($E$503:$E$750, $A$503:$A$750="2012-05"), 0.05)</f>
        <v>-3.6518846817210689E-2</v>
      </c>
      <c r="E586" s="3">
        <v>-2.6327733932893428E-2</v>
      </c>
      <c r="F586" s="3">
        <f t="shared" si="24"/>
        <v>-2.3073047684815034E-2</v>
      </c>
      <c r="G586" s="3">
        <f t="shared" si="25"/>
        <v>-3.4994457888086743E-2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</row>
    <row r="587" spans="1:144" x14ac:dyDescent="0.35">
      <c r="A587" t="s">
        <v>43</v>
      </c>
      <c r="E587">
        <v>-6.7092125322109342E-3</v>
      </c>
      <c r="F587">
        <f t="shared" si="24"/>
        <v>-2.3063648474232628E-2</v>
      </c>
      <c r="G587">
        <f t="shared" si="25"/>
        <v>-3.497421664930158E-2</v>
      </c>
    </row>
    <row r="588" spans="1:144" x14ac:dyDescent="0.35">
      <c r="A588" t="s">
        <v>43</v>
      </c>
      <c r="E588">
        <v>-1.4235867289876797E-2</v>
      </c>
      <c r="F588">
        <f t="shared" si="24"/>
        <v>-2.3064052013790279E-2</v>
      </c>
      <c r="G588">
        <f t="shared" si="25"/>
        <v>-3.497421664930158E-2</v>
      </c>
    </row>
    <row r="589" spans="1:144" x14ac:dyDescent="0.35">
      <c r="A589" t="s">
        <v>43</v>
      </c>
      <c r="E589">
        <v>1.301728725666948E-3</v>
      </c>
      <c r="F589">
        <f t="shared" si="24"/>
        <v>-2.3064455553347935E-2</v>
      </c>
      <c r="G589">
        <f t="shared" si="25"/>
        <v>-3.497421664930158E-2</v>
      </c>
    </row>
    <row r="590" spans="1:144" x14ac:dyDescent="0.35">
      <c r="A590" t="s">
        <v>43</v>
      </c>
      <c r="E590">
        <v>-1.1901173076038435E-2</v>
      </c>
      <c r="F590">
        <f t="shared" si="24"/>
        <v>-2.3064859092905586E-2</v>
      </c>
      <c r="G590">
        <f t="shared" si="25"/>
        <v>-3.497421664930158E-2</v>
      </c>
    </row>
    <row r="591" spans="1:144" x14ac:dyDescent="0.35">
      <c r="A591" t="s">
        <v>43</v>
      </c>
      <c r="E591">
        <v>1.6785649124906137E-2</v>
      </c>
      <c r="F591">
        <f t="shared" si="24"/>
        <v>-2.3065262632463241E-2</v>
      </c>
      <c r="G591">
        <f t="shared" si="25"/>
        <v>-3.497421664930158E-2</v>
      </c>
    </row>
    <row r="592" spans="1:144" x14ac:dyDescent="0.35">
      <c r="A592" t="s">
        <v>43</v>
      </c>
      <c r="E592">
        <v>2.881255627357116E-3</v>
      </c>
      <c r="F592">
        <f t="shared" si="24"/>
        <v>-2.3065666172020896E-2</v>
      </c>
      <c r="G592">
        <f t="shared" si="25"/>
        <v>-3.497421664930158E-2</v>
      </c>
    </row>
    <row r="593" spans="1:144" x14ac:dyDescent="0.35">
      <c r="A593" t="s">
        <v>43</v>
      </c>
      <c r="E593">
        <v>-2.7755838426799292E-2</v>
      </c>
      <c r="F593">
        <f t="shared" si="24"/>
        <v>-2.3066069711578548E-2</v>
      </c>
      <c r="G593">
        <f t="shared" si="25"/>
        <v>-3.497421664930158E-2</v>
      </c>
    </row>
    <row r="594" spans="1:144" x14ac:dyDescent="0.35">
      <c r="A594" t="s">
        <v>43</v>
      </c>
      <c r="E594">
        <v>-2.5917735719188928E-2</v>
      </c>
      <c r="F594">
        <f t="shared" si="24"/>
        <v>-2.3016418857118737E-2</v>
      </c>
      <c r="G594">
        <f t="shared" si="25"/>
        <v>-3.4945055067130963E-2</v>
      </c>
    </row>
    <row r="595" spans="1:144" x14ac:dyDescent="0.35">
      <c r="A595" t="s">
        <v>43</v>
      </c>
      <c r="E595">
        <v>-2.091378398079173E-3</v>
      </c>
      <c r="F595">
        <f t="shared" si="24"/>
        <v>-2.2912080434702324E-2</v>
      </c>
      <c r="G595">
        <f t="shared" si="25"/>
        <v>-3.4926390917094347E-2</v>
      </c>
    </row>
    <row r="596" spans="1:144" x14ac:dyDescent="0.35">
      <c r="A596" t="s">
        <v>43</v>
      </c>
      <c r="E596">
        <v>-1.4734380981723395E-2</v>
      </c>
      <c r="F596">
        <f t="shared" si="24"/>
        <v>-2.2912225860420795E-2</v>
      </c>
      <c r="G596">
        <f t="shared" si="25"/>
        <v>-3.4926390917094347E-2</v>
      </c>
    </row>
    <row r="597" spans="1:144" x14ac:dyDescent="0.35">
      <c r="A597" t="s">
        <v>43</v>
      </c>
      <c r="E597">
        <v>-3.0882075919799121E-3</v>
      </c>
      <c r="F597">
        <f t="shared" si="24"/>
        <v>-2.2912371286139262E-2</v>
      </c>
      <c r="G597">
        <f t="shared" si="25"/>
        <v>-3.4926390917094347E-2</v>
      </c>
    </row>
    <row r="598" spans="1:144" x14ac:dyDescent="0.35">
      <c r="A598" t="s">
        <v>43</v>
      </c>
      <c r="E598">
        <v>-2.828756336421487E-3</v>
      </c>
      <c r="F598">
        <f t="shared" si="24"/>
        <v>-2.2912516711857733E-2</v>
      </c>
      <c r="G598">
        <f t="shared" si="25"/>
        <v>-3.4926390917094347E-2</v>
      </c>
    </row>
    <row r="599" spans="1:144" x14ac:dyDescent="0.35">
      <c r="A599" t="s">
        <v>43</v>
      </c>
      <c r="E599">
        <v>3.3552250024971322E-2</v>
      </c>
      <c r="F599">
        <f t="shared" si="24"/>
        <v>-2.2912662137576204E-2</v>
      </c>
      <c r="G599">
        <f t="shared" si="25"/>
        <v>-3.4926390917094347E-2</v>
      </c>
    </row>
    <row r="600" spans="1:144" x14ac:dyDescent="0.35">
      <c r="A600" t="s">
        <v>43</v>
      </c>
      <c r="E600">
        <v>-3.7492514416145289E-2</v>
      </c>
      <c r="F600">
        <f t="shared" si="24"/>
        <v>-2.2912807563294675E-2</v>
      </c>
      <c r="G600">
        <f t="shared" si="25"/>
        <v>-3.4926390917094347E-2</v>
      </c>
    </row>
    <row r="601" spans="1:144" x14ac:dyDescent="0.35">
      <c r="A601" t="s">
        <v>43</v>
      </c>
      <c r="E601">
        <v>1.127265456170343E-2</v>
      </c>
      <c r="F601">
        <f t="shared" si="24"/>
        <v>-2.2910044474643738E-2</v>
      </c>
      <c r="G601">
        <f t="shared" si="25"/>
        <v>-3.4910352645225275E-2</v>
      </c>
    </row>
    <row r="602" spans="1:144" x14ac:dyDescent="0.35">
      <c r="A602" t="s">
        <v>43</v>
      </c>
      <c r="E602">
        <v>3.5792381695789947E-3</v>
      </c>
      <c r="F602">
        <f t="shared" si="24"/>
        <v>-2.2910189900362209E-2</v>
      </c>
      <c r="G602">
        <f t="shared" si="25"/>
        <v>-3.4910352645225275E-2</v>
      </c>
    </row>
    <row r="603" spans="1:144" x14ac:dyDescent="0.35">
      <c r="A603" t="s">
        <v>43</v>
      </c>
      <c r="E603">
        <v>-7.4424101137907312E-3</v>
      </c>
      <c r="F603">
        <f t="shared" si="24"/>
        <v>-2.291033532608068E-2</v>
      </c>
      <c r="G603">
        <f t="shared" si="25"/>
        <v>-3.4910352645225275E-2</v>
      </c>
    </row>
    <row r="604" spans="1:144" x14ac:dyDescent="0.35">
      <c r="A604" t="s">
        <v>43</v>
      </c>
      <c r="E604">
        <v>3.8120560342972346E-3</v>
      </c>
      <c r="F604">
        <f t="shared" si="24"/>
        <v>-2.2910480751799148E-2</v>
      </c>
      <c r="G604">
        <f t="shared" si="25"/>
        <v>-3.4910352645225275E-2</v>
      </c>
    </row>
    <row r="605" spans="1:144" x14ac:dyDescent="0.35">
      <c r="A605" t="s">
        <v>43</v>
      </c>
      <c r="E605">
        <v>-1.8056889234617037E-2</v>
      </c>
      <c r="F605">
        <f t="shared" si="24"/>
        <v>-2.2910626177517619E-2</v>
      </c>
      <c r="G605">
        <f t="shared" si="25"/>
        <v>-3.4910352645225275E-2</v>
      </c>
    </row>
    <row r="606" spans="1:144" x14ac:dyDescent="0.35">
      <c r="A606" t="s">
        <v>43</v>
      </c>
      <c r="E606">
        <v>9.7877685597073415E-5</v>
      </c>
      <c r="F606">
        <f t="shared" si="24"/>
        <v>-2.2910771603236089E-2</v>
      </c>
      <c r="G606">
        <f t="shared" si="25"/>
        <v>-3.4910352645225275E-2</v>
      </c>
    </row>
    <row r="607" spans="1:144" s="3" customFormat="1" x14ac:dyDescent="0.35">
      <c r="A607" s="3" t="s">
        <v>44</v>
      </c>
      <c r="B607" s="3" cm="1">
        <f t="array" ref="B607">_xlfn.STDEV.S(_xlfn._xlws.FILTER($E$2:$E$1000, $A$2:$A$1000="2012-06"))</f>
        <v>2.6940817178371435E-2</v>
      </c>
      <c r="C607" s="3" cm="1">
        <f t="array" ref="C607">AVERAGE(_xlfn._xlws.FILTER($E$2:$E$1000, $A$2:$A$1000="2012-06"))</f>
        <v>5.4351724244694815E-3</v>
      </c>
      <c r="D607" s="3" cm="1">
        <f t="array" ref="D607">_xlfn.PERCENTILE.EXC(_xlfn._xlws.FILTER($E$503:$E$750, $A$503:$A$750="2012-06"), 0.05)</f>
        <v>-4.1013225439491881E-2</v>
      </c>
      <c r="E607" s="3">
        <v>-1.045226511936255E-2</v>
      </c>
      <c r="F607" s="3">
        <f t="shared" si="24"/>
        <v>-2.291091702895456E-2</v>
      </c>
      <c r="G607" s="3">
        <f t="shared" si="25"/>
        <v>-3.4910352645225275E-2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</row>
    <row r="608" spans="1:144" x14ac:dyDescent="0.35">
      <c r="A608" t="s">
        <v>44</v>
      </c>
      <c r="E608">
        <v>5.2533696264169157E-2</v>
      </c>
      <c r="F608">
        <f t="shared" si="24"/>
        <v>-2.2911062454673031E-2</v>
      </c>
      <c r="G608">
        <f t="shared" si="25"/>
        <v>-3.4910352645225275E-2</v>
      </c>
    </row>
    <row r="609" spans="1:7" x14ac:dyDescent="0.35">
      <c r="A609" t="s">
        <v>44</v>
      </c>
      <c r="E609">
        <v>8.7623236636095239E-3</v>
      </c>
      <c r="F609">
        <f t="shared" si="24"/>
        <v>-2.2911207880391502E-2</v>
      </c>
      <c r="G609">
        <f t="shared" si="25"/>
        <v>-3.4910352645225275E-2</v>
      </c>
    </row>
    <row r="610" spans="1:7" x14ac:dyDescent="0.35">
      <c r="A610" t="s">
        <v>44</v>
      </c>
      <c r="E610">
        <v>-7.3995976140367025E-3</v>
      </c>
      <c r="F610">
        <f t="shared" si="24"/>
        <v>-2.2911353306109973E-2</v>
      </c>
      <c r="G610">
        <f t="shared" si="25"/>
        <v>-3.4910352645225275E-2</v>
      </c>
    </row>
    <row r="611" spans="1:7" x14ac:dyDescent="0.35">
      <c r="A611" t="s">
        <v>44</v>
      </c>
      <c r="E611">
        <v>-2.8264593287462114E-2</v>
      </c>
      <c r="F611">
        <f t="shared" si="24"/>
        <v>-2.291149873182844E-2</v>
      </c>
      <c r="G611">
        <f t="shared" si="25"/>
        <v>-3.4910352645225275E-2</v>
      </c>
    </row>
    <row r="612" spans="1:7" x14ac:dyDescent="0.35">
      <c r="A612" t="s">
        <v>44</v>
      </c>
      <c r="E612">
        <v>-6.9910812163735368E-3</v>
      </c>
      <c r="F612">
        <f t="shared" si="24"/>
        <v>-2.2891300982463361E-2</v>
      </c>
      <c r="G612">
        <f t="shared" si="25"/>
        <v>-3.4876885806234423E-2</v>
      </c>
    </row>
    <row r="613" spans="1:7" x14ac:dyDescent="0.35">
      <c r="A613" t="s">
        <v>44</v>
      </c>
      <c r="E613">
        <v>-6.5616987685036135E-3</v>
      </c>
      <c r="F613">
        <f t="shared" si="24"/>
        <v>-2.2893625740771098E-2</v>
      </c>
      <c r="G613">
        <f t="shared" si="25"/>
        <v>-3.4876885806234423E-2</v>
      </c>
    </row>
    <row r="614" spans="1:7" x14ac:dyDescent="0.35">
      <c r="A614" t="s">
        <v>44</v>
      </c>
      <c r="E614">
        <v>1.4613365348428184E-2</v>
      </c>
      <c r="F614">
        <f t="shared" si="24"/>
        <v>-2.2895950499078836E-2</v>
      </c>
      <c r="G614">
        <f t="shared" si="25"/>
        <v>-3.4876885806234423E-2</v>
      </c>
    </row>
    <row r="615" spans="1:7" x14ac:dyDescent="0.35">
      <c r="A615" t="s">
        <v>44</v>
      </c>
      <c r="E615">
        <v>2.312219469478051E-2</v>
      </c>
      <c r="F615">
        <f t="shared" si="24"/>
        <v>-2.2898275257386573E-2</v>
      </c>
      <c r="G615">
        <f t="shared" si="25"/>
        <v>-3.4876885806234423E-2</v>
      </c>
    </row>
    <row r="616" spans="1:7" x14ac:dyDescent="0.35">
      <c r="A616" t="s">
        <v>44</v>
      </c>
      <c r="E616">
        <v>-2.8869836910483365E-2</v>
      </c>
      <c r="F616">
        <f t="shared" si="24"/>
        <v>-2.2900600015694314E-2</v>
      </c>
      <c r="G616">
        <f t="shared" si="25"/>
        <v>-3.4876885806234423E-2</v>
      </c>
    </row>
    <row r="617" spans="1:7" x14ac:dyDescent="0.35">
      <c r="A617" t="s">
        <v>44</v>
      </c>
      <c r="E617">
        <v>3.2951650139613972E-2</v>
      </c>
      <c r="F617">
        <f t="shared" si="24"/>
        <v>-2.2860243123309934E-2</v>
      </c>
      <c r="G617">
        <f t="shared" si="25"/>
        <v>-3.4839345599811222E-2</v>
      </c>
    </row>
    <row r="618" spans="1:7" x14ac:dyDescent="0.35">
      <c r="A618" t="s">
        <v>44</v>
      </c>
      <c r="E618">
        <v>2.1099024546413516E-2</v>
      </c>
      <c r="F618">
        <f t="shared" si="24"/>
        <v>-2.2861296709796787E-2</v>
      </c>
      <c r="G618">
        <f t="shared" si="25"/>
        <v>-3.4839345599811222E-2</v>
      </c>
    </row>
    <row r="619" spans="1:7" x14ac:dyDescent="0.35">
      <c r="A619" t="s">
        <v>44</v>
      </c>
      <c r="E619">
        <v>1.4168353969407443E-3</v>
      </c>
      <c r="F619">
        <f t="shared" si="24"/>
        <v>-2.2862350296283643E-2</v>
      </c>
      <c r="G619">
        <f t="shared" si="25"/>
        <v>-3.4839345599811222E-2</v>
      </c>
    </row>
    <row r="620" spans="1:7" x14ac:dyDescent="0.35">
      <c r="A620" t="s">
        <v>44</v>
      </c>
      <c r="E620">
        <v>-6.4805513655849774E-3</v>
      </c>
      <c r="F620">
        <f t="shared" si="24"/>
        <v>-2.2863403882770496E-2</v>
      </c>
      <c r="G620">
        <f t="shared" si="25"/>
        <v>-3.4839345599811222E-2</v>
      </c>
    </row>
    <row r="621" spans="1:7" x14ac:dyDescent="0.35">
      <c r="A621" t="s">
        <v>44</v>
      </c>
      <c r="E621">
        <v>-4.1013225439491881E-2</v>
      </c>
      <c r="F621">
        <f t="shared" si="24"/>
        <v>-2.2865728641078234E-2</v>
      </c>
      <c r="G621">
        <f t="shared" si="25"/>
        <v>-3.4914665987968704E-2</v>
      </c>
    </row>
    <row r="622" spans="1:7" x14ac:dyDescent="0.35">
      <c r="A622" t="s">
        <v>44</v>
      </c>
      <c r="E622">
        <v>-1.1164921078257832E-2</v>
      </c>
      <c r="F622">
        <f t="shared" si="24"/>
        <v>-2.2844439326007118E-2</v>
      </c>
      <c r="G622">
        <f t="shared" si="25"/>
        <v>-3.4800516166857254E-2</v>
      </c>
    </row>
    <row r="623" spans="1:7" x14ac:dyDescent="0.35">
      <c r="A623" t="s">
        <v>44</v>
      </c>
      <c r="E623">
        <v>2.5473619561239422E-2</v>
      </c>
      <c r="F623">
        <f t="shared" si="24"/>
        <v>-2.2845492912493971E-2</v>
      </c>
      <c r="G623">
        <f t="shared" si="25"/>
        <v>-3.4800516166857254E-2</v>
      </c>
    </row>
    <row r="624" spans="1:7" x14ac:dyDescent="0.35">
      <c r="A624" t="s">
        <v>44</v>
      </c>
      <c r="E624">
        <v>6.6329581499738948E-3</v>
      </c>
      <c r="F624">
        <f t="shared" si="24"/>
        <v>-2.2846546498980828E-2</v>
      </c>
      <c r="G624">
        <f t="shared" si="25"/>
        <v>-3.4800516166857254E-2</v>
      </c>
    </row>
    <row r="625" spans="1:144" x14ac:dyDescent="0.35">
      <c r="A625" t="s">
        <v>44</v>
      </c>
      <c r="E625">
        <v>6.3860379099307807E-2</v>
      </c>
      <c r="F625">
        <f t="shared" si="24"/>
        <v>-2.2847600085467681E-2</v>
      </c>
      <c r="G625">
        <f t="shared" si="25"/>
        <v>-3.4800516166857254E-2</v>
      </c>
    </row>
    <row r="626" spans="1:144" s="3" customFormat="1" x14ac:dyDescent="0.35">
      <c r="A626" s="3" t="s">
        <v>45</v>
      </c>
      <c r="B626" s="3" cm="1">
        <f t="array" ref="B626">_xlfn.STDEV.S(_xlfn._xlws.FILTER($E$2:$E$1000, $A$2:$A$1000="2012-07"))</f>
        <v>2.213680568024376E-2</v>
      </c>
      <c r="C626" s="3" cm="1">
        <f t="array" ref="C626">AVERAGE(_xlfn._xlws.FILTER($E$2:$E$1000, $A$2:$A$1000="2012-07"))</f>
        <v>-1.2375087701790243E-3</v>
      </c>
      <c r="D626" s="3" cm="1">
        <f t="array" ref="D626">_xlfn.PERCENTILE.EXC(_xlfn._xlws.FILTER($E$503:$E$750, $A$503:$A$750="2012-07"), 0.05)</f>
        <v>-4.2314662208443862E-2</v>
      </c>
      <c r="E626" s="3">
        <v>2.4084122705551971E-3</v>
      </c>
      <c r="F626" s="3">
        <f t="shared" si="24"/>
        <v>-2.2848653671954534E-2</v>
      </c>
      <c r="G626" s="3">
        <f t="shared" si="25"/>
        <v>-3.4800516166857254E-2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</row>
    <row r="627" spans="1:144" x14ac:dyDescent="0.35">
      <c r="A627" t="s">
        <v>45</v>
      </c>
      <c r="E627">
        <v>1.2889024115362873E-2</v>
      </c>
      <c r="F627">
        <f t="shared" si="24"/>
        <v>-2.284970725844139E-2</v>
      </c>
      <c r="G627">
        <f t="shared" si="25"/>
        <v>-3.4800516166857254E-2</v>
      </c>
    </row>
    <row r="628" spans="1:144" x14ac:dyDescent="0.35">
      <c r="A628" t="s">
        <v>45</v>
      </c>
      <c r="E628">
        <v>-7.8412598080175241E-3</v>
      </c>
      <c r="F628">
        <f t="shared" si="24"/>
        <v>-2.2850760844928243E-2</v>
      </c>
      <c r="G628">
        <f t="shared" si="25"/>
        <v>-3.4800516166857254E-2</v>
      </c>
    </row>
    <row r="629" spans="1:144" x14ac:dyDescent="0.35">
      <c r="A629" t="s">
        <v>45</v>
      </c>
      <c r="E629">
        <v>-2.0545901258533224E-2</v>
      </c>
      <c r="F629">
        <f t="shared" si="24"/>
        <v>-2.28518144314151E-2</v>
      </c>
      <c r="G629">
        <f t="shared" si="25"/>
        <v>-3.4800516166857254E-2</v>
      </c>
    </row>
    <row r="630" spans="1:144" x14ac:dyDescent="0.35">
      <c r="A630" t="s">
        <v>45</v>
      </c>
      <c r="E630">
        <v>-2.5641923622979981E-2</v>
      </c>
      <c r="F630">
        <f t="shared" si="24"/>
        <v>-2.2852868017901953E-2</v>
      </c>
      <c r="G630">
        <f t="shared" si="25"/>
        <v>-3.4800516166857254E-2</v>
      </c>
    </row>
    <row r="631" spans="1:144" x14ac:dyDescent="0.35">
      <c r="A631" t="s">
        <v>45</v>
      </c>
      <c r="E631">
        <v>5.8508657827695031E-3</v>
      </c>
      <c r="F631">
        <f t="shared" si="24"/>
        <v>-2.2770577827464084E-2</v>
      </c>
      <c r="G631">
        <f t="shared" si="25"/>
        <v>-3.4782908673335576E-2</v>
      </c>
    </row>
    <row r="632" spans="1:144" x14ac:dyDescent="0.35">
      <c r="A632" t="s">
        <v>45</v>
      </c>
      <c r="E632">
        <v>4.0186579675408453E-3</v>
      </c>
      <c r="F632">
        <f t="shared" si="24"/>
        <v>-2.2778550530305121E-2</v>
      </c>
      <c r="G632">
        <f t="shared" si="25"/>
        <v>-3.4782908673335576E-2</v>
      </c>
    </row>
    <row r="633" spans="1:144" x14ac:dyDescent="0.35">
      <c r="A633" t="s">
        <v>45</v>
      </c>
      <c r="E633">
        <v>-4.94055298803179E-4</v>
      </c>
      <c r="F633">
        <f t="shared" si="24"/>
        <v>-2.2786523233146155E-2</v>
      </c>
      <c r="G633">
        <f t="shared" si="25"/>
        <v>-3.4782908673335576E-2</v>
      </c>
    </row>
    <row r="634" spans="1:144" x14ac:dyDescent="0.35">
      <c r="A634" t="s">
        <v>45</v>
      </c>
      <c r="E634">
        <v>-2.0230063018444062E-2</v>
      </c>
      <c r="F634">
        <f t="shared" si="24"/>
        <v>-2.2794495935987192E-2</v>
      </c>
      <c r="G634">
        <f t="shared" si="25"/>
        <v>-3.4782908673335576E-2</v>
      </c>
    </row>
    <row r="635" spans="1:144" x14ac:dyDescent="0.35">
      <c r="A635" t="s">
        <v>45</v>
      </c>
      <c r="E635">
        <v>9.5874134014442038E-3</v>
      </c>
      <c r="F635">
        <f t="shared" si="24"/>
        <v>-2.2802468638828229E-2</v>
      </c>
      <c r="G635">
        <f t="shared" si="25"/>
        <v>-3.4782908673335576E-2</v>
      </c>
    </row>
    <row r="636" spans="1:144" x14ac:dyDescent="0.35">
      <c r="A636" t="s">
        <v>45</v>
      </c>
      <c r="E636">
        <v>-3.6428768505323019E-3</v>
      </c>
      <c r="F636">
        <f t="shared" si="24"/>
        <v>-2.2810441341669263E-2</v>
      </c>
      <c r="G636">
        <f t="shared" si="25"/>
        <v>-3.4782908673335576E-2</v>
      </c>
    </row>
    <row r="637" spans="1:144" x14ac:dyDescent="0.35">
      <c r="A637" t="s">
        <v>45</v>
      </c>
      <c r="E637">
        <v>-9.4171834789868805E-3</v>
      </c>
      <c r="F637">
        <f t="shared" si="24"/>
        <v>-2.28184140445103E-2</v>
      </c>
      <c r="G637">
        <f t="shared" si="25"/>
        <v>-3.4782908673335576E-2</v>
      </c>
    </row>
    <row r="638" spans="1:144" x14ac:dyDescent="0.35">
      <c r="A638" t="s">
        <v>45</v>
      </c>
      <c r="E638">
        <v>4.2504759707469499E-3</v>
      </c>
      <c r="F638">
        <f t="shared" si="24"/>
        <v>-2.2826386747351334E-2</v>
      </c>
      <c r="G638">
        <f t="shared" si="25"/>
        <v>-3.4782908673335576E-2</v>
      </c>
    </row>
    <row r="639" spans="1:144" x14ac:dyDescent="0.35">
      <c r="A639" t="s">
        <v>45</v>
      </c>
      <c r="E639">
        <v>5.2896434829001046E-3</v>
      </c>
      <c r="F639">
        <f t="shared" si="24"/>
        <v>-2.2834359450192371E-2</v>
      </c>
      <c r="G639">
        <f t="shared" si="25"/>
        <v>-3.4782908673335576E-2</v>
      </c>
    </row>
    <row r="640" spans="1:144" x14ac:dyDescent="0.35">
      <c r="A640" t="s">
        <v>45</v>
      </c>
      <c r="E640">
        <v>-4.484004695290128E-2</v>
      </c>
      <c r="F640">
        <f t="shared" si="24"/>
        <v>-2.2842332153033409E-2</v>
      </c>
      <c r="G640">
        <f t="shared" si="25"/>
        <v>-3.4782908673335576E-2</v>
      </c>
    </row>
    <row r="641" spans="1:144" x14ac:dyDescent="0.35">
      <c r="A641" t="s">
        <v>45</v>
      </c>
      <c r="E641">
        <v>-2.8004148656518509E-2</v>
      </c>
      <c r="F641">
        <f t="shared" si="24"/>
        <v>-2.2690850799053728E-2</v>
      </c>
      <c r="G641">
        <f t="shared" si="25"/>
        <v>-3.4719255899414277E-2</v>
      </c>
    </row>
    <row r="642" spans="1:144" x14ac:dyDescent="0.35">
      <c r="A642" t="s">
        <v>45</v>
      </c>
      <c r="E642">
        <v>-2.743414966757772E-2</v>
      </c>
      <c r="F642">
        <f t="shared" si="24"/>
        <v>-2.254726257829193E-2</v>
      </c>
      <c r="G642">
        <f t="shared" si="25"/>
        <v>-3.4685576971817407E-2</v>
      </c>
    </row>
    <row r="643" spans="1:144" x14ac:dyDescent="0.35">
      <c r="A643" t="s">
        <v>45</v>
      </c>
      <c r="E643">
        <v>1.1599193145789423E-2</v>
      </c>
      <c r="F643">
        <f t="shared" si="24"/>
        <v>-2.2418156505271555E-2</v>
      </c>
      <c r="G643">
        <f t="shared" si="25"/>
        <v>-3.4654551937132808E-2</v>
      </c>
    </row>
    <row r="644" spans="1:144" x14ac:dyDescent="0.35">
      <c r="A644" t="s">
        <v>45</v>
      </c>
      <c r="E644">
        <v>5.470944754656433E-2</v>
      </c>
      <c r="F644">
        <f t="shared" ref="F644:F707" si="26">_xlfn.PERCENTILE.EXC(E644:E4459,0.05)</f>
        <v>-2.2424864604220985E-2</v>
      </c>
      <c r="G644">
        <f t="shared" ref="G644:G707" si="27">AVERAGEIFS(E644:E4460,E644:E4460,"&lt;=" &amp; F644)</f>
        <v>-3.4654551937132808E-2</v>
      </c>
    </row>
    <row r="645" spans="1:144" x14ac:dyDescent="0.35">
      <c r="A645" t="s">
        <v>45</v>
      </c>
      <c r="E645">
        <v>2.8863208119662462E-2</v>
      </c>
      <c r="F645">
        <f t="shared" si="26"/>
        <v>-2.2431572703170415E-2</v>
      </c>
      <c r="G645">
        <f t="shared" si="27"/>
        <v>-3.4654551937132808E-2</v>
      </c>
    </row>
    <row r="646" spans="1:144" x14ac:dyDescent="0.35">
      <c r="A646" t="s">
        <v>45</v>
      </c>
      <c r="E646">
        <v>2.7647172032166281E-2</v>
      </c>
      <c r="F646">
        <f t="shared" si="26"/>
        <v>-2.2438280802119844E-2</v>
      </c>
      <c r="G646">
        <f t="shared" si="27"/>
        <v>-3.4654551937132808E-2</v>
      </c>
    </row>
    <row r="647" spans="1:144" x14ac:dyDescent="0.35">
      <c r="A647" t="s">
        <v>45</v>
      </c>
      <c r="E647">
        <v>-6.2470981661460201E-3</v>
      </c>
      <c r="F647">
        <f t="shared" si="26"/>
        <v>-2.2444988901069274E-2</v>
      </c>
      <c r="G647">
        <f t="shared" si="27"/>
        <v>-3.4654551937132808E-2</v>
      </c>
    </row>
    <row r="648" spans="1:144" s="3" customFormat="1" x14ac:dyDescent="0.35">
      <c r="A648" s="3" t="s">
        <v>46</v>
      </c>
      <c r="B648" s="3" cm="1">
        <f t="array" ref="B648">_xlfn.STDEV.S(_xlfn._xlws.FILTER($E$2:$E$1000, $A$2:$A$1000="2012-08"))</f>
        <v>2.0850056446232272E-2</v>
      </c>
      <c r="C648" s="3" cm="1">
        <f t="array" ref="C648">AVERAGE(_xlfn._xlws.FILTER($E$2:$E$1000, $A$2:$A$1000="2012-08"))</f>
        <v>3.9755287081286754E-3</v>
      </c>
      <c r="D648" s="3" cm="1">
        <f t="array" ref="D648">_xlfn.PERCENTILE.EXC(_xlfn._xlws.FILTER($E$503:$E$750, $A$503:$A$750="2012-08"), 0.05)</f>
        <v>-4.4120720770660087E-2</v>
      </c>
      <c r="E648" s="3">
        <v>2.7031337565161643E-3</v>
      </c>
      <c r="F648" s="3">
        <f t="shared" si="26"/>
        <v>-2.24516970000187E-2</v>
      </c>
      <c r="G648" s="3">
        <f t="shared" si="27"/>
        <v>-3.4654551937132808E-2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</row>
    <row r="649" spans="1:144" x14ac:dyDescent="0.35">
      <c r="A649" t="s">
        <v>46</v>
      </c>
      <c r="E649">
        <v>-4.7492418593466132E-2</v>
      </c>
      <c r="F649">
        <f t="shared" si="26"/>
        <v>-2.245840509896813E-2</v>
      </c>
      <c r="G649">
        <f t="shared" si="27"/>
        <v>-3.4654551937132808E-2</v>
      </c>
    </row>
    <row r="650" spans="1:144" x14ac:dyDescent="0.35">
      <c r="A650" t="s">
        <v>46</v>
      </c>
      <c r="E650">
        <v>6.1487345704094976E-2</v>
      </c>
      <c r="F650">
        <f t="shared" si="26"/>
        <v>-2.2370955704889339E-2</v>
      </c>
      <c r="G650">
        <f t="shared" si="27"/>
        <v>-3.4495726706847731E-2</v>
      </c>
    </row>
    <row r="651" spans="1:144" x14ac:dyDescent="0.35">
      <c r="A651" t="s">
        <v>46</v>
      </c>
      <c r="E651">
        <v>1.5255897825105551E-2</v>
      </c>
      <c r="F651">
        <f t="shared" si="26"/>
        <v>-2.2373663355242733E-2</v>
      </c>
      <c r="G651">
        <f t="shared" si="27"/>
        <v>-3.4495726706847731E-2</v>
      </c>
    </row>
    <row r="652" spans="1:144" x14ac:dyDescent="0.35">
      <c r="A652" t="s">
        <v>46</v>
      </c>
      <c r="E652">
        <v>2.1630857094646853E-2</v>
      </c>
      <c r="F652">
        <f t="shared" si="26"/>
        <v>-2.2376371005596127E-2</v>
      </c>
      <c r="G652">
        <f t="shared" si="27"/>
        <v>-3.4495726706847731E-2</v>
      </c>
    </row>
    <row r="653" spans="1:144" x14ac:dyDescent="0.35">
      <c r="A653" t="s">
        <v>46</v>
      </c>
      <c r="E653">
        <v>6.5891477896035762E-4</v>
      </c>
      <c r="F653">
        <f t="shared" si="26"/>
        <v>-2.2379078655949521E-2</v>
      </c>
      <c r="G653">
        <f t="shared" si="27"/>
        <v>-3.4495726706847731E-2</v>
      </c>
    </row>
    <row r="654" spans="1:144" x14ac:dyDescent="0.35">
      <c r="A654" t="s">
        <v>46</v>
      </c>
      <c r="E654">
        <v>-7.6331689780400843E-4</v>
      </c>
      <c r="F654">
        <f t="shared" si="26"/>
        <v>-2.2381786306302914E-2</v>
      </c>
      <c r="G654">
        <f t="shared" si="27"/>
        <v>-3.4495726706847731E-2</v>
      </c>
    </row>
    <row r="655" spans="1:144" x14ac:dyDescent="0.35">
      <c r="A655" t="s">
        <v>46</v>
      </c>
      <c r="E655">
        <v>-7.2233237340133451E-3</v>
      </c>
      <c r="F655">
        <f t="shared" si="26"/>
        <v>-2.2384493956656308E-2</v>
      </c>
      <c r="G655">
        <f t="shared" si="27"/>
        <v>-3.4495726706847731E-2</v>
      </c>
    </row>
    <row r="656" spans="1:144" x14ac:dyDescent="0.35">
      <c r="A656" t="s">
        <v>46</v>
      </c>
      <c r="E656">
        <v>-1.084538013724215E-3</v>
      </c>
      <c r="F656">
        <f t="shared" si="26"/>
        <v>-2.2387201607009698E-2</v>
      </c>
      <c r="G656">
        <f t="shared" si="27"/>
        <v>-3.4495726706847731E-2</v>
      </c>
    </row>
    <row r="657" spans="1:144" x14ac:dyDescent="0.35">
      <c r="A657" t="s">
        <v>46</v>
      </c>
      <c r="E657">
        <v>8.4961870789382471E-3</v>
      </c>
      <c r="F657">
        <f t="shared" si="26"/>
        <v>-2.2389909257363092E-2</v>
      </c>
      <c r="G657">
        <f t="shared" si="27"/>
        <v>-3.4495726706847731E-2</v>
      </c>
    </row>
    <row r="658" spans="1:144" x14ac:dyDescent="0.35">
      <c r="A658" t="s">
        <v>46</v>
      </c>
      <c r="E658">
        <v>1.8483537596482073E-2</v>
      </c>
      <c r="F658">
        <f t="shared" si="26"/>
        <v>-2.2392616907716486E-2</v>
      </c>
      <c r="G658">
        <f t="shared" si="27"/>
        <v>-3.4495726706847731E-2</v>
      </c>
    </row>
    <row r="659" spans="1:144" x14ac:dyDescent="0.35">
      <c r="A659" t="s">
        <v>46</v>
      </c>
      <c r="E659">
        <v>1.2935802718940613E-2</v>
      </c>
      <c r="F659">
        <f t="shared" si="26"/>
        <v>-2.239532455806988E-2</v>
      </c>
      <c r="G659">
        <f t="shared" si="27"/>
        <v>-3.4495726706847731E-2</v>
      </c>
    </row>
    <row r="660" spans="1:144" x14ac:dyDescent="0.35">
      <c r="A660" t="s">
        <v>46</v>
      </c>
      <c r="E660">
        <v>-1.0154732790291889E-2</v>
      </c>
      <c r="F660">
        <f t="shared" si="26"/>
        <v>-2.2398032208423273E-2</v>
      </c>
      <c r="G660">
        <f t="shared" si="27"/>
        <v>-3.4495726706847731E-2</v>
      </c>
    </row>
    <row r="661" spans="1:144" x14ac:dyDescent="0.35">
      <c r="A661" t="s">
        <v>46</v>
      </c>
      <c r="E661">
        <v>2.3667923907891707E-2</v>
      </c>
      <c r="F661">
        <f t="shared" si="26"/>
        <v>-2.24047403073727E-2</v>
      </c>
      <c r="G661">
        <f t="shared" si="27"/>
        <v>-3.4572782085818585E-2</v>
      </c>
    </row>
    <row r="662" spans="1:144" x14ac:dyDescent="0.35">
      <c r="A662" t="s">
        <v>46</v>
      </c>
      <c r="E662">
        <v>-1.110348535995442E-2</v>
      </c>
      <c r="F662">
        <f t="shared" si="26"/>
        <v>-2.2411448406322129E-2</v>
      </c>
      <c r="G662">
        <f t="shared" si="27"/>
        <v>-3.4572782085818585E-2</v>
      </c>
    </row>
    <row r="663" spans="1:144" x14ac:dyDescent="0.35">
      <c r="A663" t="s">
        <v>46</v>
      </c>
      <c r="E663">
        <v>-1.3775440365405674E-2</v>
      </c>
      <c r="F663">
        <f t="shared" si="26"/>
        <v>-2.2418156505271555E-2</v>
      </c>
      <c r="G663">
        <f t="shared" si="27"/>
        <v>-3.4572782085818585E-2</v>
      </c>
    </row>
    <row r="664" spans="1:144" x14ac:dyDescent="0.35">
      <c r="A664" t="s">
        <v>46</v>
      </c>
      <c r="E664">
        <v>-4.8990459458201777E-3</v>
      </c>
      <c r="F664">
        <f t="shared" si="26"/>
        <v>-2.2424864604220985E-2</v>
      </c>
      <c r="G664">
        <f t="shared" si="27"/>
        <v>-3.4572782085818585E-2</v>
      </c>
    </row>
    <row r="665" spans="1:144" x14ac:dyDescent="0.35">
      <c r="A665" t="s">
        <v>46</v>
      </c>
      <c r="E665">
        <v>7.5203652049537087E-3</v>
      </c>
      <c r="F665">
        <f t="shared" si="26"/>
        <v>-2.2431572703170415E-2</v>
      </c>
      <c r="G665">
        <f t="shared" si="27"/>
        <v>-3.4572782085818585E-2</v>
      </c>
    </row>
    <row r="666" spans="1:144" x14ac:dyDescent="0.35">
      <c r="A666" t="s">
        <v>46</v>
      </c>
      <c r="E666">
        <v>-3.3029855078977387E-3</v>
      </c>
      <c r="F666">
        <f t="shared" si="26"/>
        <v>-2.2438280802119844E-2</v>
      </c>
      <c r="G666">
        <f t="shared" si="27"/>
        <v>-3.4572782085818585E-2</v>
      </c>
    </row>
    <row r="667" spans="1:144" x14ac:dyDescent="0.35">
      <c r="A667" t="s">
        <v>46</v>
      </c>
      <c r="E667">
        <v>-1.096897970562356E-2</v>
      </c>
      <c r="F667">
        <f t="shared" si="26"/>
        <v>-2.2444988901069274E-2</v>
      </c>
      <c r="G667">
        <f t="shared" si="27"/>
        <v>-3.4572782085818585E-2</v>
      </c>
    </row>
    <row r="668" spans="1:144" x14ac:dyDescent="0.35">
      <c r="A668" t="s">
        <v>46</v>
      </c>
      <c r="E668">
        <v>2.1414404118173091E-2</v>
      </c>
      <c r="F668">
        <f t="shared" si="26"/>
        <v>-2.24516970000187E-2</v>
      </c>
      <c r="G668">
        <f t="shared" si="27"/>
        <v>-3.4572782085818585E-2</v>
      </c>
    </row>
    <row r="669" spans="1:144" s="3" customFormat="1" x14ac:dyDescent="0.35">
      <c r="A669" s="3" t="s">
        <v>47</v>
      </c>
      <c r="B669" s="3" cm="1">
        <f t="array" ref="B669">_xlfn.STDEV.S(_xlfn._xlws.FILTER($E$2:$E$1000, $A$2:$A$1000="2012-09"))</f>
        <v>1.7839977326215513E-2</v>
      </c>
      <c r="C669" s="3" cm="1">
        <f t="array" ref="C669">AVERAGE(_xlfn._xlws.FILTER($E$2:$E$1000, $A$2:$A$1000="2012-09"))</f>
        <v>-1.536611095828179E-5</v>
      </c>
      <c r="D669" s="3" cm="1">
        <f t="array" ref="D669">_xlfn.PERCENTILE.EXC(_xlfn._xlws.FILTER($E$503:$E$750, $A$503:$A$750="2012-09"), 0.05)</f>
        <v>-3.3015429739302118E-2</v>
      </c>
      <c r="E669" s="3">
        <v>1.097823994574562E-2</v>
      </c>
      <c r="F669" s="3">
        <f t="shared" si="26"/>
        <v>-2.245840509896813E-2</v>
      </c>
      <c r="G669" s="3">
        <f t="shared" si="27"/>
        <v>-3.4572782085818585E-2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</row>
    <row r="670" spans="1:144" x14ac:dyDescent="0.35">
      <c r="A670" t="s">
        <v>47</v>
      </c>
      <c r="E670">
        <v>-2.9216348865914866E-3</v>
      </c>
      <c r="F670">
        <f t="shared" si="26"/>
        <v>-2.2465113197917559E-2</v>
      </c>
      <c r="G670">
        <f t="shared" si="27"/>
        <v>-3.4572782085818585E-2</v>
      </c>
    </row>
    <row r="671" spans="1:144" x14ac:dyDescent="0.35">
      <c r="A671" t="s">
        <v>47</v>
      </c>
      <c r="E671">
        <v>-6.2305169048010919E-3</v>
      </c>
      <c r="F671">
        <f t="shared" si="26"/>
        <v>-2.2471821296866985E-2</v>
      </c>
      <c r="G671">
        <f t="shared" si="27"/>
        <v>-3.4572782085818585E-2</v>
      </c>
    </row>
    <row r="672" spans="1:144" x14ac:dyDescent="0.35">
      <c r="A672" t="s">
        <v>47</v>
      </c>
      <c r="E672">
        <v>4.2210974496610924E-2</v>
      </c>
      <c r="F672">
        <f t="shared" si="26"/>
        <v>-2.2478529395816415E-2</v>
      </c>
      <c r="G672">
        <f t="shared" si="27"/>
        <v>-3.4572782085818585E-2</v>
      </c>
    </row>
    <row r="673" spans="1:7" x14ac:dyDescent="0.35">
      <c r="A673" t="s">
        <v>47</v>
      </c>
      <c r="E673">
        <v>2.0693362778893325E-2</v>
      </c>
      <c r="F673">
        <f t="shared" si="26"/>
        <v>-2.2485237494765841E-2</v>
      </c>
      <c r="G673">
        <f t="shared" si="27"/>
        <v>-3.4572782085818585E-2</v>
      </c>
    </row>
    <row r="674" spans="1:7" x14ac:dyDescent="0.35">
      <c r="A674" t="s">
        <v>47</v>
      </c>
      <c r="E674">
        <v>-1.13097418360961E-3</v>
      </c>
      <c r="F674">
        <f t="shared" si="26"/>
        <v>-2.2491945593715271E-2</v>
      </c>
      <c r="G674">
        <f t="shared" si="27"/>
        <v>-3.4572782085818585E-2</v>
      </c>
    </row>
    <row r="675" spans="1:7" x14ac:dyDescent="0.35">
      <c r="A675" t="s">
        <v>47</v>
      </c>
      <c r="E675">
        <v>8.3295859634225627E-3</v>
      </c>
      <c r="F675">
        <f t="shared" si="26"/>
        <v>-2.2498653692664704E-2</v>
      </c>
      <c r="G675">
        <f t="shared" si="27"/>
        <v>-3.4572782085818585E-2</v>
      </c>
    </row>
    <row r="676" spans="1:7" x14ac:dyDescent="0.35">
      <c r="A676" t="s">
        <v>47</v>
      </c>
      <c r="E676">
        <v>1.183174605634551E-2</v>
      </c>
      <c r="F676">
        <f t="shared" si="26"/>
        <v>-2.250536179161413E-2</v>
      </c>
      <c r="G676">
        <f t="shared" si="27"/>
        <v>-3.4572782085818585E-2</v>
      </c>
    </row>
    <row r="677" spans="1:7" x14ac:dyDescent="0.35">
      <c r="A677" t="s">
        <v>47</v>
      </c>
      <c r="E677">
        <v>-1.0746467851929804E-2</v>
      </c>
      <c r="F677">
        <f t="shared" si="26"/>
        <v>-2.251206989056356E-2</v>
      </c>
      <c r="G677">
        <f t="shared" si="27"/>
        <v>-3.4572782085818585E-2</v>
      </c>
    </row>
    <row r="678" spans="1:7" x14ac:dyDescent="0.35">
      <c r="A678" t="s">
        <v>47</v>
      </c>
      <c r="E678">
        <v>2.313365647870155E-2</v>
      </c>
      <c r="F678">
        <f t="shared" si="26"/>
        <v>-2.2518777989512986E-2</v>
      </c>
      <c r="G678">
        <f t="shared" si="27"/>
        <v>-3.4572782085818585E-2</v>
      </c>
    </row>
    <row r="679" spans="1:7" x14ac:dyDescent="0.35">
      <c r="A679" t="s">
        <v>47</v>
      </c>
      <c r="E679">
        <v>-9.3284946324130348E-3</v>
      </c>
      <c r="F679">
        <f t="shared" si="26"/>
        <v>-2.2525486088462415E-2</v>
      </c>
      <c r="G679">
        <f t="shared" si="27"/>
        <v>-3.4572782085818585E-2</v>
      </c>
    </row>
    <row r="680" spans="1:7" x14ac:dyDescent="0.35">
      <c r="A680" t="s">
        <v>47</v>
      </c>
      <c r="E680">
        <v>-2.4216665934424893E-2</v>
      </c>
      <c r="F680">
        <f t="shared" si="26"/>
        <v>-2.2532194187411845E-2</v>
      </c>
      <c r="G680">
        <f t="shared" si="27"/>
        <v>-3.4572782085818585E-2</v>
      </c>
    </row>
    <row r="681" spans="1:7" x14ac:dyDescent="0.35">
      <c r="A681" t="s">
        <v>47</v>
      </c>
      <c r="E681">
        <v>1.5042148815949019E-3</v>
      </c>
      <c r="F681">
        <f t="shared" si="26"/>
        <v>-2.24047403073727E-2</v>
      </c>
      <c r="G681">
        <f t="shared" si="27"/>
        <v>-3.4639167445763418E-2</v>
      </c>
    </row>
    <row r="682" spans="1:7" x14ac:dyDescent="0.35">
      <c r="A682" t="s">
        <v>47</v>
      </c>
      <c r="E682">
        <v>-1.6908995931869997E-2</v>
      </c>
      <c r="F682">
        <f t="shared" si="26"/>
        <v>-2.2411448406322129E-2</v>
      </c>
      <c r="G682">
        <f t="shared" si="27"/>
        <v>-3.4639167445763418E-2</v>
      </c>
    </row>
    <row r="683" spans="1:7" x14ac:dyDescent="0.35">
      <c r="A683" t="s">
        <v>47</v>
      </c>
      <c r="E683">
        <v>1.0107755804562434E-2</v>
      </c>
      <c r="F683">
        <f t="shared" si="26"/>
        <v>-2.2418156505271555E-2</v>
      </c>
      <c r="G683">
        <f t="shared" si="27"/>
        <v>-3.4639167445763418E-2</v>
      </c>
    </row>
    <row r="684" spans="1:7" x14ac:dyDescent="0.35">
      <c r="A684" t="s">
        <v>47</v>
      </c>
      <c r="E684">
        <v>-7.7864250611106821E-3</v>
      </c>
      <c r="F684">
        <f t="shared" si="26"/>
        <v>-2.2424864604220985E-2</v>
      </c>
      <c r="G684">
        <f t="shared" si="27"/>
        <v>-3.4639167445763418E-2</v>
      </c>
    </row>
    <row r="685" spans="1:7" x14ac:dyDescent="0.35">
      <c r="A685" t="s">
        <v>47</v>
      </c>
      <c r="E685">
        <v>4.1214322512657447E-3</v>
      </c>
      <c r="F685">
        <f t="shared" si="26"/>
        <v>-2.2431572703170415E-2</v>
      </c>
      <c r="G685">
        <f t="shared" si="27"/>
        <v>-3.4639167445763418E-2</v>
      </c>
    </row>
    <row r="686" spans="1:7" x14ac:dyDescent="0.35">
      <c r="A686" t="s">
        <v>47</v>
      </c>
      <c r="E686">
        <v>-3.3478522571137766E-2</v>
      </c>
      <c r="F686">
        <f t="shared" si="26"/>
        <v>-2.2438280802119844E-2</v>
      </c>
      <c r="G686">
        <f t="shared" si="27"/>
        <v>-3.4639167445763418E-2</v>
      </c>
    </row>
    <row r="687" spans="1:7" x14ac:dyDescent="0.35">
      <c r="A687" t="s">
        <v>47</v>
      </c>
      <c r="E687">
        <v>2.729262696999862E-3</v>
      </c>
      <c r="F687">
        <f t="shared" si="26"/>
        <v>-2.2362832753829161E-2</v>
      </c>
      <c r="G687">
        <f t="shared" si="27"/>
        <v>-3.4568138661387048E-2</v>
      </c>
    </row>
    <row r="688" spans="1:7" x14ac:dyDescent="0.35">
      <c r="A688" t="s">
        <v>47</v>
      </c>
      <c r="E688">
        <v>-2.3198855615419733E-2</v>
      </c>
      <c r="F688">
        <f t="shared" si="26"/>
        <v>-2.2365540404182552E-2</v>
      </c>
      <c r="G688">
        <f t="shared" si="27"/>
        <v>-3.4568138661387048E-2</v>
      </c>
    </row>
    <row r="689" spans="1:144" s="3" customFormat="1" x14ac:dyDescent="0.35">
      <c r="A689" s="3" t="s">
        <v>48</v>
      </c>
      <c r="B689" s="3" cm="1">
        <f t="array" ref="B689">_xlfn.STDEV.S(_xlfn._xlws.FILTER($E$2:$E$1000, $A$2:$A$1000="2012-10"))</f>
        <v>1.3735779765093895E-2</v>
      </c>
      <c r="C689" s="3" cm="1">
        <f t="array" ref="C689">AVERAGE(_xlfn._xlws.FILTER($E$2:$E$1000, $A$2:$A$1000="2012-10"))</f>
        <v>1.2599771335112414E-3</v>
      </c>
      <c r="D689" s="3" cm="1">
        <f t="array" ref="D689">_xlfn.PERCENTILE.EXC(_xlfn._xlws.FILTER($E$503:$E$750, $A$503:$A$750="2012-10"), 0.05)</f>
        <v>-2.013191571240168E-2</v>
      </c>
      <c r="E689" s="3">
        <v>2.7910027901330393E-2</v>
      </c>
      <c r="F689" s="3">
        <f t="shared" si="26"/>
        <v>-2.2283639180031834E-2</v>
      </c>
      <c r="G689" s="3">
        <f t="shared" si="27"/>
        <v>-3.4562658043348168E-2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</row>
    <row r="690" spans="1:144" x14ac:dyDescent="0.35">
      <c r="A690" t="s">
        <v>48</v>
      </c>
      <c r="E690">
        <v>-1.7608629487731186E-3</v>
      </c>
      <c r="F690">
        <f t="shared" si="26"/>
        <v>-2.2289115545606704E-2</v>
      </c>
      <c r="G690">
        <f t="shared" si="27"/>
        <v>-3.4562658043348168E-2</v>
      </c>
    </row>
    <row r="691" spans="1:144" x14ac:dyDescent="0.35">
      <c r="A691" t="s">
        <v>48</v>
      </c>
      <c r="E691">
        <v>2.5329620695293009E-3</v>
      </c>
      <c r="F691">
        <f t="shared" si="26"/>
        <v>-2.2294591911181574E-2</v>
      </c>
      <c r="G691">
        <f t="shared" si="27"/>
        <v>-3.4562658043348168E-2</v>
      </c>
    </row>
    <row r="692" spans="1:144" x14ac:dyDescent="0.35">
      <c r="A692" t="s">
        <v>48</v>
      </c>
      <c r="E692">
        <v>-1.5357690913470072E-3</v>
      </c>
      <c r="F692">
        <f t="shared" si="26"/>
        <v>-2.2300068276756447E-2</v>
      </c>
      <c r="G692">
        <f t="shared" si="27"/>
        <v>-3.4562658043348168E-2</v>
      </c>
    </row>
    <row r="693" spans="1:144" x14ac:dyDescent="0.35">
      <c r="A693" t="s">
        <v>48</v>
      </c>
      <c r="E693">
        <v>2.3258714729699807E-2</v>
      </c>
      <c r="F693">
        <f t="shared" si="26"/>
        <v>-2.2305544642331313E-2</v>
      </c>
      <c r="G693">
        <f t="shared" si="27"/>
        <v>-3.4562658043348168E-2</v>
      </c>
    </row>
    <row r="694" spans="1:144" x14ac:dyDescent="0.35">
      <c r="A694" t="s">
        <v>48</v>
      </c>
      <c r="E694">
        <v>-1.9992236641653772E-2</v>
      </c>
      <c r="F694">
        <f t="shared" si="26"/>
        <v>-2.2311021007906186E-2</v>
      </c>
      <c r="G694">
        <f t="shared" si="27"/>
        <v>-3.4562658043348168E-2</v>
      </c>
    </row>
    <row r="695" spans="1:144" x14ac:dyDescent="0.35">
      <c r="A695" t="s">
        <v>48</v>
      </c>
      <c r="E695">
        <v>-3.6920662605394519E-3</v>
      </c>
      <c r="F695">
        <f t="shared" si="26"/>
        <v>-2.2316497373481056E-2</v>
      </c>
      <c r="G695">
        <f t="shared" si="27"/>
        <v>-3.4562658043348168E-2</v>
      </c>
    </row>
    <row r="696" spans="1:144" x14ac:dyDescent="0.35">
      <c r="A696" t="s">
        <v>48</v>
      </c>
      <c r="E696">
        <v>-4.1376320611846871E-3</v>
      </c>
      <c r="F696">
        <f t="shared" si="26"/>
        <v>-2.2321973739055926E-2</v>
      </c>
      <c r="G696">
        <f t="shared" si="27"/>
        <v>-3.4562658043348168E-2</v>
      </c>
    </row>
    <row r="697" spans="1:144" x14ac:dyDescent="0.35">
      <c r="A697" t="s">
        <v>48</v>
      </c>
      <c r="E697">
        <v>1.2474465931639532E-2</v>
      </c>
      <c r="F697">
        <f t="shared" si="26"/>
        <v>-2.2327450104630796E-2</v>
      </c>
      <c r="G697">
        <f t="shared" si="27"/>
        <v>-3.4562658043348168E-2</v>
      </c>
    </row>
    <row r="698" spans="1:144" x14ac:dyDescent="0.35">
      <c r="A698" t="s">
        <v>48</v>
      </c>
      <c r="E698">
        <v>-7.8667628449656662E-3</v>
      </c>
      <c r="F698">
        <f t="shared" si="26"/>
        <v>-2.2332926470205666E-2</v>
      </c>
      <c r="G698">
        <f t="shared" si="27"/>
        <v>-3.4562658043348168E-2</v>
      </c>
    </row>
    <row r="699" spans="1:144" x14ac:dyDescent="0.35">
      <c r="A699" t="s">
        <v>48</v>
      </c>
      <c r="E699">
        <v>5.0658154945043155E-3</v>
      </c>
      <c r="F699">
        <f t="shared" si="26"/>
        <v>-2.2338402835780535E-2</v>
      </c>
      <c r="G699">
        <f t="shared" si="27"/>
        <v>-3.4562658043348168E-2</v>
      </c>
    </row>
    <row r="700" spans="1:144" x14ac:dyDescent="0.35">
      <c r="A700" t="s">
        <v>48</v>
      </c>
      <c r="E700">
        <v>2.4984926391316074E-2</v>
      </c>
      <c r="F700">
        <f t="shared" si="26"/>
        <v>-2.2343879201355409E-2</v>
      </c>
      <c r="G700">
        <f t="shared" si="27"/>
        <v>-3.4562658043348168E-2</v>
      </c>
    </row>
    <row r="701" spans="1:144" x14ac:dyDescent="0.35">
      <c r="A701" t="s">
        <v>48</v>
      </c>
      <c r="E701">
        <v>1.543716058683052E-2</v>
      </c>
      <c r="F701">
        <f t="shared" si="26"/>
        <v>-2.2346586851708802E-2</v>
      </c>
      <c r="G701">
        <f t="shared" si="27"/>
        <v>-3.4641488874586825E-2</v>
      </c>
    </row>
    <row r="702" spans="1:144" x14ac:dyDescent="0.35">
      <c r="A702" t="s">
        <v>48</v>
      </c>
      <c r="E702">
        <v>-2.9852619188626482E-3</v>
      </c>
      <c r="F702">
        <f t="shared" si="26"/>
        <v>-2.2349294502062196E-2</v>
      </c>
      <c r="G702">
        <f t="shared" si="27"/>
        <v>-3.4641488874586825E-2</v>
      </c>
    </row>
    <row r="703" spans="1:144" x14ac:dyDescent="0.35">
      <c r="A703" t="s">
        <v>48</v>
      </c>
      <c r="E703">
        <v>-2.0166835480088657E-2</v>
      </c>
      <c r="F703">
        <f t="shared" si="26"/>
        <v>-2.2352002152415586E-2</v>
      </c>
      <c r="G703">
        <f t="shared" si="27"/>
        <v>-3.4641488874586825E-2</v>
      </c>
    </row>
    <row r="704" spans="1:144" x14ac:dyDescent="0.35">
      <c r="A704" t="s">
        <v>48</v>
      </c>
      <c r="E704">
        <v>2.8176036750962076E-4</v>
      </c>
      <c r="F704">
        <f t="shared" si="26"/>
        <v>-2.235470980276898E-2</v>
      </c>
      <c r="G704">
        <f t="shared" si="27"/>
        <v>-3.4641488874586825E-2</v>
      </c>
    </row>
    <row r="705" spans="1:144" x14ac:dyDescent="0.35">
      <c r="A705" t="s">
        <v>48</v>
      </c>
      <c r="E705">
        <v>-1.8306971324372881E-2</v>
      </c>
      <c r="F705">
        <f t="shared" si="26"/>
        <v>-2.2357417453122374E-2</v>
      </c>
      <c r="G705">
        <f t="shared" si="27"/>
        <v>-3.4641488874586825E-2</v>
      </c>
    </row>
    <row r="706" spans="1:144" x14ac:dyDescent="0.35">
      <c r="A706" t="s">
        <v>48</v>
      </c>
      <c r="E706">
        <v>8.1578154041597479E-3</v>
      </c>
      <c r="F706">
        <f t="shared" si="26"/>
        <v>-2.2360125103475768E-2</v>
      </c>
      <c r="G706">
        <f t="shared" si="27"/>
        <v>-3.4641488874586825E-2</v>
      </c>
    </row>
    <row r="707" spans="1:144" x14ac:dyDescent="0.35">
      <c r="A707" t="s">
        <v>48</v>
      </c>
      <c r="E707">
        <v>-1.1403346168896268E-2</v>
      </c>
      <c r="F707">
        <f t="shared" si="26"/>
        <v>-2.2362832753829161E-2</v>
      </c>
      <c r="G707">
        <f t="shared" si="27"/>
        <v>-3.4641488874586825E-2</v>
      </c>
    </row>
    <row r="708" spans="1:144" x14ac:dyDescent="0.35">
      <c r="A708" t="s">
        <v>48</v>
      </c>
      <c r="E708">
        <v>3.6248168706940419E-3</v>
      </c>
      <c r="F708">
        <f t="shared" ref="F708:F771" si="28">_xlfn.PERCENTILE.EXC(E708:E4523,0.05)</f>
        <v>-2.2365540404182552E-2</v>
      </c>
      <c r="G708">
        <f t="shared" ref="G708:G771" si="29">AVERAGEIFS(E708:E4524,E708:E4524,"&lt;=" &amp; F708)</f>
        <v>-3.4641488874586825E-2</v>
      </c>
    </row>
    <row r="709" spans="1:144" x14ac:dyDescent="0.35">
      <c r="A709" t="s">
        <v>48</v>
      </c>
      <c r="E709">
        <v>-1.5241786782873265E-2</v>
      </c>
      <c r="F709">
        <f t="shared" si="28"/>
        <v>-2.2368248054535946E-2</v>
      </c>
      <c r="G709">
        <f t="shared" si="29"/>
        <v>-3.4641488874586825E-2</v>
      </c>
    </row>
    <row r="710" spans="1:144" x14ac:dyDescent="0.35">
      <c r="A710" t="s">
        <v>48</v>
      </c>
      <c r="E710">
        <v>1.1185411244421186E-2</v>
      </c>
      <c r="F710">
        <f t="shared" si="28"/>
        <v>-2.2370955704889339E-2</v>
      </c>
      <c r="G710">
        <f t="shared" si="29"/>
        <v>-3.4641488874586825E-2</v>
      </c>
    </row>
    <row r="711" spans="1:144" x14ac:dyDescent="0.35">
      <c r="A711" t="s">
        <v>48</v>
      </c>
      <c r="E711">
        <v>1.1551286026814374E-3</v>
      </c>
      <c r="F711">
        <f t="shared" si="28"/>
        <v>-2.2373663355242733E-2</v>
      </c>
      <c r="G711">
        <f t="shared" si="29"/>
        <v>-3.4641488874586825E-2</v>
      </c>
    </row>
    <row r="712" spans="1:144" s="3" customFormat="1" x14ac:dyDescent="0.35">
      <c r="A712" s="3" t="s">
        <v>49</v>
      </c>
      <c r="B712" s="3" cm="1">
        <f t="array" ref="B712">_xlfn.STDEV.S(_xlfn._xlws.FILTER($E$2:$E$1000, $A$2:$A$1000="2012-11"))</f>
        <v>1.3642001116807547E-2</v>
      </c>
      <c r="C712" s="3" cm="1">
        <f t="array" ref="C712">AVERAGE(_xlfn._xlws.FILTER($E$2:$E$1000, $A$2:$A$1000="2012-11"))</f>
        <v>7.7875635589941641E-4</v>
      </c>
      <c r="D712" s="3" cm="1">
        <f t="array" ref="D712">_xlfn.PERCENTILE.EXC(_xlfn._xlws.FILTER($E$503:$E$750, $A$503:$A$750="2012-11"), 0.05)</f>
        <v>-2.4579593786369196E-2</v>
      </c>
      <c r="E712" s="3">
        <v>1.7037115462618744E-2</v>
      </c>
      <c r="F712" s="3">
        <f t="shared" si="28"/>
        <v>-2.2376371005596127E-2</v>
      </c>
      <c r="G712" s="3">
        <f t="shared" si="29"/>
        <v>-3.4641488874586825E-2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</row>
    <row r="713" spans="1:144" x14ac:dyDescent="0.35">
      <c r="A713" t="s">
        <v>49</v>
      </c>
      <c r="E713">
        <v>-2.372055086112507E-3</v>
      </c>
      <c r="F713">
        <f t="shared" si="28"/>
        <v>-2.2379078655949521E-2</v>
      </c>
      <c r="G713">
        <f t="shared" si="29"/>
        <v>-3.4641488874586825E-2</v>
      </c>
    </row>
    <row r="714" spans="1:144" x14ac:dyDescent="0.35">
      <c r="A714" t="s">
        <v>49</v>
      </c>
      <c r="E714">
        <v>-1.4363298477221296E-2</v>
      </c>
      <c r="F714">
        <f t="shared" si="28"/>
        <v>-2.2381786306302914E-2</v>
      </c>
      <c r="G714">
        <f t="shared" si="29"/>
        <v>-3.4641488874586825E-2</v>
      </c>
    </row>
    <row r="715" spans="1:144" x14ac:dyDescent="0.35">
      <c r="A715" t="s">
        <v>49</v>
      </c>
      <c r="E715">
        <v>8.922148932067029E-3</v>
      </c>
      <c r="F715">
        <f t="shared" si="28"/>
        <v>-2.2384493956656308E-2</v>
      </c>
      <c r="G715">
        <f t="shared" si="29"/>
        <v>-3.4641488874586825E-2</v>
      </c>
    </row>
    <row r="716" spans="1:144" x14ac:dyDescent="0.35">
      <c r="A716" t="s">
        <v>49</v>
      </c>
      <c r="E716">
        <v>-2.5307164954761589E-2</v>
      </c>
      <c r="F716">
        <f t="shared" si="28"/>
        <v>-2.2387201607009698E-2</v>
      </c>
      <c r="G716">
        <f t="shared" si="29"/>
        <v>-3.4641488874586825E-2</v>
      </c>
    </row>
    <row r="717" spans="1:144" x14ac:dyDescent="0.35">
      <c r="A717" t="s">
        <v>49</v>
      </c>
      <c r="E717">
        <v>-6.4095508198556989E-3</v>
      </c>
      <c r="F717">
        <f t="shared" si="28"/>
        <v>-2.2327450104630796E-2</v>
      </c>
      <c r="G717">
        <f t="shared" si="29"/>
        <v>-3.4622370901984209E-2</v>
      </c>
    </row>
    <row r="718" spans="1:144" x14ac:dyDescent="0.35">
      <c r="A718" t="s">
        <v>49</v>
      </c>
      <c r="E718">
        <v>-8.6123235286791259E-4</v>
      </c>
      <c r="F718">
        <f t="shared" si="28"/>
        <v>-2.2332926470205666E-2</v>
      </c>
      <c r="G718">
        <f t="shared" si="29"/>
        <v>-3.4622370901984209E-2</v>
      </c>
    </row>
    <row r="719" spans="1:144" x14ac:dyDescent="0.35">
      <c r="A719" t="s">
        <v>49</v>
      </c>
      <c r="E719">
        <v>-3.9138476569702428E-3</v>
      </c>
      <c r="F719">
        <f t="shared" si="28"/>
        <v>-2.2338402835780535E-2</v>
      </c>
      <c r="G719">
        <f t="shared" si="29"/>
        <v>-3.4622370901984209E-2</v>
      </c>
    </row>
    <row r="720" spans="1:144" x14ac:dyDescent="0.35">
      <c r="A720" t="s">
        <v>49</v>
      </c>
      <c r="E720">
        <v>1.3886352934158415E-2</v>
      </c>
      <c r="F720">
        <f t="shared" si="28"/>
        <v>-2.2343879201355409E-2</v>
      </c>
      <c r="G720">
        <f t="shared" si="29"/>
        <v>-3.4622370901984209E-2</v>
      </c>
    </row>
    <row r="721" spans="1:144" x14ac:dyDescent="0.35">
      <c r="A721" t="s">
        <v>49</v>
      </c>
      <c r="E721">
        <v>-5.2455354816299329E-3</v>
      </c>
      <c r="F721">
        <f t="shared" si="28"/>
        <v>-2.2346586851708802E-2</v>
      </c>
      <c r="G721">
        <f t="shared" si="29"/>
        <v>-3.4702101367572701E-2</v>
      </c>
    </row>
    <row r="722" spans="1:144" x14ac:dyDescent="0.35">
      <c r="A722" t="s">
        <v>49</v>
      </c>
      <c r="E722">
        <v>-5.9252369995758452E-3</v>
      </c>
      <c r="F722">
        <f t="shared" si="28"/>
        <v>-2.2349294502062196E-2</v>
      </c>
      <c r="G722">
        <f t="shared" si="29"/>
        <v>-3.4702101367572701E-2</v>
      </c>
    </row>
    <row r="723" spans="1:144" x14ac:dyDescent="0.35">
      <c r="A723" t="s">
        <v>49</v>
      </c>
      <c r="E723">
        <v>-2.0456690498812304E-2</v>
      </c>
      <c r="F723">
        <f t="shared" si="28"/>
        <v>-2.2352002152415586E-2</v>
      </c>
      <c r="G723">
        <f t="shared" si="29"/>
        <v>-3.4702101367572701E-2</v>
      </c>
    </row>
    <row r="724" spans="1:144" x14ac:dyDescent="0.35">
      <c r="A724" t="s">
        <v>49</v>
      </c>
      <c r="E724">
        <v>3.004858965666312E-2</v>
      </c>
      <c r="F724">
        <f t="shared" si="28"/>
        <v>-2.235470980276898E-2</v>
      </c>
      <c r="G724">
        <f t="shared" si="29"/>
        <v>-3.4702101367572701E-2</v>
      </c>
    </row>
    <row r="725" spans="1:144" x14ac:dyDescent="0.35">
      <c r="A725" t="s">
        <v>49</v>
      </c>
      <c r="E725">
        <v>-2.5488135529323345E-3</v>
      </c>
      <c r="F725">
        <f t="shared" si="28"/>
        <v>-2.2357417453122374E-2</v>
      </c>
      <c r="G725">
        <f t="shared" si="29"/>
        <v>-3.4702101367572701E-2</v>
      </c>
    </row>
    <row r="726" spans="1:144" x14ac:dyDescent="0.35">
      <c r="A726" t="s">
        <v>49</v>
      </c>
      <c r="E726">
        <v>8.1286333815996838E-3</v>
      </c>
      <c r="F726">
        <f t="shared" si="28"/>
        <v>-2.2360125103475768E-2</v>
      </c>
      <c r="G726">
        <f t="shared" si="29"/>
        <v>-3.4702101367572701E-2</v>
      </c>
    </row>
    <row r="727" spans="1:144" x14ac:dyDescent="0.35">
      <c r="A727" t="s">
        <v>49</v>
      </c>
      <c r="E727">
        <v>1.0275311226700659E-2</v>
      </c>
      <c r="F727">
        <f t="shared" si="28"/>
        <v>-2.2362832753829161E-2</v>
      </c>
      <c r="G727">
        <f t="shared" si="29"/>
        <v>-3.4702101367572701E-2</v>
      </c>
    </row>
    <row r="728" spans="1:144" x14ac:dyDescent="0.35">
      <c r="A728" t="s">
        <v>49</v>
      </c>
      <c r="E728">
        <v>5.2755038988562116E-3</v>
      </c>
      <c r="F728">
        <f t="shared" si="28"/>
        <v>-2.2365540404182552E-2</v>
      </c>
      <c r="G728">
        <f t="shared" si="29"/>
        <v>-3.4702101367572701E-2</v>
      </c>
    </row>
    <row r="729" spans="1:144" x14ac:dyDescent="0.35">
      <c r="A729" t="s">
        <v>49</v>
      </c>
      <c r="E729">
        <v>-7.4303775256918201E-3</v>
      </c>
      <c r="F729">
        <f t="shared" si="28"/>
        <v>-2.2368248054535946E-2</v>
      </c>
      <c r="G729">
        <f t="shared" si="29"/>
        <v>-3.4702101367572701E-2</v>
      </c>
    </row>
    <row r="730" spans="1:144" x14ac:dyDescent="0.35">
      <c r="A730" t="s">
        <v>49</v>
      </c>
      <c r="E730">
        <v>-2.6019411484965137E-3</v>
      </c>
      <c r="F730">
        <f t="shared" si="28"/>
        <v>-2.2370955704889339E-2</v>
      </c>
      <c r="G730">
        <f t="shared" si="29"/>
        <v>-3.4702101367572701E-2</v>
      </c>
    </row>
    <row r="731" spans="1:144" x14ac:dyDescent="0.35">
      <c r="A731" t="s">
        <v>49</v>
      </c>
      <c r="E731">
        <v>-1.7056090079910539E-3</v>
      </c>
      <c r="F731">
        <f t="shared" si="28"/>
        <v>-2.2373663355242733E-2</v>
      </c>
      <c r="G731">
        <f t="shared" si="29"/>
        <v>-3.4702101367572701E-2</v>
      </c>
    </row>
    <row r="732" spans="1:144" x14ac:dyDescent="0.35">
      <c r="A732" t="s">
        <v>49</v>
      </c>
      <c r="E732">
        <v>2.7732492720321522E-2</v>
      </c>
      <c r="F732">
        <f t="shared" si="28"/>
        <v>-2.2376371005596127E-2</v>
      </c>
      <c r="G732">
        <f t="shared" si="29"/>
        <v>-3.4702101367572701E-2</v>
      </c>
    </row>
    <row r="733" spans="1:144" x14ac:dyDescent="0.35">
      <c r="A733" t="s">
        <v>49</v>
      </c>
      <c r="E733">
        <v>-5.032154820279168E-3</v>
      </c>
      <c r="F733">
        <f t="shared" si="28"/>
        <v>-2.2379078655949521E-2</v>
      </c>
      <c r="G733">
        <f t="shared" si="29"/>
        <v>-3.4702101367572701E-2</v>
      </c>
    </row>
    <row r="734" spans="1:144" s="3" customFormat="1" x14ac:dyDescent="0.35">
      <c r="A734" s="3" t="s">
        <v>50</v>
      </c>
      <c r="B734" s="3" cm="1">
        <f t="array" ref="B734">_xlfn.STDEV.S(_xlfn._xlws.FILTER($E$2:$E$1000, $A$2:$A$1000="2012-12"))</f>
        <v>9.6789407406504668E-3</v>
      </c>
      <c r="C734" s="3" cm="1">
        <f t="array" ref="C734">AVERAGE(_xlfn._xlws.FILTER($E$2:$E$1000, $A$2:$A$1000="2012-12"))</f>
        <v>1.7058424054867923E-3</v>
      </c>
      <c r="D734" s="3" cm="1">
        <f t="array" ref="D734">_xlfn.PERCENTILE.INC(_xlfn._xlws.FILTER($E$503:$E$750, $A$503:$A$750="2012-12"), 0.05)</f>
        <v>-1.1347305239613751E-2</v>
      </c>
      <c r="E734" s="3">
        <v>4.2809911266723684E-3</v>
      </c>
      <c r="F734" s="3">
        <f t="shared" si="28"/>
        <v>-2.2381786306302914E-2</v>
      </c>
      <c r="G734" s="3">
        <f t="shared" si="29"/>
        <v>-3.4702101367572701E-2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</row>
    <row r="735" spans="1:144" x14ac:dyDescent="0.35">
      <c r="A735" t="s">
        <v>50</v>
      </c>
      <c r="E735">
        <v>1.0369293601597119E-2</v>
      </c>
      <c r="F735">
        <f t="shared" si="28"/>
        <v>-2.2384493956656308E-2</v>
      </c>
      <c r="G735">
        <f t="shared" si="29"/>
        <v>-3.4702101367572701E-2</v>
      </c>
    </row>
    <row r="736" spans="1:144" x14ac:dyDescent="0.35">
      <c r="A736" t="s">
        <v>50</v>
      </c>
      <c r="E736">
        <v>-5.4450741906379614E-3</v>
      </c>
      <c r="F736">
        <f t="shared" si="28"/>
        <v>-2.2387201607009698E-2</v>
      </c>
      <c r="G736">
        <f t="shared" si="29"/>
        <v>-3.4702101367572701E-2</v>
      </c>
    </row>
    <row r="737" spans="1:144" x14ac:dyDescent="0.35">
      <c r="A737" t="s">
        <v>50</v>
      </c>
      <c r="E737">
        <v>-7.4999604456455057E-3</v>
      </c>
      <c r="F737">
        <f t="shared" si="28"/>
        <v>-2.2389909257363092E-2</v>
      </c>
      <c r="G737">
        <f t="shared" si="29"/>
        <v>-3.4702101367572701E-2</v>
      </c>
    </row>
    <row r="738" spans="1:144" x14ac:dyDescent="0.35">
      <c r="A738" t="s">
        <v>50</v>
      </c>
      <c r="E738">
        <v>-8.625543577052688E-3</v>
      </c>
      <c r="F738">
        <f t="shared" si="28"/>
        <v>-2.2392616907716486E-2</v>
      </c>
      <c r="G738">
        <f t="shared" si="29"/>
        <v>-3.4702101367572701E-2</v>
      </c>
    </row>
    <row r="739" spans="1:144" x14ac:dyDescent="0.35">
      <c r="A739" t="s">
        <v>50</v>
      </c>
      <c r="E739">
        <v>-2.2234351889858003E-2</v>
      </c>
      <c r="F739">
        <f t="shared" si="28"/>
        <v>-2.239532455806988E-2</v>
      </c>
      <c r="G739">
        <f t="shared" si="29"/>
        <v>-3.4702101367572701E-2</v>
      </c>
    </row>
    <row r="740" spans="1:144" x14ac:dyDescent="0.35">
      <c r="A740" t="s">
        <v>50</v>
      </c>
      <c r="E740">
        <v>1.497137495067807E-2</v>
      </c>
      <c r="F740">
        <f t="shared" si="28"/>
        <v>-2.2398032208423273E-2</v>
      </c>
      <c r="G740">
        <f t="shared" si="29"/>
        <v>-3.4702101367572701E-2</v>
      </c>
    </row>
    <row r="741" spans="1:144" x14ac:dyDescent="0.35">
      <c r="A741" t="s">
        <v>50</v>
      </c>
      <c r="E741">
        <v>1.1442971710919386E-2</v>
      </c>
      <c r="F741">
        <f t="shared" si="28"/>
        <v>-2.24047403073727E-2</v>
      </c>
      <c r="G741">
        <f t="shared" si="29"/>
        <v>-3.4782520120246879E-2</v>
      </c>
    </row>
    <row r="742" spans="1:144" x14ac:dyDescent="0.35">
      <c r="A742" t="s">
        <v>50</v>
      </c>
      <c r="E742">
        <v>6.405708428508624E-3</v>
      </c>
      <c r="F742">
        <f t="shared" si="28"/>
        <v>-2.2411448406322129E-2</v>
      </c>
      <c r="G742">
        <f t="shared" si="29"/>
        <v>-3.4782520120246879E-2</v>
      </c>
    </row>
    <row r="743" spans="1:144" x14ac:dyDescent="0.35">
      <c r="A743" t="s">
        <v>50</v>
      </c>
      <c r="E743">
        <v>2.6310520685623958E-3</v>
      </c>
      <c r="F743">
        <f t="shared" si="28"/>
        <v>-2.2418156505271555E-2</v>
      </c>
      <c r="G743">
        <f t="shared" si="29"/>
        <v>-3.4782520120246879E-2</v>
      </c>
    </row>
    <row r="744" spans="1:144" x14ac:dyDescent="0.35">
      <c r="A744" t="s">
        <v>50</v>
      </c>
      <c r="E744">
        <v>6.0565186910784673E-3</v>
      </c>
      <c r="F744">
        <f t="shared" si="28"/>
        <v>-2.2424864604220985E-2</v>
      </c>
      <c r="G744">
        <f t="shared" si="29"/>
        <v>-3.4782520120246879E-2</v>
      </c>
    </row>
    <row r="745" spans="1:144" x14ac:dyDescent="0.35">
      <c r="A745" t="s">
        <v>50</v>
      </c>
      <c r="E745">
        <v>9.353961735253968E-3</v>
      </c>
      <c r="F745">
        <f t="shared" si="28"/>
        <v>-2.2431572703170415E-2</v>
      </c>
      <c r="G745">
        <f t="shared" si="29"/>
        <v>-3.4782520120246879E-2</v>
      </c>
    </row>
    <row r="746" spans="1:144" x14ac:dyDescent="0.35">
      <c r="A746" t="s">
        <v>50</v>
      </c>
      <c r="E746">
        <v>1.0918722446193605E-2</v>
      </c>
      <c r="F746">
        <f t="shared" si="28"/>
        <v>-2.2438280802119844E-2</v>
      </c>
      <c r="G746">
        <f t="shared" si="29"/>
        <v>-3.4782520120246879E-2</v>
      </c>
    </row>
    <row r="747" spans="1:144" x14ac:dyDescent="0.35">
      <c r="A747" t="s">
        <v>50</v>
      </c>
      <c r="E747">
        <v>4.0853219456691882E-3</v>
      </c>
      <c r="F747">
        <f t="shared" si="28"/>
        <v>-2.2444988901069274E-2</v>
      </c>
      <c r="G747">
        <f t="shared" si="29"/>
        <v>-3.4782520120246879E-2</v>
      </c>
    </row>
    <row r="748" spans="1:144" x14ac:dyDescent="0.35">
      <c r="A748" t="s">
        <v>50</v>
      </c>
      <c r="E748">
        <v>-3.9965458465856946E-3</v>
      </c>
      <c r="F748">
        <f t="shared" si="28"/>
        <v>-2.24516970000187E-2</v>
      </c>
      <c r="G748">
        <f t="shared" si="29"/>
        <v>-3.4782520120246879E-2</v>
      </c>
    </row>
    <row r="749" spans="1:144" x14ac:dyDescent="0.35">
      <c r="A749" t="s">
        <v>50</v>
      </c>
      <c r="E749">
        <v>4.5403216390411455E-3</v>
      </c>
      <c r="F749">
        <f t="shared" si="28"/>
        <v>-2.245840509896813E-2</v>
      </c>
      <c r="G749">
        <f t="shared" si="29"/>
        <v>-3.4782520120246879E-2</v>
      </c>
    </row>
    <row r="750" spans="1:144" x14ac:dyDescent="0.35">
      <c r="A750" t="s">
        <v>50</v>
      </c>
      <c r="E750">
        <v>-8.2554415011190097E-3</v>
      </c>
      <c r="F750">
        <f t="shared" si="28"/>
        <v>-2.2465113197917559E-2</v>
      </c>
      <c r="G750">
        <f t="shared" si="29"/>
        <v>-3.4782520120246879E-2</v>
      </c>
    </row>
    <row r="751" spans="1:144" s="3" customFormat="1" x14ac:dyDescent="0.35">
      <c r="A751" s="3" t="s">
        <v>51</v>
      </c>
      <c r="B751" s="3" cm="1">
        <f t="array" ref="B751">_xlfn.STDEV.S(_xlfn._xlws.FILTER($E$2:$E$1000, $A$2:$A$1000="2013-01"))</f>
        <v>1.3121020496989495E-2</v>
      </c>
      <c r="C751" s="3" cm="1">
        <f t="array" ref="C751">AVERAGE(_xlfn._xlws.FILTER($E$2:$E$1000, $A$2:$A$1000="2013-01"))</f>
        <v>3.1446306352674062E-3</v>
      </c>
      <c r="D751" s="3" cm="1">
        <f t="array" ref="D751">_xlfn.PERCENTILE.EXC(_xlfn._xlws.FILTER($E$751:$E$999, $A$751:$A$999="2013-01"), 0.05)</f>
        <v>-3.0255356905610535E-2</v>
      </c>
      <c r="E751" s="3">
        <v>3.7391777189854786E-2</v>
      </c>
      <c r="F751" s="3">
        <f t="shared" si="28"/>
        <v>-2.2471821296866985E-2</v>
      </c>
      <c r="G751" s="3">
        <f t="shared" si="29"/>
        <v>-3.4782520120246879E-2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</row>
    <row r="752" spans="1:144" x14ac:dyDescent="0.35">
      <c r="A752" t="s">
        <v>51</v>
      </c>
      <c r="E752">
        <v>9.7268847738114566E-4</v>
      </c>
      <c r="F752">
        <f t="shared" si="28"/>
        <v>-2.2478529395816415E-2</v>
      </c>
      <c r="G752">
        <f t="shared" si="29"/>
        <v>-3.4782520120246879E-2</v>
      </c>
    </row>
    <row r="753" spans="1:7" x14ac:dyDescent="0.35">
      <c r="A753" t="s">
        <v>51</v>
      </c>
      <c r="E753">
        <v>2.9495489445004442E-3</v>
      </c>
      <c r="F753">
        <f t="shared" si="28"/>
        <v>-2.2485237494765845E-2</v>
      </c>
      <c r="G753">
        <f t="shared" si="29"/>
        <v>-3.4782520120246879E-2</v>
      </c>
    </row>
    <row r="754" spans="1:7" x14ac:dyDescent="0.35">
      <c r="A754" t="s">
        <v>51</v>
      </c>
      <c r="E754">
        <v>-3.7878743661925616E-3</v>
      </c>
      <c r="F754">
        <f t="shared" si="28"/>
        <v>-2.2491945593715271E-2</v>
      </c>
      <c r="G754">
        <f t="shared" si="29"/>
        <v>-3.4782520120246879E-2</v>
      </c>
    </row>
    <row r="755" spans="1:7" x14ac:dyDescent="0.35">
      <c r="A755" t="s">
        <v>51</v>
      </c>
      <c r="E755">
        <v>3.2783039866831273E-3</v>
      </c>
      <c r="F755">
        <f t="shared" si="28"/>
        <v>-2.2498653692664704E-2</v>
      </c>
      <c r="G755">
        <f t="shared" si="29"/>
        <v>-3.4782520120246879E-2</v>
      </c>
    </row>
    <row r="756" spans="1:7" x14ac:dyDescent="0.35">
      <c r="A756" t="s">
        <v>51</v>
      </c>
      <c r="E756">
        <v>2.1888758660628588E-2</v>
      </c>
      <c r="F756">
        <f t="shared" si="28"/>
        <v>-2.250536179161413E-2</v>
      </c>
      <c r="G756">
        <f t="shared" si="29"/>
        <v>-3.4782520120246879E-2</v>
      </c>
    </row>
    <row r="757" spans="1:7" x14ac:dyDescent="0.35">
      <c r="A757" t="s">
        <v>51</v>
      </c>
      <c r="E757">
        <v>7.1771179575072976E-3</v>
      </c>
      <c r="F757">
        <f t="shared" si="28"/>
        <v>-2.251206989056356E-2</v>
      </c>
      <c r="G757">
        <f t="shared" si="29"/>
        <v>-3.4782520120246879E-2</v>
      </c>
    </row>
    <row r="758" spans="1:7" x14ac:dyDescent="0.35">
      <c r="A758" t="s">
        <v>51</v>
      </c>
      <c r="E758">
        <v>2.9364782128740241E-3</v>
      </c>
      <c r="F758">
        <f t="shared" si="28"/>
        <v>-2.2518777989512989E-2</v>
      </c>
      <c r="G758">
        <f t="shared" si="29"/>
        <v>-3.4782520120246879E-2</v>
      </c>
    </row>
    <row r="759" spans="1:7" x14ac:dyDescent="0.35">
      <c r="A759" t="s">
        <v>51</v>
      </c>
      <c r="E759">
        <v>-6.3708118610237997E-3</v>
      </c>
      <c r="F759">
        <f t="shared" si="28"/>
        <v>-2.2525486088462415E-2</v>
      </c>
      <c r="G759">
        <f t="shared" si="29"/>
        <v>-3.4782520120246879E-2</v>
      </c>
    </row>
    <row r="760" spans="1:7" x14ac:dyDescent="0.35">
      <c r="A760" t="s">
        <v>51</v>
      </c>
      <c r="E760">
        <v>4.3742352882850137E-3</v>
      </c>
      <c r="F760">
        <f t="shared" si="28"/>
        <v>-2.2532194187411845E-2</v>
      </c>
      <c r="G760">
        <f t="shared" si="29"/>
        <v>-3.4782520120246879E-2</v>
      </c>
    </row>
    <row r="761" spans="1:7" x14ac:dyDescent="0.35">
      <c r="A761" t="s">
        <v>51</v>
      </c>
      <c r="E761">
        <v>-7.3277786183775081E-3</v>
      </c>
      <c r="F761">
        <f t="shared" si="28"/>
        <v>-2.2539728382851884E-2</v>
      </c>
      <c r="G761">
        <f t="shared" si="29"/>
        <v>-3.4863114369805E-2</v>
      </c>
    </row>
    <row r="762" spans="1:7" x14ac:dyDescent="0.35">
      <c r="A762" t="s">
        <v>51</v>
      </c>
      <c r="E762">
        <v>1.4166805777594155E-2</v>
      </c>
      <c r="F762">
        <f t="shared" si="28"/>
        <v>-2.254726257829193E-2</v>
      </c>
      <c r="G762">
        <f t="shared" si="29"/>
        <v>-3.4863114369805E-2</v>
      </c>
    </row>
    <row r="763" spans="1:7" x14ac:dyDescent="0.35">
      <c r="A763" t="s">
        <v>51</v>
      </c>
      <c r="E763">
        <v>-1.8906437574910467E-3</v>
      </c>
      <c r="F763">
        <f t="shared" si="28"/>
        <v>-2.2554796773731973E-2</v>
      </c>
      <c r="G763">
        <f t="shared" si="29"/>
        <v>-3.4863114369805E-2</v>
      </c>
    </row>
    <row r="764" spans="1:7" x14ac:dyDescent="0.35">
      <c r="A764" t="s">
        <v>51</v>
      </c>
      <c r="E764">
        <v>4.4256159577102834E-3</v>
      </c>
      <c r="F764">
        <f t="shared" si="28"/>
        <v>-2.2562330969172012E-2</v>
      </c>
      <c r="G764">
        <f t="shared" si="29"/>
        <v>-3.4863114369805E-2</v>
      </c>
    </row>
    <row r="765" spans="1:7" x14ac:dyDescent="0.35">
      <c r="A765" t="s">
        <v>51</v>
      </c>
      <c r="E765">
        <v>4.7476756102755521E-3</v>
      </c>
      <c r="F765">
        <f t="shared" si="28"/>
        <v>-2.2569865164612058E-2</v>
      </c>
      <c r="G765">
        <f t="shared" si="29"/>
        <v>-3.4863114369805E-2</v>
      </c>
    </row>
    <row r="766" spans="1:7" x14ac:dyDescent="0.35">
      <c r="A766" t="s">
        <v>51</v>
      </c>
      <c r="E766">
        <v>-7.7575336122297422E-3</v>
      </c>
      <c r="F766">
        <f t="shared" si="28"/>
        <v>-2.2577399360052097E-2</v>
      </c>
      <c r="G766">
        <f t="shared" si="29"/>
        <v>-3.4863114369805E-2</v>
      </c>
    </row>
    <row r="767" spans="1:7" x14ac:dyDescent="0.35">
      <c r="A767" t="s">
        <v>51</v>
      </c>
      <c r="E767">
        <v>1.0053959488781575E-2</v>
      </c>
      <c r="F767">
        <f t="shared" si="28"/>
        <v>-2.258493355549214E-2</v>
      </c>
      <c r="G767">
        <f t="shared" si="29"/>
        <v>-3.4863114369805E-2</v>
      </c>
    </row>
    <row r="768" spans="1:7" x14ac:dyDescent="0.35">
      <c r="A768" t="s">
        <v>51</v>
      </c>
      <c r="E768">
        <v>-1.6762715178109094E-3</v>
      </c>
      <c r="F768">
        <f t="shared" si="28"/>
        <v>-2.2592467750932186E-2</v>
      </c>
      <c r="G768">
        <f t="shared" si="29"/>
        <v>-3.4863114369805E-2</v>
      </c>
    </row>
    <row r="769" spans="1:144" x14ac:dyDescent="0.35">
      <c r="A769" t="s">
        <v>51</v>
      </c>
      <c r="E769">
        <v>9.57331385155058E-3</v>
      </c>
      <c r="F769">
        <f t="shared" si="28"/>
        <v>-2.2600001946372225E-2</v>
      </c>
      <c r="G769">
        <f t="shared" si="29"/>
        <v>-3.4863114369805E-2</v>
      </c>
    </row>
    <row r="770" spans="1:144" x14ac:dyDescent="0.35">
      <c r="A770" t="s">
        <v>51</v>
      </c>
      <c r="E770">
        <v>-3.0735426341140843E-4</v>
      </c>
      <c r="F770">
        <f t="shared" si="28"/>
        <v>-2.2607536141812268E-2</v>
      </c>
      <c r="G770">
        <f t="shared" si="29"/>
        <v>-3.4863114369805E-2</v>
      </c>
    </row>
    <row r="771" spans="1:144" x14ac:dyDescent="0.35">
      <c r="A771" t="s">
        <v>51</v>
      </c>
      <c r="E771">
        <v>-3.4225561016207148E-2</v>
      </c>
      <c r="F771">
        <f t="shared" si="28"/>
        <v>-2.261507033725231E-2</v>
      </c>
      <c r="G771">
        <f t="shared" si="29"/>
        <v>-3.4863114369805E-2</v>
      </c>
    </row>
    <row r="772" spans="1:144" x14ac:dyDescent="0.35">
      <c r="A772" t="s">
        <v>51</v>
      </c>
      <c r="E772">
        <v>8.5894235850004792E-3</v>
      </c>
      <c r="F772">
        <f t="shared" ref="F772:F835" si="30">_xlfn.PERCENTILE.EXC(E772:E4587,0.05)</f>
        <v>-2.2478529395816415E-2</v>
      </c>
      <c r="G772">
        <f t="shared" ref="G772:G835" si="31">AVERAGEIFS(E772:E4588,E772:E4588,"&lt;=" &amp; F772)</f>
        <v>-3.4786184324878733E-2</v>
      </c>
    </row>
    <row r="773" spans="1:144" s="3" customFormat="1" x14ac:dyDescent="0.35">
      <c r="A773" s="3" t="s">
        <v>52</v>
      </c>
      <c r="B773" s="3" cm="1">
        <f t="array" ref="B773">_xlfn.STDEV.S(_xlfn._xlws.FILTER($E$2:$E$1000, $A$2:$A$1000="2013-02"))</f>
        <v>1.9084581586317775E-2</v>
      </c>
      <c r="C773" s="3" cm="1">
        <f t="array" ref="C773">AVERAGE(_xlfn._xlws.FILTER($E$2:$E$1000, $A$2:$A$1000="2013-02"))</f>
        <v>-4.5528911511912538E-3</v>
      </c>
      <c r="D773" s="3" cm="1">
        <f t="array" ref="D773">_xlfn.PERCENTILE.EXC(_xlfn._xlws.FILTER($E$751:$E$999, $A$751:$A$999="2013-02"), 0.05)</f>
        <v>-4.9944093622649524E-2</v>
      </c>
      <c r="E773" s="3">
        <v>-6.911817608008494E-3</v>
      </c>
      <c r="F773" s="3">
        <f t="shared" si="30"/>
        <v>-2.2485237494765845E-2</v>
      </c>
      <c r="G773" s="3">
        <f t="shared" si="31"/>
        <v>-3.4786184324878733E-2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</row>
    <row r="774" spans="1:144" x14ac:dyDescent="0.35">
      <c r="A774" t="s">
        <v>52</v>
      </c>
      <c r="E774">
        <v>-4.6079472061992297E-2</v>
      </c>
      <c r="F774">
        <f t="shared" si="30"/>
        <v>-2.2491945593715271E-2</v>
      </c>
      <c r="G774">
        <f t="shared" si="31"/>
        <v>-3.4786184324878733E-2</v>
      </c>
    </row>
    <row r="775" spans="1:144" x14ac:dyDescent="0.35">
      <c r="A775" t="s">
        <v>52</v>
      </c>
      <c r="E775">
        <v>1.0421353540690738E-2</v>
      </c>
      <c r="F775">
        <f t="shared" si="30"/>
        <v>-2.2384493956656308E-2</v>
      </c>
      <c r="G775">
        <f t="shared" si="31"/>
        <v>-3.4630385378473676E-2</v>
      </c>
    </row>
    <row r="776" spans="1:144" x14ac:dyDescent="0.35">
      <c r="A776" t="s">
        <v>52</v>
      </c>
      <c r="E776">
        <v>-6.5682144433444655E-3</v>
      </c>
      <c r="F776">
        <f t="shared" si="30"/>
        <v>-2.2387201607009698E-2</v>
      </c>
      <c r="G776">
        <f t="shared" si="31"/>
        <v>-3.4630385378473676E-2</v>
      </c>
    </row>
    <row r="777" spans="1:144" x14ac:dyDescent="0.35">
      <c r="A777" t="s">
        <v>52</v>
      </c>
      <c r="E777">
        <v>-1.225888678435942E-2</v>
      </c>
      <c r="F777">
        <f t="shared" si="30"/>
        <v>-2.2389909257363092E-2</v>
      </c>
      <c r="G777">
        <f t="shared" si="31"/>
        <v>-3.4630385378473676E-2</v>
      </c>
    </row>
    <row r="778" spans="1:144" x14ac:dyDescent="0.35">
      <c r="A778" t="s">
        <v>52</v>
      </c>
      <c r="E778">
        <v>1.392287830973573E-2</v>
      </c>
      <c r="F778">
        <f t="shared" si="30"/>
        <v>-2.2392616907716486E-2</v>
      </c>
      <c r="G778">
        <f t="shared" si="31"/>
        <v>-3.4630385378473676E-2</v>
      </c>
    </row>
    <row r="779" spans="1:144" x14ac:dyDescent="0.35">
      <c r="A779" t="s">
        <v>52</v>
      </c>
      <c r="E779">
        <v>-6.0693115851796903E-3</v>
      </c>
      <c r="F779">
        <f t="shared" si="30"/>
        <v>-2.239532455806988E-2</v>
      </c>
      <c r="G779">
        <f t="shared" si="31"/>
        <v>-3.4630385378473676E-2</v>
      </c>
    </row>
    <row r="780" spans="1:144" x14ac:dyDescent="0.35">
      <c r="A780" t="s">
        <v>52</v>
      </c>
      <c r="E780">
        <v>6.9077802120159166E-3</v>
      </c>
      <c r="F780">
        <f t="shared" si="30"/>
        <v>-2.2398032208423273E-2</v>
      </c>
      <c r="G780">
        <f t="shared" si="31"/>
        <v>-3.4630385378473676E-2</v>
      </c>
    </row>
    <row r="781" spans="1:144" x14ac:dyDescent="0.35">
      <c r="A781" t="s">
        <v>52</v>
      </c>
      <c r="E781">
        <v>4.0591722751741229E-3</v>
      </c>
      <c r="F781">
        <f t="shared" si="30"/>
        <v>-2.24047403073727E-2</v>
      </c>
      <c r="G781">
        <f t="shared" si="31"/>
        <v>-3.4711394339864733E-2</v>
      </c>
    </row>
    <row r="782" spans="1:144" x14ac:dyDescent="0.35">
      <c r="A782" t="s">
        <v>52</v>
      </c>
      <c r="E782">
        <v>-1.0055080492425985E-2</v>
      </c>
      <c r="F782">
        <f t="shared" si="30"/>
        <v>-2.2411448406322129E-2</v>
      </c>
      <c r="G782">
        <f t="shared" si="31"/>
        <v>-3.4711394339864733E-2</v>
      </c>
    </row>
    <row r="783" spans="1:144" x14ac:dyDescent="0.35">
      <c r="A783" t="s">
        <v>52</v>
      </c>
      <c r="E783">
        <v>-3.3389113727729353E-3</v>
      </c>
      <c r="F783">
        <f t="shared" si="30"/>
        <v>-2.2418156505271559E-2</v>
      </c>
      <c r="G783">
        <f t="shared" si="31"/>
        <v>-3.4711394339864733E-2</v>
      </c>
    </row>
    <row r="784" spans="1:144" x14ac:dyDescent="0.35">
      <c r="A784" t="s">
        <v>52</v>
      </c>
      <c r="E784">
        <v>-5.0930577570113805E-3</v>
      </c>
      <c r="F784">
        <f t="shared" si="30"/>
        <v>-2.2424864604220985E-2</v>
      </c>
      <c r="G784">
        <f t="shared" si="31"/>
        <v>-3.4711394339864733E-2</v>
      </c>
    </row>
    <row r="785" spans="1:144" x14ac:dyDescent="0.35">
      <c r="A785" t="s">
        <v>52</v>
      </c>
      <c r="E785">
        <v>1.5626957495520493E-2</v>
      </c>
      <c r="F785">
        <f t="shared" si="30"/>
        <v>-2.2431572703170415E-2</v>
      </c>
      <c r="G785">
        <f t="shared" si="31"/>
        <v>-3.4711394339864733E-2</v>
      </c>
    </row>
    <row r="786" spans="1:144" x14ac:dyDescent="0.35">
      <c r="A786" t="s">
        <v>52</v>
      </c>
      <c r="E786">
        <v>-8.2502474481035599E-3</v>
      </c>
      <c r="F786">
        <f t="shared" si="30"/>
        <v>-2.2438280802119844E-2</v>
      </c>
      <c r="G786">
        <f t="shared" si="31"/>
        <v>-3.4711394339864733E-2</v>
      </c>
    </row>
    <row r="787" spans="1:144" x14ac:dyDescent="0.35">
      <c r="A787" t="s">
        <v>52</v>
      </c>
      <c r="E787">
        <v>-3.1840241044848672E-2</v>
      </c>
      <c r="F787">
        <f t="shared" si="30"/>
        <v>-2.2444988901069274E-2</v>
      </c>
      <c r="G787">
        <f t="shared" si="31"/>
        <v>-3.4711394339864733E-2</v>
      </c>
    </row>
    <row r="788" spans="1:144" x14ac:dyDescent="0.35">
      <c r="A788" t="s">
        <v>52</v>
      </c>
      <c r="E788">
        <v>1.387803681334545E-2</v>
      </c>
      <c r="F788">
        <f t="shared" si="30"/>
        <v>-2.2365540404182555E-2</v>
      </c>
      <c r="G788">
        <f t="shared" si="31"/>
        <v>-3.4648863155517545E-2</v>
      </c>
    </row>
    <row r="789" spans="1:144" x14ac:dyDescent="0.35">
      <c r="A789" t="s">
        <v>52</v>
      </c>
      <c r="E789">
        <v>7.2861464810258705E-3</v>
      </c>
      <c r="F789">
        <f t="shared" si="30"/>
        <v>-2.2368248054535946E-2</v>
      </c>
      <c r="G789">
        <f t="shared" si="31"/>
        <v>-3.4648863155517545E-2</v>
      </c>
    </row>
    <row r="790" spans="1:144" x14ac:dyDescent="0.35">
      <c r="A790" t="s">
        <v>52</v>
      </c>
      <c r="E790">
        <v>-5.014749475742096E-2</v>
      </c>
      <c r="F790">
        <f t="shared" si="30"/>
        <v>-2.2370955704889339E-2</v>
      </c>
      <c r="G790">
        <f t="shared" si="31"/>
        <v>-3.4648863155517545E-2</v>
      </c>
    </row>
    <row r="791" spans="1:144" x14ac:dyDescent="0.35">
      <c r="A791" t="s">
        <v>52</v>
      </c>
      <c r="E791">
        <v>1.7516498296010038E-2</v>
      </c>
      <c r="F791">
        <f t="shared" si="30"/>
        <v>-2.2208634492290914E-2</v>
      </c>
      <c r="G791">
        <f t="shared" si="31"/>
        <v>-3.4464733251172747E-2</v>
      </c>
    </row>
    <row r="792" spans="1:144" x14ac:dyDescent="0.35">
      <c r="A792" t="s">
        <v>52</v>
      </c>
      <c r="E792">
        <v>5.9360889081244263E-3</v>
      </c>
      <c r="F792">
        <f t="shared" si="30"/>
        <v>-2.2223661682186972E-2</v>
      </c>
      <c r="G792">
        <f t="shared" si="31"/>
        <v>-3.4464733251172747E-2</v>
      </c>
    </row>
    <row r="793" spans="1:144" s="3" customFormat="1" x14ac:dyDescent="0.35">
      <c r="A793" s="3" t="s">
        <v>53</v>
      </c>
      <c r="B793" s="3" cm="1">
        <f t="array" ref="B793">_xlfn.STDEV.S(_xlfn._xlws.FILTER($E$2:$E$1000, $A$2:$A$1000="2013-03"))</f>
        <v>1.4433728589472863E-2</v>
      </c>
      <c r="C793" s="3" cm="1">
        <f t="array" ref="C793">AVERAGE(_xlfn._xlws.FILTER($E$2:$E$1000, $A$2:$A$1000="2013-03"))</f>
        <v>-1.8637172222972689E-3</v>
      </c>
      <c r="D793" s="3" cm="1">
        <f t="array" ref="D793">_xlfn.PERCENTILE.EXC(_xlfn._xlws.FILTER($E$751:$E$999, $A$751:$A$999="2013-03"), 0.05)</f>
        <v>-2.4929756550999976E-2</v>
      </c>
      <c r="E793" s="3">
        <v>-1.5564004215719046E-2</v>
      </c>
      <c r="F793" s="3">
        <f t="shared" si="30"/>
        <v>-2.223868887208303E-2</v>
      </c>
      <c r="G793" s="3">
        <f t="shared" si="31"/>
        <v>-3.4464733251172747E-2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</row>
    <row r="794" spans="1:144" x14ac:dyDescent="0.35">
      <c r="A794" t="s">
        <v>53</v>
      </c>
      <c r="E794">
        <v>-8.5337158756791202E-3</v>
      </c>
      <c r="F794">
        <f t="shared" si="30"/>
        <v>-2.2253716061979078E-2</v>
      </c>
      <c r="G794">
        <f t="shared" si="31"/>
        <v>-3.4464733251172747E-2</v>
      </c>
    </row>
    <row r="795" spans="1:144" x14ac:dyDescent="0.35">
      <c r="A795" t="s">
        <v>53</v>
      </c>
      <c r="E795">
        <v>2.742420600675358E-2</v>
      </c>
      <c r="F795">
        <f t="shared" si="30"/>
        <v>-2.2268743251875136E-2</v>
      </c>
      <c r="G795">
        <f t="shared" si="31"/>
        <v>-3.4464733251172747E-2</v>
      </c>
    </row>
    <row r="796" spans="1:144" x14ac:dyDescent="0.35">
      <c r="A796" t="s">
        <v>53</v>
      </c>
      <c r="E796">
        <v>-4.6809397135316889E-3</v>
      </c>
      <c r="F796">
        <f t="shared" si="30"/>
        <v>-2.2283770441771187E-2</v>
      </c>
      <c r="G796">
        <f t="shared" si="31"/>
        <v>-3.4464733251172747E-2</v>
      </c>
    </row>
    <row r="797" spans="1:144" x14ac:dyDescent="0.35">
      <c r="A797" t="s">
        <v>53</v>
      </c>
      <c r="E797">
        <v>2.9811428976428416E-3</v>
      </c>
      <c r="F797">
        <f t="shared" si="30"/>
        <v>-2.2298797631667245E-2</v>
      </c>
      <c r="G797">
        <f t="shared" si="31"/>
        <v>-3.4464733251172747E-2</v>
      </c>
    </row>
    <row r="798" spans="1:144" x14ac:dyDescent="0.35">
      <c r="A798" t="s">
        <v>53</v>
      </c>
      <c r="E798">
        <v>1.5978592712148718E-2</v>
      </c>
      <c r="F798">
        <f t="shared" si="30"/>
        <v>-2.2313824821563303E-2</v>
      </c>
      <c r="G798">
        <f t="shared" si="31"/>
        <v>-3.4464733251172747E-2</v>
      </c>
    </row>
    <row r="799" spans="1:144" x14ac:dyDescent="0.35">
      <c r="A799" t="s">
        <v>53</v>
      </c>
      <c r="E799">
        <v>-6.9389655002701544E-3</v>
      </c>
      <c r="F799">
        <f t="shared" si="30"/>
        <v>-2.2328852011459351E-2</v>
      </c>
      <c r="G799">
        <f t="shared" si="31"/>
        <v>-3.4464733251172747E-2</v>
      </c>
    </row>
    <row r="800" spans="1:144" x14ac:dyDescent="0.35">
      <c r="A800" t="s">
        <v>53</v>
      </c>
      <c r="E800">
        <v>-4.2346609982477027E-3</v>
      </c>
      <c r="F800">
        <f t="shared" si="30"/>
        <v>-2.2343879201355409E-2</v>
      </c>
      <c r="G800">
        <f t="shared" si="31"/>
        <v>-3.4464733251172747E-2</v>
      </c>
    </row>
    <row r="801" spans="1:144" x14ac:dyDescent="0.35">
      <c r="A801" t="s">
        <v>53</v>
      </c>
      <c r="E801">
        <v>-1.7541901758217144E-2</v>
      </c>
      <c r="F801">
        <f t="shared" si="30"/>
        <v>-2.2346586851708802E-2</v>
      </c>
      <c r="G801">
        <f t="shared" si="31"/>
        <v>-3.4545538944838187E-2</v>
      </c>
    </row>
    <row r="802" spans="1:144" x14ac:dyDescent="0.35">
      <c r="A802" t="s">
        <v>53</v>
      </c>
      <c r="E802">
        <v>2.420153763598017E-2</v>
      </c>
      <c r="F802">
        <f t="shared" si="30"/>
        <v>-2.2349294502062196E-2</v>
      </c>
      <c r="G802">
        <f t="shared" si="31"/>
        <v>-3.4545538944838187E-2</v>
      </c>
    </row>
    <row r="803" spans="1:144" x14ac:dyDescent="0.35">
      <c r="A803" t="s">
        <v>53</v>
      </c>
      <c r="E803">
        <v>-4.3426736819826397E-3</v>
      </c>
      <c r="F803">
        <f t="shared" si="30"/>
        <v>-2.235200215241559E-2</v>
      </c>
      <c r="G803">
        <f t="shared" si="31"/>
        <v>-3.4545538944838187E-2</v>
      </c>
    </row>
    <row r="804" spans="1:144" x14ac:dyDescent="0.35">
      <c r="A804" t="s">
        <v>53</v>
      </c>
      <c r="E804">
        <v>-8.5677435480178091E-3</v>
      </c>
      <c r="F804">
        <f t="shared" si="30"/>
        <v>-2.235470980276898E-2</v>
      </c>
      <c r="G804">
        <f t="shared" si="31"/>
        <v>-3.4545538944838187E-2</v>
      </c>
    </row>
    <row r="805" spans="1:144" x14ac:dyDescent="0.35">
      <c r="A805" t="s">
        <v>53</v>
      </c>
      <c r="E805">
        <v>-1.6051776076099547E-2</v>
      </c>
      <c r="F805">
        <f t="shared" si="30"/>
        <v>-2.2357417453122374E-2</v>
      </c>
      <c r="G805">
        <f t="shared" si="31"/>
        <v>-3.4545538944838187E-2</v>
      </c>
    </row>
    <row r="806" spans="1:144" x14ac:dyDescent="0.35">
      <c r="A806" t="s">
        <v>53</v>
      </c>
      <c r="E806">
        <v>2.1803181014243302E-2</v>
      </c>
      <c r="F806">
        <f t="shared" si="30"/>
        <v>-2.2360125103475768E-2</v>
      </c>
      <c r="G806">
        <f t="shared" si="31"/>
        <v>-3.4545538944838187E-2</v>
      </c>
    </row>
    <row r="807" spans="1:144" x14ac:dyDescent="0.35">
      <c r="A807" t="s">
        <v>53</v>
      </c>
      <c r="E807">
        <v>-5.0069004888309209E-3</v>
      </c>
      <c r="F807">
        <f t="shared" si="30"/>
        <v>-2.2362832753829161E-2</v>
      </c>
      <c r="G807">
        <f t="shared" si="31"/>
        <v>-3.4545538944838187E-2</v>
      </c>
    </row>
    <row r="808" spans="1:144" x14ac:dyDescent="0.35">
      <c r="A808" t="s">
        <v>53</v>
      </c>
      <c r="E808">
        <v>6.8489863276548707E-3</v>
      </c>
      <c r="F808">
        <f t="shared" si="30"/>
        <v>-2.2365540404182555E-2</v>
      </c>
      <c r="G808">
        <f t="shared" si="31"/>
        <v>-3.4545538944838187E-2</v>
      </c>
    </row>
    <row r="809" spans="1:144" x14ac:dyDescent="0.35">
      <c r="A809" t="s">
        <v>53</v>
      </c>
      <c r="E809">
        <v>-2.5318591013778018E-2</v>
      </c>
      <c r="F809">
        <f t="shared" si="30"/>
        <v>-2.2368248054535946E-2</v>
      </c>
      <c r="G809">
        <f t="shared" si="31"/>
        <v>-3.4545538944838187E-2</v>
      </c>
    </row>
    <row r="810" spans="1:144" x14ac:dyDescent="0.35">
      <c r="A810" t="s">
        <v>53</v>
      </c>
      <c r="E810">
        <v>-9.5337051771261228E-3</v>
      </c>
      <c r="F810">
        <f t="shared" si="30"/>
        <v>-2.2193607302394863E-2</v>
      </c>
      <c r="G810">
        <f t="shared" si="31"/>
        <v>-3.452570753275537E-2</v>
      </c>
    </row>
    <row r="811" spans="1:144" x14ac:dyDescent="0.35">
      <c r="A811" t="s">
        <v>53</v>
      </c>
      <c r="E811">
        <v>-9.2105065519585694E-3</v>
      </c>
      <c r="F811">
        <f t="shared" si="30"/>
        <v>-2.2208634492290914E-2</v>
      </c>
      <c r="G811">
        <f t="shared" si="31"/>
        <v>-3.452570753275537E-2</v>
      </c>
    </row>
    <row r="812" spans="1:144" x14ac:dyDescent="0.35">
      <c r="A812" t="s">
        <v>53</v>
      </c>
      <c r="E812">
        <v>-9.8590644091037932E-4</v>
      </c>
      <c r="F812">
        <f t="shared" si="30"/>
        <v>-2.2223661682186972E-2</v>
      </c>
      <c r="G812">
        <f t="shared" si="31"/>
        <v>-3.452570753275537E-2</v>
      </c>
    </row>
    <row r="813" spans="1:144" s="3" customFormat="1" x14ac:dyDescent="0.35">
      <c r="A813" s="3" t="s">
        <v>54</v>
      </c>
      <c r="B813" s="3" cm="1">
        <f t="array" ref="B813">_xlfn.STDEV.S(_xlfn._xlws.FILTER($E$2:$E$1000, $A$2:$A$1000="2013-04"))</f>
        <v>1.4375219878184839E-2</v>
      </c>
      <c r="C813" s="3" cm="1">
        <f t="array" ref="C813">AVERAGE(_xlfn._xlws.FILTER($E$2:$E$1000, $A$2:$A$1000="2013-04"))</f>
        <v>4.2415086066481672E-3</v>
      </c>
      <c r="D813" s="3" cm="1">
        <f t="array" ref="D813">_xlfn.PERCENTILE.EXC(_xlfn._xlws.FILTER($E$751:$E$999, $A$751:$A$999="2013-04"), 0.05)</f>
        <v>-2.2276640930490369E-2</v>
      </c>
      <c r="E813" s="3">
        <v>1.400370851216199E-2</v>
      </c>
      <c r="F813" s="3">
        <f t="shared" si="30"/>
        <v>-2.223868887208303E-2</v>
      </c>
      <c r="G813" s="3">
        <f t="shared" si="31"/>
        <v>-3.452570753275537E-2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</row>
    <row r="814" spans="1:144" x14ac:dyDescent="0.35">
      <c r="A814" t="s">
        <v>54</v>
      </c>
      <c r="E814">
        <v>-2.3068894488482126E-2</v>
      </c>
      <c r="F814">
        <f t="shared" si="30"/>
        <v>-2.2253716061979078E-2</v>
      </c>
      <c r="G814">
        <f t="shared" si="31"/>
        <v>-3.452570753275537E-2</v>
      </c>
    </row>
    <row r="815" spans="1:144" x14ac:dyDescent="0.35">
      <c r="A815" t="s">
        <v>54</v>
      </c>
      <c r="E815">
        <v>-3.0493212077007587E-3</v>
      </c>
      <c r="F815">
        <f t="shared" si="30"/>
        <v>-2.2042468188661998E-2</v>
      </c>
      <c r="G815">
        <f t="shared" si="31"/>
        <v>-3.4518870472188393E-2</v>
      </c>
    </row>
    <row r="816" spans="1:144" x14ac:dyDescent="0.35">
      <c r="A816" t="s">
        <v>54</v>
      </c>
      <c r="E816">
        <v>6.341200365914978E-3</v>
      </c>
      <c r="F816">
        <f t="shared" si="30"/>
        <v>-2.2042641631616462E-2</v>
      </c>
      <c r="G816">
        <f t="shared" si="31"/>
        <v>-3.4518870472188393E-2</v>
      </c>
    </row>
    <row r="817" spans="1:7" x14ac:dyDescent="0.35">
      <c r="A817" t="s">
        <v>54</v>
      </c>
      <c r="E817">
        <v>-4.6107719071796877E-4</v>
      </c>
      <c r="F817">
        <f t="shared" si="30"/>
        <v>-2.2042815074570926E-2</v>
      </c>
      <c r="G817">
        <f t="shared" si="31"/>
        <v>-3.4518870472188393E-2</v>
      </c>
    </row>
    <row r="818" spans="1:7" x14ac:dyDescent="0.35">
      <c r="A818" t="s">
        <v>54</v>
      </c>
      <c r="E818">
        <v>1.2561012051615547E-2</v>
      </c>
      <c r="F818">
        <f t="shared" si="30"/>
        <v>-2.2042988517525394E-2</v>
      </c>
      <c r="G818">
        <f t="shared" si="31"/>
        <v>-3.4518870472188393E-2</v>
      </c>
    </row>
    <row r="819" spans="1:7" x14ac:dyDescent="0.35">
      <c r="A819" t="s">
        <v>54</v>
      </c>
      <c r="E819">
        <v>3.141176824965048E-2</v>
      </c>
      <c r="F819">
        <f t="shared" si="30"/>
        <v>-2.2043161960479857E-2</v>
      </c>
      <c r="G819">
        <f t="shared" si="31"/>
        <v>-3.4518870472188393E-2</v>
      </c>
    </row>
    <row r="820" spans="1:7" x14ac:dyDescent="0.35">
      <c r="A820" t="s">
        <v>54</v>
      </c>
      <c r="E820">
        <v>5.7759972536042918E-3</v>
      </c>
      <c r="F820">
        <f t="shared" si="30"/>
        <v>-2.2043335403434321E-2</v>
      </c>
      <c r="G820">
        <f t="shared" si="31"/>
        <v>-3.4518870472188393E-2</v>
      </c>
    </row>
    <row r="821" spans="1:7" x14ac:dyDescent="0.35">
      <c r="A821" t="s">
        <v>54</v>
      </c>
      <c r="E821">
        <v>-1.5146358908564561E-2</v>
      </c>
      <c r="F821">
        <f t="shared" si="30"/>
        <v>-2.2058362593330369E-2</v>
      </c>
      <c r="G821">
        <f t="shared" si="31"/>
        <v>-3.4602598895468614E-2</v>
      </c>
    </row>
    <row r="822" spans="1:7" x14ac:dyDescent="0.35">
      <c r="A822" t="s">
        <v>54</v>
      </c>
      <c r="E822">
        <v>-9.6234214394395196E-3</v>
      </c>
      <c r="F822">
        <f t="shared" si="30"/>
        <v>-2.2073389783226427E-2</v>
      </c>
      <c r="G822">
        <f t="shared" si="31"/>
        <v>-3.4602598895468614E-2</v>
      </c>
    </row>
    <row r="823" spans="1:7" x14ac:dyDescent="0.35">
      <c r="A823" t="s">
        <v>54</v>
      </c>
      <c r="E823">
        <v>-6.1555955089178981E-3</v>
      </c>
      <c r="F823">
        <f t="shared" si="30"/>
        <v>-2.2088416973122485E-2</v>
      </c>
      <c r="G823">
        <f t="shared" si="31"/>
        <v>-3.4602598895468614E-2</v>
      </c>
    </row>
    <row r="824" spans="1:7" x14ac:dyDescent="0.35">
      <c r="A824" t="s">
        <v>54</v>
      </c>
      <c r="E824">
        <v>-9.6569606242489503E-3</v>
      </c>
      <c r="F824">
        <f t="shared" si="30"/>
        <v>-2.2103444163018536E-2</v>
      </c>
      <c r="G824">
        <f t="shared" si="31"/>
        <v>-3.4602598895468614E-2</v>
      </c>
    </row>
    <row r="825" spans="1:7" x14ac:dyDescent="0.35">
      <c r="A825" t="s">
        <v>54</v>
      </c>
      <c r="E825">
        <v>6.2726356770874498E-3</v>
      </c>
      <c r="F825">
        <f t="shared" si="30"/>
        <v>-2.2118471352914594E-2</v>
      </c>
      <c r="G825">
        <f t="shared" si="31"/>
        <v>-3.4602598895468614E-2</v>
      </c>
    </row>
    <row r="826" spans="1:7" x14ac:dyDescent="0.35">
      <c r="A826" t="s">
        <v>54</v>
      </c>
      <c r="E826">
        <v>1.7939532372962096E-2</v>
      </c>
      <c r="F826">
        <f t="shared" si="30"/>
        <v>-2.2133498542810642E-2</v>
      </c>
      <c r="G826">
        <f t="shared" si="31"/>
        <v>-3.4602598895468614E-2</v>
      </c>
    </row>
    <row r="827" spans="1:7" x14ac:dyDescent="0.35">
      <c r="A827" t="s">
        <v>54</v>
      </c>
      <c r="E827">
        <v>1.642010192595833E-2</v>
      </c>
      <c r="F827">
        <f t="shared" si="30"/>
        <v>-2.21485257327067E-2</v>
      </c>
      <c r="G827">
        <f t="shared" si="31"/>
        <v>-3.4602598895468614E-2</v>
      </c>
    </row>
    <row r="828" spans="1:7" x14ac:dyDescent="0.35">
      <c r="A828" t="s">
        <v>54</v>
      </c>
      <c r="E828">
        <v>2.8856152931207493E-2</v>
      </c>
      <c r="F828">
        <f t="shared" si="30"/>
        <v>-2.2163552922602758E-2</v>
      </c>
      <c r="G828">
        <f t="shared" si="31"/>
        <v>-3.4602598895468614E-2</v>
      </c>
    </row>
    <row r="829" spans="1:7" x14ac:dyDescent="0.35">
      <c r="A829" t="s">
        <v>54</v>
      </c>
      <c r="E829">
        <v>4.3964226654539017E-3</v>
      </c>
      <c r="F829">
        <f t="shared" si="30"/>
        <v>-2.2178580112498809E-2</v>
      </c>
      <c r="G829">
        <f t="shared" si="31"/>
        <v>-3.4602598895468614E-2</v>
      </c>
    </row>
    <row r="830" spans="1:7" x14ac:dyDescent="0.35">
      <c r="A830" t="s">
        <v>54</v>
      </c>
      <c r="E830">
        <v>5.1979481852792537E-3</v>
      </c>
      <c r="F830">
        <f t="shared" si="30"/>
        <v>-2.2193607302394863E-2</v>
      </c>
      <c r="G830">
        <f t="shared" si="31"/>
        <v>-3.4602598895468614E-2</v>
      </c>
    </row>
    <row r="831" spans="1:7" x14ac:dyDescent="0.35">
      <c r="A831" t="s">
        <v>54</v>
      </c>
      <c r="E831">
        <v>-5.0880735991605868E-3</v>
      </c>
      <c r="F831">
        <f t="shared" si="30"/>
        <v>-2.2208634492290914E-2</v>
      </c>
      <c r="G831">
        <f t="shared" si="31"/>
        <v>-3.4602598895468614E-2</v>
      </c>
    </row>
    <row r="832" spans="1:7" x14ac:dyDescent="0.35">
      <c r="A832" t="s">
        <v>54</v>
      </c>
      <c r="E832">
        <v>2.1761166908325021E-2</v>
      </c>
      <c r="F832">
        <f t="shared" si="30"/>
        <v>-2.2223661682186972E-2</v>
      </c>
      <c r="G832">
        <f t="shared" si="31"/>
        <v>-3.4602598895468614E-2</v>
      </c>
    </row>
    <row r="833" spans="1:144" x14ac:dyDescent="0.35">
      <c r="A833" t="s">
        <v>54</v>
      </c>
      <c r="E833">
        <v>-9.6162633923769641E-3</v>
      </c>
      <c r="F833">
        <f t="shared" si="30"/>
        <v>-2.223868887208303E-2</v>
      </c>
      <c r="G833">
        <f t="shared" si="31"/>
        <v>-3.4602598895468614E-2</v>
      </c>
    </row>
    <row r="834" spans="1:144" s="3" customFormat="1" x14ac:dyDescent="0.35">
      <c r="A834" s="3" t="s">
        <v>55</v>
      </c>
      <c r="B834" s="3" cm="1">
        <f t="array" ref="B834">_xlfn.STDEV.S(_xlfn._xlws.FILTER($E$2:$E$1000, $A$2:$A$1000="2013-05"))</f>
        <v>1.3603035274399326E-2</v>
      </c>
      <c r="C834" s="3" cm="1">
        <f t="array" ref="C834">AVERAGE(_xlfn._xlws.FILTER($E$2:$E$1000, $A$2:$A$1000="2013-05"))</f>
        <v>1.3137811190512157E-3</v>
      </c>
      <c r="D834" s="3" cm="1">
        <f t="array" ref="D834">_xlfn.PERCENTILE.EXC(_xlfn._xlws.FILTER($E$751:$E$999, $A$751:$A$999="2013-05"), 0.05)</f>
        <v>-3.0345728934825969E-2</v>
      </c>
      <c r="E834" s="3">
        <v>-1.1564647842142921E-3</v>
      </c>
      <c r="F834" s="3">
        <f t="shared" si="30"/>
        <v>-2.2253716061979078E-2</v>
      </c>
      <c r="G834" s="3">
        <f t="shared" si="31"/>
        <v>-3.4602598895468614E-2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</row>
    <row r="835" spans="1:144" x14ac:dyDescent="0.35">
      <c r="A835" t="s">
        <v>55</v>
      </c>
      <c r="E835">
        <v>1.0336121378381689E-2</v>
      </c>
      <c r="F835">
        <f t="shared" si="30"/>
        <v>-2.2268743251875136E-2</v>
      </c>
      <c r="G835">
        <f t="shared" si="31"/>
        <v>-3.4602598895468614E-2</v>
      </c>
    </row>
    <row r="836" spans="1:144" x14ac:dyDescent="0.35">
      <c r="A836" t="s">
        <v>55</v>
      </c>
      <c r="E836">
        <v>1.172490591084243E-2</v>
      </c>
      <c r="F836">
        <f t="shared" ref="F836:F899" si="32">_xlfn.PERCENTILE.EXC(E836:E4651,0.05)</f>
        <v>-2.2283770441771187E-2</v>
      </c>
      <c r="G836">
        <f t="shared" ref="G836:G899" si="33">AVERAGEIFS(E836:E4652,E836:E4652,"&lt;=" &amp; F836)</f>
        <v>-3.4602598895468614E-2</v>
      </c>
    </row>
    <row r="837" spans="1:144" x14ac:dyDescent="0.35">
      <c r="A837" t="s">
        <v>55</v>
      </c>
      <c r="E837">
        <v>7.7783961870669166E-3</v>
      </c>
      <c r="F837">
        <f t="shared" si="32"/>
        <v>-2.2298797631667245E-2</v>
      </c>
      <c r="G837">
        <f t="shared" si="33"/>
        <v>-3.4602598895468614E-2</v>
      </c>
    </row>
    <row r="838" spans="1:144" x14ac:dyDescent="0.35">
      <c r="A838" t="s">
        <v>55</v>
      </c>
      <c r="E838">
        <v>-9.6052149126726362E-3</v>
      </c>
      <c r="F838">
        <f t="shared" si="32"/>
        <v>-2.2313824821563303E-2</v>
      </c>
      <c r="G838">
        <f t="shared" si="33"/>
        <v>-3.4602598895468614E-2</v>
      </c>
    </row>
    <row r="839" spans="1:144" x14ac:dyDescent="0.35">
      <c r="A839" t="s">
        <v>55</v>
      </c>
      <c r="E839">
        <v>1.1253178782603766E-2</v>
      </c>
      <c r="F839">
        <f t="shared" si="32"/>
        <v>-2.2328852011459351E-2</v>
      </c>
      <c r="G839">
        <f t="shared" si="33"/>
        <v>-3.4602598895468614E-2</v>
      </c>
    </row>
    <row r="840" spans="1:144" x14ac:dyDescent="0.35">
      <c r="A840" t="s">
        <v>55</v>
      </c>
      <c r="E840">
        <v>-6.5307562866532441E-3</v>
      </c>
      <c r="F840">
        <f t="shared" si="32"/>
        <v>-2.2343879201355409E-2</v>
      </c>
      <c r="G840">
        <f t="shared" si="33"/>
        <v>-3.4602598895468614E-2</v>
      </c>
    </row>
    <row r="841" spans="1:144" x14ac:dyDescent="0.35">
      <c r="A841" t="s">
        <v>55</v>
      </c>
      <c r="E841">
        <v>8.3354186075526669E-3</v>
      </c>
      <c r="F841">
        <f t="shared" si="32"/>
        <v>-2.2346586851708802E-2</v>
      </c>
      <c r="G841">
        <f t="shared" si="33"/>
        <v>-3.4685428082591001E-2</v>
      </c>
    </row>
    <row r="842" spans="1:144" x14ac:dyDescent="0.35">
      <c r="A842" t="s">
        <v>55</v>
      </c>
      <c r="E842">
        <v>1.0211469836548852E-2</v>
      </c>
      <c r="F842">
        <f t="shared" si="32"/>
        <v>-2.2349294502062196E-2</v>
      </c>
      <c r="G842">
        <f t="shared" si="33"/>
        <v>-3.4685428082591001E-2</v>
      </c>
    </row>
    <row r="843" spans="1:144" x14ac:dyDescent="0.35">
      <c r="A843" t="s">
        <v>55</v>
      </c>
      <c r="E843">
        <v>2.9134951759094267E-3</v>
      </c>
      <c r="F843">
        <f t="shared" si="32"/>
        <v>-2.235200215241559E-2</v>
      </c>
      <c r="G843">
        <f t="shared" si="33"/>
        <v>-3.4685428082591001E-2</v>
      </c>
    </row>
    <row r="844" spans="1:144" x14ac:dyDescent="0.35">
      <c r="A844" t="s">
        <v>55</v>
      </c>
      <c r="E844">
        <v>3.448218453273678E-3</v>
      </c>
      <c r="F844">
        <f t="shared" si="32"/>
        <v>-2.235470980276898E-2</v>
      </c>
      <c r="G844">
        <f t="shared" si="33"/>
        <v>-3.4685428082591001E-2</v>
      </c>
    </row>
    <row r="845" spans="1:144" x14ac:dyDescent="0.35">
      <c r="A845" t="s">
        <v>55</v>
      </c>
      <c r="E845">
        <v>-5.5674242421011209E-3</v>
      </c>
      <c r="F845">
        <f t="shared" si="32"/>
        <v>-2.2357417453122374E-2</v>
      </c>
      <c r="G845">
        <f t="shared" si="33"/>
        <v>-3.4685428082591001E-2</v>
      </c>
    </row>
    <row r="846" spans="1:144" x14ac:dyDescent="0.35">
      <c r="A846" t="s">
        <v>55</v>
      </c>
      <c r="E846">
        <v>-4.5456783624022749E-3</v>
      </c>
      <c r="F846">
        <f t="shared" si="32"/>
        <v>-2.2360125103475768E-2</v>
      </c>
      <c r="G846">
        <f t="shared" si="33"/>
        <v>-3.4685428082591001E-2</v>
      </c>
    </row>
    <row r="847" spans="1:144" x14ac:dyDescent="0.35">
      <c r="A847" t="s">
        <v>55</v>
      </c>
      <c r="E847">
        <v>6.7475300276608136E-3</v>
      </c>
      <c r="F847">
        <f t="shared" si="32"/>
        <v>-2.2362832753829161E-2</v>
      </c>
      <c r="G847">
        <f t="shared" si="33"/>
        <v>-3.4685428082591001E-2</v>
      </c>
    </row>
    <row r="848" spans="1:144" x14ac:dyDescent="0.35">
      <c r="A848" t="s">
        <v>55</v>
      </c>
      <c r="E848">
        <v>-3.1086711431077902E-2</v>
      </c>
      <c r="F848">
        <f t="shared" si="32"/>
        <v>-2.2365540404182555E-2</v>
      </c>
      <c r="G848">
        <f t="shared" si="33"/>
        <v>-3.4685428082591001E-2</v>
      </c>
    </row>
    <row r="849" spans="1:144" x14ac:dyDescent="0.35">
      <c r="A849" t="s">
        <v>55</v>
      </c>
      <c r="E849">
        <v>-6.5836688405590382E-3</v>
      </c>
      <c r="F849">
        <f t="shared" si="32"/>
        <v>-2.2178580112498809E-2</v>
      </c>
      <c r="G849">
        <f t="shared" si="33"/>
        <v>-3.4626354891849634E-2</v>
      </c>
    </row>
    <row r="850" spans="1:144" x14ac:dyDescent="0.35">
      <c r="A850" t="s">
        <v>55</v>
      </c>
      <c r="E850">
        <v>3.620625241938058E-2</v>
      </c>
      <c r="F850">
        <f t="shared" si="32"/>
        <v>-2.2193607302394863E-2</v>
      </c>
      <c r="G850">
        <f t="shared" si="33"/>
        <v>-3.4626354891849634E-2</v>
      </c>
    </row>
    <row r="851" spans="1:144" x14ac:dyDescent="0.35">
      <c r="A851" t="s">
        <v>55</v>
      </c>
      <c r="E851">
        <v>-1.6267061506039283E-2</v>
      </c>
      <c r="F851">
        <f t="shared" si="32"/>
        <v>-2.2208634492290914E-2</v>
      </c>
      <c r="G851">
        <f t="shared" si="33"/>
        <v>-3.4626354891849634E-2</v>
      </c>
    </row>
    <row r="852" spans="1:144" x14ac:dyDescent="0.35">
      <c r="A852" t="s">
        <v>55</v>
      </c>
      <c r="E852">
        <v>6.5837986452457822E-3</v>
      </c>
      <c r="F852">
        <f t="shared" si="32"/>
        <v>-2.2223661682186972E-2</v>
      </c>
      <c r="G852">
        <f t="shared" si="33"/>
        <v>-3.4626354891849634E-2</v>
      </c>
    </row>
    <row r="853" spans="1:144" x14ac:dyDescent="0.35">
      <c r="A853" t="s">
        <v>55</v>
      </c>
      <c r="E853">
        <v>-7.9201826777225079E-3</v>
      </c>
      <c r="F853">
        <f t="shared" si="32"/>
        <v>-2.223868887208303E-2</v>
      </c>
      <c r="G853">
        <f t="shared" si="33"/>
        <v>-3.4626354891849634E-2</v>
      </c>
    </row>
    <row r="854" spans="1:144" s="3" customFormat="1" x14ac:dyDescent="0.35">
      <c r="A854" s="3" t="s">
        <v>56</v>
      </c>
      <c r="B854" s="3" cm="1">
        <f t="array" ref="B854">_xlfn.STDEV.S(_xlfn._xlws.FILTER($E$2:$E$1000, $A$2:$A$1000="2013-06"))</f>
        <v>1.2631649240086534E-2</v>
      </c>
      <c r="C854" s="3" cm="1">
        <f t="array" ref="C854">AVERAGE(_xlfn._xlws.FILTER($E$2:$E$1000, $A$2:$A$1000="2013-06"))</f>
        <v>-6.0925674274274425E-3</v>
      </c>
      <c r="D854" s="3" cm="1">
        <f t="array" ref="D854">_xlfn.PERCENTILE.EXC(_xlfn._xlws.FILTER($E$751:$E$999, $A$751:$A$999="2013-06"), 0.05)</f>
        <v>-3.1179505030441344E-2</v>
      </c>
      <c r="E854" s="3">
        <v>-9.1054205279136966E-3</v>
      </c>
      <c r="F854" s="3">
        <f t="shared" si="32"/>
        <v>-2.2253716061979078E-2</v>
      </c>
      <c r="G854" s="3">
        <f t="shared" si="33"/>
        <v>-3.4626354891849634E-2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</row>
    <row r="855" spans="1:144" x14ac:dyDescent="0.35">
      <c r="A855" t="s">
        <v>56</v>
      </c>
      <c r="E855">
        <v>4.528934704828241E-3</v>
      </c>
      <c r="F855">
        <f t="shared" si="32"/>
        <v>-2.2268743251875136E-2</v>
      </c>
      <c r="G855">
        <f t="shared" si="33"/>
        <v>-3.4626354891849634E-2</v>
      </c>
    </row>
    <row r="856" spans="1:144" x14ac:dyDescent="0.35">
      <c r="A856" t="s">
        <v>56</v>
      </c>
      <c r="E856">
        <v>-9.635145706506705E-3</v>
      </c>
      <c r="F856">
        <f t="shared" si="32"/>
        <v>-2.2283770441771187E-2</v>
      </c>
      <c r="G856">
        <f t="shared" si="33"/>
        <v>-3.4626354891849634E-2</v>
      </c>
    </row>
    <row r="857" spans="1:144" x14ac:dyDescent="0.35">
      <c r="A857" t="s">
        <v>56</v>
      </c>
      <c r="E857">
        <v>-2.6637400332101647E-2</v>
      </c>
      <c r="F857">
        <f t="shared" si="32"/>
        <v>-2.2298797631667245E-2</v>
      </c>
      <c r="G857">
        <f t="shared" si="33"/>
        <v>-3.4626354891849634E-2</v>
      </c>
    </row>
    <row r="858" spans="1:144" x14ac:dyDescent="0.35">
      <c r="A858" t="s">
        <v>56</v>
      </c>
      <c r="E858">
        <v>9.9946250066524633E-3</v>
      </c>
      <c r="F858">
        <f t="shared" si="32"/>
        <v>-2.2042988517525394E-2</v>
      </c>
      <c r="G858">
        <f t="shared" si="33"/>
        <v>-3.4595313912601879E-2</v>
      </c>
    </row>
    <row r="859" spans="1:144" x14ac:dyDescent="0.35">
      <c r="A859" t="s">
        <v>56</v>
      </c>
      <c r="E859">
        <v>-8.1041367044242182E-3</v>
      </c>
      <c r="F859">
        <f t="shared" si="32"/>
        <v>-2.2043161960479857E-2</v>
      </c>
      <c r="G859">
        <f t="shared" si="33"/>
        <v>-3.4595313912601879E-2</v>
      </c>
    </row>
    <row r="860" spans="1:144" x14ac:dyDescent="0.35">
      <c r="A860" t="s">
        <v>56</v>
      </c>
      <c r="E860">
        <v>-1.6426426211826321E-2</v>
      </c>
      <c r="F860">
        <f t="shared" si="32"/>
        <v>-2.2043335403434321E-2</v>
      </c>
      <c r="G860">
        <f t="shared" si="33"/>
        <v>-3.4595313912601879E-2</v>
      </c>
    </row>
    <row r="861" spans="1:144" x14ac:dyDescent="0.35">
      <c r="A861" t="s">
        <v>56</v>
      </c>
      <c r="E861">
        <v>-1.6253213271754396E-2</v>
      </c>
      <c r="F861">
        <f t="shared" si="32"/>
        <v>-2.2058362593330369E-2</v>
      </c>
      <c r="G861">
        <f t="shared" si="33"/>
        <v>-3.4680701521507783E-2</v>
      </c>
    </row>
    <row r="862" spans="1:144" x14ac:dyDescent="0.35">
      <c r="A862" t="s">
        <v>56</v>
      </c>
      <c r="E862">
        <v>5.7441935994976996E-3</v>
      </c>
      <c r="F862">
        <f t="shared" si="32"/>
        <v>-2.2073389783226427E-2</v>
      </c>
      <c r="G862">
        <f t="shared" si="33"/>
        <v>-3.4680701521507783E-2</v>
      </c>
    </row>
    <row r="863" spans="1:144" x14ac:dyDescent="0.35">
      <c r="A863" t="s">
        <v>56</v>
      </c>
      <c r="E863">
        <v>2.2665550427006221E-3</v>
      </c>
      <c r="F863">
        <f t="shared" si="32"/>
        <v>-2.2088416973122485E-2</v>
      </c>
      <c r="G863">
        <f t="shared" si="33"/>
        <v>-3.4680701521507783E-2</v>
      </c>
    </row>
    <row r="864" spans="1:144" x14ac:dyDescent="0.35">
      <c r="A864" t="s">
        <v>56</v>
      </c>
      <c r="E864">
        <v>2.5492292081039166E-3</v>
      </c>
      <c r="F864">
        <f t="shared" si="32"/>
        <v>-2.2103444163018536E-2</v>
      </c>
      <c r="G864">
        <f t="shared" si="33"/>
        <v>-3.4680701521507783E-2</v>
      </c>
    </row>
    <row r="865" spans="1:144" x14ac:dyDescent="0.35">
      <c r="A865" t="s">
        <v>56</v>
      </c>
      <c r="E865">
        <v>2.3462525515094564E-4</v>
      </c>
      <c r="F865">
        <f t="shared" si="32"/>
        <v>-2.2118471352914594E-2</v>
      </c>
      <c r="G865">
        <f t="shared" si="33"/>
        <v>-3.4680701521507783E-2</v>
      </c>
    </row>
    <row r="866" spans="1:144" x14ac:dyDescent="0.35">
      <c r="A866" t="s">
        <v>56</v>
      </c>
      <c r="E866">
        <v>-9.45439077215641E-3</v>
      </c>
      <c r="F866">
        <f t="shared" si="32"/>
        <v>-2.2133498542810642E-2</v>
      </c>
      <c r="G866">
        <f t="shared" si="33"/>
        <v>-3.4680701521507783E-2</v>
      </c>
    </row>
    <row r="867" spans="1:144" x14ac:dyDescent="0.35">
      <c r="A867" t="s">
        <v>56</v>
      </c>
      <c r="E867">
        <v>-3.1418563172459224E-2</v>
      </c>
      <c r="F867">
        <f t="shared" si="32"/>
        <v>-2.21485257327067E-2</v>
      </c>
      <c r="G867">
        <f t="shared" si="33"/>
        <v>-3.4680701521507783E-2</v>
      </c>
    </row>
    <row r="868" spans="1:144" x14ac:dyDescent="0.35">
      <c r="A868" t="s">
        <v>56</v>
      </c>
      <c r="E868">
        <v>-1.9115601025324745E-2</v>
      </c>
      <c r="F868">
        <f t="shared" si="32"/>
        <v>-2.2041254087980744E-2</v>
      </c>
      <c r="G868">
        <f t="shared" si="33"/>
        <v>-3.4616924461854548E-2</v>
      </c>
    </row>
    <row r="869" spans="1:144" x14ac:dyDescent="0.35">
      <c r="A869" t="s">
        <v>56</v>
      </c>
      <c r="E869">
        <v>-9.3812432262544414E-3</v>
      </c>
      <c r="F869">
        <f t="shared" si="32"/>
        <v>-2.2041427530935208E-2</v>
      </c>
      <c r="G869">
        <f t="shared" si="33"/>
        <v>-3.4616924461854548E-2</v>
      </c>
    </row>
    <row r="870" spans="1:144" x14ac:dyDescent="0.35">
      <c r="A870" t="s">
        <v>56</v>
      </c>
      <c r="E870">
        <v>-3.6998346753336912E-3</v>
      </c>
      <c r="F870">
        <f t="shared" si="32"/>
        <v>-2.2041600973889672E-2</v>
      </c>
      <c r="G870">
        <f t="shared" si="33"/>
        <v>-3.4616924461854548E-2</v>
      </c>
    </row>
    <row r="871" spans="1:144" x14ac:dyDescent="0.35">
      <c r="A871" t="s">
        <v>56</v>
      </c>
      <c r="E871">
        <v>2.0139769356196231E-2</v>
      </c>
      <c r="F871">
        <f t="shared" si="32"/>
        <v>-2.2041774416844139E-2</v>
      </c>
      <c r="G871">
        <f t="shared" si="33"/>
        <v>-3.4616924461854548E-2</v>
      </c>
    </row>
    <row r="872" spans="1:144" x14ac:dyDescent="0.35">
      <c r="A872" t="s">
        <v>56</v>
      </c>
      <c r="E872">
        <v>4.3899159101499947E-3</v>
      </c>
      <c r="F872">
        <f t="shared" si="32"/>
        <v>-2.2041947859798603E-2</v>
      </c>
      <c r="G872">
        <f t="shared" si="33"/>
        <v>-3.4616924461854548E-2</v>
      </c>
    </row>
    <row r="873" spans="1:144" x14ac:dyDescent="0.35">
      <c r="A873" t="s">
        <v>56</v>
      </c>
      <c r="E873">
        <v>-1.2467821005773465E-2</v>
      </c>
      <c r="F873">
        <f t="shared" si="32"/>
        <v>-2.2042121302753067E-2</v>
      </c>
      <c r="G873">
        <f t="shared" si="33"/>
        <v>-3.4616924461854548E-2</v>
      </c>
    </row>
    <row r="874" spans="1:144" s="3" customFormat="1" x14ac:dyDescent="0.35">
      <c r="A874" s="3" t="s">
        <v>57</v>
      </c>
      <c r="B874" s="3" cm="1">
        <f t="array" ref="B874">_xlfn.STDEV.S(_xlfn._xlws.FILTER($E$2:$E$1000, $A$2:$A$1000="2013-07"))</f>
        <v>1.2399295334540541E-2</v>
      </c>
      <c r="C874" s="3" cm="1">
        <f t="array" ref="C874">AVERAGE(_xlfn._xlws.FILTER($E$2:$E$1000, $A$2:$A$1000="2013-07"))</f>
        <v>3.4092959284665707E-3</v>
      </c>
      <c r="D874" s="3" cm="1">
        <f t="array" ref="D874">_xlfn.PERCENTILE.EXC(_xlfn._xlws.FILTER($E$751:$E$999, $A$751:$A$999="2013-07"), 0.05)</f>
        <v>-1.7184172903072965E-2</v>
      </c>
      <c r="E874" s="3">
        <v>1.4351924011685443E-2</v>
      </c>
      <c r="F874" s="3">
        <f t="shared" si="32"/>
        <v>-2.2042294745707531E-2</v>
      </c>
      <c r="G874" s="3">
        <f t="shared" si="33"/>
        <v>-3.4616924461854548E-2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</row>
    <row r="875" spans="1:144" x14ac:dyDescent="0.35">
      <c r="A875" t="s">
        <v>57</v>
      </c>
      <c r="E875">
        <v>-6.0898256284429584E-3</v>
      </c>
      <c r="F875">
        <f t="shared" si="32"/>
        <v>-2.2042468188661998E-2</v>
      </c>
      <c r="G875">
        <f t="shared" si="33"/>
        <v>-3.4616924461854548E-2</v>
      </c>
    </row>
    <row r="876" spans="1:144" x14ac:dyDescent="0.35">
      <c r="A876" t="s">
        <v>57</v>
      </c>
      <c r="E876">
        <v>-5.4097360769109889E-3</v>
      </c>
      <c r="F876">
        <f t="shared" si="32"/>
        <v>-2.2042641631616462E-2</v>
      </c>
      <c r="G876">
        <f t="shared" si="33"/>
        <v>-3.4616924461854548E-2</v>
      </c>
    </row>
    <row r="877" spans="1:144" x14ac:dyDescent="0.35">
      <c r="A877" t="s">
        <v>57</v>
      </c>
      <c r="E877">
        <v>3.3796962472583493E-2</v>
      </c>
      <c r="F877">
        <f t="shared" si="32"/>
        <v>-2.2042815074570926E-2</v>
      </c>
      <c r="G877">
        <f t="shared" si="33"/>
        <v>-3.4616924461854548E-2</v>
      </c>
    </row>
    <row r="878" spans="1:144" x14ac:dyDescent="0.35">
      <c r="A878" t="s">
        <v>57</v>
      </c>
      <c r="E878">
        <v>-1.7514416253616966E-2</v>
      </c>
      <c r="F878">
        <f t="shared" si="32"/>
        <v>-2.2042988517525394E-2</v>
      </c>
      <c r="G878">
        <f t="shared" si="33"/>
        <v>-3.4616924461854548E-2</v>
      </c>
    </row>
    <row r="879" spans="1:144" x14ac:dyDescent="0.35">
      <c r="A879" t="s">
        <v>57</v>
      </c>
      <c r="E879">
        <v>1.6974675537515787E-2</v>
      </c>
      <c r="F879">
        <f t="shared" si="32"/>
        <v>-2.2043161960479857E-2</v>
      </c>
      <c r="G879">
        <f t="shared" si="33"/>
        <v>-3.4616924461854548E-2</v>
      </c>
    </row>
    <row r="880" spans="1:144" x14ac:dyDescent="0.35">
      <c r="A880" t="s">
        <v>57</v>
      </c>
      <c r="E880">
        <v>-5.7422927760307019E-4</v>
      </c>
      <c r="F880">
        <f t="shared" si="32"/>
        <v>-2.2043335403434321E-2</v>
      </c>
      <c r="G880">
        <f t="shared" si="33"/>
        <v>-3.4616924461854548E-2</v>
      </c>
    </row>
    <row r="881" spans="1:7" x14ac:dyDescent="0.35">
      <c r="A881" t="s">
        <v>57</v>
      </c>
      <c r="E881">
        <v>-7.2004050785515698E-3</v>
      </c>
      <c r="F881">
        <f t="shared" si="32"/>
        <v>-2.2058362593330369E-2</v>
      </c>
      <c r="G881">
        <f t="shared" si="33"/>
        <v>-3.470304493485743E-2</v>
      </c>
    </row>
    <row r="882" spans="1:7" x14ac:dyDescent="0.35">
      <c r="A882" t="s">
        <v>57</v>
      </c>
      <c r="E882">
        <v>2.5514630088381214E-6</v>
      </c>
      <c r="F882">
        <f t="shared" si="32"/>
        <v>-2.2073389783226427E-2</v>
      </c>
      <c r="G882">
        <f t="shared" si="33"/>
        <v>-3.470304493485743E-2</v>
      </c>
    </row>
    <row r="883" spans="1:7" x14ac:dyDescent="0.35">
      <c r="A883" t="s">
        <v>57</v>
      </c>
      <c r="E883">
        <v>-1.5863199500896954E-2</v>
      </c>
      <c r="F883">
        <f t="shared" si="32"/>
        <v>-2.2088416973122485E-2</v>
      </c>
      <c r="G883">
        <f t="shared" si="33"/>
        <v>-3.470304493485743E-2</v>
      </c>
    </row>
    <row r="884" spans="1:7" x14ac:dyDescent="0.35">
      <c r="A884" t="s">
        <v>57</v>
      </c>
      <c r="E884">
        <v>1.0749780179269017E-2</v>
      </c>
      <c r="F884">
        <f t="shared" si="32"/>
        <v>-2.2103444163018536E-2</v>
      </c>
      <c r="G884">
        <f t="shared" si="33"/>
        <v>-3.470304493485743E-2</v>
      </c>
    </row>
    <row r="885" spans="1:7" x14ac:dyDescent="0.35">
      <c r="A885" t="s">
        <v>57</v>
      </c>
      <c r="E885">
        <v>-4.3299693156180399E-3</v>
      </c>
      <c r="F885">
        <f t="shared" si="32"/>
        <v>-2.2118471352914594E-2</v>
      </c>
      <c r="G885">
        <f t="shared" si="33"/>
        <v>-3.470304493485743E-2</v>
      </c>
    </row>
    <row r="886" spans="1:7" x14ac:dyDescent="0.35">
      <c r="A886" t="s">
        <v>57</v>
      </c>
      <c r="E886">
        <v>1.0573684148456525E-2</v>
      </c>
      <c r="F886">
        <f t="shared" si="32"/>
        <v>-2.2133498542810642E-2</v>
      </c>
      <c r="G886">
        <f t="shared" si="33"/>
        <v>-3.470304493485743E-2</v>
      </c>
    </row>
    <row r="887" spans="1:7" x14ac:dyDescent="0.35">
      <c r="A887" t="s">
        <v>57</v>
      </c>
      <c r="E887">
        <v>2.2589644674364251E-2</v>
      </c>
      <c r="F887">
        <f t="shared" si="32"/>
        <v>-2.21485257327067E-2</v>
      </c>
      <c r="G887">
        <f t="shared" si="33"/>
        <v>-3.470304493485743E-2</v>
      </c>
    </row>
    <row r="888" spans="1:7" x14ac:dyDescent="0.35">
      <c r="A888" t="s">
        <v>57</v>
      </c>
      <c r="E888">
        <v>4.3974255684721573E-3</v>
      </c>
      <c r="F888">
        <f t="shared" si="32"/>
        <v>-2.2163552922602758E-2</v>
      </c>
      <c r="G888">
        <f t="shared" si="33"/>
        <v>-3.470304493485743E-2</v>
      </c>
    </row>
    <row r="889" spans="1:7" x14ac:dyDescent="0.35">
      <c r="A889" t="s">
        <v>57</v>
      </c>
      <c r="E889">
        <v>6.7489163822611574E-3</v>
      </c>
      <c r="F889">
        <f t="shared" si="32"/>
        <v>-2.2178580112498809E-2</v>
      </c>
      <c r="G889">
        <f t="shared" si="33"/>
        <v>-3.470304493485743E-2</v>
      </c>
    </row>
    <row r="890" spans="1:7" x14ac:dyDescent="0.35">
      <c r="A890" t="s">
        <v>57</v>
      </c>
      <c r="E890">
        <v>3.0980413297389882E-4</v>
      </c>
      <c r="F890">
        <f t="shared" si="32"/>
        <v>-2.2193607302394863E-2</v>
      </c>
      <c r="G890">
        <f t="shared" si="33"/>
        <v>-3.470304493485743E-2</v>
      </c>
    </row>
    <row r="891" spans="1:7" x14ac:dyDescent="0.35">
      <c r="A891" t="s">
        <v>57</v>
      </c>
      <c r="E891">
        <v>1.249232540533265E-2</v>
      </c>
      <c r="F891">
        <f t="shared" si="32"/>
        <v>-2.2208634492290914E-2</v>
      </c>
      <c r="G891">
        <f t="shared" si="33"/>
        <v>-3.470304493485743E-2</v>
      </c>
    </row>
    <row r="892" spans="1:7" x14ac:dyDescent="0.35">
      <c r="A892" t="s">
        <v>57</v>
      </c>
      <c r="E892">
        <v>-6.5339041366129381E-4</v>
      </c>
      <c r="F892">
        <f t="shared" si="32"/>
        <v>-2.2223661682186972E-2</v>
      </c>
      <c r="G892">
        <f t="shared" si="33"/>
        <v>-3.470304493485743E-2</v>
      </c>
    </row>
    <row r="893" spans="1:7" x14ac:dyDescent="0.35">
      <c r="A893" t="s">
        <v>57</v>
      </c>
      <c r="E893">
        <v>-6.3676665932730172E-4</v>
      </c>
      <c r="F893">
        <f t="shared" si="32"/>
        <v>-2.223868887208303E-2</v>
      </c>
      <c r="G893">
        <f t="shared" si="33"/>
        <v>-3.470304493485743E-2</v>
      </c>
    </row>
    <row r="894" spans="1:7" x14ac:dyDescent="0.35">
      <c r="A894" t="s">
        <v>57</v>
      </c>
      <c r="E894">
        <v>-8.9182484841747612E-3</v>
      </c>
      <c r="F894">
        <f t="shared" si="32"/>
        <v>-2.2253716061979078E-2</v>
      </c>
      <c r="G894">
        <f t="shared" si="33"/>
        <v>-3.470304493485743E-2</v>
      </c>
    </row>
    <row r="895" spans="1:7" x14ac:dyDescent="0.35">
      <c r="A895" t="s">
        <v>57</v>
      </c>
      <c r="E895">
        <v>1.6283194418706813E-2</v>
      </c>
      <c r="F895">
        <f t="shared" si="32"/>
        <v>-2.2268743251875136E-2</v>
      </c>
      <c r="G895">
        <f t="shared" si="33"/>
        <v>-3.470304493485743E-2</v>
      </c>
    </row>
    <row r="896" spans="1:7" x14ac:dyDescent="0.35">
      <c r="A896" t="s">
        <v>57</v>
      </c>
      <c r="E896">
        <v>-3.6668953510950019E-3</v>
      </c>
      <c r="F896">
        <f t="shared" si="32"/>
        <v>-2.2283770441771187E-2</v>
      </c>
      <c r="G896">
        <f t="shared" si="33"/>
        <v>-3.470304493485743E-2</v>
      </c>
    </row>
    <row r="897" spans="1:144" s="3" customFormat="1" x14ac:dyDescent="0.35">
      <c r="A897" s="3" t="s">
        <v>58</v>
      </c>
      <c r="B897" s="3" cm="1">
        <f t="array" ref="B897">_xlfn.STDEV.S(_xlfn._xlws.FILTER($E$2:$E$1000, $A$2:$A$1000="2013-08"))</f>
        <v>1.6202304484128849E-2</v>
      </c>
      <c r="C897" s="3" cm="1">
        <f t="array" ref="C897">AVERAGE(_xlfn._xlws.FILTER($E$2:$E$1000, $A$2:$A$1000="2013-08"))</f>
        <v>6.026385378067829E-4</v>
      </c>
      <c r="D897" s="3" cm="1">
        <f t="array" ref="D897">_xlfn.PERCENTILE.EXC(_xlfn._xlws.FILTER($E$751:$E$999, $A$751:$A$999="2013-08"), 0.05)</f>
        <v>-4.3956959895367943E-2</v>
      </c>
      <c r="E897" s="3">
        <v>2.0217304643989853E-2</v>
      </c>
      <c r="F897" s="3">
        <f t="shared" si="32"/>
        <v>-2.2298797631667245E-2</v>
      </c>
      <c r="G897" s="3">
        <f t="shared" si="33"/>
        <v>-3.470304493485743E-2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</row>
    <row r="898" spans="1:144" x14ac:dyDescent="0.35">
      <c r="A898" t="s">
        <v>58</v>
      </c>
      <c r="E898">
        <v>-2.367987924840075E-3</v>
      </c>
      <c r="F898">
        <f t="shared" si="32"/>
        <v>-2.2313824821563303E-2</v>
      </c>
      <c r="G898">
        <f t="shared" si="33"/>
        <v>-3.470304493485743E-2</v>
      </c>
    </row>
    <row r="899" spans="1:144" x14ac:dyDescent="0.35">
      <c r="A899" t="s">
        <v>58</v>
      </c>
      <c r="E899">
        <v>-1.3090244330930254E-3</v>
      </c>
      <c r="F899">
        <f t="shared" si="32"/>
        <v>-2.2328852011459351E-2</v>
      </c>
      <c r="G899">
        <f t="shared" si="33"/>
        <v>-3.470304493485743E-2</v>
      </c>
    </row>
    <row r="900" spans="1:144" x14ac:dyDescent="0.35">
      <c r="A900" t="s">
        <v>58</v>
      </c>
      <c r="E900">
        <v>-4.4299768533575135E-3</v>
      </c>
      <c r="F900">
        <f t="shared" ref="F900:F963" si="34">_xlfn.PERCENTILE.EXC(E900:E4715,0.05)</f>
        <v>-2.2343879201355409E-2</v>
      </c>
      <c r="G900">
        <f t="shared" ref="G900:G963" si="35">AVERAGEIFS(E900:E4716,E900:E4716,"&lt;=" &amp; F900)</f>
        <v>-3.470304493485743E-2</v>
      </c>
    </row>
    <row r="901" spans="1:144" x14ac:dyDescent="0.35">
      <c r="A901" t="s">
        <v>58</v>
      </c>
      <c r="E901">
        <v>9.2490940168783696E-3</v>
      </c>
      <c r="F901">
        <f t="shared" si="34"/>
        <v>-2.2346586851708802E-2</v>
      </c>
      <c r="G901">
        <f t="shared" si="35"/>
        <v>-3.4788280560605719E-2</v>
      </c>
    </row>
    <row r="902" spans="1:144" x14ac:dyDescent="0.35">
      <c r="A902" t="s">
        <v>58</v>
      </c>
      <c r="E902">
        <v>1.8144550299522336E-2</v>
      </c>
      <c r="F902">
        <f t="shared" si="34"/>
        <v>-2.2349294502062196E-2</v>
      </c>
      <c r="G902">
        <f t="shared" si="35"/>
        <v>-3.4788280560605719E-2</v>
      </c>
    </row>
    <row r="903" spans="1:144" x14ac:dyDescent="0.35">
      <c r="A903" t="s">
        <v>58</v>
      </c>
      <c r="E903">
        <v>2.3336118702912759E-3</v>
      </c>
      <c r="F903">
        <f t="shared" si="34"/>
        <v>-2.235200215241559E-2</v>
      </c>
      <c r="G903">
        <f t="shared" si="35"/>
        <v>-3.4788280560605719E-2</v>
      </c>
    </row>
    <row r="904" spans="1:144" x14ac:dyDescent="0.35">
      <c r="A904" t="s">
        <v>58</v>
      </c>
      <c r="E904">
        <v>4.4296899491573149E-3</v>
      </c>
      <c r="F904">
        <f t="shared" si="34"/>
        <v>-2.235470980276898E-2</v>
      </c>
      <c r="G904">
        <f t="shared" si="35"/>
        <v>-3.4788280560605719E-2</v>
      </c>
    </row>
    <row r="905" spans="1:144" x14ac:dyDescent="0.35">
      <c r="A905" t="s">
        <v>58</v>
      </c>
      <c r="E905">
        <v>6.7667744758326976E-3</v>
      </c>
      <c r="F905">
        <f t="shared" si="34"/>
        <v>-2.2357417453122374E-2</v>
      </c>
      <c r="G905">
        <f t="shared" si="35"/>
        <v>-3.4788280560605719E-2</v>
      </c>
    </row>
    <row r="906" spans="1:144" x14ac:dyDescent="0.35">
      <c r="A906" t="s">
        <v>58</v>
      </c>
      <c r="E906">
        <v>4.7865505712398433E-3</v>
      </c>
      <c r="F906">
        <f t="shared" si="34"/>
        <v>-2.2360125103475768E-2</v>
      </c>
      <c r="G906">
        <f t="shared" si="35"/>
        <v>-3.4788280560605719E-2</v>
      </c>
    </row>
    <row r="907" spans="1:144" x14ac:dyDescent="0.35">
      <c r="A907" t="s">
        <v>58</v>
      </c>
      <c r="E907">
        <v>1.2197220014239797E-2</v>
      </c>
      <c r="F907">
        <f t="shared" si="34"/>
        <v>-2.2362832753829161E-2</v>
      </c>
      <c r="G907">
        <f t="shared" si="35"/>
        <v>-3.4788280560605719E-2</v>
      </c>
    </row>
    <row r="908" spans="1:144" x14ac:dyDescent="0.35">
      <c r="A908" t="s">
        <v>58</v>
      </c>
      <c r="E908">
        <v>-2.4887155482548062E-2</v>
      </c>
      <c r="F908">
        <f t="shared" si="34"/>
        <v>-2.2365540404182555E-2</v>
      </c>
      <c r="G908">
        <f t="shared" si="35"/>
        <v>-3.4788280560605719E-2</v>
      </c>
    </row>
    <row r="909" spans="1:144" x14ac:dyDescent="0.35">
      <c r="A909" t="s">
        <v>58</v>
      </c>
      <c r="E909">
        <v>-1.4233889432389955E-2</v>
      </c>
      <c r="F909">
        <f t="shared" si="34"/>
        <v>-2.2178580112498809E-2</v>
      </c>
      <c r="G909">
        <f t="shared" si="35"/>
        <v>-3.47707407241837E-2</v>
      </c>
    </row>
    <row r="910" spans="1:144" x14ac:dyDescent="0.35">
      <c r="A910" t="s">
        <v>58</v>
      </c>
      <c r="E910">
        <v>-7.180021801284903E-3</v>
      </c>
      <c r="F910">
        <f t="shared" si="34"/>
        <v>-2.2193607302394863E-2</v>
      </c>
      <c r="G910">
        <f t="shared" si="35"/>
        <v>-3.47707407241837E-2</v>
      </c>
    </row>
    <row r="911" spans="1:144" x14ac:dyDescent="0.35">
      <c r="A911" t="s">
        <v>58</v>
      </c>
      <c r="E911">
        <v>2.526827461703925E-2</v>
      </c>
      <c r="F911">
        <f t="shared" si="34"/>
        <v>-2.2208634492290914E-2</v>
      </c>
      <c r="G911">
        <f t="shared" si="35"/>
        <v>-3.47707407241837E-2</v>
      </c>
    </row>
    <row r="912" spans="1:144" x14ac:dyDescent="0.35">
      <c r="A912" t="s">
        <v>58</v>
      </c>
      <c r="E912">
        <v>1.8705947866667558E-3</v>
      </c>
      <c r="F912">
        <f t="shared" si="34"/>
        <v>-2.2223661682186972E-2</v>
      </c>
      <c r="G912">
        <f t="shared" si="35"/>
        <v>-3.47707407241837E-2</v>
      </c>
    </row>
    <row r="913" spans="1:144" x14ac:dyDescent="0.35">
      <c r="A913" t="s">
        <v>58</v>
      </c>
      <c r="E913">
        <v>-4.496063381183215E-2</v>
      </c>
      <c r="F913">
        <f t="shared" si="34"/>
        <v>-2.223868887208303E-2</v>
      </c>
      <c r="G913">
        <f t="shared" si="35"/>
        <v>-3.47707407241837E-2</v>
      </c>
    </row>
    <row r="914" spans="1:144" x14ac:dyDescent="0.35">
      <c r="A914" t="s">
        <v>58</v>
      </c>
      <c r="E914">
        <v>9.8005489324975124E-3</v>
      </c>
      <c r="F914">
        <f t="shared" si="34"/>
        <v>-2.2042294745707531E-2</v>
      </c>
      <c r="G914">
        <f t="shared" si="35"/>
        <v>-3.4612690390332677E-2</v>
      </c>
    </row>
    <row r="915" spans="1:144" x14ac:dyDescent="0.35">
      <c r="A915" t="s">
        <v>58</v>
      </c>
      <c r="E915">
        <v>9.6326733942317597E-3</v>
      </c>
      <c r="F915">
        <f t="shared" si="34"/>
        <v>-2.2042468188661998E-2</v>
      </c>
      <c r="G915">
        <f t="shared" si="35"/>
        <v>-3.4612690390332677E-2</v>
      </c>
    </row>
    <row r="916" spans="1:144" x14ac:dyDescent="0.35">
      <c r="A916" t="s">
        <v>58</v>
      </c>
      <c r="E916">
        <v>-1.327542707610541E-2</v>
      </c>
      <c r="F916">
        <f t="shared" si="34"/>
        <v>-2.2042641631616462E-2</v>
      </c>
      <c r="G916">
        <f t="shared" si="35"/>
        <v>-3.4612690390332677E-2</v>
      </c>
    </row>
    <row r="917" spans="1:144" s="3" customFormat="1" x14ac:dyDescent="0.35">
      <c r="A917" s="3" t="s">
        <v>59</v>
      </c>
      <c r="B917" s="3" cm="1">
        <f t="array" ref="B917">_xlfn.STDEV.S(_xlfn._xlws.FILTER($E$2:$E$1000, $A$2:$A$1000="2013-09"))</f>
        <v>9.637041411776303E-3</v>
      </c>
      <c r="C917" s="3" cm="1">
        <f t="array" ref="C917">AVERAGE(_xlfn._xlws.FILTER($E$2:$E$1000, $A$2:$A$1000="2013-09"))</f>
        <v>2.1013699100699622E-3</v>
      </c>
      <c r="D917" s="3" cm="1">
        <f t="array" ref="D917">_xlfn.PERCENTILE.EXC(_xlfn._xlws.FILTER($E$751:$E$999, $A$751:$A$999="2013-09"), 0.05)</f>
        <v>-1.3514218844482779E-2</v>
      </c>
      <c r="E917" s="3">
        <v>1.8197882825594036E-2</v>
      </c>
      <c r="F917" s="3">
        <f t="shared" si="34"/>
        <v>-2.2042815074570926E-2</v>
      </c>
      <c r="G917" s="3">
        <f t="shared" si="35"/>
        <v>-3.4612690390332677E-2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</row>
    <row r="918" spans="1:144" x14ac:dyDescent="0.35">
      <c r="A918" t="s">
        <v>59</v>
      </c>
      <c r="E918">
        <v>-2.8022747754143933E-3</v>
      </c>
      <c r="F918">
        <f t="shared" si="34"/>
        <v>-2.2042988517525394E-2</v>
      </c>
      <c r="G918">
        <f t="shared" si="35"/>
        <v>-3.4612690390332677E-2</v>
      </c>
    </row>
    <row r="919" spans="1:144" x14ac:dyDescent="0.35">
      <c r="A919" t="s">
        <v>59</v>
      </c>
      <c r="E919">
        <v>-1.3599498577825627E-2</v>
      </c>
      <c r="F919">
        <f t="shared" si="34"/>
        <v>-2.2043161960479857E-2</v>
      </c>
      <c r="G919">
        <f t="shared" si="35"/>
        <v>-3.4612690390332677E-2</v>
      </c>
    </row>
    <row r="920" spans="1:144" x14ac:dyDescent="0.35">
      <c r="A920" t="s">
        <v>59</v>
      </c>
      <c r="E920">
        <v>7.7783368726648599E-3</v>
      </c>
      <c r="F920">
        <f t="shared" si="34"/>
        <v>-2.2043335403434321E-2</v>
      </c>
      <c r="G920">
        <f t="shared" si="35"/>
        <v>-3.4612690390332677E-2</v>
      </c>
    </row>
    <row r="921" spans="1:144" x14ac:dyDescent="0.35">
      <c r="A921" t="s">
        <v>59</v>
      </c>
      <c r="E921">
        <v>1.2056906664927619E-2</v>
      </c>
      <c r="F921">
        <f t="shared" si="34"/>
        <v>-2.2058362593330369E-2</v>
      </c>
      <c r="G921">
        <f t="shared" si="35"/>
        <v>-3.4699977577741695E-2</v>
      </c>
    </row>
    <row r="922" spans="1:144" x14ac:dyDescent="0.35">
      <c r="A922" t="s">
        <v>59</v>
      </c>
      <c r="E922">
        <v>1.1532934272494931E-2</v>
      </c>
      <c r="F922">
        <f t="shared" si="34"/>
        <v>-2.2073389783226427E-2</v>
      </c>
      <c r="G922">
        <f t="shared" si="35"/>
        <v>-3.4699977577741695E-2</v>
      </c>
    </row>
    <row r="923" spans="1:144" x14ac:dyDescent="0.35">
      <c r="A923" t="s">
        <v>59</v>
      </c>
      <c r="E923">
        <v>5.0715667760539967E-3</v>
      </c>
      <c r="F923">
        <f t="shared" si="34"/>
        <v>-2.2088416973122485E-2</v>
      </c>
      <c r="G923">
        <f t="shared" si="35"/>
        <v>-3.4699977577741695E-2</v>
      </c>
    </row>
    <row r="924" spans="1:144" x14ac:dyDescent="0.35">
      <c r="A924" t="s">
        <v>59</v>
      </c>
      <c r="E924">
        <v>1.3190057847663953E-2</v>
      </c>
      <c r="F924">
        <f t="shared" si="34"/>
        <v>-2.2103444163018536E-2</v>
      </c>
      <c r="G924">
        <f t="shared" si="35"/>
        <v>-3.4699977577741695E-2</v>
      </c>
    </row>
    <row r="925" spans="1:144" x14ac:dyDescent="0.35">
      <c r="A925" t="s">
        <v>59</v>
      </c>
      <c r="E925">
        <v>-2.271040153232904E-3</v>
      </c>
      <c r="F925">
        <f t="shared" si="34"/>
        <v>-2.2118471352914594E-2</v>
      </c>
      <c r="G925">
        <f t="shared" si="35"/>
        <v>-3.4699977577741695E-2</v>
      </c>
    </row>
    <row r="926" spans="1:144" x14ac:dyDescent="0.35">
      <c r="A926" t="s">
        <v>59</v>
      </c>
      <c r="E926">
        <v>1.4371005894417671E-3</v>
      </c>
      <c r="F926">
        <f t="shared" si="34"/>
        <v>-2.2133498542810642E-2</v>
      </c>
      <c r="G926">
        <f t="shared" si="35"/>
        <v>-3.4699977577741695E-2</v>
      </c>
    </row>
    <row r="927" spans="1:144" x14ac:dyDescent="0.35">
      <c r="A927" t="s">
        <v>59</v>
      </c>
      <c r="E927">
        <v>1.0425347232830401E-2</v>
      </c>
      <c r="F927">
        <f t="shared" si="34"/>
        <v>-2.21485257327067E-2</v>
      </c>
      <c r="G927">
        <f t="shared" si="35"/>
        <v>-3.4699977577741695E-2</v>
      </c>
    </row>
    <row r="928" spans="1:144" x14ac:dyDescent="0.35">
      <c r="A928" t="s">
        <v>59</v>
      </c>
      <c r="E928">
        <v>1.1182676135601669E-3</v>
      </c>
      <c r="F928">
        <f t="shared" si="34"/>
        <v>-2.2163552922602758E-2</v>
      </c>
      <c r="G928">
        <f t="shared" si="35"/>
        <v>-3.4699977577741695E-2</v>
      </c>
    </row>
    <row r="929" spans="1:144" x14ac:dyDescent="0.35">
      <c r="A929" t="s">
        <v>59</v>
      </c>
      <c r="E929">
        <v>2.9839980405286294E-3</v>
      </c>
      <c r="F929">
        <f t="shared" si="34"/>
        <v>-2.2178580112498809E-2</v>
      </c>
      <c r="G929">
        <f t="shared" si="35"/>
        <v>-3.4699977577741695E-2</v>
      </c>
    </row>
    <row r="930" spans="1:144" x14ac:dyDescent="0.35">
      <c r="A930" t="s">
        <v>59</v>
      </c>
      <c r="E930">
        <v>1.419444403287028E-2</v>
      </c>
      <c r="F930">
        <f t="shared" si="34"/>
        <v>-2.2193607302394863E-2</v>
      </c>
      <c r="G930">
        <f t="shared" si="35"/>
        <v>-3.4699977577741695E-2</v>
      </c>
    </row>
    <row r="931" spans="1:144" x14ac:dyDescent="0.35">
      <c r="A931" t="s">
        <v>59</v>
      </c>
      <c r="E931">
        <v>-4.9465328515006738E-3</v>
      </c>
      <c r="F931">
        <f t="shared" si="34"/>
        <v>-2.2208634492290914E-2</v>
      </c>
      <c r="G931">
        <f t="shared" si="35"/>
        <v>-3.4699977577741695E-2</v>
      </c>
    </row>
    <row r="932" spans="1:144" x14ac:dyDescent="0.35">
      <c r="A932" t="s">
        <v>59</v>
      </c>
      <c r="E932">
        <v>-3.173623818940798E-3</v>
      </c>
      <c r="F932">
        <f t="shared" si="34"/>
        <v>-2.2223661682186972E-2</v>
      </c>
      <c r="G932">
        <f t="shared" si="35"/>
        <v>-3.4699977577741695E-2</v>
      </c>
    </row>
    <row r="933" spans="1:144" x14ac:dyDescent="0.35">
      <c r="A933" t="s">
        <v>59</v>
      </c>
      <c r="E933">
        <v>8.4163602015261459E-3</v>
      </c>
      <c r="F933">
        <f t="shared" si="34"/>
        <v>-2.223868887208303E-2</v>
      </c>
      <c r="G933">
        <f t="shared" si="35"/>
        <v>-3.4699977577741695E-2</v>
      </c>
    </row>
    <row r="934" spans="1:144" x14ac:dyDescent="0.35">
      <c r="A934" t="s">
        <v>59</v>
      </c>
      <c r="E934">
        <v>1.3641714111692178E-3</v>
      </c>
      <c r="F934">
        <f t="shared" si="34"/>
        <v>-2.2253716061979078E-2</v>
      </c>
      <c r="G934">
        <f t="shared" si="35"/>
        <v>-3.4699977577741695E-2</v>
      </c>
    </row>
    <row r="935" spans="1:144" x14ac:dyDescent="0.35">
      <c r="A935" t="s">
        <v>59</v>
      </c>
      <c r="E935">
        <v>-1.205238914935069E-2</v>
      </c>
      <c r="F935">
        <f t="shared" si="34"/>
        <v>-2.2268743251875136E-2</v>
      </c>
      <c r="G935">
        <f t="shared" si="35"/>
        <v>-3.4699977577741695E-2</v>
      </c>
    </row>
    <row r="936" spans="1:144" x14ac:dyDescent="0.35">
      <c r="A936" t="s">
        <v>59</v>
      </c>
      <c r="E936">
        <v>-1.2746701244397134E-2</v>
      </c>
      <c r="F936">
        <f t="shared" si="34"/>
        <v>-2.2283770441771187E-2</v>
      </c>
      <c r="G936">
        <f t="shared" si="35"/>
        <v>-3.4699977577741695E-2</v>
      </c>
    </row>
    <row r="937" spans="1:144" x14ac:dyDescent="0.35">
      <c r="A937" t="s">
        <v>59</v>
      </c>
      <c r="E937">
        <v>-1.2046545699194559E-2</v>
      </c>
      <c r="F937">
        <f t="shared" si="34"/>
        <v>-2.2298797631667245E-2</v>
      </c>
      <c r="G937">
        <f t="shared" si="35"/>
        <v>-3.4699977577741695E-2</v>
      </c>
    </row>
    <row r="938" spans="1:144" s="3" customFormat="1" x14ac:dyDescent="0.35">
      <c r="A938" s="3" t="s">
        <v>60</v>
      </c>
      <c r="B938" s="3" cm="1">
        <f t="array" ref="B938">_xlfn.STDEV.S(_xlfn._xlws.FILTER($E$2:$E$1000, $A$2:$A$1000="2013-10"))</f>
        <v>1.1745704373991491E-2</v>
      </c>
      <c r="C938" s="3" cm="1">
        <f t="array" ref="C938">AVERAGE(_xlfn._xlws.FILTER($E$2:$E$1000, $A$2:$A$1000="2013-10"))</f>
        <v>4.5347530039970803E-3</v>
      </c>
      <c r="D938" s="3" cm="1">
        <f t="array" ref="D938">_xlfn.PERCENTILE.EXC(_xlfn._xlws.FILTER($E$751:$E$999, $A$751:$A$999="2013-10"), 0.05)</f>
        <v>-2.2204746694548926E-2</v>
      </c>
      <c r="E938" s="3">
        <v>3.0624850386440545E-2</v>
      </c>
      <c r="F938" s="3">
        <f t="shared" si="34"/>
        <v>-2.2313824821563303E-2</v>
      </c>
      <c r="G938" s="3">
        <f t="shared" si="35"/>
        <v>-3.4699977577741695E-2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</row>
    <row r="939" spans="1:144" x14ac:dyDescent="0.35">
      <c r="A939" t="s">
        <v>60</v>
      </c>
      <c r="E939">
        <v>6.7292460553391139E-3</v>
      </c>
      <c r="F939">
        <f t="shared" si="34"/>
        <v>-2.2328852011459351E-2</v>
      </c>
      <c r="G939">
        <f t="shared" si="35"/>
        <v>-3.4699977577741695E-2</v>
      </c>
    </row>
    <row r="940" spans="1:144" x14ac:dyDescent="0.35">
      <c r="A940" t="s">
        <v>60</v>
      </c>
      <c r="E940">
        <v>-4.4422785451736424E-3</v>
      </c>
      <c r="F940">
        <f t="shared" si="34"/>
        <v>-2.2343879201355409E-2</v>
      </c>
      <c r="G940">
        <f t="shared" si="35"/>
        <v>-3.4699977577741695E-2</v>
      </c>
    </row>
    <row r="941" spans="1:144" x14ac:dyDescent="0.35">
      <c r="A941" t="s">
        <v>60</v>
      </c>
      <c r="E941">
        <v>1.57481661890095E-2</v>
      </c>
      <c r="F941">
        <f t="shared" si="34"/>
        <v>-2.2346586851708802E-2</v>
      </c>
      <c r="G941">
        <f t="shared" si="35"/>
        <v>-3.4786383860094042E-2</v>
      </c>
    </row>
    <row r="942" spans="1:144" x14ac:dyDescent="0.35">
      <c r="A942" t="s">
        <v>60</v>
      </c>
      <c r="E942">
        <v>6.6213074781493186E-3</v>
      </c>
      <c r="F942">
        <f t="shared" si="34"/>
        <v>-2.2349294502062196E-2</v>
      </c>
      <c r="G942">
        <f t="shared" si="35"/>
        <v>-3.4786383860094042E-2</v>
      </c>
    </row>
    <row r="943" spans="1:144" x14ac:dyDescent="0.35">
      <c r="A943" t="s">
        <v>60</v>
      </c>
      <c r="E943">
        <v>-2.8843532122555457E-3</v>
      </c>
      <c r="F943">
        <f t="shared" si="34"/>
        <v>-2.235200215241559E-2</v>
      </c>
      <c r="G943">
        <f t="shared" si="35"/>
        <v>-3.4786383860094042E-2</v>
      </c>
    </row>
    <row r="944" spans="1:144" x14ac:dyDescent="0.35">
      <c r="A944" t="s">
        <v>60</v>
      </c>
      <c r="E944">
        <v>9.6858329687881176E-3</v>
      </c>
      <c r="F944">
        <f t="shared" si="34"/>
        <v>-2.235470980276898E-2</v>
      </c>
      <c r="G944">
        <f t="shared" si="35"/>
        <v>-3.4786383860094042E-2</v>
      </c>
    </row>
    <row r="945" spans="1:7" x14ac:dyDescent="0.35">
      <c r="A945" t="s">
        <v>60</v>
      </c>
      <c r="E945">
        <v>1.5257450875313506E-2</v>
      </c>
      <c r="F945">
        <f t="shared" si="34"/>
        <v>-2.2357417453122374E-2</v>
      </c>
      <c r="G945">
        <f t="shared" si="35"/>
        <v>-3.4786383860094042E-2</v>
      </c>
    </row>
    <row r="946" spans="1:7" x14ac:dyDescent="0.35">
      <c r="A946" t="s">
        <v>60</v>
      </c>
      <c r="E946">
        <v>2.4305793974282678E-3</v>
      </c>
      <c r="F946">
        <f t="shared" si="34"/>
        <v>-2.2360125103475768E-2</v>
      </c>
      <c r="G946">
        <f t="shared" si="35"/>
        <v>-3.4786383860094042E-2</v>
      </c>
    </row>
    <row r="947" spans="1:7" x14ac:dyDescent="0.35">
      <c r="A947" t="s">
        <v>60</v>
      </c>
      <c r="E947">
        <v>1.8539540710766906E-3</v>
      </c>
      <c r="F947">
        <f t="shared" si="34"/>
        <v>-2.2362832753829161E-2</v>
      </c>
      <c r="G947">
        <f t="shared" si="35"/>
        <v>-3.4786383860094042E-2</v>
      </c>
    </row>
    <row r="948" spans="1:7" x14ac:dyDescent="0.35">
      <c r="A948" t="s">
        <v>60</v>
      </c>
      <c r="E948">
        <v>4.3015197577521407E-3</v>
      </c>
      <c r="F948">
        <f t="shared" si="34"/>
        <v>-2.2365540404182555E-2</v>
      </c>
      <c r="G948">
        <f t="shared" si="35"/>
        <v>-3.4786383860094042E-2</v>
      </c>
    </row>
    <row r="949" spans="1:7" x14ac:dyDescent="0.35">
      <c r="A949" t="s">
        <v>60</v>
      </c>
      <c r="E949">
        <v>1.4413068982038667E-2</v>
      </c>
      <c r="F949">
        <f t="shared" si="34"/>
        <v>-2.2368248054535946E-2</v>
      </c>
      <c r="G949">
        <f t="shared" si="35"/>
        <v>-3.4786383860094042E-2</v>
      </c>
    </row>
    <row r="950" spans="1:7" x14ac:dyDescent="0.35">
      <c r="A950" t="s">
        <v>60</v>
      </c>
      <c r="E950">
        <v>-3.9996788705143754E-3</v>
      </c>
      <c r="F950">
        <f t="shared" si="34"/>
        <v>-2.2370955704889339E-2</v>
      </c>
      <c r="G950">
        <f t="shared" si="35"/>
        <v>-3.4786383860094042E-2</v>
      </c>
    </row>
    <row r="951" spans="1:7" x14ac:dyDescent="0.35">
      <c r="A951" t="s">
        <v>60</v>
      </c>
      <c r="E951">
        <v>3.7910972404035874E-3</v>
      </c>
      <c r="F951">
        <f t="shared" si="34"/>
        <v>-2.2373663355242733E-2</v>
      </c>
      <c r="G951">
        <f t="shared" si="35"/>
        <v>-3.4786383860094042E-2</v>
      </c>
    </row>
    <row r="952" spans="1:7" x14ac:dyDescent="0.35">
      <c r="A952" t="s">
        <v>60</v>
      </c>
      <c r="E952">
        <v>-4.3234872166526627E-4</v>
      </c>
      <c r="F952">
        <f t="shared" si="34"/>
        <v>-2.2376371005596127E-2</v>
      </c>
      <c r="G952">
        <f t="shared" si="35"/>
        <v>-3.4786383860094042E-2</v>
      </c>
    </row>
    <row r="953" spans="1:7" x14ac:dyDescent="0.35">
      <c r="A953" t="s">
        <v>60</v>
      </c>
      <c r="E953">
        <v>5.6550467492826424E-3</v>
      </c>
      <c r="F953">
        <f t="shared" si="34"/>
        <v>-2.2379078655949521E-2</v>
      </c>
      <c r="G953">
        <f t="shared" si="35"/>
        <v>-3.4786383860094042E-2</v>
      </c>
    </row>
    <row r="954" spans="1:7" x14ac:dyDescent="0.35">
      <c r="A954" t="s">
        <v>60</v>
      </c>
      <c r="E954">
        <v>-2.4098269238272213E-2</v>
      </c>
      <c r="F954">
        <f t="shared" si="34"/>
        <v>-2.2381786306302914E-2</v>
      </c>
      <c r="G954">
        <f t="shared" si="35"/>
        <v>-3.4786383860094042E-2</v>
      </c>
    </row>
    <row r="955" spans="1:7" x14ac:dyDescent="0.35">
      <c r="A955" t="s">
        <v>60</v>
      </c>
      <c r="E955">
        <v>1.2728864700463112E-2</v>
      </c>
      <c r="F955">
        <f t="shared" si="34"/>
        <v>-2.2268743251875136E-2</v>
      </c>
      <c r="G955">
        <f t="shared" si="35"/>
        <v>-3.4774115398297424E-2</v>
      </c>
    </row>
    <row r="956" spans="1:7" x14ac:dyDescent="0.35">
      <c r="A956" t="s">
        <v>60</v>
      </c>
      <c r="E956">
        <v>-1.4630656519655795E-2</v>
      </c>
      <c r="F956">
        <f t="shared" si="34"/>
        <v>-2.2283770441771187E-2</v>
      </c>
      <c r="G956">
        <f t="shared" si="35"/>
        <v>-3.4774115398297424E-2</v>
      </c>
    </row>
    <row r="957" spans="1:7" x14ac:dyDescent="0.35">
      <c r="A957" t="s">
        <v>60</v>
      </c>
      <c r="E957">
        <v>-2.4045097314300246E-3</v>
      </c>
      <c r="F957">
        <f t="shared" si="34"/>
        <v>-2.2298797631667245E-2</v>
      </c>
      <c r="G957">
        <f t="shared" si="35"/>
        <v>-3.4774115398297424E-2</v>
      </c>
    </row>
    <row r="958" spans="1:7" x14ac:dyDescent="0.35">
      <c r="A958" t="s">
        <v>60</v>
      </c>
      <c r="E958">
        <v>2.2448897784576725E-2</v>
      </c>
      <c r="F958">
        <f t="shared" si="34"/>
        <v>-2.2313824821563303E-2</v>
      </c>
      <c r="G958">
        <f t="shared" si="35"/>
        <v>-3.4774115398297424E-2</v>
      </c>
    </row>
    <row r="959" spans="1:7" x14ac:dyDescent="0.35">
      <c r="A959" t="s">
        <v>60</v>
      </c>
      <c r="E959">
        <v>-4.6830398961573904E-3</v>
      </c>
      <c r="F959">
        <f t="shared" si="34"/>
        <v>-2.2328852011459351E-2</v>
      </c>
      <c r="G959">
        <f t="shared" si="35"/>
        <v>-3.4774115398297424E-2</v>
      </c>
    </row>
    <row r="960" spans="1:7" x14ac:dyDescent="0.35">
      <c r="A960" t="s">
        <v>60</v>
      </c>
      <c r="E960">
        <v>9.5845711909951677E-3</v>
      </c>
      <c r="F960">
        <f t="shared" si="34"/>
        <v>-2.2343879201355409E-2</v>
      </c>
      <c r="G960">
        <f t="shared" si="35"/>
        <v>-3.4774115398297424E-2</v>
      </c>
    </row>
    <row r="961" spans="1:144" s="3" customFormat="1" x14ac:dyDescent="0.35">
      <c r="A961" s="3" t="s">
        <v>61</v>
      </c>
      <c r="B961" s="3" cm="1">
        <f t="array" ref="B961">_xlfn.STDEV.S(_xlfn._xlws.FILTER($E$2:$E$1000, $A$2:$A$1000="2013-11"))</f>
        <v>1.0361245284195202E-2</v>
      </c>
      <c r="C961" s="3" cm="1">
        <f t="array" ref="C961">AVERAGE(_xlfn._xlws.FILTER($E$2:$E$1000, $A$2:$A$1000="2013-11"))</f>
        <v>-8.1914773541236284E-4</v>
      </c>
      <c r="D961" s="3" cm="1">
        <f t="array" ref="D961">_xlfn.PERCENTILE.EXC(_xlfn._xlws.FILTER($E$751:$E$999, $A$751:$A$999="2013-11"), 0.05)</f>
        <v>-2.0631574944213811E-2</v>
      </c>
      <c r="E961" s="3">
        <v>-9.7238833284122115E-3</v>
      </c>
      <c r="F961" s="3">
        <f t="shared" si="34"/>
        <v>-2.2346586851708802E-2</v>
      </c>
      <c r="G961" s="3">
        <f t="shared" si="35"/>
        <v>-3.4861652272923781E-2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</row>
    <row r="962" spans="1:144" x14ac:dyDescent="0.35">
      <c r="A962" t="s">
        <v>61</v>
      </c>
      <c r="E962">
        <v>7.6117425491331429E-3</v>
      </c>
      <c r="F962">
        <f t="shared" si="34"/>
        <v>-2.2349294502062196E-2</v>
      </c>
      <c r="G962">
        <f t="shared" si="35"/>
        <v>-3.4861652272923781E-2</v>
      </c>
    </row>
    <row r="963" spans="1:144" x14ac:dyDescent="0.35">
      <c r="A963" t="s">
        <v>61</v>
      </c>
      <c r="E963">
        <v>-1.1393095903191097E-2</v>
      </c>
      <c r="F963">
        <f t="shared" si="34"/>
        <v>-2.235200215241559E-2</v>
      </c>
      <c r="G963">
        <f t="shared" si="35"/>
        <v>-3.4861652272923781E-2</v>
      </c>
    </row>
    <row r="964" spans="1:144" x14ac:dyDescent="0.35">
      <c r="A964" t="s">
        <v>61</v>
      </c>
      <c r="E964">
        <v>8.8949871097388881E-3</v>
      </c>
      <c r="F964">
        <f t="shared" ref="F964:F1027" si="36">_xlfn.PERCENTILE.EXC(E964:E4779,0.05)</f>
        <v>-2.235470980276898E-2</v>
      </c>
      <c r="G964">
        <f t="shared" ref="G964:G1027" si="37">AVERAGEIFS(E964:E4780,E964:E4780,"&lt;=" &amp; F964)</f>
        <v>-3.4861652272923781E-2</v>
      </c>
    </row>
    <row r="965" spans="1:144" x14ac:dyDescent="0.35">
      <c r="A965" t="s">
        <v>61</v>
      </c>
      <c r="E965">
        <v>-2.0936652989130774E-2</v>
      </c>
      <c r="F965">
        <f t="shared" si="36"/>
        <v>-2.2357417453122374E-2</v>
      </c>
      <c r="G965">
        <f t="shared" si="37"/>
        <v>-3.4861652272923781E-2</v>
      </c>
    </row>
    <row r="966" spans="1:144" x14ac:dyDescent="0.35">
      <c r="A966" t="s">
        <v>61</v>
      </c>
      <c r="E966">
        <v>5.1976158330494324E-3</v>
      </c>
      <c r="F966">
        <f t="shared" si="36"/>
        <v>-2.2360125103475768E-2</v>
      </c>
      <c r="G966">
        <f t="shared" si="37"/>
        <v>-3.4861652272923781E-2</v>
      </c>
    </row>
    <row r="967" spans="1:144" x14ac:dyDescent="0.35">
      <c r="A967" t="s">
        <v>61</v>
      </c>
      <c r="E967">
        <v>7.6775627483366693E-3</v>
      </c>
      <c r="F967">
        <f t="shared" si="36"/>
        <v>-2.2362832753829161E-2</v>
      </c>
      <c r="G967">
        <f t="shared" si="37"/>
        <v>-3.4861652272923781E-2</v>
      </c>
    </row>
    <row r="968" spans="1:144" x14ac:dyDescent="0.35">
      <c r="A968" t="s">
        <v>61</v>
      </c>
      <c r="E968">
        <v>-5.396090586466078E-3</v>
      </c>
      <c r="F968">
        <f t="shared" si="36"/>
        <v>-2.2365540404182555E-2</v>
      </c>
      <c r="G968">
        <f t="shared" si="37"/>
        <v>-3.4861652272923781E-2</v>
      </c>
    </row>
    <row r="969" spans="1:144" x14ac:dyDescent="0.35">
      <c r="A969" t="s">
        <v>61</v>
      </c>
      <c r="E969">
        <v>-1.4415412682294531E-2</v>
      </c>
      <c r="F969">
        <f t="shared" si="36"/>
        <v>-2.2368248054535946E-2</v>
      </c>
      <c r="G969">
        <f t="shared" si="37"/>
        <v>-3.4861652272923781E-2</v>
      </c>
    </row>
    <row r="970" spans="1:144" x14ac:dyDescent="0.35">
      <c r="A970" t="s">
        <v>61</v>
      </c>
      <c r="E970">
        <v>1.4807784258972882E-3</v>
      </c>
      <c r="F970">
        <f t="shared" si="36"/>
        <v>-2.2370955704889339E-2</v>
      </c>
      <c r="G970">
        <f t="shared" si="37"/>
        <v>-3.4861652272923781E-2</v>
      </c>
    </row>
    <row r="971" spans="1:144" x14ac:dyDescent="0.35">
      <c r="A971" t="s">
        <v>61</v>
      </c>
      <c r="E971">
        <v>-3.9302581543549505E-3</v>
      </c>
      <c r="F971">
        <f t="shared" si="36"/>
        <v>-2.2373663355242733E-2</v>
      </c>
      <c r="G971">
        <f t="shared" si="37"/>
        <v>-3.4861652272923781E-2</v>
      </c>
    </row>
    <row r="972" spans="1:144" x14ac:dyDescent="0.35">
      <c r="A972" t="s">
        <v>61</v>
      </c>
      <c r="E972">
        <v>2.2135895691087693E-2</v>
      </c>
      <c r="F972">
        <f t="shared" si="36"/>
        <v>-2.2376371005596127E-2</v>
      </c>
      <c r="G972">
        <f t="shared" si="37"/>
        <v>-3.4861652272923781E-2</v>
      </c>
    </row>
    <row r="973" spans="1:144" x14ac:dyDescent="0.35">
      <c r="A973" t="s">
        <v>61</v>
      </c>
      <c r="E973">
        <v>-1.7885872539961139E-2</v>
      </c>
      <c r="F973">
        <f t="shared" si="36"/>
        <v>-2.2379078655949521E-2</v>
      </c>
      <c r="G973">
        <f t="shared" si="37"/>
        <v>-3.4861652272923781E-2</v>
      </c>
    </row>
    <row r="974" spans="1:144" x14ac:dyDescent="0.35">
      <c r="A974" t="s">
        <v>61</v>
      </c>
      <c r="E974">
        <v>-2.0552064400082663E-3</v>
      </c>
      <c r="F974">
        <f t="shared" si="36"/>
        <v>-2.2381786306302914E-2</v>
      </c>
      <c r="G974">
        <f t="shared" si="37"/>
        <v>-3.4861652272923781E-2</v>
      </c>
    </row>
    <row r="975" spans="1:144" x14ac:dyDescent="0.35">
      <c r="A975" t="s">
        <v>61</v>
      </c>
      <c r="E975">
        <v>6.0473805607901294E-3</v>
      </c>
      <c r="F975">
        <f t="shared" si="36"/>
        <v>-2.2384493956656308E-2</v>
      </c>
      <c r="G975">
        <f t="shared" si="37"/>
        <v>-3.4861652272923781E-2</v>
      </c>
    </row>
    <row r="976" spans="1:144" x14ac:dyDescent="0.35">
      <c r="A976" t="s">
        <v>61</v>
      </c>
      <c r="E976">
        <v>-1.0375912672977679E-3</v>
      </c>
      <c r="F976">
        <f t="shared" si="36"/>
        <v>-2.2387201607009698E-2</v>
      </c>
      <c r="G976">
        <f t="shared" si="37"/>
        <v>-3.4861652272923781E-2</v>
      </c>
    </row>
    <row r="977" spans="1:144" x14ac:dyDescent="0.35">
      <c r="A977" t="s">
        <v>61</v>
      </c>
      <c r="E977">
        <v>-2.0214538318279571E-3</v>
      </c>
      <c r="F977">
        <f t="shared" si="36"/>
        <v>-2.2389909257363092E-2</v>
      </c>
      <c r="G977">
        <f t="shared" si="37"/>
        <v>-3.4861652272923781E-2</v>
      </c>
    </row>
    <row r="978" spans="1:144" x14ac:dyDescent="0.35">
      <c r="A978" t="s">
        <v>61</v>
      </c>
      <c r="E978">
        <v>-5.3409915438365908E-4</v>
      </c>
      <c r="F978">
        <f t="shared" si="36"/>
        <v>-2.2392616907716486E-2</v>
      </c>
      <c r="G978">
        <f t="shared" si="37"/>
        <v>-3.4861652272923781E-2</v>
      </c>
    </row>
    <row r="979" spans="1:144" x14ac:dyDescent="0.35">
      <c r="A979" t="s">
        <v>61</v>
      </c>
      <c r="E979">
        <v>7.985387425708465E-3</v>
      </c>
      <c r="F979">
        <f t="shared" si="36"/>
        <v>-2.239532455806988E-2</v>
      </c>
      <c r="G979">
        <f t="shared" si="37"/>
        <v>-3.4861652272923781E-2</v>
      </c>
    </row>
    <row r="980" spans="1:144" x14ac:dyDescent="0.35">
      <c r="A980" t="s">
        <v>61</v>
      </c>
      <c r="E980">
        <v>9.1821238091229843E-3</v>
      </c>
      <c r="F980">
        <f t="shared" si="36"/>
        <v>-2.2398032208423273E-2</v>
      </c>
      <c r="G980">
        <f t="shared" si="37"/>
        <v>-3.4861652272923781E-2</v>
      </c>
    </row>
    <row r="981" spans="1:144" x14ac:dyDescent="0.35">
      <c r="A981" t="s">
        <v>61</v>
      </c>
      <c r="E981">
        <v>-4.0859597191958809E-3</v>
      </c>
      <c r="F981">
        <f t="shared" si="36"/>
        <v>-2.24047403073727E-2</v>
      </c>
      <c r="G981">
        <f t="shared" si="37"/>
        <v>-3.4950046741466338E-2</v>
      </c>
    </row>
    <row r="982" spans="1:144" s="3" customFormat="1" x14ac:dyDescent="0.35">
      <c r="A982" s="3" t="s">
        <v>62</v>
      </c>
      <c r="B982" s="3" cm="1">
        <f t="array" ref="B982">_xlfn.STDEV.S(_xlfn._xlws.FILTER($E$2:$E$1000, $A$2:$A$1000="2013-12"))</f>
        <v>1.3069350169804836E-2</v>
      </c>
      <c r="C982" s="3" cm="1">
        <f t="array" ref="C982">AVERAGE(_xlfn._xlws.FILTER($E$2:$E$1000, $A$2:$A$1000="2013-12"))</f>
        <v>-1.5726706555503742E-4</v>
      </c>
      <c r="D982" s="3" cm="1">
        <f t="array" ref="D982">_xlfn.PERCENTILE.INC(_xlfn._xlws.FILTER($E$751:$E$999, $A$751:$A$999="2013-12"), 0.05)</f>
        <v>-1.7934795044482067E-2</v>
      </c>
      <c r="E982" s="3">
        <v>-1.5305680677928464E-2</v>
      </c>
      <c r="F982" s="3">
        <f t="shared" si="36"/>
        <v>-2.2411448406322129E-2</v>
      </c>
      <c r="G982" s="3">
        <f t="shared" si="37"/>
        <v>-3.4950046741466338E-2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</row>
    <row r="983" spans="1:144" x14ac:dyDescent="0.35">
      <c r="A983" t="s">
        <v>62</v>
      </c>
      <c r="E983">
        <v>-1.9721221555108397E-2</v>
      </c>
      <c r="F983">
        <f t="shared" si="36"/>
        <v>-2.2418156505271559E-2</v>
      </c>
      <c r="G983">
        <f t="shared" si="37"/>
        <v>-3.4950046741466338E-2</v>
      </c>
    </row>
    <row r="984" spans="1:144" x14ac:dyDescent="0.35">
      <c r="A984" t="s">
        <v>62</v>
      </c>
      <c r="E984">
        <v>-2.9329587698249319E-3</v>
      </c>
      <c r="F984">
        <f t="shared" si="36"/>
        <v>-2.2424864604220985E-2</v>
      </c>
      <c r="G984">
        <f t="shared" si="37"/>
        <v>-3.4950046741466338E-2</v>
      </c>
    </row>
    <row r="985" spans="1:144" x14ac:dyDescent="0.35">
      <c r="A985" t="s">
        <v>62</v>
      </c>
      <c r="E985">
        <v>-1.7619543307312715E-2</v>
      </c>
      <c r="F985">
        <f t="shared" si="36"/>
        <v>-2.2431572703170415E-2</v>
      </c>
      <c r="G985">
        <f t="shared" si="37"/>
        <v>-3.4950046741466338E-2</v>
      </c>
    </row>
    <row r="986" spans="1:144" x14ac:dyDescent="0.35">
      <c r="A986" t="s">
        <v>62</v>
      </c>
      <c r="E986">
        <v>7.2690823935665037E-3</v>
      </c>
      <c r="F986">
        <f t="shared" si="36"/>
        <v>-2.2438280802119844E-2</v>
      </c>
      <c r="G986">
        <f t="shared" si="37"/>
        <v>-3.4950046741466338E-2</v>
      </c>
    </row>
    <row r="987" spans="1:144" x14ac:dyDescent="0.35">
      <c r="A987" t="s">
        <v>62</v>
      </c>
      <c r="E987">
        <v>8.850944805881519E-3</v>
      </c>
      <c r="F987">
        <f t="shared" si="36"/>
        <v>-2.2444988901069274E-2</v>
      </c>
      <c r="G987">
        <f t="shared" si="37"/>
        <v>-3.4950046741466338E-2</v>
      </c>
    </row>
    <row r="988" spans="1:144" x14ac:dyDescent="0.35">
      <c r="A988" t="s">
        <v>62</v>
      </c>
      <c r="E988">
        <v>-2.6723458934512731E-3</v>
      </c>
      <c r="F988">
        <f t="shared" si="36"/>
        <v>-2.2451697000018703E-2</v>
      </c>
      <c r="G988">
        <f t="shared" si="37"/>
        <v>-3.4950046741466338E-2</v>
      </c>
    </row>
    <row r="989" spans="1:144" x14ac:dyDescent="0.35">
      <c r="A989" t="s">
        <v>62</v>
      </c>
      <c r="E989">
        <v>-1.4513100117443457E-2</v>
      </c>
      <c r="F989">
        <f t="shared" si="36"/>
        <v>-2.245840509896813E-2</v>
      </c>
      <c r="G989">
        <f t="shared" si="37"/>
        <v>-3.4950046741466338E-2</v>
      </c>
    </row>
    <row r="990" spans="1:144" x14ac:dyDescent="0.35">
      <c r="A990" t="s">
        <v>62</v>
      </c>
      <c r="E990">
        <v>-9.4520284137311582E-3</v>
      </c>
      <c r="F990">
        <f t="shared" si="36"/>
        <v>-2.2465113197917559E-2</v>
      </c>
      <c r="G990">
        <f t="shared" si="37"/>
        <v>-3.4950046741466338E-2</v>
      </c>
    </row>
    <row r="991" spans="1:144" x14ac:dyDescent="0.35">
      <c r="A991" t="s">
        <v>62</v>
      </c>
      <c r="E991">
        <v>4.8300225223210621E-5</v>
      </c>
      <c r="F991">
        <f t="shared" si="36"/>
        <v>-2.2471821296866985E-2</v>
      </c>
      <c r="G991">
        <f t="shared" si="37"/>
        <v>-3.4950046741466338E-2</v>
      </c>
    </row>
    <row r="992" spans="1:144" x14ac:dyDescent="0.35">
      <c r="A992" t="s">
        <v>62</v>
      </c>
      <c r="E992">
        <v>2.3132388479159445E-2</v>
      </c>
      <c r="F992">
        <f t="shared" si="36"/>
        <v>-2.2478529395816415E-2</v>
      </c>
      <c r="G992">
        <f t="shared" si="37"/>
        <v>-3.4950046741466338E-2</v>
      </c>
    </row>
    <row r="993" spans="1:144" x14ac:dyDescent="0.35">
      <c r="A993" t="s">
        <v>62</v>
      </c>
      <c r="E993">
        <v>-1.6444602189385125E-2</v>
      </c>
      <c r="F993">
        <f t="shared" si="36"/>
        <v>-2.2485237494765845E-2</v>
      </c>
      <c r="G993">
        <f t="shared" si="37"/>
        <v>-3.4950046741466338E-2</v>
      </c>
    </row>
    <row r="994" spans="1:144" x14ac:dyDescent="0.35">
      <c r="A994" t="s">
        <v>62</v>
      </c>
      <c r="E994">
        <v>1.1442103716632965E-2</v>
      </c>
      <c r="F994">
        <f t="shared" si="36"/>
        <v>-2.2491945593715271E-2</v>
      </c>
      <c r="G994">
        <f t="shared" si="37"/>
        <v>-3.4950046741466338E-2</v>
      </c>
    </row>
    <row r="995" spans="1:144" x14ac:dyDescent="0.35">
      <c r="A995" t="s">
        <v>62</v>
      </c>
      <c r="E995">
        <v>1.7630401653416998E-2</v>
      </c>
      <c r="F995">
        <f t="shared" si="36"/>
        <v>-2.2498653692664704E-2</v>
      </c>
      <c r="G995">
        <f t="shared" si="37"/>
        <v>-3.4950046741466338E-2</v>
      </c>
    </row>
    <row r="996" spans="1:144" x14ac:dyDescent="0.35">
      <c r="A996" t="s">
        <v>62</v>
      </c>
      <c r="E996">
        <v>6.0303373485726657E-3</v>
      </c>
      <c r="F996">
        <f t="shared" si="36"/>
        <v>-2.250536179161413E-2</v>
      </c>
      <c r="G996">
        <f t="shared" si="37"/>
        <v>-3.4950046741466338E-2</v>
      </c>
    </row>
    <row r="997" spans="1:144" x14ac:dyDescent="0.35">
      <c r="A997" t="s">
        <v>62</v>
      </c>
      <c r="E997">
        <v>7.0601612115382059E-3</v>
      </c>
      <c r="F997">
        <f t="shared" si="36"/>
        <v>-2.251206989056356E-2</v>
      </c>
      <c r="G997">
        <f t="shared" si="37"/>
        <v>-3.4950046741466338E-2</v>
      </c>
    </row>
    <row r="998" spans="1:144" x14ac:dyDescent="0.35">
      <c r="A998" t="s">
        <v>62</v>
      </c>
      <c r="E998">
        <v>1.3776829848370642E-2</v>
      </c>
      <c r="F998">
        <f t="shared" si="36"/>
        <v>-2.2518777989512989E-2</v>
      </c>
      <c r="G998">
        <f t="shared" si="37"/>
        <v>-3.4950046741466338E-2</v>
      </c>
    </row>
    <row r="999" spans="1:144" x14ac:dyDescent="0.35">
      <c r="A999" t="s">
        <v>62</v>
      </c>
      <c r="E999">
        <v>5.9012406183268885E-4</v>
      </c>
      <c r="F999">
        <f t="shared" si="36"/>
        <v>-2.2525486088462415E-2</v>
      </c>
      <c r="G999">
        <f t="shared" si="37"/>
        <v>-3.4950046741466338E-2</v>
      </c>
    </row>
    <row r="1000" spans="1:144" s="3" customFormat="1" x14ac:dyDescent="0.35">
      <c r="A1000" s="3" t="s">
        <v>63</v>
      </c>
      <c r="B1000" s="3" cm="1">
        <f t="array" ref="B1000">_xlfn.STDEV.S(_xlfn._xlws.FILTER($E$1000:$E$1998, $A$1000:$A$1998="2014-01"))</f>
        <v>8.2320956432559728E-3</v>
      </c>
      <c r="C1000" s="3" cm="1">
        <f t="array" ref="C1000">AVERAGE(_xlfn._xlws.FILTER($E$1000:$E$1998, $A$1000:$A$1998="2014-01"))</f>
        <v>1.0672691174232658E-3</v>
      </c>
      <c r="D1000" s="3" cm="1">
        <f t="array" ref="D1000">_xlfn.PERCENTILE.EXC(_xlfn._xlws.FILTER($E$1000:$E$1497, $A$1000:$A$1497="2014-01"), 0.05)</f>
        <v>-2.1048706935085263E-2</v>
      </c>
      <c r="E1000" s="3">
        <v>-2.009640403046509E-3</v>
      </c>
      <c r="F1000" s="3">
        <f t="shared" si="36"/>
        <v>-2.2532194187411845E-2</v>
      </c>
      <c r="G1000" s="3">
        <f t="shared" si="37"/>
        <v>-3.4950046741466338E-2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</row>
    <row r="1001" spans="1:144" x14ac:dyDescent="0.35">
      <c r="A1001" t="s">
        <v>63</v>
      </c>
      <c r="E1001">
        <v>9.622000155676845E-3</v>
      </c>
      <c r="F1001">
        <f t="shared" si="36"/>
        <v>-2.2539728382851884E-2</v>
      </c>
      <c r="G1001">
        <f t="shared" si="37"/>
        <v>-3.5038745688281012E-2</v>
      </c>
    </row>
    <row r="1002" spans="1:144" x14ac:dyDescent="0.35">
      <c r="A1002" t="s">
        <v>63</v>
      </c>
      <c r="E1002">
        <v>6.3156089786789559E-3</v>
      </c>
      <c r="F1002">
        <f t="shared" si="36"/>
        <v>-2.254726257829193E-2</v>
      </c>
      <c r="G1002">
        <f t="shared" si="37"/>
        <v>-3.5038745688281012E-2</v>
      </c>
    </row>
    <row r="1003" spans="1:144" x14ac:dyDescent="0.35">
      <c r="A1003" t="s">
        <v>63</v>
      </c>
      <c r="E1003">
        <v>1.2144587517823274E-2</v>
      </c>
      <c r="F1003">
        <f t="shared" si="36"/>
        <v>-2.2554796773731973E-2</v>
      </c>
      <c r="G1003">
        <f t="shared" si="37"/>
        <v>-3.5038745688281012E-2</v>
      </c>
    </row>
    <row r="1004" spans="1:144" x14ac:dyDescent="0.35">
      <c r="A1004" t="s">
        <v>63</v>
      </c>
      <c r="E1004">
        <v>-1.6681642884448465E-3</v>
      </c>
      <c r="F1004">
        <f t="shared" si="36"/>
        <v>-2.2562330969172012E-2</v>
      </c>
      <c r="G1004">
        <f t="shared" si="37"/>
        <v>-3.5038745688281012E-2</v>
      </c>
    </row>
    <row r="1005" spans="1:144" x14ac:dyDescent="0.35">
      <c r="A1005" t="s">
        <v>63</v>
      </c>
      <c r="E1005">
        <v>3.4258481911596328E-3</v>
      </c>
      <c r="F1005">
        <f t="shared" si="36"/>
        <v>-2.2569865164612058E-2</v>
      </c>
      <c r="G1005">
        <f t="shared" si="37"/>
        <v>-3.5038745688281012E-2</v>
      </c>
    </row>
    <row r="1006" spans="1:144" x14ac:dyDescent="0.35">
      <c r="A1006" t="s">
        <v>63</v>
      </c>
      <c r="E1006">
        <v>3.3783815916271906E-3</v>
      </c>
      <c r="F1006">
        <f t="shared" si="36"/>
        <v>-2.2577399360052097E-2</v>
      </c>
      <c r="G1006">
        <f t="shared" si="37"/>
        <v>-3.5038745688281012E-2</v>
      </c>
    </row>
    <row r="1007" spans="1:144" x14ac:dyDescent="0.35">
      <c r="A1007" t="s">
        <v>63</v>
      </c>
      <c r="E1007">
        <v>6.5323506091081477E-3</v>
      </c>
      <c r="F1007">
        <f t="shared" si="36"/>
        <v>-2.258493355549214E-2</v>
      </c>
      <c r="G1007">
        <f t="shared" si="37"/>
        <v>-3.5038745688281012E-2</v>
      </c>
    </row>
    <row r="1008" spans="1:144" x14ac:dyDescent="0.35">
      <c r="A1008" t="s">
        <v>63</v>
      </c>
      <c r="E1008">
        <v>1.6805477680124214E-3</v>
      </c>
      <c r="F1008">
        <f t="shared" si="36"/>
        <v>-2.2592467750932186E-2</v>
      </c>
      <c r="G1008">
        <f t="shared" si="37"/>
        <v>-3.5038745688281012E-2</v>
      </c>
    </row>
    <row r="1009" spans="1:144" x14ac:dyDescent="0.35">
      <c r="A1009" t="s">
        <v>63</v>
      </c>
      <c r="E1009">
        <v>1.5858080208480323E-2</v>
      </c>
      <c r="F1009">
        <f t="shared" si="36"/>
        <v>-2.2600001946372225E-2</v>
      </c>
      <c r="G1009">
        <f t="shared" si="37"/>
        <v>-3.5038745688281012E-2</v>
      </c>
    </row>
    <row r="1010" spans="1:144" x14ac:dyDescent="0.35">
      <c r="A1010" t="s">
        <v>63</v>
      </c>
      <c r="E1010">
        <v>-8.5202831487623896E-3</v>
      </c>
      <c r="F1010">
        <f t="shared" si="36"/>
        <v>-2.2607536141812268E-2</v>
      </c>
      <c r="G1010">
        <f t="shared" si="37"/>
        <v>-3.5038745688281012E-2</v>
      </c>
    </row>
    <row r="1011" spans="1:144" x14ac:dyDescent="0.35">
      <c r="A1011" t="s">
        <v>63</v>
      </c>
      <c r="E1011">
        <v>4.7002196205037242E-3</v>
      </c>
      <c r="F1011">
        <f t="shared" si="36"/>
        <v>-2.261507033725231E-2</v>
      </c>
      <c r="G1011">
        <f t="shared" si="37"/>
        <v>-3.5038745688281012E-2</v>
      </c>
    </row>
    <row r="1012" spans="1:144" x14ac:dyDescent="0.35">
      <c r="A1012" t="s">
        <v>63</v>
      </c>
      <c r="E1012">
        <v>2.0629510587940345E-4</v>
      </c>
      <c r="F1012">
        <f t="shared" si="36"/>
        <v>-2.2622604532692353E-2</v>
      </c>
      <c r="G1012">
        <f t="shared" si="37"/>
        <v>-3.5038745688281012E-2</v>
      </c>
    </row>
    <row r="1013" spans="1:144" x14ac:dyDescent="0.35">
      <c r="A1013" t="s">
        <v>63</v>
      </c>
      <c r="E1013">
        <v>1.1158593273764878E-3</v>
      </c>
      <c r="F1013">
        <f t="shared" si="36"/>
        <v>-2.2630138728132399E-2</v>
      </c>
      <c r="G1013">
        <f t="shared" si="37"/>
        <v>-3.5038745688281012E-2</v>
      </c>
    </row>
    <row r="1014" spans="1:144" x14ac:dyDescent="0.35">
      <c r="A1014" t="s">
        <v>63</v>
      </c>
      <c r="E1014">
        <v>-1.8706457078379196E-3</v>
      </c>
      <c r="F1014">
        <f t="shared" si="36"/>
        <v>-2.2637672923572438E-2</v>
      </c>
      <c r="G1014">
        <f t="shared" si="37"/>
        <v>-3.5038745688281012E-2</v>
      </c>
    </row>
    <row r="1015" spans="1:144" x14ac:dyDescent="0.35">
      <c r="A1015" t="s">
        <v>63</v>
      </c>
      <c r="E1015">
        <v>-7.2325889484384266E-3</v>
      </c>
      <c r="F1015">
        <f t="shared" si="36"/>
        <v>-2.2645207119012481E-2</v>
      </c>
      <c r="G1015">
        <f t="shared" si="37"/>
        <v>-3.5038745688281012E-2</v>
      </c>
    </row>
    <row r="1016" spans="1:144" x14ac:dyDescent="0.35">
      <c r="A1016" t="s">
        <v>63</v>
      </c>
      <c r="E1016">
        <v>-2.3259605250318713E-2</v>
      </c>
      <c r="F1016">
        <f t="shared" si="36"/>
        <v>-2.265274131445252E-2</v>
      </c>
      <c r="G1016">
        <f t="shared" si="37"/>
        <v>-3.5038745688281012E-2</v>
      </c>
    </row>
    <row r="1017" spans="1:144" x14ac:dyDescent="0.35">
      <c r="A1017" t="s">
        <v>63</v>
      </c>
      <c r="E1017">
        <v>-4.4216648882046327E-3</v>
      </c>
      <c r="F1017">
        <f t="shared" si="36"/>
        <v>-2.251206989056356E-2</v>
      </c>
      <c r="G1017">
        <f t="shared" si="37"/>
        <v>-3.5033549894974536E-2</v>
      </c>
    </row>
    <row r="1018" spans="1:144" x14ac:dyDescent="0.35">
      <c r="A1018" t="s">
        <v>63</v>
      </c>
      <c r="E1018">
        <v>9.025444834688541E-3</v>
      </c>
      <c r="F1018">
        <f t="shared" si="36"/>
        <v>-2.2518777989512989E-2</v>
      </c>
      <c r="G1018">
        <f t="shared" si="37"/>
        <v>-3.5033549894974536E-2</v>
      </c>
    </row>
    <row r="1019" spans="1:144" x14ac:dyDescent="0.35">
      <c r="A1019" t="s">
        <v>63</v>
      </c>
      <c r="E1019">
        <v>-5.7186121613599069E-3</v>
      </c>
      <c r="F1019">
        <f t="shared" si="36"/>
        <v>-2.2525486088462415E-2</v>
      </c>
      <c r="G1019">
        <f t="shared" si="37"/>
        <v>-3.5033549894974536E-2</v>
      </c>
    </row>
    <row r="1020" spans="1:144" x14ac:dyDescent="0.35">
      <c r="A1020" t="s">
        <v>63</v>
      </c>
      <c r="E1020">
        <v>3.8261708858845214E-3</v>
      </c>
      <c r="F1020">
        <f t="shared" si="36"/>
        <v>-2.2532194187411845E-2</v>
      </c>
      <c r="G1020">
        <f t="shared" si="37"/>
        <v>-3.5033549894974536E-2</v>
      </c>
    </row>
    <row r="1021" spans="1:144" x14ac:dyDescent="0.35">
      <c r="A1021" t="s">
        <v>63</v>
      </c>
      <c r="E1021">
        <v>3.4973058482572152E-4</v>
      </c>
      <c r="F1021">
        <f t="shared" si="36"/>
        <v>-2.2539728382851884E-2</v>
      </c>
      <c r="G1021">
        <f t="shared" si="37"/>
        <v>-3.5123487705820307E-2</v>
      </c>
    </row>
    <row r="1022" spans="1:144" s="3" customFormat="1" x14ac:dyDescent="0.35">
      <c r="A1022" s="3" t="s">
        <v>64</v>
      </c>
      <c r="B1022" s="3" cm="1">
        <f t="array" ref="B1022">_xlfn.STDEV.S(_xlfn._xlws.FILTER($E$1000:$E$1998, $A$1000:$A$1998="2014-02"))</f>
        <v>9.8731401690601867E-3</v>
      </c>
      <c r="C1022" s="3" cm="1">
        <f t="array" ref="C1022">AVERAGE(_xlfn._xlws.FILTER($E$1000:$E$1998, $A$1000:$A$1998="2014-02"))</f>
        <v>2.5696842064880012E-3</v>
      </c>
      <c r="D1022" s="3" cm="1">
        <f t="array" ref="D1022">_xlfn.PERCENTILE.EXC(_xlfn._xlws.FILTER($E$1000:$E$1497, $A$1000:$A$1497="2014-02"), 0.05)</f>
        <v>-2.5532824785016395E-2</v>
      </c>
      <c r="E1022" s="3">
        <v>-2.66772940177048E-2</v>
      </c>
      <c r="F1022" s="3">
        <f t="shared" si="36"/>
        <v>-2.254726257829193E-2</v>
      </c>
      <c r="G1022" s="3">
        <f t="shared" si="37"/>
        <v>-3.5123487705820307E-2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</row>
    <row r="1023" spans="1:144" x14ac:dyDescent="0.35">
      <c r="A1023" t="s">
        <v>64</v>
      </c>
      <c r="E1023">
        <v>5.9351235884977363E-3</v>
      </c>
      <c r="F1023">
        <f t="shared" si="36"/>
        <v>-2.2418156505271559E-2</v>
      </c>
      <c r="G1023">
        <f t="shared" si="37"/>
        <v>-3.5093666843731879E-2</v>
      </c>
    </row>
    <row r="1024" spans="1:144" x14ac:dyDescent="0.35">
      <c r="A1024" t="s">
        <v>64</v>
      </c>
      <c r="E1024">
        <v>2.6206829348306591E-3</v>
      </c>
      <c r="F1024">
        <f t="shared" si="36"/>
        <v>-2.2424864604220985E-2</v>
      </c>
      <c r="G1024">
        <f t="shared" si="37"/>
        <v>-3.5093666843731879E-2</v>
      </c>
    </row>
    <row r="1025" spans="1:7" x14ac:dyDescent="0.35">
      <c r="A1025" t="s">
        <v>64</v>
      </c>
      <c r="E1025">
        <v>2.2535385003849082E-2</v>
      </c>
      <c r="F1025">
        <f t="shared" si="36"/>
        <v>-2.2431572703170415E-2</v>
      </c>
      <c r="G1025">
        <f t="shared" si="37"/>
        <v>-3.5093666843731879E-2</v>
      </c>
    </row>
    <row r="1026" spans="1:7" x14ac:dyDescent="0.35">
      <c r="A1026" t="s">
        <v>64</v>
      </c>
      <c r="E1026">
        <v>9.5846466198010721E-3</v>
      </c>
      <c r="F1026">
        <f t="shared" si="36"/>
        <v>-2.2438280802119844E-2</v>
      </c>
      <c r="G1026">
        <f t="shared" si="37"/>
        <v>-3.5093666843731879E-2</v>
      </c>
    </row>
    <row r="1027" spans="1:7" x14ac:dyDescent="0.35">
      <c r="A1027" t="s">
        <v>64</v>
      </c>
      <c r="E1027">
        <v>-4.7035040956124925E-4</v>
      </c>
      <c r="F1027">
        <f t="shared" si="36"/>
        <v>-2.2444988901069274E-2</v>
      </c>
      <c r="G1027">
        <f t="shared" si="37"/>
        <v>-3.5093666843731879E-2</v>
      </c>
    </row>
    <row r="1028" spans="1:7" x14ac:dyDescent="0.35">
      <c r="A1028" t="s">
        <v>64</v>
      </c>
      <c r="E1028">
        <v>1.0339688494482427E-2</v>
      </c>
      <c r="F1028">
        <f t="shared" ref="F1028:F1091" si="38">_xlfn.PERCENTILE.EXC(E1028:E4843,0.05)</f>
        <v>-2.2451697000018703E-2</v>
      </c>
      <c r="G1028">
        <f t="shared" ref="G1028:G1091" si="39">AVERAGEIFS(E1028:E4844,E1028:E4844,"&lt;=" &amp; F1028)</f>
        <v>-3.5093666843731879E-2</v>
      </c>
    </row>
    <row r="1029" spans="1:7" x14ac:dyDescent="0.35">
      <c r="A1029" t="s">
        <v>64</v>
      </c>
      <c r="E1029">
        <v>1.2868270500870209E-2</v>
      </c>
      <c r="F1029">
        <f t="shared" si="38"/>
        <v>-2.245840509896813E-2</v>
      </c>
      <c r="G1029">
        <f t="shared" si="39"/>
        <v>-3.5093666843731879E-2</v>
      </c>
    </row>
    <row r="1030" spans="1:7" x14ac:dyDescent="0.35">
      <c r="A1030" t="s">
        <v>64</v>
      </c>
      <c r="E1030">
        <v>-1.722011412413707E-3</v>
      </c>
      <c r="F1030">
        <f t="shared" si="38"/>
        <v>-2.2465113197917559E-2</v>
      </c>
      <c r="G1030">
        <f t="shared" si="39"/>
        <v>-3.5093666843731879E-2</v>
      </c>
    </row>
    <row r="1031" spans="1:7" x14ac:dyDescent="0.35">
      <c r="A1031" t="s">
        <v>64</v>
      </c>
      <c r="E1031">
        <v>1.6088928209398928E-2</v>
      </c>
      <c r="F1031">
        <f t="shared" si="38"/>
        <v>-2.2471821296866985E-2</v>
      </c>
      <c r="G1031">
        <f t="shared" si="39"/>
        <v>-3.5093666843731879E-2</v>
      </c>
    </row>
    <row r="1032" spans="1:7" x14ac:dyDescent="0.35">
      <c r="A1032" t="s">
        <v>64</v>
      </c>
      <c r="E1032">
        <v>1.1336039938411033E-3</v>
      </c>
      <c r="F1032">
        <f t="shared" si="38"/>
        <v>-2.2478529395816415E-2</v>
      </c>
      <c r="G1032">
        <f t="shared" si="39"/>
        <v>-3.5093666843731879E-2</v>
      </c>
    </row>
    <row r="1033" spans="1:7" x14ac:dyDescent="0.35">
      <c r="A1033" t="s">
        <v>64</v>
      </c>
      <c r="E1033">
        <v>9.2236642364289484E-4</v>
      </c>
      <c r="F1033">
        <f t="shared" si="38"/>
        <v>-2.2485237494765845E-2</v>
      </c>
      <c r="G1033">
        <f t="shared" si="39"/>
        <v>-3.5093666843731879E-2</v>
      </c>
    </row>
    <row r="1034" spans="1:7" x14ac:dyDescent="0.35">
      <c r="A1034" t="s">
        <v>64</v>
      </c>
      <c r="E1034">
        <v>-1.9664286291770591E-3</v>
      </c>
      <c r="F1034">
        <f t="shared" si="38"/>
        <v>-2.2491945593715271E-2</v>
      </c>
      <c r="G1034">
        <f t="shared" si="39"/>
        <v>-3.5093666843731879E-2</v>
      </c>
    </row>
    <row r="1035" spans="1:7" x14ac:dyDescent="0.35">
      <c r="A1035" t="s">
        <v>64</v>
      </c>
      <c r="E1035">
        <v>6.8377609438140046E-4</v>
      </c>
      <c r="F1035">
        <f t="shared" si="38"/>
        <v>-2.2498653692664704E-2</v>
      </c>
      <c r="G1035">
        <f t="shared" si="39"/>
        <v>-3.5093666843731879E-2</v>
      </c>
    </row>
    <row r="1036" spans="1:7" x14ac:dyDescent="0.35">
      <c r="A1036" t="s">
        <v>64</v>
      </c>
      <c r="E1036">
        <v>-2.9566045387302898E-3</v>
      </c>
      <c r="F1036">
        <f t="shared" si="38"/>
        <v>-2.250536179161413E-2</v>
      </c>
      <c r="G1036">
        <f t="shared" si="39"/>
        <v>-3.5093666843731879E-2</v>
      </c>
    </row>
    <row r="1037" spans="1:7" x14ac:dyDescent="0.35">
      <c r="A1037" t="s">
        <v>64</v>
      </c>
      <c r="E1037">
        <v>4.1889592297057162E-3</v>
      </c>
      <c r="F1037">
        <f t="shared" si="38"/>
        <v>-2.251206989056356E-2</v>
      </c>
      <c r="G1037">
        <f t="shared" si="39"/>
        <v>-3.5093666843731879E-2</v>
      </c>
    </row>
    <row r="1038" spans="1:7" x14ac:dyDescent="0.35">
      <c r="A1038" t="s">
        <v>64</v>
      </c>
      <c r="E1038">
        <v>-2.1147395225221431E-4</v>
      </c>
      <c r="F1038">
        <f t="shared" si="38"/>
        <v>-2.2518777989512989E-2</v>
      </c>
      <c r="G1038">
        <f t="shared" si="39"/>
        <v>-3.5093666843731879E-2</v>
      </c>
    </row>
    <row r="1039" spans="1:7" x14ac:dyDescent="0.35">
      <c r="A1039" t="s">
        <v>64</v>
      </c>
      <c r="E1039">
        <v>-3.6734891976426291E-3</v>
      </c>
      <c r="F1039">
        <f t="shared" si="38"/>
        <v>-2.2525486088462415E-2</v>
      </c>
      <c r="G1039">
        <f t="shared" si="39"/>
        <v>-3.5093666843731879E-2</v>
      </c>
    </row>
    <row r="1040" spans="1:7" x14ac:dyDescent="0.35">
      <c r="A1040" t="s">
        <v>64</v>
      </c>
      <c r="E1040">
        <v>-3.7879093639366845E-3</v>
      </c>
      <c r="F1040">
        <f t="shared" si="38"/>
        <v>-2.2532194187411845E-2</v>
      </c>
      <c r="G1040">
        <f t="shared" si="39"/>
        <v>-3.5093666843731879E-2</v>
      </c>
    </row>
    <row r="1041" spans="1:144" x14ac:dyDescent="0.35">
      <c r="A1041" t="s">
        <v>64</v>
      </c>
      <c r="E1041">
        <v>5.9578145578774149E-3</v>
      </c>
      <c r="F1041">
        <f t="shared" si="38"/>
        <v>-2.2539728382851884E-2</v>
      </c>
      <c r="G1041">
        <f t="shared" si="39"/>
        <v>-3.5184692007908108E-2</v>
      </c>
    </row>
    <row r="1042" spans="1:144" s="3" customFormat="1" x14ac:dyDescent="0.35">
      <c r="A1042" s="3" t="s">
        <v>65</v>
      </c>
      <c r="B1042" s="3" cm="1">
        <f t="array" ref="B1042">_xlfn.STDEV.S(_xlfn._xlws.FILTER($E$1000:$E$1998, $A$1000:$A$1998="2014-03"))</f>
        <v>1.4948323940459692E-2</v>
      </c>
      <c r="C1042" s="3" cm="1">
        <f t="array" ref="C1042">AVERAGE(_xlfn._xlws.FILTER($E$1000:$E$1998, $A$1000:$A$1998="2014-03"))</f>
        <v>2.825151263084432E-3</v>
      </c>
      <c r="D1042" s="3" cm="1">
        <f t="array" ref="D1042">_xlfn.PERCENTILE.EXC(_xlfn._xlws.FILTER($E$1000:$E$1497, $A$1000:$A$1497="2014-03"), 0.05)</f>
        <v>-3.2232806775445863E-2</v>
      </c>
      <c r="E1042" s="3">
        <v>-3.3967660514115601E-2</v>
      </c>
      <c r="F1042" s="3">
        <f t="shared" si="38"/>
        <v>-2.254726257829193E-2</v>
      </c>
      <c r="G1042" s="3">
        <f t="shared" si="39"/>
        <v>-3.5184692007908108E-2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</row>
    <row r="1043" spans="1:144" x14ac:dyDescent="0.35">
      <c r="A1043" t="s">
        <v>65</v>
      </c>
      <c r="E1043">
        <v>3.5566486590268988E-2</v>
      </c>
      <c r="F1043">
        <f t="shared" si="38"/>
        <v>-2.2418156505271559E-2</v>
      </c>
      <c r="G1043">
        <f t="shared" si="39"/>
        <v>-3.510182630988852E-2</v>
      </c>
    </row>
    <row r="1044" spans="1:144" x14ac:dyDescent="0.35">
      <c r="A1044" t="s">
        <v>65</v>
      </c>
      <c r="E1044">
        <v>1.3670639828124885E-2</v>
      </c>
      <c r="F1044">
        <f t="shared" si="38"/>
        <v>-2.2424864604220985E-2</v>
      </c>
      <c r="G1044">
        <f t="shared" si="39"/>
        <v>-3.510182630988852E-2</v>
      </c>
    </row>
    <row r="1045" spans="1:144" x14ac:dyDescent="0.35">
      <c r="A1045" t="s">
        <v>65</v>
      </c>
      <c r="E1045">
        <v>3.8995120936893531E-3</v>
      </c>
      <c r="F1045">
        <f t="shared" si="38"/>
        <v>-2.2431572703170415E-2</v>
      </c>
      <c r="G1045">
        <f t="shared" si="39"/>
        <v>-3.510182630988852E-2</v>
      </c>
    </row>
    <row r="1046" spans="1:144" x14ac:dyDescent="0.35">
      <c r="A1046" t="s">
        <v>65</v>
      </c>
      <c r="E1046">
        <v>-9.8302644460941963E-3</v>
      </c>
      <c r="F1046">
        <f t="shared" si="38"/>
        <v>-2.2438280802119844E-2</v>
      </c>
      <c r="G1046">
        <f t="shared" si="39"/>
        <v>-3.510182630988852E-2</v>
      </c>
    </row>
    <row r="1047" spans="1:144" x14ac:dyDescent="0.35">
      <c r="A1047" t="s">
        <v>65</v>
      </c>
      <c r="E1047">
        <v>5.7577832751346068E-3</v>
      </c>
      <c r="F1047">
        <f t="shared" si="38"/>
        <v>-2.2444988901069274E-2</v>
      </c>
      <c r="G1047">
        <f t="shared" si="39"/>
        <v>-3.510182630988852E-2</v>
      </c>
    </row>
    <row r="1048" spans="1:144" x14ac:dyDescent="0.35">
      <c r="A1048" t="s">
        <v>65</v>
      </c>
      <c r="E1048">
        <v>3.8742663990866031E-3</v>
      </c>
      <c r="F1048">
        <f t="shared" si="38"/>
        <v>-2.2451697000018703E-2</v>
      </c>
      <c r="G1048">
        <f t="shared" si="39"/>
        <v>-3.510182630988852E-2</v>
      </c>
    </row>
    <row r="1049" spans="1:144" x14ac:dyDescent="0.35">
      <c r="A1049" t="s">
        <v>65</v>
      </c>
      <c r="E1049">
        <v>-2.5211846095330882E-3</v>
      </c>
      <c r="F1049">
        <f t="shared" si="38"/>
        <v>-2.245840509896813E-2</v>
      </c>
      <c r="G1049">
        <f t="shared" si="39"/>
        <v>-3.510182630988852E-2</v>
      </c>
    </row>
    <row r="1050" spans="1:144" x14ac:dyDescent="0.35">
      <c r="A1050" t="s">
        <v>65</v>
      </c>
      <c r="E1050">
        <v>-9.1673335114030117E-3</v>
      </c>
      <c r="F1050">
        <f t="shared" si="38"/>
        <v>-2.2465113197917559E-2</v>
      </c>
      <c r="G1050">
        <f t="shared" si="39"/>
        <v>-3.510182630988852E-2</v>
      </c>
    </row>
    <row r="1051" spans="1:144" x14ac:dyDescent="0.35">
      <c r="A1051" t="s">
        <v>65</v>
      </c>
      <c r="E1051">
        <v>-1.1981562242980678E-2</v>
      </c>
      <c r="F1051">
        <f t="shared" si="38"/>
        <v>-2.2471821296866985E-2</v>
      </c>
      <c r="G1051">
        <f t="shared" si="39"/>
        <v>-3.510182630988852E-2</v>
      </c>
    </row>
    <row r="1052" spans="1:144" x14ac:dyDescent="0.35">
      <c r="A1052" t="s">
        <v>65</v>
      </c>
      <c r="E1052">
        <v>2.4865491891845098E-2</v>
      </c>
      <c r="F1052">
        <f t="shared" si="38"/>
        <v>-2.2478529395816415E-2</v>
      </c>
      <c r="G1052">
        <f t="shared" si="39"/>
        <v>-3.510182630988852E-2</v>
      </c>
    </row>
    <row r="1053" spans="1:144" x14ac:dyDescent="0.35">
      <c r="A1053" t="s">
        <v>65</v>
      </c>
      <c r="E1053">
        <v>8.5539131014403802E-3</v>
      </c>
      <c r="F1053">
        <f t="shared" si="38"/>
        <v>-2.2485237494765845E-2</v>
      </c>
      <c r="G1053">
        <f t="shared" si="39"/>
        <v>-3.510182630988852E-2</v>
      </c>
    </row>
    <row r="1054" spans="1:144" x14ac:dyDescent="0.35">
      <c r="A1054" t="s">
        <v>65</v>
      </c>
      <c r="E1054">
        <v>-2.9056296031804026E-3</v>
      </c>
      <c r="F1054">
        <f t="shared" si="38"/>
        <v>-2.2491945593715271E-2</v>
      </c>
      <c r="G1054">
        <f t="shared" si="39"/>
        <v>-3.510182630988852E-2</v>
      </c>
    </row>
    <row r="1055" spans="1:144" x14ac:dyDescent="0.35">
      <c r="A1055" t="s">
        <v>65</v>
      </c>
      <c r="E1055">
        <v>5.5857462349951231E-3</v>
      </c>
      <c r="F1055">
        <f t="shared" si="38"/>
        <v>-2.2498653692664704E-2</v>
      </c>
      <c r="G1055">
        <f t="shared" si="39"/>
        <v>-3.510182630988852E-2</v>
      </c>
    </row>
    <row r="1056" spans="1:144" x14ac:dyDescent="0.35">
      <c r="A1056" t="s">
        <v>65</v>
      </c>
      <c r="E1056">
        <v>-5.812210464269313E-3</v>
      </c>
      <c r="F1056">
        <f t="shared" si="38"/>
        <v>-2.250536179161413E-2</v>
      </c>
      <c r="G1056">
        <f t="shared" si="39"/>
        <v>-3.510182630988852E-2</v>
      </c>
    </row>
    <row r="1057" spans="1:144" x14ac:dyDescent="0.35">
      <c r="A1057" t="s">
        <v>65</v>
      </c>
      <c r="E1057">
        <v>-1.6619123127418256E-2</v>
      </c>
      <c r="F1057">
        <f t="shared" si="38"/>
        <v>-2.251206989056356E-2</v>
      </c>
      <c r="G1057">
        <f t="shared" si="39"/>
        <v>-3.510182630988852E-2</v>
      </c>
    </row>
    <row r="1058" spans="1:144" x14ac:dyDescent="0.35">
      <c r="A1058" t="s">
        <v>65</v>
      </c>
      <c r="E1058">
        <v>9.4852934599498756E-3</v>
      </c>
      <c r="F1058">
        <f t="shared" si="38"/>
        <v>-2.2518777989512989E-2</v>
      </c>
      <c r="G1058">
        <f t="shared" si="39"/>
        <v>-3.510182630988852E-2</v>
      </c>
    </row>
    <row r="1059" spans="1:144" x14ac:dyDescent="0.35">
      <c r="A1059" t="s">
        <v>65</v>
      </c>
      <c r="E1059">
        <v>1.3593393021369046E-2</v>
      </c>
      <c r="F1059">
        <f t="shared" si="38"/>
        <v>-2.2525486088462415E-2</v>
      </c>
      <c r="G1059">
        <f t="shared" si="39"/>
        <v>-3.510182630988852E-2</v>
      </c>
    </row>
    <row r="1060" spans="1:144" x14ac:dyDescent="0.35">
      <c r="A1060" t="s">
        <v>65</v>
      </c>
      <c r="E1060">
        <v>3.1100693082478197E-3</v>
      </c>
      <c r="F1060">
        <f t="shared" si="38"/>
        <v>-2.2532194187411845E-2</v>
      </c>
      <c r="G1060">
        <f t="shared" si="39"/>
        <v>-3.510182630988852E-2</v>
      </c>
    </row>
    <row r="1061" spans="1:144" x14ac:dyDescent="0.35">
      <c r="A1061" t="s">
        <v>65</v>
      </c>
      <c r="E1061">
        <v>1.5201780180926897E-2</v>
      </c>
      <c r="F1061">
        <f t="shared" si="38"/>
        <v>-2.2539728382851884E-2</v>
      </c>
      <c r="G1061">
        <f t="shared" si="39"/>
        <v>-3.5193575449468648E-2</v>
      </c>
    </row>
    <row r="1062" spans="1:144" x14ac:dyDescent="0.35">
      <c r="A1062" t="s">
        <v>65</v>
      </c>
      <c r="E1062">
        <v>8.9687696586889382E-3</v>
      </c>
      <c r="F1062">
        <f t="shared" si="38"/>
        <v>-2.254726257829193E-2</v>
      </c>
      <c r="G1062">
        <f t="shared" si="39"/>
        <v>-3.5193575449468648E-2</v>
      </c>
    </row>
    <row r="1063" spans="1:144" s="3" customFormat="1" x14ac:dyDescent="0.35">
      <c r="A1063" s="3" t="s">
        <v>66</v>
      </c>
      <c r="B1063" s="3" cm="1">
        <f t="array" ref="B1063">_xlfn.STDEV.S(_xlfn._xlws.FILTER($E$1000:$E$1998, $A$1000:$A$1998="2014-04"))</f>
        <v>1.4607839844917552E-2</v>
      </c>
      <c r="C1063" s="3" cm="1">
        <f t="array" ref="C1063">AVERAGE(_xlfn._xlws.FILTER($E$1000:$E$1998, $A$1000:$A$1998="2014-04"))</f>
        <v>2.1037263670113624E-4</v>
      </c>
      <c r="D1063" s="3" cm="1">
        <f t="array" ref="D1063">_xlfn.PERCENTILE.EXC(_xlfn._xlws.FILTER($E$1000:$E$1497, $A$1000:$A$1497="2014-04"), 0.05)</f>
        <v>-2.3290642458531491E-2</v>
      </c>
      <c r="E1063" s="3">
        <v>1.0250201366374332E-2</v>
      </c>
      <c r="F1063" s="3">
        <f t="shared" si="38"/>
        <v>-2.2554796773731973E-2</v>
      </c>
      <c r="G1063" s="3">
        <f t="shared" si="39"/>
        <v>-3.5193575449468648E-2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</row>
    <row r="1064" spans="1:144" x14ac:dyDescent="0.35">
      <c r="A1064" t="s">
        <v>66</v>
      </c>
      <c r="E1064">
        <v>-1.0244669367911992E-2</v>
      </c>
      <c r="F1064">
        <f t="shared" si="38"/>
        <v>-2.2562330969172012E-2</v>
      </c>
      <c r="G1064">
        <f t="shared" si="39"/>
        <v>-3.5193575449468648E-2</v>
      </c>
    </row>
    <row r="1065" spans="1:144" x14ac:dyDescent="0.35">
      <c r="A1065" t="s">
        <v>66</v>
      </c>
      <c r="E1065">
        <v>1.3737015567858453E-2</v>
      </c>
      <c r="F1065">
        <f t="shared" si="38"/>
        <v>-2.2569865164612058E-2</v>
      </c>
      <c r="G1065">
        <f t="shared" si="39"/>
        <v>-3.5193575449468648E-2</v>
      </c>
    </row>
    <row r="1066" spans="1:144" x14ac:dyDescent="0.35">
      <c r="A1066" t="s">
        <v>66</v>
      </c>
      <c r="E1066">
        <v>8.304785416357369E-3</v>
      </c>
      <c r="F1066">
        <f t="shared" si="38"/>
        <v>-2.2577399360052097E-2</v>
      </c>
      <c r="G1066">
        <f t="shared" si="39"/>
        <v>-3.5193575449468648E-2</v>
      </c>
    </row>
    <row r="1067" spans="1:144" x14ac:dyDescent="0.35">
      <c r="A1067" t="s">
        <v>66</v>
      </c>
      <c r="E1067">
        <v>-8.4748611004467119E-3</v>
      </c>
      <c r="F1067">
        <f t="shared" si="38"/>
        <v>-2.258493355549214E-2</v>
      </c>
      <c r="G1067">
        <f t="shared" si="39"/>
        <v>-3.5193575449468648E-2</v>
      </c>
    </row>
    <row r="1068" spans="1:144" x14ac:dyDescent="0.35">
      <c r="A1068" t="s">
        <v>66</v>
      </c>
      <c r="E1068">
        <v>-1.471963947995778E-2</v>
      </c>
      <c r="F1068">
        <f t="shared" si="38"/>
        <v>-2.2592467750932186E-2</v>
      </c>
      <c r="G1068">
        <f t="shared" si="39"/>
        <v>-3.5193575449468648E-2</v>
      </c>
    </row>
    <row r="1069" spans="1:144" x14ac:dyDescent="0.35">
      <c r="A1069" t="s">
        <v>66</v>
      </c>
      <c r="E1069">
        <v>2.3036115374916997E-3</v>
      </c>
      <c r="F1069">
        <f t="shared" si="38"/>
        <v>-2.2600001946372225E-2</v>
      </c>
      <c r="G1069">
        <f t="shared" si="39"/>
        <v>-3.5193575449468648E-2</v>
      </c>
    </row>
    <row r="1070" spans="1:144" x14ac:dyDescent="0.35">
      <c r="A1070" t="s">
        <v>66</v>
      </c>
      <c r="E1070">
        <v>-1.3346940168077208E-2</v>
      </c>
      <c r="F1070">
        <f t="shared" si="38"/>
        <v>-2.2607536141812268E-2</v>
      </c>
      <c r="G1070">
        <f t="shared" si="39"/>
        <v>-3.5193575449468648E-2</v>
      </c>
    </row>
    <row r="1071" spans="1:144" x14ac:dyDescent="0.35">
      <c r="A1071" t="s">
        <v>66</v>
      </c>
      <c r="E1071">
        <v>-1.0805240170725221E-2</v>
      </c>
      <c r="F1071">
        <f t="shared" si="38"/>
        <v>-2.261507033725231E-2</v>
      </c>
      <c r="G1071">
        <f t="shared" si="39"/>
        <v>-3.5193575449468648E-2</v>
      </c>
    </row>
    <row r="1072" spans="1:144" x14ac:dyDescent="0.35">
      <c r="A1072" t="s">
        <v>66</v>
      </c>
      <c r="E1072">
        <v>5.4463026868529522E-3</v>
      </c>
      <c r="F1072">
        <f t="shared" si="38"/>
        <v>-2.2622604532692353E-2</v>
      </c>
      <c r="G1072">
        <f t="shared" si="39"/>
        <v>-3.5193575449468648E-2</v>
      </c>
    </row>
    <row r="1073" spans="1:144" x14ac:dyDescent="0.35">
      <c r="A1073" t="s">
        <v>66</v>
      </c>
      <c r="E1073">
        <v>-2.359690850161025E-2</v>
      </c>
      <c r="F1073">
        <f t="shared" si="38"/>
        <v>-2.2630138728132399E-2</v>
      </c>
      <c r="G1073">
        <f t="shared" si="39"/>
        <v>-3.5193575449468648E-2</v>
      </c>
    </row>
    <row r="1074" spans="1:144" x14ac:dyDescent="0.35">
      <c r="A1074" t="s">
        <v>66</v>
      </c>
      <c r="E1074">
        <v>3.3863730198525177E-2</v>
      </c>
      <c r="F1074">
        <f t="shared" si="38"/>
        <v>-2.2491945593715271E-2</v>
      </c>
      <c r="G1074">
        <f t="shared" si="39"/>
        <v>-3.5185803812138726E-2</v>
      </c>
    </row>
    <row r="1075" spans="1:144" x14ac:dyDescent="0.35">
      <c r="A1075" t="s">
        <v>66</v>
      </c>
      <c r="E1075">
        <v>3.6516369791411082E-3</v>
      </c>
      <c r="F1075">
        <f t="shared" si="38"/>
        <v>-2.2498653692664704E-2</v>
      </c>
      <c r="G1075">
        <f t="shared" si="39"/>
        <v>-3.5185803812138726E-2</v>
      </c>
    </row>
    <row r="1076" spans="1:144" x14ac:dyDescent="0.35">
      <c r="A1076" t="s">
        <v>66</v>
      </c>
      <c r="E1076">
        <v>1.4790168899656802E-2</v>
      </c>
      <c r="F1076">
        <f t="shared" si="38"/>
        <v>-2.250536179161413E-2</v>
      </c>
      <c r="G1076">
        <f t="shared" si="39"/>
        <v>-3.5185803812138726E-2</v>
      </c>
    </row>
    <row r="1077" spans="1:144" x14ac:dyDescent="0.35">
      <c r="A1077" t="s">
        <v>66</v>
      </c>
      <c r="E1077">
        <v>-1.190491069587552E-2</v>
      </c>
      <c r="F1077">
        <f t="shared" si="38"/>
        <v>-2.251206989056356E-2</v>
      </c>
      <c r="G1077">
        <f t="shared" si="39"/>
        <v>-3.5185803812138726E-2</v>
      </c>
    </row>
    <row r="1078" spans="1:144" x14ac:dyDescent="0.35">
      <c r="A1078" t="s">
        <v>66</v>
      </c>
      <c r="E1078">
        <v>6.6090246294738331E-3</v>
      </c>
      <c r="F1078">
        <f t="shared" si="38"/>
        <v>-2.2518777989512989E-2</v>
      </c>
      <c r="G1078">
        <f t="shared" si="39"/>
        <v>-3.5185803812138726E-2</v>
      </c>
    </row>
    <row r="1079" spans="1:144" x14ac:dyDescent="0.35">
      <c r="A1079" t="s">
        <v>66</v>
      </c>
      <c r="E1079">
        <v>-1.7471587640035102E-2</v>
      </c>
      <c r="F1079">
        <f t="shared" si="38"/>
        <v>-2.2525486088462415E-2</v>
      </c>
      <c r="G1079">
        <f t="shared" si="39"/>
        <v>-3.5185803812138726E-2</v>
      </c>
    </row>
    <row r="1080" spans="1:144" x14ac:dyDescent="0.35">
      <c r="A1080" t="s">
        <v>66</v>
      </c>
      <c r="E1080">
        <v>3.3639581963070108E-3</v>
      </c>
      <c r="F1080">
        <f t="shared" si="38"/>
        <v>-2.2532194187411845E-2</v>
      </c>
      <c r="G1080">
        <f t="shared" si="39"/>
        <v>-3.5185803812138726E-2</v>
      </c>
    </row>
    <row r="1081" spans="1:144" x14ac:dyDescent="0.35">
      <c r="A1081" t="s">
        <v>66</v>
      </c>
      <c r="E1081">
        <v>2.1293652249198432E-2</v>
      </c>
      <c r="F1081">
        <f t="shared" si="38"/>
        <v>-2.2539728382851884E-2</v>
      </c>
      <c r="G1081">
        <f t="shared" si="39"/>
        <v>-3.5278845059379359E-2</v>
      </c>
    </row>
    <row r="1082" spans="1:144" x14ac:dyDescent="0.35">
      <c r="A1082" t="s">
        <v>66</v>
      </c>
      <c r="E1082">
        <v>-8.8418778685746633E-3</v>
      </c>
      <c r="F1082">
        <f t="shared" si="38"/>
        <v>-2.254726257829193E-2</v>
      </c>
      <c r="G1082">
        <f t="shared" si="39"/>
        <v>-3.5278845059379359E-2</v>
      </c>
    </row>
    <row r="1083" spans="1:144" s="3" customFormat="1" x14ac:dyDescent="0.35">
      <c r="A1083" s="3" t="s">
        <v>67</v>
      </c>
      <c r="B1083" s="3" cm="1">
        <f t="array" ref="B1083">_xlfn.STDEV.S(_xlfn._xlws.FILTER($E$1000:$E$1998, $A$1000:$A$1998="2014-05"))</f>
        <v>1.6047675172626442E-2</v>
      </c>
      <c r="C1083" s="3" cm="1">
        <f t="array" ref="C1083">AVERAGE(_xlfn._xlws.FILTER($E$1000:$E$1998, $A$1000:$A$1998="2014-05"))</f>
        <v>-3.726032178969752E-4</v>
      </c>
      <c r="D1083" s="3" cm="1">
        <f t="array" ref="D1083">_xlfn.PERCENTILE.EXC(_xlfn._xlws.FILTER($E$1000:$E$1497, $A$1000:$A$1497="2014-05"), 0.05)</f>
        <v>-3.6778299259635633E-2</v>
      </c>
      <c r="E1083" s="3">
        <v>-6.3353056966920589E-5</v>
      </c>
      <c r="F1083" s="3">
        <f t="shared" si="38"/>
        <v>-2.2554796773731973E-2</v>
      </c>
      <c r="G1083" s="3">
        <f t="shared" si="39"/>
        <v>-3.5278845059379359E-2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</row>
    <row r="1084" spans="1:144" x14ac:dyDescent="0.35">
      <c r="A1084" t="s">
        <v>67</v>
      </c>
      <c r="E1084">
        <v>-1.2024535436671131E-2</v>
      </c>
      <c r="F1084">
        <f t="shared" si="38"/>
        <v>-2.2562330969172012E-2</v>
      </c>
      <c r="G1084">
        <f t="shared" si="39"/>
        <v>-3.5278845059379359E-2</v>
      </c>
    </row>
    <row r="1085" spans="1:144" x14ac:dyDescent="0.35">
      <c r="A1085" t="s">
        <v>67</v>
      </c>
      <c r="E1085">
        <v>-1.3138369525311099E-2</v>
      </c>
      <c r="F1085">
        <f t="shared" si="38"/>
        <v>-2.2569865164612058E-2</v>
      </c>
      <c r="G1085">
        <f t="shared" si="39"/>
        <v>-3.5278845059379359E-2</v>
      </c>
    </row>
    <row r="1086" spans="1:144" x14ac:dyDescent="0.35">
      <c r="A1086" t="s">
        <v>67</v>
      </c>
      <c r="E1086">
        <v>2.2756191481469727E-2</v>
      </c>
      <c r="F1086">
        <f t="shared" si="38"/>
        <v>-2.2577399360052097E-2</v>
      </c>
      <c r="G1086">
        <f t="shared" si="39"/>
        <v>-3.5278845059379359E-2</v>
      </c>
    </row>
    <row r="1087" spans="1:144" x14ac:dyDescent="0.35">
      <c r="A1087" t="s">
        <v>67</v>
      </c>
      <c r="E1087">
        <v>-1.5748561501895728E-2</v>
      </c>
      <c r="F1087">
        <f t="shared" si="38"/>
        <v>-2.258493355549214E-2</v>
      </c>
      <c r="G1087">
        <f t="shared" si="39"/>
        <v>-3.5278845059379359E-2</v>
      </c>
    </row>
    <row r="1088" spans="1:144" x14ac:dyDescent="0.35">
      <c r="A1088" t="s">
        <v>67</v>
      </c>
      <c r="E1088">
        <v>4.8298075082130109E-3</v>
      </c>
      <c r="F1088">
        <f t="shared" si="38"/>
        <v>-2.2592467750932186E-2</v>
      </c>
      <c r="G1088">
        <f t="shared" si="39"/>
        <v>-3.5278845059379359E-2</v>
      </c>
    </row>
    <row r="1089" spans="1:144" x14ac:dyDescent="0.35">
      <c r="A1089" t="s">
        <v>67</v>
      </c>
      <c r="E1089">
        <v>-1.1119735177298678E-2</v>
      </c>
      <c r="F1089">
        <f t="shared" si="38"/>
        <v>-2.2600001946372225E-2</v>
      </c>
      <c r="G1089">
        <f t="shared" si="39"/>
        <v>-3.5278845059379359E-2</v>
      </c>
    </row>
    <row r="1090" spans="1:144" x14ac:dyDescent="0.35">
      <c r="A1090" t="s">
        <v>67</v>
      </c>
      <c r="E1090">
        <v>-3.3642353856595027E-3</v>
      </c>
      <c r="F1090">
        <f t="shared" si="38"/>
        <v>-2.2607536141812268E-2</v>
      </c>
      <c r="G1090">
        <f t="shared" si="39"/>
        <v>-3.5278845059379359E-2</v>
      </c>
    </row>
    <row r="1091" spans="1:144" x14ac:dyDescent="0.35">
      <c r="A1091" t="s">
        <v>67</v>
      </c>
      <c r="E1091">
        <v>-3.6778299259635633E-2</v>
      </c>
      <c r="F1091">
        <f t="shared" si="38"/>
        <v>-2.261507033725231E-2</v>
      </c>
      <c r="G1091">
        <f t="shared" si="39"/>
        <v>-3.5278845059379359E-2</v>
      </c>
    </row>
    <row r="1092" spans="1:144" x14ac:dyDescent="0.35">
      <c r="A1092" t="s">
        <v>67</v>
      </c>
      <c r="E1092">
        <v>1.1150832847420319E-2</v>
      </c>
      <c r="F1092">
        <f t="shared" ref="F1092:F1155" si="40">_xlfn.PERCENTILE.EXC(E1092:E4907,0.05)</f>
        <v>-2.2478529395816415E-2</v>
      </c>
      <c r="G1092">
        <f t="shared" ref="G1092:G1155" si="41">AVERAGEIFS(E1092:E4908,E1092:E4908,"&lt;=" &amp; F1092)</f>
        <v>-3.5174094286789491E-2</v>
      </c>
    </row>
    <row r="1093" spans="1:144" x14ac:dyDescent="0.35">
      <c r="A1093" t="s">
        <v>67</v>
      </c>
      <c r="E1093">
        <v>-1.6117203767430154E-2</v>
      </c>
      <c r="F1093">
        <f t="shared" si="40"/>
        <v>-2.2485237494765845E-2</v>
      </c>
      <c r="G1093">
        <f t="shared" si="41"/>
        <v>-3.5174094286789491E-2</v>
      </c>
    </row>
    <row r="1094" spans="1:144" x14ac:dyDescent="0.35">
      <c r="A1094" t="s">
        <v>67</v>
      </c>
      <c r="E1094">
        <v>3.0168351737798432E-3</v>
      </c>
      <c r="F1094">
        <f t="shared" si="40"/>
        <v>-2.2491945593715271E-2</v>
      </c>
      <c r="G1094">
        <f t="shared" si="41"/>
        <v>-3.5174094286789491E-2</v>
      </c>
    </row>
    <row r="1095" spans="1:144" x14ac:dyDescent="0.35">
      <c r="A1095" t="s">
        <v>67</v>
      </c>
      <c r="E1095">
        <v>1.0623527092826868E-2</v>
      </c>
      <c r="F1095">
        <f t="shared" si="40"/>
        <v>-2.2498653692664704E-2</v>
      </c>
      <c r="G1095">
        <f t="shared" si="41"/>
        <v>-3.5174094286789491E-2</v>
      </c>
    </row>
    <row r="1096" spans="1:144" x14ac:dyDescent="0.35">
      <c r="A1096" t="s">
        <v>67</v>
      </c>
      <c r="E1096">
        <v>-1.0975407090165836E-2</v>
      </c>
      <c r="F1096">
        <f t="shared" si="40"/>
        <v>-2.250536179161413E-2</v>
      </c>
      <c r="G1096">
        <f t="shared" si="41"/>
        <v>-3.5174094286789491E-2</v>
      </c>
    </row>
    <row r="1097" spans="1:144" x14ac:dyDescent="0.35">
      <c r="A1097" t="s">
        <v>67</v>
      </c>
      <c r="E1097">
        <v>1.8156741312118717E-2</v>
      </c>
      <c r="F1097">
        <f t="shared" si="40"/>
        <v>-2.251206989056356E-2</v>
      </c>
      <c r="G1097">
        <f t="shared" si="41"/>
        <v>-3.5174094286789491E-2</v>
      </c>
    </row>
    <row r="1098" spans="1:144" x14ac:dyDescent="0.35">
      <c r="A1098" t="s">
        <v>67</v>
      </c>
      <c r="E1098">
        <v>3.1205267195149478E-2</v>
      </c>
      <c r="F1098">
        <f t="shared" si="40"/>
        <v>-2.2518777989512989E-2</v>
      </c>
      <c r="G1098">
        <f t="shared" si="41"/>
        <v>-3.5174094286789491E-2</v>
      </c>
    </row>
    <row r="1099" spans="1:144" x14ac:dyDescent="0.35">
      <c r="A1099" t="s">
        <v>67</v>
      </c>
      <c r="E1099">
        <v>8.4886235458682506E-3</v>
      </c>
      <c r="F1099">
        <f t="shared" si="40"/>
        <v>-2.2525486088462415E-2</v>
      </c>
      <c r="G1099">
        <f t="shared" si="41"/>
        <v>-3.5174094286789491E-2</v>
      </c>
    </row>
    <row r="1100" spans="1:144" x14ac:dyDescent="0.35">
      <c r="A1100" t="s">
        <v>67</v>
      </c>
      <c r="E1100">
        <v>-3.4647168497794804E-3</v>
      </c>
      <c r="F1100">
        <f t="shared" si="40"/>
        <v>-2.2532194187411845E-2</v>
      </c>
      <c r="G1100">
        <f t="shared" si="41"/>
        <v>-3.5174094286789491E-2</v>
      </c>
    </row>
    <row r="1101" spans="1:144" x14ac:dyDescent="0.35">
      <c r="A1101" t="s">
        <v>67</v>
      </c>
      <c r="E1101">
        <v>5.4871297539254129E-3</v>
      </c>
      <c r="F1101">
        <f t="shared" si="40"/>
        <v>-2.2539728382851884E-2</v>
      </c>
      <c r="G1101">
        <f t="shared" si="41"/>
        <v>-3.5267737991229328E-2</v>
      </c>
    </row>
    <row r="1102" spans="1:144" s="3" customFormat="1" x14ac:dyDescent="0.35">
      <c r="A1102" s="3" t="s">
        <v>68</v>
      </c>
      <c r="B1102" s="3" cm="1">
        <f t="array" ref="B1102">_xlfn.STDEV.S(_xlfn._xlws.FILTER($E$1000:$E$1998, $A$1000:$A$1998="2014-06"))</f>
        <v>8.1123883288985316E-3</v>
      </c>
      <c r="C1102" s="3" cm="1">
        <f t="array" ref="C1102">AVERAGE(_xlfn._xlws.FILTER($E$1000:$E$1998, $A$1000:$A$1998="2014-06"))</f>
        <v>-7.6941861976324226E-4</v>
      </c>
      <c r="D1102" s="3" cm="1">
        <f t="array" ref="D1102">_xlfn.PERCENTILE.EXC(_xlfn._xlws.FILTER($E$1000:$E$1497, $A$1000:$A$1497="2014-06"), 0.05)</f>
        <v>-1.3335659664974613E-2</v>
      </c>
      <c r="E1102" s="3">
        <v>7.6664337162721981E-3</v>
      </c>
      <c r="F1102" s="3">
        <f t="shared" si="40"/>
        <v>-2.254726257829193E-2</v>
      </c>
      <c r="G1102" s="3">
        <f t="shared" si="41"/>
        <v>-3.5267737991229328E-2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</row>
    <row r="1103" spans="1:144" x14ac:dyDescent="0.35">
      <c r="A1103" t="s">
        <v>68</v>
      </c>
      <c r="E1103">
        <v>-6.4216996486202776E-3</v>
      </c>
      <c r="F1103">
        <f t="shared" si="40"/>
        <v>-2.2554796773731973E-2</v>
      </c>
      <c r="G1103">
        <f t="shared" si="41"/>
        <v>-3.5267737991229328E-2</v>
      </c>
    </row>
    <row r="1104" spans="1:144" x14ac:dyDescent="0.35">
      <c r="A1104" t="s">
        <v>68</v>
      </c>
      <c r="E1104">
        <v>-1.5656405247871051E-3</v>
      </c>
      <c r="F1104">
        <f t="shared" si="40"/>
        <v>-2.2562330969172012E-2</v>
      </c>
      <c r="G1104">
        <f t="shared" si="41"/>
        <v>-3.5267737991229328E-2</v>
      </c>
    </row>
    <row r="1105" spans="1:7" x14ac:dyDescent="0.35">
      <c r="A1105" t="s">
        <v>68</v>
      </c>
      <c r="E1105">
        <v>1.5068959372412141E-2</v>
      </c>
      <c r="F1105">
        <f t="shared" si="40"/>
        <v>-2.2569865164612058E-2</v>
      </c>
      <c r="G1105">
        <f t="shared" si="41"/>
        <v>-3.5267737991229328E-2</v>
      </c>
    </row>
    <row r="1106" spans="1:7" x14ac:dyDescent="0.35">
      <c r="A1106" t="s">
        <v>68</v>
      </c>
      <c r="E1106">
        <v>1.5325850959028079E-2</v>
      </c>
      <c r="F1106">
        <f t="shared" si="40"/>
        <v>-2.2577399360052097E-2</v>
      </c>
      <c r="G1106">
        <f t="shared" si="41"/>
        <v>-3.5267737991229328E-2</v>
      </c>
    </row>
    <row r="1107" spans="1:7" x14ac:dyDescent="0.35">
      <c r="A1107" t="s">
        <v>68</v>
      </c>
      <c r="E1107">
        <v>8.1336933216008857E-3</v>
      </c>
      <c r="F1107">
        <f t="shared" si="40"/>
        <v>-2.258493355549214E-2</v>
      </c>
      <c r="G1107">
        <f t="shared" si="41"/>
        <v>-3.5267737991229328E-2</v>
      </c>
    </row>
    <row r="1108" spans="1:7" x14ac:dyDescent="0.35">
      <c r="A1108" t="s">
        <v>68</v>
      </c>
      <c r="E1108">
        <v>1.3718707328161655E-3</v>
      </c>
      <c r="F1108">
        <f t="shared" si="40"/>
        <v>-2.2592467750932186E-2</v>
      </c>
      <c r="G1108">
        <f t="shared" si="41"/>
        <v>-3.5267737991229328E-2</v>
      </c>
    </row>
    <row r="1109" spans="1:7" x14ac:dyDescent="0.35">
      <c r="A1109" t="s">
        <v>68</v>
      </c>
      <c r="E1109">
        <v>-1.2484863712772435E-2</v>
      </c>
      <c r="F1109">
        <f t="shared" si="40"/>
        <v>-2.2600001946372225E-2</v>
      </c>
      <c r="G1109">
        <f t="shared" si="41"/>
        <v>-3.5267737991229328E-2</v>
      </c>
    </row>
    <row r="1110" spans="1:7" x14ac:dyDescent="0.35">
      <c r="A1110" t="s">
        <v>68</v>
      </c>
      <c r="E1110">
        <v>-2.7160963329579241E-3</v>
      </c>
      <c r="F1110">
        <f t="shared" si="40"/>
        <v>-2.2607536141812268E-2</v>
      </c>
      <c r="G1110">
        <f t="shared" si="41"/>
        <v>-3.5267737991229328E-2</v>
      </c>
    </row>
    <row r="1111" spans="1:7" x14ac:dyDescent="0.35">
      <c r="A1111" t="s">
        <v>68</v>
      </c>
      <c r="E1111">
        <v>1.1188947497150574E-4</v>
      </c>
      <c r="F1111">
        <f t="shared" si="40"/>
        <v>-2.261507033725231E-2</v>
      </c>
      <c r="G1111">
        <f t="shared" si="41"/>
        <v>-3.5267737991229328E-2</v>
      </c>
    </row>
    <row r="1112" spans="1:7" x14ac:dyDescent="0.35">
      <c r="A1112" t="s">
        <v>68</v>
      </c>
      <c r="E1112">
        <v>-8.5954501169362898E-3</v>
      </c>
      <c r="F1112">
        <f t="shared" si="40"/>
        <v>-2.2622604532692353E-2</v>
      </c>
      <c r="G1112">
        <f t="shared" si="41"/>
        <v>-3.5267737991229328E-2</v>
      </c>
    </row>
    <row r="1113" spans="1:7" x14ac:dyDescent="0.35">
      <c r="A1113" t="s">
        <v>68</v>
      </c>
      <c r="E1113">
        <v>9.1602379334298361E-4</v>
      </c>
      <c r="F1113">
        <f t="shared" si="40"/>
        <v>-2.2630138728132399E-2</v>
      </c>
      <c r="G1113">
        <f t="shared" si="41"/>
        <v>-3.5267737991229328E-2</v>
      </c>
    </row>
    <row r="1114" spans="1:7" x14ac:dyDescent="0.35">
      <c r="A1114" t="s">
        <v>68</v>
      </c>
      <c r="E1114">
        <v>1.5417905901404997E-3</v>
      </c>
      <c r="F1114">
        <f t="shared" si="40"/>
        <v>-2.2637672923572438E-2</v>
      </c>
      <c r="G1114">
        <f t="shared" si="41"/>
        <v>-3.5267737991229328E-2</v>
      </c>
    </row>
    <row r="1115" spans="1:7" x14ac:dyDescent="0.35">
      <c r="A1115" t="s">
        <v>68</v>
      </c>
      <c r="E1115">
        <v>8.4205133477133244E-3</v>
      </c>
      <c r="F1115">
        <f t="shared" si="40"/>
        <v>-2.2645207119012481E-2</v>
      </c>
      <c r="G1115">
        <f t="shared" si="41"/>
        <v>-3.5267737991229328E-2</v>
      </c>
    </row>
    <row r="1116" spans="1:7" x14ac:dyDescent="0.35">
      <c r="A1116" t="s">
        <v>68</v>
      </c>
      <c r="E1116">
        <v>-1.0340619202657754E-2</v>
      </c>
      <c r="F1116">
        <f t="shared" si="40"/>
        <v>-2.265274131445252E-2</v>
      </c>
      <c r="G1116">
        <f t="shared" si="41"/>
        <v>-3.5267737991229328E-2</v>
      </c>
    </row>
    <row r="1117" spans="1:7" x14ac:dyDescent="0.35">
      <c r="A1117" t="s">
        <v>68</v>
      </c>
      <c r="E1117">
        <v>-1.3430192548552633E-2</v>
      </c>
      <c r="F1117">
        <f t="shared" si="40"/>
        <v>-2.2660275509892566E-2</v>
      </c>
      <c r="G1117">
        <f t="shared" si="41"/>
        <v>-3.5267737991229328E-2</v>
      </c>
    </row>
    <row r="1118" spans="1:7" x14ac:dyDescent="0.35">
      <c r="A1118" t="s">
        <v>68</v>
      </c>
      <c r="E1118">
        <v>-2.4695421609078473E-3</v>
      </c>
      <c r="F1118">
        <f t="shared" si="40"/>
        <v>-2.2667809705332609E-2</v>
      </c>
      <c r="G1118">
        <f t="shared" si="41"/>
        <v>-3.5267737991229328E-2</v>
      </c>
    </row>
    <row r="1119" spans="1:7" x14ac:dyDescent="0.35">
      <c r="A1119" t="s">
        <v>68</v>
      </c>
      <c r="E1119">
        <v>-7.9860615751427642E-3</v>
      </c>
      <c r="F1119">
        <f t="shared" si="40"/>
        <v>-2.2675343900772651E-2</v>
      </c>
      <c r="G1119">
        <f t="shared" si="41"/>
        <v>-3.5267737991229328E-2</v>
      </c>
    </row>
    <row r="1120" spans="1:7" x14ac:dyDescent="0.35">
      <c r="A1120" t="s">
        <v>68</v>
      </c>
      <c r="E1120">
        <v>-3.9464610123510031E-3</v>
      </c>
      <c r="F1120">
        <f t="shared" si="40"/>
        <v>-2.2682878096212694E-2</v>
      </c>
      <c r="G1120">
        <f t="shared" si="41"/>
        <v>-3.5267737991229328E-2</v>
      </c>
    </row>
    <row r="1121" spans="1:144" x14ac:dyDescent="0.35">
      <c r="A1121" t="s">
        <v>68</v>
      </c>
      <c r="E1121">
        <v>-3.0338888443952211E-3</v>
      </c>
      <c r="F1121">
        <f t="shared" si="40"/>
        <v>-2.2690850799053728E-2</v>
      </c>
      <c r="G1121">
        <f t="shared" si="41"/>
        <v>-3.536165485611751E-2</v>
      </c>
    </row>
    <row r="1122" spans="1:144" x14ac:dyDescent="0.35">
      <c r="A1122" t="s">
        <v>68</v>
      </c>
      <c r="E1122">
        <v>-1.7243006432446223E-3</v>
      </c>
      <c r="F1122">
        <f t="shared" si="40"/>
        <v>-2.2698823501894765E-2</v>
      </c>
      <c r="G1122">
        <f t="shared" si="41"/>
        <v>-3.536165485611751E-2</v>
      </c>
    </row>
    <row r="1123" spans="1:144" s="3" customFormat="1" x14ac:dyDescent="0.35">
      <c r="A1123" s="3" t="s">
        <v>69</v>
      </c>
      <c r="B1123" s="3" cm="1">
        <f t="array" ref="B1123">_xlfn.STDEV.S(_xlfn._xlws.FILTER($E$1000:$E$1998, $A$1000:$A$1998="2014-07"))</f>
        <v>1.5314294746461456E-2</v>
      </c>
      <c r="C1123" s="3" cm="1">
        <f t="array" ref="C1123">AVERAGE(_xlfn._xlws.FILTER($E$1000:$E$1998, $A$1000:$A$1998="2014-07"))</f>
        <v>-1.4798890024821613E-3</v>
      </c>
      <c r="D1123" s="3" cm="1">
        <f t="array" ref="D1123">_xlfn.PERCENTILE.EXC(_xlfn._xlws.FILTER($E$1000:$E$1497, $A$1000:$A$1497="2014-07"), 0.05)</f>
        <v>-2.6311367142456604E-2</v>
      </c>
      <c r="E1123" s="3">
        <v>1.3088782740879823E-2</v>
      </c>
      <c r="F1123" s="3">
        <f t="shared" si="40"/>
        <v>-2.2706796204735803E-2</v>
      </c>
      <c r="G1123" s="3">
        <f t="shared" si="41"/>
        <v>-3.536165485611751E-2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</row>
    <row r="1124" spans="1:144" x14ac:dyDescent="0.35">
      <c r="A1124" t="s">
        <v>69</v>
      </c>
      <c r="E1124">
        <v>5.3258519750954423E-3</v>
      </c>
      <c r="F1124">
        <f t="shared" si="40"/>
        <v>-2.2714768907576836E-2</v>
      </c>
      <c r="G1124">
        <f t="shared" si="41"/>
        <v>-3.536165485611751E-2</v>
      </c>
    </row>
    <row r="1125" spans="1:144" x14ac:dyDescent="0.35">
      <c r="A1125" t="s">
        <v>69</v>
      </c>
      <c r="E1125">
        <v>9.4585168455378239E-3</v>
      </c>
      <c r="F1125">
        <f t="shared" si="40"/>
        <v>-2.2722741610417874E-2</v>
      </c>
      <c r="G1125">
        <f t="shared" si="41"/>
        <v>-3.536165485611751E-2</v>
      </c>
    </row>
    <row r="1126" spans="1:144" x14ac:dyDescent="0.35">
      <c r="A1126" t="s">
        <v>69</v>
      </c>
      <c r="E1126">
        <v>-1.4981017355145631E-2</v>
      </c>
      <c r="F1126">
        <f t="shared" si="40"/>
        <v>-2.2730714313258907E-2</v>
      </c>
      <c r="G1126">
        <f t="shared" si="41"/>
        <v>-3.536165485611751E-2</v>
      </c>
    </row>
    <row r="1127" spans="1:144" x14ac:dyDescent="0.35">
      <c r="A1127" t="s">
        <v>69</v>
      </c>
      <c r="E1127">
        <v>-1.3353171077509093E-2</v>
      </c>
      <c r="F1127">
        <f t="shared" si="40"/>
        <v>-2.2738687016099945E-2</v>
      </c>
      <c r="G1127">
        <f t="shared" si="41"/>
        <v>-3.536165485611751E-2</v>
      </c>
    </row>
    <row r="1128" spans="1:144" x14ac:dyDescent="0.35">
      <c r="A1128" t="s">
        <v>69</v>
      </c>
      <c r="E1128">
        <v>-2.7289700875964936E-2</v>
      </c>
      <c r="F1128">
        <f t="shared" si="40"/>
        <v>-2.2746659718940982E-2</v>
      </c>
      <c r="G1128">
        <f t="shared" si="41"/>
        <v>-3.536165485611751E-2</v>
      </c>
    </row>
    <row r="1129" spans="1:144" x14ac:dyDescent="0.35">
      <c r="A1129" t="s">
        <v>69</v>
      </c>
      <c r="E1129">
        <v>8.8891312439106293E-3</v>
      </c>
      <c r="F1129">
        <f t="shared" si="40"/>
        <v>-2.2600001946372225E-2</v>
      </c>
      <c r="G1129">
        <f t="shared" si="41"/>
        <v>-3.532727558164174E-2</v>
      </c>
    </row>
    <row r="1130" spans="1:144" x14ac:dyDescent="0.35">
      <c r="A1130" t="s">
        <v>69</v>
      </c>
      <c r="E1130">
        <v>-1.9172480030762225E-2</v>
      </c>
      <c r="F1130">
        <f t="shared" si="40"/>
        <v>-2.2607536141812268E-2</v>
      </c>
      <c r="G1130">
        <f t="shared" si="41"/>
        <v>-3.532727558164174E-2</v>
      </c>
    </row>
    <row r="1131" spans="1:144" x14ac:dyDescent="0.35">
      <c r="A1131" t="s">
        <v>69</v>
      </c>
      <c r="E1131">
        <v>6.1362199428933494E-3</v>
      </c>
      <c r="F1131">
        <f t="shared" si="40"/>
        <v>-2.261507033725231E-2</v>
      </c>
      <c r="G1131">
        <f t="shared" si="41"/>
        <v>-3.532727558164174E-2</v>
      </c>
    </row>
    <row r="1132" spans="1:144" x14ac:dyDescent="0.35">
      <c r="A1132" t="s">
        <v>69</v>
      </c>
      <c r="E1132">
        <v>4.0026776651859667E-3</v>
      </c>
      <c r="F1132">
        <f t="shared" si="40"/>
        <v>-2.2622604532692353E-2</v>
      </c>
      <c r="G1132">
        <f t="shared" si="41"/>
        <v>-3.532727558164174E-2</v>
      </c>
    </row>
    <row r="1133" spans="1:144" x14ac:dyDescent="0.35">
      <c r="A1133" t="s">
        <v>69</v>
      </c>
      <c r="E1133">
        <v>-1.3355584117632031E-2</v>
      </c>
      <c r="F1133">
        <f t="shared" si="40"/>
        <v>-2.2630138728132399E-2</v>
      </c>
      <c r="G1133">
        <f t="shared" si="41"/>
        <v>-3.532727558164174E-2</v>
      </c>
    </row>
    <row r="1134" spans="1:144" x14ac:dyDescent="0.35">
      <c r="A1134" t="s">
        <v>69</v>
      </c>
      <c r="E1134">
        <v>3.1189535477860058E-2</v>
      </c>
      <c r="F1134">
        <f t="shared" si="40"/>
        <v>-2.2637672923572438E-2</v>
      </c>
      <c r="G1134">
        <f t="shared" si="41"/>
        <v>-3.532727558164174E-2</v>
      </c>
    </row>
    <row r="1135" spans="1:144" x14ac:dyDescent="0.35">
      <c r="A1135" t="s">
        <v>69</v>
      </c>
      <c r="E1135">
        <v>-2.2398032208423273E-2</v>
      </c>
      <c r="F1135">
        <f t="shared" si="40"/>
        <v>-2.2645207119012481E-2</v>
      </c>
      <c r="G1135">
        <f t="shared" si="41"/>
        <v>-3.532727558164174E-2</v>
      </c>
    </row>
    <row r="1136" spans="1:144" x14ac:dyDescent="0.35">
      <c r="A1136" t="s">
        <v>69</v>
      </c>
      <c r="E1136">
        <v>6.4745592756120561E-3</v>
      </c>
      <c r="F1136">
        <f t="shared" si="40"/>
        <v>-2.265274131445252E-2</v>
      </c>
      <c r="G1136">
        <f t="shared" si="41"/>
        <v>-3.532727558164174E-2</v>
      </c>
    </row>
    <row r="1137" spans="1:144" x14ac:dyDescent="0.35">
      <c r="A1137" t="s">
        <v>69</v>
      </c>
      <c r="E1137">
        <v>-1.4862186801108929E-2</v>
      </c>
      <c r="F1137">
        <f t="shared" si="40"/>
        <v>-2.2660275509892566E-2</v>
      </c>
      <c r="G1137">
        <f t="shared" si="41"/>
        <v>-3.532727558164174E-2</v>
      </c>
    </row>
    <row r="1138" spans="1:144" x14ac:dyDescent="0.35">
      <c r="A1138" t="s">
        <v>69</v>
      </c>
      <c r="E1138">
        <v>2.141726761188736E-2</v>
      </c>
      <c r="F1138">
        <f t="shared" si="40"/>
        <v>-2.2667809705332609E-2</v>
      </c>
      <c r="G1138">
        <f t="shared" si="41"/>
        <v>-3.532727558164174E-2</v>
      </c>
    </row>
    <row r="1139" spans="1:144" x14ac:dyDescent="0.35">
      <c r="A1139" t="s">
        <v>69</v>
      </c>
      <c r="E1139">
        <v>-2.0256687459050287E-3</v>
      </c>
      <c r="F1139">
        <f t="shared" si="40"/>
        <v>-2.2675343900772651E-2</v>
      </c>
      <c r="G1139">
        <f t="shared" si="41"/>
        <v>-3.532727558164174E-2</v>
      </c>
    </row>
    <row r="1140" spans="1:144" x14ac:dyDescent="0.35">
      <c r="A1140" t="s">
        <v>69</v>
      </c>
      <c r="E1140">
        <v>2.0165646942612022E-2</v>
      </c>
      <c r="F1140">
        <f t="shared" si="40"/>
        <v>-2.2682878096212694E-2</v>
      </c>
      <c r="G1140">
        <f t="shared" si="41"/>
        <v>-3.532727558164174E-2</v>
      </c>
    </row>
    <row r="1141" spans="1:144" x14ac:dyDescent="0.35">
      <c r="A1141" t="s">
        <v>69</v>
      </c>
      <c r="E1141">
        <v>-9.0877257179904636E-3</v>
      </c>
      <c r="F1141">
        <f t="shared" si="40"/>
        <v>-2.2690850799053728E-2</v>
      </c>
      <c r="G1141">
        <f t="shared" si="41"/>
        <v>-3.5422346239426923E-2</v>
      </c>
    </row>
    <row r="1142" spans="1:144" x14ac:dyDescent="0.35">
      <c r="A1142" t="s">
        <v>69</v>
      </c>
      <c r="E1142">
        <v>-5.9153949217367234E-3</v>
      </c>
      <c r="F1142">
        <f t="shared" si="40"/>
        <v>-2.2698823501894765E-2</v>
      </c>
      <c r="G1142">
        <f t="shared" si="41"/>
        <v>-3.5422346239426923E-2</v>
      </c>
    </row>
    <row r="1143" spans="1:144" x14ac:dyDescent="0.35">
      <c r="A1143" t="s">
        <v>69</v>
      </c>
      <c r="E1143">
        <v>6.9503090073445096E-3</v>
      </c>
      <c r="F1143">
        <f t="shared" si="40"/>
        <v>-2.2706796204735803E-2</v>
      </c>
      <c r="G1143">
        <f t="shared" si="41"/>
        <v>-3.5422346239426923E-2</v>
      </c>
    </row>
    <row r="1144" spans="1:144" x14ac:dyDescent="0.35">
      <c r="A1144" t="s">
        <v>69</v>
      </c>
      <c r="E1144">
        <v>-9.4152482458418289E-3</v>
      </c>
      <c r="F1144">
        <f t="shared" si="40"/>
        <v>-2.2714768907576836E-2</v>
      </c>
      <c r="G1144">
        <f t="shared" si="41"/>
        <v>-3.5422346239426923E-2</v>
      </c>
    </row>
    <row r="1145" spans="1:144" x14ac:dyDescent="0.35">
      <c r="A1145" t="s">
        <v>69</v>
      </c>
      <c r="E1145">
        <v>-1.527973568788858E-2</v>
      </c>
      <c r="F1145">
        <f t="shared" si="40"/>
        <v>-2.2722741610417874E-2</v>
      </c>
      <c r="G1145">
        <f t="shared" si="41"/>
        <v>-3.5422346239426923E-2</v>
      </c>
    </row>
    <row r="1146" spans="1:144" s="3" customFormat="1" x14ac:dyDescent="0.35">
      <c r="A1146" s="3" t="s">
        <v>70</v>
      </c>
      <c r="B1146" s="3" cm="1">
        <f t="array" ref="B1146">_xlfn.STDEV.S(_xlfn._xlws.FILTER($E$1000:$E$1998, $A$1000:$A$1998="2014-08"))</f>
        <v>1.4976615009147118E-2</v>
      </c>
      <c r="C1146" s="3" cm="1">
        <f t="array" ref="C1146">AVERAGE(_xlfn._xlws.FILTER($E$1000:$E$1998, $A$1000:$A$1998="2014-08"))</f>
        <v>-3.0872375875536876E-4</v>
      </c>
      <c r="D1146" s="3" cm="1">
        <f t="array" ref="D1146">_xlfn.PERCENTILE.EXC(_xlfn._xlws.FILTER($E$1000:$E$1497, $A$1000:$A$1497="2014-08"), 0.05)</f>
        <v>-2.7419919740152749E-2</v>
      </c>
      <c r="E1146" s="3">
        <v>-1.0182040469408167E-2</v>
      </c>
      <c r="F1146" s="3">
        <f t="shared" si="40"/>
        <v>-2.2730714313258907E-2</v>
      </c>
      <c r="G1146" s="3">
        <f t="shared" si="41"/>
        <v>-3.5422346239426923E-2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</row>
    <row r="1147" spans="1:144" x14ac:dyDescent="0.35">
      <c r="A1147" t="s">
        <v>70</v>
      </c>
      <c r="E1147">
        <v>9.3167556157822541E-4</v>
      </c>
      <c r="F1147">
        <f t="shared" si="40"/>
        <v>-2.2738687016099945E-2</v>
      </c>
      <c r="G1147">
        <f t="shared" si="41"/>
        <v>-3.5422346239426923E-2</v>
      </c>
    </row>
    <row r="1148" spans="1:144" x14ac:dyDescent="0.35">
      <c r="A1148" t="s">
        <v>70</v>
      </c>
      <c r="E1148">
        <v>-1.628335617153023E-2</v>
      </c>
      <c r="F1148">
        <f t="shared" si="40"/>
        <v>-2.2746659718940982E-2</v>
      </c>
      <c r="G1148">
        <f t="shared" si="41"/>
        <v>-3.5422346239426923E-2</v>
      </c>
    </row>
    <row r="1149" spans="1:144" x14ac:dyDescent="0.35">
      <c r="A1149" t="s">
        <v>70</v>
      </c>
      <c r="E1149">
        <v>-2.7419919740152749E-2</v>
      </c>
      <c r="F1149">
        <f t="shared" si="40"/>
        <v>-2.2754632421782012E-2</v>
      </c>
      <c r="G1149">
        <f t="shared" si="41"/>
        <v>-3.5422346239426923E-2</v>
      </c>
    </row>
    <row r="1150" spans="1:144" x14ac:dyDescent="0.35">
      <c r="A1150" t="s">
        <v>70</v>
      </c>
      <c r="E1150">
        <v>-1.9627192758911841E-2</v>
      </c>
      <c r="F1150">
        <f t="shared" si="40"/>
        <v>-2.2607536141812268E-2</v>
      </c>
      <c r="G1150">
        <f t="shared" si="41"/>
        <v>-3.5386729384961207E-2</v>
      </c>
    </row>
    <row r="1151" spans="1:144" x14ac:dyDescent="0.35">
      <c r="A1151" t="s">
        <v>70</v>
      </c>
      <c r="E1151">
        <v>3.2788771090492557E-3</v>
      </c>
      <c r="F1151">
        <f t="shared" si="40"/>
        <v>-2.261507033725231E-2</v>
      </c>
      <c r="G1151">
        <f t="shared" si="41"/>
        <v>-3.5386729384961207E-2</v>
      </c>
    </row>
    <row r="1152" spans="1:144" x14ac:dyDescent="0.35">
      <c r="A1152" t="s">
        <v>70</v>
      </c>
      <c r="E1152">
        <v>1.3824867735425945E-2</v>
      </c>
      <c r="F1152">
        <f t="shared" si="40"/>
        <v>-2.2622604532692353E-2</v>
      </c>
      <c r="G1152">
        <f t="shared" si="41"/>
        <v>-3.5386729384961207E-2</v>
      </c>
    </row>
    <row r="1153" spans="1:144" x14ac:dyDescent="0.35">
      <c r="A1153" t="s">
        <v>70</v>
      </c>
      <c r="E1153">
        <v>-2.2846464119929849E-3</v>
      </c>
      <c r="F1153">
        <f t="shared" si="40"/>
        <v>-2.2630138728132399E-2</v>
      </c>
      <c r="G1153">
        <f t="shared" si="41"/>
        <v>-3.5386729384961207E-2</v>
      </c>
    </row>
    <row r="1154" spans="1:144" x14ac:dyDescent="0.35">
      <c r="A1154" t="s">
        <v>70</v>
      </c>
      <c r="E1154">
        <v>6.2125522506885095E-3</v>
      </c>
      <c r="F1154">
        <f t="shared" si="40"/>
        <v>-2.2637672923572438E-2</v>
      </c>
      <c r="G1154">
        <f t="shared" si="41"/>
        <v>-3.5386729384961207E-2</v>
      </c>
    </row>
    <row r="1155" spans="1:144" x14ac:dyDescent="0.35">
      <c r="A1155" t="s">
        <v>70</v>
      </c>
      <c r="E1155">
        <v>-2.8858332887739765E-3</v>
      </c>
      <c r="F1155">
        <f t="shared" si="40"/>
        <v>-2.2645207119012481E-2</v>
      </c>
      <c r="G1155">
        <f t="shared" si="41"/>
        <v>-3.5386729384961207E-2</v>
      </c>
    </row>
    <row r="1156" spans="1:144" x14ac:dyDescent="0.35">
      <c r="A1156" t="s">
        <v>70</v>
      </c>
      <c r="E1156">
        <v>8.1256329493896561E-3</v>
      </c>
      <c r="F1156">
        <f t="shared" ref="F1156:F1219" si="42">_xlfn.PERCENTILE.EXC(E1156:E4971,0.05)</f>
        <v>-2.265274131445252E-2</v>
      </c>
      <c r="G1156">
        <f t="shared" ref="G1156:G1219" si="43">AVERAGEIFS(E1156:E4972,E1156:E4972,"&lt;=" &amp; F1156)</f>
        <v>-3.5386729384961207E-2</v>
      </c>
    </row>
    <row r="1157" spans="1:144" x14ac:dyDescent="0.35">
      <c r="A1157" t="s">
        <v>70</v>
      </c>
      <c r="E1157">
        <v>2.2757200372004976E-4</v>
      </c>
      <c r="F1157">
        <f t="shared" si="42"/>
        <v>-2.2660275509892566E-2</v>
      </c>
      <c r="G1157">
        <f t="shared" si="43"/>
        <v>-3.5386729384961207E-2</v>
      </c>
    </row>
    <row r="1158" spans="1:144" x14ac:dyDescent="0.35">
      <c r="A1158" t="s">
        <v>70</v>
      </c>
      <c r="E1158">
        <v>-1.9566715728526699E-3</v>
      </c>
      <c r="F1158">
        <f t="shared" si="42"/>
        <v>-2.2667809705332609E-2</v>
      </c>
      <c r="G1158">
        <f t="shared" si="43"/>
        <v>-3.5386729384961207E-2</v>
      </c>
    </row>
    <row r="1159" spans="1:144" x14ac:dyDescent="0.35">
      <c r="A1159" t="s">
        <v>70</v>
      </c>
      <c r="E1159">
        <v>2.042352383268882E-2</v>
      </c>
      <c r="F1159">
        <f t="shared" si="42"/>
        <v>-2.2675343900772651E-2</v>
      </c>
      <c r="G1159">
        <f t="shared" si="43"/>
        <v>-3.5386729384961207E-2</v>
      </c>
    </row>
    <row r="1160" spans="1:144" x14ac:dyDescent="0.35">
      <c r="A1160" t="s">
        <v>70</v>
      </c>
      <c r="E1160">
        <v>-4.6347941351547236E-3</v>
      </c>
      <c r="F1160">
        <f t="shared" si="42"/>
        <v>-2.2682878096212694E-2</v>
      </c>
      <c r="G1160">
        <f t="shared" si="43"/>
        <v>-3.5386729384961207E-2</v>
      </c>
    </row>
    <row r="1161" spans="1:144" x14ac:dyDescent="0.35">
      <c r="A1161" t="s">
        <v>70</v>
      </c>
      <c r="E1161">
        <v>3.5876474058262477E-2</v>
      </c>
      <c r="F1161">
        <f t="shared" si="42"/>
        <v>-2.2690850799053728E-2</v>
      </c>
      <c r="G1161">
        <f t="shared" si="43"/>
        <v>-3.5482970682603247E-2</v>
      </c>
    </row>
    <row r="1162" spans="1:144" x14ac:dyDescent="0.35">
      <c r="A1162" t="s">
        <v>70</v>
      </c>
      <c r="E1162">
        <v>5.6799838183466201E-3</v>
      </c>
      <c r="F1162">
        <f t="shared" si="42"/>
        <v>-2.2698823501894765E-2</v>
      </c>
      <c r="G1162">
        <f t="shared" si="43"/>
        <v>-3.5482970682603247E-2</v>
      </c>
    </row>
    <row r="1163" spans="1:144" x14ac:dyDescent="0.35">
      <c r="A1163" t="s">
        <v>70</v>
      </c>
      <c r="E1163">
        <v>-2.0536321096880718E-2</v>
      </c>
      <c r="F1163">
        <f t="shared" si="42"/>
        <v>-2.2706796204735803E-2</v>
      </c>
      <c r="G1163">
        <f t="shared" si="43"/>
        <v>-3.5482970682603247E-2</v>
      </c>
    </row>
    <row r="1164" spans="1:144" x14ac:dyDescent="0.35">
      <c r="A1164" t="s">
        <v>70</v>
      </c>
      <c r="E1164">
        <v>5.3638649101564956E-3</v>
      </c>
      <c r="F1164">
        <f t="shared" si="42"/>
        <v>-2.2714768907576836E-2</v>
      </c>
      <c r="G1164">
        <f t="shared" si="43"/>
        <v>-3.5482970682603247E-2</v>
      </c>
    </row>
    <row r="1165" spans="1:144" s="3" customFormat="1" x14ac:dyDescent="0.35">
      <c r="A1165" s="3" t="s">
        <v>71</v>
      </c>
      <c r="B1165" s="3" cm="1">
        <f t="array" ref="B1165">_xlfn.STDEV.S(_xlfn._xlws.FILTER($E$1000:$E$1998, $A$1000:$A$1998="2014-09"))</f>
        <v>1.2692954985408872E-2</v>
      </c>
      <c r="C1165" s="3" cm="1">
        <f t="array" ref="C1165">AVERAGE(_xlfn._xlws.FILTER($E$1000:$E$1998, $A$1000:$A$1998="2014-09"))</f>
        <v>9.7112421143246775E-4</v>
      </c>
      <c r="D1165" s="3" cm="1">
        <f t="array" ref="D1165">_xlfn.PERCENTILE.EXC(_xlfn._xlws.FILTER($E$1000:$E$1497, $A$1000:$A$1497="2014-09"), 0.05)</f>
        <v>-1.5498890124058116E-2</v>
      </c>
      <c r="E1165" s="3">
        <v>-5.1298831940718497E-3</v>
      </c>
      <c r="F1165" s="3">
        <f t="shared" si="42"/>
        <v>-2.2722741610417874E-2</v>
      </c>
      <c r="G1165" s="3">
        <f t="shared" si="43"/>
        <v>-3.5482970682603247E-2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</row>
    <row r="1166" spans="1:144" x14ac:dyDescent="0.35">
      <c r="A1166" t="s">
        <v>71</v>
      </c>
      <c r="E1166">
        <v>4.9239989633673787E-3</v>
      </c>
      <c r="F1166">
        <f t="shared" si="42"/>
        <v>-2.2730714313258907E-2</v>
      </c>
      <c r="G1166">
        <f t="shared" si="43"/>
        <v>-3.5482970682603247E-2</v>
      </c>
    </row>
    <row r="1167" spans="1:144" x14ac:dyDescent="0.35">
      <c r="A1167" t="s">
        <v>71</v>
      </c>
      <c r="E1167">
        <v>1.8687387050182736E-2</v>
      </c>
      <c r="F1167">
        <f t="shared" si="42"/>
        <v>-2.2738687016099945E-2</v>
      </c>
      <c r="G1167">
        <f t="shared" si="43"/>
        <v>-3.5482970682603247E-2</v>
      </c>
    </row>
    <row r="1168" spans="1:144" x14ac:dyDescent="0.35">
      <c r="A1168" t="s">
        <v>71</v>
      </c>
      <c r="E1168">
        <v>2.7808240654777883E-2</v>
      </c>
      <c r="F1168">
        <f t="shared" si="42"/>
        <v>-2.2746659718940982E-2</v>
      </c>
      <c r="G1168">
        <f t="shared" si="43"/>
        <v>-3.5482970682603247E-2</v>
      </c>
    </row>
    <row r="1169" spans="1:7" x14ac:dyDescent="0.35">
      <c r="A1169" t="s">
        <v>71</v>
      </c>
      <c r="E1169">
        <v>-1.1332605198602413E-3</v>
      </c>
      <c r="F1169">
        <f t="shared" si="42"/>
        <v>-2.2754632421782012E-2</v>
      </c>
      <c r="G1169">
        <f t="shared" si="43"/>
        <v>-3.5482970682603247E-2</v>
      </c>
    </row>
    <row r="1170" spans="1:7" x14ac:dyDescent="0.35">
      <c r="A1170" t="s">
        <v>71</v>
      </c>
      <c r="E1170">
        <v>-4.7220163323570012E-3</v>
      </c>
      <c r="F1170">
        <f t="shared" si="42"/>
        <v>-2.2762605124623053E-2</v>
      </c>
      <c r="G1170">
        <f t="shared" si="43"/>
        <v>-3.5482970682603247E-2</v>
      </c>
    </row>
    <row r="1171" spans="1:7" x14ac:dyDescent="0.35">
      <c r="A1171" t="s">
        <v>71</v>
      </c>
      <c r="E1171">
        <v>-6.810860521187353E-3</v>
      </c>
      <c r="F1171">
        <f t="shared" si="42"/>
        <v>-2.2770577827464084E-2</v>
      </c>
      <c r="G1171">
        <f t="shared" si="43"/>
        <v>-3.5482970682603247E-2</v>
      </c>
    </row>
    <row r="1172" spans="1:7" x14ac:dyDescent="0.35">
      <c r="A1172" t="s">
        <v>71</v>
      </c>
      <c r="E1172">
        <v>-4.3319483756831557E-4</v>
      </c>
      <c r="F1172">
        <f t="shared" si="42"/>
        <v>-2.2778550530305121E-2</v>
      </c>
      <c r="G1172">
        <f t="shared" si="43"/>
        <v>-3.5482970682603247E-2</v>
      </c>
    </row>
    <row r="1173" spans="1:7" x14ac:dyDescent="0.35">
      <c r="A1173" t="s">
        <v>71</v>
      </c>
      <c r="E1173">
        <v>-2.2920540199559761E-3</v>
      </c>
      <c r="F1173">
        <f t="shared" si="42"/>
        <v>-2.2786523233146158E-2</v>
      </c>
      <c r="G1173">
        <f t="shared" si="43"/>
        <v>-3.5482970682603247E-2</v>
      </c>
    </row>
    <row r="1174" spans="1:7" x14ac:dyDescent="0.35">
      <c r="A1174" t="s">
        <v>71</v>
      </c>
      <c r="E1174">
        <v>-1.0018177757373326E-3</v>
      </c>
      <c r="F1174">
        <f t="shared" si="42"/>
        <v>-2.2794495935987192E-2</v>
      </c>
      <c r="G1174">
        <f t="shared" si="43"/>
        <v>-3.5482970682603247E-2</v>
      </c>
    </row>
    <row r="1175" spans="1:7" x14ac:dyDescent="0.35">
      <c r="A1175" t="s">
        <v>71</v>
      </c>
      <c r="E1175">
        <v>-1.0466943702375719E-2</v>
      </c>
      <c r="F1175">
        <f t="shared" si="42"/>
        <v>-2.2802468638828229E-2</v>
      </c>
      <c r="G1175">
        <f t="shared" si="43"/>
        <v>-3.5482970682603247E-2</v>
      </c>
    </row>
    <row r="1176" spans="1:7" x14ac:dyDescent="0.35">
      <c r="A1176" t="s">
        <v>71</v>
      </c>
      <c r="E1176">
        <v>-3.0364896523335351E-3</v>
      </c>
      <c r="F1176">
        <f t="shared" si="42"/>
        <v>-2.2810441341669263E-2</v>
      </c>
      <c r="G1176">
        <f t="shared" si="43"/>
        <v>-3.5482970682603247E-2</v>
      </c>
    </row>
    <row r="1177" spans="1:7" x14ac:dyDescent="0.35">
      <c r="A1177" t="s">
        <v>71</v>
      </c>
      <c r="E1177">
        <v>1.5425545291442789E-2</v>
      </c>
      <c r="F1177">
        <f t="shared" si="42"/>
        <v>-2.28184140445103E-2</v>
      </c>
      <c r="G1177">
        <f t="shared" si="43"/>
        <v>-3.5482970682603247E-2</v>
      </c>
    </row>
    <row r="1178" spans="1:7" x14ac:dyDescent="0.35">
      <c r="A1178" t="s">
        <v>71</v>
      </c>
      <c r="E1178">
        <v>8.0775792867397993E-4</v>
      </c>
      <c r="F1178">
        <f t="shared" si="42"/>
        <v>-2.2826386747351338E-2</v>
      </c>
      <c r="G1178">
        <f t="shared" si="43"/>
        <v>-3.5482970682603247E-2</v>
      </c>
    </row>
    <row r="1179" spans="1:7" x14ac:dyDescent="0.35">
      <c r="A1179" t="s">
        <v>71</v>
      </c>
      <c r="E1179">
        <v>-7.4283489253606019E-3</v>
      </c>
      <c r="F1179">
        <f t="shared" si="42"/>
        <v>-2.2834359450192371E-2</v>
      </c>
      <c r="G1179">
        <f t="shared" si="43"/>
        <v>-3.5482970682603247E-2</v>
      </c>
    </row>
    <row r="1180" spans="1:7" x14ac:dyDescent="0.35">
      <c r="A1180" t="s">
        <v>71</v>
      </c>
      <c r="E1180">
        <v>-1.4376402446405291E-2</v>
      </c>
      <c r="F1180">
        <f t="shared" si="42"/>
        <v>-2.2842332153033409E-2</v>
      </c>
      <c r="G1180">
        <f t="shared" si="43"/>
        <v>-3.5482970682603247E-2</v>
      </c>
    </row>
    <row r="1181" spans="1:7" x14ac:dyDescent="0.35">
      <c r="A1181" t="s">
        <v>71</v>
      </c>
      <c r="E1181">
        <v>-1.5696976184820379E-2</v>
      </c>
      <c r="F1181">
        <f t="shared" si="42"/>
        <v>-2.2843385739520262E-2</v>
      </c>
      <c r="G1181">
        <f t="shared" si="43"/>
        <v>-3.5579464106493097E-2</v>
      </c>
    </row>
    <row r="1182" spans="1:7" x14ac:dyDescent="0.35">
      <c r="A1182" t="s">
        <v>71</v>
      </c>
      <c r="E1182">
        <v>1.6569231464709781E-2</v>
      </c>
      <c r="F1182">
        <f t="shared" si="42"/>
        <v>-2.2844439326007118E-2</v>
      </c>
      <c r="G1182">
        <f t="shared" si="43"/>
        <v>-3.5579464106493097E-2</v>
      </c>
    </row>
    <row r="1183" spans="1:7" x14ac:dyDescent="0.35">
      <c r="A1183" t="s">
        <v>71</v>
      </c>
      <c r="E1183">
        <v>-1.3602778736245944E-2</v>
      </c>
      <c r="F1183">
        <f t="shared" si="42"/>
        <v>-2.2845492912493971E-2</v>
      </c>
      <c r="G1183">
        <f t="shared" si="43"/>
        <v>-3.5579464106493097E-2</v>
      </c>
    </row>
    <row r="1184" spans="1:7" x14ac:dyDescent="0.35">
      <c r="A1184" t="s">
        <v>71</v>
      </c>
      <c r="E1184">
        <v>1.8632388188401017E-2</v>
      </c>
      <c r="F1184">
        <f t="shared" si="42"/>
        <v>-2.2846546498980828E-2</v>
      </c>
      <c r="G1184">
        <f t="shared" si="43"/>
        <v>-3.5579464106493097E-2</v>
      </c>
    </row>
    <row r="1185" spans="1:144" x14ac:dyDescent="0.35">
      <c r="A1185" t="s">
        <v>71</v>
      </c>
      <c r="E1185">
        <v>-1.3032631509256182E-2</v>
      </c>
      <c r="F1185">
        <f t="shared" si="42"/>
        <v>-2.2847600085467681E-2</v>
      </c>
      <c r="G1185">
        <f t="shared" si="43"/>
        <v>-3.5579464106493097E-2</v>
      </c>
    </row>
    <row r="1186" spans="1:144" x14ac:dyDescent="0.35">
      <c r="A1186" t="s">
        <v>71</v>
      </c>
      <c r="E1186">
        <v>1.7673841467494449E-2</v>
      </c>
      <c r="F1186">
        <f t="shared" si="42"/>
        <v>-2.2848653671954534E-2</v>
      </c>
      <c r="G1186">
        <f t="shared" si="43"/>
        <v>-3.5579464106493097E-2</v>
      </c>
    </row>
    <row r="1187" spans="1:144" s="3" customFormat="1" x14ac:dyDescent="0.35">
      <c r="A1187" s="3" t="s">
        <v>72</v>
      </c>
      <c r="B1187" s="3" cm="1">
        <f t="array" ref="B1187">_xlfn.STDEV.S(_xlfn._xlws.FILTER($E$1000:$E$1998, $A$1000:$A$1998="2014-10"))</f>
        <v>2.0697046992155656E-2</v>
      </c>
      <c r="C1187" s="3" cm="1">
        <f t="array" ref="C1187">AVERAGE(_xlfn._xlws.FILTER($E$1000:$E$1998, $A$1000:$A$1998="2014-10"))</f>
        <v>-2.4772068624287769E-3</v>
      </c>
      <c r="D1187" s="3" cm="1">
        <f t="array" ref="D1187">_xlfn.PERCENTILE.EXC(_xlfn._xlws.FILTER($E$1000:$E$1497, $A$1000:$A$1497="2014-10"), 0.05)</f>
        <v>-4.4615694853439906E-2</v>
      </c>
      <c r="E1187" s="3">
        <v>-8.9330909957701984E-3</v>
      </c>
      <c r="F1187" s="3">
        <f t="shared" si="42"/>
        <v>-2.284970725844139E-2</v>
      </c>
      <c r="G1187" s="3">
        <f t="shared" si="43"/>
        <v>-3.5579464106493097E-2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</row>
    <row r="1188" spans="1:144" x14ac:dyDescent="0.35">
      <c r="A1188" t="s">
        <v>72</v>
      </c>
      <c r="E1188">
        <v>-3.997607254323967E-2</v>
      </c>
      <c r="F1188">
        <f t="shared" si="42"/>
        <v>-2.2850760844928243E-2</v>
      </c>
      <c r="G1188">
        <f t="shared" si="43"/>
        <v>-3.5579464106493097E-2</v>
      </c>
    </row>
    <row r="1189" spans="1:144" x14ac:dyDescent="0.35">
      <c r="A1189" t="s">
        <v>72</v>
      </c>
      <c r="E1189">
        <v>1.1238513463941242E-2</v>
      </c>
      <c r="F1189">
        <f t="shared" si="42"/>
        <v>-2.2754632421782012E-2</v>
      </c>
      <c r="G1189">
        <f t="shared" si="43"/>
        <v>-3.5448672195117478E-2</v>
      </c>
    </row>
    <row r="1190" spans="1:144" x14ac:dyDescent="0.35">
      <c r="A1190" t="s">
        <v>72</v>
      </c>
      <c r="E1190">
        <v>-1.7448797527396809E-2</v>
      </c>
      <c r="F1190">
        <f t="shared" si="42"/>
        <v>-2.2762605124623053E-2</v>
      </c>
      <c r="G1190">
        <f t="shared" si="43"/>
        <v>-3.5448672195117478E-2</v>
      </c>
    </row>
    <row r="1191" spans="1:144" x14ac:dyDescent="0.35">
      <c r="A1191" t="s">
        <v>72</v>
      </c>
      <c r="E1191">
        <v>-6.4043326981198323E-3</v>
      </c>
      <c r="F1191">
        <f t="shared" si="42"/>
        <v>-2.2770577827464084E-2</v>
      </c>
      <c r="G1191">
        <f t="shared" si="43"/>
        <v>-3.5448672195117478E-2</v>
      </c>
    </row>
    <row r="1192" spans="1:144" x14ac:dyDescent="0.35">
      <c r="A1192" t="s">
        <v>72</v>
      </c>
      <c r="E1192">
        <v>-1.347771425135201E-2</v>
      </c>
      <c r="F1192">
        <f t="shared" si="42"/>
        <v>-2.2778550530305121E-2</v>
      </c>
      <c r="G1192">
        <f t="shared" si="43"/>
        <v>-3.5448672195117478E-2</v>
      </c>
    </row>
    <row r="1193" spans="1:144" x14ac:dyDescent="0.35">
      <c r="A1193" t="s">
        <v>72</v>
      </c>
      <c r="E1193">
        <v>-9.4092825905914331E-3</v>
      </c>
      <c r="F1193">
        <f t="shared" si="42"/>
        <v>-2.2786523233146158E-2</v>
      </c>
      <c r="G1193">
        <f t="shared" si="43"/>
        <v>-3.5448672195117478E-2</v>
      </c>
    </row>
    <row r="1194" spans="1:144" x14ac:dyDescent="0.35">
      <c r="A1194" t="s">
        <v>72</v>
      </c>
      <c r="E1194">
        <v>-3.2284805970289824E-3</v>
      </c>
      <c r="F1194">
        <f t="shared" si="42"/>
        <v>-2.2794495935987192E-2</v>
      </c>
      <c r="G1194">
        <f t="shared" si="43"/>
        <v>-3.5448672195117478E-2</v>
      </c>
    </row>
    <row r="1195" spans="1:144" x14ac:dyDescent="0.35">
      <c r="A1195" t="s">
        <v>72</v>
      </c>
      <c r="E1195">
        <v>8.7583401102954656E-4</v>
      </c>
      <c r="F1195">
        <f t="shared" si="42"/>
        <v>-2.2802468638828229E-2</v>
      </c>
      <c r="G1195">
        <f t="shared" si="43"/>
        <v>-3.5448672195117478E-2</v>
      </c>
    </row>
    <row r="1196" spans="1:144" x14ac:dyDescent="0.35">
      <c r="A1196" t="s">
        <v>72</v>
      </c>
      <c r="E1196">
        <v>-4.543445173171054E-2</v>
      </c>
      <c r="F1196">
        <f t="shared" si="42"/>
        <v>-2.2810441341669263E-2</v>
      </c>
      <c r="G1196">
        <f t="shared" si="43"/>
        <v>-3.5448672195117478E-2</v>
      </c>
    </row>
    <row r="1197" spans="1:144" x14ac:dyDescent="0.35">
      <c r="A1197" t="s">
        <v>72</v>
      </c>
      <c r="E1197">
        <v>-1.2195346827445096E-2</v>
      </c>
      <c r="F1197">
        <f t="shared" si="42"/>
        <v>-2.2660275509892566E-2</v>
      </c>
      <c r="G1197">
        <f t="shared" si="43"/>
        <v>-3.5274996060495355E-2</v>
      </c>
    </row>
    <row r="1198" spans="1:144" x14ac:dyDescent="0.35">
      <c r="A1198" t="s">
        <v>72</v>
      </c>
      <c r="E1198">
        <v>3.3597575458705196E-2</v>
      </c>
      <c r="F1198">
        <f t="shared" si="42"/>
        <v>-2.2667809705332609E-2</v>
      </c>
      <c r="G1198">
        <f t="shared" si="43"/>
        <v>-3.5274996060495355E-2</v>
      </c>
    </row>
    <row r="1199" spans="1:144" x14ac:dyDescent="0.35">
      <c r="A1199" t="s">
        <v>72</v>
      </c>
      <c r="E1199">
        <v>-8.6399750380642647E-3</v>
      </c>
      <c r="F1199">
        <f t="shared" si="42"/>
        <v>-2.2675343900772651E-2</v>
      </c>
      <c r="G1199">
        <f t="shared" si="43"/>
        <v>-3.5274996060495355E-2</v>
      </c>
    </row>
    <row r="1200" spans="1:144" x14ac:dyDescent="0.35">
      <c r="A1200" t="s">
        <v>72</v>
      </c>
      <c r="E1200">
        <v>2.7536314958783517E-2</v>
      </c>
      <c r="F1200">
        <f t="shared" si="42"/>
        <v>-2.2682878096212694E-2</v>
      </c>
      <c r="G1200">
        <f t="shared" si="43"/>
        <v>-3.5274996060495355E-2</v>
      </c>
    </row>
    <row r="1201" spans="1:144" x14ac:dyDescent="0.35">
      <c r="A1201" t="s">
        <v>72</v>
      </c>
      <c r="E1201">
        <v>1.0882591653588155E-2</v>
      </c>
      <c r="F1201">
        <f t="shared" si="42"/>
        <v>-2.2690850799053728E-2</v>
      </c>
      <c r="G1201">
        <f t="shared" si="43"/>
        <v>-3.5371858506374462E-2</v>
      </c>
    </row>
    <row r="1202" spans="1:144" x14ac:dyDescent="0.35">
      <c r="A1202" t="s">
        <v>72</v>
      </c>
      <c r="E1202">
        <v>8.7196747536013568E-3</v>
      </c>
      <c r="F1202">
        <f t="shared" si="42"/>
        <v>-2.2698823501894765E-2</v>
      </c>
      <c r="G1202">
        <f t="shared" si="43"/>
        <v>-3.5371858506374462E-2</v>
      </c>
    </row>
    <row r="1203" spans="1:144" x14ac:dyDescent="0.35">
      <c r="A1203" t="s">
        <v>72</v>
      </c>
      <c r="E1203">
        <v>3.118367332499079E-3</v>
      </c>
      <c r="F1203">
        <f t="shared" si="42"/>
        <v>-2.2706796204735803E-2</v>
      </c>
      <c r="G1203">
        <f t="shared" si="43"/>
        <v>-3.5371858506374462E-2</v>
      </c>
    </row>
    <row r="1204" spans="1:144" x14ac:dyDescent="0.35">
      <c r="A1204" t="s">
        <v>72</v>
      </c>
      <c r="E1204">
        <v>-2.4246113347154367E-2</v>
      </c>
      <c r="F1204">
        <f t="shared" si="42"/>
        <v>-2.2714768907576836E-2</v>
      </c>
      <c r="G1204">
        <f t="shared" si="43"/>
        <v>-3.5371858506374462E-2</v>
      </c>
    </row>
    <row r="1205" spans="1:144" x14ac:dyDescent="0.35">
      <c r="A1205" t="s">
        <v>72</v>
      </c>
      <c r="E1205">
        <v>2.3267982648190012E-2</v>
      </c>
      <c r="F1205">
        <f t="shared" si="42"/>
        <v>-2.2569865164612058E-2</v>
      </c>
      <c r="G1205">
        <f t="shared" si="43"/>
        <v>-3.5359833619828751E-2</v>
      </c>
    </row>
    <row r="1206" spans="1:144" x14ac:dyDescent="0.35">
      <c r="A1206" t="s">
        <v>72</v>
      </c>
      <c r="E1206">
        <v>-1.6525185913536567E-2</v>
      </c>
      <c r="F1206">
        <f t="shared" si="42"/>
        <v>-2.2577399360052097E-2</v>
      </c>
      <c r="G1206">
        <f t="shared" si="43"/>
        <v>-3.5359833619828751E-2</v>
      </c>
    </row>
    <row r="1207" spans="1:144" x14ac:dyDescent="0.35">
      <c r="A1207" t="s">
        <v>72</v>
      </c>
      <c r="E1207">
        <v>1.9399245028684756E-3</v>
      </c>
      <c r="F1207">
        <f t="shared" si="42"/>
        <v>-2.258493355549214E-2</v>
      </c>
      <c r="G1207">
        <f t="shared" si="43"/>
        <v>-3.5359833619828751E-2</v>
      </c>
    </row>
    <row r="1208" spans="1:144" x14ac:dyDescent="0.35">
      <c r="A1208" t="s">
        <v>72</v>
      </c>
      <c r="E1208">
        <v>3.0243514304770121E-2</v>
      </c>
      <c r="F1208">
        <f t="shared" si="42"/>
        <v>-2.2592467750932186E-2</v>
      </c>
      <c r="G1208">
        <f t="shared" si="43"/>
        <v>-3.5359833619828751E-2</v>
      </c>
    </row>
    <row r="1209" spans="1:144" s="3" customFormat="1" x14ac:dyDescent="0.35">
      <c r="A1209" s="3" t="s">
        <v>73</v>
      </c>
      <c r="B1209" s="3" cm="1">
        <f t="array" ref="B1209">_xlfn.STDEV.S(_xlfn._xlws.FILTER($E$1000:$E$1998, $A$1000:$A$1998="2014-11"))</f>
        <v>1.568440794049443E-2</v>
      </c>
      <c r="C1209" s="3" cm="1">
        <f t="array" ref="C1209">AVERAGE(_xlfn._xlws.FILTER($E$1000:$E$1998, $A$1000:$A$1998="2014-11"))</f>
        <v>5.7999871945041133E-4</v>
      </c>
      <c r="D1209" s="3" cm="1">
        <f t="array" ref="D1209">_xlfn.PERCENTILE.EXC(_xlfn._xlws.FILTER($E$1000:$E$1497, $A$1000:$A$1497="2014-11"), 0.05)</f>
        <v>-2.8828423663602776E-2</v>
      </c>
      <c r="E1209" s="3">
        <v>-2.1197626034382289E-2</v>
      </c>
      <c r="F1209" s="3">
        <f t="shared" si="42"/>
        <v>-2.2600001946372225E-2</v>
      </c>
      <c r="G1209" s="3">
        <f t="shared" si="43"/>
        <v>-3.5359833619828751E-2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</row>
    <row r="1210" spans="1:144" x14ac:dyDescent="0.35">
      <c r="A1210" t="s">
        <v>73</v>
      </c>
      <c r="E1210">
        <v>-2.2682878096212694E-2</v>
      </c>
      <c r="F1210">
        <f t="shared" si="42"/>
        <v>-2.2607536141812268E-2</v>
      </c>
      <c r="G1210">
        <f t="shared" si="43"/>
        <v>-3.5359833619828751E-2</v>
      </c>
    </row>
    <row r="1211" spans="1:144" x14ac:dyDescent="0.35">
      <c r="A1211" t="s">
        <v>73</v>
      </c>
      <c r="E1211">
        <v>2.5715083008938898E-2</v>
      </c>
      <c r="F1211">
        <f t="shared" si="42"/>
        <v>-2.2447452443686445E-2</v>
      </c>
      <c r="G1211">
        <f t="shared" si="43"/>
        <v>-3.535867451283798E-2</v>
      </c>
    </row>
    <row r="1212" spans="1:144" x14ac:dyDescent="0.35">
      <c r="A1212" t="s">
        <v>73</v>
      </c>
      <c r="E1212">
        <v>-7.3406038876974132E-3</v>
      </c>
      <c r="F1212">
        <f t="shared" si="42"/>
        <v>-2.2456868192989268E-2</v>
      </c>
      <c r="G1212">
        <f t="shared" si="43"/>
        <v>-3.535867451283798E-2</v>
      </c>
    </row>
    <row r="1213" spans="1:144" x14ac:dyDescent="0.35">
      <c r="A1213" t="s">
        <v>73</v>
      </c>
      <c r="E1213">
        <v>-9.9237208999218649E-3</v>
      </c>
      <c r="F1213">
        <f t="shared" si="42"/>
        <v>-2.2466283942292092E-2</v>
      </c>
      <c r="G1213">
        <f t="shared" si="43"/>
        <v>-3.535867451283798E-2</v>
      </c>
    </row>
    <row r="1214" spans="1:144" x14ac:dyDescent="0.35">
      <c r="A1214" t="s">
        <v>73</v>
      </c>
      <c r="E1214">
        <v>8.5113198691577213E-3</v>
      </c>
      <c r="F1214">
        <f t="shared" si="42"/>
        <v>-2.2475699691594912E-2</v>
      </c>
      <c r="G1214">
        <f t="shared" si="43"/>
        <v>-3.535867451283798E-2</v>
      </c>
    </row>
    <row r="1215" spans="1:144" x14ac:dyDescent="0.35">
      <c r="A1215" t="s">
        <v>73</v>
      </c>
      <c r="E1215">
        <v>-1.5942250658921943E-4</v>
      </c>
      <c r="F1215">
        <f t="shared" si="42"/>
        <v>-2.2485115440897735E-2</v>
      </c>
      <c r="G1215">
        <f t="shared" si="43"/>
        <v>-3.535867451283798E-2</v>
      </c>
    </row>
    <row r="1216" spans="1:144" x14ac:dyDescent="0.35">
      <c r="A1216" t="s">
        <v>73</v>
      </c>
      <c r="E1216">
        <v>-2.9151873430307517E-2</v>
      </c>
      <c r="F1216">
        <f t="shared" si="42"/>
        <v>-2.2494531190200555E-2</v>
      </c>
      <c r="G1216">
        <f t="shared" si="43"/>
        <v>-3.535867451283798E-2</v>
      </c>
    </row>
    <row r="1217" spans="1:144" x14ac:dyDescent="0.35">
      <c r="A1217" t="s">
        <v>73</v>
      </c>
      <c r="E1217">
        <v>4.2849445270616762E-3</v>
      </c>
      <c r="F1217">
        <f t="shared" si="42"/>
        <v>-2.2298797631667245E-2</v>
      </c>
      <c r="G1217">
        <f t="shared" si="43"/>
        <v>-3.5306305326461423E-2</v>
      </c>
    </row>
    <row r="1218" spans="1:144" x14ac:dyDescent="0.35">
      <c r="A1218" t="s">
        <v>73</v>
      </c>
      <c r="E1218">
        <v>9.6885463685232476E-3</v>
      </c>
      <c r="F1218">
        <f t="shared" si="42"/>
        <v>-2.2313824821563303E-2</v>
      </c>
      <c r="G1218">
        <f t="shared" si="43"/>
        <v>-3.5306305326461423E-2</v>
      </c>
    </row>
    <row r="1219" spans="1:144" x14ac:dyDescent="0.35">
      <c r="A1219" t="s">
        <v>73</v>
      </c>
      <c r="E1219">
        <v>1.3164980492906018E-2</v>
      </c>
      <c r="F1219">
        <f t="shared" si="42"/>
        <v>-2.2328852011459351E-2</v>
      </c>
      <c r="G1219">
        <f t="shared" si="43"/>
        <v>-3.5306305326461423E-2</v>
      </c>
    </row>
    <row r="1220" spans="1:144" x14ac:dyDescent="0.35">
      <c r="A1220" t="s">
        <v>73</v>
      </c>
      <c r="E1220">
        <v>7.0630884645965196E-3</v>
      </c>
      <c r="F1220">
        <f t="shared" ref="F1220:F1283" si="44">_xlfn.PERCENTILE.EXC(E1220:E5035,0.05)</f>
        <v>-2.2343879201355409E-2</v>
      </c>
      <c r="G1220">
        <f t="shared" ref="G1220:G1283" si="45">AVERAGEIFS(E1220:E5036,E1220:E5036,"&lt;=" &amp; F1220)</f>
        <v>-3.5306305326461423E-2</v>
      </c>
    </row>
    <row r="1221" spans="1:144" x14ac:dyDescent="0.35">
      <c r="A1221" t="s">
        <v>73</v>
      </c>
      <c r="E1221">
        <v>1.3926158510201264E-3</v>
      </c>
      <c r="F1221">
        <f t="shared" si="44"/>
        <v>-2.2353294950658228E-2</v>
      </c>
      <c r="G1221">
        <f t="shared" si="45"/>
        <v>-3.5406789249911863E-2</v>
      </c>
    </row>
    <row r="1222" spans="1:144" x14ac:dyDescent="0.35">
      <c r="A1222" t="s">
        <v>73</v>
      </c>
      <c r="E1222">
        <v>-8.8471063831774867E-3</v>
      </c>
      <c r="F1222">
        <f t="shared" si="44"/>
        <v>-2.2362710699961052E-2</v>
      </c>
      <c r="G1222">
        <f t="shared" si="45"/>
        <v>-3.5406789249911863E-2</v>
      </c>
    </row>
    <row r="1223" spans="1:144" x14ac:dyDescent="0.35">
      <c r="A1223" t="s">
        <v>73</v>
      </c>
      <c r="E1223">
        <v>3.8064810845954887E-2</v>
      </c>
      <c r="F1223">
        <f t="shared" si="44"/>
        <v>-2.2372126449263875E-2</v>
      </c>
      <c r="G1223">
        <f t="shared" si="45"/>
        <v>-3.5406789249911863E-2</v>
      </c>
    </row>
    <row r="1224" spans="1:144" x14ac:dyDescent="0.35">
      <c r="A1224" t="s">
        <v>73</v>
      </c>
      <c r="E1224">
        <v>-1.4388047917057907E-3</v>
      </c>
      <c r="F1224">
        <f t="shared" si="44"/>
        <v>-2.2381542198566695E-2</v>
      </c>
      <c r="G1224">
        <f t="shared" si="45"/>
        <v>-3.5406789249911863E-2</v>
      </c>
    </row>
    <row r="1225" spans="1:144" x14ac:dyDescent="0.35">
      <c r="A1225" t="s">
        <v>73</v>
      </c>
      <c r="E1225">
        <v>4.2072746492337583E-3</v>
      </c>
      <c r="F1225">
        <f t="shared" si="44"/>
        <v>-2.2390957947869519E-2</v>
      </c>
      <c r="G1225">
        <f t="shared" si="45"/>
        <v>-3.5406789249911863E-2</v>
      </c>
    </row>
    <row r="1226" spans="1:144" x14ac:dyDescent="0.35">
      <c r="A1226" t="s">
        <v>73</v>
      </c>
      <c r="E1226">
        <v>-3.5751291263497308E-3</v>
      </c>
      <c r="F1226">
        <f t="shared" si="44"/>
        <v>-2.2400373697172335E-2</v>
      </c>
      <c r="G1226">
        <f t="shared" si="45"/>
        <v>-3.5406789249911863E-2</v>
      </c>
    </row>
    <row r="1227" spans="1:144" x14ac:dyDescent="0.35">
      <c r="A1227" t="s">
        <v>73</v>
      </c>
      <c r="E1227">
        <v>8.0976591955209121E-3</v>
      </c>
      <c r="F1227">
        <f t="shared" si="44"/>
        <v>-2.2409789446475162E-2</v>
      </c>
      <c r="G1227">
        <f t="shared" si="45"/>
        <v>-3.5406789249911863E-2</v>
      </c>
    </row>
    <row r="1228" spans="1:144" x14ac:dyDescent="0.35">
      <c r="A1228" t="s">
        <v>73</v>
      </c>
      <c r="E1228">
        <v>-4.2731837275615334E-3</v>
      </c>
      <c r="F1228">
        <f t="shared" si="44"/>
        <v>-2.2419205195777985E-2</v>
      </c>
      <c r="G1228">
        <f t="shared" si="45"/>
        <v>-3.5406789249911863E-2</v>
      </c>
    </row>
    <row r="1229" spans="1:144" s="3" customFormat="1" x14ac:dyDescent="0.35">
      <c r="A1229" s="3" t="s">
        <v>74</v>
      </c>
      <c r="B1229" s="3" cm="1">
        <f t="array" ref="B1229">_xlfn.STDEV.S(_xlfn._xlws.FILTER($E$1000:$E$1998, $A$1000:$A$1998="2014-12"))</f>
        <v>1.9860784627277278E-2</v>
      </c>
      <c r="C1229" s="3" cm="1">
        <f t="array" ref="C1229">AVERAGE(_xlfn._xlws.FILTER($E$1000:$E$1998, $A$1000:$A$1998="2014-12"))</f>
        <v>-2.7055128596761356E-3</v>
      </c>
      <c r="D1229" s="3" cm="1">
        <f t="array" ref="D1229">_xlfn.PERCENTILE.EXC(_xlfn._xlws.FILTER($E$1000:$E$1497, $A$1000:$A$1497="2014-12"), 0.05)</f>
        <v>-3.1759803268126233E-2</v>
      </c>
      <c r="E1229" s="3">
        <v>-1.6542417318792971E-2</v>
      </c>
      <c r="F1229" s="3">
        <f t="shared" si="44"/>
        <v>-2.2428620945080802E-2</v>
      </c>
      <c r="G1229" s="3">
        <f t="shared" si="45"/>
        <v>-3.5406789249911863E-2</v>
      </c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</row>
    <row r="1230" spans="1:144" x14ac:dyDescent="0.35">
      <c r="A1230" t="s">
        <v>74</v>
      </c>
      <c r="E1230">
        <v>4.7700664824511085E-3</v>
      </c>
      <c r="F1230">
        <f t="shared" si="44"/>
        <v>-2.2438036694383628E-2</v>
      </c>
      <c r="G1230">
        <f t="shared" si="45"/>
        <v>-3.5406789249911863E-2</v>
      </c>
    </row>
    <row r="1231" spans="1:144" x14ac:dyDescent="0.35">
      <c r="A1231" t="s">
        <v>74</v>
      </c>
      <c r="E1231">
        <v>9.9470372883615557E-3</v>
      </c>
      <c r="F1231">
        <f t="shared" si="44"/>
        <v>-2.2447452443686445E-2</v>
      </c>
      <c r="G1231">
        <f t="shared" si="45"/>
        <v>-3.5406789249911863E-2</v>
      </c>
    </row>
    <row r="1232" spans="1:144" x14ac:dyDescent="0.35">
      <c r="A1232" t="s">
        <v>74</v>
      </c>
      <c r="E1232">
        <v>-2.8118707488643511E-2</v>
      </c>
      <c r="F1232">
        <f t="shared" si="44"/>
        <v>-2.2456868192989268E-2</v>
      </c>
      <c r="G1232">
        <f t="shared" si="45"/>
        <v>-3.5406789249911863E-2</v>
      </c>
    </row>
    <row r="1233" spans="1:144" x14ac:dyDescent="0.35">
      <c r="A1233" t="s">
        <v>74</v>
      </c>
      <c r="E1233">
        <v>3.3555311666109228E-2</v>
      </c>
      <c r="F1233">
        <f t="shared" si="44"/>
        <v>-2.223868887208303E-2</v>
      </c>
      <c r="G1233">
        <f t="shared" si="45"/>
        <v>-3.5362023139157692E-2</v>
      </c>
    </row>
    <row r="1234" spans="1:144" x14ac:dyDescent="0.35">
      <c r="A1234" t="s">
        <v>74</v>
      </c>
      <c r="E1234">
        <v>-6.7975039937340932E-3</v>
      </c>
      <c r="F1234">
        <f t="shared" si="44"/>
        <v>-2.2253716061979078E-2</v>
      </c>
      <c r="G1234">
        <f t="shared" si="45"/>
        <v>-3.5362023139157692E-2</v>
      </c>
    </row>
    <row r="1235" spans="1:144" x14ac:dyDescent="0.35">
      <c r="A1235" t="s">
        <v>74</v>
      </c>
      <c r="E1235">
        <v>-2.8529316530229856E-2</v>
      </c>
      <c r="F1235">
        <f t="shared" si="44"/>
        <v>-2.2268743251875136E-2</v>
      </c>
      <c r="G1235">
        <f t="shared" si="45"/>
        <v>-3.5362023139157692E-2</v>
      </c>
    </row>
    <row r="1236" spans="1:144" x14ac:dyDescent="0.35">
      <c r="A1236" t="s">
        <v>74</v>
      </c>
      <c r="E1236">
        <v>-8.9262602403776814E-3</v>
      </c>
      <c r="F1236">
        <f t="shared" si="44"/>
        <v>-2.2042641631616462E-2</v>
      </c>
      <c r="G1236">
        <f t="shared" si="45"/>
        <v>-3.5311744215694156E-2</v>
      </c>
    </row>
    <row r="1237" spans="1:144" x14ac:dyDescent="0.35">
      <c r="A1237" t="s">
        <v>74</v>
      </c>
      <c r="E1237">
        <v>-8.6520236659253587E-4</v>
      </c>
      <c r="F1237">
        <f t="shared" si="44"/>
        <v>-2.2042815074570926E-2</v>
      </c>
      <c r="G1237">
        <f t="shared" si="45"/>
        <v>-3.5311744215694156E-2</v>
      </c>
    </row>
    <row r="1238" spans="1:144" x14ac:dyDescent="0.35">
      <c r="A1238" t="s">
        <v>74</v>
      </c>
      <c r="E1238">
        <v>-3.1759803268126233E-2</v>
      </c>
      <c r="F1238">
        <f t="shared" si="44"/>
        <v>-2.2042988517525394E-2</v>
      </c>
      <c r="G1238">
        <f t="shared" si="45"/>
        <v>-3.5311744215694156E-2</v>
      </c>
    </row>
    <row r="1239" spans="1:144" x14ac:dyDescent="0.35">
      <c r="A1239" t="s">
        <v>74</v>
      </c>
      <c r="E1239">
        <v>-2.8456819064778691E-2</v>
      </c>
      <c r="F1239">
        <f t="shared" si="44"/>
        <v>-2.2022065046993024E-2</v>
      </c>
      <c r="G1239">
        <f t="shared" si="45"/>
        <v>-3.5236395868998169E-2</v>
      </c>
    </row>
    <row r="1240" spans="1:144" x14ac:dyDescent="0.35">
      <c r="A1240" t="s">
        <v>74</v>
      </c>
      <c r="E1240">
        <v>3.2171251328557526E-2</v>
      </c>
      <c r="F1240">
        <f t="shared" si="44"/>
        <v>-2.1683836597305082E-2</v>
      </c>
      <c r="G1240">
        <f t="shared" si="45"/>
        <v>-3.5183892128940235E-2</v>
      </c>
    </row>
    <row r="1241" spans="1:144" x14ac:dyDescent="0.35">
      <c r="A1241" t="s">
        <v>74</v>
      </c>
      <c r="E1241">
        <v>-5.4254964302037478E-3</v>
      </c>
      <c r="F1241">
        <f t="shared" si="44"/>
        <v>-2.1701638094657073E-2</v>
      </c>
      <c r="G1241">
        <f t="shared" si="45"/>
        <v>-3.528936131278114E-2</v>
      </c>
    </row>
    <row r="1242" spans="1:144" x14ac:dyDescent="0.35">
      <c r="A1242" t="s">
        <v>74</v>
      </c>
      <c r="E1242">
        <v>2.6148698902312844E-2</v>
      </c>
      <c r="F1242">
        <f t="shared" si="44"/>
        <v>-2.1719439592009074E-2</v>
      </c>
      <c r="G1242">
        <f t="shared" si="45"/>
        <v>-3.528936131278114E-2</v>
      </c>
    </row>
    <row r="1243" spans="1:144" x14ac:dyDescent="0.35">
      <c r="A1243" t="s">
        <v>74</v>
      </c>
      <c r="E1243">
        <v>-4.0562739313821624E-3</v>
      </c>
      <c r="F1243">
        <f t="shared" si="44"/>
        <v>-2.1737241089361075E-2</v>
      </c>
      <c r="G1243">
        <f t="shared" si="45"/>
        <v>-3.528936131278114E-2</v>
      </c>
    </row>
    <row r="1244" spans="1:144" x14ac:dyDescent="0.35">
      <c r="A1244" t="s">
        <v>74</v>
      </c>
      <c r="E1244">
        <v>4.7406840660747171E-3</v>
      </c>
      <c r="F1244">
        <f t="shared" si="44"/>
        <v>-2.1755042586713066E-2</v>
      </c>
      <c r="G1244">
        <f t="shared" si="45"/>
        <v>-3.528936131278114E-2</v>
      </c>
    </row>
    <row r="1245" spans="1:144" x14ac:dyDescent="0.35">
      <c r="A1245" t="s">
        <v>74</v>
      </c>
      <c r="E1245">
        <v>1.4474242687040622E-2</v>
      </c>
      <c r="F1245">
        <f t="shared" si="44"/>
        <v>-2.1772844084065067E-2</v>
      </c>
      <c r="G1245">
        <f t="shared" si="45"/>
        <v>-3.528936131278114E-2</v>
      </c>
    </row>
    <row r="1246" spans="1:144" x14ac:dyDescent="0.35">
      <c r="A1246" t="s">
        <v>74</v>
      </c>
      <c r="E1246">
        <v>-1.1543662007163755E-2</v>
      </c>
      <c r="F1246">
        <f t="shared" si="44"/>
        <v>-2.1790645581417058E-2</v>
      </c>
      <c r="G1246">
        <f t="shared" si="45"/>
        <v>-3.528936131278114E-2</v>
      </c>
    </row>
    <row r="1247" spans="1:144" x14ac:dyDescent="0.35">
      <c r="A1247" t="s">
        <v>74</v>
      </c>
      <c r="E1247">
        <v>-6.1905741147289537E-3</v>
      </c>
      <c r="F1247">
        <f t="shared" si="44"/>
        <v>-2.1808447078769059E-2</v>
      </c>
      <c r="G1247">
        <f t="shared" si="45"/>
        <v>-3.528936131278114E-2</v>
      </c>
    </row>
    <row r="1248" spans="1:144" s="3" customFormat="1" x14ac:dyDescent="0.35">
      <c r="A1248" s="3" t="s">
        <v>75</v>
      </c>
      <c r="B1248" s="3" cm="1">
        <f t="array" ref="B1248">_xlfn.STDEV.S(_xlfn._xlws.FILTER($E$1000:$E$1998, $A$1000:$A$1998="2015-01"))</f>
        <v>1.9775558262265836E-2</v>
      </c>
      <c r="C1248" s="3" cm="1">
        <f t="array" ref="C1248">AVERAGE(_xlfn._xlws.FILTER($E$1000:$E$1998, $A$1000:$A$1998="2015-01"))</f>
        <v>3.5962617041456874E-3</v>
      </c>
      <c r="D1248" s="3" cm="1">
        <f t="array" ref="D1248">_xlfn.PERCENTILE.EXC(_xlfn._xlws.FILTER($E$1000:$E$1497, $A$1000:$A$1497="2015-01"), 0.05)</f>
        <v>-4.8762651517772204E-2</v>
      </c>
      <c r="E1248" s="3">
        <v>6.2031197625915056E-3</v>
      </c>
      <c r="F1248" s="3">
        <f t="shared" si="44"/>
        <v>-2.182624857612106E-2</v>
      </c>
      <c r="G1248" s="3">
        <f t="shared" si="45"/>
        <v>-3.528936131278114E-2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</row>
    <row r="1249" spans="1:7" x14ac:dyDescent="0.35">
      <c r="A1249" t="s">
        <v>75</v>
      </c>
      <c r="E1249">
        <v>-5.0485147132839504E-2</v>
      </c>
      <c r="F1249">
        <f t="shared" si="44"/>
        <v>-2.1844050073473051E-2</v>
      </c>
      <c r="G1249">
        <f t="shared" si="45"/>
        <v>-3.528936131278114E-2</v>
      </c>
    </row>
    <row r="1250" spans="1:7" x14ac:dyDescent="0.35">
      <c r="A1250" t="s">
        <v>75</v>
      </c>
      <c r="E1250">
        <v>-2.487085563778245E-3</v>
      </c>
      <c r="F1250">
        <f t="shared" si="44"/>
        <v>-2.1661285169914366E-2</v>
      </c>
      <c r="G1250">
        <f t="shared" si="45"/>
        <v>-3.5064351074222275E-2</v>
      </c>
    </row>
    <row r="1251" spans="1:7" x14ac:dyDescent="0.35">
      <c r="A1251" t="s">
        <v>75</v>
      </c>
      <c r="E1251">
        <v>-1.0924620386146772E-3</v>
      </c>
      <c r="F1251">
        <f t="shared" si="44"/>
        <v>-2.1663540312653436E-2</v>
      </c>
      <c r="G1251">
        <f t="shared" si="45"/>
        <v>-3.5064351074222275E-2</v>
      </c>
    </row>
    <row r="1252" spans="1:7" x14ac:dyDescent="0.35">
      <c r="A1252" t="s">
        <v>75</v>
      </c>
      <c r="E1252">
        <v>3.6215521070416867E-2</v>
      </c>
      <c r="F1252">
        <f t="shared" si="44"/>
        <v>-2.166579545539251E-2</v>
      </c>
      <c r="G1252">
        <f t="shared" si="45"/>
        <v>-3.5064351074222275E-2</v>
      </c>
    </row>
    <row r="1253" spans="1:7" x14ac:dyDescent="0.35">
      <c r="A1253" t="s">
        <v>75</v>
      </c>
      <c r="E1253">
        <v>-3.3260190982166545E-2</v>
      </c>
      <c r="F1253">
        <f t="shared" si="44"/>
        <v>-2.166805059813158E-2</v>
      </c>
      <c r="G1253">
        <f t="shared" si="45"/>
        <v>-3.5064351074222275E-2</v>
      </c>
    </row>
    <row r="1254" spans="1:7" x14ac:dyDescent="0.35">
      <c r="A1254" t="s">
        <v>75</v>
      </c>
      <c r="E1254">
        <v>9.4212419710171472E-3</v>
      </c>
      <c r="F1254">
        <f t="shared" si="44"/>
        <v>-2.1633988953564189E-2</v>
      </c>
      <c r="G1254">
        <f t="shared" si="45"/>
        <v>-3.4973558439537568E-2</v>
      </c>
    </row>
    <row r="1255" spans="1:7" x14ac:dyDescent="0.35">
      <c r="A1255" t="s">
        <v>75</v>
      </c>
      <c r="E1255">
        <v>1.9417698079684208E-2</v>
      </c>
      <c r="F1255">
        <f t="shared" si="44"/>
        <v>-2.1634779751724099E-2</v>
      </c>
      <c r="G1255">
        <f t="shared" si="45"/>
        <v>-3.4973558439537568E-2</v>
      </c>
    </row>
    <row r="1256" spans="1:7" x14ac:dyDescent="0.35">
      <c r="A1256" t="s">
        <v>75</v>
      </c>
      <c r="E1256">
        <v>-1.6070018971067527E-2</v>
      </c>
      <c r="F1256">
        <f t="shared" si="44"/>
        <v>-2.163557054988401E-2</v>
      </c>
      <c r="G1256">
        <f t="shared" si="45"/>
        <v>-3.4973558439537568E-2</v>
      </c>
    </row>
    <row r="1257" spans="1:7" x14ac:dyDescent="0.35">
      <c r="A1257" t="s">
        <v>75</v>
      </c>
      <c r="E1257">
        <v>2.3291224437072388E-2</v>
      </c>
      <c r="F1257">
        <f t="shared" si="44"/>
        <v>-2.163636134804392E-2</v>
      </c>
      <c r="G1257">
        <f t="shared" si="45"/>
        <v>-3.4973558439537568E-2</v>
      </c>
    </row>
    <row r="1258" spans="1:7" x14ac:dyDescent="0.35">
      <c r="A1258" t="s">
        <v>75</v>
      </c>
      <c r="E1258">
        <v>2.1524721635268678E-2</v>
      </c>
      <c r="F1258">
        <f t="shared" si="44"/>
        <v>-2.163715214620383E-2</v>
      </c>
      <c r="G1258">
        <f t="shared" si="45"/>
        <v>-3.4973558439537568E-2</v>
      </c>
    </row>
    <row r="1259" spans="1:7" x14ac:dyDescent="0.35">
      <c r="A1259" t="s">
        <v>75</v>
      </c>
      <c r="E1259">
        <v>1.1668628153695302E-2</v>
      </c>
      <c r="F1259">
        <f t="shared" si="44"/>
        <v>-2.163794294436374E-2</v>
      </c>
      <c r="G1259">
        <f t="shared" si="45"/>
        <v>-3.4973558439537568E-2</v>
      </c>
    </row>
    <row r="1260" spans="1:7" x14ac:dyDescent="0.35">
      <c r="A1260" t="s">
        <v>75</v>
      </c>
      <c r="E1260">
        <v>9.1024484617754208E-3</v>
      </c>
      <c r="F1260">
        <f t="shared" si="44"/>
        <v>-2.163873374252365E-2</v>
      </c>
      <c r="G1260">
        <f t="shared" si="45"/>
        <v>-3.4973558439537568E-2</v>
      </c>
    </row>
    <row r="1261" spans="1:7" x14ac:dyDescent="0.35">
      <c r="A1261" t="s">
        <v>75</v>
      </c>
      <c r="E1261">
        <v>1.6284387602745316E-2</v>
      </c>
      <c r="F1261">
        <f t="shared" si="44"/>
        <v>-2.1640988885262721E-2</v>
      </c>
      <c r="G1261">
        <f t="shared" si="45"/>
        <v>-3.50785570591991E-2</v>
      </c>
    </row>
    <row r="1262" spans="1:7" x14ac:dyDescent="0.35">
      <c r="A1262" t="s">
        <v>75</v>
      </c>
      <c r="E1262">
        <v>2.4145356777129583E-2</v>
      </c>
      <c r="F1262">
        <f t="shared" si="44"/>
        <v>-2.1643244028001794E-2</v>
      </c>
      <c r="G1262">
        <f t="shared" si="45"/>
        <v>-3.50785570591991E-2</v>
      </c>
    </row>
    <row r="1263" spans="1:7" x14ac:dyDescent="0.35">
      <c r="A1263" t="s">
        <v>75</v>
      </c>
      <c r="E1263">
        <v>2.4401389143631877E-3</v>
      </c>
      <c r="F1263">
        <f t="shared" si="44"/>
        <v>-2.1645499170740864E-2</v>
      </c>
      <c r="G1263">
        <f t="shared" si="45"/>
        <v>-3.50785570591991E-2</v>
      </c>
    </row>
    <row r="1264" spans="1:7" x14ac:dyDescent="0.35">
      <c r="A1264" t="s">
        <v>75</v>
      </c>
      <c r="E1264">
        <v>1.1482212676061447E-2</v>
      </c>
      <c r="F1264">
        <f t="shared" si="44"/>
        <v>-2.1647754313479935E-2</v>
      </c>
      <c r="G1264">
        <f t="shared" si="45"/>
        <v>-3.50785570591991E-2</v>
      </c>
    </row>
    <row r="1265" spans="1:144" x14ac:dyDescent="0.35">
      <c r="A1265" t="s">
        <v>75</v>
      </c>
      <c r="E1265">
        <v>-5.3571720589687625E-3</v>
      </c>
      <c r="F1265">
        <f t="shared" si="44"/>
        <v>-2.1650009456219008E-2</v>
      </c>
      <c r="G1265">
        <f t="shared" si="45"/>
        <v>-3.50785570591991E-2</v>
      </c>
    </row>
    <row r="1266" spans="1:144" x14ac:dyDescent="0.35">
      <c r="A1266" t="s">
        <v>75</v>
      </c>
      <c r="E1266">
        <v>-8.1402522144953492E-3</v>
      </c>
      <c r="F1266">
        <f t="shared" si="44"/>
        <v>-2.1652264598958079E-2</v>
      </c>
      <c r="G1266">
        <f t="shared" si="45"/>
        <v>-3.50785570591991E-2</v>
      </c>
    </row>
    <row r="1267" spans="1:144" x14ac:dyDescent="0.35">
      <c r="A1267" t="s">
        <v>75</v>
      </c>
      <c r="E1267">
        <v>5.6135495539816772E-3</v>
      </c>
      <c r="F1267">
        <f t="shared" si="44"/>
        <v>-2.1654519741697152E-2</v>
      </c>
      <c r="G1267">
        <f t="shared" si="45"/>
        <v>-3.50785570591991E-2</v>
      </c>
    </row>
    <row r="1268" spans="1:144" x14ac:dyDescent="0.35">
      <c r="A1268" t="s">
        <v>75</v>
      </c>
      <c r="E1268">
        <v>-4.396424346812677E-3</v>
      </c>
      <c r="F1268">
        <f t="shared" si="44"/>
        <v>-2.1656774884436222E-2</v>
      </c>
      <c r="G1268">
        <f t="shared" si="45"/>
        <v>-3.50785570591991E-2</v>
      </c>
    </row>
    <row r="1269" spans="1:144" s="3" customFormat="1" x14ac:dyDescent="0.35">
      <c r="A1269" s="3" t="s">
        <v>76</v>
      </c>
      <c r="B1269" s="3" cm="1">
        <f t="array" ref="B1269">_xlfn.STDEV.S(_xlfn._xlws.FILTER($E$1000:$E$1998, $A$1000:$A$1998="2015-02"))</f>
        <v>1.1144808021464305E-2</v>
      </c>
      <c r="C1269" s="3" cm="1">
        <f t="array" ref="C1269">AVERAGE(_xlfn._xlws.FILTER($E$1000:$E$1998, $A$1000:$A$1998="2015-02"))</f>
        <v>4.2845056225755667E-3</v>
      </c>
      <c r="D1269" s="3" cm="1">
        <f t="array" ref="D1269">_xlfn.PERCENTILE.EXC(_xlfn._xlws.FILTER($E$1000:$E$1497, $A$1000:$A$1497="2015-02"), 0.05)</f>
        <v>-1.8689191229195275E-2</v>
      </c>
      <c r="E1269" s="3">
        <v>-8.6315698786609189E-4</v>
      </c>
      <c r="F1269" s="3">
        <f t="shared" si="44"/>
        <v>-2.1659030027175293E-2</v>
      </c>
      <c r="G1269" s="3">
        <f t="shared" si="45"/>
        <v>-3.50785570591991E-2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</row>
    <row r="1270" spans="1:144" x14ac:dyDescent="0.35">
      <c r="A1270" t="s">
        <v>76</v>
      </c>
      <c r="E1270">
        <v>2.5345692914473101E-2</v>
      </c>
      <c r="F1270">
        <f t="shared" si="44"/>
        <v>-2.1661285169914366E-2</v>
      </c>
      <c r="G1270">
        <f t="shared" si="45"/>
        <v>-3.50785570591991E-2</v>
      </c>
    </row>
    <row r="1271" spans="1:144" x14ac:dyDescent="0.35">
      <c r="A1271" t="s">
        <v>76</v>
      </c>
      <c r="E1271">
        <v>-3.3284674981090279E-3</v>
      </c>
      <c r="F1271">
        <f t="shared" si="44"/>
        <v>-2.1663540312653436E-2</v>
      </c>
      <c r="G1271">
        <f t="shared" si="45"/>
        <v>-3.50785570591991E-2</v>
      </c>
    </row>
    <row r="1272" spans="1:144" x14ac:dyDescent="0.35">
      <c r="A1272" t="s">
        <v>76</v>
      </c>
      <c r="E1272">
        <v>-5.8753860876600518E-3</v>
      </c>
      <c r="F1272">
        <f t="shared" si="44"/>
        <v>-2.166579545539251E-2</v>
      </c>
      <c r="G1272">
        <f t="shared" si="45"/>
        <v>-3.50785570591991E-2</v>
      </c>
    </row>
    <row r="1273" spans="1:144" x14ac:dyDescent="0.35">
      <c r="A1273" t="s">
        <v>76</v>
      </c>
      <c r="E1273">
        <v>-2.8047298086244111E-3</v>
      </c>
      <c r="F1273">
        <f t="shared" si="44"/>
        <v>-2.166805059813158E-2</v>
      </c>
      <c r="G1273">
        <f t="shared" si="45"/>
        <v>-3.50785570591991E-2</v>
      </c>
    </row>
    <row r="1274" spans="1:144" x14ac:dyDescent="0.35">
      <c r="A1274" t="s">
        <v>76</v>
      </c>
      <c r="E1274">
        <v>-1.9165434954851082E-2</v>
      </c>
      <c r="F1274">
        <f t="shared" si="44"/>
        <v>-2.167030574087065E-2</v>
      </c>
      <c r="G1274">
        <f t="shared" si="45"/>
        <v>-3.50785570591991E-2</v>
      </c>
    </row>
    <row r="1275" spans="1:144" x14ac:dyDescent="0.35">
      <c r="A1275" t="s">
        <v>76</v>
      </c>
      <c r="E1275">
        <v>1.747283044969682E-2</v>
      </c>
      <c r="F1275">
        <f t="shared" si="44"/>
        <v>-2.1672560883609724E-2</v>
      </c>
      <c r="G1275">
        <f t="shared" si="45"/>
        <v>-3.50785570591991E-2</v>
      </c>
    </row>
    <row r="1276" spans="1:144" x14ac:dyDescent="0.35">
      <c r="A1276" t="s">
        <v>76</v>
      </c>
      <c r="E1276">
        <v>-7.7435416365868402E-3</v>
      </c>
      <c r="F1276">
        <f t="shared" si="44"/>
        <v>-2.1674816026348794E-2</v>
      </c>
      <c r="G1276">
        <f t="shared" si="45"/>
        <v>-3.50785570591991E-2</v>
      </c>
    </row>
    <row r="1277" spans="1:144" x14ac:dyDescent="0.35">
      <c r="A1277" t="s">
        <v>76</v>
      </c>
      <c r="E1277">
        <v>2.1033442559137184E-2</v>
      </c>
      <c r="F1277">
        <f t="shared" si="44"/>
        <v>-2.1677071169087868E-2</v>
      </c>
      <c r="G1277">
        <f t="shared" si="45"/>
        <v>-3.50785570591991E-2</v>
      </c>
    </row>
    <row r="1278" spans="1:144" x14ac:dyDescent="0.35">
      <c r="A1278" t="s">
        <v>76</v>
      </c>
      <c r="E1278">
        <v>9.5321448321620348E-3</v>
      </c>
      <c r="F1278">
        <f t="shared" si="44"/>
        <v>-2.1679326311826938E-2</v>
      </c>
      <c r="G1278">
        <f t="shared" si="45"/>
        <v>-3.50785570591991E-2</v>
      </c>
    </row>
    <row r="1279" spans="1:144" x14ac:dyDescent="0.35">
      <c r="A1279" t="s">
        <v>76</v>
      </c>
      <c r="E1279">
        <v>-1.8045830342678622E-3</v>
      </c>
      <c r="F1279">
        <f t="shared" si="44"/>
        <v>-2.1681581454566008E-2</v>
      </c>
      <c r="G1279">
        <f t="shared" si="45"/>
        <v>-3.50785570591991E-2</v>
      </c>
    </row>
    <row r="1280" spans="1:144" x14ac:dyDescent="0.35">
      <c r="A1280" t="s">
        <v>76</v>
      </c>
      <c r="E1280">
        <v>4.7327476644552563E-3</v>
      </c>
      <c r="F1280">
        <f t="shared" si="44"/>
        <v>-2.1683836597305082E-2</v>
      </c>
      <c r="G1280">
        <f t="shared" si="45"/>
        <v>-3.50785570591991E-2</v>
      </c>
    </row>
    <row r="1281" spans="1:144" x14ac:dyDescent="0.35">
      <c r="A1281" t="s">
        <v>76</v>
      </c>
      <c r="E1281">
        <v>1.8314999485567168E-2</v>
      </c>
      <c r="F1281">
        <f t="shared" si="44"/>
        <v>-2.170163809465708E-2</v>
      </c>
      <c r="G1281">
        <f t="shared" si="45"/>
        <v>-3.5184864364452229E-2</v>
      </c>
    </row>
    <row r="1282" spans="1:144" x14ac:dyDescent="0.35">
      <c r="A1282" t="s">
        <v>76</v>
      </c>
      <c r="E1282">
        <v>6.013922604103915E-3</v>
      </c>
      <c r="F1282">
        <f t="shared" si="44"/>
        <v>-2.1719439592009074E-2</v>
      </c>
      <c r="G1282">
        <f t="shared" si="45"/>
        <v>-3.5184864364452229E-2</v>
      </c>
    </row>
    <row r="1283" spans="1:144" x14ac:dyDescent="0.35">
      <c r="A1283" t="s">
        <v>76</v>
      </c>
      <c r="E1283">
        <v>2.4105868424556536E-3</v>
      </c>
      <c r="F1283">
        <f t="shared" si="44"/>
        <v>-2.1737241089361072E-2</v>
      </c>
      <c r="G1283">
        <f t="shared" si="45"/>
        <v>-3.5184864364452229E-2</v>
      </c>
    </row>
    <row r="1284" spans="1:144" x14ac:dyDescent="0.35">
      <c r="A1284" t="s">
        <v>76</v>
      </c>
      <c r="E1284">
        <v>5.5571348069090075E-3</v>
      </c>
      <c r="F1284">
        <f t="shared" ref="F1284:F1347" si="46">_xlfn.PERCENTILE.EXC(E1284:E5099,0.05)</f>
        <v>-2.1755042586713066E-2</v>
      </c>
      <c r="G1284">
        <f t="shared" ref="G1284:G1347" si="47">AVERAGEIFS(E1284:E5100,E1284:E5100,"&lt;=" &amp; F1284)</f>
        <v>-3.5184864364452229E-2</v>
      </c>
    </row>
    <row r="1285" spans="1:144" x14ac:dyDescent="0.35">
      <c r="A1285" t="s">
        <v>76</v>
      </c>
      <c r="E1285">
        <v>8.4082569924878205E-3</v>
      </c>
      <c r="F1285">
        <f t="shared" si="46"/>
        <v>-2.1772844084065067E-2</v>
      </c>
      <c r="G1285">
        <f t="shared" si="47"/>
        <v>-3.5184864364452229E-2</v>
      </c>
    </row>
    <row r="1286" spans="1:144" x14ac:dyDescent="0.35">
      <c r="A1286" t="s">
        <v>76</v>
      </c>
      <c r="E1286">
        <v>-9.6405604417349692E-3</v>
      </c>
      <c r="F1286">
        <f t="shared" si="46"/>
        <v>-2.1790645581417065E-2</v>
      </c>
      <c r="G1286">
        <f t="shared" si="47"/>
        <v>-3.5184864364452229E-2</v>
      </c>
    </row>
    <row r="1287" spans="1:144" x14ac:dyDescent="0.35">
      <c r="A1287" t="s">
        <v>76</v>
      </c>
      <c r="E1287">
        <v>1.0334683978457561E-2</v>
      </c>
      <c r="F1287">
        <f t="shared" si="46"/>
        <v>-2.1808447078769059E-2</v>
      </c>
      <c r="G1287">
        <f t="shared" si="47"/>
        <v>-3.5184864364452229E-2</v>
      </c>
    </row>
    <row r="1288" spans="1:144" x14ac:dyDescent="0.35">
      <c r="A1288" t="s">
        <v>76</v>
      </c>
      <c r="E1288">
        <v>7.759529771306139E-3</v>
      </c>
      <c r="F1288">
        <f t="shared" si="46"/>
        <v>-2.1826248576121057E-2</v>
      </c>
      <c r="G1288">
        <f t="shared" si="47"/>
        <v>-3.5184864364452229E-2</v>
      </c>
    </row>
    <row r="1289" spans="1:144" s="3" customFormat="1" x14ac:dyDescent="0.35">
      <c r="A1289" s="3" t="s">
        <v>77</v>
      </c>
      <c r="B1289" s="3" cm="1">
        <f t="array" ref="B1289">_xlfn.STDEV.S(_xlfn._xlws.FILTER($E$1000:$E$1998, $A$1000:$A$1998="2015-03"))</f>
        <v>9.9079628543695935E-3</v>
      </c>
      <c r="C1289" s="3" cm="1">
        <f t="array" ref="C1289">AVERAGE(_xlfn._xlws.FILTER($E$1000:$E$1998, $A$1000:$A$1998="2015-03"))</f>
        <v>1.637383163046987E-3</v>
      </c>
      <c r="D1289" s="3" cm="1">
        <f t="array" ref="D1289">_xlfn.PERCENTILE.EXC(_xlfn._xlws.FILTER($E$1000:$E$1497, $A$1000:$A$1497="2015-03"), 0.05)</f>
        <v>-1.3511728280216009E-2</v>
      </c>
      <c r="E1289" s="3">
        <v>-1.8008136978803029E-3</v>
      </c>
      <c r="F1289" s="3">
        <f t="shared" si="46"/>
        <v>-2.1844050073473051E-2</v>
      </c>
      <c r="G1289" s="3">
        <f t="shared" si="47"/>
        <v>-3.5184864364452229E-2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</row>
    <row r="1290" spans="1:144" x14ac:dyDescent="0.35">
      <c r="A1290" t="s">
        <v>77</v>
      </c>
      <c r="E1290">
        <v>-1.4019493121819002E-2</v>
      </c>
      <c r="F1290">
        <f t="shared" si="46"/>
        <v>-2.1861851570825055E-2</v>
      </c>
      <c r="G1290">
        <f t="shared" si="47"/>
        <v>-3.5184864364452229E-2</v>
      </c>
    </row>
    <row r="1291" spans="1:144" x14ac:dyDescent="0.35">
      <c r="A1291" t="s">
        <v>77</v>
      </c>
      <c r="E1291">
        <v>6.5233991685918445E-3</v>
      </c>
      <c r="F1291">
        <f t="shared" si="46"/>
        <v>-2.187965306817705E-2</v>
      </c>
      <c r="G1291">
        <f t="shared" si="47"/>
        <v>-3.5184864364452229E-2</v>
      </c>
    </row>
    <row r="1292" spans="1:144" x14ac:dyDescent="0.35">
      <c r="A1292" t="s">
        <v>77</v>
      </c>
      <c r="E1292">
        <v>1.2081574880532991E-2</v>
      </c>
      <c r="F1292">
        <f t="shared" si="46"/>
        <v>-2.1897454565529047E-2</v>
      </c>
      <c r="G1292">
        <f t="shared" si="47"/>
        <v>-3.5184864364452229E-2</v>
      </c>
    </row>
    <row r="1293" spans="1:144" x14ac:dyDescent="0.35">
      <c r="A1293" t="s">
        <v>77</v>
      </c>
      <c r="E1293">
        <v>1.6080756053420849E-3</v>
      </c>
      <c r="F1293">
        <f t="shared" si="46"/>
        <v>-2.1915256062881042E-2</v>
      </c>
      <c r="G1293">
        <f t="shared" si="47"/>
        <v>-3.5184864364452229E-2</v>
      </c>
    </row>
    <row r="1294" spans="1:144" x14ac:dyDescent="0.35">
      <c r="A1294" t="s">
        <v>77</v>
      </c>
      <c r="E1294">
        <v>5.6986213030413638E-3</v>
      </c>
      <c r="F1294">
        <f t="shared" si="46"/>
        <v>-2.1933057560233039E-2</v>
      </c>
      <c r="G1294">
        <f t="shared" si="47"/>
        <v>-3.5184864364452229E-2</v>
      </c>
    </row>
    <row r="1295" spans="1:144" x14ac:dyDescent="0.35">
      <c r="A1295" t="s">
        <v>77</v>
      </c>
      <c r="E1295">
        <v>-9.7341857892241646E-3</v>
      </c>
      <c r="F1295">
        <f t="shared" si="46"/>
        <v>-2.1950859057585041E-2</v>
      </c>
      <c r="G1295">
        <f t="shared" si="47"/>
        <v>-3.5184864364452229E-2</v>
      </c>
    </row>
    <row r="1296" spans="1:144" x14ac:dyDescent="0.35">
      <c r="A1296" t="s">
        <v>77</v>
      </c>
      <c r="E1296">
        <v>2.1571568399874522E-2</v>
      </c>
      <c r="F1296">
        <f t="shared" si="46"/>
        <v>-2.1968660554937035E-2</v>
      </c>
      <c r="G1296">
        <f t="shared" si="47"/>
        <v>-3.5184864364452229E-2</v>
      </c>
    </row>
    <row r="1297" spans="1:144" x14ac:dyDescent="0.35">
      <c r="A1297" t="s">
        <v>77</v>
      </c>
      <c r="E1297">
        <v>-1.0529764644792395E-3</v>
      </c>
      <c r="F1297">
        <f t="shared" si="46"/>
        <v>-2.1986462052289032E-2</v>
      </c>
      <c r="G1297">
        <f t="shared" si="47"/>
        <v>-3.5184864364452229E-2</v>
      </c>
    </row>
    <row r="1298" spans="1:144" x14ac:dyDescent="0.35">
      <c r="A1298" t="s">
        <v>77</v>
      </c>
      <c r="E1298">
        <v>-4.1922095727171711E-3</v>
      </c>
      <c r="F1298">
        <f t="shared" si="46"/>
        <v>-2.2004263549641027E-2</v>
      </c>
      <c r="G1298">
        <f t="shared" si="47"/>
        <v>-3.5184864364452229E-2</v>
      </c>
    </row>
    <row r="1299" spans="1:144" x14ac:dyDescent="0.35">
      <c r="A1299" t="s">
        <v>77</v>
      </c>
      <c r="E1299">
        <v>9.5227944106892875E-3</v>
      </c>
      <c r="F1299">
        <f t="shared" si="46"/>
        <v>-2.2022065046993024E-2</v>
      </c>
      <c r="G1299">
        <f t="shared" si="47"/>
        <v>-3.5184864364452229E-2</v>
      </c>
    </row>
    <row r="1300" spans="1:144" x14ac:dyDescent="0.35">
      <c r="A1300" t="s">
        <v>77</v>
      </c>
      <c r="E1300">
        <v>-9.1059502931265576E-3</v>
      </c>
      <c r="F1300">
        <f t="shared" si="46"/>
        <v>-2.2039866544345026E-2</v>
      </c>
      <c r="G1300">
        <f t="shared" si="47"/>
        <v>-3.5184864364452229E-2</v>
      </c>
    </row>
    <row r="1301" spans="1:144" x14ac:dyDescent="0.35">
      <c r="A1301" t="s">
        <v>77</v>
      </c>
      <c r="E1301">
        <v>-6.9718145194182374E-3</v>
      </c>
      <c r="F1301">
        <f t="shared" si="46"/>
        <v>-2.204003998729949E-2</v>
      </c>
      <c r="G1301">
        <f t="shared" si="47"/>
        <v>-3.5290024347013088E-2</v>
      </c>
    </row>
    <row r="1302" spans="1:144" x14ac:dyDescent="0.35">
      <c r="A1302" t="s">
        <v>77</v>
      </c>
      <c r="E1302">
        <v>1.0578811278300149E-2</v>
      </c>
      <c r="F1302">
        <f t="shared" si="46"/>
        <v>-2.2040213430253953E-2</v>
      </c>
      <c r="G1302">
        <f t="shared" si="47"/>
        <v>-3.5290024347013088E-2</v>
      </c>
    </row>
    <row r="1303" spans="1:144" x14ac:dyDescent="0.35">
      <c r="A1303" t="s">
        <v>77</v>
      </c>
      <c r="E1303">
        <v>1.6159336092422715E-2</v>
      </c>
      <c r="F1303">
        <f t="shared" si="46"/>
        <v>-2.2040386873208421E-2</v>
      </c>
      <c r="G1303">
        <f t="shared" si="47"/>
        <v>-3.5290024347013088E-2</v>
      </c>
    </row>
    <row r="1304" spans="1:144" x14ac:dyDescent="0.35">
      <c r="A1304" t="s">
        <v>77</v>
      </c>
      <c r="E1304">
        <v>-5.1719852797471738E-3</v>
      </c>
      <c r="F1304">
        <f t="shared" si="46"/>
        <v>-2.2040560316162885E-2</v>
      </c>
      <c r="G1304">
        <f t="shared" si="47"/>
        <v>-3.5290024347013088E-2</v>
      </c>
    </row>
    <row r="1305" spans="1:144" x14ac:dyDescent="0.35">
      <c r="A1305" t="s">
        <v>77</v>
      </c>
      <c r="E1305">
        <v>1.1902623625063101E-2</v>
      </c>
      <c r="F1305">
        <f t="shared" si="46"/>
        <v>-2.2040733759117349E-2</v>
      </c>
      <c r="G1305">
        <f t="shared" si="47"/>
        <v>-3.5290024347013088E-2</v>
      </c>
    </row>
    <row r="1306" spans="1:144" x14ac:dyDescent="0.35">
      <c r="A1306" t="s">
        <v>77</v>
      </c>
      <c r="E1306">
        <v>-8.0941440177084625E-3</v>
      </c>
      <c r="F1306">
        <f t="shared" si="46"/>
        <v>-2.2040907202071813E-2</v>
      </c>
      <c r="G1306">
        <f t="shared" si="47"/>
        <v>-3.5290024347013088E-2</v>
      </c>
    </row>
    <row r="1307" spans="1:144" x14ac:dyDescent="0.35">
      <c r="A1307" t="s">
        <v>77</v>
      </c>
      <c r="E1307">
        <v>-1.0634394177799048E-2</v>
      </c>
      <c r="F1307">
        <f t="shared" si="46"/>
        <v>-2.204108064502628E-2</v>
      </c>
      <c r="G1307">
        <f t="shared" si="47"/>
        <v>-3.5290024347013088E-2</v>
      </c>
    </row>
    <row r="1308" spans="1:144" x14ac:dyDescent="0.35">
      <c r="A1308" t="s">
        <v>77</v>
      </c>
      <c r="E1308">
        <v>3.659627704582607E-3</v>
      </c>
      <c r="F1308">
        <f t="shared" si="46"/>
        <v>-2.2041254087980744E-2</v>
      </c>
      <c r="G1308">
        <f t="shared" si="47"/>
        <v>-3.5290024347013088E-2</v>
      </c>
    </row>
    <row r="1309" spans="1:144" x14ac:dyDescent="0.35">
      <c r="A1309" t="s">
        <v>77</v>
      </c>
      <c r="E1309">
        <v>1.1951323790971753E-2</v>
      </c>
      <c r="F1309">
        <f t="shared" si="46"/>
        <v>-2.2041427530935208E-2</v>
      </c>
      <c r="G1309">
        <f t="shared" si="47"/>
        <v>-3.5290024347013088E-2</v>
      </c>
    </row>
    <row r="1310" spans="1:144" x14ac:dyDescent="0.35">
      <c r="A1310" t="s">
        <v>77</v>
      </c>
      <c r="E1310">
        <v>-4.4573597384593346E-3</v>
      </c>
      <c r="F1310">
        <f t="shared" si="46"/>
        <v>-2.2041600973889672E-2</v>
      </c>
      <c r="G1310">
        <f t="shared" si="47"/>
        <v>-3.5290024347013088E-2</v>
      </c>
    </row>
    <row r="1311" spans="1:144" s="3" customFormat="1" x14ac:dyDescent="0.35">
      <c r="A1311" s="3" t="s">
        <v>78</v>
      </c>
      <c r="B1311" s="3" cm="1">
        <f t="array" ref="B1311">_xlfn.STDEV.S(_xlfn._xlws.FILTER($E$1000:$E$1998, $A$1000:$A$1998="2015-04"))</f>
        <v>1.2365576586859175E-2</v>
      </c>
      <c r="C1311" s="3" cm="1">
        <f t="array" ref="C1311">AVERAGE(_xlfn._xlws.FILTER($E$1000:$E$1998, $A$1000:$A$1998="2015-04"))</f>
        <v>-2.4154510876379375E-4</v>
      </c>
      <c r="D1311" s="3" cm="1">
        <f t="array" ref="D1311">_xlfn.PERCENTILE.EXC(_xlfn._xlws.FILTER($E$1000:$E$1497, $A$1000:$A$1497="2015-04"), 0.05)</f>
        <v>-2.4234007980894767E-2</v>
      </c>
      <c r="E1311" s="3">
        <v>8.6796280831446197E-3</v>
      </c>
      <c r="F1311" s="3">
        <f t="shared" si="46"/>
        <v>-2.2041774416844139E-2</v>
      </c>
      <c r="G1311" s="3">
        <f t="shared" si="47"/>
        <v>-3.5290024347013088E-2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</row>
    <row r="1312" spans="1:144" x14ac:dyDescent="0.35">
      <c r="A1312" t="s">
        <v>78</v>
      </c>
      <c r="E1312">
        <v>-2.1625327278965924E-3</v>
      </c>
      <c r="F1312">
        <f t="shared" si="46"/>
        <v>-2.2041947859798603E-2</v>
      </c>
      <c r="G1312">
        <f t="shared" si="47"/>
        <v>-3.5290024347013088E-2</v>
      </c>
    </row>
    <row r="1313" spans="1:7" x14ac:dyDescent="0.35">
      <c r="A1313" t="s">
        <v>78</v>
      </c>
      <c r="E1313">
        <v>1.6923134918997752E-2</v>
      </c>
      <c r="F1313">
        <f t="shared" si="46"/>
        <v>-2.2042121302753067E-2</v>
      </c>
      <c r="G1313">
        <f t="shared" si="47"/>
        <v>-3.5290024347013088E-2</v>
      </c>
    </row>
    <row r="1314" spans="1:7" x14ac:dyDescent="0.35">
      <c r="A1314" t="s">
        <v>78</v>
      </c>
      <c r="E1314">
        <v>-5.3987607929573663E-3</v>
      </c>
      <c r="F1314">
        <f t="shared" si="46"/>
        <v>-2.2042294745707531E-2</v>
      </c>
      <c r="G1314">
        <f t="shared" si="47"/>
        <v>-3.5290024347013088E-2</v>
      </c>
    </row>
    <row r="1315" spans="1:7" x14ac:dyDescent="0.35">
      <c r="A1315" t="s">
        <v>78</v>
      </c>
      <c r="E1315">
        <v>9.5056706770709435E-3</v>
      </c>
      <c r="F1315">
        <f t="shared" si="46"/>
        <v>-2.2042468188661998E-2</v>
      </c>
      <c r="G1315">
        <f t="shared" si="47"/>
        <v>-3.5290024347013088E-2</v>
      </c>
    </row>
    <row r="1316" spans="1:7" x14ac:dyDescent="0.35">
      <c r="A1316" t="s">
        <v>78</v>
      </c>
      <c r="E1316">
        <v>3.0766899649459422E-3</v>
      </c>
      <c r="F1316">
        <f t="shared" si="46"/>
        <v>-2.2042641631616462E-2</v>
      </c>
      <c r="G1316">
        <f t="shared" si="47"/>
        <v>-3.5290024347013088E-2</v>
      </c>
    </row>
    <row r="1317" spans="1:7" x14ac:dyDescent="0.35">
      <c r="A1317" t="s">
        <v>78</v>
      </c>
      <c r="E1317">
        <v>5.4988886876141509E-3</v>
      </c>
      <c r="F1317">
        <f t="shared" si="46"/>
        <v>-2.2042815074570926E-2</v>
      </c>
      <c r="G1317">
        <f t="shared" si="47"/>
        <v>-3.5290024347013088E-2</v>
      </c>
    </row>
    <row r="1318" spans="1:7" x14ac:dyDescent="0.35">
      <c r="A1318" t="s">
        <v>78</v>
      </c>
      <c r="E1318">
        <v>-1.0719962161011957E-2</v>
      </c>
      <c r="F1318">
        <f t="shared" si="46"/>
        <v>-2.204298851752539E-2</v>
      </c>
      <c r="G1318">
        <f t="shared" si="47"/>
        <v>-3.5290024347013088E-2</v>
      </c>
    </row>
    <row r="1319" spans="1:7" x14ac:dyDescent="0.35">
      <c r="A1319" t="s">
        <v>78</v>
      </c>
      <c r="E1319">
        <v>1.1620472115296696E-2</v>
      </c>
      <c r="F1319">
        <f t="shared" si="46"/>
        <v>-2.2043161960479857E-2</v>
      </c>
      <c r="G1319">
        <f t="shared" si="47"/>
        <v>-3.5290024347013088E-2</v>
      </c>
    </row>
    <row r="1320" spans="1:7" x14ac:dyDescent="0.35">
      <c r="A1320" t="s">
        <v>78</v>
      </c>
      <c r="E1320">
        <v>-1.7620863400244047E-2</v>
      </c>
      <c r="F1320">
        <f t="shared" si="46"/>
        <v>-2.2043335403434321E-2</v>
      </c>
      <c r="G1320">
        <f t="shared" si="47"/>
        <v>-3.5290024347013088E-2</v>
      </c>
    </row>
    <row r="1321" spans="1:7" x14ac:dyDescent="0.35">
      <c r="A1321" t="s">
        <v>78</v>
      </c>
      <c r="E1321">
        <v>-2.4295754522135067E-2</v>
      </c>
      <c r="F1321">
        <f t="shared" si="46"/>
        <v>-2.2058362593330376E-2</v>
      </c>
      <c r="G1321">
        <f t="shared" si="47"/>
        <v>-3.5396852483654852E-2</v>
      </c>
    </row>
    <row r="1322" spans="1:7" x14ac:dyDescent="0.35">
      <c r="A1322" t="s">
        <v>78</v>
      </c>
      <c r="E1322">
        <v>1.2458906925830905E-2</v>
      </c>
      <c r="F1322">
        <f t="shared" si="46"/>
        <v>-2.2040213430253953E-2</v>
      </c>
      <c r="G1322">
        <f t="shared" si="47"/>
        <v>-3.5378687813342753E-2</v>
      </c>
    </row>
    <row r="1323" spans="1:7" x14ac:dyDescent="0.35">
      <c r="A1323" t="s">
        <v>78</v>
      </c>
      <c r="E1323">
        <v>-3.9816908807495024E-3</v>
      </c>
      <c r="F1323">
        <f t="shared" si="46"/>
        <v>-2.2040386873208421E-2</v>
      </c>
      <c r="G1323">
        <f t="shared" si="47"/>
        <v>-3.5378687813342753E-2</v>
      </c>
    </row>
    <row r="1324" spans="1:7" x14ac:dyDescent="0.35">
      <c r="A1324" t="s">
        <v>78</v>
      </c>
      <c r="E1324">
        <v>3.2279669215353264E-3</v>
      </c>
      <c r="F1324">
        <f t="shared" si="46"/>
        <v>-2.2040560316162885E-2</v>
      </c>
      <c r="G1324">
        <f t="shared" si="47"/>
        <v>-3.5378687813342753E-2</v>
      </c>
    </row>
    <row r="1325" spans="1:7" x14ac:dyDescent="0.35">
      <c r="A1325" t="s">
        <v>78</v>
      </c>
      <c r="E1325">
        <v>-4.9863770453128873E-3</v>
      </c>
      <c r="F1325">
        <f t="shared" si="46"/>
        <v>-2.2040733759117349E-2</v>
      </c>
      <c r="G1325">
        <f t="shared" si="47"/>
        <v>-3.5378687813342753E-2</v>
      </c>
    </row>
    <row r="1326" spans="1:7" x14ac:dyDescent="0.35">
      <c r="A1326" t="s">
        <v>78</v>
      </c>
      <c r="E1326">
        <v>9.7764338585866507E-3</v>
      </c>
      <c r="F1326">
        <f t="shared" si="46"/>
        <v>-2.2040907202071813E-2</v>
      </c>
      <c r="G1326">
        <f t="shared" si="47"/>
        <v>-3.5378687813342753E-2</v>
      </c>
    </row>
    <row r="1327" spans="1:7" x14ac:dyDescent="0.35">
      <c r="A1327" t="s">
        <v>78</v>
      </c>
      <c r="E1327">
        <v>1.6044848096428484E-2</v>
      </c>
      <c r="F1327">
        <f t="shared" si="46"/>
        <v>-2.204108064502628E-2</v>
      </c>
      <c r="G1327">
        <f t="shared" si="47"/>
        <v>-3.5378687813342753E-2</v>
      </c>
    </row>
    <row r="1328" spans="1:7" x14ac:dyDescent="0.35">
      <c r="A1328" t="s">
        <v>78</v>
      </c>
      <c r="E1328">
        <v>-1.1583969785747989E-2</v>
      </c>
      <c r="F1328">
        <f t="shared" si="46"/>
        <v>-2.2041254087980744E-2</v>
      </c>
      <c r="G1328">
        <f t="shared" si="47"/>
        <v>-3.5378687813342753E-2</v>
      </c>
    </row>
    <row r="1329" spans="1:144" x14ac:dyDescent="0.35">
      <c r="A1329" t="s">
        <v>78</v>
      </c>
      <c r="E1329">
        <v>-2.306082369732905E-2</v>
      </c>
      <c r="F1329">
        <f t="shared" si="46"/>
        <v>-2.2041427530935208E-2</v>
      </c>
      <c r="G1329">
        <f t="shared" si="47"/>
        <v>-3.5378687813342753E-2</v>
      </c>
    </row>
    <row r="1330" spans="1:144" x14ac:dyDescent="0.35">
      <c r="A1330" t="s">
        <v>78</v>
      </c>
      <c r="E1330">
        <v>2.1671925886571006E-3</v>
      </c>
      <c r="F1330">
        <f t="shared" si="46"/>
        <v>-2.1861851570825055E-2</v>
      </c>
      <c r="G1330">
        <f t="shared" si="47"/>
        <v>-3.5370454287915458E-2</v>
      </c>
    </row>
    <row r="1331" spans="1:144" s="3" customFormat="1" x14ac:dyDescent="0.35">
      <c r="A1331" s="3" t="s">
        <v>79</v>
      </c>
      <c r="B1331" s="3" cm="1">
        <f t="array" ref="B1331">_xlfn.STDEV.S(_xlfn._xlws.FILTER($E$1000:$E$1998, $A$1000:$A$1998="2015-05"))</f>
        <v>1.3007038425330061E-2</v>
      </c>
      <c r="C1331" s="3" cm="1">
        <f t="array" ref="C1331">AVERAGE(_xlfn._xlws.FILTER($E$1000:$E$1998, $A$1000:$A$1998="2015-05"))</f>
        <v>1.0747324443662648E-3</v>
      </c>
      <c r="D1331" s="3" cm="1">
        <f t="array" ref="D1331">_xlfn.PERCENTILE.INC(_xlfn._xlws.FILTER($E$1000:$E$1497, $A$1000:$A$1497="2015-05"), 0.05)</f>
        <v>-1.9499111083468544E-2</v>
      </c>
      <c r="E1331" s="3">
        <v>-2.0568492286007781E-2</v>
      </c>
      <c r="F1331" s="3">
        <f t="shared" si="46"/>
        <v>-2.187965306817705E-2</v>
      </c>
      <c r="G1331" s="3">
        <f t="shared" si="47"/>
        <v>-3.5370454287915458E-2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</row>
    <row r="1332" spans="1:144" x14ac:dyDescent="0.35">
      <c r="A1332" t="s">
        <v>79</v>
      </c>
      <c r="E1332">
        <v>3.6917378044398251E-3</v>
      </c>
      <c r="F1332">
        <f t="shared" si="46"/>
        <v>-2.1897454565529047E-2</v>
      </c>
      <c r="G1332">
        <f t="shared" si="47"/>
        <v>-3.5370454287915458E-2</v>
      </c>
    </row>
    <row r="1333" spans="1:144" x14ac:dyDescent="0.35">
      <c r="A1333" t="s">
        <v>79</v>
      </c>
      <c r="E1333">
        <v>8.0028083180425525E-3</v>
      </c>
      <c r="F1333">
        <f t="shared" si="46"/>
        <v>-2.1915256062881042E-2</v>
      </c>
      <c r="G1333">
        <f t="shared" si="47"/>
        <v>-3.5370454287915458E-2</v>
      </c>
    </row>
    <row r="1334" spans="1:144" x14ac:dyDescent="0.35">
      <c r="A1334" t="s">
        <v>79</v>
      </c>
      <c r="E1334">
        <v>2.0389250416566217E-2</v>
      </c>
      <c r="F1334">
        <f t="shared" si="46"/>
        <v>-2.1933057560233039E-2</v>
      </c>
      <c r="G1334">
        <f t="shared" si="47"/>
        <v>-3.5370454287915458E-2</v>
      </c>
    </row>
    <row r="1335" spans="1:144" x14ac:dyDescent="0.35">
      <c r="A1335" t="s">
        <v>79</v>
      </c>
      <c r="E1335">
        <v>4.0442344586059264E-4</v>
      </c>
      <c r="F1335">
        <f t="shared" si="46"/>
        <v>-2.1950859057585041E-2</v>
      </c>
      <c r="G1335">
        <f t="shared" si="47"/>
        <v>-3.5370454287915458E-2</v>
      </c>
    </row>
    <row r="1336" spans="1:144" x14ac:dyDescent="0.35">
      <c r="A1336" t="s">
        <v>79</v>
      </c>
      <c r="E1336">
        <v>-9.3477003457939044E-3</v>
      </c>
      <c r="F1336">
        <f t="shared" si="46"/>
        <v>-2.1968660554937035E-2</v>
      </c>
      <c r="G1336">
        <f t="shared" si="47"/>
        <v>-3.5370454287915458E-2</v>
      </c>
    </row>
    <row r="1337" spans="1:144" x14ac:dyDescent="0.35">
      <c r="A1337" t="s">
        <v>79</v>
      </c>
      <c r="E1337">
        <v>4.5815939253348054E-3</v>
      </c>
      <c r="F1337">
        <f t="shared" si="46"/>
        <v>-2.1986462052289032E-2</v>
      </c>
      <c r="G1337">
        <f t="shared" si="47"/>
        <v>-3.5370454287915458E-2</v>
      </c>
    </row>
    <row r="1338" spans="1:144" x14ac:dyDescent="0.35">
      <c r="A1338" t="s">
        <v>79</v>
      </c>
      <c r="E1338">
        <v>1.4440934314562922E-2</v>
      </c>
      <c r="F1338">
        <f t="shared" si="46"/>
        <v>-2.2004263549641027E-2</v>
      </c>
      <c r="G1338">
        <f t="shared" si="47"/>
        <v>-3.5370454287915458E-2</v>
      </c>
    </row>
    <row r="1339" spans="1:144" x14ac:dyDescent="0.35">
      <c r="A1339" t="s">
        <v>79</v>
      </c>
      <c r="E1339">
        <v>-3.1955248200251402E-3</v>
      </c>
      <c r="F1339">
        <f t="shared" si="46"/>
        <v>-2.2022065046993024E-2</v>
      </c>
      <c r="G1339">
        <f t="shared" si="47"/>
        <v>-3.5370454287915458E-2</v>
      </c>
    </row>
    <row r="1340" spans="1:144" x14ac:dyDescent="0.35">
      <c r="A1340" t="s">
        <v>79</v>
      </c>
      <c r="E1340">
        <v>-1.1800042471665897E-2</v>
      </c>
      <c r="F1340">
        <f t="shared" si="46"/>
        <v>-2.2039866544345026E-2</v>
      </c>
      <c r="G1340">
        <f t="shared" si="47"/>
        <v>-3.5370454287915458E-2</v>
      </c>
    </row>
    <row r="1341" spans="1:144" x14ac:dyDescent="0.35">
      <c r="A1341" t="s">
        <v>79</v>
      </c>
      <c r="E1341">
        <v>2.1964006586908794E-2</v>
      </c>
      <c r="F1341">
        <f t="shared" si="46"/>
        <v>-2.204003998729949E-2</v>
      </c>
      <c r="G1341">
        <f t="shared" si="47"/>
        <v>-3.5478833050058306E-2</v>
      </c>
    </row>
    <row r="1342" spans="1:144" x14ac:dyDescent="0.35">
      <c r="A1342" t="s">
        <v>79</v>
      </c>
      <c r="E1342">
        <v>2.4996922623023985E-3</v>
      </c>
      <c r="F1342">
        <f t="shared" si="46"/>
        <v>-2.2040213430253953E-2</v>
      </c>
      <c r="G1342">
        <f t="shared" si="47"/>
        <v>-3.5478833050058306E-2</v>
      </c>
    </row>
    <row r="1343" spans="1:144" x14ac:dyDescent="0.35">
      <c r="A1343" t="s">
        <v>79</v>
      </c>
      <c r="E1343">
        <v>-1.3857466495205831E-3</v>
      </c>
      <c r="F1343">
        <f t="shared" si="46"/>
        <v>-2.2040386873208421E-2</v>
      </c>
      <c r="G1343">
        <f t="shared" si="47"/>
        <v>-3.5478833050058306E-2</v>
      </c>
    </row>
    <row r="1344" spans="1:144" x14ac:dyDescent="0.35">
      <c r="A1344" t="s">
        <v>79</v>
      </c>
      <c r="E1344">
        <v>1.771410312272128E-3</v>
      </c>
      <c r="F1344">
        <f t="shared" si="46"/>
        <v>-2.2040560316162885E-2</v>
      </c>
      <c r="G1344">
        <f t="shared" si="47"/>
        <v>-3.5478833050058306E-2</v>
      </c>
    </row>
    <row r="1345" spans="1:144" x14ac:dyDescent="0.35">
      <c r="A1345" t="s">
        <v>79</v>
      </c>
      <c r="E1345">
        <v>-1.9310396753608679E-2</v>
      </c>
      <c r="F1345">
        <f t="shared" si="46"/>
        <v>-2.2040733759117349E-2</v>
      </c>
      <c r="G1345">
        <f t="shared" si="47"/>
        <v>-3.5478833050058306E-2</v>
      </c>
    </row>
    <row r="1346" spans="1:144" x14ac:dyDescent="0.35">
      <c r="A1346" t="s">
        <v>79</v>
      </c>
      <c r="E1346">
        <v>2.2638916067828946E-2</v>
      </c>
      <c r="F1346">
        <f t="shared" si="46"/>
        <v>-2.2040907202071813E-2</v>
      </c>
      <c r="G1346">
        <f t="shared" si="47"/>
        <v>-3.5478833050058306E-2</v>
      </c>
    </row>
    <row r="1347" spans="1:144" x14ac:dyDescent="0.35">
      <c r="A1347" t="s">
        <v>79</v>
      </c>
      <c r="E1347">
        <v>-4.9129185556500386E-3</v>
      </c>
      <c r="F1347">
        <f t="shared" si="46"/>
        <v>-2.204108064502628E-2</v>
      </c>
      <c r="G1347">
        <f t="shared" si="47"/>
        <v>-3.5478833050058306E-2</v>
      </c>
    </row>
    <row r="1348" spans="1:144" x14ac:dyDescent="0.35">
      <c r="A1348" t="s">
        <v>79</v>
      </c>
      <c r="E1348">
        <v>-1.051876757325439E-2</v>
      </c>
      <c r="F1348">
        <f t="shared" ref="F1348:F1411" si="48">_xlfn.PERCENTILE.EXC(E1348:E5163,0.05)</f>
        <v>-2.2041254087980744E-2</v>
      </c>
      <c r="G1348">
        <f t="shared" ref="G1348:G1411" si="49">AVERAGEIFS(E1348:E5164,E1348:E5164,"&lt;=" &amp; F1348)</f>
        <v>-3.5478833050058306E-2</v>
      </c>
    </row>
    <row r="1349" spans="1:144" s="3" customFormat="1" x14ac:dyDescent="0.35">
      <c r="A1349" s="3" t="s">
        <v>80</v>
      </c>
      <c r="B1349" s="3" cm="1">
        <f t="array" ref="B1349">_xlfn.STDEV.S(_xlfn._xlws.FILTER($E$1000:$E$1998, $A$1000:$A$1998="2015-06"))</f>
        <v>1.7537890925767755E-2</v>
      </c>
      <c r="C1349" s="3" cm="1">
        <f t="array" ref="C1349">AVERAGE(_xlfn._xlws.FILTER($E$1000:$E$1998, $A$1000:$A$1998="2015-06"))</f>
        <v>-2.0476824499648595E-3</v>
      </c>
      <c r="D1349" s="3" cm="1">
        <f t="array" ref="D1349">_xlfn.PERCENTILE.EXC(_xlfn._xlws.FILTER($E$1000:$E$1497, $A$1000:$A$1497="2015-06"), 0.05)</f>
        <v>-4.8771750748442234E-2</v>
      </c>
      <c r="E1349" s="3">
        <v>-2.5573537818853083E-3</v>
      </c>
      <c r="F1349" s="3">
        <f t="shared" si="48"/>
        <v>-2.2041427530935208E-2</v>
      </c>
      <c r="G1349" s="3">
        <f t="shared" si="49"/>
        <v>-3.5478833050058306E-2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</row>
    <row r="1350" spans="1:144" x14ac:dyDescent="0.35">
      <c r="A1350" t="s">
        <v>80</v>
      </c>
      <c r="E1350">
        <v>5.9768112927433828E-3</v>
      </c>
      <c r="F1350">
        <f t="shared" si="48"/>
        <v>-2.2041600973889672E-2</v>
      </c>
      <c r="G1350">
        <f t="shared" si="49"/>
        <v>-3.5478833050058306E-2</v>
      </c>
    </row>
    <row r="1351" spans="1:144" x14ac:dyDescent="0.35">
      <c r="A1351" t="s">
        <v>80</v>
      </c>
      <c r="E1351">
        <v>1.3847626213581645E-3</v>
      </c>
      <c r="F1351">
        <f t="shared" si="48"/>
        <v>-2.2041774416844139E-2</v>
      </c>
      <c r="G1351">
        <f t="shared" si="49"/>
        <v>-3.5478833050058306E-2</v>
      </c>
    </row>
    <row r="1352" spans="1:144" x14ac:dyDescent="0.35">
      <c r="A1352" t="s">
        <v>80</v>
      </c>
      <c r="E1352">
        <v>-1.1602136137716174E-2</v>
      </c>
      <c r="F1352">
        <f t="shared" si="48"/>
        <v>-2.2041947859798603E-2</v>
      </c>
      <c r="G1352">
        <f t="shared" si="49"/>
        <v>-3.5478833050058306E-2</v>
      </c>
    </row>
    <row r="1353" spans="1:144" x14ac:dyDescent="0.35">
      <c r="A1353" t="s">
        <v>80</v>
      </c>
      <c r="E1353">
        <v>-2.1183959273285563E-2</v>
      </c>
      <c r="F1353">
        <f t="shared" si="48"/>
        <v>-2.2042121302753067E-2</v>
      </c>
      <c r="G1353">
        <f t="shared" si="49"/>
        <v>-3.5478833050058306E-2</v>
      </c>
    </row>
    <row r="1354" spans="1:144" x14ac:dyDescent="0.35">
      <c r="A1354" t="s">
        <v>80</v>
      </c>
      <c r="E1354">
        <v>-9.0153025556067561E-3</v>
      </c>
      <c r="F1354">
        <f t="shared" si="48"/>
        <v>-2.2042294745707531E-2</v>
      </c>
      <c r="G1354">
        <f t="shared" si="49"/>
        <v>-3.5478833050058306E-2</v>
      </c>
    </row>
    <row r="1355" spans="1:144" x14ac:dyDescent="0.35">
      <c r="A1355" t="s">
        <v>80</v>
      </c>
      <c r="E1355">
        <v>-5.084387111832519E-3</v>
      </c>
      <c r="F1355">
        <f t="shared" si="48"/>
        <v>-2.2042468188661998E-2</v>
      </c>
      <c r="G1355">
        <f t="shared" si="49"/>
        <v>-3.5478833050058306E-2</v>
      </c>
    </row>
    <row r="1356" spans="1:144" x14ac:dyDescent="0.35">
      <c r="A1356" t="s">
        <v>80</v>
      </c>
      <c r="E1356">
        <v>2.4729141866148774E-2</v>
      </c>
      <c r="F1356">
        <f t="shared" si="48"/>
        <v>-2.2042641631616462E-2</v>
      </c>
      <c r="G1356">
        <f t="shared" si="49"/>
        <v>-3.5478833050058306E-2</v>
      </c>
    </row>
    <row r="1357" spans="1:144" x14ac:dyDescent="0.35">
      <c r="A1357" t="s">
        <v>80</v>
      </c>
      <c r="E1357">
        <v>3.4951746237584431E-3</v>
      </c>
      <c r="F1357">
        <f t="shared" si="48"/>
        <v>-2.2042815074570926E-2</v>
      </c>
      <c r="G1357">
        <f t="shared" si="49"/>
        <v>-3.5478833050058306E-2</v>
      </c>
    </row>
    <row r="1358" spans="1:144" x14ac:dyDescent="0.35">
      <c r="A1358" t="s">
        <v>80</v>
      </c>
      <c r="E1358">
        <v>-1.2791880860558593E-2</v>
      </c>
      <c r="F1358">
        <f t="shared" si="48"/>
        <v>-2.204298851752539E-2</v>
      </c>
      <c r="G1358">
        <f t="shared" si="49"/>
        <v>-3.5478833050058306E-2</v>
      </c>
    </row>
    <row r="1359" spans="1:144" x14ac:dyDescent="0.35">
      <c r="A1359" t="s">
        <v>80</v>
      </c>
      <c r="E1359">
        <v>-2.432460530967559E-2</v>
      </c>
      <c r="F1359">
        <f t="shared" si="48"/>
        <v>-2.2043161960479857E-2</v>
      </c>
      <c r="G1359">
        <f t="shared" si="49"/>
        <v>-3.5478833050058306E-2</v>
      </c>
    </row>
    <row r="1360" spans="1:144" x14ac:dyDescent="0.35">
      <c r="A1360" t="s">
        <v>80</v>
      </c>
      <c r="E1360">
        <v>2.4803469365237518E-3</v>
      </c>
      <c r="F1360">
        <f t="shared" si="48"/>
        <v>-2.2039866544345026E-2</v>
      </c>
      <c r="G1360">
        <f t="shared" si="49"/>
        <v>-3.546025793814505E-2</v>
      </c>
    </row>
    <row r="1361" spans="1:144" x14ac:dyDescent="0.35">
      <c r="A1361" t="s">
        <v>80</v>
      </c>
      <c r="E1361">
        <v>-7.1027057152184608E-3</v>
      </c>
      <c r="F1361">
        <f t="shared" si="48"/>
        <v>-2.204003998729949E-2</v>
      </c>
      <c r="G1361">
        <f t="shared" si="49"/>
        <v>-3.557026114629095E-2</v>
      </c>
    </row>
    <row r="1362" spans="1:144" x14ac:dyDescent="0.35">
      <c r="A1362" t="s">
        <v>80</v>
      </c>
      <c r="E1362">
        <v>1.0516358722984427E-2</v>
      </c>
      <c r="F1362">
        <f t="shared" si="48"/>
        <v>-2.2040213430253953E-2</v>
      </c>
      <c r="G1362">
        <f t="shared" si="49"/>
        <v>-3.557026114629095E-2</v>
      </c>
    </row>
    <row r="1363" spans="1:144" x14ac:dyDescent="0.35">
      <c r="A1363" t="s">
        <v>80</v>
      </c>
      <c r="E1363">
        <v>1.0600331016411392E-2</v>
      </c>
      <c r="F1363">
        <f t="shared" si="48"/>
        <v>-2.2040386873208421E-2</v>
      </c>
      <c r="G1363">
        <f t="shared" si="49"/>
        <v>-3.557026114629095E-2</v>
      </c>
    </row>
    <row r="1364" spans="1:144" x14ac:dyDescent="0.35">
      <c r="A1364" t="s">
        <v>80</v>
      </c>
      <c r="E1364">
        <v>3.4065199214489181E-2</v>
      </c>
      <c r="F1364">
        <f t="shared" si="48"/>
        <v>-2.2040560316162885E-2</v>
      </c>
      <c r="G1364">
        <f t="shared" si="49"/>
        <v>-3.557026114629095E-2</v>
      </c>
    </row>
    <row r="1365" spans="1:144" x14ac:dyDescent="0.35">
      <c r="A1365" t="s">
        <v>80</v>
      </c>
      <c r="E1365">
        <v>3.4556663905760837E-3</v>
      </c>
      <c r="F1365">
        <f t="shared" si="48"/>
        <v>-2.2040733759117349E-2</v>
      </c>
      <c r="G1365">
        <f t="shared" si="49"/>
        <v>-3.557026114629095E-2</v>
      </c>
    </row>
    <row r="1366" spans="1:144" x14ac:dyDescent="0.35">
      <c r="A1366" t="s">
        <v>80</v>
      </c>
      <c r="E1366">
        <v>-5.2831075744446104E-3</v>
      </c>
      <c r="F1366">
        <f t="shared" si="48"/>
        <v>-2.2040907202071813E-2</v>
      </c>
      <c r="G1366">
        <f t="shared" si="49"/>
        <v>-3.557026114629095E-2</v>
      </c>
    </row>
    <row r="1367" spans="1:144" x14ac:dyDescent="0.35">
      <c r="A1367" t="s">
        <v>80</v>
      </c>
      <c r="E1367">
        <v>8.4760866711381284E-3</v>
      </c>
      <c r="F1367">
        <f t="shared" si="48"/>
        <v>-2.204108064502628E-2</v>
      </c>
      <c r="G1367">
        <f t="shared" si="49"/>
        <v>-3.557026114629095E-2</v>
      </c>
    </row>
    <row r="1368" spans="1:144" x14ac:dyDescent="0.35">
      <c r="A1368" t="s">
        <v>80</v>
      </c>
      <c r="E1368">
        <v>6.6543128815806183E-3</v>
      </c>
      <c r="F1368">
        <f t="shared" si="48"/>
        <v>-2.2041254087980744E-2</v>
      </c>
      <c r="G1368">
        <f t="shared" si="49"/>
        <v>-3.557026114629095E-2</v>
      </c>
    </row>
    <row r="1369" spans="1:144" x14ac:dyDescent="0.35">
      <c r="A1369" t="s">
        <v>80</v>
      </c>
      <c r="E1369">
        <v>-5.3085952884695177E-2</v>
      </c>
      <c r="F1369">
        <f t="shared" si="48"/>
        <v>-2.2041427530935208E-2</v>
      </c>
      <c r="G1369">
        <f t="shared" si="49"/>
        <v>-3.557026114629095E-2</v>
      </c>
    </row>
    <row r="1370" spans="1:144" x14ac:dyDescent="0.35">
      <c r="A1370" t="s">
        <v>80</v>
      </c>
      <c r="E1370">
        <v>-4.8518149320204984E-3</v>
      </c>
      <c r="F1370">
        <f t="shared" si="48"/>
        <v>-2.1861851570825055E-2</v>
      </c>
      <c r="G1370">
        <f t="shared" si="49"/>
        <v>-3.5315785028747097E-2</v>
      </c>
    </row>
    <row r="1371" spans="1:144" s="3" customFormat="1" x14ac:dyDescent="0.35">
      <c r="A1371" s="3" t="s">
        <v>81</v>
      </c>
      <c r="B1371" s="3" cm="1">
        <f t="array" ref="B1371">_xlfn.STDEV.S(_xlfn._xlws.FILTER($E$1000:$E$1998, $A$1000:$A$1998="2015-07"))</f>
        <v>1.9450891065686135E-2</v>
      </c>
      <c r="C1371" s="3" cm="1">
        <f t="array" ref="C1371">AVERAGE(_xlfn._xlws.FILTER($E$1000:$E$1998, $A$1000:$A$1998="2015-07"))</f>
        <v>2.0369500184594424E-3</v>
      </c>
      <c r="D1371" s="3" cm="1">
        <f t="array" ref="D1371">_xlfn.PERCENTILE.EXC(_xlfn._xlws.FILTER($E$1000:$E$1497, $A$1000:$A$1497="2015-07"), 0.05)</f>
        <v>-3.8956605794239166E-2</v>
      </c>
      <c r="E1371" s="3">
        <v>2.127321335265972E-2</v>
      </c>
      <c r="F1371" s="3">
        <f t="shared" si="48"/>
        <v>-2.187965306817705E-2</v>
      </c>
      <c r="G1371" s="3">
        <f t="shared" si="49"/>
        <v>-3.5315785028747097E-2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</row>
    <row r="1372" spans="1:144" x14ac:dyDescent="0.35">
      <c r="A1372" t="s">
        <v>81</v>
      </c>
      <c r="E1372">
        <v>-1.4361045528687302E-2</v>
      </c>
      <c r="F1372">
        <f t="shared" si="48"/>
        <v>-2.1897454565529047E-2</v>
      </c>
      <c r="G1372">
        <f t="shared" si="49"/>
        <v>-3.5315785028747097E-2</v>
      </c>
    </row>
    <row r="1373" spans="1:144" x14ac:dyDescent="0.35">
      <c r="A1373" t="s">
        <v>81</v>
      </c>
      <c r="E1373">
        <v>-4.8031511103181369E-3</v>
      </c>
      <c r="F1373">
        <f t="shared" si="48"/>
        <v>-2.1915256062881042E-2</v>
      </c>
      <c r="G1373">
        <f t="shared" si="49"/>
        <v>-3.5315785028747097E-2</v>
      </c>
    </row>
    <row r="1374" spans="1:144" x14ac:dyDescent="0.35">
      <c r="A1374" t="s">
        <v>81</v>
      </c>
      <c r="E1374">
        <v>-4.1149929810630592E-2</v>
      </c>
      <c r="F1374">
        <f t="shared" si="48"/>
        <v>-2.1933057560233039E-2</v>
      </c>
      <c r="G1374">
        <f t="shared" si="49"/>
        <v>-3.5315785028747097E-2</v>
      </c>
    </row>
    <row r="1375" spans="1:144" x14ac:dyDescent="0.35">
      <c r="A1375" t="s">
        <v>81</v>
      </c>
      <c r="E1375">
        <v>-3.0183309728673467E-2</v>
      </c>
      <c r="F1375">
        <f t="shared" si="48"/>
        <v>-2.1672560883609724E-2</v>
      </c>
      <c r="G1375">
        <f t="shared" si="49"/>
        <v>-3.5156226887654254E-2</v>
      </c>
    </row>
    <row r="1376" spans="1:144" x14ac:dyDescent="0.35">
      <c r="A1376" t="s">
        <v>81</v>
      </c>
      <c r="E1376">
        <v>2.6085710479131458E-2</v>
      </c>
      <c r="F1376">
        <f t="shared" si="48"/>
        <v>-2.163557054988401E-2</v>
      </c>
      <c r="G1376">
        <f t="shared" si="49"/>
        <v>-3.5086189379571052E-2</v>
      </c>
    </row>
    <row r="1377" spans="1:7" x14ac:dyDescent="0.35">
      <c r="A1377" t="s">
        <v>81</v>
      </c>
      <c r="E1377">
        <v>3.4544524660818629E-2</v>
      </c>
      <c r="F1377">
        <f t="shared" si="48"/>
        <v>-2.163636134804392E-2</v>
      </c>
      <c r="G1377">
        <f t="shared" si="49"/>
        <v>-3.5086189379571052E-2</v>
      </c>
    </row>
    <row r="1378" spans="1:7" x14ac:dyDescent="0.35">
      <c r="A1378" t="s">
        <v>81</v>
      </c>
      <c r="E1378">
        <v>2.9595193253075098E-2</v>
      </c>
      <c r="F1378">
        <f t="shared" si="48"/>
        <v>-2.163715214620383E-2</v>
      </c>
      <c r="G1378">
        <f t="shared" si="49"/>
        <v>-3.5086189379571052E-2</v>
      </c>
    </row>
    <row r="1379" spans="1:7" x14ac:dyDescent="0.35">
      <c r="A1379" t="s">
        <v>81</v>
      </c>
      <c r="E1379">
        <v>9.9618127484423901E-3</v>
      </c>
      <c r="F1379">
        <f t="shared" si="48"/>
        <v>-2.163794294436374E-2</v>
      </c>
      <c r="G1379">
        <f t="shared" si="49"/>
        <v>-3.5086189379571052E-2</v>
      </c>
    </row>
    <row r="1380" spans="1:7" x14ac:dyDescent="0.35">
      <c r="A1380" t="s">
        <v>81</v>
      </c>
      <c r="E1380">
        <v>-3.0057593707455191E-3</v>
      </c>
      <c r="F1380">
        <f t="shared" si="48"/>
        <v>-2.163873374252365E-2</v>
      </c>
      <c r="G1380">
        <f t="shared" si="49"/>
        <v>-3.5086189379571052E-2</v>
      </c>
    </row>
    <row r="1381" spans="1:7" x14ac:dyDescent="0.35">
      <c r="A1381" t="s">
        <v>81</v>
      </c>
      <c r="E1381">
        <v>1.2701325786929344E-2</v>
      </c>
      <c r="F1381">
        <f t="shared" si="48"/>
        <v>-2.1640988885262721E-2</v>
      </c>
      <c r="G1381">
        <f t="shared" si="49"/>
        <v>-3.5197325376571456E-2</v>
      </c>
    </row>
    <row r="1382" spans="1:7" x14ac:dyDescent="0.35">
      <c r="A1382" t="s">
        <v>81</v>
      </c>
      <c r="E1382">
        <v>1.6550780982972413E-2</v>
      </c>
      <c r="F1382">
        <f t="shared" si="48"/>
        <v>-2.1643244028001794E-2</v>
      </c>
      <c r="G1382">
        <f t="shared" si="49"/>
        <v>-3.5197325376571456E-2</v>
      </c>
    </row>
    <row r="1383" spans="1:7" x14ac:dyDescent="0.35">
      <c r="A1383" t="s">
        <v>81</v>
      </c>
      <c r="E1383">
        <v>-7.4576410097598115E-4</v>
      </c>
      <c r="F1383">
        <f t="shared" si="48"/>
        <v>-2.1645499170740864E-2</v>
      </c>
      <c r="G1383">
        <f t="shared" si="49"/>
        <v>-3.5197325376571456E-2</v>
      </c>
    </row>
    <row r="1384" spans="1:7" x14ac:dyDescent="0.35">
      <c r="A1384" t="s">
        <v>81</v>
      </c>
      <c r="E1384">
        <v>1.1121407774892074E-2</v>
      </c>
      <c r="F1384">
        <f t="shared" si="48"/>
        <v>-2.1647754313479935E-2</v>
      </c>
      <c r="G1384">
        <f t="shared" si="49"/>
        <v>-3.5197325376571456E-2</v>
      </c>
    </row>
    <row r="1385" spans="1:7" x14ac:dyDescent="0.35">
      <c r="A1385" t="s">
        <v>81</v>
      </c>
      <c r="E1385">
        <v>-1.3333366094802778E-2</v>
      </c>
      <c r="F1385">
        <f t="shared" si="48"/>
        <v>-2.1650009456219008E-2</v>
      </c>
      <c r="G1385">
        <f t="shared" si="49"/>
        <v>-3.5197325376571456E-2</v>
      </c>
    </row>
    <row r="1386" spans="1:7" x14ac:dyDescent="0.35">
      <c r="A1386" t="s">
        <v>81</v>
      </c>
      <c r="E1386">
        <v>-1.3415199417665432E-3</v>
      </c>
      <c r="F1386">
        <f t="shared" si="48"/>
        <v>-2.1652264598958079E-2</v>
      </c>
      <c r="G1386">
        <f t="shared" si="49"/>
        <v>-3.5197325376571456E-2</v>
      </c>
    </row>
    <row r="1387" spans="1:7" x14ac:dyDescent="0.35">
      <c r="A1387" t="s">
        <v>81</v>
      </c>
      <c r="E1387">
        <v>-2.0315278356017566E-3</v>
      </c>
      <c r="F1387">
        <f t="shared" si="48"/>
        <v>-2.1654519741697152E-2</v>
      </c>
      <c r="G1387">
        <f t="shared" si="49"/>
        <v>-3.5197325376571456E-2</v>
      </c>
    </row>
    <row r="1388" spans="1:7" x14ac:dyDescent="0.35">
      <c r="A1388" t="s">
        <v>81</v>
      </c>
      <c r="E1388">
        <v>-5.318129025698704E-3</v>
      </c>
      <c r="F1388">
        <f t="shared" si="48"/>
        <v>-2.1656774884436222E-2</v>
      </c>
      <c r="G1388">
        <f t="shared" si="49"/>
        <v>-3.5197325376571456E-2</v>
      </c>
    </row>
    <row r="1389" spans="1:7" x14ac:dyDescent="0.35">
      <c r="A1389" t="s">
        <v>81</v>
      </c>
      <c r="E1389">
        <v>-3.0159679525112455E-2</v>
      </c>
      <c r="F1389">
        <f t="shared" si="48"/>
        <v>-2.1659030027175293E-2</v>
      </c>
      <c r="G1389">
        <f t="shared" si="49"/>
        <v>-3.5197325376571456E-2</v>
      </c>
    </row>
    <row r="1390" spans="1:7" x14ac:dyDescent="0.35">
      <c r="A1390" t="s">
        <v>81</v>
      </c>
      <c r="E1390">
        <v>2.2486865633906766E-2</v>
      </c>
      <c r="F1390">
        <f t="shared" si="48"/>
        <v>-2.1630825760924545E-2</v>
      </c>
      <c r="G1390">
        <f t="shared" si="49"/>
        <v>-3.5126904337045926E-2</v>
      </c>
    </row>
    <row r="1391" spans="1:7" x14ac:dyDescent="0.35">
      <c r="A1391" t="s">
        <v>81</v>
      </c>
      <c r="E1391">
        <v>-3.3973940785319056E-3</v>
      </c>
      <c r="F1391">
        <f t="shared" si="48"/>
        <v>-2.1631616559084459E-2</v>
      </c>
      <c r="G1391">
        <f t="shared" si="49"/>
        <v>-3.5126904337045926E-2</v>
      </c>
    </row>
    <row r="1392" spans="1:7" x14ac:dyDescent="0.35">
      <c r="A1392" t="s">
        <v>81</v>
      </c>
      <c r="E1392">
        <v>6.311095298632499E-3</v>
      </c>
      <c r="F1392">
        <f t="shared" si="48"/>
        <v>-2.1632407357244369E-2</v>
      </c>
      <c r="G1392">
        <f t="shared" si="49"/>
        <v>-3.5126904337045926E-2</v>
      </c>
    </row>
    <row r="1393" spans="1:144" x14ac:dyDescent="0.35">
      <c r="A1393" t="s">
        <v>81</v>
      </c>
      <c r="E1393">
        <v>6.0484966046519305E-3</v>
      </c>
      <c r="F1393">
        <f t="shared" si="48"/>
        <v>-2.1633198155404279E-2</v>
      </c>
      <c r="G1393">
        <f t="shared" si="49"/>
        <v>-3.5126904337045926E-2</v>
      </c>
    </row>
    <row r="1394" spans="1:144" s="3" customFormat="1" x14ac:dyDescent="0.35">
      <c r="A1394" s="3" t="s">
        <v>82</v>
      </c>
      <c r="B1394" s="3" cm="1">
        <f t="array" ref="B1394">_xlfn.STDEV.S(_xlfn._xlws.FILTER($E$1000:$E$1998, $A$1000:$A$1998="2015-08"))</f>
        <v>2.5011986433755479E-2</v>
      </c>
      <c r="C1394" s="3" cm="1">
        <f t="array" ref="C1394">AVERAGE(_xlfn._xlws.FILTER($E$1000:$E$1998, $A$1000:$A$1998="2015-08"))</f>
        <v>-3.3929771788210792E-3</v>
      </c>
      <c r="D1394" s="3" cm="1">
        <f t="array" ref="D1394">_xlfn.PERCENTILE.EXC(_xlfn._xlws.FILTER($E$1000:$E$1497, $A$1000:$A$1497="2015-08"), 0.05)</f>
        <v>-5.9863236092193808E-2</v>
      </c>
      <c r="E1394" s="3">
        <v>7.4642042074875943E-3</v>
      </c>
      <c r="F1394" s="3">
        <f t="shared" si="48"/>
        <v>-2.1633988953564189E-2</v>
      </c>
      <c r="G1394" s="3">
        <f t="shared" si="49"/>
        <v>-3.5126904337045926E-2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</row>
    <row r="1395" spans="1:144" x14ac:dyDescent="0.35">
      <c r="A1395" t="s">
        <v>82</v>
      </c>
      <c r="E1395">
        <v>-1.022014027225009E-2</v>
      </c>
      <c r="F1395">
        <f t="shared" si="48"/>
        <v>-2.1634779751724099E-2</v>
      </c>
      <c r="G1395">
        <f t="shared" si="49"/>
        <v>-3.5126904337045926E-2</v>
      </c>
    </row>
    <row r="1396" spans="1:144" x14ac:dyDescent="0.35">
      <c r="A1396" t="s">
        <v>82</v>
      </c>
      <c r="E1396">
        <v>1.8511004224106932E-2</v>
      </c>
      <c r="F1396">
        <f t="shared" si="48"/>
        <v>-2.163557054988401E-2</v>
      </c>
      <c r="G1396">
        <f t="shared" si="49"/>
        <v>-3.5126904337045926E-2</v>
      </c>
    </row>
    <row r="1397" spans="1:144" x14ac:dyDescent="0.35">
      <c r="A1397" t="s">
        <v>82</v>
      </c>
      <c r="E1397">
        <v>-4.221040613437985E-3</v>
      </c>
      <c r="F1397">
        <f t="shared" si="48"/>
        <v>-2.163636134804392E-2</v>
      </c>
      <c r="G1397">
        <f t="shared" si="49"/>
        <v>-3.5126904337045926E-2</v>
      </c>
    </row>
    <row r="1398" spans="1:144" x14ac:dyDescent="0.35">
      <c r="A1398" t="s">
        <v>82</v>
      </c>
      <c r="E1398">
        <v>-4.4654421812777515E-3</v>
      </c>
      <c r="F1398">
        <f t="shared" si="48"/>
        <v>-2.163715214620383E-2</v>
      </c>
      <c r="G1398">
        <f t="shared" si="49"/>
        <v>-3.5126904337045926E-2</v>
      </c>
    </row>
    <row r="1399" spans="1:144" x14ac:dyDescent="0.35">
      <c r="A1399" t="s">
        <v>82</v>
      </c>
      <c r="E1399">
        <v>1.0968522080114149E-2</v>
      </c>
      <c r="F1399">
        <f t="shared" si="48"/>
        <v>-2.163794294436374E-2</v>
      </c>
      <c r="G1399">
        <f t="shared" si="49"/>
        <v>-3.5126904337045926E-2</v>
      </c>
    </row>
    <row r="1400" spans="1:144" x14ac:dyDescent="0.35">
      <c r="A1400" t="s">
        <v>82</v>
      </c>
      <c r="E1400">
        <v>-1.1243185403043643E-2</v>
      </c>
      <c r="F1400">
        <f t="shared" si="48"/>
        <v>-2.163873374252365E-2</v>
      </c>
      <c r="G1400">
        <f t="shared" si="49"/>
        <v>-3.5126904337045926E-2</v>
      </c>
    </row>
    <row r="1401" spans="1:144" x14ac:dyDescent="0.35">
      <c r="A1401" t="s">
        <v>82</v>
      </c>
      <c r="E1401">
        <v>-3.0023644514976432E-2</v>
      </c>
      <c r="F1401">
        <f t="shared" si="48"/>
        <v>-2.1640988885262721E-2</v>
      </c>
      <c r="G1401">
        <f t="shared" si="49"/>
        <v>-3.5239305758666954E-2</v>
      </c>
    </row>
    <row r="1402" spans="1:144" x14ac:dyDescent="0.35">
      <c r="A1402" t="s">
        <v>82</v>
      </c>
      <c r="E1402">
        <v>1.5466650060529694E-2</v>
      </c>
      <c r="F1402">
        <f t="shared" si="48"/>
        <v>-2.1624499375645263E-2</v>
      </c>
      <c r="G1402">
        <f t="shared" si="49"/>
        <v>-3.5169431502229842E-2</v>
      </c>
    </row>
    <row r="1403" spans="1:144" x14ac:dyDescent="0.35">
      <c r="A1403" t="s">
        <v>82</v>
      </c>
      <c r="E1403">
        <v>-4.612864483442375E-3</v>
      </c>
      <c r="F1403">
        <f t="shared" si="48"/>
        <v>-2.1625290173805174E-2</v>
      </c>
      <c r="G1403">
        <f t="shared" si="49"/>
        <v>-3.5169431502229842E-2</v>
      </c>
    </row>
    <row r="1404" spans="1:144" x14ac:dyDescent="0.35">
      <c r="A1404" t="s">
        <v>82</v>
      </c>
      <c r="E1404">
        <v>6.83594298003964E-3</v>
      </c>
      <c r="F1404">
        <f t="shared" si="48"/>
        <v>-2.1626080971965084E-2</v>
      </c>
      <c r="G1404">
        <f t="shared" si="49"/>
        <v>-3.5169431502229842E-2</v>
      </c>
    </row>
    <row r="1405" spans="1:144" x14ac:dyDescent="0.35">
      <c r="A1405" t="s">
        <v>82</v>
      </c>
      <c r="E1405">
        <v>-7.8080747661403958E-4</v>
      </c>
      <c r="F1405">
        <f t="shared" si="48"/>
        <v>-2.1626871770124994E-2</v>
      </c>
      <c r="G1405">
        <f t="shared" si="49"/>
        <v>-3.5169431502229842E-2</v>
      </c>
    </row>
    <row r="1406" spans="1:144" x14ac:dyDescent="0.35">
      <c r="A1406" t="s">
        <v>82</v>
      </c>
      <c r="E1406">
        <v>-1.7876013269126835E-2</v>
      </c>
      <c r="F1406">
        <f t="shared" si="48"/>
        <v>-2.1627662568284904E-2</v>
      </c>
      <c r="G1406">
        <f t="shared" si="49"/>
        <v>-3.5169431502229842E-2</v>
      </c>
    </row>
    <row r="1407" spans="1:144" x14ac:dyDescent="0.35">
      <c r="A1407" t="s">
        <v>82</v>
      </c>
      <c r="E1407">
        <v>-2.6313216979028164E-2</v>
      </c>
      <c r="F1407">
        <f t="shared" si="48"/>
        <v>-2.1628453366444814E-2</v>
      </c>
      <c r="G1407">
        <f t="shared" si="49"/>
        <v>-3.5169431502229842E-2</v>
      </c>
    </row>
    <row r="1408" spans="1:144" x14ac:dyDescent="0.35">
      <c r="A1408" t="s">
        <v>82</v>
      </c>
      <c r="E1408">
        <v>-2.8669729273872173E-2</v>
      </c>
      <c r="F1408">
        <f t="shared" si="48"/>
        <v>-2.1579250045009754E-2</v>
      </c>
      <c r="G1408">
        <f t="shared" si="49"/>
        <v>-3.5130345675565652E-2</v>
      </c>
    </row>
    <row r="1409" spans="1:144" x14ac:dyDescent="0.35">
      <c r="A1409" t="s">
        <v>82</v>
      </c>
      <c r="E1409">
        <v>-6.1433740912047355E-2</v>
      </c>
      <c r="F1409">
        <f t="shared" si="48"/>
        <v>-2.1503850501966012E-2</v>
      </c>
      <c r="G1409">
        <f t="shared" si="49"/>
        <v>-3.5071015750134493E-2</v>
      </c>
    </row>
    <row r="1410" spans="1:144" x14ac:dyDescent="0.35">
      <c r="A1410" t="s">
        <v>82</v>
      </c>
      <c r="E1410">
        <v>5.6987226476673432E-2</v>
      </c>
      <c r="F1410">
        <f t="shared" si="48"/>
        <v>-2.1449659125626859E-2</v>
      </c>
      <c r="G1410">
        <f t="shared" si="49"/>
        <v>-3.4737951065291768E-2</v>
      </c>
    </row>
    <row r="1411" spans="1:144" x14ac:dyDescent="0.35">
      <c r="A1411" t="s">
        <v>82</v>
      </c>
      <c r="E1411">
        <v>-8.1570825755861737E-3</v>
      </c>
      <c r="F1411">
        <f t="shared" si="48"/>
        <v>-2.1451291086156236E-2</v>
      </c>
      <c r="G1411">
        <f t="shared" si="49"/>
        <v>-3.4737951065291768E-2</v>
      </c>
    </row>
    <row r="1412" spans="1:144" x14ac:dyDescent="0.35">
      <c r="A1412" t="s">
        <v>82</v>
      </c>
      <c r="E1412">
        <v>3.3314090110508031E-2</v>
      </c>
      <c r="F1412">
        <f t="shared" ref="F1412:F1475" si="50">_xlfn.PERCENTILE.EXC(E1412:E5227,0.05)</f>
        <v>-2.1452923046685609E-2</v>
      </c>
      <c r="G1412">
        <f t="shared" ref="G1412:G1475" si="51">AVERAGEIFS(E1412:E5228,E1412:E5228,"&lt;=" &amp; F1412)</f>
        <v>-3.4737951065291768E-2</v>
      </c>
    </row>
    <row r="1413" spans="1:144" x14ac:dyDescent="0.35">
      <c r="A1413" t="s">
        <v>82</v>
      </c>
      <c r="E1413">
        <v>-9.3902757611780199E-3</v>
      </c>
      <c r="F1413">
        <f t="shared" si="50"/>
        <v>-2.1454555007214982E-2</v>
      </c>
      <c r="G1413">
        <f t="shared" si="51"/>
        <v>-3.4737951065291768E-2</v>
      </c>
    </row>
    <row r="1414" spans="1:144" s="3" customFormat="1" x14ac:dyDescent="0.35">
      <c r="A1414" s="3" t="s">
        <v>83</v>
      </c>
      <c r="B1414" s="3" cm="1">
        <f t="array" ref="B1414">_xlfn.STDEV.S(_xlfn._xlws.FILTER($E$1000:$E$1998, $A$1000:$A$1998="2015-09"))</f>
        <v>2.0189643138919001E-2</v>
      </c>
      <c r="C1414" s="3" cm="1">
        <f t="array" ref="C1414">AVERAGE(_xlfn._xlws.FILTER($E$1000:$E$1998, $A$1000:$A$1998="2015-09"))</f>
        <v>-1.4675683284499262E-3</v>
      </c>
      <c r="D1414" s="3" cm="1">
        <f t="array" ref="D1414">_xlfn.PERCENTILE.EXC(_xlfn._xlws.FILTER($E$1000:$E$1497, $A$1000:$A$1497="2015-09"), 0.05)</f>
        <v>-3.3596887779313592E-2</v>
      </c>
      <c r="E1414" s="3">
        <v>-2.4969354614703392E-2</v>
      </c>
      <c r="F1414" s="3">
        <f t="shared" si="50"/>
        <v>-2.1456186967744355E-2</v>
      </c>
      <c r="G1414" s="3">
        <f t="shared" si="51"/>
        <v>-3.4737951065291768E-2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</row>
    <row r="1415" spans="1:144" x14ac:dyDescent="0.35">
      <c r="A1415" t="s">
        <v>83</v>
      </c>
      <c r="E1415">
        <v>7.4602031834913101E-3</v>
      </c>
      <c r="F1415">
        <f t="shared" si="50"/>
        <v>-2.1433132941721961E-2</v>
      </c>
      <c r="G1415">
        <f t="shared" si="51"/>
        <v>-3.470848427283868E-2</v>
      </c>
    </row>
    <row r="1416" spans="1:144" x14ac:dyDescent="0.35">
      <c r="A1416" t="s">
        <v>83</v>
      </c>
      <c r="E1416">
        <v>2.5823683616738934E-2</v>
      </c>
      <c r="F1416">
        <f t="shared" si="50"/>
        <v>-2.1433174257444194E-2</v>
      </c>
      <c r="G1416">
        <f t="shared" si="51"/>
        <v>-3.470848427283868E-2</v>
      </c>
    </row>
    <row r="1417" spans="1:144" x14ac:dyDescent="0.35">
      <c r="A1417" t="s">
        <v>83</v>
      </c>
      <c r="E1417">
        <v>-3.2290970160222345E-2</v>
      </c>
      <c r="F1417">
        <f t="shared" si="50"/>
        <v>-2.1433215573166426E-2</v>
      </c>
      <c r="G1417">
        <f t="shared" si="51"/>
        <v>-3.470848427283868E-2</v>
      </c>
    </row>
    <row r="1418" spans="1:144" x14ac:dyDescent="0.35">
      <c r="A1418" t="s">
        <v>83</v>
      </c>
      <c r="E1418">
        <v>6.945610033428775E-3</v>
      </c>
      <c r="F1418">
        <f t="shared" si="50"/>
        <v>-2.1420602440409959E-2</v>
      </c>
      <c r="G1418">
        <f t="shared" si="51"/>
        <v>-3.4617997131552565E-2</v>
      </c>
    </row>
    <row r="1419" spans="1:144" x14ac:dyDescent="0.35">
      <c r="A1419" t="s">
        <v>83</v>
      </c>
      <c r="E1419">
        <v>1.4644121888201045E-2</v>
      </c>
      <c r="F1419">
        <f t="shared" si="50"/>
        <v>-2.1426557823149211E-2</v>
      </c>
      <c r="G1419">
        <f t="shared" si="51"/>
        <v>-3.4617997131552565E-2</v>
      </c>
    </row>
    <row r="1420" spans="1:144" x14ac:dyDescent="0.35">
      <c r="A1420" t="s">
        <v>83</v>
      </c>
      <c r="E1420">
        <v>8.4079874684309993E-3</v>
      </c>
      <c r="F1420">
        <f t="shared" si="50"/>
        <v>-2.1432513205888466E-2</v>
      </c>
      <c r="G1420">
        <f t="shared" si="51"/>
        <v>-3.4617997131552565E-2</v>
      </c>
    </row>
    <row r="1421" spans="1:144" x14ac:dyDescent="0.35">
      <c r="A1421" t="s">
        <v>83</v>
      </c>
      <c r="E1421">
        <v>-1.0226304152067843E-2</v>
      </c>
      <c r="F1421">
        <f t="shared" si="50"/>
        <v>-2.1432554521610699E-2</v>
      </c>
      <c r="G1421">
        <f t="shared" si="51"/>
        <v>-3.4728799517482527E-2</v>
      </c>
    </row>
    <row r="1422" spans="1:144" x14ac:dyDescent="0.35">
      <c r="A1422" t="s">
        <v>83</v>
      </c>
      <c r="E1422">
        <v>-6.3585660214600017E-3</v>
      </c>
      <c r="F1422">
        <f t="shared" si="50"/>
        <v>-2.1432595837332931E-2</v>
      </c>
      <c r="G1422">
        <f t="shared" si="51"/>
        <v>-3.4728799517482527E-2</v>
      </c>
    </row>
    <row r="1423" spans="1:144" x14ac:dyDescent="0.35">
      <c r="A1423" t="s">
        <v>83</v>
      </c>
      <c r="E1423">
        <v>-9.6421435434148953E-3</v>
      </c>
      <c r="F1423">
        <f t="shared" si="50"/>
        <v>-2.1432637153055167E-2</v>
      </c>
      <c r="G1423">
        <f t="shared" si="51"/>
        <v>-3.4728799517482527E-2</v>
      </c>
    </row>
    <row r="1424" spans="1:144" x14ac:dyDescent="0.35">
      <c r="A1424" t="s">
        <v>83</v>
      </c>
      <c r="E1424">
        <v>1.6100241400077576E-2</v>
      </c>
      <c r="F1424">
        <f t="shared" si="50"/>
        <v>-2.1432678468777399E-2</v>
      </c>
      <c r="G1424">
        <f t="shared" si="51"/>
        <v>-3.4728799517482527E-2</v>
      </c>
    </row>
    <row r="1425" spans="1:144" x14ac:dyDescent="0.35">
      <c r="A1425" t="s">
        <v>83</v>
      </c>
      <c r="E1425">
        <v>7.0778252491896718E-3</v>
      </c>
      <c r="F1425">
        <f t="shared" si="50"/>
        <v>-2.1432719784499631E-2</v>
      </c>
      <c r="G1425">
        <f t="shared" si="51"/>
        <v>-3.4728799517482527E-2</v>
      </c>
    </row>
    <row r="1426" spans="1:144" x14ac:dyDescent="0.35">
      <c r="A1426" t="s">
        <v>83</v>
      </c>
      <c r="E1426">
        <v>1.8261395685147416E-3</v>
      </c>
      <c r="F1426">
        <f t="shared" si="50"/>
        <v>-2.1432761100221864E-2</v>
      </c>
      <c r="G1426">
        <f t="shared" si="51"/>
        <v>-3.4728799517482527E-2</v>
      </c>
    </row>
    <row r="1427" spans="1:144" x14ac:dyDescent="0.35">
      <c r="A1427" t="s">
        <v>83</v>
      </c>
      <c r="E1427">
        <v>-2.6810622969530528E-2</v>
      </c>
      <c r="F1427">
        <f t="shared" si="50"/>
        <v>-2.1432802415944096E-2</v>
      </c>
      <c r="G1427">
        <f t="shared" si="51"/>
        <v>-3.4728799517482527E-2</v>
      </c>
    </row>
    <row r="1428" spans="1:144" x14ac:dyDescent="0.35">
      <c r="A1428" t="s">
        <v>83</v>
      </c>
      <c r="E1428">
        <v>1.1117203533269204E-2</v>
      </c>
      <c r="F1428">
        <f t="shared" si="50"/>
        <v>-2.1361048613017422E-2</v>
      </c>
      <c r="G1428">
        <f t="shared" si="51"/>
        <v>-3.4683605317788052E-2</v>
      </c>
    </row>
    <row r="1429" spans="1:144" x14ac:dyDescent="0.35">
      <c r="A1429" t="s">
        <v>83</v>
      </c>
      <c r="E1429">
        <v>-3.3827343829741459E-2</v>
      </c>
      <c r="F1429">
        <f t="shared" si="50"/>
        <v>-2.1367003995756674E-2</v>
      </c>
      <c r="G1429">
        <f t="shared" si="51"/>
        <v>-3.4683605317788052E-2</v>
      </c>
    </row>
    <row r="1430" spans="1:144" x14ac:dyDescent="0.35">
      <c r="A1430" t="s">
        <v>83</v>
      </c>
      <c r="E1430">
        <v>1.7614921938469592E-3</v>
      </c>
      <c r="F1430">
        <f t="shared" si="50"/>
        <v>-2.131194705660076E-2</v>
      </c>
      <c r="G1430">
        <f t="shared" si="51"/>
        <v>-3.4578446172589414E-2</v>
      </c>
    </row>
    <row r="1431" spans="1:144" x14ac:dyDescent="0.35">
      <c r="A1431" t="s">
        <v>83</v>
      </c>
      <c r="E1431">
        <v>-2.3388422521640726E-2</v>
      </c>
      <c r="F1431">
        <f t="shared" si="50"/>
        <v>-2.1312092906051024E-2</v>
      </c>
      <c r="G1431">
        <f t="shared" si="51"/>
        <v>-3.4578446172589414E-2</v>
      </c>
    </row>
    <row r="1432" spans="1:144" x14ac:dyDescent="0.35">
      <c r="A1432" t="s">
        <v>83</v>
      </c>
      <c r="E1432">
        <v>3.6132891551496751E-2</v>
      </c>
      <c r="F1432">
        <f t="shared" si="50"/>
        <v>-2.1216658726913432E-2</v>
      </c>
      <c r="G1432">
        <f t="shared" si="51"/>
        <v>-3.4560984542677295E-2</v>
      </c>
    </row>
    <row r="1433" spans="1:144" x14ac:dyDescent="0.35">
      <c r="A1433" t="s">
        <v>83</v>
      </c>
      <c r="E1433">
        <v>-2.7538047764997471E-2</v>
      </c>
      <c r="F1433">
        <f t="shared" si="50"/>
        <v>-2.1228387456311518E-2</v>
      </c>
      <c r="G1433">
        <f t="shared" si="51"/>
        <v>-3.4560984542677295E-2</v>
      </c>
    </row>
    <row r="1434" spans="1:144" x14ac:dyDescent="0.35">
      <c r="A1434" t="s">
        <v>83</v>
      </c>
      <c r="E1434">
        <v>-1.5783549821259952E-3</v>
      </c>
      <c r="F1434">
        <f t="shared" si="50"/>
        <v>-2.10580115133811E-2</v>
      </c>
      <c r="G1434">
        <f t="shared" si="51"/>
        <v>-3.4506680897375942E-2</v>
      </c>
    </row>
    <row r="1435" spans="1:144" x14ac:dyDescent="0.35">
      <c r="A1435" t="s">
        <v>83</v>
      </c>
      <c r="E1435">
        <v>2.7046227647320304E-2</v>
      </c>
      <c r="F1435">
        <f t="shared" si="50"/>
        <v>-2.1060995256840315E-2</v>
      </c>
      <c r="G1435">
        <f t="shared" si="51"/>
        <v>-3.4506680897375942E-2</v>
      </c>
    </row>
    <row r="1436" spans="1:144" s="3" customFormat="1" x14ac:dyDescent="0.35">
      <c r="A1436" s="3" t="s">
        <v>84</v>
      </c>
      <c r="B1436" s="3" cm="1">
        <f t="array" ref="B1436">_xlfn.STDEV.S(_xlfn._xlws.FILTER($E$1000:$E$1998, $A$1000:$A$1998="2015-10"))</f>
        <v>1.0809995257754335E-2</v>
      </c>
      <c r="C1436" s="3" cm="1">
        <f t="array" ref="C1436">AVERAGE(_xlfn._xlws.FILTER($E$1000:$E$1998, $A$1000:$A$1998="2015-10"))</f>
        <v>2.385707456574146E-3</v>
      </c>
      <c r="D1436" s="3" cm="1">
        <f t="array" ref="D1436">_xlfn.PERCENTILE.EXC(_xlfn._xlws.FILTER($E$1000:$E$1497, $A$1000:$A$1497="2015-10"), 0.05)</f>
        <v>-1.143089302156855E-2</v>
      </c>
      <c r="E1436" s="3">
        <v>-7.1691043432052376E-3</v>
      </c>
      <c r="F1436" s="3">
        <f t="shared" si="50"/>
        <v>-2.1063979000299531E-2</v>
      </c>
      <c r="G1436" s="3">
        <f t="shared" si="51"/>
        <v>-3.4506680897375942E-2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</row>
    <row r="1437" spans="1:144" x14ac:dyDescent="0.35">
      <c r="A1437" t="s">
        <v>84</v>
      </c>
      <c r="E1437">
        <v>1.1868544501814581E-2</v>
      </c>
      <c r="F1437">
        <f t="shared" si="50"/>
        <v>-2.1066962743758744E-2</v>
      </c>
      <c r="G1437">
        <f t="shared" si="51"/>
        <v>-3.4506680897375942E-2</v>
      </c>
    </row>
    <row r="1438" spans="1:144" x14ac:dyDescent="0.35">
      <c r="A1438" t="s">
        <v>84</v>
      </c>
      <c r="E1438">
        <v>2.6965784295538968E-2</v>
      </c>
      <c r="F1438">
        <f t="shared" si="50"/>
        <v>-2.106994648721796E-2</v>
      </c>
      <c r="G1438">
        <f t="shared" si="51"/>
        <v>-3.4506680897375942E-2</v>
      </c>
    </row>
    <row r="1439" spans="1:144" x14ac:dyDescent="0.35">
      <c r="A1439" t="s">
        <v>84</v>
      </c>
      <c r="E1439">
        <v>9.1738631504427945E-3</v>
      </c>
      <c r="F1439">
        <f t="shared" si="50"/>
        <v>-2.1072930230677175E-2</v>
      </c>
      <c r="G1439">
        <f t="shared" si="51"/>
        <v>-3.4506680897375942E-2</v>
      </c>
    </row>
    <row r="1440" spans="1:144" x14ac:dyDescent="0.35">
      <c r="A1440" t="s">
        <v>84</v>
      </c>
      <c r="E1440">
        <v>-7.9344177140070436E-3</v>
      </c>
      <c r="F1440">
        <f t="shared" si="50"/>
        <v>-2.1075913974136391E-2</v>
      </c>
      <c r="G1440">
        <f t="shared" si="51"/>
        <v>-3.4506680897375942E-2</v>
      </c>
    </row>
    <row r="1441" spans="1:7" x14ac:dyDescent="0.35">
      <c r="A1441" t="s">
        <v>84</v>
      </c>
      <c r="E1441">
        <v>6.765705065989884E-3</v>
      </c>
      <c r="F1441">
        <f t="shared" si="50"/>
        <v>-2.1087642703534477E-2</v>
      </c>
      <c r="G1441">
        <f t="shared" si="51"/>
        <v>-3.4620500956047462E-2</v>
      </c>
    </row>
    <row r="1442" spans="1:7" x14ac:dyDescent="0.35">
      <c r="A1442" t="s">
        <v>84</v>
      </c>
      <c r="E1442">
        <v>4.5548133520043185E-3</v>
      </c>
      <c r="F1442">
        <f t="shared" si="50"/>
        <v>-2.1099371432932564E-2</v>
      </c>
      <c r="G1442">
        <f t="shared" si="51"/>
        <v>-3.4620500956047462E-2</v>
      </c>
    </row>
    <row r="1443" spans="1:7" x14ac:dyDescent="0.35">
      <c r="A1443" t="s">
        <v>84</v>
      </c>
      <c r="E1443">
        <v>-7.514044638428234E-3</v>
      </c>
      <c r="F1443">
        <f t="shared" si="50"/>
        <v>-2.111110016233065E-2</v>
      </c>
      <c r="G1443">
        <f t="shared" si="51"/>
        <v>-3.4620500956047462E-2</v>
      </c>
    </row>
    <row r="1444" spans="1:7" x14ac:dyDescent="0.35">
      <c r="A1444" t="s">
        <v>84</v>
      </c>
      <c r="E1444">
        <v>-1.9383890349634089E-3</v>
      </c>
      <c r="F1444">
        <f t="shared" si="50"/>
        <v>-2.1122828891728736E-2</v>
      </c>
      <c r="G1444">
        <f t="shared" si="51"/>
        <v>-3.4620500956047462E-2</v>
      </c>
    </row>
    <row r="1445" spans="1:7" x14ac:dyDescent="0.35">
      <c r="A1445" t="s">
        <v>84</v>
      </c>
      <c r="E1445">
        <v>-9.5833889245484135E-3</v>
      </c>
      <c r="F1445">
        <f t="shared" si="50"/>
        <v>-2.1134557621126825E-2</v>
      </c>
      <c r="G1445">
        <f t="shared" si="51"/>
        <v>-3.4620500956047462E-2</v>
      </c>
    </row>
    <row r="1446" spans="1:7" x14ac:dyDescent="0.35">
      <c r="A1446" t="s">
        <v>84</v>
      </c>
      <c r="E1446">
        <v>1.7228088513416676E-2</v>
      </c>
      <c r="F1446">
        <f t="shared" si="50"/>
        <v>-2.1146286350524911E-2</v>
      </c>
      <c r="G1446">
        <f t="shared" si="51"/>
        <v>-3.4620500956047462E-2</v>
      </c>
    </row>
    <row r="1447" spans="1:7" x14ac:dyDescent="0.35">
      <c r="A1447" t="s">
        <v>84</v>
      </c>
      <c r="E1447">
        <v>5.3852248914587888E-3</v>
      </c>
      <c r="F1447">
        <f t="shared" si="50"/>
        <v>-2.1158015079922998E-2</v>
      </c>
      <c r="G1447">
        <f t="shared" si="51"/>
        <v>-3.4620500956047462E-2</v>
      </c>
    </row>
    <row r="1448" spans="1:7" x14ac:dyDescent="0.35">
      <c r="A1448" t="s">
        <v>84</v>
      </c>
      <c r="E1448">
        <v>3.6651012689455182E-3</v>
      </c>
      <c r="F1448">
        <f t="shared" si="50"/>
        <v>-2.1169743809321084E-2</v>
      </c>
      <c r="G1448">
        <f t="shared" si="51"/>
        <v>-3.4620500956047462E-2</v>
      </c>
    </row>
    <row r="1449" spans="1:7" x14ac:dyDescent="0.35">
      <c r="A1449" t="s">
        <v>84</v>
      </c>
      <c r="E1449">
        <v>-6.6937239341821877E-3</v>
      </c>
      <c r="F1449">
        <f t="shared" si="50"/>
        <v>-2.118147253871917E-2</v>
      </c>
      <c r="G1449">
        <f t="shared" si="51"/>
        <v>-3.4620500956047462E-2</v>
      </c>
    </row>
    <row r="1450" spans="1:7" x14ac:dyDescent="0.35">
      <c r="A1450" t="s">
        <v>84</v>
      </c>
      <c r="E1450">
        <v>-4.386324261012424E-3</v>
      </c>
      <c r="F1450">
        <f t="shared" si="50"/>
        <v>-2.1193201268117259E-2</v>
      </c>
      <c r="G1450">
        <f t="shared" si="51"/>
        <v>-3.4620500956047462E-2</v>
      </c>
    </row>
    <row r="1451" spans="1:7" x14ac:dyDescent="0.35">
      <c r="A1451" t="s">
        <v>84</v>
      </c>
      <c r="E1451">
        <v>1.983831805861315E-2</v>
      </c>
      <c r="F1451">
        <f t="shared" si="50"/>
        <v>-2.1204929997515345E-2</v>
      </c>
      <c r="G1451">
        <f t="shared" si="51"/>
        <v>-3.4620500956047462E-2</v>
      </c>
    </row>
    <row r="1452" spans="1:7" x14ac:dyDescent="0.35">
      <c r="A1452" t="s">
        <v>84</v>
      </c>
      <c r="E1452">
        <v>5.2899816793866364E-3</v>
      </c>
      <c r="F1452">
        <f t="shared" si="50"/>
        <v>-2.1216658726913432E-2</v>
      </c>
      <c r="G1452">
        <f t="shared" si="51"/>
        <v>-3.4620500956047462E-2</v>
      </c>
    </row>
    <row r="1453" spans="1:7" x14ac:dyDescent="0.35">
      <c r="A1453" t="s">
        <v>84</v>
      </c>
      <c r="E1453">
        <v>-4.7268446820968816E-3</v>
      </c>
      <c r="F1453">
        <f t="shared" si="50"/>
        <v>-2.1228387456311518E-2</v>
      </c>
      <c r="G1453">
        <f t="shared" si="51"/>
        <v>-3.4620500956047462E-2</v>
      </c>
    </row>
    <row r="1454" spans="1:7" x14ac:dyDescent="0.35">
      <c r="A1454" t="s">
        <v>84</v>
      </c>
      <c r="E1454">
        <v>-1.1543352154806188E-2</v>
      </c>
      <c r="F1454">
        <f t="shared" si="50"/>
        <v>-2.1240116185709604E-2</v>
      </c>
      <c r="G1454">
        <f t="shared" si="51"/>
        <v>-3.4620500956047462E-2</v>
      </c>
    </row>
    <row r="1455" spans="1:7" x14ac:dyDescent="0.35">
      <c r="A1455" t="s">
        <v>84</v>
      </c>
      <c r="E1455">
        <v>1.4041374015245991E-2</v>
      </c>
      <c r="F1455">
        <f t="shared" si="50"/>
        <v>-2.1251844915107693E-2</v>
      </c>
      <c r="G1455">
        <f t="shared" si="51"/>
        <v>-3.4620500956047462E-2</v>
      </c>
    </row>
    <row r="1456" spans="1:7" x14ac:dyDescent="0.35">
      <c r="A1456" t="s">
        <v>84</v>
      </c>
      <c r="E1456">
        <v>-1.0793624599888602E-2</v>
      </c>
      <c r="F1456">
        <f t="shared" si="50"/>
        <v>-2.1263573644505779E-2</v>
      </c>
      <c r="G1456">
        <f t="shared" si="51"/>
        <v>-3.4620500956047462E-2</v>
      </c>
    </row>
    <row r="1457" spans="1:144" x14ac:dyDescent="0.35">
      <c r="A1457" t="s">
        <v>84</v>
      </c>
      <c r="E1457">
        <v>-8.0204610874838672E-6</v>
      </c>
      <c r="F1457">
        <f t="shared" si="50"/>
        <v>-2.1275302373903866E-2</v>
      </c>
      <c r="G1457">
        <f t="shared" si="51"/>
        <v>-3.4620500956047462E-2</v>
      </c>
    </row>
    <row r="1458" spans="1:144" s="3" customFormat="1" x14ac:dyDescent="0.35">
      <c r="A1458" s="3" t="s">
        <v>85</v>
      </c>
      <c r="B1458" s="3" cm="1">
        <f t="array" ref="B1458">_xlfn.STDEV.S(_xlfn._xlws.FILTER($E$1000:$E$1998, $A$1000:$A$1998="2015-11"))</f>
        <v>1.1879245578438643E-2</v>
      </c>
      <c r="C1458" s="3" cm="1">
        <f t="array" ref="C1458">AVERAGE(_xlfn._xlws.FILTER($E$1000:$E$1998, $A$1000:$A$1998="2015-11"))</f>
        <v>5.8094062942343184E-4</v>
      </c>
      <c r="D1458" s="3" cm="1">
        <f t="array" ref="D1458">_xlfn.PERCENTILE.EXC(_xlfn._xlws.FILTER($E$1000:$E$1497, $A$1000:$A$1497="2015-11"), 0.05)</f>
        <v>-2.3286724651523642E-2</v>
      </c>
      <c r="E1458" s="3">
        <v>1.7754078684823823E-3</v>
      </c>
      <c r="F1458" s="3">
        <f t="shared" si="50"/>
        <v>-2.1287031103301952E-2</v>
      </c>
      <c r="G1458" s="3">
        <f t="shared" si="51"/>
        <v>-3.4620500956047462E-2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</row>
    <row r="1459" spans="1:144" x14ac:dyDescent="0.35">
      <c r="A1459" t="s">
        <v>85</v>
      </c>
      <c r="E1459">
        <v>-1.0208750684133445E-3</v>
      </c>
      <c r="F1459">
        <f t="shared" si="50"/>
        <v>-2.1298759832700038E-2</v>
      </c>
      <c r="G1459">
        <f t="shared" si="51"/>
        <v>-3.4620500956047462E-2</v>
      </c>
    </row>
    <row r="1460" spans="1:144" x14ac:dyDescent="0.35">
      <c r="A1460" t="s">
        <v>85</v>
      </c>
      <c r="E1460">
        <v>-6.5585751784158989E-3</v>
      </c>
      <c r="F1460">
        <f t="shared" si="50"/>
        <v>-2.1310488562098127E-2</v>
      </c>
      <c r="G1460">
        <f t="shared" si="51"/>
        <v>-3.4620500956047462E-2</v>
      </c>
    </row>
    <row r="1461" spans="1:144" x14ac:dyDescent="0.35">
      <c r="A1461" t="s">
        <v>85</v>
      </c>
      <c r="E1461">
        <v>-3.9935988526266977E-3</v>
      </c>
      <c r="F1461">
        <f t="shared" si="50"/>
        <v>-2.1310634411548391E-2</v>
      </c>
      <c r="G1461">
        <f t="shared" si="51"/>
        <v>-3.4734261745739334E-2</v>
      </c>
    </row>
    <row r="1462" spans="1:144" x14ac:dyDescent="0.35">
      <c r="A1462" t="s">
        <v>85</v>
      </c>
      <c r="E1462">
        <v>1.3685804323971099E-2</v>
      </c>
      <c r="F1462">
        <f t="shared" si="50"/>
        <v>-2.1310780260998655E-2</v>
      </c>
      <c r="G1462">
        <f t="shared" si="51"/>
        <v>-3.4734261745739334E-2</v>
      </c>
    </row>
    <row r="1463" spans="1:144" x14ac:dyDescent="0.35">
      <c r="A1463" t="s">
        <v>85</v>
      </c>
      <c r="E1463">
        <v>-1.8937220601537273E-2</v>
      </c>
      <c r="F1463">
        <f t="shared" si="50"/>
        <v>-2.1310926110448918E-2</v>
      </c>
      <c r="G1463">
        <f t="shared" si="51"/>
        <v>-3.4734261745739334E-2</v>
      </c>
    </row>
    <row r="1464" spans="1:144" x14ac:dyDescent="0.35">
      <c r="A1464" t="s">
        <v>85</v>
      </c>
      <c r="E1464">
        <v>1.5115447165501457E-2</v>
      </c>
      <c r="F1464">
        <f t="shared" si="50"/>
        <v>-2.1311071959899182E-2</v>
      </c>
      <c r="G1464">
        <f t="shared" si="51"/>
        <v>-3.4734261745739334E-2</v>
      </c>
    </row>
    <row r="1465" spans="1:144" x14ac:dyDescent="0.35">
      <c r="A1465" t="s">
        <v>85</v>
      </c>
      <c r="E1465">
        <v>-2.627312202956391E-3</v>
      </c>
      <c r="F1465">
        <f t="shared" si="50"/>
        <v>-2.1311217809349442E-2</v>
      </c>
      <c r="G1465">
        <f t="shared" si="51"/>
        <v>-3.4734261745739334E-2</v>
      </c>
    </row>
    <row r="1466" spans="1:144" x14ac:dyDescent="0.35">
      <c r="A1466" t="s">
        <v>85</v>
      </c>
      <c r="E1466">
        <v>-2.3770002879299906E-2</v>
      </c>
      <c r="F1466">
        <f t="shared" si="50"/>
        <v>-2.1311363658799706E-2</v>
      </c>
      <c r="G1466">
        <f t="shared" si="51"/>
        <v>-3.4734261745739334E-2</v>
      </c>
    </row>
    <row r="1467" spans="1:144" x14ac:dyDescent="0.35">
      <c r="A1467" t="s">
        <v>85</v>
      </c>
      <c r="E1467">
        <v>-7.6564268182108264E-4</v>
      </c>
      <c r="F1467">
        <f t="shared" si="50"/>
        <v>-2.1158015079922998E-2</v>
      </c>
      <c r="G1467">
        <f t="shared" si="51"/>
        <v>-3.4713240255848717E-2</v>
      </c>
    </row>
    <row r="1468" spans="1:144" x14ac:dyDescent="0.35">
      <c r="A1468" t="s">
        <v>85</v>
      </c>
      <c r="E1468">
        <v>-1.4294251381074866E-3</v>
      </c>
      <c r="F1468">
        <f t="shared" si="50"/>
        <v>-2.1169743809321084E-2</v>
      </c>
      <c r="G1468">
        <f t="shared" si="51"/>
        <v>-3.4713240255848717E-2</v>
      </c>
    </row>
    <row r="1469" spans="1:144" x14ac:dyDescent="0.35">
      <c r="A1469" t="s">
        <v>85</v>
      </c>
      <c r="E1469">
        <v>2.2576731084997699E-2</v>
      </c>
      <c r="F1469">
        <f t="shared" si="50"/>
        <v>-2.118147253871917E-2</v>
      </c>
      <c r="G1469">
        <f t="shared" si="51"/>
        <v>-3.4713240255848717E-2</v>
      </c>
    </row>
    <row r="1470" spans="1:144" x14ac:dyDescent="0.35">
      <c r="A1470" t="s">
        <v>85</v>
      </c>
      <c r="E1470">
        <v>-9.8120309428694121E-3</v>
      </c>
      <c r="F1470">
        <f t="shared" si="50"/>
        <v>-2.1193201268117259E-2</v>
      </c>
      <c r="G1470">
        <f t="shared" si="51"/>
        <v>-3.4713240255848717E-2</v>
      </c>
    </row>
    <row r="1471" spans="1:144" x14ac:dyDescent="0.35">
      <c r="A1471" t="s">
        <v>85</v>
      </c>
      <c r="E1471">
        <v>4.5357778308720035E-3</v>
      </c>
      <c r="F1471">
        <f t="shared" si="50"/>
        <v>-2.1204929997515345E-2</v>
      </c>
      <c r="G1471">
        <f t="shared" si="51"/>
        <v>-3.4713240255848717E-2</v>
      </c>
    </row>
    <row r="1472" spans="1:144" x14ac:dyDescent="0.35">
      <c r="A1472" t="s">
        <v>85</v>
      </c>
      <c r="E1472">
        <v>-2.3391623024753565E-3</v>
      </c>
      <c r="F1472">
        <f t="shared" si="50"/>
        <v>-2.1216658726913432E-2</v>
      </c>
      <c r="G1472">
        <f t="shared" si="51"/>
        <v>-3.4713240255848717E-2</v>
      </c>
    </row>
    <row r="1473" spans="1:144" x14ac:dyDescent="0.35">
      <c r="A1473" t="s">
        <v>85</v>
      </c>
      <c r="E1473">
        <v>6.9562828628223538E-3</v>
      </c>
      <c r="F1473">
        <f t="shared" si="50"/>
        <v>-2.1228387456311518E-2</v>
      </c>
      <c r="G1473">
        <f t="shared" si="51"/>
        <v>-3.4713240255848717E-2</v>
      </c>
    </row>
    <row r="1474" spans="1:144" x14ac:dyDescent="0.35">
      <c r="A1474" t="s">
        <v>85</v>
      </c>
      <c r="E1474">
        <v>-1.5666135630180544E-2</v>
      </c>
      <c r="F1474">
        <f t="shared" si="50"/>
        <v>-2.1240116185709604E-2</v>
      </c>
      <c r="G1474">
        <f t="shared" si="51"/>
        <v>-3.4713240255848717E-2</v>
      </c>
    </row>
    <row r="1475" spans="1:144" x14ac:dyDescent="0.35">
      <c r="A1475" t="s">
        <v>85</v>
      </c>
      <c r="E1475">
        <v>1.8556813310502449E-2</v>
      </c>
      <c r="F1475">
        <f t="shared" si="50"/>
        <v>-2.1251844915107693E-2</v>
      </c>
      <c r="G1475">
        <f t="shared" si="51"/>
        <v>-3.4713240255848717E-2</v>
      </c>
    </row>
    <row r="1476" spans="1:144" x14ac:dyDescent="0.35">
      <c r="A1476" t="s">
        <v>85</v>
      </c>
      <c r="E1476">
        <v>1.0335846069856493E-2</v>
      </c>
      <c r="F1476">
        <f t="shared" ref="F1476:F1539" si="52">_xlfn.PERCENTILE.EXC(E1476:E5291,0.05)</f>
        <v>-2.1263573644505779E-2</v>
      </c>
      <c r="G1476">
        <f t="shared" ref="G1476:G1539" si="53">AVERAGEIFS(E1476:E5292,E1476:E5292,"&lt;=" &amp; F1476)</f>
        <v>-3.4713240255848717E-2</v>
      </c>
    </row>
    <row r="1477" spans="1:144" x14ac:dyDescent="0.35">
      <c r="A1477" t="s">
        <v>85</v>
      </c>
      <c r="E1477">
        <v>-7.239845768778234E-4</v>
      </c>
      <c r="F1477">
        <f t="shared" si="52"/>
        <v>-2.1275302373903866E-2</v>
      </c>
      <c r="G1477">
        <f t="shared" si="53"/>
        <v>-3.4713240255848717E-2</v>
      </c>
    </row>
    <row r="1478" spans="1:144" x14ac:dyDescent="0.35">
      <c r="A1478" t="s">
        <v>85</v>
      </c>
      <c r="E1478">
        <v>6.3056087564673496E-3</v>
      </c>
      <c r="F1478">
        <f t="shared" si="52"/>
        <v>-2.1287031103301952E-2</v>
      </c>
      <c r="G1478">
        <f t="shared" si="53"/>
        <v>-3.4713240255848717E-2</v>
      </c>
    </row>
    <row r="1479" spans="1:144" s="3" customFormat="1" x14ac:dyDescent="0.35">
      <c r="A1479" s="3" t="s">
        <v>86</v>
      </c>
      <c r="B1479" s="3" cm="1">
        <f t="array" ref="B1479">_xlfn.STDEV.S(_xlfn._xlws.FILTER($E$1000:$E$1998, $A$1000:$A$1998="2015-12"))</f>
        <v>1.5506649173796993E-2</v>
      </c>
      <c r="C1479" s="3" cm="1">
        <f t="array" ref="C1479">AVERAGE(_xlfn._xlws.FILTER($E$1000:$E$1998, $A$1000:$A$1998="2015-12"))</f>
        <v>-3.1004061279523085E-3</v>
      </c>
      <c r="D1479" s="3" cm="1">
        <f t="array" ref="D1479">_xlfn.PERCENTILE.EXC(_xlfn._xlws.FILTER($E$1000:$E$1497, $A$1000:$A$1497="2015-12"), 0.05)</f>
        <v>-2.4972328683633232E-2</v>
      </c>
      <c r="E1479" s="3">
        <v>-6.0332227798704993E-3</v>
      </c>
      <c r="F1479" s="3">
        <f t="shared" si="52"/>
        <v>-2.1298759832700038E-2</v>
      </c>
      <c r="G1479" s="3">
        <f t="shared" si="53"/>
        <v>-3.4713240255848717E-2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</row>
    <row r="1480" spans="1:144" x14ac:dyDescent="0.35">
      <c r="A1480" t="s">
        <v>86</v>
      </c>
      <c r="E1480">
        <v>-1.3036956428082718E-3</v>
      </c>
      <c r="F1480">
        <f t="shared" si="52"/>
        <v>-2.1310488562098127E-2</v>
      </c>
      <c r="G1480">
        <f t="shared" si="53"/>
        <v>-3.4713240255848717E-2</v>
      </c>
    </row>
    <row r="1481" spans="1:144" x14ac:dyDescent="0.35">
      <c r="A1481" t="s">
        <v>86</v>
      </c>
      <c r="E1481">
        <v>-2.4972328683633232E-2</v>
      </c>
      <c r="F1481">
        <f t="shared" si="52"/>
        <v>-2.1310634411548391E-2</v>
      </c>
      <c r="G1481">
        <f t="shared" si="53"/>
        <v>-3.4828781218725874E-2</v>
      </c>
    </row>
    <row r="1482" spans="1:144" x14ac:dyDescent="0.35">
      <c r="A1482" t="s">
        <v>86</v>
      </c>
      <c r="E1482">
        <v>1.1654570785082036E-3</v>
      </c>
      <c r="F1482">
        <f t="shared" si="52"/>
        <v>-2.1099371432932564E-2</v>
      </c>
      <c r="G1482">
        <f t="shared" si="53"/>
        <v>-3.4797213631471265E-2</v>
      </c>
    </row>
    <row r="1483" spans="1:144" x14ac:dyDescent="0.35">
      <c r="A1483" t="s">
        <v>86</v>
      </c>
      <c r="E1483">
        <v>7.1768171469165846E-4</v>
      </c>
      <c r="F1483">
        <f t="shared" si="52"/>
        <v>-2.111110016233065E-2</v>
      </c>
      <c r="G1483">
        <f t="shared" si="53"/>
        <v>-3.4797213631471265E-2</v>
      </c>
    </row>
    <row r="1484" spans="1:144" x14ac:dyDescent="0.35">
      <c r="A1484" t="s">
        <v>86</v>
      </c>
      <c r="E1484">
        <v>-2.2909899048925268E-2</v>
      </c>
      <c r="F1484">
        <f t="shared" si="52"/>
        <v>-2.1122828891728736E-2</v>
      </c>
      <c r="G1484">
        <f t="shared" si="53"/>
        <v>-3.4797213631471265E-2</v>
      </c>
    </row>
    <row r="1485" spans="1:144" x14ac:dyDescent="0.35">
      <c r="A1485" t="s">
        <v>86</v>
      </c>
      <c r="E1485">
        <v>-1.7268095590623426E-3</v>
      </c>
      <c r="F1485">
        <f t="shared" si="52"/>
        <v>-2.103115782224816E-2</v>
      </c>
      <c r="G1485">
        <f t="shared" si="53"/>
        <v>-3.4781403415309282E-2</v>
      </c>
    </row>
    <row r="1486" spans="1:144" x14ac:dyDescent="0.35">
      <c r="A1486" t="s">
        <v>86</v>
      </c>
      <c r="E1486">
        <v>-4.253043720385619E-3</v>
      </c>
      <c r="F1486">
        <f t="shared" si="52"/>
        <v>-2.1034141565707376E-2</v>
      </c>
      <c r="G1486">
        <f t="shared" si="53"/>
        <v>-3.4781403415309282E-2</v>
      </c>
    </row>
    <row r="1487" spans="1:144" x14ac:dyDescent="0.35">
      <c r="A1487" t="s">
        <v>86</v>
      </c>
      <c r="E1487">
        <v>-1.8590552779400468E-2</v>
      </c>
      <c r="F1487">
        <f t="shared" si="52"/>
        <v>-2.1037125309166592E-2</v>
      </c>
      <c r="G1487">
        <f t="shared" si="53"/>
        <v>-3.4781403415309282E-2</v>
      </c>
    </row>
    <row r="1488" spans="1:144" x14ac:dyDescent="0.35">
      <c r="A1488" t="s">
        <v>86</v>
      </c>
      <c r="E1488">
        <v>-2.4505433073487549E-2</v>
      </c>
      <c r="F1488">
        <f t="shared" si="52"/>
        <v>-2.1040109052625808E-2</v>
      </c>
      <c r="G1488">
        <f t="shared" si="53"/>
        <v>-3.4781403415309282E-2</v>
      </c>
    </row>
    <row r="1489" spans="1:144" x14ac:dyDescent="0.35">
      <c r="A1489" t="s">
        <v>86</v>
      </c>
      <c r="E1489">
        <v>3.6678785379356878E-2</v>
      </c>
      <c r="F1489">
        <f t="shared" si="52"/>
        <v>-2.087945080955619E-2</v>
      </c>
      <c r="G1489">
        <f t="shared" si="53"/>
        <v>-3.4751324156959841E-2</v>
      </c>
    </row>
    <row r="1490" spans="1:144" x14ac:dyDescent="0.35">
      <c r="A1490" t="s">
        <v>86</v>
      </c>
      <c r="E1490">
        <v>-2.9400078753065552E-3</v>
      </c>
      <c r="F1490">
        <f t="shared" si="52"/>
        <v>-2.0891886109137638E-2</v>
      </c>
      <c r="G1490">
        <f t="shared" si="53"/>
        <v>-3.4751324156959841E-2</v>
      </c>
    </row>
    <row r="1491" spans="1:144" x14ac:dyDescent="0.35">
      <c r="A1491" t="s">
        <v>86</v>
      </c>
      <c r="E1491">
        <v>1.4643164504360807E-2</v>
      </c>
      <c r="F1491">
        <f t="shared" si="52"/>
        <v>-2.0904321408719083E-2</v>
      </c>
      <c r="G1491">
        <f t="shared" si="53"/>
        <v>-3.4751324156959841E-2</v>
      </c>
    </row>
    <row r="1492" spans="1:144" x14ac:dyDescent="0.35">
      <c r="A1492" t="s">
        <v>86</v>
      </c>
      <c r="E1492">
        <v>-1.3149718428028149E-2</v>
      </c>
      <c r="F1492">
        <f t="shared" si="52"/>
        <v>-2.0916756708300527E-2</v>
      </c>
      <c r="G1492">
        <f t="shared" si="53"/>
        <v>-3.4751324156959841E-2</v>
      </c>
    </row>
    <row r="1493" spans="1:144" x14ac:dyDescent="0.35">
      <c r="A1493" t="s">
        <v>86</v>
      </c>
      <c r="E1493">
        <v>-6.7362460611132295E-3</v>
      </c>
      <c r="F1493">
        <f t="shared" si="52"/>
        <v>-2.0929192007881969E-2</v>
      </c>
      <c r="G1493">
        <f t="shared" si="53"/>
        <v>-3.4751324156959841E-2</v>
      </c>
    </row>
    <row r="1494" spans="1:144" x14ac:dyDescent="0.35">
      <c r="A1494" t="s">
        <v>86</v>
      </c>
      <c r="E1494">
        <v>-1.8591329482686712E-3</v>
      </c>
      <c r="F1494">
        <f t="shared" si="52"/>
        <v>-2.0941627307463413E-2</v>
      </c>
      <c r="G1494">
        <f t="shared" si="53"/>
        <v>-3.4751324156959841E-2</v>
      </c>
    </row>
    <row r="1495" spans="1:144" x14ac:dyDescent="0.35">
      <c r="A1495" t="s">
        <v>86</v>
      </c>
      <c r="E1495">
        <v>1.8639425395771118E-2</v>
      </c>
      <c r="F1495">
        <f t="shared" si="52"/>
        <v>-2.0954062607044861E-2</v>
      </c>
      <c r="G1495">
        <f t="shared" si="53"/>
        <v>-3.4751324156959841E-2</v>
      </c>
    </row>
    <row r="1496" spans="1:144" x14ac:dyDescent="0.35">
      <c r="A1496" t="s">
        <v>86</v>
      </c>
      <c r="E1496">
        <v>9.5075382744434569E-3</v>
      </c>
      <c r="F1496">
        <f t="shared" si="52"/>
        <v>-2.0966497906626306E-2</v>
      </c>
      <c r="G1496">
        <f t="shared" si="53"/>
        <v>-3.4751324156959841E-2</v>
      </c>
    </row>
    <row r="1497" spans="1:144" x14ac:dyDescent="0.35">
      <c r="A1497" t="s">
        <v>86</v>
      </c>
      <c r="E1497">
        <v>-1.1279678177936132E-2</v>
      </c>
      <c r="F1497">
        <f t="shared" si="52"/>
        <v>-2.097893320620775E-2</v>
      </c>
      <c r="G1497">
        <f t="shared" si="53"/>
        <v>-3.4751324156959841E-2</v>
      </c>
    </row>
    <row r="1498" spans="1:144" s="3" customFormat="1" x14ac:dyDescent="0.35">
      <c r="A1498" s="3" t="s">
        <v>87</v>
      </c>
      <c r="B1498" s="3" cm="1">
        <f t="array" ref="B1498">_xlfn.STDEV.S(_xlfn._xlws.FILTER($E$1000:$E$1998, $A$1000:$A$1998="2016-01"))</f>
        <v>2.3678247206332707E-2</v>
      </c>
      <c r="C1498" s="3" cm="1">
        <f t="array" ref="C1498">AVERAGE(_xlfn._xlws.FILTER($E$1000:$E$1998, $A$1000:$A$1998="2016-01"))</f>
        <v>-6.9006005292884228E-3</v>
      </c>
      <c r="D1498" s="3" cm="1">
        <f t="array" ref="D1498">_xlfn.PERCENTILE.EXC(_xlfn._xlws.FILTER($E$1498:$E$2489, $A$1498:$A$2489="2016-01"), 0.05)</f>
        <v>-4.8843105719798552E-2</v>
      </c>
      <c r="E1498" s="3">
        <v>-3.2483263852114419E-2</v>
      </c>
      <c r="F1498" s="3">
        <f t="shared" si="52"/>
        <v>-2.0991368505789192E-2</v>
      </c>
      <c r="G1498" s="3">
        <f t="shared" si="53"/>
        <v>-3.4751324156959841E-2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</row>
    <row r="1499" spans="1:144" x14ac:dyDescent="0.35">
      <c r="A1499" t="s">
        <v>87</v>
      </c>
      <c r="E1499">
        <v>1.195832267132352E-2</v>
      </c>
      <c r="F1499">
        <f t="shared" si="52"/>
        <v>-2.0760804937591366E-2</v>
      </c>
      <c r="G1499">
        <f t="shared" si="53"/>
        <v>-3.465032647817716E-2</v>
      </c>
    </row>
    <row r="1500" spans="1:144" x14ac:dyDescent="0.35">
      <c r="A1500" t="s">
        <v>87</v>
      </c>
      <c r="E1500">
        <v>-2.7092175834572855E-2</v>
      </c>
      <c r="F1500">
        <f t="shared" si="52"/>
        <v>-2.0767533113323192E-2</v>
      </c>
      <c r="G1500">
        <f t="shared" si="53"/>
        <v>-3.465032647817716E-2</v>
      </c>
    </row>
    <row r="1501" spans="1:144" x14ac:dyDescent="0.35">
      <c r="A1501" t="s">
        <v>87</v>
      </c>
      <c r="E1501">
        <v>-1.1470171334544435E-2</v>
      </c>
      <c r="F1501">
        <f t="shared" si="52"/>
        <v>-2.0639697774418524E-2</v>
      </c>
      <c r="G1501">
        <f t="shared" si="53"/>
        <v>-3.4716049527251984E-2</v>
      </c>
    </row>
    <row r="1502" spans="1:144" x14ac:dyDescent="0.35">
      <c r="A1502" t="s">
        <v>87</v>
      </c>
      <c r="E1502">
        <v>-1.5976287268751051E-2</v>
      </c>
      <c r="F1502">
        <f t="shared" si="52"/>
        <v>-2.0646425950150347E-2</v>
      </c>
      <c r="G1502">
        <f t="shared" si="53"/>
        <v>-3.4716049527251984E-2</v>
      </c>
    </row>
    <row r="1503" spans="1:144" x14ac:dyDescent="0.35">
      <c r="A1503" t="s">
        <v>87</v>
      </c>
      <c r="E1503">
        <v>-5.7210602918854811E-3</v>
      </c>
      <c r="F1503">
        <f t="shared" si="52"/>
        <v>-2.0653154125882173E-2</v>
      </c>
      <c r="G1503">
        <f t="shared" si="53"/>
        <v>-3.4716049527251984E-2</v>
      </c>
    </row>
    <row r="1504" spans="1:144" x14ac:dyDescent="0.35">
      <c r="A1504" t="s">
        <v>87</v>
      </c>
      <c r="E1504">
        <v>1.0771825818435681E-2</v>
      </c>
      <c r="F1504">
        <f t="shared" si="52"/>
        <v>-2.0659882301613995E-2</v>
      </c>
      <c r="G1504">
        <f t="shared" si="53"/>
        <v>-3.4716049527251984E-2</v>
      </c>
    </row>
    <row r="1505" spans="1:144" x14ac:dyDescent="0.35">
      <c r="A1505" t="s">
        <v>87</v>
      </c>
      <c r="E1505">
        <v>8.4652775268445959E-3</v>
      </c>
      <c r="F1505">
        <f t="shared" si="52"/>
        <v>-2.0666610477345821E-2</v>
      </c>
      <c r="G1505">
        <f t="shared" si="53"/>
        <v>-3.4716049527251984E-2</v>
      </c>
    </row>
    <row r="1506" spans="1:144" x14ac:dyDescent="0.35">
      <c r="A1506" t="s">
        <v>87</v>
      </c>
      <c r="E1506">
        <v>-1.6847287359130443E-2</v>
      </c>
      <c r="F1506">
        <f t="shared" si="52"/>
        <v>-2.0673338653077647E-2</v>
      </c>
      <c r="G1506">
        <f t="shared" si="53"/>
        <v>-3.4716049527251984E-2</v>
      </c>
    </row>
    <row r="1507" spans="1:144" x14ac:dyDescent="0.35">
      <c r="A1507" t="s">
        <v>87</v>
      </c>
      <c r="E1507">
        <v>-3.1155346754230505E-2</v>
      </c>
      <c r="F1507">
        <f t="shared" si="52"/>
        <v>-2.0680066828809469E-2</v>
      </c>
      <c r="G1507">
        <f t="shared" si="53"/>
        <v>-3.4716049527251984E-2</v>
      </c>
    </row>
    <row r="1508" spans="1:144" x14ac:dyDescent="0.35">
      <c r="A1508" t="s">
        <v>87</v>
      </c>
      <c r="E1508">
        <v>-2.6878195267129118E-2</v>
      </c>
      <c r="F1508">
        <f t="shared" si="52"/>
        <v>-2.0583647187758718E-2</v>
      </c>
      <c r="G1508">
        <f t="shared" si="53"/>
        <v>-3.4624550595464647E-2</v>
      </c>
    </row>
    <row r="1509" spans="1:144" x14ac:dyDescent="0.35">
      <c r="A1509" t="s">
        <v>87</v>
      </c>
      <c r="E1509">
        <v>1.0310099638144171E-2</v>
      </c>
      <c r="F1509">
        <f t="shared" si="52"/>
        <v>-2.0547689596494736E-2</v>
      </c>
      <c r="G1509">
        <f t="shared" si="53"/>
        <v>-3.4569529467754601E-2</v>
      </c>
    </row>
    <row r="1510" spans="1:144" x14ac:dyDescent="0.35">
      <c r="A1510" t="s">
        <v>87</v>
      </c>
      <c r="E1510">
        <v>-4.9543313632128584E-2</v>
      </c>
      <c r="F1510">
        <f t="shared" si="52"/>
        <v>-2.0547969231401886E-2</v>
      </c>
      <c r="G1510">
        <f t="shared" si="53"/>
        <v>-3.4569529467754601E-2</v>
      </c>
    </row>
    <row r="1511" spans="1:144" x14ac:dyDescent="0.35">
      <c r="A1511" t="s">
        <v>87</v>
      </c>
      <c r="E1511">
        <v>4.1177075725857451E-2</v>
      </c>
      <c r="F1511">
        <f t="shared" si="52"/>
        <v>-2.0545087098888443E-2</v>
      </c>
      <c r="G1511">
        <f t="shared" si="53"/>
        <v>-3.4317371722104181E-2</v>
      </c>
    </row>
    <row r="1512" spans="1:144" x14ac:dyDescent="0.35">
      <c r="A1512" t="s">
        <v>87</v>
      </c>
      <c r="E1512">
        <v>1.616918625667196E-2</v>
      </c>
      <c r="F1512">
        <f t="shared" si="52"/>
        <v>-2.0545096630381992E-2</v>
      </c>
      <c r="G1512">
        <f t="shared" si="53"/>
        <v>-3.4317371722104181E-2</v>
      </c>
    </row>
    <row r="1513" spans="1:144" x14ac:dyDescent="0.35">
      <c r="A1513" t="s">
        <v>87</v>
      </c>
      <c r="E1513">
        <v>-2.0544982252459421E-2</v>
      </c>
      <c r="F1513">
        <f t="shared" si="52"/>
        <v>-2.0545106161875538E-2</v>
      </c>
      <c r="G1513">
        <f t="shared" si="53"/>
        <v>-3.4317371722104181E-2</v>
      </c>
    </row>
    <row r="1514" spans="1:144" x14ac:dyDescent="0.35">
      <c r="A1514" t="s">
        <v>87</v>
      </c>
      <c r="E1514">
        <v>1.5033305618030889E-2</v>
      </c>
      <c r="F1514">
        <f t="shared" si="52"/>
        <v>-2.0541439499001703E-2</v>
      </c>
      <c r="G1514">
        <f t="shared" si="53"/>
        <v>-3.4317371722104181E-2</v>
      </c>
    </row>
    <row r="1515" spans="1:144" x14ac:dyDescent="0.35">
      <c r="A1515" t="s">
        <v>87</v>
      </c>
      <c r="E1515">
        <v>-4.0135752781996648E-3</v>
      </c>
      <c r="F1515">
        <f t="shared" si="52"/>
        <v>-2.0542061729556482E-2</v>
      </c>
      <c r="G1515">
        <f t="shared" si="53"/>
        <v>-3.4317371722104181E-2</v>
      </c>
    </row>
    <row r="1516" spans="1:144" x14ac:dyDescent="0.35">
      <c r="A1516" t="s">
        <v>87</v>
      </c>
      <c r="E1516">
        <v>-3.5539155385527925E-2</v>
      </c>
      <c r="F1516">
        <f t="shared" si="52"/>
        <v>-2.054268396011126E-2</v>
      </c>
      <c r="G1516">
        <f t="shared" si="53"/>
        <v>-3.4317371722104181E-2</v>
      </c>
    </row>
    <row r="1517" spans="1:144" x14ac:dyDescent="0.35">
      <c r="A1517" t="s">
        <v>87</v>
      </c>
      <c r="E1517">
        <v>2.5367710669597188E-2</v>
      </c>
      <c r="F1517">
        <f t="shared" si="52"/>
        <v>-2.0518230324399988E-2</v>
      </c>
      <c r="G1517">
        <f t="shared" si="53"/>
        <v>-3.4186881051545111E-2</v>
      </c>
    </row>
    <row r="1518" spans="1:144" s="3" customFormat="1" x14ac:dyDescent="0.35">
      <c r="A1518" s="3" t="s">
        <v>88</v>
      </c>
      <c r="B1518" s="3" cm="1">
        <f t="array" ref="B1518">_xlfn.STDEV.S(_xlfn._xlws.FILTER($E$1000:$E$1998, $A$1000:$A$1998="2016-02"))</f>
        <v>3.0753483109554152E-2</v>
      </c>
      <c r="C1518" s="3" cm="1">
        <f t="array" ref="C1518">AVERAGE(_xlfn._xlws.FILTER($E$1000:$E$1998, $A$1000:$A$1998="2016-02"))</f>
        <v>-2.7156245369767463E-3</v>
      </c>
      <c r="D1518" s="3" cm="1">
        <f t="array" ref="D1518">_xlfn.PERCENTILE.EXC(_xlfn._xlws.FILTER($E$1498:$E$2489, $A$1498:$A$2489="2016-02"), 0.05)</f>
        <v>-5.6963588841609888E-2</v>
      </c>
      <c r="E1518" s="3">
        <v>-9.2259703434058333E-3</v>
      </c>
      <c r="F1518" s="3">
        <f t="shared" si="52"/>
        <v>-2.0523062973344927E-2</v>
      </c>
      <c r="G1518" s="3">
        <f t="shared" si="53"/>
        <v>-3.4186881051545111E-2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</row>
    <row r="1519" spans="1:144" x14ac:dyDescent="0.35">
      <c r="A1519" t="s">
        <v>88</v>
      </c>
      <c r="E1519">
        <v>-3.0956867137759945E-2</v>
      </c>
      <c r="F1519">
        <f t="shared" si="52"/>
        <v>-2.0527895622289866E-2</v>
      </c>
      <c r="G1519">
        <f t="shared" si="53"/>
        <v>-3.4186881051545111E-2</v>
      </c>
    </row>
    <row r="1520" spans="1:144" x14ac:dyDescent="0.35">
      <c r="A1520" t="s">
        <v>88</v>
      </c>
      <c r="E1520">
        <v>-2.8892195997962319E-2</v>
      </c>
      <c r="F1520">
        <f t="shared" si="52"/>
        <v>-2.0436075292336008E-2</v>
      </c>
      <c r="G1520">
        <f t="shared" si="53"/>
        <v>-3.4095395905063157E-2</v>
      </c>
    </row>
    <row r="1521" spans="1:7" x14ac:dyDescent="0.35">
      <c r="A1521" t="s">
        <v>88</v>
      </c>
      <c r="E1521">
        <v>1.2215433096015495E-2</v>
      </c>
      <c r="F1521">
        <f t="shared" si="52"/>
        <v>-2.0393162642134619E-2</v>
      </c>
      <c r="G1521">
        <f t="shared" si="53"/>
        <v>-3.4141038009511418E-2</v>
      </c>
    </row>
    <row r="1522" spans="1:7" x14ac:dyDescent="0.35">
      <c r="A1522" t="s">
        <v>88</v>
      </c>
      <c r="E1522">
        <v>-2.1550138222132632E-2</v>
      </c>
      <c r="F1522">
        <f t="shared" si="52"/>
        <v>-2.0395421202671536E-2</v>
      </c>
      <c r="G1522">
        <f t="shared" si="53"/>
        <v>-3.4141038009511418E-2</v>
      </c>
    </row>
    <row r="1523" spans="1:7" x14ac:dyDescent="0.35">
      <c r="A1523" t="s">
        <v>88</v>
      </c>
      <c r="E1523">
        <v>-4.8036836162622061E-2</v>
      </c>
      <c r="F1523">
        <f t="shared" si="52"/>
        <v>-2.0335588681636849E-2</v>
      </c>
      <c r="G1523">
        <f t="shared" si="53"/>
        <v>-3.413086928898041E-2</v>
      </c>
    </row>
    <row r="1524" spans="1:7" x14ac:dyDescent="0.35">
      <c r="A1524" t="s">
        <v>88</v>
      </c>
      <c r="E1524">
        <v>-3.2646453461102266E-2</v>
      </c>
      <c r="F1524">
        <f t="shared" si="52"/>
        <v>-2.0109794130771907E-2</v>
      </c>
      <c r="G1524">
        <f t="shared" si="53"/>
        <v>-3.3887790262470276E-2</v>
      </c>
    </row>
    <row r="1525" spans="1:7" x14ac:dyDescent="0.35">
      <c r="A1525" t="s">
        <v>88</v>
      </c>
      <c r="E1525">
        <v>4.9111141551899197E-2</v>
      </c>
      <c r="F1525">
        <f t="shared" si="52"/>
        <v>-2.0029508973726073E-2</v>
      </c>
      <c r="G1525">
        <f t="shared" si="53"/>
        <v>-3.3777345809989978E-2</v>
      </c>
    </row>
    <row r="1526" spans="1:7" x14ac:dyDescent="0.35">
      <c r="A1526" t="s">
        <v>88</v>
      </c>
      <c r="E1526">
        <v>-5.7955450250386314E-2</v>
      </c>
      <c r="F1526">
        <f t="shared" si="52"/>
        <v>-2.003126076736754E-2</v>
      </c>
      <c r="G1526">
        <f t="shared" si="53"/>
        <v>-3.3777345809989978E-2</v>
      </c>
    </row>
    <row r="1527" spans="1:7" x14ac:dyDescent="0.35">
      <c r="A1527" t="s">
        <v>88</v>
      </c>
      <c r="E1527">
        <v>4.5961569674584618E-2</v>
      </c>
      <c r="F1527">
        <f t="shared" si="52"/>
        <v>-1.9992030485389615E-2</v>
      </c>
      <c r="G1527">
        <f t="shared" si="53"/>
        <v>-3.3444585281526232E-2</v>
      </c>
    </row>
    <row r="1528" spans="1:7" x14ac:dyDescent="0.35">
      <c r="A1528" t="s">
        <v>88</v>
      </c>
      <c r="E1528">
        <v>3.1409136029469029E-2</v>
      </c>
      <c r="F1528">
        <f t="shared" si="52"/>
        <v>-1.9994239679245702E-2</v>
      </c>
      <c r="G1528">
        <f t="shared" si="53"/>
        <v>-3.3444585281526232E-2</v>
      </c>
    </row>
    <row r="1529" spans="1:7" x14ac:dyDescent="0.35">
      <c r="A1529" t="s">
        <v>88</v>
      </c>
      <c r="E1529">
        <v>-4.9400594469808266E-3</v>
      </c>
      <c r="F1529">
        <f t="shared" si="52"/>
        <v>-1.9996448873101789E-2</v>
      </c>
      <c r="G1529">
        <f t="shared" si="53"/>
        <v>-3.3444585281526232E-2</v>
      </c>
    </row>
    <row r="1530" spans="1:7" x14ac:dyDescent="0.35">
      <c r="A1530" t="s">
        <v>88</v>
      </c>
      <c r="E1530">
        <v>2.4468444792241469E-2</v>
      </c>
      <c r="F1530">
        <f t="shared" si="52"/>
        <v>-1.9998658066957876E-2</v>
      </c>
      <c r="G1530">
        <f t="shared" si="53"/>
        <v>-3.3444585281526232E-2</v>
      </c>
    </row>
    <row r="1531" spans="1:7" x14ac:dyDescent="0.35">
      <c r="A1531" t="s">
        <v>88</v>
      </c>
      <c r="E1531">
        <v>-1.5397699127676853E-2</v>
      </c>
      <c r="F1531">
        <f t="shared" si="52"/>
        <v>-2.0000867260813963E-2</v>
      </c>
      <c r="G1531">
        <f t="shared" si="53"/>
        <v>-3.3444585281526232E-2</v>
      </c>
    </row>
    <row r="1532" spans="1:7" x14ac:dyDescent="0.35">
      <c r="A1532" t="s">
        <v>88</v>
      </c>
      <c r="E1532">
        <v>-1.1921866961460149E-2</v>
      </c>
      <c r="F1532">
        <f t="shared" si="52"/>
        <v>-2.000307645467005E-2</v>
      </c>
      <c r="G1532">
        <f t="shared" si="53"/>
        <v>-3.3444585281526232E-2</v>
      </c>
    </row>
    <row r="1533" spans="1:7" x14ac:dyDescent="0.35">
      <c r="A1533" t="s">
        <v>88</v>
      </c>
      <c r="E1533">
        <v>3.4583418508458988E-2</v>
      </c>
      <c r="F1533">
        <f t="shared" si="52"/>
        <v>-2.0005285648526137E-2</v>
      </c>
      <c r="G1533">
        <f t="shared" si="53"/>
        <v>-3.3444585281526232E-2</v>
      </c>
    </row>
    <row r="1534" spans="1:7" x14ac:dyDescent="0.35">
      <c r="A1534" t="s">
        <v>88</v>
      </c>
      <c r="E1534">
        <v>-1.9679855537464878E-2</v>
      </c>
      <c r="F1534">
        <f t="shared" si="52"/>
        <v>-2.0007494842382224E-2</v>
      </c>
      <c r="G1534">
        <f t="shared" si="53"/>
        <v>-3.3444585281526232E-2</v>
      </c>
    </row>
    <row r="1535" spans="1:7" x14ac:dyDescent="0.35">
      <c r="A1535" t="s">
        <v>88</v>
      </c>
      <c r="E1535">
        <v>-2.6215376024517133E-2</v>
      </c>
      <c r="F1535">
        <f t="shared" si="52"/>
        <v>-2.0009704036238311E-2</v>
      </c>
      <c r="G1535">
        <f t="shared" si="53"/>
        <v>-3.3444585281526232E-2</v>
      </c>
    </row>
    <row r="1536" spans="1:7" x14ac:dyDescent="0.35">
      <c r="A1536" t="s">
        <v>88</v>
      </c>
      <c r="E1536">
        <v>2.2776595934534568E-2</v>
      </c>
      <c r="F1536">
        <f t="shared" si="52"/>
        <v>-1.9967392816217382E-2</v>
      </c>
      <c r="G1536">
        <f t="shared" si="53"/>
        <v>-3.3389858878928674E-2</v>
      </c>
    </row>
    <row r="1537" spans="1:144" x14ac:dyDescent="0.35">
      <c r="A1537" t="s">
        <v>88</v>
      </c>
      <c r="E1537">
        <v>2.1928524724363893E-2</v>
      </c>
      <c r="F1537">
        <f t="shared" si="52"/>
        <v>-1.9969686144262287E-2</v>
      </c>
      <c r="G1537">
        <f t="shared" si="53"/>
        <v>-3.3389858878928674E-2</v>
      </c>
    </row>
    <row r="1538" spans="1:144" x14ac:dyDescent="0.35">
      <c r="A1538" t="s">
        <v>88</v>
      </c>
      <c r="E1538">
        <v>7.9363890853922838E-3</v>
      </c>
      <c r="F1538">
        <f t="shared" si="52"/>
        <v>-1.9971979472307194E-2</v>
      </c>
      <c r="G1538">
        <f t="shared" si="53"/>
        <v>-3.3389858878928674E-2</v>
      </c>
    </row>
    <row r="1539" spans="1:144" s="3" customFormat="1" x14ac:dyDescent="0.35">
      <c r="A1539" s="3" t="s">
        <v>89</v>
      </c>
      <c r="B1539" s="3" cm="1">
        <f t="array" ref="B1539">_xlfn.STDEV.S(_xlfn._xlws.FILTER($E$1000:$E$1998, $A$1000:$A$1998="2016-03"))</f>
        <v>1.4255486827142252E-2</v>
      </c>
      <c r="C1539" s="3" cm="1">
        <f t="array" ref="C1539">AVERAGE(_xlfn._xlws.FILTER($E$1000:$E$1998, $A$1000:$A$1998="2016-03"))</f>
        <v>1.3159648191654822E-3</v>
      </c>
      <c r="D1539" s="3" cm="1">
        <f t="array" ref="D1539">_xlfn.PERCENTILE.EXC(_xlfn._xlws.FILTER($E$1498:$E$2489, $A$1498:$A$2489="2016-03"), 0.05)</f>
        <v>-1.6013826231062608E-2</v>
      </c>
      <c r="E1539" s="3">
        <v>2.1824366601672422E-2</v>
      </c>
      <c r="F1539" s="3">
        <f t="shared" si="52"/>
        <v>-1.9974272800352098E-2</v>
      </c>
      <c r="G1539" s="3">
        <f t="shared" si="53"/>
        <v>-3.3389858878928674E-2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</row>
    <row r="1540" spans="1:144" x14ac:dyDescent="0.35">
      <c r="A1540" t="s">
        <v>89</v>
      </c>
      <c r="E1540">
        <v>1.0740524119905955E-2</v>
      </c>
      <c r="F1540">
        <f t="shared" ref="F1540:F1603" si="54">_xlfn.PERCENTILE.EXC(E1540:E5355,0.05)</f>
        <v>-1.9976566128397006E-2</v>
      </c>
      <c r="G1540">
        <f t="shared" ref="G1540:G1603" si="55">AVERAGEIFS(E1540:E5356,E1540:E5356,"&lt;=" &amp; F1540)</f>
        <v>-3.3389858878928674E-2</v>
      </c>
    </row>
    <row r="1541" spans="1:144" x14ac:dyDescent="0.35">
      <c r="A1541" t="s">
        <v>89</v>
      </c>
      <c r="E1541">
        <v>7.7740974122970522E-3</v>
      </c>
      <c r="F1541">
        <f t="shared" si="54"/>
        <v>-1.9978775322253093E-2</v>
      </c>
      <c r="G1541">
        <f t="shared" si="55"/>
        <v>-3.3508560584685598E-2</v>
      </c>
    </row>
    <row r="1542" spans="1:144" x14ac:dyDescent="0.35">
      <c r="A1542" t="s">
        <v>89</v>
      </c>
      <c r="E1542">
        <v>-3.7960615080478003E-3</v>
      </c>
      <c r="F1542">
        <f t="shared" si="54"/>
        <v>-1.998098451610918E-2</v>
      </c>
      <c r="G1542">
        <f t="shared" si="55"/>
        <v>-3.3508560584685598E-2</v>
      </c>
    </row>
    <row r="1543" spans="1:144" x14ac:dyDescent="0.35">
      <c r="A1543" t="s">
        <v>89</v>
      </c>
      <c r="E1543">
        <v>-1.2092639429704082E-2</v>
      </c>
      <c r="F1543">
        <f t="shared" si="54"/>
        <v>-1.9983193709965267E-2</v>
      </c>
      <c r="G1543">
        <f t="shared" si="55"/>
        <v>-3.3508560584685598E-2</v>
      </c>
    </row>
    <row r="1544" spans="1:144" x14ac:dyDescent="0.35">
      <c r="A1544" t="s">
        <v>89</v>
      </c>
      <c r="E1544">
        <v>-2.3122884457508191E-3</v>
      </c>
      <c r="F1544">
        <f t="shared" si="54"/>
        <v>-1.9985402903821354E-2</v>
      </c>
      <c r="G1544">
        <f t="shared" si="55"/>
        <v>-3.3508560584685598E-2</v>
      </c>
    </row>
    <row r="1545" spans="1:144" x14ac:dyDescent="0.35">
      <c r="A1545" t="s">
        <v>89</v>
      </c>
      <c r="E1545">
        <v>1.0564746001581025E-2</v>
      </c>
      <c r="F1545">
        <f t="shared" si="54"/>
        <v>-1.9987612097677441E-2</v>
      </c>
      <c r="G1545">
        <f t="shared" si="55"/>
        <v>-3.3508560584685598E-2</v>
      </c>
    </row>
    <row r="1546" spans="1:144" x14ac:dyDescent="0.35">
      <c r="A1546" t="s">
        <v>89</v>
      </c>
      <c r="E1546">
        <v>-4.9929701838165811E-3</v>
      </c>
      <c r="F1546">
        <f t="shared" si="54"/>
        <v>-1.9989821291533528E-2</v>
      </c>
      <c r="G1546">
        <f t="shared" si="55"/>
        <v>-3.3508560584685598E-2</v>
      </c>
    </row>
    <row r="1547" spans="1:144" x14ac:dyDescent="0.35">
      <c r="A1547" t="s">
        <v>89</v>
      </c>
      <c r="E1547">
        <v>4.6875420667739295E-2</v>
      </c>
      <c r="F1547">
        <f t="shared" si="54"/>
        <v>-1.9992030485389615E-2</v>
      </c>
      <c r="G1547">
        <f t="shared" si="55"/>
        <v>-3.3508560584685598E-2</v>
      </c>
    </row>
    <row r="1548" spans="1:144" x14ac:dyDescent="0.35">
      <c r="A1548" t="s">
        <v>89</v>
      </c>
      <c r="E1548">
        <v>-3.1498949944294154E-4</v>
      </c>
      <c r="F1548">
        <f t="shared" si="54"/>
        <v>-1.9994239679245702E-2</v>
      </c>
      <c r="G1548">
        <f t="shared" si="55"/>
        <v>-3.3508560584685598E-2</v>
      </c>
    </row>
    <row r="1549" spans="1:144" x14ac:dyDescent="0.35">
      <c r="A1549" t="s">
        <v>89</v>
      </c>
      <c r="E1549">
        <v>-1.1465894940833833E-2</v>
      </c>
      <c r="F1549">
        <f t="shared" si="54"/>
        <v>-1.9996448873101789E-2</v>
      </c>
      <c r="G1549">
        <f t="shared" si="55"/>
        <v>-3.3508560584685598E-2</v>
      </c>
    </row>
    <row r="1550" spans="1:144" x14ac:dyDescent="0.35">
      <c r="A1550" t="s">
        <v>89</v>
      </c>
      <c r="E1550">
        <v>-1.7932048652798903E-3</v>
      </c>
      <c r="F1550">
        <f t="shared" si="54"/>
        <v>-1.9998658066957876E-2</v>
      </c>
      <c r="G1550">
        <f t="shared" si="55"/>
        <v>-3.3508560584685598E-2</v>
      </c>
    </row>
    <row r="1551" spans="1:144" x14ac:dyDescent="0.35">
      <c r="A1551" t="s">
        <v>89</v>
      </c>
      <c r="E1551">
        <v>-6.6267371017903641E-3</v>
      </c>
      <c r="F1551">
        <f t="shared" si="54"/>
        <v>-2.0000867260813963E-2</v>
      </c>
      <c r="G1551">
        <f t="shared" si="55"/>
        <v>-3.3508560584685598E-2</v>
      </c>
    </row>
    <row r="1552" spans="1:144" x14ac:dyDescent="0.35">
      <c r="A1552" t="s">
        <v>89</v>
      </c>
      <c r="E1552">
        <v>1.7786437592722773E-4</v>
      </c>
      <c r="F1552">
        <f t="shared" si="54"/>
        <v>-2.000307645467005E-2</v>
      </c>
      <c r="G1552">
        <f t="shared" si="55"/>
        <v>-3.3508560584685598E-2</v>
      </c>
    </row>
    <row r="1553" spans="1:144" x14ac:dyDescent="0.35">
      <c r="A1553" t="s">
        <v>89</v>
      </c>
      <c r="E1553">
        <v>4.5882668992540624E-3</v>
      </c>
      <c r="F1553">
        <f t="shared" si="54"/>
        <v>-2.0005285648526137E-2</v>
      </c>
      <c r="G1553">
        <f t="shared" si="55"/>
        <v>-3.3508560584685598E-2</v>
      </c>
    </row>
    <row r="1554" spans="1:144" x14ac:dyDescent="0.35">
      <c r="A1554" t="s">
        <v>89</v>
      </c>
      <c r="E1554">
        <v>1.0108100528055628E-4</v>
      </c>
      <c r="F1554">
        <f t="shared" si="54"/>
        <v>-2.0007494842382224E-2</v>
      </c>
      <c r="G1554">
        <f t="shared" si="55"/>
        <v>-3.3508560584685598E-2</v>
      </c>
    </row>
    <row r="1555" spans="1:144" x14ac:dyDescent="0.35">
      <c r="A1555" t="s">
        <v>89</v>
      </c>
      <c r="E1555">
        <v>-1.2698190358245895E-2</v>
      </c>
      <c r="F1555">
        <f t="shared" si="54"/>
        <v>-2.0009704036238311E-2</v>
      </c>
      <c r="G1555">
        <f t="shared" si="55"/>
        <v>-3.3508560584685598E-2</v>
      </c>
    </row>
    <row r="1556" spans="1:144" x14ac:dyDescent="0.35">
      <c r="A1556" t="s">
        <v>89</v>
      </c>
      <c r="E1556">
        <v>-1.6219322528459409E-2</v>
      </c>
      <c r="F1556">
        <f t="shared" si="54"/>
        <v>-2.0011913230094398E-2</v>
      </c>
      <c r="G1556">
        <f t="shared" si="55"/>
        <v>-3.3508560584685598E-2</v>
      </c>
    </row>
    <row r="1557" spans="1:144" x14ac:dyDescent="0.35">
      <c r="A1557" t="s">
        <v>89</v>
      </c>
      <c r="E1557">
        <v>3.3133632866567107E-4</v>
      </c>
      <c r="F1557">
        <f t="shared" si="54"/>
        <v>-2.0014122423950485E-2</v>
      </c>
      <c r="G1557">
        <f t="shared" si="55"/>
        <v>-3.3508560584685598E-2</v>
      </c>
    </row>
    <row r="1558" spans="1:144" x14ac:dyDescent="0.35">
      <c r="A1558" t="s">
        <v>89</v>
      </c>
      <c r="E1558">
        <v>1.1134216206014857E-2</v>
      </c>
      <c r="F1558">
        <f t="shared" si="54"/>
        <v>-2.0016331617806572E-2</v>
      </c>
      <c r="G1558">
        <f t="shared" si="55"/>
        <v>-3.3508560584685598E-2</v>
      </c>
    </row>
    <row r="1559" spans="1:144" x14ac:dyDescent="0.35">
      <c r="A1559" t="s">
        <v>89</v>
      </c>
      <c r="E1559">
        <v>-1.4164359554491388E-2</v>
      </c>
      <c r="F1559">
        <f t="shared" si="54"/>
        <v>-2.0018540811662659E-2</v>
      </c>
      <c r="G1559">
        <f t="shared" si="55"/>
        <v>-3.3508560584685598E-2</v>
      </c>
    </row>
    <row r="1560" spans="1:144" s="3" customFormat="1" x14ac:dyDescent="0.35">
      <c r="A1560" s="3" t="s">
        <v>90</v>
      </c>
      <c r="B1560" s="3" cm="1">
        <f t="array" ref="B1560">_xlfn.STDEV.S(_xlfn._xlws.FILTER($E$1000:$E$1998, $A$1000:$A$1998="2016-04"))</f>
        <v>1.8626645944507768E-2</v>
      </c>
      <c r="C1560" s="3" cm="1">
        <f t="array" ref="C1560">AVERAGE(_xlfn._xlws.FILTER($E$1000:$E$1998, $A$1000:$A$1998="2016-04"))</f>
        <v>1.2546470206694273E-3</v>
      </c>
      <c r="D1560" s="3" cm="1">
        <f t="array" ref="D1560">_xlfn.PERCENTILE.EXC(_xlfn._xlws.FILTER($E$1498:$E$2489, $A$1498:$A$2489="2016-04"), 0.05)</f>
        <v>-2.9936476013037974E-2</v>
      </c>
      <c r="E1560" s="3">
        <v>-1.8947613852479318E-2</v>
      </c>
      <c r="F1560" s="3">
        <f t="shared" si="54"/>
        <v>-2.0020750005518746E-2</v>
      </c>
      <c r="G1560" s="3">
        <f t="shared" si="55"/>
        <v>-3.3508560584685598E-2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</row>
    <row r="1561" spans="1:144" x14ac:dyDescent="0.35">
      <c r="A1561" t="s">
        <v>90</v>
      </c>
      <c r="E1561">
        <v>-7.7693869209415475E-3</v>
      </c>
      <c r="F1561">
        <f t="shared" si="54"/>
        <v>-2.0022501799160212E-2</v>
      </c>
      <c r="G1561">
        <f t="shared" si="55"/>
        <v>-3.3628987464856729E-2</v>
      </c>
    </row>
    <row r="1562" spans="1:144" x14ac:dyDescent="0.35">
      <c r="A1562" t="s">
        <v>90</v>
      </c>
      <c r="E1562">
        <v>-3.0504924265658179E-2</v>
      </c>
      <c r="F1562">
        <f t="shared" si="54"/>
        <v>-2.0024253592801678E-2</v>
      </c>
      <c r="G1562">
        <f t="shared" si="55"/>
        <v>-3.3628987464856729E-2</v>
      </c>
    </row>
    <row r="1563" spans="1:144" x14ac:dyDescent="0.35">
      <c r="A1563" t="s">
        <v>90</v>
      </c>
      <c r="E1563">
        <v>7.6628727455690972E-3</v>
      </c>
      <c r="F1563">
        <f t="shared" si="54"/>
        <v>-1.9983193709965267E-2</v>
      </c>
      <c r="G1563">
        <f t="shared" si="55"/>
        <v>-3.3535378766105482E-2</v>
      </c>
    </row>
    <row r="1564" spans="1:144" x14ac:dyDescent="0.35">
      <c r="A1564" t="s">
        <v>90</v>
      </c>
      <c r="E1564">
        <v>-2.4820441739456127E-2</v>
      </c>
      <c r="F1564">
        <f t="shared" si="54"/>
        <v>-1.9985402903821354E-2</v>
      </c>
      <c r="G1564">
        <f t="shared" si="55"/>
        <v>-3.3535378766105482E-2</v>
      </c>
    </row>
    <row r="1565" spans="1:144" x14ac:dyDescent="0.35">
      <c r="A1565" t="s">
        <v>90</v>
      </c>
      <c r="E1565">
        <v>4.0000239761809629E-2</v>
      </c>
      <c r="F1565">
        <f t="shared" si="54"/>
        <v>-1.9942166207723419E-2</v>
      </c>
      <c r="G1565">
        <f t="shared" si="55"/>
        <v>-3.3492129876721032E-2</v>
      </c>
    </row>
    <row r="1566" spans="1:144" x14ac:dyDescent="0.35">
      <c r="A1566" t="s">
        <v>90</v>
      </c>
      <c r="E1566">
        <v>1.2379200690342646E-2</v>
      </c>
      <c r="F1566">
        <f t="shared" si="54"/>
        <v>-1.9944459535768323E-2</v>
      </c>
      <c r="G1566">
        <f t="shared" si="55"/>
        <v>-3.3492129876721032E-2</v>
      </c>
    </row>
    <row r="1567" spans="1:144" x14ac:dyDescent="0.35">
      <c r="A1567" t="s">
        <v>90</v>
      </c>
      <c r="E1567">
        <v>-1.5802436807962884E-2</v>
      </c>
      <c r="F1567">
        <f t="shared" si="54"/>
        <v>-1.9946752863813227E-2</v>
      </c>
      <c r="G1567">
        <f t="shared" si="55"/>
        <v>-3.3492129876721032E-2</v>
      </c>
    </row>
    <row r="1568" spans="1:144" x14ac:dyDescent="0.35">
      <c r="A1568" t="s">
        <v>90</v>
      </c>
      <c r="E1568">
        <v>4.0487535219760624E-2</v>
      </c>
      <c r="F1568">
        <f t="shared" si="54"/>
        <v>-1.9949046191858135E-2</v>
      </c>
      <c r="G1568">
        <f t="shared" si="55"/>
        <v>-3.3492129876721032E-2</v>
      </c>
    </row>
    <row r="1569" spans="1:144" x14ac:dyDescent="0.35">
      <c r="A1569" t="s">
        <v>90</v>
      </c>
      <c r="E1569">
        <v>8.960270039428694E-3</v>
      </c>
      <c r="F1569">
        <f t="shared" si="54"/>
        <v>-1.9951339519903039E-2</v>
      </c>
      <c r="G1569">
        <f t="shared" si="55"/>
        <v>-3.3492129876721032E-2</v>
      </c>
    </row>
    <row r="1570" spans="1:144" x14ac:dyDescent="0.35">
      <c r="A1570" t="s">
        <v>90</v>
      </c>
      <c r="E1570">
        <v>-3.9216765525170805E-3</v>
      </c>
      <c r="F1570">
        <f t="shared" si="54"/>
        <v>-1.9953632847947947E-2</v>
      </c>
      <c r="G1570">
        <f t="shared" si="55"/>
        <v>-3.3492129876721032E-2</v>
      </c>
    </row>
    <row r="1571" spans="1:144" x14ac:dyDescent="0.35">
      <c r="A1571" t="s">
        <v>90</v>
      </c>
      <c r="E1571">
        <v>5.5113260687030211E-3</v>
      </c>
      <c r="F1571">
        <f t="shared" si="54"/>
        <v>-1.9955926175992851E-2</v>
      </c>
      <c r="G1571">
        <f t="shared" si="55"/>
        <v>-3.3492129876721032E-2</v>
      </c>
    </row>
    <row r="1572" spans="1:144" x14ac:dyDescent="0.35">
      <c r="A1572" t="s">
        <v>90</v>
      </c>
      <c r="E1572">
        <v>4.8758146523991365E-3</v>
      </c>
      <c r="F1572">
        <f t="shared" si="54"/>
        <v>-1.9958219504037759E-2</v>
      </c>
      <c r="G1572">
        <f t="shared" si="55"/>
        <v>-3.3492129876721032E-2</v>
      </c>
    </row>
    <row r="1573" spans="1:144" x14ac:dyDescent="0.35">
      <c r="A1573" t="s">
        <v>90</v>
      </c>
      <c r="E1573">
        <v>1.1339423627401335E-2</v>
      </c>
      <c r="F1573">
        <f t="shared" si="54"/>
        <v>-1.9960512832082663E-2</v>
      </c>
      <c r="G1573">
        <f t="shared" si="55"/>
        <v>-3.3492129876721032E-2</v>
      </c>
    </row>
    <row r="1574" spans="1:144" x14ac:dyDescent="0.35">
      <c r="A1574" t="s">
        <v>90</v>
      </c>
      <c r="E1574">
        <v>3.9902361821750809E-3</v>
      </c>
      <c r="F1574">
        <f t="shared" si="54"/>
        <v>-1.9962806160127571E-2</v>
      </c>
      <c r="G1574">
        <f t="shared" si="55"/>
        <v>-3.3492129876721032E-2</v>
      </c>
    </row>
    <row r="1575" spans="1:144" x14ac:dyDescent="0.35">
      <c r="A1575" t="s">
        <v>90</v>
      </c>
      <c r="E1575">
        <v>-2.4543037440049095E-3</v>
      </c>
      <c r="F1575">
        <f t="shared" si="54"/>
        <v>-1.9965099488172475E-2</v>
      </c>
      <c r="G1575">
        <f t="shared" si="55"/>
        <v>-3.3492129876721032E-2</v>
      </c>
    </row>
    <row r="1576" spans="1:144" x14ac:dyDescent="0.35">
      <c r="A1576" t="s">
        <v>90</v>
      </c>
      <c r="E1576">
        <v>-1.5304042776078939E-2</v>
      </c>
      <c r="F1576">
        <f t="shared" si="54"/>
        <v>-1.9967392816217382E-2</v>
      </c>
      <c r="G1576">
        <f t="shared" si="55"/>
        <v>-3.3492129876721032E-2</v>
      </c>
    </row>
    <row r="1577" spans="1:144" x14ac:dyDescent="0.35">
      <c r="A1577" t="s">
        <v>90</v>
      </c>
      <c r="E1577">
        <v>1.4413724989479335E-2</v>
      </c>
      <c r="F1577">
        <f t="shared" si="54"/>
        <v>-1.9969686144262287E-2</v>
      </c>
      <c r="G1577">
        <f t="shared" si="55"/>
        <v>-3.3492129876721032E-2</v>
      </c>
    </row>
    <row r="1578" spans="1:144" x14ac:dyDescent="0.35">
      <c r="A1578" t="s">
        <v>90</v>
      </c>
      <c r="E1578">
        <v>4.2869008596696052E-3</v>
      </c>
      <c r="F1578">
        <f t="shared" si="54"/>
        <v>-1.9971979472307194E-2</v>
      </c>
      <c r="G1578">
        <f t="shared" si="55"/>
        <v>-3.3492129876721032E-2</v>
      </c>
    </row>
    <row r="1579" spans="1:144" x14ac:dyDescent="0.35">
      <c r="A1579" t="s">
        <v>90</v>
      </c>
      <c r="E1579">
        <v>1.198561926193749E-2</v>
      </c>
      <c r="F1579">
        <f t="shared" si="54"/>
        <v>-1.9974272800352098E-2</v>
      </c>
      <c r="G1579">
        <f t="shared" si="55"/>
        <v>-3.3492129876721032E-2</v>
      </c>
    </row>
    <row r="1580" spans="1:144" x14ac:dyDescent="0.35">
      <c r="A1580" t="s">
        <v>90</v>
      </c>
      <c r="E1580">
        <v>-2.0020750005518746E-2</v>
      </c>
      <c r="F1580">
        <f t="shared" si="54"/>
        <v>-1.9976566128397006E-2</v>
      </c>
      <c r="G1580">
        <f t="shared" si="55"/>
        <v>-3.3492129876721032E-2</v>
      </c>
    </row>
    <row r="1581" spans="1:144" s="3" customFormat="1" x14ac:dyDescent="0.35">
      <c r="A1581" s="3" t="s">
        <v>91</v>
      </c>
      <c r="B1581" s="3" cm="1">
        <f t="array" ref="B1581">_xlfn.STDEV.S(_xlfn._xlws.FILTER($E$1000:$E$1998, $A$1000:$A$1998="2016-05"))</f>
        <v>1.5798069552093497E-2</v>
      </c>
      <c r="C1581" s="3" cm="1">
        <f t="array" ref="C1581">AVERAGE(_xlfn._xlws.FILTER($E$1000:$E$1998, $A$1000:$A$1998="2016-05"))</f>
        <v>-1.6535860574981305E-3</v>
      </c>
      <c r="D1581" s="3" cm="1">
        <f t="array" ref="D1581">_xlfn.PERCENTILE.EXC(_xlfn._xlws.FILTER($E$1498:$E$2489, $A$1498:$A$2489="2016-05"), 0.05)</f>
        <v>-3.4665520841245828E-2</v>
      </c>
      <c r="E1581" s="3">
        <v>-3.4665520841245828E-2</v>
      </c>
      <c r="F1581" s="3">
        <f t="shared" si="54"/>
        <v>-1.9932992895543792E-2</v>
      </c>
      <c r="G1581" s="3">
        <f t="shared" si="55"/>
        <v>-3.3613493659344476E-2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</row>
    <row r="1582" spans="1:144" x14ac:dyDescent="0.35">
      <c r="A1582" t="s">
        <v>91</v>
      </c>
      <c r="E1582">
        <v>-1.7346995421392308E-3</v>
      </c>
      <c r="F1582">
        <f t="shared" si="54"/>
        <v>-1.9832607973158757E-2</v>
      </c>
      <c r="G1582">
        <f t="shared" si="55"/>
        <v>-3.3480747521743154E-2</v>
      </c>
    </row>
    <row r="1583" spans="1:144" x14ac:dyDescent="0.35">
      <c r="A1583" t="s">
        <v>91</v>
      </c>
      <c r="E1583">
        <v>-6.5644961290189691E-4</v>
      </c>
      <c r="F1583">
        <f t="shared" si="54"/>
        <v>-1.9838057506177655E-2</v>
      </c>
      <c r="G1583">
        <f t="shared" si="55"/>
        <v>-3.3480747521743154E-2</v>
      </c>
    </row>
    <row r="1584" spans="1:144" x14ac:dyDescent="0.35">
      <c r="A1584" t="s">
        <v>91</v>
      </c>
      <c r="E1584">
        <v>-4.5349522874871774E-3</v>
      </c>
      <c r="F1584">
        <f t="shared" si="54"/>
        <v>-1.9843507039196549E-2</v>
      </c>
      <c r="G1584">
        <f t="shared" si="55"/>
        <v>-3.3480747521743154E-2</v>
      </c>
    </row>
    <row r="1585" spans="1:144" x14ac:dyDescent="0.35">
      <c r="A1585" t="s">
        <v>91</v>
      </c>
      <c r="E1585">
        <v>-8.8380077989469105E-3</v>
      </c>
      <c r="F1585">
        <f t="shared" si="54"/>
        <v>-1.9848956572215446E-2</v>
      </c>
      <c r="G1585">
        <f t="shared" si="55"/>
        <v>-3.3480747521743154E-2</v>
      </c>
    </row>
    <row r="1586" spans="1:144" x14ac:dyDescent="0.35">
      <c r="A1586" t="s">
        <v>91</v>
      </c>
      <c r="E1586">
        <v>1.3976441220308078E-2</v>
      </c>
      <c r="F1586">
        <f t="shared" si="54"/>
        <v>-1.9854406105234344E-2</v>
      </c>
      <c r="G1586">
        <f t="shared" si="55"/>
        <v>-3.3480747521743154E-2</v>
      </c>
    </row>
    <row r="1587" spans="1:144" x14ac:dyDescent="0.35">
      <c r="A1587" t="s">
        <v>91</v>
      </c>
      <c r="E1587">
        <v>-1.3282339810681863E-2</v>
      </c>
      <c r="F1587">
        <f t="shared" si="54"/>
        <v>-1.9859855638253238E-2</v>
      </c>
      <c r="G1587">
        <f t="shared" si="55"/>
        <v>-3.3480747521743154E-2</v>
      </c>
    </row>
    <row r="1588" spans="1:144" x14ac:dyDescent="0.35">
      <c r="A1588" t="s">
        <v>91</v>
      </c>
      <c r="E1588">
        <v>-2.6433248845450555E-3</v>
      </c>
      <c r="F1588">
        <f t="shared" si="54"/>
        <v>-1.9865305171272135E-2</v>
      </c>
      <c r="G1588">
        <f t="shared" si="55"/>
        <v>-3.3480747521743154E-2</v>
      </c>
    </row>
    <row r="1589" spans="1:144" x14ac:dyDescent="0.35">
      <c r="A1589" t="s">
        <v>91</v>
      </c>
      <c r="E1589">
        <v>4.414264501200256E-3</v>
      </c>
      <c r="F1589">
        <f t="shared" si="54"/>
        <v>-1.9870754704291029E-2</v>
      </c>
      <c r="G1589">
        <f t="shared" si="55"/>
        <v>-3.3480747521743154E-2</v>
      </c>
    </row>
    <row r="1590" spans="1:144" x14ac:dyDescent="0.35">
      <c r="A1590" t="s">
        <v>91</v>
      </c>
      <c r="E1590">
        <v>-1.309021985499409E-2</v>
      </c>
      <c r="F1590">
        <f t="shared" si="54"/>
        <v>-1.9876204237309927E-2</v>
      </c>
      <c r="G1590">
        <f t="shared" si="55"/>
        <v>-3.3480747521743154E-2</v>
      </c>
    </row>
    <row r="1591" spans="1:144" x14ac:dyDescent="0.35">
      <c r="A1591" t="s">
        <v>91</v>
      </c>
      <c r="E1591">
        <v>1.2196956317010959E-2</v>
      </c>
      <c r="F1591">
        <f t="shared" si="54"/>
        <v>-1.9881653770328824E-2</v>
      </c>
      <c r="G1591">
        <f t="shared" si="55"/>
        <v>-3.3480747521743154E-2</v>
      </c>
    </row>
    <row r="1592" spans="1:144" x14ac:dyDescent="0.35">
      <c r="A1592" t="s">
        <v>91</v>
      </c>
      <c r="E1592">
        <v>-9.5329087472448872E-3</v>
      </c>
      <c r="F1592">
        <f t="shared" si="54"/>
        <v>-1.9887103303347718E-2</v>
      </c>
      <c r="G1592">
        <f t="shared" si="55"/>
        <v>-3.3480747521743154E-2</v>
      </c>
    </row>
    <row r="1593" spans="1:144" x14ac:dyDescent="0.35">
      <c r="A1593" t="s">
        <v>91</v>
      </c>
      <c r="E1593">
        <v>1.5091110489633035E-2</v>
      </c>
      <c r="F1593">
        <f t="shared" si="54"/>
        <v>-1.9892552836366616E-2</v>
      </c>
      <c r="G1593">
        <f t="shared" si="55"/>
        <v>-3.3480747521743154E-2</v>
      </c>
    </row>
    <row r="1594" spans="1:144" x14ac:dyDescent="0.35">
      <c r="A1594" t="s">
        <v>91</v>
      </c>
      <c r="E1594">
        <v>-2.7736874270856866E-2</v>
      </c>
      <c r="F1594">
        <f t="shared" si="54"/>
        <v>-1.989800236938551E-2</v>
      </c>
      <c r="G1594">
        <f t="shared" si="55"/>
        <v>-3.3480747521743154E-2</v>
      </c>
    </row>
    <row r="1595" spans="1:144" x14ac:dyDescent="0.35">
      <c r="A1595" t="s">
        <v>91</v>
      </c>
      <c r="E1595">
        <v>3.286731329502502E-2</v>
      </c>
      <c r="F1595">
        <f t="shared" si="54"/>
        <v>-1.9744865654286129E-2</v>
      </c>
      <c r="G1595">
        <f t="shared" si="55"/>
        <v>-3.3409439725673465E-2</v>
      </c>
    </row>
    <row r="1596" spans="1:144" x14ac:dyDescent="0.35">
      <c r="A1596" t="s">
        <v>91</v>
      </c>
      <c r="E1596">
        <v>1.6475488827857928E-2</v>
      </c>
      <c r="F1596">
        <f t="shared" si="54"/>
        <v>-1.9760234304853096E-2</v>
      </c>
      <c r="G1596">
        <f t="shared" si="55"/>
        <v>-3.3409439725673465E-2</v>
      </c>
    </row>
    <row r="1597" spans="1:144" x14ac:dyDescent="0.35">
      <c r="A1597" t="s">
        <v>91</v>
      </c>
      <c r="E1597">
        <v>8.5286774379992106E-4</v>
      </c>
      <c r="F1597">
        <f t="shared" si="54"/>
        <v>-1.9775602955420062E-2</v>
      </c>
      <c r="G1597">
        <f t="shared" si="55"/>
        <v>-3.3409439725673465E-2</v>
      </c>
    </row>
    <row r="1598" spans="1:144" x14ac:dyDescent="0.35">
      <c r="A1598" t="s">
        <v>91</v>
      </c>
      <c r="E1598">
        <v>-1.69106703310925E-3</v>
      </c>
      <c r="F1598">
        <f t="shared" si="54"/>
        <v>-1.9790971605987029E-2</v>
      </c>
      <c r="G1598">
        <f t="shared" si="55"/>
        <v>-3.3409439725673465E-2</v>
      </c>
    </row>
    <row r="1599" spans="1:144" x14ac:dyDescent="0.35">
      <c r="A1599" t="s">
        <v>91</v>
      </c>
      <c r="E1599">
        <v>-8.8862128031466075E-3</v>
      </c>
      <c r="F1599">
        <f t="shared" si="54"/>
        <v>-1.9806340256553995E-2</v>
      </c>
      <c r="G1599">
        <f t="shared" si="55"/>
        <v>-3.3409439725673465E-2</v>
      </c>
    </row>
    <row r="1600" spans="1:144" s="3" customFormat="1" x14ac:dyDescent="0.35">
      <c r="A1600" s="3" t="s">
        <v>92</v>
      </c>
      <c r="B1600" s="3" cm="1">
        <f t="array" ref="B1600">_xlfn.STDEV.S(_xlfn._xlws.FILTER($E$1000:$E$1998, $A$1000:$A$1998="2016-06"))</f>
        <v>3.6358103858633459E-2</v>
      </c>
      <c r="C1600" s="3" cm="1">
        <f t="array" ref="C1600">AVERAGE(_xlfn._xlws.FILTER($E$1000:$E$1998, $A$1000:$A$1998="2016-06"))</f>
        <v>-4.8590616767946078E-3</v>
      </c>
      <c r="D1600" s="3" cm="1">
        <f t="array" ref="D1600">_xlfn.PERCENTILE.EXC(_xlfn._xlws.FILTER($E$1498:$E$2489, $A$1498:$A$2489="2016-06"), 0.05)</f>
        <v>-0.1193539062128996</v>
      </c>
      <c r="E1600" s="3">
        <v>-1.196573054099837E-2</v>
      </c>
      <c r="F1600" s="3">
        <f t="shared" si="54"/>
        <v>-1.9821708907120966E-2</v>
      </c>
      <c r="G1600" s="3">
        <f t="shared" si="55"/>
        <v>-3.3409439725673465E-2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</row>
    <row r="1601" spans="1:7" x14ac:dyDescent="0.35">
      <c r="A1601" t="s">
        <v>92</v>
      </c>
      <c r="E1601">
        <v>-2.4481330114624698E-3</v>
      </c>
      <c r="F1601">
        <f t="shared" si="54"/>
        <v>-1.9827158440139863E-2</v>
      </c>
      <c r="G1601">
        <f t="shared" si="55"/>
        <v>-3.3532964551296666E-2</v>
      </c>
    </row>
    <row r="1602" spans="1:7" x14ac:dyDescent="0.35">
      <c r="A1602" t="s">
        <v>92</v>
      </c>
      <c r="E1602">
        <v>-1.5439419014519772E-2</v>
      </c>
      <c r="F1602">
        <f t="shared" si="54"/>
        <v>-1.9832607973158757E-2</v>
      </c>
      <c r="G1602">
        <f t="shared" si="55"/>
        <v>-3.3532964551296666E-2</v>
      </c>
    </row>
    <row r="1603" spans="1:7" x14ac:dyDescent="0.35">
      <c r="A1603" t="s">
        <v>92</v>
      </c>
      <c r="E1603">
        <v>7.3980785649624785E-3</v>
      </c>
      <c r="F1603">
        <f t="shared" si="54"/>
        <v>-1.9838057506177655E-2</v>
      </c>
      <c r="G1603">
        <f t="shared" si="55"/>
        <v>-3.3532964551296666E-2</v>
      </c>
    </row>
    <row r="1604" spans="1:7" x14ac:dyDescent="0.35">
      <c r="A1604" t="s">
        <v>92</v>
      </c>
      <c r="E1604">
        <v>1.969081462067809E-2</v>
      </c>
      <c r="F1604">
        <f t="shared" ref="F1604:F1667" si="56">_xlfn.PERCENTILE.EXC(E1604:E5419,0.05)</f>
        <v>-1.9843507039196549E-2</v>
      </c>
      <c r="G1604">
        <f t="shared" ref="G1604:G1667" si="57">AVERAGEIFS(E1604:E5420,E1604:E5420,"&lt;=" &amp; F1604)</f>
        <v>-3.3532964551296666E-2</v>
      </c>
    </row>
    <row r="1605" spans="1:7" x14ac:dyDescent="0.35">
      <c r="A1605" t="s">
        <v>92</v>
      </c>
      <c r="E1605">
        <v>-3.6666978054402661E-3</v>
      </c>
      <c r="F1605">
        <f t="shared" si="56"/>
        <v>-1.9848956572215446E-2</v>
      </c>
      <c r="G1605">
        <f t="shared" si="57"/>
        <v>-3.3532964551296666E-2</v>
      </c>
    </row>
    <row r="1606" spans="1:7" x14ac:dyDescent="0.35">
      <c r="A1606" t="s">
        <v>92</v>
      </c>
      <c r="E1606">
        <v>-8.1752833418382732E-3</v>
      </c>
      <c r="F1606">
        <f t="shared" si="56"/>
        <v>-1.9854406105234344E-2</v>
      </c>
      <c r="G1606">
        <f t="shared" si="57"/>
        <v>-3.3532964551296666E-2</v>
      </c>
    </row>
    <row r="1607" spans="1:7" x14ac:dyDescent="0.35">
      <c r="A1607" t="s">
        <v>92</v>
      </c>
      <c r="E1607">
        <v>-3.6910465707414943E-2</v>
      </c>
      <c r="F1607">
        <f t="shared" si="56"/>
        <v>-1.9859855638253238E-2</v>
      </c>
      <c r="G1607">
        <f t="shared" si="57"/>
        <v>-3.3532964551296666E-2</v>
      </c>
    </row>
    <row r="1608" spans="1:7" x14ac:dyDescent="0.35">
      <c r="A1608" t="s">
        <v>92</v>
      </c>
      <c r="E1608">
        <v>-2.9537418324239433E-2</v>
      </c>
      <c r="F1608">
        <f t="shared" si="56"/>
        <v>-1.9637285100317356E-2</v>
      </c>
      <c r="G1608">
        <f t="shared" si="57"/>
        <v>-3.3377612216748544E-2</v>
      </c>
    </row>
    <row r="1609" spans="1:7" x14ac:dyDescent="0.35">
      <c r="A1609" t="s">
        <v>92</v>
      </c>
      <c r="E1609">
        <v>-2.1313405551103393E-2</v>
      </c>
      <c r="F1609">
        <f t="shared" si="56"/>
        <v>-1.9483090520261131E-2</v>
      </c>
      <c r="G1609">
        <f t="shared" si="57"/>
        <v>-3.328649328558074E-2</v>
      </c>
    </row>
    <row r="1610" spans="1:7" x14ac:dyDescent="0.35">
      <c r="A1610" t="s">
        <v>92</v>
      </c>
      <c r="E1610">
        <v>1.4800796764186606E-2</v>
      </c>
      <c r="F1610">
        <f t="shared" si="56"/>
        <v>-1.9456595514715153E-2</v>
      </c>
      <c r="G1610">
        <f t="shared" si="57"/>
        <v>-3.3269621654408055E-2</v>
      </c>
    </row>
    <row r="1611" spans="1:7" x14ac:dyDescent="0.35">
      <c r="A1611" t="s">
        <v>92</v>
      </c>
      <c r="E1611">
        <v>-9.8625908104486831E-3</v>
      </c>
      <c r="F1611">
        <f t="shared" si="56"/>
        <v>-1.9456688575454437E-2</v>
      </c>
      <c r="G1611">
        <f t="shared" si="57"/>
        <v>-3.3269621654408055E-2</v>
      </c>
    </row>
    <row r="1612" spans="1:7" x14ac:dyDescent="0.35">
      <c r="A1612" t="s">
        <v>92</v>
      </c>
      <c r="E1612">
        <v>3.4346681177939126E-2</v>
      </c>
      <c r="F1612">
        <f t="shared" si="56"/>
        <v>-1.9456781636193722E-2</v>
      </c>
      <c r="G1612">
        <f t="shared" si="57"/>
        <v>-3.3269621654408055E-2</v>
      </c>
    </row>
    <row r="1613" spans="1:7" x14ac:dyDescent="0.35">
      <c r="A1613" t="s">
        <v>92</v>
      </c>
      <c r="E1613">
        <v>2.510055416696879E-2</v>
      </c>
      <c r="F1613">
        <f t="shared" si="56"/>
        <v>-1.9456874696933007E-2</v>
      </c>
      <c r="G1613">
        <f t="shared" si="57"/>
        <v>-3.3269621654408055E-2</v>
      </c>
    </row>
    <row r="1614" spans="1:7" x14ac:dyDescent="0.35">
      <c r="A1614" t="s">
        <v>92</v>
      </c>
      <c r="E1614">
        <v>4.468649036923374E-3</v>
      </c>
      <c r="F1614">
        <f t="shared" si="56"/>
        <v>-1.9456967757672292E-2</v>
      </c>
      <c r="G1614">
        <f t="shared" si="57"/>
        <v>-3.3269621654408055E-2</v>
      </c>
    </row>
    <row r="1615" spans="1:7" x14ac:dyDescent="0.35">
      <c r="A1615" t="s">
        <v>92</v>
      </c>
      <c r="E1615">
        <v>-6.209298534344064E-3</v>
      </c>
      <c r="F1615">
        <f t="shared" si="56"/>
        <v>-1.9457060818411576E-2</v>
      </c>
      <c r="G1615">
        <f t="shared" si="57"/>
        <v>-3.3269621654408055E-2</v>
      </c>
    </row>
    <row r="1616" spans="1:7" x14ac:dyDescent="0.35">
      <c r="A1616" t="s">
        <v>92</v>
      </c>
      <c r="E1616">
        <v>3.6439860689759622E-2</v>
      </c>
      <c r="F1616">
        <f t="shared" si="56"/>
        <v>-1.9457153879150861E-2</v>
      </c>
      <c r="G1616">
        <f t="shared" si="57"/>
        <v>-3.3269621654408055E-2</v>
      </c>
    </row>
    <row r="1617" spans="1:144" x14ac:dyDescent="0.35">
      <c r="A1617" t="s">
        <v>92</v>
      </c>
      <c r="E1617">
        <v>-0.13331442103267852</v>
      </c>
      <c r="F1617">
        <f t="shared" si="56"/>
        <v>-1.9457246939890146E-2</v>
      </c>
      <c r="G1617">
        <f t="shared" si="57"/>
        <v>-3.3269621654408055E-2</v>
      </c>
    </row>
    <row r="1618" spans="1:144" x14ac:dyDescent="0.35">
      <c r="A1618" t="s">
        <v>92</v>
      </c>
      <c r="E1618">
        <v>-4.0244322234152502E-2</v>
      </c>
      <c r="F1618">
        <f t="shared" si="56"/>
        <v>-1.9438208913702282E-2</v>
      </c>
      <c r="G1618">
        <f t="shared" si="57"/>
        <v>-3.223454205326845E-2</v>
      </c>
    </row>
    <row r="1619" spans="1:144" x14ac:dyDescent="0.35">
      <c r="A1619" t="s">
        <v>92</v>
      </c>
      <c r="E1619">
        <v>3.2442953204571433E-2</v>
      </c>
      <c r="F1619">
        <f t="shared" si="56"/>
        <v>-1.9274515241593727E-2</v>
      </c>
      <c r="G1619">
        <f t="shared" si="57"/>
        <v>-3.2043967350877264E-2</v>
      </c>
    </row>
    <row r="1620" spans="1:144" x14ac:dyDescent="0.35">
      <c r="A1620" t="s">
        <v>92</v>
      </c>
      <c r="E1620">
        <v>2.189157919814971E-2</v>
      </c>
      <c r="F1620">
        <f t="shared" si="56"/>
        <v>-1.9281104971122079E-2</v>
      </c>
      <c r="G1620">
        <f t="shared" si="57"/>
        <v>-3.2043967350877264E-2</v>
      </c>
    </row>
    <row r="1621" spans="1:144" x14ac:dyDescent="0.35">
      <c r="A1621" t="s">
        <v>92</v>
      </c>
      <c r="E1621">
        <v>1.5607861595020063E-2</v>
      </c>
      <c r="F1621">
        <f t="shared" si="56"/>
        <v>-1.9289832967932088E-2</v>
      </c>
      <c r="G1621">
        <f t="shared" si="57"/>
        <v>-3.2161057831425477E-2</v>
      </c>
    </row>
    <row r="1622" spans="1:144" s="3" customFormat="1" x14ac:dyDescent="0.35">
      <c r="A1622" s="3" t="s">
        <v>93</v>
      </c>
      <c r="B1622" s="3" cm="1">
        <f t="array" ref="B1622">_xlfn.STDEV.S(_xlfn._xlws.FILTER($E$1000:$E$1998, $A$1000:$A$1998="2016-07"))</f>
        <v>1.5687198936018391E-2</v>
      </c>
      <c r="C1622" s="3" cm="1">
        <f t="array" ref="C1622">AVERAGE(_xlfn._xlws.FILTER($E$1000:$E$1998, $A$1000:$A$1998="2016-07"))</f>
        <v>1.8709568320851324E-3</v>
      </c>
      <c r="D1622" s="3" cm="1">
        <f t="array" ref="D1622">_xlfn.PERCENTILE.EXC(_xlfn._xlws.FILTER($E$1498:$E$2489, $A$1498:$A$2489="2016-07"), 0.05)</f>
        <v>-2.2597189345889838E-2</v>
      </c>
      <c r="E1622" s="3">
        <v>6.0319827770478869E-3</v>
      </c>
      <c r="F1622" s="3">
        <f t="shared" si="56"/>
        <v>-1.9298560964742102E-2</v>
      </c>
      <c r="G1622" s="3">
        <f t="shared" si="57"/>
        <v>-3.2161057831425477E-2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</row>
    <row r="1623" spans="1:144" x14ac:dyDescent="0.35">
      <c r="A1623" t="s">
        <v>93</v>
      </c>
      <c r="E1623">
        <v>-1.7548377165360802E-2</v>
      </c>
      <c r="F1623">
        <f t="shared" si="56"/>
        <v>-1.9307288961552111E-2</v>
      </c>
      <c r="G1623">
        <f t="shared" si="57"/>
        <v>-3.2161057831425477E-2</v>
      </c>
    </row>
    <row r="1624" spans="1:144" x14ac:dyDescent="0.35">
      <c r="A1624" t="s">
        <v>93</v>
      </c>
      <c r="E1624">
        <v>-1.4604346639247609E-2</v>
      </c>
      <c r="F1624">
        <f t="shared" si="56"/>
        <v>-1.9316016958362121E-2</v>
      </c>
      <c r="G1624">
        <f t="shared" si="57"/>
        <v>-3.2161057831425477E-2</v>
      </c>
    </row>
    <row r="1625" spans="1:144" x14ac:dyDescent="0.35">
      <c r="A1625" t="s">
        <v>93</v>
      </c>
      <c r="E1625">
        <v>-2.2842332153033409E-2</v>
      </c>
      <c r="F1625">
        <f t="shared" si="56"/>
        <v>-1.9324744955172134E-2</v>
      </c>
      <c r="G1625">
        <f t="shared" si="57"/>
        <v>-3.2161057831425477E-2</v>
      </c>
    </row>
    <row r="1626" spans="1:144" x14ac:dyDescent="0.35">
      <c r="A1626" t="s">
        <v>93</v>
      </c>
      <c r="E1626">
        <v>8.0168637100951371E-4</v>
      </c>
      <c r="F1626">
        <f t="shared" si="56"/>
        <v>-1.9188848757725183E-2</v>
      </c>
      <c r="G1626">
        <f t="shared" si="57"/>
        <v>-3.2128386022417119E-2</v>
      </c>
    </row>
    <row r="1627" spans="1:144" x14ac:dyDescent="0.35">
      <c r="A1627" t="s">
        <v>93</v>
      </c>
      <c r="E1627">
        <v>4.001608090433318E-2</v>
      </c>
      <c r="F1627">
        <f t="shared" si="56"/>
        <v>-1.9195438487253531E-2</v>
      </c>
      <c r="G1627">
        <f t="shared" si="57"/>
        <v>-3.2128386022417119E-2</v>
      </c>
    </row>
    <row r="1628" spans="1:144" x14ac:dyDescent="0.35">
      <c r="A1628" t="s">
        <v>93</v>
      </c>
      <c r="E1628">
        <v>1.2018573833051237E-2</v>
      </c>
      <c r="F1628">
        <f t="shared" si="56"/>
        <v>-1.920202821678188E-2</v>
      </c>
      <c r="G1628">
        <f t="shared" si="57"/>
        <v>-3.2128386022417119E-2</v>
      </c>
    </row>
    <row r="1629" spans="1:144" x14ac:dyDescent="0.35">
      <c r="A1629" t="s">
        <v>93</v>
      </c>
      <c r="E1629">
        <v>2.7917950741863512E-2</v>
      </c>
      <c r="F1629">
        <f t="shared" si="56"/>
        <v>-1.9208617946310229E-2</v>
      </c>
      <c r="G1629">
        <f t="shared" si="57"/>
        <v>-3.2128386022417119E-2</v>
      </c>
    </row>
    <row r="1630" spans="1:144" x14ac:dyDescent="0.35">
      <c r="A1630" t="s">
        <v>93</v>
      </c>
      <c r="E1630">
        <v>-1.1616157498097249E-2</v>
      </c>
      <c r="F1630">
        <f t="shared" si="56"/>
        <v>-1.9215207675838581E-2</v>
      </c>
      <c r="G1630">
        <f t="shared" si="57"/>
        <v>-3.2128386022417119E-2</v>
      </c>
    </row>
    <row r="1631" spans="1:144" x14ac:dyDescent="0.35">
      <c r="A1631" t="s">
        <v>93</v>
      </c>
      <c r="E1631">
        <v>1.6181999482395459E-2</v>
      </c>
      <c r="F1631">
        <f t="shared" si="56"/>
        <v>-1.922179740536693E-2</v>
      </c>
      <c r="G1631">
        <f t="shared" si="57"/>
        <v>-3.2128386022417119E-2</v>
      </c>
    </row>
    <row r="1632" spans="1:144" x14ac:dyDescent="0.35">
      <c r="A1632" t="s">
        <v>93</v>
      </c>
      <c r="E1632">
        <v>-2.9171808414920437E-3</v>
      </c>
      <c r="F1632">
        <f t="shared" si="56"/>
        <v>-1.9228387134895279E-2</v>
      </c>
      <c r="G1632">
        <f t="shared" si="57"/>
        <v>-3.2128386022417119E-2</v>
      </c>
    </row>
    <row r="1633" spans="1:144" x14ac:dyDescent="0.35">
      <c r="A1633" t="s">
        <v>93</v>
      </c>
      <c r="E1633">
        <v>8.4389399397921444E-4</v>
      </c>
      <c r="F1633">
        <f t="shared" si="56"/>
        <v>-1.9234976864423631E-2</v>
      </c>
      <c r="G1633">
        <f t="shared" si="57"/>
        <v>-3.2128386022417119E-2</v>
      </c>
    </row>
    <row r="1634" spans="1:144" x14ac:dyDescent="0.35">
      <c r="A1634" t="s">
        <v>93</v>
      </c>
      <c r="E1634">
        <v>-5.3211436547033258E-3</v>
      </c>
      <c r="F1634">
        <f t="shared" si="56"/>
        <v>-1.9241566593951979E-2</v>
      </c>
      <c r="G1634">
        <f t="shared" si="57"/>
        <v>-3.2128386022417119E-2</v>
      </c>
    </row>
    <row r="1635" spans="1:144" x14ac:dyDescent="0.35">
      <c r="A1635" t="s">
        <v>93</v>
      </c>
      <c r="E1635">
        <v>5.3861667483639381E-3</v>
      </c>
      <c r="F1635">
        <f t="shared" si="56"/>
        <v>-1.9248156323480328E-2</v>
      </c>
      <c r="G1635">
        <f t="shared" si="57"/>
        <v>-3.2128386022417119E-2</v>
      </c>
    </row>
    <row r="1636" spans="1:144" x14ac:dyDescent="0.35">
      <c r="A1636" t="s">
        <v>93</v>
      </c>
      <c r="E1636">
        <v>2.4772706225675302E-3</v>
      </c>
      <c r="F1636">
        <f t="shared" si="56"/>
        <v>-1.925474605300868E-2</v>
      </c>
      <c r="G1636">
        <f t="shared" si="57"/>
        <v>-3.2128386022417119E-2</v>
      </c>
    </row>
    <row r="1637" spans="1:144" x14ac:dyDescent="0.35">
      <c r="A1637" t="s">
        <v>93</v>
      </c>
      <c r="E1637">
        <v>-1.591826460836405E-3</v>
      </c>
      <c r="F1637">
        <f t="shared" si="56"/>
        <v>-1.9261335782537029E-2</v>
      </c>
      <c r="G1637">
        <f t="shared" si="57"/>
        <v>-3.2128386022417119E-2</v>
      </c>
    </row>
    <row r="1638" spans="1:144" x14ac:dyDescent="0.35">
      <c r="A1638" t="s">
        <v>93</v>
      </c>
      <c r="E1638">
        <v>-5.1686896757347171E-3</v>
      </c>
      <c r="F1638">
        <f t="shared" si="56"/>
        <v>-1.9267925512065378E-2</v>
      </c>
      <c r="G1638">
        <f t="shared" si="57"/>
        <v>-3.2128386022417119E-2</v>
      </c>
    </row>
    <row r="1639" spans="1:144" x14ac:dyDescent="0.35">
      <c r="A1639" t="s">
        <v>93</v>
      </c>
      <c r="E1639">
        <v>2.8991427964979079E-4</v>
      </c>
      <c r="F1639">
        <f t="shared" si="56"/>
        <v>-1.9274515241593727E-2</v>
      </c>
      <c r="G1639">
        <f t="shared" si="57"/>
        <v>-3.2128386022417119E-2</v>
      </c>
    </row>
    <row r="1640" spans="1:144" x14ac:dyDescent="0.35">
      <c r="A1640" t="s">
        <v>93</v>
      </c>
      <c r="E1640">
        <v>9.8928042255389727E-3</v>
      </c>
      <c r="F1640">
        <f t="shared" si="56"/>
        <v>-1.9281104971122079E-2</v>
      </c>
      <c r="G1640">
        <f t="shared" si="57"/>
        <v>-3.2128386022417119E-2</v>
      </c>
    </row>
    <row r="1641" spans="1:144" x14ac:dyDescent="0.35">
      <c r="A1641" t="s">
        <v>93</v>
      </c>
      <c r="E1641">
        <v>-2.0390904081597706E-2</v>
      </c>
      <c r="F1641">
        <f t="shared" si="56"/>
        <v>-1.9289832967932088E-2</v>
      </c>
      <c r="G1641">
        <f t="shared" si="57"/>
        <v>-3.2247342328447622E-2</v>
      </c>
    </row>
    <row r="1642" spans="1:144" x14ac:dyDescent="0.35">
      <c r="A1642" t="s">
        <v>93</v>
      </c>
      <c r="E1642">
        <v>1.943272766409081E-2</v>
      </c>
      <c r="F1642">
        <f t="shared" si="56"/>
        <v>-1.9162489839611781E-2</v>
      </c>
      <c r="G1642">
        <f t="shared" si="57"/>
        <v>-3.2237066410758027E-2</v>
      </c>
    </row>
    <row r="1643" spans="1:144" s="3" customFormat="1" x14ac:dyDescent="0.35">
      <c r="A1643" s="3" t="s">
        <v>94</v>
      </c>
      <c r="B1643" s="3" cm="1">
        <f t="array" ref="B1643">_xlfn.STDEV.S(_xlfn._xlws.FILTER($E$1000:$E$1998, $A$1000:$A$1998="2016-08"))</f>
        <v>1.3592415412205456E-2</v>
      </c>
      <c r="C1643" s="3" cm="1">
        <f t="array" ref="C1643">AVERAGE(_xlfn._xlws.FILTER($E$1000:$E$1998, $A$1000:$A$1998="2016-08"))</f>
        <v>2.7204322767715569E-4</v>
      </c>
      <c r="D1643" s="3" cm="1">
        <f t="array" ref="D1643">_xlfn.PERCENTILE.EXC(_xlfn._xlws.FILTER($E$1498:$E$2489, $A$1498:$A$2489="2016-08"), 0.05)</f>
        <v>-2.7368223305164009E-2</v>
      </c>
      <c r="E1643" s="3">
        <v>-1.7486387139137742E-2</v>
      </c>
      <c r="F1643" s="3">
        <f t="shared" si="56"/>
        <v>-1.9169079569140133E-2</v>
      </c>
      <c r="G1643" s="3">
        <f t="shared" si="57"/>
        <v>-3.2237066410758027E-2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</row>
    <row r="1644" spans="1:144" x14ac:dyDescent="0.35">
      <c r="A1644" t="s">
        <v>94</v>
      </c>
      <c r="E1644">
        <v>-2.7959877516467307E-2</v>
      </c>
      <c r="F1644">
        <f t="shared" si="56"/>
        <v>-1.9175669298668482E-2</v>
      </c>
      <c r="G1644">
        <f t="shared" si="57"/>
        <v>-3.2237066410758027E-2</v>
      </c>
    </row>
    <row r="1645" spans="1:144" x14ac:dyDescent="0.35">
      <c r="A1645" t="s">
        <v>94</v>
      </c>
      <c r="E1645">
        <v>1.9529480540326604E-3</v>
      </c>
      <c r="F1645">
        <f t="shared" si="56"/>
        <v>-1.9105451281914085E-2</v>
      </c>
      <c r="G1645">
        <f t="shared" si="57"/>
        <v>-3.215548708542551E-2</v>
      </c>
    </row>
    <row r="1646" spans="1:144" x14ac:dyDescent="0.35">
      <c r="A1646" t="s">
        <v>94</v>
      </c>
      <c r="E1646">
        <v>6.5852784999799012E-3</v>
      </c>
      <c r="F1646">
        <f t="shared" si="56"/>
        <v>-1.9108375221823487E-2</v>
      </c>
      <c r="G1646">
        <f t="shared" si="57"/>
        <v>-3.215548708542551E-2</v>
      </c>
    </row>
    <row r="1647" spans="1:144" x14ac:dyDescent="0.35">
      <c r="A1647" t="s">
        <v>94</v>
      </c>
      <c r="E1647">
        <v>2.3728324876287614E-2</v>
      </c>
      <c r="F1647">
        <f t="shared" si="56"/>
        <v>-1.9111299161732886E-2</v>
      </c>
      <c r="G1647">
        <f t="shared" si="57"/>
        <v>-3.215548708542551E-2</v>
      </c>
    </row>
    <row r="1648" spans="1:144" x14ac:dyDescent="0.35">
      <c r="A1648" t="s">
        <v>94</v>
      </c>
      <c r="E1648">
        <v>7.0446589071179603E-3</v>
      </c>
      <c r="F1648">
        <f t="shared" si="56"/>
        <v>-1.9114223101642284E-2</v>
      </c>
      <c r="G1648">
        <f t="shared" si="57"/>
        <v>-3.215548708542551E-2</v>
      </c>
    </row>
    <row r="1649" spans="1:144" x14ac:dyDescent="0.35">
      <c r="A1649" t="s">
        <v>94</v>
      </c>
      <c r="E1649">
        <v>3.1198631386711055E-3</v>
      </c>
      <c r="F1649">
        <f t="shared" si="56"/>
        <v>-1.9117147041551687E-2</v>
      </c>
      <c r="G1649">
        <f t="shared" si="57"/>
        <v>-3.215548708542551E-2</v>
      </c>
    </row>
    <row r="1650" spans="1:144" x14ac:dyDescent="0.35">
      <c r="A1650" t="s">
        <v>94</v>
      </c>
      <c r="E1650">
        <v>-2.7331442135930517E-4</v>
      </c>
      <c r="F1650">
        <f t="shared" si="56"/>
        <v>-1.9120070981461085E-2</v>
      </c>
      <c r="G1650">
        <f t="shared" si="57"/>
        <v>-3.215548708542551E-2</v>
      </c>
    </row>
    <row r="1651" spans="1:144" x14ac:dyDescent="0.35">
      <c r="A1651" t="s">
        <v>94</v>
      </c>
      <c r="E1651">
        <v>1.055302786456269E-2</v>
      </c>
      <c r="F1651">
        <f t="shared" si="56"/>
        <v>-1.9122994921370484E-2</v>
      </c>
      <c r="G1651">
        <f t="shared" si="57"/>
        <v>-3.215548708542551E-2</v>
      </c>
    </row>
    <row r="1652" spans="1:144" x14ac:dyDescent="0.35">
      <c r="A1652" t="s">
        <v>94</v>
      </c>
      <c r="E1652">
        <v>1.6568773014689155E-3</v>
      </c>
      <c r="F1652">
        <f t="shared" si="56"/>
        <v>-1.9125918861279886E-2</v>
      </c>
      <c r="G1652">
        <f t="shared" si="57"/>
        <v>-3.215548708542551E-2</v>
      </c>
    </row>
    <row r="1653" spans="1:144" x14ac:dyDescent="0.35">
      <c r="A1653" t="s">
        <v>94</v>
      </c>
      <c r="E1653">
        <v>-1.2125937884637578E-2</v>
      </c>
      <c r="F1653">
        <f t="shared" si="56"/>
        <v>-1.9128842801189285E-2</v>
      </c>
      <c r="G1653">
        <f t="shared" si="57"/>
        <v>-3.215548708542551E-2</v>
      </c>
    </row>
    <row r="1654" spans="1:144" x14ac:dyDescent="0.35">
      <c r="A1654" t="s">
        <v>94</v>
      </c>
      <c r="E1654">
        <v>-1.588205760535219E-2</v>
      </c>
      <c r="F1654">
        <f t="shared" si="56"/>
        <v>-1.9131766741098684E-2</v>
      </c>
      <c r="G1654">
        <f t="shared" si="57"/>
        <v>-3.215548708542551E-2</v>
      </c>
    </row>
    <row r="1655" spans="1:144" x14ac:dyDescent="0.35">
      <c r="A1655" t="s">
        <v>94</v>
      </c>
      <c r="E1655">
        <v>8.7477373944752548E-3</v>
      </c>
      <c r="F1655">
        <f t="shared" si="56"/>
        <v>-1.9134690681008086E-2</v>
      </c>
      <c r="G1655">
        <f t="shared" si="57"/>
        <v>-3.215548708542551E-2</v>
      </c>
    </row>
    <row r="1656" spans="1:144" x14ac:dyDescent="0.35">
      <c r="A1656" t="s">
        <v>94</v>
      </c>
      <c r="E1656">
        <v>-2.2043335403434321E-2</v>
      </c>
      <c r="F1656">
        <f t="shared" si="56"/>
        <v>-1.9137614620917485E-2</v>
      </c>
      <c r="G1656">
        <f t="shared" si="57"/>
        <v>-3.215548708542551E-2</v>
      </c>
    </row>
    <row r="1657" spans="1:144" x14ac:dyDescent="0.35">
      <c r="A1657" t="s">
        <v>94</v>
      </c>
      <c r="E1657">
        <v>3.6157595269316802E-3</v>
      </c>
      <c r="F1657">
        <f t="shared" si="56"/>
        <v>-1.9087459371555024E-2</v>
      </c>
      <c r="G1657">
        <f t="shared" si="57"/>
        <v>-3.2128149087082294E-2</v>
      </c>
    </row>
    <row r="1658" spans="1:144" x14ac:dyDescent="0.35">
      <c r="A1658" t="s">
        <v>94</v>
      </c>
      <c r="E1658">
        <v>2.4673629634844853E-2</v>
      </c>
      <c r="F1658">
        <f t="shared" si="56"/>
        <v>-1.9088583441825714E-2</v>
      </c>
      <c r="G1658">
        <f t="shared" si="57"/>
        <v>-3.2128149087082294E-2</v>
      </c>
    </row>
    <row r="1659" spans="1:144" x14ac:dyDescent="0.35">
      <c r="A1659" t="s">
        <v>94</v>
      </c>
      <c r="E1659">
        <v>6.7467484593475811E-3</v>
      </c>
      <c r="F1659">
        <f t="shared" si="56"/>
        <v>-1.9089707512096401E-2</v>
      </c>
      <c r="G1659">
        <f t="shared" si="57"/>
        <v>-3.2128149087082294E-2</v>
      </c>
    </row>
    <row r="1660" spans="1:144" x14ac:dyDescent="0.35">
      <c r="A1660" t="s">
        <v>94</v>
      </c>
      <c r="E1660">
        <v>-1.0764212818552645E-2</v>
      </c>
      <c r="F1660">
        <f t="shared" si="56"/>
        <v>-1.9090831582367088E-2</v>
      </c>
      <c r="G1660">
        <f t="shared" si="57"/>
        <v>-3.2128149087082294E-2</v>
      </c>
    </row>
    <row r="1661" spans="1:144" x14ac:dyDescent="0.35">
      <c r="A1661" t="s">
        <v>94</v>
      </c>
      <c r="E1661">
        <v>7.9398964628582223E-3</v>
      </c>
      <c r="F1661">
        <f t="shared" si="56"/>
        <v>-1.9093755522276486E-2</v>
      </c>
      <c r="G1661">
        <f t="shared" si="57"/>
        <v>-3.2249993175911415E-2</v>
      </c>
    </row>
    <row r="1662" spans="1:144" x14ac:dyDescent="0.35">
      <c r="A1662" t="s">
        <v>94</v>
      </c>
      <c r="E1662">
        <v>2.8118840856649913E-3</v>
      </c>
      <c r="F1662">
        <f t="shared" si="56"/>
        <v>-1.9096679462185889E-2</v>
      </c>
      <c r="G1662">
        <f t="shared" si="57"/>
        <v>-3.2249993175911415E-2</v>
      </c>
    </row>
    <row r="1663" spans="1:144" x14ac:dyDescent="0.35">
      <c r="A1663" t="s">
        <v>94</v>
      </c>
      <c r="E1663">
        <v>3.0713963639179302E-3</v>
      </c>
      <c r="F1663">
        <f t="shared" si="56"/>
        <v>-1.9099603402095287E-2</v>
      </c>
      <c r="G1663">
        <f t="shared" si="57"/>
        <v>-3.2249993175911415E-2</v>
      </c>
    </row>
    <row r="1664" spans="1:144" s="3" customFormat="1" x14ac:dyDescent="0.35">
      <c r="A1664" s="3" t="s">
        <v>95</v>
      </c>
      <c r="B1664" s="3" cm="1">
        <f t="array" ref="B1664">_xlfn.STDEV.S(_xlfn._xlws.FILTER($E$1000:$E$1998, $A$1000:$A$1998="2016-09"))</f>
        <v>1.2091762818702025E-2</v>
      </c>
      <c r="C1664" s="3" cm="1">
        <f t="array" ref="C1664">AVERAGE(_xlfn._xlws.FILTER($E$1000:$E$1998, $A$1000:$A$1998="2016-09"))</f>
        <v>-1.4788585674957028E-3</v>
      </c>
      <c r="D1664" s="3" cm="1">
        <f t="array" ref="D1664">_xlfn.PERCENTILE.EXC(_xlfn._xlws.FILTER($E$1498:$E$2489, $A$1498:$A$2489="2016-09"), 0.05)</f>
        <v>-2.3700500868560605E-2</v>
      </c>
      <c r="E1664" s="3">
        <v>-1.1870082470523059E-3</v>
      </c>
      <c r="F1664" s="3">
        <f t="shared" si="56"/>
        <v>-1.9102527342004686E-2</v>
      </c>
      <c r="G1664" s="3">
        <f t="shared" si="57"/>
        <v>-3.2249993175911415E-2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</row>
    <row r="1665" spans="1:7" x14ac:dyDescent="0.35">
      <c r="A1665" t="s">
        <v>95</v>
      </c>
      <c r="E1665">
        <v>1.5282710123843444E-2</v>
      </c>
      <c r="F1665">
        <f t="shared" si="56"/>
        <v>-1.9105451281914085E-2</v>
      </c>
      <c r="G1665">
        <f t="shared" si="57"/>
        <v>-3.2249993175911415E-2</v>
      </c>
    </row>
    <row r="1666" spans="1:7" x14ac:dyDescent="0.35">
      <c r="A1666" t="s">
        <v>95</v>
      </c>
      <c r="E1666">
        <v>3.8051640141515097E-4</v>
      </c>
      <c r="F1666">
        <f t="shared" si="56"/>
        <v>-1.9108375221823487E-2</v>
      </c>
      <c r="G1666">
        <f t="shared" si="57"/>
        <v>-3.2249993175911415E-2</v>
      </c>
    </row>
    <row r="1667" spans="1:7" x14ac:dyDescent="0.35">
      <c r="A1667" t="s">
        <v>95</v>
      </c>
      <c r="E1667">
        <v>-8.052489835826156E-3</v>
      </c>
      <c r="F1667">
        <f t="shared" si="56"/>
        <v>-1.9111299161732886E-2</v>
      </c>
      <c r="G1667">
        <f t="shared" si="57"/>
        <v>-3.2249993175911415E-2</v>
      </c>
    </row>
    <row r="1668" spans="1:7" x14ac:dyDescent="0.35">
      <c r="A1668" t="s">
        <v>95</v>
      </c>
      <c r="E1668">
        <v>1.3991617494106819E-2</v>
      </c>
      <c r="F1668">
        <f t="shared" ref="F1668:F1731" si="58">_xlfn.PERCENTILE.EXC(E1668:E5483,0.05)</f>
        <v>-1.9114223101642284E-2</v>
      </c>
      <c r="G1668">
        <f t="shared" ref="G1668:G1731" si="59">AVERAGEIFS(E1668:E5484,E1668:E5484,"&lt;=" &amp; F1668)</f>
        <v>-3.2249993175911415E-2</v>
      </c>
    </row>
    <row r="1669" spans="1:7" x14ac:dyDescent="0.35">
      <c r="A1669" t="s">
        <v>95</v>
      </c>
      <c r="E1669">
        <v>4.7818619544009759E-3</v>
      </c>
      <c r="F1669">
        <f t="shared" si="58"/>
        <v>-1.9117147041551687E-2</v>
      </c>
      <c r="G1669">
        <f t="shared" si="59"/>
        <v>-3.2249993175911415E-2</v>
      </c>
    </row>
    <row r="1670" spans="1:7" x14ac:dyDescent="0.35">
      <c r="A1670" t="s">
        <v>95</v>
      </c>
      <c r="E1670">
        <v>-1.269846014374512E-2</v>
      </c>
      <c r="F1670">
        <f t="shared" si="58"/>
        <v>-1.9120070981461085E-2</v>
      </c>
      <c r="G1670">
        <f t="shared" si="59"/>
        <v>-3.2249993175911415E-2</v>
      </c>
    </row>
    <row r="1671" spans="1:7" x14ac:dyDescent="0.35">
      <c r="A1671" t="s">
        <v>95</v>
      </c>
      <c r="E1671">
        <v>-1.8602309058683163E-2</v>
      </c>
      <c r="F1671">
        <f t="shared" si="58"/>
        <v>-1.9122994921370484E-2</v>
      </c>
      <c r="G1671">
        <f t="shared" si="59"/>
        <v>-3.2249993175911415E-2</v>
      </c>
    </row>
    <row r="1672" spans="1:7" x14ac:dyDescent="0.35">
      <c r="A1672" t="s">
        <v>95</v>
      </c>
      <c r="E1672">
        <v>-1.7523494835161448E-2</v>
      </c>
      <c r="F1672">
        <f t="shared" si="58"/>
        <v>-1.9125918861279886E-2</v>
      </c>
      <c r="G1672">
        <f t="shared" si="59"/>
        <v>-3.2249993175911415E-2</v>
      </c>
    </row>
    <row r="1673" spans="1:7" x14ac:dyDescent="0.35">
      <c r="A1673" t="s">
        <v>95</v>
      </c>
      <c r="E1673">
        <v>-4.7449729112119052E-4</v>
      </c>
      <c r="F1673">
        <f t="shared" si="58"/>
        <v>-1.9128842801189285E-2</v>
      </c>
      <c r="G1673">
        <f t="shared" si="59"/>
        <v>-3.2249993175911415E-2</v>
      </c>
    </row>
    <row r="1674" spans="1:7" x14ac:dyDescent="0.35">
      <c r="A1674" t="s">
        <v>95</v>
      </c>
      <c r="E1674">
        <v>3.3517126272906419E-3</v>
      </c>
      <c r="F1674">
        <f t="shared" si="58"/>
        <v>-1.9131766741098684E-2</v>
      </c>
      <c r="G1674">
        <f t="shared" si="59"/>
        <v>-3.2249993175911415E-2</v>
      </c>
    </row>
    <row r="1675" spans="1:7" x14ac:dyDescent="0.35">
      <c r="A1675" t="s">
        <v>95</v>
      </c>
      <c r="E1675">
        <v>-2.4600181776186038E-2</v>
      </c>
      <c r="F1675">
        <f t="shared" si="58"/>
        <v>-1.9134690681008086E-2</v>
      </c>
      <c r="G1675">
        <f t="shared" si="59"/>
        <v>-3.2249993175911415E-2</v>
      </c>
    </row>
    <row r="1676" spans="1:7" x14ac:dyDescent="0.35">
      <c r="A1676" t="s">
        <v>95</v>
      </c>
      <c r="E1676">
        <v>1.2709037381748219E-2</v>
      </c>
      <c r="F1676">
        <f t="shared" si="58"/>
        <v>-1.9086335301284337E-2</v>
      </c>
      <c r="G1676">
        <f t="shared" si="59"/>
        <v>-3.2198503921763572E-2</v>
      </c>
    </row>
    <row r="1677" spans="1:7" x14ac:dyDescent="0.35">
      <c r="A1677" t="s">
        <v>95</v>
      </c>
      <c r="E1677">
        <v>-1.1786794030578333E-2</v>
      </c>
      <c r="F1677">
        <f t="shared" si="58"/>
        <v>-1.9087459371555024E-2</v>
      </c>
      <c r="G1677">
        <f t="shared" si="59"/>
        <v>-3.2198503921763572E-2</v>
      </c>
    </row>
    <row r="1678" spans="1:7" x14ac:dyDescent="0.35">
      <c r="A1678" t="s">
        <v>95</v>
      </c>
      <c r="E1678">
        <v>8.7674702780201688E-3</v>
      </c>
      <c r="F1678">
        <f t="shared" si="58"/>
        <v>-1.9088583441825714E-2</v>
      </c>
      <c r="G1678">
        <f t="shared" si="59"/>
        <v>-3.2198503921763572E-2</v>
      </c>
    </row>
    <row r="1679" spans="1:7" x14ac:dyDescent="0.35">
      <c r="A1679" t="s">
        <v>95</v>
      </c>
      <c r="E1679">
        <v>1.7453715532647091E-2</v>
      </c>
      <c r="F1679">
        <f t="shared" si="58"/>
        <v>-1.9089707512096401E-2</v>
      </c>
      <c r="G1679">
        <f t="shared" si="59"/>
        <v>-3.2198503921763572E-2</v>
      </c>
    </row>
    <row r="1680" spans="1:7" x14ac:dyDescent="0.35">
      <c r="A1680" t="s">
        <v>95</v>
      </c>
      <c r="E1680">
        <v>-1.1172496954040909E-2</v>
      </c>
      <c r="F1680">
        <f t="shared" si="58"/>
        <v>-1.9090831582367088E-2</v>
      </c>
      <c r="G1680">
        <f t="shared" si="59"/>
        <v>-3.2198503921763572E-2</v>
      </c>
    </row>
    <row r="1681" spans="1:144" x14ac:dyDescent="0.35">
      <c r="A1681" t="s">
        <v>95</v>
      </c>
      <c r="E1681">
        <v>-1.5951169752508154E-2</v>
      </c>
      <c r="F1681">
        <f t="shared" si="58"/>
        <v>-1.9093755522276486E-2</v>
      </c>
      <c r="G1681">
        <f t="shared" si="59"/>
        <v>-3.2322161207984292E-2</v>
      </c>
    </row>
    <row r="1682" spans="1:144" x14ac:dyDescent="0.35">
      <c r="A1682" t="s">
        <v>95</v>
      </c>
      <c r="E1682">
        <v>-3.5740849419050608E-3</v>
      </c>
      <c r="F1682">
        <f t="shared" si="58"/>
        <v>-1.9096679462185889E-2</v>
      </c>
      <c r="G1682">
        <f t="shared" si="59"/>
        <v>-3.2322161207984292E-2</v>
      </c>
    </row>
    <row r="1683" spans="1:144" x14ac:dyDescent="0.35">
      <c r="A1683" t="s">
        <v>95</v>
      </c>
      <c r="E1683">
        <v>5.408438954633785E-3</v>
      </c>
      <c r="F1683">
        <f t="shared" si="58"/>
        <v>-1.9099603402095287E-2</v>
      </c>
      <c r="G1683">
        <f t="shared" si="59"/>
        <v>-3.2322161207984292E-2</v>
      </c>
    </row>
    <row r="1684" spans="1:144" x14ac:dyDescent="0.35">
      <c r="A1684" t="s">
        <v>95</v>
      </c>
      <c r="E1684">
        <v>7.1601322945377766E-3</v>
      </c>
      <c r="F1684">
        <f t="shared" si="58"/>
        <v>-1.9102527342004686E-2</v>
      </c>
      <c r="G1684">
        <f t="shared" si="59"/>
        <v>-3.2322161207984292E-2</v>
      </c>
    </row>
    <row r="1685" spans="1:144" x14ac:dyDescent="0.35">
      <c r="A1685" t="s">
        <v>95</v>
      </c>
      <c r="E1685">
        <v>3.8008853392583392E-3</v>
      </c>
      <c r="F1685">
        <f t="shared" si="58"/>
        <v>-1.9105451281914085E-2</v>
      </c>
      <c r="G1685">
        <f t="shared" si="59"/>
        <v>-3.2322161207984292E-2</v>
      </c>
    </row>
    <row r="1686" spans="1:144" s="3" customFormat="1" x14ac:dyDescent="0.35">
      <c r="A1686" s="3" t="s">
        <v>96</v>
      </c>
      <c r="B1686" s="3" cm="1">
        <f t="array" ref="B1686">_xlfn.STDEV.S(_xlfn._xlws.FILTER($E$1000:$E$1998, $A$1000:$A$1998="2016-10"))</f>
        <v>9.4099443163968236E-3</v>
      </c>
      <c r="C1686" s="3" cm="1">
        <f t="array" ref="C1686">AVERAGE(_xlfn._xlws.FILTER($E$1000:$E$1998, $A$1000:$A$1998="2016-10"))</f>
        <v>2.1599997635541987E-3</v>
      </c>
      <c r="D1686" s="3" cm="1">
        <f t="array" ref="D1686">_xlfn.PERCENTILE.EXC(_xlfn._xlws.FILTER($E$1498:$E$2489, $A$1498:$A$2489="2016-10"), 0.05)</f>
        <v>-1.224429138136888E-2</v>
      </c>
      <c r="E1686" s="3">
        <v>-5.6852972327620308E-3</v>
      </c>
      <c r="F1686" s="3">
        <f t="shared" si="58"/>
        <v>-1.9108375221823487E-2</v>
      </c>
      <c r="G1686" s="3">
        <f t="shared" si="59"/>
        <v>-3.2322161207984292E-2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</row>
    <row r="1687" spans="1:144" x14ac:dyDescent="0.35">
      <c r="A1687" t="s">
        <v>96</v>
      </c>
      <c r="E1687">
        <v>1.0282967325130022E-2</v>
      </c>
      <c r="F1687">
        <f t="shared" si="58"/>
        <v>-1.9111299161732886E-2</v>
      </c>
      <c r="G1687">
        <f t="shared" si="59"/>
        <v>-3.2322161207984292E-2</v>
      </c>
    </row>
    <row r="1688" spans="1:144" x14ac:dyDescent="0.35">
      <c r="A1688" t="s">
        <v>96</v>
      </c>
      <c r="E1688">
        <v>9.1239443120057586E-4</v>
      </c>
      <c r="F1688">
        <f t="shared" si="58"/>
        <v>-1.9114223101642284E-2</v>
      </c>
      <c r="G1688">
        <f t="shared" si="59"/>
        <v>-3.2322161207984292E-2</v>
      </c>
    </row>
    <row r="1689" spans="1:144" x14ac:dyDescent="0.35">
      <c r="A1689" t="s">
        <v>96</v>
      </c>
      <c r="E1689">
        <v>-5.2497484300830441E-3</v>
      </c>
      <c r="F1689">
        <f t="shared" si="58"/>
        <v>-1.9117147041551687E-2</v>
      </c>
      <c r="G1689">
        <f t="shared" si="59"/>
        <v>-3.2322161207984292E-2</v>
      </c>
    </row>
    <row r="1690" spans="1:144" x14ac:dyDescent="0.35">
      <c r="A1690" t="s">
        <v>96</v>
      </c>
      <c r="E1690">
        <v>1.3752981792296412E-2</v>
      </c>
      <c r="F1690">
        <f t="shared" si="58"/>
        <v>-1.9120070981461085E-2</v>
      </c>
      <c r="G1690">
        <f t="shared" si="59"/>
        <v>-3.2322161207984292E-2</v>
      </c>
    </row>
    <row r="1691" spans="1:144" x14ac:dyDescent="0.35">
      <c r="A1691" t="s">
        <v>96</v>
      </c>
      <c r="E1691">
        <v>-9.5685838516217769E-3</v>
      </c>
      <c r="F1691">
        <f t="shared" si="58"/>
        <v>-1.9122994921370484E-2</v>
      </c>
      <c r="G1691">
        <f t="shared" si="59"/>
        <v>-3.2322161207984292E-2</v>
      </c>
    </row>
    <row r="1692" spans="1:144" x14ac:dyDescent="0.35">
      <c r="A1692" t="s">
        <v>96</v>
      </c>
      <c r="E1692">
        <v>-2.2947796292721663E-4</v>
      </c>
      <c r="F1692">
        <f t="shared" si="58"/>
        <v>-1.9125918861279886E-2</v>
      </c>
      <c r="G1692">
        <f t="shared" si="59"/>
        <v>-3.2322161207984292E-2</v>
      </c>
    </row>
    <row r="1693" spans="1:144" x14ac:dyDescent="0.35">
      <c r="A1693" t="s">
        <v>96</v>
      </c>
      <c r="E1693">
        <v>-1.22801069387155E-2</v>
      </c>
      <c r="F1693">
        <f t="shared" si="58"/>
        <v>-1.9128842801189285E-2</v>
      </c>
      <c r="G1693">
        <f t="shared" si="59"/>
        <v>-3.2322161207984292E-2</v>
      </c>
    </row>
    <row r="1694" spans="1:144" x14ac:dyDescent="0.35">
      <c r="A1694" t="s">
        <v>96</v>
      </c>
      <c r="E1694">
        <v>1.960524294672435E-2</v>
      </c>
      <c r="F1694">
        <f t="shared" si="58"/>
        <v>-1.9131766741098684E-2</v>
      </c>
      <c r="G1694">
        <f t="shared" si="59"/>
        <v>-3.2322161207984292E-2</v>
      </c>
    </row>
    <row r="1695" spans="1:144" x14ac:dyDescent="0.35">
      <c r="A1695" t="s">
        <v>96</v>
      </c>
      <c r="E1695">
        <v>2.3460573145808227E-3</v>
      </c>
      <c r="F1695">
        <f t="shared" si="58"/>
        <v>-1.9134690681008086E-2</v>
      </c>
      <c r="G1695">
        <f t="shared" si="59"/>
        <v>-3.2322161207984292E-2</v>
      </c>
    </row>
    <row r="1696" spans="1:144" x14ac:dyDescent="0.35">
      <c r="A1696" t="s">
        <v>96</v>
      </c>
      <c r="E1696">
        <v>2.0018557025873789E-2</v>
      </c>
      <c r="F1696">
        <f t="shared" si="58"/>
        <v>-1.9137614620917485E-2</v>
      </c>
      <c r="G1696">
        <f t="shared" si="59"/>
        <v>-3.2322161207984292E-2</v>
      </c>
    </row>
    <row r="1697" spans="1:144" x14ac:dyDescent="0.35">
      <c r="A1697" t="s">
        <v>96</v>
      </c>
      <c r="E1697">
        <v>4.5708888069588205E-3</v>
      </c>
      <c r="F1697">
        <f t="shared" si="58"/>
        <v>-1.9140538560826884E-2</v>
      </c>
      <c r="G1697">
        <f t="shared" si="59"/>
        <v>-3.2322161207984292E-2</v>
      </c>
    </row>
    <row r="1698" spans="1:144" x14ac:dyDescent="0.35">
      <c r="A1698" t="s">
        <v>96</v>
      </c>
      <c r="E1698">
        <v>5.6772395398786623E-3</v>
      </c>
      <c r="F1698">
        <f t="shared" si="58"/>
        <v>-1.9143462500736282E-2</v>
      </c>
      <c r="G1698">
        <f t="shared" si="59"/>
        <v>-3.2322161207984292E-2</v>
      </c>
    </row>
    <row r="1699" spans="1:144" x14ac:dyDescent="0.35">
      <c r="A1699" t="s">
        <v>96</v>
      </c>
      <c r="E1699">
        <v>1.47953253249914E-3</v>
      </c>
      <c r="F1699">
        <f t="shared" si="58"/>
        <v>-1.9146386440645684E-2</v>
      </c>
      <c r="G1699">
        <f t="shared" si="59"/>
        <v>-3.2322161207984292E-2</v>
      </c>
    </row>
    <row r="1700" spans="1:144" x14ac:dyDescent="0.35">
      <c r="A1700" t="s">
        <v>96</v>
      </c>
      <c r="E1700">
        <v>8.0650160278530354E-3</v>
      </c>
      <c r="F1700">
        <f t="shared" si="58"/>
        <v>-1.9149310380555083E-2</v>
      </c>
      <c r="G1700">
        <f t="shared" si="59"/>
        <v>-3.2322161207984292E-2</v>
      </c>
    </row>
    <row r="1701" spans="1:144" x14ac:dyDescent="0.35">
      <c r="A1701" t="s">
        <v>96</v>
      </c>
      <c r="E1701">
        <v>-4.386180220376977E-3</v>
      </c>
      <c r="F1701">
        <f t="shared" si="58"/>
        <v>-1.9155900110083432E-2</v>
      </c>
      <c r="G1701">
        <f t="shared" si="59"/>
        <v>-3.2447616930150289E-2</v>
      </c>
    </row>
    <row r="1702" spans="1:144" x14ac:dyDescent="0.35">
      <c r="A1702" t="s">
        <v>96</v>
      </c>
      <c r="E1702">
        <v>2.9387948455784386E-3</v>
      </c>
      <c r="F1702">
        <f t="shared" si="58"/>
        <v>-1.9162489839611781E-2</v>
      </c>
      <c r="G1702">
        <f t="shared" si="59"/>
        <v>-3.2447616930150289E-2</v>
      </c>
    </row>
    <row r="1703" spans="1:144" x14ac:dyDescent="0.35">
      <c r="A1703" t="s">
        <v>96</v>
      </c>
      <c r="E1703">
        <v>8.397154264944218E-3</v>
      </c>
      <c r="F1703">
        <f t="shared" si="58"/>
        <v>-1.9169079569140133E-2</v>
      </c>
      <c r="G1703">
        <f t="shared" si="59"/>
        <v>-3.2447616930150289E-2</v>
      </c>
    </row>
    <row r="1704" spans="1:144" x14ac:dyDescent="0.35">
      <c r="A1704" t="s">
        <v>96</v>
      </c>
      <c r="E1704">
        <v>-5.8836411541646691E-3</v>
      </c>
      <c r="F1704">
        <f t="shared" si="58"/>
        <v>-1.9175669298668482E-2</v>
      </c>
      <c r="G1704">
        <f t="shared" si="59"/>
        <v>-3.2447616930150289E-2</v>
      </c>
    </row>
    <row r="1705" spans="1:144" x14ac:dyDescent="0.35">
      <c r="A1705" t="s">
        <v>96</v>
      </c>
      <c r="E1705">
        <v>-1.156379579178309E-2</v>
      </c>
      <c r="F1705">
        <f t="shared" si="58"/>
        <v>-1.9182259028196834E-2</v>
      </c>
      <c r="G1705">
        <f t="shared" si="59"/>
        <v>-3.2447616930150289E-2</v>
      </c>
    </row>
    <row r="1706" spans="1:144" s="3" customFormat="1" x14ac:dyDescent="0.35">
      <c r="A1706" s="3" t="s">
        <v>97</v>
      </c>
      <c r="B1706" s="3" cm="1">
        <f t="array" ref="B1706">_xlfn.STDEV.S(_xlfn._xlws.FILTER($E$1000:$E$1998, $A$1000:$A$1998="2016-11"))</f>
        <v>1.2733289004412448E-2</v>
      </c>
      <c r="C1706" s="3" cm="1">
        <f t="array" ref="C1706">AVERAGE(_xlfn._xlws.FILTER($E$1000:$E$1998, $A$1000:$A$1998="2016-11"))</f>
        <v>-5.1958593793745669E-4</v>
      </c>
      <c r="D1706" s="3" cm="1">
        <f t="array" ref="D1706">_xlfn.PERCENTILE.EXC(_xlfn._xlws.FILTER($E$1498:$E$2489, $A$1498:$A$2489="2016-11"), 0.05)</f>
        <v>-2.4320171369630751E-2</v>
      </c>
      <c r="E1706" s="3">
        <v>-1.3330462250398922E-2</v>
      </c>
      <c r="F1706" s="3">
        <f t="shared" si="58"/>
        <v>-1.9188848757725183E-2</v>
      </c>
      <c r="G1706" s="3">
        <f t="shared" si="59"/>
        <v>-3.2447616930150289E-2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</row>
    <row r="1707" spans="1:144" x14ac:dyDescent="0.35">
      <c r="A1707" t="s">
        <v>97</v>
      </c>
      <c r="E1707">
        <v>-2.5396896690630614E-2</v>
      </c>
      <c r="F1707">
        <f t="shared" si="58"/>
        <v>-1.9195438487253531E-2</v>
      </c>
      <c r="G1707">
        <f t="shared" si="59"/>
        <v>-3.2447616930150289E-2</v>
      </c>
    </row>
    <row r="1708" spans="1:144" x14ac:dyDescent="0.35">
      <c r="A1708" t="s">
        <v>97</v>
      </c>
      <c r="E1708">
        <v>-3.3209310392718584E-3</v>
      </c>
      <c r="F1708">
        <f t="shared" si="58"/>
        <v>-1.9114223101642284E-2</v>
      </c>
      <c r="G1708">
        <f t="shared" si="59"/>
        <v>-3.2388116108149567E-2</v>
      </c>
    </row>
    <row r="1709" spans="1:144" x14ac:dyDescent="0.35">
      <c r="A1709" t="s">
        <v>97</v>
      </c>
      <c r="E1709">
        <v>-6.1884523292035452E-3</v>
      </c>
      <c r="F1709">
        <f t="shared" si="58"/>
        <v>-1.9117147041551687E-2</v>
      </c>
      <c r="G1709">
        <f t="shared" si="59"/>
        <v>-3.2388116108149567E-2</v>
      </c>
    </row>
    <row r="1710" spans="1:144" x14ac:dyDescent="0.35">
      <c r="A1710" t="s">
        <v>97</v>
      </c>
      <c r="E1710">
        <v>2.5301338911389176E-2</v>
      </c>
      <c r="F1710">
        <f t="shared" si="58"/>
        <v>-1.9120070981461085E-2</v>
      </c>
      <c r="G1710">
        <f t="shared" si="59"/>
        <v>-3.2388116108149567E-2</v>
      </c>
    </row>
    <row r="1711" spans="1:144" x14ac:dyDescent="0.35">
      <c r="A1711" t="s">
        <v>97</v>
      </c>
      <c r="E1711">
        <v>4.8077588810574124E-3</v>
      </c>
      <c r="F1711">
        <f t="shared" si="58"/>
        <v>-1.9122994921370484E-2</v>
      </c>
      <c r="G1711">
        <f t="shared" si="59"/>
        <v>-3.2388116108149567E-2</v>
      </c>
    </row>
    <row r="1712" spans="1:144" x14ac:dyDescent="0.35">
      <c r="A1712" t="s">
        <v>97</v>
      </c>
      <c r="E1712">
        <v>-1.0447015370725857E-3</v>
      </c>
      <c r="F1712">
        <f t="shared" si="58"/>
        <v>-1.9125918861279886E-2</v>
      </c>
      <c r="G1712">
        <f t="shared" si="59"/>
        <v>-3.2388116108149567E-2</v>
      </c>
    </row>
    <row r="1713" spans="1:144" x14ac:dyDescent="0.35">
      <c r="A1713" t="s">
        <v>97</v>
      </c>
      <c r="E1713">
        <v>2.9936262172428269E-4</v>
      </c>
      <c r="F1713">
        <f t="shared" si="58"/>
        <v>-1.9128842801189285E-2</v>
      </c>
      <c r="G1713">
        <f t="shared" si="59"/>
        <v>-3.2388116108149567E-2</v>
      </c>
    </row>
    <row r="1714" spans="1:144" x14ac:dyDescent="0.35">
      <c r="A1714" t="s">
        <v>97</v>
      </c>
      <c r="E1714">
        <v>4.4560457050678038E-4</v>
      </c>
      <c r="F1714">
        <f t="shared" si="58"/>
        <v>-1.9131766741098684E-2</v>
      </c>
      <c r="G1714">
        <f t="shared" si="59"/>
        <v>-3.2388116108149567E-2</v>
      </c>
    </row>
    <row r="1715" spans="1:144" x14ac:dyDescent="0.35">
      <c r="A1715" t="s">
        <v>97</v>
      </c>
      <c r="E1715">
        <v>-7.5251036472241918E-3</v>
      </c>
      <c r="F1715">
        <f t="shared" si="58"/>
        <v>-1.9134690681008086E-2</v>
      </c>
      <c r="G1715">
        <f t="shared" si="59"/>
        <v>-3.2388116108149567E-2</v>
      </c>
    </row>
    <row r="1716" spans="1:144" x14ac:dyDescent="0.35">
      <c r="A1716" t="s">
        <v>97</v>
      </c>
      <c r="E1716">
        <v>-2.3734817470222981E-4</v>
      </c>
      <c r="F1716">
        <f t="shared" si="58"/>
        <v>-1.9137614620917485E-2</v>
      </c>
      <c r="G1716">
        <f t="shared" si="59"/>
        <v>-3.2388116108149567E-2</v>
      </c>
    </row>
    <row r="1717" spans="1:144" x14ac:dyDescent="0.35">
      <c r="A1717" t="s">
        <v>97</v>
      </c>
      <c r="E1717">
        <v>-7.3719860935402299E-3</v>
      </c>
      <c r="F1717">
        <f t="shared" si="58"/>
        <v>-1.9140538560826884E-2</v>
      </c>
      <c r="G1717">
        <f t="shared" si="59"/>
        <v>-3.2388116108149567E-2</v>
      </c>
    </row>
    <row r="1718" spans="1:144" x14ac:dyDescent="0.35">
      <c r="A1718" t="s">
        <v>97</v>
      </c>
      <c r="E1718">
        <v>-2.7359079021266992E-4</v>
      </c>
      <c r="F1718">
        <f t="shared" si="58"/>
        <v>-1.9143462500736282E-2</v>
      </c>
      <c r="G1718">
        <f t="shared" si="59"/>
        <v>-3.2388116108149567E-2</v>
      </c>
    </row>
    <row r="1719" spans="1:144" x14ac:dyDescent="0.35">
      <c r="A1719" t="s">
        <v>97</v>
      </c>
      <c r="E1719">
        <v>-1.7636004351733021E-2</v>
      </c>
      <c r="F1719">
        <f t="shared" si="58"/>
        <v>-1.9146386440645684E-2</v>
      </c>
      <c r="G1719">
        <f t="shared" si="59"/>
        <v>-3.2388116108149567E-2</v>
      </c>
    </row>
    <row r="1720" spans="1:144" x14ac:dyDescent="0.35">
      <c r="A1720" t="s">
        <v>97</v>
      </c>
      <c r="E1720">
        <v>1.9261035903849909E-3</v>
      </c>
      <c r="F1720">
        <f t="shared" si="58"/>
        <v>-1.9149310380555083E-2</v>
      </c>
      <c r="G1720">
        <f t="shared" si="59"/>
        <v>-3.2388116108149567E-2</v>
      </c>
    </row>
    <row r="1721" spans="1:144" x14ac:dyDescent="0.35">
      <c r="A1721" t="s">
        <v>97</v>
      </c>
      <c r="E1721">
        <v>1.3568113951893371E-2</v>
      </c>
      <c r="F1721">
        <f t="shared" si="58"/>
        <v>-1.9155900110083432E-2</v>
      </c>
      <c r="G1721">
        <f t="shared" si="59"/>
        <v>-3.251541231706874E-2</v>
      </c>
    </row>
    <row r="1722" spans="1:144" x14ac:dyDescent="0.35">
      <c r="A1722" t="s">
        <v>97</v>
      </c>
      <c r="E1722">
        <v>7.4851412555898263E-4</v>
      </c>
      <c r="F1722">
        <f t="shared" si="58"/>
        <v>-1.9162489839611781E-2</v>
      </c>
      <c r="G1722">
        <f t="shared" si="59"/>
        <v>-3.251541231706874E-2</v>
      </c>
    </row>
    <row r="1723" spans="1:144" x14ac:dyDescent="0.35">
      <c r="A1723" t="s">
        <v>97</v>
      </c>
      <c r="E1723">
        <v>-1.9090012484706622E-3</v>
      </c>
      <c r="F1723">
        <f t="shared" si="58"/>
        <v>-1.9169079569140133E-2</v>
      </c>
      <c r="G1723">
        <f t="shared" si="59"/>
        <v>-3.251541231706874E-2</v>
      </c>
    </row>
    <row r="1724" spans="1:144" x14ac:dyDescent="0.35">
      <c r="A1724" t="s">
        <v>97</v>
      </c>
      <c r="E1724">
        <v>8.7109708002635125E-4</v>
      </c>
      <c r="F1724">
        <f t="shared" si="58"/>
        <v>-1.9175669298668482E-2</v>
      </c>
      <c r="G1724">
        <f t="shared" si="59"/>
        <v>-3.251541231706874E-2</v>
      </c>
    </row>
    <row r="1725" spans="1:144" x14ac:dyDescent="0.35">
      <c r="A1725" t="s">
        <v>97</v>
      </c>
      <c r="E1725">
        <v>-1.8218727883964874E-2</v>
      </c>
      <c r="F1725">
        <f t="shared" si="58"/>
        <v>-1.9182259028196834E-2</v>
      </c>
      <c r="G1725">
        <f t="shared" si="59"/>
        <v>-3.251541231706874E-2</v>
      </c>
    </row>
    <row r="1726" spans="1:144" x14ac:dyDescent="0.35">
      <c r="A1726" t="s">
        <v>97</v>
      </c>
      <c r="E1726">
        <v>2.1045469942233171E-2</v>
      </c>
      <c r="F1726">
        <f t="shared" si="58"/>
        <v>-1.9188848757725183E-2</v>
      </c>
      <c r="G1726">
        <f t="shared" si="59"/>
        <v>-3.251541231706874E-2</v>
      </c>
    </row>
    <row r="1727" spans="1:144" x14ac:dyDescent="0.35">
      <c r="A1727" t="s">
        <v>97</v>
      </c>
      <c r="E1727">
        <v>2.2008951727026833E-2</v>
      </c>
      <c r="F1727">
        <f t="shared" si="58"/>
        <v>-1.9195438487253531E-2</v>
      </c>
      <c r="G1727">
        <f t="shared" si="59"/>
        <v>-3.251541231706874E-2</v>
      </c>
    </row>
    <row r="1728" spans="1:144" s="3" customFormat="1" x14ac:dyDescent="0.35">
      <c r="A1728" s="3" t="s">
        <v>98</v>
      </c>
      <c r="B1728" s="3" cm="1">
        <f t="array" ref="B1728">_xlfn.STDEV.S(_xlfn._xlws.FILTER($E$1000:$E$1998, $A$1000:$A$1998="2016-12"))</f>
        <v>1.3176443430861016E-2</v>
      </c>
      <c r="C1728" s="3" cm="1">
        <f t="array" ref="C1728">AVERAGE(_xlfn._xlws.FILTER($E$1000:$E$1998, $A$1000:$A$1998="2016-12"))</f>
        <v>6.3799143776089541E-3</v>
      </c>
      <c r="D1728" s="3" cm="1">
        <f t="array" ref="D1728">_xlfn.PERCENTILE.EXC(_xlfn._xlws.FILTER($E$1498:$E$2489, $A$1498:$A$2489="2016-12"), 0.05)</f>
        <v>-1.1600161969498481E-2</v>
      </c>
      <c r="E1728" s="3">
        <v>9.8693847033410435E-3</v>
      </c>
      <c r="F1728" s="3">
        <f t="shared" si="58"/>
        <v>-1.920202821678188E-2</v>
      </c>
      <c r="G1728" s="3">
        <f t="shared" si="59"/>
        <v>-3.251541231706874E-2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</row>
    <row r="1729" spans="1:7" x14ac:dyDescent="0.35">
      <c r="A1729" t="s">
        <v>98</v>
      </c>
      <c r="E1729">
        <v>-6.7163609678528896E-4</v>
      </c>
      <c r="F1729">
        <f t="shared" si="58"/>
        <v>-1.9208617946310229E-2</v>
      </c>
      <c r="G1729">
        <f t="shared" si="59"/>
        <v>-3.251541231706874E-2</v>
      </c>
    </row>
    <row r="1730" spans="1:7" x14ac:dyDescent="0.35">
      <c r="A1730" t="s">
        <v>98</v>
      </c>
      <c r="E1730">
        <v>-2.1466414547691029E-3</v>
      </c>
      <c r="F1730">
        <f t="shared" si="58"/>
        <v>-1.9215207675838581E-2</v>
      </c>
      <c r="G1730">
        <f t="shared" si="59"/>
        <v>-3.251541231706874E-2</v>
      </c>
    </row>
    <row r="1731" spans="1:7" x14ac:dyDescent="0.35">
      <c r="A1731" t="s">
        <v>98</v>
      </c>
      <c r="E1731">
        <v>4.0662335647929898E-2</v>
      </c>
      <c r="F1731">
        <f t="shared" si="58"/>
        <v>-1.922179740536693E-2</v>
      </c>
      <c r="G1731">
        <f t="shared" si="59"/>
        <v>-3.251541231706874E-2</v>
      </c>
    </row>
    <row r="1732" spans="1:7" x14ac:dyDescent="0.35">
      <c r="A1732" t="s">
        <v>98</v>
      </c>
      <c r="E1732">
        <v>2.0779571837700673E-2</v>
      </c>
      <c r="F1732">
        <f t="shared" ref="F1732:F1795" si="60">_xlfn.PERCENTILE.EXC(E1732:E5547,0.05)</f>
        <v>-1.9228387134895279E-2</v>
      </c>
      <c r="G1732">
        <f t="shared" ref="G1732:G1795" si="61">AVERAGEIFS(E1732:E5548,E1732:E5548,"&lt;=" &amp; F1732)</f>
        <v>-3.251541231706874E-2</v>
      </c>
    </row>
    <row r="1733" spans="1:7" x14ac:dyDescent="0.35">
      <c r="A1733" t="s">
        <v>98</v>
      </c>
      <c r="E1733">
        <v>1.6259222055168696E-2</v>
      </c>
      <c r="F1733">
        <f t="shared" si="60"/>
        <v>-1.9234976864423631E-2</v>
      </c>
      <c r="G1733">
        <f t="shared" si="61"/>
        <v>-3.251541231706874E-2</v>
      </c>
    </row>
    <row r="1734" spans="1:7" x14ac:dyDescent="0.35">
      <c r="A1734" t="s">
        <v>98</v>
      </c>
      <c r="E1734">
        <v>-7.3643100855889342E-3</v>
      </c>
      <c r="F1734">
        <f t="shared" si="60"/>
        <v>-1.9241566593951979E-2</v>
      </c>
      <c r="G1734">
        <f t="shared" si="61"/>
        <v>-3.251541231706874E-2</v>
      </c>
    </row>
    <row r="1735" spans="1:7" x14ac:dyDescent="0.35">
      <c r="A1735" t="s">
        <v>98</v>
      </c>
      <c r="E1735">
        <v>4.2369789569271163E-3</v>
      </c>
      <c r="F1735">
        <f t="shared" si="60"/>
        <v>-1.9248156323480328E-2</v>
      </c>
      <c r="G1735">
        <f t="shared" si="61"/>
        <v>-3.251541231706874E-2</v>
      </c>
    </row>
    <row r="1736" spans="1:7" x14ac:dyDescent="0.35">
      <c r="A1736" t="s">
        <v>98</v>
      </c>
      <c r="E1736">
        <v>2.4588090712540939E-2</v>
      </c>
      <c r="F1736">
        <f t="shared" si="60"/>
        <v>-1.925474605300868E-2</v>
      </c>
      <c r="G1736">
        <f t="shared" si="61"/>
        <v>-3.251541231706874E-2</v>
      </c>
    </row>
    <row r="1737" spans="1:7" x14ac:dyDescent="0.35">
      <c r="A1737" t="s">
        <v>98</v>
      </c>
      <c r="E1737">
        <v>-1.1823101542335826E-2</v>
      </c>
      <c r="F1737">
        <f t="shared" si="60"/>
        <v>-1.9261335782537029E-2</v>
      </c>
      <c r="G1737">
        <f t="shared" si="61"/>
        <v>-3.251541231706874E-2</v>
      </c>
    </row>
    <row r="1738" spans="1:7" x14ac:dyDescent="0.35">
      <c r="A1738" t="s">
        <v>98</v>
      </c>
      <c r="E1738">
        <v>2.0663423085983783E-2</v>
      </c>
      <c r="F1738">
        <f t="shared" si="60"/>
        <v>-1.9267925512065378E-2</v>
      </c>
      <c r="G1738">
        <f t="shared" si="61"/>
        <v>-3.251541231706874E-2</v>
      </c>
    </row>
    <row r="1739" spans="1:7" x14ac:dyDescent="0.35">
      <c r="A1739" t="s">
        <v>98</v>
      </c>
      <c r="E1739">
        <v>1.0502627411297374E-3</v>
      </c>
      <c r="F1739">
        <f t="shared" si="60"/>
        <v>-1.9274515241593727E-2</v>
      </c>
      <c r="G1739">
        <f t="shared" si="61"/>
        <v>-3.251541231706874E-2</v>
      </c>
    </row>
    <row r="1740" spans="1:7" x14ac:dyDescent="0.35">
      <c r="A1740" t="s">
        <v>98</v>
      </c>
      <c r="E1740">
        <v>-2.4120890946023156E-3</v>
      </c>
      <c r="F1740">
        <f t="shared" si="60"/>
        <v>-1.9281104971122079E-2</v>
      </c>
      <c r="G1740">
        <f t="shared" si="61"/>
        <v>-3.251541231706874E-2</v>
      </c>
    </row>
    <row r="1741" spans="1:7" x14ac:dyDescent="0.35">
      <c r="A1741" t="s">
        <v>98</v>
      </c>
      <c r="E1741">
        <v>1.4564769146934321E-2</v>
      </c>
      <c r="F1741">
        <f t="shared" si="60"/>
        <v>-1.9289832967932088E-2</v>
      </c>
      <c r="G1741">
        <f t="shared" si="61"/>
        <v>-3.264390073790318E-2</v>
      </c>
    </row>
    <row r="1742" spans="1:7" x14ac:dyDescent="0.35">
      <c r="A1742" t="s">
        <v>98</v>
      </c>
      <c r="E1742">
        <v>-1.6457451073469606E-3</v>
      </c>
      <c r="F1742">
        <f t="shared" si="60"/>
        <v>-1.9298560964742102E-2</v>
      </c>
      <c r="G1742">
        <f t="shared" si="61"/>
        <v>-3.264390073790318E-2</v>
      </c>
    </row>
    <row r="1743" spans="1:7" x14ac:dyDescent="0.35">
      <c r="A1743" t="s">
        <v>98</v>
      </c>
      <c r="E1743">
        <v>-4.9211236900960154E-3</v>
      </c>
      <c r="F1743">
        <f t="shared" si="60"/>
        <v>-1.9307288961552111E-2</v>
      </c>
      <c r="G1743">
        <f t="shared" si="61"/>
        <v>-3.264390073790318E-2</v>
      </c>
    </row>
    <row r="1744" spans="1:7" x14ac:dyDescent="0.35">
      <c r="A1744" t="s">
        <v>98</v>
      </c>
      <c r="E1744">
        <v>1.1634216977257169E-2</v>
      </c>
      <c r="F1744">
        <f t="shared" si="60"/>
        <v>-1.9316016958362121E-2</v>
      </c>
      <c r="G1744">
        <f t="shared" si="61"/>
        <v>-3.264390073790318E-2</v>
      </c>
    </row>
    <row r="1745" spans="1:144" x14ac:dyDescent="0.35">
      <c r="A1745" t="s">
        <v>98</v>
      </c>
      <c r="E1745">
        <v>-5.4752820575717153E-3</v>
      </c>
      <c r="F1745">
        <f t="shared" si="60"/>
        <v>-1.9324744955172134E-2</v>
      </c>
      <c r="G1745">
        <f t="shared" si="61"/>
        <v>-3.264390073790318E-2</v>
      </c>
    </row>
    <row r="1746" spans="1:144" x14ac:dyDescent="0.35">
      <c r="A1746" t="s">
        <v>98</v>
      </c>
      <c r="E1746">
        <v>-1.8442736385293303E-3</v>
      </c>
      <c r="F1746">
        <f t="shared" si="60"/>
        <v>-1.9333472951982147E-2</v>
      </c>
      <c r="G1746">
        <f t="shared" si="61"/>
        <v>-3.264390073790318E-2</v>
      </c>
    </row>
    <row r="1747" spans="1:144" x14ac:dyDescent="0.35">
      <c r="A1747" t="s">
        <v>98</v>
      </c>
      <c r="E1747">
        <v>1.5942344548912019E-3</v>
      </c>
      <c r="F1747">
        <f t="shared" si="60"/>
        <v>-1.9342200948792156E-2</v>
      </c>
      <c r="G1747">
        <f t="shared" si="61"/>
        <v>-3.264390073790318E-2</v>
      </c>
    </row>
    <row r="1748" spans="1:144" s="3" customFormat="1" x14ac:dyDescent="0.35">
      <c r="A1748" s="3" t="s">
        <v>99</v>
      </c>
      <c r="B1748" s="3" cm="1">
        <f t="array" ref="B1748">_xlfn.STDEV.S(_xlfn._xlws.FILTER($E$1000:$E$1998, $A$1000:$A$1998="2017-01"))</f>
        <v>1.1563507101401317E-2</v>
      </c>
      <c r="C1748" s="3" cm="1">
        <f t="array" ref="C1748">AVERAGE(_xlfn._xlws.FILTER($E$1000:$E$1998, $A$1000:$A$1998="2017-01"))</f>
        <v>-1.6212681611123005E-3</v>
      </c>
      <c r="D1748" s="3" cm="1">
        <f t="array" ref="D1748">_xlfn.PERCENTILE.EXC(_xlfn._xlws.FILTER($E$1498:$E$2489, $A$1498:$A$2489="2017-01"), 0.05)</f>
        <v>-2.8642008596303489E-2</v>
      </c>
      <c r="E1748" s="3">
        <v>1.746588802847714E-2</v>
      </c>
      <c r="F1748" s="3">
        <f t="shared" si="60"/>
        <v>-1.9350928945602169E-2</v>
      </c>
      <c r="G1748" s="3">
        <f t="shared" si="61"/>
        <v>-3.264390073790318E-2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</row>
    <row r="1749" spans="1:144" x14ac:dyDescent="0.35">
      <c r="A1749" t="s">
        <v>99</v>
      </c>
      <c r="E1749">
        <v>2.712238257848255E-3</v>
      </c>
      <c r="F1749">
        <f t="shared" si="60"/>
        <v>-1.9359656942412179E-2</v>
      </c>
      <c r="G1749">
        <f t="shared" si="61"/>
        <v>-3.264390073790318E-2</v>
      </c>
    </row>
    <row r="1750" spans="1:144" x14ac:dyDescent="0.35">
      <c r="A1750" t="s">
        <v>99</v>
      </c>
      <c r="E1750">
        <v>8.2354099249677454E-4</v>
      </c>
      <c r="F1750">
        <f t="shared" si="60"/>
        <v>-1.9368384939222192E-2</v>
      </c>
      <c r="G1750">
        <f t="shared" si="61"/>
        <v>-3.264390073790318E-2</v>
      </c>
    </row>
    <row r="1751" spans="1:144" x14ac:dyDescent="0.35">
      <c r="A1751" t="s">
        <v>99</v>
      </c>
      <c r="E1751">
        <v>2.2832151471972994E-3</v>
      </c>
      <c r="F1751">
        <f t="shared" si="60"/>
        <v>-1.9377112936032202E-2</v>
      </c>
      <c r="G1751">
        <f t="shared" si="61"/>
        <v>-3.264390073790318E-2</v>
      </c>
    </row>
    <row r="1752" spans="1:144" x14ac:dyDescent="0.35">
      <c r="A1752" t="s">
        <v>99</v>
      </c>
      <c r="E1752">
        <v>-1.6784468289881373E-2</v>
      </c>
      <c r="F1752">
        <f t="shared" si="60"/>
        <v>-1.9385840932842215E-2</v>
      </c>
      <c r="G1752">
        <f t="shared" si="61"/>
        <v>-3.264390073790318E-2</v>
      </c>
    </row>
    <row r="1753" spans="1:144" x14ac:dyDescent="0.35">
      <c r="A1753" t="s">
        <v>99</v>
      </c>
      <c r="E1753">
        <v>3.3090816368427467E-3</v>
      </c>
      <c r="F1753">
        <f t="shared" si="60"/>
        <v>-1.9394568929652224E-2</v>
      </c>
      <c r="G1753">
        <f t="shared" si="61"/>
        <v>-3.264390073790318E-2</v>
      </c>
    </row>
    <row r="1754" spans="1:144" x14ac:dyDescent="0.35">
      <c r="A1754" t="s">
        <v>99</v>
      </c>
      <c r="E1754">
        <v>3.2222220689909985E-3</v>
      </c>
      <c r="F1754">
        <f t="shared" si="60"/>
        <v>-1.9403296926462234E-2</v>
      </c>
      <c r="G1754">
        <f t="shared" si="61"/>
        <v>-3.264390073790318E-2</v>
      </c>
    </row>
    <row r="1755" spans="1:144" x14ac:dyDescent="0.35">
      <c r="A1755" t="s">
        <v>99</v>
      </c>
      <c r="E1755">
        <v>-1.7094636856096197E-2</v>
      </c>
      <c r="F1755">
        <f t="shared" si="60"/>
        <v>-1.941202492327225E-2</v>
      </c>
      <c r="G1755">
        <f t="shared" si="61"/>
        <v>-3.264390073790318E-2</v>
      </c>
    </row>
    <row r="1756" spans="1:144" x14ac:dyDescent="0.35">
      <c r="A1756" t="s">
        <v>99</v>
      </c>
      <c r="E1756">
        <v>1.8513046987696638E-2</v>
      </c>
      <c r="F1756">
        <f t="shared" si="60"/>
        <v>-1.942075292008226E-2</v>
      </c>
      <c r="G1756">
        <f t="shared" si="61"/>
        <v>-3.264390073790318E-2</v>
      </c>
    </row>
    <row r="1757" spans="1:144" x14ac:dyDescent="0.35">
      <c r="A1757" t="s">
        <v>99</v>
      </c>
      <c r="E1757">
        <v>-1.3791635357300169E-2</v>
      </c>
      <c r="F1757">
        <f t="shared" si="60"/>
        <v>-1.9429480916892269E-2</v>
      </c>
      <c r="G1757">
        <f t="shared" si="61"/>
        <v>-3.264390073790318E-2</v>
      </c>
    </row>
    <row r="1758" spans="1:144" x14ac:dyDescent="0.35">
      <c r="A1758" t="s">
        <v>99</v>
      </c>
      <c r="E1758">
        <v>2.537918998478615E-3</v>
      </c>
      <c r="F1758">
        <f t="shared" si="60"/>
        <v>-1.9438208913702282E-2</v>
      </c>
      <c r="G1758">
        <f t="shared" si="61"/>
        <v>-3.264390073790318E-2</v>
      </c>
    </row>
    <row r="1759" spans="1:144" x14ac:dyDescent="0.35">
      <c r="A1759" t="s">
        <v>99</v>
      </c>
      <c r="E1759">
        <v>3.204824152108559E-3</v>
      </c>
      <c r="F1759">
        <f t="shared" si="60"/>
        <v>-1.9446936910512292E-2</v>
      </c>
      <c r="G1759">
        <f t="shared" si="61"/>
        <v>-3.264390073790318E-2</v>
      </c>
    </row>
    <row r="1760" spans="1:144" x14ac:dyDescent="0.35">
      <c r="A1760" t="s">
        <v>99</v>
      </c>
      <c r="E1760">
        <v>6.8398317986941076E-3</v>
      </c>
      <c r="F1760">
        <f t="shared" si="60"/>
        <v>-1.9455664907322305E-2</v>
      </c>
      <c r="G1760">
        <f t="shared" si="61"/>
        <v>-3.264390073790318E-2</v>
      </c>
    </row>
    <row r="1761" spans="1:144" x14ac:dyDescent="0.35">
      <c r="A1761" t="s">
        <v>99</v>
      </c>
      <c r="E1761">
        <v>-5.9019124422119752E-4</v>
      </c>
      <c r="F1761">
        <f t="shared" si="60"/>
        <v>-1.945575796806159E-2</v>
      </c>
      <c r="G1761">
        <f t="shared" si="61"/>
        <v>-3.2773197167614752E-2</v>
      </c>
    </row>
    <row r="1762" spans="1:144" x14ac:dyDescent="0.35">
      <c r="A1762" t="s">
        <v>99</v>
      </c>
      <c r="E1762">
        <v>-7.7845428151808388E-3</v>
      </c>
      <c r="F1762">
        <f t="shared" si="60"/>
        <v>-1.9455851028800875E-2</v>
      </c>
      <c r="G1762">
        <f t="shared" si="61"/>
        <v>-3.2773197167614752E-2</v>
      </c>
    </row>
    <row r="1763" spans="1:144" x14ac:dyDescent="0.35">
      <c r="A1763" t="s">
        <v>99</v>
      </c>
      <c r="E1763">
        <v>8.8148412721073786E-3</v>
      </c>
      <c r="F1763">
        <f t="shared" si="60"/>
        <v>-1.9455944089540159E-2</v>
      </c>
      <c r="G1763">
        <f t="shared" si="61"/>
        <v>-3.2773197167614752E-2</v>
      </c>
    </row>
    <row r="1764" spans="1:144" x14ac:dyDescent="0.35">
      <c r="A1764" t="s">
        <v>99</v>
      </c>
      <c r="E1764">
        <v>4.2316467955762112E-3</v>
      </c>
      <c r="F1764">
        <f t="shared" si="60"/>
        <v>-1.9456037150279444E-2</v>
      </c>
      <c r="G1764">
        <f t="shared" si="61"/>
        <v>-3.2773197167614752E-2</v>
      </c>
    </row>
    <row r="1765" spans="1:144" x14ac:dyDescent="0.35">
      <c r="A1765" t="s">
        <v>99</v>
      </c>
      <c r="E1765">
        <v>-7.3077275884545646E-3</v>
      </c>
      <c r="F1765">
        <f t="shared" si="60"/>
        <v>-1.9456130211018729E-2</v>
      </c>
      <c r="G1765">
        <f t="shared" si="61"/>
        <v>-3.2773197167614752E-2</v>
      </c>
    </row>
    <row r="1766" spans="1:144" x14ac:dyDescent="0.35">
      <c r="A1766" t="s">
        <v>99</v>
      </c>
      <c r="E1766">
        <v>-5.6947847300370105E-3</v>
      </c>
      <c r="F1766">
        <f t="shared" si="60"/>
        <v>-1.9456223271758014E-2</v>
      </c>
      <c r="G1766">
        <f t="shared" si="61"/>
        <v>-3.2773197167614752E-2</v>
      </c>
    </row>
    <row r="1767" spans="1:144" x14ac:dyDescent="0.35">
      <c r="A1767" t="s">
        <v>99</v>
      </c>
      <c r="E1767">
        <v>-2.9925049900770967E-2</v>
      </c>
      <c r="F1767">
        <f t="shared" si="60"/>
        <v>-1.9456316332497298E-2</v>
      </c>
      <c r="G1767">
        <f t="shared" si="61"/>
        <v>-3.2773197167614752E-2</v>
      </c>
    </row>
    <row r="1768" spans="1:144" x14ac:dyDescent="0.35">
      <c r="A1768" t="s">
        <v>99</v>
      </c>
      <c r="E1768">
        <v>-9.0318907379307225E-3</v>
      </c>
      <c r="F1768">
        <f t="shared" si="60"/>
        <v>-1.9350928945602169E-2</v>
      </c>
      <c r="G1768">
        <f t="shared" si="61"/>
        <v>-3.267055613826722E-2</v>
      </c>
    </row>
    <row r="1769" spans="1:144" s="3" customFormat="1" x14ac:dyDescent="0.35">
      <c r="A1769" s="3" t="s">
        <v>100</v>
      </c>
      <c r="B1769" s="3" cm="1">
        <f t="array" ref="B1769">_xlfn.STDEV.S(_xlfn._xlws.FILTER($E$1000:$E$1998, $A$1000:$A$1998="2017-02"))</f>
        <v>9.3072179327280315E-3</v>
      </c>
      <c r="C1769" s="3" cm="1">
        <f t="array" ref="C1769">AVERAGE(_xlfn._xlws.FILTER($E$1000:$E$1998, $A$1000:$A$1998="2017-02"))</f>
        <v>8.6006257211062567E-4</v>
      </c>
      <c r="D1769" s="3" cm="1">
        <f t="array" ref="D1769">_xlfn.PERCENTILE.EXC(_xlfn._xlws.FILTER($E$1498:$E$2489, $A$1498:$A$2489="2017-02"), 0.05)</f>
        <v>-2.1822237254134836E-2</v>
      </c>
      <c r="E1769" s="3">
        <v>8.0318919879292586E-3</v>
      </c>
      <c r="F1769" s="3">
        <f t="shared" si="60"/>
        <v>-1.9359656942412179E-2</v>
      </c>
      <c r="G1769" s="3">
        <f t="shared" si="61"/>
        <v>-3.267055613826722E-2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</row>
    <row r="1770" spans="1:144" x14ac:dyDescent="0.35">
      <c r="A1770" t="s">
        <v>100</v>
      </c>
      <c r="E1770">
        <v>7.8948393892724657E-3</v>
      </c>
      <c r="F1770">
        <f t="shared" si="60"/>
        <v>-1.9368384939222192E-2</v>
      </c>
      <c r="G1770">
        <f t="shared" si="61"/>
        <v>-3.267055613826722E-2</v>
      </c>
    </row>
    <row r="1771" spans="1:144" x14ac:dyDescent="0.35">
      <c r="A1771" t="s">
        <v>100</v>
      </c>
      <c r="E1771">
        <v>1.193797243823715E-2</v>
      </c>
      <c r="F1771">
        <f t="shared" si="60"/>
        <v>-1.9377112936032202E-2</v>
      </c>
      <c r="G1771">
        <f t="shared" si="61"/>
        <v>-3.267055613826722E-2</v>
      </c>
    </row>
    <row r="1772" spans="1:144" x14ac:dyDescent="0.35">
      <c r="A1772" t="s">
        <v>100</v>
      </c>
      <c r="E1772">
        <v>-2.2343879201355409E-2</v>
      </c>
      <c r="F1772">
        <f t="shared" si="60"/>
        <v>-1.9385840932842215E-2</v>
      </c>
      <c r="G1772">
        <f t="shared" si="61"/>
        <v>-3.267055613826722E-2</v>
      </c>
    </row>
    <row r="1773" spans="1:144" x14ac:dyDescent="0.35">
      <c r="A1773" t="s">
        <v>100</v>
      </c>
      <c r="E1773">
        <v>-1.6618369795907081E-3</v>
      </c>
      <c r="F1773">
        <f t="shared" si="60"/>
        <v>-1.9234976864423631E-2</v>
      </c>
      <c r="G1773">
        <f t="shared" si="61"/>
        <v>-3.2640528939931593E-2</v>
      </c>
    </row>
    <row r="1774" spans="1:144" x14ac:dyDescent="0.35">
      <c r="A1774" t="s">
        <v>100</v>
      </c>
      <c r="E1774">
        <v>5.8326212603948772E-3</v>
      </c>
      <c r="F1774">
        <f t="shared" si="60"/>
        <v>-1.9241566593951979E-2</v>
      </c>
      <c r="G1774">
        <f t="shared" si="61"/>
        <v>-3.2640528939931593E-2</v>
      </c>
    </row>
    <row r="1775" spans="1:144" x14ac:dyDescent="0.35">
      <c r="A1775" t="s">
        <v>100</v>
      </c>
      <c r="E1775">
        <v>9.3141517732175903E-3</v>
      </c>
      <c r="F1775">
        <f t="shared" si="60"/>
        <v>-1.9248156323480328E-2</v>
      </c>
      <c r="G1775">
        <f t="shared" si="61"/>
        <v>-3.2640528939931593E-2</v>
      </c>
    </row>
    <row r="1776" spans="1:144" x14ac:dyDescent="0.35">
      <c r="A1776" t="s">
        <v>100</v>
      </c>
      <c r="E1776">
        <v>-4.5136821184741513E-3</v>
      </c>
      <c r="F1776">
        <f t="shared" si="60"/>
        <v>-1.925474605300868E-2</v>
      </c>
      <c r="G1776">
        <f t="shared" si="61"/>
        <v>-3.2640528939931593E-2</v>
      </c>
    </row>
    <row r="1777" spans="1:144" x14ac:dyDescent="0.35">
      <c r="A1777" t="s">
        <v>100</v>
      </c>
      <c r="E1777">
        <v>1.0680162425889357E-2</v>
      </c>
      <c r="F1777">
        <f t="shared" si="60"/>
        <v>-1.9261335782537029E-2</v>
      </c>
      <c r="G1777">
        <f t="shared" si="61"/>
        <v>-3.2640528939931593E-2</v>
      </c>
    </row>
    <row r="1778" spans="1:144" x14ac:dyDescent="0.35">
      <c r="A1778" t="s">
        <v>100</v>
      </c>
      <c r="E1778">
        <v>6.4325748812478767E-3</v>
      </c>
      <c r="F1778">
        <f t="shared" si="60"/>
        <v>-1.9267925512065378E-2</v>
      </c>
      <c r="G1778">
        <f t="shared" si="61"/>
        <v>-3.2640528939931593E-2</v>
      </c>
    </row>
    <row r="1779" spans="1:144" x14ac:dyDescent="0.35">
      <c r="A1779" t="s">
        <v>100</v>
      </c>
      <c r="E1779">
        <v>-6.8774763596991962E-3</v>
      </c>
      <c r="F1779">
        <f t="shared" si="60"/>
        <v>-1.9274515241593727E-2</v>
      </c>
      <c r="G1779">
        <f t="shared" si="61"/>
        <v>-3.2640528939931593E-2</v>
      </c>
    </row>
    <row r="1780" spans="1:144" x14ac:dyDescent="0.35">
      <c r="A1780" t="s">
        <v>100</v>
      </c>
      <c r="E1780">
        <v>1.6453572715456808E-3</v>
      </c>
      <c r="F1780">
        <f t="shared" si="60"/>
        <v>-1.9281104971122079E-2</v>
      </c>
      <c r="G1780">
        <f t="shared" si="61"/>
        <v>-3.2640528939931593E-2</v>
      </c>
    </row>
    <row r="1781" spans="1:144" x14ac:dyDescent="0.35">
      <c r="A1781" t="s">
        <v>100</v>
      </c>
      <c r="E1781">
        <v>-4.2568447753284083E-3</v>
      </c>
      <c r="F1781">
        <f t="shared" si="60"/>
        <v>-1.9289832967932088E-2</v>
      </c>
      <c r="G1781">
        <f t="shared" si="61"/>
        <v>-3.2772800464375258E-2</v>
      </c>
    </row>
    <row r="1782" spans="1:144" x14ac:dyDescent="0.35">
      <c r="A1782" t="s">
        <v>100</v>
      </c>
      <c r="E1782">
        <v>-1.464258230071691E-3</v>
      </c>
      <c r="F1782">
        <f t="shared" si="60"/>
        <v>-1.9298560964742102E-2</v>
      </c>
      <c r="G1782">
        <f t="shared" si="61"/>
        <v>-3.2772800464375258E-2</v>
      </c>
    </row>
    <row r="1783" spans="1:144" x14ac:dyDescent="0.35">
      <c r="A1783" t="s">
        <v>100</v>
      </c>
      <c r="E1783">
        <v>3.4153737493122448E-3</v>
      </c>
      <c r="F1783">
        <f t="shared" si="60"/>
        <v>-1.9307288961552111E-2</v>
      </c>
      <c r="G1783">
        <f t="shared" si="61"/>
        <v>-3.2772800464375258E-2</v>
      </c>
    </row>
    <row r="1784" spans="1:144" x14ac:dyDescent="0.35">
      <c r="A1784" t="s">
        <v>100</v>
      </c>
      <c r="E1784">
        <v>-8.3673759562153671E-3</v>
      </c>
      <c r="F1784">
        <f t="shared" si="60"/>
        <v>-1.9316016958362121E-2</v>
      </c>
      <c r="G1784">
        <f t="shared" si="61"/>
        <v>-3.2772800464375258E-2</v>
      </c>
    </row>
    <row r="1785" spans="1:144" x14ac:dyDescent="0.35">
      <c r="A1785" t="s">
        <v>100</v>
      </c>
      <c r="E1785">
        <v>-3.4696259835408252E-3</v>
      </c>
      <c r="F1785">
        <f t="shared" si="60"/>
        <v>-1.9324744955172134E-2</v>
      </c>
      <c r="G1785">
        <f t="shared" si="61"/>
        <v>-3.2772800464375258E-2</v>
      </c>
    </row>
    <row r="1786" spans="1:144" x14ac:dyDescent="0.35">
      <c r="A1786" t="s">
        <v>100</v>
      </c>
      <c r="E1786">
        <v>-1.1911040256943936E-2</v>
      </c>
      <c r="F1786">
        <f t="shared" si="60"/>
        <v>-1.9333472951982147E-2</v>
      </c>
      <c r="G1786">
        <f t="shared" si="61"/>
        <v>-3.2772800464375258E-2</v>
      </c>
    </row>
    <row r="1787" spans="1:144" x14ac:dyDescent="0.35">
      <c r="A1787" t="s">
        <v>100</v>
      </c>
      <c r="E1787">
        <v>1.6936255032239406E-2</v>
      </c>
      <c r="F1787">
        <f t="shared" si="60"/>
        <v>-1.9342200948792156E-2</v>
      </c>
      <c r="G1787">
        <f t="shared" si="61"/>
        <v>-3.2772800464375258E-2</v>
      </c>
    </row>
    <row r="1788" spans="1:144" x14ac:dyDescent="0.35">
      <c r="A1788" t="s">
        <v>100</v>
      </c>
      <c r="E1788">
        <v>-5.3928905853698837E-5</v>
      </c>
      <c r="F1788">
        <f t="shared" si="60"/>
        <v>-1.9350928945602169E-2</v>
      </c>
      <c r="G1788">
        <f t="shared" si="61"/>
        <v>-3.2772800464375258E-2</v>
      </c>
    </row>
    <row r="1789" spans="1:144" s="3" customFormat="1" x14ac:dyDescent="0.35">
      <c r="A1789" s="3" t="s">
        <v>101</v>
      </c>
      <c r="B1789" s="3" cm="1">
        <f t="array" ref="B1789">_xlfn.STDEV.S(_xlfn._xlws.FILTER($E$1000:$E$1998, $A$1000:$A$1998="2017-03"))</f>
        <v>8.0566677755887373E-3</v>
      </c>
      <c r="C1789" s="3" cm="1">
        <f t="array" ref="C1789">AVERAGE(_xlfn._xlws.FILTER($E$1000:$E$1998, $A$1000:$A$1998="2017-03"))</f>
        <v>3.4876572067850638E-3</v>
      </c>
      <c r="D1789" s="3" cm="1">
        <f t="array" ref="D1789">_xlfn.PERCENTILE.EXC(_xlfn._xlws.FILTER($E$1498:$E$2489, $A$1498:$A$2489="2017-03"), 0.05)</f>
        <v>-1.0506620861295194E-2</v>
      </c>
      <c r="E1789" s="3">
        <v>2.3571491513012622E-2</v>
      </c>
      <c r="F1789" s="3">
        <f t="shared" si="60"/>
        <v>-1.9359656942412179E-2</v>
      </c>
      <c r="G1789" s="3">
        <f t="shared" si="61"/>
        <v>-3.2772800464375258E-2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</row>
    <row r="1790" spans="1:144" x14ac:dyDescent="0.35">
      <c r="A1790" t="s">
        <v>101</v>
      </c>
      <c r="E1790">
        <v>3.9288791863600998E-3</v>
      </c>
      <c r="F1790">
        <f t="shared" si="60"/>
        <v>-1.9368384939222192E-2</v>
      </c>
      <c r="G1790">
        <f t="shared" si="61"/>
        <v>-3.2772800464375258E-2</v>
      </c>
    </row>
    <row r="1791" spans="1:144" x14ac:dyDescent="0.35">
      <c r="A1791" t="s">
        <v>101</v>
      </c>
      <c r="E1791">
        <v>1.1447745492906329E-2</v>
      </c>
      <c r="F1791">
        <f t="shared" si="60"/>
        <v>-1.9377112936032202E-2</v>
      </c>
      <c r="G1791">
        <f t="shared" si="61"/>
        <v>-3.2772800464375258E-2</v>
      </c>
    </row>
    <row r="1792" spans="1:144" x14ac:dyDescent="0.35">
      <c r="A1792" t="s">
        <v>101</v>
      </c>
      <c r="E1792">
        <v>-1.0973079068288686E-2</v>
      </c>
      <c r="F1792">
        <f t="shared" si="60"/>
        <v>-1.9385840932842215E-2</v>
      </c>
      <c r="G1792">
        <f t="shared" si="61"/>
        <v>-3.2772800464375258E-2</v>
      </c>
    </row>
    <row r="1793" spans="1:7" x14ac:dyDescent="0.35">
      <c r="A1793" t="s">
        <v>101</v>
      </c>
      <c r="E1793">
        <v>2.6731851417006585E-4</v>
      </c>
      <c r="F1793">
        <f t="shared" si="60"/>
        <v>-1.9394568929652224E-2</v>
      </c>
      <c r="G1793">
        <f t="shared" si="61"/>
        <v>-3.2772800464375258E-2</v>
      </c>
    </row>
    <row r="1794" spans="1:7" x14ac:dyDescent="0.35">
      <c r="A1794" t="s">
        <v>101</v>
      </c>
      <c r="E1794">
        <v>1.4043041603676405E-3</v>
      </c>
      <c r="F1794">
        <f t="shared" si="60"/>
        <v>-1.9403296926462234E-2</v>
      </c>
      <c r="G1794">
        <f t="shared" si="61"/>
        <v>-3.2772800464375258E-2</v>
      </c>
    </row>
    <row r="1795" spans="1:7" x14ac:dyDescent="0.35">
      <c r="A1795" t="s">
        <v>101</v>
      </c>
      <c r="E1795">
        <v>4.5501610629056716E-3</v>
      </c>
      <c r="F1795">
        <f t="shared" si="60"/>
        <v>-1.941202492327225E-2</v>
      </c>
      <c r="G1795">
        <f t="shared" si="61"/>
        <v>-3.2772800464375258E-2</v>
      </c>
    </row>
    <row r="1796" spans="1:7" x14ac:dyDescent="0.35">
      <c r="A1796" t="s">
        <v>101</v>
      </c>
      <c r="E1796">
        <v>4.4420601311088498E-3</v>
      </c>
      <c r="F1796">
        <f t="shared" ref="F1796:F1859" si="62">_xlfn.PERCENTILE.EXC(E1796:E5611,0.05)</f>
        <v>-1.942075292008226E-2</v>
      </c>
      <c r="G1796">
        <f t="shared" ref="G1796:G1859" si="63">AVERAGEIFS(E1796:E5612,E1796:E5612,"&lt;=" &amp; F1796)</f>
        <v>-3.2772800464375258E-2</v>
      </c>
    </row>
    <row r="1797" spans="1:7" x14ac:dyDescent="0.35">
      <c r="A1797" t="s">
        <v>101</v>
      </c>
      <c r="E1797">
        <v>2.4681635846864826E-3</v>
      </c>
      <c r="F1797">
        <f t="shared" si="62"/>
        <v>-1.9429480916892269E-2</v>
      </c>
      <c r="G1797">
        <f t="shared" si="63"/>
        <v>-3.2772800464375258E-2</v>
      </c>
    </row>
    <row r="1798" spans="1:7" x14ac:dyDescent="0.35">
      <c r="A1798" t="s">
        <v>101</v>
      </c>
      <c r="E1798">
        <v>-8.6407880333212329E-3</v>
      </c>
      <c r="F1798">
        <f t="shared" si="62"/>
        <v>-1.9438208913702282E-2</v>
      </c>
      <c r="G1798">
        <f t="shared" si="63"/>
        <v>-3.2772800464375258E-2</v>
      </c>
    </row>
    <row r="1799" spans="1:7" x14ac:dyDescent="0.35">
      <c r="A1799" t="s">
        <v>101</v>
      </c>
      <c r="E1799">
        <v>1.2038377531207085E-2</v>
      </c>
      <c r="F1799">
        <f t="shared" si="62"/>
        <v>-1.9446936910512292E-2</v>
      </c>
      <c r="G1799">
        <f t="shared" si="63"/>
        <v>-3.2772800464375258E-2</v>
      </c>
    </row>
    <row r="1800" spans="1:7" x14ac:dyDescent="0.35">
      <c r="A1800" t="s">
        <v>101</v>
      </c>
      <c r="E1800">
        <v>1.6836314448751978E-2</v>
      </c>
      <c r="F1800">
        <f t="shared" si="62"/>
        <v>-1.9455664907322305E-2</v>
      </c>
      <c r="G1800">
        <f t="shared" si="63"/>
        <v>-3.2772800464375258E-2</v>
      </c>
    </row>
    <row r="1801" spans="1:7" x14ac:dyDescent="0.35">
      <c r="A1801" t="s">
        <v>101</v>
      </c>
      <c r="E1801">
        <v>-1.7658756670470505E-3</v>
      </c>
      <c r="F1801">
        <f t="shared" si="62"/>
        <v>-1.945575796806159E-2</v>
      </c>
      <c r="G1801">
        <f t="shared" si="63"/>
        <v>-3.2905971819945791E-2</v>
      </c>
    </row>
    <row r="1802" spans="1:7" x14ac:dyDescent="0.35">
      <c r="A1802" t="s">
        <v>101</v>
      </c>
      <c r="E1802">
        <v>-5.280857807085074E-3</v>
      </c>
      <c r="F1802">
        <f t="shared" si="62"/>
        <v>-1.9455851028800875E-2</v>
      </c>
      <c r="G1802">
        <f t="shared" si="63"/>
        <v>-3.2905971819945791E-2</v>
      </c>
    </row>
    <row r="1803" spans="1:7" x14ac:dyDescent="0.35">
      <c r="A1803" t="s">
        <v>101</v>
      </c>
      <c r="E1803">
        <v>-2.4925183490767428E-3</v>
      </c>
      <c r="F1803">
        <f t="shared" si="62"/>
        <v>-1.9455944089540159E-2</v>
      </c>
      <c r="G1803">
        <f t="shared" si="63"/>
        <v>-3.2905971819945791E-2</v>
      </c>
    </row>
    <row r="1804" spans="1:7" x14ac:dyDescent="0.35">
      <c r="A1804" t="s">
        <v>101</v>
      </c>
      <c r="E1804">
        <v>1.7355420199147318E-3</v>
      </c>
      <c r="F1804">
        <f t="shared" si="62"/>
        <v>-1.9456037150279444E-2</v>
      </c>
      <c r="G1804">
        <f t="shared" si="63"/>
        <v>-3.2905971819945791E-2</v>
      </c>
    </row>
    <row r="1805" spans="1:7" x14ac:dyDescent="0.35">
      <c r="A1805" t="s">
        <v>101</v>
      </c>
      <c r="E1805">
        <v>1.0670342432553378E-2</v>
      </c>
      <c r="F1805">
        <f t="shared" si="62"/>
        <v>-1.9456130211018729E-2</v>
      </c>
      <c r="G1805">
        <f t="shared" si="63"/>
        <v>-3.2905971819945791E-2</v>
      </c>
    </row>
    <row r="1806" spans="1:7" x14ac:dyDescent="0.35">
      <c r="A1806" t="s">
        <v>101</v>
      </c>
      <c r="E1806">
        <v>1.0174571834719293E-3</v>
      </c>
      <c r="F1806">
        <f t="shared" si="62"/>
        <v>-1.9456223271758014E-2</v>
      </c>
      <c r="G1806">
        <f t="shared" si="63"/>
        <v>-3.2905971819945791E-2</v>
      </c>
    </row>
    <row r="1807" spans="1:7" x14ac:dyDescent="0.35">
      <c r="A1807" t="s">
        <v>101</v>
      </c>
      <c r="E1807">
        <v>-3.1667851176308361E-3</v>
      </c>
      <c r="F1807">
        <f t="shared" si="62"/>
        <v>-1.9456316332497298E-2</v>
      </c>
      <c r="G1807">
        <f t="shared" si="63"/>
        <v>-3.2905971819945791E-2</v>
      </c>
    </row>
    <row r="1808" spans="1:7" x14ac:dyDescent="0.35">
      <c r="A1808" t="s">
        <v>101</v>
      </c>
      <c r="E1808">
        <v>1.0195712503873416E-2</v>
      </c>
      <c r="F1808">
        <f t="shared" si="62"/>
        <v>-1.9456409393236583E-2</v>
      </c>
      <c r="G1808">
        <f t="shared" si="63"/>
        <v>-3.2905971819945791E-2</v>
      </c>
    </row>
    <row r="1809" spans="1:144" x14ac:dyDescent="0.35">
      <c r="A1809" t="s">
        <v>101</v>
      </c>
      <c r="E1809">
        <v>-2.6409112056423717E-3</v>
      </c>
      <c r="F1809">
        <f t="shared" si="62"/>
        <v>-1.9456502453975868E-2</v>
      </c>
      <c r="G1809">
        <f t="shared" si="63"/>
        <v>-3.2905971819945791E-2</v>
      </c>
    </row>
    <row r="1810" spans="1:144" x14ac:dyDescent="0.35">
      <c r="A1810" t="s">
        <v>101</v>
      </c>
      <c r="E1810">
        <v>4.475392238521809E-3</v>
      </c>
      <c r="F1810">
        <f t="shared" si="62"/>
        <v>-1.9456595514715153E-2</v>
      </c>
      <c r="G1810">
        <f t="shared" si="63"/>
        <v>-3.2905971819945791E-2</v>
      </c>
    </row>
    <row r="1811" spans="1:144" x14ac:dyDescent="0.35">
      <c r="A1811" t="s">
        <v>101</v>
      </c>
      <c r="E1811">
        <v>6.1276690003363651E-3</v>
      </c>
      <c r="F1811">
        <f t="shared" si="62"/>
        <v>-1.9456688575454437E-2</v>
      </c>
      <c r="G1811">
        <f t="shared" si="63"/>
        <v>-3.2905971819945791E-2</v>
      </c>
    </row>
    <row r="1812" spans="1:144" s="3" customFormat="1" x14ac:dyDescent="0.35">
      <c r="A1812" s="3" t="s">
        <v>102</v>
      </c>
      <c r="B1812" s="3" cm="1">
        <f t="array" ref="B1812">_xlfn.STDEV.S(_xlfn._xlws.FILTER($E$1000:$E$1998, $A$1000:$A$1998="2017-04"))</f>
        <v>1.4144350881067736E-2</v>
      </c>
      <c r="C1812" s="3" cm="1">
        <f t="array" ref="C1812">AVERAGE(_xlfn._xlws.FILTER($E$1000:$E$1998, $A$1000:$A$1998="2017-04"))</f>
        <v>3.141778096189916E-4</v>
      </c>
      <c r="D1812" s="3" cm="1">
        <f t="array" ref="D1812">_xlfn.PERCENTILE.INC(_xlfn._xlws.FILTER($E$1498:$E$2489, $A$1498:$A$2489="2017-04"), 0.05)</f>
        <v>-1.2967648508420974E-2</v>
      </c>
      <c r="E1812" s="3">
        <v>-1.2277309797753676E-2</v>
      </c>
      <c r="F1812" s="3">
        <f t="shared" si="62"/>
        <v>-1.9456781636193722E-2</v>
      </c>
      <c r="G1812" s="3">
        <f t="shared" si="63"/>
        <v>-3.2905971819945791E-2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</row>
    <row r="1813" spans="1:144" x14ac:dyDescent="0.35">
      <c r="A1813" t="s">
        <v>102</v>
      </c>
      <c r="E1813">
        <v>7.0222259785509362E-4</v>
      </c>
      <c r="F1813">
        <f t="shared" si="62"/>
        <v>-1.9456874696933007E-2</v>
      </c>
      <c r="G1813">
        <f t="shared" si="63"/>
        <v>-3.2905971819945791E-2</v>
      </c>
    </row>
    <row r="1814" spans="1:144" x14ac:dyDescent="0.35">
      <c r="A1814" t="s">
        <v>102</v>
      </c>
      <c r="E1814">
        <v>-1.8414992521884605E-4</v>
      </c>
      <c r="F1814">
        <f t="shared" si="62"/>
        <v>-1.9456967757672292E-2</v>
      </c>
      <c r="G1814">
        <f t="shared" si="63"/>
        <v>-3.2905971819945791E-2</v>
      </c>
    </row>
    <row r="1815" spans="1:144" x14ac:dyDescent="0.35">
      <c r="A1815" t="s">
        <v>102</v>
      </c>
      <c r="E1815">
        <v>2.1504143640501835E-3</v>
      </c>
      <c r="F1815">
        <f t="shared" si="62"/>
        <v>-1.9457060818411576E-2</v>
      </c>
      <c r="G1815">
        <f t="shared" si="63"/>
        <v>-3.2905971819945791E-2</v>
      </c>
    </row>
    <row r="1816" spans="1:144" x14ac:dyDescent="0.35">
      <c r="A1816" t="s">
        <v>102</v>
      </c>
      <c r="E1816">
        <v>1.5222788494467565E-4</v>
      </c>
      <c r="F1816">
        <f t="shared" si="62"/>
        <v>-1.9457153879150861E-2</v>
      </c>
      <c r="G1816">
        <f t="shared" si="63"/>
        <v>-3.2905971819945791E-2</v>
      </c>
    </row>
    <row r="1817" spans="1:144" x14ac:dyDescent="0.35">
      <c r="A1817" t="s">
        <v>102</v>
      </c>
      <c r="E1817">
        <v>-4.8397573019937643E-3</v>
      </c>
      <c r="F1817">
        <f t="shared" si="62"/>
        <v>-1.9457246939890146E-2</v>
      </c>
      <c r="G1817">
        <f t="shared" si="63"/>
        <v>-3.2905971819945791E-2</v>
      </c>
    </row>
    <row r="1818" spans="1:144" x14ac:dyDescent="0.35">
      <c r="A1818" t="s">
        <v>102</v>
      </c>
      <c r="E1818">
        <v>-4.6136246283010243E-3</v>
      </c>
      <c r="F1818">
        <f t="shared" si="62"/>
        <v>-1.9457340000629431E-2</v>
      </c>
      <c r="G1818">
        <f t="shared" si="63"/>
        <v>-3.2905971819945791E-2</v>
      </c>
    </row>
    <row r="1819" spans="1:144" x14ac:dyDescent="0.35">
      <c r="A1819" t="s">
        <v>102</v>
      </c>
      <c r="E1819">
        <v>-5.1917166002457939E-3</v>
      </c>
      <c r="F1819">
        <f t="shared" si="62"/>
        <v>-1.9457433061368715E-2</v>
      </c>
      <c r="G1819">
        <f t="shared" si="63"/>
        <v>-3.2905971819945791E-2</v>
      </c>
    </row>
    <row r="1820" spans="1:144" x14ac:dyDescent="0.35">
      <c r="A1820" t="s">
        <v>102</v>
      </c>
      <c r="E1820">
        <v>-1.1626982700250706E-2</v>
      </c>
      <c r="F1820">
        <f t="shared" si="62"/>
        <v>-1.9457526122108E-2</v>
      </c>
      <c r="G1820">
        <f t="shared" si="63"/>
        <v>-3.2905971819945791E-2</v>
      </c>
    </row>
    <row r="1821" spans="1:144" x14ac:dyDescent="0.35">
      <c r="A1821" t="s">
        <v>102</v>
      </c>
      <c r="E1821">
        <v>-1.6879567868868999E-2</v>
      </c>
      <c r="F1821">
        <f t="shared" si="62"/>
        <v>-1.9460366610791681E-2</v>
      </c>
      <c r="G1821">
        <f t="shared" si="63"/>
        <v>-3.3041814705782525E-2</v>
      </c>
    </row>
    <row r="1822" spans="1:144" x14ac:dyDescent="0.35">
      <c r="A1822" t="s">
        <v>102</v>
      </c>
      <c r="E1822">
        <v>1.945190258752728E-2</v>
      </c>
      <c r="F1822">
        <f t="shared" si="62"/>
        <v>-1.9463207099475362E-2</v>
      </c>
      <c r="G1822">
        <f t="shared" si="63"/>
        <v>-3.3041814705782525E-2</v>
      </c>
    </row>
    <row r="1823" spans="1:144" x14ac:dyDescent="0.35">
      <c r="A1823" t="s">
        <v>102</v>
      </c>
      <c r="E1823">
        <v>1.2516999520779211E-3</v>
      </c>
      <c r="F1823">
        <f t="shared" si="62"/>
        <v>-1.9466047588159043E-2</v>
      </c>
      <c r="G1823">
        <f t="shared" si="63"/>
        <v>-3.3041814705782525E-2</v>
      </c>
    </row>
    <row r="1824" spans="1:144" x14ac:dyDescent="0.35">
      <c r="A1824" t="s">
        <v>102</v>
      </c>
      <c r="E1824">
        <v>-5.4401125901372893E-3</v>
      </c>
      <c r="F1824">
        <f t="shared" si="62"/>
        <v>-1.9468888076842723E-2</v>
      </c>
      <c r="G1824">
        <f t="shared" si="63"/>
        <v>-3.3041814705782525E-2</v>
      </c>
    </row>
    <row r="1825" spans="1:144" x14ac:dyDescent="0.35">
      <c r="A1825" t="s">
        <v>102</v>
      </c>
      <c r="E1825">
        <v>4.6644593864017342E-2</v>
      </c>
      <c r="F1825">
        <f t="shared" si="62"/>
        <v>-1.9471728565526404E-2</v>
      </c>
      <c r="G1825">
        <f t="shared" si="63"/>
        <v>-3.3041814705782525E-2</v>
      </c>
    </row>
    <row r="1826" spans="1:144" x14ac:dyDescent="0.35">
      <c r="A1826" t="s">
        <v>102</v>
      </c>
      <c r="E1826">
        <v>5.8380596921657176E-3</v>
      </c>
      <c r="F1826">
        <f t="shared" si="62"/>
        <v>-1.9474569054210088E-2</v>
      </c>
      <c r="G1826">
        <f t="shared" si="63"/>
        <v>-3.3041814705782525E-2</v>
      </c>
    </row>
    <row r="1827" spans="1:144" x14ac:dyDescent="0.35">
      <c r="A1827" t="s">
        <v>102</v>
      </c>
      <c r="E1827">
        <v>1.4884003359635345E-3</v>
      </c>
      <c r="F1827">
        <f t="shared" si="62"/>
        <v>-1.9477409542893769E-2</v>
      </c>
      <c r="G1827">
        <f t="shared" si="63"/>
        <v>-3.3041814705782525E-2</v>
      </c>
    </row>
    <row r="1828" spans="1:144" x14ac:dyDescent="0.35">
      <c r="A1828" t="s">
        <v>102</v>
      </c>
      <c r="E1828">
        <v>-1.1544795205916576E-2</v>
      </c>
      <c r="F1828">
        <f t="shared" si="62"/>
        <v>-1.948025003157745E-2</v>
      </c>
      <c r="G1828">
        <f t="shared" si="63"/>
        <v>-3.3041814705782525E-2</v>
      </c>
    </row>
    <row r="1829" spans="1:144" x14ac:dyDescent="0.35">
      <c r="A1829" t="s">
        <v>102</v>
      </c>
      <c r="E1829">
        <v>5.7369591322677484E-4</v>
      </c>
      <c r="F1829">
        <f t="shared" si="62"/>
        <v>-1.9483090520261131E-2</v>
      </c>
      <c r="G1829">
        <f t="shared" si="63"/>
        <v>-3.3041814705782525E-2</v>
      </c>
    </row>
    <row r="1830" spans="1:144" s="3" customFormat="1" x14ac:dyDescent="0.35">
      <c r="A1830" s="3" t="s">
        <v>103</v>
      </c>
      <c r="B1830" s="3" cm="1">
        <f t="array" ref="B1830">_xlfn.STDEV.S(_xlfn._xlws.FILTER($E$1000:$E$1998, $A$1000:$A$1998="2017-05"))</f>
        <v>1.0010192822911365E-2</v>
      </c>
      <c r="C1830" s="3" cm="1">
        <f t="array" ref="C1830">AVERAGE(_xlfn._xlws.FILTER($E$1000:$E$1998, $A$1000:$A$1998="2017-05"))</f>
        <v>2.8225371306976236E-4</v>
      </c>
      <c r="D1830" s="3" cm="1">
        <f t="array" ref="D1830">_xlfn.PERCENTILE.EXC(_xlfn._xlws.FILTER($E$1498:$E$2489, $A$1498:$A$2489="2017-05"), 0.05)</f>
        <v>-2.2956152140615894E-2</v>
      </c>
      <c r="E1830" s="3">
        <v>6.0030546186794747E-3</v>
      </c>
      <c r="F1830" s="3">
        <f t="shared" si="62"/>
        <v>-1.9485931008944812E-2</v>
      </c>
      <c r="G1830" s="3">
        <f t="shared" si="63"/>
        <v>-3.3041814705782525E-2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</row>
    <row r="1831" spans="1:144" x14ac:dyDescent="0.35">
      <c r="A1831" t="s">
        <v>103</v>
      </c>
      <c r="E1831">
        <v>1.2561289747650261E-3</v>
      </c>
      <c r="F1831">
        <f t="shared" si="62"/>
        <v>-1.9488771497628492E-2</v>
      </c>
      <c r="G1831">
        <f t="shared" si="63"/>
        <v>-3.3041814705782525E-2</v>
      </c>
    </row>
    <row r="1832" spans="1:144" x14ac:dyDescent="0.35">
      <c r="A1832" t="s">
        <v>103</v>
      </c>
      <c r="E1832">
        <v>1.9586485456074811E-2</v>
      </c>
      <c r="F1832">
        <f t="shared" si="62"/>
        <v>-1.9491611986312173E-2</v>
      </c>
      <c r="G1832">
        <f t="shared" si="63"/>
        <v>-3.3041814705782525E-2</v>
      </c>
    </row>
    <row r="1833" spans="1:144" x14ac:dyDescent="0.35">
      <c r="A1833" t="s">
        <v>103</v>
      </c>
      <c r="E1833">
        <v>1.4720649337420079E-2</v>
      </c>
      <c r="F1833">
        <f t="shared" si="62"/>
        <v>-1.9494452474995854E-2</v>
      </c>
      <c r="G1833">
        <f t="shared" si="63"/>
        <v>-3.3041814705782525E-2</v>
      </c>
    </row>
    <row r="1834" spans="1:144" x14ac:dyDescent="0.35">
      <c r="A1834" t="s">
        <v>103</v>
      </c>
      <c r="E1834">
        <v>-2.5988107456632716E-3</v>
      </c>
      <c r="F1834">
        <f t="shared" si="62"/>
        <v>-1.9497292963679535E-2</v>
      </c>
      <c r="G1834">
        <f t="shared" si="63"/>
        <v>-3.3041814705782525E-2</v>
      </c>
    </row>
    <row r="1835" spans="1:144" x14ac:dyDescent="0.35">
      <c r="A1835" t="s">
        <v>103</v>
      </c>
      <c r="E1835">
        <v>2.7426293055333537E-3</v>
      </c>
      <c r="F1835">
        <f t="shared" si="62"/>
        <v>-1.9500133452363219E-2</v>
      </c>
      <c r="G1835">
        <f t="shared" si="63"/>
        <v>-3.3041814705782525E-2</v>
      </c>
    </row>
    <row r="1836" spans="1:144" x14ac:dyDescent="0.35">
      <c r="A1836" t="s">
        <v>103</v>
      </c>
      <c r="E1836">
        <v>3.0604283762241148E-3</v>
      </c>
      <c r="F1836">
        <f t="shared" si="62"/>
        <v>-1.95029739410469E-2</v>
      </c>
      <c r="G1836">
        <f t="shared" si="63"/>
        <v>-3.3041814705782525E-2</v>
      </c>
    </row>
    <row r="1837" spans="1:144" x14ac:dyDescent="0.35">
      <c r="A1837" t="s">
        <v>103</v>
      </c>
      <c r="E1837">
        <v>-3.2666212855477668E-3</v>
      </c>
      <c r="F1837">
        <f t="shared" si="62"/>
        <v>-1.9505814429730581E-2</v>
      </c>
      <c r="G1837">
        <f t="shared" si="63"/>
        <v>-3.3041814705782525E-2</v>
      </c>
    </row>
    <row r="1838" spans="1:144" x14ac:dyDescent="0.35">
      <c r="A1838" t="s">
        <v>103</v>
      </c>
      <c r="E1838">
        <v>4.3165130307570429E-3</v>
      </c>
      <c r="F1838">
        <f t="shared" si="62"/>
        <v>-1.9508654918414262E-2</v>
      </c>
      <c r="G1838">
        <f t="shared" si="63"/>
        <v>-3.3041814705782525E-2</v>
      </c>
    </row>
    <row r="1839" spans="1:144" x14ac:dyDescent="0.35">
      <c r="A1839" t="s">
        <v>103</v>
      </c>
      <c r="E1839">
        <v>5.9616751560377639E-3</v>
      </c>
      <c r="F1839">
        <f t="shared" si="62"/>
        <v>-1.9511495407097942E-2</v>
      </c>
      <c r="G1839">
        <f t="shared" si="63"/>
        <v>-3.3041814705782525E-2</v>
      </c>
    </row>
    <row r="1840" spans="1:144" x14ac:dyDescent="0.35">
      <c r="A1840" t="s">
        <v>103</v>
      </c>
      <c r="E1840">
        <v>3.837000446558101E-3</v>
      </c>
      <c r="F1840">
        <f t="shared" si="62"/>
        <v>-1.9514335895781623E-2</v>
      </c>
      <c r="G1840">
        <f t="shared" si="63"/>
        <v>-3.3041814705782525E-2</v>
      </c>
    </row>
    <row r="1841" spans="1:144" x14ac:dyDescent="0.35">
      <c r="A1841" t="s">
        <v>103</v>
      </c>
      <c r="E1841">
        <v>-2.3412308602825022E-2</v>
      </c>
      <c r="F1841">
        <f t="shared" si="62"/>
        <v>-1.952970454634859E-2</v>
      </c>
      <c r="G1841">
        <f t="shared" si="63"/>
        <v>-3.3179850203843765E-2</v>
      </c>
    </row>
    <row r="1842" spans="1:144" x14ac:dyDescent="0.35">
      <c r="A1842" t="s">
        <v>103</v>
      </c>
      <c r="E1842">
        <v>7.2986910215571993E-4</v>
      </c>
      <c r="F1842">
        <f t="shared" si="62"/>
        <v>-1.9463207099475362E-2</v>
      </c>
      <c r="G1842">
        <f t="shared" si="63"/>
        <v>-3.3140074972139243E-2</v>
      </c>
    </row>
    <row r="1843" spans="1:144" x14ac:dyDescent="0.35">
      <c r="A1843" t="s">
        <v>103</v>
      </c>
      <c r="E1843">
        <v>1.2516148961535762E-2</v>
      </c>
      <c r="F1843">
        <f t="shared" si="62"/>
        <v>-1.9466047588159043E-2</v>
      </c>
      <c r="G1843">
        <f t="shared" si="63"/>
        <v>-3.3140074972139243E-2</v>
      </c>
    </row>
    <row r="1844" spans="1:144" x14ac:dyDescent="0.35">
      <c r="A1844" t="s">
        <v>103</v>
      </c>
      <c r="E1844">
        <v>-1.1609486337457049E-2</v>
      </c>
      <c r="F1844">
        <f t="shared" si="62"/>
        <v>-1.9468888076842723E-2</v>
      </c>
      <c r="G1844">
        <f t="shared" si="63"/>
        <v>-3.3140074972139243E-2</v>
      </c>
    </row>
    <row r="1845" spans="1:144" x14ac:dyDescent="0.35">
      <c r="A1845" t="s">
        <v>103</v>
      </c>
      <c r="E1845">
        <v>4.5471727367108567E-3</v>
      </c>
      <c r="F1845">
        <f t="shared" si="62"/>
        <v>-1.9471728565526404E-2</v>
      </c>
      <c r="G1845">
        <f t="shared" si="63"/>
        <v>-3.3140074972139243E-2</v>
      </c>
    </row>
    <row r="1846" spans="1:144" x14ac:dyDescent="0.35">
      <c r="A1846" t="s">
        <v>103</v>
      </c>
      <c r="E1846">
        <v>-2.1507309717756404E-3</v>
      </c>
      <c r="F1846">
        <f t="shared" si="62"/>
        <v>-1.9474569054210088E-2</v>
      </c>
      <c r="G1846">
        <f t="shared" si="63"/>
        <v>-3.3140074972139243E-2</v>
      </c>
    </row>
    <row r="1847" spans="1:144" x14ac:dyDescent="0.35">
      <c r="A1847" t="s">
        <v>103</v>
      </c>
      <c r="E1847">
        <v>-3.6571699718562791E-3</v>
      </c>
      <c r="F1847">
        <f t="shared" si="62"/>
        <v>-1.9477409542893769E-2</v>
      </c>
      <c r="G1847">
        <f t="shared" si="63"/>
        <v>-3.3140074972139243E-2</v>
      </c>
    </row>
    <row r="1848" spans="1:144" x14ac:dyDescent="0.35">
      <c r="A1848" t="s">
        <v>103</v>
      </c>
      <c r="E1848">
        <v>-3.8186224135180031E-3</v>
      </c>
      <c r="F1848">
        <f t="shared" si="62"/>
        <v>-1.948025003157745E-2</v>
      </c>
      <c r="G1848">
        <f t="shared" si="63"/>
        <v>-3.3140074972139243E-2</v>
      </c>
    </row>
    <row r="1849" spans="1:144" x14ac:dyDescent="0.35">
      <c r="A1849" t="s">
        <v>103</v>
      </c>
      <c r="E1849">
        <v>-1.8850743980733747E-2</v>
      </c>
      <c r="F1849">
        <f t="shared" si="62"/>
        <v>-1.9483090520261131E-2</v>
      </c>
      <c r="G1849">
        <f t="shared" si="63"/>
        <v>-3.3140074972139243E-2</v>
      </c>
    </row>
    <row r="1850" spans="1:144" x14ac:dyDescent="0.35">
      <c r="A1850" t="s">
        <v>103</v>
      </c>
      <c r="E1850">
        <v>-3.9859332186103196E-3</v>
      </c>
      <c r="F1850">
        <f t="shared" si="62"/>
        <v>-1.9485931008944812E-2</v>
      </c>
      <c r="G1850">
        <f t="shared" si="63"/>
        <v>-3.3140074972139243E-2</v>
      </c>
    </row>
    <row r="1851" spans="1:144" s="3" customFormat="1" x14ac:dyDescent="0.35">
      <c r="A1851" s="3" t="s">
        <v>104</v>
      </c>
      <c r="B1851" s="3" cm="1">
        <f t="array" ref="B1851">_xlfn.STDEV.S(_xlfn._xlws.FILTER($E$1000:$E$1998, $A$1000:$A$1998="2017-06"))</f>
        <v>8.9365762713483361E-3</v>
      </c>
      <c r="C1851" s="3" cm="1">
        <f t="array" ref="C1851">AVERAGE(_xlfn._xlws.FILTER($E$1000:$E$1998, $A$1000:$A$1998="2017-06"))</f>
        <v>-3.3989126133064656E-4</v>
      </c>
      <c r="D1851" s="3" cm="1">
        <f t="array" ref="D1851">_xlfn.PERCENTILE.EXC(_xlfn._xlws.FILTER($E$1498:$E$2489, $A$1498:$A$2489="2017-06"), 0.05)</f>
        <v>-1.5804138339411227E-2</v>
      </c>
      <c r="E1851" s="3">
        <v>9.8105436132457126E-3</v>
      </c>
      <c r="F1851" s="3">
        <f t="shared" si="62"/>
        <v>-1.9488771497628492E-2</v>
      </c>
      <c r="G1851" s="3">
        <f t="shared" si="63"/>
        <v>-3.3140074972139243E-2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</row>
    <row r="1852" spans="1:144" x14ac:dyDescent="0.35">
      <c r="A1852" t="s">
        <v>104</v>
      </c>
      <c r="E1852">
        <v>-3.7406564643242135E-4</v>
      </c>
      <c r="F1852">
        <f t="shared" si="62"/>
        <v>-1.9491611986312173E-2</v>
      </c>
      <c r="G1852">
        <f t="shared" si="63"/>
        <v>-3.3140074972139243E-2</v>
      </c>
    </row>
    <row r="1853" spans="1:144" x14ac:dyDescent="0.35">
      <c r="A1853" t="s">
        <v>104</v>
      </c>
      <c r="E1853">
        <v>-8.0709031058006104E-3</v>
      </c>
      <c r="F1853">
        <f t="shared" si="62"/>
        <v>-1.9494452474995854E-2</v>
      </c>
      <c r="G1853">
        <f t="shared" si="63"/>
        <v>-3.3140074972139243E-2</v>
      </c>
    </row>
    <row r="1854" spans="1:144" x14ac:dyDescent="0.35">
      <c r="A1854" t="s">
        <v>104</v>
      </c>
      <c r="E1854">
        <v>-9.6867664186865558E-4</v>
      </c>
      <c r="F1854">
        <f t="shared" si="62"/>
        <v>-1.9497292963679535E-2</v>
      </c>
      <c r="G1854">
        <f t="shared" si="63"/>
        <v>-3.3140074972139243E-2</v>
      </c>
    </row>
    <row r="1855" spans="1:144" x14ac:dyDescent="0.35">
      <c r="A1855" t="s">
        <v>104</v>
      </c>
      <c r="E1855">
        <v>1.4480061684841498E-2</v>
      </c>
      <c r="F1855">
        <f t="shared" si="62"/>
        <v>-1.9500133452363219E-2</v>
      </c>
      <c r="G1855">
        <f t="shared" si="63"/>
        <v>-3.3140074972139243E-2</v>
      </c>
    </row>
    <row r="1856" spans="1:144" x14ac:dyDescent="0.35">
      <c r="A1856" t="s">
        <v>104</v>
      </c>
      <c r="E1856">
        <v>3.7951105711121142E-3</v>
      </c>
      <c r="F1856">
        <f t="shared" si="62"/>
        <v>-1.95029739410469E-2</v>
      </c>
      <c r="G1856">
        <f t="shared" si="63"/>
        <v>-3.3140074972139243E-2</v>
      </c>
    </row>
    <row r="1857" spans="1:144" x14ac:dyDescent="0.35">
      <c r="A1857" t="s">
        <v>104</v>
      </c>
      <c r="E1857">
        <v>-1.0096522705417473E-2</v>
      </c>
      <c r="F1857">
        <f t="shared" si="62"/>
        <v>-1.9505814429730581E-2</v>
      </c>
      <c r="G1857">
        <f t="shared" si="63"/>
        <v>-3.3140074972139243E-2</v>
      </c>
    </row>
    <row r="1858" spans="1:144" x14ac:dyDescent="0.35">
      <c r="A1858" t="s">
        <v>104</v>
      </c>
      <c r="E1858">
        <v>8.5026325946492703E-3</v>
      </c>
      <c r="F1858">
        <f t="shared" si="62"/>
        <v>-1.9508654918414262E-2</v>
      </c>
      <c r="G1858">
        <f t="shared" si="63"/>
        <v>-3.3140074972139243E-2</v>
      </c>
    </row>
    <row r="1859" spans="1:144" x14ac:dyDescent="0.35">
      <c r="A1859" t="s">
        <v>104</v>
      </c>
      <c r="E1859">
        <v>-6.099045929875333E-3</v>
      </c>
      <c r="F1859">
        <f t="shared" si="62"/>
        <v>-1.9511495407097942E-2</v>
      </c>
      <c r="G1859">
        <f t="shared" si="63"/>
        <v>-3.3140074972139243E-2</v>
      </c>
    </row>
    <row r="1860" spans="1:144" x14ac:dyDescent="0.35">
      <c r="A1860" t="s">
        <v>104</v>
      </c>
      <c r="E1860">
        <v>-5.4075829138717849E-3</v>
      </c>
      <c r="F1860">
        <f t="shared" ref="F1860:F1923" si="64">_xlfn.PERCENTILE.EXC(E1860:E5675,0.05)</f>
        <v>-1.9514335895781623E-2</v>
      </c>
      <c r="G1860">
        <f t="shared" ref="G1860:G1923" si="65">AVERAGEIFS(E1860:E5676,E1860:E5676,"&lt;=" &amp; F1860)</f>
        <v>-3.3140074972139243E-2</v>
      </c>
    </row>
    <row r="1861" spans="1:144" x14ac:dyDescent="0.35">
      <c r="A1861" t="s">
        <v>104</v>
      </c>
      <c r="E1861">
        <v>4.4615496911060608E-3</v>
      </c>
      <c r="F1861">
        <f t="shared" si="64"/>
        <v>-1.952970454634859E-2</v>
      </c>
      <c r="G1861">
        <f t="shared" si="65"/>
        <v>-3.3280546509008913E-2</v>
      </c>
    </row>
    <row r="1862" spans="1:144" x14ac:dyDescent="0.35">
      <c r="A1862" t="s">
        <v>104</v>
      </c>
      <c r="E1862">
        <v>3.5047126826849542E-3</v>
      </c>
      <c r="F1862">
        <f t="shared" si="64"/>
        <v>-1.9545073196915556E-2</v>
      </c>
      <c r="G1862">
        <f t="shared" si="65"/>
        <v>-3.3280546509008913E-2</v>
      </c>
    </row>
    <row r="1863" spans="1:144" x14ac:dyDescent="0.35">
      <c r="A1863" t="s">
        <v>104</v>
      </c>
      <c r="E1863">
        <v>-9.7661775450142516E-3</v>
      </c>
      <c r="F1863">
        <f t="shared" si="64"/>
        <v>-1.9560441847482523E-2</v>
      </c>
      <c r="G1863">
        <f t="shared" si="65"/>
        <v>-3.3280546509008913E-2</v>
      </c>
    </row>
    <row r="1864" spans="1:144" x14ac:dyDescent="0.35">
      <c r="A1864" t="s">
        <v>104</v>
      </c>
      <c r="E1864">
        <v>1.2506272439702367E-2</v>
      </c>
      <c r="F1864">
        <f t="shared" si="64"/>
        <v>-1.957581049804949E-2</v>
      </c>
      <c r="G1864">
        <f t="shared" si="65"/>
        <v>-3.3280546509008913E-2</v>
      </c>
    </row>
    <row r="1865" spans="1:144" x14ac:dyDescent="0.35">
      <c r="A1865" t="s">
        <v>104</v>
      </c>
      <c r="E1865">
        <v>-6.7449151801892652E-3</v>
      </c>
      <c r="F1865">
        <f t="shared" si="64"/>
        <v>-1.959117914861646E-2</v>
      </c>
      <c r="G1865">
        <f t="shared" si="65"/>
        <v>-3.3280546509008913E-2</v>
      </c>
    </row>
    <row r="1866" spans="1:144" x14ac:dyDescent="0.35">
      <c r="A1866" t="s">
        <v>104</v>
      </c>
      <c r="E1866">
        <v>-4.6154510110164972E-3</v>
      </c>
      <c r="F1866">
        <f t="shared" si="64"/>
        <v>-1.9606547799183426E-2</v>
      </c>
      <c r="G1866">
        <f t="shared" si="65"/>
        <v>-3.3280546509008913E-2</v>
      </c>
    </row>
    <row r="1867" spans="1:144" x14ac:dyDescent="0.35">
      <c r="A1867" t="s">
        <v>104</v>
      </c>
      <c r="E1867">
        <v>8.0347828253391641E-3</v>
      </c>
      <c r="F1867">
        <f t="shared" si="64"/>
        <v>-1.9621916449750393E-2</v>
      </c>
      <c r="G1867">
        <f t="shared" si="65"/>
        <v>-3.3280546509008913E-2</v>
      </c>
    </row>
    <row r="1868" spans="1:144" x14ac:dyDescent="0.35">
      <c r="A1868" t="s">
        <v>104</v>
      </c>
      <c r="E1868">
        <v>-1.0101823499586021E-2</v>
      </c>
      <c r="F1868">
        <f t="shared" si="64"/>
        <v>-1.9637285100317356E-2</v>
      </c>
      <c r="G1868">
        <f t="shared" si="65"/>
        <v>-3.3280546509008913E-2</v>
      </c>
    </row>
    <row r="1869" spans="1:144" x14ac:dyDescent="0.35">
      <c r="A1869" t="s">
        <v>104</v>
      </c>
      <c r="E1869">
        <v>1.2282574546649959E-2</v>
      </c>
      <c r="F1869">
        <f t="shared" si="64"/>
        <v>-1.9652653750884323E-2</v>
      </c>
      <c r="G1869">
        <f t="shared" si="65"/>
        <v>-3.3280546509008913E-2</v>
      </c>
    </row>
    <row r="1870" spans="1:144" x14ac:dyDescent="0.35">
      <c r="A1870" t="s">
        <v>104</v>
      </c>
      <c r="E1870">
        <v>-1.6437728877169582E-2</v>
      </c>
      <c r="F1870">
        <f t="shared" si="64"/>
        <v>-1.9668022401451296E-2</v>
      </c>
      <c r="G1870">
        <f t="shared" si="65"/>
        <v>-3.3280546509008913E-2</v>
      </c>
    </row>
    <row r="1871" spans="1:144" x14ac:dyDescent="0.35">
      <c r="A1871" t="s">
        <v>104</v>
      </c>
      <c r="E1871">
        <v>-5.8330640810327775E-3</v>
      </c>
      <c r="F1871">
        <f t="shared" si="64"/>
        <v>-1.9683391052018259E-2</v>
      </c>
      <c r="G1871">
        <f t="shared" si="65"/>
        <v>-3.3280546509008913E-2</v>
      </c>
    </row>
    <row r="1872" spans="1:144" s="3" customFormat="1" x14ac:dyDescent="0.35">
      <c r="A1872" s="3" t="s">
        <v>105</v>
      </c>
      <c r="B1872" s="3" cm="1">
        <f t="array" ref="B1872">_xlfn.STDEV.S(_xlfn._xlws.FILTER($E$1000:$E$1998, $A$1000:$A$1998="2017-07"))</f>
        <v>7.5689070558784734E-3</v>
      </c>
      <c r="C1872" s="3" cm="1">
        <f t="array" ref="C1872">AVERAGE(_xlfn._xlws.FILTER($E$1000:$E$1998, $A$1000:$A$1998="2017-07"))</f>
        <v>2.04374589826163E-3</v>
      </c>
      <c r="D1872" s="3" cm="1">
        <f t="array" ref="D1872">_xlfn.PERCENTILE.EXC(_xlfn._xlws.FILTER($E$1498:$E$2489, $A$1498:$A$2489="2017-07"), 0.05)</f>
        <v>-1.09313168018712E-2</v>
      </c>
      <c r="E1872" s="3">
        <v>2.0622707687390784E-2</v>
      </c>
      <c r="F1872" s="3">
        <f t="shared" si="64"/>
        <v>-1.9698759702585226E-2</v>
      </c>
      <c r="G1872" s="3">
        <f t="shared" si="65"/>
        <v>-3.3280546509008913E-2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</row>
    <row r="1873" spans="1:7" x14ac:dyDescent="0.35">
      <c r="A1873" t="s">
        <v>105</v>
      </c>
      <c r="E1873">
        <v>8.5196080996260666E-4</v>
      </c>
      <c r="F1873">
        <f t="shared" si="64"/>
        <v>-1.9714128353152192E-2</v>
      </c>
      <c r="G1873">
        <f t="shared" si="65"/>
        <v>-3.3280546509008913E-2</v>
      </c>
    </row>
    <row r="1874" spans="1:7" x14ac:dyDescent="0.35">
      <c r="A1874" t="s">
        <v>105</v>
      </c>
      <c r="E1874">
        <v>-4.3678429735059749E-3</v>
      </c>
      <c r="F1874">
        <f t="shared" si="64"/>
        <v>-1.9729497003719159E-2</v>
      </c>
      <c r="G1874">
        <f t="shared" si="65"/>
        <v>-3.3280546509008913E-2</v>
      </c>
    </row>
    <row r="1875" spans="1:7" x14ac:dyDescent="0.35">
      <c r="A1875" t="s">
        <v>105</v>
      </c>
      <c r="E1875">
        <v>6.8913963570814809E-3</v>
      </c>
      <c r="F1875">
        <f t="shared" si="64"/>
        <v>-1.9744865654286129E-2</v>
      </c>
      <c r="G1875">
        <f t="shared" si="65"/>
        <v>-3.3280546509008913E-2</v>
      </c>
    </row>
    <row r="1876" spans="1:7" x14ac:dyDescent="0.35">
      <c r="A1876" t="s">
        <v>105</v>
      </c>
      <c r="E1876">
        <v>-3.282243573525571E-3</v>
      </c>
      <c r="F1876">
        <f t="shared" si="64"/>
        <v>-1.9760234304853096E-2</v>
      </c>
      <c r="G1876">
        <f t="shared" si="65"/>
        <v>-3.3280546509008913E-2</v>
      </c>
    </row>
    <row r="1877" spans="1:7" x14ac:dyDescent="0.35">
      <c r="A1877" t="s">
        <v>105</v>
      </c>
      <c r="E1877">
        <v>8.3197635168204605E-3</v>
      </c>
      <c r="F1877">
        <f t="shared" si="64"/>
        <v>-1.9775602955420062E-2</v>
      </c>
      <c r="G1877">
        <f t="shared" si="65"/>
        <v>-3.3280546509008913E-2</v>
      </c>
    </row>
    <row r="1878" spans="1:7" x14ac:dyDescent="0.35">
      <c r="A1878" t="s">
        <v>105</v>
      </c>
      <c r="E1878">
        <v>-3.7336012963498622E-3</v>
      </c>
      <c r="F1878">
        <f t="shared" si="64"/>
        <v>-1.9790971605987029E-2</v>
      </c>
      <c r="G1878">
        <f t="shared" si="65"/>
        <v>-3.3280546509008913E-2</v>
      </c>
    </row>
    <row r="1879" spans="1:7" x14ac:dyDescent="0.35">
      <c r="A1879" t="s">
        <v>105</v>
      </c>
      <c r="E1879">
        <v>1.5083405301628716E-2</v>
      </c>
      <c r="F1879">
        <f t="shared" si="64"/>
        <v>-1.9806340256553995E-2</v>
      </c>
      <c r="G1879">
        <f t="shared" si="65"/>
        <v>-3.3280546509008913E-2</v>
      </c>
    </row>
    <row r="1880" spans="1:7" x14ac:dyDescent="0.35">
      <c r="A1880" t="s">
        <v>105</v>
      </c>
      <c r="E1880">
        <v>4.1606915282765278E-3</v>
      </c>
      <c r="F1880">
        <f t="shared" si="64"/>
        <v>-1.9821708907120966E-2</v>
      </c>
      <c r="G1880">
        <f t="shared" si="65"/>
        <v>-3.3280546509008913E-2</v>
      </c>
    </row>
    <row r="1881" spans="1:7" x14ac:dyDescent="0.35">
      <c r="A1881" t="s">
        <v>105</v>
      </c>
      <c r="E1881">
        <v>-1.3772198335327531E-3</v>
      </c>
      <c r="F1881">
        <f t="shared" si="64"/>
        <v>-1.9827158440139863E-2</v>
      </c>
      <c r="G1881">
        <f t="shared" si="65"/>
        <v>-3.3420742734028577E-2</v>
      </c>
    </row>
    <row r="1882" spans="1:7" x14ac:dyDescent="0.35">
      <c r="A1882" t="s">
        <v>105</v>
      </c>
      <c r="E1882">
        <v>-3.4669602528707041E-4</v>
      </c>
      <c r="F1882">
        <f t="shared" si="64"/>
        <v>-1.9832607973158757E-2</v>
      </c>
      <c r="G1882">
        <f t="shared" si="65"/>
        <v>-3.3420742734028577E-2</v>
      </c>
    </row>
    <row r="1883" spans="1:7" x14ac:dyDescent="0.35">
      <c r="A1883" t="s">
        <v>105</v>
      </c>
      <c r="E1883">
        <v>-5.9118292649580871E-3</v>
      </c>
      <c r="F1883">
        <f t="shared" si="64"/>
        <v>-1.9838057506177655E-2</v>
      </c>
      <c r="G1883">
        <f t="shared" si="65"/>
        <v>-3.3420742734028577E-2</v>
      </c>
    </row>
    <row r="1884" spans="1:7" x14ac:dyDescent="0.35">
      <c r="A1884" t="s">
        <v>105</v>
      </c>
      <c r="E1884">
        <v>5.6376448861172566E-3</v>
      </c>
      <c r="F1884">
        <f t="shared" si="64"/>
        <v>-1.9843507039196549E-2</v>
      </c>
      <c r="G1884">
        <f t="shared" si="65"/>
        <v>-3.3420742734028577E-2</v>
      </c>
    </row>
    <row r="1885" spans="1:7" x14ac:dyDescent="0.35">
      <c r="A1885" t="s">
        <v>105</v>
      </c>
      <c r="E1885">
        <v>-1.8789508570768766E-3</v>
      </c>
      <c r="F1885">
        <f t="shared" si="64"/>
        <v>-1.9848956572215446E-2</v>
      </c>
      <c r="G1885">
        <f t="shared" si="65"/>
        <v>-3.3420742734028577E-2</v>
      </c>
    </row>
    <row r="1886" spans="1:7" x14ac:dyDescent="0.35">
      <c r="A1886" t="s">
        <v>105</v>
      </c>
      <c r="E1886">
        <v>-1.1091371626912797E-2</v>
      </c>
      <c r="F1886">
        <f t="shared" si="64"/>
        <v>-1.9854406105234344E-2</v>
      </c>
      <c r="G1886">
        <f t="shared" si="65"/>
        <v>-3.3420742734028577E-2</v>
      </c>
    </row>
    <row r="1887" spans="1:7" x14ac:dyDescent="0.35">
      <c r="A1887" t="s">
        <v>105</v>
      </c>
      <c r="E1887">
        <v>5.8511187947642585E-3</v>
      </c>
      <c r="F1887">
        <f t="shared" si="64"/>
        <v>-1.9859855638253238E-2</v>
      </c>
      <c r="G1887">
        <f t="shared" si="65"/>
        <v>-3.3420742734028577E-2</v>
      </c>
    </row>
    <row r="1888" spans="1:7" x14ac:dyDescent="0.35">
      <c r="A1888" t="s">
        <v>105</v>
      </c>
      <c r="E1888">
        <v>6.1177223448659864E-3</v>
      </c>
      <c r="F1888">
        <f t="shared" si="64"/>
        <v>-1.9865305171272135E-2</v>
      </c>
      <c r="G1888">
        <f t="shared" si="65"/>
        <v>-3.3420742734028577E-2</v>
      </c>
    </row>
    <row r="1889" spans="1:144" x14ac:dyDescent="0.35">
      <c r="A1889" t="s">
        <v>105</v>
      </c>
      <c r="E1889">
        <v>5.5819813621801884E-3</v>
      </c>
      <c r="F1889">
        <f t="shared" si="64"/>
        <v>-1.9870754704291029E-2</v>
      </c>
      <c r="G1889">
        <f t="shared" si="65"/>
        <v>-3.3420742734028577E-2</v>
      </c>
    </row>
    <row r="1890" spans="1:144" x14ac:dyDescent="0.35">
      <c r="A1890" t="s">
        <v>105</v>
      </c>
      <c r="E1890">
        <v>2.6455458188343116E-3</v>
      </c>
      <c r="F1890">
        <f t="shared" si="64"/>
        <v>-1.9876204237309927E-2</v>
      </c>
      <c r="G1890">
        <f t="shared" si="65"/>
        <v>-3.3420742734028577E-2</v>
      </c>
    </row>
    <row r="1891" spans="1:144" x14ac:dyDescent="0.35">
      <c r="A1891" t="s">
        <v>105</v>
      </c>
      <c r="E1891">
        <v>-9.4908233764968222E-3</v>
      </c>
      <c r="F1891">
        <f t="shared" si="64"/>
        <v>-1.9881653770328824E-2</v>
      </c>
      <c r="G1891">
        <f t="shared" si="65"/>
        <v>-3.3420742734028577E-2</v>
      </c>
    </row>
    <row r="1892" spans="1:144" x14ac:dyDescent="0.35">
      <c r="A1892" t="s">
        <v>105</v>
      </c>
      <c r="E1892">
        <v>2.6353042832174653E-3</v>
      </c>
      <c r="F1892">
        <f t="shared" si="64"/>
        <v>-1.9887103303347718E-2</v>
      </c>
      <c r="G1892">
        <f t="shared" si="65"/>
        <v>-3.3420742734028577E-2</v>
      </c>
    </row>
    <row r="1893" spans="1:144" s="3" customFormat="1" x14ac:dyDescent="0.35">
      <c r="A1893" s="3" t="s">
        <v>106</v>
      </c>
      <c r="B1893" s="3" cm="1">
        <f t="array" ref="B1893">_xlfn.STDEV.S(_xlfn._xlws.FILTER($E$1000:$E$1998, $A$1000:$A$1998="2017-08"))</f>
        <v>8.5893089049559092E-3</v>
      </c>
      <c r="C1893" s="3" cm="1">
        <f t="array" ref="C1893">AVERAGE(_xlfn._xlws.FILTER($E$1000:$E$1998, $A$1000:$A$1998="2017-08"))</f>
        <v>4.040869511950593E-4</v>
      </c>
      <c r="D1893" s="3" cm="1">
        <f t="array" ref="D1893">_xlfn.PERCENTILE.EXC(_xlfn._xlws.FILTER($E$1498:$E$2489, $A$1498:$A$2489="2017-08"), 0.05)</f>
        <v>-1.5615704690587004E-2</v>
      </c>
      <c r="E1893" s="3">
        <v>5.8422819500485394E-3</v>
      </c>
      <c r="F1893" s="3">
        <f t="shared" si="64"/>
        <v>-1.9892552836366616E-2</v>
      </c>
      <c r="G1893" s="3">
        <f t="shared" si="65"/>
        <v>-3.3420742734028577E-2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</row>
    <row r="1894" spans="1:144" x14ac:dyDescent="0.35">
      <c r="A1894" t="s">
        <v>106</v>
      </c>
      <c r="E1894">
        <v>-1.8153859831730487E-3</v>
      </c>
      <c r="F1894">
        <f t="shared" si="64"/>
        <v>-1.989800236938551E-2</v>
      </c>
      <c r="G1894">
        <f t="shared" si="65"/>
        <v>-3.3420742734028577E-2</v>
      </c>
    </row>
    <row r="1895" spans="1:144" x14ac:dyDescent="0.35">
      <c r="A1895" t="s">
        <v>106</v>
      </c>
      <c r="E1895">
        <v>1.0151046424883429E-2</v>
      </c>
      <c r="F1895">
        <f t="shared" si="64"/>
        <v>-1.9903451902404407E-2</v>
      </c>
      <c r="G1895">
        <f t="shared" si="65"/>
        <v>-3.3420742734028577E-2</v>
      </c>
    </row>
    <row r="1896" spans="1:144" x14ac:dyDescent="0.35">
      <c r="A1896" t="s">
        <v>106</v>
      </c>
      <c r="E1896">
        <v>6.4976945705395011E-3</v>
      </c>
      <c r="F1896">
        <f t="shared" si="64"/>
        <v>-1.9908901435423305E-2</v>
      </c>
      <c r="G1896">
        <f t="shared" si="65"/>
        <v>-3.3420742734028577E-2</v>
      </c>
    </row>
    <row r="1897" spans="1:144" x14ac:dyDescent="0.35">
      <c r="A1897" t="s">
        <v>106</v>
      </c>
      <c r="E1897">
        <v>4.3387193302986933E-3</v>
      </c>
      <c r="F1897">
        <f t="shared" si="64"/>
        <v>-1.9914350968442199E-2</v>
      </c>
      <c r="G1897">
        <f t="shared" si="65"/>
        <v>-3.3420742734028577E-2</v>
      </c>
    </row>
    <row r="1898" spans="1:144" x14ac:dyDescent="0.35">
      <c r="A1898" t="s">
        <v>106</v>
      </c>
      <c r="E1898">
        <v>7.7723261474506235E-4</v>
      </c>
      <c r="F1898">
        <f t="shared" si="64"/>
        <v>-1.9919800501461096E-2</v>
      </c>
      <c r="G1898">
        <f t="shared" si="65"/>
        <v>-3.3420742734028577E-2</v>
      </c>
    </row>
    <row r="1899" spans="1:144" x14ac:dyDescent="0.35">
      <c r="A1899" t="s">
        <v>106</v>
      </c>
      <c r="E1899">
        <v>-9.1091821984398465E-3</v>
      </c>
      <c r="F1899">
        <f t="shared" si="64"/>
        <v>-1.992525003447999E-2</v>
      </c>
      <c r="G1899">
        <f t="shared" si="65"/>
        <v>-3.3420742734028577E-2</v>
      </c>
    </row>
    <row r="1900" spans="1:144" x14ac:dyDescent="0.35">
      <c r="A1900" t="s">
        <v>106</v>
      </c>
      <c r="E1900">
        <v>-7.6618834098006487E-3</v>
      </c>
      <c r="F1900">
        <f t="shared" si="64"/>
        <v>-1.9930699567498888E-2</v>
      </c>
      <c r="G1900">
        <f t="shared" si="65"/>
        <v>-3.3420742734028577E-2</v>
      </c>
    </row>
    <row r="1901" spans="1:144" x14ac:dyDescent="0.35">
      <c r="A1901" t="s">
        <v>106</v>
      </c>
      <c r="E1901">
        <v>-1.5224423458432257E-2</v>
      </c>
      <c r="F1901">
        <f t="shared" si="64"/>
        <v>-1.9932992895543792E-2</v>
      </c>
      <c r="G1901">
        <f t="shared" si="65"/>
        <v>-3.3562743188413097E-2</v>
      </c>
    </row>
    <row r="1902" spans="1:144" x14ac:dyDescent="0.35">
      <c r="A1902" t="s">
        <v>106</v>
      </c>
      <c r="E1902">
        <v>1.7090623487098881E-2</v>
      </c>
      <c r="F1902">
        <f t="shared" si="64"/>
        <v>-1.99352862235887E-2</v>
      </c>
      <c r="G1902">
        <f t="shared" si="65"/>
        <v>-3.3562743188413097E-2</v>
      </c>
    </row>
    <row r="1903" spans="1:144" x14ac:dyDescent="0.35">
      <c r="A1903" t="s">
        <v>106</v>
      </c>
      <c r="E1903">
        <v>1.2022943940300687E-2</v>
      </c>
      <c r="F1903">
        <f t="shared" si="64"/>
        <v>-1.9937579551633604E-2</v>
      </c>
      <c r="G1903">
        <f t="shared" si="65"/>
        <v>-3.3562743188413097E-2</v>
      </c>
    </row>
    <row r="1904" spans="1:144" x14ac:dyDescent="0.35">
      <c r="A1904" t="s">
        <v>106</v>
      </c>
      <c r="E1904">
        <v>-8.954749764701158E-3</v>
      </c>
      <c r="F1904">
        <f t="shared" si="64"/>
        <v>-1.9939872879678511E-2</v>
      </c>
      <c r="G1904">
        <f t="shared" si="65"/>
        <v>-3.3562743188413097E-2</v>
      </c>
    </row>
    <row r="1905" spans="1:144" x14ac:dyDescent="0.35">
      <c r="A1905" t="s">
        <v>106</v>
      </c>
      <c r="E1905">
        <v>1.1971429621121055E-3</v>
      </c>
      <c r="F1905">
        <f t="shared" si="64"/>
        <v>-1.9942166207723419E-2</v>
      </c>
      <c r="G1905">
        <f t="shared" si="65"/>
        <v>-3.3562743188413097E-2</v>
      </c>
    </row>
    <row r="1906" spans="1:144" x14ac:dyDescent="0.35">
      <c r="A1906" t="s">
        <v>106</v>
      </c>
      <c r="E1906">
        <v>-2.8534880920018644E-3</v>
      </c>
      <c r="F1906">
        <f t="shared" si="64"/>
        <v>-1.9944459535768323E-2</v>
      </c>
      <c r="G1906">
        <f t="shared" si="65"/>
        <v>-3.3562743188413097E-2</v>
      </c>
    </row>
    <row r="1907" spans="1:144" x14ac:dyDescent="0.35">
      <c r="A1907" t="s">
        <v>106</v>
      </c>
      <c r="E1907">
        <v>-1.0726209497678278E-3</v>
      </c>
      <c r="F1907">
        <f t="shared" si="64"/>
        <v>-1.9946752863813227E-2</v>
      </c>
      <c r="G1907">
        <f t="shared" si="65"/>
        <v>-3.3562743188413097E-2</v>
      </c>
    </row>
    <row r="1908" spans="1:144" x14ac:dyDescent="0.35">
      <c r="A1908" t="s">
        <v>106</v>
      </c>
      <c r="E1908">
        <v>-5.038100832866872E-3</v>
      </c>
      <c r="F1908">
        <f t="shared" si="64"/>
        <v>-1.9949046191858135E-2</v>
      </c>
      <c r="G1908">
        <f t="shared" si="65"/>
        <v>-3.3562743188413097E-2</v>
      </c>
    </row>
    <row r="1909" spans="1:144" x14ac:dyDescent="0.35">
      <c r="A1909" t="s">
        <v>106</v>
      </c>
      <c r="E1909">
        <v>5.0560486392656322E-3</v>
      </c>
      <c r="F1909">
        <f t="shared" si="64"/>
        <v>-1.9951339519903039E-2</v>
      </c>
      <c r="G1909">
        <f t="shared" si="65"/>
        <v>-3.3562743188413097E-2</v>
      </c>
    </row>
    <row r="1910" spans="1:144" x14ac:dyDescent="0.35">
      <c r="A1910" t="s">
        <v>106</v>
      </c>
      <c r="E1910">
        <v>7.6501330773722843E-4</v>
      </c>
      <c r="F1910">
        <f t="shared" si="64"/>
        <v>-1.9953632847947947E-2</v>
      </c>
      <c r="G1910">
        <f t="shared" si="65"/>
        <v>-3.3562743188413097E-2</v>
      </c>
    </row>
    <row r="1911" spans="1:144" x14ac:dyDescent="0.35">
      <c r="A1911" t="s">
        <v>106</v>
      </c>
      <c r="E1911">
        <v>-1.5659180383048643E-2</v>
      </c>
      <c r="F1911">
        <f t="shared" si="64"/>
        <v>-1.9955926175992851E-2</v>
      </c>
      <c r="G1911">
        <f t="shared" si="65"/>
        <v>-3.3562743188413097E-2</v>
      </c>
    </row>
    <row r="1912" spans="1:144" x14ac:dyDescent="0.35">
      <c r="A1912" t="s">
        <v>106</v>
      </c>
      <c r="E1912">
        <v>4.4202077558182932E-3</v>
      </c>
      <c r="F1912">
        <f t="shared" si="64"/>
        <v>-1.9958219504037759E-2</v>
      </c>
      <c r="G1912">
        <f t="shared" si="65"/>
        <v>-3.3562743188413097E-2</v>
      </c>
    </row>
    <row r="1913" spans="1:144" x14ac:dyDescent="0.35">
      <c r="A1913" t="s">
        <v>106</v>
      </c>
      <c r="E1913">
        <v>7.7158860644803602E-3</v>
      </c>
      <c r="F1913">
        <f t="shared" si="64"/>
        <v>-1.9960512832082663E-2</v>
      </c>
      <c r="G1913">
        <f t="shared" si="65"/>
        <v>-3.3562743188413097E-2</v>
      </c>
    </row>
    <row r="1914" spans="1:144" s="3" customFormat="1" x14ac:dyDescent="0.35">
      <c r="A1914" s="3" t="s">
        <v>107</v>
      </c>
      <c r="B1914" s="3" cm="1">
        <f t="array" ref="B1914">_xlfn.STDEV.S(_xlfn._xlws.FILTER($E$1000:$E$1998, $A$1000:$A$1998="2017-09"))</f>
        <v>5.2662416095219343E-3</v>
      </c>
      <c r="C1914" s="3" cm="1">
        <f t="array" ref="C1914">AVERAGE(_xlfn._xlws.FILTER($E$1000:$E$1998, $A$1000:$A$1998="2017-09"))</f>
        <v>2.2034789678644926E-3</v>
      </c>
      <c r="D1914" s="3" cm="1">
        <f t="array" ref="D1914">_xlfn.PERCENTILE.EXC(_xlfn._xlws.FILTER($E$1498:$E$2489, $A$1498:$A$2489="2017-09"), 0.05)</f>
        <v>-6.0832899677741043E-3</v>
      </c>
      <c r="E1914" s="3">
        <v>8.662868353852847E-3</v>
      </c>
      <c r="F1914" s="3">
        <f t="shared" si="64"/>
        <v>-1.9962806160127571E-2</v>
      </c>
      <c r="G1914" s="3">
        <f t="shared" si="65"/>
        <v>-3.3562743188413097E-2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</row>
    <row r="1915" spans="1:144" x14ac:dyDescent="0.35">
      <c r="A1915" t="s">
        <v>107</v>
      </c>
      <c r="E1915">
        <v>-3.1130048658907158E-3</v>
      </c>
      <c r="F1915">
        <f t="shared" si="64"/>
        <v>-1.9965099488172475E-2</v>
      </c>
      <c r="G1915">
        <f t="shared" si="65"/>
        <v>-3.3562743188413097E-2</v>
      </c>
    </row>
    <row r="1916" spans="1:144" x14ac:dyDescent="0.35">
      <c r="A1916" t="s">
        <v>107</v>
      </c>
      <c r="E1916">
        <v>-2.4319816729859735E-3</v>
      </c>
      <c r="F1916">
        <f t="shared" si="64"/>
        <v>-1.9967392816217382E-2</v>
      </c>
      <c r="G1916">
        <f t="shared" si="65"/>
        <v>-3.3562743188413097E-2</v>
      </c>
    </row>
    <row r="1917" spans="1:144" x14ac:dyDescent="0.35">
      <c r="A1917" t="s">
        <v>107</v>
      </c>
      <c r="E1917">
        <v>3.5300164663446282E-3</v>
      </c>
      <c r="F1917">
        <f t="shared" si="64"/>
        <v>-1.9969686144262287E-2</v>
      </c>
      <c r="G1917">
        <f t="shared" si="65"/>
        <v>-3.3562743188413097E-2</v>
      </c>
    </row>
    <row r="1918" spans="1:144" x14ac:dyDescent="0.35">
      <c r="A1918" t="s">
        <v>107</v>
      </c>
      <c r="E1918">
        <v>-4.2285866808084967E-3</v>
      </c>
      <c r="F1918">
        <f t="shared" si="64"/>
        <v>-1.9971979472307194E-2</v>
      </c>
      <c r="G1918">
        <f t="shared" si="65"/>
        <v>-3.3562743188413097E-2</v>
      </c>
    </row>
    <row r="1919" spans="1:144" x14ac:dyDescent="0.35">
      <c r="A1919" t="s">
        <v>107</v>
      </c>
      <c r="E1919">
        <v>2.489703963146708E-3</v>
      </c>
      <c r="F1919">
        <f t="shared" si="64"/>
        <v>-1.9974272800352098E-2</v>
      </c>
      <c r="G1919">
        <f t="shared" si="65"/>
        <v>-3.3562743188413097E-2</v>
      </c>
    </row>
    <row r="1920" spans="1:144" x14ac:dyDescent="0.35">
      <c r="A1920" t="s">
        <v>107</v>
      </c>
      <c r="E1920">
        <v>1.628110351363778E-2</v>
      </c>
      <c r="F1920">
        <f t="shared" si="64"/>
        <v>-1.9976566128397006E-2</v>
      </c>
      <c r="G1920">
        <f t="shared" si="65"/>
        <v>-3.3562743188413097E-2</v>
      </c>
    </row>
    <row r="1921" spans="1:144" x14ac:dyDescent="0.35">
      <c r="A1921" t="s">
        <v>107</v>
      </c>
      <c r="E1921">
        <v>4.47580518965064E-3</v>
      </c>
      <c r="F1921">
        <f t="shared" si="64"/>
        <v>-1.9980527115894559E-2</v>
      </c>
      <c r="G1921">
        <f t="shared" si="65"/>
        <v>-3.3707276986923905E-2</v>
      </c>
    </row>
    <row r="1922" spans="1:144" x14ac:dyDescent="0.35">
      <c r="A1922" t="s">
        <v>107</v>
      </c>
      <c r="E1922">
        <v>-4.4977477529617159E-6</v>
      </c>
      <c r="F1922">
        <f t="shared" si="64"/>
        <v>-1.9984488103392112E-2</v>
      </c>
      <c r="G1922">
        <f t="shared" si="65"/>
        <v>-3.3707276986923905E-2</v>
      </c>
    </row>
    <row r="1923" spans="1:144" x14ac:dyDescent="0.35">
      <c r="A1923" t="s">
        <v>107</v>
      </c>
      <c r="E1923">
        <v>2.1494157140177867E-3</v>
      </c>
      <c r="F1923">
        <f t="shared" si="64"/>
        <v>-1.9988449090889666E-2</v>
      </c>
      <c r="G1923">
        <f t="shared" si="65"/>
        <v>-3.3707276986923905E-2</v>
      </c>
    </row>
    <row r="1924" spans="1:144" x14ac:dyDescent="0.35">
      <c r="A1924" t="s">
        <v>107</v>
      </c>
      <c r="E1924">
        <v>-2.3207949733635362E-3</v>
      </c>
      <c r="F1924">
        <f t="shared" ref="F1924:F1987" si="66">_xlfn.PERCENTILE.EXC(E1924:E5739,0.05)</f>
        <v>-1.9992410078387216E-2</v>
      </c>
      <c r="G1924">
        <f t="shared" ref="G1924:G1987" si="67">AVERAGEIFS(E1924:E5740,E1924:E5740,"&lt;=" &amp; F1924)</f>
        <v>-3.3707276986923905E-2</v>
      </c>
    </row>
    <row r="1925" spans="1:144" x14ac:dyDescent="0.35">
      <c r="A1925" t="s">
        <v>107</v>
      </c>
      <c r="E1925">
        <v>6.0658257672131831E-3</v>
      </c>
      <c r="F1925">
        <f t="shared" si="66"/>
        <v>-1.9996371065884769E-2</v>
      </c>
      <c r="G1925">
        <f t="shared" si="67"/>
        <v>-3.3707276986923905E-2</v>
      </c>
    </row>
    <row r="1926" spans="1:144" x14ac:dyDescent="0.35">
      <c r="A1926" t="s">
        <v>107</v>
      </c>
      <c r="E1926">
        <v>2.7095253566251989E-3</v>
      </c>
      <c r="F1926">
        <f t="shared" si="66"/>
        <v>-2.0000332053382322E-2</v>
      </c>
      <c r="G1926">
        <f t="shared" si="67"/>
        <v>-3.3707276986923905E-2</v>
      </c>
    </row>
    <row r="1927" spans="1:144" x14ac:dyDescent="0.35">
      <c r="A1927" t="s">
        <v>107</v>
      </c>
      <c r="E1927">
        <v>-3.1191825383315016E-3</v>
      </c>
      <c r="F1927">
        <f t="shared" si="66"/>
        <v>-2.0004293040879875E-2</v>
      </c>
      <c r="G1927">
        <f t="shared" si="67"/>
        <v>-3.3707276986923905E-2</v>
      </c>
    </row>
    <row r="1928" spans="1:144" x14ac:dyDescent="0.35">
      <c r="A1928" t="s">
        <v>107</v>
      </c>
      <c r="E1928">
        <v>6.0717317615883041E-3</v>
      </c>
      <c r="F1928">
        <f t="shared" si="66"/>
        <v>-2.0008254028377429E-2</v>
      </c>
      <c r="G1928">
        <f t="shared" si="67"/>
        <v>-3.3707276986923905E-2</v>
      </c>
    </row>
    <row r="1929" spans="1:144" x14ac:dyDescent="0.35">
      <c r="A1929" t="s">
        <v>107</v>
      </c>
      <c r="E1929">
        <v>1.7369074450628889E-3</v>
      </c>
      <c r="F1929">
        <f t="shared" si="66"/>
        <v>-2.0012215015874982E-2</v>
      </c>
      <c r="G1929">
        <f t="shared" si="67"/>
        <v>-3.3707276986923905E-2</v>
      </c>
    </row>
    <row r="1930" spans="1:144" x14ac:dyDescent="0.35">
      <c r="A1930" t="s">
        <v>107</v>
      </c>
      <c r="E1930">
        <v>-6.2893681107702836E-3</v>
      </c>
      <c r="F1930">
        <f t="shared" si="66"/>
        <v>-2.0016176003372535E-2</v>
      </c>
      <c r="G1930">
        <f t="shared" si="67"/>
        <v>-3.3707276986923905E-2</v>
      </c>
    </row>
    <row r="1931" spans="1:144" x14ac:dyDescent="0.35">
      <c r="A1931" t="s">
        <v>107</v>
      </c>
      <c r="E1931">
        <v>1.8331017341412191E-3</v>
      </c>
      <c r="F1931">
        <f t="shared" si="66"/>
        <v>-2.0020136990870088E-2</v>
      </c>
      <c r="G1931">
        <f t="shared" si="67"/>
        <v>-3.3707276986923905E-2</v>
      </c>
    </row>
    <row r="1932" spans="1:144" x14ac:dyDescent="0.35">
      <c r="A1932" t="s">
        <v>107</v>
      </c>
      <c r="E1932">
        <v>8.5029558194873924E-3</v>
      </c>
      <c r="F1932">
        <f t="shared" si="66"/>
        <v>-2.0024097978367641E-2</v>
      </c>
      <c r="G1932">
        <f t="shared" si="67"/>
        <v>-3.3707276986923905E-2</v>
      </c>
    </row>
    <row r="1933" spans="1:144" x14ac:dyDescent="0.35">
      <c r="A1933" t="s">
        <v>107</v>
      </c>
      <c r="E1933">
        <v>-1.5271008009533336E-3</v>
      </c>
      <c r="F1933">
        <f t="shared" si="66"/>
        <v>-2.0028058965865195E-2</v>
      </c>
      <c r="G1933">
        <f t="shared" si="67"/>
        <v>-3.3707276986923905E-2</v>
      </c>
    </row>
    <row r="1934" spans="1:144" x14ac:dyDescent="0.35">
      <c r="A1934" t="s">
        <v>107</v>
      </c>
      <c r="E1934">
        <v>4.7986146312425692E-3</v>
      </c>
      <c r="F1934">
        <f t="shared" si="66"/>
        <v>-2.0032019953362745E-2</v>
      </c>
      <c r="G1934">
        <f t="shared" si="67"/>
        <v>-3.3707276986923905E-2</v>
      </c>
    </row>
    <row r="1935" spans="1:144" s="3" customFormat="1" x14ac:dyDescent="0.35">
      <c r="A1935" s="3" t="s">
        <v>108</v>
      </c>
      <c r="B1935" s="3" cm="1">
        <f t="array" ref="B1935">_xlfn.STDEV.S(_xlfn._xlws.FILTER($E$1000:$E$1998, $A$1000:$A$1998="2017-10"))</f>
        <v>8.1359667400274713E-3</v>
      </c>
      <c r="C1935" s="3" cm="1">
        <f t="array" ref="C1935">AVERAGE(_xlfn._xlws.FILTER($E$1000:$E$1998, $A$1000:$A$1998="2017-10"))</f>
        <v>1.2446867440291418E-4</v>
      </c>
      <c r="D1935" s="3" cm="1">
        <f t="array" ref="D1935">_xlfn.PERCENTILE.EXC(_xlfn._xlws.FILTER($E$1498:$E$2489, $A$1498:$A$2489="2017-10"), 0.05)</f>
        <v>-1.5390469279010159E-2</v>
      </c>
      <c r="E1935" s="3">
        <v>5.0484082283871277E-3</v>
      </c>
      <c r="F1935" s="3">
        <f t="shared" si="66"/>
        <v>-2.0035980940860301E-2</v>
      </c>
      <c r="G1935" s="3">
        <f t="shared" si="67"/>
        <v>-3.3707276986923905E-2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</row>
    <row r="1936" spans="1:144" x14ac:dyDescent="0.35">
      <c r="A1936" t="s">
        <v>108</v>
      </c>
      <c r="E1936">
        <v>-1.5676444139148486E-2</v>
      </c>
      <c r="F1936">
        <f t="shared" si="66"/>
        <v>-2.0039941928357851E-2</v>
      </c>
      <c r="G1936">
        <f t="shared" si="67"/>
        <v>-3.3707276986923905E-2</v>
      </c>
    </row>
    <row r="1937" spans="1:7" x14ac:dyDescent="0.35">
      <c r="A1937" t="s">
        <v>108</v>
      </c>
      <c r="E1937">
        <v>4.8709172518631673E-3</v>
      </c>
      <c r="F1937">
        <f t="shared" si="66"/>
        <v>-2.0043902915855404E-2</v>
      </c>
      <c r="G1937">
        <f t="shared" si="67"/>
        <v>-3.3707276986923905E-2</v>
      </c>
    </row>
    <row r="1938" spans="1:7" x14ac:dyDescent="0.35">
      <c r="A1938" t="s">
        <v>108</v>
      </c>
      <c r="E1938">
        <v>-7.7280818016277446E-3</v>
      </c>
      <c r="F1938">
        <f t="shared" si="66"/>
        <v>-2.0047863903352958E-2</v>
      </c>
      <c r="G1938">
        <f t="shared" si="67"/>
        <v>-3.3707276986923905E-2</v>
      </c>
    </row>
    <row r="1939" spans="1:7" x14ac:dyDescent="0.35">
      <c r="A1939" t="s">
        <v>108</v>
      </c>
      <c r="E1939">
        <v>3.7638452726727208E-3</v>
      </c>
      <c r="F1939">
        <f t="shared" si="66"/>
        <v>-2.0051824890850511E-2</v>
      </c>
      <c r="G1939">
        <f t="shared" si="67"/>
        <v>-3.3707276986923905E-2</v>
      </c>
    </row>
    <row r="1940" spans="1:7" x14ac:dyDescent="0.35">
      <c r="A1940" t="s">
        <v>108</v>
      </c>
      <c r="E1940">
        <v>-6.2857444178602709E-3</v>
      </c>
      <c r="F1940">
        <f t="shared" si="66"/>
        <v>-2.0055785878348064E-2</v>
      </c>
      <c r="G1940">
        <f t="shared" si="67"/>
        <v>-3.3707276986923905E-2</v>
      </c>
    </row>
    <row r="1941" spans="1:7" x14ac:dyDescent="0.35">
      <c r="A1941" t="s">
        <v>108</v>
      </c>
      <c r="E1941">
        <v>9.6373683789397202E-3</v>
      </c>
      <c r="F1941">
        <f t="shared" si="66"/>
        <v>-2.0069287941454024E-2</v>
      </c>
      <c r="G1941">
        <f t="shared" si="67"/>
        <v>-3.3854067213897839E-2</v>
      </c>
    </row>
    <row r="1942" spans="1:7" x14ac:dyDescent="0.35">
      <c r="A1942" t="s">
        <v>108</v>
      </c>
      <c r="E1942">
        <v>-6.8386267897158053E-3</v>
      </c>
      <c r="F1942">
        <f t="shared" si="66"/>
        <v>-2.0082790004559984E-2</v>
      </c>
      <c r="G1942">
        <f t="shared" si="67"/>
        <v>-3.3854067213897839E-2</v>
      </c>
    </row>
    <row r="1943" spans="1:7" x14ac:dyDescent="0.35">
      <c r="A1943" t="s">
        <v>108</v>
      </c>
      <c r="E1943">
        <v>6.708017403175211E-4</v>
      </c>
      <c r="F1943">
        <f t="shared" si="66"/>
        <v>-2.0096292067665944E-2</v>
      </c>
      <c r="G1943">
        <f t="shared" si="67"/>
        <v>-3.3854067213897839E-2</v>
      </c>
    </row>
    <row r="1944" spans="1:7" x14ac:dyDescent="0.35">
      <c r="A1944" t="s">
        <v>108</v>
      </c>
      <c r="E1944">
        <v>6.5875964234914704E-4</v>
      </c>
      <c r="F1944">
        <f t="shared" si="66"/>
        <v>-2.0109794130771907E-2</v>
      </c>
      <c r="G1944">
        <f t="shared" si="67"/>
        <v>-3.3854067213897839E-2</v>
      </c>
    </row>
    <row r="1945" spans="1:7" x14ac:dyDescent="0.35">
      <c r="A1945" t="s">
        <v>108</v>
      </c>
      <c r="E1945">
        <v>-4.0445847923047734E-3</v>
      </c>
      <c r="F1945">
        <f t="shared" si="66"/>
        <v>-2.0123296193877871E-2</v>
      </c>
      <c r="G1945">
        <f t="shared" si="67"/>
        <v>-3.3854067213897839E-2</v>
      </c>
    </row>
    <row r="1946" spans="1:7" x14ac:dyDescent="0.35">
      <c r="A1946" t="s">
        <v>108</v>
      </c>
      <c r="E1946">
        <v>7.5672706417620743E-4</v>
      </c>
      <c r="F1946">
        <f t="shared" si="66"/>
        <v>-2.0136798256983831E-2</v>
      </c>
      <c r="G1946">
        <f t="shared" si="67"/>
        <v>-3.3854067213897839E-2</v>
      </c>
    </row>
    <row r="1947" spans="1:7" x14ac:dyDescent="0.35">
      <c r="A1947" t="s">
        <v>108</v>
      </c>
      <c r="E1947">
        <v>-9.9569469363819454E-3</v>
      </c>
      <c r="F1947">
        <f t="shared" si="66"/>
        <v>-2.0150300320089791E-2</v>
      </c>
      <c r="G1947">
        <f t="shared" si="67"/>
        <v>-3.3854067213897839E-2</v>
      </c>
    </row>
    <row r="1948" spans="1:7" x14ac:dyDescent="0.35">
      <c r="A1948" t="s">
        <v>108</v>
      </c>
      <c r="E1948">
        <v>9.6061760197473298E-3</v>
      </c>
      <c r="F1948">
        <f t="shared" si="66"/>
        <v>-2.0163802383195751E-2</v>
      </c>
      <c r="G1948">
        <f t="shared" si="67"/>
        <v>-3.3854067213897839E-2</v>
      </c>
    </row>
    <row r="1949" spans="1:7" x14ac:dyDescent="0.35">
      <c r="A1949" t="s">
        <v>108</v>
      </c>
      <c r="E1949">
        <v>1.4447971379708423E-3</v>
      </c>
      <c r="F1949">
        <f t="shared" si="66"/>
        <v>-2.0177304446301711E-2</v>
      </c>
      <c r="G1949">
        <f t="shared" si="67"/>
        <v>-3.3854067213897839E-2</v>
      </c>
    </row>
    <row r="1950" spans="1:7" x14ac:dyDescent="0.35">
      <c r="A1950" t="s">
        <v>108</v>
      </c>
      <c r="E1950">
        <v>1.1127289471929713E-2</v>
      </c>
      <c r="F1950">
        <f t="shared" si="66"/>
        <v>-2.0190806509407674E-2</v>
      </c>
      <c r="G1950">
        <f t="shared" si="67"/>
        <v>-3.3854067213897839E-2</v>
      </c>
    </row>
    <row r="1951" spans="1:7" x14ac:dyDescent="0.35">
      <c r="A1951" t="s">
        <v>108</v>
      </c>
      <c r="E1951">
        <v>-8.1276586627111614E-3</v>
      </c>
      <c r="F1951">
        <f t="shared" si="66"/>
        <v>-2.0204308572513638E-2</v>
      </c>
      <c r="G1951">
        <f t="shared" si="67"/>
        <v>-3.3854067213897839E-2</v>
      </c>
    </row>
    <row r="1952" spans="1:7" x14ac:dyDescent="0.35">
      <c r="A1952" t="s">
        <v>108</v>
      </c>
      <c r="E1952">
        <v>1.595612213669911E-2</v>
      </c>
      <c r="F1952">
        <f t="shared" si="66"/>
        <v>-2.0217810635619598E-2</v>
      </c>
      <c r="G1952">
        <f t="shared" si="67"/>
        <v>-3.3854067213897839E-2</v>
      </c>
    </row>
    <row r="1953" spans="1:144" x14ac:dyDescent="0.35">
      <c r="A1953" t="s">
        <v>108</v>
      </c>
      <c r="E1953">
        <v>-6.262713594558658E-3</v>
      </c>
      <c r="F1953">
        <f t="shared" si="66"/>
        <v>-2.0231312698725558E-2</v>
      </c>
      <c r="G1953">
        <f t="shared" si="67"/>
        <v>-3.3854067213897839E-2</v>
      </c>
    </row>
    <row r="1954" spans="1:144" x14ac:dyDescent="0.35">
      <c r="A1954" t="s">
        <v>108</v>
      </c>
      <c r="E1954">
        <v>3.8689622773145243E-3</v>
      </c>
      <c r="F1954">
        <f t="shared" si="66"/>
        <v>-2.0244814761831518E-2</v>
      </c>
      <c r="G1954">
        <f t="shared" si="67"/>
        <v>-3.3854067213897839E-2</v>
      </c>
    </row>
    <row r="1955" spans="1:144" s="3" customFormat="1" x14ac:dyDescent="0.35">
      <c r="A1955" s="3" t="s">
        <v>109</v>
      </c>
      <c r="B1955" s="3" cm="1">
        <f t="array" ref="B1955">_xlfn.STDEV.S(_xlfn._xlws.FILTER($E$1000:$E$1998, $A$1000:$A$1998="2017-11"))</f>
        <v>5.2597393457996877E-3</v>
      </c>
      <c r="C1955" s="3" cm="1">
        <f t="array" ref="C1955">AVERAGE(_xlfn._xlws.FILTER($E$1000:$E$1998, $A$1000:$A$1998="2017-11"))</f>
        <v>-7.7490178994111994E-4</v>
      </c>
      <c r="D1955" s="3" cm="1">
        <f t="array" ref="D1955">_xlfn.PERCENTILE.EXC(_xlfn._xlws.FILTER($E$1498:$E$2489, $A$1498:$A$2489="2017-11"), 0.05)</f>
        <v>-1.0388079282818433E-2</v>
      </c>
      <c r="E1955" s="3">
        <v>1.0453724106696254E-2</v>
      </c>
      <c r="F1955" s="3">
        <f t="shared" si="66"/>
        <v>-2.0258316824937481E-2</v>
      </c>
      <c r="G1955" s="3">
        <f t="shared" si="67"/>
        <v>-3.3854067213897839E-2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</row>
    <row r="1956" spans="1:144" x14ac:dyDescent="0.35">
      <c r="A1956" t="s">
        <v>109</v>
      </c>
      <c r="E1956">
        <v>2.3484937606804029E-3</v>
      </c>
      <c r="F1956">
        <f t="shared" si="66"/>
        <v>-2.0271818888043441E-2</v>
      </c>
      <c r="G1956">
        <f t="shared" si="67"/>
        <v>-3.3854067213897839E-2</v>
      </c>
    </row>
    <row r="1957" spans="1:144" x14ac:dyDescent="0.35">
      <c r="A1957" t="s">
        <v>109</v>
      </c>
      <c r="E1957">
        <v>-1.3860130424997728E-3</v>
      </c>
      <c r="F1957">
        <f t="shared" si="66"/>
        <v>-2.0285320951149405E-2</v>
      </c>
      <c r="G1957">
        <f t="shared" si="67"/>
        <v>-3.3854067213897839E-2</v>
      </c>
    </row>
    <row r="1958" spans="1:144" x14ac:dyDescent="0.35">
      <c r="A1958" t="s">
        <v>109</v>
      </c>
      <c r="E1958">
        <v>-4.9025382482425703E-4</v>
      </c>
      <c r="F1958">
        <f t="shared" si="66"/>
        <v>-2.0298823014255365E-2</v>
      </c>
      <c r="G1958">
        <f t="shared" si="67"/>
        <v>-3.3854067213897839E-2</v>
      </c>
    </row>
    <row r="1959" spans="1:144" x14ac:dyDescent="0.35">
      <c r="A1959" t="s">
        <v>109</v>
      </c>
      <c r="E1959">
        <v>-1.7517513286182615E-3</v>
      </c>
      <c r="F1959">
        <f t="shared" si="66"/>
        <v>-2.0312325077361325E-2</v>
      </c>
      <c r="G1959">
        <f t="shared" si="67"/>
        <v>-3.3854067213897839E-2</v>
      </c>
    </row>
    <row r="1960" spans="1:144" x14ac:dyDescent="0.35">
      <c r="A1960" t="s">
        <v>109</v>
      </c>
      <c r="E1960">
        <v>-5.7339684275274153E-3</v>
      </c>
      <c r="F1960">
        <f t="shared" si="66"/>
        <v>-2.0325827140467288E-2</v>
      </c>
      <c r="G1960">
        <f t="shared" si="67"/>
        <v>-3.3854067213897839E-2</v>
      </c>
    </row>
    <row r="1961" spans="1:144" x14ac:dyDescent="0.35">
      <c r="A1961" t="s">
        <v>109</v>
      </c>
      <c r="E1961">
        <v>-8.356287688052199E-3</v>
      </c>
      <c r="F1961">
        <f t="shared" si="66"/>
        <v>-2.0331339548060726E-2</v>
      </c>
      <c r="G1961">
        <f t="shared" si="67"/>
        <v>-3.4001113301652515E-2</v>
      </c>
    </row>
    <row r="1962" spans="1:144" x14ac:dyDescent="0.35">
      <c r="A1962" t="s">
        <v>109</v>
      </c>
      <c r="E1962">
        <v>-3.562670104594792E-3</v>
      </c>
      <c r="F1962">
        <f t="shared" si="66"/>
        <v>-2.033685195565416E-2</v>
      </c>
      <c r="G1962">
        <f t="shared" si="67"/>
        <v>-3.4001113301652515E-2</v>
      </c>
    </row>
    <row r="1963" spans="1:144" x14ac:dyDescent="0.35">
      <c r="A1963" t="s">
        <v>109</v>
      </c>
      <c r="E1963">
        <v>-5.4735379638990557E-3</v>
      </c>
      <c r="F1963">
        <f t="shared" si="66"/>
        <v>-2.0342364363247597E-2</v>
      </c>
      <c r="G1963">
        <f t="shared" si="67"/>
        <v>-3.4001113301652515E-2</v>
      </c>
    </row>
    <row r="1964" spans="1:144" x14ac:dyDescent="0.35">
      <c r="A1964" t="s">
        <v>109</v>
      </c>
      <c r="E1964">
        <v>-6.2841775949253401E-3</v>
      </c>
      <c r="F1964">
        <f t="shared" si="66"/>
        <v>-2.0347876770841031E-2</v>
      </c>
      <c r="G1964">
        <f t="shared" si="67"/>
        <v>-3.4001113301652515E-2</v>
      </c>
    </row>
    <row r="1965" spans="1:144" x14ac:dyDescent="0.35">
      <c r="A1965" t="s">
        <v>109</v>
      </c>
      <c r="E1965">
        <v>-6.2174091028517403E-3</v>
      </c>
      <c r="F1965">
        <f t="shared" si="66"/>
        <v>-2.0353389178434468E-2</v>
      </c>
      <c r="G1965">
        <f t="shared" si="67"/>
        <v>-3.4001113301652515E-2</v>
      </c>
    </row>
    <row r="1966" spans="1:144" x14ac:dyDescent="0.35">
      <c r="A1966" t="s">
        <v>109</v>
      </c>
      <c r="E1966">
        <v>2.1512229058743282E-3</v>
      </c>
      <c r="F1966">
        <f t="shared" si="66"/>
        <v>-2.0358901586027905E-2</v>
      </c>
      <c r="G1966">
        <f t="shared" si="67"/>
        <v>-3.4001113301652515E-2</v>
      </c>
    </row>
    <row r="1967" spans="1:144" x14ac:dyDescent="0.35">
      <c r="A1967" t="s">
        <v>109</v>
      </c>
      <c r="E1967">
        <v>-5.1309888853933155E-3</v>
      </c>
      <c r="F1967">
        <f t="shared" si="66"/>
        <v>-2.0364413993621339E-2</v>
      </c>
      <c r="G1967">
        <f t="shared" si="67"/>
        <v>-3.4001113301652515E-2</v>
      </c>
    </row>
    <row r="1968" spans="1:144" x14ac:dyDescent="0.35">
      <c r="A1968" t="s">
        <v>109</v>
      </c>
      <c r="E1968">
        <v>4.3493842586876715E-3</v>
      </c>
      <c r="F1968">
        <f t="shared" si="66"/>
        <v>-2.0369926401214777E-2</v>
      </c>
      <c r="G1968">
        <f t="shared" si="67"/>
        <v>-3.4001113301652515E-2</v>
      </c>
    </row>
    <row r="1969" spans="1:144" x14ac:dyDescent="0.35">
      <c r="A1969" t="s">
        <v>109</v>
      </c>
      <c r="E1969">
        <v>6.1636889974091731E-3</v>
      </c>
      <c r="F1969">
        <f t="shared" si="66"/>
        <v>-2.0375438808808211E-2</v>
      </c>
      <c r="G1969">
        <f t="shared" si="67"/>
        <v>-3.4001113301652515E-2</v>
      </c>
    </row>
    <row r="1970" spans="1:144" x14ac:dyDescent="0.35">
      <c r="A1970" t="s">
        <v>109</v>
      </c>
      <c r="E1970">
        <v>-5.0177324128429816E-4</v>
      </c>
      <c r="F1970">
        <f t="shared" si="66"/>
        <v>-2.0380951216401648E-2</v>
      </c>
      <c r="G1970">
        <f t="shared" si="67"/>
        <v>-3.4001113301652515E-2</v>
      </c>
    </row>
    <row r="1971" spans="1:144" x14ac:dyDescent="0.35">
      <c r="A1971" t="s">
        <v>109</v>
      </c>
      <c r="E1971">
        <v>3.6919936858337866E-3</v>
      </c>
      <c r="F1971">
        <f t="shared" si="66"/>
        <v>-2.0386463623995085E-2</v>
      </c>
      <c r="G1971">
        <f t="shared" si="67"/>
        <v>-3.4001113301652515E-2</v>
      </c>
    </row>
    <row r="1972" spans="1:144" x14ac:dyDescent="0.35">
      <c r="A1972" t="s">
        <v>109</v>
      </c>
      <c r="E1972">
        <v>8.2697209989228166E-4</v>
      </c>
      <c r="F1972">
        <f t="shared" si="66"/>
        <v>-2.0391976031588519E-2</v>
      </c>
      <c r="G1972">
        <f t="shared" si="67"/>
        <v>-3.4001113301652515E-2</v>
      </c>
    </row>
    <row r="1973" spans="1:144" x14ac:dyDescent="0.35">
      <c r="A1973" t="s">
        <v>109</v>
      </c>
      <c r="E1973">
        <v>-1.0746630740718358E-2</v>
      </c>
      <c r="F1973">
        <f t="shared" si="66"/>
        <v>-2.0397488439181957E-2</v>
      </c>
      <c r="G1973">
        <f t="shared" si="67"/>
        <v>-3.4001113301652515E-2</v>
      </c>
    </row>
    <row r="1974" spans="1:144" x14ac:dyDescent="0.35">
      <c r="A1974" t="s">
        <v>109</v>
      </c>
      <c r="E1974">
        <v>5.1753638854620271E-3</v>
      </c>
      <c r="F1974">
        <f t="shared" si="66"/>
        <v>-2.040300084677539E-2</v>
      </c>
      <c r="G1974">
        <f t="shared" si="67"/>
        <v>-3.4001113301652515E-2</v>
      </c>
    </row>
    <row r="1975" spans="1:144" x14ac:dyDescent="0.35">
      <c r="A1975" t="s">
        <v>109</v>
      </c>
      <c r="E1975">
        <v>1.5316790879831624E-3</v>
      </c>
      <c r="F1975">
        <f t="shared" si="66"/>
        <v>-2.0408513254368828E-2</v>
      </c>
      <c r="G1975">
        <f t="shared" si="67"/>
        <v>-3.4001113301652515E-2</v>
      </c>
    </row>
    <row r="1976" spans="1:144" x14ac:dyDescent="0.35">
      <c r="A1976" t="s">
        <v>109</v>
      </c>
      <c r="E1976">
        <v>1.8950997779650796E-3</v>
      </c>
      <c r="F1976">
        <f t="shared" si="66"/>
        <v>-2.0414025661962265E-2</v>
      </c>
      <c r="G1976">
        <f t="shared" si="67"/>
        <v>-3.4001113301652515E-2</v>
      </c>
    </row>
    <row r="1977" spans="1:144" s="3" customFormat="1" x14ac:dyDescent="0.35">
      <c r="A1977" s="3" t="s">
        <v>110</v>
      </c>
      <c r="B1977" s="3" cm="1">
        <f t="array" ref="B1977">_xlfn.STDEV.S(_xlfn._xlws.FILTER($E$1000:$E$1998, $A$1000:$A$1998="2017-12"))</f>
        <v>8.5081367465933162E-3</v>
      </c>
      <c r="C1977" s="3" cm="1">
        <f t="array" ref="C1977">AVERAGE(_xlfn._xlws.FILTER($E$1000:$E$1998, $A$1000:$A$1998="2017-12"))</f>
        <v>-1.2258189813551443E-3</v>
      </c>
      <c r="D1977" s="3" cm="1">
        <f t="array" ref="D1977">_xlfn.PERCENTILE.EXC(_xlfn._xlws.FILTER($E$1498:$E$2489, $A$1498:$A$2489="2017-12"), 0.05)</f>
        <v>-1.4498284093834555E-2</v>
      </c>
      <c r="E1977" s="3">
        <v>-1.1790742380017004E-2</v>
      </c>
      <c r="F1977" s="3">
        <f t="shared" si="66"/>
        <v>-2.0419538069555699E-2</v>
      </c>
      <c r="G1977" s="3">
        <f t="shared" si="67"/>
        <v>-3.4001113301652515E-2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</row>
    <row r="1978" spans="1:144" x14ac:dyDescent="0.35">
      <c r="A1978" t="s">
        <v>110</v>
      </c>
      <c r="E1978">
        <v>1.1514420234929044E-2</v>
      </c>
      <c r="F1978">
        <f t="shared" si="66"/>
        <v>-2.0425050477149136E-2</v>
      </c>
      <c r="G1978">
        <f t="shared" si="67"/>
        <v>-3.4001113301652515E-2</v>
      </c>
    </row>
    <row r="1979" spans="1:144" x14ac:dyDescent="0.35">
      <c r="A1979" t="s">
        <v>110</v>
      </c>
      <c r="E1979">
        <v>2.4208101343958927E-3</v>
      </c>
      <c r="F1979">
        <f t="shared" si="66"/>
        <v>-2.043056288474257E-2</v>
      </c>
      <c r="G1979">
        <f t="shared" si="67"/>
        <v>-3.4001113301652515E-2</v>
      </c>
    </row>
    <row r="1980" spans="1:144" x14ac:dyDescent="0.35">
      <c r="A1980" t="s">
        <v>110</v>
      </c>
      <c r="E1980">
        <v>-4.8757363170379526E-3</v>
      </c>
      <c r="F1980">
        <f t="shared" si="66"/>
        <v>-2.0436075292336008E-2</v>
      </c>
      <c r="G1980">
        <f t="shared" si="67"/>
        <v>-3.4001113301652515E-2</v>
      </c>
    </row>
    <row r="1981" spans="1:144" x14ac:dyDescent="0.35">
      <c r="A1981" t="s">
        <v>110</v>
      </c>
      <c r="E1981">
        <v>6.801049919980106E-3</v>
      </c>
      <c r="F1981">
        <f t="shared" si="66"/>
        <v>-2.0440907941280947E-2</v>
      </c>
      <c r="G1981">
        <f t="shared" si="67"/>
        <v>-3.4150179653403244E-2</v>
      </c>
    </row>
    <row r="1982" spans="1:144" x14ac:dyDescent="0.35">
      <c r="A1982" t="s">
        <v>110</v>
      </c>
      <c r="E1982">
        <v>1.3896619895995136E-2</v>
      </c>
      <c r="F1982">
        <f t="shared" si="66"/>
        <v>-2.0445740590225886E-2</v>
      </c>
      <c r="G1982">
        <f t="shared" si="67"/>
        <v>-3.4150179653403244E-2</v>
      </c>
    </row>
    <row r="1983" spans="1:144" ht="12.5" customHeight="1" x14ac:dyDescent="0.35">
      <c r="A1983" t="s">
        <v>110</v>
      </c>
      <c r="E1983">
        <v>-3.6432637135099762E-3</v>
      </c>
      <c r="F1983">
        <f t="shared" si="66"/>
        <v>-2.0450573239170829E-2</v>
      </c>
      <c r="G1983">
        <f t="shared" si="67"/>
        <v>-3.4150179653403244E-2</v>
      </c>
    </row>
    <row r="1984" spans="1:144" ht="12.5" customHeight="1" x14ac:dyDescent="0.35">
      <c r="A1984" t="s">
        <v>110</v>
      </c>
      <c r="E1984">
        <v>1.6002363696934166E-3</v>
      </c>
      <c r="F1984">
        <f t="shared" si="66"/>
        <v>-2.0455405888115768E-2</v>
      </c>
      <c r="G1984">
        <f t="shared" si="67"/>
        <v>-3.4150179653403244E-2</v>
      </c>
    </row>
    <row r="1985" spans="1:144" ht="12.5" customHeight="1" x14ac:dyDescent="0.35">
      <c r="A1985" t="s">
        <v>110</v>
      </c>
      <c r="E1985">
        <v>-1.4498284093834555E-2</v>
      </c>
      <c r="F1985">
        <f t="shared" si="66"/>
        <v>-2.0460238537060707E-2</v>
      </c>
      <c r="G1985">
        <f t="shared" si="67"/>
        <v>-3.4150179653403244E-2</v>
      </c>
    </row>
    <row r="1986" spans="1:144" ht="12.5" customHeight="1" x14ac:dyDescent="0.35">
      <c r="A1986" t="s">
        <v>110</v>
      </c>
      <c r="E1986">
        <v>-9.3492933977040848E-3</v>
      </c>
      <c r="F1986">
        <f t="shared" si="66"/>
        <v>-2.0465071186005646E-2</v>
      </c>
      <c r="G1986">
        <f t="shared" si="67"/>
        <v>-3.4150179653403244E-2</v>
      </c>
    </row>
    <row r="1987" spans="1:144" ht="12.5" customHeight="1" x14ac:dyDescent="0.35">
      <c r="A1987" t="s">
        <v>110</v>
      </c>
      <c r="E1987">
        <v>-4.4122586754544047E-3</v>
      </c>
      <c r="F1987">
        <f t="shared" si="66"/>
        <v>-2.0469903834950589E-2</v>
      </c>
      <c r="G1987">
        <f t="shared" si="67"/>
        <v>-3.4150179653403244E-2</v>
      </c>
    </row>
    <row r="1988" spans="1:144" ht="12.5" customHeight="1" x14ac:dyDescent="0.35">
      <c r="A1988" t="s">
        <v>110</v>
      </c>
      <c r="E1988">
        <v>1.3330212717605748E-2</v>
      </c>
      <c r="F1988">
        <f t="shared" ref="F1988:F2051" si="68">_xlfn.PERCENTILE.EXC(E1988:E5803,0.05)</f>
        <v>-2.0474736483895528E-2</v>
      </c>
      <c r="G1988">
        <f t="shared" ref="G1988:G2051" si="69">AVERAGEIFS(E1988:E5804,E1988:E5804,"&lt;=" &amp; F1988)</f>
        <v>-3.4150179653403244E-2</v>
      </c>
    </row>
    <row r="1989" spans="1:144" ht="12.5" customHeight="1" x14ac:dyDescent="0.35">
      <c r="A1989" t="s">
        <v>110</v>
      </c>
      <c r="E1989">
        <v>-5.1744750577059602E-3</v>
      </c>
      <c r="F1989">
        <f t="shared" si="68"/>
        <v>-2.0479569132840467E-2</v>
      </c>
      <c r="G1989">
        <f t="shared" si="69"/>
        <v>-3.4150179653403244E-2</v>
      </c>
    </row>
    <row r="1990" spans="1:144" ht="12.5" customHeight="1" x14ac:dyDescent="0.35">
      <c r="A1990" t="s">
        <v>110</v>
      </c>
      <c r="E1990">
        <v>-7.4494617517622767E-3</v>
      </c>
      <c r="F1990">
        <f t="shared" si="68"/>
        <v>-2.0484401781785407E-2</v>
      </c>
      <c r="G1990">
        <f t="shared" si="69"/>
        <v>-3.4150179653403244E-2</v>
      </c>
    </row>
    <row r="1991" spans="1:144" ht="12.5" customHeight="1" x14ac:dyDescent="0.35">
      <c r="A1991" t="s">
        <v>110</v>
      </c>
      <c r="E1991">
        <v>5.8895455235391794E-3</v>
      </c>
      <c r="F1991">
        <f t="shared" si="68"/>
        <v>-2.0489234430730349E-2</v>
      </c>
      <c r="G1991">
        <f t="shared" si="69"/>
        <v>-3.4150179653403244E-2</v>
      </c>
    </row>
    <row r="1992" spans="1:144" ht="12.5" customHeight="1" x14ac:dyDescent="0.35">
      <c r="A1992" t="s">
        <v>110</v>
      </c>
      <c r="E1992">
        <v>-1.4038468603125467E-3</v>
      </c>
      <c r="F1992">
        <f t="shared" si="68"/>
        <v>-2.0494067079675288E-2</v>
      </c>
      <c r="G1992">
        <f t="shared" si="69"/>
        <v>-3.4150179653403244E-2</v>
      </c>
    </row>
    <row r="1993" spans="1:144" ht="12.5" customHeight="1" x14ac:dyDescent="0.35">
      <c r="A1993" t="s">
        <v>110</v>
      </c>
      <c r="E1993">
        <v>-3.5036901691261471E-4</v>
      </c>
      <c r="F1993">
        <f t="shared" si="68"/>
        <v>-2.0498899728620228E-2</v>
      </c>
      <c r="G1993">
        <f t="shared" si="69"/>
        <v>-3.4150179653403244E-2</v>
      </c>
    </row>
    <row r="1994" spans="1:144" ht="12.5" customHeight="1" x14ac:dyDescent="0.35">
      <c r="A1994" t="s">
        <v>110</v>
      </c>
      <c r="E1994">
        <v>-3.6243711584866326E-3</v>
      </c>
      <c r="F1994">
        <f t="shared" si="68"/>
        <v>-2.0503732377565167E-2</v>
      </c>
      <c r="G1994">
        <f t="shared" si="69"/>
        <v>-3.4150179653403244E-2</v>
      </c>
    </row>
    <row r="1995" spans="1:144" ht="12.5" customHeight="1" x14ac:dyDescent="0.35">
      <c r="A1995" t="s">
        <v>110</v>
      </c>
      <c r="E1995">
        <v>-1.217135301914826E-2</v>
      </c>
      <c r="F1995">
        <f t="shared" si="68"/>
        <v>-2.050856502651011E-2</v>
      </c>
      <c r="G1995">
        <f t="shared" si="69"/>
        <v>-3.4150179653403244E-2</v>
      </c>
    </row>
    <row r="1996" spans="1:144" s="3" customFormat="1" x14ac:dyDescent="0.35">
      <c r="A1996" s="3" t="s">
        <v>111</v>
      </c>
      <c r="B1996" s="3" cm="1">
        <f t="array" ref="B1996">_xlfn.STDEV.S(_xlfn._xlws.FILTER($E$1000:$E$1998, $A$1000:$A$1998="2018-01"))</f>
        <v>1.5198895041653991E-2</v>
      </c>
      <c r="C1996" s="3" cm="1">
        <f t="array" ref="C1996">AVERAGE(_xlfn._xlws.FILTER($E$1000:$E$1998, $A$1000:$A$1998="2018-01"))</f>
        <v>9.9001682605875056E-3</v>
      </c>
      <c r="D1996" s="3" cm="1">
        <f t="array" ref="D1996">_xlfn.PERCENTILE.EXC(_xlfn._xlws.FILTER($E$1498:$E$2489, $A$1498:$A$2489="2018-01"), 0.05)</f>
        <v>-1.2880771964173594E-2</v>
      </c>
      <c r="E1996" s="3">
        <v>-3.7438356444930332E-4</v>
      </c>
      <c r="F1996" s="3">
        <f t="shared" si="68"/>
        <v>-2.0513397675455049E-2</v>
      </c>
      <c r="G1996" s="3">
        <f t="shared" si="69"/>
        <v>-3.4150179653403244E-2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</row>
    <row r="1997" spans="1:144" ht="12.5" customHeight="1" x14ac:dyDescent="0.35">
      <c r="A1997" t="s">
        <v>111</v>
      </c>
      <c r="E1997">
        <v>2.7154476188461707E-3</v>
      </c>
      <c r="F1997">
        <f t="shared" si="68"/>
        <v>-2.0518230324399988E-2</v>
      </c>
      <c r="G1997">
        <f t="shared" si="69"/>
        <v>-3.4150179653403244E-2</v>
      </c>
    </row>
    <row r="1998" spans="1:144" ht="12.5" customHeight="1" x14ac:dyDescent="0.35">
      <c r="A1998" t="s">
        <v>111</v>
      </c>
      <c r="E1998">
        <v>2.7359440727365649E-2</v>
      </c>
      <c r="F1998">
        <f t="shared" si="68"/>
        <v>-2.0523062973344927E-2</v>
      </c>
      <c r="G1998">
        <f t="shared" si="69"/>
        <v>-3.4150179653403244E-2</v>
      </c>
    </row>
    <row r="1999" spans="1:144" ht="12.5" customHeight="1" x14ac:dyDescent="0.35">
      <c r="A1999" t="s">
        <v>111</v>
      </c>
      <c r="E1999">
        <v>1.1050944257706051E-2</v>
      </c>
      <c r="F1999">
        <f t="shared" si="68"/>
        <v>-2.0527895622289866E-2</v>
      </c>
      <c r="G1999">
        <f t="shared" si="69"/>
        <v>-3.4150179653403244E-2</v>
      </c>
    </row>
    <row r="2000" spans="1:144" ht="12.5" customHeight="1" x14ac:dyDescent="0.35">
      <c r="A2000" t="s">
        <v>111</v>
      </c>
      <c r="E2000">
        <v>3.6572587937458538E-3</v>
      </c>
      <c r="F2000">
        <f t="shared" si="68"/>
        <v>-2.0532728271234809E-2</v>
      </c>
      <c r="G2000">
        <f t="shared" si="69"/>
        <v>-3.4150179653403244E-2</v>
      </c>
    </row>
    <row r="2001" spans="1:7" ht="12.5" customHeight="1" x14ac:dyDescent="0.35">
      <c r="A2001" t="s">
        <v>111</v>
      </c>
      <c r="E2001">
        <v>6.9482361260809504E-3</v>
      </c>
      <c r="F2001">
        <f t="shared" si="68"/>
        <v>-2.0533350501789588E-2</v>
      </c>
      <c r="G2001">
        <f t="shared" si="69"/>
        <v>-3.4301484668760672E-2</v>
      </c>
    </row>
    <row r="2002" spans="1:7" ht="12.5" customHeight="1" x14ac:dyDescent="0.35">
      <c r="A2002" t="s">
        <v>111</v>
      </c>
      <c r="E2002">
        <v>6.6045333049070424E-3</v>
      </c>
      <c r="F2002">
        <f t="shared" si="68"/>
        <v>-2.0533972732344367E-2</v>
      </c>
      <c r="G2002">
        <f t="shared" si="69"/>
        <v>-3.4301484668760672E-2</v>
      </c>
    </row>
    <row r="2003" spans="1:7" ht="12.5" customHeight="1" x14ac:dyDescent="0.35">
      <c r="A2003" t="s">
        <v>111</v>
      </c>
      <c r="E2003">
        <v>6.3638386309387484E-3</v>
      </c>
      <c r="F2003">
        <f t="shared" si="68"/>
        <v>-2.0534594962899142E-2</v>
      </c>
      <c r="G2003">
        <f t="shared" si="69"/>
        <v>-3.4301484668760672E-2</v>
      </c>
    </row>
    <row r="2004" spans="1:7" ht="12.5" customHeight="1" x14ac:dyDescent="0.35">
      <c r="A2004" t="s">
        <v>111</v>
      </c>
      <c r="E2004">
        <v>5.3309106715618143E-3</v>
      </c>
      <c r="F2004">
        <f t="shared" si="68"/>
        <v>-2.0535217193453921E-2</v>
      </c>
      <c r="G2004">
        <f t="shared" si="69"/>
        <v>-3.4301484668760672E-2</v>
      </c>
    </row>
    <row r="2005" spans="1:7" ht="12.5" customHeight="1" x14ac:dyDescent="0.35">
      <c r="A2005" t="s">
        <v>111</v>
      </c>
      <c r="E2005">
        <v>4.84190076042705E-3</v>
      </c>
      <c r="F2005">
        <f t="shared" si="68"/>
        <v>-2.05358394240087E-2</v>
      </c>
      <c r="G2005">
        <f t="shared" si="69"/>
        <v>-3.4301484668760672E-2</v>
      </c>
    </row>
    <row r="2006" spans="1:7" ht="12.5" customHeight="1" x14ac:dyDescent="0.35">
      <c r="A2006" t="s">
        <v>111</v>
      </c>
      <c r="E2006">
        <v>-2.0523476856586548E-3</v>
      </c>
      <c r="F2006">
        <f t="shared" si="68"/>
        <v>-2.0536461654563479E-2</v>
      </c>
      <c r="G2006">
        <f t="shared" si="69"/>
        <v>-3.4301484668760672E-2</v>
      </c>
    </row>
    <row r="2007" spans="1:7" ht="12.5" customHeight="1" x14ac:dyDescent="0.35">
      <c r="A2007" t="s">
        <v>111</v>
      </c>
      <c r="E2007">
        <v>8.2493178995484448E-4</v>
      </c>
      <c r="F2007">
        <f t="shared" si="68"/>
        <v>-2.0537083885118258E-2</v>
      </c>
      <c r="G2007">
        <f t="shared" si="69"/>
        <v>-3.4301484668760672E-2</v>
      </c>
    </row>
    <row r="2008" spans="1:7" ht="12.5" customHeight="1" x14ac:dyDescent="0.35">
      <c r="A2008" t="s">
        <v>111</v>
      </c>
      <c r="E2008">
        <v>4.9268873679468046E-3</v>
      </c>
      <c r="F2008">
        <f t="shared" si="68"/>
        <v>-2.0537706115673033E-2</v>
      </c>
      <c r="G2008">
        <f t="shared" si="69"/>
        <v>-3.4301484668760672E-2</v>
      </c>
    </row>
    <row r="2009" spans="1:7" ht="12.5" customHeight="1" x14ac:dyDescent="0.35">
      <c r="A2009" t="s">
        <v>111</v>
      </c>
      <c r="E2009">
        <v>4.9983187651645939E-3</v>
      </c>
      <c r="F2009">
        <f t="shared" si="68"/>
        <v>-2.0538328346227812E-2</v>
      </c>
      <c r="G2009">
        <f t="shared" si="69"/>
        <v>-3.4301484668760672E-2</v>
      </c>
    </row>
    <row r="2010" spans="1:7" ht="12.5" customHeight="1" x14ac:dyDescent="0.35">
      <c r="A2010" t="s">
        <v>111</v>
      </c>
      <c r="E2010">
        <v>5.9178080065378311E-3</v>
      </c>
      <c r="F2010">
        <f t="shared" si="68"/>
        <v>-2.0538950576782591E-2</v>
      </c>
      <c r="G2010">
        <f t="shared" si="69"/>
        <v>-3.4301484668760672E-2</v>
      </c>
    </row>
    <row r="2011" spans="1:7" ht="12.5" customHeight="1" x14ac:dyDescent="0.35">
      <c r="A2011" t="s">
        <v>111</v>
      </c>
      <c r="E2011">
        <v>-2.2452812659622462E-3</v>
      </c>
      <c r="F2011">
        <f t="shared" si="68"/>
        <v>-2.053957280733737E-2</v>
      </c>
      <c r="G2011">
        <f t="shared" si="69"/>
        <v>-3.4301484668760672E-2</v>
      </c>
    </row>
    <row r="2012" spans="1:7" ht="12.5" customHeight="1" x14ac:dyDescent="0.35">
      <c r="A2012" t="s">
        <v>111</v>
      </c>
      <c r="E2012">
        <v>-9.0174870122725539E-3</v>
      </c>
      <c r="F2012">
        <f t="shared" si="68"/>
        <v>-2.0540195037892148E-2</v>
      </c>
      <c r="G2012">
        <f t="shared" si="69"/>
        <v>-3.4301484668760672E-2</v>
      </c>
    </row>
    <row r="2013" spans="1:7" ht="12.5" customHeight="1" x14ac:dyDescent="0.35">
      <c r="A2013" t="s">
        <v>111</v>
      </c>
      <c r="E2013">
        <v>4.1058364150233419E-3</v>
      </c>
      <c r="F2013">
        <f t="shared" si="68"/>
        <v>-2.0540817268446924E-2</v>
      </c>
      <c r="G2013">
        <f t="shared" si="69"/>
        <v>-3.4301484668760672E-2</v>
      </c>
    </row>
    <row r="2014" spans="1:7" ht="12.5" customHeight="1" x14ac:dyDescent="0.35">
      <c r="A2014" t="s">
        <v>111</v>
      </c>
      <c r="E2014">
        <v>5.7666921758872461E-3</v>
      </c>
      <c r="F2014">
        <f t="shared" si="68"/>
        <v>-2.0541439499001703E-2</v>
      </c>
      <c r="G2014">
        <f t="shared" si="69"/>
        <v>-3.4301484668760672E-2</v>
      </c>
    </row>
    <row r="2015" spans="1:7" ht="12.5" customHeight="1" x14ac:dyDescent="0.35">
      <c r="A2015" t="s">
        <v>111</v>
      </c>
      <c r="E2015">
        <v>-2.3265515480470032E-3</v>
      </c>
      <c r="F2015">
        <f t="shared" si="68"/>
        <v>-2.0542061729556482E-2</v>
      </c>
      <c r="G2015">
        <f t="shared" si="69"/>
        <v>-3.4301484668760672E-2</v>
      </c>
    </row>
    <row r="2016" spans="1:7" ht="12.5" customHeight="1" x14ac:dyDescent="0.35">
      <c r="A2016" t="s">
        <v>111</v>
      </c>
      <c r="E2016">
        <v>-1.3562528132156131E-2</v>
      </c>
      <c r="F2016">
        <f t="shared" si="68"/>
        <v>-2.054268396011126E-2</v>
      </c>
      <c r="G2016">
        <f t="shared" si="69"/>
        <v>-3.4301484668760672E-2</v>
      </c>
    </row>
    <row r="2017" spans="1:144" ht="12.5" customHeight="1" x14ac:dyDescent="0.35">
      <c r="A2017" t="s">
        <v>111</v>
      </c>
      <c r="E2017">
        <v>1.1126250882305027E-3</v>
      </c>
      <c r="F2017">
        <f t="shared" si="68"/>
        <v>-2.0543306190666039E-2</v>
      </c>
      <c r="G2017">
        <f t="shared" si="69"/>
        <v>-3.4301484668760672E-2</v>
      </c>
    </row>
    <row r="2018" spans="1:144" s="3" customFormat="1" x14ac:dyDescent="0.35">
      <c r="A2018" s="3" t="s">
        <v>112</v>
      </c>
      <c r="B2018" s="3" cm="1">
        <f t="array" ref="B2018">_xlfn.STDEV.S(_xlfn._xlws.FILTER($E$2013:$E$3011, $A$2013:$A$3011="2018-02"))</f>
        <v>1.3401933247303979E-2</v>
      </c>
      <c r="C2018" s="3" cm="1">
        <f t="array" ref="C2018">AVERAGE(_xlfn._xlws.FILTER($E$2013:$E$3011, $A$2013:$A$3011="2018-02"))</f>
        <v>-1.9507113150360074E-3</v>
      </c>
      <c r="D2018" s="3" cm="1">
        <f t="array" ref="D2018">_xlfn.PERCENTILE.EXC(_xlfn._xlws.FILTER($E$1498:$E$2489, $A$1498:$A$2489="2018-02"), 0.05)</f>
        <v>-2.2771045643879575E-2</v>
      </c>
      <c r="E2018" s="3">
        <v>1.4623204355854091E-3</v>
      </c>
      <c r="F2018" s="3">
        <f t="shared" si="68"/>
        <v>-2.0543928421220815E-2</v>
      </c>
      <c r="G2018" s="3">
        <f t="shared" si="69"/>
        <v>-3.4301484668760672E-2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</row>
    <row r="2019" spans="1:144" ht="12.5" customHeight="1" x14ac:dyDescent="0.35">
      <c r="A2019" t="s">
        <v>112</v>
      </c>
      <c r="E2019">
        <v>-1.4496194726623701E-2</v>
      </c>
      <c r="F2019">
        <f t="shared" si="68"/>
        <v>-2.0544550651775594E-2</v>
      </c>
      <c r="G2019">
        <f t="shared" si="69"/>
        <v>-3.4301484668760672E-2</v>
      </c>
    </row>
    <row r="2020" spans="1:144" ht="12.5" customHeight="1" x14ac:dyDescent="0.35">
      <c r="A2020" t="s">
        <v>112</v>
      </c>
      <c r="E2020">
        <v>-1.6558156817816846E-2</v>
      </c>
      <c r="F2020">
        <f t="shared" si="68"/>
        <v>-2.0545172882330372E-2</v>
      </c>
      <c r="G2020">
        <f t="shared" si="69"/>
        <v>-3.4301484668760672E-2</v>
      </c>
    </row>
    <row r="2021" spans="1:144" ht="12.5" customHeight="1" x14ac:dyDescent="0.35">
      <c r="A2021" t="s">
        <v>112</v>
      </c>
      <c r="E2021">
        <v>-2.1016239104952084E-2</v>
      </c>
      <c r="F2021">
        <f t="shared" si="68"/>
        <v>-2.0545452517237522E-2</v>
      </c>
      <c r="G2021">
        <f t="shared" si="69"/>
        <v>-3.4456049969731804E-2</v>
      </c>
    </row>
    <row r="2022" spans="1:144" ht="12.5" customHeight="1" x14ac:dyDescent="0.35">
      <c r="A2022" t="s">
        <v>112</v>
      </c>
      <c r="E2022">
        <v>2.8200634419961859E-2</v>
      </c>
      <c r="F2022">
        <f t="shared" si="68"/>
        <v>-2.0533972732344367E-2</v>
      </c>
      <c r="G2022">
        <f t="shared" si="69"/>
        <v>-3.4450757090825936E-2</v>
      </c>
    </row>
    <row r="2023" spans="1:144" ht="12.5" customHeight="1" x14ac:dyDescent="0.35">
      <c r="A2023" t="s">
        <v>112</v>
      </c>
      <c r="E2023">
        <v>-2.2863403882770496E-2</v>
      </c>
      <c r="F2023">
        <f t="shared" si="68"/>
        <v>-2.0534594962899142E-2</v>
      </c>
      <c r="G2023">
        <f t="shared" si="69"/>
        <v>-3.4450757090825936E-2</v>
      </c>
    </row>
    <row r="2024" spans="1:144" ht="12.5" customHeight="1" x14ac:dyDescent="0.35">
      <c r="A2024" t="s">
        <v>112</v>
      </c>
      <c r="E2024">
        <v>-1.3436343501569999E-2</v>
      </c>
      <c r="F2024">
        <f t="shared" si="68"/>
        <v>-2.0455405888115768E-2</v>
      </c>
      <c r="G2024">
        <f t="shared" si="69"/>
        <v>-3.4424569724404185E-2</v>
      </c>
    </row>
    <row r="2025" spans="1:144" ht="12.5" customHeight="1" x14ac:dyDescent="0.35">
      <c r="A2025" t="s">
        <v>112</v>
      </c>
      <c r="E2025">
        <v>7.6412287885407482E-3</v>
      </c>
      <c r="F2025">
        <f t="shared" si="68"/>
        <v>-2.0460238537060707E-2</v>
      </c>
      <c r="G2025">
        <f t="shared" si="69"/>
        <v>-3.4424569724404185E-2</v>
      </c>
    </row>
    <row r="2026" spans="1:144" ht="12.5" customHeight="1" x14ac:dyDescent="0.35">
      <c r="A2026" t="s">
        <v>112</v>
      </c>
      <c r="E2026">
        <v>-1.3628870986977676E-2</v>
      </c>
      <c r="F2026">
        <f t="shared" si="68"/>
        <v>-2.0465071186005646E-2</v>
      </c>
      <c r="G2026">
        <f t="shared" si="69"/>
        <v>-3.4424569724404185E-2</v>
      </c>
    </row>
    <row r="2027" spans="1:144" ht="12.5" customHeight="1" x14ac:dyDescent="0.35">
      <c r="A2027" t="s">
        <v>112</v>
      </c>
      <c r="E2027">
        <v>1.7960745174657688E-2</v>
      </c>
      <c r="F2027">
        <f t="shared" si="68"/>
        <v>-2.0469903834950589E-2</v>
      </c>
      <c r="G2027">
        <f t="shared" si="69"/>
        <v>-3.4424569724404185E-2</v>
      </c>
    </row>
    <row r="2028" spans="1:144" ht="12.5" customHeight="1" x14ac:dyDescent="0.35">
      <c r="A2028" t="s">
        <v>112</v>
      </c>
      <c r="E2028">
        <v>2.7549912939081379E-3</v>
      </c>
      <c r="F2028">
        <f t="shared" si="68"/>
        <v>-2.0474736483895528E-2</v>
      </c>
      <c r="G2028">
        <f t="shared" si="69"/>
        <v>-3.4424569724404185E-2</v>
      </c>
    </row>
    <row r="2029" spans="1:144" ht="12.5" customHeight="1" x14ac:dyDescent="0.35">
      <c r="A2029" t="s">
        <v>112</v>
      </c>
      <c r="E2029">
        <v>1.3346036525860963E-2</v>
      </c>
      <c r="F2029">
        <f t="shared" si="68"/>
        <v>-2.0479569132840467E-2</v>
      </c>
      <c r="G2029">
        <f t="shared" si="69"/>
        <v>-3.4424569724404185E-2</v>
      </c>
    </row>
    <row r="2030" spans="1:144" ht="12.5" customHeight="1" x14ac:dyDescent="0.35">
      <c r="A2030" t="s">
        <v>112</v>
      </c>
      <c r="E2030">
        <v>-1.0093810626394162E-2</v>
      </c>
      <c r="F2030">
        <f t="shared" si="68"/>
        <v>-2.0484401781785407E-2</v>
      </c>
      <c r="G2030">
        <f t="shared" si="69"/>
        <v>-3.4424569724404185E-2</v>
      </c>
    </row>
    <row r="2031" spans="1:144" ht="12.5" customHeight="1" x14ac:dyDescent="0.35">
      <c r="A2031" t="s">
        <v>112</v>
      </c>
      <c r="E2031">
        <v>4.6257493659337314E-3</v>
      </c>
      <c r="F2031">
        <f t="shared" si="68"/>
        <v>-2.0489234430730349E-2</v>
      </c>
      <c r="G2031">
        <f t="shared" si="69"/>
        <v>-3.4424569724404185E-2</v>
      </c>
    </row>
    <row r="2032" spans="1:144" ht="12.5" customHeight="1" x14ac:dyDescent="0.35">
      <c r="A2032" t="s">
        <v>112</v>
      </c>
      <c r="E2032">
        <v>-9.0675298872255742E-4</v>
      </c>
      <c r="F2032">
        <f t="shared" si="68"/>
        <v>-2.0494067079675288E-2</v>
      </c>
      <c r="G2032">
        <f t="shared" si="69"/>
        <v>-3.4424569724404185E-2</v>
      </c>
    </row>
    <row r="2033" spans="1:144" ht="12.5" customHeight="1" x14ac:dyDescent="0.35">
      <c r="A2033" t="s">
        <v>112</v>
      </c>
      <c r="E2033">
        <v>-8.4005200044972531E-3</v>
      </c>
      <c r="F2033">
        <f t="shared" si="68"/>
        <v>-2.0498899728620228E-2</v>
      </c>
      <c r="G2033">
        <f t="shared" si="69"/>
        <v>-3.4424569724404185E-2</v>
      </c>
    </row>
    <row r="2034" spans="1:144" ht="12.5" customHeight="1" x14ac:dyDescent="0.35">
      <c r="A2034" t="s">
        <v>112</v>
      </c>
      <c r="E2034">
        <v>9.2450840893321881E-3</v>
      </c>
      <c r="F2034">
        <f t="shared" si="68"/>
        <v>-2.0503732377565167E-2</v>
      </c>
      <c r="G2034">
        <f t="shared" si="69"/>
        <v>-3.4424569724404185E-2</v>
      </c>
    </row>
    <row r="2035" spans="1:144" ht="12.5" customHeight="1" x14ac:dyDescent="0.35">
      <c r="A2035" t="s">
        <v>112</v>
      </c>
      <c r="E2035">
        <v>1.5011563395458617E-3</v>
      </c>
      <c r="F2035">
        <f t="shared" si="68"/>
        <v>-2.050856502651011E-2</v>
      </c>
      <c r="G2035">
        <f t="shared" si="69"/>
        <v>-3.4424569724404185E-2</v>
      </c>
    </row>
    <row r="2036" spans="1:144" ht="12.5" customHeight="1" x14ac:dyDescent="0.35">
      <c r="A2036" t="s">
        <v>112</v>
      </c>
      <c r="E2036">
        <v>8.0342204865921699E-4</v>
      </c>
      <c r="F2036">
        <f t="shared" si="68"/>
        <v>-2.0513397675455049E-2</v>
      </c>
      <c r="G2036">
        <f t="shared" si="69"/>
        <v>-3.4424569724404185E-2</v>
      </c>
    </row>
    <row r="2037" spans="1:144" ht="12.5" customHeight="1" x14ac:dyDescent="0.35">
      <c r="A2037" t="s">
        <v>112</v>
      </c>
      <c r="E2037">
        <v>-5.1553021423811759E-3</v>
      </c>
      <c r="F2037">
        <f t="shared" si="68"/>
        <v>-2.0518230324399988E-2</v>
      </c>
      <c r="G2037">
        <f t="shared" si="69"/>
        <v>-3.4424569724404185E-2</v>
      </c>
    </row>
    <row r="2038" spans="1:144" s="3" customFormat="1" x14ac:dyDescent="0.35">
      <c r="A2038" s="3" t="s">
        <v>113</v>
      </c>
      <c r="B2038" s="3" cm="1">
        <f t="array" ref="B2038">_xlfn.STDEV.S(_xlfn._xlws.FILTER($E$2013:$E$3011, $A$2013:$A$3011="2018-03"))</f>
        <v>1.0789871348682659E-2</v>
      </c>
      <c r="C2038" s="3" cm="1">
        <f t="array" ref="C2038">AVERAGE(_xlfn._xlws.FILTER($E$2013:$E$3011, $A$2013:$A$3011="2018-03"))</f>
        <v>-4.1561773284671004E-4</v>
      </c>
      <c r="D2038" s="3" cm="1">
        <f t="array" ref="D2038">_xlfn.PERCENTILE.EXC(_xlfn._xlws.FILTER($E$1498:$E$2489, $A$1498:$A$2489="2018-03"), 0.05)</f>
        <v>-2.36276748177775E-2</v>
      </c>
      <c r="E2038" s="3">
        <v>-7.0681240343618895E-3</v>
      </c>
      <c r="F2038" s="3">
        <f t="shared" si="68"/>
        <v>-2.0523062973344927E-2</v>
      </c>
      <c r="G2038" s="3">
        <f t="shared" si="69"/>
        <v>-3.4424569724404185E-2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</row>
    <row r="2039" spans="1:144" ht="12.5" customHeight="1" x14ac:dyDescent="0.35">
      <c r="A2039" t="s">
        <v>113</v>
      </c>
      <c r="E2039">
        <v>-2.417763009472975E-2</v>
      </c>
      <c r="F2039">
        <f t="shared" si="68"/>
        <v>-2.0527895622289866E-2</v>
      </c>
      <c r="G2039">
        <f t="shared" si="69"/>
        <v>-3.4424569724404185E-2</v>
      </c>
    </row>
    <row r="2040" spans="1:144" ht="12.5" customHeight="1" x14ac:dyDescent="0.35">
      <c r="A2040" t="s">
        <v>113</v>
      </c>
      <c r="E2040">
        <v>-4.217965393362738E-3</v>
      </c>
      <c r="F2040">
        <f t="shared" si="68"/>
        <v>-2.0436075292336008E-2</v>
      </c>
      <c r="G2040">
        <f t="shared" si="69"/>
        <v>-3.4382529782804261E-2</v>
      </c>
    </row>
    <row r="2041" spans="1:144" ht="12.5" customHeight="1" x14ac:dyDescent="0.35">
      <c r="A2041" t="s">
        <v>113</v>
      </c>
      <c r="E2041">
        <v>1.7382039410382501E-2</v>
      </c>
      <c r="F2041">
        <f t="shared" si="68"/>
        <v>-2.0440907941280947E-2</v>
      </c>
      <c r="G2041">
        <f t="shared" si="69"/>
        <v>-3.4541012220195948E-2</v>
      </c>
    </row>
    <row r="2042" spans="1:144" ht="12.5" customHeight="1" x14ac:dyDescent="0.35">
      <c r="A2042" t="s">
        <v>113</v>
      </c>
      <c r="E2042">
        <v>1.2130607250310906E-2</v>
      </c>
      <c r="F2042">
        <f t="shared" si="68"/>
        <v>-2.0445740590225886E-2</v>
      </c>
      <c r="G2042">
        <f t="shared" si="69"/>
        <v>-3.4541012220195948E-2</v>
      </c>
    </row>
    <row r="2043" spans="1:144" ht="12.5" customHeight="1" x14ac:dyDescent="0.35">
      <c r="A2043" t="s">
        <v>113</v>
      </c>
      <c r="E2043">
        <v>1.1398528485354564E-2</v>
      </c>
      <c r="F2043">
        <f t="shared" si="68"/>
        <v>-2.0450573239170829E-2</v>
      </c>
      <c r="G2043">
        <f t="shared" si="69"/>
        <v>-3.4541012220195948E-2</v>
      </c>
    </row>
    <row r="2044" spans="1:144" ht="12.5" customHeight="1" x14ac:dyDescent="0.35">
      <c r="A2044" t="s">
        <v>113</v>
      </c>
      <c r="E2044">
        <v>6.3768921189818659E-4</v>
      </c>
      <c r="F2044">
        <f t="shared" si="68"/>
        <v>-2.0455405888115768E-2</v>
      </c>
      <c r="G2044">
        <f t="shared" si="69"/>
        <v>-3.4541012220195948E-2</v>
      </c>
    </row>
    <row r="2045" spans="1:144" ht="12.5" customHeight="1" x14ac:dyDescent="0.35">
      <c r="A2045" t="s">
        <v>113</v>
      </c>
      <c r="E2045">
        <v>8.4859524355079135E-4</v>
      </c>
      <c r="F2045">
        <f t="shared" si="68"/>
        <v>-2.0460238537060707E-2</v>
      </c>
      <c r="G2045">
        <f t="shared" si="69"/>
        <v>-3.4541012220195948E-2</v>
      </c>
    </row>
    <row r="2046" spans="1:144" ht="12.5" customHeight="1" x14ac:dyDescent="0.35">
      <c r="A2046" t="s">
        <v>113</v>
      </c>
      <c r="E2046">
        <v>-3.2528266496171755E-3</v>
      </c>
      <c r="F2046">
        <f t="shared" si="68"/>
        <v>-2.0465071186005646E-2</v>
      </c>
      <c r="G2046">
        <f t="shared" si="69"/>
        <v>-3.4541012220195948E-2</v>
      </c>
    </row>
    <row r="2047" spans="1:144" ht="12.5" customHeight="1" x14ac:dyDescent="0.35">
      <c r="A2047" t="s">
        <v>113</v>
      </c>
      <c r="E2047">
        <v>-1.0572648309659193E-2</v>
      </c>
      <c r="F2047">
        <f t="shared" si="68"/>
        <v>-2.0469903834950589E-2</v>
      </c>
      <c r="G2047">
        <f t="shared" si="69"/>
        <v>-3.4541012220195948E-2</v>
      </c>
    </row>
    <row r="2048" spans="1:144" ht="12.5" customHeight="1" x14ac:dyDescent="0.35">
      <c r="A2048" t="s">
        <v>113</v>
      </c>
      <c r="E2048">
        <v>1.1563300188023248E-2</v>
      </c>
      <c r="F2048">
        <f t="shared" si="68"/>
        <v>-2.0474736483895528E-2</v>
      </c>
      <c r="G2048">
        <f t="shared" si="69"/>
        <v>-3.4541012220195948E-2</v>
      </c>
    </row>
    <row r="2049" spans="1:144" ht="12.5" customHeight="1" x14ac:dyDescent="0.35">
      <c r="A2049" t="s">
        <v>113</v>
      </c>
      <c r="E2049">
        <v>6.3294628216328409E-3</v>
      </c>
      <c r="F2049">
        <f t="shared" si="68"/>
        <v>-2.0479569132840467E-2</v>
      </c>
      <c r="G2049">
        <f t="shared" si="69"/>
        <v>-3.4541012220195948E-2</v>
      </c>
    </row>
    <row r="2050" spans="1:144" ht="12.5" customHeight="1" x14ac:dyDescent="0.35">
      <c r="A2050" t="s">
        <v>113</v>
      </c>
      <c r="E2050">
        <v>-9.8741668269669586E-3</v>
      </c>
      <c r="F2050">
        <f t="shared" si="68"/>
        <v>-2.0484401781785407E-2</v>
      </c>
      <c r="G2050">
        <f t="shared" si="69"/>
        <v>-3.4541012220195948E-2</v>
      </c>
    </row>
    <row r="2051" spans="1:144" ht="12.5" customHeight="1" x14ac:dyDescent="0.35">
      <c r="A2051" t="s">
        <v>113</v>
      </c>
      <c r="E2051">
        <v>7.2659557524123322E-3</v>
      </c>
      <c r="F2051">
        <f t="shared" si="68"/>
        <v>-2.0489234430730349E-2</v>
      </c>
      <c r="G2051">
        <f t="shared" si="69"/>
        <v>-3.4541012220195948E-2</v>
      </c>
    </row>
    <row r="2052" spans="1:144" ht="12.5" customHeight="1" x14ac:dyDescent="0.35">
      <c r="A2052" t="s">
        <v>113</v>
      </c>
      <c r="E2052">
        <v>9.6321064777765654E-4</v>
      </c>
      <c r="F2052">
        <f t="shared" ref="F2052:F2115" si="70">_xlfn.PERCENTILE.EXC(E2052:E5867,0.05)</f>
        <v>-2.0494067079675288E-2</v>
      </c>
      <c r="G2052">
        <f t="shared" ref="G2052:G2115" si="71">AVERAGEIFS(E2052:E5868,E2052:E5868,"&lt;=" &amp; F2052)</f>
        <v>-3.4541012220195948E-2</v>
      </c>
    </row>
    <row r="2053" spans="1:144" ht="12.5" customHeight="1" x14ac:dyDescent="0.35">
      <c r="A2053" t="s">
        <v>113</v>
      </c>
      <c r="E2053">
        <v>-1.8678077325207237E-2</v>
      </c>
      <c r="F2053">
        <f t="shared" si="70"/>
        <v>-2.0498899728620228E-2</v>
      </c>
      <c r="G2053">
        <f t="shared" si="71"/>
        <v>-3.4541012220195948E-2</v>
      </c>
    </row>
    <row r="2054" spans="1:144" ht="12.5" customHeight="1" x14ac:dyDescent="0.35">
      <c r="A2054" t="s">
        <v>113</v>
      </c>
      <c r="E2054">
        <v>-4.8667559080272657E-3</v>
      </c>
      <c r="F2054">
        <f t="shared" si="70"/>
        <v>-2.0503732377565167E-2</v>
      </c>
      <c r="G2054">
        <f t="shared" si="71"/>
        <v>-3.4541012220195948E-2</v>
      </c>
    </row>
    <row r="2055" spans="1:144" ht="12.5" customHeight="1" x14ac:dyDescent="0.35">
      <c r="A2055" t="s">
        <v>113</v>
      </c>
      <c r="E2055">
        <v>-1.2520913737671993E-2</v>
      </c>
      <c r="F2055">
        <f t="shared" si="70"/>
        <v>-2.050856502651011E-2</v>
      </c>
      <c r="G2055">
        <f t="shared" si="71"/>
        <v>-3.4541012220195948E-2</v>
      </c>
    </row>
    <row r="2056" spans="1:144" ht="12.5" customHeight="1" x14ac:dyDescent="0.35">
      <c r="A2056" t="s">
        <v>113</v>
      </c>
      <c r="E2056">
        <v>8.9545256577469017E-3</v>
      </c>
      <c r="F2056">
        <f t="shared" si="70"/>
        <v>-2.0513397675455049E-2</v>
      </c>
      <c r="G2056">
        <f t="shared" si="71"/>
        <v>-3.4541012220195948E-2</v>
      </c>
    </row>
    <row r="2057" spans="1:144" ht="12.5" customHeight="1" x14ac:dyDescent="0.35">
      <c r="A2057" t="s">
        <v>113</v>
      </c>
      <c r="E2057">
        <v>5.4605869580049956E-3</v>
      </c>
      <c r="F2057">
        <f t="shared" si="70"/>
        <v>-2.0518230324399988E-2</v>
      </c>
      <c r="G2057">
        <f t="shared" si="71"/>
        <v>-3.4541012220195948E-2</v>
      </c>
    </row>
    <row r="2058" spans="1:144" ht="12.5" customHeight="1" x14ac:dyDescent="0.35">
      <c r="A2058" t="s">
        <v>113</v>
      </c>
      <c r="E2058">
        <v>3.5666342627283612E-3</v>
      </c>
      <c r="F2058">
        <f t="shared" si="70"/>
        <v>-2.0523062973344927E-2</v>
      </c>
      <c r="G2058">
        <f t="shared" si="71"/>
        <v>-3.4541012220195948E-2</v>
      </c>
    </row>
    <row r="2059" spans="1:144" s="3" customFormat="1" x14ac:dyDescent="0.35">
      <c r="A2059" s="3" t="s">
        <v>114</v>
      </c>
      <c r="B2059" s="3" cm="1">
        <f t="array" ref="B2059">_xlfn.STDEV.S(_xlfn._xlws.FILTER($E$2013:$E$3011, $A$2013:$A$3011="2018-04"))</f>
        <v>7.5559215763014824E-3</v>
      </c>
      <c r="C2059" s="3" cm="1">
        <f t="array" ref="C2059">AVERAGE(_xlfn._xlws.FILTER($E$2013:$E$3011, $A$2013:$A$3011="2018-04"))</f>
        <v>3.3817637244099121E-3</v>
      </c>
      <c r="D2059" s="3" cm="1">
        <f t="array" ref="D2059">_xlfn.PERCENTILE.EXC(_xlfn._xlws.FILTER($E$1498:$E$2489, $A$1498:$A$2489="2018-04"), 0.05)</f>
        <v>-9.6539121640302379E-3</v>
      </c>
      <c r="E2059" s="3">
        <v>4.4157120894129419E-3</v>
      </c>
      <c r="F2059" s="3">
        <f t="shared" si="70"/>
        <v>-2.0527895622289866E-2</v>
      </c>
      <c r="G2059" s="3">
        <f t="shared" si="71"/>
        <v>-3.4541012220195948E-2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</row>
    <row r="2060" spans="1:144" ht="12.5" customHeight="1" x14ac:dyDescent="0.35">
      <c r="A2060" t="s">
        <v>114</v>
      </c>
      <c r="E2060">
        <v>-3.0053560629534591E-3</v>
      </c>
      <c r="F2060">
        <f t="shared" si="70"/>
        <v>-2.0532728271234809E-2</v>
      </c>
      <c r="G2060">
        <f t="shared" si="71"/>
        <v>-3.4541012220195948E-2</v>
      </c>
    </row>
    <row r="2061" spans="1:144" ht="12.5" customHeight="1" x14ac:dyDescent="0.35">
      <c r="A2061" t="s">
        <v>114</v>
      </c>
      <c r="E2061">
        <v>2.3198290041962485E-2</v>
      </c>
      <c r="F2061">
        <f t="shared" si="70"/>
        <v>-2.0533350501789588E-2</v>
      </c>
      <c r="G2061">
        <f t="shared" si="71"/>
        <v>-3.470202697822998E-2</v>
      </c>
    </row>
    <row r="2062" spans="1:144" ht="12.5" customHeight="1" x14ac:dyDescent="0.35">
      <c r="A2062" t="s">
        <v>114</v>
      </c>
      <c r="E2062">
        <v>-1.7268215161892911E-3</v>
      </c>
      <c r="F2062">
        <f t="shared" si="70"/>
        <v>-2.0533972732344367E-2</v>
      </c>
      <c r="G2062">
        <f t="shared" si="71"/>
        <v>-3.470202697822998E-2</v>
      </c>
    </row>
    <row r="2063" spans="1:144" ht="12.5" customHeight="1" x14ac:dyDescent="0.35">
      <c r="A2063" t="s">
        <v>114</v>
      </c>
      <c r="E2063">
        <v>5.3984289894752294E-3</v>
      </c>
      <c r="F2063">
        <f t="shared" si="70"/>
        <v>-2.0534594962899142E-2</v>
      </c>
      <c r="G2063">
        <f t="shared" si="71"/>
        <v>-3.470202697822998E-2</v>
      </c>
    </row>
    <row r="2064" spans="1:144" ht="12.5" customHeight="1" x14ac:dyDescent="0.35">
      <c r="A2064" t="s">
        <v>114</v>
      </c>
      <c r="E2064">
        <v>5.1782954864308317E-3</v>
      </c>
      <c r="F2064">
        <f t="shared" si="70"/>
        <v>-2.0535217193453921E-2</v>
      </c>
      <c r="G2064">
        <f t="shared" si="71"/>
        <v>-3.470202697822998E-2</v>
      </c>
    </row>
    <row r="2065" spans="1:144" ht="12.5" customHeight="1" x14ac:dyDescent="0.35">
      <c r="A2065" t="s">
        <v>114</v>
      </c>
      <c r="E2065">
        <v>-6.9639617921990775E-3</v>
      </c>
      <c r="F2065">
        <f t="shared" si="70"/>
        <v>-2.05358394240087E-2</v>
      </c>
      <c r="G2065">
        <f t="shared" si="71"/>
        <v>-3.470202697822998E-2</v>
      </c>
    </row>
    <row r="2066" spans="1:144" ht="12.5" customHeight="1" x14ac:dyDescent="0.35">
      <c r="A2066" t="s">
        <v>114</v>
      </c>
      <c r="E2066">
        <v>1.2609590593061803E-2</v>
      </c>
      <c r="F2066">
        <f t="shared" si="70"/>
        <v>-2.0536461654563479E-2</v>
      </c>
      <c r="G2066">
        <f t="shared" si="71"/>
        <v>-3.470202697822998E-2</v>
      </c>
    </row>
    <row r="2067" spans="1:144" ht="12.5" customHeight="1" x14ac:dyDescent="0.35">
      <c r="A2067" t="s">
        <v>114</v>
      </c>
      <c r="E2067">
        <v>1.0910214826350779E-3</v>
      </c>
      <c r="F2067">
        <f t="shared" si="70"/>
        <v>-2.0537083885118258E-2</v>
      </c>
      <c r="G2067">
        <f t="shared" si="71"/>
        <v>-3.470202697822998E-2</v>
      </c>
    </row>
    <row r="2068" spans="1:144" ht="12.5" customHeight="1" x14ac:dyDescent="0.35">
      <c r="A2068" t="s">
        <v>114</v>
      </c>
      <c r="E2068">
        <v>-4.3292242144023709E-5</v>
      </c>
      <c r="F2068">
        <f t="shared" si="70"/>
        <v>-2.0537706115673033E-2</v>
      </c>
      <c r="G2068">
        <f t="shared" si="71"/>
        <v>-3.470202697822998E-2</v>
      </c>
    </row>
    <row r="2069" spans="1:144" ht="12.5" customHeight="1" x14ac:dyDescent="0.35">
      <c r="A2069" t="s">
        <v>114</v>
      </c>
      <c r="E2069">
        <v>1.3612012205586893E-2</v>
      </c>
      <c r="F2069">
        <f t="shared" si="70"/>
        <v>-2.0538328346227812E-2</v>
      </c>
      <c r="G2069">
        <f t="shared" si="71"/>
        <v>-3.470202697822998E-2</v>
      </c>
    </row>
    <row r="2070" spans="1:144" ht="12.5" customHeight="1" x14ac:dyDescent="0.35">
      <c r="A2070" t="s">
        <v>114</v>
      </c>
      <c r="E2070">
        <v>4.6759218287473698E-3</v>
      </c>
      <c r="F2070">
        <f t="shared" si="70"/>
        <v>-2.0538950576782591E-2</v>
      </c>
      <c r="G2070">
        <f t="shared" si="71"/>
        <v>-3.470202697822998E-2</v>
      </c>
    </row>
    <row r="2071" spans="1:144" ht="12.5" customHeight="1" x14ac:dyDescent="0.35">
      <c r="A2071" t="s">
        <v>114</v>
      </c>
      <c r="E2071">
        <v>1.3526269771367793E-3</v>
      </c>
      <c r="F2071">
        <f t="shared" si="70"/>
        <v>-2.053957280733737E-2</v>
      </c>
      <c r="G2071">
        <f t="shared" si="71"/>
        <v>-3.470202697822998E-2</v>
      </c>
    </row>
    <row r="2072" spans="1:144" ht="12.5" customHeight="1" x14ac:dyDescent="0.35">
      <c r="A2072" t="s">
        <v>114</v>
      </c>
      <c r="E2072">
        <v>1.5665235920435188E-3</v>
      </c>
      <c r="F2072">
        <f t="shared" si="70"/>
        <v>-2.0540195037892148E-2</v>
      </c>
      <c r="G2072">
        <f t="shared" si="71"/>
        <v>-3.470202697822998E-2</v>
      </c>
    </row>
    <row r="2073" spans="1:144" ht="12.5" customHeight="1" x14ac:dyDescent="0.35">
      <c r="A2073" t="s">
        <v>114</v>
      </c>
      <c r="E2073">
        <v>6.4076371052131384E-3</v>
      </c>
      <c r="F2073">
        <f t="shared" si="70"/>
        <v>-2.0540817268446924E-2</v>
      </c>
      <c r="G2073">
        <f t="shared" si="71"/>
        <v>-3.470202697822998E-2</v>
      </c>
    </row>
    <row r="2074" spans="1:144" ht="12.5" customHeight="1" x14ac:dyDescent="0.35">
      <c r="A2074" t="s">
        <v>114</v>
      </c>
      <c r="E2074">
        <v>2.206256422798555E-3</v>
      </c>
      <c r="F2074">
        <f t="shared" si="70"/>
        <v>-2.0541439499001703E-2</v>
      </c>
      <c r="G2074">
        <f t="shared" si="71"/>
        <v>-3.470202697822998E-2</v>
      </c>
    </row>
    <row r="2075" spans="1:144" ht="12.5" customHeight="1" x14ac:dyDescent="0.35">
      <c r="A2075" t="s">
        <v>114</v>
      </c>
      <c r="E2075">
        <v>-9.7954884993897724E-3</v>
      </c>
      <c r="F2075">
        <f t="shared" si="70"/>
        <v>-2.0542061729556482E-2</v>
      </c>
      <c r="G2075">
        <f t="shared" si="71"/>
        <v>-3.470202697822998E-2</v>
      </c>
    </row>
    <row r="2076" spans="1:144" ht="12.5" customHeight="1" x14ac:dyDescent="0.35">
      <c r="A2076" t="s">
        <v>114</v>
      </c>
      <c r="E2076">
        <v>9.9677189591466115E-3</v>
      </c>
      <c r="F2076">
        <f t="shared" si="70"/>
        <v>-2.054268396011126E-2</v>
      </c>
      <c r="G2076">
        <f t="shared" si="71"/>
        <v>-3.470202697822998E-2</v>
      </c>
    </row>
    <row r="2077" spans="1:144" ht="12.5" customHeight="1" x14ac:dyDescent="0.35">
      <c r="A2077" t="s">
        <v>114</v>
      </c>
      <c r="E2077">
        <v>-4.6706962354606E-3</v>
      </c>
      <c r="F2077">
        <f t="shared" si="70"/>
        <v>-2.0543306190666039E-2</v>
      </c>
      <c r="G2077">
        <f t="shared" si="71"/>
        <v>-3.470202697822998E-2</v>
      </c>
    </row>
    <row r="2078" spans="1:144" ht="12.5" customHeight="1" x14ac:dyDescent="0.35">
      <c r="A2078" t="s">
        <v>114</v>
      </c>
      <c r="E2078">
        <v>2.1608550628832361E-3</v>
      </c>
      <c r="F2078">
        <f t="shared" si="70"/>
        <v>-2.0543928421220815E-2</v>
      </c>
      <c r="G2078">
        <f t="shared" si="71"/>
        <v>-3.470202697822998E-2</v>
      </c>
    </row>
    <row r="2079" spans="1:144" s="3" customFormat="1" x14ac:dyDescent="0.35">
      <c r="A2079" s="3" t="s">
        <v>115</v>
      </c>
      <c r="B2079" s="3" cm="1">
        <f t="array" ref="B2079">_xlfn.STDEV.S(_xlfn._xlws.FILTER($E$2013:$E$3011, $A$2013:$A$3011="2018-05"))</f>
        <v>1.5175117490402384E-2</v>
      </c>
      <c r="C2079" s="3" cm="1">
        <f t="array" ref="C2079">AVERAGE(_xlfn._xlws.FILTER($E$2013:$E$3011, $A$2013:$A$3011="2018-05"))</f>
        <v>-5.0531504778110487E-3</v>
      </c>
      <c r="D2079" s="3" cm="1">
        <f t="array" ref="D2079">_xlfn.PERCENTILE.EXC(_xlfn._xlws.FILTER($E$1498:$E$2489, $A$1498:$A$2489="2018-05"), 0.05)</f>
        <v>-4.7885409540798736E-2</v>
      </c>
      <c r="E2079" s="3">
        <v>1.1866244269409628E-2</v>
      </c>
      <c r="F2079" s="3">
        <f t="shared" si="70"/>
        <v>-2.0544550651775594E-2</v>
      </c>
      <c r="G2079" s="3">
        <f t="shared" si="71"/>
        <v>-3.470202697822998E-2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</row>
    <row r="2080" spans="1:144" ht="12.5" customHeight="1" x14ac:dyDescent="0.35">
      <c r="A2080" t="s">
        <v>115</v>
      </c>
      <c r="E2080">
        <v>-8.3240583542049489E-3</v>
      </c>
      <c r="F2080">
        <f t="shared" si="70"/>
        <v>-2.0545172882330372E-2</v>
      </c>
      <c r="G2080">
        <f t="shared" si="71"/>
        <v>-3.470202697822998E-2</v>
      </c>
    </row>
    <row r="2081" spans="1:7" ht="12.5" customHeight="1" x14ac:dyDescent="0.35">
      <c r="A2081" t="s">
        <v>115</v>
      </c>
      <c r="E2081">
        <v>1.1180401870380073E-2</v>
      </c>
      <c r="F2081">
        <f t="shared" si="70"/>
        <v>-2.0545452517237522E-2</v>
      </c>
      <c r="G2081">
        <f t="shared" si="71"/>
        <v>-3.4866641560740444E-2</v>
      </c>
    </row>
    <row r="2082" spans="1:7" ht="12.5" customHeight="1" x14ac:dyDescent="0.35">
      <c r="A2082" t="s">
        <v>115</v>
      </c>
      <c r="E2082">
        <v>-7.9410354597898546E-3</v>
      </c>
      <c r="F2082">
        <f t="shared" si="70"/>
        <v>-2.0545732152144676E-2</v>
      </c>
      <c r="G2082">
        <f t="shared" si="71"/>
        <v>-3.4866641560740444E-2</v>
      </c>
    </row>
    <row r="2083" spans="1:7" ht="12.5" customHeight="1" x14ac:dyDescent="0.35">
      <c r="A2083" t="s">
        <v>115</v>
      </c>
      <c r="E2083">
        <v>5.1238412336679631E-3</v>
      </c>
      <c r="F2083">
        <f t="shared" si="70"/>
        <v>-2.0546011787051826E-2</v>
      </c>
      <c r="G2083">
        <f t="shared" si="71"/>
        <v>-3.4866641560740444E-2</v>
      </c>
    </row>
    <row r="2084" spans="1:7" ht="12.5" customHeight="1" x14ac:dyDescent="0.35">
      <c r="A2084" t="s">
        <v>115</v>
      </c>
      <c r="E2084">
        <v>-9.6339372122616861E-3</v>
      </c>
      <c r="F2084">
        <f t="shared" si="70"/>
        <v>-2.0546291421958979E-2</v>
      </c>
      <c r="G2084">
        <f t="shared" si="71"/>
        <v>-3.4866641560740444E-2</v>
      </c>
    </row>
    <row r="2085" spans="1:7" ht="12.5" customHeight="1" x14ac:dyDescent="0.35">
      <c r="A2085" t="s">
        <v>115</v>
      </c>
      <c r="E2085">
        <v>5.2057211044666957E-3</v>
      </c>
      <c r="F2085">
        <f t="shared" si="70"/>
        <v>-2.0546571056866129E-2</v>
      </c>
      <c r="G2085">
        <f t="shared" si="71"/>
        <v>-3.4866641560740444E-2</v>
      </c>
    </row>
    <row r="2086" spans="1:7" ht="12.5" customHeight="1" x14ac:dyDescent="0.35">
      <c r="A2086" t="s">
        <v>115</v>
      </c>
      <c r="E2086">
        <v>2.568375112100865E-3</v>
      </c>
      <c r="F2086">
        <f t="shared" si="70"/>
        <v>-2.0546850691773279E-2</v>
      </c>
      <c r="G2086">
        <f t="shared" si="71"/>
        <v>-3.4866641560740444E-2</v>
      </c>
    </row>
    <row r="2087" spans="1:7" ht="12.5" customHeight="1" x14ac:dyDescent="0.35">
      <c r="A2087" t="s">
        <v>115</v>
      </c>
      <c r="E2087">
        <v>3.1204527342750116E-3</v>
      </c>
      <c r="F2087">
        <f t="shared" si="70"/>
        <v>-2.0547130326680433E-2</v>
      </c>
      <c r="G2087">
        <f t="shared" si="71"/>
        <v>-3.4866641560740444E-2</v>
      </c>
    </row>
    <row r="2088" spans="1:7" ht="12.5" customHeight="1" x14ac:dyDescent="0.35">
      <c r="A2088" t="s">
        <v>115</v>
      </c>
      <c r="E2088">
        <v>-2.3441994056523533E-2</v>
      </c>
      <c r="F2088">
        <f t="shared" si="70"/>
        <v>-2.0547409961587583E-2</v>
      </c>
      <c r="G2088">
        <f t="shared" si="71"/>
        <v>-3.4866641560740444E-2</v>
      </c>
    </row>
    <row r="2089" spans="1:7" ht="12.5" customHeight="1" x14ac:dyDescent="0.35">
      <c r="A2089" t="s">
        <v>115</v>
      </c>
      <c r="E2089">
        <v>2.8513020248663173E-3</v>
      </c>
      <c r="F2089">
        <f t="shared" si="70"/>
        <v>-2.0538328346227812E-2</v>
      </c>
      <c r="G2089">
        <f t="shared" si="71"/>
        <v>-3.4832957593598654E-2</v>
      </c>
    </row>
    <row r="2090" spans="1:7" ht="12.5" customHeight="1" x14ac:dyDescent="0.35">
      <c r="A2090" t="s">
        <v>115</v>
      </c>
      <c r="E2090">
        <v>-1.4913621219628323E-2</v>
      </c>
      <c r="F2090">
        <f t="shared" si="70"/>
        <v>-2.0538950576782591E-2</v>
      </c>
      <c r="G2090">
        <f t="shared" si="71"/>
        <v>-3.4832957593598654E-2</v>
      </c>
    </row>
    <row r="2091" spans="1:7" ht="12.5" customHeight="1" x14ac:dyDescent="0.35">
      <c r="A2091" t="s">
        <v>115</v>
      </c>
      <c r="E2091">
        <v>-9.9893215342532447E-3</v>
      </c>
      <c r="F2091">
        <f t="shared" si="70"/>
        <v>-2.053957280733737E-2</v>
      </c>
      <c r="G2091">
        <f t="shared" si="71"/>
        <v>-3.4832957593598654E-2</v>
      </c>
    </row>
    <row r="2092" spans="1:7" ht="12.5" customHeight="1" x14ac:dyDescent="0.35">
      <c r="A2092" t="s">
        <v>115</v>
      </c>
      <c r="E2092">
        <v>-1.3218114298288409E-2</v>
      </c>
      <c r="F2092">
        <f t="shared" si="70"/>
        <v>-2.0540195037892148E-2</v>
      </c>
      <c r="G2092">
        <f t="shared" si="71"/>
        <v>-3.4832957593598654E-2</v>
      </c>
    </row>
    <row r="2093" spans="1:7" ht="12.5" customHeight="1" x14ac:dyDescent="0.35">
      <c r="A2093" t="s">
        <v>115</v>
      </c>
      <c r="E2093">
        <v>-7.1234285564091065E-3</v>
      </c>
      <c r="F2093">
        <f t="shared" si="70"/>
        <v>-2.0540817268446924E-2</v>
      </c>
      <c r="G2093">
        <f t="shared" si="71"/>
        <v>-3.4832957593598654E-2</v>
      </c>
    </row>
    <row r="2094" spans="1:7" ht="12.5" customHeight="1" x14ac:dyDescent="0.35">
      <c r="A2094" t="s">
        <v>115</v>
      </c>
      <c r="E2094">
        <v>-1.5546338854221761E-2</v>
      </c>
      <c r="F2094">
        <f t="shared" si="70"/>
        <v>-2.0541439499001703E-2</v>
      </c>
      <c r="G2094">
        <f t="shared" si="71"/>
        <v>-3.4832957593598654E-2</v>
      </c>
    </row>
    <row r="2095" spans="1:7" ht="12.5" customHeight="1" x14ac:dyDescent="0.35">
      <c r="A2095" t="s">
        <v>115</v>
      </c>
      <c r="E2095">
        <v>-4.7885409540798736E-2</v>
      </c>
      <c r="F2095">
        <f t="shared" si="70"/>
        <v>-2.0542061729556482E-2</v>
      </c>
      <c r="G2095">
        <f t="shared" si="71"/>
        <v>-3.4832957593598654E-2</v>
      </c>
    </row>
    <row r="2096" spans="1:7" ht="12.5" customHeight="1" x14ac:dyDescent="0.35">
      <c r="A2096" t="s">
        <v>115</v>
      </c>
      <c r="E2096">
        <v>2.0717008170911579E-2</v>
      </c>
      <c r="F2096">
        <f t="shared" si="70"/>
        <v>-2.0513397675455049E-2</v>
      </c>
      <c r="G2096">
        <f t="shared" si="71"/>
        <v>-3.4514903160231633E-2</v>
      </c>
    </row>
    <row r="2097" spans="1:144" ht="12.5" customHeight="1" x14ac:dyDescent="0.35">
      <c r="A2097" t="s">
        <v>115</v>
      </c>
      <c r="E2097">
        <v>-6.2594651210842278E-4</v>
      </c>
      <c r="F2097">
        <f t="shared" si="70"/>
        <v>-2.0518230324399988E-2</v>
      </c>
      <c r="G2097">
        <f t="shared" si="71"/>
        <v>-3.4514903160231633E-2</v>
      </c>
    </row>
    <row r="2098" spans="1:144" s="3" customFormat="1" x14ac:dyDescent="0.35">
      <c r="A2098" s="3" t="s">
        <v>116</v>
      </c>
      <c r="B2098" s="3" cm="1">
        <f t="array" ref="B2098">_xlfn.STDEV.S(_xlfn._xlws.FILTER($E$2013:$E$3011, $A$2013:$A$3011="2018-06"))</f>
        <v>1.3297182893174426E-2</v>
      </c>
      <c r="C2098" s="3" cm="1">
        <f t="array" ref="C2098">AVERAGE(_xlfn._xlws.FILTER($E$2013:$E$3011, $A$2013:$A$3011="2018-06"))</f>
        <v>-3.4643994597141278E-4</v>
      </c>
      <c r="D2098" s="3" cm="1">
        <f t="array" ref="D2098">_xlfn.PERCENTILE.EXC(_xlfn._xlws.FILTER($E$1498:$E$2489, $A$1498:$A$2489="2018-06"), 0.05)</f>
        <v>-2.424229895491245E-2</v>
      </c>
      <c r="E2098" s="3">
        <v>1.4825623598085922E-2</v>
      </c>
      <c r="F2098" s="3">
        <f t="shared" si="70"/>
        <v>-2.0523062973344927E-2</v>
      </c>
      <c r="G2098" s="3">
        <f t="shared" si="71"/>
        <v>-3.4514903160231633E-2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</row>
    <row r="2099" spans="1:144" ht="12.5" customHeight="1" x14ac:dyDescent="0.35">
      <c r="A2099" t="s">
        <v>116</v>
      </c>
      <c r="E2099">
        <v>-4.5150180395815802E-3</v>
      </c>
      <c r="F2099">
        <f t="shared" si="70"/>
        <v>-2.0527895622289866E-2</v>
      </c>
      <c r="G2099">
        <f t="shared" si="71"/>
        <v>-3.4514903160231633E-2</v>
      </c>
    </row>
    <row r="2100" spans="1:144" ht="12.5" customHeight="1" x14ac:dyDescent="0.35">
      <c r="A2100" t="s">
        <v>116</v>
      </c>
      <c r="E2100">
        <v>-1.1873969778469629E-2</v>
      </c>
      <c r="F2100">
        <f t="shared" si="70"/>
        <v>-2.0532728271234809E-2</v>
      </c>
      <c r="G2100">
        <f t="shared" si="71"/>
        <v>-3.4514903160231633E-2</v>
      </c>
    </row>
    <row r="2101" spans="1:144" ht="12.5" customHeight="1" x14ac:dyDescent="0.35">
      <c r="A2101" t="s">
        <v>116</v>
      </c>
      <c r="E2101">
        <v>2.6374202746046013E-3</v>
      </c>
      <c r="F2101">
        <f t="shared" si="70"/>
        <v>-2.0533350501789588E-2</v>
      </c>
      <c r="G2101">
        <f t="shared" si="71"/>
        <v>-3.4679399335396301E-2</v>
      </c>
    </row>
    <row r="2102" spans="1:144" ht="12.5" customHeight="1" x14ac:dyDescent="0.35">
      <c r="A2102" t="s">
        <v>116</v>
      </c>
      <c r="E2102">
        <v>-1.8354486223360264E-3</v>
      </c>
      <c r="F2102">
        <f t="shared" si="70"/>
        <v>-2.0533972732344367E-2</v>
      </c>
      <c r="G2102">
        <f t="shared" si="71"/>
        <v>-3.4679399335396301E-2</v>
      </c>
    </row>
    <row r="2103" spans="1:144" ht="12.5" customHeight="1" x14ac:dyDescent="0.35">
      <c r="A2103" t="s">
        <v>116</v>
      </c>
      <c r="E2103">
        <v>-1.9090831582367088E-2</v>
      </c>
      <c r="F2103">
        <f t="shared" si="70"/>
        <v>-2.0534594962899142E-2</v>
      </c>
      <c r="G2103">
        <f t="shared" si="71"/>
        <v>-3.4679399335396301E-2</v>
      </c>
    </row>
    <row r="2104" spans="1:144" ht="12.5" customHeight="1" x14ac:dyDescent="0.35">
      <c r="A2104" t="s">
        <v>116</v>
      </c>
      <c r="E2104">
        <v>3.3621184961678527E-2</v>
      </c>
      <c r="F2104">
        <f t="shared" si="70"/>
        <v>-2.0535217193453921E-2</v>
      </c>
      <c r="G2104">
        <f t="shared" si="71"/>
        <v>-3.4679399335396301E-2</v>
      </c>
    </row>
    <row r="2105" spans="1:144" ht="12.5" customHeight="1" x14ac:dyDescent="0.35">
      <c r="A2105" t="s">
        <v>116</v>
      </c>
      <c r="E2105">
        <v>1.5183475914729166E-3</v>
      </c>
      <c r="F2105">
        <f t="shared" si="70"/>
        <v>-2.05358394240087E-2</v>
      </c>
      <c r="G2105">
        <f t="shared" si="71"/>
        <v>-3.4679399335396301E-2</v>
      </c>
    </row>
    <row r="2106" spans="1:144" ht="12.5" customHeight="1" x14ac:dyDescent="0.35">
      <c r="A2106" t="s">
        <v>116</v>
      </c>
      <c r="E2106">
        <v>4.3495255546212247E-3</v>
      </c>
      <c r="F2106">
        <f t="shared" si="70"/>
        <v>-2.0536461654563479E-2</v>
      </c>
      <c r="G2106">
        <f t="shared" si="71"/>
        <v>-3.4679399335396301E-2</v>
      </c>
    </row>
    <row r="2107" spans="1:144" ht="12.5" customHeight="1" x14ac:dyDescent="0.35">
      <c r="A2107" t="s">
        <v>116</v>
      </c>
      <c r="E2107">
        <v>1.2086272063111223E-2</v>
      </c>
      <c r="F2107">
        <f t="shared" si="70"/>
        <v>-2.0537083885118258E-2</v>
      </c>
      <c r="G2107">
        <f t="shared" si="71"/>
        <v>-3.4679399335396301E-2</v>
      </c>
    </row>
    <row r="2108" spans="1:144" ht="12.5" customHeight="1" x14ac:dyDescent="0.35">
      <c r="A2108" t="s">
        <v>116</v>
      </c>
      <c r="E2108">
        <v>-1.3245108159406056E-2</v>
      </c>
      <c r="F2108">
        <f t="shared" si="70"/>
        <v>-2.0537706115673033E-2</v>
      </c>
      <c r="G2108">
        <f t="shared" si="71"/>
        <v>-3.4679399335396301E-2</v>
      </c>
    </row>
    <row r="2109" spans="1:144" ht="12.5" customHeight="1" x14ac:dyDescent="0.35">
      <c r="A2109" t="s">
        <v>116</v>
      </c>
      <c r="E2109">
        <v>-4.1174398400743916E-3</v>
      </c>
      <c r="F2109">
        <f t="shared" si="70"/>
        <v>-2.0538328346227812E-2</v>
      </c>
      <c r="G2109">
        <f t="shared" si="71"/>
        <v>-3.4679399335396301E-2</v>
      </c>
    </row>
    <row r="2110" spans="1:144" ht="12.5" customHeight="1" x14ac:dyDescent="0.35">
      <c r="A2110" t="s">
        <v>116</v>
      </c>
      <c r="E2110">
        <v>-6.7626904866902374E-4</v>
      </c>
      <c r="F2110">
        <f t="shared" si="70"/>
        <v>-2.0538950576782591E-2</v>
      </c>
      <c r="G2110">
        <f t="shared" si="71"/>
        <v>-3.4679399335396301E-2</v>
      </c>
    </row>
    <row r="2111" spans="1:144" ht="12.5" customHeight="1" x14ac:dyDescent="0.35">
      <c r="A2111" t="s">
        <v>116</v>
      </c>
      <c r="E2111">
        <v>1.6400896699357687E-3</v>
      </c>
      <c r="F2111">
        <f t="shared" si="70"/>
        <v>-2.053957280733737E-2</v>
      </c>
      <c r="G2111">
        <f t="shared" si="71"/>
        <v>-3.4679399335396301E-2</v>
      </c>
    </row>
    <row r="2112" spans="1:144" ht="12.5" customHeight="1" x14ac:dyDescent="0.35">
      <c r="A2112" t="s">
        <v>116</v>
      </c>
      <c r="E2112">
        <v>-2.0436075292336008E-2</v>
      </c>
      <c r="F2112">
        <f t="shared" si="70"/>
        <v>-2.0540195037892148E-2</v>
      </c>
      <c r="G2112">
        <f t="shared" si="71"/>
        <v>-3.4679399335396301E-2</v>
      </c>
    </row>
    <row r="2113" spans="1:144" ht="12.5" customHeight="1" x14ac:dyDescent="0.35">
      <c r="A2113" t="s">
        <v>116</v>
      </c>
      <c r="E2113">
        <v>9.8876925299438718E-3</v>
      </c>
      <c r="F2113">
        <f t="shared" si="70"/>
        <v>-2.0540817268446924E-2</v>
      </c>
      <c r="G2113">
        <f t="shared" si="71"/>
        <v>-3.4679399335396301E-2</v>
      </c>
    </row>
    <row r="2114" spans="1:144" ht="12.5" customHeight="1" x14ac:dyDescent="0.35">
      <c r="A2114" t="s">
        <v>116</v>
      </c>
      <c r="E2114">
        <v>-2.4665212695198724E-2</v>
      </c>
      <c r="F2114">
        <f t="shared" si="70"/>
        <v>-2.0541439499001703E-2</v>
      </c>
      <c r="G2114">
        <f t="shared" si="71"/>
        <v>-3.4679399335396301E-2</v>
      </c>
    </row>
    <row r="2115" spans="1:144" ht="12.5" customHeight="1" x14ac:dyDescent="0.35">
      <c r="A2115" t="s">
        <v>116</v>
      </c>
      <c r="E2115">
        <v>2.9961826724529141E-3</v>
      </c>
      <c r="F2115">
        <f t="shared" si="70"/>
        <v>-2.048100298854293E-2</v>
      </c>
      <c r="G2115">
        <f t="shared" si="71"/>
        <v>-3.463078187158497E-2</v>
      </c>
    </row>
    <row r="2116" spans="1:144" ht="12.5" customHeight="1" x14ac:dyDescent="0.35">
      <c r="A2116" t="s">
        <v>116</v>
      </c>
      <c r="E2116">
        <v>6.451818426349348E-3</v>
      </c>
      <c r="F2116">
        <f t="shared" ref="F2116:F2179" si="72">_xlfn.PERCENTILE.EXC(E2116:E5931,0.05)</f>
        <v>-2.0491348045081303E-2</v>
      </c>
      <c r="G2116">
        <f t="shared" ref="G2116:G2179" si="73">AVERAGEIFS(E2116:E5932,E2116:E5932,"&lt;=" &amp; F2116)</f>
        <v>-3.463078187158497E-2</v>
      </c>
    </row>
    <row r="2117" spans="1:144" ht="12.5" customHeight="1" x14ac:dyDescent="0.35">
      <c r="A2117" t="s">
        <v>116</v>
      </c>
      <c r="E2117">
        <v>-5.8418063215395976E-3</v>
      </c>
      <c r="F2117">
        <f t="shared" si="72"/>
        <v>-2.0501693101619679E-2</v>
      </c>
      <c r="G2117">
        <f t="shared" si="73"/>
        <v>-3.463078187158497E-2</v>
      </c>
    </row>
    <row r="2118" spans="1:144" ht="12.5" customHeight="1" x14ac:dyDescent="0.35">
      <c r="A2118" t="s">
        <v>116</v>
      </c>
      <c r="E2118">
        <v>9.0077831723221341E-3</v>
      </c>
      <c r="F2118">
        <f t="shared" si="72"/>
        <v>-2.0512038158158056E-2</v>
      </c>
      <c r="G2118">
        <f t="shared" si="73"/>
        <v>-3.463078187158497E-2</v>
      </c>
    </row>
    <row r="2119" spans="1:144" s="3" customFormat="1" x14ac:dyDescent="0.35">
      <c r="A2119" s="3" t="s">
        <v>117</v>
      </c>
      <c r="B2119" s="3" cm="1">
        <f t="array" ref="B2119">_xlfn.STDEV.S(_xlfn._xlws.FILTER($E$2013:$E$3011, $A$2013:$A$3011="2018-07"))</f>
        <v>8.8126726388279581E-3</v>
      </c>
      <c r="C2119" s="3" cm="1">
        <f t="array" ref="C2119">AVERAGE(_xlfn._xlws.FILTER($E$2013:$E$3011, $A$2013:$A$3011="2018-07"))</f>
        <v>1.2222734810384453E-3</v>
      </c>
      <c r="D2119" s="3" cm="1">
        <f t="array" ref="D2119">_xlfn.PERCENTILE.EXC(_xlfn._xlws.FILTER($E$1498:$E$2489, $A$1498:$A$2489="2018-07"), 0.05)</f>
        <v>-1.572941364649575E-2</v>
      </c>
      <c r="E2119" s="3">
        <v>-9.2476364243469292E-3</v>
      </c>
      <c r="F2119" s="3">
        <f t="shared" si="72"/>
        <v>-2.0522383214696429E-2</v>
      </c>
      <c r="G2119" s="3">
        <f t="shared" si="73"/>
        <v>-3.463078187158497E-2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</row>
    <row r="2120" spans="1:144" ht="12.5" customHeight="1" x14ac:dyDescent="0.35">
      <c r="A2120" t="s">
        <v>117</v>
      </c>
      <c r="E2120">
        <v>1.5603437193582244E-2</v>
      </c>
      <c r="F2120">
        <f t="shared" si="72"/>
        <v>-2.0532728271234809E-2</v>
      </c>
      <c r="G2120">
        <f t="shared" si="73"/>
        <v>-3.463078187158497E-2</v>
      </c>
    </row>
    <row r="2121" spans="1:144" ht="12.5" customHeight="1" x14ac:dyDescent="0.35">
      <c r="A2121" t="s">
        <v>117</v>
      </c>
      <c r="E2121">
        <v>-3.5695607853960948E-3</v>
      </c>
      <c r="F2121">
        <f t="shared" si="72"/>
        <v>-2.0533350501789588E-2</v>
      </c>
      <c r="G2121">
        <f t="shared" si="73"/>
        <v>-3.4798615843017709E-2</v>
      </c>
    </row>
    <row r="2122" spans="1:144" ht="12.5" customHeight="1" x14ac:dyDescent="0.35">
      <c r="A2122" t="s">
        <v>117</v>
      </c>
      <c r="E2122">
        <v>1.0443916043926856E-2</v>
      </c>
      <c r="F2122">
        <f t="shared" si="72"/>
        <v>-2.0533972732344367E-2</v>
      </c>
      <c r="G2122">
        <f t="shared" si="73"/>
        <v>-3.4798615843017709E-2</v>
      </c>
    </row>
    <row r="2123" spans="1:144" ht="12.5" customHeight="1" x14ac:dyDescent="0.35">
      <c r="A2123" t="s">
        <v>117</v>
      </c>
      <c r="E2123">
        <v>5.1186366018879219E-4</v>
      </c>
      <c r="F2123">
        <f t="shared" si="72"/>
        <v>-2.0534594962899142E-2</v>
      </c>
      <c r="G2123">
        <f t="shared" si="73"/>
        <v>-3.4798615843017709E-2</v>
      </c>
    </row>
    <row r="2124" spans="1:144" ht="12.5" customHeight="1" x14ac:dyDescent="0.35">
      <c r="A2124" t="s">
        <v>117</v>
      </c>
      <c r="E2124">
        <v>4.910500222428605E-3</v>
      </c>
      <c r="F2124">
        <f t="shared" si="72"/>
        <v>-2.0535217193453921E-2</v>
      </c>
      <c r="G2124">
        <f t="shared" si="73"/>
        <v>-3.4798615843017709E-2</v>
      </c>
    </row>
    <row r="2125" spans="1:144" ht="12.5" customHeight="1" x14ac:dyDescent="0.35">
      <c r="A2125" t="s">
        <v>117</v>
      </c>
      <c r="E2125">
        <v>1.0823135347304252E-3</v>
      </c>
      <c r="F2125">
        <f t="shared" si="72"/>
        <v>-2.05358394240087E-2</v>
      </c>
      <c r="G2125">
        <f t="shared" si="73"/>
        <v>-3.4798615843017709E-2</v>
      </c>
    </row>
    <row r="2126" spans="1:144" ht="12.5" customHeight="1" x14ac:dyDescent="0.35">
      <c r="A2126" t="s">
        <v>117</v>
      </c>
      <c r="E2126">
        <v>-1.5959992706989373E-2</v>
      </c>
      <c r="F2126">
        <f t="shared" si="72"/>
        <v>-2.0536461654563479E-2</v>
      </c>
      <c r="G2126">
        <f t="shared" si="73"/>
        <v>-3.4798615843017709E-2</v>
      </c>
    </row>
    <row r="2127" spans="1:144" ht="12.5" customHeight="1" x14ac:dyDescent="0.35">
      <c r="A2127" t="s">
        <v>117</v>
      </c>
      <c r="E2127">
        <v>3.7730358993926564E-3</v>
      </c>
      <c r="F2127">
        <f t="shared" si="72"/>
        <v>-2.0537083885118258E-2</v>
      </c>
      <c r="G2127">
        <f t="shared" si="73"/>
        <v>-3.4798615843017709E-2</v>
      </c>
    </row>
    <row r="2128" spans="1:144" ht="12.5" customHeight="1" x14ac:dyDescent="0.35">
      <c r="A2128" t="s">
        <v>117</v>
      </c>
      <c r="E2128">
        <v>4.6806046745225052E-3</v>
      </c>
      <c r="F2128">
        <f t="shared" si="72"/>
        <v>-2.0537706115673033E-2</v>
      </c>
      <c r="G2128">
        <f t="shared" si="73"/>
        <v>-3.4798615843017709E-2</v>
      </c>
    </row>
    <row r="2129" spans="1:144" ht="12.5" customHeight="1" x14ac:dyDescent="0.35">
      <c r="A2129" t="s">
        <v>117</v>
      </c>
      <c r="E2129">
        <v>-3.1746341626204223E-3</v>
      </c>
      <c r="F2129">
        <f t="shared" si="72"/>
        <v>-2.0538328346227812E-2</v>
      </c>
      <c r="G2129">
        <f t="shared" si="73"/>
        <v>-3.4798615843017709E-2</v>
      </c>
    </row>
    <row r="2130" spans="1:144" ht="12.5" customHeight="1" x14ac:dyDescent="0.35">
      <c r="A2130" t="s">
        <v>117</v>
      </c>
      <c r="E2130">
        <v>7.0711364163826528E-3</v>
      </c>
      <c r="F2130">
        <f t="shared" si="72"/>
        <v>-2.0538950576782591E-2</v>
      </c>
      <c r="G2130">
        <f t="shared" si="73"/>
        <v>-3.4798615843017709E-2</v>
      </c>
    </row>
    <row r="2131" spans="1:144" ht="12.5" customHeight="1" x14ac:dyDescent="0.35">
      <c r="A2131" t="s">
        <v>117</v>
      </c>
      <c r="E2131">
        <v>-2.5483480926542936E-4</v>
      </c>
      <c r="F2131">
        <f t="shared" si="72"/>
        <v>-2.053957280733737E-2</v>
      </c>
      <c r="G2131">
        <f t="shared" si="73"/>
        <v>-3.4798615843017709E-2</v>
      </c>
    </row>
    <row r="2132" spans="1:144" ht="12.5" customHeight="1" x14ac:dyDescent="0.35">
      <c r="A2132" t="s">
        <v>117</v>
      </c>
      <c r="E2132">
        <v>-3.9591803389871097E-3</v>
      </c>
      <c r="F2132">
        <f t="shared" si="72"/>
        <v>-2.0540195037892148E-2</v>
      </c>
      <c r="G2132">
        <f t="shared" si="73"/>
        <v>-3.4798615843017709E-2</v>
      </c>
    </row>
    <row r="2133" spans="1:144" ht="12.5" customHeight="1" x14ac:dyDescent="0.35">
      <c r="A2133" t="s">
        <v>117</v>
      </c>
      <c r="E2133">
        <v>-4.157515146029511E-3</v>
      </c>
      <c r="F2133">
        <f t="shared" si="72"/>
        <v>-2.0540817268446924E-2</v>
      </c>
      <c r="G2133">
        <f t="shared" si="73"/>
        <v>-3.4798615843017709E-2</v>
      </c>
    </row>
    <row r="2134" spans="1:144" ht="12.5" customHeight="1" x14ac:dyDescent="0.35">
      <c r="A2134" t="s">
        <v>117</v>
      </c>
      <c r="E2134">
        <v>-8.7277433798354578E-3</v>
      </c>
      <c r="F2134">
        <f t="shared" si="72"/>
        <v>-2.0541439499001703E-2</v>
      </c>
      <c r="G2134">
        <f t="shared" si="73"/>
        <v>-3.4798615843017709E-2</v>
      </c>
    </row>
    <row r="2135" spans="1:144" ht="12.5" customHeight="1" x14ac:dyDescent="0.35">
      <c r="A2135" t="s">
        <v>117</v>
      </c>
      <c r="E2135">
        <v>1.2395771405804532E-2</v>
      </c>
      <c r="F2135">
        <f t="shared" si="72"/>
        <v>-2.0542061729556482E-2</v>
      </c>
      <c r="G2135">
        <f t="shared" si="73"/>
        <v>-3.4798615843017709E-2</v>
      </c>
    </row>
    <row r="2136" spans="1:144" ht="12.5" customHeight="1" x14ac:dyDescent="0.35">
      <c r="A2136" t="s">
        <v>117</v>
      </c>
      <c r="E2136">
        <v>-1.4422798970365218E-2</v>
      </c>
      <c r="F2136">
        <f t="shared" si="72"/>
        <v>-2.054268396011126E-2</v>
      </c>
      <c r="G2136">
        <f t="shared" si="73"/>
        <v>-3.4798615843017709E-2</v>
      </c>
    </row>
    <row r="2137" spans="1:144" ht="12.5" customHeight="1" x14ac:dyDescent="0.35">
      <c r="A2137" t="s">
        <v>117</v>
      </c>
      <c r="E2137">
        <v>1.388230241373278E-2</v>
      </c>
      <c r="F2137">
        <f t="shared" si="72"/>
        <v>-2.0543306190666039E-2</v>
      </c>
      <c r="G2137">
        <f t="shared" si="73"/>
        <v>-3.4798615843017709E-2</v>
      </c>
    </row>
    <row r="2138" spans="1:144" ht="12.5" customHeight="1" x14ac:dyDescent="0.35">
      <c r="A2138" t="s">
        <v>117</v>
      </c>
      <c r="E2138">
        <v>4.2087836658819527E-3</v>
      </c>
      <c r="F2138">
        <f t="shared" si="72"/>
        <v>-2.0543928421220815E-2</v>
      </c>
      <c r="G2138">
        <f t="shared" si="73"/>
        <v>-3.4798615843017709E-2</v>
      </c>
    </row>
    <row r="2139" spans="1:144" ht="12.5" customHeight="1" x14ac:dyDescent="0.35">
      <c r="A2139" t="s">
        <v>117</v>
      </c>
      <c r="E2139">
        <v>-6.4105939649074977E-4</v>
      </c>
      <c r="F2139">
        <f t="shared" si="72"/>
        <v>-2.0544550651775594E-2</v>
      </c>
      <c r="G2139">
        <f t="shared" si="73"/>
        <v>-3.4798615843017709E-2</v>
      </c>
    </row>
    <row r="2140" spans="1:144" ht="12.5" customHeight="1" x14ac:dyDescent="0.35">
      <c r="A2140" t="s">
        <v>117</v>
      </c>
      <c r="E2140">
        <v>1.2441307572598084E-2</v>
      </c>
      <c r="F2140">
        <f t="shared" si="72"/>
        <v>-2.0545172882330372E-2</v>
      </c>
      <c r="G2140">
        <f t="shared" si="73"/>
        <v>-3.4798615843017709E-2</v>
      </c>
    </row>
    <row r="2141" spans="1:144" s="3" customFormat="1" x14ac:dyDescent="0.35">
      <c r="A2141" s="3" t="s">
        <v>118</v>
      </c>
      <c r="B2141" s="3" cm="1">
        <f t="array" ref="B2141">_xlfn.STDEV.S(_xlfn._xlws.FILTER($E$2013:$E$3011, $A$2013:$A$3011="2018-08"))</f>
        <v>1.0724370661663278E-2</v>
      </c>
      <c r="C2141" s="3" cm="1">
        <f t="array" ref="C2141">AVERAGE(_xlfn._xlws.FILTER($E$2013:$E$3011, $A$2013:$A$3011="2018-08"))</f>
        <v>-4.3658563282510309E-3</v>
      </c>
      <c r="D2141" s="3" cm="1">
        <f t="array" ref="D2141">_xlfn.PERCENTILE.EXC(_xlfn._xlws.FILTER($E$1498:$E$2489, $A$1498:$A$2489="2018-08"), 0.05)</f>
        <v>-2.4825666476541674E-2</v>
      </c>
      <c r="E2141" s="3">
        <v>-1.9281104971122079E-2</v>
      </c>
      <c r="F2141" s="3">
        <f t="shared" si="72"/>
        <v>-2.0545452517237522E-2</v>
      </c>
      <c r="G2141" s="3">
        <f t="shared" si="73"/>
        <v>-3.4970344071459727E-2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</row>
    <row r="2142" spans="1:144" ht="12.5" customHeight="1" x14ac:dyDescent="0.35">
      <c r="A2142" t="s">
        <v>118</v>
      </c>
      <c r="E2142">
        <v>-1.7439154994535886E-2</v>
      </c>
      <c r="F2142">
        <f t="shared" si="72"/>
        <v>-2.0545732152144676E-2</v>
      </c>
      <c r="G2142">
        <f t="shared" si="73"/>
        <v>-3.4970344071459727E-2</v>
      </c>
    </row>
    <row r="2143" spans="1:144" ht="12.5" customHeight="1" x14ac:dyDescent="0.35">
      <c r="A2143" t="s">
        <v>118</v>
      </c>
      <c r="E2143">
        <v>8.0057969677203421E-3</v>
      </c>
      <c r="F2143">
        <f t="shared" si="72"/>
        <v>-2.0546011787051826E-2</v>
      </c>
      <c r="G2143">
        <f t="shared" si="73"/>
        <v>-3.4970344071459727E-2</v>
      </c>
    </row>
    <row r="2144" spans="1:144" ht="12.5" customHeight="1" x14ac:dyDescent="0.35">
      <c r="A2144" t="s">
        <v>118</v>
      </c>
      <c r="E2144">
        <v>-3.0903215037404887E-4</v>
      </c>
      <c r="F2144">
        <f t="shared" si="72"/>
        <v>-2.0546291421958979E-2</v>
      </c>
      <c r="G2144">
        <f t="shared" si="73"/>
        <v>-3.4970344071459727E-2</v>
      </c>
    </row>
    <row r="2145" spans="1:7" ht="12.5" customHeight="1" x14ac:dyDescent="0.35">
      <c r="A2145" t="s">
        <v>118</v>
      </c>
      <c r="E2145">
        <v>1.2599976198440327E-2</v>
      </c>
      <c r="F2145">
        <f t="shared" si="72"/>
        <v>-2.0546571056866129E-2</v>
      </c>
      <c r="G2145">
        <f t="shared" si="73"/>
        <v>-3.4970344071459727E-2</v>
      </c>
    </row>
    <row r="2146" spans="1:7" ht="12.5" customHeight="1" x14ac:dyDescent="0.35">
      <c r="A2146" t="s">
        <v>118</v>
      </c>
      <c r="E2146">
        <v>-2.910360405035927E-3</v>
      </c>
      <c r="F2146">
        <f t="shared" si="72"/>
        <v>-2.0546850691773279E-2</v>
      </c>
      <c r="G2146">
        <f t="shared" si="73"/>
        <v>-3.4970344071459727E-2</v>
      </c>
    </row>
    <row r="2147" spans="1:7" ht="12.5" customHeight="1" x14ac:dyDescent="0.35">
      <c r="A2147" t="s">
        <v>118</v>
      </c>
      <c r="E2147">
        <v>-7.1872096195549602E-3</v>
      </c>
      <c r="F2147">
        <f t="shared" si="72"/>
        <v>-2.0547130326680433E-2</v>
      </c>
      <c r="G2147">
        <f t="shared" si="73"/>
        <v>-3.4970344071459727E-2</v>
      </c>
    </row>
    <row r="2148" spans="1:7" ht="12.5" customHeight="1" x14ac:dyDescent="0.35">
      <c r="A2148" t="s">
        <v>118</v>
      </c>
      <c r="E2148">
        <v>-2.5441728866032742E-2</v>
      </c>
      <c r="F2148">
        <f t="shared" si="72"/>
        <v>-2.0547409961587583E-2</v>
      </c>
      <c r="G2148">
        <f t="shared" si="73"/>
        <v>-3.4970344071459727E-2</v>
      </c>
    </row>
    <row r="2149" spans="1:7" ht="12.5" customHeight="1" x14ac:dyDescent="0.35">
      <c r="A2149" t="s">
        <v>118</v>
      </c>
      <c r="E2149">
        <v>-5.7784223757697314E-3</v>
      </c>
      <c r="F2149">
        <f t="shared" si="72"/>
        <v>-2.0538328346227812E-2</v>
      </c>
      <c r="G2149">
        <f t="shared" si="73"/>
        <v>-3.4911349421053665E-2</v>
      </c>
    </row>
    <row r="2150" spans="1:7" ht="12.5" customHeight="1" x14ac:dyDescent="0.35">
      <c r="A2150" t="s">
        <v>118</v>
      </c>
      <c r="E2150">
        <v>-3.0046152081259652E-3</v>
      </c>
      <c r="F2150">
        <f t="shared" si="72"/>
        <v>-2.0538950576782591E-2</v>
      </c>
      <c r="G2150">
        <f t="shared" si="73"/>
        <v>-3.4911349421053665E-2</v>
      </c>
    </row>
    <row r="2151" spans="1:7" ht="12.5" customHeight="1" x14ac:dyDescent="0.35">
      <c r="A2151" t="s">
        <v>118</v>
      </c>
      <c r="E2151">
        <v>-1.8451673468054729E-2</v>
      </c>
      <c r="F2151">
        <f t="shared" si="72"/>
        <v>-2.053957280733737E-2</v>
      </c>
      <c r="G2151">
        <f t="shared" si="73"/>
        <v>-3.4911349421053665E-2</v>
      </c>
    </row>
    <row r="2152" spans="1:7" ht="12.5" customHeight="1" x14ac:dyDescent="0.35">
      <c r="A2152" t="s">
        <v>118</v>
      </c>
      <c r="E2152">
        <v>-5.3181168540860288E-3</v>
      </c>
      <c r="F2152">
        <f t="shared" si="72"/>
        <v>-2.0540195037892148E-2</v>
      </c>
      <c r="G2152">
        <f t="shared" si="73"/>
        <v>-3.4911349421053665E-2</v>
      </c>
    </row>
    <row r="2153" spans="1:7" ht="12.5" customHeight="1" x14ac:dyDescent="0.35">
      <c r="A2153" t="s">
        <v>118</v>
      </c>
      <c r="E2153">
        <v>2.724634716131118E-3</v>
      </c>
      <c r="F2153">
        <f t="shared" si="72"/>
        <v>-2.0540817268446924E-2</v>
      </c>
      <c r="G2153">
        <f t="shared" si="73"/>
        <v>-3.4911349421053665E-2</v>
      </c>
    </row>
    <row r="2154" spans="1:7" ht="12.5" customHeight="1" x14ac:dyDescent="0.35">
      <c r="A2154" t="s">
        <v>118</v>
      </c>
      <c r="E2154">
        <v>1.5165570981454497E-2</v>
      </c>
      <c r="F2154">
        <f t="shared" si="72"/>
        <v>-2.0541439499001703E-2</v>
      </c>
      <c r="G2154">
        <f t="shared" si="73"/>
        <v>-3.4911349421053665E-2</v>
      </c>
    </row>
    <row r="2155" spans="1:7" ht="12.5" customHeight="1" x14ac:dyDescent="0.35">
      <c r="A2155" t="s">
        <v>118</v>
      </c>
      <c r="E2155">
        <v>-4.0541485384224989E-3</v>
      </c>
      <c r="F2155">
        <f t="shared" si="72"/>
        <v>-2.0542061729556482E-2</v>
      </c>
      <c r="G2155">
        <f t="shared" si="73"/>
        <v>-3.4911349421053665E-2</v>
      </c>
    </row>
    <row r="2156" spans="1:7" ht="12.5" customHeight="1" x14ac:dyDescent="0.35">
      <c r="A2156" t="s">
        <v>118</v>
      </c>
      <c r="E2156">
        <v>-4.4151101261473251E-3</v>
      </c>
      <c r="F2156">
        <f t="shared" si="72"/>
        <v>-2.054268396011126E-2</v>
      </c>
      <c r="G2156">
        <f t="shared" si="73"/>
        <v>-3.4911349421053665E-2</v>
      </c>
    </row>
    <row r="2157" spans="1:7" ht="12.5" customHeight="1" x14ac:dyDescent="0.35">
      <c r="A2157" t="s">
        <v>118</v>
      </c>
      <c r="E2157">
        <v>6.4546044248070958E-3</v>
      </c>
      <c r="F2157">
        <f t="shared" si="72"/>
        <v>-2.0543306190666039E-2</v>
      </c>
      <c r="G2157">
        <f t="shared" si="73"/>
        <v>-3.4911349421053665E-2</v>
      </c>
    </row>
    <row r="2158" spans="1:7" ht="12.5" customHeight="1" x14ac:dyDescent="0.35">
      <c r="A2158" t="s">
        <v>118</v>
      </c>
      <c r="E2158">
        <v>-5.8947982952033016E-3</v>
      </c>
      <c r="F2158">
        <f t="shared" si="72"/>
        <v>-2.0543928421220815E-2</v>
      </c>
      <c r="G2158">
        <f t="shared" si="73"/>
        <v>-3.4911349421053665E-2</v>
      </c>
    </row>
    <row r="2159" spans="1:7" ht="12.5" customHeight="1" x14ac:dyDescent="0.35">
      <c r="A2159" t="s">
        <v>118</v>
      </c>
      <c r="E2159">
        <v>6.7675267448461347E-3</v>
      </c>
      <c r="F2159">
        <f t="shared" si="72"/>
        <v>-2.0544550651775594E-2</v>
      </c>
      <c r="G2159">
        <f t="shared" si="73"/>
        <v>-3.4911349421053665E-2</v>
      </c>
    </row>
    <row r="2160" spans="1:7" ht="12.5" customHeight="1" x14ac:dyDescent="0.35">
      <c r="A2160" t="s">
        <v>118</v>
      </c>
      <c r="E2160">
        <v>-1.2845596977745852E-2</v>
      </c>
      <c r="F2160">
        <f t="shared" si="72"/>
        <v>-2.0545172882330372E-2</v>
      </c>
      <c r="G2160">
        <f t="shared" si="73"/>
        <v>-3.4911349421053665E-2</v>
      </c>
    </row>
    <row r="2161" spans="1:144" ht="12.5" customHeight="1" x14ac:dyDescent="0.35">
      <c r="A2161" t="s">
        <v>118</v>
      </c>
      <c r="E2161">
        <v>-1.1070020076460105E-2</v>
      </c>
      <c r="F2161">
        <f t="shared" si="72"/>
        <v>-2.0545452517237522E-2</v>
      </c>
      <c r="G2161">
        <f t="shared" si="73"/>
        <v>-3.5086546695916154E-2</v>
      </c>
    </row>
    <row r="2162" spans="1:144" s="3" customFormat="1" x14ac:dyDescent="0.35">
      <c r="A2162" s="3" t="s">
        <v>119</v>
      </c>
      <c r="B2162" s="3" cm="1">
        <f t="array" ref="B2162">_xlfn.STDEV.S(_xlfn._xlws.FILTER($E$2013:$E$3011, $A$2013:$A$3011="2018-09"))</f>
        <v>1.2026136791502624E-2</v>
      </c>
      <c r="C2162" s="3" cm="1">
        <f t="array" ref="C2162">AVERAGE(_xlfn._xlws.FILTER($E$2013:$E$3011, $A$2013:$A$3011="2018-09"))</f>
        <v>1.0791472440333325E-3</v>
      </c>
      <c r="D2162" s="3" cm="1">
        <f t="array" ref="D2162">_xlfn.PERCENTILE.EXC(_xlfn._xlws.FILTER($E$1498:$E$2489, $A$1498:$A$2489="2018-09"), 0.05)</f>
        <v>-3.6434639938618951E-2</v>
      </c>
      <c r="E2162" s="3">
        <v>6.2126938966304349E-3</v>
      </c>
      <c r="F2162" s="3">
        <f t="shared" si="72"/>
        <v>-2.0545732152144676E-2</v>
      </c>
      <c r="G2162" s="3">
        <f t="shared" si="73"/>
        <v>-3.5086546695916154E-2</v>
      </c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</row>
    <row r="2163" spans="1:144" ht="12.5" customHeight="1" x14ac:dyDescent="0.35">
      <c r="A2163" t="s">
        <v>119</v>
      </c>
      <c r="E2163">
        <v>1.0011111303242675E-2</v>
      </c>
      <c r="F2163">
        <f t="shared" si="72"/>
        <v>-2.0546011787051826E-2</v>
      </c>
      <c r="G2163">
        <f t="shared" si="73"/>
        <v>-3.5086546695916154E-2</v>
      </c>
    </row>
    <row r="2164" spans="1:144" ht="12.5" customHeight="1" x14ac:dyDescent="0.35">
      <c r="A2164" t="s">
        <v>119</v>
      </c>
      <c r="E2164">
        <v>-9.3339990138739345E-4</v>
      </c>
      <c r="F2164">
        <f t="shared" si="72"/>
        <v>-2.0546291421958979E-2</v>
      </c>
      <c r="G2164">
        <f t="shared" si="73"/>
        <v>-3.5086546695916154E-2</v>
      </c>
    </row>
    <row r="2165" spans="1:144" ht="12.5" customHeight="1" x14ac:dyDescent="0.35">
      <c r="A2165" t="s">
        <v>119</v>
      </c>
      <c r="E2165">
        <v>-2.6544081361879047E-3</v>
      </c>
      <c r="F2165">
        <f t="shared" si="72"/>
        <v>-2.0546571056866129E-2</v>
      </c>
      <c r="G2165">
        <f t="shared" si="73"/>
        <v>-3.5086546695916154E-2</v>
      </c>
    </row>
    <row r="2166" spans="1:144" ht="12.5" customHeight="1" x14ac:dyDescent="0.35">
      <c r="A2166" t="s">
        <v>119</v>
      </c>
      <c r="E2166">
        <v>-3.8818925957554442E-3</v>
      </c>
      <c r="F2166">
        <f t="shared" si="72"/>
        <v>-2.0546850691773279E-2</v>
      </c>
      <c r="G2166">
        <f t="shared" si="73"/>
        <v>-3.5086546695916154E-2</v>
      </c>
    </row>
    <row r="2167" spans="1:144" ht="12.5" customHeight="1" x14ac:dyDescent="0.35">
      <c r="A2167" t="s">
        <v>119</v>
      </c>
      <c r="E2167">
        <v>2.2783138879010505E-2</v>
      </c>
      <c r="F2167">
        <f t="shared" si="72"/>
        <v>-2.0547130326680433E-2</v>
      </c>
      <c r="G2167">
        <f t="shared" si="73"/>
        <v>-3.5086546695916154E-2</v>
      </c>
    </row>
    <row r="2168" spans="1:144" ht="12.5" customHeight="1" x14ac:dyDescent="0.35">
      <c r="A2168" t="s">
        <v>119</v>
      </c>
      <c r="E2168">
        <v>-3.1149526033506193E-3</v>
      </c>
      <c r="F2168">
        <f t="shared" si="72"/>
        <v>-2.0547409961587583E-2</v>
      </c>
      <c r="G2168">
        <f t="shared" si="73"/>
        <v>-3.5086546695916154E-2</v>
      </c>
    </row>
    <row r="2169" spans="1:144" ht="12.5" customHeight="1" x14ac:dyDescent="0.35">
      <c r="A2169" t="s">
        <v>119</v>
      </c>
      <c r="E2169">
        <v>5.2208750327671378E-3</v>
      </c>
      <c r="F2169">
        <f t="shared" si="72"/>
        <v>-2.0547689596494736E-2</v>
      </c>
      <c r="G2169">
        <f t="shared" si="73"/>
        <v>-3.5086546695916154E-2</v>
      </c>
    </row>
    <row r="2170" spans="1:144" ht="12.5" customHeight="1" x14ac:dyDescent="0.35">
      <c r="A2170" t="s">
        <v>119</v>
      </c>
      <c r="E2170">
        <v>-5.5882609518221266E-3</v>
      </c>
      <c r="F2170">
        <f t="shared" si="72"/>
        <v>-2.0547969231401886E-2</v>
      </c>
      <c r="G2170">
        <f t="shared" si="73"/>
        <v>-3.5086546695916154E-2</v>
      </c>
    </row>
    <row r="2171" spans="1:144" ht="12.5" customHeight="1" x14ac:dyDescent="0.35">
      <c r="A2171" t="s">
        <v>119</v>
      </c>
      <c r="E2171">
        <v>1.8810686466962092E-3</v>
      </c>
      <c r="F2171">
        <f t="shared" si="72"/>
        <v>-2.0548248866309037E-2</v>
      </c>
      <c r="G2171">
        <f t="shared" si="73"/>
        <v>-3.5086546695916154E-2</v>
      </c>
    </row>
    <row r="2172" spans="1:144" ht="12.5" customHeight="1" x14ac:dyDescent="0.35">
      <c r="A2172" t="s">
        <v>119</v>
      </c>
      <c r="E2172">
        <v>1.0761392264545696E-2</v>
      </c>
      <c r="F2172">
        <f t="shared" si="72"/>
        <v>-2.054852850121619E-2</v>
      </c>
      <c r="G2172">
        <f t="shared" si="73"/>
        <v>-3.5086546695916154E-2</v>
      </c>
    </row>
    <row r="2173" spans="1:144" ht="12.5" customHeight="1" x14ac:dyDescent="0.35">
      <c r="A2173" t="s">
        <v>119</v>
      </c>
      <c r="E2173">
        <v>5.5187207123490655E-3</v>
      </c>
      <c r="F2173">
        <f t="shared" si="72"/>
        <v>-2.054880813612334E-2</v>
      </c>
      <c r="G2173">
        <f t="shared" si="73"/>
        <v>-3.5086546695916154E-2</v>
      </c>
    </row>
    <row r="2174" spans="1:144" ht="12.5" customHeight="1" x14ac:dyDescent="0.35">
      <c r="A2174" t="s">
        <v>119</v>
      </c>
      <c r="E2174">
        <v>2.47241828352125E-3</v>
      </c>
      <c r="F2174">
        <f t="shared" si="72"/>
        <v>-2.0549087771030494E-2</v>
      </c>
      <c r="G2174">
        <f t="shared" si="73"/>
        <v>-3.5086546695916154E-2</v>
      </c>
    </row>
    <row r="2175" spans="1:144" ht="12.5" customHeight="1" x14ac:dyDescent="0.35">
      <c r="A2175" t="s">
        <v>119</v>
      </c>
      <c r="E2175">
        <v>5.043465963752841E-3</v>
      </c>
      <c r="F2175">
        <f t="shared" si="72"/>
        <v>-2.0549367405937644E-2</v>
      </c>
      <c r="G2175">
        <f t="shared" si="73"/>
        <v>-3.5086546695916154E-2</v>
      </c>
    </row>
    <row r="2176" spans="1:144" ht="12.5" customHeight="1" x14ac:dyDescent="0.35">
      <c r="A2176" t="s">
        <v>119</v>
      </c>
      <c r="E2176">
        <v>6.9125300410375025E-3</v>
      </c>
      <c r="F2176">
        <f t="shared" si="72"/>
        <v>-2.0549647040844794E-2</v>
      </c>
      <c r="G2176">
        <f t="shared" si="73"/>
        <v>-3.5086546695916154E-2</v>
      </c>
    </row>
    <row r="2177" spans="1:144" ht="12.5" customHeight="1" x14ac:dyDescent="0.35">
      <c r="A2177" t="s">
        <v>119</v>
      </c>
      <c r="E2177">
        <v>-9.1831599330720552E-3</v>
      </c>
      <c r="F2177">
        <f t="shared" si="72"/>
        <v>-2.0549926675751947E-2</v>
      </c>
      <c r="G2177">
        <f t="shared" si="73"/>
        <v>-3.5086546695916154E-2</v>
      </c>
    </row>
    <row r="2178" spans="1:144" ht="12.5" customHeight="1" x14ac:dyDescent="0.35">
      <c r="A2178" t="s">
        <v>119</v>
      </c>
      <c r="E2178">
        <v>1.5305052239196431E-2</v>
      </c>
      <c r="F2178">
        <f t="shared" si="72"/>
        <v>-2.0550206310659097E-2</v>
      </c>
      <c r="G2178">
        <f t="shared" si="73"/>
        <v>-3.5086546695916154E-2</v>
      </c>
    </row>
    <row r="2179" spans="1:144" ht="12.5" customHeight="1" x14ac:dyDescent="0.35">
      <c r="A2179" t="s">
        <v>119</v>
      </c>
      <c r="E2179">
        <v>-1.0458192083232707E-3</v>
      </c>
      <c r="F2179">
        <f t="shared" si="72"/>
        <v>-2.0550485945566251E-2</v>
      </c>
      <c r="G2179">
        <f t="shared" si="73"/>
        <v>-3.5086546695916154E-2</v>
      </c>
    </row>
    <row r="2180" spans="1:144" ht="12.5" customHeight="1" x14ac:dyDescent="0.35">
      <c r="A2180" t="s">
        <v>119</v>
      </c>
      <c r="E2180">
        <v>-6.2687006922207628E-3</v>
      </c>
      <c r="F2180">
        <f t="shared" ref="F2180:F2243" si="74">_xlfn.PERCENTILE.EXC(E2180:E5995,0.05)</f>
        <v>-2.0550765580473401E-2</v>
      </c>
      <c r="G2180">
        <f t="shared" ref="G2180:G2243" si="75">AVERAGEIFS(E2180:E5996,E2180:E5996,"&lt;=" &amp; F2180)</f>
        <v>-3.5086546695916154E-2</v>
      </c>
    </row>
    <row r="2181" spans="1:144" ht="12.5" customHeight="1" x14ac:dyDescent="0.35">
      <c r="A2181" t="s">
        <v>119</v>
      </c>
      <c r="E2181">
        <v>-3.7868928359963527E-2</v>
      </c>
      <c r="F2181">
        <f t="shared" si="74"/>
        <v>-2.0554875781384065E-2</v>
      </c>
      <c r="G2181">
        <f t="shared" si="75"/>
        <v>-3.5266000783761131E-2</v>
      </c>
    </row>
    <row r="2182" spans="1:144" s="3" customFormat="1" x14ac:dyDescent="0.35">
      <c r="A2182" s="3" t="s">
        <v>120</v>
      </c>
      <c r="B2182" s="3" cm="1">
        <f t="array" ref="B2182">_xlfn.STDEV.S(_xlfn._xlws.FILTER($E$2013:$E$3011, $A$2013:$A$3011="2018-10"))</f>
        <v>1.2796695835052911E-2</v>
      </c>
      <c r="C2182" s="3" cm="1">
        <f t="array" ref="C2182">AVERAGE(_xlfn._xlws.FILTER($E$2013:$E$3011, $A$2013:$A$3011="2018-10"))</f>
        <v>-3.8009139965902816E-3</v>
      </c>
      <c r="D2182" s="3" cm="1">
        <f t="array" ref="D2182">_xlfn.PERCENTILE.EXC(_xlfn._xlws.FILTER($E$1498:$E$2489, $A$1498:$A$2489="2018-10"), 0.05)</f>
        <v>-2.3773913114760514E-2</v>
      </c>
      <c r="E2182" s="3">
        <v>-4.9228482865511869E-3</v>
      </c>
      <c r="F2182" s="3">
        <f t="shared" si="74"/>
        <v>-2.0545732152144676E-2</v>
      </c>
      <c r="G2182" s="3">
        <f t="shared" si="75"/>
        <v>-3.5052196305001983E-2</v>
      </c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</row>
    <row r="2183" spans="1:144" ht="12.5" customHeight="1" x14ac:dyDescent="0.35">
      <c r="A2183" t="s">
        <v>120</v>
      </c>
      <c r="E2183">
        <v>-2.3161213395714434E-3</v>
      </c>
      <c r="F2183">
        <f t="shared" si="74"/>
        <v>-2.0546011787051826E-2</v>
      </c>
      <c r="G2183">
        <f t="shared" si="75"/>
        <v>-3.5052196305001983E-2</v>
      </c>
    </row>
    <row r="2184" spans="1:144" ht="12.5" customHeight="1" x14ac:dyDescent="0.35">
      <c r="A2184" t="s">
        <v>120</v>
      </c>
      <c r="E2184">
        <v>2.4587604347633095E-3</v>
      </c>
      <c r="F2184">
        <f t="shared" si="74"/>
        <v>-2.0546291421958979E-2</v>
      </c>
      <c r="G2184">
        <f t="shared" si="75"/>
        <v>-3.5052196305001983E-2</v>
      </c>
    </row>
    <row r="2185" spans="1:144" ht="12.5" customHeight="1" x14ac:dyDescent="0.35">
      <c r="A2185" t="s">
        <v>120</v>
      </c>
      <c r="E2185">
        <v>-1.3036182414860058E-2</v>
      </c>
      <c r="F2185">
        <f t="shared" si="74"/>
        <v>-2.0546571056866129E-2</v>
      </c>
      <c r="G2185">
        <f t="shared" si="75"/>
        <v>-3.5052196305001983E-2</v>
      </c>
    </row>
    <row r="2186" spans="1:144" ht="12.5" customHeight="1" x14ac:dyDescent="0.35">
      <c r="A2186" t="s">
        <v>120</v>
      </c>
      <c r="E2186">
        <v>-2.4604306574373548E-2</v>
      </c>
      <c r="F2186">
        <f t="shared" si="74"/>
        <v>-2.0546850691773279E-2</v>
      </c>
      <c r="G2186">
        <f t="shared" si="75"/>
        <v>-3.5052196305001983E-2</v>
      </c>
    </row>
    <row r="2187" spans="1:144" ht="12.5" customHeight="1" x14ac:dyDescent="0.35">
      <c r="A2187" t="s">
        <v>120</v>
      </c>
      <c r="E2187">
        <v>1.0561879946555369E-2</v>
      </c>
      <c r="F2187">
        <f t="shared" si="74"/>
        <v>-2.0537083885118258E-2</v>
      </c>
      <c r="G2187">
        <f t="shared" si="75"/>
        <v>-3.5002083543371823E-2</v>
      </c>
    </row>
    <row r="2188" spans="1:144" ht="12.5" customHeight="1" x14ac:dyDescent="0.35">
      <c r="A2188" t="s">
        <v>120</v>
      </c>
      <c r="E2188">
        <v>-1.725527330548245E-2</v>
      </c>
      <c r="F2188">
        <f t="shared" si="74"/>
        <v>-2.0537706115673033E-2</v>
      </c>
      <c r="G2188">
        <f t="shared" si="75"/>
        <v>-3.5002083543371823E-2</v>
      </c>
    </row>
    <row r="2189" spans="1:144" ht="12.5" customHeight="1" x14ac:dyDescent="0.35">
      <c r="A2189" t="s">
        <v>120</v>
      </c>
      <c r="E2189">
        <v>-1.8550703237650356E-2</v>
      </c>
      <c r="F2189">
        <f t="shared" si="74"/>
        <v>-2.0538328346227812E-2</v>
      </c>
      <c r="G2189">
        <f t="shared" si="75"/>
        <v>-3.5002083543371823E-2</v>
      </c>
    </row>
    <row r="2190" spans="1:144" ht="12.5" customHeight="1" x14ac:dyDescent="0.35">
      <c r="A2190" t="s">
        <v>120</v>
      </c>
      <c r="E2190">
        <v>-5.2123013673485569E-3</v>
      </c>
      <c r="F2190">
        <f t="shared" si="74"/>
        <v>-2.0538950576782591E-2</v>
      </c>
      <c r="G2190">
        <f t="shared" si="75"/>
        <v>-3.5002083543371823E-2</v>
      </c>
    </row>
    <row r="2191" spans="1:144" ht="12.5" customHeight="1" x14ac:dyDescent="0.35">
      <c r="A2191" t="s">
        <v>120</v>
      </c>
      <c r="E2191">
        <v>1.6428144071801124E-3</v>
      </c>
      <c r="F2191">
        <f t="shared" si="74"/>
        <v>-2.053957280733737E-2</v>
      </c>
      <c r="G2191">
        <f t="shared" si="75"/>
        <v>-3.5002083543371823E-2</v>
      </c>
    </row>
    <row r="2192" spans="1:144" ht="12.5" customHeight="1" x14ac:dyDescent="0.35">
      <c r="A2192" t="s">
        <v>120</v>
      </c>
      <c r="E2192">
        <v>2.2058826301527022E-2</v>
      </c>
      <c r="F2192">
        <f t="shared" si="74"/>
        <v>-2.0540195037892148E-2</v>
      </c>
      <c r="G2192">
        <f t="shared" si="75"/>
        <v>-3.5002083543371823E-2</v>
      </c>
    </row>
    <row r="2193" spans="1:144" ht="12.5" customHeight="1" x14ac:dyDescent="0.35">
      <c r="A2193" t="s">
        <v>120</v>
      </c>
      <c r="E2193">
        <v>-1.3419710121927881E-2</v>
      </c>
      <c r="F2193">
        <f t="shared" si="74"/>
        <v>-2.0540817268446924E-2</v>
      </c>
      <c r="G2193">
        <f t="shared" si="75"/>
        <v>-3.5002083543371823E-2</v>
      </c>
    </row>
    <row r="2194" spans="1:144" ht="12.5" customHeight="1" x14ac:dyDescent="0.35">
      <c r="A2194" t="s">
        <v>120</v>
      </c>
      <c r="E2194">
        <v>-1.9068350176953339E-2</v>
      </c>
      <c r="F2194">
        <f t="shared" si="74"/>
        <v>-2.0541439499001703E-2</v>
      </c>
      <c r="G2194">
        <f t="shared" si="75"/>
        <v>-3.5002083543371823E-2</v>
      </c>
    </row>
    <row r="2195" spans="1:144" ht="12.5" customHeight="1" x14ac:dyDescent="0.35">
      <c r="A2195" t="s">
        <v>120</v>
      </c>
      <c r="E2195">
        <v>-3.8619052353433672E-4</v>
      </c>
      <c r="F2195">
        <f t="shared" si="74"/>
        <v>-2.0542061729556482E-2</v>
      </c>
      <c r="G2195">
        <f t="shared" si="75"/>
        <v>-3.5002083543371823E-2</v>
      </c>
    </row>
    <row r="2196" spans="1:144" ht="12.5" customHeight="1" x14ac:dyDescent="0.35">
      <c r="A2196" t="s">
        <v>120</v>
      </c>
      <c r="E2196">
        <v>-5.9895496302206632E-3</v>
      </c>
      <c r="F2196">
        <f t="shared" si="74"/>
        <v>-2.054268396011126E-2</v>
      </c>
      <c r="G2196">
        <f t="shared" si="75"/>
        <v>-3.5002083543371823E-2</v>
      </c>
    </row>
    <row r="2197" spans="1:144" ht="12.5" customHeight="1" x14ac:dyDescent="0.35">
      <c r="A2197" t="s">
        <v>120</v>
      </c>
      <c r="E2197">
        <v>-8.6712579143551696E-3</v>
      </c>
      <c r="F2197">
        <f t="shared" si="74"/>
        <v>-2.0543306190666039E-2</v>
      </c>
      <c r="G2197">
        <f t="shared" si="75"/>
        <v>-3.5002083543371823E-2</v>
      </c>
    </row>
    <row r="2198" spans="1:144" ht="12.5" customHeight="1" x14ac:dyDescent="0.35">
      <c r="A2198" t="s">
        <v>120</v>
      </c>
      <c r="E2198">
        <v>-1.7003767063745803E-2</v>
      </c>
      <c r="F2198">
        <f t="shared" si="74"/>
        <v>-2.0543928421220815E-2</v>
      </c>
      <c r="G2198">
        <f t="shared" si="75"/>
        <v>-3.5002083543371823E-2</v>
      </c>
    </row>
    <row r="2199" spans="1:144" ht="12.5" customHeight="1" x14ac:dyDescent="0.35">
      <c r="A2199" t="s">
        <v>120</v>
      </c>
      <c r="E2199">
        <v>1.7686954486494592E-2</v>
      </c>
      <c r="F2199">
        <f t="shared" si="74"/>
        <v>-2.0544550651775594E-2</v>
      </c>
      <c r="G2199">
        <f t="shared" si="75"/>
        <v>-3.5002083543371823E-2</v>
      </c>
    </row>
    <row r="2200" spans="1:144" ht="12.5" customHeight="1" x14ac:dyDescent="0.35">
      <c r="A2200" t="s">
        <v>120</v>
      </c>
      <c r="E2200">
        <v>-7.0429605935829181E-3</v>
      </c>
      <c r="F2200">
        <f t="shared" si="74"/>
        <v>-2.0545172882330372E-2</v>
      </c>
      <c r="G2200">
        <f t="shared" si="75"/>
        <v>-3.5002083543371823E-2</v>
      </c>
    </row>
    <row r="2201" spans="1:144" ht="12.5" customHeight="1" x14ac:dyDescent="0.35">
      <c r="A2201" t="s">
        <v>120</v>
      </c>
      <c r="E2201">
        <v>1.8905680167120579E-2</v>
      </c>
      <c r="F2201">
        <f t="shared" si="74"/>
        <v>-2.0545452517237522E-2</v>
      </c>
      <c r="G2201">
        <f t="shared" si="75"/>
        <v>-3.5182794926634849E-2</v>
      </c>
    </row>
    <row r="2202" spans="1:144" ht="12.5" customHeight="1" x14ac:dyDescent="0.35">
      <c r="A2202" t="s">
        <v>120</v>
      </c>
      <c r="E2202">
        <v>-2.1583319037661664E-3</v>
      </c>
      <c r="F2202">
        <f t="shared" si="74"/>
        <v>-2.0545732152144676E-2</v>
      </c>
      <c r="G2202">
        <f t="shared" si="75"/>
        <v>-3.5182794926634849E-2</v>
      </c>
    </row>
    <row r="2203" spans="1:144" ht="12.5" customHeight="1" x14ac:dyDescent="0.35">
      <c r="A2203" t="s">
        <v>120</v>
      </c>
      <c r="E2203">
        <v>2.7028307852967259E-3</v>
      </c>
      <c r="F2203">
        <f t="shared" si="74"/>
        <v>-2.0546011787051826E-2</v>
      </c>
      <c r="G2203">
        <f t="shared" si="75"/>
        <v>-3.5182794926634849E-2</v>
      </c>
    </row>
    <row r="2204" spans="1:144" s="3" customFormat="1" x14ac:dyDescent="0.35">
      <c r="A2204" s="3" t="s">
        <v>121</v>
      </c>
      <c r="B2204" s="3" cm="1">
        <f t="array" ref="B2204">_xlfn.STDEV.S(_xlfn._xlws.FILTER($E$2013:$E$3011, $A$2013:$A$3011="2018-11"))</f>
        <v>1.0367830225181229E-2</v>
      </c>
      <c r="C2204" s="3" cm="1">
        <f t="array" ref="C2204">AVERAGE(_xlfn._xlws.FILTER($E$2013:$E$3011, $A$2013:$A$3011="2018-11"))</f>
        <v>3.2986294219233922E-4</v>
      </c>
      <c r="D2204" s="3" cm="1">
        <f t="array" ref="D2204">_xlfn.PERCENTILE.EXC(_xlfn._xlws.FILTER($E$1498:$E$2489, $A$1498:$A$2489="2018-11"), 0.05)</f>
        <v>-1.7617505188386215E-2</v>
      </c>
      <c r="E2204" s="3">
        <v>7.0573709775688387E-3</v>
      </c>
      <c r="F2204" s="3">
        <f t="shared" si="74"/>
        <v>-2.0546291421958979E-2</v>
      </c>
      <c r="G2204" s="3">
        <f t="shared" si="75"/>
        <v>-3.5182794926634849E-2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</row>
    <row r="2205" spans="1:144" ht="12.5" customHeight="1" x14ac:dyDescent="0.35">
      <c r="A2205" t="s">
        <v>121</v>
      </c>
      <c r="E2205">
        <v>1.0638982872560942E-2</v>
      </c>
      <c r="F2205">
        <f t="shared" si="74"/>
        <v>-2.0546571056866129E-2</v>
      </c>
      <c r="G2205">
        <f t="shared" si="75"/>
        <v>-3.5182794926634849E-2</v>
      </c>
    </row>
    <row r="2206" spans="1:144" ht="12.5" customHeight="1" x14ac:dyDescent="0.35">
      <c r="A2206" t="s">
        <v>121</v>
      </c>
      <c r="E2206">
        <v>-5.6532929206422793E-3</v>
      </c>
      <c r="F2206">
        <f t="shared" si="74"/>
        <v>-2.0546850691773279E-2</v>
      </c>
      <c r="G2206">
        <f t="shared" si="75"/>
        <v>-3.5182794926634849E-2</v>
      </c>
    </row>
    <row r="2207" spans="1:144" ht="12.5" customHeight="1" x14ac:dyDescent="0.35">
      <c r="A2207" t="s">
        <v>121</v>
      </c>
      <c r="E2207">
        <v>-6.6097147570028981E-4</v>
      </c>
      <c r="F2207">
        <f t="shared" si="74"/>
        <v>-2.0547130326680433E-2</v>
      </c>
      <c r="G2207">
        <f t="shared" si="75"/>
        <v>-3.5182794926634849E-2</v>
      </c>
    </row>
    <row r="2208" spans="1:144" ht="12.5" customHeight="1" x14ac:dyDescent="0.35">
      <c r="A2208" t="s">
        <v>121</v>
      </c>
      <c r="E2208">
        <v>1.4051012389626293E-2</v>
      </c>
      <c r="F2208">
        <f t="shared" si="74"/>
        <v>-2.0547409961587583E-2</v>
      </c>
      <c r="G2208">
        <f t="shared" si="75"/>
        <v>-3.5182794926634849E-2</v>
      </c>
    </row>
    <row r="2209" spans="1:7" ht="12.5" customHeight="1" x14ac:dyDescent="0.35">
      <c r="A2209" t="s">
        <v>121</v>
      </c>
      <c r="E2209">
        <v>-5.7377509474518624E-3</v>
      </c>
      <c r="F2209">
        <f t="shared" si="74"/>
        <v>-2.0547689596494736E-2</v>
      </c>
      <c r="G2209">
        <f t="shared" si="75"/>
        <v>-3.5182794926634849E-2</v>
      </c>
    </row>
    <row r="2210" spans="1:7" ht="12.5" customHeight="1" x14ac:dyDescent="0.35">
      <c r="A2210" t="s">
        <v>121</v>
      </c>
      <c r="E2210">
        <v>-8.8417302447058432E-3</v>
      </c>
      <c r="F2210">
        <f t="shared" si="74"/>
        <v>-2.0547969231401886E-2</v>
      </c>
      <c r="G2210">
        <f t="shared" si="75"/>
        <v>-3.5182794926634849E-2</v>
      </c>
    </row>
    <row r="2211" spans="1:7" ht="12.5" customHeight="1" x14ac:dyDescent="0.35">
      <c r="A2211" t="s">
        <v>121</v>
      </c>
      <c r="E2211">
        <v>-1.0554456262392915E-2</v>
      </c>
      <c r="F2211">
        <f t="shared" si="74"/>
        <v>-2.0548248866309037E-2</v>
      </c>
      <c r="G2211">
        <f t="shared" si="75"/>
        <v>-3.5182794926634849E-2</v>
      </c>
    </row>
    <row r="2212" spans="1:7" ht="12.5" customHeight="1" x14ac:dyDescent="0.35">
      <c r="A2212" t="s">
        <v>121</v>
      </c>
      <c r="E2212">
        <v>8.9127615341330797E-3</v>
      </c>
      <c r="F2212">
        <f t="shared" si="74"/>
        <v>-2.054852850121619E-2</v>
      </c>
      <c r="G2212">
        <f t="shared" si="75"/>
        <v>-3.5182794926634849E-2</v>
      </c>
    </row>
    <row r="2213" spans="1:7" ht="12.5" customHeight="1" x14ac:dyDescent="0.35">
      <c r="A2213" t="s">
        <v>121</v>
      </c>
      <c r="E2213">
        <v>-7.7825183381261785E-3</v>
      </c>
      <c r="F2213">
        <f t="shared" si="74"/>
        <v>-2.054880813612334E-2</v>
      </c>
      <c r="G2213">
        <f t="shared" si="75"/>
        <v>-3.5182794926634849E-2</v>
      </c>
    </row>
    <row r="2214" spans="1:7" ht="12.5" customHeight="1" x14ac:dyDescent="0.35">
      <c r="A2214" t="s">
        <v>121</v>
      </c>
      <c r="E2214">
        <v>-9.0625779044098079E-3</v>
      </c>
      <c r="F2214">
        <f t="shared" si="74"/>
        <v>-2.0549087771030494E-2</v>
      </c>
      <c r="G2214">
        <f t="shared" si="75"/>
        <v>-3.5182794926634849E-2</v>
      </c>
    </row>
    <row r="2215" spans="1:7" ht="12.5" customHeight="1" x14ac:dyDescent="0.35">
      <c r="A2215" t="s">
        <v>121</v>
      </c>
      <c r="E2215">
        <v>-1.4318357439278141E-3</v>
      </c>
      <c r="F2215">
        <f t="shared" si="74"/>
        <v>-2.0549367405937644E-2</v>
      </c>
      <c r="G2215">
        <f t="shared" si="75"/>
        <v>-3.5182794926634849E-2</v>
      </c>
    </row>
    <row r="2216" spans="1:7" ht="12.5" customHeight="1" x14ac:dyDescent="0.35">
      <c r="A2216" t="s">
        <v>121</v>
      </c>
      <c r="E2216">
        <v>-2.9272112365530986E-3</v>
      </c>
      <c r="F2216">
        <f t="shared" si="74"/>
        <v>-2.0549647040844794E-2</v>
      </c>
      <c r="G2216">
        <f t="shared" si="75"/>
        <v>-3.5182794926634849E-2</v>
      </c>
    </row>
    <row r="2217" spans="1:7" ht="12.5" customHeight="1" x14ac:dyDescent="0.35">
      <c r="A2217" t="s">
        <v>121</v>
      </c>
      <c r="E2217">
        <v>-1.8863925587090914E-2</v>
      </c>
      <c r="F2217">
        <f t="shared" si="74"/>
        <v>-2.0549926675751947E-2</v>
      </c>
      <c r="G2217">
        <f t="shared" si="75"/>
        <v>-3.5182794926634849E-2</v>
      </c>
    </row>
    <row r="2218" spans="1:7" ht="12.5" customHeight="1" x14ac:dyDescent="0.35">
      <c r="A2218" t="s">
        <v>121</v>
      </c>
      <c r="E2218">
        <v>1.3986760795252736E-2</v>
      </c>
      <c r="F2218">
        <f t="shared" si="74"/>
        <v>-2.0550206310659097E-2</v>
      </c>
      <c r="G2218">
        <f t="shared" si="75"/>
        <v>-3.5182794926634849E-2</v>
      </c>
    </row>
    <row r="2219" spans="1:7" ht="12.5" customHeight="1" x14ac:dyDescent="0.35">
      <c r="A2219" t="s">
        <v>121</v>
      </c>
      <c r="E2219">
        <v>-6.8842597462288498E-3</v>
      </c>
      <c r="F2219">
        <f t="shared" si="74"/>
        <v>-2.0550485945566251E-2</v>
      </c>
      <c r="G2219">
        <f t="shared" si="75"/>
        <v>-3.5182794926634849E-2</v>
      </c>
    </row>
    <row r="2220" spans="1:7" ht="12.5" customHeight="1" x14ac:dyDescent="0.35">
      <c r="A2220" t="s">
        <v>121</v>
      </c>
      <c r="E2220">
        <v>5.9949898102410228E-3</v>
      </c>
      <c r="F2220">
        <f t="shared" si="74"/>
        <v>-2.0550765580473401E-2</v>
      </c>
      <c r="G2220">
        <f t="shared" si="75"/>
        <v>-3.5182794926634849E-2</v>
      </c>
    </row>
    <row r="2221" spans="1:7" ht="12.5" customHeight="1" x14ac:dyDescent="0.35">
      <c r="A2221" t="s">
        <v>121</v>
      </c>
      <c r="E2221">
        <v>2.7330952650823186E-2</v>
      </c>
      <c r="F2221">
        <f t="shared" si="74"/>
        <v>-2.0554875781384065E-2</v>
      </c>
      <c r="G2221">
        <f t="shared" si="75"/>
        <v>-3.5368010487978656E-2</v>
      </c>
    </row>
    <row r="2222" spans="1:7" ht="12.5" customHeight="1" x14ac:dyDescent="0.35">
      <c r="A2222" t="s">
        <v>121</v>
      </c>
      <c r="E2222">
        <v>-4.3283919136175176E-3</v>
      </c>
      <c r="F2222">
        <f t="shared" si="74"/>
        <v>-2.055898598229473E-2</v>
      </c>
      <c r="G2222">
        <f t="shared" si="75"/>
        <v>-3.5368010487978656E-2</v>
      </c>
    </row>
    <row r="2223" spans="1:7" ht="12.5" customHeight="1" x14ac:dyDescent="0.35">
      <c r="A2223" t="s">
        <v>121</v>
      </c>
      <c r="E2223">
        <v>-1.8408212687242699E-3</v>
      </c>
      <c r="F2223">
        <f t="shared" si="74"/>
        <v>-2.0563096183205395E-2</v>
      </c>
      <c r="G2223">
        <f t="shared" si="75"/>
        <v>-3.5368010487978656E-2</v>
      </c>
    </row>
    <row r="2224" spans="1:7" ht="12.5" customHeight="1" x14ac:dyDescent="0.35">
      <c r="A2224" t="s">
        <v>121</v>
      </c>
      <c r="E2224">
        <v>2.3221579949772686E-3</v>
      </c>
      <c r="F2224">
        <f t="shared" si="74"/>
        <v>-2.0567206384116059E-2</v>
      </c>
      <c r="G2224">
        <f t="shared" si="75"/>
        <v>-3.5368010487978656E-2</v>
      </c>
    </row>
    <row r="2225" spans="1:144" ht="12.5" customHeight="1" x14ac:dyDescent="0.35">
      <c r="A2225" t="s">
        <v>121</v>
      </c>
      <c r="E2225">
        <v>1.5317392926197393E-3</v>
      </c>
      <c r="F2225">
        <f t="shared" si="74"/>
        <v>-2.0571316585026724E-2</v>
      </c>
      <c r="G2225">
        <f t="shared" si="75"/>
        <v>-3.5368010487978656E-2</v>
      </c>
    </row>
    <row r="2226" spans="1:144" s="3" customFormat="1" x14ac:dyDescent="0.35">
      <c r="A2226" s="3" t="s">
        <v>122</v>
      </c>
      <c r="B2226" s="3" cm="1">
        <f t="array" ref="B2226">_xlfn.STDEV.S(_xlfn._xlws.FILTER($E$2013:$E$3011, $A$2013:$A$3011="2018-12"))</f>
        <v>1.610245331451891E-2</v>
      </c>
      <c r="C2226" s="3" cm="1">
        <f t="array" ref="C2226">AVERAGE(_xlfn._xlws.FILTER($E$2013:$E$3011, $A$2013:$A$3011="2018-12"))</f>
        <v>-2.7130777394361056E-3</v>
      </c>
      <c r="D2226" s="3" cm="1">
        <f t="array" ref="D2226">_xlfn.PERCENTILE.INC(_xlfn._xlws.FILTER($E$1498:$E$2489, $A$1498:$A$2489="2018-12"), 0.05)</f>
        <v>-2.2781176443697988E-2</v>
      </c>
      <c r="E2226" s="3">
        <v>2.2334097535855579E-2</v>
      </c>
      <c r="F2226" s="3">
        <f t="shared" si="74"/>
        <v>-2.0575426785937389E-2</v>
      </c>
      <c r="G2226" s="3">
        <f t="shared" si="75"/>
        <v>-3.5368010487978656E-2</v>
      </c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</row>
    <row r="2227" spans="1:144" ht="12.5" customHeight="1" x14ac:dyDescent="0.35">
      <c r="A2227" t="s">
        <v>122</v>
      </c>
      <c r="E2227">
        <v>-1.3800067577711924E-2</v>
      </c>
      <c r="F2227">
        <f t="shared" si="74"/>
        <v>-2.0579536986848054E-2</v>
      </c>
      <c r="G2227">
        <f t="shared" si="75"/>
        <v>-3.5368010487978656E-2</v>
      </c>
    </row>
    <row r="2228" spans="1:144" ht="12.5" customHeight="1" x14ac:dyDescent="0.35">
      <c r="A2228" t="s">
        <v>122</v>
      </c>
      <c r="E2228">
        <v>-1.2786267648253729E-3</v>
      </c>
      <c r="F2228">
        <f t="shared" si="74"/>
        <v>-2.0583647187758718E-2</v>
      </c>
      <c r="G2228">
        <f t="shared" si="75"/>
        <v>-3.5368010487978656E-2</v>
      </c>
    </row>
    <row r="2229" spans="1:144" ht="12.5" customHeight="1" x14ac:dyDescent="0.35">
      <c r="A2229" t="s">
        <v>122</v>
      </c>
      <c r="E2229">
        <v>-3.6075777730057934E-2</v>
      </c>
      <c r="F2229">
        <f t="shared" si="74"/>
        <v>-2.0587757388669383E-2</v>
      </c>
      <c r="G2229">
        <f t="shared" si="75"/>
        <v>-3.5368010487978656E-2</v>
      </c>
    </row>
    <row r="2230" spans="1:144" ht="12.5" customHeight="1" x14ac:dyDescent="0.35">
      <c r="A2230" t="s">
        <v>122</v>
      </c>
      <c r="E2230">
        <v>5.2506673251424144E-3</v>
      </c>
      <c r="F2230">
        <f t="shared" si="74"/>
        <v>-2.0547969231401886E-2</v>
      </c>
      <c r="G2230">
        <f t="shared" si="75"/>
        <v>-3.5171491346844684E-2</v>
      </c>
    </row>
    <row r="2231" spans="1:144" ht="12.5" customHeight="1" x14ac:dyDescent="0.35">
      <c r="A2231" t="s">
        <v>122</v>
      </c>
      <c r="E2231">
        <v>-1.7864870979350373E-2</v>
      </c>
      <c r="F2231">
        <f t="shared" si="74"/>
        <v>-2.0548248866309037E-2</v>
      </c>
      <c r="G2231">
        <f t="shared" si="75"/>
        <v>-3.5171491346844684E-2</v>
      </c>
    </row>
    <row r="2232" spans="1:144" ht="12.5" customHeight="1" x14ac:dyDescent="0.35">
      <c r="A2232" t="s">
        <v>122</v>
      </c>
      <c r="E2232">
        <v>9.777073942875459E-3</v>
      </c>
      <c r="F2232">
        <f t="shared" si="74"/>
        <v>-2.054852850121619E-2</v>
      </c>
      <c r="G2232">
        <f t="shared" si="75"/>
        <v>-3.5171491346844684E-2</v>
      </c>
    </row>
    <row r="2233" spans="1:144" ht="12.5" customHeight="1" x14ac:dyDescent="0.35">
      <c r="A2233" t="s">
        <v>122</v>
      </c>
      <c r="E2233">
        <v>1.8904140537052392E-2</v>
      </c>
      <c r="F2233">
        <f t="shared" si="74"/>
        <v>-2.054880813612334E-2</v>
      </c>
      <c r="G2233">
        <f t="shared" si="75"/>
        <v>-3.5171491346844684E-2</v>
      </c>
    </row>
    <row r="2234" spans="1:144" ht="12.5" customHeight="1" x14ac:dyDescent="0.35">
      <c r="A2234" t="s">
        <v>122</v>
      </c>
      <c r="E2234">
        <v>5.4234112840863824E-3</v>
      </c>
      <c r="F2234">
        <f t="shared" si="74"/>
        <v>-2.0549087771030494E-2</v>
      </c>
      <c r="G2234">
        <f t="shared" si="75"/>
        <v>-3.5171491346844684E-2</v>
      </c>
    </row>
    <row r="2235" spans="1:144" ht="12.5" customHeight="1" x14ac:dyDescent="0.35">
      <c r="A2235" t="s">
        <v>122</v>
      </c>
      <c r="E2235">
        <v>-7.2730237283639915E-3</v>
      </c>
      <c r="F2235">
        <f t="shared" si="74"/>
        <v>-2.0549367405937644E-2</v>
      </c>
      <c r="G2235">
        <f t="shared" si="75"/>
        <v>-3.5171491346844684E-2</v>
      </c>
    </row>
    <row r="2236" spans="1:144" ht="12.5" customHeight="1" x14ac:dyDescent="0.35">
      <c r="A2236" t="s">
        <v>122</v>
      </c>
      <c r="E2236">
        <v>-1.155946351247541E-2</v>
      </c>
      <c r="F2236">
        <f t="shared" si="74"/>
        <v>-2.0549647040844794E-2</v>
      </c>
      <c r="G2236">
        <f t="shared" si="75"/>
        <v>-3.5171491346844684E-2</v>
      </c>
    </row>
    <row r="2237" spans="1:144" ht="12.5" customHeight="1" x14ac:dyDescent="0.35">
      <c r="A2237" t="s">
        <v>122</v>
      </c>
      <c r="E2237">
        <v>-2.6032265767853349E-3</v>
      </c>
      <c r="F2237">
        <f t="shared" si="74"/>
        <v>-2.0549926675751947E-2</v>
      </c>
      <c r="G2237">
        <f t="shared" si="75"/>
        <v>-3.5171491346844684E-2</v>
      </c>
    </row>
    <row r="2238" spans="1:144" ht="12.5" customHeight="1" x14ac:dyDescent="0.35">
      <c r="A2238" t="s">
        <v>122</v>
      </c>
      <c r="E2238">
        <v>1.5806430970272605E-2</v>
      </c>
      <c r="F2238">
        <f t="shared" si="74"/>
        <v>-2.0550206310659097E-2</v>
      </c>
      <c r="G2238">
        <f t="shared" si="75"/>
        <v>-3.5171491346844684E-2</v>
      </c>
    </row>
    <row r="2239" spans="1:144" ht="12.5" customHeight="1" x14ac:dyDescent="0.35">
      <c r="A2239" t="s">
        <v>122</v>
      </c>
      <c r="E2239">
        <v>-1.9457526122108E-2</v>
      </c>
      <c r="F2239">
        <f t="shared" si="74"/>
        <v>-2.0550485945566251E-2</v>
      </c>
      <c r="G2239">
        <f t="shared" si="75"/>
        <v>-3.5171491346844684E-2</v>
      </c>
    </row>
    <row r="2240" spans="1:144" ht="12.5" customHeight="1" x14ac:dyDescent="0.35">
      <c r="A2240" t="s">
        <v>122</v>
      </c>
      <c r="E2240">
        <v>-9.7209378331469479E-3</v>
      </c>
      <c r="F2240">
        <f t="shared" si="74"/>
        <v>-2.0550765580473401E-2</v>
      </c>
      <c r="G2240">
        <f t="shared" si="75"/>
        <v>-3.5171491346844684E-2</v>
      </c>
    </row>
    <row r="2241" spans="1:144" ht="12.5" customHeight="1" x14ac:dyDescent="0.35">
      <c r="A2241" t="s">
        <v>122</v>
      </c>
      <c r="E2241">
        <v>-1.8242606333629927E-2</v>
      </c>
      <c r="F2241">
        <f t="shared" si="74"/>
        <v>-2.0554875781384065E-2</v>
      </c>
      <c r="G2241">
        <f t="shared" si="75"/>
        <v>-3.5358936548977649E-2</v>
      </c>
    </row>
    <row r="2242" spans="1:144" ht="12.5" customHeight="1" x14ac:dyDescent="0.35">
      <c r="A2242" t="s">
        <v>122</v>
      </c>
      <c r="E2242">
        <v>1.4257983992756589E-2</v>
      </c>
      <c r="F2242">
        <f t="shared" si="74"/>
        <v>-2.055898598229473E-2</v>
      </c>
      <c r="G2242">
        <f t="shared" si="75"/>
        <v>-3.5358936548977649E-2</v>
      </c>
    </row>
    <row r="2243" spans="1:144" s="3" customFormat="1" x14ac:dyDescent="0.35">
      <c r="A2243" s="3" t="s">
        <v>123</v>
      </c>
      <c r="B2243" s="3" cm="1">
        <f t="array" ref="B2243">_xlfn.STDEV.S(_xlfn._xlws.FILTER($E$2013:$E$3011, $A$2013:$A$3011="2019-01"))</f>
        <v>9.7660825418702021E-3</v>
      </c>
      <c r="C2243" s="3" cm="1">
        <f t="array" ref="C2243">AVERAGE(_xlfn._xlws.FILTER($E$2013:$E$3011, $A$2013:$A$3011="2019-01"))</f>
        <v>3.3621154426286925E-3</v>
      </c>
      <c r="D2243" s="3" cm="1">
        <f t="array" ref="D2243">_xlfn.PERCENTILE.EXC(_xlfn._xlws.FILTER($E$1498:$E$2489, $A$1498:$A$2489="2019-01"), 0.05)</f>
        <v>-1.0301017505314878E-2</v>
      </c>
      <c r="E2243" s="3">
        <v>3.7975699282915751E-4</v>
      </c>
      <c r="F2243" s="3">
        <f t="shared" si="74"/>
        <v>-2.0563096183205395E-2</v>
      </c>
      <c r="G2243" s="3">
        <f t="shared" si="75"/>
        <v>-3.5358936548977649E-2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</row>
    <row r="2244" spans="1:144" ht="12.5" customHeight="1" x14ac:dyDescent="0.35">
      <c r="A2244" t="s">
        <v>123</v>
      </c>
      <c r="E2244">
        <v>-6.1609978245720596E-3</v>
      </c>
      <c r="F2244">
        <f t="shared" ref="F2244:F2307" si="76">_xlfn.PERCENTILE.EXC(E2244:E6059,0.05)</f>
        <v>-2.0567206384116059E-2</v>
      </c>
      <c r="G2244">
        <f t="shared" ref="G2244:G2307" si="77">AVERAGEIFS(E2244:E6060,E2244:E6060,"&lt;=" &amp; F2244)</f>
        <v>-3.5358936548977649E-2</v>
      </c>
    </row>
    <row r="2245" spans="1:144" ht="12.5" customHeight="1" x14ac:dyDescent="0.35">
      <c r="A2245" t="s">
        <v>123</v>
      </c>
      <c r="E2245">
        <v>3.3114326835268645E-2</v>
      </c>
      <c r="F2245">
        <f t="shared" si="76"/>
        <v>-2.0571316585026724E-2</v>
      </c>
      <c r="G2245">
        <f t="shared" si="77"/>
        <v>-3.5358936548977649E-2</v>
      </c>
    </row>
    <row r="2246" spans="1:144" ht="12.5" customHeight="1" x14ac:dyDescent="0.35">
      <c r="A2246" t="s">
        <v>123</v>
      </c>
      <c r="E2246">
        <v>6.4300767847351465E-3</v>
      </c>
      <c r="F2246">
        <f t="shared" si="76"/>
        <v>-2.0575426785937389E-2</v>
      </c>
      <c r="G2246">
        <f t="shared" si="77"/>
        <v>-3.5358936548977649E-2</v>
      </c>
    </row>
    <row r="2247" spans="1:144" ht="12.5" customHeight="1" x14ac:dyDescent="0.35">
      <c r="A2247" t="s">
        <v>123</v>
      </c>
      <c r="E2247">
        <v>2.4698715518113009E-3</v>
      </c>
      <c r="F2247">
        <f t="shared" si="76"/>
        <v>-2.0579536986848054E-2</v>
      </c>
      <c r="G2247">
        <f t="shared" si="77"/>
        <v>-3.5358936548977649E-2</v>
      </c>
    </row>
    <row r="2248" spans="1:144" ht="12.5" customHeight="1" x14ac:dyDescent="0.35">
      <c r="A2248" t="s">
        <v>123</v>
      </c>
      <c r="E2248">
        <v>9.3779253154516202E-3</v>
      </c>
      <c r="F2248">
        <f t="shared" si="76"/>
        <v>-2.0583647187758718E-2</v>
      </c>
      <c r="G2248">
        <f t="shared" si="77"/>
        <v>-3.5358936548977649E-2</v>
      </c>
    </row>
    <row r="2249" spans="1:144" ht="12.5" customHeight="1" x14ac:dyDescent="0.35">
      <c r="A2249" t="s">
        <v>123</v>
      </c>
      <c r="E2249">
        <v>6.3191642689193629E-3</v>
      </c>
      <c r="F2249">
        <f t="shared" si="76"/>
        <v>-2.0587757388669383E-2</v>
      </c>
      <c r="G2249">
        <f t="shared" si="77"/>
        <v>-3.5358936548977649E-2</v>
      </c>
    </row>
    <row r="2250" spans="1:144" ht="12.5" customHeight="1" x14ac:dyDescent="0.35">
      <c r="A2250" t="s">
        <v>123</v>
      </c>
      <c r="E2250">
        <v>-5.5194460810367306E-4</v>
      </c>
      <c r="F2250">
        <f t="shared" si="76"/>
        <v>-2.0591867589580051E-2</v>
      </c>
      <c r="G2250">
        <f t="shared" si="77"/>
        <v>-3.5358936548977649E-2</v>
      </c>
    </row>
    <row r="2251" spans="1:144" ht="12.5" customHeight="1" x14ac:dyDescent="0.35">
      <c r="A2251" t="s">
        <v>123</v>
      </c>
      <c r="E2251">
        <v>-6.1677344946053899E-3</v>
      </c>
      <c r="F2251">
        <f t="shared" si="76"/>
        <v>-2.0595977790490713E-2</v>
      </c>
      <c r="G2251">
        <f t="shared" si="77"/>
        <v>-3.5358936548977649E-2</v>
      </c>
    </row>
    <row r="2252" spans="1:144" ht="12.5" customHeight="1" x14ac:dyDescent="0.35">
      <c r="A2252" t="s">
        <v>123</v>
      </c>
      <c r="E2252">
        <v>-3.1301386698318545E-4</v>
      </c>
      <c r="F2252">
        <f t="shared" si="76"/>
        <v>-2.0600087991401377E-2</v>
      </c>
      <c r="G2252">
        <f t="shared" si="77"/>
        <v>-3.5358936548977649E-2</v>
      </c>
    </row>
    <row r="2253" spans="1:144" ht="12.5" customHeight="1" x14ac:dyDescent="0.35">
      <c r="A2253" t="s">
        <v>123</v>
      </c>
      <c r="E2253">
        <v>1.6163071100405411E-2</v>
      </c>
      <c r="F2253">
        <f t="shared" si="76"/>
        <v>-2.0604198192312042E-2</v>
      </c>
      <c r="G2253">
        <f t="shared" si="77"/>
        <v>-3.5358936548977649E-2</v>
      </c>
    </row>
    <row r="2254" spans="1:144" ht="12.5" customHeight="1" x14ac:dyDescent="0.35">
      <c r="A2254" t="s">
        <v>123</v>
      </c>
      <c r="E2254">
        <v>-3.794788758224895E-4</v>
      </c>
      <c r="F2254">
        <f t="shared" si="76"/>
        <v>-2.0608308393222707E-2</v>
      </c>
      <c r="G2254">
        <f t="shared" si="77"/>
        <v>-3.5358936548977649E-2</v>
      </c>
    </row>
    <row r="2255" spans="1:144" ht="12.5" customHeight="1" x14ac:dyDescent="0.35">
      <c r="A2255" t="s">
        <v>123</v>
      </c>
      <c r="E2255">
        <v>1.2133352726429028E-2</v>
      </c>
      <c r="F2255">
        <f t="shared" si="76"/>
        <v>-2.0612418594133375E-2</v>
      </c>
      <c r="G2255">
        <f t="shared" si="77"/>
        <v>-3.5358936548977649E-2</v>
      </c>
    </row>
    <row r="2256" spans="1:144" ht="12.5" customHeight="1" x14ac:dyDescent="0.35">
      <c r="A2256" t="s">
        <v>123</v>
      </c>
      <c r="E2256">
        <v>-3.5286350332076333E-3</v>
      </c>
      <c r="F2256">
        <f t="shared" si="76"/>
        <v>-2.061652879504404E-2</v>
      </c>
      <c r="G2256">
        <f t="shared" si="77"/>
        <v>-3.5358936548977649E-2</v>
      </c>
    </row>
    <row r="2257" spans="1:144" ht="12.5" customHeight="1" x14ac:dyDescent="0.35">
      <c r="A2257" t="s">
        <v>123</v>
      </c>
      <c r="E2257">
        <v>-1.030669702081234E-2</v>
      </c>
      <c r="F2257">
        <f t="shared" si="76"/>
        <v>-2.0620638995954704E-2</v>
      </c>
      <c r="G2257">
        <f t="shared" si="77"/>
        <v>-3.5358936548977649E-2</v>
      </c>
    </row>
    <row r="2258" spans="1:144" ht="12.5" customHeight="1" x14ac:dyDescent="0.35">
      <c r="A2258" t="s">
        <v>123</v>
      </c>
      <c r="E2258">
        <v>-1.9115590738631616E-3</v>
      </c>
      <c r="F2258">
        <f t="shared" si="76"/>
        <v>-2.0624749196865369E-2</v>
      </c>
      <c r="G2258">
        <f t="shared" si="77"/>
        <v>-3.5358936548977649E-2</v>
      </c>
    </row>
    <row r="2259" spans="1:144" ht="12.5" customHeight="1" x14ac:dyDescent="0.35">
      <c r="A2259" t="s">
        <v>123</v>
      </c>
      <c r="E2259">
        <v>8.4348792379289293E-3</v>
      </c>
      <c r="F2259">
        <f t="shared" si="76"/>
        <v>-2.0628859397776034E-2</v>
      </c>
      <c r="G2259">
        <f t="shared" si="77"/>
        <v>-3.5358936548977649E-2</v>
      </c>
    </row>
    <row r="2260" spans="1:144" ht="12.5" customHeight="1" x14ac:dyDescent="0.35">
      <c r="A2260" t="s">
        <v>123</v>
      </c>
      <c r="E2260">
        <v>1.2497432498873707E-2</v>
      </c>
      <c r="F2260">
        <f t="shared" si="76"/>
        <v>-2.0632969598686698E-2</v>
      </c>
      <c r="G2260">
        <f t="shared" si="77"/>
        <v>-3.5358936548977649E-2</v>
      </c>
    </row>
    <row r="2261" spans="1:144" ht="12.5" customHeight="1" x14ac:dyDescent="0.35">
      <c r="A2261" t="s">
        <v>123</v>
      </c>
      <c r="E2261">
        <v>-1.0268833584162588E-2</v>
      </c>
      <c r="F2261">
        <f t="shared" si="76"/>
        <v>-2.0639697774418524E-2</v>
      </c>
      <c r="G2261">
        <f t="shared" si="77"/>
        <v>-3.5550182873007402E-2</v>
      </c>
    </row>
    <row r="2262" spans="1:144" ht="12.5" customHeight="1" x14ac:dyDescent="0.35">
      <c r="A2262" t="s">
        <v>123</v>
      </c>
      <c r="E2262">
        <v>4.7555745692350422E-3</v>
      </c>
      <c r="F2262">
        <f t="shared" si="76"/>
        <v>-2.0646425950150347E-2</v>
      </c>
      <c r="G2262">
        <f t="shared" si="77"/>
        <v>-3.5550182873007402E-2</v>
      </c>
    </row>
    <row r="2263" spans="1:144" ht="12.5" customHeight="1" x14ac:dyDescent="0.35">
      <c r="A2263" t="s">
        <v>123</v>
      </c>
      <c r="E2263">
        <v>3.5441850078643494E-3</v>
      </c>
      <c r="F2263">
        <f t="shared" si="76"/>
        <v>-2.0653154125882173E-2</v>
      </c>
      <c r="G2263">
        <f t="shared" si="77"/>
        <v>-3.5550182873007402E-2</v>
      </c>
    </row>
    <row r="2264" spans="1:144" ht="12.5" customHeight="1" x14ac:dyDescent="0.35">
      <c r="A2264" t="s">
        <v>123</v>
      </c>
      <c r="E2264">
        <v>-2.0641827697879581E-3</v>
      </c>
      <c r="F2264">
        <f t="shared" si="76"/>
        <v>-2.0659882301613995E-2</v>
      </c>
      <c r="G2264">
        <f t="shared" si="77"/>
        <v>-3.5550182873007402E-2</v>
      </c>
    </row>
    <row r="2265" spans="1:144" s="3" customFormat="1" x14ac:dyDescent="0.35">
      <c r="A2265" s="3" t="s">
        <v>124</v>
      </c>
      <c r="B2265" s="3" cm="1">
        <f t="array" ref="B2265">_xlfn.STDEV.S(_xlfn._xlws.FILTER($E$2013:$E$3011, $A$2013:$A$3011="2019-02"))</f>
        <v>1.0002962044686084E-2</v>
      </c>
      <c r="C2265" s="3" cm="1">
        <f t="array" ref="C2265">AVERAGE(_xlfn._xlws.FILTER($E$2013:$E$3011, $A$2013:$A$3011="2019-02"))</f>
        <v>2.2996736464049915E-3</v>
      </c>
      <c r="D2265" s="3" cm="1">
        <f t="array" ref="D2265">_xlfn.PERCENTILE.EXC(_xlfn._xlws.FILTER($E$1498:$E$2489, $A$1498:$A$2489="2019-02"), 0.05)</f>
        <v>-2.5332830177147301E-2</v>
      </c>
      <c r="E2265" s="3">
        <v>-7.8361937130732064E-3</v>
      </c>
      <c r="F2265" s="3">
        <f t="shared" si="76"/>
        <v>-2.0666610477345821E-2</v>
      </c>
      <c r="G2265" s="3">
        <f t="shared" si="77"/>
        <v>-3.5550182873007402E-2</v>
      </c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</row>
    <row r="2266" spans="1:144" ht="12.5" customHeight="1" x14ac:dyDescent="0.35">
      <c r="A2266" t="s">
        <v>124</v>
      </c>
      <c r="E2266">
        <v>1.4715804686001178E-3</v>
      </c>
      <c r="F2266">
        <f t="shared" si="76"/>
        <v>-2.0673338653077647E-2</v>
      </c>
      <c r="G2266">
        <f t="shared" si="77"/>
        <v>-3.5550182873007402E-2</v>
      </c>
    </row>
    <row r="2267" spans="1:144" ht="12.5" customHeight="1" x14ac:dyDescent="0.35">
      <c r="A2267" t="s">
        <v>124</v>
      </c>
      <c r="E2267">
        <v>1.1556683298308112E-2</v>
      </c>
      <c r="F2267">
        <f t="shared" si="76"/>
        <v>-2.0680066828809469E-2</v>
      </c>
      <c r="G2267">
        <f t="shared" si="77"/>
        <v>-3.5550182873007402E-2</v>
      </c>
    </row>
    <row r="2268" spans="1:144" ht="12.5" customHeight="1" x14ac:dyDescent="0.35">
      <c r="A2268" t="s">
        <v>124</v>
      </c>
      <c r="E2268">
        <v>8.1838349640929141E-3</v>
      </c>
      <c r="F2268">
        <f t="shared" si="76"/>
        <v>-2.0686795004541295E-2</v>
      </c>
      <c r="G2268">
        <f t="shared" si="77"/>
        <v>-3.5550182873007402E-2</v>
      </c>
    </row>
    <row r="2269" spans="1:144" ht="12.5" customHeight="1" x14ac:dyDescent="0.35">
      <c r="A2269" t="s">
        <v>124</v>
      </c>
      <c r="E2269">
        <v>-2.6253705780519623E-2</v>
      </c>
      <c r="F2269">
        <f t="shared" si="76"/>
        <v>-2.0693523180273118E-2</v>
      </c>
      <c r="G2269">
        <f t="shared" si="77"/>
        <v>-3.5550182873007402E-2</v>
      </c>
    </row>
    <row r="2270" spans="1:144" ht="12.5" customHeight="1" x14ac:dyDescent="0.35">
      <c r="A2270" t="s">
        <v>124</v>
      </c>
      <c r="E2270">
        <v>-6.5114463256940132E-3</v>
      </c>
      <c r="F2270">
        <f t="shared" si="76"/>
        <v>-2.0591867589580051E-2</v>
      </c>
      <c r="G2270">
        <f t="shared" si="77"/>
        <v>-3.5477186299217367E-2</v>
      </c>
    </row>
    <row r="2271" spans="1:144" ht="12.5" customHeight="1" x14ac:dyDescent="0.35">
      <c r="A2271" t="s">
        <v>124</v>
      </c>
      <c r="E2271">
        <v>1.2053010871366655E-2</v>
      </c>
      <c r="F2271">
        <f t="shared" si="76"/>
        <v>-2.0595977790490713E-2</v>
      </c>
      <c r="G2271">
        <f t="shared" si="77"/>
        <v>-3.5477186299217367E-2</v>
      </c>
    </row>
    <row r="2272" spans="1:144" ht="12.5" customHeight="1" x14ac:dyDescent="0.35">
      <c r="A2272" t="s">
        <v>124</v>
      </c>
      <c r="E2272">
        <v>1.1104952076734292E-2</v>
      </c>
      <c r="F2272">
        <f t="shared" si="76"/>
        <v>-2.0600087991401377E-2</v>
      </c>
      <c r="G2272">
        <f t="shared" si="77"/>
        <v>-3.5477186299217367E-2</v>
      </c>
    </row>
    <row r="2273" spans="1:144" ht="12.5" customHeight="1" x14ac:dyDescent="0.35">
      <c r="A2273" t="s">
        <v>124</v>
      </c>
      <c r="E2273">
        <v>9.2785771806252852E-3</v>
      </c>
      <c r="F2273">
        <f t="shared" si="76"/>
        <v>-2.0604198192312042E-2</v>
      </c>
      <c r="G2273">
        <f t="shared" si="77"/>
        <v>-3.5477186299217367E-2</v>
      </c>
    </row>
    <row r="2274" spans="1:144" ht="12.5" customHeight="1" x14ac:dyDescent="0.35">
      <c r="A2274" t="s">
        <v>124</v>
      </c>
      <c r="E2274">
        <v>-7.781108671543014E-3</v>
      </c>
      <c r="F2274">
        <f t="shared" si="76"/>
        <v>-2.0608308393222707E-2</v>
      </c>
      <c r="G2274">
        <f t="shared" si="77"/>
        <v>-3.5477186299217367E-2</v>
      </c>
    </row>
    <row r="2275" spans="1:144" ht="12.5" customHeight="1" x14ac:dyDescent="0.35">
      <c r="A2275" t="s">
        <v>124</v>
      </c>
      <c r="E2275">
        <v>1.8847271651261481E-2</v>
      </c>
      <c r="F2275">
        <f t="shared" si="76"/>
        <v>-2.0612418594133375E-2</v>
      </c>
      <c r="G2275">
        <f t="shared" si="77"/>
        <v>-3.5477186299217367E-2</v>
      </c>
    </row>
    <row r="2276" spans="1:144" ht="12.5" customHeight="1" x14ac:dyDescent="0.35">
      <c r="A2276" t="s">
        <v>124</v>
      </c>
      <c r="E2276">
        <v>5.7959566004674948E-3</v>
      </c>
      <c r="F2276">
        <f t="shared" si="76"/>
        <v>-2.061652879504404E-2</v>
      </c>
      <c r="G2276">
        <f t="shared" si="77"/>
        <v>-3.5477186299217367E-2</v>
      </c>
    </row>
    <row r="2277" spans="1:144" ht="12.5" customHeight="1" x14ac:dyDescent="0.35">
      <c r="A2277" t="s">
        <v>124</v>
      </c>
      <c r="E2277">
        <v>-5.0120894844043707E-3</v>
      </c>
      <c r="F2277">
        <f t="shared" si="76"/>
        <v>-2.0620638995954704E-2</v>
      </c>
      <c r="G2277">
        <f t="shared" si="77"/>
        <v>-3.5477186299217367E-2</v>
      </c>
    </row>
    <row r="2278" spans="1:144" ht="12.5" customHeight="1" x14ac:dyDescent="0.35">
      <c r="A2278" t="s">
        <v>124</v>
      </c>
      <c r="E2278">
        <v>3.7510776138162294E-3</v>
      </c>
      <c r="F2278">
        <f t="shared" si="76"/>
        <v>-2.0624749196865369E-2</v>
      </c>
      <c r="G2278">
        <f t="shared" si="77"/>
        <v>-3.5477186299217367E-2</v>
      </c>
    </row>
    <row r="2279" spans="1:144" ht="12.5" customHeight="1" x14ac:dyDescent="0.35">
      <c r="A2279" t="s">
        <v>124</v>
      </c>
      <c r="E2279">
        <v>-4.6645769160504127E-3</v>
      </c>
      <c r="F2279">
        <f t="shared" si="76"/>
        <v>-2.0628859397776034E-2</v>
      </c>
      <c r="G2279">
        <f t="shared" si="77"/>
        <v>-3.5477186299217367E-2</v>
      </c>
    </row>
    <row r="2280" spans="1:144" ht="12.5" customHeight="1" x14ac:dyDescent="0.35">
      <c r="A2280" t="s">
        <v>124</v>
      </c>
      <c r="E2280">
        <v>2.6087037920964032E-3</v>
      </c>
      <c r="F2280">
        <f t="shared" si="76"/>
        <v>-2.0632969598686698E-2</v>
      </c>
      <c r="G2280">
        <f t="shared" si="77"/>
        <v>-3.5477186299217367E-2</v>
      </c>
    </row>
    <row r="2281" spans="1:144" ht="12.5" customHeight="1" x14ac:dyDescent="0.35">
      <c r="A2281" t="s">
        <v>124</v>
      </c>
      <c r="E2281">
        <v>8.5726457058661401E-3</v>
      </c>
      <c r="F2281">
        <f t="shared" si="76"/>
        <v>-2.0639697774418524E-2</v>
      </c>
      <c r="G2281">
        <f t="shared" si="77"/>
        <v>-3.5672504940013817E-2</v>
      </c>
    </row>
    <row r="2282" spans="1:144" ht="12.5" customHeight="1" x14ac:dyDescent="0.35">
      <c r="A2282" t="s">
        <v>124</v>
      </c>
      <c r="E2282">
        <v>1.1066949319548773E-3</v>
      </c>
      <c r="F2282">
        <f t="shared" si="76"/>
        <v>-2.0646425950150347E-2</v>
      </c>
      <c r="G2282">
        <f t="shared" si="77"/>
        <v>-3.5672504940013817E-2</v>
      </c>
    </row>
    <row r="2283" spans="1:144" ht="12.5" customHeight="1" x14ac:dyDescent="0.35">
      <c r="A2283" t="s">
        <v>124</v>
      </c>
      <c r="E2283">
        <v>1.9141387901001413E-3</v>
      </c>
      <c r="F2283">
        <f t="shared" si="76"/>
        <v>-2.0653154125882173E-2</v>
      </c>
      <c r="G2283">
        <f t="shared" si="77"/>
        <v>-3.5672504940013817E-2</v>
      </c>
    </row>
    <row r="2284" spans="1:144" ht="12.5" customHeight="1" x14ac:dyDescent="0.35">
      <c r="A2284" t="s">
        <v>124</v>
      </c>
      <c r="E2284">
        <v>7.8074658740943277E-3</v>
      </c>
      <c r="F2284">
        <f t="shared" si="76"/>
        <v>-2.0659882301613995E-2</v>
      </c>
      <c r="G2284">
        <f t="shared" si="77"/>
        <v>-3.5672504940013817E-2</v>
      </c>
    </row>
    <row r="2285" spans="1:144" s="3" customFormat="1" x14ac:dyDescent="0.35">
      <c r="A2285" s="3" t="s">
        <v>125</v>
      </c>
      <c r="B2285" s="3" cm="1">
        <f t="array" ref="B2285">_xlfn.STDEV.S(_xlfn._xlws.FILTER($E$2013:$E$3011, $A$2013:$A$3011="2019-03"))</f>
        <v>6.6483285893752103E-3</v>
      </c>
      <c r="C2285" s="3" cm="1">
        <f t="array" ref="C2285">AVERAGE(_xlfn._xlws.FILTER($E$2013:$E$3011, $A$2013:$A$3011="2019-03"))</f>
        <v>1.4229695721224421E-3</v>
      </c>
      <c r="D2285" s="3" cm="1">
        <f t="array" ref="D2285">_xlfn.PERCENTILE.EXC(_xlfn._xlws.FILTER($E$1498:$E$2489, $A$1498:$A$2489="2019-03"), 0.05)</f>
        <v>-1.3514085476556652E-2</v>
      </c>
      <c r="E2285" s="3">
        <v>1.6960882568864352E-3</v>
      </c>
      <c r="F2285" s="3">
        <f t="shared" si="76"/>
        <v>-2.0666610477345821E-2</v>
      </c>
      <c r="G2285" s="3">
        <f t="shared" si="77"/>
        <v>-3.5672504940013817E-2</v>
      </c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</row>
    <row r="2286" spans="1:144" ht="12.5" customHeight="1" x14ac:dyDescent="0.35">
      <c r="A2286" t="s">
        <v>125</v>
      </c>
      <c r="E2286">
        <v>1.1479535501599928E-3</v>
      </c>
      <c r="F2286">
        <f t="shared" si="76"/>
        <v>-2.0673338653077647E-2</v>
      </c>
      <c r="G2286">
        <f t="shared" si="77"/>
        <v>-3.5672504940013817E-2</v>
      </c>
    </row>
    <row r="2287" spans="1:144" ht="12.5" customHeight="1" x14ac:dyDescent="0.35">
      <c r="A2287" t="s">
        <v>125</v>
      </c>
      <c r="E2287">
        <v>-1.124672886696888E-4</v>
      </c>
      <c r="F2287">
        <f t="shared" si="76"/>
        <v>-2.0680066828809469E-2</v>
      </c>
      <c r="G2287">
        <f t="shared" si="77"/>
        <v>-3.5672504940013817E-2</v>
      </c>
    </row>
    <row r="2288" spans="1:144" ht="12.5" customHeight="1" x14ac:dyDescent="0.35">
      <c r="A2288" t="s">
        <v>125</v>
      </c>
      <c r="E2288">
        <v>6.523865185226305E-3</v>
      </c>
      <c r="F2288">
        <f t="shared" si="76"/>
        <v>-2.0686795004541295E-2</v>
      </c>
      <c r="G2288">
        <f t="shared" si="77"/>
        <v>-3.5672504940013817E-2</v>
      </c>
    </row>
    <row r="2289" spans="1:7" ht="12.5" customHeight="1" x14ac:dyDescent="0.35">
      <c r="A2289" t="s">
        <v>125</v>
      </c>
      <c r="E2289">
        <v>-7.4129466623524803E-3</v>
      </c>
      <c r="F2289">
        <f t="shared" si="76"/>
        <v>-2.0693523180273121E-2</v>
      </c>
      <c r="G2289">
        <f t="shared" si="77"/>
        <v>-3.5672504940013817E-2</v>
      </c>
    </row>
    <row r="2290" spans="1:7" ht="12.5" customHeight="1" x14ac:dyDescent="0.35">
      <c r="A2290" t="s">
        <v>125</v>
      </c>
      <c r="E2290">
        <v>-1.0352686258249449E-2</v>
      </c>
      <c r="F2290">
        <f t="shared" si="76"/>
        <v>-2.0700251356004944E-2</v>
      </c>
      <c r="G2290">
        <f t="shared" si="77"/>
        <v>-3.5672504940013817E-2</v>
      </c>
    </row>
    <row r="2291" spans="1:7" ht="12.5" customHeight="1" x14ac:dyDescent="0.35">
      <c r="A2291" t="s">
        <v>125</v>
      </c>
      <c r="E2291">
        <v>7.4815639151690838E-3</v>
      </c>
      <c r="F2291">
        <f t="shared" si="76"/>
        <v>-2.070697953173677E-2</v>
      </c>
      <c r="G2291">
        <f t="shared" si="77"/>
        <v>-3.5672504940013817E-2</v>
      </c>
    </row>
    <row r="2292" spans="1:7" ht="12.5" customHeight="1" x14ac:dyDescent="0.35">
      <c r="A2292" t="s">
        <v>125</v>
      </c>
      <c r="E2292">
        <v>-3.4068817887139688E-4</v>
      </c>
      <c r="F2292">
        <f t="shared" si="76"/>
        <v>-2.0713707707468595E-2</v>
      </c>
      <c r="G2292">
        <f t="shared" si="77"/>
        <v>-3.5672504940013817E-2</v>
      </c>
    </row>
    <row r="2293" spans="1:7" ht="12.5" customHeight="1" x14ac:dyDescent="0.35">
      <c r="A2293" t="s">
        <v>125</v>
      </c>
      <c r="E2293">
        <v>5.7036833111031512E-3</v>
      </c>
      <c r="F2293">
        <f t="shared" si="76"/>
        <v>-2.0720435883200418E-2</v>
      </c>
      <c r="G2293">
        <f t="shared" si="77"/>
        <v>-3.5672504940013817E-2</v>
      </c>
    </row>
    <row r="2294" spans="1:7" ht="12.5" customHeight="1" x14ac:dyDescent="0.35">
      <c r="A2294" t="s">
        <v>125</v>
      </c>
      <c r="E2294">
        <v>6.1609794311503104E-3</v>
      </c>
      <c r="F2294">
        <f t="shared" si="76"/>
        <v>-2.0727164058932244E-2</v>
      </c>
      <c r="G2294">
        <f t="shared" si="77"/>
        <v>-3.5672504940013817E-2</v>
      </c>
    </row>
    <row r="2295" spans="1:7" ht="12.5" customHeight="1" x14ac:dyDescent="0.35">
      <c r="A2295" t="s">
        <v>125</v>
      </c>
      <c r="E2295">
        <v>8.0138129472513871E-3</v>
      </c>
      <c r="F2295">
        <f t="shared" si="76"/>
        <v>-2.073389223466407E-2</v>
      </c>
      <c r="G2295">
        <f t="shared" si="77"/>
        <v>-3.5672504940013817E-2</v>
      </c>
    </row>
    <row r="2296" spans="1:7" ht="12.5" customHeight="1" x14ac:dyDescent="0.35">
      <c r="A2296" t="s">
        <v>125</v>
      </c>
      <c r="E2296">
        <v>8.94991359622559E-3</v>
      </c>
      <c r="F2296">
        <f t="shared" si="76"/>
        <v>-2.0740620410395892E-2</v>
      </c>
      <c r="G2296">
        <f t="shared" si="77"/>
        <v>-3.5672504940013817E-2</v>
      </c>
    </row>
    <row r="2297" spans="1:7" ht="12.5" customHeight="1" x14ac:dyDescent="0.35">
      <c r="A2297" t="s">
        <v>125</v>
      </c>
      <c r="E2297">
        <v>9.1757439053986832E-3</v>
      </c>
      <c r="F2297">
        <f t="shared" si="76"/>
        <v>-2.0747348586127718E-2</v>
      </c>
      <c r="G2297">
        <f t="shared" si="77"/>
        <v>-3.5672504940013817E-2</v>
      </c>
    </row>
    <row r="2298" spans="1:7" ht="12.5" customHeight="1" x14ac:dyDescent="0.35">
      <c r="A2298" t="s">
        <v>125</v>
      </c>
      <c r="E2298">
        <v>-4.6837638735120462E-3</v>
      </c>
      <c r="F2298">
        <f t="shared" si="76"/>
        <v>-2.0754076761859541E-2</v>
      </c>
      <c r="G2298">
        <f t="shared" si="77"/>
        <v>-3.5672504940013817E-2</v>
      </c>
    </row>
    <row r="2299" spans="1:7" ht="12.5" customHeight="1" x14ac:dyDescent="0.35">
      <c r="A2299" t="s">
        <v>125</v>
      </c>
      <c r="E2299">
        <v>2.0068727468257434E-3</v>
      </c>
      <c r="F2299">
        <f t="shared" si="76"/>
        <v>-2.0760804937591366E-2</v>
      </c>
      <c r="G2299">
        <f t="shared" si="77"/>
        <v>-3.5672504940013817E-2</v>
      </c>
    </row>
    <row r="2300" spans="1:7" ht="12.5" customHeight="1" x14ac:dyDescent="0.35">
      <c r="A2300" t="s">
        <v>125</v>
      </c>
      <c r="E2300">
        <v>-1.3865352056368564E-2</v>
      </c>
      <c r="F2300">
        <f t="shared" si="76"/>
        <v>-2.0767533113323192E-2</v>
      </c>
      <c r="G2300">
        <f t="shared" si="77"/>
        <v>-3.5672504940013817E-2</v>
      </c>
    </row>
    <row r="2301" spans="1:7" ht="12.5" customHeight="1" x14ac:dyDescent="0.35">
      <c r="A2301" t="s">
        <v>125</v>
      </c>
      <c r="E2301">
        <v>-9.0938524045140582E-4</v>
      </c>
      <c r="F2301">
        <f t="shared" si="76"/>
        <v>-2.0782952156363853E-2</v>
      </c>
      <c r="G2301">
        <f t="shared" si="77"/>
        <v>-3.5871237897703023E-2</v>
      </c>
    </row>
    <row r="2302" spans="1:7" ht="12.5" customHeight="1" x14ac:dyDescent="0.35">
      <c r="A2302" t="s">
        <v>125</v>
      </c>
      <c r="E2302">
        <v>3.7820846523697145E-3</v>
      </c>
      <c r="F2302">
        <f t="shared" si="76"/>
        <v>-2.079837119940451E-2</v>
      </c>
      <c r="G2302">
        <f t="shared" si="77"/>
        <v>-3.5871237897703023E-2</v>
      </c>
    </row>
    <row r="2303" spans="1:7" ht="12.5" customHeight="1" x14ac:dyDescent="0.35">
      <c r="A2303" t="s">
        <v>125</v>
      </c>
      <c r="E2303">
        <v>2.5884896883232207E-3</v>
      </c>
      <c r="F2303">
        <f t="shared" si="76"/>
        <v>-2.081379024244517E-2</v>
      </c>
      <c r="G2303">
        <f t="shared" si="77"/>
        <v>-3.5871237897703023E-2</v>
      </c>
    </row>
    <row r="2304" spans="1:7" ht="12.5" customHeight="1" x14ac:dyDescent="0.35">
      <c r="A2304" t="s">
        <v>125</v>
      </c>
      <c r="E2304">
        <v>-5.3563497190581514E-3</v>
      </c>
      <c r="F2304">
        <f t="shared" si="76"/>
        <v>-2.0829209285485834E-2</v>
      </c>
      <c r="G2304">
        <f t="shared" si="77"/>
        <v>-3.5871237897703023E-2</v>
      </c>
    </row>
    <row r="2305" spans="1:144" ht="12.5" customHeight="1" x14ac:dyDescent="0.35">
      <c r="A2305" t="s">
        <v>125</v>
      </c>
      <c r="E2305">
        <v>9.6849491060148462E-3</v>
      </c>
      <c r="F2305">
        <f t="shared" si="76"/>
        <v>-2.0844628328526491E-2</v>
      </c>
      <c r="G2305">
        <f t="shared" si="77"/>
        <v>-3.5871237897703023E-2</v>
      </c>
    </row>
    <row r="2306" spans="1:144" s="3" customFormat="1" x14ac:dyDescent="0.35">
      <c r="A2306" s="3" t="s">
        <v>126</v>
      </c>
      <c r="B2306" s="3" cm="1">
        <f t="array" ref="B2306">_xlfn.STDEV.S(_xlfn._xlws.FILTER($E$2013:$E$3011, $A$2013:$A$3011="2019-04"))</f>
        <v>4.6471569862134377E-3</v>
      </c>
      <c r="C2306" s="3" cm="1">
        <f t="array" ref="C2306">AVERAGE(_xlfn._xlws.FILTER($E$2013:$E$3011, $A$2013:$A$3011="2019-04"))</f>
        <v>1.3789037455818375E-3</v>
      </c>
      <c r="D2306" s="3" cm="1">
        <f t="array" ref="D2306">_xlfn.PERCENTILE.EXC(_xlfn._xlws.FILTER($E$1498:$E$2489, $A$1498:$A$2489="2019-04"), 0.05)</f>
        <v>-7.7398156022815958E-3</v>
      </c>
      <c r="E2306" s="3">
        <v>1.0938665425701086E-2</v>
      </c>
      <c r="F2306" s="3">
        <f t="shared" si="76"/>
        <v>-2.0860047371567152E-2</v>
      </c>
      <c r="G2306" s="3">
        <f t="shared" si="77"/>
        <v>-3.5871237897703023E-2</v>
      </c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</row>
    <row r="2307" spans="1:144" ht="12.5" customHeight="1" x14ac:dyDescent="0.35">
      <c r="A2307" t="s">
        <v>126</v>
      </c>
      <c r="E2307">
        <v>1.240614947004052E-4</v>
      </c>
      <c r="F2307">
        <f t="shared" si="76"/>
        <v>-2.0875466414607809E-2</v>
      </c>
      <c r="G2307">
        <f t="shared" si="77"/>
        <v>-3.5871237897703023E-2</v>
      </c>
    </row>
    <row r="2308" spans="1:144" ht="12.5" customHeight="1" x14ac:dyDescent="0.35">
      <c r="A2308" t="s">
        <v>126</v>
      </c>
      <c r="E2308">
        <v>1.0765652004523483E-2</v>
      </c>
      <c r="F2308">
        <f t="shared" ref="F2308:F2371" si="78">_xlfn.PERCENTILE.EXC(E2308:E6123,0.05)</f>
        <v>-2.0890885457648469E-2</v>
      </c>
      <c r="G2308">
        <f t="shared" ref="G2308:G2371" si="79">AVERAGEIFS(E2308:E6124,E2308:E6124,"&lt;=" &amp; F2308)</f>
        <v>-3.5871237897703023E-2</v>
      </c>
    </row>
    <row r="2309" spans="1:144" ht="12.5" customHeight="1" x14ac:dyDescent="0.35">
      <c r="A2309" t="s">
        <v>126</v>
      </c>
      <c r="E2309">
        <v>-2.3137740560779862E-3</v>
      </c>
      <c r="F2309">
        <f t="shared" si="78"/>
        <v>-2.0906304500689133E-2</v>
      </c>
      <c r="G2309">
        <f t="shared" si="79"/>
        <v>-3.5871237897703023E-2</v>
      </c>
    </row>
    <row r="2310" spans="1:144" ht="12.5" customHeight="1" x14ac:dyDescent="0.35">
      <c r="A2310" t="s">
        <v>126</v>
      </c>
      <c r="E2310">
        <v>2.4392495013185562E-3</v>
      </c>
      <c r="F2310">
        <f t="shared" si="78"/>
        <v>-2.0921723543729794E-2</v>
      </c>
      <c r="G2310">
        <f t="shared" si="79"/>
        <v>-3.5871237897703023E-2</v>
      </c>
    </row>
    <row r="2311" spans="1:144" ht="12.5" customHeight="1" x14ac:dyDescent="0.35">
      <c r="A2311" t="s">
        <v>126</v>
      </c>
      <c r="E2311">
        <v>6.1336207720387741E-4</v>
      </c>
      <c r="F2311">
        <f t="shared" si="78"/>
        <v>-2.0937142586770451E-2</v>
      </c>
      <c r="G2311">
        <f t="shared" si="79"/>
        <v>-3.5871237897703023E-2</v>
      </c>
    </row>
    <row r="2312" spans="1:144" ht="12.5" customHeight="1" x14ac:dyDescent="0.35">
      <c r="A2312" t="s">
        <v>126</v>
      </c>
      <c r="E2312">
        <v>-4.6119499642376851E-3</v>
      </c>
      <c r="F2312">
        <f t="shared" si="78"/>
        <v>-2.0952561629811111E-2</v>
      </c>
      <c r="G2312">
        <f t="shared" si="79"/>
        <v>-3.5871237897703023E-2</v>
      </c>
    </row>
    <row r="2313" spans="1:144" ht="12.5" customHeight="1" x14ac:dyDescent="0.35">
      <c r="A2313" t="s">
        <v>126</v>
      </c>
      <c r="E2313">
        <v>-9.2285955417308538E-7</v>
      </c>
      <c r="F2313">
        <f t="shared" si="78"/>
        <v>-2.0967980672851768E-2</v>
      </c>
      <c r="G2313">
        <f t="shared" si="79"/>
        <v>-3.5871237897703023E-2</v>
      </c>
    </row>
    <row r="2314" spans="1:144" ht="12.5" customHeight="1" x14ac:dyDescent="0.35">
      <c r="A2314" t="s">
        <v>126</v>
      </c>
      <c r="E2314">
        <v>6.0336836360872664E-4</v>
      </c>
      <c r="F2314">
        <f t="shared" si="78"/>
        <v>-2.0983399715892432E-2</v>
      </c>
      <c r="G2314">
        <f t="shared" si="79"/>
        <v>-3.5871237897703023E-2</v>
      </c>
    </row>
    <row r="2315" spans="1:144" ht="12.5" customHeight="1" x14ac:dyDescent="0.35">
      <c r="A2315" t="s">
        <v>126</v>
      </c>
      <c r="E2315">
        <v>7.9677707163105897E-3</v>
      </c>
      <c r="F2315">
        <f t="shared" si="78"/>
        <v>-2.0998818758933092E-2</v>
      </c>
      <c r="G2315">
        <f t="shared" si="79"/>
        <v>-3.5871237897703023E-2</v>
      </c>
    </row>
    <row r="2316" spans="1:144" ht="12.5" customHeight="1" x14ac:dyDescent="0.35">
      <c r="A2316" t="s">
        <v>126</v>
      </c>
      <c r="E2316">
        <v>1.5592885838108901E-3</v>
      </c>
      <c r="F2316">
        <f t="shared" si="78"/>
        <v>-2.1014237801973749E-2</v>
      </c>
      <c r="G2316">
        <f t="shared" si="79"/>
        <v>-3.5871237897703023E-2</v>
      </c>
    </row>
    <row r="2317" spans="1:144" ht="12.5" customHeight="1" x14ac:dyDescent="0.35">
      <c r="A2317" t="s">
        <v>126</v>
      </c>
      <c r="E2317">
        <v>1.210188831681935E-3</v>
      </c>
      <c r="F2317">
        <f t="shared" si="78"/>
        <v>-2.102965684501441E-2</v>
      </c>
      <c r="G2317">
        <f t="shared" si="79"/>
        <v>-3.5871237897703023E-2</v>
      </c>
    </row>
    <row r="2318" spans="1:144" ht="12.5" customHeight="1" x14ac:dyDescent="0.35">
      <c r="A2318" t="s">
        <v>126</v>
      </c>
      <c r="E2318">
        <v>3.7318055385712509E-3</v>
      </c>
      <c r="F2318">
        <f t="shared" si="78"/>
        <v>-2.104507588805507E-2</v>
      </c>
      <c r="G2318">
        <f t="shared" si="79"/>
        <v>-3.5871237897703023E-2</v>
      </c>
    </row>
    <row r="2319" spans="1:144" ht="12.5" customHeight="1" x14ac:dyDescent="0.35">
      <c r="A2319" t="s">
        <v>126</v>
      </c>
      <c r="E2319">
        <v>-2.0151303060686894E-3</v>
      </c>
      <c r="F2319">
        <f t="shared" si="78"/>
        <v>-2.1060494931095731E-2</v>
      </c>
      <c r="G2319">
        <f t="shared" si="79"/>
        <v>-3.5871237897703023E-2</v>
      </c>
    </row>
    <row r="2320" spans="1:144" ht="12.5" customHeight="1" x14ac:dyDescent="0.35">
      <c r="A2320" t="s">
        <v>126</v>
      </c>
      <c r="E2320">
        <v>-2.7249880783828035E-3</v>
      </c>
      <c r="F2320">
        <f t="shared" si="78"/>
        <v>-2.1075913974136391E-2</v>
      </c>
      <c r="G2320">
        <f t="shared" si="79"/>
        <v>-3.5871237897703023E-2</v>
      </c>
    </row>
    <row r="2321" spans="1:144" ht="12.5" customHeight="1" x14ac:dyDescent="0.35">
      <c r="A2321" t="s">
        <v>126</v>
      </c>
      <c r="E2321">
        <v>-7.9044401095470646E-3</v>
      </c>
      <c r="F2321">
        <f t="shared" si="78"/>
        <v>-2.1087642703534477E-2</v>
      </c>
      <c r="G2321">
        <f t="shared" si="79"/>
        <v>-3.6071174707480953E-2</v>
      </c>
    </row>
    <row r="2322" spans="1:144" ht="12.5" customHeight="1" x14ac:dyDescent="0.35">
      <c r="A2322" t="s">
        <v>126</v>
      </c>
      <c r="E2322">
        <v>-2.0992387574458475E-4</v>
      </c>
      <c r="F2322">
        <f t="shared" si="78"/>
        <v>-2.1099371432932564E-2</v>
      </c>
      <c r="G2322">
        <f t="shared" si="79"/>
        <v>-3.6071174707480953E-2</v>
      </c>
    </row>
    <row r="2323" spans="1:144" ht="12.5" customHeight="1" x14ac:dyDescent="0.35">
      <c r="A2323" t="s">
        <v>126</v>
      </c>
      <c r="E2323">
        <v>8.3253087968508395E-4</v>
      </c>
      <c r="F2323">
        <f t="shared" si="78"/>
        <v>-2.111110016233065E-2</v>
      </c>
      <c r="G2323">
        <f t="shared" si="79"/>
        <v>-3.6071174707480953E-2</v>
      </c>
    </row>
    <row r="2324" spans="1:144" ht="12.5" customHeight="1" x14ac:dyDescent="0.35">
      <c r="A2324" t="s">
        <v>126</v>
      </c>
      <c r="E2324">
        <v>2.3236424309510595E-3</v>
      </c>
      <c r="F2324">
        <f t="shared" si="78"/>
        <v>-2.1122828891728739E-2</v>
      </c>
      <c r="G2324">
        <f t="shared" si="79"/>
        <v>-3.6071174707480953E-2</v>
      </c>
    </row>
    <row r="2325" spans="1:144" ht="12.5" customHeight="1" x14ac:dyDescent="0.35">
      <c r="A2325" t="s">
        <v>126</v>
      </c>
      <c r="E2325">
        <v>4.2496183131827984E-3</v>
      </c>
      <c r="F2325">
        <f t="shared" si="78"/>
        <v>-2.1134557621126825E-2</v>
      </c>
      <c r="G2325">
        <f t="shared" si="79"/>
        <v>-3.6071174707480953E-2</v>
      </c>
    </row>
    <row r="2326" spans="1:144" s="3" customFormat="1" x14ac:dyDescent="0.35">
      <c r="A2326" s="3" t="s">
        <v>127</v>
      </c>
      <c r="B2326" s="3" cm="1">
        <f t="array" ref="B2326">_xlfn.STDEV.S(_xlfn._xlws.FILTER($E$2013:$E$3011, $A$2013:$A$3011="2019-05"))</f>
        <v>1.2225500204075899E-2</v>
      </c>
      <c r="C2326" s="3" cm="1">
        <f t="array" ref="C2326">AVERAGE(_xlfn._xlws.FILTER($E$2013:$E$3011, $A$2013:$A$3011="2019-05"))</f>
        <v>-4.9922632066536918E-3</v>
      </c>
      <c r="D2326" s="3" cm="1">
        <f t="array" ref="D2326">_xlfn.PERCENTILE.EXC(_xlfn._xlws.FILTER($E$1498:$E$2489, $A$1498:$A$2489="2019-05"), 0.05)</f>
        <v>-2.7064088794964285E-2</v>
      </c>
      <c r="E2326" s="3">
        <v>-7.8432746207669386E-3</v>
      </c>
      <c r="F2326" s="3">
        <f t="shared" si="78"/>
        <v>-2.1146286350524911E-2</v>
      </c>
      <c r="G2326" s="3">
        <f t="shared" si="79"/>
        <v>-3.6071174707480953E-2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</row>
    <row r="2327" spans="1:144" ht="12.5" customHeight="1" x14ac:dyDescent="0.35">
      <c r="A2327" t="s">
        <v>127</v>
      </c>
      <c r="E2327">
        <v>2.4428484798092805E-3</v>
      </c>
      <c r="F2327">
        <f t="shared" si="78"/>
        <v>-2.1158015079922998E-2</v>
      </c>
      <c r="G2327">
        <f t="shared" si="79"/>
        <v>-3.6071174707480953E-2</v>
      </c>
    </row>
    <row r="2328" spans="1:144" ht="12.5" customHeight="1" x14ac:dyDescent="0.35">
      <c r="A2328" t="s">
        <v>127</v>
      </c>
      <c r="E2328">
        <v>-2.5329731110850448E-2</v>
      </c>
      <c r="F2328">
        <f t="shared" si="78"/>
        <v>-2.1169743809321084E-2</v>
      </c>
      <c r="G2328">
        <f t="shared" si="79"/>
        <v>-3.6071174707480953E-2</v>
      </c>
    </row>
    <row r="2329" spans="1:144" ht="12.5" customHeight="1" x14ac:dyDescent="0.35">
      <c r="A2329" t="s">
        <v>127</v>
      </c>
      <c r="E2329">
        <v>-7.203639846668845E-4</v>
      </c>
      <c r="F2329">
        <f t="shared" si="78"/>
        <v>-2.0906304500689133E-2</v>
      </c>
      <c r="G2329">
        <f t="shared" si="79"/>
        <v>-3.6013690692119946E-2</v>
      </c>
    </row>
    <row r="2330" spans="1:144" ht="12.5" customHeight="1" x14ac:dyDescent="0.35">
      <c r="A2330" t="s">
        <v>127</v>
      </c>
      <c r="E2330">
        <v>-1.8405593994109532E-2</v>
      </c>
      <c r="F2330">
        <f t="shared" si="78"/>
        <v>-2.0921723543729794E-2</v>
      </c>
      <c r="G2330">
        <f t="shared" si="79"/>
        <v>-3.6013690692119946E-2</v>
      </c>
    </row>
    <row r="2331" spans="1:144" ht="12.5" customHeight="1" x14ac:dyDescent="0.35">
      <c r="A2331" t="s">
        <v>127</v>
      </c>
      <c r="E2331">
        <v>2.7640851774002701E-3</v>
      </c>
      <c r="F2331">
        <f t="shared" si="78"/>
        <v>-2.0937142586770451E-2</v>
      </c>
      <c r="G2331">
        <f t="shared" si="79"/>
        <v>-3.6013690692119946E-2</v>
      </c>
    </row>
    <row r="2332" spans="1:144" ht="12.5" customHeight="1" x14ac:dyDescent="0.35">
      <c r="A2332" t="s">
        <v>127</v>
      </c>
      <c r="E2332">
        <v>-1.3555556810164479E-2</v>
      </c>
      <c r="F2332">
        <f t="shared" si="78"/>
        <v>-2.0952561629811111E-2</v>
      </c>
      <c r="G2332">
        <f t="shared" si="79"/>
        <v>-3.6013690692119946E-2</v>
      </c>
    </row>
    <row r="2333" spans="1:144" ht="12.5" customHeight="1" x14ac:dyDescent="0.35">
      <c r="A2333" t="s">
        <v>127</v>
      </c>
      <c r="E2333">
        <v>1.441172616563411E-2</v>
      </c>
      <c r="F2333">
        <f t="shared" si="78"/>
        <v>-2.0967980672851768E-2</v>
      </c>
      <c r="G2333">
        <f t="shared" si="79"/>
        <v>-3.6013690692119946E-2</v>
      </c>
    </row>
    <row r="2334" spans="1:144" ht="12.5" customHeight="1" x14ac:dyDescent="0.35">
      <c r="A2334" t="s">
        <v>127</v>
      </c>
      <c r="E2334">
        <v>-1.413935545148961E-3</v>
      </c>
      <c r="F2334">
        <f t="shared" si="78"/>
        <v>-2.0983399715892432E-2</v>
      </c>
      <c r="G2334">
        <f t="shared" si="79"/>
        <v>-3.6013690692119946E-2</v>
      </c>
    </row>
    <row r="2335" spans="1:144" ht="12.5" customHeight="1" x14ac:dyDescent="0.35">
      <c r="A2335" t="s">
        <v>127</v>
      </c>
      <c r="E2335">
        <v>1.3741042684373627E-2</v>
      </c>
      <c r="F2335">
        <f t="shared" si="78"/>
        <v>-2.0998818758933092E-2</v>
      </c>
      <c r="G2335">
        <f t="shared" si="79"/>
        <v>-3.6013690692119946E-2</v>
      </c>
    </row>
    <row r="2336" spans="1:144" ht="12.5" customHeight="1" x14ac:dyDescent="0.35">
      <c r="A2336" t="s">
        <v>127</v>
      </c>
      <c r="E2336">
        <v>-2.2017621091250752E-3</v>
      </c>
      <c r="F2336">
        <f t="shared" si="78"/>
        <v>-2.1014237801973749E-2</v>
      </c>
      <c r="G2336">
        <f t="shared" si="79"/>
        <v>-3.6013690692119946E-2</v>
      </c>
    </row>
    <row r="2337" spans="1:144" ht="12.5" customHeight="1" x14ac:dyDescent="0.35">
      <c r="A2337" t="s">
        <v>127</v>
      </c>
      <c r="E2337">
        <v>-2.7155370778338697E-2</v>
      </c>
      <c r="F2337">
        <f t="shared" si="78"/>
        <v>-2.102965684501441E-2</v>
      </c>
      <c r="G2337">
        <f t="shared" si="79"/>
        <v>-3.6013690692119946E-2</v>
      </c>
    </row>
    <row r="2338" spans="1:144" ht="12.5" customHeight="1" x14ac:dyDescent="0.35">
      <c r="A2338" t="s">
        <v>127</v>
      </c>
      <c r="E2338">
        <v>7.6986728917641783E-3</v>
      </c>
      <c r="F2338">
        <f t="shared" si="78"/>
        <v>-2.0754076761859541E-2</v>
      </c>
      <c r="G2338">
        <f t="shared" si="79"/>
        <v>-3.5927368561511637E-2</v>
      </c>
    </row>
    <row r="2339" spans="1:144" ht="12.5" customHeight="1" x14ac:dyDescent="0.35">
      <c r="A2339" t="s">
        <v>127</v>
      </c>
      <c r="E2339">
        <v>-6.07194358626103E-3</v>
      </c>
      <c r="F2339">
        <f t="shared" si="78"/>
        <v>-2.0760804937591366E-2</v>
      </c>
      <c r="G2339">
        <f t="shared" si="79"/>
        <v>-3.5927368561511637E-2</v>
      </c>
    </row>
    <row r="2340" spans="1:144" ht="12.5" customHeight="1" x14ac:dyDescent="0.35">
      <c r="A2340" t="s">
        <v>127</v>
      </c>
      <c r="E2340">
        <v>-2.1465978730920595E-2</v>
      </c>
      <c r="F2340">
        <f t="shared" si="78"/>
        <v>-2.0767533113323192E-2</v>
      </c>
      <c r="G2340">
        <f t="shared" si="79"/>
        <v>-3.5927368561511637E-2</v>
      </c>
    </row>
    <row r="2341" spans="1:144" ht="12.5" customHeight="1" x14ac:dyDescent="0.35">
      <c r="A2341" t="s">
        <v>127</v>
      </c>
      <c r="E2341">
        <v>1.1830584055407219E-2</v>
      </c>
      <c r="F2341">
        <f t="shared" si="78"/>
        <v>-2.0639697774418524E-2</v>
      </c>
      <c r="G2341">
        <f t="shared" si="79"/>
        <v>-3.6125469792067683E-2</v>
      </c>
    </row>
    <row r="2342" spans="1:144" ht="12.5" customHeight="1" x14ac:dyDescent="0.35">
      <c r="A2342" t="s">
        <v>127</v>
      </c>
      <c r="E2342">
        <v>-5.6623411710306206E-3</v>
      </c>
      <c r="F2342">
        <f t="shared" si="78"/>
        <v>-2.0646425950150347E-2</v>
      </c>
      <c r="G2342">
        <f t="shared" si="79"/>
        <v>-3.6125469792067683E-2</v>
      </c>
    </row>
    <row r="2343" spans="1:144" ht="12.5" customHeight="1" x14ac:dyDescent="0.35">
      <c r="A2343" t="s">
        <v>127</v>
      </c>
      <c r="E2343">
        <v>-1.296759527592738E-2</v>
      </c>
      <c r="F2343">
        <f t="shared" si="78"/>
        <v>-2.0653154125882173E-2</v>
      </c>
      <c r="G2343">
        <f t="shared" si="79"/>
        <v>-3.6125469792067683E-2</v>
      </c>
    </row>
    <row r="2344" spans="1:144" ht="12.5" customHeight="1" x14ac:dyDescent="0.35">
      <c r="A2344" t="s">
        <v>127</v>
      </c>
      <c r="E2344">
        <v>-2.6043963007671487E-3</v>
      </c>
      <c r="F2344">
        <f t="shared" si="78"/>
        <v>-2.0659882301613999E-2</v>
      </c>
      <c r="G2344">
        <f t="shared" si="79"/>
        <v>-3.6125469792067683E-2</v>
      </c>
    </row>
    <row r="2345" spans="1:144" ht="12.5" customHeight="1" x14ac:dyDescent="0.35">
      <c r="A2345" t="s">
        <v>127</v>
      </c>
      <c r="E2345">
        <v>-7.3363795693847369E-3</v>
      </c>
      <c r="F2345">
        <f t="shared" si="78"/>
        <v>-2.0666610477345821E-2</v>
      </c>
      <c r="G2345">
        <f t="shared" si="79"/>
        <v>-3.6125469792067683E-2</v>
      </c>
    </row>
    <row r="2346" spans="1:144" s="3" customFormat="1" x14ac:dyDescent="0.35">
      <c r="A2346" s="3" t="s">
        <v>128</v>
      </c>
      <c r="B2346" s="3" cm="1">
        <f t="array" ref="B2346">_xlfn.STDEV.S(_xlfn._xlws.FILTER($E$2013:$E$3011, $A$2013:$A$3011="2019-06"))</f>
        <v>8.2158874015862519E-3</v>
      </c>
      <c r="C2346" s="3" cm="1">
        <f t="array" ref="C2346">AVERAGE(_xlfn._xlws.FILTER($E$2013:$E$3011, $A$2013:$A$3011="2019-06"))</f>
        <v>3.6764408791235977E-3</v>
      </c>
      <c r="D2346" s="3" cm="1">
        <f t="array" ref="D2346">_xlfn.PERCENTILE.EXC(_xlfn._xlws.FILTER($E$1498:$E$2489, $A$1498:$A$2489="2019-06"), 0.05)</f>
        <v>-7.3417347532991825E-3</v>
      </c>
      <c r="E2346" s="3">
        <v>3.6359231362169011E-3</v>
      </c>
      <c r="F2346" s="3">
        <f t="shared" si="78"/>
        <v>-2.0673338653077647E-2</v>
      </c>
      <c r="G2346" s="3">
        <f t="shared" si="79"/>
        <v>-3.6125469792067683E-2</v>
      </c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</row>
    <row r="2347" spans="1:144" ht="12.5" customHeight="1" x14ac:dyDescent="0.35">
      <c r="A2347" t="s">
        <v>128</v>
      </c>
      <c r="E2347">
        <v>1.7713559661451311E-2</v>
      </c>
      <c r="F2347">
        <f t="shared" si="78"/>
        <v>-2.0680066828809469E-2</v>
      </c>
      <c r="G2347">
        <f t="shared" si="79"/>
        <v>-3.6125469792067683E-2</v>
      </c>
    </row>
    <row r="2348" spans="1:144" ht="12.5" customHeight="1" x14ac:dyDescent="0.35">
      <c r="A2348" t="s">
        <v>128</v>
      </c>
      <c r="E2348">
        <v>-3.649365263359473E-3</v>
      </c>
      <c r="F2348">
        <f t="shared" si="78"/>
        <v>-2.0686795004541295E-2</v>
      </c>
      <c r="G2348">
        <f t="shared" si="79"/>
        <v>-3.6125469792067683E-2</v>
      </c>
    </row>
    <row r="2349" spans="1:144" ht="12.5" customHeight="1" x14ac:dyDescent="0.35">
      <c r="A2349" t="s">
        <v>128</v>
      </c>
      <c r="E2349">
        <v>1.0948705323502791E-3</v>
      </c>
      <c r="F2349">
        <f t="shared" si="78"/>
        <v>-2.0693523180273121E-2</v>
      </c>
      <c r="G2349">
        <f t="shared" si="79"/>
        <v>-3.6125469792067683E-2</v>
      </c>
    </row>
    <row r="2350" spans="1:144" ht="12.5" customHeight="1" x14ac:dyDescent="0.35">
      <c r="A2350" t="s">
        <v>128</v>
      </c>
      <c r="E2350">
        <v>9.0176839054565607E-3</v>
      </c>
      <c r="F2350">
        <f t="shared" si="78"/>
        <v>-2.0700251356004944E-2</v>
      </c>
      <c r="G2350">
        <f t="shared" si="79"/>
        <v>-3.6125469792067683E-2</v>
      </c>
    </row>
    <row r="2351" spans="1:144" ht="12.5" customHeight="1" x14ac:dyDescent="0.35">
      <c r="A2351" t="s">
        <v>128</v>
      </c>
      <c r="E2351">
        <v>1.2160669104215966E-2</v>
      </c>
      <c r="F2351">
        <f t="shared" si="78"/>
        <v>-2.070697953173677E-2</v>
      </c>
      <c r="G2351">
        <f t="shared" si="79"/>
        <v>-3.6125469792067683E-2</v>
      </c>
    </row>
    <row r="2352" spans="1:144" ht="12.5" customHeight="1" x14ac:dyDescent="0.35">
      <c r="A2352" t="s">
        <v>128</v>
      </c>
      <c r="E2352">
        <v>-7.1312443171500832E-3</v>
      </c>
      <c r="F2352">
        <f t="shared" si="78"/>
        <v>-2.0713707707468595E-2</v>
      </c>
      <c r="G2352">
        <f t="shared" si="79"/>
        <v>-3.6125469792067683E-2</v>
      </c>
    </row>
    <row r="2353" spans="1:144" ht="12.5" customHeight="1" x14ac:dyDescent="0.35">
      <c r="A2353" t="s">
        <v>128</v>
      </c>
      <c r="E2353">
        <v>8.1520868068925105E-3</v>
      </c>
      <c r="F2353">
        <f t="shared" si="78"/>
        <v>-2.0720435883200418E-2</v>
      </c>
      <c r="G2353">
        <f t="shared" si="79"/>
        <v>-3.6125469792067683E-2</v>
      </c>
    </row>
    <row r="2354" spans="1:144" ht="12.5" customHeight="1" x14ac:dyDescent="0.35">
      <c r="A2354" t="s">
        <v>128</v>
      </c>
      <c r="E2354">
        <v>-8.8741907519086717E-4</v>
      </c>
      <c r="F2354">
        <f t="shared" si="78"/>
        <v>-2.0727164058932244E-2</v>
      </c>
      <c r="G2354">
        <f t="shared" si="79"/>
        <v>-3.6125469792067683E-2</v>
      </c>
    </row>
    <row r="2355" spans="1:144" ht="12.5" customHeight="1" x14ac:dyDescent="0.35">
      <c r="A2355" t="s">
        <v>128</v>
      </c>
      <c r="E2355">
        <v>6.7751616542267683E-4</v>
      </c>
      <c r="F2355">
        <f t="shared" si="78"/>
        <v>-2.073389223466407E-2</v>
      </c>
      <c r="G2355">
        <f t="shared" si="79"/>
        <v>-3.6125469792067683E-2</v>
      </c>
    </row>
    <row r="2356" spans="1:144" ht="12.5" customHeight="1" x14ac:dyDescent="0.35">
      <c r="A2356" t="s">
        <v>128</v>
      </c>
      <c r="E2356">
        <v>2.429992986275872E-2</v>
      </c>
      <c r="F2356">
        <f t="shared" si="78"/>
        <v>-2.0740620410395892E-2</v>
      </c>
      <c r="G2356">
        <f t="shared" si="79"/>
        <v>-3.6125469792067683E-2</v>
      </c>
    </row>
    <row r="2357" spans="1:144" ht="12.5" customHeight="1" x14ac:dyDescent="0.35">
      <c r="A2357" t="s">
        <v>128</v>
      </c>
      <c r="E2357">
        <v>4.1364558606278058E-3</v>
      </c>
      <c r="F2357">
        <f t="shared" si="78"/>
        <v>-2.0747348586127718E-2</v>
      </c>
      <c r="G2357">
        <f t="shared" si="79"/>
        <v>-3.6125469792067683E-2</v>
      </c>
    </row>
    <row r="2358" spans="1:144" ht="12.5" customHeight="1" x14ac:dyDescent="0.35">
      <c r="A2358" t="s">
        <v>128</v>
      </c>
      <c r="E2358">
        <v>6.5782634909613783E-3</v>
      </c>
      <c r="F2358">
        <f t="shared" si="78"/>
        <v>-2.0754076761859541E-2</v>
      </c>
      <c r="G2358">
        <f t="shared" si="79"/>
        <v>-3.6125469792067683E-2</v>
      </c>
    </row>
    <row r="2359" spans="1:144" ht="12.5" customHeight="1" x14ac:dyDescent="0.35">
      <c r="A2359" t="s">
        <v>128</v>
      </c>
      <c r="E2359">
        <v>1.2720448722700628E-3</v>
      </c>
      <c r="F2359">
        <f t="shared" si="78"/>
        <v>-2.0760804937591366E-2</v>
      </c>
      <c r="G2359">
        <f t="shared" si="79"/>
        <v>-3.6125469792067683E-2</v>
      </c>
    </row>
    <row r="2360" spans="1:144" ht="12.5" customHeight="1" x14ac:dyDescent="0.35">
      <c r="A2360" t="s">
        <v>128</v>
      </c>
      <c r="E2360">
        <v>-4.8991573342084069E-3</v>
      </c>
      <c r="F2360">
        <f t="shared" si="78"/>
        <v>-2.0767533113323192E-2</v>
      </c>
      <c r="G2360">
        <f t="shared" si="79"/>
        <v>-3.6125469792067683E-2</v>
      </c>
    </row>
    <row r="2361" spans="1:144" ht="12.5" customHeight="1" x14ac:dyDescent="0.35">
      <c r="A2361" t="s">
        <v>128</v>
      </c>
      <c r="E2361">
        <v>-7.3417347532991825E-3</v>
      </c>
      <c r="F2361">
        <f t="shared" si="78"/>
        <v>-2.0782952156363853E-2</v>
      </c>
      <c r="G2361">
        <f t="shared" si="79"/>
        <v>-3.6338774468161354E-2</v>
      </c>
    </row>
    <row r="2362" spans="1:144" ht="12.5" customHeight="1" x14ac:dyDescent="0.35">
      <c r="A2362" t="s">
        <v>128</v>
      </c>
      <c r="E2362">
        <v>-3.3788853200519102E-3</v>
      </c>
      <c r="F2362">
        <f t="shared" si="78"/>
        <v>-2.079837119940451E-2</v>
      </c>
      <c r="G2362">
        <f t="shared" si="79"/>
        <v>-3.6338774468161354E-2</v>
      </c>
    </row>
    <row r="2363" spans="1:144" ht="12.5" customHeight="1" x14ac:dyDescent="0.35">
      <c r="A2363" t="s">
        <v>128</v>
      </c>
      <c r="E2363">
        <v>2.5483786917109685E-3</v>
      </c>
      <c r="F2363">
        <f t="shared" si="78"/>
        <v>-2.081379024244517E-2</v>
      </c>
      <c r="G2363">
        <f t="shared" si="79"/>
        <v>-3.6338774468161354E-2</v>
      </c>
    </row>
    <row r="2364" spans="1:144" ht="12.5" customHeight="1" x14ac:dyDescent="0.35">
      <c r="A2364" t="s">
        <v>128</v>
      </c>
      <c r="E2364">
        <v>5.8528006762731503E-3</v>
      </c>
      <c r="F2364">
        <f t="shared" si="78"/>
        <v>-2.0829209285485834E-2</v>
      </c>
      <c r="G2364">
        <f t="shared" si="79"/>
        <v>-3.6338774468161354E-2</v>
      </c>
    </row>
    <row r="2365" spans="1:144" s="3" customFormat="1" x14ac:dyDescent="0.35">
      <c r="A2365" s="3" t="s">
        <v>129</v>
      </c>
      <c r="B2365" s="3" cm="1">
        <f t="array" ref="B2365">_xlfn.STDEV.S(_xlfn._xlws.FILTER($E$2013:$E$3011, $A$2013:$A$3011="2019-07"))</f>
        <v>9.5001397940318935E-3</v>
      </c>
      <c r="C2365" s="3" cm="1">
        <f t="array" ref="C2365">AVERAGE(_xlfn._xlws.FILTER($E$2013:$E$3011, $A$2013:$A$3011="2019-07"))</f>
        <v>3.3328107081840908E-4</v>
      </c>
      <c r="D2365" s="3" cm="1">
        <f t="array" ref="D2365">_xlfn.PERCENTILE.EXC(_xlfn._xlws.FILTER($E$1498:$E$2489, $A$1498:$A$2489="2019-07"), 0.05)</f>
        <v>-2.0451769640048332E-2</v>
      </c>
      <c r="E2365" s="3">
        <v>9.0612056472765088E-4</v>
      </c>
      <c r="F2365" s="3">
        <f t="shared" si="78"/>
        <v>-2.0844628328526491E-2</v>
      </c>
      <c r="G2365" s="3">
        <f t="shared" si="79"/>
        <v>-3.6338774468161354E-2</v>
      </c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</row>
    <row r="2366" spans="1:144" ht="12.5" customHeight="1" x14ac:dyDescent="0.35">
      <c r="A2366" t="s">
        <v>129</v>
      </c>
      <c r="E2366">
        <v>6.5106939943191562E-3</v>
      </c>
      <c r="F2366">
        <f t="shared" si="78"/>
        <v>-2.0860047371567152E-2</v>
      </c>
      <c r="G2366">
        <f t="shared" si="79"/>
        <v>-3.6338774468161354E-2</v>
      </c>
    </row>
    <row r="2367" spans="1:144" ht="12.5" customHeight="1" x14ac:dyDescent="0.35">
      <c r="A2367" t="s">
        <v>129</v>
      </c>
      <c r="E2367">
        <v>2.3672753774087008E-2</v>
      </c>
      <c r="F2367">
        <f t="shared" si="78"/>
        <v>-2.0875466414607809E-2</v>
      </c>
      <c r="G2367">
        <f t="shared" si="79"/>
        <v>-3.6338774468161354E-2</v>
      </c>
    </row>
    <row r="2368" spans="1:144" ht="12.5" customHeight="1" x14ac:dyDescent="0.35">
      <c r="A2368" t="s">
        <v>129</v>
      </c>
      <c r="E2368">
        <v>9.7833790072227381E-3</v>
      </c>
      <c r="F2368">
        <f t="shared" si="78"/>
        <v>-2.0890885457648469E-2</v>
      </c>
      <c r="G2368">
        <f t="shared" si="79"/>
        <v>-3.6338774468161354E-2</v>
      </c>
    </row>
    <row r="2369" spans="1:7" ht="12.5" customHeight="1" x14ac:dyDescent="0.35">
      <c r="A2369" t="s">
        <v>129</v>
      </c>
      <c r="E2369">
        <v>-6.1174861447815263E-3</v>
      </c>
      <c r="F2369">
        <f t="shared" si="78"/>
        <v>-2.0906304500689133E-2</v>
      </c>
      <c r="G2369">
        <f t="shared" si="79"/>
        <v>-3.6338774468161354E-2</v>
      </c>
    </row>
    <row r="2370" spans="1:7" ht="12.5" customHeight="1" x14ac:dyDescent="0.35">
      <c r="A2370" t="s">
        <v>129</v>
      </c>
      <c r="E2370">
        <v>-4.4538678528952301E-4</v>
      </c>
      <c r="F2370">
        <f t="shared" si="78"/>
        <v>-2.0921723543729794E-2</v>
      </c>
      <c r="G2370">
        <f t="shared" si="79"/>
        <v>-3.6338774468161354E-2</v>
      </c>
    </row>
    <row r="2371" spans="1:7" ht="12.5" customHeight="1" x14ac:dyDescent="0.35">
      <c r="A2371" t="s">
        <v>129</v>
      </c>
      <c r="E2371">
        <v>-4.0960183042714005E-3</v>
      </c>
      <c r="F2371">
        <f t="shared" si="78"/>
        <v>-2.0937142586770451E-2</v>
      </c>
      <c r="G2371">
        <f t="shared" si="79"/>
        <v>-3.6338774468161354E-2</v>
      </c>
    </row>
    <row r="2372" spans="1:7" ht="12.5" customHeight="1" x14ac:dyDescent="0.35">
      <c r="A2372" t="s">
        <v>129</v>
      </c>
      <c r="E2372">
        <v>7.2290738491518989E-3</v>
      </c>
      <c r="F2372">
        <f t="shared" ref="F2372:F2435" si="80">_xlfn.PERCENTILE.EXC(E2372:E6187,0.05)</f>
        <v>-2.0952561629811111E-2</v>
      </c>
      <c r="G2372">
        <f t="shared" ref="G2372:G2435" si="81">AVERAGEIFS(E2372:E6188,E2372:E6188,"&lt;=" &amp; F2372)</f>
        <v>-3.6338774468161354E-2</v>
      </c>
    </row>
    <row r="2373" spans="1:7" ht="12.5" customHeight="1" x14ac:dyDescent="0.35">
      <c r="A2373" t="s">
        <v>129</v>
      </c>
      <c r="E2373">
        <v>5.6298574686724197E-3</v>
      </c>
      <c r="F2373">
        <f t="shared" si="80"/>
        <v>-2.0967980672851768E-2</v>
      </c>
      <c r="G2373">
        <f t="shared" si="81"/>
        <v>-3.6338774468161354E-2</v>
      </c>
    </row>
    <row r="2374" spans="1:7" ht="12.5" customHeight="1" x14ac:dyDescent="0.35">
      <c r="A2374" t="s">
        <v>129</v>
      </c>
      <c r="E2374">
        <v>5.9884399649293878E-4</v>
      </c>
      <c r="F2374">
        <f t="shared" si="80"/>
        <v>-2.0983399715892432E-2</v>
      </c>
      <c r="G2374">
        <f t="shared" si="81"/>
        <v>-3.6338774468161354E-2</v>
      </c>
    </row>
    <row r="2375" spans="1:7" ht="12.5" customHeight="1" x14ac:dyDescent="0.35">
      <c r="A2375" t="s">
        <v>129</v>
      </c>
      <c r="E2375">
        <v>-2.0964478810801568E-4</v>
      </c>
      <c r="F2375">
        <f t="shared" si="80"/>
        <v>-2.0998818758933092E-2</v>
      </c>
      <c r="G2375">
        <f t="shared" si="81"/>
        <v>-3.6338774468161354E-2</v>
      </c>
    </row>
    <row r="2376" spans="1:7" ht="12.5" customHeight="1" x14ac:dyDescent="0.35">
      <c r="A2376" t="s">
        <v>129</v>
      </c>
      <c r="E2376">
        <v>1.172994760936174E-3</v>
      </c>
      <c r="F2376">
        <f t="shared" si="80"/>
        <v>-2.1014237801973749E-2</v>
      </c>
      <c r="G2376">
        <f t="shared" si="81"/>
        <v>-3.6338774468161354E-2</v>
      </c>
    </row>
    <row r="2377" spans="1:7" ht="12.5" customHeight="1" x14ac:dyDescent="0.35">
      <c r="A2377" t="s">
        <v>129</v>
      </c>
      <c r="E2377">
        <v>-5.6319144713397303E-3</v>
      </c>
      <c r="F2377">
        <f t="shared" si="80"/>
        <v>-2.102965684501441E-2</v>
      </c>
      <c r="G2377">
        <f t="shared" si="81"/>
        <v>-3.6338774468161354E-2</v>
      </c>
    </row>
    <row r="2378" spans="1:7" ht="12.5" customHeight="1" x14ac:dyDescent="0.35">
      <c r="A2378" t="s">
        <v>129</v>
      </c>
      <c r="E2378">
        <v>5.1754363090259392E-4</v>
      </c>
      <c r="F2378">
        <f t="shared" si="80"/>
        <v>-2.104507588805507E-2</v>
      </c>
      <c r="G2378">
        <f t="shared" si="81"/>
        <v>-3.6338774468161354E-2</v>
      </c>
    </row>
    <row r="2379" spans="1:7" ht="12.5" customHeight="1" x14ac:dyDescent="0.35">
      <c r="A2379" t="s">
        <v>129</v>
      </c>
      <c r="E2379">
        <v>-2.0550765580473401E-2</v>
      </c>
      <c r="F2379">
        <f t="shared" si="80"/>
        <v>-2.1060494931095731E-2</v>
      </c>
      <c r="G2379">
        <f t="shared" si="81"/>
        <v>-3.6338774468161354E-2</v>
      </c>
    </row>
    <row r="2380" spans="1:7" ht="12.5" customHeight="1" x14ac:dyDescent="0.35">
      <c r="A2380" t="s">
        <v>129</v>
      </c>
      <c r="E2380">
        <v>4.3451506863757625E-3</v>
      </c>
      <c r="F2380">
        <f t="shared" si="80"/>
        <v>-2.1075913974136391E-2</v>
      </c>
      <c r="G2380">
        <f t="shared" si="81"/>
        <v>-3.6338774468161354E-2</v>
      </c>
    </row>
    <row r="2381" spans="1:7" ht="12.5" customHeight="1" x14ac:dyDescent="0.35">
      <c r="A2381" t="s">
        <v>129</v>
      </c>
      <c r="E2381">
        <v>1.002334763063851E-2</v>
      </c>
      <c r="F2381">
        <f t="shared" si="80"/>
        <v>-2.1087642703534477E-2</v>
      </c>
      <c r="G2381">
        <f t="shared" si="81"/>
        <v>-3.6553744334274378E-2</v>
      </c>
    </row>
    <row r="2382" spans="1:7" ht="12.5" customHeight="1" x14ac:dyDescent="0.35">
      <c r="A2382" t="s">
        <v>129</v>
      </c>
      <c r="E2382">
        <v>5.7072963855481235E-3</v>
      </c>
      <c r="F2382">
        <f t="shared" si="80"/>
        <v>-2.1099371432932564E-2</v>
      </c>
      <c r="G2382">
        <f t="shared" si="81"/>
        <v>-3.6553744334274378E-2</v>
      </c>
    </row>
    <row r="2383" spans="1:7" ht="12.5" customHeight="1" x14ac:dyDescent="0.35">
      <c r="A2383" t="s">
        <v>129</v>
      </c>
      <c r="E2383">
        <v>-8.0498602076839298E-3</v>
      </c>
      <c r="F2383">
        <f t="shared" si="80"/>
        <v>-2.111110016233065E-2</v>
      </c>
      <c r="G2383">
        <f t="shared" si="81"/>
        <v>-3.6553744334274378E-2</v>
      </c>
    </row>
    <row r="2384" spans="1:7" ht="12.5" customHeight="1" x14ac:dyDescent="0.35">
      <c r="A2384" t="s">
        <v>129</v>
      </c>
      <c r="E2384">
        <v>-2.997188180999802E-3</v>
      </c>
      <c r="F2384">
        <f t="shared" si="80"/>
        <v>-2.1122828891728739E-2</v>
      </c>
      <c r="G2384">
        <f t="shared" si="81"/>
        <v>-3.6553744334274378E-2</v>
      </c>
    </row>
    <row r="2385" spans="1:144" ht="12.5" customHeight="1" x14ac:dyDescent="0.35">
      <c r="A2385" t="s">
        <v>129</v>
      </c>
      <c r="E2385">
        <v>-5.8989255043338405E-3</v>
      </c>
      <c r="F2385">
        <f t="shared" si="80"/>
        <v>-2.1134557621126825E-2</v>
      </c>
      <c r="G2385">
        <f t="shared" si="81"/>
        <v>-3.6553744334274378E-2</v>
      </c>
    </row>
    <row r="2386" spans="1:144" ht="12.5" customHeight="1" x14ac:dyDescent="0.35">
      <c r="A2386" t="s">
        <v>129</v>
      </c>
      <c r="E2386">
        <v>-2.0055785878348064E-2</v>
      </c>
      <c r="F2386">
        <f t="shared" si="80"/>
        <v>-2.1146286350524911E-2</v>
      </c>
      <c r="G2386">
        <f t="shared" si="81"/>
        <v>-3.6553744334274378E-2</v>
      </c>
    </row>
    <row r="2387" spans="1:144" ht="12.5" customHeight="1" x14ac:dyDescent="0.35">
      <c r="A2387" t="s">
        <v>129</v>
      </c>
      <c r="E2387">
        <v>5.6213847253776695E-3</v>
      </c>
      <c r="F2387">
        <f t="shared" si="80"/>
        <v>-2.1158015079922998E-2</v>
      </c>
      <c r="G2387">
        <f t="shared" si="81"/>
        <v>-3.6553744334274378E-2</v>
      </c>
    </row>
    <row r="2388" spans="1:144" s="3" customFormat="1" x14ac:dyDescent="0.35">
      <c r="A2388" s="3" t="s">
        <v>130</v>
      </c>
      <c r="B2388" s="3" cm="1">
        <f t="array" ref="B2388">_xlfn.STDEV.S(_xlfn._xlws.FILTER($E$2013:$E$3011, $A$2013:$A$3011="2019-08"))</f>
        <v>1.6045530566424021E-2</v>
      </c>
      <c r="C2388" s="3" cm="1">
        <f t="array" ref="C2388">AVERAGE(_xlfn._xlws.FILTER($E$2013:$E$3011, $A$2013:$A$3011="2019-08"))</f>
        <v>-1.7623632250094367E-4</v>
      </c>
      <c r="D2388" s="3" cm="1">
        <f t="array" ref="D2388">_xlfn.PERCENTILE.EXC(_xlfn._xlws.FILTER($E$1498:$E$2489, $A$1498:$A$2489="2019-08"), 0.05)</f>
        <v>-2.5576440271069766E-2</v>
      </c>
      <c r="E2388" s="3">
        <v>7.853856607478284E-3</v>
      </c>
      <c r="F2388" s="3">
        <f t="shared" si="80"/>
        <v>-2.1169743809321084E-2</v>
      </c>
      <c r="G2388" s="3">
        <f t="shared" si="81"/>
        <v>-3.6553744334274378E-2</v>
      </c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</row>
    <row r="2389" spans="1:144" ht="12.5" customHeight="1" x14ac:dyDescent="0.35">
      <c r="A2389" t="s">
        <v>130</v>
      </c>
      <c r="E2389">
        <v>-2.440881526342862E-2</v>
      </c>
      <c r="F2389">
        <f t="shared" si="80"/>
        <v>-2.1181472538719173E-2</v>
      </c>
      <c r="G2389">
        <f t="shared" si="81"/>
        <v>-3.6553744334274378E-2</v>
      </c>
    </row>
    <row r="2390" spans="1:144" ht="12.5" customHeight="1" x14ac:dyDescent="0.35">
      <c r="A2390" t="s">
        <v>130</v>
      </c>
      <c r="E2390">
        <v>-1.3082872083774365E-2</v>
      </c>
      <c r="F2390">
        <f t="shared" si="80"/>
        <v>-2.0921723543729794E-2</v>
      </c>
      <c r="G2390">
        <f t="shared" si="81"/>
        <v>-3.6506802062594212E-2</v>
      </c>
    </row>
    <row r="2391" spans="1:144" ht="12.5" customHeight="1" x14ac:dyDescent="0.35">
      <c r="A2391" t="s">
        <v>130</v>
      </c>
      <c r="E2391">
        <v>-6.8378415557828268E-3</v>
      </c>
      <c r="F2391">
        <f t="shared" si="80"/>
        <v>-2.0937142586770451E-2</v>
      </c>
      <c r="G2391">
        <f t="shared" si="81"/>
        <v>-3.6506802062594212E-2</v>
      </c>
    </row>
    <row r="2392" spans="1:144" ht="12.5" customHeight="1" x14ac:dyDescent="0.35">
      <c r="A2392" t="s">
        <v>130</v>
      </c>
      <c r="E2392">
        <v>-4.5124520984776029E-3</v>
      </c>
      <c r="F2392">
        <f t="shared" si="80"/>
        <v>-2.0952561629811111E-2</v>
      </c>
      <c r="G2392">
        <f t="shared" si="81"/>
        <v>-3.6506802062594212E-2</v>
      </c>
    </row>
    <row r="2393" spans="1:144" ht="12.5" customHeight="1" x14ac:dyDescent="0.35">
      <c r="A2393" t="s">
        <v>130</v>
      </c>
      <c r="E2393">
        <v>1.4611183086801677E-2</v>
      </c>
      <c r="F2393">
        <f t="shared" si="80"/>
        <v>-2.0967980672851768E-2</v>
      </c>
      <c r="G2393">
        <f t="shared" si="81"/>
        <v>-3.6506802062594212E-2</v>
      </c>
    </row>
    <row r="2394" spans="1:144" ht="12.5" customHeight="1" x14ac:dyDescent="0.35">
      <c r="A2394" t="s">
        <v>130</v>
      </c>
      <c r="E2394">
        <v>-2.5115627366928177E-2</v>
      </c>
      <c r="F2394">
        <f t="shared" si="80"/>
        <v>-2.0983399715892432E-2</v>
      </c>
      <c r="G2394">
        <f t="shared" si="81"/>
        <v>-3.6506802062594212E-2</v>
      </c>
    </row>
    <row r="2395" spans="1:144" ht="12.5" customHeight="1" x14ac:dyDescent="0.35">
      <c r="A2395" t="s">
        <v>130</v>
      </c>
      <c r="E2395">
        <v>-2.9762469349601415E-3</v>
      </c>
      <c r="F2395">
        <f t="shared" si="80"/>
        <v>-2.073389223466407E-2</v>
      </c>
      <c r="G2395">
        <f t="shared" si="81"/>
        <v>-3.6445561298458932E-2</v>
      </c>
    </row>
    <row r="2396" spans="1:144" ht="12.5" customHeight="1" x14ac:dyDescent="0.35">
      <c r="A2396" t="s">
        <v>130</v>
      </c>
      <c r="E2396">
        <v>1.3508929982631989E-2</v>
      </c>
      <c r="F2396">
        <f t="shared" si="80"/>
        <v>-2.0740620410395892E-2</v>
      </c>
      <c r="G2396">
        <f t="shared" si="81"/>
        <v>-3.6445561298458932E-2</v>
      </c>
    </row>
    <row r="2397" spans="1:144" ht="12.5" customHeight="1" x14ac:dyDescent="0.35">
      <c r="A2397" t="s">
        <v>130</v>
      </c>
      <c r="E2397">
        <v>-2.5600693581814059E-2</v>
      </c>
      <c r="F2397">
        <f t="shared" si="80"/>
        <v>-2.0747348586127718E-2</v>
      </c>
      <c r="G2397">
        <f t="shared" si="81"/>
        <v>-3.6445561298458932E-2</v>
      </c>
    </row>
    <row r="2398" spans="1:144" ht="12.5" customHeight="1" x14ac:dyDescent="0.35">
      <c r="A2398" t="s">
        <v>130</v>
      </c>
      <c r="E2398">
        <v>1.4987315414529457E-2</v>
      </c>
      <c r="F2398">
        <f t="shared" si="80"/>
        <v>-2.0624189927051065E-2</v>
      </c>
      <c r="G2398">
        <f t="shared" si="81"/>
        <v>-3.6375593355034597E-2</v>
      </c>
    </row>
    <row r="2399" spans="1:144" ht="12.5" customHeight="1" x14ac:dyDescent="0.35">
      <c r="A2399" t="s">
        <v>130</v>
      </c>
      <c r="E2399">
        <v>1.9148654388565164E-2</v>
      </c>
      <c r="F2399">
        <f t="shared" si="80"/>
        <v>-2.0628579762868884E-2</v>
      </c>
      <c r="G2399">
        <f t="shared" si="81"/>
        <v>-3.6375593355034597E-2</v>
      </c>
    </row>
    <row r="2400" spans="1:144" ht="12.5" customHeight="1" x14ac:dyDescent="0.35">
      <c r="A2400" t="s">
        <v>130</v>
      </c>
      <c r="E2400">
        <v>-1.1167827858822806E-2</v>
      </c>
      <c r="F2400">
        <f t="shared" si="80"/>
        <v>-2.0632969598686698E-2</v>
      </c>
      <c r="G2400">
        <f t="shared" si="81"/>
        <v>-3.6375593355034597E-2</v>
      </c>
    </row>
    <row r="2401" spans="1:144" ht="12.5" customHeight="1" x14ac:dyDescent="0.35">
      <c r="A2401" t="s">
        <v>130</v>
      </c>
      <c r="E2401">
        <v>1.7499509044418819E-2</v>
      </c>
      <c r="F2401">
        <f t="shared" si="80"/>
        <v>-2.0639697774418524E-2</v>
      </c>
      <c r="G2401">
        <f t="shared" si="81"/>
        <v>-3.6600487980125281E-2</v>
      </c>
    </row>
    <row r="2402" spans="1:144" ht="12.5" customHeight="1" x14ac:dyDescent="0.35">
      <c r="A2402" t="s">
        <v>130</v>
      </c>
      <c r="E2402">
        <v>-1.4439305831565978E-3</v>
      </c>
      <c r="F2402">
        <f t="shared" si="80"/>
        <v>-2.0646425950150347E-2</v>
      </c>
      <c r="G2402">
        <f t="shared" si="81"/>
        <v>-3.6600487980125281E-2</v>
      </c>
    </row>
    <row r="2403" spans="1:144" ht="12.5" customHeight="1" x14ac:dyDescent="0.35">
      <c r="A2403" t="s">
        <v>130</v>
      </c>
      <c r="E2403">
        <v>-1.6620529675393663E-2</v>
      </c>
      <c r="F2403">
        <f t="shared" si="80"/>
        <v>-2.0653154125882173E-2</v>
      </c>
      <c r="G2403">
        <f t="shared" si="81"/>
        <v>-3.6600487980125281E-2</v>
      </c>
    </row>
    <row r="2404" spans="1:144" ht="12.5" customHeight="1" x14ac:dyDescent="0.35">
      <c r="A2404" t="s">
        <v>130</v>
      </c>
      <c r="E2404">
        <v>2.4959115635704472E-2</v>
      </c>
      <c r="F2404">
        <f t="shared" si="80"/>
        <v>-2.0659882301613999E-2</v>
      </c>
      <c r="G2404">
        <f t="shared" si="81"/>
        <v>-3.6600487980125281E-2</v>
      </c>
    </row>
    <row r="2405" spans="1:144" ht="12.5" customHeight="1" x14ac:dyDescent="0.35">
      <c r="A2405" t="s">
        <v>130</v>
      </c>
      <c r="E2405">
        <v>-2.8107277380909654E-5</v>
      </c>
      <c r="F2405">
        <f t="shared" si="80"/>
        <v>-2.0666610477345821E-2</v>
      </c>
      <c r="G2405">
        <f t="shared" si="81"/>
        <v>-3.6600487980125281E-2</v>
      </c>
    </row>
    <row r="2406" spans="1:144" ht="12.5" customHeight="1" x14ac:dyDescent="0.35">
      <c r="A2406" t="s">
        <v>130</v>
      </c>
      <c r="E2406">
        <v>1.9225445460861232E-2</v>
      </c>
      <c r="F2406">
        <f t="shared" si="80"/>
        <v>-2.0673338653077647E-2</v>
      </c>
      <c r="G2406">
        <f t="shared" si="81"/>
        <v>-3.6600487980125281E-2</v>
      </c>
    </row>
    <row r="2407" spans="1:144" ht="12.5" customHeight="1" x14ac:dyDescent="0.35">
      <c r="A2407" t="s">
        <v>130</v>
      </c>
      <c r="E2407">
        <v>-3.5237917910901969E-3</v>
      </c>
      <c r="F2407">
        <f t="shared" si="80"/>
        <v>-2.0680066828809469E-2</v>
      </c>
      <c r="G2407">
        <f t="shared" si="81"/>
        <v>-3.6600487980125281E-2</v>
      </c>
    </row>
    <row r="2408" spans="1:144" s="3" customFormat="1" x14ac:dyDescent="0.35">
      <c r="A2408" s="3" t="s">
        <v>131</v>
      </c>
      <c r="B2408" s="3" cm="1">
        <f t="array" ref="B2408">_xlfn.STDEV.S(_xlfn._xlws.FILTER($E$2013:$E$3011, $A$2013:$A$3011="2019-09"))</f>
        <v>6.8135027777892774E-3</v>
      </c>
      <c r="C2408" s="3" cm="1">
        <f t="array" ref="C2408">AVERAGE(_xlfn._xlws.FILTER($E$2013:$E$3011, $A$2013:$A$3011="2019-09"))</f>
        <v>1.7211595985213151E-3</v>
      </c>
      <c r="D2408" s="3" cm="1">
        <f t="array" ref="D2408">_xlfn.PERCENTILE.EXC(_xlfn._xlws.FILTER($E$1498:$E$2489, $A$1498:$A$2489="2019-09"), 0.05)</f>
        <v>-1.0094266680065453E-2</v>
      </c>
      <c r="E2408" s="3">
        <v>6.0353362447490653E-3</v>
      </c>
      <c r="F2408" s="3">
        <f t="shared" si="80"/>
        <v>-2.0686795004541295E-2</v>
      </c>
      <c r="G2408" s="3">
        <f t="shared" si="81"/>
        <v>-3.6600487980125281E-2</v>
      </c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</row>
    <row r="2409" spans="1:144" ht="12.5" customHeight="1" x14ac:dyDescent="0.35">
      <c r="A2409" t="s">
        <v>131</v>
      </c>
      <c r="E2409">
        <v>-2.4620087341890237E-3</v>
      </c>
      <c r="F2409">
        <f t="shared" si="80"/>
        <v>-2.0693523180273121E-2</v>
      </c>
      <c r="G2409">
        <f t="shared" si="81"/>
        <v>-3.6600487980125281E-2</v>
      </c>
    </row>
    <row r="2410" spans="1:144" ht="12.5" customHeight="1" x14ac:dyDescent="0.35">
      <c r="A2410" t="s">
        <v>131</v>
      </c>
      <c r="E2410">
        <v>1.5697740548193766E-2</v>
      </c>
      <c r="F2410">
        <f t="shared" si="80"/>
        <v>-2.0700251356004944E-2</v>
      </c>
      <c r="G2410">
        <f t="shared" si="81"/>
        <v>-3.6600487980125281E-2</v>
      </c>
    </row>
    <row r="2411" spans="1:144" ht="12.5" customHeight="1" x14ac:dyDescent="0.35">
      <c r="A2411" t="s">
        <v>131</v>
      </c>
      <c r="E2411">
        <v>9.9454117281383651E-3</v>
      </c>
      <c r="F2411">
        <f t="shared" si="80"/>
        <v>-2.070697953173677E-2</v>
      </c>
      <c r="G2411">
        <f t="shared" si="81"/>
        <v>-3.6600487980125281E-2</v>
      </c>
    </row>
    <row r="2412" spans="1:144" ht="12.5" customHeight="1" x14ac:dyDescent="0.35">
      <c r="A2412" t="s">
        <v>131</v>
      </c>
      <c r="E2412">
        <v>-3.5260031707558216E-4</v>
      </c>
      <c r="F2412">
        <f t="shared" si="80"/>
        <v>-2.0713707707468595E-2</v>
      </c>
      <c r="G2412">
        <f t="shared" si="81"/>
        <v>-3.6600487980125281E-2</v>
      </c>
    </row>
    <row r="2413" spans="1:144" ht="12.5" customHeight="1" x14ac:dyDescent="0.35">
      <c r="A2413" t="s">
        <v>131</v>
      </c>
      <c r="E2413">
        <v>1.930034151660362E-3</v>
      </c>
      <c r="F2413">
        <f t="shared" si="80"/>
        <v>-2.0720435883200418E-2</v>
      </c>
      <c r="G2413">
        <f t="shared" si="81"/>
        <v>-3.6600487980125281E-2</v>
      </c>
    </row>
    <row r="2414" spans="1:144" ht="12.5" customHeight="1" x14ac:dyDescent="0.35">
      <c r="A2414" t="s">
        <v>131</v>
      </c>
      <c r="E2414">
        <v>-5.5049600086080454E-3</v>
      </c>
      <c r="F2414">
        <f t="shared" si="80"/>
        <v>-2.0727164058932244E-2</v>
      </c>
      <c r="G2414">
        <f t="shared" si="81"/>
        <v>-3.6600487980125281E-2</v>
      </c>
    </row>
    <row r="2415" spans="1:144" ht="12.5" customHeight="1" x14ac:dyDescent="0.35">
      <c r="A2415" t="s">
        <v>131</v>
      </c>
      <c r="E2415">
        <v>1.0310650360950743E-3</v>
      </c>
      <c r="F2415">
        <f t="shared" si="80"/>
        <v>-2.073389223466407E-2</v>
      </c>
      <c r="G2415">
        <f t="shared" si="81"/>
        <v>-3.6600487980125281E-2</v>
      </c>
    </row>
    <row r="2416" spans="1:144" ht="12.5" customHeight="1" x14ac:dyDescent="0.35">
      <c r="A2416" t="s">
        <v>131</v>
      </c>
      <c r="E2416">
        <v>8.7141487339987868E-3</v>
      </c>
      <c r="F2416">
        <f t="shared" si="80"/>
        <v>-2.0740620410395892E-2</v>
      </c>
      <c r="G2416">
        <f t="shared" si="81"/>
        <v>-3.6600487980125281E-2</v>
      </c>
    </row>
    <row r="2417" spans="1:144" ht="12.5" customHeight="1" x14ac:dyDescent="0.35">
      <c r="A2417" t="s">
        <v>131</v>
      </c>
      <c r="E2417">
        <v>4.4387707417203656E-3</v>
      </c>
      <c r="F2417">
        <f t="shared" si="80"/>
        <v>-2.0747348586127718E-2</v>
      </c>
      <c r="G2417">
        <f t="shared" si="81"/>
        <v>-3.6600487980125281E-2</v>
      </c>
    </row>
    <row r="2418" spans="1:144" ht="12.5" customHeight="1" x14ac:dyDescent="0.35">
      <c r="A2418" t="s">
        <v>131</v>
      </c>
      <c r="E2418">
        <v>-9.6112575143031728E-3</v>
      </c>
      <c r="F2418">
        <f t="shared" si="80"/>
        <v>-2.0754076761859541E-2</v>
      </c>
      <c r="G2418">
        <f t="shared" si="81"/>
        <v>-3.6600487980125281E-2</v>
      </c>
    </row>
    <row r="2419" spans="1:144" ht="12.5" customHeight="1" x14ac:dyDescent="0.35">
      <c r="A2419" t="s">
        <v>131</v>
      </c>
      <c r="E2419">
        <v>-7.644795185472549E-3</v>
      </c>
      <c r="F2419">
        <f t="shared" si="80"/>
        <v>-2.0760804937591366E-2</v>
      </c>
      <c r="G2419">
        <f t="shared" si="81"/>
        <v>-3.6600487980125281E-2</v>
      </c>
    </row>
    <row r="2420" spans="1:144" ht="12.5" customHeight="1" x14ac:dyDescent="0.35">
      <c r="A2420" t="s">
        <v>131</v>
      </c>
      <c r="E2420">
        <v>6.6638524455075402E-3</v>
      </c>
      <c r="F2420">
        <f t="shared" si="80"/>
        <v>-2.0767533113323192E-2</v>
      </c>
      <c r="G2420">
        <f t="shared" si="81"/>
        <v>-3.6600487980125281E-2</v>
      </c>
    </row>
    <row r="2421" spans="1:144" ht="12.5" customHeight="1" x14ac:dyDescent="0.35">
      <c r="A2421" t="s">
        <v>131</v>
      </c>
      <c r="E2421">
        <v>8.1922704186633069E-3</v>
      </c>
      <c r="F2421">
        <f t="shared" si="80"/>
        <v>-2.0782952156363853E-2</v>
      </c>
      <c r="G2421">
        <f t="shared" si="81"/>
        <v>-3.6829951094136913E-2</v>
      </c>
    </row>
    <row r="2422" spans="1:144" ht="12.5" customHeight="1" x14ac:dyDescent="0.35">
      <c r="A2422" t="s">
        <v>131</v>
      </c>
      <c r="E2422">
        <v>-2.2552913003169933E-4</v>
      </c>
      <c r="F2422">
        <f t="shared" si="80"/>
        <v>-2.079837119940451E-2</v>
      </c>
      <c r="G2422">
        <f t="shared" si="81"/>
        <v>-3.6829951094136913E-2</v>
      </c>
    </row>
    <row r="2423" spans="1:144" ht="12.5" customHeight="1" x14ac:dyDescent="0.35">
      <c r="A2423" t="s">
        <v>131</v>
      </c>
      <c r="E2423">
        <v>-1.0147934365150151E-2</v>
      </c>
      <c r="F2423">
        <f t="shared" si="80"/>
        <v>-2.081379024244517E-2</v>
      </c>
      <c r="G2423">
        <f t="shared" si="81"/>
        <v>-3.6829951094136913E-2</v>
      </c>
    </row>
    <row r="2424" spans="1:144" ht="12.5" customHeight="1" x14ac:dyDescent="0.35">
      <c r="A2424" t="s">
        <v>131</v>
      </c>
      <c r="E2424">
        <v>5.1597125092472805E-5</v>
      </c>
      <c r="F2424">
        <f t="shared" si="80"/>
        <v>-2.0829209285485834E-2</v>
      </c>
      <c r="G2424">
        <f t="shared" si="81"/>
        <v>-3.6829951094136913E-2</v>
      </c>
    </row>
    <row r="2425" spans="1:144" ht="12.5" customHeight="1" x14ac:dyDescent="0.35">
      <c r="A2425" t="s">
        <v>131</v>
      </c>
      <c r="E2425">
        <v>-5.1632977087632797E-3</v>
      </c>
      <c r="F2425">
        <f t="shared" si="80"/>
        <v>-2.0844628328526491E-2</v>
      </c>
      <c r="G2425">
        <f t="shared" si="81"/>
        <v>-3.6829951094136913E-2</v>
      </c>
    </row>
    <row r="2426" spans="1:144" ht="12.5" customHeight="1" x14ac:dyDescent="0.35">
      <c r="A2426" t="s">
        <v>131</v>
      </c>
      <c r="E2426">
        <v>7.2915267734310349E-3</v>
      </c>
      <c r="F2426">
        <f t="shared" si="80"/>
        <v>-2.0860047371567152E-2</v>
      </c>
      <c r="G2426">
        <f t="shared" si="81"/>
        <v>-3.6829951094136913E-2</v>
      </c>
    </row>
    <row r="2427" spans="1:144" ht="12.5" customHeight="1" x14ac:dyDescent="0.35">
      <c r="A2427" t="s">
        <v>131</v>
      </c>
      <c r="E2427">
        <v>3.172066300298277E-3</v>
      </c>
      <c r="F2427">
        <f t="shared" si="80"/>
        <v>-2.0875466414607809E-2</v>
      </c>
      <c r="G2427">
        <f t="shared" si="81"/>
        <v>-3.6829951094136913E-2</v>
      </c>
    </row>
    <row r="2428" spans="1:144" ht="12.5" customHeight="1" x14ac:dyDescent="0.35">
      <c r="A2428" t="s">
        <v>131</v>
      </c>
      <c r="E2428">
        <v>4.0929142849927139E-3</v>
      </c>
      <c r="F2428">
        <f t="shared" si="80"/>
        <v>-2.0890885457648469E-2</v>
      </c>
      <c r="G2428">
        <f t="shared" si="81"/>
        <v>-3.6829951094136913E-2</v>
      </c>
    </row>
    <row r="2429" spans="1:144" s="3" customFormat="1" x14ac:dyDescent="0.35">
      <c r="A2429" s="3" t="s">
        <v>132</v>
      </c>
      <c r="B2429" s="3" cm="1">
        <f t="array" ref="B2429">_xlfn.STDEV.S(_xlfn._xlws.FILTER($E$2013:$E$3011, $A$2013:$A$3011="2019-10"))</f>
        <v>9.7452191386858955E-3</v>
      </c>
      <c r="C2429" s="3" cm="1">
        <f t="array" ref="C2429">AVERAGE(_xlfn._xlws.FILTER($E$2013:$E$3011, $A$2013:$A$3011="2019-10"))</f>
        <v>1.1892942431635588E-3</v>
      </c>
      <c r="D2429" s="3" cm="1">
        <f t="array" ref="D2429">_xlfn.PERCENTILE.EXC(_xlfn._xlws.FILTER($E$1498:$E$2489, $A$1498:$A$2489="2019-10"), 0.05)</f>
        <v>-2.6469179657863807E-2</v>
      </c>
      <c r="E2429" s="3">
        <v>-8.1812149537473667E-3</v>
      </c>
      <c r="F2429" s="3">
        <f t="shared" si="80"/>
        <v>-2.0906304500689133E-2</v>
      </c>
      <c r="G2429" s="3">
        <f t="shared" si="81"/>
        <v>-3.6829951094136913E-2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</row>
    <row r="2430" spans="1:144" ht="12.5" customHeight="1" x14ac:dyDescent="0.35">
      <c r="A2430" t="s">
        <v>132</v>
      </c>
      <c r="E2430">
        <v>-2.9120308983266553E-2</v>
      </c>
      <c r="F2430">
        <f t="shared" si="80"/>
        <v>-2.0921723543729794E-2</v>
      </c>
      <c r="G2430">
        <f t="shared" si="81"/>
        <v>-3.6829951094136913E-2</v>
      </c>
    </row>
    <row r="2431" spans="1:144" ht="12.5" customHeight="1" x14ac:dyDescent="0.35">
      <c r="A2431" t="s">
        <v>132</v>
      </c>
      <c r="E2431">
        <v>8.0526651994273606E-3</v>
      </c>
      <c r="F2431">
        <f t="shared" si="80"/>
        <v>-2.070697953173677E-2</v>
      </c>
      <c r="G2431">
        <f t="shared" si="81"/>
        <v>-3.6708896371384109E-2</v>
      </c>
    </row>
    <row r="2432" spans="1:144" ht="12.5" customHeight="1" x14ac:dyDescent="0.35">
      <c r="A2432" t="s">
        <v>132</v>
      </c>
      <c r="E2432">
        <v>8.4276512843699993E-3</v>
      </c>
      <c r="F2432">
        <f t="shared" si="80"/>
        <v>-2.0713707707468595E-2</v>
      </c>
      <c r="G2432">
        <f t="shared" si="81"/>
        <v>-3.6708896371384109E-2</v>
      </c>
    </row>
    <row r="2433" spans="1:7" ht="12.5" customHeight="1" x14ac:dyDescent="0.35">
      <c r="A2433" t="s">
        <v>132</v>
      </c>
      <c r="E2433">
        <v>-1.1446113480581605E-2</v>
      </c>
      <c r="F2433">
        <f t="shared" si="80"/>
        <v>-2.0720435883200418E-2</v>
      </c>
      <c r="G2433">
        <f t="shared" si="81"/>
        <v>-3.6708896371384109E-2</v>
      </c>
    </row>
    <row r="2434" spans="1:7" ht="12.5" customHeight="1" x14ac:dyDescent="0.35">
      <c r="A2434" t="s">
        <v>132</v>
      </c>
      <c r="E2434">
        <v>5.957720308464416E-3</v>
      </c>
      <c r="F2434">
        <f t="shared" si="80"/>
        <v>-2.0727164058932244E-2</v>
      </c>
      <c r="G2434">
        <f t="shared" si="81"/>
        <v>-3.6708896371384109E-2</v>
      </c>
    </row>
    <row r="2435" spans="1:7" ht="12.5" customHeight="1" x14ac:dyDescent="0.35">
      <c r="A2435" t="s">
        <v>132</v>
      </c>
      <c r="E2435">
        <v>1.0291143984292921E-2</v>
      </c>
      <c r="F2435">
        <f t="shared" si="80"/>
        <v>-2.073389223466407E-2</v>
      </c>
      <c r="G2435">
        <f t="shared" si="81"/>
        <v>-3.6708896371384109E-2</v>
      </c>
    </row>
    <row r="2436" spans="1:7" ht="12.5" customHeight="1" x14ac:dyDescent="0.35">
      <c r="A2436" t="s">
        <v>132</v>
      </c>
      <c r="E2436">
        <v>1.8622300089179779E-2</v>
      </c>
      <c r="F2436">
        <f t="shared" ref="F2436:F2499" si="82">_xlfn.PERCENTILE.EXC(E2436:E6251,0.05)</f>
        <v>-2.0740620410395892E-2</v>
      </c>
      <c r="G2436">
        <f t="shared" ref="G2436:G2499" si="83">AVERAGEIFS(E2436:E6252,E2436:E6252,"&lt;=" &amp; F2436)</f>
        <v>-3.6708896371384109E-2</v>
      </c>
    </row>
    <row r="2437" spans="1:7" ht="12.5" customHeight="1" x14ac:dyDescent="0.35">
      <c r="A2437" t="s">
        <v>132</v>
      </c>
      <c r="E2437">
        <v>-3.0454160691255174E-3</v>
      </c>
      <c r="F2437">
        <f t="shared" si="82"/>
        <v>-2.0747348586127718E-2</v>
      </c>
      <c r="G2437">
        <f t="shared" si="83"/>
        <v>-3.6708896371384109E-2</v>
      </c>
    </row>
    <row r="2438" spans="1:7" ht="12.5" customHeight="1" x14ac:dyDescent="0.35">
      <c r="A2438" t="s">
        <v>132</v>
      </c>
      <c r="E2438">
        <v>1.2028047584865734E-2</v>
      </c>
      <c r="F2438">
        <f t="shared" si="82"/>
        <v>-2.0754076761859541E-2</v>
      </c>
      <c r="G2438">
        <f t="shared" si="83"/>
        <v>-3.6708896371384109E-2</v>
      </c>
    </row>
    <row r="2439" spans="1:7" ht="12.5" customHeight="1" x14ac:dyDescent="0.35">
      <c r="A2439" t="s">
        <v>132</v>
      </c>
      <c r="E2439">
        <v>2.8017520001473203E-3</v>
      </c>
      <c r="F2439">
        <f t="shared" si="82"/>
        <v>-2.0760804937591366E-2</v>
      </c>
      <c r="G2439">
        <f t="shared" si="83"/>
        <v>-3.6708896371384109E-2</v>
      </c>
    </row>
    <row r="2440" spans="1:7" ht="12.5" customHeight="1" x14ac:dyDescent="0.35">
      <c r="A2440" t="s">
        <v>132</v>
      </c>
      <c r="E2440">
        <v>-2.339983247785614E-3</v>
      </c>
      <c r="F2440">
        <f t="shared" si="82"/>
        <v>-2.0767533113323192E-2</v>
      </c>
      <c r="G2440">
        <f t="shared" si="83"/>
        <v>-3.6708896371384109E-2</v>
      </c>
    </row>
    <row r="2441" spans="1:7" ht="12.5" customHeight="1" x14ac:dyDescent="0.35">
      <c r="A2441" t="s">
        <v>132</v>
      </c>
      <c r="E2441">
        <v>-2.4117724024655613E-3</v>
      </c>
      <c r="F2441">
        <f t="shared" si="82"/>
        <v>-2.0782952156363853E-2</v>
      </c>
      <c r="G2441">
        <f t="shared" si="83"/>
        <v>-3.6943328184002651E-2</v>
      </c>
    </row>
    <row r="2442" spans="1:7" ht="12.5" customHeight="1" x14ac:dyDescent="0.35">
      <c r="A2442" t="s">
        <v>132</v>
      </c>
      <c r="E2442">
        <v>6.9830703254521792E-3</v>
      </c>
      <c r="F2442">
        <f t="shared" si="82"/>
        <v>-2.079837119940451E-2</v>
      </c>
      <c r="G2442">
        <f t="shared" si="83"/>
        <v>-3.6943328184002651E-2</v>
      </c>
    </row>
    <row r="2443" spans="1:7" ht="12.5" customHeight="1" x14ac:dyDescent="0.35">
      <c r="A2443" t="s">
        <v>132</v>
      </c>
      <c r="E2443">
        <v>3.9541628976469384E-4</v>
      </c>
      <c r="F2443">
        <f t="shared" si="82"/>
        <v>-2.081379024244517E-2</v>
      </c>
      <c r="G2443">
        <f t="shared" si="83"/>
        <v>-3.6943328184002651E-2</v>
      </c>
    </row>
    <row r="2444" spans="1:7" ht="12.5" customHeight="1" x14ac:dyDescent="0.35">
      <c r="A2444" t="s">
        <v>132</v>
      </c>
      <c r="E2444">
        <v>-6.0667274254539673E-3</v>
      </c>
      <c r="F2444">
        <f t="shared" si="82"/>
        <v>-2.0829209285485834E-2</v>
      </c>
      <c r="G2444">
        <f t="shared" si="83"/>
        <v>-3.6943328184002651E-2</v>
      </c>
    </row>
    <row r="2445" spans="1:7" ht="12.5" customHeight="1" x14ac:dyDescent="0.35">
      <c r="A2445" t="s">
        <v>132</v>
      </c>
      <c r="E2445">
        <v>7.8590392715903231E-3</v>
      </c>
      <c r="F2445">
        <f t="shared" si="82"/>
        <v>-2.0844628328526491E-2</v>
      </c>
      <c r="G2445">
        <f t="shared" si="83"/>
        <v>-3.6943328184002651E-2</v>
      </c>
    </row>
    <row r="2446" spans="1:7" ht="12.5" customHeight="1" x14ac:dyDescent="0.35">
      <c r="A2446" t="s">
        <v>132</v>
      </c>
      <c r="E2446">
        <v>3.6143808867750244E-3</v>
      </c>
      <c r="F2446">
        <f t="shared" si="82"/>
        <v>-2.0860047371567152E-2</v>
      </c>
      <c r="G2446">
        <f t="shared" si="83"/>
        <v>-3.6943328184002651E-2</v>
      </c>
    </row>
    <row r="2447" spans="1:7" ht="12.5" customHeight="1" x14ac:dyDescent="0.35">
      <c r="A2447" t="s">
        <v>132</v>
      </c>
      <c r="E2447">
        <v>3.825220762534485E-3</v>
      </c>
      <c r="F2447">
        <f t="shared" si="82"/>
        <v>-2.0875466414607809E-2</v>
      </c>
      <c r="G2447">
        <f t="shared" si="83"/>
        <v>-3.6943328184002651E-2</v>
      </c>
    </row>
    <row r="2448" spans="1:7" ht="12.5" customHeight="1" x14ac:dyDescent="0.35">
      <c r="A2448" t="s">
        <v>132</v>
      </c>
      <c r="E2448">
        <v>-6.5672936164241089E-4</v>
      </c>
      <c r="F2448">
        <f t="shared" si="82"/>
        <v>-2.0890885457648469E-2</v>
      </c>
      <c r="G2448">
        <f t="shared" si="83"/>
        <v>-3.6943328184002651E-2</v>
      </c>
    </row>
    <row r="2449" spans="1:144" ht="12.5" customHeight="1" x14ac:dyDescent="0.35">
      <c r="A2449" t="s">
        <v>132</v>
      </c>
      <c r="E2449">
        <v>-1.529337674932651E-3</v>
      </c>
      <c r="F2449">
        <f t="shared" si="82"/>
        <v>-2.0906304500689133E-2</v>
      </c>
      <c r="G2449">
        <f t="shared" si="83"/>
        <v>-3.6943328184002651E-2</v>
      </c>
    </row>
    <row r="2450" spans="1:144" ht="12.5" customHeight="1" x14ac:dyDescent="0.35">
      <c r="A2450" t="s">
        <v>132</v>
      </c>
      <c r="E2450">
        <v>2.1036689617353046E-3</v>
      </c>
      <c r="F2450">
        <f t="shared" si="82"/>
        <v>-2.0921723543729794E-2</v>
      </c>
      <c r="G2450">
        <f t="shared" si="83"/>
        <v>-3.6943328184002651E-2</v>
      </c>
    </row>
    <row r="2451" spans="1:144" s="3" customFormat="1" x14ac:dyDescent="0.35">
      <c r="A2451" s="3" t="s">
        <v>133</v>
      </c>
      <c r="B2451" s="3" cm="1">
        <f t="array" ref="B2451">_xlfn.STDEV.S(_xlfn._xlws.FILTER($E$2013:$E$3011, $A$2013:$A$3011="2019-11"))</f>
        <v>6.6095620346862845E-3</v>
      </c>
      <c r="C2451" s="3" cm="1">
        <f t="array" ref="C2451">AVERAGE(_xlfn._xlws.FILTER($E$2013:$E$3011, $A$2013:$A$3011="2019-11"))</f>
        <v>1.1721859228800292E-3</v>
      </c>
      <c r="D2451" s="3" cm="1">
        <f t="array" ref="D2451">_xlfn.PERCENTILE.EXC(_xlfn._xlws.FILTER($E$1498:$E$2489, $A$1498:$A$2489="2019-11"), 0.05)</f>
        <v>-8.3517784932952439E-3</v>
      </c>
      <c r="E2451" s="3">
        <v>1.0544041121490605E-2</v>
      </c>
      <c r="F2451" s="3">
        <f t="shared" si="82"/>
        <v>-2.0937142586770451E-2</v>
      </c>
      <c r="G2451" s="3">
        <f t="shared" si="83"/>
        <v>-3.6943328184002651E-2</v>
      </c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</row>
    <row r="2452" spans="1:144" ht="12.5" customHeight="1" x14ac:dyDescent="0.35">
      <c r="A2452" t="s">
        <v>133</v>
      </c>
      <c r="E2452">
        <v>1.6309319625830432E-2</v>
      </c>
      <c r="F2452">
        <f t="shared" si="82"/>
        <v>-2.0952561629811111E-2</v>
      </c>
      <c r="G2452">
        <f t="shared" si="83"/>
        <v>-3.6943328184002651E-2</v>
      </c>
    </row>
    <row r="2453" spans="1:144" ht="12.5" customHeight="1" x14ac:dyDescent="0.35">
      <c r="A2453" t="s">
        <v>133</v>
      </c>
      <c r="E2453">
        <v>2.2876740648402542E-3</v>
      </c>
      <c r="F2453">
        <f t="shared" si="82"/>
        <v>-2.0967980672851768E-2</v>
      </c>
      <c r="G2453">
        <f t="shared" si="83"/>
        <v>-3.6943328184002651E-2</v>
      </c>
    </row>
    <row r="2454" spans="1:144" ht="12.5" customHeight="1" x14ac:dyDescent="0.35">
      <c r="A2454" t="s">
        <v>133</v>
      </c>
      <c r="E2454">
        <v>3.594502503932847E-4</v>
      </c>
      <c r="F2454">
        <f t="shared" si="82"/>
        <v>-2.0983399715892432E-2</v>
      </c>
      <c r="G2454">
        <f t="shared" si="83"/>
        <v>-3.6943328184002651E-2</v>
      </c>
    </row>
    <row r="2455" spans="1:144" ht="12.5" customHeight="1" x14ac:dyDescent="0.35">
      <c r="A2455" t="s">
        <v>133</v>
      </c>
      <c r="E2455">
        <v>5.5384264661801031E-3</v>
      </c>
      <c r="F2455">
        <f t="shared" si="82"/>
        <v>-2.0998818758933092E-2</v>
      </c>
      <c r="G2455">
        <f t="shared" si="83"/>
        <v>-3.6943328184002651E-2</v>
      </c>
    </row>
    <row r="2456" spans="1:144" ht="12.5" customHeight="1" x14ac:dyDescent="0.35">
      <c r="A2456" t="s">
        <v>133</v>
      </c>
      <c r="E2456">
        <v>1.33765575612873E-3</v>
      </c>
      <c r="F2456">
        <f t="shared" si="82"/>
        <v>-2.1014237801973749E-2</v>
      </c>
      <c r="G2456">
        <f t="shared" si="83"/>
        <v>-3.6943328184002651E-2</v>
      </c>
    </row>
    <row r="2457" spans="1:144" ht="12.5" customHeight="1" x14ac:dyDescent="0.35">
      <c r="A2457" t="s">
        <v>133</v>
      </c>
      <c r="E2457">
        <v>-1.8951860900056974E-3</v>
      </c>
      <c r="F2457">
        <f t="shared" si="82"/>
        <v>-2.102965684501441E-2</v>
      </c>
      <c r="G2457">
        <f t="shared" si="83"/>
        <v>-3.6943328184002651E-2</v>
      </c>
    </row>
    <row r="2458" spans="1:144" ht="12.5" customHeight="1" x14ac:dyDescent="0.35">
      <c r="A2458" t="s">
        <v>133</v>
      </c>
      <c r="E2458">
        <v>1.2363480611829365E-2</v>
      </c>
      <c r="F2458">
        <f t="shared" si="82"/>
        <v>-2.104507588805507E-2</v>
      </c>
      <c r="G2458">
        <f t="shared" si="83"/>
        <v>-3.6943328184002651E-2</v>
      </c>
    </row>
    <row r="2459" spans="1:144" ht="12.5" customHeight="1" x14ac:dyDescent="0.35">
      <c r="A2459" t="s">
        <v>133</v>
      </c>
      <c r="E2459">
        <v>-8.6029882431942952E-3</v>
      </c>
      <c r="F2459">
        <f t="shared" si="82"/>
        <v>-2.1060494931095731E-2</v>
      </c>
      <c r="G2459">
        <f t="shared" si="83"/>
        <v>-3.6943328184002651E-2</v>
      </c>
    </row>
    <row r="2460" spans="1:144" ht="12.5" customHeight="1" x14ac:dyDescent="0.35">
      <c r="A2460" t="s">
        <v>133</v>
      </c>
      <c r="E2460">
        <v>-4.125821995395542E-3</v>
      </c>
      <c r="F2460">
        <f t="shared" si="82"/>
        <v>-2.1075913974136391E-2</v>
      </c>
      <c r="G2460">
        <f t="shared" si="83"/>
        <v>-3.6943328184002651E-2</v>
      </c>
    </row>
    <row r="2461" spans="1:144" ht="12.5" customHeight="1" x14ac:dyDescent="0.35">
      <c r="A2461" t="s">
        <v>133</v>
      </c>
      <c r="E2461">
        <v>4.556631495641097E-3</v>
      </c>
      <c r="F2461">
        <f t="shared" si="82"/>
        <v>-2.1087642703534477E-2</v>
      </c>
      <c r="G2461">
        <f t="shared" si="83"/>
        <v>-3.7180155261761841E-2</v>
      </c>
    </row>
    <row r="2462" spans="1:144" ht="12.5" customHeight="1" x14ac:dyDescent="0.35">
      <c r="A2462" t="s">
        <v>133</v>
      </c>
      <c r="E2462">
        <v>-5.2966412385771081E-3</v>
      </c>
      <c r="F2462">
        <f t="shared" si="82"/>
        <v>-2.1099371432932564E-2</v>
      </c>
      <c r="G2462">
        <f t="shared" si="83"/>
        <v>-3.7180155261761841E-2</v>
      </c>
    </row>
    <row r="2463" spans="1:144" ht="12.5" customHeight="1" x14ac:dyDescent="0.35">
      <c r="A2463" t="s">
        <v>133</v>
      </c>
      <c r="E2463">
        <v>-5.7602558254733109E-3</v>
      </c>
      <c r="F2463">
        <f t="shared" si="82"/>
        <v>-2.111110016233065E-2</v>
      </c>
      <c r="G2463">
        <f t="shared" si="83"/>
        <v>-3.7180155261761841E-2</v>
      </c>
    </row>
    <row r="2464" spans="1:144" ht="12.5" customHeight="1" x14ac:dyDescent="0.35">
      <c r="A2464" t="s">
        <v>133</v>
      </c>
      <c r="E2464">
        <v>9.6698899310850679E-4</v>
      </c>
      <c r="F2464">
        <f t="shared" si="82"/>
        <v>-2.1122828891728739E-2</v>
      </c>
      <c r="G2464">
        <f t="shared" si="83"/>
        <v>-3.7180155261761841E-2</v>
      </c>
    </row>
    <row r="2465" spans="1:144" ht="12.5" customHeight="1" x14ac:dyDescent="0.35">
      <c r="A2465" t="s">
        <v>133</v>
      </c>
      <c r="E2465">
        <v>-3.0880398260718788E-3</v>
      </c>
      <c r="F2465">
        <f t="shared" si="82"/>
        <v>-2.1134557621126825E-2</v>
      </c>
      <c r="G2465">
        <f t="shared" si="83"/>
        <v>-3.7180155261761841E-2</v>
      </c>
    </row>
    <row r="2466" spans="1:144" ht="12.5" customHeight="1" x14ac:dyDescent="0.35">
      <c r="A2466" t="s">
        <v>133</v>
      </c>
      <c r="E2466">
        <v>-8.5862404548969241E-4</v>
      </c>
      <c r="F2466">
        <f t="shared" si="82"/>
        <v>-2.1146286350524911E-2</v>
      </c>
      <c r="G2466">
        <f t="shared" si="83"/>
        <v>-3.7180155261761841E-2</v>
      </c>
    </row>
    <row r="2467" spans="1:144" ht="12.5" customHeight="1" x14ac:dyDescent="0.35">
      <c r="A2467" t="s">
        <v>133</v>
      </c>
      <c r="E2467">
        <v>8.879283540205769E-3</v>
      </c>
      <c r="F2467">
        <f t="shared" si="82"/>
        <v>-2.1158015079922998E-2</v>
      </c>
      <c r="G2467">
        <f t="shared" si="83"/>
        <v>-3.7180155261761841E-2</v>
      </c>
    </row>
    <row r="2468" spans="1:144" ht="12.5" customHeight="1" x14ac:dyDescent="0.35">
      <c r="A2468" t="s">
        <v>133</v>
      </c>
      <c r="E2468">
        <v>3.3747548451412358E-3</v>
      </c>
      <c r="F2468">
        <f t="shared" si="82"/>
        <v>-2.1169743809321084E-2</v>
      </c>
      <c r="G2468">
        <f t="shared" si="83"/>
        <v>-3.7180155261761841E-2</v>
      </c>
    </row>
    <row r="2469" spans="1:144" ht="12.5" customHeight="1" x14ac:dyDescent="0.35">
      <c r="A2469" t="s">
        <v>133</v>
      </c>
      <c r="E2469">
        <v>-2.6173900973638546E-3</v>
      </c>
      <c r="F2469">
        <f t="shared" si="82"/>
        <v>-2.1181472538719173E-2</v>
      </c>
      <c r="G2469">
        <f t="shared" si="83"/>
        <v>-3.7180155261761841E-2</v>
      </c>
    </row>
    <row r="2470" spans="1:144" ht="12.5" customHeight="1" x14ac:dyDescent="0.35">
      <c r="A2470" t="s">
        <v>133</v>
      </c>
      <c r="E2470">
        <v>-6.0908907442037766E-3</v>
      </c>
      <c r="F2470">
        <f t="shared" si="82"/>
        <v>-2.1193201268117259E-2</v>
      </c>
      <c r="G2470">
        <f t="shared" si="83"/>
        <v>-3.7180155261761841E-2</v>
      </c>
    </row>
    <row r="2471" spans="1:144" ht="12.5" customHeight="1" x14ac:dyDescent="0.35">
      <c r="A2471" t="s">
        <v>133</v>
      </c>
      <c r="E2471">
        <v>-3.565964284533615E-3</v>
      </c>
      <c r="F2471">
        <f t="shared" si="82"/>
        <v>-2.1204929997515345E-2</v>
      </c>
      <c r="G2471">
        <f t="shared" si="83"/>
        <v>-3.7180155261761841E-2</v>
      </c>
    </row>
    <row r="2472" spans="1:144" s="3" customFormat="1" x14ac:dyDescent="0.35">
      <c r="A2472" s="3" t="s">
        <v>134</v>
      </c>
      <c r="B2472" s="3" cm="1">
        <f t="array" ref="B2472">_xlfn.STDEV.S(_xlfn._xlws.FILTER($E$2013:$E$3011, $A$2013:$A$3011="2019-12"))</f>
        <v>9.2967666511426621E-3</v>
      </c>
      <c r="C2472" s="3" cm="1">
        <f t="array" ref="C2472">AVERAGE(_xlfn._xlws.FILTER($E$2013:$E$3011, $A$2013:$A$3011="2019-12"))</f>
        <v>5.8695035490110062E-4</v>
      </c>
      <c r="D2472" s="3" cm="1">
        <f t="array" ref="D2472">_xlfn.PERCENTILE.INC(_xlfn._xlws.FILTER($E$1498:$E$2489, $A$1498:$A$2489="2019-12"), 0.05)</f>
        <v>-1.2498787157846124E-2</v>
      </c>
      <c r="E2472" s="3">
        <v>-2.3082738476258489E-2</v>
      </c>
      <c r="F2472" s="3">
        <f t="shared" si="82"/>
        <v>-2.1216658726913432E-2</v>
      </c>
      <c r="G2472" s="3">
        <f t="shared" si="83"/>
        <v>-3.7180155261761841E-2</v>
      </c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</row>
    <row r="2473" spans="1:144" ht="12.5" customHeight="1" x14ac:dyDescent="0.35">
      <c r="A2473" t="s">
        <v>134</v>
      </c>
      <c r="E2473">
        <v>3.4883892639511944E-4</v>
      </c>
      <c r="F2473">
        <f t="shared" si="82"/>
        <v>-2.0967980672851768E-2</v>
      </c>
      <c r="G2473">
        <f t="shared" si="83"/>
        <v>-3.7150202657252558E-2</v>
      </c>
    </row>
    <row r="2474" spans="1:144" ht="12.5" customHeight="1" x14ac:dyDescent="0.35">
      <c r="A2474" t="s">
        <v>134</v>
      </c>
      <c r="E2474">
        <v>1.3007625715070876E-2</v>
      </c>
      <c r="F2474">
        <f t="shared" si="82"/>
        <v>-2.0983399715892432E-2</v>
      </c>
      <c r="G2474">
        <f t="shared" si="83"/>
        <v>-3.7150202657252558E-2</v>
      </c>
    </row>
    <row r="2475" spans="1:144" ht="12.5" customHeight="1" x14ac:dyDescent="0.35">
      <c r="A2475" t="s">
        <v>134</v>
      </c>
      <c r="E2475">
        <v>-2.8171726933060564E-3</v>
      </c>
      <c r="F2475">
        <f t="shared" si="82"/>
        <v>-2.0998818758933092E-2</v>
      </c>
      <c r="G2475">
        <f t="shared" si="83"/>
        <v>-3.7150202657252558E-2</v>
      </c>
    </row>
    <row r="2476" spans="1:144" ht="12.5" customHeight="1" x14ac:dyDescent="0.35">
      <c r="A2476" t="s">
        <v>134</v>
      </c>
      <c r="E2476">
        <v>9.2442782317584335E-3</v>
      </c>
      <c r="F2476">
        <f t="shared" si="82"/>
        <v>-2.1014237801973749E-2</v>
      </c>
      <c r="G2476">
        <f t="shared" si="83"/>
        <v>-3.7150202657252558E-2</v>
      </c>
    </row>
    <row r="2477" spans="1:144" ht="12.5" customHeight="1" x14ac:dyDescent="0.35">
      <c r="A2477" t="s">
        <v>134</v>
      </c>
      <c r="E2477">
        <v>-9.7886286500879546E-3</v>
      </c>
      <c r="F2477">
        <f t="shared" si="82"/>
        <v>-2.102965684501441E-2</v>
      </c>
      <c r="G2477">
        <f t="shared" si="83"/>
        <v>-3.7150202657252558E-2</v>
      </c>
    </row>
    <row r="2478" spans="1:144" ht="12.5" customHeight="1" x14ac:dyDescent="0.35">
      <c r="A2478" t="s">
        <v>134</v>
      </c>
      <c r="E2478">
        <v>7.2014637704071183E-3</v>
      </c>
      <c r="F2478">
        <f t="shared" si="82"/>
        <v>-2.104507588805507E-2</v>
      </c>
      <c r="G2478">
        <f t="shared" si="83"/>
        <v>-3.7150202657252558E-2</v>
      </c>
    </row>
    <row r="2479" spans="1:144" ht="12.5" customHeight="1" x14ac:dyDescent="0.35">
      <c r="A2479" t="s">
        <v>134</v>
      </c>
      <c r="E2479">
        <v>1.4183706848586934E-3</v>
      </c>
      <c r="F2479">
        <f t="shared" si="82"/>
        <v>-2.1060494931095731E-2</v>
      </c>
      <c r="G2479">
        <f t="shared" si="83"/>
        <v>-3.7150202657252558E-2</v>
      </c>
    </row>
    <row r="2480" spans="1:144" ht="12.5" customHeight="1" x14ac:dyDescent="0.35">
      <c r="A2480" t="s">
        <v>134</v>
      </c>
      <c r="E2480">
        <v>1.0110816049651028E-2</v>
      </c>
      <c r="F2480">
        <f t="shared" si="82"/>
        <v>-2.1075913974136391E-2</v>
      </c>
      <c r="G2480">
        <f t="shared" si="83"/>
        <v>-3.7150202657252558E-2</v>
      </c>
    </row>
    <row r="2481" spans="1:144" ht="12.5" customHeight="1" x14ac:dyDescent="0.35">
      <c r="A2481" t="s">
        <v>134</v>
      </c>
      <c r="E2481">
        <v>-2.6378281863906144E-3</v>
      </c>
      <c r="F2481">
        <f t="shared" si="82"/>
        <v>-2.1087642703534477E-2</v>
      </c>
      <c r="G2481">
        <f t="shared" si="83"/>
        <v>-3.7393752485784623E-2</v>
      </c>
    </row>
    <row r="2482" spans="1:144" ht="12.5" customHeight="1" x14ac:dyDescent="0.35">
      <c r="A2482" t="s">
        <v>134</v>
      </c>
      <c r="E2482">
        <v>8.3421162739280522E-3</v>
      </c>
      <c r="F2482">
        <f t="shared" si="82"/>
        <v>-2.1099371432932564E-2</v>
      </c>
      <c r="G2482">
        <f t="shared" si="83"/>
        <v>-3.7393752485784623E-2</v>
      </c>
    </row>
    <row r="2483" spans="1:144" ht="12.5" customHeight="1" x14ac:dyDescent="0.35">
      <c r="A2483" t="s">
        <v>134</v>
      </c>
      <c r="E2483">
        <v>4.4961928575185574E-3</v>
      </c>
      <c r="F2483">
        <f t="shared" si="82"/>
        <v>-2.111110016233065E-2</v>
      </c>
      <c r="G2483">
        <f t="shared" si="83"/>
        <v>-3.7393752485784623E-2</v>
      </c>
    </row>
    <row r="2484" spans="1:144" ht="12.5" customHeight="1" x14ac:dyDescent="0.35">
      <c r="A2484" t="s">
        <v>134</v>
      </c>
      <c r="E2484">
        <v>-8.0406875762237349E-5</v>
      </c>
      <c r="F2484">
        <f t="shared" si="82"/>
        <v>-2.1122828891728739E-2</v>
      </c>
      <c r="G2484">
        <f t="shared" si="83"/>
        <v>-3.7393752485784623E-2</v>
      </c>
    </row>
    <row r="2485" spans="1:144" ht="12.5" customHeight="1" x14ac:dyDescent="0.35">
      <c r="A2485" t="s">
        <v>134</v>
      </c>
      <c r="E2485">
        <v>3.3829227148947406E-3</v>
      </c>
      <c r="F2485">
        <f t="shared" si="82"/>
        <v>-2.1134557621126825E-2</v>
      </c>
      <c r="G2485">
        <f t="shared" si="83"/>
        <v>-3.7393752485784623E-2</v>
      </c>
    </row>
    <row r="2486" spans="1:144" ht="12.5" customHeight="1" x14ac:dyDescent="0.35">
      <c r="A2486" t="s">
        <v>134</v>
      </c>
      <c r="E2486">
        <v>1.2353293311190667E-2</v>
      </c>
      <c r="F2486">
        <f t="shared" si="82"/>
        <v>-2.1146286350524911E-2</v>
      </c>
      <c r="G2486">
        <f t="shared" si="83"/>
        <v>-3.7393752485784623E-2</v>
      </c>
    </row>
    <row r="2487" spans="1:144" ht="12.5" customHeight="1" x14ac:dyDescent="0.35">
      <c r="A2487" t="s">
        <v>134</v>
      </c>
      <c r="E2487">
        <v>-4.3931375488143092E-3</v>
      </c>
      <c r="F2487">
        <f t="shared" si="82"/>
        <v>-2.1158015079922998E-2</v>
      </c>
      <c r="G2487">
        <f t="shared" si="83"/>
        <v>-3.7393752485784623E-2</v>
      </c>
    </row>
    <row r="2488" spans="1:144" ht="12.5" customHeight="1" x14ac:dyDescent="0.35">
      <c r="A2488" t="s">
        <v>134</v>
      </c>
      <c r="E2488">
        <v>-5.9098686740016353E-3</v>
      </c>
      <c r="F2488">
        <f t="shared" si="82"/>
        <v>-2.1169743809321084E-2</v>
      </c>
      <c r="G2488">
        <f t="shared" si="83"/>
        <v>-3.7393752485784623E-2</v>
      </c>
    </row>
    <row r="2489" spans="1:144" ht="12.5" customHeight="1" x14ac:dyDescent="0.35">
      <c r="A2489" t="s">
        <v>134</v>
      </c>
      <c r="E2489">
        <v>-1.0631031042832178E-2</v>
      </c>
      <c r="F2489">
        <f t="shared" si="82"/>
        <v>-2.1181472538719173E-2</v>
      </c>
      <c r="G2489">
        <f t="shared" si="83"/>
        <v>-3.7393752485784623E-2</v>
      </c>
    </row>
    <row r="2490" spans="1:144" s="3" customFormat="1" x14ac:dyDescent="0.35">
      <c r="A2490" s="3" t="s">
        <v>135</v>
      </c>
      <c r="B2490" s="3" cm="1">
        <f t="array" ref="B2490">_xlfn.STDEV.S(_xlfn._xlws.FILTER($E$2013:$E$3011, $A$2013:$A$3011="2020-01"))</f>
        <v>1.1605572013354541E-2</v>
      </c>
      <c r="C2490" s="3" cm="1">
        <f t="array" ref="C2490">AVERAGE(_xlfn._xlws.FILTER($E$2013:$E$3011, $A$2013:$A$3011="2020-01"))</f>
        <v>-5.2383278789274249E-4</v>
      </c>
      <c r="D2490" s="3" cm="1">
        <f t="array" ref="D2490">_xlfn.PERCENTILE.EXC(_xlfn._xlws.FILTER($E$2490:$E$3818, $A$2490:$A$3818="2020-01"), 0.05)</f>
        <v>-2.331200668754781E-2</v>
      </c>
      <c r="E2490" s="3">
        <v>1.3936502446952057E-2</v>
      </c>
      <c r="F2490" s="3">
        <f t="shared" si="82"/>
        <v>-2.1193201268117259E-2</v>
      </c>
      <c r="G2490" s="3">
        <f t="shared" si="83"/>
        <v>-3.7393752485784623E-2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</row>
    <row r="2491" spans="1:144" ht="12.5" customHeight="1" x14ac:dyDescent="0.35">
      <c r="A2491" t="s">
        <v>135</v>
      </c>
      <c r="E2491">
        <v>-5.6337513521040649E-3</v>
      </c>
      <c r="F2491">
        <f t="shared" si="82"/>
        <v>-2.1204929997515345E-2</v>
      </c>
      <c r="G2491">
        <f t="shared" si="83"/>
        <v>-3.7393752485784623E-2</v>
      </c>
    </row>
    <row r="2492" spans="1:144" ht="12.5" customHeight="1" x14ac:dyDescent="0.35">
      <c r="A2492" t="s">
        <v>135</v>
      </c>
      <c r="E2492">
        <v>-5.1205983516202803E-3</v>
      </c>
      <c r="F2492">
        <f t="shared" si="82"/>
        <v>-2.1216658726913432E-2</v>
      </c>
      <c r="G2492">
        <f t="shared" si="83"/>
        <v>-3.7393752485784623E-2</v>
      </c>
    </row>
    <row r="2493" spans="1:144" ht="12.5" customHeight="1" x14ac:dyDescent="0.35">
      <c r="A2493" t="s">
        <v>135</v>
      </c>
      <c r="E2493">
        <v>6.0074587701476473E-3</v>
      </c>
      <c r="F2493">
        <f t="shared" si="82"/>
        <v>-2.1228387456311518E-2</v>
      </c>
      <c r="G2493">
        <f t="shared" si="83"/>
        <v>-3.7393752485784623E-2</v>
      </c>
    </row>
    <row r="2494" spans="1:144" ht="12.5" customHeight="1" x14ac:dyDescent="0.35">
      <c r="A2494" t="s">
        <v>135</v>
      </c>
      <c r="E2494">
        <v>4.5689948563037491E-3</v>
      </c>
      <c r="F2494">
        <f t="shared" si="82"/>
        <v>-2.1240116185709607E-2</v>
      </c>
      <c r="G2494">
        <f t="shared" si="83"/>
        <v>-3.7393752485784623E-2</v>
      </c>
    </row>
    <row r="2495" spans="1:144" ht="12.5" customHeight="1" x14ac:dyDescent="0.35">
      <c r="A2495" t="s">
        <v>135</v>
      </c>
      <c r="E2495">
        <v>7.719367083093444E-3</v>
      </c>
      <c r="F2495">
        <f t="shared" si="82"/>
        <v>-2.1251844915107693E-2</v>
      </c>
      <c r="G2495">
        <f t="shared" si="83"/>
        <v>-3.7393752485784623E-2</v>
      </c>
    </row>
    <row r="2496" spans="1:144" ht="12.5" customHeight="1" x14ac:dyDescent="0.35">
      <c r="A2496" t="s">
        <v>135</v>
      </c>
      <c r="E2496">
        <v>1.9567801453426547E-4</v>
      </c>
      <c r="F2496">
        <f t="shared" si="82"/>
        <v>-2.1263573644505779E-2</v>
      </c>
      <c r="G2496">
        <f t="shared" si="83"/>
        <v>-3.7393752485784623E-2</v>
      </c>
    </row>
    <row r="2497" spans="1:144" ht="12.5" customHeight="1" x14ac:dyDescent="0.35">
      <c r="A2497" t="s">
        <v>135</v>
      </c>
      <c r="E2497">
        <v>-5.2093287822963094E-3</v>
      </c>
      <c r="F2497">
        <f t="shared" si="82"/>
        <v>-2.1275302373903866E-2</v>
      </c>
      <c r="G2497">
        <f t="shared" si="83"/>
        <v>-3.7393752485784623E-2</v>
      </c>
    </row>
    <row r="2498" spans="1:144" ht="12.5" customHeight="1" x14ac:dyDescent="0.35">
      <c r="A2498" t="s">
        <v>135</v>
      </c>
      <c r="E2498">
        <v>1.3223266843739357E-3</v>
      </c>
      <c r="F2498">
        <f t="shared" si="82"/>
        <v>-2.1287031103301952E-2</v>
      </c>
      <c r="G2498">
        <f t="shared" si="83"/>
        <v>-3.7393752485784623E-2</v>
      </c>
    </row>
    <row r="2499" spans="1:144" ht="12.5" customHeight="1" x14ac:dyDescent="0.35">
      <c r="A2499" t="s">
        <v>135</v>
      </c>
      <c r="E2499">
        <v>-6.892158406077601E-3</v>
      </c>
      <c r="F2499">
        <f t="shared" si="82"/>
        <v>-2.1298759832700041E-2</v>
      </c>
      <c r="G2499">
        <f t="shared" si="83"/>
        <v>-3.7393752485784623E-2</v>
      </c>
    </row>
    <row r="2500" spans="1:144" ht="12.5" customHeight="1" x14ac:dyDescent="0.35">
      <c r="A2500" t="s">
        <v>135</v>
      </c>
      <c r="E2500">
        <v>7.4018869198369443E-3</v>
      </c>
      <c r="F2500">
        <f t="shared" ref="F2500:F2563" si="84">_xlfn.PERCENTILE.EXC(E2500:E6315,0.05)</f>
        <v>-2.1310488562098127E-2</v>
      </c>
      <c r="G2500">
        <f t="shared" ref="G2500:G2563" si="85">AVERAGEIFS(E2500:E6316,E2500:E6316,"&lt;=" &amp; F2500)</f>
        <v>-3.7393752485784623E-2</v>
      </c>
    </row>
    <row r="2501" spans="1:144" ht="12.5" customHeight="1" x14ac:dyDescent="0.35">
      <c r="A2501" t="s">
        <v>135</v>
      </c>
      <c r="E2501">
        <v>8.3467133273526697E-3</v>
      </c>
      <c r="F2501">
        <f t="shared" si="84"/>
        <v>-2.1316589794287643E-2</v>
      </c>
      <c r="G2501">
        <f t="shared" si="85"/>
        <v>-3.7641187315379798E-2</v>
      </c>
    </row>
    <row r="2502" spans="1:144" ht="12.5" customHeight="1" x14ac:dyDescent="0.35">
      <c r="A2502" t="s">
        <v>135</v>
      </c>
      <c r="E2502">
        <v>-5.7586309881040021E-3</v>
      </c>
      <c r="F2502">
        <f t="shared" si="84"/>
        <v>-2.1322691026477162E-2</v>
      </c>
      <c r="G2502">
        <f t="shared" si="85"/>
        <v>-3.7641187315379798E-2</v>
      </c>
    </row>
    <row r="2503" spans="1:144" ht="12.5" customHeight="1" x14ac:dyDescent="0.35">
      <c r="A2503" t="s">
        <v>135</v>
      </c>
      <c r="E2503">
        <v>-6.5696142862155986E-3</v>
      </c>
      <c r="F2503">
        <f t="shared" si="84"/>
        <v>-2.1328792258666678E-2</v>
      </c>
      <c r="G2503">
        <f t="shared" si="85"/>
        <v>-3.7641187315379798E-2</v>
      </c>
    </row>
    <row r="2504" spans="1:144" ht="12.5" customHeight="1" x14ac:dyDescent="0.35">
      <c r="A2504" t="s">
        <v>135</v>
      </c>
      <c r="E2504">
        <v>-5.8458804125208564E-3</v>
      </c>
      <c r="F2504">
        <f t="shared" si="84"/>
        <v>-2.1334893490856197E-2</v>
      </c>
      <c r="G2504">
        <f t="shared" si="85"/>
        <v>-3.7641187315379798E-2</v>
      </c>
    </row>
    <row r="2505" spans="1:144" ht="12.5" customHeight="1" x14ac:dyDescent="0.35">
      <c r="A2505" t="s">
        <v>135</v>
      </c>
      <c r="E2505">
        <v>3.2058488183333273E-5</v>
      </c>
      <c r="F2505">
        <f t="shared" si="84"/>
        <v>-2.1340994723045712E-2</v>
      </c>
      <c r="G2505">
        <f t="shared" si="85"/>
        <v>-3.7641187315379798E-2</v>
      </c>
    </row>
    <row r="2506" spans="1:144" ht="12.5" customHeight="1" x14ac:dyDescent="0.35">
      <c r="A2506" t="s">
        <v>135</v>
      </c>
      <c r="E2506">
        <v>1.0994280157811677E-2</v>
      </c>
      <c r="F2506">
        <f t="shared" si="84"/>
        <v>-2.1347095955235228E-2</v>
      </c>
      <c r="G2506">
        <f t="shared" si="85"/>
        <v>-3.7641187315379798E-2</v>
      </c>
    </row>
    <row r="2507" spans="1:144" ht="12.5" customHeight="1" x14ac:dyDescent="0.35">
      <c r="A2507" t="s">
        <v>135</v>
      </c>
      <c r="E2507">
        <v>-2.3341651284734175E-2</v>
      </c>
      <c r="F2507">
        <f t="shared" si="84"/>
        <v>-2.1353197187424747E-2</v>
      </c>
      <c r="G2507">
        <f t="shared" si="85"/>
        <v>-3.7641187315379798E-2</v>
      </c>
    </row>
    <row r="2508" spans="1:144" ht="12.5" customHeight="1" x14ac:dyDescent="0.35">
      <c r="A2508" t="s">
        <v>135</v>
      </c>
      <c r="E2508">
        <v>2.5779317034184509E-2</v>
      </c>
      <c r="F2508">
        <f t="shared" si="84"/>
        <v>-2.1169743809321084E-2</v>
      </c>
      <c r="G2508">
        <f t="shared" si="85"/>
        <v>-3.760993865810848E-2</v>
      </c>
    </row>
    <row r="2509" spans="1:144" ht="12.5" customHeight="1" x14ac:dyDescent="0.35">
      <c r="A2509" t="s">
        <v>135</v>
      </c>
      <c r="E2509">
        <v>5.6897138824303188E-3</v>
      </c>
      <c r="F2509">
        <f t="shared" si="84"/>
        <v>-2.1181472538719173E-2</v>
      </c>
      <c r="G2509">
        <f t="shared" si="85"/>
        <v>-3.760993865810848E-2</v>
      </c>
    </row>
    <row r="2510" spans="1:144" ht="12.5" customHeight="1" x14ac:dyDescent="0.35">
      <c r="A2510" t="s">
        <v>135</v>
      </c>
      <c r="E2510">
        <v>-1.6002984498346917E-2</v>
      </c>
      <c r="F2510">
        <f t="shared" si="84"/>
        <v>-2.1193201268117259E-2</v>
      </c>
      <c r="G2510">
        <f t="shared" si="85"/>
        <v>-3.760993865810848E-2</v>
      </c>
    </row>
    <row r="2511" spans="1:144" ht="12.5" customHeight="1" x14ac:dyDescent="0.35">
      <c r="A2511" t="s">
        <v>135</v>
      </c>
      <c r="E2511">
        <v>-2.314402063682508E-2</v>
      </c>
      <c r="F2511">
        <f t="shared" si="84"/>
        <v>-2.1204929997515345E-2</v>
      </c>
      <c r="G2511">
        <f t="shared" si="85"/>
        <v>-3.760993865810848E-2</v>
      </c>
    </row>
    <row r="2512" spans="1:144" s="3" customFormat="1" x14ac:dyDescent="0.35">
      <c r="A2512" s="3" t="s">
        <v>136</v>
      </c>
      <c r="B2512" s="3" cm="1">
        <f t="array" ref="B2512">_xlfn.STDEV.S(_xlfn._xlws.FILTER($E$2013:$E$3011, $A$2013:$A$3011="2020-02"))</f>
        <v>1.9041763708919027E-2</v>
      </c>
      <c r="C2512" s="3" cm="1">
        <f t="array" ref="C2512">AVERAGE(_xlfn._xlws.FILTER($E$2013:$E$3011, $A$2013:$A$3011="2020-02"))</f>
        <v>-2.7711329259517779E-3</v>
      </c>
      <c r="D2512" s="3" cm="1">
        <f t="array" ref="D2512">_xlfn.PERCENTILE.EXC(_xlfn._xlws.FILTER($E$2490:$E$3818, $A$2490:$A$3818="2020-02"), 0.05)</f>
        <v>-5.4890358955676552E-2</v>
      </c>
      <c r="E2512" s="3">
        <v>9.5501425676006793E-3</v>
      </c>
      <c r="F2512" s="3">
        <f t="shared" si="84"/>
        <v>-2.0952561629811111E-2</v>
      </c>
      <c r="G2512" s="3">
        <f t="shared" si="85"/>
        <v>-3.7578121632528647E-2</v>
      </c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</row>
    <row r="2513" spans="1:7" ht="12.5" customHeight="1" x14ac:dyDescent="0.35">
      <c r="A2513" t="s">
        <v>136</v>
      </c>
      <c r="E2513">
        <v>1.6270991620737817E-2</v>
      </c>
      <c r="F2513">
        <f t="shared" si="84"/>
        <v>-2.0967980672851768E-2</v>
      </c>
      <c r="G2513">
        <f t="shared" si="85"/>
        <v>-3.7578121632528647E-2</v>
      </c>
    </row>
    <row r="2514" spans="1:7" ht="12.5" customHeight="1" x14ac:dyDescent="0.35">
      <c r="A2514" t="s">
        <v>136</v>
      </c>
      <c r="E2514">
        <v>1.6296864029971679E-2</v>
      </c>
      <c r="F2514">
        <f t="shared" si="84"/>
        <v>-2.0983399715892432E-2</v>
      </c>
      <c r="G2514">
        <f t="shared" si="85"/>
        <v>-3.7578121632528647E-2</v>
      </c>
    </row>
    <row r="2515" spans="1:7" ht="12.5" customHeight="1" x14ac:dyDescent="0.35">
      <c r="A2515" t="s">
        <v>136</v>
      </c>
      <c r="E2515">
        <v>1.0414037276116226E-2</v>
      </c>
      <c r="F2515">
        <f t="shared" si="84"/>
        <v>-2.0998818758933092E-2</v>
      </c>
      <c r="G2515">
        <f t="shared" si="85"/>
        <v>-3.7578121632528647E-2</v>
      </c>
    </row>
    <row r="2516" spans="1:7" ht="12.5" customHeight="1" x14ac:dyDescent="0.35">
      <c r="A2516" t="s">
        <v>136</v>
      </c>
      <c r="E2516">
        <v>-4.9133457134992403E-4</v>
      </c>
      <c r="F2516">
        <f t="shared" si="84"/>
        <v>-2.1014237801973749E-2</v>
      </c>
      <c r="G2516">
        <f t="shared" si="85"/>
        <v>-3.7578121632528647E-2</v>
      </c>
    </row>
    <row r="2517" spans="1:7" ht="12.5" customHeight="1" x14ac:dyDescent="0.35">
      <c r="A2517" t="s">
        <v>136</v>
      </c>
      <c r="E2517">
        <v>1.1995260493837799E-3</v>
      </c>
      <c r="F2517">
        <f t="shared" si="84"/>
        <v>-2.102965684501441E-2</v>
      </c>
      <c r="G2517">
        <f t="shared" si="85"/>
        <v>-3.7578121632528647E-2</v>
      </c>
    </row>
    <row r="2518" spans="1:7" ht="12.5" customHeight="1" x14ac:dyDescent="0.35">
      <c r="A2518" t="s">
        <v>136</v>
      </c>
      <c r="E2518">
        <v>7.3659909862521765E-3</v>
      </c>
      <c r="F2518">
        <f t="shared" si="84"/>
        <v>-2.104507588805507E-2</v>
      </c>
      <c r="G2518">
        <f t="shared" si="85"/>
        <v>-3.7578121632528647E-2</v>
      </c>
    </row>
    <row r="2519" spans="1:7" ht="12.5" customHeight="1" x14ac:dyDescent="0.35">
      <c r="A2519" t="s">
        <v>136</v>
      </c>
      <c r="E2519">
        <v>6.9582282179506639E-3</v>
      </c>
      <c r="F2519">
        <f t="shared" si="84"/>
        <v>-2.1060494931095731E-2</v>
      </c>
      <c r="G2519">
        <f t="shared" si="85"/>
        <v>-3.7578121632528647E-2</v>
      </c>
    </row>
    <row r="2520" spans="1:7" ht="12.5" customHeight="1" x14ac:dyDescent="0.35">
      <c r="A2520" t="s">
        <v>136</v>
      </c>
      <c r="E2520">
        <v>1.2409196295149378E-3</v>
      </c>
      <c r="F2520">
        <f t="shared" si="84"/>
        <v>-2.1075913974136391E-2</v>
      </c>
      <c r="G2520">
        <f t="shared" si="85"/>
        <v>-3.7578121632528647E-2</v>
      </c>
    </row>
    <row r="2521" spans="1:7" ht="12.5" customHeight="1" x14ac:dyDescent="0.35">
      <c r="A2521" t="s">
        <v>136</v>
      </c>
      <c r="E2521">
        <v>-1.0104673044757952E-3</v>
      </c>
      <c r="F2521">
        <f t="shared" si="84"/>
        <v>-2.1087642703534477E-2</v>
      </c>
      <c r="G2521">
        <f t="shared" si="85"/>
        <v>-3.7835968627191033E-2</v>
      </c>
    </row>
    <row r="2522" spans="1:7" ht="12.5" customHeight="1" x14ac:dyDescent="0.35">
      <c r="A2522" t="s">
        <v>136</v>
      </c>
      <c r="E2522">
        <v>1.0143812767431908E-2</v>
      </c>
      <c r="F2522">
        <f t="shared" si="84"/>
        <v>-2.1099371432932564E-2</v>
      </c>
      <c r="G2522">
        <f t="shared" si="85"/>
        <v>-3.7835968627191033E-2</v>
      </c>
    </row>
    <row r="2523" spans="1:7" ht="12.5" customHeight="1" x14ac:dyDescent="0.35">
      <c r="A2523" t="s">
        <v>136</v>
      </c>
      <c r="E2523">
        <v>4.090657926296295E-3</v>
      </c>
      <c r="F2523">
        <f t="shared" si="84"/>
        <v>-2.111110016233065E-2</v>
      </c>
      <c r="G2523">
        <f t="shared" si="85"/>
        <v>-3.7835968627191033E-2</v>
      </c>
    </row>
    <row r="2524" spans="1:7" ht="12.5" customHeight="1" x14ac:dyDescent="0.35">
      <c r="A2524" t="s">
        <v>136</v>
      </c>
      <c r="E2524">
        <v>1.0021176124203656E-2</v>
      </c>
      <c r="F2524">
        <f t="shared" si="84"/>
        <v>-2.1122828891728739E-2</v>
      </c>
      <c r="G2524">
        <f t="shared" si="85"/>
        <v>-3.7835968627191033E-2</v>
      </c>
    </row>
    <row r="2525" spans="1:7" ht="12.5" customHeight="1" x14ac:dyDescent="0.35">
      <c r="A2525" t="s">
        <v>136</v>
      </c>
      <c r="E2525">
        <v>-1.5720576905033905E-2</v>
      </c>
      <c r="F2525">
        <f t="shared" si="84"/>
        <v>-2.1134557621126825E-2</v>
      </c>
      <c r="G2525">
        <f t="shared" si="85"/>
        <v>-3.7835968627191033E-2</v>
      </c>
    </row>
    <row r="2526" spans="1:7" ht="12.5" customHeight="1" x14ac:dyDescent="0.35">
      <c r="A2526" t="s">
        <v>136</v>
      </c>
      <c r="E2526">
        <v>-1.231668995017776E-2</v>
      </c>
      <c r="F2526">
        <f t="shared" si="84"/>
        <v>-2.1146286350524911E-2</v>
      </c>
      <c r="G2526">
        <f t="shared" si="85"/>
        <v>-3.7835968627191033E-2</v>
      </c>
    </row>
    <row r="2527" spans="1:7" ht="12.5" customHeight="1" x14ac:dyDescent="0.35">
      <c r="A2527" t="s">
        <v>136</v>
      </c>
      <c r="E2527">
        <v>-5.5863091763679165E-2</v>
      </c>
      <c r="F2527">
        <f t="shared" si="84"/>
        <v>-2.1158015079922998E-2</v>
      </c>
      <c r="G2527">
        <f t="shared" si="85"/>
        <v>-3.7835968627191033E-2</v>
      </c>
    </row>
    <row r="2528" spans="1:7" ht="12.5" customHeight="1" x14ac:dyDescent="0.35">
      <c r="A2528" t="s">
        <v>136</v>
      </c>
      <c r="E2528">
        <v>-1.4478634562655968E-2</v>
      </c>
      <c r="F2528">
        <f t="shared" si="84"/>
        <v>-2.0890885457648469E-2</v>
      </c>
      <c r="G2528">
        <f t="shared" si="85"/>
        <v>-3.729241897422942E-2</v>
      </c>
    </row>
    <row r="2529" spans="1:144" ht="12.5" customHeight="1" x14ac:dyDescent="0.35">
      <c r="A2529" t="s">
        <v>136</v>
      </c>
      <c r="E2529">
        <v>1.428012754819641E-2</v>
      </c>
      <c r="F2529">
        <f t="shared" si="84"/>
        <v>-2.0906304500689133E-2</v>
      </c>
      <c r="G2529">
        <f t="shared" si="85"/>
        <v>-3.729241897422942E-2</v>
      </c>
    </row>
    <row r="2530" spans="1:144" ht="12.5" customHeight="1" x14ac:dyDescent="0.35">
      <c r="A2530" t="s">
        <v>136</v>
      </c>
      <c r="E2530">
        <v>-2.6965902601692345E-2</v>
      </c>
      <c r="F2530">
        <f t="shared" si="84"/>
        <v>-2.0921723543729794E-2</v>
      </c>
      <c r="G2530">
        <f t="shared" si="85"/>
        <v>-3.729241897422942E-2</v>
      </c>
    </row>
    <row r="2531" spans="1:144" ht="12.5" customHeight="1" x14ac:dyDescent="0.35">
      <c r="A2531" t="s">
        <v>136</v>
      </c>
      <c r="E2531">
        <v>-3.6408435603626943E-2</v>
      </c>
      <c r="F2531">
        <f t="shared" si="84"/>
        <v>-2.070697953173677E-2</v>
      </c>
      <c r="G2531">
        <f t="shared" si="85"/>
        <v>-3.7195569450973652E-2</v>
      </c>
    </row>
    <row r="2532" spans="1:144" s="3" customFormat="1" x14ac:dyDescent="0.35">
      <c r="A2532" s="3" t="s">
        <v>137</v>
      </c>
      <c r="B2532" s="3" cm="1">
        <f t="array" ref="B2532">_xlfn.STDEV.S(_xlfn._xlws.FILTER($E$2013:$E$3011, $A$2013:$A$3011="2020-03"))</f>
        <v>5.6733536186773896E-2</v>
      </c>
      <c r="C2532" s="3" cm="1">
        <f t="array" ref="C2532">AVERAGE(_xlfn._xlws.FILTER($E$2013:$E$3011, $A$2013:$A$3011="2020-03"))</f>
        <v>-1.1550869737338066E-2</v>
      </c>
      <c r="D2532" s="3" cm="1">
        <f t="array" ref="D2532">_xlfn.PERCENTILE.EXC(_xlfn._xlws.FILTER($E$2490:$E$3818, $A$2490:$A$3818="2020-03"), 0.05)</f>
        <v>-0.17537172500062348</v>
      </c>
      <c r="E2532" s="3">
        <v>-1.5083937654062881E-2</v>
      </c>
      <c r="F2532" s="3">
        <f t="shared" si="84"/>
        <v>-2.0597850912144167E-2</v>
      </c>
      <c r="G2532" s="3">
        <f t="shared" si="85"/>
        <v>-3.6949077794646457E-2</v>
      </c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</row>
    <row r="2533" spans="1:144" ht="12.5" customHeight="1" x14ac:dyDescent="0.35">
      <c r="A2533" t="s">
        <v>137</v>
      </c>
      <c r="E2533">
        <v>4.2904647473210192E-3</v>
      </c>
      <c r="F2533">
        <f t="shared" si="84"/>
        <v>-2.0602240747961985E-2</v>
      </c>
      <c r="G2533">
        <f t="shared" si="85"/>
        <v>-3.6949077794646457E-2</v>
      </c>
    </row>
    <row r="2534" spans="1:144" ht="12.5" customHeight="1" x14ac:dyDescent="0.35">
      <c r="A2534" t="s">
        <v>137</v>
      </c>
      <c r="E2534">
        <v>9.0552620700600772E-3</v>
      </c>
      <c r="F2534">
        <f t="shared" si="84"/>
        <v>-2.06066305837798E-2</v>
      </c>
      <c r="G2534">
        <f t="shared" si="85"/>
        <v>-3.6949077794646457E-2</v>
      </c>
    </row>
    <row r="2535" spans="1:144" ht="12.5" customHeight="1" x14ac:dyDescent="0.35">
      <c r="A2535" t="s">
        <v>137</v>
      </c>
      <c r="E2535">
        <v>-1.7984016529571156E-2</v>
      </c>
      <c r="F2535">
        <f t="shared" si="84"/>
        <v>-2.0611020419597618E-2</v>
      </c>
      <c r="G2535">
        <f t="shared" si="85"/>
        <v>-3.6949077794646457E-2</v>
      </c>
    </row>
    <row r="2536" spans="1:144" ht="12.5" customHeight="1" x14ac:dyDescent="0.35">
      <c r="A2536" t="s">
        <v>137</v>
      </c>
      <c r="E2536">
        <v>-3.5654542798058825E-2</v>
      </c>
      <c r="F2536">
        <f t="shared" si="84"/>
        <v>-2.0615410255415433E-2</v>
      </c>
      <c r="G2536">
        <f t="shared" si="85"/>
        <v>-3.6949077794646457E-2</v>
      </c>
    </row>
    <row r="2537" spans="1:144" ht="12.5" customHeight="1" x14ac:dyDescent="0.35">
      <c r="A2537" t="s">
        <v>137</v>
      </c>
      <c r="E2537">
        <v>-0.11847997685949413</v>
      </c>
      <c r="F2537">
        <f t="shared" si="84"/>
        <v>-2.0543306190666039E-2</v>
      </c>
      <c r="G2537">
        <f t="shared" si="85"/>
        <v>-3.6712993889713205E-2</v>
      </c>
    </row>
    <row r="2538" spans="1:144" ht="12.5" customHeight="1" x14ac:dyDescent="0.35">
      <c r="A2538" t="s">
        <v>137</v>
      </c>
      <c r="E2538">
        <v>-3.333431950402703E-2</v>
      </c>
      <c r="F2538">
        <f t="shared" si="84"/>
        <v>-2.0512038158158056E-2</v>
      </c>
      <c r="G2538">
        <f t="shared" si="85"/>
        <v>-3.5182568130521646E-2</v>
      </c>
    </row>
    <row r="2539" spans="1:144" ht="12.5" customHeight="1" x14ac:dyDescent="0.35">
      <c r="A2539" t="s">
        <v>137</v>
      </c>
      <c r="E2539">
        <v>3.2660323421776758E-3</v>
      </c>
      <c r="F2539">
        <f t="shared" si="84"/>
        <v>-2.0308364089863775E-2</v>
      </c>
      <c r="G2539">
        <f t="shared" si="85"/>
        <v>-3.4979310437341031E-2</v>
      </c>
    </row>
    <row r="2540" spans="1:144" ht="12.5" customHeight="1" x14ac:dyDescent="0.35">
      <c r="A2540" t="s">
        <v>137</v>
      </c>
      <c r="E2540">
        <v>-0.18541144526082279</v>
      </c>
      <c r="F2540">
        <f t="shared" si="84"/>
        <v>-2.0325827140467288E-2</v>
      </c>
      <c r="G2540">
        <f t="shared" si="85"/>
        <v>-3.4979310437341031E-2</v>
      </c>
    </row>
    <row r="2541" spans="1:144" ht="12.5" customHeight="1" x14ac:dyDescent="0.35">
      <c r="A2541" t="s">
        <v>137</v>
      </c>
      <c r="E2541">
        <v>6.8739769633771305E-2</v>
      </c>
      <c r="F2541">
        <f t="shared" si="84"/>
        <v>-1.9994029179000519E-2</v>
      </c>
      <c r="G2541">
        <f t="shared" si="85"/>
        <v>-3.2591498773476238E-2</v>
      </c>
    </row>
    <row r="2542" spans="1:144" ht="12.5" customHeight="1" x14ac:dyDescent="0.35">
      <c r="A2542" t="s">
        <v>137</v>
      </c>
      <c r="E2542">
        <v>-6.2989083822613881E-2</v>
      </c>
      <c r="F2542">
        <f t="shared" si="84"/>
        <v>-2.0011492229604032E-2</v>
      </c>
      <c r="G2542">
        <f t="shared" si="85"/>
        <v>-3.2591498773476238E-2</v>
      </c>
    </row>
    <row r="2543" spans="1:144" ht="12.5" customHeight="1" x14ac:dyDescent="0.35">
      <c r="A2543" t="s">
        <v>137</v>
      </c>
      <c r="E2543">
        <v>2.2079047454974892E-2</v>
      </c>
      <c r="F2543">
        <f t="shared" si="84"/>
        <v>-1.9937579551633604E-2</v>
      </c>
      <c r="G2543">
        <f t="shared" si="85"/>
        <v>-3.1908760397377556E-2</v>
      </c>
    </row>
    <row r="2544" spans="1:144" ht="12.5" customHeight="1" x14ac:dyDescent="0.35">
      <c r="A2544" t="s">
        <v>137</v>
      </c>
      <c r="E2544">
        <v>-1.2767605936477539E-2</v>
      </c>
      <c r="F2544">
        <f t="shared" si="84"/>
        <v>-1.9939872879678511E-2</v>
      </c>
      <c r="G2544">
        <f t="shared" si="85"/>
        <v>-3.1908760397377556E-2</v>
      </c>
    </row>
    <row r="2545" spans="1:144" ht="12.5" customHeight="1" x14ac:dyDescent="0.35">
      <c r="A2545" t="s">
        <v>137</v>
      </c>
      <c r="E2545">
        <v>2.2656666161512816E-2</v>
      </c>
      <c r="F2545">
        <f t="shared" si="84"/>
        <v>-1.9942166207723419E-2</v>
      </c>
      <c r="G2545">
        <f t="shared" si="85"/>
        <v>-3.1908760397377556E-2</v>
      </c>
    </row>
    <row r="2546" spans="1:144" ht="12.5" customHeight="1" x14ac:dyDescent="0.35">
      <c r="A2546" t="s">
        <v>137</v>
      </c>
      <c r="E2546">
        <v>1.6980537377025307E-2</v>
      </c>
      <c r="F2546">
        <f t="shared" si="84"/>
        <v>-1.9944459535768323E-2</v>
      </c>
      <c r="G2546">
        <f t="shared" si="85"/>
        <v>-3.1908760397377556E-2</v>
      </c>
    </row>
    <row r="2547" spans="1:144" ht="12.5" customHeight="1" x14ac:dyDescent="0.35">
      <c r="A2547" t="s">
        <v>137</v>
      </c>
      <c r="E2547">
        <v>-1.0996654620574534E-2</v>
      </c>
      <c r="F2547">
        <f t="shared" si="84"/>
        <v>-1.9946752863813227E-2</v>
      </c>
      <c r="G2547">
        <f t="shared" si="85"/>
        <v>-3.1908760397377556E-2</v>
      </c>
    </row>
    <row r="2548" spans="1:144" ht="12.5" customHeight="1" x14ac:dyDescent="0.35">
      <c r="A2548" t="s">
        <v>137</v>
      </c>
      <c r="E2548">
        <v>8.5494569347824026E-2</v>
      </c>
      <c r="F2548">
        <f t="shared" si="84"/>
        <v>-1.9949046191858135E-2</v>
      </c>
      <c r="G2548">
        <f t="shared" si="85"/>
        <v>-3.1908760397377556E-2</v>
      </c>
    </row>
    <row r="2549" spans="1:144" ht="12.5" customHeight="1" x14ac:dyDescent="0.35">
      <c r="A2549" t="s">
        <v>137</v>
      </c>
      <c r="E2549">
        <v>1.7260464988366843E-2</v>
      </c>
      <c r="F2549">
        <f t="shared" si="84"/>
        <v>-1.9951339519903039E-2</v>
      </c>
      <c r="G2549">
        <f t="shared" si="85"/>
        <v>-3.1908760397377556E-2</v>
      </c>
    </row>
    <row r="2550" spans="1:144" ht="12.5" customHeight="1" x14ac:dyDescent="0.35">
      <c r="A2550" t="s">
        <v>137</v>
      </c>
      <c r="E2550">
        <v>7.2631863577716314E-3</v>
      </c>
      <c r="F2550">
        <f t="shared" si="84"/>
        <v>-1.9953632847947947E-2</v>
      </c>
      <c r="G2550">
        <f t="shared" si="85"/>
        <v>-3.1908760397377556E-2</v>
      </c>
    </row>
    <row r="2551" spans="1:144" ht="12.5" customHeight="1" x14ac:dyDescent="0.35">
      <c r="A2551" t="s">
        <v>137</v>
      </c>
      <c r="E2551">
        <v>-3.198625984743117E-2</v>
      </c>
      <c r="F2551">
        <f t="shared" si="84"/>
        <v>-1.9955926175992851E-2</v>
      </c>
      <c r="G2551">
        <f t="shared" si="85"/>
        <v>-3.1908760397377556E-2</v>
      </c>
    </row>
    <row r="2552" spans="1:144" ht="12.5" customHeight="1" x14ac:dyDescent="0.35">
      <c r="A2552" t="s">
        <v>137</v>
      </c>
      <c r="E2552">
        <v>2.9571174538907978E-3</v>
      </c>
      <c r="F2552">
        <f t="shared" si="84"/>
        <v>-1.9887103303347718E-2</v>
      </c>
      <c r="G2552">
        <f t="shared" si="85"/>
        <v>-3.1717402297696089E-2</v>
      </c>
    </row>
    <row r="2553" spans="1:144" ht="12.5" customHeight="1" x14ac:dyDescent="0.35">
      <c r="A2553" t="s">
        <v>137</v>
      </c>
      <c r="E2553">
        <v>1.0525590677000065E-2</v>
      </c>
      <c r="F2553">
        <f t="shared" si="84"/>
        <v>-1.9892552836366616E-2</v>
      </c>
      <c r="G2553">
        <f t="shared" si="85"/>
        <v>-3.1717402297696089E-2</v>
      </c>
    </row>
    <row r="2554" spans="1:144" s="3" customFormat="1" x14ac:dyDescent="0.35">
      <c r="A2554" s="3" t="s">
        <v>138</v>
      </c>
      <c r="B2554" s="3" cm="1">
        <f t="array" ref="B2554">_xlfn.STDEV.S(_xlfn._xlws.FILTER($E$2013:$E$3011, $A$2013:$A$3011="2020-04"))</f>
        <v>2.3957094791187045E-2</v>
      </c>
      <c r="C2554" s="3" cm="1">
        <f t="array" ref="C2554">AVERAGE(_xlfn._xlws.FILTER($E$2013:$E$3011, $A$2013:$A$3011="2020-04"))</f>
        <v>1.8410936439286838E-3</v>
      </c>
      <c r="D2554" s="3" cm="1">
        <f t="array" ref="D2554">_xlfn.PERCENTILE.EXC(_xlfn._xlws.FILTER($E$2490:$E$3818, $A$2490:$A$3818="2020-04"), 0.05)</f>
        <v>-4.836508464338074E-2</v>
      </c>
      <c r="E2554" s="3">
        <v>-3.0123206039319912E-2</v>
      </c>
      <c r="F2554" s="3">
        <f t="shared" si="84"/>
        <v>-1.989800236938551E-2</v>
      </c>
      <c r="G2554" s="3">
        <f t="shared" si="85"/>
        <v>-3.1717402297696089E-2</v>
      </c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</row>
    <row r="2555" spans="1:144" ht="12.5" customHeight="1" x14ac:dyDescent="0.35">
      <c r="A2555" t="s">
        <v>138</v>
      </c>
      <c r="E2555">
        <v>1.7320304760131432E-2</v>
      </c>
      <c r="F2555">
        <f t="shared" si="84"/>
        <v>-1.9744865654286129E-2</v>
      </c>
      <c r="G2555">
        <f t="shared" si="85"/>
        <v>-3.1553886470200868E-2</v>
      </c>
    </row>
    <row r="2556" spans="1:144" ht="12.5" customHeight="1" x14ac:dyDescent="0.35">
      <c r="A2556" t="s">
        <v>138</v>
      </c>
      <c r="E2556">
        <v>-2.7075821961821768E-2</v>
      </c>
      <c r="F2556">
        <f t="shared" si="84"/>
        <v>-1.9760234304853096E-2</v>
      </c>
      <c r="G2556">
        <f t="shared" si="85"/>
        <v>-3.1553886470200868E-2</v>
      </c>
    </row>
    <row r="2557" spans="1:144" ht="12.5" customHeight="1" x14ac:dyDescent="0.35">
      <c r="A2557" t="s">
        <v>138</v>
      </c>
      <c r="E2557">
        <v>3.9196416689947312E-2</v>
      </c>
      <c r="F2557">
        <f t="shared" si="84"/>
        <v>-1.9505535247512727E-2</v>
      </c>
      <c r="G2557">
        <f t="shared" si="85"/>
        <v>-3.1433862881851023E-2</v>
      </c>
    </row>
    <row r="2558" spans="1:144" ht="12.5" customHeight="1" x14ac:dyDescent="0.35">
      <c r="A2558" t="s">
        <v>138</v>
      </c>
      <c r="E2558">
        <v>2.162051507341916E-2</v>
      </c>
      <c r="F2558">
        <f t="shared" si="84"/>
        <v>-1.9508468796935692E-2</v>
      </c>
      <c r="G2558">
        <f t="shared" si="85"/>
        <v>-3.1433862881851023E-2</v>
      </c>
    </row>
    <row r="2559" spans="1:144" ht="12.5" customHeight="1" x14ac:dyDescent="0.35">
      <c r="A2559" t="s">
        <v>138</v>
      </c>
      <c r="E2559">
        <v>-1.7762433052734539E-3</v>
      </c>
      <c r="F2559">
        <f t="shared" si="84"/>
        <v>-1.9511402346358658E-2</v>
      </c>
      <c r="G2559">
        <f t="shared" si="85"/>
        <v>-3.1433862881851023E-2</v>
      </c>
    </row>
    <row r="2560" spans="1:144" ht="12.5" customHeight="1" x14ac:dyDescent="0.35">
      <c r="A2560" t="s">
        <v>138</v>
      </c>
      <c r="E2560">
        <v>1.3759257866177247E-2</v>
      </c>
      <c r="F2560">
        <f t="shared" si="84"/>
        <v>-1.9514335895781623E-2</v>
      </c>
      <c r="G2560">
        <f t="shared" si="85"/>
        <v>-3.1433862881851023E-2</v>
      </c>
    </row>
    <row r="2561" spans="1:144" ht="12.5" customHeight="1" x14ac:dyDescent="0.35">
      <c r="A2561" t="s">
        <v>138</v>
      </c>
      <c r="E2561">
        <v>-3.5923807928990798E-3</v>
      </c>
      <c r="F2561">
        <f t="shared" si="84"/>
        <v>-1.952970454634859E-2</v>
      </c>
      <c r="G2561">
        <f t="shared" si="85"/>
        <v>-3.162611331711021E-2</v>
      </c>
    </row>
    <row r="2562" spans="1:144" ht="12.5" customHeight="1" x14ac:dyDescent="0.35">
      <c r="A2562" t="s">
        <v>138</v>
      </c>
      <c r="E2562">
        <v>-4.8984192364960447E-2</v>
      </c>
      <c r="F2562">
        <f t="shared" si="84"/>
        <v>-1.9545073196915556E-2</v>
      </c>
      <c r="G2562">
        <f t="shared" si="85"/>
        <v>-3.162611331711021E-2</v>
      </c>
    </row>
    <row r="2563" spans="1:144" ht="12.5" customHeight="1" x14ac:dyDescent="0.35">
      <c r="A2563" t="s">
        <v>138</v>
      </c>
      <c r="E2563">
        <v>2.9306732403932608E-3</v>
      </c>
      <c r="F2563">
        <f t="shared" si="84"/>
        <v>-1.9464465555591202E-2</v>
      </c>
      <c r="G2563">
        <f t="shared" si="85"/>
        <v>-3.115079305147829E-2</v>
      </c>
    </row>
    <row r="2564" spans="1:144" ht="12.5" customHeight="1" x14ac:dyDescent="0.35">
      <c r="A2564" t="s">
        <v>138</v>
      </c>
      <c r="E2564">
        <v>1.6990316051387917E-2</v>
      </c>
      <c r="F2564">
        <f t="shared" ref="F2564:F2627" si="86">_xlfn.PERCENTILE.EXC(E2564:E6379,0.05)</f>
        <v>-1.9467399105014167E-2</v>
      </c>
      <c r="G2564">
        <f t="shared" ref="G2564:G2627" si="87">AVERAGEIFS(E2564:E6380,E2564:E6380,"&lt;=" &amp; F2564)</f>
        <v>-3.115079305147829E-2</v>
      </c>
    </row>
    <row r="2565" spans="1:144" ht="12.5" customHeight="1" x14ac:dyDescent="0.35">
      <c r="A2565" t="s">
        <v>138</v>
      </c>
      <c r="E2565">
        <v>5.0821215052612213E-4</v>
      </c>
      <c r="F2565">
        <f t="shared" si="86"/>
        <v>-1.9470332654437136E-2</v>
      </c>
      <c r="G2565">
        <f t="shared" si="87"/>
        <v>-3.115079305147829E-2</v>
      </c>
    </row>
    <row r="2566" spans="1:144" ht="12.5" customHeight="1" x14ac:dyDescent="0.35">
      <c r="A2566" t="s">
        <v>138</v>
      </c>
      <c r="E2566">
        <v>-3.6602037933366367E-2</v>
      </c>
      <c r="F2566">
        <f t="shared" si="86"/>
        <v>-1.9473266203860102E-2</v>
      </c>
      <c r="G2566">
        <f t="shared" si="87"/>
        <v>-3.115079305147829E-2</v>
      </c>
    </row>
    <row r="2567" spans="1:144" ht="12.5" customHeight="1" x14ac:dyDescent="0.35">
      <c r="A2567" t="s">
        <v>138</v>
      </c>
      <c r="E2567">
        <v>1.8932933631136108E-2</v>
      </c>
      <c r="F2567">
        <f t="shared" si="86"/>
        <v>-1.9256534464923609E-2</v>
      </c>
      <c r="G2567">
        <f t="shared" si="87"/>
        <v>-3.0874238647832421E-2</v>
      </c>
    </row>
    <row r="2568" spans="1:144" ht="12.5" customHeight="1" x14ac:dyDescent="0.35">
      <c r="A2568" t="s">
        <v>138</v>
      </c>
      <c r="E2568">
        <v>1.4556578770528445E-2</v>
      </c>
      <c r="F2568">
        <f t="shared" si="86"/>
        <v>-1.9271852191261971E-2</v>
      </c>
      <c r="G2568">
        <f t="shared" si="87"/>
        <v>-3.0874238647832421E-2</v>
      </c>
    </row>
    <row r="2569" spans="1:144" ht="12.5" customHeight="1" x14ac:dyDescent="0.35">
      <c r="A2569" t="s">
        <v>138</v>
      </c>
      <c r="E2569">
        <v>-8.9885459031574955E-3</v>
      </c>
      <c r="F2569">
        <f t="shared" si="86"/>
        <v>-1.9287169917600332E-2</v>
      </c>
      <c r="G2569">
        <f t="shared" si="87"/>
        <v>-3.0874238647832421E-2</v>
      </c>
    </row>
    <row r="2570" spans="1:144" ht="12.5" customHeight="1" x14ac:dyDescent="0.35">
      <c r="A2570" t="s">
        <v>138</v>
      </c>
      <c r="E2570">
        <v>3.0454088510631024E-2</v>
      </c>
      <c r="F2570">
        <f t="shared" si="86"/>
        <v>-1.9302487643938694E-2</v>
      </c>
      <c r="G2570">
        <f t="shared" si="87"/>
        <v>-3.0874238647832421E-2</v>
      </c>
    </row>
    <row r="2571" spans="1:144" ht="12.5" customHeight="1" x14ac:dyDescent="0.35">
      <c r="A2571" t="s">
        <v>138</v>
      </c>
      <c r="E2571">
        <v>1.6940642502400446E-2</v>
      </c>
      <c r="F2571">
        <f t="shared" si="86"/>
        <v>-1.9317805370277056E-2</v>
      </c>
      <c r="G2571">
        <f t="shared" si="87"/>
        <v>-3.0874238647832421E-2</v>
      </c>
    </row>
    <row r="2572" spans="1:144" ht="12.5" customHeight="1" x14ac:dyDescent="0.35">
      <c r="A2572" t="s">
        <v>138</v>
      </c>
      <c r="E2572">
        <v>2.1830275906830107E-2</v>
      </c>
      <c r="F2572">
        <f t="shared" si="86"/>
        <v>-1.9333123096615414E-2</v>
      </c>
      <c r="G2572">
        <f t="shared" si="87"/>
        <v>-3.0874238647832421E-2</v>
      </c>
    </row>
    <row r="2573" spans="1:144" ht="12.5" customHeight="1" x14ac:dyDescent="0.35">
      <c r="A2573" t="s">
        <v>138</v>
      </c>
      <c r="E2573">
        <v>-2.1075913974136391E-2</v>
      </c>
      <c r="F2573">
        <f t="shared" si="86"/>
        <v>-1.9348440822953776E-2</v>
      </c>
      <c r="G2573">
        <f t="shared" si="87"/>
        <v>-3.0874238647832421E-2</v>
      </c>
    </row>
    <row r="2574" spans="1:144" s="3" customFormat="1" x14ac:dyDescent="0.35">
      <c r="A2574" s="3" t="s">
        <v>139</v>
      </c>
      <c r="B2574" s="3" cm="1">
        <f t="array" ref="B2574">_xlfn.STDEV.S(_xlfn._xlws.FILTER($E$2013:$E$3011, $A$2013:$A$3011="2020-05"))</f>
        <v>1.9439007455224405E-2</v>
      </c>
      <c r="C2574" s="3" cm="1">
        <f t="array" ref="C2574">AVERAGE(_xlfn._xlws.FILTER($E$2013:$E$3011, $A$2013:$A$3011="2020-05"))</f>
        <v>1.5700173393247423E-3</v>
      </c>
      <c r="D2574" s="3" cm="1">
        <f t="array" ref="D2574">_xlfn.PERCENTILE.INC(_xlfn._xlws.FILTER($E$2490:$E$3818, $A$2490:$A$3818="2020-05"), 0.05)</f>
        <v>-2.4051125873958461E-2</v>
      </c>
      <c r="E2574" s="3">
        <v>-3.7721347952089063E-2</v>
      </c>
      <c r="F2574" s="3">
        <f t="shared" si="86"/>
        <v>-1.9018189960297412E-2</v>
      </c>
      <c r="G2574" s="3">
        <f t="shared" si="87"/>
        <v>-3.0843164396323047E-2</v>
      </c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</row>
    <row r="2575" spans="1:144" ht="12.5" customHeight="1" x14ac:dyDescent="0.35">
      <c r="A2575" t="s">
        <v>139</v>
      </c>
      <c r="E2575">
        <v>2.043879661493167E-2</v>
      </c>
      <c r="F2575">
        <f t="shared" si="86"/>
        <v>-1.8689148422363251E-2</v>
      </c>
      <c r="G2575">
        <f t="shared" si="87"/>
        <v>-3.0536565918273695E-2</v>
      </c>
    </row>
    <row r="2576" spans="1:144" ht="12.5" customHeight="1" x14ac:dyDescent="0.35">
      <c r="A2576" t="s">
        <v>139</v>
      </c>
      <c r="E2576">
        <v>-1.3203772254869304E-2</v>
      </c>
      <c r="F2576">
        <f t="shared" si="86"/>
        <v>-1.8693767200496505E-2</v>
      </c>
      <c r="G2576">
        <f t="shared" si="87"/>
        <v>-3.0536565918273695E-2</v>
      </c>
    </row>
    <row r="2577" spans="1:144" ht="12.5" customHeight="1" x14ac:dyDescent="0.35">
      <c r="A2577" t="s">
        <v>139</v>
      </c>
      <c r="E2577">
        <v>4.983682437845199E-3</v>
      </c>
      <c r="F2577">
        <f t="shared" si="86"/>
        <v>-1.8698385978629758E-2</v>
      </c>
      <c r="G2577">
        <f t="shared" si="87"/>
        <v>-3.0536565918273695E-2</v>
      </c>
    </row>
    <row r="2578" spans="1:144" ht="12.5" customHeight="1" x14ac:dyDescent="0.35">
      <c r="A2578" t="s">
        <v>139</v>
      </c>
      <c r="E2578">
        <v>7.8738017398514507E-3</v>
      </c>
      <c r="F2578">
        <f t="shared" si="86"/>
        <v>-1.8703004756763012E-2</v>
      </c>
      <c r="G2578">
        <f t="shared" si="87"/>
        <v>-3.0536565918273695E-2</v>
      </c>
    </row>
    <row r="2579" spans="1:144" ht="12.5" customHeight="1" x14ac:dyDescent="0.35">
      <c r="A2579" t="s">
        <v>139</v>
      </c>
      <c r="E2579">
        <v>1.0186495444718361E-2</v>
      </c>
      <c r="F2579">
        <f t="shared" si="86"/>
        <v>-1.8707623534896269E-2</v>
      </c>
      <c r="G2579">
        <f t="shared" si="87"/>
        <v>-3.0536565918273695E-2</v>
      </c>
    </row>
    <row r="2580" spans="1:144" ht="12.5" customHeight="1" x14ac:dyDescent="0.35">
      <c r="A2580" t="s">
        <v>139</v>
      </c>
      <c r="E2580">
        <v>-2.163873374252365E-2</v>
      </c>
      <c r="F2580">
        <f t="shared" si="86"/>
        <v>-1.8712242313029523E-2</v>
      </c>
      <c r="G2580">
        <f t="shared" si="87"/>
        <v>-3.0536565918273695E-2</v>
      </c>
    </row>
    <row r="2581" spans="1:144" ht="12.5" customHeight="1" x14ac:dyDescent="0.35">
      <c r="A2581" t="s">
        <v>139</v>
      </c>
      <c r="E2581">
        <v>-1.8542021682229053E-2</v>
      </c>
      <c r="F2581">
        <f t="shared" si="86"/>
        <v>-1.8624485528497686E-2</v>
      </c>
      <c r="G2581">
        <f t="shared" si="87"/>
        <v>-3.0682432019515503E-2</v>
      </c>
    </row>
    <row r="2582" spans="1:144" ht="12.5" customHeight="1" x14ac:dyDescent="0.35">
      <c r="A2582" t="s">
        <v>139</v>
      </c>
      <c r="E2582">
        <v>-9.1399470955312188E-4</v>
      </c>
      <c r="F2582">
        <f t="shared" si="86"/>
        <v>-1.862910430663094E-2</v>
      </c>
      <c r="G2582">
        <f t="shared" si="87"/>
        <v>-3.0682432019515503E-2</v>
      </c>
    </row>
    <row r="2583" spans="1:144" ht="12.5" customHeight="1" x14ac:dyDescent="0.35">
      <c r="A2583" t="s">
        <v>139</v>
      </c>
      <c r="E2583">
        <v>3.2063423132506888E-2</v>
      </c>
      <c r="F2583">
        <f t="shared" si="86"/>
        <v>-1.8633723084764197E-2</v>
      </c>
      <c r="G2583">
        <f t="shared" si="87"/>
        <v>-3.0682432019515503E-2</v>
      </c>
    </row>
    <row r="2584" spans="1:144" ht="12.5" customHeight="1" x14ac:dyDescent="0.35">
      <c r="A2584" t="s">
        <v>139</v>
      </c>
      <c r="E2584">
        <v>-2.1310488562098127E-2</v>
      </c>
      <c r="F2584">
        <f t="shared" si="86"/>
        <v>-1.8638341862897451E-2</v>
      </c>
      <c r="G2584">
        <f t="shared" si="87"/>
        <v>-3.0682432019515503E-2</v>
      </c>
    </row>
    <row r="2585" spans="1:144" ht="12.5" customHeight="1" x14ac:dyDescent="0.35">
      <c r="A2585" t="s">
        <v>139</v>
      </c>
      <c r="E2585">
        <v>1.0428255268054238E-2</v>
      </c>
      <c r="F2585">
        <f t="shared" si="86"/>
        <v>-1.8376459718676151E-2</v>
      </c>
      <c r="G2585">
        <f t="shared" si="87"/>
        <v>-3.0638323465224784E-2</v>
      </c>
    </row>
    <row r="2586" spans="1:144" ht="12.5" customHeight="1" x14ac:dyDescent="0.35">
      <c r="A2586" t="s">
        <v>139</v>
      </c>
      <c r="E2586">
        <v>-7.3498508863254841E-3</v>
      </c>
      <c r="F2586">
        <f t="shared" si="86"/>
        <v>-1.8392686854122039E-2</v>
      </c>
      <c r="G2586">
        <f t="shared" si="87"/>
        <v>-3.0638323465224784E-2</v>
      </c>
    </row>
    <row r="2587" spans="1:144" ht="12.5" customHeight="1" x14ac:dyDescent="0.35">
      <c r="A2587" t="s">
        <v>139</v>
      </c>
      <c r="E2587">
        <v>1.3326225054825606E-2</v>
      </c>
      <c r="F2587">
        <f t="shared" si="86"/>
        <v>-1.8408913989567923E-2</v>
      </c>
      <c r="G2587">
        <f t="shared" si="87"/>
        <v>-3.0638323465224784E-2</v>
      </c>
    </row>
    <row r="2588" spans="1:144" ht="12.5" customHeight="1" x14ac:dyDescent="0.35">
      <c r="A2588" t="s">
        <v>139</v>
      </c>
      <c r="E2588">
        <v>3.0941654039491794E-2</v>
      </c>
      <c r="F2588">
        <f t="shared" si="86"/>
        <v>-1.8425141125013807E-2</v>
      </c>
      <c r="G2588">
        <f t="shared" si="87"/>
        <v>-3.0638323465224784E-2</v>
      </c>
    </row>
    <row r="2589" spans="1:144" ht="12.5" customHeight="1" x14ac:dyDescent="0.35">
      <c r="A2589" t="s">
        <v>139</v>
      </c>
      <c r="E2589">
        <v>2.7838436617640531E-3</v>
      </c>
      <c r="F2589">
        <f t="shared" si="86"/>
        <v>-1.8441368260459692E-2</v>
      </c>
      <c r="G2589">
        <f t="shared" si="87"/>
        <v>-3.0638323465224784E-2</v>
      </c>
    </row>
    <row r="2590" spans="1:144" ht="12.5" customHeight="1" x14ac:dyDescent="0.35">
      <c r="A2590" t="s">
        <v>139</v>
      </c>
      <c r="E2590">
        <v>2.4319613103935329E-2</v>
      </c>
      <c r="F2590">
        <f t="shared" si="86"/>
        <v>-1.8457595395905579E-2</v>
      </c>
      <c r="G2590">
        <f t="shared" si="87"/>
        <v>-3.0638323465224784E-2</v>
      </c>
    </row>
    <row r="2591" spans="1:144" ht="12.5" customHeight="1" x14ac:dyDescent="0.35">
      <c r="A2591" t="s">
        <v>139</v>
      </c>
      <c r="E2591">
        <v>-8.4052686003914245E-3</v>
      </c>
      <c r="F2591">
        <f t="shared" si="86"/>
        <v>-1.8473822531351464E-2</v>
      </c>
      <c r="G2591">
        <f t="shared" si="87"/>
        <v>-3.0638323465224784E-2</v>
      </c>
    </row>
    <row r="2592" spans="1:144" s="3" customFormat="1" x14ac:dyDescent="0.35">
      <c r="A2592" s="3" t="s">
        <v>140</v>
      </c>
      <c r="B2592" s="3" cm="1">
        <f t="array" ref="B2592">_xlfn.STDEV.S(_xlfn._xlws.FILTER($E$2013:$E$3011, $A$2013:$A$3011="2020-06"))</f>
        <v>2.1770776443514644E-2</v>
      </c>
      <c r="C2592" s="3" cm="1">
        <f t="array" ref="C2592">AVERAGE(_xlfn._xlws.FILTER($E$2013:$E$3011, $A$2013:$A$3011="2020-06"))</f>
        <v>2.9868044965663241E-3</v>
      </c>
      <c r="D2592" s="3" cm="1">
        <f t="array" ref="D2592">_xlfn.PERCENTILE.EXC(_xlfn._xlws.FILTER($E$2490:$E$3818, $A$2490:$A$3818="2020-06"), 0.05)</f>
        <v>-4.7883497963209024E-2</v>
      </c>
      <c r="E2592" s="3">
        <v>4.1628722281186172E-2</v>
      </c>
      <c r="F2592" s="3">
        <f t="shared" si="86"/>
        <v>-1.8490049666797348E-2</v>
      </c>
      <c r="G2592" s="3">
        <f t="shared" si="87"/>
        <v>-3.0638323465224784E-2</v>
      </c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</row>
    <row r="2593" spans="1:7" ht="12.5" customHeight="1" x14ac:dyDescent="0.35">
      <c r="A2593" t="s">
        <v>140</v>
      </c>
      <c r="E2593">
        <v>3.4744216097194101E-2</v>
      </c>
      <c r="F2593">
        <f t="shared" si="86"/>
        <v>-1.8506276802243236E-2</v>
      </c>
      <c r="G2593">
        <f t="shared" si="87"/>
        <v>-3.0638323465224784E-2</v>
      </c>
    </row>
    <row r="2594" spans="1:7" ht="12.5" customHeight="1" x14ac:dyDescent="0.35">
      <c r="A2594" t="s">
        <v>140</v>
      </c>
      <c r="E2594">
        <v>-3.9617230856216104E-4</v>
      </c>
      <c r="F2594">
        <f t="shared" si="86"/>
        <v>-1.852250393768912E-2</v>
      </c>
      <c r="G2594">
        <f t="shared" si="87"/>
        <v>-3.0638323465224784E-2</v>
      </c>
    </row>
    <row r="2595" spans="1:7" ht="12.5" customHeight="1" x14ac:dyDescent="0.35">
      <c r="A2595" t="s">
        <v>140</v>
      </c>
      <c r="E2595">
        <v>2.7799811107928278E-2</v>
      </c>
      <c r="F2595">
        <f t="shared" si="86"/>
        <v>-1.8538731073135008E-2</v>
      </c>
      <c r="G2595">
        <f t="shared" si="87"/>
        <v>-3.0638323465224784E-2</v>
      </c>
    </row>
    <row r="2596" spans="1:7" ht="12.5" customHeight="1" x14ac:dyDescent="0.35">
      <c r="A2596" t="s">
        <v>140</v>
      </c>
      <c r="E2596">
        <v>2.1707680357942534E-3</v>
      </c>
      <c r="F2596">
        <f t="shared" si="86"/>
        <v>-1.8554958208580892E-2</v>
      </c>
      <c r="G2596">
        <f t="shared" si="87"/>
        <v>-3.0638323465224784E-2</v>
      </c>
    </row>
    <row r="2597" spans="1:7" ht="12.5" customHeight="1" x14ac:dyDescent="0.35">
      <c r="A2597" t="s">
        <v>140</v>
      </c>
      <c r="E2597">
        <v>-1.4998695077301864E-2</v>
      </c>
      <c r="F2597">
        <f t="shared" si="86"/>
        <v>-1.8571185344026776E-2</v>
      </c>
      <c r="G2597">
        <f t="shared" si="87"/>
        <v>-3.0638323465224784E-2</v>
      </c>
    </row>
    <row r="2598" spans="1:7" ht="12.5" customHeight="1" x14ac:dyDescent="0.35">
      <c r="A2598" t="s">
        <v>140</v>
      </c>
      <c r="E2598">
        <v>-8.6771905510264584E-3</v>
      </c>
      <c r="F2598">
        <f t="shared" si="86"/>
        <v>-1.8587412479472661E-2</v>
      </c>
      <c r="G2598">
        <f t="shared" si="87"/>
        <v>-3.0638323465224784E-2</v>
      </c>
    </row>
    <row r="2599" spans="1:7" ht="12.5" customHeight="1" x14ac:dyDescent="0.35">
      <c r="A2599" t="s">
        <v>140</v>
      </c>
      <c r="E2599">
        <v>-4.9337281850816324E-2</v>
      </c>
      <c r="F2599">
        <f t="shared" si="86"/>
        <v>-1.8603639614918545E-2</v>
      </c>
      <c r="G2599">
        <f t="shared" si="87"/>
        <v>-3.0638323465224784E-2</v>
      </c>
    </row>
    <row r="2600" spans="1:7" ht="12.5" customHeight="1" x14ac:dyDescent="0.35">
      <c r="A2600" t="s">
        <v>140</v>
      </c>
      <c r="E2600">
        <v>4.3135738387636768E-3</v>
      </c>
      <c r="F2600">
        <f t="shared" si="86"/>
        <v>-1.8295324041446726E-2</v>
      </c>
      <c r="G2600">
        <f t="shared" si="87"/>
        <v>-3.0129438910972823E-2</v>
      </c>
    </row>
    <row r="2601" spans="1:7" ht="12.5" customHeight="1" x14ac:dyDescent="0.35">
      <c r="A2601" t="s">
        <v>140</v>
      </c>
      <c r="E2601">
        <v>4.2860849951604297E-3</v>
      </c>
      <c r="F2601">
        <f t="shared" si="86"/>
        <v>-1.831155117689261E-2</v>
      </c>
      <c r="G2601">
        <f t="shared" si="87"/>
        <v>-3.0326674158798257E-2</v>
      </c>
    </row>
    <row r="2602" spans="1:7" ht="12.5" customHeight="1" x14ac:dyDescent="0.35">
      <c r="A2602" t="s">
        <v>140</v>
      </c>
      <c r="E2602">
        <v>3.401500933468124E-2</v>
      </c>
      <c r="F2602">
        <f t="shared" si="86"/>
        <v>-1.8327778312338495E-2</v>
      </c>
      <c r="G2602">
        <f t="shared" si="87"/>
        <v>-3.0326674158798257E-2</v>
      </c>
    </row>
    <row r="2603" spans="1:7" ht="12.5" customHeight="1" x14ac:dyDescent="0.35">
      <c r="A2603" t="s">
        <v>140</v>
      </c>
      <c r="E2603">
        <v>-2.0269560377232029E-3</v>
      </c>
      <c r="F2603">
        <f t="shared" si="86"/>
        <v>-1.8344005447784383E-2</v>
      </c>
      <c r="G2603">
        <f t="shared" si="87"/>
        <v>-3.0326674158798257E-2</v>
      </c>
    </row>
    <row r="2604" spans="1:7" ht="12.5" customHeight="1" x14ac:dyDescent="0.35">
      <c r="A2604" t="s">
        <v>140</v>
      </c>
      <c r="E2604">
        <v>-5.1254666339696359E-3</v>
      </c>
      <c r="F2604">
        <f t="shared" si="86"/>
        <v>-1.8360232583230267E-2</v>
      </c>
      <c r="G2604">
        <f t="shared" si="87"/>
        <v>-3.0326674158798257E-2</v>
      </c>
    </row>
    <row r="2605" spans="1:7" ht="12.5" customHeight="1" x14ac:dyDescent="0.35">
      <c r="A2605" t="s">
        <v>140</v>
      </c>
      <c r="E2605">
        <v>6.810974070149343E-3</v>
      </c>
      <c r="F2605">
        <f t="shared" si="86"/>
        <v>-1.8376459718676151E-2</v>
      </c>
      <c r="G2605">
        <f t="shared" si="87"/>
        <v>-3.0326674158798257E-2</v>
      </c>
    </row>
    <row r="2606" spans="1:7" ht="12.5" customHeight="1" x14ac:dyDescent="0.35">
      <c r="A2606" t="s">
        <v>140</v>
      </c>
      <c r="E2606">
        <v>-7.1718154452719961E-3</v>
      </c>
      <c r="F2606">
        <f t="shared" si="86"/>
        <v>-1.8392686854122039E-2</v>
      </c>
      <c r="G2606">
        <f t="shared" si="87"/>
        <v>-3.0326674158798257E-2</v>
      </c>
    </row>
    <row r="2607" spans="1:7" ht="12.5" customHeight="1" x14ac:dyDescent="0.35">
      <c r="A2607" t="s">
        <v>140</v>
      </c>
      <c r="E2607">
        <v>1.845663476540647E-2</v>
      </c>
      <c r="F2607">
        <f t="shared" si="86"/>
        <v>-1.8408913989567923E-2</v>
      </c>
      <c r="G2607">
        <f t="shared" si="87"/>
        <v>-3.0326674158798257E-2</v>
      </c>
    </row>
    <row r="2608" spans="1:7" ht="12.5" customHeight="1" x14ac:dyDescent="0.35">
      <c r="A2608" t="s">
        <v>140</v>
      </c>
      <c r="E2608">
        <v>-3.4799442974743307E-2</v>
      </c>
      <c r="F2608">
        <f t="shared" si="86"/>
        <v>-1.8425141125013807E-2</v>
      </c>
      <c r="G2608">
        <f t="shared" si="87"/>
        <v>-3.0326674158798257E-2</v>
      </c>
    </row>
    <row r="2609" spans="1:144" ht="12.5" customHeight="1" x14ac:dyDescent="0.35">
      <c r="A2609" t="s">
        <v>140</v>
      </c>
      <c r="E2609">
        <v>3.7382461712732644E-3</v>
      </c>
      <c r="F2609">
        <f t="shared" si="86"/>
        <v>-1.8224112614889407E-2</v>
      </c>
      <c r="G2609">
        <f t="shared" si="87"/>
        <v>-3.0051605509909981E-2</v>
      </c>
    </row>
    <row r="2610" spans="1:144" ht="12.5" customHeight="1" x14ac:dyDescent="0.35">
      <c r="A2610" t="s">
        <v>140</v>
      </c>
      <c r="E2610">
        <v>-5.7556238787877072E-3</v>
      </c>
      <c r="F2610">
        <f t="shared" si="86"/>
        <v>-1.8230586380940075E-2</v>
      </c>
      <c r="G2610">
        <f t="shared" si="87"/>
        <v>-3.0051605509909981E-2</v>
      </c>
    </row>
    <row r="2611" spans="1:144" ht="12.5" customHeight="1" x14ac:dyDescent="0.35">
      <c r="A2611" t="s">
        <v>140</v>
      </c>
      <c r="E2611">
        <v>1.673092985810086E-2</v>
      </c>
      <c r="F2611">
        <f t="shared" si="86"/>
        <v>-1.8237060146990738E-2</v>
      </c>
      <c r="G2611">
        <f t="shared" si="87"/>
        <v>-3.0051605509909981E-2</v>
      </c>
    </row>
    <row r="2612" spans="1:144" ht="12.5" customHeight="1" x14ac:dyDescent="0.35">
      <c r="A2612" t="s">
        <v>140</v>
      </c>
      <c r="E2612">
        <v>-3.6834313695426175E-3</v>
      </c>
      <c r="F2612">
        <f t="shared" si="86"/>
        <v>-1.8243533913041406E-2</v>
      </c>
      <c r="G2612">
        <f t="shared" si="87"/>
        <v>-3.0051605509909981E-2</v>
      </c>
    </row>
    <row r="2613" spans="1:144" s="3" customFormat="1" x14ac:dyDescent="0.35">
      <c r="A2613" s="3" t="s">
        <v>141</v>
      </c>
      <c r="B2613" s="3" cm="1">
        <f t="array" ref="B2613">_xlfn.STDEV.S(_xlfn._xlws.FILTER($E$2013:$E$3011, $A$2013:$A$3011="2020-07"))</f>
        <v>1.3612414684268825E-2</v>
      </c>
      <c r="C2613" s="3" cm="1">
        <f t="array" ref="C2613">AVERAGE(_xlfn._xlws.FILTER($E$2013:$E$3011, $A$2013:$A$3011="2020-07"))</f>
        <v>-6.4107308300707575E-4</v>
      </c>
      <c r="D2613" s="3" cm="1">
        <f t="array" ref="D2613">_xlfn.PERCENTILE.EXC(_xlfn._xlws.FILTER($E$2490:$E$3818, $A$2490:$A$3818="2020-07"), 0.05)</f>
        <v>-3.0676016903073828E-2</v>
      </c>
      <c r="E2613" s="3">
        <v>-2.3065963143994359E-3</v>
      </c>
      <c r="F2613" s="3">
        <f t="shared" si="86"/>
        <v>-1.8250007679092069E-2</v>
      </c>
      <c r="G2613" s="3">
        <f t="shared" si="87"/>
        <v>-3.0051605509909981E-2</v>
      </c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</row>
    <row r="2614" spans="1:144" ht="12.5" customHeight="1" x14ac:dyDescent="0.35">
      <c r="A2614" t="s">
        <v>141</v>
      </c>
      <c r="E2614">
        <v>2.8356400541998783E-2</v>
      </c>
      <c r="F2614">
        <f t="shared" si="86"/>
        <v>-1.8256481445142733E-2</v>
      </c>
      <c r="G2614">
        <f t="shared" si="87"/>
        <v>-3.0051605509909981E-2</v>
      </c>
    </row>
    <row r="2615" spans="1:144" ht="12.5" customHeight="1" x14ac:dyDescent="0.35">
      <c r="A2615" t="s">
        <v>141</v>
      </c>
      <c r="E2615">
        <v>-8.0897043929656891E-3</v>
      </c>
      <c r="F2615">
        <f t="shared" si="86"/>
        <v>-1.82629552111934E-2</v>
      </c>
      <c r="G2615">
        <f t="shared" si="87"/>
        <v>-3.0051605509909981E-2</v>
      </c>
    </row>
    <row r="2616" spans="1:144" ht="12.5" customHeight="1" x14ac:dyDescent="0.35">
      <c r="A2616" t="s">
        <v>141</v>
      </c>
      <c r="E2616">
        <v>1.5353492651804659E-2</v>
      </c>
      <c r="F2616">
        <f t="shared" si="86"/>
        <v>-1.8269428977244064E-2</v>
      </c>
      <c r="G2616">
        <f t="shared" si="87"/>
        <v>-3.0051605509909981E-2</v>
      </c>
    </row>
    <row r="2617" spans="1:144" ht="12.5" customHeight="1" x14ac:dyDescent="0.35">
      <c r="A2617" t="s">
        <v>141</v>
      </c>
      <c r="E2617">
        <v>-9.5793341447748663E-4</v>
      </c>
      <c r="F2617">
        <f t="shared" si="86"/>
        <v>-1.8275902743294731E-2</v>
      </c>
      <c r="G2617">
        <f t="shared" si="87"/>
        <v>-3.0051605509909981E-2</v>
      </c>
    </row>
    <row r="2618" spans="1:144" ht="12.5" customHeight="1" x14ac:dyDescent="0.35">
      <c r="A2618" t="s">
        <v>141</v>
      </c>
      <c r="E2618">
        <v>-5.6699592998144142E-3</v>
      </c>
      <c r="F2618">
        <f t="shared" si="86"/>
        <v>-1.8282376509345395E-2</v>
      </c>
      <c r="G2618">
        <f t="shared" si="87"/>
        <v>-3.0051605509909981E-2</v>
      </c>
    </row>
    <row r="2619" spans="1:144" ht="12.5" customHeight="1" x14ac:dyDescent="0.35">
      <c r="A2619" t="s">
        <v>141</v>
      </c>
      <c r="E2619">
        <v>-1.9976566128397006E-2</v>
      </c>
      <c r="F2619">
        <f t="shared" si="86"/>
        <v>-1.8288850275396059E-2</v>
      </c>
      <c r="G2619">
        <f t="shared" si="87"/>
        <v>-3.0051605509909981E-2</v>
      </c>
    </row>
    <row r="2620" spans="1:144" ht="12.5" customHeight="1" x14ac:dyDescent="0.35">
      <c r="A2620" t="s">
        <v>141</v>
      </c>
      <c r="E2620">
        <v>1.3324686526113936E-2</v>
      </c>
      <c r="F2620">
        <f t="shared" si="86"/>
        <v>-1.8165848720433423E-2</v>
      </c>
      <c r="G2620">
        <f t="shared" si="87"/>
        <v>-3.0021426886443922E-2</v>
      </c>
    </row>
    <row r="2621" spans="1:144" ht="12.5" customHeight="1" x14ac:dyDescent="0.35">
      <c r="A2621" t="s">
        <v>141</v>
      </c>
      <c r="E2621">
        <v>1.1850526593496268E-2</v>
      </c>
      <c r="F2621">
        <f t="shared" si="86"/>
        <v>-1.8172322486484087E-2</v>
      </c>
      <c r="G2621">
        <f t="shared" si="87"/>
        <v>-3.022236888925766E-2</v>
      </c>
    </row>
    <row r="2622" spans="1:144" ht="12.5" customHeight="1" x14ac:dyDescent="0.35">
      <c r="A2622" t="s">
        <v>141</v>
      </c>
      <c r="E2622">
        <v>-6.1931346556561391E-3</v>
      </c>
      <c r="F2622">
        <f t="shared" si="86"/>
        <v>-1.8178796252534754E-2</v>
      </c>
      <c r="G2622">
        <f t="shared" si="87"/>
        <v>-3.022236888925766E-2</v>
      </c>
    </row>
    <row r="2623" spans="1:144" ht="12.5" customHeight="1" x14ac:dyDescent="0.35">
      <c r="A2623" t="s">
        <v>141</v>
      </c>
      <c r="E2623">
        <v>2.0001598048505476E-2</v>
      </c>
      <c r="F2623">
        <f t="shared" si="86"/>
        <v>-1.8185270018585418E-2</v>
      </c>
      <c r="G2623">
        <f t="shared" si="87"/>
        <v>-3.022236888925766E-2</v>
      </c>
    </row>
    <row r="2624" spans="1:144" ht="12.5" customHeight="1" x14ac:dyDescent="0.35">
      <c r="A2624" t="s">
        <v>141</v>
      </c>
      <c r="E2624">
        <v>3.6769062725117551E-3</v>
      </c>
      <c r="F2624">
        <f t="shared" si="86"/>
        <v>-1.8191743784636082E-2</v>
      </c>
      <c r="G2624">
        <f t="shared" si="87"/>
        <v>-3.022236888925766E-2</v>
      </c>
    </row>
    <row r="2625" spans="1:144" ht="12.5" customHeight="1" x14ac:dyDescent="0.35">
      <c r="A2625" t="s">
        <v>141</v>
      </c>
      <c r="E2625">
        <v>3.1048095988159183E-3</v>
      </c>
      <c r="F2625">
        <f t="shared" si="86"/>
        <v>-1.8198217550686749E-2</v>
      </c>
      <c r="G2625">
        <f t="shared" si="87"/>
        <v>-3.022236888925766E-2</v>
      </c>
    </row>
    <row r="2626" spans="1:144" ht="12.5" customHeight="1" x14ac:dyDescent="0.35">
      <c r="A2626" t="s">
        <v>141</v>
      </c>
      <c r="E2626">
        <v>9.848311372392015E-3</v>
      </c>
      <c r="F2626">
        <f t="shared" si="86"/>
        <v>-1.8204691316737413E-2</v>
      </c>
      <c r="G2626">
        <f t="shared" si="87"/>
        <v>-3.022236888925766E-2</v>
      </c>
    </row>
    <row r="2627" spans="1:144" ht="12.5" customHeight="1" x14ac:dyDescent="0.35">
      <c r="A2627" t="s">
        <v>141</v>
      </c>
      <c r="E2627">
        <v>4.9312106969159721E-3</v>
      </c>
      <c r="F2627">
        <f t="shared" si="86"/>
        <v>-1.821116508278808E-2</v>
      </c>
      <c r="G2627">
        <f t="shared" si="87"/>
        <v>-3.022236888925766E-2</v>
      </c>
    </row>
    <row r="2628" spans="1:144" ht="12.5" customHeight="1" x14ac:dyDescent="0.35">
      <c r="A2628" t="s">
        <v>141</v>
      </c>
      <c r="E2628">
        <v>-6.0326109449857545E-3</v>
      </c>
      <c r="F2628">
        <f t="shared" ref="F2628:F2691" si="88">_xlfn.PERCENTILE.EXC(E2628:E6443,0.05)</f>
        <v>-1.8217638848838744E-2</v>
      </c>
      <c r="G2628">
        <f t="shared" ref="G2628:G2691" si="89">AVERAGEIFS(E2628:E6444,E2628:E6444,"&lt;=" &amp; F2628)</f>
        <v>-3.022236888925766E-2</v>
      </c>
    </row>
    <row r="2629" spans="1:144" ht="12.5" customHeight="1" x14ac:dyDescent="0.35">
      <c r="A2629" t="s">
        <v>141</v>
      </c>
      <c r="E2629">
        <v>-7.0308991212506677E-3</v>
      </c>
      <c r="F2629">
        <f t="shared" si="88"/>
        <v>-1.8224112614889407E-2</v>
      </c>
      <c r="G2629">
        <f t="shared" si="89"/>
        <v>-3.022236888925766E-2</v>
      </c>
    </row>
    <row r="2630" spans="1:144" ht="12.5" customHeight="1" x14ac:dyDescent="0.35">
      <c r="A2630" t="s">
        <v>141</v>
      </c>
      <c r="E2630">
        <v>-1.8712242313029523E-2</v>
      </c>
      <c r="F2630">
        <f t="shared" si="88"/>
        <v>-1.8230586380940075E-2</v>
      </c>
      <c r="G2630">
        <f t="shared" si="89"/>
        <v>-3.022236888925766E-2</v>
      </c>
    </row>
    <row r="2631" spans="1:144" ht="12.5" customHeight="1" x14ac:dyDescent="0.35">
      <c r="A2631" t="s">
        <v>141</v>
      </c>
      <c r="E2631">
        <v>-2.7589334234347858E-3</v>
      </c>
      <c r="F2631">
        <f t="shared" si="88"/>
        <v>-1.8127259871582497E-2</v>
      </c>
      <c r="G2631">
        <f t="shared" si="89"/>
        <v>-3.0213107980908573E-2</v>
      </c>
    </row>
    <row r="2632" spans="1:144" ht="12.5" customHeight="1" x14ac:dyDescent="0.35">
      <c r="A2632" t="s">
        <v>141</v>
      </c>
      <c r="E2632">
        <v>-5.8778920810832842E-3</v>
      </c>
      <c r="F2632">
        <f t="shared" si="88"/>
        <v>-1.8131547521454822E-2</v>
      </c>
      <c r="G2632">
        <f t="shared" si="89"/>
        <v>-3.0213107980908573E-2</v>
      </c>
    </row>
    <row r="2633" spans="1:144" ht="12.5" customHeight="1" x14ac:dyDescent="0.35">
      <c r="A2633" t="s">
        <v>141</v>
      </c>
      <c r="E2633">
        <v>-1.1090109524109627E-3</v>
      </c>
      <c r="F2633">
        <f t="shared" si="88"/>
        <v>-1.8135835171327146E-2</v>
      </c>
      <c r="G2633">
        <f t="shared" si="89"/>
        <v>-3.0213107980908573E-2</v>
      </c>
    </row>
    <row r="2634" spans="1:144" ht="12.5" customHeight="1" x14ac:dyDescent="0.35">
      <c r="A2634" t="s">
        <v>141</v>
      </c>
      <c r="E2634">
        <v>-3.3350879596743037E-2</v>
      </c>
      <c r="F2634">
        <f t="shared" si="88"/>
        <v>-1.8140122821199471E-2</v>
      </c>
      <c r="G2634">
        <f t="shared" si="89"/>
        <v>-3.0213107980908573E-2</v>
      </c>
    </row>
    <row r="2635" spans="1:144" ht="12.5" customHeight="1" x14ac:dyDescent="0.35">
      <c r="A2635" t="s">
        <v>141</v>
      </c>
      <c r="E2635">
        <v>-7.1262605730693486E-3</v>
      </c>
      <c r="F2635">
        <f t="shared" si="88"/>
        <v>-1.806237927077034E-2</v>
      </c>
      <c r="G2635">
        <f t="shared" si="89"/>
        <v>-2.9954281135590673E-2</v>
      </c>
    </row>
    <row r="2636" spans="1:144" s="3" customFormat="1" x14ac:dyDescent="0.35">
      <c r="A2636" s="3" t="s">
        <v>142</v>
      </c>
      <c r="B2636" s="3" cm="1">
        <f t="array" ref="B2636">_xlfn.STDEV.S(_xlfn._xlws.FILTER($E$2013:$E$3011, $A$2013:$A$3011="2020-08"))</f>
        <v>1.2052922590584813E-2</v>
      </c>
      <c r="C2636" s="3" cm="1">
        <f t="array" ref="C2636">AVERAGE(_xlfn._xlws.FILTER($E$2013:$E$3011, $A$2013:$A$3011="2020-08"))</f>
        <v>1.9242637569643474E-3</v>
      </c>
      <c r="D2636" s="3" cm="1">
        <f t="array" ref="D2636">_xlfn.PERCENTILE.EXC(_xlfn._xlws.FILTER($E$2490:$E$3818, $A$2490:$A$3818="2020-08"), 0.05)</f>
        <v>-1.4500575421230793E-2</v>
      </c>
      <c r="E2636" s="3">
        <v>1.4965037810824734E-2</v>
      </c>
      <c r="F2636" s="3">
        <f t="shared" si="88"/>
        <v>-1.8065922561213657E-2</v>
      </c>
      <c r="G2636" s="3">
        <f t="shared" si="89"/>
        <v>-2.9954281135590673E-2</v>
      </c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</row>
    <row r="2637" spans="1:144" ht="12.5" customHeight="1" x14ac:dyDescent="0.35">
      <c r="A2637" t="s">
        <v>142</v>
      </c>
      <c r="E2637">
        <v>1.2010277276729521E-2</v>
      </c>
      <c r="F2637">
        <f t="shared" si="88"/>
        <v>-1.8069465851656974E-2</v>
      </c>
      <c r="G2637">
        <f t="shared" si="89"/>
        <v>-2.9954281135590673E-2</v>
      </c>
    </row>
    <row r="2638" spans="1:144" ht="12.5" customHeight="1" x14ac:dyDescent="0.35">
      <c r="A2638" t="s">
        <v>142</v>
      </c>
      <c r="E2638">
        <v>6.4161178989414897E-3</v>
      </c>
      <c r="F2638">
        <f t="shared" si="88"/>
        <v>-1.8073009142100291E-2</v>
      </c>
      <c r="G2638">
        <f t="shared" si="89"/>
        <v>-2.9954281135590673E-2</v>
      </c>
    </row>
    <row r="2639" spans="1:144" ht="12.5" customHeight="1" x14ac:dyDescent="0.35">
      <c r="A2639" t="s">
        <v>142</v>
      </c>
      <c r="E2639">
        <v>-1.3517871756834081E-2</v>
      </c>
      <c r="F2639">
        <f t="shared" si="88"/>
        <v>-1.8076552432543604E-2</v>
      </c>
      <c r="G2639">
        <f t="shared" si="89"/>
        <v>-2.9954281135590673E-2</v>
      </c>
    </row>
    <row r="2640" spans="1:144" ht="12.5" customHeight="1" x14ac:dyDescent="0.35">
      <c r="A2640" t="s">
        <v>142</v>
      </c>
      <c r="E2640">
        <v>2.1173810049532789E-3</v>
      </c>
      <c r="F2640">
        <f t="shared" si="88"/>
        <v>-1.8080095722986921E-2</v>
      </c>
      <c r="G2640">
        <f t="shared" si="89"/>
        <v>-2.9954281135590673E-2</v>
      </c>
    </row>
    <row r="2641" spans="1:144" ht="12.5" customHeight="1" x14ac:dyDescent="0.35">
      <c r="A2641" t="s">
        <v>142</v>
      </c>
      <c r="E2641">
        <v>6.9005584280184776E-3</v>
      </c>
      <c r="F2641">
        <f t="shared" si="88"/>
        <v>-1.8084383372859246E-2</v>
      </c>
      <c r="G2641">
        <f t="shared" si="89"/>
        <v>-3.0159008470290741E-2</v>
      </c>
    </row>
    <row r="2642" spans="1:144" ht="12.5" customHeight="1" x14ac:dyDescent="0.35">
      <c r="A2642" t="s">
        <v>142</v>
      </c>
      <c r="E2642">
        <v>2.7976259498292858E-2</v>
      </c>
      <c r="F2642">
        <f t="shared" si="88"/>
        <v>-1.8088671022731571E-2</v>
      </c>
      <c r="G2642">
        <f t="shared" si="89"/>
        <v>-3.0159008470290741E-2</v>
      </c>
    </row>
    <row r="2643" spans="1:144" ht="12.5" customHeight="1" x14ac:dyDescent="0.35">
      <c r="A2643" t="s">
        <v>142</v>
      </c>
      <c r="E2643">
        <v>1.1231105640404703E-2</v>
      </c>
      <c r="F2643">
        <f t="shared" si="88"/>
        <v>-1.8092958672603895E-2</v>
      </c>
      <c r="G2643">
        <f t="shared" si="89"/>
        <v>-3.0159008470290741E-2</v>
      </c>
    </row>
    <row r="2644" spans="1:144" ht="12.5" customHeight="1" x14ac:dyDescent="0.35">
      <c r="A2644" t="s">
        <v>142</v>
      </c>
      <c r="E2644">
        <v>-8.8488824146026029E-3</v>
      </c>
      <c r="F2644">
        <f t="shared" si="88"/>
        <v>-1.809724632247622E-2</v>
      </c>
      <c r="G2644">
        <f t="shared" si="89"/>
        <v>-3.0159008470290741E-2</v>
      </c>
    </row>
    <row r="2645" spans="1:144" ht="12.5" customHeight="1" x14ac:dyDescent="0.35">
      <c r="A2645" t="s">
        <v>142</v>
      </c>
      <c r="E2645">
        <v>-1.1378929303121406E-2</v>
      </c>
      <c r="F2645">
        <f t="shared" si="88"/>
        <v>-1.8101533972348545E-2</v>
      </c>
      <c r="G2645">
        <f t="shared" si="89"/>
        <v>-3.0159008470290741E-2</v>
      </c>
    </row>
    <row r="2646" spans="1:144" ht="12.5" customHeight="1" x14ac:dyDescent="0.35">
      <c r="A2646" t="s">
        <v>142</v>
      </c>
      <c r="E2646">
        <v>-3.8916034558985485E-3</v>
      </c>
      <c r="F2646">
        <f t="shared" si="88"/>
        <v>-1.8105821622220873E-2</v>
      </c>
      <c r="G2646">
        <f t="shared" si="89"/>
        <v>-3.0159008470290741E-2</v>
      </c>
    </row>
    <row r="2647" spans="1:144" ht="12.5" customHeight="1" x14ac:dyDescent="0.35">
      <c r="A2647" t="s">
        <v>142</v>
      </c>
      <c r="E2647">
        <v>-5.2623593236483931E-3</v>
      </c>
      <c r="F2647">
        <f t="shared" si="88"/>
        <v>-1.8110109272093198E-2</v>
      </c>
      <c r="G2647">
        <f t="shared" si="89"/>
        <v>-3.0159008470290741E-2</v>
      </c>
    </row>
    <row r="2648" spans="1:144" ht="12.5" customHeight="1" x14ac:dyDescent="0.35">
      <c r="A2648" t="s">
        <v>142</v>
      </c>
      <c r="E2648">
        <v>1.0515620190115916E-2</v>
      </c>
      <c r="F2648">
        <f t="shared" si="88"/>
        <v>-1.8114396921965523E-2</v>
      </c>
      <c r="G2648">
        <f t="shared" si="89"/>
        <v>-3.0159008470290741E-2</v>
      </c>
    </row>
    <row r="2649" spans="1:144" ht="12.5" customHeight="1" x14ac:dyDescent="0.35">
      <c r="A2649" t="s">
        <v>142</v>
      </c>
      <c r="E2649">
        <v>-1.4486587150849118E-2</v>
      </c>
      <c r="F2649">
        <f t="shared" si="88"/>
        <v>-1.8118684571837847E-2</v>
      </c>
      <c r="G2649">
        <f t="shared" si="89"/>
        <v>-3.0159008470290741E-2</v>
      </c>
    </row>
    <row r="2650" spans="1:144" ht="12.5" customHeight="1" x14ac:dyDescent="0.35">
      <c r="A2650" t="s">
        <v>142</v>
      </c>
      <c r="E2650">
        <v>-3.6252278860406727E-3</v>
      </c>
      <c r="F2650">
        <f t="shared" si="88"/>
        <v>-1.8122972221710172E-2</v>
      </c>
      <c r="G2650">
        <f t="shared" si="89"/>
        <v>-3.0159008470290741E-2</v>
      </c>
    </row>
    <row r="2651" spans="1:144" ht="12.5" customHeight="1" x14ac:dyDescent="0.35">
      <c r="A2651" t="s">
        <v>142</v>
      </c>
      <c r="E2651">
        <v>2.0997641745218031E-2</v>
      </c>
      <c r="F2651">
        <f t="shared" si="88"/>
        <v>-1.8127259871582497E-2</v>
      </c>
      <c r="G2651">
        <f t="shared" si="89"/>
        <v>-3.0159008470290741E-2</v>
      </c>
    </row>
    <row r="2652" spans="1:144" ht="12.5" customHeight="1" x14ac:dyDescent="0.35">
      <c r="A2652" t="s">
        <v>142</v>
      </c>
      <c r="E2652">
        <v>-4.1506249520500797E-3</v>
      </c>
      <c r="F2652">
        <f t="shared" si="88"/>
        <v>-1.8131547521454822E-2</v>
      </c>
      <c r="G2652">
        <f t="shared" si="89"/>
        <v>-3.0159008470290741E-2</v>
      </c>
    </row>
    <row r="2653" spans="1:144" ht="12.5" customHeight="1" x14ac:dyDescent="0.35">
      <c r="A2653" t="s">
        <v>142</v>
      </c>
      <c r="E2653">
        <v>5.3396742130894801E-3</v>
      </c>
      <c r="F2653">
        <f t="shared" si="88"/>
        <v>-1.8135835171327146E-2</v>
      </c>
      <c r="G2653">
        <f t="shared" si="89"/>
        <v>-3.0159008470290741E-2</v>
      </c>
    </row>
    <row r="2654" spans="1:144" ht="12.5" customHeight="1" x14ac:dyDescent="0.35">
      <c r="A2654" t="s">
        <v>142</v>
      </c>
      <c r="E2654">
        <v>-1.4501311645987723E-2</v>
      </c>
      <c r="F2654">
        <f t="shared" si="88"/>
        <v>-1.8140122821199471E-2</v>
      </c>
      <c r="G2654">
        <f t="shared" si="89"/>
        <v>-3.0159008470290741E-2</v>
      </c>
    </row>
    <row r="2655" spans="1:144" ht="12.5" customHeight="1" x14ac:dyDescent="0.35">
      <c r="A2655" t="s">
        <v>142</v>
      </c>
      <c r="E2655">
        <v>-3.210006782689049E-4</v>
      </c>
      <c r="F2655">
        <f t="shared" si="88"/>
        <v>-1.8144410471071799E-2</v>
      </c>
      <c r="G2655">
        <f t="shared" si="89"/>
        <v>-3.0159008470290741E-2</v>
      </c>
    </row>
    <row r="2656" spans="1:144" s="3" customFormat="1" x14ac:dyDescent="0.35">
      <c r="A2656" s="3" t="s">
        <v>143</v>
      </c>
      <c r="B2656" s="3" cm="1">
        <f t="array" ref="B2656">_xlfn.STDEV.S(_xlfn._xlws.FILTER($E$2013:$E$3011, $A$2013:$A$3011="2020-09"))</f>
        <v>1.4101204140466894E-2</v>
      </c>
      <c r="C2656" s="3" cm="1">
        <f t="array" ref="C2656">AVERAGE(_xlfn._xlws.FILTER($E$2013:$E$3011, $A$2013:$A$3011="2020-09"))</f>
        <v>-1.9322121465144358E-3</v>
      </c>
      <c r="D2656" s="3" cm="1">
        <f t="array" ref="D2656">_xlfn.PERCENTILE.EXC(_xlfn._xlws.FILTER($E$2490:$E$3818, $A$2490:$A$3818="2020-09"), 0.05)</f>
        <v>-3.5205406654986338E-2</v>
      </c>
      <c r="E2656" s="3">
        <v>-1.2475555499448829E-2</v>
      </c>
      <c r="F2656" s="3">
        <f t="shared" si="88"/>
        <v>-1.8148698120944124E-2</v>
      </c>
      <c r="G2656" s="3">
        <f t="shared" si="89"/>
        <v>-3.0159008470290741E-2</v>
      </c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</row>
    <row r="2657" spans="1:7" ht="12.5" customHeight="1" x14ac:dyDescent="0.35">
      <c r="A2657" t="s">
        <v>143</v>
      </c>
      <c r="E2657">
        <v>1.3342071318964543E-2</v>
      </c>
      <c r="F2657">
        <f t="shared" si="88"/>
        <v>-1.8152985770816449E-2</v>
      </c>
      <c r="G2657">
        <f t="shared" si="89"/>
        <v>-3.0159008470290741E-2</v>
      </c>
    </row>
    <row r="2658" spans="1:7" ht="12.5" customHeight="1" x14ac:dyDescent="0.35">
      <c r="A2658" t="s">
        <v>143</v>
      </c>
      <c r="E2658">
        <v>-1.5566536747745659E-2</v>
      </c>
      <c r="F2658">
        <f t="shared" si="88"/>
        <v>-1.8157273420688774E-2</v>
      </c>
      <c r="G2658">
        <f t="shared" si="89"/>
        <v>-3.0159008470290741E-2</v>
      </c>
    </row>
    <row r="2659" spans="1:7" ht="12.5" customHeight="1" x14ac:dyDescent="0.35">
      <c r="A2659" t="s">
        <v>143</v>
      </c>
      <c r="E2659">
        <v>-8.2290534944270254E-3</v>
      </c>
      <c r="F2659">
        <f t="shared" si="88"/>
        <v>-1.8161561070561098E-2</v>
      </c>
      <c r="G2659">
        <f t="shared" si="89"/>
        <v>-3.0159008470290741E-2</v>
      </c>
    </row>
    <row r="2660" spans="1:7" ht="12.5" customHeight="1" x14ac:dyDescent="0.35">
      <c r="A2660" t="s">
        <v>143</v>
      </c>
      <c r="E2660">
        <v>1.772428499022714E-2</v>
      </c>
      <c r="F2660">
        <f t="shared" si="88"/>
        <v>-1.8165848720433423E-2</v>
      </c>
      <c r="G2660">
        <f t="shared" si="89"/>
        <v>-3.0159008470290741E-2</v>
      </c>
    </row>
    <row r="2661" spans="1:7" ht="12.5" customHeight="1" x14ac:dyDescent="0.35">
      <c r="A2661" t="s">
        <v>143</v>
      </c>
      <c r="E2661">
        <v>-1.8295324041446726E-2</v>
      </c>
      <c r="F2661">
        <f t="shared" si="88"/>
        <v>-1.8172322486484087E-2</v>
      </c>
      <c r="G2661">
        <f t="shared" si="89"/>
        <v>-3.0369414781691747E-2</v>
      </c>
    </row>
    <row r="2662" spans="1:7" ht="12.5" customHeight="1" x14ac:dyDescent="0.35">
      <c r="A2662" t="s">
        <v>143</v>
      </c>
      <c r="E2662">
        <v>1.998150843851448E-2</v>
      </c>
      <c r="F2662">
        <f t="shared" si="88"/>
        <v>-1.8088671022731571E-2</v>
      </c>
      <c r="G2662">
        <f t="shared" si="89"/>
        <v>-3.0367143284831866E-2</v>
      </c>
    </row>
    <row r="2663" spans="1:7" ht="12.5" customHeight="1" x14ac:dyDescent="0.35">
      <c r="A2663" t="s">
        <v>143</v>
      </c>
      <c r="E2663">
        <v>2.4702259556317434E-3</v>
      </c>
      <c r="F2663">
        <f t="shared" si="88"/>
        <v>-1.8092958672603895E-2</v>
      </c>
      <c r="G2663">
        <f t="shared" si="89"/>
        <v>-3.0367143284831866E-2</v>
      </c>
    </row>
    <row r="2664" spans="1:7" ht="12.5" customHeight="1" x14ac:dyDescent="0.35">
      <c r="A2664" t="s">
        <v>143</v>
      </c>
      <c r="E2664">
        <v>2.6740011661192169E-5</v>
      </c>
      <c r="F2664">
        <f t="shared" si="88"/>
        <v>-1.809724632247622E-2</v>
      </c>
      <c r="G2664">
        <f t="shared" si="89"/>
        <v>-3.0367143284831866E-2</v>
      </c>
    </row>
    <row r="2665" spans="1:7" ht="12.5" customHeight="1" x14ac:dyDescent="0.35">
      <c r="A2665" t="s">
        <v>143</v>
      </c>
      <c r="E2665">
        <v>-1.3606113994796922E-3</v>
      </c>
      <c r="F2665">
        <f t="shared" si="88"/>
        <v>-1.8101533972348545E-2</v>
      </c>
      <c r="G2665">
        <f t="shared" si="89"/>
        <v>-3.0367143284831866E-2</v>
      </c>
    </row>
    <row r="2666" spans="1:7" ht="12.5" customHeight="1" x14ac:dyDescent="0.35">
      <c r="A2666" t="s">
        <v>143</v>
      </c>
      <c r="E2666">
        <v>8.2086962446167779E-3</v>
      </c>
      <c r="F2666">
        <f t="shared" si="88"/>
        <v>-1.8105821622220873E-2</v>
      </c>
      <c r="G2666">
        <f t="shared" si="89"/>
        <v>-3.0367143284831866E-2</v>
      </c>
    </row>
    <row r="2667" spans="1:7" ht="12.5" customHeight="1" x14ac:dyDescent="0.35">
      <c r="A2667" t="s">
        <v>143</v>
      </c>
      <c r="E2667">
        <v>3.5269710948588348E-4</v>
      </c>
      <c r="F2667">
        <f t="shared" si="88"/>
        <v>-1.8110109272093198E-2</v>
      </c>
      <c r="G2667">
        <f t="shared" si="89"/>
        <v>-3.0367143284831866E-2</v>
      </c>
    </row>
    <row r="2668" spans="1:7" ht="12.5" customHeight="1" x14ac:dyDescent="0.35">
      <c r="A2668" t="s">
        <v>143</v>
      </c>
      <c r="E2668">
        <v>-1.1296794605371238E-2</v>
      </c>
      <c r="F2668">
        <f t="shared" si="88"/>
        <v>-1.8114396921965523E-2</v>
      </c>
      <c r="G2668">
        <f t="shared" si="89"/>
        <v>-3.0367143284831866E-2</v>
      </c>
    </row>
    <row r="2669" spans="1:7" ht="12.5" customHeight="1" x14ac:dyDescent="0.35">
      <c r="A2669" t="s">
        <v>143</v>
      </c>
      <c r="E2669">
        <v>-1.0940733362569953E-2</v>
      </c>
      <c r="F2669">
        <f t="shared" si="88"/>
        <v>-1.8118684571837847E-2</v>
      </c>
      <c r="G2669">
        <f t="shared" si="89"/>
        <v>-3.0367143284831866E-2</v>
      </c>
    </row>
    <row r="2670" spans="1:7" ht="12.5" customHeight="1" x14ac:dyDescent="0.35">
      <c r="A2670" t="s">
        <v>143</v>
      </c>
      <c r="E2670">
        <v>-3.8189538880905094E-2</v>
      </c>
      <c r="F2670">
        <f t="shared" si="88"/>
        <v>-1.8122972221710172E-2</v>
      </c>
      <c r="G2670">
        <f t="shared" si="89"/>
        <v>-3.0367143284831866E-2</v>
      </c>
    </row>
    <row r="2671" spans="1:7" ht="12.5" customHeight="1" x14ac:dyDescent="0.35">
      <c r="A2671" t="s">
        <v>143</v>
      </c>
      <c r="E2671">
        <v>5.4254776490377079E-3</v>
      </c>
      <c r="F2671">
        <f t="shared" si="88"/>
        <v>-1.8048206108997079E-2</v>
      </c>
      <c r="G2671">
        <f t="shared" si="89"/>
        <v>-3.0014346036447332E-2</v>
      </c>
    </row>
    <row r="2672" spans="1:7" ht="12.5" customHeight="1" x14ac:dyDescent="0.35">
      <c r="A2672" t="s">
        <v>143</v>
      </c>
      <c r="E2672">
        <v>1.8135928163448799E-3</v>
      </c>
      <c r="F2672">
        <f t="shared" si="88"/>
        <v>-1.8051749399440393E-2</v>
      </c>
      <c r="G2672">
        <f t="shared" si="89"/>
        <v>-3.0014346036447332E-2</v>
      </c>
    </row>
    <row r="2673" spans="1:144" ht="12.5" customHeight="1" x14ac:dyDescent="0.35">
      <c r="A2673" t="s">
        <v>143</v>
      </c>
      <c r="E2673">
        <v>-1.2189218756358036E-3</v>
      </c>
      <c r="F2673">
        <f t="shared" si="88"/>
        <v>-1.805529268988371E-2</v>
      </c>
      <c r="G2673">
        <f t="shared" si="89"/>
        <v>-3.0014346036447332E-2</v>
      </c>
    </row>
    <row r="2674" spans="1:144" ht="12.5" customHeight="1" x14ac:dyDescent="0.35">
      <c r="A2674" t="s">
        <v>143</v>
      </c>
      <c r="E2674">
        <v>-1.1087412966650013E-2</v>
      </c>
      <c r="F2674">
        <f t="shared" si="88"/>
        <v>-1.8058835980327027E-2</v>
      </c>
      <c r="G2674">
        <f t="shared" si="89"/>
        <v>-3.0014346036447332E-2</v>
      </c>
    </row>
    <row r="2675" spans="1:144" ht="12.5" customHeight="1" x14ac:dyDescent="0.35">
      <c r="A2675" t="s">
        <v>143</v>
      </c>
      <c r="E2675">
        <v>2.4394172255910167E-2</v>
      </c>
      <c r="F2675">
        <f t="shared" si="88"/>
        <v>-1.806237927077034E-2</v>
      </c>
      <c r="G2675">
        <f t="shared" si="89"/>
        <v>-3.0014346036447332E-2</v>
      </c>
    </row>
    <row r="2676" spans="1:144" ht="12.5" customHeight="1" x14ac:dyDescent="0.35">
      <c r="A2676" t="s">
        <v>143</v>
      </c>
      <c r="E2676">
        <v>-5.1761856673920694E-3</v>
      </c>
      <c r="F2676">
        <f t="shared" si="88"/>
        <v>-1.8065922561213657E-2</v>
      </c>
      <c r="G2676">
        <f t="shared" si="89"/>
        <v>-3.0014346036447332E-2</v>
      </c>
    </row>
    <row r="2677" spans="1:144" ht="12.5" customHeight="1" x14ac:dyDescent="0.35">
      <c r="A2677" t="s">
        <v>143</v>
      </c>
      <c r="E2677">
        <v>-2.4114654726399964E-3</v>
      </c>
      <c r="F2677">
        <f t="shared" si="88"/>
        <v>-1.8069465851656974E-2</v>
      </c>
      <c r="G2677">
        <f t="shared" si="89"/>
        <v>-3.0014346036447332E-2</v>
      </c>
    </row>
    <row r="2678" spans="1:144" s="3" customFormat="1" x14ac:dyDescent="0.35">
      <c r="A2678" s="3" t="s">
        <v>144</v>
      </c>
      <c r="B2678" s="3" cm="1">
        <f t="array" ref="B2678">_xlfn.STDEV.S(_xlfn._xlws.FILTER($E$2013:$E$3011, $A$2013:$A$3011="2020-10"))</f>
        <v>1.403633672615447E-2</v>
      </c>
      <c r="C2678" s="3" cm="1">
        <f t="array" ref="C2678">AVERAGE(_xlfn._xlws.FILTER($E$2013:$E$3011, $A$2013:$A$3011="2020-10"))</f>
        <v>-2.6380065163439225E-3</v>
      </c>
      <c r="D2678" s="3" cm="1">
        <f t="array" ref="D2678">_xlfn.PERCENTILE.EXC(_xlfn._xlws.FILTER($E$2490:$E$3818, $A$2490:$A$3818="2020-10"), 0.05)</f>
        <v>-3.9426132791430889E-2</v>
      </c>
      <c r="E2678" s="3">
        <v>2.4282533794718251E-3</v>
      </c>
      <c r="F2678" s="3">
        <f t="shared" si="88"/>
        <v>-1.8073009142100291E-2</v>
      </c>
      <c r="G2678" s="3">
        <f t="shared" si="89"/>
        <v>-3.0014346036447332E-2</v>
      </c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</row>
    <row r="2679" spans="1:144" ht="12.5" customHeight="1" x14ac:dyDescent="0.35">
      <c r="A2679" t="s">
        <v>144</v>
      </c>
      <c r="E2679">
        <v>1.4740670454413209E-4</v>
      </c>
      <c r="F2679">
        <f t="shared" si="88"/>
        <v>-1.8076552432543604E-2</v>
      </c>
      <c r="G2679">
        <f t="shared" si="89"/>
        <v>-3.0014346036447332E-2</v>
      </c>
    </row>
    <row r="2680" spans="1:144" ht="12.5" customHeight="1" x14ac:dyDescent="0.35">
      <c r="A2680" t="s">
        <v>144</v>
      </c>
      <c r="E2680">
        <v>1.0498449926238185E-2</v>
      </c>
      <c r="F2680">
        <f t="shared" si="88"/>
        <v>-1.8080095722986921E-2</v>
      </c>
      <c r="G2680">
        <f t="shared" si="89"/>
        <v>-3.0014346036447332E-2</v>
      </c>
    </row>
    <row r="2681" spans="1:144" ht="12.5" customHeight="1" x14ac:dyDescent="0.35">
      <c r="A2681" t="s">
        <v>144</v>
      </c>
      <c r="E2681">
        <v>8.4920340427967894E-3</v>
      </c>
      <c r="F2681">
        <f t="shared" si="88"/>
        <v>-1.8084383372859246E-2</v>
      </c>
      <c r="G2681">
        <f t="shared" si="89"/>
        <v>-3.0227457649187696E-2</v>
      </c>
    </row>
    <row r="2682" spans="1:144" ht="12.5" customHeight="1" x14ac:dyDescent="0.35">
      <c r="A2682" t="s">
        <v>144</v>
      </c>
      <c r="E2682">
        <v>2.7119593197366687E-4</v>
      </c>
      <c r="F2682">
        <f t="shared" si="88"/>
        <v>-1.8088671022731571E-2</v>
      </c>
      <c r="G2682">
        <f t="shared" si="89"/>
        <v>-3.0227457649187696E-2</v>
      </c>
    </row>
    <row r="2683" spans="1:144" ht="12.5" customHeight="1" x14ac:dyDescent="0.35">
      <c r="A2683" t="s">
        <v>144</v>
      </c>
      <c r="E2683">
        <v>7.5530550519034905E-3</v>
      </c>
      <c r="F2683">
        <f t="shared" si="88"/>
        <v>-1.8092958672603895E-2</v>
      </c>
      <c r="G2683">
        <f t="shared" si="89"/>
        <v>-3.0227457649187696E-2</v>
      </c>
    </row>
    <row r="2684" spans="1:144" ht="12.5" customHeight="1" x14ac:dyDescent="0.35">
      <c r="A2684" t="s">
        <v>144</v>
      </c>
      <c r="E2684">
        <v>6.610885331077036E-4</v>
      </c>
      <c r="F2684">
        <f t="shared" si="88"/>
        <v>-1.809724632247622E-2</v>
      </c>
      <c r="G2684">
        <f t="shared" si="89"/>
        <v>-3.0227457649187696E-2</v>
      </c>
    </row>
    <row r="2685" spans="1:144" ht="12.5" customHeight="1" x14ac:dyDescent="0.35">
      <c r="A2685" t="s">
        <v>144</v>
      </c>
      <c r="E2685">
        <v>6.2771498382680887E-3</v>
      </c>
      <c r="F2685">
        <f t="shared" si="88"/>
        <v>-1.8101533972348545E-2</v>
      </c>
      <c r="G2685">
        <f t="shared" si="89"/>
        <v>-3.0227457649187696E-2</v>
      </c>
    </row>
    <row r="2686" spans="1:144" ht="12.5" customHeight="1" x14ac:dyDescent="0.35">
      <c r="A2686" t="s">
        <v>144</v>
      </c>
      <c r="E2686">
        <v>-8.1512850553278181E-3</v>
      </c>
      <c r="F2686">
        <f t="shared" si="88"/>
        <v>-1.8105821622220873E-2</v>
      </c>
      <c r="G2686">
        <f t="shared" si="89"/>
        <v>-3.0227457649187696E-2</v>
      </c>
    </row>
    <row r="2687" spans="1:144" ht="12.5" customHeight="1" x14ac:dyDescent="0.35">
      <c r="A2687" t="s">
        <v>144</v>
      </c>
      <c r="E2687">
        <v>2.5041872924456755E-3</v>
      </c>
      <c r="F2687">
        <f t="shared" si="88"/>
        <v>-1.8110109272093198E-2</v>
      </c>
      <c r="G2687">
        <f t="shared" si="89"/>
        <v>-3.0227457649187696E-2</v>
      </c>
    </row>
    <row r="2688" spans="1:144" ht="12.5" customHeight="1" x14ac:dyDescent="0.35">
      <c r="A2688" t="s">
        <v>144</v>
      </c>
      <c r="E2688">
        <v>-2.8046604257485615E-2</v>
      </c>
      <c r="F2688">
        <f t="shared" si="88"/>
        <v>-1.8114396921965523E-2</v>
      </c>
      <c r="G2688">
        <f t="shared" si="89"/>
        <v>-3.0227457649187696E-2</v>
      </c>
    </row>
    <row r="2689" spans="1:144" ht="12.5" customHeight="1" x14ac:dyDescent="0.35">
      <c r="A2689" t="s">
        <v>144</v>
      </c>
      <c r="E2689">
        <v>1.6863693782456037E-2</v>
      </c>
      <c r="F2689">
        <f t="shared" si="88"/>
        <v>-1.8041119528110446E-2</v>
      </c>
      <c r="G2689">
        <f t="shared" si="89"/>
        <v>-3.0049484282500215E-2</v>
      </c>
    </row>
    <row r="2690" spans="1:144" ht="12.5" customHeight="1" x14ac:dyDescent="0.35">
      <c r="A2690" t="s">
        <v>144</v>
      </c>
      <c r="E2690">
        <v>-7.9816555156300587E-4</v>
      </c>
      <c r="F2690">
        <f t="shared" si="88"/>
        <v>-1.8044662818553762E-2</v>
      </c>
      <c r="G2690">
        <f t="shared" si="89"/>
        <v>-3.0049484282500215E-2</v>
      </c>
    </row>
    <row r="2691" spans="1:144" ht="12.5" customHeight="1" x14ac:dyDescent="0.35">
      <c r="A2691" t="s">
        <v>144</v>
      </c>
      <c r="E2691">
        <v>5.5548349381271331E-3</v>
      </c>
      <c r="F2691">
        <f t="shared" si="88"/>
        <v>-1.8048206108997079E-2</v>
      </c>
      <c r="G2691">
        <f t="shared" si="89"/>
        <v>-3.0049484282500215E-2</v>
      </c>
    </row>
    <row r="2692" spans="1:144" ht="12.5" customHeight="1" x14ac:dyDescent="0.35">
      <c r="A2692" t="s">
        <v>144</v>
      </c>
      <c r="E2692">
        <v>-2.0545172882330372E-2</v>
      </c>
      <c r="F2692">
        <f t="shared" ref="F2692:F2755" si="90">_xlfn.PERCENTILE.EXC(E2692:E6507,0.05)</f>
        <v>-1.8051749399440393E-2</v>
      </c>
      <c r="G2692">
        <f t="shared" ref="G2692:G2755" si="91">AVERAGEIFS(E2692:E6508,E2692:E6508,"&lt;=" &amp; F2692)</f>
        <v>-3.0049484282500215E-2</v>
      </c>
    </row>
    <row r="2693" spans="1:144" ht="12.5" customHeight="1" x14ac:dyDescent="0.35">
      <c r="A2693" t="s">
        <v>144</v>
      </c>
      <c r="E2693">
        <v>-4.7166227759672E-4</v>
      </c>
      <c r="F2693">
        <f t="shared" si="90"/>
        <v>-1.7997824504930603E-2</v>
      </c>
      <c r="G2693">
        <f t="shared" si="91"/>
        <v>-3.000419958663933E-2</v>
      </c>
    </row>
    <row r="2694" spans="1:144" ht="12.5" customHeight="1" x14ac:dyDescent="0.35">
      <c r="A2694" t="s">
        <v>144</v>
      </c>
      <c r="E2694">
        <v>1.0868051488095753E-2</v>
      </c>
      <c r="F2694">
        <f t="shared" si="90"/>
        <v>-1.7999453849100601E-2</v>
      </c>
      <c r="G2694">
        <f t="shared" si="91"/>
        <v>-3.000419958663933E-2</v>
      </c>
    </row>
    <row r="2695" spans="1:144" ht="12.5" customHeight="1" x14ac:dyDescent="0.35">
      <c r="A2695" t="s">
        <v>144</v>
      </c>
      <c r="E2695">
        <v>-1.7801417224992844E-2</v>
      </c>
      <c r="F2695">
        <f t="shared" si="90"/>
        <v>-1.8001083193270602E-2</v>
      </c>
      <c r="G2695">
        <f t="shared" si="91"/>
        <v>-3.000419958663933E-2</v>
      </c>
    </row>
    <row r="2696" spans="1:144" ht="12.5" customHeight="1" x14ac:dyDescent="0.35">
      <c r="A2696" t="s">
        <v>144</v>
      </c>
      <c r="E2696">
        <v>-1.5435907832928345E-2</v>
      </c>
      <c r="F2696">
        <f t="shared" si="90"/>
        <v>-1.8002712537440603E-2</v>
      </c>
      <c r="G2696">
        <f t="shared" si="91"/>
        <v>-3.000419958663933E-2</v>
      </c>
    </row>
    <row r="2697" spans="1:144" ht="12.5" customHeight="1" x14ac:dyDescent="0.35">
      <c r="A2697" t="s">
        <v>144</v>
      </c>
      <c r="E2697">
        <v>-4.1434284885656529E-2</v>
      </c>
      <c r="F2697">
        <f t="shared" si="90"/>
        <v>-1.8004341881610604E-2</v>
      </c>
      <c r="G2697">
        <f t="shared" si="91"/>
        <v>-3.000419958663933E-2</v>
      </c>
    </row>
    <row r="2698" spans="1:144" ht="12.5" customHeight="1" x14ac:dyDescent="0.35">
      <c r="A2698" t="s">
        <v>144</v>
      </c>
      <c r="E2698">
        <v>-1.4263323680858021E-3</v>
      </c>
      <c r="F2698">
        <f t="shared" si="90"/>
        <v>-1.7969099336704271E-2</v>
      </c>
      <c r="G2698">
        <f t="shared" si="91"/>
        <v>-2.9585313124944047E-2</v>
      </c>
    </row>
    <row r="2699" spans="1:144" ht="12.5" customHeight="1" x14ac:dyDescent="0.35">
      <c r="A2699" t="s">
        <v>144</v>
      </c>
      <c r="E2699">
        <v>3.9552880669722701E-3</v>
      </c>
      <c r="F2699">
        <f t="shared" si="90"/>
        <v>-1.7972871183712436E-2</v>
      </c>
      <c r="G2699">
        <f t="shared" si="91"/>
        <v>-2.9585313124944047E-2</v>
      </c>
    </row>
    <row r="2700" spans="1:144" s="3" customFormat="1" x14ac:dyDescent="0.35">
      <c r="A2700" s="3" t="s">
        <v>145</v>
      </c>
      <c r="B2700" s="3" cm="1">
        <f t="array" ref="B2700">_xlfn.STDEV.S(_xlfn._xlws.FILTER($E$2013:$E$3011, $A$2013:$A$3011="2020-11"))</f>
        <v>1.508260640658832E-2</v>
      </c>
      <c r="C2700" s="3" cm="1">
        <f t="array" ref="C2700">AVERAGE(_xlfn._xlws.FILTER($E$2013:$E$3011, $A$2013:$A$3011="2020-11"))</f>
        <v>9.8382971380867323E-3</v>
      </c>
      <c r="D2700" s="3" cm="1">
        <f t="array" ref="D2700">_xlfn.PERCENTILE.EXC(_xlfn._xlws.FILTER($E$2490:$E$3818, $A$2490:$A$3818="2020-11"), 0.05)</f>
        <v>-1.2651847888327126E-2</v>
      </c>
      <c r="E2700" s="3">
        <v>2.5146097812216803E-2</v>
      </c>
      <c r="F2700" s="3">
        <f t="shared" si="90"/>
        <v>-1.79766430307206E-2</v>
      </c>
      <c r="G2700" s="3">
        <f t="shared" si="91"/>
        <v>-2.9585313124944047E-2</v>
      </c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</row>
    <row r="2701" spans="1:144" ht="12.5" customHeight="1" x14ac:dyDescent="0.35">
      <c r="A2701" t="s">
        <v>145</v>
      </c>
      <c r="E2701">
        <v>3.136221122460791E-2</v>
      </c>
      <c r="F2701">
        <f t="shared" si="90"/>
        <v>-1.7978272374890601E-2</v>
      </c>
      <c r="G2701">
        <f t="shared" si="91"/>
        <v>-2.9796379853929925E-2</v>
      </c>
    </row>
    <row r="2702" spans="1:144" ht="12.5" customHeight="1" x14ac:dyDescent="0.35">
      <c r="A2702" t="s">
        <v>145</v>
      </c>
      <c r="E2702">
        <v>1.9405728653452227E-2</v>
      </c>
      <c r="F2702">
        <f t="shared" si="90"/>
        <v>-1.7979901719060599E-2</v>
      </c>
      <c r="G2702">
        <f t="shared" si="91"/>
        <v>-2.9796379853929925E-2</v>
      </c>
    </row>
    <row r="2703" spans="1:144" ht="12.5" customHeight="1" x14ac:dyDescent="0.35">
      <c r="A2703" t="s">
        <v>145</v>
      </c>
      <c r="E2703">
        <v>1.9090026909424986E-2</v>
      </c>
      <c r="F2703">
        <f t="shared" si="90"/>
        <v>-1.79815310632306E-2</v>
      </c>
      <c r="G2703">
        <f t="shared" si="91"/>
        <v>-2.9796379853929925E-2</v>
      </c>
    </row>
    <row r="2704" spans="1:144" ht="12.5" customHeight="1" x14ac:dyDescent="0.35">
      <c r="A2704" t="s">
        <v>145</v>
      </c>
      <c r="E2704">
        <v>-2.5220080015694885E-3</v>
      </c>
      <c r="F2704">
        <f t="shared" si="90"/>
        <v>-1.7983160407400601E-2</v>
      </c>
      <c r="G2704">
        <f t="shared" si="91"/>
        <v>-2.9796379853929925E-2</v>
      </c>
    </row>
    <row r="2705" spans="1:7" ht="12.5" customHeight="1" x14ac:dyDescent="0.35">
      <c r="A2705" t="s">
        <v>145</v>
      </c>
      <c r="E2705">
        <v>5.2866667503568769E-2</v>
      </c>
      <c r="F2705">
        <f t="shared" si="90"/>
        <v>-1.7984789751570602E-2</v>
      </c>
      <c r="G2705">
        <f t="shared" si="91"/>
        <v>-2.9796379853929925E-2</v>
      </c>
    </row>
    <row r="2706" spans="1:7" ht="12.5" customHeight="1" x14ac:dyDescent="0.35">
      <c r="A2706" t="s">
        <v>145</v>
      </c>
      <c r="E2706">
        <v>4.874803412319894E-3</v>
      </c>
      <c r="F2706">
        <f t="shared" si="90"/>
        <v>-1.7986419095740599E-2</v>
      </c>
      <c r="G2706">
        <f t="shared" si="91"/>
        <v>-2.9796379853929925E-2</v>
      </c>
    </row>
    <row r="2707" spans="1:7" ht="12.5" customHeight="1" x14ac:dyDescent="0.35">
      <c r="A2707" t="s">
        <v>145</v>
      </c>
      <c r="E2707">
        <v>6.7602767700526709E-3</v>
      </c>
      <c r="F2707">
        <f t="shared" si="90"/>
        <v>-1.7988048439910601E-2</v>
      </c>
      <c r="G2707">
        <f t="shared" si="91"/>
        <v>-2.9796379853929925E-2</v>
      </c>
    </row>
    <row r="2708" spans="1:7" ht="12.5" customHeight="1" x14ac:dyDescent="0.35">
      <c r="A2708" t="s">
        <v>145</v>
      </c>
      <c r="E2708">
        <v>-8.3849740566643086E-3</v>
      </c>
      <c r="F2708">
        <f t="shared" si="90"/>
        <v>-1.7989677784080602E-2</v>
      </c>
      <c r="G2708">
        <f t="shared" si="91"/>
        <v>-2.9796379853929925E-2</v>
      </c>
    </row>
    <row r="2709" spans="1:7" ht="12.5" customHeight="1" x14ac:dyDescent="0.35">
      <c r="A2709" t="s">
        <v>145</v>
      </c>
      <c r="E2709">
        <v>4.1154087044317587E-3</v>
      </c>
      <c r="F2709">
        <f t="shared" si="90"/>
        <v>-1.7991307128250603E-2</v>
      </c>
      <c r="G2709">
        <f t="shared" si="91"/>
        <v>-2.9796379853929925E-2</v>
      </c>
    </row>
    <row r="2710" spans="1:7" ht="12.5" customHeight="1" x14ac:dyDescent="0.35">
      <c r="A2710" t="s">
        <v>145</v>
      </c>
      <c r="E2710">
        <v>1.9584909392091641E-2</v>
      </c>
      <c r="F2710">
        <f t="shared" si="90"/>
        <v>-1.7992936472420604E-2</v>
      </c>
      <c r="G2710">
        <f t="shared" si="91"/>
        <v>-2.9796379853929925E-2</v>
      </c>
    </row>
    <row r="2711" spans="1:7" ht="12.5" customHeight="1" x14ac:dyDescent="0.35">
      <c r="A2711" t="s">
        <v>145</v>
      </c>
      <c r="E2711">
        <v>5.5248862704590524E-3</v>
      </c>
      <c r="F2711">
        <f t="shared" si="90"/>
        <v>-1.7994565816590601E-2</v>
      </c>
      <c r="G2711">
        <f t="shared" si="91"/>
        <v>-2.9796379853929925E-2</v>
      </c>
    </row>
    <row r="2712" spans="1:7" ht="12.5" customHeight="1" x14ac:dyDescent="0.35">
      <c r="A2712" t="s">
        <v>145</v>
      </c>
      <c r="E2712">
        <v>8.7116070399713575E-3</v>
      </c>
      <c r="F2712">
        <f t="shared" si="90"/>
        <v>-1.7996195160760602E-2</v>
      </c>
      <c r="G2712">
        <f t="shared" si="91"/>
        <v>-2.9796379853929925E-2</v>
      </c>
    </row>
    <row r="2713" spans="1:7" ht="12.5" customHeight="1" x14ac:dyDescent="0.35">
      <c r="A2713" t="s">
        <v>145</v>
      </c>
      <c r="E2713">
        <v>-4.0047413395596322E-3</v>
      </c>
      <c r="F2713">
        <f t="shared" si="90"/>
        <v>-1.7997824504930603E-2</v>
      </c>
      <c r="G2713">
        <f t="shared" si="91"/>
        <v>-2.9796379853929925E-2</v>
      </c>
    </row>
    <row r="2714" spans="1:7" ht="12.5" customHeight="1" x14ac:dyDescent="0.35">
      <c r="A2714" t="s">
        <v>145</v>
      </c>
      <c r="E2714">
        <v>7.8958489174021079E-3</v>
      </c>
      <c r="F2714">
        <f t="shared" si="90"/>
        <v>-1.7999453849100601E-2</v>
      </c>
      <c r="G2714">
        <f t="shared" si="91"/>
        <v>-2.9796379853929925E-2</v>
      </c>
    </row>
    <row r="2715" spans="1:7" ht="12.5" customHeight="1" x14ac:dyDescent="0.35">
      <c r="A2715" t="s">
        <v>145</v>
      </c>
      <c r="E2715">
        <v>-2.3820082469287634E-4</v>
      </c>
      <c r="F2715">
        <f t="shared" si="90"/>
        <v>-1.8001083193270602E-2</v>
      </c>
      <c r="G2715">
        <f t="shared" si="91"/>
        <v>-2.9796379853929925E-2</v>
      </c>
    </row>
    <row r="2716" spans="1:7" ht="12.5" customHeight="1" x14ac:dyDescent="0.35">
      <c r="A2716" t="s">
        <v>145</v>
      </c>
      <c r="E2716">
        <v>2.0219701163020038E-2</v>
      </c>
      <c r="F2716">
        <f t="shared" si="90"/>
        <v>-1.8002712537440603E-2</v>
      </c>
      <c r="G2716">
        <f t="shared" si="91"/>
        <v>-2.9796379853929925E-2</v>
      </c>
    </row>
    <row r="2717" spans="1:7" ht="12.5" customHeight="1" x14ac:dyDescent="0.35">
      <c r="A2717" t="s">
        <v>145</v>
      </c>
      <c r="E2717">
        <v>7.1327569110916367E-3</v>
      </c>
      <c r="F2717">
        <f t="shared" si="90"/>
        <v>-1.8004341881610604E-2</v>
      </c>
      <c r="G2717">
        <f t="shared" si="91"/>
        <v>-2.9796379853929925E-2</v>
      </c>
    </row>
    <row r="2718" spans="1:7" ht="12.5" customHeight="1" x14ac:dyDescent="0.35">
      <c r="A2718" t="s">
        <v>145</v>
      </c>
      <c r="E2718">
        <v>-4.5900520583363894E-3</v>
      </c>
      <c r="F2718">
        <f t="shared" si="90"/>
        <v>-1.8005971225780602E-2</v>
      </c>
      <c r="G2718">
        <f t="shared" si="91"/>
        <v>-2.9796379853929925E-2</v>
      </c>
    </row>
    <row r="2719" spans="1:7" ht="12.5" customHeight="1" x14ac:dyDescent="0.35">
      <c r="A2719" t="s">
        <v>145</v>
      </c>
      <c r="E2719">
        <v>6.7792304772672949E-3</v>
      </c>
      <c r="F2719">
        <f t="shared" si="90"/>
        <v>-1.8007600569950603E-2</v>
      </c>
      <c r="G2719">
        <f t="shared" si="91"/>
        <v>-2.9796379853929925E-2</v>
      </c>
    </row>
    <row r="2720" spans="1:7" ht="12.5" customHeight="1" x14ac:dyDescent="0.35">
      <c r="A2720" t="s">
        <v>145</v>
      </c>
      <c r="E2720">
        <v>-1.3125944980734107E-2</v>
      </c>
      <c r="F2720">
        <f t="shared" si="90"/>
        <v>-1.8009229914120604E-2</v>
      </c>
      <c r="G2720">
        <f t="shared" si="91"/>
        <v>-2.9796379853929925E-2</v>
      </c>
    </row>
    <row r="2721" spans="1:144" s="3" customFormat="1" x14ac:dyDescent="0.35">
      <c r="A2721" s="3" t="s">
        <v>146</v>
      </c>
      <c r="B2721" s="3" cm="1">
        <f t="array" ref="B2721">_xlfn.STDEV.S(_xlfn._xlws.FILTER($E$2013:$E$3011, $A$2013:$A$3011="2020-12"))</f>
        <v>9.4176326161378131E-3</v>
      </c>
      <c r="C2721" s="3" cm="1">
        <f t="array" ref="C2721">AVERAGE(_xlfn._xlws.FILTER($E$2013:$E$3011, $A$2013:$A$3011="2020-12"))</f>
        <v>4.0856508803478888E-4</v>
      </c>
      <c r="D2721" s="3" cm="1">
        <f t="array" ref="D2721">_xlfn.PERCENTILE.EXC(_xlfn._xlws.FILTER($E$2490:$E$3818, $A$2490:$A$3818="2020-12"), 0.05)</f>
        <v>-2.6074486317987478E-2</v>
      </c>
      <c r="E2721" s="3">
        <v>1.76355147165549E-3</v>
      </c>
      <c r="F2721" s="3">
        <f t="shared" si="90"/>
        <v>-1.8012773204563921E-2</v>
      </c>
      <c r="G2721" s="3">
        <f t="shared" si="91"/>
        <v>-3.0014660408370839E-2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</row>
    <row r="2722" spans="1:144" ht="12.5" customHeight="1" x14ac:dyDescent="0.35">
      <c r="A2722" t="s">
        <v>146</v>
      </c>
      <c r="E2722">
        <v>-5.7959706746229557E-3</v>
      </c>
      <c r="F2722">
        <f t="shared" si="90"/>
        <v>-1.8016316495007234E-2</v>
      </c>
      <c r="G2722">
        <f t="shared" si="91"/>
        <v>-3.0014660408370839E-2</v>
      </c>
    </row>
    <row r="2723" spans="1:144" ht="12.5" customHeight="1" x14ac:dyDescent="0.35">
      <c r="A2723" t="s">
        <v>146</v>
      </c>
      <c r="E2723">
        <v>1.6007425040839732E-3</v>
      </c>
      <c r="F2723">
        <f t="shared" si="90"/>
        <v>-1.8019859785450551E-2</v>
      </c>
      <c r="G2723">
        <f t="shared" si="91"/>
        <v>-3.0014660408370839E-2</v>
      </c>
    </row>
    <row r="2724" spans="1:144" ht="12.5" customHeight="1" x14ac:dyDescent="0.35">
      <c r="A2724" t="s">
        <v>146</v>
      </c>
      <c r="E2724">
        <v>7.7581172261869018E-3</v>
      </c>
      <c r="F2724">
        <f t="shared" si="90"/>
        <v>-1.8023403075893868E-2</v>
      </c>
      <c r="G2724">
        <f t="shared" si="91"/>
        <v>-3.0014660408370839E-2</v>
      </c>
    </row>
    <row r="2725" spans="1:144" ht="12.5" customHeight="1" x14ac:dyDescent="0.35">
      <c r="A2725" t="s">
        <v>146</v>
      </c>
      <c r="E2725">
        <v>-3.2344350260793673E-3</v>
      </c>
      <c r="F2725">
        <f t="shared" si="90"/>
        <v>-1.8026946366337185E-2</v>
      </c>
      <c r="G2725">
        <f t="shared" si="91"/>
        <v>-3.0014660408370839E-2</v>
      </c>
    </row>
    <row r="2726" spans="1:144" ht="12.5" customHeight="1" x14ac:dyDescent="0.35">
      <c r="A2726" t="s">
        <v>146</v>
      </c>
      <c r="E2726">
        <v>-2.434750730628191E-3</v>
      </c>
      <c r="F2726">
        <f t="shared" si="90"/>
        <v>-1.8030489656780498E-2</v>
      </c>
      <c r="G2726">
        <f t="shared" si="91"/>
        <v>-3.0014660408370839E-2</v>
      </c>
    </row>
    <row r="2727" spans="1:144" ht="12.5" customHeight="1" x14ac:dyDescent="0.35">
      <c r="A2727" t="s">
        <v>146</v>
      </c>
      <c r="E2727">
        <v>-3.8084674957694492E-3</v>
      </c>
      <c r="F2727">
        <f t="shared" si="90"/>
        <v>-1.8034032947223815E-2</v>
      </c>
      <c r="G2727">
        <f t="shared" si="91"/>
        <v>-3.0014660408370839E-2</v>
      </c>
    </row>
    <row r="2728" spans="1:144" ht="12.5" customHeight="1" x14ac:dyDescent="0.35">
      <c r="A2728" t="s">
        <v>146</v>
      </c>
      <c r="E2728">
        <v>-2.464619079143391E-3</v>
      </c>
      <c r="F2728">
        <f t="shared" si="90"/>
        <v>-1.8037576237667132E-2</v>
      </c>
      <c r="G2728">
        <f t="shared" si="91"/>
        <v>-3.0014660408370839E-2</v>
      </c>
    </row>
    <row r="2729" spans="1:144" ht="12.5" customHeight="1" x14ac:dyDescent="0.35">
      <c r="A2729" t="s">
        <v>146</v>
      </c>
      <c r="E2729">
        <v>-9.7828105684542414E-3</v>
      </c>
      <c r="F2729">
        <f t="shared" si="90"/>
        <v>-1.8041119528110446E-2</v>
      </c>
      <c r="G2729">
        <f t="shared" si="91"/>
        <v>-3.0014660408370839E-2</v>
      </c>
    </row>
    <row r="2730" spans="1:144" ht="12.5" customHeight="1" x14ac:dyDescent="0.35">
      <c r="A2730" t="s">
        <v>146</v>
      </c>
      <c r="E2730">
        <v>2.6492190592993826E-3</v>
      </c>
      <c r="F2730">
        <f t="shared" si="90"/>
        <v>-1.8044662818553762E-2</v>
      </c>
      <c r="G2730">
        <f t="shared" si="91"/>
        <v>-3.0014660408370839E-2</v>
      </c>
    </row>
    <row r="2731" spans="1:144" ht="12.5" customHeight="1" x14ac:dyDescent="0.35">
      <c r="A2731" t="s">
        <v>146</v>
      </c>
      <c r="E2731">
        <v>8.0248002551005452E-3</v>
      </c>
      <c r="F2731">
        <f t="shared" si="90"/>
        <v>-1.8048206108997079E-2</v>
      </c>
      <c r="G2731">
        <f t="shared" si="91"/>
        <v>-3.0014660408370839E-2</v>
      </c>
    </row>
    <row r="2732" spans="1:144" ht="12.5" customHeight="1" x14ac:dyDescent="0.35">
      <c r="A2732" t="s">
        <v>146</v>
      </c>
      <c r="E2732">
        <v>2.3437242138920076E-3</v>
      </c>
      <c r="F2732">
        <f t="shared" si="90"/>
        <v>-1.8051749399440393E-2</v>
      </c>
      <c r="G2732">
        <f t="shared" si="91"/>
        <v>-3.0014660408370839E-2</v>
      </c>
    </row>
    <row r="2733" spans="1:144" ht="12.5" customHeight="1" x14ac:dyDescent="0.35">
      <c r="A2733" t="s">
        <v>146</v>
      </c>
      <c r="E2733">
        <v>1.1614009845283824E-3</v>
      </c>
      <c r="F2733">
        <f t="shared" si="90"/>
        <v>-1.805529268988371E-2</v>
      </c>
      <c r="G2733">
        <f t="shared" si="91"/>
        <v>-3.0014660408370839E-2</v>
      </c>
    </row>
    <row r="2734" spans="1:144" ht="12.5" customHeight="1" x14ac:dyDescent="0.35">
      <c r="A2734" t="s">
        <v>146</v>
      </c>
      <c r="E2734">
        <v>-1.6345299956162054E-3</v>
      </c>
      <c r="F2734">
        <f t="shared" si="90"/>
        <v>-1.8058835980327027E-2</v>
      </c>
      <c r="G2734">
        <f t="shared" si="91"/>
        <v>-3.0014660408370839E-2</v>
      </c>
    </row>
    <row r="2735" spans="1:144" ht="12.5" customHeight="1" x14ac:dyDescent="0.35">
      <c r="A2735" t="s">
        <v>146</v>
      </c>
      <c r="E2735">
        <v>-2.6074486317987478E-2</v>
      </c>
      <c r="F2735">
        <f t="shared" si="90"/>
        <v>-1.806237927077034E-2</v>
      </c>
      <c r="G2735">
        <f t="shared" si="91"/>
        <v>-3.0014660408370839E-2</v>
      </c>
    </row>
    <row r="2736" spans="1:144" ht="12.5" customHeight="1" x14ac:dyDescent="0.35">
      <c r="A2736" t="s">
        <v>146</v>
      </c>
      <c r="E2736">
        <v>2.0059468336590548E-2</v>
      </c>
      <c r="F2736">
        <f t="shared" si="90"/>
        <v>-1.8002712537440603E-2</v>
      </c>
      <c r="G2736">
        <f t="shared" si="91"/>
        <v>-2.9865303808299232E-2</v>
      </c>
    </row>
    <row r="2737" spans="1:144" ht="12.5" customHeight="1" x14ac:dyDescent="0.35">
      <c r="A2737" t="s">
        <v>146</v>
      </c>
      <c r="E2737">
        <v>1.3000896485929704E-2</v>
      </c>
      <c r="F2737">
        <f t="shared" si="90"/>
        <v>-1.8004341881610604E-2</v>
      </c>
      <c r="G2737">
        <f t="shared" si="91"/>
        <v>-2.9865303808299232E-2</v>
      </c>
    </row>
    <row r="2738" spans="1:144" ht="12.5" customHeight="1" x14ac:dyDescent="0.35">
      <c r="A2738" t="s">
        <v>146</v>
      </c>
      <c r="E2738">
        <v>5.819857276707815E-3</v>
      </c>
      <c r="F2738">
        <f t="shared" si="90"/>
        <v>-1.8005971225780602E-2</v>
      </c>
      <c r="G2738">
        <f t="shared" si="91"/>
        <v>-2.9865303808299232E-2</v>
      </c>
    </row>
    <row r="2739" spans="1:144" ht="12.5" customHeight="1" x14ac:dyDescent="0.35">
      <c r="A2739" t="s">
        <v>146</v>
      </c>
      <c r="E2739">
        <v>-1.188971253012483E-3</v>
      </c>
      <c r="F2739">
        <f t="shared" si="90"/>
        <v>-1.8007600569950603E-2</v>
      </c>
      <c r="G2739">
        <f t="shared" si="91"/>
        <v>-2.9865303808299232E-2</v>
      </c>
    </row>
    <row r="2740" spans="1:144" s="3" customFormat="1" x14ac:dyDescent="0.35">
      <c r="A2740" s="3" t="s">
        <v>147</v>
      </c>
      <c r="B2740" s="3" cm="1">
        <f t="array" ref="B2740">_xlfn.STDEV.S(_xlfn._xlws.FILTER($E$2013:$E$3011, $A$2013:$A$3011="2021-01"))</f>
        <v>1.076926124532333E-2</v>
      </c>
      <c r="C2740" s="3" cm="1">
        <f t="array" ref="C2740">AVERAGE(_xlfn._xlws.FILTER($E$2013:$E$3011, $A$2013:$A$3011="2021-01"))</f>
        <v>-1.5076213874947804E-3</v>
      </c>
      <c r="D2740" s="3" cm="1">
        <f t="array" ref="D2740">_xlfn.PERCENTILE.EXC(_xlfn._xlws.FILTER($E$2490:$E$3818, $A$2490:$A$3818="2021-01"), 0.05)</f>
        <v>-1.6069992677068885E-2</v>
      </c>
      <c r="E2740" s="3">
        <v>3.7249107409142936E-3</v>
      </c>
      <c r="F2740" s="3">
        <f t="shared" si="90"/>
        <v>-1.8009229914120604E-2</v>
      </c>
      <c r="G2740" s="3">
        <f t="shared" si="91"/>
        <v>-2.9865303808299232E-2</v>
      </c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</row>
    <row r="2741" spans="1:144" ht="12.5" customHeight="1" x14ac:dyDescent="0.35">
      <c r="A2741" t="s">
        <v>147</v>
      </c>
      <c r="E2741">
        <v>-5.178769009535537E-3</v>
      </c>
      <c r="F2741">
        <f t="shared" si="90"/>
        <v>-1.8012773204563921E-2</v>
      </c>
      <c r="G2741">
        <f t="shared" si="91"/>
        <v>-3.0089003315736565E-2</v>
      </c>
    </row>
    <row r="2742" spans="1:144" ht="12.5" customHeight="1" x14ac:dyDescent="0.35">
      <c r="A2742" t="s">
        <v>147</v>
      </c>
      <c r="E2742">
        <v>2.3756361458971153E-2</v>
      </c>
      <c r="F2742">
        <f t="shared" si="90"/>
        <v>-1.8016316495007234E-2</v>
      </c>
      <c r="G2742">
        <f t="shared" si="91"/>
        <v>-3.0089003315736565E-2</v>
      </c>
    </row>
    <row r="2743" spans="1:144" ht="12.5" customHeight="1" x14ac:dyDescent="0.35">
      <c r="A2743" t="s">
        <v>147</v>
      </c>
      <c r="E2743">
        <v>5.1714585896742919E-4</v>
      </c>
      <c r="F2743">
        <f t="shared" si="90"/>
        <v>-1.8019859785450551E-2</v>
      </c>
      <c r="G2743">
        <f t="shared" si="91"/>
        <v>-3.0089003315736565E-2</v>
      </c>
    </row>
    <row r="2744" spans="1:144" ht="12.5" customHeight="1" x14ac:dyDescent="0.35">
      <c r="A2744" t="s">
        <v>147</v>
      </c>
      <c r="E2744">
        <v>2.101888300452757E-3</v>
      </c>
      <c r="F2744">
        <f t="shared" si="90"/>
        <v>-1.8023403075893868E-2</v>
      </c>
      <c r="G2744">
        <f t="shared" si="91"/>
        <v>-3.0089003315736565E-2</v>
      </c>
    </row>
    <row r="2745" spans="1:144" ht="12.5" customHeight="1" x14ac:dyDescent="0.35">
      <c r="A2745" t="s">
        <v>147</v>
      </c>
      <c r="E2745">
        <v>-3.1606529087090055E-3</v>
      </c>
      <c r="F2745">
        <f t="shared" si="90"/>
        <v>-1.8026946366337185E-2</v>
      </c>
      <c r="G2745">
        <f t="shared" si="91"/>
        <v>-3.0089003315736565E-2</v>
      </c>
    </row>
    <row r="2746" spans="1:144" ht="12.5" customHeight="1" x14ac:dyDescent="0.35">
      <c r="A2746" t="s">
        <v>147</v>
      </c>
      <c r="E2746">
        <v>-3.3477313090413594E-3</v>
      </c>
      <c r="F2746">
        <f t="shared" si="90"/>
        <v>-1.8030489656780498E-2</v>
      </c>
      <c r="G2746">
        <f t="shared" si="91"/>
        <v>-3.0089003315736565E-2</v>
      </c>
    </row>
    <row r="2747" spans="1:144" ht="12.5" customHeight="1" x14ac:dyDescent="0.35">
      <c r="A2747" t="s">
        <v>147</v>
      </c>
      <c r="E2747">
        <v>4.2996586156776135E-3</v>
      </c>
      <c r="F2747">
        <f t="shared" si="90"/>
        <v>-1.8034032947223815E-2</v>
      </c>
      <c r="G2747">
        <f t="shared" si="91"/>
        <v>-3.0089003315736565E-2</v>
      </c>
    </row>
    <row r="2748" spans="1:144" ht="12.5" customHeight="1" x14ac:dyDescent="0.35">
      <c r="A2748" t="s">
        <v>147</v>
      </c>
      <c r="E2748">
        <v>-4.6684440064161028E-3</v>
      </c>
      <c r="F2748">
        <f t="shared" si="90"/>
        <v>-1.8037576237667132E-2</v>
      </c>
      <c r="G2748">
        <f t="shared" si="91"/>
        <v>-3.0089003315736565E-2</v>
      </c>
    </row>
    <row r="2749" spans="1:144" ht="12.5" customHeight="1" x14ac:dyDescent="0.35">
      <c r="A2749" t="s">
        <v>147</v>
      </c>
      <c r="E2749">
        <v>-1.1389518769624454E-2</v>
      </c>
      <c r="F2749">
        <f t="shared" si="90"/>
        <v>-1.8041119528110446E-2</v>
      </c>
      <c r="G2749">
        <f t="shared" si="91"/>
        <v>-3.0089003315736565E-2</v>
      </c>
    </row>
    <row r="2750" spans="1:144" ht="12.5" customHeight="1" x14ac:dyDescent="0.35">
      <c r="A2750" t="s">
        <v>147</v>
      </c>
      <c r="E2750">
        <v>5.2379518797969144E-3</v>
      </c>
      <c r="F2750">
        <f t="shared" si="90"/>
        <v>-1.8044662818553762E-2</v>
      </c>
      <c r="G2750">
        <f t="shared" si="91"/>
        <v>-3.0089003315736565E-2</v>
      </c>
    </row>
    <row r="2751" spans="1:144" ht="12.5" customHeight="1" x14ac:dyDescent="0.35">
      <c r="A2751" t="s">
        <v>147</v>
      </c>
      <c r="E2751">
        <v>-2.5442481016341952E-3</v>
      </c>
      <c r="F2751">
        <f t="shared" si="90"/>
        <v>-1.8048206108997079E-2</v>
      </c>
      <c r="G2751">
        <f t="shared" si="91"/>
        <v>-3.0089003315736565E-2</v>
      </c>
    </row>
    <row r="2752" spans="1:144" ht="12.5" customHeight="1" x14ac:dyDescent="0.35">
      <c r="A2752" t="s">
        <v>147</v>
      </c>
      <c r="E2752">
        <v>9.2725618637148378E-3</v>
      </c>
      <c r="F2752">
        <f t="shared" si="90"/>
        <v>-1.8051749399440393E-2</v>
      </c>
      <c r="G2752">
        <f t="shared" si="91"/>
        <v>-3.0089003315736565E-2</v>
      </c>
    </row>
    <row r="2753" spans="1:144" ht="12.5" customHeight="1" x14ac:dyDescent="0.35">
      <c r="A2753" t="s">
        <v>147</v>
      </c>
      <c r="E2753">
        <v>-9.8426449958464949E-3</v>
      </c>
      <c r="F2753">
        <f t="shared" si="90"/>
        <v>-1.805529268988371E-2</v>
      </c>
      <c r="G2753">
        <f t="shared" si="91"/>
        <v>-3.0089003315736565E-2</v>
      </c>
    </row>
    <row r="2754" spans="1:144" ht="12.5" customHeight="1" x14ac:dyDescent="0.35">
      <c r="A2754" t="s">
        <v>147</v>
      </c>
      <c r="E2754">
        <v>-1.5300870488717925E-2</v>
      </c>
      <c r="F2754">
        <f t="shared" si="90"/>
        <v>-1.8058835980327027E-2</v>
      </c>
      <c r="G2754">
        <f t="shared" si="91"/>
        <v>-3.0089003315736565E-2</v>
      </c>
    </row>
    <row r="2755" spans="1:144" ht="12.5" customHeight="1" x14ac:dyDescent="0.35">
      <c r="A2755" t="s">
        <v>147</v>
      </c>
      <c r="E2755">
        <v>-1.6083201147475197E-2</v>
      </c>
      <c r="F2755">
        <f t="shared" si="90"/>
        <v>-1.806237927077034E-2</v>
      </c>
      <c r="G2755">
        <f t="shared" si="91"/>
        <v>-3.0089003315736565E-2</v>
      </c>
    </row>
    <row r="2756" spans="1:144" ht="12.5" customHeight="1" x14ac:dyDescent="0.35">
      <c r="A2756" t="s">
        <v>147</v>
      </c>
      <c r="E2756">
        <v>1.1483797821669549E-2</v>
      </c>
      <c r="F2756">
        <f t="shared" ref="F2756:F2819" si="92">_xlfn.PERCENTILE.EXC(E2756:E6571,0.05)</f>
        <v>-1.8065922561213657E-2</v>
      </c>
      <c r="G2756">
        <f t="shared" ref="G2756:G2819" si="93">AVERAGEIFS(E2756:E6572,E2756:E6572,"&lt;=" &amp; F2756)</f>
        <v>-3.0089003315736565E-2</v>
      </c>
    </row>
    <row r="2757" spans="1:144" ht="12.5" customHeight="1" x14ac:dyDescent="0.35">
      <c r="A2757" t="s">
        <v>147</v>
      </c>
      <c r="E2757">
        <v>-1.4858097200034667E-2</v>
      </c>
      <c r="F2757">
        <f t="shared" si="92"/>
        <v>-1.8069465851656974E-2</v>
      </c>
      <c r="G2757">
        <f t="shared" si="93"/>
        <v>-3.0089003315736565E-2</v>
      </c>
    </row>
    <row r="2758" spans="1:144" ht="12.5" customHeight="1" x14ac:dyDescent="0.35">
      <c r="A2758" t="s">
        <v>147</v>
      </c>
      <c r="E2758">
        <v>1.1646505386323724E-2</v>
      </c>
      <c r="F2758">
        <f t="shared" si="92"/>
        <v>-1.8073009142100291E-2</v>
      </c>
      <c r="G2758">
        <f t="shared" si="93"/>
        <v>-3.0089003315736565E-2</v>
      </c>
    </row>
    <row r="2759" spans="1:144" ht="12.5" customHeight="1" x14ac:dyDescent="0.35">
      <c r="A2759" t="s">
        <v>147</v>
      </c>
      <c r="E2759">
        <v>-1.5819031739348944E-2</v>
      </c>
      <c r="F2759">
        <f t="shared" si="92"/>
        <v>-1.8076552432543604E-2</v>
      </c>
      <c r="G2759">
        <f t="shared" si="93"/>
        <v>-3.0089003315736565E-2</v>
      </c>
    </row>
    <row r="2760" spans="1:144" s="3" customFormat="1" x14ac:dyDescent="0.35">
      <c r="A2760" s="3" t="s">
        <v>148</v>
      </c>
      <c r="B2760" s="3" cm="1">
        <f t="array" ref="B2760">_xlfn.STDEV.S(_xlfn._xlws.FILTER($E$2013:$E$3011, $A$2013:$A$3011="2021-02"))</f>
        <v>9.6066403817790021E-3</v>
      </c>
      <c r="C2760" s="3" cm="1">
        <f t="array" ref="C2760">AVERAGE(_xlfn._xlws.FILTER($E$2013:$E$3011, $A$2013:$A$3011="2021-02"))</f>
        <v>2.8734112465137788E-3</v>
      </c>
      <c r="D2760" s="3" cm="1">
        <f t="array" ref="D2760">_xlfn.PERCENTILE.EXC(_xlfn._xlws.FILTER($E$2490:$E$3818, $A$2490:$A$3818="2021-02"), 0.05)</f>
        <v>-1.1245165708644082E-2</v>
      </c>
      <c r="E2760" s="3">
        <v>1.165872309147715E-2</v>
      </c>
      <c r="F2760" s="3">
        <f t="shared" si="92"/>
        <v>-1.8080095722986921E-2</v>
      </c>
      <c r="G2760" s="3">
        <f t="shared" si="93"/>
        <v>-3.0089003315736565E-2</v>
      </c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</row>
    <row r="2761" spans="1:144" ht="12.5" customHeight="1" x14ac:dyDescent="0.35">
      <c r="A2761" t="s">
        <v>148</v>
      </c>
      <c r="E2761">
        <v>1.0997919583670237E-2</v>
      </c>
      <c r="F2761">
        <f t="shared" si="92"/>
        <v>-1.8084383372859246E-2</v>
      </c>
      <c r="G2761">
        <f t="shared" si="93"/>
        <v>-3.0319943846366364E-2</v>
      </c>
    </row>
    <row r="2762" spans="1:144" ht="12.5" customHeight="1" x14ac:dyDescent="0.35">
      <c r="A2762" t="s">
        <v>148</v>
      </c>
      <c r="E2762">
        <v>2.0677152311415318E-2</v>
      </c>
      <c r="F2762">
        <f t="shared" si="92"/>
        <v>-1.8088671022731571E-2</v>
      </c>
      <c r="G2762">
        <f t="shared" si="93"/>
        <v>-3.0319943846366364E-2</v>
      </c>
    </row>
    <row r="2763" spans="1:144" ht="12.5" customHeight="1" x14ac:dyDescent="0.35">
      <c r="A2763" t="s">
        <v>148</v>
      </c>
      <c r="E2763">
        <v>1.6406386693702757E-2</v>
      </c>
      <c r="F2763">
        <f t="shared" si="92"/>
        <v>-1.8092958672603895E-2</v>
      </c>
      <c r="G2763">
        <f t="shared" si="93"/>
        <v>-3.0319943846366364E-2</v>
      </c>
    </row>
    <row r="2764" spans="1:144" ht="12.5" customHeight="1" x14ac:dyDescent="0.35">
      <c r="A2764" t="s">
        <v>148</v>
      </c>
      <c r="E2764">
        <v>7.953683165897214E-3</v>
      </c>
      <c r="F2764">
        <f t="shared" si="92"/>
        <v>-1.809724632247622E-2</v>
      </c>
      <c r="G2764">
        <f t="shared" si="93"/>
        <v>-3.0319943846366364E-2</v>
      </c>
    </row>
    <row r="2765" spans="1:144" ht="12.5" customHeight="1" x14ac:dyDescent="0.35">
      <c r="A2765" t="s">
        <v>148</v>
      </c>
      <c r="E2765">
        <v>1.4728490727962012E-2</v>
      </c>
      <c r="F2765">
        <f t="shared" si="92"/>
        <v>-1.8101533972348545E-2</v>
      </c>
      <c r="G2765">
        <f t="shared" si="93"/>
        <v>-3.0319943846366364E-2</v>
      </c>
    </row>
    <row r="2766" spans="1:144" ht="12.5" customHeight="1" x14ac:dyDescent="0.35">
      <c r="A2766" t="s">
        <v>148</v>
      </c>
      <c r="E2766">
        <v>-5.3687112394421683E-3</v>
      </c>
      <c r="F2766">
        <f t="shared" si="92"/>
        <v>-1.8105821622220873E-2</v>
      </c>
      <c r="G2766">
        <f t="shared" si="93"/>
        <v>-3.0319943846366364E-2</v>
      </c>
    </row>
    <row r="2767" spans="1:144" ht="12.5" customHeight="1" x14ac:dyDescent="0.35">
      <c r="A2767" t="s">
        <v>148</v>
      </c>
      <c r="E2767">
        <v>-1.538059758374243E-3</v>
      </c>
      <c r="F2767">
        <f t="shared" si="92"/>
        <v>-1.8110109272093198E-2</v>
      </c>
      <c r="G2767">
        <f t="shared" si="93"/>
        <v>-3.0319943846366364E-2</v>
      </c>
    </row>
    <row r="2768" spans="1:144" ht="12.5" customHeight="1" x14ac:dyDescent="0.35">
      <c r="A2768" t="s">
        <v>148</v>
      </c>
      <c r="E2768">
        <v>1.8277112838699081E-3</v>
      </c>
      <c r="F2768">
        <f t="shared" si="92"/>
        <v>-1.8114396921965523E-2</v>
      </c>
      <c r="G2768">
        <f t="shared" si="93"/>
        <v>-3.0319943846366364E-2</v>
      </c>
    </row>
    <row r="2769" spans="1:144" ht="12.5" customHeight="1" x14ac:dyDescent="0.35">
      <c r="A2769" t="s">
        <v>148</v>
      </c>
      <c r="E2769">
        <v>4.4248693280523835E-3</v>
      </c>
      <c r="F2769">
        <f t="shared" si="92"/>
        <v>-1.8118684571837847E-2</v>
      </c>
      <c r="G2769">
        <f t="shared" si="93"/>
        <v>-3.0319943846366364E-2</v>
      </c>
    </row>
    <row r="2770" spans="1:144" ht="12.5" customHeight="1" x14ac:dyDescent="0.35">
      <c r="A2770" t="s">
        <v>148</v>
      </c>
      <c r="E2770">
        <v>8.2404112289132681E-3</v>
      </c>
      <c r="F2770">
        <f t="shared" si="92"/>
        <v>-1.8122972221710172E-2</v>
      </c>
      <c r="G2770">
        <f t="shared" si="93"/>
        <v>-3.0319943846366364E-2</v>
      </c>
    </row>
    <row r="2771" spans="1:144" ht="12.5" customHeight="1" x14ac:dyDescent="0.35">
      <c r="A2771" t="s">
        <v>148</v>
      </c>
      <c r="E2771">
        <v>-6.9508020501569774E-3</v>
      </c>
      <c r="F2771">
        <f t="shared" si="92"/>
        <v>-1.8127259871582497E-2</v>
      </c>
      <c r="G2771">
        <f t="shared" si="93"/>
        <v>-3.0319943846366364E-2</v>
      </c>
    </row>
    <row r="2772" spans="1:144" ht="12.5" customHeight="1" x14ac:dyDescent="0.35">
      <c r="A2772" t="s">
        <v>148</v>
      </c>
      <c r="E2772">
        <v>-1.1250806963240613E-2</v>
      </c>
      <c r="F2772">
        <f t="shared" si="92"/>
        <v>-1.8131547521454822E-2</v>
      </c>
      <c r="G2772">
        <f t="shared" si="93"/>
        <v>-3.0319943846366364E-2</v>
      </c>
    </row>
    <row r="2773" spans="1:144" ht="12.5" customHeight="1" x14ac:dyDescent="0.35">
      <c r="A2773" t="s">
        <v>148</v>
      </c>
      <c r="E2773">
        <v>-1.1137981871310019E-2</v>
      </c>
      <c r="F2773">
        <f t="shared" si="92"/>
        <v>-1.8135835171327146E-2</v>
      </c>
      <c r="G2773">
        <f t="shared" si="93"/>
        <v>-3.0319943846366364E-2</v>
      </c>
    </row>
    <row r="2774" spans="1:144" ht="12.5" customHeight="1" x14ac:dyDescent="0.35">
      <c r="A2774" t="s">
        <v>148</v>
      </c>
      <c r="E2774">
        <v>9.3135133272011748E-3</v>
      </c>
      <c r="F2774">
        <f t="shared" si="92"/>
        <v>-1.8140122821199471E-2</v>
      </c>
      <c r="G2774">
        <f t="shared" si="93"/>
        <v>-3.0319943846366364E-2</v>
      </c>
    </row>
    <row r="2775" spans="1:144" ht="12.5" customHeight="1" x14ac:dyDescent="0.35">
      <c r="A2775" t="s">
        <v>148</v>
      </c>
      <c r="E2775">
        <v>-5.5099781858314436E-3</v>
      </c>
      <c r="F2775">
        <f t="shared" si="92"/>
        <v>-1.8144410471071799E-2</v>
      </c>
      <c r="G2775">
        <f t="shared" si="93"/>
        <v>-3.0319943846366364E-2</v>
      </c>
    </row>
    <row r="2776" spans="1:144" ht="12.5" customHeight="1" x14ac:dyDescent="0.35">
      <c r="A2776" t="s">
        <v>148</v>
      </c>
      <c r="E2776">
        <v>-3.0381824236075188E-3</v>
      </c>
      <c r="F2776">
        <f t="shared" si="92"/>
        <v>-1.8148698120944124E-2</v>
      </c>
      <c r="G2776">
        <f t="shared" si="93"/>
        <v>-3.0319943846366364E-2</v>
      </c>
    </row>
    <row r="2777" spans="1:144" ht="12.5" customHeight="1" x14ac:dyDescent="0.35">
      <c r="A2777" t="s">
        <v>148</v>
      </c>
      <c r="E2777">
        <v>6.8974434315990461E-3</v>
      </c>
      <c r="F2777">
        <f t="shared" si="92"/>
        <v>-1.8152985770816449E-2</v>
      </c>
      <c r="G2777">
        <f t="shared" si="93"/>
        <v>-3.0319943846366364E-2</v>
      </c>
    </row>
    <row r="2778" spans="1:144" ht="12.5" customHeight="1" x14ac:dyDescent="0.35">
      <c r="A2778" t="s">
        <v>148</v>
      </c>
      <c r="E2778">
        <v>-1.4990785209181283E-3</v>
      </c>
      <c r="F2778">
        <f t="shared" si="92"/>
        <v>-1.8157273420688774E-2</v>
      </c>
      <c r="G2778">
        <f t="shared" si="93"/>
        <v>-3.0319943846366364E-2</v>
      </c>
    </row>
    <row r="2779" spans="1:144" ht="12.5" customHeight="1" x14ac:dyDescent="0.35">
      <c r="A2779" t="s">
        <v>148</v>
      </c>
      <c r="E2779">
        <v>-9.3644782306037712E-3</v>
      </c>
      <c r="F2779">
        <f t="shared" si="92"/>
        <v>-1.8161561070561098E-2</v>
      </c>
      <c r="G2779">
        <f t="shared" si="93"/>
        <v>-3.0319943846366364E-2</v>
      </c>
    </row>
    <row r="2780" spans="1:144" s="3" customFormat="1" x14ac:dyDescent="0.35">
      <c r="A2780" s="3" t="s">
        <v>149</v>
      </c>
      <c r="B2780" s="3" cm="1">
        <f t="array" ref="B2780">_xlfn.STDEV.S(_xlfn._xlws.FILTER($E$2013:$E$3011, $A$2013:$A$3011="2021-03"))</f>
        <v>8.2808682563494003E-3</v>
      </c>
      <c r="C2780" s="3" cm="1">
        <f t="array" ref="C2780">AVERAGE(_xlfn._xlws.FILTER($E$2013:$E$3011, $A$2013:$A$3011="2021-03"))</f>
        <v>3.296935214929294E-3</v>
      </c>
      <c r="D2780" s="3" cm="1">
        <f t="array" ref="D2780">_xlfn.PERCENTILE.EXC(_xlfn._xlws.FILTER($E$2490:$E$3818, $A$2490:$A$3818="2021-03"), 0.05)</f>
        <v>-7.5858383446014647E-3</v>
      </c>
      <c r="E2780" s="3">
        <v>1.8055096666428887E-2</v>
      </c>
      <c r="F2780" s="3">
        <f t="shared" si="92"/>
        <v>-1.8165848720433423E-2</v>
      </c>
      <c r="G2780" s="3">
        <f t="shared" si="93"/>
        <v>-3.0319943846366364E-2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</row>
    <row r="2781" spans="1:144" ht="12.5" customHeight="1" x14ac:dyDescent="0.35">
      <c r="A2781" t="s">
        <v>149</v>
      </c>
      <c r="E2781">
        <v>-7.8238250185912756E-3</v>
      </c>
      <c r="F2781">
        <f t="shared" si="92"/>
        <v>-1.8188549621929971E-2</v>
      </c>
      <c r="G2781">
        <f t="shared" si="93"/>
        <v>-3.0558259437070932E-2</v>
      </c>
    </row>
    <row r="2782" spans="1:144" ht="12.5" customHeight="1" x14ac:dyDescent="0.35">
      <c r="A2782" t="s">
        <v>149</v>
      </c>
      <c r="E2782">
        <v>-1.5946131652090165E-3</v>
      </c>
      <c r="F2782">
        <f t="shared" si="92"/>
        <v>-1.8211250523426523E-2</v>
      </c>
      <c r="G2782">
        <f t="shared" si="93"/>
        <v>-3.0558259437070932E-2</v>
      </c>
    </row>
    <row r="2783" spans="1:144" ht="12.5" customHeight="1" x14ac:dyDescent="0.35">
      <c r="A2783" t="s">
        <v>149</v>
      </c>
      <c r="E2783">
        <v>2.0082421372612895E-3</v>
      </c>
      <c r="F2783">
        <f t="shared" si="92"/>
        <v>-1.8233951424923074E-2</v>
      </c>
      <c r="G2783">
        <f t="shared" si="93"/>
        <v>-3.0558259437070932E-2</v>
      </c>
    </row>
    <row r="2784" spans="1:144" ht="12.5" customHeight="1" x14ac:dyDescent="0.35">
      <c r="A2784" t="s">
        <v>149</v>
      </c>
      <c r="E2784">
        <v>-5.5351211571564585E-3</v>
      </c>
      <c r="F2784">
        <f t="shared" si="92"/>
        <v>-1.8256652326419622E-2</v>
      </c>
      <c r="G2784">
        <f t="shared" si="93"/>
        <v>-3.0558259437070932E-2</v>
      </c>
    </row>
    <row r="2785" spans="1:7" ht="12.5" customHeight="1" x14ac:dyDescent="0.35">
      <c r="A2785" t="s">
        <v>149</v>
      </c>
      <c r="E2785">
        <v>3.0698358041916535E-2</v>
      </c>
      <c r="F2785">
        <f t="shared" si="92"/>
        <v>-1.8279353227916177E-2</v>
      </c>
      <c r="G2785">
        <f t="shared" si="93"/>
        <v>-3.0558259437070932E-2</v>
      </c>
    </row>
    <row r="2786" spans="1:7" ht="12.5" customHeight="1" x14ac:dyDescent="0.35">
      <c r="A2786" t="s">
        <v>149</v>
      </c>
      <c r="E2786">
        <v>5.6815092889635765E-3</v>
      </c>
      <c r="F2786">
        <f t="shared" si="92"/>
        <v>-1.8302054129412725E-2</v>
      </c>
      <c r="G2786">
        <f t="shared" si="93"/>
        <v>-3.0558259437070932E-2</v>
      </c>
    </row>
    <row r="2787" spans="1:7" ht="12.5" customHeight="1" x14ac:dyDescent="0.35">
      <c r="A2787" t="s">
        <v>149</v>
      </c>
      <c r="E2787">
        <v>4.5854441432140571E-3</v>
      </c>
      <c r="F2787">
        <f t="shared" si="92"/>
        <v>-1.8324755030909273E-2</v>
      </c>
      <c r="G2787">
        <f t="shared" si="93"/>
        <v>-3.0558259437070932E-2</v>
      </c>
    </row>
    <row r="2788" spans="1:7" ht="12.5" customHeight="1" x14ac:dyDescent="0.35">
      <c r="A2788" t="s">
        <v>149</v>
      </c>
      <c r="E2788">
        <v>8.1341076567480845E-3</v>
      </c>
      <c r="F2788">
        <f t="shared" si="92"/>
        <v>-1.8347455932405825E-2</v>
      </c>
      <c r="G2788">
        <f t="shared" si="93"/>
        <v>-3.0558259437070932E-2</v>
      </c>
    </row>
    <row r="2789" spans="1:7" ht="12.5" customHeight="1" x14ac:dyDescent="0.35">
      <c r="A2789" t="s">
        <v>149</v>
      </c>
      <c r="E2789">
        <v>-3.3793176546362307E-4</v>
      </c>
      <c r="F2789">
        <f t="shared" si="92"/>
        <v>-1.8370156833902376E-2</v>
      </c>
      <c r="G2789">
        <f t="shared" si="93"/>
        <v>-3.0558259437070932E-2</v>
      </c>
    </row>
    <row r="2790" spans="1:7" ht="12.5" customHeight="1" x14ac:dyDescent="0.35">
      <c r="A2790" t="s">
        <v>149</v>
      </c>
      <c r="E2790">
        <v>1.087193831289849E-3</v>
      </c>
      <c r="F2790">
        <f t="shared" si="92"/>
        <v>-1.8392857735398928E-2</v>
      </c>
      <c r="G2790">
        <f t="shared" si="93"/>
        <v>-3.0558259437070932E-2</v>
      </c>
    </row>
    <row r="2791" spans="1:7" ht="12.5" customHeight="1" x14ac:dyDescent="0.35">
      <c r="A2791" t="s">
        <v>149</v>
      </c>
      <c r="E2791">
        <v>5.0276373310890353E-3</v>
      </c>
      <c r="F2791">
        <f t="shared" si="92"/>
        <v>-1.8415558636895476E-2</v>
      </c>
      <c r="G2791">
        <f t="shared" si="93"/>
        <v>-3.0558259437070932E-2</v>
      </c>
    </row>
    <row r="2792" spans="1:7" ht="12.5" customHeight="1" x14ac:dyDescent="0.35">
      <c r="A2792" t="s">
        <v>149</v>
      </c>
      <c r="E2792">
        <v>8.2114174623247453E-4</v>
      </c>
      <c r="F2792">
        <f t="shared" si="92"/>
        <v>-1.8438259538392027E-2</v>
      </c>
      <c r="G2792">
        <f t="shared" si="93"/>
        <v>-3.0558259437070932E-2</v>
      </c>
    </row>
    <row r="2793" spans="1:7" ht="12.5" customHeight="1" x14ac:dyDescent="0.35">
      <c r="A2793" t="s">
        <v>149</v>
      </c>
      <c r="E2793">
        <v>3.266346856161052E-3</v>
      </c>
      <c r="F2793">
        <f t="shared" si="92"/>
        <v>-1.8460960439888579E-2</v>
      </c>
      <c r="G2793">
        <f t="shared" si="93"/>
        <v>-3.0558259437070932E-2</v>
      </c>
    </row>
    <row r="2794" spans="1:7" ht="12.5" customHeight="1" x14ac:dyDescent="0.35">
      <c r="A2794" t="s">
        <v>149</v>
      </c>
      <c r="E2794">
        <v>-6.6338916486422227E-3</v>
      </c>
      <c r="F2794">
        <f t="shared" si="92"/>
        <v>-1.8483661341385127E-2</v>
      </c>
      <c r="G2794">
        <f t="shared" si="93"/>
        <v>-3.0558259437070932E-2</v>
      </c>
    </row>
    <row r="2795" spans="1:7" ht="12.5" customHeight="1" x14ac:dyDescent="0.35">
      <c r="A2795" t="s">
        <v>149</v>
      </c>
      <c r="E2795">
        <v>2.6172958588190445E-3</v>
      </c>
      <c r="F2795">
        <f t="shared" si="92"/>
        <v>-1.8506362242881678E-2</v>
      </c>
      <c r="G2795">
        <f t="shared" si="93"/>
        <v>-3.0558259437070932E-2</v>
      </c>
    </row>
    <row r="2796" spans="1:7" ht="12.5" customHeight="1" x14ac:dyDescent="0.35">
      <c r="A2796" t="s">
        <v>149</v>
      </c>
      <c r="E2796">
        <v>-6.1591828698258355E-3</v>
      </c>
      <c r="F2796">
        <f t="shared" si="92"/>
        <v>-1.852906314437823E-2</v>
      </c>
      <c r="G2796">
        <f t="shared" si="93"/>
        <v>-3.0558259437070932E-2</v>
      </c>
    </row>
    <row r="2797" spans="1:7" ht="12.5" customHeight="1" x14ac:dyDescent="0.35">
      <c r="A2797" t="s">
        <v>149</v>
      </c>
      <c r="E2797">
        <v>3.9236414665531532E-3</v>
      </c>
      <c r="F2797">
        <f t="shared" si="92"/>
        <v>-1.8551764045874778E-2</v>
      </c>
      <c r="G2797">
        <f t="shared" si="93"/>
        <v>-3.0558259437070932E-2</v>
      </c>
    </row>
    <row r="2798" spans="1:7" ht="12.5" customHeight="1" x14ac:dyDescent="0.35">
      <c r="A2798" t="s">
        <v>149</v>
      </c>
      <c r="E2798">
        <v>4.0844806617991957E-4</v>
      </c>
      <c r="F2798">
        <f t="shared" si="92"/>
        <v>-1.857446494737133E-2</v>
      </c>
      <c r="G2798">
        <f t="shared" si="93"/>
        <v>-3.0558259437070932E-2</v>
      </c>
    </row>
    <row r="2799" spans="1:7" ht="12.5" customHeight="1" x14ac:dyDescent="0.35">
      <c r="A2799" t="s">
        <v>149</v>
      </c>
      <c r="E2799">
        <v>7.1879961775553735E-3</v>
      </c>
      <c r="F2799">
        <f t="shared" si="92"/>
        <v>-1.8597165848867881E-2</v>
      </c>
      <c r="G2799">
        <f t="shared" si="93"/>
        <v>-3.0558259437070932E-2</v>
      </c>
    </row>
    <row r="2800" spans="1:7" ht="12.5" customHeight="1" x14ac:dyDescent="0.35">
      <c r="A2800" t="s">
        <v>149</v>
      </c>
      <c r="E2800">
        <v>1.152932464022136E-3</v>
      </c>
      <c r="F2800">
        <f t="shared" si="92"/>
        <v>-1.8619866750364433E-2</v>
      </c>
      <c r="G2800">
        <f t="shared" si="93"/>
        <v>-3.0558259437070932E-2</v>
      </c>
    </row>
    <row r="2801" spans="1:144" ht="12.5" customHeight="1" x14ac:dyDescent="0.35">
      <c r="A2801" t="s">
        <v>149</v>
      </c>
      <c r="E2801">
        <v>8.7648210948750218E-3</v>
      </c>
      <c r="F2801">
        <f t="shared" si="92"/>
        <v>-1.8646338931873965E-2</v>
      </c>
      <c r="G2801">
        <f t="shared" si="93"/>
        <v>-3.0797027290805065E-2</v>
      </c>
    </row>
    <row r="2802" spans="1:144" ht="12.5" customHeight="1" x14ac:dyDescent="0.35">
      <c r="A2802" t="s">
        <v>149</v>
      </c>
      <c r="E2802">
        <v>4.9386274095270205E-4</v>
      </c>
      <c r="F2802">
        <f t="shared" si="92"/>
        <v>-1.8672811113383495E-2</v>
      </c>
      <c r="G2802">
        <f t="shared" si="93"/>
        <v>-3.0797027290805065E-2</v>
      </c>
    </row>
    <row r="2803" spans="1:144" s="3" customFormat="1" x14ac:dyDescent="0.35">
      <c r="A2803" s="3" t="s">
        <v>150</v>
      </c>
      <c r="B2803" s="3" cm="1">
        <f t="array" ref="B2803">_xlfn.STDEV.S(_xlfn._xlws.FILTER($E$2013:$E$3011, $A$2013:$A$3011="2021-04"))</f>
        <v>7.3430174931990453E-3</v>
      </c>
      <c r="C2803" s="3" cm="1">
        <f t="array" ref="C2803">AVERAGE(_xlfn._xlws.FILTER($E$2013:$E$3011, $A$2013:$A$3011="2021-04"))</f>
        <v>-1.040010669675461E-3</v>
      </c>
      <c r="D2803" s="3" cm="1">
        <f t="array" ref="D2803">_xlfn.PERCENTILE.EXC(_xlfn._xlws.FILTER($E$2490:$E$3818, $A$2490:$A$3818="2021-04"), 0.05)</f>
        <v>-2.38529627739252E-2</v>
      </c>
      <c r="E2803" s="3">
        <v>2.489539068107127E-3</v>
      </c>
      <c r="F2803" s="3">
        <f t="shared" si="92"/>
        <v>-1.8699283294893031E-2</v>
      </c>
      <c r="G2803" s="3">
        <f t="shared" si="93"/>
        <v>-3.0797027290805065E-2</v>
      </c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</row>
    <row r="2804" spans="1:144" ht="12.5" customHeight="1" x14ac:dyDescent="0.35">
      <c r="A2804" t="s">
        <v>150</v>
      </c>
      <c r="E2804">
        <v>2.066661041627138E-3</v>
      </c>
      <c r="F2804">
        <f t="shared" si="92"/>
        <v>-1.872575547640256E-2</v>
      </c>
      <c r="G2804">
        <f t="shared" si="93"/>
        <v>-3.0797027290805065E-2</v>
      </c>
    </row>
    <row r="2805" spans="1:144" ht="12.5" customHeight="1" x14ac:dyDescent="0.35">
      <c r="A2805" t="s">
        <v>150</v>
      </c>
      <c r="E2805">
        <v>-8.2380764166000494E-4</v>
      </c>
      <c r="F2805">
        <f t="shared" si="92"/>
        <v>-1.8752227657912096E-2</v>
      </c>
      <c r="G2805">
        <f t="shared" si="93"/>
        <v>-3.0797027290805065E-2</v>
      </c>
    </row>
    <row r="2806" spans="1:144" ht="12.5" customHeight="1" x14ac:dyDescent="0.35">
      <c r="A2806" t="s">
        <v>150</v>
      </c>
      <c r="E2806">
        <v>-6.6597646974180472E-3</v>
      </c>
      <c r="F2806">
        <f t="shared" si="92"/>
        <v>-1.8778699839421625E-2</v>
      </c>
      <c r="G2806">
        <f t="shared" si="93"/>
        <v>-3.0797027290805065E-2</v>
      </c>
    </row>
    <row r="2807" spans="1:144" ht="12.5" customHeight="1" x14ac:dyDescent="0.35">
      <c r="A2807" t="s">
        <v>150</v>
      </c>
      <c r="E2807">
        <v>-6.0033743595157545E-3</v>
      </c>
      <c r="F2807">
        <f t="shared" si="92"/>
        <v>-1.8805172020931158E-2</v>
      </c>
      <c r="G2807">
        <f t="shared" si="93"/>
        <v>-3.0797027290805065E-2</v>
      </c>
    </row>
    <row r="2808" spans="1:144" ht="12.5" customHeight="1" x14ac:dyDescent="0.35">
      <c r="A2808" t="s">
        <v>150</v>
      </c>
      <c r="E2808">
        <v>1.1360989992120251E-3</v>
      </c>
      <c r="F2808">
        <f t="shared" si="92"/>
        <v>-1.8831644202440691E-2</v>
      </c>
      <c r="G2808">
        <f t="shared" si="93"/>
        <v>-3.0797027290805065E-2</v>
      </c>
    </row>
    <row r="2809" spans="1:144" ht="12.5" customHeight="1" x14ac:dyDescent="0.35">
      <c r="A2809" t="s">
        <v>150</v>
      </c>
      <c r="E2809">
        <v>5.8368371366176253E-3</v>
      </c>
      <c r="F2809">
        <f t="shared" si="92"/>
        <v>-1.8858116383950223E-2</v>
      </c>
      <c r="G2809">
        <f t="shared" si="93"/>
        <v>-3.0797027290805065E-2</v>
      </c>
    </row>
    <row r="2810" spans="1:144" ht="12.5" customHeight="1" x14ac:dyDescent="0.35">
      <c r="A2810" t="s">
        <v>150</v>
      </c>
      <c r="E2810">
        <v>-1.0415843596971136E-3</v>
      </c>
      <c r="F2810">
        <f t="shared" si="92"/>
        <v>-1.8884588565459756E-2</v>
      </c>
      <c r="G2810">
        <f t="shared" si="93"/>
        <v>-3.0797027290805065E-2</v>
      </c>
    </row>
    <row r="2811" spans="1:144" ht="12.5" customHeight="1" x14ac:dyDescent="0.35">
      <c r="A2811" t="s">
        <v>150</v>
      </c>
      <c r="E2811">
        <v>-1.8756332704386574E-3</v>
      </c>
      <c r="F2811">
        <f t="shared" si="92"/>
        <v>-1.8911060746969289E-2</v>
      </c>
      <c r="G2811">
        <f t="shared" si="93"/>
        <v>-3.0797027290805065E-2</v>
      </c>
    </row>
    <row r="2812" spans="1:144" ht="12.5" customHeight="1" x14ac:dyDescent="0.35">
      <c r="A2812" t="s">
        <v>150</v>
      </c>
      <c r="E2812">
        <v>8.7549396739266417E-3</v>
      </c>
      <c r="F2812">
        <f t="shared" si="92"/>
        <v>-1.8937532928478822E-2</v>
      </c>
      <c r="G2812">
        <f t="shared" si="93"/>
        <v>-3.0797027290805065E-2</v>
      </c>
    </row>
    <row r="2813" spans="1:144" ht="12.5" customHeight="1" x14ac:dyDescent="0.35">
      <c r="A2813" t="s">
        <v>150</v>
      </c>
      <c r="E2813">
        <v>-2.1409576620571814E-3</v>
      </c>
      <c r="F2813">
        <f t="shared" si="92"/>
        <v>-1.8964005109988354E-2</v>
      </c>
      <c r="G2813">
        <f t="shared" si="93"/>
        <v>-3.0797027290805065E-2</v>
      </c>
    </row>
    <row r="2814" spans="1:144" ht="12.5" customHeight="1" x14ac:dyDescent="0.35">
      <c r="A2814" t="s">
        <v>150</v>
      </c>
      <c r="E2814">
        <v>-2.4716659655186539E-2</v>
      </c>
      <c r="F2814">
        <f t="shared" si="92"/>
        <v>-1.8990477291497887E-2</v>
      </c>
      <c r="G2814">
        <f t="shared" si="93"/>
        <v>-3.0797027290805065E-2</v>
      </c>
    </row>
    <row r="2815" spans="1:144" ht="12.5" customHeight="1" x14ac:dyDescent="0.35">
      <c r="A2815" t="s">
        <v>150</v>
      </c>
      <c r="E2815">
        <v>3.014715434743933E-3</v>
      </c>
      <c r="F2815">
        <f t="shared" si="92"/>
        <v>-1.8506362242881678E-2</v>
      </c>
      <c r="G2815">
        <f t="shared" si="93"/>
        <v>-3.067509143270862E-2</v>
      </c>
    </row>
    <row r="2816" spans="1:144" ht="12.5" customHeight="1" x14ac:dyDescent="0.35">
      <c r="A2816" t="s">
        <v>150</v>
      </c>
      <c r="E2816">
        <v>9.7624756007958832E-3</v>
      </c>
      <c r="F2816">
        <f t="shared" si="92"/>
        <v>-1.852906314437823E-2</v>
      </c>
      <c r="G2816">
        <f t="shared" si="93"/>
        <v>-3.067509143270862E-2</v>
      </c>
    </row>
    <row r="2817" spans="1:144" ht="12.5" customHeight="1" x14ac:dyDescent="0.35">
      <c r="A2817" t="s">
        <v>150</v>
      </c>
      <c r="E2817">
        <v>-5.0507846803421615E-4</v>
      </c>
      <c r="F2817">
        <f t="shared" si="92"/>
        <v>-1.8551764045874778E-2</v>
      </c>
      <c r="G2817">
        <f t="shared" si="93"/>
        <v>-3.067509143270862E-2</v>
      </c>
    </row>
    <row r="2818" spans="1:144" ht="12.5" customHeight="1" x14ac:dyDescent="0.35">
      <c r="A2818" t="s">
        <v>150</v>
      </c>
      <c r="E2818">
        <v>5.2249682416411055E-3</v>
      </c>
      <c r="F2818">
        <f t="shared" si="92"/>
        <v>-1.857446494737133E-2</v>
      </c>
      <c r="G2818">
        <f t="shared" si="93"/>
        <v>-3.067509143270862E-2</v>
      </c>
    </row>
    <row r="2819" spans="1:144" ht="12.5" customHeight="1" x14ac:dyDescent="0.35">
      <c r="A2819" t="s">
        <v>150</v>
      </c>
      <c r="E2819">
        <v>-1.6649352957713605E-3</v>
      </c>
      <c r="F2819">
        <f t="shared" si="92"/>
        <v>-1.8597165848867881E-2</v>
      </c>
      <c r="G2819">
        <f t="shared" si="93"/>
        <v>-3.067509143270862E-2</v>
      </c>
    </row>
    <row r="2820" spans="1:144" ht="12.5" customHeight="1" x14ac:dyDescent="0.35">
      <c r="A2820" t="s">
        <v>150</v>
      </c>
      <c r="E2820">
        <v>-5.5137033679812924E-4</v>
      </c>
      <c r="F2820">
        <f t="shared" ref="F2820:F2883" si="94">_xlfn.PERCENTILE.EXC(E2820:E6635,0.05)</f>
        <v>-1.8619866750364433E-2</v>
      </c>
      <c r="G2820">
        <f t="shared" ref="G2820:G2883" si="95">AVERAGEIFS(E2820:E6636,E2820:E6636,"&lt;=" &amp; F2820)</f>
        <v>-3.067509143270862E-2</v>
      </c>
    </row>
    <row r="2821" spans="1:144" ht="12.5" customHeight="1" x14ac:dyDescent="0.35">
      <c r="A2821" t="s">
        <v>150</v>
      </c>
      <c r="E2821">
        <v>-7.442722029959774E-3</v>
      </c>
      <c r="F2821">
        <f t="shared" si="94"/>
        <v>-1.8646338931873965E-2</v>
      </c>
      <c r="G2821">
        <f t="shared" si="95"/>
        <v>-3.0921116426225848E-2</v>
      </c>
    </row>
    <row r="2822" spans="1:144" ht="12.5" customHeight="1" x14ac:dyDescent="0.35">
      <c r="A2822" t="s">
        <v>150</v>
      </c>
      <c r="E2822">
        <v>-5.6605608136439207E-3</v>
      </c>
      <c r="F2822">
        <f t="shared" si="94"/>
        <v>-1.8672811113383495E-2</v>
      </c>
      <c r="G2822">
        <f t="shared" si="95"/>
        <v>-3.0921116426225848E-2</v>
      </c>
    </row>
    <row r="2823" spans="1:144" s="3" customFormat="1" x14ac:dyDescent="0.35">
      <c r="A2823" s="3" t="s">
        <v>151</v>
      </c>
      <c r="B2823" s="3" cm="1">
        <f t="array" ref="B2823">_xlfn.STDEV.S(_xlfn._xlws.FILTER($E$2013:$E$3011, $A$2013:$A$3011="2021-05"))</f>
        <v>9.3676486367943994E-3</v>
      </c>
      <c r="C2823" s="3" cm="1">
        <f t="array" ref="C2823">AVERAGE(_xlfn._xlws.FILTER($E$2013:$E$3011, $A$2013:$A$3011="2021-05"))</f>
        <v>2.317239228556043E-3</v>
      </c>
      <c r="D2823" s="3" cm="1">
        <f t="array" ref="D2823">_xlfn.PERCENTILE.INC(_xlfn._xlws.FILTER($E$2490:$E$3818, $A$2490:$A$3818="2021-05"), 0.05)</f>
        <v>-1.6040900538543606E-2</v>
      </c>
      <c r="E2823" s="3">
        <v>-6.801125746741305E-3</v>
      </c>
      <c r="F2823" s="3">
        <f t="shared" si="94"/>
        <v>-1.8699283294893031E-2</v>
      </c>
      <c r="G2823" s="3">
        <f t="shared" si="95"/>
        <v>-3.0921116426225848E-2</v>
      </c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</row>
    <row r="2824" spans="1:144" ht="12.5" customHeight="1" x14ac:dyDescent="0.35">
      <c r="A2824" t="s">
        <v>151</v>
      </c>
      <c r="E2824">
        <v>2.0081010981558758E-2</v>
      </c>
      <c r="F2824">
        <f t="shared" si="94"/>
        <v>-1.872575547640256E-2</v>
      </c>
      <c r="G2824">
        <f t="shared" si="95"/>
        <v>-3.0921116426225848E-2</v>
      </c>
    </row>
    <row r="2825" spans="1:144" ht="12.5" customHeight="1" x14ac:dyDescent="0.35">
      <c r="A2825" t="s">
        <v>151</v>
      </c>
      <c r="E2825">
        <v>1.2737200388015138E-3</v>
      </c>
      <c r="F2825">
        <f t="shared" si="94"/>
        <v>-1.8752227657912096E-2</v>
      </c>
      <c r="G2825">
        <f t="shared" si="95"/>
        <v>-3.0921116426225848E-2</v>
      </c>
    </row>
    <row r="2826" spans="1:144" ht="12.5" customHeight="1" x14ac:dyDescent="0.35">
      <c r="A2826" t="s">
        <v>151</v>
      </c>
      <c r="E2826">
        <v>4.7638812878700162E-3</v>
      </c>
      <c r="F2826">
        <f t="shared" si="94"/>
        <v>-1.8778699839421625E-2</v>
      </c>
      <c r="G2826">
        <f t="shared" si="95"/>
        <v>-3.0921116426225848E-2</v>
      </c>
    </row>
    <row r="2827" spans="1:144" ht="12.5" customHeight="1" x14ac:dyDescent="0.35">
      <c r="A2827" t="s">
        <v>151</v>
      </c>
      <c r="E2827">
        <v>7.7248277179953369E-3</v>
      </c>
      <c r="F2827">
        <f t="shared" si="94"/>
        <v>-1.8805172020931158E-2</v>
      </c>
      <c r="G2827">
        <f t="shared" si="95"/>
        <v>-3.0921116426225848E-2</v>
      </c>
    </row>
    <row r="2828" spans="1:144" ht="12.5" customHeight="1" x14ac:dyDescent="0.35">
      <c r="A2828" t="s">
        <v>151</v>
      </c>
      <c r="E2828">
        <v>-1.654098748099812E-2</v>
      </c>
      <c r="F2828">
        <f t="shared" si="94"/>
        <v>-1.8831644202440691E-2</v>
      </c>
      <c r="G2828">
        <f t="shared" si="95"/>
        <v>-3.0921116426225848E-2</v>
      </c>
    </row>
    <row r="2829" spans="1:144" ht="12.5" customHeight="1" x14ac:dyDescent="0.35">
      <c r="A2829" t="s">
        <v>151</v>
      </c>
      <c r="E2829">
        <v>2.3304508045024729E-3</v>
      </c>
      <c r="F2829">
        <f t="shared" si="94"/>
        <v>-1.8858116383950223E-2</v>
      </c>
      <c r="G2829">
        <f t="shared" si="95"/>
        <v>-3.0921116426225848E-2</v>
      </c>
    </row>
    <row r="2830" spans="1:144" ht="12.5" customHeight="1" x14ac:dyDescent="0.35">
      <c r="A2830" t="s">
        <v>151</v>
      </c>
      <c r="E2830">
        <v>1.3518889063838871E-3</v>
      </c>
      <c r="F2830">
        <f t="shared" si="94"/>
        <v>-1.8884588565459756E-2</v>
      </c>
      <c r="G2830">
        <f t="shared" si="95"/>
        <v>-3.0921116426225848E-2</v>
      </c>
    </row>
    <row r="2831" spans="1:144" ht="12.5" customHeight="1" x14ac:dyDescent="0.35">
      <c r="A2831" t="s">
        <v>151</v>
      </c>
      <c r="E2831">
        <v>1.1373444752403388E-2</v>
      </c>
      <c r="F2831">
        <f t="shared" si="94"/>
        <v>-1.8911060746969289E-2</v>
      </c>
      <c r="G2831">
        <f t="shared" si="95"/>
        <v>-3.0921116426225848E-2</v>
      </c>
    </row>
    <row r="2832" spans="1:144" ht="12.5" customHeight="1" x14ac:dyDescent="0.35">
      <c r="A2832" t="s">
        <v>151</v>
      </c>
      <c r="E2832">
        <v>3.892505172209325E-3</v>
      </c>
      <c r="F2832">
        <f t="shared" si="94"/>
        <v>-1.8937532928478822E-2</v>
      </c>
      <c r="G2832">
        <f t="shared" si="95"/>
        <v>-3.0921116426225848E-2</v>
      </c>
    </row>
    <row r="2833" spans="1:144" ht="12.5" customHeight="1" x14ac:dyDescent="0.35">
      <c r="A2833" t="s">
        <v>151</v>
      </c>
      <c r="E2833">
        <v>7.1447055124662466E-4</v>
      </c>
      <c r="F2833">
        <f t="shared" si="94"/>
        <v>-1.8964005109988354E-2</v>
      </c>
      <c r="G2833">
        <f t="shared" si="95"/>
        <v>-3.0921116426225848E-2</v>
      </c>
    </row>
    <row r="2834" spans="1:144" ht="12.5" customHeight="1" x14ac:dyDescent="0.35">
      <c r="A2834" t="s">
        <v>151</v>
      </c>
      <c r="E2834">
        <v>-1.5952649901639866E-2</v>
      </c>
      <c r="F2834">
        <f t="shared" si="94"/>
        <v>-1.8990477291497887E-2</v>
      </c>
      <c r="G2834">
        <f t="shared" si="95"/>
        <v>-3.0921116426225848E-2</v>
      </c>
    </row>
    <row r="2835" spans="1:144" ht="12.5" customHeight="1" x14ac:dyDescent="0.35">
      <c r="A2835" t="s">
        <v>151</v>
      </c>
      <c r="E2835">
        <v>8.7589604641351917E-3</v>
      </c>
      <c r="F2835">
        <f t="shared" si="94"/>
        <v>-1.901694947300742E-2</v>
      </c>
      <c r="G2835">
        <f t="shared" si="95"/>
        <v>-3.0921116426225848E-2</v>
      </c>
    </row>
    <row r="2836" spans="1:144" ht="12.5" customHeight="1" x14ac:dyDescent="0.35">
      <c r="A2836" t="s">
        <v>151</v>
      </c>
      <c r="E2836">
        <v>1.0986659447987173E-2</v>
      </c>
      <c r="F2836">
        <f t="shared" si="94"/>
        <v>-1.9043421654516952E-2</v>
      </c>
      <c r="G2836">
        <f t="shared" si="95"/>
        <v>-3.0921116426225848E-2</v>
      </c>
    </row>
    <row r="2837" spans="1:144" ht="12.5" customHeight="1" x14ac:dyDescent="0.35">
      <c r="A2837" t="s">
        <v>151</v>
      </c>
      <c r="E2837">
        <v>-3.2927022865037858E-3</v>
      </c>
      <c r="F2837">
        <f t="shared" si="94"/>
        <v>-1.9069893836026482E-2</v>
      </c>
      <c r="G2837">
        <f t="shared" si="95"/>
        <v>-3.0921116426225848E-2</v>
      </c>
    </row>
    <row r="2838" spans="1:144" ht="12.5" customHeight="1" x14ac:dyDescent="0.35">
      <c r="A2838" t="s">
        <v>151</v>
      </c>
      <c r="E2838">
        <v>-4.6248452205718783E-3</v>
      </c>
      <c r="F2838">
        <f t="shared" si="94"/>
        <v>-1.9096366017536018E-2</v>
      </c>
      <c r="G2838">
        <f t="shared" si="95"/>
        <v>-3.0921116426225848E-2</v>
      </c>
    </row>
    <row r="2839" spans="1:144" ht="12.5" customHeight="1" x14ac:dyDescent="0.35">
      <c r="A2839" t="s">
        <v>151</v>
      </c>
      <c r="E2839">
        <v>1.1163125766148542E-2</v>
      </c>
      <c r="F2839">
        <f t="shared" si="94"/>
        <v>-1.9122838199045547E-2</v>
      </c>
      <c r="G2839">
        <f t="shared" si="95"/>
        <v>-3.0921116426225848E-2</v>
      </c>
    </row>
    <row r="2840" spans="1:144" ht="12.5" customHeight="1" x14ac:dyDescent="0.35">
      <c r="A2840" t="s">
        <v>151</v>
      </c>
      <c r="E2840">
        <v>4.5076708592215083E-3</v>
      </c>
      <c r="F2840">
        <f t="shared" si="94"/>
        <v>-1.9149310380555083E-2</v>
      </c>
      <c r="G2840">
        <f t="shared" si="95"/>
        <v>-3.0921116426225848E-2</v>
      </c>
    </row>
    <row r="2841" spans="1:144" s="3" customFormat="1" x14ac:dyDescent="0.35">
      <c r="A2841" s="3" t="s">
        <v>152</v>
      </c>
      <c r="B2841" s="3" cm="1">
        <f t="array" ref="B2841">_xlfn.STDEV.S(_xlfn._xlws.FILTER($E$2013:$E$3011, $A$2013:$A$3011="2021-06"))</f>
        <v>7.5347282702992102E-3</v>
      </c>
      <c r="C2841" s="3" cm="1">
        <f t="array" ref="C2841">AVERAGE(_xlfn._xlws.FILTER($E$2013:$E$3011, $A$2013:$A$3011="2021-06"))</f>
        <v>-1.2179345079095677E-4</v>
      </c>
      <c r="D2841" s="3" cm="1">
        <f t="array" ref="D2841">_xlfn.PERCENTILE.EXC(_xlfn._xlws.FILTER($E$2490:$E$3818, $A$2490:$A$3818="2021-06"), 0.05)</f>
        <v>-1.8213012961315271E-2</v>
      </c>
      <c r="E2841" s="3">
        <v>6.0379009766337848E-3</v>
      </c>
      <c r="F2841" s="3">
        <f t="shared" si="94"/>
        <v>-1.9164628106893445E-2</v>
      </c>
      <c r="G2841" s="3">
        <f t="shared" si="95"/>
        <v>-3.1166362385510654E-2</v>
      </c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</row>
    <row r="2842" spans="1:144" ht="12.5" customHeight="1" x14ac:dyDescent="0.35">
      <c r="A2842" t="s">
        <v>152</v>
      </c>
      <c r="E2842">
        <v>2.2827732400988276E-3</v>
      </c>
      <c r="F2842">
        <f t="shared" si="94"/>
        <v>-1.9179945833231803E-2</v>
      </c>
      <c r="G2842">
        <f t="shared" si="95"/>
        <v>-3.1166362385510654E-2</v>
      </c>
    </row>
    <row r="2843" spans="1:144" ht="12.5" customHeight="1" x14ac:dyDescent="0.35">
      <c r="A2843" t="s">
        <v>152</v>
      </c>
      <c r="E2843">
        <v>2.8580429991216139E-3</v>
      </c>
      <c r="F2843">
        <f t="shared" si="94"/>
        <v>-1.9195263559570165E-2</v>
      </c>
      <c r="G2843">
        <f t="shared" si="95"/>
        <v>-3.1166362385510654E-2</v>
      </c>
    </row>
    <row r="2844" spans="1:144" ht="12.5" customHeight="1" x14ac:dyDescent="0.35">
      <c r="A2844" t="s">
        <v>152</v>
      </c>
      <c r="E2844">
        <v>4.630488104348531E-3</v>
      </c>
      <c r="F2844">
        <f t="shared" si="94"/>
        <v>-1.9210581285908527E-2</v>
      </c>
      <c r="G2844">
        <f t="shared" si="95"/>
        <v>-3.1166362385510654E-2</v>
      </c>
    </row>
    <row r="2845" spans="1:144" ht="12.5" customHeight="1" x14ac:dyDescent="0.35">
      <c r="A2845" t="s">
        <v>152</v>
      </c>
      <c r="E2845">
        <v>9.894006540689268E-3</v>
      </c>
      <c r="F2845">
        <f t="shared" si="94"/>
        <v>-1.9225899012246889E-2</v>
      </c>
      <c r="G2845">
        <f t="shared" si="95"/>
        <v>-3.1166362385510654E-2</v>
      </c>
    </row>
    <row r="2846" spans="1:144" ht="12.5" customHeight="1" x14ac:dyDescent="0.35">
      <c r="A2846" t="s">
        <v>152</v>
      </c>
      <c r="E2846">
        <v>-6.0231783788858501E-4</v>
      </c>
      <c r="F2846">
        <f t="shared" si="94"/>
        <v>-1.924121673858525E-2</v>
      </c>
      <c r="G2846">
        <f t="shared" si="95"/>
        <v>-3.1166362385510654E-2</v>
      </c>
    </row>
    <row r="2847" spans="1:144" ht="12.5" customHeight="1" x14ac:dyDescent="0.35">
      <c r="A2847" t="s">
        <v>152</v>
      </c>
      <c r="E2847">
        <v>-2.6152802509969196E-3</v>
      </c>
      <c r="F2847">
        <f t="shared" si="94"/>
        <v>-1.9256534464923609E-2</v>
      </c>
      <c r="G2847">
        <f t="shared" si="95"/>
        <v>-3.1166362385510654E-2</v>
      </c>
    </row>
    <row r="2848" spans="1:144" ht="12.5" customHeight="1" x14ac:dyDescent="0.35">
      <c r="A2848" t="s">
        <v>152</v>
      </c>
      <c r="E2848">
        <v>-4.0311506879526331E-3</v>
      </c>
      <c r="F2848">
        <f t="shared" si="94"/>
        <v>-1.9271852191261971E-2</v>
      </c>
      <c r="G2848">
        <f t="shared" si="95"/>
        <v>-3.1166362385510654E-2</v>
      </c>
    </row>
    <row r="2849" spans="1:144" ht="12.5" customHeight="1" x14ac:dyDescent="0.35">
      <c r="A2849" t="s">
        <v>152</v>
      </c>
      <c r="E2849">
        <v>3.0855465589733006E-3</v>
      </c>
      <c r="F2849">
        <f t="shared" si="94"/>
        <v>-1.9287169917600332E-2</v>
      </c>
      <c r="G2849">
        <f t="shared" si="95"/>
        <v>-3.1166362385510654E-2</v>
      </c>
    </row>
    <row r="2850" spans="1:144" ht="12.5" customHeight="1" x14ac:dyDescent="0.35">
      <c r="A2850" t="s">
        <v>152</v>
      </c>
      <c r="E2850">
        <v>1.5700752614644705E-3</v>
      </c>
      <c r="F2850">
        <f t="shared" si="94"/>
        <v>-1.9302487643938694E-2</v>
      </c>
      <c r="G2850">
        <f t="shared" si="95"/>
        <v>-3.1166362385510654E-2</v>
      </c>
    </row>
    <row r="2851" spans="1:144" ht="12.5" customHeight="1" x14ac:dyDescent="0.35">
      <c r="A2851" t="s">
        <v>152</v>
      </c>
      <c r="E2851">
        <v>-8.187269874817925E-4</v>
      </c>
      <c r="F2851">
        <f t="shared" si="94"/>
        <v>-1.9317805370277056E-2</v>
      </c>
      <c r="G2851">
        <f t="shared" si="95"/>
        <v>-3.1166362385510654E-2</v>
      </c>
    </row>
    <row r="2852" spans="1:144" ht="12.5" customHeight="1" x14ac:dyDescent="0.35">
      <c r="A2852" t="s">
        <v>152</v>
      </c>
      <c r="E2852">
        <v>1.1956287007521451E-3</v>
      </c>
      <c r="F2852">
        <f t="shared" si="94"/>
        <v>-1.9333123096615414E-2</v>
      </c>
      <c r="G2852">
        <f t="shared" si="95"/>
        <v>-3.1166362385510654E-2</v>
      </c>
    </row>
    <row r="2853" spans="1:144" ht="12.5" customHeight="1" x14ac:dyDescent="0.35">
      <c r="A2853" t="s">
        <v>152</v>
      </c>
      <c r="E2853">
        <v>-2.0955254580052591E-3</v>
      </c>
      <c r="F2853">
        <f t="shared" si="94"/>
        <v>-1.9348440822953776E-2</v>
      </c>
      <c r="G2853">
        <f t="shared" si="95"/>
        <v>-3.1166362385510654E-2</v>
      </c>
    </row>
    <row r="2854" spans="1:144" ht="12.5" customHeight="1" x14ac:dyDescent="0.35">
      <c r="A2854" t="s">
        <v>152</v>
      </c>
      <c r="E2854">
        <v>-1.9455664907322305E-2</v>
      </c>
      <c r="F2854">
        <f t="shared" si="94"/>
        <v>-1.9363758549292138E-2</v>
      </c>
      <c r="G2854">
        <f t="shared" si="95"/>
        <v>-3.1166362385510654E-2</v>
      </c>
    </row>
    <row r="2855" spans="1:144" ht="12.5" customHeight="1" x14ac:dyDescent="0.35">
      <c r="A2855" t="s">
        <v>152</v>
      </c>
      <c r="E2855">
        <v>7.0950363106079802E-3</v>
      </c>
      <c r="F2855">
        <f t="shared" si="94"/>
        <v>-1.901694947300742E-2</v>
      </c>
      <c r="G2855">
        <f t="shared" si="95"/>
        <v>-3.1159979999536336E-2</v>
      </c>
    </row>
    <row r="2856" spans="1:144" ht="12.5" customHeight="1" x14ac:dyDescent="0.35">
      <c r="A2856" t="s">
        <v>152</v>
      </c>
      <c r="E2856">
        <v>-3.2397847528827235E-3</v>
      </c>
      <c r="F2856">
        <f t="shared" si="94"/>
        <v>-1.9043421654516952E-2</v>
      </c>
      <c r="G2856">
        <f t="shared" si="95"/>
        <v>-3.1159979999536336E-2</v>
      </c>
    </row>
    <row r="2857" spans="1:144" ht="12.5" customHeight="1" x14ac:dyDescent="0.35">
      <c r="A2857" t="s">
        <v>152</v>
      </c>
      <c r="E2857">
        <v>-9.4629472885657592E-3</v>
      </c>
      <c r="F2857">
        <f t="shared" si="94"/>
        <v>-1.9069893836026482E-2</v>
      </c>
      <c r="G2857">
        <f t="shared" si="95"/>
        <v>-3.1159979999536336E-2</v>
      </c>
    </row>
    <row r="2858" spans="1:144" ht="12.5" customHeight="1" x14ac:dyDescent="0.35">
      <c r="A2858" t="s">
        <v>152</v>
      </c>
      <c r="E2858">
        <v>1.3666920582326509E-2</v>
      </c>
      <c r="F2858">
        <f t="shared" si="94"/>
        <v>-1.9096366017536018E-2</v>
      </c>
      <c r="G2858">
        <f t="shared" si="95"/>
        <v>-3.1159979999536336E-2</v>
      </c>
    </row>
    <row r="2859" spans="1:144" ht="12.5" customHeight="1" x14ac:dyDescent="0.35">
      <c r="A2859" t="s">
        <v>152</v>
      </c>
      <c r="E2859">
        <v>3.4665373616084892E-3</v>
      </c>
      <c r="F2859">
        <f t="shared" si="94"/>
        <v>-1.9122838199045547E-2</v>
      </c>
      <c r="G2859">
        <f t="shared" si="95"/>
        <v>-3.1159979999536336E-2</v>
      </c>
    </row>
    <row r="2860" spans="1:144" ht="12.5" customHeight="1" x14ac:dyDescent="0.35">
      <c r="A2860" t="s">
        <v>152</v>
      </c>
      <c r="E2860">
        <v>-1.1171318600608741E-2</v>
      </c>
      <c r="F2860">
        <f t="shared" si="94"/>
        <v>-1.9149310380555083E-2</v>
      </c>
      <c r="G2860">
        <f t="shared" si="95"/>
        <v>-3.1159979999536336E-2</v>
      </c>
    </row>
    <row r="2861" spans="1:144" ht="12.5" customHeight="1" x14ac:dyDescent="0.35">
      <c r="A2861" t="s">
        <v>152</v>
      </c>
      <c r="E2861">
        <v>5.1502096859412727E-3</v>
      </c>
      <c r="F2861">
        <f t="shared" si="94"/>
        <v>-1.9167561656316411E-2</v>
      </c>
      <c r="G2861">
        <f t="shared" si="95"/>
        <v>-3.1415526161642324E-2</v>
      </c>
    </row>
    <row r="2862" spans="1:144" ht="12.5" customHeight="1" x14ac:dyDescent="0.35">
      <c r="A2862" t="s">
        <v>152</v>
      </c>
      <c r="E2862">
        <v>-1.0119905468262521E-2</v>
      </c>
      <c r="F2862">
        <f t="shared" si="94"/>
        <v>-1.9185812932077734E-2</v>
      </c>
      <c r="G2862">
        <f t="shared" si="95"/>
        <v>-3.1415526161642324E-2</v>
      </c>
    </row>
    <row r="2863" spans="1:144" s="3" customFormat="1" x14ac:dyDescent="0.35">
      <c r="A2863" s="3" t="s">
        <v>153</v>
      </c>
      <c r="B2863" s="3" cm="1">
        <f t="array" ref="B2863">_xlfn.STDEV.S(_xlfn._xlws.FILTER($E$2013:$E$3011, $A$2013:$A$3011="2021-07"))</f>
        <v>1.3105910564164392E-2</v>
      </c>
      <c r="C2863" s="3" cm="1">
        <f t="array" ref="C2863">AVERAGE(_xlfn._xlws.FILTER($E$2013:$E$3011, $A$2013:$A$3011="2021-07"))</f>
        <v>4.701404507699528E-4</v>
      </c>
      <c r="D2863" s="3" cm="1">
        <f t="array" ref="D2863">_xlfn.PERCENTILE.EXC(_xlfn._xlws.FILTER($E$2490:$E$3818, $A$2490:$A$3818="2021-07"), 0.05)</f>
        <v>-3.2698732935478064E-2</v>
      </c>
      <c r="E2863" s="3">
        <v>7.304138005923921E-3</v>
      </c>
      <c r="F2863" s="3">
        <f t="shared" si="94"/>
        <v>-1.9204064207839065E-2</v>
      </c>
      <c r="G2863" s="3">
        <f t="shared" si="95"/>
        <v>-3.1415526161642324E-2</v>
      </c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</row>
    <row r="2864" spans="1:144" ht="12.5" customHeight="1" x14ac:dyDescent="0.35">
      <c r="A2864" t="s">
        <v>153</v>
      </c>
      <c r="E2864">
        <v>-1.4435872813001074E-4</v>
      </c>
      <c r="F2864">
        <f t="shared" si="94"/>
        <v>-1.9222315483600389E-2</v>
      </c>
      <c r="G2864">
        <f t="shared" si="95"/>
        <v>-3.1415526161642324E-2</v>
      </c>
    </row>
    <row r="2865" spans="1:7" ht="12.5" customHeight="1" x14ac:dyDescent="0.35">
      <c r="A2865" t="s">
        <v>153</v>
      </c>
      <c r="E2865">
        <v>6.2665130274199071E-3</v>
      </c>
      <c r="F2865">
        <f t="shared" si="94"/>
        <v>-1.924056675936172E-2</v>
      </c>
      <c r="G2865">
        <f t="shared" si="95"/>
        <v>-3.1415526161642324E-2</v>
      </c>
    </row>
    <row r="2866" spans="1:7" ht="12.5" customHeight="1" x14ac:dyDescent="0.35">
      <c r="A2866" t="s">
        <v>153</v>
      </c>
      <c r="E2866">
        <v>-8.4240923241006571E-3</v>
      </c>
      <c r="F2866">
        <f t="shared" si="94"/>
        <v>-1.9258818035123044E-2</v>
      </c>
      <c r="G2866">
        <f t="shared" si="95"/>
        <v>-3.1415526161642324E-2</v>
      </c>
    </row>
    <row r="2867" spans="1:7" ht="12.5" customHeight="1" x14ac:dyDescent="0.35">
      <c r="A2867" t="s">
        <v>153</v>
      </c>
      <c r="E2867">
        <v>2.2596213238459135E-3</v>
      </c>
      <c r="F2867">
        <f t="shared" si="94"/>
        <v>-1.9277069310884371E-2</v>
      </c>
      <c r="G2867">
        <f t="shared" si="95"/>
        <v>-3.1415526161642324E-2</v>
      </c>
    </row>
    <row r="2868" spans="1:7" ht="12.5" customHeight="1" x14ac:dyDescent="0.35">
      <c r="A2868" t="s">
        <v>153</v>
      </c>
      <c r="E2868">
        <v>-2.5780143063774713E-2</v>
      </c>
      <c r="F2868">
        <f t="shared" si="94"/>
        <v>-1.9295320586645699E-2</v>
      </c>
      <c r="G2868">
        <f t="shared" si="95"/>
        <v>-3.1415526161642324E-2</v>
      </c>
    </row>
    <row r="2869" spans="1:7" ht="12.5" customHeight="1" x14ac:dyDescent="0.35">
      <c r="A2869" t="s">
        <v>153</v>
      </c>
      <c r="E2869">
        <v>1.6515683605572953E-2</v>
      </c>
      <c r="F2869">
        <f t="shared" si="94"/>
        <v>-1.8858116383950223E-2</v>
      </c>
      <c r="G2869">
        <f t="shared" si="95"/>
        <v>-3.1274444615190841E-2</v>
      </c>
    </row>
    <row r="2870" spans="1:7" ht="12.5" customHeight="1" x14ac:dyDescent="0.35">
      <c r="A2870" t="s">
        <v>153</v>
      </c>
      <c r="E2870">
        <v>9.1936639640087994E-3</v>
      </c>
      <c r="F2870">
        <f t="shared" si="94"/>
        <v>-1.8884588565459756E-2</v>
      </c>
      <c r="G2870">
        <f t="shared" si="95"/>
        <v>-3.1274444615190841E-2</v>
      </c>
    </row>
    <row r="2871" spans="1:7" ht="12.5" customHeight="1" x14ac:dyDescent="0.35">
      <c r="A2871" t="s">
        <v>153</v>
      </c>
      <c r="E2871">
        <v>-5.0178684327358064E-3</v>
      </c>
      <c r="F2871">
        <f t="shared" si="94"/>
        <v>-1.8911060746969289E-2</v>
      </c>
      <c r="G2871">
        <f t="shared" si="95"/>
        <v>-3.1274444615190841E-2</v>
      </c>
    </row>
    <row r="2872" spans="1:7" ht="12.5" customHeight="1" x14ac:dyDescent="0.35">
      <c r="A2872" t="s">
        <v>153</v>
      </c>
      <c r="E2872">
        <v>1.4966940875387924E-3</v>
      </c>
      <c r="F2872">
        <f t="shared" si="94"/>
        <v>-1.8937532928478822E-2</v>
      </c>
      <c r="G2872">
        <f t="shared" si="95"/>
        <v>-3.1274444615190841E-2</v>
      </c>
    </row>
    <row r="2873" spans="1:7" ht="12.5" customHeight="1" x14ac:dyDescent="0.35">
      <c r="A2873" t="s">
        <v>153</v>
      </c>
      <c r="E2873">
        <v>-1.2735585855923584E-2</v>
      </c>
      <c r="F2873">
        <f t="shared" si="94"/>
        <v>-1.8964005109988354E-2</v>
      </c>
      <c r="G2873">
        <f t="shared" si="95"/>
        <v>-3.1274444615190841E-2</v>
      </c>
    </row>
    <row r="2874" spans="1:7" ht="12.5" customHeight="1" x14ac:dyDescent="0.35">
      <c r="A2874" t="s">
        <v>153</v>
      </c>
      <c r="E2874">
        <v>-3.3309015927617102E-3</v>
      </c>
      <c r="F2874">
        <f t="shared" si="94"/>
        <v>-1.8990477291497887E-2</v>
      </c>
      <c r="G2874">
        <f t="shared" si="95"/>
        <v>-3.1274444615190841E-2</v>
      </c>
    </row>
    <row r="2875" spans="1:7" ht="12.5" customHeight="1" x14ac:dyDescent="0.35">
      <c r="A2875" t="s">
        <v>153</v>
      </c>
      <c r="E2875">
        <v>-3.39196605598963E-2</v>
      </c>
      <c r="F2875">
        <f t="shared" si="94"/>
        <v>-1.901694947300742E-2</v>
      </c>
      <c r="G2875">
        <f t="shared" si="95"/>
        <v>-3.1274444615190841E-2</v>
      </c>
    </row>
    <row r="2876" spans="1:7" ht="12.5" customHeight="1" x14ac:dyDescent="0.35">
      <c r="A2876" t="s">
        <v>153</v>
      </c>
      <c r="E2876">
        <v>5.8831224376586768E-3</v>
      </c>
      <c r="F2876">
        <f t="shared" si="94"/>
        <v>-1.852906314437823E-2</v>
      </c>
      <c r="G2876">
        <f t="shared" si="95"/>
        <v>-3.094891708732846E-2</v>
      </c>
    </row>
    <row r="2877" spans="1:7" ht="12.5" customHeight="1" x14ac:dyDescent="0.35">
      <c r="A2877" t="s">
        <v>153</v>
      </c>
      <c r="E2877">
        <v>2.3299362761732549E-2</v>
      </c>
      <c r="F2877">
        <f t="shared" si="94"/>
        <v>-1.8551764045874778E-2</v>
      </c>
      <c r="G2877">
        <f t="shared" si="95"/>
        <v>-3.094891708732846E-2</v>
      </c>
    </row>
    <row r="2878" spans="1:7" ht="12.5" customHeight="1" x14ac:dyDescent="0.35">
      <c r="A2878" t="s">
        <v>153</v>
      </c>
      <c r="E2878">
        <v>5.2384053603590844E-3</v>
      </c>
      <c r="F2878">
        <f t="shared" si="94"/>
        <v>-1.857446494737133E-2</v>
      </c>
      <c r="G2878">
        <f t="shared" si="95"/>
        <v>-3.094891708732846E-2</v>
      </c>
    </row>
    <row r="2879" spans="1:7" ht="12.5" customHeight="1" x14ac:dyDescent="0.35">
      <c r="A2879" t="s">
        <v>153</v>
      </c>
      <c r="E2879">
        <v>1.2806072531022726E-2</v>
      </c>
      <c r="F2879">
        <f t="shared" si="94"/>
        <v>-1.8597165848867881E-2</v>
      </c>
      <c r="G2879">
        <f t="shared" si="95"/>
        <v>-3.094891708732846E-2</v>
      </c>
    </row>
    <row r="2880" spans="1:7" ht="12.5" customHeight="1" x14ac:dyDescent="0.35">
      <c r="A2880" t="s">
        <v>153</v>
      </c>
      <c r="E2880">
        <v>6.8023088355472642E-3</v>
      </c>
      <c r="F2880">
        <f t="shared" si="94"/>
        <v>-1.8619866750364433E-2</v>
      </c>
      <c r="G2880">
        <f t="shared" si="95"/>
        <v>-3.094891708732846E-2</v>
      </c>
    </row>
    <row r="2881" spans="1:144" ht="12.5" customHeight="1" x14ac:dyDescent="0.35">
      <c r="A2881" t="s">
        <v>153</v>
      </c>
      <c r="E2881">
        <v>-8.3302471772296258E-3</v>
      </c>
      <c r="F2881">
        <f t="shared" si="94"/>
        <v>-1.8646338931873965E-2</v>
      </c>
      <c r="G2881">
        <f t="shared" si="95"/>
        <v>-3.1216939920740726E-2</v>
      </c>
    </row>
    <row r="2882" spans="1:144" ht="12.5" customHeight="1" x14ac:dyDescent="0.35">
      <c r="A2882" t="s">
        <v>153</v>
      </c>
      <c r="E2882">
        <v>6.9563812261454203E-3</v>
      </c>
      <c r="F2882">
        <f t="shared" si="94"/>
        <v>-1.8672811113383495E-2</v>
      </c>
      <c r="G2882">
        <f t="shared" si="95"/>
        <v>-3.1216939920740726E-2</v>
      </c>
    </row>
    <row r="2883" spans="1:144" ht="12.5" customHeight="1" x14ac:dyDescent="0.35">
      <c r="A2883" t="s">
        <v>153</v>
      </c>
      <c r="E2883">
        <v>1.0035506953533327E-2</v>
      </c>
      <c r="F2883">
        <f t="shared" si="94"/>
        <v>-1.8699283294893031E-2</v>
      </c>
      <c r="G2883">
        <f t="shared" si="95"/>
        <v>-3.1216939920740726E-2</v>
      </c>
    </row>
    <row r="2884" spans="1:144" ht="12.5" customHeight="1" x14ac:dyDescent="0.35">
      <c r="A2884" t="s">
        <v>153</v>
      </c>
      <c r="E2884">
        <v>-6.0315264688179668E-3</v>
      </c>
      <c r="F2884">
        <f t="shared" ref="F2884:F2947" si="96">_xlfn.PERCENTILE.EXC(E2884:E6699,0.05)</f>
        <v>-1.872575547640256E-2</v>
      </c>
      <c r="G2884">
        <f t="shared" ref="G2884:G2947" si="97">AVERAGEIFS(E2884:E6700,E2884:E6700,"&lt;=" &amp; F2884)</f>
        <v>-3.1216939920740726E-2</v>
      </c>
    </row>
    <row r="2885" spans="1:144" s="3" customFormat="1" x14ac:dyDescent="0.35">
      <c r="A2885" s="3" t="s">
        <v>154</v>
      </c>
      <c r="B2885" s="3" cm="1">
        <f t="array" ref="B2885">_xlfn.STDEV.S(_xlfn._xlws.FILTER($E$2013:$E$3011, $A$2013:$A$3011="2021-08"))</f>
        <v>6.7449798557369291E-3</v>
      </c>
      <c r="C2885" s="3" cm="1">
        <f t="array" ref="C2885">AVERAGE(_xlfn._xlws.FILTER($E$2013:$E$3011, $A$2013:$A$3011="2021-08"))</f>
        <v>1.198170202007026E-3</v>
      </c>
      <c r="D2885" s="3" cm="1">
        <f t="array" ref="D2885">_xlfn.PERCENTILE.EXC(_xlfn._xlws.FILTER($E$2490:$E$3818, $A$2490:$A$3818="2021-08"), 0.05)</f>
        <v>-1.5599894805212219E-2</v>
      </c>
      <c r="E2885" s="3">
        <v>-4.5036323620386643E-4</v>
      </c>
      <c r="F2885" s="3">
        <f t="shared" si="96"/>
        <v>-1.8752227657912096E-2</v>
      </c>
      <c r="G2885" s="3">
        <f t="shared" si="97"/>
        <v>-3.1216939920740726E-2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</row>
    <row r="2886" spans="1:144" ht="12.5" customHeight="1" x14ac:dyDescent="0.35">
      <c r="A2886" t="s">
        <v>154</v>
      </c>
      <c r="E2886">
        <v>1.7945974775907309E-4</v>
      </c>
      <c r="F2886">
        <f t="shared" si="96"/>
        <v>-1.8778699839421625E-2</v>
      </c>
      <c r="G2886">
        <f t="shared" si="97"/>
        <v>-3.1216939920740726E-2</v>
      </c>
    </row>
    <row r="2887" spans="1:144" ht="12.5" customHeight="1" x14ac:dyDescent="0.35">
      <c r="A2887" t="s">
        <v>154</v>
      </c>
      <c r="E2887">
        <v>5.2735450223948821E-3</v>
      </c>
      <c r="F2887">
        <f t="shared" si="96"/>
        <v>-1.8805172020931158E-2</v>
      </c>
      <c r="G2887">
        <f t="shared" si="97"/>
        <v>-3.1216939920740726E-2</v>
      </c>
    </row>
    <row r="2888" spans="1:144" ht="12.5" customHeight="1" x14ac:dyDescent="0.35">
      <c r="A2888" t="s">
        <v>154</v>
      </c>
      <c r="E2888">
        <v>6.8547765592322238E-3</v>
      </c>
      <c r="F2888">
        <f t="shared" si="96"/>
        <v>-1.8831644202440691E-2</v>
      </c>
      <c r="G2888">
        <f t="shared" si="97"/>
        <v>-3.1216939920740726E-2</v>
      </c>
    </row>
    <row r="2889" spans="1:144" ht="12.5" customHeight="1" x14ac:dyDescent="0.35">
      <c r="A2889" t="s">
        <v>154</v>
      </c>
      <c r="E2889">
        <v>1.2957681448630886E-2</v>
      </c>
      <c r="F2889">
        <f t="shared" si="96"/>
        <v>-1.8858116383950223E-2</v>
      </c>
      <c r="G2889">
        <f t="shared" si="97"/>
        <v>-3.1216939920740726E-2</v>
      </c>
    </row>
    <row r="2890" spans="1:144" ht="12.5" customHeight="1" x14ac:dyDescent="0.35">
      <c r="A2890" t="s">
        <v>154</v>
      </c>
      <c r="E2890">
        <v>5.3375951022444617E-3</v>
      </c>
      <c r="F2890">
        <f t="shared" si="96"/>
        <v>-1.8884588565459756E-2</v>
      </c>
      <c r="G2890">
        <f t="shared" si="97"/>
        <v>-3.1216939920740726E-2</v>
      </c>
    </row>
    <row r="2891" spans="1:144" ht="12.5" customHeight="1" x14ac:dyDescent="0.35">
      <c r="A2891" t="s">
        <v>154</v>
      </c>
      <c r="E2891">
        <v>2.3606906102384626E-3</v>
      </c>
      <c r="F2891">
        <f t="shared" si="96"/>
        <v>-1.8911060746969289E-2</v>
      </c>
      <c r="G2891">
        <f t="shared" si="97"/>
        <v>-3.1216939920740726E-2</v>
      </c>
    </row>
    <row r="2892" spans="1:144" ht="12.5" customHeight="1" x14ac:dyDescent="0.35">
      <c r="A2892" t="s">
        <v>154</v>
      </c>
      <c r="E2892">
        <v>9.7174484956551923E-3</v>
      </c>
      <c r="F2892">
        <f t="shared" si="96"/>
        <v>-1.8937532928478822E-2</v>
      </c>
      <c r="G2892">
        <f t="shared" si="97"/>
        <v>-3.1216939920740726E-2</v>
      </c>
    </row>
    <row r="2893" spans="1:144" ht="12.5" customHeight="1" x14ac:dyDescent="0.35">
      <c r="A2893" t="s">
        <v>154</v>
      </c>
      <c r="E2893">
        <v>3.8019545975450015E-3</v>
      </c>
      <c r="F2893">
        <f t="shared" si="96"/>
        <v>-1.8964005109988354E-2</v>
      </c>
      <c r="G2893">
        <f t="shared" si="97"/>
        <v>-3.1216939920740726E-2</v>
      </c>
    </row>
    <row r="2894" spans="1:144" ht="12.5" customHeight="1" x14ac:dyDescent="0.35">
      <c r="A2894" t="s">
        <v>154</v>
      </c>
      <c r="E2894">
        <v>3.5602100359603873E-3</v>
      </c>
      <c r="F2894">
        <f t="shared" si="96"/>
        <v>-1.8990477291497887E-2</v>
      </c>
      <c r="G2894">
        <f t="shared" si="97"/>
        <v>-3.1216939920740726E-2</v>
      </c>
    </row>
    <row r="2895" spans="1:144" ht="12.5" customHeight="1" x14ac:dyDescent="0.35">
      <c r="A2895" t="s">
        <v>154</v>
      </c>
      <c r="E2895">
        <v>-7.6759297379152061E-3</v>
      </c>
      <c r="F2895">
        <f t="shared" si="96"/>
        <v>-1.901694947300742E-2</v>
      </c>
      <c r="G2895">
        <f t="shared" si="97"/>
        <v>-3.1216939920740726E-2</v>
      </c>
    </row>
    <row r="2896" spans="1:144" ht="12.5" customHeight="1" x14ac:dyDescent="0.35">
      <c r="A2896" t="s">
        <v>154</v>
      </c>
      <c r="E2896">
        <v>-8.5041296740028804E-3</v>
      </c>
      <c r="F2896">
        <f t="shared" si="96"/>
        <v>-1.9043421654516952E-2</v>
      </c>
      <c r="G2896">
        <f t="shared" si="97"/>
        <v>-3.1216939920740726E-2</v>
      </c>
    </row>
    <row r="2897" spans="1:144" ht="12.5" customHeight="1" x14ac:dyDescent="0.35">
      <c r="A2897" t="s">
        <v>154</v>
      </c>
      <c r="E2897">
        <v>5.0367152235091433E-3</v>
      </c>
      <c r="F2897">
        <f t="shared" si="96"/>
        <v>-1.9069893836026482E-2</v>
      </c>
      <c r="G2897">
        <f t="shared" si="97"/>
        <v>-3.1216939920740726E-2</v>
      </c>
    </row>
    <row r="2898" spans="1:144" ht="12.5" customHeight="1" x14ac:dyDescent="0.35">
      <c r="A2898" t="s">
        <v>154</v>
      </c>
      <c r="E2898">
        <v>-1.6388313153124369E-2</v>
      </c>
      <c r="F2898">
        <f t="shared" si="96"/>
        <v>-1.9096366017536018E-2</v>
      </c>
      <c r="G2898">
        <f t="shared" si="97"/>
        <v>-3.1216939920740726E-2</v>
      </c>
    </row>
    <row r="2899" spans="1:144" ht="12.5" customHeight="1" x14ac:dyDescent="0.35">
      <c r="A2899" t="s">
        <v>154</v>
      </c>
      <c r="E2899">
        <v>-4.0542326492862165E-4</v>
      </c>
      <c r="F2899">
        <f t="shared" si="96"/>
        <v>-1.9122838199045547E-2</v>
      </c>
      <c r="G2899">
        <f t="shared" si="97"/>
        <v>-3.1216939920740726E-2</v>
      </c>
    </row>
    <row r="2900" spans="1:144" ht="12.5" customHeight="1" x14ac:dyDescent="0.35">
      <c r="A2900" t="s">
        <v>154</v>
      </c>
      <c r="E2900">
        <v>4.9172319237420128E-3</v>
      </c>
      <c r="F2900">
        <f t="shared" si="96"/>
        <v>-1.9149310380555083E-2</v>
      </c>
      <c r="G2900">
        <f t="shared" si="97"/>
        <v>-3.1216939920740726E-2</v>
      </c>
    </row>
    <row r="2901" spans="1:144" ht="12.5" customHeight="1" x14ac:dyDescent="0.35">
      <c r="A2901" t="s">
        <v>154</v>
      </c>
      <c r="E2901">
        <v>-6.9593354108893443E-4</v>
      </c>
      <c r="F2901">
        <f t="shared" si="96"/>
        <v>-1.9167561656316411E-2</v>
      </c>
      <c r="G2901">
        <f t="shared" si="97"/>
        <v>-3.148510946607818E-2</v>
      </c>
    </row>
    <row r="2902" spans="1:144" ht="12.5" customHeight="1" x14ac:dyDescent="0.35">
      <c r="A2902" t="s">
        <v>154</v>
      </c>
      <c r="E2902">
        <v>1.2425085369919952E-3</v>
      </c>
      <c r="F2902">
        <f t="shared" si="96"/>
        <v>-1.9185812932077734E-2</v>
      </c>
      <c r="G2902">
        <f t="shared" si="97"/>
        <v>-3.148510946607818E-2</v>
      </c>
    </row>
    <row r="2903" spans="1:144" ht="12.5" customHeight="1" x14ac:dyDescent="0.35">
      <c r="A2903" t="s">
        <v>154</v>
      </c>
      <c r="E2903">
        <v>-7.6557826971636392E-3</v>
      </c>
      <c r="F2903">
        <f t="shared" si="96"/>
        <v>-1.9204064207839065E-2</v>
      </c>
      <c r="G2903">
        <f t="shared" si="97"/>
        <v>-3.148510946607818E-2</v>
      </c>
    </row>
    <row r="2904" spans="1:144" ht="12.5" customHeight="1" x14ac:dyDescent="0.35">
      <c r="A2904" t="s">
        <v>154</v>
      </c>
      <c r="E2904">
        <v>5.5953558625816422E-3</v>
      </c>
      <c r="F2904">
        <f t="shared" si="96"/>
        <v>-1.9222315483600389E-2</v>
      </c>
      <c r="G2904">
        <f t="shared" si="97"/>
        <v>-3.148510946607818E-2</v>
      </c>
    </row>
    <row r="2905" spans="1:144" ht="12.5" customHeight="1" x14ac:dyDescent="0.35">
      <c r="A2905" t="s">
        <v>154</v>
      </c>
      <c r="E2905">
        <v>1.0227638008969184E-4</v>
      </c>
      <c r="F2905">
        <f t="shared" si="96"/>
        <v>-1.924056675936172E-2</v>
      </c>
      <c r="G2905">
        <f t="shared" si="97"/>
        <v>-3.148510946607818E-2</v>
      </c>
    </row>
    <row r="2906" spans="1:144" s="3" customFormat="1" x14ac:dyDescent="0.35">
      <c r="A2906" s="3" t="s">
        <v>155</v>
      </c>
      <c r="B2906" s="3" cm="1">
        <f t="array" ref="B2906">_xlfn.STDEV.S(_xlfn._xlws.FILTER($E$2013:$E$3011, $A$2013:$A$3011="2021-09"))</f>
        <v>1.0881091399410516E-2</v>
      </c>
      <c r="C2906" s="3" cm="1">
        <f t="array" ref="C2906">AVERAGE(_xlfn._xlws.FILTER($E$2013:$E$3011, $A$2013:$A$3011="2021-09"))</f>
        <v>-5.7240679962627494E-4</v>
      </c>
      <c r="D2906" s="3" cm="1">
        <f t="array" ref="D2906">_xlfn.PERCENTILE.EXC(_xlfn._xlws.FILTER($E$2490:$E$3818, $A$2490:$A$3818="2021-09"), 0.05)</f>
        <v>-2.5393199325203418E-2</v>
      </c>
      <c r="E2906" s="3">
        <v>6.6053837580597853E-3</v>
      </c>
      <c r="F2906" s="3">
        <f t="shared" si="96"/>
        <v>-1.9258818035123044E-2</v>
      </c>
      <c r="G2906" s="3">
        <f t="shared" si="97"/>
        <v>-3.148510946607818E-2</v>
      </c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/>
      <c r="EI2906"/>
      <c r="EJ2906"/>
      <c r="EK2906"/>
      <c r="EL2906"/>
      <c r="EM2906"/>
      <c r="EN2906"/>
    </row>
    <row r="2907" spans="1:144" ht="12.5" customHeight="1" x14ac:dyDescent="0.35">
      <c r="A2907" t="s">
        <v>155</v>
      </c>
      <c r="E2907">
        <v>1.9734800082505813E-3</v>
      </c>
      <c r="F2907">
        <f t="shared" si="96"/>
        <v>-1.9277069310884371E-2</v>
      </c>
      <c r="G2907">
        <f t="shared" si="97"/>
        <v>-3.148510946607818E-2</v>
      </c>
    </row>
    <row r="2908" spans="1:144" ht="12.5" customHeight="1" x14ac:dyDescent="0.35">
      <c r="A2908" t="s">
        <v>155</v>
      </c>
      <c r="E2908">
        <v>-6.4476679138279125E-3</v>
      </c>
      <c r="F2908">
        <f t="shared" si="96"/>
        <v>-1.9295320586645699E-2</v>
      </c>
      <c r="G2908">
        <f t="shared" si="97"/>
        <v>-3.148510946607818E-2</v>
      </c>
    </row>
    <row r="2909" spans="1:144" ht="12.5" customHeight="1" x14ac:dyDescent="0.35">
      <c r="A2909" t="s">
        <v>155</v>
      </c>
      <c r="E2909">
        <v>7.5924995057687263E-3</v>
      </c>
      <c r="F2909">
        <f t="shared" si="96"/>
        <v>-1.9313571862407026E-2</v>
      </c>
      <c r="G2909">
        <f t="shared" si="97"/>
        <v>-3.148510946607818E-2</v>
      </c>
    </row>
    <row r="2910" spans="1:144" ht="12.5" customHeight="1" x14ac:dyDescent="0.35">
      <c r="A2910" t="s">
        <v>155</v>
      </c>
      <c r="E2910">
        <v>-7.2491832089314513E-3</v>
      </c>
      <c r="F2910">
        <f t="shared" si="96"/>
        <v>-1.9331823138168353E-2</v>
      </c>
      <c r="G2910">
        <f t="shared" si="97"/>
        <v>-3.148510946607818E-2</v>
      </c>
    </row>
    <row r="2911" spans="1:144" ht="12.5" customHeight="1" x14ac:dyDescent="0.35">
      <c r="A2911" t="s">
        <v>155</v>
      </c>
      <c r="E2911">
        <v>-7.5780016476687832E-3</v>
      </c>
      <c r="F2911">
        <f t="shared" si="96"/>
        <v>-1.9350074413929681E-2</v>
      </c>
      <c r="G2911">
        <f t="shared" si="97"/>
        <v>-3.148510946607818E-2</v>
      </c>
    </row>
    <row r="2912" spans="1:144" ht="12.5" customHeight="1" x14ac:dyDescent="0.35">
      <c r="A2912" t="s">
        <v>155</v>
      </c>
      <c r="E2912">
        <v>1.2721409829529852E-3</v>
      </c>
      <c r="F2912">
        <f t="shared" si="96"/>
        <v>-1.9368325689691004E-2</v>
      </c>
      <c r="G2912">
        <f t="shared" si="97"/>
        <v>-3.148510946607818E-2</v>
      </c>
    </row>
    <row r="2913" spans="1:144" ht="12.5" customHeight="1" x14ac:dyDescent="0.35">
      <c r="A2913" t="s">
        <v>155</v>
      </c>
      <c r="E2913">
        <v>-8.6580392502686107E-3</v>
      </c>
      <c r="F2913">
        <f t="shared" si="96"/>
        <v>-1.9386576965452335E-2</v>
      </c>
      <c r="G2913">
        <f t="shared" si="97"/>
        <v>-3.148510946607818E-2</v>
      </c>
    </row>
    <row r="2914" spans="1:144" ht="12.5" customHeight="1" x14ac:dyDescent="0.35">
      <c r="A2914" t="s">
        <v>155</v>
      </c>
      <c r="E2914">
        <v>9.2715177387298342E-3</v>
      </c>
      <c r="F2914">
        <f t="shared" si="96"/>
        <v>-1.9404828241213659E-2</v>
      </c>
      <c r="G2914">
        <f t="shared" si="97"/>
        <v>-3.148510946607818E-2</v>
      </c>
    </row>
    <row r="2915" spans="1:144" ht="12.5" customHeight="1" x14ac:dyDescent="0.35">
      <c r="A2915" t="s">
        <v>155</v>
      </c>
      <c r="E2915">
        <v>3.9012383752175619E-3</v>
      </c>
      <c r="F2915">
        <f t="shared" si="96"/>
        <v>-1.9423079516974986E-2</v>
      </c>
      <c r="G2915">
        <f t="shared" si="97"/>
        <v>-3.148510946607818E-2</v>
      </c>
    </row>
    <row r="2916" spans="1:144" ht="12.5" customHeight="1" x14ac:dyDescent="0.35">
      <c r="A2916" t="s">
        <v>155</v>
      </c>
      <c r="E2916">
        <v>-1.0232730590313908E-2</v>
      </c>
      <c r="F2916">
        <f t="shared" si="96"/>
        <v>-1.9441330792736314E-2</v>
      </c>
      <c r="G2916">
        <f t="shared" si="97"/>
        <v>-3.148510946607818E-2</v>
      </c>
    </row>
    <row r="2917" spans="1:144" ht="12.5" customHeight="1" x14ac:dyDescent="0.35">
      <c r="A2917" t="s">
        <v>155</v>
      </c>
      <c r="E2917">
        <v>7.8038474743493402E-3</v>
      </c>
      <c r="F2917">
        <f t="shared" si="96"/>
        <v>-1.9459582068497641E-2</v>
      </c>
      <c r="G2917">
        <f t="shared" si="97"/>
        <v>-3.148510946607818E-2</v>
      </c>
    </row>
    <row r="2918" spans="1:144" ht="12.5" customHeight="1" x14ac:dyDescent="0.35">
      <c r="A2918" t="s">
        <v>155</v>
      </c>
      <c r="E2918">
        <v>-9.8453599590018273E-3</v>
      </c>
      <c r="F2918">
        <f t="shared" si="96"/>
        <v>-1.9477833344258969E-2</v>
      </c>
      <c r="G2918">
        <f t="shared" si="97"/>
        <v>-3.148510946607818E-2</v>
      </c>
    </row>
    <row r="2919" spans="1:144" ht="12.5" customHeight="1" x14ac:dyDescent="0.35">
      <c r="A2919" t="s">
        <v>155</v>
      </c>
      <c r="E2919">
        <v>-2.6058543127417177E-2</v>
      </c>
      <c r="F2919">
        <f t="shared" si="96"/>
        <v>-1.9496084620020296E-2</v>
      </c>
      <c r="G2919">
        <f t="shared" si="97"/>
        <v>-3.148510946607818E-2</v>
      </c>
    </row>
    <row r="2920" spans="1:144" ht="12.5" customHeight="1" x14ac:dyDescent="0.35">
      <c r="A2920" t="s">
        <v>155</v>
      </c>
      <c r="E2920">
        <v>1.2106901592163337E-2</v>
      </c>
      <c r="F2920">
        <f t="shared" si="96"/>
        <v>-1.9149310380555083E-2</v>
      </c>
      <c r="G2920">
        <f t="shared" si="97"/>
        <v>-3.1331570960592359E-2</v>
      </c>
    </row>
    <row r="2921" spans="1:144" ht="12.5" customHeight="1" x14ac:dyDescent="0.35">
      <c r="A2921" t="s">
        <v>155</v>
      </c>
      <c r="E2921">
        <v>1.42588730280426E-2</v>
      </c>
      <c r="F2921">
        <f t="shared" si="96"/>
        <v>-1.9167561656316411E-2</v>
      </c>
      <c r="G2921">
        <f t="shared" si="97"/>
        <v>-3.1608440519229564E-2</v>
      </c>
    </row>
    <row r="2922" spans="1:144" ht="12.5" customHeight="1" x14ac:dyDescent="0.35">
      <c r="A2922" t="s">
        <v>155</v>
      </c>
      <c r="E2922">
        <v>1.4041925679967756E-2</v>
      </c>
      <c r="F2922">
        <f t="shared" si="96"/>
        <v>-1.9185812932077734E-2</v>
      </c>
      <c r="G2922">
        <f t="shared" si="97"/>
        <v>-3.1608440519229564E-2</v>
      </c>
    </row>
    <row r="2923" spans="1:144" ht="12.5" customHeight="1" x14ac:dyDescent="0.35">
      <c r="A2923" t="s">
        <v>155</v>
      </c>
      <c r="E2923">
        <v>-4.3147065869836281E-3</v>
      </c>
      <c r="F2923">
        <f t="shared" si="96"/>
        <v>-1.9204064207839065E-2</v>
      </c>
      <c r="G2923">
        <f t="shared" si="97"/>
        <v>-3.1608440519229564E-2</v>
      </c>
    </row>
    <row r="2924" spans="1:144" ht="12.5" customHeight="1" x14ac:dyDescent="0.35">
      <c r="A2924" t="s">
        <v>155</v>
      </c>
      <c r="E2924">
        <v>6.2724433246908948E-3</v>
      </c>
      <c r="F2924">
        <f t="shared" si="96"/>
        <v>-1.9222315483600389E-2</v>
      </c>
      <c r="G2924">
        <f t="shared" si="97"/>
        <v>-3.1608440519229564E-2</v>
      </c>
    </row>
    <row r="2925" spans="1:144" ht="12.5" customHeight="1" x14ac:dyDescent="0.35">
      <c r="A2925" t="s">
        <v>155</v>
      </c>
      <c r="E2925">
        <v>-2.1622917779325443E-2</v>
      </c>
      <c r="F2925">
        <f t="shared" si="96"/>
        <v>-1.924056675936172E-2</v>
      </c>
      <c r="G2925">
        <f t="shared" si="97"/>
        <v>-3.1608440519229564E-2</v>
      </c>
    </row>
    <row r="2926" spans="1:144" ht="12.5" customHeight="1" x14ac:dyDescent="0.35">
      <c r="A2926" t="s">
        <v>155</v>
      </c>
      <c r="E2926">
        <v>6.3769337577980947E-3</v>
      </c>
      <c r="F2926">
        <f t="shared" si="96"/>
        <v>-1.8778699839421625E-2</v>
      </c>
      <c r="G2926">
        <f t="shared" si="97"/>
        <v>-3.1552222169257509E-2</v>
      </c>
    </row>
    <row r="2927" spans="1:144" ht="12.5" customHeight="1" x14ac:dyDescent="0.35">
      <c r="A2927" t="s">
        <v>155</v>
      </c>
      <c r="E2927">
        <v>-2.0629847540308026E-3</v>
      </c>
      <c r="F2927">
        <f t="shared" si="96"/>
        <v>-1.8805172020931158E-2</v>
      </c>
      <c r="G2927">
        <f t="shared" si="97"/>
        <v>-3.1552222169257509E-2</v>
      </c>
    </row>
    <row r="2928" spans="1:144" s="3" customFormat="1" x14ac:dyDescent="0.35">
      <c r="A2928" s="3" t="s">
        <v>156</v>
      </c>
      <c r="B2928" s="3" cm="1">
        <f t="array" ref="B2928">_xlfn.STDEV.S(_xlfn._xlws.FILTER($E$2013:$E$3011, $A$2013:$A$3011="2021-10"))</f>
        <v>8.0905298734845234E-3</v>
      </c>
      <c r="C2928" s="3" cm="1">
        <f t="array" ref="C2928">AVERAGE(_xlfn._xlws.FILTER($E$2013:$E$3011, $A$2013:$A$3011="2021-10"))</f>
        <v>2.1605416398696436E-3</v>
      </c>
      <c r="D2928" s="3" cm="1">
        <f t="array" ref="D2928">_xlfn.PERCENTILE.EXC(_xlfn._xlws.FILTER($E$2490:$E$3818, $A$2490:$A$3818="2021-10"), 0.05)</f>
        <v>-1.3064799137222447E-2</v>
      </c>
      <c r="E2928" s="3">
        <v>-2.6706127010682661E-3</v>
      </c>
      <c r="F2928" s="3">
        <f t="shared" si="96"/>
        <v>-1.8831644202440691E-2</v>
      </c>
      <c r="G2928" s="3">
        <f t="shared" si="97"/>
        <v>-3.1552222169257509E-2</v>
      </c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</row>
    <row r="2929" spans="1:7" ht="12.5" customHeight="1" x14ac:dyDescent="0.35">
      <c r="A2929" t="s">
        <v>156</v>
      </c>
      <c r="E2929">
        <v>-6.0502051279693134E-3</v>
      </c>
      <c r="F2929">
        <f t="shared" si="96"/>
        <v>-1.8858116383950223E-2</v>
      </c>
      <c r="G2929">
        <f t="shared" si="97"/>
        <v>-3.1552222169257509E-2</v>
      </c>
    </row>
    <row r="2930" spans="1:7" ht="12.5" customHeight="1" x14ac:dyDescent="0.35">
      <c r="A2930" t="s">
        <v>156</v>
      </c>
      <c r="E2930">
        <v>1.9263552819594004E-2</v>
      </c>
      <c r="F2930">
        <f t="shared" si="96"/>
        <v>-1.8884588565459756E-2</v>
      </c>
      <c r="G2930">
        <f t="shared" si="97"/>
        <v>-3.1552222169257509E-2</v>
      </c>
    </row>
    <row r="2931" spans="1:7" ht="12.5" customHeight="1" x14ac:dyDescent="0.35">
      <c r="A2931" t="s">
        <v>156</v>
      </c>
      <c r="E2931">
        <v>-1.3587412728637102E-2</v>
      </c>
      <c r="F2931">
        <f t="shared" si="96"/>
        <v>-1.8911060746969289E-2</v>
      </c>
      <c r="G2931">
        <f t="shared" si="97"/>
        <v>-3.1552222169257509E-2</v>
      </c>
    </row>
    <row r="2932" spans="1:7" ht="12.5" customHeight="1" x14ac:dyDescent="0.35">
      <c r="A2932" t="s">
        <v>156</v>
      </c>
      <c r="E2932">
        <v>1.4983801018980763E-2</v>
      </c>
      <c r="F2932">
        <f t="shared" si="96"/>
        <v>-1.8937532928478822E-2</v>
      </c>
      <c r="G2932">
        <f t="shared" si="97"/>
        <v>-3.1552222169257509E-2</v>
      </c>
    </row>
    <row r="2933" spans="1:7" ht="12.5" customHeight="1" x14ac:dyDescent="0.35">
      <c r="A2933" t="s">
        <v>156</v>
      </c>
      <c r="E2933">
        <v>2.2565834571472809E-3</v>
      </c>
      <c r="F2933">
        <f t="shared" si="96"/>
        <v>-1.8964005109988354E-2</v>
      </c>
      <c r="G2933">
        <f t="shared" si="97"/>
        <v>-3.1552222169257509E-2</v>
      </c>
    </row>
    <row r="2934" spans="1:7" ht="12.5" customHeight="1" x14ac:dyDescent="0.35">
      <c r="A2934" t="s">
        <v>156</v>
      </c>
      <c r="E2934">
        <v>-4.6381995782297679E-3</v>
      </c>
      <c r="F2934">
        <f t="shared" si="96"/>
        <v>-1.8990477291497887E-2</v>
      </c>
      <c r="G2934">
        <f t="shared" si="97"/>
        <v>-3.1552222169257509E-2</v>
      </c>
    </row>
    <row r="2935" spans="1:7" ht="12.5" customHeight="1" x14ac:dyDescent="0.35">
      <c r="A2935" t="s">
        <v>156</v>
      </c>
      <c r="E2935">
        <v>2.2942787172064794E-3</v>
      </c>
      <c r="F2935">
        <f t="shared" si="96"/>
        <v>-1.901694947300742E-2</v>
      </c>
      <c r="G2935">
        <f t="shared" si="97"/>
        <v>-3.1552222169257509E-2</v>
      </c>
    </row>
    <row r="2936" spans="1:7" ht="12.5" customHeight="1" x14ac:dyDescent="0.35">
      <c r="A2936" t="s">
        <v>156</v>
      </c>
      <c r="E2936">
        <v>-1.2061898668316354E-3</v>
      </c>
      <c r="F2936">
        <f t="shared" si="96"/>
        <v>-1.9043421654516952E-2</v>
      </c>
      <c r="G2936">
        <f t="shared" si="97"/>
        <v>-3.1552222169257509E-2</v>
      </c>
    </row>
    <row r="2937" spans="1:7" ht="12.5" customHeight="1" x14ac:dyDescent="0.35">
      <c r="A2937" t="s">
        <v>156</v>
      </c>
      <c r="E2937">
        <v>1.2209295274751548E-2</v>
      </c>
      <c r="F2937">
        <f t="shared" si="96"/>
        <v>-1.9069893836026482E-2</v>
      </c>
      <c r="G2937">
        <f t="shared" si="97"/>
        <v>-3.1552222169257509E-2</v>
      </c>
    </row>
    <row r="2938" spans="1:7" ht="12.5" customHeight="1" x14ac:dyDescent="0.35">
      <c r="A2938" t="s">
        <v>156</v>
      </c>
      <c r="E2938">
        <v>8.0206241397086687E-3</v>
      </c>
      <c r="F2938">
        <f t="shared" si="96"/>
        <v>-1.9096366017536018E-2</v>
      </c>
      <c r="G2938">
        <f t="shared" si="97"/>
        <v>-3.1552222169257509E-2</v>
      </c>
    </row>
    <row r="2939" spans="1:7" ht="12.5" customHeight="1" x14ac:dyDescent="0.35">
      <c r="A2939" t="s">
        <v>156</v>
      </c>
      <c r="E2939">
        <v>-8.3612768144905592E-3</v>
      </c>
      <c r="F2939">
        <f t="shared" si="96"/>
        <v>-1.9122838199045547E-2</v>
      </c>
      <c r="G2939">
        <f t="shared" si="97"/>
        <v>-3.1552222169257509E-2</v>
      </c>
    </row>
    <row r="2940" spans="1:7" ht="12.5" customHeight="1" x14ac:dyDescent="0.35">
      <c r="A2940" t="s">
        <v>156</v>
      </c>
      <c r="E2940">
        <v>2.4474548262514674E-3</v>
      </c>
      <c r="F2940">
        <f t="shared" si="96"/>
        <v>-1.9149310380555083E-2</v>
      </c>
      <c r="G2940">
        <f t="shared" si="97"/>
        <v>-3.1552222169257509E-2</v>
      </c>
    </row>
    <row r="2941" spans="1:7" ht="12.5" customHeight="1" x14ac:dyDescent="0.35">
      <c r="A2941" t="s">
        <v>156</v>
      </c>
      <c r="E2941">
        <v>9.4031167508775628E-3</v>
      </c>
      <c r="F2941">
        <f t="shared" si="96"/>
        <v>-1.9167561656316411E-2</v>
      </c>
      <c r="G2941">
        <f t="shared" si="97"/>
        <v>-3.1840661978297102E-2</v>
      </c>
    </row>
    <row r="2942" spans="1:7" ht="12.5" customHeight="1" x14ac:dyDescent="0.35">
      <c r="A2942" t="s">
        <v>156</v>
      </c>
      <c r="E2942">
        <v>-2.1323029636408724E-3</v>
      </c>
      <c r="F2942">
        <f t="shared" si="96"/>
        <v>-1.9185812932077734E-2</v>
      </c>
      <c r="G2942">
        <f t="shared" si="97"/>
        <v>-3.1840661978297102E-2</v>
      </c>
    </row>
    <row r="2943" spans="1:7" ht="12.5" customHeight="1" x14ac:dyDescent="0.35">
      <c r="A2943" t="s">
        <v>156</v>
      </c>
      <c r="E2943">
        <v>1.754529153095728E-3</v>
      </c>
      <c r="F2943">
        <f t="shared" si="96"/>
        <v>-1.9204064207839065E-2</v>
      </c>
      <c r="G2943">
        <f t="shared" si="97"/>
        <v>-3.1840661978297102E-2</v>
      </c>
    </row>
    <row r="2944" spans="1:7" ht="12.5" customHeight="1" x14ac:dyDescent="0.35">
      <c r="A2944" t="s">
        <v>156</v>
      </c>
      <c r="E2944">
        <v>9.1430244438585433E-3</v>
      </c>
      <c r="F2944">
        <f t="shared" si="96"/>
        <v>-1.9222315483600389E-2</v>
      </c>
      <c r="G2944">
        <f t="shared" si="97"/>
        <v>-3.1840661978297102E-2</v>
      </c>
    </row>
    <row r="2945" spans="1:144" ht="12.5" customHeight="1" x14ac:dyDescent="0.35">
      <c r="A2945" t="s">
        <v>156</v>
      </c>
      <c r="E2945">
        <v>5.7694677311746888E-3</v>
      </c>
      <c r="F2945">
        <f t="shared" si="96"/>
        <v>-1.924056675936172E-2</v>
      </c>
      <c r="G2945">
        <f t="shared" si="97"/>
        <v>-3.1840661978297102E-2</v>
      </c>
    </row>
    <row r="2946" spans="1:144" ht="12.5" customHeight="1" x14ac:dyDescent="0.35">
      <c r="A2946" t="s">
        <v>156</v>
      </c>
      <c r="E2946">
        <v>-6.1275298580326671E-3</v>
      </c>
      <c r="F2946">
        <f t="shared" si="96"/>
        <v>-1.9258818035123044E-2</v>
      </c>
      <c r="G2946">
        <f t="shared" si="97"/>
        <v>-3.1840661978297102E-2</v>
      </c>
    </row>
    <row r="2947" spans="1:144" ht="12.5" customHeight="1" x14ac:dyDescent="0.35">
      <c r="A2947" t="s">
        <v>156</v>
      </c>
      <c r="E2947">
        <v>3.1346551905745302E-3</v>
      </c>
      <c r="F2947">
        <f t="shared" si="96"/>
        <v>-1.9277069310884371E-2</v>
      </c>
      <c r="G2947">
        <f t="shared" si="97"/>
        <v>-3.1840661978297102E-2</v>
      </c>
    </row>
    <row r="2948" spans="1:144" ht="12.5" customHeight="1" x14ac:dyDescent="0.35">
      <c r="A2948" t="s">
        <v>156</v>
      </c>
      <c r="E2948">
        <v>-5.3527944705856079E-4</v>
      </c>
      <c r="F2948">
        <f t="shared" ref="F2948:F3011" si="98">_xlfn.PERCENTILE.EXC(E2948:E6763,0.05)</f>
        <v>-1.9295320586645699E-2</v>
      </c>
      <c r="G2948">
        <f t="shared" ref="G2948:G3011" si="99">AVERAGEIFS(E2948:E6764,E2948:E6764,"&lt;=" &amp; F2948)</f>
        <v>-3.1840661978297102E-2</v>
      </c>
    </row>
    <row r="2949" spans="1:144" s="3" customFormat="1" x14ac:dyDescent="0.35">
      <c r="A2949" s="3" t="s">
        <v>157</v>
      </c>
      <c r="B2949" s="3" cm="1">
        <f t="array" ref="B2949">_xlfn.STDEV.S(_xlfn._xlws.FILTER($E$2013:$E$3011, $A$2013:$A$3011="2021-11"))</f>
        <v>1.2439090488933015E-2</v>
      </c>
      <c r="C2949" s="3" cm="1">
        <f t="array" ref="C2949">AVERAGE(_xlfn._xlws.FILTER($E$2013:$E$3011, $A$2013:$A$3011="2021-11"))</f>
        <v>-1.8319116030175353E-3</v>
      </c>
      <c r="D2949" s="3" cm="1">
        <f t="array" ref="D2949">_xlfn.PERCENTILE.EXC(_xlfn._xlws.FILTER($E$2490:$E$3818, $A$2490:$A$3818="2021-11"), 0.05)</f>
        <v>-4.2453808611006803E-2</v>
      </c>
      <c r="E2949" s="3">
        <v>1.2205330471156184E-2</v>
      </c>
      <c r="F2949" s="3">
        <f t="shared" si="98"/>
        <v>-1.9313571862407026E-2</v>
      </c>
      <c r="G2949" s="3">
        <f t="shared" si="99"/>
        <v>-3.1840661978297102E-2</v>
      </c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</row>
    <row r="2950" spans="1:144" ht="12.5" customHeight="1" x14ac:dyDescent="0.35">
      <c r="A2950" t="s">
        <v>157</v>
      </c>
      <c r="E2950">
        <v>-6.0188660354493489E-4</v>
      </c>
      <c r="F2950">
        <f t="shared" si="98"/>
        <v>-1.9331823138168353E-2</v>
      </c>
      <c r="G2950">
        <f t="shared" si="99"/>
        <v>-3.1840661978297102E-2</v>
      </c>
    </row>
    <row r="2951" spans="1:144" ht="12.5" customHeight="1" x14ac:dyDescent="0.35">
      <c r="A2951" t="s">
        <v>157</v>
      </c>
      <c r="E2951">
        <v>6.8993722162719274E-3</v>
      </c>
      <c r="F2951">
        <f t="shared" si="98"/>
        <v>-1.9350074413929681E-2</v>
      </c>
      <c r="G2951">
        <f t="shared" si="99"/>
        <v>-3.1840661978297102E-2</v>
      </c>
    </row>
    <row r="2952" spans="1:144" ht="12.5" customHeight="1" x14ac:dyDescent="0.35">
      <c r="A2952" t="s">
        <v>157</v>
      </c>
      <c r="E2952">
        <v>5.2524787459097E-3</v>
      </c>
      <c r="F2952">
        <f t="shared" si="98"/>
        <v>-1.9368325689691004E-2</v>
      </c>
      <c r="G2952">
        <f t="shared" si="99"/>
        <v>-3.1840661978297102E-2</v>
      </c>
    </row>
    <row r="2953" spans="1:144" ht="12.5" customHeight="1" x14ac:dyDescent="0.35">
      <c r="A2953" t="s">
        <v>157</v>
      </c>
      <c r="E2953">
        <v>9.9021055310710617E-3</v>
      </c>
      <c r="F2953">
        <f t="shared" si="98"/>
        <v>-1.9386576965452335E-2</v>
      </c>
      <c r="G2953">
        <f t="shared" si="99"/>
        <v>-3.1840661978297102E-2</v>
      </c>
    </row>
    <row r="2954" spans="1:144" ht="12.5" customHeight="1" x14ac:dyDescent="0.35">
      <c r="A2954" t="s">
        <v>157</v>
      </c>
      <c r="E2954">
        <v>-3.056913019907734E-3</v>
      </c>
      <c r="F2954">
        <f t="shared" si="98"/>
        <v>-1.9404828241213659E-2</v>
      </c>
      <c r="G2954">
        <f t="shared" si="99"/>
        <v>-3.1840661978297102E-2</v>
      </c>
    </row>
    <row r="2955" spans="1:144" ht="12.5" customHeight="1" x14ac:dyDescent="0.35">
      <c r="A2955" t="s">
        <v>157</v>
      </c>
      <c r="E2955">
        <v>-9.7846094955357475E-3</v>
      </c>
      <c r="F2955">
        <f t="shared" si="98"/>
        <v>-1.9423079516974986E-2</v>
      </c>
      <c r="G2955">
        <f t="shared" si="99"/>
        <v>-3.1840661978297102E-2</v>
      </c>
    </row>
    <row r="2956" spans="1:144" ht="12.5" customHeight="1" x14ac:dyDescent="0.35">
      <c r="A2956" t="s">
        <v>157</v>
      </c>
      <c r="E2956">
        <v>4.3536453719364085E-3</v>
      </c>
      <c r="F2956">
        <f t="shared" si="98"/>
        <v>-1.9441330792736314E-2</v>
      </c>
      <c r="G2956">
        <f t="shared" si="99"/>
        <v>-3.1840661978297102E-2</v>
      </c>
    </row>
    <row r="2957" spans="1:144" ht="12.5" customHeight="1" x14ac:dyDescent="0.35">
      <c r="A2957" t="s">
        <v>157</v>
      </c>
      <c r="E2957">
        <v>2.6162184135892757E-3</v>
      </c>
      <c r="F2957">
        <f t="shared" si="98"/>
        <v>-1.9459582068497641E-2</v>
      </c>
      <c r="G2957">
        <f t="shared" si="99"/>
        <v>-3.1840661978297102E-2</v>
      </c>
    </row>
    <row r="2958" spans="1:144" ht="12.5" customHeight="1" x14ac:dyDescent="0.35">
      <c r="A2958" t="s">
        <v>157</v>
      </c>
      <c r="E2958">
        <v>3.583095786444267E-3</v>
      </c>
      <c r="F2958">
        <f t="shared" si="98"/>
        <v>-1.9477833344258969E-2</v>
      </c>
      <c r="G2958">
        <f t="shared" si="99"/>
        <v>-3.1840661978297102E-2</v>
      </c>
    </row>
    <row r="2959" spans="1:144" ht="12.5" customHeight="1" x14ac:dyDescent="0.35">
      <c r="A2959" t="s">
        <v>157</v>
      </c>
      <c r="E2959">
        <v>4.8826978480912544E-3</v>
      </c>
      <c r="F2959">
        <f t="shared" si="98"/>
        <v>-1.9496084620020296E-2</v>
      </c>
      <c r="G2959">
        <f t="shared" si="99"/>
        <v>-3.1840661978297102E-2</v>
      </c>
    </row>
    <row r="2960" spans="1:144" ht="12.5" customHeight="1" x14ac:dyDescent="0.35">
      <c r="A2960" t="s">
        <v>157</v>
      </c>
      <c r="E2960">
        <v>-2.2703989020235269E-3</v>
      </c>
      <c r="F2960">
        <f t="shared" si="98"/>
        <v>-1.9514335895781623E-2</v>
      </c>
      <c r="G2960">
        <f t="shared" si="99"/>
        <v>-3.1840661978297102E-2</v>
      </c>
    </row>
    <row r="2961" spans="1:144" ht="12.5" customHeight="1" x14ac:dyDescent="0.35">
      <c r="A2961" t="s">
        <v>157</v>
      </c>
      <c r="E2961">
        <v>7.1939772151126023E-4</v>
      </c>
      <c r="F2961">
        <f t="shared" si="98"/>
        <v>-1.952970454634859E-2</v>
      </c>
      <c r="G2961">
        <f t="shared" si="99"/>
        <v>-3.2134145932642709E-2</v>
      </c>
    </row>
    <row r="2962" spans="1:144" ht="12.5" customHeight="1" x14ac:dyDescent="0.35">
      <c r="A2962" t="s">
        <v>157</v>
      </c>
      <c r="E2962">
        <v>-5.8796177653901698E-3</v>
      </c>
      <c r="F2962">
        <f t="shared" si="98"/>
        <v>-1.9545073196915556E-2</v>
      </c>
      <c r="G2962">
        <f t="shared" si="99"/>
        <v>-3.2134145932642709E-2</v>
      </c>
    </row>
    <row r="2963" spans="1:144" ht="12.5" customHeight="1" x14ac:dyDescent="0.35">
      <c r="A2963" t="s">
        <v>157</v>
      </c>
      <c r="E2963">
        <v>-1.179520024943246E-2</v>
      </c>
      <c r="F2963">
        <f t="shared" si="98"/>
        <v>-1.9560441847482523E-2</v>
      </c>
      <c r="G2963">
        <f t="shared" si="99"/>
        <v>-3.2134145932642709E-2</v>
      </c>
    </row>
    <row r="2964" spans="1:144" ht="12.5" customHeight="1" x14ac:dyDescent="0.35">
      <c r="A2964" t="s">
        <v>157</v>
      </c>
      <c r="E2964">
        <v>1.6597125939861366E-3</v>
      </c>
      <c r="F2964">
        <f t="shared" si="98"/>
        <v>-1.957581049804949E-2</v>
      </c>
      <c r="G2964">
        <f t="shared" si="99"/>
        <v>-3.2134145932642709E-2</v>
      </c>
    </row>
    <row r="2965" spans="1:144" ht="12.5" customHeight="1" x14ac:dyDescent="0.35">
      <c r="A2965" t="s">
        <v>157</v>
      </c>
      <c r="E2965">
        <v>-1.6327736384937619E-2</v>
      </c>
      <c r="F2965">
        <f t="shared" si="98"/>
        <v>-1.959117914861646E-2</v>
      </c>
      <c r="G2965">
        <f t="shared" si="99"/>
        <v>-3.2134145932642709E-2</v>
      </c>
    </row>
    <row r="2966" spans="1:144" ht="12.5" customHeight="1" x14ac:dyDescent="0.35">
      <c r="A2966" t="s">
        <v>157</v>
      </c>
      <c r="E2966">
        <v>6.2869434275779337E-3</v>
      </c>
      <c r="F2966">
        <f t="shared" si="98"/>
        <v>-1.9606547799183426E-2</v>
      </c>
      <c r="G2966">
        <f t="shared" si="99"/>
        <v>-3.2134145932642709E-2</v>
      </c>
    </row>
    <row r="2967" spans="1:144" ht="12.5" customHeight="1" x14ac:dyDescent="0.35">
      <c r="A2967" t="s">
        <v>157</v>
      </c>
      <c r="E2967">
        <v>-3.8628892493395206E-4</v>
      </c>
      <c r="F2967">
        <f t="shared" si="98"/>
        <v>-1.9621916449750393E-2</v>
      </c>
      <c r="G2967">
        <f t="shared" si="99"/>
        <v>-3.2134145932642709E-2</v>
      </c>
    </row>
    <row r="2968" spans="1:144" ht="12.5" customHeight="1" x14ac:dyDescent="0.35">
      <c r="A2968" t="s">
        <v>157</v>
      </c>
      <c r="E2968">
        <v>-4.7064291945019016E-2</v>
      </c>
      <c r="F2968">
        <f t="shared" si="98"/>
        <v>-1.9637285100317359E-2</v>
      </c>
      <c r="G2968">
        <f t="shared" si="99"/>
        <v>-3.2134145932642709E-2</v>
      </c>
    </row>
    <row r="2969" spans="1:144" ht="12.5" customHeight="1" x14ac:dyDescent="0.35">
      <c r="A2969" t="s">
        <v>157</v>
      </c>
      <c r="E2969">
        <v>7.2670778015180466E-3</v>
      </c>
      <c r="F2969">
        <f t="shared" si="98"/>
        <v>-1.9313571862407026E-2</v>
      </c>
      <c r="G2969">
        <f t="shared" si="99"/>
        <v>-3.1478194598137055E-2</v>
      </c>
    </row>
    <row r="2970" spans="1:144" ht="12.5" customHeight="1" x14ac:dyDescent="0.35">
      <c r="A2970" t="s">
        <v>157</v>
      </c>
      <c r="E2970">
        <v>-8.7631879047240825E-3</v>
      </c>
      <c r="F2970">
        <f t="shared" si="98"/>
        <v>-1.9331823138168353E-2</v>
      </c>
      <c r="G2970">
        <f t="shared" si="99"/>
        <v>-3.1478194598137055E-2</v>
      </c>
    </row>
    <row r="2971" spans="1:144" s="3" customFormat="1" x14ac:dyDescent="0.35">
      <c r="A2971" s="3" t="s">
        <v>158</v>
      </c>
      <c r="B2971" s="3" cm="1">
        <f t="array" ref="B2971">_xlfn.STDEV.S(_xlfn._xlws.FILTER($E$2013:$E$3011, $A$2013:$A$3011="2021-12"))</f>
        <v>1.2207493633644257E-2</v>
      </c>
      <c r="C2971" s="3" cm="1">
        <f t="array" ref="C2971">AVERAGE(_xlfn._xlws.FILTER($E$2013:$E$3011, $A$2013:$A$3011="2021-12"))</f>
        <v>3.035287670567557E-3</v>
      </c>
      <c r="D2971" s="3" cm="1">
        <f t="array" ref="D2971">_xlfn.PERCENTILE.EXC(_xlfn._xlws.FILTER($E$2490:$E$3818, $A$2490:$A$3818="2021-12"), 0.05)</f>
        <v>-1.6429875860617841E-2</v>
      </c>
      <c r="E2971" s="3">
        <v>2.136965625235503E-2</v>
      </c>
      <c r="F2971" s="3">
        <f t="shared" si="98"/>
        <v>-1.9350074413929681E-2</v>
      </c>
      <c r="G2971" s="3">
        <f t="shared" si="99"/>
        <v>-3.1478194598137055E-2</v>
      </c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/>
      <c r="EK2971"/>
      <c r="EL2971"/>
      <c r="EM2971"/>
      <c r="EN2971"/>
    </row>
    <row r="2972" spans="1:144" ht="12.5" customHeight="1" x14ac:dyDescent="0.35">
      <c r="A2972" t="s">
        <v>158</v>
      </c>
      <c r="E2972">
        <v>-1.399559896193864E-2</v>
      </c>
      <c r="F2972">
        <f t="shared" si="98"/>
        <v>-1.9368325689691004E-2</v>
      </c>
      <c r="G2972">
        <f t="shared" si="99"/>
        <v>-3.1478194598137055E-2</v>
      </c>
    </row>
    <row r="2973" spans="1:144" ht="12.5" customHeight="1" x14ac:dyDescent="0.35">
      <c r="A2973" t="s">
        <v>158</v>
      </c>
      <c r="E2973">
        <v>-2.5750862452104191E-3</v>
      </c>
      <c r="F2973">
        <f t="shared" si="98"/>
        <v>-1.9386576965452335E-2</v>
      </c>
      <c r="G2973">
        <f t="shared" si="99"/>
        <v>-3.1478194598137055E-2</v>
      </c>
    </row>
    <row r="2974" spans="1:144" ht="12.5" customHeight="1" x14ac:dyDescent="0.35">
      <c r="A2974" t="s">
        <v>158</v>
      </c>
      <c r="E2974">
        <v>2.1342777632347893E-2</v>
      </c>
      <c r="F2974">
        <f t="shared" si="98"/>
        <v>-1.9404828241213659E-2</v>
      </c>
      <c r="G2974">
        <f t="shared" si="99"/>
        <v>-3.1478194598137055E-2</v>
      </c>
    </row>
    <row r="2975" spans="1:144" ht="12.5" customHeight="1" x14ac:dyDescent="0.35">
      <c r="A2975" t="s">
        <v>158</v>
      </c>
      <c r="E2975">
        <v>2.3862322598254482E-2</v>
      </c>
      <c r="F2975">
        <f t="shared" si="98"/>
        <v>-1.9423079516974986E-2</v>
      </c>
      <c r="G2975">
        <f t="shared" si="99"/>
        <v>-3.1478194598137055E-2</v>
      </c>
    </row>
    <row r="2976" spans="1:144" ht="12.5" customHeight="1" x14ac:dyDescent="0.35">
      <c r="A2976" t="s">
        <v>158</v>
      </c>
      <c r="E2976">
        <v>-1.4327602477431237E-2</v>
      </c>
      <c r="F2976">
        <f t="shared" si="98"/>
        <v>-1.9441330792736314E-2</v>
      </c>
      <c r="G2976">
        <f t="shared" si="99"/>
        <v>-3.1478194598137055E-2</v>
      </c>
    </row>
    <row r="2977" spans="1:144" ht="12.5" customHeight="1" x14ac:dyDescent="0.35">
      <c r="A2977" t="s">
        <v>158</v>
      </c>
      <c r="E2977">
        <v>2.443564517327751E-3</v>
      </c>
      <c r="F2977">
        <f t="shared" si="98"/>
        <v>-1.9459582068497641E-2</v>
      </c>
      <c r="G2977">
        <f t="shared" si="99"/>
        <v>-3.1478194598137055E-2</v>
      </c>
    </row>
    <row r="2978" spans="1:144" ht="12.5" customHeight="1" x14ac:dyDescent="0.35">
      <c r="A2978" t="s">
        <v>158</v>
      </c>
      <c r="E2978">
        <v>-3.5637370699516439E-3</v>
      </c>
      <c r="F2978">
        <f t="shared" si="98"/>
        <v>-1.9477833344258969E-2</v>
      </c>
      <c r="G2978">
        <f t="shared" si="99"/>
        <v>-3.1478194598137055E-2</v>
      </c>
    </row>
    <row r="2979" spans="1:144" ht="12.5" customHeight="1" x14ac:dyDescent="0.35">
      <c r="A2979" t="s">
        <v>158</v>
      </c>
      <c r="E2979">
        <v>-6.4182826903612447E-3</v>
      </c>
      <c r="F2979">
        <f t="shared" si="98"/>
        <v>-1.9496084620020296E-2</v>
      </c>
      <c r="G2979">
        <f t="shared" si="99"/>
        <v>-3.1478194598137055E-2</v>
      </c>
    </row>
    <row r="2980" spans="1:144" ht="12.5" customHeight="1" x14ac:dyDescent="0.35">
      <c r="A2980" t="s">
        <v>158</v>
      </c>
      <c r="E2980">
        <v>2.1277521282944879E-4</v>
      </c>
      <c r="F2980">
        <f t="shared" si="98"/>
        <v>-1.9514335895781623E-2</v>
      </c>
      <c r="G2980">
        <f t="shared" si="99"/>
        <v>-3.1478194598137055E-2</v>
      </c>
    </row>
    <row r="2981" spans="1:144" ht="12.5" customHeight="1" x14ac:dyDescent="0.35">
      <c r="A2981" t="s">
        <v>158</v>
      </c>
      <c r="E2981">
        <v>4.1114055218506047E-3</v>
      </c>
      <c r="F2981">
        <f t="shared" si="98"/>
        <v>-1.952970454634859E-2</v>
      </c>
      <c r="G2981">
        <f t="shared" si="99"/>
        <v>-3.1769996029901819E-2</v>
      </c>
    </row>
    <row r="2982" spans="1:144" ht="12.5" customHeight="1" x14ac:dyDescent="0.35">
      <c r="A2982" t="s">
        <v>158</v>
      </c>
      <c r="E2982">
        <v>4.3541031194660887E-3</v>
      </c>
      <c r="F2982">
        <f t="shared" si="98"/>
        <v>-1.9545073196915556E-2</v>
      </c>
      <c r="G2982">
        <f t="shared" si="99"/>
        <v>-3.1769996029901819E-2</v>
      </c>
    </row>
    <row r="2983" spans="1:144" ht="12.5" customHeight="1" x14ac:dyDescent="0.35">
      <c r="A2983" t="s">
        <v>158</v>
      </c>
      <c r="E2983">
        <v>-6.4063776987826693E-3</v>
      </c>
      <c r="F2983">
        <f t="shared" si="98"/>
        <v>-1.9560441847482523E-2</v>
      </c>
      <c r="G2983">
        <f t="shared" si="99"/>
        <v>-3.1769996029901819E-2</v>
      </c>
    </row>
    <row r="2984" spans="1:144" ht="12.5" customHeight="1" x14ac:dyDescent="0.35">
      <c r="A2984" t="s">
        <v>158</v>
      </c>
      <c r="E2984">
        <v>-1.6429875860617841E-2</v>
      </c>
      <c r="F2984">
        <f t="shared" si="98"/>
        <v>-1.957581049804949E-2</v>
      </c>
      <c r="G2984">
        <f t="shared" si="99"/>
        <v>-3.1769996029901819E-2</v>
      </c>
    </row>
    <row r="2985" spans="1:144" ht="12.5" customHeight="1" x14ac:dyDescent="0.35">
      <c r="A2985" t="s">
        <v>158</v>
      </c>
      <c r="E2985">
        <v>1.8002775014161105E-2</v>
      </c>
      <c r="F2985">
        <f t="shared" si="98"/>
        <v>-1.959117914861646E-2</v>
      </c>
      <c r="G2985">
        <f t="shared" si="99"/>
        <v>-3.1769996029901819E-2</v>
      </c>
    </row>
    <row r="2986" spans="1:144" ht="12.5" customHeight="1" x14ac:dyDescent="0.35">
      <c r="A2986" t="s">
        <v>158</v>
      </c>
      <c r="E2986">
        <v>6.5305386818382298E-3</v>
      </c>
      <c r="F2986">
        <f t="shared" si="98"/>
        <v>-1.9606547799183426E-2</v>
      </c>
      <c r="G2986">
        <f t="shared" si="99"/>
        <v>-3.1769996029901819E-2</v>
      </c>
    </row>
    <row r="2987" spans="1:144" ht="12.5" customHeight="1" x14ac:dyDescent="0.35">
      <c r="A2987" t="s">
        <v>158</v>
      </c>
      <c r="E2987">
        <v>6.9939173527525196E-3</v>
      </c>
      <c r="F2987">
        <f t="shared" si="98"/>
        <v>-1.9621916449750393E-2</v>
      </c>
      <c r="G2987">
        <f t="shared" si="99"/>
        <v>-3.1769996029901819E-2</v>
      </c>
    </row>
    <row r="2988" spans="1:144" ht="12.5" customHeight="1" x14ac:dyDescent="0.35">
      <c r="A2988" t="s">
        <v>158</v>
      </c>
      <c r="E2988">
        <v>1.2068842732406524E-2</v>
      </c>
      <c r="F2988">
        <f t="shared" si="98"/>
        <v>-1.9637285100317359E-2</v>
      </c>
      <c r="G2988">
        <f t="shared" si="99"/>
        <v>-3.1769996029901819E-2</v>
      </c>
    </row>
    <row r="2989" spans="1:144" ht="12.5" customHeight="1" x14ac:dyDescent="0.35">
      <c r="A2989" t="s">
        <v>158</v>
      </c>
      <c r="E2989">
        <v>9.4348109487600462E-5</v>
      </c>
      <c r="F2989">
        <f t="shared" si="98"/>
        <v>-1.9652653750884326E-2</v>
      </c>
      <c r="G2989">
        <f t="shared" si="99"/>
        <v>-3.1769996029901819E-2</v>
      </c>
    </row>
    <row r="2990" spans="1:144" s="3" customFormat="1" x14ac:dyDescent="0.35">
      <c r="A2990" s="3" t="s">
        <v>159</v>
      </c>
      <c r="B2990" s="3" cm="1">
        <f t="array" ref="B2990">_xlfn.STDEV.S(_xlfn._xlws.FILTER($E$2013:$E$3011, $A$2013:$A$3011="2022-01"))</f>
        <v>1.4842055430514187E-2</v>
      </c>
      <c r="C2990" s="3" cm="1">
        <f t="array" ref="C2990">AVERAGE(_xlfn._xlws.FILTER($E$2013:$E$3011, $A$2013:$A$3011="2022-01"))</f>
        <v>-9.8373066696511697E-4</v>
      </c>
      <c r="D2990" s="3" cm="1">
        <f t="array" ref="D2990">_xlfn.PERCENTILE.EXC(_xlfn._xlws.FILTER($E$2490:$E$3818, $A$2490:$A$3818="2022-01"), 0.05)</f>
        <v>-3.9932931297269943E-2</v>
      </c>
      <c r="E2990" s="3">
        <v>2.1989733763578934E-2</v>
      </c>
      <c r="F2990" s="3">
        <f t="shared" si="98"/>
        <v>-1.9668022401451296E-2</v>
      </c>
      <c r="G2990" s="3">
        <f t="shared" si="99"/>
        <v>-3.1769996029901819E-2</v>
      </c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/>
      <c r="EH2990"/>
      <c r="EI2990"/>
      <c r="EJ2990"/>
      <c r="EK2990"/>
      <c r="EL2990"/>
      <c r="EM2990"/>
      <c r="EN2990"/>
    </row>
    <row r="2991" spans="1:144" ht="12.5" customHeight="1" x14ac:dyDescent="0.35">
      <c r="A2991" t="s">
        <v>159</v>
      </c>
      <c r="E2991">
        <v>7.4069911580018138E-3</v>
      </c>
      <c r="F2991">
        <f t="shared" si="98"/>
        <v>-1.9683391052018259E-2</v>
      </c>
      <c r="G2991">
        <f t="shared" si="99"/>
        <v>-3.1769996029901819E-2</v>
      </c>
    </row>
    <row r="2992" spans="1:144" ht="12.5" customHeight="1" x14ac:dyDescent="0.35">
      <c r="A2992" t="s">
        <v>159</v>
      </c>
      <c r="E2992">
        <v>-1.8165848720433423E-2</v>
      </c>
      <c r="F2992">
        <f t="shared" si="98"/>
        <v>-1.9698759702585226E-2</v>
      </c>
      <c r="G2992">
        <f t="shared" si="99"/>
        <v>-3.1769996029901819E-2</v>
      </c>
    </row>
    <row r="2993" spans="1:7" ht="12.5" customHeight="1" x14ac:dyDescent="0.35">
      <c r="A2993" t="s">
        <v>159</v>
      </c>
      <c r="E2993">
        <v>-1.3467416103846504E-3</v>
      </c>
      <c r="F2993">
        <f t="shared" si="98"/>
        <v>-1.9714128353152196E-2</v>
      </c>
      <c r="G2993">
        <f t="shared" si="99"/>
        <v>-3.1769996029901819E-2</v>
      </c>
    </row>
    <row r="2994" spans="1:7" ht="12.5" customHeight="1" x14ac:dyDescent="0.35">
      <c r="A2994" t="s">
        <v>159</v>
      </c>
      <c r="E2994">
        <v>-9.6325831422293846E-3</v>
      </c>
      <c r="F2994">
        <f t="shared" si="98"/>
        <v>-1.9729497003719162E-2</v>
      </c>
      <c r="G2994">
        <f t="shared" si="99"/>
        <v>-3.1769996029901819E-2</v>
      </c>
    </row>
    <row r="2995" spans="1:7" ht="12.5" customHeight="1" x14ac:dyDescent="0.35">
      <c r="A2995" t="s">
        <v>159</v>
      </c>
      <c r="E2995">
        <v>6.6231862583063421E-3</v>
      </c>
      <c r="F2995">
        <f t="shared" si="98"/>
        <v>-1.9744865654286129E-2</v>
      </c>
      <c r="G2995">
        <f t="shared" si="99"/>
        <v>-3.1769996029901819E-2</v>
      </c>
    </row>
    <row r="2996" spans="1:7" ht="12.5" customHeight="1" x14ac:dyDescent="0.35">
      <c r="A2996" t="s">
        <v>159</v>
      </c>
      <c r="E2996">
        <v>6.4717272512138319E-3</v>
      </c>
      <c r="F2996">
        <f t="shared" si="98"/>
        <v>-1.9760234304853096E-2</v>
      </c>
      <c r="G2996">
        <f t="shared" si="99"/>
        <v>-3.1769996029901819E-2</v>
      </c>
    </row>
    <row r="2997" spans="1:7" ht="12.5" customHeight="1" x14ac:dyDescent="0.35">
      <c r="A2997" t="s">
        <v>159</v>
      </c>
      <c r="E2997">
        <v>4.6865824743451663E-3</v>
      </c>
      <c r="F2997">
        <f t="shared" si="98"/>
        <v>-1.9775602955420062E-2</v>
      </c>
      <c r="G2997">
        <f t="shared" si="99"/>
        <v>-3.1769996029901819E-2</v>
      </c>
    </row>
    <row r="2998" spans="1:7" ht="12.5" customHeight="1" x14ac:dyDescent="0.35">
      <c r="A2998" t="s">
        <v>159</v>
      </c>
      <c r="E2998">
        <v>-1.085039083360927E-2</v>
      </c>
      <c r="F2998">
        <f t="shared" si="98"/>
        <v>-1.9790971605987032E-2</v>
      </c>
      <c r="G2998">
        <f t="shared" si="99"/>
        <v>-3.1769996029901819E-2</v>
      </c>
    </row>
    <row r="2999" spans="1:7" ht="12.5" customHeight="1" x14ac:dyDescent="0.35">
      <c r="A2999" t="s">
        <v>159</v>
      </c>
      <c r="E2999">
        <v>5.2360576836351074E-3</v>
      </c>
      <c r="F2999">
        <f t="shared" si="98"/>
        <v>-1.9806340256553995E-2</v>
      </c>
      <c r="G2999">
        <f t="shared" si="99"/>
        <v>-3.1769996029901819E-2</v>
      </c>
    </row>
    <row r="3000" spans="1:7" ht="12.5" customHeight="1" x14ac:dyDescent="0.35">
      <c r="A3000" t="s">
        <v>159</v>
      </c>
      <c r="E3000">
        <v>-7.4415117313309442E-3</v>
      </c>
      <c r="F3000">
        <f t="shared" si="98"/>
        <v>-1.9821708907120966E-2</v>
      </c>
      <c r="G3000">
        <f t="shared" si="99"/>
        <v>-3.1769996029901819E-2</v>
      </c>
    </row>
    <row r="3001" spans="1:7" ht="12.5" customHeight="1" x14ac:dyDescent="0.35">
      <c r="A3001" t="s">
        <v>159</v>
      </c>
      <c r="E3001">
        <v>-4.0992412945885619E-3</v>
      </c>
      <c r="F3001">
        <f t="shared" si="98"/>
        <v>-1.9827158440139863E-2</v>
      </c>
      <c r="G3001">
        <f t="shared" si="99"/>
        <v>-3.2068703207971339E-2</v>
      </c>
    </row>
    <row r="3002" spans="1:7" ht="12.5" customHeight="1" x14ac:dyDescent="0.35">
      <c r="A3002" t="s">
        <v>159</v>
      </c>
      <c r="E3002">
        <v>7.2496465647210271E-3</v>
      </c>
      <c r="F3002">
        <f t="shared" si="98"/>
        <v>-1.9832607973158757E-2</v>
      </c>
      <c r="G3002">
        <f t="shared" si="99"/>
        <v>-3.2068703207971339E-2</v>
      </c>
    </row>
    <row r="3003" spans="1:7" ht="12.5" customHeight="1" x14ac:dyDescent="0.35">
      <c r="A3003" t="s">
        <v>159</v>
      </c>
      <c r="E3003">
        <v>-1.8619866750364433E-2</v>
      </c>
      <c r="F3003">
        <f t="shared" si="98"/>
        <v>-1.9838057506177655E-2</v>
      </c>
      <c r="G3003">
        <f t="shared" si="99"/>
        <v>-3.2068703207971339E-2</v>
      </c>
    </row>
    <row r="3004" spans="1:7" ht="12.5" customHeight="1" x14ac:dyDescent="0.35">
      <c r="A3004" t="s">
        <v>159</v>
      </c>
      <c r="E3004">
        <v>-4.105467153658076E-2</v>
      </c>
      <c r="F3004">
        <f t="shared" si="98"/>
        <v>-1.9843507039196549E-2</v>
      </c>
      <c r="G3004">
        <f t="shared" si="99"/>
        <v>-3.2068703207971339E-2</v>
      </c>
    </row>
    <row r="3005" spans="1:7" ht="12.5" customHeight="1" x14ac:dyDescent="0.35">
      <c r="A3005" t="s">
        <v>159</v>
      </c>
      <c r="E3005">
        <v>2.1533882443602096E-3</v>
      </c>
      <c r="F3005">
        <f t="shared" si="98"/>
        <v>-1.959117914861646E-2</v>
      </c>
      <c r="G3005">
        <f t="shared" si="99"/>
        <v>-3.153787914223484E-2</v>
      </c>
    </row>
    <row r="3006" spans="1:7" ht="12.5" customHeight="1" x14ac:dyDescent="0.35">
      <c r="A3006" t="s">
        <v>159</v>
      </c>
      <c r="E3006">
        <v>2.2427563271908237E-2</v>
      </c>
      <c r="F3006">
        <f t="shared" si="98"/>
        <v>-1.9606547799183426E-2</v>
      </c>
      <c r="G3006">
        <f t="shared" si="99"/>
        <v>-3.153787914223484E-2</v>
      </c>
    </row>
    <row r="3007" spans="1:7" ht="12.5" customHeight="1" x14ac:dyDescent="0.35">
      <c r="A3007" t="s">
        <v>159</v>
      </c>
      <c r="E3007">
        <v>9.8397630492562099E-3</v>
      </c>
      <c r="F3007">
        <f t="shared" si="98"/>
        <v>-1.9621916449750393E-2</v>
      </c>
      <c r="G3007">
        <f t="shared" si="99"/>
        <v>-3.153787914223484E-2</v>
      </c>
    </row>
    <row r="3008" spans="1:7" ht="12.5" customHeight="1" x14ac:dyDescent="0.35">
      <c r="A3008" t="s">
        <v>159</v>
      </c>
      <c r="E3008">
        <v>-1.1864407688957862E-2</v>
      </c>
      <c r="F3008">
        <f t="shared" si="98"/>
        <v>-1.9637285100317359E-2</v>
      </c>
      <c r="G3008">
        <f t="shared" si="99"/>
        <v>-3.153787914223484E-2</v>
      </c>
    </row>
    <row r="3009" spans="1:144" ht="12.5" customHeight="1" x14ac:dyDescent="0.35">
      <c r="A3009" t="s">
        <v>159</v>
      </c>
      <c r="E3009">
        <v>9.3160102498500673E-3</v>
      </c>
      <c r="F3009">
        <f t="shared" si="98"/>
        <v>-1.9652653750884326E-2</v>
      </c>
      <c r="G3009">
        <f t="shared" si="99"/>
        <v>-3.153787914223484E-2</v>
      </c>
    </row>
    <row r="3010" spans="1:144" s="3" customFormat="1" x14ac:dyDescent="0.35">
      <c r="A3010" s="3" t="s">
        <v>160</v>
      </c>
      <c r="B3010" s="3" cm="1">
        <f t="array" ref="B3010">_xlfn.STDEV.S(_xlfn._xlws.FILTER($E$2013:$E$3011, $A$2013:$A$3011="2022-02"))</f>
        <v>6.5093690731961211E-3</v>
      </c>
      <c r="C3010" s="3" cm="1">
        <f t="array" ref="C3010">AVERAGE(_xlfn._xlws.FILTER($E$2013:$E$3011, $A$2013:$A$3011="2022-02"))</f>
        <v>1.0602805518741345E-2</v>
      </c>
      <c r="D3010" s="3" cm="1">
        <f t="array" ref="D3010">_xlfn.PERCENTILE.EXC(_xlfn._xlws.FILTER($E$2490:$E$3818, $A$2490:$A$3818="2022-02"), 0.05)</f>
        <v>-4.1224159962709755E-2</v>
      </c>
      <c r="E3010" s="3">
        <v>1.5205624531644313E-2</v>
      </c>
      <c r="F3010" s="3">
        <f t="shared" si="98"/>
        <v>-1.9668022401451296E-2</v>
      </c>
      <c r="G3010" s="3">
        <f t="shared" si="99"/>
        <v>-3.153787914223484E-2</v>
      </c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</row>
    <row r="3011" spans="1:144" ht="12.5" customHeight="1" x14ac:dyDescent="0.35">
      <c r="A3011" t="s">
        <v>160</v>
      </c>
      <c r="E3011">
        <v>5.9999865058383787E-3</v>
      </c>
      <c r="F3011">
        <f t="shared" si="98"/>
        <v>-1.9683391052018259E-2</v>
      </c>
      <c r="G3011">
        <f t="shared" si="99"/>
        <v>-3.153787914223484E-2</v>
      </c>
    </row>
    <row r="3012" spans="1:144" ht="12.5" customHeight="1" x14ac:dyDescent="0.35">
      <c r="A3012" t="s">
        <v>160</v>
      </c>
      <c r="E3012">
        <v>-1.1005350102610464E-2</v>
      </c>
      <c r="F3012">
        <f t="shared" ref="F3012:F3075" si="100">_xlfn.PERCENTILE.EXC(E3012:E6827,0.05)</f>
        <v>-1.9698759702585226E-2</v>
      </c>
      <c r="G3012">
        <f t="shared" ref="G3012:G3075" si="101">AVERAGEIFS(E3012:E6828,E3012:E6828,"&lt;=" &amp; F3012)</f>
        <v>-3.153787914223484E-2</v>
      </c>
    </row>
    <row r="3013" spans="1:144" ht="12.5" customHeight="1" x14ac:dyDescent="0.35">
      <c r="A3013" t="s">
        <v>160</v>
      </c>
      <c r="E3013">
        <v>-1.8080095722986921E-2</v>
      </c>
      <c r="F3013">
        <f t="shared" si="100"/>
        <v>-1.9714128353152196E-2</v>
      </c>
      <c r="G3013">
        <f t="shared" si="101"/>
        <v>-3.153787914223484E-2</v>
      </c>
    </row>
    <row r="3014" spans="1:144" ht="12.5" customHeight="1" x14ac:dyDescent="0.35">
      <c r="A3014" t="s">
        <v>160</v>
      </c>
      <c r="E3014">
        <v>-1.0377834460042382E-2</v>
      </c>
      <c r="F3014">
        <f t="shared" si="100"/>
        <v>-1.9729497003719162E-2</v>
      </c>
      <c r="G3014">
        <f t="shared" si="101"/>
        <v>-3.153787914223484E-2</v>
      </c>
    </row>
    <row r="3015" spans="1:144" ht="12.5" customHeight="1" x14ac:dyDescent="0.35">
      <c r="A3015" t="s">
        <v>160</v>
      </c>
      <c r="E3015">
        <v>3.1398950269746866E-3</v>
      </c>
      <c r="F3015">
        <f t="shared" si="100"/>
        <v>-1.9744865654286129E-2</v>
      </c>
      <c r="G3015">
        <f t="shared" si="101"/>
        <v>-3.153787914223484E-2</v>
      </c>
    </row>
    <row r="3016" spans="1:144" ht="12.5" customHeight="1" x14ac:dyDescent="0.35">
      <c r="A3016" t="s">
        <v>160</v>
      </c>
      <c r="E3016">
        <v>2.679466816315303E-2</v>
      </c>
      <c r="F3016">
        <f t="shared" si="100"/>
        <v>-1.9760234304853096E-2</v>
      </c>
      <c r="G3016">
        <f t="shared" si="101"/>
        <v>-3.153787914223484E-2</v>
      </c>
    </row>
    <row r="3017" spans="1:144" ht="12.5" customHeight="1" x14ac:dyDescent="0.35">
      <c r="A3017" t="s">
        <v>160</v>
      </c>
      <c r="E3017">
        <v>2.2537164456371051E-3</v>
      </c>
      <c r="F3017">
        <f t="shared" si="100"/>
        <v>-1.9775602955420062E-2</v>
      </c>
      <c r="G3017">
        <f t="shared" si="101"/>
        <v>-3.153787914223484E-2</v>
      </c>
    </row>
    <row r="3018" spans="1:144" ht="12.5" customHeight="1" x14ac:dyDescent="0.35">
      <c r="A3018" t="s">
        <v>160</v>
      </c>
      <c r="E3018">
        <v>-8.2760926842704655E-3</v>
      </c>
      <c r="F3018">
        <f t="shared" si="100"/>
        <v>-1.9790971605987032E-2</v>
      </c>
      <c r="G3018">
        <f t="shared" si="101"/>
        <v>-3.153787914223484E-2</v>
      </c>
    </row>
    <row r="3019" spans="1:144" ht="12.5" customHeight="1" x14ac:dyDescent="0.35">
      <c r="A3019" t="s">
        <v>160</v>
      </c>
      <c r="E3019">
        <v>-2.0632969598686698E-2</v>
      </c>
      <c r="F3019">
        <f t="shared" si="100"/>
        <v>-1.9806340256553995E-2</v>
      </c>
      <c r="G3019">
        <f t="shared" si="101"/>
        <v>-3.153787914223484E-2</v>
      </c>
    </row>
    <row r="3020" spans="1:144" ht="12.5" customHeight="1" x14ac:dyDescent="0.35">
      <c r="A3020" t="s">
        <v>160</v>
      </c>
      <c r="E3020">
        <v>2.0702684331959795E-2</v>
      </c>
      <c r="F3020">
        <f t="shared" si="100"/>
        <v>-1.9514335895781623E-2</v>
      </c>
      <c r="G3020">
        <f t="shared" si="101"/>
        <v>-3.1509913299662212E-2</v>
      </c>
    </row>
    <row r="3021" spans="1:144" ht="12.5" customHeight="1" x14ac:dyDescent="0.35">
      <c r="A3021" t="s">
        <v>160</v>
      </c>
      <c r="E3021">
        <v>4.9687322141618415E-5</v>
      </c>
      <c r="F3021">
        <f t="shared" si="100"/>
        <v>-1.952970454634859E-2</v>
      </c>
      <c r="G3021">
        <f t="shared" si="101"/>
        <v>-3.1817492207454022E-2</v>
      </c>
    </row>
    <row r="3022" spans="1:144" ht="12.5" customHeight="1" x14ac:dyDescent="0.35">
      <c r="A3022" t="s">
        <v>160</v>
      </c>
      <c r="E3022">
        <v>-1.1187957393167138E-2</v>
      </c>
      <c r="F3022">
        <f t="shared" si="100"/>
        <v>-1.9545073196915556E-2</v>
      </c>
      <c r="G3022">
        <f t="shared" si="101"/>
        <v>-3.1817492207454022E-2</v>
      </c>
    </row>
    <row r="3023" spans="1:144" ht="12.5" customHeight="1" x14ac:dyDescent="0.35">
      <c r="A3023" t="s">
        <v>160</v>
      </c>
      <c r="E3023">
        <v>-6.1110396538725572E-3</v>
      </c>
      <c r="F3023">
        <f t="shared" si="100"/>
        <v>-1.9560441847482523E-2</v>
      </c>
      <c r="G3023">
        <f t="shared" si="101"/>
        <v>-3.1817492207454022E-2</v>
      </c>
    </row>
    <row r="3024" spans="1:144" ht="12.5" customHeight="1" x14ac:dyDescent="0.35">
      <c r="A3024" t="s">
        <v>160</v>
      </c>
      <c r="E3024">
        <v>-1.7382006756698539E-2</v>
      </c>
      <c r="F3024">
        <f t="shared" si="100"/>
        <v>-1.957581049804949E-2</v>
      </c>
      <c r="G3024">
        <f t="shared" si="101"/>
        <v>-3.1817492207454022E-2</v>
      </c>
    </row>
    <row r="3025" spans="1:144" ht="12.5" customHeight="1" x14ac:dyDescent="0.35">
      <c r="A3025" t="s">
        <v>160</v>
      </c>
      <c r="E3025">
        <v>-2.3304031914122306E-4</v>
      </c>
      <c r="F3025">
        <f t="shared" si="100"/>
        <v>-1.959117914861646E-2</v>
      </c>
      <c r="G3025">
        <f t="shared" si="101"/>
        <v>-3.1817492207454022E-2</v>
      </c>
    </row>
    <row r="3026" spans="1:144" ht="12.5" customHeight="1" x14ac:dyDescent="0.35">
      <c r="A3026" t="s">
        <v>160</v>
      </c>
      <c r="E3026">
        <v>-3.4185279788533861E-3</v>
      </c>
      <c r="F3026">
        <f t="shared" si="100"/>
        <v>-1.9606547799183426E-2</v>
      </c>
      <c r="G3026">
        <f t="shared" si="101"/>
        <v>-3.1817492207454022E-2</v>
      </c>
    </row>
    <row r="3027" spans="1:144" ht="12.5" customHeight="1" x14ac:dyDescent="0.35">
      <c r="A3027" t="s">
        <v>160</v>
      </c>
      <c r="E3027">
        <v>-4.2307906823974124E-2</v>
      </c>
      <c r="F3027">
        <f t="shared" si="100"/>
        <v>-1.9621916449750393E-2</v>
      </c>
      <c r="G3027">
        <f t="shared" si="101"/>
        <v>-3.1817492207454022E-2</v>
      </c>
    </row>
    <row r="3028" spans="1:144" ht="12.5" customHeight="1" x14ac:dyDescent="0.35">
      <c r="A3028" t="s">
        <v>160</v>
      </c>
      <c r="E3028">
        <v>3.5269151623976189E-2</v>
      </c>
      <c r="F3028">
        <f t="shared" si="100"/>
        <v>-1.9295320586645699E-2</v>
      </c>
      <c r="G3028">
        <f t="shared" si="101"/>
        <v>-3.1233041670833704E-2</v>
      </c>
    </row>
    <row r="3029" spans="1:144" ht="12.5" customHeight="1" x14ac:dyDescent="0.35">
      <c r="A3029" t="s">
        <v>160</v>
      </c>
      <c r="E3029">
        <v>-1.3954027356722182E-2</v>
      </c>
      <c r="F3029">
        <f t="shared" si="100"/>
        <v>-1.9313571862407026E-2</v>
      </c>
      <c r="G3029">
        <f t="shared" si="101"/>
        <v>-3.1233041670833704E-2</v>
      </c>
    </row>
    <row r="3030" spans="1:144" s="3" customFormat="1" x14ac:dyDescent="0.35">
      <c r="A3030" s="3" t="s">
        <v>161</v>
      </c>
      <c r="B3030" s="3" cm="1">
        <f t="array" ref="B3030">_xlfn.STDEV.S(_xlfn._xlws.FILTER($E$2826:$E$3824, $A$2826:$A$3824="2022-03"))</f>
        <v>2.6619416868316148E-2</v>
      </c>
      <c r="C3030" s="3" cm="1">
        <f t="array" ref="C3030">AVERAGE(_xlfn._xlws.FILTER($E$2826:$E$3824, $A$2826:$A$3824="2022-03"))</f>
        <v>-6.8037849967341173E-4</v>
      </c>
      <c r="D3030" s="3" cm="1">
        <f t="array" ref="D3030">_xlfn.PERCENTILE.EXC(_xlfn._xlws.FILTER($E$2490:$E$3818, $A$2490:$A$3818="2022-03"), 0.05)</f>
        <v>-6.0084322943977309E-2</v>
      </c>
      <c r="E3030" s="3">
        <v>-4.2285995596260041E-2</v>
      </c>
      <c r="F3030" s="3">
        <f t="shared" si="100"/>
        <v>-1.9331823138168353E-2</v>
      </c>
      <c r="G3030" s="3">
        <f t="shared" si="101"/>
        <v>-3.1233041670833704E-2</v>
      </c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</row>
    <row r="3031" spans="1:144" ht="12.5" customHeight="1" x14ac:dyDescent="0.35">
      <c r="A3031" t="s">
        <v>161</v>
      </c>
      <c r="E3031">
        <v>6.9847878623320574E-3</v>
      </c>
      <c r="F3031">
        <f t="shared" si="100"/>
        <v>-1.8636274170659564E-2</v>
      </c>
      <c r="G3031">
        <f t="shared" si="101"/>
        <v>-3.0639793331969471E-2</v>
      </c>
    </row>
    <row r="3032" spans="1:144" ht="12.5" customHeight="1" x14ac:dyDescent="0.35">
      <c r="A3032" t="s">
        <v>161</v>
      </c>
      <c r="E3032">
        <v>-2.3736420572232967E-2</v>
      </c>
      <c r="F3032">
        <f t="shared" si="100"/>
        <v>-1.8693278193981287E-2</v>
      </c>
      <c r="G3032">
        <f t="shared" si="101"/>
        <v>-3.0639793331969471E-2</v>
      </c>
    </row>
    <row r="3033" spans="1:144" ht="12.5" customHeight="1" x14ac:dyDescent="0.35">
      <c r="A3033" t="s">
        <v>161</v>
      </c>
      <c r="E3033">
        <v>-6.4384630082924402E-2</v>
      </c>
      <c r="F3033">
        <f t="shared" si="100"/>
        <v>-1.7997824504930603E-2</v>
      </c>
      <c r="G3033">
        <f t="shared" si="101"/>
        <v>-3.0492942289453772E-2</v>
      </c>
    </row>
    <row r="3034" spans="1:144" ht="12.5" customHeight="1" x14ac:dyDescent="0.35">
      <c r="A3034" t="s">
        <v>161</v>
      </c>
      <c r="E3034">
        <v>-1.3650813408071921E-2</v>
      </c>
      <c r="F3034">
        <f t="shared" si="100"/>
        <v>-1.7954011948671609E-2</v>
      </c>
      <c r="G3034">
        <f t="shared" si="101"/>
        <v>-2.930299390349983E-2</v>
      </c>
    </row>
    <row r="3035" spans="1:144" ht="12.5" customHeight="1" x14ac:dyDescent="0.35">
      <c r="A3035" t="s">
        <v>161</v>
      </c>
      <c r="E3035">
        <v>7.9935866028519459E-3</v>
      </c>
      <c r="F3035">
        <f t="shared" si="100"/>
        <v>-1.7957783795679774E-2</v>
      </c>
      <c r="G3035">
        <f t="shared" si="101"/>
        <v>-2.930299390349983E-2</v>
      </c>
    </row>
    <row r="3036" spans="1:144" ht="12.5" customHeight="1" x14ac:dyDescent="0.35">
      <c r="A3036" t="s">
        <v>161</v>
      </c>
      <c r="E3036">
        <v>6.7143529484392839E-2</v>
      </c>
      <c r="F3036">
        <f t="shared" si="100"/>
        <v>-1.7961555642687938E-2</v>
      </c>
      <c r="G3036">
        <f t="shared" si="101"/>
        <v>-2.930299390349983E-2</v>
      </c>
    </row>
    <row r="3037" spans="1:144" ht="12.5" customHeight="1" x14ac:dyDescent="0.35">
      <c r="A3037" t="s">
        <v>161</v>
      </c>
      <c r="E3037">
        <v>-4.2883094388188943E-2</v>
      </c>
      <c r="F3037">
        <f t="shared" si="100"/>
        <v>-1.7965327489696103E-2</v>
      </c>
      <c r="G3037">
        <f t="shared" si="101"/>
        <v>-2.930299390349983E-2</v>
      </c>
    </row>
    <row r="3038" spans="1:144" ht="12.5" customHeight="1" x14ac:dyDescent="0.35">
      <c r="A3038" t="s">
        <v>161</v>
      </c>
      <c r="E3038">
        <v>6.7283989273596752E-3</v>
      </c>
      <c r="F3038">
        <f t="shared" si="100"/>
        <v>-1.787733370203683E-2</v>
      </c>
      <c r="G3038">
        <f t="shared" si="101"/>
        <v>-2.8662432665099019E-2</v>
      </c>
    </row>
    <row r="3039" spans="1:144" ht="12.5" customHeight="1" x14ac:dyDescent="0.35">
      <c r="A3039" t="s">
        <v>161</v>
      </c>
      <c r="E3039">
        <v>1.659247972494925E-2</v>
      </c>
      <c r="F3039">
        <f t="shared" si="100"/>
        <v>-1.7889269896297064E-2</v>
      </c>
      <c r="G3039">
        <f t="shared" si="101"/>
        <v>-2.8662432665099019E-2</v>
      </c>
    </row>
    <row r="3040" spans="1:144" ht="12.5" customHeight="1" x14ac:dyDescent="0.35">
      <c r="A3040" t="s">
        <v>161</v>
      </c>
      <c r="E3040">
        <v>3.1180661558757867E-3</v>
      </c>
      <c r="F3040">
        <f t="shared" si="100"/>
        <v>-1.7901206090557297E-2</v>
      </c>
      <c r="G3040">
        <f t="shared" si="101"/>
        <v>-2.8662432665099019E-2</v>
      </c>
    </row>
    <row r="3041" spans="1:144" ht="12.5" customHeight="1" x14ac:dyDescent="0.35">
      <c r="A3041" t="s">
        <v>161</v>
      </c>
      <c r="E3041">
        <v>3.2858235440818846E-2</v>
      </c>
      <c r="F3041">
        <f t="shared" si="100"/>
        <v>-1.7904977937565462E-2</v>
      </c>
      <c r="G3041">
        <f t="shared" si="101"/>
        <v>-2.8945622838113277E-2</v>
      </c>
    </row>
    <row r="3042" spans="1:144" ht="12.5" customHeight="1" x14ac:dyDescent="0.35">
      <c r="A3042" t="s">
        <v>161</v>
      </c>
      <c r="E3042">
        <v>-6.6629137372791669E-3</v>
      </c>
      <c r="F3042">
        <f t="shared" si="100"/>
        <v>-1.7908749784573626E-2</v>
      </c>
      <c r="G3042">
        <f t="shared" si="101"/>
        <v>-2.8945622838113277E-2</v>
      </c>
    </row>
    <row r="3043" spans="1:144" ht="12.5" customHeight="1" x14ac:dyDescent="0.35">
      <c r="A3043" t="s">
        <v>161</v>
      </c>
      <c r="E3043">
        <v>4.078131253131851E-3</v>
      </c>
      <c r="F3043">
        <f t="shared" si="100"/>
        <v>-1.7912521631581791E-2</v>
      </c>
      <c r="G3043">
        <f t="shared" si="101"/>
        <v>-2.8945622838113277E-2</v>
      </c>
    </row>
    <row r="3044" spans="1:144" ht="12.5" customHeight="1" x14ac:dyDescent="0.35">
      <c r="A3044" t="s">
        <v>161</v>
      </c>
      <c r="E3044">
        <v>2.9907145319219472E-3</v>
      </c>
      <c r="F3044">
        <f t="shared" si="100"/>
        <v>-1.7916293478589959E-2</v>
      </c>
      <c r="G3044">
        <f t="shared" si="101"/>
        <v>-2.8945622838113277E-2</v>
      </c>
    </row>
    <row r="3045" spans="1:144" ht="12.5" customHeight="1" x14ac:dyDescent="0.35">
      <c r="A3045" t="s">
        <v>161</v>
      </c>
      <c r="E3045">
        <v>9.7947578532279825E-3</v>
      </c>
      <c r="F3045">
        <f t="shared" si="100"/>
        <v>-1.7920065325598124E-2</v>
      </c>
      <c r="G3045">
        <f t="shared" si="101"/>
        <v>-2.8945622838113277E-2</v>
      </c>
    </row>
    <row r="3046" spans="1:144" ht="12.5" customHeight="1" x14ac:dyDescent="0.35">
      <c r="A3046" t="s">
        <v>161</v>
      </c>
      <c r="E3046">
        <v>-9.6321842342877752E-3</v>
      </c>
      <c r="F3046">
        <f t="shared" si="100"/>
        <v>-1.7923837172606288E-2</v>
      </c>
      <c r="G3046">
        <f t="shared" si="101"/>
        <v>-2.8945622838113277E-2</v>
      </c>
    </row>
    <row r="3047" spans="1:144" ht="12.5" customHeight="1" x14ac:dyDescent="0.35">
      <c r="A3047" t="s">
        <v>161</v>
      </c>
      <c r="E3047">
        <v>4.2225814042833702E-3</v>
      </c>
      <c r="F3047">
        <f t="shared" si="100"/>
        <v>-1.7927609019614453E-2</v>
      </c>
      <c r="G3047">
        <f t="shared" si="101"/>
        <v>-2.8945622838113277E-2</v>
      </c>
    </row>
    <row r="3048" spans="1:144" ht="12.5" customHeight="1" x14ac:dyDescent="0.35">
      <c r="A3048" t="s">
        <v>161</v>
      </c>
      <c r="E3048">
        <v>6.4240128339290558E-3</v>
      </c>
      <c r="F3048">
        <f t="shared" si="100"/>
        <v>-1.7931380866622618E-2</v>
      </c>
      <c r="G3048">
        <f t="shared" si="101"/>
        <v>-2.8945622838113277E-2</v>
      </c>
    </row>
    <row r="3049" spans="1:144" ht="12.5" customHeight="1" x14ac:dyDescent="0.35">
      <c r="A3049" t="s">
        <v>161</v>
      </c>
      <c r="E3049">
        <v>6.2454359923970306E-3</v>
      </c>
      <c r="F3049">
        <f t="shared" si="100"/>
        <v>-1.7935152713630782E-2</v>
      </c>
      <c r="G3049">
        <f t="shared" si="101"/>
        <v>-2.8945622838113277E-2</v>
      </c>
    </row>
    <row r="3050" spans="1:144" ht="12.5" customHeight="1" x14ac:dyDescent="0.35">
      <c r="A3050" t="s">
        <v>161</v>
      </c>
      <c r="E3050">
        <v>2.3806525996675033E-2</v>
      </c>
      <c r="F3050">
        <f t="shared" si="100"/>
        <v>-1.7938924560638947E-2</v>
      </c>
      <c r="G3050">
        <f t="shared" si="101"/>
        <v>-2.8945622838113277E-2</v>
      </c>
    </row>
    <row r="3051" spans="1:144" ht="12.5" customHeight="1" x14ac:dyDescent="0.35">
      <c r="A3051" t="s">
        <v>161</v>
      </c>
      <c r="E3051">
        <v>-3.0548391279887376E-4</v>
      </c>
      <c r="F3051">
        <f t="shared" si="100"/>
        <v>-1.7942696407647115E-2</v>
      </c>
      <c r="G3051">
        <f t="shared" si="101"/>
        <v>-2.8945622838113277E-2</v>
      </c>
    </row>
    <row r="3052" spans="1:144" ht="12.5" customHeight="1" x14ac:dyDescent="0.35">
      <c r="A3052" t="s">
        <v>161</v>
      </c>
      <c r="E3052">
        <v>-1.108841362459104E-2</v>
      </c>
      <c r="F3052">
        <f t="shared" si="100"/>
        <v>-1.794646825465528E-2</v>
      </c>
      <c r="G3052">
        <f t="shared" si="101"/>
        <v>-2.8945622838113277E-2</v>
      </c>
    </row>
    <row r="3053" spans="1:144" s="3" customFormat="1" x14ac:dyDescent="0.35">
      <c r="A3053" s="3" t="s">
        <v>162</v>
      </c>
      <c r="B3053" s="3" cm="1">
        <f t="array" ref="B3053">_xlfn.STDEV.S(_xlfn._xlws.FILTER($E$2826:$E$3824, $A$2826:$A$3824="2022-04"))</f>
        <v>1.107283085743627E-2</v>
      </c>
      <c r="C3053" s="3" cm="1">
        <f t="array" ref="C3053">AVERAGE(_xlfn._xlws.FILTER($E$2826:$E$3824, $A$2826:$A$3824="2022-04"))</f>
        <v>-1.6431672579598087E-3</v>
      </c>
      <c r="D3053" s="3" cm="1">
        <f t="array" ref="D3053">_xlfn.PERCENTILE.EXC(_xlfn._xlws.FILTER($E$2490:$E$3818, $A$2490:$A$3818="2022-04"), 0.05)</f>
        <v>-2.1432513205888466E-2</v>
      </c>
      <c r="E3053" s="3">
        <v>5.6607203207933764E-3</v>
      </c>
      <c r="F3053" s="3">
        <f t="shared" si="100"/>
        <v>-1.7950240101663444E-2</v>
      </c>
      <c r="G3053" s="3">
        <f t="shared" si="101"/>
        <v>-2.8945622838113277E-2</v>
      </c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/>
      <c r="EL3053"/>
      <c r="EM3053"/>
      <c r="EN3053"/>
    </row>
    <row r="3054" spans="1:144" ht="12.5" customHeight="1" x14ac:dyDescent="0.35">
      <c r="A3054" t="s">
        <v>162</v>
      </c>
      <c r="E3054">
        <v>4.9901509125855562E-4</v>
      </c>
      <c r="F3054">
        <f t="shared" si="100"/>
        <v>-1.7954011948671609E-2</v>
      </c>
      <c r="G3054">
        <f t="shared" si="101"/>
        <v>-2.8945622838113277E-2</v>
      </c>
    </row>
    <row r="3055" spans="1:144" ht="12.5" customHeight="1" x14ac:dyDescent="0.35">
      <c r="A3055" t="s">
        <v>162</v>
      </c>
      <c r="E3055">
        <v>-8.5958311507274843E-3</v>
      </c>
      <c r="F3055">
        <f t="shared" si="100"/>
        <v>-1.7957783795679774E-2</v>
      </c>
      <c r="G3055">
        <f t="shared" si="101"/>
        <v>-2.8945622838113277E-2</v>
      </c>
    </row>
    <row r="3056" spans="1:144" ht="12.5" customHeight="1" x14ac:dyDescent="0.35">
      <c r="A3056" t="s">
        <v>162</v>
      </c>
      <c r="E3056">
        <v>-2.0767533113323192E-2</v>
      </c>
      <c r="F3056">
        <f t="shared" si="100"/>
        <v>-1.7961555642687938E-2</v>
      </c>
      <c r="G3056">
        <f t="shared" si="101"/>
        <v>-2.8945622838113277E-2</v>
      </c>
    </row>
    <row r="3057" spans="1:144" ht="12.5" customHeight="1" x14ac:dyDescent="0.35">
      <c r="A3057" t="s">
        <v>162</v>
      </c>
      <c r="E3057">
        <v>-5.9343678689277564E-3</v>
      </c>
      <c r="F3057">
        <f t="shared" si="100"/>
        <v>-1.7865397507776597E-2</v>
      </c>
      <c r="G3057">
        <f t="shared" si="101"/>
        <v>-2.8870193179619433E-2</v>
      </c>
    </row>
    <row r="3058" spans="1:144" ht="12.5" customHeight="1" x14ac:dyDescent="0.35">
      <c r="A3058" t="s">
        <v>162</v>
      </c>
      <c r="E3058">
        <v>2.1027665852630346E-2</v>
      </c>
      <c r="F3058">
        <f t="shared" si="100"/>
        <v>-1.787733370203683E-2</v>
      </c>
      <c r="G3058">
        <f t="shared" si="101"/>
        <v>-2.8870193179619433E-2</v>
      </c>
    </row>
    <row r="3059" spans="1:144" ht="12.5" customHeight="1" x14ac:dyDescent="0.35">
      <c r="A3059" t="s">
        <v>162</v>
      </c>
      <c r="E3059">
        <v>-2.8106498729058484E-3</v>
      </c>
      <c r="F3059">
        <f t="shared" si="100"/>
        <v>-1.7889269896297064E-2</v>
      </c>
      <c r="G3059">
        <f t="shared" si="101"/>
        <v>-2.8870193179619433E-2</v>
      </c>
    </row>
    <row r="3060" spans="1:144" ht="12.5" customHeight="1" x14ac:dyDescent="0.35">
      <c r="A3060" t="s">
        <v>162</v>
      </c>
      <c r="E3060">
        <v>-3.3276190453936545E-3</v>
      </c>
      <c r="F3060">
        <f t="shared" si="100"/>
        <v>-1.7901206090557297E-2</v>
      </c>
      <c r="G3060">
        <f t="shared" si="101"/>
        <v>-2.8870193179619433E-2</v>
      </c>
    </row>
    <row r="3061" spans="1:144" ht="12.5" customHeight="1" x14ac:dyDescent="0.35">
      <c r="A3061" t="s">
        <v>162</v>
      </c>
      <c r="E3061">
        <v>2.2227437165838956E-3</v>
      </c>
      <c r="F3061">
        <f t="shared" si="100"/>
        <v>-1.7904977937565462E-2</v>
      </c>
      <c r="G3061">
        <f t="shared" si="101"/>
        <v>-2.9166652290134629E-2</v>
      </c>
    </row>
    <row r="3062" spans="1:144" ht="12.5" customHeight="1" x14ac:dyDescent="0.35">
      <c r="A3062" t="s">
        <v>162</v>
      </c>
      <c r="E3062">
        <v>5.6546035664114735E-3</v>
      </c>
      <c r="F3062">
        <f t="shared" si="100"/>
        <v>-1.7908749784573626E-2</v>
      </c>
      <c r="G3062">
        <f t="shared" si="101"/>
        <v>-2.9166652290134629E-2</v>
      </c>
    </row>
    <row r="3063" spans="1:144" ht="12.5" customHeight="1" x14ac:dyDescent="0.35">
      <c r="A3063" t="s">
        <v>162</v>
      </c>
      <c r="E3063">
        <v>-9.6163835991282132E-3</v>
      </c>
      <c r="F3063">
        <f t="shared" si="100"/>
        <v>-1.7912521631581791E-2</v>
      </c>
      <c r="G3063">
        <f t="shared" si="101"/>
        <v>-2.9166652290134629E-2</v>
      </c>
    </row>
    <row r="3064" spans="1:144" ht="12.5" customHeight="1" x14ac:dyDescent="0.35">
      <c r="A3064" t="s">
        <v>162</v>
      </c>
      <c r="E3064">
        <v>1.0254896480945179E-2</v>
      </c>
      <c r="F3064">
        <f t="shared" si="100"/>
        <v>-1.7916293478589959E-2</v>
      </c>
      <c r="G3064">
        <f t="shared" si="101"/>
        <v>-2.9166652290134629E-2</v>
      </c>
    </row>
    <row r="3065" spans="1:144" ht="12.5" customHeight="1" x14ac:dyDescent="0.35">
      <c r="A3065" t="s">
        <v>162</v>
      </c>
      <c r="E3065">
        <v>-2.9228834598672465E-3</v>
      </c>
      <c r="F3065">
        <f t="shared" si="100"/>
        <v>-1.7920065325598124E-2</v>
      </c>
      <c r="G3065">
        <f t="shared" si="101"/>
        <v>-2.9166652290134629E-2</v>
      </c>
    </row>
    <row r="3066" spans="1:144" ht="12.5" customHeight="1" x14ac:dyDescent="0.35">
      <c r="A3066" t="s">
        <v>162</v>
      </c>
      <c r="E3066">
        <v>-2.1432513205888466E-2</v>
      </c>
      <c r="F3066">
        <f t="shared" si="100"/>
        <v>-1.7923837172606288E-2</v>
      </c>
      <c r="G3066">
        <f t="shared" si="101"/>
        <v>-2.9166652290134629E-2</v>
      </c>
    </row>
    <row r="3067" spans="1:144" ht="12.5" customHeight="1" x14ac:dyDescent="0.35">
      <c r="A3067" t="s">
        <v>162</v>
      </c>
      <c r="E3067">
        <v>-1.5401591646115624E-2</v>
      </c>
      <c r="F3067">
        <f t="shared" si="100"/>
        <v>-1.7746035565174258E-2</v>
      </c>
      <c r="G3067">
        <f t="shared" si="101"/>
        <v>-2.907121155728784E-2</v>
      </c>
    </row>
    <row r="3068" spans="1:144" ht="12.5" customHeight="1" x14ac:dyDescent="0.35">
      <c r="A3068" t="s">
        <v>162</v>
      </c>
      <c r="E3068">
        <v>-9.5310039711190789E-3</v>
      </c>
      <c r="F3068">
        <f t="shared" si="100"/>
        <v>-1.7757971759434492E-2</v>
      </c>
      <c r="G3068">
        <f t="shared" si="101"/>
        <v>-2.907121155728784E-2</v>
      </c>
    </row>
    <row r="3069" spans="1:144" ht="12.5" customHeight="1" x14ac:dyDescent="0.35">
      <c r="A3069" t="s">
        <v>162</v>
      </c>
      <c r="E3069">
        <v>6.2447755519974071E-3</v>
      </c>
      <c r="F3069">
        <f t="shared" si="100"/>
        <v>-1.7769907953694725E-2</v>
      </c>
      <c r="G3069">
        <f t="shared" si="101"/>
        <v>-2.907121155728784E-2</v>
      </c>
    </row>
    <row r="3070" spans="1:144" ht="12.5" customHeight="1" x14ac:dyDescent="0.35">
      <c r="A3070" t="s">
        <v>162</v>
      </c>
      <c r="E3070">
        <v>9.4162477336029744E-3</v>
      </c>
      <c r="F3070">
        <f t="shared" si="100"/>
        <v>-1.7781844147954959E-2</v>
      </c>
      <c r="G3070">
        <f t="shared" si="101"/>
        <v>-2.907121155728784E-2</v>
      </c>
    </row>
    <row r="3071" spans="1:144" ht="12.5" customHeight="1" x14ac:dyDescent="0.35">
      <c r="A3071" t="s">
        <v>162</v>
      </c>
      <c r="E3071">
        <v>8.1395307179369936E-3</v>
      </c>
      <c r="F3071">
        <f t="shared" si="100"/>
        <v>-1.7793780342215192E-2</v>
      </c>
      <c r="G3071">
        <f t="shared" si="101"/>
        <v>-2.907121155728784E-2</v>
      </c>
    </row>
    <row r="3072" spans="1:144" s="3" customFormat="1" x14ac:dyDescent="0.35">
      <c r="A3072" s="3" t="s">
        <v>163</v>
      </c>
      <c r="B3072" s="3" cm="1">
        <f t="array" ref="B3072">_xlfn.STDEV.S(_xlfn._xlws.FILTER($E$2826:$E$3824, $A$2826:$A$3824="2022-05"))</f>
        <v>1.3076648682142552E-2</v>
      </c>
      <c r="C3072" s="3" cm="1">
        <f t="array" ref="C3072">AVERAGE(_xlfn._xlws.FILTER($E$2826:$E$3824, $A$2826:$A$3824="2022-05"))</f>
        <v>4.9403606734762921E-4</v>
      </c>
      <c r="D3072" s="3" cm="1">
        <f t="array" ref="D3072">_xlfn.PERCENTILE.EXC(_xlfn._xlws.FILTER($E$2490:$E$3818, $A$2490:$A$3818="2022-05"), 0.05)</f>
        <v>-2.6414430421800746E-2</v>
      </c>
      <c r="E3072" s="3">
        <v>-4.0870690613400903E-4</v>
      </c>
      <c r="F3072" s="3">
        <f t="shared" si="100"/>
        <v>-1.7805716536475429E-2</v>
      </c>
      <c r="G3072" s="3">
        <f t="shared" si="101"/>
        <v>-2.907121155728784E-2</v>
      </c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/>
      <c r="EI3072"/>
      <c r="EJ3072"/>
      <c r="EK3072"/>
      <c r="EL3072"/>
      <c r="EM3072"/>
      <c r="EN3072"/>
    </row>
    <row r="3073" spans="1:7" ht="12.5" customHeight="1" x14ac:dyDescent="0.35">
      <c r="A3073" t="s">
        <v>163</v>
      </c>
      <c r="E3073">
        <v>-1.4132330983890008E-2</v>
      </c>
      <c r="F3073">
        <f t="shared" si="100"/>
        <v>-1.7817652730735663E-2</v>
      </c>
      <c r="G3073">
        <f t="shared" si="101"/>
        <v>-2.907121155728784E-2</v>
      </c>
    </row>
    <row r="3074" spans="1:7" ht="12.5" customHeight="1" x14ac:dyDescent="0.35">
      <c r="A3074" t="s">
        <v>163</v>
      </c>
      <c r="E3074">
        <v>-5.9733586589745128E-3</v>
      </c>
      <c r="F3074">
        <f t="shared" si="100"/>
        <v>-1.7829588924995893E-2</v>
      </c>
      <c r="G3074">
        <f t="shared" si="101"/>
        <v>-2.907121155728784E-2</v>
      </c>
    </row>
    <row r="3075" spans="1:7" ht="12.5" customHeight="1" x14ac:dyDescent="0.35">
      <c r="A3075" t="s">
        <v>163</v>
      </c>
      <c r="E3075">
        <v>-1.2024593482251411E-2</v>
      </c>
      <c r="F3075">
        <f t="shared" si="100"/>
        <v>-1.784152511925613E-2</v>
      </c>
      <c r="G3075">
        <f t="shared" si="101"/>
        <v>-2.907121155728784E-2</v>
      </c>
    </row>
    <row r="3076" spans="1:7" ht="12.5" customHeight="1" x14ac:dyDescent="0.35">
      <c r="A3076" t="s">
        <v>163</v>
      </c>
      <c r="E3076">
        <v>-2.7779108137124163E-2</v>
      </c>
      <c r="F3076">
        <f t="shared" ref="F3076:F3139" si="102">_xlfn.PERCENTILE.EXC(E3076:E6891,0.05)</f>
        <v>-1.7853461313516363E-2</v>
      </c>
      <c r="G3076">
        <f t="shared" ref="G3076:G3139" si="103">AVERAGEIFS(E3076:E6892,E3076:E6892,"&lt;=" &amp; F3076)</f>
        <v>-2.907121155728784E-2</v>
      </c>
    </row>
    <row r="3077" spans="1:7" ht="12.5" customHeight="1" x14ac:dyDescent="0.35">
      <c r="A3077" t="s">
        <v>163</v>
      </c>
      <c r="E3077">
        <v>1.0335948532623922E-2</v>
      </c>
      <c r="F3077">
        <f t="shared" si="102"/>
        <v>-1.763677910443524E-2</v>
      </c>
      <c r="G3077">
        <f t="shared" si="103"/>
        <v>-2.8797789234807528E-2</v>
      </c>
    </row>
    <row r="3078" spans="1:7" ht="12.5" customHeight="1" x14ac:dyDescent="0.35">
      <c r="A3078" t="s">
        <v>163</v>
      </c>
      <c r="E3078">
        <v>2.7972088276516122E-2</v>
      </c>
      <c r="F3078">
        <f t="shared" si="102"/>
        <v>-1.7645346804741033E-2</v>
      </c>
      <c r="G3078">
        <f t="shared" si="103"/>
        <v>-2.8797789234807528E-2</v>
      </c>
    </row>
    <row r="3079" spans="1:7" ht="12.5" customHeight="1" x14ac:dyDescent="0.35">
      <c r="A3079" t="s">
        <v>163</v>
      </c>
      <c r="E3079">
        <v>-6.6808691555202693E-3</v>
      </c>
      <c r="F3079">
        <f t="shared" si="102"/>
        <v>-1.7653914505046827E-2</v>
      </c>
      <c r="G3079">
        <f t="shared" si="103"/>
        <v>-2.8797789234807528E-2</v>
      </c>
    </row>
    <row r="3080" spans="1:7" ht="12.5" customHeight="1" x14ac:dyDescent="0.35">
      <c r="A3080" t="s">
        <v>163</v>
      </c>
      <c r="E3080">
        <v>2.0249137085813756E-2</v>
      </c>
      <c r="F3080">
        <f t="shared" si="102"/>
        <v>-1.7662482205352624E-2</v>
      </c>
      <c r="G3080">
        <f t="shared" si="103"/>
        <v>-2.8797789234807528E-2</v>
      </c>
    </row>
    <row r="3081" spans="1:7" ht="12.5" customHeight="1" x14ac:dyDescent="0.35">
      <c r="A3081" t="s">
        <v>163</v>
      </c>
      <c r="E3081">
        <v>-6.3392578120185096E-4</v>
      </c>
      <c r="F3081">
        <f t="shared" si="102"/>
        <v>-1.7674418399612857E-2</v>
      </c>
      <c r="G3081">
        <f t="shared" si="103"/>
        <v>-2.9107103318959056E-2</v>
      </c>
    </row>
    <row r="3082" spans="1:7" ht="12.5" customHeight="1" x14ac:dyDescent="0.35">
      <c r="A3082" t="s">
        <v>163</v>
      </c>
      <c r="E3082">
        <v>1.1114282904277567E-2</v>
      </c>
      <c r="F3082">
        <f t="shared" si="102"/>
        <v>-1.7686354593873091E-2</v>
      </c>
      <c r="G3082">
        <f t="shared" si="103"/>
        <v>-2.9107103318959056E-2</v>
      </c>
    </row>
    <row r="3083" spans="1:7" ht="12.5" customHeight="1" x14ac:dyDescent="0.35">
      <c r="A3083" t="s">
        <v>163</v>
      </c>
      <c r="E3083">
        <v>-8.9209636864809698E-3</v>
      </c>
      <c r="F3083">
        <f t="shared" si="102"/>
        <v>-1.7698290788133324E-2</v>
      </c>
      <c r="G3083">
        <f t="shared" si="103"/>
        <v>-2.9107103318959056E-2</v>
      </c>
    </row>
    <row r="3084" spans="1:7" ht="12.5" customHeight="1" x14ac:dyDescent="0.35">
      <c r="A3084" t="s">
        <v>163</v>
      </c>
      <c r="E3084">
        <v>-8.6270513027866184E-4</v>
      </c>
      <c r="F3084">
        <f t="shared" si="102"/>
        <v>-1.7710226982393558E-2</v>
      </c>
      <c r="G3084">
        <f t="shared" si="103"/>
        <v>-2.9107103318959056E-2</v>
      </c>
    </row>
    <row r="3085" spans="1:7" ht="12.5" customHeight="1" x14ac:dyDescent="0.35">
      <c r="A3085" t="s">
        <v>163</v>
      </c>
      <c r="E3085">
        <v>1.2437696331694134E-3</v>
      </c>
      <c r="F3085">
        <f t="shared" si="102"/>
        <v>-1.7722163176653791E-2</v>
      </c>
      <c r="G3085">
        <f t="shared" si="103"/>
        <v>-2.9107103318959056E-2</v>
      </c>
    </row>
    <row r="3086" spans="1:7" ht="12.5" customHeight="1" x14ac:dyDescent="0.35">
      <c r="A3086" t="s">
        <v>163</v>
      </c>
      <c r="E3086">
        <v>1.7233533514534689E-3</v>
      </c>
      <c r="F3086">
        <f t="shared" si="102"/>
        <v>-1.7734099370914025E-2</v>
      </c>
      <c r="G3086">
        <f t="shared" si="103"/>
        <v>-2.9107103318959056E-2</v>
      </c>
    </row>
    <row r="3087" spans="1:7" ht="12.5" customHeight="1" x14ac:dyDescent="0.35">
      <c r="A3087" t="s">
        <v>163</v>
      </c>
      <c r="E3087">
        <v>-1.0850582497960339E-2</v>
      </c>
      <c r="F3087">
        <f t="shared" si="102"/>
        <v>-1.7746035565174258E-2</v>
      </c>
      <c r="G3087">
        <f t="shared" si="103"/>
        <v>-2.9107103318959056E-2</v>
      </c>
    </row>
    <row r="3088" spans="1:7" ht="12.5" customHeight="1" x14ac:dyDescent="0.35">
      <c r="A3088" t="s">
        <v>163</v>
      </c>
      <c r="E3088">
        <v>1.5558052966560543E-2</v>
      </c>
      <c r="F3088">
        <f t="shared" si="102"/>
        <v>-1.7757971759434492E-2</v>
      </c>
      <c r="G3088">
        <f t="shared" si="103"/>
        <v>-2.9107103318959056E-2</v>
      </c>
    </row>
    <row r="3089" spans="1:144" ht="12.5" customHeight="1" x14ac:dyDescent="0.35">
      <c r="A3089" t="s">
        <v>163</v>
      </c>
      <c r="E3089">
        <v>1.2134103973208405E-2</v>
      </c>
      <c r="F3089">
        <f t="shared" si="102"/>
        <v>-1.7769907953694725E-2</v>
      </c>
      <c r="G3089">
        <f t="shared" si="103"/>
        <v>-2.9107103318959056E-2</v>
      </c>
    </row>
    <row r="3090" spans="1:144" ht="12.5" customHeight="1" x14ac:dyDescent="0.35">
      <c r="A3090" t="s">
        <v>163</v>
      </c>
      <c r="E3090">
        <v>3.6500635448577703E-3</v>
      </c>
      <c r="F3090">
        <f t="shared" si="102"/>
        <v>-1.7781844147954959E-2</v>
      </c>
      <c r="G3090">
        <f t="shared" si="103"/>
        <v>-2.9107103318959056E-2</v>
      </c>
    </row>
    <row r="3091" spans="1:144" ht="12.5" customHeight="1" x14ac:dyDescent="0.35">
      <c r="A3091" t="s">
        <v>163</v>
      </c>
      <c r="E3091">
        <v>6.973041249897026E-3</v>
      </c>
      <c r="F3091">
        <f t="shared" si="102"/>
        <v>-1.7793780342215192E-2</v>
      </c>
      <c r="G3091">
        <f t="shared" si="103"/>
        <v>-2.9107103318959056E-2</v>
      </c>
    </row>
    <row r="3092" spans="1:144" ht="12.5" customHeight="1" x14ac:dyDescent="0.35">
      <c r="A3092" t="s">
        <v>163</v>
      </c>
      <c r="E3092">
        <v>-1.2311939684261582E-2</v>
      </c>
      <c r="F3092">
        <f t="shared" si="102"/>
        <v>-1.7805716536475429E-2</v>
      </c>
      <c r="G3092">
        <f t="shared" si="103"/>
        <v>-2.9107103318959056E-2</v>
      </c>
    </row>
    <row r="3093" spans="1:144" s="3" customFormat="1" x14ac:dyDescent="0.35">
      <c r="A3093" s="3" t="s">
        <v>164</v>
      </c>
      <c r="B3093" s="3" cm="1">
        <f t="array" ref="B3093">_xlfn.STDEV.S(_xlfn._xlws.FILTER($E$2826:$E$3824, $A$2826:$A$3824="2022-06"))</f>
        <v>1.9302105377162537E-2</v>
      </c>
      <c r="C3093" s="3" cm="1">
        <f t="array" ref="C3093">AVERAGE(_xlfn._xlws.FILTER($E$2826:$E$3824, $A$2826:$A$3824="2022-06"))</f>
        <v>-7.0230837373604473E-3</v>
      </c>
      <c r="D3093" s="3" cm="1">
        <f t="array" ref="D3093">_xlfn.PERCENTILE.EXC(_xlfn._xlws.FILTER($E$2490:$E$3818, $A$2490:$A$3818="2022-06"), 0.05)</f>
        <v>-5.212946673690684E-2</v>
      </c>
      <c r="E3093" s="3">
        <v>-9.0808648180552998E-3</v>
      </c>
      <c r="F3093" s="3">
        <f t="shared" si="102"/>
        <v>-1.7817652730735663E-2</v>
      </c>
      <c r="G3093" s="3">
        <f t="shared" si="103"/>
        <v>-2.9107103318959056E-2</v>
      </c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/>
      <c r="EI3093"/>
      <c r="EJ3093"/>
      <c r="EK3093"/>
      <c r="EL3093"/>
      <c r="EM3093"/>
      <c r="EN3093"/>
    </row>
    <row r="3094" spans="1:144" ht="12.5" customHeight="1" x14ac:dyDescent="0.35">
      <c r="A3094" t="s">
        <v>164</v>
      </c>
      <c r="E3094">
        <v>1.1550361648321883E-2</v>
      </c>
      <c r="F3094">
        <f t="shared" si="102"/>
        <v>-1.7829588924995893E-2</v>
      </c>
      <c r="G3094">
        <f t="shared" si="103"/>
        <v>-2.9107103318959056E-2</v>
      </c>
    </row>
    <row r="3095" spans="1:144" ht="12.5" customHeight="1" x14ac:dyDescent="0.35">
      <c r="A3095" t="s">
        <v>164</v>
      </c>
      <c r="E3095">
        <v>-8.1534241735402458E-3</v>
      </c>
      <c r="F3095">
        <f t="shared" si="102"/>
        <v>-1.784152511925613E-2</v>
      </c>
      <c r="G3095">
        <f t="shared" si="103"/>
        <v>-2.9107103318959056E-2</v>
      </c>
    </row>
    <row r="3096" spans="1:144" ht="12.5" customHeight="1" x14ac:dyDescent="0.35">
      <c r="A3096" t="s">
        <v>164</v>
      </c>
      <c r="E3096">
        <v>-5.3297401262675957E-3</v>
      </c>
      <c r="F3096">
        <f t="shared" si="102"/>
        <v>-1.7853461313516363E-2</v>
      </c>
      <c r="G3096">
        <f t="shared" si="103"/>
        <v>-2.9107103318959056E-2</v>
      </c>
    </row>
    <row r="3097" spans="1:144" ht="12.5" customHeight="1" x14ac:dyDescent="0.35">
      <c r="A3097" t="s">
        <v>164</v>
      </c>
      <c r="E3097">
        <v>-1.9149310380555083E-2</v>
      </c>
      <c r="F3097">
        <f t="shared" si="102"/>
        <v>-1.7865397507776597E-2</v>
      </c>
      <c r="G3097">
        <f t="shared" si="103"/>
        <v>-2.9107103318959056E-2</v>
      </c>
    </row>
    <row r="3098" spans="1:144" ht="12.5" customHeight="1" x14ac:dyDescent="0.35">
      <c r="A3098" t="s">
        <v>164</v>
      </c>
      <c r="E3098">
        <v>-5.3094157104921262E-2</v>
      </c>
      <c r="F3098">
        <f t="shared" si="102"/>
        <v>-1.7645346804741033E-2</v>
      </c>
      <c r="G3098">
        <f t="shared" si="103"/>
        <v>-2.906580253631454E-2</v>
      </c>
    </row>
    <row r="3099" spans="1:144" ht="12.5" customHeight="1" x14ac:dyDescent="0.35">
      <c r="A3099" t="s">
        <v>164</v>
      </c>
      <c r="E3099">
        <v>-2.8313266017467198E-2</v>
      </c>
      <c r="F3099">
        <f t="shared" si="102"/>
        <v>-1.7449528259088763E-2</v>
      </c>
      <c r="G3099">
        <f t="shared" si="103"/>
        <v>-2.8076829511156635E-2</v>
      </c>
    </row>
    <row r="3100" spans="1:144" ht="12.5" customHeight="1" x14ac:dyDescent="0.35">
      <c r="A3100" t="s">
        <v>164</v>
      </c>
      <c r="E3100">
        <v>-3.251464708536093E-3</v>
      </c>
      <c r="F3100">
        <f t="shared" si="102"/>
        <v>-1.6659129396277627E-2</v>
      </c>
      <c r="G3100">
        <f t="shared" si="103"/>
        <v>-2.7753103493901369E-2</v>
      </c>
    </row>
    <row r="3101" spans="1:144" ht="12.5" customHeight="1" x14ac:dyDescent="0.35">
      <c r="A3101" t="s">
        <v>164</v>
      </c>
      <c r="E3101">
        <v>2.8280929799795726E-2</v>
      </c>
      <c r="F3101">
        <f t="shared" si="102"/>
        <v>-1.6700729336425579E-2</v>
      </c>
      <c r="G3101">
        <f t="shared" si="103"/>
        <v>-2.8070074182404904E-2</v>
      </c>
    </row>
    <row r="3102" spans="1:144" ht="12.5" customHeight="1" x14ac:dyDescent="0.35">
      <c r="A3102" t="s">
        <v>164</v>
      </c>
      <c r="E3102">
        <v>-3.38003497446328E-2</v>
      </c>
      <c r="F3102">
        <f t="shared" si="102"/>
        <v>-1.6742329276573539E-2</v>
      </c>
      <c r="G3102">
        <f t="shared" si="103"/>
        <v>-2.8070074182404904E-2</v>
      </c>
    </row>
    <row r="3103" spans="1:144" ht="12.5" customHeight="1" x14ac:dyDescent="0.35">
      <c r="A3103" t="s">
        <v>164</v>
      </c>
      <c r="E3103">
        <v>2.860131590871345E-3</v>
      </c>
      <c r="F3103">
        <f t="shared" si="102"/>
        <v>-1.6645557546105836E-2</v>
      </c>
      <c r="G3103">
        <f t="shared" si="103"/>
        <v>-2.7580325029594753E-2</v>
      </c>
    </row>
    <row r="3104" spans="1:144" ht="12.5" customHeight="1" x14ac:dyDescent="0.35">
      <c r="A3104" t="s">
        <v>164</v>
      </c>
      <c r="E3104">
        <v>9.8272383636898077E-3</v>
      </c>
      <c r="F3104">
        <f t="shared" si="102"/>
        <v>-1.6646355890233586E-2</v>
      </c>
      <c r="G3104">
        <f t="shared" si="103"/>
        <v>-2.7580325029594753E-2</v>
      </c>
    </row>
    <row r="3105" spans="1:144" ht="12.5" customHeight="1" x14ac:dyDescent="0.35">
      <c r="A3105" t="s">
        <v>164</v>
      </c>
      <c r="E3105">
        <v>3.871780832519294E-3</v>
      </c>
      <c r="F3105">
        <f t="shared" si="102"/>
        <v>-1.664715423436134E-2</v>
      </c>
      <c r="G3105">
        <f t="shared" si="103"/>
        <v>-2.7580325029594753E-2</v>
      </c>
    </row>
    <row r="3106" spans="1:144" ht="12.5" customHeight="1" x14ac:dyDescent="0.35">
      <c r="A3106" t="s">
        <v>164</v>
      </c>
      <c r="E3106">
        <v>-1.3712787788398087E-2</v>
      </c>
      <c r="F3106">
        <f t="shared" si="102"/>
        <v>-1.6647952578489094E-2</v>
      </c>
      <c r="G3106">
        <f t="shared" si="103"/>
        <v>-2.7580325029594753E-2</v>
      </c>
    </row>
    <row r="3107" spans="1:144" ht="12.5" customHeight="1" x14ac:dyDescent="0.35">
      <c r="A3107" t="s">
        <v>164</v>
      </c>
      <c r="E3107">
        <v>-7.9980022492806072E-3</v>
      </c>
      <c r="F3107">
        <f t="shared" si="102"/>
        <v>-1.6648750922616844E-2</v>
      </c>
      <c r="G3107">
        <f t="shared" si="103"/>
        <v>-2.7580325029594753E-2</v>
      </c>
    </row>
    <row r="3108" spans="1:144" ht="12.5" customHeight="1" x14ac:dyDescent="0.35">
      <c r="A3108" t="s">
        <v>164</v>
      </c>
      <c r="E3108">
        <v>2.3058491515240014E-2</v>
      </c>
      <c r="F3108">
        <f t="shared" si="102"/>
        <v>-1.6649549266744598E-2</v>
      </c>
      <c r="G3108">
        <f t="shared" si="103"/>
        <v>-2.7580325029594753E-2</v>
      </c>
    </row>
    <row r="3109" spans="1:144" ht="12.5" customHeight="1" x14ac:dyDescent="0.35">
      <c r="A3109" t="s">
        <v>164</v>
      </c>
      <c r="E3109">
        <v>-8.6447122432501446E-3</v>
      </c>
      <c r="F3109">
        <f t="shared" si="102"/>
        <v>-1.6650347610872349E-2</v>
      </c>
      <c r="G3109">
        <f t="shared" si="103"/>
        <v>-2.7580325029594753E-2</v>
      </c>
    </row>
    <row r="3110" spans="1:144" ht="12.5" customHeight="1" x14ac:dyDescent="0.35">
      <c r="A3110" t="s">
        <v>164</v>
      </c>
      <c r="E3110">
        <v>7.8319656919757889E-3</v>
      </c>
      <c r="F3110">
        <f t="shared" si="102"/>
        <v>-1.6651145955000102E-2</v>
      </c>
      <c r="G3110">
        <f t="shared" si="103"/>
        <v>-2.7580325029594753E-2</v>
      </c>
    </row>
    <row r="3111" spans="1:144" ht="12.5" customHeight="1" x14ac:dyDescent="0.35">
      <c r="A3111" t="s">
        <v>164</v>
      </c>
      <c r="E3111">
        <v>-1.2187775551813558E-2</v>
      </c>
      <c r="F3111">
        <f t="shared" si="102"/>
        <v>-1.6651944299127856E-2</v>
      </c>
      <c r="G3111">
        <f t="shared" si="103"/>
        <v>-2.7580325029594753E-2</v>
      </c>
    </row>
    <row r="3112" spans="1:144" ht="12.5" customHeight="1" x14ac:dyDescent="0.35">
      <c r="A3112" t="s">
        <v>164</v>
      </c>
      <c r="E3112">
        <v>-2.5026719282904855E-2</v>
      </c>
      <c r="F3112">
        <f t="shared" si="102"/>
        <v>-1.6652742643255607E-2</v>
      </c>
      <c r="G3112">
        <f t="shared" si="103"/>
        <v>-2.7580325029594753E-2</v>
      </c>
    </row>
    <row r="3113" spans="1:144" s="3" customFormat="1" x14ac:dyDescent="0.35">
      <c r="A3113" s="3" t="s">
        <v>165</v>
      </c>
      <c r="B3113" s="3" cm="1">
        <f t="array" ref="B3113">_xlfn.STDEV.S(_xlfn._xlws.FILTER($E$2826:$E$3824, $A$2826:$A$3824="2022-07"))</f>
        <v>1.7317155622858335E-2</v>
      </c>
      <c r="C3113" s="3" cm="1">
        <f t="array" ref="C3113">AVERAGE(_xlfn._xlws.FILTER($E$2826:$E$3824, $A$2826:$A$3824="2022-07"))</f>
        <v>2.4231811213862317E-3</v>
      </c>
      <c r="D3113" s="3" cm="1">
        <f t="array" ref="D3113">_xlfn.PERCENTILE.EXC(_xlfn._xlws.FILTER($E$2490:$E$3818, $A$2490:$A$3818="2022-07"), 0.05)</f>
        <v>-3.4533040000274864E-2</v>
      </c>
      <c r="E3113" s="3">
        <v>2.850746305968392E-3</v>
      </c>
      <c r="F3113" s="3">
        <f t="shared" si="102"/>
        <v>-1.6595271169980889E-2</v>
      </c>
      <c r="G3113" s="3">
        <f t="shared" si="103"/>
        <v>-2.7340794836189546E-2</v>
      </c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/>
      <c r="EL3113"/>
      <c r="EM3113"/>
      <c r="EN3113"/>
    </row>
    <row r="3114" spans="1:144" ht="12.5" customHeight="1" x14ac:dyDescent="0.35">
      <c r="A3114" t="s">
        <v>165</v>
      </c>
      <c r="E3114">
        <v>-5.021244371703345E-4</v>
      </c>
      <c r="F3114">
        <f t="shared" si="102"/>
        <v>-1.6602112790515416E-2</v>
      </c>
      <c r="G3114">
        <f t="shared" si="103"/>
        <v>-2.7340794836189546E-2</v>
      </c>
    </row>
    <row r="3115" spans="1:144" ht="12.5" customHeight="1" x14ac:dyDescent="0.35">
      <c r="A3115" t="s">
        <v>165</v>
      </c>
      <c r="E3115">
        <v>-3.0389275273547851E-2</v>
      </c>
      <c r="F3115">
        <f t="shared" si="102"/>
        <v>-1.6608954411049943E-2</v>
      </c>
      <c r="G3115">
        <f t="shared" si="103"/>
        <v>-2.7340794836189546E-2</v>
      </c>
    </row>
    <row r="3116" spans="1:144" ht="12.5" customHeight="1" x14ac:dyDescent="0.35">
      <c r="A3116" t="s">
        <v>165</v>
      </c>
      <c r="E3116">
        <v>1.0374846368680739E-2</v>
      </c>
      <c r="F3116">
        <f t="shared" si="102"/>
        <v>-1.6505607930963593E-2</v>
      </c>
      <c r="G3116">
        <f t="shared" si="103"/>
        <v>-2.6944139259889092E-2</v>
      </c>
    </row>
    <row r="3117" spans="1:144" ht="12.5" customHeight="1" x14ac:dyDescent="0.35">
      <c r="A3117" t="s">
        <v>165</v>
      </c>
      <c r="E3117">
        <v>2.9997263195849534E-2</v>
      </c>
      <c r="F3117">
        <f t="shared" si="102"/>
        <v>-1.6505788473980706E-2</v>
      </c>
      <c r="G3117">
        <f t="shared" si="103"/>
        <v>-2.6944139259889092E-2</v>
      </c>
    </row>
    <row r="3118" spans="1:144" ht="12.5" customHeight="1" x14ac:dyDescent="0.35">
      <c r="A3118" t="s">
        <v>165</v>
      </c>
      <c r="E3118">
        <v>9.9746397563451571E-3</v>
      </c>
      <c r="F3118">
        <f t="shared" si="102"/>
        <v>-1.6505969016997815E-2</v>
      </c>
      <c r="G3118">
        <f t="shared" si="103"/>
        <v>-2.6944139259889092E-2</v>
      </c>
    </row>
    <row r="3119" spans="1:144" ht="12.5" customHeight="1" x14ac:dyDescent="0.35">
      <c r="A3119" t="s">
        <v>165</v>
      </c>
      <c r="E3119">
        <v>-9.5280390273580814E-3</v>
      </c>
      <c r="F3119">
        <f t="shared" si="102"/>
        <v>-1.6506149560014925E-2</v>
      </c>
      <c r="G3119">
        <f t="shared" si="103"/>
        <v>-2.6944139259889092E-2</v>
      </c>
    </row>
    <row r="3120" spans="1:144" ht="12.5" customHeight="1" x14ac:dyDescent="0.35">
      <c r="A3120" t="s">
        <v>165</v>
      </c>
      <c r="E3120">
        <v>-3.8092275710215214E-3</v>
      </c>
      <c r="F3120">
        <f t="shared" si="102"/>
        <v>-1.6506330103032037E-2</v>
      </c>
      <c r="G3120">
        <f t="shared" si="103"/>
        <v>-2.6944139259889092E-2</v>
      </c>
    </row>
    <row r="3121" spans="1:144" ht="12.5" customHeight="1" x14ac:dyDescent="0.35">
      <c r="A3121" t="s">
        <v>165</v>
      </c>
      <c r="E3121">
        <v>-9.3225149202992835E-3</v>
      </c>
      <c r="F3121">
        <f t="shared" si="102"/>
        <v>-1.6513171723566564E-2</v>
      </c>
      <c r="G3121">
        <f t="shared" si="103"/>
        <v>-2.7251133646855479E-2</v>
      </c>
    </row>
    <row r="3122" spans="1:144" ht="12.5" customHeight="1" x14ac:dyDescent="0.35">
      <c r="A3122" t="s">
        <v>165</v>
      </c>
      <c r="E3122">
        <v>-3.4993458303244532E-2</v>
      </c>
      <c r="F3122">
        <f t="shared" si="102"/>
        <v>-1.6520013344101091E-2</v>
      </c>
      <c r="G3122">
        <f t="shared" si="103"/>
        <v>-2.7251133646855479E-2</v>
      </c>
    </row>
    <row r="3123" spans="1:144" ht="12.5" customHeight="1" x14ac:dyDescent="0.35">
      <c r="A3123" t="s">
        <v>165</v>
      </c>
      <c r="E3123">
        <v>1.8267657272149292E-2</v>
      </c>
      <c r="F3123">
        <f t="shared" si="102"/>
        <v>-1.6503260871741147E-2</v>
      </c>
      <c r="G3123">
        <f t="shared" si="103"/>
        <v>-2.6707394582143353E-2</v>
      </c>
    </row>
    <row r="3124" spans="1:144" ht="12.5" customHeight="1" x14ac:dyDescent="0.35">
      <c r="A3124" t="s">
        <v>165</v>
      </c>
      <c r="E3124">
        <v>1.1204234410628683E-2</v>
      </c>
      <c r="F3124">
        <f t="shared" si="102"/>
        <v>-1.650344141475826E-2</v>
      </c>
      <c r="G3124">
        <f t="shared" si="103"/>
        <v>-2.6707394582143353E-2</v>
      </c>
    </row>
    <row r="3125" spans="1:144" ht="12.5" customHeight="1" x14ac:dyDescent="0.35">
      <c r="A3125" t="s">
        <v>165</v>
      </c>
      <c r="E3125">
        <v>2.4593613978760039E-2</v>
      </c>
      <c r="F3125">
        <f t="shared" si="102"/>
        <v>-1.6503621957775369E-2</v>
      </c>
      <c r="G3125">
        <f t="shared" si="103"/>
        <v>-2.6707394582143353E-2</v>
      </c>
    </row>
    <row r="3126" spans="1:144" ht="12.5" customHeight="1" x14ac:dyDescent="0.35">
      <c r="A3126" t="s">
        <v>165</v>
      </c>
      <c r="E3126">
        <v>-1.6159397752271432E-2</v>
      </c>
      <c r="F3126">
        <f t="shared" si="102"/>
        <v>-1.6503802500792482E-2</v>
      </c>
      <c r="G3126">
        <f t="shared" si="103"/>
        <v>-2.6707394582143353E-2</v>
      </c>
    </row>
    <row r="3127" spans="1:144" ht="12.5" customHeight="1" x14ac:dyDescent="0.35">
      <c r="A3127" t="s">
        <v>165</v>
      </c>
      <c r="E3127">
        <v>-7.1374125685448606E-3</v>
      </c>
      <c r="F3127">
        <f t="shared" si="102"/>
        <v>-1.6503983043809595E-2</v>
      </c>
      <c r="G3127">
        <f t="shared" si="103"/>
        <v>-2.6707394582143353E-2</v>
      </c>
    </row>
    <row r="3128" spans="1:144" ht="12.5" customHeight="1" x14ac:dyDescent="0.35">
      <c r="A3128" t="s">
        <v>165</v>
      </c>
      <c r="E3128">
        <v>7.2579672814230092E-4</v>
      </c>
      <c r="F3128">
        <f t="shared" si="102"/>
        <v>-1.6504163586826704E-2</v>
      </c>
      <c r="G3128">
        <f t="shared" si="103"/>
        <v>-2.6707394582143353E-2</v>
      </c>
    </row>
    <row r="3129" spans="1:144" ht="12.5" customHeight="1" x14ac:dyDescent="0.35">
      <c r="A3129" t="s">
        <v>165</v>
      </c>
      <c r="E3129">
        <v>8.0165351280625571E-3</v>
      </c>
      <c r="F3129">
        <f t="shared" si="102"/>
        <v>-1.6504344129843813E-2</v>
      </c>
      <c r="G3129">
        <f t="shared" si="103"/>
        <v>-2.6707394582143353E-2</v>
      </c>
    </row>
    <row r="3130" spans="1:144" ht="12.5" customHeight="1" x14ac:dyDescent="0.35">
      <c r="A3130" t="s">
        <v>165</v>
      </c>
      <c r="E3130">
        <v>-1.047098972990307E-2</v>
      </c>
      <c r="F3130">
        <f t="shared" si="102"/>
        <v>-1.6504524672860926E-2</v>
      </c>
      <c r="G3130">
        <f t="shared" si="103"/>
        <v>-2.6707394582143353E-2</v>
      </c>
    </row>
    <row r="3131" spans="1:144" ht="12.5" customHeight="1" x14ac:dyDescent="0.35">
      <c r="A3131" t="s">
        <v>165</v>
      </c>
      <c r="E3131">
        <v>1.5043195753980092E-2</v>
      </c>
      <c r="F3131">
        <f t="shared" si="102"/>
        <v>-1.6504705215878036E-2</v>
      </c>
      <c r="G3131">
        <f t="shared" si="103"/>
        <v>-2.6707394582143353E-2</v>
      </c>
    </row>
    <row r="3132" spans="1:144" ht="12.5" customHeight="1" x14ac:dyDescent="0.35">
      <c r="A3132" t="s">
        <v>165</v>
      </c>
      <c r="E3132">
        <v>2.0794635702627819E-2</v>
      </c>
      <c r="F3132">
        <f t="shared" si="102"/>
        <v>-1.6504885758895149E-2</v>
      </c>
      <c r="G3132">
        <f t="shared" si="103"/>
        <v>-2.6707394582143353E-2</v>
      </c>
    </row>
    <row r="3133" spans="1:144" ht="12.5" customHeight="1" x14ac:dyDescent="0.35">
      <c r="A3133" t="s">
        <v>165</v>
      </c>
      <c r="E3133">
        <v>2.1356078531277224E-2</v>
      </c>
      <c r="F3133">
        <f t="shared" si="102"/>
        <v>-1.6505066301912258E-2</v>
      </c>
      <c r="G3133">
        <f t="shared" si="103"/>
        <v>-2.6707394582143353E-2</v>
      </c>
    </row>
    <row r="3134" spans="1:144" s="3" customFormat="1" x14ac:dyDescent="0.35">
      <c r="A3134" s="3" t="s">
        <v>166</v>
      </c>
      <c r="B3134" s="3" cm="1">
        <f t="array" ref="B3134">_xlfn.STDEV.S(_xlfn._xlws.FILTER($E$2826:$E$3824, $A$2826:$A$3824="2022-08"))</f>
        <v>1.0348517267453084E-2</v>
      </c>
      <c r="C3134" s="3" cm="1">
        <f t="array" ref="C3134">AVERAGE(_xlfn._xlws.FILTER($E$2826:$E$3824, $A$2826:$A$3824="2022-08"))</f>
        <v>-1.8332079115824934E-3</v>
      </c>
      <c r="D3134" s="3" cm="1">
        <f t="array" ref="D3134">_xlfn.PERCENTILE.EXC(_xlfn._xlws.FILTER($E$2490:$E$3818, $A$2490:$A$3818="2022-08"), 0.05)</f>
        <v>-2.4678554306945023E-2</v>
      </c>
      <c r="E3134" s="3">
        <v>1.0701473867809029E-3</v>
      </c>
      <c r="F3134" s="3">
        <f t="shared" si="102"/>
        <v>-1.6505246844929371E-2</v>
      </c>
      <c r="G3134" s="3">
        <f t="shared" si="103"/>
        <v>-2.6707394582143353E-2</v>
      </c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/>
      <c r="EH3134"/>
      <c r="EI3134"/>
      <c r="EJ3134"/>
      <c r="EK3134"/>
      <c r="EL3134"/>
      <c r="EM3134"/>
      <c r="EN3134"/>
    </row>
    <row r="3135" spans="1:144" ht="12.5" customHeight="1" x14ac:dyDescent="0.35">
      <c r="A3135" t="s">
        <v>166</v>
      </c>
      <c r="E3135">
        <v>-3.5037615826263558E-3</v>
      </c>
      <c r="F3135">
        <f t="shared" si="102"/>
        <v>-1.6505427387946484E-2</v>
      </c>
      <c r="G3135">
        <f t="shared" si="103"/>
        <v>-2.6707394582143353E-2</v>
      </c>
    </row>
    <row r="3136" spans="1:144" ht="12.5" customHeight="1" x14ac:dyDescent="0.35">
      <c r="A3136" t="s">
        <v>166</v>
      </c>
      <c r="E3136">
        <v>9.9667120122821588E-3</v>
      </c>
      <c r="F3136">
        <f t="shared" si="102"/>
        <v>-1.6505607930963593E-2</v>
      </c>
      <c r="G3136">
        <f t="shared" si="103"/>
        <v>-2.6707394582143353E-2</v>
      </c>
    </row>
    <row r="3137" spans="1:7" ht="12.5" customHeight="1" x14ac:dyDescent="0.35">
      <c r="A3137" t="s">
        <v>166</v>
      </c>
      <c r="E3137">
        <v>3.1375009871097885E-3</v>
      </c>
      <c r="F3137">
        <f t="shared" si="102"/>
        <v>-1.6505788473980706E-2</v>
      </c>
      <c r="G3137">
        <f t="shared" si="103"/>
        <v>-2.6707394582143353E-2</v>
      </c>
    </row>
    <row r="3138" spans="1:7" ht="12.5" customHeight="1" x14ac:dyDescent="0.35">
      <c r="A3138" t="s">
        <v>166</v>
      </c>
      <c r="E3138">
        <v>-2.6069638700608583E-3</v>
      </c>
      <c r="F3138">
        <f t="shared" si="102"/>
        <v>-1.6505969016997815E-2</v>
      </c>
      <c r="G3138">
        <f t="shared" si="103"/>
        <v>-2.6707394582143353E-2</v>
      </c>
    </row>
    <row r="3139" spans="1:7" ht="12.5" customHeight="1" x14ac:dyDescent="0.35">
      <c r="A3139" t="s">
        <v>166</v>
      </c>
      <c r="E3139">
        <v>6.2257979014406261E-3</v>
      </c>
      <c r="F3139">
        <f t="shared" si="102"/>
        <v>-1.6506149560014925E-2</v>
      </c>
      <c r="G3139">
        <f t="shared" si="103"/>
        <v>-2.6707394582143353E-2</v>
      </c>
    </row>
    <row r="3140" spans="1:7" ht="12.5" customHeight="1" x14ac:dyDescent="0.35">
      <c r="A3140" t="s">
        <v>166</v>
      </c>
      <c r="E3140">
        <v>-1.059138186724364E-2</v>
      </c>
      <c r="F3140">
        <f t="shared" ref="F3140:F3203" si="104">_xlfn.PERCENTILE.EXC(E3140:E6955,0.05)</f>
        <v>-1.6506330103032037E-2</v>
      </c>
      <c r="G3140">
        <f t="shared" ref="G3140:G3203" si="105">AVERAGEIFS(E3140:E6956,E3140:E6956,"&lt;=" &amp; F3140)</f>
        <v>-2.6707394582143353E-2</v>
      </c>
    </row>
    <row r="3141" spans="1:7" ht="12.5" customHeight="1" x14ac:dyDescent="0.35">
      <c r="A3141" t="s">
        <v>166</v>
      </c>
      <c r="E3141">
        <v>9.4687849319780287E-3</v>
      </c>
      <c r="F3141">
        <f t="shared" si="104"/>
        <v>-1.6513171723566564E-2</v>
      </c>
      <c r="G3141">
        <f t="shared" si="105"/>
        <v>-2.7016517748177024E-2</v>
      </c>
    </row>
    <row r="3142" spans="1:7" ht="12.5" customHeight="1" x14ac:dyDescent="0.35">
      <c r="A3142" t="s">
        <v>166</v>
      </c>
      <c r="E3142">
        <v>6.8366324514856349E-3</v>
      </c>
      <c r="F3142">
        <f t="shared" si="104"/>
        <v>-1.6520013344101091E-2</v>
      </c>
      <c r="G3142">
        <f t="shared" si="105"/>
        <v>-2.7016517748177024E-2</v>
      </c>
    </row>
    <row r="3143" spans="1:7" ht="12.5" customHeight="1" x14ac:dyDescent="0.35">
      <c r="A3143" t="s">
        <v>166</v>
      </c>
      <c r="E3143">
        <v>4.9117566302850418E-3</v>
      </c>
      <c r="F3143">
        <f t="shared" si="104"/>
        <v>-1.6526854964635618E-2</v>
      </c>
      <c r="G3143">
        <f t="shared" si="105"/>
        <v>-2.7016517748177024E-2</v>
      </c>
    </row>
    <row r="3144" spans="1:7" ht="12.5" customHeight="1" x14ac:dyDescent="0.35">
      <c r="A3144" t="s">
        <v>166</v>
      </c>
      <c r="E3144">
        <v>1.1790668726422342E-3</v>
      </c>
      <c r="F3144">
        <f t="shared" si="104"/>
        <v>-1.6533696585170145E-2</v>
      </c>
      <c r="G3144">
        <f t="shared" si="105"/>
        <v>-2.7016517748177024E-2</v>
      </c>
    </row>
    <row r="3145" spans="1:7" ht="12.5" customHeight="1" x14ac:dyDescent="0.35">
      <c r="A3145" t="s">
        <v>166</v>
      </c>
      <c r="E3145">
        <v>-1.049148046460107E-2</v>
      </c>
      <c r="F3145">
        <f t="shared" si="104"/>
        <v>-1.6540538205704673E-2</v>
      </c>
      <c r="G3145">
        <f t="shared" si="105"/>
        <v>-2.7016517748177024E-2</v>
      </c>
    </row>
    <row r="3146" spans="1:7" ht="12.5" customHeight="1" x14ac:dyDescent="0.35">
      <c r="A3146" t="s">
        <v>166</v>
      </c>
      <c r="E3146">
        <v>9.9639002513657367E-3</v>
      </c>
      <c r="F3146">
        <f t="shared" si="104"/>
        <v>-1.65473798262392E-2</v>
      </c>
      <c r="G3146">
        <f t="shared" si="105"/>
        <v>-2.7016517748177024E-2</v>
      </c>
    </row>
    <row r="3147" spans="1:7" ht="12.5" customHeight="1" x14ac:dyDescent="0.35">
      <c r="A3147" t="s">
        <v>166</v>
      </c>
      <c r="E3147">
        <v>-1.9821708907120966E-2</v>
      </c>
      <c r="F3147">
        <f t="shared" si="104"/>
        <v>-1.6554221446773727E-2</v>
      </c>
      <c r="G3147">
        <f t="shared" si="105"/>
        <v>-2.7016517748177024E-2</v>
      </c>
    </row>
    <row r="3148" spans="1:7" ht="12.5" customHeight="1" x14ac:dyDescent="0.35">
      <c r="A3148" t="s">
        <v>166</v>
      </c>
      <c r="E3148">
        <v>-1.6506330103032037E-2</v>
      </c>
      <c r="F3148">
        <f t="shared" si="104"/>
        <v>-1.6504163586826704E-2</v>
      </c>
      <c r="G3148">
        <f t="shared" si="105"/>
        <v>-2.6916051723810692E-2</v>
      </c>
    </row>
    <row r="3149" spans="1:7" ht="12.5" customHeight="1" x14ac:dyDescent="0.35">
      <c r="A3149" t="s">
        <v>166</v>
      </c>
      <c r="E3149">
        <v>9.6261394166944313E-3</v>
      </c>
      <c r="F3149">
        <f t="shared" si="104"/>
        <v>-1.6414697348440286E-2</v>
      </c>
      <c r="G3149">
        <f t="shared" si="105"/>
        <v>-2.6915942303800327E-2</v>
      </c>
    </row>
    <row r="3150" spans="1:7" ht="12.5" customHeight="1" x14ac:dyDescent="0.35">
      <c r="A3150" t="s">
        <v>166</v>
      </c>
      <c r="E3150">
        <v>2.2944997662421489E-3</v>
      </c>
      <c r="F3150">
        <f t="shared" si="104"/>
        <v>-1.6422699338826605E-2</v>
      </c>
      <c r="G3150">
        <f t="shared" si="105"/>
        <v>-2.6915942303800327E-2</v>
      </c>
    </row>
    <row r="3151" spans="1:7" ht="12.5" customHeight="1" x14ac:dyDescent="0.35">
      <c r="A3151" t="s">
        <v>166</v>
      </c>
      <c r="E3151">
        <v>1.0230385044082383E-3</v>
      </c>
      <c r="F3151">
        <f t="shared" si="104"/>
        <v>-1.6430701329212927E-2</v>
      </c>
      <c r="G3151">
        <f t="shared" si="105"/>
        <v>-2.6915942303800327E-2</v>
      </c>
    </row>
    <row r="3152" spans="1:7" ht="12.5" customHeight="1" x14ac:dyDescent="0.35">
      <c r="A3152" t="s">
        <v>166</v>
      </c>
      <c r="E3152">
        <v>-2.5218203795814364E-2</v>
      </c>
      <c r="F3152">
        <f t="shared" si="104"/>
        <v>-1.6438703319599249E-2</v>
      </c>
      <c r="G3152">
        <f t="shared" si="105"/>
        <v>-2.6915942303800327E-2</v>
      </c>
    </row>
    <row r="3153" spans="1:144" ht="12.5" customHeight="1" x14ac:dyDescent="0.35">
      <c r="A3153" t="s">
        <v>166</v>
      </c>
      <c r="E3153">
        <v>-3.2035364620316004E-3</v>
      </c>
      <c r="F3153">
        <f t="shared" si="104"/>
        <v>-1.6277453195711347E-2</v>
      </c>
      <c r="G3153">
        <f t="shared" si="105"/>
        <v>-2.664698702013818E-2</v>
      </c>
    </row>
    <row r="3154" spans="1:144" ht="12.5" customHeight="1" x14ac:dyDescent="0.35">
      <c r="A3154" t="s">
        <v>166</v>
      </c>
      <c r="E3154">
        <v>-1.2257976203416438E-2</v>
      </c>
      <c r="F3154">
        <f t="shared" si="104"/>
        <v>-1.628677122989021E-2</v>
      </c>
      <c r="G3154">
        <f t="shared" si="105"/>
        <v>-2.664698702013818E-2</v>
      </c>
    </row>
    <row r="3155" spans="1:144" s="3" customFormat="1" x14ac:dyDescent="0.35">
      <c r="A3155" s="3" t="s">
        <v>167</v>
      </c>
      <c r="B3155" s="3" cm="1">
        <f t="array" ref="B3155">_xlfn.STDEV.S(_xlfn._xlws.FILTER($E$2826:$E$3824, $A$2826:$A$3824="2022-09"))</f>
        <v>1.6240542460713468E-2</v>
      </c>
      <c r="C3155" s="3" cm="1">
        <f t="array" ref="C3155">AVERAGE(_xlfn._xlws.FILTER($E$2826:$E$3824, $A$2826:$A$3824="2022-09"))</f>
        <v>-2.054694184336583E-3</v>
      </c>
      <c r="D3155" s="3" cm="1">
        <f t="array" ref="D3155">_xlfn.PERCENTILE.EXC(_xlfn._xlws.FILTER($E$2490:$E$3818, $A$2490:$A$3818="2022-09"), 0.05)</f>
        <v>-3.3189867809601453E-2</v>
      </c>
      <c r="E3155" s="3">
        <v>-1.1999729630126642E-2</v>
      </c>
      <c r="F3155" s="3">
        <f t="shared" si="104"/>
        <v>-1.6296089264069075E-2</v>
      </c>
      <c r="G3155" s="3">
        <f t="shared" si="105"/>
        <v>-2.664698702013818E-2</v>
      </c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/>
      <c r="EI3155"/>
      <c r="EJ3155"/>
      <c r="EK3155"/>
      <c r="EL3155"/>
      <c r="EM3155"/>
      <c r="EN3155"/>
    </row>
    <row r="3156" spans="1:144" ht="12.5" customHeight="1" x14ac:dyDescent="0.35">
      <c r="A3156" t="s">
        <v>167</v>
      </c>
      <c r="E3156">
        <v>2.8648466155032574E-2</v>
      </c>
      <c r="F3156">
        <f t="shared" si="104"/>
        <v>-1.6305407298247941E-2</v>
      </c>
      <c r="G3156">
        <f t="shared" si="105"/>
        <v>-2.664698702013818E-2</v>
      </c>
    </row>
    <row r="3157" spans="1:144" ht="12.5" customHeight="1" x14ac:dyDescent="0.35">
      <c r="A3157" t="s">
        <v>167</v>
      </c>
      <c r="E3157">
        <v>-2.0325827140467288E-2</v>
      </c>
      <c r="F3157">
        <f t="shared" si="104"/>
        <v>-1.6314725332426804E-2</v>
      </c>
      <c r="G3157">
        <f t="shared" si="105"/>
        <v>-2.664698702013818E-2</v>
      </c>
    </row>
    <row r="3158" spans="1:144" ht="12.5" customHeight="1" x14ac:dyDescent="0.35">
      <c r="A3158" t="s">
        <v>167</v>
      </c>
      <c r="E3158">
        <v>1.9552708516364253E-5</v>
      </c>
      <c r="F3158">
        <f t="shared" si="104"/>
        <v>-1.6099367622183804E-2</v>
      </c>
      <c r="G3158">
        <f t="shared" si="105"/>
        <v>-2.6520638281075114E-2</v>
      </c>
    </row>
    <row r="3159" spans="1:144" ht="12.5" customHeight="1" x14ac:dyDescent="0.35">
      <c r="A3159" t="s">
        <v>167</v>
      </c>
      <c r="E3159">
        <v>4.0726116964657474E-4</v>
      </c>
      <c r="F3159">
        <f t="shared" si="104"/>
        <v>-1.6127843186784955E-2</v>
      </c>
      <c r="G3159">
        <f t="shared" si="105"/>
        <v>-2.6520638281075114E-2</v>
      </c>
    </row>
    <row r="3160" spans="1:144" ht="12.5" customHeight="1" x14ac:dyDescent="0.35">
      <c r="A3160" t="s">
        <v>167</v>
      </c>
      <c r="E3160">
        <v>8.7436828467673464E-3</v>
      </c>
      <c r="F3160">
        <f t="shared" si="104"/>
        <v>-1.6156318751386112E-2</v>
      </c>
      <c r="G3160">
        <f t="shared" si="105"/>
        <v>-2.6520638281075114E-2</v>
      </c>
    </row>
    <row r="3161" spans="1:144" ht="12.5" customHeight="1" x14ac:dyDescent="0.35">
      <c r="A3161" t="s">
        <v>167</v>
      </c>
      <c r="E3161">
        <v>1.9029812612632889E-2</v>
      </c>
      <c r="F3161">
        <f t="shared" si="104"/>
        <v>-1.6165636785564975E-2</v>
      </c>
      <c r="G3161">
        <f t="shared" si="105"/>
        <v>-2.6844523266377891E-2</v>
      </c>
    </row>
    <row r="3162" spans="1:144" ht="12.5" customHeight="1" x14ac:dyDescent="0.35">
      <c r="A3162" t="s">
        <v>167</v>
      </c>
      <c r="E3162">
        <v>2.307855304370782E-2</v>
      </c>
      <c r="F3162">
        <f t="shared" si="104"/>
        <v>-1.6174954819743841E-2</v>
      </c>
      <c r="G3162">
        <f t="shared" si="105"/>
        <v>-2.6844523266377891E-2</v>
      </c>
    </row>
    <row r="3163" spans="1:144" ht="12.5" customHeight="1" x14ac:dyDescent="0.35">
      <c r="A3163" t="s">
        <v>167</v>
      </c>
      <c r="E3163">
        <v>-1.3650219763021373E-2</v>
      </c>
      <c r="F3163">
        <f t="shared" si="104"/>
        <v>-1.6184272853922706E-2</v>
      </c>
      <c r="G3163">
        <f t="shared" si="105"/>
        <v>-2.6844523266377891E-2</v>
      </c>
    </row>
    <row r="3164" spans="1:144" ht="12.5" customHeight="1" x14ac:dyDescent="0.35">
      <c r="A3164" t="s">
        <v>167</v>
      </c>
      <c r="E3164">
        <v>4.9019135969042187E-3</v>
      </c>
      <c r="F3164">
        <f t="shared" si="104"/>
        <v>-1.6193590888101569E-2</v>
      </c>
      <c r="G3164">
        <f t="shared" si="105"/>
        <v>-2.6844523266377891E-2</v>
      </c>
    </row>
    <row r="3165" spans="1:144" ht="12.5" customHeight="1" x14ac:dyDescent="0.35">
      <c r="A3165" t="s">
        <v>167</v>
      </c>
      <c r="E3165">
        <v>-2.1277706105951814E-3</v>
      </c>
      <c r="F3165">
        <f t="shared" si="104"/>
        <v>-1.6202908922280435E-2</v>
      </c>
      <c r="G3165">
        <f t="shared" si="105"/>
        <v>-2.6844523266377891E-2</v>
      </c>
    </row>
    <row r="3166" spans="1:144" ht="12.5" customHeight="1" x14ac:dyDescent="0.35">
      <c r="A3166" t="s">
        <v>167</v>
      </c>
      <c r="E3166">
        <v>-1.1463653305445614E-2</v>
      </c>
      <c r="F3166">
        <f t="shared" si="104"/>
        <v>-1.6212226956459297E-2</v>
      </c>
      <c r="G3166">
        <f t="shared" si="105"/>
        <v>-2.6844523266377891E-2</v>
      </c>
    </row>
    <row r="3167" spans="1:144" ht="12.5" customHeight="1" x14ac:dyDescent="0.35">
      <c r="A3167" t="s">
        <v>167</v>
      </c>
      <c r="E3167">
        <v>-1.5365131528738305E-2</v>
      </c>
      <c r="F3167">
        <f t="shared" si="104"/>
        <v>-1.6221544990638163E-2</v>
      </c>
      <c r="G3167">
        <f t="shared" si="105"/>
        <v>-2.6844523266377891E-2</v>
      </c>
    </row>
    <row r="3168" spans="1:144" ht="12.5" customHeight="1" x14ac:dyDescent="0.35">
      <c r="A3168" t="s">
        <v>167</v>
      </c>
      <c r="E3168">
        <v>1.1963741509271252E-2</v>
      </c>
      <c r="F3168">
        <f t="shared" si="104"/>
        <v>-1.6230863024817025E-2</v>
      </c>
      <c r="G3168">
        <f t="shared" si="105"/>
        <v>-2.6844523266377891E-2</v>
      </c>
    </row>
    <row r="3169" spans="1:144" ht="12.5" customHeight="1" x14ac:dyDescent="0.35">
      <c r="A3169" t="s">
        <v>167</v>
      </c>
      <c r="E3169">
        <v>-1.0799714045226812E-2</v>
      </c>
      <c r="F3169">
        <f t="shared" si="104"/>
        <v>-1.6240181058995891E-2</v>
      </c>
      <c r="G3169">
        <f t="shared" si="105"/>
        <v>-2.6844523266377891E-2</v>
      </c>
    </row>
    <row r="3170" spans="1:144" ht="12.5" customHeight="1" x14ac:dyDescent="0.35">
      <c r="A3170" t="s">
        <v>167</v>
      </c>
      <c r="E3170">
        <v>-3.418266877889508E-2</v>
      </c>
      <c r="F3170">
        <f t="shared" si="104"/>
        <v>-1.6249499093174753E-2</v>
      </c>
      <c r="G3170">
        <f t="shared" si="105"/>
        <v>-2.6844523266377891E-2</v>
      </c>
    </row>
    <row r="3171" spans="1:144" ht="12.5" customHeight="1" x14ac:dyDescent="0.35">
      <c r="A3171" t="s">
        <v>167</v>
      </c>
      <c r="E3171">
        <v>6.656629853139342E-3</v>
      </c>
      <c r="F3171">
        <f t="shared" si="104"/>
        <v>-1.5900038669975726E-2</v>
      </c>
      <c r="G3171">
        <f t="shared" si="105"/>
        <v>-2.6281199828018232E-2</v>
      </c>
    </row>
    <row r="3172" spans="1:144" ht="12.5" customHeight="1" x14ac:dyDescent="0.35">
      <c r="A3172" t="s">
        <v>167</v>
      </c>
      <c r="E3172">
        <v>-1.1661407367662769E-2</v>
      </c>
      <c r="F3172">
        <f t="shared" si="104"/>
        <v>-1.592851423457688E-2</v>
      </c>
      <c r="G3172">
        <f t="shared" si="105"/>
        <v>-2.6281199828018232E-2</v>
      </c>
    </row>
    <row r="3173" spans="1:144" ht="12.5" customHeight="1" x14ac:dyDescent="0.35">
      <c r="A3173" t="s">
        <v>167</v>
      </c>
      <c r="E3173">
        <v>-5.1996993800617966E-3</v>
      </c>
      <c r="F3173">
        <f t="shared" si="104"/>
        <v>-1.5956989799178034E-2</v>
      </c>
      <c r="G3173">
        <f t="shared" si="105"/>
        <v>-2.6281199828018232E-2</v>
      </c>
    </row>
    <row r="3174" spans="1:144" ht="12.5" customHeight="1" x14ac:dyDescent="0.35">
      <c r="A3174" t="s">
        <v>167</v>
      </c>
      <c r="E3174">
        <v>-2.4254659085958842E-2</v>
      </c>
      <c r="F3174">
        <f t="shared" si="104"/>
        <v>-1.5985465363779185E-2</v>
      </c>
      <c r="G3174">
        <f t="shared" si="105"/>
        <v>-2.6281199828018232E-2</v>
      </c>
    </row>
    <row r="3175" spans="1:144" ht="12.5" customHeight="1" x14ac:dyDescent="0.35">
      <c r="A3175" t="s">
        <v>167</v>
      </c>
      <c r="E3175">
        <v>1.4432289269513073E-2</v>
      </c>
      <c r="F3175">
        <f t="shared" si="104"/>
        <v>-1.5573522436299374E-2</v>
      </c>
      <c r="G3175">
        <f t="shared" si="105"/>
        <v>-2.6010329464687117E-2</v>
      </c>
    </row>
    <row r="3176" spans="1:144" s="3" customFormat="1" x14ac:dyDescent="0.35">
      <c r="A3176" s="3" t="s">
        <v>168</v>
      </c>
      <c r="B3176" s="3" cm="1">
        <f t="array" ref="B3176">_xlfn.STDEV.S(_xlfn._xlws.FILTER($E$2826:$E$3824, $A$2826:$A$3824="2022-10"))</f>
        <v>1.2730394614413653E-2</v>
      </c>
      <c r="C3176" s="3" cm="1">
        <f t="array" ref="C3176">AVERAGE(_xlfn._xlws.FILTER($E$2826:$E$3824, $A$2826:$A$3824="2022-10"))</f>
        <v>4.4092084066411109E-3</v>
      </c>
      <c r="D3176" s="3" cm="1">
        <f t="array" ref="D3176">_xlfn.PERCENTILE.EXC(_xlfn._xlws.FILTER($E$2490:$E$3818, $A$2490:$A$3818="2022-10"), 0.05)</f>
        <v>-1.5075158700783686E-2</v>
      </c>
      <c r="E3176" s="3">
        <v>1.5555765653226094E-2</v>
      </c>
      <c r="F3176" s="3">
        <f t="shared" si="104"/>
        <v>-1.5576179440912106E-2</v>
      </c>
      <c r="G3176" s="3">
        <f t="shared" si="105"/>
        <v>-2.6010329464687117E-2</v>
      </c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/>
      <c r="EH3176"/>
      <c r="EI3176"/>
      <c r="EJ3176"/>
      <c r="EK3176"/>
      <c r="EL3176"/>
      <c r="EM3176"/>
      <c r="EN3176"/>
    </row>
    <row r="3177" spans="1:144" ht="12.5" customHeight="1" x14ac:dyDescent="0.35">
      <c r="A3177" t="s">
        <v>168</v>
      </c>
      <c r="E3177">
        <v>3.3665898679944017E-2</v>
      </c>
      <c r="F3177">
        <f t="shared" si="104"/>
        <v>-1.5578836445524836E-2</v>
      </c>
      <c r="G3177">
        <f t="shared" si="105"/>
        <v>-2.6010329464687117E-2</v>
      </c>
    </row>
    <row r="3178" spans="1:144" ht="12.5" customHeight="1" x14ac:dyDescent="0.35">
      <c r="A3178" t="s">
        <v>168</v>
      </c>
      <c r="E3178">
        <v>-1.5327570727757468E-2</v>
      </c>
      <c r="F3178">
        <f t="shared" si="104"/>
        <v>-1.5581493450137568E-2</v>
      </c>
      <c r="G3178">
        <f t="shared" si="105"/>
        <v>-2.6010329464687117E-2</v>
      </c>
    </row>
    <row r="3179" spans="1:144" ht="12.5" customHeight="1" x14ac:dyDescent="0.35">
      <c r="A3179" t="s">
        <v>168</v>
      </c>
      <c r="E3179">
        <v>-1.036072425608262E-2</v>
      </c>
      <c r="F3179">
        <f t="shared" si="104"/>
        <v>-1.55841504547503E-2</v>
      </c>
      <c r="G3179">
        <f t="shared" si="105"/>
        <v>-2.6010329464687117E-2</v>
      </c>
    </row>
    <row r="3180" spans="1:144" ht="12.5" customHeight="1" x14ac:dyDescent="0.35">
      <c r="A3180" t="s">
        <v>168</v>
      </c>
      <c r="E3180">
        <v>-1.1369199799403899E-2</v>
      </c>
      <c r="F3180">
        <f t="shared" si="104"/>
        <v>-1.5586807459363031E-2</v>
      </c>
      <c r="G3180">
        <f t="shared" si="105"/>
        <v>-2.6010329464687117E-2</v>
      </c>
    </row>
    <row r="3181" spans="1:144" ht="12.5" customHeight="1" x14ac:dyDescent="0.35">
      <c r="A3181" t="s">
        <v>168</v>
      </c>
      <c r="E3181">
        <v>5.452651510741679E-4</v>
      </c>
      <c r="F3181">
        <f t="shared" si="104"/>
        <v>-1.5615283023964184E-2</v>
      </c>
      <c r="G3181">
        <f t="shared" si="105"/>
        <v>-2.6346572110020151E-2</v>
      </c>
    </row>
    <row r="3182" spans="1:144" ht="12.5" customHeight="1" x14ac:dyDescent="0.35">
      <c r="A3182" t="s">
        <v>168</v>
      </c>
      <c r="E3182">
        <v>-8.7630166944568707E-3</v>
      </c>
      <c r="F3182">
        <f t="shared" si="104"/>
        <v>-1.5643758588565339E-2</v>
      </c>
      <c r="G3182">
        <f t="shared" si="105"/>
        <v>-2.6346572110020151E-2</v>
      </c>
    </row>
    <row r="3183" spans="1:144" ht="12.5" customHeight="1" x14ac:dyDescent="0.35">
      <c r="A3183" t="s">
        <v>168</v>
      </c>
      <c r="E3183">
        <v>-1.2803450458019656E-2</v>
      </c>
      <c r="F3183">
        <f t="shared" si="104"/>
        <v>-1.5672234153166494E-2</v>
      </c>
      <c r="G3183">
        <f t="shared" si="105"/>
        <v>-2.6346572110020151E-2</v>
      </c>
    </row>
    <row r="3184" spans="1:144" ht="12.5" customHeight="1" x14ac:dyDescent="0.35">
      <c r="A3184" t="s">
        <v>168</v>
      </c>
      <c r="E3184">
        <v>1.5468428121777192E-2</v>
      </c>
      <c r="F3184">
        <f t="shared" si="104"/>
        <v>-1.5700709717767648E-2</v>
      </c>
      <c r="G3184">
        <f t="shared" si="105"/>
        <v>-2.6346572110020151E-2</v>
      </c>
    </row>
    <row r="3185" spans="1:144" ht="12.5" customHeight="1" x14ac:dyDescent="0.35">
      <c r="A3185" t="s">
        <v>168</v>
      </c>
      <c r="E3185">
        <v>6.9512126851173344E-3</v>
      </c>
      <c r="F3185">
        <f t="shared" si="104"/>
        <v>-1.5729185282368802E-2</v>
      </c>
      <c r="G3185">
        <f t="shared" si="105"/>
        <v>-2.6346572110020151E-2</v>
      </c>
    </row>
    <row r="3186" spans="1:144" ht="12.5" customHeight="1" x14ac:dyDescent="0.35">
      <c r="A3186" t="s">
        <v>168</v>
      </c>
      <c r="E3186">
        <v>1.841069891327847E-2</v>
      </c>
      <c r="F3186">
        <f t="shared" si="104"/>
        <v>-1.5757660846969956E-2</v>
      </c>
      <c r="G3186">
        <f t="shared" si="105"/>
        <v>-2.6346572110020151E-2</v>
      </c>
    </row>
    <row r="3187" spans="1:144" ht="12.5" customHeight="1" x14ac:dyDescent="0.35">
      <c r="A3187" t="s">
        <v>168</v>
      </c>
      <c r="E3187">
        <v>9.2931071843991506E-3</v>
      </c>
      <c r="F3187">
        <f t="shared" si="104"/>
        <v>-1.578613641157111E-2</v>
      </c>
      <c r="G3187">
        <f t="shared" si="105"/>
        <v>-2.6346572110020151E-2</v>
      </c>
    </row>
    <row r="3188" spans="1:144" ht="12.5" customHeight="1" x14ac:dyDescent="0.35">
      <c r="A3188" t="s">
        <v>168</v>
      </c>
      <c r="E3188">
        <v>-2.1711585097797378E-3</v>
      </c>
      <c r="F3188">
        <f t="shared" si="104"/>
        <v>-1.5814611976172264E-2</v>
      </c>
      <c r="G3188">
        <f t="shared" si="105"/>
        <v>-2.6346572110020151E-2</v>
      </c>
    </row>
    <row r="3189" spans="1:144" ht="12.5" customHeight="1" x14ac:dyDescent="0.35">
      <c r="A3189" t="s">
        <v>168</v>
      </c>
      <c r="E3189">
        <v>1.0626498854425327E-2</v>
      </c>
      <c r="F3189">
        <f t="shared" si="104"/>
        <v>-1.5843087540773418E-2</v>
      </c>
      <c r="G3189">
        <f t="shared" si="105"/>
        <v>-2.6346572110020151E-2</v>
      </c>
    </row>
    <row r="3190" spans="1:144" ht="12.5" customHeight="1" x14ac:dyDescent="0.35">
      <c r="A3190" t="s">
        <v>168</v>
      </c>
      <c r="E3190">
        <v>-6.1915123124823496E-3</v>
      </c>
      <c r="F3190">
        <f t="shared" si="104"/>
        <v>-1.5871563105374572E-2</v>
      </c>
      <c r="G3190">
        <f t="shared" si="105"/>
        <v>-2.6346572110020151E-2</v>
      </c>
    </row>
    <row r="3191" spans="1:144" ht="12.5" customHeight="1" x14ac:dyDescent="0.35">
      <c r="A3191" t="s">
        <v>168</v>
      </c>
      <c r="E3191">
        <v>1.9077282621652501E-2</v>
      </c>
      <c r="F3191">
        <f t="shared" si="104"/>
        <v>-1.5900038669975726E-2</v>
      </c>
      <c r="G3191">
        <f t="shared" si="105"/>
        <v>-2.6346572110020151E-2</v>
      </c>
    </row>
    <row r="3192" spans="1:144" ht="12.5" customHeight="1" x14ac:dyDescent="0.35">
      <c r="A3192" t="s">
        <v>168</v>
      </c>
      <c r="E3192">
        <v>1.3864265009469308E-2</v>
      </c>
      <c r="F3192">
        <f t="shared" si="104"/>
        <v>-1.592851423457688E-2</v>
      </c>
      <c r="G3192">
        <f t="shared" si="105"/>
        <v>-2.6346572110020151E-2</v>
      </c>
    </row>
    <row r="3193" spans="1:144" ht="12.5" customHeight="1" x14ac:dyDescent="0.35">
      <c r="A3193" t="s">
        <v>168</v>
      </c>
      <c r="E3193">
        <v>4.4731868472602911E-3</v>
      </c>
      <c r="F3193">
        <f t="shared" si="104"/>
        <v>-1.5956989799178034E-2</v>
      </c>
      <c r="G3193">
        <f t="shared" si="105"/>
        <v>-2.6346572110020151E-2</v>
      </c>
    </row>
    <row r="3194" spans="1:144" ht="12.5" customHeight="1" x14ac:dyDescent="0.35">
      <c r="A3194" t="s">
        <v>168</v>
      </c>
      <c r="E3194">
        <v>8.9208751916430868E-3</v>
      </c>
      <c r="F3194">
        <f t="shared" si="104"/>
        <v>-1.5985465363779188E-2</v>
      </c>
      <c r="G3194">
        <f t="shared" si="105"/>
        <v>-2.6346572110020151E-2</v>
      </c>
    </row>
    <row r="3195" spans="1:144" ht="12.5" customHeight="1" x14ac:dyDescent="0.35">
      <c r="A3195" t="s">
        <v>168</v>
      </c>
      <c r="E3195">
        <v>-2.7132343364890499E-3</v>
      </c>
      <c r="F3195">
        <f t="shared" si="104"/>
        <v>-1.6013940928380342E-2</v>
      </c>
      <c r="G3195">
        <f t="shared" si="105"/>
        <v>-2.6346572110020151E-2</v>
      </c>
    </row>
    <row r="3196" spans="1:144" ht="12.5" customHeight="1" x14ac:dyDescent="0.35">
      <c r="A3196" t="s">
        <v>168</v>
      </c>
      <c r="E3196">
        <v>5.4407587206680265E-3</v>
      </c>
      <c r="F3196">
        <f t="shared" si="104"/>
        <v>-1.6042416492981496E-2</v>
      </c>
      <c r="G3196">
        <f t="shared" si="105"/>
        <v>-2.6346572110020151E-2</v>
      </c>
    </row>
    <row r="3197" spans="1:144" s="3" customFormat="1" x14ac:dyDescent="0.35">
      <c r="A3197" s="3" t="s">
        <v>169</v>
      </c>
      <c r="B3197" s="3" cm="1">
        <f t="array" ref="B3197">_xlfn.STDEV.S(_xlfn._xlws.FILTER($E$2826:$E$3824, $A$2826:$A$3824="2022-11"))</f>
        <v>9.7735874054070727E-3</v>
      </c>
      <c r="C3197" s="3" cm="1">
        <f t="array" ref="C3197">AVERAGE(_xlfn._xlws.FILTER($E$2826:$E$3824, $A$2826:$A$3824="2022-11"))</f>
        <v>3.7687110835514718E-3</v>
      </c>
      <c r="D3197" s="3" cm="1">
        <f t="array" ref="D3197">_xlfn.PERCENTILE.EXC(_xlfn._xlws.FILTER($E$2490:$E$3818, $A$2490:$A$3818="2022-11"), 0.05)</f>
        <v>-1.2761064084958347E-2</v>
      </c>
      <c r="E3197" s="3">
        <v>6.3162852806849679E-3</v>
      </c>
      <c r="F3197" s="3">
        <f t="shared" si="104"/>
        <v>-1.607089205758265E-2</v>
      </c>
      <c r="G3197" s="3">
        <f t="shared" si="105"/>
        <v>-2.6346572110020151E-2</v>
      </c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/>
      <c r="EI3197"/>
      <c r="EJ3197"/>
      <c r="EK3197"/>
      <c r="EL3197"/>
      <c r="EM3197"/>
      <c r="EN3197"/>
    </row>
    <row r="3198" spans="1:144" ht="12.5" customHeight="1" x14ac:dyDescent="0.35">
      <c r="A3198" t="s">
        <v>169</v>
      </c>
      <c r="E3198">
        <v>3.2150103098061702E-4</v>
      </c>
      <c r="F3198">
        <f t="shared" si="104"/>
        <v>-1.6099367622183804E-2</v>
      </c>
      <c r="G3198">
        <f t="shared" si="105"/>
        <v>-2.6346572110020151E-2</v>
      </c>
    </row>
    <row r="3199" spans="1:144" ht="12.5" customHeight="1" x14ac:dyDescent="0.35">
      <c r="A3199" t="s">
        <v>169</v>
      </c>
      <c r="E3199">
        <v>-4.2607030683757402E-3</v>
      </c>
      <c r="F3199">
        <f t="shared" si="104"/>
        <v>-1.6127843186784958E-2</v>
      </c>
      <c r="G3199">
        <f t="shared" si="105"/>
        <v>-2.6346572110020151E-2</v>
      </c>
    </row>
    <row r="3200" spans="1:144" ht="12.5" customHeight="1" x14ac:dyDescent="0.35">
      <c r="A3200" t="s">
        <v>169</v>
      </c>
      <c r="E3200">
        <v>2.5070199817232141E-2</v>
      </c>
      <c r="F3200">
        <f t="shared" si="104"/>
        <v>-1.6156318751386112E-2</v>
      </c>
      <c r="G3200">
        <f t="shared" si="105"/>
        <v>-2.6346572110020151E-2</v>
      </c>
    </row>
    <row r="3201" spans="1:7" ht="12.5" customHeight="1" x14ac:dyDescent="0.35">
      <c r="A3201" t="s">
        <v>169</v>
      </c>
      <c r="E3201">
        <v>9.0022170532725772E-3</v>
      </c>
      <c r="F3201">
        <f t="shared" si="104"/>
        <v>-1.6165636785564975E-2</v>
      </c>
      <c r="G3201">
        <f t="shared" si="105"/>
        <v>-2.6686247221974616E-2</v>
      </c>
    </row>
    <row r="3202" spans="1:7" ht="12.5" customHeight="1" x14ac:dyDescent="0.35">
      <c r="A3202" t="s">
        <v>169</v>
      </c>
      <c r="E3202">
        <v>8.5265218821069123E-3</v>
      </c>
      <c r="F3202">
        <f t="shared" si="104"/>
        <v>-1.6174954819743841E-2</v>
      </c>
      <c r="G3202">
        <f t="shared" si="105"/>
        <v>-2.6686247221974616E-2</v>
      </c>
    </row>
    <row r="3203" spans="1:7" ht="12.5" customHeight="1" x14ac:dyDescent="0.35">
      <c r="A3203" t="s">
        <v>169</v>
      </c>
      <c r="E3203">
        <v>3.6188085894121535E-3</v>
      </c>
      <c r="F3203">
        <f t="shared" si="104"/>
        <v>-1.6184272853922706E-2</v>
      </c>
      <c r="G3203">
        <f t="shared" si="105"/>
        <v>-2.6686247221974616E-2</v>
      </c>
    </row>
    <row r="3204" spans="1:7" ht="12.5" customHeight="1" x14ac:dyDescent="0.35">
      <c r="A3204" t="s">
        <v>169</v>
      </c>
      <c r="E3204">
        <v>2.5500843679094928E-2</v>
      </c>
      <c r="F3204">
        <f t="shared" ref="F3204:F3267" si="106">_xlfn.PERCENTILE.EXC(E3204:E7019,0.05)</f>
        <v>-1.6193590888101569E-2</v>
      </c>
      <c r="G3204">
        <f t="shared" ref="G3204:G3267" si="107">AVERAGEIFS(E3204:E7020,E3204:E7020,"&lt;=" &amp; F3204)</f>
        <v>-2.6686247221974616E-2</v>
      </c>
    </row>
    <row r="3205" spans="1:7" ht="12.5" customHeight="1" x14ac:dyDescent="0.35">
      <c r="A3205" t="s">
        <v>169</v>
      </c>
      <c r="E3205">
        <v>2.5093232491156612E-3</v>
      </c>
      <c r="F3205">
        <f t="shared" si="106"/>
        <v>-1.6202908922280435E-2</v>
      </c>
      <c r="G3205">
        <f t="shared" si="107"/>
        <v>-2.6686247221974616E-2</v>
      </c>
    </row>
    <row r="3206" spans="1:7" ht="12.5" customHeight="1" x14ac:dyDescent="0.35">
      <c r="A3206" t="s">
        <v>169</v>
      </c>
      <c r="E3206">
        <v>5.7538792031022667E-3</v>
      </c>
      <c r="F3206">
        <f t="shared" si="106"/>
        <v>-1.6212226956459297E-2</v>
      </c>
      <c r="G3206">
        <f t="shared" si="107"/>
        <v>-2.6686247221974616E-2</v>
      </c>
    </row>
    <row r="3207" spans="1:7" ht="12.5" customHeight="1" x14ac:dyDescent="0.35">
      <c r="A3207" t="s">
        <v>169</v>
      </c>
      <c r="E3207">
        <v>4.1812410854769073E-3</v>
      </c>
      <c r="F3207">
        <f t="shared" si="106"/>
        <v>-1.6221544990638163E-2</v>
      </c>
      <c r="G3207">
        <f t="shared" si="107"/>
        <v>-2.6686247221974616E-2</v>
      </c>
    </row>
    <row r="3208" spans="1:7" ht="12.5" customHeight="1" x14ac:dyDescent="0.35">
      <c r="A3208" t="s">
        <v>169</v>
      </c>
      <c r="E3208">
        <v>-6.8444918562455296E-3</v>
      </c>
      <c r="F3208">
        <f t="shared" si="106"/>
        <v>-1.6230863024817025E-2</v>
      </c>
      <c r="G3208">
        <f t="shared" si="107"/>
        <v>-2.6686247221974616E-2</v>
      </c>
    </row>
    <row r="3209" spans="1:7" ht="12.5" customHeight="1" x14ac:dyDescent="0.35">
      <c r="A3209" t="s">
        <v>169</v>
      </c>
      <c r="E3209">
        <v>-7.8411007308367472E-3</v>
      </c>
      <c r="F3209">
        <f t="shared" si="106"/>
        <v>-1.6240181058995891E-2</v>
      </c>
      <c r="G3209">
        <f t="shared" si="107"/>
        <v>-2.6686247221974616E-2</v>
      </c>
    </row>
    <row r="3210" spans="1:7" ht="12.5" customHeight="1" x14ac:dyDescent="0.35">
      <c r="A3210" t="s">
        <v>169</v>
      </c>
      <c r="E3210">
        <v>1.3690350587627889E-2</v>
      </c>
      <c r="F3210">
        <f t="shared" si="106"/>
        <v>-1.6249499093174753E-2</v>
      </c>
      <c r="G3210">
        <f t="shared" si="107"/>
        <v>-2.6686247221974616E-2</v>
      </c>
    </row>
    <row r="3211" spans="1:7" ht="12.5" customHeight="1" x14ac:dyDescent="0.35">
      <c r="A3211" t="s">
        <v>169</v>
      </c>
      <c r="E3211">
        <v>-1.3017601499297777E-2</v>
      </c>
      <c r="F3211">
        <f t="shared" si="106"/>
        <v>-1.6258817127353619E-2</v>
      </c>
      <c r="G3211">
        <f t="shared" si="107"/>
        <v>-2.6686247221974616E-2</v>
      </c>
    </row>
    <row r="3212" spans="1:7" ht="12.5" customHeight="1" x14ac:dyDescent="0.35">
      <c r="A3212" t="s">
        <v>169</v>
      </c>
      <c r="E3212">
        <v>9.5799108638016731E-3</v>
      </c>
      <c r="F3212">
        <f t="shared" si="106"/>
        <v>-1.6268135161532481E-2</v>
      </c>
      <c r="G3212">
        <f t="shared" si="107"/>
        <v>-2.6686247221974616E-2</v>
      </c>
    </row>
    <row r="3213" spans="1:7" ht="12.5" customHeight="1" x14ac:dyDescent="0.35">
      <c r="A3213" t="s">
        <v>169</v>
      </c>
      <c r="E3213">
        <v>-3.8070725780356337E-4</v>
      </c>
      <c r="F3213">
        <f t="shared" si="106"/>
        <v>-1.6277453195711347E-2</v>
      </c>
      <c r="G3213">
        <f t="shared" si="107"/>
        <v>-2.6686247221974616E-2</v>
      </c>
    </row>
    <row r="3214" spans="1:7" ht="12.5" customHeight="1" x14ac:dyDescent="0.35">
      <c r="A3214" t="s">
        <v>169</v>
      </c>
      <c r="E3214">
        <v>6.0735873310021242E-3</v>
      </c>
      <c r="F3214">
        <f t="shared" si="106"/>
        <v>-1.6286771229890213E-2</v>
      </c>
      <c r="G3214">
        <f t="shared" si="107"/>
        <v>-2.6686247221974616E-2</v>
      </c>
    </row>
    <row r="3215" spans="1:7" ht="12.5" customHeight="1" x14ac:dyDescent="0.35">
      <c r="A3215" t="s">
        <v>169</v>
      </c>
      <c r="E3215">
        <v>-4.8857729127967553E-4</v>
      </c>
      <c r="F3215">
        <f t="shared" si="106"/>
        <v>-1.6296089264069075E-2</v>
      </c>
      <c r="G3215">
        <f t="shared" si="107"/>
        <v>-2.6686247221974616E-2</v>
      </c>
    </row>
    <row r="3216" spans="1:7" ht="12.5" customHeight="1" x14ac:dyDescent="0.35">
      <c r="A3216" t="s">
        <v>169</v>
      </c>
      <c r="E3216">
        <v>-1.1307352070368244E-2</v>
      </c>
      <c r="F3216">
        <f t="shared" si="106"/>
        <v>-1.6305407298247941E-2</v>
      </c>
      <c r="G3216">
        <f t="shared" si="107"/>
        <v>-2.6686247221974616E-2</v>
      </c>
    </row>
    <row r="3217" spans="1:144" ht="12.5" customHeight="1" x14ac:dyDescent="0.35">
      <c r="A3217" t="s">
        <v>169</v>
      </c>
      <c r="E3217">
        <v>1.0252147684014787E-3</v>
      </c>
      <c r="F3217">
        <f t="shared" si="106"/>
        <v>-1.6314725332426804E-2</v>
      </c>
      <c r="G3217">
        <f t="shared" si="107"/>
        <v>-2.6686247221974616E-2</v>
      </c>
    </row>
    <row r="3218" spans="1:144" ht="12.5" customHeight="1" x14ac:dyDescent="0.35">
      <c r="A3218" t="s">
        <v>169</v>
      </c>
      <c r="E3218">
        <v>5.8822931910273574E-3</v>
      </c>
      <c r="F3218">
        <f t="shared" si="106"/>
        <v>-1.6324043366605669E-2</v>
      </c>
      <c r="G3218">
        <f t="shared" si="107"/>
        <v>-2.6686247221974616E-2</v>
      </c>
    </row>
    <row r="3219" spans="1:144" s="3" customFormat="1" x14ac:dyDescent="0.35">
      <c r="A3219" s="3" t="s">
        <v>170</v>
      </c>
      <c r="B3219" s="3" cm="1">
        <f t="array" ref="B3219">_xlfn.STDEV.S(_xlfn._xlws.FILTER($E$2826:$E$3824, $A$2826:$A$3824="2022-12"))</f>
        <v>1.1103606845819567E-2</v>
      </c>
      <c r="C3219" s="3" cm="1">
        <f t="array" ref="C3219">AVERAGE(_xlfn._xlws.FILTER($E$2826:$E$3824, $A$2826:$A$3824="2022-12"))</f>
        <v>-1.8697986123470439E-3</v>
      </c>
      <c r="D3219" s="3" cm="1">
        <f t="array" ref="D3219">_xlfn.PERCENTILE.EXC(_xlfn._xlws.FILTER($E$2490:$E$3818, $A$2490:$A$3818="2022-12"), 0.05)</f>
        <v>-3.4088829700625892E-2</v>
      </c>
      <c r="E3219" s="3">
        <v>3.0582651703031068E-3</v>
      </c>
      <c r="F3219" s="3">
        <f t="shared" si="106"/>
        <v>-1.6333361400784532E-2</v>
      </c>
      <c r="G3219" s="3">
        <f t="shared" si="107"/>
        <v>-2.6686247221974616E-2</v>
      </c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</row>
    <row r="3220" spans="1:144" ht="12.5" customHeight="1" x14ac:dyDescent="0.35">
      <c r="A3220" t="s">
        <v>170</v>
      </c>
      <c r="E3220">
        <v>-2.5939331145791019E-3</v>
      </c>
      <c r="F3220">
        <f t="shared" si="106"/>
        <v>-1.6342679434963397E-2</v>
      </c>
      <c r="G3220">
        <f t="shared" si="107"/>
        <v>-2.6686247221974616E-2</v>
      </c>
    </row>
    <row r="3221" spans="1:144" ht="12.5" customHeight="1" x14ac:dyDescent="0.35">
      <c r="A3221" t="s">
        <v>170</v>
      </c>
      <c r="E3221">
        <v>-3.0051135539568906E-3</v>
      </c>
      <c r="F3221">
        <f t="shared" si="106"/>
        <v>-1.635068142534972E-2</v>
      </c>
      <c r="G3221">
        <f t="shared" si="107"/>
        <v>-2.704292197325087E-2</v>
      </c>
    </row>
    <row r="3222" spans="1:144" ht="12.5" customHeight="1" x14ac:dyDescent="0.35">
      <c r="A3222" t="s">
        <v>170</v>
      </c>
      <c r="E3222">
        <v>-1.1570338748041522E-2</v>
      </c>
      <c r="F3222">
        <f t="shared" si="106"/>
        <v>-1.6358683415736038E-2</v>
      </c>
      <c r="G3222">
        <f t="shared" si="107"/>
        <v>-2.704292197325087E-2</v>
      </c>
    </row>
    <row r="3223" spans="1:144" ht="12.5" customHeight="1" x14ac:dyDescent="0.35">
      <c r="A3223" t="s">
        <v>170</v>
      </c>
      <c r="E3223">
        <v>-9.9367519535447377E-4</v>
      </c>
      <c r="F3223">
        <f t="shared" si="106"/>
        <v>-1.636668540612236E-2</v>
      </c>
      <c r="G3223">
        <f t="shared" si="107"/>
        <v>-2.704292197325087E-2</v>
      </c>
    </row>
    <row r="3224" spans="1:144" ht="12.5" customHeight="1" x14ac:dyDescent="0.35">
      <c r="A3224" t="s">
        <v>170</v>
      </c>
      <c r="E3224">
        <v>-1.4006549824520601E-3</v>
      </c>
      <c r="F3224">
        <f t="shared" si="106"/>
        <v>-1.6374687396508682E-2</v>
      </c>
      <c r="G3224">
        <f t="shared" si="107"/>
        <v>-2.704292197325087E-2</v>
      </c>
    </row>
    <row r="3225" spans="1:144" ht="12.5" customHeight="1" x14ac:dyDescent="0.35">
      <c r="A3225" t="s">
        <v>170</v>
      </c>
      <c r="E3225">
        <v>2.8903858450938223E-3</v>
      </c>
      <c r="F3225">
        <f t="shared" si="106"/>
        <v>-1.6382689386895001E-2</v>
      </c>
      <c r="G3225">
        <f t="shared" si="107"/>
        <v>-2.704292197325087E-2</v>
      </c>
    </row>
    <row r="3226" spans="1:144" ht="12.5" customHeight="1" x14ac:dyDescent="0.35">
      <c r="A3226" t="s">
        <v>170</v>
      </c>
      <c r="E3226">
        <v>1.0781956275309186E-3</v>
      </c>
      <c r="F3226">
        <f t="shared" si="106"/>
        <v>-1.6390691377281323E-2</v>
      </c>
      <c r="G3226">
        <f t="shared" si="107"/>
        <v>-2.704292197325087E-2</v>
      </c>
    </row>
    <row r="3227" spans="1:144" ht="12.5" customHeight="1" x14ac:dyDescent="0.35">
      <c r="A3227" t="s">
        <v>170</v>
      </c>
      <c r="E3227">
        <v>1.3619163431831902E-2</v>
      </c>
      <c r="F3227">
        <f t="shared" si="106"/>
        <v>-1.6398693367667642E-2</v>
      </c>
      <c r="G3227">
        <f t="shared" si="107"/>
        <v>-2.704292197325087E-2</v>
      </c>
    </row>
    <row r="3228" spans="1:144" ht="12.5" customHeight="1" x14ac:dyDescent="0.35">
      <c r="A3228" t="s">
        <v>170</v>
      </c>
      <c r="E3228">
        <v>-2.5608177394077624E-3</v>
      </c>
      <c r="F3228">
        <f t="shared" si="106"/>
        <v>-1.6406695358053964E-2</v>
      </c>
      <c r="G3228">
        <f t="shared" si="107"/>
        <v>-2.704292197325087E-2</v>
      </c>
    </row>
    <row r="3229" spans="1:144" ht="12.5" customHeight="1" x14ac:dyDescent="0.35">
      <c r="A3229" t="s">
        <v>170</v>
      </c>
      <c r="E3229">
        <v>-3.5112524272791386E-2</v>
      </c>
      <c r="F3229">
        <f t="shared" si="106"/>
        <v>-1.6414697348440286E-2</v>
      </c>
      <c r="G3229">
        <f t="shared" si="107"/>
        <v>-2.704292197325087E-2</v>
      </c>
    </row>
    <row r="3230" spans="1:144" ht="12.5" customHeight="1" x14ac:dyDescent="0.35">
      <c r="A3230" t="s">
        <v>170</v>
      </c>
      <c r="E3230">
        <v>-1.5982553781063219E-3</v>
      </c>
      <c r="F3230">
        <f t="shared" si="106"/>
        <v>-1.6249499093174753E-2</v>
      </c>
      <c r="G3230">
        <f t="shared" si="107"/>
        <v>-2.6395685944360245E-2</v>
      </c>
    </row>
    <row r="3231" spans="1:144" ht="12.5" customHeight="1" x14ac:dyDescent="0.35">
      <c r="A3231" t="s">
        <v>170</v>
      </c>
      <c r="E3231">
        <v>-1.9505316527151652E-4</v>
      </c>
      <c r="F3231">
        <f t="shared" si="106"/>
        <v>-1.6258817127353619E-2</v>
      </c>
      <c r="G3231">
        <f t="shared" si="107"/>
        <v>-2.6395685944360245E-2</v>
      </c>
    </row>
    <row r="3232" spans="1:144" ht="12.5" customHeight="1" x14ac:dyDescent="0.35">
      <c r="A3232" t="s">
        <v>170</v>
      </c>
      <c r="E3232">
        <v>1.4645019187560862E-3</v>
      </c>
      <c r="F3232">
        <f t="shared" si="106"/>
        <v>-1.6268135161532481E-2</v>
      </c>
      <c r="G3232">
        <f t="shared" si="107"/>
        <v>-2.6395685944360245E-2</v>
      </c>
    </row>
    <row r="3233" spans="1:144" ht="12.5" customHeight="1" x14ac:dyDescent="0.35">
      <c r="A3233" t="s">
        <v>170</v>
      </c>
      <c r="E3233">
        <v>1.6463603684800359E-2</v>
      </c>
      <c r="F3233">
        <f t="shared" si="106"/>
        <v>-1.6277453195711347E-2</v>
      </c>
      <c r="G3233">
        <f t="shared" si="107"/>
        <v>-2.6395685944360245E-2</v>
      </c>
    </row>
    <row r="3234" spans="1:144" ht="12.5" customHeight="1" x14ac:dyDescent="0.35">
      <c r="A3234" t="s">
        <v>170</v>
      </c>
      <c r="E3234">
        <v>-1.2464149566484846E-2</v>
      </c>
      <c r="F3234">
        <f t="shared" si="106"/>
        <v>-1.6286771229890213E-2</v>
      </c>
      <c r="G3234">
        <f t="shared" si="107"/>
        <v>-2.6395685944360245E-2</v>
      </c>
    </row>
    <row r="3235" spans="1:144" ht="12.5" customHeight="1" x14ac:dyDescent="0.35">
      <c r="A3235" t="s">
        <v>170</v>
      </c>
      <c r="E3235">
        <v>2.6944388230131754E-3</v>
      </c>
      <c r="F3235">
        <f t="shared" si="106"/>
        <v>-1.6296089264069075E-2</v>
      </c>
      <c r="G3235">
        <f t="shared" si="107"/>
        <v>-2.6395685944360245E-2</v>
      </c>
    </row>
    <row r="3236" spans="1:144" ht="12.5" customHeight="1" x14ac:dyDescent="0.35">
      <c r="A3236" t="s">
        <v>170</v>
      </c>
      <c r="E3236">
        <v>-4.4958950175422426E-3</v>
      </c>
      <c r="F3236">
        <f t="shared" si="106"/>
        <v>-1.6305407298247941E-2</v>
      </c>
      <c r="G3236">
        <f t="shared" si="107"/>
        <v>-2.6395685944360245E-2</v>
      </c>
    </row>
    <row r="3237" spans="1:144" ht="12.5" customHeight="1" x14ac:dyDescent="0.35">
      <c r="A3237" t="s">
        <v>170</v>
      </c>
      <c r="E3237">
        <v>1.1964516815199432E-2</v>
      </c>
      <c r="F3237">
        <f t="shared" si="106"/>
        <v>-1.6314725332426804E-2</v>
      </c>
      <c r="G3237">
        <f t="shared" si="107"/>
        <v>-2.6395685944360245E-2</v>
      </c>
    </row>
    <row r="3238" spans="1:144" ht="12.5" customHeight="1" x14ac:dyDescent="0.35">
      <c r="A3238" t="s">
        <v>170</v>
      </c>
      <c r="E3238">
        <v>-1.4638632829481545E-2</v>
      </c>
      <c r="F3238">
        <f t="shared" si="106"/>
        <v>-1.6324043366605669E-2</v>
      </c>
      <c r="G3238">
        <f t="shared" si="107"/>
        <v>-2.6395685944360245E-2</v>
      </c>
    </row>
    <row r="3239" spans="1:144" s="3" customFormat="1" x14ac:dyDescent="0.35">
      <c r="A3239" s="3" t="s">
        <v>171</v>
      </c>
      <c r="B3239" s="3" cm="1">
        <f t="array" ref="B3239">_xlfn.STDEV.S(_xlfn._xlws.FILTER($E$2826:$E$3824, $A$2826:$A$3824="2023-01"))</f>
        <v>9.2600427929325473E-3</v>
      </c>
      <c r="C3239" s="3" cm="1">
        <f t="array" ref="C3239">AVERAGE(_xlfn._xlws.FILTER($E$2826:$E$3824, $A$2826:$A$3824="2023-01"))</f>
        <v>5.4825126375945606E-3</v>
      </c>
      <c r="D3239" s="3" cm="1">
        <f t="array" ref="D3239">_xlfn.PERCENTILE.EXC(_xlfn._xlws.FILTER($E$2490:$E$3818, $A$2490:$A$3818="2023-01"), 0.05)</f>
        <v>-1.6274353553272961E-2</v>
      </c>
      <c r="E3239" s="3">
        <v>3.0308012605415231E-2</v>
      </c>
      <c r="F3239" s="3">
        <f t="shared" si="106"/>
        <v>-1.6333361400784532E-2</v>
      </c>
      <c r="G3239" s="3">
        <f t="shared" si="107"/>
        <v>-2.6395685944360245E-2</v>
      </c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</row>
    <row r="3240" spans="1:144" ht="12.5" customHeight="1" x14ac:dyDescent="0.35">
      <c r="A3240" t="s">
        <v>171</v>
      </c>
      <c r="E3240">
        <v>1.7205923455552597E-2</v>
      </c>
      <c r="F3240">
        <f t="shared" si="106"/>
        <v>-1.6342679434963397E-2</v>
      </c>
      <c r="G3240">
        <f t="shared" si="107"/>
        <v>-2.6395685944360245E-2</v>
      </c>
    </row>
    <row r="3241" spans="1:144" ht="12.5" customHeight="1" x14ac:dyDescent="0.35">
      <c r="A3241" t="s">
        <v>171</v>
      </c>
      <c r="E3241">
        <v>-1.1212789387919195E-3</v>
      </c>
      <c r="F3241">
        <f t="shared" si="106"/>
        <v>-1.635068142534972E-2</v>
      </c>
      <c r="G3241">
        <f t="shared" si="107"/>
        <v>-2.6754721891124423E-2</v>
      </c>
    </row>
    <row r="3242" spans="1:144" ht="12.5" customHeight="1" x14ac:dyDescent="0.35">
      <c r="A3242" t="s">
        <v>171</v>
      </c>
      <c r="E3242">
        <v>1.3902595403686619E-2</v>
      </c>
      <c r="F3242">
        <f t="shared" si="106"/>
        <v>-1.6358683415736038E-2</v>
      </c>
      <c r="G3242">
        <f t="shared" si="107"/>
        <v>-2.6754721891124423E-2</v>
      </c>
    </row>
    <row r="3243" spans="1:144" ht="12.5" customHeight="1" x14ac:dyDescent="0.35">
      <c r="A3243" t="s">
        <v>171</v>
      </c>
      <c r="E3243">
        <v>8.098065353730111E-3</v>
      </c>
      <c r="F3243">
        <f t="shared" si="106"/>
        <v>-1.636668540612236E-2</v>
      </c>
      <c r="G3243">
        <f t="shared" si="107"/>
        <v>-2.6754721891124423E-2</v>
      </c>
    </row>
    <row r="3244" spans="1:144" ht="12.5" customHeight="1" x14ac:dyDescent="0.35">
      <c r="A3244" t="s">
        <v>171</v>
      </c>
      <c r="E3244">
        <v>-8.0709841089648591E-4</v>
      </c>
      <c r="F3244">
        <f t="shared" si="106"/>
        <v>-1.6374687396508682E-2</v>
      </c>
      <c r="G3244">
        <f t="shared" si="107"/>
        <v>-2.6754721891124423E-2</v>
      </c>
    </row>
    <row r="3245" spans="1:144" ht="12.5" customHeight="1" x14ac:dyDescent="0.35">
      <c r="A3245" t="s">
        <v>171</v>
      </c>
      <c r="E3245">
        <v>7.1595174325427609E-3</v>
      </c>
      <c r="F3245">
        <f t="shared" si="106"/>
        <v>-1.6382689386895001E-2</v>
      </c>
      <c r="G3245">
        <f t="shared" si="107"/>
        <v>-2.6754721891124423E-2</v>
      </c>
    </row>
    <row r="3246" spans="1:144" ht="12.5" customHeight="1" x14ac:dyDescent="0.35">
      <c r="A3246" t="s">
        <v>171</v>
      </c>
      <c r="E3246">
        <v>7.2971075821675812E-3</v>
      </c>
      <c r="F3246">
        <f t="shared" si="106"/>
        <v>-1.6390691377281323E-2</v>
      </c>
      <c r="G3246">
        <f t="shared" si="107"/>
        <v>-2.6754721891124423E-2</v>
      </c>
    </row>
    <row r="3247" spans="1:144" ht="12.5" customHeight="1" x14ac:dyDescent="0.35">
      <c r="A3247" t="s">
        <v>171</v>
      </c>
      <c r="E3247">
        <v>1.9224563662904612E-3</v>
      </c>
      <c r="F3247">
        <f t="shared" si="106"/>
        <v>-1.6398693367667642E-2</v>
      </c>
      <c r="G3247">
        <f t="shared" si="107"/>
        <v>-2.6754721891124423E-2</v>
      </c>
    </row>
    <row r="3248" spans="1:144" ht="12.5" customHeight="1" x14ac:dyDescent="0.35">
      <c r="A3248" t="s">
        <v>171</v>
      </c>
      <c r="E3248">
        <v>4.5603419744037017E-3</v>
      </c>
      <c r="F3248">
        <f t="shared" si="106"/>
        <v>-1.6406695358053964E-2</v>
      </c>
      <c r="G3248">
        <f t="shared" si="107"/>
        <v>-2.6754721891124423E-2</v>
      </c>
    </row>
    <row r="3249" spans="1:144" ht="12.5" customHeight="1" x14ac:dyDescent="0.35">
      <c r="A3249" t="s">
        <v>171</v>
      </c>
      <c r="E3249">
        <v>3.0784959200259605E-3</v>
      </c>
      <c r="F3249">
        <f t="shared" si="106"/>
        <v>-1.6414697348440286E-2</v>
      </c>
      <c r="G3249">
        <f t="shared" si="107"/>
        <v>-2.6754721891124423E-2</v>
      </c>
    </row>
    <row r="3250" spans="1:144" ht="12.5" customHeight="1" x14ac:dyDescent="0.35">
      <c r="A3250" t="s">
        <v>171</v>
      </c>
      <c r="E3250">
        <v>2.736695973551073E-3</v>
      </c>
      <c r="F3250">
        <f t="shared" si="106"/>
        <v>-1.6422699338826605E-2</v>
      </c>
      <c r="G3250">
        <f t="shared" si="107"/>
        <v>-2.6754721891124423E-2</v>
      </c>
    </row>
    <row r="3251" spans="1:144" ht="12.5" customHeight="1" x14ac:dyDescent="0.35">
      <c r="A3251" t="s">
        <v>171</v>
      </c>
      <c r="E3251">
        <v>-1.7662482205352624E-2</v>
      </c>
      <c r="F3251">
        <f t="shared" si="106"/>
        <v>-1.6430701329212927E-2</v>
      </c>
      <c r="G3251">
        <f t="shared" si="107"/>
        <v>-2.6754721891124423E-2</v>
      </c>
    </row>
    <row r="3252" spans="1:144" ht="12.5" customHeight="1" x14ac:dyDescent="0.35">
      <c r="A3252" t="s">
        <v>171</v>
      </c>
      <c r="E3252">
        <v>6.9781758606657267E-3</v>
      </c>
      <c r="F3252">
        <f t="shared" si="106"/>
        <v>-1.6268135161532481E-2</v>
      </c>
      <c r="G3252">
        <f t="shared" si="107"/>
        <v>-2.670758607789623E-2</v>
      </c>
    </row>
    <row r="3253" spans="1:144" ht="12.5" customHeight="1" x14ac:dyDescent="0.35">
      <c r="A3253" t="s">
        <v>171</v>
      </c>
      <c r="E3253">
        <v>1.7803375714369859E-3</v>
      </c>
      <c r="F3253">
        <f t="shared" si="106"/>
        <v>-1.6277453195711347E-2</v>
      </c>
      <c r="G3253">
        <f t="shared" si="107"/>
        <v>-2.670758607789623E-2</v>
      </c>
    </row>
    <row r="3254" spans="1:144" ht="12.5" customHeight="1" x14ac:dyDescent="0.35">
      <c r="A3254" t="s">
        <v>171</v>
      </c>
      <c r="E3254">
        <v>2.4314517751525323E-3</v>
      </c>
      <c r="F3254">
        <f t="shared" si="106"/>
        <v>-1.6286771229890213E-2</v>
      </c>
      <c r="G3254">
        <f t="shared" si="107"/>
        <v>-2.670758607789623E-2</v>
      </c>
    </row>
    <row r="3255" spans="1:144" ht="12.5" customHeight="1" x14ac:dyDescent="0.35">
      <c r="A3255" t="s">
        <v>171</v>
      </c>
      <c r="E3255">
        <v>-3.4814791266810671E-4</v>
      </c>
      <c r="F3255">
        <f t="shared" si="106"/>
        <v>-1.6296089264069075E-2</v>
      </c>
      <c r="G3255">
        <f t="shared" si="107"/>
        <v>-2.670758607789623E-2</v>
      </c>
    </row>
    <row r="3256" spans="1:144" ht="12.5" customHeight="1" x14ac:dyDescent="0.35">
      <c r="A3256" t="s">
        <v>171</v>
      </c>
      <c r="E3256">
        <v>1.3140569550310744E-2</v>
      </c>
      <c r="F3256">
        <f t="shared" si="106"/>
        <v>-1.6305407298247941E-2</v>
      </c>
      <c r="G3256">
        <f t="shared" si="107"/>
        <v>-2.670758607789623E-2</v>
      </c>
    </row>
    <row r="3257" spans="1:144" ht="12.5" customHeight="1" x14ac:dyDescent="0.35">
      <c r="A3257" t="s">
        <v>171</v>
      </c>
      <c r="E3257">
        <v>8.2878454906288607E-3</v>
      </c>
      <c r="F3257">
        <f t="shared" si="106"/>
        <v>-1.6314725332426804E-2</v>
      </c>
      <c r="G3257">
        <f t="shared" si="107"/>
        <v>-2.670758607789623E-2</v>
      </c>
    </row>
    <row r="3258" spans="1:144" ht="12.5" customHeight="1" x14ac:dyDescent="0.35">
      <c r="A3258" t="s">
        <v>171</v>
      </c>
      <c r="E3258">
        <v>-3.7811956845560119E-3</v>
      </c>
      <c r="F3258">
        <f t="shared" si="106"/>
        <v>-1.6324043366605669E-2</v>
      </c>
      <c r="G3258">
        <f t="shared" si="107"/>
        <v>-2.670758607789623E-2</v>
      </c>
    </row>
    <row r="3259" spans="1:144" ht="12.5" customHeight="1" x14ac:dyDescent="0.35">
      <c r="A3259" t="s">
        <v>171</v>
      </c>
      <c r="E3259">
        <v>9.9653762261899953E-3</v>
      </c>
      <c r="F3259">
        <f t="shared" si="106"/>
        <v>-1.6333361400784532E-2</v>
      </c>
      <c r="G3259">
        <f t="shared" si="107"/>
        <v>-2.670758607789623E-2</v>
      </c>
    </row>
    <row r="3260" spans="1:144" s="3" customFormat="1" x14ac:dyDescent="0.35">
      <c r="A3260" s="3" t="s">
        <v>172</v>
      </c>
      <c r="B3260" s="3" cm="1">
        <f t="array" ref="B3260">_xlfn.STDEV.S(_xlfn._xlws.FILTER($E$2826:$E$3824, $A$2826:$A$3824="2023-02"))</f>
        <v>8.2836347195456156E-3</v>
      </c>
      <c r="C3260" s="3" cm="1">
        <f t="array" ref="C3260">AVERAGE(_xlfn._xlws.FILTER($E$2826:$E$3824, $A$2826:$A$3824="2023-02"))</f>
        <v>1.6248854212507625E-3</v>
      </c>
      <c r="D3260" s="3" cm="1">
        <f t="array" ref="D3260">_xlfn.PERCENTILE.EXC(_xlfn._xlws.FILTER($E$2490:$E$3818, $A$2490:$A$3818="2023-02"), 0.05)</f>
        <v>-1.1265735154387595E-2</v>
      </c>
      <c r="E3260" s="3">
        <v>3.9070574192948534E-3</v>
      </c>
      <c r="F3260" s="3">
        <f t="shared" si="106"/>
        <v>-1.6342679434963397E-2</v>
      </c>
      <c r="G3260" s="3">
        <f t="shared" si="107"/>
        <v>-2.670758607789623E-2</v>
      </c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/>
      <c r="EH3260"/>
      <c r="EI3260"/>
      <c r="EJ3260"/>
      <c r="EK3260"/>
      <c r="EL3260"/>
      <c r="EM3260"/>
      <c r="EN3260"/>
    </row>
    <row r="3261" spans="1:144" ht="12.5" customHeight="1" x14ac:dyDescent="0.35">
      <c r="A3261" t="s">
        <v>172</v>
      </c>
      <c r="E3261">
        <v>1.4748107129646791E-2</v>
      </c>
      <c r="F3261">
        <f t="shared" si="106"/>
        <v>-1.635068142534972E-2</v>
      </c>
      <c r="G3261">
        <f t="shared" si="107"/>
        <v>-2.7091471509115971E-2</v>
      </c>
    </row>
    <row r="3262" spans="1:144" ht="12.5" customHeight="1" x14ac:dyDescent="0.35">
      <c r="A3262" t="s">
        <v>172</v>
      </c>
      <c r="E3262">
        <v>-5.5458506186699405E-3</v>
      </c>
      <c r="F3262">
        <f t="shared" si="106"/>
        <v>-1.6358683415736038E-2</v>
      </c>
      <c r="G3262">
        <f t="shared" si="107"/>
        <v>-2.7091471509115971E-2</v>
      </c>
    </row>
    <row r="3263" spans="1:144" ht="12.5" customHeight="1" x14ac:dyDescent="0.35">
      <c r="A3263" t="s">
        <v>172</v>
      </c>
      <c r="E3263">
        <v>2.6528060006159198E-3</v>
      </c>
      <c r="F3263">
        <f t="shared" si="106"/>
        <v>-1.636668540612236E-2</v>
      </c>
      <c r="G3263">
        <f t="shared" si="107"/>
        <v>-2.7091471509115971E-2</v>
      </c>
    </row>
    <row r="3264" spans="1:144" ht="12.5" customHeight="1" x14ac:dyDescent="0.35">
      <c r="A3264" t="s">
        <v>172</v>
      </c>
      <c r="E3264">
        <v>3.5614405812154993E-3</v>
      </c>
      <c r="F3264">
        <f t="shared" si="106"/>
        <v>-1.6374687396508682E-2</v>
      </c>
      <c r="G3264">
        <f t="shared" si="107"/>
        <v>-2.7091471509115971E-2</v>
      </c>
    </row>
    <row r="3265" spans="1:144" ht="12.5" customHeight="1" x14ac:dyDescent="0.35">
      <c r="A3265" t="s">
        <v>172</v>
      </c>
      <c r="E3265">
        <v>1.5471782748124241E-3</v>
      </c>
      <c r="F3265">
        <f t="shared" si="106"/>
        <v>-1.6382689386895001E-2</v>
      </c>
      <c r="G3265">
        <f t="shared" si="107"/>
        <v>-2.7091471509115971E-2</v>
      </c>
    </row>
    <row r="3266" spans="1:144" ht="12.5" customHeight="1" x14ac:dyDescent="0.35">
      <c r="A3266" t="s">
        <v>172</v>
      </c>
      <c r="E3266">
        <v>1.2550178921505166E-2</v>
      </c>
      <c r="F3266">
        <f t="shared" si="106"/>
        <v>-1.6390691377281323E-2</v>
      </c>
      <c r="G3266">
        <f t="shared" si="107"/>
        <v>-2.7091471509115971E-2</v>
      </c>
    </row>
    <row r="3267" spans="1:144" ht="12.5" customHeight="1" x14ac:dyDescent="0.35">
      <c r="A3267" t="s">
        <v>172</v>
      </c>
      <c r="E3267">
        <v>-8.6022711171437494E-3</v>
      </c>
      <c r="F3267">
        <f t="shared" si="106"/>
        <v>-1.6398693367667642E-2</v>
      </c>
      <c r="G3267">
        <f t="shared" si="107"/>
        <v>-2.7091471509115971E-2</v>
      </c>
    </row>
    <row r="3268" spans="1:144" ht="12.5" customHeight="1" x14ac:dyDescent="0.35">
      <c r="A3268" t="s">
        <v>172</v>
      </c>
      <c r="E3268">
        <v>6.2310577028808168E-3</v>
      </c>
      <c r="F3268">
        <f t="shared" ref="F3268:F3331" si="108">_xlfn.PERCENTILE.EXC(E3268:E7083,0.05)</f>
        <v>-1.6406695358053964E-2</v>
      </c>
      <c r="G3268">
        <f t="shared" ref="G3268:G3331" si="109">AVERAGEIFS(E3268:E7084,E3268:E7084,"&lt;=" &amp; F3268)</f>
        <v>-2.7091471509115971E-2</v>
      </c>
    </row>
    <row r="3269" spans="1:144" ht="12.5" customHeight="1" x14ac:dyDescent="0.35">
      <c r="A3269" t="s">
        <v>172</v>
      </c>
      <c r="E3269">
        <v>2.1715843454985125E-3</v>
      </c>
      <c r="F3269">
        <f t="shared" si="108"/>
        <v>-1.6414697348440286E-2</v>
      </c>
      <c r="G3269">
        <f t="shared" si="109"/>
        <v>-2.7091471509115971E-2</v>
      </c>
    </row>
    <row r="3270" spans="1:144" ht="12.5" customHeight="1" x14ac:dyDescent="0.35">
      <c r="A3270" t="s">
        <v>172</v>
      </c>
      <c r="E3270">
        <v>1.2876158266282858E-3</v>
      </c>
      <c r="F3270">
        <f t="shared" si="108"/>
        <v>-1.6422699338826605E-2</v>
      </c>
      <c r="G3270">
        <f t="shared" si="109"/>
        <v>-2.7091471509115971E-2</v>
      </c>
    </row>
    <row r="3271" spans="1:144" ht="12.5" customHeight="1" x14ac:dyDescent="0.35">
      <c r="A3271" t="s">
        <v>172</v>
      </c>
      <c r="E3271">
        <v>1.1556902430813178E-2</v>
      </c>
      <c r="F3271">
        <f t="shared" si="108"/>
        <v>-1.6430701329212927E-2</v>
      </c>
      <c r="G3271">
        <f t="shared" si="109"/>
        <v>-2.7091471509115971E-2</v>
      </c>
    </row>
    <row r="3272" spans="1:144" ht="12.5" customHeight="1" x14ac:dyDescent="0.35">
      <c r="A3272" t="s">
        <v>172</v>
      </c>
      <c r="E3272">
        <v>-3.6903277711709272E-3</v>
      </c>
      <c r="F3272">
        <f t="shared" si="108"/>
        <v>-1.6438703319599249E-2</v>
      </c>
      <c r="G3272">
        <f t="shared" si="109"/>
        <v>-2.7091471509115971E-2</v>
      </c>
    </row>
    <row r="3273" spans="1:144" ht="12.5" customHeight="1" x14ac:dyDescent="0.35">
      <c r="A3273" t="s">
        <v>172</v>
      </c>
      <c r="E3273">
        <v>-5.5694869084285557E-3</v>
      </c>
      <c r="F3273">
        <f t="shared" si="108"/>
        <v>-1.6446705309985567E-2</v>
      </c>
      <c r="G3273">
        <f t="shared" si="109"/>
        <v>-2.7091471509115971E-2</v>
      </c>
    </row>
    <row r="3274" spans="1:144" ht="12.5" customHeight="1" x14ac:dyDescent="0.35">
      <c r="A3274" t="s">
        <v>172</v>
      </c>
      <c r="E3274">
        <v>-6.8236022998525827E-3</v>
      </c>
      <c r="F3274">
        <f t="shared" si="108"/>
        <v>-1.645470730037189E-2</v>
      </c>
      <c r="G3274">
        <f t="shared" si="109"/>
        <v>-2.7091471509115971E-2</v>
      </c>
    </row>
    <row r="3275" spans="1:144" ht="12.5" customHeight="1" x14ac:dyDescent="0.35">
      <c r="A3275" t="s">
        <v>172</v>
      </c>
      <c r="E3275">
        <v>-1.1293647364876489E-2</v>
      </c>
      <c r="F3275">
        <f t="shared" si="108"/>
        <v>-1.6462709290758212E-2</v>
      </c>
      <c r="G3275">
        <f t="shared" si="109"/>
        <v>-2.7091471509115971E-2</v>
      </c>
    </row>
    <row r="3276" spans="1:144" ht="12.5" customHeight="1" x14ac:dyDescent="0.35">
      <c r="A3276" t="s">
        <v>172</v>
      </c>
      <c r="E3276">
        <v>6.4764019110122575E-3</v>
      </c>
      <c r="F3276">
        <f t="shared" si="108"/>
        <v>-1.647071128114453E-2</v>
      </c>
      <c r="G3276">
        <f t="shared" si="109"/>
        <v>-2.7091471509115971E-2</v>
      </c>
    </row>
    <row r="3277" spans="1:144" ht="12.5" customHeight="1" x14ac:dyDescent="0.35">
      <c r="A3277" t="s">
        <v>172</v>
      </c>
      <c r="E3277">
        <v>-1.0735403155098628E-2</v>
      </c>
      <c r="F3277">
        <f t="shared" si="108"/>
        <v>-1.6478713271530852E-2</v>
      </c>
      <c r="G3277">
        <f t="shared" si="109"/>
        <v>-2.7091471509115971E-2</v>
      </c>
    </row>
    <row r="3278" spans="1:144" ht="12.5" customHeight="1" x14ac:dyDescent="0.35">
      <c r="A3278" t="s">
        <v>172</v>
      </c>
      <c r="E3278">
        <v>1.6827677881857465E-2</v>
      </c>
      <c r="F3278">
        <f t="shared" si="108"/>
        <v>-1.6486715261917174E-2</v>
      </c>
      <c r="G3278">
        <f t="shared" si="109"/>
        <v>-2.7091471509115971E-2</v>
      </c>
    </row>
    <row r="3279" spans="1:144" ht="12.5" customHeight="1" x14ac:dyDescent="0.35">
      <c r="A3279" t="s">
        <v>172</v>
      </c>
      <c r="E3279">
        <v>1.2402892344749506E-3</v>
      </c>
      <c r="F3279">
        <f t="shared" si="108"/>
        <v>-1.6494717252303493E-2</v>
      </c>
      <c r="G3279">
        <f t="shared" si="109"/>
        <v>-2.7091471509115971E-2</v>
      </c>
    </row>
    <row r="3280" spans="1:144" s="3" customFormat="1" x14ac:dyDescent="0.35">
      <c r="A3280" s="3" t="s">
        <v>173</v>
      </c>
      <c r="B3280" s="3" cm="1">
        <f t="array" ref="B3280">_xlfn.STDEV.S(_xlfn._xlws.FILTER($E$2826:$E$3824, $A$2826:$A$3824="2023-03"))</f>
        <v>1.8458038566676712E-2</v>
      </c>
      <c r="C3280" s="3" cm="1">
        <f t="array" ref="C3280">AVERAGE(_xlfn._xlws.FILTER($E$2826:$E$3824, $A$2826:$A$3824="2023-03"))</f>
        <v>-5.8046931039597174E-4</v>
      </c>
      <c r="D3280" s="3" cm="1">
        <f t="array" ref="D3280">_xlfn.PERCENTILE.EXC(_xlfn._xlws.FILTER($E$2490:$E$3818, $A$2490:$A$3818="2023-03"), 0.05)</f>
        <v>-4.596403664591503E-2</v>
      </c>
      <c r="E3280" s="3">
        <v>-5.9602190917133402E-3</v>
      </c>
      <c r="F3280" s="3">
        <f t="shared" si="108"/>
        <v>-1.6502719242689815E-2</v>
      </c>
      <c r="G3280" s="3">
        <f t="shared" si="109"/>
        <v>-2.7091471509115971E-2</v>
      </c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/>
      <c r="EH3280"/>
      <c r="EI3280"/>
      <c r="EJ3280"/>
      <c r="EK3280"/>
      <c r="EL3280"/>
      <c r="EM3280"/>
      <c r="EN3280"/>
    </row>
    <row r="3281" spans="1:7" ht="12.5" customHeight="1" x14ac:dyDescent="0.35">
      <c r="A3281" t="s">
        <v>173</v>
      </c>
      <c r="E3281">
        <v>3.0164876797165621E-3</v>
      </c>
      <c r="F3281">
        <f t="shared" si="108"/>
        <v>-1.6509741406241452E-2</v>
      </c>
      <c r="G3281">
        <f t="shared" si="109"/>
        <v>-2.7498731211670822E-2</v>
      </c>
    </row>
    <row r="3282" spans="1:7" ht="12.5" customHeight="1" x14ac:dyDescent="0.35">
      <c r="A3282" t="s">
        <v>173</v>
      </c>
      <c r="E3282">
        <v>1.5482353952972776E-2</v>
      </c>
      <c r="F3282">
        <f t="shared" si="108"/>
        <v>-1.6516763569793091E-2</v>
      </c>
      <c r="G3282">
        <f t="shared" si="109"/>
        <v>-2.7498731211670822E-2</v>
      </c>
    </row>
    <row r="3283" spans="1:7" ht="12.5" customHeight="1" x14ac:dyDescent="0.35">
      <c r="A3283" t="s">
        <v>173</v>
      </c>
      <c r="E3283">
        <v>4.4540245042021982E-3</v>
      </c>
      <c r="F3283">
        <f t="shared" si="108"/>
        <v>-1.6523785733344728E-2</v>
      </c>
      <c r="G3283">
        <f t="shared" si="109"/>
        <v>-2.7498731211670822E-2</v>
      </c>
    </row>
    <row r="3284" spans="1:7" ht="12.5" customHeight="1" x14ac:dyDescent="0.35">
      <c r="A3284" t="s">
        <v>173</v>
      </c>
      <c r="E3284">
        <v>-6.7391065386590617E-3</v>
      </c>
      <c r="F3284">
        <f t="shared" si="108"/>
        <v>-1.6530807896896368E-2</v>
      </c>
      <c r="G3284">
        <f t="shared" si="109"/>
        <v>-2.7498731211670822E-2</v>
      </c>
    </row>
    <row r="3285" spans="1:7" ht="12.5" customHeight="1" x14ac:dyDescent="0.35">
      <c r="A3285" t="s">
        <v>173</v>
      </c>
      <c r="E3285">
        <v>5.3868165967196598E-3</v>
      </c>
      <c r="F3285">
        <f t="shared" si="108"/>
        <v>-1.6537830060448004E-2</v>
      </c>
      <c r="G3285">
        <f t="shared" si="109"/>
        <v>-2.7498731211670822E-2</v>
      </c>
    </row>
    <row r="3286" spans="1:7" ht="12.5" customHeight="1" x14ac:dyDescent="0.35">
      <c r="A3286" t="s">
        <v>173</v>
      </c>
      <c r="E3286">
        <v>-7.2270214710002242E-3</v>
      </c>
      <c r="F3286">
        <f t="shared" si="108"/>
        <v>-1.6544852223999644E-2</v>
      </c>
      <c r="G3286">
        <f t="shared" si="109"/>
        <v>-2.7498731211670822E-2</v>
      </c>
    </row>
    <row r="3287" spans="1:7" ht="12.5" customHeight="1" x14ac:dyDescent="0.35">
      <c r="A3287" t="s">
        <v>173</v>
      </c>
      <c r="E3287">
        <v>-1.5586807459363031E-2</v>
      </c>
      <c r="F3287">
        <f t="shared" si="108"/>
        <v>-1.655187438755128E-2</v>
      </c>
      <c r="G3287">
        <f t="shared" si="109"/>
        <v>-2.7498731211670822E-2</v>
      </c>
    </row>
    <row r="3288" spans="1:7" ht="12.5" customHeight="1" x14ac:dyDescent="0.35">
      <c r="A3288" t="s">
        <v>173</v>
      </c>
      <c r="E3288">
        <v>-4.109470883756957E-2</v>
      </c>
      <c r="F3288">
        <f t="shared" si="108"/>
        <v>-1.655889655110292E-2</v>
      </c>
      <c r="G3288">
        <f t="shared" si="109"/>
        <v>-2.7498731211670822E-2</v>
      </c>
    </row>
    <row r="3289" spans="1:7" ht="12.5" customHeight="1" x14ac:dyDescent="0.35">
      <c r="A3289" t="s">
        <v>173</v>
      </c>
      <c r="E3289">
        <v>2.3307484948313147E-2</v>
      </c>
      <c r="F3289">
        <f t="shared" si="108"/>
        <v>-1.6414697348440286E-2</v>
      </c>
      <c r="G3289">
        <f t="shared" si="109"/>
        <v>-2.6552885458021595E-2</v>
      </c>
    </row>
    <row r="3290" spans="1:7" ht="12.5" customHeight="1" x14ac:dyDescent="0.35">
      <c r="A3290" t="s">
        <v>173</v>
      </c>
      <c r="E3290">
        <v>-4.7181368598001393E-2</v>
      </c>
      <c r="F3290">
        <f t="shared" si="108"/>
        <v>-1.6422699338826605E-2</v>
      </c>
      <c r="G3290">
        <f t="shared" si="109"/>
        <v>-2.6552885458021595E-2</v>
      </c>
    </row>
    <row r="3291" spans="1:7" ht="12.5" customHeight="1" x14ac:dyDescent="0.35">
      <c r="A3291" t="s">
        <v>173</v>
      </c>
      <c r="E3291">
        <v>1.3709945419128995E-2</v>
      </c>
      <c r="F3291">
        <f t="shared" si="108"/>
        <v>-1.6258817127353619E-2</v>
      </c>
      <c r="G3291">
        <f t="shared" si="109"/>
        <v>-2.5366782028673984E-2</v>
      </c>
    </row>
    <row r="3292" spans="1:7" ht="12.5" customHeight="1" x14ac:dyDescent="0.35">
      <c r="A3292" t="s">
        <v>173</v>
      </c>
      <c r="E3292">
        <v>-1.6502719242689815E-2</v>
      </c>
      <c r="F3292">
        <f t="shared" si="108"/>
        <v>-1.6268135161532481E-2</v>
      </c>
      <c r="G3292">
        <f t="shared" si="109"/>
        <v>-2.5366782028673984E-2</v>
      </c>
    </row>
    <row r="3293" spans="1:7" ht="12.5" customHeight="1" x14ac:dyDescent="0.35">
      <c r="A3293" t="s">
        <v>173</v>
      </c>
      <c r="E3293">
        <v>1.5762054660204271E-2</v>
      </c>
      <c r="F3293">
        <f t="shared" si="108"/>
        <v>-1.5938390766888914E-2</v>
      </c>
      <c r="G3293">
        <f t="shared" si="109"/>
        <v>-2.5353458932854615E-2</v>
      </c>
    </row>
    <row r="3294" spans="1:7" ht="12.5" customHeight="1" x14ac:dyDescent="0.35">
      <c r="A3294" t="s">
        <v>173</v>
      </c>
      <c r="E3294">
        <v>2.4966456651633582E-2</v>
      </c>
      <c r="F3294">
        <f t="shared" si="108"/>
        <v>-1.5969523336102798E-2</v>
      </c>
      <c r="G3294">
        <f t="shared" si="109"/>
        <v>-2.5353458932854615E-2</v>
      </c>
    </row>
    <row r="3295" spans="1:7" ht="12.5" customHeight="1" x14ac:dyDescent="0.35">
      <c r="A3295" t="s">
        <v>173</v>
      </c>
      <c r="E3295">
        <v>-1.1680998568832446E-3</v>
      </c>
      <c r="F3295">
        <f t="shared" si="108"/>
        <v>-1.6000655905316685E-2</v>
      </c>
      <c r="G3295">
        <f t="shared" si="109"/>
        <v>-2.5353458932854615E-2</v>
      </c>
    </row>
    <row r="3296" spans="1:7" ht="12.5" customHeight="1" x14ac:dyDescent="0.35">
      <c r="A3296" t="s">
        <v>173</v>
      </c>
      <c r="E3296">
        <v>-1.5515362450376153E-3</v>
      </c>
      <c r="F3296">
        <f t="shared" si="108"/>
        <v>-1.6031788474530569E-2</v>
      </c>
      <c r="G3296">
        <f t="shared" si="109"/>
        <v>-2.5353458932854615E-2</v>
      </c>
    </row>
    <row r="3297" spans="1:144" ht="12.5" customHeight="1" x14ac:dyDescent="0.35">
      <c r="A3297" t="s">
        <v>173</v>
      </c>
      <c r="E3297">
        <v>-2.2532194187411845E-2</v>
      </c>
      <c r="F3297">
        <f t="shared" si="108"/>
        <v>-1.6062921043744453E-2</v>
      </c>
      <c r="G3297">
        <f t="shared" si="109"/>
        <v>-2.5353458932854615E-2</v>
      </c>
    </row>
    <row r="3298" spans="1:144" ht="12.5" customHeight="1" x14ac:dyDescent="0.35">
      <c r="A3298" t="s">
        <v>173</v>
      </c>
      <c r="E3298">
        <v>1.2072965906324078E-2</v>
      </c>
      <c r="F3298">
        <f t="shared" si="108"/>
        <v>-1.5530425894881343E-2</v>
      </c>
      <c r="G3298">
        <f t="shared" si="109"/>
        <v>-2.5084284824381405E-2</v>
      </c>
    </row>
    <row r="3299" spans="1:144" ht="12.5" customHeight="1" x14ac:dyDescent="0.35">
      <c r="A3299" t="s">
        <v>173</v>
      </c>
      <c r="E3299">
        <v>4.6745058530322037E-3</v>
      </c>
      <c r="F3299">
        <f t="shared" si="108"/>
        <v>-1.5532046630994873E-2</v>
      </c>
      <c r="G3299">
        <f t="shared" si="109"/>
        <v>-2.5084284824381405E-2</v>
      </c>
    </row>
    <row r="3300" spans="1:144" ht="12.5" customHeight="1" x14ac:dyDescent="0.35">
      <c r="A3300" t="s">
        <v>173</v>
      </c>
      <c r="E3300">
        <v>1.543508342945748E-2</v>
      </c>
      <c r="F3300">
        <f t="shared" si="108"/>
        <v>-1.5533667367108402E-2</v>
      </c>
      <c r="G3300">
        <f t="shared" si="109"/>
        <v>-2.5084284824381405E-2</v>
      </c>
    </row>
    <row r="3301" spans="1:144" ht="12.5" customHeight="1" x14ac:dyDescent="0.35">
      <c r="A3301" t="s">
        <v>173</v>
      </c>
      <c r="E3301">
        <v>1.0492273996549189E-2</v>
      </c>
      <c r="F3301">
        <f t="shared" si="108"/>
        <v>-1.5564799936322286E-2</v>
      </c>
      <c r="G3301">
        <f t="shared" si="109"/>
        <v>-2.5466309522672322E-2</v>
      </c>
    </row>
    <row r="3302" spans="1:144" ht="12.5" customHeight="1" x14ac:dyDescent="0.35">
      <c r="A3302" t="s">
        <v>173</v>
      </c>
      <c r="E3302">
        <v>3.4325337909676405E-3</v>
      </c>
      <c r="F3302">
        <f t="shared" si="108"/>
        <v>-1.5595932505536172E-2</v>
      </c>
      <c r="G3302">
        <f t="shared" si="109"/>
        <v>-2.5466309522672322E-2</v>
      </c>
    </row>
    <row r="3303" spans="1:144" s="3" customFormat="1" x14ac:dyDescent="0.35">
      <c r="A3303" s="3" t="s">
        <v>174</v>
      </c>
      <c r="B3303" s="3" cm="1">
        <f t="array" ref="B3303">_xlfn.STDEV.S(_xlfn._xlws.FILTER($E$2826:$E$3824, $A$2826:$A$3824="2023-04"))</f>
        <v>7.2441481927213846E-3</v>
      </c>
      <c r="C3303" s="3" cm="1">
        <f t="array" ref="C3303">AVERAGE(_xlfn._xlws.FILTER($E$2826:$E$3824, $A$2826:$A$3824="2023-04"))</f>
        <v>-7.4858151459935814E-5</v>
      </c>
      <c r="D3303" s="3" cm="1">
        <f t="array" ref="D3303">_xlfn.PERCENTILE.INC(_xlfn._xlws.FILTER($E$2490:$E$3818, $A$2490:$A$3818="2023-04"), 0.05)</f>
        <v>-1.0454004574479391E-2</v>
      </c>
      <c r="E3303" s="3">
        <v>2.4098740567168138E-3</v>
      </c>
      <c r="F3303" s="3">
        <f t="shared" si="108"/>
        <v>-1.5627065074750059E-2</v>
      </c>
      <c r="G3303" s="3">
        <f t="shared" si="109"/>
        <v>-2.5466309522672322E-2</v>
      </c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</row>
    <row r="3304" spans="1:144" ht="12.5" customHeight="1" x14ac:dyDescent="0.35">
      <c r="A3304" t="s">
        <v>174</v>
      </c>
      <c r="E3304">
        <v>-5.6381434578061107E-3</v>
      </c>
      <c r="F3304">
        <f t="shared" si="108"/>
        <v>-1.5658197643963943E-2</v>
      </c>
      <c r="G3304">
        <f t="shared" si="109"/>
        <v>-2.5466309522672322E-2</v>
      </c>
    </row>
    <row r="3305" spans="1:144" ht="12.5" customHeight="1" x14ac:dyDescent="0.35">
      <c r="A3305" t="s">
        <v>174</v>
      </c>
      <c r="E3305">
        <v>-5.9068026296353188E-3</v>
      </c>
      <c r="F3305">
        <f t="shared" si="108"/>
        <v>-1.5689330213177831E-2</v>
      </c>
      <c r="G3305">
        <f t="shared" si="109"/>
        <v>-2.5466309522672322E-2</v>
      </c>
    </row>
    <row r="3306" spans="1:144" ht="12.5" customHeight="1" x14ac:dyDescent="0.35">
      <c r="A3306" t="s">
        <v>174</v>
      </c>
      <c r="E3306">
        <v>1.2813118785492905E-2</v>
      </c>
      <c r="F3306">
        <f t="shared" si="108"/>
        <v>-1.5720462782391715E-2</v>
      </c>
      <c r="G3306">
        <f t="shared" si="109"/>
        <v>-2.5466309522672322E-2</v>
      </c>
    </row>
    <row r="3307" spans="1:144" ht="12.5" customHeight="1" x14ac:dyDescent="0.35">
      <c r="A3307" t="s">
        <v>174</v>
      </c>
      <c r="E3307">
        <v>1.1386808702975957E-2</v>
      </c>
      <c r="F3307">
        <f t="shared" si="108"/>
        <v>-1.5751595351605599E-2</v>
      </c>
      <c r="G3307">
        <f t="shared" si="109"/>
        <v>-2.5466309522672322E-2</v>
      </c>
    </row>
    <row r="3308" spans="1:144" ht="12.5" customHeight="1" x14ac:dyDescent="0.35">
      <c r="A3308" t="s">
        <v>174</v>
      </c>
      <c r="E3308">
        <v>3.7650405233174691E-3</v>
      </c>
      <c r="F3308">
        <f t="shared" si="108"/>
        <v>-1.5782727920819487E-2</v>
      </c>
      <c r="G3308">
        <f t="shared" si="109"/>
        <v>-2.5466309522672322E-2</v>
      </c>
    </row>
    <row r="3309" spans="1:144" ht="12.5" customHeight="1" x14ac:dyDescent="0.35">
      <c r="A3309" t="s">
        <v>174</v>
      </c>
      <c r="E3309">
        <v>-9.8812888104230566E-5</v>
      </c>
      <c r="F3309">
        <f t="shared" si="108"/>
        <v>-1.5813860490033371E-2</v>
      </c>
      <c r="G3309">
        <f t="shared" si="109"/>
        <v>-2.5466309522672322E-2</v>
      </c>
    </row>
    <row r="3310" spans="1:144" ht="12.5" customHeight="1" x14ac:dyDescent="0.35">
      <c r="A3310" t="s">
        <v>174</v>
      </c>
      <c r="E3310">
        <v>8.8517727425540954E-3</v>
      </c>
      <c r="F3310">
        <f t="shared" si="108"/>
        <v>-1.5844993059247258E-2</v>
      </c>
      <c r="G3310">
        <f t="shared" si="109"/>
        <v>-2.5466309522672322E-2</v>
      </c>
    </row>
    <row r="3311" spans="1:144" ht="12.5" customHeight="1" x14ac:dyDescent="0.35">
      <c r="A3311" t="s">
        <v>174</v>
      </c>
      <c r="E3311">
        <v>-6.1912170332203151E-3</v>
      </c>
      <c r="F3311">
        <f t="shared" si="108"/>
        <v>-1.5876125628461142E-2</v>
      </c>
      <c r="G3311">
        <f t="shared" si="109"/>
        <v>-2.5466309522672322E-2</v>
      </c>
    </row>
    <row r="3312" spans="1:144" ht="12.5" customHeight="1" x14ac:dyDescent="0.35">
      <c r="A3312" t="s">
        <v>174</v>
      </c>
      <c r="E3312">
        <v>6.8794787906523002E-3</v>
      </c>
      <c r="F3312">
        <f t="shared" si="108"/>
        <v>-1.5907258197675026E-2</v>
      </c>
      <c r="G3312">
        <f t="shared" si="109"/>
        <v>-2.5466309522672322E-2</v>
      </c>
    </row>
    <row r="3313" spans="1:144" ht="12.5" customHeight="1" x14ac:dyDescent="0.35">
      <c r="A3313" t="s">
        <v>174</v>
      </c>
      <c r="E3313">
        <v>1.5111501228397123E-3</v>
      </c>
      <c r="F3313">
        <f t="shared" si="108"/>
        <v>-1.5938390766888914E-2</v>
      </c>
      <c r="G3313">
        <f t="shared" si="109"/>
        <v>-2.5466309522672322E-2</v>
      </c>
    </row>
    <row r="3314" spans="1:144" ht="12.5" customHeight="1" x14ac:dyDescent="0.35">
      <c r="A3314" t="s">
        <v>174</v>
      </c>
      <c r="E3314">
        <v>-1.103272433064242E-2</v>
      </c>
      <c r="F3314">
        <f t="shared" si="108"/>
        <v>-1.5969523336102798E-2</v>
      </c>
      <c r="G3314">
        <f t="shared" si="109"/>
        <v>-2.5466309522672322E-2</v>
      </c>
    </row>
    <row r="3315" spans="1:144" ht="12.5" customHeight="1" x14ac:dyDescent="0.35">
      <c r="A3315" t="s">
        <v>174</v>
      </c>
      <c r="E3315">
        <v>4.2869388263233601E-3</v>
      </c>
      <c r="F3315">
        <f t="shared" si="108"/>
        <v>-1.6000655905316685E-2</v>
      </c>
      <c r="G3315">
        <f t="shared" si="109"/>
        <v>-2.5466309522672322E-2</v>
      </c>
    </row>
    <row r="3316" spans="1:144" ht="12.5" customHeight="1" x14ac:dyDescent="0.35">
      <c r="A3316" t="s">
        <v>174</v>
      </c>
      <c r="E3316">
        <v>-7.5517408649788806E-3</v>
      </c>
      <c r="F3316">
        <f t="shared" si="108"/>
        <v>-1.6031788474530569E-2</v>
      </c>
      <c r="G3316">
        <f t="shared" si="109"/>
        <v>-2.5466309522672322E-2</v>
      </c>
    </row>
    <row r="3317" spans="1:144" ht="12.5" customHeight="1" x14ac:dyDescent="0.35">
      <c r="A3317" t="s">
        <v>174</v>
      </c>
      <c r="E3317">
        <v>-1.0351877558685914E-2</v>
      </c>
      <c r="F3317">
        <f t="shared" si="108"/>
        <v>-1.6062921043744453E-2</v>
      </c>
      <c r="G3317">
        <f t="shared" si="109"/>
        <v>-2.5466309522672322E-2</v>
      </c>
    </row>
    <row r="3318" spans="1:144" ht="12.5" customHeight="1" x14ac:dyDescent="0.35">
      <c r="A3318" t="s">
        <v>174</v>
      </c>
      <c r="E3318">
        <v>-5.3704081117731828E-3</v>
      </c>
      <c r="F3318">
        <f t="shared" si="108"/>
        <v>-1.6094053612958341E-2</v>
      </c>
      <c r="G3318">
        <f t="shared" si="109"/>
        <v>-2.5466309522672322E-2</v>
      </c>
    </row>
    <row r="3319" spans="1:144" ht="12.5" customHeight="1" x14ac:dyDescent="0.35">
      <c r="A3319" t="s">
        <v>174</v>
      </c>
      <c r="E3319">
        <v>1.8608510108757117E-3</v>
      </c>
      <c r="F3319">
        <f t="shared" si="108"/>
        <v>-1.6125186182172225E-2</v>
      </c>
      <c r="G3319">
        <f t="shared" si="109"/>
        <v>-2.5466309522672322E-2</v>
      </c>
    </row>
    <row r="3320" spans="1:144" ht="12.5" customHeight="1" x14ac:dyDescent="0.35">
      <c r="A3320" t="s">
        <v>174</v>
      </c>
      <c r="E3320">
        <v>-2.9707534131807995E-3</v>
      </c>
      <c r="F3320">
        <f t="shared" si="108"/>
        <v>-1.6156318751386112E-2</v>
      </c>
      <c r="G3320">
        <f t="shared" si="109"/>
        <v>-2.5466309522672322E-2</v>
      </c>
    </row>
    <row r="3321" spans="1:144" s="3" customFormat="1" x14ac:dyDescent="0.35">
      <c r="A3321" s="3" t="s">
        <v>175</v>
      </c>
      <c r="B3321" s="3" cm="1">
        <f t="array" ref="B3321">_xlfn.STDEV.S(_xlfn._xlws.FILTER($E$2826:$E$3824, $A$2826:$A$3824="2023-05"))</f>
        <v>1.1342541688076508E-2</v>
      </c>
      <c r="C3321" s="3" cm="1">
        <f t="array" ref="C3321">AVERAGE(_xlfn._xlws.FILTER($E$2826:$E$3824, $A$2826:$A$3824="2023-05"))</f>
        <v>-1.9316043152577005E-3</v>
      </c>
      <c r="D3321" s="3" cm="1">
        <f t="array" ref="D3321">_xlfn.PERCENTILE.EXC(_xlfn._xlws.FILTER($E$2490:$E$3818, $A$2490:$A$3818="2023-05"), 0.05)</f>
        <v>-2.4011222468031723E-2</v>
      </c>
      <c r="E3321" s="3">
        <v>-1.6659129396277627E-2</v>
      </c>
      <c r="F3321" s="3">
        <f t="shared" si="108"/>
        <v>-1.6165636785564975E-2</v>
      </c>
      <c r="G3321" s="3">
        <f t="shared" si="109"/>
        <v>-2.5854225804809242E-2</v>
      </c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/>
      <c r="EI3321"/>
      <c r="EJ3321"/>
      <c r="EK3321"/>
      <c r="EL3321"/>
      <c r="EM3321"/>
      <c r="EN3321"/>
    </row>
    <row r="3322" spans="1:144" ht="12.5" customHeight="1" x14ac:dyDescent="0.35">
      <c r="A3322" t="s">
        <v>175</v>
      </c>
      <c r="E3322">
        <v>7.6767781724337248E-3</v>
      </c>
      <c r="F3322">
        <f t="shared" si="108"/>
        <v>-1.5595932505536172E-2</v>
      </c>
      <c r="G3322">
        <f t="shared" si="109"/>
        <v>-2.5833275361272098E-2</v>
      </c>
    </row>
    <row r="3323" spans="1:144" ht="12.5" customHeight="1" x14ac:dyDescent="0.35">
      <c r="A3323" t="s">
        <v>175</v>
      </c>
      <c r="E3323">
        <v>-6.1683458639779443E-3</v>
      </c>
      <c r="F3323">
        <f t="shared" si="108"/>
        <v>-1.5627065074750059E-2</v>
      </c>
      <c r="G3323">
        <f t="shared" si="109"/>
        <v>-2.5833275361272098E-2</v>
      </c>
    </row>
    <row r="3324" spans="1:144" ht="12.5" customHeight="1" x14ac:dyDescent="0.35">
      <c r="A3324" t="s">
        <v>175</v>
      </c>
      <c r="E3324">
        <v>2.5114030533515651E-2</v>
      </c>
      <c r="F3324">
        <f t="shared" si="108"/>
        <v>-1.5658197643963943E-2</v>
      </c>
      <c r="G3324">
        <f t="shared" si="109"/>
        <v>-2.5833275361272098E-2</v>
      </c>
    </row>
    <row r="3325" spans="1:144" ht="12.5" customHeight="1" x14ac:dyDescent="0.35">
      <c r="A3325" t="s">
        <v>175</v>
      </c>
      <c r="E3325">
        <v>1.2774954644365418E-3</v>
      </c>
      <c r="F3325">
        <f t="shared" si="108"/>
        <v>-1.5689330213177831E-2</v>
      </c>
      <c r="G3325">
        <f t="shared" si="109"/>
        <v>-2.5833275361272098E-2</v>
      </c>
    </row>
    <row r="3326" spans="1:144" ht="12.5" customHeight="1" x14ac:dyDescent="0.35">
      <c r="A3326" t="s">
        <v>175</v>
      </c>
      <c r="E3326">
        <v>-4.346345154563328E-3</v>
      </c>
      <c r="F3326">
        <f t="shared" si="108"/>
        <v>-1.5720462782391715E-2</v>
      </c>
      <c r="G3326">
        <f t="shared" si="109"/>
        <v>-2.5833275361272098E-2</v>
      </c>
    </row>
    <row r="3327" spans="1:144" ht="12.5" customHeight="1" x14ac:dyDescent="0.35">
      <c r="A3327" t="s">
        <v>175</v>
      </c>
      <c r="E3327">
        <v>-6.1026249817874587E-3</v>
      </c>
      <c r="F3327">
        <f t="shared" si="108"/>
        <v>-1.5751595351605599E-2</v>
      </c>
      <c r="G3327">
        <f t="shared" si="109"/>
        <v>-2.5833275361272098E-2</v>
      </c>
    </row>
    <row r="3328" spans="1:144" ht="12.5" customHeight="1" x14ac:dyDescent="0.35">
      <c r="A3328" t="s">
        <v>175</v>
      </c>
      <c r="E3328">
        <v>9.1257673984712455E-3</v>
      </c>
      <c r="F3328">
        <f t="shared" si="108"/>
        <v>-1.5782727920819487E-2</v>
      </c>
      <c r="G3328">
        <f t="shared" si="109"/>
        <v>-2.5833275361272098E-2</v>
      </c>
    </row>
    <row r="3329" spans="1:144" ht="12.5" customHeight="1" x14ac:dyDescent="0.35">
      <c r="A3329" t="s">
        <v>175</v>
      </c>
      <c r="E3329">
        <v>-3.7316333112457378E-3</v>
      </c>
      <c r="F3329">
        <f t="shared" si="108"/>
        <v>-1.5813860490033371E-2</v>
      </c>
      <c r="G3329">
        <f t="shared" si="109"/>
        <v>-2.5833275361272098E-2</v>
      </c>
    </row>
    <row r="3330" spans="1:144" ht="12.5" customHeight="1" x14ac:dyDescent="0.35">
      <c r="A3330" t="s">
        <v>175</v>
      </c>
      <c r="E3330">
        <v>-1.71147340310336E-3</v>
      </c>
      <c r="F3330">
        <f t="shared" si="108"/>
        <v>-1.5844993059247258E-2</v>
      </c>
      <c r="G3330">
        <f t="shared" si="109"/>
        <v>-2.5833275361272098E-2</v>
      </c>
    </row>
    <row r="3331" spans="1:144" ht="12.5" customHeight="1" x14ac:dyDescent="0.35">
      <c r="A3331" t="s">
        <v>175</v>
      </c>
      <c r="E3331">
        <v>-8.8610548059058037E-5</v>
      </c>
      <c r="F3331">
        <f t="shared" si="108"/>
        <v>-1.5876125628461142E-2</v>
      </c>
      <c r="G3331">
        <f t="shared" si="109"/>
        <v>-2.5833275361272098E-2</v>
      </c>
    </row>
    <row r="3332" spans="1:144" ht="12.5" customHeight="1" x14ac:dyDescent="0.35">
      <c r="A3332" t="s">
        <v>175</v>
      </c>
      <c r="E3332">
        <v>1.4399591260250697E-3</v>
      </c>
      <c r="F3332">
        <f t="shared" ref="F3332:F3395" si="110">_xlfn.PERCENTILE.EXC(E3332:E7147,0.05)</f>
        <v>-1.5907258197675026E-2</v>
      </c>
      <c r="G3332">
        <f t="shared" ref="G3332:G3395" si="111">AVERAGEIFS(E3332:E7148,E3332:E7148,"&lt;=" &amp; F3332)</f>
        <v>-2.5833275361272098E-2</v>
      </c>
    </row>
    <row r="3333" spans="1:144" ht="12.5" customHeight="1" x14ac:dyDescent="0.35">
      <c r="A3333" t="s">
        <v>175</v>
      </c>
      <c r="E3333">
        <v>1.0398227373028082E-2</v>
      </c>
      <c r="F3333">
        <f t="shared" si="110"/>
        <v>-1.5938390766888914E-2</v>
      </c>
      <c r="G3333">
        <f t="shared" si="111"/>
        <v>-2.5833275361272098E-2</v>
      </c>
    </row>
    <row r="3334" spans="1:144" ht="12.5" customHeight="1" x14ac:dyDescent="0.35">
      <c r="A3334" t="s">
        <v>175</v>
      </c>
      <c r="E3334">
        <v>-7.6464374784259072E-3</v>
      </c>
      <c r="F3334">
        <f t="shared" si="110"/>
        <v>-1.5969523336102798E-2</v>
      </c>
      <c r="G3334">
        <f t="shared" si="111"/>
        <v>-2.5833275361272098E-2</v>
      </c>
    </row>
    <row r="3335" spans="1:144" ht="12.5" customHeight="1" x14ac:dyDescent="0.35">
      <c r="A3335" t="s">
        <v>175</v>
      </c>
      <c r="E3335">
        <v>-4.9822377430699142E-3</v>
      </c>
      <c r="F3335">
        <f t="shared" si="110"/>
        <v>-1.6000655905316685E-2</v>
      </c>
      <c r="G3335">
        <f t="shared" si="111"/>
        <v>-2.5833275361272098E-2</v>
      </c>
    </row>
    <row r="3336" spans="1:144" ht="12.5" customHeight="1" x14ac:dyDescent="0.35">
      <c r="A3336" t="s">
        <v>175</v>
      </c>
      <c r="E3336">
        <v>-2.4225986831217662E-2</v>
      </c>
      <c r="F3336">
        <f t="shared" si="110"/>
        <v>-1.6031788474530569E-2</v>
      </c>
      <c r="G3336">
        <f t="shared" si="111"/>
        <v>-2.5833275361272098E-2</v>
      </c>
    </row>
    <row r="3337" spans="1:144" ht="12.5" customHeight="1" x14ac:dyDescent="0.35">
      <c r="A3337" t="s">
        <v>175</v>
      </c>
      <c r="E3337">
        <v>-4.4033476687125664E-3</v>
      </c>
      <c r="F3337">
        <f t="shared" si="110"/>
        <v>-1.5528805158767815E-2</v>
      </c>
      <c r="G3337">
        <f t="shared" si="111"/>
        <v>-2.5471095383600876E-2</v>
      </c>
    </row>
    <row r="3338" spans="1:144" ht="12.5" customHeight="1" x14ac:dyDescent="0.35">
      <c r="A3338" t="s">
        <v>175</v>
      </c>
      <c r="E3338">
        <v>1.149831761852574E-2</v>
      </c>
      <c r="F3338">
        <f t="shared" si="110"/>
        <v>-1.5530425894881343E-2</v>
      </c>
      <c r="G3338">
        <f t="shared" si="111"/>
        <v>-2.5471095383600876E-2</v>
      </c>
    </row>
    <row r="3339" spans="1:144" ht="12.5" customHeight="1" x14ac:dyDescent="0.35">
      <c r="A3339" t="s">
        <v>175</v>
      </c>
      <c r="E3339">
        <v>-5.1657900436506135E-3</v>
      </c>
      <c r="F3339">
        <f t="shared" si="110"/>
        <v>-1.5532046630994873E-2</v>
      </c>
      <c r="G3339">
        <f t="shared" si="111"/>
        <v>-2.5471095383600876E-2</v>
      </c>
    </row>
    <row r="3340" spans="1:144" ht="12.5" customHeight="1" x14ac:dyDescent="0.35">
      <c r="A3340" t="s">
        <v>175</v>
      </c>
      <c r="E3340">
        <v>-1.9930699567498888E-2</v>
      </c>
      <c r="F3340">
        <f t="shared" si="110"/>
        <v>-1.5533667367108402E-2</v>
      </c>
      <c r="G3340">
        <f t="shared" si="111"/>
        <v>-2.5471095383600876E-2</v>
      </c>
    </row>
    <row r="3341" spans="1:144" s="3" customFormat="1" x14ac:dyDescent="0.35">
      <c r="A3341" s="3" t="s">
        <v>176</v>
      </c>
      <c r="B3341" s="3" cm="1">
        <f t="array" ref="B3341">_xlfn.STDEV.S(_xlfn._xlws.FILTER($E$2826:$E$3824, $A$2826:$A$3824="2023-06"))</f>
        <v>8.0191369001483444E-3</v>
      </c>
      <c r="C3341" s="3" cm="1">
        <f t="array" ref="C3341">AVERAGE(_xlfn._xlws.FILTER($E$2826:$E$3824, $A$2826:$A$3824="2023-06"))</f>
        <v>3.6520827555002089E-3</v>
      </c>
      <c r="D3341" s="3" cm="1">
        <f t="array" ref="D3341">_xlfn.PERCENTILE.EXC(_xlfn._xlws.FILTER($E$2490:$E$3818, $A$2490:$A$3818="2023-06"), 0.05)</f>
        <v>-7.7677910467809736E-3</v>
      </c>
      <c r="E3341" s="3">
        <v>1.9928065584794739E-2</v>
      </c>
      <c r="F3341" s="3">
        <f t="shared" si="110"/>
        <v>-1.5502873380951345E-2</v>
      </c>
      <c r="G3341" s="3">
        <f t="shared" si="111"/>
        <v>-2.5711982158214009E-2</v>
      </c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/>
      <c r="EH3341"/>
      <c r="EI3341"/>
      <c r="EJ3341"/>
      <c r="EK3341"/>
      <c r="EL3341"/>
      <c r="EM3341"/>
      <c r="EN3341"/>
    </row>
    <row r="3342" spans="1:144" ht="12.5" customHeight="1" x14ac:dyDescent="0.35">
      <c r="A3342" t="s">
        <v>176</v>
      </c>
      <c r="E3342">
        <v>1.8367521670259585E-2</v>
      </c>
      <c r="F3342">
        <f t="shared" si="110"/>
        <v>-1.5504494117064876E-2</v>
      </c>
      <c r="G3342">
        <f t="shared" si="111"/>
        <v>-2.5711982158214009E-2</v>
      </c>
    </row>
    <row r="3343" spans="1:144" ht="12.5" customHeight="1" x14ac:dyDescent="0.35">
      <c r="A3343" t="s">
        <v>176</v>
      </c>
      <c r="E3343">
        <v>-7.8435003534575512E-3</v>
      </c>
      <c r="F3343">
        <f t="shared" si="110"/>
        <v>-1.5506114853178404E-2</v>
      </c>
      <c r="G3343">
        <f t="shared" si="111"/>
        <v>-2.5711982158214009E-2</v>
      </c>
    </row>
    <row r="3344" spans="1:144" ht="12.5" customHeight="1" x14ac:dyDescent="0.35">
      <c r="A3344" t="s">
        <v>176</v>
      </c>
      <c r="E3344">
        <v>6.6731832436313348E-3</v>
      </c>
      <c r="F3344">
        <f t="shared" si="110"/>
        <v>-1.5507735589291935E-2</v>
      </c>
      <c r="G3344">
        <f t="shared" si="111"/>
        <v>-2.5711982158214009E-2</v>
      </c>
    </row>
    <row r="3345" spans="1:7" ht="12.5" customHeight="1" x14ac:dyDescent="0.35">
      <c r="A3345" t="s">
        <v>176</v>
      </c>
      <c r="E3345">
        <v>6.9621909273030996E-4</v>
      </c>
      <c r="F3345">
        <f t="shared" si="110"/>
        <v>-1.5509356325405463E-2</v>
      </c>
      <c r="G3345">
        <f t="shared" si="111"/>
        <v>-2.5711982158214009E-2</v>
      </c>
    </row>
    <row r="3346" spans="1:7" ht="12.5" customHeight="1" x14ac:dyDescent="0.35">
      <c r="A3346" t="s">
        <v>176</v>
      </c>
      <c r="E3346">
        <v>8.0816864662872512E-3</v>
      </c>
      <c r="F3346">
        <f t="shared" si="110"/>
        <v>-1.5510977061518992E-2</v>
      </c>
      <c r="G3346">
        <f t="shared" si="111"/>
        <v>-2.5711982158214009E-2</v>
      </c>
    </row>
    <row r="3347" spans="1:7" ht="12.5" customHeight="1" x14ac:dyDescent="0.35">
      <c r="A3347" t="s">
        <v>176</v>
      </c>
      <c r="E3347">
        <v>-4.1523242581044369E-3</v>
      </c>
      <c r="F3347">
        <f t="shared" si="110"/>
        <v>-1.5512597797632522E-2</v>
      </c>
      <c r="G3347">
        <f t="shared" si="111"/>
        <v>-2.5711982158214009E-2</v>
      </c>
    </row>
    <row r="3348" spans="1:7" ht="12.5" customHeight="1" x14ac:dyDescent="0.35">
      <c r="A3348" t="s">
        <v>176</v>
      </c>
      <c r="E3348">
        <v>9.1053831899090571E-3</v>
      </c>
      <c r="F3348">
        <f t="shared" si="110"/>
        <v>-1.5514218533746051E-2</v>
      </c>
      <c r="G3348">
        <f t="shared" si="111"/>
        <v>-2.5711982158214009E-2</v>
      </c>
    </row>
    <row r="3349" spans="1:7" ht="12.5" customHeight="1" x14ac:dyDescent="0.35">
      <c r="A3349" t="s">
        <v>176</v>
      </c>
      <c r="E3349">
        <v>5.659160374514134E-3</v>
      </c>
      <c r="F3349">
        <f t="shared" si="110"/>
        <v>-1.5515839269859581E-2</v>
      </c>
      <c r="G3349">
        <f t="shared" si="111"/>
        <v>-2.5711982158214009E-2</v>
      </c>
    </row>
    <row r="3350" spans="1:7" ht="12.5" customHeight="1" x14ac:dyDescent="0.35">
      <c r="A3350" t="s">
        <v>176</v>
      </c>
      <c r="E3350">
        <v>8.7787280992325262E-3</v>
      </c>
      <c r="F3350">
        <f t="shared" si="110"/>
        <v>-1.5517460005973109E-2</v>
      </c>
      <c r="G3350">
        <f t="shared" si="111"/>
        <v>-2.5711982158214009E-2</v>
      </c>
    </row>
    <row r="3351" spans="1:7" ht="12.5" customHeight="1" x14ac:dyDescent="0.35">
      <c r="A3351" t="s">
        <v>176</v>
      </c>
      <c r="E3351">
        <v>-2.7838976929934725E-3</v>
      </c>
      <c r="F3351">
        <f t="shared" si="110"/>
        <v>-1.5519080742086638E-2</v>
      </c>
      <c r="G3351">
        <f t="shared" si="111"/>
        <v>-2.5711982158214009E-2</v>
      </c>
    </row>
    <row r="3352" spans="1:7" ht="12.5" customHeight="1" x14ac:dyDescent="0.35">
      <c r="A3352" t="s">
        <v>176</v>
      </c>
      <c r="E3352">
        <v>4.6775270476083252E-3</v>
      </c>
      <c r="F3352">
        <f t="shared" si="110"/>
        <v>-1.5520701478200168E-2</v>
      </c>
      <c r="G3352">
        <f t="shared" si="111"/>
        <v>-2.5711982158214009E-2</v>
      </c>
    </row>
    <row r="3353" spans="1:7" ht="12.5" customHeight="1" x14ac:dyDescent="0.35">
      <c r="A3353" t="s">
        <v>176</v>
      </c>
      <c r="E3353">
        <v>-3.8701155432600103E-3</v>
      </c>
      <c r="F3353">
        <f t="shared" si="110"/>
        <v>-1.5522322214313697E-2</v>
      </c>
      <c r="G3353">
        <f t="shared" si="111"/>
        <v>-2.5711982158214009E-2</v>
      </c>
    </row>
    <row r="3354" spans="1:7" ht="12.5" customHeight="1" x14ac:dyDescent="0.35">
      <c r="A3354" t="s">
        <v>176</v>
      </c>
      <c r="E3354">
        <v>-6.436641296890408E-3</v>
      </c>
      <c r="F3354">
        <f t="shared" si="110"/>
        <v>-1.5523942950427227E-2</v>
      </c>
      <c r="G3354">
        <f t="shared" si="111"/>
        <v>-2.5711982158214009E-2</v>
      </c>
    </row>
    <row r="3355" spans="1:7" ht="12.5" customHeight="1" x14ac:dyDescent="0.35">
      <c r="A3355" t="s">
        <v>176</v>
      </c>
      <c r="E3355">
        <v>1.2053896795726838E-3</v>
      </c>
      <c r="F3355">
        <f t="shared" si="110"/>
        <v>-1.5525563686540756E-2</v>
      </c>
      <c r="G3355">
        <f t="shared" si="111"/>
        <v>-2.5711982158214009E-2</v>
      </c>
    </row>
    <row r="3356" spans="1:7" ht="12.5" customHeight="1" x14ac:dyDescent="0.35">
      <c r="A3356" t="s">
        <v>176</v>
      </c>
      <c r="E3356">
        <v>-7.2443789088357125E-3</v>
      </c>
      <c r="F3356">
        <f t="shared" si="110"/>
        <v>-1.5527184422654284E-2</v>
      </c>
      <c r="G3356">
        <f t="shared" si="111"/>
        <v>-2.5711982158214009E-2</v>
      </c>
    </row>
    <row r="3357" spans="1:7" ht="12.5" customHeight="1" x14ac:dyDescent="0.35">
      <c r="A3357" t="s">
        <v>176</v>
      </c>
      <c r="E3357">
        <v>-7.3387716422803678E-3</v>
      </c>
      <c r="F3357">
        <f t="shared" si="110"/>
        <v>-1.5528805158767815E-2</v>
      </c>
      <c r="G3357">
        <f t="shared" si="111"/>
        <v>-2.5711982158214009E-2</v>
      </c>
    </row>
    <row r="3358" spans="1:7" ht="12.5" customHeight="1" x14ac:dyDescent="0.35">
      <c r="A3358" t="s">
        <v>176</v>
      </c>
      <c r="E3358">
        <v>1.2212464584329843E-3</v>
      </c>
      <c r="F3358">
        <f t="shared" si="110"/>
        <v>-1.5530425894881343E-2</v>
      </c>
      <c r="G3358">
        <f t="shared" si="111"/>
        <v>-2.5711982158214009E-2</v>
      </c>
    </row>
    <row r="3359" spans="1:7" ht="12.5" customHeight="1" x14ac:dyDescent="0.35">
      <c r="A3359" t="s">
        <v>176</v>
      </c>
      <c r="E3359">
        <v>5.7894898552594094E-3</v>
      </c>
      <c r="F3359">
        <f t="shared" si="110"/>
        <v>-1.5532046630994873E-2</v>
      </c>
      <c r="G3359">
        <f t="shared" si="111"/>
        <v>-2.5711982158214009E-2</v>
      </c>
    </row>
    <row r="3360" spans="1:7" ht="12.5" customHeight="1" x14ac:dyDescent="0.35">
      <c r="A3360" t="s">
        <v>176</v>
      </c>
      <c r="E3360">
        <v>8.5893052489288517E-3</v>
      </c>
      <c r="F3360">
        <f t="shared" si="110"/>
        <v>-1.5533667367108402E-2</v>
      </c>
      <c r="G3360">
        <f t="shared" si="111"/>
        <v>-2.5711982158214009E-2</v>
      </c>
    </row>
    <row r="3361" spans="1:144" ht="12.5" customHeight="1" x14ac:dyDescent="0.35">
      <c r="A3361" t="s">
        <v>176</v>
      </c>
      <c r="E3361">
        <v>1.0473425603074234E-2</v>
      </c>
      <c r="F3361">
        <f t="shared" si="110"/>
        <v>-1.5564799936322286E-2</v>
      </c>
      <c r="G3361">
        <f t="shared" si="111"/>
        <v>-2.617463283053699E-2</v>
      </c>
    </row>
    <row r="3362" spans="1:144" ht="12.5" customHeight="1" x14ac:dyDescent="0.35">
      <c r="A3362" t="s">
        <v>176</v>
      </c>
      <c r="E3362">
        <v>1.0769118702591141E-2</v>
      </c>
      <c r="F3362">
        <f t="shared" si="110"/>
        <v>-1.5595932505536172E-2</v>
      </c>
      <c r="G3362">
        <f t="shared" si="111"/>
        <v>-2.617463283053699E-2</v>
      </c>
    </row>
    <row r="3363" spans="1:144" s="3" customFormat="1" x14ac:dyDescent="0.35">
      <c r="A3363" s="3" t="s">
        <v>177</v>
      </c>
      <c r="B3363" s="3" cm="1">
        <f t="array" ref="B3363">_xlfn.STDEV.S(_xlfn._xlws.FILTER($E$2826:$E$3824, $A$2826:$A$3824="2023-07"))</f>
        <v>9.1798203056689988E-3</v>
      </c>
      <c r="C3363" s="3" cm="1">
        <f t="array" ref="C3363">AVERAGE(_xlfn._xlws.FILTER($E$2826:$E$3824, $A$2826:$A$3824="2023-07"))</f>
        <v>2.3270976908020442E-3</v>
      </c>
      <c r="D3363" s="3" cm="1">
        <f t="array" ref="D3363">_xlfn.PERCENTILE.EXC(_xlfn._xlws.FILTER($E$2490:$E$3818, $A$2490:$A$3818="2023-07"), 0.05)</f>
        <v>-2.3629045294404457E-2</v>
      </c>
      <c r="E3363" s="3">
        <v>7.624548363012267E-3</v>
      </c>
      <c r="F3363" s="3">
        <f t="shared" si="110"/>
        <v>-1.5627065074750059E-2</v>
      </c>
      <c r="G3363" s="3">
        <f t="shared" si="111"/>
        <v>-2.617463283053699E-2</v>
      </c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/>
      <c r="EI3363"/>
      <c r="EJ3363"/>
      <c r="EK3363"/>
      <c r="EL3363"/>
      <c r="EM3363"/>
      <c r="EN3363"/>
    </row>
    <row r="3364" spans="1:144" ht="12.5" customHeight="1" x14ac:dyDescent="0.35">
      <c r="A3364" t="s">
        <v>177</v>
      </c>
      <c r="E3364">
        <v>-2.1121249479726396E-3</v>
      </c>
      <c r="F3364">
        <f t="shared" si="110"/>
        <v>-1.5658197643963943E-2</v>
      </c>
      <c r="G3364">
        <f t="shared" si="111"/>
        <v>-2.617463283053699E-2</v>
      </c>
    </row>
    <row r="3365" spans="1:144" ht="12.5" customHeight="1" x14ac:dyDescent="0.35">
      <c r="A3365" t="s">
        <v>177</v>
      </c>
      <c r="E3365">
        <v>-5.8897417349903051E-3</v>
      </c>
      <c r="F3365">
        <f t="shared" si="110"/>
        <v>-1.5689330213177831E-2</v>
      </c>
      <c r="G3365">
        <f t="shared" si="111"/>
        <v>-2.617463283053699E-2</v>
      </c>
    </row>
    <row r="3366" spans="1:144" ht="12.5" customHeight="1" x14ac:dyDescent="0.35">
      <c r="A3366" t="s">
        <v>177</v>
      </c>
      <c r="E3366">
        <v>-2.5600079023228254E-2</v>
      </c>
      <c r="F3366">
        <f t="shared" si="110"/>
        <v>-1.5720462782391715E-2</v>
      </c>
      <c r="G3366">
        <f t="shared" si="111"/>
        <v>-2.617463283053699E-2</v>
      </c>
    </row>
    <row r="3367" spans="1:144" ht="12.5" customHeight="1" x14ac:dyDescent="0.35">
      <c r="A3367" t="s">
        <v>177</v>
      </c>
      <c r="E3367">
        <v>9.8186144994203868E-3</v>
      </c>
      <c r="F3367">
        <f t="shared" si="110"/>
        <v>-1.5512597797632522E-2</v>
      </c>
      <c r="G3367">
        <f t="shared" si="111"/>
        <v>-2.571706866434972E-2</v>
      </c>
    </row>
    <row r="3368" spans="1:144" ht="12.5" customHeight="1" x14ac:dyDescent="0.35">
      <c r="A3368" t="s">
        <v>177</v>
      </c>
      <c r="E3368">
        <v>3.3667403345779704E-3</v>
      </c>
      <c r="F3368">
        <f t="shared" si="110"/>
        <v>-1.5514218533746051E-2</v>
      </c>
      <c r="G3368">
        <f t="shared" si="111"/>
        <v>-2.571706866434972E-2</v>
      </c>
    </row>
    <row r="3369" spans="1:144" ht="12.5" customHeight="1" x14ac:dyDescent="0.35">
      <c r="A3369" t="s">
        <v>177</v>
      </c>
      <c r="E3369">
        <v>6.7791366896677177E-3</v>
      </c>
      <c r="F3369">
        <f t="shared" si="110"/>
        <v>-1.5515839269859581E-2</v>
      </c>
      <c r="G3369">
        <f t="shared" si="111"/>
        <v>-2.571706866434972E-2</v>
      </c>
    </row>
    <row r="3370" spans="1:144" ht="12.5" customHeight="1" x14ac:dyDescent="0.35">
      <c r="A3370" t="s">
        <v>177</v>
      </c>
      <c r="E3370">
        <v>1.7331553095142387E-2</v>
      </c>
      <c r="F3370">
        <f t="shared" si="110"/>
        <v>-1.5517460005973109E-2</v>
      </c>
      <c r="G3370">
        <f t="shared" si="111"/>
        <v>-2.571706866434972E-2</v>
      </c>
    </row>
    <row r="3371" spans="1:144" ht="12.5" customHeight="1" x14ac:dyDescent="0.35">
      <c r="A3371" t="s">
        <v>177</v>
      </c>
      <c r="E3371">
        <v>7.7656710715771331E-3</v>
      </c>
      <c r="F3371">
        <f t="shared" si="110"/>
        <v>-1.5519080742086638E-2</v>
      </c>
      <c r="G3371">
        <f t="shared" si="111"/>
        <v>-2.571706866434972E-2</v>
      </c>
    </row>
    <row r="3372" spans="1:144" ht="12.5" customHeight="1" x14ac:dyDescent="0.35">
      <c r="A3372" t="s">
        <v>177</v>
      </c>
      <c r="E3372">
        <v>-3.8814026983819698E-3</v>
      </c>
      <c r="F3372">
        <f t="shared" si="110"/>
        <v>-1.5520701478200168E-2</v>
      </c>
      <c r="G3372">
        <f t="shared" si="111"/>
        <v>-2.571706866434972E-2</v>
      </c>
    </row>
    <row r="3373" spans="1:144" ht="12.5" customHeight="1" x14ac:dyDescent="0.35">
      <c r="A3373" t="s">
        <v>177</v>
      </c>
      <c r="E3373">
        <v>-1.9122841762142003E-3</v>
      </c>
      <c r="F3373">
        <f t="shared" si="110"/>
        <v>-1.5522322214313697E-2</v>
      </c>
      <c r="G3373">
        <f t="shared" si="111"/>
        <v>-2.571706866434972E-2</v>
      </c>
    </row>
    <row r="3374" spans="1:144" ht="12.5" customHeight="1" x14ac:dyDescent="0.35">
      <c r="A3374" t="s">
        <v>177</v>
      </c>
      <c r="E3374">
        <v>3.4273604481712019E-3</v>
      </c>
      <c r="F3374">
        <f t="shared" si="110"/>
        <v>-1.5523942950427227E-2</v>
      </c>
      <c r="G3374">
        <f t="shared" si="111"/>
        <v>-2.571706866434972E-2</v>
      </c>
    </row>
    <row r="3375" spans="1:144" ht="12.5" customHeight="1" x14ac:dyDescent="0.35">
      <c r="A3375" t="s">
        <v>177</v>
      </c>
      <c r="E3375">
        <v>1.9331556631919437E-4</v>
      </c>
      <c r="F3375">
        <f t="shared" si="110"/>
        <v>-1.5525563686540756E-2</v>
      </c>
      <c r="G3375">
        <f t="shared" si="111"/>
        <v>-2.571706866434972E-2</v>
      </c>
    </row>
    <row r="3376" spans="1:144" ht="12.5" customHeight="1" x14ac:dyDescent="0.35">
      <c r="A3376" t="s">
        <v>177</v>
      </c>
      <c r="E3376">
        <v>3.5961619938895016E-3</v>
      </c>
      <c r="F3376">
        <f t="shared" si="110"/>
        <v>-1.5527184422654284E-2</v>
      </c>
      <c r="G3376">
        <f t="shared" si="111"/>
        <v>-2.571706866434972E-2</v>
      </c>
    </row>
    <row r="3377" spans="1:144" ht="12.5" customHeight="1" x14ac:dyDescent="0.35">
      <c r="A3377" t="s">
        <v>177</v>
      </c>
      <c r="E3377">
        <v>1.3642945412953747E-3</v>
      </c>
      <c r="F3377">
        <f t="shared" si="110"/>
        <v>-1.5528805158767815E-2</v>
      </c>
      <c r="G3377">
        <f t="shared" si="111"/>
        <v>-2.571706866434972E-2</v>
      </c>
    </row>
    <row r="3378" spans="1:144" ht="12.5" customHeight="1" x14ac:dyDescent="0.35">
      <c r="A3378" t="s">
        <v>177</v>
      </c>
      <c r="E3378">
        <v>1.8464949637782429E-3</v>
      </c>
      <c r="F3378">
        <f t="shared" si="110"/>
        <v>-1.5530425894881343E-2</v>
      </c>
      <c r="G3378">
        <f t="shared" si="111"/>
        <v>-2.571706866434972E-2</v>
      </c>
    </row>
    <row r="3379" spans="1:144" ht="12.5" customHeight="1" x14ac:dyDescent="0.35">
      <c r="A3379" t="s">
        <v>177</v>
      </c>
      <c r="E3379">
        <v>2.0039806391490846E-3</v>
      </c>
      <c r="F3379">
        <f t="shared" si="110"/>
        <v>-1.5532046630994873E-2</v>
      </c>
      <c r="G3379">
        <f t="shared" si="111"/>
        <v>-2.571706866434972E-2</v>
      </c>
    </row>
    <row r="3380" spans="1:144" ht="12.5" customHeight="1" x14ac:dyDescent="0.35">
      <c r="A3380" t="s">
        <v>177</v>
      </c>
      <c r="E3380">
        <v>4.8458191780340417E-4</v>
      </c>
      <c r="F3380">
        <f t="shared" si="110"/>
        <v>-1.5533667367108402E-2</v>
      </c>
      <c r="G3380">
        <f t="shared" si="111"/>
        <v>-2.571706866434972E-2</v>
      </c>
    </row>
    <row r="3381" spans="1:144" ht="12.5" customHeight="1" x14ac:dyDescent="0.35">
      <c r="A3381" t="s">
        <v>177</v>
      </c>
      <c r="E3381">
        <v>2.1078907384103566E-2</v>
      </c>
      <c r="F3381">
        <f t="shared" si="110"/>
        <v>-1.5564799936322286E-2</v>
      </c>
      <c r="G3381">
        <f t="shared" si="111"/>
        <v>-2.620199253564693E-2</v>
      </c>
    </row>
    <row r="3382" spans="1:144" ht="12.5" customHeight="1" x14ac:dyDescent="0.35">
      <c r="A3382" t="s">
        <v>177</v>
      </c>
      <c r="E3382">
        <v>-3.3033291225838357E-3</v>
      </c>
      <c r="F3382">
        <f t="shared" si="110"/>
        <v>-1.5595932505536172E-2</v>
      </c>
      <c r="G3382">
        <f t="shared" si="111"/>
        <v>-2.620199253564693E-2</v>
      </c>
    </row>
    <row r="3383" spans="1:144" ht="12.5" customHeight="1" x14ac:dyDescent="0.35">
      <c r="A3383" t="s">
        <v>177</v>
      </c>
      <c r="E3383">
        <v>4.8866517023067012E-3</v>
      </c>
      <c r="F3383">
        <f t="shared" si="110"/>
        <v>-1.5627065074750059E-2</v>
      </c>
      <c r="G3383">
        <f t="shared" si="111"/>
        <v>-2.620199253564693E-2</v>
      </c>
    </row>
    <row r="3384" spans="1:144" s="3" customFormat="1" x14ac:dyDescent="0.35">
      <c r="A3384" s="3" t="s">
        <v>178</v>
      </c>
      <c r="B3384" s="3" cm="1">
        <f t="array" ref="B3384">_xlfn.STDEV.S(_xlfn._xlws.FILTER($E$2826:$E$3824, $A$2826:$A$3824="2023-08"))</f>
        <v>1.0387308146036979E-2</v>
      </c>
      <c r="C3384" s="3" cm="1">
        <f t="array" ref="C3384">AVERAGE(_xlfn._xlws.FILTER($E$2826:$E$3824, $A$2826:$A$3824="2023-08"))</f>
        <v>-1.3244981698796662E-3</v>
      </c>
      <c r="D3384" s="3" cm="1">
        <f t="array" ref="D3384">_xlfn.PERCENTILE.EXC(_xlfn._xlws.FILTER($E$2490:$E$3818, $A$2490:$A$3818="2023-08"), 0.05)</f>
        <v>-2.0598494733996133E-2</v>
      </c>
      <c r="E3384" s="3">
        <v>-9.7812896843196724E-3</v>
      </c>
      <c r="F3384" s="3">
        <f t="shared" si="110"/>
        <v>-1.5658197643963943E-2</v>
      </c>
      <c r="G3384" s="3">
        <f t="shared" si="111"/>
        <v>-2.620199253564693E-2</v>
      </c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/>
      <c r="EH3384"/>
      <c r="EI3384"/>
      <c r="EJ3384"/>
      <c r="EK3384"/>
      <c r="EL3384"/>
      <c r="EM3384"/>
      <c r="EN3384"/>
    </row>
    <row r="3385" spans="1:144" ht="12.5" customHeight="1" x14ac:dyDescent="0.35">
      <c r="A3385" t="s">
        <v>178</v>
      </c>
      <c r="E3385">
        <v>-1.3084891656963214E-2</v>
      </c>
      <c r="F3385">
        <f t="shared" si="110"/>
        <v>-1.5689330213177831E-2</v>
      </c>
      <c r="G3385">
        <f t="shared" si="111"/>
        <v>-2.620199253564693E-2</v>
      </c>
    </row>
    <row r="3386" spans="1:144" ht="12.5" customHeight="1" x14ac:dyDescent="0.35">
      <c r="A3386" t="s">
        <v>178</v>
      </c>
      <c r="E3386">
        <v>-9.4249247529893752E-3</v>
      </c>
      <c r="F3386">
        <f t="shared" si="110"/>
        <v>-1.5720462782391715E-2</v>
      </c>
      <c r="G3386">
        <f t="shared" si="111"/>
        <v>-2.620199253564693E-2</v>
      </c>
    </row>
    <row r="3387" spans="1:144" ht="12.5" customHeight="1" x14ac:dyDescent="0.35">
      <c r="A3387" t="s">
        <v>178</v>
      </c>
      <c r="E3387">
        <v>-4.0625577898188332E-3</v>
      </c>
      <c r="F3387">
        <f t="shared" si="110"/>
        <v>-1.5751595351605599E-2</v>
      </c>
      <c r="G3387">
        <f t="shared" si="111"/>
        <v>-2.620199253564693E-2</v>
      </c>
    </row>
    <row r="3388" spans="1:144" ht="12.5" customHeight="1" x14ac:dyDescent="0.35">
      <c r="A3388" t="s">
        <v>178</v>
      </c>
      <c r="E3388">
        <v>-1.356810988704853E-3</v>
      </c>
      <c r="F3388">
        <f t="shared" si="110"/>
        <v>-1.5782727920819487E-2</v>
      </c>
      <c r="G3388">
        <f t="shared" si="111"/>
        <v>-2.620199253564693E-2</v>
      </c>
    </row>
    <row r="3389" spans="1:144" ht="12.5" customHeight="1" x14ac:dyDescent="0.35">
      <c r="A3389" t="s">
        <v>178</v>
      </c>
      <c r="E3389">
        <v>-2.1433339520333126E-2</v>
      </c>
      <c r="F3389">
        <f t="shared" si="110"/>
        <v>-1.5813860490033371E-2</v>
      </c>
      <c r="G3389">
        <f t="shared" si="111"/>
        <v>-2.620199253564693E-2</v>
      </c>
    </row>
    <row r="3390" spans="1:144" ht="12.5" customHeight="1" x14ac:dyDescent="0.35">
      <c r="A3390" t="s">
        <v>178</v>
      </c>
      <c r="E3390">
        <v>1.3007749228765669E-2</v>
      </c>
      <c r="F3390">
        <f t="shared" si="110"/>
        <v>-1.5517460005973109E-2</v>
      </c>
      <c r="G3390">
        <f t="shared" si="111"/>
        <v>-2.5921055766445749E-2</v>
      </c>
    </row>
    <row r="3391" spans="1:144" ht="12.5" customHeight="1" x14ac:dyDescent="0.35">
      <c r="A3391" t="s">
        <v>178</v>
      </c>
      <c r="E3391">
        <v>9.386329938868088E-3</v>
      </c>
      <c r="F3391">
        <f t="shared" si="110"/>
        <v>-1.5519080742086638E-2</v>
      </c>
      <c r="G3391">
        <f t="shared" si="111"/>
        <v>-2.5921055766445749E-2</v>
      </c>
    </row>
    <row r="3392" spans="1:144" ht="12.5" customHeight="1" x14ac:dyDescent="0.35">
      <c r="A3392" t="s">
        <v>178</v>
      </c>
      <c r="E3392">
        <v>-1.0565132903013452E-2</v>
      </c>
      <c r="F3392">
        <f t="shared" si="110"/>
        <v>-1.5520701478200168E-2</v>
      </c>
      <c r="G3392">
        <f t="shared" si="111"/>
        <v>-2.5921055766445749E-2</v>
      </c>
    </row>
    <row r="3393" spans="1:144" ht="12.5" customHeight="1" x14ac:dyDescent="0.35">
      <c r="A3393" t="s">
        <v>178</v>
      </c>
      <c r="E3393">
        <v>5.6691863368383694E-3</v>
      </c>
      <c r="F3393">
        <f t="shared" si="110"/>
        <v>-1.5522322214313697E-2</v>
      </c>
      <c r="G3393">
        <f t="shared" si="111"/>
        <v>-2.5921055766445749E-2</v>
      </c>
    </row>
    <row r="3394" spans="1:144" ht="12.5" customHeight="1" x14ac:dyDescent="0.35">
      <c r="A3394" t="s">
        <v>178</v>
      </c>
      <c r="E3394">
        <v>-9.3818509574745152E-3</v>
      </c>
      <c r="F3394">
        <f t="shared" si="110"/>
        <v>-1.5523942950427227E-2</v>
      </c>
      <c r="G3394">
        <f t="shared" si="111"/>
        <v>-2.5921055766445749E-2</v>
      </c>
    </row>
    <row r="3395" spans="1:144" ht="12.5" customHeight="1" x14ac:dyDescent="0.35">
      <c r="A3395" t="s">
        <v>178</v>
      </c>
      <c r="E3395">
        <v>-1.0369890520158801E-2</v>
      </c>
      <c r="F3395">
        <f t="shared" si="110"/>
        <v>-1.5525563686540756E-2</v>
      </c>
      <c r="G3395">
        <f t="shared" si="111"/>
        <v>-2.5921055766445749E-2</v>
      </c>
    </row>
    <row r="3396" spans="1:144" ht="12.5" customHeight="1" x14ac:dyDescent="0.35">
      <c r="A3396" t="s">
        <v>178</v>
      </c>
      <c r="E3396">
        <v>-4.2188126733469535E-3</v>
      </c>
      <c r="F3396">
        <f t="shared" ref="F3396:F3459" si="112">_xlfn.PERCENTILE.EXC(E3396:E7211,0.05)</f>
        <v>-1.5527184422654284E-2</v>
      </c>
      <c r="G3396">
        <f t="shared" ref="G3396:G3459" si="113">AVERAGEIFS(E3396:E7212,E3396:E7212,"&lt;=" &amp; F3396)</f>
        <v>-2.5921055766445749E-2</v>
      </c>
    </row>
    <row r="3397" spans="1:144" ht="12.5" customHeight="1" x14ac:dyDescent="0.35">
      <c r="A3397" t="s">
        <v>178</v>
      </c>
      <c r="E3397">
        <v>8.0697994293785508E-3</v>
      </c>
      <c r="F3397">
        <f t="shared" si="112"/>
        <v>-1.5528805158767815E-2</v>
      </c>
      <c r="G3397">
        <f t="shared" si="113"/>
        <v>-2.5921055766445749E-2</v>
      </c>
    </row>
    <row r="3398" spans="1:144" ht="12.5" customHeight="1" x14ac:dyDescent="0.35">
      <c r="A3398" t="s">
        <v>178</v>
      </c>
      <c r="E3398">
        <v>6.3424591231752729E-3</v>
      </c>
      <c r="F3398">
        <f t="shared" si="112"/>
        <v>-1.5530425894881343E-2</v>
      </c>
      <c r="G3398">
        <f t="shared" si="113"/>
        <v>-2.5921055766445749E-2</v>
      </c>
    </row>
    <row r="3399" spans="1:144" ht="12.5" customHeight="1" x14ac:dyDescent="0.35">
      <c r="A3399" t="s">
        <v>178</v>
      </c>
      <c r="E3399">
        <v>2.4401244828979318E-3</v>
      </c>
      <c r="F3399">
        <f t="shared" si="112"/>
        <v>-1.5532046630994873E-2</v>
      </c>
      <c r="G3399">
        <f t="shared" si="113"/>
        <v>-2.5921055766445749E-2</v>
      </c>
    </row>
    <row r="3400" spans="1:144" ht="12.5" customHeight="1" x14ac:dyDescent="0.35">
      <c r="A3400" t="s">
        <v>178</v>
      </c>
      <c r="E3400">
        <v>-5.7429287849972335E-3</v>
      </c>
      <c r="F3400">
        <f t="shared" si="112"/>
        <v>-1.5533667367108402E-2</v>
      </c>
      <c r="G3400">
        <f t="shared" si="113"/>
        <v>-2.5921055766445749E-2</v>
      </c>
    </row>
    <row r="3401" spans="1:144" ht="12.5" customHeight="1" x14ac:dyDescent="0.35">
      <c r="A3401" t="s">
        <v>178</v>
      </c>
      <c r="E3401">
        <v>4.8446654555045756E-3</v>
      </c>
      <c r="F3401">
        <f t="shared" si="112"/>
        <v>-1.5564799936322286E-2</v>
      </c>
      <c r="G3401">
        <f t="shared" si="113"/>
        <v>-2.6440425186412615E-2</v>
      </c>
    </row>
    <row r="3402" spans="1:144" ht="12.5" customHeight="1" x14ac:dyDescent="0.35">
      <c r="A3402" t="s">
        <v>178</v>
      </c>
      <c r="E3402">
        <v>2.3865628621419058E-2</v>
      </c>
      <c r="F3402">
        <f t="shared" si="112"/>
        <v>-1.5595932505536172E-2</v>
      </c>
      <c r="G3402">
        <f t="shared" si="113"/>
        <v>-2.6440425186412615E-2</v>
      </c>
    </row>
    <row r="3403" spans="1:144" ht="12.5" customHeight="1" x14ac:dyDescent="0.35">
      <c r="A3403" t="s">
        <v>178</v>
      </c>
      <c r="E3403">
        <v>9.3207582510257164E-4</v>
      </c>
      <c r="F3403">
        <f t="shared" si="112"/>
        <v>-1.5627065074750059E-2</v>
      </c>
      <c r="G3403">
        <f t="shared" si="113"/>
        <v>-2.6440425186412615E-2</v>
      </c>
    </row>
    <row r="3404" spans="1:144" ht="12.5" customHeight="1" x14ac:dyDescent="0.35">
      <c r="A3404" t="s">
        <v>178</v>
      </c>
      <c r="E3404">
        <v>-2.9500497773030376E-3</v>
      </c>
      <c r="F3404">
        <f t="shared" si="112"/>
        <v>-1.5658197643963943E-2</v>
      </c>
      <c r="G3404">
        <f t="shared" si="113"/>
        <v>-2.6440425186412615E-2</v>
      </c>
    </row>
    <row r="3405" spans="1:144" s="3" customFormat="1" x14ac:dyDescent="0.35">
      <c r="A3405" s="3" t="s">
        <v>179</v>
      </c>
      <c r="B3405" s="3" cm="1">
        <f t="array" ref="B3405">_xlfn.STDEV.S(_xlfn._xlws.FILTER($E$2826:$E$3824, $A$2826:$A$3824="2023-09"))</f>
        <v>8.7617286728199316E-3</v>
      </c>
      <c r="C3405" s="3" cm="1">
        <f t="array" ref="C3405">AVERAGE(_xlfn._xlws.FILTER($E$2826:$E$3824, $A$2826:$A$3824="2023-09"))</f>
        <v>-9.8163752679510151E-4</v>
      </c>
      <c r="D3405" s="3" cm="1">
        <f t="array" ref="D3405">_xlfn.PERCENTILE.EXC(_xlfn._xlws.FILTER($E$2490:$E$3818, $A$2490:$A$3818="2023-09"), 0.05)</f>
        <v>-1.772910399213232E-2</v>
      </c>
      <c r="E3405" s="3">
        <v>-6.2986871373079201E-3</v>
      </c>
      <c r="F3405" s="3">
        <f t="shared" si="112"/>
        <v>-1.5689330213177831E-2</v>
      </c>
      <c r="G3405" s="3">
        <f t="shared" si="113"/>
        <v>-2.6440425186412615E-2</v>
      </c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/>
      <c r="EI3405"/>
      <c r="EJ3405"/>
      <c r="EK3405"/>
      <c r="EL3405"/>
      <c r="EM3405"/>
      <c r="EN3405"/>
    </row>
    <row r="3406" spans="1:144" ht="12.5" customHeight="1" x14ac:dyDescent="0.35">
      <c r="A3406" t="s">
        <v>179</v>
      </c>
      <c r="E3406">
        <v>-1.1030088066886223E-4</v>
      </c>
      <c r="F3406">
        <f t="shared" si="112"/>
        <v>-1.5720462782391715E-2</v>
      </c>
      <c r="G3406">
        <f t="shared" si="113"/>
        <v>-2.6440425186412615E-2</v>
      </c>
    </row>
    <row r="3407" spans="1:144" ht="12.5" customHeight="1" x14ac:dyDescent="0.35">
      <c r="A3407" t="s">
        <v>179</v>
      </c>
      <c r="E3407">
        <v>1.692859157638158E-4</v>
      </c>
      <c r="F3407">
        <f t="shared" si="112"/>
        <v>-1.5751595351605599E-2</v>
      </c>
      <c r="G3407">
        <f t="shared" si="113"/>
        <v>-2.6440425186412615E-2</v>
      </c>
    </row>
    <row r="3408" spans="1:144" ht="12.5" customHeight="1" x14ac:dyDescent="0.35">
      <c r="A3408" t="s">
        <v>179</v>
      </c>
      <c r="E3408">
        <v>-1.5501252644837817E-2</v>
      </c>
      <c r="F3408">
        <f t="shared" si="112"/>
        <v>-1.5782727920819487E-2</v>
      </c>
      <c r="G3408">
        <f t="shared" si="113"/>
        <v>-2.6440425186412615E-2</v>
      </c>
    </row>
    <row r="3409" spans="1:7" ht="12.5" customHeight="1" x14ac:dyDescent="0.35">
      <c r="A3409" t="s">
        <v>179</v>
      </c>
      <c r="E3409">
        <v>-1.9827196285694209E-3</v>
      </c>
      <c r="F3409">
        <f t="shared" si="112"/>
        <v>-1.5813860490033371E-2</v>
      </c>
      <c r="G3409">
        <f t="shared" si="113"/>
        <v>-2.6440425186412615E-2</v>
      </c>
    </row>
    <row r="3410" spans="1:7" ht="12.5" customHeight="1" x14ac:dyDescent="0.35">
      <c r="A3410" t="s">
        <v>179</v>
      </c>
      <c r="E3410">
        <v>2.7530316855472149E-3</v>
      </c>
      <c r="F3410">
        <f t="shared" si="112"/>
        <v>-1.5844993059247258E-2</v>
      </c>
      <c r="G3410">
        <f t="shared" si="113"/>
        <v>-2.6440425186412615E-2</v>
      </c>
    </row>
    <row r="3411" spans="1:7" ht="12.5" customHeight="1" x14ac:dyDescent="0.35">
      <c r="A3411" t="s">
        <v>179</v>
      </c>
      <c r="E3411">
        <v>1.0285811010180843E-2</v>
      </c>
      <c r="F3411">
        <f t="shared" si="112"/>
        <v>-1.5876125628461142E-2</v>
      </c>
      <c r="G3411">
        <f t="shared" si="113"/>
        <v>-2.6440425186412615E-2</v>
      </c>
    </row>
    <row r="3412" spans="1:7" ht="12.5" customHeight="1" x14ac:dyDescent="0.35">
      <c r="A3412" t="s">
        <v>179</v>
      </c>
      <c r="E3412">
        <v>2.0830101484245376E-3</v>
      </c>
      <c r="F3412">
        <f t="shared" si="112"/>
        <v>-1.5907258197675026E-2</v>
      </c>
      <c r="G3412">
        <f t="shared" si="113"/>
        <v>-2.6440425186412615E-2</v>
      </c>
    </row>
    <row r="3413" spans="1:7" ht="12.5" customHeight="1" x14ac:dyDescent="0.35">
      <c r="A3413" t="s">
        <v>179</v>
      </c>
      <c r="E3413">
        <v>-3.6031780981579907E-3</v>
      </c>
      <c r="F3413">
        <f t="shared" si="112"/>
        <v>-1.5938390766888914E-2</v>
      </c>
      <c r="G3413">
        <f t="shared" si="113"/>
        <v>-2.6440425186412615E-2</v>
      </c>
    </row>
    <row r="3414" spans="1:7" ht="12.5" customHeight="1" x14ac:dyDescent="0.35">
      <c r="A3414" t="s">
        <v>179</v>
      </c>
      <c r="E3414">
        <v>1.3633317544025797E-2</v>
      </c>
      <c r="F3414">
        <f t="shared" si="112"/>
        <v>-1.5969523336102798E-2</v>
      </c>
      <c r="G3414">
        <f t="shared" si="113"/>
        <v>-2.6440425186412615E-2</v>
      </c>
    </row>
    <row r="3415" spans="1:7" ht="12.5" customHeight="1" x14ac:dyDescent="0.35">
      <c r="A3415" t="s">
        <v>179</v>
      </c>
      <c r="E3415">
        <v>7.8451579044648253E-4</v>
      </c>
      <c r="F3415">
        <f t="shared" si="112"/>
        <v>-1.6000655905316685E-2</v>
      </c>
      <c r="G3415">
        <f t="shared" si="113"/>
        <v>-2.6440425186412615E-2</v>
      </c>
    </row>
    <row r="3416" spans="1:7" ht="12.5" customHeight="1" x14ac:dyDescent="0.35">
      <c r="A3416" t="s">
        <v>179</v>
      </c>
      <c r="E3416">
        <v>-1.0769876850833492E-2</v>
      </c>
      <c r="F3416">
        <f t="shared" si="112"/>
        <v>-1.6031788474530569E-2</v>
      </c>
      <c r="G3416">
        <f t="shared" si="113"/>
        <v>-2.6440425186412615E-2</v>
      </c>
    </row>
    <row r="3417" spans="1:7" ht="12.5" customHeight="1" x14ac:dyDescent="0.35">
      <c r="A3417" t="s">
        <v>179</v>
      </c>
      <c r="E3417">
        <v>5.9909333650076824E-3</v>
      </c>
      <c r="F3417">
        <f t="shared" si="112"/>
        <v>-1.6062921043744453E-2</v>
      </c>
      <c r="G3417">
        <f t="shared" si="113"/>
        <v>-2.6440425186412615E-2</v>
      </c>
    </row>
    <row r="3418" spans="1:7" ht="12.5" customHeight="1" x14ac:dyDescent="0.35">
      <c r="A3418" t="s">
        <v>179</v>
      </c>
      <c r="E3418">
        <v>1.6268507500100546E-2</v>
      </c>
      <c r="F3418">
        <f t="shared" si="112"/>
        <v>-1.6094053612958341E-2</v>
      </c>
      <c r="G3418">
        <f t="shared" si="113"/>
        <v>-2.6440425186412615E-2</v>
      </c>
    </row>
    <row r="3419" spans="1:7" ht="12.5" customHeight="1" x14ac:dyDescent="0.35">
      <c r="A3419" t="s">
        <v>179</v>
      </c>
      <c r="E3419">
        <v>-1.79766430307206E-2</v>
      </c>
      <c r="F3419">
        <f t="shared" si="112"/>
        <v>-1.6125186182172225E-2</v>
      </c>
      <c r="G3419">
        <f t="shared" si="113"/>
        <v>-2.6440425186412615E-2</v>
      </c>
    </row>
    <row r="3420" spans="1:7" ht="12.5" customHeight="1" x14ac:dyDescent="0.35">
      <c r="A3420" t="s">
        <v>179</v>
      </c>
      <c r="E3420">
        <v>-4.6312825591684958E-3</v>
      </c>
      <c r="F3420">
        <f t="shared" si="112"/>
        <v>-1.5533667367108402E-2</v>
      </c>
      <c r="G3420">
        <f t="shared" si="113"/>
        <v>-2.6318276403232012E-2</v>
      </c>
    </row>
    <row r="3421" spans="1:7" ht="12.5" customHeight="1" x14ac:dyDescent="0.35">
      <c r="A3421" t="s">
        <v>179</v>
      </c>
      <c r="E3421">
        <v>-6.8018694741731863E-3</v>
      </c>
      <c r="F3421">
        <f t="shared" si="112"/>
        <v>-1.5564799936322286E-2</v>
      </c>
      <c r="G3421">
        <f t="shared" si="113"/>
        <v>-2.6885887405133247E-2</v>
      </c>
    </row>
    <row r="3422" spans="1:7" ht="12.5" customHeight="1" x14ac:dyDescent="0.35">
      <c r="A3422" t="s">
        <v>179</v>
      </c>
      <c r="E3422">
        <v>-1.003211787958549E-2</v>
      </c>
      <c r="F3422">
        <f t="shared" si="112"/>
        <v>-1.5595932505536172E-2</v>
      </c>
      <c r="G3422">
        <f t="shared" si="113"/>
        <v>-2.6885887405133247E-2</v>
      </c>
    </row>
    <row r="3423" spans="1:7" ht="12.5" customHeight="1" x14ac:dyDescent="0.35">
      <c r="A3423" t="s">
        <v>179</v>
      </c>
      <c r="E3423">
        <v>-3.0860184623497117E-3</v>
      </c>
      <c r="F3423">
        <f t="shared" si="112"/>
        <v>-1.5627065074750059E-2</v>
      </c>
      <c r="G3423">
        <f t="shared" si="113"/>
        <v>-2.6885887405133247E-2</v>
      </c>
    </row>
    <row r="3424" spans="1:7" ht="12.5" customHeight="1" x14ac:dyDescent="0.35">
      <c r="A3424" t="s">
        <v>179</v>
      </c>
      <c r="E3424">
        <v>5.3664255014887067E-3</v>
      </c>
      <c r="F3424">
        <f t="shared" si="112"/>
        <v>-1.5658197643963943E-2</v>
      </c>
      <c r="G3424">
        <f t="shared" si="113"/>
        <v>-2.6885887405133247E-2</v>
      </c>
    </row>
    <row r="3425" spans="1:144" ht="12.5" customHeight="1" x14ac:dyDescent="0.35">
      <c r="A3425" t="s">
        <v>179</v>
      </c>
      <c r="E3425">
        <v>2.8447201226902276E-3</v>
      </c>
      <c r="F3425">
        <f t="shared" si="112"/>
        <v>-1.5689330213177831E-2</v>
      </c>
      <c r="G3425">
        <f t="shared" si="113"/>
        <v>-2.6885887405133247E-2</v>
      </c>
    </row>
    <row r="3426" spans="1:144" s="3" customFormat="1" x14ac:dyDescent="0.35">
      <c r="A3426" s="3" t="s">
        <v>180</v>
      </c>
      <c r="B3426" s="3" cm="1">
        <f t="array" ref="B3426">_xlfn.STDEV.S(_xlfn._xlws.FILTER($E$2826:$E$3824, $A$2826:$A$3824="2023-10"))</f>
        <v>9.7628283698832589E-3</v>
      </c>
      <c r="C3426" s="3" cm="1">
        <f t="array" ref="C3426">AVERAGE(_xlfn._xlws.FILTER($E$2826:$E$3824, $A$2826:$A$3824="2023-10"))</f>
        <v>-8.1411722266418695E-4</v>
      </c>
      <c r="D3426" s="3" cm="1">
        <f t="array" ref="D3426">_xlfn.PERCENTILE.EXC(_xlfn._xlws.FILTER($E$2490:$E$3818, $A$2490:$A$3818="2023-10"), 0.05)</f>
        <v>-1.4131648112972916E-2</v>
      </c>
      <c r="E3426" s="3">
        <v>-1.4034446086577846E-2</v>
      </c>
      <c r="F3426" s="3">
        <f t="shared" si="112"/>
        <v>-1.5720462782391715E-2</v>
      </c>
      <c r="G3426" s="3">
        <f t="shared" si="113"/>
        <v>-2.6885887405133247E-2</v>
      </c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/>
      <c r="EI3426"/>
      <c r="EJ3426"/>
      <c r="EK3426"/>
      <c r="EL3426"/>
      <c r="EM3426"/>
      <c r="EN3426"/>
    </row>
    <row r="3427" spans="1:144" ht="12.5" customHeight="1" x14ac:dyDescent="0.35">
      <c r="A3427" t="s">
        <v>180</v>
      </c>
      <c r="E3427">
        <v>-1.3281512723723706E-2</v>
      </c>
      <c r="F3427">
        <f t="shared" si="112"/>
        <v>-1.5751595351605599E-2</v>
      </c>
      <c r="G3427">
        <f t="shared" si="113"/>
        <v>-2.6885887405133247E-2</v>
      </c>
    </row>
    <row r="3428" spans="1:144" ht="12.5" customHeight="1" x14ac:dyDescent="0.35">
      <c r="A3428" t="s">
        <v>180</v>
      </c>
      <c r="E3428">
        <v>-1.6978105895993022E-3</v>
      </c>
      <c r="F3428">
        <f t="shared" si="112"/>
        <v>-1.5782727920819487E-2</v>
      </c>
      <c r="G3428">
        <f t="shared" si="113"/>
        <v>-2.6885887405133247E-2</v>
      </c>
    </row>
    <row r="3429" spans="1:144" ht="12.5" customHeight="1" x14ac:dyDescent="0.35">
      <c r="A3429" t="s">
        <v>180</v>
      </c>
      <c r="E3429">
        <v>2.0106913471112085E-3</v>
      </c>
      <c r="F3429">
        <f t="shared" si="112"/>
        <v>-1.5813860490033371E-2</v>
      </c>
      <c r="G3429">
        <f t="shared" si="113"/>
        <v>-2.6885887405133247E-2</v>
      </c>
    </row>
    <row r="3430" spans="1:144" ht="12.5" customHeight="1" x14ac:dyDescent="0.35">
      <c r="A3430" t="s">
        <v>180</v>
      </c>
      <c r="E3430">
        <v>1.1565835558073162E-2</v>
      </c>
      <c r="F3430">
        <f t="shared" si="112"/>
        <v>-1.5844993059247258E-2</v>
      </c>
      <c r="G3430">
        <f t="shared" si="113"/>
        <v>-2.6885887405133247E-2</v>
      </c>
    </row>
    <row r="3431" spans="1:144" ht="12.5" customHeight="1" x14ac:dyDescent="0.35">
      <c r="A3431" t="s">
        <v>180</v>
      </c>
      <c r="E3431">
        <v>-4.6330526156200223E-3</v>
      </c>
      <c r="F3431">
        <f t="shared" si="112"/>
        <v>-1.5876125628461142E-2</v>
      </c>
      <c r="G3431">
        <f t="shared" si="113"/>
        <v>-2.6885887405133247E-2</v>
      </c>
    </row>
    <row r="3432" spans="1:144" ht="12.5" customHeight="1" x14ac:dyDescent="0.35">
      <c r="A3432" t="s">
        <v>180</v>
      </c>
      <c r="E3432">
        <v>2.2720863797225467E-2</v>
      </c>
      <c r="F3432">
        <f t="shared" si="112"/>
        <v>-1.5907258197675026E-2</v>
      </c>
      <c r="G3432">
        <f t="shared" si="113"/>
        <v>-2.6885887405133247E-2</v>
      </c>
    </row>
    <row r="3433" spans="1:144" ht="12.5" customHeight="1" x14ac:dyDescent="0.35">
      <c r="A3433" t="s">
        <v>180</v>
      </c>
      <c r="E3433">
        <v>3.5546330800345035E-3</v>
      </c>
      <c r="F3433">
        <f t="shared" si="112"/>
        <v>-1.5938390766888914E-2</v>
      </c>
      <c r="G3433">
        <f t="shared" si="113"/>
        <v>-2.6885887405133247E-2</v>
      </c>
    </row>
    <row r="3434" spans="1:144" ht="12.5" customHeight="1" x14ac:dyDescent="0.35">
      <c r="A3434" t="s">
        <v>180</v>
      </c>
      <c r="E3434">
        <v>2.6106798919443069E-3</v>
      </c>
      <c r="F3434">
        <f t="shared" si="112"/>
        <v>-1.5969523336102798E-2</v>
      </c>
      <c r="G3434">
        <f t="shared" si="113"/>
        <v>-2.6885887405133247E-2</v>
      </c>
    </row>
    <row r="3435" spans="1:144" ht="12.5" customHeight="1" x14ac:dyDescent="0.35">
      <c r="A3435" t="s">
        <v>180</v>
      </c>
      <c r="E3435">
        <v>-9.0368437371500642E-3</v>
      </c>
      <c r="F3435">
        <f t="shared" si="112"/>
        <v>-1.6000655905316685E-2</v>
      </c>
      <c r="G3435">
        <f t="shared" si="113"/>
        <v>-2.6885887405133247E-2</v>
      </c>
    </row>
    <row r="3436" spans="1:144" ht="12.5" customHeight="1" x14ac:dyDescent="0.35">
      <c r="A3436" t="s">
        <v>180</v>
      </c>
      <c r="E3436">
        <v>5.4594437916609092E-3</v>
      </c>
      <c r="F3436">
        <f t="shared" si="112"/>
        <v>-1.6031788474530569E-2</v>
      </c>
      <c r="G3436">
        <f t="shared" si="113"/>
        <v>-2.6885887405133247E-2</v>
      </c>
    </row>
    <row r="3437" spans="1:144" ht="12.5" customHeight="1" x14ac:dyDescent="0.35">
      <c r="A3437" t="s">
        <v>180</v>
      </c>
      <c r="E3437">
        <v>-8.5413832366535716E-4</v>
      </c>
      <c r="F3437">
        <f t="shared" si="112"/>
        <v>-1.6062921043744453E-2</v>
      </c>
      <c r="G3437">
        <f t="shared" si="113"/>
        <v>-2.6885887405133247E-2</v>
      </c>
    </row>
    <row r="3438" spans="1:144" ht="12.5" customHeight="1" x14ac:dyDescent="0.35">
      <c r="A3438" t="s">
        <v>180</v>
      </c>
      <c r="E3438">
        <v>-8.1967570493441198E-3</v>
      </c>
      <c r="F3438">
        <f t="shared" si="112"/>
        <v>-1.6094053612958341E-2</v>
      </c>
      <c r="G3438">
        <f t="shared" si="113"/>
        <v>-2.6885887405133247E-2</v>
      </c>
    </row>
    <row r="3439" spans="1:144" ht="12.5" customHeight="1" x14ac:dyDescent="0.35">
      <c r="A3439" t="s">
        <v>180</v>
      </c>
      <c r="E3439">
        <v>-1.3921192364928666E-2</v>
      </c>
      <c r="F3439">
        <f t="shared" si="112"/>
        <v>-1.6125186182172225E-2</v>
      </c>
      <c r="G3439">
        <f t="shared" si="113"/>
        <v>-2.6885887405133247E-2</v>
      </c>
    </row>
    <row r="3440" spans="1:144" ht="12.5" customHeight="1" x14ac:dyDescent="0.35">
      <c r="A3440" t="s">
        <v>180</v>
      </c>
      <c r="E3440">
        <v>-1.4148801411748516E-2</v>
      </c>
      <c r="F3440">
        <f t="shared" si="112"/>
        <v>-1.6156318751386112E-2</v>
      </c>
      <c r="G3440">
        <f t="shared" si="113"/>
        <v>-2.6885887405133247E-2</v>
      </c>
    </row>
    <row r="3441" spans="1:144" ht="12.5" customHeight="1" x14ac:dyDescent="0.35">
      <c r="A3441" t="s">
        <v>180</v>
      </c>
      <c r="E3441">
        <v>7.3487404923036201E-3</v>
      </c>
      <c r="F3441">
        <f t="shared" si="112"/>
        <v>-1.6165636785564978E-2</v>
      </c>
      <c r="G3441">
        <f t="shared" si="113"/>
        <v>-2.7481974552563643E-2</v>
      </c>
    </row>
    <row r="3442" spans="1:144" ht="12.5" customHeight="1" x14ac:dyDescent="0.35">
      <c r="A3442" t="s">
        <v>180</v>
      </c>
      <c r="E3442">
        <v>5.0642537330214095E-4</v>
      </c>
      <c r="F3442">
        <f t="shared" si="112"/>
        <v>-1.6174954819743841E-2</v>
      </c>
      <c r="G3442">
        <f t="shared" si="113"/>
        <v>-2.7481974552563643E-2</v>
      </c>
    </row>
    <row r="3443" spans="1:144" ht="12.5" customHeight="1" x14ac:dyDescent="0.35">
      <c r="A3443" t="s">
        <v>180</v>
      </c>
      <c r="E3443">
        <v>-5.241338846651661E-3</v>
      </c>
      <c r="F3443">
        <f t="shared" si="112"/>
        <v>-1.6184272853922706E-2</v>
      </c>
      <c r="G3443">
        <f t="shared" si="113"/>
        <v>-2.7481974552563643E-2</v>
      </c>
    </row>
    <row r="3444" spans="1:144" ht="12.5" customHeight="1" x14ac:dyDescent="0.35">
      <c r="A3444" t="s">
        <v>180</v>
      </c>
      <c r="E3444">
        <v>2.8869715062969895E-3</v>
      </c>
      <c r="F3444">
        <f t="shared" si="112"/>
        <v>-1.6193590888101569E-2</v>
      </c>
      <c r="G3444">
        <f t="shared" si="113"/>
        <v>-2.7481974552563643E-2</v>
      </c>
    </row>
    <row r="3445" spans="1:144" ht="12.5" customHeight="1" x14ac:dyDescent="0.35">
      <c r="A3445" t="s">
        <v>180</v>
      </c>
      <c r="E3445">
        <v>-8.0463466113210522E-3</v>
      </c>
      <c r="F3445">
        <f t="shared" si="112"/>
        <v>-1.6202908922280435E-2</v>
      </c>
      <c r="G3445">
        <f t="shared" si="113"/>
        <v>-2.7481974552563643E-2</v>
      </c>
    </row>
    <row r="3446" spans="1:144" ht="12.5" customHeight="1" x14ac:dyDescent="0.35">
      <c r="A3446" t="s">
        <v>180</v>
      </c>
      <c r="E3446">
        <v>1.9206498767877708E-3</v>
      </c>
      <c r="F3446">
        <f t="shared" si="112"/>
        <v>-1.6212226956459297E-2</v>
      </c>
      <c r="G3446">
        <f t="shared" si="113"/>
        <v>-2.7481974552563643E-2</v>
      </c>
    </row>
    <row r="3447" spans="1:144" ht="12.5" customHeight="1" x14ac:dyDescent="0.35">
      <c r="A3447" t="s">
        <v>180</v>
      </c>
      <c r="E3447">
        <v>1.4596726746978131E-2</v>
      </c>
      <c r="F3447">
        <f t="shared" si="112"/>
        <v>-1.6221544990638163E-2</v>
      </c>
      <c r="G3447">
        <f t="shared" si="113"/>
        <v>-2.7481974552563643E-2</v>
      </c>
    </row>
    <row r="3448" spans="1:144" s="3" customFormat="1" x14ac:dyDescent="0.35">
      <c r="A3448" s="3" t="s">
        <v>181</v>
      </c>
      <c r="B3448" s="3" cm="1">
        <f t="array" ref="B3448">_xlfn.STDEV.S(_xlfn._xlws.FILTER($E$2826:$E$3824, $A$2826:$A$3824="2023-11"))</f>
        <v>7.7383930465729492E-3</v>
      </c>
      <c r="C3448" s="3" cm="1">
        <f t="array" ref="C3448">AVERAGE(_xlfn._xlws.FILTER($E$2826:$E$3824, $A$2826:$A$3824="2023-11"))</f>
        <v>3.1572988252112095E-3</v>
      </c>
      <c r="D3448" s="3" cm="1">
        <f t="array" ref="D3448">_xlfn.PERCENTILE.EXC(_xlfn._xlws.FILTER($E$2490:$E$3818, $A$2490:$A$3818="2023-11"), 0.05)</f>
        <v>-1.2318583701717394E-2</v>
      </c>
      <c r="E3448" s="3">
        <v>8.7401087709820646E-3</v>
      </c>
      <c r="F3448" s="3">
        <f t="shared" si="112"/>
        <v>-1.6230863024817025E-2</v>
      </c>
      <c r="G3448" s="3">
        <f t="shared" si="113"/>
        <v>-2.7481974552563643E-2</v>
      </c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  <c r="ED3448"/>
      <c r="EE3448"/>
      <c r="EF3448"/>
      <c r="EG3448"/>
      <c r="EH3448"/>
      <c r="EI3448"/>
      <c r="EJ3448"/>
      <c r="EK3448"/>
      <c r="EL3448"/>
      <c r="EM3448"/>
      <c r="EN3448"/>
    </row>
    <row r="3449" spans="1:144" ht="12.5" customHeight="1" x14ac:dyDescent="0.35">
      <c r="A3449" t="s">
        <v>181</v>
      </c>
      <c r="E3449">
        <v>1.749629284675263E-2</v>
      </c>
      <c r="F3449">
        <f t="shared" si="112"/>
        <v>-1.6240181058995891E-2</v>
      </c>
      <c r="G3449">
        <f t="shared" si="113"/>
        <v>-2.7481974552563643E-2</v>
      </c>
    </row>
    <row r="3450" spans="1:144" ht="12.5" customHeight="1" x14ac:dyDescent="0.35">
      <c r="A3450" t="s">
        <v>181</v>
      </c>
      <c r="E3450">
        <v>6.8390667136374751E-3</v>
      </c>
      <c r="F3450">
        <f t="shared" si="112"/>
        <v>-1.6249499093174753E-2</v>
      </c>
      <c r="G3450">
        <f t="shared" si="113"/>
        <v>-2.7481974552563643E-2</v>
      </c>
    </row>
    <row r="3451" spans="1:144" ht="12.5" customHeight="1" x14ac:dyDescent="0.35">
      <c r="A3451" t="s">
        <v>181</v>
      </c>
      <c r="E3451">
        <v>-2.8717914009354839E-3</v>
      </c>
      <c r="F3451">
        <f t="shared" si="112"/>
        <v>-1.6258817127353619E-2</v>
      </c>
      <c r="G3451">
        <f t="shared" si="113"/>
        <v>-2.7481974552563643E-2</v>
      </c>
    </row>
    <row r="3452" spans="1:144" ht="12.5" customHeight="1" x14ac:dyDescent="0.35">
      <c r="A3452" t="s">
        <v>181</v>
      </c>
      <c r="E3452">
        <v>-6.9031745395961661E-3</v>
      </c>
      <c r="F3452">
        <f t="shared" si="112"/>
        <v>-1.6268135161532481E-2</v>
      </c>
      <c r="G3452">
        <f t="shared" si="113"/>
        <v>-2.7481974552563643E-2</v>
      </c>
    </row>
    <row r="3453" spans="1:144" ht="12.5" customHeight="1" x14ac:dyDescent="0.35">
      <c r="A3453" t="s">
        <v>181</v>
      </c>
      <c r="E3453">
        <v>1.3172800480478371E-3</v>
      </c>
      <c r="F3453">
        <f t="shared" si="112"/>
        <v>-1.6277453195711347E-2</v>
      </c>
      <c r="G3453">
        <f t="shared" si="113"/>
        <v>-2.7481974552563643E-2</v>
      </c>
    </row>
    <row r="3454" spans="1:144" ht="12.5" customHeight="1" x14ac:dyDescent="0.35">
      <c r="A3454" t="s">
        <v>181</v>
      </c>
      <c r="E3454">
        <v>7.3850905628056593E-3</v>
      </c>
      <c r="F3454">
        <f t="shared" si="112"/>
        <v>-1.6286771229890213E-2</v>
      </c>
      <c r="G3454">
        <f t="shared" si="113"/>
        <v>-2.7481974552563643E-2</v>
      </c>
    </row>
    <row r="3455" spans="1:144" ht="12.5" customHeight="1" x14ac:dyDescent="0.35">
      <c r="A3455" t="s">
        <v>181</v>
      </c>
      <c r="E3455">
        <v>-4.8876253672590813E-3</v>
      </c>
      <c r="F3455">
        <f t="shared" si="112"/>
        <v>-1.6296089264069075E-2</v>
      </c>
      <c r="G3455">
        <f t="shared" si="113"/>
        <v>-2.7481974552563643E-2</v>
      </c>
    </row>
    <row r="3456" spans="1:144" ht="12.5" customHeight="1" x14ac:dyDescent="0.35">
      <c r="A3456" t="s">
        <v>181</v>
      </c>
      <c r="E3456">
        <v>1.4655748011617301E-2</v>
      </c>
      <c r="F3456">
        <f t="shared" si="112"/>
        <v>-1.6305407298247941E-2</v>
      </c>
      <c r="G3456">
        <f t="shared" si="113"/>
        <v>-2.7481974552563643E-2</v>
      </c>
    </row>
    <row r="3457" spans="1:144" ht="12.5" customHeight="1" x14ac:dyDescent="0.35">
      <c r="A3457" t="s">
        <v>181</v>
      </c>
      <c r="E3457">
        <v>1.4387487925570933E-2</v>
      </c>
      <c r="F3457">
        <f t="shared" si="112"/>
        <v>-1.6314725332426804E-2</v>
      </c>
      <c r="G3457">
        <f t="shared" si="113"/>
        <v>-2.7481974552563643E-2</v>
      </c>
    </row>
    <row r="3458" spans="1:144" ht="12.5" customHeight="1" x14ac:dyDescent="0.35">
      <c r="A3458" t="s">
        <v>181</v>
      </c>
      <c r="E3458">
        <v>4.1658678581827707E-3</v>
      </c>
      <c r="F3458">
        <f t="shared" si="112"/>
        <v>-1.6324043366605669E-2</v>
      </c>
      <c r="G3458">
        <f t="shared" si="113"/>
        <v>-2.7481974552563643E-2</v>
      </c>
    </row>
    <row r="3459" spans="1:144" ht="12.5" customHeight="1" x14ac:dyDescent="0.35">
      <c r="A3459" t="s">
        <v>181</v>
      </c>
      <c r="E3459">
        <v>-7.1121591684696105E-3</v>
      </c>
      <c r="F3459">
        <f t="shared" si="112"/>
        <v>-1.6333361400784532E-2</v>
      </c>
      <c r="G3459">
        <f t="shared" si="113"/>
        <v>-2.7481974552563643E-2</v>
      </c>
    </row>
    <row r="3460" spans="1:144" ht="12.5" customHeight="1" x14ac:dyDescent="0.35">
      <c r="A3460" t="s">
        <v>181</v>
      </c>
      <c r="E3460">
        <v>8.1805831718680406E-3</v>
      </c>
      <c r="F3460">
        <f t="shared" ref="F3460:F3523" si="114">_xlfn.PERCENTILE.EXC(E3460:E7275,0.05)</f>
        <v>-1.6342679434963397E-2</v>
      </c>
      <c r="G3460">
        <f t="shared" ref="G3460:G3523" si="115">AVERAGEIFS(E3460:E7276,E3460:E7276,"&lt;=" &amp; F3460)</f>
        <v>-2.7481974552563643E-2</v>
      </c>
    </row>
    <row r="3461" spans="1:144" ht="12.5" customHeight="1" x14ac:dyDescent="0.35">
      <c r="A3461" t="s">
        <v>181</v>
      </c>
      <c r="E3461">
        <v>1.4725530109698461E-3</v>
      </c>
      <c r="F3461">
        <f t="shared" si="114"/>
        <v>-1.6357703588901356E-2</v>
      </c>
      <c r="G3461">
        <f t="shared" si="115"/>
        <v>-2.8137227206540133E-2</v>
      </c>
    </row>
    <row r="3462" spans="1:144" ht="12.5" customHeight="1" x14ac:dyDescent="0.35">
      <c r="A3462" t="s">
        <v>181</v>
      </c>
      <c r="E3462">
        <v>-1.3237364501702297E-2</v>
      </c>
      <c r="F3462">
        <f t="shared" si="114"/>
        <v>-1.6372727742839314E-2</v>
      </c>
      <c r="G3462">
        <f t="shared" si="115"/>
        <v>-2.8137227206540133E-2</v>
      </c>
    </row>
    <row r="3463" spans="1:144" ht="12.5" customHeight="1" x14ac:dyDescent="0.35">
      <c r="A3463" t="s">
        <v>181</v>
      </c>
      <c r="E3463">
        <v>5.1107620483158455E-5</v>
      </c>
      <c r="F3463">
        <f t="shared" si="114"/>
        <v>-1.6387751896777273E-2</v>
      </c>
      <c r="G3463">
        <f t="shared" si="115"/>
        <v>-2.8137227206540133E-2</v>
      </c>
    </row>
    <row r="3464" spans="1:144" ht="12.5" customHeight="1" x14ac:dyDescent="0.35">
      <c r="A3464" t="s">
        <v>181</v>
      </c>
      <c r="E3464">
        <v>2.7675695710566595E-3</v>
      </c>
      <c r="F3464">
        <f t="shared" si="114"/>
        <v>-1.6402776050715235E-2</v>
      </c>
      <c r="G3464">
        <f t="shared" si="115"/>
        <v>-2.8137227206540133E-2</v>
      </c>
    </row>
    <row r="3465" spans="1:144" ht="12.5" customHeight="1" x14ac:dyDescent="0.35">
      <c r="A3465" t="s">
        <v>181</v>
      </c>
      <c r="E3465">
        <v>6.7018034464038471E-3</v>
      </c>
      <c r="F3465">
        <f t="shared" si="114"/>
        <v>-1.6417800204653193E-2</v>
      </c>
      <c r="G3465">
        <f t="shared" si="115"/>
        <v>-2.8137227206540133E-2</v>
      </c>
    </row>
    <row r="3466" spans="1:144" ht="12.5" customHeight="1" x14ac:dyDescent="0.35">
      <c r="A3466" t="s">
        <v>181</v>
      </c>
      <c r="E3466">
        <v>-3.0628906256103725E-3</v>
      </c>
      <c r="F3466">
        <f t="shared" si="114"/>
        <v>-1.6432824358591152E-2</v>
      </c>
      <c r="G3466">
        <f t="shared" si="115"/>
        <v>-2.8137227206540133E-2</v>
      </c>
    </row>
    <row r="3467" spans="1:144" ht="12.5" customHeight="1" x14ac:dyDescent="0.35">
      <c r="A3467" t="s">
        <v>181</v>
      </c>
      <c r="E3467">
        <v>1.1733846404701081E-3</v>
      </c>
      <c r="F3467">
        <f t="shared" si="114"/>
        <v>-1.644784851252911E-2</v>
      </c>
      <c r="G3467">
        <f t="shared" si="115"/>
        <v>-2.8137227206540133E-2</v>
      </c>
    </row>
    <row r="3468" spans="1:144" ht="12.5" customHeight="1" x14ac:dyDescent="0.35">
      <c r="A3468" t="s">
        <v>181</v>
      </c>
      <c r="E3468">
        <v>1.0554876530261369E-2</v>
      </c>
      <c r="F3468">
        <f t="shared" si="114"/>
        <v>-1.6462872666467069E-2</v>
      </c>
      <c r="G3468">
        <f t="shared" si="115"/>
        <v>-2.8137227206540133E-2</v>
      </c>
    </row>
    <row r="3469" spans="1:144" ht="12.5" customHeight="1" x14ac:dyDescent="0.35">
      <c r="A3469" t="s">
        <v>181</v>
      </c>
      <c r="E3469">
        <v>1.6467590291099335E-3</v>
      </c>
      <c r="F3469">
        <f t="shared" si="114"/>
        <v>-1.6477896820405027E-2</v>
      </c>
      <c r="G3469">
        <f t="shared" si="115"/>
        <v>-2.8137227206540133E-2</v>
      </c>
    </row>
    <row r="3470" spans="1:144" s="3" customFormat="1" x14ac:dyDescent="0.35">
      <c r="A3470" s="3" t="s">
        <v>182</v>
      </c>
      <c r="B3470" s="3" cm="1">
        <f t="array" ref="B3470">_xlfn.STDEV.S(_xlfn._xlws.FILTER($E$2826:$E$3824, $A$2826:$A$3824="2023-12"))</f>
        <v>4.2734239202494176E-3</v>
      </c>
      <c r="C3470" s="3" cm="1">
        <f t="array" ref="C3470">AVERAGE(_xlfn._xlws.FILTER($E$2826:$E$3824, $A$2826:$A$3824="2023-12"))</f>
        <v>1.0760554228552211E-3</v>
      </c>
      <c r="D3470" s="3" cm="1">
        <f t="array" ref="D3470">_xlfn.PERCENTILE.EXC(_xlfn._xlws.FILTER($E$2490:$E$3818, $A$2490:$A$3818="2023-12"), 0.05)</f>
        <v>-6.7668269391187256E-3</v>
      </c>
      <c r="E3470" s="3">
        <v>6.4046927074311606E-3</v>
      </c>
      <c r="F3470" s="3">
        <f t="shared" si="114"/>
        <v>-1.6492920974342989E-2</v>
      </c>
      <c r="G3470" s="3">
        <f t="shared" si="115"/>
        <v>-2.8137227206540133E-2</v>
      </c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/>
      <c r="EH3470"/>
      <c r="EI3470"/>
      <c r="EJ3470"/>
      <c r="EK3470"/>
      <c r="EL3470"/>
      <c r="EM3470"/>
      <c r="EN3470"/>
    </row>
    <row r="3471" spans="1:144" ht="12.5" customHeight="1" x14ac:dyDescent="0.35">
      <c r="A3471" t="s">
        <v>182</v>
      </c>
      <c r="E3471">
        <v>-4.799261620789852E-4</v>
      </c>
      <c r="F3471">
        <f t="shared" si="114"/>
        <v>-1.6507945128280948E-2</v>
      </c>
      <c r="G3471">
        <f t="shared" si="115"/>
        <v>-2.8137227206540133E-2</v>
      </c>
    </row>
    <row r="3472" spans="1:144" ht="12.5" customHeight="1" x14ac:dyDescent="0.35">
      <c r="A3472" t="s">
        <v>182</v>
      </c>
      <c r="E3472">
        <v>5.6266323219275509E-3</v>
      </c>
      <c r="F3472">
        <f t="shared" si="114"/>
        <v>-1.6522969282218906E-2</v>
      </c>
      <c r="G3472">
        <f t="shared" si="115"/>
        <v>-2.8137227206540133E-2</v>
      </c>
    </row>
    <row r="3473" spans="1:7" ht="12.5" customHeight="1" x14ac:dyDescent="0.35">
      <c r="A3473" t="s">
        <v>182</v>
      </c>
      <c r="E3473">
        <v>8.0587539051983435E-3</v>
      </c>
      <c r="F3473">
        <f t="shared" si="114"/>
        <v>-1.6537993436156865E-2</v>
      </c>
      <c r="G3473">
        <f t="shared" si="115"/>
        <v>-2.8137227206540133E-2</v>
      </c>
    </row>
    <row r="3474" spans="1:7" ht="12.5" customHeight="1" x14ac:dyDescent="0.35">
      <c r="A3474" t="s">
        <v>182</v>
      </c>
      <c r="E3474">
        <v>-6.7668269391187256E-3</v>
      </c>
      <c r="F3474">
        <f t="shared" si="114"/>
        <v>-1.6553017590094823E-2</v>
      </c>
      <c r="G3474">
        <f t="shared" si="115"/>
        <v>-2.8137227206540133E-2</v>
      </c>
    </row>
    <row r="3475" spans="1:7" ht="12.5" customHeight="1" x14ac:dyDescent="0.35">
      <c r="A3475" t="s">
        <v>182</v>
      </c>
      <c r="E3475">
        <v>9.3227235121289675E-3</v>
      </c>
      <c r="F3475">
        <f t="shared" si="114"/>
        <v>-1.6568041744032782E-2</v>
      </c>
      <c r="G3475">
        <f t="shared" si="115"/>
        <v>-2.8137227206540133E-2</v>
      </c>
    </row>
    <row r="3476" spans="1:7" ht="12.5" customHeight="1" x14ac:dyDescent="0.35">
      <c r="A3476" t="s">
        <v>182</v>
      </c>
      <c r="E3476">
        <v>7.4567884556929758E-4</v>
      </c>
      <c r="F3476">
        <f t="shared" si="114"/>
        <v>-1.658306589797074E-2</v>
      </c>
      <c r="G3476">
        <f t="shared" si="115"/>
        <v>-2.8137227206540133E-2</v>
      </c>
    </row>
    <row r="3477" spans="1:7" ht="12.5" customHeight="1" x14ac:dyDescent="0.35">
      <c r="A3477" t="s">
        <v>182</v>
      </c>
      <c r="E3477">
        <v>-2.7787335468816123E-3</v>
      </c>
      <c r="F3477">
        <f t="shared" si="114"/>
        <v>-1.6598090051908699E-2</v>
      </c>
      <c r="G3477">
        <f t="shared" si="115"/>
        <v>-2.8137227206540133E-2</v>
      </c>
    </row>
    <row r="3478" spans="1:7" ht="12.5" customHeight="1" x14ac:dyDescent="0.35">
      <c r="A3478" t="s">
        <v>182</v>
      </c>
      <c r="E3478">
        <v>-1.5323767829252236E-3</v>
      </c>
      <c r="F3478">
        <f t="shared" si="114"/>
        <v>-1.6613114205846661E-2</v>
      </c>
      <c r="G3478">
        <f t="shared" si="115"/>
        <v>-2.8137227206540133E-2</v>
      </c>
    </row>
    <row r="3479" spans="1:7" ht="12.5" customHeight="1" x14ac:dyDescent="0.35">
      <c r="A3479" t="s">
        <v>182</v>
      </c>
      <c r="E3479">
        <v>2.0895320830398635E-3</v>
      </c>
      <c r="F3479">
        <f t="shared" si="114"/>
        <v>-1.6628138359784619E-2</v>
      </c>
      <c r="G3479">
        <f t="shared" si="115"/>
        <v>-2.8137227206540133E-2</v>
      </c>
    </row>
    <row r="3480" spans="1:7" ht="12.5" customHeight="1" x14ac:dyDescent="0.35">
      <c r="A3480" t="s">
        <v>182</v>
      </c>
      <c r="E3480">
        <v>4.8836752684480484E-4</v>
      </c>
      <c r="F3480">
        <f t="shared" si="114"/>
        <v>-1.6643162513722578E-2</v>
      </c>
      <c r="G3480">
        <f t="shared" si="115"/>
        <v>-2.8137227206540133E-2</v>
      </c>
    </row>
    <row r="3481" spans="1:7" ht="12.5" customHeight="1" x14ac:dyDescent="0.35">
      <c r="A3481" t="s">
        <v>182</v>
      </c>
      <c r="E3481">
        <v>-4.3840768819032386E-3</v>
      </c>
      <c r="F3481">
        <f t="shared" si="114"/>
        <v>-1.6685560797998284E-2</v>
      </c>
      <c r="G3481">
        <f t="shared" si="115"/>
        <v>-2.8855606249841226E-2</v>
      </c>
    </row>
    <row r="3482" spans="1:7" ht="12.5" customHeight="1" x14ac:dyDescent="0.35">
      <c r="A3482" t="s">
        <v>182</v>
      </c>
      <c r="E3482">
        <v>4.0429362769688658E-3</v>
      </c>
      <c r="F3482">
        <f t="shared" si="114"/>
        <v>-1.672795908227399E-2</v>
      </c>
      <c r="G3482">
        <f t="shared" si="115"/>
        <v>-2.8855606249841226E-2</v>
      </c>
    </row>
    <row r="3483" spans="1:7" ht="12.5" customHeight="1" x14ac:dyDescent="0.35">
      <c r="A3483" t="s">
        <v>182</v>
      </c>
      <c r="E3483">
        <v>-7.6410372481792001E-5</v>
      </c>
      <c r="F3483">
        <f t="shared" si="114"/>
        <v>-1.67703573665497E-2</v>
      </c>
      <c r="G3483">
        <f t="shared" si="115"/>
        <v>-2.8855606249841226E-2</v>
      </c>
    </row>
    <row r="3484" spans="1:7" ht="12.5" customHeight="1" x14ac:dyDescent="0.35">
      <c r="A3484" t="s">
        <v>182</v>
      </c>
      <c r="E3484">
        <v>-2.86796027468385E-3</v>
      </c>
      <c r="F3484">
        <f t="shared" si="114"/>
        <v>-1.6812755650825406E-2</v>
      </c>
      <c r="G3484">
        <f t="shared" si="115"/>
        <v>-2.8855606249841226E-2</v>
      </c>
    </row>
    <row r="3485" spans="1:7" ht="12.5" customHeight="1" x14ac:dyDescent="0.35">
      <c r="A3485" t="s">
        <v>182</v>
      </c>
      <c r="E3485">
        <v>2.6070670763566127E-3</v>
      </c>
      <c r="F3485">
        <f t="shared" si="114"/>
        <v>-1.6855153935101112E-2</v>
      </c>
      <c r="G3485">
        <f t="shared" si="115"/>
        <v>-2.8855606249841226E-2</v>
      </c>
    </row>
    <row r="3486" spans="1:7" ht="12.5" customHeight="1" x14ac:dyDescent="0.35">
      <c r="A3486" t="s">
        <v>182</v>
      </c>
      <c r="E3486">
        <v>2.2450103876212198E-3</v>
      </c>
      <c r="F3486">
        <f t="shared" si="114"/>
        <v>-1.6897552219376822E-2</v>
      </c>
      <c r="G3486">
        <f t="shared" si="115"/>
        <v>-2.8855606249841226E-2</v>
      </c>
    </row>
    <row r="3487" spans="1:7" ht="12.5" customHeight="1" x14ac:dyDescent="0.35">
      <c r="A3487" t="s">
        <v>182</v>
      </c>
      <c r="E3487">
        <v>-2.9740273708710606E-3</v>
      </c>
      <c r="F3487">
        <f t="shared" si="114"/>
        <v>-1.6939950503652528E-2</v>
      </c>
      <c r="G3487">
        <f t="shared" si="115"/>
        <v>-2.8855606249841226E-2</v>
      </c>
    </row>
    <row r="3488" spans="1:7" ht="12.5" customHeight="1" x14ac:dyDescent="0.35">
      <c r="A3488" t="s">
        <v>182</v>
      </c>
      <c r="E3488">
        <v>6.739967221070024E-4</v>
      </c>
      <c r="F3488">
        <f t="shared" si="114"/>
        <v>-1.6982348787928234E-2</v>
      </c>
      <c r="G3488">
        <f t="shared" si="115"/>
        <v>-2.8855606249841226E-2</v>
      </c>
    </row>
    <row r="3489" spans="1:144" s="3" customFormat="1" x14ac:dyDescent="0.35">
      <c r="A3489" s="3" t="s">
        <v>183</v>
      </c>
      <c r="B3489" s="3" cm="1">
        <f t="array" ref="B3489">_xlfn.STDEV.S(_xlfn._xlws.FILTER($E$2826:$E$3824, $A$2826:$A$3824="2024-01"))</f>
        <v>6.9547890521725973E-3</v>
      </c>
      <c r="C3489" s="3" cm="1">
        <f t="array" ref="C3489">AVERAGE(_xlfn._xlws.FILTER($E$2826:$E$3824, $A$2826:$A$3824="2024-01"))</f>
        <v>5.8421664941324218E-4</v>
      </c>
      <c r="D3489" s="3" cm="1">
        <f t="array" ref="D3489">_xlfn.PERCENTILE.EXC(_xlfn._xlws.FILTER($E$2490:$E$3818, $A$2490:$A$3818="2024-01"), 0.05)</f>
        <v>-1.3068881702962434E-2</v>
      </c>
      <c r="E3489" s="3">
        <v>5.6840053649540702E-3</v>
      </c>
      <c r="F3489" s="3">
        <f t="shared" si="114"/>
        <v>-1.7024747072203944E-2</v>
      </c>
      <c r="G3489" s="3">
        <f t="shared" si="115"/>
        <v>-2.8855606249841226E-2</v>
      </c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/>
      <c r="EH3489"/>
      <c r="EI3489"/>
      <c r="EJ3489"/>
      <c r="EK3489"/>
      <c r="EL3489"/>
      <c r="EM3489"/>
      <c r="EN3489"/>
    </row>
    <row r="3490" spans="1:144" ht="12.5" customHeight="1" x14ac:dyDescent="0.35">
      <c r="A3490" t="s">
        <v>183</v>
      </c>
      <c r="E3490">
        <v>-1.3980820369002932E-2</v>
      </c>
      <c r="F3490">
        <f t="shared" si="114"/>
        <v>-1.706714535647965E-2</v>
      </c>
      <c r="G3490">
        <f t="shared" si="115"/>
        <v>-2.8855606249841226E-2</v>
      </c>
    </row>
    <row r="3491" spans="1:144" ht="12.5" customHeight="1" x14ac:dyDescent="0.35">
      <c r="A3491" t="s">
        <v>183</v>
      </c>
      <c r="E3491">
        <v>1.0019784744380382E-2</v>
      </c>
      <c r="F3491">
        <f t="shared" si="114"/>
        <v>-1.7109543640755356E-2</v>
      </c>
      <c r="G3491">
        <f t="shared" si="115"/>
        <v>-2.8855606249841226E-2</v>
      </c>
    </row>
    <row r="3492" spans="1:144" ht="12.5" customHeight="1" x14ac:dyDescent="0.35">
      <c r="A3492" t="s">
        <v>183</v>
      </c>
      <c r="E3492">
        <v>1.2158783555451687E-3</v>
      </c>
      <c r="F3492">
        <f t="shared" si="114"/>
        <v>-1.7151941925031063E-2</v>
      </c>
      <c r="G3492">
        <f t="shared" si="115"/>
        <v>-2.8855606249841226E-2</v>
      </c>
    </row>
    <row r="3493" spans="1:144" ht="12.5" customHeight="1" x14ac:dyDescent="0.35">
      <c r="A3493" t="s">
        <v>183</v>
      </c>
      <c r="E3493">
        <v>4.2277775124944647E-3</v>
      </c>
      <c r="F3493">
        <f t="shared" si="114"/>
        <v>-1.7194340209306772E-2</v>
      </c>
      <c r="G3493">
        <f t="shared" si="115"/>
        <v>-2.8855606249841226E-2</v>
      </c>
    </row>
    <row r="3494" spans="1:144" ht="12.5" customHeight="1" x14ac:dyDescent="0.35">
      <c r="A3494" t="s">
        <v>183</v>
      </c>
      <c r="E3494">
        <v>-5.2851364522035846E-3</v>
      </c>
      <c r="F3494">
        <f t="shared" si="114"/>
        <v>-1.7236738493582478E-2</v>
      </c>
      <c r="G3494">
        <f t="shared" si="115"/>
        <v>-2.8855606249841226E-2</v>
      </c>
    </row>
    <row r="3495" spans="1:144" ht="12.5" customHeight="1" x14ac:dyDescent="0.35">
      <c r="A3495" t="s">
        <v>183</v>
      </c>
      <c r="E3495">
        <v>1.3802270889764984E-3</v>
      </c>
      <c r="F3495">
        <f t="shared" si="114"/>
        <v>-1.7279136777858188E-2</v>
      </c>
      <c r="G3495">
        <f t="shared" si="115"/>
        <v>-2.8855606249841226E-2</v>
      </c>
    </row>
    <row r="3496" spans="1:144" ht="12.5" customHeight="1" x14ac:dyDescent="0.35">
      <c r="A3496" t="s">
        <v>183</v>
      </c>
      <c r="E3496">
        <v>-6.6431940951201399E-3</v>
      </c>
      <c r="F3496">
        <f t="shared" si="114"/>
        <v>-1.7321535062133894E-2</v>
      </c>
      <c r="G3496">
        <f t="shared" si="115"/>
        <v>-2.8855606249841226E-2</v>
      </c>
    </row>
    <row r="3497" spans="1:144" ht="12.5" customHeight="1" x14ac:dyDescent="0.35">
      <c r="A3497" t="s">
        <v>183</v>
      </c>
      <c r="E3497">
        <v>7.2922278799701758E-3</v>
      </c>
      <c r="F3497">
        <f t="shared" si="114"/>
        <v>-1.73639333464096E-2</v>
      </c>
      <c r="G3497">
        <f t="shared" si="115"/>
        <v>-2.8855606249841226E-2</v>
      </c>
    </row>
    <row r="3498" spans="1:144" ht="12.5" customHeight="1" x14ac:dyDescent="0.35">
      <c r="A3498" t="s">
        <v>183</v>
      </c>
      <c r="E3498">
        <v>-4.6984975973184051E-3</v>
      </c>
      <c r="F3498">
        <f t="shared" si="114"/>
        <v>-1.7406331630685307E-2</v>
      </c>
      <c r="G3498">
        <f t="shared" si="115"/>
        <v>-2.8855606249841226E-2</v>
      </c>
    </row>
    <row r="3499" spans="1:144" ht="12.5" customHeight="1" x14ac:dyDescent="0.35">
      <c r="A3499" t="s">
        <v>183</v>
      </c>
      <c r="E3499">
        <v>3.2638076660839534E-4</v>
      </c>
      <c r="F3499">
        <f t="shared" si="114"/>
        <v>-1.7448729914961016E-2</v>
      </c>
      <c r="G3499">
        <f t="shared" si="115"/>
        <v>-2.8855606249841226E-2</v>
      </c>
    </row>
    <row r="3500" spans="1:144" ht="12.5" customHeight="1" x14ac:dyDescent="0.35">
      <c r="A3500" t="s">
        <v>183</v>
      </c>
      <c r="E3500">
        <v>-7.9012292620662793E-3</v>
      </c>
      <c r="F3500">
        <f t="shared" si="114"/>
        <v>-1.7491128199236722E-2</v>
      </c>
      <c r="G3500">
        <f t="shared" si="115"/>
        <v>-2.8855606249841226E-2</v>
      </c>
    </row>
    <row r="3501" spans="1:144" ht="12.5" customHeight="1" x14ac:dyDescent="0.35">
      <c r="A3501" t="s">
        <v>183</v>
      </c>
      <c r="E3501">
        <v>8.3266830020381089E-3</v>
      </c>
      <c r="F3501">
        <f t="shared" si="114"/>
        <v>-1.7511632093802749E-2</v>
      </c>
      <c r="G3501">
        <f t="shared" si="115"/>
        <v>-2.9613238119881528E-2</v>
      </c>
    </row>
    <row r="3502" spans="1:144" ht="12.5" customHeight="1" x14ac:dyDescent="0.35">
      <c r="A3502" t="s">
        <v>183</v>
      </c>
      <c r="E3502">
        <v>-2.2073382147886579E-3</v>
      </c>
      <c r="F3502">
        <f t="shared" si="114"/>
        <v>-1.753213598836878E-2</v>
      </c>
      <c r="G3502">
        <f t="shared" si="115"/>
        <v>-2.9613238119881528E-2</v>
      </c>
    </row>
    <row r="3503" spans="1:144" ht="12.5" customHeight="1" x14ac:dyDescent="0.35">
      <c r="A3503" t="s">
        <v>183</v>
      </c>
      <c r="E3503">
        <v>-3.350319584774704E-3</v>
      </c>
      <c r="F3503">
        <f t="shared" si="114"/>
        <v>-1.7552639882934807E-2</v>
      </c>
      <c r="G3503">
        <f t="shared" si="115"/>
        <v>-2.9613238119881528E-2</v>
      </c>
    </row>
    <row r="3504" spans="1:144" ht="12.5" customHeight="1" x14ac:dyDescent="0.35">
      <c r="A3504" t="s">
        <v>183</v>
      </c>
      <c r="E3504">
        <v>-3.4802684590292182E-3</v>
      </c>
      <c r="F3504">
        <f t="shared" si="114"/>
        <v>-1.7573143777500837E-2</v>
      </c>
      <c r="G3504">
        <f t="shared" si="115"/>
        <v>-2.9613238119881528E-2</v>
      </c>
    </row>
    <row r="3505" spans="1:144" ht="12.5" customHeight="1" x14ac:dyDescent="0.35">
      <c r="A3505" t="s">
        <v>183</v>
      </c>
      <c r="E3505">
        <v>8.6365347627029472E-3</v>
      </c>
      <c r="F3505">
        <f t="shared" si="114"/>
        <v>-1.7593647672066864E-2</v>
      </c>
      <c r="G3505">
        <f t="shared" si="115"/>
        <v>-2.9613238119881528E-2</v>
      </c>
    </row>
    <row r="3506" spans="1:144" ht="12.5" customHeight="1" x14ac:dyDescent="0.35">
      <c r="A3506" t="s">
        <v>183</v>
      </c>
      <c r="E3506">
        <v>-5.968992607488695E-3</v>
      </c>
      <c r="F3506">
        <f t="shared" si="114"/>
        <v>-1.7614151566632895E-2</v>
      </c>
      <c r="G3506">
        <f t="shared" si="115"/>
        <v>-2.9613238119881528E-2</v>
      </c>
    </row>
    <row r="3507" spans="1:144" ht="12.5" customHeight="1" x14ac:dyDescent="0.35">
      <c r="A3507" t="s">
        <v>183</v>
      </c>
      <c r="E3507">
        <v>7.3188467594422187E-3</v>
      </c>
      <c r="F3507">
        <f t="shared" si="114"/>
        <v>-1.7634655461198922E-2</v>
      </c>
      <c r="G3507">
        <f t="shared" si="115"/>
        <v>-2.9613238119881528E-2</v>
      </c>
    </row>
    <row r="3508" spans="1:144" ht="12.5" customHeight="1" x14ac:dyDescent="0.35">
      <c r="A3508" t="s">
        <v>183</v>
      </c>
      <c r="E3508">
        <v>-4.8082234830310513E-3</v>
      </c>
      <c r="F3508">
        <f t="shared" si="114"/>
        <v>-1.7655159355764952E-2</v>
      </c>
      <c r="G3508">
        <f t="shared" si="115"/>
        <v>-2.9613238119881528E-2</v>
      </c>
    </row>
    <row r="3509" spans="1:144" ht="12.5" customHeight="1" x14ac:dyDescent="0.35">
      <c r="A3509" t="s">
        <v>183</v>
      </c>
      <c r="E3509">
        <v>1.2805958014844484E-2</v>
      </c>
      <c r="F3509">
        <f t="shared" si="114"/>
        <v>-1.7675663250330979E-2</v>
      </c>
      <c r="G3509">
        <f t="shared" si="115"/>
        <v>-2.9613238119881528E-2</v>
      </c>
    </row>
    <row r="3510" spans="1:144" ht="12.5" customHeight="1" x14ac:dyDescent="0.35">
      <c r="A3510" t="s">
        <v>183</v>
      </c>
      <c r="E3510">
        <v>3.9424821599580778E-3</v>
      </c>
      <c r="F3510">
        <f t="shared" si="114"/>
        <v>-1.769616714489701E-2</v>
      </c>
      <c r="G3510">
        <f t="shared" si="115"/>
        <v>-2.9613238119881528E-2</v>
      </c>
    </row>
    <row r="3511" spans="1:144" s="3" customFormat="1" x14ac:dyDescent="0.35">
      <c r="A3511" s="3" t="s">
        <v>184</v>
      </c>
      <c r="B3511" s="3" cm="1">
        <f t="array" ref="B3511">_xlfn.STDEV.S(_xlfn._xlws.FILTER($E$2826:$E$3824, $A$2826:$A$3824="2024-02"))</f>
        <v>5.9750982582458742E-3</v>
      </c>
      <c r="C3511" s="3" cm="1">
        <f t="array" ref="C3511">AVERAGE(_xlfn._xlws.FILTER($E$2826:$E$3824, $A$2826:$A$3824="2024-02"))</f>
        <v>2.7630854848019397E-3</v>
      </c>
      <c r="D3511" s="3" cm="1">
        <f t="array" ref="D3511">_xlfn.PERCENTILE.EXC(_xlfn._xlws.FILTER($E$2490:$E$3818, $A$2490:$A$3818="2024-02"), 0.05)</f>
        <v>-9.7296090281967923E-3</v>
      </c>
      <c r="E3511" s="3">
        <v>-1.7947910963369282E-3</v>
      </c>
      <c r="F3511" s="3">
        <f t="shared" si="114"/>
        <v>-1.7716671039463037E-2</v>
      </c>
      <c r="G3511" s="3">
        <f t="shared" si="115"/>
        <v>-2.9613238119881528E-2</v>
      </c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</row>
    <row r="3512" spans="1:144" ht="12.5" customHeight="1" x14ac:dyDescent="0.35">
      <c r="A3512" t="s">
        <v>184</v>
      </c>
      <c r="E3512">
        <v>9.393057449893548E-4</v>
      </c>
      <c r="F3512">
        <f t="shared" si="114"/>
        <v>-1.7737174934029067E-2</v>
      </c>
      <c r="G3512">
        <f t="shared" si="115"/>
        <v>-2.9613238119881528E-2</v>
      </c>
    </row>
    <row r="3513" spans="1:144" ht="12.5" customHeight="1" x14ac:dyDescent="0.35">
      <c r="A3513" t="s">
        <v>184</v>
      </c>
      <c r="E3513">
        <v>7.6159661815783236E-3</v>
      </c>
      <c r="F3513">
        <f t="shared" si="114"/>
        <v>-1.7757678828595094E-2</v>
      </c>
      <c r="G3513">
        <f t="shared" si="115"/>
        <v>-2.9613238119881528E-2</v>
      </c>
    </row>
    <row r="3514" spans="1:144" ht="12.5" customHeight="1" x14ac:dyDescent="0.35">
      <c r="A3514" t="s">
        <v>184</v>
      </c>
      <c r="E3514">
        <v>5.2831189456807428E-3</v>
      </c>
      <c r="F3514">
        <f t="shared" si="114"/>
        <v>-1.7778182723161125E-2</v>
      </c>
      <c r="G3514">
        <f t="shared" si="115"/>
        <v>-2.9613238119881528E-2</v>
      </c>
    </row>
    <row r="3515" spans="1:144" ht="12.5" customHeight="1" x14ac:dyDescent="0.35">
      <c r="A3515" t="s">
        <v>184</v>
      </c>
      <c r="E3515">
        <v>-4.5329026541183499E-3</v>
      </c>
      <c r="F3515">
        <f t="shared" si="114"/>
        <v>-1.7798686617727155E-2</v>
      </c>
      <c r="G3515">
        <f t="shared" si="115"/>
        <v>-2.9613238119881528E-2</v>
      </c>
    </row>
    <row r="3516" spans="1:144" ht="12.5" customHeight="1" x14ac:dyDescent="0.35">
      <c r="A3516" t="s">
        <v>184</v>
      </c>
      <c r="E3516">
        <v>2.8410644032571646E-3</v>
      </c>
      <c r="F3516">
        <f t="shared" si="114"/>
        <v>-1.7819190512293182E-2</v>
      </c>
      <c r="G3516">
        <f t="shared" si="115"/>
        <v>-2.9613238119881528E-2</v>
      </c>
    </row>
    <row r="3517" spans="1:144" ht="12.5" customHeight="1" x14ac:dyDescent="0.35">
      <c r="A3517" t="s">
        <v>184</v>
      </c>
      <c r="E3517">
        <v>2.9543476902602526E-3</v>
      </c>
      <c r="F3517">
        <f t="shared" si="114"/>
        <v>-1.7839694406859209E-2</v>
      </c>
      <c r="G3517">
        <f t="shared" si="115"/>
        <v>-2.9613238119881528E-2</v>
      </c>
    </row>
    <row r="3518" spans="1:144" ht="12.5" customHeight="1" x14ac:dyDescent="0.35">
      <c r="A3518" t="s">
        <v>184</v>
      </c>
      <c r="E3518">
        <v>9.6041818661733551E-3</v>
      </c>
      <c r="F3518">
        <f t="shared" si="114"/>
        <v>-1.786019830142524E-2</v>
      </c>
      <c r="G3518">
        <f t="shared" si="115"/>
        <v>-2.9613238119881528E-2</v>
      </c>
    </row>
    <row r="3519" spans="1:144" ht="12.5" customHeight="1" x14ac:dyDescent="0.35">
      <c r="A3519" t="s">
        <v>184</v>
      </c>
      <c r="E3519">
        <v>-1.0307020847538841E-2</v>
      </c>
      <c r="F3519">
        <f t="shared" si="114"/>
        <v>-1.7880702195991267E-2</v>
      </c>
      <c r="G3519">
        <f t="shared" si="115"/>
        <v>-2.9613238119881528E-2</v>
      </c>
    </row>
    <row r="3520" spans="1:144" ht="12.5" customHeight="1" x14ac:dyDescent="0.35">
      <c r="A3520" t="s">
        <v>184</v>
      </c>
      <c r="E3520">
        <v>6.250385561730327E-3</v>
      </c>
      <c r="F3520">
        <f t="shared" si="114"/>
        <v>-1.7901206090557297E-2</v>
      </c>
      <c r="G3520">
        <f t="shared" si="115"/>
        <v>-2.9613238119881528E-2</v>
      </c>
    </row>
    <row r="3521" spans="1:144" ht="12.5" customHeight="1" x14ac:dyDescent="0.35">
      <c r="A3521" t="s">
        <v>184</v>
      </c>
      <c r="E3521">
        <v>1.1584955749088053E-2</v>
      </c>
      <c r="F3521">
        <f t="shared" si="114"/>
        <v>-1.7906607281735463E-2</v>
      </c>
      <c r="G3521">
        <f t="shared" si="115"/>
        <v>-3.0449811836261831E-2</v>
      </c>
    </row>
    <row r="3522" spans="1:144" ht="12.5" customHeight="1" x14ac:dyDescent="0.35">
      <c r="A3522" t="s">
        <v>184</v>
      </c>
      <c r="E3522">
        <v>1.1966546185152782E-3</v>
      </c>
      <c r="F3522">
        <f t="shared" si="114"/>
        <v>-1.7912008472913628E-2</v>
      </c>
      <c r="G3522">
        <f t="shared" si="115"/>
        <v>-3.0449811836261831E-2</v>
      </c>
    </row>
    <row r="3523" spans="1:144" ht="12.5" customHeight="1" x14ac:dyDescent="0.35">
      <c r="A3523" t="s">
        <v>184</v>
      </c>
      <c r="E3523">
        <v>-1.7770509675490386E-3</v>
      </c>
      <c r="F3523">
        <f t="shared" si="114"/>
        <v>-1.7917409664091794E-2</v>
      </c>
      <c r="G3523">
        <f t="shared" si="115"/>
        <v>-3.0449811836261831E-2</v>
      </c>
    </row>
    <row r="3524" spans="1:144" ht="12.5" customHeight="1" x14ac:dyDescent="0.35">
      <c r="A3524" t="s">
        <v>184</v>
      </c>
      <c r="E3524">
        <v>8.0249266150732225E-4</v>
      </c>
      <c r="F3524">
        <f t="shared" ref="F3524:F3587" si="116">_xlfn.PERCENTILE.EXC(E3524:E7339,0.05)</f>
        <v>-1.792281085526996E-2</v>
      </c>
      <c r="G3524">
        <f t="shared" ref="G3524:G3587" si="117">AVERAGEIFS(E3524:E7340,E3524:E7340,"&lt;=" &amp; F3524)</f>
        <v>-3.0449811836261831E-2</v>
      </c>
    </row>
    <row r="3525" spans="1:144" ht="12.5" customHeight="1" x14ac:dyDescent="0.35">
      <c r="A3525" t="s">
        <v>184</v>
      </c>
      <c r="E3525">
        <v>9.9473700600099593E-3</v>
      </c>
      <c r="F3525">
        <f t="shared" si="116"/>
        <v>-1.7928212046448122E-2</v>
      </c>
      <c r="G3525">
        <f t="shared" si="117"/>
        <v>-3.0449811836261831E-2</v>
      </c>
    </row>
    <row r="3526" spans="1:144" ht="12.5" customHeight="1" x14ac:dyDescent="0.35">
      <c r="A3526" t="s">
        <v>184</v>
      </c>
      <c r="E3526">
        <v>1.0496773176758291E-2</v>
      </c>
      <c r="F3526">
        <f t="shared" si="116"/>
        <v>-1.7933613237626288E-2</v>
      </c>
      <c r="G3526">
        <f t="shared" si="117"/>
        <v>-3.0449811836261831E-2</v>
      </c>
    </row>
    <row r="3527" spans="1:144" ht="12.5" customHeight="1" x14ac:dyDescent="0.35">
      <c r="A3527" t="s">
        <v>184</v>
      </c>
      <c r="E3527">
        <v>1.0595701336685961E-2</v>
      </c>
      <c r="F3527">
        <f t="shared" si="116"/>
        <v>-1.7939014428804453E-2</v>
      </c>
      <c r="G3527">
        <f t="shared" si="117"/>
        <v>-3.0449811836261831E-2</v>
      </c>
    </row>
    <row r="3528" spans="1:144" ht="12.5" customHeight="1" x14ac:dyDescent="0.35">
      <c r="A3528" t="s">
        <v>184</v>
      </c>
      <c r="E3528">
        <v>-4.3859336340192024E-3</v>
      </c>
      <c r="F3528">
        <f t="shared" si="116"/>
        <v>-1.7944415619982619E-2</v>
      </c>
      <c r="G3528">
        <f t="shared" si="117"/>
        <v>-3.0449811836261831E-2</v>
      </c>
    </row>
    <row r="3529" spans="1:144" ht="12.5" customHeight="1" x14ac:dyDescent="0.35">
      <c r="A3529" t="s">
        <v>184</v>
      </c>
      <c r="E3529">
        <v>4.5547219787285603E-3</v>
      </c>
      <c r="F3529">
        <f t="shared" si="116"/>
        <v>-1.7949816811160785E-2</v>
      </c>
      <c r="G3529">
        <f t="shared" si="117"/>
        <v>-3.0449811836261831E-2</v>
      </c>
    </row>
    <row r="3530" spans="1:144" ht="12.5" customHeight="1" x14ac:dyDescent="0.35">
      <c r="A3530" t="s">
        <v>184</v>
      </c>
      <c r="E3530">
        <v>-2.7089434915062507E-3</v>
      </c>
      <c r="F3530">
        <f t="shared" si="116"/>
        <v>-1.795521800233895E-2</v>
      </c>
      <c r="G3530">
        <f t="shared" si="117"/>
        <v>-3.0449811836261831E-2</v>
      </c>
    </row>
    <row r="3531" spans="1:144" ht="12.5" customHeight="1" x14ac:dyDescent="0.35">
      <c r="A3531" t="s">
        <v>184</v>
      </c>
      <c r="E3531">
        <v>-1.1356021030536048E-3</v>
      </c>
      <c r="F3531">
        <f t="shared" si="116"/>
        <v>-1.7960619193517116E-2</v>
      </c>
      <c r="G3531">
        <f t="shared" si="117"/>
        <v>-3.0449811836261831E-2</v>
      </c>
    </row>
    <row r="3532" spans="1:144" s="3" customFormat="1" x14ac:dyDescent="0.35">
      <c r="A3532" s="3" t="s">
        <v>185</v>
      </c>
      <c r="B3532" s="3" cm="1">
        <f t="array" ref="B3532">_xlfn.STDEV.S(_xlfn._xlws.FILTER($E$2826:$E$3824, $A$2826:$A$3824="2024-03"))</f>
        <v>4.5761006232043402E-3</v>
      </c>
      <c r="C3532" s="3" cm="1">
        <f t="array" ref="C3532">AVERAGE(_xlfn._xlws.FILTER($E$2826:$E$3824, $A$2826:$A$3824="2024-03"))</f>
        <v>3.2231094544181256E-3</v>
      </c>
      <c r="D3532" s="3" cm="1">
        <f t="array" ref="D3532">_xlfn.PERCENTILE.EXC(_xlfn._xlws.FILTER($E$2490:$E$3818, $A$2490:$A$3818="2024-03"), 0.05)</f>
        <v>-2.919612023860701E-3</v>
      </c>
      <c r="E3532" s="3">
        <v>1.0786909432643725E-2</v>
      </c>
      <c r="F3532" s="3">
        <f t="shared" si="116"/>
        <v>-1.7966020384695282E-2</v>
      </c>
      <c r="G3532" s="3">
        <f t="shared" si="117"/>
        <v>-3.0449811836261831E-2</v>
      </c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  <c r="DX3532"/>
      <c r="DY3532"/>
      <c r="DZ3532"/>
      <c r="EA3532"/>
      <c r="EB3532"/>
      <c r="EC3532"/>
      <c r="ED3532"/>
      <c r="EE3532"/>
      <c r="EF3532"/>
      <c r="EG3532"/>
      <c r="EH3532"/>
      <c r="EI3532"/>
      <c r="EJ3532"/>
      <c r="EK3532"/>
      <c r="EL3532"/>
      <c r="EM3532"/>
      <c r="EN3532"/>
    </row>
    <row r="3533" spans="1:144" ht="12.5" customHeight="1" x14ac:dyDescent="0.35">
      <c r="A3533" t="s">
        <v>185</v>
      </c>
      <c r="E3533">
        <v>-6.6670081105287373E-4</v>
      </c>
      <c r="F3533">
        <f t="shared" si="116"/>
        <v>-1.7971421575873447E-2</v>
      </c>
      <c r="G3533">
        <f t="shared" si="117"/>
        <v>-3.0449811836261831E-2</v>
      </c>
    </row>
    <row r="3534" spans="1:144" ht="12.5" customHeight="1" x14ac:dyDescent="0.35">
      <c r="A3534" t="s">
        <v>185</v>
      </c>
      <c r="E3534">
        <v>7.0792093824100849E-3</v>
      </c>
      <c r="F3534">
        <f t="shared" si="116"/>
        <v>-1.7976822767051613E-2</v>
      </c>
      <c r="G3534">
        <f t="shared" si="117"/>
        <v>-3.0449811836261831E-2</v>
      </c>
    </row>
    <row r="3535" spans="1:144" ht="12.5" customHeight="1" x14ac:dyDescent="0.35">
      <c r="A3535" t="s">
        <v>185</v>
      </c>
      <c r="E3535">
        <v>6.5458059616437022E-3</v>
      </c>
      <c r="F3535">
        <f t="shared" si="116"/>
        <v>-1.7982223958229779E-2</v>
      </c>
      <c r="G3535">
        <f t="shared" si="117"/>
        <v>-3.0449811836261831E-2</v>
      </c>
    </row>
    <row r="3536" spans="1:144" ht="12.5" customHeight="1" x14ac:dyDescent="0.35">
      <c r="A3536" t="s">
        <v>185</v>
      </c>
      <c r="E3536">
        <v>1.6423463003991793E-3</v>
      </c>
      <c r="F3536">
        <f t="shared" si="116"/>
        <v>-1.7987625149407941E-2</v>
      </c>
      <c r="G3536">
        <f t="shared" si="117"/>
        <v>-3.0449811836261831E-2</v>
      </c>
    </row>
    <row r="3537" spans="1:144" ht="12.5" customHeight="1" x14ac:dyDescent="0.35">
      <c r="A3537" t="s">
        <v>185</v>
      </c>
      <c r="E3537">
        <v>-4.4535911405697609E-4</v>
      </c>
      <c r="F3537">
        <f t="shared" si="116"/>
        <v>-1.7993026340586107E-2</v>
      </c>
      <c r="G3537">
        <f t="shared" si="117"/>
        <v>-3.0449811836261831E-2</v>
      </c>
    </row>
    <row r="3538" spans="1:144" ht="12.5" customHeight="1" x14ac:dyDescent="0.35">
      <c r="A3538" t="s">
        <v>185</v>
      </c>
      <c r="E3538">
        <v>-2.6598187982211242E-3</v>
      </c>
      <c r="F3538">
        <f t="shared" si="116"/>
        <v>-1.7998427531764272E-2</v>
      </c>
      <c r="G3538">
        <f t="shared" si="117"/>
        <v>-3.0449811836261831E-2</v>
      </c>
    </row>
    <row r="3539" spans="1:144" ht="12.5" customHeight="1" x14ac:dyDescent="0.35">
      <c r="A3539" t="s">
        <v>185</v>
      </c>
      <c r="E3539">
        <v>1.3063010322330386E-2</v>
      </c>
      <c r="F3539">
        <f t="shared" si="116"/>
        <v>-1.8003828722942438E-2</v>
      </c>
      <c r="G3539">
        <f t="shared" si="117"/>
        <v>-3.0449811836261831E-2</v>
      </c>
    </row>
    <row r="3540" spans="1:144" ht="12.5" customHeight="1" x14ac:dyDescent="0.35">
      <c r="A3540" t="s">
        <v>185</v>
      </c>
      <c r="E3540">
        <v>3.9122709981176482E-3</v>
      </c>
      <c r="F3540">
        <f t="shared" si="116"/>
        <v>-1.8009229914120604E-2</v>
      </c>
      <c r="G3540">
        <f t="shared" si="117"/>
        <v>-3.0449811836261831E-2</v>
      </c>
    </row>
    <row r="3541" spans="1:144" ht="12.5" customHeight="1" x14ac:dyDescent="0.35">
      <c r="A3541" t="s">
        <v>185</v>
      </c>
      <c r="E3541">
        <v>-2.9332853515259419E-3</v>
      </c>
      <c r="F3541">
        <f t="shared" si="116"/>
        <v>-1.8084485213203653E-2</v>
      </c>
      <c r="G3541">
        <f t="shared" si="117"/>
        <v>-3.1406779676426536E-2</v>
      </c>
    </row>
    <row r="3542" spans="1:144" ht="12.5" customHeight="1" x14ac:dyDescent="0.35">
      <c r="A3542" t="s">
        <v>185</v>
      </c>
      <c r="E3542">
        <v>4.5433005816262161E-3</v>
      </c>
      <c r="F3542">
        <f t="shared" si="116"/>
        <v>-1.8159740512286707E-2</v>
      </c>
      <c r="G3542">
        <f t="shared" si="117"/>
        <v>-3.1406779676426536E-2</v>
      </c>
    </row>
    <row r="3543" spans="1:144" ht="12.5" customHeight="1" x14ac:dyDescent="0.35">
      <c r="A3543" t="s">
        <v>185</v>
      </c>
      <c r="E3543">
        <v>2.7400896777033819E-5</v>
      </c>
      <c r="F3543">
        <f t="shared" si="116"/>
        <v>-1.8234995811369753E-2</v>
      </c>
      <c r="G3543">
        <f t="shared" si="117"/>
        <v>-3.1406779676426536E-2</v>
      </c>
    </row>
    <row r="3544" spans="1:144" ht="12.5" customHeight="1" x14ac:dyDescent="0.35">
      <c r="A3544" t="s">
        <v>185</v>
      </c>
      <c r="E3544">
        <v>9.4248309053386724E-3</v>
      </c>
      <c r="F3544">
        <f t="shared" si="116"/>
        <v>-1.8310251110452806E-2</v>
      </c>
      <c r="G3544">
        <f t="shared" si="117"/>
        <v>-3.1406779676426536E-2</v>
      </c>
    </row>
    <row r="3545" spans="1:144" ht="12.5" customHeight="1" x14ac:dyDescent="0.35">
      <c r="A3545" t="s">
        <v>185</v>
      </c>
      <c r="E3545">
        <v>9.0233269172161938E-4</v>
      </c>
      <c r="F3545">
        <f t="shared" si="116"/>
        <v>-1.8385506409535859E-2</v>
      </c>
      <c r="G3545">
        <f t="shared" si="117"/>
        <v>-3.1406779676426536E-2</v>
      </c>
    </row>
    <row r="3546" spans="1:144" ht="12.5" customHeight="1" x14ac:dyDescent="0.35">
      <c r="A3546" t="s">
        <v>185</v>
      </c>
      <c r="E3546">
        <v>1.0101829389107836E-3</v>
      </c>
      <c r="F3546">
        <f t="shared" si="116"/>
        <v>-1.8460761708618909E-2</v>
      </c>
      <c r="G3546">
        <f t="shared" si="117"/>
        <v>-3.1406779676426536E-2</v>
      </c>
    </row>
    <row r="3547" spans="1:144" ht="12.5" customHeight="1" x14ac:dyDescent="0.35">
      <c r="A3547" t="s">
        <v>185</v>
      </c>
      <c r="E3547">
        <v>4.5608401124011517E-4</v>
      </c>
      <c r="F3547">
        <f t="shared" si="116"/>
        <v>-1.8536017007701959E-2</v>
      </c>
      <c r="G3547">
        <f t="shared" si="117"/>
        <v>-3.1406779676426536E-2</v>
      </c>
    </row>
    <row r="3548" spans="1:144" ht="12.5" customHeight="1" x14ac:dyDescent="0.35">
      <c r="A3548" t="s">
        <v>185</v>
      </c>
      <c r="E3548">
        <v>8.5760760541540339E-3</v>
      </c>
      <c r="F3548">
        <f t="shared" si="116"/>
        <v>-1.8611272306785009E-2</v>
      </c>
      <c r="G3548">
        <f t="shared" si="117"/>
        <v>-3.1406779676426536E-2</v>
      </c>
    </row>
    <row r="3549" spans="1:144" ht="12.5" customHeight="1" x14ac:dyDescent="0.35">
      <c r="A3549" t="s">
        <v>185</v>
      </c>
      <c r="E3549">
        <v>1.4066554188111099E-3</v>
      </c>
      <c r="F3549">
        <f t="shared" si="116"/>
        <v>-1.8686527605868062E-2</v>
      </c>
      <c r="G3549">
        <f t="shared" si="117"/>
        <v>-3.1406779676426536E-2</v>
      </c>
    </row>
    <row r="3550" spans="1:144" ht="12.5" customHeight="1" x14ac:dyDescent="0.35">
      <c r="A3550" t="s">
        <v>185</v>
      </c>
      <c r="E3550">
        <v>2.0596754250997878E-3</v>
      </c>
      <c r="F3550">
        <f t="shared" si="116"/>
        <v>-1.8761782904951112E-2</v>
      </c>
      <c r="G3550">
        <f t="shared" si="117"/>
        <v>-3.1406779676426536E-2</v>
      </c>
    </row>
    <row r="3551" spans="1:144" ht="12.5" customHeight="1" x14ac:dyDescent="0.35">
      <c r="A3551" t="s">
        <v>185</v>
      </c>
      <c r="E3551">
        <v>-2.6873815800465995E-4</v>
      </c>
      <c r="F3551">
        <f t="shared" si="116"/>
        <v>-1.8837038204034161E-2</v>
      </c>
      <c r="G3551">
        <f t="shared" si="117"/>
        <v>-3.1406779676426536E-2</v>
      </c>
    </row>
    <row r="3552" spans="1:144" s="3" customFormat="1" x14ac:dyDescent="0.35">
      <c r="A3552" s="3" t="s">
        <v>186</v>
      </c>
      <c r="B3552" s="3" cm="1">
        <f t="array" ref="B3552">_xlfn.STDEV.S(_xlfn._xlws.FILTER($E$2826:$E$3824, $A$2826:$A$3824="2024-04"))</f>
        <v>9.6112020215257509E-3</v>
      </c>
      <c r="C3552" s="3" cm="1">
        <f t="array" ref="C3552">AVERAGE(_xlfn._xlws.FILTER($E$2826:$E$3824, $A$2826:$A$3824="2024-04"))</f>
        <v>-1.3956283068622146E-3</v>
      </c>
      <c r="D3552" s="3" cm="1">
        <f t="array" ref="D3552">_xlfn.PERCENTILE.EXC(_xlfn._xlws.FILTER($E$2490:$E$3818, $A$2490:$A$3818="2024-04"), 0.05)</f>
        <v>-1.6594478137488933E-2</v>
      </c>
      <c r="E3552" s="3">
        <v>-1.2308991615440999E-2</v>
      </c>
      <c r="F3552" s="3">
        <f t="shared" si="116"/>
        <v>-1.8912293503117215E-2</v>
      </c>
      <c r="G3552" s="3">
        <f t="shared" si="117"/>
        <v>-3.1406779676426536E-2</v>
      </c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/>
      <c r="EH3552"/>
      <c r="EI3552"/>
      <c r="EJ3552"/>
      <c r="EK3552"/>
      <c r="EL3552"/>
      <c r="EM3552"/>
      <c r="EN3552"/>
    </row>
    <row r="3553" spans="1:7" ht="12.5" customHeight="1" x14ac:dyDescent="0.35">
      <c r="A3553" t="s">
        <v>186</v>
      </c>
      <c r="E3553">
        <v>4.524025208647379E-3</v>
      </c>
      <c r="F3553">
        <f t="shared" si="116"/>
        <v>-1.8987548802200264E-2</v>
      </c>
      <c r="G3553">
        <f t="shared" si="117"/>
        <v>-3.1406779676426536E-2</v>
      </c>
    </row>
    <row r="3554" spans="1:7" ht="12.5" customHeight="1" x14ac:dyDescent="0.35">
      <c r="A3554" t="s">
        <v>186</v>
      </c>
      <c r="E3554">
        <v>-7.6274257365621352E-4</v>
      </c>
      <c r="F3554">
        <f t="shared" si="116"/>
        <v>-1.9062804101283318E-2</v>
      </c>
      <c r="G3554">
        <f t="shared" si="117"/>
        <v>-3.1406779676426536E-2</v>
      </c>
    </row>
    <row r="3555" spans="1:7" ht="12.5" customHeight="1" x14ac:dyDescent="0.35">
      <c r="A3555" t="s">
        <v>186</v>
      </c>
      <c r="E3555">
        <v>-1.2961461494994289E-2</v>
      </c>
      <c r="F3555">
        <f t="shared" si="116"/>
        <v>-1.9138059400366367E-2</v>
      </c>
      <c r="G3555">
        <f t="shared" si="117"/>
        <v>-3.1406779676426536E-2</v>
      </c>
    </row>
    <row r="3556" spans="1:7" ht="12.5" customHeight="1" x14ac:dyDescent="0.35">
      <c r="A3556" t="s">
        <v>186</v>
      </c>
      <c r="E3556">
        <v>8.9300786459373983E-3</v>
      </c>
      <c r="F3556">
        <f t="shared" si="116"/>
        <v>-1.9213314699449417E-2</v>
      </c>
      <c r="G3556">
        <f t="shared" si="117"/>
        <v>-3.1406779676426536E-2</v>
      </c>
    </row>
    <row r="3557" spans="1:7" ht="12.5" customHeight="1" x14ac:dyDescent="0.35">
      <c r="A3557" t="s">
        <v>186</v>
      </c>
      <c r="E3557">
        <v>-1.0830982390143047E-2</v>
      </c>
      <c r="F3557">
        <f t="shared" si="116"/>
        <v>-1.928856999853247E-2</v>
      </c>
      <c r="G3557">
        <f t="shared" si="117"/>
        <v>-3.1406779676426536E-2</v>
      </c>
    </row>
    <row r="3558" spans="1:7" ht="12.5" customHeight="1" x14ac:dyDescent="0.35">
      <c r="A3558" t="s">
        <v>186</v>
      </c>
      <c r="E3558">
        <v>2.7458643980059921E-3</v>
      </c>
      <c r="F3558">
        <f t="shared" si="116"/>
        <v>-1.936382529761552E-2</v>
      </c>
      <c r="G3558">
        <f t="shared" si="117"/>
        <v>-3.1406779676426536E-2</v>
      </c>
    </row>
    <row r="3559" spans="1:7" ht="12.5" customHeight="1" x14ac:dyDescent="0.35">
      <c r="A3559" t="s">
        <v>186</v>
      </c>
      <c r="E3559">
        <v>-9.6140324004480894E-3</v>
      </c>
      <c r="F3559">
        <f t="shared" si="116"/>
        <v>-1.943908059669857E-2</v>
      </c>
      <c r="G3559">
        <f t="shared" si="117"/>
        <v>-3.1406779676426536E-2</v>
      </c>
    </row>
    <row r="3560" spans="1:7" ht="12.5" customHeight="1" x14ac:dyDescent="0.35">
      <c r="A3560" t="s">
        <v>186</v>
      </c>
      <c r="E3560">
        <v>1.488187032759173E-3</v>
      </c>
      <c r="F3560">
        <f t="shared" si="116"/>
        <v>-1.9514335895781623E-2</v>
      </c>
      <c r="G3560">
        <f t="shared" si="117"/>
        <v>-3.1406779676426536E-2</v>
      </c>
    </row>
    <row r="3561" spans="1:7" ht="12.5" customHeight="1" x14ac:dyDescent="0.35">
      <c r="A3561" t="s">
        <v>186</v>
      </c>
      <c r="E3561">
        <v>5.6153250923281226E-3</v>
      </c>
      <c r="F3561">
        <f t="shared" si="116"/>
        <v>-1.9565255514554281E-2</v>
      </c>
      <c r="G3561">
        <f t="shared" si="117"/>
        <v>-3.2397816658146956E-2</v>
      </c>
    </row>
    <row r="3562" spans="1:7" ht="12.5" customHeight="1" x14ac:dyDescent="0.35">
      <c r="A3562" t="s">
        <v>186</v>
      </c>
      <c r="E3562">
        <v>-1.6643162513722578E-2</v>
      </c>
      <c r="F3562">
        <f t="shared" si="116"/>
        <v>-1.9616175133326943E-2</v>
      </c>
      <c r="G3562">
        <f t="shared" si="117"/>
        <v>-3.2397816658146956E-2</v>
      </c>
    </row>
    <row r="3563" spans="1:7" ht="12.5" customHeight="1" x14ac:dyDescent="0.35">
      <c r="A3563" t="s">
        <v>186</v>
      </c>
      <c r="E3563">
        <v>7.1273540267240421E-3</v>
      </c>
      <c r="F3563">
        <f t="shared" si="116"/>
        <v>-1.9667094752099601E-2</v>
      </c>
      <c r="G3563">
        <f t="shared" si="117"/>
        <v>-3.2397816658146956E-2</v>
      </c>
    </row>
    <row r="3564" spans="1:7" ht="12.5" customHeight="1" x14ac:dyDescent="0.35">
      <c r="A3564" t="s">
        <v>186</v>
      </c>
      <c r="E3564">
        <v>7.3700373931809464E-3</v>
      </c>
      <c r="F3564">
        <f t="shared" si="116"/>
        <v>-1.9718014370872259E-2</v>
      </c>
      <c r="G3564">
        <f t="shared" si="117"/>
        <v>-3.2397816658146956E-2</v>
      </c>
    </row>
    <row r="3565" spans="1:7" ht="12.5" customHeight="1" x14ac:dyDescent="0.35">
      <c r="A3565" t="s">
        <v>186</v>
      </c>
      <c r="E3565">
        <v>1.1993454298449154E-3</v>
      </c>
      <c r="F3565">
        <f t="shared" si="116"/>
        <v>-1.9768933989644921E-2</v>
      </c>
      <c r="G3565">
        <f t="shared" si="117"/>
        <v>-3.2397816658146956E-2</v>
      </c>
    </row>
    <row r="3566" spans="1:7" ht="12.5" customHeight="1" x14ac:dyDescent="0.35">
      <c r="A3566" t="s">
        <v>186</v>
      </c>
      <c r="E3566">
        <v>-5.8344233488513055E-3</v>
      </c>
      <c r="F3566">
        <f t="shared" si="116"/>
        <v>-1.9819853608417579E-2</v>
      </c>
      <c r="G3566">
        <f t="shared" si="117"/>
        <v>-3.2397816658146956E-2</v>
      </c>
    </row>
    <row r="3567" spans="1:7" ht="12.5" customHeight="1" x14ac:dyDescent="0.35">
      <c r="A3567" t="s">
        <v>186</v>
      </c>
      <c r="E3567">
        <v>1.8768164901359307E-2</v>
      </c>
      <c r="F3567">
        <f t="shared" si="116"/>
        <v>-1.9870773227190237E-2</v>
      </c>
      <c r="G3567">
        <f t="shared" si="117"/>
        <v>-3.2397816658146956E-2</v>
      </c>
    </row>
    <row r="3568" spans="1:7" ht="12.5" customHeight="1" x14ac:dyDescent="0.35">
      <c r="A3568" t="s">
        <v>186</v>
      </c>
      <c r="E3568">
        <v>-2.6992126958177761E-3</v>
      </c>
      <c r="F3568">
        <f t="shared" si="116"/>
        <v>-1.9921692845962895E-2</v>
      </c>
      <c r="G3568">
        <f t="shared" si="117"/>
        <v>-3.2397816658146956E-2</v>
      </c>
    </row>
    <row r="3569" spans="1:144" ht="12.5" customHeight="1" x14ac:dyDescent="0.35">
      <c r="A3569" t="s">
        <v>186</v>
      </c>
      <c r="E3569">
        <v>-9.7161231591808266E-3</v>
      </c>
      <c r="F3569">
        <f t="shared" si="116"/>
        <v>-1.9972612464735556E-2</v>
      </c>
      <c r="G3569">
        <f t="shared" si="117"/>
        <v>-3.2397816658146956E-2</v>
      </c>
    </row>
    <row r="3570" spans="1:144" ht="12.5" customHeight="1" x14ac:dyDescent="0.35">
      <c r="A3570" t="s">
        <v>186</v>
      </c>
      <c r="E3570">
        <v>9.0929555181615412E-3</v>
      </c>
      <c r="F3570">
        <f t="shared" si="116"/>
        <v>-2.0023532083508218E-2</v>
      </c>
      <c r="G3570">
        <f t="shared" si="117"/>
        <v>-3.2397816658146956E-2</v>
      </c>
    </row>
    <row r="3571" spans="1:144" ht="12.5" customHeight="1" x14ac:dyDescent="0.35">
      <c r="A3571" t="s">
        <v>186</v>
      </c>
      <c r="E3571">
        <v>1.3579188525859234E-3</v>
      </c>
      <c r="F3571">
        <f t="shared" si="116"/>
        <v>-2.0074451702280876E-2</v>
      </c>
      <c r="G3571">
        <f t="shared" si="117"/>
        <v>-3.2397816658146956E-2</v>
      </c>
    </row>
    <row r="3572" spans="1:144" ht="12.5" customHeight="1" x14ac:dyDescent="0.35">
      <c r="A3572" t="s">
        <v>186</v>
      </c>
      <c r="E3572">
        <v>-1.6156318751386112E-2</v>
      </c>
      <c r="F3572">
        <f t="shared" si="116"/>
        <v>-2.0125371321053534E-2</v>
      </c>
      <c r="G3572">
        <f t="shared" si="117"/>
        <v>-3.2397816658146956E-2</v>
      </c>
    </row>
    <row r="3573" spans="1:144" s="3" customFormat="1" x14ac:dyDescent="0.35">
      <c r="A3573" s="3" t="s">
        <v>187</v>
      </c>
      <c r="B3573" s="3" cm="1">
        <f t="array" ref="B3573">_xlfn.STDEV.S(_xlfn._xlws.FILTER($E$2826:$E$3824, $A$2826:$A$3824="2024-05"))</f>
        <v>8.0509364648155279E-3</v>
      </c>
      <c r="C3573" s="3" cm="1">
        <f t="array" ref="C3573">AVERAGE(_xlfn._xlws.FILTER($E$2826:$E$3824, $A$2826:$A$3824="2024-05"))</f>
        <v>1.0928925187672738E-3</v>
      </c>
      <c r="D3573" s="3" cm="1">
        <f t="array" ref="D3573">_xlfn.PERCENTILE.EXC(_xlfn._xlws.FILTER($E$2490:$E$3818, $A$2490:$A$3818="2024-05"), 0.05)</f>
        <v>-1.6265290585908962E-2</v>
      </c>
      <c r="E3573" s="3">
        <v>-3.0407631423525654E-4</v>
      </c>
      <c r="F3573" s="3">
        <f t="shared" si="116"/>
        <v>-2.0176290939826192E-2</v>
      </c>
      <c r="G3573" s="3">
        <f t="shared" si="117"/>
        <v>-3.2397816658146956E-2</v>
      </c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  <c r="DE3573"/>
      <c r="DF3573"/>
      <c r="DG3573"/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  <c r="DX3573"/>
      <c r="DY3573"/>
      <c r="DZ3573"/>
      <c r="EA3573"/>
      <c r="EB3573"/>
      <c r="EC3573"/>
      <c r="ED3573"/>
      <c r="EE3573"/>
      <c r="EF3573"/>
      <c r="EG3573"/>
      <c r="EH3573"/>
      <c r="EI3573"/>
      <c r="EJ3573"/>
      <c r="EK3573"/>
      <c r="EL3573"/>
      <c r="EM3573"/>
      <c r="EN3573"/>
    </row>
    <row r="3574" spans="1:144" ht="12.5" customHeight="1" x14ac:dyDescent="0.35">
      <c r="A3574" t="s">
        <v>187</v>
      </c>
      <c r="E3574">
        <v>-3.182338598638256E-3</v>
      </c>
      <c r="F3574">
        <f t="shared" si="116"/>
        <v>-2.0227210558598854E-2</v>
      </c>
      <c r="G3574">
        <f t="shared" si="117"/>
        <v>-3.2397816658146956E-2</v>
      </c>
    </row>
    <row r="3575" spans="1:144" ht="12.5" customHeight="1" x14ac:dyDescent="0.35">
      <c r="A3575" t="s">
        <v>187</v>
      </c>
      <c r="E3575">
        <v>1.8072236046499119E-2</v>
      </c>
      <c r="F3575">
        <f t="shared" si="116"/>
        <v>-2.0278130177371512E-2</v>
      </c>
      <c r="G3575">
        <f t="shared" si="117"/>
        <v>-3.2397816658146956E-2</v>
      </c>
    </row>
    <row r="3576" spans="1:144" ht="12.5" customHeight="1" x14ac:dyDescent="0.35">
      <c r="A3576" t="s">
        <v>187</v>
      </c>
      <c r="E3576">
        <v>-2.66339699420695E-3</v>
      </c>
      <c r="F3576">
        <f t="shared" si="116"/>
        <v>-2.032904979614417E-2</v>
      </c>
      <c r="G3576">
        <f t="shared" si="117"/>
        <v>-3.2397816658146956E-2</v>
      </c>
    </row>
    <row r="3577" spans="1:144" ht="12.5" customHeight="1" x14ac:dyDescent="0.35">
      <c r="A3577" t="s">
        <v>187</v>
      </c>
      <c r="E3577">
        <v>5.4871796952322468E-3</v>
      </c>
      <c r="F3577">
        <f t="shared" si="116"/>
        <v>-2.0379969414916831E-2</v>
      </c>
      <c r="G3577">
        <f t="shared" si="117"/>
        <v>-3.2397816658146956E-2</v>
      </c>
    </row>
    <row r="3578" spans="1:144" ht="12.5" customHeight="1" x14ac:dyDescent="0.35">
      <c r="A3578" t="s">
        <v>187</v>
      </c>
      <c r="E3578">
        <v>9.218771060440405E-3</v>
      </c>
      <c r="F3578">
        <f t="shared" si="116"/>
        <v>-2.0430889033689489E-2</v>
      </c>
      <c r="G3578">
        <f t="shared" si="117"/>
        <v>-3.2397816658146956E-2</v>
      </c>
    </row>
    <row r="3579" spans="1:144" ht="12.5" customHeight="1" x14ac:dyDescent="0.35">
      <c r="A3579" t="s">
        <v>187</v>
      </c>
      <c r="E3579">
        <v>4.564641858243932E-3</v>
      </c>
      <c r="F3579">
        <f t="shared" si="116"/>
        <v>-2.0481808652462147E-2</v>
      </c>
      <c r="G3579">
        <f t="shared" si="117"/>
        <v>-3.2397816658146956E-2</v>
      </c>
    </row>
    <row r="3580" spans="1:144" ht="12.5" customHeight="1" x14ac:dyDescent="0.35">
      <c r="A3580" t="s">
        <v>187</v>
      </c>
      <c r="E3580">
        <v>9.5905495219606104E-3</v>
      </c>
      <c r="F3580">
        <f t="shared" si="116"/>
        <v>-2.0532728271234809E-2</v>
      </c>
      <c r="G3580">
        <f t="shared" si="117"/>
        <v>-3.2397816658146956E-2</v>
      </c>
    </row>
    <row r="3581" spans="1:144" ht="12.5" customHeight="1" x14ac:dyDescent="0.35">
      <c r="A3581" t="s">
        <v>187</v>
      </c>
      <c r="E3581">
        <v>6.0915460320936816E-3</v>
      </c>
      <c r="F3581">
        <f t="shared" si="116"/>
        <v>-2.0590283687538322E-2</v>
      </c>
      <c r="G3581">
        <f t="shared" si="117"/>
        <v>-3.3476461056957146E-2</v>
      </c>
    </row>
    <row r="3582" spans="1:144" ht="12.5" customHeight="1" x14ac:dyDescent="0.35">
      <c r="A3582" t="s">
        <v>187</v>
      </c>
      <c r="E3582">
        <v>1.2413756305644178E-3</v>
      </c>
      <c r="F3582">
        <f t="shared" si="116"/>
        <v>-2.0647839103841836E-2</v>
      </c>
      <c r="G3582">
        <f t="shared" si="117"/>
        <v>-3.3476461056957146E-2</v>
      </c>
    </row>
    <row r="3583" spans="1:144" ht="12.5" customHeight="1" x14ac:dyDescent="0.35">
      <c r="A3583" t="s">
        <v>187</v>
      </c>
      <c r="E3583">
        <v>-3.1945114554527137E-4</v>
      </c>
      <c r="F3583">
        <f t="shared" si="116"/>
        <v>-2.0705394520145349E-2</v>
      </c>
      <c r="G3583">
        <f t="shared" si="117"/>
        <v>-3.3476461056957146E-2</v>
      </c>
    </row>
    <row r="3584" spans="1:144" ht="12.5" customHeight="1" x14ac:dyDescent="0.35">
      <c r="A3584" t="s">
        <v>187</v>
      </c>
      <c r="E3584">
        <v>-1.6342679434963397E-2</v>
      </c>
      <c r="F3584">
        <f t="shared" si="116"/>
        <v>-2.0762949936448862E-2</v>
      </c>
      <c r="G3584">
        <f t="shared" si="117"/>
        <v>-3.3476461056957146E-2</v>
      </c>
    </row>
    <row r="3585" spans="1:144" ht="12.5" customHeight="1" x14ac:dyDescent="0.35">
      <c r="A3585" t="s">
        <v>187</v>
      </c>
      <c r="E3585">
        <v>-6.377794934614568E-3</v>
      </c>
      <c r="F3585">
        <f t="shared" si="116"/>
        <v>-2.0820505352752379E-2</v>
      </c>
      <c r="G3585">
        <f t="shared" si="117"/>
        <v>-3.3476461056957146E-2</v>
      </c>
    </row>
    <row r="3586" spans="1:144" ht="12.5" customHeight="1" x14ac:dyDescent="0.35">
      <c r="A3586" t="s">
        <v>187</v>
      </c>
      <c r="E3586">
        <v>-4.1436909359451142E-3</v>
      </c>
      <c r="F3586">
        <f t="shared" si="116"/>
        <v>-2.0878060769055889E-2</v>
      </c>
      <c r="G3586">
        <f t="shared" si="117"/>
        <v>-3.3476461056957146E-2</v>
      </c>
    </row>
    <row r="3587" spans="1:144" ht="12.5" customHeight="1" x14ac:dyDescent="0.35">
      <c r="A3587" t="s">
        <v>187</v>
      </c>
      <c r="E3587">
        <v>2.0746228867019276E-4</v>
      </c>
      <c r="F3587">
        <f t="shared" si="116"/>
        <v>-2.0935616185359406E-2</v>
      </c>
      <c r="G3587">
        <f t="shared" si="117"/>
        <v>-3.3476461056957146E-2</v>
      </c>
    </row>
    <row r="3588" spans="1:144" ht="12.5" customHeight="1" x14ac:dyDescent="0.35">
      <c r="A3588" t="s">
        <v>187</v>
      </c>
      <c r="E3588">
        <v>6.6822917990072041E-4</v>
      </c>
      <c r="F3588">
        <f t="shared" ref="F3588:F3651" si="118">_xlfn.PERCENTILE.EXC(E3588:E7403,0.05)</f>
        <v>-2.0993171601662915E-2</v>
      </c>
      <c r="G3588">
        <f t="shared" ref="G3588:G3651" si="119">AVERAGEIFS(E3588:E7404,E3588:E7404,"&lt;=" &amp; F3588)</f>
        <v>-3.3476461056957146E-2</v>
      </c>
    </row>
    <row r="3589" spans="1:144" ht="12.5" customHeight="1" x14ac:dyDescent="0.35">
      <c r="A3589" t="s">
        <v>187</v>
      </c>
      <c r="E3589">
        <v>4.8832885232888363E-3</v>
      </c>
      <c r="F3589">
        <f t="shared" si="118"/>
        <v>-2.1050727017966432E-2</v>
      </c>
      <c r="G3589">
        <f t="shared" si="119"/>
        <v>-3.3476461056957146E-2</v>
      </c>
    </row>
    <row r="3590" spans="1:144" ht="12.5" customHeight="1" x14ac:dyDescent="0.35">
      <c r="A3590" t="s">
        <v>187</v>
      </c>
      <c r="E3590">
        <v>-1.4794902453874681E-2</v>
      </c>
      <c r="F3590">
        <f t="shared" si="118"/>
        <v>-2.1108282434269945E-2</v>
      </c>
      <c r="G3590">
        <f t="shared" si="119"/>
        <v>-3.3476461056957146E-2</v>
      </c>
    </row>
    <row r="3591" spans="1:144" ht="12.5" customHeight="1" x14ac:dyDescent="0.35">
      <c r="A3591" t="s">
        <v>187</v>
      </c>
      <c r="E3591">
        <v>8.6600594783666773E-3</v>
      </c>
      <c r="F3591">
        <f t="shared" si="118"/>
        <v>-2.1165837850573459E-2</v>
      </c>
      <c r="G3591">
        <f t="shared" si="119"/>
        <v>-3.3476461056957146E-2</v>
      </c>
    </row>
    <row r="3592" spans="1:144" ht="12.5" customHeight="1" x14ac:dyDescent="0.35">
      <c r="A3592" t="s">
        <v>187</v>
      </c>
      <c r="E3592">
        <v>1.300841872108134E-3</v>
      </c>
      <c r="F3592">
        <f t="shared" si="118"/>
        <v>-2.1223393266876972E-2</v>
      </c>
      <c r="G3592">
        <f t="shared" si="119"/>
        <v>-3.3476461056957146E-2</v>
      </c>
    </row>
    <row r="3593" spans="1:144" s="3" customFormat="1" x14ac:dyDescent="0.35">
      <c r="A3593" s="3" t="s">
        <v>188</v>
      </c>
      <c r="B3593" s="3" cm="1">
        <f t="array" ref="B3593">_xlfn.STDEV.S(_xlfn._xlws.FILTER($E$2826:$E$3824, $A$2826:$A$3824="2024-06"))</f>
        <v>1.266575748906832E-2</v>
      </c>
      <c r="C3593" s="3" cm="1">
        <f t="array" ref="C3593">AVERAGE(_xlfn._xlws.FILTER($E$2826:$E$3824, $A$2826:$A$3824="2024-06"))</f>
        <v>-1.9787209359287865E-3</v>
      </c>
      <c r="D3593" s="3" cm="1">
        <f t="array" ref="D3593">_xlfn.PERCENTILE.EXC(_xlfn._xlws.FILTER($E$2490:$E$3818, $A$2490:$A$3818="2024-06"), 0.05)</f>
        <v>-2.8185145845431376E-2</v>
      </c>
      <c r="E3593" s="3">
        <v>5.1371904644968202E-3</v>
      </c>
      <c r="F3593" s="3">
        <f t="shared" si="118"/>
        <v>-2.1280948683180485E-2</v>
      </c>
      <c r="G3593" s="3">
        <f t="shared" si="119"/>
        <v>-3.3476461056957146E-2</v>
      </c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/>
      <c r="EH3593"/>
      <c r="EI3593"/>
      <c r="EJ3593"/>
      <c r="EK3593"/>
      <c r="EL3593"/>
      <c r="EM3593"/>
      <c r="EN3593"/>
    </row>
    <row r="3594" spans="1:144" ht="12.5" customHeight="1" x14ac:dyDescent="0.35">
      <c r="A3594" t="s">
        <v>188</v>
      </c>
      <c r="E3594">
        <v>-1.1430505992901177E-2</v>
      </c>
      <c r="F3594">
        <f t="shared" si="118"/>
        <v>-2.1338504099483999E-2</v>
      </c>
      <c r="G3594">
        <f t="shared" si="119"/>
        <v>-3.3476461056957146E-2</v>
      </c>
    </row>
    <row r="3595" spans="1:144" ht="12.5" customHeight="1" x14ac:dyDescent="0.35">
      <c r="A3595" t="s">
        <v>188</v>
      </c>
      <c r="E3595">
        <v>6.7405602922186673E-3</v>
      </c>
      <c r="F3595">
        <f t="shared" si="118"/>
        <v>-2.1396059515787512E-2</v>
      </c>
      <c r="G3595">
        <f t="shared" si="119"/>
        <v>-3.3476461056957146E-2</v>
      </c>
    </row>
    <row r="3596" spans="1:144" ht="12.5" customHeight="1" x14ac:dyDescent="0.35">
      <c r="A3596" t="s">
        <v>188</v>
      </c>
      <c r="E3596">
        <v>9.4159889502923571E-3</v>
      </c>
      <c r="F3596">
        <f t="shared" si="118"/>
        <v>-2.1453614932091025E-2</v>
      </c>
      <c r="G3596">
        <f t="shared" si="119"/>
        <v>-3.3476461056957146E-2</v>
      </c>
    </row>
    <row r="3597" spans="1:144" ht="12.5" customHeight="1" x14ac:dyDescent="0.35">
      <c r="A3597" t="s">
        <v>188</v>
      </c>
      <c r="E3597">
        <v>-5.0052856736562141E-3</v>
      </c>
      <c r="F3597">
        <f t="shared" si="118"/>
        <v>-2.1511170348394542E-2</v>
      </c>
      <c r="G3597">
        <f t="shared" si="119"/>
        <v>-3.3476461056957146E-2</v>
      </c>
    </row>
    <row r="3598" spans="1:144" ht="12.5" customHeight="1" x14ac:dyDescent="0.35">
      <c r="A3598" t="s">
        <v>188</v>
      </c>
      <c r="E3598">
        <v>-3.4209834498946244E-3</v>
      </c>
      <c r="F3598">
        <f t="shared" si="118"/>
        <v>-2.1568725764698052E-2</v>
      </c>
      <c r="G3598">
        <f t="shared" si="119"/>
        <v>-3.3476461056957146E-2</v>
      </c>
    </row>
    <row r="3599" spans="1:144" ht="12.5" customHeight="1" x14ac:dyDescent="0.35">
      <c r="A3599" t="s">
        <v>188</v>
      </c>
      <c r="E3599">
        <v>-1.9514335895781623E-2</v>
      </c>
      <c r="F3599">
        <f t="shared" si="118"/>
        <v>-2.1626281181001569E-2</v>
      </c>
      <c r="G3599">
        <f t="shared" si="119"/>
        <v>-3.3476461056957146E-2</v>
      </c>
    </row>
    <row r="3600" spans="1:144" ht="12.5" customHeight="1" x14ac:dyDescent="0.35">
      <c r="A3600" t="s">
        <v>188</v>
      </c>
      <c r="E3600">
        <v>1.419711678540859E-2</v>
      </c>
      <c r="F3600">
        <f t="shared" si="118"/>
        <v>-2.1683836597305082E-2</v>
      </c>
      <c r="G3600">
        <f t="shared" si="119"/>
        <v>-3.3476461056957146E-2</v>
      </c>
    </row>
    <row r="3601" spans="1:144" ht="12.5" customHeight="1" x14ac:dyDescent="0.35">
      <c r="A3601" t="s">
        <v>188</v>
      </c>
      <c r="E3601">
        <v>-2.2039866544345026E-2</v>
      </c>
      <c r="F3601">
        <f t="shared" si="118"/>
        <v>-2.170163809465708E-2</v>
      </c>
      <c r="G3601">
        <f t="shared" si="119"/>
        <v>-3.4655723502922356E-2</v>
      </c>
    </row>
    <row r="3602" spans="1:144" ht="12.5" customHeight="1" x14ac:dyDescent="0.35">
      <c r="A3602" t="s">
        <v>188</v>
      </c>
      <c r="E3602">
        <v>-2.8508581598120131E-2</v>
      </c>
      <c r="F3602">
        <f t="shared" si="118"/>
        <v>-2.0647839103841836E-2</v>
      </c>
      <c r="G3602">
        <f t="shared" si="119"/>
        <v>-3.4620120508218361E-2</v>
      </c>
    </row>
    <row r="3603" spans="1:144" ht="12.5" customHeight="1" x14ac:dyDescent="0.35">
      <c r="A3603" t="s">
        <v>188</v>
      </c>
      <c r="E3603">
        <v>7.4067115214307708E-3</v>
      </c>
      <c r="F3603">
        <f t="shared" si="118"/>
        <v>-1.8387754667687731E-2</v>
      </c>
      <c r="G3603">
        <f t="shared" si="119"/>
        <v>-3.3822535175529828E-2</v>
      </c>
    </row>
    <row r="3604" spans="1:144" ht="12.5" customHeight="1" x14ac:dyDescent="0.35">
      <c r="A3604" t="s">
        <v>188</v>
      </c>
      <c r="E3604">
        <v>1.2310848339455867E-2</v>
      </c>
      <c r="F3604">
        <f t="shared" si="118"/>
        <v>-1.8513929585543442E-2</v>
      </c>
      <c r="G3604">
        <f t="shared" si="119"/>
        <v>-3.3822535175529828E-2</v>
      </c>
    </row>
    <row r="3605" spans="1:144" ht="12.5" customHeight="1" x14ac:dyDescent="0.35">
      <c r="A3605" t="s">
        <v>188</v>
      </c>
      <c r="E3605">
        <v>-2.8667211628854257E-3</v>
      </c>
      <c r="F3605">
        <f t="shared" si="118"/>
        <v>-1.8640104503399153E-2</v>
      </c>
      <c r="G3605">
        <f t="shared" si="119"/>
        <v>-3.3822535175529828E-2</v>
      </c>
    </row>
    <row r="3606" spans="1:144" ht="12.5" customHeight="1" x14ac:dyDescent="0.35">
      <c r="A3606" t="s">
        <v>188</v>
      </c>
      <c r="E3606">
        <v>1.3598740760008428E-2</v>
      </c>
      <c r="F3606">
        <f t="shared" si="118"/>
        <v>-1.8766279421254861E-2</v>
      </c>
      <c r="G3606">
        <f t="shared" si="119"/>
        <v>-3.3822535175529828E-2</v>
      </c>
    </row>
    <row r="3607" spans="1:144" ht="12.5" customHeight="1" x14ac:dyDescent="0.35">
      <c r="A3607" t="s">
        <v>188</v>
      </c>
      <c r="E3607">
        <v>-1.0939450953772925E-2</v>
      </c>
      <c r="F3607">
        <f t="shared" si="118"/>
        <v>-1.8892454339110576E-2</v>
      </c>
      <c r="G3607">
        <f t="shared" si="119"/>
        <v>-3.3822535175529828E-2</v>
      </c>
    </row>
    <row r="3608" spans="1:144" ht="12.5" customHeight="1" x14ac:dyDescent="0.35">
      <c r="A3608" t="s">
        <v>188</v>
      </c>
      <c r="E3608">
        <v>1.5672384037443327E-2</v>
      </c>
      <c r="F3608">
        <f t="shared" si="118"/>
        <v>-1.9018629256966284E-2</v>
      </c>
      <c r="G3608">
        <f t="shared" si="119"/>
        <v>-3.3822535175529828E-2</v>
      </c>
    </row>
    <row r="3609" spans="1:144" ht="12.5" customHeight="1" x14ac:dyDescent="0.35">
      <c r="A3609" t="s">
        <v>188</v>
      </c>
      <c r="E3609">
        <v>-3.7813486506162058E-3</v>
      </c>
      <c r="F3609">
        <f t="shared" si="118"/>
        <v>-1.9144804174821995E-2</v>
      </c>
      <c r="G3609">
        <f t="shared" si="119"/>
        <v>-3.3822535175529828E-2</v>
      </c>
    </row>
    <row r="3610" spans="1:144" ht="12.5" customHeight="1" x14ac:dyDescent="0.35">
      <c r="A3610" t="s">
        <v>188</v>
      </c>
      <c r="E3610">
        <v>-4.9139724206537488E-3</v>
      </c>
      <c r="F3610">
        <f t="shared" si="118"/>
        <v>-1.9270979092677706E-2</v>
      </c>
      <c r="G3610">
        <f t="shared" si="119"/>
        <v>-3.3822535175529828E-2</v>
      </c>
    </row>
    <row r="3611" spans="1:144" ht="12.5" customHeight="1" x14ac:dyDescent="0.35">
      <c r="A3611" t="s">
        <v>188</v>
      </c>
      <c r="E3611">
        <v>-1.0642870222968941E-2</v>
      </c>
      <c r="F3611">
        <f t="shared" si="118"/>
        <v>-1.9397154010533414E-2</v>
      </c>
      <c r="G3611">
        <f t="shared" si="119"/>
        <v>-3.3822535175529828E-2</v>
      </c>
    </row>
    <row r="3612" spans="1:144" ht="12.5" customHeight="1" x14ac:dyDescent="0.35">
      <c r="A3612" t="s">
        <v>188</v>
      </c>
      <c r="E3612">
        <v>-9.900373037345137E-4</v>
      </c>
      <c r="F3612">
        <f t="shared" si="118"/>
        <v>-1.9523328928389126E-2</v>
      </c>
      <c r="G3612">
        <f t="shared" si="119"/>
        <v>-3.3822535175529828E-2</v>
      </c>
    </row>
    <row r="3613" spans="1:144" s="3" customFormat="1" x14ac:dyDescent="0.35">
      <c r="A3613" s="3" t="s">
        <v>189</v>
      </c>
      <c r="B3613" s="3" cm="1">
        <f t="array" ref="B3613">_xlfn.STDEV.S(_xlfn._xlws.FILTER($E$2826:$E$3824, $A$2826:$A$3824="2024-07"))</f>
        <v>8.496997751476618E-3</v>
      </c>
      <c r="C3613" s="3" cm="1">
        <f t="array" ref="C3613">AVERAGE(_xlfn._xlws.FILTER($E$2826:$E$3824, $A$2826:$A$3824="2024-07"))</f>
        <v>7.9243993780609627E-4</v>
      </c>
      <c r="D3613" s="3" cm="1">
        <f t="array" ref="D3613">_xlfn.PERCENTILE.EXC(_xlfn._xlws.FILTER($E$2490:$E$3818, $A$2490:$A$3818="2024-07"), 0.05)</f>
        <v>-1.824910678969081E-2</v>
      </c>
      <c r="E3613" s="3">
        <v>1.6823637026563039E-2</v>
      </c>
      <c r="F3613" s="3">
        <f t="shared" si="118"/>
        <v>-1.9649503846244833E-2</v>
      </c>
      <c r="G3613" s="3">
        <f t="shared" si="119"/>
        <v>-3.3822535175529828E-2</v>
      </c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  <c r="DX3613"/>
      <c r="DY3613"/>
      <c r="DZ3613"/>
      <c r="EA3613"/>
      <c r="EB3613"/>
      <c r="EC3613"/>
      <c r="ED3613"/>
      <c r="EE3613"/>
      <c r="EF3613"/>
      <c r="EG3613"/>
      <c r="EH3613"/>
      <c r="EI3613"/>
      <c r="EJ3613"/>
      <c r="EK3613"/>
      <c r="EL3613"/>
      <c r="EM3613"/>
      <c r="EN3613"/>
    </row>
    <row r="3614" spans="1:144" ht="12.5" customHeight="1" x14ac:dyDescent="0.35">
      <c r="A3614" t="s">
        <v>189</v>
      </c>
      <c r="E3614">
        <v>-6.9984573851840978E-3</v>
      </c>
      <c r="F3614">
        <f t="shared" si="118"/>
        <v>-1.9775678764100545E-2</v>
      </c>
      <c r="G3614">
        <f t="shared" si="119"/>
        <v>-3.3822535175529828E-2</v>
      </c>
    </row>
    <row r="3615" spans="1:144" ht="12.5" customHeight="1" x14ac:dyDescent="0.35">
      <c r="A3615" t="s">
        <v>189</v>
      </c>
      <c r="E3615">
        <v>1.0799739879821498E-2</v>
      </c>
      <c r="F3615">
        <f t="shared" si="118"/>
        <v>-1.9901853681956259E-2</v>
      </c>
      <c r="G3615">
        <f t="shared" si="119"/>
        <v>-3.3822535175529828E-2</v>
      </c>
    </row>
    <row r="3616" spans="1:144" ht="12.5" customHeight="1" x14ac:dyDescent="0.35">
      <c r="A3616" t="s">
        <v>189</v>
      </c>
      <c r="E3616">
        <v>7.6838144578325121E-3</v>
      </c>
      <c r="F3616">
        <f t="shared" si="118"/>
        <v>-2.0028028599811964E-2</v>
      </c>
      <c r="G3616">
        <f t="shared" si="119"/>
        <v>-3.3822535175529828E-2</v>
      </c>
    </row>
    <row r="3617" spans="1:7" ht="12.5" customHeight="1" x14ac:dyDescent="0.35">
      <c r="A3617" t="s">
        <v>189</v>
      </c>
      <c r="E3617">
        <v>-3.475803309230239E-3</v>
      </c>
      <c r="F3617">
        <f t="shared" si="118"/>
        <v>-2.0154203517667679E-2</v>
      </c>
      <c r="G3617">
        <f t="shared" si="119"/>
        <v>-3.3822535175529828E-2</v>
      </c>
    </row>
    <row r="3618" spans="1:7" ht="12.5" customHeight="1" x14ac:dyDescent="0.35">
      <c r="A3618" t="s">
        <v>189</v>
      </c>
      <c r="E3618">
        <v>1.7306003756894037E-3</v>
      </c>
      <c r="F3618">
        <f t="shared" si="118"/>
        <v>-2.0280378435523386E-2</v>
      </c>
      <c r="G3618">
        <f t="shared" si="119"/>
        <v>-3.3822535175529828E-2</v>
      </c>
    </row>
    <row r="3619" spans="1:7" ht="12.5" customHeight="1" x14ac:dyDescent="0.35">
      <c r="A3619" t="s">
        <v>189</v>
      </c>
      <c r="E3619">
        <v>-5.3620299927769162E-3</v>
      </c>
      <c r="F3619">
        <f t="shared" si="118"/>
        <v>-2.0406553353379098E-2</v>
      </c>
      <c r="G3619">
        <f t="shared" si="119"/>
        <v>-3.3822535175529828E-2</v>
      </c>
    </row>
    <row r="3620" spans="1:7" ht="12.5" customHeight="1" x14ac:dyDescent="0.35">
      <c r="A3620" t="s">
        <v>189</v>
      </c>
      <c r="E3620">
        <v>1.296554351972571E-2</v>
      </c>
      <c r="F3620">
        <f t="shared" si="118"/>
        <v>-2.0532728271234809E-2</v>
      </c>
      <c r="G3620">
        <f t="shared" si="119"/>
        <v>-3.3822535175529828E-2</v>
      </c>
    </row>
    <row r="3621" spans="1:7" ht="12.5" customHeight="1" x14ac:dyDescent="0.35">
      <c r="A3621" t="s">
        <v>189</v>
      </c>
      <c r="E3621">
        <v>3.4127748565797929E-4</v>
      </c>
      <c r="F3621">
        <f t="shared" si="118"/>
        <v>-2.0590283687538322E-2</v>
      </c>
      <c r="G3621">
        <f t="shared" si="119"/>
        <v>-3.5299180387118163E-2</v>
      </c>
    </row>
    <row r="3622" spans="1:7" ht="12.5" customHeight="1" x14ac:dyDescent="0.35">
      <c r="A3622" t="s">
        <v>189</v>
      </c>
      <c r="E3622">
        <v>7.6173145627784801E-3</v>
      </c>
      <c r="F3622">
        <f t="shared" si="118"/>
        <v>-2.0647839103841836E-2</v>
      </c>
      <c r="G3622">
        <f t="shared" si="119"/>
        <v>-3.5299180387118163E-2</v>
      </c>
    </row>
    <row r="3623" spans="1:7" ht="12.5" customHeight="1" x14ac:dyDescent="0.35">
      <c r="A3623" t="s">
        <v>189</v>
      </c>
      <c r="E3623">
        <v>-5.9341984711065599E-3</v>
      </c>
      <c r="F3623">
        <f t="shared" si="118"/>
        <v>-2.0705394520145349E-2</v>
      </c>
      <c r="G3623">
        <f t="shared" si="119"/>
        <v>-3.5299180387118163E-2</v>
      </c>
    </row>
    <row r="3624" spans="1:7" ht="12.5" customHeight="1" x14ac:dyDescent="0.35">
      <c r="A3624" t="s">
        <v>189</v>
      </c>
      <c r="E3624">
        <v>-1.9579574522455304E-4</v>
      </c>
      <c r="F3624">
        <f t="shared" si="118"/>
        <v>-2.0762949936448862E-2</v>
      </c>
      <c r="G3624">
        <f t="shared" si="119"/>
        <v>-3.5299180387118163E-2</v>
      </c>
    </row>
    <row r="3625" spans="1:7" ht="12.5" customHeight="1" x14ac:dyDescent="0.35">
      <c r="A3625" t="s">
        <v>189</v>
      </c>
      <c r="E3625">
        <v>3.0400517595654598E-4</v>
      </c>
      <c r="F3625">
        <f t="shared" si="118"/>
        <v>-2.0820505352752379E-2</v>
      </c>
      <c r="G3625">
        <f t="shared" si="119"/>
        <v>-3.5299180387118163E-2</v>
      </c>
    </row>
    <row r="3626" spans="1:7" ht="12.5" customHeight="1" x14ac:dyDescent="0.35">
      <c r="A3626" t="s">
        <v>189</v>
      </c>
      <c r="E3626">
        <v>4.3387869066087419E-3</v>
      </c>
      <c r="F3626">
        <f t="shared" si="118"/>
        <v>-2.0878060769055889E-2</v>
      </c>
      <c r="G3626">
        <f t="shared" si="119"/>
        <v>-3.5299180387118163E-2</v>
      </c>
    </row>
    <row r="3627" spans="1:7" ht="12.5" customHeight="1" x14ac:dyDescent="0.35">
      <c r="A3627" t="s">
        <v>189</v>
      </c>
      <c r="E3627">
        <v>-9.1146208635148277E-3</v>
      </c>
      <c r="F3627">
        <f t="shared" si="118"/>
        <v>-2.0935616185359406E-2</v>
      </c>
      <c r="G3627">
        <f t="shared" si="119"/>
        <v>-3.5299180387118163E-2</v>
      </c>
    </row>
    <row r="3628" spans="1:7" ht="12.5" customHeight="1" x14ac:dyDescent="0.35">
      <c r="A3628" t="s">
        <v>189</v>
      </c>
      <c r="E3628">
        <v>1.1599863850654406E-2</v>
      </c>
      <c r="F3628">
        <f t="shared" si="118"/>
        <v>-2.0993171601662915E-2</v>
      </c>
      <c r="G3628">
        <f t="shared" si="119"/>
        <v>-3.5299180387118163E-2</v>
      </c>
    </row>
    <row r="3629" spans="1:7" ht="12.5" customHeight="1" x14ac:dyDescent="0.35">
      <c r="A3629" t="s">
        <v>189</v>
      </c>
      <c r="E3629">
        <v>6.555691845810341E-4</v>
      </c>
      <c r="F3629">
        <f t="shared" si="118"/>
        <v>-2.1050727017966432E-2</v>
      </c>
      <c r="G3629">
        <f t="shared" si="119"/>
        <v>-3.5299180387118163E-2</v>
      </c>
    </row>
    <row r="3630" spans="1:7" ht="12.5" customHeight="1" x14ac:dyDescent="0.35">
      <c r="A3630" t="s">
        <v>189</v>
      </c>
      <c r="E3630">
        <v>-4.8068806798159036E-3</v>
      </c>
      <c r="F3630">
        <f t="shared" si="118"/>
        <v>-2.1108282434269945E-2</v>
      </c>
      <c r="G3630">
        <f t="shared" si="119"/>
        <v>-3.5299180387118163E-2</v>
      </c>
    </row>
    <row r="3631" spans="1:7" ht="12.5" customHeight="1" x14ac:dyDescent="0.35">
      <c r="A3631" t="s">
        <v>189</v>
      </c>
      <c r="E3631">
        <v>-2.0532728271234809E-2</v>
      </c>
      <c r="F3631">
        <f t="shared" si="118"/>
        <v>-2.1165837850573459E-2</v>
      </c>
      <c r="G3631">
        <f t="shared" si="119"/>
        <v>-3.5299180387118163E-2</v>
      </c>
    </row>
    <row r="3632" spans="1:7" ht="12.5" customHeight="1" x14ac:dyDescent="0.35">
      <c r="A3632" t="s">
        <v>189</v>
      </c>
      <c r="E3632">
        <v>1.2242632904738632E-3</v>
      </c>
      <c r="F3632">
        <f t="shared" si="118"/>
        <v>-2.0213993924031289E-2</v>
      </c>
      <c r="G3632">
        <f t="shared" si="119"/>
        <v>-3.5299180387118163E-2</v>
      </c>
    </row>
    <row r="3633" spans="1:144" ht="12.5" customHeight="1" x14ac:dyDescent="0.35">
      <c r="A3633" t="s">
        <v>189</v>
      </c>
      <c r="E3633">
        <v>-5.0882743047466986E-3</v>
      </c>
      <c r="F3633">
        <f t="shared" si="118"/>
        <v>-2.0397724258190517E-2</v>
      </c>
      <c r="G3633">
        <f t="shared" si="119"/>
        <v>-3.5299180387118163E-2</v>
      </c>
    </row>
    <row r="3634" spans="1:144" ht="12.5" customHeight="1" x14ac:dyDescent="0.35">
      <c r="A3634" t="s">
        <v>189</v>
      </c>
      <c r="E3634">
        <v>7.911056768596117E-3</v>
      </c>
      <c r="F3634">
        <f t="shared" si="118"/>
        <v>-2.0581454592349734E-2</v>
      </c>
      <c r="G3634">
        <f t="shared" si="119"/>
        <v>-3.5299180387118163E-2</v>
      </c>
    </row>
    <row r="3635" spans="1:144" ht="12.5" customHeight="1" x14ac:dyDescent="0.35">
      <c r="A3635" t="s">
        <v>189</v>
      </c>
      <c r="E3635">
        <v>-4.260564892564509E-3</v>
      </c>
      <c r="F3635">
        <f t="shared" si="118"/>
        <v>-2.0765184926508962E-2</v>
      </c>
      <c r="G3635">
        <f t="shared" si="119"/>
        <v>-3.5299180387118163E-2</v>
      </c>
    </row>
    <row r="3636" spans="1:144" s="3" customFormat="1" x14ac:dyDescent="0.35">
      <c r="A3636" s="3" t="s">
        <v>190</v>
      </c>
      <c r="B3636" s="3" cm="1">
        <f t="array" ref="B3636">_xlfn.STDEV.S(_xlfn._xlws.FILTER($E$2826:$E$3824, $A$2826:$A$3824="2024-08"))</f>
        <v>1.3502686094008424E-2</v>
      </c>
      <c r="C3636" s="3" cm="1">
        <f t="array" ref="C3636">AVERAGE(_xlfn._xlws.FILTER($E$2826:$E$3824, $A$2826:$A$3824="2024-08"))</f>
        <v>8.9353860932666414E-4</v>
      </c>
      <c r="D3636" s="3" cm="1">
        <f t="array" ref="D3636">_xlfn.PERCENTILE.EXC(_xlfn._xlws.FILTER($E$2490:$E$3818, $A$2490:$A$3818="2024-08"), 0.05)</f>
        <v>-2.7145147890274599E-2</v>
      </c>
      <c r="E3636" s="3">
        <v>-2.7213100724597844E-2</v>
      </c>
      <c r="F3636" s="3">
        <f t="shared" si="118"/>
        <v>-2.0948915260668183E-2</v>
      </c>
      <c r="G3636" s="3">
        <f t="shared" si="119"/>
        <v>-3.5299180387118163E-2</v>
      </c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  <c r="DX3636"/>
      <c r="DY3636"/>
      <c r="DZ3636"/>
      <c r="EA3636"/>
      <c r="EB3636"/>
      <c r="EC3636"/>
      <c r="ED3636"/>
      <c r="EE3636"/>
      <c r="EF3636"/>
      <c r="EG3636"/>
      <c r="EH3636"/>
      <c r="EI3636"/>
      <c r="EJ3636"/>
      <c r="EK3636"/>
      <c r="EL3636"/>
      <c r="EM3636"/>
      <c r="EN3636"/>
    </row>
    <row r="3637" spans="1:144" ht="12.5" customHeight="1" x14ac:dyDescent="0.35">
      <c r="A3637" t="s">
        <v>190</v>
      </c>
      <c r="E3637">
        <v>-2.5854044038132948E-2</v>
      </c>
      <c r="F3637">
        <f t="shared" si="118"/>
        <v>-1.7993026340586107E-2</v>
      </c>
      <c r="G3637">
        <f t="shared" si="119"/>
        <v>-3.427652807484291E-2</v>
      </c>
    </row>
    <row r="3638" spans="1:144" ht="12.5" customHeight="1" x14ac:dyDescent="0.35">
      <c r="A3638" t="s">
        <v>190</v>
      </c>
      <c r="E3638">
        <v>-2.2912807563294675E-2</v>
      </c>
      <c r="F3638">
        <f t="shared" si="118"/>
        <v>-1.786019830142524E-2</v>
      </c>
      <c r="G3638">
        <f t="shared" si="119"/>
        <v>-3.3392879414001174E-2</v>
      </c>
    </row>
    <row r="3639" spans="1:144" ht="12.5" customHeight="1" x14ac:dyDescent="0.35">
      <c r="A3639" t="s">
        <v>190</v>
      </c>
      <c r="E3639">
        <v>-5.9739939995149764E-3</v>
      </c>
      <c r="F3639">
        <f t="shared" si="118"/>
        <v>-1.7393255157630304E-2</v>
      </c>
      <c r="G3639">
        <f t="shared" si="119"/>
        <v>-3.279047059577251E-2</v>
      </c>
    </row>
    <row r="3640" spans="1:144" ht="12.5" customHeight="1" x14ac:dyDescent="0.35">
      <c r="A3640" t="s">
        <v>190</v>
      </c>
      <c r="E3640">
        <v>2.3023710327273083E-2</v>
      </c>
      <c r="F3640">
        <f t="shared" si="118"/>
        <v>-1.7491128199236722E-2</v>
      </c>
      <c r="G3640">
        <f t="shared" si="119"/>
        <v>-3.279047059577251E-2</v>
      </c>
    </row>
    <row r="3641" spans="1:144" ht="12.5" customHeight="1" x14ac:dyDescent="0.35">
      <c r="A3641" t="s">
        <v>190</v>
      </c>
      <c r="E3641">
        <v>-2.8228739652049768E-3</v>
      </c>
      <c r="F3641">
        <f t="shared" si="118"/>
        <v>-1.7511632093802749E-2</v>
      </c>
      <c r="G3641">
        <f t="shared" si="119"/>
        <v>-3.4702888395339485E-2</v>
      </c>
    </row>
    <row r="3642" spans="1:144" ht="12.5" customHeight="1" x14ac:dyDescent="0.35">
      <c r="A3642" t="s">
        <v>190</v>
      </c>
      <c r="E3642">
        <v>1.2694388437074664E-3</v>
      </c>
      <c r="F3642">
        <f t="shared" si="118"/>
        <v>-1.753213598836878E-2</v>
      </c>
      <c r="G3642">
        <f t="shared" si="119"/>
        <v>-3.4702888395339485E-2</v>
      </c>
    </row>
    <row r="3643" spans="1:144" ht="12.5" customHeight="1" x14ac:dyDescent="0.35">
      <c r="A3643" t="s">
        <v>190</v>
      </c>
      <c r="E3643">
        <v>4.5860616819826351E-3</v>
      </c>
      <c r="F3643">
        <f t="shared" si="118"/>
        <v>-1.755263988293481E-2</v>
      </c>
      <c r="G3643">
        <f t="shared" si="119"/>
        <v>-3.4702888395339485E-2</v>
      </c>
    </row>
    <row r="3644" spans="1:144" ht="12.5" customHeight="1" x14ac:dyDescent="0.35">
      <c r="A3644" t="s">
        <v>190</v>
      </c>
      <c r="E3644">
        <v>2.4440547417885349E-3</v>
      </c>
      <c r="F3644">
        <f t="shared" si="118"/>
        <v>-1.7573143777500837E-2</v>
      </c>
      <c r="G3644">
        <f t="shared" si="119"/>
        <v>-3.4702888395339485E-2</v>
      </c>
    </row>
    <row r="3645" spans="1:144" ht="12.5" customHeight="1" x14ac:dyDescent="0.35">
      <c r="A3645" t="s">
        <v>190</v>
      </c>
      <c r="E3645">
        <v>9.9972107751285597E-3</v>
      </c>
      <c r="F3645">
        <f t="shared" si="118"/>
        <v>-1.7593647672066864E-2</v>
      </c>
      <c r="G3645">
        <f t="shared" si="119"/>
        <v>-3.4702888395339485E-2</v>
      </c>
    </row>
    <row r="3646" spans="1:144" ht="12.5" customHeight="1" x14ac:dyDescent="0.35">
      <c r="A3646" t="s">
        <v>190</v>
      </c>
      <c r="E3646">
        <v>2.1808808326906501E-2</v>
      </c>
      <c r="F3646">
        <f t="shared" si="118"/>
        <v>-1.7614151566632895E-2</v>
      </c>
      <c r="G3646">
        <f t="shared" si="119"/>
        <v>-3.4702888395339485E-2</v>
      </c>
    </row>
    <row r="3647" spans="1:144" ht="12.5" customHeight="1" x14ac:dyDescent="0.35">
      <c r="A3647" t="s">
        <v>190</v>
      </c>
      <c r="E3647">
        <v>6.8020096625575925E-3</v>
      </c>
      <c r="F3647">
        <f t="shared" si="118"/>
        <v>-1.7634655461198922E-2</v>
      </c>
      <c r="G3647">
        <f t="shared" si="119"/>
        <v>-3.4702888395339485E-2</v>
      </c>
    </row>
    <row r="3648" spans="1:144" ht="12.5" customHeight="1" x14ac:dyDescent="0.35">
      <c r="A3648" t="s">
        <v>190</v>
      </c>
      <c r="E3648">
        <v>-5.7490186521107966E-3</v>
      </c>
      <c r="F3648">
        <f t="shared" si="118"/>
        <v>-1.7655159355764952E-2</v>
      </c>
      <c r="G3648">
        <f t="shared" si="119"/>
        <v>-3.4702888395339485E-2</v>
      </c>
    </row>
    <row r="3649" spans="1:144" ht="12.5" customHeight="1" x14ac:dyDescent="0.35">
      <c r="A3649" t="s">
        <v>190</v>
      </c>
      <c r="E3649">
        <v>7.1335451326414046E-3</v>
      </c>
      <c r="F3649">
        <f t="shared" si="118"/>
        <v>-1.7675663250330979E-2</v>
      </c>
      <c r="G3649">
        <f t="shared" si="119"/>
        <v>-3.4702888395339485E-2</v>
      </c>
    </row>
    <row r="3650" spans="1:144" ht="12.5" customHeight="1" x14ac:dyDescent="0.35">
      <c r="A3650" t="s">
        <v>190</v>
      </c>
      <c r="E3650">
        <v>-4.4428874332833214E-5</v>
      </c>
      <c r="F3650">
        <f t="shared" si="118"/>
        <v>-1.769616714489701E-2</v>
      </c>
      <c r="G3650">
        <f t="shared" si="119"/>
        <v>-3.4702888395339485E-2</v>
      </c>
    </row>
    <row r="3651" spans="1:144" ht="12.5" customHeight="1" x14ac:dyDescent="0.35">
      <c r="A3651" t="s">
        <v>190</v>
      </c>
      <c r="E3651">
        <v>1.0132536724393394E-2</v>
      </c>
      <c r="F3651">
        <f t="shared" si="118"/>
        <v>-1.7716671039463037E-2</v>
      </c>
      <c r="G3651">
        <f t="shared" si="119"/>
        <v>-3.4702888395339485E-2</v>
      </c>
    </row>
    <row r="3652" spans="1:144" ht="12.5" customHeight="1" x14ac:dyDescent="0.35">
      <c r="A3652" t="s">
        <v>190</v>
      </c>
      <c r="E3652">
        <v>3.8152786860579601E-3</v>
      </c>
      <c r="F3652">
        <f t="shared" ref="F3652:F3715" si="120">_xlfn.PERCENTILE.EXC(E3652:E7467,0.05)</f>
        <v>-1.7737174934029067E-2</v>
      </c>
      <c r="G3652">
        <f t="shared" ref="G3652:G3715" si="121">AVERAGEIFS(E3652:E7468,E3652:E7468,"&lt;=" &amp; F3652)</f>
        <v>-3.4702888395339485E-2</v>
      </c>
    </row>
    <row r="3653" spans="1:144" ht="12.5" customHeight="1" x14ac:dyDescent="0.35">
      <c r="A3653" t="s">
        <v>190</v>
      </c>
      <c r="E3653">
        <v>2.9929588097181237E-3</v>
      </c>
      <c r="F3653">
        <f t="shared" si="120"/>
        <v>-1.7757678828595098E-2</v>
      </c>
      <c r="G3653">
        <f t="shared" si="121"/>
        <v>-3.4702888395339485E-2</v>
      </c>
    </row>
    <row r="3654" spans="1:144" ht="12.5" customHeight="1" x14ac:dyDescent="0.35">
      <c r="A3654" t="s">
        <v>190</v>
      </c>
      <c r="E3654">
        <v>9.167107792000603E-3</v>
      </c>
      <c r="F3654">
        <f t="shared" si="120"/>
        <v>-1.7778182723161125E-2</v>
      </c>
      <c r="G3654">
        <f t="shared" si="121"/>
        <v>-3.4702888395339485E-2</v>
      </c>
    </row>
    <row r="3655" spans="1:144" ht="12.5" customHeight="1" x14ac:dyDescent="0.35">
      <c r="A3655" t="s">
        <v>190</v>
      </c>
      <c r="E3655">
        <v>5.2683184995664847E-3</v>
      </c>
      <c r="F3655">
        <f t="shared" si="120"/>
        <v>-1.7798686617727155E-2</v>
      </c>
      <c r="G3655">
        <f t="shared" si="121"/>
        <v>-3.4702888395339485E-2</v>
      </c>
    </row>
    <row r="3656" spans="1:144" s="3" customFormat="1" x14ac:dyDescent="0.35">
      <c r="A3656" s="3" t="s">
        <v>191</v>
      </c>
      <c r="B3656" s="3" cm="1">
        <f t="array" ref="B3656">_xlfn.STDEV.S(_xlfn._xlws.FILTER($E$2826:$E$3824, $A$2826:$A$3824="2024-09"))</f>
        <v>8.9529876766194574E-3</v>
      </c>
      <c r="C3656" s="3" cm="1">
        <f t="array" ref="C3656">AVERAGE(_xlfn._xlws.FILTER($E$2826:$E$3824, $A$2826:$A$3824="2024-09"))</f>
        <v>-3.4399520702591951E-4</v>
      </c>
      <c r="D3656" s="3" cm="1">
        <f t="array" ref="D3656">_xlfn.PERCENTILE.EXC(_xlfn._xlws.FILTER($E$2490:$E$3818, $A$2490:$A$3818="2024-09"), 0.05)</f>
        <v>-1.7083023973461314E-2</v>
      </c>
      <c r="E3656" s="3">
        <v>-1.5160148868356906E-3</v>
      </c>
      <c r="F3656" s="3">
        <f t="shared" si="120"/>
        <v>-1.7819190512293182E-2</v>
      </c>
      <c r="G3656" s="3">
        <f t="shared" si="121"/>
        <v>-3.4702888395339485E-2</v>
      </c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  <c r="DE3656"/>
      <c r="DF3656"/>
      <c r="DG3656"/>
      <c r="DH3656"/>
      <c r="DI3656"/>
      <c r="DJ3656"/>
      <c r="DK3656"/>
      <c r="DL3656"/>
      <c r="DM3656"/>
      <c r="DN3656"/>
      <c r="DO3656"/>
      <c r="DP3656"/>
      <c r="DQ3656"/>
      <c r="DR3656"/>
      <c r="DS3656"/>
      <c r="DT3656"/>
      <c r="DU3656"/>
      <c r="DV3656"/>
      <c r="DW3656"/>
      <c r="DX3656"/>
      <c r="DY3656"/>
      <c r="DZ3656"/>
      <c r="EA3656"/>
      <c r="EB3656"/>
      <c r="EC3656"/>
      <c r="ED3656"/>
      <c r="EE3656"/>
      <c r="EF3656"/>
      <c r="EG3656"/>
      <c r="EH3656"/>
      <c r="EI3656"/>
      <c r="EJ3656"/>
      <c r="EK3656"/>
      <c r="EL3656"/>
      <c r="EM3656"/>
      <c r="EN3656"/>
    </row>
    <row r="3657" spans="1:144" ht="12.5" customHeight="1" x14ac:dyDescent="0.35">
      <c r="A3657" t="s">
        <v>191</v>
      </c>
      <c r="E3657">
        <v>-1.3410085941482649E-2</v>
      </c>
      <c r="F3657">
        <f t="shared" si="120"/>
        <v>-1.7839694406859209E-2</v>
      </c>
      <c r="G3657">
        <f t="shared" si="121"/>
        <v>-3.4702888395339485E-2</v>
      </c>
    </row>
    <row r="3658" spans="1:144" ht="12.5" customHeight="1" x14ac:dyDescent="0.35">
      <c r="A3658" t="s">
        <v>191</v>
      </c>
      <c r="E3658">
        <v>-5.3643817822983239E-3</v>
      </c>
      <c r="F3658">
        <f t="shared" si="120"/>
        <v>-1.786019830142524E-2</v>
      </c>
      <c r="G3658">
        <f t="shared" si="121"/>
        <v>-3.4702888395339485E-2</v>
      </c>
    </row>
    <row r="3659" spans="1:144" ht="12.5" customHeight="1" x14ac:dyDescent="0.35">
      <c r="A3659" t="s">
        <v>191</v>
      </c>
      <c r="E3659">
        <v>7.5407773508365884E-5</v>
      </c>
      <c r="F3659">
        <f t="shared" si="120"/>
        <v>-1.7880702195991267E-2</v>
      </c>
      <c r="G3659">
        <f t="shared" si="121"/>
        <v>-3.4702888395339485E-2</v>
      </c>
    </row>
    <row r="3660" spans="1:144" ht="12.5" customHeight="1" x14ac:dyDescent="0.35">
      <c r="A3660" t="s">
        <v>191</v>
      </c>
      <c r="E3660">
        <v>-1.1747892038341366E-2</v>
      </c>
      <c r="F3660">
        <f t="shared" si="120"/>
        <v>-1.7901206090557297E-2</v>
      </c>
      <c r="G3660">
        <f t="shared" si="121"/>
        <v>-3.4702888395339485E-2</v>
      </c>
    </row>
    <row r="3661" spans="1:144" ht="12.5" customHeight="1" x14ac:dyDescent="0.35">
      <c r="A3661" t="s">
        <v>191</v>
      </c>
      <c r="E3661">
        <v>8.9397206372979609E-3</v>
      </c>
      <c r="F3661">
        <f t="shared" si="120"/>
        <v>-1.7906607281735463E-2</v>
      </c>
      <c r="G3661">
        <f t="shared" si="121"/>
        <v>-3.7103128724594085E-2</v>
      </c>
    </row>
    <row r="3662" spans="1:144" ht="12.5" customHeight="1" x14ac:dyDescent="0.35">
      <c r="A3662" t="s">
        <v>191</v>
      </c>
      <c r="E3662">
        <v>-1.1288428605000535E-2</v>
      </c>
      <c r="F3662">
        <f t="shared" si="120"/>
        <v>-1.7912008472913628E-2</v>
      </c>
      <c r="G3662">
        <f t="shared" si="121"/>
        <v>-3.7103128724594085E-2</v>
      </c>
    </row>
    <row r="3663" spans="1:144" ht="12.5" customHeight="1" x14ac:dyDescent="0.35">
      <c r="A3663" t="s">
        <v>191</v>
      </c>
      <c r="E3663">
        <v>-1.17100000713031E-3</v>
      </c>
      <c r="F3663">
        <f t="shared" si="120"/>
        <v>-1.7917409664091794E-2</v>
      </c>
      <c r="G3663">
        <f t="shared" si="121"/>
        <v>-3.7103128724594085E-2</v>
      </c>
    </row>
    <row r="3664" spans="1:144" ht="12.5" customHeight="1" x14ac:dyDescent="0.35">
      <c r="A3664" t="s">
        <v>191</v>
      </c>
      <c r="E3664">
        <v>8.3856876530368253E-3</v>
      </c>
      <c r="F3664">
        <f t="shared" si="120"/>
        <v>-1.792281085526996E-2</v>
      </c>
      <c r="G3664">
        <f t="shared" si="121"/>
        <v>-3.7103128724594085E-2</v>
      </c>
    </row>
    <row r="3665" spans="1:144" ht="12.5" customHeight="1" x14ac:dyDescent="0.35">
      <c r="A3665" t="s">
        <v>191</v>
      </c>
      <c r="E3665">
        <v>3.4224488717842783E-3</v>
      </c>
      <c r="F3665">
        <f t="shared" si="120"/>
        <v>-1.7928212046448122E-2</v>
      </c>
      <c r="G3665">
        <f t="shared" si="121"/>
        <v>-3.7103128724594085E-2</v>
      </c>
    </row>
    <row r="3666" spans="1:144" ht="12.5" customHeight="1" x14ac:dyDescent="0.35">
      <c r="A3666" t="s">
        <v>191</v>
      </c>
      <c r="E3666">
        <v>4.4981675932453369E-5</v>
      </c>
      <c r="F3666">
        <f t="shared" si="120"/>
        <v>-1.7933613237626288E-2</v>
      </c>
      <c r="G3666">
        <f t="shared" si="121"/>
        <v>-3.7103128724594085E-2</v>
      </c>
    </row>
    <row r="3667" spans="1:144" ht="12.5" customHeight="1" x14ac:dyDescent="0.35">
      <c r="A3667" t="s">
        <v>191</v>
      </c>
      <c r="E3667">
        <v>6.244985051927626E-3</v>
      </c>
      <c r="F3667">
        <f t="shared" si="120"/>
        <v>-1.7939014428804453E-2</v>
      </c>
      <c r="G3667">
        <f t="shared" si="121"/>
        <v>-3.7103128724594085E-2</v>
      </c>
    </row>
    <row r="3668" spans="1:144" ht="12.5" customHeight="1" x14ac:dyDescent="0.35">
      <c r="A3668" t="s">
        <v>191</v>
      </c>
      <c r="E3668">
        <v>-3.7010074161559986E-3</v>
      </c>
      <c r="F3668">
        <f t="shared" si="120"/>
        <v>-1.7944415619982619E-2</v>
      </c>
      <c r="G3668">
        <f t="shared" si="121"/>
        <v>-3.7103128724594085E-2</v>
      </c>
    </row>
    <row r="3669" spans="1:144" ht="12.5" customHeight="1" x14ac:dyDescent="0.35">
      <c r="A3669" t="s">
        <v>191</v>
      </c>
      <c r="E3669">
        <v>1.1502873864534562E-2</v>
      </c>
      <c r="F3669">
        <f t="shared" si="120"/>
        <v>-1.7949816811160785E-2</v>
      </c>
      <c r="G3669">
        <f t="shared" si="121"/>
        <v>-3.7103128724594085E-2</v>
      </c>
    </row>
    <row r="3670" spans="1:144" ht="12.5" customHeight="1" x14ac:dyDescent="0.35">
      <c r="A3670" t="s">
        <v>191</v>
      </c>
      <c r="E3670">
        <v>-8.33575229565915E-3</v>
      </c>
      <c r="F3670">
        <f t="shared" si="120"/>
        <v>-1.795521800233895E-2</v>
      </c>
      <c r="G3670">
        <f t="shared" si="121"/>
        <v>-3.7103128724594085E-2</v>
      </c>
    </row>
    <row r="3671" spans="1:144" ht="12.5" customHeight="1" x14ac:dyDescent="0.35">
      <c r="A3671" t="s">
        <v>191</v>
      </c>
      <c r="E3671">
        <v>-2.4450633121659831E-3</v>
      </c>
      <c r="F3671">
        <f t="shared" si="120"/>
        <v>-1.7960619193517116E-2</v>
      </c>
      <c r="G3671">
        <f t="shared" si="121"/>
        <v>-3.7103128724594085E-2</v>
      </c>
    </row>
    <row r="3672" spans="1:144" ht="12.5" customHeight="1" x14ac:dyDescent="0.35">
      <c r="A3672" t="s">
        <v>191</v>
      </c>
      <c r="E3672">
        <v>5.9638080607499148E-3</v>
      </c>
      <c r="F3672">
        <f t="shared" si="120"/>
        <v>-1.7966020384695282E-2</v>
      </c>
      <c r="G3672">
        <f t="shared" si="121"/>
        <v>-3.7103128724594085E-2</v>
      </c>
    </row>
    <row r="3673" spans="1:144" ht="12.5" customHeight="1" x14ac:dyDescent="0.35">
      <c r="A3673" t="s">
        <v>191</v>
      </c>
      <c r="E3673">
        <v>-1.2025671174519348E-3</v>
      </c>
      <c r="F3673">
        <f t="shared" si="120"/>
        <v>-1.7971421575873447E-2</v>
      </c>
      <c r="G3673">
        <f t="shared" si="121"/>
        <v>-3.7103128724594085E-2</v>
      </c>
    </row>
    <row r="3674" spans="1:144" ht="12.5" customHeight="1" x14ac:dyDescent="0.35">
      <c r="A3674" t="s">
        <v>191</v>
      </c>
      <c r="E3674">
        <v>1.666854709713558E-2</v>
      </c>
      <c r="F3674">
        <f t="shared" si="120"/>
        <v>-1.7976822767051613E-2</v>
      </c>
      <c r="G3674">
        <f t="shared" si="121"/>
        <v>-3.7103128724594085E-2</v>
      </c>
    </row>
    <row r="3675" spans="1:144" ht="12.5" customHeight="1" x14ac:dyDescent="0.35">
      <c r="A3675" t="s">
        <v>191</v>
      </c>
      <c r="E3675">
        <v>9.2009615683067945E-3</v>
      </c>
      <c r="F3675">
        <f t="shared" si="120"/>
        <v>-1.7982223958229779E-2</v>
      </c>
      <c r="G3675">
        <f t="shared" si="121"/>
        <v>-3.7103128724594085E-2</v>
      </c>
    </row>
    <row r="3676" spans="1:144" ht="12.5" customHeight="1" x14ac:dyDescent="0.35">
      <c r="A3676" t="s">
        <v>191</v>
      </c>
      <c r="E3676">
        <v>-1.7491128199236722E-2</v>
      </c>
      <c r="F3676">
        <f t="shared" si="120"/>
        <v>-1.7987625149407941E-2</v>
      </c>
      <c r="G3676">
        <f t="shared" si="121"/>
        <v>-3.7103128724594085E-2</v>
      </c>
    </row>
    <row r="3677" spans="1:144" s="3" customFormat="1" x14ac:dyDescent="0.35">
      <c r="A3677" s="3" t="s">
        <v>192</v>
      </c>
      <c r="B3677" s="3" cm="1">
        <f t="array" ref="B3677">_xlfn.STDEV.S(_xlfn._xlws.FILTER($E$2826:$E$3824, $A$2826:$A$3824="2024-10"))</f>
        <v>7.5819739185884853E-3</v>
      </c>
      <c r="C3677" s="3" cm="1">
        <f t="array" ref="C3677">AVERAGE(_xlfn._xlws.FILTER($E$2826:$E$3824, $A$2826:$A$3824="2024-10"))</f>
        <v>1.9827796726494299E-4</v>
      </c>
      <c r="D3677" s="3" cm="1">
        <f t="array" ref="D3677">_xlfn.PERCENTILE.EXC(_xlfn._xlws.FILTER($E$2490:$E$3818, $A$2490:$A$3818="2024-10"), 0.05)</f>
        <v>-1.452979188973307E-2</v>
      </c>
      <c r="E3677" s="3">
        <v>-1.0433057589356864E-2</v>
      </c>
      <c r="F3677" s="3">
        <f t="shared" si="120"/>
        <v>-1.7993026340586107E-2</v>
      </c>
      <c r="G3677" s="3">
        <f t="shared" si="121"/>
        <v>-3.7103128724594085E-2</v>
      </c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/>
      <c r="EC3677"/>
      <c r="ED3677"/>
      <c r="EE3677"/>
      <c r="EF3677"/>
      <c r="EG3677"/>
      <c r="EH3677"/>
      <c r="EI3677"/>
      <c r="EJ3677"/>
      <c r="EK3677"/>
      <c r="EL3677"/>
      <c r="EM3677"/>
      <c r="EN3677"/>
    </row>
    <row r="3678" spans="1:144" ht="12.5" customHeight="1" x14ac:dyDescent="0.35">
      <c r="A3678" t="s">
        <v>192</v>
      </c>
      <c r="E3678">
        <v>-2.8413718065662605E-3</v>
      </c>
      <c r="F3678">
        <f t="shared" si="120"/>
        <v>-1.7998427531764272E-2</v>
      </c>
      <c r="G3678">
        <f t="shared" si="121"/>
        <v>-3.7103128724594085E-2</v>
      </c>
    </row>
    <row r="3679" spans="1:144" ht="12.5" customHeight="1" x14ac:dyDescent="0.35">
      <c r="A3679" t="s">
        <v>192</v>
      </c>
      <c r="E3679">
        <v>-1.5116685737527592E-2</v>
      </c>
      <c r="F3679">
        <f t="shared" si="120"/>
        <v>-1.8003828722942438E-2</v>
      </c>
      <c r="G3679">
        <f t="shared" si="121"/>
        <v>-3.7103128724594085E-2</v>
      </c>
    </row>
    <row r="3680" spans="1:144" ht="12.5" customHeight="1" x14ac:dyDescent="0.35">
      <c r="A3680" t="s">
        <v>192</v>
      </c>
      <c r="E3680">
        <v>1.2704294264604532E-2</v>
      </c>
      <c r="F3680">
        <f t="shared" si="120"/>
        <v>-1.8009229914120604E-2</v>
      </c>
      <c r="G3680">
        <f t="shared" si="121"/>
        <v>-3.7103128724594085E-2</v>
      </c>
    </row>
    <row r="3681" spans="1:7" ht="12.5" customHeight="1" x14ac:dyDescent="0.35">
      <c r="A3681" t="s">
        <v>192</v>
      </c>
      <c r="E3681">
        <v>6.5392443873557539E-3</v>
      </c>
      <c r="F3681">
        <f t="shared" si="120"/>
        <v>-1.8192960248279828E-2</v>
      </c>
      <c r="G3681">
        <f t="shared" si="121"/>
        <v>-4.0285445193006336E-2</v>
      </c>
    </row>
    <row r="3682" spans="1:7" ht="12.5" customHeight="1" x14ac:dyDescent="0.35">
      <c r="A3682" t="s">
        <v>192</v>
      </c>
      <c r="E3682">
        <v>-2.3870295790916407E-3</v>
      </c>
      <c r="F3682">
        <f t="shared" si="120"/>
        <v>-1.8376690582439049E-2</v>
      </c>
      <c r="G3682">
        <f t="shared" si="121"/>
        <v>-4.0285445193006336E-2</v>
      </c>
    </row>
    <row r="3683" spans="1:7" ht="12.5" customHeight="1" x14ac:dyDescent="0.35">
      <c r="A3683" t="s">
        <v>192</v>
      </c>
      <c r="E3683">
        <v>5.8856098489553886E-3</v>
      </c>
      <c r="F3683">
        <f t="shared" si="120"/>
        <v>-1.8560420916598274E-2</v>
      </c>
      <c r="G3683">
        <f t="shared" si="121"/>
        <v>-4.0285445193006336E-2</v>
      </c>
    </row>
    <row r="3684" spans="1:7" ht="12.5" customHeight="1" x14ac:dyDescent="0.35">
      <c r="A3684" t="s">
        <v>192</v>
      </c>
      <c r="E3684">
        <v>4.2461185579617299E-3</v>
      </c>
      <c r="F3684">
        <f t="shared" si="120"/>
        <v>-1.8744151250757499E-2</v>
      </c>
      <c r="G3684">
        <f t="shared" si="121"/>
        <v>-4.0285445193006336E-2</v>
      </c>
    </row>
    <row r="3685" spans="1:7" ht="12.5" customHeight="1" x14ac:dyDescent="0.35">
      <c r="A3685" t="s">
        <v>192</v>
      </c>
      <c r="E3685">
        <v>6.7438597352857633E-3</v>
      </c>
      <c r="F3685">
        <f t="shared" si="120"/>
        <v>-1.8927881584916723E-2</v>
      </c>
      <c r="G3685">
        <f t="shared" si="121"/>
        <v>-4.0285445193006336E-2</v>
      </c>
    </row>
    <row r="3686" spans="1:7" ht="12.5" customHeight="1" x14ac:dyDescent="0.35">
      <c r="A3686" t="s">
        <v>192</v>
      </c>
      <c r="E3686">
        <v>1.0800156466135366E-2</v>
      </c>
      <c r="F3686">
        <f t="shared" si="120"/>
        <v>-1.9111611919075948E-2</v>
      </c>
      <c r="G3686">
        <f t="shared" si="121"/>
        <v>-4.0285445193006336E-2</v>
      </c>
    </row>
    <row r="3687" spans="1:7" ht="12.5" customHeight="1" x14ac:dyDescent="0.35">
      <c r="A3687" t="s">
        <v>192</v>
      </c>
      <c r="E3687">
        <v>-2.9483554183927694E-3</v>
      </c>
      <c r="F3687">
        <f t="shared" si="120"/>
        <v>-1.9295342253235169E-2</v>
      </c>
      <c r="G3687">
        <f t="shared" si="121"/>
        <v>-4.0285445193006336E-2</v>
      </c>
    </row>
    <row r="3688" spans="1:7" ht="12.5" customHeight="1" x14ac:dyDescent="0.35">
      <c r="A3688" t="s">
        <v>192</v>
      </c>
      <c r="E3688">
        <v>2.3556286343783713E-3</v>
      </c>
      <c r="F3688">
        <f t="shared" si="120"/>
        <v>-1.9479072587394394E-2</v>
      </c>
      <c r="G3688">
        <f t="shared" si="121"/>
        <v>-4.0285445193006336E-2</v>
      </c>
    </row>
    <row r="3689" spans="1:7" ht="12.5" customHeight="1" x14ac:dyDescent="0.35">
      <c r="A3689" t="s">
        <v>192</v>
      </c>
      <c r="E3689">
        <v>1.0867736831653171E-2</v>
      </c>
      <c r="F3689">
        <f t="shared" si="120"/>
        <v>-1.9662802921553618E-2</v>
      </c>
      <c r="G3689">
        <f t="shared" si="121"/>
        <v>-4.0285445193006336E-2</v>
      </c>
    </row>
    <row r="3690" spans="1:7" ht="12.5" customHeight="1" x14ac:dyDescent="0.35">
      <c r="A3690" t="s">
        <v>192</v>
      </c>
      <c r="E3690">
        <v>4.7130768895515228E-3</v>
      </c>
      <c r="F3690">
        <f t="shared" si="120"/>
        <v>-1.9846533255712843E-2</v>
      </c>
      <c r="G3690">
        <f t="shared" si="121"/>
        <v>-4.0285445193006336E-2</v>
      </c>
    </row>
    <row r="3691" spans="1:7" ht="12.5" customHeight="1" x14ac:dyDescent="0.35">
      <c r="A3691" t="s">
        <v>192</v>
      </c>
      <c r="E3691">
        <v>-7.078400613997486E-3</v>
      </c>
      <c r="F3691">
        <f t="shared" si="120"/>
        <v>-2.0030263589872067E-2</v>
      </c>
      <c r="G3691">
        <f t="shared" si="121"/>
        <v>-4.0285445193006336E-2</v>
      </c>
    </row>
    <row r="3692" spans="1:7" ht="12.5" customHeight="1" x14ac:dyDescent="0.35">
      <c r="A3692" t="s">
        <v>192</v>
      </c>
      <c r="E3692">
        <v>-6.3834824777215414E-3</v>
      </c>
      <c r="F3692">
        <f t="shared" si="120"/>
        <v>-2.0213993924031289E-2</v>
      </c>
      <c r="G3692">
        <f t="shared" si="121"/>
        <v>-4.0285445193006336E-2</v>
      </c>
    </row>
    <row r="3693" spans="1:7" ht="12.5" customHeight="1" x14ac:dyDescent="0.35">
      <c r="A3693" t="s">
        <v>192</v>
      </c>
      <c r="E3693">
        <v>-1.0453582398209783E-3</v>
      </c>
      <c r="F3693">
        <f t="shared" si="120"/>
        <v>-2.0397724258190513E-2</v>
      </c>
      <c r="G3693">
        <f t="shared" si="121"/>
        <v>-4.0285445193006336E-2</v>
      </c>
    </row>
    <row r="3694" spans="1:7" ht="12.5" customHeight="1" x14ac:dyDescent="0.35">
      <c r="A3694" t="s">
        <v>192</v>
      </c>
      <c r="E3694">
        <v>4.5535739511086628E-5</v>
      </c>
      <c r="F3694">
        <f t="shared" si="120"/>
        <v>-2.0581454592349734E-2</v>
      </c>
      <c r="G3694">
        <f t="shared" si="121"/>
        <v>-4.0285445193006336E-2</v>
      </c>
    </row>
    <row r="3695" spans="1:7" ht="12.5" customHeight="1" x14ac:dyDescent="0.35">
      <c r="A3695" t="s">
        <v>192</v>
      </c>
      <c r="E3695">
        <v>2.2249768120744967E-3</v>
      </c>
      <c r="F3695">
        <f t="shared" si="120"/>
        <v>-2.0765184926508962E-2</v>
      </c>
      <c r="G3695">
        <f t="shared" si="121"/>
        <v>-4.0285445193006336E-2</v>
      </c>
    </row>
    <row r="3696" spans="1:7" ht="12.5" customHeight="1" x14ac:dyDescent="0.35">
      <c r="A3696" t="s">
        <v>192</v>
      </c>
      <c r="E3696">
        <v>6.8872962651949816E-3</v>
      </c>
      <c r="F3696">
        <f t="shared" si="120"/>
        <v>-2.0948915260668187E-2</v>
      </c>
      <c r="G3696">
        <f t="shared" si="121"/>
        <v>-4.0285445193006336E-2</v>
      </c>
    </row>
    <row r="3697" spans="1:144" ht="12.5" customHeight="1" x14ac:dyDescent="0.35">
      <c r="A3697" t="s">
        <v>192</v>
      </c>
      <c r="E3697">
        <v>-2.5978671506932845E-3</v>
      </c>
      <c r="F3697">
        <f t="shared" si="120"/>
        <v>-2.1132645594827408E-2</v>
      </c>
      <c r="G3697">
        <f t="shared" si="121"/>
        <v>-4.0285445193006336E-2</v>
      </c>
    </row>
    <row r="3698" spans="1:144" ht="12.5" customHeight="1" x14ac:dyDescent="0.35">
      <c r="A3698" t="s">
        <v>192</v>
      </c>
      <c r="E3698">
        <v>-1.2182216498554983E-2</v>
      </c>
      <c r="F3698">
        <f t="shared" si="120"/>
        <v>-2.1316375928986633E-2</v>
      </c>
      <c r="G3698">
        <f t="shared" si="121"/>
        <v>-4.0285445193006336E-2</v>
      </c>
    </row>
    <row r="3699" spans="1:144" ht="12.5" customHeight="1" x14ac:dyDescent="0.35">
      <c r="A3699" t="s">
        <v>192</v>
      </c>
      <c r="E3699">
        <v>-6.4393160738450712E-3</v>
      </c>
      <c r="F3699">
        <f t="shared" si="120"/>
        <v>-2.1500106263145854E-2</v>
      </c>
      <c r="G3699">
        <f t="shared" si="121"/>
        <v>-4.0285445193006336E-2</v>
      </c>
    </row>
    <row r="3700" spans="1:144" s="3" customFormat="1" x14ac:dyDescent="0.35">
      <c r="A3700" s="3" t="s">
        <v>193</v>
      </c>
      <c r="B3700" s="3" cm="1">
        <f t="array" ref="B3700">_xlfn.STDEV.S(_xlfn._xlws.FILTER($E$2826:$E$3824, $A$2826:$A$3824="2024-11"))</f>
        <v>9.9744756856543527E-3</v>
      </c>
      <c r="C3700" s="3" cm="1">
        <f t="array" ref="C3700">AVERAGE(_xlfn._xlws.FILTER($E$2826:$E$3824, $A$2826:$A$3824="2024-11"))</f>
        <v>-1.2193586968339786E-3</v>
      </c>
      <c r="D3700" s="3" cm="1">
        <f t="array" ref="D3700">_xlfn.PERCENTILE.EXC(_xlfn._xlws.FILTER($E$2490:$E$3818, $A$2490:$A$3818="2024-11"), 0.05)</f>
        <v>-2.1068819674285415E-2</v>
      </c>
      <c r="E3700" s="3">
        <v>1.1454441749807486E-2</v>
      </c>
      <c r="F3700" s="3">
        <f t="shared" si="120"/>
        <v>-2.1683836597305082E-2</v>
      </c>
      <c r="G3700" s="3">
        <f t="shared" si="121"/>
        <v>-4.0285445193006336E-2</v>
      </c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  <c r="CZ3700"/>
      <c r="DA3700"/>
      <c r="DB3700"/>
      <c r="DC3700"/>
      <c r="DD3700"/>
      <c r="DE3700"/>
      <c r="DF3700"/>
      <c r="DG3700"/>
      <c r="DH3700"/>
      <c r="DI3700"/>
      <c r="DJ3700"/>
      <c r="DK3700"/>
      <c r="DL3700"/>
      <c r="DM3700"/>
      <c r="DN3700"/>
      <c r="DO3700"/>
      <c r="DP3700"/>
      <c r="DQ3700"/>
      <c r="DR3700"/>
      <c r="DS3700"/>
      <c r="DT3700"/>
      <c r="DU3700"/>
      <c r="DV3700"/>
      <c r="DW3700"/>
      <c r="DX3700"/>
      <c r="DY3700"/>
      <c r="DZ3700"/>
      <c r="EA3700"/>
      <c r="EB3700"/>
      <c r="EC3700"/>
      <c r="ED3700"/>
      <c r="EE3700"/>
      <c r="EF3700"/>
      <c r="EG3700"/>
      <c r="EH3700"/>
      <c r="EI3700"/>
      <c r="EJ3700"/>
      <c r="EK3700"/>
      <c r="EL3700"/>
      <c r="EM3700"/>
      <c r="EN3700"/>
    </row>
    <row r="3701" spans="1:144" ht="12.5" customHeight="1" x14ac:dyDescent="0.35">
      <c r="A3701" t="s">
        <v>193</v>
      </c>
      <c r="E3701">
        <v>-3.9135001093866927E-3</v>
      </c>
      <c r="F3701">
        <f t="shared" si="120"/>
        <v>-2.1995296778842592E-2</v>
      </c>
      <c r="G3701">
        <f t="shared" si="121"/>
        <v>-4.4005766912146582E-2</v>
      </c>
    </row>
    <row r="3702" spans="1:144" ht="12.5" customHeight="1" x14ac:dyDescent="0.35">
      <c r="A3702" t="s">
        <v>193</v>
      </c>
      <c r="E3702">
        <v>-1.9900665561613435E-3</v>
      </c>
      <c r="F3702">
        <f t="shared" si="120"/>
        <v>-2.2306756960380102E-2</v>
      </c>
      <c r="G3702">
        <f t="shared" si="121"/>
        <v>-4.4005766912146582E-2</v>
      </c>
    </row>
    <row r="3703" spans="1:144" ht="12.5" customHeight="1" x14ac:dyDescent="0.35">
      <c r="A3703" t="s">
        <v>193</v>
      </c>
      <c r="E3703">
        <v>-1.5533667367108402E-2</v>
      </c>
      <c r="F3703">
        <f t="shared" si="120"/>
        <v>-2.2618217141917613E-2</v>
      </c>
      <c r="G3703">
        <f t="shared" si="121"/>
        <v>-4.4005766912146582E-2</v>
      </c>
    </row>
    <row r="3704" spans="1:144" ht="12.5" customHeight="1" x14ac:dyDescent="0.35">
      <c r="A3704" t="s">
        <v>193</v>
      </c>
      <c r="E3704">
        <v>1.1928398640899101E-3</v>
      </c>
      <c r="F3704">
        <f t="shared" si="120"/>
        <v>-2.2929677323455123E-2</v>
      </c>
      <c r="G3704">
        <f t="shared" si="121"/>
        <v>-4.4005766912146582E-2</v>
      </c>
    </row>
    <row r="3705" spans="1:144" ht="12.5" customHeight="1" x14ac:dyDescent="0.35">
      <c r="A3705" t="s">
        <v>193</v>
      </c>
      <c r="E3705">
        <v>-4.8570985904598839E-3</v>
      </c>
      <c r="F3705">
        <f t="shared" si="120"/>
        <v>-2.324113750499264E-2</v>
      </c>
      <c r="G3705">
        <f t="shared" si="121"/>
        <v>-4.4005766912146582E-2</v>
      </c>
    </row>
    <row r="3706" spans="1:144" ht="12.5" customHeight="1" x14ac:dyDescent="0.35">
      <c r="A3706" t="s">
        <v>193</v>
      </c>
      <c r="E3706">
        <v>1.5471166229943514E-2</v>
      </c>
      <c r="F3706">
        <f t="shared" si="120"/>
        <v>-2.355259768653015E-2</v>
      </c>
      <c r="G3706">
        <f t="shared" si="121"/>
        <v>-4.4005766912146582E-2</v>
      </c>
    </row>
    <row r="3707" spans="1:144" ht="12.5" customHeight="1" x14ac:dyDescent="0.35">
      <c r="A3707" t="s">
        <v>193</v>
      </c>
      <c r="E3707">
        <v>-2.1683836597305082E-2</v>
      </c>
      <c r="F3707">
        <f t="shared" si="120"/>
        <v>-2.386405786806766E-2</v>
      </c>
      <c r="G3707">
        <f t="shared" si="121"/>
        <v>-4.4005766912146582E-2</v>
      </c>
    </row>
    <row r="3708" spans="1:144" ht="12.5" customHeight="1" x14ac:dyDescent="0.35">
      <c r="A3708" t="s">
        <v>193</v>
      </c>
      <c r="E3708">
        <v>2.9824134714460768E-3</v>
      </c>
      <c r="F3708">
        <f t="shared" si="120"/>
        <v>-2.1970754039694482E-2</v>
      </c>
      <c r="G3708">
        <f t="shared" si="121"/>
        <v>-4.4005766912146582E-2</v>
      </c>
    </row>
    <row r="3709" spans="1:144" ht="12.5" customHeight="1" x14ac:dyDescent="0.35">
      <c r="A3709" t="s">
        <v>193</v>
      </c>
      <c r="E3709">
        <v>1.9118587176210948E-2</v>
      </c>
      <c r="F3709">
        <f t="shared" si="120"/>
        <v>-2.2465944555391214E-2</v>
      </c>
      <c r="G3709">
        <f t="shared" si="121"/>
        <v>-4.4005766912146582E-2</v>
      </c>
    </row>
    <row r="3710" spans="1:144" ht="12.5" customHeight="1" x14ac:dyDescent="0.35">
      <c r="A3710" t="s">
        <v>193</v>
      </c>
      <c r="E3710">
        <v>-4.8539882715103082E-3</v>
      </c>
      <c r="F3710">
        <f t="shared" si="120"/>
        <v>-2.2961135071087956E-2</v>
      </c>
      <c r="G3710">
        <f t="shared" si="121"/>
        <v>-4.4005766912146582E-2</v>
      </c>
    </row>
    <row r="3711" spans="1:144" ht="12.5" customHeight="1" x14ac:dyDescent="0.35">
      <c r="A3711" t="s">
        <v>193</v>
      </c>
      <c r="E3711">
        <v>-1.2755392863337321E-2</v>
      </c>
      <c r="F3711">
        <f t="shared" si="120"/>
        <v>-2.345632558678469E-2</v>
      </c>
      <c r="G3711">
        <f t="shared" si="121"/>
        <v>-4.4005766912146582E-2</v>
      </c>
    </row>
    <row r="3712" spans="1:144" ht="12.5" customHeight="1" x14ac:dyDescent="0.35">
      <c r="A3712" t="s">
        <v>193</v>
      </c>
      <c r="E3712">
        <v>-1.2930399900596513E-2</v>
      </c>
      <c r="F3712">
        <f t="shared" si="120"/>
        <v>-2.3951516102481425E-2</v>
      </c>
      <c r="G3712">
        <f t="shared" si="121"/>
        <v>-4.4005766912146582E-2</v>
      </c>
    </row>
    <row r="3713" spans="1:144" ht="12.5" customHeight="1" x14ac:dyDescent="0.35">
      <c r="A3713" t="s">
        <v>193</v>
      </c>
      <c r="E3713">
        <v>-2.9158986005321597E-3</v>
      </c>
      <c r="F3713">
        <f t="shared" si="120"/>
        <v>-2.4446706618178157E-2</v>
      </c>
      <c r="G3713">
        <f t="shared" si="121"/>
        <v>-4.4005766912146582E-2</v>
      </c>
    </row>
    <row r="3714" spans="1:144" ht="12.5" customHeight="1" x14ac:dyDescent="0.35">
      <c r="A3714" t="s">
        <v>193</v>
      </c>
      <c r="E3714">
        <v>2.0221687743627822E-3</v>
      </c>
      <c r="F3714">
        <f t="shared" si="120"/>
        <v>-2.4941897133874891E-2</v>
      </c>
      <c r="G3714">
        <f t="shared" si="121"/>
        <v>-4.4005766912146582E-2</v>
      </c>
    </row>
    <row r="3715" spans="1:144" ht="12.5" customHeight="1" x14ac:dyDescent="0.35">
      <c r="A3715" t="s">
        <v>193</v>
      </c>
      <c r="E3715">
        <v>5.9850643826901972E-3</v>
      </c>
      <c r="F3715">
        <f t="shared" si="120"/>
        <v>-2.5437087649571633E-2</v>
      </c>
      <c r="G3715">
        <f t="shared" si="121"/>
        <v>-4.4005766912146582E-2</v>
      </c>
    </row>
    <row r="3716" spans="1:144" ht="12.5" customHeight="1" x14ac:dyDescent="0.35">
      <c r="A3716" t="s">
        <v>193</v>
      </c>
      <c r="E3716">
        <v>-2.0056026704154814E-3</v>
      </c>
      <c r="F3716">
        <f t="shared" ref="F3716:F3779" si="122">_xlfn.PERCENTILE.EXC(E3716:E7531,0.05)</f>
        <v>-2.5932278165268368E-2</v>
      </c>
      <c r="G3716">
        <f t="shared" ref="G3716:G3779" si="123">AVERAGEIFS(E3716:E7532,E3716:E7532,"&lt;=" &amp; F3716)</f>
        <v>-4.4005766912146582E-2</v>
      </c>
    </row>
    <row r="3717" spans="1:144" ht="12.5" customHeight="1" x14ac:dyDescent="0.35">
      <c r="A3717" t="s">
        <v>193</v>
      </c>
      <c r="E3717">
        <v>-7.8107940930511547E-3</v>
      </c>
      <c r="F3717">
        <f t="shared" si="122"/>
        <v>-2.6427468680965103E-2</v>
      </c>
      <c r="G3717">
        <f t="shared" si="123"/>
        <v>-4.4005766912146582E-2</v>
      </c>
    </row>
    <row r="3718" spans="1:144" ht="12.5" customHeight="1" x14ac:dyDescent="0.35">
      <c r="A3718" t="s">
        <v>193</v>
      </c>
      <c r="E3718">
        <v>-2.3520416727066964E-3</v>
      </c>
      <c r="F3718">
        <f t="shared" si="122"/>
        <v>-2.6922659196661834E-2</v>
      </c>
      <c r="G3718">
        <f t="shared" si="123"/>
        <v>-4.4005766912146582E-2</v>
      </c>
    </row>
    <row r="3719" spans="1:144" ht="12.5" customHeight="1" x14ac:dyDescent="0.35">
      <c r="A3719" t="s">
        <v>193</v>
      </c>
      <c r="E3719">
        <v>5.1367222292686039E-3</v>
      </c>
      <c r="F3719">
        <f t="shared" si="122"/>
        <v>-2.7417849712358569E-2</v>
      </c>
      <c r="G3719">
        <f t="shared" si="123"/>
        <v>-4.4005766912146582E-2</v>
      </c>
    </row>
    <row r="3720" spans="1:144" ht="12.5" customHeight="1" x14ac:dyDescent="0.35">
      <c r="A3720" t="s">
        <v>193</v>
      </c>
      <c r="E3720">
        <v>4.6323507812379653E-3</v>
      </c>
      <c r="F3720">
        <f t="shared" si="122"/>
        <v>-2.7913040228055311E-2</v>
      </c>
      <c r="G3720">
        <f t="shared" si="123"/>
        <v>-4.4005766912146582E-2</v>
      </c>
    </row>
    <row r="3721" spans="1:144" s="3" customFormat="1" x14ac:dyDescent="0.35">
      <c r="A3721" s="3" t="s">
        <v>194</v>
      </c>
      <c r="B3721" s="3" cm="1">
        <f t="array" ref="B3721">_xlfn.STDEV.S(_xlfn._xlws.FILTER($E$2826:$E$3824, $A$2826:$A$3824="2024-12"))</f>
        <v>8.1719890149332883E-3</v>
      </c>
      <c r="C3721" s="3" cm="1">
        <f t="array" ref="C3721">AVERAGE(_xlfn._xlws.FILTER($E$2826:$E$3824, $A$2826:$A$3824="2024-12"))</f>
        <v>1.2683186497889996E-3</v>
      </c>
      <c r="D3721" s="3" cm="1">
        <f t="array" ref="D3721">_xlfn.PERCENTILE.INC(_xlfn._xlws.FILTER($E$2490:$E$3818, $A$2490:$A$3818="2024-12"), 0.05)</f>
        <v>-1.3164363216522635E-2</v>
      </c>
      <c r="E3721" s="3">
        <v>2.0511913948569205E-3</v>
      </c>
      <c r="F3721" s="3">
        <f t="shared" si="122"/>
        <v>-2.8253426513732565E-2</v>
      </c>
      <c r="G3721" s="3">
        <f t="shared" si="123"/>
        <v>-4.8028948583169404E-2</v>
      </c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  <c r="CZ3721"/>
      <c r="DA3721"/>
      <c r="DB3721"/>
      <c r="DC3721"/>
      <c r="DD3721"/>
      <c r="DE3721"/>
      <c r="DF3721"/>
      <c r="DG3721"/>
      <c r="DH3721"/>
      <c r="DI3721"/>
      <c r="DJ3721"/>
      <c r="DK3721"/>
      <c r="DL3721"/>
      <c r="DM3721"/>
      <c r="DN3721"/>
      <c r="DO3721"/>
      <c r="DP3721"/>
      <c r="DQ3721"/>
      <c r="DR3721"/>
      <c r="DS3721"/>
      <c r="DT3721"/>
      <c r="DU3721"/>
      <c r="DV3721"/>
      <c r="DW3721"/>
      <c r="DX3721"/>
      <c r="DY3721"/>
      <c r="DZ3721"/>
      <c r="EA3721"/>
      <c r="EB3721"/>
      <c r="EC3721"/>
      <c r="ED3721"/>
      <c r="EE3721"/>
      <c r="EF3721"/>
      <c r="EG3721"/>
      <c r="EH3721"/>
      <c r="EI3721"/>
      <c r="EJ3721"/>
      <c r="EK3721"/>
      <c r="EL3721"/>
      <c r="EM3721"/>
      <c r="EN3721"/>
    </row>
    <row r="3722" spans="1:144" ht="12.5" customHeight="1" x14ac:dyDescent="0.35">
      <c r="A3722" t="s">
        <v>194</v>
      </c>
      <c r="E3722">
        <v>1.0285548758890215E-2</v>
      </c>
      <c r="F3722">
        <f t="shared" si="122"/>
        <v>-2.8593812799409819E-2</v>
      </c>
      <c r="G3722">
        <f t="shared" si="123"/>
        <v>-4.8028948583169404E-2</v>
      </c>
    </row>
    <row r="3723" spans="1:144" ht="12.5" customHeight="1" x14ac:dyDescent="0.35">
      <c r="A3723" t="s">
        <v>194</v>
      </c>
      <c r="E3723">
        <v>7.4969521360291969E-3</v>
      </c>
      <c r="F3723">
        <f t="shared" si="122"/>
        <v>-2.8934199085087074E-2</v>
      </c>
      <c r="G3723">
        <f t="shared" si="123"/>
        <v>-4.8028948583169404E-2</v>
      </c>
    </row>
    <row r="3724" spans="1:144" ht="12.5" customHeight="1" x14ac:dyDescent="0.35">
      <c r="A3724" t="s">
        <v>194</v>
      </c>
      <c r="E3724">
        <v>1.5787505906171395E-2</v>
      </c>
      <c r="F3724">
        <f t="shared" si="122"/>
        <v>-2.9274585370764328E-2</v>
      </c>
      <c r="G3724">
        <f t="shared" si="123"/>
        <v>-4.8028948583169404E-2</v>
      </c>
    </row>
    <row r="3725" spans="1:144" ht="12.5" customHeight="1" x14ac:dyDescent="0.35">
      <c r="A3725" t="s">
        <v>194</v>
      </c>
      <c r="E3725">
        <v>3.5522520848309076E-3</v>
      </c>
      <c r="F3725">
        <f t="shared" si="122"/>
        <v>-2.9614971656441585E-2</v>
      </c>
      <c r="G3725">
        <f t="shared" si="123"/>
        <v>-4.8028948583169404E-2</v>
      </c>
    </row>
    <row r="3726" spans="1:144" ht="12.5" customHeight="1" x14ac:dyDescent="0.35">
      <c r="A3726" t="s">
        <v>194</v>
      </c>
      <c r="E3726">
        <v>-5.4731584758020164E-3</v>
      </c>
      <c r="F3726">
        <f t="shared" si="122"/>
        <v>-2.9955357942118843E-2</v>
      </c>
      <c r="G3726">
        <f t="shared" si="123"/>
        <v>-4.8028948583169404E-2</v>
      </c>
    </row>
    <row r="3727" spans="1:144" ht="12.5" customHeight="1" x14ac:dyDescent="0.35">
      <c r="A3727" t="s">
        <v>194</v>
      </c>
      <c r="E3727">
        <v>-1.017015040211629E-3</v>
      </c>
      <c r="F3727">
        <f t="shared" si="122"/>
        <v>-3.0295744227796094E-2</v>
      </c>
      <c r="G3727">
        <f t="shared" si="123"/>
        <v>-4.8028948583169404E-2</v>
      </c>
    </row>
    <row r="3728" spans="1:144" ht="12.5" customHeight="1" x14ac:dyDescent="0.35">
      <c r="A3728" t="s">
        <v>194</v>
      </c>
      <c r="E3728">
        <v>5.9665756933752314E-3</v>
      </c>
      <c r="F3728">
        <f t="shared" si="122"/>
        <v>-3.0636130513473348E-2</v>
      </c>
      <c r="G3728">
        <f t="shared" si="123"/>
        <v>-4.8028948583169404E-2</v>
      </c>
    </row>
    <row r="3729" spans="1:144" ht="12.5" customHeight="1" x14ac:dyDescent="0.35">
      <c r="A3729" t="s">
        <v>194</v>
      </c>
      <c r="E3729">
        <v>3.6230070146608716E-3</v>
      </c>
      <c r="F3729">
        <f t="shared" si="122"/>
        <v>-3.0976516799150609E-2</v>
      </c>
      <c r="G3729">
        <f t="shared" si="123"/>
        <v>-4.8028948583169404E-2</v>
      </c>
    </row>
    <row r="3730" spans="1:144" ht="12.5" customHeight="1" x14ac:dyDescent="0.35">
      <c r="A3730" t="s">
        <v>194</v>
      </c>
      <c r="E3730">
        <v>9.0098156301297698E-4</v>
      </c>
      <c r="F3730">
        <f t="shared" si="122"/>
        <v>-3.131690308482786E-2</v>
      </c>
      <c r="G3730">
        <f t="shared" si="123"/>
        <v>-4.8028948583169404E-2</v>
      </c>
    </row>
    <row r="3731" spans="1:144" ht="12.5" customHeight="1" x14ac:dyDescent="0.35">
      <c r="A3731" t="s">
        <v>194</v>
      </c>
      <c r="E3731">
        <v>-4.2666170705606939E-3</v>
      </c>
      <c r="F3731">
        <f t="shared" si="122"/>
        <v>-3.1657289370505118E-2</v>
      </c>
      <c r="G3731">
        <f t="shared" si="123"/>
        <v>-4.8028948583169404E-2</v>
      </c>
    </row>
    <row r="3732" spans="1:144" ht="12.5" customHeight="1" x14ac:dyDescent="0.35">
      <c r="A3732" t="s">
        <v>194</v>
      </c>
      <c r="E3732">
        <v>-1.2309386740475936E-2</v>
      </c>
      <c r="F3732">
        <f t="shared" si="122"/>
        <v>-3.1997675656182369E-2</v>
      </c>
      <c r="G3732">
        <f t="shared" si="123"/>
        <v>-4.8028948583169404E-2</v>
      </c>
    </row>
    <row r="3733" spans="1:144" ht="12.5" customHeight="1" x14ac:dyDescent="0.35">
      <c r="A3733" t="s">
        <v>194</v>
      </c>
      <c r="E3733">
        <v>2.4957726729344688E-3</v>
      </c>
      <c r="F3733">
        <f t="shared" si="122"/>
        <v>-3.2338061941859626E-2</v>
      </c>
      <c r="G3733">
        <f t="shared" si="123"/>
        <v>-4.8028948583169404E-2</v>
      </c>
    </row>
    <row r="3734" spans="1:144" ht="12.5" customHeight="1" x14ac:dyDescent="0.35">
      <c r="A3734" t="s">
        <v>194</v>
      </c>
      <c r="E3734">
        <v>-1.8009229914120604E-2</v>
      </c>
      <c r="F3734">
        <f t="shared" si="122"/>
        <v>-3.2678448227536884E-2</v>
      </c>
      <c r="G3734">
        <f t="shared" si="123"/>
        <v>-4.8028948583169404E-2</v>
      </c>
    </row>
    <row r="3735" spans="1:144" ht="12.5" customHeight="1" x14ac:dyDescent="0.35">
      <c r="A3735" t="s">
        <v>194</v>
      </c>
      <c r="E3735">
        <v>-6.1314558177167472E-4</v>
      </c>
      <c r="F3735">
        <f t="shared" si="122"/>
        <v>-3.3018834513214142E-2</v>
      </c>
      <c r="G3735">
        <f t="shared" si="123"/>
        <v>-4.8028948583169404E-2</v>
      </c>
    </row>
    <row r="3736" spans="1:144" ht="12.5" customHeight="1" x14ac:dyDescent="0.35">
      <c r="A3736" t="s">
        <v>194</v>
      </c>
      <c r="E3736">
        <v>-7.8185426682627691E-4</v>
      </c>
      <c r="F3736">
        <f t="shared" si="122"/>
        <v>-3.3359220798891392E-2</v>
      </c>
      <c r="G3736">
        <f t="shared" si="123"/>
        <v>-4.8028948583169404E-2</v>
      </c>
    </row>
    <row r="3737" spans="1:144" ht="12.5" customHeight="1" x14ac:dyDescent="0.35">
      <c r="A3737" t="s">
        <v>194</v>
      </c>
      <c r="E3737">
        <v>1.240265102946776E-2</v>
      </c>
      <c r="F3737">
        <f t="shared" si="122"/>
        <v>-3.369960708456865E-2</v>
      </c>
      <c r="G3737">
        <f t="shared" si="123"/>
        <v>-4.8028948583169404E-2</v>
      </c>
    </row>
    <row r="3738" spans="1:144" ht="12.5" customHeight="1" x14ac:dyDescent="0.35">
      <c r="A3738" t="s">
        <v>194</v>
      </c>
      <c r="E3738">
        <v>7.3770453174087762E-4</v>
      </c>
      <c r="F3738">
        <f t="shared" si="122"/>
        <v>-3.4039993370245901E-2</v>
      </c>
      <c r="G3738">
        <f t="shared" si="123"/>
        <v>-4.8028948583169404E-2</v>
      </c>
    </row>
    <row r="3739" spans="1:144" s="3" customFormat="1" x14ac:dyDescent="0.35">
      <c r="A3739" s="3" t="s">
        <v>195</v>
      </c>
      <c r="B3739" s="3" cm="1">
        <f t="array" ref="B3739">_xlfn.STDEV.S(_xlfn._xlws.FILTER($E$2826:$E$3824, $A$2826:$A$3824="2025-01"))</f>
        <v>7.1503667135840434E-3</v>
      </c>
      <c r="C3739" s="3" cm="1">
        <f t="array" ref="C3739">AVERAGE(_xlfn._xlws.FILTER($E$2826:$E$3824, $A$2826:$A$3824="2025-01"))</f>
        <v>2.9416599763988777E-3</v>
      </c>
      <c r="D3739" s="3" cm="1">
        <f t="array" ref="D3739">_xlfn.PERCENTILE.EXC(_xlfn._xlws.FILTER($E$2490:$E$3818, $A$2490:$A$3818="2025-01"), 0.05)</f>
        <v>-8.159760099958736E-3</v>
      </c>
      <c r="E3739" s="3">
        <v>5.5013962217593908E-3</v>
      </c>
      <c r="F3739" s="3">
        <f t="shared" si="122"/>
        <v>-3.4380379655923166E-2</v>
      </c>
      <c r="G3739" s="3">
        <f t="shared" si="123"/>
        <v>-4.8028948583169404E-2</v>
      </c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/>
      <c r="CV3739"/>
      <c r="CW3739"/>
      <c r="CX3739"/>
      <c r="CY3739"/>
      <c r="CZ3739"/>
      <c r="DA3739"/>
      <c r="DB3739"/>
      <c r="DC3739"/>
      <c r="DD3739"/>
      <c r="DE3739"/>
      <c r="DF3739"/>
      <c r="DG3739"/>
      <c r="DH3739"/>
      <c r="DI3739"/>
      <c r="DJ3739"/>
      <c r="DK3739"/>
      <c r="DL3739"/>
      <c r="DM3739"/>
      <c r="DN3739"/>
      <c r="DO3739"/>
      <c r="DP3739"/>
      <c r="DQ3739"/>
      <c r="DR3739"/>
      <c r="DS3739"/>
      <c r="DT3739"/>
      <c r="DU3739"/>
      <c r="DV3739"/>
      <c r="DW3739"/>
      <c r="DX3739"/>
      <c r="DY3739"/>
      <c r="DZ3739"/>
      <c r="EA3739"/>
      <c r="EB3739"/>
      <c r="EC3739"/>
      <c r="ED3739"/>
      <c r="EE3739"/>
      <c r="EF3739"/>
      <c r="EG3739"/>
      <c r="EH3739"/>
      <c r="EI3739"/>
      <c r="EJ3739"/>
      <c r="EK3739"/>
      <c r="EL3739"/>
      <c r="EM3739"/>
      <c r="EN3739"/>
    </row>
    <row r="3740" spans="1:144" ht="12.5" customHeight="1" x14ac:dyDescent="0.35">
      <c r="A3740" t="s">
        <v>195</v>
      </c>
      <c r="E3740">
        <v>-7.2158379405287314E-3</v>
      </c>
      <c r="F3740">
        <f t="shared" si="122"/>
        <v>-3.4720765941600416E-2</v>
      </c>
      <c r="G3740">
        <f t="shared" si="123"/>
        <v>-4.8028948583169404E-2</v>
      </c>
    </row>
    <row r="3741" spans="1:144" ht="12.5" customHeight="1" x14ac:dyDescent="0.35">
      <c r="A3741" t="s">
        <v>195</v>
      </c>
      <c r="E3741">
        <v>1.8958770786908594E-2</v>
      </c>
      <c r="F3741">
        <f t="shared" si="122"/>
        <v>-3.4816603433080247E-2</v>
      </c>
      <c r="G3741">
        <f t="shared" si="123"/>
        <v>-5.2465009463692397E-2</v>
      </c>
    </row>
    <row r="3742" spans="1:144" ht="12.5" customHeight="1" x14ac:dyDescent="0.35">
      <c r="A3742" t="s">
        <v>195</v>
      </c>
      <c r="E3742">
        <v>4.5350237671851487E-3</v>
      </c>
      <c r="F3742">
        <f t="shared" si="122"/>
        <v>-3.4912440924560084E-2</v>
      </c>
      <c r="G3742">
        <f t="shared" si="123"/>
        <v>-5.2465009463692397E-2</v>
      </c>
    </row>
    <row r="3743" spans="1:144" ht="12.5" customHeight="1" x14ac:dyDescent="0.35">
      <c r="A3743" t="s">
        <v>195</v>
      </c>
      <c r="E3743">
        <v>4.849280655933509E-3</v>
      </c>
      <c r="F3743">
        <f t="shared" si="122"/>
        <v>-3.5008278416039915E-2</v>
      </c>
      <c r="G3743">
        <f t="shared" si="123"/>
        <v>-5.2465009463692397E-2</v>
      </c>
    </row>
    <row r="3744" spans="1:144" ht="12.5" customHeight="1" x14ac:dyDescent="0.35">
      <c r="A3744" t="s">
        <v>195</v>
      </c>
      <c r="E3744">
        <v>5.8721418873222114E-3</v>
      </c>
      <c r="F3744">
        <f t="shared" si="122"/>
        <v>-3.5104115907519752E-2</v>
      </c>
      <c r="G3744">
        <f t="shared" si="123"/>
        <v>-5.2465009463692397E-2</v>
      </c>
    </row>
    <row r="3745" spans="1:7" ht="12.5" customHeight="1" x14ac:dyDescent="0.35">
      <c r="A3745" t="s">
        <v>195</v>
      </c>
      <c r="E3745">
        <v>-6.3995000644855504E-3</v>
      </c>
      <c r="F3745">
        <f t="shared" si="122"/>
        <v>-3.5199953398999582E-2</v>
      </c>
      <c r="G3745">
        <f t="shared" si="123"/>
        <v>-5.2465009463692397E-2</v>
      </c>
    </row>
    <row r="3746" spans="1:7" ht="12.5" customHeight="1" x14ac:dyDescent="0.35">
      <c r="A3746" t="s">
        <v>195</v>
      </c>
      <c r="E3746">
        <v>-8.3263345986816784E-3</v>
      </c>
      <c r="F3746">
        <f t="shared" si="122"/>
        <v>-3.5295790890479413E-2</v>
      </c>
      <c r="G3746">
        <f t="shared" si="123"/>
        <v>-5.2465009463692397E-2</v>
      </c>
    </row>
    <row r="3747" spans="1:7" ht="12.5" customHeight="1" x14ac:dyDescent="0.35">
      <c r="A3747" t="s">
        <v>195</v>
      </c>
      <c r="E3747">
        <v>9.3050454390058331E-3</v>
      </c>
      <c r="F3747">
        <f t="shared" si="122"/>
        <v>-3.539162838195925E-2</v>
      </c>
      <c r="G3747">
        <f t="shared" si="123"/>
        <v>-5.2465009463692397E-2</v>
      </c>
    </row>
    <row r="3748" spans="1:7" ht="12.5" customHeight="1" x14ac:dyDescent="0.35">
      <c r="A3748" t="s">
        <v>195</v>
      </c>
      <c r="E3748">
        <v>1.4762414744108126E-2</v>
      </c>
      <c r="F3748">
        <f t="shared" si="122"/>
        <v>-3.5487465873439081E-2</v>
      </c>
      <c r="G3748">
        <f t="shared" si="123"/>
        <v>-5.2465009463692397E-2</v>
      </c>
    </row>
    <row r="3749" spans="1:7" ht="12.5" customHeight="1" x14ac:dyDescent="0.35">
      <c r="A3749" t="s">
        <v>195</v>
      </c>
      <c r="E3749">
        <v>4.8366642367863779E-3</v>
      </c>
      <c r="F3749">
        <f t="shared" si="122"/>
        <v>-3.5583303364918918E-2</v>
      </c>
      <c r="G3749">
        <f t="shared" si="123"/>
        <v>-5.2465009463692397E-2</v>
      </c>
    </row>
    <row r="3750" spans="1:7" ht="12.5" customHeight="1" x14ac:dyDescent="0.35">
      <c r="A3750" t="s">
        <v>195</v>
      </c>
      <c r="E3750">
        <v>1.2425073932141418E-2</v>
      </c>
      <c r="F3750">
        <f t="shared" si="122"/>
        <v>-3.5679140856398749E-2</v>
      </c>
      <c r="G3750">
        <f t="shared" si="123"/>
        <v>-5.2465009463692397E-2</v>
      </c>
    </row>
    <row r="3751" spans="1:7" ht="12.5" customHeight="1" x14ac:dyDescent="0.35">
      <c r="A3751" t="s">
        <v>195</v>
      </c>
      <c r="E3751">
        <v>-3.4193515949570014E-3</v>
      </c>
      <c r="F3751">
        <f t="shared" si="122"/>
        <v>-3.5774978347878579E-2</v>
      </c>
      <c r="G3751">
        <f t="shared" si="123"/>
        <v>-5.2465009463692397E-2</v>
      </c>
    </row>
    <row r="3752" spans="1:7" ht="12.5" customHeight="1" x14ac:dyDescent="0.35">
      <c r="A3752" t="s">
        <v>195</v>
      </c>
      <c r="E3752">
        <v>-2.3450559892933677E-3</v>
      </c>
      <c r="F3752">
        <f t="shared" si="122"/>
        <v>-3.5870815839358416E-2</v>
      </c>
      <c r="G3752">
        <f t="shared" si="123"/>
        <v>-5.2465009463692397E-2</v>
      </c>
    </row>
    <row r="3753" spans="1:7" ht="12.5" customHeight="1" x14ac:dyDescent="0.35">
      <c r="A3753" t="s">
        <v>195</v>
      </c>
      <c r="E3753">
        <v>-5.7041111236058022E-3</v>
      </c>
      <c r="F3753">
        <f t="shared" si="122"/>
        <v>-3.5966653330838247E-2</v>
      </c>
      <c r="G3753">
        <f t="shared" si="123"/>
        <v>-5.2465009463692397E-2</v>
      </c>
    </row>
    <row r="3754" spans="1:7" ht="12.5" customHeight="1" x14ac:dyDescent="0.35">
      <c r="A3754" t="s">
        <v>195</v>
      </c>
      <c r="E3754">
        <v>7.191391577432274E-3</v>
      </c>
      <c r="F3754">
        <f t="shared" si="122"/>
        <v>-3.6062490822318084E-2</v>
      </c>
      <c r="G3754">
        <f t="shared" si="123"/>
        <v>-5.2465009463692397E-2</v>
      </c>
    </row>
    <row r="3755" spans="1:7" ht="12.5" customHeight="1" x14ac:dyDescent="0.35">
      <c r="A3755" t="s">
        <v>195</v>
      </c>
      <c r="E3755">
        <v>2.4305273661626168E-3</v>
      </c>
      <c r="F3755">
        <f t="shared" si="122"/>
        <v>-3.6158328313797915E-2</v>
      </c>
      <c r="G3755">
        <f t="shared" si="123"/>
        <v>-5.2465009463692397E-2</v>
      </c>
    </row>
    <row r="3756" spans="1:7" ht="12.5" customHeight="1" x14ac:dyDescent="0.35">
      <c r="A3756" t="s">
        <v>195</v>
      </c>
      <c r="E3756">
        <v>-2.6384171087128584E-4</v>
      </c>
      <c r="F3756">
        <f t="shared" si="122"/>
        <v>-3.6254165805277745E-2</v>
      </c>
      <c r="G3756">
        <f t="shared" si="123"/>
        <v>-5.2465009463692397E-2</v>
      </c>
    </row>
    <row r="3757" spans="1:7" ht="12.5" customHeight="1" x14ac:dyDescent="0.35">
      <c r="A3757" t="s">
        <v>195</v>
      </c>
      <c r="E3757">
        <v>-1.2195489291641829E-3</v>
      </c>
      <c r="F3757">
        <f t="shared" si="122"/>
        <v>-3.6350003296757583E-2</v>
      </c>
      <c r="G3757">
        <f t="shared" si="123"/>
        <v>-5.2465009463692397E-2</v>
      </c>
    </row>
    <row r="3758" spans="1:7" ht="12.5" customHeight="1" x14ac:dyDescent="0.35">
      <c r="A3758" t="s">
        <v>195</v>
      </c>
      <c r="E3758">
        <v>6.1945574126185026E-3</v>
      </c>
      <c r="F3758">
        <f t="shared" si="122"/>
        <v>-3.6445840788237413E-2</v>
      </c>
      <c r="G3758">
        <f t="shared" si="123"/>
        <v>-5.2465009463692397E-2</v>
      </c>
    </row>
    <row r="3759" spans="1:7" ht="12.5" customHeight="1" x14ac:dyDescent="0.35">
      <c r="A3759" t="s">
        <v>195</v>
      </c>
      <c r="E3759">
        <v>1.594750108558882E-3</v>
      </c>
      <c r="F3759">
        <f t="shared" si="122"/>
        <v>-3.654167827971725E-2</v>
      </c>
      <c r="G3759">
        <f t="shared" si="123"/>
        <v>-5.2465009463692397E-2</v>
      </c>
    </row>
    <row r="3760" spans="1:7" ht="12.5" customHeight="1" x14ac:dyDescent="0.35">
      <c r="A3760" t="s">
        <v>195</v>
      </c>
      <c r="E3760">
        <v>1.1530632964400224E-3</v>
      </c>
      <c r="F3760">
        <f t="shared" si="122"/>
        <v>-3.6637515771197081E-2</v>
      </c>
      <c r="G3760">
        <f t="shared" si="123"/>
        <v>-5.2465009463692397E-2</v>
      </c>
    </row>
    <row r="3761" spans="1:144" s="3" customFormat="1" x14ac:dyDescent="0.35">
      <c r="A3761" s="3" t="s">
        <v>196</v>
      </c>
      <c r="B3761" s="3" cm="1">
        <f t="array" ref="B3761">_xlfn.STDEV.S(_xlfn._xlws.FILTER($E$2826:$E$3824, $A$2826:$A$3824="2025-02"))</f>
        <v>7.7439186727301093E-3</v>
      </c>
      <c r="C3761" s="3" cm="1">
        <f t="array" ref="C3761">AVERAGE(_xlfn._xlws.FILTER($E$2826:$E$3824, $A$2826:$A$3824="2025-02"))</f>
        <v>2.9070236372079586E-3</v>
      </c>
      <c r="D3761" s="3" cm="1">
        <f t="array" ref="D3761">_xlfn.PERCENTILE.EXC(_xlfn._xlws.FILTER($E$2490:$E$3818, $A$2490:$A$3818="2025-02"), 0.05)</f>
        <v>-1.5037674197004452E-2</v>
      </c>
      <c r="E3761" s="3">
        <v>-6.9546974924296215E-3</v>
      </c>
      <c r="F3761" s="3">
        <f t="shared" si="122"/>
        <v>-3.7465755992391575E-2</v>
      </c>
      <c r="G3761" s="3">
        <f t="shared" si="123"/>
        <v>-6.0378756309940051E-2</v>
      </c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  <c r="DT3761"/>
      <c r="DU3761"/>
      <c r="DV3761"/>
      <c r="DW3761"/>
      <c r="DX3761"/>
      <c r="DY3761"/>
      <c r="DZ3761"/>
      <c r="EA3761"/>
      <c r="EB3761"/>
      <c r="EC3761"/>
      <c r="ED3761"/>
      <c r="EE3761"/>
      <c r="EF3761"/>
      <c r="EG3761"/>
      <c r="EH3761"/>
      <c r="EI3761"/>
      <c r="EJ3761"/>
      <c r="EK3761"/>
      <c r="EL3761"/>
      <c r="EM3761"/>
      <c r="EN3761"/>
    </row>
    <row r="3762" spans="1:144" ht="12.5" customHeight="1" x14ac:dyDescent="0.35">
      <c r="A3762" t="s">
        <v>196</v>
      </c>
      <c r="E3762">
        <v>1.3720573248714738E-2</v>
      </c>
      <c r="F3762">
        <f t="shared" si="122"/>
        <v>-3.8293996213586069E-2</v>
      </c>
      <c r="G3762">
        <f t="shared" si="123"/>
        <v>-6.0378756309940051E-2</v>
      </c>
    </row>
    <row r="3763" spans="1:144" ht="12.5" customHeight="1" x14ac:dyDescent="0.35">
      <c r="A3763" t="s">
        <v>196</v>
      </c>
      <c r="E3763">
        <v>-3.7617626589364858E-3</v>
      </c>
      <c r="F3763">
        <f t="shared" si="122"/>
        <v>-3.912223643478057E-2</v>
      </c>
      <c r="G3763">
        <f t="shared" si="123"/>
        <v>-6.0378756309940051E-2</v>
      </c>
    </row>
    <row r="3764" spans="1:144" ht="12.5" customHeight="1" x14ac:dyDescent="0.35">
      <c r="A3764" t="s">
        <v>196</v>
      </c>
      <c r="E3764">
        <v>1.4661488559222989E-2</v>
      </c>
      <c r="F3764">
        <f t="shared" si="122"/>
        <v>-3.9950476655975065E-2</v>
      </c>
      <c r="G3764">
        <f t="shared" si="123"/>
        <v>-6.0378756309940051E-2</v>
      </c>
    </row>
    <row r="3765" spans="1:144" ht="12.5" customHeight="1" x14ac:dyDescent="0.35">
      <c r="A3765" t="s">
        <v>196</v>
      </c>
      <c r="E3765">
        <v>-1.7814039080116669E-3</v>
      </c>
      <c r="F3765">
        <f t="shared" si="122"/>
        <v>-4.0778716877169566E-2</v>
      </c>
      <c r="G3765">
        <f t="shared" si="123"/>
        <v>-6.0378756309940051E-2</v>
      </c>
    </row>
    <row r="3766" spans="1:144" ht="12.5" customHeight="1" x14ac:dyDescent="0.35">
      <c r="A3766" t="s">
        <v>196</v>
      </c>
      <c r="E3766">
        <v>5.0195353250520767E-3</v>
      </c>
      <c r="F3766">
        <f t="shared" si="122"/>
        <v>-4.160695709836406E-2</v>
      </c>
      <c r="G3766">
        <f t="shared" si="123"/>
        <v>-6.0378756309940051E-2</v>
      </c>
    </row>
    <row r="3767" spans="1:144" ht="12.5" customHeight="1" x14ac:dyDescent="0.35">
      <c r="A3767" t="s">
        <v>196</v>
      </c>
      <c r="E3767">
        <v>9.0848214023269893E-3</v>
      </c>
      <c r="F3767">
        <f t="shared" si="122"/>
        <v>-4.2435197319558554E-2</v>
      </c>
      <c r="G3767">
        <f t="shared" si="123"/>
        <v>-6.0378756309940051E-2</v>
      </c>
    </row>
    <row r="3768" spans="1:144" ht="12.5" customHeight="1" x14ac:dyDescent="0.35">
      <c r="A3768" t="s">
        <v>196</v>
      </c>
      <c r="E3768">
        <v>-1.3542221790128063E-3</v>
      </c>
      <c r="F3768">
        <f t="shared" si="122"/>
        <v>-4.3263437540753055E-2</v>
      </c>
      <c r="G3768">
        <f t="shared" si="123"/>
        <v>-6.0378756309940051E-2</v>
      </c>
    </row>
    <row r="3769" spans="1:144" ht="12.5" customHeight="1" x14ac:dyDescent="0.35">
      <c r="A3769" t="s">
        <v>196</v>
      </c>
      <c r="E3769">
        <v>9.9911699786768022E-3</v>
      </c>
      <c r="F3769">
        <f t="shared" si="122"/>
        <v>-4.4091677761947556E-2</v>
      </c>
      <c r="G3769">
        <f t="shared" si="123"/>
        <v>-6.0378756309940051E-2</v>
      </c>
    </row>
    <row r="3770" spans="1:144" ht="12.5" customHeight="1" x14ac:dyDescent="0.35">
      <c r="A3770" t="s">
        <v>196</v>
      </c>
      <c r="E3770">
        <v>1.8327583312315577E-3</v>
      </c>
      <c r="F3770">
        <f t="shared" si="122"/>
        <v>-4.4919917983142058E-2</v>
      </c>
      <c r="G3770">
        <f t="shared" si="123"/>
        <v>-6.0378756309940051E-2</v>
      </c>
    </row>
    <row r="3771" spans="1:144" ht="12.5" customHeight="1" x14ac:dyDescent="0.35">
      <c r="A3771" t="s">
        <v>196</v>
      </c>
      <c r="E3771">
        <v>9.1771452688016383E-3</v>
      </c>
      <c r="F3771">
        <f t="shared" si="122"/>
        <v>-4.5748158204336545E-2</v>
      </c>
      <c r="G3771">
        <f t="shared" si="123"/>
        <v>-6.0378756309940051E-2</v>
      </c>
    </row>
    <row r="3772" spans="1:144" ht="12.5" customHeight="1" x14ac:dyDescent="0.35">
      <c r="A3772" t="s">
        <v>196</v>
      </c>
      <c r="E3772">
        <v>5.8903524248038594E-3</v>
      </c>
      <c r="F3772">
        <f t="shared" si="122"/>
        <v>-4.6576398425531046E-2</v>
      </c>
      <c r="G3772">
        <f t="shared" si="123"/>
        <v>-6.0378756309940051E-2</v>
      </c>
    </row>
    <row r="3773" spans="1:144" ht="12.5" customHeight="1" x14ac:dyDescent="0.35">
      <c r="A3773" t="s">
        <v>196</v>
      </c>
      <c r="E3773">
        <v>-5.3571990919910328E-3</v>
      </c>
      <c r="F3773">
        <f t="shared" si="122"/>
        <v>-4.7404638646725547E-2</v>
      </c>
      <c r="G3773">
        <f t="shared" si="123"/>
        <v>-6.0378756309940051E-2</v>
      </c>
    </row>
    <row r="3774" spans="1:144" ht="12.5" customHeight="1" x14ac:dyDescent="0.35">
      <c r="A3774" t="s">
        <v>196</v>
      </c>
      <c r="E3774">
        <v>-2.5883470488613589E-3</v>
      </c>
      <c r="F3774">
        <f t="shared" si="122"/>
        <v>-4.8232878867920041E-2</v>
      </c>
      <c r="G3774">
        <f t="shared" si="123"/>
        <v>-6.0378756309940051E-2</v>
      </c>
    </row>
    <row r="3775" spans="1:144" ht="12.5" customHeight="1" x14ac:dyDescent="0.35">
      <c r="A3775" t="s">
        <v>196</v>
      </c>
      <c r="E3775">
        <v>4.4872860089797666E-3</v>
      </c>
      <c r="F3775">
        <f t="shared" si="122"/>
        <v>-4.9061119089114542E-2</v>
      </c>
      <c r="G3775">
        <f t="shared" si="123"/>
        <v>-6.0378756309940051E-2</v>
      </c>
    </row>
    <row r="3776" spans="1:144" ht="12.5" customHeight="1" x14ac:dyDescent="0.35">
      <c r="A3776" t="s">
        <v>196</v>
      </c>
      <c r="E3776">
        <v>1.3397734273367442E-3</v>
      </c>
      <c r="F3776">
        <f t="shared" si="122"/>
        <v>-4.9889359310309037E-2</v>
      </c>
      <c r="G3776">
        <f t="shared" si="123"/>
        <v>-6.0378756309940051E-2</v>
      </c>
    </row>
    <row r="3777" spans="1:144" ht="12.5" customHeight="1" x14ac:dyDescent="0.35">
      <c r="A3777" t="s">
        <v>196</v>
      </c>
      <c r="E3777">
        <v>6.269463556412596E-3</v>
      </c>
      <c r="F3777">
        <f t="shared" si="122"/>
        <v>-5.0717599531503538E-2</v>
      </c>
      <c r="G3777">
        <f t="shared" si="123"/>
        <v>-6.0378756309940051E-2</v>
      </c>
    </row>
    <row r="3778" spans="1:144" ht="12.5" customHeight="1" x14ac:dyDescent="0.35">
      <c r="A3778" t="s">
        <v>196</v>
      </c>
      <c r="E3778">
        <v>1.3092181881068659E-2</v>
      </c>
      <c r="F3778">
        <f t="shared" si="122"/>
        <v>-5.1545839752698032E-2</v>
      </c>
      <c r="G3778">
        <f t="shared" si="123"/>
        <v>-6.0378756309940051E-2</v>
      </c>
    </row>
    <row r="3779" spans="1:144" ht="12.5" customHeight="1" x14ac:dyDescent="0.35">
      <c r="A3779" t="s">
        <v>196</v>
      </c>
      <c r="E3779">
        <v>-1.5463094023561023E-2</v>
      </c>
      <c r="F3779">
        <f t="shared" si="122"/>
        <v>-5.2374079973892526E-2</v>
      </c>
      <c r="G3779">
        <f t="shared" si="123"/>
        <v>-6.0378756309940051E-2</v>
      </c>
    </row>
    <row r="3780" spans="1:144" ht="12.5" customHeight="1" x14ac:dyDescent="0.35">
      <c r="A3780" t="s">
        <v>196</v>
      </c>
      <c r="E3780">
        <v>8.3464973433474549E-4</v>
      </c>
      <c r="F3780">
        <f t="shared" ref="F3780:F3818" si="124">_xlfn.PERCENTILE.EXC(E3780:E7595,0.05)</f>
        <v>-5.3202320195087027E-2</v>
      </c>
      <c r="G3780">
        <f t="shared" ref="G3780:G3818" si="125">AVERAGEIFS(E3780:E7596,E3780:E7596,"&lt;=" &amp; F3780)</f>
        <v>-6.0378756309940051E-2</v>
      </c>
    </row>
    <row r="3781" spans="1:144" s="3" customFormat="1" x14ac:dyDescent="0.35">
      <c r="A3781" s="3" t="s">
        <v>197</v>
      </c>
      <c r="B3781" s="3" cm="1">
        <f t="array" ref="B3781">_xlfn.STDEV.S(_xlfn._xlws.FILTER($E$2826:$E$3824, $A$2826:$A$3824="2025-03"))</f>
        <v>1.3706567171779255E-2</v>
      </c>
      <c r="C3781" s="3" cm="1">
        <f t="array" ref="C3781">AVERAGE(_xlfn._xlws.FILTER($E$2826:$E$3824, $A$2826:$A$3824="2025-03"))</f>
        <v>-7.4881326250167879E-4</v>
      </c>
      <c r="D3781" s="3" cm="1">
        <f t="array" ref="D3781">_xlfn.PERCENTILE.EXC(_xlfn._xlws.FILTER($E$2490:$E$3818, $A$2490:$A$3818="2025-03"), 0.05)</f>
        <v>-3.30388099564961E-2</v>
      </c>
      <c r="E3781" s="3">
        <v>1.0661090839177179E-2</v>
      </c>
      <c r="F3781" s="3">
        <f t="shared" si="124"/>
        <v>-5.3919963806572324E-2</v>
      </c>
      <c r="G3781" s="3">
        <f t="shared" si="125"/>
        <v>-6.7555192424793076E-2</v>
      </c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  <c r="DT3781"/>
      <c r="DU3781"/>
      <c r="DV3781"/>
      <c r="DW3781"/>
      <c r="DX3781"/>
      <c r="DY3781"/>
      <c r="DZ3781"/>
      <c r="EA3781"/>
      <c r="EB3781"/>
      <c r="EC3781"/>
      <c r="ED3781"/>
      <c r="EE3781"/>
      <c r="EF3781"/>
      <c r="EG3781"/>
      <c r="EH3781"/>
      <c r="EI3781"/>
      <c r="EJ3781"/>
      <c r="EK3781"/>
      <c r="EL3781"/>
      <c r="EM3781"/>
      <c r="EN3781"/>
    </row>
    <row r="3782" spans="1:144" ht="12.5" customHeight="1" x14ac:dyDescent="0.35">
      <c r="A3782" t="s">
        <v>197</v>
      </c>
      <c r="E3782">
        <v>-3.4720765941600416E-2</v>
      </c>
      <c r="F3782">
        <f t="shared" si="124"/>
        <v>-5.4637607418057628E-2</v>
      </c>
      <c r="G3782">
        <f t="shared" si="125"/>
        <v>-6.7555192424793076E-2</v>
      </c>
    </row>
    <row r="3783" spans="1:144" ht="12.5" customHeight="1" x14ac:dyDescent="0.35">
      <c r="A3783" t="s">
        <v>197</v>
      </c>
      <c r="E3783">
        <v>2.0543224528613152E-2</v>
      </c>
      <c r="F3783">
        <f t="shared" si="124"/>
        <v>-5.5355251029542932E-2</v>
      </c>
      <c r="G3783">
        <f t="shared" si="125"/>
        <v>-6.7555192424793076E-2</v>
      </c>
    </row>
    <row r="3784" spans="1:144" ht="12.5" customHeight="1" x14ac:dyDescent="0.35">
      <c r="A3784" t="s">
        <v>197</v>
      </c>
      <c r="E3784">
        <v>6.7341297526736857E-3</v>
      </c>
      <c r="F3784">
        <f t="shared" si="124"/>
        <v>-5.6072894641028236E-2</v>
      </c>
      <c r="G3784">
        <f t="shared" si="125"/>
        <v>-6.7555192424793076E-2</v>
      </c>
    </row>
    <row r="3785" spans="1:144" ht="12.5" customHeight="1" x14ac:dyDescent="0.35">
      <c r="A3785" t="s">
        <v>197</v>
      </c>
      <c r="E3785">
        <v>-4.8301505468703746E-3</v>
      </c>
      <c r="F3785">
        <f t="shared" si="124"/>
        <v>-5.6790538252513539E-2</v>
      </c>
      <c r="G3785">
        <f t="shared" si="125"/>
        <v>-6.7555192424793076E-2</v>
      </c>
    </row>
    <row r="3786" spans="1:144" ht="12.5" customHeight="1" x14ac:dyDescent="0.35">
      <c r="A3786" t="s">
        <v>197</v>
      </c>
      <c r="E3786">
        <v>-9.5547861760262361E-3</v>
      </c>
      <c r="F3786">
        <f t="shared" si="124"/>
        <v>-5.7508181863998836E-2</v>
      </c>
      <c r="G3786">
        <f t="shared" si="125"/>
        <v>-6.7555192424793076E-2</v>
      </c>
    </row>
    <row r="3787" spans="1:144" ht="12.5" customHeight="1" x14ac:dyDescent="0.35">
      <c r="A3787" t="s">
        <v>197</v>
      </c>
      <c r="E3787">
        <v>-1.3895937651430353E-2</v>
      </c>
      <c r="F3787">
        <f t="shared" si="124"/>
        <v>-5.822582547548414E-2</v>
      </c>
      <c r="G3787">
        <f t="shared" si="125"/>
        <v>-6.7555192424793076E-2</v>
      </c>
    </row>
    <row r="3788" spans="1:144" ht="12.5" customHeight="1" x14ac:dyDescent="0.35">
      <c r="A3788" t="s">
        <v>197</v>
      </c>
      <c r="E3788">
        <v>1.6020252781398132E-2</v>
      </c>
      <c r="F3788">
        <f t="shared" si="124"/>
        <v>-5.8943469086969444E-2</v>
      </c>
      <c r="G3788">
        <f t="shared" si="125"/>
        <v>-6.7555192424793076E-2</v>
      </c>
    </row>
    <row r="3789" spans="1:144" ht="12.5" customHeight="1" x14ac:dyDescent="0.35">
      <c r="A3789" t="s">
        <v>197</v>
      </c>
      <c r="E3789">
        <v>-8.0564642063845164E-3</v>
      </c>
      <c r="F3789">
        <f t="shared" si="124"/>
        <v>-5.9661112698454748E-2</v>
      </c>
      <c r="G3789">
        <f t="shared" si="125"/>
        <v>-6.7555192424793076E-2</v>
      </c>
    </row>
    <row r="3790" spans="1:144" ht="12.5" customHeight="1" x14ac:dyDescent="0.35">
      <c r="A3790" t="s">
        <v>197</v>
      </c>
      <c r="E3790">
        <v>1.7104839266695912E-2</v>
      </c>
      <c r="F3790">
        <f t="shared" si="124"/>
        <v>-6.0378756309940051E-2</v>
      </c>
      <c r="G3790">
        <f t="shared" si="125"/>
        <v>-6.7555192424793076E-2</v>
      </c>
    </row>
    <row r="3791" spans="1:144" ht="12.5" customHeight="1" x14ac:dyDescent="0.35">
      <c r="A3791" t="s">
        <v>197</v>
      </c>
      <c r="E3791">
        <v>9.4519465183392215E-3</v>
      </c>
      <c r="F3791">
        <f t="shared" si="124"/>
        <v>-6.1096399921425348E-2</v>
      </c>
      <c r="G3791">
        <f t="shared" si="125"/>
        <v>-6.7555192424793076E-2</v>
      </c>
    </row>
    <row r="3792" spans="1:144" ht="12.5" customHeight="1" x14ac:dyDescent="0.35">
      <c r="A3792" t="s">
        <v>197</v>
      </c>
      <c r="E3792">
        <v>1.3017885451725966E-2</v>
      </c>
      <c r="F3792">
        <f t="shared" si="124"/>
        <v>-6.1814043532910652E-2</v>
      </c>
      <c r="G3792">
        <f t="shared" si="125"/>
        <v>-6.7555192424793076E-2</v>
      </c>
    </row>
    <row r="3793" spans="1:144" ht="12.5" customHeight="1" x14ac:dyDescent="0.35">
      <c r="A3793" t="s">
        <v>197</v>
      </c>
      <c r="E3793">
        <v>4.5163028709085057E-3</v>
      </c>
      <c r="F3793">
        <f t="shared" si="124"/>
        <v>-6.2531687144395956E-2</v>
      </c>
      <c r="G3793">
        <f t="shared" si="125"/>
        <v>-6.7555192424793076E-2</v>
      </c>
    </row>
    <row r="3794" spans="1:144" ht="12.5" customHeight="1" x14ac:dyDescent="0.35">
      <c r="A3794" t="s">
        <v>197</v>
      </c>
      <c r="E3794">
        <v>-1.3295113009996352E-2</v>
      </c>
      <c r="F3794">
        <f t="shared" si="124"/>
        <v>-6.3249330755881267E-2</v>
      </c>
      <c r="G3794">
        <f t="shared" si="125"/>
        <v>-6.7555192424793076E-2</v>
      </c>
    </row>
    <row r="3795" spans="1:144" ht="12.5" customHeight="1" x14ac:dyDescent="0.35">
      <c r="A3795" t="s">
        <v>197</v>
      </c>
      <c r="E3795">
        <v>-3.8980473239001233E-3</v>
      </c>
      <c r="F3795">
        <f t="shared" si="124"/>
        <v>-6.3966974367366564E-2</v>
      </c>
      <c r="G3795">
        <f t="shared" si="125"/>
        <v>-6.7555192424793076E-2</v>
      </c>
    </row>
    <row r="3796" spans="1:144" ht="12.5" customHeight="1" x14ac:dyDescent="0.35">
      <c r="A3796" t="s">
        <v>197</v>
      </c>
      <c r="E3796">
        <v>-1.6126447119263095E-3</v>
      </c>
      <c r="F3796">
        <f t="shared" si="124"/>
        <v>-6.468461797885186E-2</v>
      </c>
      <c r="G3796">
        <f t="shared" si="125"/>
        <v>-6.7555192424793076E-2</v>
      </c>
    </row>
    <row r="3797" spans="1:144" ht="12.5" customHeight="1" x14ac:dyDescent="0.35">
      <c r="A3797" t="s">
        <v>197</v>
      </c>
      <c r="E3797">
        <v>1.0519540135797081E-2</v>
      </c>
      <c r="F3797">
        <f t="shared" si="124"/>
        <v>-6.5402261590337171E-2</v>
      </c>
      <c r="G3797">
        <f t="shared" si="125"/>
        <v>-6.7555192424793076E-2</v>
      </c>
    </row>
    <row r="3798" spans="1:144" ht="12.5" customHeight="1" x14ac:dyDescent="0.35">
      <c r="A3798" t="s">
        <v>197</v>
      </c>
      <c r="E3798">
        <v>-8.3334824833704076E-3</v>
      </c>
      <c r="F3798">
        <f t="shared" si="124"/>
        <v>-6.6119905201822468E-2</v>
      </c>
      <c r="G3798">
        <f t="shared" si="125"/>
        <v>-6.7555192424793076E-2</v>
      </c>
    </row>
    <row r="3799" spans="1:144" ht="12.5" customHeight="1" x14ac:dyDescent="0.35">
      <c r="A3799" t="s">
        <v>197</v>
      </c>
      <c r="E3799">
        <v>1.0430294037861367E-3</v>
      </c>
      <c r="F3799">
        <f t="shared" si="124"/>
        <v>-6.6837548813307779E-2</v>
      </c>
      <c r="G3799">
        <f t="shared" si="125"/>
        <v>-6.7555192424793076E-2</v>
      </c>
    </row>
    <row r="3800" spans="1:144" ht="12.5" customHeight="1" x14ac:dyDescent="0.35">
      <c r="A3800" t="s">
        <v>197</v>
      </c>
      <c r="E3800">
        <v>-9.2387219195878417E-3</v>
      </c>
      <c r="F3800">
        <f t="shared" si="124"/>
        <v>-6.7555192424793076E-2</v>
      </c>
      <c r="G3800">
        <f t="shared" si="125"/>
        <v>-6.7555192424793076E-2</v>
      </c>
    </row>
    <row r="3801" spans="1:144" ht="12.5" customHeight="1" x14ac:dyDescent="0.35">
      <c r="A3801" t="s">
        <v>197</v>
      </c>
      <c r="E3801">
        <v>-1.7901206090557297E-2</v>
      </c>
      <c r="F3801" t="e">
        <f t="shared" si="124"/>
        <v>#NUM!</v>
      </c>
      <c r="G3801" t="e">
        <f t="shared" si="125"/>
        <v>#DIV/0!</v>
      </c>
    </row>
    <row r="3802" spans="1:144" s="3" customFormat="1" ht="12.5" customHeight="1" x14ac:dyDescent="0.35">
      <c r="A3802" s="3" t="s">
        <v>198</v>
      </c>
      <c r="B3802" s="3" cm="1">
        <f t="array" ref="B3802">_xlfn.STDEV.S(_xlfn._xlws.FILTER($E$2826:$E$3824, $A$2826:$A$3824="2025-04"))</f>
        <v>2.9952688079154934E-2</v>
      </c>
      <c r="C3802" s="3" cm="1">
        <f t="array" ref="C3802">AVERAGE(_xlfn._xlws.FILTER($E$2826:$E$3824, $A$2826:$A$3824="2025-04"))</f>
        <v>-1.0978732589239407E-3</v>
      </c>
      <c r="D3802" s="3" cm="1">
        <f t="array" ref="D3802">_xlfn.PERCENTILE.INC(_xlfn._xlws.FILTER($E$2490:$E$3818, $A$2490:$A$3818="2025-04"), 0.05)</f>
        <v>-5.6072894641028236E-2</v>
      </c>
      <c r="E3802" s="3">
        <v>1.3194138829915644E-2</v>
      </c>
      <c r="F3802" s="3" t="e">
        <f t="shared" si="124"/>
        <v>#NUM!</v>
      </c>
      <c r="G3802" s="3" t="e">
        <f t="shared" si="125"/>
        <v>#DIV/0!</v>
      </c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  <c r="DT3802"/>
      <c r="DU3802"/>
      <c r="DV3802"/>
      <c r="DW3802"/>
      <c r="DX3802"/>
      <c r="DY3802"/>
      <c r="DZ3802"/>
      <c r="EA3802"/>
      <c r="EB3802"/>
      <c r="EC3802"/>
      <c r="ED3802"/>
      <c r="EE3802"/>
      <c r="EF3802"/>
      <c r="EG3802"/>
      <c r="EH3802"/>
      <c r="EI3802"/>
      <c r="EJ3802"/>
      <c r="EK3802"/>
      <c r="EL3802"/>
      <c r="EM3802"/>
      <c r="EN3802"/>
    </row>
    <row r="3803" spans="1:144" ht="12.5" customHeight="1" x14ac:dyDescent="0.35">
      <c r="A3803" t="s">
        <v>198</v>
      </c>
      <c r="E3803">
        <v>-2.6795986197962955E-3</v>
      </c>
      <c r="F3803" t="e">
        <f t="shared" si="124"/>
        <v>#NUM!</v>
      </c>
      <c r="G3803" t="e">
        <f t="shared" si="125"/>
        <v>#DIV/0!</v>
      </c>
    </row>
    <row r="3804" spans="1:144" ht="12.5" customHeight="1" x14ac:dyDescent="0.35">
      <c r="A3804" t="s">
        <v>198</v>
      </c>
      <c r="E3804">
        <v>-3.6637515771197081E-2</v>
      </c>
      <c r="F3804" t="e">
        <f t="shared" si="124"/>
        <v>#NUM!</v>
      </c>
      <c r="G3804" t="e">
        <f t="shared" si="125"/>
        <v>#DIV/0!</v>
      </c>
    </row>
    <row r="3805" spans="1:144" ht="12.5" customHeight="1" x14ac:dyDescent="0.35">
      <c r="A3805" t="s">
        <v>198</v>
      </c>
      <c r="E3805">
        <v>-6.7555192424793076E-2</v>
      </c>
      <c r="F3805" t="e">
        <f t="shared" si="124"/>
        <v>#NUM!</v>
      </c>
      <c r="G3805" t="e">
        <f t="shared" si="125"/>
        <v>#DIV/0!</v>
      </c>
    </row>
    <row r="3806" spans="1:144" ht="12.5" customHeight="1" x14ac:dyDescent="0.35">
      <c r="A3806" t="s">
        <v>198</v>
      </c>
      <c r="E3806">
        <v>-5.3202320195087027E-2</v>
      </c>
      <c r="F3806" t="e">
        <f t="shared" si="124"/>
        <v>#NUM!</v>
      </c>
      <c r="G3806" t="e">
        <f t="shared" si="125"/>
        <v>#DIV/0!</v>
      </c>
    </row>
    <row r="3807" spans="1:144" ht="12.5" customHeight="1" x14ac:dyDescent="0.35">
      <c r="A3807" t="s">
        <v>198</v>
      </c>
      <c r="E3807">
        <v>2.4149649439957982E-2</v>
      </c>
      <c r="F3807" t="e">
        <f t="shared" si="124"/>
        <v>#NUM!</v>
      </c>
      <c r="G3807" t="e">
        <f t="shared" si="125"/>
        <v>#DIV/0!</v>
      </c>
    </row>
    <row r="3808" spans="1:144" ht="12.5" customHeight="1" x14ac:dyDescent="0.35">
      <c r="A3808" t="s">
        <v>198</v>
      </c>
      <c r="E3808">
        <v>-2.7913040228055311E-2</v>
      </c>
      <c r="F3808" t="e">
        <f t="shared" si="124"/>
        <v>#NUM!</v>
      </c>
      <c r="G3808" t="e">
        <f t="shared" si="125"/>
        <v>#DIV/0!</v>
      </c>
    </row>
    <row r="3809" spans="1:7" ht="12.5" customHeight="1" x14ac:dyDescent="0.35">
      <c r="A3809" t="s">
        <v>198</v>
      </c>
      <c r="E3809">
        <v>4.6167697401255189E-2</v>
      </c>
      <c r="F3809" t="e">
        <f t="shared" si="124"/>
        <v>#NUM!</v>
      </c>
      <c r="G3809" t="e">
        <f t="shared" si="125"/>
        <v>#DIV/0!</v>
      </c>
    </row>
    <row r="3810" spans="1:7" ht="12.5" customHeight="1" x14ac:dyDescent="0.35">
      <c r="A3810" t="s">
        <v>198</v>
      </c>
      <c r="E3810">
        <v>-7.29848176268264E-3</v>
      </c>
      <c r="F3810" t="e">
        <f t="shared" si="124"/>
        <v>#NUM!</v>
      </c>
      <c r="G3810" t="e">
        <f t="shared" si="125"/>
        <v>#DIV/0!</v>
      </c>
    </row>
    <row r="3811" spans="1:7" ht="12.5" customHeight="1" x14ac:dyDescent="0.35">
      <c r="A3811" t="s">
        <v>198</v>
      </c>
      <c r="E3811">
        <v>2.8373321468825822E-2</v>
      </c>
      <c r="F3811" t="e">
        <f t="shared" si="124"/>
        <v>#NUM!</v>
      </c>
      <c r="G3811" t="e">
        <f t="shared" si="125"/>
        <v>#DIV/0!</v>
      </c>
    </row>
    <row r="3812" spans="1:7" ht="12.5" customHeight="1" x14ac:dyDescent="0.35">
      <c r="A3812" t="s">
        <v>198</v>
      </c>
      <c r="E3812">
        <v>2.3619126564156746E-2</v>
      </c>
      <c r="F3812" t="e">
        <f t="shared" si="124"/>
        <v>#NUM!</v>
      </c>
      <c r="G3812" t="e">
        <f t="shared" si="125"/>
        <v>#DIV/0!</v>
      </c>
    </row>
    <row r="3813" spans="1:7" ht="12.5" customHeight="1" x14ac:dyDescent="0.35">
      <c r="A3813" t="s">
        <v>198</v>
      </c>
      <c r="E3813">
        <v>6.2229563929413548E-3</v>
      </c>
      <c r="F3813" t="e">
        <f t="shared" si="124"/>
        <v>#NUM!</v>
      </c>
      <c r="G3813" t="e">
        <f t="shared" si="125"/>
        <v>#DIV/0!</v>
      </c>
    </row>
    <row r="3814" spans="1:7" ht="12.5" customHeight="1" x14ac:dyDescent="0.35">
      <c r="A3814" t="s">
        <v>198</v>
      </c>
      <c r="E3814">
        <v>-2.4189441064322642E-3</v>
      </c>
      <c r="F3814" t="e">
        <f t="shared" si="124"/>
        <v>#NUM!</v>
      </c>
      <c r="G3814" t="e">
        <f t="shared" si="125"/>
        <v>#DIV/0!</v>
      </c>
    </row>
    <row r="3815" spans="1:7" ht="12.5" customHeight="1" x14ac:dyDescent="0.35">
      <c r="A3815" t="s">
        <v>198</v>
      </c>
      <c r="E3815">
        <v>-9.0478971898390521E-4</v>
      </c>
      <c r="F3815" t="e">
        <f t="shared" si="124"/>
        <v>#NUM!</v>
      </c>
      <c r="G3815" t="e">
        <f t="shared" si="125"/>
        <v>#DIV/0!</v>
      </c>
    </row>
    <row r="3816" spans="1:7" ht="12.5" customHeight="1" x14ac:dyDescent="0.35">
      <c r="A3816" t="s">
        <v>198</v>
      </c>
      <c r="E3816">
        <v>1.4081746033178568E-2</v>
      </c>
      <c r="F3816" t="e">
        <f t="shared" si="124"/>
        <v>#NUM!</v>
      </c>
      <c r="G3816" t="e">
        <f t="shared" si="125"/>
        <v>#DIV/0!</v>
      </c>
    </row>
    <row r="3817" spans="1:7" ht="12.5" customHeight="1" x14ac:dyDescent="0.35">
      <c r="A3817" t="s">
        <v>198</v>
      </c>
      <c r="E3817">
        <v>9.5818227531600901E-3</v>
      </c>
      <c r="F3817" t="e">
        <f t="shared" si="124"/>
        <v>#NUM!</v>
      </c>
      <c r="G3817" t="e">
        <f t="shared" si="125"/>
        <v>#DIV/0!</v>
      </c>
    </row>
    <row r="3818" spans="1:7" ht="12.5" customHeight="1" x14ac:dyDescent="0.35">
      <c r="A3818" t="s">
        <v>198</v>
      </c>
      <c r="E3818">
        <v>1.4555578541929216E-2</v>
      </c>
      <c r="F3818" t="e">
        <f t="shared" si="124"/>
        <v>#NUM!</v>
      </c>
      <c r="G3818" t="e">
        <f t="shared" si="125"/>
        <v>#DIV/0!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B37F-8160-48C6-B3CE-C3908E64AB1B}">
  <dimension ref="A1:AL3818"/>
  <sheetViews>
    <sheetView topLeftCell="A57" zoomScale="20" zoomScaleNormal="20" workbookViewId="0">
      <selection activeCell="AO188" sqref="AO188"/>
    </sheetView>
  </sheetViews>
  <sheetFormatPr baseColWidth="10" defaultRowHeight="14.5" x14ac:dyDescent="0.35"/>
  <cols>
    <col min="1" max="1" width="18.36328125" customWidth="1"/>
    <col min="2" max="3" width="19.08984375" customWidth="1"/>
    <col min="4" max="4" width="17.6328125" customWidth="1"/>
    <col min="5" max="5" width="20.08984375" customWidth="1"/>
    <col min="6" max="8" width="10.90625" customWidth="1"/>
    <col min="10" max="10" width="18.453125" bestFit="1" customWidth="1"/>
    <col min="11" max="13" width="18.453125" customWidth="1"/>
    <col min="14" max="14" width="15.81640625" bestFit="1" customWidth="1"/>
    <col min="15" max="16" width="18.453125" bestFit="1" customWidth="1"/>
    <col min="17" max="17" width="25" customWidth="1"/>
    <col min="18" max="18" width="15.81640625" bestFit="1" customWidth="1"/>
    <col min="19" max="20" width="18.453125" customWidth="1"/>
    <col min="21" max="22" width="18.453125" bestFit="1" customWidth="1"/>
    <col min="23" max="33" width="18.453125" customWidth="1"/>
    <col min="35" max="38" width="18.453125" hidden="1" customWidth="1"/>
  </cols>
  <sheetData>
    <row r="1" spans="1:38" x14ac:dyDescent="0.35">
      <c r="A1" t="s">
        <v>400</v>
      </c>
      <c r="B1" t="s">
        <v>249</v>
      </c>
      <c r="C1" t="s">
        <v>381</v>
      </c>
      <c r="D1" t="s">
        <v>210</v>
      </c>
      <c r="E1" t="s">
        <v>399</v>
      </c>
      <c r="F1" t="s">
        <v>199</v>
      </c>
      <c r="G1" t="s">
        <v>200</v>
      </c>
    </row>
    <row r="2" spans="1:38" x14ac:dyDescent="0.35">
      <c r="A2" t="s">
        <v>15</v>
      </c>
      <c r="B2" s="3" cm="1">
        <f t="array" ref="B2">_xlfn.STDEV.S(_xlfn._xlws.FILTER($E$2:$E$1000, $A$2:$A$1000="2010-01"))</f>
        <v>1.071010724870868E-2</v>
      </c>
      <c r="C2" s="3" cm="1">
        <f t="array" ref="C2">AVERAGE(_xlfn._xlws.FILTER($E$2:$E$1000, $A$2:$A$1000="2010-01"))</f>
        <v>-4.3798999888103466E-3</v>
      </c>
      <c r="D2" s="3" cm="1">
        <f t="array" ref="D2">_xlfn.PERCENTILE.EXC(_xlfn._xlws.FILTER($E$2:$E$21, $A$2:$A$21="2010-01"), 0.05)</f>
        <v>-2.3806854401359545E-2</v>
      </c>
      <c r="F2">
        <f>_xlfn.PERCENTILE.EXC(E2:E3817,0.05)</f>
        <v>-1.9988255605090682E-2</v>
      </c>
      <c r="G2">
        <f>AVERAGEIFS(E2:E3818,E2:E3818,"&lt;=" &amp; F2)</f>
        <v>-3.1389438091636773E-2</v>
      </c>
      <c r="J2" t="s">
        <v>204</v>
      </c>
      <c r="K2" t="s">
        <v>249</v>
      </c>
      <c r="L2" t="s">
        <v>381</v>
      </c>
      <c r="M2" t="s">
        <v>250</v>
      </c>
      <c r="N2" t="s">
        <v>201</v>
      </c>
      <c r="O2" t="s">
        <v>200</v>
      </c>
      <c r="P2" t="s">
        <v>436</v>
      </c>
      <c r="Q2" t="s">
        <v>434</v>
      </c>
      <c r="R2" t="s">
        <v>220</v>
      </c>
      <c r="S2" t="s">
        <v>435</v>
      </c>
      <c r="T2" t="s">
        <v>382</v>
      </c>
      <c r="U2" t="s">
        <v>203</v>
      </c>
      <c r="V2" t="s">
        <v>222</v>
      </c>
      <c r="W2" t="s">
        <v>223</v>
      </c>
      <c r="X2" t="s">
        <v>224</v>
      </c>
      <c r="Y2" t="s">
        <v>274</v>
      </c>
      <c r="Z2" t="s">
        <v>275</v>
      </c>
      <c r="AI2" s="3" t="s">
        <v>212</v>
      </c>
      <c r="AJ2" s="3" t="s">
        <v>213</v>
      </c>
      <c r="AK2" s="3" t="s">
        <v>214</v>
      </c>
      <c r="AL2" s="3" t="s">
        <v>215</v>
      </c>
    </row>
    <row r="3" spans="1:38" x14ac:dyDescent="0.35">
      <c r="A3" t="s">
        <v>15</v>
      </c>
      <c r="E3">
        <v>-1.8042643895909041E-3</v>
      </c>
      <c r="F3">
        <f>_xlfn.PERCENTILE.EXC(E2:E3818,0.05)</f>
        <v>-1.9986474665046147E-2</v>
      </c>
      <c r="G3">
        <f t="shared" ref="G3:G66" si="0">AVERAGEIFS(E3:E3819,E3:E3819,"&lt;=" &amp; F3)</f>
        <v>-3.1389438091636773E-2</v>
      </c>
      <c r="J3" s="2" t="s">
        <v>15</v>
      </c>
      <c r="K3">
        <f>B2</f>
        <v>1.071010724870868E-2</v>
      </c>
      <c r="L3">
        <f>C2</f>
        <v>-4.3798999888103466E-3</v>
      </c>
      <c r="N3">
        <f>D2</f>
        <v>-2.3806854401359545E-2</v>
      </c>
      <c r="O3">
        <f>AVERAGEIFS(E2:E21,E2:E21,"&lt;=" &amp; N3)</f>
        <v>-2.3806854401359545E-2</v>
      </c>
      <c r="P3">
        <v>142.0035492802493</v>
      </c>
      <c r="Q3">
        <f>AI3*0.44699+AJ3*0.3494+AK3*0.10843+AL3*0.09639</f>
        <v>124.75665551835148</v>
      </c>
      <c r="R3">
        <v>37.116689999999998</v>
      </c>
      <c r="U3">
        <v>24.62</v>
      </c>
      <c r="V3">
        <f>CORREL(Q3:Q186,N3:N186)</f>
        <v>-8.0161053261800758E-2</v>
      </c>
      <c r="W3">
        <f>CORREL(P3:P186,O3:O186)</f>
        <v>-0.14441051892151732</v>
      </c>
      <c r="X3">
        <f>CORREL(N3:N186,O3:O186)</f>
        <v>0.95659742397907077</v>
      </c>
      <c r="Y3">
        <f>CORREL(Q3:Q186,U3:U186)</f>
        <v>0.19360737886245291</v>
      </c>
      <c r="Z3">
        <f>CORREL(Q3:Q186,R3:R186)</f>
        <v>-0.11708876298422541</v>
      </c>
      <c r="AI3">
        <v>147.0803791304256</v>
      </c>
      <c r="AJ3">
        <v>105.57108427115571</v>
      </c>
      <c r="AK3">
        <v>111.14257049560547</v>
      </c>
      <c r="AL3">
        <v>104.52817810625834</v>
      </c>
    </row>
    <row r="4" spans="1:38" x14ac:dyDescent="0.35">
      <c r="A4" t="s">
        <v>15</v>
      </c>
      <c r="E4">
        <v>-8.9670913777099544E-4</v>
      </c>
      <c r="F4">
        <f t="shared" ref="F4:F67" si="1">_xlfn.PERCENTILE.EXC(E4:E3819,0.05)</f>
        <v>-1.9988255605090682E-2</v>
      </c>
      <c r="G4">
        <f t="shared" si="0"/>
        <v>-3.1389438091636773E-2</v>
      </c>
      <c r="J4" s="2" t="s">
        <v>16</v>
      </c>
      <c r="K4">
        <f>B22</f>
        <v>1.470569253229242E-2</v>
      </c>
      <c r="L4">
        <f>C22</f>
        <v>-8.7844883892702571E-4</v>
      </c>
      <c r="M4">
        <f>K3</f>
        <v>1.071010724870868E-2</v>
      </c>
      <c r="N4">
        <f>D22</f>
        <v>-3.4914396729906254E-2</v>
      </c>
      <c r="O4">
        <f>AVERAGEIFS(E22:E41,E22:E41,"&lt;=" &amp; N4)</f>
        <v>-3.5257259373100563E-2</v>
      </c>
      <c r="P4">
        <v>136.73906173204071</v>
      </c>
      <c r="Q4">
        <f t="shared" ref="Q4:Q67" si="2">AI4*0.44699+AJ4*0.3494+AK4*0.10843+AL4*0.09639</f>
        <v>144.03610279797621</v>
      </c>
      <c r="R4">
        <v>33.141820000000003</v>
      </c>
      <c r="S4">
        <f>P3</f>
        <v>142.0035492802493</v>
      </c>
      <c r="T4">
        <v>1.071010724870868E-2</v>
      </c>
      <c r="U4">
        <v>19.5</v>
      </c>
      <c r="AI4">
        <v>171.11748379552878</v>
      </c>
      <c r="AJ4">
        <v>121.43700721669113</v>
      </c>
      <c r="AK4">
        <v>136.99745178222656</v>
      </c>
      <c r="AL4">
        <v>106.47966280686907</v>
      </c>
    </row>
    <row r="5" spans="1:38" x14ac:dyDescent="0.35">
      <c r="A5" t="s">
        <v>15</v>
      </c>
      <c r="E5">
        <v>-7.7114845104513433E-4</v>
      </c>
      <c r="F5">
        <f t="shared" si="1"/>
        <v>-1.9990036545135217E-2</v>
      </c>
      <c r="G5">
        <f t="shared" si="0"/>
        <v>-3.1389438091636773E-2</v>
      </c>
      <c r="J5" s="2" t="s">
        <v>17</v>
      </c>
      <c r="K5">
        <f>B42</f>
        <v>8.2081685337995099E-3</v>
      </c>
      <c r="L5">
        <f>C42</f>
        <v>8.2081685337995099E-3</v>
      </c>
      <c r="M5">
        <f>K4</f>
        <v>1.470569253229242E-2</v>
      </c>
      <c r="N5">
        <f>D42</f>
        <v>-8.9155171405747059E-3</v>
      </c>
      <c r="O5">
        <f>AVERAGEIFS(E42:E64,E42:E64,"&lt;=" &amp; N5)</f>
        <v>-9.6414107438156649E-3</v>
      </c>
      <c r="P5">
        <v>137.83829759075431</v>
      </c>
      <c r="Q5">
        <f t="shared" si="2"/>
        <v>136.73465094460127</v>
      </c>
      <c r="R5">
        <v>27.876359999999998</v>
      </c>
      <c r="S5">
        <f>P4</f>
        <v>136.73906173204071</v>
      </c>
      <c r="T5">
        <v>1.470569253229242E-2</v>
      </c>
      <c r="U5">
        <v>17.59</v>
      </c>
      <c r="AI5">
        <v>169.56921673538247</v>
      </c>
      <c r="AJ5">
        <v>116.47019690925322</v>
      </c>
      <c r="AK5">
        <v>99.085060119628906</v>
      </c>
      <c r="AL5">
        <v>98.562370444944619</v>
      </c>
    </row>
    <row r="6" spans="1:38" x14ac:dyDescent="0.35">
      <c r="A6" t="s">
        <v>15</v>
      </c>
      <c r="E6">
        <v>3.488690202210867E-3</v>
      </c>
      <c r="F6">
        <f t="shared" si="1"/>
        <v>-1.9991817485179749E-2</v>
      </c>
      <c r="G6">
        <f t="shared" si="0"/>
        <v>-3.1389438091636773E-2</v>
      </c>
      <c r="J6" s="2" t="s">
        <v>18</v>
      </c>
      <c r="K6">
        <f>B65</f>
        <v>1.4342343612081181E-2</v>
      </c>
      <c r="L6">
        <f>C65</f>
        <v>1.4342343612081181E-2</v>
      </c>
      <c r="M6">
        <f t="shared" ref="M6:M69" si="3">K5</f>
        <v>8.2081685337995099E-3</v>
      </c>
      <c r="N6">
        <f>D65</f>
        <v>-3.6612228199559449E-2</v>
      </c>
      <c r="O6">
        <f>AVERAGEIFS(E65:E84,E65:E84,"&lt;=" &amp; N6)</f>
        <v>-3.7426894375161571E-2</v>
      </c>
      <c r="P6">
        <v>152.7844741201373</v>
      </c>
      <c r="Q6">
        <f t="shared" si="2"/>
        <v>143.08172963231129</v>
      </c>
      <c r="R6">
        <v>38.34281</v>
      </c>
      <c r="S6">
        <f t="shared" ref="S6:S69" si="4">P5</f>
        <v>137.83829759075431</v>
      </c>
      <c r="T6">
        <v>8.2081685337995099E-3</v>
      </c>
      <c r="U6">
        <v>22.05</v>
      </c>
      <c r="AI6">
        <v>152.00736059535694</v>
      </c>
      <c r="AJ6">
        <v>153.83554692754655</v>
      </c>
      <c r="AK6">
        <v>98.701118469238281</v>
      </c>
      <c r="AL6">
        <v>110.83781665824699</v>
      </c>
    </row>
    <row r="7" spans="1:38" x14ac:dyDescent="0.35">
      <c r="A7" t="s">
        <v>15</v>
      </c>
      <c r="E7">
        <v>-2.5248475197683405E-3</v>
      </c>
      <c r="F7">
        <f t="shared" si="1"/>
        <v>-1.9993598425224281E-2</v>
      </c>
      <c r="G7">
        <f t="shared" si="0"/>
        <v>-3.1389438091636773E-2</v>
      </c>
      <c r="J7" s="2" t="s">
        <v>19</v>
      </c>
      <c r="K7">
        <f>B85</f>
        <v>3.3574522687436902E-2</v>
      </c>
      <c r="L7">
        <f>C85</f>
        <v>-3.9325379543071574E-3</v>
      </c>
      <c r="M7">
        <f t="shared" si="3"/>
        <v>1.4342343612081181E-2</v>
      </c>
      <c r="N7">
        <f>D85</f>
        <v>-4.8223764664700464E-2</v>
      </c>
      <c r="O7">
        <f>AVERAGEIFS(E85:E103,E85:E103,"&lt;=" &amp; N7)</f>
        <v>-4.8223764664700464E-2</v>
      </c>
      <c r="P7">
        <v>203.305241297669</v>
      </c>
      <c r="Q7">
        <f t="shared" si="2"/>
        <v>246.57661447108111</v>
      </c>
      <c r="R7">
        <v>42.291849999999997</v>
      </c>
      <c r="S7">
        <f t="shared" si="4"/>
        <v>152.7844741201373</v>
      </c>
      <c r="T7">
        <v>1.4342343612081181E-2</v>
      </c>
      <c r="U7">
        <v>32.07</v>
      </c>
      <c r="AI7">
        <v>368.2284460521463</v>
      </c>
      <c r="AJ7">
        <v>156.3809576278984</v>
      </c>
      <c r="AK7">
        <v>149.98333740234375</v>
      </c>
      <c r="AL7">
        <v>114.94949165378587</v>
      </c>
    </row>
    <row r="8" spans="1:38" x14ac:dyDescent="0.35">
      <c r="A8" t="s">
        <v>15</v>
      </c>
      <c r="E8">
        <v>-1.1140678400090089E-2</v>
      </c>
      <c r="F8">
        <f t="shared" si="1"/>
        <v>-1.9995379365268816E-2</v>
      </c>
      <c r="G8">
        <f t="shared" si="0"/>
        <v>-3.1389438091636773E-2</v>
      </c>
      <c r="J8" s="2" t="s">
        <v>20</v>
      </c>
      <c r="K8">
        <f>B104</f>
        <v>1.6400799961012857E-2</v>
      </c>
      <c r="L8">
        <f>C104</f>
        <v>-7.1398519358352669E-4</v>
      </c>
      <c r="M8">
        <f t="shared" si="3"/>
        <v>3.3574522687436902E-2</v>
      </c>
      <c r="N8">
        <f>D104</f>
        <v>-4.1212742013719314E-2</v>
      </c>
      <c r="O8">
        <f>AVERAGEIFS(E104:E125,E104:E125,"&lt;=" &amp; N8)</f>
        <v>-4.3003672951539902E-2</v>
      </c>
      <c r="P8">
        <v>171.40265474116359</v>
      </c>
      <c r="Q8">
        <f t="shared" si="2"/>
        <v>141.50260965838507</v>
      </c>
      <c r="R8">
        <v>42.061239999999998</v>
      </c>
      <c r="S8">
        <f t="shared" si="4"/>
        <v>203.305241297669</v>
      </c>
      <c r="T8">
        <v>3.3574522687436902E-2</v>
      </c>
      <c r="U8">
        <v>34.54</v>
      </c>
      <c r="AI8">
        <v>135.45886657506682</v>
      </c>
      <c r="AJ8">
        <v>143.11946684277873</v>
      </c>
      <c r="AK8">
        <v>142.48199462890625</v>
      </c>
      <c r="AL8">
        <v>160.79039833506351</v>
      </c>
    </row>
    <row r="9" spans="1:38" x14ac:dyDescent="0.35">
      <c r="A9" t="s">
        <v>15</v>
      </c>
      <c r="E9">
        <v>5.1046967676069495E-4</v>
      </c>
      <c r="F9">
        <f t="shared" si="1"/>
        <v>-1.9997160305313347E-2</v>
      </c>
      <c r="G9">
        <f t="shared" si="0"/>
        <v>-3.1389438091636773E-2</v>
      </c>
      <c r="J9" s="2" t="s">
        <v>21</v>
      </c>
      <c r="K9">
        <f>B126</f>
        <v>1.3375159771246301E-2</v>
      </c>
      <c r="L9">
        <f>C126</f>
        <v>2.8882610659499361E-3</v>
      </c>
      <c r="M9">
        <f t="shared" si="3"/>
        <v>1.6400799961012857E-2</v>
      </c>
      <c r="N9">
        <f>D126</f>
        <v>-2.1461319271563997E-2</v>
      </c>
      <c r="O9">
        <f>AVERAGEIFS(E126:E147,E126:E147,"&lt;=" &amp; N9)</f>
        <v>-2.1473850316550708E-2</v>
      </c>
      <c r="P9">
        <v>186.5552341452198</v>
      </c>
      <c r="Q9">
        <f t="shared" si="2"/>
        <v>176.71532689895389</v>
      </c>
      <c r="R9">
        <v>35.439799999999998</v>
      </c>
      <c r="S9">
        <f t="shared" si="4"/>
        <v>171.40265474116359</v>
      </c>
      <c r="T9">
        <v>1.6400799961012857E-2</v>
      </c>
      <c r="U9">
        <v>23.5</v>
      </c>
      <c r="AI9">
        <v>187.11679620988335</v>
      </c>
      <c r="AJ9">
        <v>193.8954319811794</v>
      </c>
      <c r="AK9">
        <v>105.17088317871094</v>
      </c>
      <c r="AL9">
        <v>144.46775976560252</v>
      </c>
    </row>
    <row r="10" spans="1:38" x14ac:dyDescent="0.35">
      <c r="A10" t="s">
        <v>15</v>
      </c>
      <c r="E10">
        <v>3.7867916540887821E-3</v>
      </c>
      <c r="F10">
        <f t="shared" si="1"/>
        <v>-1.9998941245357883E-2</v>
      </c>
      <c r="G10">
        <f t="shared" si="0"/>
        <v>-3.1389438091636773E-2</v>
      </c>
      <c r="J10" s="2" t="s">
        <v>22</v>
      </c>
      <c r="K10">
        <f>B148</f>
        <v>1.3187275575546598E-2</v>
      </c>
      <c r="L10">
        <f>C148</f>
        <v>-2.116142804687303E-3</v>
      </c>
      <c r="M10">
        <f t="shared" si="3"/>
        <v>1.3375159771246301E-2</v>
      </c>
      <c r="N10">
        <f>D148</f>
        <v>-2.6705171594100619E-2</v>
      </c>
      <c r="O10">
        <f>AVERAGEIFS(E148:E168,E148:E168,"&lt;=" &amp; N10)</f>
        <v>-2.7466436299235921E-2</v>
      </c>
      <c r="P10">
        <v>172.81605534694799</v>
      </c>
      <c r="Q10">
        <f t="shared" si="2"/>
        <v>148.68238738465408</v>
      </c>
      <c r="R10">
        <v>37.272030000000001</v>
      </c>
      <c r="S10">
        <f t="shared" si="4"/>
        <v>186.5552341452198</v>
      </c>
      <c r="T10">
        <v>1.3375159771246301E-2</v>
      </c>
      <c r="U10">
        <v>26.05</v>
      </c>
      <c r="AI10">
        <v>170.77811211563909</v>
      </c>
      <c r="AJ10">
        <v>146.92627324532936</v>
      </c>
      <c r="AK10">
        <v>94.590065002441406</v>
      </c>
      <c r="AL10">
        <v>111.56591378723688</v>
      </c>
    </row>
    <row r="11" spans="1:38" x14ac:dyDescent="0.35">
      <c r="A11" t="s">
        <v>15</v>
      </c>
      <c r="E11">
        <v>-1.6681780983200008E-2</v>
      </c>
      <c r="F11">
        <f t="shared" si="1"/>
        <v>-2.0000722185402414E-2</v>
      </c>
      <c r="G11">
        <f t="shared" si="0"/>
        <v>-3.1389438091636773E-2</v>
      </c>
      <c r="J11" s="2" t="s">
        <v>23</v>
      </c>
      <c r="K11">
        <f>B169</f>
        <v>1.1438859635224525E-2</v>
      </c>
      <c r="L11">
        <f>C169</f>
        <v>2.1153338652549251E-3</v>
      </c>
      <c r="M11">
        <f t="shared" si="3"/>
        <v>1.3187275575546598E-2</v>
      </c>
      <c r="N11">
        <f>D169</f>
        <v>-1.4278477365360469E-2</v>
      </c>
      <c r="O11">
        <f>AVERAGEIFS(E169:E190,E169:E190,"&lt;=" &amp; N11)</f>
        <v>-1.5063414408993453E-2</v>
      </c>
      <c r="P11">
        <v>161.69014823445701</v>
      </c>
      <c r="Q11">
        <f t="shared" si="2"/>
        <v>158.52732676896258</v>
      </c>
      <c r="R11">
        <v>35.565089999999998</v>
      </c>
      <c r="S11">
        <f t="shared" si="4"/>
        <v>172.81605534694799</v>
      </c>
      <c r="T11">
        <v>1.3187275575546598E-2</v>
      </c>
      <c r="U11">
        <v>23.7</v>
      </c>
      <c r="AI11">
        <v>214.52643368357181</v>
      </c>
      <c r="AJ11">
        <v>111.59323887873222</v>
      </c>
      <c r="AK11">
        <v>105.94867706298828</v>
      </c>
      <c r="AL11">
        <v>126.12784996964379</v>
      </c>
    </row>
    <row r="12" spans="1:38" x14ac:dyDescent="0.35">
      <c r="A12" t="s">
        <v>15</v>
      </c>
      <c r="E12">
        <v>5.9748029599020801E-3</v>
      </c>
      <c r="F12">
        <f t="shared" si="1"/>
        <v>-2.0002503125446949E-2</v>
      </c>
      <c r="G12">
        <f t="shared" si="0"/>
        <v>-3.1389438091636773E-2</v>
      </c>
      <c r="J12" s="2" t="s">
        <v>24</v>
      </c>
      <c r="K12">
        <f>B191</f>
        <v>8.7147752077431605E-3</v>
      </c>
      <c r="L12">
        <f>C191</f>
        <v>1.6534556684549234E-3</v>
      </c>
      <c r="M12">
        <f t="shared" si="3"/>
        <v>1.1438859635224525E-2</v>
      </c>
      <c r="N12">
        <f>D191</f>
        <v>-1.1509630334435653E-2</v>
      </c>
      <c r="O12">
        <f>AVERAGEIFS(E191:E211,E191:E211,"&lt;=" &amp; N12)</f>
        <v>-1.1737496110470706E-2</v>
      </c>
      <c r="P12">
        <v>186.14112465740769</v>
      </c>
      <c r="Q12">
        <f t="shared" si="2"/>
        <v>203.04552317415715</v>
      </c>
      <c r="R12">
        <v>32.5473</v>
      </c>
      <c r="S12">
        <f t="shared" si="4"/>
        <v>161.69014823445701</v>
      </c>
      <c r="T12">
        <v>1.1438859635224525E-2</v>
      </c>
      <c r="U12">
        <v>21.2</v>
      </c>
      <c r="AI12">
        <v>309.01094125472378</v>
      </c>
      <c r="AJ12">
        <v>116.37975909668141</v>
      </c>
      <c r="AK12">
        <v>105.42673492431641</v>
      </c>
      <c r="AL12">
        <v>133.0658143633579</v>
      </c>
    </row>
    <row r="13" spans="1:38" x14ac:dyDescent="0.35">
      <c r="A13" t="s">
        <v>15</v>
      </c>
      <c r="E13">
        <v>9.0700288099076539E-3</v>
      </c>
      <c r="F13">
        <f t="shared" si="1"/>
        <v>-2.0004284065491481E-2</v>
      </c>
      <c r="G13">
        <f t="shared" si="0"/>
        <v>-3.1389438091636773E-2</v>
      </c>
      <c r="J13" s="2" t="s">
        <v>25</v>
      </c>
      <c r="K13">
        <f>B212</f>
        <v>1.2691051743758029E-2</v>
      </c>
      <c r="L13">
        <f>C212</f>
        <v>-3.210290795241029E-3</v>
      </c>
      <c r="M13">
        <f t="shared" si="3"/>
        <v>8.7147752077431605E-3</v>
      </c>
      <c r="N13">
        <f>D212</f>
        <v>-2.5788139839396047E-2</v>
      </c>
      <c r="O13">
        <f>AVERAGEIFS(E212:E233,E212:E233,"&lt;=" &amp; N13)</f>
        <v>-2.5965283743333525E-2</v>
      </c>
      <c r="P13">
        <v>172.68817491475599</v>
      </c>
      <c r="Q13">
        <f t="shared" si="2"/>
        <v>145.15469475361724</v>
      </c>
      <c r="R13">
        <v>40.515819999999998</v>
      </c>
      <c r="S13">
        <f t="shared" si="4"/>
        <v>186.14112465740769</v>
      </c>
      <c r="T13">
        <v>8.7147752077431605E-3</v>
      </c>
      <c r="U13">
        <v>23.54</v>
      </c>
      <c r="AI13">
        <v>152.43801128102848</v>
      </c>
      <c r="AJ13">
        <v>137.21381824957714</v>
      </c>
      <c r="AK13">
        <v>140.54161071777344</v>
      </c>
      <c r="AL13">
        <v>143.53141554704732</v>
      </c>
    </row>
    <row r="14" spans="1:38" x14ac:dyDescent="0.35">
      <c r="A14" t="s">
        <v>15</v>
      </c>
      <c r="E14">
        <v>-2.3806854401359545E-2</v>
      </c>
      <c r="F14">
        <f t="shared" si="1"/>
        <v>-2.0006065005536016E-2</v>
      </c>
      <c r="G14">
        <f t="shared" si="0"/>
        <v>-3.1389438091636773E-2</v>
      </c>
      <c r="J14" s="2" t="s">
        <v>26</v>
      </c>
      <c r="K14">
        <f>B234</f>
        <v>1.0098672637979547E-2</v>
      </c>
      <c r="L14">
        <f>C234</f>
        <v>3.0103890646816685E-3</v>
      </c>
      <c r="M14">
        <f t="shared" si="3"/>
        <v>1.2691051743758029E-2</v>
      </c>
      <c r="N14">
        <f>D234</f>
        <v>-1.2106509637262669E-2</v>
      </c>
      <c r="O14">
        <f>AVERAGEIFS(E234:E252,E234:E252,"&lt;=" &amp; N14)</f>
        <v>-1.2106509637262669E-2</v>
      </c>
      <c r="P14">
        <v>183.07599232967101</v>
      </c>
      <c r="Q14">
        <f t="shared" si="2"/>
        <v>227.7034165021077</v>
      </c>
      <c r="R14">
        <v>31.72045</v>
      </c>
      <c r="S14">
        <f t="shared" si="4"/>
        <v>172.68817491475599</v>
      </c>
      <c r="T14">
        <v>1.2691051743758029E-2</v>
      </c>
      <c r="U14">
        <v>17.75</v>
      </c>
      <c r="AI14">
        <v>311.90800715942743</v>
      </c>
      <c r="AJ14">
        <v>179.41429972841618</v>
      </c>
      <c r="AK14">
        <v>138.58390808105469</v>
      </c>
      <c r="AL14">
        <v>109.6550150801729</v>
      </c>
    </row>
    <row r="15" spans="1:38" x14ac:dyDescent="0.35">
      <c r="A15" t="s">
        <v>15</v>
      </c>
      <c r="E15">
        <v>-1.7775245821770657E-2</v>
      </c>
      <c r="F15">
        <f t="shared" si="1"/>
        <v>-1.9976360522842615E-2</v>
      </c>
      <c r="G15">
        <f t="shared" si="0"/>
        <v>-3.1369302709760738E-2</v>
      </c>
      <c r="J15" s="2" t="s">
        <v>27</v>
      </c>
      <c r="K15">
        <f>B253</f>
        <v>1.1029594675379098E-2</v>
      </c>
      <c r="L15">
        <f>C253</f>
        <v>2.5452187501980236E-3</v>
      </c>
      <c r="M15">
        <f t="shared" si="3"/>
        <v>1.0098672637979547E-2</v>
      </c>
      <c r="N15">
        <f>D253</f>
        <v>-1.6760720877214429E-2</v>
      </c>
      <c r="O15">
        <f>AVERAGEIFS(E253:E272,E253:E272,"&lt;=" &amp; N15)</f>
        <v>-1.7012044049628663E-2</v>
      </c>
      <c r="P15">
        <v>143.031739552131</v>
      </c>
      <c r="Q15">
        <f t="shared" si="2"/>
        <v>144.64279630465211</v>
      </c>
      <c r="R15">
        <v>31.13862</v>
      </c>
      <c r="S15">
        <f t="shared" si="4"/>
        <v>183.07599232967101</v>
      </c>
      <c r="T15">
        <v>1.0098672637979547E-2</v>
      </c>
      <c r="U15">
        <v>19.53</v>
      </c>
      <c r="AI15">
        <v>162.46417461815372</v>
      </c>
      <c r="AJ15">
        <v>140.9458415604839</v>
      </c>
      <c r="AK15">
        <v>131.94673156738281</v>
      </c>
      <c r="AL15">
        <v>87.866726289025721</v>
      </c>
    </row>
    <row r="16" spans="1:38" x14ac:dyDescent="0.35">
      <c r="A16" t="s">
        <v>15</v>
      </c>
      <c r="E16">
        <v>-9.2806869578820773E-3</v>
      </c>
      <c r="F16">
        <f t="shared" si="1"/>
        <v>-1.9977314787256603E-2</v>
      </c>
      <c r="G16">
        <f t="shared" si="0"/>
        <v>-3.1369302709760738E-2</v>
      </c>
      <c r="J16" s="2" t="s">
        <v>28</v>
      </c>
      <c r="K16">
        <f>B273</f>
        <v>8.4148044440251462E-3</v>
      </c>
      <c r="L16">
        <f>C273</f>
        <v>9.9656039458565502E-4</v>
      </c>
      <c r="M16">
        <f t="shared" si="3"/>
        <v>1.1029594675379098E-2</v>
      </c>
      <c r="N16">
        <f>D273</f>
        <v>-1.7877116179003557E-2</v>
      </c>
      <c r="O16">
        <f>AVERAGEIFS(E273:E292,E273:E292,"&lt;=" &amp; N16)</f>
        <v>-1.830869813192532E-2</v>
      </c>
      <c r="P16">
        <v>122.4457903905477</v>
      </c>
      <c r="Q16">
        <f t="shared" si="2"/>
        <v>150.2379585802274</v>
      </c>
      <c r="R16">
        <v>31.327290000000001</v>
      </c>
      <c r="S16">
        <f t="shared" si="4"/>
        <v>143.031739552131</v>
      </c>
      <c r="T16">
        <v>1.1029594675379098E-2</v>
      </c>
      <c r="U16">
        <v>18.350000000000001</v>
      </c>
      <c r="AI16">
        <v>210.0111903468607</v>
      </c>
      <c r="AJ16">
        <v>93.271113596540289</v>
      </c>
      <c r="AK16">
        <v>127.27813720703125</v>
      </c>
      <c r="AL16">
        <v>103.48958500979919</v>
      </c>
    </row>
    <row r="17" spans="1:38" x14ac:dyDescent="0.35">
      <c r="A17" t="s">
        <v>15</v>
      </c>
      <c r="E17">
        <v>-1.0453489000885311E-2</v>
      </c>
      <c r="F17">
        <f t="shared" si="1"/>
        <v>-1.9978269051670588E-2</v>
      </c>
      <c r="G17">
        <f t="shared" si="0"/>
        <v>-3.1369302709760738E-2</v>
      </c>
      <c r="J17" s="2" t="s">
        <v>29</v>
      </c>
      <c r="K17">
        <f>B293</f>
        <v>1.2010326111810703E-2</v>
      </c>
      <c r="L17">
        <f>C293</f>
        <v>-1.5000166603474933E-3</v>
      </c>
      <c r="M17">
        <f t="shared" si="3"/>
        <v>8.4148044440251462E-3</v>
      </c>
      <c r="N17">
        <f>D293</f>
        <v>-2.3853377847577201E-2</v>
      </c>
      <c r="O17">
        <f>AVERAGEIFS(E293:E315,E293:E315,"&lt;=" &amp; N17)</f>
        <v>-2.4098492260903614E-2</v>
      </c>
      <c r="P17">
        <v>154.40152075271001</v>
      </c>
      <c r="Q17">
        <f t="shared" si="2"/>
        <v>187.98065627916981</v>
      </c>
      <c r="R17">
        <v>31.331520000000001</v>
      </c>
      <c r="S17">
        <f t="shared" si="4"/>
        <v>122.4457903905477</v>
      </c>
      <c r="T17">
        <v>8.4148044440251462E-3</v>
      </c>
      <c r="U17">
        <v>17.739999999999998</v>
      </c>
      <c r="AI17">
        <v>271.07414381300066</v>
      </c>
      <c r="AJ17">
        <v>123.78567873907862</v>
      </c>
      <c r="AK17">
        <v>129.07090759277344</v>
      </c>
      <c r="AL17">
        <v>99.256666401889788</v>
      </c>
    </row>
    <row r="18" spans="1:38" x14ac:dyDescent="0.35">
      <c r="A18" t="s">
        <v>15</v>
      </c>
      <c r="E18">
        <v>7.254638705664597E-3</v>
      </c>
      <c r="F18">
        <f t="shared" si="1"/>
        <v>-1.9979223316084576E-2</v>
      </c>
      <c r="G18">
        <f t="shared" si="0"/>
        <v>-3.1369302709760738E-2</v>
      </c>
      <c r="J18" s="2" t="s">
        <v>30</v>
      </c>
      <c r="K18">
        <f>B316</f>
        <v>1.1008796109201488E-2</v>
      </c>
      <c r="L18">
        <f>C316</f>
        <v>1.7734239919157695E-3</v>
      </c>
      <c r="M18">
        <f t="shared" si="3"/>
        <v>1.2010326111810703E-2</v>
      </c>
      <c r="N18">
        <f>D316</f>
        <v>-1.5857986009317111E-2</v>
      </c>
      <c r="O18">
        <f>AVERAGEIFS(E316:E333,E316:E333,"&lt;=" &amp; N18)</f>
        <v>-2.465527237181727E-2</v>
      </c>
      <c r="P18">
        <v>145.50860544685099</v>
      </c>
      <c r="Q18">
        <f t="shared" si="2"/>
        <v>159.8144719590498</v>
      </c>
      <c r="R18">
        <v>27.39622</v>
      </c>
      <c r="S18">
        <f t="shared" si="4"/>
        <v>154.40152075271001</v>
      </c>
      <c r="T18">
        <v>1.2010326111810703E-2</v>
      </c>
      <c r="U18">
        <v>14.75</v>
      </c>
      <c r="AI18">
        <v>241.78795016043958</v>
      </c>
      <c r="AJ18">
        <v>80.16926761768643</v>
      </c>
      <c r="AK18">
        <v>126.47275543212891</v>
      </c>
      <c r="AL18">
        <v>103.88103682653349</v>
      </c>
    </row>
    <row r="19" spans="1:38" x14ac:dyDescent="0.35">
      <c r="A19" t="s">
        <v>15</v>
      </c>
      <c r="E19">
        <v>-1.4368544339313524E-2</v>
      </c>
      <c r="F19">
        <f t="shared" si="1"/>
        <v>-1.9980177580498561E-2</v>
      </c>
      <c r="G19">
        <f t="shared" si="0"/>
        <v>-3.1369302709760738E-2</v>
      </c>
      <c r="J19" s="2" t="s">
        <v>31</v>
      </c>
      <c r="K19">
        <f>B334</f>
        <v>1.050642668188316E-2</v>
      </c>
      <c r="L19">
        <f>C334</f>
        <v>-2.4447325333321925E-3</v>
      </c>
      <c r="M19">
        <f t="shared" si="3"/>
        <v>1.1008796109201488E-2</v>
      </c>
      <c r="N19">
        <f>D334</f>
        <v>-2.0952326222377464E-2</v>
      </c>
      <c r="O19">
        <f>AVERAGEIFS(E334:E353,E334:E353,"&lt;=" &amp; N19)</f>
        <v>-2.1147198266583758E-2</v>
      </c>
      <c r="P19">
        <v>134.21507639235449</v>
      </c>
      <c r="Q19">
        <f t="shared" si="2"/>
        <v>131.48391787150371</v>
      </c>
      <c r="R19">
        <v>29.241160000000001</v>
      </c>
      <c r="S19">
        <f t="shared" si="4"/>
        <v>145.50860544685099</v>
      </c>
      <c r="T19">
        <v>1.1008796109201488E-2</v>
      </c>
      <c r="U19">
        <v>15.45</v>
      </c>
      <c r="AI19">
        <v>164.03363825314077</v>
      </c>
      <c r="AJ19">
        <v>93.211036061799163</v>
      </c>
      <c r="AK19">
        <v>113.10902404785156</v>
      </c>
      <c r="AL19">
        <v>138.29416361895559</v>
      </c>
    </row>
    <row r="20" spans="1:38" x14ac:dyDescent="0.35">
      <c r="A20" t="s">
        <v>15</v>
      </c>
      <c r="E20">
        <v>-1.8126268945587189E-2</v>
      </c>
      <c r="F20">
        <f t="shared" si="1"/>
        <v>-1.9981131844912549E-2</v>
      </c>
      <c r="G20">
        <f t="shared" si="0"/>
        <v>-3.1369302709760738E-2</v>
      </c>
      <c r="J20" s="2" t="s">
        <v>32</v>
      </c>
      <c r="K20">
        <f>B354</f>
        <v>1.2823030006059796E-2</v>
      </c>
      <c r="L20">
        <f>C354</f>
        <v>-2.1316620550328197E-4</v>
      </c>
      <c r="M20">
        <f t="shared" si="3"/>
        <v>1.050642668188316E-2</v>
      </c>
      <c r="N20">
        <f>D354</f>
        <v>-2.2391252527640734E-2</v>
      </c>
      <c r="O20">
        <f>AVERAGEIFS(E354:E375,E354:E375,"&lt;=" &amp; N20)</f>
        <v>-2.3240573112132578E-2</v>
      </c>
      <c r="P20">
        <v>168.2958940040441</v>
      </c>
      <c r="Q20">
        <f t="shared" si="2"/>
        <v>187.43504607320705</v>
      </c>
      <c r="R20">
        <v>31.286750000000001</v>
      </c>
      <c r="S20">
        <f t="shared" si="4"/>
        <v>134.21507639235449</v>
      </c>
      <c r="T20">
        <v>1.050642668188316E-2</v>
      </c>
      <c r="U20">
        <v>16.52</v>
      </c>
      <c r="AI20">
        <v>228.37820428264607</v>
      </c>
      <c r="AJ20">
        <v>172.59468328313437</v>
      </c>
      <c r="AK20">
        <v>144.17045593261719</v>
      </c>
      <c r="AL20">
        <v>97.679091866441041</v>
      </c>
    </row>
    <row r="21" spans="1:38" x14ac:dyDescent="0.35">
      <c r="A21" t="s">
        <v>15</v>
      </c>
      <c r="E21">
        <v>1.4326996552332504E-2</v>
      </c>
      <c r="F21">
        <f t="shared" si="1"/>
        <v>-1.998291278495708E-2</v>
      </c>
      <c r="G21">
        <f t="shared" si="0"/>
        <v>-3.1429557582061514E-2</v>
      </c>
      <c r="J21" s="2" t="s">
        <v>33</v>
      </c>
      <c r="K21">
        <f>B376</f>
        <v>1.2797648691979706E-2</v>
      </c>
      <c r="L21">
        <f>C376</f>
        <v>-3.0755253405436926E-3</v>
      </c>
      <c r="M21">
        <f t="shared" si="3"/>
        <v>1.2823030006059796E-2</v>
      </c>
      <c r="N21">
        <f>D376</f>
        <v>-2.8500025885579816E-2</v>
      </c>
      <c r="O21">
        <f>AVERAGEIFS(E376:E396,E376:E396,"&lt;=" &amp; N21)</f>
        <v>-2.9442612023332773E-2</v>
      </c>
      <c r="P21">
        <v>183.40234123443241</v>
      </c>
      <c r="Q21">
        <f t="shared" si="2"/>
        <v>187.89049580601394</v>
      </c>
      <c r="R21">
        <v>39.728549999999998</v>
      </c>
      <c r="S21">
        <f t="shared" si="4"/>
        <v>168.2958940040441</v>
      </c>
      <c r="T21">
        <v>1.2823030006059796E-2</v>
      </c>
      <c r="U21">
        <v>25.25</v>
      </c>
      <c r="AI21">
        <v>211.36402454797417</v>
      </c>
      <c r="AJ21">
        <v>184.01230375435156</v>
      </c>
      <c r="AK21">
        <v>156.86024475097656</v>
      </c>
      <c r="AL21">
        <v>125.64202928930554</v>
      </c>
    </row>
    <row r="22" spans="1:38" x14ac:dyDescent="0.35">
      <c r="A22" t="s">
        <v>16</v>
      </c>
      <c r="B22" s="3" cm="1">
        <f t="array" ref="B22">_xlfn.STDEV.S(_xlfn._xlws.FILTER($E$2:$E$1000, $A$2:$A$1000="2010-02"))</f>
        <v>1.470569253229242E-2</v>
      </c>
      <c r="C22" s="3" cm="1">
        <f t="array" ref="C22">AVERAGE(_xlfn._xlws.FILTER($E$2:$E$1000, $A$2:$A$1000="2010-02"))</f>
        <v>-8.7844883892702571E-4</v>
      </c>
      <c r="D22" s="3" cm="1">
        <f t="array" ref="D22">_xlfn.PERCENTILE.EXC(_xlfn._xlws.FILTER($E$22:$E$41, $A$22:$A$41="2010-02"), 0.05)</f>
        <v>-3.4914396729906254E-2</v>
      </c>
      <c r="E22">
        <v>5.9101232690430853E-3</v>
      </c>
      <c r="F22">
        <f t="shared" si="1"/>
        <v>-1.9984693725001616E-2</v>
      </c>
      <c r="G22">
        <f t="shared" si="0"/>
        <v>-3.1429557582061514E-2</v>
      </c>
      <c r="J22" s="4" t="s">
        <v>34</v>
      </c>
      <c r="K22" s="3">
        <f>B397</f>
        <v>2.7728341006958802E-2</v>
      </c>
      <c r="L22" s="3">
        <f>C397</f>
        <v>-7.0668560716782118E-3</v>
      </c>
      <c r="M22">
        <f t="shared" si="3"/>
        <v>1.2797648691979706E-2</v>
      </c>
      <c r="N22" s="3">
        <f>D397</f>
        <v>-6.2352798893702238E-2</v>
      </c>
      <c r="O22" s="3">
        <f>AVERAGEIFS(E397:E417,E397:E417,"&lt;=" &amp; N22)</f>
        <v>-6.3181839038860349E-2</v>
      </c>
      <c r="P22" s="3">
        <v>230.29893866600091</v>
      </c>
      <c r="Q22" s="3">
        <f t="shared" si="2"/>
        <v>247.90593467786056</v>
      </c>
      <c r="R22" s="3">
        <v>51.370930000000001</v>
      </c>
      <c r="S22">
        <f t="shared" si="4"/>
        <v>183.40234123443241</v>
      </c>
      <c r="T22">
        <v>1.2797648691979706E-2</v>
      </c>
      <c r="U22" s="3">
        <v>31.62</v>
      </c>
      <c r="AI22" s="3">
        <v>256.70832615054053</v>
      </c>
      <c r="AJ22" s="3">
        <v>280.61475107957574</v>
      </c>
      <c r="AK22" s="3">
        <v>169.69657897949219</v>
      </c>
      <c r="AL22" s="3">
        <v>173.38817186305968</v>
      </c>
    </row>
    <row r="23" spans="1:38" x14ac:dyDescent="0.35">
      <c r="A23" t="s">
        <v>16</v>
      </c>
      <c r="E23">
        <v>1.3060132638747448E-2</v>
      </c>
      <c r="F23">
        <f t="shared" si="1"/>
        <v>-1.9986474665046147E-2</v>
      </c>
      <c r="G23">
        <f t="shared" si="0"/>
        <v>-3.1429557582061514E-2</v>
      </c>
      <c r="J23" s="2" t="s">
        <v>35</v>
      </c>
      <c r="K23">
        <f>B418</f>
        <v>3.025350878056134E-2</v>
      </c>
      <c r="L23">
        <f>C418</f>
        <v>-2.4838254886528459E-3</v>
      </c>
      <c r="M23">
        <f t="shared" si="3"/>
        <v>2.7728341006958802E-2</v>
      </c>
      <c r="N23">
        <f>D418</f>
        <v>-5.2102185062653003E-2</v>
      </c>
      <c r="O23">
        <f>AVERAGEIFS(E418:E439,E418:E439,"&lt;=" &amp; N23)</f>
        <v>-5.2438196733504229E-2</v>
      </c>
      <c r="P23">
        <v>280.05812897200673</v>
      </c>
      <c r="Q23">
        <f t="shared" si="2"/>
        <v>303.64670112315565</v>
      </c>
      <c r="R23">
        <v>62.779389999999999</v>
      </c>
      <c r="S23">
        <f t="shared" si="4"/>
        <v>230.29893866600091</v>
      </c>
      <c r="T23">
        <v>2.7728341006958802E-2</v>
      </c>
      <c r="U23">
        <v>42.96</v>
      </c>
      <c r="AI23">
        <v>312.2534632145842</v>
      </c>
      <c r="AJ23">
        <v>377.84379255251787</v>
      </c>
      <c r="AK23">
        <v>142.77693176269531</v>
      </c>
      <c r="AL23">
        <v>171.93279149278845</v>
      </c>
    </row>
    <row r="24" spans="1:38" x14ac:dyDescent="0.35">
      <c r="A24" t="s">
        <v>16</v>
      </c>
      <c r="E24">
        <v>-9.015753342903254E-3</v>
      </c>
      <c r="F24">
        <f t="shared" si="1"/>
        <v>-1.9988255605090682E-2</v>
      </c>
      <c r="G24">
        <f t="shared" si="0"/>
        <v>-3.1429557582061514E-2</v>
      </c>
      <c r="J24" s="2" t="s">
        <v>36</v>
      </c>
      <c r="K24">
        <f>B440</f>
        <v>2.3886686404217317E-2</v>
      </c>
      <c r="L24">
        <f>C440</f>
        <v>4.2915458065734095E-3</v>
      </c>
      <c r="M24">
        <f t="shared" si="3"/>
        <v>3.025350878056134E-2</v>
      </c>
      <c r="N24">
        <f>D440</f>
        <v>-3.1180322586165217E-2</v>
      </c>
      <c r="O24">
        <f>AVERAGEIFS(E440:E460,E440:E460,"&lt;=" &amp; N24)</f>
        <v>-3.1828876383301452E-2</v>
      </c>
      <c r="P24">
        <v>241.75185227888929</v>
      </c>
      <c r="Q24">
        <f t="shared" si="2"/>
        <v>244.11153143714853</v>
      </c>
      <c r="R24">
        <v>48.978070000000002</v>
      </c>
      <c r="S24">
        <f t="shared" si="4"/>
        <v>280.05812897200673</v>
      </c>
      <c r="T24">
        <v>3.025350878056134E-2</v>
      </c>
      <c r="U24">
        <v>29.96</v>
      </c>
      <c r="AI24">
        <v>298.85209459124127</v>
      </c>
      <c r="AJ24">
        <v>217.81926791486822</v>
      </c>
      <c r="AK24">
        <v>136.20451354980469</v>
      </c>
      <c r="AL24">
        <v>203.88967799719163</v>
      </c>
    </row>
    <row r="25" spans="1:38" x14ac:dyDescent="0.35">
      <c r="A25" t="s">
        <v>16</v>
      </c>
      <c r="E25">
        <v>-3.5257259373100563E-2</v>
      </c>
      <c r="F25">
        <f t="shared" si="1"/>
        <v>-1.9990036545135217E-2</v>
      </c>
      <c r="G25">
        <f t="shared" si="0"/>
        <v>-3.1429557582061514E-2</v>
      </c>
      <c r="J25" s="2" t="s">
        <v>37</v>
      </c>
      <c r="K25">
        <f>B461</f>
        <v>2.4701782052133761E-2</v>
      </c>
      <c r="L25">
        <f>C461</f>
        <v>-1.0562983348205289E-3</v>
      </c>
      <c r="M25">
        <f t="shared" si="3"/>
        <v>2.3886686404217317E-2</v>
      </c>
      <c r="N25">
        <f>D461</f>
        <v>-5.115233932303892E-2</v>
      </c>
      <c r="O25">
        <f>AVERAGEIFS(E461:E482,E461:E482,"&lt;=" &amp; N25)</f>
        <v>-5.4046026152092884E-2</v>
      </c>
      <c r="P25">
        <v>304.60021869478697</v>
      </c>
      <c r="Q25">
        <f t="shared" si="2"/>
        <v>316.4380384939488</v>
      </c>
      <c r="R25">
        <v>49.869079999999997</v>
      </c>
      <c r="S25">
        <f t="shared" si="4"/>
        <v>241.75185227888929</v>
      </c>
      <c r="T25">
        <v>2.3886686404217317E-2</v>
      </c>
      <c r="U25">
        <v>27.8</v>
      </c>
      <c r="AI25">
        <v>361.36985406003123</v>
      </c>
      <c r="AJ25">
        <v>327.94839273539174</v>
      </c>
      <c r="AK25">
        <v>177.70838928222656</v>
      </c>
      <c r="AL25">
        <v>218.43799518661436</v>
      </c>
    </row>
    <row r="26" spans="1:38" x14ac:dyDescent="0.35">
      <c r="A26" t="s">
        <v>16</v>
      </c>
      <c r="E26">
        <v>-2.8400006509214325E-2</v>
      </c>
      <c r="F26">
        <f t="shared" si="1"/>
        <v>-1.9967772143116735E-2</v>
      </c>
      <c r="G26">
        <f t="shared" si="0"/>
        <v>-3.1348731510483806E-2</v>
      </c>
      <c r="J26" s="2" t="s">
        <v>38</v>
      </c>
      <c r="K26">
        <f>B483</f>
        <v>1.6152860955899583E-2</v>
      </c>
      <c r="L26">
        <f>C483</f>
        <v>-2.9868949892132985E-4</v>
      </c>
      <c r="M26">
        <f t="shared" si="3"/>
        <v>2.4701782052133761E-2</v>
      </c>
      <c r="N26">
        <f>D483</f>
        <v>-3.1362386566121531E-2</v>
      </c>
      <c r="O26">
        <f>AVERAGEIFS(E483:E502,E483:E502,"&lt;=" &amp; N26)</f>
        <v>-3.1715237151799053E-2</v>
      </c>
      <c r="P26">
        <v>228.8715918129833</v>
      </c>
      <c r="Q26">
        <f t="shared" si="2"/>
        <v>230.16126267271625</v>
      </c>
      <c r="R26">
        <v>41.6721</v>
      </c>
      <c r="S26">
        <f t="shared" si="4"/>
        <v>304.60021869478697</v>
      </c>
      <c r="T26">
        <v>2.4701782052133761E-2</v>
      </c>
      <c r="U26">
        <v>23.4</v>
      </c>
      <c r="AI26">
        <v>283.25138728551804</v>
      </c>
      <c r="AJ26">
        <v>203.20614372825028</v>
      </c>
      <c r="AK26">
        <v>132.91546630859375</v>
      </c>
      <c r="AL26">
        <v>188.17796907844254</v>
      </c>
    </row>
    <row r="27" spans="1:38" x14ac:dyDescent="0.35">
      <c r="A27" t="s">
        <v>16</v>
      </c>
      <c r="E27">
        <v>1.2330379619716312E-2</v>
      </c>
      <c r="F27">
        <f t="shared" si="1"/>
        <v>-1.9948725804357505E-2</v>
      </c>
      <c r="G27">
        <f t="shared" si="0"/>
        <v>-3.130408621972941E-2</v>
      </c>
      <c r="J27" s="2" t="s">
        <v>39</v>
      </c>
      <c r="K27">
        <f>B503</f>
        <v>1.3210563752509822E-2</v>
      </c>
      <c r="L27">
        <f>C503</f>
        <v>2.0146386497957476E-3</v>
      </c>
      <c r="M27">
        <f t="shared" si="3"/>
        <v>1.6152860955899583E-2</v>
      </c>
      <c r="N27">
        <f>D503</f>
        <v>-1.6661961742451742E-2</v>
      </c>
      <c r="O27">
        <f>AVERAGEIFS(E503:E523,E503:E523,"&lt;=" &amp; N27)</f>
        <v>-1.6887189780737836E-2</v>
      </c>
      <c r="P27">
        <v>216.73444719591211</v>
      </c>
      <c r="Q27">
        <f t="shared" si="2"/>
        <v>230.45769335081789</v>
      </c>
      <c r="R27">
        <v>34.387320000000003</v>
      </c>
      <c r="S27">
        <f t="shared" si="4"/>
        <v>228.8715918129833</v>
      </c>
      <c r="T27">
        <v>1.6152860955899583E-2</v>
      </c>
      <c r="U27">
        <v>19.440000000000001</v>
      </c>
      <c r="AI27">
        <v>289.3977719458548</v>
      </c>
      <c r="AJ27">
        <v>193.76167484396305</v>
      </c>
      <c r="AK27">
        <v>148.67044067382813</v>
      </c>
      <c r="AL27">
        <v>179.26256039004437</v>
      </c>
    </row>
    <row r="28" spans="1:38" x14ac:dyDescent="0.35">
      <c r="A28" t="s">
        <v>16</v>
      </c>
      <c r="E28">
        <v>1.5526788699687783E-3</v>
      </c>
      <c r="F28">
        <f t="shared" si="1"/>
        <v>-1.9949750477609451E-2</v>
      </c>
      <c r="G28">
        <f t="shared" si="0"/>
        <v>-3.130408621972941E-2</v>
      </c>
      <c r="J28" s="2" t="s">
        <v>40</v>
      </c>
      <c r="K28">
        <f>B524</f>
        <v>8.5355782413636463E-3</v>
      </c>
      <c r="L28">
        <f>C524</f>
        <v>1.8446007562925961E-3</v>
      </c>
      <c r="M28">
        <f t="shared" si="3"/>
        <v>1.3210563752509822E-2</v>
      </c>
      <c r="N28">
        <f>D524</f>
        <v>-1.585305018802758E-2</v>
      </c>
      <c r="O28">
        <f>AVERAGEIFS(E524:E544,E524:E544,"&lt;=" &amp; N28)</f>
        <v>-1.6622077253064402E-2</v>
      </c>
      <c r="P28">
        <v>193.44435697001859</v>
      </c>
      <c r="Q28">
        <f t="shared" si="2"/>
        <v>206.55526953363093</v>
      </c>
      <c r="R28">
        <v>31.961829999999999</v>
      </c>
      <c r="S28">
        <f t="shared" si="4"/>
        <v>216.73444719591211</v>
      </c>
      <c r="T28">
        <v>1.3210563752509822E-2</v>
      </c>
      <c r="U28">
        <v>18.43</v>
      </c>
      <c r="AI28">
        <v>299.14963243652801</v>
      </c>
      <c r="AJ28">
        <v>127.25827416801425</v>
      </c>
      <c r="AK28">
        <v>141.65986633300781</v>
      </c>
      <c r="AL28">
        <v>135.01561396446792</v>
      </c>
    </row>
    <row r="29" spans="1:38" x14ac:dyDescent="0.35">
      <c r="A29" t="s">
        <v>16</v>
      </c>
      <c r="E29">
        <v>1.1824449508887447E-2</v>
      </c>
      <c r="F29">
        <f t="shared" si="1"/>
        <v>-1.99507751508614E-2</v>
      </c>
      <c r="G29">
        <f t="shared" si="0"/>
        <v>-3.130408621972941E-2</v>
      </c>
      <c r="J29" s="2" t="s">
        <v>41</v>
      </c>
      <c r="K29">
        <f>B545</f>
        <v>1.2644043698119797E-2</v>
      </c>
      <c r="L29">
        <f>C545</f>
        <v>-6.3462969862427079E-4</v>
      </c>
      <c r="M29">
        <f t="shared" si="3"/>
        <v>8.5355782413636463E-3</v>
      </c>
      <c r="N29">
        <f>D545</f>
        <v>-3.217910352570013E-2</v>
      </c>
      <c r="O29">
        <f>AVERAGEIFS(E545:E566,E545:E566,"&lt;=" &amp; N29)</f>
        <v>-3.4724342564821882E-2</v>
      </c>
      <c r="P29">
        <v>177.49268584752809</v>
      </c>
      <c r="Q29">
        <f t="shared" si="2"/>
        <v>167.23846936644424</v>
      </c>
      <c r="R29">
        <v>30.058730000000001</v>
      </c>
      <c r="S29">
        <f t="shared" si="4"/>
        <v>193.44435697001859</v>
      </c>
      <c r="T29">
        <v>8.5355782413636463E-3</v>
      </c>
      <c r="U29">
        <v>15.5</v>
      </c>
      <c r="AI29">
        <v>219.13884320323302</v>
      </c>
      <c r="AJ29">
        <v>112.18205637764385</v>
      </c>
      <c r="AK29">
        <v>152.198974609375</v>
      </c>
      <c r="AL29">
        <v>140.95085099893987</v>
      </c>
    </row>
    <row r="30" spans="1:38" x14ac:dyDescent="0.35">
      <c r="A30" t="s">
        <v>16</v>
      </c>
      <c r="E30">
        <v>-7.404660236950196E-3</v>
      </c>
      <c r="F30">
        <f t="shared" si="1"/>
        <v>-1.9951799824113346E-2</v>
      </c>
      <c r="G30">
        <f t="shared" si="0"/>
        <v>-3.130408621972941E-2</v>
      </c>
      <c r="J30" s="2" t="s">
        <v>42</v>
      </c>
      <c r="K30">
        <f>B567</f>
        <v>1.792514049175634E-2</v>
      </c>
      <c r="L30">
        <f>C567</f>
        <v>-3.7610689234131227E-3</v>
      </c>
      <c r="M30">
        <f t="shared" si="3"/>
        <v>1.2644043698119797E-2</v>
      </c>
      <c r="N30">
        <f>D567</f>
        <v>-3.0129112044838865E-2</v>
      </c>
      <c r="O30">
        <f>AVERAGEIFS(E567:E585,E567:E585,"&lt;=" &amp; N30)</f>
        <v>-3.0129112044838865E-2</v>
      </c>
      <c r="P30">
        <v>216.9958607004088</v>
      </c>
      <c r="Q30">
        <f t="shared" si="2"/>
        <v>237.43963827460385</v>
      </c>
      <c r="R30">
        <v>35.65361</v>
      </c>
      <c r="S30">
        <f t="shared" si="4"/>
        <v>177.49268584752809</v>
      </c>
      <c r="T30">
        <v>1.2644043698119797E-2</v>
      </c>
      <c r="U30">
        <v>17.149999999999999</v>
      </c>
      <c r="AI30">
        <v>330.94551775743366</v>
      </c>
      <c r="AJ30">
        <v>139.84863858367368</v>
      </c>
      <c r="AK30">
        <v>205.71994018554688</v>
      </c>
      <c r="AL30">
        <v>190.27880336916857</v>
      </c>
    </row>
    <row r="31" spans="1:38" x14ac:dyDescent="0.35">
      <c r="A31" t="s">
        <v>16</v>
      </c>
      <c r="E31">
        <v>-2.1625829434418829E-3</v>
      </c>
      <c r="F31">
        <f t="shared" si="1"/>
        <v>-1.9952824497365292E-2</v>
      </c>
      <c r="G31">
        <f t="shared" si="0"/>
        <v>-3.130408621972941E-2</v>
      </c>
      <c r="J31" s="2" t="s">
        <v>43</v>
      </c>
      <c r="K31">
        <f>B586</f>
        <v>1.1735276710722916E-2</v>
      </c>
      <c r="L31">
        <f>C586</f>
        <v>-4.0373767094905519E-3</v>
      </c>
      <c r="M31">
        <f t="shared" si="3"/>
        <v>1.792514049175634E-2</v>
      </c>
      <c r="N31">
        <f>D586</f>
        <v>-2.6822699334648713E-2</v>
      </c>
      <c r="O31">
        <f>AVERAGEIFS(E586:E606,E586:E606,"&lt;=" &amp; N31)</f>
        <v>-2.71804848604488E-2</v>
      </c>
      <c r="P31">
        <v>234.75578479958429</v>
      </c>
      <c r="Q31">
        <f t="shared" si="2"/>
        <v>238.38485791896852</v>
      </c>
      <c r="R31">
        <v>43.20946</v>
      </c>
      <c r="S31">
        <f t="shared" si="4"/>
        <v>216.9958607004088</v>
      </c>
      <c r="T31">
        <v>1.792514049175634E-2</v>
      </c>
      <c r="U31">
        <v>24.06</v>
      </c>
      <c r="AI31">
        <v>313.97367466007552</v>
      </c>
      <c r="AJ31">
        <v>169.59648362044646</v>
      </c>
      <c r="AK31">
        <v>226.41781616210938</v>
      </c>
      <c r="AL31">
        <v>147.67372029484213</v>
      </c>
    </row>
    <row r="32" spans="1:38" x14ac:dyDescent="0.35">
      <c r="A32" t="s">
        <v>16</v>
      </c>
      <c r="E32">
        <v>3.4973879916669805E-3</v>
      </c>
      <c r="F32">
        <f t="shared" si="1"/>
        <v>-1.9953849170617242E-2</v>
      </c>
      <c r="G32">
        <f t="shared" si="0"/>
        <v>-3.130408621972941E-2</v>
      </c>
      <c r="J32" s="2" t="s">
        <v>44</v>
      </c>
      <c r="K32">
        <f>B607</f>
        <v>1.7654624927951484E-2</v>
      </c>
      <c r="L32">
        <f>C607</f>
        <v>3.5018509127414527E-3</v>
      </c>
      <c r="M32">
        <f t="shared" si="3"/>
        <v>1.1735276710722916E-2</v>
      </c>
      <c r="N32">
        <f>D607</f>
        <v>-2.5988603408694175E-2</v>
      </c>
      <c r="O32">
        <f>AVERAGEIFS(E607:E625,E607:E625,"&lt;=" &amp; N32)</f>
        <v>-2.5988603408694175E-2</v>
      </c>
      <c r="P32">
        <v>244.5021132895522</v>
      </c>
      <c r="Q32">
        <f t="shared" si="2"/>
        <v>279.71321274200403</v>
      </c>
      <c r="R32">
        <v>31.559560000000001</v>
      </c>
      <c r="S32">
        <f t="shared" si="4"/>
        <v>234.75578479958429</v>
      </c>
      <c r="T32">
        <v>1.1735276710722916E-2</v>
      </c>
      <c r="U32">
        <v>17.079999999999998</v>
      </c>
      <c r="AI32">
        <v>380.179149625006</v>
      </c>
      <c r="AJ32">
        <v>202.49005798798208</v>
      </c>
      <c r="AK32">
        <v>234.37637329101563</v>
      </c>
      <c r="AL32">
        <v>141.23330463924509</v>
      </c>
    </row>
    <row r="33" spans="1:38" x14ac:dyDescent="0.35">
      <c r="A33" t="s">
        <v>16</v>
      </c>
      <c r="E33">
        <v>1.3670049678848811E-2</v>
      </c>
      <c r="F33">
        <f t="shared" si="1"/>
        <v>-1.9954873843869188E-2</v>
      </c>
      <c r="G33">
        <f t="shared" si="0"/>
        <v>-3.130408621972941E-2</v>
      </c>
      <c r="J33" s="2" t="s">
        <v>45</v>
      </c>
      <c r="K33">
        <f>B626</f>
        <v>1.6535312929541857E-2</v>
      </c>
      <c r="L33">
        <f>C626</f>
        <v>1.2081153424633188E-3</v>
      </c>
      <c r="M33">
        <f t="shared" si="3"/>
        <v>1.7654624927951484E-2</v>
      </c>
      <c r="N33">
        <f>D626</f>
        <v>-2.8328226997669848E-2</v>
      </c>
      <c r="O33">
        <f>AVERAGEIFS(E626:E647,E626:E647,"&lt;=" &amp; N33)</f>
        <v>-2.8690582758143904E-2</v>
      </c>
      <c r="P33">
        <v>206.98157479408221</v>
      </c>
      <c r="Q33">
        <f t="shared" si="2"/>
        <v>228.6485460788588</v>
      </c>
      <c r="R33">
        <v>34.46763</v>
      </c>
      <c r="S33">
        <f t="shared" si="4"/>
        <v>244.5021132895522</v>
      </c>
      <c r="T33">
        <v>1.7654624927951484E-2</v>
      </c>
      <c r="U33">
        <v>18.93</v>
      </c>
      <c r="AI33">
        <v>241.55753384834023</v>
      </c>
      <c r="AJ33">
        <v>237.98155768545192</v>
      </c>
      <c r="AK33">
        <v>233.64985656738281</v>
      </c>
      <c r="AL33">
        <v>126.45848968867102</v>
      </c>
    </row>
    <row r="34" spans="1:38" x14ac:dyDescent="0.35">
      <c r="A34" t="s">
        <v>16</v>
      </c>
      <c r="E34">
        <v>1.5130636529861109E-2</v>
      </c>
      <c r="F34">
        <f t="shared" si="1"/>
        <v>-1.9955898517121134E-2</v>
      </c>
      <c r="G34">
        <f t="shared" si="0"/>
        <v>-3.130408621972941E-2</v>
      </c>
      <c r="J34" s="2" t="s">
        <v>46</v>
      </c>
      <c r="K34">
        <f>B648</f>
        <v>1.5057949452351531E-2</v>
      </c>
      <c r="L34">
        <f>C648</f>
        <v>2.2980624793157048E-3</v>
      </c>
      <c r="M34">
        <f t="shared" si="3"/>
        <v>1.6535312929541857E-2</v>
      </c>
      <c r="N34">
        <f>D648</f>
        <v>-2.8939627631311957E-2</v>
      </c>
      <c r="O34">
        <f>AVERAGEIFS(E648:E668,E648:E668,"&lt;=" &amp; N34)</f>
        <v>-3.0467425321718179E-2</v>
      </c>
      <c r="P34">
        <v>150.67718058006821</v>
      </c>
      <c r="Q34">
        <f t="shared" si="2"/>
        <v>148.51088350555935</v>
      </c>
      <c r="R34">
        <v>32.31174</v>
      </c>
      <c r="S34">
        <f t="shared" si="4"/>
        <v>206.98157479408221</v>
      </c>
      <c r="T34">
        <v>1.6535312929541857E-2</v>
      </c>
      <c r="U34">
        <v>17.47</v>
      </c>
      <c r="AI34">
        <v>144.79932603116598</v>
      </c>
      <c r="AJ34">
        <v>161.60618317081793</v>
      </c>
      <c r="AK34">
        <v>164.81138610839844</v>
      </c>
      <c r="AL34">
        <v>98.053052881741252</v>
      </c>
    </row>
    <row r="35" spans="1:38" x14ac:dyDescent="0.35">
      <c r="A35" t="s">
        <v>16</v>
      </c>
      <c r="E35">
        <v>5.7936648510486929E-3</v>
      </c>
      <c r="F35">
        <f t="shared" si="1"/>
        <v>-1.995692319037308E-2</v>
      </c>
      <c r="G35">
        <f t="shared" si="0"/>
        <v>-3.130408621972941E-2</v>
      </c>
      <c r="J35" s="2" t="s">
        <v>47</v>
      </c>
      <c r="K35">
        <f>B669</f>
        <v>1.3706296628779603E-2</v>
      </c>
      <c r="L35">
        <f>C669</f>
        <v>2.7681547812874257E-4</v>
      </c>
      <c r="M35">
        <f t="shared" si="3"/>
        <v>1.5057949452351531E-2</v>
      </c>
      <c r="N35">
        <f>D669</f>
        <v>-2.7279266721123154E-2</v>
      </c>
      <c r="O35">
        <f>AVERAGEIFS(E669:E688,E669:E688,"&lt;=" &amp; N35)</f>
        <v>-2.7615727676001015E-2</v>
      </c>
      <c r="P35">
        <v>209.91194545201409</v>
      </c>
      <c r="Q35">
        <f t="shared" si="2"/>
        <v>216.69049615954953</v>
      </c>
      <c r="R35">
        <v>30.108720000000002</v>
      </c>
      <c r="S35">
        <f t="shared" si="4"/>
        <v>150.67718058006821</v>
      </c>
      <c r="T35">
        <v>1.5057949452351531E-2</v>
      </c>
      <c r="U35">
        <v>15.73</v>
      </c>
      <c r="AI35">
        <v>243.70951788540611</v>
      </c>
      <c r="AJ35">
        <v>227.42259309828628</v>
      </c>
      <c r="AK35">
        <v>171.01335144042969</v>
      </c>
      <c r="AL35">
        <v>101.1551720585623</v>
      </c>
    </row>
    <row r="36" spans="1:38" x14ac:dyDescent="0.35">
      <c r="A36" t="s">
        <v>16</v>
      </c>
      <c r="E36">
        <v>5.4095223691811266E-3</v>
      </c>
      <c r="F36">
        <f t="shared" si="1"/>
        <v>-1.9957947863625029E-2</v>
      </c>
      <c r="G36">
        <f t="shared" si="0"/>
        <v>-3.130408621972941E-2</v>
      </c>
      <c r="J36" s="2" t="s">
        <v>48</v>
      </c>
      <c r="K36">
        <f>B689</f>
        <v>1.1482466981196905E-2</v>
      </c>
      <c r="L36">
        <f>C689</f>
        <v>8.661035994428156E-4</v>
      </c>
      <c r="M36">
        <f t="shared" si="3"/>
        <v>1.3706296628779603E-2</v>
      </c>
      <c r="N36">
        <f>D689</f>
        <v>-1.9781982163319115E-2</v>
      </c>
      <c r="O36">
        <f>AVERAGEIFS(E689:E711,E689:E711,"&lt;=" &amp; N36)</f>
        <v>-2.1234492271826385E-2</v>
      </c>
      <c r="P36">
        <v>219.0826642935229</v>
      </c>
      <c r="Q36">
        <f t="shared" si="2"/>
        <v>217.88635082186872</v>
      </c>
      <c r="R36">
        <v>28.809349999999998</v>
      </c>
      <c r="S36">
        <f t="shared" si="4"/>
        <v>209.91194545201409</v>
      </c>
      <c r="T36">
        <v>1.3706296628779603E-2</v>
      </c>
      <c r="U36">
        <v>18.600000000000001</v>
      </c>
      <c r="AI36">
        <v>284.00884266923134</v>
      </c>
      <c r="AJ36">
        <v>174.70271470386899</v>
      </c>
      <c r="AK36">
        <v>160.08543395996094</v>
      </c>
      <c r="AL36">
        <v>130.07621242181372</v>
      </c>
    </row>
    <row r="37" spans="1:38" x14ac:dyDescent="0.35">
      <c r="A37" t="s">
        <v>16</v>
      </c>
      <c r="E37">
        <v>-5.4743122878925191E-3</v>
      </c>
      <c r="F37">
        <f t="shared" si="1"/>
        <v>-1.9958972536876975E-2</v>
      </c>
      <c r="G37">
        <f t="shared" si="0"/>
        <v>-3.130408621972941E-2</v>
      </c>
      <c r="J37" s="2" t="s">
        <v>49</v>
      </c>
      <c r="K37">
        <f>B712</f>
        <v>1.0551970631312271E-2</v>
      </c>
      <c r="L37">
        <f>C712</f>
        <v>1.2818610839889734E-3</v>
      </c>
      <c r="M37">
        <f t="shared" si="3"/>
        <v>1.1482466981196905E-2</v>
      </c>
      <c r="N37">
        <f>D712</f>
        <v>-2.1382393318974104E-2</v>
      </c>
      <c r="O37">
        <f>AVERAGEIFS(E712:E733,E712:E733,"&lt;=" &amp; N37)</f>
        <v>-2.2668785903327021E-2</v>
      </c>
      <c r="P37">
        <v>233.56139975801409</v>
      </c>
      <c r="Q37">
        <f t="shared" si="2"/>
        <v>250.60786923554349</v>
      </c>
      <c r="R37">
        <v>21.524550000000001</v>
      </c>
      <c r="S37">
        <f t="shared" si="4"/>
        <v>219.0826642935229</v>
      </c>
      <c r="T37">
        <v>1.1482466981196905E-2</v>
      </c>
      <c r="U37">
        <v>15.87</v>
      </c>
      <c r="AI37">
        <v>332.82085591141697</v>
      </c>
      <c r="AJ37">
        <v>214.81981000531246</v>
      </c>
      <c r="AK37">
        <v>146.38999938964844</v>
      </c>
      <c r="AL37">
        <v>113.17735866815497</v>
      </c>
    </row>
    <row r="38" spans="1:38" x14ac:dyDescent="0.35">
      <c r="A38" t="s">
        <v>16</v>
      </c>
      <c r="E38">
        <v>-1.7264061331675906E-2</v>
      </c>
      <c r="F38">
        <f t="shared" si="1"/>
        <v>-1.9959997210128921E-2</v>
      </c>
      <c r="G38">
        <f t="shared" si="0"/>
        <v>-3.130408621972941E-2</v>
      </c>
      <c r="J38" s="2" t="s">
        <v>50</v>
      </c>
      <c r="K38">
        <f>B734</f>
        <v>4.8275922404570539E-3</v>
      </c>
      <c r="L38">
        <f>C734</f>
        <v>1.1669878199195782E-3</v>
      </c>
      <c r="M38">
        <f t="shared" si="3"/>
        <v>1.0551970631312271E-2</v>
      </c>
      <c r="N38">
        <f>D734</f>
        <v>-4.6771388252915477E-3</v>
      </c>
      <c r="O38">
        <f>AVERAGEIFS(E734:E750,E734:E750,"&lt;=" &amp; N38)</f>
        <v>-1.2521915904162139E-2</v>
      </c>
      <c r="P38">
        <v>215.66848774760479</v>
      </c>
      <c r="Q38">
        <f t="shared" si="2"/>
        <v>210.36826823976025</v>
      </c>
      <c r="R38">
        <v>28.233470000000001</v>
      </c>
      <c r="S38">
        <f t="shared" si="4"/>
        <v>233.56139975801409</v>
      </c>
      <c r="T38">
        <v>1.0551970631312271E-2</v>
      </c>
      <c r="U38">
        <v>18.02</v>
      </c>
      <c r="AI38">
        <v>270.13153587961523</v>
      </c>
      <c r="AJ38">
        <v>170.51522360275126</v>
      </c>
      <c r="AK38">
        <v>151.52682495117188</v>
      </c>
      <c r="AL38">
        <v>141.23975786569349</v>
      </c>
    </row>
    <row r="39" spans="1:38" x14ac:dyDescent="0.35">
      <c r="A39" t="s">
        <v>16</v>
      </c>
      <c r="E39">
        <v>1.6027755593774362E-3</v>
      </c>
      <c r="F39">
        <f t="shared" si="1"/>
        <v>-1.9961021883380871E-2</v>
      </c>
      <c r="G39">
        <f t="shared" si="0"/>
        <v>-3.130408621972941E-2</v>
      </c>
      <c r="J39" s="2" t="s">
        <v>51</v>
      </c>
      <c r="K39">
        <f>B751</f>
        <v>8.2837699642246288E-3</v>
      </c>
      <c r="L39">
        <f>C751</f>
        <v>1.298611743661273E-3</v>
      </c>
      <c r="M39">
        <f t="shared" si="3"/>
        <v>4.8275922404570539E-3</v>
      </c>
      <c r="N39">
        <f>D751</f>
        <v>-1.00531806417931E-2</v>
      </c>
      <c r="O39">
        <f>AVERAGEIFS(E751:E772,E751:E772,"&lt;=" &amp; N39)</f>
        <v>-1.0722996528372096E-2</v>
      </c>
      <c r="P39">
        <v>239.8154277226607</v>
      </c>
      <c r="Q39">
        <f t="shared" si="2"/>
        <v>242.97078197321059</v>
      </c>
      <c r="R39">
        <v>22.603100000000001</v>
      </c>
      <c r="S39">
        <f t="shared" si="4"/>
        <v>215.66848774760479</v>
      </c>
      <c r="T39">
        <v>4.8275922404570539E-3</v>
      </c>
      <c r="U39">
        <v>14.28</v>
      </c>
      <c r="AI39">
        <v>318.23907242314988</v>
      </c>
      <c r="AJ39">
        <v>198.88418345528052</v>
      </c>
      <c r="AK39">
        <v>135.85504150390625</v>
      </c>
      <c r="AL39">
        <v>171.1816904372161</v>
      </c>
    </row>
    <row r="40" spans="1:38" x14ac:dyDescent="0.35">
      <c r="A40" t="s">
        <v>16</v>
      </c>
      <c r="E40">
        <v>-1.8648464442515743E-2</v>
      </c>
      <c r="F40">
        <f t="shared" si="1"/>
        <v>-1.9962046556632817E-2</v>
      </c>
      <c r="G40">
        <f t="shared" si="0"/>
        <v>-3.130408621972941E-2</v>
      </c>
      <c r="J40" s="2" t="s">
        <v>52</v>
      </c>
      <c r="K40">
        <f>B773</f>
        <v>1.5117238389739456E-2</v>
      </c>
      <c r="L40">
        <f>C773</f>
        <v>-1.3011061089828236E-3</v>
      </c>
      <c r="M40">
        <f t="shared" si="3"/>
        <v>8.2837699642246288E-3</v>
      </c>
      <c r="N40">
        <f>D773</f>
        <v>-3.1798527330357242E-2</v>
      </c>
      <c r="O40">
        <f>AVERAGEIFS(E773:E792,E773:E792,"&lt;=" &amp; N40)</f>
        <v>-3.1832498899709689E-2</v>
      </c>
      <c r="P40">
        <v>194.16609890778329</v>
      </c>
      <c r="Q40">
        <f t="shared" si="2"/>
        <v>193.01989561730267</v>
      </c>
      <c r="R40">
        <v>27.480319999999999</v>
      </c>
      <c r="S40">
        <f t="shared" si="4"/>
        <v>239.8154277226607</v>
      </c>
      <c r="T40">
        <v>8.2837699642246288E-3</v>
      </c>
      <c r="U40">
        <v>15.51</v>
      </c>
      <c r="AI40">
        <v>242.87602873705944</v>
      </c>
      <c r="AJ40">
        <v>152.42018881409973</v>
      </c>
      <c r="AK40">
        <v>124.12546539306641</v>
      </c>
      <c r="AL40">
        <v>184.06682589384593</v>
      </c>
    </row>
    <row r="41" spans="1:38" x14ac:dyDescent="0.35">
      <c r="A41" t="s">
        <v>16</v>
      </c>
      <c r="E41">
        <v>1.6276322802806654E-2</v>
      </c>
      <c r="F41">
        <f t="shared" si="1"/>
        <v>-1.9963000821046802E-2</v>
      </c>
      <c r="G41">
        <f t="shared" si="0"/>
        <v>-3.1364416217937369E-2</v>
      </c>
      <c r="J41" s="2" t="s">
        <v>53</v>
      </c>
      <c r="K41">
        <f>B793</f>
        <v>9.9909665747624724E-3</v>
      </c>
      <c r="L41">
        <f>C793</f>
        <v>-1.8126264485875706E-4</v>
      </c>
      <c r="M41">
        <f t="shared" si="3"/>
        <v>1.5117238389739456E-2</v>
      </c>
      <c r="N41">
        <f>D793</f>
        <v>-1.2447787303425278E-2</v>
      </c>
      <c r="O41">
        <f>AVERAGEIFS(E793:E812,E793:E812,"&lt;=" &amp; N41)</f>
        <v>-1.2463364013329774E-2</v>
      </c>
      <c r="P41">
        <v>245.34692642281851</v>
      </c>
      <c r="Q41">
        <f t="shared" si="2"/>
        <v>223.43124413084638</v>
      </c>
      <c r="R41">
        <v>26.790800000000001</v>
      </c>
      <c r="S41">
        <f t="shared" si="4"/>
        <v>194.16609890778329</v>
      </c>
      <c r="T41">
        <v>1.5117238389739456E-2</v>
      </c>
      <c r="U41">
        <v>12.7</v>
      </c>
      <c r="AI41">
        <v>259.25508865141768</v>
      </c>
      <c r="AJ41">
        <v>201.00303622653556</v>
      </c>
      <c r="AK41">
        <v>129.89584350585938</v>
      </c>
      <c r="AL41">
        <v>241.01820609666288</v>
      </c>
    </row>
    <row r="42" spans="1:38" x14ac:dyDescent="0.35">
      <c r="A42" t="s">
        <v>17</v>
      </c>
      <c r="B42" s="3" cm="1">
        <f t="array" ref="B42">_xlfn.STDEV.S(_xlfn._xlws.FILTER($E$2:$E$1000, $A$2:$A$1000="2010-03"))</f>
        <v>8.2081685337995099E-3</v>
      </c>
      <c r="C42" s="3" cm="1">
        <f t="array" ref="C42">_xlfn.STDEV.S(_xlfn._xlws.FILTER($E$2:$E$1000, $A$2:$A$1000="2010-03"))</f>
        <v>8.2081685337995099E-3</v>
      </c>
      <c r="D42" s="3" cm="1">
        <f t="array" ref="D42">_xlfn.PERCENTILE.EXC(_xlfn._xlws.FILTER($E$42:$E$64, $A$42:$A$64="2010-03"), 0.05)</f>
        <v>-8.9155171405747059E-3</v>
      </c>
      <c r="E42">
        <v>1.6080562169570236E-2</v>
      </c>
      <c r="F42">
        <f t="shared" si="1"/>
        <v>-1.996395508546079E-2</v>
      </c>
      <c r="G42">
        <f t="shared" si="0"/>
        <v>-3.1364416217937369E-2</v>
      </c>
      <c r="J42" s="4" t="s">
        <v>54</v>
      </c>
      <c r="K42" s="3">
        <f>B813</f>
        <v>1.3608313258730577E-2</v>
      </c>
      <c r="L42" s="3">
        <f>C813</f>
        <v>1.5704227178159028E-3</v>
      </c>
      <c r="M42">
        <f t="shared" si="3"/>
        <v>9.9909665747624724E-3</v>
      </c>
      <c r="N42" s="3">
        <f>D813</f>
        <v>-2.099849305151838E-2</v>
      </c>
      <c r="O42" s="3">
        <f>AVERAGEIFS(E813:E833,E813:E833,"&lt;=" &amp; N42)</f>
        <v>-2.1620935224606039E-2</v>
      </c>
      <c r="P42" s="3">
        <v>205.6240806474562</v>
      </c>
      <c r="Q42" s="3">
        <f t="shared" si="2"/>
        <v>215.12517600234034</v>
      </c>
      <c r="R42" s="3">
        <v>26.659420000000001</v>
      </c>
      <c r="S42">
        <f t="shared" si="4"/>
        <v>245.34692642281851</v>
      </c>
      <c r="T42">
        <v>9.9909665747624724E-3</v>
      </c>
      <c r="U42" s="3">
        <v>13.52</v>
      </c>
      <c r="AI42" s="3">
        <v>300.53115516508069</v>
      </c>
      <c r="AJ42" s="3">
        <v>131.46474359802284</v>
      </c>
      <c r="AK42" s="3">
        <v>143.94744873046875</v>
      </c>
      <c r="AL42" s="3">
        <v>199.69656267358627</v>
      </c>
    </row>
    <row r="43" spans="1:38" x14ac:dyDescent="0.35">
      <c r="A43" t="s">
        <v>17</v>
      </c>
      <c r="E43">
        <v>8.4862684570986419E-3</v>
      </c>
      <c r="F43">
        <f t="shared" si="1"/>
        <v>-1.9964909349874778E-2</v>
      </c>
      <c r="G43">
        <f t="shared" si="0"/>
        <v>-3.1364416217937369E-2</v>
      </c>
      <c r="J43" s="2" t="s">
        <v>55</v>
      </c>
      <c r="K43">
        <f>B834</f>
        <v>1.0232628073246612E-2</v>
      </c>
      <c r="L43">
        <f>C834</f>
        <v>1.0515488888070683E-3</v>
      </c>
      <c r="M43">
        <f t="shared" si="3"/>
        <v>1.3608313258730577E-2</v>
      </c>
      <c r="N43">
        <f>D834</f>
        <v>-2.059321170879504E-2</v>
      </c>
      <c r="O43">
        <f>AVERAGEIFS(E834:E853,E834:E853,"&lt;=" &amp; N43)</f>
        <v>-2.0753481506146341E-2</v>
      </c>
      <c r="P43">
        <v>139.13820787523281</v>
      </c>
      <c r="Q43">
        <f t="shared" si="2"/>
        <v>164.75955493253309</v>
      </c>
      <c r="R43">
        <v>25.429390000000001</v>
      </c>
      <c r="S43">
        <f t="shared" si="4"/>
        <v>205.6240806474562</v>
      </c>
      <c r="T43">
        <v>1.3608313258730577E-2</v>
      </c>
      <c r="U43">
        <v>16.3</v>
      </c>
      <c r="AI43">
        <v>256.80840638676483</v>
      </c>
      <c r="AJ43">
        <v>65.217127701073068</v>
      </c>
      <c r="AK43">
        <v>135.0992431640625</v>
      </c>
      <c r="AL43">
        <v>130.02479517251641</v>
      </c>
    </row>
    <row r="44" spans="1:38" x14ac:dyDescent="0.35">
      <c r="A44" t="s">
        <v>17</v>
      </c>
      <c r="E44">
        <v>9.3470600004988014E-3</v>
      </c>
      <c r="F44">
        <f t="shared" si="1"/>
        <v>-1.9965863614288763E-2</v>
      </c>
      <c r="G44">
        <f t="shared" si="0"/>
        <v>-3.1364416217937369E-2</v>
      </c>
      <c r="J44" s="2" t="s">
        <v>56</v>
      </c>
      <c r="K44">
        <f>B854</f>
        <v>1.3857654608789972E-2</v>
      </c>
      <c r="L44">
        <f>C854</f>
        <v>-3.1105122406343581E-3</v>
      </c>
      <c r="M44">
        <f t="shared" si="3"/>
        <v>1.0232628073246612E-2</v>
      </c>
      <c r="N44">
        <f>D854</f>
        <v>-3.6012270063664552E-2</v>
      </c>
      <c r="O44">
        <f>AVERAGEIFS(E854:E873,E854:E873,"&lt;=" &amp; N44)</f>
        <v>-3.7014488384730558E-2</v>
      </c>
      <c r="P44">
        <v>177.5346382997794</v>
      </c>
      <c r="Q44">
        <f t="shared" si="2"/>
        <v>205.25255839009787</v>
      </c>
      <c r="R44">
        <v>28.373660000000001</v>
      </c>
      <c r="S44">
        <f t="shared" si="4"/>
        <v>139.13820787523281</v>
      </c>
      <c r="T44">
        <v>1.0232628073246612E-2</v>
      </c>
      <c r="U44">
        <v>16.86</v>
      </c>
      <c r="AI44">
        <v>293.78504489705801</v>
      </c>
      <c r="AJ44">
        <v>126.39472437892519</v>
      </c>
      <c r="AK44">
        <v>154.99974060058594</v>
      </c>
      <c r="AL44">
        <v>134.50194626251573</v>
      </c>
    </row>
    <row r="45" spans="1:38" x14ac:dyDescent="0.35">
      <c r="A45" t="s">
        <v>17</v>
      </c>
      <c r="E45">
        <v>-2.301954129725814E-3</v>
      </c>
      <c r="F45">
        <f t="shared" si="1"/>
        <v>-1.9966817878702751E-2</v>
      </c>
      <c r="G45">
        <f t="shared" si="0"/>
        <v>-3.1364416217937369E-2</v>
      </c>
      <c r="J45" s="2" t="s">
        <v>57</v>
      </c>
      <c r="K45">
        <f>B874</f>
        <v>1.0341710764999611E-2</v>
      </c>
      <c r="L45">
        <f>C874</f>
        <v>2.6813966955217166E-3</v>
      </c>
      <c r="M45">
        <f t="shared" si="3"/>
        <v>1.3857654608789972E-2</v>
      </c>
      <c r="N45">
        <f>D874</f>
        <v>-1.7929956960765499E-2</v>
      </c>
      <c r="O45">
        <f>AVERAGEIFS(E874:E896,E874:E896,"&lt;=" &amp; N45)</f>
        <v>-1.9277475589045745E-2</v>
      </c>
      <c r="P45">
        <v>166.71268487217301</v>
      </c>
      <c r="Q45">
        <f t="shared" si="2"/>
        <v>182.89084863668046</v>
      </c>
      <c r="R45">
        <v>25.309899999999999</v>
      </c>
      <c r="S45">
        <f t="shared" si="4"/>
        <v>177.5346382997794</v>
      </c>
      <c r="T45">
        <v>1.3857654608789972E-2</v>
      </c>
      <c r="U45">
        <v>13.45</v>
      </c>
      <c r="AI45">
        <v>215.33032213845243</v>
      </c>
      <c r="AJ45">
        <v>160.84449469798662</v>
      </c>
      <c r="AK45">
        <v>127.65289306640625</v>
      </c>
      <c r="AL45">
        <v>172.21577239699857</v>
      </c>
    </row>
    <row r="46" spans="1:38" x14ac:dyDescent="0.35">
      <c r="A46" t="s">
        <v>17</v>
      </c>
      <c r="E46">
        <v>2.1548060934051604E-2</v>
      </c>
      <c r="F46">
        <f t="shared" si="1"/>
        <v>-1.9967772143116735E-2</v>
      </c>
      <c r="G46">
        <f t="shared" si="0"/>
        <v>-3.1364416217937369E-2</v>
      </c>
      <c r="J46" s="2" t="s">
        <v>58</v>
      </c>
      <c r="K46">
        <f>B897</f>
        <v>9.8460020669397554E-3</v>
      </c>
      <c r="L46">
        <f>C897</f>
        <v>-8.5218985312628668E-4</v>
      </c>
      <c r="M46">
        <f t="shared" si="3"/>
        <v>1.0341710764999611E-2</v>
      </c>
      <c r="N46">
        <f>D897</f>
        <v>-2.6841464479399897E-2</v>
      </c>
      <c r="O46">
        <f>AVERAGEIFS(E897:E916,E897:E916,"&lt;=" &amp; N46)</f>
        <v>-2.7544555064175739E-2</v>
      </c>
      <c r="P46">
        <v>146.03975283431501</v>
      </c>
      <c r="Q46">
        <f t="shared" si="2"/>
        <v>136.36539326160656</v>
      </c>
      <c r="R46">
        <v>31.001010000000001</v>
      </c>
      <c r="S46">
        <f t="shared" si="4"/>
        <v>166.71268487217301</v>
      </c>
      <c r="T46">
        <v>1.0341710764999611E-2</v>
      </c>
      <c r="U46">
        <v>17.010000000000002</v>
      </c>
      <c r="AI46">
        <v>143.93038420054069</v>
      </c>
      <c r="AJ46">
        <v>131.17686342981582</v>
      </c>
      <c r="AK46">
        <v>129.31399536132813</v>
      </c>
      <c r="AL46">
        <v>126.31225467787539</v>
      </c>
    </row>
    <row r="47" spans="1:38" x14ac:dyDescent="0.35">
      <c r="A47" t="s">
        <v>17</v>
      </c>
      <c r="E47">
        <v>6.4272601413855365E-4</v>
      </c>
      <c r="F47">
        <f t="shared" si="1"/>
        <v>-1.9968726407530724E-2</v>
      </c>
      <c r="G47">
        <f t="shared" si="0"/>
        <v>-3.1364416217937369E-2</v>
      </c>
      <c r="J47" s="2" t="s">
        <v>59</v>
      </c>
      <c r="K47">
        <f>B917</f>
        <v>7.6432217542915576E-3</v>
      </c>
      <c r="L47">
        <f>C917</f>
        <v>2.9147830459612259E-3</v>
      </c>
      <c r="M47">
        <f t="shared" si="3"/>
        <v>9.8460020669397554E-3</v>
      </c>
      <c r="N47">
        <f>D917</f>
        <v>-8.8609617917754964E-3</v>
      </c>
      <c r="O47">
        <f>AVERAGEIFS(E917:E937,E917:E937,"&lt;=" &amp; N47)</f>
        <v>-9.0116893936251965E-3</v>
      </c>
      <c r="P47">
        <v>179.70526924503361</v>
      </c>
      <c r="Q47">
        <f t="shared" si="2"/>
        <v>185.54717215149503</v>
      </c>
      <c r="R47">
        <v>26.318200000000001</v>
      </c>
      <c r="S47">
        <f t="shared" si="4"/>
        <v>146.03975283431501</v>
      </c>
      <c r="T47">
        <v>9.8460020669397554E-3</v>
      </c>
      <c r="U47">
        <v>16.600000000000001</v>
      </c>
      <c r="AI47">
        <v>244.41394531322689</v>
      </c>
      <c r="AJ47">
        <v>130.39103635792767</v>
      </c>
      <c r="AK47">
        <v>132.15348815917969</v>
      </c>
      <c r="AL47">
        <v>170.23085290357875</v>
      </c>
    </row>
    <row r="48" spans="1:38" x14ac:dyDescent="0.35">
      <c r="A48" t="s">
        <v>17</v>
      </c>
      <c r="E48">
        <v>4.9305556554415475E-4</v>
      </c>
      <c r="F48">
        <f t="shared" si="1"/>
        <v>-1.9969680671944708E-2</v>
      </c>
      <c r="G48">
        <f t="shared" si="0"/>
        <v>-3.1364416217937369E-2</v>
      </c>
      <c r="J48" s="2" t="s">
        <v>60</v>
      </c>
      <c r="K48">
        <f>B938</f>
        <v>7.507391249546881E-3</v>
      </c>
      <c r="L48">
        <f>C938</f>
        <v>2.5505961812558758E-3</v>
      </c>
      <c r="M48">
        <f t="shared" si="3"/>
        <v>7.6432217542915576E-3</v>
      </c>
      <c r="N48">
        <f>D938</f>
        <v>-8.9019865181621735E-3</v>
      </c>
      <c r="O48">
        <f>AVERAGEIFS(E938:E960,E938:E960,"&lt;=" &amp; N48)</f>
        <v>-9.4377511731604628E-3</v>
      </c>
      <c r="P48">
        <v>210.52538327276761</v>
      </c>
      <c r="Q48">
        <f t="shared" si="2"/>
        <v>230.02296267010783</v>
      </c>
      <c r="R48">
        <v>21.606089999999998</v>
      </c>
      <c r="S48">
        <f t="shared" si="4"/>
        <v>179.70526924503361</v>
      </c>
      <c r="T48">
        <v>7.6432217542915576E-3</v>
      </c>
      <c r="U48">
        <v>13.75</v>
      </c>
      <c r="AI48">
        <v>287.16964626793174</v>
      </c>
      <c r="AJ48">
        <v>209.00705878223579</v>
      </c>
      <c r="AK48">
        <v>127.76255035400391</v>
      </c>
      <c r="AL48">
        <v>153.34207709728366</v>
      </c>
    </row>
    <row r="49" spans="1:38" x14ac:dyDescent="0.35">
      <c r="A49" t="s">
        <v>17</v>
      </c>
      <c r="E49">
        <v>9.9100828145714508E-3</v>
      </c>
      <c r="F49">
        <f t="shared" si="1"/>
        <v>-1.9970634936358696E-2</v>
      </c>
      <c r="G49">
        <f t="shared" si="0"/>
        <v>-3.1364416217937369E-2</v>
      </c>
      <c r="J49" s="2" t="s">
        <v>61</v>
      </c>
      <c r="K49">
        <f>B961</f>
        <v>5.8204678099939601E-3</v>
      </c>
      <c r="L49">
        <f>C961</f>
        <v>2.8921593017408587E-4</v>
      </c>
      <c r="M49">
        <f t="shared" si="3"/>
        <v>7.507391249546881E-3</v>
      </c>
      <c r="N49">
        <f>D961</f>
        <v>-1.0262542460478053E-2</v>
      </c>
      <c r="O49">
        <f>AVERAGEIFS(E961:E981,E961:E981,"&lt;=" &amp; N49)</f>
        <v>-1.0482163420351735E-2</v>
      </c>
      <c r="P49">
        <v>156.7050729389839</v>
      </c>
      <c r="Q49">
        <f t="shared" si="2"/>
        <v>154.11553647804931</v>
      </c>
      <c r="R49">
        <v>19.903759999999998</v>
      </c>
      <c r="S49">
        <f t="shared" si="4"/>
        <v>210.52538327276761</v>
      </c>
      <c r="T49">
        <v>7.507391249546881E-3</v>
      </c>
      <c r="U49">
        <v>13.7</v>
      </c>
      <c r="W49" t="s">
        <v>225</v>
      </c>
      <c r="AI49">
        <v>185.95941067801243</v>
      </c>
      <c r="AJ49">
        <v>110.15918955687236</v>
      </c>
      <c r="AK49">
        <v>133.37593078613281</v>
      </c>
      <c r="AL49">
        <v>187.17674543804279</v>
      </c>
    </row>
    <row r="50" spans="1:38" ht="15" thickBot="1" x14ac:dyDescent="0.4">
      <c r="A50" t="s">
        <v>17</v>
      </c>
      <c r="E50">
        <v>-4.7061828696556909E-3</v>
      </c>
      <c r="F50">
        <f t="shared" si="1"/>
        <v>-1.9971589200772681E-2</v>
      </c>
      <c r="G50">
        <f t="shared" si="0"/>
        <v>-3.1364416217937369E-2</v>
      </c>
      <c r="J50" s="2" t="s">
        <v>62</v>
      </c>
      <c r="K50">
        <f>B982</f>
        <v>1.1322941909118624E-2</v>
      </c>
      <c r="L50">
        <f>C982</f>
        <v>2.5660810312747425E-4</v>
      </c>
      <c r="M50">
        <f t="shared" si="3"/>
        <v>5.8204678099939601E-3</v>
      </c>
      <c r="N50">
        <f>D982</f>
        <v>-1.4155505785219713E-2</v>
      </c>
      <c r="O50">
        <f>AVERAGEIFS(E982:E999,E982:E999,"&lt;=" &amp; N50)</f>
        <v>-2.0801556466399831E-2</v>
      </c>
      <c r="P50">
        <v>157.9986187013059</v>
      </c>
      <c r="Q50">
        <f t="shared" si="2"/>
        <v>182.03041636270294</v>
      </c>
      <c r="R50">
        <v>23.81176</v>
      </c>
      <c r="S50">
        <f t="shared" si="4"/>
        <v>156.7050729389839</v>
      </c>
      <c r="T50">
        <v>5.8204678099939601E-3</v>
      </c>
      <c r="U50">
        <v>13.72</v>
      </c>
      <c r="AI50">
        <v>223.97088347115911</v>
      </c>
      <c r="AJ50">
        <v>166.10237663397382</v>
      </c>
      <c r="AK50">
        <v>136.38491821289063</v>
      </c>
      <c r="AL50">
        <v>94.338459199038809</v>
      </c>
    </row>
    <row r="51" spans="1:38" x14ac:dyDescent="0.35">
      <c r="A51" t="s">
        <v>17</v>
      </c>
      <c r="E51">
        <v>9.0436829829362603E-4</v>
      </c>
      <c r="F51">
        <f t="shared" si="1"/>
        <v>-1.9972543465186669E-2</v>
      </c>
      <c r="G51">
        <f t="shared" si="0"/>
        <v>-3.1364416217937369E-2</v>
      </c>
      <c r="J51" s="2" t="s">
        <v>63</v>
      </c>
      <c r="K51">
        <f>B1000</f>
        <v>9.4424519593489104E-3</v>
      </c>
      <c r="L51">
        <f>C1000</f>
        <v>-1.2930562629087773E-3</v>
      </c>
      <c r="M51">
        <f t="shared" si="3"/>
        <v>1.1322941909118624E-2</v>
      </c>
      <c r="N51">
        <f>D1000</f>
        <v>-2.6585544174891878E-2</v>
      </c>
      <c r="O51">
        <f>AVERAGEIFS(E1000:E1021,E1000:E1021,"&lt;=" &amp; N51)</f>
        <v>-2.8928282567909611E-2</v>
      </c>
      <c r="P51">
        <v>154.50244119736209</v>
      </c>
      <c r="Q51">
        <f t="shared" si="2"/>
        <v>161.55823517245611</v>
      </c>
      <c r="R51">
        <v>29.466290000000001</v>
      </c>
      <c r="S51">
        <f t="shared" si="4"/>
        <v>157.9986187013059</v>
      </c>
      <c r="T51">
        <v>1.1322941909118624E-2</v>
      </c>
      <c r="U51">
        <v>18.41</v>
      </c>
      <c r="W51" s="8" t="s">
        <v>226</v>
      </c>
      <c r="X51" s="8"/>
      <c r="AI51">
        <v>221.41379781909825</v>
      </c>
      <c r="AJ51">
        <v>106.18580221471716</v>
      </c>
      <c r="AK51">
        <v>131.92762756347656</v>
      </c>
      <c r="AL51">
        <v>116.01047551371981</v>
      </c>
    </row>
    <row r="52" spans="1:38" x14ac:dyDescent="0.35">
      <c r="A52" t="s">
        <v>17</v>
      </c>
      <c r="E52">
        <v>-9.6414107438156649E-3</v>
      </c>
      <c r="F52">
        <f t="shared" si="1"/>
        <v>-1.9973497729600657E-2</v>
      </c>
      <c r="G52">
        <f t="shared" si="0"/>
        <v>-3.1364416217937369E-2</v>
      </c>
      <c r="J52" s="2" t="s">
        <v>64</v>
      </c>
      <c r="K52">
        <f>B1022</f>
        <v>7.0760974895240272E-3</v>
      </c>
      <c r="L52">
        <f>C1022</f>
        <v>2.1951574897789657E-3</v>
      </c>
      <c r="M52">
        <f t="shared" si="3"/>
        <v>9.4424519593489104E-3</v>
      </c>
      <c r="N52">
        <f>D1022</f>
        <v>-1.6103068285956638E-2</v>
      </c>
      <c r="O52">
        <f>AVERAGEIFS(E1022:E1041,E1022:E1041,"&lt;=" &amp; N52)</f>
        <v>-1.6728616649979957E-2</v>
      </c>
      <c r="P52">
        <v>148.43661517279051</v>
      </c>
      <c r="Q52">
        <f t="shared" si="2"/>
        <v>135.22634753957428</v>
      </c>
      <c r="R52">
        <v>23.15146</v>
      </c>
      <c r="S52">
        <f t="shared" si="4"/>
        <v>154.50244119736209</v>
      </c>
      <c r="T52">
        <v>9.4424519593489104E-3</v>
      </c>
      <c r="U52">
        <v>14</v>
      </c>
      <c r="W52" t="s">
        <v>227</v>
      </c>
      <c r="X52">
        <v>0.14441051892151927</v>
      </c>
      <c r="AI52">
        <v>139.96909575683688</v>
      </c>
      <c r="AJ52">
        <v>134.5987228537432</v>
      </c>
      <c r="AK52">
        <v>115.33161163330078</v>
      </c>
      <c r="AL52">
        <v>136.19007171624747</v>
      </c>
    </row>
    <row r="53" spans="1:38" x14ac:dyDescent="0.35">
      <c r="A53" t="s">
        <v>17</v>
      </c>
      <c r="E53">
        <v>1.2249827722322188E-2</v>
      </c>
      <c r="F53">
        <f t="shared" si="1"/>
        <v>-1.9974451994014642E-2</v>
      </c>
      <c r="G53">
        <f t="shared" si="0"/>
        <v>-3.1364416217937369E-2</v>
      </c>
      <c r="J53" s="2" t="s">
        <v>65</v>
      </c>
      <c r="K53">
        <f>B1042</f>
        <v>1.2695924951632322E-2</v>
      </c>
      <c r="L53">
        <f>C1042</f>
        <v>1.8667857427273306E-4</v>
      </c>
      <c r="M53">
        <f t="shared" si="3"/>
        <v>7.0760974895240272E-3</v>
      </c>
      <c r="N53">
        <f>D1042</f>
        <v>-2.9215778778535473E-2</v>
      </c>
      <c r="O53">
        <f>AVERAGEIFS(E1042:E1062,E1042:E1062,"&lt;=" &amp; N53)</f>
        <v>-3.0709046114841723E-2</v>
      </c>
      <c r="P53">
        <v>156.84341058816099</v>
      </c>
      <c r="Q53">
        <f t="shared" si="2"/>
        <v>169.62197509462015</v>
      </c>
      <c r="R53">
        <v>24.326720000000002</v>
      </c>
      <c r="S53">
        <f t="shared" si="4"/>
        <v>148.43661517279051</v>
      </c>
      <c r="T53">
        <v>7.0760974895240272E-3</v>
      </c>
      <c r="U53">
        <v>13.88</v>
      </c>
      <c r="W53" t="s">
        <v>228</v>
      </c>
      <c r="X53">
        <v>2.0854397975182473E-2</v>
      </c>
      <c r="Z53" t="s">
        <v>378</v>
      </c>
      <c r="AI53">
        <v>221.99613301032355</v>
      </c>
      <c r="AJ53">
        <v>130.77835606258907</v>
      </c>
      <c r="AK53">
        <v>113.53098297119141</v>
      </c>
      <c r="AL53">
        <v>128.51749671647175</v>
      </c>
    </row>
    <row r="54" spans="1:38" x14ac:dyDescent="0.35">
      <c r="A54" t="s">
        <v>17</v>
      </c>
      <c r="E54">
        <v>8.695945321750392E-3</v>
      </c>
      <c r="F54">
        <f t="shared" si="1"/>
        <v>-1.997540625842863E-2</v>
      </c>
      <c r="G54">
        <f t="shared" si="0"/>
        <v>-3.1364416217937369E-2</v>
      </c>
      <c r="J54" s="2" t="s">
        <v>66</v>
      </c>
      <c r="K54">
        <f>B1063</f>
        <v>9.4282646342254556E-3</v>
      </c>
      <c r="L54">
        <f>C1063</f>
        <v>5.7846648122088175E-4</v>
      </c>
      <c r="M54">
        <f t="shared" si="3"/>
        <v>1.2695924951632322E-2</v>
      </c>
      <c r="N54">
        <f>D1063</f>
        <v>-1.380536068879514E-2</v>
      </c>
      <c r="O54">
        <f>AVERAGEIFS(E1063:E1082,E1063:E1082,"&lt;=" &amp; N54)</f>
        <v>-1.3827503950849356E-2</v>
      </c>
      <c r="P54">
        <v>116.4854881185059</v>
      </c>
      <c r="Q54">
        <f t="shared" si="2"/>
        <v>134.22085234423247</v>
      </c>
      <c r="R54">
        <v>23.671060000000001</v>
      </c>
      <c r="S54">
        <f t="shared" si="4"/>
        <v>156.84341058816099</v>
      </c>
      <c r="T54">
        <v>1.2695924951632322E-2</v>
      </c>
      <c r="U54">
        <v>13.41</v>
      </c>
      <c r="W54" t="s">
        <v>228</v>
      </c>
      <c r="X54">
        <v>1.5474477084936223E-2</v>
      </c>
      <c r="AI54">
        <v>175.99145203390418</v>
      </c>
      <c r="AJ54">
        <v>93.58222856563691</v>
      </c>
      <c r="AK54">
        <v>119.62244415283203</v>
      </c>
      <c r="AL54">
        <v>102.5639684539114</v>
      </c>
    </row>
    <row r="55" spans="1:38" x14ac:dyDescent="0.35">
      <c r="A55" t="s">
        <v>17</v>
      </c>
      <c r="E55">
        <v>-6.0119427276108754E-3</v>
      </c>
      <c r="F55">
        <f t="shared" si="1"/>
        <v>-1.9976360522842615E-2</v>
      </c>
      <c r="G55">
        <f t="shared" si="0"/>
        <v>-3.1364416217937369E-2</v>
      </c>
      <c r="J55" s="2" t="s">
        <v>67</v>
      </c>
      <c r="K55">
        <f>B1083</f>
        <v>6.9995688213631271E-3</v>
      </c>
      <c r="L55">
        <f>C1083</f>
        <v>7.5497462096484438E-4</v>
      </c>
      <c r="M55">
        <f t="shared" si="3"/>
        <v>9.4282646342254556E-3</v>
      </c>
      <c r="N55">
        <f>D1083</f>
        <v>-1.4811273579061271E-2</v>
      </c>
      <c r="O55">
        <f>AVERAGEIFS(E1083:E1101,E1083:E1101,"&lt;=" &amp; N55)</f>
        <v>-1.4811273579061271E-2</v>
      </c>
      <c r="P55">
        <v>146.29191394003399</v>
      </c>
      <c r="Q55">
        <f t="shared" si="2"/>
        <v>152.20473998727948</v>
      </c>
      <c r="R55">
        <v>21.531639999999999</v>
      </c>
      <c r="S55">
        <f t="shared" si="4"/>
        <v>116.4854881185059</v>
      </c>
      <c r="T55">
        <v>9.4282646342254556E-3</v>
      </c>
      <c r="U55">
        <v>11.4</v>
      </c>
      <c r="W55" t="s">
        <v>229</v>
      </c>
      <c r="X55">
        <v>1.2791154662645134E-2</v>
      </c>
      <c r="AI55">
        <v>188.4292174258124</v>
      </c>
      <c r="AJ55">
        <v>129.2179973686516</v>
      </c>
      <c r="AK55">
        <v>116.78851318359375</v>
      </c>
      <c r="AL55">
        <v>105.47377658482908</v>
      </c>
    </row>
    <row r="56" spans="1:38" ht="15" thickBot="1" x14ac:dyDescent="0.4">
      <c r="A56" t="s">
        <v>17</v>
      </c>
      <c r="E56">
        <v>-5.4338888869802024E-3</v>
      </c>
      <c r="F56">
        <f t="shared" si="1"/>
        <v>-1.9977314787256603E-2</v>
      </c>
      <c r="G56">
        <f t="shared" si="0"/>
        <v>-3.1364416217937369E-2</v>
      </c>
      <c r="J56" s="2" t="s">
        <v>68</v>
      </c>
      <c r="K56">
        <f>B1102</f>
        <v>5.4597656246677274E-3</v>
      </c>
      <c r="L56">
        <f>C1102</f>
        <v>-2.4071328132678634E-4</v>
      </c>
      <c r="M56">
        <f t="shared" si="3"/>
        <v>6.9995688213631271E-3</v>
      </c>
      <c r="N56">
        <f>D1102</f>
        <v>-9.6974322949255464E-3</v>
      </c>
      <c r="O56">
        <f>AVERAGEIFS(E1102:E1122,E1102:E1122,"&lt;=" &amp; N56)</f>
        <v>-9.9432985076819049E-3</v>
      </c>
      <c r="P56">
        <v>111.7961041819876</v>
      </c>
      <c r="Q56">
        <f t="shared" si="2"/>
        <v>119.094264076046</v>
      </c>
      <c r="R56">
        <v>20.90326</v>
      </c>
      <c r="S56">
        <f t="shared" si="4"/>
        <v>146.29191394003399</v>
      </c>
      <c r="T56">
        <v>6.9995688213631271E-3</v>
      </c>
      <c r="U56">
        <v>11.57</v>
      </c>
      <c r="W56" s="6" t="s">
        <v>230</v>
      </c>
      <c r="X56" s="6">
        <v>184</v>
      </c>
      <c r="AI56">
        <v>159.18368478189558</v>
      </c>
      <c r="AJ56">
        <v>70.298324228754865</v>
      </c>
      <c r="AK56">
        <v>122.62130737304688</v>
      </c>
      <c r="AL56">
        <v>104.60302906318174</v>
      </c>
    </row>
    <row r="57" spans="1:38" x14ac:dyDescent="0.35">
      <c r="A57" t="s">
        <v>17</v>
      </c>
      <c r="E57">
        <v>-2.4876064445940975E-3</v>
      </c>
      <c r="F57">
        <f t="shared" si="1"/>
        <v>-1.9978269051670588E-2</v>
      </c>
      <c r="G57">
        <f t="shared" si="0"/>
        <v>-3.1364416217937369E-2</v>
      </c>
      <c r="J57" s="2" t="s">
        <v>69</v>
      </c>
      <c r="K57">
        <f>B1123</f>
        <v>1.0648610141265733E-2</v>
      </c>
      <c r="L57">
        <f>C1123</f>
        <v>-1.5454014926802964E-3</v>
      </c>
      <c r="M57">
        <f t="shared" si="3"/>
        <v>5.4597656246677274E-3</v>
      </c>
      <c r="N57">
        <f>D1123</f>
        <v>-1.6982505533480633E-2</v>
      </c>
      <c r="O57">
        <f>AVERAGEIFS(E1123:E1145,E1123:E1145,"&lt;=" &amp; N57)</f>
        <v>-1.7095793420816231E-2</v>
      </c>
      <c r="P57">
        <v>119.93393142531581</v>
      </c>
      <c r="Q57">
        <f t="shared" si="2"/>
        <v>126.68453074878806</v>
      </c>
      <c r="R57">
        <v>25.594930000000002</v>
      </c>
      <c r="S57">
        <f t="shared" si="4"/>
        <v>111.7961041819876</v>
      </c>
      <c r="T57">
        <v>5.4597656246677274E-3</v>
      </c>
      <c r="U57">
        <v>16.95</v>
      </c>
      <c r="AI57">
        <v>148.74221221423838</v>
      </c>
      <c r="AJ57">
        <v>105.19635400779381</v>
      </c>
      <c r="AK57">
        <v>117.79121398925781</v>
      </c>
      <c r="AL57">
        <v>110.70175213162423</v>
      </c>
    </row>
    <row r="58" spans="1:38" ht="15" thickBot="1" x14ac:dyDescent="0.4">
      <c r="A58" t="s">
        <v>17</v>
      </c>
      <c r="E58">
        <v>6.8157753506433256E-3</v>
      </c>
      <c r="F58">
        <f t="shared" si="1"/>
        <v>-1.9979223316084576E-2</v>
      </c>
      <c r="G58">
        <f t="shared" si="0"/>
        <v>-3.1364416217937369E-2</v>
      </c>
      <c r="J58" s="2" t="s">
        <v>70</v>
      </c>
      <c r="K58">
        <f>B1146</f>
        <v>1.0893167714506026E-2</v>
      </c>
      <c r="L58">
        <f>C1146</f>
        <v>9.5621232418810758E-4</v>
      </c>
      <c r="M58">
        <f t="shared" si="3"/>
        <v>1.0648610141265733E-2</v>
      </c>
      <c r="N58">
        <f>D1146</f>
        <v>-1.3878517805918318E-2</v>
      </c>
      <c r="O58">
        <f>AVERAGEIFS(E1146:E1164,E1146:E1164,"&lt;=" &amp; N58)</f>
        <v>-1.3878517805918318E-2</v>
      </c>
      <c r="P58">
        <v>133.31536542855019</v>
      </c>
      <c r="Q58">
        <f t="shared" si="2"/>
        <v>128.59083352102965</v>
      </c>
      <c r="R58">
        <v>22.59468</v>
      </c>
      <c r="S58">
        <f t="shared" si="4"/>
        <v>119.93393142531581</v>
      </c>
      <c r="T58">
        <v>1.0648610141265733E-2</v>
      </c>
      <c r="U58">
        <v>11.98</v>
      </c>
      <c r="W58" t="s">
        <v>231</v>
      </c>
      <c r="AI58">
        <v>132.2171910892462</v>
      </c>
      <c r="AJ58">
        <v>142.96778929186871</v>
      </c>
      <c r="AK58">
        <v>110.56453704833984</v>
      </c>
      <c r="AL58">
        <v>78.323611840616962</v>
      </c>
    </row>
    <row r="59" spans="1:38" x14ac:dyDescent="0.35">
      <c r="A59" t="s">
        <v>17</v>
      </c>
      <c r="E59">
        <v>-2.2633237854972009E-3</v>
      </c>
      <c r="F59">
        <f t="shared" si="1"/>
        <v>-1.9980177580498561E-2</v>
      </c>
      <c r="G59">
        <f t="shared" si="0"/>
        <v>-3.1364416217937369E-2</v>
      </c>
      <c r="J59" s="2" t="s">
        <v>71</v>
      </c>
      <c r="K59">
        <f>B1165</f>
        <v>8.520116690164059E-3</v>
      </c>
      <c r="L59">
        <f>C1165</f>
        <v>7.5729017524061139E-4</v>
      </c>
      <c r="M59">
        <f t="shared" si="3"/>
        <v>1.0893167714506026E-2</v>
      </c>
      <c r="N59">
        <f>D1165</f>
        <v>-1.5499589040099692E-2</v>
      </c>
      <c r="O59">
        <f>AVERAGEIFS(E1165:E1186,E1165:E1186,"&lt;=" &amp; N59)</f>
        <v>-1.5951670432489122E-2</v>
      </c>
      <c r="P59">
        <v>190.2155758158398</v>
      </c>
      <c r="Q59">
        <f t="shared" si="2"/>
        <v>195.02958036806692</v>
      </c>
      <c r="R59">
        <v>22.544530000000002</v>
      </c>
      <c r="S59">
        <f t="shared" si="4"/>
        <v>133.31536542855019</v>
      </c>
      <c r="T59">
        <v>1.0893167714506026E-2</v>
      </c>
      <c r="U59">
        <v>16.309999999999999</v>
      </c>
      <c r="W59" s="7"/>
      <c r="X59" s="7" t="s">
        <v>236</v>
      </c>
      <c r="Y59" s="7" t="s">
        <v>237</v>
      </c>
      <c r="Z59" s="7" t="s">
        <v>238</v>
      </c>
      <c r="AA59" s="7" t="s">
        <v>239</v>
      </c>
      <c r="AB59" s="7" t="s">
        <v>240</v>
      </c>
      <c r="AI59">
        <v>242.48573933225873</v>
      </c>
      <c r="AJ59">
        <v>177.00502983212075</v>
      </c>
      <c r="AK59">
        <v>108.48748779296875</v>
      </c>
      <c r="AL59">
        <v>135.20099615318983</v>
      </c>
    </row>
    <row r="60" spans="1:38" x14ac:dyDescent="0.35">
      <c r="A60" t="s">
        <v>17</v>
      </c>
      <c r="E60">
        <v>1.5089067441324508E-2</v>
      </c>
      <c r="F60">
        <f t="shared" si="1"/>
        <v>-1.9981131844912549E-2</v>
      </c>
      <c r="G60">
        <f t="shared" si="0"/>
        <v>-3.1364416217937369E-2</v>
      </c>
      <c r="J60" s="2" t="s">
        <v>72</v>
      </c>
      <c r="K60">
        <f>B1187</f>
        <v>1.6462019948960224E-2</v>
      </c>
      <c r="L60">
        <f>C1187</f>
        <v>-1.6150727209679131E-3</v>
      </c>
      <c r="M60">
        <f t="shared" si="3"/>
        <v>8.520116690164059E-3</v>
      </c>
      <c r="N60">
        <f>D1187</f>
        <v>-3.5504381313354233E-2</v>
      </c>
      <c r="O60">
        <f>AVERAGEIFS(E1187:E1208,E1187:E1208,"&lt;=" &amp; N60)</f>
        <v>-3.6803768209091821E-2</v>
      </c>
      <c r="P60">
        <v>150.03065004641181</v>
      </c>
      <c r="Q60">
        <f t="shared" si="2"/>
        <v>171.576218113023</v>
      </c>
      <c r="R60">
        <v>25.459479999999999</v>
      </c>
      <c r="S60">
        <f t="shared" si="4"/>
        <v>190.2155758158398</v>
      </c>
      <c r="T60">
        <v>8.520116690164059E-3</v>
      </c>
      <c r="U60">
        <v>14.03</v>
      </c>
      <c r="W60" t="s">
        <v>232</v>
      </c>
      <c r="X60">
        <v>1</v>
      </c>
      <c r="Y60">
        <v>6.3422194905152912E-4</v>
      </c>
      <c r="Z60">
        <v>6.3422194905152912E-4</v>
      </c>
      <c r="AA60">
        <v>3.8763391508212166</v>
      </c>
      <c r="AB60">
        <v>5.0489388653361292E-2</v>
      </c>
      <c r="AI60">
        <v>208.56677898899778</v>
      </c>
      <c r="AJ60">
        <v>150.62700361756711</v>
      </c>
      <c r="AK60">
        <v>144.52055358886719</v>
      </c>
      <c r="AL60">
        <v>104.25889493839674</v>
      </c>
    </row>
    <row r="61" spans="1:38" x14ac:dyDescent="0.35">
      <c r="A61" t="s">
        <v>17</v>
      </c>
      <c r="E61">
        <v>-2.4282448937279462E-3</v>
      </c>
      <c r="F61">
        <f t="shared" si="1"/>
        <v>-1.998291278495708E-2</v>
      </c>
      <c r="G61">
        <f t="shared" si="0"/>
        <v>-3.1425289396402739E-2</v>
      </c>
      <c r="J61" s="2" t="s">
        <v>73</v>
      </c>
      <c r="K61">
        <f>B1209</f>
        <v>1.12528910221028E-2</v>
      </c>
      <c r="L61">
        <f>C1209</f>
        <v>2.1625714172686127E-3</v>
      </c>
      <c r="M61">
        <f t="shared" si="3"/>
        <v>1.6462019948960224E-2</v>
      </c>
      <c r="N61">
        <f>D1209</f>
        <v>-1.8480502420884278E-2</v>
      </c>
      <c r="O61">
        <f>AVERAGEIFS(E1209:E1228,E1209:E1228,"&lt;=" &amp; N61)</f>
        <v>-1.8625708922024958E-2</v>
      </c>
      <c r="P61">
        <v>152.42488503605949</v>
      </c>
      <c r="Q61">
        <f t="shared" si="2"/>
        <v>156.0965360932758</v>
      </c>
      <c r="R61">
        <v>22.414459999999998</v>
      </c>
      <c r="S61">
        <f t="shared" si="4"/>
        <v>150.03065004641181</v>
      </c>
      <c r="T61">
        <v>1.6462019948960224E-2</v>
      </c>
      <c r="U61">
        <v>13.33</v>
      </c>
      <c r="W61" t="s">
        <v>233</v>
      </c>
      <c r="X61">
        <v>182</v>
      </c>
      <c r="Y61">
        <v>2.9777682043874921E-2</v>
      </c>
      <c r="Z61">
        <v>1.6361363760370836E-4</v>
      </c>
      <c r="AI61">
        <v>195.18889530636216</v>
      </c>
      <c r="AJ61">
        <v>109.45727696826467</v>
      </c>
      <c r="AK61">
        <v>140.28663635253906</v>
      </c>
      <c r="AL61">
        <v>159.69913090432092</v>
      </c>
    </row>
    <row r="62" spans="1:38" ht="15" thickBot="1" x14ac:dyDescent="0.4">
      <c r="A62" t="s">
        <v>17</v>
      </c>
      <c r="E62">
        <v>2.2247025782739988E-3</v>
      </c>
      <c r="F62">
        <f t="shared" si="1"/>
        <v>-1.9984693725001616E-2</v>
      </c>
      <c r="G62">
        <f t="shared" si="0"/>
        <v>-3.1425289396402739E-2</v>
      </c>
      <c r="J62" s="2" t="s">
        <v>74</v>
      </c>
      <c r="K62">
        <f>B1229</f>
        <v>1.7386864993350754E-2</v>
      </c>
      <c r="L62">
        <f>C1229</f>
        <v>-1.895207935267973E-3</v>
      </c>
      <c r="M62">
        <f t="shared" si="3"/>
        <v>1.12528910221028E-2</v>
      </c>
      <c r="N62">
        <f>D1229</f>
        <v>-2.9486126185031752E-2</v>
      </c>
      <c r="O62">
        <f>AVERAGEIFS(E1229:E1247,E1229:E1247,"&lt;=" &amp; N62)</f>
        <v>-2.9486126185031752E-2</v>
      </c>
      <c r="P62">
        <v>176.02394952841291</v>
      </c>
      <c r="Q62">
        <f t="shared" si="2"/>
        <v>198.31955392326194</v>
      </c>
      <c r="R62">
        <v>31.836269999999999</v>
      </c>
      <c r="S62">
        <f t="shared" si="4"/>
        <v>152.42488503605949</v>
      </c>
      <c r="T62">
        <v>1.12528910221028E-2</v>
      </c>
      <c r="U62">
        <v>19.2</v>
      </c>
      <c r="W62" s="6" t="s">
        <v>234</v>
      </c>
      <c r="X62" s="6">
        <v>183</v>
      </c>
      <c r="Y62" s="6">
        <v>3.041190399292645E-2</v>
      </c>
      <c r="Z62" s="6"/>
      <c r="AA62" s="6"/>
      <c r="AB62" s="6"/>
      <c r="AI62">
        <v>261.02572967315598</v>
      </c>
      <c r="AJ62">
        <v>152.41962100546721</v>
      </c>
      <c r="AK62">
        <v>154.86834716796875</v>
      </c>
      <c r="AL62">
        <v>120.30161379733218</v>
      </c>
    </row>
    <row r="63" spans="1:38" ht="15" thickBot="1" x14ac:dyDescent="0.4">
      <c r="A63" t="s">
        <v>17</v>
      </c>
      <c r="E63">
        <v>-2.6532288286633451E-3</v>
      </c>
      <c r="F63">
        <f t="shared" si="1"/>
        <v>-1.9986474665046147E-2</v>
      </c>
      <c r="G63">
        <f t="shared" si="0"/>
        <v>-3.1425289396402739E-2</v>
      </c>
      <c r="J63" s="2" t="s">
        <v>75</v>
      </c>
      <c r="K63">
        <f>B1248</f>
        <v>1.6947382189865114E-2</v>
      </c>
      <c r="L63">
        <f>C1248</f>
        <v>3.1646640828748764E-3</v>
      </c>
      <c r="M63">
        <f t="shared" si="3"/>
        <v>1.7386864993350754E-2</v>
      </c>
      <c r="N63">
        <f>D1248</f>
        <v>-3.6957940760259503E-2</v>
      </c>
      <c r="O63">
        <f>AVERAGEIFS(E1248:E1268,E1248:E1268,"&lt;=" &amp; N63)</f>
        <v>-3.7748413729990368E-2</v>
      </c>
      <c r="P63">
        <v>168.98523150851301</v>
      </c>
      <c r="Q63">
        <f t="shared" si="2"/>
        <v>176.55708756613768</v>
      </c>
      <c r="R63">
        <v>27.916350000000001</v>
      </c>
      <c r="S63">
        <f t="shared" si="4"/>
        <v>176.02394952841291</v>
      </c>
      <c r="T63">
        <v>1.7386864993350754E-2</v>
      </c>
      <c r="U63">
        <v>20.97</v>
      </c>
      <c r="AI63">
        <v>178.69872223041321</v>
      </c>
      <c r="AJ63">
        <v>201.27246749451962</v>
      </c>
      <c r="AK63">
        <v>154.82034301757813</v>
      </c>
      <c r="AL63">
        <v>99.27145741657985</v>
      </c>
    </row>
    <row r="64" spans="1:38" x14ac:dyDescent="0.35">
      <c r="A64" t="s">
        <v>17</v>
      </c>
      <c r="E64">
        <v>-2.9024827729345272E-3</v>
      </c>
      <c r="F64">
        <f t="shared" si="1"/>
        <v>-1.9988255605090682E-2</v>
      </c>
      <c r="G64">
        <f t="shared" si="0"/>
        <v>-3.1425289396402739E-2</v>
      </c>
      <c r="J64" s="2" t="s">
        <v>76</v>
      </c>
      <c r="K64">
        <f>B1269</f>
        <v>6.9889643849293586E-3</v>
      </c>
      <c r="L64">
        <f>C1269</f>
        <v>3.5632962436507806E-3</v>
      </c>
      <c r="M64">
        <f t="shared" si="3"/>
        <v>1.6947382189865114E-2</v>
      </c>
      <c r="N64">
        <f>D1269</f>
        <v>-1.4406025677487217E-2</v>
      </c>
      <c r="O64">
        <f>AVERAGEIFS(E1269:E1288,E1269:E1288,"&lt;=" &amp; N64)</f>
        <v>-1.4945630269149555E-2</v>
      </c>
      <c r="P64">
        <v>155.0936499384687</v>
      </c>
      <c r="Q64">
        <f t="shared" si="2"/>
        <v>184.06286478054113</v>
      </c>
      <c r="R64">
        <v>19.87426</v>
      </c>
      <c r="S64">
        <f t="shared" si="4"/>
        <v>168.98523150851301</v>
      </c>
      <c r="T64">
        <v>1.6947382189865114E-2</v>
      </c>
      <c r="U64">
        <v>13.34</v>
      </c>
      <c r="W64" s="7"/>
      <c r="X64" s="7" t="s">
        <v>241</v>
      </c>
      <c r="Y64" s="7" t="s">
        <v>229</v>
      </c>
      <c r="Z64" s="7" t="s">
        <v>242</v>
      </c>
      <c r="AA64" s="7" t="s">
        <v>243</v>
      </c>
      <c r="AB64" s="7" t="s">
        <v>244</v>
      </c>
      <c r="AC64" s="7" t="s">
        <v>245</v>
      </c>
      <c r="AD64" s="7" t="s">
        <v>246</v>
      </c>
      <c r="AE64" s="7" t="s">
        <v>247</v>
      </c>
      <c r="AI64">
        <v>238.49512555528176</v>
      </c>
      <c r="AJ64">
        <v>161.29882875057609</v>
      </c>
      <c r="AK64">
        <v>118.43979644775391</v>
      </c>
      <c r="AL64">
        <v>85.669578942883007</v>
      </c>
    </row>
    <row r="65" spans="1:38" x14ac:dyDescent="0.35">
      <c r="A65" t="s">
        <v>18</v>
      </c>
      <c r="B65" s="3" cm="1">
        <f t="array" ref="B65">_xlfn.STDEV.S(_xlfn._xlws.FILTER($E$2:$E$1000, $A$2:$A$1000="2010-04"))</f>
        <v>1.4342343612081181E-2</v>
      </c>
      <c r="C65" s="3" cm="1">
        <f t="array" ref="C65">_xlfn.STDEV.S(_xlfn._xlws.FILTER($E$2:$E$1000, $A$2:$A$1000="2010-04"))</f>
        <v>1.4342343612081181E-2</v>
      </c>
      <c r="D65" s="3" cm="1">
        <f t="array" ref="D65">_xlfn.PERCENTILE.EXC(_xlfn._xlws.FILTER($E$65:$E$84, $A$65:$A$84="2010-04"), 0.05)</f>
        <v>-3.6612228199559449E-2</v>
      </c>
      <c r="E65">
        <v>1.6021568970252111E-2</v>
      </c>
      <c r="F65">
        <f t="shared" si="1"/>
        <v>-1.9990036545135217E-2</v>
      </c>
      <c r="G65">
        <f t="shared" si="0"/>
        <v>-3.1425289396402739E-2</v>
      </c>
      <c r="J65" s="4" t="s">
        <v>77</v>
      </c>
      <c r="K65" s="3">
        <f>B1289</f>
        <v>9.8578757701037936E-3</v>
      </c>
      <c r="L65" s="3">
        <f>C1289</f>
        <v>1.2258378008279632E-3</v>
      </c>
      <c r="M65">
        <f t="shared" si="3"/>
        <v>6.9889643849293586E-3</v>
      </c>
      <c r="N65" s="3">
        <f>D1289</f>
        <v>-1.264465514170411E-2</v>
      </c>
      <c r="O65" s="3">
        <f>AVERAGEIFS(E1289:E1310,E1289:E1310,"&lt;=" &amp; N65)</f>
        <v>-1.2760122372244226E-2</v>
      </c>
      <c r="P65" s="3">
        <v>131.74544154371591</v>
      </c>
      <c r="Q65" s="3">
        <f t="shared" si="2"/>
        <v>130.42601521986282</v>
      </c>
      <c r="R65" s="3">
        <v>22.636510000000001</v>
      </c>
      <c r="S65">
        <f t="shared" si="4"/>
        <v>155.0936499384687</v>
      </c>
      <c r="T65">
        <v>6.9889643849293586E-3</v>
      </c>
      <c r="U65" s="3">
        <v>15.29</v>
      </c>
      <c r="W65" t="s">
        <v>235</v>
      </c>
      <c r="X65">
        <v>-1.7959672432149375E-2</v>
      </c>
      <c r="Y65">
        <v>2.6485364979951589E-3</v>
      </c>
      <c r="Z65">
        <v>-6.7809797772257099</v>
      </c>
      <c r="AA65">
        <v>1.6131463696120969E-10</v>
      </c>
      <c r="AB65">
        <v>-2.3185457624586611E-2</v>
      </c>
      <c r="AC65">
        <v>-1.273388723971214E-2</v>
      </c>
      <c r="AD65">
        <v>-2.3185457624586611E-2</v>
      </c>
      <c r="AE65">
        <v>-1.273388723971214E-2</v>
      </c>
      <c r="AI65" s="3">
        <v>174.1975846514905</v>
      </c>
      <c r="AJ65" s="3">
        <v>80.555384476922157</v>
      </c>
      <c r="AK65" s="3">
        <v>128.2254638671875</v>
      </c>
      <c r="AL65" s="3">
        <v>109.0559028232944</v>
      </c>
    </row>
    <row r="66" spans="1:38" ht="15" thickBot="1" x14ac:dyDescent="0.4">
      <c r="A66" t="s">
        <v>18</v>
      </c>
      <c r="E66">
        <v>3.6829862056454413E-3</v>
      </c>
      <c r="F66">
        <f t="shared" si="1"/>
        <v>-1.9991817485179749E-2</v>
      </c>
      <c r="G66">
        <f t="shared" si="0"/>
        <v>-3.1425289396402739E-2</v>
      </c>
      <c r="J66" s="2" t="s">
        <v>78</v>
      </c>
      <c r="K66">
        <f>B1311</f>
        <v>1.1769512790628704E-2</v>
      </c>
      <c r="L66">
        <f>C1311</f>
        <v>-1.1184704784745548E-3</v>
      </c>
      <c r="M66">
        <f t="shared" si="3"/>
        <v>9.8578757701037936E-3</v>
      </c>
      <c r="N66">
        <f>D1311</f>
        <v>-2.6521534666929716E-2</v>
      </c>
      <c r="O66">
        <f>AVERAGEIFS(E1311:E1330,E1311:E1330,"&lt;=" &amp; N66)</f>
        <v>-2.6816362510036149E-2</v>
      </c>
      <c r="P66">
        <v>147.3209557246465</v>
      </c>
      <c r="Q66">
        <f t="shared" si="2"/>
        <v>149.97882610211391</v>
      </c>
      <c r="R66">
        <v>27.152229999999999</v>
      </c>
      <c r="S66">
        <f t="shared" si="4"/>
        <v>131.74544154371591</v>
      </c>
      <c r="T66">
        <v>9.8578757701037936E-3</v>
      </c>
      <c r="U66">
        <v>14.55</v>
      </c>
      <c r="W66" s="6" t="s">
        <v>211</v>
      </c>
      <c r="X66" s="6">
        <v>-2.0649955062691942E-5</v>
      </c>
      <c r="Y66" s="6">
        <v>1.0488375493862827E-5</v>
      </c>
      <c r="Z66" s="6">
        <v>-1.9688420837693184</v>
      </c>
      <c r="AA66" s="6">
        <v>5.04893886533644E-2</v>
      </c>
      <c r="AB66" s="6">
        <v>-4.1344401746752743E-5</v>
      </c>
      <c r="AC66" s="6">
        <v>4.4491621368860138E-8</v>
      </c>
      <c r="AD66" s="6">
        <v>-4.1344401746752743E-5</v>
      </c>
      <c r="AE66" s="6">
        <v>4.4491621368860138E-8</v>
      </c>
      <c r="AI66">
        <v>211.13492266079632</v>
      </c>
      <c r="AJ66">
        <v>105.49147653852009</v>
      </c>
      <c r="AK66">
        <v>124.75897216796875</v>
      </c>
      <c r="AL66">
        <v>54.126877966934053</v>
      </c>
    </row>
    <row r="67" spans="1:38" x14ac:dyDescent="0.35">
      <c r="A67" t="s">
        <v>18</v>
      </c>
      <c r="E67">
        <v>-4.9865045454051777E-3</v>
      </c>
      <c r="F67">
        <f t="shared" si="1"/>
        <v>-1.9993598425224281E-2</v>
      </c>
      <c r="G67">
        <f t="shared" ref="G67:G130" si="5">AVERAGEIFS(E67:E3883,E67:E3883,"&lt;=" &amp; F67)</f>
        <v>-3.1425289396402739E-2</v>
      </c>
      <c r="J67" s="2" t="s">
        <v>79</v>
      </c>
      <c r="K67">
        <f>B1331</f>
        <v>1.3847026667367208E-2</v>
      </c>
      <c r="L67">
        <f>C1331</f>
        <v>-6.9283287911149497E-4</v>
      </c>
      <c r="M67">
        <f t="shared" si="3"/>
        <v>1.1769512790628704E-2</v>
      </c>
      <c r="N67">
        <f>D1331</f>
        <v>-1.9706033295006559E-2</v>
      </c>
      <c r="O67">
        <f>AVERAGEIFS(E1331:E1348,E1331:E1348,"&lt;=" &amp; N67)</f>
        <v>-2.213760990406571E-2</v>
      </c>
      <c r="P67">
        <v>165.58476790569989</v>
      </c>
      <c r="Q67">
        <f t="shared" si="2"/>
        <v>155.66961639169548</v>
      </c>
      <c r="R67">
        <v>25.82891</v>
      </c>
      <c r="S67">
        <f t="shared" si="4"/>
        <v>147.3209557246465</v>
      </c>
      <c r="T67">
        <v>1.1769512790628704E-2</v>
      </c>
      <c r="U67">
        <v>13.84</v>
      </c>
      <c r="AI67">
        <v>197.79857959569753</v>
      </c>
      <c r="AJ67">
        <v>113.39719457589861</v>
      </c>
      <c r="AK67">
        <v>124.71321868896484</v>
      </c>
      <c r="AL67">
        <v>146.4051790740865</v>
      </c>
    </row>
    <row r="68" spans="1:38" x14ac:dyDescent="0.35">
      <c r="A68" t="s">
        <v>18</v>
      </c>
      <c r="E68">
        <v>-1.0921312622419351E-2</v>
      </c>
      <c r="F68">
        <f t="shared" ref="F68:F131" si="6">_xlfn.PERCENTILE.EXC(E68:E3883,0.05)</f>
        <v>-1.9995379365268816E-2</v>
      </c>
      <c r="G68">
        <f t="shared" si="5"/>
        <v>-3.1425289396402739E-2</v>
      </c>
      <c r="J68" s="2" t="s">
        <v>80</v>
      </c>
      <c r="K68">
        <f>B1349</f>
        <v>1.5679454782584229E-2</v>
      </c>
      <c r="L68">
        <f>C1349</f>
        <v>-1.9039540026279452E-3</v>
      </c>
      <c r="M68">
        <f t="shared" si="3"/>
        <v>1.3847026667367208E-2</v>
      </c>
      <c r="N68">
        <f>D1349</f>
        <v>-3.935920898477327E-2</v>
      </c>
      <c r="O68">
        <f>AVERAGEIFS(E1349:E1370,E1349:E1370,"&lt;=" &amp; N68)</f>
        <v>-4.3014866460176771E-2</v>
      </c>
      <c r="P68">
        <v>193.94799415623851</v>
      </c>
      <c r="Q68">
        <f t="shared" ref="Q68:Q131" si="7">AI68*0.44699+AJ68*0.3494+AK68*0.10843+AL68*0.09639</f>
        <v>234.87980073478954</v>
      </c>
      <c r="R68">
        <v>36.032110000000003</v>
      </c>
      <c r="S68">
        <f t="shared" si="4"/>
        <v>165.58476790569989</v>
      </c>
      <c r="T68">
        <v>1.3847026667367208E-2</v>
      </c>
      <c r="U68">
        <v>18.23</v>
      </c>
      <c r="AI68">
        <v>303.52773213219677</v>
      </c>
      <c r="AJ68">
        <v>212.8246818215994</v>
      </c>
      <c r="AK68">
        <v>122.65605163574219</v>
      </c>
      <c r="AL68">
        <v>119.77798777558419</v>
      </c>
    </row>
    <row r="69" spans="1:38" x14ac:dyDescent="0.35">
      <c r="A69" t="s">
        <v>18</v>
      </c>
      <c r="E69">
        <v>1.7261646454519809E-2</v>
      </c>
      <c r="F69">
        <f t="shared" si="6"/>
        <v>-1.9997160305313347E-2</v>
      </c>
      <c r="G69">
        <f t="shared" si="5"/>
        <v>-3.1425289396402739E-2</v>
      </c>
      <c r="J69" s="2" t="s">
        <v>81</v>
      </c>
      <c r="K69">
        <f>B1371</f>
        <v>1.4814522019193248E-2</v>
      </c>
      <c r="L69">
        <f>C1371</f>
        <v>2.1838444564880898E-3</v>
      </c>
      <c r="M69">
        <f t="shared" si="3"/>
        <v>1.5679454782584229E-2</v>
      </c>
      <c r="N69">
        <f>D1371</f>
        <v>-2.4047119859911325E-2</v>
      </c>
      <c r="O69">
        <f>AVERAGEIFS(E1371:E1393,E1371:E1393,"&lt;=" &amp; N69)</f>
        <v>-2.4435006884681792E-2</v>
      </c>
      <c r="P69">
        <v>184.48752828003671</v>
      </c>
      <c r="Q69">
        <f t="shared" si="7"/>
        <v>227.81044070556831</v>
      </c>
      <c r="R69">
        <v>21.222370000000002</v>
      </c>
      <c r="S69">
        <f t="shared" si="4"/>
        <v>193.94799415623851</v>
      </c>
      <c r="T69">
        <v>1.5679454782584229E-2</v>
      </c>
      <c r="U69">
        <v>12.12</v>
      </c>
      <c r="AI69">
        <v>314.76036810583815</v>
      </c>
      <c r="AJ69">
        <v>176.39803864617582</v>
      </c>
      <c r="AK69">
        <v>108.39608001708984</v>
      </c>
      <c r="AL69">
        <v>142.43014946273306</v>
      </c>
    </row>
    <row r="70" spans="1:38" x14ac:dyDescent="0.35">
      <c r="A70" t="s">
        <v>18</v>
      </c>
      <c r="E70">
        <v>2.8987122871068798E-3</v>
      </c>
      <c r="F70">
        <f t="shared" si="6"/>
        <v>-1.9998941245357883E-2</v>
      </c>
      <c r="G70">
        <f t="shared" si="5"/>
        <v>-3.1425289396402739E-2</v>
      </c>
      <c r="J70" s="2" t="s">
        <v>82</v>
      </c>
      <c r="K70">
        <f>B1394</f>
        <v>2.3191642553575066E-2</v>
      </c>
      <c r="L70">
        <f>C1394</f>
        <v>-4.563747033033241E-3</v>
      </c>
      <c r="M70">
        <f t="shared" ref="M70:M133" si="8">K69</f>
        <v>1.4814522019193248E-2</v>
      </c>
      <c r="N70">
        <f>D1394</f>
        <v>-5.3983893311539272E-2</v>
      </c>
      <c r="O70">
        <f>AVERAGEIFS(E1394:E1413,E1394:E1413,"&lt;=" &amp; N70)</f>
        <v>-5.5030376921060963E-2</v>
      </c>
      <c r="P70">
        <v>143.71115737196769</v>
      </c>
      <c r="Q70">
        <f t="shared" si="7"/>
        <v>155.08649993435571</v>
      </c>
      <c r="R70">
        <v>34.812840000000001</v>
      </c>
      <c r="S70">
        <f t="shared" ref="S70:S133" si="9">P69</f>
        <v>184.48752828003671</v>
      </c>
      <c r="T70">
        <v>1.4814522019193248E-2</v>
      </c>
      <c r="U70">
        <v>28.43</v>
      </c>
      <c r="AI70">
        <v>171.73944490131768</v>
      </c>
      <c r="AJ70">
        <v>158.68090336065552</v>
      </c>
      <c r="AK70">
        <v>109.48021697998047</v>
      </c>
      <c r="AL70">
        <v>114.18858695469855</v>
      </c>
    </row>
    <row r="71" spans="1:38" x14ac:dyDescent="0.35">
      <c r="A71" t="s">
        <v>18</v>
      </c>
      <c r="E71">
        <v>-4.6707605359230511E-3</v>
      </c>
      <c r="F71">
        <f t="shared" si="6"/>
        <v>-2.0000722185402414E-2</v>
      </c>
      <c r="G71">
        <f t="shared" si="5"/>
        <v>-3.1425289396402739E-2</v>
      </c>
      <c r="J71" s="2" t="s">
        <v>83</v>
      </c>
      <c r="K71">
        <f>B1414</f>
        <v>1.9052104984665665E-2</v>
      </c>
      <c r="L71">
        <f>C1414</f>
        <v>-2.6469243605233574E-3</v>
      </c>
      <c r="M71">
        <f t="shared" si="8"/>
        <v>2.3191642553575066E-2</v>
      </c>
      <c r="N71">
        <f>D1414</f>
        <v>-3.4118014345440061E-2</v>
      </c>
      <c r="O71">
        <f>AVERAGEIFS(E1414:E1435,E1414:E1435,"&lt;=" &amp; N71)</f>
        <v>-3.471806668396895E-2</v>
      </c>
      <c r="P71">
        <v>194.4608296129615</v>
      </c>
      <c r="Q71">
        <f t="shared" si="7"/>
        <v>203.54889440875974</v>
      </c>
      <c r="R71">
        <v>35.833730000000003</v>
      </c>
      <c r="S71">
        <f t="shared" si="9"/>
        <v>143.71115737196769</v>
      </c>
      <c r="T71">
        <v>2.3191642553575066E-2</v>
      </c>
      <c r="U71">
        <v>24.5</v>
      </c>
      <c r="AI71">
        <v>263.03016007190877</v>
      </c>
      <c r="AJ71">
        <v>165.86696593607695</v>
      </c>
      <c r="AK71">
        <v>147.72125244140625</v>
      </c>
      <c r="AL71">
        <v>124.55347917761495</v>
      </c>
    </row>
    <row r="72" spans="1:38" x14ac:dyDescent="0.35">
      <c r="A72" t="s">
        <v>18</v>
      </c>
      <c r="E72">
        <v>6.6007941119850802E-3</v>
      </c>
      <c r="F72">
        <f t="shared" si="6"/>
        <v>-2.0002503125446949E-2</v>
      </c>
      <c r="G72">
        <f t="shared" si="5"/>
        <v>-3.1425289396402739E-2</v>
      </c>
      <c r="J72" s="2" t="s">
        <v>84</v>
      </c>
      <c r="K72">
        <f>B1436</f>
        <v>1.1382851379277813E-2</v>
      </c>
      <c r="L72">
        <f>C1436</f>
        <v>4.4320298214532167E-3</v>
      </c>
      <c r="M72">
        <f t="shared" si="8"/>
        <v>1.9052104984665665E-2</v>
      </c>
      <c r="N72">
        <f>D1436</f>
        <v>-1.0195508421374308E-2</v>
      </c>
      <c r="O72">
        <f>AVERAGEIFS(E1436:E1457,E1436:E1457,"&lt;=" &amp; N72)</f>
        <v>-1.0250149714181518E-2</v>
      </c>
      <c r="P72">
        <v>164.83113568653121</v>
      </c>
      <c r="Q72">
        <f t="shared" si="7"/>
        <v>192.60891052432848</v>
      </c>
      <c r="R72">
        <v>22.42923</v>
      </c>
      <c r="S72">
        <f t="shared" si="9"/>
        <v>194.4608296129615</v>
      </c>
      <c r="T72">
        <v>1.9052104984665665E-2</v>
      </c>
      <c r="U72">
        <v>15.07</v>
      </c>
      <c r="AI72">
        <v>231.93368590502911</v>
      </c>
      <c r="AJ72">
        <v>187.6360162283874</v>
      </c>
      <c r="AK72">
        <v>130.8016357421875</v>
      </c>
      <c r="AL72">
        <v>95.383616847345195</v>
      </c>
    </row>
    <row r="73" spans="1:38" x14ac:dyDescent="0.35">
      <c r="A73" t="s">
        <v>18</v>
      </c>
      <c r="E73">
        <v>1.5347106661721067E-3</v>
      </c>
      <c r="F73">
        <f t="shared" si="6"/>
        <v>-2.0004284065491481E-2</v>
      </c>
      <c r="G73">
        <f t="shared" si="5"/>
        <v>-3.1425289396402739E-2</v>
      </c>
      <c r="J73" s="2" t="s">
        <v>85</v>
      </c>
      <c r="K73">
        <f>B1458</f>
        <v>9.7983790139742916E-3</v>
      </c>
      <c r="L73">
        <f>C1458</f>
        <v>1.2133931627379042E-3</v>
      </c>
      <c r="M73">
        <f t="shared" si="8"/>
        <v>1.1382851379277813E-2</v>
      </c>
      <c r="N73">
        <f>D1458</f>
        <v>-1.7436207749137518E-2</v>
      </c>
      <c r="O73">
        <f>AVERAGEIFS(E1458:E1478,E1458:E1478,"&lt;=" &amp; N73)</f>
        <v>-1.7764930074623621E-2</v>
      </c>
      <c r="P73">
        <v>164.40215380835161</v>
      </c>
      <c r="Q73">
        <f t="shared" si="7"/>
        <v>180.46866993484596</v>
      </c>
      <c r="R73">
        <v>24.974720000000001</v>
      </c>
      <c r="S73">
        <f t="shared" si="9"/>
        <v>164.83113568653121</v>
      </c>
      <c r="T73">
        <v>1.1382851379277813E-2</v>
      </c>
      <c r="U73">
        <v>16.13</v>
      </c>
      <c r="AI73">
        <v>200.97588143856777</v>
      </c>
      <c r="AJ73">
        <v>193.55434493200318</v>
      </c>
      <c r="AK73">
        <v>126.88197326660156</v>
      </c>
      <c r="AL73">
        <v>95.951449425055173</v>
      </c>
    </row>
    <row r="74" spans="1:38" x14ac:dyDescent="0.35">
      <c r="A74" t="s">
        <v>18</v>
      </c>
      <c r="E74">
        <v>-2.1133570863119108E-2</v>
      </c>
      <c r="F74">
        <f t="shared" si="6"/>
        <v>-2.0006065005536016E-2</v>
      </c>
      <c r="G74">
        <f t="shared" si="5"/>
        <v>-3.1425289396402739E-2</v>
      </c>
      <c r="J74" s="2" t="s">
        <v>86</v>
      </c>
      <c r="K74">
        <f>B1479</f>
        <v>1.6550285018361963E-2</v>
      </c>
      <c r="L74">
        <f>C1479</f>
        <v>-3.3858281689441009E-3</v>
      </c>
      <c r="M74">
        <f t="shared" si="8"/>
        <v>9.7983790139742916E-3</v>
      </c>
      <c r="N74">
        <f>D1479</f>
        <v>-3.6798044908367078E-2</v>
      </c>
      <c r="O74">
        <f>AVERAGEIFS(E1479:E1497,E1479:E1497,"&lt;=" &amp; N74)</f>
        <v>-3.6798044908367078E-2</v>
      </c>
      <c r="P74">
        <v>147.41887678646981</v>
      </c>
      <c r="Q74">
        <f t="shared" si="7"/>
        <v>160.66153200915525</v>
      </c>
      <c r="R74">
        <v>24.7791</v>
      </c>
      <c r="S74">
        <f t="shared" si="9"/>
        <v>164.40215380835161</v>
      </c>
      <c r="T74">
        <v>9.7983790139742916E-3</v>
      </c>
      <c r="U74">
        <v>18.21</v>
      </c>
      <c r="AI74">
        <v>206.39484953514801</v>
      </c>
      <c r="AJ74">
        <v>127.08607183657917</v>
      </c>
      <c r="AK74">
        <v>144.32144165039063</v>
      </c>
      <c r="AL74">
        <v>86.652669339006465</v>
      </c>
    </row>
    <row r="75" spans="1:38" x14ac:dyDescent="0.35">
      <c r="A75" t="s">
        <v>18</v>
      </c>
      <c r="E75">
        <v>-3.2123141323976007E-3</v>
      </c>
      <c r="F75">
        <f t="shared" si="6"/>
        <v>-1.9976360522842615E-2</v>
      </c>
      <c r="G75">
        <f t="shared" si="5"/>
        <v>-3.1419126620904313E-2</v>
      </c>
      <c r="J75" s="2" t="s">
        <v>87</v>
      </c>
      <c r="K75">
        <f>B1498</f>
        <v>1.8552822235542173E-2</v>
      </c>
      <c r="L75">
        <f>C1498</f>
        <v>-3.8371468537527686E-3</v>
      </c>
      <c r="M75">
        <f t="shared" si="8"/>
        <v>1.6550285018361963E-2</v>
      </c>
      <c r="N75">
        <f>D1498</f>
        <v>-3.7956288605647807E-2</v>
      </c>
      <c r="O75">
        <f>AVERAGEIFS(E1498:E1517,E1498:E1517,"&lt;=" &amp; N75)</f>
        <v>-3.8196171113312576E-2</v>
      </c>
      <c r="P75">
        <v>209.74028951753121</v>
      </c>
      <c r="Q75">
        <f t="shared" si="7"/>
        <v>205.67970865374701</v>
      </c>
      <c r="R75">
        <v>29.697890000000001</v>
      </c>
      <c r="S75">
        <f t="shared" si="9"/>
        <v>147.41887678646981</v>
      </c>
      <c r="T75">
        <v>1.6550285018361963E-2</v>
      </c>
      <c r="U75">
        <v>20.2</v>
      </c>
      <c r="AI75">
        <v>241.4245361712679</v>
      </c>
      <c r="AJ75">
        <v>203.99563972683939</v>
      </c>
      <c r="AK75">
        <v>158.0782470703125</v>
      </c>
      <c r="AL75">
        <v>96.989878412286643</v>
      </c>
    </row>
    <row r="76" spans="1:38" x14ac:dyDescent="0.35">
      <c r="A76" t="s">
        <v>18</v>
      </c>
      <c r="E76">
        <v>1.4760315915987523E-2</v>
      </c>
      <c r="F76">
        <f t="shared" si="6"/>
        <v>-1.9977314787256603E-2</v>
      </c>
      <c r="G76">
        <f t="shared" si="5"/>
        <v>-3.1419126620904313E-2</v>
      </c>
      <c r="J76" s="2" t="s">
        <v>88</v>
      </c>
      <c r="K76">
        <f>B1518</f>
        <v>2.0904323130028456E-2</v>
      </c>
      <c r="L76">
        <f>C1518</f>
        <v>-1.5793811316192562E-3</v>
      </c>
      <c r="M76">
        <f t="shared" si="8"/>
        <v>1.8552822235542173E-2</v>
      </c>
      <c r="N76">
        <f>D1518</f>
        <v>-3.9105243076896008E-2</v>
      </c>
      <c r="O76">
        <f>AVERAGEIFS(E1518:E1538,E1518:E1538,"&lt;=" &amp; N76)</f>
        <v>-3.9753653046618695E-2</v>
      </c>
      <c r="P76">
        <v>227.79281321280649</v>
      </c>
      <c r="Q76">
        <f t="shared" ref="Q76:Q94" si="10">AI76*0.44699+AJ76*0.3494+AK76*0.10843+AL76*0.09639</f>
        <v>234.20395913800644</v>
      </c>
      <c r="R76">
        <v>32.331159999999997</v>
      </c>
      <c r="S76">
        <f t="shared" si="9"/>
        <v>209.74028951753121</v>
      </c>
      <c r="T76">
        <v>1.8552822235542173E-2</v>
      </c>
      <c r="U76">
        <v>20.55</v>
      </c>
      <c r="W76" t="s">
        <v>225</v>
      </c>
      <c r="AI76">
        <v>324.04653568126793</v>
      </c>
      <c r="AJ76">
        <v>181.86090862235798</v>
      </c>
      <c r="AK76">
        <v>131.87617492675781</v>
      </c>
      <c r="AL76">
        <v>119.48192793729947</v>
      </c>
    </row>
    <row r="77" spans="1:38" ht="15" thickBot="1" x14ac:dyDescent="0.4">
      <c r="A77" t="s">
        <v>18</v>
      </c>
      <c r="E77">
        <v>-1.2229670847798389E-2</v>
      </c>
      <c r="F77">
        <f t="shared" si="6"/>
        <v>-1.9978269051670588E-2</v>
      </c>
      <c r="G77">
        <f t="shared" si="5"/>
        <v>-3.1419126620904313E-2</v>
      </c>
      <c r="J77" s="2" t="s">
        <v>89</v>
      </c>
      <c r="K77">
        <f>B1539</f>
        <v>1.1852670824815318E-2</v>
      </c>
      <c r="L77">
        <f>C1539</f>
        <v>9.4718188549454657E-4</v>
      </c>
      <c r="M77">
        <f t="shared" si="8"/>
        <v>2.0904323130028456E-2</v>
      </c>
      <c r="N77">
        <f>D1539</f>
        <v>-1.8143355671686016E-2</v>
      </c>
      <c r="O77">
        <f>AVERAGEIFS(E1539:E1559,E1539:E1559,"&lt;=" &amp; N77)</f>
        <v>-1.8474107916823777E-2</v>
      </c>
      <c r="P77">
        <v>227.75331195412139</v>
      </c>
      <c r="Q77">
        <f t="shared" si="10"/>
        <v>202.72868085765049</v>
      </c>
      <c r="R77">
        <v>26.686969999999999</v>
      </c>
      <c r="S77">
        <f t="shared" si="9"/>
        <v>227.79281321280649</v>
      </c>
      <c r="T77">
        <v>2.0904323130028456E-2</v>
      </c>
      <c r="U77">
        <v>13.95</v>
      </c>
      <c r="AI77">
        <v>253.68586333993335</v>
      </c>
      <c r="AJ77">
        <v>190.58182496052905</v>
      </c>
      <c r="AK77">
        <v>117.06299591064453</v>
      </c>
      <c r="AL77">
        <v>104.27644481308872</v>
      </c>
    </row>
    <row r="78" spans="1:38" x14ac:dyDescent="0.35">
      <c r="A78" t="s">
        <v>18</v>
      </c>
      <c r="E78">
        <v>-1.7125493171873802E-2</v>
      </c>
      <c r="F78">
        <f t="shared" si="6"/>
        <v>-1.9979223316084576E-2</v>
      </c>
      <c r="G78">
        <f t="shared" si="5"/>
        <v>-3.1419126620904313E-2</v>
      </c>
      <c r="J78" s="2" t="s">
        <v>90</v>
      </c>
      <c r="K78">
        <f>B1560</f>
        <v>1.400403593813828E-2</v>
      </c>
      <c r="L78">
        <f>C1560</f>
        <v>3.6749584151307197E-4</v>
      </c>
      <c r="M78">
        <f t="shared" si="8"/>
        <v>1.1852670824815318E-2</v>
      </c>
      <c r="N78">
        <f>D1560</f>
        <v>-3.0898333063738577E-2</v>
      </c>
      <c r="O78">
        <f>AVERAGEIFS(E1560:E1580,E1560:E1580,"&lt;=" &amp; N78)</f>
        <v>-3.1600187843880537E-2</v>
      </c>
      <c r="P78">
        <v>207.01124635917679</v>
      </c>
      <c r="Q78">
        <f t="shared" si="10"/>
        <v>162.81213525924247</v>
      </c>
      <c r="R78">
        <v>27.493749999999999</v>
      </c>
      <c r="S78">
        <f t="shared" si="9"/>
        <v>227.75331195412139</v>
      </c>
      <c r="T78">
        <v>1.1852670824815318E-2</v>
      </c>
      <c r="U78">
        <v>15.7</v>
      </c>
      <c r="W78" s="8" t="s">
        <v>226</v>
      </c>
      <c r="X78" s="8"/>
      <c r="AI78">
        <v>216.33028088042593</v>
      </c>
      <c r="AJ78">
        <v>124.16817823386617</v>
      </c>
      <c r="AK78">
        <v>113.32276153564453</v>
      </c>
      <c r="AL78">
        <v>108.33815230084166</v>
      </c>
    </row>
    <row r="79" spans="1:38" x14ac:dyDescent="0.35">
      <c r="A79" t="s">
        <v>18</v>
      </c>
      <c r="E79">
        <v>7.056789433768253E-3</v>
      </c>
      <c r="F79">
        <f t="shared" si="6"/>
        <v>-1.9980177580498561E-2</v>
      </c>
      <c r="G79">
        <f t="shared" si="5"/>
        <v>-3.1419126620904313E-2</v>
      </c>
      <c r="J79" s="2" t="s">
        <v>91</v>
      </c>
      <c r="K79">
        <f>B1581</f>
        <v>1.1246173797762294E-2</v>
      </c>
      <c r="L79">
        <f>C1581</f>
        <v>6.0946520017330296E-4</v>
      </c>
      <c r="M79">
        <f t="shared" si="8"/>
        <v>1.400403593813828E-2</v>
      </c>
      <c r="N79">
        <f>D1581</f>
        <v>-1.7996590606026562E-2</v>
      </c>
      <c r="O79">
        <f>AVERAGEIFS(E1581:E1599,E1581:E1599,"&lt;=" &amp; N79)</f>
        <v>-1.7996590606026562E-2</v>
      </c>
      <c r="P79">
        <v>198.46472106973911</v>
      </c>
      <c r="Q79">
        <f t="shared" si="10"/>
        <v>173.61230844768883</v>
      </c>
      <c r="R79">
        <v>24.633790000000001</v>
      </c>
      <c r="S79">
        <f t="shared" si="9"/>
        <v>207.01124635917679</v>
      </c>
      <c r="T79">
        <v>1.400403593813828E-2</v>
      </c>
      <c r="U79">
        <v>14.19</v>
      </c>
      <c r="W79" t="s">
        <v>227</v>
      </c>
      <c r="X79">
        <v>0.1102219581891032</v>
      </c>
      <c r="AI79">
        <v>241.11566495964757</v>
      </c>
      <c r="AJ79">
        <v>131.46119749916579</v>
      </c>
      <c r="AK79">
        <v>111.18634033203125</v>
      </c>
      <c r="AL79">
        <v>81.414462900355815</v>
      </c>
    </row>
    <row r="80" spans="1:38" x14ac:dyDescent="0.35">
      <c r="A80" t="s">
        <v>18</v>
      </c>
      <c r="E80">
        <v>9.8651303458018313E-3</v>
      </c>
      <c r="F80">
        <f t="shared" si="6"/>
        <v>-1.9981131844912549E-2</v>
      </c>
      <c r="G80">
        <f t="shared" si="5"/>
        <v>-3.1419126620904313E-2</v>
      </c>
      <c r="J80" s="2" t="s">
        <v>92</v>
      </c>
      <c r="K80">
        <f>B1600</f>
        <v>2.5709474112425589E-2</v>
      </c>
      <c r="L80">
        <f>C1600</f>
        <v>-3.0488149577015049E-3</v>
      </c>
      <c r="M80">
        <f t="shared" si="8"/>
        <v>1.1246173797762294E-2</v>
      </c>
      <c r="N80">
        <f>D1600</f>
        <v>-8.0904421867446896E-2</v>
      </c>
      <c r="O80">
        <f>AVERAGEIFS(E1600:E1621,E1600:E1621,"&lt;=" &amp; N80)</f>
        <v>-9.0109857294124143E-2</v>
      </c>
      <c r="P80">
        <v>433.27750238569359</v>
      </c>
      <c r="Q80">
        <f t="shared" si="10"/>
        <v>391.29576805900791</v>
      </c>
      <c r="R80">
        <v>28.874510000000001</v>
      </c>
      <c r="S80">
        <f t="shared" si="9"/>
        <v>198.46472106973911</v>
      </c>
      <c r="T80">
        <v>1.1246173797762294E-2</v>
      </c>
      <c r="U80">
        <v>15.63</v>
      </c>
      <c r="W80" t="s">
        <v>228</v>
      </c>
      <c r="X80">
        <v>1.2148880067040414E-2</v>
      </c>
      <c r="AI80">
        <v>444.34198268649033</v>
      </c>
      <c r="AJ80">
        <v>454.00545287384358</v>
      </c>
      <c r="AK80">
        <v>138.75936889648438</v>
      </c>
      <c r="AL80">
        <v>197.15905814303221</v>
      </c>
    </row>
    <row r="81" spans="1:38" x14ac:dyDescent="0.35">
      <c r="A81" t="s">
        <v>18</v>
      </c>
      <c r="E81">
        <v>-3.7426894375161571E-2</v>
      </c>
      <c r="F81">
        <f t="shared" si="6"/>
        <v>-1.998291278495708E-2</v>
      </c>
      <c r="G81">
        <f t="shared" si="5"/>
        <v>-3.1480621216474151E-2</v>
      </c>
      <c r="J81" s="2" t="s">
        <v>93</v>
      </c>
      <c r="K81">
        <f>B1622</f>
        <v>1.0665147021269436E-2</v>
      </c>
      <c r="L81">
        <f>C1622</f>
        <v>2.0499971473263217E-3</v>
      </c>
      <c r="M81">
        <f t="shared" si="8"/>
        <v>2.5709474112425589E-2</v>
      </c>
      <c r="N81">
        <f>D1622</f>
        <v>-1.8372260934628543E-2</v>
      </c>
      <c r="O81">
        <f>AVERAGEIFS(E1622:E1642,E1622:E1642,"&lt;=" &amp; N81)</f>
        <v>-1.8481936128530014E-2</v>
      </c>
      <c r="P81">
        <v>424.37717636390562</v>
      </c>
      <c r="Q81">
        <f t="shared" si="10"/>
        <v>324.42100795895448</v>
      </c>
      <c r="R81">
        <v>22.58746</v>
      </c>
      <c r="S81">
        <f t="shared" si="9"/>
        <v>433.27750238569359</v>
      </c>
      <c r="T81">
        <v>2.5709474112425589E-2</v>
      </c>
      <c r="U81">
        <v>11.87</v>
      </c>
      <c r="W81" t="s">
        <v>228</v>
      </c>
      <c r="X81">
        <v>6.7211266608153616E-3</v>
      </c>
      <c r="Z81" t="s">
        <v>383</v>
      </c>
      <c r="AI81">
        <v>410.00738279337259</v>
      </c>
      <c r="AJ81">
        <v>331.66817692961786</v>
      </c>
      <c r="AK81">
        <v>117.95142364501953</v>
      </c>
      <c r="AL81">
        <v>129.44780619469799</v>
      </c>
    </row>
    <row r="82" spans="1:38" x14ac:dyDescent="0.35">
      <c r="A82" t="s">
        <v>18</v>
      </c>
      <c r="E82">
        <v>-1.785622103917674E-2</v>
      </c>
      <c r="F82">
        <f t="shared" si="6"/>
        <v>-1.996395508546079E-2</v>
      </c>
      <c r="G82">
        <f t="shared" si="5"/>
        <v>-3.1386826794268512E-2</v>
      </c>
      <c r="J82" s="2" t="s">
        <v>94</v>
      </c>
      <c r="K82">
        <f>B1643</f>
        <v>9.3409091832729538E-3</v>
      </c>
      <c r="L82">
        <f>C1643</f>
        <v>5.1262775263213997E-4</v>
      </c>
      <c r="M82">
        <f t="shared" si="8"/>
        <v>1.0665147021269436E-2</v>
      </c>
      <c r="N82">
        <f>D1643</f>
        <v>-1.9675964531950911E-2</v>
      </c>
      <c r="O82">
        <f>AVERAGEIFS(E1643:E1663,E1643:E1663,"&lt;=" &amp; N82)</f>
        <v>-2.0541076885041892E-2</v>
      </c>
      <c r="P82">
        <v>213.3665896751825</v>
      </c>
      <c r="Q82">
        <f t="shared" si="10"/>
        <v>179.76461331580984</v>
      </c>
      <c r="R82">
        <v>21.665040000000001</v>
      </c>
      <c r="S82">
        <f t="shared" si="9"/>
        <v>424.37717636390562</v>
      </c>
      <c r="T82">
        <v>1.0665147021269436E-2</v>
      </c>
      <c r="U82">
        <v>13.42</v>
      </c>
      <c r="W82" t="s">
        <v>229</v>
      </c>
      <c r="X82">
        <v>1.202979652242704E-2</v>
      </c>
      <c r="AI82">
        <v>178.72028205561639</v>
      </c>
      <c r="AJ82">
        <v>223.12735555261986</v>
      </c>
      <c r="AK82">
        <v>110.99262237548828</v>
      </c>
      <c r="AL82">
        <v>102.52937405861893</v>
      </c>
    </row>
    <row r="83" spans="1:38" ht="15" thickBot="1" x14ac:dyDescent="0.4">
      <c r="A83" t="s">
        <v>18</v>
      </c>
      <c r="E83">
        <v>1.4094018574472551E-2</v>
      </c>
      <c r="F83">
        <f t="shared" si="6"/>
        <v>-1.9964909349874778E-2</v>
      </c>
      <c r="G83">
        <f t="shared" si="5"/>
        <v>-3.1386826794268512E-2</v>
      </c>
      <c r="J83" s="2" t="s">
        <v>95</v>
      </c>
      <c r="K83">
        <f>B1664</f>
        <v>1.0358944062529933E-2</v>
      </c>
      <c r="L83">
        <f>C1664</f>
        <v>-3.1518371788905665E-4</v>
      </c>
      <c r="M83">
        <f t="shared" si="8"/>
        <v>9.3409091832729538E-3</v>
      </c>
      <c r="N83">
        <f>D1664</f>
        <v>-1.7961243312704898E-2</v>
      </c>
      <c r="O83">
        <f>AVERAGEIFS(E1664:E1685,E1664:E1685,"&lt;=" &amp; N83)</f>
        <v>-1.8784911720532194E-2</v>
      </c>
      <c r="P83">
        <v>232.69800073798029</v>
      </c>
      <c r="Q83">
        <f t="shared" si="10"/>
        <v>232.0730782893128</v>
      </c>
      <c r="R83">
        <v>22.19697</v>
      </c>
      <c r="S83">
        <f t="shared" si="9"/>
        <v>213.3665896751825</v>
      </c>
      <c r="T83">
        <v>9.3409091832729538E-3</v>
      </c>
      <c r="U83">
        <v>13.29</v>
      </c>
      <c r="W83" s="6" t="s">
        <v>230</v>
      </c>
      <c r="X83" s="6">
        <v>184</v>
      </c>
      <c r="AI83">
        <v>291.67300951647849</v>
      </c>
      <c r="AJ83">
        <v>219.07736813398148</v>
      </c>
      <c r="AK83">
        <v>107.32561492919922</v>
      </c>
      <c r="AL83">
        <v>140.2138283302819</v>
      </c>
    </row>
    <row r="84" spans="1:38" x14ac:dyDescent="0.35">
      <c r="A84" t="s">
        <v>18</v>
      </c>
      <c r="E84">
        <v>-3.9893905501146923E-3</v>
      </c>
      <c r="F84">
        <f t="shared" si="6"/>
        <v>-1.9965863614288763E-2</v>
      </c>
      <c r="G84">
        <f t="shared" si="5"/>
        <v>-3.1386826794268512E-2</v>
      </c>
      <c r="J84" s="2" t="s">
        <v>96</v>
      </c>
      <c r="K84">
        <f>B1686</f>
        <v>7.4156412166947721E-3</v>
      </c>
      <c r="L84">
        <f>C1686</f>
        <v>8.7513728090356702E-4</v>
      </c>
      <c r="M84">
        <f t="shared" si="8"/>
        <v>1.0358944062529933E-2</v>
      </c>
      <c r="N84">
        <f>D1686</f>
        <v>-1.0867569946628996E-2</v>
      </c>
      <c r="O84">
        <f>AVERAGEIFS(E1686:E1705,E1686:E1705,"&lt;=" &amp; N84)</f>
        <v>-1.1027895156758651E-2</v>
      </c>
      <c r="P84">
        <v>241.63064001934231</v>
      </c>
      <c r="Q84">
        <f t="shared" si="10"/>
        <v>190.94271058887782</v>
      </c>
      <c r="R84">
        <v>23.51004</v>
      </c>
      <c r="S84">
        <f t="shared" si="9"/>
        <v>232.69800073798029</v>
      </c>
      <c r="T84">
        <v>1.0358944062529933E-2</v>
      </c>
      <c r="U84">
        <v>17.059999999999999</v>
      </c>
      <c r="AI84">
        <v>256.62360697508524</v>
      </c>
      <c r="AJ84">
        <v>148.26053892774468</v>
      </c>
      <c r="AK84">
        <v>107.81566619873047</v>
      </c>
      <c r="AL84">
        <v>132.1904712086538</v>
      </c>
    </row>
    <row r="85" spans="1:38" ht="15" thickBot="1" x14ac:dyDescent="0.4">
      <c r="A85" t="s">
        <v>19</v>
      </c>
      <c r="B85" s="3" cm="1">
        <f t="array" ref="B85">_xlfn.STDEV.S(_xlfn._xlws.FILTER($E$2:$E$1000, $A$2:$A$1000="2010-05"))</f>
        <v>3.3574522687436902E-2</v>
      </c>
      <c r="C85" s="3" cm="1">
        <f t="array" ref="C85">AVERAGE(_xlfn._xlws.FILTER($E$2:$E$1000, $A$2:$A$1000="2010-05"))</f>
        <v>-3.9325379543071574E-3</v>
      </c>
      <c r="D85" s="3" cm="1">
        <f t="array" ref="D85">_xlfn.PERCENTILE.EXC(_xlfn._xlws.FILTER($E$85:$E$103, $A$85:$A$103="2010-05"), 0.05)</f>
        <v>-4.8223764664700464E-2</v>
      </c>
      <c r="E85">
        <v>-3.9368122184211825E-2</v>
      </c>
      <c r="F85">
        <f t="shared" si="6"/>
        <v>-1.9966817878702751E-2</v>
      </c>
      <c r="G85">
        <f t="shared" si="5"/>
        <v>-3.1386826794268512E-2</v>
      </c>
      <c r="J85" s="4" t="s">
        <v>97</v>
      </c>
      <c r="K85" s="3">
        <f>B1706</f>
        <v>7.7790141176206891E-3</v>
      </c>
      <c r="L85" s="3">
        <f>C1706</f>
        <v>-5.4186460815725089E-5</v>
      </c>
      <c r="M85">
        <f t="shared" si="8"/>
        <v>7.4156412166947721E-3</v>
      </c>
      <c r="N85" s="3">
        <f>D1706</f>
        <v>-1.375545326549738E-2</v>
      </c>
      <c r="O85" s="3">
        <f>AVERAGEIFS(E1706:E1727,E1706:E1727,"&lt;=" &amp; N85)</f>
        <v>-1.4318988279443903E-2</v>
      </c>
      <c r="P85" s="3">
        <v>392.83105687937842</v>
      </c>
      <c r="Q85" s="3">
        <f t="shared" si="10"/>
        <v>342.22908591308584</v>
      </c>
      <c r="R85" s="3">
        <v>22.72129</v>
      </c>
      <c r="S85">
        <f t="shared" si="9"/>
        <v>241.63064001934231</v>
      </c>
      <c r="T85">
        <v>7.4156412166947721E-3</v>
      </c>
      <c r="U85" s="3">
        <v>13.33</v>
      </c>
      <c r="W85" t="s">
        <v>231</v>
      </c>
      <c r="AI85" s="3">
        <v>448.59508317810725</v>
      </c>
      <c r="AJ85" s="3">
        <v>322.22033506013463</v>
      </c>
      <c r="AK85" s="3">
        <v>108.37412261962891</v>
      </c>
      <c r="AL85" s="3">
        <v>180.27573916014421</v>
      </c>
    </row>
    <row r="86" spans="1:38" x14ac:dyDescent="0.35">
      <c r="A86" t="s">
        <v>19</v>
      </c>
      <c r="E86">
        <v>-1.069910083865038E-2</v>
      </c>
      <c r="F86">
        <f t="shared" si="6"/>
        <v>-1.9947701131105559E-2</v>
      </c>
      <c r="G86">
        <f t="shared" si="5"/>
        <v>-3.1282493054335302E-2</v>
      </c>
      <c r="J86" s="2" t="s">
        <v>98</v>
      </c>
      <c r="K86">
        <f>B1728</f>
        <v>7.2629413287744471E-3</v>
      </c>
      <c r="L86">
        <f>C1728</f>
        <v>3.7688143400585149E-3</v>
      </c>
      <c r="M86">
        <f t="shared" si="8"/>
        <v>7.7790141176206891E-3</v>
      </c>
      <c r="N86">
        <f>D1728</f>
        <v>-7.705348442680407E-3</v>
      </c>
      <c r="O86">
        <f>AVERAGEIFS(E1728:E1747,E1728:E1747,"&lt;=" &amp; N86)</f>
        <v>-7.7538762224804462E-3</v>
      </c>
      <c r="P86">
        <v>288.428468257909</v>
      </c>
      <c r="Q86">
        <f t="shared" si="10"/>
        <v>296.66698541065807</v>
      </c>
      <c r="R86">
        <v>19.114329999999999</v>
      </c>
      <c r="S86">
        <f t="shared" si="9"/>
        <v>392.83105687937842</v>
      </c>
      <c r="T86">
        <v>7.7790141176206891E-3</v>
      </c>
      <c r="U86">
        <v>14.04</v>
      </c>
      <c r="W86" s="7"/>
      <c r="X86" s="7" t="s">
        <v>236</v>
      </c>
      <c r="Y86" s="7" t="s">
        <v>237</v>
      </c>
      <c r="Z86" s="7" t="s">
        <v>238</v>
      </c>
      <c r="AA86" s="7" t="s">
        <v>239</v>
      </c>
      <c r="AB86" s="7" t="s">
        <v>240</v>
      </c>
      <c r="AI86">
        <v>408.26754699437186</v>
      </c>
      <c r="AJ86">
        <v>246.8142508082627</v>
      </c>
      <c r="AK86">
        <v>115.91750335693359</v>
      </c>
      <c r="AL86">
        <v>159.45264506945205</v>
      </c>
    </row>
    <row r="87" spans="1:38" x14ac:dyDescent="0.35">
      <c r="A87" t="s">
        <v>19</v>
      </c>
      <c r="E87">
        <v>-2.5665261027784221E-2</v>
      </c>
      <c r="F87">
        <f t="shared" si="6"/>
        <v>-1.9948725804357505E-2</v>
      </c>
      <c r="G87">
        <f t="shared" si="5"/>
        <v>-3.1282493054335302E-2</v>
      </c>
      <c r="J87" s="2" t="s">
        <v>99</v>
      </c>
      <c r="K87">
        <f>B1748</f>
        <v>6.5741506866124526E-3</v>
      </c>
      <c r="L87">
        <f>C1748</f>
        <v>-8.7395074316176256E-4</v>
      </c>
      <c r="M87">
        <f t="shared" si="8"/>
        <v>7.2629413287744471E-3</v>
      </c>
      <c r="N87">
        <f>D1748</f>
        <v>-1.2119718732704661E-2</v>
      </c>
      <c r="O87">
        <f>AVERAGEIFS(E1748:E1768,E1748:E1768,"&lt;=" &amp; N87)</f>
        <v>-1.2369847266038004E-2</v>
      </c>
      <c r="P87">
        <v>320.0237906961496</v>
      </c>
      <c r="Q87">
        <f t="shared" si="10"/>
        <v>346.83258854847912</v>
      </c>
      <c r="R87">
        <v>18.729869999999998</v>
      </c>
      <c r="S87">
        <f t="shared" si="9"/>
        <v>288.428468257909</v>
      </c>
      <c r="T87">
        <v>7.2629413287744471E-3</v>
      </c>
      <c r="U87">
        <v>11.99</v>
      </c>
      <c r="W87" t="s">
        <v>232</v>
      </c>
      <c r="X87">
        <v>1</v>
      </c>
      <c r="Y87">
        <v>3.2391622266187553E-4</v>
      </c>
      <c r="Z87">
        <v>3.2391622266187553E-4</v>
      </c>
      <c r="AA87">
        <v>2.2382888753027999</v>
      </c>
      <c r="AB87">
        <v>0.13636194718375874</v>
      </c>
      <c r="AI87">
        <v>462.96556552285955</v>
      </c>
      <c r="AJ87">
        <v>335.64149526489643</v>
      </c>
      <c r="AK87">
        <v>108.23075103759766</v>
      </c>
      <c r="AL87">
        <v>112.90602380801526</v>
      </c>
    </row>
    <row r="88" spans="1:38" x14ac:dyDescent="0.35">
      <c r="A88" t="s">
        <v>19</v>
      </c>
      <c r="E88">
        <v>-4.3527576065749432E-2</v>
      </c>
      <c r="F88">
        <f t="shared" si="6"/>
        <v>-1.9909472698971326E-2</v>
      </c>
      <c r="G88">
        <f t="shared" si="5"/>
        <v>-3.1251720431022444E-2</v>
      </c>
      <c r="J88" s="2" t="s">
        <v>100</v>
      </c>
      <c r="K88">
        <f>B1769</f>
        <v>5.8678999332889038E-3</v>
      </c>
      <c r="L88">
        <f>C1769</f>
        <v>1.3577332377976482E-3</v>
      </c>
      <c r="M88">
        <f t="shared" si="8"/>
        <v>6.5741506866124526E-3</v>
      </c>
      <c r="N88">
        <f>D1769</f>
        <v>-1.0604548340780137E-2</v>
      </c>
      <c r="O88">
        <f>AVERAGEIFS(E1769:E1788,E1769:E1788,"&lt;=" &amp; N88)</f>
        <v>-1.0689014481928039E-2</v>
      </c>
      <c r="P88">
        <v>237.06755874679001</v>
      </c>
      <c r="Q88">
        <f t="shared" si="10"/>
        <v>251.72602486123952</v>
      </c>
      <c r="R88">
        <v>17.275020000000001</v>
      </c>
      <c r="S88">
        <f t="shared" si="9"/>
        <v>320.0237906961496</v>
      </c>
      <c r="T88">
        <v>6.5741506866124526E-3</v>
      </c>
      <c r="U88">
        <v>12.92</v>
      </c>
      <c r="W88" t="s">
        <v>233</v>
      </c>
      <c r="X88">
        <v>182</v>
      </c>
      <c r="Y88">
        <v>2.6338312795521582E-2</v>
      </c>
      <c r="Z88">
        <v>1.4471600437099771E-4</v>
      </c>
      <c r="AI88">
        <v>379.42595357595764</v>
      </c>
      <c r="AJ88">
        <v>170.40045431628212</v>
      </c>
      <c r="AK88">
        <v>106.89262390136719</v>
      </c>
      <c r="AL88">
        <v>114.10034157680262</v>
      </c>
    </row>
    <row r="89" spans="1:38" ht="15" thickBot="1" x14ac:dyDescent="0.4">
      <c r="A89" t="s">
        <v>19</v>
      </c>
      <c r="E89">
        <v>9.8465695640117937E-2</v>
      </c>
      <c r="F89">
        <f t="shared" si="6"/>
        <v>-1.9869222683085937E-2</v>
      </c>
      <c r="G89">
        <f t="shared" si="5"/>
        <v>-3.1124626397177325E-2</v>
      </c>
      <c r="J89" s="2" t="s">
        <v>101</v>
      </c>
      <c r="K89">
        <f>B1789</f>
        <v>5.8640276288442188E-3</v>
      </c>
      <c r="L89">
        <f>C1789</f>
        <v>2.3122322320235154E-3</v>
      </c>
      <c r="M89">
        <f t="shared" si="8"/>
        <v>5.8678999332889038E-3</v>
      </c>
      <c r="N89">
        <f>D1789</f>
        <v>-4.7088806169359437E-3</v>
      </c>
      <c r="O89">
        <f>AVERAGEIFS(E1789:E1811,E1789:E1811,"&lt;=" &amp; N89)</f>
        <v>-4.713196847512805E-3</v>
      </c>
      <c r="P89">
        <v>267.06935055935969</v>
      </c>
      <c r="Q89">
        <f t="shared" si="10"/>
        <v>331.12301949227106</v>
      </c>
      <c r="R89">
        <v>17.673690000000001</v>
      </c>
      <c r="S89">
        <f t="shared" si="9"/>
        <v>237.06755874679001</v>
      </c>
      <c r="T89">
        <v>5.8678999332889038E-3</v>
      </c>
      <c r="U89">
        <v>12.37</v>
      </c>
      <c r="W89" s="6" t="s">
        <v>234</v>
      </c>
      <c r="X89" s="6">
        <v>183</v>
      </c>
      <c r="Y89" s="6">
        <v>2.6662229018183457E-2</v>
      </c>
      <c r="Z89" s="6"/>
      <c r="AA89" s="6"/>
      <c r="AB89" s="6"/>
      <c r="AI89">
        <v>521.56415059869596</v>
      </c>
      <c r="AJ89">
        <v>222.12302724209624</v>
      </c>
      <c r="AK89">
        <v>100.33652496337891</v>
      </c>
      <c r="AL89">
        <v>98.555708019424543</v>
      </c>
    </row>
    <row r="90" spans="1:38" ht="15" thickBot="1" x14ac:dyDescent="0.4">
      <c r="A90" t="s">
        <v>19</v>
      </c>
      <c r="E90">
        <v>-1.0351007004963579E-2</v>
      </c>
      <c r="F90">
        <f t="shared" si="6"/>
        <v>-1.9870937509219606E-2</v>
      </c>
      <c r="G90">
        <f t="shared" si="5"/>
        <v>-3.1124626397177325E-2</v>
      </c>
      <c r="J90" s="2" t="s">
        <v>102</v>
      </c>
      <c r="K90">
        <f>B1812</f>
        <v>1.0490128284637121E-2</v>
      </c>
      <c r="L90">
        <f>C1812</f>
        <v>9.2315123371745954E-4</v>
      </c>
      <c r="M90">
        <f t="shared" si="8"/>
        <v>5.8640276288442188E-3</v>
      </c>
      <c r="N90">
        <f>D1812</f>
        <v>-8.506374938211856E-3</v>
      </c>
      <c r="O90">
        <f>AVERAGEIFS(E1812:E1829,E1812:E1829,"&lt;=" &amp; N90)</f>
        <v>-1.1221982905899115E-2</v>
      </c>
      <c r="P90">
        <v>249.21890413907721</v>
      </c>
      <c r="Q90">
        <f t="shared" si="10"/>
        <v>344.09738038895057</v>
      </c>
      <c r="R90">
        <v>18.585660000000001</v>
      </c>
      <c r="S90">
        <f t="shared" si="9"/>
        <v>267.06935055935969</v>
      </c>
      <c r="T90">
        <v>5.8640276288442188E-3</v>
      </c>
      <c r="U90">
        <v>10.82</v>
      </c>
      <c r="AI90">
        <v>574.6331443928085</v>
      </c>
      <c r="AJ90">
        <v>204.83883101582134</v>
      </c>
      <c r="AK90">
        <v>89.540130615234375</v>
      </c>
      <c r="AL90">
        <v>61.858981816280064</v>
      </c>
    </row>
    <row r="91" spans="1:38" x14ac:dyDescent="0.35">
      <c r="A91" t="s">
        <v>19</v>
      </c>
      <c r="E91">
        <v>1.231363799416701E-2</v>
      </c>
      <c r="F91">
        <f t="shared" si="6"/>
        <v>-1.9872652335353274E-2</v>
      </c>
      <c r="G91">
        <f t="shared" si="5"/>
        <v>-3.1124626397177325E-2</v>
      </c>
      <c r="J91" s="2" t="s">
        <v>103</v>
      </c>
      <c r="K91">
        <f>B1830</f>
        <v>6.022668428332982E-3</v>
      </c>
      <c r="L91">
        <f>C1830</f>
        <v>-6.6935409927293426E-5</v>
      </c>
      <c r="M91">
        <f t="shared" si="8"/>
        <v>1.0490128284637121E-2</v>
      </c>
      <c r="N91">
        <f>D1830</f>
        <v>-1.4845262798347648E-2</v>
      </c>
      <c r="O91">
        <f>AVERAGEIFS(E1830:E1850,E1830:E1850,"&lt;=" &amp; N91)</f>
        <v>-1.5791724541740451E-2</v>
      </c>
      <c r="P91">
        <v>197.58968123250321</v>
      </c>
      <c r="Q91">
        <f t="shared" si="10"/>
        <v>199.15253920025899</v>
      </c>
      <c r="R91">
        <v>16.354109999999999</v>
      </c>
      <c r="S91">
        <f t="shared" si="9"/>
        <v>249.21890413907721</v>
      </c>
      <c r="T91">
        <v>1.0490128284637121E-2</v>
      </c>
      <c r="U91">
        <v>10.41</v>
      </c>
      <c r="W91" s="7"/>
      <c r="X91" s="7" t="s">
        <v>241</v>
      </c>
      <c r="Y91" s="7" t="s">
        <v>229</v>
      </c>
      <c r="Z91" s="7" t="s">
        <v>242</v>
      </c>
      <c r="AA91" s="7" t="s">
        <v>243</v>
      </c>
      <c r="AB91" s="7" t="s">
        <v>244</v>
      </c>
      <c r="AC91" s="7" t="s">
        <v>245</v>
      </c>
      <c r="AD91" s="7" t="s">
        <v>246</v>
      </c>
      <c r="AE91" s="7" t="s">
        <v>247</v>
      </c>
      <c r="AF91" s="9"/>
      <c r="AG91" s="9"/>
      <c r="AI91">
        <v>288.26044389781725</v>
      </c>
      <c r="AJ91">
        <v>151.38441269857245</v>
      </c>
      <c r="AK91">
        <v>104.64061737060547</v>
      </c>
      <c r="AL91">
        <v>62.901830521814503</v>
      </c>
    </row>
    <row r="92" spans="1:38" x14ac:dyDescent="0.35">
      <c r="A92" t="s">
        <v>19</v>
      </c>
      <c r="E92">
        <v>-9.4060444758090793E-5</v>
      </c>
      <c r="F92">
        <f t="shared" si="6"/>
        <v>-1.9874367161486942E-2</v>
      </c>
      <c r="G92">
        <f t="shared" si="5"/>
        <v>-3.1124626397177325E-2</v>
      </c>
      <c r="J92" s="2" t="s">
        <v>104</v>
      </c>
      <c r="K92">
        <f>B1851</f>
        <v>7.1864502071325165E-3</v>
      </c>
      <c r="L92">
        <f>C1851</f>
        <v>-1.5343758263625272E-3</v>
      </c>
      <c r="M92">
        <f t="shared" si="8"/>
        <v>6.022668428332982E-3</v>
      </c>
      <c r="N92">
        <f>D1851</f>
        <v>-1.7717641454602348E-2</v>
      </c>
      <c r="O92">
        <f>AVERAGEIFS(E1851:E1871,E1851:E1871,"&lt;=" &amp; N92)</f>
        <v>-1.8373493720869393E-2</v>
      </c>
      <c r="P92">
        <v>274.39018072218693</v>
      </c>
      <c r="Q92">
        <f t="shared" si="10"/>
        <v>226.44720114621268</v>
      </c>
      <c r="R92">
        <v>19.691189999999999</v>
      </c>
      <c r="S92">
        <f t="shared" si="9"/>
        <v>197.58968123250321</v>
      </c>
      <c r="T92">
        <v>6.022668428332982E-3</v>
      </c>
      <c r="U92">
        <v>11.18</v>
      </c>
      <c r="W92" t="s">
        <v>235</v>
      </c>
      <c r="X92">
        <v>-1.8099252408951209E-2</v>
      </c>
      <c r="Y92">
        <v>2.4908896806752016E-3</v>
      </c>
      <c r="Z92">
        <v>-7.2661798510663358</v>
      </c>
      <c r="AA92">
        <v>1.0494714363811585E-11</v>
      </c>
      <c r="AB92">
        <v>-2.3013987176291755E-2</v>
      </c>
      <c r="AC92">
        <v>-1.3184517641610664E-2</v>
      </c>
      <c r="AD92">
        <v>-2.3013987176291755E-2</v>
      </c>
      <c r="AE92">
        <v>-1.3184517641610664E-2</v>
      </c>
      <c r="AI92">
        <v>308.56528601007835</v>
      </c>
      <c r="AJ92">
        <v>192.22429035173278</v>
      </c>
      <c r="AK92">
        <v>108.39498138427734</v>
      </c>
      <c r="AL92">
        <v>99.649020356625059</v>
      </c>
    </row>
    <row r="93" spans="1:38" ht="15" thickBot="1" x14ac:dyDescent="0.4">
      <c r="A93" t="s">
        <v>19</v>
      </c>
      <c r="E93">
        <v>-4.8223764664700464E-2</v>
      </c>
      <c r="F93">
        <f t="shared" si="6"/>
        <v>-1.9876081987620611E-2</v>
      </c>
      <c r="G93">
        <f t="shared" si="5"/>
        <v>-3.1124626397177325E-2</v>
      </c>
      <c r="J93" s="2" t="s">
        <v>105</v>
      </c>
      <c r="K93">
        <f>B1872</f>
        <v>7.0428138827924036E-3</v>
      </c>
      <c r="L93">
        <f>C1872</f>
        <v>1.0337489800819578E-4</v>
      </c>
      <c r="M93">
        <f t="shared" si="8"/>
        <v>7.1864502071325165E-3</v>
      </c>
      <c r="N93">
        <f>D1872</f>
        <v>-1.3449795685161151E-2</v>
      </c>
      <c r="O93">
        <f>AVERAGEIFS(E1872:E1892,E1872:E1892,"&lt;=" &amp; N93)</f>
        <v>-1.3747483170078961E-2</v>
      </c>
      <c r="P93">
        <v>181.4152257718481</v>
      </c>
      <c r="Q93">
        <f t="shared" si="10"/>
        <v>146.87180316600623</v>
      </c>
      <c r="R93">
        <v>16.421189999999999</v>
      </c>
      <c r="S93">
        <f t="shared" si="9"/>
        <v>274.39018072218693</v>
      </c>
      <c r="T93">
        <v>7.1864502071325165E-3</v>
      </c>
      <c r="U93">
        <v>10.26</v>
      </c>
      <c r="W93" s="6" t="s">
        <v>211</v>
      </c>
      <c r="X93" s="6">
        <v>-1.4757569139381949E-5</v>
      </c>
      <c r="Y93" s="6">
        <v>9.864083921246887E-6</v>
      </c>
      <c r="Z93" s="6">
        <v>-1.4960911988587879</v>
      </c>
      <c r="AA93" s="6">
        <v>0.13636194718376601</v>
      </c>
      <c r="AB93" s="6">
        <v>-3.422023606189925E-5</v>
      </c>
      <c r="AC93" s="6">
        <v>4.7050977831353518E-6</v>
      </c>
      <c r="AD93" s="6">
        <v>-3.422023606189925E-5</v>
      </c>
      <c r="AE93" s="6">
        <v>4.7050977831353518E-6</v>
      </c>
      <c r="AI93">
        <v>176.46953211285751</v>
      </c>
      <c r="AJ93">
        <v>142.7123630373047</v>
      </c>
      <c r="AK93">
        <v>101.37307739257813</v>
      </c>
      <c r="AL93">
        <v>74.033660960354041</v>
      </c>
    </row>
    <row r="94" spans="1:38" x14ac:dyDescent="0.35">
      <c r="A94" t="s">
        <v>19</v>
      </c>
      <c r="E94">
        <v>5.3897512530224397E-4</v>
      </c>
      <c r="F94">
        <f t="shared" si="6"/>
        <v>-1.9851550675245695E-2</v>
      </c>
      <c r="G94">
        <f t="shared" si="5"/>
        <v>-3.0972099647624544E-2</v>
      </c>
      <c r="J94" s="2" t="s">
        <v>106</v>
      </c>
      <c r="K94">
        <f>B1893</f>
        <v>8.1866462043207553E-3</v>
      </c>
      <c r="L94">
        <f>C1893</f>
        <v>-3.8659158573773705E-4</v>
      </c>
      <c r="M94">
        <f t="shared" si="8"/>
        <v>7.0428138827924036E-3</v>
      </c>
      <c r="N94">
        <f>D1893</f>
        <v>-1.4621738312865437E-2</v>
      </c>
      <c r="O94">
        <f>AVERAGEIFS(E1893:E1913,E1893:E1913,"&lt;=" &amp; N94)</f>
        <v>-1.4745161149849379E-2</v>
      </c>
      <c r="P94">
        <v>149.7086481866219</v>
      </c>
      <c r="Q94">
        <f t="shared" si="10"/>
        <v>120.20522781980446</v>
      </c>
      <c r="R94">
        <v>18.572019999999998</v>
      </c>
      <c r="S94">
        <f t="shared" si="9"/>
        <v>181.4152257718481</v>
      </c>
      <c r="T94">
        <v>7.0428138827924036E-3</v>
      </c>
      <c r="U94">
        <v>10.59</v>
      </c>
      <c r="AI94">
        <v>164.0532893047378</v>
      </c>
      <c r="AJ94">
        <v>104.73080715959433</v>
      </c>
      <c r="AK94">
        <v>66.645698547363281</v>
      </c>
      <c r="AL94">
        <v>31.701534582704117</v>
      </c>
    </row>
    <row r="95" spans="1:38" x14ac:dyDescent="0.35">
      <c r="A95" t="s">
        <v>19</v>
      </c>
      <c r="E95">
        <v>2.3576384262754185E-2</v>
      </c>
      <c r="F95">
        <f t="shared" si="6"/>
        <v>-1.9851923770685231E-2</v>
      </c>
      <c r="G95">
        <f t="shared" si="5"/>
        <v>-3.0972099647624544E-2</v>
      </c>
      <c r="J95" s="2" t="s">
        <v>107</v>
      </c>
      <c r="K95">
        <f>B1914</f>
        <v>4.2003048565218302E-3</v>
      </c>
      <c r="L95">
        <f>C1914</f>
        <v>2.3539039236756178E-3</v>
      </c>
      <c r="M95">
        <f t="shared" si="8"/>
        <v>8.1866462043207553E-3</v>
      </c>
      <c r="N95">
        <f>D1914</f>
        <v>-3.9503033482941952E-3</v>
      </c>
      <c r="O95">
        <f>AVERAGEIFS(E1914:E1934,E1914:E1934,"&lt;=" &amp; N95)</f>
        <v>-4.0443124958122441E-3</v>
      </c>
      <c r="P95">
        <v>205.76640680752621</v>
      </c>
      <c r="Q95">
        <f t="shared" si="7"/>
        <v>191.21771095175799</v>
      </c>
      <c r="R95">
        <v>14.306179999999999</v>
      </c>
      <c r="S95">
        <f t="shared" si="9"/>
        <v>149.7086481866219</v>
      </c>
      <c r="T95">
        <v>8.1866462043207553E-3</v>
      </c>
      <c r="U95">
        <v>9.51</v>
      </c>
      <c r="AI95">
        <v>256.47821175850652</v>
      </c>
      <c r="AJ95">
        <v>164.52679069817384</v>
      </c>
      <c r="AK95">
        <v>94.979637145996094</v>
      </c>
      <c r="AL95">
        <v>91.194235420073483</v>
      </c>
    </row>
    <row r="96" spans="1:38" x14ac:dyDescent="0.35">
      <c r="A96" t="s">
        <v>19</v>
      </c>
      <c r="E96">
        <v>-2.9612765398064171E-2</v>
      </c>
      <c r="F96">
        <f t="shared" si="6"/>
        <v>-1.9852296866124768E-2</v>
      </c>
      <c r="G96">
        <f t="shared" si="5"/>
        <v>-3.0972099647624544E-2</v>
      </c>
      <c r="J96" s="2" t="s">
        <v>108</v>
      </c>
      <c r="K96">
        <f>B1935</f>
        <v>3.9570770956058625E-3</v>
      </c>
      <c r="L96">
        <f>C1935</f>
        <v>9.2781664136938114E-4</v>
      </c>
      <c r="M96">
        <f t="shared" si="8"/>
        <v>4.2003048565218302E-3</v>
      </c>
      <c r="N96">
        <f>D1935</f>
        <v>-5.316374498732482E-3</v>
      </c>
      <c r="O96">
        <f>AVERAGEIFS(E1935:E1954,E1935:E1954,"&lt;=" &amp; N96)</f>
        <v>-5.3400847518249176E-3</v>
      </c>
      <c r="P96">
        <v>227.2336150414811</v>
      </c>
      <c r="Q96">
        <f t="shared" si="7"/>
        <v>176.94292419833891</v>
      </c>
      <c r="R96">
        <v>13.96176</v>
      </c>
      <c r="S96">
        <f t="shared" si="9"/>
        <v>205.76640680752621</v>
      </c>
      <c r="T96">
        <v>4.2003048565218302E-3</v>
      </c>
      <c r="U96">
        <v>10.18</v>
      </c>
      <c r="W96" t="s">
        <v>225</v>
      </c>
      <c r="AI96">
        <v>227.00538712978212</v>
      </c>
      <c r="AJ96">
        <v>142.697508187072</v>
      </c>
      <c r="AK96">
        <v>177.32598876953125</v>
      </c>
      <c r="AL96">
        <v>66.270566265736932</v>
      </c>
    </row>
    <row r="97" spans="1:38" ht="15" thickBot="1" x14ac:dyDescent="0.4">
      <c r="A97" t="s">
        <v>19</v>
      </c>
      <c r="E97">
        <v>-1.9233363364696932E-2</v>
      </c>
      <c r="F97">
        <f t="shared" si="6"/>
        <v>-1.9836282387691175E-2</v>
      </c>
      <c r="G97">
        <f t="shared" si="5"/>
        <v>-3.091959191612469E-2</v>
      </c>
      <c r="J97" s="2" t="s">
        <v>109</v>
      </c>
      <c r="K97">
        <f>B1955</f>
        <v>5.1532030520363634E-3</v>
      </c>
      <c r="L97">
        <f>C1955</f>
        <v>-1.1596641252819297E-3</v>
      </c>
      <c r="M97">
        <f t="shared" si="8"/>
        <v>3.9570770956058625E-3</v>
      </c>
      <c r="N97">
        <f>D1955</f>
        <v>-1.0914959917006259E-2</v>
      </c>
      <c r="O97">
        <f>AVERAGEIFS(E1955:E1976,E1955:E1976,"&lt;=" &amp; N97)</f>
        <v>-1.170698361575578E-2</v>
      </c>
      <c r="P97">
        <v>229.71335895759839</v>
      </c>
      <c r="Q97">
        <f t="shared" si="7"/>
        <v>198.90374715685948</v>
      </c>
      <c r="R97">
        <v>16.018129999999999</v>
      </c>
      <c r="S97">
        <f t="shared" si="9"/>
        <v>227.2336150414811</v>
      </c>
      <c r="T97">
        <v>3.9570770956058625E-3</v>
      </c>
      <c r="U97">
        <v>11.28</v>
      </c>
      <c r="AI97">
        <v>251.36940607972903</v>
      </c>
      <c r="AJ97">
        <v>189.63558793958364</v>
      </c>
      <c r="AK97">
        <v>130.81230163574219</v>
      </c>
      <c r="AL97">
        <v>63.299969300003845</v>
      </c>
    </row>
    <row r="98" spans="1:38" x14ac:dyDescent="0.35">
      <c r="A98" t="s">
        <v>19</v>
      </c>
      <c r="E98">
        <v>1.7885753714340939E-3</v>
      </c>
      <c r="F98">
        <f t="shared" si="6"/>
        <v>-1.9839630704824841E-2</v>
      </c>
      <c r="G98">
        <f t="shared" si="5"/>
        <v>-3.091959191612469E-2</v>
      </c>
      <c r="J98" s="2" t="s">
        <v>110</v>
      </c>
      <c r="K98">
        <f>B1977</f>
        <v>7.1440630071528243E-3</v>
      </c>
      <c r="L98">
        <f>C1977</f>
        <v>-9.8169633012110038E-4</v>
      </c>
      <c r="M98">
        <f t="shared" si="8"/>
        <v>5.1532030520363634E-3</v>
      </c>
      <c r="N98">
        <f>D1977</f>
        <v>-1.1942408767360517E-2</v>
      </c>
      <c r="O98">
        <f>AVERAGEIFS(E1977:E1995,E1977:E1995,"&lt;=" &amp; N98)</f>
        <v>-1.1942408767360517E-2</v>
      </c>
      <c r="P98">
        <v>173.39306620735519</v>
      </c>
      <c r="Q98">
        <f t="shared" si="7"/>
        <v>145.40674721578853</v>
      </c>
      <c r="R98">
        <v>16.243410000000001</v>
      </c>
      <c r="S98">
        <f t="shared" si="9"/>
        <v>229.71335895759839</v>
      </c>
      <c r="T98">
        <v>5.1532030520363634E-3</v>
      </c>
      <c r="U98">
        <v>11.04</v>
      </c>
      <c r="W98" s="8" t="s">
        <v>226</v>
      </c>
      <c r="X98" s="8"/>
      <c r="AI98">
        <v>194.63212824866446</v>
      </c>
      <c r="AJ98">
        <v>110.69768979829733</v>
      </c>
      <c r="AK98">
        <v>126.73715972900391</v>
      </c>
      <c r="AL98">
        <v>62.125211795591085</v>
      </c>
    </row>
    <row r="99" spans="1:38" x14ac:dyDescent="0.35">
      <c r="A99" t="s">
        <v>19</v>
      </c>
      <c r="E99">
        <v>-6.1997880004735174E-3</v>
      </c>
      <c r="F99">
        <f t="shared" si="6"/>
        <v>-1.9842979021958512E-2</v>
      </c>
      <c r="G99">
        <f t="shared" si="5"/>
        <v>-3.091959191612469E-2</v>
      </c>
      <c r="J99" s="2" t="s">
        <v>111</v>
      </c>
      <c r="K99">
        <f>B1996</f>
        <v>1.0312643146904667E-2</v>
      </c>
      <c r="L99">
        <f>C1996</f>
        <v>6.1193545317805411E-3</v>
      </c>
      <c r="M99">
        <f t="shared" si="8"/>
        <v>7.1440630071528243E-3</v>
      </c>
      <c r="N99">
        <f>D1996</f>
        <v>-9.701827823825027E-3</v>
      </c>
      <c r="O99">
        <f>AVERAGEIFS(E1996:E2017,E1996:E2017,"&lt;=" &amp; N99)</f>
        <v>-1.0011408083972922E-2</v>
      </c>
      <c r="P99">
        <v>196.43604370769481</v>
      </c>
      <c r="Q99">
        <f t="shared" si="7"/>
        <v>173.42124141534063</v>
      </c>
      <c r="R99">
        <v>18.826599999999999</v>
      </c>
      <c r="S99">
        <f t="shared" si="9"/>
        <v>173.39306620735519</v>
      </c>
      <c r="T99">
        <v>7.1440630071528243E-3</v>
      </c>
      <c r="U99">
        <v>13.54</v>
      </c>
      <c r="W99" t="s">
        <v>227</v>
      </c>
      <c r="X99">
        <v>8.1610306790797629E-2</v>
      </c>
      <c r="AI99">
        <v>221.13756884827956</v>
      </c>
      <c r="AJ99">
        <v>150.03557921859544</v>
      </c>
      <c r="AK99">
        <v>112.77650451660156</v>
      </c>
      <c r="AL99">
        <v>102.9585200968542</v>
      </c>
    </row>
    <row r="100" spans="1:38" x14ac:dyDescent="0.35">
      <c r="A100" t="s">
        <v>19</v>
      </c>
      <c r="E100">
        <v>-2.7651129481926228E-2</v>
      </c>
      <c r="F100">
        <f t="shared" si="6"/>
        <v>-1.9846327339092182E-2</v>
      </c>
      <c r="G100">
        <f t="shared" si="5"/>
        <v>-3.091959191612469E-2</v>
      </c>
      <c r="J100" s="2" t="s">
        <v>112</v>
      </c>
      <c r="K100">
        <f>B2018</f>
        <v>1.1763967655286936E-2</v>
      </c>
      <c r="L100">
        <f>C2018</f>
        <v>-2.4170988503475865E-3</v>
      </c>
      <c r="M100">
        <f t="shared" si="8"/>
        <v>1.0312643146904667E-2</v>
      </c>
      <c r="N100">
        <f>D2018</f>
        <v>-2.4309004285343893E-2</v>
      </c>
      <c r="O100">
        <f>AVERAGEIFS(E2018:E2037,E2018:E2037,"&lt;=" &amp; N100)</f>
        <v>-2.4398586364735544E-2</v>
      </c>
      <c r="P100">
        <v>135.16370732840801</v>
      </c>
      <c r="Q100">
        <f t="shared" si="7"/>
        <v>138.96153757897741</v>
      </c>
      <c r="R100">
        <v>21.97644</v>
      </c>
      <c r="S100">
        <f t="shared" si="9"/>
        <v>196.43604370769481</v>
      </c>
      <c r="T100">
        <v>1.0312643146904667E-2</v>
      </c>
      <c r="U100">
        <v>19.850000000000001</v>
      </c>
      <c r="W100" t="s">
        <v>228</v>
      </c>
      <c r="X100">
        <v>6.66024217448811E-3</v>
      </c>
      <c r="Z100" t="s">
        <v>384</v>
      </c>
      <c r="AI100">
        <v>192.03058706445086</v>
      </c>
      <c r="AJ100">
        <v>97.528966204588713</v>
      </c>
      <c r="AK100">
        <v>105.40119171142578</v>
      </c>
      <c r="AL100">
        <v>79.059170638918047</v>
      </c>
    </row>
    <row r="101" spans="1:38" x14ac:dyDescent="0.35">
      <c r="A101" t="s">
        <v>19</v>
      </c>
      <c r="E101">
        <v>1.667356174556462E-2</v>
      </c>
      <c r="F101">
        <f t="shared" si="6"/>
        <v>-1.9782709313552461E-2</v>
      </c>
      <c r="G101">
        <f t="shared" si="5"/>
        <v>-3.0937259280633869E-2</v>
      </c>
      <c r="J101" s="2" t="s">
        <v>113</v>
      </c>
      <c r="K101">
        <f>B2038</f>
        <v>9.9001874532690156E-3</v>
      </c>
      <c r="L101">
        <f>C2038</f>
        <v>-1.0848474841602621E-3</v>
      </c>
      <c r="M101">
        <f t="shared" si="8"/>
        <v>1.1763967655286936E-2</v>
      </c>
      <c r="N101">
        <f>D2038</f>
        <v>-2.1486609655743814E-2</v>
      </c>
      <c r="O101">
        <f>AVERAGEIFS(E2038:E2058,E2038:E2058,"&lt;=" &amp; N101)</f>
        <v>-2.213385896339199E-2</v>
      </c>
      <c r="P101">
        <v>175.5761707346424</v>
      </c>
      <c r="Q101">
        <f t="shared" si="7"/>
        <v>144.57928891653202</v>
      </c>
      <c r="R101">
        <v>21.431080000000001</v>
      </c>
      <c r="S101">
        <f t="shared" si="9"/>
        <v>135.16370732840801</v>
      </c>
      <c r="T101">
        <v>1.1763967655286936E-2</v>
      </c>
      <c r="U101">
        <v>19.97</v>
      </c>
      <c r="W101" t="s">
        <v>228</v>
      </c>
      <c r="X101">
        <v>1.1721772141261653E-3</v>
      </c>
      <c r="AI101">
        <v>195.57213916032086</v>
      </c>
      <c r="AJ101">
        <v>113.25939882505742</v>
      </c>
      <c r="AK101">
        <v>93.329330444335938</v>
      </c>
      <c r="AL101">
        <v>77.476555490256473</v>
      </c>
    </row>
    <row r="102" spans="1:38" x14ac:dyDescent="0.35">
      <c r="A102" t="s">
        <v>19</v>
      </c>
      <c r="E102">
        <v>3.4576332061858152E-2</v>
      </c>
      <c r="F102">
        <f t="shared" si="6"/>
        <v>-1.9786057630686131E-2</v>
      </c>
      <c r="G102">
        <f t="shared" si="5"/>
        <v>-3.0937259280633869E-2</v>
      </c>
      <c r="J102" s="2" t="s">
        <v>114</v>
      </c>
      <c r="K102">
        <f>B2059</f>
        <v>7.4716144089447042E-3</v>
      </c>
      <c r="L102">
        <f>C2059</f>
        <v>2.5377944929941545E-3</v>
      </c>
      <c r="M102">
        <f t="shared" si="8"/>
        <v>9.9001874532690156E-3</v>
      </c>
      <c r="N102">
        <f>D2059</f>
        <v>-7.1220485743306037E-3</v>
      </c>
      <c r="O102">
        <f>AVERAGEIFS(E2059:E2078,E2059:E2078,"&lt;=" &amp; N102)</f>
        <v>-7.1605388912669874E-3</v>
      </c>
      <c r="P102">
        <v>150.18455097286261</v>
      </c>
      <c r="Q102">
        <f t="shared" si="7"/>
        <v>146.99584963883657</v>
      </c>
      <c r="R102">
        <v>16.597010000000001</v>
      </c>
      <c r="S102">
        <f t="shared" si="9"/>
        <v>175.5761707346424</v>
      </c>
      <c r="T102">
        <v>9.9001874532690156E-3</v>
      </c>
      <c r="U102">
        <v>15.93</v>
      </c>
      <c r="W102" t="s">
        <v>229</v>
      </c>
      <c r="X102">
        <v>1.2095318189095611E-2</v>
      </c>
      <c r="AI102">
        <v>187.3611054188672</v>
      </c>
      <c r="AJ102">
        <v>127.53606101961677</v>
      </c>
      <c r="AK102">
        <v>103.66265869140625</v>
      </c>
      <c r="AL102">
        <v>77.249375718371923</v>
      </c>
    </row>
    <row r="103" spans="1:38" ht="15" thickBot="1" x14ac:dyDescent="0.4">
      <c r="A103" t="s">
        <v>19</v>
      </c>
      <c r="E103">
        <v>-2.0254448570553541E-3</v>
      </c>
      <c r="F103">
        <f t="shared" si="6"/>
        <v>-1.9789405947819801E-2</v>
      </c>
      <c r="G103">
        <f t="shared" si="5"/>
        <v>-3.0937259280633869E-2</v>
      </c>
      <c r="J103" s="2" t="s">
        <v>115</v>
      </c>
      <c r="K103">
        <f>B2079</f>
        <v>7.8373629504683764E-3</v>
      </c>
      <c r="L103">
        <f>C2079</f>
        <v>-1.9691467925927685E-3</v>
      </c>
      <c r="M103">
        <f t="shared" si="8"/>
        <v>7.4716144089447042E-3</v>
      </c>
      <c r="N103">
        <f>D2079</f>
        <v>-2.5124098184302182E-2</v>
      </c>
      <c r="O103">
        <f>AVERAGEIFS(E2079:E2097,E2079:E2097,"&lt;=" &amp; N103)</f>
        <v>-2.5124098184302182E-2</v>
      </c>
      <c r="P103">
        <v>224.51605913140091</v>
      </c>
      <c r="Q103">
        <f t="shared" si="7"/>
        <v>226.19809973745399</v>
      </c>
      <c r="R103">
        <v>20.604800000000001</v>
      </c>
      <c r="S103">
        <f t="shared" si="9"/>
        <v>150.18455097286261</v>
      </c>
      <c r="T103">
        <v>7.4716144089447042E-3</v>
      </c>
      <c r="U103">
        <v>15.43</v>
      </c>
      <c r="W103" s="6" t="s">
        <v>230</v>
      </c>
      <c r="X103" s="6">
        <v>183</v>
      </c>
      <c r="AI103">
        <v>303.05390794963159</v>
      </c>
      <c r="AJ103">
        <v>178.8854475498668</v>
      </c>
      <c r="AK103">
        <v>140.21331787109375</v>
      </c>
      <c r="AL103">
        <v>135.18132578443829</v>
      </c>
    </row>
    <row r="104" spans="1:38" x14ac:dyDescent="0.35">
      <c r="A104" t="s">
        <v>20</v>
      </c>
      <c r="B104" s="3" cm="1">
        <f t="array" ref="B104">_xlfn.STDEV.S(_xlfn._xlws.FILTER($E$2:$E$1000, $A$2:$A$1000="2010-06"))</f>
        <v>1.6400799961012857E-2</v>
      </c>
      <c r="C104" s="3" cm="1">
        <f t="array" ref="C104">AVERAGE(_xlfn._xlws.FILTER($E$2:$E$1000, $A$2:$A$1000="2010-06"))</f>
        <v>-7.1398519358352669E-4</v>
      </c>
      <c r="D104" s="3" cm="1">
        <f t="array" ref="D104">_xlfn.PERCENTILE.EXC(_xlfn._xlws.FILTER($E$104:$E$125, $A$104:$A$125="2010-06"), 0.05)</f>
        <v>-4.1212742013719314E-2</v>
      </c>
      <c r="E104">
        <v>-2.8655510123003426E-3</v>
      </c>
      <c r="F104">
        <f t="shared" si="6"/>
        <v>-1.9792754264953472E-2</v>
      </c>
      <c r="G104">
        <f t="shared" si="5"/>
        <v>-3.0937259280633869E-2</v>
      </c>
      <c r="J104" s="4" t="s">
        <v>116</v>
      </c>
      <c r="K104" s="3">
        <f>B2098</f>
        <v>9.1718269055142566E-3</v>
      </c>
      <c r="L104" s="3">
        <f>C2098</f>
        <v>-1.5471084980472018E-4</v>
      </c>
      <c r="M104">
        <f t="shared" si="8"/>
        <v>7.8373629504683764E-3</v>
      </c>
      <c r="N104" s="3">
        <f>D2098</f>
        <v>-2.0233117294625166E-2</v>
      </c>
      <c r="O104" s="3">
        <f>AVERAGEIFS(E2098:E2118,E2098:E2118,"&lt;=" &amp; N104)</f>
        <v>-2.1258184013026291E-2</v>
      </c>
      <c r="P104" s="3">
        <v>233.2118870724486</v>
      </c>
      <c r="Q104" s="3">
        <f t="shared" si="7"/>
        <v>247.96641653625178</v>
      </c>
      <c r="R104" s="3">
        <v>19.422699999999999</v>
      </c>
      <c r="S104">
        <f t="shared" si="9"/>
        <v>224.51605913140091</v>
      </c>
      <c r="T104">
        <v>7.8373629504683764E-3</v>
      </c>
      <c r="U104" s="3">
        <v>16.09</v>
      </c>
      <c r="AI104" s="3">
        <v>331.26207526335889</v>
      </c>
      <c r="AJ104" s="3">
        <v>209.0020525803935</v>
      </c>
      <c r="AK104" s="3">
        <v>132.80390930175781</v>
      </c>
      <c r="AL104" s="3">
        <v>129.37375720618235</v>
      </c>
    </row>
    <row r="105" spans="1:38" ht="15" thickBot="1" x14ac:dyDescent="0.4">
      <c r="A105" t="s">
        <v>20</v>
      </c>
      <c r="E105">
        <v>-1.766323588846536E-3</v>
      </c>
      <c r="F105">
        <f t="shared" si="6"/>
        <v>-1.9796102582087142E-2</v>
      </c>
      <c r="G105">
        <f t="shared" si="5"/>
        <v>-3.0937259280633869E-2</v>
      </c>
      <c r="J105" s="2" t="s">
        <v>117</v>
      </c>
      <c r="K105">
        <f>B2119</f>
        <v>6.3438826816556368E-3</v>
      </c>
      <c r="L105">
        <f>C2119</f>
        <v>1.7063162642801963E-3</v>
      </c>
      <c r="M105">
        <f t="shared" si="8"/>
        <v>9.1718269055142566E-3</v>
      </c>
      <c r="N105">
        <f>D2119</f>
        <v>-1.3600317164472334E-2</v>
      </c>
      <c r="O105">
        <f>AVERAGEIFS(E2119:E2140,E2119:E2140,"&lt;=" &amp; N105)</f>
        <v>-1.47805801756445E-2</v>
      </c>
      <c r="P105">
        <v>208.27210377024551</v>
      </c>
      <c r="Q105">
        <f t="shared" si="7"/>
        <v>203.95532817847064</v>
      </c>
      <c r="R105">
        <v>14.70101</v>
      </c>
      <c r="S105">
        <f t="shared" si="9"/>
        <v>233.2118870724486</v>
      </c>
      <c r="T105">
        <v>9.1718269055142566E-3</v>
      </c>
      <c r="U105">
        <v>12.83</v>
      </c>
      <c r="W105" t="s">
        <v>231</v>
      </c>
      <c r="AI105">
        <v>239.72984200414407</v>
      </c>
      <c r="AJ105">
        <v>219.13716355950785</v>
      </c>
      <c r="AK105">
        <v>96.504730224609375</v>
      </c>
      <c r="AL105">
        <v>101.33782814702596</v>
      </c>
    </row>
    <row r="106" spans="1:38" x14ac:dyDescent="0.35">
      <c r="A106" t="s">
        <v>20</v>
      </c>
      <c r="E106">
        <v>1.2291651925961636E-2</v>
      </c>
      <c r="F106">
        <f t="shared" si="6"/>
        <v>-1.9799450899220809E-2</v>
      </c>
      <c r="G106">
        <f t="shared" si="5"/>
        <v>-3.0937259280633869E-2</v>
      </c>
      <c r="J106" s="2" t="s">
        <v>118</v>
      </c>
      <c r="K106">
        <f>B2141</f>
        <v>6.8461609871808323E-3</v>
      </c>
      <c r="L106">
        <f>C2141</f>
        <v>-1.8254486081587171E-3</v>
      </c>
      <c r="M106">
        <f t="shared" si="8"/>
        <v>6.3438826816556368E-3</v>
      </c>
      <c r="N106">
        <f>D2141</f>
        <v>-1.8795337607148493E-2</v>
      </c>
      <c r="O106">
        <f>AVERAGEIFS(E2141:E2161,E2141:E2161,"&lt;=" &amp; N106)</f>
        <v>-1.9609293134650346E-2</v>
      </c>
      <c r="P106">
        <v>166.83115869788239</v>
      </c>
      <c r="Q106">
        <f t="shared" si="7"/>
        <v>160.44534974363009</v>
      </c>
      <c r="R106">
        <v>18.127970000000001</v>
      </c>
      <c r="S106">
        <f t="shared" si="9"/>
        <v>208.27210377024551</v>
      </c>
      <c r="T106">
        <v>6.3438826816556368E-3</v>
      </c>
      <c r="U106">
        <v>12.86</v>
      </c>
      <c r="W106" s="7"/>
      <c r="X106" s="7" t="s">
        <v>236</v>
      </c>
      <c r="Y106" s="7" t="s">
        <v>237</v>
      </c>
      <c r="Z106" s="7" t="s">
        <v>238</v>
      </c>
      <c r="AA106" s="7" t="s">
        <v>239</v>
      </c>
      <c r="AB106" s="7" t="s">
        <v>240</v>
      </c>
      <c r="AI106">
        <v>184.52116526124601</v>
      </c>
      <c r="AJ106">
        <v>174.67610179730138</v>
      </c>
      <c r="AK106">
        <v>78.211456298828125</v>
      </c>
      <c r="AL106">
        <v>87.705528675658257</v>
      </c>
    </row>
    <row r="107" spans="1:38" x14ac:dyDescent="0.35">
      <c r="A107" t="s">
        <v>20</v>
      </c>
      <c r="E107">
        <v>-3.1064133366069311E-2</v>
      </c>
      <c r="F107">
        <f t="shared" si="6"/>
        <v>-1.9802799216354479E-2</v>
      </c>
      <c r="G107">
        <f t="shared" si="5"/>
        <v>-3.0937259280633869E-2</v>
      </c>
      <c r="J107" s="2" t="s">
        <v>119</v>
      </c>
      <c r="K107">
        <f>B2162</f>
        <v>6.7708693295886815E-3</v>
      </c>
      <c r="L107">
        <f>C2162</f>
        <v>9.2754844697914236E-5</v>
      </c>
      <c r="M107">
        <f t="shared" si="8"/>
        <v>6.8461609871808323E-3</v>
      </c>
      <c r="N107">
        <f>D2162</f>
        <v>-1.468987955831017E-2</v>
      </c>
      <c r="O107">
        <f>AVERAGEIFS(E2162:E2181,E2162:E2181,"&lt;=" &amp; N107)</f>
        <v>-1.4773249806959149E-2</v>
      </c>
      <c r="P107">
        <v>204.80448588168059</v>
      </c>
      <c r="Q107">
        <f t="shared" si="7"/>
        <v>206.4083500062051</v>
      </c>
      <c r="R107">
        <v>17.146560000000001</v>
      </c>
      <c r="S107">
        <f t="shared" si="9"/>
        <v>166.83115869788239</v>
      </c>
      <c r="T107">
        <v>6.8461609871808323E-3</v>
      </c>
      <c r="U107">
        <v>12.12</v>
      </c>
      <c r="W107" t="s">
        <v>232</v>
      </c>
      <c r="X107">
        <v>1</v>
      </c>
      <c r="Y107">
        <v>1.7754374365593073E-4</v>
      </c>
      <c r="Z107">
        <v>1.7754374365593073E-4</v>
      </c>
      <c r="AA107">
        <v>1.2135866143335261</v>
      </c>
      <c r="AB107">
        <v>0.27208572196379277</v>
      </c>
      <c r="AI107">
        <v>230.68047445655253</v>
      </c>
      <c r="AJ107">
        <v>231.35667424143253</v>
      </c>
      <c r="AK107">
        <v>109.84809875488281</v>
      </c>
      <c r="AL107">
        <v>109.44738459303053</v>
      </c>
    </row>
    <row r="108" spans="1:38" x14ac:dyDescent="0.35">
      <c r="A108" t="s">
        <v>20</v>
      </c>
      <c r="E108">
        <v>-9.2927672639689894E-3</v>
      </c>
      <c r="F108">
        <f t="shared" si="6"/>
        <v>-1.9741923929985802E-2</v>
      </c>
      <c r="G108">
        <f t="shared" si="5"/>
        <v>-3.087626051106819E-2</v>
      </c>
      <c r="J108" s="2" t="s">
        <v>120</v>
      </c>
      <c r="K108">
        <f>B2182</f>
        <v>9.4933181765226235E-3</v>
      </c>
      <c r="L108">
        <f>C2182</f>
        <v>-2.7803512685990392E-3</v>
      </c>
      <c r="M108">
        <f t="shared" si="8"/>
        <v>6.7708693295886815E-3</v>
      </c>
      <c r="N108">
        <f>D2182</f>
        <v>-1.7648851736132103E-2</v>
      </c>
      <c r="O108">
        <f>AVERAGEIFS(E2182:E2203,E2182:E2203,"&lt;=" &amp; N108)</f>
        <v>-1.7822954177818175E-2</v>
      </c>
      <c r="P108">
        <v>246.06096914626829</v>
      </c>
      <c r="Q108">
        <f t="shared" si="7"/>
        <v>233.39180096349352</v>
      </c>
      <c r="R108">
        <v>22.955480000000001</v>
      </c>
      <c r="S108">
        <f t="shared" si="9"/>
        <v>204.80448588168059</v>
      </c>
      <c r="T108">
        <v>6.7708693295886815E-3</v>
      </c>
      <c r="U108">
        <v>21.23</v>
      </c>
      <c r="W108" t="s">
        <v>233</v>
      </c>
      <c r="X108">
        <v>181</v>
      </c>
      <c r="Y108">
        <v>2.647970669927955E-2</v>
      </c>
      <c r="Z108">
        <v>1.4629672209546713E-4</v>
      </c>
      <c r="AI108">
        <v>302.29285278472776</v>
      </c>
      <c r="AJ108">
        <v>193.90705645560894</v>
      </c>
      <c r="AK108">
        <v>149.11904907226563</v>
      </c>
      <c r="AL108">
        <v>148.87244196236679</v>
      </c>
    </row>
    <row r="109" spans="1:38" ht="15" thickBot="1" x14ac:dyDescent="0.4">
      <c r="A109" t="s">
        <v>20</v>
      </c>
      <c r="E109">
        <v>-7.5900864499619282E-3</v>
      </c>
      <c r="F109">
        <f t="shared" si="6"/>
        <v>-1.9745043685521883E-2</v>
      </c>
      <c r="G109">
        <f t="shared" si="5"/>
        <v>-3.087626051106819E-2</v>
      </c>
      <c r="J109" s="2" t="s">
        <v>121</v>
      </c>
      <c r="K109">
        <f>B2204</f>
        <v>7.1308261040333703E-3</v>
      </c>
      <c r="L109">
        <f>C2204</f>
        <v>-3.4790452078654134E-4</v>
      </c>
      <c r="M109">
        <f t="shared" si="8"/>
        <v>9.4933181765226235E-3</v>
      </c>
      <c r="N109">
        <f>D2204</f>
        <v>-1.3642051099175644E-2</v>
      </c>
      <c r="O109">
        <f>AVERAGEIFS(E2204:E2225,E2204:E2225,"&lt;=" &amp; N109)</f>
        <v>-1.4103860071589532E-2</v>
      </c>
      <c r="P109">
        <v>231.17001285809201</v>
      </c>
      <c r="Q109">
        <f t="shared" si="7"/>
        <v>202.83984063324527</v>
      </c>
      <c r="R109">
        <v>20.9254</v>
      </c>
      <c r="S109">
        <f t="shared" si="9"/>
        <v>246.06096914626829</v>
      </c>
      <c r="T109">
        <v>9.4933181765226235E-3</v>
      </c>
      <c r="U109">
        <v>18.07</v>
      </c>
      <c r="W109" s="6" t="s">
        <v>234</v>
      </c>
      <c r="X109" s="6">
        <v>182</v>
      </c>
      <c r="Y109" s="6">
        <v>2.665725044293548E-2</v>
      </c>
      <c r="Z109" s="6"/>
      <c r="AA109" s="6"/>
      <c r="AB109" s="6"/>
      <c r="AI109">
        <v>274.4578971469461</v>
      </c>
      <c r="AJ109">
        <v>148.17275410161267</v>
      </c>
      <c r="AK109">
        <v>138.01336669921875</v>
      </c>
      <c r="AL109">
        <v>139.26294795344006</v>
      </c>
    </row>
    <row r="110" spans="1:38" ht="15" thickBot="1" x14ac:dyDescent="0.4">
      <c r="A110" t="s">
        <v>20</v>
      </c>
      <c r="E110">
        <v>1.8092183309661766E-2</v>
      </c>
      <c r="F110">
        <f t="shared" si="6"/>
        <v>-1.9748163441057967E-2</v>
      </c>
      <c r="G110">
        <f t="shared" si="5"/>
        <v>-3.087626051106819E-2</v>
      </c>
      <c r="J110" s="2" t="s">
        <v>122</v>
      </c>
      <c r="K110">
        <f>B2226</f>
        <v>1.4100997113724464E-2</v>
      </c>
      <c r="L110">
        <f>C2226</f>
        <v>-3.5650767122820471E-3</v>
      </c>
      <c r="M110">
        <f t="shared" si="8"/>
        <v>7.1308261040333703E-3</v>
      </c>
      <c r="N110">
        <f>D2226</f>
        <v>-2.3779227484689011E-2</v>
      </c>
      <c r="O110">
        <f>AVERAGEIFS(E2226:E2242,E2226:E2242,"&lt;=" &amp; N110)</f>
        <v>-3.3678607135577465E-2</v>
      </c>
      <c r="P110">
        <v>275.70744930836941</v>
      </c>
      <c r="Q110">
        <f t="shared" si="7"/>
        <v>262.65205475997516</v>
      </c>
      <c r="R110">
        <v>27.303149999999999</v>
      </c>
      <c r="S110">
        <f t="shared" si="9"/>
        <v>231.17001285809201</v>
      </c>
      <c r="T110">
        <v>7.1308261040333703E-3</v>
      </c>
      <c r="U110">
        <v>25.42</v>
      </c>
      <c r="AI110">
        <v>339.57651506767587</v>
      </c>
      <c r="AJ110">
        <v>225.89790867248931</v>
      </c>
      <c r="AK110">
        <v>127.73059844970703</v>
      </c>
      <c r="AL110">
        <v>187.63554528275972</v>
      </c>
    </row>
    <row r="111" spans="1:38" x14ac:dyDescent="0.35">
      <c r="A111" t="s">
        <v>20</v>
      </c>
      <c r="E111">
        <v>2.0157804327137041E-2</v>
      </c>
      <c r="F111">
        <f t="shared" si="6"/>
        <v>-1.9751283196594048E-2</v>
      </c>
      <c r="G111">
        <f t="shared" si="5"/>
        <v>-3.087626051106819E-2</v>
      </c>
      <c r="J111" s="2" t="s">
        <v>123</v>
      </c>
      <c r="K111">
        <f>B2243</f>
        <v>9.1330260276240669E-3</v>
      </c>
      <c r="L111">
        <f>C2243</f>
        <v>2.5581569653825255E-3</v>
      </c>
      <c r="M111">
        <f t="shared" si="8"/>
        <v>1.4100997113724464E-2</v>
      </c>
      <c r="N111">
        <f>D2243</f>
        <v>-1.2246438583899252E-2</v>
      </c>
      <c r="O111">
        <f>AVERAGEIFS(E2243:E2264,E2243:E2264,"&lt;=" &amp; N111)</f>
        <v>-1.2952782373052304E-2</v>
      </c>
      <c r="P111">
        <v>247.6771075795003</v>
      </c>
      <c r="Q111">
        <f t="shared" si="7"/>
        <v>251.60327432780622</v>
      </c>
      <c r="R111">
        <v>17.303930000000001</v>
      </c>
      <c r="S111">
        <f t="shared" si="9"/>
        <v>275.70744930836941</v>
      </c>
      <c r="T111">
        <v>1.4100997113724464E-2</v>
      </c>
      <c r="U111">
        <v>16.57</v>
      </c>
      <c r="W111" s="7"/>
      <c r="X111" s="7" t="s">
        <v>241</v>
      </c>
      <c r="Y111" s="7" t="s">
        <v>229</v>
      </c>
      <c r="Z111" s="7" t="s">
        <v>242</v>
      </c>
      <c r="AA111" s="7" t="s">
        <v>243</v>
      </c>
      <c r="AB111" s="7" t="s">
        <v>244</v>
      </c>
      <c r="AC111" s="7" t="s">
        <v>245</v>
      </c>
      <c r="AD111" s="7" t="s">
        <v>246</v>
      </c>
      <c r="AE111" s="7" t="s">
        <v>247</v>
      </c>
      <c r="AI111">
        <v>363.04773960850827</v>
      </c>
      <c r="AJ111">
        <v>168.08723034264537</v>
      </c>
      <c r="AK111">
        <v>131.04118347167969</v>
      </c>
      <c r="AL111">
        <v>169.99783581953128</v>
      </c>
    </row>
    <row r="112" spans="1:38" x14ac:dyDescent="0.35">
      <c r="A112" t="s">
        <v>20</v>
      </c>
      <c r="E112">
        <v>1.1271214510154061E-2</v>
      </c>
      <c r="F112">
        <f t="shared" si="6"/>
        <v>-1.9754402952130132E-2</v>
      </c>
      <c r="G112">
        <f t="shared" si="5"/>
        <v>-3.087626051106819E-2</v>
      </c>
      <c r="J112" s="2" t="s">
        <v>124</v>
      </c>
      <c r="K112">
        <f>B2265</f>
        <v>7.9473789706456539E-3</v>
      </c>
      <c r="L112">
        <f>C2265</f>
        <v>2.1501712553206303E-3</v>
      </c>
      <c r="M112">
        <f t="shared" si="8"/>
        <v>9.1330260276240669E-3</v>
      </c>
      <c r="N112">
        <f>D2265</f>
        <v>-1.8818087673407945E-2</v>
      </c>
      <c r="O112">
        <f>AVERAGEIFS(E2265:E2284,E2265:E2284,"&lt;=" &amp; N112)</f>
        <v>-1.9483574627189339E-2</v>
      </c>
      <c r="P112">
        <v>230.15161133934939</v>
      </c>
      <c r="Q112">
        <f t="shared" si="7"/>
        <v>203.69420654943511</v>
      </c>
      <c r="R112">
        <v>15.46541</v>
      </c>
      <c r="S112">
        <f t="shared" si="9"/>
        <v>247.6771075795003</v>
      </c>
      <c r="T112">
        <v>9.1330260276240669E-3</v>
      </c>
      <c r="U112">
        <v>14.78</v>
      </c>
      <c r="W112" t="s">
        <v>235</v>
      </c>
      <c r="X112">
        <v>-1.9384412372085186E-2</v>
      </c>
      <c r="Y112">
        <v>2.1757090770454113E-3</v>
      </c>
      <c r="Z112">
        <v>-8.9094689067570574</v>
      </c>
      <c r="AA112">
        <v>5.4053597823654881E-16</v>
      </c>
      <c r="AB112">
        <v>-2.3677428059146945E-2</v>
      </c>
      <c r="AC112">
        <v>-1.5091396685023427E-2</v>
      </c>
      <c r="AD112">
        <v>-2.3677428059146945E-2</v>
      </c>
      <c r="AE112">
        <v>-1.5091396685023427E-2</v>
      </c>
      <c r="AI112">
        <v>267.58360147209589</v>
      </c>
      <c r="AJ112">
        <v>155.94647320824077</v>
      </c>
      <c r="AK112">
        <v>132.00209045410156</v>
      </c>
      <c r="AL112">
        <v>158.58831954067259</v>
      </c>
    </row>
    <row r="113" spans="1:38" ht="15" thickBot="1" x14ac:dyDescent="0.4">
      <c r="A113" t="s">
        <v>20</v>
      </c>
      <c r="E113">
        <v>1.6968445958580314E-2</v>
      </c>
      <c r="F113">
        <f t="shared" si="6"/>
        <v>-1.9757522707666213E-2</v>
      </c>
      <c r="G113">
        <f t="shared" si="5"/>
        <v>-3.087626051106819E-2</v>
      </c>
      <c r="J113" s="2" t="s">
        <v>125</v>
      </c>
      <c r="K113">
        <f>B2285</f>
        <v>7.0722108314837089E-3</v>
      </c>
      <c r="L113">
        <f>C2285</f>
        <v>7.6550507981014166E-4</v>
      </c>
      <c r="M113">
        <f t="shared" si="8"/>
        <v>7.9473789706456539E-3</v>
      </c>
      <c r="N113">
        <f>D2285</f>
        <v>-1.771527284257278E-2</v>
      </c>
      <c r="O113">
        <f>AVERAGEIFS(E2285:E2305,E2285:E2305,"&lt;=" &amp; N113)</f>
        <v>-1.848360686935073E-2</v>
      </c>
      <c r="P113">
        <v>229.38423691143069</v>
      </c>
      <c r="Q113">
        <f t="shared" si="7"/>
        <v>216.5129254523568</v>
      </c>
      <c r="R113">
        <v>17.139849999999999</v>
      </c>
      <c r="S113">
        <f t="shared" si="9"/>
        <v>230.15161133934939</v>
      </c>
      <c r="T113">
        <v>7.9473789706456539E-3</v>
      </c>
      <c r="U113">
        <v>13.71</v>
      </c>
      <c r="W113" s="6" t="s">
        <v>248</v>
      </c>
      <c r="X113" s="6">
        <v>-8.458447657101376E-6</v>
      </c>
      <c r="Y113" s="6">
        <v>7.6781267532940384E-6</v>
      </c>
      <c r="Z113" s="6">
        <v>-1.1016290729340419</v>
      </c>
      <c r="AA113" s="6">
        <v>0.2720857219637946</v>
      </c>
      <c r="AB113" s="6">
        <v>-2.3608597530954151E-5</v>
      </c>
      <c r="AC113" s="6">
        <v>6.6917022167513989E-6</v>
      </c>
      <c r="AD113" s="6">
        <v>-2.3608597530954151E-5</v>
      </c>
      <c r="AE113" s="6">
        <v>6.6917022167513989E-6</v>
      </c>
      <c r="AI113">
        <v>238.68934661793918</v>
      </c>
      <c r="AJ113">
        <v>248.37471632510719</v>
      </c>
      <c r="AK113">
        <v>116.68341064453125</v>
      </c>
      <c r="AL113">
        <v>107.76082900119499</v>
      </c>
    </row>
    <row r="114" spans="1:38" x14ac:dyDescent="0.35">
      <c r="A114" t="s">
        <v>20</v>
      </c>
      <c r="E114">
        <v>1.2163653533142313E-2</v>
      </c>
      <c r="F114">
        <f t="shared" si="6"/>
        <v>-1.9760642463202298E-2</v>
      </c>
      <c r="G114">
        <f t="shared" si="5"/>
        <v>-3.087626051106819E-2</v>
      </c>
      <c r="J114" s="2" t="s">
        <v>126</v>
      </c>
      <c r="K114">
        <f>B2306</f>
        <v>4.0446274226709931E-3</v>
      </c>
      <c r="L114">
        <f>C2306</f>
        <v>2.3730373973195121E-3</v>
      </c>
      <c r="M114">
        <f t="shared" si="8"/>
        <v>7.0722108314837089E-3</v>
      </c>
      <c r="N114">
        <f>D2306</f>
        <v>-5.9291229365170924E-3</v>
      </c>
      <c r="O114">
        <f>AVERAGEIFS(E2306:E2325,E2306:E2325,"&lt;=" &amp; N114)</f>
        <v>-6.0800037922172203E-3</v>
      </c>
      <c r="P114">
        <v>214.20435254183221</v>
      </c>
      <c r="Q114">
        <f t="shared" si="7"/>
        <v>189.72885904682903</v>
      </c>
      <c r="R114">
        <v>14.876429999999999</v>
      </c>
      <c r="S114">
        <f t="shared" si="9"/>
        <v>229.38423691143069</v>
      </c>
      <c r="T114">
        <v>7.0722108314837089E-3</v>
      </c>
      <c r="U114">
        <v>13.12</v>
      </c>
      <c r="AI114">
        <v>206.50388062079429</v>
      </c>
      <c r="AJ114">
        <v>198.25048660580097</v>
      </c>
      <c r="AK114">
        <v>130.68490600585938</v>
      </c>
      <c r="AL114">
        <v>145.0856423888163</v>
      </c>
    </row>
    <row r="115" spans="1:38" x14ac:dyDescent="0.35">
      <c r="A115" t="s">
        <v>20</v>
      </c>
      <c r="E115">
        <v>8.9419935563086713E-4</v>
      </c>
      <c r="F115">
        <f t="shared" si="6"/>
        <v>-1.9763762218738379E-2</v>
      </c>
      <c r="G115">
        <f t="shared" si="5"/>
        <v>-3.087626051106819E-2</v>
      </c>
      <c r="J115" s="2" t="s">
        <v>127</v>
      </c>
      <c r="K115">
        <f>B2326</f>
        <v>1.2104806581686257E-2</v>
      </c>
      <c r="L115">
        <f>C2326</f>
        <v>-3.4478449972961773E-3</v>
      </c>
      <c r="M115">
        <f t="shared" si="8"/>
        <v>4.0446274226709931E-3</v>
      </c>
      <c r="N115">
        <f>D2326</f>
        <v>-2.8870341980290624E-2</v>
      </c>
      <c r="O115">
        <f>AVERAGEIFS(E2326:E2345,E2326:E2345,"&lt;=" &amp; N115)</f>
        <v>-2.9354739100480427E-2</v>
      </c>
      <c r="P115">
        <v>196.30671412545729</v>
      </c>
      <c r="Q115">
        <f t="shared" si="7"/>
        <v>151.65698006444833</v>
      </c>
      <c r="R115">
        <v>19.446210000000001</v>
      </c>
      <c r="S115">
        <f t="shared" si="9"/>
        <v>214.20435254183221</v>
      </c>
      <c r="T115">
        <v>4.0446274226709931E-3</v>
      </c>
      <c r="U115">
        <v>18.71</v>
      </c>
      <c r="AI115">
        <v>159.84600990325475</v>
      </c>
      <c r="AJ115">
        <v>145.92435505316323</v>
      </c>
      <c r="AK115">
        <v>123.73332214355469</v>
      </c>
      <c r="AL115">
        <v>163.96968899462195</v>
      </c>
    </row>
    <row r="116" spans="1:38" x14ac:dyDescent="0.35">
      <c r="A116" t="s">
        <v>20</v>
      </c>
      <c r="E116">
        <v>3.4478677775945858E-3</v>
      </c>
      <c r="F116">
        <f t="shared" si="6"/>
        <v>-1.9766881974274463E-2</v>
      </c>
      <c r="G116">
        <f t="shared" si="5"/>
        <v>-3.087626051106819E-2</v>
      </c>
      <c r="J116" s="2" t="s">
        <v>128</v>
      </c>
      <c r="K116">
        <f>B2346</f>
        <v>6.3305020015425317E-3</v>
      </c>
      <c r="L116">
        <f>C2346</f>
        <v>3.012785166356266E-3</v>
      </c>
      <c r="M116">
        <f t="shared" si="8"/>
        <v>1.2104806581686257E-2</v>
      </c>
      <c r="N116">
        <f>D2346</f>
        <v>-4.2635820575628904E-3</v>
      </c>
      <c r="O116">
        <f>AVERAGEIFS(E2346:E2364,E2346:E2364,"&lt;=" &amp; N116)</f>
        <v>-4.2635820575628904E-3</v>
      </c>
      <c r="P116">
        <v>205.54045832206211</v>
      </c>
      <c r="Q116">
        <f t="shared" si="7"/>
        <v>192.62448644718086</v>
      </c>
      <c r="R116">
        <v>15.600680000000001</v>
      </c>
      <c r="S116">
        <f t="shared" si="9"/>
        <v>196.30671412545729</v>
      </c>
      <c r="T116">
        <v>1.2104806581686257E-2</v>
      </c>
      <c r="U116">
        <v>15.08</v>
      </c>
      <c r="AI116">
        <v>244.02554738596822</v>
      </c>
      <c r="AJ116">
        <v>171.36990387562327</v>
      </c>
      <c r="AK116">
        <v>116.38347625732422</v>
      </c>
      <c r="AL116">
        <v>114.65299591661471</v>
      </c>
    </row>
    <row r="117" spans="1:38" x14ac:dyDescent="0.35">
      <c r="A117" t="s">
        <v>20</v>
      </c>
      <c r="E117">
        <v>3.2570100190237191E-3</v>
      </c>
      <c r="F117">
        <f t="shared" si="6"/>
        <v>-1.9770001729810544E-2</v>
      </c>
      <c r="G117">
        <f t="shared" si="5"/>
        <v>-3.087626051106819E-2</v>
      </c>
      <c r="J117" s="2" t="s">
        <v>129</v>
      </c>
      <c r="K117">
        <f>B2365</f>
        <v>6.0305260951999534E-3</v>
      </c>
      <c r="L117">
        <f>C2365</f>
        <v>-8.5696905608810626E-5</v>
      </c>
      <c r="M117">
        <f t="shared" si="8"/>
        <v>6.3305020015425317E-3</v>
      </c>
      <c r="N117">
        <f>D2365</f>
        <v>-1.5200513391859273E-2</v>
      </c>
      <c r="O117">
        <f>AVERAGEIFS(E2365:E2387,E2365:E2387,"&lt;=" &amp; N117)</f>
        <v>-1.7385568786824252E-2</v>
      </c>
      <c r="P117">
        <v>229.73694189139209</v>
      </c>
      <c r="Q117">
        <f t="shared" si="7"/>
        <v>229.45131018430988</v>
      </c>
      <c r="R117">
        <v>16.014189999999999</v>
      </c>
      <c r="S117">
        <f t="shared" si="9"/>
        <v>205.54045832206211</v>
      </c>
      <c r="T117">
        <v>6.3305020015425317E-3</v>
      </c>
      <c r="U117">
        <v>16.12</v>
      </c>
      <c r="W117" t="s">
        <v>225</v>
      </c>
      <c r="AI117">
        <v>269.49666850731074</v>
      </c>
      <c r="AJ117">
        <v>246.24190134168194</v>
      </c>
      <c r="AK117">
        <v>132.63291931152344</v>
      </c>
      <c r="AL117">
        <v>88.916760644204544</v>
      </c>
    </row>
    <row r="118" spans="1:38" ht="15" thickBot="1" x14ac:dyDescent="0.4">
      <c r="A118" t="s">
        <v>20</v>
      </c>
      <c r="E118">
        <v>1.1352839048402327E-2</v>
      </c>
      <c r="F118">
        <f t="shared" si="6"/>
        <v>-1.9773121485346629E-2</v>
      </c>
      <c r="G118">
        <f t="shared" si="5"/>
        <v>-3.087626051106819E-2</v>
      </c>
      <c r="J118" s="2" t="s">
        <v>130</v>
      </c>
      <c r="K118">
        <f>B2388</f>
        <v>1.3829807143936331E-2</v>
      </c>
      <c r="L118">
        <f>C2388</f>
        <v>-5.8155961770976902E-4</v>
      </c>
      <c r="M118">
        <f t="shared" si="8"/>
        <v>6.0305260951999534E-3</v>
      </c>
      <c r="N118">
        <f>D2388</f>
        <v>-3.2554201915853863E-2</v>
      </c>
      <c r="O118">
        <f>AVERAGEIFS(E2388:E2407,E2388:E2407,"&lt;=" &amp; N118)</f>
        <v>-3.3183211040231246E-2</v>
      </c>
      <c r="P118">
        <v>277.04245299049319</v>
      </c>
      <c r="Q118">
        <f t="shared" si="7"/>
        <v>263.22070599999842</v>
      </c>
      <c r="R118">
        <v>19.413709999999998</v>
      </c>
      <c r="S118">
        <f t="shared" si="9"/>
        <v>229.73694189139209</v>
      </c>
      <c r="T118">
        <v>6.0305260951999534E-3</v>
      </c>
      <c r="U118">
        <v>18.98</v>
      </c>
      <c r="AI118">
        <v>287.83403539137691</v>
      </c>
      <c r="AJ118">
        <v>314.25814498456742</v>
      </c>
      <c r="AK118">
        <v>128.254638671875</v>
      </c>
      <c r="AL118">
        <v>112.59803082900295</v>
      </c>
    </row>
    <row r="119" spans="1:38" x14ac:dyDescent="0.35">
      <c r="A119" t="s">
        <v>20</v>
      </c>
      <c r="E119">
        <v>-8.0881940466713213E-3</v>
      </c>
      <c r="F119">
        <f t="shared" si="6"/>
        <v>-1.977624124088271E-2</v>
      </c>
      <c r="G119">
        <f t="shared" si="5"/>
        <v>-3.087626051106819E-2</v>
      </c>
      <c r="J119" s="2" t="s">
        <v>131</v>
      </c>
      <c r="K119">
        <f>B2408</f>
        <v>5.3230873781370735E-3</v>
      </c>
      <c r="L119">
        <f>C2408</f>
        <v>1.9426816169581859E-3</v>
      </c>
      <c r="M119">
        <f t="shared" si="8"/>
        <v>1.3829807143936331E-2</v>
      </c>
      <c r="N119">
        <f>D2408</f>
        <v>-9.6118063182984992E-3</v>
      </c>
      <c r="O119">
        <f>AVERAGEIFS(E2408:E2428,E2408:E2428,"&lt;=" &amp; N119)</f>
        <v>-9.68444733140085E-3</v>
      </c>
      <c r="P119">
        <v>245.14055719128439</v>
      </c>
      <c r="Q119">
        <f t="shared" si="7"/>
        <v>224.00533240864021</v>
      </c>
      <c r="R119">
        <v>17.257490000000001</v>
      </c>
      <c r="S119">
        <f t="shared" si="9"/>
        <v>277.04245299049319</v>
      </c>
      <c r="T119">
        <v>1.3829807143936331E-2</v>
      </c>
      <c r="U119">
        <v>16.239999999999998</v>
      </c>
      <c r="W119" s="8" t="s">
        <v>226</v>
      </c>
      <c r="X119" s="8"/>
      <c r="AI119">
        <v>275.04957630281075</v>
      </c>
      <c r="AJ119">
        <v>207.23431333344314</v>
      </c>
      <c r="AK119">
        <v>164.82621765136719</v>
      </c>
      <c r="AL119">
        <v>111.84922127195817</v>
      </c>
    </row>
    <row r="120" spans="1:38" x14ac:dyDescent="0.35">
      <c r="A120" t="s">
        <v>20</v>
      </c>
      <c r="E120">
        <v>-1.5106409892770284E-2</v>
      </c>
      <c r="F120">
        <f t="shared" si="6"/>
        <v>-1.9779360996418794E-2</v>
      </c>
      <c r="G120">
        <f t="shared" si="5"/>
        <v>-3.087626051106819E-2</v>
      </c>
      <c r="J120" s="2" t="s">
        <v>132</v>
      </c>
      <c r="K120">
        <f>B2429</f>
        <v>1.0357617872880155E-2</v>
      </c>
      <c r="L120">
        <f>C2429</f>
        <v>4.4302606652592692E-4</v>
      </c>
      <c r="M120">
        <f t="shared" si="8"/>
        <v>5.3230873781370735E-3</v>
      </c>
      <c r="N120">
        <f>D2429</f>
        <v>-2.790620243587718E-2</v>
      </c>
      <c r="O120">
        <f>AVERAGEIFS(E2429:E2450,E2429:E2450,"&lt;=" &amp; N120)</f>
        <v>-3.0281211912153171E-2</v>
      </c>
      <c r="P120">
        <v>250.56588909400429</v>
      </c>
      <c r="Q120">
        <f t="shared" si="7"/>
        <v>219.38467503647678</v>
      </c>
      <c r="R120">
        <v>15.372450000000001</v>
      </c>
      <c r="S120">
        <f t="shared" si="9"/>
        <v>245.14055719128439</v>
      </c>
      <c r="T120">
        <v>5.3230873781370735E-3</v>
      </c>
      <c r="U120">
        <v>13.22</v>
      </c>
      <c r="W120" t="s">
        <v>227</v>
      </c>
      <c r="X120">
        <v>0.4432751710982839</v>
      </c>
      <c r="AI120">
        <v>267.70970959194938</v>
      </c>
      <c r="AJ120">
        <v>210.18505172708899</v>
      </c>
      <c r="AK120">
        <v>157.70330810546875</v>
      </c>
      <c r="AL120">
        <v>95.26595263668905</v>
      </c>
    </row>
    <row r="121" spans="1:38" x14ac:dyDescent="0.35">
      <c r="A121" t="s">
        <v>20</v>
      </c>
      <c r="E121">
        <v>-2.2235931432360335E-2</v>
      </c>
      <c r="F121">
        <f t="shared" si="6"/>
        <v>-1.9782709313552461E-2</v>
      </c>
      <c r="G121">
        <f t="shared" si="5"/>
        <v>-3.0936569747560851E-2</v>
      </c>
      <c r="J121" s="2" t="s">
        <v>133</v>
      </c>
      <c r="K121">
        <f>B2451</f>
        <v>3.9499568717088372E-3</v>
      </c>
      <c r="L121">
        <f>C2451</f>
        <v>1.2924677935339519E-3</v>
      </c>
      <c r="M121">
        <f t="shared" si="8"/>
        <v>1.0357617872880155E-2</v>
      </c>
      <c r="N121">
        <f>D2451</f>
        <v>-3.4352033328883614E-3</v>
      </c>
      <c r="O121">
        <f>AVERAGEIFS(E2451:E2471,E2451:E2471,"&lt;=" &amp; N121)</f>
        <v>-3.4361128810545777E-3</v>
      </c>
      <c r="P121">
        <v>222.5956768580173</v>
      </c>
      <c r="Q121">
        <f t="shared" si="7"/>
        <v>200.14806471800188</v>
      </c>
      <c r="R121">
        <v>14.51248</v>
      </c>
      <c r="S121">
        <f t="shared" si="9"/>
        <v>250.56588909400429</v>
      </c>
      <c r="T121">
        <v>1.0357617872880155E-2</v>
      </c>
      <c r="U121">
        <v>12.62</v>
      </c>
      <c r="W121" t="s">
        <v>228</v>
      </c>
      <c r="X121">
        <v>0.19649287731221285</v>
      </c>
      <c r="Z121" t="s">
        <v>385</v>
      </c>
      <c r="AI121">
        <v>246.59494175379996</v>
      </c>
      <c r="AJ121">
        <v>181.50480623929036</v>
      </c>
      <c r="AK121">
        <v>164.8609619140625</v>
      </c>
      <c r="AL121">
        <v>89.521094544257565</v>
      </c>
    </row>
    <row r="122" spans="1:38" x14ac:dyDescent="0.35">
      <c r="A122" t="s">
        <v>20</v>
      </c>
      <c r="E122">
        <v>-6.0934065611782159E-3</v>
      </c>
      <c r="F122">
        <f t="shared" si="6"/>
        <v>-1.9723205396769306E-2</v>
      </c>
      <c r="G122">
        <f t="shared" si="5"/>
        <v>-3.0923218821278565E-2</v>
      </c>
      <c r="J122" s="2" t="s">
        <v>134</v>
      </c>
      <c r="K122">
        <f>B2472</f>
        <v>8.6382155475028203E-3</v>
      </c>
      <c r="L122">
        <f>C2472</f>
        <v>6.6932429453908367E-4</v>
      </c>
      <c r="M122">
        <f t="shared" si="8"/>
        <v>3.9499568717088372E-3</v>
      </c>
      <c r="N122">
        <f>D2472</f>
        <v>-1.077828223056344E-2</v>
      </c>
      <c r="O122">
        <f>AVERAGEIFS(E2472:E2489,E2472:E2489,"&lt;=" &amp; N122)</f>
        <v>-2.0987804903266669E-2</v>
      </c>
      <c r="P122">
        <v>235.98632458243841</v>
      </c>
      <c r="Q122">
        <f t="shared" si="7"/>
        <v>211.78383802590429</v>
      </c>
      <c r="R122">
        <v>15.644729999999999</v>
      </c>
      <c r="S122">
        <f t="shared" si="9"/>
        <v>222.5956768580173</v>
      </c>
      <c r="T122">
        <v>3.9499568717088372E-3</v>
      </c>
      <c r="U122">
        <v>13.78</v>
      </c>
      <c r="W122" t="s">
        <v>228</v>
      </c>
      <c r="X122">
        <v>0.18302627749062983</v>
      </c>
      <c r="AI122">
        <v>244.38810811946939</v>
      </c>
      <c r="AJ122">
        <v>207.24613187484729</v>
      </c>
      <c r="AK122">
        <v>144.70758056640625</v>
      </c>
      <c r="AL122">
        <v>149.83251519551408</v>
      </c>
    </row>
    <row r="123" spans="1:38" x14ac:dyDescent="0.35">
      <c r="A123" t="s">
        <v>20</v>
      </c>
      <c r="E123">
        <v>1.4881586546694052E-2</v>
      </c>
      <c r="F123">
        <f t="shared" si="6"/>
        <v>-1.9726325152305386E-2</v>
      </c>
      <c r="G123">
        <f t="shared" si="5"/>
        <v>-3.0923218821278565E-2</v>
      </c>
      <c r="J123" s="2" t="s">
        <v>135</v>
      </c>
      <c r="K123">
        <f>B2490</f>
        <v>9.191537108075359E-3</v>
      </c>
      <c r="L123">
        <f>C2490</f>
        <v>-1.3233684692644028E-3</v>
      </c>
      <c r="M123">
        <f t="shared" si="8"/>
        <v>8.6382155475028203E-3</v>
      </c>
      <c r="N123">
        <f>D2490</f>
        <v>-2.5140343587988234E-2</v>
      </c>
      <c r="O123">
        <f>AVERAGEIFS(E2490:E2511,E2490:E2511,"&lt;=" &amp; N123)</f>
        <v>-2.7176139381571592E-2</v>
      </c>
      <c r="P123">
        <v>199.22175605420739</v>
      </c>
      <c r="Q123">
        <f t="shared" si="7"/>
        <v>187.37376164832219</v>
      </c>
      <c r="R123">
        <v>19.012</v>
      </c>
      <c r="S123">
        <f t="shared" si="9"/>
        <v>235.98632458243841</v>
      </c>
      <c r="T123">
        <v>8.6382155475028203E-3</v>
      </c>
      <c r="U123">
        <v>18.84</v>
      </c>
      <c r="W123" t="s">
        <v>229</v>
      </c>
      <c r="X123">
        <v>1.0938959793001786E-2</v>
      </c>
      <c r="AI123">
        <v>254.2695921323031</v>
      </c>
      <c r="AJ123">
        <v>131.50760851445185</v>
      </c>
      <c r="AK123">
        <v>142.4266357421875</v>
      </c>
      <c r="AL123">
        <v>127.87341148074616</v>
      </c>
    </row>
    <row r="124" spans="1:38" ht="15" thickBot="1" x14ac:dyDescent="0.4">
      <c r="A124" t="s">
        <v>20</v>
      </c>
      <c r="E124">
        <v>-4.3003672951539902E-2</v>
      </c>
      <c r="F124">
        <f t="shared" si="6"/>
        <v>-1.9729444907841471E-2</v>
      </c>
      <c r="G124">
        <f t="shared" si="5"/>
        <v>-3.0923218821278565E-2</v>
      </c>
      <c r="J124" s="2" t="s">
        <v>136</v>
      </c>
      <c r="K124">
        <f>B2512</f>
        <v>1.6675988468966955E-2</v>
      </c>
      <c r="L124">
        <f>C2512</f>
        <v>-4.4707255646899494E-3</v>
      </c>
      <c r="M124">
        <f t="shared" si="8"/>
        <v>9.191537108075359E-3</v>
      </c>
      <c r="N124">
        <f>D2512</f>
        <v>-4.0744576562953695E-2</v>
      </c>
      <c r="O124">
        <f>AVERAGEIFS(E2512:E2531,E2512:E2531,"&lt;=" &amp; N124)</f>
        <v>-4.0927471991757516E-2</v>
      </c>
      <c r="P124">
        <v>204.8352861057827</v>
      </c>
      <c r="Q124">
        <f t="shared" si="7"/>
        <v>237.91535382385447</v>
      </c>
      <c r="R124">
        <v>46.46481</v>
      </c>
      <c r="S124">
        <f t="shared" si="9"/>
        <v>199.22175605420739</v>
      </c>
      <c r="T124">
        <v>9.191537108075359E-3</v>
      </c>
      <c r="U124">
        <v>40.11</v>
      </c>
      <c r="W124" s="6" t="s">
        <v>230</v>
      </c>
      <c r="X124" s="6">
        <v>183</v>
      </c>
      <c r="AI124">
        <v>238.52343111851852</v>
      </c>
      <c r="AJ124">
        <v>304.09496547942229</v>
      </c>
      <c r="AK124">
        <v>136.22872924804688</v>
      </c>
      <c r="AL124">
        <v>106.60549120564356</v>
      </c>
    </row>
    <row r="125" spans="1:38" x14ac:dyDescent="0.35">
      <c r="A125" t="s">
        <v>20</v>
      </c>
      <c r="E125">
        <v>6.6203459948468903E-3</v>
      </c>
      <c r="F125">
        <f t="shared" si="6"/>
        <v>-1.9679338993937562E-2</v>
      </c>
      <c r="G125">
        <f t="shared" si="5"/>
        <v>-3.0796660630703333E-2</v>
      </c>
      <c r="J125" s="2" t="s">
        <v>137</v>
      </c>
      <c r="K125">
        <f>B2285</f>
        <v>7.0722108314837089E-3</v>
      </c>
      <c r="L125">
        <f>C2285</f>
        <v>7.6550507981014166E-4</v>
      </c>
      <c r="M125">
        <f t="shared" si="8"/>
        <v>1.6675988468966955E-2</v>
      </c>
      <c r="N125">
        <f>D2285</f>
        <v>-1.771527284257278E-2</v>
      </c>
      <c r="O125">
        <f>AVERAGEIFS(E2532:E2553,E2532:E2553,"&lt;=" &amp; N125)</f>
        <v>-6.3005537344676343E-2</v>
      </c>
      <c r="P125">
        <v>361.36888340919091</v>
      </c>
      <c r="Q125">
        <f t="shared" si="7"/>
        <v>387.14978993929151</v>
      </c>
      <c r="R125">
        <v>53.310940000000002</v>
      </c>
      <c r="S125">
        <f t="shared" si="9"/>
        <v>204.8352861057827</v>
      </c>
      <c r="T125">
        <v>1.6675988468966955E-2</v>
      </c>
      <c r="U125">
        <v>53.54</v>
      </c>
      <c r="AI125">
        <v>367.15702042734057</v>
      </c>
      <c r="AJ125">
        <v>498.0574394160713</v>
      </c>
      <c r="AK125">
        <v>251.94215393066406</v>
      </c>
      <c r="AL125">
        <v>225.07434688035408</v>
      </c>
    </row>
    <row r="126" spans="1:38" ht="15" thickBot="1" x14ac:dyDescent="0.4">
      <c r="A126" t="s">
        <v>21</v>
      </c>
      <c r="B126" s="3" cm="1">
        <f t="array" ref="B126">_xlfn.STDEV.S(_xlfn._xlws.FILTER($E$2:$E$1000, $A$2:$A$1000="2010-07"))</f>
        <v>1.3375159771246301E-2</v>
      </c>
      <c r="C126" s="3" cm="1">
        <f t="array" ref="C126">AVERAGE(_xlfn._xlws.FILTER($E$2:$E$1000, $A$2:$A$1000="2010-07"))</f>
        <v>2.8882610659499361E-3</v>
      </c>
      <c r="D126" s="3" cm="1">
        <f t="array" ref="D126">_xlfn.PERCENTILE.EXC(_xlfn._xlws.FILTER($E$126:$E$252, $A$126:$A$252="2010-07"), 0.05)</f>
        <v>-2.1461319271563997E-2</v>
      </c>
      <c r="E126">
        <v>-2.1473850316550708E-2</v>
      </c>
      <c r="F126">
        <f t="shared" si="6"/>
        <v>-1.9681847453388201E-2</v>
      </c>
      <c r="G126">
        <f t="shared" si="5"/>
        <v>-3.0796660630703333E-2</v>
      </c>
      <c r="J126" s="4" t="s">
        <v>138</v>
      </c>
      <c r="K126" s="3">
        <f>B2554</f>
        <v>2.4115871013662939E-2</v>
      </c>
      <c r="L126" s="3">
        <f>C2554</f>
        <v>2.4682910864438504E-3</v>
      </c>
      <c r="M126">
        <f t="shared" si="8"/>
        <v>7.0722108314837089E-3</v>
      </c>
      <c r="N126" s="3">
        <f>D2554</f>
        <v>-4.1336560872742602E-2</v>
      </c>
      <c r="O126" s="3">
        <f>AVERAGEIFS(E2554:E2573,E2554:E2573,"&lt;=" &amp; N126)</f>
        <v>-4.1459477843720699E-2</v>
      </c>
      <c r="P126" s="3">
        <v>297.8985112529889</v>
      </c>
      <c r="Q126" s="3">
        <f t="shared" si="7"/>
        <v>321.93838820200278</v>
      </c>
      <c r="R126" s="3">
        <v>37.087910000000001</v>
      </c>
      <c r="S126">
        <f t="shared" si="9"/>
        <v>361.36888340919091</v>
      </c>
      <c r="T126">
        <v>7.0722108314837089E-3</v>
      </c>
      <c r="U126" s="3">
        <v>34.15</v>
      </c>
      <c r="W126" t="s">
        <v>231</v>
      </c>
      <c r="AI126" s="3">
        <v>320.16271113798314</v>
      </c>
      <c r="AJ126" s="3">
        <v>374.94694195840805</v>
      </c>
      <c r="AK126" s="3">
        <v>253.05889892578125</v>
      </c>
      <c r="AL126" s="3">
        <v>211.46612739542979</v>
      </c>
    </row>
    <row r="127" spans="1:38" x14ac:dyDescent="0.35">
      <c r="A127" t="s">
        <v>21</v>
      </c>
      <c r="E127">
        <v>1.4719275184265452E-3</v>
      </c>
      <c r="F127">
        <f t="shared" si="6"/>
        <v>-1.9629419381362253E-2</v>
      </c>
      <c r="G127">
        <f t="shared" si="5"/>
        <v>-3.0786839687117106E-2</v>
      </c>
      <c r="J127" s="2" t="s">
        <v>139</v>
      </c>
      <c r="K127">
        <f>B2574</f>
        <v>2.1270233453782674E-2</v>
      </c>
      <c r="L127">
        <f>C2574</f>
        <v>2.2728596405825452E-3</v>
      </c>
      <c r="M127">
        <f t="shared" si="8"/>
        <v>2.4115871013662939E-2</v>
      </c>
      <c r="N127">
        <f>D2574</f>
        <v>-2.7808437262128217E-2</v>
      </c>
      <c r="O127">
        <f>AVERAGEIFS(E2574:E2591,E2574:E2591,"&lt;=" &amp; N127)</f>
        <v>-3.8807810393935403E-2</v>
      </c>
      <c r="P127">
        <v>282.24843542371627</v>
      </c>
      <c r="Q127">
        <f t="shared" si="7"/>
        <v>320.83333915128077</v>
      </c>
      <c r="R127">
        <v>34.543970000000002</v>
      </c>
      <c r="S127">
        <f t="shared" si="9"/>
        <v>297.8985112529889</v>
      </c>
      <c r="T127">
        <v>2.4115871013662939E-2</v>
      </c>
      <c r="U127">
        <v>27.51</v>
      </c>
      <c r="W127" s="7"/>
      <c r="X127" s="7" t="s">
        <v>236</v>
      </c>
      <c r="Y127" s="7" t="s">
        <v>237</v>
      </c>
      <c r="Z127" s="7" t="s">
        <v>238</v>
      </c>
      <c r="AA127" s="7" t="s">
        <v>239</v>
      </c>
      <c r="AB127" s="7" t="s">
        <v>240</v>
      </c>
      <c r="AI127">
        <v>305.83698185179964</v>
      </c>
      <c r="AJ127">
        <v>397.71599292757861</v>
      </c>
      <c r="AK127">
        <v>261.6097412109375</v>
      </c>
      <c r="AL127">
        <v>174.28109207331573</v>
      </c>
    </row>
    <row r="128" spans="1:38" x14ac:dyDescent="0.35">
      <c r="A128" t="s">
        <v>21</v>
      </c>
      <c r="E128">
        <v>-5.7771338306797735E-3</v>
      </c>
      <c r="F128">
        <f t="shared" si="6"/>
        <v>-1.9632294559463956E-2</v>
      </c>
      <c r="G128">
        <f t="shared" si="5"/>
        <v>-3.0786839687117106E-2</v>
      </c>
      <c r="J128" s="2" t="s">
        <v>140</v>
      </c>
      <c r="K128">
        <f>B2592</f>
        <v>2.1021087728115496E-2</v>
      </c>
      <c r="L128">
        <f>C2592</f>
        <v>2.7873449382078194E-3</v>
      </c>
      <c r="M128">
        <f t="shared" si="8"/>
        <v>2.1270233453782674E-2</v>
      </c>
      <c r="N128">
        <f>D2592</f>
        <v>-4.4866718461043377E-2</v>
      </c>
      <c r="O128">
        <f>AVERAGEIFS(E2592:E2612,E2592:E2612,"&lt;=" &amp; N128)</f>
        <v>-4.6337433176830096E-2</v>
      </c>
      <c r="P128">
        <v>247.64983749308041</v>
      </c>
      <c r="Q128">
        <f t="shared" si="7"/>
        <v>278.31149115370158</v>
      </c>
      <c r="R128">
        <v>35.660429999999998</v>
      </c>
      <c r="S128">
        <f t="shared" si="9"/>
        <v>282.24843542371627</v>
      </c>
      <c r="T128">
        <v>2.1270233453782674E-2</v>
      </c>
      <c r="U128">
        <v>30.43</v>
      </c>
      <c r="W128" t="s">
        <v>232</v>
      </c>
      <c r="X128">
        <v>3</v>
      </c>
      <c r="Y128">
        <v>5.2379598407646527E-3</v>
      </c>
      <c r="Z128">
        <v>1.7459866135882175E-3</v>
      </c>
      <c r="AA128">
        <v>14.591127672576425</v>
      </c>
      <c r="AB128">
        <v>1.523824085748512E-8</v>
      </c>
      <c r="AI128">
        <v>321.69084543949418</v>
      </c>
      <c r="AJ128">
        <v>278.87220482003642</v>
      </c>
      <c r="AK128">
        <v>202.88333129882813</v>
      </c>
      <c r="AL128">
        <v>156.47175198515851</v>
      </c>
    </row>
    <row r="129" spans="1:38" x14ac:dyDescent="0.35">
      <c r="A129" t="s">
        <v>21</v>
      </c>
      <c r="E129">
        <v>2.7863680666677191E-2</v>
      </c>
      <c r="F129">
        <f t="shared" si="6"/>
        <v>-1.9635169737565655E-2</v>
      </c>
      <c r="G129">
        <f t="shared" si="5"/>
        <v>-3.0786839687117106E-2</v>
      </c>
      <c r="J129" s="2" t="s">
        <v>141</v>
      </c>
      <c r="K129">
        <f>B2613</f>
        <v>1.2676600047595622E-2</v>
      </c>
      <c r="L129">
        <f>C2613</f>
        <v>-8.1078129410272666E-4</v>
      </c>
      <c r="M129">
        <f t="shared" si="8"/>
        <v>2.1021087728115496E-2</v>
      </c>
      <c r="N129">
        <f>D2613</f>
        <v>-2.6251115189896704E-2</v>
      </c>
      <c r="O129">
        <f>AVERAGEIFS(E2613:E2635,E2613:E2635,"&lt;=" &amp; N129)</f>
        <v>-2.8260919944963256E-2</v>
      </c>
      <c r="P129">
        <v>248.82285634494741</v>
      </c>
      <c r="Q129">
        <f t="shared" si="7"/>
        <v>251.88344594732834</v>
      </c>
      <c r="R129">
        <v>31.437750000000001</v>
      </c>
      <c r="S129">
        <f t="shared" si="9"/>
        <v>247.64983749308041</v>
      </c>
      <c r="T129">
        <v>2.1021087728115496E-2</v>
      </c>
      <c r="U129">
        <v>24.46</v>
      </c>
      <c r="W129" t="s">
        <v>233</v>
      </c>
      <c r="X129">
        <v>179</v>
      </c>
      <c r="Y129">
        <v>2.1419290602170828E-2</v>
      </c>
      <c r="Z129">
        <v>1.1966084135290965E-4</v>
      </c>
      <c r="AI129">
        <v>242.34147139316002</v>
      </c>
      <c r="AJ129">
        <v>312.93160100662061</v>
      </c>
      <c r="AK129">
        <v>181.4896240234375</v>
      </c>
      <c r="AL129">
        <v>150.86637954896941</v>
      </c>
    </row>
    <row r="130" spans="1:38" ht="15" thickBot="1" x14ac:dyDescent="0.4">
      <c r="A130" t="s">
        <v>21</v>
      </c>
      <c r="E130">
        <v>2.1370138096175727E-2</v>
      </c>
      <c r="F130">
        <f t="shared" si="6"/>
        <v>-1.9638044915667358E-2</v>
      </c>
      <c r="G130">
        <f t="shared" si="5"/>
        <v>-3.0786839687117106E-2</v>
      </c>
      <c r="J130" s="2" t="s">
        <v>142</v>
      </c>
      <c r="K130">
        <f>B2636</f>
        <v>1.0760118730749911E-2</v>
      </c>
      <c r="L130">
        <f>C2636</f>
        <v>2.1763535060689426E-3</v>
      </c>
      <c r="M130">
        <f t="shared" si="8"/>
        <v>1.2676600047595622E-2</v>
      </c>
      <c r="N130">
        <f>D2636</f>
        <v>-1.3147830520389375E-2</v>
      </c>
      <c r="O130">
        <f>AVERAGEIFS(E2636:E2655,E2636:E2655,"&lt;=" &amp; N130)</f>
        <v>-1.3241288191374692E-2</v>
      </c>
      <c r="P130">
        <v>213.09035734302009</v>
      </c>
      <c r="Q130">
        <f t="shared" si="7"/>
        <v>200.52654518349556</v>
      </c>
      <c r="R130">
        <v>31.91592</v>
      </c>
      <c r="S130">
        <f t="shared" si="9"/>
        <v>248.82285634494741</v>
      </c>
      <c r="T130">
        <v>1.2676600047595622E-2</v>
      </c>
      <c r="U130">
        <v>26.41</v>
      </c>
      <c r="W130" s="6" t="s">
        <v>234</v>
      </c>
      <c r="X130" s="6">
        <v>182</v>
      </c>
      <c r="Y130" s="6">
        <v>2.665725044293548E-2</v>
      </c>
      <c r="Z130" s="6"/>
      <c r="AA130" s="6"/>
      <c r="AB130" s="6"/>
      <c r="AI130">
        <v>202.95086660733247</v>
      </c>
      <c r="AJ130">
        <v>215.73821906767634</v>
      </c>
      <c r="AK130">
        <v>175.0711669921875</v>
      </c>
      <c r="AL130">
        <v>160.26182113782582</v>
      </c>
    </row>
    <row r="131" spans="1:38" ht="15" thickBot="1" x14ac:dyDescent="0.4">
      <c r="A131" t="s">
        <v>21</v>
      </c>
      <c r="E131">
        <v>1.2085092591286777E-2</v>
      </c>
      <c r="F131">
        <f t="shared" si="6"/>
        <v>-1.9640920093769058E-2</v>
      </c>
      <c r="G131">
        <f t="shared" ref="G131:G194" si="11">AVERAGEIFS(E131:E3947,E131:E3947,"&lt;=" &amp; F131)</f>
        <v>-3.0786839687117106E-2</v>
      </c>
      <c r="J131" s="2" t="s">
        <v>143</v>
      </c>
      <c r="K131">
        <f>B2656</f>
        <v>1.3777372071749101E-2</v>
      </c>
      <c r="L131">
        <f>C2656</f>
        <v>-1.7031167230316497E-3</v>
      </c>
      <c r="M131">
        <f t="shared" si="8"/>
        <v>1.0760118730749911E-2</v>
      </c>
      <c r="N131">
        <f>D2656</f>
        <v>-3.4509647719686141E-2</v>
      </c>
      <c r="O131">
        <f>AVERAGEIFS(E2656:E2677,E2656:E2677,"&lt;=" &amp; N131)</f>
        <v>-3.809517472856723E-2</v>
      </c>
      <c r="P131">
        <v>278.59220990379168</v>
      </c>
      <c r="Q131">
        <f t="shared" si="7"/>
        <v>332.35482112041944</v>
      </c>
      <c r="R131">
        <v>30.5473</v>
      </c>
      <c r="S131">
        <f t="shared" si="9"/>
        <v>213.09035734302009</v>
      </c>
      <c r="T131">
        <v>1.0760118730749911E-2</v>
      </c>
      <c r="U131">
        <v>26.37</v>
      </c>
      <c r="AI131">
        <v>432.69126146881229</v>
      </c>
      <c r="AJ131">
        <v>295.318503721311</v>
      </c>
      <c r="AK131">
        <v>179.47554016113281</v>
      </c>
      <c r="AL131">
        <v>169.11854068448324</v>
      </c>
    </row>
    <row r="132" spans="1:38" x14ac:dyDescent="0.35">
      <c r="A132" t="s">
        <v>21</v>
      </c>
      <c r="E132">
        <v>5.5277067683280655E-3</v>
      </c>
      <c r="F132">
        <f t="shared" ref="F132:F195" si="12">_xlfn.PERCENTILE.EXC(E132:E3947,0.05)</f>
        <v>-1.9643795271870761E-2</v>
      </c>
      <c r="G132">
        <f t="shared" si="11"/>
        <v>-3.0786839687117106E-2</v>
      </c>
      <c r="J132" s="2" t="s">
        <v>144</v>
      </c>
      <c r="K132">
        <f>B2678</f>
        <v>1.2881778906009516E-2</v>
      </c>
      <c r="L132">
        <f>C2678</f>
        <v>-3.4803446685983471E-3</v>
      </c>
      <c r="M132">
        <f t="shared" si="8"/>
        <v>1.3777372071749101E-2</v>
      </c>
      <c r="N132">
        <f>D2678</f>
        <v>-3.4620250487975582E-2</v>
      </c>
      <c r="O132">
        <f>AVERAGEIFS(E2678:E2699,E2678:E2699,"&lt;=" &amp; N132)</f>
        <v>-3.5488482534428586E-2</v>
      </c>
      <c r="P132">
        <v>311.58250125114739</v>
      </c>
      <c r="Q132">
        <f t="shared" ref="Q132:Q185" si="13">AI132*0.44699+AJ132*0.3494+AK132*0.10843+AL132*0.09639</f>
        <v>356.2036863798449</v>
      </c>
      <c r="R132">
        <v>41.165349999999997</v>
      </c>
      <c r="S132">
        <f t="shared" si="9"/>
        <v>278.59220990379168</v>
      </c>
      <c r="T132">
        <v>1.3777372071749101E-2</v>
      </c>
      <c r="U132">
        <v>38.020000000000003</v>
      </c>
      <c r="W132" s="7"/>
      <c r="X132" s="7" t="s">
        <v>241</v>
      </c>
      <c r="Y132" s="7" t="s">
        <v>229</v>
      </c>
      <c r="Z132" s="7" t="s">
        <v>242</v>
      </c>
      <c r="AA132" s="7" t="s">
        <v>243</v>
      </c>
      <c r="AB132" s="7" t="s">
        <v>244</v>
      </c>
      <c r="AC132" s="7" t="s">
        <v>245</v>
      </c>
      <c r="AD132" s="7" t="s">
        <v>246</v>
      </c>
      <c r="AE132" s="7" t="s">
        <v>247</v>
      </c>
      <c r="AI132">
        <v>358.26840748688517</v>
      </c>
      <c r="AJ132">
        <v>443.74243072212209</v>
      </c>
      <c r="AK132">
        <v>223.81822204589844</v>
      </c>
      <c r="AL132">
        <v>173.7636249251571</v>
      </c>
    </row>
    <row r="133" spans="1:38" x14ac:dyDescent="0.35">
      <c r="A133" t="s">
        <v>21</v>
      </c>
      <c r="E133">
        <v>1.8221491117465087E-3</v>
      </c>
      <c r="F133">
        <f t="shared" si="12"/>
        <v>-1.964667044997246E-2</v>
      </c>
      <c r="G133">
        <f t="shared" si="11"/>
        <v>-3.0786839687117106E-2</v>
      </c>
      <c r="J133" s="2" t="s">
        <v>145</v>
      </c>
      <c r="K133">
        <f>B2700</f>
        <v>1.5924436780296394E-2</v>
      </c>
      <c r="L133">
        <f>C2700</f>
        <v>7.9069004530353659E-3</v>
      </c>
      <c r="M133">
        <f t="shared" si="8"/>
        <v>1.2881778906009516E-2</v>
      </c>
      <c r="N133">
        <f>D2700</f>
        <v>-1.1211000645514462E-2</v>
      </c>
      <c r="O133">
        <f>AVERAGEIFS(E2700:E2720,E2700:E2720,"&lt;=" &amp; N133)</f>
        <v>-1.1340851009882727E-2</v>
      </c>
      <c r="P133">
        <v>328.15251761613177</v>
      </c>
      <c r="Q133">
        <f t="shared" si="13"/>
        <v>361.83151621278154</v>
      </c>
      <c r="R133">
        <v>27.392469999999999</v>
      </c>
      <c r="S133">
        <f t="shared" si="9"/>
        <v>311.58250125114739</v>
      </c>
      <c r="T133">
        <v>1.2881778906009516E-2</v>
      </c>
      <c r="U133">
        <v>20.57</v>
      </c>
      <c r="W133" t="s">
        <v>235</v>
      </c>
      <c r="X133">
        <v>-1.4526972860773821E-2</v>
      </c>
      <c r="Y133">
        <v>2.9746713891117479E-3</v>
      </c>
      <c r="Z133">
        <v>-4.8835555127020767</v>
      </c>
      <c r="AA133">
        <v>2.299607502053155E-6</v>
      </c>
      <c r="AB133">
        <v>-2.039690807680079E-2</v>
      </c>
      <c r="AC133">
        <v>-8.6570376447468525E-3</v>
      </c>
      <c r="AD133">
        <v>-2.039690807680079E-2</v>
      </c>
      <c r="AE133">
        <v>-8.6570376447468525E-3</v>
      </c>
      <c r="AI133">
        <v>403.88629274722911</v>
      </c>
      <c r="AJ133">
        <v>387.49448148843919</v>
      </c>
      <c r="AK133">
        <v>175.02067565917969</v>
      </c>
      <c r="AL133">
        <v>279.38913293818945</v>
      </c>
    </row>
    <row r="134" spans="1:38" x14ac:dyDescent="0.35">
      <c r="A134" t="s">
        <v>21</v>
      </c>
      <c r="E134">
        <v>1.8991366701108819E-2</v>
      </c>
      <c r="F134">
        <f t="shared" si="12"/>
        <v>-1.9649545628074163E-2</v>
      </c>
      <c r="G134">
        <f t="shared" si="11"/>
        <v>-3.0786839687117106E-2</v>
      </c>
      <c r="J134" s="2" t="s">
        <v>146</v>
      </c>
      <c r="K134">
        <f>B2721</f>
        <v>9.4635933656711524E-3</v>
      </c>
      <c r="L134">
        <f>C2721</f>
        <v>1.1779794523257888E-3</v>
      </c>
      <c r="M134">
        <f t="shared" ref="M134:M186" si="14">K133</f>
        <v>1.5924436780296394E-2</v>
      </c>
      <c r="N134">
        <f>D2721</f>
        <v>-2.7755333776571574E-2</v>
      </c>
      <c r="O134">
        <f>AVERAGEIFS(E2721:E2739,E2721:E2739,"&lt;=" &amp; N134)</f>
        <v>-2.7755333776571574E-2</v>
      </c>
      <c r="P134">
        <v>208.95865353686119</v>
      </c>
      <c r="Q134">
        <f t="shared" si="13"/>
        <v>227.55850790272351</v>
      </c>
      <c r="R134">
        <v>28.718160000000001</v>
      </c>
      <c r="S134">
        <f t="shared" ref="S134:S186" si="15">P133</f>
        <v>328.15251761613177</v>
      </c>
      <c r="T134">
        <v>1.5924436780296394E-2</v>
      </c>
      <c r="U134">
        <v>22.75</v>
      </c>
      <c r="W134" t="s">
        <v>248</v>
      </c>
      <c r="X134">
        <v>-4.2611576501607448E-5</v>
      </c>
      <c r="Y134">
        <v>1.1380024510626154E-5</v>
      </c>
      <c r="Z134">
        <v>-3.7444186927557741</v>
      </c>
      <c r="AA134">
        <v>2.4354281974684822E-4</v>
      </c>
      <c r="AB134">
        <v>-6.5067840705675166E-5</v>
      </c>
      <c r="AC134">
        <v>-2.0155312297539736E-5</v>
      </c>
      <c r="AD134">
        <v>-6.5067840705675166E-5</v>
      </c>
      <c r="AE134">
        <v>-2.0155312297539736E-5</v>
      </c>
      <c r="AI134">
        <v>257.26733611001026</v>
      </c>
      <c r="AJ134">
        <v>227.9440037170105</v>
      </c>
      <c r="AK134">
        <v>177.60514831542969</v>
      </c>
      <c r="AL134">
        <v>141.72860467210816</v>
      </c>
    </row>
    <row r="135" spans="1:38" x14ac:dyDescent="0.35">
      <c r="A135" t="s">
        <v>21</v>
      </c>
      <c r="E135">
        <v>5.0031498975735449E-4</v>
      </c>
      <c r="F135">
        <f t="shared" si="12"/>
        <v>-1.9652420806175866E-2</v>
      </c>
      <c r="G135">
        <f t="shared" si="11"/>
        <v>-3.0786839687117106E-2</v>
      </c>
      <c r="J135" s="2" t="s">
        <v>147</v>
      </c>
      <c r="K135">
        <f>B2740</f>
        <v>9.5564244153844811E-3</v>
      </c>
      <c r="L135">
        <f>C2740</f>
        <v>-1.2782436745161542E-3</v>
      </c>
      <c r="M135">
        <f t="shared" si="14"/>
        <v>9.4635933656711524E-3</v>
      </c>
      <c r="N135">
        <f>D2740</f>
        <v>-2.1200429568141811E-2</v>
      </c>
      <c r="O135">
        <f>AVERAGEIFS(E2740:E2759,E2740:E2759,"&lt;=" &amp; N135)</f>
        <v>-2.1482737033557263E-2</v>
      </c>
      <c r="P135">
        <v>231.37864017033399</v>
      </c>
      <c r="Q135">
        <f t="shared" si="13"/>
        <v>237.32318749922189</v>
      </c>
      <c r="R135">
        <v>35.192749999999997</v>
      </c>
      <c r="S135">
        <f t="shared" si="15"/>
        <v>208.95865353686119</v>
      </c>
      <c r="T135">
        <v>9.4635933656711524E-3</v>
      </c>
      <c r="U135">
        <v>33.090000000000003</v>
      </c>
      <c r="W135" t="s">
        <v>251</v>
      </c>
      <c r="X135">
        <v>6.1580778079127824E-5</v>
      </c>
      <c r="Y135">
        <v>1.6442996428447304E-5</v>
      </c>
      <c r="Z135">
        <v>3.7451068208340441</v>
      </c>
      <c r="AA135">
        <v>2.4292493151693885E-4</v>
      </c>
      <c r="AB135">
        <v>2.9133723878236867E-5</v>
      </c>
      <c r="AC135">
        <v>9.4027832280018774E-5</v>
      </c>
      <c r="AD135">
        <v>2.9133723878236867E-5</v>
      </c>
      <c r="AE135">
        <v>9.4027832280018774E-5</v>
      </c>
      <c r="AI135">
        <v>276.37227437364749</v>
      </c>
      <c r="AJ135">
        <v>210.23209711459131</v>
      </c>
      <c r="AK135">
        <v>152.28349304199219</v>
      </c>
      <c r="AL135">
        <v>247.12470893831093</v>
      </c>
    </row>
    <row r="136" spans="1:38" ht="15" thickBot="1" x14ac:dyDescent="0.4">
      <c r="A136" t="s">
        <v>21</v>
      </c>
      <c r="E136">
        <v>-1.3286313748435221E-2</v>
      </c>
      <c r="F136">
        <f t="shared" si="12"/>
        <v>-1.9655295984277565E-2</v>
      </c>
      <c r="G136">
        <f t="shared" si="11"/>
        <v>-3.0786839687117106E-2</v>
      </c>
      <c r="J136" s="2" t="s">
        <v>148</v>
      </c>
      <c r="K136">
        <f>B2760</f>
        <v>7.7063551777866108E-3</v>
      </c>
      <c r="L136">
        <f>C2760</f>
        <v>2.1779589896996909E-3</v>
      </c>
      <c r="M136">
        <f t="shared" si="14"/>
        <v>9.5564244153844811E-3</v>
      </c>
      <c r="N136">
        <f>D2760</f>
        <v>-1.3031776201524542E-2</v>
      </c>
      <c r="O136">
        <f>AVERAGEIFS(E2760:E2779,E2760:E2779,"&lt;=" &amp; N136)</f>
        <v>-1.3341325377389454E-2</v>
      </c>
      <c r="P136">
        <v>185.27866737722249</v>
      </c>
      <c r="Q136">
        <f t="shared" si="13"/>
        <v>208.55099009251077</v>
      </c>
      <c r="R136">
        <v>32.450749999999999</v>
      </c>
      <c r="S136">
        <f t="shared" si="15"/>
        <v>231.37864017033399</v>
      </c>
      <c r="T136">
        <v>9.5564244153844811E-3</v>
      </c>
      <c r="U136">
        <v>27.95</v>
      </c>
      <c r="W136" s="6" t="s">
        <v>252</v>
      </c>
      <c r="X136" s="6">
        <v>-0.92411489510382605</v>
      </c>
      <c r="Y136" s="6">
        <v>0.1615249103646263</v>
      </c>
      <c r="Z136" s="6">
        <v>-5.7211911959445096</v>
      </c>
      <c r="AA136" s="6">
        <v>4.3701966364937639E-8</v>
      </c>
      <c r="AB136" s="6">
        <v>-1.2428528784270996</v>
      </c>
      <c r="AC136" s="6">
        <v>-0.60537691178055253</v>
      </c>
      <c r="AD136" s="6">
        <v>-1.2428528784270996</v>
      </c>
      <c r="AE136" s="6">
        <v>-0.60537691178055253</v>
      </c>
      <c r="AI136">
        <v>226.43034071822746</v>
      </c>
      <c r="AJ136">
        <v>223.45362927573879</v>
      </c>
      <c r="AK136">
        <v>148.29005432128906</v>
      </c>
      <c r="AL136">
        <v>136.78912165027251</v>
      </c>
    </row>
    <row r="137" spans="1:38" x14ac:dyDescent="0.35">
      <c r="A137" t="s">
        <v>21</v>
      </c>
      <c r="E137">
        <v>-2.1390310016639307E-2</v>
      </c>
      <c r="F137">
        <f t="shared" si="12"/>
        <v>-1.9658171162379265E-2</v>
      </c>
      <c r="G137">
        <f t="shared" si="11"/>
        <v>-3.0786839687117106E-2</v>
      </c>
      <c r="J137" s="2" t="s">
        <v>149</v>
      </c>
      <c r="K137">
        <f>B2780</f>
        <v>7.8916701881916566E-3</v>
      </c>
      <c r="L137">
        <f>C2780</f>
        <v>3.2558661645667179E-3</v>
      </c>
      <c r="M137">
        <f t="shared" si="14"/>
        <v>7.7063551777866108E-3</v>
      </c>
      <c r="N137">
        <f>D2780</f>
        <v>-9.2456912605106238E-3</v>
      </c>
      <c r="O137">
        <f>AVERAGEIFS(E2780:E2802,E2780:E2802,"&lt;=" &amp; N137)</f>
        <v>-9.5764584872828473E-3</v>
      </c>
      <c r="P137">
        <v>217.46619140350981</v>
      </c>
      <c r="Q137">
        <f t="shared" si="13"/>
        <v>241.15384440037235</v>
      </c>
      <c r="R137">
        <v>21.119689999999999</v>
      </c>
      <c r="S137">
        <f t="shared" si="15"/>
        <v>185.27866737722249</v>
      </c>
      <c r="T137">
        <v>7.7063551777866108E-3</v>
      </c>
      <c r="U137">
        <v>19.399999999999999</v>
      </c>
      <c r="AI137">
        <v>258.44635817598612</v>
      </c>
      <c r="AJ137">
        <v>263.66320246775172</v>
      </c>
      <c r="AK137">
        <v>153.37345886230469</v>
      </c>
      <c r="AL137">
        <v>175.08766129905771</v>
      </c>
    </row>
    <row r="138" spans="1:38" x14ac:dyDescent="0.35">
      <c r="A138" t="s">
        <v>21</v>
      </c>
      <c r="E138">
        <v>-4.170294725613837E-3</v>
      </c>
      <c r="F138">
        <f t="shared" si="12"/>
        <v>-1.9600096875807865E-2</v>
      </c>
      <c r="G138">
        <f t="shared" si="11"/>
        <v>-3.0777160247541072E-2</v>
      </c>
      <c r="J138" s="2" t="s">
        <v>150</v>
      </c>
      <c r="K138">
        <f>B2803</f>
        <v>6.8826762017655434E-3</v>
      </c>
      <c r="L138">
        <f>C2803</f>
        <v>7.0346171409555369E-4</v>
      </c>
      <c r="M138">
        <f t="shared" si="14"/>
        <v>7.8916701881916566E-3</v>
      </c>
      <c r="N138">
        <f>D2803</f>
        <v>-1.9241930403307392E-2</v>
      </c>
      <c r="O138">
        <f>AVERAGEIFS(E2803:E2822,E2803:E2822,"&lt;=" &amp; N138)</f>
        <v>-1.9962046556632817E-2</v>
      </c>
      <c r="P138">
        <v>179.65824161896421</v>
      </c>
      <c r="Q138">
        <f t="shared" si="13"/>
        <v>193.97762873422531</v>
      </c>
      <c r="R138">
        <v>24.81278</v>
      </c>
      <c r="S138">
        <f t="shared" si="15"/>
        <v>217.46619140350981</v>
      </c>
      <c r="T138">
        <v>7.8916701881916566E-3</v>
      </c>
      <c r="U138">
        <v>18.61</v>
      </c>
      <c r="AI138">
        <v>186.40504730622686</v>
      </c>
      <c r="AJ138">
        <v>236.37901706429952</v>
      </c>
      <c r="AK138">
        <v>139.83242797851563</v>
      </c>
      <c r="AL138">
        <v>133.86842941008666</v>
      </c>
    </row>
    <row r="139" spans="1:38" x14ac:dyDescent="0.35">
      <c r="A139" t="s">
        <v>21</v>
      </c>
      <c r="E139">
        <v>-2.7822773313150436E-3</v>
      </c>
      <c r="F139">
        <f t="shared" si="12"/>
        <v>-1.9604695005229104E-2</v>
      </c>
      <c r="G139">
        <f t="shared" si="11"/>
        <v>-3.0777160247541072E-2</v>
      </c>
      <c r="J139" s="2" t="s">
        <v>151</v>
      </c>
      <c r="K139">
        <f>B2823</f>
        <v>1.0610914087013531E-2</v>
      </c>
      <c r="L139">
        <f>C2823</f>
        <v>1.3234024980639464E-3</v>
      </c>
      <c r="M139">
        <f t="shared" si="14"/>
        <v>6.8826762017655434E-3</v>
      </c>
      <c r="N139">
        <f>D2823</f>
        <v>-1.7593767405101452E-2</v>
      </c>
      <c r="O139">
        <f>AVERAGEIFS(E2823:E2840,E2823:E2840,"&lt;=" &amp; N139)</f>
        <v>-1.9397276178836194E-2</v>
      </c>
      <c r="P139">
        <v>141.38605551092519</v>
      </c>
      <c r="Q139">
        <f t="shared" si="13"/>
        <v>173.99631284536022</v>
      </c>
      <c r="R139">
        <v>23.353159999999999</v>
      </c>
      <c r="S139">
        <f t="shared" si="15"/>
        <v>179.65824161896421</v>
      </c>
      <c r="T139">
        <v>6.8826762017655434E-3</v>
      </c>
      <c r="U139">
        <v>16.760000000000002</v>
      </c>
      <c r="W139" t="s">
        <v>225</v>
      </c>
      <c r="AI139">
        <v>210.55606779907308</v>
      </c>
      <c r="AJ139">
        <v>168.61250667375324</v>
      </c>
      <c r="AK139">
        <v>140.44772338867188</v>
      </c>
      <c r="AL139">
        <v>59.527955400035857</v>
      </c>
    </row>
    <row r="140" spans="1:38" ht="15" thickBot="1" x14ac:dyDescent="0.4">
      <c r="A140" t="s">
        <v>21</v>
      </c>
      <c r="E140">
        <v>4.6479919632026008E-3</v>
      </c>
      <c r="F140">
        <f t="shared" si="12"/>
        <v>-1.9609293134650346E-2</v>
      </c>
      <c r="G140">
        <f t="shared" si="11"/>
        <v>-3.0777160247541072E-2</v>
      </c>
      <c r="J140" s="2" t="s">
        <v>152</v>
      </c>
      <c r="K140">
        <f>B2841</f>
        <v>6.6797733265263537E-3</v>
      </c>
      <c r="L140">
        <f>C2841</f>
        <v>-6.9957076264914991E-5</v>
      </c>
      <c r="M140">
        <f t="shared" si="14"/>
        <v>1.0610914087013531E-2</v>
      </c>
      <c r="N140">
        <f>D2841</f>
        <v>-1.7150124683531914E-2</v>
      </c>
      <c r="O140">
        <f>AVERAGEIFS(E2841:E2862,E2841:E2862,"&lt;=" &amp; N140)</f>
        <v>-1.8145231028521714E-2</v>
      </c>
      <c r="P140">
        <v>152.61494307954041</v>
      </c>
      <c r="Q140">
        <f t="shared" si="13"/>
        <v>190.47650680534173</v>
      </c>
      <c r="R140">
        <v>21.54729</v>
      </c>
      <c r="S140">
        <f t="shared" si="15"/>
        <v>141.38605551092519</v>
      </c>
      <c r="T140">
        <v>1.0610914087013531E-2</v>
      </c>
      <c r="U140">
        <v>15.83</v>
      </c>
      <c r="AI140">
        <v>219.50012853823208</v>
      </c>
      <c r="AJ140">
        <v>192.49767374743104</v>
      </c>
      <c r="AK140">
        <v>138.34951782226563</v>
      </c>
      <c r="AL140">
        <v>104.80567408669692</v>
      </c>
    </row>
    <row r="141" spans="1:38" x14ac:dyDescent="0.35">
      <c r="A141" t="s">
        <v>21</v>
      </c>
      <c r="E141">
        <v>2.7903852539742365E-2</v>
      </c>
      <c r="F141">
        <f t="shared" si="12"/>
        <v>-1.9612168312752046E-2</v>
      </c>
      <c r="G141">
        <f t="shared" si="11"/>
        <v>-3.0838186843786381E-2</v>
      </c>
      <c r="J141" s="2" t="s">
        <v>153</v>
      </c>
      <c r="K141">
        <f>B2863</f>
        <v>1.1252449489694632E-2</v>
      </c>
      <c r="L141">
        <f>C2863</f>
        <v>2.7873999151963063E-4</v>
      </c>
      <c r="M141">
        <f t="shared" si="14"/>
        <v>6.6797733265263537E-3</v>
      </c>
      <c r="N141">
        <f>D2863</f>
        <v>-2.6121449832173217E-2</v>
      </c>
      <c r="O141">
        <f>AVERAGEIFS(E2863:E2884,E2863:E2884,"&lt;=" &amp; N141)</f>
        <v>-2.6931803644515546E-2</v>
      </c>
      <c r="P141">
        <v>197.37941503594669</v>
      </c>
      <c r="Q141">
        <f t="shared" si="13"/>
        <v>256.28182349226057</v>
      </c>
      <c r="R141">
        <v>24.831800000000001</v>
      </c>
      <c r="S141">
        <f t="shared" si="15"/>
        <v>152.61494307954041</v>
      </c>
      <c r="T141">
        <v>6.6797733265263537E-3</v>
      </c>
      <c r="U141">
        <v>18.239999999999998</v>
      </c>
      <c r="W141" s="8" t="s">
        <v>226</v>
      </c>
      <c r="X141" s="8"/>
      <c r="AI141">
        <v>251.80142479657709</v>
      </c>
      <c r="AJ141">
        <v>346.43418222767167</v>
      </c>
      <c r="AK141">
        <v>154.50654602050781</v>
      </c>
      <c r="AL141">
        <v>61.540165650860757</v>
      </c>
    </row>
    <row r="142" spans="1:38" x14ac:dyDescent="0.35">
      <c r="A142" t="s">
        <v>21</v>
      </c>
      <c r="E142">
        <v>1.8110412176475911E-3</v>
      </c>
      <c r="F142">
        <f t="shared" si="12"/>
        <v>-1.9615043490853749E-2</v>
      </c>
      <c r="G142">
        <f t="shared" si="11"/>
        <v>-3.0838186843786381E-2</v>
      </c>
      <c r="J142" s="2" t="s">
        <v>154</v>
      </c>
      <c r="K142">
        <f>B2885</f>
        <v>5.1622903219873117E-3</v>
      </c>
      <c r="L142">
        <f>C2885</f>
        <v>1.231218647834867E-3</v>
      </c>
      <c r="M142">
        <f t="shared" si="14"/>
        <v>1.1252449489694632E-2</v>
      </c>
      <c r="N142">
        <f>D2885</f>
        <v>-1.4656502679280902E-2</v>
      </c>
      <c r="O142">
        <f>AVERAGEIFS(E2885:E2905,E2885:E2905,"&lt;=" &amp; N142)</f>
        <v>-1.5566585246476803E-2</v>
      </c>
      <c r="P142">
        <v>187.20578192390559</v>
      </c>
      <c r="Q142">
        <f t="shared" si="13"/>
        <v>247.43510624900262</v>
      </c>
      <c r="R142">
        <v>22.156310000000001</v>
      </c>
      <c r="S142">
        <f t="shared" si="15"/>
        <v>197.37941503594669</v>
      </c>
      <c r="T142">
        <v>1.1252449489694632E-2</v>
      </c>
      <c r="U142">
        <v>16.48</v>
      </c>
      <c r="W142" t="s">
        <v>227</v>
      </c>
      <c r="X142">
        <v>0.64424496916266849</v>
      </c>
      <c r="AI142">
        <v>231.69912169473648</v>
      </c>
      <c r="AJ142">
        <v>364.09978079171577</v>
      </c>
      <c r="AK142">
        <v>116.8482666015625</v>
      </c>
      <c r="AL142">
        <v>41.307136491746519</v>
      </c>
    </row>
    <row r="143" spans="1:38" x14ac:dyDescent="0.35">
      <c r="A143" t="s">
        <v>21</v>
      </c>
      <c r="E143">
        <v>8.7839825171679414E-3</v>
      </c>
      <c r="F143">
        <f t="shared" si="12"/>
        <v>-1.9617918668955448E-2</v>
      </c>
      <c r="G143">
        <f t="shared" si="11"/>
        <v>-3.0838186843786381E-2</v>
      </c>
      <c r="J143" s="2" t="s">
        <v>155</v>
      </c>
      <c r="K143">
        <f>B2906</f>
        <v>1.0527371424930942E-2</v>
      </c>
      <c r="L143">
        <f>C2906</f>
        <v>-1.6357592377986493E-3</v>
      </c>
      <c r="M143">
        <f t="shared" si="14"/>
        <v>5.1622903219873117E-3</v>
      </c>
      <c r="N143">
        <f>D2906</f>
        <v>-2.5249036394379341E-2</v>
      </c>
      <c r="O143">
        <f>AVERAGEIFS(E2906:E2927,E2906:E2927,"&lt;=" &amp; N143)</f>
        <v>-2.5939224101476015E-2</v>
      </c>
      <c r="P143">
        <v>206.7285426497219</v>
      </c>
      <c r="Q143">
        <f t="shared" si="13"/>
        <v>255.37878036356483</v>
      </c>
      <c r="R143">
        <v>26.89424</v>
      </c>
      <c r="S143">
        <f t="shared" si="15"/>
        <v>187.20578192390559</v>
      </c>
      <c r="T143">
        <v>5.1622903219873117E-3</v>
      </c>
      <c r="U143">
        <v>23.14</v>
      </c>
      <c r="W143" t="s">
        <v>228</v>
      </c>
      <c r="X143">
        <v>0.41505158029140771</v>
      </c>
      <c r="Z143" t="s">
        <v>386</v>
      </c>
      <c r="AI143">
        <v>236.94298770083844</v>
      </c>
      <c r="AJ143">
        <v>361.96706459054076</v>
      </c>
      <c r="AK143">
        <v>120.61072540283203</v>
      </c>
      <c r="AL143">
        <v>102.89989592077029</v>
      </c>
    </row>
    <row r="144" spans="1:38" x14ac:dyDescent="0.35">
      <c r="A144" t="s">
        <v>21</v>
      </c>
      <c r="E144">
        <v>9.5022329763590988E-3</v>
      </c>
      <c r="F144">
        <f t="shared" si="12"/>
        <v>-1.9620793847057151E-2</v>
      </c>
      <c r="G144">
        <f t="shared" si="11"/>
        <v>-3.0838186843786381E-2</v>
      </c>
      <c r="J144" s="2" t="s">
        <v>156</v>
      </c>
      <c r="K144">
        <f>B2928</f>
        <v>8.8730042032842717E-3</v>
      </c>
      <c r="L144">
        <f>C2928</f>
        <v>2.3241925869652209E-3</v>
      </c>
      <c r="M144">
        <f t="shared" si="14"/>
        <v>1.0527371424930942E-2</v>
      </c>
      <c r="N144">
        <f>D2928</f>
        <v>-1.2729301802861446E-2</v>
      </c>
      <c r="O144">
        <f>AVERAGEIFS(E2928:E2948,E2928:E2948,"&lt;=" &amp; N144)</f>
        <v>-1.3067647528192059E-2</v>
      </c>
      <c r="P144">
        <v>198.51041934374271</v>
      </c>
      <c r="Q144">
        <f t="shared" si="13"/>
        <v>249.90353574356652</v>
      </c>
      <c r="R144">
        <v>20.327559999999998</v>
      </c>
      <c r="S144">
        <f t="shared" si="15"/>
        <v>206.7285426497219</v>
      </c>
      <c r="T144">
        <v>1.0527371424930942E-2</v>
      </c>
      <c r="U144">
        <v>16.260000000000002</v>
      </c>
      <c r="W144" t="s">
        <v>228</v>
      </c>
      <c r="X144">
        <v>0.40519289906036399</v>
      </c>
      <c r="AI144">
        <v>270.22984285598051</v>
      </c>
      <c r="AJ144">
        <v>304.225758845386</v>
      </c>
      <c r="AK144">
        <v>147.56269836425781</v>
      </c>
      <c r="AL144">
        <v>70.720974801923688</v>
      </c>
    </row>
    <row r="145" spans="1:38" x14ac:dyDescent="0.35">
      <c r="A145" t="s">
        <v>21</v>
      </c>
      <c r="E145">
        <v>-1.1561906256340687E-3</v>
      </c>
      <c r="F145">
        <f t="shared" si="12"/>
        <v>-1.9623669025158851E-2</v>
      </c>
      <c r="G145">
        <f t="shared" si="11"/>
        <v>-3.0838186843786381E-2</v>
      </c>
      <c r="J145" s="2" t="s">
        <v>157</v>
      </c>
      <c r="K145">
        <f>B2949</f>
        <v>1.1691878440059819E-2</v>
      </c>
      <c r="L145">
        <f>C2949</f>
        <v>-2.0506524841912501E-3</v>
      </c>
      <c r="M145">
        <f t="shared" si="14"/>
        <v>8.8730042032842717E-3</v>
      </c>
      <c r="N145">
        <f>D2949</f>
        <v>-4.3218603394377567E-2</v>
      </c>
      <c r="O145">
        <f>AVERAGEIFS(E2949:E2970,E2949:E2970,"&lt;=" &amp; N145)</f>
        <v>-4.8599417346133204E-2</v>
      </c>
      <c r="P145">
        <v>246.6082671136009</v>
      </c>
      <c r="Q145">
        <f t="shared" si="13"/>
        <v>303.6171371722362</v>
      </c>
      <c r="R145">
        <v>34.009799999999998</v>
      </c>
      <c r="S145">
        <f t="shared" si="15"/>
        <v>198.51041934374271</v>
      </c>
      <c r="T145">
        <v>8.8730042032842717E-3</v>
      </c>
      <c r="U145">
        <v>27.19</v>
      </c>
      <c r="W145" t="s">
        <v>229</v>
      </c>
      <c r="X145">
        <v>9.2478643592069729E-3</v>
      </c>
      <c r="AI145">
        <v>310.0813528559587</v>
      </c>
      <c r="AJ145">
        <v>395.5716354974096</v>
      </c>
      <c r="AK145">
        <v>155.97068786621094</v>
      </c>
      <c r="AL145">
        <v>102.59614203779499</v>
      </c>
    </row>
    <row r="146" spans="1:38" ht="15" thickBot="1" x14ac:dyDescent="0.4">
      <c r="A146" t="s">
        <v>21</v>
      </c>
      <c r="E146">
        <v>-4.7762020406762655E-3</v>
      </c>
      <c r="F146">
        <f t="shared" si="12"/>
        <v>-1.9626544203260553E-2</v>
      </c>
      <c r="G146">
        <f t="shared" si="11"/>
        <v>-3.0838186843786381E-2</v>
      </c>
      <c r="J146" s="2" t="s">
        <v>158</v>
      </c>
      <c r="K146">
        <f>B2971</f>
        <v>1.3767353722750265E-2</v>
      </c>
      <c r="L146">
        <f>C2971</f>
        <v>3.05733004666742E-3</v>
      </c>
      <c r="M146">
        <f t="shared" si="14"/>
        <v>1.1691878440059819E-2</v>
      </c>
      <c r="N146">
        <f>D2971</f>
        <v>-1.7166715972466624E-2</v>
      </c>
      <c r="O146">
        <f>AVERAGEIFS(E2971:E2989,E2971:E2989,"&lt;=" &amp; N146)</f>
        <v>-1.7166715972466624E-2</v>
      </c>
      <c r="P146">
        <v>298.15950991405771</v>
      </c>
      <c r="Q146">
        <f t="shared" si="13"/>
        <v>386.68544541955492</v>
      </c>
      <c r="R146">
        <v>21.801400000000001</v>
      </c>
      <c r="S146">
        <f t="shared" si="15"/>
        <v>246.6082671136009</v>
      </c>
      <c r="T146">
        <v>1.1691878440059819E-2</v>
      </c>
      <c r="U146">
        <v>17.22</v>
      </c>
      <c r="W146" s="6" t="s">
        <v>230</v>
      </c>
      <c r="X146" s="6">
        <v>182</v>
      </c>
      <c r="AI146">
        <v>331.31548153447523</v>
      </c>
      <c r="AJ146">
        <v>597.93619678666437</v>
      </c>
      <c r="AK146">
        <v>159.57528686523438</v>
      </c>
      <c r="AL146">
        <v>128.32329926757942</v>
      </c>
    </row>
    <row r="147" spans="1:38" x14ac:dyDescent="0.35">
      <c r="A147" t="s">
        <v>21</v>
      </c>
      <c r="E147">
        <v>-3.927161571183775E-3</v>
      </c>
      <c r="F147">
        <f t="shared" si="12"/>
        <v>-1.9629419381362253E-2</v>
      </c>
      <c r="G147">
        <f t="shared" si="11"/>
        <v>-3.0838186843786381E-2</v>
      </c>
      <c r="J147" s="2" t="s">
        <v>159</v>
      </c>
      <c r="K147">
        <f>B2990</f>
        <v>1.4397156308614222E-2</v>
      </c>
      <c r="L147">
        <f>C2990</f>
        <v>-1.5503554933403245E-3</v>
      </c>
      <c r="M147">
        <f t="shared" si="14"/>
        <v>1.3767353722750265E-2</v>
      </c>
      <c r="N147">
        <f>D2990</f>
        <v>-4.1011184899703394E-2</v>
      </c>
      <c r="O147">
        <f>AVERAGEIFS(E2990:E3009,E2990:E3009,"&lt;=" &amp; N147)</f>
        <v>-4.2305123464082502E-2</v>
      </c>
      <c r="P147">
        <v>264.63418837091302</v>
      </c>
      <c r="Q147">
        <f t="shared" si="13"/>
        <v>332.74195677554906</v>
      </c>
      <c r="R147">
        <v>30.300719999999998</v>
      </c>
      <c r="S147">
        <f t="shared" si="15"/>
        <v>298.15950991405771</v>
      </c>
      <c r="T147">
        <v>1.3767353722750265E-2</v>
      </c>
      <c r="U147">
        <v>24.83</v>
      </c>
      <c r="AI147">
        <v>313.78810575904663</v>
      </c>
      <c r="AJ147">
        <v>478.20452641901988</v>
      </c>
      <c r="AK147">
        <v>124.22967529296875</v>
      </c>
      <c r="AL147">
        <v>123.7361361084206</v>
      </c>
    </row>
    <row r="148" spans="1:38" ht="15" thickBot="1" x14ac:dyDescent="0.4">
      <c r="A148" t="s">
        <v>22</v>
      </c>
      <c r="B148" s="3" cm="1">
        <f t="array" ref="B148">_xlfn.STDEV.S(_xlfn._xlws.FILTER($E$2:$E$1000, $A$2:$A$1000="2010-08"))</f>
        <v>1.3187275575546598E-2</v>
      </c>
      <c r="C148" s="3" cm="1">
        <f t="array" ref="C148">AVERAGE(_xlfn._xlws.FILTER($E$2:$E$1000, $A$2:$A$1000="2010-08"))</f>
        <v>-2.116142804687303E-3</v>
      </c>
      <c r="D148" s="3" cm="1">
        <f t="array" ref="D148">_xlfn.PERCENTILE.EXC(_xlfn._xlws.FILTER($E$126:$E$252, $A$126:$A$252="2010-08"), 0.05)</f>
        <v>-2.6705171594100619E-2</v>
      </c>
      <c r="E148">
        <v>2.8767455121163587E-2</v>
      </c>
      <c r="F148">
        <f t="shared" si="12"/>
        <v>-1.9632294559463956E-2</v>
      </c>
      <c r="G148">
        <f t="shared" si="11"/>
        <v>-3.0838186843786381E-2</v>
      </c>
      <c r="J148" s="4" t="s">
        <v>160</v>
      </c>
      <c r="K148" s="3">
        <f>B3010</f>
        <v>8.7955684754724029E-3</v>
      </c>
      <c r="L148" s="3">
        <f>C3010</f>
        <v>5.6511233774500357E-3</v>
      </c>
      <c r="M148">
        <f t="shared" si="14"/>
        <v>1.4397156308614222E-2</v>
      </c>
      <c r="N148" s="3">
        <f>D3010</f>
        <v>-3.6202465097685939E-2</v>
      </c>
      <c r="O148" s="3">
        <f>AVERAGEIFS(E3010:E3029,E3010:E3029,"&lt;=" &amp; N148)</f>
        <v>-3.6945260667213785E-2</v>
      </c>
      <c r="P148" s="3">
        <v>220.46790953760549</v>
      </c>
      <c r="Q148" s="3">
        <f t="shared" si="13"/>
        <v>297.33505039720291</v>
      </c>
      <c r="R148" s="3">
        <v>39.545810000000003</v>
      </c>
      <c r="S148">
        <f t="shared" si="15"/>
        <v>264.63418837091302</v>
      </c>
      <c r="T148">
        <v>1.4397156308614222E-2</v>
      </c>
      <c r="U148" s="3">
        <v>30.15</v>
      </c>
      <c r="W148" t="s">
        <v>231</v>
      </c>
      <c r="AI148" s="3">
        <v>298.90660377280608</v>
      </c>
      <c r="AJ148" s="3">
        <v>394.11909746111633</v>
      </c>
      <c r="AK148" s="3">
        <v>133.50860595703125</v>
      </c>
      <c r="AL148" s="3">
        <v>119.77629193859694</v>
      </c>
    </row>
    <row r="149" spans="1:38" x14ac:dyDescent="0.35">
      <c r="A149" t="s">
        <v>22</v>
      </c>
      <c r="E149">
        <v>-1.1345225763721319E-3</v>
      </c>
      <c r="F149">
        <f t="shared" si="12"/>
        <v>-1.9635169737565655E-2</v>
      </c>
      <c r="G149">
        <f t="shared" si="11"/>
        <v>-3.0838186843786381E-2</v>
      </c>
      <c r="J149" s="2" t="s">
        <v>161</v>
      </c>
      <c r="K149">
        <f>B3030</f>
        <v>2.5826679158201353E-2</v>
      </c>
      <c r="L149">
        <f>C3030</f>
        <v>-2.412024056823384E-4</v>
      </c>
      <c r="M149">
        <f t="shared" si="14"/>
        <v>8.7955684754724029E-3</v>
      </c>
      <c r="N149">
        <f>D3030</f>
        <v>-4.8977154242404314E-2</v>
      </c>
      <c r="O149">
        <f>AVERAGEIFS(E3030:E3052,E3030:E3052,"&lt;=" &amp; N149)</f>
        <v>-5.0922304237598151E-2</v>
      </c>
      <c r="P149">
        <v>392.01202062601737</v>
      </c>
      <c r="Q149">
        <f t="shared" si="13"/>
        <v>498.28871073598094</v>
      </c>
      <c r="R149">
        <v>32.1265</v>
      </c>
      <c r="S149">
        <f t="shared" si="15"/>
        <v>220.46790953760549</v>
      </c>
      <c r="T149">
        <v>8.7955684754724029E-3</v>
      </c>
      <c r="U149">
        <v>20.56</v>
      </c>
      <c r="W149" s="7"/>
      <c r="X149" s="7" t="s">
        <v>236</v>
      </c>
      <c r="Y149" s="7" t="s">
        <v>237</v>
      </c>
      <c r="Z149" s="7" t="s">
        <v>238</v>
      </c>
      <c r="AA149" s="7" t="s">
        <v>239</v>
      </c>
      <c r="AB149" s="7" t="s">
        <v>240</v>
      </c>
      <c r="AI149">
        <v>429.93556753498171</v>
      </c>
      <c r="AJ149">
        <v>785.0256071701574</v>
      </c>
      <c r="AK149">
        <v>169.82452392578125</v>
      </c>
      <c r="AL149">
        <v>139.12014865643766</v>
      </c>
    </row>
    <row r="150" spans="1:38" x14ac:dyDescent="0.35">
      <c r="A150" t="s">
        <v>22</v>
      </c>
      <c r="E150">
        <v>2.1651127778200443E-3</v>
      </c>
      <c r="F150">
        <f t="shared" si="12"/>
        <v>-1.9638044915667358E-2</v>
      </c>
      <c r="G150">
        <f t="shared" si="11"/>
        <v>-3.0838186843786381E-2</v>
      </c>
      <c r="J150" s="2" t="s">
        <v>162</v>
      </c>
      <c r="K150">
        <f>B3053</f>
        <v>1.2140522400844385E-2</v>
      </c>
      <c r="L150">
        <f>C3053</f>
        <v>-1.3615306888457872E-3</v>
      </c>
      <c r="M150">
        <f t="shared" si="14"/>
        <v>2.5826679158201353E-2</v>
      </c>
      <c r="N150">
        <f>D3053</f>
        <v>-2.4065615707781332E-2</v>
      </c>
      <c r="O150">
        <f>AVERAGEIFS(E3053:E3071,E3053:E3071,"&lt;=" &amp; N150)</f>
        <v>-2.4065615707781332E-2</v>
      </c>
      <c r="P150">
        <v>334.66899897430778</v>
      </c>
      <c r="Q150">
        <f t="shared" si="13"/>
        <v>421.96366875527906</v>
      </c>
      <c r="R150">
        <v>32.462649999999996</v>
      </c>
      <c r="S150">
        <f t="shared" si="15"/>
        <v>392.01202062601737</v>
      </c>
      <c r="T150">
        <v>2.5826679158201353E-2</v>
      </c>
      <c r="U150">
        <v>33.4</v>
      </c>
      <c r="W150" t="s">
        <v>232</v>
      </c>
      <c r="X150">
        <v>3</v>
      </c>
      <c r="Y150">
        <v>1.0801582933785827E-2</v>
      </c>
      <c r="Z150">
        <v>3.6005276445952757E-3</v>
      </c>
      <c r="AA150">
        <v>42.100111623902073</v>
      </c>
      <c r="AB150">
        <v>1.3027157497177511E-20</v>
      </c>
      <c r="AI150">
        <v>322.84143605889113</v>
      </c>
      <c r="AJ150">
        <v>707.87439915158541</v>
      </c>
      <c r="AK150">
        <v>164.84947204589844</v>
      </c>
      <c r="AL150">
        <v>129.17140713574705</v>
      </c>
    </row>
    <row r="151" spans="1:38" x14ac:dyDescent="0.35">
      <c r="A151" t="s">
        <v>22</v>
      </c>
      <c r="E151">
        <v>-2.0338677769131262E-3</v>
      </c>
      <c r="F151">
        <f t="shared" si="12"/>
        <v>-1.9640920093769058E-2</v>
      </c>
      <c r="G151">
        <f t="shared" si="11"/>
        <v>-3.0838186843786381E-2</v>
      </c>
      <c r="J151" s="2" t="s">
        <v>163</v>
      </c>
      <c r="K151">
        <f>B3072</f>
        <v>1.5680832517176096E-2</v>
      </c>
      <c r="L151">
        <f>C3072</f>
        <v>-1.7123148242485729E-4</v>
      </c>
      <c r="M151">
        <f t="shared" si="14"/>
        <v>1.2140522400844385E-2</v>
      </c>
      <c r="N151">
        <f>D3072</f>
        <v>-2.7578175967784172E-2</v>
      </c>
      <c r="O151">
        <f>AVERAGEIFS(E3072:E3092,E3072:E3092,"&lt;=" &amp; N151)</f>
        <v>-2.859601531925168E-2</v>
      </c>
      <c r="P151">
        <v>328.47521370860733</v>
      </c>
      <c r="Q151">
        <f t="shared" si="13"/>
        <v>414.6391736307246</v>
      </c>
      <c r="R151">
        <v>27.09723</v>
      </c>
      <c r="S151">
        <f t="shared" si="15"/>
        <v>334.66899897430778</v>
      </c>
      <c r="T151">
        <v>1.2140522400844385E-2</v>
      </c>
      <c r="U151">
        <v>26.19</v>
      </c>
      <c r="W151" t="s">
        <v>233</v>
      </c>
      <c r="X151">
        <v>178</v>
      </c>
      <c r="Y151">
        <v>1.5223093146719723E-2</v>
      </c>
      <c r="Z151">
        <v>8.5522995206290586E-5</v>
      </c>
      <c r="AI151">
        <v>380.59057264289402</v>
      </c>
      <c r="AJ151">
        <v>616.04726819525263</v>
      </c>
      <c r="AK151">
        <v>151.87469482421875</v>
      </c>
      <c r="AL151">
        <v>132.8385195338322</v>
      </c>
    </row>
    <row r="152" spans="1:38" ht="15" thickBot="1" x14ac:dyDescent="0.4">
      <c r="A152" t="s">
        <v>22</v>
      </c>
      <c r="E152">
        <v>-1.4289325560227443E-2</v>
      </c>
      <c r="F152">
        <f t="shared" si="12"/>
        <v>-1.9643795271870761E-2</v>
      </c>
      <c r="G152">
        <f t="shared" si="11"/>
        <v>-3.0838186843786381E-2</v>
      </c>
      <c r="J152" s="2" t="s">
        <v>164</v>
      </c>
      <c r="K152">
        <f>B3093</f>
        <v>1.6292230092577489E-2</v>
      </c>
      <c r="L152">
        <f>C3093</f>
        <v>-4.6187809340346875E-3</v>
      </c>
      <c r="M152">
        <f t="shared" si="14"/>
        <v>1.5680832517176096E-2</v>
      </c>
      <c r="N152">
        <f>D3093</f>
        <v>-3.3997418452033266E-2</v>
      </c>
      <c r="O152">
        <f>AVERAGEIFS(E3093:E3112,E3093:E3112,"&lt;=" &amp; N152)</f>
        <v>-3.4207591378502933E-2</v>
      </c>
      <c r="P152">
        <v>332.62825287477051</v>
      </c>
      <c r="Q152">
        <f t="shared" si="13"/>
        <v>425.21006035832147</v>
      </c>
      <c r="R152">
        <v>31.218789999999998</v>
      </c>
      <c r="S152">
        <f t="shared" si="15"/>
        <v>328.47521370860733</v>
      </c>
      <c r="T152">
        <v>1.5680832517176096E-2</v>
      </c>
      <c r="U152">
        <v>28.71</v>
      </c>
      <c r="W152" s="6" t="s">
        <v>234</v>
      </c>
      <c r="X152" s="6">
        <v>181</v>
      </c>
      <c r="Y152" s="6">
        <v>2.602467608050555E-2</v>
      </c>
      <c r="Z152" s="6"/>
      <c r="AA152" s="6"/>
      <c r="AB152" s="6"/>
      <c r="AI152">
        <v>420.58772539895682</v>
      </c>
      <c r="AJ152">
        <v>589.16422952410471</v>
      </c>
      <c r="AK152">
        <v>166.84375</v>
      </c>
      <c r="AL152">
        <v>137.63568185516743</v>
      </c>
    </row>
    <row r="153" spans="1:38" ht="15" thickBot="1" x14ac:dyDescent="0.4">
      <c r="A153" t="s">
        <v>22</v>
      </c>
      <c r="E153">
        <v>1.7098092311756623E-2</v>
      </c>
      <c r="F153">
        <f t="shared" si="12"/>
        <v>-1.964667044997246E-2</v>
      </c>
      <c r="G153">
        <f t="shared" si="11"/>
        <v>-3.0838186843786381E-2</v>
      </c>
      <c r="J153" s="2" t="s">
        <v>165</v>
      </c>
      <c r="K153">
        <f>B3113</f>
        <v>1.29854604903309E-2</v>
      </c>
      <c r="L153">
        <f>C3113</f>
        <v>3.3684609829377713E-3</v>
      </c>
      <c r="M153">
        <f t="shared" si="14"/>
        <v>1.6292230092577489E-2</v>
      </c>
      <c r="N153">
        <f>D3113</f>
        <v>-2.6141193134937509E-2</v>
      </c>
      <c r="O153">
        <f>AVERAGEIFS(E3113:E3133,E3113:E3133,"&lt;=" &amp; N153)</f>
        <v>-2.7185056961036843E-2</v>
      </c>
      <c r="P153">
        <v>403.90579160227668</v>
      </c>
      <c r="Q153">
        <f t="shared" si="13"/>
        <v>519.84051289689523</v>
      </c>
      <c r="R153">
        <v>22.744309999999999</v>
      </c>
      <c r="S153">
        <f t="shared" si="15"/>
        <v>332.62825287477051</v>
      </c>
      <c r="T153">
        <v>1.6292230092577489E-2</v>
      </c>
      <c r="U153">
        <v>21.33</v>
      </c>
      <c r="AI153">
        <v>495.31645192190723</v>
      </c>
      <c r="AJ153">
        <v>765.02221139273081</v>
      </c>
      <c r="AK153">
        <v>175.80950927734375</v>
      </c>
      <c r="AL153">
        <v>125.29542795683584</v>
      </c>
    </row>
    <row r="154" spans="1:38" x14ac:dyDescent="0.35">
      <c r="A154" t="s">
        <v>22</v>
      </c>
      <c r="E154">
        <v>-9.6850217433365488E-3</v>
      </c>
      <c r="F154">
        <f t="shared" si="12"/>
        <v>-1.9649545628074163E-2</v>
      </c>
      <c r="G154">
        <f t="shared" si="11"/>
        <v>-3.0838186843786381E-2</v>
      </c>
      <c r="J154" s="2" t="s">
        <v>166</v>
      </c>
      <c r="K154">
        <f>B3134</f>
        <v>9.925178702257325E-3</v>
      </c>
      <c r="L154">
        <f>C3134</f>
        <v>-2.5161991324315737E-3</v>
      </c>
      <c r="M154">
        <f t="shared" si="14"/>
        <v>1.29854604903309E-2</v>
      </c>
      <c r="N154">
        <f>D3134</f>
        <v>-1.9512838410744502E-2</v>
      </c>
      <c r="O154">
        <f>AVERAGEIFS(E3134:E3154,E3134:E3154,"&lt;=" &amp; N154)</f>
        <v>-1.9517330546225547E-2</v>
      </c>
      <c r="P154">
        <v>327.9154084879612</v>
      </c>
      <c r="Q154">
        <f t="shared" si="13"/>
        <v>389.41323806200222</v>
      </c>
      <c r="R154">
        <v>28.096</v>
      </c>
      <c r="S154">
        <f t="shared" si="15"/>
        <v>403.90579160227668</v>
      </c>
      <c r="T154">
        <v>1.29854604903309E-2</v>
      </c>
      <c r="U154">
        <v>25.87</v>
      </c>
      <c r="W154" s="7"/>
      <c r="X154" s="7" t="s">
        <v>241</v>
      </c>
      <c r="Y154" s="7" t="s">
        <v>229</v>
      </c>
      <c r="Z154" s="7" t="s">
        <v>242</v>
      </c>
      <c r="AA154" s="7" t="s">
        <v>243</v>
      </c>
      <c r="AB154" s="7" t="s">
        <v>244</v>
      </c>
      <c r="AC154" s="7" t="s">
        <v>245</v>
      </c>
      <c r="AD154" s="7" t="s">
        <v>246</v>
      </c>
      <c r="AE154" s="7" t="s">
        <v>247</v>
      </c>
      <c r="AI154">
        <v>231.0219656497317</v>
      </c>
      <c r="AJ154">
        <v>742.73870554042276</v>
      </c>
      <c r="AK154">
        <v>141.78741455078125</v>
      </c>
      <c r="AL154">
        <v>116.83594315451541</v>
      </c>
    </row>
    <row r="155" spans="1:38" x14ac:dyDescent="0.35">
      <c r="A155" t="s">
        <v>22</v>
      </c>
      <c r="E155">
        <v>-2.7466436299235921E-2</v>
      </c>
      <c r="F155">
        <f t="shared" si="12"/>
        <v>-1.9652420806175866E-2</v>
      </c>
      <c r="G155">
        <f t="shared" si="11"/>
        <v>-3.0838186843786381E-2</v>
      </c>
      <c r="J155" s="2" t="s">
        <v>167</v>
      </c>
      <c r="K155">
        <f>B3155</f>
        <v>1.3636059971168839E-2</v>
      </c>
      <c r="L155">
        <f>C3155</f>
        <v>-2.7741412880032293E-3</v>
      </c>
      <c r="M155">
        <f t="shared" si="14"/>
        <v>9.925178702257325E-3</v>
      </c>
      <c r="N155">
        <f>D3155</f>
        <v>-2.2736502989396341E-2</v>
      </c>
      <c r="O155">
        <f>AVERAGEIFS(E3155:E3175,E3155:E3175,"&lt;=" &amp; N155)</f>
        <v>-2.3183746074936236E-2</v>
      </c>
      <c r="P155">
        <v>396.80379258297671</v>
      </c>
      <c r="Q155">
        <f t="shared" si="13"/>
        <v>442.63264622074638</v>
      </c>
      <c r="R155">
        <v>30.064309999999999</v>
      </c>
      <c r="S155">
        <f t="shared" si="15"/>
        <v>327.9154084879612</v>
      </c>
      <c r="T155">
        <v>9.925178702257325E-3</v>
      </c>
      <c r="U155">
        <v>31.62</v>
      </c>
      <c r="W155" t="s">
        <v>235</v>
      </c>
      <c r="X155">
        <v>2.194411674648537E-3</v>
      </c>
      <c r="Y155">
        <v>3.3321487827431199E-3</v>
      </c>
      <c r="Z155">
        <v>0.65855753080810353</v>
      </c>
      <c r="AA155">
        <v>0.5110308665253519</v>
      </c>
      <c r="AB155">
        <v>-4.3811870510179493E-3</v>
      </c>
      <c r="AC155">
        <v>8.7700104003150224E-3</v>
      </c>
      <c r="AD155">
        <v>-4.3811870510179493E-3</v>
      </c>
      <c r="AE155">
        <v>8.7700104003150224E-3</v>
      </c>
      <c r="AI155">
        <v>255.82427560784171</v>
      </c>
      <c r="AJ155">
        <v>844.85472144517553</v>
      </c>
      <c r="AK155">
        <v>151.26394653320313</v>
      </c>
      <c r="AL155">
        <v>173.12961791946989</v>
      </c>
    </row>
    <row r="156" spans="1:38" x14ac:dyDescent="0.35">
      <c r="A156" t="s">
        <v>22</v>
      </c>
      <c r="E156">
        <v>-1.215792223604068E-3</v>
      </c>
      <c r="F156">
        <f t="shared" si="12"/>
        <v>-1.9590900616965386E-2</v>
      </c>
      <c r="G156">
        <f t="shared" si="11"/>
        <v>-3.0795251635236727E-2</v>
      </c>
      <c r="J156" s="2" t="s">
        <v>168</v>
      </c>
      <c r="K156">
        <f>B3176</f>
        <v>1.2173866978828163E-2</v>
      </c>
      <c r="L156">
        <f>C3176</f>
        <v>4.1129414093003455E-3</v>
      </c>
      <c r="M156">
        <f t="shared" si="14"/>
        <v>1.3636059971168839E-2</v>
      </c>
      <c r="N156">
        <f>D3176</f>
        <v>-1.6391145632251945E-2</v>
      </c>
      <c r="O156">
        <f>AVERAGEIFS(E3176:E3196,E3176:E3196,"&lt;=" &amp; N156)</f>
        <v>-1.7033975239384574E-2</v>
      </c>
      <c r="P156">
        <v>418.6188409032506</v>
      </c>
      <c r="Q156">
        <f t="shared" si="13"/>
        <v>458.18417865183426</v>
      </c>
      <c r="R156">
        <v>24.54992</v>
      </c>
      <c r="S156">
        <f t="shared" si="15"/>
        <v>396.80379258297671</v>
      </c>
      <c r="T156">
        <v>1.3636059971168839E-2</v>
      </c>
      <c r="U156">
        <v>25.88</v>
      </c>
      <c r="W156" t="s">
        <v>248</v>
      </c>
      <c r="X156">
        <v>-9.4466262078927174E-4</v>
      </c>
      <c r="Y156">
        <v>1.0470969706658242E-4</v>
      </c>
      <c r="Z156">
        <v>-9.0217300522661539</v>
      </c>
      <c r="AA156">
        <v>2.9375394351420851E-16</v>
      </c>
      <c r="AB156">
        <v>-1.1512947358262018E-3</v>
      </c>
      <c r="AC156">
        <v>-7.3803050575234157E-4</v>
      </c>
      <c r="AD156">
        <v>-1.1512947358262018E-3</v>
      </c>
      <c r="AE156">
        <v>-7.3803050575234157E-4</v>
      </c>
      <c r="AI156">
        <v>372.27650760470925</v>
      </c>
      <c r="AJ156">
        <v>753.2297470852086</v>
      </c>
      <c r="AK156">
        <v>177.71066284179688</v>
      </c>
      <c r="AL156">
        <v>96.821887271473926</v>
      </c>
    </row>
    <row r="157" spans="1:38" x14ac:dyDescent="0.35">
      <c r="A157" t="s">
        <v>22</v>
      </c>
      <c r="E157">
        <v>-4.4644411282420285E-3</v>
      </c>
      <c r="F157">
        <f t="shared" si="12"/>
        <v>-1.9595498746386626E-2</v>
      </c>
      <c r="G157">
        <f t="shared" si="11"/>
        <v>-3.0795251635236727E-2</v>
      </c>
      <c r="J157" s="2" t="s">
        <v>169</v>
      </c>
      <c r="K157">
        <f>B3197</f>
        <v>9.9994270249032773E-3</v>
      </c>
      <c r="L157">
        <f>C3197</f>
        <v>4.1654999029154807E-3</v>
      </c>
      <c r="M157">
        <f t="shared" si="14"/>
        <v>1.2173866978828163E-2</v>
      </c>
      <c r="N157">
        <f>D3197</f>
        <v>-8.242614310305315E-3</v>
      </c>
      <c r="O157">
        <f>AVERAGEIFS(E3197:E3218,E3197:E3218,"&lt;=" &amp; N157)</f>
        <v>-8.28692576362881E-3</v>
      </c>
      <c r="P157">
        <v>357.08667995320258</v>
      </c>
      <c r="Q157">
        <f t="shared" si="13"/>
        <v>430.52360488662106</v>
      </c>
      <c r="R157">
        <v>21.878530000000001</v>
      </c>
      <c r="S157">
        <f t="shared" si="15"/>
        <v>418.6188409032506</v>
      </c>
      <c r="T157">
        <v>1.2173866978828163E-2</v>
      </c>
      <c r="U157">
        <v>20.58</v>
      </c>
      <c r="W157" t="s">
        <v>251</v>
      </c>
      <c r="X157">
        <v>-3.3260546122226523E-6</v>
      </c>
      <c r="Y157">
        <v>9.3700450218341663E-6</v>
      </c>
      <c r="Z157">
        <v>-0.35496676958032203</v>
      </c>
      <c r="AA157">
        <v>0.72303471576646028</v>
      </c>
      <c r="AB157">
        <v>-2.1816722383152207E-5</v>
      </c>
      <c r="AC157">
        <v>1.5164613158706901E-5</v>
      </c>
      <c r="AD157">
        <v>-2.1816722383152207E-5</v>
      </c>
      <c r="AE157">
        <v>1.5164613158706901E-5</v>
      </c>
      <c r="AI157">
        <v>302.97606816447041</v>
      </c>
      <c r="AJ157">
        <v>767.6569781640336</v>
      </c>
      <c r="AK157">
        <v>171.25468444824219</v>
      </c>
      <c r="AL157">
        <v>86.189838910138576</v>
      </c>
    </row>
    <row r="158" spans="1:38" ht="15" thickBot="1" x14ac:dyDescent="0.4">
      <c r="A158" t="s">
        <v>22</v>
      </c>
      <c r="E158">
        <v>-3.8616513250338256E-3</v>
      </c>
      <c r="F158">
        <f t="shared" si="12"/>
        <v>-1.9600096875807865E-2</v>
      </c>
      <c r="G158">
        <f t="shared" si="11"/>
        <v>-3.0795251635236727E-2</v>
      </c>
      <c r="J158" s="2" t="s">
        <v>170</v>
      </c>
      <c r="K158">
        <f>B3219</f>
        <v>1.152481679937313E-2</v>
      </c>
      <c r="L158">
        <f>C3219</f>
        <v>-2.2057263167172035E-3</v>
      </c>
      <c r="M158">
        <f t="shared" si="14"/>
        <v>9.9994270249032773E-3</v>
      </c>
      <c r="N158">
        <f>D3219</f>
        <v>-3.4689827990722247E-2</v>
      </c>
      <c r="O158">
        <f>AVERAGEIFS(E3219:E3238,E3219:E3238,"&lt;=" &amp; N158)</f>
        <v>-3.5738207274425234E-2</v>
      </c>
      <c r="P158">
        <v>279.64709656385492</v>
      </c>
      <c r="Q158">
        <f t="shared" si="13"/>
        <v>344.82591343138984</v>
      </c>
      <c r="R158">
        <v>22.371210000000001</v>
      </c>
      <c r="S158">
        <f t="shared" si="15"/>
        <v>357.08667995320258</v>
      </c>
      <c r="T158">
        <v>9.9994270249032773E-3</v>
      </c>
      <c r="U158">
        <v>21.67</v>
      </c>
      <c r="W158" s="6" t="s">
        <v>252</v>
      </c>
      <c r="X158" s="6">
        <v>0.12793948792986934</v>
      </c>
      <c r="Y158" s="6">
        <v>0.17493100440598133</v>
      </c>
      <c r="Z158" s="6">
        <v>0.73137113894885275</v>
      </c>
      <c r="AA158" s="6">
        <v>0.46551420423480039</v>
      </c>
      <c r="AB158" s="6">
        <v>-0.21726601297954359</v>
      </c>
      <c r="AC158" s="6">
        <v>0.47314498883928224</v>
      </c>
      <c r="AD158" s="6">
        <v>-0.21726601297954359</v>
      </c>
      <c r="AE158" s="6">
        <v>0.47314498883928224</v>
      </c>
      <c r="AI158">
        <v>261.96710254782568</v>
      </c>
      <c r="AJ158">
        <v>584.18545270930906</v>
      </c>
      <c r="AK158">
        <v>147.88681030273438</v>
      </c>
      <c r="AL158">
        <v>78.633408504815833</v>
      </c>
    </row>
    <row r="159" spans="1:38" x14ac:dyDescent="0.35">
      <c r="A159" t="s">
        <v>22</v>
      </c>
      <c r="E159">
        <v>1.4496260090125912E-2</v>
      </c>
      <c r="F159">
        <f t="shared" si="12"/>
        <v>-1.9604695005229104E-2</v>
      </c>
      <c r="G159">
        <f t="shared" si="11"/>
        <v>-3.0795251635236727E-2</v>
      </c>
      <c r="J159" s="2" t="s">
        <v>171</v>
      </c>
      <c r="K159">
        <f>B3239</f>
        <v>9.4794233884352708E-3</v>
      </c>
      <c r="L159">
        <f>C3239</f>
        <v>4.4296832924984944E-3</v>
      </c>
      <c r="M159">
        <f t="shared" si="14"/>
        <v>1.152481679937313E-2</v>
      </c>
      <c r="N159">
        <f>D3239</f>
        <v>-1.7893782224346472E-2</v>
      </c>
      <c r="O159">
        <f>AVERAGEIFS(E3239:E3259,E3239:E3259,"&lt;=" &amp; N159)</f>
        <v>-1.9365384303591346E-2</v>
      </c>
      <c r="P159">
        <v>281.77821148914558</v>
      </c>
      <c r="Q159">
        <f t="shared" si="13"/>
        <v>340.69624477276608</v>
      </c>
      <c r="R159">
        <v>20.17446</v>
      </c>
      <c r="S159">
        <f t="shared" si="15"/>
        <v>279.64709656385492</v>
      </c>
      <c r="T159">
        <v>1.152481679937313E-2</v>
      </c>
      <c r="U159">
        <v>19.399999999999999</v>
      </c>
      <c r="AI159">
        <v>296.32166507942077</v>
      </c>
      <c r="AJ159">
        <v>520.12565100703318</v>
      </c>
      <c r="AK159">
        <v>155.27496337890625</v>
      </c>
      <c r="AL159">
        <v>100.37407363713609</v>
      </c>
    </row>
    <row r="160" spans="1:38" x14ac:dyDescent="0.35">
      <c r="A160" t="s">
        <v>22</v>
      </c>
      <c r="E160">
        <v>-3.3038529233841642E-3</v>
      </c>
      <c r="F160">
        <f t="shared" si="12"/>
        <v>-1.9609293134650346E-2</v>
      </c>
      <c r="G160">
        <f t="shared" si="11"/>
        <v>-3.0795251635236727E-2</v>
      </c>
      <c r="J160" s="2" t="s">
        <v>172</v>
      </c>
      <c r="K160">
        <f>B3260</f>
        <v>9.1539414497710872E-3</v>
      </c>
      <c r="L160">
        <f>C3260</f>
        <v>8.9185316340239552E-4</v>
      </c>
      <c r="M160">
        <f t="shared" si="14"/>
        <v>9.4794233884352708E-3</v>
      </c>
      <c r="N160">
        <f>D3260</f>
        <v>-1.8488498769629883E-2</v>
      </c>
      <c r="O160">
        <f>AVERAGEIFS(E3260:E3279,E3260:E3279,"&lt;=" &amp; N160)</f>
        <v>-1.880823205948208E-2</v>
      </c>
      <c r="P160">
        <v>272.40224655944382</v>
      </c>
      <c r="Q160">
        <f t="shared" si="13"/>
        <v>337.90132046671454</v>
      </c>
      <c r="R160">
        <v>20.68244</v>
      </c>
      <c r="S160">
        <f t="shared" si="15"/>
        <v>281.77821148914558</v>
      </c>
      <c r="T160">
        <v>9.4794233884352708E-3</v>
      </c>
      <c r="U160">
        <v>20.7</v>
      </c>
      <c r="AI160">
        <v>327.79795855688673</v>
      </c>
      <c r="AJ160">
        <v>472.10923521756962</v>
      </c>
      <c r="AK160">
        <v>138.87986755371094</v>
      </c>
      <c r="AL160">
        <v>117.90849826230965</v>
      </c>
    </row>
    <row r="161" spans="1:38" x14ac:dyDescent="0.35">
      <c r="A161" t="s">
        <v>22</v>
      </c>
      <c r="E161">
        <v>-1.9853789247882916E-2</v>
      </c>
      <c r="F161">
        <f t="shared" si="12"/>
        <v>-1.9612168312752046E-2</v>
      </c>
      <c r="G161">
        <f t="shared" si="11"/>
        <v>-3.0856712945679508E-2</v>
      </c>
      <c r="J161" s="2" t="s">
        <v>173</v>
      </c>
      <c r="K161">
        <f>B3280</f>
        <v>1.5023140217560535E-2</v>
      </c>
      <c r="L161">
        <f>C3280</f>
        <v>7.7946918221889294E-4</v>
      </c>
      <c r="M161">
        <f t="shared" si="14"/>
        <v>9.1539414497710872E-3</v>
      </c>
      <c r="N161">
        <f>D3280</f>
        <v>-3.454800754319224E-2</v>
      </c>
      <c r="O161">
        <f>AVERAGEIFS(E3280:E3302,E3280:E3302,"&lt;=" &amp; N161)</f>
        <v>-3.5197969231823917E-2</v>
      </c>
      <c r="P161">
        <v>324.77326277549543</v>
      </c>
      <c r="Q161">
        <f t="shared" si="13"/>
        <v>399.81868506535289</v>
      </c>
      <c r="R161">
        <v>21.1126</v>
      </c>
      <c r="S161">
        <f t="shared" si="15"/>
        <v>272.40224655944382</v>
      </c>
      <c r="T161">
        <v>9.1539414497710872E-3</v>
      </c>
      <c r="U161">
        <v>18.7</v>
      </c>
      <c r="W161" t="s">
        <v>225</v>
      </c>
      <c r="AI161">
        <v>382.92593225825669</v>
      </c>
      <c r="AJ161">
        <v>572.47354142364952</v>
      </c>
      <c r="AK161">
        <v>149.40985107421875</v>
      </c>
      <c r="AL161">
        <v>128.97455213024261</v>
      </c>
    </row>
    <row r="162" spans="1:38" ht="15" thickBot="1" x14ac:dyDescent="0.4">
      <c r="A162" t="s">
        <v>22</v>
      </c>
      <c r="E162">
        <v>-1.1671499291224029E-2</v>
      </c>
      <c r="F162">
        <f t="shared" si="12"/>
        <v>-1.9526526805068025E-2</v>
      </c>
      <c r="G162">
        <f t="shared" si="11"/>
        <v>-3.0855369560441968E-2</v>
      </c>
      <c r="J162" s="2" t="s">
        <v>174</v>
      </c>
      <c r="K162">
        <f>B3303</f>
        <v>4.3116232822835174E-3</v>
      </c>
      <c r="L162">
        <f>C3303</f>
        <v>5.6693755569416451E-4</v>
      </c>
      <c r="M162">
        <f t="shared" si="14"/>
        <v>1.5023140217560535E-2</v>
      </c>
      <c r="N162">
        <f>D3303</f>
        <v>-5.6737100908346482E-3</v>
      </c>
      <c r="O162">
        <f>AVERAGEIFS(E3303:E3320,E3303:E3320,"&lt;=" &amp; N162)</f>
        <v>-6.9084665910258154E-3</v>
      </c>
      <c r="P162">
        <v>244.2315767835783</v>
      </c>
      <c r="Q162">
        <f t="shared" si="13"/>
        <v>291.52307765723367</v>
      </c>
      <c r="R162">
        <v>19.22747</v>
      </c>
      <c r="S162">
        <f t="shared" si="15"/>
        <v>324.77326277549543</v>
      </c>
      <c r="T162">
        <v>1.5023140217560535E-2</v>
      </c>
      <c r="U162">
        <v>15.78</v>
      </c>
      <c r="AI162">
        <v>269.84014918480949</v>
      </c>
      <c r="AJ162">
        <v>403.13359371990612</v>
      </c>
      <c r="AK162">
        <v>137.8336181640625</v>
      </c>
      <c r="AL162">
        <v>156.72842110023004</v>
      </c>
    </row>
    <row r="163" spans="1:38" x14ac:dyDescent="0.35">
      <c r="A163" t="s">
        <v>22</v>
      </c>
      <c r="E163">
        <v>6.3565047519806919E-3</v>
      </c>
      <c r="F163">
        <f t="shared" si="12"/>
        <v>-1.9531124934489264E-2</v>
      </c>
      <c r="G163">
        <f t="shared" si="11"/>
        <v>-3.0855369560441968E-2</v>
      </c>
      <c r="J163" s="2" t="s">
        <v>175</v>
      </c>
      <c r="K163">
        <f>B3321</f>
        <v>9.301887418665911E-3</v>
      </c>
      <c r="L163">
        <f>C3321</f>
        <v>-1.6471611388636045E-3</v>
      </c>
      <c r="M163">
        <f t="shared" si="14"/>
        <v>4.3116232822835174E-3</v>
      </c>
      <c r="N163">
        <f>D3321</f>
        <v>-1.8226301646078701E-2</v>
      </c>
      <c r="O163">
        <f>AVERAGEIFS(E3321:E3340,E3321:E3340,"&lt;=" &amp; N163)</f>
        <v>-1.8275875505133796E-2</v>
      </c>
      <c r="P163">
        <v>265.50803347151941</v>
      </c>
      <c r="Q163">
        <f t="shared" si="13"/>
        <v>311.7808956376108</v>
      </c>
      <c r="R163">
        <v>21.256530000000001</v>
      </c>
      <c r="S163">
        <f t="shared" si="15"/>
        <v>244.2315767835783</v>
      </c>
      <c r="T163">
        <v>4.3116232822835174E-3</v>
      </c>
      <c r="U163">
        <v>17.940000000000001</v>
      </c>
      <c r="W163" s="8" t="s">
        <v>226</v>
      </c>
      <c r="X163" s="8"/>
      <c r="AI163">
        <v>295.31020944796518</v>
      </c>
      <c r="AJ163">
        <v>439.08304147043538</v>
      </c>
      <c r="AK163">
        <v>140.48420715332031</v>
      </c>
      <c r="AL163">
        <v>115.4877875823241</v>
      </c>
    </row>
    <row r="164" spans="1:38" x14ac:dyDescent="0.35">
      <c r="A164" t="s">
        <v>22</v>
      </c>
      <c r="E164">
        <v>-1.7553688594867788E-2</v>
      </c>
      <c r="F164">
        <f t="shared" si="12"/>
        <v>-1.9535723063910507E-2</v>
      </c>
      <c r="G164">
        <f t="shared" si="11"/>
        <v>-3.0855369560441968E-2</v>
      </c>
      <c r="J164" s="2" t="s">
        <v>176</v>
      </c>
      <c r="K164">
        <f>B3341</f>
        <v>6.4919125565940476E-3</v>
      </c>
      <c r="L164">
        <f>C3341</f>
        <v>1.9103243715260163E-3</v>
      </c>
      <c r="M164">
        <f t="shared" si="14"/>
        <v>9.301887418665911E-3</v>
      </c>
      <c r="N164">
        <f>D3341</f>
        <v>-7.6250496445511608E-3</v>
      </c>
      <c r="O164">
        <f>AVERAGEIFS(E3341:E3362,E3341:E3362,"&lt;=" &amp; N164)</f>
        <v>-7.6632122853290139E-3</v>
      </c>
      <c r="P164">
        <v>247.21465129276041</v>
      </c>
      <c r="Q164">
        <f t="shared" si="13"/>
        <v>287.72414516285716</v>
      </c>
      <c r="R164">
        <v>14.863659999999999</v>
      </c>
      <c r="S164">
        <f t="shared" si="15"/>
        <v>265.50803347151941</v>
      </c>
      <c r="T164">
        <v>9.301887418665911E-3</v>
      </c>
      <c r="U164">
        <v>13.59</v>
      </c>
      <c r="W164" t="s">
        <v>227</v>
      </c>
      <c r="X164">
        <v>6.4304368965627676E-2</v>
      </c>
      <c r="AI164">
        <v>214.01936472039787</v>
      </c>
      <c r="AJ164">
        <v>481.65745527055276</v>
      </c>
      <c r="AK164">
        <v>133.39378356933594</v>
      </c>
      <c r="AL164">
        <v>96.531035403385104</v>
      </c>
    </row>
    <row r="165" spans="1:38" x14ac:dyDescent="0.35">
      <c r="A165" t="s">
        <v>22</v>
      </c>
      <c r="E165">
        <v>-1.043466331975848E-2</v>
      </c>
      <c r="F165">
        <f t="shared" si="12"/>
        <v>-1.9540321193331746E-2</v>
      </c>
      <c r="G165">
        <f t="shared" si="11"/>
        <v>-3.0855369560441968E-2</v>
      </c>
      <c r="J165" s="2" t="s">
        <v>177</v>
      </c>
      <c r="K165">
        <f>B3363</f>
        <v>1.0456929463440881E-2</v>
      </c>
      <c r="L165">
        <f>C3363</f>
        <v>7.7541567689259937E-4</v>
      </c>
      <c r="M165">
        <f t="shared" si="14"/>
        <v>6.4919125565940476E-3</v>
      </c>
      <c r="N165">
        <f>D3363</f>
        <v>-2.7828257833757475E-2</v>
      </c>
      <c r="O165">
        <f>AVERAGEIFS(E3363:E3383,E3363:E3383,"&lt;=" &amp; N165)</f>
        <v>-2.977196258440885E-2</v>
      </c>
      <c r="P165">
        <v>263.57202642090579</v>
      </c>
      <c r="Q165">
        <f t="shared" si="13"/>
        <v>314.08727225682833</v>
      </c>
      <c r="R165">
        <v>17.860399999999998</v>
      </c>
      <c r="S165">
        <f t="shared" si="15"/>
        <v>247.21465129276041</v>
      </c>
      <c r="T165">
        <v>6.4919125565940476E-3</v>
      </c>
      <c r="U165">
        <v>13.63</v>
      </c>
      <c r="W165" t="s">
        <v>228</v>
      </c>
      <c r="X165">
        <v>4.1350518680675803E-3</v>
      </c>
      <c r="Z165" t="s">
        <v>387</v>
      </c>
      <c r="AI165">
        <v>236.53628761213605</v>
      </c>
      <c r="AJ165">
        <v>520.26204561187376</v>
      </c>
      <c r="AK165">
        <v>151.34080505371094</v>
      </c>
      <c r="AL165">
        <v>105.49304729035246</v>
      </c>
    </row>
    <row r="166" spans="1:38" x14ac:dyDescent="0.35">
      <c r="A166" t="s">
        <v>22</v>
      </c>
      <c r="E166">
        <v>7.5044294666773695E-3</v>
      </c>
      <c r="F166">
        <f t="shared" si="12"/>
        <v>-1.9544919322752985E-2</v>
      </c>
      <c r="G166">
        <f t="shared" si="11"/>
        <v>-3.0855369560441968E-2</v>
      </c>
      <c r="J166" s="2" t="s">
        <v>178</v>
      </c>
      <c r="K166">
        <f>B3384</f>
        <v>1.0072584572851612E-2</v>
      </c>
      <c r="L166">
        <f>C3384</f>
        <v>-1.892320326038811E-3</v>
      </c>
      <c r="M166">
        <f t="shared" si="14"/>
        <v>1.0456929463440881E-2</v>
      </c>
      <c r="N166">
        <f>D3384</f>
        <v>-1.6064970436097403E-2</v>
      </c>
      <c r="O166">
        <f>AVERAGEIFS(E3384:E3404,E3384:E3404,"&lt;=" &amp; N166)</f>
        <v>-1.6249139545924919E-2</v>
      </c>
      <c r="P166">
        <v>287.96255833338051</v>
      </c>
      <c r="Q166">
        <f t="shared" si="13"/>
        <v>322.57812108787726</v>
      </c>
      <c r="R166">
        <v>17.411549999999998</v>
      </c>
      <c r="S166">
        <f t="shared" si="15"/>
        <v>263.57202642090579</v>
      </c>
      <c r="T166">
        <v>1.0456929463440881E-2</v>
      </c>
      <c r="U166">
        <v>13.57</v>
      </c>
      <c r="W166" t="s">
        <v>228</v>
      </c>
      <c r="X166">
        <v>-1.3669644199541459E-3</v>
      </c>
      <c r="AI166">
        <v>152.65545620310249</v>
      </c>
      <c r="AJ166">
        <v>661.26091428933535</v>
      </c>
      <c r="AK166">
        <v>108.43668365478516</v>
      </c>
      <c r="AL166">
        <v>119.72513391711146</v>
      </c>
    </row>
    <row r="167" spans="1:38" x14ac:dyDescent="0.35">
      <c r="A167" t="s">
        <v>22</v>
      </c>
      <c r="E167">
        <v>8.9589772149025419E-3</v>
      </c>
      <c r="F167">
        <f t="shared" si="12"/>
        <v>-1.9549517452174228E-2</v>
      </c>
      <c r="G167">
        <f t="shared" si="11"/>
        <v>-3.0855369560441968E-2</v>
      </c>
      <c r="J167" s="2" t="s">
        <v>179</v>
      </c>
      <c r="K167">
        <f>B3405</f>
        <v>6.8934508488290597E-3</v>
      </c>
      <c r="L167">
        <f>C3405</f>
        <v>-1.3766564695052181E-3</v>
      </c>
      <c r="M167">
        <f t="shared" si="14"/>
        <v>1.0072584572851612E-2</v>
      </c>
      <c r="N167">
        <f>D3405</f>
        <v>-1.4593499485558173E-2</v>
      </c>
      <c r="O167">
        <f>AVERAGEIFS(E3405:E3425,E3405:E3425,"&lt;=" &amp; N167)</f>
        <v>-1.4935655447969749E-2</v>
      </c>
      <c r="P167">
        <v>319.51198978815512</v>
      </c>
      <c r="Q167">
        <f t="shared" si="13"/>
        <v>390.07456373168833</v>
      </c>
      <c r="R167">
        <v>18.48019</v>
      </c>
      <c r="S167">
        <f t="shared" si="15"/>
        <v>287.96255833338051</v>
      </c>
      <c r="T167">
        <v>1.0072584572851612E-2</v>
      </c>
      <c r="U167">
        <v>17.52</v>
      </c>
      <c r="W167" t="s">
        <v>229</v>
      </c>
      <c r="X167">
        <v>1.2935282733498929E-2</v>
      </c>
      <c r="AI167">
        <v>243.34775610542962</v>
      </c>
      <c r="AJ167">
        <v>737.68193168010589</v>
      </c>
      <c r="AK167">
        <v>120.35024261474609</v>
      </c>
      <c r="AL167">
        <v>108.98336439855198</v>
      </c>
    </row>
    <row r="168" spans="1:38" ht="15" thickBot="1" x14ac:dyDescent="0.4">
      <c r="A168" t="s">
        <v>22</v>
      </c>
      <c r="E168">
        <v>-2.8172786227776609E-3</v>
      </c>
      <c r="F168">
        <f t="shared" si="12"/>
        <v>-1.9554115581595463E-2</v>
      </c>
      <c r="G168">
        <f t="shared" si="11"/>
        <v>-3.0855369560441968E-2</v>
      </c>
      <c r="J168" s="2" t="s">
        <v>180</v>
      </c>
      <c r="K168">
        <f>B3426</f>
        <v>9.0104408824585695E-3</v>
      </c>
      <c r="L168">
        <f>C3426</f>
        <v>-1.2533691009647898E-3</v>
      </c>
      <c r="M168">
        <f t="shared" si="14"/>
        <v>6.8934508488290597E-3</v>
      </c>
      <c r="N168">
        <f>D3426</f>
        <v>-1.5988938408306955E-2</v>
      </c>
      <c r="O168">
        <f>AVERAGEIFS(E3426:E3447,E3426:E3447,"&lt;=" &amp; N168)</f>
        <v>-1.6180246792063199E-2</v>
      </c>
      <c r="P168">
        <v>314.21689548603541</v>
      </c>
      <c r="Q168">
        <f t="shared" si="13"/>
        <v>378.4682506564036</v>
      </c>
      <c r="R168">
        <v>20.840789999999998</v>
      </c>
      <c r="S168">
        <f t="shared" si="15"/>
        <v>319.51198978815512</v>
      </c>
      <c r="T168">
        <v>6.8934508488290597E-3</v>
      </c>
      <c r="U168">
        <v>18.14</v>
      </c>
      <c r="W168" s="6" t="s">
        <v>230</v>
      </c>
      <c r="X168" s="6">
        <v>183</v>
      </c>
      <c r="AI168">
        <v>261.82448721556221</v>
      </c>
      <c r="AJ168">
        <v>669.56516999074984</v>
      </c>
      <c r="AK168">
        <v>147.13681030273438</v>
      </c>
      <c r="AL168">
        <v>119.67225210110932</v>
      </c>
    </row>
    <row r="169" spans="1:38" x14ac:dyDescent="0.35">
      <c r="A169" t="s">
        <v>23</v>
      </c>
      <c r="B169" s="3" cm="1">
        <f t="array" ref="B169">_xlfn.STDEV.S(_xlfn._xlws.FILTER($E$2:$E$1000, $A$2:$A$1000="2010-09"))</f>
        <v>1.1438859635224525E-2</v>
      </c>
      <c r="C169" s="3" cm="1">
        <f t="array" ref="C169">AVERAGE(_xlfn._xlws.FILTER($E$2:$E$1000, $A$2:$A$1000="2010-09"))</f>
        <v>2.1153338652549251E-3</v>
      </c>
      <c r="D169" s="3" cm="1">
        <f t="array" ref="D169">_xlfn.PERCENTILE.EXC(_xlfn._xlws.FILTER($E$126:$E$252, $A$126:$A$252="2010-09"), 0.05)</f>
        <v>-1.4278477365360469E-2</v>
      </c>
      <c r="E169">
        <v>3.4591757394667966E-2</v>
      </c>
      <c r="F169">
        <f t="shared" si="12"/>
        <v>-1.9558713711016706E-2</v>
      </c>
      <c r="G169">
        <f t="shared" si="11"/>
        <v>-3.0855369560441968E-2</v>
      </c>
      <c r="J169" s="4" t="s">
        <v>181</v>
      </c>
      <c r="K169" s="3">
        <f>B3448</f>
        <v>6.4660980422578014E-3</v>
      </c>
      <c r="L169" s="3">
        <f>C3448</f>
        <v>3.461531579194899E-3</v>
      </c>
      <c r="M169">
        <f t="shared" si="14"/>
        <v>9.0104408824585695E-3</v>
      </c>
      <c r="N169" s="3">
        <f>D3448</f>
        <v>-7.0316773344663106E-3</v>
      </c>
      <c r="O169" s="3">
        <f>AVERAGEIFS(E3448:E3469,E3448:E3469,"&lt;=" &amp; N169)</f>
        <v>-7.5570936493259914E-3</v>
      </c>
      <c r="P169" s="3">
        <v>315.77124051096638</v>
      </c>
      <c r="Q169" s="3">
        <f t="shared" si="13"/>
        <v>375.82554820893978</v>
      </c>
      <c r="R169" s="3">
        <v>15.04454</v>
      </c>
      <c r="S169">
        <f t="shared" si="15"/>
        <v>314.21689548603541</v>
      </c>
      <c r="T169">
        <v>9.0104408824585695E-3</v>
      </c>
      <c r="U169" s="3">
        <v>12.92</v>
      </c>
      <c r="AI169" s="3">
        <v>282.45585540805524</v>
      </c>
      <c r="AJ169" s="3">
        <v>626.13703905999307</v>
      </c>
      <c r="AK169" s="3">
        <v>145.526611328125</v>
      </c>
      <c r="AL169" s="3">
        <v>155.81360604028364</v>
      </c>
    </row>
    <row r="170" spans="1:38" ht="15" thickBot="1" x14ac:dyDescent="0.4">
      <c r="A170" t="s">
        <v>23</v>
      </c>
      <c r="E170">
        <v>-2.9463434038997976E-5</v>
      </c>
      <c r="F170">
        <f t="shared" si="12"/>
        <v>-1.9563311840437948E-2</v>
      </c>
      <c r="G170">
        <f t="shared" si="11"/>
        <v>-3.0855369560441968E-2</v>
      </c>
      <c r="J170" s="2" t="s">
        <v>182</v>
      </c>
      <c r="K170">
        <f>B3470</f>
        <v>4.4404297654553485E-3</v>
      </c>
      <c r="L170">
        <f>C3470</f>
        <v>1.643054462939824E-3</v>
      </c>
      <c r="M170">
        <f t="shared" si="14"/>
        <v>6.4660980422578014E-3</v>
      </c>
      <c r="N170">
        <f>D3470</f>
        <v>-6.2421858658488674E-3</v>
      </c>
      <c r="O170">
        <f>AVERAGEIFS(E3470:E3488,E3470:E3488,"&lt;=" &amp; N170)</f>
        <v>-6.2421858658488674E-3</v>
      </c>
      <c r="P170">
        <v>281.71081860893759</v>
      </c>
      <c r="Q170">
        <f t="shared" si="13"/>
        <v>400.64641624539348</v>
      </c>
      <c r="R170">
        <v>15.01905</v>
      </c>
      <c r="S170">
        <f t="shared" si="15"/>
        <v>315.77124051096638</v>
      </c>
      <c r="T170">
        <v>6.4660980422578014E-3</v>
      </c>
      <c r="U170">
        <v>12.45</v>
      </c>
      <c r="W170" t="s">
        <v>231</v>
      </c>
      <c r="AI170">
        <v>321.28587054361736</v>
      </c>
      <c r="AJ170">
        <v>672.51786564761721</v>
      </c>
      <c r="AK170">
        <v>140.71475219726563</v>
      </c>
      <c r="AL170">
        <v>70.540534630926643</v>
      </c>
    </row>
    <row r="171" spans="1:38" x14ac:dyDescent="0.35">
      <c r="A171" t="s">
        <v>23</v>
      </c>
      <c r="E171">
        <v>1.136712951089839E-2</v>
      </c>
      <c r="F171">
        <f t="shared" si="12"/>
        <v>-1.9567909969859184E-2</v>
      </c>
      <c r="G171">
        <f t="shared" si="11"/>
        <v>-3.0855369560441968E-2</v>
      </c>
      <c r="J171" s="2" t="s">
        <v>183</v>
      </c>
      <c r="K171">
        <f>B3489</f>
        <v>7.9957289154276058E-3</v>
      </c>
      <c r="L171">
        <f>C3489</f>
        <v>1.2587521449442876E-3</v>
      </c>
      <c r="M171">
        <f t="shared" si="14"/>
        <v>4.4404297654553485E-3</v>
      </c>
      <c r="N171">
        <f>D3489</f>
        <v>-1.3743084203833864E-2</v>
      </c>
      <c r="O171">
        <f>AVERAGEIFS(E3489:E3510,E3489:E3510,"&lt;=" &amp; N171)</f>
        <v>-1.4436236220440523E-2</v>
      </c>
      <c r="P171">
        <v>323.41010587681882</v>
      </c>
      <c r="Q171">
        <f t="shared" si="13"/>
        <v>401.69963533072593</v>
      </c>
      <c r="R171">
        <v>16.078399999999998</v>
      </c>
      <c r="S171">
        <f t="shared" si="15"/>
        <v>281.71081860893759</v>
      </c>
      <c r="T171">
        <v>4.4404297654553485E-3</v>
      </c>
      <c r="U171">
        <v>14.35</v>
      </c>
      <c r="W171" s="7"/>
      <c r="X171" s="7" t="s">
        <v>236</v>
      </c>
      <c r="Y171" s="7" t="s">
        <v>237</v>
      </c>
      <c r="Z171" s="7" t="s">
        <v>238</v>
      </c>
      <c r="AA171" s="7" t="s">
        <v>239</v>
      </c>
      <c r="AB171" s="7" t="s">
        <v>240</v>
      </c>
      <c r="AI171">
        <v>274.02961157927189</v>
      </c>
      <c r="AJ171">
        <v>729.89690812845163</v>
      </c>
      <c r="AK171">
        <v>129.10496520996094</v>
      </c>
      <c r="AL171">
        <v>105.67805968575729</v>
      </c>
    </row>
    <row r="172" spans="1:38" x14ac:dyDescent="0.35">
      <c r="A172" t="s">
        <v>23</v>
      </c>
      <c r="E172">
        <v>2.6800844431439665E-3</v>
      </c>
      <c r="F172">
        <f t="shared" si="12"/>
        <v>-1.9572508099280427E-2</v>
      </c>
      <c r="G172">
        <f t="shared" si="11"/>
        <v>-3.0855369560441968E-2</v>
      </c>
      <c r="J172" s="2" t="s">
        <v>184</v>
      </c>
      <c r="K172">
        <f>B3511</f>
        <v>5.5723557473640979E-3</v>
      </c>
      <c r="L172">
        <f>C3511</f>
        <v>2.2935749449535447E-3</v>
      </c>
      <c r="M172">
        <f t="shared" si="14"/>
        <v>7.9957289154276058E-3</v>
      </c>
      <c r="N172">
        <f>D3511</f>
        <v>-1.114373546024738E-2</v>
      </c>
      <c r="O172">
        <f>AVERAGEIFS(E3511:E3531,E3511:E3531,"&lt;=" &amp; N172)</f>
        <v>-1.2096849057723333E-2</v>
      </c>
      <c r="P172">
        <v>276.9823379691897</v>
      </c>
      <c r="Q172">
        <f t="shared" si="13"/>
        <v>338.06739605626308</v>
      </c>
      <c r="R172">
        <v>14.885859999999999</v>
      </c>
      <c r="S172">
        <f t="shared" si="15"/>
        <v>323.41010587681882</v>
      </c>
      <c r="T172">
        <v>7.9957289154276058E-3</v>
      </c>
      <c r="U172">
        <v>13.4</v>
      </c>
      <c r="W172" t="s">
        <v>232</v>
      </c>
      <c r="X172">
        <v>1</v>
      </c>
      <c r="Y172">
        <v>1.2575085347380985E-4</v>
      </c>
      <c r="Z172">
        <v>1.2575085347380985E-4</v>
      </c>
      <c r="AA172">
        <v>0.75155209501467257</v>
      </c>
      <c r="AB172">
        <v>0.38713307409089481</v>
      </c>
      <c r="AI172">
        <v>243.01897814370966</v>
      </c>
      <c r="AJ172">
        <v>596.11533884731068</v>
      </c>
      <c r="AK172">
        <v>120.03656005859375</v>
      </c>
      <c r="AL172">
        <v>84.470167189569651</v>
      </c>
    </row>
    <row r="173" spans="1:38" x14ac:dyDescent="0.35">
      <c r="A173" t="s">
        <v>23</v>
      </c>
      <c r="E173">
        <v>-9.6483717989321767E-3</v>
      </c>
      <c r="F173">
        <f t="shared" si="12"/>
        <v>-1.9577106228701666E-2</v>
      </c>
      <c r="G173">
        <f t="shared" si="11"/>
        <v>-3.0855369560441968E-2</v>
      </c>
      <c r="J173" s="2" t="s">
        <v>185</v>
      </c>
      <c r="K173">
        <f>B3532</f>
        <v>5.0327459759840964E-3</v>
      </c>
      <c r="L173">
        <f>C3532</f>
        <v>2.0648057604848932E-3</v>
      </c>
      <c r="M173">
        <f t="shared" si="14"/>
        <v>5.5723557473640979E-3</v>
      </c>
      <c r="N173">
        <f>D3532</f>
        <v>-6.1049113650892932E-3</v>
      </c>
      <c r="O173">
        <f>AVERAGEIFS(E3532:E3551,E3532:E3551,"&lt;=" &amp; N173)</f>
        <v>-6.2053288984220169E-3</v>
      </c>
      <c r="P173">
        <v>231.31777719185541</v>
      </c>
      <c r="Q173">
        <f t="shared" si="13"/>
        <v>298.67627483759549</v>
      </c>
      <c r="R173">
        <v>14.443</v>
      </c>
      <c r="S173">
        <f t="shared" si="15"/>
        <v>276.9823379691897</v>
      </c>
      <c r="T173">
        <v>5.5723557473640979E-3</v>
      </c>
      <c r="U173">
        <v>13.01</v>
      </c>
      <c r="W173" t="s">
        <v>233</v>
      </c>
      <c r="X173">
        <v>181</v>
      </c>
      <c r="Y173">
        <v>3.0285198630595554E-2</v>
      </c>
      <c r="Z173">
        <v>1.6732153939555554E-4</v>
      </c>
      <c r="AI173">
        <v>187.76199681044591</v>
      </c>
      <c r="AJ173">
        <v>550.27470629230322</v>
      </c>
      <c r="AK173">
        <v>146.37762451171875</v>
      </c>
      <c r="AL173">
        <v>68.584206649630701</v>
      </c>
    </row>
    <row r="174" spans="1:38" ht="15" thickBot="1" x14ac:dyDescent="0.4">
      <c r="A174" t="s">
        <v>23</v>
      </c>
      <c r="E174">
        <v>9.3904942747981314E-3</v>
      </c>
      <c r="F174">
        <f t="shared" si="12"/>
        <v>-1.9581704358122905E-2</v>
      </c>
      <c r="G174">
        <f t="shared" si="11"/>
        <v>-3.0855369560441968E-2</v>
      </c>
      <c r="J174" s="2" t="s">
        <v>186</v>
      </c>
      <c r="K174">
        <f>B3552</f>
        <v>8.1823254718006756E-3</v>
      </c>
      <c r="L174">
        <f>C3552</f>
        <v>-1.5441807702507417E-3</v>
      </c>
      <c r="M174">
        <f t="shared" si="14"/>
        <v>5.0327459759840964E-3</v>
      </c>
      <c r="N174">
        <f>D3552</f>
        <v>-1.3478504864409262E-2</v>
      </c>
      <c r="O174">
        <f>AVERAGEIFS(E3552:E3572,E3552:E3572,"&lt;=" &amp; N174)</f>
        <v>-1.3632530366700958E-2</v>
      </c>
      <c r="P174">
        <v>268.17149670882719</v>
      </c>
      <c r="Q174">
        <f t="shared" si="13"/>
        <v>325.83625292913325</v>
      </c>
      <c r="R174">
        <v>16.62208</v>
      </c>
      <c r="S174">
        <f t="shared" si="15"/>
        <v>231.31777719185541</v>
      </c>
      <c r="T174">
        <v>5.0327459759840964E-3</v>
      </c>
      <c r="U174">
        <v>15.65</v>
      </c>
      <c r="W174" s="6" t="s">
        <v>234</v>
      </c>
      <c r="X174" s="6">
        <v>182</v>
      </c>
      <c r="Y174" s="6">
        <v>3.0410949484069364E-2</v>
      </c>
      <c r="Z174" s="6"/>
      <c r="AA174" s="6"/>
      <c r="AB174" s="6"/>
      <c r="AI174">
        <v>169.77211747515921</v>
      </c>
      <c r="AJ174">
        <v>640.37423793313735</v>
      </c>
      <c r="AK174">
        <v>141.76150512695313</v>
      </c>
      <c r="AL174">
        <v>112.375302460402</v>
      </c>
    </row>
    <row r="175" spans="1:38" ht="15" thickBot="1" x14ac:dyDescent="0.4">
      <c r="A175" t="s">
        <v>23</v>
      </c>
      <c r="E175">
        <v>1.0673377667406113E-2</v>
      </c>
      <c r="F175">
        <f t="shared" si="12"/>
        <v>-1.9586302487544147E-2</v>
      </c>
      <c r="G175">
        <f t="shared" si="11"/>
        <v>-3.0855369560441968E-2</v>
      </c>
      <c r="J175" s="2" t="s">
        <v>187</v>
      </c>
      <c r="K175">
        <f>B3573</f>
        <v>6.5128536088981063E-3</v>
      </c>
      <c r="L175">
        <f>C3573</f>
        <v>6.3050500850007516E-4</v>
      </c>
      <c r="M175">
        <f t="shared" si="14"/>
        <v>8.1823254718006756E-3</v>
      </c>
      <c r="N175">
        <f>D3573</f>
        <v>-1.3078898044091614E-2</v>
      </c>
      <c r="O175">
        <f>AVERAGEIFS(E3573:E3592,E3573:E3592,"&lt;=" &amp; N175)</f>
        <v>-1.3438870195785308E-2</v>
      </c>
      <c r="P175">
        <v>290.83528480079718</v>
      </c>
      <c r="Q175">
        <f t="shared" si="13"/>
        <v>386.93237461758054</v>
      </c>
      <c r="R175">
        <v>15.33592</v>
      </c>
      <c r="S175">
        <f t="shared" si="15"/>
        <v>268.17149670882719</v>
      </c>
      <c r="T175">
        <v>8.1823254718006756E-3</v>
      </c>
      <c r="U175">
        <v>12.92</v>
      </c>
      <c r="AI175">
        <v>304.44627414088876</v>
      </c>
      <c r="AJ175">
        <v>637.04128660588935</v>
      </c>
      <c r="AK175">
        <v>187.38909912109375</v>
      </c>
      <c r="AL175">
        <v>82.447442489332715</v>
      </c>
    </row>
    <row r="176" spans="1:38" x14ac:dyDescent="0.35">
      <c r="A176" t="s">
        <v>23</v>
      </c>
      <c r="E176">
        <v>-7.2984437421606352E-4</v>
      </c>
      <c r="F176">
        <f t="shared" si="12"/>
        <v>-1.9590900616965386E-2</v>
      </c>
      <c r="G176">
        <f t="shared" si="11"/>
        <v>-3.0855369560441968E-2</v>
      </c>
      <c r="J176" s="2" t="s">
        <v>188</v>
      </c>
      <c r="K176">
        <f>B3593</f>
        <v>1.0414590867625091E-2</v>
      </c>
      <c r="L176">
        <f>C3593</f>
        <v>-9.0762578831057612E-4</v>
      </c>
      <c r="M176">
        <f t="shared" si="14"/>
        <v>6.5128536088981063E-3</v>
      </c>
      <c r="N176">
        <f>D3593</f>
        <v>-1.9839859266422431E-2</v>
      </c>
      <c r="O176">
        <f>AVERAGEIFS(E3593:E3612,E3593:E3612,"&lt;=" &amp; N176)</f>
        <v>-1.9846327339092182E-2</v>
      </c>
      <c r="P176">
        <v>327.50626111508882</v>
      </c>
      <c r="Q176">
        <f t="shared" si="13"/>
        <v>442.91417069958072</v>
      </c>
      <c r="R176">
        <v>19.606960000000001</v>
      </c>
      <c r="S176">
        <f t="shared" si="15"/>
        <v>290.83528480079718</v>
      </c>
      <c r="T176">
        <v>6.5128536088981063E-3</v>
      </c>
      <c r="U176">
        <v>12.44</v>
      </c>
      <c r="W176" s="7"/>
      <c r="X176" s="7" t="s">
        <v>241</v>
      </c>
      <c r="Y176" s="7" t="s">
        <v>229</v>
      </c>
      <c r="Z176" s="7" t="s">
        <v>242</v>
      </c>
      <c r="AA176" s="7" t="s">
        <v>243</v>
      </c>
      <c r="AB176" s="7" t="s">
        <v>244</v>
      </c>
      <c r="AC176" s="7" t="s">
        <v>245</v>
      </c>
      <c r="AD176" s="7" t="s">
        <v>246</v>
      </c>
      <c r="AE176" s="7" t="s">
        <v>247</v>
      </c>
      <c r="AI176">
        <v>409.27206139861443</v>
      </c>
      <c r="AJ176">
        <v>667.66733530500039</v>
      </c>
      <c r="AK176">
        <v>151.78120422363281</v>
      </c>
      <c r="AL176">
        <v>106.16297380930011</v>
      </c>
    </row>
    <row r="177" spans="1:38" x14ac:dyDescent="0.35">
      <c r="A177" t="s">
        <v>23</v>
      </c>
      <c r="E177">
        <v>8.8301268760266061E-3</v>
      </c>
      <c r="F177">
        <f t="shared" si="12"/>
        <v>-1.9595498746386626E-2</v>
      </c>
      <c r="G177">
        <f t="shared" si="11"/>
        <v>-3.0855369560441968E-2</v>
      </c>
      <c r="J177" s="2" t="s">
        <v>189</v>
      </c>
      <c r="K177">
        <f>B3613</f>
        <v>9.2982053750191342E-3</v>
      </c>
      <c r="L177">
        <f>C3613</f>
        <v>-1.8767828725873325E-4</v>
      </c>
      <c r="M177">
        <f t="shared" si="14"/>
        <v>1.0414590867625091E-2</v>
      </c>
      <c r="N177">
        <f>D3613</f>
        <v>-1.3119724114365981E-2</v>
      </c>
      <c r="O177">
        <f>AVERAGEIFS(E3613:E3635,E3613:E3635,"&lt;=" &amp; N177)</f>
        <v>-1.341192642564823E-2</v>
      </c>
      <c r="P177">
        <v>361.85378688628492</v>
      </c>
      <c r="Q177">
        <f t="shared" si="13"/>
        <v>563.27001404214457</v>
      </c>
      <c r="R177">
        <v>17.017040000000001</v>
      </c>
      <c r="S177">
        <f t="shared" si="15"/>
        <v>327.50626111508882</v>
      </c>
      <c r="T177">
        <v>1.0414590867625091E-2</v>
      </c>
      <c r="U177">
        <v>16.36</v>
      </c>
      <c r="W177" t="s">
        <v>235</v>
      </c>
      <c r="X177">
        <v>-2.5219165007425139E-2</v>
      </c>
      <c r="Y177">
        <v>2.9201437278683481E-3</v>
      </c>
      <c r="Z177">
        <v>-8.6362752513673939</v>
      </c>
      <c r="AA177">
        <v>2.9667631693835256E-15</v>
      </c>
      <c r="AB177">
        <v>-3.098106716818547E-2</v>
      </c>
      <c r="AC177">
        <v>-1.9457262846664807E-2</v>
      </c>
      <c r="AD177">
        <v>-3.098106716818547E-2</v>
      </c>
      <c r="AE177">
        <v>-1.9457262846664807E-2</v>
      </c>
      <c r="AI177">
        <v>543.93255638476398</v>
      </c>
      <c r="AJ177">
        <v>849.16395566139204</v>
      </c>
      <c r="AK177">
        <v>128.46844482421875</v>
      </c>
      <c r="AL177">
        <v>98.660453193677739</v>
      </c>
    </row>
    <row r="178" spans="1:38" ht="15" thickBot="1" x14ac:dyDescent="0.4">
      <c r="A178" t="s">
        <v>23</v>
      </c>
      <c r="E178">
        <v>5.0253675189255195E-4</v>
      </c>
      <c r="F178">
        <f t="shared" si="12"/>
        <v>-1.9600096875807865E-2</v>
      </c>
      <c r="G178">
        <f t="shared" si="11"/>
        <v>-3.0855369560441968E-2</v>
      </c>
      <c r="J178" s="2" t="s">
        <v>190</v>
      </c>
      <c r="K178">
        <f>B3636</f>
        <v>1.1910941980579645E-2</v>
      </c>
      <c r="L178">
        <f>C3636</f>
        <v>8.6504743391773613E-4</v>
      </c>
      <c r="M178">
        <f t="shared" si="14"/>
        <v>9.2982053750191342E-3</v>
      </c>
      <c r="N178">
        <f>D3636</f>
        <v>-2.6776190439536714E-2</v>
      </c>
      <c r="O178">
        <f>AVERAGEIFS(E3636:E3655,E3636:E3655,"&lt;=" &amp; N178)</f>
        <v>-2.7014472906533613E-2</v>
      </c>
      <c r="P178">
        <v>263.42824659395421</v>
      </c>
      <c r="Q178">
        <f t="shared" si="13"/>
        <v>383.51078023671482</v>
      </c>
      <c r="R178">
        <v>16.872800000000002</v>
      </c>
      <c r="S178">
        <f t="shared" si="15"/>
        <v>361.85378688628492</v>
      </c>
      <c r="T178">
        <v>9.2982053750191342E-3</v>
      </c>
      <c r="U178">
        <v>15</v>
      </c>
      <c r="W178" s="6" t="s">
        <v>248</v>
      </c>
      <c r="X178" s="6">
        <v>1.0265091492420686E-5</v>
      </c>
      <c r="Y178" s="6">
        <v>1.1840860910938721E-5</v>
      </c>
      <c r="Z178" s="6">
        <v>0.86692104312598406</v>
      </c>
      <c r="AA178" s="6">
        <v>0.38713307409090369</v>
      </c>
      <c r="AB178" s="6">
        <v>-1.3098786599225174E-5</v>
      </c>
      <c r="AC178" s="6">
        <v>3.3628969584066542E-5</v>
      </c>
      <c r="AD178" s="6">
        <v>-1.3098786599225174E-5</v>
      </c>
      <c r="AE178" s="6">
        <v>3.3628969584066542E-5</v>
      </c>
      <c r="AI178">
        <v>370.78547045325695</v>
      </c>
      <c r="AJ178">
        <v>554.44020430889054</v>
      </c>
      <c r="AK178">
        <v>159.06077575683594</v>
      </c>
      <c r="AL178">
        <v>70.598770598333658</v>
      </c>
    </row>
    <row r="179" spans="1:38" x14ac:dyDescent="0.35">
      <c r="A179" t="s">
        <v>23</v>
      </c>
      <c r="E179">
        <v>-4.3243658070505238E-3</v>
      </c>
      <c r="F179">
        <f t="shared" si="12"/>
        <v>-1.9604695005229104E-2</v>
      </c>
      <c r="G179">
        <f t="shared" si="11"/>
        <v>-3.0855369560441968E-2</v>
      </c>
      <c r="J179" s="2" t="s">
        <v>191</v>
      </c>
      <c r="K179">
        <f>B3656</f>
        <v>1.1460862381061135E-2</v>
      </c>
      <c r="L179">
        <f>C3656</f>
        <v>4.0616707924341015E-4</v>
      </c>
      <c r="M179">
        <f t="shared" si="14"/>
        <v>1.1910941980579645E-2</v>
      </c>
      <c r="N179">
        <f>D3656</f>
        <v>-1.5989405255561775E-2</v>
      </c>
      <c r="O179">
        <f>AVERAGEIFS(E3656:E3676,E3656:E3676,"&lt;=" &amp; N179)</f>
        <v>-1.6139428185291706E-2</v>
      </c>
      <c r="P179">
        <v>345.05095744927468</v>
      </c>
      <c r="Q179">
        <f t="shared" si="13"/>
        <v>466.28476637283006</v>
      </c>
      <c r="R179">
        <v>20.138529999999999</v>
      </c>
      <c r="S179">
        <f t="shared" si="15"/>
        <v>263.42824659395421</v>
      </c>
      <c r="T179">
        <v>1.1910941980579645E-2</v>
      </c>
      <c r="U179">
        <v>16.73</v>
      </c>
      <c r="AI179">
        <v>436.40558079951768</v>
      </c>
      <c r="AJ179">
        <v>699.76641841681078</v>
      </c>
      <c r="AK179">
        <v>148.10163879394531</v>
      </c>
      <c r="AL179">
        <v>110.57981659915444</v>
      </c>
    </row>
    <row r="180" spans="1:38" x14ac:dyDescent="0.35">
      <c r="A180" t="s">
        <v>23</v>
      </c>
      <c r="E180">
        <v>-3.4952723984008004E-3</v>
      </c>
      <c r="F180">
        <f t="shared" si="12"/>
        <v>-1.9609293134650346E-2</v>
      </c>
      <c r="G180">
        <f t="shared" si="11"/>
        <v>-3.0855369560441968E-2</v>
      </c>
      <c r="J180" s="2" t="s">
        <v>192</v>
      </c>
      <c r="K180">
        <f>B3677</f>
        <v>7.7860579037157904E-3</v>
      </c>
      <c r="L180">
        <f>C3677</f>
        <v>-1.5292280162646293E-3</v>
      </c>
      <c r="M180">
        <f t="shared" si="14"/>
        <v>1.1460862381061135E-2</v>
      </c>
      <c r="N180">
        <f>D3677</f>
        <v>-1.7717527696283309E-2</v>
      </c>
      <c r="O180">
        <f>AVERAGEIFS(E3677:E3699,E3677:E3699,"&lt;=" &amp; N180)</f>
        <v>-1.8879706608247178E-2</v>
      </c>
      <c r="P180">
        <v>392.07715221506533</v>
      </c>
      <c r="Q180">
        <f t="shared" si="13"/>
        <v>475.01438591816446</v>
      </c>
      <c r="R180">
        <v>23.603339999999999</v>
      </c>
      <c r="S180">
        <f t="shared" si="15"/>
        <v>345.05095744927468</v>
      </c>
      <c r="T180">
        <v>1.1460862381061135E-2</v>
      </c>
      <c r="U180">
        <v>23.16</v>
      </c>
      <c r="AI180">
        <v>322.28924141525732</v>
      </c>
      <c r="AJ180">
        <v>871.01990162245806</v>
      </c>
      <c r="AK180">
        <v>156.1649169921875</v>
      </c>
      <c r="AL180">
        <v>100.49800105414319</v>
      </c>
    </row>
    <row r="181" spans="1:38" x14ac:dyDescent="0.35">
      <c r="A181" t="s">
        <v>23</v>
      </c>
      <c r="E181">
        <v>-9.8305007847735645E-3</v>
      </c>
      <c r="F181">
        <f t="shared" si="12"/>
        <v>-1.9612168312752046E-2</v>
      </c>
      <c r="G181">
        <f t="shared" si="11"/>
        <v>-3.0917502579368993E-2</v>
      </c>
      <c r="J181" s="2" t="s">
        <v>193</v>
      </c>
      <c r="K181">
        <f>B3700</f>
        <v>1.0102320285916958E-2</v>
      </c>
      <c r="L181">
        <f>C3700</f>
        <v>-2.2969044343136859E-4</v>
      </c>
      <c r="M181">
        <f t="shared" si="14"/>
        <v>7.7860579037157904E-3</v>
      </c>
      <c r="N181">
        <f>D3700</f>
        <v>-2.1946324510577275E-2</v>
      </c>
      <c r="O181">
        <f>AVERAGEIFS(E3700:E3720,E3700:E3720,"&lt;=" &amp; N181)</f>
        <v>-2.2783189755704217E-2</v>
      </c>
      <c r="P181">
        <v>479.98872647593782</v>
      </c>
      <c r="Q181">
        <f t="shared" si="13"/>
        <v>632.15409792485445</v>
      </c>
      <c r="R181">
        <v>17.92407</v>
      </c>
      <c r="S181">
        <f t="shared" si="15"/>
        <v>392.07715221506533</v>
      </c>
      <c r="T181">
        <v>7.7860579037157904E-3</v>
      </c>
      <c r="U181">
        <v>13.51</v>
      </c>
      <c r="AI181">
        <v>486.84426373762193</v>
      </c>
      <c r="AJ181">
        <v>1095.9327660139479</v>
      </c>
      <c r="AK181">
        <v>180.67481994628906</v>
      </c>
      <c r="AL181">
        <v>124.80652873457198</v>
      </c>
    </row>
    <row r="182" spans="1:38" x14ac:dyDescent="0.35">
      <c r="A182" t="s">
        <v>23</v>
      </c>
      <c r="E182">
        <v>1.6295207367427324E-2</v>
      </c>
      <c r="F182">
        <f t="shared" si="12"/>
        <v>-1.9615043490853749E-2</v>
      </c>
      <c r="G182">
        <f t="shared" si="11"/>
        <v>-3.0917502579368993E-2</v>
      </c>
      <c r="J182" s="2" t="s">
        <v>194</v>
      </c>
      <c r="K182">
        <f>B3721</f>
        <v>6.5251728842300625E-3</v>
      </c>
      <c r="L182">
        <f>C3721</f>
        <v>7.4521764021125223E-4</v>
      </c>
      <c r="M182">
        <f t="shared" si="14"/>
        <v>1.0102320285916958E-2</v>
      </c>
      <c r="N182">
        <f>D3721</f>
        <v>-8.1561874766987591E-3</v>
      </c>
      <c r="O182">
        <f>AVERAGEIFS(E3721:E3738,E3721:E3738,"&lt;=" &amp; N182)</f>
        <v>-1.5916922387163256E-2</v>
      </c>
      <c r="P182">
        <v>484.41530853193439</v>
      </c>
      <c r="Q182">
        <f t="shared" si="13"/>
        <v>630.21226575826381</v>
      </c>
      <c r="R182">
        <v>17.672920000000001</v>
      </c>
      <c r="S182">
        <f t="shared" si="15"/>
        <v>479.98872647593782</v>
      </c>
      <c r="T182">
        <v>1.0102320285916958E-2</v>
      </c>
      <c r="U182">
        <v>17.350000000000001</v>
      </c>
      <c r="W182" t="s">
        <v>225</v>
      </c>
      <c r="AI182">
        <v>567.70885241349777</v>
      </c>
      <c r="AJ182">
        <v>984.36602262571728</v>
      </c>
      <c r="AK182">
        <v>180.97763061523438</v>
      </c>
      <c r="AL182">
        <v>133.7399421612094</v>
      </c>
    </row>
    <row r="183" spans="1:38" ht="15" thickBot="1" x14ac:dyDescent="0.4">
      <c r="A183" t="s">
        <v>23</v>
      </c>
      <c r="E183">
        <v>-2.9014423933409876E-3</v>
      </c>
      <c r="F183">
        <f t="shared" si="12"/>
        <v>-1.9617918668955448E-2</v>
      </c>
      <c r="G183">
        <f t="shared" si="11"/>
        <v>-3.0917502579368993E-2</v>
      </c>
      <c r="J183" s="2" t="s">
        <v>195</v>
      </c>
      <c r="K183">
        <f>B3739</f>
        <v>7.6791426918838774E-3</v>
      </c>
      <c r="L183">
        <f>C3739</f>
        <v>3.7400139143376116E-3</v>
      </c>
      <c r="M183">
        <f t="shared" si="14"/>
        <v>6.5251728842300625E-3</v>
      </c>
      <c r="N183">
        <f>D3739</f>
        <v>-9.2831189198946742E-3</v>
      </c>
      <c r="O183">
        <f>AVERAGEIFS(E3739:E3760,E3739:E3760,"&lt;=" &amp; N183)</f>
        <v>-9.4859092821818411E-3</v>
      </c>
      <c r="P183">
        <v>479.9040246452613</v>
      </c>
      <c r="Q183">
        <f t="shared" si="13"/>
        <v>634.58096025773875</v>
      </c>
      <c r="R183">
        <v>16.003240000000002</v>
      </c>
      <c r="S183">
        <f t="shared" si="15"/>
        <v>484.41530853193439</v>
      </c>
      <c r="T183">
        <v>6.5251728842300625E-3</v>
      </c>
      <c r="U183">
        <v>16.43</v>
      </c>
      <c r="AI183">
        <v>563.13894380467332</v>
      </c>
      <c r="AJ183">
        <v>1009.0558767499436</v>
      </c>
      <c r="AK183">
        <v>191.90888977050781</v>
      </c>
      <c r="AL183">
        <v>98.461246106871087</v>
      </c>
    </row>
    <row r="184" spans="1:38" x14ac:dyDescent="0.35">
      <c r="A184" t="s">
        <v>23</v>
      </c>
      <c r="E184">
        <v>-1.5063414408993453E-2</v>
      </c>
      <c r="F184">
        <f t="shared" si="12"/>
        <v>-1.9620793847057151E-2</v>
      </c>
      <c r="G184">
        <f t="shared" si="11"/>
        <v>-3.0917502579368993E-2</v>
      </c>
      <c r="J184" s="2" t="s">
        <v>196</v>
      </c>
      <c r="K184">
        <f>B3761</f>
        <v>8.6532952335285768E-3</v>
      </c>
      <c r="L184">
        <f>C3761</f>
        <v>1.6435271489305201E-3</v>
      </c>
      <c r="M184">
        <f t="shared" si="14"/>
        <v>7.6791426918838774E-3</v>
      </c>
      <c r="N184">
        <f>D3761</f>
        <v>-1.321444292767124E-2</v>
      </c>
      <c r="O184">
        <f>AVERAGEIFS(E3761:E3780,E3761:E3780,"&lt;=" &amp; N184)</f>
        <v>-1.3218916252318455E-2</v>
      </c>
      <c r="P184">
        <v>396.80714648574678</v>
      </c>
      <c r="Q184">
        <f t="shared" si="13"/>
        <v>490.49605173026436</v>
      </c>
      <c r="R184">
        <v>19.36608</v>
      </c>
      <c r="S184">
        <f t="shared" si="15"/>
        <v>479.9040246452613</v>
      </c>
      <c r="T184">
        <v>7.6791426918838774E-3</v>
      </c>
      <c r="U184">
        <v>19.63</v>
      </c>
      <c r="W184" s="8" t="s">
        <v>226</v>
      </c>
      <c r="X184" s="8"/>
      <c r="AI184">
        <v>382.71304270809446</v>
      </c>
      <c r="AJ184">
        <v>838.86550062124775</v>
      </c>
      <c r="AK184">
        <v>147.65110778808594</v>
      </c>
      <c r="AL184">
        <v>107.04153164899981</v>
      </c>
    </row>
    <row r="185" spans="1:38" x14ac:dyDescent="0.35">
      <c r="A185" t="s">
        <v>23</v>
      </c>
      <c r="E185">
        <v>-5.1571850368846359E-3</v>
      </c>
      <c r="F185">
        <f t="shared" si="12"/>
        <v>-1.9623669025158851E-2</v>
      </c>
      <c r="G185">
        <f t="shared" si="11"/>
        <v>-3.0917502579368993E-2</v>
      </c>
      <c r="J185" s="2" t="s">
        <v>197</v>
      </c>
      <c r="K185">
        <f>B3781</f>
        <v>1.2270451177299987E-2</v>
      </c>
      <c r="L185">
        <f>C3781</f>
        <v>-1.9131223052862023E-3</v>
      </c>
      <c r="M185">
        <f t="shared" si="14"/>
        <v>8.6532952335285768E-3</v>
      </c>
      <c r="N185">
        <f>D3781</f>
        <v>-2.6834818872889316E-2</v>
      </c>
      <c r="O185">
        <f>AVERAGEIFS(E3781:E3801,E3781:E3801,"&lt;=" &amp; N185)</f>
        <v>-2.8072853753473015E-2</v>
      </c>
      <c r="P185">
        <v>576.93663061457903</v>
      </c>
      <c r="Q185">
        <f t="shared" si="13"/>
        <v>656.67386509040546</v>
      </c>
      <c r="R185">
        <v>23.943390000000001</v>
      </c>
      <c r="S185">
        <f t="shared" si="15"/>
        <v>396.80714648574678</v>
      </c>
      <c r="T185">
        <v>8.6532952335285768E-3</v>
      </c>
      <c r="U185">
        <v>22.28</v>
      </c>
      <c r="W185" t="s">
        <v>227</v>
      </c>
      <c r="X185">
        <v>0.61509063695165567</v>
      </c>
      <c r="Z185" t="s">
        <v>388</v>
      </c>
      <c r="AI185">
        <v>536.66051366771819</v>
      </c>
      <c r="AJ185">
        <v>1083.1195078268715</v>
      </c>
      <c r="AK185">
        <v>174.87113952636719</v>
      </c>
      <c r="AL185">
        <v>201.14896143292088</v>
      </c>
    </row>
    <row r="186" spans="1:38" x14ac:dyDescent="0.35">
      <c r="A186" t="s">
        <v>23</v>
      </c>
      <c r="E186">
        <v>1.9576281058724419E-2</v>
      </c>
      <c r="F186">
        <f t="shared" si="12"/>
        <v>-1.9626544203260553E-2</v>
      </c>
      <c r="G186">
        <f t="shared" si="11"/>
        <v>-3.0917502579368993E-2</v>
      </c>
      <c r="J186" s="2" t="s">
        <v>198</v>
      </c>
      <c r="K186">
        <f>B3802</f>
        <v>2.6239357191571226E-2</v>
      </c>
      <c r="L186">
        <f>C3802</f>
        <v>-1.0661745916952286E-3</v>
      </c>
      <c r="M186">
        <f t="shared" si="14"/>
        <v>1.2270451177299987E-2</v>
      </c>
      <c r="N186">
        <f>D3802</f>
        <v>-4.6651712462592185E-2</v>
      </c>
      <c r="O186">
        <f>AVERAGEIFS(E3802:E3818,E3802:E3818,"&lt;=" &amp; N186)</f>
        <v>-4.7042228558907752E-2</v>
      </c>
      <c r="P186">
        <v>776.64013667105291</v>
      </c>
      <c r="Q186">
        <f>AI186*0.44699+AJ186*0.3494+AK186*0.10843+AL186*0.09639</f>
        <v>784.41002398726346</v>
      </c>
      <c r="S186">
        <f t="shared" si="15"/>
        <v>576.93663061457903</v>
      </c>
      <c r="T186">
        <v>1.2270451177299987E-2</v>
      </c>
      <c r="U186">
        <v>22.28</v>
      </c>
      <c r="W186" t="s">
        <v>228</v>
      </c>
      <c r="X186">
        <v>0.37833649166559352</v>
      </c>
      <c r="AI186">
        <v>619.74813667375247</v>
      </c>
      <c r="AJ186">
        <v>1318.3414114610935</v>
      </c>
      <c r="AK186">
        <v>212.14144897460938</v>
      </c>
      <c r="AL186">
        <v>246.47596118518496</v>
      </c>
    </row>
    <row r="187" spans="1:38" x14ac:dyDescent="0.35">
      <c r="A187" t="s">
        <v>23</v>
      </c>
      <c r="E187">
        <v>-5.8968618087723466E-3</v>
      </c>
      <c r="F187">
        <f t="shared" si="12"/>
        <v>-1.9629419381362253E-2</v>
      </c>
      <c r="G187">
        <f t="shared" si="11"/>
        <v>-3.0917502579368993E-2</v>
      </c>
      <c r="W187" t="s">
        <v>228</v>
      </c>
      <c r="X187">
        <v>0.36791755018512862</v>
      </c>
    </row>
    <row r="188" spans="1:38" x14ac:dyDescent="0.35">
      <c r="A188" t="s">
        <v>23</v>
      </c>
      <c r="E188">
        <v>-6.1611077530587203E-4</v>
      </c>
      <c r="F188">
        <f t="shared" si="12"/>
        <v>-1.9632294559463956E-2</v>
      </c>
      <c r="G188">
        <f t="shared" si="11"/>
        <v>-3.0917502579368993E-2</v>
      </c>
      <c r="W188" t="s">
        <v>229</v>
      </c>
      <c r="X188">
        <v>1.0276995394891988E-2</v>
      </c>
    </row>
    <row r="189" spans="1:38" ht="15" thickBot="1" x14ac:dyDescent="0.4">
      <c r="A189" t="s">
        <v>23</v>
      </c>
      <c r="E189">
        <v>-7.9279199023757248E-3</v>
      </c>
      <c r="F189">
        <f t="shared" si="12"/>
        <v>-1.9635169737565655E-2</v>
      </c>
      <c r="G189">
        <f t="shared" si="11"/>
        <v>-3.0917502579368993E-2</v>
      </c>
      <c r="W189" s="6" t="s">
        <v>230</v>
      </c>
      <c r="X189" s="6">
        <v>183</v>
      </c>
    </row>
    <row r="190" spans="1:38" x14ac:dyDescent="0.35">
      <c r="A190" t="s">
        <v>23</v>
      </c>
      <c r="E190">
        <v>-1.7488973862919597E-3</v>
      </c>
      <c r="F190">
        <f t="shared" si="12"/>
        <v>-1.9638044915667358E-2</v>
      </c>
      <c r="G190">
        <f t="shared" si="11"/>
        <v>-3.0917502579368993E-2</v>
      </c>
    </row>
    <row r="191" spans="1:38" ht="15" thickBot="1" x14ac:dyDescent="0.4">
      <c r="A191" t="s">
        <v>24</v>
      </c>
      <c r="B191" s="3" cm="1">
        <f t="array" ref="B191">_xlfn.STDEV.S(_xlfn._xlws.FILTER($E$2:$E$1000, $A$2:$A$1000="2010-10"))</f>
        <v>8.7147752077431605E-3</v>
      </c>
      <c r="C191" s="3" cm="1">
        <f t="array" ref="C191">AVERAGE(_xlfn._xlws.FILTER($E$2:$E$1000, $A$2:$A$1000="2010-10"))</f>
        <v>1.6534556684549234E-3</v>
      </c>
      <c r="D191" s="3" cm="1">
        <f t="array" ref="D191">_xlfn.PERCENTILE.EXC(_xlfn._xlws.FILTER($E$126:$E$252, $A$126:$A$252="2010-10"), 0.05)</f>
        <v>-1.1509630334435653E-2</v>
      </c>
      <c r="E191">
        <v>-5.4700080376011533E-3</v>
      </c>
      <c r="F191">
        <f t="shared" si="12"/>
        <v>-1.9640920093769058E-2</v>
      </c>
      <c r="G191">
        <f t="shared" si="11"/>
        <v>-3.0917502579368993E-2</v>
      </c>
      <c r="W191" t="s">
        <v>231</v>
      </c>
      <c r="AI191" s="3"/>
      <c r="AJ191" s="3"/>
      <c r="AK191" s="3"/>
      <c r="AL191" s="3"/>
    </row>
    <row r="192" spans="1:38" x14ac:dyDescent="0.35">
      <c r="A192" t="s">
        <v>24</v>
      </c>
      <c r="E192">
        <v>-1.1737496110470706E-2</v>
      </c>
      <c r="F192">
        <f t="shared" si="12"/>
        <v>-1.9643795271870761E-2</v>
      </c>
      <c r="G192">
        <f t="shared" si="11"/>
        <v>-3.0917502579368993E-2</v>
      </c>
      <c r="W192" s="7"/>
      <c r="X192" s="7" t="s">
        <v>236</v>
      </c>
      <c r="Y192" s="7" t="s">
        <v>237</v>
      </c>
      <c r="Z192" s="7" t="s">
        <v>238</v>
      </c>
      <c r="AA192" s="7" t="s">
        <v>239</v>
      </c>
      <c r="AB192" s="7" t="s">
        <v>240</v>
      </c>
    </row>
    <row r="193" spans="1:31" x14ac:dyDescent="0.35">
      <c r="A193" t="s">
        <v>24</v>
      </c>
      <c r="E193">
        <v>2.1079324997401047E-2</v>
      </c>
      <c r="F193">
        <f t="shared" si="12"/>
        <v>-1.964667044997246E-2</v>
      </c>
      <c r="G193">
        <f t="shared" si="11"/>
        <v>-3.0917502579368993E-2</v>
      </c>
      <c r="W193" t="s">
        <v>232</v>
      </c>
      <c r="X193">
        <v>3</v>
      </c>
      <c r="Y193">
        <v>1.1505571936022394E-2</v>
      </c>
      <c r="Z193">
        <v>3.8351906453407982E-3</v>
      </c>
      <c r="AA193">
        <v>36.312373226681316</v>
      </c>
      <c r="AB193">
        <v>2.2192963756279447E-18</v>
      </c>
    </row>
    <row r="194" spans="1:31" x14ac:dyDescent="0.35">
      <c r="A194" t="s">
        <v>24</v>
      </c>
      <c r="E194">
        <v>7.7421232571417706E-3</v>
      </c>
      <c r="F194">
        <f t="shared" si="12"/>
        <v>-1.9649545628074163E-2</v>
      </c>
      <c r="G194">
        <f t="shared" si="11"/>
        <v>-3.0917502579368993E-2</v>
      </c>
      <c r="W194" t="s">
        <v>233</v>
      </c>
      <c r="X194">
        <v>179</v>
      </c>
      <c r="Y194">
        <v>1.890537754804697E-2</v>
      </c>
      <c r="Z194">
        <v>1.0561663434663112E-4</v>
      </c>
    </row>
    <row r="195" spans="1:31" ht="15" thickBot="1" x14ac:dyDescent="0.4">
      <c r="A195" t="s">
        <v>24</v>
      </c>
      <c r="E195">
        <v>2.4717628196920124E-3</v>
      </c>
      <c r="F195">
        <f t="shared" si="12"/>
        <v>-1.9652420806175866E-2</v>
      </c>
      <c r="G195">
        <f t="shared" ref="G195:G258" si="16">AVERAGEIFS(E195:E4011,E195:E4011,"&lt;=" &amp; F195)</f>
        <v>-3.0917502579368993E-2</v>
      </c>
      <c r="W195" s="6" t="s">
        <v>234</v>
      </c>
      <c r="X195" s="6">
        <v>182</v>
      </c>
      <c r="Y195" s="6">
        <v>3.0410949484069364E-2</v>
      </c>
      <c r="Z195" s="6"/>
      <c r="AA195" s="6"/>
      <c r="AB195" s="6"/>
    </row>
    <row r="196" spans="1:31" ht="15" thickBot="1" x14ac:dyDescent="0.4">
      <c r="A196" t="s">
        <v>24</v>
      </c>
      <c r="E196">
        <v>-5.2043049748760905E-4</v>
      </c>
      <c r="F196">
        <f t="shared" ref="F196:F259" si="17">_xlfn.PERCENTILE.EXC(E196:E4011,0.05)</f>
        <v>-1.9655295984277565E-2</v>
      </c>
      <c r="G196">
        <f t="shared" si="16"/>
        <v>-3.0917502579368993E-2</v>
      </c>
    </row>
    <row r="197" spans="1:31" x14ac:dyDescent="0.35">
      <c r="A197" t="s">
        <v>24</v>
      </c>
      <c r="E197">
        <v>1.5389723493415008E-3</v>
      </c>
      <c r="F197">
        <f t="shared" si="17"/>
        <v>-1.9658171162379265E-2</v>
      </c>
      <c r="G197">
        <f t="shared" si="16"/>
        <v>-3.0917502579368993E-2</v>
      </c>
      <c r="W197" s="7"/>
      <c r="X197" s="7" t="s">
        <v>241</v>
      </c>
      <c r="Y197" s="7" t="s">
        <v>229</v>
      </c>
      <c r="Z197" s="7" t="s">
        <v>242</v>
      </c>
      <c r="AA197" s="7" t="s">
        <v>243</v>
      </c>
      <c r="AB197" s="7" t="s">
        <v>244</v>
      </c>
      <c r="AC197" s="7" t="s">
        <v>245</v>
      </c>
      <c r="AD197" s="7" t="s">
        <v>246</v>
      </c>
      <c r="AE197" s="7" t="s">
        <v>247</v>
      </c>
    </row>
    <row r="198" spans="1:31" x14ac:dyDescent="0.35">
      <c r="A198" t="s">
        <v>24</v>
      </c>
      <c r="E198">
        <v>-5.020251421853617E-3</v>
      </c>
      <c r="F198">
        <f t="shared" si="17"/>
        <v>-1.9661046340480968E-2</v>
      </c>
      <c r="G198">
        <f t="shared" si="16"/>
        <v>-3.0917502579368993E-2</v>
      </c>
      <c r="W198" t="s">
        <v>235</v>
      </c>
      <c r="X198">
        <v>-5.0143004091719387E-3</v>
      </c>
      <c r="Y198">
        <v>3.0706585449848654E-3</v>
      </c>
      <c r="Z198">
        <v>-1.6329723203387478</v>
      </c>
      <c r="AA198">
        <v>0.10423260075253576</v>
      </c>
      <c r="AB198">
        <v>-1.1073647601462316E-2</v>
      </c>
      <c r="AC198">
        <v>1.0450467831184399E-3</v>
      </c>
      <c r="AD198">
        <v>-1.1073647601462316E-2</v>
      </c>
      <c r="AE198">
        <v>1.0450467831184399E-3</v>
      </c>
    </row>
    <row r="199" spans="1:31" x14ac:dyDescent="0.35">
      <c r="A199" t="s">
        <v>24</v>
      </c>
      <c r="E199">
        <v>2.3076714442648878E-2</v>
      </c>
      <c r="F199">
        <f t="shared" si="17"/>
        <v>-1.9663921518582667E-2</v>
      </c>
      <c r="G199">
        <f t="shared" si="16"/>
        <v>-3.0917502579368993E-2</v>
      </c>
      <c r="W199" t="s">
        <v>248</v>
      </c>
      <c r="X199">
        <v>2.2411644366776895E-5</v>
      </c>
      <c r="Y199">
        <v>9.4805668793083201E-6</v>
      </c>
      <c r="Z199">
        <v>2.3639561486234668</v>
      </c>
      <c r="AA199">
        <v>1.9152682740539047E-2</v>
      </c>
      <c r="AB199">
        <v>3.7035902279403123E-6</v>
      </c>
      <c r="AC199">
        <v>4.1119698505613482E-5</v>
      </c>
      <c r="AD199">
        <v>3.7035902279403123E-6</v>
      </c>
      <c r="AE199">
        <v>4.1119698505613482E-5</v>
      </c>
    </row>
    <row r="200" spans="1:31" x14ac:dyDescent="0.35">
      <c r="A200" t="s">
        <v>24</v>
      </c>
      <c r="E200">
        <v>-1.5643004532253945E-3</v>
      </c>
      <c r="F200">
        <f t="shared" si="17"/>
        <v>-1.966679669668437E-2</v>
      </c>
      <c r="G200">
        <f t="shared" si="16"/>
        <v>-3.0917502579368993E-2</v>
      </c>
      <c r="W200" t="s">
        <v>251</v>
      </c>
      <c r="X200">
        <v>-0.23812847861588121</v>
      </c>
      <c r="Y200">
        <v>0.17161227347338145</v>
      </c>
      <c r="Z200">
        <v>-1.3875958507875428</v>
      </c>
      <c r="AA200">
        <v>0.1669851246460248</v>
      </c>
      <c r="AB200">
        <v>-0.57677191037479325</v>
      </c>
      <c r="AC200">
        <v>0.10051495314303088</v>
      </c>
      <c r="AD200">
        <v>-0.57677191037479325</v>
      </c>
      <c r="AE200">
        <v>0.10051495314303088</v>
      </c>
    </row>
    <row r="201" spans="1:31" ht="15" thickBot="1" x14ac:dyDescent="0.4">
      <c r="A201" t="s">
        <v>24</v>
      </c>
      <c r="E201">
        <v>1.9514744399702919E-3</v>
      </c>
      <c r="F201">
        <f t="shared" si="17"/>
        <v>-1.9669305156135009E-2</v>
      </c>
      <c r="G201">
        <f t="shared" si="16"/>
        <v>-3.0980006500939464E-2</v>
      </c>
      <c r="W201" s="6" t="s">
        <v>252</v>
      </c>
      <c r="X201" s="6">
        <v>-1.0930326181511226E-3</v>
      </c>
      <c r="Y201" s="6">
        <v>1.3025643900480387E-4</v>
      </c>
      <c r="Z201" s="6">
        <v>-8.3913902951915595</v>
      </c>
      <c r="AA201" s="6">
        <v>1.410401505831382E-14</v>
      </c>
      <c r="AB201" s="6">
        <v>-1.3500683570321422E-3</v>
      </c>
      <c r="AC201" s="6">
        <v>-8.35996879270103E-4</v>
      </c>
      <c r="AD201" s="6">
        <v>-1.3500683570321422E-3</v>
      </c>
      <c r="AE201" s="6">
        <v>-8.35996879270103E-4</v>
      </c>
    </row>
    <row r="202" spans="1:31" x14ac:dyDescent="0.35">
      <c r="A202" t="s">
        <v>24</v>
      </c>
      <c r="E202">
        <v>3.186724571890961E-3</v>
      </c>
      <c r="F202">
        <f t="shared" si="17"/>
        <v>-1.9671813615585648E-2</v>
      </c>
      <c r="G202">
        <f t="shared" si="16"/>
        <v>-3.0980006500939464E-2</v>
      </c>
    </row>
    <row r="203" spans="1:31" x14ac:dyDescent="0.35">
      <c r="A203" t="s">
        <v>24</v>
      </c>
      <c r="E203">
        <v>-4.7081248350640094E-3</v>
      </c>
      <c r="F203">
        <f t="shared" si="17"/>
        <v>-1.9674322075036284E-2</v>
      </c>
      <c r="G203">
        <f t="shared" si="16"/>
        <v>-3.0980006500939464E-2</v>
      </c>
    </row>
    <row r="204" spans="1:31" x14ac:dyDescent="0.35">
      <c r="A204" t="s">
        <v>24</v>
      </c>
      <c r="E204">
        <v>4.988716323759166E-3</v>
      </c>
      <c r="F204">
        <f t="shared" si="17"/>
        <v>-1.9676830534486923E-2</v>
      </c>
      <c r="G204">
        <f t="shared" si="16"/>
        <v>-3.0980006500939464E-2</v>
      </c>
      <c r="W204" t="s">
        <v>225</v>
      </c>
    </row>
    <row r="205" spans="1:31" ht="15" thickBot="1" x14ac:dyDescent="0.4">
      <c r="A205" t="s">
        <v>24</v>
      </c>
      <c r="E205">
        <v>1.0732931639073814E-2</v>
      </c>
      <c r="F205">
        <f t="shared" si="17"/>
        <v>-1.9679338993937562E-2</v>
      </c>
      <c r="G205">
        <f t="shared" si="16"/>
        <v>-3.0980006500939464E-2</v>
      </c>
    </row>
    <row r="206" spans="1:31" x14ac:dyDescent="0.35">
      <c r="A206" t="s">
        <v>24</v>
      </c>
      <c r="E206">
        <v>-2.9707997659065861E-3</v>
      </c>
      <c r="F206">
        <f t="shared" si="17"/>
        <v>-1.9681847453388201E-2</v>
      </c>
      <c r="G206">
        <f t="shared" si="16"/>
        <v>-3.0980006500939464E-2</v>
      </c>
      <c r="W206" s="8" t="s">
        <v>226</v>
      </c>
      <c r="X206" s="8"/>
    </row>
    <row r="207" spans="1:31" x14ac:dyDescent="0.35">
      <c r="A207" t="s">
        <v>24</v>
      </c>
      <c r="E207">
        <v>-7.8674101829721811E-4</v>
      </c>
      <c r="F207">
        <f t="shared" si="17"/>
        <v>-1.968435591283884E-2</v>
      </c>
      <c r="G207">
        <f t="shared" si="16"/>
        <v>-3.0980006500939464E-2</v>
      </c>
      <c r="W207" t="s">
        <v>227</v>
      </c>
      <c r="X207">
        <v>0.67454718521252344</v>
      </c>
      <c r="Z207" t="s">
        <v>389</v>
      </c>
    </row>
    <row r="208" spans="1:31" x14ac:dyDescent="0.35">
      <c r="A208" t="s">
        <v>24</v>
      </c>
      <c r="E208">
        <v>-5.2969942927934633E-3</v>
      </c>
      <c r="F208">
        <f t="shared" si="17"/>
        <v>-1.9686864372289475E-2</v>
      </c>
      <c r="G208">
        <f t="shared" si="16"/>
        <v>-3.0980006500939464E-2</v>
      </c>
      <c r="W208" t="s">
        <v>228</v>
      </c>
      <c r="X208">
        <v>0.45501390507813833</v>
      </c>
    </row>
    <row r="209" spans="1:38" x14ac:dyDescent="0.35">
      <c r="A209" t="s">
        <v>24</v>
      </c>
      <c r="E209">
        <v>-9.4588383501201731E-3</v>
      </c>
      <c r="F209">
        <f t="shared" si="17"/>
        <v>-1.9689372831740114E-2</v>
      </c>
      <c r="G209">
        <f t="shared" si="16"/>
        <v>-3.0980006500939464E-2</v>
      </c>
      <c r="W209" t="s">
        <v>228</v>
      </c>
      <c r="X209">
        <v>0.44582874617496093</v>
      </c>
    </row>
    <row r="210" spans="1:38" x14ac:dyDescent="0.35">
      <c r="A210" t="s">
        <v>24</v>
      </c>
      <c r="E210">
        <v>5.6775983138631584E-3</v>
      </c>
      <c r="F210">
        <f t="shared" si="17"/>
        <v>-1.9691881291190753E-2</v>
      </c>
      <c r="G210">
        <f t="shared" si="16"/>
        <v>-3.0980006500939464E-2</v>
      </c>
      <c r="W210" t="s">
        <v>229</v>
      </c>
      <c r="X210">
        <v>9.5553463315594042E-3</v>
      </c>
    </row>
    <row r="211" spans="1:38" ht="15" thickBot="1" x14ac:dyDescent="0.4">
      <c r="A211" t="s">
        <v>24</v>
      </c>
      <c r="E211">
        <v>-1.8978933440928113E-4</v>
      </c>
      <c r="F211">
        <f t="shared" si="17"/>
        <v>-1.9694389750641392E-2</v>
      </c>
      <c r="G211">
        <f t="shared" si="16"/>
        <v>-3.0980006500939464E-2</v>
      </c>
      <c r="W211" s="6" t="s">
        <v>230</v>
      </c>
      <c r="X211" s="6">
        <v>182</v>
      </c>
    </row>
    <row r="212" spans="1:38" x14ac:dyDescent="0.35">
      <c r="A212" t="s">
        <v>25</v>
      </c>
      <c r="B212" s="3" cm="1">
        <f t="array" ref="B212">_xlfn.STDEV.S(_xlfn._xlws.FILTER($E$2:$E$1000, $A$2:$A$1000="2010-11"))</f>
        <v>1.2691051743758029E-2</v>
      </c>
      <c r="C212" s="3" cm="1">
        <f t="array" ref="C212">AVERAGE(_xlfn._xlws.FILTER($E$2:$E$1000, $A$2:$A$1000="2010-11"))</f>
        <v>-3.210290795241029E-3</v>
      </c>
      <c r="D212" s="3" cm="1">
        <f t="array" ref="D212">_xlfn.PERCENTILE.EXC(_xlfn._xlws.FILTER($E$126:$E$252, $A$126:$A$252="2010-11"), 0.05)</f>
        <v>-2.5788139839396047E-2</v>
      </c>
      <c r="E212">
        <v>-2.9075722911909869E-3</v>
      </c>
      <c r="F212">
        <f t="shared" si="17"/>
        <v>-1.9696898210092031E-2</v>
      </c>
      <c r="G212">
        <f t="shared" si="16"/>
        <v>-3.0980006500939464E-2</v>
      </c>
      <c r="AI212" s="3"/>
      <c r="AJ212" s="3"/>
      <c r="AK212" s="3"/>
      <c r="AL212" s="3"/>
    </row>
    <row r="213" spans="1:38" ht="15" thickBot="1" x14ac:dyDescent="0.4">
      <c r="A213" t="s">
        <v>25</v>
      </c>
      <c r="E213">
        <v>8.522729000797695E-3</v>
      </c>
      <c r="F213">
        <f t="shared" si="17"/>
        <v>-1.969940666954267E-2</v>
      </c>
      <c r="G213">
        <f t="shared" si="16"/>
        <v>-3.0980006500939464E-2</v>
      </c>
      <c r="W213" t="s">
        <v>231</v>
      </c>
    </row>
    <row r="214" spans="1:38" x14ac:dyDescent="0.35">
      <c r="A214" t="s">
        <v>25</v>
      </c>
      <c r="E214">
        <v>-1.0746065767430021E-2</v>
      </c>
      <c r="F214">
        <f t="shared" si="17"/>
        <v>-1.9701915128993309E-2</v>
      </c>
      <c r="G214">
        <f t="shared" si="16"/>
        <v>-3.0980006500939464E-2</v>
      </c>
      <c r="W214" s="7"/>
      <c r="X214" s="7" t="s">
        <v>236</v>
      </c>
      <c r="Y214" s="7" t="s">
        <v>237</v>
      </c>
      <c r="Z214" s="7" t="s">
        <v>238</v>
      </c>
      <c r="AA214" s="7" t="s">
        <v>239</v>
      </c>
      <c r="AB214" s="7" t="s">
        <v>240</v>
      </c>
    </row>
    <row r="215" spans="1:38" x14ac:dyDescent="0.35">
      <c r="A215" t="s">
        <v>25</v>
      </c>
      <c r="E215">
        <v>1.8822388729955977E-2</v>
      </c>
      <c r="F215">
        <f t="shared" si="17"/>
        <v>-1.9704423588443949E-2</v>
      </c>
      <c r="G215">
        <f t="shared" si="16"/>
        <v>-3.0980006500939464E-2</v>
      </c>
      <c r="W215" t="s">
        <v>232</v>
      </c>
      <c r="X215">
        <v>3</v>
      </c>
      <c r="Y215">
        <v>1.3569133480194312E-2</v>
      </c>
      <c r="Z215">
        <v>4.523044493398104E-3</v>
      </c>
      <c r="AA215">
        <v>49.537945927177624</v>
      </c>
      <c r="AB215">
        <v>2.5069733114308473E-23</v>
      </c>
    </row>
    <row r="216" spans="1:38" x14ac:dyDescent="0.35">
      <c r="A216" t="s">
        <v>25</v>
      </c>
      <c r="E216">
        <v>-2.8714549733437626E-3</v>
      </c>
      <c r="F216">
        <f t="shared" si="17"/>
        <v>-1.9706932047894584E-2</v>
      </c>
      <c r="G216">
        <f t="shared" si="16"/>
        <v>-3.0980006500939464E-2</v>
      </c>
      <c r="W216" t="s">
        <v>233</v>
      </c>
      <c r="X216">
        <v>178</v>
      </c>
      <c r="Y216">
        <v>1.6252226545856147E-2</v>
      </c>
      <c r="Z216">
        <v>9.1304643516045768E-5</v>
      </c>
    </row>
    <row r="217" spans="1:38" ht="15" thickBot="1" x14ac:dyDescent="0.4">
      <c r="A217" t="s">
        <v>25</v>
      </c>
      <c r="E217">
        <v>-2.7786016936981752E-3</v>
      </c>
      <c r="F217">
        <f t="shared" si="17"/>
        <v>-1.9709440507345223E-2</v>
      </c>
      <c r="G217">
        <f t="shared" si="16"/>
        <v>-3.0980006500939464E-2</v>
      </c>
      <c r="W217" s="6" t="s">
        <v>234</v>
      </c>
      <c r="X217" s="6">
        <v>181</v>
      </c>
      <c r="Y217" s="6">
        <v>2.9821360026050459E-2</v>
      </c>
      <c r="Z217" s="6"/>
      <c r="AA217" s="6"/>
      <c r="AB217" s="6"/>
    </row>
    <row r="218" spans="1:38" ht="15" thickBot="1" x14ac:dyDescent="0.4">
      <c r="A218" t="s">
        <v>25</v>
      </c>
      <c r="E218">
        <v>7.8769552556595037E-3</v>
      </c>
      <c r="F218">
        <f t="shared" si="17"/>
        <v>-1.9711948966795862E-2</v>
      </c>
      <c r="G218">
        <f t="shared" si="16"/>
        <v>-3.0980006500939464E-2</v>
      </c>
    </row>
    <row r="219" spans="1:38" x14ac:dyDescent="0.35">
      <c r="A219" t="s">
        <v>25</v>
      </c>
      <c r="E219">
        <v>-1.5588027453306438E-2</v>
      </c>
      <c r="F219">
        <f t="shared" si="17"/>
        <v>-1.9714457426246501E-2</v>
      </c>
      <c r="G219">
        <f t="shared" si="16"/>
        <v>-3.0980006500939464E-2</v>
      </c>
      <c r="W219" s="7"/>
      <c r="X219" s="7" t="s">
        <v>241</v>
      </c>
      <c r="Y219" s="7" t="s">
        <v>229</v>
      </c>
      <c r="Z219" s="7" t="s">
        <v>242</v>
      </c>
      <c r="AA219" s="7" t="s">
        <v>243</v>
      </c>
      <c r="AB219" s="7" t="s">
        <v>244</v>
      </c>
      <c r="AC219" s="7" t="s">
        <v>245</v>
      </c>
      <c r="AD219" s="7" t="s">
        <v>246</v>
      </c>
      <c r="AE219" s="7" t="s">
        <v>247</v>
      </c>
    </row>
    <row r="220" spans="1:38" x14ac:dyDescent="0.35">
      <c r="A220" t="s">
        <v>25</v>
      </c>
      <c r="E220">
        <v>-5.1821892744932053E-3</v>
      </c>
      <c r="F220">
        <f t="shared" si="17"/>
        <v>-1.971696588569714E-2</v>
      </c>
      <c r="G220">
        <f t="shared" si="16"/>
        <v>-3.0980006500939464E-2</v>
      </c>
      <c r="W220" t="s">
        <v>235</v>
      </c>
      <c r="X220">
        <v>4.2203676992783844E-3</v>
      </c>
      <c r="Y220">
        <v>3.4429393004337871E-3</v>
      </c>
      <c r="Z220">
        <v>1.2258036901047447</v>
      </c>
      <c r="AA220">
        <v>0.22189187083799475</v>
      </c>
      <c r="AB220">
        <v>-2.573862916631294E-3</v>
      </c>
      <c r="AC220">
        <v>1.1014598315188064E-2</v>
      </c>
      <c r="AD220">
        <v>-2.573862916631294E-3</v>
      </c>
      <c r="AE220">
        <v>1.1014598315188064E-2</v>
      </c>
    </row>
    <row r="221" spans="1:38" x14ac:dyDescent="0.35">
      <c r="A221" t="s">
        <v>25</v>
      </c>
      <c r="E221">
        <v>-3.1094981410329996E-3</v>
      </c>
      <c r="F221">
        <f t="shared" si="17"/>
        <v>-1.9720085641233221E-2</v>
      </c>
      <c r="G221">
        <f t="shared" si="16"/>
        <v>-3.1042928515549753E-2</v>
      </c>
      <c r="W221" t="s">
        <v>248</v>
      </c>
      <c r="X221">
        <v>-1.0866622600213185E-3</v>
      </c>
      <c r="Y221">
        <v>1.0819118673034513E-4</v>
      </c>
      <c r="Z221">
        <v>-10.043907390809078</v>
      </c>
      <c r="AA221">
        <v>4.3450134615880916E-19</v>
      </c>
      <c r="AB221">
        <v>-1.3001646802243982E-3</v>
      </c>
      <c r="AC221">
        <v>-8.7315983981823869E-4</v>
      </c>
      <c r="AD221">
        <v>-1.3001646802243982E-3</v>
      </c>
      <c r="AE221">
        <v>-8.7315983981823869E-4</v>
      </c>
    </row>
    <row r="222" spans="1:38" x14ac:dyDescent="0.35">
      <c r="A222" t="s">
        <v>25</v>
      </c>
      <c r="E222">
        <v>9.1767706605882932E-3</v>
      </c>
      <c r="F222">
        <f t="shared" si="17"/>
        <v>-1.9723205396769306E-2</v>
      </c>
      <c r="G222">
        <f t="shared" si="16"/>
        <v>-3.1042928515549753E-2</v>
      </c>
      <c r="W222" t="s">
        <v>251</v>
      </c>
      <c r="X222">
        <v>-6.1571731312833047E-6</v>
      </c>
      <c r="Y222">
        <v>9.6815893754747203E-6</v>
      </c>
      <c r="Z222">
        <v>-0.63596718395024865</v>
      </c>
      <c r="AA222">
        <v>0.52561466163315862</v>
      </c>
      <c r="AB222">
        <v>-2.5262636575622421E-5</v>
      </c>
      <c r="AC222">
        <v>1.294829031305581E-5</v>
      </c>
      <c r="AD222">
        <v>-2.5262636575622421E-5</v>
      </c>
      <c r="AE222">
        <v>1.294829031305581E-5</v>
      </c>
    </row>
    <row r="223" spans="1:38" ht="15" thickBot="1" x14ac:dyDescent="0.4">
      <c r="A223" t="s">
        <v>25</v>
      </c>
      <c r="E223">
        <v>-2.3687570937604707E-2</v>
      </c>
      <c r="F223">
        <f t="shared" si="17"/>
        <v>-1.9726325152305386E-2</v>
      </c>
      <c r="G223">
        <f t="shared" si="16"/>
        <v>-3.1042928515549753E-2</v>
      </c>
      <c r="W223" s="6" t="s">
        <v>252</v>
      </c>
      <c r="X223" s="6">
        <v>0.21856137303892309</v>
      </c>
      <c r="Y223" s="6">
        <v>0.18074728026936948</v>
      </c>
      <c r="Z223" s="6">
        <v>1.209209746963821</v>
      </c>
      <c r="AA223" s="6">
        <v>0.22818594593921229</v>
      </c>
      <c r="AB223" s="6">
        <v>-0.13812185550182782</v>
      </c>
      <c r="AC223" s="6">
        <v>0.57524460157967394</v>
      </c>
      <c r="AD223" s="6">
        <v>-0.13812185550182782</v>
      </c>
      <c r="AE223" s="6">
        <v>0.57524460157967394</v>
      </c>
    </row>
    <row r="224" spans="1:38" x14ac:dyDescent="0.35">
      <c r="A224" t="s">
        <v>25</v>
      </c>
      <c r="E224">
        <v>7.4958225221086966E-3</v>
      </c>
      <c r="F224">
        <f t="shared" si="17"/>
        <v>-1.9676830534486923E-2</v>
      </c>
      <c r="G224">
        <f t="shared" si="16"/>
        <v>-3.1020746364421776E-2</v>
      </c>
    </row>
    <row r="225" spans="1:38" x14ac:dyDescent="0.35">
      <c r="A225" t="s">
        <v>25</v>
      </c>
      <c r="E225">
        <v>1.8569162012834498E-2</v>
      </c>
      <c r="F225">
        <f t="shared" si="17"/>
        <v>-1.9679338993937562E-2</v>
      </c>
      <c r="G225">
        <f t="shared" si="16"/>
        <v>-3.1020746364421776E-2</v>
      </c>
    </row>
    <row r="226" spans="1:38" x14ac:dyDescent="0.35">
      <c r="A226" t="s">
        <v>25</v>
      </c>
      <c r="E226">
        <v>-3.3257470602833647E-3</v>
      </c>
      <c r="F226">
        <f t="shared" si="17"/>
        <v>-1.9681847453388201E-2</v>
      </c>
      <c r="G226">
        <f t="shared" si="16"/>
        <v>-3.1020746364421776E-2</v>
      </c>
    </row>
    <row r="227" spans="1:38" x14ac:dyDescent="0.35">
      <c r="A227" t="s">
        <v>25</v>
      </c>
      <c r="E227">
        <v>-1.2133402524442763E-2</v>
      </c>
      <c r="F227">
        <f t="shared" si="17"/>
        <v>-1.968435591283884E-2</v>
      </c>
      <c r="G227">
        <f t="shared" si="16"/>
        <v>-3.1020746364421776E-2</v>
      </c>
    </row>
    <row r="228" spans="1:38" x14ac:dyDescent="0.35">
      <c r="A228" t="s">
        <v>25</v>
      </c>
      <c r="E228">
        <v>-2.5965283743333525E-2</v>
      </c>
      <c r="F228">
        <f t="shared" si="17"/>
        <v>-1.9686864372289475E-2</v>
      </c>
      <c r="G228">
        <f t="shared" si="16"/>
        <v>-3.1020746364421776E-2</v>
      </c>
    </row>
    <row r="229" spans="1:38" x14ac:dyDescent="0.35">
      <c r="A229" t="s">
        <v>25</v>
      </c>
      <c r="E229">
        <v>6.7850640210215096E-3</v>
      </c>
      <c r="F229">
        <f t="shared" si="17"/>
        <v>-1.9635169737565655E-2</v>
      </c>
      <c r="G229">
        <f t="shared" si="16"/>
        <v>-3.0985559285948875E-2</v>
      </c>
    </row>
    <row r="230" spans="1:38" x14ac:dyDescent="0.35">
      <c r="A230" t="s">
        <v>25</v>
      </c>
      <c r="E230">
        <v>2.5456870170053963E-3</v>
      </c>
      <c r="F230">
        <f t="shared" si="17"/>
        <v>-1.9638044915667358E-2</v>
      </c>
      <c r="G230">
        <f t="shared" si="16"/>
        <v>-3.0985559285948875E-2</v>
      </c>
    </row>
    <row r="231" spans="1:38" x14ac:dyDescent="0.35">
      <c r="A231" t="s">
        <v>25</v>
      </c>
      <c r="E231">
        <v>-1.0210902583159712E-2</v>
      </c>
      <c r="F231">
        <f t="shared" si="17"/>
        <v>-1.9640920093769058E-2</v>
      </c>
      <c r="G231">
        <f t="shared" si="16"/>
        <v>-3.0985559285948875E-2</v>
      </c>
    </row>
    <row r="232" spans="1:38" x14ac:dyDescent="0.35">
      <c r="A232" t="s">
        <v>25</v>
      </c>
      <c r="E232">
        <v>-2.4784324383750334E-2</v>
      </c>
      <c r="F232">
        <f t="shared" si="17"/>
        <v>-1.9643795271870761E-2</v>
      </c>
      <c r="G232">
        <f t="shared" si="16"/>
        <v>-3.0985559285948875E-2</v>
      </c>
    </row>
    <row r="233" spans="1:38" x14ac:dyDescent="0.35">
      <c r="A233" t="s">
        <v>25</v>
      </c>
      <c r="E233">
        <v>-7.1303358882042131E-3</v>
      </c>
      <c r="F233">
        <f t="shared" si="17"/>
        <v>-1.9577106228701666E-2</v>
      </c>
      <c r="G233">
        <f t="shared" si="16"/>
        <v>-3.0956648496847761E-2</v>
      </c>
    </row>
    <row r="234" spans="1:38" x14ac:dyDescent="0.35">
      <c r="A234" t="s">
        <v>26</v>
      </c>
      <c r="B234" s="3" cm="1">
        <f t="array" ref="B234">_xlfn.STDEV.S(_xlfn._xlws.FILTER($E$2:$E$1000, $A$2:$A$1000="2010-12"))</f>
        <v>1.0098672637979547E-2</v>
      </c>
      <c r="C234" s="3" cm="1">
        <f t="array" ref="C234">AVERAGE(_xlfn._xlws.FILTER($E$2:$E$1000, $A$2:$A$1000="2010-12"))</f>
        <v>3.0103890646816685E-3</v>
      </c>
      <c r="D234" s="3" cm="1">
        <f t="array" ref="D234">_xlfn.PERCENTILE.EXC(_xlfn._xlws.FILTER($E$126:$E$252, $A$126:$A$252="2010-12"), 0.05)</f>
        <v>-1.2106509637262669E-2</v>
      </c>
      <c r="E234">
        <v>2.638598894971694E-2</v>
      </c>
      <c r="F234">
        <f t="shared" si="17"/>
        <v>-1.9581704358122905E-2</v>
      </c>
      <c r="G234">
        <f t="shared" si="16"/>
        <v>-3.0956648496847761E-2</v>
      </c>
      <c r="AI234" s="3"/>
      <c r="AJ234" s="3"/>
      <c r="AK234" s="3"/>
      <c r="AL234" s="3"/>
    </row>
    <row r="235" spans="1:38" x14ac:dyDescent="0.35">
      <c r="A235" t="s">
        <v>26</v>
      </c>
      <c r="E235">
        <v>2.1631658656154518E-2</v>
      </c>
      <c r="F235">
        <f t="shared" si="17"/>
        <v>-1.9586302487544147E-2</v>
      </c>
      <c r="G235">
        <f t="shared" si="16"/>
        <v>-3.0956648496847761E-2</v>
      </c>
    </row>
    <row r="236" spans="1:38" x14ac:dyDescent="0.35">
      <c r="A236" t="s">
        <v>26</v>
      </c>
      <c r="E236">
        <v>3.5946784767477237E-4</v>
      </c>
      <c r="F236">
        <f t="shared" si="17"/>
        <v>-1.9590900616965386E-2</v>
      </c>
      <c r="G236">
        <f t="shared" si="16"/>
        <v>-3.0956648496847761E-2</v>
      </c>
    </row>
    <row r="237" spans="1:38" x14ac:dyDescent="0.35">
      <c r="A237" t="s">
        <v>26</v>
      </c>
      <c r="E237">
        <v>-4.4773909301014788E-3</v>
      </c>
      <c r="F237">
        <f t="shared" si="17"/>
        <v>-1.9595498746386626E-2</v>
      </c>
      <c r="G237">
        <f t="shared" si="16"/>
        <v>-3.0956648496847761E-2</v>
      </c>
    </row>
    <row r="238" spans="1:38" x14ac:dyDescent="0.35">
      <c r="A238" t="s">
        <v>26</v>
      </c>
      <c r="E238">
        <v>1.176463045907078E-2</v>
      </c>
      <c r="F238">
        <f t="shared" si="17"/>
        <v>-1.9600096875807865E-2</v>
      </c>
      <c r="G238">
        <f t="shared" si="16"/>
        <v>-3.0956648496847761E-2</v>
      </c>
    </row>
    <row r="239" spans="1:38" x14ac:dyDescent="0.35">
      <c r="A239" t="s">
        <v>26</v>
      </c>
      <c r="E239">
        <v>5.7669650677415639E-3</v>
      </c>
      <c r="F239">
        <f t="shared" si="17"/>
        <v>-1.9604695005229104E-2</v>
      </c>
      <c r="G239">
        <f t="shared" si="16"/>
        <v>-3.0956648496847761E-2</v>
      </c>
    </row>
    <row r="240" spans="1:38" x14ac:dyDescent="0.35">
      <c r="A240" t="s">
        <v>26</v>
      </c>
      <c r="E240">
        <v>7.6895457397395785E-3</v>
      </c>
      <c r="F240">
        <f t="shared" si="17"/>
        <v>-1.9609293134650346E-2</v>
      </c>
      <c r="G240">
        <f t="shared" si="16"/>
        <v>-3.0956648496847761E-2</v>
      </c>
    </row>
    <row r="241" spans="1:38" x14ac:dyDescent="0.35">
      <c r="A241" t="s">
        <v>26</v>
      </c>
      <c r="E241">
        <v>-4.1547540842431846E-4</v>
      </c>
      <c r="F241">
        <f t="shared" si="17"/>
        <v>-1.9612168312752046E-2</v>
      </c>
      <c r="G241">
        <f t="shared" si="16"/>
        <v>-3.1020397684275832E-2</v>
      </c>
    </row>
    <row r="242" spans="1:38" x14ac:dyDescent="0.35">
      <c r="A242" t="s">
        <v>26</v>
      </c>
      <c r="E242">
        <v>5.5628863889829201E-3</v>
      </c>
      <c r="F242">
        <f t="shared" si="17"/>
        <v>-1.9615043490853749E-2</v>
      </c>
      <c r="G242">
        <f t="shared" si="16"/>
        <v>-3.1020397684275832E-2</v>
      </c>
    </row>
    <row r="243" spans="1:38" x14ac:dyDescent="0.35">
      <c r="A243" t="s">
        <v>26</v>
      </c>
      <c r="E243">
        <v>2.203938594134887E-3</v>
      </c>
      <c r="F243">
        <f t="shared" si="17"/>
        <v>-1.9617918668955448E-2</v>
      </c>
      <c r="G243">
        <f t="shared" si="16"/>
        <v>-3.1020397684275832E-2</v>
      </c>
    </row>
    <row r="244" spans="1:38" x14ac:dyDescent="0.35">
      <c r="A244" t="s">
        <v>26</v>
      </c>
      <c r="E244">
        <v>-6.9008594831358764E-3</v>
      </c>
      <c r="F244">
        <f t="shared" si="17"/>
        <v>-1.9620793847057151E-2</v>
      </c>
      <c r="G244">
        <f t="shared" si="16"/>
        <v>-3.1020397684275832E-2</v>
      </c>
    </row>
    <row r="245" spans="1:38" x14ac:dyDescent="0.35">
      <c r="A245" t="s">
        <v>26</v>
      </c>
      <c r="E245">
        <v>1.3326841841127496E-3</v>
      </c>
      <c r="F245">
        <f t="shared" si="17"/>
        <v>-1.9623669025158851E-2</v>
      </c>
      <c r="G245">
        <f t="shared" si="16"/>
        <v>-3.1020397684275832E-2</v>
      </c>
    </row>
    <row r="246" spans="1:38" x14ac:dyDescent="0.35">
      <c r="A246" t="s">
        <v>26</v>
      </c>
      <c r="E246">
        <v>-8.4728475753878957E-3</v>
      </c>
      <c r="F246">
        <f t="shared" si="17"/>
        <v>-1.9626544203260553E-2</v>
      </c>
      <c r="G246">
        <f t="shared" si="16"/>
        <v>-3.1020397684275832E-2</v>
      </c>
    </row>
    <row r="247" spans="1:38" x14ac:dyDescent="0.35">
      <c r="A247" t="s">
        <v>26</v>
      </c>
      <c r="E247">
        <v>6.1650189345483029E-3</v>
      </c>
      <c r="F247">
        <f t="shared" si="17"/>
        <v>-1.9629419381362253E-2</v>
      </c>
      <c r="G247">
        <f t="shared" si="16"/>
        <v>-3.1020397684275832E-2</v>
      </c>
    </row>
    <row r="248" spans="1:38" x14ac:dyDescent="0.35">
      <c r="A248" t="s">
        <v>26</v>
      </c>
      <c r="E248">
        <v>1.3215242157325542E-2</v>
      </c>
      <c r="F248">
        <f t="shared" si="17"/>
        <v>-1.9632294559463956E-2</v>
      </c>
      <c r="G248">
        <f t="shared" si="16"/>
        <v>-3.1020397684275832E-2</v>
      </c>
    </row>
    <row r="249" spans="1:38" x14ac:dyDescent="0.35">
      <c r="A249" t="s">
        <v>26</v>
      </c>
      <c r="E249">
        <v>-2.5615071204550793E-3</v>
      </c>
      <c r="F249">
        <f t="shared" si="17"/>
        <v>-1.9635169737565655E-2</v>
      </c>
      <c r="G249">
        <f t="shared" si="16"/>
        <v>-3.1020397684275832E-2</v>
      </c>
    </row>
    <row r="250" spans="1:38" x14ac:dyDescent="0.35">
      <c r="A250" t="s">
        <v>26</v>
      </c>
      <c r="E250">
        <v>-1.782304736606666E-3</v>
      </c>
      <c r="F250">
        <f t="shared" si="17"/>
        <v>-1.9638044915667358E-2</v>
      </c>
      <c r="G250">
        <f t="shared" si="16"/>
        <v>-3.1020397684275832E-2</v>
      </c>
    </row>
    <row r="251" spans="1:38" x14ac:dyDescent="0.35">
      <c r="A251" t="s">
        <v>26</v>
      </c>
      <c r="E251">
        <v>-8.1637398588768721E-3</v>
      </c>
      <c r="F251">
        <f t="shared" si="17"/>
        <v>-1.9640920093769058E-2</v>
      </c>
      <c r="G251">
        <f t="shared" si="16"/>
        <v>-3.1020397684275832E-2</v>
      </c>
    </row>
    <row r="252" spans="1:38" x14ac:dyDescent="0.35">
      <c r="A252" t="s">
        <v>26</v>
      </c>
      <c r="E252">
        <v>-1.2106509637262669E-2</v>
      </c>
      <c r="F252">
        <f t="shared" si="17"/>
        <v>-1.9643795271870761E-2</v>
      </c>
      <c r="G252">
        <f t="shared" si="16"/>
        <v>-3.1020397684275832E-2</v>
      </c>
    </row>
    <row r="253" spans="1:38" x14ac:dyDescent="0.35">
      <c r="A253" t="s">
        <v>27</v>
      </c>
      <c r="B253" s="3" cm="1">
        <f t="array" ref="B253">_xlfn.STDEV.S(_xlfn._xlws.FILTER($E$2:$E$1000, $A$2:$A$1000="2011-01"))</f>
        <v>1.1029594675379098E-2</v>
      </c>
      <c r="C253" s="3" cm="1">
        <f t="array" ref="C253">AVERAGE(_xlfn._xlws.FILTER($E$2:$E$1000, $A$2:$A$1000="2011-01"))</f>
        <v>2.5452187501980236E-3</v>
      </c>
      <c r="D253" s="3" cm="1">
        <f t="array" ref="D253">_xlfn.PERCENTILE.EXC(_xlfn._xlws.FILTER($E$253:$E$502, $A$253:$A$502="2011-01"), 0.05)</f>
        <v>-1.6760720877214429E-2</v>
      </c>
      <c r="E253">
        <v>1.3140737752103709E-2</v>
      </c>
      <c r="F253">
        <f t="shared" si="17"/>
        <v>-1.964667044997246E-2</v>
      </c>
      <c r="G253">
        <f t="shared" si="16"/>
        <v>-3.1020397684275832E-2</v>
      </c>
      <c r="AI253" s="3"/>
      <c r="AJ253" s="3"/>
      <c r="AK253" s="3"/>
      <c r="AL253" s="3"/>
    </row>
    <row r="254" spans="1:38" x14ac:dyDescent="0.35">
      <c r="A254" t="s">
        <v>27</v>
      </c>
      <c r="D254" s="5"/>
      <c r="E254">
        <v>-3.6738911788155764E-3</v>
      </c>
      <c r="F254">
        <f t="shared" si="17"/>
        <v>-1.9649545628074163E-2</v>
      </c>
      <c r="G254">
        <f t="shared" si="16"/>
        <v>-3.1020397684275832E-2</v>
      </c>
    </row>
    <row r="255" spans="1:38" x14ac:dyDescent="0.35">
      <c r="A255" t="s">
        <v>27</v>
      </c>
      <c r="D255" s="5"/>
      <c r="E255">
        <v>8.783115819208597E-4</v>
      </c>
      <c r="F255">
        <f t="shared" si="17"/>
        <v>-1.9652420806175866E-2</v>
      </c>
      <c r="G255">
        <f t="shared" si="16"/>
        <v>-3.1020397684275832E-2</v>
      </c>
    </row>
    <row r="256" spans="1:38" x14ac:dyDescent="0.35">
      <c r="A256" t="s">
        <v>27</v>
      </c>
      <c r="D256" s="5"/>
      <c r="E256">
        <v>-9.9141919829445705E-3</v>
      </c>
      <c r="F256">
        <f t="shared" si="17"/>
        <v>-1.9655295984277565E-2</v>
      </c>
      <c r="G256">
        <f t="shared" si="16"/>
        <v>-3.1020397684275832E-2</v>
      </c>
    </row>
    <row r="257" spans="1:7" x14ac:dyDescent="0.35">
      <c r="A257" t="s">
        <v>27</v>
      </c>
      <c r="D257" s="5"/>
      <c r="E257">
        <v>-1.7012044049628663E-2</v>
      </c>
      <c r="F257">
        <f t="shared" si="17"/>
        <v>-1.9658171162379265E-2</v>
      </c>
      <c r="G257">
        <f t="shared" si="16"/>
        <v>-3.1020397684275832E-2</v>
      </c>
    </row>
    <row r="258" spans="1:7" x14ac:dyDescent="0.35">
      <c r="A258" t="s">
        <v>27</v>
      </c>
      <c r="D258" s="5"/>
      <c r="E258">
        <v>1.2854924134700157E-2</v>
      </c>
      <c r="F258">
        <f t="shared" si="17"/>
        <v>-1.9661046340480968E-2</v>
      </c>
      <c r="G258">
        <f t="shared" si="16"/>
        <v>-3.1020397684275832E-2</v>
      </c>
    </row>
    <row r="259" spans="1:7" x14ac:dyDescent="0.35">
      <c r="A259" t="s">
        <v>27</v>
      </c>
      <c r="D259" s="5"/>
      <c r="E259">
        <v>2.9076824986540562E-2</v>
      </c>
      <c r="F259">
        <f t="shared" si="17"/>
        <v>-1.9663921518582667E-2</v>
      </c>
      <c r="G259">
        <f t="shared" ref="G259:G322" si="18">AVERAGEIFS(E259:E4075,E259:E4075,"&lt;=" &amp; F259)</f>
        <v>-3.1020397684275832E-2</v>
      </c>
    </row>
    <row r="260" spans="1:7" x14ac:dyDescent="0.35">
      <c r="A260" t="s">
        <v>27</v>
      </c>
      <c r="D260" s="5"/>
      <c r="E260">
        <v>1.2601271542769464E-2</v>
      </c>
      <c r="F260">
        <f t="shared" ref="F260:F323" si="19">_xlfn.PERCENTILE.EXC(E260:E4075,0.05)</f>
        <v>-1.966679669668437E-2</v>
      </c>
      <c r="G260">
        <f t="shared" si="18"/>
        <v>-3.1020397684275832E-2</v>
      </c>
    </row>
    <row r="261" spans="1:7" x14ac:dyDescent="0.35">
      <c r="A261" t="s">
        <v>27</v>
      </c>
      <c r="D261" s="5"/>
      <c r="E261">
        <v>1.6381030458704608E-3</v>
      </c>
      <c r="F261">
        <f t="shared" si="19"/>
        <v>-1.9669305156135009E-2</v>
      </c>
      <c r="G261">
        <f t="shared" si="18"/>
        <v>-3.1084542322623806E-2</v>
      </c>
    </row>
    <row r="262" spans="1:7" x14ac:dyDescent="0.35">
      <c r="A262" t="s">
        <v>27</v>
      </c>
      <c r="D262" s="5"/>
      <c r="E262">
        <v>-3.3510406026588326E-3</v>
      </c>
      <c r="F262">
        <f t="shared" si="19"/>
        <v>-1.9671813615585648E-2</v>
      </c>
      <c r="G262">
        <f t="shared" si="18"/>
        <v>-3.1084542322623806E-2</v>
      </c>
    </row>
    <row r="263" spans="1:7" x14ac:dyDescent="0.35">
      <c r="A263" t="s">
        <v>27</v>
      </c>
      <c r="D263" s="5"/>
      <c r="E263">
        <v>1.1949768664649727E-2</v>
      </c>
      <c r="F263">
        <f t="shared" si="19"/>
        <v>-1.9674322075036284E-2</v>
      </c>
      <c r="G263">
        <f t="shared" si="18"/>
        <v>-3.1084542322623806E-2</v>
      </c>
    </row>
    <row r="264" spans="1:7" x14ac:dyDescent="0.35">
      <c r="A264" t="s">
        <v>27</v>
      </c>
      <c r="D264" s="5"/>
      <c r="E264">
        <v>-7.4488620863111333E-3</v>
      </c>
      <c r="F264">
        <f t="shared" si="19"/>
        <v>-1.9676830534486923E-2</v>
      </c>
      <c r="G264">
        <f t="shared" si="18"/>
        <v>-3.1084542322623806E-2</v>
      </c>
    </row>
    <row r="265" spans="1:7" x14ac:dyDescent="0.35">
      <c r="A265" t="s">
        <v>27</v>
      </c>
      <c r="D265" s="5"/>
      <c r="E265">
        <v>1.2510298699913423E-3</v>
      </c>
      <c r="F265">
        <f t="shared" si="19"/>
        <v>-1.9679338993937562E-2</v>
      </c>
      <c r="G265">
        <f t="shared" si="18"/>
        <v>-3.1084542322623806E-2</v>
      </c>
    </row>
    <row r="266" spans="1:7" x14ac:dyDescent="0.35">
      <c r="A266" t="s">
        <v>27</v>
      </c>
      <c r="D266" s="5"/>
      <c r="E266">
        <v>1.4628998183966071E-2</v>
      </c>
      <c r="F266">
        <f t="shared" si="19"/>
        <v>-1.9681847453388201E-2</v>
      </c>
      <c r="G266">
        <f t="shared" si="18"/>
        <v>-3.1084542322623806E-2</v>
      </c>
    </row>
    <row r="267" spans="1:7" x14ac:dyDescent="0.35">
      <c r="A267" t="s">
        <v>27</v>
      </c>
      <c r="D267" s="5"/>
      <c r="E267">
        <v>2.8573272857959167E-3</v>
      </c>
      <c r="F267">
        <f t="shared" si="19"/>
        <v>-1.968435591283884E-2</v>
      </c>
      <c r="G267">
        <f t="shared" si="18"/>
        <v>-3.1084542322623806E-2</v>
      </c>
    </row>
    <row r="268" spans="1:7" x14ac:dyDescent="0.35">
      <c r="A268" t="s">
        <v>27</v>
      </c>
      <c r="D268" s="5"/>
      <c r="E268">
        <v>-7.1688275699617375E-3</v>
      </c>
      <c r="F268">
        <f t="shared" si="19"/>
        <v>-1.9686864372289475E-2</v>
      </c>
      <c r="G268">
        <f t="shared" si="18"/>
        <v>-3.1084542322623806E-2</v>
      </c>
    </row>
    <row r="269" spans="1:7" x14ac:dyDescent="0.35">
      <c r="A269" t="s">
        <v>27</v>
      </c>
      <c r="D269" s="5"/>
      <c r="E269">
        <v>3.3752116233321228E-3</v>
      </c>
      <c r="F269">
        <f t="shared" si="19"/>
        <v>-1.9689372831740114E-2</v>
      </c>
      <c r="G269">
        <f t="shared" si="18"/>
        <v>-3.1084542322623806E-2</v>
      </c>
    </row>
    <row r="270" spans="1:7" x14ac:dyDescent="0.35">
      <c r="A270" t="s">
        <v>27</v>
      </c>
      <c r="D270" s="5"/>
      <c r="E270">
        <v>7.3755732981826529E-3</v>
      </c>
      <c r="F270">
        <f t="shared" si="19"/>
        <v>-1.9691881291190753E-2</v>
      </c>
      <c r="G270">
        <f t="shared" si="18"/>
        <v>-3.1084542322623806E-2</v>
      </c>
    </row>
    <row r="271" spans="1:7" x14ac:dyDescent="0.35">
      <c r="A271" t="s">
        <v>27</v>
      </c>
      <c r="D271" s="5"/>
      <c r="E271">
        <v>-1.1985580601344014E-2</v>
      </c>
      <c r="F271">
        <f t="shared" si="19"/>
        <v>-1.9694389750641392E-2</v>
      </c>
      <c r="G271">
        <f t="shared" si="18"/>
        <v>-3.1084542322623806E-2</v>
      </c>
    </row>
    <row r="272" spans="1:7" x14ac:dyDescent="0.35">
      <c r="A272" t="s">
        <v>27</v>
      </c>
      <c r="D272" s="5"/>
      <c r="E272">
        <v>-1.6926889419804678E-4</v>
      </c>
      <c r="F272">
        <f t="shared" si="19"/>
        <v>-1.9696898210092031E-2</v>
      </c>
      <c r="G272">
        <f t="shared" si="18"/>
        <v>-3.1084542322623806E-2</v>
      </c>
    </row>
    <row r="273" spans="1:38" x14ac:dyDescent="0.35">
      <c r="A273" t="s">
        <v>28</v>
      </c>
      <c r="B273" s="3" cm="1">
        <f t="array" ref="B273">_xlfn.STDEV.S(_xlfn._xlws.FILTER($E$2:$E$1000, $A$2:$A$1000="2011-02"))</f>
        <v>8.4148044440251462E-3</v>
      </c>
      <c r="C273" s="3" cm="1">
        <f t="array" ref="C273">AVERAGE(_xlfn._xlws.FILTER($E$2:$E$1000, $A$2:$A$1000="2011-02"))</f>
        <v>9.9656039458565502E-4</v>
      </c>
      <c r="D273" s="3" cm="1">
        <f t="array" ref="D273">_xlfn.PERCENTILE.EXC(_xlfn._xlws.FILTER($E$253:$E$502, $A$253:$A$502="2011-02"), 0.05)</f>
        <v>-1.7877116179003557E-2</v>
      </c>
      <c r="E273">
        <v>1.7844793739273619E-2</v>
      </c>
      <c r="F273">
        <f t="shared" si="19"/>
        <v>-1.969940666954267E-2</v>
      </c>
      <c r="G273">
        <f t="shared" si="18"/>
        <v>-3.1084542322623806E-2</v>
      </c>
      <c r="AI273" s="3"/>
      <c r="AJ273" s="3"/>
      <c r="AK273" s="3"/>
      <c r="AL273" s="3"/>
    </row>
    <row r="274" spans="1:38" x14ac:dyDescent="0.35">
      <c r="A274" t="s">
        <v>28</v>
      </c>
      <c r="D274" s="5"/>
      <c r="E274">
        <v>1.9569705440345784E-3</v>
      </c>
      <c r="F274">
        <f t="shared" si="19"/>
        <v>-1.9701915128993309E-2</v>
      </c>
      <c r="G274">
        <f t="shared" si="18"/>
        <v>-3.1084542322623806E-2</v>
      </c>
    </row>
    <row r="275" spans="1:38" x14ac:dyDescent="0.35">
      <c r="A275" t="s">
        <v>28</v>
      </c>
      <c r="D275" s="5"/>
      <c r="E275">
        <v>-5.7288624591201867E-3</v>
      </c>
      <c r="F275">
        <f t="shared" si="19"/>
        <v>-1.9704423588443949E-2</v>
      </c>
      <c r="G275">
        <f t="shared" si="18"/>
        <v>-3.1084542322623806E-2</v>
      </c>
    </row>
    <row r="276" spans="1:38" x14ac:dyDescent="0.35">
      <c r="A276" t="s">
        <v>28</v>
      </c>
      <c r="D276" s="5"/>
      <c r="E276">
        <v>2.567232867571725E-3</v>
      </c>
      <c r="F276">
        <f t="shared" si="19"/>
        <v>-1.9706932047894584E-2</v>
      </c>
      <c r="G276">
        <f t="shared" si="18"/>
        <v>-3.1084542322623806E-2</v>
      </c>
    </row>
    <row r="277" spans="1:38" x14ac:dyDescent="0.35">
      <c r="A277" t="s">
        <v>28</v>
      </c>
      <c r="D277" s="5"/>
      <c r="E277">
        <v>9.2769255905113084E-3</v>
      </c>
      <c r="F277">
        <f t="shared" si="19"/>
        <v>-1.9709440507345223E-2</v>
      </c>
      <c r="G277">
        <f t="shared" si="18"/>
        <v>-3.1084542322623806E-2</v>
      </c>
    </row>
    <row r="278" spans="1:38" x14ac:dyDescent="0.35">
      <c r="A278" t="s">
        <v>28</v>
      </c>
      <c r="D278" s="5"/>
      <c r="E278">
        <v>3.7275632260364883E-3</v>
      </c>
      <c r="F278">
        <f t="shared" si="19"/>
        <v>-1.9711948966795862E-2</v>
      </c>
      <c r="G278">
        <f t="shared" si="18"/>
        <v>-3.1084542322623806E-2</v>
      </c>
    </row>
    <row r="279" spans="1:38" x14ac:dyDescent="0.35">
      <c r="A279" t="s">
        <v>28</v>
      </c>
      <c r="D279" s="5"/>
      <c r="E279">
        <v>-3.5824157691609813E-3</v>
      </c>
      <c r="F279">
        <f t="shared" si="19"/>
        <v>-1.9714457426246501E-2</v>
      </c>
      <c r="G279">
        <f t="shared" si="18"/>
        <v>-3.1084542322623806E-2</v>
      </c>
    </row>
    <row r="280" spans="1:38" x14ac:dyDescent="0.35">
      <c r="A280" t="s">
        <v>28</v>
      </c>
      <c r="D280" s="5"/>
      <c r="E280">
        <v>-1.9612705013976389E-3</v>
      </c>
      <c r="F280">
        <f t="shared" si="19"/>
        <v>-1.971696588569714E-2</v>
      </c>
      <c r="G280">
        <f t="shared" si="18"/>
        <v>-3.1084542322623806E-2</v>
      </c>
    </row>
    <row r="281" spans="1:38" x14ac:dyDescent="0.35">
      <c r="A281" t="s">
        <v>28</v>
      </c>
      <c r="D281" s="5"/>
      <c r="E281">
        <v>-4.3305427904652942E-4</v>
      </c>
      <c r="F281">
        <f t="shared" si="19"/>
        <v>-1.9720085641233221E-2</v>
      </c>
      <c r="G281">
        <f t="shared" si="18"/>
        <v>-3.1149130825106341E-2</v>
      </c>
    </row>
    <row r="282" spans="1:38" x14ac:dyDescent="0.35">
      <c r="A282" t="s">
        <v>28</v>
      </c>
      <c r="D282" s="5"/>
      <c r="E282">
        <v>-1.9825417109627665E-3</v>
      </c>
      <c r="F282">
        <f t="shared" si="19"/>
        <v>-1.9723205396769306E-2</v>
      </c>
      <c r="G282">
        <f t="shared" si="18"/>
        <v>-3.1149130825106341E-2</v>
      </c>
    </row>
    <row r="283" spans="1:38" x14ac:dyDescent="0.35">
      <c r="A283" t="s">
        <v>28</v>
      </c>
      <c r="D283" s="5"/>
      <c r="E283">
        <v>3.9941595610602596E-3</v>
      </c>
      <c r="F283">
        <f t="shared" si="19"/>
        <v>-1.9726325152305386E-2</v>
      </c>
      <c r="G283">
        <f t="shared" si="18"/>
        <v>-3.1149130825106341E-2</v>
      </c>
    </row>
    <row r="284" spans="1:38" x14ac:dyDescent="0.35">
      <c r="A284" t="s">
        <v>28</v>
      </c>
      <c r="D284" s="5"/>
      <c r="E284">
        <v>1.0327746999580356E-2</v>
      </c>
      <c r="F284">
        <f t="shared" si="19"/>
        <v>-1.9729444907841471E-2</v>
      </c>
      <c r="G284">
        <f t="shared" si="18"/>
        <v>-3.1149130825106341E-2</v>
      </c>
    </row>
    <row r="285" spans="1:38" x14ac:dyDescent="0.35">
      <c r="A285" t="s">
        <v>28</v>
      </c>
      <c r="D285" s="5"/>
      <c r="E285">
        <v>8.5530637912312136E-4</v>
      </c>
      <c r="F285">
        <f t="shared" si="19"/>
        <v>-1.9732564663377555E-2</v>
      </c>
      <c r="G285">
        <f t="shared" si="18"/>
        <v>-3.1149130825106341E-2</v>
      </c>
    </row>
    <row r="286" spans="1:38" x14ac:dyDescent="0.35">
      <c r="A286" t="s">
        <v>28</v>
      </c>
      <c r="D286" s="5"/>
      <c r="E286">
        <v>1.1284069462688612E-3</v>
      </c>
      <c r="F286">
        <f t="shared" si="19"/>
        <v>-1.9735684418913636E-2</v>
      </c>
      <c r="G286">
        <f t="shared" si="18"/>
        <v>-3.1149130825106341E-2</v>
      </c>
    </row>
    <row r="287" spans="1:38" x14ac:dyDescent="0.35">
      <c r="A287" t="s">
        <v>28</v>
      </c>
      <c r="D287" s="5"/>
      <c r="E287">
        <v>-1.830869813192532E-2</v>
      </c>
      <c r="F287">
        <f t="shared" si="19"/>
        <v>-1.9738804174449717E-2</v>
      </c>
      <c r="G287">
        <f t="shared" si="18"/>
        <v>-3.1149130825106341E-2</v>
      </c>
    </row>
    <row r="288" spans="1:38" x14ac:dyDescent="0.35">
      <c r="A288" t="s">
        <v>28</v>
      </c>
      <c r="D288" s="5"/>
      <c r="E288">
        <v>-9.6770590734900734E-3</v>
      </c>
      <c r="F288">
        <f t="shared" si="19"/>
        <v>-1.9741923929985802E-2</v>
      </c>
      <c r="G288">
        <f t="shared" si="18"/>
        <v>-3.1149130825106341E-2</v>
      </c>
    </row>
    <row r="289" spans="1:38" x14ac:dyDescent="0.35">
      <c r="A289" t="s">
        <v>28</v>
      </c>
      <c r="D289" s="5"/>
      <c r="E289">
        <v>-9.5685485660437723E-3</v>
      </c>
      <c r="F289">
        <f t="shared" si="19"/>
        <v>-1.9745043685521883E-2</v>
      </c>
      <c r="G289">
        <f t="shared" si="18"/>
        <v>-3.1149130825106341E-2</v>
      </c>
    </row>
    <row r="290" spans="1:38" x14ac:dyDescent="0.35">
      <c r="A290" t="s">
        <v>28</v>
      </c>
      <c r="D290" s="5"/>
      <c r="E290">
        <v>-1.9613661321150012E-3</v>
      </c>
      <c r="F290">
        <f t="shared" si="19"/>
        <v>-1.9748163441057967E-2</v>
      </c>
      <c r="G290">
        <f t="shared" si="18"/>
        <v>-3.1149130825106341E-2</v>
      </c>
    </row>
    <row r="291" spans="1:38" x14ac:dyDescent="0.35">
      <c r="A291" t="s">
        <v>28</v>
      </c>
      <c r="D291" s="5"/>
      <c r="E291">
        <v>1.2096235388187875E-2</v>
      </c>
      <c r="F291">
        <f t="shared" si="19"/>
        <v>-1.9751283196594048E-2</v>
      </c>
      <c r="G291">
        <f t="shared" si="18"/>
        <v>-3.1149130825106341E-2</v>
      </c>
    </row>
    <row r="292" spans="1:38" x14ac:dyDescent="0.35">
      <c r="A292" t="s">
        <v>28</v>
      </c>
      <c r="D292" s="5"/>
      <c r="E292">
        <v>9.3596832733271757E-3</v>
      </c>
      <c r="F292">
        <f t="shared" si="19"/>
        <v>-1.9754402952130132E-2</v>
      </c>
      <c r="G292">
        <f t="shared" si="18"/>
        <v>-3.1149130825106341E-2</v>
      </c>
    </row>
    <row r="293" spans="1:38" x14ac:dyDescent="0.35">
      <c r="A293" t="s">
        <v>29</v>
      </c>
      <c r="B293" s="3" cm="1">
        <f t="array" ref="B293">_xlfn.STDEV.S(_xlfn._xlws.FILTER($E$2:$E$1000, $A$2:$A$1000="2011-03"))</f>
        <v>1.2010326111810703E-2</v>
      </c>
      <c r="C293" s="3" cm="1">
        <f t="array" ref="C293">AVERAGE(_xlfn._xlws.FILTER($E$2:$E$1000, $A$2:$A$1000="2011-03"))</f>
        <v>-1.5000166603474933E-3</v>
      </c>
      <c r="D293" s="3" cm="1">
        <f t="array" ref="D293">_xlfn.PERCENTILE.EXC(_xlfn._xlws.FILTER($E$253:$E$502, $A$253:$A$502="2011-03"), 0.05)</f>
        <v>-2.3853377847577201E-2</v>
      </c>
      <c r="E293">
        <v>-9.9461159199151512E-3</v>
      </c>
      <c r="F293">
        <f t="shared" si="19"/>
        <v>-1.9757522707666213E-2</v>
      </c>
      <c r="G293">
        <f t="shared" si="18"/>
        <v>-3.1149130825106341E-2</v>
      </c>
      <c r="AI293" s="3"/>
      <c r="AJ293" s="3"/>
      <c r="AK293" s="3"/>
      <c r="AL293" s="3"/>
    </row>
    <row r="294" spans="1:38" x14ac:dyDescent="0.35">
      <c r="A294" t="s">
        <v>29</v>
      </c>
      <c r="E294">
        <v>-8.2362336114599286E-3</v>
      </c>
      <c r="F294">
        <f t="shared" si="19"/>
        <v>-1.9760642463202298E-2</v>
      </c>
      <c r="G294">
        <f t="shared" si="18"/>
        <v>-3.1149130825106341E-2</v>
      </c>
    </row>
    <row r="295" spans="1:38" x14ac:dyDescent="0.35">
      <c r="A295" t="s">
        <v>29</v>
      </c>
      <c r="E295">
        <v>3.5222470811306435E-3</v>
      </c>
      <c r="F295">
        <f t="shared" si="19"/>
        <v>-1.9763762218738379E-2</v>
      </c>
      <c r="G295">
        <f t="shared" si="18"/>
        <v>-3.1149130825106341E-2</v>
      </c>
    </row>
    <row r="296" spans="1:38" x14ac:dyDescent="0.35">
      <c r="A296" t="s">
        <v>29</v>
      </c>
      <c r="E296">
        <v>-6.7788622024100428E-3</v>
      </c>
      <c r="F296">
        <f t="shared" si="19"/>
        <v>-1.9766881974274463E-2</v>
      </c>
      <c r="G296">
        <f t="shared" si="18"/>
        <v>-3.1149130825106341E-2</v>
      </c>
    </row>
    <row r="297" spans="1:38" x14ac:dyDescent="0.35">
      <c r="A297" t="s">
        <v>29</v>
      </c>
      <c r="E297">
        <v>-6.0402183439236794E-3</v>
      </c>
      <c r="F297">
        <f t="shared" si="19"/>
        <v>-1.9770001729810544E-2</v>
      </c>
      <c r="G297">
        <f t="shared" si="18"/>
        <v>-3.1149130825106341E-2</v>
      </c>
    </row>
    <row r="298" spans="1:38" x14ac:dyDescent="0.35">
      <c r="A298" t="s">
        <v>29</v>
      </c>
      <c r="E298">
        <v>4.7644742697008635E-3</v>
      </c>
      <c r="F298">
        <f t="shared" si="19"/>
        <v>-1.9773121485346629E-2</v>
      </c>
      <c r="G298">
        <f t="shared" si="18"/>
        <v>-3.1149130825106341E-2</v>
      </c>
    </row>
    <row r="299" spans="1:38" x14ac:dyDescent="0.35">
      <c r="A299" t="s">
        <v>29</v>
      </c>
      <c r="E299">
        <v>-3.5064902530415657E-3</v>
      </c>
      <c r="F299">
        <f t="shared" si="19"/>
        <v>-1.977624124088271E-2</v>
      </c>
      <c r="G299">
        <f t="shared" si="18"/>
        <v>-3.1149130825106341E-2</v>
      </c>
    </row>
    <row r="300" spans="1:38" x14ac:dyDescent="0.35">
      <c r="A300" t="s">
        <v>29</v>
      </c>
      <c r="E300">
        <v>-8.6846379094409655E-3</v>
      </c>
      <c r="F300">
        <f t="shared" si="19"/>
        <v>-1.9779360996418794E-2</v>
      </c>
      <c r="G300">
        <f t="shared" si="18"/>
        <v>-3.1149130825106341E-2</v>
      </c>
    </row>
    <row r="301" spans="1:38" x14ac:dyDescent="0.35">
      <c r="A301" t="s">
        <v>29</v>
      </c>
      <c r="E301">
        <v>-8.9375539919576367E-3</v>
      </c>
      <c r="F301">
        <f t="shared" si="19"/>
        <v>-1.9782709313552461E-2</v>
      </c>
      <c r="G301">
        <f t="shared" si="18"/>
        <v>-3.121410093841313E-2</v>
      </c>
    </row>
    <row r="302" spans="1:38" x14ac:dyDescent="0.35">
      <c r="A302" t="s">
        <v>29</v>
      </c>
      <c r="E302">
        <v>-1.1063668148399923E-2</v>
      </c>
      <c r="F302">
        <f t="shared" si="19"/>
        <v>-1.9786057630686131E-2</v>
      </c>
      <c r="G302">
        <f t="shared" si="18"/>
        <v>-3.121410093841313E-2</v>
      </c>
    </row>
    <row r="303" spans="1:38" x14ac:dyDescent="0.35">
      <c r="A303" t="s">
        <v>29</v>
      </c>
      <c r="E303">
        <v>-2.4098492260903614E-2</v>
      </c>
      <c r="F303">
        <f t="shared" si="19"/>
        <v>-1.9789405947819801E-2</v>
      </c>
      <c r="G303">
        <f t="shared" si="18"/>
        <v>-3.121410093841313E-2</v>
      </c>
    </row>
    <row r="304" spans="1:38" x14ac:dyDescent="0.35">
      <c r="A304" t="s">
        <v>29</v>
      </c>
      <c r="E304">
        <v>-2.2872920194271559E-2</v>
      </c>
      <c r="F304">
        <f t="shared" si="19"/>
        <v>-1.9729444907841471E-2</v>
      </c>
      <c r="G304">
        <f t="shared" si="18"/>
        <v>-3.1189420188330357E-2</v>
      </c>
    </row>
    <row r="305" spans="1:38" x14ac:dyDescent="0.35">
      <c r="A305" t="s">
        <v>29</v>
      </c>
      <c r="E305">
        <v>2.3576644937694759E-2</v>
      </c>
      <c r="F305">
        <f t="shared" si="19"/>
        <v>-1.9679338993937562E-2</v>
      </c>
      <c r="G305">
        <f t="shared" si="18"/>
        <v>-3.1171386163709933E-2</v>
      </c>
    </row>
    <row r="306" spans="1:38" x14ac:dyDescent="0.35">
      <c r="A306" t="s">
        <v>29</v>
      </c>
      <c r="E306">
        <v>2.3123386961513182E-3</v>
      </c>
      <c r="F306">
        <f t="shared" si="19"/>
        <v>-1.9681847453388201E-2</v>
      </c>
      <c r="G306">
        <f t="shared" si="18"/>
        <v>-3.1171386163709933E-2</v>
      </c>
    </row>
    <row r="307" spans="1:38" x14ac:dyDescent="0.35">
      <c r="A307" t="s">
        <v>29</v>
      </c>
      <c r="E307">
        <v>2.4128159104771243E-2</v>
      </c>
      <c r="F307">
        <f t="shared" si="19"/>
        <v>-1.968435591283884E-2</v>
      </c>
      <c r="G307">
        <f t="shared" si="18"/>
        <v>-3.1171386163709933E-2</v>
      </c>
    </row>
    <row r="308" spans="1:38" x14ac:dyDescent="0.35">
      <c r="A308" t="s">
        <v>29</v>
      </c>
      <c r="E308">
        <v>-2.1065162803908456E-3</v>
      </c>
      <c r="F308">
        <f t="shared" si="19"/>
        <v>-1.9686864372289475E-2</v>
      </c>
      <c r="G308">
        <f t="shared" si="18"/>
        <v>-3.1171386163709933E-2</v>
      </c>
    </row>
    <row r="309" spans="1:38" x14ac:dyDescent="0.35">
      <c r="A309" t="s">
        <v>29</v>
      </c>
      <c r="E309">
        <v>3.9992921709524603E-3</v>
      </c>
      <c r="F309">
        <f t="shared" si="19"/>
        <v>-1.9689372831740114E-2</v>
      </c>
      <c r="G309">
        <f t="shared" si="18"/>
        <v>-3.1171386163709933E-2</v>
      </c>
    </row>
    <row r="310" spans="1:38" x14ac:dyDescent="0.35">
      <c r="A310" t="s">
        <v>29</v>
      </c>
      <c r="E310">
        <v>1.5079899543665341E-2</v>
      </c>
      <c r="F310">
        <f t="shared" si="19"/>
        <v>-1.9691881291190753E-2</v>
      </c>
      <c r="G310">
        <f t="shared" si="18"/>
        <v>-3.1171386163709933E-2</v>
      </c>
    </row>
    <row r="311" spans="1:38" x14ac:dyDescent="0.35">
      <c r="A311" t="s">
        <v>29</v>
      </c>
      <c r="E311">
        <v>5.3254449293422266E-4</v>
      </c>
      <c r="F311">
        <f t="shared" si="19"/>
        <v>-1.9694389750641392E-2</v>
      </c>
      <c r="G311">
        <f t="shared" si="18"/>
        <v>-3.1171386163709933E-2</v>
      </c>
    </row>
    <row r="312" spans="1:38" x14ac:dyDescent="0.35">
      <c r="A312" t="s">
        <v>29</v>
      </c>
      <c r="E312">
        <v>1.1774622075128921E-3</v>
      </c>
      <c r="F312">
        <f t="shared" si="19"/>
        <v>-1.9696898210092031E-2</v>
      </c>
      <c r="G312">
        <f t="shared" si="18"/>
        <v>-3.1171386163709933E-2</v>
      </c>
    </row>
    <row r="313" spans="1:38" x14ac:dyDescent="0.35">
      <c r="A313" t="s">
        <v>29</v>
      </c>
      <c r="E313">
        <v>-1.3148658963311338E-3</v>
      </c>
      <c r="F313">
        <f t="shared" si="19"/>
        <v>-1.969940666954267E-2</v>
      </c>
      <c r="G313">
        <f t="shared" si="18"/>
        <v>-3.1171386163709933E-2</v>
      </c>
    </row>
    <row r="314" spans="1:38" x14ac:dyDescent="0.35">
      <c r="A314" t="s">
        <v>29</v>
      </c>
      <c r="E314">
        <v>8.7253455290168796E-3</v>
      </c>
      <c r="F314">
        <f t="shared" si="19"/>
        <v>-1.9701915128993309E-2</v>
      </c>
      <c r="G314">
        <f t="shared" si="18"/>
        <v>-3.1171386163709933E-2</v>
      </c>
    </row>
    <row r="315" spans="1:38" x14ac:dyDescent="0.35">
      <c r="A315" t="s">
        <v>29</v>
      </c>
      <c r="E315">
        <v>-8.732216209076939E-3</v>
      </c>
      <c r="F315">
        <f t="shared" si="19"/>
        <v>-1.9704423588443949E-2</v>
      </c>
      <c r="G315">
        <f t="shared" si="18"/>
        <v>-3.1171386163709933E-2</v>
      </c>
    </row>
    <row r="316" spans="1:38" x14ac:dyDescent="0.35">
      <c r="A316" t="s">
        <v>30</v>
      </c>
      <c r="B316" s="3" cm="1">
        <f t="array" ref="B316">_xlfn.STDEV.S(_xlfn._xlws.FILTER($E$2:$E$1000, $A$2:$A$1000="2011-04"))</f>
        <v>1.1008796109201488E-2</v>
      </c>
      <c r="C316" s="3" cm="1">
        <f t="array" ref="C316">AVERAGE(_xlfn._xlws.FILTER($E$2:$E$1000, $A$2:$A$1000="2011-04"))</f>
        <v>1.7734239919157695E-3</v>
      </c>
      <c r="D316" s="3" cm="1">
        <f t="array" ref="D316">_xlfn.PERCENTILE.INC(_xlfn._xlws.FILTER($E$253:$E$502, $A$253:$A$502="2011-04"), 0.05)</f>
        <v>-1.5857986009317111E-2</v>
      </c>
      <c r="E316">
        <v>1.7709521489467816E-2</v>
      </c>
      <c r="F316">
        <f t="shared" si="19"/>
        <v>-1.9706932047894584E-2</v>
      </c>
      <c r="G316">
        <f t="shared" si="18"/>
        <v>-3.1171386163709933E-2</v>
      </c>
      <c r="AI316" s="3"/>
      <c r="AJ316" s="3"/>
      <c r="AK316" s="3"/>
      <c r="AL316" s="3"/>
    </row>
    <row r="317" spans="1:38" x14ac:dyDescent="0.35">
      <c r="A317" t="s">
        <v>30</v>
      </c>
      <c r="E317">
        <v>-2.3923941423183532E-3</v>
      </c>
      <c r="F317">
        <f t="shared" si="19"/>
        <v>-1.9709440507345223E-2</v>
      </c>
      <c r="G317">
        <f t="shared" si="18"/>
        <v>-3.1171386163709933E-2</v>
      </c>
    </row>
    <row r="318" spans="1:38" x14ac:dyDescent="0.35">
      <c r="A318" t="s">
        <v>30</v>
      </c>
      <c r="E318">
        <v>-1.6523332803830924E-3</v>
      </c>
      <c r="F318">
        <f t="shared" si="19"/>
        <v>-1.9711948966795862E-2</v>
      </c>
      <c r="G318">
        <f t="shared" si="18"/>
        <v>-3.1171386163709933E-2</v>
      </c>
    </row>
    <row r="319" spans="1:38" x14ac:dyDescent="0.35">
      <c r="A319" t="s">
        <v>30</v>
      </c>
      <c r="E319">
        <v>6.9296040527651584E-3</v>
      </c>
      <c r="F319">
        <f t="shared" si="19"/>
        <v>-1.9714457426246501E-2</v>
      </c>
      <c r="G319">
        <f t="shared" si="18"/>
        <v>-3.1171386163709933E-2</v>
      </c>
    </row>
    <row r="320" spans="1:38" x14ac:dyDescent="0.35">
      <c r="A320" t="s">
        <v>30</v>
      </c>
      <c r="E320">
        <v>-2.6250316244593509E-3</v>
      </c>
      <c r="F320">
        <f t="shared" si="19"/>
        <v>-1.971696588569714E-2</v>
      </c>
      <c r="G320">
        <f t="shared" si="18"/>
        <v>-3.1171386163709933E-2</v>
      </c>
    </row>
    <row r="321" spans="1:38" x14ac:dyDescent="0.35">
      <c r="A321" t="s">
        <v>30</v>
      </c>
      <c r="E321">
        <v>7.0507239395412348E-3</v>
      </c>
      <c r="F321">
        <f t="shared" si="19"/>
        <v>-1.9720085641233221E-2</v>
      </c>
      <c r="G321">
        <f t="shared" si="18"/>
        <v>-3.1237216165307707E-2</v>
      </c>
    </row>
    <row r="322" spans="1:38" x14ac:dyDescent="0.35">
      <c r="A322" t="s">
        <v>30</v>
      </c>
      <c r="E322">
        <v>-3.3829849489033091E-3</v>
      </c>
      <c r="F322">
        <f t="shared" si="19"/>
        <v>-1.9723205396769306E-2</v>
      </c>
      <c r="G322">
        <f t="shared" si="18"/>
        <v>-3.1237216165307707E-2</v>
      </c>
    </row>
    <row r="323" spans="1:38" x14ac:dyDescent="0.35">
      <c r="A323" t="s">
        <v>30</v>
      </c>
      <c r="E323">
        <v>-1.4305523710052379E-2</v>
      </c>
      <c r="F323">
        <f t="shared" si="19"/>
        <v>-1.9726325152305386E-2</v>
      </c>
      <c r="G323">
        <f t="shared" ref="G323:G386" si="20">AVERAGEIFS(E323:E4139,E323:E4139,"&lt;=" &amp; F323)</f>
        <v>-3.1237216165307707E-2</v>
      </c>
    </row>
    <row r="324" spans="1:38" x14ac:dyDescent="0.35">
      <c r="A324" t="s">
        <v>30</v>
      </c>
      <c r="E324">
        <v>6.0010618171130918E-3</v>
      </c>
      <c r="F324">
        <f t="shared" ref="F324:F387" si="21">_xlfn.PERCENTILE.EXC(E324:E4139,0.05)</f>
        <v>-1.9729444907841471E-2</v>
      </c>
      <c r="G324">
        <f t="shared" si="20"/>
        <v>-3.1237216165307707E-2</v>
      </c>
    </row>
    <row r="325" spans="1:38" x14ac:dyDescent="0.35">
      <c r="A325" t="s">
        <v>30</v>
      </c>
      <c r="E325">
        <v>-1.0995901305558596E-2</v>
      </c>
      <c r="F325">
        <f t="shared" si="21"/>
        <v>-1.9732564663377555E-2</v>
      </c>
      <c r="G325">
        <f t="shared" si="20"/>
        <v>-3.1237216165307707E-2</v>
      </c>
    </row>
    <row r="326" spans="1:38" x14ac:dyDescent="0.35">
      <c r="A326" t="s">
        <v>30</v>
      </c>
      <c r="E326">
        <v>4.5573151692449292E-4</v>
      </c>
      <c r="F326">
        <f t="shared" si="21"/>
        <v>-1.9735684418913636E-2</v>
      </c>
      <c r="G326">
        <f t="shared" si="20"/>
        <v>-3.1237216165307707E-2</v>
      </c>
    </row>
    <row r="327" spans="1:38" x14ac:dyDescent="0.35">
      <c r="A327" t="s">
        <v>30</v>
      </c>
      <c r="E327">
        <v>-2.465527237181727E-2</v>
      </c>
      <c r="F327">
        <f t="shared" si="21"/>
        <v>-1.9738804174449717E-2</v>
      </c>
      <c r="G327">
        <f t="shared" si="20"/>
        <v>-3.1237216165307707E-2</v>
      </c>
    </row>
    <row r="328" spans="1:38" x14ac:dyDescent="0.35">
      <c r="A328" t="s">
        <v>30</v>
      </c>
      <c r="E328">
        <v>3.3826626267315224E-3</v>
      </c>
      <c r="F328">
        <f t="shared" si="21"/>
        <v>-1.9686864372289475E-2</v>
      </c>
      <c r="G328">
        <f t="shared" si="20"/>
        <v>-3.1208835093548402E-2</v>
      </c>
    </row>
    <row r="329" spans="1:38" x14ac:dyDescent="0.35">
      <c r="A329" t="s">
        <v>30</v>
      </c>
      <c r="E329">
        <v>2.2087611296923385E-2</v>
      </c>
      <c r="F329">
        <f t="shared" si="21"/>
        <v>-1.9689372831740114E-2</v>
      </c>
      <c r="G329">
        <f t="shared" si="20"/>
        <v>-3.1208835093548402E-2</v>
      </c>
    </row>
    <row r="330" spans="1:38" x14ac:dyDescent="0.35">
      <c r="A330" t="s">
        <v>30</v>
      </c>
      <c r="E330">
        <v>5.0770629378447387E-3</v>
      </c>
      <c r="F330">
        <f t="shared" si="21"/>
        <v>-1.9691881291190753E-2</v>
      </c>
      <c r="G330">
        <f t="shared" si="20"/>
        <v>-3.1208835093548402E-2</v>
      </c>
    </row>
    <row r="331" spans="1:38" x14ac:dyDescent="0.35">
      <c r="A331" t="s">
        <v>30</v>
      </c>
      <c r="E331">
        <v>6.4701854800950408E-3</v>
      </c>
      <c r="F331">
        <f t="shared" si="21"/>
        <v>-1.9694389750641392E-2</v>
      </c>
      <c r="G331">
        <f t="shared" si="20"/>
        <v>-3.1208835093548402E-2</v>
      </c>
    </row>
    <row r="332" spans="1:38" x14ac:dyDescent="0.35">
      <c r="A332" t="s">
        <v>30</v>
      </c>
      <c r="E332">
        <v>7.4937776418799052E-3</v>
      </c>
      <c r="F332">
        <f t="shared" si="21"/>
        <v>-1.9696898210092031E-2</v>
      </c>
      <c r="G332">
        <f t="shared" si="20"/>
        <v>-3.1208835093548402E-2</v>
      </c>
    </row>
    <row r="333" spans="1:38" x14ac:dyDescent="0.35">
      <c r="A333" t="s">
        <v>30</v>
      </c>
      <c r="E333">
        <v>9.2731304386898181E-3</v>
      </c>
      <c r="F333">
        <f t="shared" si="21"/>
        <v>-1.969940666954267E-2</v>
      </c>
      <c r="G333">
        <f t="shared" si="20"/>
        <v>-3.1208835093548402E-2</v>
      </c>
    </row>
    <row r="334" spans="1:38" x14ac:dyDescent="0.35">
      <c r="A334" t="s">
        <v>31</v>
      </c>
      <c r="B334" s="3" cm="1">
        <f t="array" ref="B334">_xlfn.STDEV.S(_xlfn._xlws.FILTER($E$2:$E$1000, $A$2:$A$1000="2011-05"))</f>
        <v>1.050642668188316E-2</v>
      </c>
      <c r="C334" s="3" cm="1">
        <f t="array" ref="C334">AVERAGE(_xlfn._xlws.FILTER($E$2:$E$1000, $A$2:$A$1000="2011-05"))</f>
        <v>-2.4447325333321925E-3</v>
      </c>
      <c r="D334" s="3" cm="1">
        <f t="array" ref="D334">_xlfn.PERCENTILE.EXC(_xlfn._xlws.FILTER($E$253:$E$502, $A$253:$A$502="2011-05"), 0.05)</f>
        <v>-2.0952326222377464E-2</v>
      </c>
      <c r="E334">
        <v>-1.6450987106005933E-3</v>
      </c>
      <c r="F334">
        <f t="shared" si="21"/>
        <v>-1.9701915128993309E-2</v>
      </c>
      <c r="G334">
        <f t="shared" si="20"/>
        <v>-3.1208835093548402E-2</v>
      </c>
      <c r="AI334" s="3"/>
      <c r="AJ334" s="3"/>
      <c r="AK334" s="3"/>
      <c r="AL334" s="3"/>
    </row>
    <row r="335" spans="1:38" x14ac:dyDescent="0.35">
      <c r="A335" t="s">
        <v>31</v>
      </c>
      <c r="E335">
        <v>-1.6252598435815842E-2</v>
      </c>
      <c r="F335">
        <f t="shared" si="21"/>
        <v>-1.9704423588443949E-2</v>
      </c>
      <c r="G335">
        <f t="shared" si="20"/>
        <v>-3.1208835093548402E-2</v>
      </c>
    </row>
    <row r="336" spans="1:38" x14ac:dyDescent="0.35">
      <c r="A336" t="s">
        <v>31</v>
      </c>
      <c r="E336">
        <v>-8.6688439229569078E-3</v>
      </c>
      <c r="F336">
        <f t="shared" si="21"/>
        <v>-1.9706932047894584E-2</v>
      </c>
      <c r="G336">
        <f t="shared" si="20"/>
        <v>-3.1208835093548402E-2</v>
      </c>
    </row>
    <row r="337" spans="1:7" x14ac:dyDescent="0.35">
      <c r="A337" t="s">
        <v>31</v>
      </c>
      <c r="E337">
        <v>8.9669004610692382E-3</v>
      </c>
      <c r="F337">
        <f t="shared" si="21"/>
        <v>-1.9709440507345223E-2</v>
      </c>
      <c r="G337">
        <f t="shared" si="20"/>
        <v>-3.1208835093548402E-2</v>
      </c>
    </row>
    <row r="338" spans="1:7" x14ac:dyDescent="0.35">
      <c r="A338" t="s">
        <v>31</v>
      </c>
      <c r="E338">
        <v>-1.7249757382457896E-2</v>
      </c>
      <c r="F338">
        <f t="shared" si="21"/>
        <v>-1.9711948966795862E-2</v>
      </c>
      <c r="G338">
        <f t="shared" si="20"/>
        <v>-3.1208835093548402E-2</v>
      </c>
    </row>
    <row r="339" spans="1:7" x14ac:dyDescent="0.35">
      <c r="A339" t="s">
        <v>31</v>
      </c>
      <c r="E339">
        <v>1.253821151067221E-2</v>
      </c>
      <c r="F339">
        <f t="shared" si="21"/>
        <v>-1.9714457426246501E-2</v>
      </c>
      <c r="G339">
        <f t="shared" si="20"/>
        <v>-3.1208835093548402E-2</v>
      </c>
    </row>
    <row r="340" spans="1:7" x14ac:dyDescent="0.35">
      <c r="A340" t="s">
        <v>31</v>
      </c>
      <c r="E340">
        <v>1.1595781251550418E-3</v>
      </c>
      <c r="F340">
        <f t="shared" si="21"/>
        <v>-1.971696588569714E-2</v>
      </c>
      <c r="G340">
        <f t="shared" si="20"/>
        <v>-3.1208835093548402E-2</v>
      </c>
    </row>
    <row r="341" spans="1:7" x14ac:dyDescent="0.35">
      <c r="A341" t="s">
        <v>31</v>
      </c>
      <c r="E341">
        <v>-8.6629389376436591E-3</v>
      </c>
      <c r="F341">
        <f t="shared" si="21"/>
        <v>-1.9720085641233221E-2</v>
      </c>
      <c r="G341">
        <f t="shared" si="20"/>
        <v>-3.1275262083189155E-2</v>
      </c>
    </row>
    <row r="342" spans="1:7" x14ac:dyDescent="0.35">
      <c r="A342" t="s">
        <v>31</v>
      </c>
      <c r="E342">
        <v>-7.7258994154968163E-3</v>
      </c>
      <c r="F342">
        <f t="shared" si="21"/>
        <v>-1.9723205396769306E-2</v>
      </c>
      <c r="G342">
        <f t="shared" si="20"/>
        <v>-3.1275262083189155E-2</v>
      </c>
    </row>
    <row r="343" spans="1:7" x14ac:dyDescent="0.35">
      <c r="A343" t="s">
        <v>31</v>
      </c>
      <c r="E343">
        <v>-4.6018803803572822E-3</v>
      </c>
      <c r="F343">
        <f t="shared" si="21"/>
        <v>-1.9726325152305386E-2</v>
      </c>
      <c r="G343">
        <f t="shared" si="20"/>
        <v>-3.1275262083189155E-2</v>
      </c>
    </row>
    <row r="344" spans="1:7" x14ac:dyDescent="0.35">
      <c r="A344" t="s">
        <v>31</v>
      </c>
      <c r="E344">
        <v>-1.1066418287749683E-2</v>
      </c>
      <c r="F344">
        <f t="shared" si="21"/>
        <v>-1.9729444907841471E-2</v>
      </c>
      <c r="G344">
        <f t="shared" si="20"/>
        <v>-3.1275262083189155E-2</v>
      </c>
    </row>
    <row r="345" spans="1:7" x14ac:dyDescent="0.35">
      <c r="A345" t="s">
        <v>31</v>
      </c>
      <c r="E345">
        <v>6.192186869160495E-3</v>
      </c>
      <c r="F345">
        <f t="shared" si="21"/>
        <v>-1.9732564663377555E-2</v>
      </c>
      <c r="G345">
        <f t="shared" si="20"/>
        <v>-3.1275262083189155E-2</v>
      </c>
    </row>
    <row r="346" spans="1:7" x14ac:dyDescent="0.35">
      <c r="A346" t="s">
        <v>31</v>
      </c>
      <c r="E346">
        <v>8.0932726101839193E-3</v>
      </c>
      <c r="F346">
        <f t="shared" si="21"/>
        <v>-1.9735684418913636E-2</v>
      </c>
      <c r="G346">
        <f t="shared" si="20"/>
        <v>-3.1275262083189155E-2</v>
      </c>
    </row>
    <row r="347" spans="1:7" x14ac:dyDescent="0.35">
      <c r="A347" t="s">
        <v>31</v>
      </c>
      <c r="E347">
        <v>-1.2749581710993284E-2</v>
      </c>
      <c r="F347">
        <f t="shared" si="21"/>
        <v>-1.9738804174449717E-2</v>
      </c>
      <c r="G347">
        <f t="shared" si="20"/>
        <v>-3.1275262083189155E-2</v>
      </c>
    </row>
    <row r="348" spans="1:7" x14ac:dyDescent="0.35">
      <c r="A348" t="s">
        <v>31</v>
      </c>
      <c r="E348">
        <v>-2.1147198266583758E-2</v>
      </c>
      <c r="F348">
        <f t="shared" si="21"/>
        <v>-1.9741923929985802E-2</v>
      </c>
      <c r="G348">
        <f t="shared" si="20"/>
        <v>-3.1275262083189155E-2</v>
      </c>
    </row>
    <row r="349" spans="1:7" x14ac:dyDescent="0.35">
      <c r="A349" t="s">
        <v>31</v>
      </c>
      <c r="E349">
        <v>2.5055727222751296E-3</v>
      </c>
      <c r="F349">
        <f t="shared" si="21"/>
        <v>-1.9689372831740114E-2</v>
      </c>
      <c r="G349">
        <f t="shared" si="20"/>
        <v>-3.1266994843993284E-2</v>
      </c>
    </row>
    <row r="350" spans="1:7" x14ac:dyDescent="0.35">
      <c r="A350" t="s">
        <v>31</v>
      </c>
      <c r="E350">
        <v>5.5428034917952788E-3</v>
      </c>
      <c r="F350">
        <f t="shared" si="21"/>
        <v>-1.9691881291190753E-2</v>
      </c>
      <c r="G350">
        <f t="shared" si="20"/>
        <v>-3.1266994843993284E-2</v>
      </c>
    </row>
    <row r="351" spans="1:7" x14ac:dyDescent="0.35">
      <c r="A351" t="s">
        <v>31</v>
      </c>
      <c r="E351">
        <v>-6.0605598686404062E-3</v>
      </c>
      <c r="F351">
        <f t="shared" si="21"/>
        <v>-1.9694389750641392E-2</v>
      </c>
      <c r="G351">
        <f t="shared" si="20"/>
        <v>-3.1266994843993284E-2</v>
      </c>
    </row>
    <row r="352" spans="1:7" x14ac:dyDescent="0.35">
      <c r="A352" t="s">
        <v>31</v>
      </c>
      <c r="E352">
        <v>6.9689669542304239E-3</v>
      </c>
      <c r="F352">
        <f t="shared" si="21"/>
        <v>-1.9696898210092031E-2</v>
      </c>
      <c r="G352">
        <f t="shared" si="20"/>
        <v>-3.1266994843993284E-2</v>
      </c>
    </row>
    <row r="353" spans="1:38" x14ac:dyDescent="0.35">
      <c r="A353" t="s">
        <v>31</v>
      </c>
      <c r="E353">
        <v>1.4968631908110557E-2</v>
      </c>
      <c r="F353">
        <f t="shared" si="21"/>
        <v>-1.969940666954267E-2</v>
      </c>
      <c r="G353">
        <f t="shared" si="20"/>
        <v>-3.1266994843993284E-2</v>
      </c>
    </row>
    <row r="354" spans="1:38" x14ac:dyDescent="0.35">
      <c r="A354" t="s">
        <v>32</v>
      </c>
      <c r="B354" s="3" cm="1">
        <f t="array" ref="B354">_xlfn.STDEV.S(_xlfn._xlws.FILTER($E$2:$E$1000, $A$2:$A$1000="2011-06"))</f>
        <v>1.2823030006059796E-2</v>
      </c>
      <c r="C354" s="3" cm="1">
        <f t="array" ref="C354">AVERAGE(_xlfn._xlws.FILTER($E$2:$E$1000, $A$2:$A$1000="2011-06"))</f>
        <v>-2.1316620550328197E-4</v>
      </c>
      <c r="D354" s="3" cm="1">
        <f t="array" ref="D354">_xlfn.PERCENTILE.EXC(_xlfn._xlws.FILTER($E$253:$E$502, $A$253:$A$502="2011-06"), 0.05)</f>
        <v>-2.2391252527640734E-2</v>
      </c>
      <c r="E354">
        <v>-1.204321376457947E-2</v>
      </c>
      <c r="F354">
        <f t="shared" si="21"/>
        <v>-1.9701915128993309E-2</v>
      </c>
      <c r="G354">
        <f t="shared" si="20"/>
        <v>-3.1266994843993284E-2</v>
      </c>
      <c r="AI354" s="3"/>
      <c r="AJ354" s="3"/>
      <c r="AK354" s="3"/>
      <c r="AL354" s="3"/>
    </row>
    <row r="355" spans="1:38" x14ac:dyDescent="0.35">
      <c r="A355" t="s">
        <v>32</v>
      </c>
      <c r="E355">
        <v>-1.6074553414389837E-2</v>
      </c>
      <c r="F355">
        <f t="shared" si="21"/>
        <v>-1.9704423588443949E-2</v>
      </c>
      <c r="G355">
        <f t="shared" si="20"/>
        <v>-3.1266994843993284E-2</v>
      </c>
    </row>
    <row r="356" spans="1:38" x14ac:dyDescent="0.35">
      <c r="A356" t="s">
        <v>32</v>
      </c>
      <c r="E356">
        <v>2.347587443494841E-3</v>
      </c>
      <c r="F356">
        <f t="shared" si="21"/>
        <v>-1.9706932047894584E-2</v>
      </c>
      <c r="G356">
        <f t="shared" si="20"/>
        <v>-3.1266994843993284E-2</v>
      </c>
    </row>
    <row r="357" spans="1:38" x14ac:dyDescent="0.35">
      <c r="A357" t="s">
        <v>32</v>
      </c>
      <c r="E357">
        <v>-8.5625716691271406E-3</v>
      </c>
      <c r="F357">
        <f t="shared" si="21"/>
        <v>-1.9709440507345223E-2</v>
      </c>
      <c r="G357">
        <f t="shared" si="20"/>
        <v>-3.1266994843993284E-2</v>
      </c>
    </row>
    <row r="358" spans="1:38" x14ac:dyDescent="0.35">
      <c r="A358" t="s">
        <v>32</v>
      </c>
      <c r="E358">
        <v>3.310573925621695E-3</v>
      </c>
      <c r="F358">
        <f t="shared" si="21"/>
        <v>-1.9711948966795862E-2</v>
      </c>
      <c r="G358">
        <f t="shared" si="20"/>
        <v>-3.1266994843993284E-2</v>
      </c>
    </row>
    <row r="359" spans="1:38" x14ac:dyDescent="0.35">
      <c r="A359" t="s">
        <v>32</v>
      </c>
      <c r="E359">
        <v>-8.1208286248075547E-3</v>
      </c>
      <c r="F359">
        <f t="shared" si="21"/>
        <v>-1.9714457426246501E-2</v>
      </c>
      <c r="G359">
        <f t="shared" si="20"/>
        <v>-3.1266994843993284E-2</v>
      </c>
    </row>
    <row r="360" spans="1:38" x14ac:dyDescent="0.35">
      <c r="A360" t="s">
        <v>32</v>
      </c>
      <c r="E360">
        <v>9.4247177844731383E-3</v>
      </c>
      <c r="F360">
        <f t="shared" si="21"/>
        <v>-1.971696588569714E-2</v>
      </c>
      <c r="G360">
        <f t="shared" si="20"/>
        <v>-3.1266994843993284E-2</v>
      </c>
    </row>
    <row r="361" spans="1:38" x14ac:dyDescent="0.35">
      <c r="A361" t="s">
        <v>32</v>
      </c>
      <c r="E361">
        <v>-1.6542860372739263E-2</v>
      </c>
      <c r="F361">
        <f t="shared" si="21"/>
        <v>-1.9720085641233221E-2</v>
      </c>
      <c r="G361">
        <f t="shared" si="20"/>
        <v>-3.1334146175146169E-2</v>
      </c>
    </row>
    <row r="362" spans="1:38" x14ac:dyDescent="0.35">
      <c r="A362" t="s">
        <v>32</v>
      </c>
      <c r="E362">
        <v>5.1587034139610505E-4</v>
      </c>
      <c r="F362">
        <f t="shared" si="21"/>
        <v>-1.9723205396769306E-2</v>
      </c>
      <c r="G362">
        <f t="shared" si="20"/>
        <v>-3.1334146175146169E-2</v>
      </c>
    </row>
    <row r="363" spans="1:38" x14ac:dyDescent="0.35">
      <c r="A363" t="s">
        <v>32</v>
      </c>
      <c r="E363">
        <v>1.6681894823680803E-2</v>
      </c>
      <c r="F363">
        <f t="shared" si="21"/>
        <v>-1.9726325152305386E-2</v>
      </c>
      <c r="G363">
        <f t="shared" si="20"/>
        <v>-3.1334146175146169E-2</v>
      </c>
    </row>
    <row r="364" spans="1:38" x14ac:dyDescent="0.35">
      <c r="A364" t="s">
        <v>32</v>
      </c>
      <c r="E364">
        <v>-1.7578435882186955E-2</v>
      </c>
      <c r="F364">
        <f t="shared" si="21"/>
        <v>-1.9729444907841471E-2</v>
      </c>
      <c r="G364">
        <f t="shared" si="20"/>
        <v>-3.1334146175146169E-2</v>
      </c>
    </row>
    <row r="365" spans="1:38" x14ac:dyDescent="0.35">
      <c r="A365" t="s">
        <v>32</v>
      </c>
      <c r="E365">
        <v>-3.2221921437611847E-4</v>
      </c>
      <c r="F365">
        <f t="shared" si="21"/>
        <v>-1.9732564663377555E-2</v>
      </c>
      <c r="G365">
        <f t="shared" si="20"/>
        <v>-3.1334146175146169E-2</v>
      </c>
    </row>
    <row r="366" spans="1:38" x14ac:dyDescent="0.35">
      <c r="A366" t="s">
        <v>32</v>
      </c>
      <c r="E366">
        <v>1.4361950921286523E-2</v>
      </c>
      <c r="F366">
        <f t="shared" si="21"/>
        <v>-1.9735684418913636E-2</v>
      </c>
      <c r="G366">
        <f t="shared" si="20"/>
        <v>-3.1334146175146169E-2</v>
      </c>
    </row>
    <row r="367" spans="1:38" x14ac:dyDescent="0.35">
      <c r="A367" t="s">
        <v>32</v>
      </c>
      <c r="E367">
        <v>-8.0136271968746006E-3</v>
      </c>
      <c r="F367">
        <f t="shared" si="21"/>
        <v>-1.9738804174449717E-2</v>
      </c>
      <c r="G367">
        <f t="shared" si="20"/>
        <v>-3.1334146175146169E-2</v>
      </c>
    </row>
    <row r="368" spans="1:38" x14ac:dyDescent="0.35">
      <c r="A368" t="s">
        <v>32</v>
      </c>
      <c r="E368">
        <v>1.9452865665403708E-2</v>
      </c>
      <c r="F368">
        <f t="shared" si="21"/>
        <v>-1.9741923929985802E-2</v>
      </c>
      <c r="G368">
        <f t="shared" si="20"/>
        <v>-3.1334146175146169E-2</v>
      </c>
    </row>
    <row r="369" spans="1:38" x14ac:dyDescent="0.35">
      <c r="A369" t="s">
        <v>32</v>
      </c>
      <c r="E369">
        <v>-2.4727280129069914E-3</v>
      </c>
      <c r="F369">
        <f t="shared" si="21"/>
        <v>-1.9745043685521883E-2</v>
      </c>
      <c r="G369">
        <f t="shared" si="20"/>
        <v>-3.1334146175146169E-2</v>
      </c>
    </row>
    <row r="370" spans="1:38" x14ac:dyDescent="0.35">
      <c r="A370" t="s">
        <v>32</v>
      </c>
      <c r="E370">
        <v>-2.3240573112132578E-2</v>
      </c>
      <c r="F370">
        <f t="shared" si="21"/>
        <v>-1.9748163441057967E-2</v>
      </c>
      <c r="G370">
        <f t="shared" si="20"/>
        <v>-3.1334146175146169E-2</v>
      </c>
    </row>
    <row r="371" spans="1:38" x14ac:dyDescent="0.35">
      <c r="A371" t="s">
        <v>32</v>
      </c>
      <c r="E371">
        <v>-5.5005518051685119E-3</v>
      </c>
      <c r="F371">
        <f t="shared" si="21"/>
        <v>-1.9694389750641392E-2</v>
      </c>
      <c r="G371">
        <f t="shared" si="20"/>
        <v>-3.1313660086620385E-2</v>
      </c>
    </row>
    <row r="372" spans="1:38" x14ac:dyDescent="0.35">
      <c r="A372" t="s">
        <v>32</v>
      </c>
      <c r="E372">
        <v>2.9596643545414855E-3</v>
      </c>
      <c r="F372">
        <f t="shared" si="21"/>
        <v>-1.9696898210092031E-2</v>
      </c>
      <c r="G372">
        <f t="shared" si="20"/>
        <v>-3.1313660086620385E-2</v>
      </c>
    </row>
    <row r="373" spans="1:38" x14ac:dyDescent="0.35">
      <c r="A373" t="s">
        <v>32</v>
      </c>
      <c r="E373">
        <v>9.7033871707586424E-3</v>
      </c>
      <c r="F373">
        <f t="shared" si="21"/>
        <v>-1.969940666954267E-2</v>
      </c>
      <c r="G373">
        <f t="shared" si="20"/>
        <v>-3.1313660086620385E-2</v>
      </c>
    </row>
    <row r="374" spans="1:38" x14ac:dyDescent="0.35">
      <c r="A374" t="s">
        <v>32</v>
      </c>
      <c r="E374">
        <v>1.8750639394061071E-2</v>
      </c>
      <c r="F374">
        <f t="shared" si="21"/>
        <v>-1.9701915128993309E-2</v>
      </c>
      <c r="G374">
        <f t="shared" si="20"/>
        <v>-3.1313660086620385E-2</v>
      </c>
    </row>
    <row r="375" spans="1:38" x14ac:dyDescent="0.35">
      <c r="A375" t="s">
        <v>32</v>
      </c>
      <c r="E375">
        <v>1.6273354723498813E-2</v>
      </c>
      <c r="F375">
        <f t="shared" si="21"/>
        <v>-1.9704423588443949E-2</v>
      </c>
      <c r="G375">
        <f t="shared" si="20"/>
        <v>-3.1313660086620385E-2</v>
      </c>
    </row>
    <row r="376" spans="1:38" x14ac:dyDescent="0.35">
      <c r="A376" t="s">
        <v>33</v>
      </c>
      <c r="B376" s="3" cm="1">
        <f t="array" ref="B376">_xlfn.STDEV.S(_xlfn._xlws.FILTER($E$2:$E$1000, $A$2:$A$1000="2011-07"))</f>
        <v>1.2797648691979706E-2</v>
      </c>
      <c r="C376" s="3" cm="1">
        <f t="array" ref="C376">AVERAGE(_xlfn._xlws.FILTER($E$2:$E$1000, $A$2:$A$1000="2011-07"))</f>
        <v>-3.0755253405436926E-3</v>
      </c>
      <c r="D376" s="3" cm="1">
        <f t="array" ref="D376">_xlfn.PERCENTILE.EXC(_xlfn._xlws.FILTER($E$253:$E$502, $A$253:$A$502="2011-07"), 0.05)</f>
        <v>-2.8500025885579816E-2</v>
      </c>
      <c r="E376">
        <v>9.4826188354347023E-3</v>
      </c>
      <c r="F376">
        <f t="shared" si="21"/>
        <v>-1.9706932047894584E-2</v>
      </c>
      <c r="G376">
        <f t="shared" si="20"/>
        <v>-3.1313660086620385E-2</v>
      </c>
      <c r="AI376" s="3"/>
      <c r="AJ376" s="3"/>
      <c r="AK376" s="3"/>
      <c r="AL376" s="3"/>
    </row>
    <row r="377" spans="1:38" x14ac:dyDescent="0.35">
      <c r="A377" t="s">
        <v>33</v>
      </c>
      <c r="E377">
        <v>-1.9074609063009706E-3</v>
      </c>
      <c r="F377">
        <f t="shared" si="21"/>
        <v>-1.9709440507345223E-2</v>
      </c>
      <c r="G377">
        <f t="shared" si="20"/>
        <v>-3.1313660086620385E-2</v>
      </c>
    </row>
    <row r="378" spans="1:38" x14ac:dyDescent="0.35">
      <c r="A378" t="s">
        <v>33</v>
      </c>
      <c r="E378">
        <v>-6.8803040310506519E-3</v>
      </c>
      <c r="F378">
        <f t="shared" si="21"/>
        <v>-1.9711948966795862E-2</v>
      </c>
      <c r="G378">
        <f t="shared" si="20"/>
        <v>-3.1313660086620385E-2</v>
      </c>
    </row>
    <row r="379" spans="1:38" x14ac:dyDescent="0.35">
      <c r="A379" t="s">
        <v>33</v>
      </c>
      <c r="E379">
        <v>-6.2923169212467066E-3</v>
      </c>
      <c r="F379">
        <f t="shared" si="21"/>
        <v>-1.9714457426246501E-2</v>
      </c>
      <c r="G379">
        <f t="shared" si="20"/>
        <v>-3.1313660086620385E-2</v>
      </c>
    </row>
    <row r="380" spans="1:38" x14ac:dyDescent="0.35">
      <c r="A380" t="s">
        <v>33</v>
      </c>
      <c r="E380">
        <v>4.185212040159275E-3</v>
      </c>
      <c r="F380">
        <f t="shared" si="21"/>
        <v>-1.971696588569714E-2</v>
      </c>
      <c r="G380">
        <f t="shared" si="20"/>
        <v>-3.1313660086620385E-2</v>
      </c>
    </row>
    <row r="381" spans="1:38" x14ac:dyDescent="0.35">
      <c r="A381" t="s">
        <v>33</v>
      </c>
      <c r="E381">
        <v>-1.9316967381212115E-2</v>
      </c>
      <c r="F381">
        <f t="shared" si="21"/>
        <v>-1.9720085641233221E-2</v>
      </c>
      <c r="G381">
        <f t="shared" si="20"/>
        <v>-3.1381477011771977E-2</v>
      </c>
    </row>
    <row r="382" spans="1:38" x14ac:dyDescent="0.35">
      <c r="A382" t="s">
        <v>33</v>
      </c>
      <c r="E382">
        <v>-2.9442612023332773E-2</v>
      </c>
      <c r="F382">
        <f t="shared" si="21"/>
        <v>-1.9723205396769306E-2</v>
      </c>
      <c r="G382">
        <f t="shared" si="20"/>
        <v>-3.1381477011771977E-2</v>
      </c>
    </row>
    <row r="383" spans="1:38" x14ac:dyDescent="0.35">
      <c r="A383" t="s">
        <v>33</v>
      </c>
      <c r="E383">
        <v>-5.7786403531188916E-3</v>
      </c>
      <c r="F383">
        <f t="shared" si="21"/>
        <v>-1.9674322075036284E-2</v>
      </c>
      <c r="G383">
        <f t="shared" si="20"/>
        <v>-3.1324601888160081E-2</v>
      </c>
    </row>
    <row r="384" spans="1:38" x14ac:dyDescent="0.35">
      <c r="A384" t="s">
        <v>33</v>
      </c>
      <c r="E384">
        <v>7.9577684215253984E-3</v>
      </c>
      <c r="F384">
        <f t="shared" si="21"/>
        <v>-1.9676830534486923E-2</v>
      </c>
      <c r="G384">
        <f t="shared" si="20"/>
        <v>-3.1324601888160081E-2</v>
      </c>
    </row>
    <row r="385" spans="1:38" x14ac:dyDescent="0.35">
      <c r="A385" t="s">
        <v>33</v>
      </c>
      <c r="E385">
        <v>-7.304564171771776E-3</v>
      </c>
      <c r="F385">
        <f t="shared" si="21"/>
        <v>-1.9679338993937562E-2</v>
      </c>
      <c r="G385">
        <f t="shared" si="20"/>
        <v>-3.1324601888160081E-2</v>
      </c>
    </row>
    <row r="386" spans="1:38" x14ac:dyDescent="0.35">
      <c r="A386" t="s">
        <v>33</v>
      </c>
      <c r="E386">
        <v>-7.4143789170847919E-3</v>
      </c>
      <c r="F386">
        <f t="shared" si="21"/>
        <v>-1.9681847453388201E-2</v>
      </c>
      <c r="G386">
        <f t="shared" si="20"/>
        <v>-3.1324601888160081E-2</v>
      </c>
    </row>
    <row r="387" spans="1:38" x14ac:dyDescent="0.35">
      <c r="A387" t="s">
        <v>33</v>
      </c>
      <c r="E387">
        <v>-2.0016750645803216E-2</v>
      </c>
      <c r="F387">
        <f t="shared" si="21"/>
        <v>-1.968435591283884E-2</v>
      </c>
      <c r="G387">
        <f t="shared" ref="G387:G450" si="22">AVERAGEIFS(E387:E4203,E387:E4203,"&lt;=" &amp; F387)</f>
        <v>-3.1324601888160081E-2</v>
      </c>
    </row>
    <row r="388" spans="1:38" x14ac:dyDescent="0.35">
      <c r="A388" t="s">
        <v>33</v>
      </c>
      <c r="E388">
        <v>1.3292340693596616E-2</v>
      </c>
      <c r="F388">
        <f t="shared" ref="F388:F451" si="23">_xlfn.PERCENTILE.EXC(E388:E4203,0.05)</f>
        <v>-1.9632294559463956E-2</v>
      </c>
      <c r="G388">
        <f t="shared" si="22"/>
        <v>-3.1322555373837747E-2</v>
      </c>
    </row>
    <row r="389" spans="1:38" x14ac:dyDescent="0.35">
      <c r="A389" t="s">
        <v>33</v>
      </c>
      <c r="E389">
        <v>1.8012121811597875E-2</v>
      </c>
      <c r="F389">
        <f t="shared" si="23"/>
        <v>-1.9635169737565655E-2</v>
      </c>
      <c r="G389">
        <f t="shared" si="22"/>
        <v>-3.1322555373837747E-2</v>
      </c>
    </row>
    <row r="390" spans="1:38" x14ac:dyDescent="0.35">
      <c r="A390" t="s">
        <v>33</v>
      </c>
      <c r="E390">
        <v>2.1060954828300223E-2</v>
      </c>
      <c r="F390">
        <f t="shared" si="23"/>
        <v>-1.9638044915667358E-2</v>
      </c>
      <c r="G390">
        <f t="shared" si="22"/>
        <v>-3.1322555373837747E-2</v>
      </c>
    </row>
    <row r="391" spans="1:38" x14ac:dyDescent="0.35">
      <c r="A391" t="s">
        <v>33</v>
      </c>
      <c r="E391">
        <v>3.3454151007195959E-3</v>
      </c>
      <c r="F391">
        <f t="shared" si="23"/>
        <v>-1.9640920093769058E-2</v>
      </c>
      <c r="G391">
        <f t="shared" si="22"/>
        <v>-3.1322555373837747E-2</v>
      </c>
    </row>
    <row r="392" spans="1:38" x14ac:dyDescent="0.35">
      <c r="A392" t="s">
        <v>33</v>
      </c>
      <c r="E392">
        <v>-1.0842671451613063E-2</v>
      </c>
      <c r="F392">
        <f t="shared" si="23"/>
        <v>-1.9643795271870761E-2</v>
      </c>
      <c r="G392">
        <f t="shared" si="22"/>
        <v>-3.1322555373837747E-2</v>
      </c>
    </row>
    <row r="393" spans="1:38" x14ac:dyDescent="0.35">
      <c r="A393" t="s">
        <v>33</v>
      </c>
      <c r="E393">
        <v>-1.1126616559184511E-3</v>
      </c>
      <c r="F393">
        <f t="shared" si="23"/>
        <v>-1.964667044997246E-2</v>
      </c>
      <c r="G393">
        <f t="shared" si="22"/>
        <v>-3.1322555373837747E-2</v>
      </c>
    </row>
    <row r="394" spans="1:38" x14ac:dyDescent="0.35">
      <c r="A394" t="s">
        <v>33</v>
      </c>
      <c r="E394">
        <v>-1.6910749442871673E-2</v>
      </c>
      <c r="F394">
        <f t="shared" si="23"/>
        <v>-1.9649545628074163E-2</v>
      </c>
      <c r="G394">
        <f t="shared" si="22"/>
        <v>-3.1322555373837747E-2</v>
      </c>
    </row>
    <row r="395" spans="1:38" x14ac:dyDescent="0.35">
      <c r="A395" t="s">
        <v>33</v>
      </c>
      <c r="E395">
        <v>-3.5273565427821615E-4</v>
      </c>
      <c r="F395">
        <f t="shared" si="23"/>
        <v>-1.9652420806175866E-2</v>
      </c>
      <c r="G395">
        <f t="shared" si="22"/>
        <v>-3.1322555373837747E-2</v>
      </c>
    </row>
    <row r="396" spans="1:38" x14ac:dyDescent="0.35">
      <c r="A396" t="s">
        <v>33</v>
      </c>
      <c r="E396">
        <v>-8.3496503271479269E-3</v>
      </c>
      <c r="F396">
        <f t="shared" si="23"/>
        <v>-1.9655295984277565E-2</v>
      </c>
      <c r="G396">
        <f t="shared" si="22"/>
        <v>-3.1322555373837747E-2</v>
      </c>
    </row>
    <row r="397" spans="1:38" x14ac:dyDescent="0.35">
      <c r="A397" t="s">
        <v>34</v>
      </c>
      <c r="B397" s="3" cm="1">
        <f t="array" ref="B397">_xlfn.STDEV.S(_xlfn._xlws.FILTER($E$2:$E$1000, $A$2:$A$1000="2011-08"))</f>
        <v>2.7728341006958802E-2</v>
      </c>
      <c r="C397" s="3" cm="1">
        <f t="array" ref="C397">AVERAGE(_xlfn._xlws.FILTER($E$2:$E$1000, $A$2:$A$1000="2011-08"))</f>
        <v>-7.0668560716782118E-3</v>
      </c>
      <c r="D397" s="3" cm="1">
        <f t="array" ref="D397">_xlfn.PERCENTILE.EXC(_xlfn._xlws.FILTER($E$253:$E$502, $A$253:$A$502="2011-08"), 0.05)</f>
        <v>-6.2352798893702238E-2</v>
      </c>
      <c r="E397">
        <v>-2.9270419377335651E-2</v>
      </c>
      <c r="F397">
        <f t="shared" si="23"/>
        <v>-1.9658171162379265E-2</v>
      </c>
      <c r="G397">
        <f t="shared" si="22"/>
        <v>-3.1322555373837747E-2</v>
      </c>
      <c r="AI397" s="3"/>
      <c r="AJ397" s="3"/>
      <c r="AK397" s="3"/>
      <c r="AL397" s="3"/>
    </row>
    <row r="398" spans="1:38" x14ac:dyDescent="0.35">
      <c r="A398" t="s">
        <v>34</v>
      </c>
      <c r="E398">
        <v>-1.8859193148514759E-2</v>
      </c>
      <c r="F398">
        <f t="shared" si="23"/>
        <v>-1.9600096875807865E-2</v>
      </c>
      <c r="G398">
        <f t="shared" si="22"/>
        <v>-3.1266057559553036E-2</v>
      </c>
    </row>
    <row r="399" spans="1:38" x14ac:dyDescent="0.35">
      <c r="A399" t="s">
        <v>34</v>
      </c>
      <c r="E399">
        <v>-1.8665072120436704E-2</v>
      </c>
      <c r="F399">
        <f t="shared" si="23"/>
        <v>-1.9604695005229104E-2</v>
      </c>
      <c r="G399">
        <f t="shared" si="22"/>
        <v>-3.1266057559553036E-2</v>
      </c>
    </row>
    <row r="400" spans="1:38" x14ac:dyDescent="0.35">
      <c r="A400" t="s">
        <v>34</v>
      </c>
      <c r="E400">
        <v>-3.4845851133920684E-2</v>
      </c>
      <c r="F400">
        <f t="shared" si="23"/>
        <v>-1.9609293134650346E-2</v>
      </c>
      <c r="G400">
        <f t="shared" si="22"/>
        <v>-3.1266057559553036E-2</v>
      </c>
    </row>
    <row r="401" spans="1:7" x14ac:dyDescent="0.35">
      <c r="A401" t="s">
        <v>34</v>
      </c>
      <c r="E401">
        <v>-1.5515910423136043E-2</v>
      </c>
      <c r="F401">
        <f t="shared" si="23"/>
        <v>-1.9521928675646786E-2</v>
      </c>
      <c r="G401">
        <f t="shared" si="22"/>
        <v>-3.1244999950292052E-2</v>
      </c>
    </row>
    <row r="402" spans="1:7" x14ac:dyDescent="0.35">
      <c r="A402" t="s">
        <v>34</v>
      </c>
      <c r="E402">
        <v>-3.7859031984679839E-2</v>
      </c>
      <c r="F402">
        <f t="shared" si="23"/>
        <v>-1.9526526805068025E-2</v>
      </c>
      <c r="G402">
        <f t="shared" si="22"/>
        <v>-3.1244999950292052E-2</v>
      </c>
    </row>
    <row r="403" spans="1:7" x14ac:dyDescent="0.35">
      <c r="A403" t="s">
        <v>34</v>
      </c>
      <c r="E403">
        <v>3.2000725823061195E-3</v>
      </c>
      <c r="F403">
        <f t="shared" si="23"/>
        <v>-1.9500903350090283E-2</v>
      </c>
      <c r="G403">
        <f t="shared" si="22"/>
        <v>-3.1137107588889379E-2</v>
      </c>
    </row>
    <row r="404" spans="1:7" x14ac:dyDescent="0.35">
      <c r="A404" t="s">
        <v>34</v>
      </c>
      <c r="E404">
        <v>-6.3181839038860349E-2</v>
      </c>
      <c r="F404">
        <f t="shared" si="23"/>
        <v>-1.95018696557453E-2</v>
      </c>
      <c r="G404">
        <f t="shared" si="22"/>
        <v>-3.1137107588889379E-2</v>
      </c>
    </row>
    <row r="405" spans="1:7" x14ac:dyDescent="0.35">
      <c r="A405" t="s">
        <v>34</v>
      </c>
      <c r="E405">
        <v>2.8235748187994476E-2</v>
      </c>
      <c r="F405">
        <f t="shared" si="23"/>
        <v>-1.9487182078673313E-2</v>
      </c>
      <c r="G405">
        <f t="shared" si="22"/>
        <v>-3.088014385591447E-2</v>
      </c>
    </row>
    <row r="406" spans="1:7" x14ac:dyDescent="0.35">
      <c r="A406" t="s">
        <v>34</v>
      </c>
      <c r="E406">
        <v>4.063546874110234E-2</v>
      </c>
      <c r="F406">
        <f t="shared" si="23"/>
        <v>-1.9487903568970108E-2</v>
      </c>
      <c r="G406">
        <f t="shared" si="22"/>
        <v>-3.088014385591447E-2</v>
      </c>
    </row>
    <row r="407" spans="1:7" x14ac:dyDescent="0.35">
      <c r="A407" t="s">
        <v>34</v>
      </c>
      <c r="E407">
        <v>7.0568204747114066E-3</v>
      </c>
      <c r="F407">
        <f t="shared" si="23"/>
        <v>-1.9488625059266903E-2</v>
      </c>
      <c r="G407">
        <f t="shared" si="22"/>
        <v>-3.088014385591447E-2</v>
      </c>
    </row>
    <row r="408" spans="1:7" x14ac:dyDescent="0.35">
      <c r="A408" t="s">
        <v>34</v>
      </c>
      <c r="E408">
        <v>3.2010064305077212E-3</v>
      </c>
      <c r="F408">
        <f t="shared" si="23"/>
        <v>-1.9489346549563698E-2</v>
      </c>
      <c r="G408">
        <f t="shared" si="22"/>
        <v>-3.088014385591447E-2</v>
      </c>
    </row>
    <row r="409" spans="1:7" x14ac:dyDescent="0.35">
      <c r="A409" t="s">
        <v>34</v>
      </c>
      <c r="E409">
        <v>-5.4891437587279268E-2</v>
      </c>
      <c r="F409">
        <f t="shared" si="23"/>
        <v>-1.9490068039860493E-2</v>
      </c>
      <c r="G409">
        <f t="shared" si="22"/>
        <v>-3.088014385591447E-2</v>
      </c>
    </row>
    <row r="410" spans="1:7" x14ac:dyDescent="0.35">
      <c r="A410" t="s">
        <v>34</v>
      </c>
      <c r="E410">
        <v>-2.1779827767907198E-2</v>
      </c>
      <c r="F410">
        <f t="shared" si="23"/>
        <v>-1.947799190930221E-2</v>
      </c>
      <c r="G410">
        <f t="shared" si="22"/>
        <v>-3.0671862309090414E-2</v>
      </c>
    </row>
    <row r="411" spans="1:7" x14ac:dyDescent="0.35">
      <c r="A411" t="s">
        <v>34</v>
      </c>
      <c r="E411">
        <v>1.1201141415858464E-2</v>
      </c>
      <c r="F411">
        <f t="shared" si="23"/>
        <v>-1.9438599335754581E-2</v>
      </c>
      <c r="G411">
        <f t="shared" si="22"/>
        <v>-3.0658289258640468E-2</v>
      </c>
    </row>
    <row r="412" spans="1:7" x14ac:dyDescent="0.35">
      <c r="A412" t="s">
        <v>34</v>
      </c>
      <c r="E412">
        <v>7.5695545731370205E-3</v>
      </c>
      <c r="F412">
        <f t="shared" si="23"/>
        <v>-1.9442355986383528E-2</v>
      </c>
      <c r="G412">
        <f t="shared" si="22"/>
        <v>-3.0658289258640468E-2</v>
      </c>
    </row>
    <row r="413" spans="1:7" x14ac:dyDescent="0.35">
      <c r="A413" t="s">
        <v>34</v>
      </c>
      <c r="E413">
        <v>1.7447070837841902E-2</v>
      </c>
      <c r="F413">
        <f t="shared" si="23"/>
        <v>-1.9446112637012472E-2</v>
      </c>
      <c r="G413">
        <f t="shared" si="22"/>
        <v>-3.0658289258640468E-2</v>
      </c>
    </row>
    <row r="414" spans="1:7" x14ac:dyDescent="0.35">
      <c r="A414" t="s">
        <v>34</v>
      </c>
      <c r="E414">
        <v>-9.8757367711241918E-3</v>
      </c>
      <c r="F414">
        <f t="shared" si="23"/>
        <v>-1.9449869287641416E-2</v>
      </c>
      <c r="G414">
        <f t="shared" si="22"/>
        <v>-3.0658289258640468E-2</v>
      </c>
    </row>
    <row r="415" spans="1:7" x14ac:dyDescent="0.35">
      <c r="A415" t="s">
        <v>34</v>
      </c>
      <c r="E415">
        <v>-1.1917166590518315E-2</v>
      </c>
      <c r="F415">
        <f t="shared" si="23"/>
        <v>-1.9453625938270363E-2</v>
      </c>
      <c r="G415">
        <f t="shared" si="22"/>
        <v>-3.0658289258640468E-2</v>
      </c>
    </row>
    <row r="416" spans="1:7" x14ac:dyDescent="0.35">
      <c r="A416" t="s">
        <v>34</v>
      </c>
      <c r="E416">
        <v>2.1989426686020351E-2</v>
      </c>
      <c r="F416">
        <f t="shared" si="23"/>
        <v>-1.9457382588899307E-2</v>
      </c>
      <c r="G416">
        <f t="shared" si="22"/>
        <v>-3.0658289258640468E-2</v>
      </c>
    </row>
    <row r="417" spans="1:38" x14ac:dyDescent="0.35">
      <c r="A417" t="s">
        <v>34</v>
      </c>
      <c r="E417">
        <v>2.7721198508990772E-2</v>
      </c>
      <c r="F417">
        <f t="shared" si="23"/>
        <v>-1.946113923952825E-2</v>
      </c>
      <c r="G417">
        <f t="shared" si="22"/>
        <v>-3.0658289258640468E-2</v>
      </c>
    </row>
    <row r="418" spans="1:38" x14ac:dyDescent="0.35">
      <c r="A418" t="s">
        <v>35</v>
      </c>
      <c r="B418" s="3" cm="1">
        <f t="array" ref="B418">_xlfn.STDEV.S(_xlfn._xlws.FILTER($E$2:$E$1000, $A$2:$A$1000="2011-09"))</f>
        <v>3.025350878056134E-2</v>
      </c>
      <c r="C418" s="3" cm="1">
        <f t="array" ref="C418">AVERAGE(_xlfn._xlws.FILTER($E$2:$E$1000, $A$2:$A$1000="2011-09"))</f>
        <v>-2.4838254886528459E-3</v>
      </c>
      <c r="D418" s="3" cm="1">
        <f t="array" ref="D418">_xlfn.PERCENTILE.EXC(_xlfn._xlws.FILTER($E$253:$E$502, $A$253:$A$502="2011-09"), 0.05)</f>
        <v>-5.2102185062653003E-2</v>
      </c>
      <c r="E418">
        <v>1.5929410486238687E-3</v>
      </c>
      <c r="F418">
        <f t="shared" si="23"/>
        <v>-1.9464895890157194E-2</v>
      </c>
      <c r="G418">
        <f t="shared" si="22"/>
        <v>-3.0658289258640468E-2</v>
      </c>
      <c r="AI418" s="3"/>
      <c r="AJ418" s="3"/>
      <c r="AK418" s="3"/>
      <c r="AL418" s="3"/>
    </row>
    <row r="419" spans="1:38" x14ac:dyDescent="0.35">
      <c r="A419" t="s">
        <v>35</v>
      </c>
      <c r="E419">
        <v>-3.7574535506943868E-2</v>
      </c>
      <c r="F419">
        <f t="shared" si="23"/>
        <v>-1.9468652540786141E-2</v>
      </c>
      <c r="G419">
        <f t="shared" si="22"/>
        <v>-3.0658289258640468E-2</v>
      </c>
    </row>
    <row r="420" spans="1:38" x14ac:dyDescent="0.35">
      <c r="A420" t="s">
        <v>35</v>
      </c>
      <c r="E420">
        <v>-5.2438196733504229E-2</v>
      </c>
      <c r="F420">
        <f t="shared" si="23"/>
        <v>-1.9397276178836194E-2</v>
      </c>
      <c r="G420">
        <f t="shared" si="22"/>
        <v>-3.0551364203769246E-2</v>
      </c>
    </row>
    <row r="421" spans="1:38" x14ac:dyDescent="0.35">
      <c r="A421" t="s">
        <v>35</v>
      </c>
      <c r="E421">
        <v>-1.2977301412597845E-2</v>
      </c>
      <c r="F421">
        <f t="shared" si="23"/>
        <v>-1.9379588701399202E-2</v>
      </c>
      <c r="G421">
        <f t="shared" si="22"/>
        <v>-3.0421856318977911E-2</v>
      </c>
    </row>
    <row r="422" spans="1:38" x14ac:dyDescent="0.35">
      <c r="A422" t="s">
        <v>35</v>
      </c>
      <c r="E422">
        <v>3.359126204603298E-2</v>
      </c>
      <c r="F422">
        <f t="shared" si="23"/>
        <v>-1.9380519621264306E-2</v>
      </c>
      <c r="G422">
        <f t="shared" si="22"/>
        <v>-3.0421856318977911E-2</v>
      </c>
    </row>
    <row r="423" spans="1:38" x14ac:dyDescent="0.35">
      <c r="A423" t="s">
        <v>35</v>
      </c>
      <c r="E423">
        <v>5.6738266873740369E-3</v>
      </c>
      <c r="F423">
        <f t="shared" si="23"/>
        <v>-1.9381450541129414E-2</v>
      </c>
      <c r="G423">
        <f t="shared" si="22"/>
        <v>-3.0421856318977911E-2</v>
      </c>
    </row>
    <row r="424" spans="1:38" x14ac:dyDescent="0.35">
      <c r="A424" t="s">
        <v>35</v>
      </c>
      <c r="E424">
        <v>-4.2361073891963162E-2</v>
      </c>
      <c r="F424">
        <f t="shared" si="23"/>
        <v>-1.9382381460994517E-2</v>
      </c>
      <c r="G424">
        <f t="shared" si="22"/>
        <v>-3.0421856318977911E-2</v>
      </c>
    </row>
    <row r="425" spans="1:38" x14ac:dyDescent="0.35">
      <c r="A425" t="s">
        <v>35</v>
      </c>
      <c r="E425">
        <v>-3.8670921461496699E-2</v>
      </c>
      <c r="F425">
        <f t="shared" si="23"/>
        <v>-1.9368702673077033E-2</v>
      </c>
      <c r="G425">
        <f t="shared" si="22"/>
        <v>-3.0285865691105553E-2</v>
      </c>
    </row>
    <row r="426" spans="1:38" x14ac:dyDescent="0.35">
      <c r="A426" t="s">
        <v>35</v>
      </c>
      <c r="E426">
        <v>2.0652328279394915E-2</v>
      </c>
      <c r="F426">
        <f t="shared" si="23"/>
        <v>-1.9303848203409423E-2</v>
      </c>
      <c r="G426">
        <f t="shared" si="22"/>
        <v>-3.0171631743425638E-2</v>
      </c>
    </row>
    <row r="427" spans="1:38" x14ac:dyDescent="0.35">
      <c r="A427" t="s">
        <v>35</v>
      </c>
      <c r="E427">
        <v>2.2690183689336913E-2</v>
      </c>
      <c r="F427">
        <f t="shared" si="23"/>
        <v>-1.9308243639136705E-2</v>
      </c>
      <c r="G427">
        <f t="shared" si="22"/>
        <v>-3.0171631743425638E-2</v>
      </c>
    </row>
    <row r="428" spans="1:38" x14ac:dyDescent="0.35">
      <c r="A428" t="s">
        <v>35</v>
      </c>
      <c r="E428">
        <v>3.4086810364051659E-2</v>
      </c>
      <c r="F428">
        <f t="shared" si="23"/>
        <v>-1.9312639074863983E-2</v>
      </c>
      <c r="G428">
        <f t="shared" si="22"/>
        <v>-3.0171631743425638E-2</v>
      </c>
    </row>
    <row r="429" spans="1:38" x14ac:dyDescent="0.35">
      <c r="A429" t="s">
        <v>35</v>
      </c>
      <c r="E429">
        <v>1.6964476014601449E-3</v>
      </c>
      <c r="F429">
        <f t="shared" si="23"/>
        <v>-1.9317034510591264E-2</v>
      </c>
      <c r="G429">
        <f t="shared" si="22"/>
        <v>-3.0171631743425638E-2</v>
      </c>
    </row>
    <row r="430" spans="1:38" x14ac:dyDescent="0.35">
      <c r="A430" t="s">
        <v>35</v>
      </c>
      <c r="E430">
        <v>-2.9696357550458522E-2</v>
      </c>
      <c r="F430">
        <f t="shared" si="23"/>
        <v>-1.9321429946318545E-2</v>
      </c>
      <c r="G430">
        <f t="shared" si="22"/>
        <v>-3.0171631743425638E-2</v>
      </c>
    </row>
    <row r="431" spans="1:38" x14ac:dyDescent="0.35">
      <c r="A431" t="s">
        <v>35</v>
      </c>
      <c r="E431">
        <v>2.0918924223641815E-2</v>
      </c>
      <c r="F431">
        <f t="shared" si="23"/>
        <v>-1.9277230767185179E-2</v>
      </c>
      <c r="G431">
        <f t="shared" si="22"/>
        <v>-3.0109981554304846E-2</v>
      </c>
    </row>
    <row r="432" spans="1:38" x14ac:dyDescent="0.35">
      <c r="A432" t="s">
        <v>35</v>
      </c>
      <c r="E432">
        <v>-1.9779360996418794E-2</v>
      </c>
      <c r="F432">
        <f t="shared" si="23"/>
        <v>-1.9277257969614131E-2</v>
      </c>
      <c r="G432">
        <f t="shared" si="22"/>
        <v>-3.0109981554304846E-2</v>
      </c>
    </row>
    <row r="433" spans="1:38" x14ac:dyDescent="0.35">
      <c r="A433" t="s">
        <v>35</v>
      </c>
      <c r="E433">
        <v>-5.0198118927829369E-2</v>
      </c>
      <c r="F433">
        <f t="shared" si="23"/>
        <v>-1.9245049707280026E-2</v>
      </c>
      <c r="G433">
        <f t="shared" si="22"/>
        <v>-3.0107008598944184E-2</v>
      </c>
    </row>
    <row r="434" spans="1:38" x14ac:dyDescent="0.35">
      <c r="A434" t="s">
        <v>35</v>
      </c>
      <c r="E434">
        <v>1.5058293675558415E-2</v>
      </c>
      <c r="F434">
        <f t="shared" si="23"/>
        <v>-1.9171298925123596E-2</v>
      </c>
      <c r="G434">
        <f t="shared" si="22"/>
        <v>-2.9923503993386051E-2</v>
      </c>
    </row>
    <row r="435" spans="1:38" x14ac:dyDescent="0.35">
      <c r="A435" t="s">
        <v>35</v>
      </c>
      <c r="E435">
        <v>2.789896182887102E-2</v>
      </c>
      <c r="F435">
        <f t="shared" si="23"/>
        <v>-1.9173722535687124E-2</v>
      </c>
      <c r="G435">
        <f t="shared" si="22"/>
        <v>-2.9923503993386051E-2</v>
      </c>
    </row>
    <row r="436" spans="1:38" x14ac:dyDescent="0.35">
      <c r="A436" t="s">
        <v>35</v>
      </c>
      <c r="E436">
        <v>5.176286036677831E-2</v>
      </c>
      <c r="F436">
        <f t="shared" si="23"/>
        <v>-1.9176146146250652E-2</v>
      </c>
      <c r="G436">
        <f t="shared" si="22"/>
        <v>-2.9923503993386051E-2</v>
      </c>
    </row>
    <row r="437" spans="1:38" x14ac:dyDescent="0.35">
      <c r="A437" t="s">
        <v>35</v>
      </c>
      <c r="E437">
        <v>-7.9576320183400492E-3</v>
      </c>
      <c r="F437">
        <f t="shared" si="23"/>
        <v>-1.917856975681418E-2</v>
      </c>
      <c r="G437">
        <f t="shared" si="22"/>
        <v>-2.9923503993386051E-2</v>
      </c>
    </row>
    <row r="438" spans="1:38" x14ac:dyDescent="0.35">
      <c r="A438" t="s">
        <v>35</v>
      </c>
      <c r="E438">
        <v>1.6313575491523787E-2</v>
      </c>
      <c r="F438">
        <f t="shared" si="23"/>
        <v>-1.9180993367377708E-2</v>
      </c>
      <c r="G438">
        <f t="shared" si="22"/>
        <v>-2.9923503993386051E-2</v>
      </c>
    </row>
    <row r="439" spans="1:38" x14ac:dyDescent="0.35">
      <c r="A439" t="s">
        <v>35</v>
      </c>
      <c r="E439">
        <v>-1.4927077553457992E-2</v>
      </c>
      <c r="F439">
        <f t="shared" si="23"/>
        <v>-1.9183416977941237E-2</v>
      </c>
      <c r="G439">
        <f t="shared" si="22"/>
        <v>-2.9923503993386051E-2</v>
      </c>
    </row>
    <row r="440" spans="1:38" x14ac:dyDescent="0.35">
      <c r="A440" t="s">
        <v>36</v>
      </c>
      <c r="B440" s="3" cm="1">
        <f t="array" ref="B440">_xlfn.STDEV.S(_xlfn._xlws.FILTER($E$2:$E$1000, $A$2:$A$1000="2011-10"))</f>
        <v>2.3886686404217317E-2</v>
      </c>
      <c r="C440" s="3" cm="1">
        <f t="array" ref="C440">AVERAGE(_xlfn._xlws.FILTER($E$2:$E$1000, $A$2:$A$1000="2011-10"))</f>
        <v>4.2915458065734095E-3</v>
      </c>
      <c r="D440" s="3" cm="1">
        <f t="array" ref="D440">_xlfn.PERCENTILE.EXC(_xlfn._xlws.FILTER($E$253:$E$502, $A$253:$A$502="2011-10"), 0.05)</f>
        <v>-3.1180322586165217E-2</v>
      </c>
      <c r="E440">
        <v>-1.9185840588504765E-2</v>
      </c>
      <c r="F440">
        <f t="shared" si="23"/>
        <v>-1.9185840588504765E-2</v>
      </c>
      <c r="G440">
        <f t="shared" si="22"/>
        <v>-2.9923503993386051E-2</v>
      </c>
      <c r="AI440" s="3"/>
      <c r="AJ440" s="3"/>
      <c r="AK440" s="3"/>
      <c r="AL440" s="3"/>
    </row>
    <row r="441" spans="1:38" x14ac:dyDescent="0.35">
      <c r="A441" t="s">
        <v>36</v>
      </c>
      <c r="E441">
        <v>-2.2297599619080035E-2</v>
      </c>
      <c r="F441">
        <f t="shared" si="23"/>
        <v>-1.9144346535395821E-2</v>
      </c>
      <c r="G441">
        <f t="shared" si="22"/>
        <v>-2.9987418656510344E-2</v>
      </c>
    </row>
    <row r="442" spans="1:38" x14ac:dyDescent="0.35">
      <c r="A442" t="s">
        <v>36</v>
      </c>
      <c r="E442">
        <v>4.137332522908372E-2</v>
      </c>
      <c r="F442">
        <f t="shared" si="23"/>
        <v>-1.8949372139319645E-2</v>
      </c>
      <c r="G442">
        <f t="shared" si="22"/>
        <v>-2.996860775626126E-2</v>
      </c>
    </row>
    <row r="443" spans="1:38" x14ac:dyDescent="0.35">
      <c r="A443" t="s">
        <v>36</v>
      </c>
      <c r="E443">
        <v>3.1329060582273714E-2</v>
      </c>
      <c r="F443">
        <f t="shared" si="23"/>
        <v>-1.8959816374759339E-2</v>
      </c>
      <c r="G443">
        <f t="shared" si="22"/>
        <v>-2.996860775626126E-2</v>
      </c>
    </row>
    <row r="444" spans="1:38" x14ac:dyDescent="0.35">
      <c r="A444" t="s">
        <v>36</v>
      </c>
      <c r="E444">
        <v>9.0350926826729735E-3</v>
      </c>
      <c r="F444">
        <f t="shared" si="23"/>
        <v>-1.8970260610199036E-2</v>
      </c>
      <c r="G444">
        <f t="shared" si="22"/>
        <v>-2.996860775626126E-2</v>
      </c>
    </row>
    <row r="445" spans="1:38" x14ac:dyDescent="0.35">
      <c r="A445" t="s">
        <v>36</v>
      </c>
      <c r="E445">
        <v>2.2489014203907153E-2</v>
      </c>
      <c r="F445">
        <f t="shared" si="23"/>
        <v>-1.8980704845638737E-2</v>
      </c>
      <c r="G445">
        <f t="shared" si="22"/>
        <v>-2.996860775626126E-2</v>
      </c>
    </row>
    <row r="446" spans="1:38" x14ac:dyDescent="0.35">
      <c r="A446" t="s">
        <v>36</v>
      </c>
      <c r="E446">
        <v>-2.0833475660797943E-3</v>
      </c>
      <c r="F446">
        <f t="shared" si="23"/>
        <v>-1.8991149081078431E-2</v>
      </c>
      <c r="G446">
        <f t="shared" si="22"/>
        <v>-2.996860775626126E-2</v>
      </c>
    </row>
    <row r="447" spans="1:38" x14ac:dyDescent="0.35">
      <c r="A447" t="s">
        <v>36</v>
      </c>
      <c r="E447">
        <v>2.3968110651108137E-2</v>
      </c>
      <c r="F447">
        <f t="shared" si="23"/>
        <v>-1.9001593316518132E-2</v>
      </c>
      <c r="G447">
        <f t="shared" si="22"/>
        <v>-2.996860775626126E-2</v>
      </c>
    </row>
    <row r="448" spans="1:38" x14ac:dyDescent="0.35">
      <c r="A448" t="s">
        <v>36</v>
      </c>
      <c r="E448">
        <v>-1.6847488716594947E-2</v>
      </c>
      <c r="F448">
        <f t="shared" si="23"/>
        <v>-1.9012037551957826E-2</v>
      </c>
      <c r="G448">
        <f t="shared" si="22"/>
        <v>-2.996860775626126E-2</v>
      </c>
    </row>
    <row r="449" spans="1:38" x14ac:dyDescent="0.35">
      <c r="A449" t="s">
        <v>36</v>
      </c>
      <c r="E449">
        <v>9.7953001621297279E-3</v>
      </c>
      <c r="F449">
        <f t="shared" si="23"/>
        <v>-1.9022481787397523E-2</v>
      </c>
      <c r="G449">
        <f t="shared" si="22"/>
        <v>-2.996860775626126E-2</v>
      </c>
    </row>
    <row r="450" spans="1:38" x14ac:dyDescent="0.35">
      <c r="A450" t="s">
        <v>36</v>
      </c>
      <c r="E450">
        <v>-1.6950465455037887E-2</v>
      </c>
      <c r="F450">
        <f t="shared" si="23"/>
        <v>-1.9032926022837224E-2</v>
      </c>
      <c r="G450">
        <f t="shared" si="22"/>
        <v>-2.996860775626126E-2</v>
      </c>
    </row>
    <row r="451" spans="1:38" x14ac:dyDescent="0.35">
      <c r="A451" t="s">
        <v>36</v>
      </c>
      <c r="E451">
        <v>-3.9284451413210634E-3</v>
      </c>
      <c r="F451">
        <f t="shared" si="23"/>
        <v>-1.9043370258276918E-2</v>
      </c>
      <c r="G451">
        <f t="shared" ref="G451:G514" si="24">AVERAGEIFS(E451:E4267,E451:E4267,"&lt;=" &amp; F451)</f>
        <v>-2.996860775626126E-2</v>
      </c>
    </row>
    <row r="452" spans="1:38" x14ac:dyDescent="0.35">
      <c r="A452" t="s">
        <v>36</v>
      </c>
      <c r="E452">
        <v>1.0036983992871833E-2</v>
      </c>
      <c r="F452">
        <f t="shared" ref="F452:F515" si="25">_xlfn.PERCENTILE.EXC(E452:E4267,0.05)</f>
        <v>-1.9053814493716618E-2</v>
      </c>
      <c r="G452">
        <f t="shared" si="24"/>
        <v>-2.996860775626126E-2</v>
      </c>
    </row>
    <row r="453" spans="1:38" x14ac:dyDescent="0.35">
      <c r="A453" t="s">
        <v>36</v>
      </c>
      <c r="E453">
        <v>-2.5343338411939101E-2</v>
      </c>
      <c r="F453">
        <f t="shared" si="25"/>
        <v>-1.9064258729156312E-2</v>
      </c>
      <c r="G453">
        <f t="shared" si="24"/>
        <v>-2.996860775626126E-2</v>
      </c>
    </row>
    <row r="454" spans="1:38" x14ac:dyDescent="0.35">
      <c r="A454" t="s">
        <v>36</v>
      </c>
      <c r="E454">
        <v>2.8526996906226402E-2</v>
      </c>
      <c r="F454">
        <f t="shared" si="25"/>
        <v>-1.8921876224173715E-2</v>
      </c>
      <c r="G454">
        <f t="shared" si="24"/>
        <v>-2.9930424097073766E-2</v>
      </c>
    </row>
    <row r="455" spans="1:38" x14ac:dyDescent="0.35">
      <c r="A455" t="s">
        <v>36</v>
      </c>
      <c r="E455">
        <v>1.341121282631434E-2</v>
      </c>
      <c r="F455">
        <f t="shared" si="25"/>
        <v>-1.8922977464884805E-2</v>
      </c>
      <c r="G455">
        <f t="shared" si="24"/>
        <v>-2.9930424097073766E-2</v>
      </c>
    </row>
    <row r="456" spans="1:38" x14ac:dyDescent="0.35">
      <c r="A456" t="s">
        <v>36</v>
      </c>
      <c r="E456">
        <v>-1.065566634999123E-2</v>
      </c>
      <c r="F456">
        <f t="shared" si="25"/>
        <v>-1.8924078705595895E-2</v>
      </c>
      <c r="G456">
        <f t="shared" si="24"/>
        <v>-2.9930424097073766E-2</v>
      </c>
    </row>
    <row r="457" spans="1:38" x14ac:dyDescent="0.35">
      <c r="A457" t="s">
        <v>36</v>
      </c>
      <c r="E457">
        <v>-3.8042200005403734E-3</v>
      </c>
      <c r="F457">
        <f t="shared" si="25"/>
        <v>-1.8925179946306984E-2</v>
      </c>
      <c r="G457">
        <f t="shared" si="24"/>
        <v>-2.9930424097073766E-2</v>
      </c>
    </row>
    <row r="458" spans="1:38" x14ac:dyDescent="0.35">
      <c r="A458" t="s">
        <v>36</v>
      </c>
      <c r="E458">
        <v>5.8978266129826221E-2</v>
      </c>
      <c r="F458">
        <f t="shared" si="25"/>
        <v>-1.8926281187018071E-2</v>
      </c>
      <c r="G458">
        <f t="shared" si="24"/>
        <v>-2.9930424097073766E-2</v>
      </c>
    </row>
    <row r="459" spans="1:38" x14ac:dyDescent="0.35">
      <c r="A459" t="s">
        <v>36</v>
      </c>
      <c r="E459">
        <v>-5.8956131959820033E-3</v>
      </c>
      <c r="F459">
        <f t="shared" si="25"/>
        <v>-1.8927382427729161E-2</v>
      </c>
      <c r="G459">
        <f t="shared" si="24"/>
        <v>-2.9930424097073766E-2</v>
      </c>
    </row>
    <row r="460" spans="1:38" x14ac:dyDescent="0.35">
      <c r="A460" t="s">
        <v>36</v>
      </c>
      <c r="E460">
        <v>-3.1828876383301452E-2</v>
      </c>
      <c r="F460">
        <f t="shared" si="25"/>
        <v>-1.892848366844025E-2</v>
      </c>
      <c r="G460">
        <f t="shared" si="24"/>
        <v>-2.9930424097073766E-2</v>
      </c>
    </row>
    <row r="461" spans="1:38" x14ac:dyDescent="0.35">
      <c r="A461" t="s">
        <v>37</v>
      </c>
      <c r="B461" s="3" cm="1">
        <f t="array" ref="B461">_xlfn.STDEV.S(_xlfn._xlws.FILTER($E$2:$E$1000, $A$2:$A$1000="2011-11"))</f>
        <v>2.4701782052133761E-2</v>
      </c>
      <c r="C461" s="3" cm="1">
        <f t="array" ref="C461">AVERAGE(_xlfn._xlws.FILTER($E$2:$E$1000, $A$2:$A$1000="2011-11"))</f>
        <v>-1.0562983348205289E-3</v>
      </c>
      <c r="D461" s="3" cm="1">
        <f t="array" ref="D461">_xlfn.PERCENTILE.EXC(_xlfn._xlws.FILTER($E$253:$E$502, $A$253:$A$502="2011-11"), 0.05)</f>
        <v>-5.115233932303892E-2</v>
      </c>
      <c r="E461">
        <v>-5.4046026152092884E-2</v>
      </c>
      <c r="F461">
        <f t="shared" si="25"/>
        <v>-1.8907560094929558E-2</v>
      </c>
      <c r="G461">
        <f t="shared" si="24"/>
        <v>-2.9919056119311921E-2</v>
      </c>
      <c r="AI461" s="3"/>
      <c r="AJ461" s="3"/>
      <c r="AK461" s="3"/>
      <c r="AL461" s="3"/>
    </row>
    <row r="462" spans="1:38" x14ac:dyDescent="0.35">
      <c r="A462" t="s">
        <v>37</v>
      </c>
      <c r="E462">
        <v>1.4131467560940723E-2</v>
      </c>
      <c r="F462">
        <f t="shared" si="25"/>
        <v>-1.8886336009481842E-2</v>
      </c>
      <c r="G462">
        <f t="shared" si="24"/>
        <v>-2.9708639548665972E-2</v>
      </c>
    </row>
    <row r="463" spans="1:38" x14ac:dyDescent="0.35">
      <c r="A463" t="s">
        <v>37</v>
      </c>
      <c r="E463">
        <v>2.4161543295063977E-2</v>
      </c>
      <c r="F463">
        <f t="shared" si="25"/>
        <v>-1.8887453945300541E-2</v>
      </c>
      <c r="G463">
        <f t="shared" si="24"/>
        <v>-2.9708639548665972E-2</v>
      </c>
    </row>
    <row r="464" spans="1:38" x14ac:dyDescent="0.35">
      <c r="A464" t="s">
        <v>37</v>
      </c>
      <c r="E464">
        <v>-2.4344814956541803E-2</v>
      </c>
      <c r="F464">
        <f t="shared" si="25"/>
        <v>-1.8888571881119243E-2</v>
      </c>
      <c r="G464">
        <f t="shared" si="24"/>
        <v>-2.9708639548665972E-2</v>
      </c>
    </row>
    <row r="465" spans="1:7" x14ac:dyDescent="0.35">
      <c r="A465" t="s">
        <v>37</v>
      </c>
      <c r="E465">
        <v>-6.8091667586714765E-3</v>
      </c>
      <c r="F465">
        <f t="shared" si="25"/>
        <v>-1.8880804990646493E-2</v>
      </c>
      <c r="G465">
        <f t="shared" si="24"/>
        <v>-2.9675940657536051E-2</v>
      </c>
    </row>
    <row r="466" spans="1:7" x14ac:dyDescent="0.35">
      <c r="A466" t="s">
        <v>37</v>
      </c>
      <c r="E466">
        <v>1.191509405438438E-2</v>
      </c>
      <c r="F466">
        <f t="shared" si="25"/>
        <v>-1.8881024667126357E-2</v>
      </c>
      <c r="G466">
        <f t="shared" si="24"/>
        <v>-2.9675940657536051E-2</v>
      </c>
    </row>
    <row r="467" spans="1:7" x14ac:dyDescent="0.35">
      <c r="A467" t="s">
        <v>37</v>
      </c>
      <c r="E467">
        <v>-2.3640391967872335E-2</v>
      </c>
      <c r="F467">
        <f t="shared" si="25"/>
        <v>-1.8881244343606218E-2</v>
      </c>
      <c r="G467">
        <f t="shared" si="24"/>
        <v>-2.9675940657536051E-2</v>
      </c>
    </row>
    <row r="468" spans="1:7" x14ac:dyDescent="0.35">
      <c r="A468" t="s">
        <v>37</v>
      </c>
      <c r="E468">
        <v>2.4554272589678364E-3</v>
      </c>
      <c r="F468">
        <f t="shared" si="25"/>
        <v>-1.8862480776176905E-2</v>
      </c>
      <c r="G468">
        <f t="shared" si="24"/>
        <v>-2.9647433559574225E-2</v>
      </c>
    </row>
    <row r="469" spans="1:7" x14ac:dyDescent="0.35">
      <c r="A469" t="s">
        <v>37</v>
      </c>
      <c r="E469">
        <v>3.0523819662991239E-2</v>
      </c>
      <c r="F469">
        <f t="shared" si="25"/>
        <v>-1.8863916262182763E-2</v>
      </c>
      <c r="G469">
        <f t="shared" si="24"/>
        <v>-2.9647433559574225E-2</v>
      </c>
    </row>
    <row r="470" spans="1:7" x14ac:dyDescent="0.35">
      <c r="A470" t="s">
        <v>37</v>
      </c>
      <c r="E470">
        <v>-1.5820391392021634E-2</v>
      </c>
      <c r="F470">
        <f t="shared" si="25"/>
        <v>-1.8865351748188618E-2</v>
      </c>
      <c r="G470">
        <f t="shared" si="24"/>
        <v>-2.9647433559574225E-2</v>
      </c>
    </row>
    <row r="471" spans="1:7" x14ac:dyDescent="0.35">
      <c r="A471" t="s">
        <v>37</v>
      </c>
      <c r="E471">
        <v>-1.5111508260309537E-2</v>
      </c>
      <c r="F471">
        <f t="shared" si="25"/>
        <v>-1.8866787234194472E-2</v>
      </c>
      <c r="G471">
        <f t="shared" si="24"/>
        <v>-2.9647433559574225E-2</v>
      </c>
    </row>
    <row r="472" spans="1:7" x14ac:dyDescent="0.35">
      <c r="A472" t="s">
        <v>37</v>
      </c>
      <c r="E472">
        <v>6.1743334080896954E-3</v>
      </c>
      <c r="F472">
        <f t="shared" si="25"/>
        <v>-1.886822272020033E-2</v>
      </c>
      <c r="G472">
        <f t="shared" si="24"/>
        <v>-2.9647433559574225E-2</v>
      </c>
    </row>
    <row r="473" spans="1:7" x14ac:dyDescent="0.35">
      <c r="A473" t="s">
        <v>37</v>
      </c>
      <c r="E473">
        <v>-1.1164581222701935E-2</v>
      </c>
      <c r="F473">
        <f t="shared" si="25"/>
        <v>-1.8869658206206185E-2</v>
      </c>
      <c r="G473">
        <f t="shared" si="24"/>
        <v>-2.9647433559574225E-2</v>
      </c>
    </row>
    <row r="474" spans="1:7" x14ac:dyDescent="0.35">
      <c r="A474" t="s">
        <v>37</v>
      </c>
      <c r="E474">
        <v>-2.7235442533969398E-3</v>
      </c>
      <c r="F474">
        <f t="shared" si="25"/>
        <v>-1.8871093692212043E-2</v>
      </c>
      <c r="G474">
        <f t="shared" si="24"/>
        <v>-2.9647433559574225E-2</v>
      </c>
    </row>
    <row r="475" spans="1:7" x14ac:dyDescent="0.35">
      <c r="A475" t="s">
        <v>37</v>
      </c>
      <c r="E475">
        <v>-3.4754780625066456E-2</v>
      </c>
      <c r="F475">
        <f t="shared" si="25"/>
        <v>-1.8872529178217898E-2</v>
      </c>
      <c r="G475">
        <f t="shared" si="24"/>
        <v>-2.9647433559574225E-2</v>
      </c>
    </row>
    <row r="476" spans="1:7" x14ac:dyDescent="0.35">
      <c r="A476" t="s">
        <v>37</v>
      </c>
      <c r="E476">
        <v>-1.0923780226675272E-2</v>
      </c>
      <c r="F476">
        <f t="shared" si="25"/>
        <v>-1.8842443922400462E-2</v>
      </c>
      <c r="G476">
        <f t="shared" si="24"/>
        <v>-2.9552201321628495E-2</v>
      </c>
    </row>
    <row r="477" spans="1:7" x14ac:dyDescent="0.35">
      <c r="A477" t="s">
        <v>37</v>
      </c>
      <c r="E477">
        <v>-1.8906458854218468E-2</v>
      </c>
      <c r="F477">
        <f t="shared" si="25"/>
        <v>-1.8844582163832859E-2</v>
      </c>
      <c r="G477">
        <f t="shared" si="24"/>
        <v>-2.9552201321628495E-2</v>
      </c>
    </row>
    <row r="478" spans="1:7" x14ac:dyDescent="0.35">
      <c r="A478" t="s">
        <v>37</v>
      </c>
      <c r="E478">
        <v>-3.123927795585076E-3</v>
      </c>
      <c r="F478">
        <f t="shared" si="25"/>
        <v>-1.8805900025587092E-2</v>
      </c>
      <c r="G478">
        <f t="shared" si="24"/>
        <v>-2.9551613137228878E-2</v>
      </c>
    </row>
    <row r="479" spans="1:7" x14ac:dyDescent="0.35">
      <c r="A479" t="s">
        <v>37</v>
      </c>
      <c r="E479">
        <v>1.0001249611116718E-2</v>
      </c>
      <c r="F479">
        <f t="shared" si="25"/>
        <v>-1.8807066042534584E-2</v>
      </c>
      <c r="G479">
        <f t="shared" si="24"/>
        <v>-2.9551613137228878E-2</v>
      </c>
    </row>
    <row r="480" spans="1:7" x14ac:dyDescent="0.35">
      <c r="A480" t="s">
        <v>37</v>
      </c>
      <c r="E480">
        <v>5.101474892362455E-2</v>
      </c>
      <c r="F480">
        <f t="shared" si="25"/>
        <v>-1.880823205948208E-2</v>
      </c>
      <c r="G480">
        <f t="shared" si="24"/>
        <v>-2.9551613137228878E-2</v>
      </c>
    </row>
    <row r="481" spans="1:38" x14ac:dyDescent="0.35">
      <c r="A481" t="s">
        <v>37</v>
      </c>
      <c r="E481">
        <v>5.57011985658725E-3</v>
      </c>
      <c r="F481">
        <f t="shared" si="25"/>
        <v>-1.8810370300914477E-2</v>
      </c>
      <c r="G481">
        <f t="shared" si="24"/>
        <v>-2.9616332300347836E-2</v>
      </c>
    </row>
    <row r="482" spans="1:38" x14ac:dyDescent="0.35">
      <c r="A482" t="s">
        <v>37</v>
      </c>
      <c r="E482">
        <v>4.2183005467335805E-2</v>
      </c>
      <c r="F482">
        <f t="shared" si="25"/>
        <v>-1.8812508542346878E-2</v>
      </c>
      <c r="G482">
        <f t="shared" si="24"/>
        <v>-2.9616332300347836E-2</v>
      </c>
    </row>
    <row r="483" spans="1:38" x14ac:dyDescent="0.35">
      <c r="A483" t="s">
        <v>38</v>
      </c>
      <c r="B483" s="3" cm="1">
        <f t="array" ref="B483">_xlfn.STDEV.S(_xlfn._xlws.FILTER($E$2:$E$1000, $A$2:$A$1000="2011-12"))</f>
        <v>1.6152860955899583E-2</v>
      </c>
      <c r="C483" s="3" cm="1">
        <f t="array" ref="C483">AVERAGE(_xlfn._xlws.FILTER($E$2:$E$1000, $A$2:$A$1000="2011-12"))</f>
        <v>-2.9868949892132985E-4</v>
      </c>
      <c r="D483" s="3" cm="1">
        <f t="array" ref="D483">_xlfn.PERCENTILE.EXC(_xlfn._xlws.FILTER($E$253:$E$502, $A$253:$A$502="2011-12"), 0.05)</f>
        <v>-3.1362386566121531E-2</v>
      </c>
      <c r="E483">
        <v>-7.1443178645970483E-3</v>
      </c>
      <c r="F483">
        <f t="shared" si="25"/>
        <v>-1.8814646783779275E-2</v>
      </c>
      <c r="G483">
        <f t="shared" si="24"/>
        <v>-2.9616332300347836E-2</v>
      </c>
      <c r="AI483" s="3"/>
      <c r="AJ483" s="3"/>
      <c r="AK483" s="3"/>
      <c r="AL483" s="3"/>
    </row>
    <row r="484" spans="1:38" x14ac:dyDescent="0.35">
      <c r="A484" t="s">
        <v>38</v>
      </c>
      <c r="E484">
        <v>1.2310253088342448E-2</v>
      </c>
      <c r="F484">
        <f t="shared" si="25"/>
        <v>-1.8816785025211676E-2</v>
      </c>
      <c r="G484">
        <f t="shared" si="24"/>
        <v>-2.9616332300347836E-2</v>
      </c>
    </row>
    <row r="485" spans="1:38" x14ac:dyDescent="0.35">
      <c r="A485" t="s">
        <v>38</v>
      </c>
      <c r="E485">
        <v>1.1413802921417153E-2</v>
      </c>
      <c r="F485">
        <f t="shared" si="25"/>
        <v>-1.8818923266644076E-2</v>
      </c>
      <c r="G485">
        <f t="shared" si="24"/>
        <v>-2.9616332300347836E-2</v>
      </c>
    </row>
    <row r="486" spans="1:38" x14ac:dyDescent="0.35">
      <c r="A486" t="s">
        <v>38</v>
      </c>
      <c r="E486">
        <v>-5.3659594274935432E-3</v>
      </c>
      <c r="F486">
        <f t="shared" si="25"/>
        <v>-1.8821061508076473E-2</v>
      </c>
      <c r="G486">
        <f t="shared" si="24"/>
        <v>-2.9616332300347836E-2</v>
      </c>
    </row>
    <row r="487" spans="1:38" x14ac:dyDescent="0.35">
      <c r="A487" t="s">
        <v>38</v>
      </c>
      <c r="E487">
        <v>-5.0152924466483921E-3</v>
      </c>
      <c r="F487">
        <f t="shared" si="25"/>
        <v>-1.882319974950887E-2</v>
      </c>
      <c r="G487">
        <f t="shared" si="24"/>
        <v>-2.9616332300347836E-2</v>
      </c>
    </row>
    <row r="488" spans="1:38" x14ac:dyDescent="0.35">
      <c r="A488" t="s">
        <v>38</v>
      </c>
      <c r="E488">
        <v>-2.4551359752087276E-2</v>
      </c>
      <c r="F488">
        <f t="shared" si="25"/>
        <v>-1.8825337990941271E-2</v>
      </c>
      <c r="G488">
        <f t="shared" si="24"/>
        <v>-2.9616332300347836E-2</v>
      </c>
    </row>
    <row r="489" spans="1:38" x14ac:dyDescent="0.35">
      <c r="A489" t="s">
        <v>38</v>
      </c>
      <c r="E489">
        <v>2.3557228457692505E-2</v>
      </c>
      <c r="F489">
        <f t="shared" si="25"/>
        <v>-1.8795405873059643E-2</v>
      </c>
      <c r="G489">
        <f t="shared" si="24"/>
        <v>-2.958173514557311E-2</v>
      </c>
    </row>
    <row r="490" spans="1:38" x14ac:dyDescent="0.35">
      <c r="A490" t="s">
        <v>38</v>
      </c>
      <c r="E490">
        <v>-3.1715237151799053E-2</v>
      </c>
      <c r="F490">
        <f t="shared" si="25"/>
        <v>-1.8796571890007135E-2</v>
      </c>
      <c r="G490">
        <f t="shared" si="24"/>
        <v>-2.958173514557311E-2</v>
      </c>
    </row>
    <row r="491" spans="1:38" x14ac:dyDescent="0.35">
      <c r="A491" t="s">
        <v>38</v>
      </c>
      <c r="E491">
        <v>-3.743570118332192E-3</v>
      </c>
      <c r="F491">
        <f t="shared" si="25"/>
        <v>-1.8755343786137867E-2</v>
      </c>
      <c r="G491">
        <f t="shared" si="24"/>
        <v>-2.9503841618878732E-2</v>
      </c>
    </row>
    <row r="492" spans="1:38" x14ac:dyDescent="0.35">
      <c r="A492" t="s">
        <v>38</v>
      </c>
      <c r="E492">
        <v>-2.4658225438248565E-2</v>
      </c>
      <c r="F492">
        <f t="shared" si="25"/>
        <v>-1.8758629112181679E-2</v>
      </c>
      <c r="G492">
        <f t="shared" si="24"/>
        <v>-2.9503841618878732E-2</v>
      </c>
    </row>
    <row r="493" spans="1:38" x14ac:dyDescent="0.35">
      <c r="A493" t="s">
        <v>38</v>
      </c>
      <c r="E493">
        <v>8.5673540189073211E-3</v>
      </c>
      <c r="F493">
        <f t="shared" si="25"/>
        <v>-1.8716443706614395E-2</v>
      </c>
      <c r="G493">
        <f t="shared" si="24"/>
        <v>-2.9468064388525762E-2</v>
      </c>
    </row>
    <row r="494" spans="1:38" x14ac:dyDescent="0.35">
      <c r="A494" t="s">
        <v>38</v>
      </c>
      <c r="E494">
        <v>-1.001451586135213E-2</v>
      </c>
      <c r="F494">
        <f t="shared" si="25"/>
        <v>-1.8716838205620326E-2</v>
      </c>
      <c r="G494">
        <f t="shared" si="24"/>
        <v>-2.9468064388525762E-2</v>
      </c>
    </row>
    <row r="495" spans="1:38" x14ac:dyDescent="0.35">
      <c r="A495" t="s">
        <v>38</v>
      </c>
      <c r="E495">
        <v>1.0441090694909033E-4</v>
      </c>
      <c r="F495">
        <f t="shared" si="25"/>
        <v>-1.8717232704626257E-2</v>
      </c>
      <c r="G495">
        <f t="shared" si="24"/>
        <v>-2.9468064388525762E-2</v>
      </c>
    </row>
    <row r="496" spans="1:38" x14ac:dyDescent="0.35">
      <c r="A496" t="s">
        <v>38</v>
      </c>
      <c r="E496">
        <v>2.6624405386037338E-2</v>
      </c>
      <c r="F496">
        <f t="shared" si="25"/>
        <v>-1.8717627203632188E-2</v>
      </c>
      <c r="G496">
        <f t="shared" si="24"/>
        <v>-2.9468064388525762E-2</v>
      </c>
    </row>
    <row r="497" spans="1:38" x14ac:dyDescent="0.35">
      <c r="A497" t="s">
        <v>38</v>
      </c>
      <c r="E497">
        <v>-8.0058296478181332E-3</v>
      </c>
      <c r="F497">
        <f t="shared" si="25"/>
        <v>-1.8718021702638119E-2</v>
      </c>
      <c r="G497">
        <f t="shared" si="24"/>
        <v>-2.9468064388525762E-2</v>
      </c>
    </row>
    <row r="498" spans="1:38" x14ac:dyDescent="0.35">
      <c r="A498" t="s">
        <v>38</v>
      </c>
      <c r="E498">
        <v>1.2693396798158185E-2</v>
      </c>
      <c r="F498">
        <f t="shared" si="25"/>
        <v>-1.871841620164405E-2</v>
      </c>
      <c r="G498">
        <f t="shared" si="24"/>
        <v>-2.9468064388525762E-2</v>
      </c>
    </row>
    <row r="499" spans="1:38" x14ac:dyDescent="0.35">
      <c r="A499" t="s">
        <v>38</v>
      </c>
      <c r="E499">
        <v>7.6040327913693773E-3</v>
      </c>
      <c r="F499">
        <f t="shared" si="25"/>
        <v>-1.8718810700649981E-2</v>
      </c>
      <c r="G499">
        <f t="shared" si="24"/>
        <v>-2.9468064388525762E-2</v>
      </c>
    </row>
    <row r="500" spans="1:38" x14ac:dyDescent="0.35">
      <c r="A500" t="s">
        <v>38</v>
      </c>
      <c r="E500">
        <v>-1.5550099931642957E-2</v>
      </c>
      <c r="F500">
        <f t="shared" si="25"/>
        <v>-1.8719205199655913E-2</v>
      </c>
      <c r="G500">
        <f t="shared" si="24"/>
        <v>-2.9468064388525762E-2</v>
      </c>
    </row>
    <row r="501" spans="1:38" x14ac:dyDescent="0.35">
      <c r="A501" t="s">
        <v>38</v>
      </c>
      <c r="E501">
        <v>1.6383678804390404E-2</v>
      </c>
      <c r="F501">
        <f t="shared" si="25"/>
        <v>-1.8722490525699725E-2</v>
      </c>
      <c r="G501">
        <f t="shared" si="24"/>
        <v>-2.9533208989670431E-2</v>
      </c>
    </row>
    <row r="502" spans="1:38" x14ac:dyDescent="0.35">
      <c r="A502" t="s">
        <v>38</v>
      </c>
      <c r="E502">
        <v>1.053205448832888E-2</v>
      </c>
      <c r="F502">
        <f t="shared" si="25"/>
        <v>-1.872577585174354E-2</v>
      </c>
      <c r="G502">
        <f t="shared" si="24"/>
        <v>-2.9533208989670431E-2</v>
      </c>
    </row>
    <row r="503" spans="1:38" x14ac:dyDescent="0.35">
      <c r="A503" t="s">
        <v>39</v>
      </c>
      <c r="B503" s="3" cm="1">
        <f t="array" ref="B503">_xlfn.STDEV.S(_xlfn._xlws.FILTER($E$2:$E$1000, $A$2:$A$1000="2012-01"))</f>
        <v>1.3210563752509822E-2</v>
      </c>
      <c r="C503" s="3" cm="1">
        <f t="array" ref="C503">AVERAGE(_xlfn._xlws.FILTER($E$2:$E$1000, $A$2:$A$1000="2012-01"))</f>
        <v>2.0146386497957476E-3</v>
      </c>
      <c r="D503" s="3" cm="1">
        <f t="array" ref="D503">_xlfn.PERCENTILE.EXC(_xlfn._xlws.FILTER($E$503:$E$750, $A$503:$A$750="2012-01"), 0.05)</f>
        <v>-1.6661961742451742E-2</v>
      </c>
      <c r="E503">
        <v>3.1176698402346551E-2</v>
      </c>
      <c r="F503">
        <f t="shared" si="25"/>
        <v>-1.8729061177787353E-2</v>
      </c>
      <c r="G503">
        <f t="shared" si="24"/>
        <v>-2.9533208989670431E-2</v>
      </c>
      <c r="AI503" s="3"/>
      <c r="AJ503" s="3"/>
      <c r="AK503" s="3"/>
      <c r="AL503" s="3"/>
    </row>
    <row r="504" spans="1:38" x14ac:dyDescent="0.35">
      <c r="A504" t="s">
        <v>39</v>
      </c>
      <c r="E504">
        <v>-1.6887189780737836E-2</v>
      </c>
      <c r="F504">
        <f t="shared" si="25"/>
        <v>-1.8732346503831168E-2</v>
      </c>
      <c r="G504">
        <f t="shared" si="24"/>
        <v>-2.9533208989670431E-2</v>
      </c>
    </row>
    <row r="505" spans="1:38" x14ac:dyDescent="0.35">
      <c r="A505" t="s">
        <v>39</v>
      </c>
      <c r="E505">
        <v>-1.4634909397876901E-2</v>
      </c>
      <c r="F505">
        <f t="shared" si="25"/>
        <v>-1.8735631829874984E-2</v>
      </c>
      <c r="G505">
        <f t="shared" si="24"/>
        <v>-2.9533208989670431E-2</v>
      </c>
    </row>
    <row r="506" spans="1:38" x14ac:dyDescent="0.35">
      <c r="A506" t="s">
        <v>39</v>
      </c>
      <c r="E506">
        <v>-7.4116150650495307E-3</v>
      </c>
      <c r="F506">
        <f t="shared" si="25"/>
        <v>-1.8738917155918796E-2</v>
      </c>
      <c r="G506">
        <f t="shared" si="24"/>
        <v>-2.9533208989670431E-2</v>
      </c>
    </row>
    <row r="507" spans="1:38" x14ac:dyDescent="0.35">
      <c r="A507" t="s">
        <v>39</v>
      </c>
      <c r="E507">
        <v>-5.3215976931271555E-3</v>
      </c>
      <c r="F507">
        <f t="shared" si="25"/>
        <v>-1.8742202481962612E-2</v>
      </c>
      <c r="G507">
        <f t="shared" si="24"/>
        <v>-2.9533208989670431E-2</v>
      </c>
    </row>
    <row r="508" spans="1:38" x14ac:dyDescent="0.35">
      <c r="A508" t="s">
        <v>39</v>
      </c>
      <c r="E508">
        <v>2.633775607208275E-2</v>
      </c>
      <c r="F508">
        <f t="shared" si="25"/>
        <v>-1.8745487808006424E-2</v>
      </c>
      <c r="G508">
        <f t="shared" si="24"/>
        <v>-2.9533208989670431E-2</v>
      </c>
    </row>
    <row r="509" spans="1:38" x14ac:dyDescent="0.35">
      <c r="A509" t="s">
        <v>39</v>
      </c>
      <c r="E509">
        <v>-3.3966467332967282E-3</v>
      </c>
      <c r="F509">
        <f t="shared" si="25"/>
        <v>-1.8748773134050239E-2</v>
      </c>
      <c r="G509">
        <f t="shared" si="24"/>
        <v>-2.9533208989670431E-2</v>
      </c>
    </row>
    <row r="510" spans="1:38" x14ac:dyDescent="0.35">
      <c r="A510" t="s">
        <v>39</v>
      </c>
      <c r="E510">
        <v>2.7063038355878899E-3</v>
      </c>
      <c r="F510">
        <f t="shared" si="25"/>
        <v>-1.8752058460094055E-2</v>
      </c>
      <c r="G510">
        <f t="shared" si="24"/>
        <v>-2.9533208989670431E-2</v>
      </c>
    </row>
    <row r="511" spans="1:38" x14ac:dyDescent="0.35">
      <c r="A511" t="s">
        <v>39</v>
      </c>
      <c r="E511">
        <v>-3.3476693675017484E-3</v>
      </c>
      <c r="F511">
        <f t="shared" si="25"/>
        <v>-1.8755343786137867E-2</v>
      </c>
      <c r="G511">
        <f t="shared" si="24"/>
        <v>-2.9533208989670431E-2</v>
      </c>
    </row>
    <row r="512" spans="1:38" x14ac:dyDescent="0.35">
      <c r="A512" t="s">
        <v>39</v>
      </c>
      <c r="E512">
        <v>1.0022277410500158E-2</v>
      </c>
      <c r="F512">
        <f t="shared" si="25"/>
        <v>-1.8758629112181679E-2</v>
      </c>
      <c r="G512">
        <f t="shared" si="24"/>
        <v>-2.9533208989670431E-2</v>
      </c>
    </row>
    <row r="513" spans="1:38" x14ac:dyDescent="0.35">
      <c r="A513" t="s">
        <v>39</v>
      </c>
      <c r="E513">
        <v>1.4741166310193081E-2</v>
      </c>
      <c r="F513">
        <f t="shared" si="25"/>
        <v>-1.8761914438225495E-2</v>
      </c>
      <c r="G513">
        <f t="shared" si="24"/>
        <v>-2.9533208989670431E-2</v>
      </c>
    </row>
    <row r="514" spans="1:38" x14ac:dyDescent="0.35">
      <c r="A514" t="s">
        <v>39</v>
      </c>
      <c r="E514">
        <v>-2.5024713985059527E-3</v>
      </c>
      <c r="F514">
        <f t="shared" si="25"/>
        <v>-1.8765199764269307E-2</v>
      </c>
      <c r="G514">
        <f t="shared" si="24"/>
        <v>-2.9533208989670431E-2</v>
      </c>
    </row>
    <row r="515" spans="1:38" x14ac:dyDescent="0.35">
      <c r="A515" t="s">
        <v>39</v>
      </c>
      <c r="E515">
        <v>1.8402070981469766E-2</v>
      </c>
      <c r="F515">
        <f t="shared" si="25"/>
        <v>-1.8768485090313123E-2</v>
      </c>
      <c r="G515">
        <f t="shared" ref="G515:G578" si="26">AVERAGEIFS(E515:E4331,E515:E4331,"&lt;=" &amp; F515)</f>
        <v>-2.9533208989670431E-2</v>
      </c>
    </row>
    <row r="516" spans="1:38" x14ac:dyDescent="0.35">
      <c r="A516" t="s">
        <v>39</v>
      </c>
      <c r="E516">
        <v>-3.3237381482806331E-3</v>
      </c>
      <c r="F516">
        <f t="shared" ref="F516:F579" si="27">_xlfn.PERCENTILE.EXC(E516:E4331,0.05)</f>
        <v>-1.8771770416356935E-2</v>
      </c>
      <c r="G516">
        <f t="shared" si="26"/>
        <v>-2.9533208989670431E-2</v>
      </c>
    </row>
    <row r="517" spans="1:38" x14ac:dyDescent="0.35">
      <c r="A517" t="s">
        <v>39</v>
      </c>
      <c r="E517">
        <v>5.948583805216537E-3</v>
      </c>
      <c r="F517">
        <f t="shared" si="27"/>
        <v>-1.8775055742400751E-2</v>
      </c>
      <c r="G517">
        <f t="shared" si="26"/>
        <v>-2.9533208989670431E-2</v>
      </c>
    </row>
    <row r="518" spans="1:38" x14ac:dyDescent="0.35">
      <c r="A518" t="s">
        <v>39</v>
      </c>
      <c r="E518">
        <v>-3.8452825768505346E-3</v>
      </c>
      <c r="F518">
        <f t="shared" si="27"/>
        <v>-1.8778341068444563E-2</v>
      </c>
      <c r="G518">
        <f t="shared" si="26"/>
        <v>-2.9533208989670431E-2</v>
      </c>
    </row>
    <row r="519" spans="1:38" x14ac:dyDescent="0.35">
      <c r="A519" t="s">
        <v>39</v>
      </c>
      <c r="E519">
        <v>-4.5125035619653139E-3</v>
      </c>
      <c r="F519">
        <f t="shared" si="27"/>
        <v>-1.8781626394488379E-2</v>
      </c>
      <c r="G519">
        <f t="shared" si="26"/>
        <v>-2.9533208989670431E-2</v>
      </c>
    </row>
    <row r="520" spans="1:38" x14ac:dyDescent="0.35">
      <c r="A520" t="s">
        <v>39</v>
      </c>
      <c r="E520">
        <v>1.6093695329603631E-2</v>
      </c>
      <c r="F520">
        <f t="shared" si="27"/>
        <v>-1.8784911720532194E-2</v>
      </c>
      <c r="G520">
        <f t="shared" si="26"/>
        <v>-2.9533208989670431E-2</v>
      </c>
    </row>
    <row r="521" spans="1:38" x14ac:dyDescent="0.35">
      <c r="A521" t="s">
        <v>39</v>
      </c>
      <c r="E521">
        <v>-9.7121052886829772E-3</v>
      </c>
      <c r="F521">
        <f t="shared" si="27"/>
        <v>-1.8786077737479687E-2</v>
      </c>
      <c r="G521">
        <f t="shared" si="26"/>
        <v>-2.9598747387652984E-2</v>
      </c>
    </row>
    <row r="522" spans="1:38" x14ac:dyDescent="0.35">
      <c r="A522" t="s">
        <v>39</v>
      </c>
      <c r="E522">
        <v>-1.3219946147644967E-2</v>
      </c>
      <c r="F522">
        <f t="shared" si="27"/>
        <v>-1.8787243754427183E-2</v>
      </c>
      <c r="G522">
        <f t="shared" si="26"/>
        <v>-2.9598747387652984E-2</v>
      </c>
    </row>
    <row r="523" spans="1:38" x14ac:dyDescent="0.35">
      <c r="A523" t="s">
        <v>39</v>
      </c>
      <c r="E523">
        <v>4.9945346582306125E-3</v>
      </c>
      <c r="F523">
        <f t="shared" si="27"/>
        <v>-1.8788409771374675E-2</v>
      </c>
      <c r="G523">
        <f t="shared" si="26"/>
        <v>-2.9598747387652984E-2</v>
      </c>
    </row>
    <row r="524" spans="1:38" x14ac:dyDescent="0.35">
      <c r="A524" t="s">
        <v>40</v>
      </c>
      <c r="B524" s="3" cm="1">
        <f t="array" ref="B524">_xlfn.STDEV.S(_xlfn._xlws.FILTER($E$2:$E$1000, $A$2:$A$1000="2012-02"))</f>
        <v>8.5355782413636463E-3</v>
      </c>
      <c r="C524" s="3" cm="1">
        <f t="array" ref="C524">AVERAGE(_xlfn._xlws.FILTER($E$2:$E$1000, $A$2:$A$1000="2012-02"))</f>
        <v>1.8446007562925961E-3</v>
      </c>
      <c r="D524" s="3" cm="1">
        <f t="array" ref="D524">_xlfn.PERCENTILE.EXC(_xlfn._xlws.FILTER($E$503:$E$750, $A$503:$A$750="2012-02"), 0.05)</f>
        <v>-1.585305018802758E-2</v>
      </c>
      <c r="E524">
        <v>2.2151515985299099E-2</v>
      </c>
      <c r="F524">
        <f t="shared" si="27"/>
        <v>-1.8789575788322171E-2</v>
      </c>
      <c r="G524">
        <f t="shared" si="26"/>
        <v>-2.9598747387652984E-2</v>
      </c>
      <c r="AI524" s="3"/>
      <c r="AJ524" s="3"/>
      <c r="AK524" s="3"/>
      <c r="AL524" s="3"/>
    </row>
    <row r="525" spans="1:38" x14ac:dyDescent="0.35">
      <c r="A525" t="s">
        <v>40</v>
      </c>
      <c r="E525">
        <v>2.9743765032947569E-3</v>
      </c>
      <c r="F525">
        <f t="shared" si="27"/>
        <v>-1.8790741805269667E-2</v>
      </c>
      <c r="G525">
        <f t="shared" si="26"/>
        <v>-2.9598747387652984E-2</v>
      </c>
    </row>
    <row r="526" spans="1:38" x14ac:dyDescent="0.35">
      <c r="A526" t="s">
        <v>40</v>
      </c>
      <c r="E526">
        <v>1.4820129857724918E-2</v>
      </c>
      <c r="F526">
        <f t="shared" si="27"/>
        <v>-1.8791907822217159E-2</v>
      </c>
      <c r="G526">
        <f t="shared" si="26"/>
        <v>-2.9598747387652984E-2</v>
      </c>
    </row>
    <row r="527" spans="1:38" x14ac:dyDescent="0.35">
      <c r="A527" t="s">
        <v>40</v>
      </c>
      <c r="E527">
        <v>-2.8906817606089066E-3</v>
      </c>
      <c r="F527">
        <f t="shared" si="27"/>
        <v>-1.8793073839164655E-2</v>
      </c>
      <c r="G527">
        <f t="shared" si="26"/>
        <v>-2.9598747387652984E-2</v>
      </c>
    </row>
    <row r="528" spans="1:38" x14ac:dyDescent="0.35">
      <c r="A528" t="s">
        <v>40</v>
      </c>
      <c r="E528">
        <v>2.4810795660951219E-3</v>
      </c>
      <c r="F528">
        <f t="shared" si="27"/>
        <v>-1.8794239856112147E-2</v>
      </c>
      <c r="G528">
        <f t="shared" si="26"/>
        <v>-2.9598747387652984E-2</v>
      </c>
    </row>
    <row r="529" spans="1:7" x14ac:dyDescent="0.35">
      <c r="A529" t="s">
        <v>40</v>
      </c>
      <c r="E529">
        <v>-4.7741813185990734E-4</v>
      </c>
      <c r="F529">
        <f t="shared" si="27"/>
        <v>-1.8795405873059643E-2</v>
      </c>
      <c r="G529">
        <f t="shared" si="26"/>
        <v>-2.9598747387652984E-2</v>
      </c>
    </row>
    <row r="530" spans="1:7" x14ac:dyDescent="0.35">
      <c r="A530" t="s">
        <v>40</v>
      </c>
      <c r="E530">
        <v>3.7416185022298271E-3</v>
      </c>
      <c r="F530">
        <f t="shared" si="27"/>
        <v>-1.8796571890007135E-2</v>
      </c>
      <c r="G530">
        <f t="shared" si="26"/>
        <v>-2.9598747387652984E-2</v>
      </c>
    </row>
    <row r="531" spans="1:7" x14ac:dyDescent="0.35">
      <c r="A531" t="s">
        <v>40</v>
      </c>
      <c r="E531">
        <v>-1.6622077253064402E-2</v>
      </c>
      <c r="F531">
        <f t="shared" si="27"/>
        <v>-1.8797737906954631E-2</v>
      </c>
      <c r="G531">
        <f t="shared" si="26"/>
        <v>-2.9598747387652984E-2</v>
      </c>
    </row>
    <row r="532" spans="1:7" x14ac:dyDescent="0.35">
      <c r="A532" t="s">
        <v>40</v>
      </c>
      <c r="E532">
        <v>4.3360283529500733E-3</v>
      </c>
      <c r="F532">
        <f t="shared" si="27"/>
        <v>-1.8798903923902127E-2</v>
      </c>
      <c r="G532">
        <f t="shared" si="26"/>
        <v>-2.9598747387652984E-2</v>
      </c>
    </row>
    <row r="533" spans="1:7" x14ac:dyDescent="0.35">
      <c r="A533" t="s">
        <v>40</v>
      </c>
      <c r="E533">
        <v>-1.3052656261051808E-3</v>
      </c>
      <c r="F533">
        <f t="shared" si="27"/>
        <v>-1.880006994084962E-2</v>
      </c>
      <c r="G533">
        <f t="shared" si="26"/>
        <v>-2.9598747387652984E-2</v>
      </c>
    </row>
    <row r="534" spans="1:7" x14ac:dyDescent="0.35">
      <c r="A534" t="s">
        <v>40</v>
      </c>
      <c r="E534">
        <v>2.2760810669105133E-3</v>
      </c>
      <c r="F534">
        <f t="shared" si="27"/>
        <v>-1.8801235957797115E-2</v>
      </c>
      <c r="G534">
        <f t="shared" si="26"/>
        <v>-2.9598747387652984E-2</v>
      </c>
    </row>
    <row r="535" spans="1:7" x14ac:dyDescent="0.35">
      <c r="A535" t="s">
        <v>40</v>
      </c>
      <c r="E535">
        <v>-1.8501764148974315E-3</v>
      </c>
      <c r="F535">
        <f t="shared" si="27"/>
        <v>-1.8802401974744608E-2</v>
      </c>
      <c r="G535">
        <f t="shared" si="26"/>
        <v>-2.9598747387652984E-2</v>
      </c>
    </row>
    <row r="536" spans="1:7" x14ac:dyDescent="0.35">
      <c r="A536" t="s">
        <v>40</v>
      </c>
      <c r="E536">
        <v>1.236027760856823E-2</v>
      </c>
      <c r="F536">
        <f t="shared" si="27"/>
        <v>-1.8803567991692104E-2</v>
      </c>
      <c r="G536">
        <f t="shared" si="26"/>
        <v>-2.9598747387652984E-2</v>
      </c>
    </row>
    <row r="537" spans="1:7" x14ac:dyDescent="0.35">
      <c r="A537" t="s">
        <v>40</v>
      </c>
      <c r="E537">
        <v>1.1821247233378334E-2</v>
      </c>
      <c r="F537">
        <f t="shared" si="27"/>
        <v>-1.8804734008639596E-2</v>
      </c>
      <c r="G537">
        <f t="shared" si="26"/>
        <v>-2.9598747387652984E-2</v>
      </c>
    </row>
    <row r="538" spans="1:7" x14ac:dyDescent="0.35">
      <c r="A538" t="s">
        <v>40</v>
      </c>
      <c r="E538">
        <v>-3.4093530907248148E-3</v>
      </c>
      <c r="F538">
        <f t="shared" si="27"/>
        <v>-1.8805900025587092E-2</v>
      </c>
      <c r="G538">
        <f t="shared" si="26"/>
        <v>-2.9598747387652984E-2</v>
      </c>
    </row>
    <row r="539" spans="1:7" x14ac:dyDescent="0.35">
      <c r="A539" t="s">
        <v>40</v>
      </c>
      <c r="E539">
        <v>-8.9318066026961764E-3</v>
      </c>
      <c r="F539">
        <f t="shared" si="27"/>
        <v>-1.8807066042534584E-2</v>
      </c>
      <c r="G539">
        <f t="shared" si="26"/>
        <v>-2.9598747387652984E-2</v>
      </c>
    </row>
    <row r="540" spans="1:7" x14ac:dyDescent="0.35">
      <c r="A540" t="s">
        <v>40</v>
      </c>
      <c r="E540">
        <v>-4.3444771818922315E-3</v>
      </c>
      <c r="F540">
        <f t="shared" si="27"/>
        <v>-1.880823205948208E-2</v>
      </c>
      <c r="G540">
        <f t="shared" si="26"/>
        <v>-2.9598747387652984E-2</v>
      </c>
    </row>
    <row r="541" spans="1:7" x14ac:dyDescent="0.35">
      <c r="A541" t="s">
        <v>40</v>
      </c>
      <c r="E541">
        <v>6.2045960281030595E-3</v>
      </c>
      <c r="F541">
        <f t="shared" si="27"/>
        <v>-1.8810370300914477E-2</v>
      </c>
      <c r="G541">
        <f t="shared" si="26"/>
        <v>-2.966494686819391E-2</v>
      </c>
    </row>
    <row r="542" spans="1:7" x14ac:dyDescent="0.35">
      <c r="A542" t="s">
        <v>40</v>
      </c>
      <c r="E542">
        <v>-4.2209820946495537E-3</v>
      </c>
      <c r="F542">
        <f t="shared" si="27"/>
        <v>-1.8812508542346878E-2</v>
      </c>
      <c r="G542">
        <f t="shared" si="26"/>
        <v>-2.966494686819391E-2</v>
      </c>
    </row>
    <row r="543" spans="1:7" x14ac:dyDescent="0.35">
      <c r="A543" t="s">
        <v>40</v>
      </c>
      <c r="E543">
        <v>2.6466501168893736E-3</v>
      </c>
      <c r="F543">
        <f t="shared" si="27"/>
        <v>-1.8814646783779275E-2</v>
      </c>
      <c r="G543">
        <f t="shared" si="26"/>
        <v>-2.966494686819391E-2</v>
      </c>
    </row>
    <row r="544" spans="1:7" x14ac:dyDescent="0.35">
      <c r="A544" t="s">
        <v>40</v>
      </c>
      <c r="E544">
        <v>-3.0247467828001993E-3</v>
      </c>
      <c r="F544">
        <f t="shared" si="27"/>
        <v>-1.8816785025211676E-2</v>
      </c>
      <c r="G544">
        <f t="shared" si="26"/>
        <v>-2.966494686819391E-2</v>
      </c>
    </row>
    <row r="545" spans="1:38" x14ac:dyDescent="0.35">
      <c r="A545" t="s">
        <v>41</v>
      </c>
      <c r="B545" s="3" cm="1">
        <f t="array" ref="B545">_xlfn.STDEV.S(_xlfn._xlws.FILTER($E$2:$E$1000, $A$2:$A$1000="2012-03"))</f>
        <v>1.2644043698119797E-2</v>
      </c>
      <c r="C545" s="3" cm="1">
        <f t="array" ref="C545">AVERAGE(_xlfn._xlws.FILTER($E$2:$E$1000, $A$2:$A$1000="2012-03"))</f>
        <v>-6.3462969862427079E-4</v>
      </c>
      <c r="D545" s="3" cm="1">
        <f t="array" ref="D545">_xlfn.PERCENTILE.EXC(_xlfn._xlws.FILTER($E$503:$E$750, $A$503:$A$750="2012-03"), 0.05)</f>
        <v>-3.217910352570013E-2</v>
      </c>
      <c r="E545">
        <v>1.4444693399770767E-2</v>
      </c>
      <c r="F545">
        <f t="shared" si="27"/>
        <v>-1.8818923266644076E-2</v>
      </c>
      <c r="G545">
        <f t="shared" si="26"/>
        <v>-2.966494686819391E-2</v>
      </c>
      <c r="AI545" s="3"/>
      <c r="AJ545" s="3"/>
      <c r="AK545" s="3"/>
      <c r="AL545" s="3"/>
    </row>
    <row r="546" spans="1:38" x14ac:dyDescent="0.35">
      <c r="A546" t="s">
        <v>41</v>
      </c>
      <c r="E546">
        <v>-9.8138901890579516E-4</v>
      </c>
      <c r="F546">
        <f t="shared" si="27"/>
        <v>-1.8821061508076473E-2</v>
      </c>
      <c r="G546">
        <f t="shared" si="26"/>
        <v>-2.966494686819391E-2</v>
      </c>
    </row>
    <row r="547" spans="1:38" x14ac:dyDescent="0.35">
      <c r="A547" t="s">
        <v>41</v>
      </c>
      <c r="E547">
        <v>-6.4223765970303536E-3</v>
      </c>
      <c r="F547">
        <f t="shared" si="27"/>
        <v>-1.882319974950887E-2</v>
      </c>
      <c r="G547">
        <f t="shared" si="26"/>
        <v>-2.966494686819391E-2</v>
      </c>
    </row>
    <row r="548" spans="1:38" x14ac:dyDescent="0.35">
      <c r="A548" t="s">
        <v>41</v>
      </c>
      <c r="E548">
        <v>-3.4724342564821882E-2</v>
      </c>
      <c r="F548">
        <f t="shared" si="27"/>
        <v>-1.8825337990941271E-2</v>
      </c>
      <c r="G548">
        <f t="shared" si="26"/>
        <v>-2.966494686819391E-2</v>
      </c>
    </row>
    <row r="549" spans="1:38" x14ac:dyDescent="0.35">
      <c r="A549" t="s">
        <v>41</v>
      </c>
      <c r="E549">
        <v>7.0346864223915593E-3</v>
      </c>
      <c r="F549">
        <f t="shared" si="27"/>
        <v>-1.8795405873059643E-2</v>
      </c>
      <c r="G549">
        <f t="shared" si="26"/>
        <v>-2.9567302018467894E-2</v>
      </c>
    </row>
    <row r="550" spans="1:38" x14ac:dyDescent="0.35">
      <c r="A550" t="s">
        <v>41</v>
      </c>
      <c r="E550">
        <v>2.1488307186067784E-2</v>
      </c>
      <c r="F550">
        <f t="shared" si="27"/>
        <v>-1.8796571890007135E-2</v>
      </c>
      <c r="G550">
        <f t="shared" si="26"/>
        <v>-2.9567302018467894E-2</v>
      </c>
    </row>
    <row r="551" spans="1:38" x14ac:dyDescent="0.35">
      <c r="A551" t="s">
        <v>41</v>
      </c>
      <c r="E551">
        <v>6.8784954314094046E-4</v>
      </c>
      <c r="F551">
        <f t="shared" si="27"/>
        <v>-1.8797737906954631E-2</v>
      </c>
      <c r="G551">
        <f t="shared" si="26"/>
        <v>-2.9567302018467894E-2</v>
      </c>
    </row>
    <row r="552" spans="1:38" x14ac:dyDescent="0.35">
      <c r="A552" t="s">
        <v>41</v>
      </c>
      <c r="E552">
        <v>-3.8959077560184348E-4</v>
      </c>
      <c r="F552">
        <f t="shared" si="27"/>
        <v>-1.8798903923902127E-2</v>
      </c>
      <c r="G552">
        <f t="shared" si="26"/>
        <v>-2.9567302018467894E-2</v>
      </c>
    </row>
    <row r="553" spans="1:38" x14ac:dyDescent="0.35">
      <c r="A553" t="s">
        <v>41</v>
      </c>
      <c r="E553">
        <v>1.6503423785937357E-2</v>
      </c>
      <c r="F553">
        <f t="shared" si="27"/>
        <v>-1.880006994084962E-2</v>
      </c>
      <c r="G553">
        <f t="shared" si="26"/>
        <v>-2.9567302018467894E-2</v>
      </c>
    </row>
    <row r="554" spans="1:38" x14ac:dyDescent="0.35">
      <c r="A554" t="s">
        <v>41</v>
      </c>
      <c r="E554">
        <v>7.0036785549099593E-3</v>
      </c>
      <c r="F554">
        <f t="shared" si="27"/>
        <v>-1.8801235957797115E-2</v>
      </c>
      <c r="G554">
        <f t="shared" si="26"/>
        <v>-2.9567302018467894E-2</v>
      </c>
    </row>
    <row r="555" spans="1:38" x14ac:dyDescent="0.35">
      <c r="A555" t="s">
        <v>41</v>
      </c>
      <c r="E555">
        <v>7.4215432850461378E-3</v>
      </c>
      <c r="F555">
        <f t="shared" si="27"/>
        <v>-1.8802401974744608E-2</v>
      </c>
      <c r="G555">
        <f t="shared" si="26"/>
        <v>-2.9567302018467894E-2</v>
      </c>
    </row>
    <row r="556" spans="1:38" x14ac:dyDescent="0.35">
      <c r="A556" t="s">
        <v>41</v>
      </c>
      <c r="E556">
        <v>5.5091474467042359E-3</v>
      </c>
      <c r="F556">
        <f t="shared" si="27"/>
        <v>-1.8803567991692104E-2</v>
      </c>
      <c r="G556">
        <f t="shared" si="26"/>
        <v>-2.9567302018467894E-2</v>
      </c>
    </row>
    <row r="557" spans="1:38" x14ac:dyDescent="0.35">
      <c r="A557" t="s">
        <v>41</v>
      </c>
      <c r="E557">
        <v>4.6005919436292161E-5</v>
      </c>
      <c r="F557">
        <f t="shared" si="27"/>
        <v>-1.8804734008639596E-2</v>
      </c>
      <c r="G557">
        <f t="shared" si="26"/>
        <v>-2.9567302018467894E-2</v>
      </c>
    </row>
    <row r="558" spans="1:38" x14ac:dyDescent="0.35">
      <c r="A558" t="s">
        <v>41</v>
      </c>
      <c r="E558">
        <v>-1.2270092591814359E-2</v>
      </c>
      <c r="F558">
        <f t="shared" si="27"/>
        <v>-1.8805900025587092E-2</v>
      </c>
      <c r="G558">
        <f t="shared" si="26"/>
        <v>-2.9567302018467894E-2</v>
      </c>
    </row>
    <row r="559" spans="1:38" x14ac:dyDescent="0.35">
      <c r="A559" t="s">
        <v>41</v>
      </c>
      <c r="E559">
        <v>-3.5107604014979325E-3</v>
      </c>
      <c r="F559">
        <f t="shared" si="27"/>
        <v>-1.8807066042534584E-2</v>
      </c>
      <c r="G559">
        <f t="shared" si="26"/>
        <v>-2.9567302018467894E-2</v>
      </c>
    </row>
    <row r="560" spans="1:38" x14ac:dyDescent="0.35">
      <c r="A560" t="s">
        <v>41</v>
      </c>
      <c r="E560">
        <v>-1.465756556918783E-2</v>
      </c>
      <c r="F560">
        <f t="shared" si="27"/>
        <v>-1.880823205948208E-2</v>
      </c>
      <c r="G560">
        <f t="shared" si="26"/>
        <v>-2.9567302018467894E-2</v>
      </c>
    </row>
    <row r="561" spans="1:38" x14ac:dyDescent="0.35">
      <c r="A561" t="s">
        <v>41</v>
      </c>
      <c r="E561">
        <v>-1.894910222535828E-3</v>
      </c>
      <c r="F561">
        <f t="shared" si="27"/>
        <v>-1.8810370300914477E-2</v>
      </c>
      <c r="G561">
        <f t="shared" si="26"/>
        <v>-2.9633716030560399E-2</v>
      </c>
    </row>
    <row r="562" spans="1:38" x14ac:dyDescent="0.35">
      <c r="A562" t="s">
        <v>41</v>
      </c>
      <c r="E562">
        <v>5.701553360152779E-3</v>
      </c>
      <c r="F562">
        <f t="shared" si="27"/>
        <v>-1.8812508542346878E-2</v>
      </c>
      <c r="G562">
        <f t="shared" si="26"/>
        <v>-2.9633716030560399E-2</v>
      </c>
    </row>
    <row r="563" spans="1:38" x14ac:dyDescent="0.35">
      <c r="A563" t="s">
        <v>41</v>
      </c>
      <c r="E563">
        <v>-5.7886710324235174E-3</v>
      </c>
      <c r="F563">
        <f t="shared" si="27"/>
        <v>-1.8814646783779275E-2</v>
      </c>
      <c r="G563">
        <f t="shared" si="26"/>
        <v>-2.9633716030560399E-2</v>
      </c>
    </row>
    <row r="564" spans="1:38" x14ac:dyDescent="0.35">
      <c r="A564" t="s">
        <v>41</v>
      </c>
      <c r="E564">
        <v>-1.1362378285165361E-2</v>
      </c>
      <c r="F564">
        <f t="shared" si="27"/>
        <v>-1.8816785025211676E-2</v>
      </c>
      <c r="G564">
        <f t="shared" si="26"/>
        <v>-2.9633716030560399E-2</v>
      </c>
    </row>
    <row r="565" spans="1:38" x14ac:dyDescent="0.35">
      <c r="A565" t="s">
        <v>41</v>
      </c>
      <c r="E565">
        <v>-1.7756082304010237E-2</v>
      </c>
      <c r="F565">
        <f t="shared" si="27"/>
        <v>-1.8818923266644076E-2</v>
      </c>
      <c r="G565">
        <f t="shared" si="26"/>
        <v>-2.9633716030560399E-2</v>
      </c>
    </row>
    <row r="566" spans="1:38" x14ac:dyDescent="0.35">
      <c r="A566" t="s">
        <v>41</v>
      </c>
      <c r="E566">
        <v>9.9554170897031731E-3</v>
      </c>
      <c r="F566">
        <f t="shared" si="27"/>
        <v>-1.8821061508076473E-2</v>
      </c>
      <c r="G566">
        <f t="shared" si="26"/>
        <v>-2.9633716030560399E-2</v>
      </c>
    </row>
    <row r="567" spans="1:38" x14ac:dyDescent="0.35">
      <c r="A567" t="s">
        <v>42</v>
      </c>
      <c r="B567" s="3" cm="1">
        <f t="array" ref="B567">_xlfn.STDEV.S(_xlfn._xlws.FILTER($E$2:$E$1000, $A$2:$A$1000="2012-04"))</f>
        <v>1.792514049175634E-2</v>
      </c>
      <c r="C567" s="3" cm="1">
        <f t="array" ref="C567">AVERAGE(_xlfn._xlws.FILTER($E$2:$E$1000, $A$2:$A$1000="2012-04"))</f>
        <v>-3.7610689234131227E-3</v>
      </c>
      <c r="D567" s="3" cm="1">
        <f t="array" ref="D567">_xlfn.PERCENTILE.EXC(_xlfn._xlws.FILTER($E$503:$E$750, $A$503:$A$750="2012-04"), 0.05)</f>
        <v>-3.0129112044838865E-2</v>
      </c>
      <c r="E567">
        <v>9.6014364308041316E-3</v>
      </c>
      <c r="F567">
        <f t="shared" si="27"/>
        <v>-1.882319974950887E-2</v>
      </c>
      <c r="G567">
        <f t="shared" si="26"/>
        <v>-2.9633716030560399E-2</v>
      </c>
      <c r="AI567" s="3"/>
      <c r="AJ567" s="3"/>
      <c r="AK567" s="3"/>
      <c r="AL567" s="3"/>
    </row>
    <row r="568" spans="1:38" x14ac:dyDescent="0.35">
      <c r="A568" t="s">
        <v>42</v>
      </c>
      <c r="E568">
        <v>-1.7015990703770568E-2</v>
      </c>
      <c r="F568">
        <f t="shared" si="27"/>
        <v>-1.8825337990941271E-2</v>
      </c>
      <c r="G568">
        <f t="shared" si="26"/>
        <v>-2.9633716030560399E-2</v>
      </c>
    </row>
    <row r="569" spans="1:38" x14ac:dyDescent="0.35">
      <c r="A569" t="s">
        <v>42</v>
      </c>
      <c r="E569">
        <v>-2.4919765082353915E-2</v>
      </c>
      <c r="F569">
        <f t="shared" si="27"/>
        <v>-1.8827476232373668E-2</v>
      </c>
      <c r="G569">
        <f t="shared" si="26"/>
        <v>-2.9633716030560399E-2</v>
      </c>
    </row>
    <row r="570" spans="1:38" x14ac:dyDescent="0.35">
      <c r="A570" t="s">
        <v>42</v>
      </c>
      <c r="E570">
        <v>-2.4713016125861068E-3</v>
      </c>
      <c r="F570">
        <f t="shared" si="27"/>
        <v>-1.8796571890007135E-2</v>
      </c>
      <c r="G570">
        <f t="shared" si="26"/>
        <v>-2.9595990518073531E-2</v>
      </c>
    </row>
    <row r="571" spans="1:38" x14ac:dyDescent="0.35">
      <c r="A571" t="s">
        <v>42</v>
      </c>
      <c r="E571">
        <v>-3.0129112044838865E-2</v>
      </c>
      <c r="F571">
        <f t="shared" si="27"/>
        <v>-1.8797737906954631E-2</v>
      </c>
      <c r="G571">
        <f t="shared" si="26"/>
        <v>-2.9595990518073531E-2</v>
      </c>
    </row>
    <row r="572" spans="1:38" x14ac:dyDescent="0.35">
      <c r="A572" t="s">
        <v>42</v>
      </c>
      <c r="E572">
        <v>8.5055060478412877E-3</v>
      </c>
      <c r="F572">
        <f t="shared" si="27"/>
        <v>-1.8758629112181679E-2</v>
      </c>
      <c r="G572">
        <f t="shared" si="26"/>
        <v>-2.9525964590145712E-2</v>
      </c>
    </row>
    <row r="573" spans="1:38" x14ac:dyDescent="0.35">
      <c r="A573" t="s">
        <v>42</v>
      </c>
      <c r="E573">
        <v>4.6361085254110323E-3</v>
      </c>
      <c r="F573">
        <f t="shared" si="27"/>
        <v>-1.8761914438225495E-2</v>
      </c>
      <c r="G573">
        <f t="shared" si="26"/>
        <v>-2.9525964590145712E-2</v>
      </c>
    </row>
    <row r="574" spans="1:38" x14ac:dyDescent="0.35">
      <c r="A574" t="s">
        <v>42</v>
      </c>
      <c r="E574">
        <v>-2.6157076735635051E-2</v>
      </c>
      <c r="F574">
        <f t="shared" si="27"/>
        <v>-1.8765199764269307E-2</v>
      </c>
      <c r="G574">
        <f t="shared" si="26"/>
        <v>-2.9525964590145712E-2</v>
      </c>
    </row>
    <row r="575" spans="1:38" x14ac:dyDescent="0.35">
      <c r="A575" t="s">
        <v>42</v>
      </c>
      <c r="E575">
        <v>4.2153915274587587E-3</v>
      </c>
      <c r="F575">
        <f t="shared" si="27"/>
        <v>-1.8717232704626257E-2</v>
      </c>
      <c r="G575">
        <f t="shared" si="26"/>
        <v>-2.9480051802886584E-2</v>
      </c>
    </row>
    <row r="576" spans="1:38" x14ac:dyDescent="0.35">
      <c r="A576" t="s">
        <v>42</v>
      </c>
      <c r="E576">
        <v>2.8218073655404803E-2</v>
      </c>
      <c r="F576">
        <f t="shared" si="27"/>
        <v>-1.8717627203632188E-2</v>
      </c>
      <c r="G576">
        <f t="shared" si="26"/>
        <v>-2.9480051802886584E-2</v>
      </c>
    </row>
    <row r="577" spans="1:38" x14ac:dyDescent="0.35">
      <c r="A577" t="s">
        <v>42</v>
      </c>
      <c r="E577">
        <v>-1.6703655109183726E-2</v>
      </c>
      <c r="F577">
        <f t="shared" si="27"/>
        <v>-1.8718021702638119E-2</v>
      </c>
      <c r="G577">
        <f t="shared" si="26"/>
        <v>-2.9480051802886584E-2</v>
      </c>
    </row>
    <row r="578" spans="1:38" x14ac:dyDescent="0.35">
      <c r="A578" t="s">
        <v>42</v>
      </c>
      <c r="E578">
        <v>-1.8719205199655913E-2</v>
      </c>
      <c r="F578">
        <f t="shared" si="27"/>
        <v>-1.871841620164405E-2</v>
      </c>
      <c r="G578">
        <f t="shared" si="26"/>
        <v>-2.9480051802886584E-2</v>
      </c>
    </row>
    <row r="579" spans="1:38" x14ac:dyDescent="0.35">
      <c r="A579" t="s">
        <v>42</v>
      </c>
      <c r="E579">
        <v>1.1575563222594188E-2</v>
      </c>
      <c r="F579">
        <f t="shared" si="27"/>
        <v>-1.8707940289768098E-2</v>
      </c>
      <c r="G579">
        <f t="shared" ref="G579:G642" si="28">AVERAGEIFS(E579:E4395,E579:E4395,"&lt;=" &amp; F579)</f>
        <v>-2.9480003099305603E-2</v>
      </c>
    </row>
    <row r="580" spans="1:38" x14ac:dyDescent="0.35">
      <c r="A580" t="s">
        <v>42</v>
      </c>
      <c r="E580">
        <v>-2.9167362511591306E-2</v>
      </c>
      <c r="F580">
        <f t="shared" ref="F580:F643" si="29">_xlfn.PERCENTILE.EXC(E580:E4395,0.05)</f>
        <v>-1.871131521953729E-2</v>
      </c>
      <c r="G580">
        <f t="shared" si="28"/>
        <v>-2.9480003099305603E-2</v>
      </c>
    </row>
    <row r="581" spans="1:38" x14ac:dyDescent="0.35">
      <c r="A581" t="s">
        <v>42</v>
      </c>
      <c r="E581">
        <v>1.7333522953771989E-2</v>
      </c>
      <c r="F581">
        <f t="shared" si="29"/>
        <v>-1.8647191553922641E-2</v>
      </c>
      <c r="G581">
        <f t="shared" si="28"/>
        <v>-2.9481944966310042E-2</v>
      </c>
    </row>
    <row r="582" spans="1:38" x14ac:dyDescent="0.35">
      <c r="A582" t="s">
        <v>42</v>
      </c>
      <c r="E582">
        <v>1.6857392582946672E-2</v>
      </c>
      <c r="F582">
        <f t="shared" si="29"/>
        <v>-1.8650566483691833E-2</v>
      </c>
      <c r="G582">
        <f t="shared" si="28"/>
        <v>-2.9481944966310042E-2</v>
      </c>
    </row>
    <row r="583" spans="1:38" x14ac:dyDescent="0.35">
      <c r="A583" t="s">
        <v>42</v>
      </c>
      <c r="E583">
        <v>-9.4713277150082573E-5</v>
      </c>
      <c r="F583">
        <f t="shared" si="29"/>
        <v>-1.8653941413461026E-2</v>
      </c>
      <c r="G583">
        <f t="shared" si="28"/>
        <v>-2.9481944966310042E-2</v>
      </c>
    </row>
    <row r="584" spans="1:38" x14ac:dyDescent="0.35">
      <c r="A584" t="s">
        <v>42</v>
      </c>
      <c r="E584">
        <v>9.1414073457163868E-3</v>
      </c>
      <c r="F584">
        <f t="shared" si="29"/>
        <v>-1.8657316343230219E-2</v>
      </c>
      <c r="G584">
        <f t="shared" si="28"/>
        <v>-2.9481944966310042E-2</v>
      </c>
    </row>
    <row r="585" spans="1:38" x14ac:dyDescent="0.35">
      <c r="A585" t="s">
        <v>42</v>
      </c>
      <c r="E585">
        <v>-1.6166529560033081E-2</v>
      </c>
      <c r="F585">
        <f t="shared" si="29"/>
        <v>-1.8660691272999411E-2</v>
      </c>
      <c r="G585">
        <f t="shared" si="28"/>
        <v>-2.9481944966310042E-2</v>
      </c>
    </row>
    <row r="586" spans="1:38" x14ac:dyDescent="0.35">
      <c r="A586" t="s">
        <v>43</v>
      </c>
      <c r="B586" s="3" cm="1">
        <f t="array" ref="B586">_xlfn.STDEV.S(_xlfn._xlws.FILTER($E$2:$E$1000, $A$2:$A$1000="2012-05"))</f>
        <v>1.1735276710722916E-2</v>
      </c>
      <c r="C586" s="3" cm="1">
        <f t="array" ref="C586">AVERAGE(_xlfn._xlws.FILTER($E$2:$E$1000, $A$2:$A$1000="2012-05"))</f>
        <v>-4.0373767094905519E-3</v>
      </c>
      <c r="D586" s="3" cm="1">
        <f t="array" ref="D586">_xlfn.PERCENTILE.EXC(_xlfn._xlws.FILTER($E$503:$E$750, $A$503:$A$750="2012-05"), 0.05)</f>
        <v>-2.6822699334648713E-2</v>
      </c>
      <c r="E586">
        <v>-7.0136949582040925E-3</v>
      </c>
      <c r="F586">
        <f t="shared" si="29"/>
        <v>-1.8664066202768601E-2</v>
      </c>
      <c r="G586">
        <f t="shared" si="28"/>
        <v>-2.9481944966310042E-2</v>
      </c>
      <c r="AI586" s="3"/>
      <c r="AJ586" s="3"/>
      <c r="AK586" s="3"/>
      <c r="AL586" s="3"/>
    </row>
    <row r="587" spans="1:38" x14ac:dyDescent="0.35">
      <c r="A587" t="s">
        <v>43</v>
      </c>
      <c r="E587">
        <v>-1.4025400941598829E-3</v>
      </c>
      <c r="F587">
        <f t="shared" si="29"/>
        <v>-1.8667441132537793E-2</v>
      </c>
      <c r="G587">
        <f t="shared" si="28"/>
        <v>-2.9481944966310042E-2</v>
      </c>
    </row>
    <row r="588" spans="1:38" x14ac:dyDescent="0.35">
      <c r="A588" t="s">
        <v>43</v>
      </c>
      <c r="E588">
        <v>-1.7092473342585564E-2</v>
      </c>
      <c r="F588">
        <f t="shared" si="29"/>
        <v>-1.8670816062306986E-2</v>
      </c>
      <c r="G588">
        <f t="shared" si="28"/>
        <v>-2.9481944966310042E-2</v>
      </c>
    </row>
    <row r="589" spans="1:38" x14ac:dyDescent="0.35">
      <c r="A589" t="s">
        <v>43</v>
      </c>
      <c r="E589">
        <v>-5.4544170727165008E-3</v>
      </c>
      <c r="F589">
        <f t="shared" si="29"/>
        <v>-1.8674190992076178E-2</v>
      </c>
      <c r="G589">
        <f t="shared" si="28"/>
        <v>-2.9481944966310042E-2</v>
      </c>
    </row>
    <row r="590" spans="1:38" x14ac:dyDescent="0.35">
      <c r="A590" t="s">
        <v>43</v>
      </c>
      <c r="E590">
        <v>-4.6977274665376025E-3</v>
      </c>
      <c r="F590">
        <f t="shared" si="29"/>
        <v>-1.8677565921845371E-2</v>
      </c>
      <c r="G590">
        <f t="shared" si="28"/>
        <v>-2.9481944966310042E-2</v>
      </c>
    </row>
    <row r="591" spans="1:38" x14ac:dyDescent="0.35">
      <c r="A591" t="s">
        <v>43</v>
      </c>
      <c r="E591">
        <v>9.7250716723535115E-3</v>
      </c>
      <c r="F591">
        <f t="shared" si="29"/>
        <v>-1.868094085161456E-2</v>
      </c>
      <c r="G591">
        <f t="shared" si="28"/>
        <v>-2.9481944966310042E-2</v>
      </c>
    </row>
    <row r="592" spans="1:38" x14ac:dyDescent="0.35">
      <c r="A592" t="s">
        <v>43</v>
      </c>
      <c r="E592">
        <v>3.1808677351103502E-3</v>
      </c>
      <c r="F592">
        <f t="shared" si="29"/>
        <v>-1.8684315781383753E-2</v>
      </c>
      <c r="G592">
        <f t="shared" si="28"/>
        <v>-2.9481944966310042E-2</v>
      </c>
    </row>
    <row r="593" spans="1:38" x14ac:dyDescent="0.35">
      <c r="A593" t="s">
        <v>43</v>
      </c>
      <c r="E593">
        <v>-2.3602629602447949E-2</v>
      </c>
      <c r="F593">
        <f t="shared" si="29"/>
        <v>-1.8687690711152945E-2</v>
      </c>
      <c r="G593">
        <f t="shared" si="28"/>
        <v>-2.9481944966310042E-2</v>
      </c>
    </row>
    <row r="594" spans="1:38" x14ac:dyDescent="0.35">
      <c r="A594" t="s">
        <v>43</v>
      </c>
      <c r="E594">
        <v>-1.0628732536170924E-2</v>
      </c>
      <c r="F594">
        <f t="shared" si="29"/>
        <v>-1.8638384313514902E-2</v>
      </c>
      <c r="G594">
        <f t="shared" si="28"/>
        <v>-2.9451144885699523E-2</v>
      </c>
    </row>
    <row r="595" spans="1:38" x14ac:dyDescent="0.35">
      <c r="A595" t="s">
        <v>43</v>
      </c>
      <c r="E595">
        <v>-1.5296247134392914E-3</v>
      </c>
      <c r="F595">
        <f t="shared" si="29"/>
        <v>-1.8639289698621327E-2</v>
      </c>
      <c r="G595">
        <f t="shared" si="28"/>
        <v>-2.9451144885699523E-2</v>
      </c>
    </row>
    <row r="596" spans="1:38" x14ac:dyDescent="0.35">
      <c r="A596" t="s">
        <v>43</v>
      </c>
      <c r="E596">
        <v>-1.3155375101406292E-2</v>
      </c>
      <c r="F596">
        <f t="shared" si="29"/>
        <v>-1.8640195083727752E-2</v>
      </c>
      <c r="G596">
        <f t="shared" si="28"/>
        <v>-2.9451144885699523E-2</v>
      </c>
    </row>
    <row r="597" spans="1:38" x14ac:dyDescent="0.35">
      <c r="A597" t="s">
        <v>43</v>
      </c>
      <c r="E597">
        <v>-1.0345792702094177E-3</v>
      </c>
      <c r="F597">
        <f t="shared" si="29"/>
        <v>-1.8641100468834177E-2</v>
      </c>
      <c r="G597">
        <f t="shared" si="28"/>
        <v>-2.9451144885699523E-2</v>
      </c>
    </row>
    <row r="598" spans="1:38" x14ac:dyDescent="0.35">
      <c r="A598" t="s">
        <v>43</v>
      </c>
      <c r="E598">
        <v>2.5472381841688423E-3</v>
      </c>
      <c r="F598">
        <f t="shared" si="29"/>
        <v>-1.8642005853940602E-2</v>
      </c>
      <c r="G598">
        <f t="shared" si="28"/>
        <v>-2.9451144885699523E-2</v>
      </c>
    </row>
    <row r="599" spans="1:38" x14ac:dyDescent="0.35">
      <c r="A599" t="s">
        <v>43</v>
      </c>
      <c r="E599">
        <v>1.9659809668301907E-2</v>
      </c>
      <c r="F599">
        <f t="shared" si="29"/>
        <v>-1.8642911239047027E-2</v>
      </c>
      <c r="G599">
        <f t="shared" si="28"/>
        <v>-2.9451144885699523E-2</v>
      </c>
    </row>
    <row r="600" spans="1:38" x14ac:dyDescent="0.35">
      <c r="A600" t="s">
        <v>43</v>
      </c>
      <c r="E600">
        <v>-2.71804848604488E-2</v>
      </c>
      <c r="F600">
        <f t="shared" si="29"/>
        <v>-1.8643816624153452E-2</v>
      </c>
      <c r="G600">
        <f t="shared" si="28"/>
        <v>-2.9451144885699523E-2</v>
      </c>
    </row>
    <row r="601" spans="1:38" x14ac:dyDescent="0.35">
      <c r="A601" t="s">
        <v>43</v>
      </c>
      <c r="E601">
        <v>1.0474228566645274E-2</v>
      </c>
      <c r="F601">
        <f t="shared" si="29"/>
        <v>-1.8626614307131382E-2</v>
      </c>
      <c r="G601">
        <f t="shared" si="28"/>
        <v>-2.9465336510857337E-2</v>
      </c>
    </row>
    <row r="602" spans="1:38" x14ac:dyDescent="0.35">
      <c r="A602" t="s">
        <v>43</v>
      </c>
      <c r="E602">
        <v>2.4777765496577747E-3</v>
      </c>
      <c r="F602">
        <f t="shared" si="29"/>
        <v>-1.8627519692237807E-2</v>
      </c>
      <c r="G602">
        <f t="shared" si="28"/>
        <v>-2.9465336510857337E-2</v>
      </c>
    </row>
    <row r="603" spans="1:38" x14ac:dyDescent="0.35">
      <c r="A603" t="s">
        <v>43</v>
      </c>
      <c r="E603">
        <v>-6.4736558942650397E-3</v>
      </c>
      <c r="F603">
        <f t="shared" si="29"/>
        <v>-1.8628425077344232E-2</v>
      </c>
      <c r="G603">
        <f t="shared" si="28"/>
        <v>-2.9465336510857337E-2</v>
      </c>
    </row>
    <row r="604" spans="1:38" x14ac:dyDescent="0.35">
      <c r="A604" t="s">
        <v>43</v>
      </c>
      <c r="E604">
        <v>5.7517979116081521E-3</v>
      </c>
      <c r="F604">
        <f t="shared" si="29"/>
        <v>-1.8629330462450657E-2</v>
      </c>
      <c r="G604">
        <f t="shared" si="28"/>
        <v>-2.9465336510857337E-2</v>
      </c>
    </row>
    <row r="605" spans="1:38" x14ac:dyDescent="0.35">
      <c r="A605" t="s">
        <v>43</v>
      </c>
      <c r="E605">
        <v>-2.0639153376091849E-2</v>
      </c>
      <c r="F605">
        <f t="shared" si="29"/>
        <v>-1.8630235847557082E-2</v>
      </c>
      <c r="G605">
        <f t="shared" si="28"/>
        <v>-2.9465336510857337E-2</v>
      </c>
    </row>
    <row r="606" spans="1:38" x14ac:dyDescent="0.35">
      <c r="A606" t="s">
        <v>43</v>
      </c>
      <c r="E606">
        <v>1.3033871015357887E-3</v>
      </c>
      <c r="F606">
        <f t="shared" si="29"/>
        <v>-1.8526237485152995E-2</v>
      </c>
      <c r="G606">
        <f t="shared" si="28"/>
        <v>-2.9452752483019418E-2</v>
      </c>
    </row>
    <row r="607" spans="1:38" x14ac:dyDescent="0.35">
      <c r="A607" t="s">
        <v>44</v>
      </c>
      <c r="B607" s="3" cm="1">
        <f t="array" ref="B607">_xlfn.STDEV.S(_xlfn._xlws.FILTER($E$2:$E$1000, $A$2:$A$1000="2012-06"))</f>
        <v>1.7654624927951484E-2</v>
      </c>
      <c r="C607" s="3" cm="1">
        <f t="array" ref="C607">AVERAGE(_xlfn._xlws.FILTER($E$2:$E$1000, $A$2:$A$1000="2012-06"))</f>
        <v>3.5018509127414527E-3</v>
      </c>
      <c r="D607" s="3" cm="1">
        <f t="array" ref="D607">_xlfn.PERCENTILE.EXC(_xlfn._xlws.FILTER($E$503:$E$750, $A$503:$A$750="2012-06"), 0.05)</f>
        <v>-2.5988603408694175E-2</v>
      </c>
      <c r="E607">
        <v>-2.4014908977074548E-2</v>
      </c>
      <c r="F607">
        <f t="shared" si="29"/>
        <v>-1.8533342587786709E-2</v>
      </c>
      <c r="G607">
        <f t="shared" si="28"/>
        <v>-2.9452752483019418E-2</v>
      </c>
      <c r="AI607" s="3"/>
      <c r="AJ607" s="3"/>
      <c r="AK607" s="3"/>
      <c r="AL607" s="3"/>
    </row>
    <row r="608" spans="1:38" x14ac:dyDescent="0.35">
      <c r="A608" t="s">
        <v>44</v>
      </c>
      <c r="E608">
        <v>3.2843463714078716E-2</v>
      </c>
      <c r="F608">
        <f t="shared" si="29"/>
        <v>-1.8482604424858301E-2</v>
      </c>
      <c r="G608">
        <f t="shared" si="28"/>
        <v>-2.9418181844846143E-2</v>
      </c>
    </row>
    <row r="609" spans="1:7" x14ac:dyDescent="0.35">
      <c r="A609" t="s">
        <v>44</v>
      </c>
      <c r="E609">
        <v>2.4995282600286189E-3</v>
      </c>
      <c r="F609">
        <f t="shared" si="29"/>
        <v>-1.8482687961899336E-2</v>
      </c>
      <c r="G609">
        <f t="shared" si="28"/>
        <v>-2.9418181844846143E-2</v>
      </c>
    </row>
    <row r="610" spans="1:7" x14ac:dyDescent="0.35">
      <c r="A610" t="s">
        <v>44</v>
      </c>
      <c r="E610">
        <v>3.8255369047701009E-4</v>
      </c>
      <c r="F610">
        <f t="shared" si="29"/>
        <v>-1.848277149894037E-2</v>
      </c>
      <c r="G610">
        <f t="shared" si="28"/>
        <v>-2.9418181844846143E-2</v>
      </c>
    </row>
    <row r="611" spans="1:7" x14ac:dyDescent="0.35">
      <c r="A611" t="s">
        <v>44</v>
      </c>
      <c r="E611">
        <v>-2.8961156266507481E-3</v>
      </c>
      <c r="F611">
        <f t="shared" si="29"/>
        <v>-1.8482855035981408E-2</v>
      </c>
      <c r="G611">
        <f t="shared" si="28"/>
        <v>-2.9418181844846143E-2</v>
      </c>
    </row>
    <row r="612" spans="1:7" x14ac:dyDescent="0.35">
      <c r="A612" t="s">
        <v>44</v>
      </c>
      <c r="E612">
        <v>2.6535375806402092E-3</v>
      </c>
      <c r="F612">
        <f t="shared" si="29"/>
        <v>-1.8482938573022443E-2</v>
      </c>
      <c r="G612">
        <f t="shared" si="28"/>
        <v>-2.9418181844846143E-2</v>
      </c>
    </row>
    <row r="613" spans="1:7" x14ac:dyDescent="0.35">
      <c r="A613" t="s">
        <v>44</v>
      </c>
      <c r="E613">
        <v>5.5984772156633458E-5</v>
      </c>
      <c r="F613">
        <f t="shared" si="29"/>
        <v>-1.8483022110063481E-2</v>
      </c>
      <c r="G613">
        <f t="shared" si="28"/>
        <v>-2.9418181844846143E-2</v>
      </c>
    </row>
    <row r="614" spans="1:7" x14ac:dyDescent="0.35">
      <c r="A614" t="s">
        <v>44</v>
      </c>
      <c r="E614">
        <v>2.1949301751303667E-3</v>
      </c>
      <c r="F614">
        <f t="shared" si="29"/>
        <v>-1.8483105647104515E-2</v>
      </c>
      <c r="G614">
        <f t="shared" si="28"/>
        <v>-2.9418181844846143E-2</v>
      </c>
    </row>
    <row r="615" spans="1:7" x14ac:dyDescent="0.35">
      <c r="A615" t="s">
        <v>44</v>
      </c>
      <c r="E615">
        <v>1.5254000641097904E-2</v>
      </c>
      <c r="F615">
        <f t="shared" si="29"/>
        <v>-1.848318918414555E-2</v>
      </c>
      <c r="G615">
        <f t="shared" si="28"/>
        <v>-2.9418181844846143E-2</v>
      </c>
    </row>
    <row r="616" spans="1:7" x14ac:dyDescent="0.35">
      <c r="A616" t="s">
        <v>44</v>
      </c>
      <c r="E616">
        <v>-1.1801274648658332E-2</v>
      </c>
      <c r="F616">
        <f t="shared" si="29"/>
        <v>-1.8483272721186588E-2</v>
      </c>
      <c r="G616">
        <f t="shared" si="28"/>
        <v>-2.9418181844846143E-2</v>
      </c>
    </row>
    <row r="617" spans="1:7" x14ac:dyDescent="0.35">
      <c r="A617" t="s">
        <v>44</v>
      </c>
      <c r="E617">
        <v>1.9464742338152582E-2</v>
      </c>
      <c r="F617">
        <f t="shared" si="29"/>
        <v>-1.8483356258227623E-2</v>
      </c>
      <c r="G617">
        <f t="shared" si="28"/>
        <v>-2.9418181844846143E-2</v>
      </c>
    </row>
    <row r="618" spans="1:7" x14ac:dyDescent="0.35">
      <c r="A618" t="s">
        <v>44</v>
      </c>
      <c r="E618">
        <v>4.3037179127752463E-3</v>
      </c>
      <c r="F618">
        <f t="shared" si="29"/>
        <v>-1.8483439795268657E-2</v>
      </c>
      <c r="G618">
        <f t="shared" si="28"/>
        <v>-2.9418181844846143E-2</v>
      </c>
    </row>
    <row r="619" spans="1:7" x14ac:dyDescent="0.35">
      <c r="A619" t="s">
        <v>44</v>
      </c>
      <c r="E619">
        <v>-3.6624342319337574E-3</v>
      </c>
      <c r="F619">
        <f t="shared" si="29"/>
        <v>-1.8483523332309695E-2</v>
      </c>
      <c r="G619">
        <f t="shared" si="28"/>
        <v>-2.9418181844846143E-2</v>
      </c>
    </row>
    <row r="620" spans="1:7" x14ac:dyDescent="0.35">
      <c r="A620" t="s">
        <v>44</v>
      </c>
      <c r="E620">
        <v>-5.7498283223102404E-3</v>
      </c>
      <c r="F620">
        <f t="shared" si="29"/>
        <v>-1.848360686935073E-2</v>
      </c>
      <c r="G620">
        <f t="shared" si="28"/>
        <v>-2.9418181844846143E-2</v>
      </c>
    </row>
    <row r="621" spans="1:7" x14ac:dyDescent="0.35">
      <c r="A621" t="s">
        <v>44</v>
      </c>
      <c r="E621">
        <v>-2.5988603408694175E-2</v>
      </c>
      <c r="F621">
        <f t="shared" si="29"/>
        <v>-1.8490711971984437E-2</v>
      </c>
      <c r="G621">
        <f t="shared" si="28"/>
        <v>-2.9486952756641708E-2</v>
      </c>
    </row>
    <row r="622" spans="1:7" x14ac:dyDescent="0.35">
      <c r="A622" t="s">
        <v>44</v>
      </c>
      <c r="E622">
        <v>-1.2961825486987554E-3</v>
      </c>
      <c r="F622">
        <f t="shared" si="29"/>
        <v>-1.8482103202612087E-2</v>
      </c>
      <c r="G622">
        <f t="shared" si="28"/>
        <v>-2.9439751520545208E-2</v>
      </c>
    </row>
    <row r="623" spans="1:7" x14ac:dyDescent="0.35">
      <c r="A623" t="s">
        <v>44</v>
      </c>
      <c r="E623">
        <v>1.7543002002461644E-2</v>
      </c>
      <c r="F623">
        <f t="shared" si="29"/>
        <v>-1.8482186739653121E-2</v>
      </c>
      <c r="G623">
        <f t="shared" si="28"/>
        <v>-2.9439751520545208E-2</v>
      </c>
    </row>
    <row r="624" spans="1:7" x14ac:dyDescent="0.35">
      <c r="A624" t="s">
        <v>44</v>
      </c>
      <c r="E624">
        <v>-3.6963146060269921E-3</v>
      </c>
      <c r="F624">
        <f t="shared" si="29"/>
        <v>-1.8482270276694156E-2</v>
      </c>
      <c r="G624">
        <f t="shared" si="28"/>
        <v>-2.9439751520545208E-2</v>
      </c>
    </row>
    <row r="625" spans="1:38" x14ac:dyDescent="0.35">
      <c r="A625" t="s">
        <v>44</v>
      </c>
      <c r="E625">
        <v>4.8445368625136223E-2</v>
      </c>
      <c r="F625">
        <f t="shared" si="29"/>
        <v>-1.8482353813735194E-2</v>
      </c>
      <c r="G625">
        <f t="shared" si="28"/>
        <v>-2.9439751520545208E-2</v>
      </c>
    </row>
    <row r="626" spans="1:38" x14ac:dyDescent="0.35">
      <c r="A626" t="s">
        <v>45</v>
      </c>
      <c r="B626" s="3" cm="1">
        <f t="array" ref="B626">_xlfn.STDEV.S(_xlfn._xlws.FILTER($E$2:$E$1000, $A$2:$A$1000="2012-07"))</f>
        <v>1.6535312929541857E-2</v>
      </c>
      <c r="C626" s="3" cm="1">
        <f t="array" ref="C626">AVERAGE(_xlfn._xlws.FILTER($E$2:$E$1000, $A$2:$A$1000="2012-07"))</f>
        <v>1.2081153424633188E-3</v>
      </c>
      <c r="D626" s="3" cm="1">
        <f t="array" ref="D626">_xlfn.PERCENTILE.EXC(_xlfn._xlws.FILTER($E$503:$E$750, $A$503:$A$750="2012-07"), 0.05)</f>
        <v>-2.8328226997669848E-2</v>
      </c>
      <c r="E626">
        <v>1.2008571272997395E-2</v>
      </c>
      <c r="F626">
        <f t="shared" si="29"/>
        <v>-1.8482437350776228E-2</v>
      </c>
      <c r="G626">
        <f t="shared" si="28"/>
        <v>-2.9439751520545208E-2</v>
      </c>
      <c r="AI626" s="3"/>
      <c r="AJ626" s="3"/>
      <c r="AK626" s="3"/>
      <c r="AL626" s="3"/>
    </row>
    <row r="627" spans="1:38" x14ac:dyDescent="0.35">
      <c r="A627" t="s">
        <v>45</v>
      </c>
      <c r="E627">
        <v>1.2292811074250487E-2</v>
      </c>
      <c r="F627">
        <f t="shared" si="29"/>
        <v>-1.8482520887817263E-2</v>
      </c>
      <c r="G627">
        <f t="shared" si="28"/>
        <v>-2.9439751520545208E-2</v>
      </c>
    </row>
    <row r="628" spans="1:38" x14ac:dyDescent="0.35">
      <c r="A628" t="s">
        <v>45</v>
      </c>
      <c r="E628">
        <v>-3.4622426034107731E-3</v>
      </c>
      <c r="F628">
        <f t="shared" si="29"/>
        <v>-1.8482604424858301E-2</v>
      </c>
      <c r="G628">
        <f t="shared" si="28"/>
        <v>-2.9439751520545208E-2</v>
      </c>
    </row>
    <row r="629" spans="1:38" x14ac:dyDescent="0.35">
      <c r="A629" t="s">
        <v>45</v>
      </c>
      <c r="E629">
        <v>-1.1959257935811728E-2</v>
      </c>
      <c r="F629">
        <f t="shared" si="29"/>
        <v>-1.8482687961899336E-2</v>
      </c>
      <c r="G629">
        <f t="shared" si="28"/>
        <v>-2.9439751520545208E-2</v>
      </c>
    </row>
    <row r="630" spans="1:38" x14ac:dyDescent="0.35">
      <c r="A630" t="s">
        <v>45</v>
      </c>
      <c r="E630">
        <v>-2.1861622838259792E-2</v>
      </c>
      <c r="F630">
        <f t="shared" si="29"/>
        <v>-1.848277149894037E-2</v>
      </c>
      <c r="G630">
        <f t="shared" si="28"/>
        <v>-2.9439751520545208E-2</v>
      </c>
    </row>
    <row r="631" spans="1:38" x14ac:dyDescent="0.35">
      <c r="A631" t="s">
        <v>45</v>
      </c>
      <c r="E631">
        <v>-3.4054636780232682E-3</v>
      </c>
      <c r="F631">
        <f t="shared" si="29"/>
        <v>-1.8478413433262206E-2</v>
      </c>
      <c r="G631">
        <f t="shared" si="28"/>
        <v>-2.9418495629289047E-2</v>
      </c>
    </row>
    <row r="632" spans="1:38" x14ac:dyDescent="0.35">
      <c r="A632" t="s">
        <v>45</v>
      </c>
      <c r="E632">
        <v>6.237491586180902E-3</v>
      </c>
      <c r="F632">
        <f t="shared" si="29"/>
        <v>-1.8478804843847518E-2</v>
      </c>
      <c r="G632">
        <f t="shared" si="28"/>
        <v>-2.9418495629289047E-2</v>
      </c>
    </row>
    <row r="633" spans="1:38" x14ac:dyDescent="0.35">
      <c r="A633" t="s">
        <v>45</v>
      </c>
      <c r="E633">
        <v>1.9518374853075204E-3</v>
      </c>
      <c r="F633">
        <f t="shared" si="29"/>
        <v>-1.8479196254432832E-2</v>
      </c>
      <c r="G633">
        <f t="shared" si="28"/>
        <v>-2.9418495629289047E-2</v>
      </c>
    </row>
    <row r="634" spans="1:38" x14ac:dyDescent="0.35">
      <c r="A634" t="s">
        <v>45</v>
      </c>
      <c r="E634">
        <v>-8.1444449622507277E-3</v>
      </c>
      <c r="F634">
        <f t="shared" si="29"/>
        <v>-1.8479587665018143E-2</v>
      </c>
      <c r="G634">
        <f t="shared" si="28"/>
        <v>-2.9418495629289047E-2</v>
      </c>
    </row>
    <row r="635" spans="1:38" x14ac:dyDescent="0.35">
      <c r="A635" t="s">
        <v>45</v>
      </c>
      <c r="E635">
        <v>1.3853266944392978E-2</v>
      </c>
      <c r="F635">
        <f t="shared" si="29"/>
        <v>-1.8479979075603455E-2</v>
      </c>
      <c r="G635">
        <f t="shared" si="28"/>
        <v>-2.9418495629289047E-2</v>
      </c>
    </row>
    <row r="636" spans="1:38" x14ac:dyDescent="0.35">
      <c r="A636" t="s">
        <v>45</v>
      </c>
      <c r="E636">
        <v>-3.1611291993441501E-3</v>
      </c>
      <c r="F636">
        <f t="shared" si="29"/>
        <v>-1.8480370486188766E-2</v>
      </c>
      <c r="G636">
        <f t="shared" si="28"/>
        <v>-2.9418495629289047E-2</v>
      </c>
    </row>
    <row r="637" spans="1:38" x14ac:dyDescent="0.35">
      <c r="A637" t="s">
        <v>45</v>
      </c>
      <c r="E637">
        <v>-5.3745412390606752E-4</v>
      </c>
      <c r="F637">
        <f t="shared" si="29"/>
        <v>-1.8480761896774077E-2</v>
      </c>
      <c r="G637">
        <f t="shared" si="28"/>
        <v>-2.9418495629289047E-2</v>
      </c>
    </row>
    <row r="638" spans="1:38" x14ac:dyDescent="0.35">
      <c r="A638" t="s">
        <v>45</v>
      </c>
      <c r="E638">
        <v>1.4971230691850893E-2</v>
      </c>
      <c r="F638">
        <f t="shared" si="29"/>
        <v>-1.8481153307359392E-2</v>
      </c>
      <c r="G638">
        <f t="shared" si="28"/>
        <v>-2.9418495629289047E-2</v>
      </c>
    </row>
    <row r="639" spans="1:38" x14ac:dyDescent="0.35">
      <c r="A639" t="s">
        <v>45</v>
      </c>
      <c r="E639">
        <v>7.7390486866377763E-3</v>
      </c>
      <c r="F639">
        <f t="shared" si="29"/>
        <v>-1.8481544717944703E-2</v>
      </c>
      <c r="G639">
        <f t="shared" si="28"/>
        <v>-2.9418495629289047E-2</v>
      </c>
    </row>
    <row r="640" spans="1:38" x14ac:dyDescent="0.35">
      <c r="A640" t="s">
        <v>45</v>
      </c>
      <c r="E640">
        <v>-2.8690582758143904E-2</v>
      </c>
      <c r="F640">
        <f t="shared" si="29"/>
        <v>-1.8481936128530014E-2</v>
      </c>
      <c r="G640">
        <f t="shared" si="28"/>
        <v>-2.9418495629289047E-2</v>
      </c>
    </row>
    <row r="641" spans="1:38" x14ac:dyDescent="0.35">
      <c r="A641" t="s">
        <v>45</v>
      </c>
      <c r="E641">
        <v>-2.6274877688316857E-2</v>
      </c>
      <c r="F641">
        <f t="shared" si="29"/>
        <v>-1.8474499327409088E-2</v>
      </c>
      <c r="G641">
        <f t="shared" si="28"/>
        <v>-2.9423102672777306E-2</v>
      </c>
    </row>
    <row r="642" spans="1:38" x14ac:dyDescent="0.35">
      <c r="A642" t="s">
        <v>45</v>
      </c>
      <c r="E642">
        <v>-1.2824448134559881E-2</v>
      </c>
      <c r="F642">
        <f t="shared" si="29"/>
        <v>-1.842327041580134E-2</v>
      </c>
      <c r="G642">
        <f t="shared" si="28"/>
        <v>-2.9373730712198235E-2</v>
      </c>
    </row>
    <row r="643" spans="1:38" x14ac:dyDescent="0.35">
      <c r="A643" t="s">
        <v>45</v>
      </c>
      <c r="E643">
        <v>3.5029718256422565E-3</v>
      </c>
      <c r="F643">
        <f t="shared" si="29"/>
        <v>-1.8426094721413697E-2</v>
      </c>
      <c r="G643">
        <f t="shared" ref="G643:G706" si="30">AVERAGEIFS(E643:E4459,E643:E4459,"&lt;=" &amp; F643)</f>
        <v>-2.9373730712198235E-2</v>
      </c>
    </row>
    <row r="644" spans="1:38" x14ac:dyDescent="0.35">
      <c r="A644" t="s">
        <v>45</v>
      </c>
      <c r="E644">
        <v>4.1709937398411875E-2</v>
      </c>
      <c r="F644">
        <f t="shared" ref="F644:F707" si="31">_xlfn.PERCENTILE.EXC(E644:E4459,0.05)</f>
        <v>-1.8428919027026057E-2</v>
      </c>
      <c r="G644">
        <f t="shared" si="30"/>
        <v>-2.9373730712198235E-2</v>
      </c>
    </row>
    <row r="645" spans="1:38" x14ac:dyDescent="0.35">
      <c r="A645" t="s">
        <v>45</v>
      </c>
      <c r="E645">
        <v>2.2046988570569928E-2</v>
      </c>
      <c r="F645">
        <f t="shared" si="31"/>
        <v>-1.8431743332638414E-2</v>
      </c>
      <c r="G645">
        <f t="shared" si="30"/>
        <v>-2.9373730712198235E-2</v>
      </c>
    </row>
    <row r="646" spans="1:38" x14ac:dyDescent="0.35">
      <c r="A646" t="s">
        <v>45</v>
      </c>
      <c r="E646">
        <v>1.6839636629028289E-2</v>
      </c>
      <c r="F646">
        <f t="shared" si="31"/>
        <v>-1.8434567638250771E-2</v>
      </c>
      <c r="G646">
        <f t="shared" si="30"/>
        <v>-2.9373730712198235E-2</v>
      </c>
    </row>
    <row r="647" spans="1:38" x14ac:dyDescent="0.35">
      <c r="A647" t="s">
        <v>45</v>
      </c>
      <c r="E647">
        <v>-6.2537307090501431E-3</v>
      </c>
      <c r="F647">
        <f t="shared" si="31"/>
        <v>-1.8437391943863127E-2</v>
      </c>
      <c r="G647">
        <f t="shared" si="30"/>
        <v>-2.9373730712198235E-2</v>
      </c>
    </row>
    <row r="648" spans="1:38" x14ac:dyDescent="0.35">
      <c r="A648" t="s">
        <v>46</v>
      </c>
      <c r="B648" s="3" cm="1">
        <f t="array" ref="B648">_xlfn.STDEV.S(_xlfn._xlws.FILTER($E$2:$E$1000, $A$2:$A$1000="2012-08"))</f>
        <v>1.5057949452351531E-2</v>
      </c>
      <c r="C648" s="3" cm="1">
        <f t="array" ref="C648">AVERAGE(_xlfn._xlws.FILTER($E$2:$E$1000, $A$2:$A$1000="2012-08"))</f>
        <v>2.2980624793157048E-3</v>
      </c>
      <c r="D648" s="3" cm="1">
        <f t="array" ref="D648">_xlfn.PERCENTILE.EXC(_xlfn._xlws.FILTER($E$503:$E$750, $A$503:$A$750="2012-08"), 0.05)</f>
        <v>-2.8939627631311957E-2</v>
      </c>
      <c r="E648">
        <v>3.2881916686868114E-3</v>
      </c>
      <c r="F648">
        <f t="shared" si="31"/>
        <v>-1.8440216249475484E-2</v>
      </c>
      <c r="G648">
        <f t="shared" si="30"/>
        <v>-2.9373730712198235E-2</v>
      </c>
      <c r="AI648" s="3"/>
      <c r="AJ648" s="3"/>
      <c r="AK648" s="3"/>
      <c r="AL648" s="3"/>
    </row>
    <row r="649" spans="1:38" x14ac:dyDescent="0.35">
      <c r="A649" t="s">
        <v>46</v>
      </c>
      <c r="E649">
        <v>-3.0467425321718179E-2</v>
      </c>
      <c r="F649">
        <f t="shared" si="31"/>
        <v>-1.8443040555087845E-2</v>
      </c>
      <c r="G649">
        <f t="shared" si="30"/>
        <v>-2.9373730712198235E-2</v>
      </c>
    </row>
    <row r="650" spans="1:38" x14ac:dyDescent="0.35">
      <c r="A650" t="s">
        <v>46</v>
      </c>
      <c r="E650">
        <v>4.7127535772913821E-2</v>
      </c>
      <c r="F650">
        <f t="shared" si="31"/>
        <v>-1.839555776272301E-2</v>
      </c>
      <c r="G650">
        <f t="shared" si="30"/>
        <v>-2.9297466132975823E-2</v>
      </c>
    </row>
    <row r="651" spans="1:38" x14ac:dyDescent="0.35">
      <c r="A651" t="s">
        <v>46</v>
      </c>
      <c r="E651">
        <v>1.120739323569243E-2</v>
      </c>
      <c r="F651">
        <f t="shared" si="31"/>
        <v>-1.839776416690837E-2</v>
      </c>
      <c r="G651">
        <f t="shared" si="30"/>
        <v>-2.9297466132975823E-2</v>
      </c>
    </row>
    <row r="652" spans="1:38" x14ac:dyDescent="0.35">
      <c r="A652" t="s">
        <v>46</v>
      </c>
      <c r="E652">
        <v>1.6911031249661708E-2</v>
      </c>
      <c r="F652">
        <f t="shared" si="31"/>
        <v>-1.8399970571093733E-2</v>
      </c>
      <c r="G652">
        <f t="shared" si="30"/>
        <v>-2.9297466132975823E-2</v>
      </c>
    </row>
    <row r="653" spans="1:38" x14ac:dyDescent="0.35">
      <c r="A653" t="s">
        <v>46</v>
      </c>
      <c r="E653">
        <v>-3.2673060680195286E-3</v>
      </c>
      <c r="F653">
        <f t="shared" si="31"/>
        <v>-1.8402176975279093E-2</v>
      </c>
      <c r="G653">
        <f t="shared" si="30"/>
        <v>-2.9297466132975823E-2</v>
      </c>
    </row>
    <row r="654" spans="1:38" x14ac:dyDescent="0.35">
      <c r="A654" t="s">
        <v>46</v>
      </c>
      <c r="E654">
        <v>1.9550990759379938E-3</v>
      </c>
      <c r="F654">
        <f t="shared" si="31"/>
        <v>-1.8404383379464456E-2</v>
      </c>
      <c r="G654">
        <f t="shared" si="30"/>
        <v>-2.9297466132975823E-2</v>
      </c>
    </row>
    <row r="655" spans="1:38" x14ac:dyDescent="0.35">
      <c r="A655" t="s">
        <v>46</v>
      </c>
      <c r="E655">
        <v>-5.6869538858182788E-3</v>
      </c>
      <c r="F655">
        <f t="shared" si="31"/>
        <v>-1.840658978364982E-2</v>
      </c>
      <c r="G655">
        <f t="shared" si="30"/>
        <v>-2.9297466132975823E-2</v>
      </c>
    </row>
    <row r="656" spans="1:38" x14ac:dyDescent="0.35">
      <c r="A656" t="s">
        <v>46</v>
      </c>
      <c r="E656">
        <v>-3.0005106017352138E-3</v>
      </c>
      <c r="F656">
        <f t="shared" si="31"/>
        <v>-1.840879618783518E-2</v>
      </c>
      <c r="G656">
        <f t="shared" si="30"/>
        <v>-2.9297466132975823E-2</v>
      </c>
    </row>
    <row r="657" spans="1:38" x14ac:dyDescent="0.35">
      <c r="A657" t="s">
        <v>46</v>
      </c>
      <c r="E657">
        <v>6.7364767719207234E-3</v>
      </c>
      <c r="F657">
        <f t="shared" si="31"/>
        <v>-1.8411002592020539E-2</v>
      </c>
      <c r="G657">
        <f t="shared" si="30"/>
        <v>-2.9297466132975823E-2</v>
      </c>
    </row>
    <row r="658" spans="1:38" x14ac:dyDescent="0.35">
      <c r="A658" t="s">
        <v>46</v>
      </c>
      <c r="E658">
        <v>9.9165846334080821E-3</v>
      </c>
      <c r="F658">
        <f t="shared" si="31"/>
        <v>-1.8413208996205903E-2</v>
      </c>
      <c r="G658">
        <f t="shared" si="30"/>
        <v>-2.9297466132975823E-2</v>
      </c>
    </row>
    <row r="659" spans="1:38" x14ac:dyDescent="0.35">
      <c r="A659" t="s">
        <v>46</v>
      </c>
      <c r="E659">
        <v>6.0876070192612906E-3</v>
      </c>
      <c r="F659">
        <f t="shared" si="31"/>
        <v>-1.8415415400391263E-2</v>
      </c>
      <c r="G659">
        <f t="shared" si="30"/>
        <v>-2.9297466132975823E-2</v>
      </c>
    </row>
    <row r="660" spans="1:38" x14ac:dyDescent="0.35">
      <c r="A660" t="s">
        <v>46</v>
      </c>
      <c r="E660">
        <v>-2.1102309439842738E-3</v>
      </c>
      <c r="F660">
        <f t="shared" si="31"/>
        <v>-1.8417621804576626E-2</v>
      </c>
      <c r="G660">
        <f t="shared" si="30"/>
        <v>-2.9297466132975823E-2</v>
      </c>
    </row>
    <row r="661" spans="1:38" x14ac:dyDescent="0.35">
      <c r="A661" t="s">
        <v>46</v>
      </c>
      <c r="E661">
        <v>9.6639772083168419E-3</v>
      </c>
      <c r="F661">
        <f t="shared" si="31"/>
        <v>-1.8420446110188983E-2</v>
      </c>
      <c r="G661">
        <f t="shared" si="30"/>
        <v>-2.9366764504494294E-2</v>
      </c>
    </row>
    <row r="662" spans="1:38" x14ac:dyDescent="0.35">
      <c r="A662" t="s">
        <v>46</v>
      </c>
      <c r="E662">
        <v>-1.5189448417655974E-2</v>
      </c>
      <c r="F662">
        <f t="shared" si="31"/>
        <v>-1.842327041580134E-2</v>
      </c>
      <c r="G662">
        <f t="shared" si="30"/>
        <v>-2.9366764504494294E-2</v>
      </c>
    </row>
    <row r="663" spans="1:38" x14ac:dyDescent="0.35">
      <c r="A663" t="s">
        <v>46</v>
      </c>
      <c r="E663">
        <v>-9.6520546951349515E-3</v>
      </c>
      <c r="F663">
        <f t="shared" si="31"/>
        <v>-1.8426094721413697E-2</v>
      </c>
      <c r="G663">
        <f t="shared" si="30"/>
        <v>-2.9366764504494294E-2</v>
      </c>
    </row>
    <row r="664" spans="1:38" x14ac:dyDescent="0.35">
      <c r="A664" t="s">
        <v>46</v>
      </c>
      <c r="E664">
        <v>2.0808495397413255E-3</v>
      </c>
      <c r="F664">
        <f t="shared" si="31"/>
        <v>-1.8428919027026057E-2</v>
      </c>
      <c r="G664">
        <f t="shared" si="30"/>
        <v>-2.9366764504494294E-2</v>
      </c>
    </row>
    <row r="665" spans="1:38" x14ac:dyDescent="0.35">
      <c r="A665" t="s">
        <v>46</v>
      </c>
      <c r="E665">
        <v>3.2360297703264273E-3</v>
      </c>
      <c r="F665">
        <f t="shared" si="31"/>
        <v>-1.8431743332638414E-2</v>
      </c>
      <c r="G665">
        <f t="shared" si="30"/>
        <v>-2.9366764504494294E-2</v>
      </c>
    </row>
    <row r="666" spans="1:38" x14ac:dyDescent="0.35">
      <c r="A666" t="s">
        <v>46</v>
      </c>
      <c r="E666">
        <v>-3.2360297703263488E-3</v>
      </c>
      <c r="F666">
        <f t="shared" si="31"/>
        <v>-1.8434567638250771E-2</v>
      </c>
      <c r="G666">
        <f t="shared" si="30"/>
        <v>-2.9366764504494294E-2</v>
      </c>
    </row>
    <row r="667" spans="1:38" x14ac:dyDescent="0.35">
      <c r="A667" t="s">
        <v>46</v>
      </c>
      <c r="E667">
        <v>-1.2579666223442485E-2</v>
      </c>
      <c r="F667">
        <f t="shared" si="31"/>
        <v>-1.8437391943863127E-2</v>
      </c>
      <c r="G667">
        <f t="shared" si="30"/>
        <v>-2.9366764504494294E-2</v>
      </c>
    </row>
    <row r="668" spans="1:38" x14ac:dyDescent="0.35">
      <c r="A668" t="s">
        <v>46</v>
      </c>
      <c r="E668">
        <v>1.5238162047597594E-2</v>
      </c>
      <c r="F668">
        <f t="shared" si="31"/>
        <v>-1.8440216249475484E-2</v>
      </c>
      <c r="G668">
        <f t="shared" si="30"/>
        <v>-2.9366764504494294E-2</v>
      </c>
    </row>
    <row r="669" spans="1:38" x14ac:dyDescent="0.35">
      <c r="A669" t="s">
        <v>47</v>
      </c>
      <c r="B669" s="3" cm="1">
        <f t="array" ref="B669">_xlfn.STDEV.S(_xlfn._xlws.FILTER($E$2:$E$1000, $A$2:$A$1000="2012-09"))</f>
        <v>1.3706296628779603E-2</v>
      </c>
      <c r="C669" s="3" cm="1">
        <f t="array" ref="C669">AVERAGE(_xlfn._xlws.FILTER($E$2:$E$1000, $A$2:$A$1000="2012-09"))</f>
        <v>2.7681547812874257E-4</v>
      </c>
      <c r="D669" s="3" cm="1">
        <f t="array" ref="D669">_xlfn.PERCENTILE.EXC(_xlfn._xlws.FILTER($E$503:$E$750, $A$503:$A$750="2012-09"), 0.05)</f>
        <v>-2.7279266721123154E-2</v>
      </c>
      <c r="E669">
        <v>9.1601576908496834E-3</v>
      </c>
      <c r="F669">
        <f t="shared" si="31"/>
        <v>-1.8443040555087845E-2</v>
      </c>
      <c r="G669">
        <f t="shared" si="30"/>
        <v>-2.9366764504494294E-2</v>
      </c>
      <c r="AI669" s="3"/>
      <c r="AJ669" s="3"/>
      <c r="AK669" s="3"/>
      <c r="AL669" s="3"/>
    </row>
    <row r="670" spans="1:38" x14ac:dyDescent="0.35">
      <c r="A670" t="s">
        <v>47</v>
      </c>
      <c r="E670">
        <v>-1.0870138116746112E-2</v>
      </c>
      <c r="F670">
        <f t="shared" si="31"/>
        <v>-1.8445864860700201E-2</v>
      </c>
      <c r="G670">
        <f t="shared" si="30"/>
        <v>-2.9366764504494294E-2</v>
      </c>
    </row>
    <row r="671" spans="1:38" x14ac:dyDescent="0.35">
      <c r="A671" t="s">
        <v>47</v>
      </c>
      <c r="E671">
        <v>2.160567425482983E-3</v>
      </c>
      <c r="F671">
        <f t="shared" si="31"/>
        <v>-1.8448689166312558E-2</v>
      </c>
      <c r="G671">
        <f t="shared" si="30"/>
        <v>-2.9366764504494294E-2</v>
      </c>
    </row>
    <row r="672" spans="1:38" x14ac:dyDescent="0.35">
      <c r="A672" t="s">
        <v>47</v>
      </c>
      <c r="E672">
        <v>3.3481692967327475E-2</v>
      </c>
      <c r="F672">
        <f t="shared" si="31"/>
        <v>-1.8451513471924915E-2</v>
      </c>
      <c r="G672">
        <f t="shared" si="30"/>
        <v>-2.9366764504494294E-2</v>
      </c>
    </row>
    <row r="673" spans="1:7" x14ac:dyDescent="0.35">
      <c r="A673" t="s">
        <v>47</v>
      </c>
      <c r="E673">
        <v>5.3914874208765146E-3</v>
      </c>
      <c r="F673">
        <f t="shared" si="31"/>
        <v>-1.8454337777537272E-2</v>
      </c>
      <c r="G673">
        <f t="shared" si="30"/>
        <v>-2.9366764504494294E-2</v>
      </c>
    </row>
    <row r="674" spans="1:7" x14ac:dyDescent="0.35">
      <c r="A674" t="s">
        <v>47</v>
      </c>
      <c r="E674">
        <v>-3.9746417624825729E-3</v>
      </c>
      <c r="F674">
        <f t="shared" si="31"/>
        <v>-1.8457162083149632E-2</v>
      </c>
      <c r="G674">
        <f t="shared" si="30"/>
        <v>-2.9366764504494294E-2</v>
      </c>
    </row>
    <row r="675" spans="1:7" x14ac:dyDescent="0.35">
      <c r="A675" t="s">
        <v>47</v>
      </c>
      <c r="E675">
        <v>1.1450761940676233E-2</v>
      </c>
      <c r="F675">
        <f t="shared" si="31"/>
        <v>-1.8459986388761989E-2</v>
      </c>
      <c r="G675">
        <f t="shared" si="30"/>
        <v>-2.9366764504494294E-2</v>
      </c>
    </row>
    <row r="676" spans="1:7" x14ac:dyDescent="0.35">
      <c r="A676" t="s">
        <v>47</v>
      </c>
      <c r="E676">
        <v>2.7916347230182571E-3</v>
      </c>
      <c r="F676">
        <f t="shared" si="31"/>
        <v>-1.8462810694374346E-2</v>
      </c>
      <c r="G676">
        <f t="shared" si="30"/>
        <v>-2.9366764504494294E-2</v>
      </c>
    </row>
    <row r="677" spans="1:7" x14ac:dyDescent="0.35">
      <c r="A677" t="s">
        <v>47</v>
      </c>
      <c r="E677">
        <v>-8.4495081814074773E-3</v>
      </c>
      <c r="F677">
        <f t="shared" si="31"/>
        <v>-1.8465634999986703E-2</v>
      </c>
      <c r="G677">
        <f t="shared" si="30"/>
        <v>-2.9366764504494294E-2</v>
      </c>
    </row>
    <row r="678" spans="1:7" x14ac:dyDescent="0.35">
      <c r="A678" t="s">
        <v>47</v>
      </c>
      <c r="E678">
        <v>1.9985950709644856E-2</v>
      </c>
      <c r="F678">
        <f t="shared" si="31"/>
        <v>-1.846845930559906E-2</v>
      </c>
      <c r="G678">
        <f t="shared" si="30"/>
        <v>-2.9366764504494294E-2</v>
      </c>
    </row>
    <row r="679" spans="1:7" x14ac:dyDescent="0.35">
      <c r="A679" t="s">
        <v>47</v>
      </c>
      <c r="E679">
        <v>-4.2447819972227458E-3</v>
      </c>
      <c r="F679">
        <f t="shared" si="31"/>
        <v>-1.847128361121142E-2</v>
      </c>
      <c r="G679">
        <f t="shared" si="30"/>
        <v>-2.9366764504494294E-2</v>
      </c>
    </row>
    <row r="680" spans="1:7" x14ac:dyDescent="0.35">
      <c r="A680" t="s">
        <v>47</v>
      </c>
      <c r="E680">
        <v>-1.174635900005261E-2</v>
      </c>
      <c r="F680">
        <f t="shared" si="31"/>
        <v>-1.8474107916823777E-2</v>
      </c>
      <c r="G680">
        <f t="shared" si="30"/>
        <v>-2.9366764504494294E-2</v>
      </c>
    </row>
    <row r="681" spans="1:7" x14ac:dyDescent="0.35">
      <c r="A681" t="s">
        <v>47</v>
      </c>
      <c r="E681">
        <v>5.5730684932712334E-3</v>
      </c>
      <c r="F681">
        <f t="shared" si="31"/>
        <v>-1.8474499327409088E-2</v>
      </c>
      <c r="G681">
        <f t="shared" si="30"/>
        <v>-2.9436589226210126E-2</v>
      </c>
    </row>
    <row r="682" spans="1:7" x14ac:dyDescent="0.35">
      <c r="A682" t="s">
        <v>47</v>
      </c>
      <c r="E682">
        <v>-5.7179838257627701E-3</v>
      </c>
      <c r="F682">
        <f t="shared" si="31"/>
        <v>-1.8474890737994399E-2</v>
      </c>
      <c r="G682">
        <f t="shared" si="30"/>
        <v>-2.9436589226210126E-2</v>
      </c>
    </row>
    <row r="683" spans="1:7" x14ac:dyDescent="0.35">
      <c r="A683" t="s">
        <v>47</v>
      </c>
      <c r="E683">
        <v>9.3760859661931178E-3</v>
      </c>
      <c r="F683">
        <f t="shared" si="31"/>
        <v>-1.8475282148579714E-2</v>
      </c>
      <c r="G683">
        <f t="shared" si="30"/>
        <v>-2.9436589226210126E-2</v>
      </c>
    </row>
    <row r="684" spans="1:7" x14ac:dyDescent="0.35">
      <c r="A684" t="s">
        <v>47</v>
      </c>
      <c r="E684">
        <v>-7.4742751513739575E-3</v>
      </c>
      <c r="F684">
        <f t="shared" si="31"/>
        <v>-1.8475673559165025E-2</v>
      </c>
      <c r="G684">
        <f t="shared" si="30"/>
        <v>-2.9436589226210126E-2</v>
      </c>
    </row>
    <row r="685" spans="1:7" x14ac:dyDescent="0.35">
      <c r="A685" t="s">
        <v>47</v>
      </c>
      <c r="E685">
        <v>4.1315843625261374E-3</v>
      </c>
      <c r="F685">
        <f t="shared" si="31"/>
        <v>-1.8476064969750336E-2</v>
      </c>
      <c r="G685">
        <f t="shared" si="30"/>
        <v>-2.9436589226210126E-2</v>
      </c>
    </row>
    <row r="686" spans="1:7" x14ac:dyDescent="0.35">
      <c r="A686" t="s">
        <v>47</v>
      </c>
      <c r="E686">
        <v>-2.7615727676001015E-2</v>
      </c>
      <c r="F686">
        <f t="shared" si="31"/>
        <v>-1.8476456380335647E-2</v>
      </c>
      <c r="G686">
        <f t="shared" si="30"/>
        <v>-2.9436589226210126E-2</v>
      </c>
    </row>
    <row r="687" spans="1:7" x14ac:dyDescent="0.35">
      <c r="A687" t="s">
        <v>47</v>
      </c>
      <c r="E687">
        <v>3.0132421522014148E-3</v>
      </c>
      <c r="F687">
        <f t="shared" si="31"/>
        <v>-1.8437391943863127E-2</v>
      </c>
      <c r="G687">
        <f t="shared" si="30"/>
        <v>-2.9377989099548734E-2</v>
      </c>
    </row>
    <row r="688" spans="1:7" x14ac:dyDescent="0.35">
      <c r="A688" t="s">
        <v>47</v>
      </c>
      <c r="E688">
        <v>-2.0886508578443805E-2</v>
      </c>
      <c r="F688">
        <f t="shared" si="31"/>
        <v>-1.8440216249475484E-2</v>
      </c>
      <c r="G688">
        <f t="shared" si="30"/>
        <v>-2.9377989099548734E-2</v>
      </c>
    </row>
    <row r="689" spans="1:38" x14ac:dyDescent="0.35">
      <c r="A689" t="s">
        <v>48</v>
      </c>
      <c r="B689" s="3" cm="1">
        <f t="array" ref="B689">_xlfn.STDEV.S(_xlfn._xlws.FILTER($E$2:$E$1000, $A$2:$A$1000="2012-10"))</f>
        <v>1.1482466981196905E-2</v>
      </c>
      <c r="C689" s="3" cm="1">
        <f t="array" ref="C689">AVERAGE(_xlfn._xlws.FILTER($E$2:$E$1000, $A$2:$A$1000="2012-10"))</f>
        <v>8.661035994428156E-4</v>
      </c>
      <c r="D689" s="3" cm="1">
        <f t="array" ref="D689">_xlfn.PERCENTILE.EXC(_xlfn._xlws.FILTER($E$503:$E$750, $A$503:$A$750="2012-10"), 0.05)</f>
        <v>-1.9781982163319115E-2</v>
      </c>
      <c r="E689">
        <v>1.7989328403468424E-2</v>
      </c>
      <c r="F689">
        <f t="shared" si="31"/>
        <v>-1.8393351358537646E-2</v>
      </c>
      <c r="G689">
        <f t="shared" si="30"/>
        <v>-2.9362162902280355E-2</v>
      </c>
      <c r="AI689" s="3"/>
      <c r="AJ689" s="3"/>
      <c r="AK689" s="3"/>
      <c r="AL689" s="3"/>
    </row>
    <row r="690" spans="1:38" x14ac:dyDescent="0.35">
      <c r="A690" t="s">
        <v>48</v>
      </c>
      <c r="E690">
        <v>-2.0911793535246573E-3</v>
      </c>
      <c r="F690">
        <f t="shared" si="31"/>
        <v>-1.839555776272301E-2</v>
      </c>
      <c r="G690">
        <f t="shared" si="30"/>
        <v>-2.9362162902280355E-2</v>
      </c>
    </row>
    <row r="691" spans="1:38" x14ac:dyDescent="0.35">
      <c r="A691" t="s">
        <v>48</v>
      </c>
      <c r="E691">
        <v>-4.4524044722080608E-4</v>
      </c>
      <c r="F691">
        <f t="shared" si="31"/>
        <v>-1.839776416690837E-2</v>
      </c>
      <c r="G691">
        <f t="shared" si="30"/>
        <v>-2.9362162902280355E-2</v>
      </c>
    </row>
    <row r="692" spans="1:38" x14ac:dyDescent="0.35">
      <c r="A692" t="s">
        <v>48</v>
      </c>
      <c r="E692">
        <v>-2.7037738714007897E-3</v>
      </c>
      <c r="F692">
        <f t="shared" si="31"/>
        <v>-1.8399970571093733E-2</v>
      </c>
      <c r="G692">
        <f t="shared" si="30"/>
        <v>-2.9362162902280355E-2</v>
      </c>
    </row>
    <row r="693" spans="1:38" x14ac:dyDescent="0.35">
      <c r="A693" t="s">
        <v>48</v>
      </c>
      <c r="E693">
        <v>1.8123024400670224E-2</v>
      </c>
      <c r="F693">
        <f t="shared" si="31"/>
        <v>-1.8402176975279093E-2</v>
      </c>
      <c r="G693">
        <f t="shared" si="30"/>
        <v>-2.9362162902280355E-2</v>
      </c>
    </row>
    <row r="694" spans="1:38" x14ac:dyDescent="0.35">
      <c r="A694" t="s">
        <v>48</v>
      </c>
      <c r="E694">
        <v>-1.3971941729290045E-2</v>
      </c>
      <c r="F694">
        <f t="shared" si="31"/>
        <v>-1.8404383379464456E-2</v>
      </c>
      <c r="G694">
        <f t="shared" si="30"/>
        <v>-2.9362162902280355E-2</v>
      </c>
    </row>
    <row r="695" spans="1:38" x14ac:dyDescent="0.35">
      <c r="A695" t="s">
        <v>48</v>
      </c>
      <c r="E695">
        <v>-9.6049302109293411E-3</v>
      </c>
      <c r="F695">
        <f t="shared" si="31"/>
        <v>-1.840658978364982E-2</v>
      </c>
      <c r="G695">
        <f t="shared" si="30"/>
        <v>-2.9362162902280355E-2</v>
      </c>
    </row>
    <row r="696" spans="1:38" x14ac:dyDescent="0.35">
      <c r="A696" t="s">
        <v>48</v>
      </c>
      <c r="E696">
        <v>-6.3667215145618112E-3</v>
      </c>
      <c r="F696">
        <f t="shared" si="31"/>
        <v>-1.840879618783518E-2</v>
      </c>
      <c r="G696">
        <f t="shared" si="30"/>
        <v>-2.9362162902280355E-2</v>
      </c>
    </row>
    <row r="697" spans="1:38" x14ac:dyDescent="0.35">
      <c r="A697" t="s">
        <v>48</v>
      </c>
      <c r="E697">
        <v>1.235547574978023E-2</v>
      </c>
      <c r="F697">
        <f t="shared" si="31"/>
        <v>-1.8411002592020539E-2</v>
      </c>
      <c r="G697">
        <f t="shared" si="30"/>
        <v>-2.9362162902280355E-2</v>
      </c>
    </row>
    <row r="698" spans="1:38" x14ac:dyDescent="0.35">
      <c r="A698" t="s">
        <v>48</v>
      </c>
      <c r="E698">
        <v>-7.2596698701703852E-3</v>
      </c>
      <c r="F698">
        <f t="shared" si="31"/>
        <v>-1.8413208996205903E-2</v>
      </c>
      <c r="G698">
        <f t="shared" si="30"/>
        <v>-2.9362162902280355E-2</v>
      </c>
    </row>
    <row r="699" spans="1:38" x14ac:dyDescent="0.35">
      <c r="A699" t="s">
        <v>48</v>
      </c>
      <c r="E699">
        <v>6.4712864175660838E-3</v>
      </c>
      <c r="F699">
        <f t="shared" si="31"/>
        <v>-1.8415415400391263E-2</v>
      </c>
      <c r="G699">
        <f t="shared" si="30"/>
        <v>-2.9362162902280355E-2</v>
      </c>
    </row>
    <row r="700" spans="1:38" x14ac:dyDescent="0.35">
      <c r="A700" t="s">
        <v>48</v>
      </c>
      <c r="E700">
        <v>2.4948542350825501E-2</v>
      </c>
      <c r="F700">
        <f t="shared" si="31"/>
        <v>-1.8417621804576626E-2</v>
      </c>
      <c r="G700">
        <f t="shared" si="30"/>
        <v>-2.9362162902280355E-2</v>
      </c>
    </row>
    <row r="701" spans="1:38" x14ac:dyDescent="0.35">
      <c r="A701" t="s">
        <v>48</v>
      </c>
      <c r="E701">
        <v>8.5702583874037192E-3</v>
      </c>
      <c r="F701">
        <f t="shared" si="31"/>
        <v>-1.8420446110188983E-2</v>
      </c>
      <c r="G701">
        <f t="shared" si="30"/>
        <v>-2.9432772844846185E-2</v>
      </c>
    </row>
    <row r="702" spans="1:38" x14ac:dyDescent="0.35">
      <c r="A702" t="s">
        <v>48</v>
      </c>
      <c r="E702">
        <v>1.6951726642115009E-3</v>
      </c>
      <c r="F702">
        <f t="shared" si="31"/>
        <v>-1.842327041580134E-2</v>
      </c>
      <c r="G702">
        <f t="shared" si="30"/>
        <v>-2.9432772844846185E-2</v>
      </c>
    </row>
    <row r="703" spans="1:38" x14ac:dyDescent="0.35">
      <c r="A703" t="s">
        <v>48</v>
      </c>
      <c r="E703">
        <v>-1.2489339365631749E-2</v>
      </c>
      <c r="F703">
        <f t="shared" si="31"/>
        <v>-1.8426094721413697E-2</v>
      </c>
      <c r="G703">
        <f t="shared" si="30"/>
        <v>-2.9432772844846185E-2</v>
      </c>
    </row>
    <row r="704" spans="1:38" x14ac:dyDescent="0.35">
      <c r="A704" t="s">
        <v>48</v>
      </c>
      <c r="E704">
        <v>-4.3915913003661142E-3</v>
      </c>
      <c r="F704">
        <f t="shared" si="31"/>
        <v>-1.8428919027026057E-2</v>
      </c>
      <c r="G704">
        <f t="shared" si="30"/>
        <v>-2.9432772844846185E-2</v>
      </c>
    </row>
    <row r="705" spans="1:38" x14ac:dyDescent="0.35">
      <c r="A705" t="s">
        <v>48</v>
      </c>
      <c r="E705">
        <v>-2.1234492271826385E-2</v>
      </c>
      <c r="F705">
        <f t="shared" si="31"/>
        <v>-1.8431743332638414E-2</v>
      </c>
      <c r="G705">
        <f t="shared" si="30"/>
        <v>-2.9432772844846185E-2</v>
      </c>
    </row>
    <row r="706" spans="1:38" x14ac:dyDescent="0.35">
      <c r="A706" t="s">
        <v>48</v>
      </c>
      <c r="E706">
        <v>5.096116493413824E-3</v>
      </c>
      <c r="F706">
        <f t="shared" si="31"/>
        <v>-1.8386732145981563E-2</v>
      </c>
      <c r="G706">
        <f t="shared" si="30"/>
        <v>-2.9414599486992963E-2</v>
      </c>
    </row>
    <row r="707" spans="1:38" x14ac:dyDescent="0.35">
      <c r="A707" t="s">
        <v>48</v>
      </c>
      <c r="E707">
        <v>-2.8749459388899431E-3</v>
      </c>
      <c r="F707">
        <f t="shared" si="31"/>
        <v>-1.8388938550166923E-2</v>
      </c>
      <c r="G707">
        <f t="shared" ref="G707:G770" si="32">AVERAGEIFS(E707:E4523,E707:E4523,"&lt;=" &amp; F707)</f>
        <v>-2.9414599486992963E-2</v>
      </c>
    </row>
    <row r="708" spans="1:38" x14ac:dyDescent="0.35">
      <c r="A708" t="s">
        <v>48</v>
      </c>
      <c r="E708">
        <v>5.0888446669494092E-3</v>
      </c>
      <c r="F708">
        <f t="shared" ref="F708:F771" si="33">_xlfn.PERCENTILE.EXC(E708:E4523,0.05)</f>
        <v>-1.8391144954352286E-2</v>
      </c>
      <c r="G708">
        <f t="shared" si="32"/>
        <v>-2.9414599486992963E-2</v>
      </c>
    </row>
    <row r="709" spans="1:38" x14ac:dyDescent="0.35">
      <c r="A709" t="s">
        <v>48</v>
      </c>
      <c r="E709">
        <v>-6.9388049911758643E-3</v>
      </c>
      <c r="F709">
        <f t="shared" si="33"/>
        <v>-1.8393351358537646E-2</v>
      </c>
      <c r="G709">
        <f t="shared" si="32"/>
        <v>-2.9414599486992963E-2</v>
      </c>
    </row>
    <row r="710" spans="1:38" x14ac:dyDescent="0.35">
      <c r="A710" t="s">
        <v>48</v>
      </c>
      <c r="E710">
        <v>1.487565545147264E-2</v>
      </c>
      <c r="F710">
        <f t="shared" si="33"/>
        <v>-1.839555776272301E-2</v>
      </c>
      <c r="G710">
        <f t="shared" si="32"/>
        <v>-2.9414599486992963E-2</v>
      </c>
    </row>
    <row r="711" spans="1:38" x14ac:dyDescent="0.35">
      <c r="A711" t="s">
        <v>48</v>
      </c>
      <c r="E711">
        <v>-4.9206913335889078E-3</v>
      </c>
      <c r="F711">
        <f t="shared" si="33"/>
        <v>-1.839776416690837E-2</v>
      </c>
      <c r="G711">
        <f t="shared" si="32"/>
        <v>-2.9414599486992963E-2</v>
      </c>
    </row>
    <row r="712" spans="1:38" x14ac:dyDescent="0.35">
      <c r="A712" t="s">
        <v>49</v>
      </c>
      <c r="B712" s="3" cm="1">
        <f t="array" ref="B712">_xlfn.STDEV.S(_xlfn._xlws.FILTER($E$2:$E$1000, $A$2:$A$1000="2012-11"))</f>
        <v>1.0551970631312271E-2</v>
      </c>
      <c r="C712" s="3" cm="1">
        <f t="array" ref="C712">AVERAGE(_xlfn._xlws.FILTER($E$2:$E$1000, $A$2:$A$1000="2012-11"))</f>
        <v>1.2818610839889734E-3</v>
      </c>
      <c r="D712" s="3" cm="1">
        <f t="array" ref="D712">_xlfn.PERCENTILE.EXC(_xlfn._xlws.FILTER($E$503:$E$750, $A$503:$A$750="2012-11"), 0.05)</f>
        <v>-2.1382393318974104E-2</v>
      </c>
      <c r="E712">
        <v>1.200210536016009E-2</v>
      </c>
      <c r="F712">
        <f t="shared" si="33"/>
        <v>-1.8399970571093733E-2</v>
      </c>
      <c r="G712">
        <f t="shared" si="32"/>
        <v>-2.9414599486992963E-2</v>
      </c>
      <c r="AI712" s="3"/>
      <c r="AJ712" s="3"/>
      <c r="AK712" s="3"/>
      <c r="AL712" s="3"/>
    </row>
    <row r="713" spans="1:38" x14ac:dyDescent="0.35">
      <c r="A713" t="s">
        <v>49</v>
      </c>
      <c r="E713">
        <v>5.2273087842143818E-3</v>
      </c>
      <c r="F713">
        <f t="shared" si="33"/>
        <v>-1.8402176975279093E-2</v>
      </c>
      <c r="G713">
        <f t="shared" si="32"/>
        <v>-2.9414599486992963E-2</v>
      </c>
    </row>
    <row r="714" spans="1:38" x14ac:dyDescent="0.35">
      <c r="A714" t="s">
        <v>49</v>
      </c>
      <c r="E714">
        <v>-1.1641216438730433E-2</v>
      </c>
      <c r="F714">
        <f t="shared" si="33"/>
        <v>-1.8404383379464456E-2</v>
      </c>
      <c r="G714">
        <f t="shared" si="32"/>
        <v>-2.9414599486992963E-2</v>
      </c>
    </row>
    <row r="715" spans="1:38" x14ac:dyDescent="0.35">
      <c r="A715" t="s">
        <v>49</v>
      </c>
      <c r="E715">
        <v>7.2305063495476099E-3</v>
      </c>
      <c r="F715">
        <f t="shared" si="33"/>
        <v>-1.840658978364982E-2</v>
      </c>
      <c r="G715">
        <f t="shared" si="32"/>
        <v>-2.9414599486992963E-2</v>
      </c>
    </row>
    <row r="716" spans="1:38" x14ac:dyDescent="0.35">
      <c r="A716" t="s">
        <v>49</v>
      </c>
      <c r="E716">
        <v>-2.2668785903327021E-2</v>
      </c>
      <c r="F716">
        <f t="shared" si="33"/>
        <v>-1.840879618783518E-2</v>
      </c>
      <c r="G716">
        <f t="shared" si="32"/>
        <v>-2.9414599486992963E-2</v>
      </c>
    </row>
    <row r="717" spans="1:38" x14ac:dyDescent="0.35">
      <c r="A717" t="s">
        <v>49</v>
      </c>
      <c r="E717">
        <v>1.2101092527166025E-5</v>
      </c>
      <c r="F717">
        <f t="shared" si="33"/>
        <v>-1.8370804435783043E-2</v>
      </c>
      <c r="G717">
        <f t="shared" si="32"/>
        <v>-2.9386887924525491E-2</v>
      </c>
    </row>
    <row r="718" spans="1:38" x14ac:dyDescent="0.35">
      <c r="A718" t="s">
        <v>49</v>
      </c>
      <c r="E718">
        <v>2.7828471932690052E-4</v>
      </c>
      <c r="F718">
        <f t="shared" si="33"/>
        <v>-1.8371700864145159E-2</v>
      </c>
      <c r="G718">
        <f t="shared" si="32"/>
        <v>-2.9386887924525491E-2</v>
      </c>
    </row>
    <row r="719" spans="1:38" x14ac:dyDescent="0.35">
      <c r="A719" t="s">
        <v>49</v>
      </c>
      <c r="E719">
        <v>-2.5437395361798763E-3</v>
      </c>
      <c r="F719">
        <f t="shared" si="33"/>
        <v>-1.8372597292507276E-2</v>
      </c>
      <c r="G719">
        <f t="shared" si="32"/>
        <v>-2.9386887924525491E-2</v>
      </c>
    </row>
    <row r="720" spans="1:38" x14ac:dyDescent="0.35">
      <c r="A720" t="s">
        <v>49</v>
      </c>
      <c r="E720">
        <v>7.9007228434874021E-3</v>
      </c>
      <c r="F720">
        <f t="shared" si="33"/>
        <v>-1.8373493720869393E-2</v>
      </c>
      <c r="G720">
        <f t="shared" si="32"/>
        <v>-2.9386887924525491E-2</v>
      </c>
    </row>
    <row r="721" spans="1:38" x14ac:dyDescent="0.35">
      <c r="A721" t="s">
        <v>49</v>
      </c>
      <c r="E721">
        <v>-8.1756725051715454E-3</v>
      </c>
      <c r="F721">
        <f t="shared" si="33"/>
        <v>-1.8375700125054753E-2</v>
      </c>
      <c r="G721">
        <f t="shared" si="32"/>
        <v>-2.9458403471302481E-2</v>
      </c>
    </row>
    <row r="722" spans="1:38" x14ac:dyDescent="0.35">
      <c r="A722" t="s">
        <v>49</v>
      </c>
      <c r="E722">
        <v>-4.4866842851729481E-3</v>
      </c>
      <c r="F722">
        <f t="shared" si="33"/>
        <v>-1.8377906529240116E-2</v>
      </c>
      <c r="G722">
        <f t="shared" si="32"/>
        <v>-2.9458403471302481E-2</v>
      </c>
    </row>
    <row r="723" spans="1:38" x14ac:dyDescent="0.35">
      <c r="A723" t="s">
        <v>49</v>
      </c>
      <c r="E723">
        <v>-1.4092835340974242E-2</v>
      </c>
      <c r="F723">
        <f t="shared" si="33"/>
        <v>-1.8380112933425476E-2</v>
      </c>
      <c r="G723">
        <f t="shared" si="32"/>
        <v>-2.9458403471302481E-2</v>
      </c>
    </row>
    <row r="724" spans="1:38" x14ac:dyDescent="0.35">
      <c r="A724" t="s">
        <v>49</v>
      </c>
      <c r="E724">
        <v>2.7585125924583748E-2</v>
      </c>
      <c r="F724">
        <f t="shared" si="33"/>
        <v>-1.838231933761084E-2</v>
      </c>
      <c r="G724">
        <f t="shared" si="32"/>
        <v>-2.9458403471302481E-2</v>
      </c>
    </row>
    <row r="725" spans="1:38" x14ac:dyDescent="0.35">
      <c r="A725" t="s">
        <v>49</v>
      </c>
      <c r="E725">
        <v>5.7584532618898034E-3</v>
      </c>
      <c r="F725">
        <f t="shared" si="33"/>
        <v>-1.83845257417962E-2</v>
      </c>
      <c r="G725">
        <f t="shared" si="32"/>
        <v>-2.9458403471302481E-2</v>
      </c>
    </row>
    <row r="726" spans="1:38" x14ac:dyDescent="0.35">
      <c r="A726" t="s">
        <v>49</v>
      </c>
      <c r="E726">
        <v>4.0005620730914956E-3</v>
      </c>
      <c r="F726">
        <f t="shared" si="33"/>
        <v>-1.8386732145981563E-2</v>
      </c>
      <c r="G726">
        <f t="shared" si="32"/>
        <v>-2.9458403471302481E-2</v>
      </c>
    </row>
    <row r="727" spans="1:38" x14ac:dyDescent="0.35">
      <c r="A727" t="s">
        <v>49</v>
      </c>
      <c r="E727">
        <v>6.0972300383303792E-3</v>
      </c>
      <c r="F727">
        <f t="shared" si="33"/>
        <v>-1.8388938550166923E-2</v>
      </c>
      <c r="G727">
        <f t="shared" si="32"/>
        <v>-2.9458403471302481E-2</v>
      </c>
    </row>
    <row r="728" spans="1:38" x14ac:dyDescent="0.35">
      <c r="A728" t="s">
        <v>49</v>
      </c>
      <c r="E728">
        <v>8.6172893677354759E-3</v>
      </c>
      <c r="F728">
        <f t="shared" si="33"/>
        <v>-1.8391144954352286E-2</v>
      </c>
      <c r="G728">
        <f t="shared" si="32"/>
        <v>-2.9458403471302481E-2</v>
      </c>
    </row>
    <row r="729" spans="1:38" x14ac:dyDescent="0.35">
      <c r="A729" t="s">
        <v>49</v>
      </c>
      <c r="E729">
        <v>-5.6907135562546821E-3</v>
      </c>
      <c r="F729">
        <f t="shared" si="33"/>
        <v>-1.8393351358537646E-2</v>
      </c>
      <c r="G729">
        <f t="shared" si="32"/>
        <v>-2.9458403471302481E-2</v>
      </c>
    </row>
    <row r="730" spans="1:38" x14ac:dyDescent="0.35">
      <c r="A730" t="s">
        <v>49</v>
      </c>
      <c r="E730">
        <v>3.657119528290025E-4</v>
      </c>
      <c r="F730">
        <f t="shared" si="33"/>
        <v>-1.839555776272301E-2</v>
      </c>
      <c r="G730">
        <f t="shared" si="32"/>
        <v>-2.9458403471302481E-2</v>
      </c>
    </row>
    <row r="731" spans="1:38" x14ac:dyDescent="0.35">
      <c r="A731" t="s">
        <v>49</v>
      </c>
      <c r="E731">
        <v>1.3319478855544533E-3</v>
      </c>
      <c r="F731">
        <f t="shared" si="33"/>
        <v>-1.839776416690837E-2</v>
      </c>
      <c r="G731">
        <f t="shared" si="32"/>
        <v>-2.9458403471302481E-2</v>
      </c>
    </row>
    <row r="732" spans="1:38" x14ac:dyDescent="0.35">
      <c r="A732" t="s">
        <v>49</v>
      </c>
      <c r="E732">
        <v>1.3590848227593219E-2</v>
      </c>
      <c r="F732">
        <f t="shared" si="33"/>
        <v>-1.8399970571093733E-2</v>
      </c>
      <c r="G732">
        <f t="shared" si="32"/>
        <v>-2.9458403471302481E-2</v>
      </c>
    </row>
    <row r="733" spans="1:38" x14ac:dyDescent="0.35">
      <c r="A733" t="s">
        <v>49</v>
      </c>
      <c r="E733">
        <v>-2.4976064673029692E-3</v>
      </c>
      <c r="F733">
        <f t="shared" si="33"/>
        <v>-1.8402176975279093E-2</v>
      </c>
      <c r="G733">
        <f t="shared" si="32"/>
        <v>-2.9458403471302481E-2</v>
      </c>
    </row>
    <row r="734" spans="1:38" x14ac:dyDescent="0.35">
      <c r="A734" t="s">
        <v>50</v>
      </c>
      <c r="B734" s="3" cm="1">
        <f t="array" ref="B734">_xlfn.STDEV.S(_xlfn._xlws.FILTER($E$2:$E$1000, $A$2:$A$1000="2012-12"))</f>
        <v>4.8275922404570539E-3</v>
      </c>
      <c r="C734" s="3" cm="1">
        <f t="array" ref="C734">AVERAGE(_xlfn._xlws.FILTER($E$2:$E$1000, $A$2:$A$1000="2012-12"))</f>
        <v>1.1669878199195782E-3</v>
      </c>
      <c r="D734" s="3" cm="1">
        <f t="array" ref="D734">_xlfn.PERCENTILE.INC(_xlfn._xlws.FILTER($E$503:$E$750, $A$503:$A$750="2012-12"), 0.05)</f>
        <v>-4.6771388252915477E-3</v>
      </c>
      <c r="E734">
        <v>2.7570927247015371E-3</v>
      </c>
      <c r="F734">
        <f t="shared" si="33"/>
        <v>-1.8404383379464456E-2</v>
      </c>
      <c r="G734">
        <f t="shared" si="32"/>
        <v>-2.9458403471302481E-2</v>
      </c>
      <c r="AI734" s="3"/>
      <c r="AJ734" s="3"/>
      <c r="AK734" s="3"/>
      <c r="AL734" s="3"/>
    </row>
    <row r="735" spans="1:38" x14ac:dyDescent="0.35">
      <c r="A735" t="s">
        <v>50</v>
      </c>
      <c r="E735">
        <v>3.2745781881399708E-3</v>
      </c>
      <c r="F735">
        <f t="shared" si="33"/>
        <v>-1.840658978364982E-2</v>
      </c>
      <c r="G735">
        <f t="shared" si="32"/>
        <v>-2.9458403471302481E-2</v>
      </c>
    </row>
    <row r="736" spans="1:38" x14ac:dyDescent="0.35">
      <c r="A736" t="s">
        <v>50</v>
      </c>
      <c r="E736">
        <v>4.8621241494089054E-4</v>
      </c>
      <c r="F736">
        <f t="shared" si="33"/>
        <v>-1.840879618783518E-2</v>
      </c>
      <c r="G736">
        <f t="shared" si="32"/>
        <v>-2.9458403471302481E-2</v>
      </c>
    </row>
    <row r="737" spans="1:38" x14ac:dyDescent="0.35">
      <c r="A737" t="s">
        <v>50</v>
      </c>
      <c r="E737">
        <v>4.3576240642266718E-3</v>
      </c>
      <c r="F737">
        <f t="shared" si="33"/>
        <v>-1.8411002592020539E-2</v>
      </c>
      <c r="G737">
        <f t="shared" si="32"/>
        <v>-2.9458403471302481E-2</v>
      </c>
    </row>
    <row r="738" spans="1:38" x14ac:dyDescent="0.35">
      <c r="A738" t="s">
        <v>50</v>
      </c>
      <c r="E738">
        <v>-7.8389484453266628E-4</v>
      </c>
      <c r="F738">
        <f t="shared" si="33"/>
        <v>-1.8413208996205903E-2</v>
      </c>
      <c r="G738">
        <f t="shared" si="32"/>
        <v>-2.9458403471302481E-2</v>
      </c>
    </row>
    <row r="739" spans="1:38" x14ac:dyDescent="0.35">
      <c r="A739" t="s">
        <v>50</v>
      </c>
      <c r="E739">
        <v>-2.05872635672881E-3</v>
      </c>
      <c r="F739">
        <f t="shared" si="33"/>
        <v>-1.8415415400391263E-2</v>
      </c>
      <c r="G739">
        <f t="shared" si="32"/>
        <v>-2.9458403471302481E-2</v>
      </c>
    </row>
    <row r="740" spans="1:38" x14ac:dyDescent="0.35">
      <c r="A740" t="s">
        <v>50</v>
      </c>
      <c r="E740">
        <v>1.0731800970903387E-2</v>
      </c>
      <c r="F740">
        <f t="shared" si="33"/>
        <v>-1.8417621804576626E-2</v>
      </c>
      <c r="G740">
        <f t="shared" si="32"/>
        <v>-2.9458403471302481E-2</v>
      </c>
    </row>
    <row r="741" spans="1:38" x14ac:dyDescent="0.35">
      <c r="A741" t="s">
        <v>50</v>
      </c>
      <c r="E741">
        <v>2.4018114572721665E-3</v>
      </c>
      <c r="F741">
        <f t="shared" si="33"/>
        <v>-1.8420446110188983E-2</v>
      </c>
      <c r="G741">
        <f t="shared" si="32"/>
        <v>-2.9530565442980425E-2</v>
      </c>
    </row>
    <row r="742" spans="1:38" x14ac:dyDescent="0.35">
      <c r="A742" t="s">
        <v>50</v>
      </c>
      <c r="E742">
        <v>-1.0193990993087429E-3</v>
      </c>
      <c r="F742">
        <f t="shared" si="33"/>
        <v>-1.842327041580134E-2</v>
      </c>
      <c r="G742">
        <f t="shared" si="32"/>
        <v>-2.9530565442980425E-2</v>
      </c>
    </row>
    <row r="743" spans="1:38" x14ac:dyDescent="0.35">
      <c r="A743" t="s">
        <v>50</v>
      </c>
      <c r="E743">
        <v>1.0954320063873522E-3</v>
      </c>
      <c r="F743">
        <f t="shared" si="33"/>
        <v>-1.8426094721413697E-2</v>
      </c>
      <c r="G743">
        <f t="shared" si="32"/>
        <v>-2.9530565442980425E-2</v>
      </c>
    </row>
    <row r="744" spans="1:38" x14ac:dyDescent="0.35">
      <c r="A744" t="s">
        <v>50</v>
      </c>
      <c r="E744">
        <v>-9.6224251750480028E-4</v>
      </c>
      <c r="F744">
        <f t="shared" si="33"/>
        <v>-1.8428919027026057E-2</v>
      </c>
      <c r="G744">
        <f t="shared" si="32"/>
        <v>-2.9530565442980425E-2</v>
      </c>
    </row>
    <row r="745" spans="1:38" x14ac:dyDescent="0.35">
      <c r="A745" t="s">
        <v>50</v>
      </c>
      <c r="E745">
        <v>5.876890903205239E-3</v>
      </c>
      <c r="F745">
        <f t="shared" si="33"/>
        <v>-1.8431743332638414E-2</v>
      </c>
      <c r="G745">
        <f t="shared" si="32"/>
        <v>-2.9530565442980425E-2</v>
      </c>
    </row>
    <row r="746" spans="1:38" x14ac:dyDescent="0.35">
      <c r="A746" t="s">
        <v>50</v>
      </c>
      <c r="E746">
        <v>4.2240903548328435E-3</v>
      </c>
      <c r="F746">
        <f t="shared" si="33"/>
        <v>-1.8434567638250771E-2</v>
      </c>
      <c r="G746">
        <f t="shared" si="32"/>
        <v>-2.9530565442980425E-2</v>
      </c>
    </row>
    <row r="747" spans="1:38" x14ac:dyDescent="0.35">
      <c r="A747" t="s">
        <v>50</v>
      </c>
      <c r="E747">
        <v>1.3589336910286136E-3</v>
      </c>
      <c r="F747">
        <f t="shared" si="33"/>
        <v>-1.8437391943863127E-2</v>
      </c>
      <c r="G747">
        <f t="shared" si="32"/>
        <v>-2.9530565442980425E-2</v>
      </c>
    </row>
    <row r="748" spans="1:38" x14ac:dyDescent="0.35">
      <c r="A748" t="s">
        <v>50</v>
      </c>
      <c r="E748">
        <v>-2.7159445555739003E-3</v>
      </c>
      <c r="F748">
        <f t="shared" si="33"/>
        <v>-1.8440216249475484E-2</v>
      </c>
      <c r="G748">
        <f t="shared" si="32"/>
        <v>-2.9530565442980425E-2</v>
      </c>
    </row>
    <row r="749" spans="1:38" x14ac:dyDescent="0.35">
      <c r="A749" t="s">
        <v>50</v>
      </c>
      <c r="E749">
        <v>3.3364494408052135E-3</v>
      </c>
      <c r="F749">
        <f t="shared" si="33"/>
        <v>-1.8443040555087845E-2</v>
      </c>
      <c r="G749">
        <f t="shared" si="32"/>
        <v>-2.9530565442980425E-2</v>
      </c>
    </row>
    <row r="750" spans="1:38" x14ac:dyDescent="0.35">
      <c r="A750" t="s">
        <v>50</v>
      </c>
      <c r="E750">
        <v>-1.2521915904162139E-2</v>
      </c>
      <c r="F750">
        <f t="shared" si="33"/>
        <v>-1.8445864860700201E-2</v>
      </c>
      <c r="G750">
        <f t="shared" si="32"/>
        <v>-2.9530565442980425E-2</v>
      </c>
    </row>
    <row r="751" spans="1:38" x14ac:dyDescent="0.35">
      <c r="A751" t="s">
        <v>51</v>
      </c>
      <c r="B751" s="3" cm="1">
        <f t="array" ref="B751">_xlfn.STDEV.S(_xlfn._xlws.FILTER($E$2:$E$1000, $A$2:$A$1000="2013-01"))</f>
        <v>8.2837699642246288E-3</v>
      </c>
      <c r="C751" s="3" cm="1">
        <f t="array" ref="C751">AVERAGE(_xlfn._xlws.FILTER($E$2:$E$1000, $A$2:$A$1000="2013-01"))</f>
        <v>1.298611743661273E-3</v>
      </c>
      <c r="D751" s="3" cm="1">
        <f t="array" ref="D751">_xlfn.PERCENTILE.EXC(_xlfn._xlws.FILTER($E$751:$E$999, $A$751:$A$999="2013-01"), 0.05)</f>
        <v>-1.00531806417931E-2</v>
      </c>
      <c r="E751">
        <v>3.1624373438648379E-2</v>
      </c>
      <c r="F751">
        <f t="shared" si="33"/>
        <v>-1.8448689166312558E-2</v>
      </c>
      <c r="G751">
        <f t="shared" si="32"/>
        <v>-2.9530565442980425E-2</v>
      </c>
      <c r="AI751" s="3"/>
      <c r="AJ751" s="3"/>
      <c r="AK751" s="3"/>
      <c r="AL751" s="3"/>
    </row>
    <row r="752" spans="1:38" x14ac:dyDescent="0.35">
      <c r="A752" t="s">
        <v>51</v>
      </c>
      <c r="E752">
        <v>-3.7062603511188036E-3</v>
      </c>
      <c r="F752">
        <f t="shared" si="33"/>
        <v>-1.8451513471924915E-2</v>
      </c>
      <c r="G752">
        <f t="shared" si="32"/>
        <v>-2.9530565442980425E-2</v>
      </c>
    </row>
    <row r="753" spans="1:7" x14ac:dyDescent="0.35">
      <c r="A753" t="s">
        <v>51</v>
      </c>
      <c r="E753">
        <v>3.0052309160703682E-3</v>
      </c>
      <c r="F753">
        <f t="shared" si="33"/>
        <v>-1.8454337777537275E-2</v>
      </c>
      <c r="G753">
        <f t="shared" si="32"/>
        <v>-2.9530565442980425E-2</v>
      </c>
    </row>
    <row r="754" spans="1:7" x14ac:dyDescent="0.35">
      <c r="A754" t="s">
        <v>51</v>
      </c>
      <c r="E754">
        <v>-5.102778740956551E-3</v>
      </c>
      <c r="F754">
        <f t="shared" si="33"/>
        <v>-1.8457162083149632E-2</v>
      </c>
      <c r="G754">
        <f t="shared" si="32"/>
        <v>-2.9530565442980425E-2</v>
      </c>
    </row>
    <row r="755" spans="1:7" x14ac:dyDescent="0.35">
      <c r="A755" t="s">
        <v>51</v>
      </c>
      <c r="E755">
        <v>-1.5258931382937683E-3</v>
      </c>
      <c r="F755">
        <f t="shared" si="33"/>
        <v>-1.8459986388761989E-2</v>
      </c>
      <c r="G755">
        <f t="shared" si="32"/>
        <v>-2.9530565442980425E-2</v>
      </c>
    </row>
    <row r="756" spans="1:7" x14ac:dyDescent="0.35">
      <c r="A756" t="s">
        <v>51</v>
      </c>
      <c r="E756">
        <v>5.5355616875720978E-3</v>
      </c>
      <c r="F756">
        <f t="shared" si="33"/>
        <v>-1.8462810694374346E-2</v>
      </c>
      <c r="G756">
        <f t="shared" si="32"/>
        <v>-2.9530565442980425E-2</v>
      </c>
    </row>
    <row r="757" spans="1:7" x14ac:dyDescent="0.35">
      <c r="A757" t="s">
        <v>51</v>
      </c>
      <c r="E757">
        <v>6.9441112666198616E-4</v>
      </c>
      <c r="F757">
        <f t="shared" si="33"/>
        <v>-1.8465634999986703E-2</v>
      </c>
      <c r="G757">
        <f t="shared" si="32"/>
        <v>-2.9530565442980425E-2</v>
      </c>
    </row>
    <row r="758" spans="1:7" x14ac:dyDescent="0.35">
      <c r="A758" t="s">
        <v>51</v>
      </c>
      <c r="E758">
        <v>3.5089953919970915E-3</v>
      </c>
      <c r="F758">
        <f t="shared" si="33"/>
        <v>-1.8468459305599063E-2</v>
      </c>
      <c r="G758">
        <f t="shared" si="32"/>
        <v>-2.9530565442980425E-2</v>
      </c>
    </row>
    <row r="759" spans="1:7" x14ac:dyDescent="0.35">
      <c r="A759" t="s">
        <v>51</v>
      </c>
      <c r="E759">
        <v>-9.681665413578558E-4</v>
      </c>
      <c r="F759">
        <f t="shared" si="33"/>
        <v>-1.847128361121142E-2</v>
      </c>
      <c r="G759">
        <f t="shared" si="32"/>
        <v>-2.9530565442980425E-2</v>
      </c>
    </row>
    <row r="760" spans="1:7" x14ac:dyDescent="0.35">
      <c r="A760" t="s">
        <v>51</v>
      </c>
      <c r="E760">
        <v>-5.0103949373675634E-3</v>
      </c>
      <c r="F760">
        <f t="shared" si="33"/>
        <v>-1.8474107916823777E-2</v>
      </c>
      <c r="G760">
        <f t="shared" si="32"/>
        <v>-2.9530565442980425E-2</v>
      </c>
    </row>
    <row r="761" spans="1:7" x14ac:dyDescent="0.35">
      <c r="A761" t="s">
        <v>51</v>
      </c>
      <c r="E761">
        <v>3.515829596199354E-4</v>
      </c>
      <c r="F761">
        <f t="shared" si="33"/>
        <v>-1.8474499327409088E-2</v>
      </c>
      <c r="G761">
        <f t="shared" si="32"/>
        <v>-2.9603305295126191E-2</v>
      </c>
    </row>
    <row r="762" spans="1:7" x14ac:dyDescent="0.35">
      <c r="A762" t="s">
        <v>51</v>
      </c>
      <c r="E762">
        <v>6.0463490280549146E-3</v>
      </c>
      <c r="F762">
        <f t="shared" si="33"/>
        <v>-1.8474890737994399E-2</v>
      </c>
      <c r="G762">
        <f t="shared" si="32"/>
        <v>-2.9603305295126191E-2</v>
      </c>
    </row>
    <row r="763" spans="1:7" x14ac:dyDescent="0.35">
      <c r="A763" t="s">
        <v>51</v>
      </c>
      <c r="E763">
        <v>-3.4410886268498846E-3</v>
      </c>
      <c r="F763">
        <f t="shared" si="33"/>
        <v>-1.8475282148579714E-2</v>
      </c>
      <c r="G763">
        <f t="shared" si="32"/>
        <v>-2.9603305295126191E-2</v>
      </c>
    </row>
    <row r="764" spans="1:7" x14ac:dyDescent="0.35">
      <c r="A764" t="s">
        <v>51</v>
      </c>
      <c r="E764">
        <v>6.2690824903866163E-3</v>
      </c>
      <c r="F764">
        <f t="shared" si="33"/>
        <v>-1.8475673559165025E-2</v>
      </c>
      <c r="G764">
        <f t="shared" si="32"/>
        <v>-2.9603305295126191E-2</v>
      </c>
    </row>
    <row r="765" spans="1:7" x14ac:dyDescent="0.35">
      <c r="A765" t="s">
        <v>51</v>
      </c>
      <c r="E765">
        <v>-3.6485059753289025E-3</v>
      </c>
      <c r="F765">
        <f t="shared" si="33"/>
        <v>-1.8476064969750336E-2</v>
      </c>
      <c r="G765">
        <f t="shared" si="32"/>
        <v>-2.9603305295126191E-2</v>
      </c>
    </row>
    <row r="766" spans="1:7" x14ac:dyDescent="0.35">
      <c r="A766" t="s">
        <v>51</v>
      </c>
      <c r="E766">
        <v>-3.1041614019336286E-3</v>
      </c>
      <c r="F766">
        <f t="shared" si="33"/>
        <v>-1.8476456380335647E-2</v>
      </c>
      <c r="G766">
        <f t="shared" si="32"/>
        <v>-2.9603305295126191E-2</v>
      </c>
    </row>
    <row r="767" spans="1:7" x14ac:dyDescent="0.35">
      <c r="A767" t="s">
        <v>51</v>
      </c>
      <c r="E767">
        <v>5.4057768571255356E-3</v>
      </c>
      <c r="F767">
        <f t="shared" si="33"/>
        <v>-1.8476847790920958E-2</v>
      </c>
      <c r="G767">
        <f t="shared" si="32"/>
        <v>-2.9603305295126191E-2</v>
      </c>
    </row>
    <row r="768" spans="1:7" x14ac:dyDescent="0.35">
      <c r="A768" t="s">
        <v>51</v>
      </c>
      <c r="E768">
        <v>7.7627814766155316E-3</v>
      </c>
      <c r="F768">
        <f t="shared" si="33"/>
        <v>-1.8477239201506273E-2</v>
      </c>
      <c r="G768">
        <f t="shared" si="32"/>
        <v>-2.9603305295126191E-2</v>
      </c>
    </row>
    <row r="769" spans="1:38" x14ac:dyDescent="0.35">
      <c r="A769" t="s">
        <v>51</v>
      </c>
      <c r="E769">
        <v>1.1660362796258643E-4</v>
      </c>
      <c r="F769">
        <f t="shared" si="33"/>
        <v>-1.8477630612091584E-2</v>
      </c>
      <c r="G769">
        <f t="shared" si="32"/>
        <v>-2.9603305295126191E-2</v>
      </c>
    </row>
    <row r="770" spans="1:38" x14ac:dyDescent="0.35">
      <c r="A770" t="s">
        <v>51</v>
      </c>
      <c r="E770">
        <v>1.7365128859241517E-3</v>
      </c>
      <c r="F770">
        <f t="shared" si="33"/>
        <v>-1.8478022022676895E-2</v>
      </c>
      <c r="G770">
        <f t="shared" si="32"/>
        <v>-2.9603305295126191E-2</v>
      </c>
    </row>
    <row r="771" spans="1:38" x14ac:dyDescent="0.35">
      <c r="A771" t="s">
        <v>51</v>
      </c>
      <c r="E771">
        <v>-6.2575572845121183E-3</v>
      </c>
      <c r="F771">
        <f t="shared" si="33"/>
        <v>-1.8478413433262206E-2</v>
      </c>
      <c r="G771">
        <f t="shared" ref="G771:G834" si="34">AVERAGEIFS(E771:E4587,E771:E4587,"&lt;=" &amp; F771)</f>
        <v>-2.9603305295126191E-2</v>
      </c>
    </row>
    <row r="772" spans="1:38" x14ac:dyDescent="0.35">
      <c r="A772" t="s">
        <v>51</v>
      </c>
      <c r="E772">
        <v>-1.0722996528372096E-2</v>
      </c>
      <c r="F772">
        <f t="shared" ref="F772:F835" si="35">_xlfn.PERCENTILE.EXC(E772:E4587,0.05)</f>
        <v>-1.8478804843847518E-2</v>
      </c>
      <c r="G772">
        <f t="shared" si="34"/>
        <v>-2.9603305295126191E-2</v>
      </c>
    </row>
    <row r="773" spans="1:38" x14ac:dyDescent="0.35">
      <c r="A773" t="s">
        <v>52</v>
      </c>
      <c r="B773" s="3" cm="1">
        <f t="array" ref="B773">_xlfn.STDEV.S(_xlfn._xlws.FILTER($E$2:$E$1000, $A$2:$A$1000="2013-02"))</f>
        <v>1.5117238389739456E-2</v>
      </c>
      <c r="C773" s="3" cm="1">
        <f t="array" ref="C773">AVERAGE(_xlfn._xlws.FILTER($E$2:$E$1000, $A$2:$A$1000="2013-02"))</f>
        <v>-1.3011061089828236E-3</v>
      </c>
      <c r="D773" s="3" cm="1">
        <f t="array" ref="D773">_xlfn.PERCENTILE.EXC(_xlfn._xlws.FILTER($E$751:$E$999, $A$751:$A$999="2013-02"), 0.05)</f>
        <v>-3.1798527330357242E-2</v>
      </c>
      <c r="E773">
        <v>2.6232866702502627E-3</v>
      </c>
      <c r="F773">
        <f t="shared" si="35"/>
        <v>-1.8479196254432832E-2</v>
      </c>
      <c r="G773">
        <f t="shared" si="34"/>
        <v>-2.9603305295126191E-2</v>
      </c>
      <c r="AI773" s="3"/>
      <c r="AJ773" s="3"/>
      <c r="AK773" s="3"/>
      <c r="AL773" s="3"/>
    </row>
    <row r="774" spans="1:38" x14ac:dyDescent="0.35">
      <c r="A774" t="s">
        <v>52</v>
      </c>
      <c r="E774">
        <v>-3.1832498899709689E-2</v>
      </c>
      <c r="F774">
        <f t="shared" si="35"/>
        <v>-1.8479587665018143E-2</v>
      </c>
      <c r="G774">
        <f t="shared" si="34"/>
        <v>-2.9603305295126191E-2</v>
      </c>
    </row>
    <row r="775" spans="1:38" x14ac:dyDescent="0.35">
      <c r="A775" t="s">
        <v>52</v>
      </c>
      <c r="E775">
        <v>9.870483708546391E-3</v>
      </c>
      <c r="F775">
        <f t="shared" si="35"/>
        <v>-1.8459986388761989E-2</v>
      </c>
      <c r="G775">
        <f t="shared" si="34"/>
        <v>-2.9515421143922992E-2</v>
      </c>
    </row>
    <row r="776" spans="1:38" x14ac:dyDescent="0.35">
      <c r="A776" t="s">
        <v>52</v>
      </c>
      <c r="E776">
        <v>-1.2853784029722324E-2</v>
      </c>
      <c r="F776">
        <f t="shared" si="35"/>
        <v>-1.8462810694374346E-2</v>
      </c>
      <c r="G776">
        <f t="shared" si="34"/>
        <v>-2.9515421143922992E-2</v>
      </c>
    </row>
    <row r="777" spans="1:38" x14ac:dyDescent="0.35">
      <c r="A777" t="s">
        <v>52</v>
      </c>
      <c r="E777">
        <v>-7.451230673544371E-3</v>
      </c>
      <c r="F777">
        <f t="shared" si="35"/>
        <v>-1.8465634999986703E-2</v>
      </c>
      <c r="G777">
        <f t="shared" si="34"/>
        <v>-2.9515421143922992E-2</v>
      </c>
    </row>
    <row r="778" spans="1:38" x14ac:dyDescent="0.35">
      <c r="A778" t="s">
        <v>52</v>
      </c>
      <c r="E778">
        <v>1.2386783268760779E-2</v>
      </c>
      <c r="F778">
        <f t="shared" si="35"/>
        <v>-1.8468459305599063E-2</v>
      </c>
      <c r="G778">
        <f t="shared" si="34"/>
        <v>-2.9515421143922992E-2</v>
      </c>
    </row>
    <row r="779" spans="1:38" x14ac:dyDescent="0.35">
      <c r="A779" t="s">
        <v>52</v>
      </c>
      <c r="E779">
        <v>-2.9279030075205895E-3</v>
      </c>
      <c r="F779">
        <f t="shared" si="35"/>
        <v>-1.847128361121142E-2</v>
      </c>
      <c r="G779">
        <f t="shared" si="34"/>
        <v>-2.9515421143922992E-2</v>
      </c>
    </row>
    <row r="780" spans="1:38" x14ac:dyDescent="0.35">
      <c r="A780" t="s">
        <v>52</v>
      </c>
      <c r="E780">
        <v>9.9480279522735793E-3</v>
      </c>
      <c r="F780">
        <f t="shared" si="35"/>
        <v>-1.8474107916823777E-2</v>
      </c>
      <c r="G780">
        <f t="shared" si="34"/>
        <v>-2.9515421143922992E-2</v>
      </c>
    </row>
    <row r="781" spans="1:38" x14ac:dyDescent="0.35">
      <c r="A781" t="s">
        <v>52</v>
      </c>
      <c r="E781">
        <v>3.0269413143830491E-3</v>
      </c>
      <c r="F781">
        <f t="shared" si="35"/>
        <v>-1.8474499327409088E-2</v>
      </c>
      <c r="G781">
        <f t="shared" si="34"/>
        <v>-2.9588542423572659E-2</v>
      </c>
    </row>
    <row r="782" spans="1:38" x14ac:dyDescent="0.35">
      <c r="A782" t="s">
        <v>52</v>
      </c>
      <c r="E782">
        <v>-8.1289738875281927E-3</v>
      </c>
      <c r="F782">
        <f t="shared" si="35"/>
        <v>-1.8474890737994399E-2</v>
      </c>
      <c r="G782">
        <f t="shared" si="34"/>
        <v>-2.9588542423572659E-2</v>
      </c>
    </row>
    <row r="783" spans="1:38" x14ac:dyDescent="0.35">
      <c r="A783" t="s">
        <v>52</v>
      </c>
      <c r="E783">
        <v>-7.6524815363917791E-3</v>
      </c>
      <c r="F783">
        <f t="shared" si="35"/>
        <v>-1.8475282148579714E-2</v>
      </c>
      <c r="G783">
        <f t="shared" si="34"/>
        <v>-2.9588542423572659E-2</v>
      </c>
    </row>
    <row r="784" spans="1:38" x14ac:dyDescent="0.35">
      <c r="A784" t="s">
        <v>52</v>
      </c>
      <c r="E784">
        <v>5.3135471852691087E-4</v>
      </c>
      <c r="F784">
        <f t="shared" si="35"/>
        <v>-1.8475673559165025E-2</v>
      </c>
      <c r="G784">
        <f t="shared" si="34"/>
        <v>-2.9588542423572659E-2</v>
      </c>
    </row>
    <row r="785" spans="1:38" x14ac:dyDescent="0.35">
      <c r="A785" t="s">
        <v>52</v>
      </c>
      <c r="E785">
        <v>1.7321829873250458E-2</v>
      </c>
      <c r="F785">
        <f t="shared" si="35"/>
        <v>-1.8476064969750336E-2</v>
      </c>
      <c r="G785">
        <f t="shared" si="34"/>
        <v>-2.9588542423572659E-2</v>
      </c>
    </row>
    <row r="786" spans="1:38" x14ac:dyDescent="0.35">
      <c r="A786" t="s">
        <v>52</v>
      </c>
      <c r="E786">
        <v>-8.3052194240100623E-3</v>
      </c>
      <c r="F786">
        <f t="shared" si="35"/>
        <v>-1.8476456380335647E-2</v>
      </c>
      <c r="G786">
        <f t="shared" si="34"/>
        <v>-2.9588542423572659E-2</v>
      </c>
    </row>
    <row r="787" spans="1:38" x14ac:dyDescent="0.35">
      <c r="A787" t="s">
        <v>52</v>
      </c>
      <c r="E787">
        <v>-2.3215112777630668E-2</v>
      </c>
      <c r="F787">
        <f t="shared" si="35"/>
        <v>-1.8476847790920958E-2</v>
      </c>
      <c r="G787">
        <f t="shared" si="34"/>
        <v>-2.9588542423572659E-2</v>
      </c>
    </row>
    <row r="788" spans="1:38" x14ac:dyDescent="0.35">
      <c r="A788" t="s">
        <v>52</v>
      </c>
      <c r="E788">
        <v>1.9306486065022103E-2</v>
      </c>
      <c r="F788">
        <f t="shared" si="35"/>
        <v>-1.8440216249475488E-2</v>
      </c>
      <c r="G788">
        <f t="shared" si="34"/>
        <v>-2.9557145040388498E-2</v>
      </c>
    </row>
    <row r="789" spans="1:38" x14ac:dyDescent="0.35">
      <c r="A789" t="s">
        <v>52</v>
      </c>
      <c r="E789">
        <v>8.2584231674459746E-3</v>
      </c>
      <c r="F789">
        <f t="shared" si="35"/>
        <v>-1.8443040555087845E-2</v>
      </c>
      <c r="G789">
        <f t="shared" si="34"/>
        <v>-2.9557145040388498E-2</v>
      </c>
    </row>
    <row r="790" spans="1:38" x14ac:dyDescent="0.35">
      <c r="A790" t="s">
        <v>52</v>
      </c>
      <c r="E790">
        <v>-3.1153067512660677E-2</v>
      </c>
      <c r="F790">
        <f t="shared" si="35"/>
        <v>-1.8445864860700201E-2</v>
      </c>
      <c r="G790">
        <f t="shared" si="34"/>
        <v>-2.9557145040388498E-2</v>
      </c>
    </row>
    <row r="791" spans="1:38" x14ac:dyDescent="0.35">
      <c r="A791" t="s">
        <v>52</v>
      </c>
      <c r="E791">
        <v>1.5965884133681659E-2</v>
      </c>
      <c r="F791">
        <f t="shared" si="35"/>
        <v>-1.839776416690837E-2</v>
      </c>
      <c r="G791">
        <f t="shared" si="34"/>
        <v>-2.947280434033497E-2</v>
      </c>
    </row>
    <row r="792" spans="1:38" x14ac:dyDescent="0.35">
      <c r="A792" t="s">
        <v>52</v>
      </c>
      <c r="E792">
        <v>8.2586486969207038E-3</v>
      </c>
      <c r="F792">
        <f t="shared" si="35"/>
        <v>-1.8399970571093733E-2</v>
      </c>
      <c r="G792">
        <f t="shared" si="34"/>
        <v>-2.947280434033497E-2</v>
      </c>
    </row>
    <row r="793" spans="1:38" x14ac:dyDescent="0.35">
      <c r="A793" t="s">
        <v>53</v>
      </c>
      <c r="B793" s="3" cm="1">
        <f t="array" ref="B793">_xlfn.STDEV.S(_xlfn._xlws.FILTER($E$2:$E$1000, $A$2:$A$1000="2013-03"))</f>
        <v>9.9909665747624724E-3</v>
      </c>
      <c r="C793" s="3" cm="1">
        <f t="array" ref="C793">AVERAGE(_xlfn._xlws.FILTER($E$2:$E$1000, $A$2:$A$1000="2013-03"))</f>
        <v>-1.8126264485875706E-4</v>
      </c>
      <c r="D793" s="3" cm="1">
        <f t="array" ref="D793">_xlfn.PERCENTILE.EXC(_xlfn._xlws.FILTER($E$751:$E$999, $A$751:$A$999="2013-03"), 0.05)</f>
        <v>-1.2447787303425278E-2</v>
      </c>
      <c r="E793">
        <v>-6.3996561483341593E-3</v>
      </c>
      <c r="F793">
        <f t="shared" si="35"/>
        <v>-1.8402176975279096E-2</v>
      </c>
      <c r="G793">
        <f t="shared" si="34"/>
        <v>-2.947280434033497E-2</v>
      </c>
      <c r="AI793" s="3"/>
      <c r="AJ793" s="3"/>
      <c r="AK793" s="3"/>
      <c r="AL793" s="3"/>
    </row>
    <row r="794" spans="1:38" x14ac:dyDescent="0.35">
      <c r="A794" t="s">
        <v>53</v>
      </c>
      <c r="E794">
        <v>1.1572550288675197E-3</v>
      </c>
      <c r="F794">
        <f t="shared" si="35"/>
        <v>-1.8404383379464456E-2</v>
      </c>
      <c r="G794">
        <f t="shared" si="34"/>
        <v>-2.947280434033497E-2</v>
      </c>
    </row>
    <row r="795" spans="1:38" x14ac:dyDescent="0.35">
      <c r="A795" t="s">
        <v>53</v>
      </c>
      <c r="E795">
        <v>2.3852680976134188E-2</v>
      </c>
      <c r="F795">
        <f t="shared" si="35"/>
        <v>-1.840658978364982E-2</v>
      </c>
      <c r="G795">
        <f t="shared" si="34"/>
        <v>-2.947280434033497E-2</v>
      </c>
    </row>
    <row r="796" spans="1:38" x14ac:dyDescent="0.35">
      <c r="A796" t="s">
        <v>53</v>
      </c>
      <c r="E796">
        <v>-1.1672768535719424E-3</v>
      </c>
      <c r="F796">
        <f t="shared" si="35"/>
        <v>-1.840879618783518E-2</v>
      </c>
      <c r="G796">
        <f t="shared" si="34"/>
        <v>-2.947280434033497E-2</v>
      </c>
    </row>
    <row r="797" spans="1:38" x14ac:dyDescent="0.35">
      <c r="A797" t="s">
        <v>53</v>
      </c>
      <c r="E797">
        <v>4.0813799267862497E-3</v>
      </c>
      <c r="F797">
        <f t="shared" si="35"/>
        <v>-1.8411002592020539E-2</v>
      </c>
      <c r="G797">
        <f t="shared" si="34"/>
        <v>-2.947280434033497E-2</v>
      </c>
    </row>
    <row r="798" spans="1:38" x14ac:dyDescent="0.35">
      <c r="A798" t="s">
        <v>53</v>
      </c>
      <c r="E798">
        <v>1.3997494035402697E-2</v>
      </c>
      <c r="F798">
        <f t="shared" si="35"/>
        <v>-1.8413208996205903E-2</v>
      </c>
      <c r="G798">
        <f t="shared" si="34"/>
        <v>-2.947280434033497E-2</v>
      </c>
    </row>
    <row r="799" spans="1:38" x14ac:dyDescent="0.35">
      <c r="A799" t="s">
        <v>53</v>
      </c>
      <c r="E799">
        <v>-3.6971197635278777E-3</v>
      </c>
      <c r="F799">
        <f t="shared" si="35"/>
        <v>-1.8415415400391263E-2</v>
      </c>
      <c r="G799">
        <f t="shared" si="34"/>
        <v>-2.947280434033497E-2</v>
      </c>
    </row>
    <row r="800" spans="1:38" x14ac:dyDescent="0.35">
      <c r="A800" t="s">
        <v>53</v>
      </c>
      <c r="E800">
        <v>-2.5264442889509149E-3</v>
      </c>
      <c r="F800">
        <f t="shared" si="35"/>
        <v>-1.8417621804576626E-2</v>
      </c>
      <c r="G800">
        <f t="shared" si="34"/>
        <v>-2.947280434033497E-2</v>
      </c>
    </row>
    <row r="801" spans="1:38" x14ac:dyDescent="0.35">
      <c r="A801" t="s">
        <v>53</v>
      </c>
      <c r="E801">
        <v>-2.6289666545319381E-3</v>
      </c>
      <c r="F801">
        <f t="shared" si="35"/>
        <v>-1.8420446110188983E-2</v>
      </c>
      <c r="G801">
        <f t="shared" si="34"/>
        <v>-2.9546505557240029E-2</v>
      </c>
    </row>
    <row r="802" spans="1:38" x14ac:dyDescent="0.35">
      <c r="A802" t="s">
        <v>53</v>
      </c>
      <c r="E802">
        <v>1.4669687211998027E-2</v>
      </c>
      <c r="F802">
        <f t="shared" si="35"/>
        <v>-1.842327041580134E-2</v>
      </c>
      <c r="G802">
        <f t="shared" si="34"/>
        <v>-2.9546505557240029E-2</v>
      </c>
    </row>
    <row r="803" spans="1:38" x14ac:dyDescent="0.35">
      <c r="A803" t="s">
        <v>53</v>
      </c>
      <c r="E803">
        <v>-6.9391659727739115E-3</v>
      </c>
      <c r="F803">
        <f t="shared" si="35"/>
        <v>-1.84260947214137E-2</v>
      </c>
      <c r="G803">
        <f t="shared" si="34"/>
        <v>-2.9546505557240029E-2</v>
      </c>
    </row>
    <row r="804" spans="1:38" x14ac:dyDescent="0.35">
      <c r="A804" t="s">
        <v>53</v>
      </c>
      <c r="E804">
        <v>-7.4569638828918235E-3</v>
      </c>
      <c r="F804">
        <f t="shared" si="35"/>
        <v>-1.8428919027026057E-2</v>
      </c>
      <c r="G804">
        <f t="shared" si="34"/>
        <v>-2.9546505557240029E-2</v>
      </c>
    </row>
    <row r="805" spans="1:38" x14ac:dyDescent="0.35">
      <c r="A805" t="s">
        <v>53</v>
      </c>
      <c r="E805">
        <v>-1.2463364013329774E-2</v>
      </c>
      <c r="F805">
        <f t="shared" si="35"/>
        <v>-1.8431743332638414E-2</v>
      </c>
      <c r="G805">
        <f t="shared" si="34"/>
        <v>-2.9546505557240029E-2</v>
      </c>
    </row>
    <row r="806" spans="1:38" x14ac:dyDescent="0.35">
      <c r="A806" t="s">
        <v>53</v>
      </c>
      <c r="E806">
        <v>1.3730362928751063E-2</v>
      </c>
      <c r="F806">
        <f t="shared" si="35"/>
        <v>-1.8434567638250771E-2</v>
      </c>
      <c r="G806">
        <f t="shared" si="34"/>
        <v>-2.9546505557240029E-2</v>
      </c>
    </row>
    <row r="807" spans="1:38" x14ac:dyDescent="0.35">
      <c r="A807" t="s">
        <v>53</v>
      </c>
      <c r="E807">
        <v>-9.2642360253120792E-3</v>
      </c>
      <c r="F807">
        <f t="shared" si="35"/>
        <v>-1.8437391943863127E-2</v>
      </c>
      <c r="G807">
        <f t="shared" si="34"/>
        <v>-2.9546505557240029E-2</v>
      </c>
    </row>
    <row r="808" spans="1:38" x14ac:dyDescent="0.35">
      <c r="A808" t="s">
        <v>53</v>
      </c>
      <c r="E808">
        <v>-8.3867762236162948E-4</v>
      </c>
      <c r="F808">
        <f t="shared" si="35"/>
        <v>-1.8440216249475488E-2</v>
      </c>
      <c r="G808">
        <f t="shared" si="34"/>
        <v>-2.9546505557240029E-2</v>
      </c>
    </row>
    <row r="809" spans="1:38" x14ac:dyDescent="0.35">
      <c r="A809" t="s">
        <v>53</v>
      </c>
      <c r="E809">
        <v>-1.2151829815239865E-2</v>
      </c>
      <c r="F809">
        <f t="shared" si="35"/>
        <v>-1.8443040555087845E-2</v>
      </c>
      <c r="G809">
        <f t="shared" si="34"/>
        <v>-2.9546505557240029E-2</v>
      </c>
    </row>
    <row r="810" spans="1:38" x14ac:dyDescent="0.35">
      <c r="A810" t="s">
        <v>53</v>
      </c>
      <c r="E810">
        <v>-3.0848353512102624E-3</v>
      </c>
      <c r="F810">
        <f t="shared" si="35"/>
        <v>-1.8445864860700201E-2</v>
      </c>
      <c r="G810">
        <f t="shared" si="34"/>
        <v>-2.9546505557240029E-2</v>
      </c>
    </row>
    <row r="811" spans="1:38" x14ac:dyDescent="0.35">
      <c r="A811" t="s">
        <v>53</v>
      </c>
      <c r="E811">
        <v>-1.0910763448163734E-2</v>
      </c>
      <c r="F811">
        <f t="shared" si="35"/>
        <v>-1.8448689166312558E-2</v>
      </c>
      <c r="G811">
        <f t="shared" si="34"/>
        <v>-2.9546505557240029E-2</v>
      </c>
    </row>
    <row r="812" spans="1:38" x14ac:dyDescent="0.35">
      <c r="A812" t="s">
        <v>53</v>
      </c>
      <c r="E812">
        <v>4.4151868350850313E-3</v>
      </c>
      <c r="F812">
        <f t="shared" si="35"/>
        <v>-1.8451513471924915E-2</v>
      </c>
      <c r="G812">
        <f t="shared" si="34"/>
        <v>-2.9546505557240029E-2</v>
      </c>
    </row>
    <row r="813" spans="1:38" x14ac:dyDescent="0.35">
      <c r="A813" t="s">
        <v>54</v>
      </c>
      <c r="B813" s="3" cm="1">
        <f t="array" ref="B813">_xlfn.STDEV.S(_xlfn._xlws.FILTER($E$2:$E$1000, $A$2:$A$1000="2013-04"))</f>
        <v>1.3608313258730577E-2</v>
      </c>
      <c r="C813" s="3" cm="1">
        <f t="array" ref="C813">AVERAGE(_xlfn._xlws.FILTER($E$2:$E$1000, $A$2:$A$1000="2013-04"))</f>
        <v>1.5704227178159028E-3</v>
      </c>
      <c r="D813" s="3" cm="1">
        <f t="array" ref="D813">_xlfn.PERCENTILE.EXC(_xlfn._xlws.FILTER($E$751:$E$999, $A$751:$A$999="2013-04"), 0.05)</f>
        <v>-2.099849305151838E-2</v>
      </c>
      <c r="E813">
        <v>2.1034671868355455E-2</v>
      </c>
      <c r="F813">
        <f t="shared" si="35"/>
        <v>-1.8454337777537275E-2</v>
      </c>
      <c r="G813">
        <f t="shared" si="34"/>
        <v>-2.9546505557240029E-2</v>
      </c>
      <c r="AI813" s="3"/>
      <c r="AJ813" s="3"/>
      <c r="AK813" s="3"/>
      <c r="AL813" s="3"/>
    </row>
    <row r="814" spans="1:38" x14ac:dyDescent="0.35">
      <c r="A814" t="s">
        <v>54</v>
      </c>
      <c r="E814">
        <v>-1.5338318044228859E-2</v>
      </c>
      <c r="F814">
        <f t="shared" si="35"/>
        <v>-1.8457162083149632E-2</v>
      </c>
      <c r="G814">
        <f t="shared" si="34"/>
        <v>-2.9546505557240029E-2</v>
      </c>
    </row>
    <row r="815" spans="1:38" x14ac:dyDescent="0.35">
      <c r="A815" t="s">
        <v>54</v>
      </c>
      <c r="E815">
        <v>-6.6838764238963443E-3</v>
      </c>
      <c r="F815">
        <f t="shared" si="35"/>
        <v>-1.8459986388761989E-2</v>
      </c>
      <c r="G815">
        <f t="shared" si="34"/>
        <v>-2.9546505557240029E-2</v>
      </c>
    </row>
    <row r="816" spans="1:38" x14ac:dyDescent="0.35">
      <c r="A816" t="s">
        <v>54</v>
      </c>
      <c r="E816">
        <v>-1.3886151095038652E-2</v>
      </c>
      <c r="F816">
        <f t="shared" si="35"/>
        <v>-1.8462810694374346E-2</v>
      </c>
      <c r="G816">
        <f t="shared" si="34"/>
        <v>-2.9546505557240029E-2</v>
      </c>
    </row>
    <row r="817" spans="1:7" x14ac:dyDescent="0.35">
      <c r="A817" t="s">
        <v>54</v>
      </c>
      <c r="E817">
        <v>1.5344391776443925E-3</v>
      </c>
      <c r="F817">
        <f t="shared" si="35"/>
        <v>-1.8465634999986703E-2</v>
      </c>
      <c r="G817">
        <f t="shared" si="34"/>
        <v>-2.9546505557240029E-2</v>
      </c>
    </row>
    <row r="818" spans="1:7" x14ac:dyDescent="0.35">
      <c r="A818" t="s">
        <v>54</v>
      </c>
      <c r="E818">
        <v>2.2683532153349238E-3</v>
      </c>
      <c r="F818">
        <f t="shared" si="35"/>
        <v>-1.8468459305599063E-2</v>
      </c>
      <c r="G818">
        <f t="shared" si="34"/>
        <v>-2.9546505557240029E-2</v>
      </c>
    </row>
    <row r="819" spans="1:7" x14ac:dyDescent="0.35">
      <c r="A819" t="s">
        <v>54</v>
      </c>
      <c r="E819">
        <v>2.5298348268838283E-2</v>
      </c>
      <c r="F819">
        <f t="shared" si="35"/>
        <v>-1.847128361121142E-2</v>
      </c>
      <c r="G819">
        <f t="shared" si="34"/>
        <v>-2.9546505557240029E-2</v>
      </c>
    </row>
    <row r="820" spans="1:7" x14ac:dyDescent="0.35">
      <c r="A820" t="s">
        <v>54</v>
      </c>
      <c r="E820">
        <v>4.7639217150556986E-3</v>
      </c>
      <c r="F820">
        <f t="shared" si="35"/>
        <v>-1.8474107916823777E-2</v>
      </c>
      <c r="G820">
        <f t="shared" si="34"/>
        <v>-2.9546505557240029E-2</v>
      </c>
    </row>
    <row r="821" spans="1:7" x14ac:dyDescent="0.35">
      <c r="A821" t="s">
        <v>54</v>
      </c>
      <c r="E821">
        <v>-1.5396513493729433E-2</v>
      </c>
      <c r="F821">
        <f t="shared" si="35"/>
        <v>-1.8474499327409088E-2</v>
      </c>
      <c r="G821">
        <f t="shared" si="34"/>
        <v>-2.9620816950799867E-2</v>
      </c>
    </row>
    <row r="822" spans="1:7" x14ac:dyDescent="0.35">
      <c r="A822" t="s">
        <v>54</v>
      </c>
      <c r="E822">
        <v>-3.3319544421834559E-3</v>
      </c>
      <c r="F822">
        <f t="shared" si="35"/>
        <v>-1.8474890737994399E-2</v>
      </c>
      <c r="G822">
        <f t="shared" si="34"/>
        <v>-2.9620816950799867E-2</v>
      </c>
    </row>
    <row r="823" spans="1:7" x14ac:dyDescent="0.35">
      <c r="A823" t="s">
        <v>54</v>
      </c>
      <c r="E823">
        <v>-5.888427621127834E-3</v>
      </c>
      <c r="F823">
        <f t="shared" si="35"/>
        <v>-1.8475282148579714E-2</v>
      </c>
      <c r="G823">
        <f t="shared" si="34"/>
        <v>-2.9620816950799867E-2</v>
      </c>
    </row>
    <row r="824" spans="1:7" x14ac:dyDescent="0.35">
      <c r="A824" t="s">
        <v>54</v>
      </c>
      <c r="E824">
        <v>-2.1620935224606039E-2</v>
      </c>
      <c r="F824">
        <f t="shared" si="35"/>
        <v>-1.8475673559165025E-2</v>
      </c>
      <c r="G824">
        <f t="shared" si="34"/>
        <v>-2.9620816950799867E-2</v>
      </c>
    </row>
    <row r="825" spans="1:7" x14ac:dyDescent="0.35">
      <c r="A825" t="s">
        <v>54</v>
      </c>
      <c r="E825">
        <v>7.868483217639288E-4</v>
      </c>
      <c r="F825">
        <f t="shared" si="35"/>
        <v>-1.8431743332638414E-2</v>
      </c>
      <c r="G825">
        <f t="shared" si="34"/>
        <v>-2.9599697304438909E-2</v>
      </c>
    </row>
    <row r="826" spans="1:7" x14ac:dyDescent="0.35">
      <c r="A826" t="s">
        <v>54</v>
      </c>
      <c r="E826">
        <v>7.6637688814759491E-3</v>
      </c>
      <c r="F826">
        <f t="shared" si="35"/>
        <v>-1.8434567638250771E-2</v>
      </c>
      <c r="G826">
        <f t="shared" si="34"/>
        <v>-2.9599697304438909E-2</v>
      </c>
    </row>
    <row r="827" spans="1:7" x14ac:dyDescent="0.35">
      <c r="A827" t="s">
        <v>54</v>
      </c>
      <c r="E827">
        <v>3.279848174943882E-3</v>
      </c>
      <c r="F827">
        <f t="shared" si="35"/>
        <v>-1.8437391943863127E-2</v>
      </c>
      <c r="G827">
        <f t="shared" si="34"/>
        <v>-2.9599697304438909E-2</v>
      </c>
    </row>
    <row r="828" spans="1:7" x14ac:dyDescent="0.35">
      <c r="A828" t="s">
        <v>54</v>
      </c>
      <c r="E828">
        <v>3.021672757366247E-2</v>
      </c>
      <c r="F828">
        <f t="shared" si="35"/>
        <v>-1.8440216249475488E-2</v>
      </c>
      <c r="G828">
        <f t="shared" si="34"/>
        <v>-2.9599697304438909E-2</v>
      </c>
    </row>
    <row r="829" spans="1:7" x14ac:dyDescent="0.35">
      <c r="A829" t="s">
        <v>54</v>
      </c>
      <c r="E829">
        <v>1.4602500321766789E-2</v>
      </c>
      <c r="F829">
        <f t="shared" si="35"/>
        <v>-1.8443040555087845E-2</v>
      </c>
      <c r="G829">
        <f t="shared" si="34"/>
        <v>-2.9599697304438909E-2</v>
      </c>
    </row>
    <row r="830" spans="1:7" x14ac:dyDescent="0.35">
      <c r="A830" t="s">
        <v>54</v>
      </c>
      <c r="E830">
        <v>8.7302972736142456E-4</v>
      </c>
      <c r="F830">
        <f t="shared" si="35"/>
        <v>-1.8445864860700201E-2</v>
      </c>
      <c r="G830">
        <f t="shared" si="34"/>
        <v>-2.9599697304438909E-2</v>
      </c>
    </row>
    <row r="831" spans="1:7" x14ac:dyDescent="0.35">
      <c r="A831" t="s">
        <v>54</v>
      </c>
      <c r="E831">
        <v>-7.7879469472040639E-3</v>
      </c>
      <c r="F831">
        <f t="shared" si="35"/>
        <v>-1.8448689166312558E-2</v>
      </c>
      <c r="G831">
        <f t="shared" si="34"/>
        <v>-2.9599697304438909E-2</v>
      </c>
    </row>
    <row r="832" spans="1:7" x14ac:dyDescent="0.35">
      <c r="A832" t="s">
        <v>54</v>
      </c>
      <c r="E832">
        <v>1.2572353846349643E-2</v>
      </c>
      <c r="F832">
        <f t="shared" si="35"/>
        <v>-1.8451513471924915E-2</v>
      </c>
      <c r="G832">
        <f t="shared" si="34"/>
        <v>-2.9599697304438909E-2</v>
      </c>
    </row>
    <row r="833" spans="1:38" x14ac:dyDescent="0.35">
      <c r="A833" t="s">
        <v>54</v>
      </c>
      <c r="E833">
        <v>-1.9818107264042029E-3</v>
      </c>
      <c r="F833">
        <f t="shared" si="35"/>
        <v>-1.8454337777537275E-2</v>
      </c>
      <c r="G833">
        <f t="shared" si="34"/>
        <v>-2.9599697304438909E-2</v>
      </c>
    </row>
    <row r="834" spans="1:38" x14ac:dyDescent="0.35">
      <c r="A834" t="s">
        <v>55</v>
      </c>
      <c r="B834" s="3" cm="1">
        <f t="array" ref="B834">_xlfn.STDEV.S(_xlfn._xlws.FILTER($E$2:$E$1000, $A$2:$A$1000="2013-05"))</f>
        <v>1.0232628073246612E-2</v>
      </c>
      <c r="C834" s="3" cm="1">
        <f t="array" ref="C834">AVERAGE(_xlfn._xlws.FILTER($E$2:$E$1000, $A$2:$A$1000="2013-05"))</f>
        <v>1.0515488888070683E-3</v>
      </c>
      <c r="D834" s="3" cm="1">
        <f t="array" ref="D834">_xlfn.PERCENTILE.EXC(_xlfn._xlws.FILTER($E$751:$E$999, $A$751:$A$999="2013-05"), 0.05)</f>
        <v>-2.059321170879504E-2</v>
      </c>
      <c r="E834">
        <v>2.5410166685596301E-3</v>
      </c>
      <c r="F834">
        <f t="shared" si="35"/>
        <v>-1.8457162083149632E-2</v>
      </c>
      <c r="G834">
        <f t="shared" si="34"/>
        <v>-2.9599697304438909E-2</v>
      </c>
      <c r="AI834" s="3"/>
      <c r="AJ834" s="3"/>
      <c r="AK834" s="3"/>
      <c r="AL834" s="3"/>
    </row>
    <row r="835" spans="1:38" x14ac:dyDescent="0.35">
      <c r="A835" t="s">
        <v>55</v>
      </c>
      <c r="E835">
        <v>1.6335738216128513E-2</v>
      </c>
      <c r="F835">
        <f t="shared" si="35"/>
        <v>-1.8459986388761989E-2</v>
      </c>
      <c r="G835">
        <f t="shared" ref="G835:G898" si="36">AVERAGEIFS(E835:E4651,E835:E4651,"&lt;=" &amp; F835)</f>
        <v>-2.9599697304438909E-2</v>
      </c>
    </row>
    <row r="836" spans="1:38" x14ac:dyDescent="0.35">
      <c r="A836" t="s">
        <v>55</v>
      </c>
      <c r="E836">
        <v>1.9520101051390161E-3</v>
      </c>
      <c r="F836">
        <f t="shared" ref="F836:F899" si="37">_xlfn.PERCENTILE.EXC(E836:E4651,0.05)</f>
        <v>-1.8462810694374346E-2</v>
      </c>
      <c r="G836">
        <f t="shared" si="36"/>
        <v>-2.9599697304438909E-2</v>
      </c>
    </row>
    <row r="837" spans="1:38" x14ac:dyDescent="0.35">
      <c r="A837" t="s">
        <v>55</v>
      </c>
      <c r="E837">
        <v>5.5962837594023436E-3</v>
      </c>
      <c r="F837">
        <f t="shared" si="37"/>
        <v>-1.8465634999986703E-2</v>
      </c>
      <c r="G837">
        <f t="shared" si="36"/>
        <v>-2.9599697304438909E-2</v>
      </c>
    </row>
    <row r="838" spans="1:38" x14ac:dyDescent="0.35">
      <c r="A838" t="s">
        <v>55</v>
      </c>
      <c r="E838">
        <v>-4.1239546155774805E-3</v>
      </c>
      <c r="F838">
        <f t="shared" si="37"/>
        <v>-1.8468459305599063E-2</v>
      </c>
      <c r="G838">
        <f t="shared" si="36"/>
        <v>-2.9599697304438909E-2</v>
      </c>
    </row>
    <row r="839" spans="1:38" x14ac:dyDescent="0.35">
      <c r="A839" t="s">
        <v>55</v>
      </c>
      <c r="E839">
        <v>4.346581397062281E-3</v>
      </c>
      <c r="F839">
        <f t="shared" si="37"/>
        <v>-1.847128361121142E-2</v>
      </c>
      <c r="G839">
        <f t="shared" si="36"/>
        <v>-2.9599697304438909E-2</v>
      </c>
    </row>
    <row r="840" spans="1:38" x14ac:dyDescent="0.35">
      <c r="A840" t="s">
        <v>55</v>
      </c>
      <c r="E840">
        <v>-2.8224078218689985E-3</v>
      </c>
      <c r="F840">
        <f t="shared" si="37"/>
        <v>-1.8474107916823777E-2</v>
      </c>
      <c r="G840">
        <f t="shared" si="36"/>
        <v>-2.9599697304438909E-2</v>
      </c>
    </row>
    <row r="841" spans="1:38" x14ac:dyDescent="0.35">
      <c r="A841" t="s">
        <v>55</v>
      </c>
      <c r="E841">
        <v>6.5458459252124915E-3</v>
      </c>
      <c r="F841">
        <f t="shared" si="37"/>
        <v>-1.8474499327409088E-2</v>
      </c>
      <c r="G841">
        <f t="shared" si="36"/>
        <v>-2.9674870205706583E-2</v>
      </c>
    </row>
    <row r="842" spans="1:38" x14ac:dyDescent="0.35">
      <c r="A842" t="s">
        <v>55</v>
      </c>
      <c r="E842">
        <v>4.9775222700920987E-3</v>
      </c>
      <c r="F842">
        <f t="shared" si="37"/>
        <v>-1.8474890737994399E-2</v>
      </c>
      <c r="G842">
        <f t="shared" si="36"/>
        <v>-2.9674870205706583E-2</v>
      </c>
    </row>
    <row r="843" spans="1:38" x14ac:dyDescent="0.35">
      <c r="A843" t="s">
        <v>55</v>
      </c>
      <c r="E843">
        <v>-1.0255899821378475E-3</v>
      </c>
      <c r="F843">
        <f t="shared" si="37"/>
        <v>-1.8475282148579714E-2</v>
      </c>
      <c r="G843">
        <f t="shared" si="36"/>
        <v>-2.9674870205706583E-2</v>
      </c>
    </row>
    <row r="844" spans="1:38" x14ac:dyDescent="0.35">
      <c r="A844" t="s">
        <v>55</v>
      </c>
      <c r="E844">
        <v>4.0144488539909191E-3</v>
      </c>
      <c r="F844">
        <f t="shared" si="37"/>
        <v>-1.8475673559165025E-2</v>
      </c>
      <c r="G844">
        <f t="shared" si="36"/>
        <v>-2.9674870205706583E-2</v>
      </c>
    </row>
    <row r="845" spans="1:38" x14ac:dyDescent="0.35">
      <c r="A845" t="s">
        <v>55</v>
      </c>
      <c r="E845">
        <v>2.3074929290274821E-3</v>
      </c>
      <c r="F845">
        <f t="shared" si="37"/>
        <v>-1.8476064969750336E-2</v>
      </c>
      <c r="G845">
        <f t="shared" si="36"/>
        <v>-2.9674870205706583E-2</v>
      </c>
    </row>
    <row r="846" spans="1:38" x14ac:dyDescent="0.35">
      <c r="A846" t="s">
        <v>55</v>
      </c>
      <c r="E846">
        <v>-1.0095375581774362E-3</v>
      </c>
      <c r="F846">
        <f t="shared" si="37"/>
        <v>-1.8476456380335647E-2</v>
      </c>
      <c r="G846">
        <f t="shared" si="36"/>
        <v>-2.9674870205706583E-2</v>
      </c>
    </row>
    <row r="847" spans="1:38" x14ac:dyDescent="0.35">
      <c r="A847" t="s">
        <v>55</v>
      </c>
      <c r="E847">
        <v>4.7236442853528082E-3</v>
      </c>
      <c r="F847">
        <f t="shared" si="37"/>
        <v>-1.8476847790920958E-2</v>
      </c>
      <c r="G847">
        <f t="shared" si="36"/>
        <v>-2.9674870205706583E-2</v>
      </c>
    </row>
    <row r="848" spans="1:38" x14ac:dyDescent="0.35">
      <c r="A848" t="s">
        <v>55</v>
      </c>
      <c r="E848">
        <v>-2.0753481506146341E-2</v>
      </c>
      <c r="F848">
        <f t="shared" si="37"/>
        <v>-1.8477239201506273E-2</v>
      </c>
      <c r="G848">
        <f t="shared" si="36"/>
        <v>-2.9674870205706583E-2</v>
      </c>
    </row>
    <row r="849" spans="1:38" x14ac:dyDescent="0.35">
      <c r="A849" t="s">
        <v>55</v>
      </c>
      <c r="E849">
        <v>-4.5081621973361991E-3</v>
      </c>
      <c r="F849">
        <f t="shared" si="37"/>
        <v>-1.8443040555087845E-2</v>
      </c>
      <c r="G849">
        <f t="shared" si="36"/>
        <v>-2.9659469032805752E-2</v>
      </c>
    </row>
    <row r="850" spans="1:38" x14ac:dyDescent="0.35">
      <c r="A850" t="s">
        <v>55</v>
      </c>
      <c r="E850">
        <v>2.5564947602204596E-2</v>
      </c>
      <c r="F850">
        <f t="shared" si="37"/>
        <v>-1.8445864860700201E-2</v>
      </c>
      <c r="G850">
        <f t="shared" si="36"/>
        <v>-2.9659469032805752E-2</v>
      </c>
    </row>
    <row r="851" spans="1:38" x14ac:dyDescent="0.35">
      <c r="A851" t="s">
        <v>55</v>
      </c>
      <c r="E851">
        <v>-1.7548085559120345E-2</v>
      </c>
      <c r="F851">
        <f t="shared" si="37"/>
        <v>-1.8448689166312558E-2</v>
      </c>
      <c r="G851">
        <f t="shared" si="36"/>
        <v>-2.9659469032805752E-2</v>
      </c>
    </row>
    <row r="852" spans="1:38" x14ac:dyDescent="0.35">
      <c r="A852" t="s">
        <v>55</v>
      </c>
      <c r="E852">
        <v>4.5329792213841969E-3</v>
      </c>
      <c r="F852">
        <f t="shared" si="37"/>
        <v>-1.8451513471924915E-2</v>
      </c>
      <c r="G852">
        <f t="shared" si="36"/>
        <v>-2.9659469032805752E-2</v>
      </c>
    </row>
    <row r="853" spans="1:38" x14ac:dyDescent="0.35">
      <c r="A853" t="s">
        <v>55</v>
      </c>
      <c r="E853">
        <v>-1.061631421705036E-2</v>
      </c>
      <c r="F853">
        <f t="shared" si="37"/>
        <v>-1.8454337777537275E-2</v>
      </c>
      <c r="G853">
        <f t="shared" si="36"/>
        <v>-2.9659469032805752E-2</v>
      </c>
    </row>
    <row r="854" spans="1:38" x14ac:dyDescent="0.35">
      <c r="A854" t="s">
        <v>56</v>
      </c>
      <c r="B854" s="3" cm="1">
        <f t="array" ref="B854">_xlfn.STDEV.S(_xlfn._xlws.FILTER($E$2:$E$1000, $A$2:$A$1000="2013-06"))</f>
        <v>1.3857654608789972E-2</v>
      </c>
      <c r="C854" s="3" cm="1">
        <f t="array" ref="C854">AVERAGE(_xlfn._xlws.FILTER($E$2:$E$1000, $A$2:$A$1000="2013-06"))</f>
        <v>-3.1105122406343581E-3</v>
      </c>
      <c r="D854" s="3" cm="1">
        <f t="array" ref="D854">_xlfn.PERCENTILE.EXC(_xlfn._xlws.FILTER($E$751:$E$999, $A$751:$A$999="2013-06"), 0.05)</f>
        <v>-3.6012270063664552E-2</v>
      </c>
      <c r="E854">
        <v>-7.9385922353198256E-3</v>
      </c>
      <c r="F854">
        <f t="shared" si="37"/>
        <v>-1.8457162083149632E-2</v>
      </c>
      <c r="G854">
        <f t="shared" si="36"/>
        <v>-2.9659469032805752E-2</v>
      </c>
      <c r="AI854" s="3"/>
      <c r="AJ854" s="3"/>
      <c r="AK854" s="3"/>
      <c r="AL854" s="3"/>
    </row>
    <row r="855" spans="1:38" x14ac:dyDescent="0.35">
      <c r="A855" t="s">
        <v>56</v>
      </c>
      <c r="E855">
        <v>2.8927381967383103E-3</v>
      </c>
      <c r="F855">
        <f t="shared" si="37"/>
        <v>-1.8459986388761989E-2</v>
      </c>
      <c r="G855">
        <f t="shared" si="36"/>
        <v>-2.9659469032805752E-2</v>
      </c>
    </row>
    <row r="856" spans="1:38" x14ac:dyDescent="0.35">
      <c r="A856" t="s">
        <v>56</v>
      </c>
      <c r="E856">
        <v>-1.6970121963410439E-2</v>
      </c>
      <c r="F856">
        <f t="shared" si="37"/>
        <v>-1.8462810694374346E-2</v>
      </c>
      <c r="G856">
        <f t="shared" si="36"/>
        <v>-2.9659469032805752E-2</v>
      </c>
    </row>
    <row r="857" spans="1:38" x14ac:dyDescent="0.35">
      <c r="A857" t="s">
        <v>56</v>
      </c>
      <c r="E857">
        <v>-1.2299757329022115E-2</v>
      </c>
      <c r="F857">
        <f t="shared" si="37"/>
        <v>-1.8465634999986703E-2</v>
      </c>
      <c r="G857">
        <f t="shared" si="36"/>
        <v>-2.9659469032805752E-2</v>
      </c>
    </row>
    <row r="858" spans="1:38" x14ac:dyDescent="0.35">
      <c r="A858" t="s">
        <v>56</v>
      </c>
      <c r="E858">
        <v>1.7729141908365137E-2</v>
      </c>
      <c r="F858">
        <f t="shared" si="37"/>
        <v>-1.8468459305599063E-2</v>
      </c>
      <c r="G858">
        <f t="shared" si="36"/>
        <v>-2.9659469032805752E-2</v>
      </c>
    </row>
    <row r="859" spans="1:38" x14ac:dyDescent="0.35">
      <c r="A859" t="s">
        <v>56</v>
      </c>
      <c r="E859">
        <v>-1.7194886921932141E-3</v>
      </c>
      <c r="F859">
        <f t="shared" si="37"/>
        <v>-1.847128361121142E-2</v>
      </c>
      <c r="G859">
        <f t="shared" si="36"/>
        <v>-2.9659469032805752E-2</v>
      </c>
    </row>
    <row r="860" spans="1:38" x14ac:dyDescent="0.35">
      <c r="A860" t="s">
        <v>56</v>
      </c>
      <c r="E860">
        <v>-1.3401155652641343E-2</v>
      </c>
      <c r="F860">
        <f t="shared" si="37"/>
        <v>-1.8474107916823777E-2</v>
      </c>
      <c r="G860">
        <f t="shared" si="36"/>
        <v>-2.9659469032805752E-2</v>
      </c>
    </row>
    <row r="861" spans="1:38" x14ac:dyDescent="0.35">
      <c r="A861" t="s">
        <v>56</v>
      </c>
      <c r="E861">
        <v>-6.2358605876365308E-3</v>
      </c>
      <c r="F861">
        <f t="shared" si="37"/>
        <v>-1.8474499327409088E-2</v>
      </c>
      <c r="G861">
        <f t="shared" si="36"/>
        <v>-2.9735559924751204E-2</v>
      </c>
    </row>
    <row r="862" spans="1:38" x14ac:dyDescent="0.35">
      <c r="A862" t="s">
        <v>56</v>
      </c>
      <c r="E862">
        <v>-1.8054781068447888E-3</v>
      </c>
      <c r="F862">
        <f t="shared" si="37"/>
        <v>-1.8474890737994399E-2</v>
      </c>
      <c r="G862">
        <f t="shared" si="36"/>
        <v>-2.9735559924751204E-2</v>
      </c>
    </row>
    <row r="863" spans="1:38" x14ac:dyDescent="0.35">
      <c r="A863" t="s">
        <v>56</v>
      </c>
      <c r="E863">
        <v>2.1054496118013996E-3</v>
      </c>
      <c r="F863">
        <f t="shared" si="37"/>
        <v>-1.8475282148579714E-2</v>
      </c>
      <c r="G863">
        <f t="shared" si="36"/>
        <v>-2.9735559924751204E-2</v>
      </c>
    </row>
    <row r="864" spans="1:38" x14ac:dyDescent="0.35">
      <c r="A864" t="s">
        <v>56</v>
      </c>
      <c r="E864">
        <v>1.3173350328694487E-2</v>
      </c>
      <c r="F864">
        <f t="shared" si="37"/>
        <v>-1.8475673559165025E-2</v>
      </c>
      <c r="G864">
        <f t="shared" si="36"/>
        <v>-2.9735559924751204E-2</v>
      </c>
    </row>
    <row r="865" spans="1:38" x14ac:dyDescent="0.35">
      <c r="A865" t="s">
        <v>56</v>
      </c>
      <c r="E865">
        <v>-6.5141518546345581E-4</v>
      </c>
      <c r="F865">
        <f t="shared" si="37"/>
        <v>-1.8476064969750336E-2</v>
      </c>
      <c r="G865">
        <f t="shared" si="36"/>
        <v>-2.9735559924751204E-2</v>
      </c>
    </row>
    <row r="866" spans="1:38" x14ac:dyDescent="0.35">
      <c r="A866" t="s">
        <v>56</v>
      </c>
      <c r="E866">
        <v>-6.295390630514733E-3</v>
      </c>
      <c r="F866">
        <f t="shared" si="37"/>
        <v>-1.8476456380335647E-2</v>
      </c>
      <c r="G866">
        <f t="shared" si="36"/>
        <v>-2.9735559924751204E-2</v>
      </c>
    </row>
    <row r="867" spans="1:38" x14ac:dyDescent="0.35">
      <c r="A867" t="s">
        <v>56</v>
      </c>
      <c r="E867">
        <v>-3.7014488384730558E-2</v>
      </c>
      <c r="F867">
        <f t="shared" si="37"/>
        <v>-1.8476847790920958E-2</v>
      </c>
      <c r="G867">
        <f t="shared" si="36"/>
        <v>-2.9735559924751204E-2</v>
      </c>
    </row>
    <row r="868" spans="1:38" x14ac:dyDescent="0.35">
      <c r="A868" t="s">
        <v>56</v>
      </c>
      <c r="E868">
        <v>-1.4396862325236017E-2</v>
      </c>
      <c r="F868">
        <f t="shared" si="37"/>
        <v>-1.8440216249475488E-2</v>
      </c>
      <c r="G868">
        <f t="shared" si="36"/>
        <v>-2.9609434887554562E-2</v>
      </c>
    </row>
    <row r="869" spans="1:38" x14ac:dyDescent="0.35">
      <c r="A869" t="s">
        <v>56</v>
      </c>
      <c r="E869">
        <v>-1.4877845650227511E-2</v>
      </c>
      <c r="F869">
        <f t="shared" si="37"/>
        <v>-1.8443040555087845E-2</v>
      </c>
      <c r="G869">
        <f t="shared" si="36"/>
        <v>-2.9609434887554562E-2</v>
      </c>
    </row>
    <row r="870" spans="1:38" x14ac:dyDescent="0.35">
      <c r="A870" t="s">
        <v>56</v>
      </c>
      <c r="E870">
        <v>1.2478402143570167E-2</v>
      </c>
      <c r="F870">
        <f t="shared" si="37"/>
        <v>-1.8445864860700201E-2</v>
      </c>
      <c r="G870">
        <f t="shared" si="36"/>
        <v>-2.9609434887554562E-2</v>
      </c>
    </row>
    <row r="871" spans="1:38" x14ac:dyDescent="0.35">
      <c r="A871" t="s">
        <v>56</v>
      </c>
      <c r="E871">
        <v>2.3101657347381694E-2</v>
      </c>
      <c r="F871">
        <f t="shared" si="37"/>
        <v>-1.8448689166312558E-2</v>
      </c>
      <c r="G871">
        <f t="shared" si="36"/>
        <v>-2.9609434887554562E-2</v>
      </c>
    </row>
    <row r="872" spans="1:38" x14ac:dyDescent="0.35">
      <c r="A872" t="s">
        <v>56</v>
      </c>
      <c r="E872">
        <v>6.5292505831936404E-3</v>
      </c>
      <c r="F872">
        <f t="shared" si="37"/>
        <v>-1.8451513471924915E-2</v>
      </c>
      <c r="G872">
        <f t="shared" si="36"/>
        <v>-2.9609434887554562E-2</v>
      </c>
    </row>
    <row r="873" spans="1:38" x14ac:dyDescent="0.35">
      <c r="A873" t="s">
        <v>56</v>
      </c>
      <c r="E873">
        <v>-6.6137781891914592E-3</v>
      </c>
      <c r="F873">
        <f t="shared" si="37"/>
        <v>-1.8454337777537275E-2</v>
      </c>
      <c r="G873">
        <f t="shared" si="36"/>
        <v>-2.9609434887554562E-2</v>
      </c>
    </row>
    <row r="874" spans="1:38" x14ac:dyDescent="0.35">
      <c r="A874" t="s">
        <v>57</v>
      </c>
      <c r="B874" s="3" cm="1">
        <f t="array" ref="B874">_xlfn.STDEV.S(_xlfn._xlws.FILTER($E$2:$E$1000, $A$2:$A$1000="2013-07"))</f>
        <v>1.0341710764999611E-2</v>
      </c>
      <c r="C874" s="3" cm="1">
        <f t="array" ref="C874">AVERAGE(_xlfn._xlws.FILTER($E$2:$E$1000, $A$2:$A$1000="2013-07"))</f>
        <v>2.6813966955217166E-3</v>
      </c>
      <c r="D874" s="3" cm="1">
        <f t="array" ref="D874">_xlfn.PERCENTILE.EXC(_xlfn._xlws.FILTER($E$751:$E$999, $A$751:$A$999="2013-07"), 0.05)</f>
        <v>-1.7929956960765499E-2</v>
      </c>
      <c r="E874">
        <v>7.6667150644852923E-3</v>
      </c>
      <c r="F874">
        <f t="shared" si="37"/>
        <v>-1.8457162083149632E-2</v>
      </c>
      <c r="G874">
        <f t="shared" si="36"/>
        <v>-2.9609434887554562E-2</v>
      </c>
      <c r="AI874" s="3"/>
      <c r="AJ874" s="3"/>
      <c r="AK874" s="3"/>
      <c r="AL874" s="3"/>
    </row>
    <row r="875" spans="1:38" x14ac:dyDescent="0.35">
      <c r="A875" t="s">
        <v>57</v>
      </c>
      <c r="E875">
        <v>-7.4323606234527372E-3</v>
      </c>
      <c r="F875">
        <f t="shared" si="37"/>
        <v>-1.8459986388761989E-2</v>
      </c>
      <c r="G875">
        <f t="shared" si="36"/>
        <v>-2.9609434887554562E-2</v>
      </c>
    </row>
    <row r="876" spans="1:38" x14ac:dyDescent="0.35">
      <c r="A876" t="s">
        <v>57</v>
      </c>
      <c r="E876">
        <v>-1.2539882447644523E-2</v>
      </c>
      <c r="F876">
        <f t="shared" si="37"/>
        <v>-1.8462810694374346E-2</v>
      </c>
      <c r="G876">
        <f t="shared" si="36"/>
        <v>-2.9609434887554562E-2</v>
      </c>
    </row>
    <row r="877" spans="1:38" x14ac:dyDescent="0.35">
      <c r="A877" t="s">
        <v>57</v>
      </c>
      <c r="E877">
        <v>2.9051551468601725E-2</v>
      </c>
      <c r="F877">
        <f t="shared" si="37"/>
        <v>-1.8465634999986703E-2</v>
      </c>
      <c r="G877">
        <f t="shared" si="36"/>
        <v>-2.9609434887554562E-2</v>
      </c>
    </row>
    <row r="878" spans="1:38" x14ac:dyDescent="0.35">
      <c r="A878" t="s">
        <v>57</v>
      </c>
      <c r="E878">
        <v>-1.9277475589045745E-2</v>
      </c>
      <c r="F878">
        <f t="shared" si="37"/>
        <v>-1.8468459305599063E-2</v>
      </c>
      <c r="G878">
        <f t="shared" si="36"/>
        <v>-2.9609434887554562E-2</v>
      </c>
    </row>
    <row r="879" spans="1:38" x14ac:dyDescent="0.35">
      <c r="A879" t="s">
        <v>57</v>
      </c>
      <c r="E879">
        <v>2.0904692369767577E-2</v>
      </c>
      <c r="F879">
        <f t="shared" si="37"/>
        <v>-1.8415415400391263E-2</v>
      </c>
      <c r="G879">
        <f t="shared" si="36"/>
        <v>-2.9603585542081982E-2</v>
      </c>
    </row>
    <row r="880" spans="1:38" x14ac:dyDescent="0.35">
      <c r="A880" t="s">
        <v>57</v>
      </c>
      <c r="E880">
        <v>5.0009605655431137E-3</v>
      </c>
      <c r="F880">
        <f t="shared" si="37"/>
        <v>-1.8417621804576626E-2</v>
      </c>
      <c r="G880">
        <f t="shared" si="36"/>
        <v>-2.9603585542081982E-2</v>
      </c>
    </row>
    <row r="881" spans="1:7" x14ac:dyDescent="0.35">
      <c r="A881" t="s">
        <v>57</v>
      </c>
      <c r="E881">
        <v>-1.6642095560323806E-3</v>
      </c>
      <c r="F881">
        <f t="shared" si="37"/>
        <v>-1.8420446110188983E-2</v>
      </c>
      <c r="G881">
        <f t="shared" si="36"/>
        <v>-2.9680201732064898E-2</v>
      </c>
    </row>
    <row r="882" spans="1:7" x14ac:dyDescent="0.35">
      <c r="A882" t="s">
        <v>57</v>
      </c>
      <c r="E882">
        <v>8.0921162856838532E-3</v>
      </c>
      <c r="F882">
        <f t="shared" si="37"/>
        <v>-1.842327041580134E-2</v>
      </c>
      <c r="G882">
        <f t="shared" si="36"/>
        <v>-2.9680201732064898E-2</v>
      </c>
    </row>
    <row r="883" spans="1:7" x14ac:dyDescent="0.35">
      <c r="A883" t="s">
        <v>57</v>
      </c>
      <c r="E883">
        <v>-2.4084295433083884E-3</v>
      </c>
      <c r="F883">
        <f t="shared" si="37"/>
        <v>-1.84260947214137E-2</v>
      </c>
      <c r="G883">
        <f t="shared" si="36"/>
        <v>-2.9680201732064898E-2</v>
      </c>
    </row>
    <row r="884" spans="1:7" x14ac:dyDescent="0.35">
      <c r="A884" t="s">
        <v>57</v>
      </c>
      <c r="E884">
        <v>4.4091716400363511E-3</v>
      </c>
      <c r="F884">
        <f t="shared" si="37"/>
        <v>-1.8428919027026057E-2</v>
      </c>
      <c r="G884">
        <f t="shared" si="36"/>
        <v>-2.9680201732064898E-2</v>
      </c>
    </row>
    <row r="885" spans="1:7" x14ac:dyDescent="0.35">
      <c r="A885" t="s">
        <v>57</v>
      </c>
      <c r="E885">
        <v>-7.8770281922876766E-3</v>
      </c>
      <c r="F885">
        <f t="shared" si="37"/>
        <v>-1.8431743332638414E-2</v>
      </c>
      <c r="G885">
        <f t="shared" si="36"/>
        <v>-2.9680201732064898E-2</v>
      </c>
    </row>
    <row r="886" spans="1:7" x14ac:dyDescent="0.35">
      <c r="A886" t="s">
        <v>57</v>
      </c>
      <c r="E886">
        <v>6.0851166452447342E-3</v>
      </c>
      <c r="F886">
        <f t="shared" si="37"/>
        <v>-1.8434567638250771E-2</v>
      </c>
      <c r="G886">
        <f t="shared" si="36"/>
        <v>-2.9680201732064898E-2</v>
      </c>
    </row>
    <row r="887" spans="1:7" x14ac:dyDescent="0.35">
      <c r="A887" t="s">
        <v>57</v>
      </c>
      <c r="E887">
        <v>1.3374595417124555E-2</v>
      </c>
      <c r="F887">
        <f t="shared" si="37"/>
        <v>-1.8437391943863127E-2</v>
      </c>
      <c r="G887">
        <f t="shared" si="36"/>
        <v>-2.9680201732064898E-2</v>
      </c>
    </row>
    <row r="888" spans="1:7" x14ac:dyDescent="0.35">
      <c r="A888" t="s">
        <v>57</v>
      </c>
      <c r="E888">
        <v>-6.69836761541703E-4</v>
      </c>
      <c r="F888">
        <f t="shared" si="37"/>
        <v>-1.8440216249475488E-2</v>
      </c>
      <c r="G888">
        <f t="shared" si="36"/>
        <v>-2.9680201732064898E-2</v>
      </c>
    </row>
    <row r="889" spans="1:7" x14ac:dyDescent="0.35">
      <c r="A889" t="s">
        <v>57</v>
      </c>
      <c r="E889">
        <v>3.3924065488060164E-3</v>
      </c>
      <c r="F889">
        <f t="shared" si="37"/>
        <v>-1.8443040555087845E-2</v>
      </c>
      <c r="G889">
        <f t="shared" si="36"/>
        <v>-2.9680201732064898E-2</v>
      </c>
    </row>
    <row r="890" spans="1:7" x14ac:dyDescent="0.35">
      <c r="A890" t="s">
        <v>57</v>
      </c>
      <c r="E890">
        <v>-9.1771751755938562E-4</v>
      </c>
      <c r="F890">
        <f t="shared" si="37"/>
        <v>-1.8445864860700201E-2</v>
      </c>
      <c r="G890">
        <f t="shared" si="36"/>
        <v>-2.9680201732064898E-2</v>
      </c>
    </row>
    <row r="891" spans="1:7" x14ac:dyDescent="0.35">
      <c r="A891" t="s">
        <v>57</v>
      </c>
      <c r="E891">
        <v>1.0721270152351603E-2</v>
      </c>
      <c r="F891">
        <f t="shared" si="37"/>
        <v>-1.8448689166312558E-2</v>
      </c>
      <c r="G891">
        <f t="shared" si="36"/>
        <v>-2.9680201732064898E-2</v>
      </c>
    </row>
    <row r="892" spans="1:7" x14ac:dyDescent="0.35">
      <c r="A892" t="s">
        <v>57</v>
      </c>
      <c r="E892">
        <v>-4.3550047529340302E-3</v>
      </c>
      <c r="F892">
        <f t="shared" si="37"/>
        <v>-1.8451513471924915E-2</v>
      </c>
      <c r="G892">
        <f t="shared" si="36"/>
        <v>-2.9680201732064898E-2</v>
      </c>
    </row>
    <row r="893" spans="1:7" x14ac:dyDescent="0.35">
      <c r="A893" t="s">
        <v>57</v>
      </c>
      <c r="E893">
        <v>6.0923892622728141E-4</v>
      </c>
      <c r="F893">
        <f t="shared" si="37"/>
        <v>-1.8454337777537275E-2</v>
      </c>
      <c r="G893">
        <f t="shared" si="36"/>
        <v>-2.9680201732064898E-2</v>
      </c>
    </row>
    <row r="894" spans="1:7" x14ac:dyDescent="0.35">
      <c r="A894" t="s">
        <v>57</v>
      </c>
      <c r="E894">
        <v>-8.3885121199329395E-5</v>
      </c>
      <c r="F894">
        <f t="shared" si="37"/>
        <v>-1.8457162083149632E-2</v>
      </c>
      <c r="G894">
        <f t="shared" si="36"/>
        <v>-2.9680201732064898E-2</v>
      </c>
    </row>
    <row r="895" spans="1:7" x14ac:dyDescent="0.35">
      <c r="A895" t="s">
        <v>57</v>
      </c>
      <c r="E895">
        <v>6.3552988523670638E-3</v>
      </c>
      <c r="F895">
        <f t="shared" si="37"/>
        <v>-1.8459986388761989E-2</v>
      </c>
      <c r="G895">
        <f t="shared" si="36"/>
        <v>-2.9680201732064898E-2</v>
      </c>
    </row>
    <row r="896" spans="1:7" x14ac:dyDescent="0.35">
      <c r="A896" t="s">
        <v>57</v>
      </c>
      <c r="E896">
        <v>3.23482016576621E-3</v>
      </c>
      <c r="F896">
        <f t="shared" si="37"/>
        <v>-1.8462810694374346E-2</v>
      </c>
      <c r="G896">
        <f t="shared" si="36"/>
        <v>-2.9680201732064898E-2</v>
      </c>
    </row>
    <row r="897" spans="1:38" x14ac:dyDescent="0.35">
      <c r="A897" t="s">
        <v>58</v>
      </c>
      <c r="B897" s="3" cm="1">
        <f t="array" ref="B897">_xlfn.STDEV.S(_xlfn._xlws.FILTER($E$2:$E$1000, $A$2:$A$1000="2013-08"))</f>
        <v>9.8460020669397554E-3</v>
      </c>
      <c r="C897" s="3" cm="1">
        <f t="array" ref="C897">AVERAGE(_xlfn._xlws.FILTER($E$2:$E$1000, $A$2:$A$1000="2013-08"))</f>
        <v>-8.5218985312628668E-4</v>
      </c>
      <c r="D897" s="3" cm="1">
        <f t="array" ref="D897">_xlfn.PERCENTILE.EXC(_xlfn._xlws.FILTER($E$751:$E$999, $A$751:$A$999="2013-08"), 0.05)</f>
        <v>-2.6841464479399897E-2</v>
      </c>
      <c r="E897">
        <v>1.4521153383013144E-2</v>
      </c>
      <c r="F897">
        <f t="shared" si="37"/>
        <v>-1.8465634999986703E-2</v>
      </c>
      <c r="G897">
        <f t="shared" si="36"/>
        <v>-2.9680201732064898E-2</v>
      </c>
      <c r="AI897" s="3"/>
      <c r="AJ897" s="3"/>
      <c r="AK897" s="3"/>
      <c r="AL897" s="3"/>
    </row>
    <row r="898" spans="1:38" x14ac:dyDescent="0.35">
      <c r="A898" t="s">
        <v>58</v>
      </c>
      <c r="E898">
        <v>8.3991150277918237E-4</v>
      </c>
      <c r="F898">
        <f t="shared" si="37"/>
        <v>-1.8468459305599063E-2</v>
      </c>
      <c r="G898">
        <f t="shared" si="36"/>
        <v>-2.9680201732064898E-2</v>
      </c>
    </row>
    <row r="899" spans="1:38" x14ac:dyDescent="0.35">
      <c r="A899" t="s">
        <v>58</v>
      </c>
      <c r="E899">
        <v>-6.8326432175199858E-4</v>
      </c>
      <c r="F899">
        <f t="shared" si="37"/>
        <v>-1.847128361121142E-2</v>
      </c>
      <c r="G899">
        <f t="shared" ref="G899:G962" si="38">AVERAGEIFS(E899:E4715,E899:E4715,"&lt;=" &amp; F899)</f>
        <v>-2.9680201732064898E-2</v>
      </c>
    </row>
    <row r="900" spans="1:38" x14ac:dyDescent="0.35">
      <c r="A900" t="s">
        <v>58</v>
      </c>
      <c r="E900">
        <v>-6.5359009492755955E-3</v>
      </c>
      <c r="F900">
        <f t="shared" ref="F900:F963" si="39">_xlfn.PERCENTILE.EXC(E900:E4715,0.05)</f>
        <v>-1.8474107916823777E-2</v>
      </c>
      <c r="G900">
        <f t="shared" si="38"/>
        <v>-2.9680201732064898E-2</v>
      </c>
    </row>
    <row r="901" spans="1:38" x14ac:dyDescent="0.35">
      <c r="A901" t="s">
        <v>58</v>
      </c>
      <c r="E901">
        <v>1.3106020976403566E-3</v>
      </c>
      <c r="F901">
        <f t="shared" si="39"/>
        <v>-1.8474499327409088E-2</v>
      </c>
      <c r="G901">
        <f t="shared" si="38"/>
        <v>-2.9757485137687247E-2</v>
      </c>
    </row>
    <row r="902" spans="1:38" x14ac:dyDescent="0.35">
      <c r="A902" t="s">
        <v>58</v>
      </c>
      <c r="E902">
        <v>7.9981607268334292E-3</v>
      </c>
      <c r="F902">
        <f t="shared" si="39"/>
        <v>-1.8474890737994399E-2</v>
      </c>
      <c r="G902">
        <f t="shared" si="38"/>
        <v>-2.9757485137687247E-2</v>
      </c>
    </row>
    <row r="903" spans="1:38" x14ac:dyDescent="0.35">
      <c r="A903" t="s">
        <v>58</v>
      </c>
      <c r="E903">
        <v>3.0979200673079987E-3</v>
      </c>
      <c r="F903">
        <f t="shared" si="39"/>
        <v>-1.8475282148579714E-2</v>
      </c>
      <c r="G903">
        <f t="shared" si="38"/>
        <v>-2.9757485137687247E-2</v>
      </c>
    </row>
    <row r="904" spans="1:38" x14ac:dyDescent="0.35">
      <c r="A904" t="s">
        <v>58</v>
      </c>
      <c r="E904">
        <v>5.4132753937003635E-4</v>
      </c>
      <c r="F904">
        <f t="shared" si="39"/>
        <v>-1.8475673559165025E-2</v>
      </c>
      <c r="G904">
        <f t="shared" si="38"/>
        <v>-2.9757485137687247E-2</v>
      </c>
    </row>
    <row r="905" spans="1:38" x14ac:dyDescent="0.35">
      <c r="A905" t="s">
        <v>58</v>
      </c>
      <c r="E905">
        <v>5.1016558691467009E-3</v>
      </c>
      <c r="F905">
        <f t="shared" si="39"/>
        <v>-1.8476064969750336E-2</v>
      </c>
      <c r="G905">
        <f t="shared" si="38"/>
        <v>-2.9757485137687247E-2</v>
      </c>
    </row>
    <row r="906" spans="1:38" x14ac:dyDescent="0.35">
      <c r="A906" t="s">
        <v>58</v>
      </c>
      <c r="E906">
        <v>3.6777596958594942E-3</v>
      </c>
      <c r="F906">
        <f t="shared" si="39"/>
        <v>-1.8476456380335647E-2</v>
      </c>
      <c r="G906">
        <f t="shared" si="38"/>
        <v>-2.9757485137687247E-2</v>
      </c>
    </row>
    <row r="907" spans="1:38" x14ac:dyDescent="0.35">
      <c r="A907" t="s">
        <v>58</v>
      </c>
      <c r="E907">
        <v>7.6756599490791007E-4</v>
      </c>
      <c r="F907">
        <f t="shared" si="39"/>
        <v>-1.8476847790920958E-2</v>
      </c>
      <c r="G907">
        <f t="shared" si="38"/>
        <v>-2.9757485137687247E-2</v>
      </c>
    </row>
    <row r="908" spans="1:38" x14ac:dyDescent="0.35">
      <c r="A908" t="s">
        <v>58</v>
      </c>
      <c r="E908">
        <v>-1.0891995478282393E-2</v>
      </c>
      <c r="F908">
        <f t="shared" si="39"/>
        <v>-1.8477239201506273E-2</v>
      </c>
      <c r="G908">
        <f t="shared" si="38"/>
        <v>-2.9757485137687247E-2</v>
      </c>
    </row>
    <row r="909" spans="1:38" x14ac:dyDescent="0.35">
      <c r="A909" t="s">
        <v>58</v>
      </c>
      <c r="E909">
        <v>-1.260680389475162E-2</v>
      </c>
      <c r="F909">
        <f t="shared" si="39"/>
        <v>-1.8477630612091584E-2</v>
      </c>
      <c r="G909">
        <f t="shared" si="38"/>
        <v>-2.9757485137687247E-2</v>
      </c>
    </row>
    <row r="910" spans="1:38" x14ac:dyDescent="0.35">
      <c r="A910" t="s">
        <v>58</v>
      </c>
      <c r="E910">
        <v>-4.8179348791244532E-3</v>
      </c>
      <c r="F910">
        <f t="shared" si="39"/>
        <v>-1.8478022022676895E-2</v>
      </c>
      <c r="G910">
        <f t="shared" si="38"/>
        <v>-2.9757485137687247E-2</v>
      </c>
    </row>
    <row r="911" spans="1:38" x14ac:dyDescent="0.35">
      <c r="A911" t="s">
        <v>58</v>
      </c>
      <c r="E911">
        <v>1.3510381090176247E-2</v>
      </c>
      <c r="F911">
        <f t="shared" si="39"/>
        <v>-1.8478413433262206E-2</v>
      </c>
      <c r="G911">
        <f t="shared" si="38"/>
        <v>-2.9757485137687247E-2</v>
      </c>
    </row>
    <row r="912" spans="1:38" x14ac:dyDescent="0.35">
      <c r="A912" t="s">
        <v>58</v>
      </c>
      <c r="E912">
        <v>4.8702114754555666E-3</v>
      </c>
      <c r="F912">
        <f t="shared" si="39"/>
        <v>-1.8478804843847518E-2</v>
      </c>
      <c r="G912">
        <f t="shared" si="38"/>
        <v>-2.9757485137687247E-2</v>
      </c>
    </row>
    <row r="913" spans="1:38" x14ac:dyDescent="0.35">
      <c r="A913" t="s">
        <v>58</v>
      </c>
      <c r="E913">
        <v>-2.7544555064175739E-2</v>
      </c>
      <c r="F913">
        <f t="shared" si="39"/>
        <v>-1.8479196254432832E-2</v>
      </c>
      <c r="G913">
        <f t="shared" si="38"/>
        <v>-2.9757485137687247E-2</v>
      </c>
    </row>
    <row r="914" spans="1:38" x14ac:dyDescent="0.35">
      <c r="A914" t="s">
        <v>58</v>
      </c>
      <c r="E914">
        <v>-2.4254001415994625E-3</v>
      </c>
      <c r="F914">
        <f t="shared" si="39"/>
        <v>-1.8457162083149632E-2</v>
      </c>
      <c r="G914">
        <f t="shared" si="38"/>
        <v>-2.9694930329774473E-2</v>
      </c>
    </row>
    <row r="915" spans="1:38" x14ac:dyDescent="0.35">
      <c r="A915" t="s">
        <v>58</v>
      </c>
      <c r="E915">
        <v>5.7081515926043951E-3</v>
      </c>
      <c r="F915">
        <f t="shared" si="39"/>
        <v>-1.8459986388761989E-2</v>
      </c>
      <c r="G915">
        <f t="shared" si="38"/>
        <v>-2.9694930329774473E-2</v>
      </c>
    </row>
    <row r="916" spans="1:38" x14ac:dyDescent="0.35">
      <c r="A916" t="s">
        <v>58</v>
      </c>
      <c r="E916">
        <v>-1.3482743368658937E-2</v>
      </c>
      <c r="F916">
        <f t="shared" si="39"/>
        <v>-1.8462810694374346E-2</v>
      </c>
      <c r="G916">
        <f t="shared" si="38"/>
        <v>-2.9694930329774473E-2</v>
      </c>
    </row>
    <row r="917" spans="1:38" x14ac:dyDescent="0.35">
      <c r="A917" t="s">
        <v>59</v>
      </c>
      <c r="B917" s="3" cm="1">
        <f t="array" ref="B917">_xlfn.STDEV.S(_xlfn._xlws.FILTER($E$2:$E$1000, $A$2:$A$1000="2013-09"))</f>
        <v>7.6432217542915576E-3</v>
      </c>
      <c r="C917" s="3" cm="1">
        <f t="array" ref="C917">AVERAGE(_xlfn._xlws.FILTER($E$2:$E$1000, $A$2:$A$1000="2013-09"))</f>
        <v>2.9147830459612259E-3</v>
      </c>
      <c r="D917" s="3" cm="1">
        <f t="array" ref="D917">_xlfn.PERCENTILE.EXC(_xlfn._xlws.FILTER($E$751:$E$999, $A$751:$A$999="2013-09"), 0.05)</f>
        <v>-8.8609617917754964E-3</v>
      </c>
      <c r="E917">
        <v>1.9187335514272215E-2</v>
      </c>
      <c r="F917">
        <f t="shared" si="39"/>
        <v>-1.8465634999986703E-2</v>
      </c>
      <c r="G917">
        <f t="shared" si="38"/>
        <v>-2.9694930329774473E-2</v>
      </c>
      <c r="AI917" s="3"/>
      <c r="AJ917" s="3"/>
      <c r="AK917" s="3"/>
      <c r="AL917" s="3"/>
    </row>
    <row r="918" spans="1:38" x14ac:dyDescent="0.35">
      <c r="A918" t="s">
        <v>59</v>
      </c>
      <c r="E918">
        <v>-7.5044133751281886E-3</v>
      </c>
      <c r="F918">
        <f t="shared" si="39"/>
        <v>-1.8468459305599063E-2</v>
      </c>
      <c r="G918">
        <f t="shared" si="38"/>
        <v>-2.9694930329774473E-2</v>
      </c>
    </row>
    <row r="919" spans="1:38" x14ac:dyDescent="0.35">
      <c r="A919" t="s">
        <v>59</v>
      </c>
      <c r="E919">
        <v>1.7925703866042582E-3</v>
      </c>
      <c r="F919">
        <f t="shared" si="39"/>
        <v>-1.847128361121142E-2</v>
      </c>
      <c r="G919">
        <f t="shared" si="38"/>
        <v>-2.9694930329774473E-2</v>
      </c>
    </row>
    <row r="920" spans="1:38" x14ac:dyDescent="0.35">
      <c r="A920" t="s">
        <v>59</v>
      </c>
      <c r="E920">
        <v>5.7514948452270856E-3</v>
      </c>
      <c r="F920">
        <f t="shared" si="39"/>
        <v>-1.8474107916823777E-2</v>
      </c>
      <c r="G920">
        <f t="shared" si="38"/>
        <v>-2.9694930329774473E-2</v>
      </c>
    </row>
    <row r="921" spans="1:38" x14ac:dyDescent="0.35">
      <c r="A921" t="s">
        <v>59</v>
      </c>
      <c r="E921">
        <v>1.0477683068512201E-2</v>
      </c>
      <c r="F921">
        <f t="shared" si="39"/>
        <v>-1.8474499327409088E-2</v>
      </c>
      <c r="G921">
        <f t="shared" si="38"/>
        <v>-2.9772852707642183E-2</v>
      </c>
    </row>
    <row r="922" spans="1:38" x14ac:dyDescent="0.35">
      <c r="A922" t="s">
        <v>59</v>
      </c>
      <c r="E922">
        <v>-1.8244368855393201E-3</v>
      </c>
      <c r="F922">
        <f t="shared" si="39"/>
        <v>-1.8474890737994399E-2</v>
      </c>
      <c r="G922">
        <f t="shared" si="38"/>
        <v>-2.9772852707642183E-2</v>
      </c>
    </row>
    <row r="923" spans="1:38" x14ac:dyDescent="0.35">
      <c r="A923" t="s">
        <v>59</v>
      </c>
      <c r="E923">
        <v>1.8794438207698064E-2</v>
      </c>
      <c r="F923">
        <f t="shared" si="39"/>
        <v>-1.8475282148579714E-2</v>
      </c>
      <c r="G923">
        <f t="shared" si="38"/>
        <v>-2.9772852707642183E-2</v>
      </c>
    </row>
    <row r="924" spans="1:38" x14ac:dyDescent="0.35">
      <c r="A924" t="s">
        <v>59</v>
      </c>
      <c r="E924">
        <v>4.2135975157939001E-3</v>
      </c>
      <c r="F924">
        <f t="shared" si="39"/>
        <v>-1.8475673559165025E-2</v>
      </c>
      <c r="G924">
        <f t="shared" si="38"/>
        <v>-2.9772852707642183E-2</v>
      </c>
    </row>
    <row r="925" spans="1:38" x14ac:dyDescent="0.35">
      <c r="A925" t="s">
        <v>59</v>
      </c>
      <c r="E925">
        <v>-4.7855999767580523E-4</v>
      </c>
      <c r="F925">
        <f t="shared" si="39"/>
        <v>-1.8476064969750336E-2</v>
      </c>
      <c r="G925">
        <f t="shared" si="38"/>
        <v>-2.9772852707642183E-2</v>
      </c>
    </row>
    <row r="926" spans="1:38" x14ac:dyDescent="0.35">
      <c r="A926" t="s">
        <v>59</v>
      </c>
      <c r="E926">
        <v>1.7594145410431469E-3</v>
      </c>
      <c r="F926">
        <f t="shared" si="39"/>
        <v>-1.8476456380335647E-2</v>
      </c>
      <c r="G926">
        <f t="shared" si="38"/>
        <v>-2.9772852707642183E-2</v>
      </c>
    </row>
    <row r="927" spans="1:38" x14ac:dyDescent="0.35">
      <c r="A927" t="s">
        <v>59</v>
      </c>
      <c r="E927">
        <v>9.5561971640751656E-3</v>
      </c>
      <c r="F927">
        <f t="shared" si="39"/>
        <v>-1.8476847790920958E-2</v>
      </c>
      <c r="G927">
        <f t="shared" si="38"/>
        <v>-2.9772852707642183E-2</v>
      </c>
    </row>
    <row r="928" spans="1:38" x14ac:dyDescent="0.35">
      <c r="A928" t="s">
        <v>59</v>
      </c>
      <c r="E928">
        <v>-1.2755831299269924E-3</v>
      </c>
      <c r="F928">
        <f t="shared" si="39"/>
        <v>-1.8477239201506273E-2</v>
      </c>
      <c r="G928">
        <f t="shared" si="38"/>
        <v>-2.9772852707642183E-2</v>
      </c>
    </row>
    <row r="929" spans="1:38" x14ac:dyDescent="0.35">
      <c r="A929" t="s">
        <v>59</v>
      </c>
      <c r="E929">
        <v>6.196710444474068E-3</v>
      </c>
      <c r="F929">
        <f t="shared" si="39"/>
        <v>-1.8477630612091584E-2</v>
      </c>
      <c r="G929">
        <f t="shared" si="38"/>
        <v>-2.9772852707642183E-2</v>
      </c>
    </row>
    <row r="930" spans="1:38" x14ac:dyDescent="0.35">
      <c r="A930" t="s">
        <v>59</v>
      </c>
      <c r="E930">
        <v>9.3343500477157549E-3</v>
      </c>
      <c r="F930">
        <f t="shared" si="39"/>
        <v>-1.8478022022676895E-2</v>
      </c>
      <c r="G930">
        <f t="shared" si="38"/>
        <v>-2.9772852707642183E-2</v>
      </c>
    </row>
    <row r="931" spans="1:38" x14ac:dyDescent="0.35">
      <c r="A931" t="s">
        <v>59</v>
      </c>
      <c r="E931">
        <v>-3.0733098401418781E-3</v>
      </c>
      <c r="F931">
        <f t="shared" si="39"/>
        <v>-1.8478413433262206E-2</v>
      </c>
      <c r="G931">
        <f t="shared" si="38"/>
        <v>-2.9772852707642183E-2</v>
      </c>
    </row>
    <row r="932" spans="1:38" x14ac:dyDescent="0.35">
      <c r="A932" t="s">
        <v>59</v>
      </c>
      <c r="E932">
        <v>-7.1449201193635051E-3</v>
      </c>
      <c r="F932">
        <f t="shared" si="39"/>
        <v>-1.8478804843847518E-2</v>
      </c>
      <c r="G932">
        <f t="shared" si="38"/>
        <v>-2.9772852707642183E-2</v>
      </c>
    </row>
    <row r="933" spans="1:38" x14ac:dyDescent="0.35">
      <c r="A933" t="s">
        <v>59</v>
      </c>
      <c r="E933">
        <v>5.6885394800018181E-3</v>
      </c>
      <c r="F933">
        <f t="shared" si="39"/>
        <v>-1.8479196254432832E-2</v>
      </c>
      <c r="G933">
        <f t="shared" si="38"/>
        <v>-2.9772852707642183E-2</v>
      </c>
    </row>
    <row r="934" spans="1:38" x14ac:dyDescent="0.35">
      <c r="A934" t="s">
        <v>59</v>
      </c>
      <c r="E934">
        <v>1.5110390753924053E-3</v>
      </c>
      <c r="F934">
        <f t="shared" si="39"/>
        <v>-1.8479587665018143E-2</v>
      </c>
      <c r="G934">
        <f t="shared" si="38"/>
        <v>-2.9772852707642183E-2</v>
      </c>
    </row>
    <row r="935" spans="1:38" x14ac:dyDescent="0.35">
      <c r="A935" t="s">
        <v>59</v>
      </c>
      <c r="E935">
        <v>-1.4905119385166656E-3</v>
      </c>
      <c r="F935">
        <f t="shared" si="39"/>
        <v>-1.8479979075603455E-2</v>
      </c>
      <c r="G935">
        <f t="shared" si="38"/>
        <v>-2.9772852707642183E-2</v>
      </c>
    </row>
    <row r="936" spans="1:38" x14ac:dyDescent="0.35">
      <c r="A936" t="s">
        <v>59</v>
      </c>
      <c r="E936">
        <v>-1.2495016457067815E-3</v>
      </c>
      <c r="F936">
        <f t="shared" si="39"/>
        <v>-1.8480370486188766E-2</v>
      </c>
      <c r="G936">
        <f t="shared" si="38"/>
        <v>-2.9772852707642183E-2</v>
      </c>
    </row>
    <row r="937" spans="1:38" x14ac:dyDescent="0.35">
      <c r="A937" t="s">
        <v>59</v>
      </c>
      <c r="E937">
        <v>-9.0116893936251965E-3</v>
      </c>
      <c r="F937">
        <f t="shared" si="39"/>
        <v>-1.8480761896774077E-2</v>
      </c>
      <c r="G937">
        <f t="shared" si="38"/>
        <v>-2.9772852707642183E-2</v>
      </c>
    </row>
    <row r="938" spans="1:38" x14ac:dyDescent="0.35">
      <c r="A938" t="s">
        <v>60</v>
      </c>
      <c r="B938" s="3" cm="1">
        <f t="array" ref="B938">_xlfn.STDEV.S(_xlfn._xlws.FILTER($E$2:$E$1000, $A$2:$A$1000="2013-10"))</f>
        <v>7.507391249546881E-3</v>
      </c>
      <c r="C938" s="3" cm="1">
        <f t="array" ref="C938">AVERAGE(_xlfn._xlws.FILTER($E$2:$E$1000, $A$2:$A$1000="2013-10"))</f>
        <v>2.5505961812558758E-3</v>
      </c>
      <c r="D938" s="3" cm="1">
        <f t="array" ref="D938">_xlfn.PERCENTILE.EXC(_xlfn._xlws.FILTER($E$751:$E$999, $A$751:$A$999="2013-10"), 0.05)</f>
        <v>-8.9019865181621735E-3</v>
      </c>
      <c r="E938">
        <v>1.3686734987501644E-2</v>
      </c>
      <c r="F938">
        <f t="shared" si="39"/>
        <v>-1.8481153307359392E-2</v>
      </c>
      <c r="G938">
        <f t="shared" si="38"/>
        <v>-2.9772852707642183E-2</v>
      </c>
      <c r="AI938" s="3"/>
      <c r="AJ938" s="3"/>
      <c r="AK938" s="3"/>
      <c r="AL938" s="3"/>
    </row>
    <row r="939" spans="1:38" x14ac:dyDescent="0.35">
      <c r="A939" t="s">
        <v>60</v>
      </c>
      <c r="E939">
        <v>-5.0279273222050159E-3</v>
      </c>
      <c r="F939">
        <f t="shared" si="39"/>
        <v>-1.8481544717944703E-2</v>
      </c>
      <c r="G939">
        <f t="shared" si="38"/>
        <v>-2.9772852707642183E-2</v>
      </c>
    </row>
    <row r="940" spans="1:38" x14ac:dyDescent="0.35">
      <c r="A940" t="s">
        <v>60</v>
      </c>
      <c r="E940">
        <v>-5.5631772069271472E-3</v>
      </c>
      <c r="F940">
        <f t="shared" si="39"/>
        <v>-1.8481936128530014E-2</v>
      </c>
      <c r="G940">
        <f t="shared" si="38"/>
        <v>-2.9772852707642183E-2</v>
      </c>
    </row>
    <row r="941" spans="1:38" x14ac:dyDescent="0.35">
      <c r="A941" t="s">
        <v>60</v>
      </c>
      <c r="E941">
        <v>8.9839604120826727E-3</v>
      </c>
      <c r="F941">
        <f t="shared" si="39"/>
        <v>-1.8482019665571049E-2</v>
      </c>
      <c r="G941">
        <f t="shared" si="38"/>
        <v>-2.9851810166237374E-2</v>
      </c>
    </row>
    <row r="942" spans="1:38" x14ac:dyDescent="0.35">
      <c r="A942" t="s">
        <v>60</v>
      </c>
      <c r="E942">
        <v>-1.8012942055924555E-3</v>
      </c>
      <c r="F942">
        <f t="shared" si="39"/>
        <v>-1.8482103202612087E-2</v>
      </c>
      <c r="G942">
        <f t="shared" si="38"/>
        <v>-2.9851810166237374E-2</v>
      </c>
    </row>
    <row r="943" spans="1:38" x14ac:dyDescent="0.35">
      <c r="A943" t="s">
        <v>60</v>
      </c>
      <c r="E943">
        <v>-6.758927898169018E-3</v>
      </c>
      <c r="F943">
        <f t="shared" si="39"/>
        <v>-1.8482186739653121E-2</v>
      </c>
      <c r="G943">
        <f t="shared" si="38"/>
        <v>-2.9851810166237374E-2</v>
      </c>
    </row>
    <row r="944" spans="1:38" x14ac:dyDescent="0.35">
      <c r="A944" t="s">
        <v>60</v>
      </c>
      <c r="E944">
        <v>4.7520007505717039E-4</v>
      </c>
      <c r="F944">
        <f t="shared" si="39"/>
        <v>-1.8482270276694156E-2</v>
      </c>
      <c r="G944">
        <f t="shared" si="38"/>
        <v>-2.9851810166237374E-2</v>
      </c>
    </row>
    <row r="945" spans="1:7" x14ac:dyDescent="0.35">
      <c r="A945" t="s">
        <v>60</v>
      </c>
      <c r="E945">
        <v>2.2022837098784161E-2</v>
      </c>
      <c r="F945">
        <f t="shared" si="39"/>
        <v>-1.8482353813735194E-2</v>
      </c>
      <c r="G945">
        <f t="shared" si="38"/>
        <v>-2.9851810166237374E-2</v>
      </c>
    </row>
    <row r="946" spans="1:7" x14ac:dyDescent="0.35">
      <c r="A946" t="s">
        <v>60</v>
      </c>
      <c r="E946">
        <v>1.6387130182823383E-3</v>
      </c>
      <c r="F946">
        <f t="shared" si="39"/>
        <v>-1.8482437350776228E-2</v>
      </c>
      <c r="G946">
        <f t="shared" si="38"/>
        <v>-2.9851810166237374E-2</v>
      </c>
    </row>
    <row r="947" spans="1:7" x14ac:dyDescent="0.35">
      <c r="A947" t="s">
        <v>60</v>
      </c>
      <c r="E947">
        <v>1.1458392341009193E-3</v>
      </c>
      <c r="F947">
        <f t="shared" si="39"/>
        <v>-1.8482520887817263E-2</v>
      </c>
      <c r="G947">
        <f t="shared" si="38"/>
        <v>-2.9851810166237374E-2</v>
      </c>
    </row>
    <row r="948" spans="1:7" x14ac:dyDescent="0.35">
      <c r="A948" t="s">
        <v>60</v>
      </c>
      <c r="E948">
        <v>8.9833025032015155E-3</v>
      </c>
      <c r="F948">
        <f t="shared" si="39"/>
        <v>-1.8482604424858301E-2</v>
      </c>
      <c r="G948">
        <f t="shared" si="38"/>
        <v>-2.9851810166237374E-2</v>
      </c>
    </row>
    <row r="949" spans="1:7" x14ac:dyDescent="0.35">
      <c r="A949" t="s">
        <v>60</v>
      </c>
      <c r="E949">
        <v>3.6013567253016751E-3</v>
      </c>
      <c r="F949">
        <f t="shared" si="39"/>
        <v>-1.8482687961899336E-2</v>
      </c>
      <c r="G949">
        <f t="shared" si="38"/>
        <v>-2.9851810166237374E-2</v>
      </c>
    </row>
    <row r="950" spans="1:7" x14ac:dyDescent="0.35">
      <c r="A950" t="s">
        <v>60</v>
      </c>
      <c r="E950">
        <v>-1.6628528888066472E-3</v>
      </c>
      <c r="F950">
        <f t="shared" si="39"/>
        <v>-1.848277149894037E-2</v>
      </c>
      <c r="G950">
        <f t="shared" si="38"/>
        <v>-2.9851810166237374E-2</v>
      </c>
    </row>
    <row r="951" spans="1:7" x14ac:dyDescent="0.35">
      <c r="A951" t="s">
        <v>60</v>
      </c>
      <c r="E951">
        <v>7.5847940435419718E-3</v>
      </c>
      <c r="F951">
        <f t="shared" si="39"/>
        <v>-1.8482855035981408E-2</v>
      </c>
      <c r="G951">
        <f t="shared" si="38"/>
        <v>-2.9851810166237374E-2</v>
      </c>
    </row>
    <row r="952" spans="1:7" x14ac:dyDescent="0.35">
      <c r="A952" t="s">
        <v>60</v>
      </c>
      <c r="E952">
        <v>-1.5374568350605123E-3</v>
      </c>
      <c r="F952">
        <f t="shared" si="39"/>
        <v>-1.8482938573022443E-2</v>
      </c>
      <c r="G952">
        <f t="shared" si="38"/>
        <v>-2.9851810166237374E-2</v>
      </c>
    </row>
    <row r="953" spans="1:7" x14ac:dyDescent="0.35">
      <c r="A953" t="s">
        <v>60</v>
      </c>
      <c r="E953">
        <v>5.6367670755923666E-3</v>
      </c>
      <c r="F953">
        <f t="shared" si="39"/>
        <v>-1.8483022110063481E-2</v>
      </c>
      <c r="G953">
        <f t="shared" si="38"/>
        <v>-2.9851810166237374E-2</v>
      </c>
    </row>
    <row r="954" spans="1:7" x14ac:dyDescent="0.35">
      <c r="A954" t="s">
        <v>60</v>
      </c>
      <c r="E954">
        <v>-9.4377511731604628E-3</v>
      </c>
      <c r="F954">
        <f t="shared" si="39"/>
        <v>-1.8483105647104515E-2</v>
      </c>
      <c r="G954">
        <f t="shared" si="38"/>
        <v>-2.9851810166237374E-2</v>
      </c>
    </row>
    <row r="955" spans="1:7" x14ac:dyDescent="0.35">
      <c r="A955" t="s">
        <v>60</v>
      </c>
      <c r="E955">
        <v>7.1993600388294901E-3</v>
      </c>
      <c r="F955">
        <f t="shared" si="39"/>
        <v>-1.848318918414555E-2</v>
      </c>
      <c r="G955">
        <f t="shared" si="38"/>
        <v>-2.9851810166237374E-2</v>
      </c>
    </row>
    <row r="956" spans="1:7" x14ac:dyDescent="0.35">
      <c r="A956" t="s">
        <v>60</v>
      </c>
      <c r="E956">
        <v>-1.4686853298444421E-3</v>
      </c>
      <c r="F956">
        <f t="shared" si="39"/>
        <v>-1.8483272721186588E-2</v>
      </c>
      <c r="G956">
        <f t="shared" si="38"/>
        <v>-2.9851810166237374E-2</v>
      </c>
    </row>
    <row r="957" spans="1:7" x14ac:dyDescent="0.35">
      <c r="A957" t="s">
        <v>60</v>
      </c>
      <c r="E957">
        <v>-4.1145662634509634E-3</v>
      </c>
      <c r="F957">
        <f t="shared" si="39"/>
        <v>-1.8483356258227623E-2</v>
      </c>
      <c r="G957">
        <f t="shared" si="38"/>
        <v>-2.9851810166237374E-2</v>
      </c>
    </row>
    <row r="958" spans="1:7" x14ac:dyDescent="0.35">
      <c r="A958" t="s">
        <v>60</v>
      </c>
      <c r="E958">
        <v>9.4193046420641691E-3</v>
      </c>
      <c r="F958">
        <f t="shared" si="39"/>
        <v>-1.8483439795268657E-2</v>
      </c>
      <c r="G958">
        <f t="shared" si="38"/>
        <v>-2.9851810166237374E-2</v>
      </c>
    </row>
    <row r="959" spans="1:7" x14ac:dyDescent="0.35">
      <c r="A959" t="s">
        <v>60</v>
      </c>
      <c r="E959">
        <v>-3.2669413246749031E-3</v>
      </c>
      <c r="F959">
        <f t="shared" si="39"/>
        <v>-1.8483523332309695E-2</v>
      </c>
      <c r="G959">
        <f t="shared" si="38"/>
        <v>-2.9851810166237374E-2</v>
      </c>
    </row>
    <row r="960" spans="1:7" x14ac:dyDescent="0.35">
      <c r="A960" t="s">
        <v>60</v>
      </c>
      <c r="E960">
        <v>8.9251227624366058E-3</v>
      </c>
      <c r="F960">
        <f t="shared" si="39"/>
        <v>-1.848360686935073E-2</v>
      </c>
      <c r="G960">
        <f t="shared" si="38"/>
        <v>-2.9851810166237374E-2</v>
      </c>
    </row>
    <row r="961" spans="1:38" x14ac:dyDescent="0.35">
      <c r="A961" t="s">
        <v>61</v>
      </c>
      <c r="B961" s="3" cm="1">
        <f t="array" ref="B961">_xlfn.STDEV.S(_xlfn._xlws.FILTER($E$2:$E$1000, $A$2:$A$1000="2013-11"))</f>
        <v>5.8204678099939601E-3</v>
      </c>
      <c r="C961" s="3" cm="1">
        <f t="array" ref="C961">AVERAGE(_xlfn._xlws.FILTER($E$2:$E$1000, $A$2:$A$1000="2013-11"))</f>
        <v>2.8921593017408587E-4</v>
      </c>
      <c r="D961" s="3" cm="1">
        <f t="array" ref="D961">_xlfn.PERCENTILE.EXC(_xlfn._xlws.FILTER($E$751:$E$999, $A$751:$A$999="2013-11"), 0.05)</f>
        <v>-1.0262542460478053E-2</v>
      </c>
      <c r="E961">
        <v>-5.1666021803722069E-3</v>
      </c>
      <c r="F961">
        <f t="shared" si="39"/>
        <v>-1.8490711971984437E-2</v>
      </c>
      <c r="G961">
        <f t="shared" si="38"/>
        <v>-2.9931867935933758E-2</v>
      </c>
      <c r="AI961" s="3"/>
      <c r="AJ961" s="3"/>
      <c r="AK961" s="3"/>
      <c r="AL961" s="3"/>
    </row>
    <row r="962" spans="1:38" x14ac:dyDescent="0.35">
      <c r="A962" t="s">
        <v>61</v>
      </c>
      <c r="E962">
        <v>2.9574786169100074E-3</v>
      </c>
      <c r="F962">
        <f t="shared" si="39"/>
        <v>-1.8497817074618152E-2</v>
      </c>
      <c r="G962">
        <f t="shared" si="38"/>
        <v>-2.9931867935933758E-2</v>
      </c>
    </row>
    <row r="963" spans="1:38" x14ac:dyDescent="0.35">
      <c r="A963" t="s">
        <v>61</v>
      </c>
      <c r="E963">
        <v>-8.2859538216149085E-3</v>
      </c>
      <c r="F963">
        <f t="shared" si="39"/>
        <v>-1.8504922177251866E-2</v>
      </c>
      <c r="G963">
        <f t="shared" ref="G963:G1026" si="40">AVERAGEIFS(E963:E4779,E963:E4779,"&lt;=" &amp; F963)</f>
        <v>-2.9931867935933758E-2</v>
      </c>
    </row>
    <row r="964" spans="1:38" x14ac:dyDescent="0.35">
      <c r="A964" t="s">
        <v>61</v>
      </c>
      <c r="E964">
        <v>6.7232440662037627E-3</v>
      </c>
      <c r="F964">
        <f t="shared" ref="F964:F1027" si="41">_xlfn.PERCENTILE.EXC(E964:E4779,0.05)</f>
        <v>-1.8512027279885573E-2</v>
      </c>
      <c r="G964">
        <f t="shared" si="40"/>
        <v>-2.9931867935933758E-2</v>
      </c>
    </row>
    <row r="965" spans="1:38" x14ac:dyDescent="0.35">
      <c r="A965" t="s">
        <v>61</v>
      </c>
      <c r="E965">
        <v>-4.4004543594260573E-3</v>
      </c>
      <c r="F965">
        <f t="shared" si="41"/>
        <v>-1.8519132382519288E-2</v>
      </c>
      <c r="G965">
        <f t="shared" si="40"/>
        <v>-2.9931867935933758E-2</v>
      </c>
    </row>
    <row r="966" spans="1:38" x14ac:dyDescent="0.35">
      <c r="A966" t="s">
        <v>61</v>
      </c>
      <c r="E966">
        <v>-2.6555283963204386E-3</v>
      </c>
      <c r="F966">
        <f t="shared" si="41"/>
        <v>-1.8526237485152995E-2</v>
      </c>
      <c r="G966">
        <f t="shared" si="40"/>
        <v>-2.9931867935933758E-2</v>
      </c>
    </row>
    <row r="967" spans="1:38" x14ac:dyDescent="0.35">
      <c r="A967" t="s">
        <v>61</v>
      </c>
      <c r="E967">
        <v>5.8872592320423868E-3</v>
      </c>
      <c r="F967">
        <f t="shared" si="41"/>
        <v>-1.8533342587786709E-2</v>
      </c>
      <c r="G967">
        <f t="shared" si="40"/>
        <v>-2.9931867935933758E-2</v>
      </c>
    </row>
    <row r="968" spans="1:38" x14ac:dyDescent="0.35">
      <c r="A968" t="s">
        <v>61</v>
      </c>
      <c r="E968">
        <v>-5.9630468882464127E-3</v>
      </c>
      <c r="F968">
        <f t="shared" si="41"/>
        <v>-1.854044769042042E-2</v>
      </c>
      <c r="G968">
        <f t="shared" si="40"/>
        <v>-2.9931867935933758E-2</v>
      </c>
    </row>
    <row r="969" spans="1:38" x14ac:dyDescent="0.35">
      <c r="A969" t="s">
        <v>61</v>
      </c>
      <c r="E969">
        <v>-4.4618088006760986E-3</v>
      </c>
      <c r="F969">
        <f t="shared" si="41"/>
        <v>-1.8547552793054131E-2</v>
      </c>
      <c r="G969">
        <f t="shared" si="40"/>
        <v>-2.9931867935933758E-2</v>
      </c>
    </row>
    <row r="970" spans="1:38" x14ac:dyDescent="0.35">
      <c r="A970" t="s">
        <v>61</v>
      </c>
      <c r="E970">
        <v>1.0706521844338618E-2</v>
      </c>
      <c r="F970">
        <f t="shared" si="41"/>
        <v>-1.8554657895687846E-2</v>
      </c>
      <c r="G970">
        <f t="shared" si="40"/>
        <v>-2.9931867935933758E-2</v>
      </c>
    </row>
    <row r="971" spans="1:38" x14ac:dyDescent="0.35">
      <c r="A971" t="s">
        <v>61</v>
      </c>
      <c r="E971">
        <v>2.750392111925574E-4</v>
      </c>
      <c r="F971">
        <f t="shared" si="41"/>
        <v>-1.8561762998321553E-2</v>
      </c>
      <c r="G971">
        <f t="shared" si="40"/>
        <v>-2.9931867935933758E-2</v>
      </c>
    </row>
    <row r="972" spans="1:38" x14ac:dyDescent="0.35">
      <c r="A972" t="s">
        <v>61</v>
      </c>
      <c r="E972">
        <v>8.7258512235521765E-3</v>
      </c>
      <c r="F972">
        <f t="shared" si="41"/>
        <v>-1.8568868100955267E-2</v>
      </c>
      <c r="G972">
        <f t="shared" si="40"/>
        <v>-2.9931867935933758E-2</v>
      </c>
    </row>
    <row r="973" spans="1:38" x14ac:dyDescent="0.35">
      <c r="A973" t="s">
        <v>61</v>
      </c>
      <c r="E973">
        <v>-1.0482163420351735E-2</v>
      </c>
      <c r="F973">
        <f t="shared" si="41"/>
        <v>-1.8575973203588978E-2</v>
      </c>
      <c r="G973">
        <f t="shared" si="40"/>
        <v>-2.9931867935933758E-2</v>
      </c>
    </row>
    <row r="974" spans="1:38" x14ac:dyDescent="0.35">
      <c r="A974" t="s">
        <v>61</v>
      </c>
      <c r="E974">
        <v>-6.0690661570345777E-4</v>
      </c>
      <c r="F974">
        <f t="shared" si="41"/>
        <v>-1.8583078306222689E-2</v>
      </c>
      <c r="G974">
        <f t="shared" si="40"/>
        <v>-2.9931867935933758E-2</v>
      </c>
    </row>
    <row r="975" spans="1:38" x14ac:dyDescent="0.35">
      <c r="A975" t="s">
        <v>61</v>
      </c>
      <c r="E975">
        <v>-9.7838692169785729E-4</v>
      </c>
      <c r="F975">
        <f t="shared" si="41"/>
        <v>-1.85901834088564E-2</v>
      </c>
      <c r="G975">
        <f t="shared" si="40"/>
        <v>-2.9931867935933758E-2</v>
      </c>
    </row>
    <row r="976" spans="1:38" x14ac:dyDescent="0.35">
      <c r="A976" t="s">
        <v>61</v>
      </c>
      <c r="E976">
        <v>3.8161978802625702E-3</v>
      </c>
      <c r="F976">
        <f t="shared" si="41"/>
        <v>-1.8597288511490111E-2</v>
      </c>
      <c r="G976">
        <f t="shared" si="40"/>
        <v>-2.9931867935933758E-2</v>
      </c>
    </row>
    <row r="977" spans="1:38" x14ac:dyDescent="0.35">
      <c r="A977" t="s">
        <v>61</v>
      </c>
      <c r="E977">
        <v>5.4725993327121199E-3</v>
      </c>
      <c r="F977">
        <f t="shared" si="41"/>
        <v>-1.8604393614123822E-2</v>
      </c>
      <c r="G977">
        <f t="shared" si="40"/>
        <v>-2.9931867935933758E-2</v>
      </c>
    </row>
    <row r="978" spans="1:38" x14ac:dyDescent="0.35">
      <c r="A978" t="s">
        <v>61</v>
      </c>
      <c r="E978">
        <v>-3.3021673362984933E-3</v>
      </c>
      <c r="F978">
        <f t="shared" si="41"/>
        <v>-1.8611498716757536E-2</v>
      </c>
      <c r="G978">
        <f t="shared" si="40"/>
        <v>-2.9931867935933758E-2</v>
      </c>
    </row>
    <row r="979" spans="1:38" x14ac:dyDescent="0.35">
      <c r="A979" t="s">
        <v>61</v>
      </c>
      <c r="E979">
        <v>6.518857896247305E-3</v>
      </c>
      <c r="F979">
        <f t="shared" si="41"/>
        <v>-1.8618603819391243E-2</v>
      </c>
      <c r="G979">
        <f t="shared" si="40"/>
        <v>-2.9931867935933758E-2</v>
      </c>
    </row>
    <row r="980" spans="1:38" x14ac:dyDescent="0.35">
      <c r="A980" t="s">
        <v>61</v>
      </c>
      <c r="E980">
        <v>3.1643392389994465E-3</v>
      </c>
      <c r="F980">
        <f t="shared" si="41"/>
        <v>-1.8625708922024958E-2</v>
      </c>
      <c r="G980">
        <f t="shared" si="40"/>
        <v>-2.9931867935933758E-2</v>
      </c>
    </row>
    <row r="981" spans="1:38" x14ac:dyDescent="0.35">
      <c r="A981" t="s">
        <v>61</v>
      </c>
      <c r="E981">
        <v>-1.8708352680974799E-3</v>
      </c>
      <c r="F981">
        <f t="shared" si="41"/>
        <v>-1.8626614307131382E-2</v>
      </c>
      <c r="G981">
        <f t="shared" si="40"/>
        <v>-3.0012053460855094E-2</v>
      </c>
    </row>
    <row r="982" spans="1:38" x14ac:dyDescent="0.35">
      <c r="A982" t="s">
        <v>62</v>
      </c>
      <c r="B982" s="3" cm="1">
        <f t="array" ref="B982">_xlfn.STDEV.S(_xlfn._xlws.FILTER($E$2:$E$1000, $A$2:$A$1000="2013-12"))</f>
        <v>1.1322941909118624E-2</v>
      </c>
      <c r="C982" s="3" cm="1">
        <f t="array" ref="C982">AVERAGE(_xlfn._xlws.FILTER($E$2:$E$1000, $A$2:$A$1000="2013-12"))</f>
        <v>2.5660810312747425E-4</v>
      </c>
      <c r="D982" s="3" cm="1">
        <f t="array" ref="D982">_xlfn.PERCENTILE.INC(_xlfn._xlws.FILTER($E$751:$E$999, $A$751:$A$999="2013-12"), 0.05)</f>
        <v>-1.4155505785219713E-2</v>
      </c>
      <c r="E982">
        <v>-3.0532789661048181E-3</v>
      </c>
      <c r="F982">
        <f t="shared" si="41"/>
        <v>-1.8627519692237807E-2</v>
      </c>
      <c r="G982">
        <f t="shared" si="40"/>
        <v>-3.0012053460855094E-2</v>
      </c>
      <c r="AI982" s="3"/>
      <c r="AJ982" s="3"/>
      <c r="AK982" s="3"/>
      <c r="AL982" s="3"/>
    </row>
    <row r="983" spans="1:38" x14ac:dyDescent="0.35">
      <c r="A983" t="s">
        <v>62</v>
      </c>
      <c r="E983">
        <v>-2.0801556466399831E-2</v>
      </c>
      <c r="F983">
        <f t="shared" si="41"/>
        <v>-1.8628425077344232E-2</v>
      </c>
      <c r="G983">
        <f t="shared" si="40"/>
        <v>-3.0012053460855094E-2</v>
      </c>
    </row>
    <row r="984" spans="1:38" x14ac:dyDescent="0.35">
      <c r="A984" t="s">
        <v>62</v>
      </c>
      <c r="E984">
        <v>-7.3664422201189751E-3</v>
      </c>
      <c r="F984">
        <f t="shared" si="41"/>
        <v>-1.8512027279885573E-2</v>
      </c>
      <c r="G984">
        <f t="shared" si="40"/>
        <v>-2.9996621917987191E-2</v>
      </c>
    </row>
    <row r="985" spans="1:38" x14ac:dyDescent="0.35">
      <c r="A985" t="s">
        <v>62</v>
      </c>
      <c r="E985">
        <v>-1.2982673312070281E-2</v>
      </c>
      <c r="F985">
        <f t="shared" si="41"/>
        <v>-1.8519132382519288E-2</v>
      </c>
      <c r="G985">
        <f t="shared" si="40"/>
        <v>-2.9996621917987191E-2</v>
      </c>
    </row>
    <row r="986" spans="1:38" x14ac:dyDescent="0.35">
      <c r="A986" t="s">
        <v>62</v>
      </c>
      <c r="E986">
        <v>9.0239964073189228E-3</v>
      </c>
      <c r="F986">
        <f t="shared" si="41"/>
        <v>-1.8526237485152995E-2</v>
      </c>
      <c r="G986">
        <f t="shared" si="40"/>
        <v>-2.9996621917987191E-2</v>
      </c>
    </row>
    <row r="987" spans="1:38" x14ac:dyDescent="0.35">
      <c r="A987" t="s">
        <v>62</v>
      </c>
      <c r="E987">
        <v>2.9253063026466455E-3</v>
      </c>
      <c r="F987">
        <f t="shared" si="41"/>
        <v>-1.8533342587786709E-2</v>
      </c>
      <c r="G987">
        <f t="shared" si="40"/>
        <v>-2.9996621917987191E-2</v>
      </c>
    </row>
    <row r="988" spans="1:38" x14ac:dyDescent="0.35">
      <c r="A988" t="s">
        <v>62</v>
      </c>
      <c r="E988">
        <v>-9.3487057112953565E-3</v>
      </c>
      <c r="F988">
        <f t="shared" si="41"/>
        <v>-1.854044769042042E-2</v>
      </c>
      <c r="G988">
        <f t="shared" si="40"/>
        <v>-2.9996621917987191E-2</v>
      </c>
    </row>
    <row r="989" spans="1:38" x14ac:dyDescent="0.35">
      <c r="A989" t="s">
        <v>62</v>
      </c>
      <c r="E989">
        <v>-4.5868767340899712E-3</v>
      </c>
      <c r="F989">
        <f t="shared" si="41"/>
        <v>-1.8547552793054131E-2</v>
      </c>
      <c r="G989">
        <f t="shared" si="40"/>
        <v>-2.9996621917987191E-2</v>
      </c>
    </row>
    <row r="990" spans="1:38" x14ac:dyDescent="0.35">
      <c r="A990" t="s">
        <v>62</v>
      </c>
      <c r="E990">
        <v>-6.5323110778728365E-3</v>
      </c>
      <c r="F990">
        <f t="shared" si="41"/>
        <v>-1.8554657895687846E-2</v>
      </c>
      <c r="G990">
        <f t="shared" si="40"/>
        <v>-2.9996621917987191E-2</v>
      </c>
    </row>
    <row r="991" spans="1:38" x14ac:dyDescent="0.35">
      <c r="A991" t="s">
        <v>62</v>
      </c>
      <c r="E991">
        <v>-2.1196444199791391E-3</v>
      </c>
      <c r="F991">
        <f t="shared" si="41"/>
        <v>-1.8561762998321553E-2</v>
      </c>
      <c r="G991">
        <f t="shared" si="40"/>
        <v>-2.9996621917987191E-2</v>
      </c>
    </row>
    <row r="992" spans="1:38" x14ac:dyDescent="0.35">
      <c r="A992" t="s">
        <v>62</v>
      </c>
      <c r="E992">
        <v>1.9269529188202128E-2</v>
      </c>
      <c r="F992">
        <f t="shared" si="41"/>
        <v>-1.8568868100955267E-2</v>
      </c>
      <c r="G992">
        <f t="shared" si="40"/>
        <v>-2.9996621917987191E-2</v>
      </c>
    </row>
    <row r="993" spans="1:38" x14ac:dyDescent="0.35">
      <c r="A993" t="s">
        <v>62</v>
      </c>
      <c r="E993">
        <v>-1.2502421940787519E-2</v>
      </c>
      <c r="F993">
        <f t="shared" si="41"/>
        <v>-1.8575973203588978E-2</v>
      </c>
      <c r="G993">
        <f t="shared" si="40"/>
        <v>-2.9996621917987191E-2</v>
      </c>
    </row>
    <row r="994" spans="1:38" x14ac:dyDescent="0.35">
      <c r="A994" t="s">
        <v>62</v>
      </c>
      <c r="E994">
        <v>1.1266248947595037E-2</v>
      </c>
      <c r="F994">
        <f t="shared" si="41"/>
        <v>-1.8583078306222689E-2</v>
      </c>
      <c r="G994">
        <f t="shared" si="40"/>
        <v>-2.9996621917987191E-2</v>
      </c>
    </row>
    <row r="995" spans="1:38" x14ac:dyDescent="0.35">
      <c r="A995" t="s">
        <v>62</v>
      </c>
      <c r="E995">
        <v>1.8634803504630093E-2</v>
      </c>
      <c r="F995">
        <f t="shared" si="41"/>
        <v>-1.85901834088564E-2</v>
      </c>
      <c r="G995">
        <f t="shared" si="40"/>
        <v>-2.9996621917987191E-2</v>
      </c>
    </row>
    <row r="996" spans="1:38" x14ac:dyDescent="0.35">
      <c r="A996" t="s">
        <v>62</v>
      </c>
      <c r="E996">
        <v>6.0193590075677782E-3</v>
      </c>
      <c r="F996">
        <f t="shared" si="41"/>
        <v>-1.8597288511490111E-2</v>
      </c>
      <c r="G996">
        <f t="shared" si="40"/>
        <v>-2.9996621917987191E-2</v>
      </c>
    </row>
    <row r="997" spans="1:38" x14ac:dyDescent="0.35">
      <c r="A997" t="s">
        <v>62</v>
      </c>
      <c r="E997">
        <v>7.0454814613496028E-3</v>
      </c>
      <c r="F997">
        <f t="shared" si="41"/>
        <v>-1.8604393614123822E-2</v>
      </c>
      <c r="G997">
        <f t="shared" si="40"/>
        <v>-2.9996621917987191E-2</v>
      </c>
    </row>
    <row r="998" spans="1:38" x14ac:dyDescent="0.35">
      <c r="A998" t="s">
        <v>62</v>
      </c>
      <c r="E998">
        <v>1.308920904818681E-2</v>
      </c>
      <c r="F998">
        <f t="shared" si="41"/>
        <v>-1.8611498716757536E-2</v>
      </c>
      <c r="G998">
        <f t="shared" si="40"/>
        <v>-2.9996621917987191E-2</v>
      </c>
    </row>
    <row r="999" spans="1:38" x14ac:dyDescent="0.35">
      <c r="A999" t="s">
        <v>62</v>
      </c>
      <c r="E999">
        <v>-3.3610771624837505E-3</v>
      </c>
      <c r="F999">
        <f t="shared" si="41"/>
        <v>-1.8618603819391243E-2</v>
      </c>
      <c r="G999">
        <f t="shared" si="40"/>
        <v>-2.9996621917987191E-2</v>
      </c>
    </row>
    <row r="1000" spans="1:38" x14ac:dyDescent="0.35">
      <c r="A1000" t="s">
        <v>63</v>
      </c>
      <c r="B1000" s="3" cm="1">
        <f t="array" ref="B1000">_xlfn.STDEV.S(_xlfn._xlws.FILTER($E$1000:$E$1998, $A$1000:$A$1998="2014-01"))</f>
        <v>9.4424519593489104E-3</v>
      </c>
      <c r="C1000" s="3" cm="1">
        <f t="array" ref="C1000">AVERAGE(_xlfn._xlws.FILTER($E$1000:$E$1998, $A$1000:$A$1998="2014-01"))</f>
        <v>-1.2930562629087773E-3</v>
      </c>
      <c r="D1000" s="3" cm="1">
        <f t="array" ref="D1000">_xlfn.PERCENTILE.EXC(_xlfn._xlws.FILTER($E$1000:$E$1497, $A$1000:$A$1497="2014-01"), 0.05)</f>
        <v>-2.6585544174891878E-2</v>
      </c>
      <c r="E1000">
        <v>-1.3310026614458063E-2</v>
      </c>
      <c r="F1000">
        <f t="shared" si="41"/>
        <v>-1.8625708922024958E-2</v>
      </c>
      <c r="G1000">
        <f t="shared" si="40"/>
        <v>-2.9996621917987191E-2</v>
      </c>
      <c r="AI1000" s="3"/>
      <c r="AJ1000" s="3"/>
      <c r="AK1000" s="3"/>
      <c r="AL1000" s="3"/>
    </row>
    <row r="1001" spans="1:38" x14ac:dyDescent="0.35">
      <c r="A1001" t="s">
        <v>63</v>
      </c>
      <c r="E1001">
        <v>4.7274783368090757E-3</v>
      </c>
      <c r="F1001">
        <f t="shared" si="41"/>
        <v>-1.8626614307131382E-2</v>
      </c>
      <c r="G1001">
        <f t="shared" si="40"/>
        <v>-3.0077842725101205E-2</v>
      </c>
    </row>
    <row r="1002" spans="1:38" x14ac:dyDescent="0.35">
      <c r="A1002" t="s">
        <v>63</v>
      </c>
      <c r="E1002">
        <v>-1.7156096981102073E-3</v>
      </c>
      <c r="F1002">
        <f t="shared" si="41"/>
        <v>-1.8627519692237807E-2</v>
      </c>
      <c r="G1002">
        <f t="shared" si="40"/>
        <v>-3.0077842725101205E-2</v>
      </c>
    </row>
    <row r="1003" spans="1:38" x14ac:dyDescent="0.35">
      <c r="A1003" t="s">
        <v>63</v>
      </c>
      <c r="E1003">
        <v>1.3527451706443891E-2</v>
      </c>
      <c r="F1003">
        <f t="shared" si="41"/>
        <v>-1.8628425077344232E-2</v>
      </c>
      <c r="G1003">
        <f t="shared" si="40"/>
        <v>-3.0077842725101205E-2</v>
      </c>
    </row>
    <row r="1004" spans="1:38" x14ac:dyDescent="0.35">
      <c r="A1004" t="s">
        <v>63</v>
      </c>
      <c r="E1004">
        <v>-9.6437905314908961E-5</v>
      </c>
      <c r="F1004">
        <f t="shared" si="41"/>
        <v>-1.8629330462450657E-2</v>
      </c>
      <c r="G1004">
        <f t="shared" si="40"/>
        <v>-3.0077842725101205E-2</v>
      </c>
    </row>
    <row r="1005" spans="1:38" x14ac:dyDescent="0.35">
      <c r="A1005" t="s">
        <v>63</v>
      </c>
      <c r="E1005">
        <v>-6.579692560764701E-3</v>
      </c>
      <c r="F1005">
        <f t="shared" si="41"/>
        <v>-1.8630235847557082E-2</v>
      </c>
      <c r="G1005">
        <f t="shared" si="40"/>
        <v>-3.0077842725101205E-2</v>
      </c>
    </row>
    <row r="1006" spans="1:38" x14ac:dyDescent="0.35">
      <c r="A1006" t="s">
        <v>63</v>
      </c>
      <c r="E1006">
        <v>4.4846961309342719E-3</v>
      </c>
      <c r="F1006">
        <f t="shared" si="41"/>
        <v>-1.8631141232663507E-2</v>
      </c>
      <c r="G1006">
        <f t="shared" si="40"/>
        <v>-3.0077842725101205E-2</v>
      </c>
    </row>
    <row r="1007" spans="1:38" x14ac:dyDescent="0.35">
      <c r="A1007" t="s">
        <v>63</v>
      </c>
      <c r="E1007">
        <v>2.5064000289865352E-3</v>
      </c>
      <c r="F1007">
        <f t="shared" si="41"/>
        <v>-1.8632046617769932E-2</v>
      </c>
      <c r="G1007">
        <f t="shared" si="40"/>
        <v>-3.0077842725101205E-2</v>
      </c>
    </row>
    <row r="1008" spans="1:38" x14ac:dyDescent="0.35">
      <c r="A1008" t="s">
        <v>63</v>
      </c>
      <c r="E1008">
        <v>2.4360235236269073E-3</v>
      </c>
      <c r="F1008">
        <f t="shared" si="41"/>
        <v>-1.8632952002876357E-2</v>
      </c>
      <c r="G1008">
        <f t="shared" si="40"/>
        <v>-3.0077842725101205E-2</v>
      </c>
    </row>
    <row r="1009" spans="1:38" x14ac:dyDescent="0.35">
      <c r="A1009" t="s">
        <v>63</v>
      </c>
      <c r="E1009">
        <v>1.5657994722666036E-2</v>
      </c>
      <c r="F1009">
        <f t="shared" si="41"/>
        <v>-1.8633857387982778E-2</v>
      </c>
      <c r="G1009">
        <f t="shared" si="40"/>
        <v>-3.0077842725101205E-2</v>
      </c>
    </row>
    <row r="1010" spans="1:38" x14ac:dyDescent="0.35">
      <c r="A1010" t="s">
        <v>63</v>
      </c>
      <c r="E1010">
        <v>-5.8744012854191853E-3</v>
      </c>
      <c r="F1010">
        <f t="shared" si="41"/>
        <v>-1.8634762773089203E-2</v>
      </c>
      <c r="G1010">
        <f t="shared" si="40"/>
        <v>-3.0077842725101205E-2</v>
      </c>
    </row>
    <row r="1011" spans="1:38" x14ac:dyDescent="0.35">
      <c r="A1011" t="s">
        <v>63</v>
      </c>
      <c r="E1011">
        <v>1.2372509231816026E-3</v>
      </c>
      <c r="F1011">
        <f t="shared" si="41"/>
        <v>-1.8635668158195628E-2</v>
      </c>
      <c r="G1011">
        <f t="shared" si="40"/>
        <v>-3.0077842725101205E-2</v>
      </c>
    </row>
    <row r="1012" spans="1:38" x14ac:dyDescent="0.35">
      <c r="A1012" t="s">
        <v>63</v>
      </c>
      <c r="E1012">
        <v>-2.9489779468438521E-4</v>
      </c>
      <c r="F1012">
        <f t="shared" si="41"/>
        <v>-1.8636573543302053E-2</v>
      </c>
      <c r="G1012">
        <f t="shared" si="40"/>
        <v>-3.0077842725101205E-2</v>
      </c>
    </row>
    <row r="1013" spans="1:38" x14ac:dyDescent="0.35">
      <c r="A1013" t="s">
        <v>63</v>
      </c>
      <c r="E1013">
        <v>-2.8543111994109405E-5</v>
      </c>
      <c r="F1013">
        <f t="shared" si="41"/>
        <v>-1.8637478928408478E-2</v>
      </c>
      <c r="G1013">
        <f t="shared" si="40"/>
        <v>-3.0077842725101205E-2</v>
      </c>
    </row>
    <row r="1014" spans="1:38" x14ac:dyDescent="0.35">
      <c r="A1014" t="s">
        <v>63</v>
      </c>
      <c r="E1014">
        <v>-5.742067143263863E-4</v>
      </c>
      <c r="F1014">
        <f t="shared" si="41"/>
        <v>-1.8638384313514902E-2</v>
      </c>
      <c r="G1014">
        <f t="shared" si="40"/>
        <v>-3.0077842725101205E-2</v>
      </c>
    </row>
    <row r="1015" spans="1:38" x14ac:dyDescent="0.35">
      <c r="A1015" t="s">
        <v>63</v>
      </c>
      <c r="E1015">
        <v>-1.0908880027630441E-2</v>
      </c>
      <c r="F1015">
        <f t="shared" si="41"/>
        <v>-1.8639289698621327E-2</v>
      </c>
      <c r="G1015">
        <f t="shared" si="40"/>
        <v>-3.0077842725101205E-2</v>
      </c>
    </row>
    <row r="1016" spans="1:38" x14ac:dyDescent="0.35">
      <c r="A1016" t="s">
        <v>63</v>
      </c>
      <c r="E1016">
        <v>-2.8928282567909611E-2</v>
      </c>
      <c r="F1016">
        <f t="shared" si="41"/>
        <v>-1.8640195083727752E-2</v>
      </c>
      <c r="G1016">
        <f t="shared" si="40"/>
        <v>-3.0077842725101205E-2</v>
      </c>
    </row>
    <row r="1017" spans="1:38" x14ac:dyDescent="0.35">
      <c r="A1017" t="s">
        <v>63</v>
      </c>
      <c r="E1017">
        <v>-4.4945978404963734E-3</v>
      </c>
      <c r="F1017">
        <f t="shared" si="41"/>
        <v>-1.8604393614123822E-2</v>
      </c>
      <c r="G1017">
        <f t="shared" si="40"/>
        <v>-3.0004252913344891E-2</v>
      </c>
    </row>
    <row r="1018" spans="1:38" x14ac:dyDescent="0.35">
      <c r="A1018" t="s">
        <v>63</v>
      </c>
      <c r="E1018">
        <v>7.9230972758908315E-3</v>
      </c>
      <c r="F1018">
        <f t="shared" si="41"/>
        <v>-1.8611498716757536E-2</v>
      </c>
      <c r="G1018">
        <f t="shared" si="40"/>
        <v>-3.0004252913344891E-2</v>
      </c>
    </row>
    <row r="1019" spans="1:38" x14ac:dyDescent="0.35">
      <c r="A1019" t="s">
        <v>63</v>
      </c>
      <c r="E1019">
        <v>-8.9751926854720158E-3</v>
      </c>
      <c r="F1019">
        <f t="shared" si="41"/>
        <v>-1.8618603819391243E-2</v>
      </c>
      <c r="G1019">
        <f t="shared" si="40"/>
        <v>-3.0004252913344891E-2</v>
      </c>
    </row>
    <row r="1020" spans="1:38" x14ac:dyDescent="0.35">
      <c r="A1020" t="s">
        <v>63</v>
      </c>
      <c r="E1020">
        <v>5.2494428143987637E-3</v>
      </c>
      <c r="F1020">
        <f t="shared" si="41"/>
        <v>-1.8625708922024958E-2</v>
      </c>
      <c r="G1020">
        <f t="shared" si="40"/>
        <v>-3.0004252913344891E-2</v>
      </c>
    </row>
    <row r="1021" spans="1:38" x14ac:dyDescent="0.35">
      <c r="A1021" t="s">
        <v>63</v>
      </c>
      <c r="E1021">
        <v>-4.4163044403506225E-3</v>
      </c>
      <c r="F1021">
        <f t="shared" si="41"/>
        <v>-1.8626614307131382E-2</v>
      </c>
      <c r="G1021">
        <f t="shared" si="40"/>
        <v>-3.0086112942059415E-2</v>
      </c>
    </row>
    <row r="1022" spans="1:38" x14ac:dyDescent="0.35">
      <c r="A1022" t="s">
        <v>64</v>
      </c>
      <c r="B1022" s="3" cm="1">
        <f t="array" ref="B1022">_xlfn.STDEV.S(_xlfn._xlws.FILTER($E$1000:$E$1998, $A$1000:$A$1998="2014-02"))</f>
        <v>7.0760974895240272E-3</v>
      </c>
      <c r="C1022" s="3" cm="1">
        <f t="array" ref="C1022">AVERAGE(_xlfn._xlws.FILTER($E$1000:$E$1998, $A$1000:$A$1998="2014-02"))</f>
        <v>2.1951574897789657E-3</v>
      </c>
      <c r="D1022" s="3" cm="1">
        <f t="array" ref="D1022">_xlfn.PERCENTILE.EXC(_xlfn._xlws.FILTER($E$1000:$E$1497, $A$1000:$A$1497="2014-02"), 0.05)</f>
        <v>-1.6103068285956638E-2</v>
      </c>
      <c r="E1022">
        <v>-1.6728616649979957E-2</v>
      </c>
      <c r="F1022">
        <f t="shared" si="41"/>
        <v>-1.8627519692237807E-2</v>
      </c>
      <c r="G1022">
        <f t="shared" si="40"/>
        <v>-3.0086112942059415E-2</v>
      </c>
      <c r="AI1022" s="3"/>
      <c r="AJ1022" s="3"/>
      <c r="AK1022" s="3"/>
      <c r="AL1022" s="3"/>
    </row>
    <row r="1023" spans="1:38" x14ac:dyDescent="0.35">
      <c r="A1023" t="s">
        <v>64</v>
      </c>
      <c r="E1023">
        <v>-4.9608113799901943E-4</v>
      </c>
      <c r="F1023">
        <f t="shared" si="41"/>
        <v>-1.8628425077344232E-2</v>
      </c>
      <c r="G1023">
        <f t="shared" si="40"/>
        <v>-3.0086112942059415E-2</v>
      </c>
    </row>
    <row r="1024" spans="1:38" x14ac:dyDescent="0.35">
      <c r="A1024" t="s">
        <v>64</v>
      </c>
      <c r="E1024">
        <v>6.7510548524986624E-6</v>
      </c>
      <c r="F1024">
        <f t="shared" si="41"/>
        <v>-1.8629330462450657E-2</v>
      </c>
      <c r="G1024">
        <f t="shared" si="40"/>
        <v>-3.0086112942059415E-2</v>
      </c>
    </row>
    <row r="1025" spans="1:7" x14ac:dyDescent="0.35">
      <c r="A1025" t="s">
        <v>64</v>
      </c>
      <c r="E1025">
        <v>1.616562081336697E-2</v>
      </c>
      <c r="F1025">
        <f t="shared" si="41"/>
        <v>-1.8630235847557082E-2</v>
      </c>
      <c r="G1025">
        <f t="shared" si="40"/>
        <v>-3.0086112942059415E-2</v>
      </c>
    </row>
    <row r="1026" spans="1:7" x14ac:dyDescent="0.35">
      <c r="A1026" t="s">
        <v>64</v>
      </c>
      <c r="E1026">
        <v>9.158178693930475E-3</v>
      </c>
      <c r="F1026">
        <f t="shared" si="41"/>
        <v>-1.8631141232663507E-2</v>
      </c>
      <c r="G1026">
        <f t="shared" si="40"/>
        <v>-3.0086112942059415E-2</v>
      </c>
    </row>
    <row r="1027" spans="1:7" x14ac:dyDescent="0.35">
      <c r="A1027" t="s">
        <v>64</v>
      </c>
      <c r="E1027">
        <v>-1.9634268754416934E-3</v>
      </c>
      <c r="F1027">
        <f t="shared" si="41"/>
        <v>-1.8632046617769932E-2</v>
      </c>
      <c r="G1027">
        <f t="shared" ref="G1027:G1090" si="42">AVERAGEIFS(E1027:E4843,E1027:E4843,"&lt;=" &amp; F1027)</f>
        <v>-3.0086112942059415E-2</v>
      </c>
    </row>
    <row r="1028" spans="1:7" x14ac:dyDescent="0.35">
      <c r="A1028" t="s">
        <v>64</v>
      </c>
      <c r="E1028">
        <v>1.4583840737109405E-2</v>
      </c>
      <c r="F1028">
        <f t="shared" ref="F1028:F1091" si="43">_xlfn.PERCENTILE.EXC(E1028:E4843,0.05)</f>
        <v>-1.8632952002876357E-2</v>
      </c>
      <c r="G1028">
        <f t="shared" si="42"/>
        <v>-3.0086112942059415E-2</v>
      </c>
    </row>
    <row r="1029" spans="1:7" x14ac:dyDescent="0.35">
      <c r="A1029" t="s">
        <v>64</v>
      </c>
      <c r="E1029">
        <v>5.7712689575358401E-3</v>
      </c>
      <c r="F1029">
        <f t="shared" si="43"/>
        <v>-1.8633857387982778E-2</v>
      </c>
      <c r="G1029">
        <f t="shared" si="42"/>
        <v>-3.0086112942059415E-2</v>
      </c>
    </row>
    <row r="1030" spans="1:7" x14ac:dyDescent="0.35">
      <c r="A1030" t="s">
        <v>64</v>
      </c>
      <c r="E1030">
        <v>9.88238110151944E-4</v>
      </c>
      <c r="F1030">
        <f t="shared" si="43"/>
        <v>-1.8634762773089203E-2</v>
      </c>
      <c r="G1030">
        <f t="shared" si="42"/>
        <v>-3.0086112942059415E-2</v>
      </c>
    </row>
    <row r="1031" spans="1:7" x14ac:dyDescent="0.35">
      <c r="A1031" t="s">
        <v>64</v>
      </c>
      <c r="E1031">
        <v>6.7910719559222824E-3</v>
      </c>
      <c r="F1031">
        <f t="shared" si="43"/>
        <v>-1.8635668158195628E-2</v>
      </c>
      <c r="G1031">
        <f t="shared" si="42"/>
        <v>-3.0086112942059415E-2</v>
      </c>
    </row>
    <row r="1032" spans="1:7" x14ac:dyDescent="0.35">
      <c r="A1032" t="s">
        <v>64</v>
      </c>
      <c r="E1032">
        <v>-4.8092568585263866E-5</v>
      </c>
      <c r="F1032">
        <f t="shared" si="43"/>
        <v>-1.8636573543302053E-2</v>
      </c>
      <c r="G1032">
        <f t="shared" si="42"/>
        <v>-3.0086112942059415E-2</v>
      </c>
    </row>
    <row r="1033" spans="1:7" x14ac:dyDescent="0.35">
      <c r="A1033" t="s">
        <v>64</v>
      </c>
      <c r="E1033">
        <v>-4.7142961098231394E-4</v>
      </c>
      <c r="F1033">
        <f t="shared" si="43"/>
        <v>-1.8637478928408478E-2</v>
      </c>
      <c r="G1033">
        <f t="shared" si="42"/>
        <v>-3.0086112942059415E-2</v>
      </c>
    </row>
    <row r="1034" spans="1:7" x14ac:dyDescent="0.35">
      <c r="A1034" t="s">
        <v>64</v>
      </c>
      <c r="E1034">
        <v>1.0772270143235407E-3</v>
      </c>
      <c r="F1034">
        <f t="shared" si="43"/>
        <v>-1.8638384313514902E-2</v>
      </c>
      <c r="G1034">
        <f t="shared" si="42"/>
        <v>-3.0086112942059415E-2</v>
      </c>
    </row>
    <row r="1035" spans="1:7" x14ac:dyDescent="0.35">
      <c r="A1035" t="s">
        <v>64</v>
      </c>
      <c r="E1035">
        <v>2.531081858766339E-4</v>
      </c>
      <c r="F1035">
        <f t="shared" si="43"/>
        <v>-1.8639289698621327E-2</v>
      </c>
      <c r="G1035">
        <f t="shared" si="42"/>
        <v>-3.0086112942059415E-2</v>
      </c>
    </row>
    <row r="1036" spans="1:7" x14ac:dyDescent="0.35">
      <c r="A1036" t="s">
        <v>64</v>
      </c>
      <c r="E1036">
        <v>3.2239211965212687E-3</v>
      </c>
      <c r="F1036">
        <f t="shared" si="43"/>
        <v>-1.8640195083727752E-2</v>
      </c>
      <c r="G1036">
        <f t="shared" si="42"/>
        <v>-3.0086112942059415E-2</v>
      </c>
    </row>
    <row r="1037" spans="1:7" x14ac:dyDescent="0.35">
      <c r="A1037" t="s">
        <v>64</v>
      </c>
      <c r="E1037">
        <v>8.1539906508220576E-3</v>
      </c>
      <c r="F1037">
        <f t="shared" si="43"/>
        <v>-1.8641100468834177E-2</v>
      </c>
      <c r="G1037">
        <f t="shared" si="42"/>
        <v>-3.0086112942059415E-2</v>
      </c>
    </row>
    <row r="1038" spans="1:7" x14ac:dyDescent="0.35">
      <c r="A1038" t="s">
        <v>64</v>
      </c>
      <c r="E1038">
        <v>5.3841853819742462E-5</v>
      </c>
      <c r="F1038">
        <f t="shared" si="43"/>
        <v>-1.8642005853940602E-2</v>
      </c>
      <c r="G1038">
        <f t="shared" si="42"/>
        <v>-3.0086112942059415E-2</v>
      </c>
    </row>
    <row r="1039" spans="1:7" x14ac:dyDescent="0.35">
      <c r="A1039" t="s">
        <v>64</v>
      </c>
      <c r="E1039">
        <v>-2.946556582081095E-3</v>
      </c>
      <c r="F1039">
        <f t="shared" si="43"/>
        <v>-1.8642911239047027E-2</v>
      </c>
      <c r="G1039">
        <f t="shared" si="42"/>
        <v>-3.0086112942059415E-2</v>
      </c>
    </row>
    <row r="1040" spans="1:7" x14ac:dyDescent="0.35">
      <c r="A1040" t="s">
        <v>64</v>
      </c>
      <c r="E1040">
        <v>-4.2176493695135616E-3</v>
      </c>
      <c r="F1040">
        <f t="shared" si="43"/>
        <v>-1.8643816624153452E-2</v>
      </c>
      <c r="G1040">
        <f t="shared" si="42"/>
        <v>-3.0086112942059415E-2</v>
      </c>
    </row>
    <row r="1041" spans="1:38" x14ac:dyDescent="0.35">
      <c r="A1041" t="s">
        <v>64</v>
      </c>
      <c r="E1041">
        <v>4.5479433659295554E-3</v>
      </c>
      <c r="F1041">
        <f t="shared" si="43"/>
        <v>-1.8647191553922641E-2</v>
      </c>
      <c r="G1041">
        <f t="shared" si="42"/>
        <v>-3.016902813276888E-2</v>
      </c>
    </row>
    <row r="1042" spans="1:38" x14ac:dyDescent="0.35">
      <c r="A1042" t="s">
        <v>65</v>
      </c>
      <c r="B1042" s="3" cm="1">
        <f t="array" ref="B1042">_xlfn.STDEV.S(_xlfn._xlws.FILTER($E$1000:$E$1998, $A$1000:$A$1998="2014-03"))</f>
        <v>1.2695924951632322E-2</v>
      </c>
      <c r="C1042" s="3" cm="1">
        <f t="array" ref="C1042">AVERAGE(_xlfn._xlws.FILTER($E$1000:$E$1998, $A$1000:$A$1998="2014-03"))</f>
        <v>1.8667857427273306E-4</v>
      </c>
      <c r="D1042" s="3" cm="1">
        <f t="array" ref="D1042">_xlfn.PERCENTILE.EXC(_xlfn._xlws.FILTER($E$1000:$E$1497, $A$1000:$A$1497="2014-03"), 0.05)</f>
        <v>-2.9215778778535473E-2</v>
      </c>
      <c r="E1042">
        <v>-3.0709046114841723E-2</v>
      </c>
      <c r="F1042">
        <f t="shared" si="43"/>
        <v>-1.8650566483691833E-2</v>
      </c>
      <c r="G1042">
        <f t="shared" si="42"/>
        <v>-3.016902813276888E-2</v>
      </c>
      <c r="AI1042" s="3"/>
      <c r="AJ1042" s="3"/>
      <c r="AK1042" s="3"/>
      <c r="AL1042" s="3"/>
    </row>
    <row r="1043" spans="1:38" x14ac:dyDescent="0.35">
      <c r="A1043" t="s">
        <v>65</v>
      </c>
      <c r="E1043">
        <v>2.6604394146910244E-2</v>
      </c>
      <c r="F1043">
        <f t="shared" si="43"/>
        <v>-1.8628425077344232E-2</v>
      </c>
      <c r="G1043">
        <f t="shared" si="42"/>
        <v>-3.0081598933561E-2</v>
      </c>
    </row>
    <row r="1044" spans="1:38" x14ac:dyDescent="0.35">
      <c r="A1044" t="s">
        <v>65</v>
      </c>
      <c r="E1044">
        <v>-1.1479042787983033E-4</v>
      </c>
      <c r="F1044">
        <f t="shared" si="43"/>
        <v>-1.8629330462450657E-2</v>
      </c>
      <c r="G1044">
        <f t="shared" si="42"/>
        <v>-3.0081598933561E-2</v>
      </c>
    </row>
    <row r="1045" spans="1:38" x14ac:dyDescent="0.35">
      <c r="A1045" t="s">
        <v>65</v>
      </c>
      <c r="E1045">
        <v>2.725899307520813E-3</v>
      </c>
      <c r="F1045">
        <f t="shared" si="43"/>
        <v>-1.8630235847557082E-2</v>
      </c>
      <c r="G1045">
        <f t="shared" si="42"/>
        <v>-3.0081598933561E-2</v>
      </c>
    </row>
    <row r="1046" spans="1:38" x14ac:dyDescent="0.35">
      <c r="A1046" t="s">
        <v>65</v>
      </c>
      <c r="E1046">
        <v>-1.5776372751779247E-2</v>
      </c>
      <c r="F1046">
        <f t="shared" si="43"/>
        <v>-1.8631141232663507E-2</v>
      </c>
      <c r="G1046">
        <f t="shared" si="42"/>
        <v>-3.0081598933561E-2</v>
      </c>
    </row>
    <row r="1047" spans="1:38" x14ac:dyDescent="0.35">
      <c r="A1047" t="s">
        <v>65</v>
      </c>
      <c r="E1047">
        <v>-8.1446652100147213E-4</v>
      </c>
      <c r="F1047">
        <f t="shared" si="43"/>
        <v>-1.8632046617769932E-2</v>
      </c>
      <c r="G1047">
        <f t="shared" si="42"/>
        <v>-3.0081598933561E-2</v>
      </c>
    </row>
    <row r="1048" spans="1:38" x14ac:dyDescent="0.35">
      <c r="A1048" t="s">
        <v>65</v>
      </c>
      <c r="E1048">
        <v>-7.760284806337947E-5</v>
      </c>
      <c r="F1048">
        <f t="shared" si="43"/>
        <v>-1.8632952002876357E-2</v>
      </c>
      <c r="G1048">
        <f t="shared" si="42"/>
        <v>-3.0081598933561E-2</v>
      </c>
    </row>
    <row r="1049" spans="1:38" x14ac:dyDescent="0.35">
      <c r="A1049" t="s">
        <v>65</v>
      </c>
      <c r="E1049">
        <v>-8.7983536094180994E-3</v>
      </c>
      <c r="F1049">
        <f t="shared" si="43"/>
        <v>-1.8633857387982778E-2</v>
      </c>
      <c r="G1049">
        <f t="shared" si="42"/>
        <v>-3.0081598933561E-2</v>
      </c>
    </row>
    <row r="1050" spans="1:38" x14ac:dyDescent="0.35">
      <c r="A1050" t="s">
        <v>65</v>
      </c>
      <c r="E1050">
        <v>-1.5093137788694613E-2</v>
      </c>
      <c r="F1050">
        <f t="shared" si="43"/>
        <v>-1.8634762773089203E-2</v>
      </c>
      <c r="G1050">
        <f t="shared" si="42"/>
        <v>-3.0081598933561E-2</v>
      </c>
    </row>
    <row r="1051" spans="1:38" x14ac:dyDescent="0.35">
      <c r="A1051" t="s">
        <v>65</v>
      </c>
      <c r="E1051">
        <v>-4.9467414266779388E-3</v>
      </c>
      <c r="F1051">
        <f t="shared" si="43"/>
        <v>-1.8635668158195628E-2</v>
      </c>
      <c r="G1051">
        <f t="shared" si="42"/>
        <v>-3.0081598933561E-2</v>
      </c>
    </row>
    <row r="1052" spans="1:38" x14ac:dyDescent="0.35">
      <c r="A1052" t="s">
        <v>65</v>
      </c>
      <c r="E1052">
        <v>1.4718221100110807E-2</v>
      </c>
      <c r="F1052">
        <f t="shared" si="43"/>
        <v>-1.8636573543302053E-2</v>
      </c>
      <c r="G1052">
        <f t="shared" si="42"/>
        <v>-3.0081598933561E-2</v>
      </c>
    </row>
    <row r="1053" spans="1:38" x14ac:dyDescent="0.35">
      <c r="A1053" t="s">
        <v>65</v>
      </c>
      <c r="E1053">
        <v>8.0223329703955123E-3</v>
      </c>
      <c r="F1053">
        <f t="shared" si="43"/>
        <v>-1.8637478928408478E-2</v>
      </c>
      <c r="G1053">
        <f t="shared" si="42"/>
        <v>-3.0081598933561E-2</v>
      </c>
    </row>
    <row r="1054" spans="1:38" x14ac:dyDescent="0.35">
      <c r="A1054" t="s">
        <v>65</v>
      </c>
      <c r="E1054">
        <v>8.4876535759128408E-4</v>
      </c>
      <c r="F1054">
        <f t="shared" si="43"/>
        <v>-1.8638384313514902E-2</v>
      </c>
      <c r="G1054">
        <f t="shared" si="42"/>
        <v>-3.0081598933561E-2</v>
      </c>
    </row>
    <row r="1055" spans="1:38" x14ac:dyDescent="0.35">
      <c r="A1055" t="s">
        <v>65</v>
      </c>
      <c r="E1055">
        <v>4.0679605703481539E-3</v>
      </c>
      <c r="F1055">
        <f t="shared" si="43"/>
        <v>-1.8639289698621327E-2</v>
      </c>
      <c r="G1055">
        <f t="shared" si="42"/>
        <v>-3.0081598933561E-2</v>
      </c>
    </row>
    <row r="1056" spans="1:38" x14ac:dyDescent="0.35">
      <c r="A1056" t="s">
        <v>65</v>
      </c>
      <c r="E1056">
        <v>2.4541714619514157E-3</v>
      </c>
      <c r="F1056">
        <f t="shared" si="43"/>
        <v>-1.8640195083727752E-2</v>
      </c>
      <c r="G1056">
        <f t="shared" si="42"/>
        <v>-3.0081598933561E-2</v>
      </c>
    </row>
    <row r="1057" spans="1:38" x14ac:dyDescent="0.35">
      <c r="A1057" t="s">
        <v>65</v>
      </c>
      <c r="E1057">
        <v>-1.4173977820721601E-2</v>
      </c>
      <c r="F1057">
        <f t="shared" si="43"/>
        <v>-1.8641100468834177E-2</v>
      </c>
      <c r="G1057">
        <f t="shared" si="42"/>
        <v>-3.0081598933561E-2</v>
      </c>
    </row>
    <row r="1058" spans="1:38" x14ac:dyDescent="0.35">
      <c r="A1058" t="s">
        <v>65</v>
      </c>
      <c r="E1058">
        <v>1.4222418593006105E-2</v>
      </c>
      <c r="F1058">
        <f t="shared" si="43"/>
        <v>-1.8642005853940602E-2</v>
      </c>
      <c r="G1058">
        <f t="shared" si="42"/>
        <v>-3.0081598933561E-2</v>
      </c>
    </row>
    <row r="1059" spans="1:38" x14ac:dyDescent="0.35">
      <c r="A1059" t="s">
        <v>65</v>
      </c>
      <c r="E1059">
        <v>1.0769663465759792E-2</v>
      </c>
      <c r="F1059">
        <f t="shared" si="43"/>
        <v>-1.8642911239047027E-2</v>
      </c>
      <c r="G1059">
        <f t="shared" si="42"/>
        <v>-3.0081598933561E-2</v>
      </c>
    </row>
    <row r="1060" spans="1:38" x14ac:dyDescent="0.35">
      <c r="A1060" t="s">
        <v>65</v>
      </c>
      <c r="E1060">
        <v>1.1430543141656598E-3</v>
      </c>
      <c r="F1060">
        <f t="shared" si="43"/>
        <v>-1.8643816624153452E-2</v>
      </c>
      <c r="G1060">
        <f t="shared" si="42"/>
        <v>-3.0081598933561E-2</v>
      </c>
    </row>
    <row r="1061" spans="1:38" x14ac:dyDescent="0.35">
      <c r="A1061" t="s">
        <v>65</v>
      </c>
      <c r="E1061">
        <v>1.2267485254802922E-2</v>
      </c>
      <c r="F1061">
        <f t="shared" si="43"/>
        <v>-1.8647191553922641E-2</v>
      </c>
      <c r="G1061">
        <f t="shared" si="42"/>
        <v>-3.0165086395673467E-2</v>
      </c>
    </row>
    <row r="1062" spans="1:38" x14ac:dyDescent="0.35">
      <c r="A1062" t="s">
        <v>65</v>
      </c>
      <c r="E1062">
        <v>-3.4196271737574118E-3</v>
      </c>
      <c r="F1062">
        <f t="shared" si="43"/>
        <v>-1.8650566483691833E-2</v>
      </c>
      <c r="G1062">
        <f t="shared" si="42"/>
        <v>-3.0165086395673467E-2</v>
      </c>
    </row>
    <row r="1063" spans="1:38" x14ac:dyDescent="0.35">
      <c r="A1063" t="s">
        <v>66</v>
      </c>
      <c r="B1063" s="3" cm="1">
        <f t="array" ref="B1063">_xlfn.STDEV.S(_xlfn._xlws.FILTER($E$1000:$E$1998, $A$1000:$A$1998="2014-04"))</f>
        <v>9.4282646342254556E-3</v>
      </c>
      <c r="C1063" s="3" cm="1">
        <f t="array" ref="C1063">AVERAGE(_xlfn._xlws.FILTER($E$1000:$E$1998, $A$1000:$A$1998="2014-04"))</f>
        <v>5.7846648122088175E-4</v>
      </c>
      <c r="D1063" s="3" cm="1">
        <f t="array" ref="D1063">_xlfn.PERCENTILE.EXC(_xlfn._xlws.FILTER($E$1000:$E$1497, $A$1000:$A$1497="2014-04"), 0.05)</f>
        <v>-1.380536068879514E-2</v>
      </c>
      <c r="E1063">
        <v>7.7946941089812602E-3</v>
      </c>
      <c r="F1063">
        <f t="shared" si="43"/>
        <v>-1.865394141346103E-2</v>
      </c>
      <c r="G1063">
        <f t="shared" si="42"/>
        <v>-3.0165086395673467E-2</v>
      </c>
      <c r="AI1063" s="3"/>
      <c r="AJ1063" s="3"/>
      <c r="AK1063" s="3"/>
      <c r="AL1063" s="3"/>
    </row>
    <row r="1064" spans="1:38" x14ac:dyDescent="0.35">
      <c r="A1064" t="s">
        <v>66</v>
      </c>
      <c r="E1064">
        <v>3.4830140661080164E-4</v>
      </c>
      <c r="F1064">
        <f t="shared" si="43"/>
        <v>-1.8657316343230219E-2</v>
      </c>
      <c r="G1064">
        <f t="shared" si="42"/>
        <v>-3.0165086395673467E-2</v>
      </c>
    </row>
    <row r="1065" spans="1:38" x14ac:dyDescent="0.35">
      <c r="A1065" t="s">
        <v>66</v>
      </c>
      <c r="E1065">
        <v>6.0398575280355728E-3</v>
      </c>
      <c r="F1065">
        <f t="shared" si="43"/>
        <v>-1.8660691272999411E-2</v>
      </c>
      <c r="G1065">
        <f t="shared" si="42"/>
        <v>-3.0165086395673467E-2</v>
      </c>
    </row>
    <row r="1066" spans="1:38" x14ac:dyDescent="0.35">
      <c r="A1066" t="s">
        <v>66</v>
      </c>
      <c r="E1066">
        <v>7.32321758347721E-3</v>
      </c>
      <c r="F1066">
        <f t="shared" si="43"/>
        <v>-1.8664066202768601E-2</v>
      </c>
      <c r="G1066">
        <f t="shared" si="42"/>
        <v>-3.0165086395673467E-2</v>
      </c>
    </row>
    <row r="1067" spans="1:38" x14ac:dyDescent="0.35">
      <c r="A1067" t="s">
        <v>66</v>
      </c>
      <c r="E1067">
        <v>-1.3827503950849356E-2</v>
      </c>
      <c r="F1067">
        <f t="shared" si="43"/>
        <v>-1.8667441132537793E-2</v>
      </c>
      <c r="G1067">
        <f t="shared" si="42"/>
        <v>-3.0165086395673467E-2</v>
      </c>
    </row>
    <row r="1068" spans="1:38" x14ac:dyDescent="0.35">
      <c r="A1068" t="s">
        <v>66</v>
      </c>
      <c r="E1068">
        <v>-2.6117183819902834E-3</v>
      </c>
      <c r="F1068">
        <f t="shared" si="43"/>
        <v>-1.8670816062306989E-2</v>
      </c>
      <c r="G1068">
        <f t="shared" si="42"/>
        <v>-3.0165086395673467E-2</v>
      </c>
    </row>
    <row r="1069" spans="1:38" x14ac:dyDescent="0.35">
      <c r="A1069" t="s">
        <v>66</v>
      </c>
      <c r="E1069">
        <v>1.6130937629840508E-3</v>
      </c>
      <c r="F1069">
        <f t="shared" si="43"/>
        <v>-1.8674190992076178E-2</v>
      </c>
      <c r="G1069">
        <f t="shared" si="42"/>
        <v>-3.0165086395673467E-2</v>
      </c>
    </row>
    <row r="1070" spans="1:38" x14ac:dyDescent="0.35">
      <c r="A1070" t="s">
        <v>66</v>
      </c>
      <c r="E1070">
        <v>-9.4481932082182019E-3</v>
      </c>
      <c r="F1070">
        <f t="shared" si="43"/>
        <v>-1.8677565921845371E-2</v>
      </c>
      <c r="G1070">
        <f t="shared" si="42"/>
        <v>-3.0165086395673467E-2</v>
      </c>
    </row>
    <row r="1071" spans="1:38" x14ac:dyDescent="0.35">
      <c r="A1071" t="s">
        <v>66</v>
      </c>
      <c r="E1071">
        <v>-1.1586565325083386E-2</v>
      </c>
      <c r="F1071">
        <f t="shared" si="43"/>
        <v>-1.868094085161456E-2</v>
      </c>
      <c r="G1071">
        <f t="shared" si="42"/>
        <v>-3.0165086395673467E-2</v>
      </c>
    </row>
    <row r="1072" spans="1:38" x14ac:dyDescent="0.35">
      <c r="A1072" t="s">
        <v>66</v>
      </c>
      <c r="E1072">
        <v>4.8110641428455265E-3</v>
      </c>
      <c r="F1072">
        <f t="shared" si="43"/>
        <v>-1.8684315781383753E-2</v>
      </c>
      <c r="G1072">
        <f t="shared" si="42"/>
        <v>-3.0165086395673467E-2</v>
      </c>
    </row>
    <row r="1073" spans="1:38" x14ac:dyDescent="0.35">
      <c r="A1073" t="s">
        <v>66</v>
      </c>
      <c r="E1073">
        <v>-1.287159689119719E-2</v>
      </c>
      <c r="F1073">
        <f t="shared" si="43"/>
        <v>-1.8687690711152949E-2</v>
      </c>
      <c r="G1073">
        <f t="shared" si="42"/>
        <v>-3.0165086395673467E-2</v>
      </c>
    </row>
    <row r="1074" spans="1:38" x14ac:dyDescent="0.35">
      <c r="A1074" t="s">
        <v>66</v>
      </c>
      <c r="E1074">
        <v>1.5324224009092524E-2</v>
      </c>
      <c r="F1074">
        <f t="shared" si="43"/>
        <v>-1.8691065640922138E-2</v>
      </c>
      <c r="G1074">
        <f t="shared" si="42"/>
        <v>-3.0165086395673467E-2</v>
      </c>
    </row>
    <row r="1075" spans="1:38" x14ac:dyDescent="0.35">
      <c r="A1075" t="s">
        <v>66</v>
      </c>
      <c r="E1075">
        <v>5.2580950269274151E-3</v>
      </c>
      <c r="F1075">
        <f t="shared" si="43"/>
        <v>-1.8694440570691331E-2</v>
      </c>
      <c r="G1075">
        <f t="shared" si="42"/>
        <v>-3.0165086395673467E-2</v>
      </c>
    </row>
    <row r="1076" spans="1:38" x14ac:dyDescent="0.35">
      <c r="A1076" t="s">
        <v>66</v>
      </c>
      <c r="E1076">
        <v>1.3808731729967452E-2</v>
      </c>
      <c r="F1076">
        <f t="shared" si="43"/>
        <v>-1.869781550046052E-2</v>
      </c>
      <c r="G1076">
        <f t="shared" si="42"/>
        <v>-3.0165086395673467E-2</v>
      </c>
    </row>
    <row r="1077" spans="1:38" x14ac:dyDescent="0.35">
      <c r="A1077" t="s">
        <v>66</v>
      </c>
      <c r="E1077">
        <v>-7.4408326165467369E-3</v>
      </c>
      <c r="F1077">
        <f t="shared" si="43"/>
        <v>-1.8701190430229712E-2</v>
      </c>
      <c r="G1077">
        <f t="shared" si="42"/>
        <v>-3.0165086395673467E-2</v>
      </c>
    </row>
    <row r="1078" spans="1:38" x14ac:dyDescent="0.35">
      <c r="A1078" t="s">
        <v>66</v>
      </c>
      <c r="E1078">
        <v>4.3482563979437396E-3</v>
      </c>
      <c r="F1078">
        <f t="shared" si="43"/>
        <v>-1.8704565359998909E-2</v>
      </c>
      <c r="G1078">
        <f t="shared" si="42"/>
        <v>-3.0165086395673467E-2</v>
      </c>
    </row>
    <row r="1079" spans="1:38" x14ac:dyDescent="0.35">
      <c r="A1079" t="s">
        <v>66</v>
      </c>
      <c r="E1079">
        <v>-1.3384638709765053E-2</v>
      </c>
      <c r="F1079">
        <f t="shared" si="43"/>
        <v>-1.8707940289768098E-2</v>
      </c>
      <c r="G1079">
        <f t="shared" si="42"/>
        <v>-3.0165086395673467E-2</v>
      </c>
    </row>
    <row r="1080" spans="1:38" x14ac:dyDescent="0.35">
      <c r="A1080" t="s">
        <v>66</v>
      </c>
      <c r="E1080">
        <v>5.8417080420100917E-3</v>
      </c>
      <c r="F1080">
        <f t="shared" si="43"/>
        <v>-1.871131521953729E-2</v>
      </c>
      <c r="G1080">
        <f t="shared" si="42"/>
        <v>-3.0165086395673467E-2</v>
      </c>
    </row>
    <row r="1081" spans="1:38" x14ac:dyDescent="0.35">
      <c r="A1081" t="s">
        <v>66</v>
      </c>
      <c r="E1081">
        <v>1.344121438996188E-2</v>
      </c>
      <c r="F1081">
        <f t="shared" si="43"/>
        <v>-1.8714995044587034E-2</v>
      </c>
      <c r="G1081">
        <f t="shared" si="42"/>
        <v>-3.0249305301380341E-2</v>
      </c>
    </row>
    <row r="1082" spans="1:38" x14ac:dyDescent="0.35">
      <c r="A1082" t="s">
        <v>66</v>
      </c>
      <c r="E1082">
        <v>-3.2120794207696835E-3</v>
      </c>
      <c r="F1082">
        <f t="shared" si="43"/>
        <v>-1.871867486963678E-2</v>
      </c>
      <c r="G1082">
        <f t="shared" si="42"/>
        <v>-3.0249305301380341E-2</v>
      </c>
    </row>
    <row r="1083" spans="1:38" x14ac:dyDescent="0.35">
      <c r="A1083" t="s">
        <v>67</v>
      </c>
      <c r="B1083" s="3" cm="1">
        <f t="array" ref="B1083">_xlfn.STDEV.S(_xlfn._xlws.FILTER($E$1000:$E$1998, $A$1000:$A$1998="2014-05"))</f>
        <v>6.9995688213631271E-3</v>
      </c>
      <c r="C1083" s="3" cm="1">
        <f t="array" ref="C1083">AVERAGE(_xlfn._xlws.FILTER($E$1000:$E$1998, $A$1000:$A$1998="2014-05"))</f>
        <v>7.5497462096484438E-4</v>
      </c>
      <c r="D1083" s="3" cm="1">
        <f t="array" ref="D1083">_xlfn.PERCENTILE.EXC(_xlfn._xlws.FILTER($E$1000:$E$1497, $A$1000:$A$1497="2014-05"), 0.05)</f>
        <v>-1.4811273579061271E-2</v>
      </c>
      <c r="E1083">
        <v>-6.4301036444758463E-3</v>
      </c>
      <c r="F1083">
        <f t="shared" si="43"/>
        <v>-1.8722354694686527E-2</v>
      </c>
      <c r="G1083">
        <f t="shared" si="42"/>
        <v>-3.0249305301380341E-2</v>
      </c>
      <c r="AI1083" s="3"/>
      <c r="AJ1083" s="3"/>
      <c r="AK1083" s="3"/>
      <c r="AL1083" s="3"/>
    </row>
    <row r="1084" spans="1:38" x14ac:dyDescent="0.35">
      <c r="A1084" t="s">
        <v>67</v>
      </c>
      <c r="E1084">
        <v>-8.8816706027992787E-3</v>
      </c>
      <c r="F1084">
        <f t="shared" si="43"/>
        <v>-1.872603451973627E-2</v>
      </c>
      <c r="G1084">
        <f t="shared" si="42"/>
        <v>-3.0249305301380341E-2</v>
      </c>
    </row>
    <row r="1085" spans="1:38" x14ac:dyDescent="0.35">
      <c r="A1085" t="s">
        <v>67</v>
      </c>
      <c r="E1085">
        <v>3.1318078172880622E-3</v>
      </c>
      <c r="F1085">
        <f t="shared" si="43"/>
        <v>-1.8729714344786017E-2</v>
      </c>
      <c r="G1085">
        <f t="shared" si="42"/>
        <v>-3.0249305301380341E-2</v>
      </c>
    </row>
    <row r="1086" spans="1:38" x14ac:dyDescent="0.35">
      <c r="A1086" t="s">
        <v>67</v>
      </c>
      <c r="E1086">
        <v>1.4026066015780245E-2</v>
      </c>
      <c r="F1086">
        <f t="shared" si="43"/>
        <v>-1.873339416983576E-2</v>
      </c>
      <c r="G1086">
        <f t="shared" si="42"/>
        <v>-3.0249305301380341E-2</v>
      </c>
    </row>
    <row r="1087" spans="1:38" x14ac:dyDescent="0.35">
      <c r="A1087" t="s">
        <v>67</v>
      </c>
      <c r="E1087">
        <v>-6.3271238673127499E-3</v>
      </c>
      <c r="F1087">
        <f t="shared" si="43"/>
        <v>-1.8737073994885507E-2</v>
      </c>
      <c r="G1087">
        <f t="shared" si="42"/>
        <v>-3.0249305301380341E-2</v>
      </c>
    </row>
    <row r="1088" spans="1:38" x14ac:dyDescent="0.35">
      <c r="A1088" t="s">
        <v>67</v>
      </c>
      <c r="E1088">
        <v>7.160032216003814E-3</v>
      </c>
      <c r="F1088">
        <f t="shared" si="43"/>
        <v>-1.8740753819935254E-2</v>
      </c>
      <c r="G1088">
        <f t="shared" si="42"/>
        <v>-3.0249305301380341E-2</v>
      </c>
    </row>
    <row r="1089" spans="1:38" x14ac:dyDescent="0.35">
      <c r="A1089" t="s">
        <v>67</v>
      </c>
      <c r="E1089">
        <v>1.4987344577539004E-3</v>
      </c>
      <c r="F1089">
        <f t="shared" si="43"/>
        <v>-1.8744433644984997E-2</v>
      </c>
      <c r="G1089">
        <f t="shared" si="42"/>
        <v>-3.0249305301380341E-2</v>
      </c>
    </row>
    <row r="1090" spans="1:38" x14ac:dyDescent="0.35">
      <c r="A1090" t="s">
        <v>67</v>
      </c>
      <c r="E1090">
        <v>-4.2353088360048036E-4</v>
      </c>
      <c r="F1090">
        <f t="shared" si="43"/>
        <v>-1.8748113470034744E-2</v>
      </c>
      <c r="G1090">
        <f t="shared" si="42"/>
        <v>-3.0249305301380341E-2</v>
      </c>
    </row>
    <row r="1091" spans="1:38" x14ac:dyDescent="0.35">
      <c r="A1091" t="s">
        <v>67</v>
      </c>
      <c r="E1091">
        <v>-1.4811273579061271E-2</v>
      </c>
      <c r="F1091">
        <f t="shared" si="43"/>
        <v>-1.8751793295084487E-2</v>
      </c>
      <c r="G1091">
        <f t="shared" ref="G1091:G1154" si="44">AVERAGEIFS(E1091:E4907,E1091:E4907,"&lt;=" &amp; F1091)</f>
        <v>-3.0249305301380341E-2</v>
      </c>
    </row>
    <row r="1092" spans="1:38" x14ac:dyDescent="0.35">
      <c r="A1092" t="s">
        <v>67</v>
      </c>
      <c r="E1092">
        <v>2.9987680183677068E-3</v>
      </c>
      <c r="F1092">
        <f t="shared" ref="F1092:F1155" si="45">_xlfn.PERCENTILE.EXC(E1092:E4907,0.05)</f>
        <v>-1.8755473120134231E-2</v>
      </c>
      <c r="G1092">
        <f t="shared" si="44"/>
        <v>-3.0249305301380341E-2</v>
      </c>
    </row>
    <row r="1093" spans="1:38" x14ac:dyDescent="0.35">
      <c r="A1093" t="s">
        <v>67</v>
      </c>
      <c r="E1093">
        <v>-8.8922249348631134E-4</v>
      </c>
      <c r="F1093">
        <f t="shared" si="45"/>
        <v>-1.8759152945183977E-2</v>
      </c>
      <c r="G1093">
        <f t="shared" si="44"/>
        <v>-3.0249305301380341E-2</v>
      </c>
    </row>
    <row r="1094" spans="1:38" x14ac:dyDescent="0.35">
      <c r="A1094" t="s">
        <v>67</v>
      </c>
      <c r="E1094">
        <v>-1.8851158834219096E-3</v>
      </c>
      <c r="F1094">
        <f t="shared" si="45"/>
        <v>-1.8762832770233721E-2</v>
      </c>
      <c r="G1094">
        <f t="shared" si="44"/>
        <v>-3.0249305301380341E-2</v>
      </c>
    </row>
    <row r="1095" spans="1:38" x14ac:dyDescent="0.35">
      <c r="A1095" t="s">
        <v>67</v>
      </c>
      <c r="E1095">
        <v>7.2902113300654294E-3</v>
      </c>
      <c r="F1095">
        <f t="shared" si="45"/>
        <v>-1.8766512595283467E-2</v>
      </c>
      <c r="G1095">
        <f t="shared" si="44"/>
        <v>-3.0249305301380341E-2</v>
      </c>
    </row>
    <row r="1096" spans="1:38" x14ac:dyDescent="0.35">
      <c r="A1096" t="s">
        <v>67</v>
      </c>
      <c r="E1096">
        <v>1.7255686968183602E-4</v>
      </c>
      <c r="F1096">
        <f t="shared" si="45"/>
        <v>-1.8770192420333211E-2</v>
      </c>
      <c r="G1096">
        <f t="shared" si="44"/>
        <v>-3.0249305301380341E-2</v>
      </c>
    </row>
    <row r="1097" spans="1:38" x14ac:dyDescent="0.35">
      <c r="A1097" t="s">
        <v>67</v>
      </c>
      <c r="E1097">
        <v>4.8975908852560944E-3</v>
      </c>
      <c r="F1097">
        <f t="shared" si="45"/>
        <v>-1.8773872245382957E-2</v>
      </c>
      <c r="G1097">
        <f t="shared" si="44"/>
        <v>-3.0249305301380341E-2</v>
      </c>
    </row>
    <row r="1098" spans="1:38" x14ac:dyDescent="0.35">
      <c r="A1098" t="s">
        <v>67</v>
      </c>
      <c r="E1098">
        <v>1.271816087011653E-2</v>
      </c>
      <c r="F1098">
        <f t="shared" si="45"/>
        <v>-1.8777552070432704E-2</v>
      </c>
      <c r="G1098">
        <f t="shared" si="44"/>
        <v>-3.0249305301380341E-2</v>
      </c>
    </row>
    <row r="1099" spans="1:38" x14ac:dyDescent="0.35">
      <c r="A1099" t="s">
        <v>67</v>
      </c>
      <c r="E1099">
        <v>6.0395779061714675E-4</v>
      </c>
      <c r="F1099">
        <f t="shared" si="45"/>
        <v>-1.8781231895482448E-2</v>
      </c>
      <c r="G1099">
        <f t="shared" si="44"/>
        <v>-3.0249305301380341E-2</v>
      </c>
    </row>
    <row r="1100" spans="1:38" x14ac:dyDescent="0.35">
      <c r="A1100" t="s">
        <v>67</v>
      </c>
      <c r="E1100">
        <v>-4.8683542535117038E-4</v>
      </c>
      <c r="F1100">
        <f t="shared" si="45"/>
        <v>-1.8784911720532194E-2</v>
      </c>
      <c r="G1100">
        <f t="shared" si="44"/>
        <v>-3.0249305301380341E-2</v>
      </c>
    </row>
    <row r="1101" spans="1:38" x14ac:dyDescent="0.35">
      <c r="A1101" t="s">
        <v>67</v>
      </c>
      <c r="E1101">
        <v>-1.8492093089706735E-5</v>
      </c>
      <c r="F1101">
        <f t="shared" si="45"/>
        <v>-1.8786077737479687E-2</v>
      </c>
      <c r="G1101">
        <f t="shared" si="44"/>
        <v>-3.0334226735312553E-2</v>
      </c>
    </row>
    <row r="1102" spans="1:38" x14ac:dyDescent="0.35">
      <c r="A1102" t="s">
        <v>68</v>
      </c>
      <c r="B1102" s="3" cm="1">
        <f t="array" ref="B1102">_xlfn.STDEV.S(_xlfn._xlws.FILTER($E$1000:$E$1998, $A$1000:$A$1998="2014-06"))</f>
        <v>5.4597656246677274E-3</v>
      </c>
      <c r="C1102" s="3" cm="1">
        <f t="array" ref="C1102">AVERAGE(_xlfn._xlws.FILTER($E$1000:$E$1998, $A$1000:$A$1998="2014-06"))</f>
        <v>-2.4071328132678634E-4</v>
      </c>
      <c r="D1102" s="3" cm="1">
        <f t="array" ref="D1102">_xlfn.PERCENTILE.EXC(_xlfn._xlws.FILTER($E$1000:$E$1497, $A$1000:$A$1497="2014-06"), 0.05)</f>
        <v>-9.6974322949255464E-3</v>
      </c>
      <c r="E1102">
        <v>9.8576805468878598E-4</v>
      </c>
      <c r="F1102">
        <f t="shared" si="45"/>
        <v>-1.8787243754427183E-2</v>
      </c>
      <c r="G1102">
        <f t="shared" si="44"/>
        <v>-3.0334226735312553E-2</v>
      </c>
      <c r="AI1102" s="3"/>
      <c r="AJ1102" s="3"/>
      <c r="AK1102" s="3"/>
      <c r="AL1102" s="3"/>
    </row>
    <row r="1103" spans="1:38" x14ac:dyDescent="0.35">
      <c r="A1103" t="s">
        <v>68</v>
      </c>
      <c r="E1103">
        <v>-2.0835780958069123E-3</v>
      </c>
      <c r="F1103">
        <f t="shared" si="45"/>
        <v>-1.8788409771374678E-2</v>
      </c>
      <c r="G1103">
        <f t="shared" si="44"/>
        <v>-3.0334226735312553E-2</v>
      </c>
    </row>
    <row r="1104" spans="1:38" x14ac:dyDescent="0.35">
      <c r="A1104" t="s">
        <v>68</v>
      </c>
      <c r="E1104">
        <v>-9.6002921416911836E-4</v>
      </c>
      <c r="F1104">
        <f t="shared" si="45"/>
        <v>-1.8789575788322171E-2</v>
      </c>
      <c r="G1104">
        <f t="shared" si="44"/>
        <v>-3.0334226735312553E-2</v>
      </c>
    </row>
    <row r="1105" spans="1:7" x14ac:dyDescent="0.35">
      <c r="A1105" t="s">
        <v>68</v>
      </c>
      <c r="E1105">
        <v>8.953200323704542E-3</v>
      </c>
      <c r="F1105">
        <f t="shared" si="45"/>
        <v>-1.8790741805269667E-2</v>
      </c>
      <c r="G1105">
        <f t="shared" si="44"/>
        <v>-3.0334226735312553E-2</v>
      </c>
    </row>
    <row r="1106" spans="1:7" x14ac:dyDescent="0.35">
      <c r="A1106" t="s">
        <v>68</v>
      </c>
      <c r="E1106">
        <v>8.3001941161393259E-3</v>
      </c>
      <c r="F1106">
        <f t="shared" si="45"/>
        <v>-1.8791907822217159E-2</v>
      </c>
      <c r="G1106">
        <f t="shared" si="44"/>
        <v>-3.0334226735312553E-2</v>
      </c>
    </row>
    <row r="1107" spans="1:7" x14ac:dyDescent="0.35">
      <c r="A1107" t="s">
        <v>68</v>
      </c>
      <c r="E1107">
        <v>3.327507714525499E-3</v>
      </c>
      <c r="F1107">
        <f t="shared" si="45"/>
        <v>-1.8793073839164655E-2</v>
      </c>
      <c r="G1107">
        <f t="shared" si="44"/>
        <v>-3.0334226735312553E-2</v>
      </c>
    </row>
    <row r="1108" spans="1:7" x14ac:dyDescent="0.35">
      <c r="A1108" t="s">
        <v>68</v>
      </c>
      <c r="E1108">
        <v>2.5804282598163178E-3</v>
      </c>
      <c r="F1108">
        <f t="shared" si="45"/>
        <v>-1.8794239856112147E-2</v>
      </c>
      <c r="G1108">
        <f t="shared" si="44"/>
        <v>-3.0334226735312553E-2</v>
      </c>
    </row>
    <row r="1109" spans="1:7" x14ac:dyDescent="0.35">
      <c r="A1109" t="s">
        <v>68</v>
      </c>
      <c r="E1109">
        <v>-7.4846363801183147E-3</v>
      </c>
      <c r="F1109">
        <f t="shared" si="45"/>
        <v>-1.8795405873059643E-2</v>
      </c>
      <c r="G1109">
        <f t="shared" si="44"/>
        <v>-3.0334226735312553E-2</v>
      </c>
    </row>
    <row r="1110" spans="1:7" x14ac:dyDescent="0.35">
      <c r="A1110" t="s">
        <v>68</v>
      </c>
      <c r="E1110">
        <v>-1.4634809415856025E-3</v>
      </c>
      <c r="F1110">
        <f t="shared" si="45"/>
        <v>-1.8796571890007135E-2</v>
      </c>
      <c r="G1110">
        <f t="shared" si="44"/>
        <v>-3.0334226735312553E-2</v>
      </c>
    </row>
    <row r="1111" spans="1:7" x14ac:dyDescent="0.35">
      <c r="A1111" t="s">
        <v>68</v>
      </c>
      <c r="E1111">
        <v>-4.3854841180881158E-4</v>
      </c>
      <c r="F1111">
        <f t="shared" si="45"/>
        <v>-1.8797737906954631E-2</v>
      </c>
      <c r="G1111">
        <f t="shared" si="44"/>
        <v>-3.0334226735312553E-2</v>
      </c>
    </row>
    <row r="1112" spans="1:7" x14ac:dyDescent="0.35">
      <c r="A1112" t="s">
        <v>68</v>
      </c>
      <c r="E1112">
        <v>-6.5462180575033254E-3</v>
      </c>
      <c r="F1112">
        <f t="shared" si="45"/>
        <v>-1.8798903923902127E-2</v>
      </c>
      <c r="G1112">
        <f t="shared" si="44"/>
        <v>-3.0334226735312553E-2</v>
      </c>
    </row>
    <row r="1113" spans="1:7" x14ac:dyDescent="0.35">
      <c r="A1113" t="s">
        <v>68</v>
      </c>
      <c r="E1113">
        <v>4.2559440076638758E-3</v>
      </c>
      <c r="F1113">
        <f t="shared" si="45"/>
        <v>-1.880006994084962E-2</v>
      </c>
      <c r="G1113">
        <f t="shared" si="44"/>
        <v>-3.0334226735312553E-2</v>
      </c>
    </row>
    <row r="1114" spans="1:7" x14ac:dyDescent="0.35">
      <c r="A1114" t="s">
        <v>68</v>
      </c>
      <c r="E1114">
        <v>1.1808628382831662E-3</v>
      </c>
      <c r="F1114">
        <f t="shared" si="45"/>
        <v>-1.8801235957797115E-2</v>
      </c>
      <c r="G1114">
        <f t="shared" si="44"/>
        <v>-3.0334226735312553E-2</v>
      </c>
    </row>
    <row r="1115" spans="1:7" x14ac:dyDescent="0.35">
      <c r="A1115" t="s">
        <v>68</v>
      </c>
      <c r="E1115">
        <v>1.0797799784759813E-2</v>
      </c>
      <c r="F1115">
        <f t="shared" si="45"/>
        <v>-1.8802401974744608E-2</v>
      </c>
      <c r="G1115">
        <f t="shared" si="44"/>
        <v>-3.0334226735312553E-2</v>
      </c>
    </row>
    <row r="1116" spans="1:7" x14ac:dyDescent="0.35">
      <c r="A1116" t="s">
        <v>68</v>
      </c>
      <c r="E1116">
        <v>-3.7599256041550132E-3</v>
      </c>
      <c r="F1116">
        <f t="shared" si="45"/>
        <v>-1.8803567991692104E-2</v>
      </c>
      <c r="G1116">
        <f t="shared" si="44"/>
        <v>-3.0334226735312553E-2</v>
      </c>
    </row>
    <row r="1117" spans="1:7" x14ac:dyDescent="0.35">
      <c r="A1117" t="s">
        <v>68</v>
      </c>
      <c r="E1117">
        <v>-6.0076658228294865E-3</v>
      </c>
      <c r="F1117">
        <f t="shared" si="45"/>
        <v>-1.8804734008639596E-2</v>
      </c>
      <c r="G1117">
        <f t="shared" si="44"/>
        <v>-3.0334226735312553E-2</v>
      </c>
    </row>
    <row r="1118" spans="1:7" x14ac:dyDescent="0.35">
      <c r="A1118" t="s">
        <v>68</v>
      </c>
      <c r="E1118">
        <v>6.7911303750960595E-4</v>
      </c>
      <c r="F1118">
        <f t="shared" si="45"/>
        <v>-1.8805900025587092E-2</v>
      </c>
      <c r="G1118">
        <f t="shared" si="44"/>
        <v>-3.0334226735312553E-2</v>
      </c>
    </row>
    <row r="1119" spans="1:7" x14ac:dyDescent="0.35">
      <c r="A1119" t="s">
        <v>68</v>
      </c>
      <c r="E1119">
        <v>-9.9432985076819049E-3</v>
      </c>
      <c r="F1119">
        <f t="shared" si="45"/>
        <v>-1.8807066042534584E-2</v>
      </c>
      <c r="G1119">
        <f t="shared" si="44"/>
        <v>-3.0334226735312553E-2</v>
      </c>
    </row>
    <row r="1120" spans="1:7" x14ac:dyDescent="0.35">
      <c r="A1120" t="s">
        <v>68</v>
      </c>
      <c r="E1120">
        <v>-5.8962471338724395E-3</v>
      </c>
      <c r="F1120">
        <f t="shared" si="45"/>
        <v>-1.880823205948208E-2</v>
      </c>
      <c r="G1120">
        <f t="shared" si="44"/>
        <v>-3.0334226735312553E-2</v>
      </c>
    </row>
    <row r="1121" spans="1:38" x14ac:dyDescent="0.35">
      <c r="A1121" t="s">
        <v>68</v>
      </c>
      <c r="E1121">
        <v>-1.6529850351955449E-3</v>
      </c>
      <c r="F1121">
        <f t="shared" si="45"/>
        <v>-1.8810370300914477E-2</v>
      </c>
      <c r="G1121">
        <f t="shared" si="44"/>
        <v>-3.0420241620953074E-2</v>
      </c>
    </row>
    <row r="1122" spans="1:38" x14ac:dyDescent="0.35">
      <c r="A1122" t="s">
        <v>68</v>
      </c>
      <c r="E1122">
        <v>1.2081615977303563E-4</v>
      </c>
      <c r="F1122">
        <f t="shared" si="45"/>
        <v>-1.8812508542346878E-2</v>
      </c>
      <c r="G1122">
        <f t="shared" si="44"/>
        <v>-3.0420241620953074E-2</v>
      </c>
    </row>
    <row r="1123" spans="1:38" x14ac:dyDescent="0.35">
      <c r="A1123" t="s">
        <v>69</v>
      </c>
      <c r="B1123" s="3" cm="1">
        <f t="array" ref="B1123">_xlfn.STDEV.S(_xlfn._xlws.FILTER($E$1000:$E$1998, $A$1000:$A$1998="2014-07"))</f>
        <v>1.0648610141265733E-2</v>
      </c>
      <c r="C1123" s="3" cm="1">
        <f t="array" ref="C1123">AVERAGE(_xlfn._xlws.FILTER($E$1000:$E$1998, $A$1000:$A$1998="2014-07"))</f>
        <v>-1.5454014926802964E-3</v>
      </c>
      <c r="D1123" s="3" cm="1">
        <f t="array" ref="D1123">_xlfn.PERCENTILE.EXC(_xlfn._xlws.FILTER($E$1000:$E$1497, $A$1000:$A$1497="2014-07"), 0.05)</f>
        <v>-1.6982505533480633E-2</v>
      </c>
      <c r="E1123">
        <v>9.3943144587556888E-3</v>
      </c>
      <c r="F1123">
        <f t="shared" si="45"/>
        <v>-1.8814646783779278E-2</v>
      </c>
      <c r="G1123">
        <f t="shared" si="44"/>
        <v>-3.0420241620953074E-2</v>
      </c>
      <c r="AI1123" s="3"/>
      <c r="AJ1123" s="3"/>
      <c r="AK1123" s="3"/>
      <c r="AL1123" s="3"/>
    </row>
    <row r="1124" spans="1:38" x14ac:dyDescent="0.35">
      <c r="A1124" t="s">
        <v>69</v>
      </c>
      <c r="E1124">
        <v>-1.9843470455229921E-3</v>
      </c>
      <c r="F1124">
        <f t="shared" si="45"/>
        <v>-1.8816785025211676E-2</v>
      </c>
      <c r="G1124">
        <f t="shared" si="44"/>
        <v>-3.0420241620953074E-2</v>
      </c>
    </row>
    <row r="1125" spans="1:38" x14ac:dyDescent="0.35">
      <c r="A1125" t="s">
        <v>69</v>
      </c>
      <c r="E1125">
        <v>1.1464509548581577E-2</v>
      </c>
      <c r="F1125">
        <f t="shared" si="45"/>
        <v>-1.8818923266644076E-2</v>
      </c>
      <c r="G1125">
        <f t="shared" si="44"/>
        <v>-3.0420241620953074E-2</v>
      </c>
    </row>
    <row r="1126" spans="1:38" x14ac:dyDescent="0.35">
      <c r="A1126" t="s">
        <v>69</v>
      </c>
      <c r="E1126">
        <v>-5.8778685803951031E-3</v>
      </c>
      <c r="F1126">
        <f t="shared" si="45"/>
        <v>-1.8821061508076473E-2</v>
      </c>
      <c r="G1126">
        <f t="shared" si="44"/>
        <v>-3.0420241620953074E-2</v>
      </c>
    </row>
    <row r="1127" spans="1:38" x14ac:dyDescent="0.35">
      <c r="A1127" t="s">
        <v>69</v>
      </c>
      <c r="E1127">
        <v>-1.2166779068074599E-2</v>
      </c>
      <c r="F1127">
        <f t="shared" si="45"/>
        <v>-1.882319974950887E-2</v>
      </c>
      <c r="G1127">
        <f t="shared" si="44"/>
        <v>-3.0420241620953074E-2</v>
      </c>
    </row>
    <row r="1128" spans="1:38" x14ac:dyDescent="0.35">
      <c r="A1128" t="s">
        <v>69</v>
      </c>
      <c r="E1128">
        <v>-1.4509318805093076E-2</v>
      </c>
      <c r="F1128">
        <f t="shared" si="45"/>
        <v>-1.8825337990941271E-2</v>
      </c>
      <c r="G1128">
        <f t="shared" si="44"/>
        <v>-3.0420241620953074E-2</v>
      </c>
    </row>
    <row r="1129" spans="1:38" x14ac:dyDescent="0.35">
      <c r="A1129" t="s">
        <v>69</v>
      </c>
      <c r="E1129">
        <v>5.8614832756792648E-3</v>
      </c>
      <c r="F1129">
        <f t="shared" si="45"/>
        <v>-1.8827476232373668E-2</v>
      </c>
      <c r="G1129">
        <f t="shared" si="44"/>
        <v>-3.0420241620953074E-2</v>
      </c>
    </row>
    <row r="1130" spans="1:38" x14ac:dyDescent="0.35">
      <c r="A1130" t="s">
        <v>69</v>
      </c>
      <c r="E1130">
        <v>-1.6529353984138247E-2</v>
      </c>
      <c r="F1130">
        <f t="shared" si="45"/>
        <v>-1.8829614473806069E-2</v>
      </c>
      <c r="G1130">
        <f t="shared" si="44"/>
        <v>-3.0420241620953074E-2</v>
      </c>
    </row>
    <row r="1131" spans="1:38" x14ac:dyDescent="0.35">
      <c r="A1131" t="s">
        <v>69</v>
      </c>
      <c r="E1131">
        <v>2.0483103850624951E-3</v>
      </c>
      <c r="F1131">
        <f t="shared" si="45"/>
        <v>-1.8831752715238466E-2</v>
      </c>
      <c r="G1131">
        <f t="shared" si="44"/>
        <v>-3.0420241620953074E-2</v>
      </c>
    </row>
    <row r="1132" spans="1:38" x14ac:dyDescent="0.35">
      <c r="A1132" t="s">
        <v>69</v>
      </c>
      <c r="E1132">
        <v>9.0842210038824013E-3</v>
      </c>
      <c r="F1132">
        <f t="shared" si="45"/>
        <v>-1.8833890956670866E-2</v>
      </c>
      <c r="G1132">
        <f t="shared" si="44"/>
        <v>-3.0420241620953074E-2</v>
      </c>
    </row>
    <row r="1133" spans="1:38" x14ac:dyDescent="0.35">
      <c r="A1133" t="s">
        <v>69</v>
      </c>
      <c r="E1133">
        <v>-1.0130047301905497E-2</v>
      </c>
      <c r="F1133">
        <f t="shared" si="45"/>
        <v>-1.8836029198103267E-2</v>
      </c>
      <c r="G1133">
        <f t="shared" si="44"/>
        <v>-3.0420241620953074E-2</v>
      </c>
    </row>
    <row r="1134" spans="1:38" x14ac:dyDescent="0.35">
      <c r="A1134" t="s">
        <v>69</v>
      </c>
      <c r="E1134">
        <v>1.54769170400973E-2</v>
      </c>
      <c r="F1134">
        <f t="shared" si="45"/>
        <v>-1.8838167439535664E-2</v>
      </c>
      <c r="G1134">
        <f t="shared" si="44"/>
        <v>-3.0420241620953074E-2</v>
      </c>
    </row>
    <row r="1135" spans="1:38" x14ac:dyDescent="0.35">
      <c r="A1135" t="s">
        <v>69</v>
      </c>
      <c r="E1135">
        <v>-1.4187221904294096E-2</v>
      </c>
      <c r="F1135">
        <f t="shared" si="45"/>
        <v>-1.8840305680968061E-2</v>
      </c>
      <c r="G1135">
        <f t="shared" si="44"/>
        <v>-3.0420241620953074E-2</v>
      </c>
    </row>
    <row r="1136" spans="1:38" x14ac:dyDescent="0.35">
      <c r="A1136" t="s">
        <v>69</v>
      </c>
      <c r="E1136">
        <v>2.0215032753871974E-3</v>
      </c>
      <c r="F1136">
        <f t="shared" si="45"/>
        <v>-1.8842443922400462E-2</v>
      </c>
      <c r="G1136">
        <f t="shared" si="44"/>
        <v>-3.0420241620953074E-2</v>
      </c>
    </row>
    <row r="1137" spans="1:38" x14ac:dyDescent="0.35">
      <c r="A1137" t="s">
        <v>69</v>
      </c>
      <c r="E1137">
        <v>-8.6173638046574304E-3</v>
      </c>
      <c r="F1137">
        <f t="shared" si="45"/>
        <v>-1.8844582163832859E-2</v>
      </c>
      <c r="G1137">
        <f t="shared" si="44"/>
        <v>-3.0420241620953074E-2</v>
      </c>
    </row>
    <row r="1138" spans="1:38" x14ac:dyDescent="0.35">
      <c r="A1138" t="s">
        <v>69</v>
      </c>
      <c r="E1138">
        <v>1.6490317212058691E-2</v>
      </c>
      <c r="F1138">
        <f t="shared" si="45"/>
        <v>-1.884672040526526E-2</v>
      </c>
      <c r="G1138">
        <f t="shared" si="44"/>
        <v>-3.0420241620953074E-2</v>
      </c>
    </row>
    <row r="1139" spans="1:38" x14ac:dyDescent="0.35">
      <c r="A1139" t="s">
        <v>69</v>
      </c>
      <c r="E1139">
        <v>1.2252541741387098E-3</v>
      </c>
      <c r="F1139">
        <f t="shared" si="45"/>
        <v>-1.8848858646697657E-2</v>
      </c>
      <c r="G1139">
        <f t="shared" si="44"/>
        <v>-3.0420241620953074E-2</v>
      </c>
    </row>
    <row r="1140" spans="1:38" x14ac:dyDescent="0.35">
      <c r="A1140" t="s">
        <v>69</v>
      </c>
      <c r="E1140">
        <v>8.4014714845996614E-3</v>
      </c>
      <c r="F1140">
        <f t="shared" si="45"/>
        <v>-1.8850996888130057E-2</v>
      </c>
      <c r="G1140">
        <f t="shared" si="44"/>
        <v>-3.0420241620953074E-2</v>
      </c>
    </row>
    <row r="1141" spans="1:38" x14ac:dyDescent="0.35">
      <c r="A1141" t="s">
        <v>69</v>
      </c>
      <c r="E1141">
        <v>-1.4098615717064599E-2</v>
      </c>
      <c r="F1141">
        <f t="shared" si="45"/>
        <v>-1.8852432374135912E-2</v>
      </c>
      <c r="G1141">
        <f t="shared" si="44"/>
        <v>-3.0507228423455497E-2</v>
      </c>
    </row>
    <row r="1142" spans="1:38" x14ac:dyDescent="0.35">
      <c r="A1142" t="s">
        <v>69</v>
      </c>
      <c r="E1142">
        <v>-1.0840553551646863E-3</v>
      </c>
      <c r="F1142">
        <f t="shared" si="45"/>
        <v>-1.885386786014177E-2</v>
      </c>
      <c r="G1142">
        <f t="shared" si="44"/>
        <v>-3.0507228423455497E-2</v>
      </c>
    </row>
    <row r="1143" spans="1:38" x14ac:dyDescent="0.35">
      <c r="A1143" t="s">
        <v>69</v>
      </c>
      <c r="E1143">
        <v>5.9697540893146094E-3</v>
      </c>
      <c r="F1143">
        <f t="shared" si="45"/>
        <v>-1.8855303346147625E-2</v>
      </c>
      <c r="G1143">
        <f t="shared" si="44"/>
        <v>-3.0507228423455497E-2</v>
      </c>
    </row>
    <row r="1144" spans="1:38" x14ac:dyDescent="0.35">
      <c r="A1144" t="s">
        <v>69</v>
      </c>
      <c r="E1144">
        <v>-6.7015252920778565E-3</v>
      </c>
      <c r="F1144">
        <f t="shared" si="45"/>
        <v>-1.8856738832153483E-2</v>
      </c>
      <c r="G1144">
        <f t="shared" si="44"/>
        <v>-3.0507228423455497E-2</v>
      </c>
    </row>
    <row r="1145" spans="1:38" x14ac:dyDescent="0.35">
      <c r="A1145" t="s">
        <v>69</v>
      </c>
      <c r="E1145">
        <v>-1.7095793420816231E-2</v>
      </c>
      <c r="F1145">
        <f t="shared" si="45"/>
        <v>-1.8858174318159338E-2</v>
      </c>
      <c r="G1145">
        <f t="shared" si="44"/>
        <v>-3.0507228423455497E-2</v>
      </c>
    </row>
    <row r="1146" spans="1:38" x14ac:dyDescent="0.35">
      <c r="A1146" t="s">
        <v>70</v>
      </c>
      <c r="B1146" s="3" cm="1">
        <f t="array" ref="B1146">_xlfn.STDEV.S(_xlfn._xlws.FILTER($E$1000:$E$1998, $A$1000:$A$1998="2014-08"))</f>
        <v>1.0893167714506026E-2</v>
      </c>
      <c r="C1146" s="3" cm="1">
        <f t="array" ref="C1146">AVERAGE(_xlfn._xlws.FILTER($E$1000:$E$1998, $A$1000:$A$1998="2014-08"))</f>
        <v>9.5621232418810758E-4</v>
      </c>
      <c r="D1146" s="3" cm="1">
        <f t="array" ref="D1146">_xlfn.PERCENTILE.EXC(_xlfn._xlws.FILTER($E$1000:$E$1497, $A$1000:$A$1497="2014-08"), 0.05)</f>
        <v>-1.3878517805918318E-2</v>
      </c>
      <c r="E1146">
        <v>-1.3878517805918318E-2</v>
      </c>
      <c r="F1146">
        <f t="shared" si="45"/>
        <v>-1.8859609804165192E-2</v>
      </c>
      <c r="G1146">
        <f t="shared" si="44"/>
        <v>-3.0507228423455497E-2</v>
      </c>
      <c r="AI1146" s="3"/>
      <c r="AJ1146" s="3"/>
      <c r="AK1146" s="3"/>
      <c r="AL1146" s="3"/>
    </row>
    <row r="1147" spans="1:38" x14ac:dyDescent="0.35">
      <c r="A1147" t="s">
        <v>70</v>
      </c>
      <c r="E1147">
        <v>-6.8695744053914496E-4</v>
      </c>
      <c r="F1147">
        <f t="shared" si="45"/>
        <v>-1.886104529017105E-2</v>
      </c>
      <c r="G1147">
        <f t="shared" si="44"/>
        <v>-3.0507228423455497E-2</v>
      </c>
    </row>
    <row r="1148" spans="1:38" x14ac:dyDescent="0.35">
      <c r="A1148" t="s">
        <v>70</v>
      </c>
      <c r="E1148">
        <v>5.665298247139398E-4</v>
      </c>
      <c r="F1148">
        <f t="shared" si="45"/>
        <v>-1.8862480776176905E-2</v>
      </c>
      <c r="G1148">
        <f t="shared" si="44"/>
        <v>-3.0507228423455497E-2</v>
      </c>
    </row>
    <row r="1149" spans="1:38" x14ac:dyDescent="0.35">
      <c r="A1149" t="s">
        <v>70</v>
      </c>
      <c r="E1149">
        <v>-7.1310225958200173E-3</v>
      </c>
      <c r="F1149">
        <f t="shared" si="45"/>
        <v>-1.8863916262182763E-2</v>
      </c>
      <c r="G1149">
        <f t="shared" si="44"/>
        <v>-3.0507228423455497E-2</v>
      </c>
    </row>
    <row r="1150" spans="1:38" x14ac:dyDescent="0.35">
      <c r="A1150" t="s">
        <v>70</v>
      </c>
      <c r="E1150">
        <v>-1.2366462796593388E-2</v>
      </c>
      <c r="F1150">
        <f t="shared" si="45"/>
        <v>-1.8865351748188618E-2</v>
      </c>
      <c r="G1150">
        <f t="shared" si="44"/>
        <v>-3.0507228423455497E-2</v>
      </c>
    </row>
    <row r="1151" spans="1:38" x14ac:dyDescent="0.35">
      <c r="A1151" t="s">
        <v>70</v>
      </c>
      <c r="E1151">
        <v>-2.0100642844968087E-3</v>
      </c>
      <c r="F1151">
        <f t="shared" si="45"/>
        <v>-1.8866787234194472E-2</v>
      </c>
      <c r="G1151">
        <f t="shared" si="44"/>
        <v>-3.0507228423455497E-2</v>
      </c>
    </row>
    <row r="1152" spans="1:38" x14ac:dyDescent="0.35">
      <c r="A1152" t="s">
        <v>70</v>
      </c>
      <c r="E1152">
        <v>1.3454902792553297E-2</v>
      </c>
      <c r="F1152">
        <f t="shared" si="45"/>
        <v>-1.886822272020033E-2</v>
      </c>
      <c r="G1152">
        <f t="shared" si="44"/>
        <v>-3.0507228423455497E-2</v>
      </c>
    </row>
    <row r="1153" spans="1:38" x14ac:dyDescent="0.35">
      <c r="A1153" t="s">
        <v>70</v>
      </c>
      <c r="E1153">
        <v>-7.8368732248944081E-3</v>
      </c>
      <c r="F1153">
        <f t="shared" si="45"/>
        <v>-1.8869658206206185E-2</v>
      </c>
      <c r="G1153">
        <f t="shared" si="44"/>
        <v>-3.0507228423455497E-2</v>
      </c>
    </row>
    <row r="1154" spans="1:38" x14ac:dyDescent="0.35">
      <c r="A1154" t="s">
        <v>70</v>
      </c>
      <c r="E1154">
        <v>1.0658100805673807E-2</v>
      </c>
      <c r="F1154">
        <f t="shared" si="45"/>
        <v>-1.8871093692212043E-2</v>
      </c>
      <c r="G1154">
        <f t="shared" si="44"/>
        <v>-3.0507228423455497E-2</v>
      </c>
    </row>
    <row r="1155" spans="1:38" x14ac:dyDescent="0.35">
      <c r="A1155" t="s">
        <v>70</v>
      </c>
      <c r="E1155">
        <v>6.5092988774397714E-4</v>
      </c>
      <c r="F1155">
        <f t="shared" si="45"/>
        <v>-1.8872529178217898E-2</v>
      </c>
      <c r="G1155">
        <f t="shared" ref="G1155:G1218" si="46">AVERAGEIFS(E1155:E4971,E1155:E4971,"&lt;=" &amp; F1155)</f>
        <v>-3.0507228423455497E-2</v>
      </c>
    </row>
    <row r="1156" spans="1:38" x14ac:dyDescent="0.35">
      <c r="A1156" t="s">
        <v>70</v>
      </c>
      <c r="E1156">
        <v>4.9872812172662897E-3</v>
      </c>
      <c r="F1156">
        <f t="shared" ref="F1156:F1219" si="47">_xlfn.PERCENTILE.EXC(E1156:E4971,0.05)</f>
        <v>-1.8873964664223752E-2</v>
      </c>
      <c r="G1156">
        <f t="shared" si="46"/>
        <v>-3.0507228423455497E-2</v>
      </c>
    </row>
    <row r="1157" spans="1:38" x14ac:dyDescent="0.35">
      <c r="A1157" t="s">
        <v>70</v>
      </c>
      <c r="E1157">
        <v>5.7295405710417677E-3</v>
      </c>
      <c r="F1157">
        <f t="shared" si="47"/>
        <v>-1.8875400150229611E-2</v>
      </c>
      <c r="G1157">
        <f t="shared" si="46"/>
        <v>-3.0507228423455497E-2</v>
      </c>
    </row>
    <row r="1158" spans="1:38" x14ac:dyDescent="0.35">
      <c r="A1158" t="s">
        <v>70</v>
      </c>
      <c r="E1158">
        <v>-2.4649342559720246E-3</v>
      </c>
      <c r="F1158">
        <f t="shared" si="47"/>
        <v>-1.8876835636235465E-2</v>
      </c>
      <c r="G1158">
        <f t="shared" si="46"/>
        <v>-3.0507228423455497E-2</v>
      </c>
    </row>
    <row r="1159" spans="1:38" x14ac:dyDescent="0.35">
      <c r="A1159" t="s">
        <v>70</v>
      </c>
      <c r="E1159">
        <v>1.3228157825703902E-2</v>
      </c>
      <c r="F1159">
        <f t="shared" si="47"/>
        <v>-1.8878271122241323E-2</v>
      </c>
      <c r="G1159">
        <f t="shared" si="46"/>
        <v>-3.0507228423455497E-2</v>
      </c>
    </row>
    <row r="1160" spans="1:38" x14ac:dyDescent="0.35">
      <c r="A1160" t="s">
        <v>70</v>
      </c>
      <c r="E1160">
        <v>-8.3753498550891581E-3</v>
      </c>
      <c r="F1160">
        <f t="shared" si="47"/>
        <v>-1.8879706608247178E-2</v>
      </c>
      <c r="G1160">
        <f t="shared" si="46"/>
        <v>-3.0507228423455497E-2</v>
      </c>
    </row>
    <row r="1161" spans="1:38" x14ac:dyDescent="0.35">
      <c r="A1161" t="s">
        <v>70</v>
      </c>
      <c r="E1161">
        <v>3.1463640745849362E-2</v>
      </c>
      <c r="F1161">
        <f t="shared" si="47"/>
        <v>-1.8879926284727042E-2</v>
      </c>
      <c r="G1161">
        <f t="shared" si="46"/>
        <v>-3.0595315709934352E-2</v>
      </c>
    </row>
    <row r="1162" spans="1:38" x14ac:dyDescent="0.35">
      <c r="A1162" t="s">
        <v>70</v>
      </c>
      <c r="E1162">
        <v>-9.6683512981197842E-4</v>
      </c>
      <c r="F1162">
        <f t="shared" si="47"/>
        <v>-1.8880145961206903E-2</v>
      </c>
      <c r="G1162">
        <f t="shared" si="46"/>
        <v>-3.0595315709934352E-2</v>
      </c>
    </row>
    <row r="1163" spans="1:38" x14ac:dyDescent="0.35">
      <c r="A1163" t="s">
        <v>70</v>
      </c>
      <c r="E1163">
        <v>-9.4388243238752167E-3</v>
      </c>
      <c r="F1163">
        <f t="shared" si="47"/>
        <v>-1.8880365637686768E-2</v>
      </c>
      <c r="G1163">
        <f t="shared" si="46"/>
        <v>-3.0595315709934352E-2</v>
      </c>
    </row>
    <row r="1164" spans="1:38" x14ac:dyDescent="0.35">
      <c r="A1164" t="s">
        <v>70</v>
      </c>
      <c r="E1164">
        <v>2.5847922020381616E-3</v>
      </c>
      <c r="F1164">
        <f t="shared" si="47"/>
        <v>-1.8880585314166629E-2</v>
      </c>
      <c r="G1164">
        <f t="shared" si="46"/>
        <v>-3.0595315709934352E-2</v>
      </c>
    </row>
    <row r="1165" spans="1:38" x14ac:dyDescent="0.35">
      <c r="A1165" t="s">
        <v>71</v>
      </c>
      <c r="B1165" s="3" cm="1">
        <f t="array" ref="B1165">_xlfn.STDEV.S(_xlfn._xlws.FILTER($E$1000:$E$1998, $A$1000:$A$1998="2014-09"))</f>
        <v>8.520116690164059E-3</v>
      </c>
      <c r="C1165" s="3" cm="1">
        <f t="array" ref="C1165">AVERAGE(_xlfn._xlws.FILTER($E$1000:$E$1998, $A$1000:$A$1998="2014-09"))</f>
        <v>7.5729017524061139E-4</v>
      </c>
      <c r="D1165" s="3" cm="1">
        <f t="array" ref="D1165">_xlfn.PERCENTILE.EXC(_xlfn._xlws.FILTER($E$1000:$E$1497, $A$1000:$A$1497="2014-09"), 0.05)</f>
        <v>-1.5499589040099692E-2</v>
      </c>
      <c r="E1165">
        <v>7.6248333792675223E-4</v>
      </c>
      <c r="F1165">
        <f t="shared" si="47"/>
        <v>-1.8880804990646493E-2</v>
      </c>
      <c r="G1165">
        <f t="shared" si="46"/>
        <v>-3.0595315709934352E-2</v>
      </c>
      <c r="AI1165" s="3"/>
      <c r="AJ1165" s="3"/>
      <c r="AK1165" s="3"/>
      <c r="AL1165" s="3"/>
    </row>
    <row r="1166" spans="1:38" x14ac:dyDescent="0.35">
      <c r="A1166" t="s">
        <v>71</v>
      </c>
      <c r="E1166">
        <v>1.6490073504784441E-3</v>
      </c>
      <c r="F1166">
        <f t="shared" si="47"/>
        <v>-1.8881024667126357E-2</v>
      </c>
      <c r="G1166">
        <f t="shared" si="46"/>
        <v>-3.0595315709934352E-2</v>
      </c>
    </row>
    <row r="1167" spans="1:38" x14ac:dyDescent="0.35">
      <c r="A1167" t="s">
        <v>71</v>
      </c>
      <c r="E1167">
        <v>1.2048658601421175E-2</v>
      </c>
      <c r="F1167">
        <f t="shared" si="47"/>
        <v>-1.8881244343606218E-2</v>
      </c>
      <c r="G1167">
        <f t="shared" si="46"/>
        <v>-3.0595315709934352E-2</v>
      </c>
    </row>
    <row r="1168" spans="1:38" x14ac:dyDescent="0.35">
      <c r="A1168" t="s">
        <v>71</v>
      </c>
      <c r="E1168">
        <v>1.7983609891729778E-2</v>
      </c>
      <c r="F1168">
        <f t="shared" si="47"/>
        <v>-1.8881464020086083E-2</v>
      </c>
      <c r="G1168">
        <f t="shared" si="46"/>
        <v>-3.0595315709934352E-2</v>
      </c>
    </row>
    <row r="1169" spans="1:7" x14ac:dyDescent="0.35">
      <c r="A1169" t="s">
        <v>71</v>
      </c>
      <c r="E1169">
        <v>-6.1045404413860636E-4</v>
      </c>
      <c r="F1169">
        <f t="shared" si="47"/>
        <v>-1.8881683696565944E-2</v>
      </c>
      <c r="G1169">
        <f t="shared" si="46"/>
        <v>-3.0595315709934352E-2</v>
      </c>
    </row>
    <row r="1170" spans="1:7" x14ac:dyDescent="0.35">
      <c r="A1170" t="s">
        <v>71</v>
      </c>
      <c r="E1170">
        <v>-2.3567938352755152E-3</v>
      </c>
      <c r="F1170">
        <f t="shared" si="47"/>
        <v>-1.8881903373045808E-2</v>
      </c>
      <c r="G1170">
        <f t="shared" si="46"/>
        <v>-3.0595315709934352E-2</v>
      </c>
    </row>
    <row r="1171" spans="1:7" x14ac:dyDescent="0.35">
      <c r="A1171" t="s">
        <v>71</v>
      </c>
      <c r="E1171">
        <v>-6.789555282954475E-3</v>
      </c>
      <c r="F1171">
        <f t="shared" si="47"/>
        <v>-1.8882123049525672E-2</v>
      </c>
      <c r="G1171">
        <f t="shared" si="46"/>
        <v>-3.0595315709934352E-2</v>
      </c>
    </row>
    <row r="1172" spans="1:7" x14ac:dyDescent="0.35">
      <c r="A1172" t="s">
        <v>71</v>
      </c>
      <c r="E1172">
        <v>-3.9139607162013801E-4</v>
      </c>
      <c r="F1172">
        <f t="shared" si="47"/>
        <v>-1.8882342726005533E-2</v>
      </c>
      <c r="G1172">
        <f t="shared" si="46"/>
        <v>-3.0595315709934352E-2</v>
      </c>
    </row>
    <row r="1173" spans="1:7" x14ac:dyDescent="0.35">
      <c r="A1173" t="s">
        <v>71</v>
      </c>
      <c r="E1173">
        <v>-1.9747241804131616E-3</v>
      </c>
      <c r="F1173">
        <f t="shared" si="47"/>
        <v>-1.8882562402485398E-2</v>
      </c>
      <c r="G1173">
        <f t="shared" si="46"/>
        <v>-3.0595315709934352E-2</v>
      </c>
    </row>
    <row r="1174" spans="1:7" x14ac:dyDescent="0.35">
      <c r="A1174" t="s">
        <v>71</v>
      </c>
      <c r="E1174">
        <v>-8.3116663186364825E-4</v>
      </c>
      <c r="F1174">
        <f t="shared" si="47"/>
        <v>-1.8882782078965259E-2</v>
      </c>
      <c r="G1174">
        <f t="shared" si="46"/>
        <v>-3.0595315709934352E-2</v>
      </c>
    </row>
    <row r="1175" spans="1:7" x14ac:dyDescent="0.35">
      <c r="A1175" t="s">
        <v>71</v>
      </c>
      <c r="E1175">
        <v>-1.0422514810534808E-3</v>
      </c>
      <c r="F1175">
        <f t="shared" si="47"/>
        <v>-1.8883001755445123E-2</v>
      </c>
      <c r="G1175">
        <f t="shared" si="46"/>
        <v>-3.0595315709934352E-2</v>
      </c>
    </row>
    <row r="1176" spans="1:7" x14ac:dyDescent="0.35">
      <c r="A1176" t="s">
        <v>71</v>
      </c>
      <c r="E1176">
        <v>-3.0898322076839588E-3</v>
      </c>
      <c r="F1176">
        <f t="shared" si="47"/>
        <v>-1.8883221431924987E-2</v>
      </c>
      <c r="G1176">
        <f t="shared" si="46"/>
        <v>-3.0595315709934352E-2</v>
      </c>
    </row>
    <row r="1177" spans="1:7" x14ac:dyDescent="0.35">
      <c r="A1177" t="s">
        <v>71</v>
      </c>
      <c r="E1177">
        <v>4.8644116746099243E-3</v>
      </c>
      <c r="F1177">
        <f t="shared" si="47"/>
        <v>-1.8883441108404848E-2</v>
      </c>
      <c r="G1177">
        <f t="shared" si="46"/>
        <v>-3.0595315709934352E-2</v>
      </c>
    </row>
    <row r="1178" spans="1:7" x14ac:dyDescent="0.35">
      <c r="A1178" t="s">
        <v>71</v>
      </c>
      <c r="E1178">
        <v>1.0425963379083726E-2</v>
      </c>
      <c r="F1178">
        <f t="shared" si="47"/>
        <v>-1.8883660784884713E-2</v>
      </c>
      <c r="G1178">
        <f t="shared" si="46"/>
        <v>-3.0595315709934352E-2</v>
      </c>
    </row>
    <row r="1179" spans="1:7" x14ac:dyDescent="0.35">
      <c r="A1179" t="s">
        <v>71</v>
      </c>
      <c r="E1179">
        <v>5.7451771125336944E-4</v>
      </c>
      <c r="F1179">
        <f t="shared" si="47"/>
        <v>-1.8883880461364574E-2</v>
      </c>
      <c r="G1179">
        <f t="shared" si="46"/>
        <v>-3.0595315709934352E-2</v>
      </c>
    </row>
    <row r="1180" spans="1:7" x14ac:dyDescent="0.35">
      <c r="A1180" t="s">
        <v>71</v>
      </c>
      <c r="E1180">
        <v>-4.8294848053773197E-3</v>
      </c>
      <c r="F1180">
        <f t="shared" si="47"/>
        <v>-1.8884100137844438E-2</v>
      </c>
      <c r="G1180">
        <f t="shared" si="46"/>
        <v>-3.0595315709934352E-2</v>
      </c>
    </row>
    <row r="1181" spans="1:7" x14ac:dyDescent="0.35">
      <c r="A1181" t="s">
        <v>71</v>
      </c>
      <c r="E1181">
        <v>-1.5951670432489122E-2</v>
      </c>
      <c r="F1181">
        <f t="shared" si="47"/>
        <v>-1.8886319314374227E-2</v>
      </c>
      <c r="G1181">
        <f t="shared" si="46"/>
        <v>-3.0684714302087714E-2</v>
      </c>
    </row>
    <row r="1182" spans="1:7" x14ac:dyDescent="0.35">
      <c r="A1182" t="s">
        <v>71</v>
      </c>
      <c r="E1182">
        <v>1.180799897461291E-2</v>
      </c>
      <c r="F1182">
        <f t="shared" si="47"/>
        <v>-1.8888538490904019E-2</v>
      </c>
      <c r="G1182">
        <f t="shared" si="46"/>
        <v>-3.0684714302087714E-2</v>
      </c>
    </row>
    <row r="1183" spans="1:7" x14ac:dyDescent="0.35">
      <c r="A1183" t="s">
        <v>71</v>
      </c>
      <c r="E1183">
        <v>-1.2937794483226264E-2</v>
      </c>
      <c r="F1183">
        <f t="shared" si="47"/>
        <v>-1.8890757667433811E-2</v>
      </c>
      <c r="G1183">
        <f t="shared" si="46"/>
        <v>-3.0684714302087714E-2</v>
      </c>
    </row>
    <row r="1184" spans="1:7" x14ac:dyDescent="0.35">
      <c r="A1184" t="s">
        <v>71</v>
      </c>
      <c r="E1184">
        <v>5.3784918871063589E-3</v>
      </c>
      <c r="F1184">
        <f t="shared" si="47"/>
        <v>-1.8892976843963599E-2</v>
      </c>
      <c r="G1184">
        <f t="shared" si="46"/>
        <v>-3.0684714302087714E-2</v>
      </c>
    </row>
    <row r="1185" spans="1:38" x14ac:dyDescent="0.35">
      <c r="A1185" t="s">
        <v>71</v>
      </c>
      <c r="E1185">
        <v>-1.0186569689710295E-2</v>
      </c>
      <c r="F1185">
        <f t="shared" si="47"/>
        <v>-1.8895196020493391E-2</v>
      </c>
      <c r="G1185">
        <f t="shared" si="46"/>
        <v>-3.0684714302087714E-2</v>
      </c>
    </row>
    <row r="1186" spans="1:38" x14ac:dyDescent="0.35">
      <c r="A1186" t="s">
        <v>71</v>
      </c>
      <c r="E1186">
        <v>1.2156934192877E-2</v>
      </c>
      <c r="F1186">
        <f t="shared" si="47"/>
        <v>-1.889741519702318E-2</v>
      </c>
      <c r="G1186">
        <f t="shared" si="46"/>
        <v>-3.0684714302087714E-2</v>
      </c>
    </row>
    <row r="1187" spans="1:38" x14ac:dyDescent="0.35">
      <c r="A1187" t="s">
        <v>72</v>
      </c>
      <c r="B1187" s="3" cm="1">
        <f t="array" ref="B1187">_xlfn.STDEV.S(_xlfn._xlws.FILTER($E$1000:$E$1998, $A$1000:$A$1998="2014-10"))</f>
        <v>1.6462019948960224E-2</v>
      </c>
      <c r="C1187" s="3" cm="1">
        <f t="array" ref="C1187">AVERAGE(_xlfn._xlws.FILTER($E$1000:$E$1998, $A$1000:$A$1998="2014-10"))</f>
        <v>-1.6150727209679131E-3</v>
      </c>
      <c r="D1187" s="3" cm="1">
        <f t="array" ref="D1187">_xlfn.PERCENTILE.EXC(_xlfn._xlws.FILTER($E$1000:$E$1497, $A$1000:$A$1497="2014-10"), 0.05)</f>
        <v>-3.5504381313354233E-2</v>
      </c>
      <c r="E1187">
        <v>-9.6091541298636424E-3</v>
      </c>
      <c r="F1187">
        <f t="shared" si="47"/>
        <v>-1.8899634373552972E-2</v>
      </c>
      <c r="G1187">
        <f t="shared" si="46"/>
        <v>-3.0684714302087714E-2</v>
      </c>
      <c r="AI1187" s="3"/>
      <c r="AJ1187" s="3"/>
      <c r="AK1187" s="3"/>
      <c r="AL1187" s="3"/>
    </row>
    <row r="1188" spans="1:38" x14ac:dyDescent="0.35">
      <c r="A1188" t="s">
        <v>72</v>
      </c>
      <c r="E1188">
        <v>-2.8141188904174594E-2</v>
      </c>
      <c r="F1188">
        <f t="shared" si="47"/>
        <v>-1.8901853550082764E-2</v>
      </c>
      <c r="G1188">
        <f t="shared" si="46"/>
        <v>-3.0684714302087714E-2</v>
      </c>
    </row>
    <row r="1189" spans="1:38" x14ac:dyDescent="0.35">
      <c r="A1189" t="s">
        <v>72</v>
      </c>
      <c r="E1189">
        <v>1.0328205575911478E-2</v>
      </c>
      <c r="F1189">
        <f t="shared" si="47"/>
        <v>-1.8881683696565944E-2</v>
      </c>
      <c r="G1189">
        <f t="shared" si="46"/>
        <v>-3.0614049502344733E-2</v>
      </c>
    </row>
    <row r="1190" spans="1:38" x14ac:dyDescent="0.35">
      <c r="A1190" t="s">
        <v>72</v>
      </c>
      <c r="E1190">
        <v>-1.818796047650767E-2</v>
      </c>
      <c r="F1190">
        <f t="shared" si="47"/>
        <v>-1.8881903373045808E-2</v>
      </c>
      <c r="G1190">
        <f t="shared" si="46"/>
        <v>-3.0614049502344733E-2</v>
      </c>
    </row>
    <row r="1191" spans="1:38" x14ac:dyDescent="0.35">
      <c r="A1191" t="s">
        <v>72</v>
      </c>
      <c r="E1191">
        <v>-9.384934767552134E-3</v>
      </c>
      <c r="F1191">
        <f t="shared" si="47"/>
        <v>-1.8882123049525672E-2</v>
      </c>
      <c r="G1191">
        <f t="shared" si="46"/>
        <v>-3.0614049502344733E-2</v>
      </c>
    </row>
    <row r="1192" spans="1:38" x14ac:dyDescent="0.35">
      <c r="A1192" t="s">
        <v>72</v>
      </c>
      <c r="E1192">
        <v>-3.5631361765629983E-3</v>
      </c>
      <c r="F1192">
        <f t="shared" si="47"/>
        <v>-1.8882342726005533E-2</v>
      </c>
      <c r="G1192">
        <f t="shared" si="46"/>
        <v>-3.0614049502344733E-2</v>
      </c>
    </row>
    <row r="1193" spans="1:38" x14ac:dyDescent="0.35">
      <c r="A1193" t="s">
        <v>72</v>
      </c>
      <c r="E1193">
        <v>-1.6888178042819786E-2</v>
      </c>
      <c r="F1193">
        <f t="shared" si="47"/>
        <v>-1.8882562402485398E-2</v>
      </c>
      <c r="G1193">
        <f t="shared" si="46"/>
        <v>-3.0614049502344733E-2</v>
      </c>
    </row>
    <row r="1194" spans="1:38" x14ac:dyDescent="0.35">
      <c r="A1194" t="s">
        <v>72</v>
      </c>
      <c r="E1194">
        <v>2.2771979615970081E-3</v>
      </c>
      <c r="F1194">
        <f t="shared" si="47"/>
        <v>-1.8882782078965259E-2</v>
      </c>
      <c r="G1194">
        <f t="shared" si="46"/>
        <v>-3.0614049502344733E-2</v>
      </c>
    </row>
    <row r="1195" spans="1:38" x14ac:dyDescent="0.35">
      <c r="A1195" t="s">
        <v>72</v>
      </c>
      <c r="E1195">
        <v>8.9010242053907973E-4</v>
      </c>
      <c r="F1195">
        <f t="shared" si="47"/>
        <v>-1.8883001755445123E-2</v>
      </c>
      <c r="G1195">
        <f t="shared" si="46"/>
        <v>-3.0614049502344733E-2</v>
      </c>
    </row>
    <row r="1196" spans="1:38" x14ac:dyDescent="0.35">
      <c r="A1196" t="s">
        <v>72</v>
      </c>
      <c r="E1196">
        <v>-3.6803768209091821E-2</v>
      </c>
      <c r="F1196">
        <f t="shared" si="47"/>
        <v>-1.8883221431924987E-2</v>
      </c>
      <c r="G1196">
        <f t="shared" si="46"/>
        <v>-3.0614049502344733E-2</v>
      </c>
    </row>
    <row r="1197" spans="1:38" x14ac:dyDescent="0.35">
      <c r="A1197" t="s">
        <v>72</v>
      </c>
      <c r="E1197">
        <v>-6.2075383129241895E-3</v>
      </c>
      <c r="F1197">
        <f t="shared" si="47"/>
        <v>-1.8875400150229611E-2</v>
      </c>
      <c r="G1197">
        <f t="shared" si="46"/>
        <v>-3.0477224604628362E-2</v>
      </c>
    </row>
    <row r="1198" spans="1:38" x14ac:dyDescent="0.35">
      <c r="A1198" t="s">
        <v>72</v>
      </c>
      <c r="E1198">
        <v>3.0014811188639672E-2</v>
      </c>
      <c r="F1198">
        <f t="shared" si="47"/>
        <v>-1.8876835636235465E-2</v>
      </c>
      <c r="G1198">
        <f t="shared" si="46"/>
        <v>-3.0477224604628362E-2</v>
      </c>
    </row>
    <row r="1199" spans="1:38" x14ac:dyDescent="0.35">
      <c r="A1199" t="s">
        <v>72</v>
      </c>
      <c r="E1199">
        <v>-1.186524241793168E-2</v>
      </c>
      <c r="F1199">
        <f t="shared" si="47"/>
        <v>-1.8878271122241323E-2</v>
      </c>
      <c r="G1199">
        <f t="shared" si="46"/>
        <v>-3.0477224604628362E-2</v>
      </c>
    </row>
    <row r="1200" spans="1:38" x14ac:dyDescent="0.35">
      <c r="A1200" t="s">
        <v>72</v>
      </c>
      <c r="E1200">
        <v>2.1681066061323948E-2</v>
      </c>
      <c r="F1200">
        <f t="shared" si="47"/>
        <v>-1.8879706608247178E-2</v>
      </c>
      <c r="G1200">
        <f t="shared" si="46"/>
        <v>-3.0477224604628362E-2</v>
      </c>
    </row>
    <row r="1201" spans="1:38" x14ac:dyDescent="0.35">
      <c r="A1201" t="s">
        <v>72</v>
      </c>
      <c r="E1201">
        <v>5.6900248351679531E-3</v>
      </c>
      <c r="F1201">
        <f t="shared" si="47"/>
        <v>-1.8879926284727042E-2</v>
      </c>
      <c r="G1201">
        <f t="shared" si="46"/>
        <v>-3.0566436281523602E-2</v>
      </c>
    </row>
    <row r="1202" spans="1:38" x14ac:dyDescent="0.35">
      <c r="A1202" t="s">
        <v>72</v>
      </c>
      <c r="E1202">
        <v>1.1819402301499471E-2</v>
      </c>
      <c r="F1202">
        <f t="shared" si="47"/>
        <v>-1.8880145961206903E-2</v>
      </c>
      <c r="G1202">
        <f t="shared" si="46"/>
        <v>-3.0566436281523602E-2</v>
      </c>
    </row>
    <row r="1203" spans="1:38" x14ac:dyDescent="0.35">
      <c r="A1203" t="s">
        <v>72</v>
      </c>
      <c r="E1203">
        <v>-4.5862653993593398E-3</v>
      </c>
      <c r="F1203">
        <f t="shared" si="47"/>
        <v>-1.8880365637686768E-2</v>
      </c>
      <c r="G1203">
        <f t="shared" si="46"/>
        <v>-3.0566436281523602E-2</v>
      </c>
    </row>
    <row r="1204" spans="1:38" x14ac:dyDescent="0.35">
      <c r="A1204" t="s">
        <v>72</v>
      </c>
      <c r="E1204">
        <v>-1.0459177050798114E-2</v>
      </c>
      <c r="F1204">
        <f t="shared" si="47"/>
        <v>-1.8880585314166629E-2</v>
      </c>
      <c r="G1204">
        <f t="shared" si="46"/>
        <v>-3.0566436281523602E-2</v>
      </c>
    </row>
    <row r="1205" spans="1:38" x14ac:dyDescent="0.35">
      <c r="A1205" t="s">
        <v>72</v>
      </c>
      <c r="E1205">
        <v>1.2364718200905168E-2</v>
      </c>
      <c r="F1205">
        <f t="shared" si="47"/>
        <v>-1.8880804990646493E-2</v>
      </c>
      <c r="G1205">
        <f t="shared" si="46"/>
        <v>-3.0566436281523602E-2</v>
      </c>
    </row>
    <row r="1206" spans="1:38" x14ac:dyDescent="0.35">
      <c r="A1206" t="s">
        <v>72</v>
      </c>
      <c r="E1206">
        <v>-4.5324304264942276E-3</v>
      </c>
      <c r="F1206">
        <f t="shared" si="47"/>
        <v>-1.8881024667126357E-2</v>
      </c>
      <c r="G1206">
        <f t="shared" si="46"/>
        <v>-3.0566436281523602E-2</v>
      </c>
    </row>
    <row r="1207" spans="1:38" x14ac:dyDescent="0.35">
      <c r="A1207" t="s">
        <v>72</v>
      </c>
      <c r="E1207">
        <v>4.4500859134744518E-3</v>
      </c>
      <c r="F1207">
        <f t="shared" si="47"/>
        <v>-1.8881244343606218E-2</v>
      </c>
      <c r="G1207">
        <f t="shared" si="46"/>
        <v>-3.0566436281523602E-2</v>
      </c>
    </row>
    <row r="1208" spans="1:38" x14ac:dyDescent="0.35">
      <c r="A1208" t="s">
        <v>72</v>
      </c>
      <c r="E1208">
        <v>2.518175999372789E-2</v>
      </c>
      <c r="F1208">
        <f t="shared" si="47"/>
        <v>-1.8881464020086083E-2</v>
      </c>
      <c r="G1208">
        <f t="shared" si="46"/>
        <v>-3.0566436281523602E-2</v>
      </c>
    </row>
    <row r="1209" spans="1:38" x14ac:dyDescent="0.35">
      <c r="A1209" t="s">
        <v>73</v>
      </c>
      <c r="B1209" s="3" cm="1">
        <f t="array" ref="B1209">_xlfn.STDEV.S(_xlfn._xlws.FILTER($E$1000:$E$1998, $A$1000:$A$1998="2014-11"))</f>
        <v>1.12528910221028E-2</v>
      </c>
      <c r="C1209" s="3" cm="1">
        <f t="array" ref="C1209">AVERAGE(_xlfn._xlws.FILTER($E$1000:$E$1998, $A$1000:$A$1998="2014-11"))</f>
        <v>2.1625714172686127E-3</v>
      </c>
      <c r="D1209" s="3" cm="1">
        <f t="array" ref="D1209">_xlfn.PERCENTILE.EXC(_xlfn._xlws.FILTER($E$1000:$E$1497, $A$1000:$A$1497="2014-11"), 0.05)</f>
        <v>-1.8480502420884278E-2</v>
      </c>
      <c r="E1209">
        <v>-1.000712071745171E-2</v>
      </c>
      <c r="F1209">
        <f t="shared" si="47"/>
        <v>-1.8881683696565944E-2</v>
      </c>
      <c r="G1209">
        <f t="shared" si="46"/>
        <v>-3.0566436281523602E-2</v>
      </c>
      <c r="AI1209" s="3"/>
      <c r="AJ1209" s="3"/>
      <c r="AK1209" s="3"/>
      <c r="AL1209" s="3"/>
    </row>
    <row r="1210" spans="1:38" x14ac:dyDescent="0.35">
      <c r="A1210" t="s">
        <v>73</v>
      </c>
      <c r="E1210">
        <v>-1.5721578899211362E-2</v>
      </c>
      <c r="F1210">
        <f t="shared" si="47"/>
        <v>-1.8881903373045808E-2</v>
      </c>
      <c r="G1210">
        <f t="shared" si="46"/>
        <v>-3.0566436281523602E-2</v>
      </c>
    </row>
    <row r="1211" spans="1:38" x14ac:dyDescent="0.35">
      <c r="A1211" t="s">
        <v>73</v>
      </c>
      <c r="E1211">
        <v>1.8708367344115306E-2</v>
      </c>
      <c r="F1211">
        <f t="shared" si="47"/>
        <v>-1.8882123049525672E-2</v>
      </c>
      <c r="G1211">
        <f t="shared" si="46"/>
        <v>-3.0566436281523602E-2</v>
      </c>
    </row>
    <row r="1212" spans="1:38" x14ac:dyDescent="0.35">
      <c r="A1212" t="s">
        <v>73</v>
      </c>
      <c r="E1212">
        <v>3.4002819504555873E-3</v>
      </c>
      <c r="F1212">
        <f t="shared" si="47"/>
        <v>-1.8882342726005533E-2</v>
      </c>
      <c r="G1212">
        <f t="shared" si="46"/>
        <v>-3.0566436281523602E-2</v>
      </c>
    </row>
    <row r="1213" spans="1:38" x14ac:dyDescent="0.35">
      <c r="A1213" t="s">
        <v>73</v>
      </c>
      <c r="E1213">
        <v>-1.2048162680523626E-2</v>
      </c>
      <c r="F1213">
        <f t="shared" si="47"/>
        <v>-1.8882562402485398E-2</v>
      </c>
      <c r="G1213">
        <f t="shared" si="46"/>
        <v>-3.0566436281523602E-2</v>
      </c>
    </row>
    <row r="1214" spans="1:38" x14ac:dyDescent="0.35">
      <c r="A1214" t="s">
        <v>73</v>
      </c>
      <c r="E1214">
        <v>9.6371891678261167E-3</v>
      </c>
      <c r="F1214">
        <f t="shared" si="47"/>
        <v>-1.8882782078965259E-2</v>
      </c>
      <c r="G1214">
        <f t="shared" si="46"/>
        <v>-3.0566436281523602E-2</v>
      </c>
    </row>
    <row r="1215" spans="1:38" x14ac:dyDescent="0.35">
      <c r="A1215" t="s">
        <v>73</v>
      </c>
      <c r="E1215">
        <v>3.2230045047199371E-3</v>
      </c>
      <c r="F1215">
        <f t="shared" si="47"/>
        <v>-1.8883001755445123E-2</v>
      </c>
      <c r="G1215">
        <f t="shared" si="46"/>
        <v>-3.0566436281523602E-2</v>
      </c>
    </row>
    <row r="1216" spans="1:38" x14ac:dyDescent="0.35">
      <c r="A1216" t="s">
        <v>73</v>
      </c>
      <c r="E1216">
        <v>-1.8625708922024958E-2</v>
      </c>
      <c r="F1216">
        <f t="shared" si="47"/>
        <v>-1.8883221431924987E-2</v>
      </c>
      <c r="G1216">
        <f t="shared" si="46"/>
        <v>-3.0566436281523602E-2</v>
      </c>
    </row>
    <row r="1217" spans="1:38" x14ac:dyDescent="0.35">
      <c r="A1217" t="s">
        <v>73</v>
      </c>
      <c r="E1217">
        <v>3.1126644944231676E-3</v>
      </c>
      <c r="F1217">
        <f t="shared" si="47"/>
        <v>-1.8883441108404848E-2</v>
      </c>
      <c r="G1217">
        <f t="shared" si="46"/>
        <v>-3.0566436281523602E-2</v>
      </c>
    </row>
    <row r="1218" spans="1:38" x14ac:dyDescent="0.35">
      <c r="A1218" t="s">
        <v>73</v>
      </c>
      <c r="E1218">
        <v>1.0430308345400266E-3</v>
      </c>
      <c r="F1218">
        <f t="shared" si="47"/>
        <v>-1.8883660784884713E-2</v>
      </c>
      <c r="G1218">
        <f t="shared" si="46"/>
        <v>-3.0566436281523602E-2</v>
      </c>
    </row>
    <row r="1219" spans="1:38" x14ac:dyDescent="0.35">
      <c r="A1219" t="s">
        <v>73</v>
      </c>
      <c r="E1219">
        <v>8.0719357424970887E-3</v>
      </c>
      <c r="F1219">
        <f t="shared" si="47"/>
        <v>-1.8883880461364574E-2</v>
      </c>
      <c r="G1219">
        <f t="shared" ref="G1219:G1282" si="48">AVERAGEIFS(E1219:E5035,E1219:E5035,"&lt;=" &amp; F1219)</f>
        <v>-3.0566436281523602E-2</v>
      </c>
    </row>
    <row r="1220" spans="1:38" x14ac:dyDescent="0.35">
      <c r="A1220" t="s">
        <v>73</v>
      </c>
      <c r="E1220">
        <v>1.1484024418578391E-2</v>
      </c>
      <c r="F1220">
        <f t="shared" ref="F1220:F1283" si="49">_xlfn.PERCENTILE.EXC(E1220:E5035,0.05)</f>
        <v>-1.8884100137844438E-2</v>
      </c>
      <c r="G1220">
        <f t="shared" si="48"/>
        <v>-3.0566436281523602E-2</v>
      </c>
    </row>
    <row r="1221" spans="1:38" x14ac:dyDescent="0.35">
      <c r="A1221" t="s">
        <v>73</v>
      </c>
      <c r="E1221">
        <v>8.6489400830582364E-4</v>
      </c>
      <c r="F1221">
        <f t="shared" si="49"/>
        <v>-1.8886319314374227E-2</v>
      </c>
      <c r="G1221">
        <f t="shared" si="48"/>
        <v>-3.0656997026823448E-2</v>
      </c>
    </row>
    <row r="1222" spans="1:38" x14ac:dyDescent="0.35">
      <c r="A1222" t="s">
        <v>73</v>
      </c>
      <c r="E1222">
        <v>-6.7177414323634976E-3</v>
      </c>
      <c r="F1222">
        <f t="shared" si="49"/>
        <v>-1.8888538490904019E-2</v>
      </c>
      <c r="G1222">
        <f t="shared" si="48"/>
        <v>-3.0656997026823448E-2</v>
      </c>
    </row>
    <row r="1223" spans="1:38" x14ac:dyDescent="0.35">
      <c r="A1223" t="s">
        <v>73</v>
      </c>
      <c r="E1223">
        <v>2.9228165847053202E-2</v>
      </c>
      <c r="F1223">
        <f t="shared" si="49"/>
        <v>-1.8890757667433811E-2</v>
      </c>
      <c r="G1223">
        <f t="shared" si="48"/>
        <v>-3.0656997026823448E-2</v>
      </c>
    </row>
    <row r="1224" spans="1:38" x14ac:dyDescent="0.35">
      <c r="A1224" t="s">
        <v>73</v>
      </c>
      <c r="E1224">
        <v>5.4574654023886648E-3</v>
      </c>
      <c r="F1224">
        <f t="shared" si="49"/>
        <v>-1.8892976843963599E-2</v>
      </c>
      <c r="G1224">
        <f t="shared" si="48"/>
        <v>-3.0656997026823448E-2</v>
      </c>
    </row>
    <row r="1225" spans="1:38" x14ac:dyDescent="0.35">
      <c r="A1225" t="s">
        <v>73</v>
      </c>
      <c r="E1225">
        <v>4.4890838606699551E-3</v>
      </c>
      <c r="F1225">
        <f t="shared" si="49"/>
        <v>-1.8895196020493391E-2</v>
      </c>
      <c r="G1225">
        <f t="shared" si="48"/>
        <v>-3.0656997026823448E-2</v>
      </c>
    </row>
    <row r="1226" spans="1:38" x14ac:dyDescent="0.35">
      <c r="A1226" t="s">
        <v>73</v>
      </c>
      <c r="E1226">
        <v>-2.1697924594395095E-5</v>
      </c>
      <c r="F1226">
        <f t="shared" si="49"/>
        <v>-1.889741519702318E-2</v>
      </c>
      <c r="G1226">
        <f t="shared" si="48"/>
        <v>-3.0656997026823448E-2</v>
      </c>
    </row>
    <row r="1227" spans="1:38" x14ac:dyDescent="0.35">
      <c r="A1227" t="s">
        <v>73</v>
      </c>
      <c r="E1227">
        <v>5.8229186317382354E-3</v>
      </c>
      <c r="F1227">
        <f t="shared" si="49"/>
        <v>-1.8899634373552972E-2</v>
      </c>
      <c r="G1227">
        <f t="shared" si="48"/>
        <v>-3.0656997026823448E-2</v>
      </c>
    </row>
    <row r="1228" spans="1:38" x14ac:dyDescent="0.35">
      <c r="A1228" t="s">
        <v>73</v>
      </c>
      <c r="E1228">
        <v>1.8504127142302961E-3</v>
      </c>
      <c r="F1228">
        <f t="shared" si="49"/>
        <v>-1.8901853550082764E-2</v>
      </c>
      <c r="G1228">
        <f t="shared" si="48"/>
        <v>-3.0656997026823448E-2</v>
      </c>
    </row>
    <row r="1229" spans="1:38" x14ac:dyDescent="0.35">
      <c r="A1229" t="s">
        <v>74</v>
      </c>
      <c r="B1229" s="3" cm="1">
        <f t="array" ref="B1229">_xlfn.STDEV.S(_xlfn._xlws.FILTER($E$1000:$E$1998, $A$1000:$A$1998="2014-12"))</f>
        <v>1.7386864993350754E-2</v>
      </c>
      <c r="C1229" s="3" cm="1">
        <f t="array" ref="C1229">AVERAGE(_xlfn._xlws.FILTER($E$1000:$E$1998, $A$1000:$A$1998="2014-12"))</f>
        <v>-1.895207935267973E-3</v>
      </c>
      <c r="D1229" s="3" cm="1">
        <f t="array" ref="D1229">_xlfn.PERCENTILE.EXC(_xlfn._xlws.FILTER($E$1000:$E$1497, $A$1000:$A$1497="2014-12"), 0.05)</f>
        <v>-2.9486126185031752E-2</v>
      </c>
      <c r="E1229">
        <v>-5.5584488192181635E-3</v>
      </c>
      <c r="F1229">
        <f t="shared" si="49"/>
        <v>-1.8904072726612552E-2</v>
      </c>
      <c r="G1229">
        <f t="shared" si="48"/>
        <v>-3.0656997026823448E-2</v>
      </c>
      <c r="AI1229" s="3"/>
      <c r="AJ1229" s="3"/>
      <c r="AK1229" s="3"/>
      <c r="AL1229" s="3"/>
    </row>
    <row r="1230" spans="1:38" x14ac:dyDescent="0.35">
      <c r="A1230" t="s">
        <v>74</v>
      </c>
      <c r="E1230">
        <v>1.6812803940619728E-3</v>
      </c>
      <c r="F1230">
        <f t="shared" si="49"/>
        <v>-1.8906291903142344E-2</v>
      </c>
      <c r="G1230">
        <f t="shared" si="48"/>
        <v>-3.0656997026823448E-2</v>
      </c>
    </row>
    <row r="1231" spans="1:38" x14ac:dyDescent="0.35">
      <c r="A1231" t="s">
        <v>74</v>
      </c>
      <c r="E1231">
        <v>2.8892708584109671E-3</v>
      </c>
      <c r="F1231">
        <f t="shared" si="49"/>
        <v>-1.8908511079672133E-2</v>
      </c>
      <c r="G1231">
        <f t="shared" si="48"/>
        <v>-3.0656997026823448E-2</v>
      </c>
    </row>
    <row r="1232" spans="1:38" x14ac:dyDescent="0.35">
      <c r="A1232" t="s">
        <v>74</v>
      </c>
      <c r="E1232">
        <v>-1.7540522113295157E-2</v>
      </c>
      <c r="F1232">
        <f t="shared" si="49"/>
        <v>-1.8910730256201925E-2</v>
      </c>
      <c r="G1232">
        <f t="shared" si="48"/>
        <v>-3.0656997026823448E-2</v>
      </c>
    </row>
    <row r="1233" spans="1:38" x14ac:dyDescent="0.35">
      <c r="A1233" t="s">
        <v>74</v>
      </c>
      <c r="E1233">
        <v>2.6631633139567987E-2</v>
      </c>
      <c r="F1233">
        <f t="shared" si="49"/>
        <v>-1.8912949432731717E-2</v>
      </c>
      <c r="G1233">
        <f t="shared" si="48"/>
        <v>-3.0656997026823448E-2</v>
      </c>
    </row>
    <row r="1234" spans="1:38" x14ac:dyDescent="0.35">
      <c r="A1234" t="s">
        <v>74</v>
      </c>
      <c r="E1234">
        <v>-9.0079792361665249E-3</v>
      </c>
      <c r="F1234">
        <f t="shared" si="49"/>
        <v>-1.8915168609261505E-2</v>
      </c>
      <c r="G1234">
        <f t="shared" si="48"/>
        <v>-3.0656997026823448E-2</v>
      </c>
    </row>
    <row r="1235" spans="1:38" x14ac:dyDescent="0.35">
      <c r="A1235" t="s">
        <v>74</v>
      </c>
      <c r="E1235">
        <v>-2.6588117573528192E-2</v>
      </c>
      <c r="F1235">
        <f t="shared" si="49"/>
        <v>-1.8917387785791297E-2</v>
      </c>
      <c r="G1235">
        <f t="shared" si="48"/>
        <v>-3.0656997026823448E-2</v>
      </c>
    </row>
    <row r="1236" spans="1:38" x14ac:dyDescent="0.35">
      <c r="A1236" t="s">
        <v>74</v>
      </c>
      <c r="E1236">
        <v>-3.7442312326094514E-3</v>
      </c>
      <c r="F1236">
        <f t="shared" si="49"/>
        <v>-1.8883221431924987E-2</v>
      </c>
      <c r="G1236">
        <f t="shared" si="48"/>
        <v>-3.0597275961430553E-2</v>
      </c>
    </row>
    <row r="1237" spans="1:38" x14ac:dyDescent="0.35">
      <c r="A1237" t="s">
        <v>74</v>
      </c>
      <c r="E1237">
        <v>2.5863476888181107E-3</v>
      </c>
      <c r="F1237">
        <f t="shared" si="49"/>
        <v>-1.8883441108404848E-2</v>
      </c>
      <c r="G1237">
        <f t="shared" si="48"/>
        <v>-3.0597275961430553E-2</v>
      </c>
    </row>
    <row r="1238" spans="1:38" x14ac:dyDescent="0.35">
      <c r="A1238" t="s">
        <v>74</v>
      </c>
      <c r="E1238">
        <v>-2.9486126185031752E-2</v>
      </c>
      <c r="F1238">
        <f t="shared" si="49"/>
        <v>-1.8883660784884713E-2</v>
      </c>
      <c r="G1238">
        <f t="shared" si="48"/>
        <v>-3.0597275961430553E-2</v>
      </c>
    </row>
    <row r="1239" spans="1:38" x14ac:dyDescent="0.35">
      <c r="A1239" t="s">
        <v>74</v>
      </c>
      <c r="E1239">
        <v>-2.7908234502606117E-2</v>
      </c>
      <c r="F1239">
        <f t="shared" si="49"/>
        <v>-1.8878271122241323E-2</v>
      </c>
      <c r="G1239">
        <f t="shared" si="48"/>
        <v>-3.0515055654633767E-2</v>
      </c>
    </row>
    <row r="1240" spans="1:38" x14ac:dyDescent="0.35">
      <c r="A1240" t="s">
        <v>74</v>
      </c>
      <c r="E1240">
        <v>2.2242330253420171E-2</v>
      </c>
      <c r="F1240">
        <f t="shared" si="49"/>
        <v>-1.8850996888130057E-2</v>
      </c>
      <c r="G1240">
        <f t="shared" si="48"/>
        <v>-3.0444844510335502E-2</v>
      </c>
    </row>
    <row r="1241" spans="1:38" x14ac:dyDescent="0.35">
      <c r="A1241" t="s">
        <v>74</v>
      </c>
      <c r="E1241">
        <v>6.5552495144815409E-4</v>
      </c>
      <c r="F1241">
        <f t="shared" si="49"/>
        <v>-1.8852432374135912E-2</v>
      </c>
      <c r="G1241">
        <f t="shared" si="48"/>
        <v>-3.0535421444883984E-2</v>
      </c>
    </row>
    <row r="1242" spans="1:38" x14ac:dyDescent="0.35">
      <c r="A1242" t="s">
        <v>74</v>
      </c>
      <c r="E1242">
        <v>3.2804725732911176E-2</v>
      </c>
      <c r="F1242">
        <f t="shared" si="49"/>
        <v>-1.885386786014177E-2</v>
      </c>
      <c r="G1242">
        <f t="shared" si="48"/>
        <v>-3.0535421444883984E-2</v>
      </c>
    </row>
    <row r="1243" spans="1:38" x14ac:dyDescent="0.35">
      <c r="A1243" t="s">
        <v>74</v>
      </c>
      <c r="E1243">
        <v>-3.9682024414781029E-3</v>
      </c>
      <c r="F1243">
        <f t="shared" si="49"/>
        <v>-1.8855303346147625E-2</v>
      </c>
      <c r="G1243">
        <f t="shared" si="48"/>
        <v>-3.0535421444883984E-2</v>
      </c>
    </row>
    <row r="1244" spans="1:38" x14ac:dyDescent="0.35">
      <c r="A1244" t="s">
        <v>74</v>
      </c>
      <c r="E1244">
        <v>4.3296092690262734E-3</v>
      </c>
      <c r="F1244">
        <f t="shared" si="49"/>
        <v>-1.8856738832153483E-2</v>
      </c>
      <c r="G1244">
        <f t="shared" si="48"/>
        <v>-3.0535421444883984E-2</v>
      </c>
    </row>
    <row r="1245" spans="1:38" x14ac:dyDescent="0.35">
      <c r="A1245" t="s">
        <v>74</v>
      </c>
      <c r="E1245">
        <v>1.183494241880105E-2</v>
      </c>
      <c r="F1245">
        <f t="shared" si="49"/>
        <v>-1.8858174318159338E-2</v>
      </c>
      <c r="G1245">
        <f t="shared" si="48"/>
        <v>-3.0535421444883984E-2</v>
      </c>
    </row>
    <row r="1246" spans="1:38" x14ac:dyDescent="0.35">
      <c r="A1246" t="s">
        <v>74</v>
      </c>
      <c r="E1246">
        <v>-2.2892490601753379E-3</v>
      </c>
      <c r="F1246">
        <f t="shared" si="49"/>
        <v>-1.8859609804165192E-2</v>
      </c>
      <c r="G1246">
        <f t="shared" si="48"/>
        <v>-3.0535421444883984E-2</v>
      </c>
    </row>
    <row r="1247" spans="1:38" x14ac:dyDescent="0.35">
      <c r="A1247" t="s">
        <v>74</v>
      </c>
      <c r="E1247">
        <v>-1.5573504312448559E-2</v>
      </c>
      <c r="F1247">
        <f t="shared" si="49"/>
        <v>-1.886104529017105E-2</v>
      </c>
      <c r="G1247">
        <f t="shared" si="48"/>
        <v>-3.0535421444883984E-2</v>
      </c>
    </row>
    <row r="1248" spans="1:38" x14ac:dyDescent="0.35">
      <c r="A1248" t="s">
        <v>75</v>
      </c>
      <c r="B1248" s="3" cm="1">
        <f t="array" ref="B1248">_xlfn.STDEV.S(_xlfn._xlws.FILTER($E$1000:$E$1998, $A$1000:$A$1998="2015-01"))</f>
        <v>1.6947382189865114E-2</v>
      </c>
      <c r="C1248" s="3" cm="1">
        <f t="array" ref="C1248">AVERAGE(_xlfn._xlws.FILTER($E$1000:$E$1998, $A$1000:$A$1998="2015-01"))</f>
        <v>3.1646640828748764E-3</v>
      </c>
      <c r="D1248" s="3" cm="1">
        <f t="array" ref="D1248">_xlfn.PERCENTILE.EXC(_xlfn._xlws.FILTER($E$1000:$E$1497, $A$1000:$A$1497="2015-01"), 0.05)</f>
        <v>-3.6957940760259503E-2</v>
      </c>
      <c r="E1248">
        <v>1.1122815824388883E-3</v>
      </c>
      <c r="F1248">
        <f t="shared" si="49"/>
        <v>-1.8862480776176905E-2</v>
      </c>
      <c r="G1248">
        <f t="shared" si="48"/>
        <v>-3.0535421444883984E-2</v>
      </c>
      <c r="AI1248" s="3"/>
      <c r="AJ1248" s="3"/>
      <c r="AK1248" s="3"/>
      <c r="AL1248" s="3"/>
    </row>
    <row r="1249" spans="1:7" x14ac:dyDescent="0.35">
      <c r="A1249" t="s">
        <v>75</v>
      </c>
      <c r="E1249">
        <v>-3.7748413729990368E-2</v>
      </c>
      <c r="F1249">
        <f t="shared" si="49"/>
        <v>-1.8863916262182763E-2</v>
      </c>
      <c r="G1249">
        <f t="shared" si="48"/>
        <v>-3.0535421444883984E-2</v>
      </c>
    </row>
    <row r="1250" spans="1:7" x14ac:dyDescent="0.35">
      <c r="A1250" t="s">
        <v>75</v>
      </c>
      <c r="E1250">
        <v>-5.0505409087450194E-3</v>
      </c>
      <c r="F1250">
        <f t="shared" si="49"/>
        <v>-1.8829614473806069E-2</v>
      </c>
      <c r="G1250">
        <f t="shared" si="48"/>
        <v>-3.0387785375806955E-2</v>
      </c>
    </row>
    <row r="1251" spans="1:7" x14ac:dyDescent="0.35">
      <c r="A1251" t="s">
        <v>75</v>
      </c>
      <c r="E1251">
        <v>6.2571665863478546E-3</v>
      </c>
      <c r="F1251">
        <f t="shared" si="49"/>
        <v>-1.8831752715238466E-2</v>
      </c>
      <c r="G1251">
        <f t="shared" si="48"/>
        <v>-3.0387785375806955E-2</v>
      </c>
    </row>
    <row r="1252" spans="1:7" x14ac:dyDescent="0.35">
      <c r="A1252" t="s">
        <v>75</v>
      </c>
      <c r="E1252">
        <v>3.5152040087047608E-2</v>
      </c>
      <c r="F1252">
        <f t="shared" si="49"/>
        <v>-1.8833890956670866E-2</v>
      </c>
      <c r="G1252">
        <f t="shared" si="48"/>
        <v>-3.0387785375806955E-2</v>
      </c>
    </row>
    <row r="1253" spans="1:7" x14ac:dyDescent="0.35">
      <c r="A1253" t="s">
        <v>75</v>
      </c>
      <c r="E1253">
        <v>-2.9843684032681755E-2</v>
      </c>
      <c r="F1253">
        <f t="shared" si="49"/>
        <v>-1.8836029198103267E-2</v>
      </c>
      <c r="G1253">
        <f t="shared" si="48"/>
        <v>-3.0387785375806955E-2</v>
      </c>
    </row>
    <row r="1254" spans="1:7" x14ac:dyDescent="0.35">
      <c r="A1254" t="s">
        <v>75</v>
      </c>
      <c r="E1254">
        <v>1.347481168870065E-2</v>
      </c>
      <c r="F1254">
        <f t="shared" si="49"/>
        <v>-1.8801235957797115E-2</v>
      </c>
      <c r="G1254">
        <f t="shared" si="48"/>
        <v>-3.0301570907266328E-2</v>
      </c>
    </row>
    <row r="1255" spans="1:7" x14ac:dyDescent="0.35">
      <c r="A1255" t="s">
        <v>75</v>
      </c>
      <c r="E1255">
        <v>1.5979651832889526E-2</v>
      </c>
      <c r="F1255">
        <f t="shared" si="49"/>
        <v>-1.8802401974744608E-2</v>
      </c>
      <c r="G1255">
        <f t="shared" si="48"/>
        <v>-3.0301570907266328E-2</v>
      </c>
    </row>
    <row r="1256" spans="1:7" x14ac:dyDescent="0.35">
      <c r="A1256" t="s">
        <v>75</v>
      </c>
      <c r="E1256">
        <v>-1.4201182499474782E-2</v>
      </c>
      <c r="F1256">
        <f t="shared" si="49"/>
        <v>-1.8803567991692104E-2</v>
      </c>
      <c r="G1256">
        <f t="shared" si="48"/>
        <v>-3.0301570907266328E-2</v>
      </c>
    </row>
    <row r="1257" spans="1:7" x14ac:dyDescent="0.35">
      <c r="A1257" t="s">
        <v>75</v>
      </c>
      <c r="E1257">
        <v>2.1671946293781445E-2</v>
      </c>
      <c r="F1257">
        <f t="shared" si="49"/>
        <v>-1.8804734008639596E-2</v>
      </c>
      <c r="G1257">
        <f t="shared" si="48"/>
        <v>-3.0301570907266328E-2</v>
      </c>
    </row>
    <row r="1258" spans="1:7" x14ac:dyDescent="0.35">
      <c r="A1258" t="s">
        <v>75</v>
      </c>
      <c r="E1258">
        <v>1.4114329536134789E-2</v>
      </c>
      <c r="F1258">
        <f t="shared" si="49"/>
        <v>-1.8805900025587092E-2</v>
      </c>
      <c r="G1258">
        <f t="shared" si="48"/>
        <v>-3.0301570907266328E-2</v>
      </c>
    </row>
    <row r="1259" spans="1:7" x14ac:dyDescent="0.35">
      <c r="A1259" t="s">
        <v>75</v>
      </c>
      <c r="E1259">
        <v>5.8102586882368499E-3</v>
      </c>
      <c r="F1259">
        <f t="shared" si="49"/>
        <v>-1.8807066042534584E-2</v>
      </c>
      <c r="G1259">
        <f t="shared" si="48"/>
        <v>-3.0301570907266328E-2</v>
      </c>
    </row>
    <row r="1260" spans="1:7" x14ac:dyDescent="0.35">
      <c r="A1260" t="s">
        <v>75</v>
      </c>
      <c r="E1260">
        <v>7.4298729311754854E-3</v>
      </c>
      <c r="F1260">
        <f t="shared" si="49"/>
        <v>-1.880823205948208E-2</v>
      </c>
      <c r="G1260">
        <f t="shared" si="48"/>
        <v>-3.0301570907266328E-2</v>
      </c>
    </row>
    <row r="1261" spans="1:7" x14ac:dyDescent="0.35">
      <c r="A1261" t="s">
        <v>75</v>
      </c>
      <c r="E1261">
        <v>7.6167161534643583E-3</v>
      </c>
      <c r="F1261">
        <f t="shared" si="49"/>
        <v>-1.8810370300914477E-2</v>
      </c>
      <c r="G1261">
        <f t="shared" si="48"/>
        <v>-3.0392069638351241E-2</v>
      </c>
    </row>
    <row r="1262" spans="1:7" x14ac:dyDescent="0.35">
      <c r="A1262" t="s">
        <v>75</v>
      </c>
      <c r="E1262">
        <v>1.6055244620211878E-2</v>
      </c>
      <c r="F1262">
        <f t="shared" si="49"/>
        <v>-1.8812508542346878E-2</v>
      </c>
      <c r="G1262">
        <f t="shared" si="48"/>
        <v>-3.0392069638351241E-2</v>
      </c>
    </row>
    <row r="1263" spans="1:7" x14ac:dyDescent="0.35">
      <c r="A1263" t="s">
        <v>75</v>
      </c>
      <c r="E1263">
        <v>1.7867205606512459E-2</v>
      </c>
      <c r="F1263">
        <f t="shared" si="49"/>
        <v>-1.8814646783779275E-2</v>
      </c>
      <c r="G1263">
        <f t="shared" si="48"/>
        <v>-3.0392069638351241E-2</v>
      </c>
    </row>
    <row r="1264" spans="1:7" x14ac:dyDescent="0.35">
      <c r="A1264" t="s">
        <v>75</v>
      </c>
      <c r="E1264">
        <v>9.3367733210285315E-3</v>
      </c>
      <c r="F1264">
        <f t="shared" si="49"/>
        <v>-1.8816785025211676E-2</v>
      </c>
      <c r="G1264">
        <f t="shared" si="48"/>
        <v>-3.0392069638351241E-2</v>
      </c>
    </row>
    <row r="1265" spans="1:38" x14ac:dyDescent="0.35">
      <c r="A1265" t="s">
        <v>75</v>
      </c>
      <c r="E1265">
        <v>-1.2288606147136467E-2</v>
      </c>
      <c r="F1265">
        <f t="shared" si="49"/>
        <v>-1.8818923266644076E-2</v>
      </c>
      <c r="G1265">
        <f t="shared" si="48"/>
        <v>-3.0392069638351241E-2</v>
      </c>
    </row>
    <row r="1266" spans="1:38" x14ac:dyDescent="0.35">
      <c r="A1266" t="s">
        <v>75</v>
      </c>
      <c r="E1266">
        <v>-4.0466278402395764E-3</v>
      </c>
      <c r="F1266">
        <f t="shared" si="49"/>
        <v>-1.8821061508076473E-2</v>
      </c>
      <c r="G1266">
        <f t="shared" si="48"/>
        <v>-3.0392069638351241E-2</v>
      </c>
    </row>
    <row r="1267" spans="1:38" x14ac:dyDescent="0.35">
      <c r="A1267" t="s">
        <v>75</v>
      </c>
      <c r="E1267">
        <v>3.8242214316458797E-3</v>
      </c>
      <c r="F1267">
        <f t="shared" si="49"/>
        <v>-1.882319974950887E-2</v>
      </c>
      <c r="G1267">
        <f t="shared" si="48"/>
        <v>-3.0392069638351241E-2</v>
      </c>
    </row>
    <row r="1268" spans="1:38" x14ac:dyDescent="0.35">
      <c r="A1268" t="s">
        <v>75</v>
      </c>
      <c r="E1268">
        <v>-6.0655194609758141E-3</v>
      </c>
      <c r="F1268">
        <f t="shared" si="49"/>
        <v>-1.8825337990941271E-2</v>
      </c>
      <c r="G1268">
        <f t="shared" si="48"/>
        <v>-3.0392069638351241E-2</v>
      </c>
    </row>
    <row r="1269" spans="1:38" x14ac:dyDescent="0.35">
      <c r="A1269" t="s">
        <v>76</v>
      </c>
      <c r="B1269" s="3" cm="1">
        <f t="array" ref="B1269">_xlfn.STDEV.S(_xlfn._xlws.FILTER($E$1000:$E$1998, $A$1000:$A$1998="2015-02"))</f>
        <v>6.9889643849293586E-3</v>
      </c>
      <c r="C1269" s="3" cm="1">
        <f t="array" ref="C1269">AVERAGE(_xlfn._xlws.FILTER($E$1000:$E$1998, $A$1000:$A$1998="2015-02"))</f>
        <v>3.5632962436507806E-3</v>
      </c>
      <c r="D1269" s="3" cm="1">
        <f t="array" ref="D1269">_xlfn.PERCENTILE.EXC(_xlfn._xlws.FILTER($E$1000:$E$1497, $A$1000:$A$1497="2015-02"), 0.05)</f>
        <v>-1.4406025677487217E-2</v>
      </c>
      <c r="E1269">
        <v>5.5552805572432499E-3</v>
      </c>
      <c r="F1269">
        <f t="shared" si="49"/>
        <v>-1.8827476232373668E-2</v>
      </c>
      <c r="G1269">
        <f t="shared" si="48"/>
        <v>-3.0392069638351241E-2</v>
      </c>
      <c r="AI1269" s="3"/>
      <c r="AJ1269" s="3"/>
      <c r="AK1269" s="3"/>
      <c r="AL1269" s="3"/>
    </row>
    <row r="1270" spans="1:38" x14ac:dyDescent="0.35">
      <c r="A1270" t="s">
        <v>76</v>
      </c>
      <c r="E1270">
        <v>1.2991962278591035E-2</v>
      </c>
      <c r="F1270">
        <f t="shared" si="49"/>
        <v>-1.8829614473806069E-2</v>
      </c>
      <c r="G1270">
        <f t="shared" si="48"/>
        <v>-3.0392069638351241E-2</v>
      </c>
    </row>
    <row r="1271" spans="1:38" x14ac:dyDescent="0.35">
      <c r="A1271" t="s">
        <v>76</v>
      </c>
      <c r="E1271">
        <v>3.9533157852470596E-4</v>
      </c>
      <c r="F1271">
        <f t="shared" si="49"/>
        <v>-1.8831752715238466E-2</v>
      </c>
      <c r="G1271">
        <f t="shared" si="48"/>
        <v>-3.0392069638351241E-2</v>
      </c>
    </row>
    <row r="1272" spans="1:38" x14ac:dyDescent="0.35">
      <c r="A1272" t="s">
        <v>76</v>
      </c>
      <c r="E1272">
        <v>-1.9254191975410547E-3</v>
      </c>
      <c r="F1272">
        <f t="shared" si="49"/>
        <v>-1.8833890956670866E-2</v>
      </c>
      <c r="G1272">
        <f t="shared" si="48"/>
        <v>-3.0392069638351241E-2</v>
      </c>
    </row>
    <row r="1273" spans="1:38" x14ac:dyDescent="0.35">
      <c r="A1273" t="s">
        <v>76</v>
      </c>
      <c r="E1273">
        <v>-3.1731507780077338E-3</v>
      </c>
      <c r="F1273">
        <f t="shared" si="49"/>
        <v>-1.8836029198103264E-2</v>
      </c>
      <c r="G1273">
        <f t="shared" si="48"/>
        <v>-3.0392069638351241E-2</v>
      </c>
    </row>
    <row r="1274" spans="1:38" x14ac:dyDescent="0.35">
      <c r="A1274" t="s">
        <v>76</v>
      </c>
      <c r="E1274">
        <v>-1.4945630269149555E-2</v>
      </c>
      <c r="F1274">
        <f t="shared" si="49"/>
        <v>-1.8838167439535664E-2</v>
      </c>
      <c r="G1274">
        <f t="shared" si="48"/>
        <v>-3.0392069638351241E-2</v>
      </c>
    </row>
    <row r="1275" spans="1:38" x14ac:dyDescent="0.35">
      <c r="A1275" t="s">
        <v>76</v>
      </c>
      <c r="E1275">
        <v>1.0512838097992073E-2</v>
      </c>
      <c r="F1275">
        <f t="shared" si="49"/>
        <v>-1.8840305680968061E-2</v>
      </c>
      <c r="G1275">
        <f t="shared" si="48"/>
        <v>-3.0392069638351241E-2</v>
      </c>
    </row>
    <row r="1276" spans="1:38" x14ac:dyDescent="0.35">
      <c r="A1276" t="s">
        <v>76</v>
      </c>
      <c r="E1276">
        <v>-2.6608394526633728E-3</v>
      </c>
      <c r="F1276">
        <f t="shared" si="49"/>
        <v>-1.8842443922400462E-2</v>
      </c>
      <c r="G1276">
        <f t="shared" si="48"/>
        <v>-3.0392069638351241E-2</v>
      </c>
    </row>
    <row r="1277" spans="1:38" x14ac:dyDescent="0.35">
      <c r="A1277" t="s">
        <v>76</v>
      </c>
      <c r="E1277">
        <v>1.2800999330498568E-2</v>
      </c>
      <c r="F1277">
        <f t="shared" si="49"/>
        <v>-1.8844582163832859E-2</v>
      </c>
      <c r="G1277">
        <f t="shared" si="48"/>
        <v>-3.0392069638351241E-2</v>
      </c>
    </row>
    <row r="1278" spans="1:38" x14ac:dyDescent="0.35">
      <c r="A1278" t="s">
        <v>76</v>
      </c>
      <c r="E1278">
        <v>8.7339598490234378E-3</v>
      </c>
      <c r="F1278">
        <f t="shared" si="49"/>
        <v>-1.884672040526526E-2</v>
      </c>
      <c r="G1278">
        <f t="shared" si="48"/>
        <v>-3.0392069638351241E-2</v>
      </c>
    </row>
    <row r="1279" spans="1:38" x14ac:dyDescent="0.35">
      <c r="A1279" t="s">
        <v>76</v>
      </c>
      <c r="E1279">
        <v>-4.1535384359028087E-3</v>
      </c>
      <c r="F1279">
        <f t="shared" si="49"/>
        <v>-1.8848858646697657E-2</v>
      </c>
      <c r="G1279">
        <f t="shared" si="48"/>
        <v>-3.0392069638351241E-2</v>
      </c>
    </row>
    <row r="1280" spans="1:38" x14ac:dyDescent="0.35">
      <c r="A1280" t="s">
        <v>76</v>
      </c>
      <c r="E1280">
        <v>1.4959823737784007E-3</v>
      </c>
      <c r="F1280">
        <f t="shared" si="49"/>
        <v>-1.8850996888130057E-2</v>
      </c>
      <c r="G1280">
        <f t="shared" si="48"/>
        <v>-3.0392069638351241E-2</v>
      </c>
    </row>
    <row r="1281" spans="1:38" x14ac:dyDescent="0.35">
      <c r="A1281" t="s">
        <v>76</v>
      </c>
      <c r="E1281">
        <v>7.9256060677432797E-3</v>
      </c>
      <c r="F1281">
        <f t="shared" si="49"/>
        <v>-1.8852432374135912E-2</v>
      </c>
      <c r="G1281">
        <f t="shared" si="48"/>
        <v>-3.048366545382919E-2</v>
      </c>
    </row>
    <row r="1282" spans="1:38" x14ac:dyDescent="0.35">
      <c r="A1282" t="s">
        <v>76</v>
      </c>
      <c r="E1282">
        <v>6.4079553395206233E-3</v>
      </c>
      <c r="F1282">
        <f t="shared" si="49"/>
        <v>-1.885386786014177E-2</v>
      </c>
      <c r="G1282">
        <f t="shared" si="48"/>
        <v>-3.048366545382919E-2</v>
      </c>
    </row>
    <row r="1283" spans="1:38" x14ac:dyDescent="0.35">
      <c r="A1283" t="s">
        <v>76</v>
      </c>
      <c r="E1283">
        <v>7.0214558505371776E-4</v>
      </c>
      <c r="F1283">
        <f t="shared" si="49"/>
        <v>-1.8855303346147625E-2</v>
      </c>
      <c r="G1283">
        <f t="shared" ref="G1283:G1346" si="50">AVERAGEIFS(E1283:E5099,E1283:E5099,"&lt;=" &amp; F1283)</f>
        <v>-3.048366545382919E-2</v>
      </c>
    </row>
    <row r="1284" spans="1:38" x14ac:dyDescent="0.35">
      <c r="A1284" t="s">
        <v>76</v>
      </c>
      <c r="E1284">
        <v>8.2880771606243676E-3</v>
      </c>
      <c r="F1284">
        <f t="shared" ref="F1284:F1347" si="51">_xlfn.PERCENTILE.EXC(E1284:E5099,0.05)</f>
        <v>-1.8856738832153483E-2</v>
      </c>
      <c r="G1284">
        <f t="shared" si="50"/>
        <v>-3.048366545382919E-2</v>
      </c>
    </row>
    <row r="1285" spans="1:38" x14ac:dyDescent="0.35">
      <c r="A1285" t="s">
        <v>76</v>
      </c>
      <c r="E1285">
        <v>7.7887039238861023E-3</v>
      </c>
      <c r="F1285">
        <f t="shared" si="51"/>
        <v>-1.8858174318159338E-2</v>
      </c>
      <c r="G1285">
        <f t="shared" si="50"/>
        <v>-3.048366545382919E-2</v>
      </c>
    </row>
    <row r="1286" spans="1:38" x14ac:dyDescent="0.35">
      <c r="A1286" t="s">
        <v>76</v>
      </c>
      <c r="E1286">
        <v>-1.5009426027112508E-3</v>
      </c>
      <c r="F1286">
        <f t="shared" si="51"/>
        <v>-1.8859609804165192E-2</v>
      </c>
      <c r="G1286">
        <f t="shared" si="50"/>
        <v>-3.048366545382919E-2</v>
      </c>
    </row>
    <row r="1287" spans="1:38" x14ac:dyDescent="0.35">
      <c r="A1287" t="s">
        <v>76</v>
      </c>
      <c r="E1287">
        <v>9.3189671579663111E-3</v>
      </c>
      <c r="F1287">
        <f t="shared" si="51"/>
        <v>-1.886104529017105E-2</v>
      </c>
      <c r="G1287">
        <f t="shared" si="50"/>
        <v>-3.048366545382919E-2</v>
      </c>
    </row>
    <row r="1288" spans="1:38" x14ac:dyDescent="0.35">
      <c r="A1288" t="s">
        <v>76</v>
      </c>
      <c r="E1288">
        <v>6.7076363085455211E-3</v>
      </c>
      <c r="F1288">
        <f t="shared" si="51"/>
        <v>-1.8862480776176905E-2</v>
      </c>
      <c r="G1288">
        <f t="shared" si="50"/>
        <v>-3.048366545382919E-2</v>
      </c>
    </row>
    <row r="1289" spans="1:38" x14ac:dyDescent="0.35">
      <c r="A1289" t="s">
        <v>77</v>
      </c>
      <c r="B1289" s="3" cm="1">
        <f t="array" ref="B1289">_xlfn.STDEV.S(_xlfn._xlws.FILTER($E$1000:$E$1998, $A$1000:$A$1998="2015-03"))</f>
        <v>9.8578757701037936E-3</v>
      </c>
      <c r="C1289" s="3" cm="1">
        <f t="array" ref="C1289">AVERAGE(_xlfn._xlws.FILTER($E$1000:$E$1998, $A$1000:$A$1998="2015-03"))</f>
        <v>1.2258378008279632E-3</v>
      </c>
      <c r="D1289" s="3" cm="1">
        <f t="array" ref="D1289">_xlfn.PERCENTILE.EXC(_xlfn._xlws.FILTER($E$1000:$E$1497, $A$1000:$A$1497="2015-03"), 0.05)</f>
        <v>-1.264465514170411E-2</v>
      </c>
      <c r="E1289">
        <v>-2.2002515103693755E-3</v>
      </c>
      <c r="F1289">
        <f t="shared" si="51"/>
        <v>-1.8863916262182763E-2</v>
      </c>
      <c r="G1289">
        <f t="shared" si="50"/>
        <v>-3.048366545382919E-2</v>
      </c>
      <c r="AI1289" s="3"/>
      <c r="AJ1289" s="3"/>
      <c r="AK1289" s="3"/>
      <c r="AL1289" s="3"/>
    </row>
    <row r="1290" spans="1:38" x14ac:dyDescent="0.35">
      <c r="A1290" t="s">
        <v>77</v>
      </c>
      <c r="E1290">
        <v>-1.1758909756109673E-2</v>
      </c>
      <c r="F1290">
        <f t="shared" si="51"/>
        <v>-1.8865351748188618E-2</v>
      </c>
      <c r="G1290">
        <f t="shared" si="50"/>
        <v>-3.048366545382919E-2</v>
      </c>
    </row>
    <row r="1291" spans="1:38" x14ac:dyDescent="0.35">
      <c r="A1291" t="s">
        <v>77</v>
      </c>
      <c r="E1291">
        <v>9.6263650739663951E-3</v>
      </c>
      <c r="F1291">
        <f t="shared" si="51"/>
        <v>-1.8866787234194472E-2</v>
      </c>
      <c r="G1291">
        <f t="shared" si="50"/>
        <v>-3.048366545382919E-2</v>
      </c>
    </row>
    <row r="1292" spans="1:38" x14ac:dyDescent="0.35">
      <c r="A1292" t="s">
        <v>77</v>
      </c>
      <c r="E1292">
        <v>9.6561955020302587E-3</v>
      </c>
      <c r="F1292">
        <f t="shared" si="51"/>
        <v>-1.886822272020033E-2</v>
      </c>
      <c r="G1292">
        <f t="shared" si="50"/>
        <v>-3.048366545382919E-2</v>
      </c>
    </row>
    <row r="1293" spans="1:38" x14ac:dyDescent="0.35">
      <c r="A1293" t="s">
        <v>77</v>
      </c>
      <c r="E1293">
        <v>-1.6307735292505046E-4</v>
      </c>
      <c r="F1293">
        <f t="shared" si="51"/>
        <v>-1.8869658206206185E-2</v>
      </c>
      <c r="G1293">
        <f t="shared" si="50"/>
        <v>-3.048366545382919E-2</v>
      </c>
    </row>
    <row r="1294" spans="1:38" x14ac:dyDescent="0.35">
      <c r="A1294" t="s">
        <v>77</v>
      </c>
      <c r="E1294">
        <v>-2.0310193896287999E-3</v>
      </c>
      <c r="F1294">
        <f t="shared" si="51"/>
        <v>-1.8871093692212043E-2</v>
      </c>
      <c r="G1294">
        <f t="shared" si="50"/>
        <v>-3.048366545382919E-2</v>
      </c>
    </row>
    <row r="1295" spans="1:38" x14ac:dyDescent="0.35">
      <c r="A1295" t="s">
        <v>77</v>
      </c>
      <c r="E1295">
        <v>-1.1990340835310117E-2</v>
      </c>
      <c r="F1295">
        <f t="shared" si="51"/>
        <v>-1.8872529178217898E-2</v>
      </c>
      <c r="G1295">
        <f t="shared" si="50"/>
        <v>-3.048366545382919E-2</v>
      </c>
    </row>
    <row r="1296" spans="1:38" x14ac:dyDescent="0.35">
      <c r="A1296" t="s">
        <v>77</v>
      </c>
      <c r="E1296">
        <v>2.2806141426472672E-2</v>
      </c>
      <c r="F1296">
        <f t="shared" si="51"/>
        <v>-1.8873964664223752E-2</v>
      </c>
      <c r="G1296">
        <f t="shared" si="50"/>
        <v>-3.048366545382919E-2</v>
      </c>
    </row>
    <row r="1297" spans="1:38" x14ac:dyDescent="0.35">
      <c r="A1297" t="s">
        <v>77</v>
      </c>
      <c r="E1297">
        <v>-2.2548789807698842E-3</v>
      </c>
      <c r="F1297">
        <f t="shared" si="51"/>
        <v>-1.8875400150229611E-2</v>
      </c>
      <c r="G1297">
        <f t="shared" si="50"/>
        <v>-3.048366545382919E-2</v>
      </c>
    </row>
    <row r="1298" spans="1:38" x14ac:dyDescent="0.35">
      <c r="A1298" t="s">
        <v>77</v>
      </c>
      <c r="E1298">
        <v>4.0808384929950821E-3</v>
      </c>
      <c r="F1298">
        <f t="shared" si="51"/>
        <v>-1.8876835636235465E-2</v>
      </c>
      <c r="G1298">
        <f t="shared" si="50"/>
        <v>-3.048366545382919E-2</v>
      </c>
    </row>
    <row r="1299" spans="1:38" x14ac:dyDescent="0.35">
      <c r="A1299" t="s">
        <v>77</v>
      </c>
      <c r="E1299">
        <v>1.3728390148753173E-2</v>
      </c>
      <c r="F1299">
        <f t="shared" si="51"/>
        <v>-1.8878271122241323E-2</v>
      </c>
      <c r="G1299">
        <f t="shared" si="50"/>
        <v>-3.048366545382919E-2</v>
      </c>
    </row>
    <row r="1300" spans="1:38" x14ac:dyDescent="0.35">
      <c r="A1300" t="s">
        <v>77</v>
      </c>
      <c r="E1300">
        <v>-9.3754371222798533E-3</v>
      </c>
      <c r="F1300">
        <f t="shared" si="51"/>
        <v>-1.8879706608247178E-2</v>
      </c>
      <c r="G1300">
        <f t="shared" si="50"/>
        <v>-3.048366545382919E-2</v>
      </c>
    </row>
    <row r="1301" spans="1:38" x14ac:dyDescent="0.35">
      <c r="A1301" t="s">
        <v>77</v>
      </c>
      <c r="E1301">
        <v>-9.9173381712301754E-4</v>
      </c>
      <c r="F1301">
        <f t="shared" si="51"/>
        <v>-1.8879926284727042E-2</v>
      </c>
      <c r="G1301">
        <f t="shared" si="50"/>
        <v>-3.0576497124593847E-2</v>
      </c>
    </row>
    <row r="1302" spans="1:38" x14ac:dyDescent="0.35">
      <c r="A1302" t="s">
        <v>77</v>
      </c>
      <c r="E1302">
        <v>6.0224139163978332E-4</v>
      </c>
      <c r="F1302">
        <f t="shared" si="51"/>
        <v>-1.8880145961206903E-2</v>
      </c>
      <c r="G1302">
        <f t="shared" si="50"/>
        <v>-3.0576497124593847E-2</v>
      </c>
    </row>
    <row r="1303" spans="1:38" x14ac:dyDescent="0.35">
      <c r="A1303" t="s">
        <v>77</v>
      </c>
      <c r="E1303">
        <v>1.4963506537534629E-2</v>
      </c>
      <c r="F1303">
        <f t="shared" si="51"/>
        <v>-1.8880365637686768E-2</v>
      </c>
      <c r="G1303">
        <f t="shared" si="50"/>
        <v>-3.0576497124593847E-2</v>
      </c>
    </row>
    <row r="1304" spans="1:38" x14ac:dyDescent="0.35">
      <c r="A1304" t="s">
        <v>77</v>
      </c>
      <c r="E1304">
        <v>-7.2807323804795453E-3</v>
      </c>
      <c r="F1304">
        <f t="shared" si="51"/>
        <v>-1.8880585314166629E-2</v>
      </c>
      <c r="G1304">
        <f t="shared" si="50"/>
        <v>-3.0576497124593847E-2</v>
      </c>
    </row>
    <row r="1305" spans="1:38" x14ac:dyDescent="0.35">
      <c r="A1305" t="s">
        <v>77</v>
      </c>
      <c r="E1305">
        <v>8.6967719443700239E-3</v>
      </c>
      <c r="F1305">
        <f t="shared" si="51"/>
        <v>-1.8880804990646493E-2</v>
      </c>
      <c r="G1305">
        <f t="shared" si="50"/>
        <v>-3.0576497124593847E-2</v>
      </c>
    </row>
    <row r="1306" spans="1:38" x14ac:dyDescent="0.35">
      <c r="A1306" t="s">
        <v>77</v>
      </c>
      <c r="E1306">
        <v>-1.2760122372244226E-2</v>
      </c>
      <c r="F1306">
        <f t="shared" si="51"/>
        <v>-1.8881024667126357E-2</v>
      </c>
      <c r="G1306">
        <f t="shared" si="50"/>
        <v>-3.0576497124593847E-2</v>
      </c>
    </row>
    <row r="1307" spans="1:38" x14ac:dyDescent="0.35">
      <c r="A1307" t="s">
        <v>77</v>
      </c>
      <c r="E1307">
        <v>-3.8755363765512365E-3</v>
      </c>
      <c r="F1307">
        <f t="shared" si="51"/>
        <v>-1.8881244343606218E-2</v>
      </c>
      <c r="G1307">
        <f t="shared" si="50"/>
        <v>-3.0576497124593847E-2</v>
      </c>
    </row>
    <row r="1308" spans="1:38" x14ac:dyDescent="0.35">
      <c r="A1308" t="s">
        <v>77</v>
      </c>
      <c r="E1308">
        <v>2.5146907583054666E-3</v>
      </c>
      <c r="F1308">
        <f t="shared" si="51"/>
        <v>-1.8881464020086083E-2</v>
      </c>
      <c r="G1308">
        <f t="shared" si="50"/>
        <v>-3.0576497124593847E-2</v>
      </c>
    </row>
    <row r="1309" spans="1:38" x14ac:dyDescent="0.35">
      <c r="A1309" t="s">
        <v>77</v>
      </c>
      <c r="E1309">
        <v>1.3169116836395779E-2</v>
      </c>
      <c r="F1309">
        <f t="shared" si="51"/>
        <v>-1.8881683696565944E-2</v>
      </c>
      <c r="G1309">
        <f t="shared" si="50"/>
        <v>-3.0576497124593847E-2</v>
      </c>
    </row>
    <row r="1310" spans="1:38" x14ac:dyDescent="0.35">
      <c r="A1310" t="s">
        <v>77</v>
      </c>
      <c r="E1310">
        <v>-8.1937866004572878E-3</v>
      </c>
      <c r="F1310">
        <f t="shared" si="51"/>
        <v>-1.8881903373045808E-2</v>
      </c>
      <c r="G1310">
        <f t="shared" si="50"/>
        <v>-3.0576497124593847E-2</v>
      </c>
    </row>
    <row r="1311" spans="1:38" x14ac:dyDescent="0.35">
      <c r="A1311" t="s">
        <v>78</v>
      </c>
      <c r="B1311" s="3" cm="1">
        <f t="array" ref="B1311">_xlfn.STDEV.S(_xlfn._xlws.FILTER($E$1000:$E$1998, $A$1000:$A$1998="2015-04"))</f>
        <v>1.1769512790628704E-2</v>
      </c>
      <c r="C1311" s="3" cm="1">
        <f t="array" ref="C1311">AVERAGE(_xlfn._xlws.FILTER($E$1000:$E$1998, $A$1000:$A$1998="2015-04"))</f>
        <v>-1.1184704784745548E-3</v>
      </c>
      <c r="D1311" s="3" cm="1">
        <f t="array" ref="D1311">_xlfn.PERCENTILE.EXC(_xlfn._xlws.FILTER($E$1000:$E$1497, $A$1000:$A$1497="2015-04"), 0.05)</f>
        <v>-2.6521534666929716E-2</v>
      </c>
      <c r="E1311">
        <v>4.7246073257938342E-3</v>
      </c>
      <c r="F1311">
        <f t="shared" si="51"/>
        <v>-1.8882123049525672E-2</v>
      </c>
      <c r="G1311">
        <f t="shared" si="50"/>
        <v>-3.0576497124593847E-2</v>
      </c>
      <c r="AI1311" s="3"/>
      <c r="AJ1311" s="3"/>
      <c r="AK1311" s="3"/>
      <c r="AL1311" s="3"/>
    </row>
    <row r="1312" spans="1:38" x14ac:dyDescent="0.35">
      <c r="A1312" t="s">
        <v>78</v>
      </c>
      <c r="E1312">
        <v>1.0228581896801915E-4</v>
      </c>
      <c r="F1312">
        <f t="shared" si="51"/>
        <v>-1.8882342726005533E-2</v>
      </c>
      <c r="G1312">
        <f t="shared" si="50"/>
        <v>-3.0576497124593847E-2</v>
      </c>
    </row>
    <row r="1313" spans="1:7" x14ac:dyDescent="0.35">
      <c r="A1313" t="s">
        <v>78</v>
      </c>
      <c r="E1313">
        <v>1.4284067402800313E-2</v>
      </c>
      <c r="F1313">
        <f t="shared" si="51"/>
        <v>-1.8882562402485398E-2</v>
      </c>
      <c r="G1313">
        <f t="shared" si="50"/>
        <v>-3.0576497124593847E-2</v>
      </c>
    </row>
    <row r="1314" spans="1:7" x14ac:dyDescent="0.35">
      <c r="A1314" t="s">
        <v>78</v>
      </c>
      <c r="E1314">
        <v>-6.9468484153656414E-3</v>
      </c>
      <c r="F1314">
        <f t="shared" si="51"/>
        <v>-1.8882782078965259E-2</v>
      </c>
      <c r="G1314">
        <f t="shared" si="50"/>
        <v>-3.0576497124593847E-2</v>
      </c>
    </row>
    <row r="1315" spans="1:7" x14ac:dyDescent="0.35">
      <c r="A1315" t="s">
        <v>78</v>
      </c>
      <c r="E1315">
        <v>1.0408869670699194E-2</v>
      </c>
      <c r="F1315">
        <f t="shared" si="51"/>
        <v>-1.8883001755445123E-2</v>
      </c>
      <c r="G1315">
        <f t="shared" si="50"/>
        <v>-3.0576497124593847E-2</v>
      </c>
    </row>
    <row r="1316" spans="1:7" x14ac:dyDescent="0.35">
      <c r="A1316" t="s">
        <v>78</v>
      </c>
      <c r="E1316">
        <v>9.2044526636083368E-3</v>
      </c>
      <c r="F1316">
        <f t="shared" si="51"/>
        <v>-1.8883221431924987E-2</v>
      </c>
      <c r="G1316">
        <f t="shared" si="50"/>
        <v>-3.0576497124593847E-2</v>
      </c>
    </row>
    <row r="1317" spans="1:7" x14ac:dyDescent="0.35">
      <c r="A1317" t="s">
        <v>78</v>
      </c>
      <c r="E1317">
        <v>3.1443194079741141E-3</v>
      </c>
      <c r="F1317">
        <f t="shared" si="51"/>
        <v>-1.8883441108404848E-2</v>
      </c>
      <c r="G1317">
        <f t="shared" si="50"/>
        <v>-3.0576497124593847E-2</v>
      </c>
    </row>
    <row r="1318" spans="1:7" x14ac:dyDescent="0.35">
      <c r="A1318" t="s">
        <v>78</v>
      </c>
      <c r="E1318">
        <v>-1.1624509782973453E-2</v>
      </c>
      <c r="F1318">
        <f t="shared" si="51"/>
        <v>-1.8883660784884713E-2</v>
      </c>
      <c r="G1318">
        <f t="shared" si="50"/>
        <v>-3.0576497124593847E-2</v>
      </c>
    </row>
    <row r="1319" spans="1:7" x14ac:dyDescent="0.35">
      <c r="A1319" t="s">
        <v>78</v>
      </c>
      <c r="E1319">
        <v>5.0131363489756423E-3</v>
      </c>
      <c r="F1319">
        <f t="shared" si="51"/>
        <v>-1.8883880461364574E-2</v>
      </c>
      <c r="G1319">
        <f t="shared" si="50"/>
        <v>-3.0576497124593847E-2</v>
      </c>
    </row>
    <row r="1320" spans="1:7" x14ac:dyDescent="0.35">
      <c r="A1320" t="s">
        <v>78</v>
      </c>
      <c r="E1320">
        <v>-1.372043966200559E-2</v>
      </c>
      <c r="F1320">
        <f t="shared" si="51"/>
        <v>-1.8884100137844438E-2</v>
      </c>
      <c r="G1320">
        <f t="shared" si="50"/>
        <v>-3.0576497124593847E-2</v>
      </c>
    </row>
    <row r="1321" spans="1:7" x14ac:dyDescent="0.35">
      <c r="A1321" t="s">
        <v>78</v>
      </c>
      <c r="E1321">
        <v>-2.0919805647907463E-2</v>
      </c>
      <c r="F1321">
        <f t="shared" si="51"/>
        <v>-1.888631931437423E-2</v>
      </c>
      <c r="G1321">
        <f t="shared" si="50"/>
        <v>-3.0670790648680533E-2</v>
      </c>
    </row>
    <row r="1322" spans="1:7" x14ac:dyDescent="0.35">
      <c r="A1322" t="s">
        <v>78</v>
      </c>
      <c r="E1322">
        <v>1.1902051868001104E-2</v>
      </c>
      <c r="F1322">
        <f t="shared" si="51"/>
        <v>-1.8880145961206903E-2</v>
      </c>
      <c r="G1322">
        <f t="shared" si="50"/>
        <v>-3.065437366876067E-2</v>
      </c>
    </row>
    <row r="1323" spans="1:7" x14ac:dyDescent="0.35">
      <c r="A1323" t="s">
        <v>78</v>
      </c>
      <c r="E1323">
        <v>3.6034001427900269E-4</v>
      </c>
      <c r="F1323">
        <f t="shared" si="51"/>
        <v>-1.8880365637686768E-2</v>
      </c>
      <c r="G1323">
        <f t="shared" si="50"/>
        <v>-3.065437366876067E-2</v>
      </c>
    </row>
    <row r="1324" spans="1:7" x14ac:dyDescent="0.35">
      <c r="A1324" t="s">
        <v>78</v>
      </c>
      <c r="E1324">
        <v>1.3729419784822825E-3</v>
      </c>
      <c r="F1324">
        <f t="shared" si="51"/>
        <v>-1.8880585314166629E-2</v>
      </c>
      <c r="G1324">
        <f t="shared" si="50"/>
        <v>-3.065437366876067E-2</v>
      </c>
    </row>
    <row r="1325" spans="1:7" x14ac:dyDescent="0.35">
      <c r="A1325" t="s">
        <v>78</v>
      </c>
      <c r="E1325">
        <v>-7.1702472409755575E-3</v>
      </c>
      <c r="F1325">
        <f t="shared" si="51"/>
        <v>-1.8880804990646493E-2</v>
      </c>
      <c r="G1325">
        <f t="shared" si="50"/>
        <v>-3.065437366876067E-2</v>
      </c>
    </row>
    <row r="1326" spans="1:7" x14ac:dyDescent="0.35">
      <c r="A1326" t="s">
        <v>78</v>
      </c>
      <c r="E1326">
        <v>4.3390103478182437E-3</v>
      </c>
      <c r="F1326">
        <f t="shared" si="51"/>
        <v>-1.8881024667126357E-2</v>
      </c>
      <c r="G1326">
        <f t="shared" si="50"/>
        <v>-3.065437366876067E-2</v>
      </c>
    </row>
    <row r="1327" spans="1:7" x14ac:dyDescent="0.35">
      <c r="A1327" t="s">
        <v>78</v>
      </c>
      <c r="E1327">
        <v>1.5360850085716206E-2</v>
      </c>
      <c r="F1327">
        <f t="shared" si="51"/>
        <v>-1.8881244343606218E-2</v>
      </c>
      <c r="G1327">
        <f t="shared" si="50"/>
        <v>-3.065437366876067E-2</v>
      </c>
    </row>
    <row r="1328" spans="1:7" x14ac:dyDescent="0.35">
      <c r="A1328" t="s">
        <v>78</v>
      </c>
      <c r="E1328">
        <v>-1.496781593783454E-2</v>
      </c>
      <c r="F1328">
        <f t="shared" si="51"/>
        <v>-1.8881464020086083E-2</v>
      </c>
      <c r="G1328">
        <f t="shared" si="50"/>
        <v>-3.065437366876067E-2</v>
      </c>
    </row>
    <row r="1329" spans="1:38" x14ac:dyDescent="0.35">
      <c r="A1329" t="s">
        <v>78</v>
      </c>
      <c r="E1329">
        <v>-2.6816362510036149E-2</v>
      </c>
      <c r="F1329">
        <f t="shared" si="51"/>
        <v>-1.8881683696565944E-2</v>
      </c>
      <c r="G1329">
        <f t="shared" si="50"/>
        <v>-3.065437366876067E-2</v>
      </c>
    </row>
    <row r="1330" spans="1:38" x14ac:dyDescent="0.35">
      <c r="A1330" t="s">
        <v>78</v>
      </c>
      <c r="E1330">
        <v>-4.2031330550898292E-4</v>
      </c>
      <c r="F1330">
        <f t="shared" si="51"/>
        <v>-1.8865351748188618E-2</v>
      </c>
      <c r="G1330">
        <f t="shared" si="50"/>
        <v>-3.0590368379230119E-2</v>
      </c>
    </row>
    <row r="1331" spans="1:38" x14ac:dyDescent="0.35">
      <c r="A1331" t="s">
        <v>79</v>
      </c>
      <c r="B1331" s="3" cm="1">
        <f t="array" ref="B1331">_xlfn.STDEV.S(_xlfn._xlws.FILTER($E$1000:$E$1998, $A$1000:$A$1998="2015-05"))</f>
        <v>1.3847026667367208E-2</v>
      </c>
      <c r="C1331" s="3" cm="1">
        <f t="array" ref="C1331">AVERAGE(_xlfn._xlws.FILTER($E$1000:$E$1998, $A$1000:$A$1998="2015-05"))</f>
        <v>-6.9283287911149497E-4</v>
      </c>
      <c r="D1331" s="3" cm="1">
        <f t="array" ref="D1331">_xlfn.PERCENTILE.INC(_xlfn._xlws.FILTER($E$1000:$E$1497, $A$1000:$A$1497="2015-05"), 0.05)</f>
        <v>-1.9706033295006559E-2</v>
      </c>
      <c r="E1331">
        <v>-1.9276931540466707E-2</v>
      </c>
      <c r="F1331">
        <f t="shared" si="51"/>
        <v>-1.8866787234194472E-2</v>
      </c>
      <c r="G1331">
        <f t="shared" si="50"/>
        <v>-3.0590368379230119E-2</v>
      </c>
      <c r="AI1331" s="3"/>
      <c r="AJ1331" s="3"/>
      <c r="AK1331" s="3"/>
      <c r="AL1331" s="3"/>
    </row>
    <row r="1332" spans="1:38" x14ac:dyDescent="0.35">
      <c r="A1332" t="s">
        <v>79</v>
      </c>
      <c r="E1332">
        <v>3.2289013061497797E-3</v>
      </c>
      <c r="F1332">
        <f t="shared" si="51"/>
        <v>-1.8833890956670866E-2</v>
      </c>
      <c r="G1332">
        <f t="shared" si="50"/>
        <v>-3.0586933422356435E-2</v>
      </c>
    </row>
    <row r="1333" spans="1:38" x14ac:dyDescent="0.35">
      <c r="A1333" t="s">
        <v>79</v>
      </c>
      <c r="E1333">
        <v>-5.1164988521728715E-4</v>
      </c>
      <c r="F1333">
        <f t="shared" si="51"/>
        <v>-1.8836029198103264E-2</v>
      </c>
      <c r="G1333">
        <f t="shared" si="50"/>
        <v>-3.0586933422356435E-2</v>
      </c>
    </row>
    <row r="1334" spans="1:38" x14ac:dyDescent="0.35">
      <c r="A1334" t="s">
        <v>79</v>
      </c>
      <c r="E1334">
        <v>2.588932066568244E-2</v>
      </c>
      <c r="F1334">
        <f t="shared" si="51"/>
        <v>-1.8838167439535664E-2</v>
      </c>
      <c r="G1334">
        <f t="shared" si="50"/>
        <v>-3.0586933422356435E-2</v>
      </c>
    </row>
    <row r="1335" spans="1:38" x14ac:dyDescent="0.35">
      <c r="A1335" t="s">
        <v>79</v>
      </c>
      <c r="E1335">
        <v>-6.8931752524393122E-3</v>
      </c>
      <c r="F1335">
        <f t="shared" si="51"/>
        <v>-1.8840305680968061E-2</v>
      </c>
      <c r="G1335">
        <f t="shared" si="50"/>
        <v>-3.0586933422356435E-2</v>
      </c>
    </row>
    <row r="1336" spans="1:38" x14ac:dyDescent="0.35">
      <c r="A1336" t="s">
        <v>79</v>
      </c>
      <c r="E1336">
        <v>-1.4257950104283615E-2</v>
      </c>
      <c r="F1336">
        <f t="shared" si="51"/>
        <v>-1.8842443922400462E-2</v>
      </c>
      <c r="G1336">
        <f t="shared" si="50"/>
        <v>-3.0586933422356435E-2</v>
      </c>
    </row>
    <row r="1337" spans="1:38" x14ac:dyDescent="0.35">
      <c r="A1337" t="s">
        <v>79</v>
      </c>
      <c r="E1337">
        <v>-5.5230463189891157E-3</v>
      </c>
      <c r="F1337">
        <f t="shared" si="51"/>
        <v>-1.8844582163832859E-2</v>
      </c>
      <c r="G1337">
        <f t="shared" si="50"/>
        <v>-3.0586933422356435E-2</v>
      </c>
    </row>
    <row r="1338" spans="1:38" x14ac:dyDescent="0.35">
      <c r="A1338" t="s">
        <v>79</v>
      </c>
      <c r="E1338">
        <v>1.3639802051920098E-2</v>
      </c>
      <c r="F1338">
        <f t="shared" si="51"/>
        <v>-1.884672040526526E-2</v>
      </c>
      <c r="G1338">
        <f t="shared" si="50"/>
        <v>-3.0586933422356435E-2</v>
      </c>
    </row>
    <row r="1339" spans="1:38" x14ac:dyDescent="0.35">
      <c r="A1339" t="s">
        <v>79</v>
      </c>
      <c r="E1339">
        <v>-8.1251518388170216E-3</v>
      </c>
      <c r="F1339">
        <f t="shared" si="51"/>
        <v>-1.8848858646697657E-2</v>
      </c>
      <c r="G1339">
        <f t="shared" si="50"/>
        <v>-3.0586933422356435E-2</v>
      </c>
    </row>
    <row r="1340" spans="1:38" x14ac:dyDescent="0.35">
      <c r="A1340" t="s">
        <v>79</v>
      </c>
      <c r="E1340">
        <v>4.5097384694559664E-3</v>
      </c>
      <c r="F1340">
        <f t="shared" si="51"/>
        <v>-1.8850996888130057E-2</v>
      </c>
      <c r="G1340">
        <f t="shared" si="50"/>
        <v>-3.0586933422356435E-2</v>
      </c>
    </row>
    <row r="1341" spans="1:38" x14ac:dyDescent="0.35">
      <c r="A1341" t="s">
        <v>79</v>
      </c>
      <c r="E1341">
        <v>2.2398432704171623E-2</v>
      </c>
      <c r="F1341">
        <f t="shared" si="51"/>
        <v>-1.8852432374135912E-2</v>
      </c>
      <c r="G1341">
        <f t="shared" si="50"/>
        <v>-3.068234754052088E-2</v>
      </c>
    </row>
    <row r="1342" spans="1:38" x14ac:dyDescent="0.35">
      <c r="A1342" t="s">
        <v>79</v>
      </c>
      <c r="E1342">
        <v>3.5246161046367155E-3</v>
      </c>
      <c r="F1342">
        <f t="shared" si="51"/>
        <v>-1.885386786014177E-2</v>
      </c>
      <c r="G1342">
        <f t="shared" si="50"/>
        <v>-3.068234754052088E-2</v>
      </c>
    </row>
    <row r="1343" spans="1:38" x14ac:dyDescent="0.35">
      <c r="A1343" t="s">
        <v>79</v>
      </c>
      <c r="E1343">
        <v>1.4215568981922927E-3</v>
      </c>
      <c r="F1343">
        <f t="shared" si="51"/>
        <v>-1.8855303346147625E-2</v>
      </c>
      <c r="G1343">
        <f t="shared" si="50"/>
        <v>-3.068234754052088E-2</v>
      </c>
    </row>
    <row r="1344" spans="1:38" x14ac:dyDescent="0.35">
      <c r="A1344" t="s">
        <v>79</v>
      </c>
      <c r="E1344">
        <v>-2.600485188032034E-3</v>
      </c>
      <c r="F1344">
        <f t="shared" si="51"/>
        <v>-1.8856738832153483E-2</v>
      </c>
      <c r="G1344">
        <f t="shared" si="50"/>
        <v>-3.068234754052088E-2</v>
      </c>
    </row>
    <row r="1345" spans="1:38" x14ac:dyDescent="0.35">
      <c r="A1345" t="s">
        <v>79</v>
      </c>
      <c r="E1345">
        <v>-1.6398392244068732E-2</v>
      </c>
      <c r="F1345">
        <f t="shared" si="51"/>
        <v>-1.8858174318159338E-2</v>
      </c>
      <c r="G1345">
        <f t="shared" si="50"/>
        <v>-3.068234754052088E-2</v>
      </c>
    </row>
    <row r="1346" spans="1:38" x14ac:dyDescent="0.35">
      <c r="A1346" t="s">
        <v>79</v>
      </c>
      <c r="E1346">
        <v>1.7411702554476539E-2</v>
      </c>
      <c r="F1346">
        <f t="shared" si="51"/>
        <v>-1.8859609804165192E-2</v>
      </c>
      <c r="G1346">
        <f t="shared" si="50"/>
        <v>-3.068234754052088E-2</v>
      </c>
    </row>
    <row r="1347" spans="1:38" x14ac:dyDescent="0.35">
      <c r="A1347" t="s">
        <v>79</v>
      </c>
      <c r="E1347">
        <v>-8.7706703023128253E-3</v>
      </c>
      <c r="F1347">
        <f t="shared" si="51"/>
        <v>-1.886104529017105E-2</v>
      </c>
      <c r="G1347">
        <f t="shared" ref="G1347:G1410" si="52">AVERAGEIFS(E1347:E5163,E1347:E5163,"&lt;=" &amp; F1347)</f>
        <v>-3.068234754052088E-2</v>
      </c>
    </row>
    <row r="1348" spans="1:38" x14ac:dyDescent="0.35">
      <c r="A1348" t="s">
        <v>79</v>
      </c>
      <c r="E1348">
        <v>-2.213760990406571E-2</v>
      </c>
      <c r="F1348">
        <f t="shared" ref="F1348:F1411" si="53">_xlfn.PERCENTILE.EXC(E1348:E5163,0.05)</f>
        <v>-1.8862480776176905E-2</v>
      </c>
      <c r="G1348">
        <f t="shared" si="52"/>
        <v>-3.068234754052088E-2</v>
      </c>
    </row>
    <row r="1349" spans="1:38" x14ac:dyDescent="0.35">
      <c r="A1349" t="s">
        <v>80</v>
      </c>
      <c r="B1349" s="3" cm="1">
        <f t="array" ref="B1349">_xlfn.STDEV.S(_xlfn._xlws.FILTER($E$1000:$E$1998, $A$1000:$A$1998="2015-06"))</f>
        <v>1.5679454782584229E-2</v>
      </c>
      <c r="C1349" s="3" cm="1">
        <f t="array" ref="C1349">AVERAGE(_xlfn._xlws.FILTER($E$1000:$E$1998, $A$1000:$A$1998="2015-06"))</f>
        <v>-1.9039540026279452E-3</v>
      </c>
      <c r="D1349" s="3" cm="1">
        <f t="array" ref="D1349">_xlfn.PERCENTILE.EXC(_xlfn._xlws.FILTER($E$1000:$E$1497, $A$1000:$A$1497="2015-06"), 0.05)</f>
        <v>-3.935920898477327E-2</v>
      </c>
      <c r="E1349">
        <v>1.1923055729545857E-3</v>
      </c>
      <c r="F1349">
        <f t="shared" si="53"/>
        <v>-1.8827476232373668E-2</v>
      </c>
      <c r="G1349">
        <f t="shared" si="52"/>
        <v>-3.065562710949701E-2</v>
      </c>
      <c r="AI1349" s="3"/>
      <c r="AJ1349" s="3"/>
      <c r="AK1349" s="3"/>
      <c r="AL1349" s="3"/>
    </row>
    <row r="1350" spans="1:38" x14ac:dyDescent="0.35">
      <c r="A1350" t="s">
        <v>80</v>
      </c>
      <c r="E1350">
        <v>-3.6850620311717048E-3</v>
      </c>
      <c r="F1350">
        <f t="shared" si="53"/>
        <v>-1.8829614473806069E-2</v>
      </c>
      <c r="G1350">
        <f t="shared" si="52"/>
        <v>-3.065562710949701E-2</v>
      </c>
    </row>
    <row r="1351" spans="1:38" x14ac:dyDescent="0.35">
      <c r="A1351" t="s">
        <v>80</v>
      </c>
      <c r="E1351">
        <v>6.1379677737767859E-3</v>
      </c>
      <c r="F1351">
        <f t="shared" si="53"/>
        <v>-1.8831752715238466E-2</v>
      </c>
      <c r="G1351">
        <f t="shared" si="52"/>
        <v>-3.065562710949701E-2</v>
      </c>
    </row>
    <row r="1352" spans="1:38" x14ac:dyDescent="0.35">
      <c r="A1352" t="s">
        <v>80</v>
      </c>
      <c r="E1352">
        <v>-7.6860970525161601E-3</v>
      </c>
      <c r="F1352">
        <f t="shared" si="53"/>
        <v>-1.8833890956670866E-2</v>
      </c>
      <c r="G1352">
        <f t="shared" si="52"/>
        <v>-3.065562710949701E-2</v>
      </c>
    </row>
    <row r="1353" spans="1:38" x14ac:dyDescent="0.35">
      <c r="A1353" t="s">
        <v>80</v>
      </c>
      <c r="E1353">
        <v>-1.3124287108089185E-2</v>
      </c>
      <c r="F1353">
        <f t="shared" si="53"/>
        <v>-1.8836029198103264E-2</v>
      </c>
      <c r="G1353">
        <f t="shared" si="52"/>
        <v>-3.065562710949701E-2</v>
      </c>
    </row>
    <row r="1354" spans="1:38" x14ac:dyDescent="0.35">
      <c r="A1354" t="s">
        <v>80</v>
      </c>
      <c r="E1354">
        <v>-1.1951442856546052E-2</v>
      </c>
      <c r="F1354">
        <f t="shared" si="53"/>
        <v>-1.8838167439535664E-2</v>
      </c>
      <c r="G1354">
        <f t="shared" si="52"/>
        <v>-3.065562710949701E-2</v>
      </c>
    </row>
    <row r="1355" spans="1:38" x14ac:dyDescent="0.35">
      <c r="A1355" t="s">
        <v>80</v>
      </c>
      <c r="E1355">
        <v>-3.3270308374945996E-3</v>
      </c>
      <c r="F1355">
        <f t="shared" si="53"/>
        <v>-1.8840305680968061E-2</v>
      </c>
      <c r="G1355">
        <f t="shared" si="52"/>
        <v>-3.065562710949701E-2</v>
      </c>
    </row>
    <row r="1356" spans="1:38" x14ac:dyDescent="0.35">
      <c r="A1356" t="s">
        <v>80</v>
      </c>
      <c r="E1356">
        <v>1.9959793521963427E-2</v>
      </c>
      <c r="F1356">
        <f t="shared" si="53"/>
        <v>-1.8842443922400462E-2</v>
      </c>
      <c r="G1356">
        <f t="shared" si="52"/>
        <v>-3.065562710949701E-2</v>
      </c>
    </row>
    <row r="1357" spans="1:38" x14ac:dyDescent="0.35">
      <c r="A1357" t="s">
        <v>80</v>
      </c>
      <c r="E1357">
        <v>7.1852806665894378E-3</v>
      </c>
      <c r="F1357">
        <f t="shared" si="53"/>
        <v>-1.8844582163832859E-2</v>
      </c>
      <c r="G1357">
        <f t="shared" si="52"/>
        <v>-3.065562710949701E-2</v>
      </c>
    </row>
    <row r="1358" spans="1:38" x14ac:dyDescent="0.35">
      <c r="A1358" t="s">
        <v>80</v>
      </c>
      <c r="E1358">
        <v>-1.3931402918731127E-2</v>
      </c>
      <c r="F1358">
        <f t="shared" si="53"/>
        <v>-1.884672040526526E-2</v>
      </c>
      <c r="G1358">
        <f t="shared" si="52"/>
        <v>-3.065562710949701E-2</v>
      </c>
    </row>
    <row r="1359" spans="1:38" x14ac:dyDescent="0.35">
      <c r="A1359" t="s">
        <v>80</v>
      </c>
      <c r="E1359">
        <v>-1.8643816624153452E-2</v>
      </c>
      <c r="F1359">
        <f t="shared" si="53"/>
        <v>-1.8848858646697657E-2</v>
      </c>
      <c r="G1359">
        <f t="shared" si="52"/>
        <v>-3.065562710949701E-2</v>
      </c>
    </row>
    <row r="1360" spans="1:38" x14ac:dyDescent="0.35">
      <c r="A1360" t="s">
        <v>80</v>
      </c>
      <c r="E1360">
        <v>4.6487687026251015E-3</v>
      </c>
      <c r="F1360">
        <f t="shared" si="53"/>
        <v>-1.8850996888130057E-2</v>
      </c>
      <c r="G1360">
        <f t="shared" si="52"/>
        <v>-3.065562710949701E-2</v>
      </c>
    </row>
    <row r="1361" spans="1:38" x14ac:dyDescent="0.35">
      <c r="A1361" t="s">
        <v>80</v>
      </c>
      <c r="E1361">
        <v>-7.3603563506298804E-3</v>
      </c>
      <c r="F1361">
        <f t="shared" si="53"/>
        <v>-1.8852432374135912E-2</v>
      </c>
      <c r="G1361">
        <f t="shared" si="52"/>
        <v>-3.0752386373606576E-2</v>
      </c>
    </row>
    <row r="1362" spans="1:38" x14ac:dyDescent="0.35">
      <c r="A1362" t="s">
        <v>80</v>
      </c>
      <c r="E1362">
        <v>6.3059775398124742E-3</v>
      </c>
      <c r="F1362">
        <f t="shared" si="53"/>
        <v>-1.885386786014177E-2</v>
      </c>
      <c r="G1362">
        <f t="shared" si="52"/>
        <v>-3.0752386373606576E-2</v>
      </c>
    </row>
    <row r="1363" spans="1:38" x14ac:dyDescent="0.35">
      <c r="A1363" t="s">
        <v>80</v>
      </c>
      <c r="E1363">
        <v>1.5493215768838961E-3</v>
      </c>
      <c r="F1363">
        <f t="shared" si="53"/>
        <v>-1.8855303346147625E-2</v>
      </c>
      <c r="G1363">
        <f t="shared" si="52"/>
        <v>-3.0752386373606576E-2</v>
      </c>
    </row>
    <row r="1364" spans="1:38" x14ac:dyDescent="0.35">
      <c r="A1364" t="s">
        <v>80</v>
      </c>
      <c r="E1364">
        <v>3.9787603596442941E-2</v>
      </c>
      <c r="F1364">
        <f t="shared" si="53"/>
        <v>-1.8856738832153483E-2</v>
      </c>
      <c r="G1364">
        <f t="shared" si="52"/>
        <v>-3.0752386373606576E-2</v>
      </c>
    </row>
    <row r="1365" spans="1:38" x14ac:dyDescent="0.35">
      <c r="A1365" t="s">
        <v>80</v>
      </c>
      <c r="E1365">
        <v>8.2802562254035202E-3</v>
      </c>
      <c r="F1365">
        <f t="shared" si="53"/>
        <v>-1.8858174318159338E-2</v>
      </c>
      <c r="G1365">
        <f t="shared" si="52"/>
        <v>-3.0752386373606576E-2</v>
      </c>
    </row>
    <row r="1366" spans="1:38" x14ac:dyDescent="0.35">
      <c r="A1366" t="s">
        <v>80</v>
      </c>
      <c r="E1366">
        <v>-4.150943099169746E-3</v>
      </c>
      <c r="F1366">
        <f t="shared" si="53"/>
        <v>-1.8859609804165192E-2</v>
      </c>
      <c r="G1366">
        <f t="shared" si="52"/>
        <v>-3.0752386373606576E-2</v>
      </c>
    </row>
    <row r="1367" spans="1:38" x14ac:dyDescent="0.35">
      <c r="A1367" t="s">
        <v>80</v>
      </c>
      <c r="E1367">
        <v>-1.1077478655149485E-5</v>
      </c>
      <c r="F1367">
        <f t="shared" si="53"/>
        <v>-1.886104529017105E-2</v>
      </c>
      <c r="G1367">
        <f t="shared" si="52"/>
        <v>-3.0752386373606576E-2</v>
      </c>
    </row>
    <row r="1368" spans="1:38" x14ac:dyDescent="0.35">
      <c r="A1368" t="s">
        <v>80</v>
      </c>
      <c r="E1368">
        <v>2.8925891401596201E-3</v>
      </c>
      <c r="F1368">
        <f t="shared" si="53"/>
        <v>-1.8862480776176905E-2</v>
      </c>
      <c r="G1368">
        <f t="shared" si="52"/>
        <v>-3.0752386373606576E-2</v>
      </c>
    </row>
    <row r="1369" spans="1:38" x14ac:dyDescent="0.35">
      <c r="A1369" t="s">
        <v>80</v>
      </c>
      <c r="E1369">
        <v>-4.3014866460176771E-2</v>
      </c>
      <c r="F1369">
        <f t="shared" si="53"/>
        <v>-1.8863916262182763E-2</v>
      </c>
      <c r="G1369">
        <f t="shared" si="52"/>
        <v>-3.0752386373606576E-2</v>
      </c>
    </row>
    <row r="1370" spans="1:38" x14ac:dyDescent="0.35">
      <c r="A1370" t="s">
        <v>80</v>
      </c>
      <c r="E1370">
        <v>-1.2940469557092759E-2</v>
      </c>
      <c r="F1370">
        <f t="shared" si="53"/>
        <v>-1.8829614473806069E-2</v>
      </c>
      <c r="G1370">
        <f t="shared" si="52"/>
        <v>-3.0554321868917666E-2</v>
      </c>
    </row>
    <row r="1371" spans="1:38" x14ac:dyDescent="0.35">
      <c r="A1371" t="s">
        <v>81</v>
      </c>
      <c r="B1371" s="3" cm="1">
        <f t="array" ref="B1371">_xlfn.STDEV.S(_xlfn._xlws.FILTER($E$1000:$E$1998, $A$1000:$A$1998="2015-07"))</f>
        <v>1.4814522019193248E-2</v>
      </c>
      <c r="C1371" s="3" cm="1">
        <f t="array" ref="C1371">AVERAGE(_xlfn._xlws.FILTER($E$1000:$E$1998, $A$1000:$A$1998="2015-07"))</f>
        <v>2.1838444564880898E-3</v>
      </c>
      <c r="D1371" s="3" cm="1">
        <f t="array" ref="D1371">_xlfn.PERCENTILE.EXC(_xlfn._xlws.FILTER($E$1000:$E$1497, $A$1000:$A$1497="2015-07"), 0.05)</f>
        <v>-2.4047119859911325E-2</v>
      </c>
      <c r="E1371">
        <v>2.080247485551831E-2</v>
      </c>
      <c r="F1371">
        <f t="shared" si="53"/>
        <v>-1.8831752715238466E-2</v>
      </c>
      <c r="G1371">
        <f t="shared" si="52"/>
        <v>-3.0554321868917666E-2</v>
      </c>
      <c r="AI1371" s="3"/>
      <c r="AJ1371" s="3"/>
      <c r="AK1371" s="3"/>
      <c r="AL1371" s="3"/>
    </row>
    <row r="1372" spans="1:38" x14ac:dyDescent="0.35">
      <c r="A1372" t="s">
        <v>81</v>
      </c>
      <c r="E1372">
        <v>-9.4920915634629389E-3</v>
      </c>
      <c r="F1372">
        <f t="shared" si="53"/>
        <v>-1.8833890956670866E-2</v>
      </c>
      <c r="G1372">
        <f t="shared" si="52"/>
        <v>-3.0554321868917666E-2</v>
      </c>
    </row>
    <row r="1373" spans="1:38" x14ac:dyDescent="0.35">
      <c r="A1373" t="s">
        <v>81</v>
      </c>
      <c r="E1373">
        <v>-6.2244861005005658E-3</v>
      </c>
      <c r="F1373">
        <f t="shared" si="53"/>
        <v>-1.8836029198103264E-2</v>
      </c>
      <c r="G1373">
        <f t="shared" si="52"/>
        <v>-3.0554321868917666E-2</v>
      </c>
    </row>
    <row r="1374" spans="1:38" x14ac:dyDescent="0.35">
      <c r="A1374" t="s">
        <v>81</v>
      </c>
      <c r="E1374">
        <v>-2.2495571760829457E-2</v>
      </c>
      <c r="F1374">
        <f t="shared" si="53"/>
        <v>-1.8838167439535664E-2</v>
      </c>
      <c r="G1374">
        <f t="shared" si="52"/>
        <v>-3.0554321868917666E-2</v>
      </c>
    </row>
    <row r="1375" spans="1:38" x14ac:dyDescent="0.35">
      <c r="A1375" t="s">
        <v>81</v>
      </c>
      <c r="E1375">
        <v>-2.1327085971085302E-2</v>
      </c>
      <c r="F1375">
        <f t="shared" si="53"/>
        <v>-1.8802401974744608E-2</v>
      </c>
      <c r="G1375">
        <f t="shared" si="52"/>
        <v>-3.052409777300499E-2</v>
      </c>
    </row>
    <row r="1376" spans="1:38" x14ac:dyDescent="0.35">
      <c r="A1376" t="s">
        <v>81</v>
      </c>
      <c r="E1376">
        <v>1.0060960563693546E-2</v>
      </c>
      <c r="F1376">
        <f t="shared" si="53"/>
        <v>-1.8770192420333214E-2</v>
      </c>
      <c r="G1376">
        <f t="shared" si="52"/>
        <v>-3.050326027914799E-2</v>
      </c>
    </row>
    <row r="1377" spans="1:7" x14ac:dyDescent="0.35">
      <c r="A1377" t="s">
        <v>81</v>
      </c>
      <c r="E1377">
        <v>2.7428051678735538E-2</v>
      </c>
      <c r="F1377">
        <f t="shared" si="53"/>
        <v>-1.8773872245382957E-2</v>
      </c>
      <c r="G1377">
        <f t="shared" si="52"/>
        <v>-3.050326027914799E-2</v>
      </c>
    </row>
    <row r="1378" spans="1:7" x14ac:dyDescent="0.35">
      <c r="A1378" t="s">
        <v>81</v>
      </c>
      <c r="E1378">
        <v>3.1311380663242037E-2</v>
      </c>
      <c r="F1378">
        <f t="shared" si="53"/>
        <v>-1.8777552070432704E-2</v>
      </c>
      <c r="G1378">
        <f t="shared" si="52"/>
        <v>-3.050326027914799E-2</v>
      </c>
    </row>
    <row r="1379" spans="1:7" x14ac:dyDescent="0.35">
      <c r="A1379" t="s">
        <v>81</v>
      </c>
      <c r="E1379">
        <v>1.7311268857143524E-2</v>
      </c>
      <c r="F1379">
        <f t="shared" si="53"/>
        <v>-1.8781231895482448E-2</v>
      </c>
      <c r="G1379">
        <f t="shared" si="52"/>
        <v>-3.050326027914799E-2</v>
      </c>
    </row>
    <row r="1380" spans="1:7" x14ac:dyDescent="0.35">
      <c r="A1380" t="s">
        <v>81</v>
      </c>
      <c r="E1380">
        <v>4.6571034013329063E-3</v>
      </c>
      <c r="F1380">
        <f t="shared" si="53"/>
        <v>-1.8784911720532194E-2</v>
      </c>
      <c r="G1380">
        <f t="shared" si="52"/>
        <v>-3.050326027914799E-2</v>
      </c>
    </row>
    <row r="1381" spans="1:7" x14ac:dyDescent="0.35">
      <c r="A1381" t="s">
        <v>81</v>
      </c>
      <c r="E1381">
        <v>4.6134396850550617E-3</v>
      </c>
      <c r="F1381">
        <f t="shared" si="53"/>
        <v>-1.878607773747969E-2</v>
      </c>
      <c r="G1381">
        <f t="shared" si="52"/>
        <v>-3.0600106135004322E-2</v>
      </c>
    </row>
    <row r="1382" spans="1:7" x14ac:dyDescent="0.35">
      <c r="A1382" t="s">
        <v>81</v>
      </c>
      <c r="E1382">
        <v>1.4394216977704271E-2</v>
      </c>
      <c r="F1382">
        <f t="shared" si="53"/>
        <v>-1.8787243754427183E-2</v>
      </c>
      <c r="G1382">
        <f t="shared" si="52"/>
        <v>-3.0600106135004322E-2</v>
      </c>
    </row>
    <row r="1383" spans="1:7" x14ac:dyDescent="0.35">
      <c r="A1383" t="s">
        <v>81</v>
      </c>
      <c r="E1383">
        <v>-1.6524317231954228E-3</v>
      </c>
      <c r="F1383">
        <f t="shared" si="53"/>
        <v>-1.8788409771374678E-2</v>
      </c>
      <c r="G1383">
        <f t="shared" si="52"/>
        <v>-3.0600106135004322E-2</v>
      </c>
    </row>
    <row r="1384" spans="1:7" x14ac:dyDescent="0.35">
      <c r="A1384" t="s">
        <v>81</v>
      </c>
      <c r="E1384">
        <v>4.4148981851786341E-3</v>
      </c>
      <c r="F1384">
        <f t="shared" si="53"/>
        <v>-1.8789575788322171E-2</v>
      </c>
      <c r="G1384">
        <f t="shared" si="52"/>
        <v>-3.0600106135004322E-2</v>
      </c>
    </row>
    <row r="1385" spans="1:7" x14ac:dyDescent="0.35">
      <c r="A1385" t="s">
        <v>81</v>
      </c>
      <c r="E1385">
        <v>-1.0531091772637042E-2</v>
      </c>
      <c r="F1385">
        <f t="shared" si="53"/>
        <v>-1.8790741805269667E-2</v>
      </c>
      <c r="G1385">
        <f t="shared" si="52"/>
        <v>-3.0600106135004322E-2</v>
      </c>
    </row>
    <row r="1386" spans="1:7" x14ac:dyDescent="0.35">
      <c r="A1386" t="s">
        <v>81</v>
      </c>
      <c r="E1386">
        <v>-3.3994491475848798E-3</v>
      </c>
      <c r="F1386">
        <f t="shared" si="53"/>
        <v>-1.8791907822217159E-2</v>
      </c>
      <c r="G1386">
        <f t="shared" si="52"/>
        <v>-3.0600106135004322E-2</v>
      </c>
    </row>
    <row r="1387" spans="1:7" x14ac:dyDescent="0.35">
      <c r="A1387" t="s">
        <v>81</v>
      </c>
      <c r="E1387">
        <v>-2.5858915004997926E-4</v>
      </c>
      <c r="F1387">
        <f t="shared" si="53"/>
        <v>-1.8793073839164655E-2</v>
      </c>
      <c r="G1387">
        <f t="shared" si="52"/>
        <v>-3.0600106135004322E-2</v>
      </c>
    </row>
    <row r="1388" spans="1:7" x14ac:dyDescent="0.35">
      <c r="A1388" t="s">
        <v>81</v>
      </c>
      <c r="E1388">
        <v>-9.57622347999002E-3</v>
      </c>
      <c r="F1388">
        <f t="shared" si="53"/>
        <v>-1.8794239856112147E-2</v>
      </c>
      <c r="G1388">
        <f t="shared" si="52"/>
        <v>-3.0600106135004322E-2</v>
      </c>
    </row>
    <row r="1389" spans="1:7" x14ac:dyDescent="0.35">
      <c r="A1389" t="s">
        <v>81</v>
      </c>
      <c r="E1389">
        <v>-2.4435006884681792E-2</v>
      </c>
      <c r="F1389">
        <f t="shared" si="53"/>
        <v>-1.8795405873059643E-2</v>
      </c>
      <c r="G1389">
        <f t="shared" si="52"/>
        <v>-3.0600106135004322E-2</v>
      </c>
    </row>
    <row r="1390" spans="1:7" x14ac:dyDescent="0.35">
      <c r="A1390" t="s">
        <v>81</v>
      </c>
      <c r="E1390">
        <v>1.1605841717183955E-2</v>
      </c>
      <c r="F1390">
        <f t="shared" si="53"/>
        <v>-1.8748113470034744E-2</v>
      </c>
      <c r="G1390">
        <f t="shared" si="52"/>
        <v>-3.0553411133647713E-2</v>
      </c>
    </row>
    <row r="1391" spans="1:7" x14ac:dyDescent="0.35">
      <c r="A1391" t="s">
        <v>81</v>
      </c>
      <c r="E1391">
        <v>6.0087366114517336E-3</v>
      </c>
      <c r="F1391">
        <f t="shared" si="53"/>
        <v>-1.8751793295084487E-2</v>
      </c>
      <c r="G1391">
        <f t="shared" si="52"/>
        <v>-3.0553411133647713E-2</v>
      </c>
    </row>
    <row r="1392" spans="1:7" x14ac:dyDescent="0.35">
      <c r="A1392" t="s">
        <v>81</v>
      </c>
      <c r="E1392">
        <v>2.3074827399849392E-3</v>
      </c>
      <c r="F1392">
        <f t="shared" si="53"/>
        <v>-1.8755473120134231E-2</v>
      </c>
      <c r="G1392">
        <f t="shared" si="52"/>
        <v>-3.0553411133647713E-2</v>
      </c>
    </row>
    <row r="1393" spans="1:38" x14ac:dyDescent="0.35">
      <c r="A1393" t="s">
        <v>81</v>
      </c>
      <c r="E1393">
        <v>4.7045941170189955E-3</v>
      </c>
      <c r="F1393">
        <f t="shared" si="53"/>
        <v>-1.8759152945183977E-2</v>
      </c>
      <c r="G1393">
        <f t="shared" si="52"/>
        <v>-3.0553411133647713E-2</v>
      </c>
    </row>
    <row r="1394" spans="1:38" x14ac:dyDescent="0.35">
      <c r="A1394" t="s">
        <v>82</v>
      </c>
      <c r="B1394" s="3" cm="1">
        <f t="array" ref="B1394">_xlfn.STDEV.S(_xlfn._xlws.FILTER($E$1000:$E$1998, $A$1000:$A$1998="2015-08"))</f>
        <v>2.3191642553575066E-2</v>
      </c>
      <c r="C1394" s="3" cm="1">
        <f t="array" ref="C1394">AVERAGE(_xlfn._xlws.FILTER($E$1000:$E$1998, $A$1000:$A$1998="2015-08"))</f>
        <v>-4.563747033033241E-3</v>
      </c>
      <c r="D1394" s="3" cm="1">
        <f t="array" ref="D1394">_xlfn.PERCENTILE.EXC(_xlfn._xlws.FILTER($E$1000:$E$1497, $A$1000:$A$1497="2015-08"), 0.05)</f>
        <v>-5.3983893311539272E-2</v>
      </c>
      <c r="E1394">
        <v>9.5936524338393146E-3</v>
      </c>
      <c r="F1394">
        <f t="shared" si="53"/>
        <v>-1.8762832770233721E-2</v>
      </c>
      <c r="G1394">
        <f t="shared" si="52"/>
        <v>-3.0553411133647713E-2</v>
      </c>
      <c r="AI1394" s="3"/>
      <c r="AJ1394" s="3"/>
      <c r="AK1394" s="3"/>
      <c r="AL1394" s="3"/>
    </row>
    <row r="1395" spans="1:38" x14ac:dyDescent="0.35">
      <c r="A1395" t="s">
        <v>82</v>
      </c>
      <c r="E1395">
        <v>-4.4357462619512324E-3</v>
      </c>
      <c r="F1395">
        <f t="shared" si="53"/>
        <v>-1.8766512595283467E-2</v>
      </c>
      <c r="G1395">
        <f t="shared" si="52"/>
        <v>-3.0553411133647713E-2</v>
      </c>
    </row>
    <row r="1396" spans="1:38" x14ac:dyDescent="0.35">
      <c r="A1396" t="s">
        <v>82</v>
      </c>
      <c r="E1396">
        <v>1.5745809863375856E-2</v>
      </c>
      <c r="F1396">
        <f t="shared" si="53"/>
        <v>-1.8770192420333214E-2</v>
      </c>
      <c r="G1396">
        <f t="shared" si="52"/>
        <v>-3.0553411133647713E-2</v>
      </c>
    </row>
    <row r="1397" spans="1:38" x14ac:dyDescent="0.35">
      <c r="A1397" t="s">
        <v>82</v>
      </c>
      <c r="E1397">
        <v>-2.2545283891292193E-3</v>
      </c>
      <c r="F1397">
        <f t="shared" si="53"/>
        <v>-1.8773872245382957E-2</v>
      </c>
      <c r="G1397">
        <f t="shared" si="52"/>
        <v>-3.0553411133647713E-2</v>
      </c>
    </row>
    <row r="1398" spans="1:38" x14ac:dyDescent="0.35">
      <c r="A1398" t="s">
        <v>82</v>
      </c>
      <c r="E1398">
        <v>-8.3955780855538738E-3</v>
      </c>
      <c r="F1398">
        <f t="shared" si="53"/>
        <v>-1.8777552070432704E-2</v>
      </c>
      <c r="G1398">
        <f t="shared" si="52"/>
        <v>-3.0553411133647713E-2</v>
      </c>
    </row>
    <row r="1399" spans="1:38" x14ac:dyDescent="0.35">
      <c r="A1399" t="s">
        <v>82</v>
      </c>
      <c r="E1399">
        <v>1.0157702677305444E-2</v>
      </c>
      <c r="F1399">
        <f t="shared" si="53"/>
        <v>-1.8781231895482448E-2</v>
      </c>
      <c r="G1399">
        <f t="shared" si="52"/>
        <v>-3.0553411133647713E-2</v>
      </c>
    </row>
    <row r="1400" spans="1:38" x14ac:dyDescent="0.35">
      <c r="A1400" t="s">
        <v>82</v>
      </c>
      <c r="E1400">
        <v>-1.9137368377234197E-2</v>
      </c>
      <c r="F1400">
        <f t="shared" si="53"/>
        <v>-1.8784911720532194E-2</v>
      </c>
      <c r="G1400">
        <f t="shared" si="52"/>
        <v>-3.0553411133647713E-2</v>
      </c>
    </row>
    <row r="1401" spans="1:38" x14ac:dyDescent="0.35">
      <c r="A1401" t="s">
        <v>82</v>
      </c>
      <c r="E1401">
        <v>-3.4100704730627221E-2</v>
      </c>
      <c r="F1401">
        <f t="shared" si="53"/>
        <v>-1.8714995044587034E-2</v>
      </c>
      <c r="G1401">
        <f t="shared" si="52"/>
        <v>-3.0648544823284492E-2</v>
      </c>
    </row>
    <row r="1402" spans="1:38" x14ac:dyDescent="0.35">
      <c r="A1402" t="s">
        <v>82</v>
      </c>
      <c r="E1402">
        <v>9.0679081359223423E-3</v>
      </c>
      <c r="F1402">
        <f t="shared" si="53"/>
        <v>-1.8506377704369383E-2</v>
      </c>
      <c r="G1402">
        <f t="shared" si="52"/>
        <v>-3.0520299910692075E-2</v>
      </c>
    </row>
    <row r="1403" spans="1:38" x14ac:dyDescent="0.35">
      <c r="A1403" t="s">
        <v>82</v>
      </c>
      <c r="E1403">
        <v>-7.1698194167841992E-3</v>
      </c>
      <c r="F1403">
        <f t="shared" si="53"/>
        <v>-1.8517763121878712E-2</v>
      </c>
      <c r="G1403">
        <f t="shared" si="52"/>
        <v>-3.0520299910692075E-2</v>
      </c>
    </row>
    <row r="1404" spans="1:38" x14ac:dyDescent="0.35">
      <c r="A1404" t="s">
        <v>82</v>
      </c>
      <c r="E1404">
        <v>1.9659668111503886E-3</v>
      </c>
      <c r="F1404">
        <f t="shared" si="53"/>
        <v>-1.852914853938804E-2</v>
      </c>
      <c r="G1404">
        <f t="shared" si="52"/>
        <v>-3.0520299910692075E-2</v>
      </c>
    </row>
    <row r="1405" spans="1:38" x14ac:dyDescent="0.35">
      <c r="A1405" t="s">
        <v>82</v>
      </c>
      <c r="E1405">
        <v>-7.2069189538334849E-4</v>
      </c>
      <c r="F1405">
        <f t="shared" si="53"/>
        <v>-1.8540533956897372E-2</v>
      </c>
      <c r="G1405">
        <f t="shared" si="52"/>
        <v>-3.0520299910692075E-2</v>
      </c>
    </row>
    <row r="1406" spans="1:38" x14ac:dyDescent="0.35">
      <c r="A1406" t="s">
        <v>82</v>
      </c>
      <c r="E1406">
        <v>-1.892848366844025E-2</v>
      </c>
      <c r="F1406">
        <f t="shared" si="53"/>
        <v>-1.8551919374406697E-2</v>
      </c>
      <c r="G1406">
        <f t="shared" si="52"/>
        <v>-3.0520299910692075E-2</v>
      </c>
    </row>
    <row r="1407" spans="1:38" x14ac:dyDescent="0.35">
      <c r="A1407" t="s">
        <v>82</v>
      </c>
      <c r="E1407">
        <v>-2.2515000237935696E-2</v>
      </c>
      <c r="F1407">
        <f t="shared" si="53"/>
        <v>-1.8482520887817263E-2</v>
      </c>
      <c r="G1407">
        <f t="shared" si="52"/>
        <v>-3.0516592604032999E-2</v>
      </c>
    </row>
    <row r="1408" spans="1:38" x14ac:dyDescent="0.35">
      <c r="A1408" t="s">
        <v>82</v>
      </c>
      <c r="E1408">
        <v>-3.218704879222959E-2</v>
      </c>
      <c r="F1408">
        <f t="shared" si="53"/>
        <v>-1.8477239201506273E-2</v>
      </c>
      <c r="G1408">
        <f t="shared" si="52"/>
        <v>-3.0482983736454621E-2</v>
      </c>
    </row>
    <row r="1409" spans="1:38" x14ac:dyDescent="0.35">
      <c r="A1409" t="s">
        <v>82</v>
      </c>
      <c r="E1409">
        <v>-5.5030376921060963E-2</v>
      </c>
      <c r="F1409">
        <f t="shared" si="53"/>
        <v>-1.8443040555087845E-2</v>
      </c>
      <c r="G1409">
        <f t="shared" si="52"/>
        <v>-3.036870922915957E-2</v>
      </c>
    </row>
    <row r="1410" spans="1:38" x14ac:dyDescent="0.35">
      <c r="A1410" t="s">
        <v>82</v>
      </c>
      <c r="E1410">
        <v>4.5981969177276205E-2</v>
      </c>
      <c r="F1410">
        <f t="shared" si="53"/>
        <v>-1.839555776272301E-2</v>
      </c>
      <c r="G1410">
        <f t="shared" si="52"/>
        <v>-3.0063602936522198E-2</v>
      </c>
    </row>
    <row r="1411" spans="1:38" x14ac:dyDescent="0.35">
      <c r="A1411" t="s">
        <v>82</v>
      </c>
      <c r="E1411">
        <v>-1.48013107959709E-2</v>
      </c>
      <c r="F1411">
        <f t="shared" si="53"/>
        <v>-1.839776416690837E-2</v>
      </c>
      <c r="G1411">
        <f t="shared" ref="G1411:G1474" si="54">AVERAGEIFS(E1411:E5227,E1411:E5227,"&lt;=" &amp; F1411)</f>
        <v>-3.0063602936522198E-2</v>
      </c>
    </row>
    <row r="1412" spans="1:38" x14ac:dyDescent="0.35">
      <c r="A1412" t="s">
        <v>82</v>
      </c>
      <c r="E1412">
        <v>3.4119353713411946E-2</v>
      </c>
      <c r="F1412">
        <f t="shared" ref="F1412:F1475" si="55">_xlfn.PERCENTILE.EXC(E1412:E5227,0.05)</f>
        <v>-1.8399970571093733E-2</v>
      </c>
      <c r="G1412">
        <f t="shared" si="54"/>
        <v>-3.0063602936522198E-2</v>
      </c>
    </row>
    <row r="1413" spans="1:38" x14ac:dyDescent="0.35">
      <c r="A1413" t="s">
        <v>82</v>
      </c>
      <c r="E1413">
        <v>1.7693540993543747E-3</v>
      </c>
      <c r="F1413">
        <f t="shared" si="55"/>
        <v>-1.8402176975279093E-2</v>
      </c>
      <c r="G1413">
        <f t="shared" si="54"/>
        <v>-3.0063602936522198E-2</v>
      </c>
    </row>
    <row r="1414" spans="1:38" x14ac:dyDescent="0.35">
      <c r="A1414" t="s">
        <v>83</v>
      </c>
      <c r="B1414" s="3" cm="1">
        <f t="array" ref="B1414">_xlfn.STDEV.S(_xlfn._xlws.FILTER($E$1000:$E$1998, $A$1000:$A$1998="2015-09"))</f>
        <v>1.9052104984665665E-2</v>
      </c>
      <c r="C1414" s="3" cm="1">
        <f t="array" ref="C1414">AVERAGE(_xlfn._xlws.FILTER($E$1000:$E$1998, $A$1000:$A$1998="2015-09"))</f>
        <v>-2.6469243605233574E-3</v>
      </c>
      <c r="D1414" s="3" cm="1">
        <f t="array" ref="D1414">_xlfn.PERCENTILE.EXC(_xlfn._xlws.FILTER($E$1000:$E$1497, $A$1000:$A$1497="2015-09"), 0.05)</f>
        <v>-3.4118014345440061E-2</v>
      </c>
      <c r="E1414">
        <v>-3.0227834698319314E-2</v>
      </c>
      <c r="F1414">
        <f t="shared" si="55"/>
        <v>-1.8404383379464456E-2</v>
      </c>
      <c r="G1414">
        <f t="shared" si="54"/>
        <v>-3.0063602936522198E-2</v>
      </c>
      <c r="AI1414" s="3"/>
      <c r="AJ1414" s="3"/>
      <c r="AK1414" s="3"/>
      <c r="AL1414" s="3"/>
    </row>
    <row r="1415" spans="1:38" x14ac:dyDescent="0.35">
      <c r="A1415" t="s">
        <v>83</v>
      </c>
      <c r="E1415">
        <v>3.1717779295363062E-3</v>
      </c>
      <c r="F1415">
        <f t="shared" si="55"/>
        <v>-1.8369011579058809E-2</v>
      </c>
      <c r="G1415">
        <f t="shared" si="54"/>
        <v>-2.996481676171012E-2</v>
      </c>
    </row>
    <row r="1416" spans="1:38" x14ac:dyDescent="0.35">
      <c r="A1416" t="s">
        <v>83</v>
      </c>
      <c r="E1416">
        <v>2.2023011132618169E-2</v>
      </c>
      <c r="F1416">
        <f t="shared" si="55"/>
        <v>-1.8369908007420926E-2</v>
      </c>
      <c r="G1416">
        <f t="shared" si="54"/>
        <v>-2.996481676171012E-2</v>
      </c>
    </row>
    <row r="1417" spans="1:38" x14ac:dyDescent="0.35">
      <c r="A1417" t="s">
        <v>83</v>
      </c>
      <c r="E1417">
        <v>-2.7857697412009625E-2</v>
      </c>
      <c r="F1417">
        <f t="shared" si="55"/>
        <v>-1.8370804435783043E-2</v>
      </c>
      <c r="G1417">
        <f t="shared" si="54"/>
        <v>-2.996481676171012E-2</v>
      </c>
    </row>
    <row r="1418" spans="1:38" x14ac:dyDescent="0.35">
      <c r="A1418" t="s">
        <v>83</v>
      </c>
      <c r="E1418">
        <v>5.5564234505391108E-3</v>
      </c>
      <c r="F1418">
        <f t="shared" si="55"/>
        <v>-1.8347596188777727E-2</v>
      </c>
      <c r="G1418">
        <f t="shared" si="54"/>
        <v>-2.9885632326223596E-2</v>
      </c>
    </row>
    <row r="1419" spans="1:38" x14ac:dyDescent="0.35">
      <c r="A1419" t="s">
        <v>83</v>
      </c>
      <c r="E1419">
        <v>1.1154052091108875E-2</v>
      </c>
      <c r="F1419">
        <f t="shared" si="55"/>
        <v>-1.8351580671202388E-2</v>
      </c>
      <c r="G1419">
        <f t="shared" si="54"/>
        <v>-2.9885632326223596E-2</v>
      </c>
    </row>
    <row r="1420" spans="1:38" x14ac:dyDescent="0.35">
      <c r="A1420" t="s">
        <v>83</v>
      </c>
      <c r="E1420">
        <v>1.1113583086675666E-2</v>
      </c>
      <c r="F1420">
        <f t="shared" si="55"/>
        <v>-1.8355565153627053E-2</v>
      </c>
      <c r="G1420">
        <f t="shared" si="54"/>
        <v>-2.9885632326223596E-2</v>
      </c>
    </row>
    <row r="1421" spans="1:38" x14ac:dyDescent="0.35">
      <c r="A1421" t="s">
        <v>83</v>
      </c>
      <c r="E1421">
        <v>-1.5048534515514451E-2</v>
      </c>
      <c r="F1421">
        <f t="shared" si="55"/>
        <v>-1.835646158198917E-2</v>
      </c>
      <c r="G1421">
        <f t="shared" si="54"/>
        <v>-2.9982523647001717E-2</v>
      </c>
    </row>
    <row r="1422" spans="1:38" x14ac:dyDescent="0.35">
      <c r="A1422" t="s">
        <v>83</v>
      </c>
      <c r="E1422">
        <v>-1.0360393993297445E-2</v>
      </c>
      <c r="F1422">
        <f t="shared" si="55"/>
        <v>-1.8357358010351287E-2</v>
      </c>
      <c r="G1422">
        <f t="shared" si="54"/>
        <v>-2.9982523647001717E-2</v>
      </c>
    </row>
    <row r="1423" spans="1:38" x14ac:dyDescent="0.35">
      <c r="A1423" t="s">
        <v>83</v>
      </c>
      <c r="E1423">
        <v>-3.8720513022851926E-3</v>
      </c>
      <c r="F1423">
        <f t="shared" si="55"/>
        <v>-1.8358254438713403E-2</v>
      </c>
      <c r="G1423">
        <f t="shared" si="54"/>
        <v>-2.9982523647001717E-2</v>
      </c>
    </row>
    <row r="1424" spans="1:38" x14ac:dyDescent="0.35">
      <c r="A1424" t="s">
        <v>83</v>
      </c>
      <c r="E1424">
        <v>1.0020105079326791E-2</v>
      </c>
      <c r="F1424">
        <f t="shared" si="55"/>
        <v>-1.835915086707552E-2</v>
      </c>
      <c r="G1424">
        <f t="shared" si="54"/>
        <v>-2.9982523647001717E-2</v>
      </c>
    </row>
    <row r="1425" spans="1:38" x14ac:dyDescent="0.35">
      <c r="A1425" t="s">
        <v>83</v>
      </c>
      <c r="E1425">
        <v>1.3682620003974312E-2</v>
      </c>
      <c r="F1425">
        <f t="shared" si="55"/>
        <v>-1.8360047295437637E-2</v>
      </c>
      <c r="G1425">
        <f t="shared" si="54"/>
        <v>-2.9982523647001717E-2</v>
      </c>
    </row>
    <row r="1426" spans="1:38" x14ac:dyDescent="0.35">
      <c r="A1426" t="s">
        <v>83</v>
      </c>
      <c r="E1426">
        <v>1.2293357911098851E-3</v>
      </c>
      <c r="F1426">
        <f t="shared" si="55"/>
        <v>-1.8360943723799754E-2</v>
      </c>
      <c r="G1426">
        <f t="shared" si="54"/>
        <v>-2.9982523647001717E-2</v>
      </c>
    </row>
    <row r="1427" spans="1:38" x14ac:dyDescent="0.35">
      <c r="A1427" t="s">
        <v>83</v>
      </c>
      <c r="E1427">
        <v>-3.0717717760443037E-2</v>
      </c>
      <c r="F1427">
        <f t="shared" si="55"/>
        <v>-1.8361840152161871E-2</v>
      </c>
      <c r="G1427">
        <f t="shared" si="54"/>
        <v>-2.9982523647001717E-2</v>
      </c>
    </row>
    <row r="1428" spans="1:38" x14ac:dyDescent="0.35">
      <c r="A1428" t="s">
        <v>83</v>
      </c>
      <c r="E1428">
        <v>8.6471410863426315E-3</v>
      </c>
      <c r="F1428">
        <f t="shared" si="55"/>
        <v>-1.8307751364531097E-2</v>
      </c>
      <c r="G1428">
        <f t="shared" si="54"/>
        <v>-2.9878640011650321E-2</v>
      </c>
    </row>
    <row r="1429" spans="1:38" x14ac:dyDescent="0.35">
      <c r="A1429" t="s">
        <v>83</v>
      </c>
      <c r="E1429">
        <v>-3.471806668396895E-2</v>
      </c>
      <c r="F1429">
        <f t="shared" si="55"/>
        <v>-1.8311735846955762E-2</v>
      </c>
      <c r="G1429">
        <f t="shared" si="54"/>
        <v>-2.9878640011650321E-2</v>
      </c>
    </row>
    <row r="1430" spans="1:38" x14ac:dyDescent="0.35">
      <c r="A1430" t="s">
        <v>83</v>
      </c>
      <c r="E1430">
        <v>1.280043839214039E-3</v>
      </c>
      <c r="F1430">
        <f t="shared" si="55"/>
        <v>-1.8243885837382151E-2</v>
      </c>
      <c r="G1430">
        <f t="shared" si="54"/>
        <v>-2.9740470337878595E-2</v>
      </c>
    </row>
    <row r="1431" spans="1:38" x14ac:dyDescent="0.35">
      <c r="A1431" t="s">
        <v>83</v>
      </c>
      <c r="E1431">
        <v>-1.9888085770556296E-2</v>
      </c>
      <c r="F1431">
        <f t="shared" si="55"/>
        <v>-1.8247084804157314E-2</v>
      </c>
      <c r="G1431">
        <f t="shared" si="54"/>
        <v>-2.9740470337878595E-2</v>
      </c>
    </row>
    <row r="1432" spans="1:38" x14ac:dyDescent="0.35">
      <c r="A1432" t="s">
        <v>83</v>
      </c>
      <c r="E1432">
        <v>3.0600023048147341E-2</v>
      </c>
      <c r="F1432">
        <f t="shared" si="55"/>
        <v>-1.8185230113186988E-2</v>
      </c>
      <c r="G1432">
        <f t="shared" si="54"/>
        <v>-2.9726384710980058E-2</v>
      </c>
    </row>
    <row r="1433" spans="1:38" x14ac:dyDescent="0.35">
      <c r="A1433" t="s">
        <v>83</v>
      </c>
      <c r="E1433">
        <v>-2.3964999581585111E-2</v>
      </c>
      <c r="F1433">
        <f t="shared" si="55"/>
        <v>-1.8188563370242428E-2</v>
      </c>
      <c r="G1433">
        <f t="shared" si="54"/>
        <v>-2.9726384710980058E-2</v>
      </c>
    </row>
    <row r="1434" spans="1:38" x14ac:dyDescent="0.35">
      <c r="A1434" t="s">
        <v>83</v>
      </c>
      <c r="E1434">
        <v>-3.1568740896222372E-3</v>
      </c>
      <c r="F1434">
        <f t="shared" si="55"/>
        <v>-1.8121516962004688E-2</v>
      </c>
      <c r="G1434">
        <f t="shared" si="54"/>
        <v>-2.9677479092887087E-2</v>
      </c>
    </row>
    <row r="1435" spans="1:38" x14ac:dyDescent="0.35">
      <c r="A1435" t="s">
        <v>83</v>
      </c>
      <c r="E1435">
        <v>2.3101803337494679E-2</v>
      </c>
      <c r="F1435">
        <f t="shared" si="55"/>
        <v>-1.8125469306424193E-2</v>
      </c>
      <c r="G1435">
        <f t="shared" si="54"/>
        <v>-2.9677479092887087E-2</v>
      </c>
    </row>
    <row r="1436" spans="1:38" x14ac:dyDescent="0.35">
      <c r="A1436" t="s">
        <v>84</v>
      </c>
      <c r="B1436" s="3" cm="1">
        <f t="array" ref="B1436">_xlfn.STDEV.S(_xlfn._xlws.FILTER($E$1000:$E$1998, $A$1000:$A$1998="2015-10"))</f>
        <v>1.1382851379277813E-2</v>
      </c>
      <c r="C1436" s="3" cm="1">
        <f t="array" ref="C1436">AVERAGE(_xlfn._xlws.FILTER($E$1000:$E$1998, $A$1000:$A$1998="2015-10"))</f>
        <v>4.4320298214532167E-3</v>
      </c>
      <c r="D1436" s="3" cm="1">
        <f t="array" ref="D1436">_xlfn.PERCENTILE.EXC(_xlfn._xlws.FILTER($E$1000:$E$1497, $A$1000:$A$1497="2015-10"), 0.05)</f>
        <v>-1.0195508421374308E-2</v>
      </c>
      <c r="E1436">
        <v>-1.0250149714181518E-2</v>
      </c>
      <c r="F1436">
        <f t="shared" si="55"/>
        <v>-1.8129421650843698E-2</v>
      </c>
      <c r="G1436">
        <f t="shared" si="54"/>
        <v>-2.9677479092887087E-2</v>
      </c>
      <c r="AI1436" s="3"/>
      <c r="AJ1436" s="3"/>
      <c r="AK1436" s="3"/>
      <c r="AL1436" s="3"/>
    </row>
    <row r="1437" spans="1:38" x14ac:dyDescent="0.35">
      <c r="A1437" t="s">
        <v>84</v>
      </c>
      <c r="E1437">
        <v>6.213853162502489E-3</v>
      </c>
      <c r="F1437">
        <f t="shared" si="55"/>
        <v>-1.8133373995263199E-2</v>
      </c>
      <c r="G1437">
        <f t="shared" si="54"/>
        <v>-2.9677479092887087E-2</v>
      </c>
    </row>
    <row r="1438" spans="1:38" x14ac:dyDescent="0.35">
      <c r="A1438" t="s">
        <v>84</v>
      </c>
      <c r="E1438">
        <v>3.2561245758095138E-2</v>
      </c>
      <c r="F1438">
        <f t="shared" si="55"/>
        <v>-1.8137326339682704E-2</v>
      </c>
      <c r="G1438">
        <f t="shared" si="54"/>
        <v>-2.9677479092887087E-2</v>
      </c>
    </row>
    <row r="1439" spans="1:38" x14ac:dyDescent="0.35">
      <c r="A1439" t="s">
        <v>84</v>
      </c>
      <c r="E1439">
        <v>9.2661430990131789E-3</v>
      </c>
      <c r="F1439">
        <f t="shared" si="55"/>
        <v>-1.8141278684102209E-2</v>
      </c>
      <c r="G1439">
        <f t="shared" si="54"/>
        <v>-2.9677479092887087E-2</v>
      </c>
    </row>
    <row r="1440" spans="1:38" x14ac:dyDescent="0.35">
      <c r="A1440" t="s">
        <v>84</v>
      </c>
      <c r="E1440">
        <v>1.957655100747926E-3</v>
      </c>
      <c r="F1440">
        <f t="shared" si="55"/>
        <v>-1.8145231028521714E-2</v>
      </c>
      <c r="G1440">
        <f t="shared" si="54"/>
        <v>-2.9677479092887087E-2</v>
      </c>
    </row>
    <row r="1441" spans="1:7" x14ac:dyDescent="0.35">
      <c r="A1441" t="s">
        <v>84</v>
      </c>
      <c r="E1441">
        <v>-4.4641750697986472E-4</v>
      </c>
      <c r="F1441">
        <f t="shared" si="55"/>
        <v>-1.8148564285577155E-2</v>
      </c>
      <c r="G1441">
        <f t="shared" si="54"/>
        <v>-2.9775210008686798E-2</v>
      </c>
    </row>
    <row r="1442" spans="1:7" x14ac:dyDescent="0.35">
      <c r="A1442" t="s">
        <v>84</v>
      </c>
      <c r="E1442">
        <v>7.8298293381660056E-3</v>
      </c>
      <c r="F1442">
        <f t="shared" si="55"/>
        <v>-1.8151897542632592E-2</v>
      </c>
      <c r="G1442">
        <f t="shared" si="54"/>
        <v>-2.9775210008686798E-2</v>
      </c>
    </row>
    <row r="1443" spans="1:7" x14ac:dyDescent="0.35">
      <c r="A1443" t="s">
        <v>84</v>
      </c>
      <c r="E1443">
        <v>-9.1725617576149821E-4</v>
      </c>
      <c r="F1443">
        <f t="shared" si="55"/>
        <v>-1.8155230799688032E-2</v>
      </c>
      <c r="G1443">
        <f t="shared" si="54"/>
        <v>-2.9775210008686798E-2</v>
      </c>
    </row>
    <row r="1444" spans="1:7" x14ac:dyDescent="0.35">
      <c r="A1444" t="s">
        <v>84</v>
      </c>
      <c r="E1444">
        <v>-8.0543241365442046E-3</v>
      </c>
      <c r="F1444">
        <f t="shared" si="55"/>
        <v>-1.8158564056743473E-2</v>
      </c>
      <c r="G1444">
        <f t="shared" si="54"/>
        <v>-2.9775210008686798E-2</v>
      </c>
    </row>
    <row r="1445" spans="1:7" x14ac:dyDescent="0.35">
      <c r="A1445" t="s">
        <v>84</v>
      </c>
      <c r="E1445">
        <v>-9.2658373622348314E-3</v>
      </c>
      <c r="F1445">
        <f t="shared" si="55"/>
        <v>-1.8161897313798914E-2</v>
      </c>
      <c r="G1445">
        <f t="shared" si="54"/>
        <v>-2.9775210008686798E-2</v>
      </c>
    </row>
    <row r="1446" spans="1:7" x14ac:dyDescent="0.35">
      <c r="A1446" t="s">
        <v>84</v>
      </c>
      <c r="E1446">
        <v>1.4693019654683696E-2</v>
      </c>
      <c r="F1446">
        <f t="shared" si="55"/>
        <v>-1.8165230570854351E-2</v>
      </c>
      <c r="G1446">
        <f t="shared" si="54"/>
        <v>-2.9775210008686798E-2</v>
      </c>
    </row>
    <row r="1447" spans="1:7" x14ac:dyDescent="0.35">
      <c r="A1447" t="s">
        <v>84</v>
      </c>
      <c r="E1447">
        <v>8.0323446002600399E-3</v>
      </c>
      <c r="F1447">
        <f t="shared" si="55"/>
        <v>-1.8168563827909791E-2</v>
      </c>
      <c r="G1447">
        <f t="shared" si="54"/>
        <v>-2.9775210008686798E-2</v>
      </c>
    </row>
    <row r="1448" spans="1:7" x14ac:dyDescent="0.35">
      <c r="A1448" t="s">
        <v>84</v>
      </c>
      <c r="E1448">
        <v>2.175320616041278E-3</v>
      </c>
      <c r="F1448">
        <f t="shared" si="55"/>
        <v>-1.8171897084965229E-2</v>
      </c>
      <c r="G1448">
        <f t="shared" si="54"/>
        <v>-2.9775210008686798E-2</v>
      </c>
    </row>
    <row r="1449" spans="1:7" x14ac:dyDescent="0.35">
      <c r="A1449" t="s">
        <v>84</v>
      </c>
      <c r="E1449">
        <v>-5.0001942481426448E-3</v>
      </c>
      <c r="F1449">
        <f t="shared" si="55"/>
        <v>-1.8175230342020669E-2</v>
      </c>
      <c r="G1449">
        <f t="shared" si="54"/>
        <v>-2.9775210008686798E-2</v>
      </c>
    </row>
    <row r="1450" spans="1:7" x14ac:dyDescent="0.35">
      <c r="A1450" t="s">
        <v>84</v>
      </c>
      <c r="E1450">
        <v>5.0582603120591721E-3</v>
      </c>
      <c r="F1450">
        <f t="shared" si="55"/>
        <v>-1.817856359907611E-2</v>
      </c>
      <c r="G1450">
        <f t="shared" si="54"/>
        <v>-2.9775210008686798E-2</v>
      </c>
    </row>
    <row r="1451" spans="1:7" x14ac:dyDescent="0.35">
      <c r="A1451" t="s">
        <v>84</v>
      </c>
      <c r="E1451">
        <v>2.441656371939575E-2</v>
      </c>
      <c r="F1451">
        <f t="shared" si="55"/>
        <v>-1.8181896856131551E-2</v>
      </c>
      <c r="G1451">
        <f t="shared" si="54"/>
        <v>-2.9775210008686798E-2</v>
      </c>
    </row>
    <row r="1452" spans="1:7" x14ac:dyDescent="0.35">
      <c r="A1452" t="s">
        <v>84</v>
      </c>
      <c r="E1452">
        <v>2.1449666715735727E-2</v>
      </c>
      <c r="F1452">
        <f t="shared" si="55"/>
        <v>-1.8185230113186988E-2</v>
      </c>
      <c r="G1452">
        <f t="shared" si="54"/>
        <v>-2.9775210008686798E-2</v>
      </c>
    </row>
    <row r="1453" spans="1:7" x14ac:dyDescent="0.35">
      <c r="A1453" t="s">
        <v>84</v>
      </c>
      <c r="E1453">
        <v>-3.2775842487039347E-3</v>
      </c>
      <c r="F1453">
        <f t="shared" si="55"/>
        <v>-1.8188563370242428E-2</v>
      </c>
      <c r="G1453">
        <f t="shared" si="54"/>
        <v>-2.9775210008686798E-2</v>
      </c>
    </row>
    <row r="1454" spans="1:7" x14ac:dyDescent="0.35">
      <c r="A1454" t="s">
        <v>84</v>
      </c>
      <c r="E1454">
        <v>-9.8858744288001163E-3</v>
      </c>
      <c r="F1454">
        <f t="shared" si="55"/>
        <v>-1.8191896627297869E-2</v>
      </c>
      <c r="G1454">
        <f t="shared" si="54"/>
        <v>-2.9775210008686798E-2</v>
      </c>
    </row>
    <row r="1455" spans="1:7" x14ac:dyDescent="0.35">
      <c r="A1455" t="s">
        <v>84</v>
      </c>
      <c r="E1455">
        <v>1.1784732320267397E-2</v>
      </c>
      <c r="F1455">
        <f t="shared" si="55"/>
        <v>-1.8195229884353306E-2</v>
      </c>
      <c r="G1455">
        <f t="shared" si="54"/>
        <v>-2.9775210008686798E-2</v>
      </c>
    </row>
    <row r="1456" spans="1:7" x14ac:dyDescent="0.35">
      <c r="A1456" t="s">
        <v>84</v>
      </c>
      <c r="E1456">
        <v>-2.253281378515804E-3</v>
      </c>
      <c r="F1456">
        <f t="shared" si="55"/>
        <v>-1.8198563141408747E-2</v>
      </c>
      <c r="G1456">
        <f t="shared" si="54"/>
        <v>-2.9775210008686798E-2</v>
      </c>
    </row>
    <row r="1457" spans="1:38" x14ac:dyDescent="0.35">
      <c r="A1457" t="s">
        <v>84</v>
      </c>
      <c r="E1457">
        <v>1.4169408748673767E-3</v>
      </c>
      <c r="F1457">
        <f t="shared" si="55"/>
        <v>-1.8201896398464187E-2</v>
      </c>
      <c r="G1457">
        <f t="shared" si="54"/>
        <v>-2.9775210008686798E-2</v>
      </c>
    </row>
    <row r="1458" spans="1:38" x14ac:dyDescent="0.35">
      <c r="A1458" t="s">
        <v>85</v>
      </c>
      <c r="B1458" s="3" cm="1">
        <f t="array" ref="B1458">_xlfn.STDEV.S(_xlfn._xlws.FILTER($E$1000:$E$1998, $A$1000:$A$1998="2015-11"))</f>
        <v>9.7983790139742916E-3</v>
      </c>
      <c r="C1458" s="3" cm="1">
        <f t="array" ref="C1458">AVERAGE(_xlfn._xlws.FILTER($E$1000:$E$1998, $A$1000:$A$1998="2015-11"))</f>
        <v>1.2133931627379042E-3</v>
      </c>
      <c r="D1458" s="3" cm="1">
        <f t="array" ref="D1458">_xlfn.PERCENTILE.EXC(_xlfn._xlws.FILTER($E$1000:$E$1497, $A$1000:$A$1497="2015-11"), 0.05)</f>
        <v>-1.7436207749137518E-2</v>
      </c>
      <c r="E1458">
        <v>4.7484814289841856E-3</v>
      </c>
      <c r="F1458">
        <f t="shared" si="55"/>
        <v>-1.8205229655519625E-2</v>
      </c>
      <c r="G1458">
        <f t="shared" si="54"/>
        <v>-2.9775210008686798E-2</v>
      </c>
      <c r="AI1458" s="3"/>
      <c r="AJ1458" s="3"/>
      <c r="AK1458" s="3"/>
      <c r="AL1458" s="3"/>
    </row>
    <row r="1459" spans="1:38" x14ac:dyDescent="0.35">
      <c r="A1459" t="s">
        <v>85</v>
      </c>
      <c r="E1459">
        <v>2.3788831636250285E-3</v>
      </c>
      <c r="F1459">
        <f t="shared" si="55"/>
        <v>-1.8208562912575065E-2</v>
      </c>
      <c r="G1459">
        <f t="shared" si="54"/>
        <v>-2.9775210008686798E-2</v>
      </c>
    </row>
    <row r="1460" spans="1:38" x14ac:dyDescent="0.35">
      <c r="A1460" t="s">
        <v>85</v>
      </c>
      <c r="E1460">
        <v>-1.0229823148958125E-3</v>
      </c>
      <c r="F1460">
        <f t="shared" si="55"/>
        <v>-1.8211896169630506E-2</v>
      </c>
      <c r="G1460">
        <f t="shared" si="54"/>
        <v>-2.9775210008686798E-2</v>
      </c>
    </row>
    <row r="1461" spans="1:38" x14ac:dyDescent="0.35">
      <c r="A1461" t="s">
        <v>85</v>
      </c>
      <c r="E1461">
        <v>2.4191745079375458E-3</v>
      </c>
      <c r="F1461">
        <f t="shared" si="55"/>
        <v>-1.8215095136405669E-2</v>
      </c>
      <c r="G1461">
        <f t="shared" si="54"/>
        <v>-2.987404175090095E-2</v>
      </c>
    </row>
    <row r="1462" spans="1:38" x14ac:dyDescent="0.35">
      <c r="A1462" t="s">
        <v>85</v>
      </c>
      <c r="E1462">
        <v>5.9921806897500832E-3</v>
      </c>
      <c r="F1462">
        <f t="shared" si="55"/>
        <v>-1.8218294103180835E-2</v>
      </c>
      <c r="G1462">
        <f t="shared" si="54"/>
        <v>-2.987404175090095E-2</v>
      </c>
    </row>
    <row r="1463" spans="1:38" x14ac:dyDescent="0.35">
      <c r="A1463" t="s">
        <v>85</v>
      </c>
      <c r="E1463">
        <v>-1.4477706819762584E-2</v>
      </c>
      <c r="F1463">
        <f t="shared" si="55"/>
        <v>-1.8221493069955998E-2</v>
      </c>
      <c r="G1463">
        <f t="shared" si="54"/>
        <v>-2.987404175090095E-2</v>
      </c>
    </row>
    <row r="1464" spans="1:38" x14ac:dyDescent="0.35">
      <c r="A1464" t="s">
        <v>85</v>
      </c>
      <c r="E1464">
        <v>2.0573493176780111E-3</v>
      </c>
      <c r="F1464">
        <f t="shared" si="55"/>
        <v>-1.8224692036731164E-2</v>
      </c>
      <c r="G1464">
        <f t="shared" si="54"/>
        <v>-2.987404175090095E-2</v>
      </c>
    </row>
    <row r="1465" spans="1:38" x14ac:dyDescent="0.35">
      <c r="A1465" t="s">
        <v>85</v>
      </c>
      <c r="E1465">
        <v>6.6979019118901893E-3</v>
      </c>
      <c r="F1465">
        <f t="shared" si="55"/>
        <v>-1.822789100350633E-2</v>
      </c>
      <c r="G1465">
        <f t="shared" si="54"/>
        <v>-2.987404175090095E-2</v>
      </c>
    </row>
    <row r="1466" spans="1:38" x14ac:dyDescent="0.35">
      <c r="A1466" t="s">
        <v>85</v>
      </c>
      <c r="E1466">
        <v>-1.7764930074623621E-2</v>
      </c>
      <c r="F1466">
        <f t="shared" si="55"/>
        <v>-1.8231089970281493E-2</v>
      </c>
      <c r="G1466">
        <f t="shared" si="54"/>
        <v>-2.987404175090095E-2</v>
      </c>
    </row>
    <row r="1467" spans="1:38" x14ac:dyDescent="0.35">
      <c r="A1467" t="s">
        <v>85</v>
      </c>
      <c r="E1467">
        <v>-8.0168174068317773E-3</v>
      </c>
      <c r="F1467">
        <f t="shared" si="55"/>
        <v>-1.8234288937056656E-2</v>
      </c>
      <c r="G1467">
        <f t="shared" si="54"/>
        <v>-2.987404175090095E-2</v>
      </c>
    </row>
    <row r="1468" spans="1:38" x14ac:dyDescent="0.35">
      <c r="A1468" t="s">
        <v>85</v>
      </c>
      <c r="E1468">
        <v>4.7003665961311398E-4</v>
      </c>
      <c r="F1468">
        <f t="shared" si="55"/>
        <v>-1.8237487903831822E-2</v>
      </c>
      <c r="G1468">
        <f t="shared" si="54"/>
        <v>-2.987404175090095E-2</v>
      </c>
    </row>
    <row r="1469" spans="1:38" x14ac:dyDescent="0.35">
      <c r="A1469" t="s">
        <v>85</v>
      </c>
      <c r="E1469">
        <v>2.6331947535673514E-2</v>
      </c>
      <c r="F1469">
        <f t="shared" si="55"/>
        <v>-1.8240686870606985E-2</v>
      </c>
      <c r="G1469">
        <f t="shared" si="54"/>
        <v>-2.987404175090095E-2</v>
      </c>
    </row>
    <row r="1470" spans="1:38" x14ac:dyDescent="0.35">
      <c r="A1470" t="s">
        <v>85</v>
      </c>
      <c r="E1470">
        <v>-5.8165205111296867E-3</v>
      </c>
      <c r="F1470">
        <f t="shared" si="55"/>
        <v>-1.8243885837382151E-2</v>
      </c>
      <c r="G1470">
        <f t="shared" si="54"/>
        <v>-2.987404175090095E-2</v>
      </c>
    </row>
    <row r="1471" spans="1:38" x14ac:dyDescent="0.35">
      <c r="A1471" t="s">
        <v>85</v>
      </c>
      <c r="E1471">
        <v>4.9441666801243872E-3</v>
      </c>
      <c r="F1471">
        <f t="shared" si="55"/>
        <v>-1.8247084804157314E-2</v>
      </c>
      <c r="G1471">
        <f t="shared" si="54"/>
        <v>-2.987404175090095E-2</v>
      </c>
    </row>
    <row r="1472" spans="1:38" x14ac:dyDescent="0.35">
      <c r="A1472" t="s">
        <v>85</v>
      </c>
      <c r="E1472">
        <v>1.0200859263612735E-3</v>
      </c>
      <c r="F1472">
        <f t="shared" si="55"/>
        <v>-1.825028377093248E-2</v>
      </c>
      <c r="G1472">
        <f t="shared" si="54"/>
        <v>-2.987404175090095E-2</v>
      </c>
    </row>
    <row r="1473" spans="1:38" x14ac:dyDescent="0.35">
      <c r="A1473" t="s">
        <v>85</v>
      </c>
      <c r="E1473">
        <v>-2.0847506213188668E-3</v>
      </c>
      <c r="F1473">
        <f t="shared" si="55"/>
        <v>-1.8253482737707643E-2</v>
      </c>
      <c r="G1473">
        <f t="shared" si="54"/>
        <v>-2.987404175090095E-2</v>
      </c>
    </row>
    <row r="1474" spans="1:38" x14ac:dyDescent="0.35">
      <c r="A1474" t="s">
        <v>85</v>
      </c>
      <c r="E1474">
        <v>-1.040439095367421E-2</v>
      </c>
      <c r="F1474">
        <f t="shared" si="55"/>
        <v>-1.8256681704482809E-2</v>
      </c>
      <c r="G1474">
        <f t="shared" si="54"/>
        <v>-2.987404175090095E-2</v>
      </c>
    </row>
    <row r="1475" spans="1:38" x14ac:dyDescent="0.35">
      <c r="A1475" t="s">
        <v>85</v>
      </c>
      <c r="E1475">
        <v>1.5268805264151806E-2</v>
      </c>
      <c r="F1475">
        <f t="shared" si="55"/>
        <v>-1.8259880671257972E-2</v>
      </c>
      <c r="G1475">
        <f t="shared" ref="G1475:G1538" si="56">AVERAGEIFS(E1475:E5291,E1475:E5291,"&lt;=" &amp; F1475)</f>
        <v>-2.987404175090095E-2</v>
      </c>
    </row>
    <row r="1476" spans="1:38" x14ac:dyDescent="0.35">
      <c r="A1476" t="s">
        <v>85</v>
      </c>
      <c r="E1476">
        <v>1.0504817403664444E-2</v>
      </c>
      <c r="F1476">
        <f t="shared" ref="F1476:F1539" si="57">_xlfn.PERCENTILE.EXC(E1476:E5291,0.05)</f>
        <v>-1.8263079638033138E-2</v>
      </c>
      <c r="G1476">
        <f t="shared" si="56"/>
        <v>-2.987404175090095E-2</v>
      </c>
    </row>
    <row r="1477" spans="1:38" x14ac:dyDescent="0.35">
      <c r="A1477" t="s">
        <v>85</v>
      </c>
      <c r="E1477">
        <v>-2.7563089802618104E-3</v>
      </c>
      <c r="F1477">
        <f t="shared" si="57"/>
        <v>-1.8266278604808301E-2</v>
      </c>
      <c r="G1477">
        <f t="shared" si="56"/>
        <v>-2.987404175090095E-2</v>
      </c>
    </row>
    <row r="1478" spans="1:38" x14ac:dyDescent="0.35">
      <c r="A1478" t="s">
        <v>85</v>
      </c>
      <c r="E1478">
        <v>4.9918336105407839E-3</v>
      </c>
      <c r="F1478">
        <f t="shared" si="57"/>
        <v>-1.8269477571583467E-2</v>
      </c>
      <c r="G1478">
        <f t="shared" si="56"/>
        <v>-2.987404175090095E-2</v>
      </c>
    </row>
    <row r="1479" spans="1:38" x14ac:dyDescent="0.35">
      <c r="A1479" t="s">
        <v>86</v>
      </c>
      <c r="B1479" s="3" cm="1">
        <f t="array" ref="B1479">_xlfn.STDEV.S(_xlfn._xlws.FILTER($E$1000:$E$1998, $A$1000:$A$1998="2015-12"))</f>
        <v>1.6550285018361963E-2</v>
      </c>
      <c r="C1479" s="3" cm="1">
        <f t="array" ref="C1479">AVERAGE(_xlfn._xlws.FILTER($E$1000:$E$1998, $A$1000:$A$1998="2015-12"))</f>
        <v>-3.3858281689441009E-3</v>
      </c>
      <c r="D1479" s="3" cm="1">
        <f t="array" ref="D1479">_xlfn.PERCENTILE.EXC(_xlfn._xlws.FILTER($E$1000:$E$1497, $A$1000:$A$1497="2015-12"), 0.05)</f>
        <v>-3.6798044908367078E-2</v>
      </c>
      <c r="E1479">
        <v>-7.6752895009319982E-3</v>
      </c>
      <c r="F1479">
        <f t="shared" si="57"/>
        <v>-1.827267653835863E-2</v>
      </c>
      <c r="G1479">
        <f t="shared" si="56"/>
        <v>-2.987404175090095E-2</v>
      </c>
      <c r="AI1479" s="3"/>
      <c r="AJ1479" s="3"/>
      <c r="AK1479" s="3"/>
      <c r="AL1479" s="3"/>
    </row>
    <row r="1480" spans="1:38" x14ac:dyDescent="0.35">
      <c r="A1480" t="s">
        <v>86</v>
      </c>
      <c r="E1480">
        <v>-3.1604879293192409E-3</v>
      </c>
      <c r="F1480">
        <f t="shared" si="57"/>
        <v>-1.8275875505133796E-2</v>
      </c>
      <c r="G1480">
        <f t="shared" si="56"/>
        <v>-2.987404175090095E-2</v>
      </c>
    </row>
    <row r="1481" spans="1:38" x14ac:dyDescent="0.35">
      <c r="A1481" t="s">
        <v>86</v>
      </c>
      <c r="E1481">
        <v>-3.6798044908367078E-2</v>
      </c>
      <c r="F1481">
        <f t="shared" si="57"/>
        <v>-1.8279859987558458E-2</v>
      </c>
      <c r="G1481">
        <f t="shared" si="56"/>
        <v>-2.9974025942674804E-2</v>
      </c>
    </row>
    <row r="1482" spans="1:38" x14ac:dyDescent="0.35">
      <c r="A1482" t="s">
        <v>86</v>
      </c>
      <c r="E1482">
        <v>-3.772803463508295E-3</v>
      </c>
      <c r="F1482">
        <f t="shared" si="57"/>
        <v>-1.8218294103180835E-2</v>
      </c>
      <c r="G1482">
        <f t="shared" si="56"/>
        <v>-2.9814352068508999E-2</v>
      </c>
    </row>
    <row r="1483" spans="1:38" x14ac:dyDescent="0.35">
      <c r="A1483" t="s">
        <v>86</v>
      </c>
      <c r="E1483">
        <v>8.805968163884962E-3</v>
      </c>
      <c r="F1483">
        <f t="shared" si="57"/>
        <v>-1.8221493069955998E-2</v>
      </c>
      <c r="G1483">
        <f t="shared" si="56"/>
        <v>-2.9814352068508999E-2</v>
      </c>
    </row>
    <row r="1484" spans="1:38" x14ac:dyDescent="0.35">
      <c r="A1484" t="s">
        <v>86</v>
      </c>
      <c r="E1484">
        <v>-1.8850996888130057E-2</v>
      </c>
      <c r="F1484">
        <f t="shared" si="57"/>
        <v>-1.8224692036731164E-2</v>
      </c>
      <c r="G1484">
        <f t="shared" si="56"/>
        <v>-2.9814352068508999E-2</v>
      </c>
    </row>
    <row r="1485" spans="1:38" x14ac:dyDescent="0.35">
      <c r="A1485" t="s">
        <v>86</v>
      </c>
      <c r="E1485">
        <v>-6.1600244677430787E-3</v>
      </c>
      <c r="F1485">
        <f t="shared" si="57"/>
        <v>-1.8161897313798914E-2</v>
      </c>
      <c r="G1485">
        <f t="shared" si="56"/>
        <v>-2.9808842579556426E-2</v>
      </c>
    </row>
    <row r="1486" spans="1:38" x14ac:dyDescent="0.35">
      <c r="A1486" t="s">
        <v>86</v>
      </c>
      <c r="E1486">
        <v>-2.211640111044987E-3</v>
      </c>
      <c r="F1486">
        <f t="shared" si="57"/>
        <v>-1.8165230570854351E-2</v>
      </c>
      <c r="G1486">
        <f t="shared" si="56"/>
        <v>-2.9808842579556426E-2</v>
      </c>
    </row>
    <row r="1487" spans="1:38" x14ac:dyDescent="0.35">
      <c r="A1487" t="s">
        <v>86</v>
      </c>
      <c r="E1487">
        <v>-2.0627378543137825E-2</v>
      </c>
      <c r="F1487">
        <f t="shared" si="57"/>
        <v>-1.8168563827909791E-2</v>
      </c>
      <c r="G1487">
        <f t="shared" si="56"/>
        <v>-2.9808842579556426E-2</v>
      </c>
    </row>
    <row r="1488" spans="1:38" x14ac:dyDescent="0.35">
      <c r="A1488" t="s">
        <v>86</v>
      </c>
      <c r="E1488">
        <v>-2.0172699604388177E-2</v>
      </c>
      <c r="F1488">
        <f t="shared" si="57"/>
        <v>-1.8097802895487663E-2</v>
      </c>
      <c r="G1488">
        <f t="shared" si="56"/>
        <v>-2.9787444756154552E-2</v>
      </c>
    </row>
    <row r="1489" spans="1:38" x14ac:dyDescent="0.35">
      <c r="A1489" t="s">
        <v>86</v>
      </c>
      <c r="E1489">
        <v>3.2058538212046149E-2</v>
      </c>
      <c r="F1489">
        <f t="shared" si="57"/>
        <v>-1.802790769637384E-2</v>
      </c>
      <c r="G1489">
        <f t="shared" si="56"/>
        <v>-2.9769285140083375E-2</v>
      </c>
    </row>
    <row r="1490" spans="1:38" x14ac:dyDescent="0.35">
      <c r="A1490" t="s">
        <v>86</v>
      </c>
      <c r="E1490">
        <v>1.6244653549429742E-3</v>
      </c>
      <c r="F1490">
        <f t="shared" si="57"/>
        <v>-1.8031387373079095E-2</v>
      </c>
      <c r="G1490">
        <f t="shared" si="56"/>
        <v>-2.9769285140083375E-2</v>
      </c>
    </row>
    <row r="1491" spans="1:38" x14ac:dyDescent="0.35">
      <c r="A1491" t="s">
        <v>86</v>
      </c>
      <c r="E1491">
        <v>1.821741907885013E-2</v>
      </c>
      <c r="F1491">
        <f t="shared" si="57"/>
        <v>-1.8034867049784346E-2</v>
      </c>
      <c r="G1491">
        <f t="shared" si="56"/>
        <v>-2.9769285140083375E-2</v>
      </c>
    </row>
    <row r="1492" spans="1:38" x14ac:dyDescent="0.35">
      <c r="A1492" t="s">
        <v>86</v>
      </c>
      <c r="E1492">
        <v>-1.3933125164877902E-2</v>
      </c>
      <c r="F1492">
        <f t="shared" si="57"/>
        <v>-1.8038346726489601E-2</v>
      </c>
      <c r="G1492">
        <f t="shared" si="56"/>
        <v>-2.9769285140083375E-2</v>
      </c>
    </row>
    <row r="1493" spans="1:38" x14ac:dyDescent="0.35">
      <c r="A1493" t="s">
        <v>86</v>
      </c>
      <c r="E1493">
        <v>-1.4739837403654622E-2</v>
      </c>
      <c r="F1493">
        <f t="shared" si="57"/>
        <v>-1.8041826403194853E-2</v>
      </c>
      <c r="G1493">
        <f t="shared" si="56"/>
        <v>-2.9769285140083375E-2</v>
      </c>
    </row>
    <row r="1494" spans="1:38" x14ac:dyDescent="0.35">
      <c r="A1494" t="s">
        <v>86</v>
      </c>
      <c r="E1494">
        <v>4.0763427990772935E-4</v>
      </c>
      <c r="F1494">
        <f t="shared" si="57"/>
        <v>-1.8045306079900108E-2</v>
      </c>
      <c r="G1494">
        <f t="shared" si="56"/>
        <v>-2.9769285140083375E-2</v>
      </c>
    </row>
    <row r="1495" spans="1:38" x14ac:dyDescent="0.35">
      <c r="A1495" t="s">
        <v>86</v>
      </c>
      <c r="E1495">
        <v>2.2262109968497992E-2</v>
      </c>
      <c r="F1495">
        <f t="shared" si="57"/>
        <v>-1.8048785756605359E-2</v>
      </c>
      <c r="G1495">
        <f t="shared" si="56"/>
        <v>-2.9769285140083375E-2</v>
      </c>
    </row>
    <row r="1496" spans="1:38" x14ac:dyDescent="0.35">
      <c r="A1496" t="s">
        <v>86</v>
      </c>
      <c r="E1496">
        <v>8.3624687441963101E-3</v>
      </c>
      <c r="F1496">
        <f t="shared" si="57"/>
        <v>-1.8052265433310614E-2</v>
      </c>
      <c r="G1496">
        <f t="shared" si="56"/>
        <v>-2.9769285140083375E-2</v>
      </c>
    </row>
    <row r="1497" spans="1:38" x14ac:dyDescent="0.35">
      <c r="A1497" t="s">
        <v>86</v>
      </c>
      <c r="E1497">
        <v>-7.9670110271608634E-3</v>
      </c>
      <c r="F1497">
        <f t="shared" si="57"/>
        <v>-1.8055745110015866E-2</v>
      </c>
      <c r="G1497">
        <f t="shared" si="56"/>
        <v>-2.9769285140083375E-2</v>
      </c>
    </row>
    <row r="1498" spans="1:38" x14ac:dyDescent="0.35">
      <c r="A1498" t="s">
        <v>87</v>
      </c>
      <c r="B1498" s="3" cm="1">
        <f t="array" ref="B1498">_xlfn.STDEV.S(_xlfn._xlws.FILTER($E$1000:$E$1998, $A$1000:$A$1998="2016-01"))</f>
        <v>1.8552822235542173E-2</v>
      </c>
      <c r="C1498" s="3" cm="1">
        <f t="array" ref="C1498">AVERAGE(_xlfn._xlws.FILTER($E$1000:$E$1998, $A$1000:$A$1998="2016-01"))</f>
        <v>-3.8371468537527686E-3</v>
      </c>
      <c r="D1498" s="3" cm="1">
        <f t="array" ref="D1498">_xlfn.PERCENTILE.EXC(_xlfn._xlws.FILTER($E$1498:$E$2489, $A$1498:$A$2489="2016-01"), 0.05)</f>
        <v>-3.7956288605647807E-2</v>
      </c>
      <c r="E1498">
        <v>-3.8196171113312576E-2</v>
      </c>
      <c r="F1498">
        <f t="shared" si="57"/>
        <v>-1.8059224786721121E-2</v>
      </c>
      <c r="G1498">
        <f t="shared" si="56"/>
        <v>-2.9769285140083375E-2</v>
      </c>
      <c r="AI1498" s="3"/>
      <c r="AJ1498" s="3"/>
      <c r="AK1498" s="3"/>
      <c r="AL1498" s="3"/>
    </row>
    <row r="1499" spans="1:38" x14ac:dyDescent="0.35">
      <c r="A1499" t="s">
        <v>87</v>
      </c>
      <c r="E1499">
        <v>4.177991405615992E-3</v>
      </c>
      <c r="F1499">
        <f t="shared" si="57"/>
        <v>-1.798790878461614E-2</v>
      </c>
      <c r="G1499">
        <f t="shared" si="56"/>
        <v>-2.9595150825365395E-2</v>
      </c>
    </row>
    <row r="1500" spans="1:38" x14ac:dyDescent="0.35">
      <c r="A1500" t="s">
        <v>87</v>
      </c>
      <c r="E1500">
        <v>-1.2248998784681494E-2</v>
      </c>
      <c r="F1500">
        <f t="shared" si="57"/>
        <v>-1.7996590606026562E-2</v>
      </c>
      <c r="G1500">
        <f t="shared" si="56"/>
        <v>-2.9595150825365395E-2</v>
      </c>
    </row>
    <row r="1501" spans="1:38" x14ac:dyDescent="0.35">
      <c r="A1501" t="s">
        <v>87</v>
      </c>
      <c r="E1501">
        <v>-1.7558291695483876E-2</v>
      </c>
      <c r="F1501">
        <f t="shared" si="57"/>
        <v>-1.8000070282731814E-2</v>
      </c>
      <c r="G1501">
        <f t="shared" si="56"/>
        <v>-2.969600787075095E-2</v>
      </c>
    </row>
    <row r="1502" spans="1:38" x14ac:dyDescent="0.35">
      <c r="A1502" t="s">
        <v>87</v>
      </c>
      <c r="E1502">
        <v>-1.6740745477704839E-2</v>
      </c>
      <c r="F1502">
        <f t="shared" si="57"/>
        <v>-1.8003549959437069E-2</v>
      </c>
      <c r="G1502">
        <f t="shared" si="56"/>
        <v>-2.969600787075095E-2</v>
      </c>
    </row>
    <row r="1503" spans="1:38" x14ac:dyDescent="0.35">
      <c r="A1503" t="s">
        <v>87</v>
      </c>
      <c r="E1503">
        <v>-1.9732854004771215E-3</v>
      </c>
      <c r="F1503">
        <f t="shared" si="57"/>
        <v>-1.800702963614232E-2</v>
      </c>
      <c r="G1503">
        <f t="shared" si="56"/>
        <v>-2.969600787075095E-2</v>
      </c>
    </row>
    <row r="1504" spans="1:38" x14ac:dyDescent="0.35">
      <c r="A1504" t="s">
        <v>87</v>
      </c>
      <c r="E1504">
        <v>1.2202739997493486E-2</v>
      </c>
      <c r="F1504">
        <f t="shared" si="57"/>
        <v>-1.8010509312847575E-2</v>
      </c>
      <c r="G1504">
        <f t="shared" si="56"/>
        <v>-2.969600787075095E-2</v>
      </c>
    </row>
    <row r="1505" spans="1:38" x14ac:dyDescent="0.35">
      <c r="A1505" t="s">
        <v>87</v>
      </c>
      <c r="E1505">
        <v>2.7241580434264902E-3</v>
      </c>
      <c r="F1505">
        <f t="shared" si="57"/>
        <v>-1.801398898955283E-2</v>
      </c>
      <c r="G1505">
        <f t="shared" si="56"/>
        <v>-2.969600787075095E-2</v>
      </c>
    </row>
    <row r="1506" spans="1:38" x14ac:dyDescent="0.35">
      <c r="A1506" t="s">
        <v>87</v>
      </c>
      <c r="E1506">
        <v>-1.6080333107962183E-2</v>
      </c>
      <c r="F1506">
        <f t="shared" si="57"/>
        <v>-1.8017468666258082E-2</v>
      </c>
      <c r="G1506">
        <f t="shared" si="56"/>
        <v>-2.969600787075095E-2</v>
      </c>
    </row>
    <row r="1507" spans="1:38" x14ac:dyDescent="0.35">
      <c r="A1507" t="s">
        <v>87</v>
      </c>
      <c r="E1507">
        <v>-2.3934963171255836E-2</v>
      </c>
      <c r="F1507">
        <f t="shared" si="57"/>
        <v>-1.8020948342963333E-2</v>
      </c>
      <c r="G1507">
        <f t="shared" si="56"/>
        <v>-2.969600787075095E-2</v>
      </c>
    </row>
    <row r="1508" spans="1:38" x14ac:dyDescent="0.35">
      <c r="A1508" t="s">
        <v>87</v>
      </c>
      <c r="E1508">
        <v>-5.8051716476128518E-3</v>
      </c>
      <c r="F1508">
        <f t="shared" si="57"/>
        <v>-1.7892408749101529E-2</v>
      </c>
      <c r="G1508">
        <f t="shared" si="56"/>
        <v>-2.9644369848444607E-2</v>
      </c>
    </row>
    <row r="1509" spans="1:38" x14ac:dyDescent="0.35">
      <c r="A1509" t="s">
        <v>87</v>
      </c>
      <c r="E1509">
        <v>1.5247393032042957E-2</v>
      </c>
      <c r="F1509">
        <f t="shared" si="57"/>
        <v>-1.7901090570511948E-2</v>
      </c>
      <c r="G1509">
        <f t="shared" si="56"/>
        <v>-2.9644369848444607E-2</v>
      </c>
    </row>
    <row r="1510" spans="1:38" x14ac:dyDescent="0.35">
      <c r="A1510" t="s">
        <v>87</v>
      </c>
      <c r="E1510">
        <v>-3.3398520960017268E-2</v>
      </c>
      <c r="F1510">
        <f t="shared" si="57"/>
        <v>-1.7909772391922367E-2</v>
      </c>
      <c r="G1510">
        <f t="shared" si="56"/>
        <v>-2.9644369848444607E-2</v>
      </c>
    </row>
    <row r="1511" spans="1:38" x14ac:dyDescent="0.35">
      <c r="A1511" t="s">
        <v>87</v>
      </c>
      <c r="E1511">
        <v>2.1052831013925227E-2</v>
      </c>
      <c r="F1511">
        <f t="shared" si="57"/>
        <v>-1.7781481172221267E-2</v>
      </c>
      <c r="G1511">
        <f t="shared" si="56"/>
        <v>-2.950893013729505E-2</v>
      </c>
    </row>
    <row r="1512" spans="1:38" x14ac:dyDescent="0.35">
      <c r="A1512" t="s">
        <v>87</v>
      </c>
      <c r="E1512">
        <v>2.6577154216676686E-2</v>
      </c>
      <c r="F1512">
        <f t="shared" si="57"/>
        <v>-1.7786089283954257E-2</v>
      </c>
      <c r="G1512">
        <f t="shared" si="56"/>
        <v>-2.950893013729505E-2</v>
      </c>
    </row>
    <row r="1513" spans="1:38" x14ac:dyDescent="0.35">
      <c r="A1513" t="s">
        <v>87</v>
      </c>
      <c r="E1513">
        <v>-7.1137347522290187E-3</v>
      </c>
      <c r="F1513">
        <f t="shared" si="57"/>
        <v>-1.7790697395687248E-2</v>
      </c>
      <c r="G1513">
        <f t="shared" si="56"/>
        <v>-2.950893013729505E-2</v>
      </c>
    </row>
    <row r="1514" spans="1:38" x14ac:dyDescent="0.35">
      <c r="A1514" t="s">
        <v>87</v>
      </c>
      <c r="E1514">
        <v>1.0294028216350767E-2</v>
      </c>
      <c r="F1514">
        <f t="shared" si="57"/>
        <v>-1.7795305507420235E-2</v>
      </c>
      <c r="G1514">
        <f t="shared" si="56"/>
        <v>-2.950893013729505E-2</v>
      </c>
    </row>
    <row r="1515" spans="1:38" x14ac:dyDescent="0.35">
      <c r="A1515" t="s">
        <v>87</v>
      </c>
      <c r="E1515">
        <v>3.4988375656438606E-3</v>
      </c>
      <c r="F1515">
        <f t="shared" si="57"/>
        <v>-1.7799913619153226E-2</v>
      </c>
      <c r="G1515">
        <f t="shared" si="56"/>
        <v>-2.950893013729505E-2</v>
      </c>
    </row>
    <row r="1516" spans="1:38" x14ac:dyDescent="0.35">
      <c r="A1516" t="s">
        <v>87</v>
      </c>
      <c r="E1516">
        <v>-2.1269661129027562E-2</v>
      </c>
      <c r="F1516">
        <f t="shared" si="57"/>
        <v>-1.7804521730886216E-2</v>
      </c>
      <c r="G1516">
        <f t="shared" si="56"/>
        <v>-2.950893013729505E-2</v>
      </c>
    </row>
    <row r="1517" spans="1:38" x14ac:dyDescent="0.35">
      <c r="A1517" t="s">
        <v>87</v>
      </c>
      <c r="E1517">
        <v>2.1801806673533781E-2</v>
      </c>
      <c r="F1517">
        <f t="shared" si="57"/>
        <v>-1.7715550332750647E-2</v>
      </c>
      <c r="G1517">
        <f t="shared" si="56"/>
        <v>-2.9478157361765754E-2</v>
      </c>
    </row>
    <row r="1518" spans="1:38" x14ac:dyDescent="0.35">
      <c r="A1518" t="s">
        <v>88</v>
      </c>
      <c r="B1518" s="3" cm="1">
        <f t="array" ref="B1518">_xlfn.STDEV.S(_xlfn._xlws.FILTER($E$1000:$E$1998, $A$1000:$A$1998="2016-02"))</f>
        <v>2.0904323130028456E-2</v>
      </c>
      <c r="C1518" s="3" cm="1">
        <f t="array" ref="C1518">AVERAGE(_xlfn._xlws.FILTER($E$1000:$E$1998, $A$1000:$A$1998="2016-02"))</f>
        <v>-1.5793811316192562E-3</v>
      </c>
      <c r="D1518" s="3" cm="1">
        <f t="array" ref="D1518">_xlfn.PERCENTILE.EXC(_xlfn._xlws.FILTER($E$1498:$E$2489, $A$1498:$A$2489="2016-02"), 0.05)</f>
        <v>-3.9105243076896008E-2</v>
      </c>
      <c r="E1518">
        <v>-7.9392448140631379E-3</v>
      </c>
      <c r="F1518">
        <f t="shared" si="57"/>
        <v>-1.7720630869553222E-2</v>
      </c>
      <c r="G1518">
        <f t="shared" si="56"/>
        <v>-2.9478157361765754E-2</v>
      </c>
      <c r="AI1518" s="3"/>
      <c r="AJ1518" s="3"/>
      <c r="AK1518" s="3"/>
      <c r="AL1518" s="3"/>
    </row>
    <row r="1519" spans="1:38" x14ac:dyDescent="0.35">
      <c r="A1519" t="s">
        <v>88</v>
      </c>
      <c r="E1519">
        <v>-2.3159120122183061E-2</v>
      </c>
      <c r="F1519">
        <f t="shared" si="57"/>
        <v>-1.7725711406355801E-2</v>
      </c>
      <c r="G1519">
        <f t="shared" si="56"/>
        <v>-2.9478157361765754E-2</v>
      </c>
    </row>
    <row r="1520" spans="1:38" x14ac:dyDescent="0.35">
      <c r="A1520" t="s">
        <v>88</v>
      </c>
      <c r="E1520">
        <v>-1.8884100137844438E-2</v>
      </c>
      <c r="F1520">
        <f t="shared" si="57"/>
        <v>-1.7629181207106819E-2</v>
      </c>
      <c r="G1520">
        <f t="shared" si="56"/>
        <v>-2.9430070936417262E-2</v>
      </c>
    </row>
    <row r="1521" spans="1:7" x14ac:dyDescent="0.35">
      <c r="A1521" t="s">
        <v>88</v>
      </c>
      <c r="E1521">
        <v>2.9886628943974038E-3</v>
      </c>
      <c r="F1521">
        <f t="shared" si="57"/>
        <v>-1.7397749407838378E-2</v>
      </c>
      <c r="G1521">
        <f t="shared" si="56"/>
        <v>-2.9522579452194216E-2</v>
      </c>
    </row>
    <row r="1522" spans="1:7" x14ac:dyDescent="0.35">
      <c r="A1522" t="s">
        <v>88</v>
      </c>
      <c r="E1522">
        <v>-8.9581890372898813E-3</v>
      </c>
      <c r="F1522">
        <f t="shared" si="57"/>
        <v>-1.7409930028852508E-2</v>
      </c>
      <c r="G1522">
        <f t="shared" si="56"/>
        <v>-2.9522579452194216E-2</v>
      </c>
    </row>
    <row r="1523" spans="1:7" x14ac:dyDescent="0.35">
      <c r="A1523" t="s">
        <v>88</v>
      </c>
      <c r="E1523">
        <v>-3.3269553349391814E-2</v>
      </c>
      <c r="F1523">
        <f t="shared" si="57"/>
        <v>-1.7422110649866634E-2</v>
      </c>
      <c r="G1523">
        <f t="shared" si="56"/>
        <v>-2.9522579452194216E-2</v>
      </c>
    </row>
    <row r="1524" spans="1:7" x14ac:dyDescent="0.35">
      <c r="A1524" t="s">
        <v>88</v>
      </c>
      <c r="E1524">
        <v>-1.7629181207106819E-2</v>
      </c>
      <c r="F1524">
        <f t="shared" si="57"/>
        <v>-1.7385261108977087E-2</v>
      </c>
      <c r="G1524">
        <f t="shared" si="56"/>
        <v>-2.9383246254276962E-2</v>
      </c>
    </row>
    <row r="1525" spans="1:7" x14ac:dyDescent="0.35">
      <c r="A1525" t="s">
        <v>88</v>
      </c>
      <c r="E1525">
        <v>1.9021304455425814E-2</v>
      </c>
      <c r="F1525">
        <f t="shared" si="57"/>
        <v>-1.7370089207487709E-2</v>
      </c>
      <c r="G1525">
        <f t="shared" si="56"/>
        <v>-2.9381105929561249E-2</v>
      </c>
    </row>
    <row r="1526" spans="1:7" x14ac:dyDescent="0.35">
      <c r="A1526" t="s">
        <v>88</v>
      </c>
      <c r="E1526">
        <v>-3.9753653046618695E-2</v>
      </c>
      <c r="F1526">
        <f t="shared" si="57"/>
        <v>-1.7371095539622881E-2</v>
      </c>
      <c r="G1526">
        <f t="shared" si="56"/>
        <v>-2.9381105929561249E-2</v>
      </c>
    </row>
    <row r="1527" spans="1:7" x14ac:dyDescent="0.35">
      <c r="A1527" t="s">
        <v>88</v>
      </c>
      <c r="E1527">
        <v>2.7891023608028875E-2</v>
      </c>
      <c r="F1527">
        <f t="shared" si="57"/>
        <v>-1.734737661393923E-2</v>
      </c>
      <c r="G1527">
        <f t="shared" si="56"/>
        <v>-2.9184714740966452E-2</v>
      </c>
    </row>
    <row r="1528" spans="1:7" x14ac:dyDescent="0.35">
      <c r="A1528" t="s">
        <v>88</v>
      </c>
      <c r="E1528">
        <v>2.7804862038051829E-2</v>
      </c>
      <c r="F1528">
        <f t="shared" si="57"/>
        <v>-1.7348736685698665E-2</v>
      </c>
      <c r="G1528">
        <f t="shared" si="56"/>
        <v>-2.9184714740966452E-2</v>
      </c>
    </row>
    <row r="1529" spans="1:7" x14ac:dyDescent="0.35">
      <c r="A1529" t="s">
        <v>88</v>
      </c>
      <c r="E1529">
        <v>-4.4596749852620944E-3</v>
      </c>
      <c r="F1529">
        <f t="shared" si="57"/>
        <v>-1.7350096757458095E-2</v>
      </c>
      <c r="G1529">
        <f t="shared" si="56"/>
        <v>-2.9184714740966452E-2</v>
      </c>
    </row>
    <row r="1530" spans="1:7" x14ac:dyDescent="0.35">
      <c r="A1530" t="s">
        <v>88</v>
      </c>
      <c r="E1530">
        <v>2.6740627201687066E-2</v>
      </c>
      <c r="F1530">
        <f t="shared" si="57"/>
        <v>-1.7351456829217529E-2</v>
      </c>
      <c r="G1530">
        <f t="shared" si="56"/>
        <v>-2.9184714740966452E-2</v>
      </c>
    </row>
    <row r="1531" spans="1:7" x14ac:dyDescent="0.35">
      <c r="A1531" t="s">
        <v>88</v>
      </c>
      <c r="E1531">
        <v>-8.872977189588831E-4</v>
      </c>
      <c r="F1531">
        <f t="shared" si="57"/>
        <v>-1.735281690097696E-2</v>
      </c>
      <c r="G1531">
        <f t="shared" si="56"/>
        <v>-2.9184714740966452E-2</v>
      </c>
    </row>
    <row r="1532" spans="1:7" x14ac:dyDescent="0.35">
      <c r="A1532" t="s">
        <v>88</v>
      </c>
      <c r="E1532">
        <v>-8.3591066322543876E-3</v>
      </c>
      <c r="F1532">
        <f t="shared" si="57"/>
        <v>-1.735417697273639E-2</v>
      </c>
      <c r="G1532">
        <f t="shared" si="56"/>
        <v>-2.9184714740966452E-2</v>
      </c>
    </row>
    <row r="1533" spans="1:7" x14ac:dyDescent="0.35">
      <c r="A1533" t="s">
        <v>88</v>
      </c>
      <c r="E1533">
        <v>2.1658187881746203E-2</v>
      </c>
      <c r="F1533">
        <f t="shared" si="57"/>
        <v>-1.7355537044495821E-2</v>
      </c>
      <c r="G1533">
        <f t="shared" si="56"/>
        <v>-2.9184714740966452E-2</v>
      </c>
    </row>
    <row r="1534" spans="1:7" x14ac:dyDescent="0.35">
      <c r="A1534" t="s">
        <v>88</v>
      </c>
      <c r="E1534">
        <v>-1.5986487860903901E-2</v>
      </c>
      <c r="F1534">
        <f t="shared" si="57"/>
        <v>-1.7356897116255255E-2</v>
      </c>
      <c r="G1534">
        <f t="shared" si="56"/>
        <v>-2.9184714740966452E-2</v>
      </c>
    </row>
    <row r="1535" spans="1:7" x14ac:dyDescent="0.35">
      <c r="A1535" t="s">
        <v>88</v>
      </c>
      <c r="E1535">
        <v>-2.3527528831119481E-2</v>
      </c>
      <c r="F1535">
        <f t="shared" si="57"/>
        <v>-1.7358257188014686E-2</v>
      </c>
      <c r="G1535">
        <f t="shared" si="56"/>
        <v>-2.9184714740966452E-2</v>
      </c>
    </row>
    <row r="1536" spans="1:7" x14ac:dyDescent="0.35">
      <c r="A1536" t="s">
        <v>88</v>
      </c>
      <c r="E1536">
        <v>2.0072071604380924E-2</v>
      </c>
      <c r="F1536">
        <f t="shared" si="57"/>
        <v>-1.7327164554104952E-2</v>
      </c>
      <c r="G1536">
        <f t="shared" si="56"/>
        <v>-2.9130419366234023E-2</v>
      </c>
    </row>
    <row r="1537" spans="1:38" x14ac:dyDescent="0.35">
      <c r="A1537" t="s">
        <v>88</v>
      </c>
      <c r="E1537">
        <v>1.7821633189873905E-2</v>
      </c>
      <c r="F1537">
        <f t="shared" si="57"/>
        <v>-1.7329837443484517E-2</v>
      </c>
      <c r="G1537">
        <f t="shared" si="56"/>
        <v>-2.9130419366234023E-2</v>
      </c>
    </row>
    <row r="1538" spans="1:38" x14ac:dyDescent="0.35">
      <c r="A1538" t="s">
        <v>88</v>
      </c>
      <c r="E1538">
        <v>5.6477611054001949E-3</v>
      </c>
      <c r="F1538">
        <f t="shared" si="57"/>
        <v>-1.7332510332864082E-2</v>
      </c>
      <c r="G1538">
        <f t="shared" si="56"/>
        <v>-2.9130419366234023E-2</v>
      </c>
    </row>
    <row r="1539" spans="1:38" x14ac:dyDescent="0.35">
      <c r="A1539" t="s">
        <v>89</v>
      </c>
      <c r="B1539" s="3" cm="1">
        <f t="array" ref="B1539">_xlfn.STDEV.S(_xlfn._xlws.FILTER($E$1000:$E$1998, $A$1000:$A$1998="2016-03"))</f>
        <v>1.1852670824815318E-2</v>
      </c>
      <c r="C1539" s="3" cm="1">
        <f t="array" ref="C1539">AVERAGE(_xlfn._xlws.FILTER($E$1000:$E$1998, $A$1000:$A$1998="2016-03"))</f>
        <v>9.4718188549454657E-4</v>
      </c>
      <c r="D1539" s="3" cm="1">
        <f t="array" ref="D1539">_xlfn.PERCENTILE.EXC(_xlfn._xlws.FILTER($E$1498:$E$2489, $A$1498:$A$2489="2016-03"), 0.05)</f>
        <v>-1.8143355671686016E-2</v>
      </c>
      <c r="E1539">
        <v>1.7044777136569732E-2</v>
      </c>
      <c r="F1539">
        <f t="shared" si="57"/>
        <v>-1.7335183222243644E-2</v>
      </c>
      <c r="G1539">
        <f t="shared" ref="G1539:G1602" si="58">AVERAGEIFS(E1539:E5355,E1539:E5355,"&lt;=" &amp; F1539)</f>
        <v>-2.9130419366234023E-2</v>
      </c>
      <c r="AI1539" s="3"/>
      <c r="AJ1539" s="3"/>
      <c r="AK1539" s="3"/>
      <c r="AL1539" s="3"/>
    </row>
    <row r="1540" spans="1:38" x14ac:dyDescent="0.35">
      <c r="A1540" t="s">
        <v>89</v>
      </c>
      <c r="E1540">
        <v>8.5569589654098509E-3</v>
      </c>
      <c r="F1540">
        <f t="shared" ref="F1540:F1603" si="59">_xlfn.PERCENTILE.EXC(E1540:E5355,0.05)</f>
        <v>-1.7337856111623209E-2</v>
      </c>
      <c r="G1540">
        <f t="shared" si="58"/>
        <v>-2.9130419366234023E-2</v>
      </c>
    </row>
    <row r="1541" spans="1:38" x14ac:dyDescent="0.35">
      <c r="A1541" t="s">
        <v>89</v>
      </c>
      <c r="E1541">
        <v>-3.0720768617080404E-3</v>
      </c>
      <c r="F1541">
        <f t="shared" si="59"/>
        <v>-1.733921618338264E-2</v>
      </c>
      <c r="G1541">
        <f t="shared" si="58"/>
        <v>-2.923477833308899E-2</v>
      </c>
    </row>
    <row r="1542" spans="1:38" x14ac:dyDescent="0.35">
      <c r="A1542" t="s">
        <v>89</v>
      </c>
      <c r="E1542">
        <v>8.0923118796664729E-3</v>
      </c>
      <c r="F1542">
        <f t="shared" si="59"/>
        <v>-1.7340576255142074E-2</v>
      </c>
      <c r="G1542">
        <f t="shared" si="58"/>
        <v>-2.923477833308899E-2</v>
      </c>
    </row>
    <row r="1543" spans="1:38" x14ac:dyDescent="0.35">
      <c r="A1543" t="s">
        <v>89</v>
      </c>
      <c r="E1543">
        <v>-5.3677313106912268E-3</v>
      </c>
      <c r="F1543">
        <f t="shared" si="59"/>
        <v>-1.7341936326901505E-2</v>
      </c>
      <c r="G1543">
        <f t="shared" si="58"/>
        <v>-2.923477833308899E-2</v>
      </c>
    </row>
    <row r="1544" spans="1:38" x14ac:dyDescent="0.35">
      <c r="A1544" t="s">
        <v>89</v>
      </c>
      <c r="E1544">
        <v>-6.3356291022460248E-3</v>
      </c>
      <c r="F1544">
        <f t="shared" si="59"/>
        <v>-1.7343296398660935E-2</v>
      </c>
      <c r="G1544">
        <f t="shared" si="58"/>
        <v>-2.923477833308899E-2</v>
      </c>
    </row>
    <row r="1545" spans="1:38" x14ac:dyDescent="0.35">
      <c r="A1545" t="s">
        <v>89</v>
      </c>
      <c r="E1545">
        <v>4.7090657441270093E-3</v>
      </c>
      <c r="F1545">
        <f t="shared" si="59"/>
        <v>-1.7344656470420369E-2</v>
      </c>
      <c r="G1545">
        <f t="shared" si="58"/>
        <v>-2.923477833308899E-2</v>
      </c>
    </row>
    <row r="1546" spans="1:38" x14ac:dyDescent="0.35">
      <c r="A1546" t="s">
        <v>89</v>
      </c>
      <c r="E1546">
        <v>-1.5166585465446161E-2</v>
      </c>
      <c r="F1546">
        <f t="shared" si="59"/>
        <v>-1.73460165421798E-2</v>
      </c>
      <c r="G1546">
        <f t="shared" si="58"/>
        <v>-2.923477833308899E-2</v>
      </c>
    </row>
    <row r="1547" spans="1:38" x14ac:dyDescent="0.35">
      <c r="A1547" t="s">
        <v>89</v>
      </c>
      <c r="E1547">
        <v>3.4090036594080116E-2</v>
      </c>
      <c r="F1547">
        <f t="shared" si="59"/>
        <v>-1.734737661393923E-2</v>
      </c>
      <c r="G1547">
        <f t="shared" si="58"/>
        <v>-2.923477833308899E-2</v>
      </c>
    </row>
    <row r="1548" spans="1:38" x14ac:dyDescent="0.35">
      <c r="A1548" t="s">
        <v>89</v>
      </c>
      <c r="E1548">
        <v>5.8970812078773388E-3</v>
      </c>
      <c r="F1548">
        <f t="shared" si="59"/>
        <v>-1.7348736685698665E-2</v>
      </c>
      <c r="G1548">
        <f t="shared" si="58"/>
        <v>-2.923477833308899E-2</v>
      </c>
    </row>
    <row r="1549" spans="1:38" x14ac:dyDescent="0.35">
      <c r="A1549" t="s">
        <v>89</v>
      </c>
      <c r="E1549">
        <v>-8.0433087924676079E-3</v>
      </c>
      <c r="F1549">
        <f t="shared" si="59"/>
        <v>-1.7350096757458095E-2</v>
      </c>
      <c r="G1549">
        <f t="shared" si="58"/>
        <v>-2.923477833308899E-2</v>
      </c>
    </row>
    <row r="1550" spans="1:38" x14ac:dyDescent="0.35">
      <c r="A1550" t="s">
        <v>89</v>
      </c>
      <c r="E1550">
        <v>-1.6837273077085387E-3</v>
      </c>
      <c r="F1550">
        <f t="shared" si="59"/>
        <v>-1.7351456829217529E-2</v>
      </c>
      <c r="G1550">
        <f t="shared" si="58"/>
        <v>-2.923477833308899E-2</v>
      </c>
    </row>
    <row r="1551" spans="1:38" x14ac:dyDescent="0.35">
      <c r="A1551" t="s">
        <v>89</v>
      </c>
      <c r="E1551">
        <v>-6.2078936169615278E-3</v>
      </c>
      <c r="F1551">
        <f t="shared" si="59"/>
        <v>-1.735281690097696E-2</v>
      </c>
      <c r="G1551">
        <f t="shared" si="58"/>
        <v>-2.923477833308899E-2</v>
      </c>
    </row>
    <row r="1552" spans="1:38" x14ac:dyDescent="0.35">
      <c r="A1552" t="s">
        <v>89</v>
      </c>
      <c r="E1552">
        <v>5.4630170588725619E-3</v>
      </c>
      <c r="F1552">
        <f t="shared" si="59"/>
        <v>-1.735417697273639E-2</v>
      </c>
      <c r="G1552">
        <f t="shared" si="58"/>
        <v>-2.923477833308899E-2</v>
      </c>
    </row>
    <row r="1553" spans="1:38" x14ac:dyDescent="0.35">
      <c r="A1553" t="s">
        <v>89</v>
      </c>
      <c r="E1553">
        <v>-3.6015191486102847E-3</v>
      </c>
      <c r="F1553">
        <f t="shared" si="59"/>
        <v>-1.7355537044495821E-2</v>
      </c>
      <c r="G1553">
        <f t="shared" si="58"/>
        <v>-2.923477833308899E-2</v>
      </c>
    </row>
    <row r="1554" spans="1:38" x14ac:dyDescent="0.35">
      <c r="A1554" t="s">
        <v>89</v>
      </c>
      <c r="E1554">
        <v>8.0655742077377136E-4</v>
      </c>
      <c r="F1554">
        <f t="shared" si="59"/>
        <v>-1.7356897116255255E-2</v>
      </c>
      <c r="G1554">
        <f t="shared" si="58"/>
        <v>-2.923477833308899E-2</v>
      </c>
    </row>
    <row r="1555" spans="1:38" x14ac:dyDescent="0.35">
      <c r="A1555" t="s">
        <v>89</v>
      </c>
      <c r="E1555">
        <v>-2.8915366449845776E-3</v>
      </c>
      <c r="F1555">
        <f t="shared" si="59"/>
        <v>-1.7358257188014686E-2</v>
      </c>
      <c r="G1555">
        <f t="shared" si="58"/>
        <v>-2.923477833308899E-2</v>
      </c>
    </row>
    <row r="1556" spans="1:38" x14ac:dyDescent="0.35">
      <c r="A1556" t="s">
        <v>89</v>
      </c>
      <c r="E1556">
        <v>-1.8474107916823777E-2</v>
      </c>
      <c r="F1556">
        <f t="shared" si="59"/>
        <v>-1.735961725977412E-2</v>
      </c>
      <c r="G1556">
        <f t="shared" si="58"/>
        <v>-2.923477833308899E-2</v>
      </c>
    </row>
    <row r="1557" spans="1:38" x14ac:dyDescent="0.35">
      <c r="A1557" t="s">
        <v>89</v>
      </c>
      <c r="E1557">
        <v>6.0551623690538042E-3</v>
      </c>
      <c r="F1557">
        <f t="shared" si="59"/>
        <v>-1.7329837443484517E-2</v>
      </c>
      <c r="G1557">
        <f t="shared" si="58"/>
        <v>-2.9224723007379251E-2</v>
      </c>
    </row>
    <row r="1558" spans="1:38" x14ac:dyDescent="0.35">
      <c r="A1558" t="s">
        <v>89</v>
      </c>
      <c r="E1558">
        <v>1.2970985150914249E-2</v>
      </c>
      <c r="F1558">
        <f t="shared" si="59"/>
        <v>-1.7332510332864082E-2</v>
      </c>
      <c r="G1558">
        <f t="shared" si="58"/>
        <v>-2.9224723007379251E-2</v>
      </c>
    </row>
    <row r="1559" spans="1:38" x14ac:dyDescent="0.35">
      <c r="A1559" t="s">
        <v>89</v>
      </c>
      <c r="E1559">
        <v>-1.2951017764311661E-2</v>
      </c>
      <c r="F1559">
        <f t="shared" si="59"/>
        <v>-1.7335183222243644E-2</v>
      </c>
      <c r="G1559">
        <f t="shared" si="58"/>
        <v>-2.9224723007379251E-2</v>
      </c>
    </row>
    <row r="1560" spans="1:38" x14ac:dyDescent="0.35">
      <c r="A1560" t="s">
        <v>90</v>
      </c>
      <c r="B1560" s="3" cm="1">
        <f t="array" ref="B1560">_xlfn.STDEV.S(_xlfn._xlws.FILTER($E$1000:$E$1998, $A$1000:$A$1998="2016-04"))</f>
        <v>1.400403593813828E-2</v>
      </c>
      <c r="C1560" s="3" cm="1">
        <f t="array" ref="C1560">AVERAGE(_xlfn._xlws.FILTER($E$1000:$E$1998, $A$1000:$A$1998="2016-04"))</f>
        <v>3.6749584151307197E-4</v>
      </c>
      <c r="D1560" s="3" cm="1">
        <f t="array" ref="D1560">_xlfn.PERCENTILE.EXC(_xlfn._xlws.FILTER($E$1498:$E$2489, $A$1498:$A$2489="2016-04"), 0.05)</f>
        <v>-3.0898333063738577E-2</v>
      </c>
      <c r="E1560">
        <v>-1.7337856111623209E-2</v>
      </c>
      <c r="F1560">
        <f t="shared" si="59"/>
        <v>-1.7337856111623209E-2</v>
      </c>
      <c r="G1560">
        <f t="shared" si="58"/>
        <v>-2.9224723007379251E-2</v>
      </c>
      <c r="AI1560" s="3"/>
      <c r="AJ1560" s="3"/>
      <c r="AK1560" s="3"/>
      <c r="AL1560" s="3"/>
    </row>
    <row r="1561" spans="1:38" x14ac:dyDescent="0.35">
      <c r="A1561" t="s">
        <v>90</v>
      </c>
      <c r="E1561">
        <v>3.0428250052697684E-3</v>
      </c>
      <c r="F1561">
        <f t="shared" si="59"/>
        <v>-1.7288431285170925E-2</v>
      </c>
      <c r="G1561">
        <f t="shared" si="58"/>
        <v>-2.9330855747519931E-2</v>
      </c>
    </row>
    <row r="1562" spans="1:38" x14ac:dyDescent="0.35">
      <c r="A1562" t="s">
        <v>90</v>
      </c>
      <c r="E1562">
        <v>-2.4581640042460943E-2</v>
      </c>
      <c r="F1562">
        <f t="shared" si="59"/>
        <v>-1.7292464246309921E-2</v>
      </c>
      <c r="G1562">
        <f t="shared" si="58"/>
        <v>-2.9330855747519931E-2</v>
      </c>
    </row>
    <row r="1563" spans="1:38" x14ac:dyDescent="0.35">
      <c r="A1563" t="s">
        <v>90</v>
      </c>
      <c r="E1563">
        <v>6.5555236656111302E-3</v>
      </c>
      <c r="F1563">
        <f t="shared" si="59"/>
        <v>-1.7276835726880813E-2</v>
      </c>
      <c r="G1563">
        <f t="shared" si="58"/>
        <v>-2.9265701803605385E-2</v>
      </c>
    </row>
    <row r="1564" spans="1:38" x14ac:dyDescent="0.35">
      <c r="A1564" t="s">
        <v>90</v>
      </c>
      <c r="E1564">
        <v>-1.3074207195359892E-2</v>
      </c>
      <c r="F1564">
        <f t="shared" si="59"/>
        <v>-1.727728058553676E-2</v>
      </c>
      <c r="G1564">
        <f t="shared" si="58"/>
        <v>-2.9265701803605385E-2</v>
      </c>
    </row>
    <row r="1565" spans="1:38" x14ac:dyDescent="0.35">
      <c r="A1565" t="s">
        <v>90</v>
      </c>
      <c r="E1565">
        <v>1.3974343650850691E-2</v>
      </c>
      <c r="F1565">
        <f t="shared" si="59"/>
        <v>-1.7277725444192708E-2</v>
      </c>
      <c r="G1565">
        <f t="shared" si="58"/>
        <v>-2.9265701803605385E-2</v>
      </c>
    </row>
    <row r="1566" spans="1:38" x14ac:dyDescent="0.35">
      <c r="A1566" t="s">
        <v>90</v>
      </c>
      <c r="E1566">
        <v>4.1979359857854236E-3</v>
      </c>
      <c r="F1566">
        <f t="shared" si="59"/>
        <v>-1.7278170302848655E-2</v>
      </c>
      <c r="G1566">
        <f t="shared" si="58"/>
        <v>-2.9265701803605385E-2</v>
      </c>
    </row>
    <row r="1567" spans="1:38" x14ac:dyDescent="0.35">
      <c r="A1567" t="s">
        <v>90</v>
      </c>
      <c r="E1567">
        <v>6.0890149809646925E-3</v>
      </c>
      <c r="F1567">
        <f t="shared" si="59"/>
        <v>-1.7278615161504605E-2</v>
      </c>
      <c r="G1567">
        <f t="shared" si="58"/>
        <v>-2.9265701803605385E-2</v>
      </c>
    </row>
    <row r="1568" spans="1:38" x14ac:dyDescent="0.35">
      <c r="A1568" t="s">
        <v>90</v>
      </c>
      <c r="E1568">
        <v>3.247081940056671E-2</v>
      </c>
      <c r="F1568">
        <f t="shared" si="59"/>
        <v>-1.7279060020160553E-2</v>
      </c>
      <c r="G1568">
        <f t="shared" si="58"/>
        <v>-2.9265701803605385E-2</v>
      </c>
    </row>
    <row r="1569" spans="1:38" x14ac:dyDescent="0.35">
      <c r="A1569" t="s">
        <v>90</v>
      </c>
      <c r="E1569">
        <v>7.1048896836617605E-3</v>
      </c>
      <c r="F1569">
        <f t="shared" si="59"/>
        <v>-1.72795048788165E-2</v>
      </c>
      <c r="G1569">
        <f t="shared" si="58"/>
        <v>-2.9265701803605385E-2</v>
      </c>
    </row>
    <row r="1570" spans="1:38" x14ac:dyDescent="0.35">
      <c r="A1570" t="s">
        <v>90</v>
      </c>
      <c r="E1570">
        <v>-2.13239222612144E-3</v>
      </c>
      <c r="F1570">
        <f t="shared" si="59"/>
        <v>-1.7279949737472447E-2</v>
      </c>
      <c r="G1570">
        <f t="shared" si="58"/>
        <v>-2.9265701803605385E-2</v>
      </c>
    </row>
    <row r="1571" spans="1:38" x14ac:dyDescent="0.35">
      <c r="A1571" t="s">
        <v>90</v>
      </c>
      <c r="E1571">
        <v>3.1675129492848473E-3</v>
      </c>
      <c r="F1571">
        <f t="shared" si="59"/>
        <v>-1.7280394596128398E-2</v>
      </c>
      <c r="G1571">
        <f t="shared" si="58"/>
        <v>-2.9265701803605385E-2</v>
      </c>
    </row>
    <row r="1572" spans="1:38" x14ac:dyDescent="0.35">
      <c r="A1572" t="s">
        <v>90</v>
      </c>
      <c r="E1572">
        <v>1.5852636165816079E-2</v>
      </c>
      <c r="F1572">
        <f t="shared" si="59"/>
        <v>-1.7280839454784345E-2</v>
      </c>
      <c r="G1572">
        <f t="shared" si="58"/>
        <v>-2.9265701803605385E-2</v>
      </c>
    </row>
    <row r="1573" spans="1:38" x14ac:dyDescent="0.35">
      <c r="A1573" t="s">
        <v>90</v>
      </c>
      <c r="E1573">
        <v>9.4413467026557094E-3</v>
      </c>
      <c r="F1573">
        <f t="shared" si="59"/>
        <v>-1.7281284313440292E-2</v>
      </c>
      <c r="G1573">
        <f t="shared" si="58"/>
        <v>-2.9265701803605385E-2</v>
      </c>
    </row>
    <row r="1574" spans="1:38" x14ac:dyDescent="0.35">
      <c r="A1574" t="s">
        <v>90</v>
      </c>
      <c r="E1574">
        <v>2.9137910835229587E-3</v>
      </c>
      <c r="F1574">
        <f t="shared" si="59"/>
        <v>-1.7281729172096239E-2</v>
      </c>
      <c r="G1574">
        <f t="shared" si="58"/>
        <v>-2.9265701803605385E-2</v>
      </c>
    </row>
    <row r="1575" spans="1:38" x14ac:dyDescent="0.35">
      <c r="A1575" t="s">
        <v>90</v>
      </c>
      <c r="E1575">
        <v>-3.3593926848768572E-3</v>
      </c>
      <c r="F1575">
        <f t="shared" si="59"/>
        <v>-1.728217403075219E-2</v>
      </c>
      <c r="G1575">
        <f t="shared" si="58"/>
        <v>-2.9265701803605385E-2</v>
      </c>
    </row>
    <row r="1576" spans="1:38" x14ac:dyDescent="0.35">
      <c r="A1576" t="s">
        <v>90</v>
      </c>
      <c r="E1576">
        <v>-7.5095340072876314E-3</v>
      </c>
      <c r="F1576">
        <f t="shared" si="59"/>
        <v>-1.7282618889408137E-2</v>
      </c>
      <c r="G1576">
        <f t="shared" si="58"/>
        <v>-2.9265701803605385E-2</v>
      </c>
    </row>
    <row r="1577" spans="1:38" x14ac:dyDescent="0.35">
      <c r="A1577" t="s">
        <v>90</v>
      </c>
      <c r="E1577">
        <v>1.1764876952260717E-3</v>
      </c>
      <c r="F1577">
        <f t="shared" si="59"/>
        <v>-1.7283063748064084E-2</v>
      </c>
      <c r="G1577">
        <f t="shared" si="58"/>
        <v>-2.9265701803605385E-2</v>
      </c>
    </row>
    <row r="1578" spans="1:38" x14ac:dyDescent="0.35">
      <c r="A1578" t="s">
        <v>90</v>
      </c>
      <c r="E1578">
        <v>2.9239973997768711E-3</v>
      </c>
      <c r="F1578">
        <f t="shared" si="59"/>
        <v>-1.7283508606720031E-2</v>
      </c>
      <c r="G1578">
        <f t="shared" si="58"/>
        <v>-2.9265701803605385E-2</v>
      </c>
    </row>
    <row r="1579" spans="1:38" x14ac:dyDescent="0.35">
      <c r="A1579" t="s">
        <v>90</v>
      </c>
      <c r="E1579">
        <v>-1.5985015856076832E-3</v>
      </c>
      <c r="F1579">
        <f t="shared" si="59"/>
        <v>-1.7283953465375982E-2</v>
      </c>
      <c r="G1579">
        <f t="shared" si="58"/>
        <v>-2.9265701803605385E-2</v>
      </c>
    </row>
    <row r="1580" spans="1:38" x14ac:dyDescent="0.35">
      <c r="A1580" t="s">
        <v>90</v>
      </c>
      <c r="E1580">
        <v>-3.1600187843880537E-2</v>
      </c>
      <c r="F1580">
        <f t="shared" si="59"/>
        <v>-1.7284398324031929E-2</v>
      </c>
      <c r="G1580">
        <f t="shared" si="58"/>
        <v>-2.9265701803605385E-2</v>
      </c>
    </row>
    <row r="1581" spans="1:38" x14ac:dyDescent="0.35">
      <c r="A1581" t="s">
        <v>91</v>
      </c>
      <c r="B1581" s="3" cm="1">
        <f t="array" ref="B1581">_xlfn.STDEV.S(_xlfn._xlws.FILTER($E$1000:$E$1998, $A$1000:$A$1998="2016-05"))</f>
        <v>1.1246173797762294E-2</v>
      </c>
      <c r="C1581" s="3" cm="1">
        <f t="array" ref="C1581">AVERAGE(_xlfn._xlws.FILTER($E$1000:$E$1998, $A$1000:$A$1998="2016-05"))</f>
        <v>6.0946520017330296E-4</v>
      </c>
      <c r="D1581" s="3" cm="1">
        <f t="array" ref="D1581">_xlfn.PERCENTILE.EXC(_xlfn._xlws.FILTER($E$1498:$E$2489, $A$1498:$A$2489="2016-05"), 0.05)</f>
        <v>-1.7996590606026562E-2</v>
      </c>
      <c r="E1581">
        <v>-1.7996590606026562E-2</v>
      </c>
      <c r="F1581">
        <f t="shared" si="59"/>
        <v>-1.7275946009568915E-2</v>
      </c>
      <c r="G1581">
        <f t="shared" si="58"/>
        <v>-2.9244670397837139E-2</v>
      </c>
      <c r="AI1581" s="3"/>
      <c r="AJ1581" s="3"/>
      <c r="AK1581" s="3"/>
      <c r="AL1581" s="3"/>
    </row>
    <row r="1582" spans="1:38" x14ac:dyDescent="0.35">
      <c r="A1582" t="s">
        <v>91</v>
      </c>
      <c r="E1582">
        <v>-1.1990774400303932E-2</v>
      </c>
      <c r="F1582">
        <f t="shared" si="59"/>
        <v>-1.7177594490311258E-2</v>
      </c>
      <c r="G1582">
        <f t="shared" si="58"/>
        <v>-2.9238174096439723E-2</v>
      </c>
    </row>
    <row r="1583" spans="1:38" x14ac:dyDescent="0.35">
      <c r="A1583" t="s">
        <v>91</v>
      </c>
      <c r="E1583">
        <v>5.4430101189020526E-4</v>
      </c>
      <c r="F1583">
        <f t="shared" si="59"/>
        <v>-1.7183033749233575E-2</v>
      </c>
      <c r="G1583">
        <f t="shared" si="58"/>
        <v>-2.9238174096439723E-2</v>
      </c>
    </row>
    <row r="1584" spans="1:38" x14ac:dyDescent="0.35">
      <c r="A1584" t="s">
        <v>91</v>
      </c>
      <c r="E1584">
        <v>-1.1944485093426432E-3</v>
      </c>
      <c r="F1584">
        <f t="shared" si="59"/>
        <v>-1.7188473008155892E-2</v>
      </c>
      <c r="G1584">
        <f t="shared" si="58"/>
        <v>-2.9238174096439723E-2</v>
      </c>
    </row>
    <row r="1585" spans="1:38" x14ac:dyDescent="0.35">
      <c r="A1585" t="s">
        <v>91</v>
      </c>
      <c r="E1585">
        <v>6.4453179086436411E-3</v>
      </c>
      <c r="F1585">
        <f t="shared" si="59"/>
        <v>-1.7193912267078209E-2</v>
      </c>
      <c r="G1585">
        <f t="shared" si="58"/>
        <v>-2.9238174096439723E-2</v>
      </c>
    </row>
    <row r="1586" spans="1:38" x14ac:dyDescent="0.35">
      <c r="A1586" t="s">
        <v>91</v>
      </c>
      <c r="E1586">
        <v>7.7981119036496906E-3</v>
      </c>
      <c r="F1586">
        <f t="shared" si="59"/>
        <v>-1.7199351526000526E-2</v>
      </c>
      <c r="G1586">
        <f t="shared" si="58"/>
        <v>-2.9238174096439723E-2</v>
      </c>
    </row>
    <row r="1587" spans="1:38" x14ac:dyDescent="0.35">
      <c r="A1587" t="s">
        <v>91</v>
      </c>
      <c r="E1587">
        <v>-7.5004394966983971E-3</v>
      </c>
      <c r="F1587">
        <f t="shared" si="59"/>
        <v>-1.7204790784922843E-2</v>
      </c>
      <c r="G1587">
        <f t="shared" si="58"/>
        <v>-2.9238174096439723E-2</v>
      </c>
    </row>
    <row r="1588" spans="1:38" x14ac:dyDescent="0.35">
      <c r="A1588" t="s">
        <v>91</v>
      </c>
      <c r="E1588">
        <v>-7.2129935597766877E-3</v>
      </c>
      <c r="F1588">
        <f t="shared" si="59"/>
        <v>-1.721023004384516E-2</v>
      </c>
      <c r="G1588">
        <f t="shared" si="58"/>
        <v>-2.9238174096439723E-2</v>
      </c>
    </row>
    <row r="1589" spans="1:38" x14ac:dyDescent="0.35">
      <c r="A1589" t="s">
        <v>91</v>
      </c>
      <c r="E1589">
        <v>7.1859360930979941E-3</v>
      </c>
      <c r="F1589">
        <f t="shared" si="59"/>
        <v>-1.7215669302767477E-2</v>
      </c>
      <c r="G1589">
        <f t="shared" si="58"/>
        <v>-2.9238174096439723E-2</v>
      </c>
    </row>
    <row r="1590" spans="1:38" x14ac:dyDescent="0.35">
      <c r="A1590" t="s">
        <v>91</v>
      </c>
      <c r="E1590">
        <v>-6.2903958573734282E-3</v>
      </c>
      <c r="F1590">
        <f t="shared" si="59"/>
        <v>-1.7221108561689798E-2</v>
      </c>
      <c r="G1590">
        <f t="shared" si="58"/>
        <v>-2.9238174096439723E-2</v>
      </c>
    </row>
    <row r="1591" spans="1:38" x14ac:dyDescent="0.35">
      <c r="A1591" t="s">
        <v>91</v>
      </c>
      <c r="E1591">
        <v>6.2227489875373082E-3</v>
      </c>
      <c r="F1591">
        <f t="shared" si="59"/>
        <v>-1.7226547820612111E-2</v>
      </c>
      <c r="G1591">
        <f t="shared" si="58"/>
        <v>-2.9238174096439723E-2</v>
      </c>
    </row>
    <row r="1592" spans="1:38" x14ac:dyDescent="0.35">
      <c r="A1592" t="s">
        <v>91</v>
      </c>
      <c r="E1592">
        <v>-1.266600204503123E-2</v>
      </c>
      <c r="F1592">
        <f t="shared" si="59"/>
        <v>-1.7231987079534428E-2</v>
      </c>
      <c r="G1592">
        <f t="shared" si="58"/>
        <v>-2.9238174096439723E-2</v>
      </c>
    </row>
    <row r="1593" spans="1:38" x14ac:dyDescent="0.35">
      <c r="A1593" t="s">
        <v>91</v>
      </c>
      <c r="E1593">
        <v>1.460227463367806E-2</v>
      </c>
      <c r="F1593">
        <f t="shared" si="59"/>
        <v>-1.7237426338456745E-2</v>
      </c>
      <c r="G1593">
        <f t="shared" si="58"/>
        <v>-2.9238174096439723E-2</v>
      </c>
    </row>
    <row r="1594" spans="1:38" x14ac:dyDescent="0.35">
      <c r="A1594" t="s">
        <v>91</v>
      </c>
      <c r="E1594">
        <v>-9.9168085803575615E-3</v>
      </c>
      <c r="F1594">
        <f t="shared" si="59"/>
        <v>-1.7242865597379062E-2</v>
      </c>
      <c r="G1594">
        <f t="shared" si="58"/>
        <v>-2.9238174096439723E-2</v>
      </c>
    </row>
    <row r="1595" spans="1:38" x14ac:dyDescent="0.35">
      <c r="A1595" t="s">
        <v>91</v>
      </c>
      <c r="E1595">
        <v>2.597802171368746E-2</v>
      </c>
      <c r="F1595">
        <f t="shared" si="59"/>
        <v>-1.7248304856301383E-2</v>
      </c>
      <c r="G1595">
        <f t="shared" si="58"/>
        <v>-2.9238174096439723E-2</v>
      </c>
    </row>
    <row r="1596" spans="1:38" x14ac:dyDescent="0.35">
      <c r="A1596" t="s">
        <v>91</v>
      </c>
      <c r="E1596">
        <v>1.6957710053608726E-2</v>
      </c>
      <c r="F1596">
        <f t="shared" si="59"/>
        <v>-1.72537441152237E-2</v>
      </c>
      <c r="G1596">
        <f t="shared" si="58"/>
        <v>-2.9238174096439723E-2</v>
      </c>
    </row>
    <row r="1597" spans="1:38" x14ac:dyDescent="0.35">
      <c r="A1597" t="s">
        <v>91</v>
      </c>
      <c r="E1597">
        <v>3.1339656260591757E-3</v>
      </c>
      <c r="F1597">
        <f t="shared" si="59"/>
        <v>-1.7259183374146017E-2</v>
      </c>
      <c r="G1597">
        <f t="shared" si="58"/>
        <v>-2.9238174096439723E-2</v>
      </c>
    </row>
    <row r="1598" spans="1:38" x14ac:dyDescent="0.35">
      <c r="A1598" t="s">
        <v>91</v>
      </c>
      <c r="E1598">
        <v>2.3643479221534041E-3</v>
      </c>
      <c r="F1598">
        <f t="shared" si="59"/>
        <v>-1.7264622633068334E-2</v>
      </c>
      <c r="G1598">
        <f t="shared" si="58"/>
        <v>-2.9238174096439723E-2</v>
      </c>
    </row>
    <row r="1599" spans="1:38" x14ac:dyDescent="0.35">
      <c r="A1599" t="s">
        <v>91</v>
      </c>
      <c r="E1599">
        <v>-4.8844439958024739E-3</v>
      </c>
      <c r="F1599">
        <f t="shared" si="59"/>
        <v>-1.7270061891990651E-2</v>
      </c>
      <c r="G1599">
        <f t="shared" si="58"/>
        <v>-2.9238174096439723E-2</v>
      </c>
    </row>
    <row r="1600" spans="1:38" x14ac:dyDescent="0.35">
      <c r="A1600" t="s">
        <v>92</v>
      </c>
      <c r="B1600" s="3" cm="1">
        <f t="array" ref="B1600">_xlfn.STDEV.S(_xlfn._xlws.FILTER($E$1000:$E$1998, $A$1000:$A$1998="2016-06"))</f>
        <v>2.5709474112425589E-2</v>
      </c>
      <c r="C1600" s="3" cm="1">
        <f t="array" ref="C1600">AVERAGE(_xlfn._xlws.FILTER($E$1000:$E$1998, $A$1000:$A$1998="2016-06"))</f>
        <v>-3.0488149577015049E-3</v>
      </c>
      <c r="D1600" s="3" cm="1">
        <f t="array" ref="D1600">_xlfn.PERCENTILE.EXC(_xlfn._xlws.FILTER($E$1498:$E$2489, $A$1498:$A$2489="2016-06"), 0.05)</f>
        <v>-8.0904421867446896E-2</v>
      </c>
      <c r="E1600">
        <v>-8.0986964015878262E-3</v>
      </c>
      <c r="F1600">
        <f t="shared" si="59"/>
        <v>-1.7275501150912968E-2</v>
      </c>
      <c r="G1600">
        <f t="shared" si="58"/>
        <v>-2.9238174096439723E-2</v>
      </c>
      <c r="AI1600" s="3"/>
      <c r="AJ1600" s="3"/>
      <c r="AK1600" s="3"/>
      <c r="AL1600" s="3"/>
    </row>
    <row r="1601" spans="1:7" x14ac:dyDescent="0.35">
      <c r="A1601" t="s">
        <v>92</v>
      </c>
      <c r="E1601">
        <v>-1.6170921231708183E-3</v>
      </c>
      <c r="F1601">
        <f t="shared" si="59"/>
        <v>-1.7275946009568915E-2</v>
      </c>
      <c r="G1601">
        <f t="shared" si="58"/>
        <v>-2.9346925668671781E-2</v>
      </c>
    </row>
    <row r="1602" spans="1:7" x14ac:dyDescent="0.35">
      <c r="A1602" t="s">
        <v>92</v>
      </c>
      <c r="E1602">
        <v>-1.204044780945427E-2</v>
      </c>
      <c r="F1602">
        <f t="shared" si="59"/>
        <v>-1.7276390868224863E-2</v>
      </c>
      <c r="G1602">
        <f t="shared" si="58"/>
        <v>-2.9346925668671781E-2</v>
      </c>
    </row>
    <row r="1603" spans="1:7" x14ac:dyDescent="0.35">
      <c r="A1603" t="s">
        <v>92</v>
      </c>
      <c r="E1603">
        <v>1.450133182973789E-3</v>
      </c>
      <c r="F1603">
        <f t="shared" si="59"/>
        <v>-1.7276835726880813E-2</v>
      </c>
      <c r="G1603">
        <f t="shared" ref="G1603:G1666" si="60">AVERAGEIFS(E1603:E5419,E1603:E5419,"&lt;=" &amp; F1603)</f>
        <v>-2.9346925668671781E-2</v>
      </c>
    </row>
    <row r="1604" spans="1:7" x14ac:dyDescent="0.35">
      <c r="A1604" t="s">
        <v>92</v>
      </c>
      <c r="E1604">
        <v>1.2839041817184845E-2</v>
      </c>
      <c r="F1604">
        <f t="shared" ref="F1604:F1667" si="61">_xlfn.PERCENTILE.EXC(E1604:E5419,0.05)</f>
        <v>-1.727728058553676E-2</v>
      </c>
      <c r="G1604">
        <f t="shared" si="60"/>
        <v>-2.9346925668671781E-2</v>
      </c>
    </row>
    <row r="1605" spans="1:7" x14ac:dyDescent="0.35">
      <c r="A1605" t="s">
        <v>92</v>
      </c>
      <c r="E1605">
        <v>-6.9071053175319237E-3</v>
      </c>
      <c r="F1605">
        <f t="shared" si="61"/>
        <v>-1.7277725444192708E-2</v>
      </c>
      <c r="G1605">
        <f t="shared" si="60"/>
        <v>-2.9346925668671781E-2</v>
      </c>
    </row>
    <row r="1606" spans="1:7" x14ac:dyDescent="0.35">
      <c r="A1606" t="s">
        <v>92</v>
      </c>
      <c r="E1606">
        <v>-1.0228437977140844E-2</v>
      </c>
      <c r="F1606">
        <f t="shared" si="61"/>
        <v>-1.7278170302848655E-2</v>
      </c>
      <c r="G1606">
        <f t="shared" si="60"/>
        <v>-2.9346925668671781E-2</v>
      </c>
    </row>
    <row r="1607" spans="1:7" x14ac:dyDescent="0.35">
      <c r="A1607" t="s">
        <v>92</v>
      </c>
      <c r="E1607">
        <v>-2.6414468301668704E-2</v>
      </c>
      <c r="F1607">
        <f t="shared" si="61"/>
        <v>-1.7278615161504605E-2</v>
      </c>
      <c r="G1607">
        <f t="shared" si="60"/>
        <v>-2.9346925668671781E-2</v>
      </c>
    </row>
    <row r="1608" spans="1:7" x14ac:dyDescent="0.35">
      <c r="A1608" t="s">
        <v>92</v>
      </c>
      <c r="E1608">
        <v>-1.9981131844912549E-2</v>
      </c>
      <c r="F1608">
        <f t="shared" si="61"/>
        <v>-1.721023004384516E-2</v>
      </c>
      <c r="G1608">
        <f t="shared" si="60"/>
        <v>-2.926384414911946E-2</v>
      </c>
    </row>
    <row r="1609" spans="1:7" x14ac:dyDescent="0.35">
      <c r="A1609" t="s">
        <v>92</v>
      </c>
      <c r="E1609">
        <v>-1.9941553091593876E-2</v>
      </c>
      <c r="F1609">
        <f t="shared" si="61"/>
        <v>-1.7165479263627173E-2</v>
      </c>
      <c r="G1609">
        <f t="shared" si="60"/>
        <v>-2.9238258550279037E-2</v>
      </c>
    </row>
    <row r="1610" spans="1:7" x14ac:dyDescent="0.35">
      <c r="A1610" t="s">
        <v>92</v>
      </c>
      <c r="E1610">
        <v>1.1770946289068928E-2</v>
      </c>
      <c r="F1610">
        <f t="shared" si="61"/>
        <v>-1.7114290964679885E-2</v>
      </c>
      <c r="G1610">
        <f t="shared" si="60"/>
        <v>-2.9213012316818558E-2</v>
      </c>
    </row>
    <row r="1611" spans="1:7" x14ac:dyDescent="0.35">
      <c r="A1611" t="s">
        <v>92</v>
      </c>
      <c r="E1611">
        <v>-3.894085917673094E-3</v>
      </c>
      <c r="F1611">
        <f t="shared" si="61"/>
        <v>-1.7119308609305932E-2</v>
      </c>
      <c r="G1611">
        <f t="shared" si="60"/>
        <v>-2.9213012316818558E-2</v>
      </c>
    </row>
    <row r="1612" spans="1:7" x14ac:dyDescent="0.35">
      <c r="A1612" t="s">
        <v>92</v>
      </c>
      <c r="E1612">
        <v>1.0539096608995054E-2</v>
      </c>
      <c r="F1612">
        <f t="shared" si="61"/>
        <v>-1.7124326253931978E-2</v>
      </c>
      <c r="G1612">
        <f t="shared" si="60"/>
        <v>-2.9213012316818558E-2</v>
      </c>
    </row>
    <row r="1613" spans="1:7" x14ac:dyDescent="0.35">
      <c r="A1613" t="s">
        <v>92</v>
      </c>
      <c r="E1613">
        <v>3.2360969905096404E-2</v>
      </c>
      <c r="F1613">
        <f t="shared" si="61"/>
        <v>-1.7129343898558025E-2</v>
      </c>
      <c r="G1613">
        <f t="shared" si="60"/>
        <v>-2.9213012316818558E-2</v>
      </c>
    </row>
    <row r="1614" spans="1:7" x14ac:dyDescent="0.35">
      <c r="A1614" t="s">
        <v>92</v>
      </c>
      <c r="E1614">
        <v>8.2772349088165251E-3</v>
      </c>
      <c r="F1614">
        <f t="shared" si="61"/>
        <v>-1.7134361543184071E-2</v>
      </c>
      <c r="G1614">
        <f t="shared" si="60"/>
        <v>-2.9213012316818558E-2</v>
      </c>
    </row>
    <row r="1615" spans="1:7" x14ac:dyDescent="0.35">
      <c r="A1615" t="s">
        <v>92</v>
      </c>
      <c r="E1615">
        <v>3.6900969441643885E-3</v>
      </c>
      <c r="F1615">
        <f t="shared" si="61"/>
        <v>-1.7139379187810118E-2</v>
      </c>
      <c r="G1615">
        <f t="shared" si="60"/>
        <v>-2.9213012316818558E-2</v>
      </c>
    </row>
    <row r="1616" spans="1:7" x14ac:dyDescent="0.35">
      <c r="A1616" t="s">
        <v>92</v>
      </c>
      <c r="E1616">
        <v>1.9797294609089071E-2</v>
      </c>
      <c r="F1616">
        <f t="shared" si="61"/>
        <v>-1.7144396832436164E-2</v>
      </c>
      <c r="G1616">
        <f t="shared" si="60"/>
        <v>-2.9213012316818558E-2</v>
      </c>
    </row>
    <row r="1617" spans="1:38" x14ac:dyDescent="0.35">
      <c r="A1617" t="s">
        <v>92</v>
      </c>
      <c r="E1617">
        <v>-9.0109857294124143E-2</v>
      </c>
      <c r="F1617">
        <f t="shared" si="61"/>
        <v>-1.7149414477062211E-2</v>
      </c>
      <c r="G1617">
        <f t="shared" si="60"/>
        <v>-2.9213012316818558E-2</v>
      </c>
    </row>
    <row r="1618" spans="1:38" x14ac:dyDescent="0.35">
      <c r="A1618" t="s">
        <v>92</v>
      </c>
      <c r="E1618">
        <v>-2.8740287782942534E-2</v>
      </c>
      <c r="F1618">
        <f t="shared" si="61"/>
        <v>-1.7061100590515934E-2</v>
      </c>
      <c r="G1618">
        <f t="shared" si="60"/>
        <v>-2.8548960109766694E-2</v>
      </c>
    </row>
    <row r="1619" spans="1:38" x14ac:dyDescent="0.35">
      <c r="A1619" t="s">
        <v>92</v>
      </c>
      <c r="E1619">
        <v>2.2445504442297603E-2</v>
      </c>
      <c r="F1619">
        <f t="shared" si="61"/>
        <v>-1.7032873163172816E-2</v>
      </c>
      <c r="G1619">
        <f t="shared" si="60"/>
        <v>-2.8442539086643438E-2</v>
      </c>
    </row>
    <row r="1620" spans="1:38" x14ac:dyDescent="0.35">
      <c r="A1620" t="s">
        <v>92</v>
      </c>
      <c r="E1620">
        <v>2.6298053606047356E-2</v>
      </c>
      <c r="F1620">
        <f t="shared" si="61"/>
        <v>-1.7033975239384574E-2</v>
      </c>
      <c r="G1620">
        <f t="shared" si="60"/>
        <v>-2.8442539086643438E-2</v>
      </c>
    </row>
    <row r="1621" spans="1:38" x14ac:dyDescent="0.35">
      <c r="A1621" t="s">
        <v>92</v>
      </c>
      <c r="E1621">
        <v>1.1430862478633504E-2</v>
      </c>
      <c r="F1621">
        <f t="shared" si="61"/>
        <v>-1.7035482203336318E-2</v>
      </c>
      <c r="G1621">
        <f t="shared" si="60"/>
        <v>-2.8547204810012789E-2</v>
      </c>
    </row>
    <row r="1622" spans="1:38" x14ac:dyDescent="0.35">
      <c r="A1622" t="s">
        <v>93</v>
      </c>
      <c r="B1622" s="3" cm="1">
        <f t="array" ref="B1622">_xlfn.STDEV.S(_xlfn._xlws.FILTER($E$1000:$E$1998, $A$1000:$A$1998="2016-07"))</f>
        <v>1.0665147021269436E-2</v>
      </c>
      <c r="C1622" s="3" cm="1">
        <f t="array" ref="C1622">AVERAGE(_xlfn._xlws.FILTER($E$1000:$E$1998, $A$1000:$A$1998="2016-07"))</f>
        <v>2.0499971473263217E-3</v>
      </c>
      <c r="D1622" s="3" cm="1">
        <f t="array" ref="D1622">_xlfn.PERCENTILE.EXC(_xlfn._xlws.FILTER($E$1498:$E$2489, $A$1498:$A$2489="2016-07"), 0.05)</f>
        <v>-1.8372260934628543E-2</v>
      </c>
      <c r="E1622">
        <v>6.3746344818994905E-3</v>
      </c>
      <c r="F1622">
        <f t="shared" si="61"/>
        <v>-1.7036989167288057E-2</v>
      </c>
      <c r="G1622">
        <f t="shared" si="60"/>
        <v>-2.8547204810012789E-2</v>
      </c>
      <c r="AI1622" s="3"/>
      <c r="AJ1622" s="3"/>
      <c r="AK1622" s="3"/>
      <c r="AL1622" s="3"/>
    </row>
    <row r="1623" spans="1:38" x14ac:dyDescent="0.35">
      <c r="A1623" t="s">
        <v>93</v>
      </c>
      <c r="E1623">
        <v>-7.2581763897513387E-3</v>
      </c>
      <c r="F1623">
        <f t="shared" si="61"/>
        <v>-1.70384961312398E-2</v>
      </c>
      <c r="G1623">
        <f t="shared" si="60"/>
        <v>-2.8547204810012789E-2</v>
      </c>
    </row>
    <row r="1624" spans="1:38" x14ac:dyDescent="0.35">
      <c r="A1624" t="s">
        <v>93</v>
      </c>
      <c r="E1624">
        <v>-1.7385184189515297E-2</v>
      </c>
      <c r="F1624">
        <f t="shared" si="61"/>
        <v>-1.7040003095191544E-2</v>
      </c>
      <c r="G1624">
        <f t="shared" si="60"/>
        <v>-2.8547204810012789E-2</v>
      </c>
    </row>
    <row r="1625" spans="1:38" x14ac:dyDescent="0.35">
      <c r="A1625" t="s">
        <v>93</v>
      </c>
      <c r="E1625">
        <v>-1.8481936128530014E-2</v>
      </c>
      <c r="F1625">
        <f t="shared" si="61"/>
        <v>-1.7017444096208215E-2</v>
      </c>
      <c r="G1625">
        <f t="shared" si="60"/>
        <v>-2.8543982709552874E-2</v>
      </c>
    </row>
    <row r="1626" spans="1:38" x14ac:dyDescent="0.35">
      <c r="A1626" t="s">
        <v>93</v>
      </c>
      <c r="E1626">
        <v>6.7599648921829155E-3</v>
      </c>
      <c r="F1626">
        <f t="shared" si="61"/>
        <v>-1.6976741301764884E-2</v>
      </c>
      <c r="G1626">
        <f t="shared" si="60"/>
        <v>-2.8530496448879651E-2</v>
      </c>
    </row>
    <row r="1627" spans="1:38" x14ac:dyDescent="0.35">
      <c r="A1627" t="s">
        <v>93</v>
      </c>
      <c r="E1627">
        <v>2.0616204061199468E-2</v>
      </c>
      <c r="F1627">
        <f t="shared" si="61"/>
        <v>-1.6979255045578068E-2</v>
      </c>
      <c r="G1627">
        <f t="shared" si="60"/>
        <v>-2.8530496448879651E-2</v>
      </c>
    </row>
    <row r="1628" spans="1:38" x14ac:dyDescent="0.35">
      <c r="A1628" t="s">
        <v>93</v>
      </c>
      <c r="E1628">
        <v>1.6532710013432372E-2</v>
      </c>
      <c r="F1628">
        <f t="shared" si="61"/>
        <v>-1.6981768789391248E-2</v>
      </c>
      <c r="G1628">
        <f t="shared" si="60"/>
        <v>-2.8530496448879651E-2</v>
      </c>
    </row>
    <row r="1629" spans="1:38" x14ac:dyDescent="0.35">
      <c r="A1629" t="s">
        <v>93</v>
      </c>
      <c r="E1629">
        <v>1.6539983438023566E-2</v>
      </c>
      <c r="F1629">
        <f t="shared" si="61"/>
        <v>-1.6984282533204428E-2</v>
      </c>
      <c r="G1629">
        <f t="shared" si="60"/>
        <v>-2.8530496448879651E-2</v>
      </c>
    </row>
    <row r="1630" spans="1:38" x14ac:dyDescent="0.35">
      <c r="A1630" t="s">
        <v>93</v>
      </c>
      <c r="E1630">
        <v>-2.4916474480149993E-3</v>
      </c>
      <c r="F1630">
        <f t="shared" si="61"/>
        <v>-1.6986796277017612E-2</v>
      </c>
      <c r="G1630">
        <f t="shared" si="60"/>
        <v>-2.8530496448879651E-2</v>
      </c>
    </row>
    <row r="1631" spans="1:38" x14ac:dyDescent="0.35">
      <c r="A1631" t="s">
        <v>93</v>
      </c>
      <c r="E1631">
        <v>1.2541744673801834E-2</v>
      </c>
      <c r="F1631">
        <f t="shared" si="61"/>
        <v>-1.6989310020830792E-2</v>
      </c>
      <c r="G1631">
        <f t="shared" si="60"/>
        <v>-2.8530496448879651E-2</v>
      </c>
    </row>
    <row r="1632" spans="1:38" x14ac:dyDescent="0.35">
      <c r="A1632" t="s">
        <v>93</v>
      </c>
      <c r="E1632">
        <v>-1.4928097987828091E-3</v>
      </c>
      <c r="F1632">
        <f t="shared" si="61"/>
        <v>-1.6991823764643976E-2</v>
      </c>
      <c r="G1632">
        <f t="shared" si="60"/>
        <v>-2.8530496448879651E-2</v>
      </c>
    </row>
    <row r="1633" spans="1:38" x14ac:dyDescent="0.35">
      <c r="A1633" t="s">
        <v>93</v>
      </c>
      <c r="E1633">
        <v>-3.2093083867586504E-3</v>
      </c>
      <c r="F1633">
        <f t="shared" si="61"/>
        <v>-1.6994337508457157E-2</v>
      </c>
      <c r="G1633">
        <f t="shared" si="60"/>
        <v>-2.8530496448879651E-2</v>
      </c>
    </row>
    <row r="1634" spans="1:38" x14ac:dyDescent="0.35">
      <c r="A1634" t="s">
        <v>93</v>
      </c>
      <c r="E1634">
        <v>-6.1459956363235282E-3</v>
      </c>
      <c r="F1634">
        <f t="shared" si="61"/>
        <v>-1.6996851252270337E-2</v>
      </c>
      <c r="G1634">
        <f t="shared" si="60"/>
        <v>-2.8530496448879651E-2</v>
      </c>
    </row>
    <row r="1635" spans="1:38" x14ac:dyDescent="0.35">
      <c r="A1635" t="s">
        <v>93</v>
      </c>
      <c r="E1635">
        <v>1.2156709932395052E-2</v>
      </c>
      <c r="F1635">
        <f t="shared" si="61"/>
        <v>-1.6999364996083521E-2</v>
      </c>
      <c r="G1635">
        <f t="shared" si="60"/>
        <v>-2.8530496448879651E-2</v>
      </c>
    </row>
    <row r="1636" spans="1:38" x14ac:dyDescent="0.35">
      <c r="A1636" t="s">
        <v>93</v>
      </c>
      <c r="E1636">
        <v>5.1891689059508197E-4</v>
      </c>
      <c r="F1636">
        <f t="shared" si="61"/>
        <v>-1.7001878739896701E-2</v>
      </c>
      <c r="G1636">
        <f t="shared" si="60"/>
        <v>-2.8530496448879651E-2</v>
      </c>
    </row>
    <row r="1637" spans="1:38" x14ac:dyDescent="0.35">
      <c r="A1637" t="s">
        <v>93</v>
      </c>
      <c r="E1637">
        <v>1.2591068066163233E-3</v>
      </c>
      <c r="F1637">
        <f t="shared" si="61"/>
        <v>-1.7004392483709885E-2</v>
      </c>
      <c r="G1637">
        <f t="shared" si="60"/>
        <v>-2.8530496448879651E-2</v>
      </c>
    </row>
    <row r="1638" spans="1:38" x14ac:dyDescent="0.35">
      <c r="A1638" t="s">
        <v>93</v>
      </c>
      <c r="E1638">
        <v>3.3302778062199359E-4</v>
      </c>
      <c r="F1638">
        <f t="shared" si="61"/>
        <v>-1.7006906227523065E-2</v>
      </c>
      <c r="G1638">
        <f t="shared" si="60"/>
        <v>-2.8530496448879651E-2</v>
      </c>
    </row>
    <row r="1639" spans="1:38" x14ac:dyDescent="0.35">
      <c r="A1639" t="s">
        <v>93</v>
      </c>
      <c r="E1639">
        <v>1.908564250778743E-3</v>
      </c>
      <c r="F1639">
        <f t="shared" si="61"/>
        <v>-1.7009419971336245E-2</v>
      </c>
      <c r="G1639">
        <f t="shared" si="60"/>
        <v>-2.8530496448879651E-2</v>
      </c>
    </row>
    <row r="1640" spans="1:38" x14ac:dyDescent="0.35">
      <c r="A1640" t="s">
        <v>93</v>
      </c>
      <c r="E1640">
        <v>6.8848354546150684E-3</v>
      </c>
      <c r="F1640">
        <f t="shared" si="61"/>
        <v>-1.7011933715149429E-2</v>
      </c>
      <c r="G1640">
        <f t="shared" si="60"/>
        <v>-2.8530496448879651E-2</v>
      </c>
    </row>
    <row r="1641" spans="1:38" x14ac:dyDescent="0.35">
      <c r="A1641" t="s">
        <v>93</v>
      </c>
      <c r="E1641">
        <v>-1.1190981721758159E-2</v>
      </c>
      <c r="F1641">
        <f t="shared" si="61"/>
        <v>-1.7013035791361188E-2</v>
      </c>
      <c r="G1641">
        <f t="shared" si="60"/>
        <v>-2.8637149807525301E-2</v>
      </c>
    </row>
    <row r="1642" spans="1:38" x14ac:dyDescent="0.35">
      <c r="A1642" t="s">
        <v>93</v>
      </c>
      <c r="E1642">
        <v>8.2795771171256353E-3</v>
      </c>
      <c r="F1642">
        <f t="shared" si="61"/>
        <v>-1.7014137867572943E-2</v>
      </c>
      <c r="G1642">
        <f t="shared" si="60"/>
        <v>-2.8637149807525301E-2</v>
      </c>
    </row>
    <row r="1643" spans="1:38" x14ac:dyDescent="0.35">
      <c r="A1643" t="s">
        <v>94</v>
      </c>
      <c r="B1643" s="3" cm="1">
        <f t="array" ref="B1643">_xlfn.STDEV.S(_xlfn._xlws.FILTER($E$1000:$E$1998, $A$1000:$A$1998="2016-08"))</f>
        <v>9.3409091832729538E-3</v>
      </c>
      <c r="C1643" s="3" cm="1">
        <f t="array" ref="C1643">AVERAGE(_xlfn._xlws.FILTER($E$1000:$E$1998, $A$1000:$A$1998="2016-08"))</f>
        <v>5.1262775263213997E-4</v>
      </c>
      <c r="D1643" s="3" cm="1">
        <f t="array" ref="D1643">_xlfn.PERCENTILE.EXC(_xlfn._xlws.FILTER($E$1498:$E$2489, $A$1498:$A$2489="2016-08"), 0.05)</f>
        <v>-1.9675964531950911E-2</v>
      </c>
      <c r="E1643">
        <v>-7.8717172130322761E-3</v>
      </c>
      <c r="F1643">
        <f t="shared" si="61"/>
        <v>-1.7015239943784701E-2</v>
      </c>
      <c r="G1643">
        <f t="shared" si="60"/>
        <v>-2.8637149807525301E-2</v>
      </c>
      <c r="AI1643" s="3"/>
      <c r="AJ1643" s="3"/>
      <c r="AK1643" s="3"/>
      <c r="AL1643" s="3"/>
    </row>
    <row r="1644" spans="1:38" x14ac:dyDescent="0.35">
      <c r="A1644" t="s">
        <v>94</v>
      </c>
      <c r="E1644">
        <v>-2.0541076885041892E-2</v>
      </c>
      <c r="F1644">
        <f t="shared" si="61"/>
        <v>-1.701634201999646E-2</v>
      </c>
      <c r="G1644">
        <f t="shared" si="60"/>
        <v>-2.8637149807525301E-2</v>
      </c>
    </row>
    <row r="1645" spans="1:38" x14ac:dyDescent="0.35">
      <c r="A1645" t="s">
        <v>94</v>
      </c>
      <c r="E1645">
        <v>1.4025344166815907E-3</v>
      </c>
      <c r="F1645">
        <f t="shared" si="61"/>
        <v>-1.6974227557951704E-2</v>
      </c>
      <c r="G1645">
        <f t="shared" si="60"/>
        <v>-2.8604472555952228E-2</v>
      </c>
    </row>
    <row r="1646" spans="1:38" x14ac:dyDescent="0.35">
      <c r="A1646" t="s">
        <v>94</v>
      </c>
      <c r="E1646">
        <v>7.2834630773807047E-3</v>
      </c>
      <c r="F1646">
        <f t="shared" si="61"/>
        <v>-1.6976741301764884E-2</v>
      </c>
      <c r="G1646">
        <f t="shared" si="60"/>
        <v>-2.8604472555952228E-2</v>
      </c>
    </row>
    <row r="1647" spans="1:38" x14ac:dyDescent="0.35">
      <c r="A1647" t="s">
        <v>94</v>
      </c>
      <c r="E1647">
        <v>1.4009592412546224E-2</v>
      </c>
      <c r="F1647">
        <f t="shared" si="61"/>
        <v>-1.6979255045578068E-2</v>
      </c>
      <c r="G1647">
        <f t="shared" si="60"/>
        <v>-2.8604472555952228E-2</v>
      </c>
    </row>
    <row r="1648" spans="1:38" x14ac:dyDescent="0.35">
      <c r="A1648" t="s">
        <v>94</v>
      </c>
      <c r="E1648">
        <v>3.0923550193112477E-3</v>
      </c>
      <c r="F1648">
        <f t="shared" si="61"/>
        <v>-1.6981768789391248E-2</v>
      </c>
      <c r="G1648">
        <f t="shared" si="60"/>
        <v>-2.8604472555952228E-2</v>
      </c>
    </row>
    <row r="1649" spans="1:38" x14ac:dyDescent="0.35">
      <c r="A1649" t="s">
        <v>94</v>
      </c>
      <c r="E1649">
        <v>1.5389269298428442E-2</v>
      </c>
      <c r="F1649">
        <f t="shared" si="61"/>
        <v>-1.6984282533204428E-2</v>
      </c>
      <c r="G1649">
        <f t="shared" si="60"/>
        <v>-2.8604472555952228E-2</v>
      </c>
    </row>
    <row r="1650" spans="1:38" x14ac:dyDescent="0.35">
      <c r="A1650" t="s">
        <v>94</v>
      </c>
      <c r="E1650">
        <v>-3.5451882809599622E-3</v>
      </c>
      <c r="F1650">
        <f t="shared" si="61"/>
        <v>-1.6986796277017612E-2</v>
      </c>
      <c r="G1650">
        <f t="shared" si="60"/>
        <v>-2.8604472555952228E-2</v>
      </c>
    </row>
    <row r="1651" spans="1:38" x14ac:dyDescent="0.35">
      <c r="A1651" t="s">
        <v>94</v>
      </c>
      <c r="E1651">
        <v>1.0076739697783547E-2</v>
      </c>
      <c r="F1651">
        <f t="shared" si="61"/>
        <v>-1.6989310020830792E-2</v>
      </c>
      <c r="G1651">
        <f t="shared" si="60"/>
        <v>-2.8604472555952228E-2</v>
      </c>
    </row>
    <row r="1652" spans="1:38" x14ac:dyDescent="0.35">
      <c r="A1652" t="s">
        <v>94</v>
      </c>
      <c r="E1652">
        <v>-1.3423107150553411E-3</v>
      </c>
      <c r="F1652">
        <f t="shared" si="61"/>
        <v>-1.6991823764643976E-2</v>
      </c>
      <c r="G1652">
        <f t="shared" si="60"/>
        <v>-2.8604472555952228E-2</v>
      </c>
    </row>
    <row r="1653" spans="1:38" x14ac:dyDescent="0.35">
      <c r="A1653" t="s">
        <v>94</v>
      </c>
      <c r="E1653">
        <v>-9.4867510252877457E-3</v>
      </c>
      <c r="F1653">
        <f t="shared" si="61"/>
        <v>-1.6994337508457157E-2</v>
      </c>
      <c r="G1653">
        <f t="shared" si="60"/>
        <v>-2.8604472555952228E-2</v>
      </c>
    </row>
    <row r="1654" spans="1:38" x14ac:dyDescent="0.35">
      <c r="A1654" t="s">
        <v>94</v>
      </c>
      <c r="E1654">
        <v>-1.1889953354132088E-2</v>
      </c>
      <c r="F1654">
        <f t="shared" si="61"/>
        <v>-1.6996851252270337E-2</v>
      </c>
      <c r="G1654">
        <f t="shared" si="60"/>
        <v>-2.8604472555952228E-2</v>
      </c>
    </row>
    <row r="1655" spans="1:38" x14ac:dyDescent="0.35">
      <c r="A1655" t="s">
        <v>94</v>
      </c>
      <c r="E1655">
        <v>4.9399013411394093E-3</v>
      </c>
      <c r="F1655">
        <f t="shared" si="61"/>
        <v>-1.6999364996083521E-2</v>
      </c>
      <c r="G1655">
        <f t="shared" si="60"/>
        <v>-2.8604472555952228E-2</v>
      </c>
    </row>
    <row r="1656" spans="1:38" x14ac:dyDescent="0.35">
      <c r="A1656" t="s">
        <v>94</v>
      </c>
      <c r="E1656">
        <v>-9.088685016366619E-3</v>
      </c>
      <c r="F1656">
        <f t="shared" si="61"/>
        <v>-1.7001878739896701E-2</v>
      </c>
      <c r="G1656">
        <f t="shared" si="60"/>
        <v>-2.8604472555952228E-2</v>
      </c>
    </row>
    <row r="1657" spans="1:38" x14ac:dyDescent="0.35">
      <c r="A1657" t="s">
        <v>94</v>
      </c>
      <c r="E1657">
        <v>-2.641447955460864E-3</v>
      </c>
      <c r="F1657">
        <f t="shared" si="61"/>
        <v>-1.7004392483709885E-2</v>
      </c>
      <c r="G1657">
        <f t="shared" si="60"/>
        <v>-2.8604472555952228E-2</v>
      </c>
    </row>
    <row r="1658" spans="1:38" x14ac:dyDescent="0.35">
      <c r="A1658" t="s">
        <v>94</v>
      </c>
      <c r="E1658">
        <v>1.1205841046101993E-2</v>
      </c>
      <c r="F1658">
        <f t="shared" si="61"/>
        <v>-1.7006906227523065E-2</v>
      </c>
      <c r="G1658">
        <f t="shared" si="60"/>
        <v>-2.8604472555952228E-2</v>
      </c>
    </row>
    <row r="1659" spans="1:38" x14ac:dyDescent="0.35">
      <c r="A1659" t="s">
        <v>94</v>
      </c>
      <c r="E1659">
        <v>4.9514289007484167E-3</v>
      </c>
      <c r="F1659">
        <f t="shared" si="61"/>
        <v>-1.7009419971336245E-2</v>
      </c>
      <c r="G1659">
        <f t="shared" si="60"/>
        <v>-2.8604472555952228E-2</v>
      </c>
    </row>
    <row r="1660" spans="1:38" x14ac:dyDescent="0.35">
      <c r="A1660" t="s">
        <v>94</v>
      </c>
      <c r="E1660">
        <v>-6.9710169092693751E-3</v>
      </c>
      <c r="F1660">
        <f t="shared" si="61"/>
        <v>-1.7011933715149429E-2</v>
      </c>
      <c r="G1660">
        <f t="shared" si="60"/>
        <v>-2.8604472555952228E-2</v>
      </c>
    </row>
    <row r="1661" spans="1:38" x14ac:dyDescent="0.35">
      <c r="A1661" t="s">
        <v>94</v>
      </c>
      <c r="E1661">
        <v>7.559159376318271E-3</v>
      </c>
      <c r="F1661">
        <f t="shared" si="61"/>
        <v>-1.7013035791361188E-2</v>
      </c>
      <c r="G1661">
        <f t="shared" si="60"/>
        <v>-2.8712814040445712E-2</v>
      </c>
    </row>
    <row r="1662" spans="1:38" x14ac:dyDescent="0.35">
      <c r="A1662" t="s">
        <v>94</v>
      </c>
      <c r="E1662">
        <v>6.7504407065364239E-3</v>
      </c>
      <c r="F1662">
        <f t="shared" si="61"/>
        <v>-1.7014137867572943E-2</v>
      </c>
      <c r="G1662">
        <f t="shared" si="60"/>
        <v>-2.8712814040445712E-2</v>
      </c>
    </row>
    <row r="1663" spans="1:38" x14ac:dyDescent="0.35">
      <c r="A1663" t="s">
        <v>94</v>
      </c>
      <c r="E1663">
        <v>-2.5173951330951716E-3</v>
      </c>
      <c r="F1663">
        <f t="shared" si="61"/>
        <v>-1.7015239943784701E-2</v>
      </c>
      <c r="G1663">
        <f t="shared" si="60"/>
        <v>-2.8712814040445712E-2</v>
      </c>
    </row>
    <row r="1664" spans="1:38" x14ac:dyDescent="0.35">
      <c r="A1664" t="s">
        <v>95</v>
      </c>
      <c r="B1664" s="3" cm="1">
        <f t="array" ref="B1664">_xlfn.STDEV.S(_xlfn._xlws.FILTER($E$1000:$E$1998, $A$1000:$A$1998="2016-09"))</f>
        <v>1.0358944062529933E-2</v>
      </c>
      <c r="C1664" s="3" cm="1">
        <f t="array" ref="C1664">AVERAGE(_xlfn._xlws.FILTER($E$1000:$E$1998, $A$1000:$A$1998="2016-09"))</f>
        <v>-3.1518371788905665E-4</v>
      </c>
      <c r="D1664" s="3" cm="1">
        <f t="array" ref="D1664">_xlfn.PERCENTILE.EXC(_xlfn._xlws.FILTER($E$1498:$E$2489, $A$1498:$A$2489="2016-09"), 0.05)</f>
        <v>-1.7961243312704898E-2</v>
      </c>
      <c r="E1664">
        <v>-1.8673585290593954E-3</v>
      </c>
      <c r="F1664">
        <f t="shared" si="61"/>
        <v>-1.701634201999646E-2</v>
      </c>
      <c r="G1664">
        <f t="shared" si="60"/>
        <v>-2.8712814040445712E-2</v>
      </c>
      <c r="AI1664" s="3"/>
      <c r="AJ1664" s="3"/>
      <c r="AK1664" s="3"/>
      <c r="AL1664" s="3"/>
    </row>
    <row r="1665" spans="1:7" x14ac:dyDescent="0.35">
      <c r="A1665" t="s">
        <v>95</v>
      </c>
      <c r="E1665">
        <v>2.0419817855470295E-2</v>
      </c>
      <c r="F1665">
        <f t="shared" si="61"/>
        <v>-1.7017444096208215E-2</v>
      </c>
      <c r="G1665">
        <f t="shared" si="60"/>
        <v>-2.8712814040445712E-2</v>
      </c>
    </row>
    <row r="1666" spans="1:7" x14ac:dyDescent="0.35">
      <c r="A1666" t="s">
        <v>95</v>
      </c>
      <c r="E1666">
        <v>-6.7560986101854084E-4</v>
      </c>
      <c r="F1666">
        <f t="shared" si="61"/>
        <v>-1.7018546172419973E-2</v>
      </c>
      <c r="G1666">
        <f t="shared" si="60"/>
        <v>-2.8712814040445712E-2</v>
      </c>
    </row>
    <row r="1667" spans="1:7" x14ac:dyDescent="0.35">
      <c r="A1667" t="s">
        <v>95</v>
      </c>
      <c r="E1667">
        <v>-2.4398904719610086E-3</v>
      </c>
      <c r="F1667">
        <f t="shared" si="61"/>
        <v>-1.7019648248631732E-2</v>
      </c>
      <c r="G1667">
        <f t="shared" ref="G1667:G1730" si="62">AVERAGEIFS(E1667:E5483,E1667:E5483,"&lt;=" &amp; F1667)</f>
        <v>-2.8712814040445712E-2</v>
      </c>
    </row>
    <row r="1668" spans="1:7" x14ac:dyDescent="0.35">
      <c r="A1668" t="s">
        <v>95</v>
      </c>
      <c r="E1668">
        <v>6.978485983940335E-3</v>
      </c>
      <c r="F1668">
        <f t="shared" ref="F1668:F1731" si="63">_xlfn.PERCENTILE.EXC(E1668:E5483,0.05)</f>
        <v>-1.7020750324843487E-2</v>
      </c>
      <c r="G1668">
        <f t="shared" si="62"/>
        <v>-2.8712814040445712E-2</v>
      </c>
    </row>
    <row r="1669" spans="1:7" x14ac:dyDescent="0.35">
      <c r="A1669" t="s">
        <v>95</v>
      </c>
      <c r="E1669">
        <v>-2.6298758517920044E-3</v>
      </c>
      <c r="F1669">
        <f t="shared" si="63"/>
        <v>-1.7021852401055245E-2</v>
      </c>
      <c r="G1669">
        <f t="shared" si="62"/>
        <v>-2.8712814040445712E-2</v>
      </c>
    </row>
    <row r="1670" spans="1:7" x14ac:dyDescent="0.35">
      <c r="A1670" t="s">
        <v>95</v>
      </c>
      <c r="E1670">
        <v>-9.8880666948621236E-3</v>
      </c>
      <c r="F1670">
        <f t="shared" si="63"/>
        <v>-1.7022954477267004E-2</v>
      </c>
      <c r="G1670">
        <f t="shared" si="62"/>
        <v>-2.8712814040445712E-2</v>
      </c>
    </row>
    <row r="1671" spans="1:7" x14ac:dyDescent="0.35">
      <c r="A1671" t="s">
        <v>95</v>
      </c>
      <c r="E1671">
        <v>-1.3293789001683558E-2</v>
      </c>
      <c r="F1671">
        <f t="shared" si="63"/>
        <v>-1.7024056553478759E-2</v>
      </c>
      <c r="G1671">
        <f t="shared" si="62"/>
        <v>-2.8712814040445712E-2</v>
      </c>
    </row>
    <row r="1672" spans="1:7" x14ac:dyDescent="0.35">
      <c r="A1672" t="s">
        <v>95</v>
      </c>
      <c r="E1672">
        <v>-1.2719622093486547E-2</v>
      </c>
      <c r="F1672">
        <f t="shared" si="63"/>
        <v>-1.7025158629690517E-2</v>
      </c>
      <c r="G1672">
        <f t="shared" si="62"/>
        <v>-2.8712814040445712E-2</v>
      </c>
    </row>
    <row r="1673" spans="1:7" x14ac:dyDescent="0.35">
      <c r="A1673" t="s">
        <v>95</v>
      </c>
      <c r="E1673">
        <v>-3.333504778897294E-3</v>
      </c>
      <c r="F1673">
        <f t="shared" si="63"/>
        <v>-1.7026260705902272E-2</v>
      </c>
      <c r="G1673">
        <f t="shared" si="62"/>
        <v>-2.8712814040445712E-2</v>
      </c>
    </row>
    <row r="1674" spans="1:7" x14ac:dyDescent="0.35">
      <c r="A1674" t="s">
        <v>95</v>
      </c>
      <c r="E1674">
        <v>2.9872030592254669E-3</v>
      </c>
      <c r="F1674">
        <f t="shared" si="63"/>
        <v>-1.7027362782114031E-2</v>
      </c>
      <c r="G1674">
        <f t="shared" si="62"/>
        <v>-2.8712814040445712E-2</v>
      </c>
    </row>
    <row r="1675" spans="1:7" x14ac:dyDescent="0.35">
      <c r="A1675" t="s">
        <v>95</v>
      </c>
      <c r="E1675">
        <v>-1.303787959915228E-2</v>
      </c>
      <c r="F1675">
        <f t="shared" si="63"/>
        <v>-1.7028464858325789E-2</v>
      </c>
      <c r="G1675">
        <f t="shared" si="62"/>
        <v>-2.8712814040445712E-2</v>
      </c>
    </row>
    <row r="1676" spans="1:7" x14ac:dyDescent="0.35">
      <c r="A1676" t="s">
        <v>95</v>
      </c>
      <c r="E1676">
        <v>1.1200138762049019E-2</v>
      </c>
      <c r="F1676">
        <f t="shared" si="63"/>
        <v>-1.7029566934537544E-2</v>
      </c>
      <c r="G1676">
        <f t="shared" si="62"/>
        <v>-2.8712814040445712E-2</v>
      </c>
    </row>
    <row r="1677" spans="1:7" x14ac:dyDescent="0.35">
      <c r="A1677" t="s">
        <v>95</v>
      </c>
      <c r="E1677">
        <v>-1.1629534932699284E-3</v>
      </c>
      <c r="F1677">
        <f t="shared" si="63"/>
        <v>-1.7030669010749303E-2</v>
      </c>
      <c r="G1677">
        <f t="shared" si="62"/>
        <v>-2.8712814040445712E-2</v>
      </c>
    </row>
    <row r="1678" spans="1:7" x14ac:dyDescent="0.35">
      <c r="A1678" t="s">
        <v>95</v>
      </c>
      <c r="E1678">
        <v>5.8247628968990149E-3</v>
      </c>
      <c r="F1678">
        <f t="shared" si="63"/>
        <v>-1.7031771086961061E-2</v>
      </c>
      <c r="G1678">
        <f t="shared" si="62"/>
        <v>-2.8712814040445712E-2</v>
      </c>
    </row>
    <row r="1679" spans="1:7" x14ac:dyDescent="0.35">
      <c r="A1679" t="s">
        <v>95</v>
      </c>
      <c r="E1679">
        <v>2.3040958830300867E-2</v>
      </c>
      <c r="F1679">
        <f t="shared" si="63"/>
        <v>-1.7032873163172816E-2</v>
      </c>
      <c r="G1679">
        <f t="shared" si="62"/>
        <v>-2.8712814040445712E-2</v>
      </c>
    </row>
    <row r="1680" spans="1:7" x14ac:dyDescent="0.35">
      <c r="A1680" t="s">
        <v>95</v>
      </c>
      <c r="E1680">
        <v>-6.3708302264077494E-3</v>
      </c>
      <c r="F1680">
        <f t="shared" si="63"/>
        <v>-1.7033975239384574E-2</v>
      </c>
      <c r="G1680">
        <f t="shared" si="62"/>
        <v>-2.8712814040445712E-2</v>
      </c>
    </row>
    <row r="1681" spans="1:38" x14ac:dyDescent="0.35">
      <c r="A1681" t="s">
        <v>95</v>
      </c>
      <c r="E1681">
        <v>-1.8784911720532194E-2</v>
      </c>
      <c r="F1681">
        <f t="shared" si="63"/>
        <v>-1.7035482203336318E-2</v>
      </c>
      <c r="G1681">
        <f t="shared" si="62"/>
        <v>-2.8822991764984027E-2</v>
      </c>
    </row>
    <row r="1682" spans="1:38" x14ac:dyDescent="0.35">
      <c r="A1682" t="s">
        <v>95</v>
      </c>
      <c r="E1682">
        <v>-1.6950524681657046E-3</v>
      </c>
      <c r="F1682">
        <f t="shared" si="63"/>
        <v>-1.7014137867572943E-2</v>
      </c>
      <c r="G1682">
        <f t="shared" si="62"/>
        <v>-2.8806473496293956E-2</v>
      </c>
    </row>
    <row r="1683" spans="1:38" x14ac:dyDescent="0.35">
      <c r="A1683" t="s">
        <v>95</v>
      </c>
      <c r="E1683">
        <v>6.7998148601560501E-3</v>
      </c>
      <c r="F1683">
        <f t="shared" si="63"/>
        <v>-1.7015239943784701E-2</v>
      </c>
      <c r="G1683">
        <f t="shared" si="62"/>
        <v>-2.8806473496293956E-2</v>
      </c>
    </row>
    <row r="1684" spans="1:38" x14ac:dyDescent="0.35">
      <c r="A1684" t="s">
        <v>95</v>
      </c>
      <c r="E1684">
        <v>1.5711995806795315E-4</v>
      </c>
      <c r="F1684">
        <f t="shared" si="63"/>
        <v>-1.701634201999646E-2</v>
      </c>
      <c r="G1684">
        <f t="shared" si="62"/>
        <v>-2.8806473496293956E-2</v>
      </c>
    </row>
    <row r="1685" spans="1:38" x14ac:dyDescent="0.35">
      <c r="A1685" t="s">
        <v>95</v>
      </c>
      <c r="E1685">
        <v>3.5570007906200862E-3</v>
      </c>
      <c r="F1685">
        <f t="shared" si="63"/>
        <v>-1.7017444096208215E-2</v>
      </c>
      <c r="G1685">
        <f t="shared" si="62"/>
        <v>-2.8806473496293956E-2</v>
      </c>
    </row>
    <row r="1686" spans="1:38" x14ac:dyDescent="0.35">
      <c r="A1686" t="s">
        <v>96</v>
      </c>
      <c r="B1686" s="3" cm="1">
        <f t="array" ref="B1686">_xlfn.STDEV.S(_xlfn._xlws.FILTER($E$1000:$E$1998, $A$1000:$A$1998="2016-10"))</f>
        <v>7.4156412166947721E-3</v>
      </c>
      <c r="C1686" s="3" cm="1">
        <f t="array" ref="C1686">AVERAGE(_xlfn._xlws.FILTER($E$1000:$E$1998, $A$1000:$A$1998="2016-10"))</f>
        <v>8.7513728090356702E-4</v>
      </c>
      <c r="D1686" s="3" cm="1">
        <f t="array" ref="D1686">_xlfn.PERCENTILE.EXC(_xlfn._xlws.FILTER($E$1498:$E$2489, $A$1498:$A$2489="2016-10"), 0.05)</f>
        <v>-1.0867569946628996E-2</v>
      </c>
      <c r="E1686">
        <v>9.0389126850053472E-3</v>
      </c>
      <c r="F1686">
        <f t="shared" si="63"/>
        <v>-1.7018546172419973E-2</v>
      </c>
      <c r="G1686">
        <f t="shared" si="62"/>
        <v>-2.8806473496293956E-2</v>
      </c>
      <c r="AI1686" s="3"/>
      <c r="AJ1686" s="3"/>
      <c r="AK1686" s="3"/>
      <c r="AL1686" s="3"/>
    </row>
    <row r="1687" spans="1:38" x14ac:dyDescent="0.35">
      <c r="A1687" t="s">
        <v>96</v>
      </c>
      <c r="E1687">
        <v>-1.0634469229275387E-3</v>
      </c>
      <c r="F1687">
        <f t="shared" si="63"/>
        <v>-1.7019648248631732E-2</v>
      </c>
      <c r="G1687">
        <f t="shared" si="62"/>
        <v>-2.8806473496293956E-2</v>
      </c>
    </row>
    <row r="1688" spans="1:38" x14ac:dyDescent="0.35">
      <c r="A1688" t="s">
        <v>96</v>
      </c>
      <c r="E1688">
        <v>-1.5542690955709215E-3</v>
      </c>
      <c r="F1688">
        <f t="shared" si="63"/>
        <v>-1.7020750324843487E-2</v>
      </c>
      <c r="G1688">
        <f t="shared" si="62"/>
        <v>-2.8806473496293956E-2</v>
      </c>
    </row>
    <row r="1689" spans="1:38" x14ac:dyDescent="0.35">
      <c r="A1689" t="s">
        <v>96</v>
      </c>
      <c r="E1689">
        <v>-6.9776027640123476E-3</v>
      </c>
      <c r="F1689">
        <f t="shared" si="63"/>
        <v>-1.7021852401055245E-2</v>
      </c>
      <c r="G1689">
        <f t="shared" si="62"/>
        <v>-2.8806473496293956E-2</v>
      </c>
    </row>
    <row r="1690" spans="1:38" x14ac:dyDescent="0.35">
      <c r="A1690" t="s">
        <v>96</v>
      </c>
      <c r="E1690">
        <v>1.1659534404863321E-2</v>
      </c>
      <c r="F1690">
        <f t="shared" si="63"/>
        <v>-1.7022954477267004E-2</v>
      </c>
      <c r="G1690">
        <f t="shared" si="62"/>
        <v>-2.8806473496293956E-2</v>
      </c>
    </row>
    <row r="1691" spans="1:38" x14ac:dyDescent="0.35">
      <c r="A1691" t="s">
        <v>96</v>
      </c>
      <c r="E1691">
        <v>-4.9765229141427048E-3</v>
      </c>
      <c r="F1691">
        <f t="shared" si="63"/>
        <v>-1.7024056553478759E-2</v>
      </c>
      <c r="G1691">
        <f t="shared" si="62"/>
        <v>-2.8806473496293956E-2</v>
      </c>
    </row>
    <row r="1692" spans="1:38" x14ac:dyDescent="0.35">
      <c r="A1692" t="s">
        <v>96</v>
      </c>
      <c r="E1692">
        <v>-4.1999026690016754E-3</v>
      </c>
      <c r="F1692">
        <f t="shared" si="63"/>
        <v>-1.7025158629690517E-2</v>
      </c>
      <c r="G1692">
        <f t="shared" si="62"/>
        <v>-2.8806473496293956E-2</v>
      </c>
    </row>
    <row r="1693" spans="1:38" x14ac:dyDescent="0.35">
      <c r="A1693" t="s">
        <v>96</v>
      </c>
      <c r="E1693">
        <v>-1.1027895156758651E-2</v>
      </c>
      <c r="F1693">
        <f t="shared" si="63"/>
        <v>-1.7026260705902272E-2</v>
      </c>
      <c r="G1693">
        <f t="shared" si="62"/>
        <v>-2.8806473496293956E-2</v>
      </c>
    </row>
    <row r="1694" spans="1:38" x14ac:dyDescent="0.35">
      <c r="A1694" t="s">
        <v>96</v>
      </c>
      <c r="E1694">
        <v>1.6716415142343882E-2</v>
      </c>
      <c r="F1694">
        <f t="shared" si="63"/>
        <v>-1.7027362782114031E-2</v>
      </c>
      <c r="G1694">
        <f t="shared" si="62"/>
        <v>-2.8806473496293956E-2</v>
      </c>
    </row>
    <row r="1695" spans="1:38" x14ac:dyDescent="0.35">
      <c r="A1695" t="s">
        <v>96</v>
      </c>
      <c r="E1695">
        <v>-5.4591602804205863E-3</v>
      </c>
      <c r="F1695">
        <f t="shared" si="63"/>
        <v>-1.7028464858325789E-2</v>
      </c>
      <c r="G1695">
        <f t="shared" si="62"/>
        <v>-2.8806473496293956E-2</v>
      </c>
    </row>
    <row r="1696" spans="1:38" x14ac:dyDescent="0.35">
      <c r="A1696" t="s">
        <v>96</v>
      </c>
      <c r="E1696">
        <v>1.2639478934267761E-2</v>
      </c>
      <c r="F1696">
        <f t="shared" si="63"/>
        <v>-1.7029566934537544E-2</v>
      </c>
      <c r="G1696">
        <f t="shared" si="62"/>
        <v>-2.8806473496293956E-2</v>
      </c>
    </row>
    <row r="1697" spans="1:38" x14ac:dyDescent="0.35">
      <c r="A1697" t="s">
        <v>96</v>
      </c>
      <c r="E1697">
        <v>2.9330195221337917E-3</v>
      </c>
      <c r="F1697">
        <f t="shared" si="63"/>
        <v>-1.7030669010749303E-2</v>
      </c>
      <c r="G1697">
        <f t="shared" si="62"/>
        <v>-2.8806473496293956E-2</v>
      </c>
    </row>
    <row r="1698" spans="1:38" x14ac:dyDescent="0.35">
      <c r="A1698" t="s">
        <v>96</v>
      </c>
      <c r="E1698">
        <v>6.7476045121494565E-3</v>
      </c>
      <c r="F1698">
        <f t="shared" si="63"/>
        <v>-1.7031771086961061E-2</v>
      </c>
      <c r="G1698">
        <f t="shared" si="62"/>
        <v>-2.8806473496293956E-2</v>
      </c>
    </row>
    <row r="1699" spans="1:38" x14ac:dyDescent="0.35">
      <c r="A1699" t="s">
        <v>96</v>
      </c>
      <c r="E1699">
        <v>3.3147663393253888E-4</v>
      </c>
      <c r="F1699">
        <f t="shared" si="63"/>
        <v>-1.7032873163172816E-2</v>
      </c>
      <c r="G1699">
        <f t="shared" si="62"/>
        <v>-2.8806473496293956E-2</v>
      </c>
    </row>
    <row r="1700" spans="1:38" x14ac:dyDescent="0.35">
      <c r="A1700" t="s">
        <v>96</v>
      </c>
      <c r="E1700">
        <v>5.2531835085722249E-3</v>
      </c>
      <c r="F1700">
        <f t="shared" si="63"/>
        <v>-1.7033975239384574E-2</v>
      </c>
      <c r="G1700">
        <f t="shared" si="62"/>
        <v>-2.8806473496293956E-2</v>
      </c>
    </row>
    <row r="1701" spans="1:38" x14ac:dyDescent="0.35">
      <c r="A1701" t="s">
        <v>96</v>
      </c>
      <c r="E1701">
        <v>-2.0869505266741233E-3</v>
      </c>
      <c r="F1701">
        <f t="shared" si="63"/>
        <v>-1.7035482203336318E-2</v>
      </c>
      <c r="G1701">
        <f t="shared" si="62"/>
        <v>-2.8918592527312142E-2</v>
      </c>
    </row>
    <row r="1702" spans="1:38" x14ac:dyDescent="0.35">
      <c r="A1702" t="s">
        <v>96</v>
      </c>
      <c r="E1702">
        <v>-2.0848235370959432E-3</v>
      </c>
      <c r="F1702">
        <f t="shared" si="63"/>
        <v>-1.7036989167288057E-2</v>
      </c>
      <c r="G1702">
        <f t="shared" si="62"/>
        <v>-2.8918592527312142E-2</v>
      </c>
    </row>
    <row r="1703" spans="1:38" x14ac:dyDescent="0.35">
      <c r="A1703" t="s">
        <v>96</v>
      </c>
      <c r="E1703">
        <v>1.3590329930022133E-3</v>
      </c>
      <c r="F1703">
        <f t="shared" si="63"/>
        <v>-1.70384961312398E-2</v>
      </c>
      <c r="G1703">
        <f t="shared" si="62"/>
        <v>-2.8918592527312142E-2</v>
      </c>
    </row>
    <row r="1704" spans="1:38" x14ac:dyDescent="0.35">
      <c r="A1704" t="s">
        <v>96</v>
      </c>
      <c r="E1704">
        <v>-1.9239478974291306E-3</v>
      </c>
      <c r="F1704">
        <f t="shared" si="63"/>
        <v>-1.7040003095191544E-2</v>
      </c>
      <c r="G1704">
        <f t="shared" si="62"/>
        <v>-2.8918592527312142E-2</v>
      </c>
    </row>
    <row r="1705" spans="1:38" x14ac:dyDescent="0.35">
      <c r="A1705" t="s">
        <v>96</v>
      </c>
      <c r="E1705">
        <v>-7.8213909541655739E-3</v>
      </c>
      <c r="F1705">
        <f t="shared" si="63"/>
        <v>-1.7041510059143287E-2</v>
      </c>
      <c r="G1705">
        <f t="shared" si="62"/>
        <v>-2.8918592527312142E-2</v>
      </c>
    </row>
    <row r="1706" spans="1:38" x14ac:dyDescent="0.35">
      <c r="A1706" t="s">
        <v>97</v>
      </c>
      <c r="B1706" s="3" cm="1">
        <f t="array" ref="B1706">_xlfn.STDEV.S(_xlfn._xlws.FILTER($E$1000:$E$1998, $A$1000:$A$1998="2016-11"))</f>
        <v>7.7790141176206891E-3</v>
      </c>
      <c r="C1706" s="3" cm="1">
        <f t="array" ref="C1706">AVERAGE(_xlfn._xlws.FILTER($E$1000:$E$1998, $A$1000:$A$1998="2016-11"))</f>
        <v>-5.4186460815725089E-5</v>
      </c>
      <c r="D1706" s="3" cm="1">
        <f t="array" ref="D1706">_xlfn.PERCENTILE.EXC(_xlfn._xlws.FILTER($E$1498:$E$2489, $A$1498:$A$2489="2016-11"), 0.05)</f>
        <v>-1.375545326549738E-2</v>
      </c>
      <c r="E1706">
        <v>-1.0562088186467089E-2</v>
      </c>
      <c r="F1706">
        <f t="shared" si="63"/>
        <v>-1.7043017023095026E-2</v>
      </c>
      <c r="G1706">
        <f t="shared" si="62"/>
        <v>-2.8918592527312142E-2</v>
      </c>
      <c r="AI1706" s="3"/>
      <c r="AJ1706" s="3"/>
      <c r="AK1706" s="3"/>
      <c r="AL1706" s="3"/>
    </row>
    <row r="1707" spans="1:38" x14ac:dyDescent="0.35">
      <c r="A1707" t="s">
        <v>97</v>
      </c>
      <c r="E1707">
        <v>-1.4318988279443903E-2</v>
      </c>
      <c r="F1707">
        <f t="shared" si="63"/>
        <v>-1.704452398704677E-2</v>
      </c>
      <c r="G1707">
        <f t="shared" si="62"/>
        <v>-2.8918592527312142E-2</v>
      </c>
    </row>
    <row r="1708" spans="1:38" x14ac:dyDescent="0.35">
      <c r="A1708" t="s">
        <v>97</v>
      </c>
      <c r="E1708">
        <v>-2.2439987513939272E-3</v>
      </c>
      <c r="F1708">
        <f t="shared" si="63"/>
        <v>-1.7046030950998513E-2</v>
      </c>
      <c r="G1708">
        <f t="shared" si="62"/>
        <v>-2.8918592527312142E-2</v>
      </c>
    </row>
    <row r="1709" spans="1:38" x14ac:dyDescent="0.35">
      <c r="A1709" t="s">
        <v>97</v>
      </c>
      <c r="E1709">
        <v>-6.3967613642578478E-3</v>
      </c>
      <c r="F1709">
        <f t="shared" si="63"/>
        <v>-1.7047537914950256E-2</v>
      </c>
      <c r="G1709">
        <f t="shared" si="62"/>
        <v>-2.8918592527312142E-2</v>
      </c>
    </row>
    <row r="1710" spans="1:38" x14ac:dyDescent="0.35">
      <c r="A1710" t="s">
        <v>97</v>
      </c>
      <c r="E1710">
        <v>1.8361261735048349E-2</v>
      </c>
      <c r="F1710">
        <f t="shared" si="63"/>
        <v>-1.7049044878901999E-2</v>
      </c>
      <c r="G1710">
        <f t="shared" si="62"/>
        <v>-2.8918592527312142E-2</v>
      </c>
    </row>
    <row r="1711" spans="1:38" x14ac:dyDescent="0.35">
      <c r="A1711" t="s">
        <v>97</v>
      </c>
      <c r="E1711">
        <v>4.6911009974744027E-3</v>
      </c>
      <c r="F1711">
        <f t="shared" si="63"/>
        <v>-1.7050551842853739E-2</v>
      </c>
      <c r="G1711">
        <f t="shared" si="62"/>
        <v>-2.8918592527312142E-2</v>
      </c>
    </row>
    <row r="1712" spans="1:38" x14ac:dyDescent="0.35">
      <c r="A1712" t="s">
        <v>97</v>
      </c>
      <c r="E1712">
        <v>1.0809813603026368E-2</v>
      </c>
      <c r="F1712">
        <f t="shared" si="63"/>
        <v>-1.7052058806805482E-2</v>
      </c>
      <c r="G1712">
        <f t="shared" si="62"/>
        <v>-2.8918592527312142E-2</v>
      </c>
    </row>
    <row r="1713" spans="1:38" x14ac:dyDescent="0.35">
      <c r="A1713" t="s">
        <v>97</v>
      </c>
      <c r="E1713">
        <v>-3.1788297224172851E-3</v>
      </c>
      <c r="F1713">
        <f t="shared" si="63"/>
        <v>-1.7053565770757225E-2</v>
      </c>
      <c r="G1713">
        <f t="shared" si="62"/>
        <v>-2.8918592527312142E-2</v>
      </c>
    </row>
    <row r="1714" spans="1:38" x14ac:dyDescent="0.35">
      <c r="A1714" t="s">
        <v>97</v>
      </c>
      <c r="E1714">
        <v>-5.453712207982327E-3</v>
      </c>
      <c r="F1714">
        <f t="shared" si="63"/>
        <v>-1.7055072734708965E-2</v>
      </c>
      <c r="G1714">
        <f t="shared" si="62"/>
        <v>-2.8918592527312142E-2</v>
      </c>
    </row>
    <row r="1715" spans="1:38" x14ac:dyDescent="0.35">
      <c r="A1715" t="s">
        <v>97</v>
      </c>
      <c r="E1715">
        <v>3.2225036206644168E-3</v>
      </c>
      <c r="F1715">
        <f t="shared" si="63"/>
        <v>-1.7056579698660708E-2</v>
      </c>
      <c r="G1715">
        <f t="shared" si="62"/>
        <v>-2.8918592527312142E-2</v>
      </c>
    </row>
    <row r="1716" spans="1:38" x14ac:dyDescent="0.35">
      <c r="A1716" t="s">
        <v>97</v>
      </c>
      <c r="E1716">
        <v>3.258059346229017E-3</v>
      </c>
      <c r="F1716">
        <f t="shared" si="63"/>
        <v>-1.7058086662612451E-2</v>
      </c>
      <c r="G1716">
        <f t="shared" si="62"/>
        <v>-2.8918592527312142E-2</v>
      </c>
    </row>
    <row r="1717" spans="1:38" x14ac:dyDescent="0.35">
      <c r="A1717" t="s">
        <v>97</v>
      </c>
      <c r="E1717">
        <v>-7.6892059006422372E-3</v>
      </c>
      <c r="F1717">
        <f t="shared" si="63"/>
        <v>-1.7059593626564194E-2</v>
      </c>
      <c r="G1717">
        <f t="shared" si="62"/>
        <v>-2.8918592527312142E-2</v>
      </c>
    </row>
    <row r="1718" spans="1:38" x14ac:dyDescent="0.35">
      <c r="A1718" t="s">
        <v>97</v>
      </c>
      <c r="E1718">
        <v>5.0855806977946208E-3</v>
      </c>
      <c r="F1718">
        <f t="shared" si="63"/>
        <v>-1.7061100590515934E-2</v>
      </c>
      <c r="G1718">
        <f t="shared" si="62"/>
        <v>-2.8918592527312142E-2</v>
      </c>
    </row>
    <row r="1719" spans="1:38" x14ac:dyDescent="0.35">
      <c r="A1719" t="s">
        <v>97</v>
      </c>
      <c r="E1719">
        <v>-6.9145298598065263E-3</v>
      </c>
      <c r="F1719">
        <f t="shared" si="63"/>
        <v>-1.7062607554467677E-2</v>
      </c>
      <c r="G1719">
        <f t="shared" si="62"/>
        <v>-2.8918592527312142E-2</v>
      </c>
    </row>
    <row r="1720" spans="1:38" x14ac:dyDescent="0.35">
      <c r="A1720" t="s">
        <v>97</v>
      </c>
      <c r="E1720">
        <v>4.0107093968920673E-3</v>
      </c>
      <c r="F1720">
        <f t="shared" si="63"/>
        <v>-1.706411451841942E-2</v>
      </c>
      <c r="G1720">
        <f t="shared" si="62"/>
        <v>-2.8918592527312142E-2</v>
      </c>
    </row>
    <row r="1721" spans="1:38" x14ac:dyDescent="0.35">
      <c r="A1721" t="s">
        <v>97</v>
      </c>
      <c r="E1721">
        <v>3.738506649669899E-3</v>
      </c>
      <c r="F1721">
        <f t="shared" si="63"/>
        <v>-1.7069132163045467E-2</v>
      </c>
      <c r="G1721">
        <f t="shared" si="62"/>
        <v>-2.9032577892782262E-2</v>
      </c>
    </row>
    <row r="1722" spans="1:38" x14ac:dyDescent="0.35">
      <c r="A1722" t="s">
        <v>97</v>
      </c>
      <c r="E1722">
        <v>-4.0122032537483606E-3</v>
      </c>
      <c r="F1722">
        <f t="shared" si="63"/>
        <v>-1.7074149807671513E-2</v>
      </c>
      <c r="G1722">
        <f t="shared" si="62"/>
        <v>-2.9032577892782262E-2</v>
      </c>
    </row>
    <row r="1723" spans="1:38" x14ac:dyDescent="0.35">
      <c r="A1723" t="s">
        <v>97</v>
      </c>
      <c r="E1723">
        <v>2.7862235079860655E-3</v>
      </c>
      <c r="F1723">
        <f t="shared" si="63"/>
        <v>-1.707916745229756E-2</v>
      </c>
      <c r="G1723">
        <f t="shared" si="62"/>
        <v>-2.9032577892782262E-2</v>
      </c>
    </row>
    <row r="1724" spans="1:38" x14ac:dyDescent="0.35">
      <c r="A1724" t="s">
        <v>97</v>
      </c>
      <c r="E1724">
        <v>2.5554376049144868E-3</v>
      </c>
      <c r="F1724">
        <f t="shared" si="63"/>
        <v>-1.7084185096923606E-2</v>
      </c>
      <c r="G1724">
        <f t="shared" si="62"/>
        <v>-2.9032577892782262E-2</v>
      </c>
    </row>
    <row r="1725" spans="1:38" x14ac:dyDescent="0.35">
      <c r="A1725" t="s">
        <v>97</v>
      </c>
      <c r="E1725">
        <v>-1.0413635007502527E-2</v>
      </c>
      <c r="F1725">
        <f t="shared" si="63"/>
        <v>-1.7089202741549653E-2</v>
      </c>
      <c r="G1725">
        <f t="shared" si="62"/>
        <v>-2.9032577892782262E-2</v>
      </c>
    </row>
    <row r="1726" spans="1:38" x14ac:dyDescent="0.35">
      <c r="A1726" t="s">
        <v>97</v>
      </c>
      <c r="E1726">
        <v>7.1409765040058278E-3</v>
      </c>
      <c r="F1726">
        <f t="shared" si="63"/>
        <v>-1.7094220386175699E-2</v>
      </c>
      <c r="G1726">
        <f t="shared" si="62"/>
        <v>-2.9032577892782262E-2</v>
      </c>
    </row>
    <row r="1727" spans="1:38" x14ac:dyDescent="0.35">
      <c r="A1727" t="s">
        <v>97</v>
      </c>
      <c r="E1727">
        <v>4.3316767320105603E-3</v>
      </c>
      <c r="F1727">
        <f t="shared" si="63"/>
        <v>-1.7099238030801746E-2</v>
      </c>
      <c r="G1727">
        <f t="shared" si="62"/>
        <v>-2.9032577892782262E-2</v>
      </c>
    </row>
    <row r="1728" spans="1:38" x14ac:dyDescent="0.35">
      <c r="A1728" t="s">
        <v>98</v>
      </c>
      <c r="B1728" s="3" cm="1">
        <f t="array" ref="B1728">_xlfn.STDEV.S(_xlfn._xlws.FILTER($E$1000:$E$1998, $A$1000:$A$1998="2016-12"))</f>
        <v>7.2629413287744471E-3</v>
      </c>
      <c r="C1728" s="3" cm="1">
        <f t="array" ref="C1728">AVERAGE(_xlfn._xlws.FILTER($E$1000:$E$1998, $A$1000:$A$1998="2016-12"))</f>
        <v>3.7688143400585149E-3</v>
      </c>
      <c r="D1728" s="3" cm="1">
        <f t="array" ref="D1728">_xlfn.PERCENTILE.EXC(_xlfn._xlws.FILTER($E$1498:$E$2489, $A$1498:$A$2489="2016-12"), 0.05)</f>
        <v>-7.705348442680407E-3</v>
      </c>
      <c r="E1728">
        <v>-6.78332062647967E-3</v>
      </c>
      <c r="F1728">
        <f t="shared" si="63"/>
        <v>-1.7104255675427792E-2</v>
      </c>
      <c r="G1728">
        <f t="shared" si="62"/>
        <v>-2.9032577892782262E-2</v>
      </c>
      <c r="AI1728" s="3"/>
      <c r="AJ1728" s="3"/>
      <c r="AK1728" s="3"/>
      <c r="AL1728" s="3"/>
    </row>
    <row r="1729" spans="1:7" x14ac:dyDescent="0.35">
      <c r="A1729" t="s">
        <v>98</v>
      </c>
      <c r="E1729">
        <v>-5.2430525773310838E-3</v>
      </c>
      <c r="F1729">
        <f t="shared" si="63"/>
        <v>-1.7109273320053839E-2</v>
      </c>
      <c r="G1729">
        <f t="shared" si="62"/>
        <v>-2.9032577892782262E-2</v>
      </c>
    </row>
    <row r="1730" spans="1:7" x14ac:dyDescent="0.35">
      <c r="A1730" t="s">
        <v>98</v>
      </c>
      <c r="E1730">
        <v>1.2399876736778356E-2</v>
      </c>
      <c r="F1730">
        <f t="shared" si="63"/>
        <v>-1.7114290964679885E-2</v>
      </c>
      <c r="G1730">
        <f t="shared" si="62"/>
        <v>-2.9032577892782262E-2</v>
      </c>
    </row>
    <row r="1731" spans="1:7" x14ac:dyDescent="0.35">
      <c r="A1731" t="s">
        <v>98</v>
      </c>
      <c r="E1731">
        <v>1.5604419003310645E-2</v>
      </c>
      <c r="F1731">
        <f t="shared" si="63"/>
        <v>-1.7119308609305932E-2</v>
      </c>
      <c r="G1731">
        <f t="shared" ref="G1731:G1794" si="64">AVERAGEIFS(E1731:E5547,E1731:E5547,"&lt;=" &amp; F1731)</f>
        <v>-2.9032577892782262E-2</v>
      </c>
    </row>
    <row r="1732" spans="1:7" x14ac:dyDescent="0.35">
      <c r="A1732" t="s">
        <v>98</v>
      </c>
      <c r="E1732">
        <v>1.3288678650470806E-2</v>
      </c>
      <c r="F1732">
        <f t="shared" ref="F1732:F1795" si="65">_xlfn.PERCENTILE.EXC(E1732:E5547,0.05)</f>
        <v>-1.7124326253931978E-2</v>
      </c>
      <c r="G1732">
        <f t="shared" si="64"/>
        <v>-2.9032577892782262E-2</v>
      </c>
    </row>
    <row r="1733" spans="1:7" x14ac:dyDescent="0.35">
      <c r="A1733" t="s">
        <v>98</v>
      </c>
      <c r="E1733">
        <v>1.3764374559701073E-2</v>
      </c>
      <c r="F1733">
        <f t="shared" si="65"/>
        <v>-1.7129343898558025E-2</v>
      </c>
      <c r="G1733">
        <f t="shared" si="64"/>
        <v>-2.9032577892782262E-2</v>
      </c>
    </row>
    <row r="1734" spans="1:7" x14ac:dyDescent="0.35">
      <c r="A1734" t="s">
        <v>98</v>
      </c>
      <c r="E1734">
        <v>3.681468221397585E-3</v>
      </c>
      <c r="F1734">
        <f t="shared" si="65"/>
        <v>-1.7134361543184071E-2</v>
      </c>
      <c r="G1734">
        <f t="shared" si="64"/>
        <v>-2.9032577892782262E-2</v>
      </c>
    </row>
    <row r="1735" spans="1:7" x14ac:dyDescent="0.35">
      <c r="A1735" t="s">
        <v>98</v>
      </c>
      <c r="E1735">
        <v>4.9088195587575309E-4</v>
      </c>
      <c r="F1735">
        <f t="shared" si="65"/>
        <v>-1.7139379187810118E-2</v>
      </c>
      <c r="G1735">
        <f t="shared" si="64"/>
        <v>-2.9032577892782262E-2</v>
      </c>
    </row>
    <row r="1736" spans="1:7" x14ac:dyDescent="0.35">
      <c r="A1736" t="s">
        <v>98</v>
      </c>
      <c r="E1736">
        <v>1.168473568327799E-2</v>
      </c>
      <c r="F1736">
        <f t="shared" si="65"/>
        <v>-1.7144396832436164E-2</v>
      </c>
      <c r="G1736">
        <f t="shared" si="64"/>
        <v>-2.9032577892782262E-2</v>
      </c>
    </row>
    <row r="1737" spans="1:7" x14ac:dyDescent="0.35">
      <c r="A1737" t="s">
        <v>98</v>
      </c>
      <c r="E1737">
        <v>-7.7538762224804462E-3</v>
      </c>
      <c r="F1737">
        <f t="shared" si="65"/>
        <v>-1.7149414477062211E-2</v>
      </c>
      <c r="G1737">
        <f t="shared" si="64"/>
        <v>-2.9032577892782262E-2</v>
      </c>
    </row>
    <row r="1738" spans="1:7" x14ac:dyDescent="0.35">
      <c r="A1738" t="s">
        <v>98</v>
      </c>
      <c r="E1738">
        <v>1.1771487558927728E-2</v>
      </c>
      <c r="F1738">
        <f t="shared" si="65"/>
        <v>-1.7154432121688257E-2</v>
      </c>
      <c r="G1738">
        <f t="shared" si="64"/>
        <v>-2.9032577892782262E-2</v>
      </c>
    </row>
    <row r="1739" spans="1:7" x14ac:dyDescent="0.35">
      <c r="A1739" t="s">
        <v>98</v>
      </c>
      <c r="E1739">
        <v>2.9190462240342207E-3</v>
      </c>
      <c r="F1739">
        <f t="shared" si="65"/>
        <v>-1.7159449766314304E-2</v>
      </c>
      <c r="G1739">
        <f t="shared" si="64"/>
        <v>-2.9032577892782262E-2</v>
      </c>
    </row>
    <row r="1740" spans="1:7" x14ac:dyDescent="0.35">
      <c r="A1740" t="s">
        <v>98</v>
      </c>
      <c r="E1740">
        <v>-4.2657076120693768E-4</v>
      </c>
      <c r="F1740">
        <f t="shared" si="65"/>
        <v>-1.716446741094035E-2</v>
      </c>
      <c r="G1740">
        <f t="shared" si="64"/>
        <v>-2.9032577892782262E-2</v>
      </c>
    </row>
    <row r="1741" spans="1:7" x14ac:dyDescent="0.35">
      <c r="A1741" t="s">
        <v>98</v>
      </c>
      <c r="E1741">
        <v>6.596059562972852E-3</v>
      </c>
      <c r="F1741">
        <f t="shared" si="65"/>
        <v>-1.7164579839016664E-2</v>
      </c>
      <c r="G1741">
        <f t="shared" si="64"/>
        <v>-2.9147802266392377E-2</v>
      </c>
    </row>
    <row r="1742" spans="1:7" x14ac:dyDescent="0.35">
      <c r="A1742" t="s">
        <v>98</v>
      </c>
      <c r="E1742">
        <v>-2.6442117584268652E-3</v>
      </c>
      <c r="F1742">
        <f t="shared" si="65"/>
        <v>-1.7164692267092978E-2</v>
      </c>
      <c r="G1742">
        <f t="shared" si="64"/>
        <v>-2.9147802266392377E-2</v>
      </c>
    </row>
    <row r="1743" spans="1:7" x14ac:dyDescent="0.35">
      <c r="A1743" t="s">
        <v>98</v>
      </c>
      <c r="E1743">
        <v>-3.7918982268515935E-4</v>
      </c>
      <c r="F1743">
        <f t="shared" si="65"/>
        <v>-1.7164804695169292E-2</v>
      </c>
      <c r="G1743">
        <f t="shared" si="64"/>
        <v>-2.9147802266392377E-2</v>
      </c>
    </row>
    <row r="1744" spans="1:7" x14ac:dyDescent="0.35">
      <c r="A1744" t="s">
        <v>98</v>
      </c>
      <c r="E1744">
        <v>1.3631892175606708E-3</v>
      </c>
      <c r="F1744">
        <f t="shared" si="65"/>
        <v>-1.7164917123245606E-2</v>
      </c>
      <c r="G1744">
        <f t="shared" si="64"/>
        <v>-2.9147802266392377E-2</v>
      </c>
    </row>
    <row r="1745" spans="1:38" x14ac:dyDescent="0.35">
      <c r="A1745" t="s">
        <v>98</v>
      </c>
      <c r="E1745">
        <v>1.4497865249216155E-3</v>
      </c>
      <c r="F1745">
        <f t="shared" si="65"/>
        <v>-1.7165029551321917E-2</v>
      </c>
      <c r="G1745">
        <f t="shared" si="64"/>
        <v>-2.9147802266392377E-2</v>
      </c>
    </row>
    <row r="1746" spans="1:38" x14ac:dyDescent="0.35">
      <c r="A1746" t="s">
        <v>98</v>
      </c>
      <c r="E1746">
        <v>-2.1250359116126629E-3</v>
      </c>
      <c r="F1746">
        <f t="shared" si="65"/>
        <v>-1.7165141979398231E-2</v>
      </c>
      <c r="G1746">
        <f t="shared" si="64"/>
        <v>-2.9147802266392377E-2</v>
      </c>
    </row>
    <row r="1747" spans="1:38" x14ac:dyDescent="0.35">
      <c r="A1747" t="s">
        <v>98</v>
      </c>
      <c r="E1747">
        <v>5.7175405821638199E-3</v>
      </c>
      <c r="F1747">
        <f t="shared" si="65"/>
        <v>-1.7165254407474545E-2</v>
      </c>
      <c r="G1747">
        <f t="shared" si="64"/>
        <v>-2.9147802266392377E-2</v>
      </c>
    </row>
    <row r="1748" spans="1:38" x14ac:dyDescent="0.35">
      <c r="A1748" t="s">
        <v>99</v>
      </c>
      <c r="B1748" s="3" cm="1">
        <f t="array" ref="B1748">_xlfn.STDEV.S(_xlfn._xlws.FILTER($E$1000:$E$1998, $A$1000:$A$1998="2017-01"))</f>
        <v>6.5741506866124526E-3</v>
      </c>
      <c r="C1748" s="3" cm="1">
        <f t="array" ref="C1748">AVERAGE(_xlfn._xlws.FILTER($E$1000:$E$1998, $A$1000:$A$1998="2017-01"))</f>
        <v>-8.7395074316176256E-4</v>
      </c>
      <c r="D1748" s="3" cm="1">
        <f t="array" ref="D1748">_xlfn.PERCENTILE.EXC(_xlfn._xlws.FILTER($E$1498:$E$2489, $A$1498:$A$2489="2017-01"), 0.05)</f>
        <v>-1.2119718732704661E-2</v>
      </c>
      <c r="E1748">
        <v>7.4180498029332662E-3</v>
      </c>
      <c r="F1748">
        <f t="shared" si="65"/>
        <v>-1.7165366835550859E-2</v>
      </c>
      <c r="G1748">
        <f t="shared" si="64"/>
        <v>-2.9147802266392377E-2</v>
      </c>
      <c r="AI1748" s="3"/>
      <c r="AJ1748" s="3"/>
      <c r="AK1748" s="3"/>
      <c r="AL1748" s="3"/>
    </row>
    <row r="1749" spans="1:38" x14ac:dyDescent="0.35">
      <c r="A1749" t="s">
        <v>99</v>
      </c>
      <c r="E1749">
        <v>7.5385903994435355E-4</v>
      </c>
      <c r="F1749">
        <f t="shared" si="65"/>
        <v>-1.7165479263627173E-2</v>
      </c>
      <c r="G1749">
        <f t="shared" si="64"/>
        <v>-2.9147802266392377E-2</v>
      </c>
    </row>
    <row r="1750" spans="1:38" x14ac:dyDescent="0.35">
      <c r="A1750" t="s">
        <v>99</v>
      </c>
      <c r="E1750">
        <v>-3.1655158020073716E-4</v>
      </c>
      <c r="F1750">
        <f t="shared" si="65"/>
        <v>-1.7165591691703487E-2</v>
      </c>
      <c r="G1750">
        <f t="shared" si="64"/>
        <v>-2.9147802266392377E-2</v>
      </c>
    </row>
    <row r="1751" spans="1:38" x14ac:dyDescent="0.35">
      <c r="A1751" t="s">
        <v>99</v>
      </c>
      <c r="E1751">
        <v>1.4161662233861485E-3</v>
      </c>
      <c r="F1751">
        <f t="shared" si="65"/>
        <v>-1.7165704119779801E-2</v>
      </c>
      <c r="G1751">
        <f t="shared" si="64"/>
        <v>-2.9147802266392377E-2</v>
      </c>
    </row>
    <row r="1752" spans="1:38" x14ac:dyDescent="0.35">
      <c r="A1752" t="s">
        <v>99</v>
      </c>
      <c r="E1752">
        <v>-3.6801677700196945E-3</v>
      </c>
      <c r="F1752">
        <f t="shared" si="65"/>
        <v>-1.7165816547856115E-2</v>
      </c>
      <c r="G1752">
        <f t="shared" si="64"/>
        <v>-2.9147802266392377E-2</v>
      </c>
    </row>
    <row r="1753" spans="1:38" x14ac:dyDescent="0.35">
      <c r="A1753" t="s">
        <v>99</v>
      </c>
      <c r="E1753">
        <v>-8.3444446262931598E-4</v>
      </c>
      <c r="F1753">
        <f t="shared" si="65"/>
        <v>-1.7165928975932429E-2</v>
      </c>
      <c r="G1753">
        <f t="shared" si="64"/>
        <v>-2.9147802266392377E-2</v>
      </c>
    </row>
    <row r="1754" spans="1:38" x14ac:dyDescent="0.35">
      <c r="A1754" t="s">
        <v>99</v>
      </c>
      <c r="E1754">
        <v>5.2312089669931557E-4</v>
      </c>
      <c r="F1754">
        <f t="shared" si="65"/>
        <v>-1.7166041404008743E-2</v>
      </c>
      <c r="G1754">
        <f t="shared" si="64"/>
        <v>-2.9147802266392377E-2</v>
      </c>
    </row>
    <row r="1755" spans="1:38" x14ac:dyDescent="0.35">
      <c r="A1755" t="s">
        <v>99</v>
      </c>
      <c r="E1755">
        <v>-6.4416172664758034E-3</v>
      </c>
      <c r="F1755">
        <f t="shared" si="65"/>
        <v>-1.7166153832085057E-2</v>
      </c>
      <c r="G1755">
        <f t="shared" si="64"/>
        <v>-2.9147802266392377E-2</v>
      </c>
    </row>
    <row r="1756" spans="1:38" x14ac:dyDescent="0.35">
      <c r="A1756" t="s">
        <v>99</v>
      </c>
      <c r="E1756">
        <v>1.1387136281395673E-2</v>
      </c>
      <c r="F1756">
        <f t="shared" si="65"/>
        <v>-1.7166266260161368E-2</v>
      </c>
      <c r="G1756">
        <f t="shared" si="64"/>
        <v>-2.9147802266392377E-2</v>
      </c>
    </row>
    <row r="1757" spans="1:38" x14ac:dyDescent="0.35">
      <c r="A1757" t="s">
        <v>99</v>
      </c>
      <c r="E1757">
        <v>-9.0076407480516579E-3</v>
      </c>
      <c r="F1757">
        <f t="shared" si="65"/>
        <v>-1.7166378688237682E-2</v>
      </c>
      <c r="G1757">
        <f t="shared" si="64"/>
        <v>-2.9147802266392377E-2</v>
      </c>
    </row>
    <row r="1758" spans="1:38" x14ac:dyDescent="0.35">
      <c r="A1758" t="s">
        <v>99</v>
      </c>
      <c r="E1758">
        <v>-2.884688993616311E-3</v>
      </c>
      <c r="F1758">
        <f t="shared" si="65"/>
        <v>-1.7166491116313996E-2</v>
      </c>
      <c r="G1758">
        <f t="shared" si="64"/>
        <v>-2.9147802266392377E-2</v>
      </c>
    </row>
    <row r="1759" spans="1:38" x14ac:dyDescent="0.35">
      <c r="A1759" t="s">
        <v>99</v>
      </c>
      <c r="E1759">
        <v>2.7238033328866812E-3</v>
      </c>
      <c r="F1759">
        <f t="shared" si="65"/>
        <v>-1.716660354439031E-2</v>
      </c>
      <c r="G1759">
        <f t="shared" si="64"/>
        <v>-2.9147802266392377E-2</v>
      </c>
    </row>
    <row r="1760" spans="1:38" x14ac:dyDescent="0.35">
      <c r="A1760" t="s">
        <v>99</v>
      </c>
      <c r="E1760">
        <v>-1.1147680569052437E-3</v>
      </c>
      <c r="F1760">
        <f t="shared" si="65"/>
        <v>-1.7166715972466624E-2</v>
      </c>
      <c r="G1760">
        <f t="shared" si="64"/>
        <v>-2.9147802266392377E-2</v>
      </c>
    </row>
    <row r="1761" spans="1:38" x14ac:dyDescent="0.35">
      <c r="A1761" t="s">
        <v>99</v>
      </c>
      <c r="E1761">
        <v>2.7648934040343494E-3</v>
      </c>
      <c r="F1761">
        <f t="shared" si="65"/>
        <v>-1.7172155231388941E-2</v>
      </c>
      <c r="G1761">
        <f t="shared" si="64"/>
        <v>-2.9265263896724982E-2</v>
      </c>
    </row>
    <row r="1762" spans="1:38" x14ac:dyDescent="0.35">
      <c r="A1762" t="s">
        <v>99</v>
      </c>
      <c r="E1762">
        <v>-8.0335404544239607E-3</v>
      </c>
      <c r="F1762">
        <f t="shared" si="65"/>
        <v>-1.7177594490311258E-2</v>
      </c>
      <c r="G1762">
        <f t="shared" si="64"/>
        <v>-2.9265263896724982E-2</v>
      </c>
    </row>
    <row r="1763" spans="1:38" x14ac:dyDescent="0.35">
      <c r="A1763" t="s">
        <v>99</v>
      </c>
      <c r="E1763">
        <v>2.5905604022946906E-3</v>
      </c>
      <c r="F1763">
        <f t="shared" si="65"/>
        <v>-1.7183033749233575E-2</v>
      </c>
      <c r="G1763">
        <f t="shared" si="64"/>
        <v>-2.9265263896724982E-2</v>
      </c>
    </row>
    <row r="1764" spans="1:38" x14ac:dyDescent="0.35">
      <c r="A1764" t="s">
        <v>99</v>
      </c>
      <c r="E1764">
        <v>1.3505701921628652E-2</v>
      </c>
      <c r="F1764">
        <f t="shared" si="65"/>
        <v>-1.7188473008155892E-2</v>
      </c>
      <c r="G1764">
        <f t="shared" si="64"/>
        <v>-2.9265263896724982E-2</v>
      </c>
    </row>
    <row r="1765" spans="1:38" x14ac:dyDescent="0.35">
      <c r="A1765" t="s">
        <v>99</v>
      </c>
      <c r="E1765">
        <v>-2.112778577077951E-3</v>
      </c>
      <c r="F1765">
        <f t="shared" si="65"/>
        <v>-1.7193912267078209E-2</v>
      </c>
      <c r="G1765">
        <f t="shared" si="64"/>
        <v>-2.9265263896724982E-2</v>
      </c>
    </row>
    <row r="1766" spans="1:38" x14ac:dyDescent="0.35">
      <c r="A1766" t="s">
        <v>99</v>
      </c>
      <c r="E1766">
        <v>-4.7716498034568863E-3</v>
      </c>
      <c r="F1766">
        <f t="shared" si="65"/>
        <v>-1.7199351526000526E-2</v>
      </c>
      <c r="G1766">
        <f t="shared" si="64"/>
        <v>-2.9265263896724982E-2</v>
      </c>
    </row>
    <row r="1767" spans="1:38" x14ac:dyDescent="0.35">
      <c r="A1767" t="s">
        <v>99</v>
      </c>
      <c r="E1767">
        <v>-1.2369847266038004E-2</v>
      </c>
      <c r="F1767">
        <f t="shared" si="65"/>
        <v>-1.7204790784922843E-2</v>
      </c>
      <c r="G1767">
        <f t="shared" si="64"/>
        <v>-2.9265263896724982E-2</v>
      </c>
    </row>
    <row r="1768" spans="1:38" x14ac:dyDescent="0.35">
      <c r="A1768" t="s">
        <v>99</v>
      </c>
      <c r="E1768">
        <v>-9.8685619327045816E-3</v>
      </c>
      <c r="F1768">
        <f t="shared" si="65"/>
        <v>-1.721023004384516E-2</v>
      </c>
      <c r="G1768">
        <f t="shared" si="64"/>
        <v>-2.9265263896724982E-2</v>
      </c>
    </row>
    <row r="1769" spans="1:38" x14ac:dyDescent="0.35">
      <c r="A1769" t="s">
        <v>100</v>
      </c>
      <c r="B1769" s="3" cm="1">
        <f t="array" ref="B1769">_xlfn.STDEV.S(_xlfn._xlws.FILTER($E$1000:$E$1998, $A$1000:$A$1998="2017-02"))</f>
        <v>5.8678999332889038E-3</v>
      </c>
      <c r="C1769" s="3" cm="1">
        <f t="array" ref="C1769">AVERAGE(_xlfn._xlws.FILTER($E$1000:$E$1998, $A$1000:$A$1998="2017-02"))</f>
        <v>1.3577332377976482E-3</v>
      </c>
      <c r="D1769" s="3" cm="1">
        <f t="array" ref="D1769">_xlfn.PERCENTILE.EXC(_xlfn._xlws.FILTER($E$1498:$E$2489, $A$1498:$A$2489="2017-02"), 0.05)</f>
        <v>-1.0604548340780137E-2</v>
      </c>
      <c r="E1769">
        <v>8.7032107541523424E-3</v>
      </c>
      <c r="F1769">
        <f t="shared" si="65"/>
        <v>-1.7215669302767477E-2</v>
      </c>
      <c r="G1769">
        <f t="shared" si="64"/>
        <v>-2.9265263896724982E-2</v>
      </c>
      <c r="AI1769" s="3"/>
      <c r="AJ1769" s="3"/>
      <c r="AK1769" s="3"/>
      <c r="AL1769" s="3"/>
    </row>
    <row r="1770" spans="1:38" x14ac:dyDescent="0.35">
      <c r="A1770" t="s">
        <v>100</v>
      </c>
      <c r="E1770">
        <v>-1.63070302223325E-3</v>
      </c>
      <c r="F1770">
        <f t="shared" si="65"/>
        <v>-1.7221108561689798E-2</v>
      </c>
      <c r="G1770">
        <f t="shared" si="64"/>
        <v>-2.9265263896724982E-2</v>
      </c>
    </row>
    <row r="1771" spans="1:38" x14ac:dyDescent="0.35">
      <c r="A1771" t="s">
        <v>100</v>
      </c>
      <c r="E1771">
        <v>5.975454139996882E-3</v>
      </c>
      <c r="F1771">
        <f t="shared" si="65"/>
        <v>-1.7226547820612111E-2</v>
      </c>
      <c r="G1771">
        <f t="shared" si="64"/>
        <v>-2.9265263896724982E-2</v>
      </c>
    </row>
    <row r="1772" spans="1:38" x14ac:dyDescent="0.35">
      <c r="A1772" t="s">
        <v>100</v>
      </c>
      <c r="E1772">
        <v>-1.0689014481928039E-2</v>
      </c>
      <c r="F1772">
        <f t="shared" si="65"/>
        <v>-1.7231987079534428E-2</v>
      </c>
      <c r="G1772">
        <f t="shared" si="64"/>
        <v>-2.9265263896724982E-2</v>
      </c>
    </row>
    <row r="1773" spans="1:38" x14ac:dyDescent="0.35">
      <c r="A1773" t="s">
        <v>100</v>
      </c>
      <c r="E1773">
        <v>-8.0321041324612704E-4</v>
      </c>
      <c r="F1773">
        <f t="shared" si="65"/>
        <v>-1.7237426338456745E-2</v>
      </c>
      <c r="G1773">
        <f t="shared" si="64"/>
        <v>-2.9265263896724982E-2</v>
      </c>
    </row>
    <row r="1774" spans="1:38" x14ac:dyDescent="0.35">
      <c r="A1774" t="s">
        <v>100</v>
      </c>
      <c r="E1774">
        <v>7.198301141096168E-4</v>
      </c>
      <c r="F1774">
        <f t="shared" si="65"/>
        <v>-1.7242865597379062E-2</v>
      </c>
      <c r="G1774">
        <f t="shared" si="64"/>
        <v>-2.9265263896724982E-2</v>
      </c>
    </row>
    <row r="1775" spans="1:38" x14ac:dyDescent="0.35">
      <c r="A1775" t="s">
        <v>100</v>
      </c>
      <c r="E1775">
        <v>1.2201206332511087E-2</v>
      </c>
      <c r="F1775">
        <f t="shared" si="65"/>
        <v>-1.7248304856301383E-2</v>
      </c>
      <c r="G1775">
        <f t="shared" si="64"/>
        <v>-2.9265263896724982E-2</v>
      </c>
    </row>
    <row r="1776" spans="1:38" x14ac:dyDescent="0.35">
      <c r="A1776" t="s">
        <v>100</v>
      </c>
      <c r="E1776">
        <v>-2.1256394845445329E-3</v>
      </c>
      <c r="F1776">
        <f t="shared" si="65"/>
        <v>-1.72537441152237E-2</v>
      </c>
      <c r="G1776">
        <f t="shared" si="64"/>
        <v>-2.9265263896724982E-2</v>
      </c>
    </row>
    <row r="1777" spans="1:38" x14ac:dyDescent="0.35">
      <c r="A1777" t="s">
        <v>100</v>
      </c>
      <c r="E1777">
        <v>1.0462287078641892E-2</v>
      </c>
      <c r="F1777">
        <f t="shared" si="65"/>
        <v>-1.7259183374146017E-2</v>
      </c>
      <c r="G1777">
        <f t="shared" si="64"/>
        <v>-2.9265263896724982E-2</v>
      </c>
    </row>
    <row r="1778" spans="1:38" x14ac:dyDescent="0.35">
      <c r="A1778" t="s">
        <v>100</v>
      </c>
      <c r="E1778">
        <v>1.1067233051637009E-3</v>
      </c>
      <c r="F1778">
        <f t="shared" si="65"/>
        <v>-1.7264622633068334E-2</v>
      </c>
      <c r="G1778">
        <f t="shared" si="64"/>
        <v>-2.9265263896724982E-2</v>
      </c>
    </row>
    <row r="1779" spans="1:38" x14ac:dyDescent="0.35">
      <c r="A1779" t="s">
        <v>100</v>
      </c>
      <c r="E1779">
        <v>4.4688431877793009E-3</v>
      </c>
      <c r="F1779">
        <f t="shared" si="65"/>
        <v>-1.7270061891990651E-2</v>
      </c>
      <c r="G1779">
        <f t="shared" si="64"/>
        <v>-2.9265263896724982E-2</v>
      </c>
    </row>
    <row r="1780" spans="1:38" x14ac:dyDescent="0.35">
      <c r="A1780" t="s">
        <v>100</v>
      </c>
      <c r="E1780">
        <v>-3.8192894687539072E-3</v>
      </c>
      <c r="F1780">
        <f t="shared" si="65"/>
        <v>-1.7275501150912968E-2</v>
      </c>
      <c r="G1780">
        <f t="shared" si="64"/>
        <v>-2.9265263896724982E-2</v>
      </c>
    </row>
    <row r="1781" spans="1:38" x14ac:dyDescent="0.35">
      <c r="A1781" t="s">
        <v>100</v>
      </c>
      <c r="E1781">
        <v>-6.7373130338370705E-4</v>
      </c>
      <c r="F1781">
        <f t="shared" si="65"/>
        <v>-1.7275946009568915E-2</v>
      </c>
      <c r="G1781">
        <f t="shared" si="64"/>
        <v>-2.9383974418960741E-2</v>
      </c>
    </row>
    <row r="1782" spans="1:38" x14ac:dyDescent="0.35">
      <c r="A1782" t="s">
        <v>100</v>
      </c>
      <c r="E1782">
        <v>1.0813750827229989E-3</v>
      </c>
      <c r="F1782">
        <f t="shared" si="65"/>
        <v>-1.7276390868224863E-2</v>
      </c>
      <c r="G1782">
        <f t="shared" si="64"/>
        <v>-2.9383974418960741E-2</v>
      </c>
    </row>
    <row r="1783" spans="1:38" x14ac:dyDescent="0.35">
      <c r="A1783" t="s">
        <v>100</v>
      </c>
      <c r="E1783">
        <v>8.1002048497951003E-3</v>
      </c>
      <c r="F1783">
        <f t="shared" si="65"/>
        <v>-1.7276835726880813E-2</v>
      </c>
      <c r="G1783">
        <f t="shared" si="64"/>
        <v>-2.9383974418960741E-2</v>
      </c>
    </row>
    <row r="1784" spans="1:38" x14ac:dyDescent="0.35">
      <c r="A1784" t="s">
        <v>100</v>
      </c>
      <c r="E1784">
        <v>-1.7967837571214285E-5</v>
      </c>
      <c r="F1784">
        <f t="shared" si="65"/>
        <v>-1.727728058553676E-2</v>
      </c>
      <c r="G1784">
        <f t="shared" si="64"/>
        <v>-2.9383974418960741E-2</v>
      </c>
    </row>
    <row r="1785" spans="1:38" x14ac:dyDescent="0.35">
      <c r="A1785" t="s">
        <v>100</v>
      </c>
      <c r="E1785">
        <v>-1.5914335698611511E-3</v>
      </c>
      <c r="F1785">
        <f t="shared" si="65"/>
        <v>-1.7277725444192708E-2</v>
      </c>
      <c r="G1785">
        <f t="shared" si="64"/>
        <v>-2.9383974418960741E-2</v>
      </c>
    </row>
    <row r="1786" spans="1:38" x14ac:dyDescent="0.35">
      <c r="A1786" t="s">
        <v>100</v>
      </c>
      <c r="E1786">
        <v>-8.9996916589699747E-3</v>
      </c>
      <c r="F1786">
        <f t="shared" si="65"/>
        <v>-1.7278170302848655E-2</v>
      </c>
      <c r="G1786">
        <f t="shared" si="64"/>
        <v>-2.9383974418960741E-2</v>
      </c>
    </row>
    <row r="1787" spans="1:38" x14ac:dyDescent="0.35">
      <c r="A1787" t="s">
        <v>100</v>
      </c>
      <c r="E1787">
        <v>1.5755916641281877E-3</v>
      </c>
      <c r="F1787">
        <f t="shared" si="65"/>
        <v>-1.7278615161504605E-2</v>
      </c>
      <c r="G1787">
        <f t="shared" si="64"/>
        <v>-2.9383974418960741E-2</v>
      </c>
    </row>
    <row r="1788" spans="1:38" x14ac:dyDescent="0.35">
      <c r="A1788" t="s">
        <v>100</v>
      </c>
      <c r="E1788">
        <v>3.1106194874437653E-3</v>
      </c>
      <c r="F1788">
        <f t="shared" si="65"/>
        <v>-1.7279060020160553E-2</v>
      </c>
      <c r="G1788">
        <f t="shared" si="64"/>
        <v>-2.9383974418960741E-2</v>
      </c>
    </row>
    <row r="1789" spans="1:38" x14ac:dyDescent="0.35">
      <c r="A1789" t="s">
        <v>101</v>
      </c>
      <c r="B1789" s="3" cm="1">
        <f t="array" ref="B1789">_xlfn.STDEV.S(_xlfn._xlws.FILTER($E$1000:$E$1998, $A$1000:$A$1998="2017-03"))</f>
        <v>5.8640276288442188E-3</v>
      </c>
      <c r="C1789" s="3" cm="1">
        <f t="array" ref="C1789">AVERAGE(_xlfn._xlws.FILTER($E$1000:$E$1998, $A$1000:$A$1998="2017-03"))</f>
        <v>2.3122322320235154E-3</v>
      </c>
      <c r="D1789" s="3" cm="1">
        <f t="array" ref="D1789">_xlfn.PERCENTILE.EXC(_xlfn._xlws.FILTER($E$1498:$E$2489, $A$1498:$A$2489="2017-03"), 0.05)</f>
        <v>-4.7088806169359437E-3</v>
      </c>
      <c r="E1789">
        <v>2.1041610553496279E-2</v>
      </c>
      <c r="F1789">
        <f t="shared" si="65"/>
        <v>-1.72795048788165E-2</v>
      </c>
      <c r="G1789">
        <f t="shared" si="64"/>
        <v>-2.9383974418960741E-2</v>
      </c>
      <c r="AI1789" s="3"/>
      <c r="AJ1789" s="3"/>
      <c r="AK1789" s="3"/>
      <c r="AL1789" s="3"/>
    </row>
    <row r="1790" spans="1:38" x14ac:dyDescent="0.35">
      <c r="A1790" t="s">
        <v>101</v>
      </c>
      <c r="E1790">
        <v>-1.6206860907908092E-3</v>
      </c>
      <c r="F1790">
        <f t="shared" si="65"/>
        <v>-1.7279949737472447E-2</v>
      </c>
      <c r="G1790">
        <f t="shared" si="64"/>
        <v>-2.9383974418960741E-2</v>
      </c>
    </row>
    <row r="1791" spans="1:38" x14ac:dyDescent="0.35">
      <c r="A1791" t="s">
        <v>101</v>
      </c>
      <c r="E1791">
        <v>5.5037631011921849E-3</v>
      </c>
      <c r="F1791">
        <f t="shared" si="65"/>
        <v>-1.7280394596128398E-2</v>
      </c>
      <c r="G1791">
        <f t="shared" si="64"/>
        <v>-2.9383974418960741E-2</v>
      </c>
    </row>
    <row r="1792" spans="1:38" x14ac:dyDescent="0.35">
      <c r="A1792" t="s">
        <v>101</v>
      </c>
      <c r="E1792">
        <v>-4.6916156946284968E-3</v>
      </c>
      <c r="F1792">
        <f t="shared" si="65"/>
        <v>-1.7280839454784345E-2</v>
      </c>
      <c r="G1792">
        <f t="shared" si="64"/>
        <v>-2.9383974418960741E-2</v>
      </c>
    </row>
    <row r="1793" spans="1:7" x14ac:dyDescent="0.35">
      <c r="A1793" t="s">
        <v>101</v>
      </c>
      <c r="E1793">
        <v>-6.9102176515149793E-4</v>
      </c>
      <c r="F1793">
        <f t="shared" si="65"/>
        <v>-1.7281284313440292E-2</v>
      </c>
      <c r="G1793">
        <f t="shared" si="64"/>
        <v>-2.9383974418960741E-2</v>
      </c>
    </row>
    <row r="1794" spans="1:7" x14ac:dyDescent="0.35">
      <c r="A1794" t="s">
        <v>101</v>
      </c>
      <c r="E1794">
        <v>1.3284644611621849E-3</v>
      </c>
      <c r="F1794">
        <f t="shared" si="65"/>
        <v>-1.7281729172096239E-2</v>
      </c>
      <c r="G1794">
        <f t="shared" si="64"/>
        <v>-2.9383974418960741E-2</v>
      </c>
    </row>
    <row r="1795" spans="1:7" x14ac:dyDescent="0.35">
      <c r="A1795" t="s">
        <v>101</v>
      </c>
      <c r="E1795">
        <v>5.9622119965743346E-3</v>
      </c>
      <c r="F1795">
        <f t="shared" si="65"/>
        <v>-1.728217403075219E-2</v>
      </c>
      <c r="G1795">
        <f t="shared" ref="G1795:G1858" si="66">AVERAGEIFS(E1795:E5611,E1795:E5611,"&lt;=" &amp; F1795)</f>
        <v>-2.9383974418960741E-2</v>
      </c>
    </row>
    <row r="1796" spans="1:7" x14ac:dyDescent="0.35">
      <c r="A1796" t="s">
        <v>101</v>
      </c>
      <c r="E1796">
        <v>1.8692799048816654E-3</v>
      </c>
      <c r="F1796">
        <f t="shared" ref="F1796:F1859" si="67">_xlfn.PERCENTILE.EXC(E1796:E5611,0.05)</f>
        <v>-1.7282618889408137E-2</v>
      </c>
      <c r="G1796">
        <f t="shared" si="66"/>
        <v>-2.9383974418960741E-2</v>
      </c>
    </row>
    <row r="1797" spans="1:7" x14ac:dyDescent="0.35">
      <c r="A1797" t="s">
        <v>101</v>
      </c>
      <c r="E1797">
        <v>-2.2834525902242509E-4</v>
      </c>
      <c r="F1797">
        <f t="shared" si="67"/>
        <v>-1.7283063748064084E-2</v>
      </c>
      <c r="G1797">
        <f t="shared" si="66"/>
        <v>-2.9383974418960741E-2</v>
      </c>
    </row>
    <row r="1798" spans="1:7" x14ac:dyDescent="0.35">
      <c r="A1798" t="s">
        <v>101</v>
      </c>
      <c r="E1798">
        <v>-4.713196847512805E-3</v>
      </c>
      <c r="F1798">
        <f t="shared" si="67"/>
        <v>-1.7283508606720031E-2</v>
      </c>
      <c r="G1798">
        <f t="shared" si="66"/>
        <v>-2.9383974418960741E-2</v>
      </c>
    </row>
    <row r="1799" spans="1:7" x14ac:dyDescent="0.35">
      <c r="A1799" t="s">
        <v>101</v>
      </c>
      <c r="E1799">
        <v>2.9050874112226473E-3</v>
      </c>
      <c r="F1799">
        <f t="shared" si="67"/>
        <v>-1.7283953465375982E-2</v>
      </c>
      <c r="G1799">
        <f t="shared" si="66"/>
        <v>-2.9383974418960741E-2</v>
      </c>
    </row>
    <row r="1800" spans="1:7" x14ac:dyDescent="0.35">
      <c r="A1800" t="s">
        <v>101</v>
      </c>
      <c r="E1800">
        <v>8.9469854905498553E-3</v>
      </c>
      <c r="F1800">
        <f t="shared" si="67"/>
        <v>-1.7284398324031929E-2</v>
      </c>
      <c r="G1800">
        <f t="shared" si="66"/>
        <v>-2.9383974418960741E-2</v>
      </c>
    </row>
    <row r="1801" spans="1:7" x14ac:dyDescent="0.35">
      <c r="A1801" t="s">
        <v>101</v>
      </c>
      <c r="E1801">
        <v>2.4534118343062183E-3</v>
      </c>
      <c r="F1801">
        <f t="shared" si="67"/>
        <v>-1.7288431285170925E-2</v>
      </c>
      <c r="G1801">
        <f t="shared" si="66"/>
        <v>-2.950497017991003E-2</v>
      </c>
    </row>
    <row r="1802" spans="1:7" x14ac:dyDescent="0.35">
      <c r="A1802" t="s">
        <v>101</v>
      </c>
      <c r="E1802">
        <v>-3.1746104510860938E-3</v>
      </c>
      <c r="F1802">
        <f t="shared" si="67"/>
        <v>-1.7292464246309921E-2</v>
      </c>
      <c r="G1802">
        <f t="shared" si="66"/>
        <v>-2.950497017991003E-2</v>
      </c>
    </row>
    <row r="1803" spans="1:7" x14ac:dyDescent="0.35">
      <c r="A1803" t="s">
        <v>101</v>
      </c>
      <c r="E1803">
        <v>-2.2891769254610038E-3</v>
      </c>
      <c r="F1803">
        <f t="shared" si="67"/>
        <v>-1.7296497207448917E-2</v>
      </c>
      <c r="G1803">
        <f t="shared" si="66"/>
        <v>-2.950497017991003E-2</v>
      </c>
    </row>
    <row r="1804" spans="1:7" x14ac:dyDescent="0.35">
      <c r="A1804" t="s">
        <v>101</v>
      </c>
      <c r="E1804">
        <v>-2.6042593751562991E-3</v>
      </c>
      <c r="F1804">
        <f t="shared" si="67"/>
        <v>-1.7300530168587912E-2</v>
      </c>
      <c r="G1804">
        <f t="shared" si="66"/>
        <v>-2.950497017991003E-2</v>
      </c>
    </row>
    <row r="1805" spans="1:7" x14ac:dyDescent="0.35">
      <c r="A1805" t="s">
        <v>101</v>
      </c>
      <c r="E1805">
        <v>9.1607070532386918E-3</v>
      </c>
      <c r="F1805">
        <f t="shared" si="67"/>
        <v>-1.7304563129726908E-2</v>
      </c>
      <c r="G1805">
        <f t="shared" si="66"/>
        <v>-2.950497017991003E-2</v>
      </c>
    </row>
    <row r="1806" spans="1:7" x14ac:dyDescent="0.35">
      <c r="A1806" t="s">
        <v>101</v>
      </c>
      <c r="E1806">
        <v>-2.3287759225623515E-3</v>
      </c>
      <c r="F1806">
        <f t="shared" si="67"/>
        <v>-1.7308596090865904E-2</v>
      </c>
      <c r="G1806">
        <f t="shared" si="66"/>
        <v>-2.950497017991003E-2</v>
      </c>
    </row>
    <row r="1807" spans="1:7" x14ac:dyDescent="0.35">
      <c r="A1807" t="s">
        <v>101</v>
      </c>
      <c r="E1807">
        <v>-2.0374093883261469E-3</v>
      </c>
      <c r="F1807">
        <f t="shared" si="67"/>
        <v>-1.73126290520049E-2</v>
      </c>
      <c r="G1807">
        <f t="shared" si="66"/>
        <v>-2.950497017991003E-2</v>
      </c>
    </row>
    <row r="1808" spans="1:7" x14ac:dyDescent="0.35">
      <c r="A1808" t="s">
        <v>101</v>
      </c>
      <c r="E1808">
        <v>8.0931042223318893E-3</v>
      </c>
      <c r="F1808">
        <f t="shared" si="67"/>
        <v>-1.7316662013143896E-2</v>
      </c>
      <c r="G1808">
        <f t="shared" si="66"/>
        <v>-2.950497017991003E-2</v>
      </c>
    </row>
    <row r="1809" spans="1:38" x14ac:dyDescent="0.35">
      <c r="A1809" t="s">
        <v>101</v>
      </c>
      <c r="E1809">
        <v>2.9393393821504563E-3</v>
      </c>
      <c r="F1809">
        <f t="shared" si="67"/>
        <v>-1.7320694974282892E-2</v>
      </c>
      <c r="G1809">
        <f t="shared" si="66"/>
        <v>-2.950497017991003E-2</v>
      </c>
    </row>
    <row r="1810" spans="1:38" x14ac:dyDescent="0.35">
      <c r="A1810" t="s">
        <v>101</v>
      </c>
      <c r="E1810">
        <v>1.8140398974767881E-3</v>
      </c>
      <c r="F1810">
        <f t="shared" si="67"/>
        <v>-1.7324727935421887E-2</v>
      </c>
      <c r="G1810">
        <f t="shared" si="66"/>
        <v>-2.950497017991003E-2</v>
      </c>
    </row>
    <row r="1811" spans="1:38" x14ac:dyDescent="0.35">
      <c r="A1811" t="s">
        <v>101</v>
      </c>
      <c r="E1811">
        <v>5.5424337476555922E-3</v>
      </c>
      <c r="F1811">
        <f t="shared" si="67"/>
        <v>-1.7328760896560883E-2</v>
      </c>
      <c r="G1811">
        <f t="shared" si="66"/>
        <v>-2.950497017991003E-2</v>
      </c>
    </row>
    <row r="1812" spans="1:38" x14ac:dyDescent="0.35">
      <c r="A1812" t="s">
        <v>102</v>
      </c>
      <c r="B1812" s="3" cm="1">
        <f t="array" ref="B1812">_xlfn.STDEV.S(_xlfn._xlws.FILTER($E$1000:$E$1998, $A$1000:$A$1998="2017-04"))</f>
        <v>1.0490128284637121E-2</v>
      </c>
      <c r="C1812" s="3" cm="1">
        <f t="array" ref="C1812">AVERAGE(_xlfn._xlws.FILTER($E$1000:$E$1998, $A$1000:$A$1998="2017-04"))</f>
        <v>9.2315123371745954E-4</v>
      </c>
      <c r="D1812" s="3" cm="1">
        <f t="array" ref="D1812">_xlfn.PERCENTILE.INC(_xlfn._xlws.FILTER($E$1498:$E$2489, $A$1498:$A$2489="2017-04"), 0.05)</f>
        <v>-8.506374938211856E-3</v>
      </c>
      <c r="E1812">
        <v>-8.027150002737635E-3</v>
      </c>
      <c r="F1812">
        <f t="shared" si="67"/>
        <v>-1.7332793857699879E-2</v>
      </c>
      <c r="G1812">
        <f t="shared" si="66"/>
        <v>-2.950497017991003E-2</v>
      </c>
      <c r="AI1812" s="3"/>
      <c r="AJ1812" s="3"/>
      <c r="AK1812" s="3"/>
      <c r="AL1812" s="3"/>
    </row>
    <row r="1813" spans="1:38" x14ac:dyDescent="0.35">
      <c r="A1813" t="s">
        <v>102</v>
      </c>
      <c r="E1813">
        <v>2.5076940642637046E-3</v>
      </c>
      <c r="F1813">
        <f t="shared" si="67"/>
        <v>-1.7336826818838875E-2</v>
      </c>
      <c r="G1813">
        <f t="shared" si="66"/>
        <v>-2.950497017991003E-2</v>
      </c>
    </row>
    <row r="1814" spans="1:38" x14ac:dyDescent="0.35">
      <c r="A1814" t="s">
        <v>102</v>
      </c>
      <c r="E1814">
        <v>-2.6113580088847816E-3</v>
      </c>
      <c r="F1814">
        <f t="shared" si="67"/>
        <v>-1.7340859779977871E-2</v>
      </c>
      <c r="G1814">
        <f t="shared" si="66"/>
        <v>-2.950497017991003E-2</v>
      </c>
    </row>
    <row r="1815" spans="1:38" x14ac:dyDescent="0.35">
      <c r="A1815" t="s">
        <v>102</v>
      </c>
      <c r="E1815">
        <v>4.8806859164733703E-3</v>
      </c>
      <c r="F1815">
        <f t="shared" si="67"/>
        <v>-1.7344892741116866E-2</v>
      </c>
      <c r="G1815">
        <f t="shared" si="66"/>
        <v>-2.950497017991003E-2</v>
      </c>
    </row>
    <row r="1816" spans="1:38" x14ac:dyDescent="0.35">
      <c r="A1816" t="s">
        <v>102</v>
      </c>
      <c r="E1816">
        <v>1.783728464441012E-3</v>
      </c>
      <c r="F1816">
        <f t="shared" si="67"/>
        <v>-1.7348925702255862E-2</v>
      </c>
      <c r="G1816">
        <f t="shared" si="66"/>
        <v>-2.950497017991003E-2</v>
      </c>
    </row>
    <row r="1817" spans="1:38" x14ac:dyDescent="0.35">
      <c r="A1817" t="s">
        <v>102</v>
      </c>
      <c r="E1817">
        <v>-4.4035253433131645E-3</v>
      </c>
      <c r="F1817">
        <f t="shared" si="67"/>
        <v>-1.7352958663394858E-2</v>
      </c>
      <c r="G1817">
        <f t="shared" si="66"/>
        <v>-2.950497017991003E-2</v>
      </c>
    </row>
    <row r="1818" spans="1:38" x14ac:dyDescent="0.35">
      <c r="A1818" t="s">
        <v>102</v>
      </c>
      <c r="E1818">
        <v>-2.992601305686282E-3</v>
      </c>
      <c r="F1818">
        <f t="shared" si="67"/>
        <v>-1.7356991624533854E-2</v>
      </c>
      <c r="G1818">
        <f t="shared" si="66"/>
        <v>-2.950497017991003E-2</v>
      </c>
    </row>
    <row r="1819" spans="1:38" x14ac:dyDescent="0.35">
      <c r="A1819" t="s">
        <v>102</v>
      </c>
      <c r="E1819">
        <v>-4.4101434011357027E-4</v>
      </c>
      <c r="F1819">
        <f t="shared" si="67"/>
        <v>-1.736102458567285E-2</v>
      </c>
      <c r="G1819">
        <f t="shared" si="66"/>
        <v>-2.950497017991003E-2</v>
      </c>
    </row>
    <row r="1820" spans="1:38" x14ac:dyDescent="0.35">
      <c r="A1820" t="s">
        <v>102</v>
      </c>
      <c r="E1820">
        <v>-5.8553509386987355E-3</v>
      </c>
      <c r="F1820">
        <f t="shared" si="67"/>
        <v>-1.7365057546811846E-2</v>
      </c>
      <c r="G1820">
        <f t="shared" si="66"/>
        <v>-2.950497017991003E-2</v>
      </c>
    </row>
    <row r="1821" spans="1:38" x14ac:dyDescent="0.35">
      <c r="A1821" t="s">
        <v>102</v>
      </c>
      <c r="E1821">
        <v>-1.1221982905899115E-2</v>
      </c>
      <c r="F1821">
        <f t="shared" si="67"/>
        <v>-1.7366083108812467E-2</v>
      </c>
      <c r="G1821">
        <f t="shared" si="66"/>
        <v>-2.9627595560042332E-2</v>
      </c>
    </row>
    <row r="1822" spans="1:38" x14ac:dyDescent="0.35">
      <c r="A1822" t="s">
        <v>102</v>
      </c>
      <c r="E1822">
        <v>3.2822097841628678E-3</v>
      </c>
      <c r="F1822">
        <f t="shared" si="67"/>
        <v>-1.7367108670813085E-2</v>
      </c>
      <c r="G1822">
        <f t="shared" si="66"/>
        <v>-2.9627595560042332E-2</v>
      </c>
    </row>
    <row r="1823" spans="1:38" x14ac:dyDescent="0.35">
      <c r="A1823" t="s">
        <v>102</v>
      </c>
      <c r="E1823">
        <v>5.5502094082114728E-3</v>
      </c>
      <c r="F1823">
        <f t="shared" si="67"/>
        <v>-1.7368134232813706E-2</v>
      </c>
      <c r="G1823">
        <f t="shared" si="66"/>
        <v>-2.9627595560042332E-2</v>
      </c>
    </row>
    <row r="1824" spans="1:38" x14ac:dyDescent="0.35">
      <c r="A1824" t="s">
        <v>102</v>
      </c>
      <c r="E1824">
        <v>6.9764399836295913E-5</v>
      </c>
      <c r="F1824">
        <f t="shared" si="67"/>
        <v>-1.7369159794814328E-2</v>
      </c>
      <c r="G1824">
        <f t="shared" si="66"/>
        <v>-2.9627595560042332E-2</v>
      </c>
    </row>
    <row r="1825" spans="1:38" x14ac:dyDescent="0.35">
      <c r="A1825" t="s">
        <v>102</v>
      </c>
      <c r="E1825">
        <v>3.9080732231602536E-2</v>
      </c>
      <c r="F1825">
        <f t="shared" si="67"/>
        <v>-1.7370185356814949E-2</v>
      </c>
      <c r="G1825">
        <f t="shared" si="66"/>
        <v>-2.9627595560042332E-2</v>
      </c>
    </row>
    <row r="1826" spans="1:38" x14ac:dyDescent="0.35">
      <c r="A1826" t="s">
        <v>102</v>
      </c>
      <c r="E1826">
        <v>1.6144037336197829E-3</v>
      </c>
      <c r="F1826">
        <f t="shared" si="67"/>
        <v>-1.7371210918815567E-2</v>
      </c>
      <c r="G1826">
        <f t="shared" si="66"/>
        <v>-2.9627595560042332E-2</v>
      </c>
    </row>
    <row r="1827" spans="1:38" x14ac:dyDescent="0.35">
      <c r="A1827" t="s">
        <v>102</v>
      </c>
      <c r="E1827">
        <v>-1.2426923618194309E-3</v>
      </c>
      <c r="F1827">
        <f t="shared" si="67"/>
        <v>-1.7372236480816188E-2</v>
      </c>
      <c r="G1827">
        <f t="shared" si="66"/>
        <v>-2.9627595560042332E-2</v>
      </c>
    </row>
    <row r="1828" spans="1:38" x14ac:dyDescent="0.35">
      <c r="A1828" t="s">
        <v>102</v>
      </c>
      <c r="E1828">
        <v>-4.3181248838876311E-3</v>
      </c>
      <c r="F1828">
        <f t="shared" si="67"/>
        <v>-1.737326204281681E-2</v>
      </c>
      <c r="G1828">
        <f t="shared" si="66"/>
        <v>-2.9627595560042332E-2</v>
      </c>
    </row>
    <row r="1829" spans="1:38" x14ac:dyDescent="0.35">
      <c r="A1829" t="s">
        <v>102</v>
      </c>
      <c r="E1829">
        <v>-1.0389057046564249E-3</v>
      </c>
      <c r="F1829">
        <f t="shared" si="67"/>
        <v>-1.7374287604817427E-2</v>
      </c>
      <c r="G1829">
        <f t="shared" si="66"/>
        <v>-2.9627595560042332E-2</v>
      </c>
    </row>
    <row r="1830" spans="1:38" x14ac:dyDescent="0.35">
      <c r="A1830" t="s">
        <v>103</v>
      </c>
      <c r="B1830" s="3" cm="1">
        <f t="array" ref="B1830">_xlfn.STDEV.S(_xlfn._xlws.FILTER($E$1000:$E$1998, $A$1000:$A$1998="2017-05"))</f>
        <v>6.022668428332982E-3</v>
      </c>
      <c r="C1830" s="3" cm="1">
        <f t="array" ref="C1830">AVERAGE(_xlfn._xlws.FILTER($E$1000:$E$1998, $A$1000:$A$1998="2017-05"))</f>
        <v>-6.6935409927293426E-5</v>
      </c>
      <c r="D1830" s="3" cm="1">
        <f t="array" ref="D1830">_xlfn.PERCENTILE.EXC(_xlfn._xlws.FILTER($E$1498:$E$2489, $A$1498:$A$2489="2017-05"), 0.05)</f>
        <v>-1.4845262798347648E-2</v>
      </c>
      <c r="E1830">
        <v>5.2173056787187559E-3</v>
      </c>
      <c r="F1830">
        <f t="shared" si="67"/>
        <v>-1.7375313166818049E-2</v>
      </c>
      <c r="G1830">
        <f t="shared" si="66"/>
        <v>-2.9627595560042332E-2</v>
      </c>
      <c r="AI1830" s="3"/>
      <c r="AJ1830" s="3"/>
      <c r="AK1830" s="3"/>
      <c r="AL1830" s="3"/>
    </row>
    <row r="1831" spans="1:38" x14ac:dyDescent="0.35">
      <c r="A1831" t="s">
        <v>103</v>
      </c>
      <c r="E1831">
        <v>2.244412942510788E-3</v>
      </c>
      <c r="F1831">
        <f t="shared" si="67"/>
        <v>-1.737633872881867E-2</v>
      </c>
      <c r="G1831">
        <f t="shared" si="66"/>
        <v>-2.9627595560042332E-2</v>
      </c>
    </row>
    <row r="1832" spans="1:38" x14ac:dyDescent="0.35">
      <c r="A1832" t="s">
        <v>103</v>
      </c>
      <c r="E1832">
        <v>1.1541367317454853E-2</v>
      </c>
      <c r="F1832">
        <f t="shared" si="67"/>
        <v>-1.7377364290819288E-2</v>
      </c>
      <c r="G1832">
        <f t="shared" si="66"/>
        <v>-2.9627595560042332E-2</v>
      </c>
    </row>
    <row r="1833" spans="1:38" x14ac:dyDescent="0.35">
      <c r="A1833" t="s">
        <v>103</v>
      </c>
      <c r="E1833">
        <v>8.484036028897593E-3</v>
      </c>
      <c r="F1833">
        <f t="shared" si="67"/>
        <v>-1.7378389852819909E-2</v>
      </c>
      <c r="G1833">
        <f t="shared" si="66"/>
        <v>-2.9627595560042332E-2</v>
      </c>
    </row>
    <row r="1834" spans="1:38" x14ac:dyDescent="0.35">
      <c r="A1834" t="s">
        <v>103</v>
      </c>
      <c r="E1834">
        <v>-4.5693076254174564E-3</v>
      </c>
      <c r="F1834">
        <f t="shared" si="67"/>
        <v>-1.7379415414820531E-2</v>
      </c>
      <c r="G1834">
        <f t="shared" si="66"/>
        <v>-2.9627595560042332E-2</v>
      </c>
    </row>
    <row r="1835" spans="1:38" x14ac:dyDescent="0.35">
      <c r="A1835" t="s">
        <v>103</v>
      </c>
      <c r="E1835">
        <v>1.9118969943587426E-3</v>
      </c>
      <c r="F1835">
        <f t="shared" si="67"/>
        <v>-1.7380440976821149E-2</v>
      </c>
      <c r="G1835">
        <f t="shared" si="66"/>
        <v>-2.9627595560042332E-2</v>
      </c>
    </row>
    <row r="1836" spans="1:38" x14ac:dyDescent="0.35">
      <c r="A1836" t="s">
        <v>103</v>
      </c>
      <c r="E1836">
        <v>-9.1571834079351661E-4</v>
      </c>
      <c r="F1836">
        <f t="shared" si="67"/>
        <v>-1.738146653882177E-2</v>
      </c>
      <c r="G1836">
        <f t="shared" si="66"/>
        <v>-2.9627595560042332E-2</v>
      </c>
    </row>
    <row r="1837" spans="1:38" x14ac:dyDescent="0.35">
      <c r="A1837" t="s">
        <v>103</v>
      </c>
      <c r="E1837">
        <v>-6.1051544026390148E-3</v>
      </c>
      <c r="F1837">
        <f t="shared" si="67"/>
        <v>-1.7382492100822391E-2</v>
      </c>
      <c r="G1837">
        <f t="shared" si="66"/>
        <v>-2.9627595560042332E-2</v>
      </c>
    </row>
    <row r="1838" spans="1:38" x14ac:dyDescent="0.35">
      <c r="A1838" t="s">
        <v>103</v>
      </c>
      <c r="E1838">
        <v>3.847922478983913E-3</v>
      </c>
      <c r="F1838">
        <f t="shared" si="67"/>
        <v>-1.7383517662823013E-2</v>
      </c>
      <c r="G1838">
        <f t="shared" si="66"/>
        <v>-2.9627595560042332E-2</v>
      </c>
    </row>
    <row r="1839" spans="1:38" x14ac:dyDescent="0.35">
      <c r="A1839" t="s">
        <v>103</v>
      </c>
      <c r="E1839">
        <v>1.1979010691462821E-3</v>
      </c>
      <c r="F1839">
        <f t="shared" si="67"/>
        <v>-1.7384543224823631E-2</v>
      </c>
      <c r="G1839">
        <f t="shared" si="66"/>
        <v>-2.9627595560042332E-2</v>
      </c>
    </row>
    <row r="1840" spans="1:38" x14ac:dyDescent="0.35">
      <c r="A1840" t="s">
        <v>103</v>
      </c>
      <c r="E1840">
        <v>2.7458307990323139E-6</v>
      </c>
      <c r="F1840">
        <f t="shared" si="67"/>
        <v>-1.7385568786824252E-2</v>
      </c>
      <c r="G1840">
        <f t="shared" si="66"/>
        <v>-2.9627595560042332E-2</v>
      </c>
    </row>
    <row r="1841" spans="1:38" x14ac:dyDescent="0.35">
      <c r="A1841" t="s">
        <v>103</v>
      </c>
      <c r="E1841">
        <v>-1.5791724541740451E-2</v>
      </c>
      <c r="F1841">
        <f t="shared" si="67"/>
        <v>-1.7402829944640957E-2</v>
      </c>
      <c r="G1841">
        <f t="shared" si="66"/>
        <v>-2.9752514200585375E-2</v>
      </c>
    </row>
    <row r="1842" spans="1:38" x14ac:dyDescent="0.35">
      <c r="A1842" t="s">
        <v>103</v>
      </c>
      <c r="E1842">
        <v>-6.3271071078124241E-3</v>
      </c>
      <c r="F1842">
        <f t="shared" si="67"/>
        <v>-1.7420091102457663E-2</v>
      </c>
      <c r="G1842">
        <f t="shared" si="66"/>
        <v>-2.9752514200585375E-2</v>
      </c>
    </row>
    <row r="1843" spans="1:38" x14ac:dyDescent="0.35">
      <c r="A1843" t="s">
        <v>103</v>
      </c>
      <c r="E1843">
        <v>6.9350403765805592E-3</v>
      </c>
      <c r="F1843">
        <f t="shared" si="67"/>
        <v>-1.7437352260274368E-2</v>
      </c>
      <c r="G1843">
        <f t="shared" si="66"/>
        <v>-2.9752514200585375E-2</v>
      </c>
    </row>
    <row r="1844" spans="1:38" x14ac:dyDescent="0.35">
      <c r="A1844" t="s">
        <v>103</v>
      </c>
      <c r="E1844">
        <v>-2.9259297712199146E-3</v>
      </c>
      <c r="F1844">
        <f t="shared" si="67"/>
        <v>-1.7454613418091073E-2</v>
      </c>
      <c r="G1844">
        <f t="shared" si="66"/>
        <v>-2.9752514200585375E-2</v>
      </c>
    </row>
    <row r="1845" spans="1:38" x14ac:dyDescent="0.35">
      <c r="A1845" t="s">
        <v>103</v>
      </c>
      <c r="E1845">
        <v>5.1592794416607706E-3</v>
      </c>
      <c r="F1845">
        <f t="shared" si="67"/>
        <v>-1.7471874575907785E-2</v>
      </c>
      <c r="G1845">
        <f t="shared" si="66"/>
        <v>-2.9752514200585375E-2</v>
      </c>
    </row>
    <row r="1846" spans="1:38" x14ac:dyDescent="0.35">
      <c r="A1846" t="s">
        <v>103</v>
      </c>
      <c r="E1846">
        <v>-2.3420812332297044E-3</v>
      </c>
      <c r="F1846">
        <f t="shared" si="67"/>
        <v>-1.748913573372449E-2</v>
      </c>
      <c r="G1846">
        <f t="shared" si="66"/>
        <v>-2.9752514200585375E-2</v>
      </c>
    </row>
    <row r="1847" spans="1:38" x14ac:dyDescent="0.35">
      <c r="A1847" t="s">
        <v>103</v>
      </c>
      <c r="E1847">
        <v>-5.7731166810776372E-4</v>
      </c>
      <c r="F1847">
        <f t="shared" si="67"/>
        <v>-1.7506396891541195E-2</v>
      </c>
      <c r="G1847">
        <f t="shared" si="66"/>
        <v>-2.9752514200585375E-2</v>
      </c>
    </row>
    <row r="1848" spans="1:38" x14ac:dyDescent="0.35">
      <c r="A1848" t="s">
        <v>103</v>
      </c>
      <c r="E1848">
        <v>-1.5439232389683347E-3</v>
      </c>
      <c r="F1848">
        <f t="shared" si="67"/>
        <v>-1.7523658049357901E-2</v>
      </c>
      <c r="G1848">
        <f t="shared" si="66"/>
        <v>-2.9752514200585375E-2</v>
      </c>
    </row>
    <row r="1849" spans="1:38" x14ac:dyDescent="0.35">
      <c r="A1849" t="s">
        <v>103</v>
      </c>
      <c r="E1849">
        <v>-4.98583713531567E-3</v>
      </c>
      <c r="F1849">
        <f t="shared" si="67"/>
        <v>-1.7540919207174606E-2</v>
      </c>
      <c r="G1849">
        <f t="shared" si="66"/>
        <v>-2.9752514200585375E-2</v>
      </c>
    </row>
    <row r="1850" spans="1:38" x14ac:dyDescent="0.35">
      <c r="A1850" t="s">
        <v>103</v>
      </c>
      <c r="E1850">
        <v>-1.8634567023402052E-3</v>
      </c>
      <c r="F1850">
        <f t="shared" si="67"/>
        <v>-1.7558180364991315E-2</v>
      </c>
      <c r="G1850">
        <f t="shared" si="66"/>
        <v>-2.9752514200585375E-2</v>
      </c>
    </row>
    <row r="1851" spans="1:38" x14ac:dyDescent="0.35">
      <c r="A1851" t="s">
        <v>104</v>
      </c>
      <c r="B1851" s="3" cm="1">
        <f t="array" ref="B1851">_xlfn.STDEV.S(_xlfn._xlws.FILTER($E$1000:$E$1998, $A$1000:$A$1998="2017-06"))</f>
        <v>7.1864502071325165E-3</v>
      </c>
      <c r="C1851" s="3" cm="1">
        <f t="array" ref="C1851">AVERAGE(_xlfn._xlws.FILTER($E$1000:$E$1998, $A$1000:$A$1998="2017-06"))</f>
        <v>-1.5343758263625272E-3</v>
      </c>
      <c r="D1851" s="3" cm="1">
        <f t="array" ref="D1851">_xlfn.PERCENTILE.EXC(_xlfn._xlws.FILTER($E$1498:$E$2489, $A$1498:$A$2489="2017-06"), 0.05)</f>
        <v>-1.7717641454602348E-2</v>
      </c>
      <c r="E1851">
        <v>3.4907872299221781E-3</v>
      </c>
      <c r="F1851">
        <f t="shared" si="67"/>
        <v>-1.7575441522808023E-2</v>
      </c>
      <c r="G1851">
        <f t="shared" si="66"/>
        <v>-2.9752514200585375E-2</v>
      </c>
      <c r="AI1851" s="3"/>
      <c r="AJ1851" s="3"/>
      <c r="AK1851" s="3"/>
      <c r="AL1851" s="3"/>
    </row>
    <row r="1852" spans="1:38" x14ac:dyDescent="0.35">
      <c r="A1852" t="s">
        <v>104</v>
      </c>
      <c r="E1852">
        <v>6.9285245121057295E-3</v>
      </c>
      <c r="F1852">
        <f t="shared" si="67"/>
        <v>-1.7592702680624728E-2</v>
      </c>
      <c r="G1852">
        <f t="shared" si="66"/>
        <v>-2.9752514200585375E-2</v>
      </c>
    </row>
    <row r="1853" spans="1:38" x14ac:dyDescent="0.35">
      <c r="A1853" t="s">
        <v>104</v>
      </c>
      <c r="E1853">
        <v>-1.0534662217695313E-2</v>
      </c>
      <c r="F1853">
        <f t="shared" si="67"/>
        <v>-1.7609963838441434E-2</v>
      </c>
      <c r="G1853">
        <f t="shared" si="66"/>
        <v>-2.9752514200585375E-2</v>
      </c>
    </row>
    <row r="1854" spans="1:38" x14ac:dyDescent="0.35">
      <c r="A1854" t="s">
        <v>104</v>
      </c>
      <c r="E1854">
        <v>-1.5035860819884493E-3</v>
      </c>
      <c r="F1854">
        <f t="shared" si="67"/>
        <v>-1.7627224996258139E-2</v>
      </c>
      <c r="G1854">
        <f t="shared" si="66"/>
        <v>-2.9752514200585375E-2</v>
      </c>
    </row>
    <row r="1855" spans="1:38" x14ac:dyDescent="0.35">
      <c r="A1855" t="s">
        <v>104</v>
      </c>
      <c r="E1855">
        <v>4.229049481965709E-3</v>
      </c>
      <c r="F1855">
        <f t="shared" si="67"/>
        <v>-1.7644486154074848E-2</v>
      </c>
      <c r="G1855">
        <f t="shared" si="66"/>
        <v>-2.9752514200585375E-2</v>
      </c>
    </row>
    <row r="1856" spans="1:38" x14ac:dyDescent="0.35">
      <c r="A1856" t="s">
        <v>104</v>
      </c>
      <c r="E1856">
        <v>6.2070563413206279E-3</v>
      </c>
      <c r="F1856">
        <f t="shared" si="67"/>
        <v>-1.7661747311891553E-2</v>
      </c>
      <c r="G1856">
        <f t="shared" si="66"/>
        <v>-2.9752514200585375E-2</v>
      </c>
    </row>
    <row r="1857" spans="1:38" x14ac:dyDescent="0.35">
      <c r="A1857" t="s">
        <v>104</v>
      </c>
      <c r="E1857">
        <v>-1.1814971058198948E-2</v>
      </c>
      <c r="F1857">
        <f t="shared" si="67"/>
        <v>-1.7679008469708258E-2</v>
      </c>
      <c r="G1857">
        <f t="shared" si="66"/>
        <v>-2.9752514200585375E-2</v>
      </c>
    </row>
    <row r="1858" spans="1:38" x14ac:dyDescent="0.35">
      <c r="A1858" t="s">
        <v>104</v>
      </c>
      <c r="E1858">
        <v>3.920126904419818E-3</v>
      </c>
      <c r="F1858">
        <f t="shared" si="67"/>
        <v>-1.7696269627524963E-2</v>
      </c>
      <c r="G1858">
        <f t="shared" si="66"/>
        <v>-2.9752514200585375E-2</v>
      </c>
    </row>
    <row r="1859" spans="1:38" x14ac:dyDescent="0.35">
      <c r="A1859" t="s">
        <v>104</v>
      </c>
      <c r="E1859">
        <v>-3.0175870397384538E-3</v>
      </c>
      <c r="F1859">
        <f t="shared" si="67"/>
        <v>-1.7713530785341672E-2</v>
      </c>
      <c r="G1859">
        <f t="shared" ref="G1859:G1922" si="68">AVERAGEIFS(E1859:E5675,E1859:E5675,"&lt;=" &amp; F1859)</f>
        <v>-2.9752514200585375E-2</v>
      </c>
    </row>
    <row r="1860" spans="1:38" x14ac:dyDescent="0.35">
      <c r="A1860" t="s">
        <v>104</v>
      </c>
      <c r="E1860">
        <v>-6.1335399516365434E-3</v>
      </c>
      <c r="F1860">
        <f t="shared" ref="F1860:F1923" si="69">_xlfn.PERCENTILE.EXC(E1860:E5675,0.05)</f>
        <v>-1.773079194315838E-2</v>
      </c>
      <c r="G1860">
        <f t="shared" si="68"/>
        <v>-2.9752514200585375E-2</v>
      </c>
    </row>
    <row r="1861" spans="1:38" x14ac:dyDescent="0.35">
      <c r="A1861" t="s">
        <v>104</v>
      </c>
      <c r="E1861">
        <v>5.211247920212313E-3</v>
      </c>
      <c r="F1861">
        <f t="shared" si="69"/>
        <v>-1.7735400054891371E-2</v>
      </c>
      <c r="G1861">
        <f t="shared" si="68"/>
        <v>-2.9876449481589778E-2</v>
      </c>
    </row>
    <row r="1862" spans="1:38" x14ac:dyDescent="0.35">
      <c r="A1862" t="s">
        <v>104</v>
      </c>
      <c r="E1862">
        <v>1.002330297008514E-2</v>
      </c>
      <c r="F1862">
        <f t="shared" si="69"/>
        <v>-1.7740008166624358E-2</v>
      </c>
      <c r="G1862">
        <f t="shared" si="68"/>
        <v>-2.9876449481589778E-2</v>
      </c>
    </row>
    <row r="1863" spans="1:38" x14ac:dyDescent="0.35">
      <c r="A1863" t="s">
        <v>104</v>
      </c>
      <c r="E1863">
        <v>-5.299554155349169E-3</v>
      </c>
      <c r="F1863">
        <f t="shared" si="69"/>
        <v>-1.7744616278357349E-2</v>
      </c>
      <c r="G1863">
        <f t="shared" si="68"/>
        <v>-2.9876449481589778E-2</v>
      </c>
    </row>
    <row r="1864" spans="1:38" x14ac:dyDescent="0.35">
      <c r="A1864" t="s">
        <v>104</v>
      </c>
      <c r="E1864">
        <v>-1.7737154703384849E-3</v>
      </c>
      <c r="F1864">
        <f t="shared" si="69"/>
        <v>-1.7749224390090339E-2</v>
      </c>
      <c r="G1864">
        <f t="shared" si="68"/>
        <v>-2.9876449481589778E-2</v>
      </c>
    </row>
    <row r="1865" spans="1:38" x14ac:dyDescent="0.35">
      <c r="A1865" t="s">
        <v>104</v>
      </c>
      <c r="E1865">
        <v>3.9661834162448131E-4</v>
      </c>
      <c r="F1865">
        <f t="shared" si="69"/>
        <v>-1.775383250182333E-2</v>
      </c>
      <c r="G1865">
        <f t="shared" si="68"/>
        <v>-2.9876449481589778E-2</v>
      </c>
    </row>
    <row r="1866" spans="1:38" x14ac:dyDescent="0.35">
      <c r="A1866" t="s">
        <v>104</v>
      </c>
      <c r="E1866">
        <v>-3.403088598035025E-3</v>
      </c>
      <c r="F1866">
        <f t="shared" si="69"/>
        <v>-1.7758440613556317E-2</v>
      </c>
      <c r="G1866">
        <f t="shared" si="68"/>
        <v>-2.9876449481589778E-2</v>
      </c>
    </row>
    <row r="1867" spans="1:38" x14ac:dyDescent="0.35">
      <c r="A1867" t="s">
        <v>104</v>
      </c>
      <c r="E1867">
        <v>5.0890695074714493E-3</v>
      </c>
      <c r="F1867">
        <f t="shared" si="69"/>
        <v>-1.7763048725289308E-2</v>
      </c>
      <c r="G1867">
        <f t="shared" si="68"/>
        <v>-2.9876449481589778E-2</v>
      </c>
    </row>
    <row r="1868" spans="1:38" x14ac:dyDescent="0.35">
      <c r="A1868" t="s">
        <v>104</v>
      </c>
      <c r="E1868">
        <v>-6.6027664923450167E-3</v>
      </c>
      <c r="F1868">
        <f t="shared" si="69"/>
        <v>-1.7767656837022298E-2</v>
      </c>
      <c r="G1868">
        <f t="shared" si="68"/>
        <v>-2.9876449481589778E-2</v>
      </c>
    </row>
    <row r="1869" spans="1:38" x14ac:dyDescent="0.35">
      <c r="A1869" t="s">
        <v>104</v>
      </c>
      <c r="E1869">
        <v>-7.4073868035384651E-4</v>
      </c>
      <c r="F1869">
        <f t="shared" si="69"/>
        <v>-1.7772264948755286E-2</v>
      </c>
      <c r="G1869">
        <f t="shared" si="68"/>
        <v>-2.9876449481589778E-2</v>
      </c>
    </row>
    <row r="1870" spans="1:38" x14ac:dyDescent="0.35">
      <c r="A1870" t="s">
        <v>104</v>
      </c>
      <c r="E1870">
        <v>-1.8373493720869393E-2</v>
      </c>
      <c r="F1870">
        <f t="shared" si="69"/>
        <v>-1.777687306048828E-2</v>
      </c>
      <c r="G1870">
        <f t="shared" si="68"/>
        <v>-2.9876449481589778E-2</v>
      </c>
    </row>
    <row r="1871" spans="1:38" x14ac:dyDescent="0.35">
      <c r="A1871" t="s">
        <v>104</v>
      </c>
      <c r="E1871">
        <v>-8.5199720961918728E-3</v>
      </c>
      <c r="F1871">
        <f t="shared" si="69"/>
        <v>-1.7575441522808023E-2</v>
      </c>
      <c r="G1871">
        <f t="shared" si="68"/>
        <v>-2.986982369006699E-2</v>
      </c>
    </row>
    <row r="1872" spans="1:38" x14ac:dyDescent="0.35">
      <c r="A1872" t="s">
        <v>105</v>
      </c>
      <c r="B1872" s="3" cm="1">
        <f t="array" ref="B1872">_xlfn.STDEV.S(_xlfn._xlws.FILTER($E$1000:$E$1998, $A$1000:$A$1998="2017-07"))</f>
        <v>7.0428138827924036E-3</v>
      </c>
      <c r="C1872" s="3" cm="1">
        <f t="array" ref="C1872">AVERAGE(_xlfn._xlws.FILTER($E$1000:$E$1998, $A$1000:$A$1998="2017-07"))</f>
        <v>1.0337489800819578E-4</v>
      </c>
      <c r="D1872" s="3" cm="1">
        <f t="array" ref="D1872">_xlfn.PERCENTILE.EXC(_xlfn._xlws.FILTER($E$1498:$E$2489, $A$1498:$A$2489="2017-07"), 0.05)</f>
        <v>-1.3449795685161151E-2</v>
      </c>
      <c r="E1872">
        <v>1.4402392686768663E-2</v>
      </c>
      <c r="F1872">
        <f t="shared" si="69"/>
        <v>-1.7592702680624728E-2</v>
      </c>
      <c r="G1872">
        <f t="shared" si="68"/>
        <v>-2.986982369006699E-2</v>
      </c>
      <c r="AI1872" s="3"/>
      <c r="AJ1872" s="3"/>
      <c r="AK1872" s="3"/>
      <c r="AL1872" s="3"/>
    </row>
    <row r="1873" spans="1:7" x14ac:dyDescent="0.35">
      <c r="A1873" t="s">
        <v>105</v>
      </c>
      <c r="E1873">
        <v>-3.5402430797297933E-3</v>
      </c>
      <c r="F1873">
        <f t="shared" si="69"/>
        <v>-1.7609963838441434E-2</v>
      </c>
      <c r="G1873">
        <f t="shared" si="68"/>
        <v>-2.986982369006699E-2</v>
      </c>
    </row>
    <row r="1874" spans="1:7" x14ac:dyDescent="0.35">
      <c r="A1874" t="s">
        <v>105</v>
      </c>
      <c r="E1874">
        <v>-3.0469051153526427E-4</v>
      </c>
      <c r="F1874">
        <f t="shared" si="69"/>
        <v>-1.7627224996258139E-2</v>
      </c>
      <c r="G1874">
        <f t="shared" si="68"/>
        <v>-2.986982369006699E-2</v>
      </c>
    </row>
    <row r="1875" spans="1:7" x14ac:dyDescent="0.35">
      <c r="A1875" t="s">
        <v>105</v>
      </c>
      <c r="E1875">
        <v>-4.7115051992579638E-3</v>
      </c>
      <c r="F1875">
        <f t="shared" si="69"/>
        <v>-1.7644486154074848E-2</v>
      </c>
      <c r="G1875">
        <f t="shared" si="68"/>
        <v>-2.986982369006699E-2</v>
      </c>
    </row>
    <row r="1876" spans="1:7" x14ac:dyDescent="0.35">
      <c r="A1876" t="s">
        <v>105</v>
      </c>
      <c r="E1876">
        <v>5.140126306158872E-4</v>
      </c>
      <c r="F1876">
        <f t="shared" si="69"/>
        <v>-1.7661747311891553E-2</v>
      </c>
      <c r="G1876">
        <f t="shared" si="68"/>
        <v>-2.986982369006699E-2</v>
      </c>
    </row>
    <row r="1877" spans="1:7" x14ac:dyDescent="0.35">
      <c r="A1877" t="s">
        <v>105</v>
      </c>
      <c r="E1877">
        <v>4.0968668201531522E-3</v>
      </c>
      <c r="F1877">
        <f t="shared" si="69"/>
        <v>-1.7679008469708258E-2</v>
      </c>
      <c r="G1877">
        <f t="shared" si="68"/>
        <v>-2.986982369006699E-2</v>
      </c>
    </row>
    <row r="1878" spans="1:7" x14ac:dyDescent="0.35">
      <c r="A1878" t="s">
        <v>105</v>
      </c>
      <c r="E1878">
        <v>-3.9121178472939395E-3</v>
      </c>
      <c r="F1878">
        <f t="shared" si="69"/>
        <v>-1.7696269627524963E-2</v>
      </c>
      <c r="G1878">
        <f t="shared" si="68"/>
        <v>-2.986982369006699E-2</v>
      </c>
    </row>
    <row r="1879" spans="1:7" x14ac:dyDescent="0.35">
      <c r="A1879" t="s">
        <v>105</v>
      </c>
      <c r="E1879">
        <v>1.4542407746991851E-2</v>
      </c>
      <c r="F1879">
        <f t="shared" si="69"/>
        <v>-1.7713530785341672E-2</v>
      </c>
      <c r="G1879">
        <f t="shared" si="68"/>
        <v>-2.986982369006699E-2</v>
      </c>
    </row>
    <row r="1880" spans="1:7" x14ac:dyDescent="0.35">
      <c r="A1880" t="s">
        <v>105</v>
      </c>
      <c r="E1880">
        <v>3.5779940656875554E-3</v>
      </c>
      <c r="F1880">
        <f t="shared" si="69"/>
        <v>-1.773079194315838E-2</v>
      </c>
      <c r="G1880">
        <f t="shared" si="68"/>
        <v>-2.986982369006699E-2</v>
      </c>
    </row>
    <row r="1881" spans="1:7" x14ac:dyDescent="0.35">
      <c r="A1881" t="s">
        <v>105</v>
      </c>
      <c r="E1881">
        <v>-5.3588366085913143E-4</v>
      </c>
      <c r="F1881">
        <f t="shared" si="69"/>
        <v>-1.7735400054891371E-2</v>
      </c>
      <c r="G1881">
        <f t="shared" si="68"/>
        <v>-2.9996271937430621E-2</v>
      </c>
    </row>
    <row r="1882" spans="1:7" x14ac:dyDescent="0.35">
      <c r="A1882" t="s">
        <v>105</v>
      </c>
      <c r="E1882">
        <v>-2.7235475755719328E-3</v>
      </c>
      <c r="F1882">
        <f t="shared" si="69"/>
        <v>-1.7740008166624358E-2</v>
      </c>
      <c r="G1882">
        <f t="shared" si="68"/>
        <v>-2.9996271937430621E-2</v>
      </c>
    </row>
    <row r="1883" spans="1:7" x14ac:dyDescent="0.35">
      <c r="A1883" t="s">
        <v>105</v>
      </c>
      <c r="E1883">
        <v>-1.0770608320900864E-2</v>
      </c>
      <c r="F1883">
        <f t="shared" si="69"/>
        <v>-1.7744616278357349E-2</v>
      </c>
      <c r="G1883">
        <f t="shared" si="68"/>
        <v>-2.9996271937430621E-2</v>
      </c>
    </row>
    <row r="1884" spans="1:7" x14ac:dyDescent="0.35">
      <c r="A1884" t="s">
        <v>105</v>
      </c>
      <c r="E1884">
        <v>6.1900538103486285E-3</v>
      </c>
      <c r="F1884">
        <f t="shared" si="69"/>
        <v>-1.7749224390090339E-2</v>
      </c>
      <c r="G1884">
        <f t="shared" si="68"/>
        <v>-2.9996271937430621E-2</v>
      </c>
    </row>
    <row r="1885" spans="1:7" x14ac:dyDescent="0.35">
      <c r="A1885" t="s">
        <v>105</v>
      </c>
      <c r="E1885">
        <v>-2.2572170324300505E-4</v>
      </c>
      <c r="F1885">
        <f t="shared" si="69"/>
        <v>-1.775383250182333E-2</v>
      </c>
      <c r="G1885">
        <f t="shared" si="68"/>
        <v>-2.9996271937430621E-2</v>
      </c>
    </row>
    <row r="1886" spans="1:7" x14ac:dyDescent="0.35">
      <c r="A1886" t="s">
        <v>105</v>
      </c>
      <c r="E1886">
        <v>-1.3747483170078961E-2</v>
      </c>
      <c r="F1886">
        <f t="shared" si="69"/>
        <v>-1.7758440613556317E-2</v>
      </c>
      <c r="G1886">
        <f t="shared" si="68"/>
        <v>-2.9996271937430621E-2</v>
      </c>
    </row>
    <row r="1887" spans="1:7" x14ac:dyDescent="0.35">
      <c r="A1887" t="s">
        <v>105</v>
      </c>
      <c r="E1887">
        <v>4.2288932516089682E-4</v>
      </c>
      <c r="F1887">
        <f t="shared" si="69"/>
        <v>-1.7763048725289308E-2</v>
      </c>
      <c r="G1887">
        <f t="shared" si="68"/>
        <v>-2.9996271937430621E-2</v>
      </c>
    </row>
    <row r="1888" spans="1:7" x14ac:dyDescent="0.35">
      <c r="A1888" t="s">
        <v>105</v>
      </c>
      <c r="E1888">
        <v>5.8815970993144747E-3</v>
      </c>
      <c r="F1888">
        <f t="shared" si="69"/>
        <v>-1.7767656837022298E-2</v>
      </c>
      <c r="G1888">
        <f t="shared" si="68"/>
        <v>-2.9996271937430621E-2</v>
      </c>
    </row>
    <row r="1889" spans="1:38" x14ac:dyDescent="0.35">
      <c r="A1889" t="s">
        <v>105</v>
      </c>
      <c r="E1889">
        <v>5.0684054611821808E-3</v>
      </c>
      <c r="F1889">
        <f t="shared" si="69"/>
        <v>-1.7772264948755286E-2</v>
      </c>
      <c r="G1889">
        <f t="shared" si="68"/>
        <v>-2.9996271937430621E-2</v>
      </c>
    </row>
    <row r="1890" spans="1:38" x14ac:dyDescent="0.35">
      <c r="A1890" t="s">
        <v>105</v>
      </c>
      <c r="E1890">
        <v>5.5839287395290972E-4</v>
      </c>
      <c r="F1890">
        <f t="shared" si="69"/>
        <v>-1.777687306048828E-2</v>
      </c>
      <c r="G1890">
        <f t="shared" si="68"/>
        <v>-2.9996271937430621E-2</v>
      </c>
    </row>
    <row r="1891" spans="1:38" x14ac:dyDescent="0.35">
      <c r="A1891" t="s">
        <v>105</v>
      </c>
      <c r="E1891">
        <v>-7.3008439656444208E-3</v>
      </c>
      <c r="F1891">
        <f t="shared" si="69"/>
        <v>-1.7781481172221267E-2</v>
      </c>
      <c r="G1891">
        <f t="shared" si="68"/>
        <v>-2.9996271937430621E-2</v>
      </c>
    </row>
    <row r="1892" spans="1:38" x14ac:dyDescent="0.35">
      <c r="A1892" t="s">
        <v>105</v>
      </c>
      <c r="E1892">
        <v>-5.3114946278888103E-3</v>
      </c>
      <c r="F1892">
        <f t="shared" si="69"/>
        <v>-1.7786089283954257E-2</v>
      </c>
      <c r="G1892">
        <f t="shared" si="68"/>
        <v>-2.9996271937430621E-2</v>
      </c>
    </row>
    <row r="1893" spans="1:38" x14ac:dyDescent="0.35">
      <c r="A1893" t="s">
        <v>106</v>
      </c>
      <c r="B1893" s="3" cm="1">
        <f t="array" ref="B1893">_xlfn.STDEV.S(_xlfn._xlws.FILTER($E$1000:$E$1998, $A$1000:$A$1998="2017-08"))</f>
        <v>8.1866462043207553E-3</v>
      </c>
      <c r="C1893" s="3" cm="1">
        <f t="array" ref="C1893">AVERAGE(_xlfn._xlws.FILTER($E$1000:$E$1998, $A$1000:$A$1998="2017-08"))</f>
        <v>-3.8659158573773705E-4</v>
      </c>
      <c r="D1893" s="3" cm="1">
        <f t="array" ref="D1893">_xlfn.PERCENTILE.EXC(_xlfn._xlws.FILTER($E$1498:$E$2489, $A$1498:$A$2489="2017-08"), 0.05)</f>
        <v>-1.4621738312865437E-2</v>
      </c>
      <c r="E1893">
        <v>8.0933058073846247E-3</v>
      </c>
      <c r="F1893">
        <f t="shared" si="69"/>
        <v>-1.7790697395687248E-2</v>
      </c>
      <c r="G1893">
        <f t="shared" si="68"/>
        <v>-2.9996271937430621E-2</v>
      </c>
      <c r="AI1893" s="3"/>
      <c r="AJ1893" s="3"/>
      <c r="AK1893" s="3"/>
      <c r="AL1893" s="3"/>
    </row>
    <row r="1894" spans="1:38" x14ac:dyDescent="0.35">
      <c r="A1894" t="s">
        <v>106</v>
      </c>
      <c r="E1894">
        <v>-5.2099744328566533E-3</v>
      </c>
      <c r="F1894">
        <f t="shared" si="69"/>
        <v>-1.7795305507420235E-2</v>
      </c>
      <c r="G1894">
        <f t="shared" si="68"/>
        <v>-2.9996271937430621E-2</v>
      </c>
    </row>
    <row r="1895" spans="1:38" x14ac:dyDescent="0.35">
      <c r="A1895" t="s">
        <v>106</v>
      </c>
      <c r="E1895">
        <v>2.0358989314043382E-3</v>
      </c>
      <c r="F1895">
        <f t="shared" si="69"/>
        <v>-1.7799913619153226E-2</v>
      </c>
      <c r="G1895">
        <f t="shared" si="68"/>
        <v>-2.9996271937430621E-2</v>
      </c>
    </row>
    <row r="1896" spans="1:38" x14ac:dyDescent="0.35">
      <c r="A1896" t="s">
        <v>106</v>
      </c>
      <c r="E1896">
        <v>1.1769936469550171E-2</v>
      </c>
      <c r="F1896">
        <f t="shared" si="69"/>
        <v>-1.7804521730886216E-2</v>
      </c>
      <c r="G1896">
        <f t="shared" si="68"/>
        <v>-2.9996271937430621E-2</v>
      </c>
    </row>
    <row r="1897" spans="1:38" x14ac:dyDescent="0.35">
      <c r="A1897" t="s">
        <v>106</v>
      </c>
      <c r="E1897">
        <v>-4.5913355746725912E-4</v>
      </c>
      <c r="F1897">
        <f t="shared" si="69"/>
        <v>-1.7809129842619207E-2</v>
      </c>
      <c r="G1897">
        <f t="shared" si="68"/>
        <v>-2.9996271937430621E-2</v>
      </c>
    </row>
    <row r="1898" spans="1:38" x14ac:dyDescent="0.35">
      <c r="A1898" t="s">
        <v>106</v>
      </c>
      <c r="E1898">
        <v>2.8000012596498189E-3</v>
      </c>
      <c r="F1898">
        <f t="shared" si="69"/>
        <v>-1.7813737954352194E-2</v>
      </c>
      <c r="G1898">
        <f t="shared" si="68"/>
        <v>-2.9996271937430621E-2</v>
      </c>
    </row>
    <row r="1899" spans="1:38" x14ac:dyDescent="0.35">
      <c r="A1899" t="s">
        <v>106</v>
      </c>
      <c r="E1899">
        <v>-1.3510932780009963E-2</v>
      </c>
      <c r="F1899">
        <f t="shared" si="69"/>
        <v>-1.7818346066085185E-2</v>
      </c>
      <c r="G1899">
        <f t="shared" si="68"/>
        <v>-2.9996271937430621E-2</v>
      </c>
    </row>
    <row r="1900" spans="1:38" x14ac:dyDescent="0.35">
      <c r="A1900" t="s">
        <v>106</v>
      </c>
      <c r="E1900">
        <v>-1.0116009355308167E-2</v>
      </c>
      <c r="F1900">
        <f t="shared" si="69"/>
        <v>-1.7822954177818175E-2</v>
      </c>
      <c r="G1900">
        <f t="shared" si="68"/>
        <v>-2.9996271937430621E-2</v>
      </c>
    </row>
    <row r="1901" spans="1:38" x14ac:dyDescent="0.35">
      <c r="A1901" t="s">
        <v>106</v>
      </c>
      <c r="E1901">
        <v>-7.9533978319306382E-3</v>
      </c>
      <c r="F1901">
        <f t="shared" si="69"/>
        <v>-1.7835115675933846E-2</v>
      </c>
      <c r="G1901">
        <f t="shared" si="68"/>
        <v>-3.0124412124373907E-2</v>
      </c>
    </row>
    <row r="1902" spans="1:38" x14ac:dyDescent="0.35">
      <c r="A1902" t="s">
        <v>106</v>
      </c>
      <c r="E1902">
        <v>1.2927115996040616E-2</v>
      </c>
      <c r="F1902">
        <f t="shared" si="69"/>
        <v>-1.784727717404952E-2</v>
      </c>
      <c r="G1902">
        <f t="shared" si="68"/>
        <v>-3.0124412124373907E-2</v>
      </c>
    </row>
    <row r="1903" spans="1:38" x14ac:dyDescent="0.35">
      <c r="A1903" t="s">
        <v>106</v>
      </c>
      <c r="E1903">
        <v>9.77913356532315E-3</v>
      </c>
      <c r="F1903">
        <f t="shared" si="69"/>
        <v>-1.785943867216519E-2</v>
      </c>
      <c r="G1903">
        <f t="shared" si="68"/>
        <v>-3.0124412124373907E-2</v>
      </c>
    </row>
    <row r="1904" spans="1:38" x14ac:dyDescent="0.35">
      <c r="A1904" t="s">
        <v>106</v>
      </c>
      <c r="E1904">
        <v>-6.5068594548677592E-3</v>
      </c>
      <c r="F1904">
        <f t="shared" si="69"/>
        <v>-1.7871600170280864E-2</v>
      </c>
      <c r="G1904">
        <f t="shared" si="68"/>
        <v>-3.0124412124373907E-2</v>
      </c>
    </row>
    <row r="1905" spans="1:38" x14ac:dyDescent="0.35">
      <c r="A1905" t="s">
        <v>106</v>
      </c>
      <c r="E1905">
        <v>-4.6149473915711985E-3</v>
      </c>
      <c r="F1905">
        <f t="shared" si="69"/>
        <v>-1.7883761668396538E-2</v>
      </c>
      <c r="G1905">
        <f t="shared" si="68"/>
        <v>-3.0124412124373907E-2</v>
      </c>
    </row>
    <row r="1906" spans="1:38" x14ac:dyDescent="0.35">
      <c r="A1906" t="s">
        <v>106</v>
      </c>
      <c r="E1906">
        <v>-6.5506613111681608E-3</v>
      </c>
      <c r="F1906">
        <f t="shared" si="69"/>
        <v>-1.7895923166512211E-2</v>
      </c>
      <c r="G1906">
        <f t="shared" si="68"/>
        <v>-3.0124412124373907E-2</v>
      </c>
    </row>
    <row r="1907" spans="1:38" x14ac:dyDescent="0.35">
      <c r="A1907" t="s">
        <v>106</v>
      </c>
      <c r="E1907">
        <v>9.3210271424823254E-3</v>
      </c>
      <c r="F1907">
        <f t="shared" si="69"/>
        <v>-1.7908084664627882E-2</v>
      </c>
      <c r="G1907">
        <f t="shared" si="68"/>
        <v>-3.0124412124373907E-2</v>
      </c>
    </row>
    <row r="1908" spans="1:38" x14ac:dyDescent="0.35">
      <c r="A1908" t="s">
        <v>106</v>
      </c>
      <c r="E1908">
        <v>-4.9200733985045476E-3</v>
      </c>
      <c r="F1908">
        <f t="shared" si="69"/>
        <v>-1.7920246162743556E-2</v>
      </c>
      <c r="G1908">
        <f t="shared" si="68"/>
        <v>-3.0124412124373907E-2</v>
      </c>
    </row>
    <row r="1909" spans="1:38" x14ac:dyDescent="0.35">
      <c r="A1909" t="s">
        <v>106</v>
      </c>
      <c r="E1909">
        <v>1.7723906920056819E-3</v>
      </c>
      <c r="F1909">
        <f t="shared" si="69"/>
        <v>-1.7932407660859226E-2</v>
      </c>
      <c r="G1909">
        <f t="shared" si="68"/>
        <v>-3.0124412124373907E-2</v>
      </c>
    </row>
    <row r="1910" spans="1:38" x14ac:dyDescent="0.35">
      <c r="A1910" t="s">
        <v>106</v>
      </c>
      <c r="E1910">
        <v>-1.7956560420484872E-3</v>
      </c>
      <c r="F1910">
        <f t="shared" si="69"/>
        <v>-1.7944569158974903E-2</v>
      </c>
      <c r="G1910">
        <f t="shared" si="68"/>
        <v>-3.0124412124373907E-2</v>
      </c>
    </row>
    <row r="1911" spans="1:38" x14ac:dyDescent="0.35">
      <c r="A1911" t="s">
        <v>106</v>
      </c>
      <c r="E1911">
        <v>-1.4745161149849379E-2</v>
      </c>
      <c r="F1911">
        <f t="shared" si="69"/>
        <v>-1.7956730657090574E-2</v>
      </c>
      <c r="G1911">
        <f t="shared" si="68"/>
        <v>-3.0124412124373907E-2</v>
      </c>
    </row>
    <row r="1912" spans="1:38" x14ac:dyDescent="0.35">
      <c r="A1912" t="s">
        <v>106</v>
      </c>
      <c r="E1912">
        <v>4.5613034458275806E-3</v>
      </c>
      <c r="F1912">
        <f t="shared" si="69"/>
        <v>-1.7968892155206244E-2</v>
      </c>
      <c r="G1912">
        <f t="shared" si="68"/>
        <v>-3.0124412124373907E-2</v>
      </c>
    </row>
    <row r="1913" spans="1:38" x14ac:dyDescent="0.35">
      <c r="A1913" t="s">
        <v>106</v>
      </c>
      <c r="E1913">
        <v>5.204270095421429E-3</v>
      </c>
      <c r="F1913">
        <f t="shared" si="69"/>
        <v>-1.7981053653321918E-2</v>
      </c>
      <c r="G1913">
        <f t="shared" si="68"/>
        <v>-3.0124412124373907E-2</v>
      </c>
    </row>
    <row r="1914" spans="1:38" x14ac:dyDescent="0.35">
      <c r="A1914" t="s">
        <v>107</v>
      </c>
      <c r="B1914" s="3" cm="1">
        <f t="array" ref="B1914">_xlfn.STDEV.S(_xlfn._xlws.FILTER($E$1000:$E$1998, $A$1000:$A$1998="2017-09"))</f>
        <v>4.2003048565218302E-3</v>
      </c>
      <c r="C1914" s="3" cm="1">
        <f t="array" ref="C1914">AVERAGE(_xlfn._xlws.FILTER($E$1000:$E$1998, $A$1000:$A$1998="2017-09"))</f>
        <v>2.3539039236756178E-3</v>
      </c>
      <c r="D1914" s="3" cm="1">
        <f t="array" ref="D1914">_xlfn.PERCENTILE.EXC(_xlfn._xlws.FILTER($E$1498:$E$2489, $A$1498:$A$2489="2017-09"), 0.05)</f>
        <v>-3.9503033482941952E-3</v>
      </c>
      <c r="E1914">
        <v>6.5284594650691719E-3</v>
      </c>
      <c r="F1914">
        <f t="shared" si="69"/>
        <v>-1.7993215151437588E-2</v>
      </c>
      <c r="G1914">
        <f t="shared" si="68"/>
        <v>-3.0124412124373907E-2</v>
      </c>
      <c r="AI1914" s="3"/>
      <c r="AJ1914" s="3"/>
      <c r="AK1914" s="3"/>
      <c r="AL1914" s="3"/>
    </row>
    <row r="1915" spans="1:38" x14ac:dyDescent="0.35">
      <c r="A1915" t="s">
        <v>107</v>
      </c>
      <c r="E1915">
        <v>-4.0443124958122441E-3</v>
      </c>
      <c r="F1915">
        <f t="shared" si="69"/>
        <v>-1.8005376649553265E-2</v>
      </c>
      <c r="G1915">
        <f t="shared" si="68"/>
        <v>-3.0124412124373907E-2</v>
      </c>
    </row>
    <row r="1916" spans="1:38" x14ac:dyDescent="0.35">
      <c r="A1916" t="s">
        <v>107</v>
      </c>
      <c r="E1916">
        <v>-2.662448805507265E-3</v>
      </c>
      <c r="F1916">
        <f t="shared" si="69"/>
        <v>-1.8017538147668936E-2</v>
      </c>
      <c r="G1916">
        <f t="shared" si="68"/>
        <v>-3.0124412124373907E-2</v>
      </c>
    </row>
    <row r="1917" spans="1:38" x14ac:dyDescent="0.35">
      <c r="A1917" t="s">
        <v>107</v>
      </c>
      <c r="E1917">
        <v>3.7755382094232137E-3</v>
      </c>
      <c r="F1917">
        <f t="shared" si="69"/>
        <v>-1.802969964578461E-2</v>
      </c>
      <c r="G1917">
        <f t="shared" si="68"/>
        <v>-3.0124412124373907E-2</v>
      </c>
    </row>
    <row r="1918" spans="1:38" x14ac:dyDescent="0.35">
      <c r="A1918" t="s">
        <v>107</v>
      </c>
      <c r="E1918">
        <v>4.0282203897634376E-3</v>
      </c>
      <c r="F1918">
        <f t="shared" si="69"/>
        <v>-1.804186114390028E-2</v>
      </c>
      <c r="G1918">
        <f t="shared" si="68"/>
        <v>-3.0124412124373907E-2</v>
      </c>
    </row>
    <row r="1919" spans="1:38" x14ac:dyDescent="0.35">
      <c r="A1919" t="s">
        <v>107</v>
      </c>
      <c r="E1919">
        <v>8.7015162394097647E-6</v>
      </c>
      <c r="F1919">
        <f t="shared" si="69"/>
        <v>-1.8054022642015954E-2</v>
      </c>
      <c r="G1919">
        <f t="shared" si="68"/>
        <v>-3.0124412124373907E-2</v>
      </c>
    </row>
    <row r="1920" spans="1:38" x14ac:dyDescent="0.35">
      <c r="A1920" t="s">
        <v>107</v>
      </c>
      <c r="E1920">
        <v>1.3683296017413247E-2</v>
      </c>
      <c r="F1920">
        <f t="shared" si="69"/>
        <v>-1.8066184140131628E-2</v>
      </c>
      <c r="G1920">
        <f t="shared" si="68"/>
        <v>-3.0124412124373907E-2</v>
      </c>
    </row>
    <row r="1921" spans="1:38" x14ac:dyDescent="0.35">
      <c r="A1921" t="s">
        <v>107</v>
      </c>
      <c r="E1921">
        <v>4.9573787801141305E-3</v>
      </c>
      <c r="F1921">
        <f t="shared" si="69"/>
        <v>-1.8070136484551132E-2</v>
      </c>
      <c r="G1921">
        <f t="shared" si="68"/>
        <v>-3.0252691145482867E-2</v>
      </c>
    </row>
    <row r="1922" spans="1:38" x14ac:dyDescent="0.35">
      <c r="A1922" t="s">
        <v>107</v>
      </c>
      <c r="E1922">
        <v>3.0075210639553224E-3</v>
      </c>
      <c r="F1922">
        <f t="shared" si="69"/>
        <v>-1.8074088828970637E-2</v>
      </c>
      <c r="G1922">
        <f t="shared" si="68"/>
        <v>-3.0252691145482867E-2</v>
      </c>
    </row>
    <row r="1923" spans="1:38" x14ac:dyDescent="0.35">
      <c r="A1923" t="s">
        <v>107</v>
      </c>
      <c r="E1923">
        <v>9.4756887602783575E-4</v>
      </c>
      <c r="F1923">
        <f t="shared" si="69"/>
        <v>-1.8078041173390139E-2</v>
      </c>
      <c r="G1923">
        <f t="shared" ref="G1923:G1986" si="70">AVERAGEIFS(E1923:E5739,E1923:E5739,"&lt;=" &amp; F1923)</f>
        <v>-3.0252691145482867E-2</v>
      </c>
    </row>
    <row r="1924" spans="1:38" x14ac:dyDescent="0.35">
      <c r="A1924" t="s">
        <v>107</v>
      </c>
      <c r="E1924">
        <v>-3.1042210206317536E-3</v>
      </c>
      <c r="F1924">
        <f t="shared" ref="F1924:F1987" si="71">_xlfn.PERCENTILE.EXC(E1924:E5739,0.05)</f>
        <v>-1.8081993517809643E-2</v>
      </c>
      <c r="G1924">
        <f t="shared" si="70"/>
        <v>-3.0252691145482867E-2</v>
      </c>
    </row>
    <row r="1925" spans="1:38" x14ac:dyDescent="0.35">
      <c r="A1925" t="s">
        <v>107</v>
      </c>
      <c r="E1925">
        <v>3.1779462128469198E-3</v>
      </c>
      <c r="F1925">
        <f t="shared" si="71"/>
        <v>-1.8085945862229148E-2</v>
      </c>
      <c r="G1925">
        <f t="shared" si="70"/>
        <v>-3.0252691145482867E-2</v>
      </c>
    </row>
    <row r="1926" spans="1:38" x14ac:dyDescent="0.35">
      <c r="A1926" t="s">
        <v>107</v>
      </c>
      <c r="E1926">
        <v>1.2581612105829936E-3</v>
      </c>
      <c r="F1926">
        <f t="shared" si="71"/>
        <v>-1.8089898206648653E-2</v>
      </c>
      <c r="G1926">
        <f t="shared" si="70"/>
        <v>-3.0252691145482867E-2</v>
      </c>
    </row>
    <row r="1927" spans="1:38" x14ac:dyDescent="0.35">
      <c r="A1927" t="s">
        <v>107</v>
      </c>
      <c r="E1927">
        <v>-1.5956402454195867E-3</v>
      </c>
      <c r="F1927">
        <f t="shared" si="71"/>
        <v>-1.8093850551068158E-2</v>
      </c>
      <c r="G1927">
        <f t="shared" si="70"/>
        <v>-3.0252691145482867E-2</v>
      </c>
    </row>
    <row r="1928" spans="1:38" x14ac:dyDescent="0.35">
      <c r="A1928" t="s">
        <v>107</v>
      </c>
      <c r="E1928">
        <v>3.9744487672145803E-3</v>
      </c>
      <c r="F1928">
        <f t="shared" si="71"/>
        <v>-1.8097802895487663E-2</v>
      </c>
      <c r="G1928">
        <f t="shared" si="70"/>
        <v>-3.0252691145482867E-2</v>
      </c>
    </row>
    <row r="1929" spans="1:38" x14ac:dyDescent="0.35">
      <c r="A1929" t="s">
        <v>107</v>
      </c>
      <c r="E1929">
        <v>5.1687542899731475E-4</v>
      </c>
      <c r="F1929">
        <f t="shared" si="71"/>
        <v>-1.8101755239907164E-2</v>
      </c>
      <c r="G1929">
        <f t="shared" si="70"/>
        <v>-3.0252691145482867E-2</v>
      </c>
    </row>
    <row r="1930" spans="1:38" x14ac:dyDescent="0.35">
      <c r="A1930" t="s">
        <v>107</v>
      </c>
      <c r="E1930">
        <v>-1.0198850193924177E-3</v>
      </c>
      <c r="F1930">
        <f t="shared" si="71"/>
        <v>-1.8105707584326669E-2</v>
      </c>
      <c r="G1930">
        <f t="shared" si="70"/>
        <v>-3.0252691145482867E-2</v>
      </c>
    </row>
    <row r="1931" spans="1:38" x14ac:dyDescent="0.35">
      <c r="A1931" t="s">
        <v>107</v>
      </c>
      <c r="E1931">
        <v>-4.0428657400420112E-4</v>
      </c>
      <c r="F1931">
        <f t="shared" si="71"/>
        <v>-1.8109659928746174E-2</v>
      </c>
      <c r="G1931">
        <f t="shared" si="70"/>
        <v>-3.0252691145482867E-2</v>
      </c>
    </row>
    <row r="1932" spans="1:38" x14ac:dyDescent="0.35">
      <c r="A1932" t="s">
        <v>107</v>
      </c>
      <c r="E1932">
        <v>5.2992770190546708E-3</v>
      </c>
      <c r="F1932">
        <f t="shared" si="71"/>
        <v>-1.8113612273165679E-2</v>
      </c>
      <c r="G1932">
        <f t="shared" si="70"/>
        <v>-3.0252691145482867E-2</v>
      </c>
    </row>
    <row r="1933" spans="1:38" x14ac:dyDescent="0.35">
      <c r="A1933" t="s">
        <v>107</v>
      </c>
      <c r="E1933">
        <v>2.3796123219524878E-3</v>
      </c>
      <c r="F1933">
        <f t="shared" si="71"/>
        <v>-1.8117564617585184E-2</v>
      </c>
      <c r="G1933">
        <f t="shared" si="70"/>
        <v>-3.0252691145482867E-2</v>
      </c>
    </row>
    <row r="1934" spans="1:38" x14ac:dyDescent="0.35">
      <c r="A1934" t="s">
        <v>107</v>
      </c>
      <c r="E1934">
        <v>8.7197712793007053E-3</v>
      </c>
      <c r="F1934">
        <f t="shared" si="71"/>
        <v>-1.8121516962004688E-2</v>
      </c>
      <c r="G1934">
        <f t="shared" si="70"/>
        <v>-3.0252691145482867E-2</v>
      </c>
    </row>
    <row r="1935" spans="1:38" x14ac:dyDescent="0.35">
      <c r="A1935" t="s">
        <v>108</v>
      </c>
      <c r="B1935" s="3" cm="1">
        <f t="array" ref="B1935">_xlfn.STDEV.S(_xlfn._xlws.FILTER($E$1000:$E$1998, $A$1000:$A$1998="2017-10"))</f>
        <v>3.9570770956058625E-3</v>
      </c>
      <c r="C1935" s="3" cm="1">
        <f t="array" ref="C1935">AVERAGE(_xlfn._xlws.FILTER($E$1000:$E$1998, $A$1000:$A$1998="2017-10"))</f>
        <v>9.2781664136938114E-4</v>
      </c>
      <c r="D1935" s="3" cm="1">
        <f t="array" ref="D1935">_xlfn.PERCENTILE.EXC(_xlfn._xlws.FILTER($E$1498:$E$2489, $A$1498:$A$2489="2017-10"), 0.05)</f>
        <v>-5.316374498732482E-3</v>
      </c>
      <c r="E1935">
        <v>2.1785229677627406E-3</v>
      </c>
      <c r="F1935">
        <f t="shared" si="71"/>
        <v>-1.8125469306424193E-2</v>
      </c>
      <c r="G1935">
        <f t="shared" si="70"/>
        <v>-3.0252691145482867E-2</v>
      </c>
      <c r="AI1935" s="3"/>
      <c r="AJ1935" s="3"/>
      <c r="AK1935" s="3"/>
      <c r="AL1935" s="3"/>
    </row>
    <row r="1936" spans="1:38" x14ac:dyDescent="0.35">
      <c r="A1936" t="s">
        <v>108</v>
      </c>
      <c r="E1936">
        <v>-2.1618325636320202E-3</v>
      </c>
      <c r="F1936">
        <f t="shared" si="71"/>
        <v>-1.8129421650843698E-2</v>
      </c>
      <c r="G1936">
        <f t="shared" si="70"/>
        <v>-3.0252691145482867E-2</v>
      </c>
    </row>
    <row r="1937" spans="1:7" x14ac:dyDescent="0.35">
      <c r="A1937" t="s">
        <v>108</v>
      </c>
      <c r="E1937">
        <v>5.1689451906215926E-3</v>
      </c>
      <c r="F1937">
        <f t="shared" si="71"/>
        <v>-1.8133373995263199E-2</v>
      </c>
      <c r="G1937">
        <f t="shared" si="70"/>
        <v>-3.0252691145482867E-2</v>
      </c>
    </row>
    <row r="1938" spans="1:7" x14ac:dyDescent="0.35">
      <c r="A1938" t="s">
        <v>108</v>
      </c>
      <c r="E1938">
        <v>-2.8322585811014329E-3</v>
      </c>
      <c r="F1938">
        <f t="shared" si="71"/>
        <v>-1.8137326339682704E-2</v>
      </c>
      <c r="G1938">
        <f t="shared" si="70"/>
        <v>-3.0252691145482867E-2</v>
      </c>
    </row>
    <row r="1939" spans="1:7" x14ac:dyDescent="0.35">
      <c r="A1939" t="s">
        <v>108</v>
      </c>
      <c r="E1939">
        <v>1.990624210458937E-3</v>
      </c>
      <c r="F1939">
        <f t="shared" si="71"/>
        <v>-1.8141278684102209E-2</v>
      </c>
      <c r="G1939">
        <f t="shared" si="70"/>
        <v>-3.0252691145482867E-2</v>
      </c>
    </row>
    <row r="1940" spans="1:7" x14ac:dyDescent="0.35">
      <c r="A1940" t="s">
        <v>108</v>
      </c>
      <c r="E1940">
        <v>-3.2485890561456459E-3</v>
      </c>
      <c r="F1940">
        <f t="shared" si="71"/>
        <v>-1.8145231028521714E-2</v>
      </c>
      <c r="G1940">
        <f t="shared" si="70"/>
        <v>-3.0252691145482867E-2</v>
      </c>
    </row>
    <row r="1941" spans="1:7" x14ac:dyDescent="0.35">
      <c r="A1941" t="s">
        <v>108</v>
      </c>
      <c r="E1941">
        <v>2.3868413175517854E-3</v>
      </c>
      <c r="F1941">
        <f t="shared" si="71"/>
        <v>-1.8148564285577155E-2</v>
      </c>
      <c r="G1941">
        <f t="shared" si="70"/>
        <v>-3.0382878888675992E-2</v>
      </c>
    </row>
    <row r="1942" spans="1:7" x14ac:dyDescent="0.35">
      <c r="A1942" t="s">
        <v>108</v>
      </c>
      <c r="E1942">
        <v>-5.1296769567059331E-4</v>
      </c>
      <c r="F1942">
        <f t="shared" si="71"/>
        <v>-1.8151897542632592E-2</v>
      </c>
      <c r="G1942">
        <f t="shared" si="70"/>
        <v>-3.0382878888675992E-2</v>
      </c>
    </row>
    <row r="1943" spans="1:7" x14ac:dyDescent="0.35">
      <c r="A1943" t="s">
        <v>108</v>
      </c>
      <c r="E1943">
        <v>-2.7461515909548432E-4</v>
      </c>
      <c r="F1943">
        <f t="shared" si="71"/>
        <v>-1.8155230799688032E-2</v>
      </c>
      <c r="G1943">
        <f t="shared" si="70"/>
        <v>-3.0382878888675992E-2</v>
      </c>
    </row>
    <row r="1944" spans="1:7" x14ac:dyDescent="0.35">
      <c r="A1944" t="s">
        <v>108</v>
      </c>
      <c r="E1944">
        <v>4.7706087036449235E-4</v>
      </c>
      <c r="F1944">
        <f t="shared" si="71"/>
        <v>-1.8158564056743473E-2</v>
      </c>
      <c r="G1944">
        <f t="shared" si="70"/>
        <v>-3.0382878888675992E-2</v>
      </c>
    </row>
    <row r="1945" spans="1:7" x14ac:dyDescent="0.35">
      <c r="A1945" t="s">
        <v>108</v>
      </c>
      <c r="E1945">
        <v>4.1585575395111332E-4</v>
      </c>
      <c r="F1945">
        <f t="shared" si="71"/>
        <v>-1.8161897313798914E-2</v>
      </c>
      <c r="G1945">
        <f t="shared" si="70"/>
        <v>-3.0382878888675992E-2</v>
      </c>
    </row>
    <row r="1946" spans="1:7" x14ac:dyDescent="0.35">
      <c r="A1946" t="s">
        <v>108</v>
      </c>
      <c r="E1946">
        <v>3.2874831404479565E-3</v>
      </c>
      <c r="F1946">
        <f t="shared" si="71"/>
        <v>-1.8165230570854351E-2</v>
      </c>
      <c r="G1946">
        <f t="shared" si="70"/>
        <v>-3.0382878888675992E-2</v>
      </c>
    </row>
    <row r="1947" spans="1:7" x14ac:dyDescent="0.35">
      <c r="A1947" t="s">
        <v>108</v>
      </c>
      <c r="E1947">
        <v>-4.8658796899761995E-3</v>
      </c>
      <c r="F1947">
        <f t="shared" si="71"/>
        <v>-1.8168563827909791E-2</v>
      </c>
      <c r="G1947">
        <f t="shared" si="70"/>
        <v>-3.0382878888675992E-2</v>
      </c>
    </row>
    <row r="1948" spans="1:7" x14ac:dyDescent="0.35">
      <c r="A1948" t="s">
        <v>108</v>
      </c>
      <c r="E1948">
        <v>8.3527936069342085E-4</v>
      </c>
      <c r="F1948">
        <f t="shared" si="71"/>
        <v>-1.8171897084965229E-2</v>
      </c>
      <c r="G1948">
        <f t="shared" si="70"/>
        <v>-3.0382878888675992E-2</v>
      </c>
    </row>
    <row r="1949" spans="1:7" x14ac:dyDescent="0.35">
      <c r="A1949" t="s">
        <v>108</v>
      </c>
      <c r="E1949">
        <v>1.047968202192516E-3</v>
      </c>
      <c r="F1949">
        <f t="shared" si="71"/>
        <v>-1.8175230342020669E-2</v>
      </c>
      <c r="G1949">
        <f t="shared" si="70"/>
        <v>-3.0382878888675992E-2</v>
      </c>
    </row>
    <row r="1950" spans="1:7" x14ac:dyDescent="0.35">
      <c r="A1950" t="s">
        <v>108</v>
      </c>
      <c r="E1950">
        <v>5.0418586134186425E-4</v>
      </c>
      <c r="F1950">
        <f t="shared" si="71"/>
        <v>-1.817856359907611E-2</v>
      </c>
      <c r="G1950">
        <f t="shared" si="70"/>
        <v>-3.0382878888675992E-2</v>
      </c>
    </row>
    <row r="1951" spans="1:7" x14ac:dyDescent="0.35">
      <c r="A1951" t="s">
        <v>108</v>
      </c>
      <c r="E1951">
        <v>-5.3400847518249176E-3</v>
      </c>
      <c r="F1951">
        <f t="shared" si="71"/>
        <v>-1.8181896856131551E-2</v>
      </c>
      <c r="G1951">
        <f t="shared" si="70"/>
        <v>-3.0382878888675992E-2</v>
      </c>
    </row>
    <row r="1952" spans="1:7" x14ac:dyDescent="0.35">
      <c r="A1952" t="s">
        <v>108</v>
      </c>
      <c r="E1952">
        <v>1.2655349806691203E-2</v>
      </c>
      <c r="F1952">
        <f t="shared" si="71"/>
        <v>-1.8185230113186988E-2</v>
      </c>
      <c r="G1952">
        <f t="shared" si="70"/>
        <v>-3.0382878888675992E-2</v>
      </c>
    </row>
    <row r="1953" spans="1:38" x14ac:dyDescent="0.35">
      <c r="A1953" t="s">
        <v>108</v>
      </c>
      <c r="E1953">
        <v>4.1237850694806023E-3</v>
      </c>
      <c r="F1953">
        <f t="shared" si="71"/>
        <v>-1.8188563370242428E-2</v>
      </c>
      <c r="G1953">
        <f t="shared" si="70"/>
        <v>-3.0382878888675992E-2</v>
      </c>
    </row>
    <row r="1954" spans="1:38" x14ac:dyDescent="0.35">
      <c r="A1954" t="s">
        <v>108</v>
      </c>
      <c r="E1954">
        <v>2.7206585732756916E-3</v>
      </c>
      <c r="F1954">
        <f t="shared" si="71"/>
        <v>-1.8191896627297869E-2</v>
      </c>
      <c r="G1954">
        <f t="shared" si="70"/>
        <v>-3.0382878888675992E-2</v>
      </c>
    </row>
    <row r="1955" spans="1:38" x14ac:dyDescent="0.35">
      <c r="A1955" t="s">
        <v>109</v>
      </c>
      <c r="B1955" s="3" cm="1">
        <f t="array" ref="B1955">_xlfn.STDEV.S(_xlfn._xlws.FILTER($E$1000:$E$1998, $A$1000:$A$1998="2017-11"))</f>
        <v>5.1532030520363634E-3</v>
      </c>
      <c r="C1955" s="3" cm="1">
        <f t="array" ref="C1955">AVERAGE(_xlfn._xlws.FILTER($E$1000:$E$1998, $A$1000:$A$1998="2017-11"))</f>
        <v>-1.1596641252819297E-3</v>
      </c>
      <c r="D1955" s="3" cm="1">
        <f t="array" ref="D1955">_xlfn.PERCENTILE.EXC(_xlfn._xlws.FILTER($E$1498:$E$2489, $A$1498:$A$2489="2017-11"), 0.05)</f>
        <v>-1.0914959917006259E-2</v>
      </c>
      <c r="E1955">
        <v>9.571271423831143E-3</v>
      </c>
      <c r="F1955">
        <f t="shared" si="71"/>
        <v>-1.8195229884353306E-2</v>
      </c>
      <c r="G1955">
        <f t="shared" si="70"/>
        <v>-3.0382878888675992E-2</v>
      </c>
      <c r="AI1955" s="3"/>
      <c r="AJ1955" s="3"/>
      <c r="AK1955" s="3"/>
      <c r="AL1955" s="3"/>
    </row>
    <row r="1956" spans="1:38" x14ac:dyDescent="0.35">
      <c r="A1956" t="s">
        <v>109</v>
      </c>
      <c r="E1956">
        <v>-2.3286680258493629E-3</v>
      </c>
      <c r="F1956">
        <f t="shared" si="71"/>
        <v>-1.8198563141408747E-2</v>
      </c>
      <c r="G1956">
        <f t="shared" si="70"/>
        <v>-3.0382878888675992E-2</v>
      </c>
    </row>
    <row r="1957" spans="1:38" x14ac:dyDescent="0.35">
      <c r="A1957" t="s">
        <v>109</v>
      </c>
      <c r="E1957">
        <v>3.1441597492153447E-4</v>
      </c>
      <c r="F1957">
        <f t="shared" si="71"/>
        <v>-1.8201896398464187E-2</v>
      </c>
      <c r="G1957">
        <f t="shared" si="70"/>
        <v>-3.0382878888675992E-2</v>
      </c>
    </row>
    <row r="1958" spans="1:38" x14ac:dyDescent="0.35">
      <c r="A1958" t="s">
        <v>109</v>
      </c>
      <c r="E1958">
        <v>-2.0617669043734841E-3</v>
      </c>
      <c r="F1958">
        <f t="shared" si="71"/>
        <v>-1.8205229655519625E-2</v>
      </c>
      <c r="G1958">
        <f t="shared" si="70"/>
        <v>-3.0382878888675992E-2</v>
      </c>
    </row>
    <row r="1959" spans="1:38" x14ac:dyDescent="0.35">
      <c r="A1959" t="s">
        <v>109</v>
      </c>
      <c r="E1959">
        <v>-6.4268256240923105E-3</v>
      </c>
      <c r="F1959">
        <f t="shared" si="71"/>
        <v>-1.8208562912575065E-2</v>
      </c>
      <c r="G1959">
        <f t="shared" si="70"/>
        <v>-3.0382878888675992E-2</v>
      </c>
    </row>
    <row r="1960" spans="1:38" x14ac:dyDescent="0.35">
      <c r="A1960" t="s">
        <v>109</v>
      </c>
      <c r="E1960">
        <v>-1.019988302508122E-3</v>
      </c>
      <c r="F1960">
        <f t="shared" si="71"/>
        <v>-1.8211896169630506E-2</v>
      </c>
      <c r="G1960">
        <f t="shared" si="70"/>
        <v>-3.0382878888675992E-2</v>
      </c>
    </row>
    <row r="1961" spans="1:38" x14ac:dyDescent="0.35">
      <c r="A1961" t="s">
        <v>109</v>
      </c>
      <c r="E1961">
        <v>-1.170698361575578E-2</v>
      </c>
      <c r="F1961">
        <f t="shared" si="71"/>
        <v>-1.8215095136405669E-2</v>
      </c>
      <c r="G1961">
        <f t="shared" si="70"/>
        <v>-3.0515172179100405E-2</v>
      </c>
    </row>
    <row r="1962" spans="1:38" x14ac:dyDescent="0.35">
      <c r="A1962" t="s">
        <v>109</v>
      </c>
      <c r="E1962">
        <v>-5.2010452702027426E-3</v>
      </c>
      <c r="F1962">
        <f t="shared" si="71"/>
        <v>-1.8218294103180835E-2</v>
      </c>
      <c r="G1962">
        <f t="shared" si="70"/>
        <v>-3.0515172179100405E-2</v>
      </c>
    </row>
    <row r="1963" spans="1:38" x14ac:dyDescent="0.35">
      <c r="A1963" t="s">
        <v>109</v>
      </c>
      <c r="E1963">
        <v>-5.3681067710930957E-3</v>
      </c>
      <c r="F1963">
        <f t="shared" si="71"/>
        <v>-1.8221493069955998E-2</v>
      </c>
      <c r="G1963">
        <f t="shared" si="70"/>
        <v>-3.0515172179100405E-2</v>
      </c>
    </row>
    <row r="1964" spans="1:38" x14ac:dyDescent="0.35">
      <c r="A1964" t="s">
        <v>109</v>
      </c>
      <c r="E1964">
        <v>-5.0877278126002807E-3</v>
      </c>
      <c r="F1964">
        <f t="shared" si="71"/>
        <v>-1.8224692036731164E-2</v>
      </c>
      <c r="G1964">
        <f t="shared" si="70"/>
        <v>-3.0515172179100405E-2</v>
      </c>
    </row>
    <row r="1965" spans="1:38" x14ac:dyDescent="0.35">
      <c r="A1965" t="s">
        <v>109</v>
      </c>
      <c r="E1965">
        <v>-3.0019312612596192E-3</v>
      </c>
      <c r="F1965">
        <f t="shared" si="71"/>
        <v>-1.822789100350633E-2</v>
      </c>
      <c r="G1965">
        <f t="shared" si="70"/>
        <v>-3.0515172179100405E-2</v>
      </c>
    </row>
    <row r="1966" spans="1:38" x14ac:dyDescent="0.35">
      <c r="A1966" t="s">
        <v>109</v>
      </c>
      <c r="E1966">
        <v>5.36670898737853E-3</v>
      </c>
      <c r="F1966">
        <f t="shared" si="71"/>
        <v>-1.8231089970281493E-2</v>
      </c>
      <c r="G1966">
        <f t="shared" si="70"/>
        <v>-3.0515172179100405E-2</v>
      </c>
    </row>
    <row r="1967" spans="1:38" x14ac:dyDescent="0.35">
      <c r="A1967" t="s">
        <v>109</v>
      </c>
      <c r="E1967">
        <v>-4.8760968684411947E-3</v>
      </c>
      <c r="F1967">
        <f t="shared" si="71"/>
        <v>-1.8234288937056656E-2</v>
      </c>
      <c r="G1967">
        <f t="shared" si="70"/>
        <v>-3.0515172179100405E-2</v>
      </c>
    </row>
    <row r="1968" spans="1:38" x14ac:dyDescent="0.35">
      <c r="A1968" t="s">
        <v>109</v>
      </c>
      <c r="E1968">
        <v>3.9246794233425801E-3</v>
      </c>
      <c r="F1968">
        <f t="shared" si="71"/>
        <v>-1.8237487903831822E-2</v>
      </c>
      <c r="G1968">
        <f t="shared" si="70"/>
        <v>-3.0515172179100405E-2</v>
      </c>
    </row>
    <row r="1969" spans="1:38" x14ac:dyDescent="0.35">
      <c r="A1969" t="s">
        <v>109</v>
      </c>
      <c r="E1969">
        <v>5.0163043711844981E-3</v>
      </c>
      <c r="F1969">
        <f t="shared" si="71"/>
        <v>-1.8240686870606985E-2</v>
      </c>
      <c r="G1969">
        <f t="shared" si="70"/>
        <v>-3.0515172179100405E-2</v>
      </c>
    </row>
    <row r="1970" spans="1:38" x14ac:dyDescent="0.35">
      <c r="A1970" t="s">
        <v>109</v>
      </c>
      <c r="E1970">
        <v>-4.6681882653339434E-3</v>
      </c>
      <c r="F1970">
        <f t="shared" si="71"/>
        <v>-1.8243885837382151E-2</v>
      </c>
      <c r="G1970">
        <f t="shared" si="70"/>
        <v>-3.0515172179100405E-2</v>
      </c>
    </row>
    <row r="1971" spans="1:38" x14ac:dyDescent="0.35">
      <c r="A1971" t="s">
        <v>109</v>
      </c>
      <c r="E1971">
        <v>2.6406097152132458E-3</v>
      </c>
      <c r="F1971">
        <f t="shared" si="71"/>
        <v>-1.8247084804157314E-2</v>
      </c>
      <c r="G1971">
        <f t="shared" si="70"/>
        <v>-3.0515172179100405E-2</v>
      </c>
    </row>
    <row r="1972" spans="1:38" x14ac:dyDescent="0.35">
      <c r="A1972" t="s">
        <v>109</v>
      </c>
      <c r="E1972">
        <v>2.5610571363463607E-3</v>
      </c>
      <c r="F1972">
        <f t="shared" si="71"/>
        <v>-1.825028377093248E-2</v>
      </c>
      <c r="G1972">
        <f t="shared" si="70"/>
        <v>-3.0515172179100405E-2</v>
      </c>
    </row>
    <row r="1973" spans="1:38" x14ac:dyDescent="0.35">
      <c r="A1973" t="s">
        <v>109</v>
      </c>
      <c r="E1973">
        <v>-4.8171955579887843E-3</v>
      </c>
      <c r="F1973">
        <f t="shared" si="71"/>
        <v>-1.8253482737707643E-2</v>
      </c>
      <c r="G1973">
        <f t="shared" si="70"/>
        <v>-3.0515172179100405E-2</v>
      </c>
    </row>
    <row r="1974" spans="1:38" x14ac:dyDescent="0.35">
      <c r="A1974" t="s">
        <v>109</v>
      </c>
      <c r="E1974">
        <v>5.4480646149668291E-3</v>
      </c>
      <c r="F1974">
        <f t="shared" si="71"/>
        <v>-1.8256681704482809E-2</v>
      </c>
      <c r="G1974">
        <f t="shared" si="70"/>
        <v>-3.0515172179100405E-2</v>
      </c>
    </row>
    <row r="1975" spans="1:38" x14ac:dyDescent="0.35">
      <c r="A1975" t="s">
        <v>109</v>
      </c>
      <c r="E1975">
        <v>1.7899466679932086E-3</v>
      </c>
      <c r="F1975">
        <f t="shared" si="71"/>
        <v>-1.8259880671257972E-2</v>
      </c>
      <c r="G1975">
        <f t="shared" si="70"/>
        <v>-3.0515172179100405E-2</v>
      </c>
    </row>
    <row r="1976" spans="1:38" x14ac:dyDescent="0.35">
      <c r="A1976" t="s">
        <v>109</v>
      </c>
      <c r="E1976">
        <v>-5.5811447918816624E-3</v>
      </c>
      <c r="F1976">
        <f t="shared" si="71"/>
        <v>-1.8263079638033138E-2</v>
      </c>
      <c r="G1976">
        <f t="shared" si="70"/>
        <v>-3.0515172179100405E-2</v>
      </c>
    </row>
    <row r="1977" spans="1:38" x14ac:dyDescent="0.35">
      <c r="A1977" t="s">
        <v>110</v>
      </c>
      <c r="B1977" s="3" cm="1">
        <f t="array" ref="B1977">_xlfn.STDEV.S(_xlfn._xlws.FILTER($E$1000:$E$1998, $A$1000:$A$1998="2017-12"))</f>
        <v>7.1440630071528243E-3</v>
      </c>
      <c r="C1977" s="3" cm="1">
        <f t="array" ref="C1977">AVERAGE(_xlfn._xlws.FILTER($E$1000:$E$1998, $A$1000:$A$1998="2017-12"))</f>
        <v>-9.8169633012110038E-4</v>
      </c>
      <c r="D1977" s="3" cm="1">
        <f t="array" ref="D1977">_xlfn.PERCENTILE.EXC(_xlfn._xlws.FILTER($E$1498:$E$2489, $A$1498:$A$2489="2017-12"), 0.05)</f>
        <v>-1.1942408767360517E-2</v>
      </c>
      <c r="E1977">
        <v>-1.1942408767360517E-2</v>
      </c>
      <c r="F1977">
        <f t="shared" si="71"/>
        <v>-1.8266278604808301E-2</v>
      </c>
      <c r="G1977">
        <f t="shared" si="70"/>
        <v>-3.0515172179100405E-2</v>
      </c>
      <c r="AI1977" s="3"/>
      <c r="AJ1977" s="3"/>
      <c r="AK1977" s="3"/>
      <c r="AL1977" s="3"/>
    </row>
    <row r="1978" spans="1:38" x14ac:dyDescent="0.35">
      <c r="A1978" t="s">
        <v>110</v>
      </c>
      <c r="E1978">
        <v>1.3702797682895805E-2</v>
      </c>
      <c r="F1978">
        <f t="shared" si="71"/>
        <v>-1.8269477571583467E-2</v>
      </c>
      <c r="G1978">
        <f t="shared" si="70"/>
        <v>-3.0515172179100405E-2</v>
      </c>
    </row>
    <row r="1979" spans="1:38" x14ac:dyDescent="0.35">
      <c r="A1979" t="s">
        <v>110</v>
      </c>
      <c r="E1979">
        <v>-1.5811297595338134E-3</v>
      </c>
      <c r="F1979">
        <f t="shared" si="71"/>
        <v>-1.827267653835863E-2</v>
      </c>
      <c r="G1979">
        <f t="shared" si="70"/>
        <v>-3.0515172179100405E-2</v>
      </c>
    </row>
    <row r="1980" spans="1:38" x14ac:dyDescent="0.35">
      <c r="A1980" t="s">
        <v>110</v>
      </c>
      <c r="E1980">
        <v>-2.5237880291551209E-3</v>
      </c>
      <c r="F1980">
        <f t="shared" si="71"/>
        <v>-1.8275875505133796E-2</v>
      </c>
      <c r="G1980">
        <f t="shared" si="70"/>
        <v>-3.0515172179100405E-2</v>
      </c>
    </row>
    <row r="1981" spans="1:38" x14ac:dyDescent="0.35">
      <c r="A1981" t="s">
        <v>110</v>
      </c>
      <c r="E1981">
        <v>3.2405034874148841E-3</v>
      </c>
      <c r="F1981">
        <f t="shared" si="71"/>
        <v>-1.8279859987558458E-2</v>
      </c>
      <c r="G1981">
        <f t="shared" si="70"/>
        <v>-3.0649669944748388E-2</v>
      </c>
    </row>
    <row r="1982" spans="1:38" x14ac:dyDescent="0.35">
      <c r="A1982" t="s">
        <v>110</v>
      </c>
      <c r="E1982">
        <v>5.1140583056648644E-3</v>
      </c>
      <c r="F1982">
        <f t="shared" si="71"/>
        <v>-1.8283844469983122E-2</v>
      </c>
      <c r="G1982">
        <f t="shared" si="70"/>
        <v>-3.0649669944748388E-2</v>
      </c>
    </row>
    <row r="1983" spans="1:38" x14ac:dyDescent="0.35">
      <c r="A1983" t="s">
        <v>110</v>
      </c>
      <c r="E1983">
        <v>-2.5760922903825425E-3</v>
      </c>
      <c r="F1983">
        <f t="shared" si="71"/>
        <v>-1.8287828952407784E-2</v>
      </c>
      <c r="G1983">
        <f t="shared" si="70"/>
        <v>-3.0649669944748388E-2</v>
      </c>
    </row>
    <row r="1984" spans="1:38" x14ac:dyDescent="0.35">
      <c r="A1984" t="s">
        <v>110</v>
      </c>
      <c r="E1984">
        <v>5.051134572794957E-3</v>
      </c>
      <c r="F1984">
        <f t="shared" si="71"/>
        <v>-1.8291813434832448E-2</v>
      </c>
      <c r="G1984">
        <f t="shared" si="70"/>
        <v>-3.0649669944748388E-2</v>
      </c>
    </row>
    <row r="1985" spans="1:38" x14ac:dyDescent="0.35">
      <c r="A1985" t="s">
        <v>110</v>
      </c>
      <c r="E1985">
        <v>-5.1795551671680101E-3</v>
      </c>
      <c r="F1985">
        <f t="shared" si="71"/>
        <v>-1.829579791725711E-2</v>
      </c>
      <c r="G1985">
        <f t="shared" si="70"/>
        <v>-3.0649669944748388E-2</v>
      </c>
    </row>
    <row r="1986" spans="1:38" x14ac:dyDescent="0.35">
      <c r="A1986" t="s">
        <v>110</v>
      </c>
      <c r="E1986">
        <v>-7.1533247867953008E-3</v>
      </c>
      <c r="F1986">
        <f t="shared" si="71"/>
        <v>-1.8299782399681774E-2</v>
      </c>
      <c r="G1986">
        <f t="shared" si="70"/>
        <v>-3.0649669944748388E-2</v>
      </c>
    </row>
    <row r="1987" spans="1:38" x14ac:dyDescent="0.35">
      <c r="A1987" t="s">
        <v>110</v>
      </c>
      <c r="E1987">
        <v>1.2112271828919525E-3</v>
      </c>
      <c r="F1987">
        <f t="shared" si="71"/>
        <v>-1.8303766882106436E-2</v>
      </c>
      <c r="G1987">
        <f t="shared" ref="G1987:G2050" si="72">AVERAGEIFS(E1987:E5803,E1987:E5803,"&lt;=" &amp; F1987)</f>
        <v>-3.0649669944748388E-2</v>
      </c>
    </row>
    <row r="1988" spans="1:38" x14ac:dyDescent="0.35">
      <c r="A1988" t="s">
        <v>110</v>
      </c>
      <c r="E1988">
        <v>1.3637684429428776E-2</v>
      </c>
      <c r="F1988">
        <f t="shared" ref="F1988:F2051" si="73">_xlfn.PERCENTILE.EXC(E1988:E5803,0.05)</f>
        <v>-1.8307751364531097E-2</v>
      </c>
      <c r="G1988">
        <f t="shared" si="72"/>
        <v>-3.0649669944748388E-2</v>
      </c>
    </row>
    <row r="1989" spans="1:38" x14ac:dyDescent="0.35">
      <c r="A1989" t="s">
        <v>110</v>
      </c>
      <c r="E1989">
        <v>-7.5643746622490243E-3</v>
      </c>
      <c r="F1989">
        <f t="shared" si="73"/>
        <v>-1.8311735846955762E-2</v>
      </c>
      <c r="G1989">
        <f t="shared" si="72"/>
        <v>-3.0649669944748388E-2</v>
      </c>
    </row>
    <row r="1990" spans="1:38" x14ac:dyDescent="0.35">
      <c r="A1990" t="s">
        <v>110</v>
      </c>
      <c r="E1990">
        <v>-8.2889160708352581E-3</v>
      </c>
      <c r="F1990">
        <f t="shared" si="73"/>
        <v>-1.8315720329380426E-2</v>
      </c>
      <c r="G1990">
        <f t="shared" si="72"/>
        <v>-3.0649669944748388E-2</v>
      </c>
    </row>
    <row r="1991" spans="1:38" x14ac:dyDescent="0.35">
      <c r="A1991" t="s">
        <v>110</v>
      </c>
      <c r="E1991">
        <v>5.0902554378251218E-3</v>
      </c>
      <c r="F1991">
        <f t="shared" si="73"/>
        <v>-1.8319704811805088E-2</v>
      </c>
      <c r="G1991">
        <f t="shared" si="72"/>
        <v>-3.0649669944748388E-2</v>
      </c>
    </row>
    <row r="1992" spans="1:38" x14ac:dyDescent="0.35">
      <c r="A1992" t="s">
        <v>110</v>
      </c>
      <c r="E1992">
        <v>-4.8819819120147342E-3</v>
      </c>
      <c r="F1992">
        <f t="shared" si="73"/>
        <v>-1.8323689294229749E-2</v>
      </c>
      <c r="G1992">
        <f t="shared" si="72"/>
        <v>-3.0649669944748388E-2</v>
      </c>
    </row>
    <row r="1993" spans="1:38" x14ac:dyDescent="0.35">
      <c r="A1993" t="s">
        <v>110</v>
      </c>
      <c r="E1993">
        <v>-9.0658774488936215E-4</v>
      </c>
      <c r="F1993">
        <f t="shared" si="73"/>
        <v>-1.8327673776654414E-2</v>
      </c>
      <c r="G1993">
        <f t="shared" si="72"/>
        <v>-3.0649669944748388E-2</v>
      </c>
    </row>
    <row r="1994" spans="1:38" x14ac:dyDescent="0.35">
      <c r="A1994" t="s">
        <v>110</v>
      </c>
      <c r="E1994">
        <v>-7.310817241816433E-3</v>
      </c>
      <c r="F1994">
        <f t="shared" si="73"/>
        <v>-1.8331658259079075E-2</v>
      </c>
      <c r="G1994">
        <f t="shared" si="72"/>
        <v>-3.0649669944748388E-2</v>
      </c>
    </row>
    <row r="1995" spans="1:38" x14ac:dyDescent="0.35">
      <c r="A1995" t="s">
        <v>110</v>
      </c>
      <c r="E1995">
        <v>-5.7909149390171491E-3</v>
      </c>
      <c r="F1995">
        <f t="shared" si="73"/>
        <v>-1.833564274150374E-2</v>
      </c>
      <c r="G1995">
        <f t="shared" si="72"/>
        <v>-3.0649669944748388E-2</v>
      </c>
    </row>
    <row r="1996" spans="1:38" x14ac:dyDescent="0.35">
      <c r="A1996" t="s">
        <v>111</v>
      </c>
      <c r="B1996" s="3" cm="1">
        <f t="array" ref="B1996">_xlfn.STDEV.S(_xlfn._xlws.FILTER($E$1000:$E$1998, $A$1000:$A$1998="2018-01"))</f>
        <v>1.0312643146904667E-2</v>
      </c>
      <c r="C1996" s="3" cm="1">
        <f t="array" ref="C1996">AVERAGE(_xlfn._xlws.FILTER($E$1000:$E$1998, $A$1000:$A$1998="2018-01"))</f>
        <v>6.1193545317805411E-3</v>
      </c>
      <c r="D1996" s="3" cm="1">
        <f t="array" ref="D1996">_xlfn.PERCENTILE.EXC(_xlfn._xlws.FILTER($E$1498:$E$2489, $A$1498:$A$2489="2018-01"), 0.05)</f>
        <v>-9.701827823825027E-3</v>
      </c>
      <c r="E1996">
        <v>-3.9375814906641021E-3</v>
      </c>
      <c r="F1996">
        <f t="shared" si="73"/>
        <v>-1.8339627223928401E-2</v>
      </c>
      <c r="G1996">
        <f t="shared" si="72"/>
        <v>-3.0649669944748388E-2</v>
      </c>
      <c r="AI1996" s="3"/>
      <c r="AJ1996" s="3"/>
      <c r="AK1996" s="3"/>
      <c r="AL1996" s="3"/>
    </row>
    <row r="1997" spans="1:38" x14ac:dyDescent="0.35">
      <c r="A1997" t="s">
        <v>111</v>
      </c>
      <c r="E1997">
        <v>5.6256728659530592E-3</v>
      </c>
      <c r="F1997">
        <f t="shared" si="73"/>
        <v>-1.8343611706353066E-2</v>
      </c>
      <c r="G1997">
        <f t="shared" si="72"/>
        <v>-3.0649669944748388E-2</v>
      </c>
    </row>
    <row r="1998" spans="1:38" x14ac:dyDescent="0.35">
      <c r="A1998" t="s">
        <v>111</v>
      </c>
      <c r="E1998">
        <v>1.6669972220052669E-2</v>
      </c>
      <c r="F1998">
        <f t="shared" si="73"/>
        <v>-1.8347596188777727E-2</v>
      </c>
      <c r="G1998">
        <f t="shared" si="72"/>
        <v>-3.0649669944748388E-2</v>
      </c>
    </row>
    <row r="1999" spans="1:38" x14ac:dyDescent="0.35">
      <c r="A1999" t="s">
        <v>111</v>
      </c>
      <c r="E1999">
        <v>1.079922597342769E-2</v>
      </c>
      <c r="F1999">
        <f t="shared" si="73"/>
        <v>-1.8351580671202388E-2</v>
      </c>
      <c r="G1999">
        <f t="shared" si="72"/>
        <v>-3.0649669944748388E-2</v>
      </c>
    </row>
    <row r="2000" spans="1:38" x14ac:dyDescent="0.35">
      <c r="A2000" t="s">
        <v>111</v>
      </c>
      <c r="E2000">
        <v>2.4418346370689578E-3</v>
      </c>
      <c r="F2000">
        <f t="shared" si="73"/>
        <v>-1.8355565153627053E-2</v>
      </c>
      <c r="G2000">
        <f t="shared" si="72"/>
        <v>-3.0649669944748388E-2</v>
      </c>
    </row>
    <row r="2001" spans="1:7" x14ac:dyDescent="0.35">
      <c r="A2001" t="s">
        <v>111</v>
      </c>
      <c r="E2001">
        <v>1.7736477136021814E-3</v>
      </c>
      <c r="F2001">
        <f t="shared" si="73"/>
        <v>-1.8358667986174533E-2</v>
      </c>
      <c r="G2001">
        <f t="shared" si="72"/>
        <v>-3.0786271109094182E-2</v>
      </c>
    </row>
    <row r="2002" spans="1:7" x14ac:dyDescent="0.35">
      <c r="A2002" t="s">
        <v>111</v>
      </c>
      <c r="E2002">
        <v>-3.6058495801017765E-3</v>
      </c>
      <c r="F2002">
        <f t="shared" si="73"/>
        <v>-1.836177081872201E-2</v>
      </c>
      <c r="G2002">
        <f t="shared" si="72"/>
        <v>-3.0786271109094182E-2</v>
      </c>
    </row>
    <row r="2003" spans="1:7" x14ac:dyDescent="0.35">
      <c r="A2003" t="s">
        <v>111</v>
      </c>
      <c r="E2003">
        <v>-4.0499314904716673E-3</v>
      </c>
      <c r="F2003">
        <f t="shared" si="73"/>
        <v>-1.8364873651269487E-2</v>
      </c>
      <c r="G2003">
        <f t="shared" si="72"/>
        <v>-3.0786271109094182E-2</v>
      </c>
    </row>
    <row r="2004" spans="1:7" x14ac:dyDescent="0.35">
      <c r="A2004" t="s">
        <v>111</v>
      </c>
      <c r="E2004">
        <v>4.8197544692135759E-3</v>
      </c>
      <c r="F2004">
        <f t="shared" si="73"/>
        <v>-1.8367976483816967E-2</v>
      </c>
      <c r="G2004">
        <f t="shared" si="72"/>
        <v>-3.0786271109094182E-2</v>
      </c>
    </row>
    <row r="2005" spans="1:7" x14ac:dyDescent="0.35">
      <c r="A2005" t="s">
        <v>111</v>
      </c>
      <c r="E2005">
        <v>-2.2147106709469476E-4</v>
      </c>
      <c r="F2005">
        <f t="shared" si="73"/>
        <v>-1.8371079316364447E-2</v>
      </c>
      <c r="G2005">
        <f t="shared" si="72"/>
        <v>-3.0786271109094182E-2</v>
      </c>
    </row>
    <row r="2006" spans="1:7" x14ac:dyDescent="0.35">
      <c r="A2006" t="s">
        <v>111</v>
      </c>
      <c r="E2006">
        <v>2.820088628128404E-3</v>
      </c>
      <c r="F2006">
        <f t="shared" si="73"/>
        <v>-1.8374182148911924E-2</v>
      </c>
      <c r="G2006">
        <f t="shared" si="72"/>
        <v>-3.0786271109094182E-2</v>
      </c>
    </row>
    <row r="2007" spans="1:7" x14ac:dyDescent="0.35">
      <c r="A2007" t="s">
        <v>111</v>
      </c>
      <c r="E2007">
        <v>-2.5515612775580433E-3</v>
      </c>
      <c r="F2007">
        <f t="shared" si="73"/>
        <v>-1.8377284981459404E-2</v>
      </c>
      <c r="G2007">
        <f t="shared" si="72"/>
        <v>-3.0786271109094182E-2</v>
      </c>
    </row>
    <row r="2008" spans="1:7" x14ac:dyDescent="0.35">
      <c r="A2008" t="s">
        <v>111</v>
      </c>
      <c r="E2008">
        <v>2.2478163767561754E-3</v>
      </c>
      <c r="F2008">
        <f t="shared" si="73"/>
        <v>-1.8380387814006881E-2</v>
      </c>
      <c r="G2008">
        <f t="shared" si="72"/>
        <v>-3.0786271109094182E-2</v>
      </c>
    </row>
    <row r="2009" spans="1:7" x14ac:dyDescent="0.35">
      <c r="A2009" t="s">
        <v>111</v>
      </c>
      <c r="E2009">
        <v>7.7469651460278397E-3</v>
      </c>
      <c r="F2009">
        <f t="shared" si="73"/>
        <v>-1.8383490646554361E-2</v>
      </c>
      <c r="G2009">
        <f t="shared" si="72"/>
        <v>-3.0786271109094182E-2</v>
      </c>
    </row>
    <row r="2010" spans="1:7" x14ac:dyDescent="0.35">
      <c r="A2010" t="s">
        <v>111</v>
      </c>
      <c r="E2010">
        <v>4.4323901750873305E-3</v>
      </c>
      <c r="F2010">
        <f t="shared" si="73"/>
        <v>-1.8386593479101841E-2</v>
      </c>
      <c r="G2010">
        <f t="shared" si="72"/>
        <v>-3.0786271109094182E-2</v>
      </c>
    </row>
    <row r="2011" spans="1:7" x14ac:dyDescent="0.35">
      <c r="A2011" t="s">
        <v>111</v>
      </c>
      <c r="E2011">
        <v>1.9107148913586499E-3</v>
      </c>
      <c r="F2011">
        <f t="shared" si="73"/>
        <v>-1.8389696311649318E-2</v>
      </c>
      <c r="G2011">
        <f t="shared" si="72"/>
        <v>-3.0786271109094182E-2</v>
      </c>
    </row>
    <row r="2012" spans="1:7" x14ac:dyDescent="0.35">
      <c r="A2012" t="s">
        <v>111</v>
      </c>
      <c r="E2012">
        <v>-7.9475396829869534E-3</v>
      </c>
      <c r="F2012">
        <f t="shared" si="73"/>
        <v>-1.8392799144196795E-2</v>
      </c>
      <c r="G2012">
        <f t="shared" si="72"/>
        <v>-3.0786271109094182E-2</v>
      </c>
    </row>
    <row r="2013" spans="1:7" x14ac:dyDescent="0.35">
      <c r="A2013" t="s">
        <v>111</v>
      </c>
      <c r="E2013">
        <v>-3.5939362546068602E-3</v>
      </c>
      <c r="F2013">
        <f t="shared" si="73"/>
        <v>-1.8395901976744275E-2</v>
      </c>
      <c r="G2013">
        <f t="shared" si="72"/>
        <v>-3.0786271109094182E-2</v>
      </c>
    </row>
    <row r="2014" spans="1:7" x14ac:dyDescent="0.35">
      <c r="A2014" t="s">
        <v>111</v>
      </c>
      <c r="E2014">
        <v>4.7433569387748484E-3</v>
      </c>
      <c r="F2014">
        <f t="shared" si="73"/>
        <v>-1.8399004809291752E-2</v>
      </c>
      <c r="G2014">
        <f t="shared" si="72"/>
        <v>-3.0786271109094182E-2</v>
      </c>
    </row>
    <row r="2015" spans="1:7" x14ac:dyDescent="0.35">
      <c r="A2015" t="s">
        <v>111</v>
      </c>
      <c r="E2015">
        <v>-1.1988287481230198E-3</v>
      </c>
      <c r="F2015">
        <f t="shared" si="73"/>
        <v>-1.8402107641839232E-2</v>
      </c>
      <c r="G2015">
        <f t="shared" si="72"/>
        <v>-3.0786271109094182E-2</v>
      </c>
    </row>
    <row r="2016" spans="1:7" x14ac:dyDescent="0.35">
      <c r="A2016" t="s">
        <v>111</v>
      </c>
      <c r="E2016">
        <v>-1.0011408083972922E-2</v>
      </c>
      <c r="F2016">
        <f t="shared" si="73"/>
        <v>-1.8405210474386712E-2</v>
      </c>
      <c r="G2016">
        <f t="shared" si="72"/>
        <v>-3.0786271109094182E-2</v>
      </c>
    </row>
    <row r="2017" spans="1:38" x14ac:dyDescent="0.35">
      <c r="A2017" t="s">
        <v>111</v>
      </c>
      <c r="E2017">
        <v>7.0398725752677713E-4</v>
      </c>
      <c r="F2017">
        <f t="shared" si="73"/>
        <v>-1.8408313306934189E-2</v>
      </c>
      <c r="G2017">
        <f t="shared" si="72"/>
        <v>-3.0786271109094182E-2</v>
      </c>
    </row>
    <row r="2018" spans="1:38" x14ac:dyDescent="0.35">
      <c r="A2018" t="s">
        <v>112</v>
      </c>
      <c r="B2018" s="3" cm="1">
        <f t="array" ref="B2018">_xlfn.STDEV.S(_xlfn._xlws.FILTER($E$2013:$E$3011, $A$2013:$A$3011="2018-02"))</f>
        <v>1.1763967655286936E-2</v>
      </c>
      <c r="C2018" s="3" cm="1">
        <f t="array" ref="C2018">AVERAGE(_xlfn._xlws.FILTER($E$2013:$E$3011, $A$2013:$A$3011="2018-02"))</f>
        <v>-2.4170988503475865E-3</v>
      </c>
      <c r="D2018" s="3" cm="1">
        <f t="array" ref="D2018">_xlfn.PERCENTILE.EXC(_xlfn._xlws.FILTER($E$1498:$E$2489, $A$1498:$A$2489="2018-02"), 0.05)</f>
        <v>-2.4309004285343893E-2</v>
      </c>
      <c r="E2018">
        <v>-8.8887742530099449E-3</v>
      </c>
      <c r="F2018">
        <f t="shared" si="73"/>
        <v>-1.8411416139481669E-2</v>
      </c>
      <c r="G2018">
        <f t="shared" si="72"/>
        <v>-3.0786271109094182E-2</v>
      </c>
      <c r="AI2018" s="3"/>
      <c r="AJ2018" s="3"/>
      <c r="AK2018" s="3"/>
      <c r="AL2018" s="3"/>
    </row>
    <row r="2019" spans="1:38" x14ac:dyDescent="0.35">
      <c r="A2019" t="s">
        <v>112</v>
      </c>
      <c r="E2019">
        <v>-1.5229928929493272E-2</v>
      </c>
      <c r="F2019">
        <f t="shared" si="73"/>
        <v>-1.8414518972029146E-2</v>
      </c>
      <c r="G2019">
        <f t="shared" si="72"/>
        <v>-3.0786271109094182E-2</v>
      </c>
    </row>
    <row r="2020" spans="1:38" x14ac:dyDescent="0.35">
      <c r="A2020" t="s">
        <v>112</v>
      </c>
      <c r="E2020">
        <v>-1.2713590885811426E-2</v>
      </c>
      <c r="F2020">
        <f t="shared" si="73"/>
        <v>-1.8417621804576626E-2</v>
      </c>
      <c r="G2020">
        <f t="shared" si="72"/>
        <v>-3.0786271109094182E-2</v>
      </c>
    </row>
    <row r="2021" spans="1:38" x14ac:dyDescent="0.35">
      <c r="A2021" t="s">
        <v>112</v>
      </c>
      <c r="E2021">
        <v>-2.4398586364735544E-2</v>
      </c>
      <c r="F2021">
        <f t="shared" si="73"/>
        <v>-1.8420921057815332E-2</v>
      </c>
      <c r="G2021">
        <f t="shared" si="72"/>
        <v>-3.0925244696785384E-2</v>
      </c>
    </row>
    <row r="2022" spans="1:38" x14ac:dyDescent="0.35">
      <c r="A2022" t="s">
        <v>112</v>
      </c>
      <c r="E2022">
        <v>1.7403321811594281E-2</v>
      </c>
      <c r="F2022">
        <f t="shared" si="73"/>
        <v>-1.836177081872201E-2</v>
      </c>
      <c r="G2022">
        <f t="shared" si="72"/>
        <v>-3.0858042847794837E-2</v>
      </c>
    </row>
    <row r="2023" spans="1:38" x14ac:dyDescent="0.35">
      <c r="A2023" t="s">
        <v>112</v>
      </c>
      <c r="E2023">
        <v>-2.2606944776902508E-2</v>
      </c>
      <c r="F2023">
        <f t="shared" si="73"/>
        <v>-1.8364873651269487E-2</v>
      </c>
      <c r="G2023">
        <f t="shared" si="72"/>
        <v>-3.0858042847794837E-2</v>
      </c>
    </row>
    <row r="2024" spans="1:38" x14ac:dyDescent="0.35">
      <c r="A2024" t="s">
        <v>112</v>
      </c>
      <c r="E2024">
        <v>-1.5309199551249245E-2</v>
      </c>
      <c r="F2024">
        <f t="shared" si="73"/>
        <v>-1.8291813434832448E-2</v>
      </c>
      <c r="G2024">
        <f t="shared" si="72"/>
        <v>-3.0810274537420954E-2</v>
      </c>
    </row>
    <row r="2025" spans="1:38" x14ac:dyDescent="0.35">
      <c r="A2025" t="s">
        <v>112</v>
      </c>
      <c r="E2025">
        <v>1.2625947502156129E-2</v>
      </c>
      <c r="F2025">
        <f t="shared" si="73"/>
        <v>-1.829579791725711E-2</v>
      </c>
      <c r="G2025">
        <f t="shared" si="72"/>
        <v>-3.0810274537420954E-2</v>
      </c>
    </row>
    <row r="2026" spans="1:38" x14ac:dyDescent="0.35">
      <c r="A2026" t="s">
        <v>112</v>
      </c>
      <c r="E2026">
        <v>-8.1441103095279705E-3</v>
      </c>
      <c r="F2026">
        <f t="shared" si="73"/>
        <v>-1.8299782399681774E-2</v>
      </c>
      <c r="G2026">
        <f t="shared" si="72"/>
        <v>-3.0810274537420954E-2</v>
      </c>
    </row>
    <row r="2027" spans="1:38" x14ac:dyDescent="0.35">
      <c r="A2027" t="s">
        <v>112</v>
      </c>
      <c r="E2027">
        <v>8.6130866437235699E-3</v>
      </c>
      <c r="F2027">
        <f t="shared" si="73"/>
        <v>-1.8303766882106436E-2</v>
      </c>
      <c r="G2027">
        <f t="shared" si="72"/>
        <v>-3.0810274537420954E-2</v>
      </c>
    </row>
    <row r="2028" spans="1:38" x14ac:dyDescent="0.35">
      <c r="A2028" t="s">
        <v>112</v>
      </c>
      <c r="E2028">
        <v>5.8584729048712205E-3</v>
      </c>
      <c r="F2028">
        <f t="shared" si="73"/>
        <v>-1.8307751364531097E-2</v>
      </c>
      <c r="G2028">
        <f t="shared" si="72"/>
        <v>-3.0810274537420954E-2</v>
      </c>
    </row>
    <row r="2029" spans="1:38" x14ac:dyDescent="0.35">
      <c r="A2029" t="s">
        <v>112</v>
      </c>
      <c r="E2029">
        <v>1.0906110214864937E-2</v>
      </c>
      <c r="F2029">
        <f t="shared" si="73"/>
        <v>-1.8311735846955762E-2</v>
      </c>
      <c r="G2029">
        <f t="shared" si="72"/>
        <v>-3.0810274537420954E-2</v>
      </c>
    </row>
    <row r="2030" spans="1:38" x14ac:dyDescent="0.35">
      <c r="A2030" t="s">
        <v>112</v>
      </c>
      <c r="E2030">
        <v>-5.5628937575653535E-3</v>
      </c>
      <c r="F2030">
        <f t="shared" si="73"/>
        <v>-1.8315720329380426E-2</v>
      </c>
      <c r="G2030">
        <f t="shared" si="72"/>
        <v>-3.0810274537420954E-2</v>
      </c>
    </row>
    <row r="2031" spans="1:38" x14ac:dyDescent="0.35">
      <c r="A2031" t="s">
        <v>112</v>
      </c>
      <c r="E2031">
        <v>7.9762277181369776E-3</v>
      </c>
      <c r="F2031">
        <f t="shared" si="73"/>
        <v>-1.8319704811805088E-2</v>
      </c>
      <c r="G2031">
        <f t="shared" si="72"/>
        <v>-3.0810274537420954E-2</v>
      </c>
    </row>
    <row r="2032" spans="1:38" x14ac:dyDescent="0.35">
      <c r="A2032" t="s">
        <v>112</v>
      </c>
      <c r="E2032">
        <v>-1.4333077481027165E-3</v>
      </c>
      <c r="F2032">
        <f t="shared" si="73"/>
        <v>-1.8323689294229749E-2</v>
      </c>
      <c r="G2032">
        <f t="shared" si="72"/>
        <v>-3.0810274537420954E-2</v>
      </c>
    </row>
    <row r="2033" spans="1:38" x14ac:dyDescent="0.35">
      <c r="A2033" t="s">
        <v>112</v>
      </c>
      <c r="E2033">
        <v>5.3336054833611792E-4</v>
      </c>
      <c r="F2033">
        <f t="shared" si="73"/>
        <v>-1.8327673776654414E-2</v>
      </c>
      <c r="G2033">
        <f t="shared" si="72"/>
        <v>-3.0810274537420954E-2</v>
      </c>
    </row>
    <row r="2034" spans="1:38" x14ac:dyDescent="0.35">
      <c r="A2034" t="s">
        <v>112</v>
      </c>
      <c r="E2034">
        <v>2.7555320813007871E-3</v>
      </c>
      <c r="F2034">
        <f t="shared" si="73"/>
        <v>-1.8331658259079075E-2</v>
      </c>
      <c r="G2034">
        <f t="shared" si="72"/>
        <v>-3.0810274537420954E-2</v>
      </c>
    </row>
    <row r="2035" spans="1:38" x14ac:dyDescent="0.35">
      <c r="A2035" t="s">
        <v>112</v>
      </c>
      <c r="E2035">
        <v>6.2914421733254559E-3</v>
      </c>
      <c r="F2035">
        <f t="shared" si="73"/>
        <v>-1.833564274150374E-2</v>
      </c>
      <c r="G2035">
        <f t="shared" si="72"/>
        <v>-3.0810274537420954E-2</v>
      </c>
    </row>
    <row r="2036" spans="1:38" x14ac:dyDescent="0.35">
      <c r="A2036" t="s">
        <v>112</v>
      </c>
      <c r="E2036">
        <v>-1.4881793647253342E-3</v>
      </c>
      <c r="F2036">
        <f t="shared" si="73"/>
        <v>-1.8339627223928401E-2</v>
      </c>
      <c r="G2036">
        <f t="shared" si="72"/>
        <v>-3.0810274537420954E-2</v>
      </c>
    </row>
    <row r="2037" spans="1:38" x14ac:dyDescent="0.35">
      <c r="A2037" t="s">
        <v>112</v>
      </c>
      <c r="E2037">
        <v>-5.529962664137896E-3</v>
      </c>
      <c r="F2037">
        <f t="shared" si="73"/>
        <v>-1.8343611706353066E-2</v>
      </c>
      <c r="G2037">
        <f t="shared" si="72"/>
        <v>-3.0810274537420954E-2</v>
      </c>
    </row>
    <row r="2038" spans="1:38" x14ac:dyDescent="0.35">
      <c r="A2038" t="s">
        <v>113</v>
      </c>
      <c r="B2038" s="3" cm="1">
        <f t="array" ref="B2038">_xlfn.STDEV.S(_xlfn._xlws.FILTER($E$2013:$E$3011, $A$2013:$A$3011="2018-03"))</f>
        <v>9.9001874532690156E-3</v>
      </c>
      <c r="C2038" s="3" cm="1">
        <f t="array" ref="C2038">AVERAGE(_xlfn._xlws.FILTER($E$2013:$E$3011, $A$2013:$A$3011="2018-03"))</f>
        <v>-1.0848474841602621E-3</v>
      </c>
      <c r="D2038" s="3" cm="1">
        <f t="array" ref="D2038">_xlfn.PERCENTILE.EXC(_xlfn._xlws.FILTER($E$1498:$E$2489, $A$1498:$A$2489="2018-03"), 0.05)</f>
        <v>-2.1486609655743814E-2</v>
      </c>
      <c r="E2038">
        <v>-1.1640757819792501E-2</v>
      </c>
      <c r="F2038">
        <f t="shared" si="73"/>
        <v>-1.8347596188777727E-2</v>
      </c>
      <c r="G2038">
        <f t="shared" si="72"/>
        <v>-3.0810274537420954E-2</v>
      </c>
      <c r="AI2038" s="3"/>
      <c r="AJ2038" s="3"/>
      <c r="AK2038" s="3"/>
      <c r="AL2038" s="3"/>
    </row>
    <row r="2039" spans="1:38" x14ac:dyDescent="0.35">
      <c r="A2039" t="s">
        <v>113</v>
      </c>
      <c r="E2039">
        <v>-2.213385896339199E-2</v>
      </c>
      <c r="F2039">
        <f t="shared" si="73"/>
        <v>-1.8351580671202388E-2</v>
      </c>
      <c r="G2039">
        <f t="shared" si="72"/>
        <v>-3.0810274537420954E-2</v>
      </c>
    </row>
    <row r="2040" spans="1:38" x14ac:dyDescent="0.35">
      <c r="A2040" t="s">
        <v>113</v>
      </c>
      <c r="E2040">
        <v>9.1526625939300568E-3</v>
      </c>
      <c r="F2040">
        <f t="shared" si="73"/>
        <v>-1.8275875505133796E-2</v>
      </c>
      <c r="G2040">
        <f t="shared" si="72"/>
        <v>-3.0766926408676478E-2</v>
      </c>
    </row>
    <row r="2041" spans="1:38" x14ac:dyDescent="0.35">
      <c r="A2041" t="s">
        <v>113</v>
      </c>
      <c r="E2041">
        <v>7.5672039814388289E-4</v>
      </c>
      <c r="F2041">
        <f t="shared" si="73"/>
        <v>-1.8279859987558458E-2</v>
      </c>
      <c r="G2041">
        <f t="shared" si="72"/>
        <v>-3.0908870168944006E-2</v>
      </c>
    </row>
    <row r="2042" spans="1:38" x14ac:dyDescent="0.35">
      <c r="A2042" t="s">
        <v>113</v>
      </c>
      <c r="E2042">
        <v>5.7904729126981051E-3</v>
      </c>
      <c r="F2042">
        <f t="shared" si="73"/>
        <v>-1.8283844469983122E-2</v>
      </c>
      <c r="G2042">
        <f t="shared" si="72"/>
        <v>-3.0908870168944006E-2</v>
      </c>
    </row>
    <row r="2043" spans="1:38" x14ac:dyDescent="0.35">
      <c r="A2043" t="s">
        <v>113</v>
      </c>
      <c r="E2043">
        <v>1.0579366605272939E-2</v>
      </c>
      <c r="F2043">
        <f t="shared" si="73"/>
        <v>-1.8287828952407784E-2</v>
      </c>
      <c r="G2043">
        <f t="shared" si="72"/>
        <v>-3.0908870168944006E-2</v>
      </c>
    </row>
    <row r="2044" spans="1:38" x14ac:dyDescent="0.35">
      <c r="A2044" t="s">
        <v>113</v>
      </c>
      <c r="E2044">
        <v>2.1247275261133585E-3</v>
      </c>
      <c r="F2044">
        <f t="shared" si="73"/>
        <v>-1.8291813434832448E-2</v>
      </c>
      <c r="G2044">
        <f t="shared" si="72"/>
        <v>-3.0908870168944006E-2</v>
      </c>
    </row>
    <row r="2045" spans="1:38" x14ac:dyDescent="0.35">
      <c r="A2045" t="s">
        <v>113</v>
      </c>
      <c r="E2045">
        <v>2.6102128390404584E-3</v>
      </c>
      <c r="F2045">
        <f t="shared" si="73"/>
        <v>-1.829579791725711E-2</v>
      </c>
      <c r="G2045">
        <f t="shared" si="72"/>
        <v>-3.0908870168944006E-2</v>
      </c>
    </row>
    <row r="2046" spans="1:38" x14ac:dyDescent="0.35">
      <c r="A2046" t="s">
        <v>113</v>
      </c>
      <c r="E2046">
        <v>-9.4129302281926557E-3</v>
      </c>
      <c r="F2046">
        <f t="shared" si="73"/>
        <v>-1.8299782399681774E-2</v>
      </c>
      <c r="G2046">
        <f t="shared" si="72"/>
        <v>-3.0908870168944006E-2</v>
      </c>
    </row>
    <row r="2047" spans="1:38" x14ac:dyDescent="0.35">
      <c r="A2047" t="s">
        <v>113</v>
      </c>
      <c r="E2047">
        <v>-1.8767507972351255E-3</v>
      </c>
      <c r="F2047">
        <f t="shared" si="73"/>
        <v>-1.8303766882106436E-2</v>
      </c>
      <c r="G2047">
        <f t="shared" si="72"/>
        <v>-3.0908870168944006E-2</v>
      </c>
    </row>
    <row r="2048" spans="1:38" x14ac:dyDescent="0.35">
      <c r="A2048" t="s">
        <v>113</v>
      </c>
      <c r="E2048">
        <v>6.8037369866675952E-3</v>
      </c>
      <c r="F2048">
        <f t="shared" si="73"/>
        <v>-1.8307751364531097E-2</v>
      </c>
      <c r="G2048">
        <f t="shared" si="72"/>
        <v>-3.0908870168944006E-2</v>
      </c>
    </row>
    <row r="2049" spans="1:38" x14ac:dyDescent="0.35">
      <c r="A2049" t="s">
        <v>113</v>
      </c>
      <c r="E2049">
        <v>6.7926695128760145E-3</v>
      </c>
      <c r="F2049">
        <f t="shared" si="73"/>
        <v>-1.8311735846955762E-2</v>
      </c>
      <c r="G2049">
        <f t="shared" si="72"/>
        <v>-3.0908870168944006E-2</v>
      </c>
    </row>
    <row r="2050" spans="1:38" x14ac:dyDescent="0.35">
      <c r="A2050" t="s">
        <v>113</v>
      </c>
      <c r="E2050">
        <v>-1.2473468233034609E-2</v>
      </c>
      <c r="F2050">
        <f t="shared" si="73"/>
        <v>-1.8315720329380426E-2</v>
      </c>
      <c r="G2050">
        <f t="shared" si="72"/>
        <v>-3.0908870168944006E-2</v>
      </c>
    </row>
    <row r="2051" spans="1:38" x14ac:dyDescent="0.35">
      <c r="A2051" t="s">
        <v>113</v>
      </c>
      <c r="E2051">
        <v>5.0801725859995865E-3</v>
      </c>
      <c r="F2051">
        <f t="shared" si="73"/>
        <v>-1.8319704811805088E-2</v>
      </c>
      <c r="G2051">
        <f t="shared" ref="G2051:G2114" si="74">AVERAGEIFS(E2051:E5867,E2051:E5867,"&lt;=" &amp; F2051)</f>
        <v>-3.0908870168944006E-2</v>
      </c>
    </row>
    <row r="2052" spans="1:38" x14ac:dyDescent="0.35">
      <c r="A2052" t="s">
        <v>113</v>
      </c>
      <c r="E2052">
        <v>-3.2408088108274906E-3</v>
      </c>
      <c r="F2052">
        <f t="shared" ref="F2052:F2115" si="75">_xlfn.PERCENTILE.EXC(E2052:E5867,0.05)</f>
        <v>-1.8323689294229749E-2</v>
      </c>
      <c r="G2052">
        <f t="shared" si="74"/>
        <v>-3.0908870168944006E-2</v>
      </c>
    </row>
    <row r="2053" spans="1:38" x14ac:dyDescent="0.35">
      <c r="A2053" t="s">
        <v>113</v>
      </c>
      <c r="E2053">
        <v>-1.5661365886910215E-2</v>
      </c>
      <c r="F2053">
        <f t="shared" si="75"/>
        <v>-1.8327673776654414E-2</v>
      </c>
      <c r="G2053">
        <f t="shared" si="74"/>
        <v>-3.0908870168944006E-2</v>
      </c>
    </row>
    <row r="2054" spans="1:38" x14ac:dyDescent="0.35">
      <c r="A2054" t="s">
        <v>113</v>
      </c>
      <c r="E2054">
        <v>-1.5082452418677656E-2</v>
      </c>
      <c r="F2054">
        <f t="shared" si="75"/>
        <v>-1.8331658259079075E-2</v>
      </c>
      <c r="G2054">
        <f t="shared" si="74"/>
        <v>-3.0908870168944006E-2</v>
      </c>
    </row>
    <row r="2055" spans="1:38" x14ac:dyDescent="0.35">
      <c r="A2055" t="s">
        <v>113</v>
      </c>
      <c r="E2055">
        <v>-5.8843465683540725E-3</v>
      </c>
      <c r="F2055">
        <f t="shared" si="75"/>
        <v>-1.833564274150374E-2</v>
      </c>
      <c r="G2055">
        <f t="shared" si="74"/>
        <v>-3.0908870168944006E-2</v>
      </c>
    </row>
    <row r="2056" spans="1:38" x14ac:dyDescent="0.35">
      <c r="A2056" t="s">
        <v>113</v>
      </c>
      <c r="E2056">
        <v>1.1592583660734523E-2</v>
      </c>
      <c r="F2056">
        <f t="shared" si="75"/>
        <v>-1.8339627223928401E-2</v>
      </c>
      <c r="G2056">
        <f t="shared" si="74"/>
        <v>-3.0908870168944006E-2</v>
      </c>
    </row>
    <row r="2057" spans="1:38" x14ac:dyDescent="0.35">
      <c r="A2057" t="s">
        <v>113</v>
      </c>
      <c r="E2057">
        <v>4.3019229426375597E-3</v>
      </c>
      <c r="F2057">
        <f t="shared" si="75"/>
        <v>-1.8343611706353066E-2</v>
      </c>
      <c r="G2057">
        <f t="shared" si="74"/>
        <v>-3.0908870168944006E-2</v>
      </c>
    </row>
    <row r="2058" spans="1:38" x14ac:dyDescent="0.35">
      <c r="A2058" t="s">
        <v>113</v>
      </c>
      <c r="E2058">
        <v>9.0396939949367351E-3</v>
      </c>
      <c r="F2058">
        <f t="shared" si="75"/>
        <v>-1.8347596188777727E-2</v>
      </c>
      <c r="G2058">
        <f t="shared" si="74"/>
        <v>-3.0908870168944006E-2</v>
      </c>
    </row>
    <row r="2059" spans="1:38" x14ac:dyDescent="0.35">
      <c r="A2059" t="s">
        <v>114</v>
      </c>
      <c r="B2059" s="3" cm="1">
        <f t="array" ref="B2059">_xlfn.STDEV.S(_xlfn._xlws.FILTER($E$2013:$E$3011, $A$2013:$A$3011="2018-04"))</f>
        <v>7.4716144089447042E-3</v>
      </c>
      <c r="C2059" s="3" cm="1">
        <f t="array" ref="C2059">AVERAGE(_xlfn._xlws.FILTER($E$2013:$E$3011, $A$2013:$A$3011="2018-04"))</f>
        <v>2.5377944929941545E-3</v>
      </c>
      <c r="D2059" s="3" cm="1">
        <f t="array" ref="D2059">_xlfn.PERCENTILE.EXC(_xlfn._xlws.FILTER($E$1498:$E$2489, $A$1498:$A$2489="2018-04"), 0.05)</f>
        <v>-7.1220485743306037E-3</v>
      </c>
      <c r="E2059">
        <v>-4.3437951680394202E-3</v>
      </c>
      <c r="F2059">
        <f t="shared" si="75"/>
        <v>-1.8351580671202388E-2</v>
      </c>
      <c r="G2059">
        <f t="shared" si="74"/>
        <v>-3.0908870168944006E-2</v>
      </c>
      <c r="AI2059" s="3"/>
      <c r="AJ2059" s="3"/>
      <c r="AK2059" s="3"/>
      <c r="AL2059" s="3"/>
    </row>
    <row r="2060" spans="1:38" x14ac:dyDescent="0.35">
      <c r="A2060" t="s">
        <v>114</v>
      </c>
      <c r="E2060">
        <v>-1.9679158412766796E-3</v>
      </c>
      <c r="F2060">
        <f t="shared" si="75"/>
        <v>-1.8355565153627053E-2</v>
      </c>
      <c r="G2060">
        <f t="shared" si="74"/>
        <v>-3.0908870168944006E-2</v>
      </c>
    </row>
    <row r="2061" spans="1:38" x14ac:dyDescent="0.35">
      <c r="A2061" t="s">
        <v>114</v>
      </c>
      <c r="E2061">
        <v>2.647009189448566E-2</v>
      </c>
      <c r="F2061">
        <f t="shared" si="75"/>
        <v>-1.8358667986174533E-2</v>
      </c>
      <c r="G2061">
        <f t="shared" si="74"/>
        <v>-3.105316103118903E-2</v>
      </c>
    </row>
    <row r="2062" spans="1:38" x14ac:dyDescent="0.35">
      <c r="A2062" t="s">
        <v>114</v>
      </c>
      <c r="E2062">
        <v>-6.390732552539316E-3</v>
      </c>
      <c r="F2062">
        <f t="shared" si="75"/>
        <v>-1.836177081872201E-2</v>
      </c>
      <c r="G2062">
        <f t="shared" si="74"/>
        <v>-3.105316103118903E-2</v>
      </c>
    </row>
    <row r="2063" spans="1:38" x14ac:dyDescent="0.35">
      <c r="A2063" t="s">
        <v>114</v>
      </c>
      <c r="E2063">
        <v>1.9786169331871923E-3</v>
      </c>
      <c r="F2063">
        <f t="shared" si="75"/>
        <v>-1.8364873651269487E-2</v>
      </c>
      <c r="G2063">
        <f t="shared" si="74"/>
        <v>-3.105316103118903E-2</v>
      </c>
    </row>
    <row r="2064" spans="1:38" x14ac:dyDescent="0.35">
      <c r="A2064" t="s">
        <v>114</v>
      </c>
      <c r="E2064">
        <v>6.9831891261477215E-3</v>
      </c>
      <c r="F2064">
        <f t="shared" si="75"/>
        <v>-1.8367976483816967E-2</v>
      </c>
      <c r="G2064">
        <f t="shared" si="74"/>
        <v>-3.105316103118903E-2</v>
      </c>
    </row>
    <row r="2065" spans="1:38" x14ac:dyDescent="0.35">
      <c r="A2065" t="s">
        <v>114</v>
      </c>
      <c r="E2065">
        <v>-5.5610051613699278E-3</v>
      </c>
      <c r="F2065">
        <f t="shared" si="75"/>
        <v>-1.8371079316364447E-2</v>
      </c>
      <c r="G2065">
        <f t="shared" si="74"/>
        <v>-3.105316103118903E-2</v>
      </c>
    </row>
    <row r="2066" spans="1:38" x14ac:dyDescent="0.35">
      <c r="A2066" t="s">
        <v>114</v>
      </c>
      <c r="E2066">
        <v>7.0691235686014342E-3</v>
      </c>
      <c r="F2066">
        <f t="shared" si="75"/>
        <v>-1.8374182148911924E-2</v>
      </c>
      <c r="G2066">
        <f t="shared" si="74"/>
        <v>-3.105316103118903E-2</v>
      </c>
    </row>
    <row r="2067" spans="1:38" x14ac:dyDescent="0.35">
      <c r="A2067" t="s">
        <v>114</v>
      </c>
      <c r="E2067">
        <v>1.169477075295394E-3</v>
      </c>
      <c r="F2067">
        <f t="shared" si="75"/>
        <v>-1.8377284981459404E-2</v>
      </c>
      <c r="G2067">
        <f t="shared" si="74"/>
        <v>-3.105316103118903E-2</v>
      </c>
    </row>
    <row r="2068" spans="1:38" x14ac:dyDescent="0.35">
      <c r="A2068" t="s">
        <v>114</v>
      </c>
      <c r="E2068">
        <v>-2.0206015259141372E-3</v>
      </c>
      <c r="F2068">
        <f t="shared" si="75"/>
        <v>-1.8380387814006881E-2</v>
      </c>
      <c r="G2068">
        <f t="shared" si="74"/>
        <v>-3.105316103118903E-2</v>
      </c>
    </row>
    <row r="2069" spans="1:38" x14ac:dyDescent="0.35">
      <c r="A2069" t="s">
        <v>114</v>
      </c>
      <c r="E2069">
        <v>1.0657787380974233E-2</v>
      </c>
      <c r="F2069">
        <f t="shared" si="75"/>
        <v>-1.8383490646554361E-2</v>
      </c>
      <c r="G2069">
        <f t="shared" si="74"/>
        <v>-3.105316103118903E-2</v>
      </c>
    </row>
    <row r="2070" spans="1:38" x14ac:dyDescent="0.35">
      <c r="A2070" t="s">
        <v>114</v>
      </c>
      <c r="E2070">
        <v>3.7251793738501456E-3</v>
      </c>
      <c r="F2070">
        <f t="shared" si="75"/>
        <v>-1.8386593479101841E-2</v>
      </c>
      <c r="G2070">
        <f t="shared" si="74"/>
        <v>-3.105316103118903E-2</v>
      </c>
    </row>
    <row r="2071" spans="1:38" x14ac:dyDescent="0.35">
      <c r="A2071" t="s">
        <v>114</v>
      </c>
      <c r="E2071">
        <v>-1.2296687033790995E-3</v>
      </c>
      <c r="F2071">
        <f t="shared" si="75"/>
        <v>-1.8389696311649318E-2</v>
      </c>
      <c r="G2071">
        <f t="shared" si="74"/>
        <v>-3.105316103118903E-2</v>
      </c>
    </row>
    <row r="2072" spans="1:38" x14ac:dyDescent="0.35">
      <c r="A2072" t="s">
        <v>114</v>
      </c>
      <c r="E2072">
        <v>2.1774017312292922E-3</v>
      </c>
      <c r="F2072">
        <f t="shared" si="75"/>
        <v>-1.8392799144196795E-2</v>
      </c>
      <c r="G2072">
        <f t="shared" si="74"/>
        <v>-3.105316103118903E-2</v>
      </c>
    </row>
    <row r="2073" spans="1:38" x14ac:dyDescent="0.35">
      <c r="A2073" t="s">
        <v>114</v>
      </c>
      <c r="E2073">
        <v>5.383001498931006E-3</v>
      </c>
      <c r="F2073">
        <f t="shared" si="75"/>
        <v>-1.8395901976744275E-2</v>
      </c>
      <c r="G2073">
        <f t="shared" si="74"/>
        <v>-3.105316103118903E-2</v>
      </c>
    </row>
    <row r="2074" spans="1:38" x14ac:dyDescent="0.35">
      <c r="A2074" t="s">
        <v>114</v>
      </c>
      <c r="E2074">
        <v>-6.2073425171569534E-4</v>
      </c>
      <c r="F2074">
        <f t="shared" si="75"/>
        <v>-1.8399004809291752E-2</v>
      </c>
      <c r="G2074">
        <f t="shared" si="74"/>
        <v>-3.105316103118903E-2</v>
      </c>
    </row>
    <row r="2075" spans="1:38" x14ac:dyDescent="0.35">
      <c r="A2075" t="s">
        <v>114</v>
      </c>
      <c r="E2075">
        <v>-7.1605388912669874E-3</v>
      </c>
      <c r="F2075">
        <f t="shared" si="75"/>
        <v>-1.8402107641839232E-2</v>
      </c>
      <c r="G2075">
        <f t="shared" si="74"/>
        <v>-3.105316103118903E-2</v>
      </c>
    </row>
    <row r="2076" spans="1:38" x14ac:dyDescent="0.35">
      <c r="A2076" t="s">
        <v>114</v>
      </c>
      <c r="E2076">
        <v>5.7781638081187544E-3</v>
      </c>
      <c r="F2076">
        <f t="shared" si="75"/>
        <v>-1.8405210474386712E-2</v>
      </c>
      <c r="G2076">
        <f t="shared" si="74"/>
        <v>-3.105316103118903E-2</v>
      </c>
    </row>
    <row r="2077" spans="1:38" x14ac:dyDescent="0.35">
      <c r="A2077" t="s">
        <v>114</v>
      </c>
      <c r="E2077">
        <v>3.6299954021299036E-3</v>
      </c>
      <c r="F2077">
        <f t="shared" si="75"/>
        <v>-1.8408313306934189E-2</v>
      </c>
      <c r="G2077">
        <f t="shared" si="74"/>
        <v>-3.105316103118903E-2</v>
      </c>
    </row>
    <row r="2078" spans="1:38" x14ac:dyDescent="0.35">
      <c r="A2078" t="s">
        <v>114</v>
      </c>
      <c r="E2078">
        <v>5.0288541624336144E-3</v>
      </c>
      <c r="F2078">
        <f t="shared" si="75"/>
        <v>-1.8411416139481669E-2</v>
      </c>
      <c r="G2078">
        <f t="shared" si="74"/>
        <v>-3.105316103118903E-2</v>
      </c>
    </row>
    <row r="2079" spans="1:38" x14ac:dyDescent="0.35">
      <c r="A2079" t="s">
        <v>115</v>
      </c>
      <c r="B2079" s="3" cm="1">
        <f t="array" ref="B2079">_xlfn.STDEV.S(_xlfn._xlws.FILTER($E$2013:$E$3011, $A$2013:$A$3011="2018-05"))</f>
        <v>7.8373629504683764E-3</v>
      </c>
      <c r="C2079" s="3" cm="1">
        <f t="array" ref="C2079">AVERAGE(_xlfn._xlws.FILTER($E$2013:$E$3011, $A$2013:$A$3011="2018-05"))</f>
        <v>-1.9691467925927685E-3</v>
      </c>
      <c r="D2079" s="3" cm="1">
        <f t="array" ref="D2079">_xlfn.PERCENTILE.EXC(_xlfn._xlws.FILTER($E$1498:$E$2489, $A$1498:$A$2489="2018-05"), 0.05)</f>
        <v>-2.5124098184302182E-2</v>
      </c>
      <c r="E2079">
        <v>4.8714468486829509E-3</v>
      </c>
      <c r="F2079">
        <f t="shared" si="75"/>
        <v>-1.8414518972029146E-2</v>
      </c>
      <c r="G2079">
        <f t="shared" si="74"/>
        <v>-3.105316103118903E-2</v>
      </c>
      <c r="AI2079" s="3"/>
      <c r="AJ2079" s="3"/>
      <c r="AK2079" s="3"/>
      <c r="AL2079" s="3"/>
    </row>
    <row r="2080" spans="1:38" x14ac:dyDescent="0.35">
      <c r="A2080" t="s">
        <v>115</v>
      </c>
      <c r="E2080">
        <v>-6.9660915533798764E-3</v>
      </c>
      <c r="F2080">
        <f t="shared" si="75"/>
        <v>-1.8417621804576626E-2</v>
      </c>
      <c r="G2080">
        <f t="shared" si="74"/>
        <v>-3.105316103118903E-2</v>
      </c>
    </row>
    <row r="2081" spans="1:7" x14ac:dyDescent="0.35">
      <c r="A2081" t="s">
        <v>115</v>
      </c>
      <c r="E2081">
        <v>6.0652387790606256E-3</v>
      </c>
      <c r="F2081">
        <f t="shared" si="75"/>
        <v>-1.8420921057815332E-2</v>
      </c>
      <c r="G2081">
        <f t="shared" si="74"/>
        <v>-3.1200085905917087E-2</v>
      </c>
    </row>
    <row r="2082" spans="1:7" x14ac:dyDescent="0.35">
      <c r="A2082" t="s">
        <v>115</v>
      </c>
      <c r="E2082">
        <v>2.0510750008642378E-3</v>
      </c>
      <c r="F2082">
        <f t="shared" si="75"/>
        <v>-1.8424220311054035E-2</v>
      </c>
      <c r="G2082">
        <f t="shared" si="74"/>
        <v>-3.1200085905917087E-2</v>
      </c>
    </row>
    <row r="2083" spans="1:7" x14ac:dyDescent="0.35">
      <c r="A2083" t="s">
        <v>115</v>
      </c>
      <c r="E2083">
        <v>3.3279021456594955E-3</v>
      </c>
      <c r="F2083">
        <f t="shared" si="75"/>
        <v>-1.8427519564292741E-2</v>
      </c>
      <c r="G2083">
        <f t="shared" si="74"/>
        <v>-3.1200085905917087E-2</v>
      </c>
    </row>
    <row r="2084" spans="1:7" x14ac:dyDescent="0.35">
      <c r="A2084" t="s">
        <v>115</v>
      </c>
      <c r="E2084">
        <v>-8.4040087121009068E-6</v>
      </c>
      <c r="F2084">
        <f t="shared" si="75"/>
        <v>-1.8430818817531447E-2</v>
      </c>
      <c r="G2084">
        <f t="shared" si="74"/>
        <v>-3.1200085905917087E-2</v>
      </c>
    </row>
    <row r="2085" spans="1:7" x14ac:dyDescent="0.35">
      <c r="A2085" t="s">
        <v>115</v>
      </c>
      <c r="E2085">
        <v>-1.1744542170666911E-3</v>
      </c>
      <c r="F2085">
        <f t="shared" si="75"/>
        <v>-1.8434118070770153E-2</v>
      </c>
      <c r="G2085">
        <f t="shared" si="74"/>
        <v>-3.1200085905917087E-2</v>
      </c>
    </row>
    <row r="2086" spans="1:7" x14ac:dyDescent="0.35">
      <c r="A2086" t="s">
        <v>115</v>
      </c>
      <c r="E2086">
        <v>6.1700176425921597E-5</v>
      </c>
      <c r="F2086">
        <f t="shared" si="75"/>
        <v>-1.8437417324008856E-2</v>
      </c>
      <c r="G2086">
        <f t="shared" si="74"/>
        <v>-3.1200085905917087E-2</v>
      </c>
    </row>
    <row r="2087" spans="1:7" x14ac:dyDescent="0.35">
      <c r="A2087" t="s">
        <v>115</v>
      </c>
      <c r="E2087">
        <v>-4.0673041207096888E-4</v>
      </c>
      <c r="F2087">
        <f t="shared" si="75"/>
        <v>-1.8440716577247562E-2</v>
      </c>
      <c r="G2087">
        <f t="shared" si="74"/>
        <v>-3.1200085905917087E-2</v>
      </c>
    </row>
    <row r="2088" spans="1:7" x14ac:dyDescent="0.35">
      <c r="A2088" t="s">
        <v>115</v>
      </c>
      <c r="E2088">
        <v>-4.040891632813896E-4</v>
      </c>
      <c r="F2088">
        <f t="shared" si="75"/>
        <v>-1.8444015830486268E-2</v>
      </c>
      <c r="G2088">
        <f t="shared" si="74"/>
        <v>-3.1200085905917087E-2</v>
      </c>
    </row>
    <row r="2089" spans="1:7" x14ac:dyDescent="0.35">
      <c r="A2089" t="s">
        <v>115</v>
      </c>
      <c r="E2089">
        <v>8.1984741599757799E-3</v>
      </c>
      <c r="F2089">
        <f t="shared" si="75"/>
        <v>-1.8447315083724974E-2</v>
      </c>
      <c r="G2089">
        <f t="shared" si="74"/>
        <v>-3.1200085905917087E-2</v>
      </c>
    </row>
    <row r="2090" spans="1:7" x14ac:dyDescent="0.35">
      <c r="A2090" t="s">
        <v>115</v>
      </c>
      <c r="E2090">
        <v>-5.1409977113436858E-3</v>
      </c>
      <c r="F2090">
        <f t="shared" si="75"/>
        <v>-1.8450614336963676E-2</v>
      </c>
      <c r="G2090">
        <f t="shared" si="74"/>
        <v>-3.1200085905917087E-2</v>
      </c>
    </row>
    <row r="2091" spans="1:7" x14ac:dyDescent="0.35">
      <c r="A2091" t="s">
        <v>115</v>
      </c>
      <c r="E2091">
        <v>3.7676294147269188E-3</v>
      </c>
      <c r="F2091">
        <f t="shared" si="75"/>
        <v>-1.8453913590202382E-2</v>
      </c>
      <c r="G2091">
        <f t="shared" si="74"/>
        <v>-3.1200085905917087E-2</v>
      </c>
    </row>
    <row r="2092" spans="1:7" x14ac:dyDescent="0.35">
      <c r="A2092" t="s">
        <v>115</v>
      </c>
      <c r="E2092">
        <v>-1.2745172923524194E-2</v>
      </c>
      <c r="F2092">
        <f t="shared" si="75"/>
        <v>-1.8457212843441088E-2</v>
      </c>
      <c r="G2092">
        <f t="shared" si="74"/>
        <v>-3.1200085905917087E-2</v>
      </c>
    </row>
    <row r="2093" spans="1:7" x14ac:dyDescent="0.35">
      <c r="A2093" t="s">
        <v>115</v>
      </c>
      <c r="E2093">
        <v>-5.6798546711978029E-3</v>
      </c>
      <c r="F2093">
        <f t="shared" si="75"/>
        <v>-1.8460512096679794E-2</v>
      </c>
      <c r="G2093">
        <f t="shared" si="74"/>
        <v>-3.1200085905917087E-2</v>
      </c>
    </row>
    <row r="2094" spans="1:7" x14ac:dyDescent="0.35">
      <c r="A2094" t="s">
        <v>115</v>
      </c>
      <c r="E2094">
        <v>-1.8189264257337946E-3</v>
      </c>
      <c r="F2094">
        <f t="shared" si="75"/>
        <v>-1.8463811349918497E-2</v>
      </c>
      <c r="G2094">
        <f t="shared" si="74"/>
        <v>-3.1200085905917087E-2</v>
      </c>
    </row>
    <row r="2095" spans="1:7" x14ac:dyDescent="0.35">
      <c r="A2095" t="s">
        <v>115</v>
      </c>
      <c r="E2095">
        <v>-2.5124098184302182E-2</v>
      </c>
      <c r="F2095">
        <f t="shared" si="75"/>
        <v>-1.8467110603157203E-2</v>
      </c>
      <c r="G2095">
        <f t="shared" si="74"/>
        <v>-3.1200085905917087E-2</v>
      </c>
    </row>
    <row r="2096" spans="1:7" x14ac:dyDescent="0.35">
      <c r="A2096" t="s">
        <v>115</v>
      </c>
      <c r="E2096">
        <v>3.7995017561767621E-3</v>
      </c>
      <c r="F2096">
        <f t="shared" si="75"/>
        <v>-1.8405210474386712E-2</v>
      </c>
      <c r="G2096">
        <f t="shared" si="74"/>
        <v>-3.1122103622431906E-2</v>
      </c>
    </row>
    <row r="2097" spans="1:38" x14ac:dyDescent="0.35">
      <c r="A2097" t="s">
        <v>115</v>
      </c>
      <c r="E2097">
        <v>-1.0087938070222608E-2</v>
      </c>
      <c r="F2097">
        <f t="shared" si="75"/>
        <v>-1.8408313306934189E-2</v>
      </c>
      <c r="G2097">
        <f t="shared" si="74"/>
        <v>-3.1122103622431906E-2</v>
      </c>
    </row>
    <row r="2098" spans="1:38" x14ac:dyDescent="0.35">
      <c r="A2098" t="s">
        <v>116</v>
      </c>
      <c r="B2098" s="3" cm="1">
        <f t="array" ref="B2098">_xlfn.STDEV.S(_xlfn._xlws.FILTER($E$2013:$E$3011, $A$2013:$A$3011="2018-06"))</f>
        <v>9.1718269055142566E-3</v>
      </c>
      <c r="C2098" s="3" cm="1">
        <f t="array" ref="C2098">AVERAGE(_xlfn._xlws.FILTER($E$2013:$E$3011, $A$2013:$A$3011="2018-06"))</f>
        <v>-1.5471084980472018E-4</v>
      </c>
      <c r="D2098" s="3" cm="1">
        <f t="array" ref="D2098">_xlfn.PERCENTILE.EXC(_xlfn._xlws.FILTER($E$1498:$E$2489, $A$1498:$A$2489="2018-06"), 0.05)</f>
        <v>-2.0233117294625166E-2</v>
      </c>
      <c r="E2098">
        <v>1.3670388204823912E-2</v>
      </c>
      <c r="F2098">
        <f t="shared" si="75"/>
        <v>-1.8411416139481669E-2</v>
      </c>
      <c r="G2098">
        <f t="shared" si="74"/>
        <v>-3.1122103622431906E-2</v>
      </c>
      <c r="AI2098" s="3"/>
      <c r="AJ2098" s="3"/>
      <c r="AK2098" s="3"/>
      <c r="AL2098" s="3"/>
    </row>
    <row r="2099" spans="1:38" x14ac:dyDescent="0.35">
      <c r="A2099" t="s">
        <v>116</v>
      </c>
      <c r="E2099">
        <v>4.6308750393798366E-3</v>
      </c>
      <c r="F2099">
        <f t="shared" si="75"/>
        <v>-1.8414518972029146E-2</v>
      </c>
      <c r="G2099">
        <f t="shared" si="74"/>
        <v>-3.1122103622431906E-2</v>
      </c>
    </row>
    <row r="2100" spans="1:38" x14ac:dyDescent="0.35">
      <c r="A2100" t="s">
        <v>116</v>
      </c>
      <c r="E2100">
        <v>-3.690254189254177E-3</v>
      </c>
      <c r="F2100">
        <f t="shared" si="75"/>
        <v>-1.8417621804576626E-2</v>
      </c>
      <c r="G2100">
        <f t="shared" si="74"/>
        <v>-3.1122103622431906E-2</v>
      </c>
    </row>
    <row r="2101" spans="1:38" x14ac:dyDescent="0.35">
      <c r="A2101" t="s">
        <v>116</v>
      </c>
      <c r="E2101">
        <v>1.1651424280677703E-3</v>
      </c>
      <c r="F2101">
        <f t="shared" si="75"/>
        <v>-1.8420921057815332E-2</v>
      </c>
      <c r="G2101">
        <f t="shared" si="74"/>
        <v>-3.1271568114406671E-2</v>
      </c>
    </row>
    <row r="2102" spans="1:38" x14ac:dyDescent="0.35">
      <c r="A2102" t="s">
        <v>116</v>
      </c>
      <c r="E2102">
        <v>-3.0344233889222332E-4</v>
      </c>
      <c r="F2102">
        <f t="shared" si="75"/>
        <v>-1.8424220311054035E-2</v>
      </c>
      <c r="G2102">
        <f t="shared" si="74"/>
        <v>-3.1271568114406671E-2</v>
      </c>
    </row>
    <row r="2103" spans="1:38" x14ac:dyDescent="0.35">
      <c r="A2103" t="s">
        <v>116</v>
      </c>
      <c r="E2103">
        <v>-3.6107969221393773E-3</v>
      </c>
      <c r="F2103">
        <f t="shared" si="75"/>
        <v>-1.8427519564292741E-2</v>
      </c>
      <c r="G2103">
        <f t="shared" si="74"/>
        <v>-3.1271568114406671E-2</v>
      </c>
    </row>
    <row r="2104" spans="1:38" x14ac:dyDescent="0.35">
      <c r="A2104" t="s">
        <v>116</v>
      </c>
      <c r="E2104">
        <v>9.5041942294285843E-3</v>
      </c>
      <c r="F2104">
        <f t="shared" si="75"/>
        <v>-1.8430818817531447E-2</v>
      </c>
      <c r="G2104">
        <f t="shared" si="74"/>
        <v>-3.1271568114406671E-2</v>
      </c>
    </row>
    <row r="2105" spans="1:38" x14ac:dyDescent="0.35">
      <c r="A2105" t="s">
        <v>116</v>
      </c>
      <c r="E2105">
        <v>-1.3341386147496927E-3</v>
      </c>
      <c r="F2105">
        <f t="shared" si="75"/>
        <v>-1.8434118070770153E-2</v>
      </c>
      <c r="G2105">
        <f t="shared" si="74"/>
        <v>-3.1271568114406671E-2</v>
      </c>
    </row>
    <row r="2106" spans="1:38" x14ac:dyDescent="0.35">
      <c r="A2106" t="s">
        <v>116</v>
      </c>
      <c r="E2106">
        <v>1.1444774467305164E-3</v>
      </c>
      <c r="F2106">
        <f t="shared" si="75"/>
        <v>-1.8437417324008856E-2</v>
      </c>
      <c r="G2106">
        <f t="shared" si="74"/>
        <v>-3.1271568114406671E-2</v>
      </c>
    </row>
    <row r="2107" spans="1:38" x14ac:dyDescent="0.35">
      <c r="A2107" t="s">
        <v>116</v>
      </c>
      <c r="E2107">
        <v>1.3572989735061984E-2</v>
      </c>
      <c r="F2107">
        <f t="shared" si="75"/>
        <v>-1.8440716577247562E-2</v>
      </c>
      <c r="G2107">
        <f t="shared" si="74"/>
        <v>-3.1271568114406671E-2</v>
      </c>
    </row>
    <row r="2108" spans="1:38" x14ac:dyDescent="0.35">
      <c r="A2108" t="s">
        <v>116</v>
      </c>
      <c r="E2108">
        <v>-6.282612141664418E-3</v>
      </c>
      <c r="F2108">
        <f t="shared" si="75"/>
        <v>-1.8444015830486268E-2</v>
      </c>
      <c r="G2108">
        <f t="shared" si="74"/>
        <v>-3.1271568114406671E-2</v>
      </c>
    </row>
    <row r="2109" spans="1:38" x14ac:dyDescent="0.35">
      <c r="A2109" t="s">
        <v>116</v>
      </c>
      <c r="E2109">
        <v>-1.1007516829015055E-2</v>
      </c>
      <c r="F2109">
        <f t="shared" si="75"/>
        <v>-1.8447315083724974E-2</v>
      </c>
      <c r="G2109">
        <f t="shared" si="74"/>
        <v>-3.1271568114406671E-2</v>
      </c>
    </row>
    <row r="2110" spans="1:38" x14ac:dyDescent="0.35">
      <c r="A2110" t="s">
        <v>116</v>
      </c>
      <c r="E2110">
        <v>-9.084451670086157E-3</v>
      </c>
      <c r="F2110">
        <f t="shared" si="75"/>
        <v>-1.8450614336963676E-2</v>
      </c>
      <c r="G2110">
        <f t="shared" si="74"/>
        <v>-3.1271568114406671E-2</v>
      </c>
    </row>
    <row r="2111" spans="1:38" x14ac:dyDescent="0.35">
      <c r="A2111" t="s">
        <v>116</v>
      </c>
      <c r="E2111">
        <v>1.2509274493379427E-3</v>
      </c>
      <c r="F2111">
        <f t="shared" si="75"/>
        <v>-1.8453913590202382E-2</v>
      </c>
      <c r="G2111">
        <f t="shared" si="74"/>
        <v>-3.1271568114406671E-2</v>
      </c>
    </row>
    <row r="2112" spans="1:38" x14ac:dyDescent="0.35">
      <c r="A2112" t="s">
        <v>116</v>
      </c>
      <c r="E2112">
        <v>-1.0547933501149166E-2</v>
      </c>
      <c r="F2112">
        <f t="shared" si="75"/>
        <v>-1.8457212843441088E-2</v>
      </c>
      <c r="G2112">
        <f t="shared" si="74"/>
        <v>-3.1271568114406671E-2</v>
      </c>
    </row>
    <row r="2113" spans="1:38" x14ac:dyDescent="0.35">
      <c r="A2113" t="s">
        <v>116</v>
      </c>
      <c r="E2113">
        <v>1.1129227477873279E-2</v>
      </c>
      <c r="F2113">
        <f t="shared" si="75"/>
        <v>-1.8460512096679794E-2</v>
      </c>
      <c r="G2113">
        <f t="shared" si="74"/>
        <v>-3.1271568114406671E-2</v>
      </c>
    </row>
    <row r="2114" spans="1:38" x14ac:dyDescent="0.35">
      <c r="A2114" t="s">
        <v>116</v>
      </c>
      <c r="E2114">
        <v>-2.1258184013026291E-2</v>
      </c>
      <c r="F2114">
        <f t="shared" si="75"/>
        <v>-1.8463811349918497E-2</v>
      </c>
      <c r="G2114">
        <f t="shared" si="74"/>
        <v>-3.1271568114406671E-2</v>
      </c>
    </row>
    <row r="2115" spans="1:38" x14ac:dyDescent="0.35">
      <c r="A2115" t="s">
        <v>116</v>
      </c>
      <c r="E2115">
        <v>-1.4544526311904886E-4</v>
      </c>
      <c r="F2115">
        <f t="shared" si="75"/>
        <v>-1.8402107641839232E-2</v>
      </c>
      <c r="G2115">
        <f t="shared" ref="G2115:G2178" si="76">AVERAGEIFS(E2115:E5931,E2115:E5931,"&lt;=" &amp; F2115)</f>
        <v>-3.1238149735483736E-2</v>
      </c>
    </row>
    <row r="2116" spans="1:38" x14ac:dyDescent="0.35">
      <c r="A2116" t="s">
        <v>116</v>
      </c>
      <c r="E2116">
        <v>8.3981072519581142E-3</v>
      </c>
      <c r="F2116">
        <f t="shared" ref="F2116:F2179" si="77">_xlfn.PERCENTILE.EXC(E2116:E5931,0.05)</f>
        <v>-1.8405210474386712E-2</v>
      </c>
      <c r="G2116">
        <f t="shared" si="76"/>
        <v>-3.1238149735483736E-2</v>
      </c>
    </row>
    <row r="2117" spans="1:38" x14ac:dyDescent="0.35">
      <c r="A2117" t="s">
        <v>116</v>
      </c>
      <c r="E2117">
        <v>-9.3484744027732044E-3</v>
      </c>
      <c r="F2117">
        <f t="shared" si="77"/>
        <v>-1.8408313306934189E-2</v>
      </c>
      <c r="G2117">
        <f t="shared" si="76"/>
        <v>-3.1238149735483736E-2</v>
      </c>
    </row>
    <row r="2118" spans="1:38" x14ac:dyDescent="0.35">
      <c r="A2118" t="s">
        <v>116</v>
      </c>
      <c r="E2118">
        <v>8.8979927773077429E-3</v>
      </c>
      <c r="F2118">
        <f t="shared" si="77"/>
        <v>-1.8411416139481669E-2</v>
      </c>
      <c r="G2118">
        <f t="shared" si="76"/>
        <v>-3.1238149735483736E-2</v>
      </c>
    </row>
    <row r="2119" spans="1:38" x14ac:dyDescent="0.35">
      <c r="A2119" t="s">
        <v>117</v>
      </c>
      <c r="B2119" s="3" cm="1">
        <f t="array" ref="B2119">_xlfn.STDEV.S(_xlfn._xlws.FILTER($E$2013:$E$3011, $A$2013:$A$3011="2018-07"))</f>
        <v>6.3438826816556368E-3</v>
      </c>
      <c r="C2119" s="3" cm="1">
        <f t="array" ref="C2119">AVERAGE(_xlfn._xlws.FILTER($E$2013:$E$3011, $A$2013:$A$3011="2018-07"))</f>
        <v>1.7063162642801963E-3</v>
      </c>
      <c r="D2119" s="3" cm="1">
        <f t="array" ref="D2119">_xlfn.PERCENTILE.EXC(_xlfn._xlws.FILTER($E$1498:$E$2489, $A$1498:$A$2489="2018-07"), 0.05)</f>
        <v>-1.3600317164472334E-2</v>
      </c>
      <c r="E2119">
        <v>-6.9121601011633994E-3</v>
      </c>
      <c r="F2119">
        <f t="shared" si="77"/>
        <v>-1.8414518972029146E-2</v>
      </c>
      <c r="G2119">
        <f t="shared" si="76"/>
        <v>-3.1238149735483736E-2</v>
      </c>
      <c r="AI2119" s="3"/>
      <c r="AJ2119" s="3"/>
      <c r="AK2119" s="3"/>
      <c r="AL2119" s="3"/>
    </row>
    <row r="2120" spans="1:38" x14ac:dyDescent="0.35">
      <c r="A2120" t="s">
        <v>117</v>
      </c>
      <c r="E2120">
        <v>1.007008531819817E-2</v>
      </c>
      <c r="F2120">
        <f t="shared" si="77"/>
        <v>-1.8417621804576626E-2</v>
      </c>
      <c r="G2120">
        <f t="shared" si="76"/>
        <v>-3.1238149735483736E-2</v>
      </c>
    </row>
    <row r="2121" spans="1:38" x14ac:dyDescent="0.35">
      <c r="A2121" t="s">
        <v>117</v>
      </c>
      <c r="E2121">
        <v>1.669020989137631E-3</v>
      </c>
      <c r="F2121">
        <f t="shared" si="77"/>
        <v>-1.8420921057815332E-2</v>
      </c>
      <c r="G2121">
        <f t="shared" si="76"/>
        <v>-3.1390775067994536E-2</v>
      </c>
    </row>
    <row r="2122" spans="1:38" x14ac:dyDescent="0.35">
      <c r="A2122" t="s">
        <v>117</v>
      </c>
      <c r="E2122">
        <v>8.4314554017246197E-3</v>
      </c>
      <c r="F2122">
        <f t="shared" si="77"/>
        <v>-1.8424220311054035E-2</v>
      </c>
      <c r="G2122">
        <f t="shared" si="76"/>
        <v>-3.1390775067994536E-2</v>
      </c>
    </row>
    <row r="2123" spans="1:38" x14ac:dyDescent="0.35">
      <c r="A2123" t="s">
        <v>117</v>
      </c>
      <c r="E2123">
        <v>2.1975765839193301E-3</v>
      </c>
      <c r="F2123">
        <f t="shared" si="77"/>
        <v>-1.8427519564292741E-2</v>
      </c>
      <c r="G2123">
        <f t="shared" si="76"/>
        <v>-3.1390775067994536E-2</v>
      </c>
    </row>
    <row r="2124" spans="1:38" x14ac:dyDescent="0.35">
      <c r="A2124" t="s">
        <v>117</v>
      </c>
      <c r="E2124">
        <v>3.4592945410809877E-3</v>
      </c>
      <c r="F2124">
        <f t="shared" si="77"/>
        <v>-1.8430818817531447E-2</v>
      </c>
      <c r="G2124">
        <f t="shared" si="76"/>
        <v>-3.1390775067994536E-2</v>
      </c>
    </row>
    <row r="2125" spans="1:38" x14ac:dyDescent="0.35">
      <c r="A2125" t="s">
        <v>117</v>
      </c>
      <c r="E2125">
        <v>3.7122811696853075E-3</v>
      </c>
      <c r="F2125">
        <f t="shared" si="77"/>
        <v>-1.8434118070770153E-2</v>
      </c>
      <c r="G2125">
        <f t="shared" si="76"/>
        <v>-3.1390775067994536E-2</v>
      </c>
    </row>
    <row r="2126" spans="1:38" x14ac:dyDescent="0.35">
      <c r="A2126" t="s">
        <v>117</v>
      </c>
      <c r="E2126">
        <v>-1.47805801756445E-2</v>
      </c>
      <c r="F2126">
        <f t="shared" si="77"/>
        <v>-1.8437417324008856E-2</v>
      </c>
      <c r="G2126">
        <f t="shared" si="76"/>
        <v>-3.1390775067994536E-2</v>
      </c>
    </row>
    <row r="2127" spans="1:38" x14ac:dyDescent="0.35">
      <c r="A2127" t="s">
        <v>117</v>
      </c>
      <c r="E2127">
        <v>6.7386798659189685E-3</v>
      </c>
      <c r="F2127">
        <f t="shared" si="77"/>
        <v>-1.8440716577247562E-2</v>
      </c>
      <c r="G2127">
        <f t="shared" si="76"/>
        <v>-3.1390775067994536E-2</v>
      </c>
    </row>
    <row r="2128" spans="1:38" x14ac:dyDescent="0.35">
      <c r="A2128" t="s">
        <v>117</v>
      </c>
      <c r="E2128">
        <v>2.6231785048672152E-3</v>
      </c>
      <c r="F2128">
        <f t="shared" si="77"/>
        <v>-1.8444015830486268E-2</v>
      </c>
      <c r="G2128">
        <f t="shared" si="76"/>
        <v>-3.1390775067994536E-2</v>
      </c>
    </row>
    <row r="2129" spans="1:38" x14ac:dyDescent="0.35">
      <c r="A2129" t="s">
        <v>117</v>
      </c>
      <c r="E2129">
        <v>-1.5817791646763515E-3</v>
      </c>
      <c r="F2129">
        <f t="shared" si="77"/>
        <v>-1.8447315083724974E-2</v>
      </c>
      <c r="G2129">
        <f t="shared" si="76"/>
        <v>-3.1390775067994536E-2</v>
      </c>
    </row>
    <row r="2130" spans="1:38" x14ac:dyDescent="0.35">
      <c r="A2130" t="s">
        <v>117</v>
      </c>
      <c r="E2130">
        <v>2.4382557420524003E-3</v>
      </c>
      <c r="F2130">
        <f t="shared" si="77"/>
        <v>-1.8450614336963676E-2</v>
      </c>
      <c r="G2130">
        <f t="shared" si="76"/>
        <v>-3.1390775067994536E-2</v>
      </c>
    </row>
    <row r="2131" spans="1:38" x14ac:dyDescent="0.35">
      <c r="A2131" t="s">
        <v>117</v>
      </c>
      <c r="E2131">
        <v>7.9452149159099459E-3</v>
      </c>
      <c r="F2131">
        <f t="shared" si="77"/>
        <v>-1.8453913590202382E-2</v>
      </c>
      <c r="G2131">
        <f t="shared" si="76"/>
        <v>-3.1390775067994536E-2</v>
      </c>
    </row>
    <row r="2132" spans="1:38" x14ac:dyDescent="0.35">
      <c r="A2132" t="s">
        <v>117</v>
      </c>
      <c r="E2132">
        <v>-3.8638946863579545E-3</v>
      </c>
      <c r="F2132">
        <f t="shared" si="77"/>
        <v>-1.8457212843441088E-2</v>
      </c>
      <c r="G2132">
        <f t="shared" si="76"/>
        <v>-3.1390775067994536E-2</v>
      </c>
    </row>
    <row r="2133" spans="1:38" x14ac:dyDescent="0.35">
      <c r="A2133" t="s">
        <v>117</v>
      </c>
      <c r="E2133">
        <v>-3.3498452340527101E-3</v>
      </c>
      <c r="F2133">
        <f t="shared" si="77"/>
        <v>-1.8460512096679794E-2</v>
      </c>
      <c r="G2133">
        <f t="shared" si="76"/>
        <v>-3.1390775067994536E-2</v>
      </c>
    </row>
    <row r="2134" spans="1:38" x14ac:dyDescent="0.35">
      <c r="A2134" t="s">
        <v>117</v>
      </c>
      <c r="E2134">
        <v>-1.7298039626743105E-3</v>
      </c>
      <c r="F2134">
        <f t="shared" si="77"/>
        <v>-1.8463811349918497E-2</v>
      </c>
      <c r="G2134">
        <f t="shared" si="76"/>
        <v>-3.1390775067994536E-2</v>
      </c>
    </row>
    <row r="2135" spans="1:38" x14ac:dyDescent="0.35">
      <c r="A2135" t="s">
        <v>117</v>
      </c>
      <c r="E2135">
        <v>8.4355355660804977E-3</v>
      </c>
      <c r="F2135">
        <f t="shared" si="77"/>
        <v>-1.8467110603157203E-2</v>
      </c>
      <c r="G2135">
        <f t="shared" si="76"/>
        <v>-3.1390775067994536E-2</v>
      </c>
    </row>
    <row r="2136" spans="1:38" x14ac:dyDescent="0.35">
      <c r="A2136" t="s">
        <v>117</v>
      </c>
      <c r="E2136">
        <v>-4.2751828697322868E-3</v>
      </c>
      <c r="F2136">
        <f t="shared" si="77"/>
        <v>-1.8470409856395909E-2</v>
      </c>
      <c r="G2136">
        <f t="shared" si="76"/>
        <v>-3.1390775067994536E-2</v>
      </c>
    </row>
    <row r="2137" spans="1:38" x14ac:dyDescent="0.35">
      <c r="A2137" t="s">
        <v>117</v>
      </c>
      <c r="E2137">
        <v>1.1697380754029476E-2</v>
      </c>
      <c r="F2137">
        <f t="shared" si="77"/>
        <v>-1.8473709109634615E-2</v>
      </c>
      <c r="G2137">
        <f t="shared" si="76"/>
        <v>-3.1390775067994536E-2</v>
      </c>
    </row>
    <row r="2138" spans="1:38" x14ac:dyDescent="0.35">
      <c r="A2138" t="s">
        <v>117</v>
      </c>
      <c r="E2138">
        <v>5.093495785531788E-3</v>
      </c>
      <c r="F2138">
        <f t="shared" si="77"/>
        <v>-1.8477008362873318E-2</v>
      </c>
      <c r="G2138">
        <f t="shared" si="76"/>
        <v>-3.1390775067994536E-2</v>
      </c>
    </row>
    <row r="2139" spans="1:38" x14ac:dyDescent="0.35">
      <c r="A2139" t="s">
        <v>117</v>
      </c>
      <c r="E2139">
        <v>-4.2247441553901711E-3</v>
      </c>
      <c r="F2139">
        <f t="shared" si="77"/>
        <v>-1.8480307616112024E-2</v>
      </c>
      <c r="G2139">
        <f t="shared" si="76"/>
        <v>-3.1390775067994536E-2</v>
      </c>
    </row>
    <row r="2140" spans="1:38" x14ac:dyDescent="0.35">
      <c r="A2140" t="s">
        <v>117</v>
      </c>
      <c r="E2140">
        <v>3.745493025719662E-3</v>
      </c>
      <c r="F2140">
        <f t="shared" si="77"/>
        <v>-1.848360686935073E-2</v>
      </c>
      <c r="G2140">
        <f t="shared" si="76"/>
        <v>-3.1390775067994536E-2</v>
      </c>
    </row>
    <row r="2141" spans="1:38" x14ac:dyDescent="0.35">
      <c r="A2141" t="s">
        <v>118</v>
      </c>
      <c r="B2141" s="3" cm="1">
        <f t="array" ref="B2141">_xlfn.STDEV.S(_xlfn._xlws.FILTER($E$2013:$E$3011, $A$2013:$A$3011="2018-08"))</f>
        <v>6.8461609871808323E-3</v>
      </c>
      <c r="C2141" s="3" cm="1">
        <f t="array" ref="C2141">AVERAGE(_xlfn._xlws.FILTER($E$2013:$E$3011, $A$2013:$A$3011="2018-08"))</f>
        <v>-1.8254486081587171E-3</v>
      </c>
      <c r="D2141" s="3" cm="1">
        <f t="array" ref="D2141">_xlfn.PERCENTILE.EXC(_xlfn._xlws.FILTER($E$1498:$E$2489, $A$1498:$A$2489="2018-08"), 0.05)</f>
        <v>-1.8795337607148493E-2</v>
      </c>
      <c r="E2141">
        <v>-4.6227935032630684E-3</v>
      </c>
      <c r="F2141">
        <f t="shared" si="77"/>
        <v>-1.8494992286860058E-2</v>
      </c>
      <c r="G2141">
        <f t="shared" si="76"/>
        <v>-3.1546283118580605E-2</v>
      </c>
      <c r="AI2141" s="3"/>
      <c r="AJ2141" s="3"/>
      <c r="AK2141" s="3"/>
      <c r="AL2141" s="3"/>
    </row>
    <row r="2142" spans="1:38" x14ac:dyDescent="0.35">
      <c r="A2142" t="s">
        <v>118</v>
      </c>
      <c r="E2142">
        <v>-1.1469737859631842E-2</v>
      </c>
      <c r="F2142">
        <f t="shared" si="77"/>
        <v>-1.8506377704369383E-2</v>
      </c>
      <c r="G2142">
        <f t="shared" si="76"/>
        <v>-3.1546283118580605E-2</v>
      </c>
    </row>
    <row r="2143" spans="1:38" x14ac:dyDescent="0.35">
      <c r="A2143" t="s">
        <v>118</v>
      </c>
      <c r="E2143">
        <v>3.7948089230056908E-3</v>
      </c>
      <c r="F2143">
        <f t="shared" si="77"/>
        <v>-1.8517763121878712E-2</v>
      </c>
      <c r="G2143">
        <f t="shared" si="76"/>
        <v>-3.1546283118580605E-2</v>
      </c>
    </row>
    <row r="2144" spans="1:38" x14ac:dyDescent="0.35">
      <c r="A2144" t="s">
        <v>118</v>
      </c>
      <c r="E2144">
        <v>2.5840906298240019E-4</v>
      </c>
      <c r="F2144">
        <f t="shared" si="77"/>
        <v>-1.852914853938804E-2</v>
      </c>
      <c r="G2144">
        <f t="shared" si="76"/>
        <v>-3.1546283118580605E-2</v>
      </c>
    </row>
    <row r="2145" spans="1:7" x14ac:dyDescent="0.35">
      <c r="A2145" t="s">
        <v>118</v>
      </c>
      <c r="E2145">
        <v>6.0306407879052344E-3</v>
      </c>
      <c r="F2145">
        <f t="shared" si="77"/>
        <v>-1.8540533956897372E-2</v>
      </c>
      <c r="G2145">
        <f t="shared" si="76"/>
        <v>-3.1546283118580605E-2</v>
      </c>
    </row>
    <row r="2146" spans="1:7" x14ac:dyDescent="0.35">
      <c r="A2146" t="s">
        <v>118</v>
      </c>
      <c r="E2146">
        <v>-3.078037917624228E-3</v>
      </c>
      <c r="F2146">
        <f t="shared" si="77"/>
        <v>-1.8551919374406697E-2</v>
      </c>
      <c r="G2146">
        <f t="shared" si="76"/>
        <v>-3.1546283118580605E-2</v>
      </c>
    </row>
    <row r="2147" spans="1:7" x14ac:dyDescent="0.35">
      <c r="A2147" t="s">
        <v>118</v>
      </c>
      <c r="E2147">
        <v>1.5169447045517288E-4</v>
      </c>
      <c r="F2147">
        <f t="shared" si="77"/>
        <v>-1.8563304791916025E-2</v>
      </c>
      <c r="G2147">
        <f t="shared" si="76"/>
        <v>-3.1546283118580605E-2</v>
      </c>
    </row>
    <row r="2148" spans="1:7" x14ac:dyDescent="0.35">
      <c r="A2148" t="s">
        <v>118</v>
      </c>
      <c r="E2148">
        <v>-1.9609293134650346E-2</v>
      </c>
      <c r="F2148">
        <f t="shared" si="77"/>
        <v>-1.8574690209425353E-2</v>
      </c>
      <c r="G2148">
        <f t="shared" si="76"/>
        <v>-3.1546283118580605E-2</v>
      </c>
    </row>
    <row r="2149" spans="1:7" x14ac:dyDescent="0.35">
      <c r="A2149" t="s">
        <v>118</v>
      </c>
      <c r="E2149">
        <v>-4.8566792752246053E-3</v>
      </c>
      <c r="F2149">
        <f t="shared" si="77"/>
        <v>-1.8447315083724974E-2</v>
      </c>
      <c r="G2149">
        <f t="shared" si="76"/>
        <v>-3.1532720633456517E-2</v>
      </c>
    </row>
    <row r="2150" spans="1:7" x14ac:dyDescent="0.35">
      <c r="A2150" t="s">
        <v>118</v>
      </c>
      <c r="E2150">
        <v>-7.0390314321703643E-5</v>
      </c>
      <c r="F2150">
        <f t="shared" si="77"/>
        <v>-1.8450614336963676E-2</v>
      </c>
      <c r="G2150">
        <f t="shared" si="76"/>
        <v>-3.1532720633456517E-2</v>
      </c>
    </row>
    <row r="2151" spans="1:7" x14ac:dyDescent="0.35">
      <c r="A2151" t="s">
        <v>118</v>
      </c>
      <c r="E2151">
        <v>-9.3944996222436686E-3</v>
      </c>
      <c r="F2151">
        <f t="shared" si="77"/>
        <v>-1.8453913590202382E-2</v>
      </c>
      <c r="G2151">
        <f t="shared" si="76"/>
        <v>-3.1532720633456517E-2</v>
      </c>
    </row>
    <row r="2152" spans="1:7" x14ac:dyDescent="0.35">
      <c r="A2152" t="s">
        <v>118</v>
      </c>
      <c r="E2152">
        <v>-1.3687877109334902E-3</v>
      </c>
      <c r="F2152">
        <f t="shared" si="77"/>
        <v>-1.8457212843441088E-2</v>
      </c>
      <c r="G2152">
        <f t="shared" si="76"/>
        <v>-3.1532720633456517E-2</v>
      </c>
    </row>
    <row r="2153" spans="1:7" x14ac:dyDescent="0.35">
      <c r="A2153" t="s">
        <v>118</v>
      </c>
      <c r="E2153">
        <v>6.1271640759570827E-3</v>
      </c>
      <c r="F2153">
        <f t="shared" si="77"/>
        <v>-1.8460512096679794E-2</v>
      </c>
      <c r="G2153">
        <f t="shared" si="76"/>
        <v>-3.1532720633456517E-2</v>
      </c>
    </row>
    <row r="2154" spans="1:7" x14ac:dyDescent="0.35">
      <c r="A2154" t="s">
        <v>118</v>
      </c>
      <c r="E2154">
        <v>5.287044685841469E-3</v>
      </c>
      <c r="F2154">
        <f t="shared" si="77"/>
        <v>-1.8463811349918497E-2</v>
      </c>
      <c r="G2154">
        <f t="shared" si="76"/>
        <v>-3.1532720633456517E-2</v>
      </c>
    </row>
    <row r="2155" spans="1:7" x14ac:dyDescent="0.35">
      <c r="A2155" t="s">
        <v>118</v>
      </c>
      <c r="E2155">
        <v>2.4942049043743604E-3</v>
      </c>
      <c r="F2155">
        <f t="shared" si="77"/>
        <v>-1.8467110603157203E-2</v>
      </c>
      <c r="G2155">
        <f t="shared" si="76"/>
        <v>-3.1532720633456517E-2</v>
      </c>
    </row>
    <row r="2156" spans="1:7" x14ac:dyDescent="0.35">
      <c r="A2156" t="s">
        <v>118</v>
      </c>
      <c r="E2156">
        <v>-2.6902787524951227E-4</v>
      </c>
      <c r="F2156">
        <f t="shared" si="77"/>
        <v>-1.8470409856395909E-2</v>
      </c>
      <c r="G2156">
        <f t="shared" si="76"/>
        <v>-3.1532720633456517E-2</v>
      </c>
    </row>
    <row r="2157" spans="1:7" x14ac:dyDescent="0.35">
      <c r="A2157" t="s">
        <v>118</v>
      </c>
      <c r="E2157">
        <v>2.3894734374316933E-3</v>
      </c>
      <c r="F2157">
        <f t="shared" si="77"/>
        <v>-1.8473709109634615E-2</v>
      </c>
      <c r="G2157">
        <f t="shared" si="76"/>
        <v>-3.1532720633456517E-2</v>
      </c>
    </row>
    <row r="2158" spans="1:7" x14ac:dyDescent="0.35">
      <c r="A2158" t="s">
        <v>118</v>
      </c>
      <c r="E2158">
        <v>5.8560082170623917E-3</v>
      </c>
      <c r="F2158">
        <f t="shared" si="77"/>
        <v>-1.8477008362873318E-2</v>
      </c>
      <c r="G2158">
        <f t="shared" si="76"/>
        <v>-3.1532720633456517E-2</v>
      </c>
    </row>
    <row r="2159" spans="1:7" x14ac:dyDescent="0.35">
      <c r="A2159" t="s">
        <v>118</v>
      </c>
      <c r="E2159">
        <v>2.4798309273830043E-3</v>
      </c>
      <c r="F2159">
        <f t="shared" si="77"/>
        <v>-1.8480307616112024E-2</v>
      </c>
      <c r="G2159">
        <f t="shared" si="76"/>
        <v>-3.1532720633456517E-2</v>
      </c>
    </row>
    <row r="2160" spans="1:7" x14ac:dyDescent="0.35">
      <c r="A2160" t="s">
        <v>118</v>
      </c>
      <c r="E2160">
        <v>-7.3006167051873679E-3</v>
      </c>
      <c r="F2160">
        <f t="shared" si="77"/>
        <v>-1.848360686935073E-2</v>
      </c>
      <c r="G2160">
        <f t="shared" si="76"/>
        <v>-3.1532720633456517E-2</v>
      </c>
    </row>
    <row r="2161" spans="1:38" x14ac:dyDescent="0.35">
      <c r="A2161" t="s">
        <v>118</v>
      </c>
      <c r="E2161">
        <v>-1.1163836345401738E-2</v>
      </c>
      <c r="F2161">
        <f t="shared" si="77"/>
        <v>-1.8494992286860058E-2</v>
      </c>
      <c r="G2161">
        <f t="shared" si="76"/>
        <v>-3.1691856167165119E-2</v>
      </c>
    </row>
    <row r="2162" spans="1:38" x14ac:dyDescent="0.35">
      <c r="A2162" t="s">
        <v>119</v>
      </c>
      <c r="B2162" s="3" cm="1">
        <f t="array" ref="B2162">_xlfn.STDEV.S(_xlfn._xlws.FILTER($E$2013:$E$3011, $A$2013:$A$3011="2018-09"))</f>
        <v>6.7708693295886815E-3</v>
      </c>
      <c r="C2162" s="3" cm="1">
        <f t="array" ref="C2162">AVERAGE(_xlfn._xlws.FILTER($E$2013:$E$3011, $A$2013:$A$3011="2018-09"))</f>
        <v>9.2754844697914236E-5</v>
      </c>
      <c r="D2162" s="3" cm="1">
        <f t="array" ref="D2162">_xlfn.PERCENTILE.EXC(_xlfn._xlws.FILTER($E$1498:$E$2489, $A$1498:$A$2489="2018-09"), 0.05)</f>
        <v>-1.468987955831017E-2</v>
      </c>
      <c r="E2162">
        <v>6.1580257371469797E-4</v>
      </c>
      <c r="F2162">
        <f t="shared" si="77"/>
        <v>-1.8506377704369383E-2</v>
      </c>
      <c r="G2162">
        <f t="shared" si="76"/>
        <v>-3.1691856167165119E-2</v>
      </c>
      <c r="AI2162" s="3"/>
      <c r="AJ2162" s="3"/>
      <c r="AK2162" s="3"/>
      <c r="AL2162" s="3"/>
    </row>
    <row r="2163" spans="1:38" x14ac:dyDescent="0.35">
      <c r="A2163" t="s">
        <v>119</v>
      </c>
      <c r="E2163">
        <v>-1.0550335856477968E-2</v>
      </c>
      <c r="F2163">
        <f t="shared" si="77"/>
        <v>-1.8517763121878712E-2</v>
      </c>
      <c r="G2163">
        <f t="shared" si="76"/>
        <v>-3.1691856167165119E-2</v>
      </c>
    </row>
    <row r="2164" spans="1:38" x14ac:dyDescent="0.35">
      <c r="A2164" t="s">
        <v>119</v>
      </c>
      <c r="E2164">
        <v>-1.3105844833979552E-2</v>
      </c>
      <c r="F2164">
        <f t="shared" si="77"/>
        <v>-1.852914853938804E-2</v>
      </c>
      <c r="G2164">
        <f t="shared" si="76"/>
        <v>-3.1691856167165119E-2</v>
      </c>
    </row>
    <row r="2165" spans="1:38" x14ac:dyDescent="0.35">
      <c r="A2165" t="s">
        <v>119</v>
      </c>
      <c r="E2165">
        <v>-5.9501927785152852E-3</v>
      </c>
      <c r="F2165">
        <f t="shared" si="77"/>
        <v>-1.8540533956897372E-2</v>
      </c>
      <c r="G2165">
        <f t="shared" si="76"/>
        <v>-3.1691856167165119E-2</v>
      </c>
    </row>
    <row r="2166" spans="1:38" x14ac:dyDescent="0.35">
      <c r="A2166" t="s">
        <v>119</v>
      </c>
      <c r="E2166">
        <v>-7.8612180437163178E-4</v>
      </c>
      <c r="F2166">
        <f t="shared" si="77"/>
        <v>-1.8551919374406697E-2</v>
      </c>
      <c r="G2166">
        <f t="shared" si="76"/>
        <v>-3.1691856167165119E-2</v>
      </c>
    </row>
    <row r="2167" spans="1:38" x14ac:dyDescent="0.35">
      <c r="A2167" t="s">
        <v>119</v>
      </c>
      <c r="E2167">
        <v>4.8223228439997594E-3</v>
      </c>
      <c r="F2167">
        <f t="shared" si="77"/>
        <v>-1.8563304791916025E-2</v>
      </c>
      <c r="G2167">
        <f t="shared" si="76"/>
        <v>-3.1691856167165119E-2</v>
      </c>
    </row>
    <row r="2168" spans="1:38" x14ac:dyDescent="0.35">
      <c r="A2168" t="s">
        <v>119</v>
      </c>
      <c r="E2168">
        <v>7.1893117971483375E-4</v>
      </c>
      <c r="F2168">
        <f t="shared" si="77"/>
        <v>-1.8574690209425353E-2</v>
      </c>
      <c r="G2168">
        <f t="shared" si="76"/>
        <v>-3.1691856167165119E-2</v>
      </c>
    </row>
    <row r="2169" spans="1:38" x14ac:dyDescent="0.35">
      <c r="A2169" t="s">
        <v>119</v>
      </c>
      <c r="E2169">
        <v>4.5011871257062044E-3</v>
      </c>
      <c r="F2169">
        <f t="shared" si="77"/>
        <v>-1.8586075626934678E-2</v>
      </c>
      <c r="G2169">
        <f t="shared" si="76"/>
        <v>-3.1691856167165119E-2</v>
      </c>
    </row>
    <row r="2170" spans="1:38" x14ac:dyDescent="0.35">
      <c r="A2170" t="s">
        <v>119</v>
      </c>
      <c r="E2170">
        <v>2.1260375440134002E-3</v>
      </c>
      <c r="F2170">
        <f t="shared" si="77"/>
        <v>-1.859746104444401E-2</v>
      </c>
      <c r="G2170">
        <f t="shared" si="76"/>
        <v>-3.1691856167165119E-2</v>
      </c>
    </row>
    <row r="2171" spans="1:38" x14ac:dyDescent="0.35">
      <c r="A2171" t="s">
        <v>119</v>
      </c>
      <c r="E2171">
        <v>3.2792756888205586E-3</v>
      </c>
      <c r="F2171">
        <f t="shared" si="77"/>
        <v>-1.8608846461953338E-2</v>
      </c>
      <c r="G2171">
        <f t="shared" si="76"/>
        <v>-3.1691856167165119E-2</v>
      </c>
    </row>
    <row r="2172" spans="1:38" x14ac:dyDescent="0.35">
      <c r="A2172" t="s">
        <v>119</v>
      </c>
      <c r="E2172">
        <v>4.4240249184354473E-4</v>
      </c>
      <c r="F2172">
        <f t="shared" si="77"/>
        <v>-1.8620231879462663E-2</v>
      </c>
      <c r="G2172">
        <f t="shared" si="76"/>
        <v>-3.1691856167165119E-2</v>
      </c>
    </row>
    <row r="2173" spans="1:38" x14ac:dyDescent="0.35">
      <c r="A2173" t="s">
        <v>119</v>
      </c>
      <c r="E2173">
        <v>3.6840584759773344E-3</v>
      </c>
      <c r="F2173">
        <f t="shared" si="77"/>
        <v>-1.8631617296971992E-2</v>
      </c>
      <c r="G2173">
        <f t="shared" si="76"/>
        <v>-3.1691856167165119E-2</v>
      </c>
    </row>
    <row r="2174" spans="1:38" x14ac:dyDescent="0.35">
      <c r="A2174" t="s">
        <v>119</v>
      </c>
      <c r="E2174">
        <v>3.0028177675212645E-3</v>
      </c>
      <c r="F2174">
        <f t="shared" si="77"/>
        <v>-1.864300271448132E-2</v>
      </c>
      <c r="G2174">
        <f t="shared" si="76"/>
        <v>-3.1691856167165119E-2</v>
      </c>
    </row>
    <row r="2175" spans="1:38" x14ac:dyDescent="0.35">
      <c r="A2175" t="s">
        <v>119</v>
      </c>
      <c r="E2175">
        <v>1.0207304557802551E-2</v>
      </c>
      <c r="F2175">
        <f t="shared" si="77"/>
        <v>-1.8654388131990648E-2</v>
      </c>
      <c r="G2175">
        <f t="shared" si="76"/>
        <v>-3.1691856167165119E-2</v>
      </c>
    </row>
    <row r="2176" spans="1:38" x14ac:dyDescent="0.35">
      <c r="A2176" t="s">
        <v>119</v>
      </c>
      <c r="E2176">
        <v>8.1037270016702211E-3</v>
      </c>
      <c r="F2176">
        <f t="shared" si="77"/>
        <v>-1.8665773549499977E-2</v>
      </c>
      <c r="G2176">
        <f t="shared" si="76"/>
        <v>-3.1691856167165119E-2</v>
      </c>
    </row>
    <row r="2177" spans="1:38" x14ac:dyDescent="0.35">
      <c r="A2177" t="s">
        <v>119</v>
      </c>
      <c r="E2177">
        <v>-5.95506967240211E-3</v>
      </c>
      <c r="F2177">
        <f t="shared" si="77"/>
        <v>-1.8677158967009305E-2</v>
      </c>
      <c r="G2177">
        <f t="shared" si="76"/>
        <v>-3.1691856167165119E-2</v>
      </c>
    </row>
    <row r="2178" spans="1:38" x14ac:dyDescent="0.35">
      <c r="A2178" t="s">
        <v>119</v>
      </c>
      <c r="E2178">
        <v>2.7349062904880785E-3</v>
      </c>
      <c r="F2178">
        <f t="shared" si="77"/>
        <v>-1.8688544384518634E-2</v>
      </c>
      <c r="G2178">
        <f t="shared" si="76"/>
        <v>-3.1691856167165119E-2</v>
      </c>
    </row>
    <row r="2179" spans="1:38" x14ac:dyDescent="0.35">
      <c r="A2179" t="s">
        <v>119</v>
      </c>
      <c r="E2179">
        <v>3.9019855634685697E-3</v>
      </c>
      <c r="F2179">
        <f t="shared" si="77"/>
        <v>-1.8699929802027958E-2</v>
      </c>
      <c r="G2179">
        <f t="shared" ref="G2179:G2242" si="78">AVERAGEIFS(E2179:E5995,E2179:E5995,"&lt;=" &amp; F2179)</f>
        <v>-3.1691856167165119E-2</v>
      </c>
    </row>
    <row r="2180" spans="1:38" x14ac:dyDescent="0.35">
      <c r="A2180" t="s">
        <v>119</v>
      </c>
      <c r="E2180">
        <v>4.8351525419229706E-3</v>
      </c>
      <c r="F2180">
        <f t="shared" ref="F2180:F2243" si="79">_xlfn.PERCENTILE.EXC(E2180:E5995,0.05)</f>
        <v>-1.871131521953729E-2</v>
      </c>
      <c r="G2180">
        <f t="shared" si="78"/>
        <v>-3.1691856167165119E-2</v>
      </c>
    </row>
    <row r="2181" spans="1:38" x14ac:dyDescent="0.35">
      <c r="A2181" t="s">
        <v>119</v>
      </c>
      <c r="E2181">
        <v>-1.4773249806959149E-2</v>
      </c>
      <c r="F2181">
        <f t="shared" si="79"/>
        <v>-1.8716161061534529E-2</v>
      </c>
      <c r="G2181">
        <f t="shared" si="78"/>
        <v>-3.1852109759111145E-2</v>
      </c>
    </row>
    <row r="2182" spans="1:38" x14ac:dyDescent="0.35">
      <c r="A2182" t="s">
        <v>120</v>
      </c>
      <c r="B2182" s="3" cm="1">
        <f t="array" ref="B2182">_xlfn.STDEV.S(_xlfn._xlws.FILTER($E$2013:$E$3011, $A$2013:$A$3011="2018-10"))</f>
        <v>9.4933181765226235E-3</v>
      </c>
      <c r="C2182" s="3" cm="1">
        <f t="array" ref="C2182">AVERAGE(_xlfn._xlws.FILTER($E$2013:$E$3011, $A$2013:$A$3011="2018-10"))</f>
        <v>-2.7803512685990392E-3</v>
      </c>
      <c r="D2182" s="3" cm="1">
        <f t="array" ref="D2182">_xlfn.PERCENTILE.EXC(_xlfn._xlws.FILTER($E$1498:$E$2489, $A$1498:$A$2489="2018-10"), 0.05)</f>
        <v>-1.7648851736132103E-2</v>
      </c>
      <c r="E2182">
        <v>4.3913793021291073E-3</v>
      </c>
      <c r="F2182">
        <f t="shared" si="79"/>
        <v>-1.8721006903531769E-2</v>
      </c>
      <c r="G2182">
        <f t="shared" si="78"/>
        <v>-3.1852109759111145E-2</v>
      </c>
      <c r="AI2182" s="3"/>
      <c r="AJ2182" s="3"/>
      <c r="AK2182" s="3"/>
      <c r="AL2182" s="3"/>
    </row>
    <row r="2183" spans="1:38" x14ac:dyDescent="0.35">
      <c r="A2183" t="s">
        <v>120</v>
      </c>
      <c r="E2183">
        <v>-7.3995472229599554E-3</v>
      </c>
      <c r="F2183">
        <f t="shared" si="79"/>
        <v>-1.8725852745529008E-2</v>
      </c>
      <c r="G2183">
        <f t="shared" si="78"/>
        <v>-3.1852109759111145E-2</v>
      </c>
    </row>
    <row r="2184" spans="1:38" x14ac:dyDescent="0.35">
      <c r="A2184" t="s">
        <v>120</v>
      </c>
      <c r="E2184">
        <v>-4.1129141503652156E-3</v>
      </c>
      <c r="F2184">
        <f t="shared" si="79"/>
        <v>-1.8730698587526247E-2</v>
      </c>
      <c r="G2184">
        <f t="shared" si="78"/>
        <v>-3.1852109759111145E-2</v>
      </c>
    </row>
    <row r="2185" spans="1:38" x14ac:dyDescent="0.35">
      <c r="A2185" t="s">
        <v>120</v>
      </c>
      <c r="E2185">
        <v>-8.799879421178991E-3</v>
      </c>
      <c r="F2185">
        <f t="shared" si="79"/>
        <v>-1.8735544429523486E-2</v>
      </c>
      <c r="G2185">
        <f t="shared" si="78"/>
        <v>-3.1852109759111145E-2</v>
      </c>
    </row>
    <row r="2186" spans="1:38" x14ac:dyDescent="0.35">
      <c r="A2186" t="s">
        <v>120</v>
      </c>
      <c r="E2186">
        <v>-1.0755554660250424E-2</v>
      </c>
      <c r="F2186">
        <f t="shared" si="79"/>
        <v>-1.8740390271520729E-2</v>
      </c>
      <c r="G2186">
        <f t="shared" si="78"/>
        <v>-3.1852109759111145E-2</v>
      </c>
    </row>
    <row r="2187" spans="1:38" x14ac:dyDescent="0.35">
      <c r="A2187" t="s">
        <v>120</v>
      </c>
      <c r="E2187">
        <v>3.640200596351503E-3</v>
      </c>
      <c r="F2187">
        <f t="shared" si="79"/>
        <v>-1.8745236113517968E-2</v>
      </c>
      <c r="G2187">
        <f t="shared" si="78"/>
        <v>-3.1852109759111145E-2</v>
      </c>
    </row>
    <row r="2188" spans="1:38" x14ac:dyDescent="0.35">
      <c r="A2188" t="s">
        <v>120</v>
      </c>
      <c r="E2188">
        <v>-1.6662271233244364E-2</v>
      </c>
      <c r="F2188">
        <f t="shared" si="79"/>
        <v>-1.8750081955515207E-2</v>
      </c>
      <c r="G2188">
        <f t="shared" si="78"/>
        <v>-3.1852109759111145E-2</v>
      </c>
    </row>
    <row r="2189" spans="1:38" x14ac:dyDescent="0.35">
      <c r="A2189" t="s">
        <v>120</v>
      </c>
      <c r="E2189">
        <v>-1.7822954177818175E-2</v>
      </c>
      <c r="F2189">
        <f t="shared" si="79"/>
        <v>-1.8754927797512446E-2</v>
      </c>
      <c r="G2189">
        <f t="shared" si="78"/>
        <v>-3.1852109759111145E-2</v>
      </c>
    </row>
    <row r="2190" spans="1:38" x14ac:dyDescent="0.35">
      <c r="A2190" t="s">
        <v>120</v>
      </c>
      <c r="E2190">
        <v>-4.616161610816392E-3</v>
      </c>
      <c r="F2190">
        <f t="shared" si="79"/>
        <v>-1.8759773639509685E-2</v>
      </c>
      <c r="G2190">
        <f t="shared" si="78"/>
        <v>-3.1852109759111145E-2</v>
      </c>
    </row>
    <row r="2191" spans="1:38" x14ac:dyDescent="0.35">
      <c r="A2191" t="s">
        <v>120</v>
      </c>
      <c r="E2191">
        <v>4.9837880566443796E-3</v>
      </c>
      <c r="F2191">
        <f t="shared" si="79"/>
        <v>-1.8764619481506924E-2</v>
      </c>
      <c r="G2191">
        <f t="shared" si="78"/>
        <v>-3.1852109759111145E-2</v>
      </c>
    </row>
    <row r="2192" spans="1:38" x14ac:dyDescent="0.35">
      <c r="A2192" t="s">
        <v>120</v>
      </c>
      <c r="E2192">
        <v>1.4524716092271859E-2</v>
      </c>
      <c r="F2192">
        <f t="shared" si="79"/>
        <v>-1.8769465323504163E-2</v>
      </c>
      <c r="G2192">
        <f t="shared" si="78"/>
        <v>-3.1852109759111145E-2</v>
      </c>
    </row>
    <row r="2193" spans="1:38" x14ac:dyDescent="0.35">
      <c r="A2193" t="s">
        <v>120</v>
      </c>
      <c r="E2193">
        <v>-4.3874158515042581E-3</v>
      </c>
      <c r="F2193">
        <f t="shared" si="79"/>
        <v>-1.8774311165501403E-2</v>
      </c>
      <c r="G2193">
        <f t="shared" si="78"/>
        <v>-3.1852109759111145E-2</v>
      </c>
    </row>
    <row r="2194" spans="1:38" x14ac:dyDescent="0.35">
      <c r="A2194" t="s">
        <v>120</v>
      </c>
      <c r="E2194">
        <v>-9.7573539269702643E-3</v>
      </c>
      <c r="F2194">
        <f t="shared" si="79"/>
        <v>-1.8779157007498642E-2</v>
      </c>
      <c r="G2194">
        <f t="shared" si="78"/>
        <v>-3.1852109759111145E-2</v>
      </c>
    </row>
    <row r="2195" spans="1:38" x14ac:dyDescent="0.35">
      <c r="A2195" t="s">
        <v>120</v>
      </c>
      <c r="E2195">
        <v>-2.3978537766646753E-4</v>
      </c>
      <c r="F2195">
        <f t="shared" si="79"/>
        <v>-1.8784002849495884E-2</v>
      </c>
      <c r="G2195">
        <f t="shared" si="78"/>
        <v>-3.1852109759111145E-2</v>
      </c>
    </row>
    <row r="2196" spans="1:38" x14ac:dyDescent="0.35">
      <c r="A2196" t="s">
        <v>120</v>
      </c>
      <c r="E2196">
        <v>-6.4772266681731167E-3</v>
      </c>
      <c r="F2196">
        <f t="shared" si="79"/>
        <v>-1.8788848691493124E-2</v>
      </c>
      <c r="G2196">
        <f t="shared" si="78"/>
        <v>-3.1852109759111145E-2</v>
      </c>
    </row>
    <row r="2197" spans="1:38" x14ac:dyDescent="0.35">
      <c r="A2197" t="s">
        <v>120</v>
      </c>
      <c r="E2197">
        <v>-1.5527011387606012E-2</v>
      </c>
      <c r="F2197">
        <f t="shared" si="79"/>
        <v>-1.8793694533490363E-2</v>
      </c>
      <c r="G2197">
        <f t="shared" si="78"/>
        <v>-3.1852109759111145E-2</v>
      </c>
    </row>
    <row r="2198" spans="1:38" x14ac:dyDescent="0.35">
      <c r="A2198" t="s">
        <v>120</v>
      </c>
      <c r="E2198">
        <v>-3.3836878728315807E-3</v>
      </c>
      <c r="F2198">
        <f t="shared" si="79"/>
        <v>-1.8798540375487602E-2</v>
      </c>
      <c r="G2198">
        <f t="shared" si="78"/>
        <v>-3.1852109759111145E-2</v>
      </c>
    </row>
    <row r="2199" spans="1:38" x14ac:dyDescent="0.35">
      <c r="A2199" t="s">
        <v>120</v>
      </c>
      <c r="E2199">
        <v>1.0825033860628244E-2</v>
      </c>
      <c r="F2199">
        <f t="shared" si="79"/>
        <v>-1.8803386217484841E-2</v>
      </c>
      <c r="G2199">
        <f t="shared" si="78"/>
        <v>-3.1852109759111145E-2</v>
      </c>
    </row>
    <row r="2200" spans="1:38" x14ac:dyDescent="0.35">
      <c r="A2200" t="s">
        <v>120</v>
      </c>
      <c r="E2200">
        <v>-9.3693784151069326E-3</v>
      </c>
      <c r="F2200">
        <f t="shared" si="79"/>
        <v>-1.880823205948208E-2</v>
      </c>
      <c r="G2200">
        <f t="shared" si="78"/>
        <v>-3.1852109759111145E-2</v>
      </c>
    </row>
    <row r="2201" spans="1:38" x14ac:dyDescent="0.35">
      <c r="A2201" t="s">
        <v>120</v>
      </c>
      <c r="E2201">
        <v>6.3722229922896249E-3</v>
      </c>
      <c r="F2201">
        <f t="shared" si="79"/>
        <v>-1.8811805786920335E-2</v>
      </c>
      <c r="G2201">
        <f t="shared" si="78"/>
        <v>-3.2015158230356507E-2</v>
      </c>
    </row>
    <row r="2202" spans="1:38" x14ac:dyDescent="0.35">
      <c r="A2202" t="s">
        <v>120</v>
      </c>
      <c r="E2202">
        <v>-2.4753823298685521E-3</v>
      </c>
      <c r="F2202">
        <f t="shared" si="79"/>
        <v>-1.8815379514358591E-2</v>
      </c>
      <c r="G2202">
        <f t="shared" si="78"/>
        <v>-3.2015158230356507E-2</v>
      </c>
    </row>
    <row r="2203" spans="1:38" x14ac:dyDescent="0.35">
      <c r="A2203" t="s">
        <v>120</v>
      </c>
      <c r="E2203">
        <v>1.5881455496867102E-2</v>
      </c>
      <c r="F2203">
        <f t="shared" si="79"/>
        <v>-1.8818953241796846E-2</v>
      </c>
      <c r="G2203">
        <f t="shared" si="78"/>
        <v>-3.2015158230356507E-2</v>
      </c>
    </row>
    <row r="2204" spans="1:38" x14ac:dyDescent="0.35">
      <c r="A2204" t="s">
        <v>121</v>
      </c>
      <c r="B2204" s="3" cm="1">
        <f t="array" ref="B2204">_xlfn.STDEV.S(_xlfn._xlws.FILTER($E$2013:$E$3011, $A$2013:$A$3011="2018-11"))</f>
        <v>7.1308261040333703E-3</v>
      </c>
      <c r="C2204" s="3" cm="1">
        <f t="array" ref="C2204">AVERAGE(_xlfn._xlws.FILTER($E$2013:$E$3011, $A$2013:$A$3011="2018-11"))</f>
        <v>-3.4790452078654134E-4</v>
      </c>
      <c r="D2204" s="3" cm="1">
        <f t="array" ref="D2204">_xlfn.PERCENTILE.EXC(_xlfn._xlws.FILTER($E$1498:$E$2489, $A$1498:$A$2489="2018-11"), 0.05)</f>
        <v>-1.3642051099175644E-2</v>
      </c>
      <c r="E2204">
        <v>2.0931882201350965E-3</v>
      </c>
      <c r="F2204">
        <f t="shared" si="79"/>
        <v>-1.8822526969235098E-2</v>
      </c>
      <c r="G2204">
        <f t="shared" si="78"/>
        <v>-3.2015158230356507E-2</v>
      </c>
      <c r="AI2204" s="3"/>
      <c r="AJ2204" s="3"/>
      <c r="AK2204" s="3"/>
      <c r="AL2204" s="3"/>
    </row>
    <row r="2205" spans="1:38" x14ac:dyDescent="0.35">
      <c r="A2205" t="s">
        <v>121</v>
      </c>
      <c r="E2205">
        <v>3.1782559447709308E-3</v>
      </c>
      <c r="F2205">
        <f t="shared" si="79"/>
        <v>-1.8826100696673356E-2</v>
      </c>
      <c r="G2205">
        <f t="shared" si="78"/>
        <v>-3.2015158230356507E-2</v>
      </c>
    </row>
    <row r="2206" spans="1:38" x14ac:dyDescent="0.35">
      <c r="A2206" t="s">
        <v>121</v>
      </c>
      <c r="E2206">
        <v>9.2042955728389433E-4</v>
      </c>
      <c r="F2206">
        <f t="shared" si="79"/>
        <v>-1.8829674424111608E-2</v>
      </c>
      <c r="G2206">
        <f t="shared" si="78"/>
        <v>-3.2015158230356507E-2</v>
      </c>
    </row>
    <row r="2207" spans="1:38" x14ac:dyDescent="0.35">
      <c r="A2207" t="s">
        <v>121</v>
      </c>
      <c r="E2207">
        <v>-3.0973799781243579E-3</v>
      </c>
      <c r="F2207">
        <f t="shared" si="79"/>
        <v>-1.8833248151549863E-2</v>
      </c>
      <c r="G2207">
        <f t="shared" si="78"/>
        <v>-3.2015158230356507E-2</v>
      </c>
    </row>
    <row r="2208" spans="1:38" x14ac:dyDescent="0.35">
      <c r="A2208" t="s">
        <v>121</v>
      </c>
      <c r="E2208">
        <v>1.2005883659878692E-2</v>
      </c>
      <c r="F2208">
        <f t="shared" si="79"/>
        <v>-1.8836821878988119E-2</v>
      </c>
      <c r="G2208">
        <f t="shared" si="78"/>
        <v>-3.2015158230356507E-2</v>
      </c>
    </row>
    <row r="2209" spans="1:7" x14ac:dyDescent="0.35">
      <c r="A2209" t="s">
        <v>121</v>
      </c>
      <c r="E2209">
        <v>-2.6404447337108404E-3</v>
      </c>
      <c r="F2209">
        <f t="shared" si="79"/>
        <v>-1.8840395606426374E-2</v>
      </c>
      <c r="G2209">
        <f t="shared" si="78"/>
        <v>-3.2015158230356507E-2</v>
      </c>
    </row>
    <row r="2210" spans="1:7" x14ac:dyDescent="0.35">
      <c r="A2210" t="s">
        <v>121</v>
      </c>
      <c r="E2210">
        <v>-2.5080845484819884E-3</v>
      </c>
      <c r="F2210">
        <f t="shared" si="79"/>
        <v>-1.8843969333864629E-2</v>
      </c>
      <c r="G2210">
        <f t="shared" si="78"/>
        <v>-3.2015158230356507E-2</v>
      </c>
    </row>
    <row r="2211" spans="1:7" x14ac:dyDescent="0.35">
      <c r="A2211" t="s">
        <v>121</v>
      </c>
      <c r="E2211">
        <v>-1.1025133588830277E-2</v>
      </c>
      <c r="F2211">
        <f t="shared" si="79"/>
        <v>-1.8847543061302884E-2</v>
      </c>
      <c r="G2211">
        <f t="shared" si="78"/>
        <v>-3.2015158230356507E-2</v>
      </c>
    </row>
    <row r="2212" spans="1:7" x14ac:dyDescent="0.35">
      <c r="A2212" t="s">
        <v>121</v>
      </c>
      <c r="E2212">
        <v>9.5780382943843646E-3</v>
      </c>
      <c r="F2212">
        <f t="shared" si="79"/>
        <v>-1.8851116788741139E-2</v>
      </c>
      <c r="G2212">
        <f t="shared" si="78"/>
        <v>-3.2015158230356507E-2</v>
      </c>
    </row>
    <row r="2213" spans="1:7" x14ac:dyDescent="0.35">
      <c r="A2213" t="s">
        <v>121</v>
      </c>
      <c r="E2213">
        <v>-6.0527261789011895E-3</v>
      </c>
      <c r="F2213">
        <f t="shared" si="79"/>
        <v>-1.8854690516179395E-2</v>
      </c>
      <c r="G2213">
        <f t="shared" si="78"/>
        <v>-3.2015158230356507E-2</v>
      </c>
    </row>
    <row r="2214" spans="1:7" x14ac:dyDescent="0.35">
      <c r="A2214" t="s">
        <v>121</v>
      </c>
      <c r="E2214">
        <v>-4.7063177990932003E-3</v>
      </c>
      <c r="F2214">
        <f t="shared" si="79"/>
        <v>-1.8858264243617646E-2</v>
      </c>
      <c r="G2214">
        <f t="shared" si="78"/>
        <v>-3.2015158230356507E-2</v>
      </c>
    </row>
    <row r="2215" spans="1:7" x14ac:dyDescent="0.35">
      <c r="A2215" t="s">
        <v>121</v>
      </c>
      <c r="E2215">
        <v>-3.0042166354651008E-3</v>
      </c>
      <c r="F2215">
        <f t="shared" si="79"/>
        <v>-1.8861837971055902E-2</v>
      </c>
      <c r="G2215">
        <f t="shared" si="78"/>
        <v>-3.2015158230356507E-2</v>
      </c>
    </row>
    <row r="2216" spans="1:7" x14ac:dyDescent="0.35">
      <c r="A2216" t="s">
        <v>121</v>
      </c>
      <c r="E2216">
        <v>-6.4374215970362551E-3</v>
      </c>
      <c r="F2216">
        <f t="shared" si="79"/>
        <v>-1.8865411698494157E-2</v>
      </c>
      <c r="G2216">
        <f t="shared" si="78"/>
        <v>-3.2015158230356507E-2</v>
      </c>
    </row>
    <row r="2217" spans="1:7" x14ac:dyDescent="0.35">
      <c r="A2217" t="s">
        <v>121</v>
      </c>
      <c r="E2217">
        <v>-1.4103860071589532E-2</v>
      </c>
      <c r="F2217">
        <f t="shared" si="79"/>
        <v>-1.8868985425932412E-2</v>
      </c>
      <c r="G2217">
        <f t="shared" si="78"/>
        <v>-3.2015158230356507E-2</v>
      </c>
    </row>
    <row r="2218" spans="1:7" x14ac:dyDescent="0.35">
      <c r="A2218" t="s">
        <v>121</v>
      </c>
      <c r="E2218">
        <v>1.2070360485799464E-2</v>
      </c>
      <c r="F2218">
        <f t="shared" si="79"/>
        <v>-1.8872559153370667E-2</v>
      </c>
      <c r="G2218">
        <f t="shared" si="78"/>
        <v>-3.2015158230356507E-2</v>
      </c>
    </row>
    <row r="2219" spans="1:7" x14ac:dyDescent="0.35">
      <c r="A2219" t="s">
        <v>121</v>
      </c>
      <c r="E2219">
        <v>-8.6744124927686031E-3</v>
      </c>
      <c r="F2219">
        <f t="shared" si="79"/>
        <v>-1.8876132880808923E-2</v>
      </c>
      <c r="G2219">
        <f t="shared" si="78"/>
        <v>-3.2015158230356507E-2</v>
      </c>
    </row>
    <row r="2220" spans="1:7" x14ac:dyDescent="0.35">
      <c r="A2220" t="s">
        <v>121</v>
      </c>
      <c r="E2220">
        <v>3.3653294595400859E-3</v>
      </c>
      <c r="F2220">
        <f t="shared" si="79"/>
        <v>-1.8879706608247178E-2</v>
      </c>
      <c r="G2220">
        <f t="shared" si="78"/>
        <v>-3.2015158230356507E-2</v>
      </c>
    </row>
    <row r="2221" spans="1:7" x14ac:dyDescent="0.35">
      <c r="A2221" t="s">
        <v>121</v>
      </c>
      <c r="E2221">
        <v>1.1252242362040882E-2</v>
      </c>
      <c r="F2221">
        <f t="shared" si="79"/>
        <v>-1.8903990493014385E-2</v>
      </c>
      <c r="G2221">
        <f t="shared" si="78"/>
        <v>-3.2181429769876875E-2</v>
      </c>
    </row>
    <row r="2222" spans="1:7" x14ac:dyDescent="0.35">
      <c r="A2222" t="s">
        <v>121</v>
      </c>
      <c r="E2222">
        <v>-1.9845001015263578E-3</v>
      </c>
      <c r="F2222">
        <f t="shared" si="79"/>
        <v>-1.8928274377781593E-2</v>
      </c>
      <c r="G2222">
        <f t="shared" si="78"/>
        <v>-3.2181429769876875E-2</v>
      </c>
    </row>
    <row r="2223" spans="1:7" x14ac:dyDescent="0.35">
      <c r="A2223" t="s">
        <v>121</v>
      </c>
      <c r="E2223">
        <v>5.9039799906178522E-4</v>
      </c>
      <c r="F2223">
        <f t="shared" si="79"/>
        <v>-1.89525582625488E-2</v>
      </c>
      <c r="G2223">
        <f t="shared" si="78"/>
        <v>-3.2181429769876875E-2</v>
      </c>
    </row>
    <row r="2224" spans="1:7" x14ac:dyDescent="0.35">
      <c r="A2224" t="s">
        <v>121</v>
      </c>
      <c r="E2224">
        <v>1.8510202448642672E-3</v>
      </c>
      <c r="F2224">
        <f t="shared" si="79"/>
        <v>-1.8976842147316007E-2</v>
      </c>
      <c r="G2224">
        <f t="shared" si="78"/>
        <v>-3.2181429769876875E-2</v>
      </c>
    </row>
    <row r="2225" spans="1:38" x14ac:dyDescent="0.35">
      <c r="A2225" t="s">
        <v>121</v>
      </c>
      <c r="E2225">
        <v>-3.2454795953567103E-4</v>
      </c>
      <c r="F2225">
        <f t="shared" si="79"/>
        <v>-1.9001126032083218E-2</v>
      </c>
      <c r="G2225">
        <f t="shared" si="78"/>
        <v>-3.2181429769876875E-2</v>
      </c>
    </row>
    <row r="2226" spans="1:38" x14ac:dyDescent="0.35">
      <c r="A2226" t="s">
        <v>122</v>
      </c>
      <c r="B2226" s="3" cm="1">
        <f t="array" ref="B2226">_xlfn.STDEV.S(_xlfn._xlws.FILTER($E$2013:$E$3011, $A$2013:$A$3011="2018-12"))</f>
        <v>1.4100997113724464E-2</v>
      </c>
      <c r="C2226" s="3" cm="1">
        <f t="array" ref="C2226">AVERAGE(_xlfn._xlws.FILTER($E$2013:$E$3011, $A$2013:$A$3011="2018-12"))</f>
        <v>-3.5650767122820471E-3</v>
      </c>
      <c r="D2226" s="3" cm="1">
        <f t="array" ref="D2226">_xlfn.PERCENTILE.INC(_xlfn._xlws.FILTER($E$1498:$E$2489, $A$1498:$A$2489="2018-12"), 0.05)</f>
        <v>-2.3779227484689011E-2</v>
      </c>
      <c r="E2226">
        <v>1.3105764812857362E-2</v>
      </c>
      <c r="F2226">
        <f t="shared" si="79"/>
        <v>-1.9025409916850426E-2</v>
      </c>
      <c r="G2226">
        <f t="shared" si="78"/>
        <v>-3.2181429769876875E-2</v>
      </c>
      <c r="AI2226" s="3"/>
      <c r="AJ2226" s="3"/>
      <c r="AK2226" s="3"/>
      <c r="AL2226" s="3"/>
    </row>
    <row r="2227" spans="1:38" x14ac:dyDescent="0.35">
      <c r="A2227" t="s">
        <v>122</v>
      </c>
      <c r="E2227">
        <v>-8.0384678285762325E-3</v>
      </c>
      <c r="F2227">
        <f t="shared" si="79"/>
        <v>-1.9049693801617633E-2</v>
      </c>
      <c r="G2227">
        <f t="shared" si="78"/>
        <v>-3.2181429769876875E-2</v>
      </c>
    </row>
    <row r="2228" spans="1:38" x14ac:dyDescent="0.35">
      <c r="A2228" t="s">
        <v>122</v>
      </c>
      <c r="E2228">
        <v>-1.2297615986265902E-2</v>
      </c>
      <c r="F2228">
        <f t="shared" si="79"/>
        <v>-1.907397768638484E-2</v>
      </c>
      <c r="G2228">
        <f t="shared" si="78"/>
        <v>-3.2181429769876875E-2</v>
      </c>
    </row>
    <row r="2229" spans="1:38" x14ac:dyDescent="0.35">
      <c r="A2229" t="s">
        <v>122</v>
      </c>
      <c r="E2229">
        <v>-3.3678607135577465E-2</v>
      </c>
      <c r="F2229">
        <f t="shared" si="79"/>
        <v>-1.9098261571152048E-2</v>
      </c>
      <c r="G2229">
        <f t="shared" si="78"/>
        <v>-3.2181429769876875E-2</v>
      </c>
    </row>
    <row r="2230" spans="1:38" x14ac:dyDescent="0.35">
      <c r="A2230" t="s">
        <v>122</v>
      </c>
      <c r="E2230">
        <v>4.1248520677278355E-3</v>
      </c>
      <c r="F2230">
        <f t="shared" si="79"/>
        <v>-1.8843969333864629E-2</v>
      </c>
      <c r="G2230">
        <f t="shared" si="78"/>
        <v>-3.1994101915100541E-2</v>
      </c>
    </row>
    <row r="2231" spans="1:38" x14ac:dyDescent="0.35">
      <c r="A2231" t="s">
        <v>122</v>
      </c>
      <c r="E2231">
        <v>-1.3674762761594288E-2</v>
      </c>
      <c r="F2231">
        <f t="shared" si="79"/>
        <v>-1.8847543061302884E-2</v>
      </c>
      <c r="G2231">
        <f t="shared" si="78"/>
        <v>-3.1994101915100541E-2</v>
      </c>
    </row>
    <row r="2232" spans="1:38" x14ac:dyDescent="0.35">
      <c r="A2232" t="s">
        <v>122</v>
      </c>
      <c r="E2232">
        <v>1.2624687835005994E-2</v>
      </c>
      <c r="F2232">
        <f t="shared" si="79"/>
        <v>-1.8851116788741139E-2</v>
      </c>
      <c r="G2232">
        <f t="shared" si="78"/>
        <v>-3.1994101915100541E-2</v>
      </c>
    </row>
    <row r="2233" spans="1:38" x14ac:dyDescent="0.35">
      <c r="A2233" t="s">
        <v>122</v>
      </c>
      <c r="E2233">
        <v>1.7085446493604228E-2</v>
      </c>
      <c r="F2233">
        <f t="shared" si="79"/>
        <v>-1.8854690516179395E-2</v>
      </c>
      <c r="G2233">
        <f t="shared" si="78"/>
        <v>-3.1994101915100541E-2</v>
      </c>
    </row>
    <row r="2234" spans="1:38" x14ac:dyDescent="0.35">
      <c r="A2234" t="s">
        <v>122</v>
      </c>
      <c r="E2234">
        <v>1.3504521243259788E-3</v>
      </c>
      <c r="F2234">
        <f t="shared" si="79"/>
        <v>-1.8858264243617646E-2</v>
      </c>
      <c r="G2234">
        <f t="shared" si="78"/>
        <v>-3.1994101915100541E-2</v>
      </c>
    </row>
    <row r="2235" spans="1:38" x14ac:dyDescent="0.35">
      <c r="A2235" t="s">
        <v>122</v>
      </c>
      <c r="E2235">
        <v>-6.308071014295597E-3</v>
      </c>
      <c r="F2235">
        <f t="shared" si="79"/>
        <v>-1.8861837971055902E-2</v>
      </c>
      <c r="G2235">
        <f t="shared" si="78"/>
        <v>-3.1994101915100541E-2</v>
      </c>
    </row>
    <row r="2236" spans="1:38" x14ac:dyDescent="0.35">
      <c r="A2236" t="s">
        <v>122</v>
      </c>
      <c r="E2236">
        <v>-9.4051454705776551E-3</v>
      </c>
      <c r="F2236">
        <f t="shared" si="79"/>
        <v>-1.8865411698494157E-2</v>
      </c>
      <c r="G2236">
        <f t="shared" si="78"/>
        <v>-3.1994101915100541E-2</v>
      </c>
    </row>
    <row r="2237" spans="1:38" x14ac:dyDescent="0.35">
      <c r="A2237" t="s">
        <v>122</v>
      </c>
      <c r="E2237">
        <v>-7.7067379269080694E-3</v>
      </c>
      <c r="F2237">
        <f t="shared" si="79"/>
        <v>-1.8868985425932412E-2</v>
      </c>
      <c r="G2237">
        <f t="shared" si="78"/>
        <v>-3.1994101915100541E-2</v>
      </c>
    </row>
    <row r="2238" spans="1:38" x14ac:dyDescent="0.35">
      <c r="A2238" t="s">
        <v>122</v>
      </c>
      <c r="E2238">
        <v>3.6936696452909202E-3</v>
      </c>
      <c r="F2238">
        <f t="shared" si="79"/>
        <v>-1.8872559153370667E-2</v>
      </c>
      <c r="G2238">
        <f t="shared" si="78"/>
        <v>-3.1994101915100541E-2</v>
      </c>
    </row>
    <row r="2239" spans="1:38" x14ac:dyDescent="0.35">
      <c r="A2239" t="s">
        <v>122</v>
      </c>
      <c r="E2239">
        <v>-1.6961658838885795E-2</v>
      </c>
      <c r="F2239">
        <f t="shared" si="79"/>
        <v>-1.8876132880808923E-2</v>
      </c>
      <c r="G2239">
        <f t="shared" si="78"/>
        <v>-3.1994101915100541E-2</v>
      </c>
    </row>
    <row r="2240" spans="1:38" x14ac:dyDescent="0.35">
      <c r="A2240" t="s">
        <v>122</v>
      </c>
      <c r="E2240">
        <v>1.8331286391020413E-4</v>
      </c>
      <c r="F2240">
        <f t="shared" si="79"/>
        <v>-1.8879706608247178E-2</v>
      </c>
      <c r="G2240">
        <f t="shared" si="78"/>
        <v>-3.1994101915100541E-2</v>
      </c>
    </row>
    <row r="2241" spans="1:38" x14ac:dyDescent="0.35">
      <c r="A2241" t="s">
        <v>122</v>
      </c>
      <c r="E2241">
        <v>-2.1304382571966901E-2</v>
      </c>
      <c r="F2241">
        <f t="shared" si="79"/>
        <v>-1.8903990493014385E-2</v>
      </c>
      <c r="G2241">
        <f t="shared" si="78"/>
        <v>-3.2162235188265331E-2</v>
      </c>
    </row>
    <row r="2242" spans="1:38" x14ac:dyDescent="0.35">
      <c r="A2242" t="s">
        <v>122</v>
      </c>
      <c r="E2242">
        <v>1.6600959583130577E-2</v>
      </c>
      <c r="F2242">
        <f t="shared" si="79"/>
        <v>-1.8815379514358591E-2</v>
      </c>
      <c r="G2242">
        <f t="shared" si="78"/>
        <v>-3.2131149598986872E-2</v>
      </c>
    </row>
    <row r="2243" spans="1:38" x14ac:dyDescent="0.35">
      <c r="A2243" t="s">
        <v>123</v>
      </c>
      <c r="B2243" s="3" cm="1">
        <f t="array" ref="B2243">_xlfn.STDEV.S(_xlfn._xlws.FILTER($E$2013:$E$3011, $A$2013:$A$3011="2019-01"))</f>
        <v>9.1330260276240669E-3</v>
      </c>
      <c r="C2243" s="3" cm="1">
        <f t="array" ref="C2243">AVERAGE(_xlfn._xlws.FILTER($E$2013:$E$3011, $A$2013:$A$3011="2019-01"))</f>
        <v>2.5581569653825255E-3</v>
      </c>
      <c r="D2243" s="3" cm="1">
        <f t="array" ref="D2243">_xlfn.PERCENTILE.EXC(_xlfn._xlws.FILTER($E$1498:$E$2489, $A$1498:$A$2489="2019-01"), 0.05)</f>
        <v>-1.2246438583899252E-2</v>
      </c>
      <c r="E2243">
        <v>2.2241890464491172E-3</v>
      </c>
      <c r="F2243">
        <f t="shared" si="79"/>
        <v>-1.8818953241796846E-2</v>
      </c>
      <c r="G2243">
        <f t="shared" ref="G2243:G2306" si="80">AVERAGEIFS(E2243:E6059,E2243:E6059,"&lt;=" &amp; F2243)</f>
        <v>-3.2131149598986872E-2</v>
      </c>
      <c r="AI2243" s="3"/>
      <c r="AJ2243" s="3"/>
      <c r="AK2243" s="3"/>
      <c r="AL2243" s="3"/>
    </row>
    <row r="2244" spans="1:38" x14ac:dyDescent="0.35">
      <c r="A2244" t="s">
        <v>123</v>
      </c>
      <c r="E2244">
        <v>-1.2952782373052304E-2</v>
      </c>
      <c r="F2244">
        <f t="shared" ref="F2244:F2307" si="81">_xlfn.PERCENTILE.EXC(E2244:E6059,0.05)</f>
        <v>-1.8822526969235098E-2</v>
      </c>
      <c r="G2244">
        <f t="shared" si="80"/>
        <v>-3.2131149598986872E-2</v>
      </c>
    </row>
    <row r="2245" spans="1:38" x14ac:dyDescent="0.35">
      <c r="A2245" t="s">
        <v>123</v>
      </c>
      <c r="E2245">
        <v>2.908229794006208E-2</v>
      </c>
      <c r="F2245">
        <f t="shared" si="81"/>
        <v>-1.8826100696673356E-2</v>
      </c>
      <c r="G2245">
        <f t="shared" si="80"/>
        <v>-3.2131149598986872E-2</v>
      </c>
    </row>
    <row r="2246" spans="1:38" x14ac:dyDescent="0.35">
      <c r="A2246" t="s">
        <v>123</v>
      </c>
      <c r="E2246">
        <v>-2.7026643110012586E-3</v>
      </c>
      <c r="F2246">
        <f t="shared" si="81"/>
        <v>-1.8829674424111608E-2</v>
      </c>
      <c r="G2246">
        <f t="shared" si="80"/>
        <v>-3.2131149598986872E-2</v>
      </c>
    </row>
    <row r="2247" spans="1:38" x14ac:dyDescent="0.35">
      <c r="A2247" t="s">
        <v>123</v>
      </c>
      <c r="E2247">
        <v>6.9967338505150046E-3</v>
      </c>
      <c r="F2247">
        <f t="shared" si="81"/>
        <v>-1.8833248151549863E-2</v>
      </c>
      <c r="G2247">
        <f t="shared" si="80"/>
        <v>-3.2131149598986872E-2</v>
      </c>
    </row>
    <row r="2248" spans="1:38" x14ac:dyDescent="0.35">
      <c r="A2248" t="s">
        <v>123</v>
      </c>
      <c r="E2248">
        <v>4.9957819431360054E-3</v>
      </c>
      <c r="F2248">
        <f t="shared" si="81"/>
        <v>-1.8836821878988119E-2</v>
      </c>
      <c r="G2248">
        <f t="shared" si="80"/>
        <v>-3.2131149598986872E-2</v>
      </c>
    </row>
    <row r="2249" spans="1:38" x14ac:dyDescent="0.35">
      <c r="A2249" t="s">
        <v>123</v>
      </c>
      <c r="E2249">
        <v>1.7865370186348668E-3</v>
      </c>
      <c r="F2249">
        <f t="shared" si="81"/>
        <v>-1.8840395606426374E-2</v>
      </c>
      <c r="G2249">
        <f t="shared" si="80"/>
        <v>-3.2131149598986872E-2</v>
      </c>
    </row>
    <row r="2250" spans="1:38" x14ac:dyDescent="0.35">
      <c r="A2250" t="s">
        <v>123</v>
      </c>
      <c r="E2250">
        <v>-1.8516806277440439E-3</v>
      </c>
      <c r="F2250">
        <f t="shared" si="81"/>
        <v>-1.8843969333864629E-2</v>
      </c>
      <c r="G2250">
        <f t="shared" si="80"/>
        <v>-3.2131149598986872E-2</v>
      </c>
    </row>
    <row r="2251" spans="1:38" x14ac:dyDescent="0.35">
      <c r="A2251" t="s">
        <v>123</v>
      </c>
      <c r="E2251">
        <v>-4.8520801387301003E-3</v>
      </c>
      <c r="F2251">
        <f t="shared" si="81"/>
        <v>-1.8847543061302884E-2</v>
      </c>
      <c r="G2251">
        <f t="shared" si="80"/>
        <v>-3.2131149598986872E-2</v>
      </c>
    </row>
    <row r="2252" spans="1:38" x14ac:dyDescent="0.35">
      <c r="A2252" t="s">
        <v>123</v>
      </c>
      <c r="E2252">
        <v>4.2036699428150666E-3</v>
      </c>
      <c r="F2252">
        <f t="shared" si="81"/>
        <v>-1.8851116788741139E-2</v>
      </c>
      <c r="G2252">
        <f t="shared" si="80"/>
        <v>-3.2131149598986872E-2</v>
      </c>
    </row>
    <row r="2253" spans="1:38" x14ac:dyDescent="0.35">
      <c r="A2253" t="s">
        <v>123</v>
      </c>
      <c r="E2253">
        <v>2.9844113623031746E-3</v>
      </c>
      <c r="F2253">
        <f t="shared" si="81"/>
        <v>-1.8854690516179395E-2</v>
      </c>
      <c r="G2253">
        <f t="shared" si="80"/>
        <v>-3.2131149598986872E-2</v>
      </c>
    </row>
    <row r="2254" spans="1:38" x14ac:dyDescent="0.35">
      <c r="A2254" t="s">
        <v>123</v>
      </c>
      <c r="E2254">
        <v>-2.5607791990282548E-3</v>
      </c>
      <c r="F2254">
        <f t="shared" si="81"/>
        <v>-1.8858264243617646E-2</v>
      </c>
      <c r="G2254">
        <f t="shared" si="80"/>
        <v>-3.2131149598986872E-2</v>
      </c>
    </row>
    <row r="2255" spans="1:38" x14ac:dyDescent="0.35">
      <c r="A2255" t="s">
        <v>123</v>
      </c>
      <c r="E2255">
        <v>2.1137842620432001E-2</v>
      </c>
      <c r="F2255">
        <f t="shared" si="81"/>
        <v>-1.8861837971055902E-2</v>
      </c>
      <c r="G2255">
        <f t="shared" si="80"/>
        <v>-3.2131149598986872E-2</v>
      </c>
    </row>
    <row r="2256" spans="1:38" x14ac:dyDescent="0.35">
      <c r="A2256" t="s">
        <v>123</v>
      </c>
      <c r="E2256">
        <v>-3.1469724804891611E-3</v>
      </c>
      <c r="F2256">
        <f t="shared" si="81"/>
        <v>-1.8865411698494157E-2</v>
      </c>
      <c r="G2256">
        <f t="shared" si="80"/>
        <v>-3.2131149598986872E-2</v>
      </c>
    </row>
    <row r="2257" spans="1:38" x14ac:dyDescent="0.35">
      <c r="A2257" t="s">
        <v>123</v>
      </c>
      <c r="E2257">
        <v>-3.9340402492818501E-3</v>
      </c>
      <c r="F2257">
        <f t="shared" si="81"/>
        <v>-1.8868985425932412E-2</v>
      </c>
      <c r="G2257">
        <f t="shared" si="80"/>
        <v>-3.2131149598986872E-2</v>
      </c>
    </row>
    <row r="2258" spans="1:38" x14ac:dyDescent="0.35">
      <c r="A2258" t="s">
        <v>123</v>
      </c>
      <c r="E2258">
        <v>-2.1526346564133665E-4</v>
      </c>
      <c r="F2258">
        <f t="shared" si="81"/>
        <v>-1.8872559153370667E-2</v>
      </c>
      <c r="G2258">
        <f t="shared" si="80"/>
        <v>-3.2131149598986872E-2</v>
      </c>
    </row>
    <row r="2259" spans="1:38" x14ac:dyDescent="0.35">
      <c r="A2259" t="s">
        <v>123</v>
      </c>
      <c r="E2259">
        <v>4.5460161260266344E-3</v>
      </c>
      <c r="F2259">
        <f t="shared" si="81"/>
        <v>-1.8876132880808923E-2</v>
      </c>
      <c r="G2259">
        <f t="shared" si="80"/>
        <v>-3.2131149598986872E-2</v>
      </c>
    </row>
    <row r="2260" spans="1:38" x14ac:dyDescent="0.35">
      <c r="A2260" t="s">
        <v>123</v>
      </c>
      <c r="E2260">
        <v>1.1743423428027611E-2</v>
      </c>
      <c r="F2260">
        <f t="shared" si="81"/>
        <v>-1.8879706608247178E-2</v>
      </c>
      <c r="G2260">
        <f t="shared" si="80"/>
        <v>-3.2131149598986872E-2</v>
      </c>
    </row>
    <row r="2261" spans="1:38" x14ac:dyDescent="0.35">
      <c r="A2261" t="s">
        <v>123</v>
      </c>
      <c r="E2261">
        <v>-8.2438237786986324E-3</v>
      </c>
      <c r="F2261">
        <f t="shared" si="81"/>
        <v>-1.8903990493014385E-2</v>
      </c>
      <c r="G2261">
        <f t="shared" si="80"/>
        <v>-3.2303246261204274E-2</v>
      </c>
    </row>
    <row r="2262" spans="1:38" x14ac:dyDescent="0.35">
      <c r="A2262" t="s">
        <v>123</v>
      </c>
      <c r="E2262">
        <v>5.1345831638371538E-3</v>
      </c>
      <c r="F2262">
        <f t="shared" si="81"/>
        <v>-1.8928274377781593E-2</v>
      </c>
      <c r="G2262">
        <f t="shared" si="80"/>
        <v>-3.2303246261204274E-2</v>
      </c>
    </row>
    <row r="2263" spans="1:38" x14ac:dyDescent="0.35">
      <c r="A2263" t="s">
        <v>123</v>
      </c>
      <c r="E2263">
        <v>2.6349308057802092E-3</v>
      </c>
      <c r="F2263">
        <f t="shared" si="81"/>
        <v>-1.89525582625488E-2</v>
      </c>
      <c r="G2263">
        <f t="shared" si="80"/>
        <v>-3.2303246261204274E-2</v>
      </c>
    </row>
    <row r="2264" spans="1:38" x14ac:dyDescent="0.35">
      <c r="A2264" t="s">
        <v>123</v>
      </c>
      <c r="E2264">
        <v>-7.3087738593641965E-4</v>
      </c>
      <c r="F2264">
        <f t="shared" si="81"/>
        <v>-1.8976842147316007E-2</v>
      </c>
      <c r="G2264">
        <f t="shared" si="80"/>
        <v>-3.2303246261204274E-2</v>
      </c>
    </row>
    <row r="2265" spans="1:38" x14ac:dyDescent="0.35">
      <c r="A2265" t="s">
        <v>124</v>
      </c>
      <c r="B2265" s="3" cm="1">
        <f t="array" ref="B2265">_xlfn.STDEV.S(_xlfn._xlws.FILTER($E$2013:$E$3011, $A$2013:$A$3011="2019-02"))</f>
        <v>7.9473789706456539E-3</v>
      </c>
      <c r="C2265" s="3" cm="1">
        <f t="array" ref="C2265">AVERAGE(_xlfn._xlws.FILTER($E$2013:$E$3011, $A$2013:$A$3011="2019-02"))</f>
        <v>2.1501712553206303E-3</v>
      </c>
      <c r="D2265" s="3" cm="1">
        <f t="array" ref="D2265">_xlfn.PERCENTILE.EXC(_xlfn._xlws.FILTER($E$1498:$E$2489, $A$1498:$A$2489="2019-02"), 0.05)</f>
        <v>-1.8818087673407945E-2</v>
      </c>
      <c r="E2265">
        <v>3.6932062103320227E-3</v>
      </c>
      <c r="F2265">
        <f t="shared" si="81"/>
        <v>-1.9001126032083218E-2</v>
      </c>
      <c r="G2265">
        <f t="shared" si="80"/>
        <v>-3.2303246261204274E-2</v>
      </c>
      <c r="AI2265" s="3"/>
      <c r="AJ2265" s="3"/>
      <c r="AK2265" s="3"/>
      <c r="AL2265" s="3"/>
    </row>
    <row r="2266" spans="1:38" x14ac:dyDescent="0.35">
      <c r="A2266" t="s">
        <v>124</v>
      </c>
      <c r="E2266">
        <v>-1.8685930390328247E-3</v>
      </c>
      <c r="F2266">
        <f t="shared" si="81"/>
        <v>-1.9025409916850426E-2</v>
      </c>
      <c r="G2266">
        <f t="shared" si="80"/>
        <v>-3.2303246261204274E-2</v>
      </c>
    </row>
    <row r="2267" spans="1:38" x14ac:dyDescent="0.35">
      <c r="A2267" t="s">
        <v>124</v>
      </c>
      <c r="E2267">
        <v>1.5623554538911231E-2</v>
      </c>
      <c r="F2267">
        <f t="shared" si="81"/>
        <v>-1.9049693801617633E-2</v>
      </c>
      <c r="G2267">
        <f t="shared" si="80"/>
        <v>-3.2303246261204274E-2</v>
      </c>
    </row>
    <row r="2268" spans="1:38" x14ac:dyDescent="0.35">
      <c r="A2268" t="s">
        <v>124</v>
      </c>
      <c r="E2268">
        <v>-7.1253108669884523E-4</v>
      </c>
      <c r="F2268">
        <f t="shared" si="81"/>
        <v>-1.907397768638484E-2</v>
      </c>
      <c r="G2268">
        <f t="shared" si="80"/>
        <v>-3.2303246261204274E-2</v>
      </c>
    </row>
    <row r="2269" spans="1:38" x14ac:dyDescent="0.35">
      <c r="A2269" t="s">
        <v>124</v>
      </c>
      <c r="E2269">
        <v>-1.9483574627189339E-2</v>
      </c>
      <c r="F2269">
        <f t="shared" si="81"/>
        <v>-1.9098261571152048E-2</v>
      </c>
      <c r="G2269">
        <f t="shared" si="80"/>
        <v>-3.2303246261204274E-2</v>
      </c>
    </row>
    <row r="2270" spans="1:38" x14ac:dyDescent="0.35">
      <c r="A2270" t="s">
        <v>124</v>
      </c>
      <c r="E2270">
        <v>-4.8167719012484293E-3</v>
      </c>
      <c r="F2270">
        <f t="shared" si="81"/>
        <v>-1.8843969333864629E-2</v>
      </c>
      <c r="G2270">
        <f t="shared" si="80"/>
        <v>-3.2295403819399826E-2</v>
      </c>
    </row>
    <row r="2271" spans="1:38" x14ac:dyDescent="0.35">
      <c r="A2271" t="s">
        <v>124</v>
      </c>
      <c r="E2271">
        <v>9.5188483662194765E-3</v>
      </c>
      <c r="F2271">
        <f t="shared" si="81"/>
        <v>-1.8847543061302884E-2</v>
      </c>
      <c r="G2271">
        <f t="shared" si="80"/>
        <v>-3.2295403819399826E-2</v>
      </c>
    </row>
    <row r="2272" spans="1:38" x14ac:dyDescent="0.35">
      <c r="A2272" t="s">
        <v>124</v>
      </c>
      <c r="E2272">
        <v>7.9102288377678708E-3</v>
      </c>
      <c r="F2272">
        <f t="shared" si="81"/>
        <v>-1.8851116788741139E-2</v>
      </c>
      <c r="G2272">
        <f t="shared" si="80"/>
        <v>-3.2295403819399826E-2</v>
      </c>
    </row>
    <row r="2273" spans="1:38" x14ac:dyDescent="0.35">
      <c r="A2273" t="s">
        <v>124</v>
      </c>
      <c r="E2273">
        <v>3.6351617976644705E-3</v>
      </c>
      <c r="F2273">
        <f t="shared" si="81"/>
        <v>-1.8854690516179395E-2</v>
      </c>
      <c r="G2273">
        <f t="shared" si="80"/>
        <v>-3.2295403819399826E-2</v>
      </c>
    </row>
    <row r="2274" spans="1:38" x14ac:dyDescent="0.35">
      <c r="A2274" t="s">
        <v>124</v>
      </c>
      <c r="E2274">
        <v>-6.1738355515614639E-3</v>
      </c>
      <c r="F2274">
        <f t="shared" si="81"/>
        <v>-1.8858264243617646E-2</v>
      </c>
      <c r="G2274">
        <f t="shared" si="80"/>
        <v>-3.2295403819399826E-2</v>
      </c>
    </row>
    <row r="2275" spans="1:38" x14ac:dyDescent="0.35">
      <c r="A2275" t="s">
        <v>124</v>
      </c>
      <c r="E2275">
        <v>1.8241732743970968E-2</v>
      </c>
      <c r="F2275">
        <f t="shared" si="81"/>
        <v>-1.8861837971055902E-2</v>
      </c>
      <c r="G2275">
        <f t="shared" si="80"/>
        <v>-3.2295403819399826E-2</v>
      </c>
    </row>
    <row r="2276" spans="1:38" x14ac:dyDescent="0.35">
      <c r="A2276" t="s">
        <v>124</v>
      </c>
      <c r="E2276">
        <v>1.0915752451428271E-3</v>
      </c>
      <c r="F2276">
        <f t="shared" si="81"/>
        <v>-1.8865411698494157E-2</v>
      </c>
      <c r="G2276">
        <f t="shared" si="80"/>
        <v>-3.2295403819399826E-2</v>
      </c>
    </row>
    <row r="2277" spans="1:38" x14ac:dyDescent="0.35">
      <c r="A2277" t="s">
        <v>124</v>
      </c>
      <c r="E2277">
        <v>-1.6594186590673183E-3</v>
      </c>
      <c r="F2277">
        <f t="shared" si="81"/>
        <v>-1.8868985425932412E-2</v>
      </c>
      <c r="G2277">
        <f t="shared" si="80"/>
        <v>-3.2295403819399826E-2</v>
      </c>
    </row>
    <row r="2278" spans="1:38" x14ac:dyDescent="0.35">
      <c r="A2278" t="s">
        <v>124</v>
      </c>
      <c r="E2278">
        <v>6.1795269657302426E-3</v>
      </c>
      <c r="F2278">
        <f t="shared" si="81"/>
        <v>-1.8872559153370667E-2</v>
      </c>
      <c r="G2278">
        <f t="shared" si="80"/>
        <v>-3.2295403819399826E-2</v>
      </c>
    </row>
    <row r="2279" spans="1:38" x14ac:dyDescent="0.35">
      <c r="A2279" t="s">
        <v>124</v>
      </c>
      <c r="E2279">
        <v>1.2907796904667291E-3</v>
      </c>
      <c r="F2279">
        <f t="shared" si="81"/>
        <v>-1.8876132880808923E-2</v>
      </c>
      <c r="G2279">
        <f t="shared" si="80"/>
        <v>-3.2295403819399826E-2</v>
      </c>
    </row>
    <row r="2280" spans="1:38" x14ac:dyDescent="0.35">
      <c r="A2280" t="s">
        <v>124</v>
      </c>
      <c r="E2280">
        <v>2.0966453714929504E-3</v>
      </c>
      <c r="F2280">
        <f t="shared" si="81"/>
        <v>-1.8879706608247178E-2</v>
      </c>
      <c r="G2280">
        <f t="shared" si="80"/>
        <v>-3.2295403819399826E-2</v>
      </c>
    </row>
    <row r="2281" spans="1:38" x14ac:dyDescent="0.35">
      <c r="A2281" t="s">
        <v>124</v>
      </c>
      <c r="E2281">
        <v>2.8883046873901582E-3</v>
      </c>
      <c r="F2281">
        <f t="shared" si="81"/>
        <v>-1.8903990493014385E-2</v>
      </c>
      <c r="G2281">
        <f t="shared" si="80"/>
        <v>-3.247192615112552E-2</v>
      </c>
    </row>
    <row r="2282" spans="1:38" x14ac:dyDescent="0.35">
      <c r="A2282" t="s">
        <v>124</v>
      </c>
      <c r="E2282">
        <v>2.8343853126095242E-3</v>
      </c>
      <c r="F2282">
        <f t="shared" si="81"/>
        <v>-1.8928274377781593E-2</v>
      </c>
      <c r="G2282">
        <f t="shared" si="80"/>
        <v>-3.247192615112552E-2</v>
      </c>
    </row>
    <row r="2283" spans="1:38" x14ac:dyDescent="0.35">
      <c r="A2283" t="s">
        <v>124</v>
      </c>
      <c r="E2283">
        <v>-1.9932782931098791E-3</v>
      </c>
      <c r="F2283">
        <f t="shared" si="81"/>
        <v>-1.89525582625488E-2</v>
      </c>
      <c r="G2283">
        <f t="shared" si="80"/>
        <v>-3.247192615112552E-2</v>
      </c>
    </row>
    <row r="2284" spans="1:38" x14ac:dyDescent="0.35">
      <c r="A2284" t="s">
        <v>124</v>
      </c>
      <c r="E2284">
        <v>4.7074784966222305E-3</v>
      </c>
      <c r="F2284">
        <f t="shared" si="81"/>
        <v>-1.8976842147316007E-2</v>
      </c>
      <c r="G2284">
        <f t="shared" si="80"/>
        <v>-3.247192615112552E-2</v>
      </c>
    </row>
    <row r="2285" spans="1:38" x14ac:dyDescent="0.35">
      <c r="A2285" t="s">
        <v>125</v>
      </c>
      <c r="B2285" s="3" cm="1">
        <f t="array" ref="B2285">_xlfn.STDEV.S(_xlfn._xlws.FILTER($E$2013:$E$3011, $A$2013:$A$3011="2019-03"))</f>
        <v>7.0722108314837089E-3</v>
      </c>
      <c r="C2285" s="3" cm="1">
        <f t="array" ref="C2285">AVERAGE(_xlfn._xlws.FILTER($E$2013:$E$3011, $A$2013:$A$3011="2019-03"))</f>
        <v>7.6550507981014166E-4</v>
      </c>
      <c r="D2285" s="3" cm="1">
        <f t="array" ref="D2285">_xlfn.PERCENTILE.EXC(_xlfn._xlws.FILTER($E$1498:$E$2489, $A$1498:$A$2489="2019-03"), 0.05)</f>
        <v>-1.771527284257278E-2</v>
      </c>
      <c r="E2285">
        <v>4.1873726159071135E-3</v>
      </c>
      <c r="F2285">
        <f t="shared" si="81"/>
        <v>-1.9001126032083218E-2</v>
      </c>
      <c r="G2285">
        <f t="shared" si="80"/>
        <v>-3.247192615112552E-2</v>
      </c>
      <c r="AI2285" s="3"/>
      <c r="AJ2285" s="3"/>
      <c r="AK2285" s="3"/>
      <c r="AL2285" s="3"/>
    </row>
    <row r="2286" spans="1:38" x14ac:dyDescent="0.35">
      <c r="A2286" t="s">
        <v>125</v>
      </c>
      <c r="E2286">
        <v>1.514507275228454E-3</v>
      </c>
      <c r="F2286">
        <f t="shared" si="81"/>
        <v>-1.9025409916850426E-2</v>
      </c>
      <c r="G2286">
        <f t="shared" si="80"/>
        <v>-3.247192615112552E-2</v>
      </c>
    </row>
    <row r="2287" spans="1:38" x14ac:dyDescent="0.35">
      <c r="A2287" t="s">
        <v>125</v>
      </c>
      <c r="E2287">
        <v>3.031167332722805E-3</v>
      </c>
      <c r="F2287">
        <f t="shared" si="81"/>
        <v>-1.9049693801617633E-2</v>
      </c>
      <c r="G2287">
        <f t="shared" si="80"/>
        <v>-3.247192615112552E-2</v>
      </c>
    </row>
    <row r="2288" spans="1:38" x14ac:dyDescent="0.35">
      <c r="A2288" t="s">
        <v>125</v>
      </c>
      <c r="E2288">
        <v>-7.5768284977661049E-4</v>
      </c>
      <c r="F2288">
        <f t="shared" si="81"/>
        <v>-1.907397768638484E-2</v>
      </c>
      <c r="G2288">
        <f t="shared" si="80"/>
        <v>-3.247192615112552E-2</v>
      </c>
    </row>
    <row r="2289" spans="1:7" x14ac:dyDescent="0.35">
      <c r="A2289" t="s">
        <v>125</v>
      </c>
      <c r="E2289">
        <v>-4.769724065782595E-3</v>
      </c>
      <c r="F2289">
        <f t="shared" si="81"/>
        <v>-1.9098261571152055E-2</v>
      </c>
      <c r="G2289">
        <f t="shared" si="80"/>
        <v>-3.247192615112552E-2</v>
      </c>
    </row>
    <row r="2290" spans="1:7" x14ac:dyDescent="0.35">
      <c r="A2290" t="s">
        <v>125</v>
      </c>
      <c r="E2290">
        <v>-7.6603155043395363E-3</v>
      </c>
      <c r="F2290">
        <f t="shared" si="81"/>
        <v>-1.9122545455919262E-2</v>
      </c>
      <c r="G2290">
        <f t="shared" si="80"/>
        <v>-3.247192615112552E-2</v>
      </c>
    </row>
    <row r="2291" spans="1:7" x14ac:dyDescent="0.35">
      <c r="A2291" t="s">
        <v>125</v>
      </c>
      <c r="E2291">
        <v>6.3266372129986044E-3</v>
      </c>
      <c r="F2291">
        <f t="shared" si="81"/>
        <v>-1.9146829340686469E-2</v>
      </c>
      <c r="G2291">
        <f t="shared" si="80"/>
        <v>-3.247192615112552E-2</v>
      </c>
    </row>
    <row r="2292" spans="1:7" x14ac:dyDescent="0.35">
      <c r="A2292" t="s">
        <v>125</v>
      </c>
      <c r="E2292">
        <v>-1.4829633266143173E-4</v>
      </c>
      <c r="F2292">
        <f t="shared" si="81"/>
        <v>-1.9171113225453677E-2</v>
      </c>
      <c r="G2292">
        <f t="shared" si="80"/>
        <v>-3.247192615112552E-2</v>
      </c>
    </row>
    <row r="2293" spans="1:7" x14ac:dyDescent="0.35">
      <c r="A2293" t="s">
        <v>125</v>
      </c>
      <c r="E2293">
        <v>5.884677633096665E-3</v>
      </c>
      <c r="F2293">
        <f t="shared" si="81"/>
        <v>-1.9195397110220884E-2</v>
      </c>
      <c r="G2293">
        <f t="shared" si="80"/>
        <v>-3.247192615112552E-2</v>
      </c>
    </row>
    <row r="2294" spans="1:7" x14ac:dyDescent="0.35">
      <c r="A2294" t="s">
        <v>125</v>
      </c>
      <c r="E2294">
        <v>5.5750067881864462E-3</v>
      </c>
      <c r="F2294">
        <f t="shared" si="81"/>
        <v>-1.9219680994988098E-2</v>
      </c>
      <c r="G2294">
        <f t="shared" si="80"/>
        <v>-3.247192615112552E-2</v>
      </c>
    </row>
    <row r="2295" spans="1:7" x14ac:dyDescent="0.35">
      <c r="A2295" t="s">
        <v>125</v>
      </c>
      <c r="E2295">
        <v>1.3094503336412096E-2</v>
      </c>
      <c r="F2295">
        <f t="shared" si="81"/>
        <v>-1.9243964879755306E-2</v>
      </c>
      <c r="G2295">
        <f t="shared" si="80"/>
        <v>-3.247192615112552E-2</v>
      </c>
    </row>
    <row r="2296" spans="1:7" x14ac:dyDescent="0.35">
      <c r="A2296" t="s">
        <v>125</v>
      </c>
      <c r="E2296">
        <v>5.4915693982131037E-4</v>
      </c>
      <c r="F2296">
        <f t="shared" si="81"/>
        <v>-1.926824876452251E-2</v>
      </c>
      <c r="G2296">
        <f t="shared" si="80"/>
        <v>-3.247192615112552E-2</v>
      </c>
    </row>
    <row r="2297" spans="1:7" x14ac:dyDescent="0.35">
      <c r="A2297" t="s">
        <v>125</v>
      </c>
      <c r="E2297">
        <v>6.1969260859383833E-3</v>
      </c>
      <c r="F2297">
        <f t="shared" si="81"/>
        <v>-1.9292532649289717E-2</v>
      </c>
      <c r="G2297">
        <f t="shared" si="80"/>
        <v>-3.247192615112552E-2</v>
      </c>
    </row>
    <row r="2298" spans="1:7" x14ac:dyDescent="0.35">
      <c r="A2298" t="s">
        <v>125</v>
      </c>
      <c r="E2298">
        <v>-1.0800266601571237E-2</v>
      </c>
      <c r="F2298">
        <f t="shared" si="81"/>
        <v>-1.9316816534056924E-2</v>
      </c>
      <c r="G2298">
        <f t="shared" si="80"/>
        <v>-3.247192615112552E-2</v>
      </c>
    </row>
    <row r="2299" spans="1:7" x14ac:dyDescent="0.35">
      <c r="A2299" t="s">
        <v>125</v>
      </c>
      <c r="E2299">
        <v>-1.4777933126324967E-3</v>
      </c>
      <c r="F2299">
        <f t="shared" si="81"/>
        <v>-1.9341100418824139E-2</v>
      </c>
      <c r="G2299">
        <f t="shared" si="80"/>
        <v>-3.247192615112552E-2</v>
      </c>
    </row>
    <row r="2300" spans="1:7" x14ac:dyDescent="0.35">
      <c r="A2300" t="s">
        <v>125</v>
      </c>
      <c r="E2300">
        <v>-1.848360686935073E-2</v>
      </c>
      <c r="F2300">
        <f t="shared" si="81"/>
        <v>-1.9365384303591346E-2</v>
      </c>
      <c r="G2300">
        <f t="shared" si="80"/>
        <v>-3.247192615112552E-2</v>
      </c>
    </row>
    <row r="2301" spans="1:7" x14ac:dyDescent="0.35">
      <c r="A2301" t="s">
        <v>125</v>
      </c>
      <c r="E2301">
        <v>-1.5894139318091579E-3</v>
      </c>
      <c r="F2301">
        <f t="shared" si="81"/>
        <v>-1.9366047977488483E-2</v>
      </c>
      <c r="G2301">
        <f t="shared" si="80"/>
        <v>-3.2646680042425977E-2</v>
      </c>
    </row>
    <row r="2302" spans="1:7" x14ac:dyDescent="0.35">
      <c r="A2302" t="s">
        <v>125</v>
      </c>
      <c r="E2302">
        <v>5.7552942014850901E-3</v>
      </c>
      <c r="F2302">
        <f t="shared" si="81"/>
        <v>-1.9366711651385621E-2</v>
      </c>
      <c r="G2302">
        <f t="shared" si="80"/>
        <v>-3.2646680042425977E-2</v>
      </c>
    </row>
    <row r="2303" spans="1:7" x14ac:dyDescent="0.35">
      <c r="A2303" t="s">
        <v>125</v>
      </c>
      <c r="E2303">
        <v>7.5584541591735882E-4</v>
      </c>
      <c r="F2303">
        <f t="shared" si="81"/>
        <v>-1.9367375325282758E-2</v>
      </c>
      <c r="G2303">
        <f t="shared" si="80"/>
        <v>-3.2646680042425977E-2</v>
      </c>
    </row>
    <row r="2304" spans="1:7" x14ac:dyDescent="0.35">
      <c r="A2304" t="s">
        <v>125</v>
      </c>
      <c r="E2304">
        <v>-5.2692354655377272E-4</v>
      </c>
      <c r="F2304">
        <f t="shared" si="81"/>
        <v>-1.9368038999179896E-2</v>
      </c>
      <c r="G2304">
        <f t="shared" si="80"/>
        <v>-3.2646680042425977E-2</v>
      </c>
    </row>
    <row r="2305" spans="1:38" x14ac:dyDescent="0.35">
      <c r="A2305" t="s">
        <v>125</v>
      </c>
      <c r="E2305">
        <v>9.4185348527762169E-3</v>
      </c>
      <c r="F2305">
        <f t="shared" si="81"/>
        <v>-1.9368702673077033E-2</v>
      </c>
      <c r="G2305">
        <f t="shared" si="80"/>
        <v>-3.2646680042425977E-2</v>
      </c>
    </row>
    <row r="2306" spans="1:38" x14ac:dyDescent="0.35">
      <c r="A2306" t="s">
        <v>126</v>
      </c>
      <c r="B2306" s="3" cm="1">
        <f t="array" ref="B2306">_xlfn.STDEV.S(_xlfn._xlws.FILTER($E$2013:$E$3011, $A$2013:$A$3011="2019-04"))</f>
        <v>4.0446274226709931E-3</v>
      </c>
      <c r="C2306" s="3" cm="1">
        <f t="array" ref="C2306">AVERAGE(_xlfn._xlws.FILTER($E$2013:$E$3011, $A$2013:$A$3011="2019-04"))</f>
        <v>2.3730373973195121E-3</v>
      </c>
      <c r="D2306" s="3" cm="1">
        <f t="array" ref="D2306">_xlfn.PERCENTILE.EXC(_xlfn._xlws.FILTER($E$1498:$E$2489, $A$1498:$A$2489="2019-04"), 0.05)</f>
        <v>-5.9291229365170924E-3</v>
      </c>
      <c r="E2306">
        <v>9.9954966699900248E-3</v>
      </c>
      <c r="F2306">
        <f t="shared" si="81"/>
        <v>-1.9369366346974171E-2</v>
      </c>
      <c r="G2306">
        <f t="shared" si="80"/>
        <v>-3.2646680042425977E-2</v>
      </c>
      <c r="AI2306" s="3"/>
      <c r="AJ2306" s="3"/>
      <c r="AK2306" s="3"/>
      <c r="AL2306" s="3"/>
    </row>
    <row r="2307" spans="1:38" x14ac:dyDescent="0.35">
      <c r="A2307" t="s">
        <v>126</v>
      </c>
      <c r="E2307">
        <v>3.0437652903298499E-3</v>
      </c>
      <c r="F2307">
        <f t="shared" si="81"/>
        <v>-1.9370030020871308E-2</v>
      </c>
      <c r="G2307">
        <f t="shared" ref="G2307:G2370" si="82">AVERAGEIFS(E2307:E6123,E2307:E6123,"&lt;=" &amp; F2307)</f>
        <v>-3.2646680042425977E-2</v>
      </c>
    </row>
    <row r="2308" spans="1:38" x14ac:dyDescent="0.35">
      <c r="A2308" t="s">
        <v>126</v>
      </c>
      <c r="E2308">
        <v>1.1670014718878864E-2</v>
      </c>
      <c r="F2308">
        <f t="shared" ref="F2308:F2371" si="83">_xlfn.PERCENTILE.EXC(E2308:E6123,0.05)</f>
        <v>-1.9370693694768445E-2</v>
      </c>
      <c r="G2308">
        <f t="shared" si="82"/>
        <v>-3.2646680042425977E-2</v>
      </c>
    </row>
    <row r="2309" spans="1:38" x14ac:dyDescent="0.35">
      <c r="A2309" t="s">
        <v>126</v>
      </c>
      <c r="E2309">
        <v>1.8524205259576321E-3</v>
      </c>
      <c r="F2309">
        <f t="shared" si="83"/>
        <v>-1.9371357368665583E-2</v>
      </c>
      <c r="G2309">
        <f t="shared" si="82"/>
        <v>-3.2646680042425977E-2</v>
      </c>
    </row>
    <row r="2310" spans="1:38" x14ac:dyDescent="0.35">
      <c r="A2310" t="s">
        <v>126</v>
      </c>
      <c r="E2310">
        <v>1.608268120333469E-3</v>
      </c>
      <c r="F2310">
        <f t="shared" si="83"/>
        <v>-1.937202104256272E-2</v>
      </c>
      <c r="G2310">
        <f t="shared" si="82"/>
        <v>-3.2646680042425977E-2</v>
      </c>
    </row>
    <row r="2311" spans="1:38" x14ac:dyDescent="0.35">
      <c r="A2311" t="s">
        <v>126</v>
      </c>
      <c r="E2311">
        <v>-2.7332698741631858E-3</v>
      </c>
      <c r="F2311">
        <f t="shared" si="83"/>
        <v>-1.9372684716459861E-2</v>
      </c>
      <c r="G2311">
        <f t="shared" si="82"/>
        <v>-3.2646680042425977E-2</v>
      </c>
    </row>
    <row r="2312" spans="1:38" x14ac:dyDescent="0.35">
      <c r="A2312" t="s">
        <v>126</v>
      </c>
      <c r="E2312">
        <v>-6.0800037922172203E-3</v>
      </c>
      <c r="F2312">
        <f t="shared" si="83"/>
        <v>-1.9373348390356999E-2</v>
      </c>
      <c r="G2312">
        <f t="shared" si="82"/>
        <v>-3.2646680042425977E-2</v>
      </c>
    </row>
    <row r="2313" spans="1:38" x14ac:dyDescent="0.35">
      <c r="A2313" t="s">
        <v>126</v>
      </c>
      <c r="E2313">
        <v>2.1719216882986137E-3</v>
      </c>
      <c r="F2313">
        <f t="shared" si="83"/>
        <v>-1.9374012064254136E-2</v>
      </c>
      <c r="G2313">
        <f t="shared" si="82"/>
        <v>-3.2646680042425977E-2</v>
      </c>
    </row>
    <row r="2314" spans="1:38" x14ac:dyDescent="0.35">
      <c r="A2314" t="s">
        <v>126</v>
      </c>
      <c r="E2314">
        <v>3.1166251417207719E-3</v>
      </c>
      <c r="F2314">
        <f t="shared" si="83"/>
        <v>-1.9374675738151274E-2</v>
      </c>
      <c r="G2314">
        <f t="shared" si="82"/>
        <v>-3.2646680042425977E-2</v>
      </c>
    </row>
    <row r="2315" spans="1:38" x14ac:dyDescent="0.35">
      <c r="A2315" t="s">
        <v>126</v>
      </c>
      <c r="E2315">
        <v>3.6291457884956467E-3</v>
      </c>
      <c r="F2315">
        <f t="shared" si="83"/>
        <v>-1.9375339412048411E-2</v>
      </c>
      <c r="G2315">
        <f t="shared" si="82"/>
        <v>-3.2646680042425977E-2</v>
      </c>
    </row>
    <row r="2316" spans="1:38" x14ac:dyDescent="0.35">
      <c r="A2316" t="s">
        <v>126</v>
      </c>
      <c r="E2316">
        <v>7.6250784685116986E-4</v>
      </c>
      <c r="F2316">
        <f t="shared" si="83"/>
        <v>-1.9376003085945549E-2</v>
      </c>
      <c r="G2316">
        <f t="shared" si="82"/>
        <v>-3.2646680042425977E-2</v>
      </c>
    </row>
    <row r="2317" spans="1:38" x14ac:dyDescent="0.35">
      <c r="A2317" t="s">
        <v>126</v>
      </c>
      <c r="E2317">
        <v>3.7316606361417169E-3</v>
      </c>
      <c r="F2317">
        <f t="shared" si="83"/>
        <v>-1.9376666759842686E-2</v>
      </c>
      <c r="G2317">
        <f t="shared" si="82"/>
        <v>-3.2646680042425977E-2</v>
      </c>
    </row>
    <row r="2318" spans="1:38" x14ac:dyDescent="0.35">
      <c r="A2318" t="s">
        <v>126</v>
      </c>
      <c r="E2318">
        <v>4.1405659717068163E-3</v>
      </c>
      <c r="F2318">
        <f t="shared" si="83"/>
        <v>-1.9377330433739823E-2</v>
      </c>
      <c r="G2318">
        <f t="shared" si="82"/>
        <v>-3.2646680042425977E-2</v>
      </c>
    </row>
    <row r="2319" spans="1:38" x14ac:dyDescent="0.35">
      <c r="A2319" t="s">
        <v>126</v>
      </c>
      <c r="E2319">
        <v>6.1631621954666834E-3</v>
      </c>
      <c r="F2319">
        <f t="shared" si="83"/>
        <v>-1.9377994107636961E-2</v>
      </c>
      <c r="G2319">
        <f t="shared" si="82"/>
        <v>-3.2646680042425977E-2</v>
      </c>
    </row>
    <row r="2320" spans="1:38" x14ac:dyDescent="0.35">
      <c r="A2320" t="s">
        <v>126</v>
      </c>
      <c r="E2320">
        <v>1.3194196468508538E-3</v>
      </c>
      <c r="F2320">
        <f t="shared" si="83"/>
        <v>-1.9378657781534098E-2</v>
      </c>
      <c r="G2320">
        <f t="shared" si="82"/>
        <v>-3.2646680042425977E-2</v>
      </c>
    </row>
    <row r="2321" spans="1:38" x14ac:dyDescent="0.35">
      <c r="A2321" t="s">
        <v>126</v>
      </c>
      <c r="E2321">
        <v>-3.4824905297084138E-4</v>
      </c>
      <c r="F2321">
        <f t="shared" si="83"/>
        <v>-1.9379588701399202E-2</v>
      </c>
      <c r="G2321">
        <f t="shared" si="82"/>
        <v>-3.2825977640546136E-2</v>
      </c>
    </row>
    <row r="2322" spans="1:38" x14ac:dyDescent="0.35">
      <c r="A2322" t="s">
        <v>126</v>
      </c>
      <c r="E2322">
        <v>-3.0623866782146722E-3</v>
      </c>
      <c r="F2322">
        <f t="shared" si="83"/>
        <v>-1.9380519621264306E-2</v>
      </c>
      <c r="G2322">
        <f t="shared" si="82"/>
        <v>-3.2825977640546136E-2</v>
      </c>
    </row>
    <row r="2323" spans="1:38" x14ac:dyDescent="0.35">
      <c r="A2323" t="s">
        <v>126</v>
      </c>
      <c r="E2323">
        <v>2.42837628433871E-3</v>
      </c>
      <c r="F2323">
        <f t="shared" si="83"/>
        <v>-1.9381450541129414E-2</v>
      </c>
      <c r="G2323">
        <f t="shared" si="82"/>
        <v>-3.2825977640546136E-2</v>
      </c>
    </row>
    <row r="2324" spans="1:38" x14ac:dyDescent="0.35">
      <c r="A2324" t="s">
        <v>126</v>
      </c>
      <c r="E2324">
        <v>4.3699615824640555E-4</v>
      </c>
      <c r="F2324">
        <f t="shared" si="83"/>
        <v>-1.9382381460994517E-2</v>
      </c>
      <c r="G2324">
        <f t="shared" si="82"/>
        <v>-3.2825977640546136E-2</v>
      </c>
    </row>
    <row r="2325" spans="1:38" x14ac:dyDescent="0.35">
      <c r="A2325" t="s">
        <v>126</v>
      </c>
      <c r="E2325">
        <v>3.6143106603489287E-3</v>
      </c>
      <c r="F2325">
        <f t="shared" si="83"/>
        <v>-1.9383312380859621E-2</v>
      </c>
      <c r="G2325">
        <f t="shared" si="82"/>
        <v>-3.2825977640546136E-2</v>
      </c>
    </row>
    <row r="2326" spans="1:38" x14ac:dyDescent="0.35">
      <c r="A2326" t="s">
        <v>127</v>
      </c>
      <c r="B2326" s="3" cm="1">
        <f t="array" ref="B2326">_xlfn.STDEV.S(_xlfn._xlws.FILTER($E$2013:$E$3011, $A$2013:$A$3011="2019-05"))</f>
        <v>1.2104806581686257E-2</v>
      </c>
      <c r="C2326" s="3" cm="1">
        <f t="array" ref="C2326">AVERAGE(_xlfn._xlws.FILTER($E$2013:$E$3011, $A$2013:$A$3011="2019-05"))</f>
        <v>-3.4478449972961773E-3</v>
      </c>
      <c r="D2326" s="3" cm="1">
        <f t="array" ref="D2326">_xlfn.PERCENTILE.EXC(_xlfn._xlws.FILTER($E$1498:$E$2489, $A$1498:$A$2489="2019-05"), 0.05)</f>
        <v>-2.8870341980290624E-2</v>
      </c>
      <c r="E2326">
        <v>-7.3363123623628361E-3</v>
      </c>
      <c r="F2326">
        <f t="shared" si="83"/>
        <v>-1.9384243300724725E-2</v>
      </c>
      <c r="G2326">
        <f t="shared" si="82"/>
        <v>-3.2825977640546136E-2</v>
      </c>
      <c r="AI2326" s="3"/>
      <c r="AJ2326" s="3"/>
      <c r="AK2326" s="3"/>
      <c r="AL2326" s="3"/>
    </row>
    <row r="2327" spans="1:38" x14ac:dyDescent="0.35">
      <c r="A2327" t="s">
        <v>127</v>
      </c>
      <c r="E2327">
        <v>3.8761900576721499E-3</v>
      </c>
      <c r="F2327">
        <f t="shared" si="83"/>
        <v>-1.9385174220589833E-2</v>
      </c>
      <c r="G2327">
        <f t="shared" si="82"/>
        <v>-3.2825977640546136E-2</v>
      </c>
    </row>
    <row r="2328" spans="1:38" x14ac:dyDescent="0.35">
      <c r="A2328" t="s">
        <v>127</v>
      </c>
      <c r="E2328">
        <v>-2.9354739100480427E-2</v>
      </c>
      <c r="F2328">
        <f t="shared" si="83"/>
        <v>-1.9386105140454937E-2</v>
      </c>
      <c r="G2328">
        <f t="shared" si="82"/>
        <v>-3.2825977640546136E-2</v>
      </c>
    </row>
    <row r="2329" spans="1:38" x14ac:dyDescent="0.35">
      <c r="A2329" t="s">
        <v>127</v>
      </c>
      <c r="E2329">
        <v>4.7225104707484498E-3</v>
      </c>
      <c r="F2329">
        <f t="shared" si="83"/>
        <v>-1.9371357368665583E-2</v>
      </c>
      <c r="G2329">
        <f t="shared" si="82"/>
        <v>-3.2691165730830647E-2</v>
      </c>
    </row>
    <row r="2330" spans="1:38" x14ac:dyDescent="0.35">
      <c r="A2330" t="s">
        <v>127</v>
      </c>
      <c r="E2330">
        <v>-1.966679669668437E-2</v>
      </c>
      <c r="F2330">
        <f t="shared" si="83"/>
        <v>-1.937202104256272E-2</v>
      </c>
      <c r="G2330">
        <f t="shared" si="82"/>
        <v>-3.2691165730830647E-2</v>
      </c>
    </row>
    <row r="2331" spans="1:38" x14ac:dyDescent="0.35">
      <c r="A2331" t="s">
        <v>127</v>
      </c>
      <c r="E2331">
        <v>3.0811614778477481E-3</v>
      </c>
      <c r="F2331">
        <f t="shared" si="83"/>
        <v>-1.9146829340686469E-2</v>
      </c>
      <c r="G2331">
        <f t="shared" si="82"/>
        <v>-3.2687092590383438E-2</v>
      </c>
    </row>
    <row r="2332" spans="1:38" x14ac:dyDescent="0.35">
      <c r="A2332" t="s">
        <v>127</v>
      </c>
      <c r="E2332">
        <v>-1.2053730063747995E-2</v>
      </c>
      <c r="F2332">
        <f t="shared" si="83"/>
        <v>-1.9171113225453677E-2</v>
      </c>
      <c r="G2332">
        <f t="shared" si="82"/>
        <v>-3.2687092590383438E-2</v>
      </c>
    </row>
    <row r="2333" spans="1:38" x14ac:dyDescent="0.35">
      <c r="A2333" t="s">
        <v>127</v>
      </c>
      <c r="E2333">
        <v>1.304400139870417E-2</v>
      </c>
      <c r="F2333">
        <f t="shared" si="83"/>
        <v>-1.9195397110220884E-2</v>
      </c>
      <c r="G2333">
        <f t="shared" si="82"/>
        <v>-3.2687092590383438E-2</v>
      </c>
    </row>
    <row r="2334" spans="1:38" x14ac:dyDescent="0.35">
      <c r="A2334" t="s">
        <v>127</v>
      </c>
      <c r="E2334">
        <v>6.3406116880008415E-3</v>
      </c>
      <c r="F2334">
        <f t="shared" si="83"/>
        <v>-1.9219680994988098E-2</v>
      </c>
      <c r="G2334">
        <f t="shared" si="82"/>
        <v>-3.2687092590383438E-2</v>
      </c>
    </row>
    <row r="2335" spans="1:38" x14ac:dyDescent="0.35">
      <c r="A2335" t="s">
        <v>127</v>
      </c>
      <c r="E2335">
        <v>1.5468470914643888E-2</v>
      </c>
      <c r="F2335">
        <f t="shared" si="83"/>
        <v>-1.9243964879755306E-2</v>
      </c>
      <c r="G2335">
        <f t="shared" si="82"/>
        <v>-3.2687092590383438E-2</v>
      </c>
    </row>
    <row r="2336" spans="1:38" x14ac:dyDescent="0.35">
      <c r="A2336" t="s">
        <v>127</v>
      </c>
      <c r="E2336">
        <v>-3.764463523102377E-3</v>
      </c>
      <c r="F2336">
        <f t="shared" si="83"/>
        <v>-1.926824876452251E-2</v>
      </c>
      <c r="G2336">
        <f t="shared" si="82"/>
        <v>-3.2687092590383438E-2</v>
      </c>
    </row>
    <row r="2337" spans="1:38" x14ac:dyDescent="0.35">
      <c r="A2337" t="s">
        <v>127</v>
      </c>
      <c r="E2337">
        <v>-1.6440855237451726E-2</v>
      </c>
      <c r="F2337">
        <f t="shared" si="83"/>
        <v>-1.9292532649289717E-2</v>
      </c>
      <c r="G2337">
        <f t="shared" si="82"/>
        <v>-3.2687092590383438E-2</v>
      </c>
    </row>
    <row r="2338" spans="1:38" x14ac:dyDescent="0.35">
      <c r="A2338" t="s">
        <v>127</v>
      </c>
      <c r="E2338">
        <v>4.952432235482215E-3</v>
      </c>
      <c r="F2338">
        <f t="shared" si="83"/>
        <v>-1.9316816534056924E-2</v>
      </c>
      <c r="G2338">
        <f t="shared" si="82"/>
        <v>-3.2687092590383438E-2</v>
      </c>
    </row>
    <row r="2339" spans="1:38" x14ac:dyDescent="0.35">
      <c r="A2339" t="s">
        <v>127</v>
      </c>
      <c r="E2339">
        <v>6.2008820036177776E-5</v>
      </c>
      <c r="F2339">
        <f t="shared" si="83"/>
        <v>-1.9341100418824139E-2</v>
      </c>
      <c r="G2339">
        <f t="shared" si="82"/>
        <v>-3.2687092590383438E-2</v>
      </c>
    </row>
    <row r="2340" spans="1:38" x14ac:dyDescent="0.35">
      <c r="A2340" t="s">
        <v>127</v>
      </c>
      <c r="E2340">
        <v>-1.773079194315838E-2</v>
      </c>
      <c r="F2340">
        <f t="shared" si="83"/>
        <v>-1.9365384303591346E-2</v>
      </c>
      <c r="G2340">
        <f t="shared" si="82"/>
        <v>-3.2687092590383438E-2</v>
      </c>
    </row>
    <row r="2341" spans="1:38" x14ac:dyDescent="0.35">
      <c r="A2341" t="s">
        <v>127</v>
      </c>
      <c r="E2341">
        <v>7.0381697861887759E-3</v>
      </c>
      <c r="F2341">
        <f t="shared" si="83"/>
        <v>-1.9366047977488483E-2</v>
      </c>
      <c r="G2341">
        <f t="shared" si="82"/>
        <v>-3.2869581744997031E-2</v>
      </c>
    </row>
    <row r="2342" spans="1:38" x14ac:dyDescent="0.35">
      <c r="A2342" t="s">
        <v>127</v>
      </c>
      <c r="E2342">
        <v>-5.4928981791742683E-4</v>
      </c>
      <c r="F2342">
        <f t="shared" si="83"/>
        <v>-1.9366711651385621E-2</v>
      </c>
      <c r="G2342">
        <f t="shared" si="82"/>
        <v>-3.2869581744997031E-2</v>
      </c>
    </row>
    <row r="2343" spans="1:38" x14ac:dyDescent="0.35">
      <c r="A2343" t="s">
        <v>127</v>
      </c>
      <c r="E2343">
        <v>-1.5361377610122785E-2</v>
      </c>
      <c r="F2343">
        <f t="shared" si="83"/>
        <v>-1.9367375325282758E-2</v>
      </c>
      <c r="G2343">
        <f t="shared" si="82"/>
        <v>-3.2869581744997031E-2</v>
      </c>
    </row>
    <row r="2344" spans="1:38" x14ac:dyDescent="0.35">
      <c r="A2344" t="s">
        <v>127</v>
      </c>
      <c r="E2344">
        <v>6.1487868982909553E-3</v>
      </c>
      <c r="F2344">
        <f t="shared" si="83"/>
        <v>-1.9368038999179896E-2</v>
      </c>
      <c r="G2344">
        <f t="shared" si="82"/>
        <v>-3.2869581744997031E-2</v>
      </c>
    </row>
    <row r="2345" spans="1:38" x14ac:dyDescent="0.35">
      <c r="A2345" t="s">
        <v>127</v>
      </c>
      <c r="E2345">
        <v>-1.1432887338510608E-2</v>
      </c>
      <c r="F2345">
        <f t="shared" si="83"/>
        <v>-1.9368702673077033E-2</v>
      </c>
      <c r="G2345">
        <f t="shared" si="82"/>
        <v>-3.2869581744997031E-2</v>
      </c>
    </row>
    <row r="2346" spans="1:38" x14ac:dyDescent="0.35">
      <c r="A2346" t="s">
        <v>128</v>
      </c>
      <c r="B2346" s="3" cm="1">
        <f t="array" ref="B2346">_xlfn.STDEV.S(_xlfn._xlws.FILTER($E$2013:$E$3011, $A$2013:$A$3011="2019-06"))</f>
        <v>6.3305020015425317E-3</v>
      </c>
      <c r="C2346" s="3" cm="1">
        <f t="array" ref="C2346">AVERAGE(_xlfn._xlws.FILTER($E$2013:$E$3011, $A$2013:$A$3011="2019-06"))</f>
        <v>3.012785166356266E-3</v>
      </c>
      <c r="D2346" s="3" cm="1">
        <f t="array" ref="D2346">_xlfn.PERCENTILE.EXC(_xlfn._xlws.FILTER($E$1498:$E$2489, $A$1498:$A$2489="2019-06"), 0.05)</f>
        <v>-4.2635820575628904E-3</v>
      </c>
      <c r="E2346">
        <v>6.0146215524840476E-3</v>
      </c>
      <c r="F2346">
        <f t="shared" si="83"/>
        <v>-1.9369366346974171E-2</v>
      </c>
      <c r="G2346">
        <f t="shared" si="82"/>
        <v>-3.2869581744997031E-2</v>
      </c>
      <c r="AI2346" s="3"/>
      <c r="AJ2346" s="3"/>
      <c r="AK2346" s="3"/>
      <c r="AL2346" s="3"/>
    </row>
    <row r="2347" spans="1:38" x14ac:dyDescent="0.35">
      <c r="A2347" t="s">
        <v>128</v>
      </c>
      <c r="E2347">
        <v>1.0030670304492798E-2</v>
      </c>
      <c r="F2347">
        <f t="shared" si="83"/>
        <v>-1.9370030020871308E-2</v>
      </c>
      <c r="G2347">
        <f t="shared" si="82"/>
        <v>-3.2869581744997031E-2</v>
      </c>
    </row>
    <row r="2348" spans="1:38" x14ac:dyDescent="0.35">
      <c r="A2348" t="s">
        <v>128</v>
      </c>
      <c r="E2348">
        <v>1.9360335952058438E-3</v>
      </c>
      <c r="F2348">
        <f t="shared" si="83"/>
        <v>-1.9370693694768445E-2</v>
      </c>
      <c r="G2348">
        <f t="shared" si="82"/>
        <v>-3.2869581744997031E-2</v>
      </c>
    </row>
    <row r="2349" spans="1:38" x14ac:dyDescent="0.35">
      <c r="A2349" t="s">
        <v>128</v>
      </c>
      <c r="E2349">
        <v>-4.6119107903620695E-4</v>
      </c>
      <c r="F2349">
        <f t="shared" si="83"/>
        <v>-1.9371357368665583E-2</v>
      </c>
      <c r="G2349">
        <f t="shared" si="82"/>
        <v>-3.2869581744997031E-2</v>
      </c>
    </row>
    <row r="2350" spans="1:38" x14ac:dyDescent="0.35">
      <c r="A2350" t="s">
        <v>128</v>
      </c>
      <c r="E2350">
        <v>1.1901658920321329E-2</v>
      </c>
      <c r="F2350">
        <f t="shared" si="83"/>
        <v>-1.937202104256272E-2</v>
      </c>
      <c r="G2350">
        <f t="shared" si="82"/>
        <v>-3.2869581744997031E-2</v>
      </c>
    </row>
    <row r="2351" spans="1:38" x14ac:dyDescent="0.35">
      <c r="A2351" t="s">
        <v>128</v>
      </c>
      <c r="E2351">
        <v>6.7026040515641688E-3</v>
      </c>
      <c r="F2351">
        <f t="shared" si="83"/>
        <v>-1.9372684716459861E-2</v>
      </c>
      <c r="G2351">
        <f t="shared" si="82"/>
        <v>-3.2869581744997031E-2</v>
      </c>
    </row>
    <row r="2352" spans="1:38" x14ac:dyDescent="0.35">
      <c r="A2352" t="s">
        <v>128</v>
      </c>
      <c r="E2352">
        <v>-4.2635820575628904E-3</v>
      </c>
      <c r="F2352">
        <f t="shared" si="83"/>
        <v>-1.9373348390356999E-2</v>
      </c>
      <c r="G2352">
        <f t="shared" si="82"/>
        <v>-3.2869581744997031E-2</v>
      </c>
    </row>
    <row r="2353" spans="1:38" x14ac:dyDescent="0.35">
      <c r="A2353" t="s">
        <v>128</v>
      </c>
      <c r="E2353">
        <v>1.1420764897969525E-3</v>
      </c>
      <c r="F2353">
        <f t="shared" si="83"/>
        <v>-1.9374012064254136E-2</v>
      </c>
      <c r="G2353">
        <f t="shared" si="82"/>
        <v>-3.2869581744997031E-2</v>
      </c>
    </row>
    <row r="2354" spans="1:38" x14ac:dyDescent="0.35">
      <c r="A2354" t="s">
        <v>128</v>
      </c>
      <c r="E2354">
        <v>-3.3413673366908892E-3</v>
      </c>
      <c r="F2354">
        <f t="shared" si="83"/>
        <v>-1.9374675738151274E-2</v>
      </c>
      <c r="G2354">
        <f t="shared" si="82"/>
        <v>-3.2869581744997031E-2</v>
      </c>
    </row>
    <row r="2355" spans="1:38" x14ac:dyDescent="0.35">
      <c r="A2355" t="s">
        <v>128</v>
      </c>
      <c r="E2355">
        <v>1.1889271482132047E-3</v>
      </c>
      <c r="F2355">
        <f t="shared" si="83"/>
        <v>-1.9375339412048411E-2</v>
      </c>
      <c r="G2355">
        <f t="shared" si="82"/>
        <v>-3.2869581744997031E-2</v>
      </c>
    </row>
    <row r="2356" spans="1:38" x14ac:dyDescent="0.35">
      <c r="A2356" t="s">
        <v>128</v>
      </c>
      <c r="E2356">
        <v>2.0386598590357359E-2</v>
      </c>
      <c r="F2356">
        <f t="shared" si="83"/>
        <v>-1.9376003085945549E-2</v>
      </c>
      <c r="G2356">
        <f t="shared" si="82"/>
        <v>-3.2869581744997031E-2</v>
      </c>
    </row>
    <row r="2357" spans="1:38" x14ac:dyDescent="0.35">
      <c r="A2357" t="s">
        <v>128</v>
      </c>
      <c r="E2357">
        <v>5.24061225818218E-4</v>
      </c>
      <c r="F2357">
        <f t="shared" si="83"/>
        <v>-1.9376666759842686E-2</v>
      </c>
      <c r="G2357">
        <f t="shared" si="82"/>
        <v>-3.2869581744997031E-2</v>
      </c>
    </row>
    <row r="2358" spans="1:38" x14ac:dyDescent="0.35">
      <c r="A2358" t="s">
        <v>128</v>
      </c>
      <c r="E2358">
        <v>3.8655039335239718E-3</v>
      </c>
      <c r="F2358">
        <f t="shared" si="83"/>
        <v>-1.9377330433739823E-2</v>
      </c>
      <c r="G2358">
        <f t="shared" si="82"/>
        <v>-3.2869581744997031E-2</v>
      </c>
    </row>
    <row r="2359" spans="1:38" x14ac:dyDescent="0.35">
      <c r="A2359" t="s">
        <v>128</v>
      </c>
      <c r="E2359">
        <v>-3.3453497067574648E-4</v>
      </c>
      <c r="F2359">
        <f t="shared" si="83"/>
        <v>-1.9377994107636961E-2</v>
      </c>
      <c r="G2359">
        <f t="shared" si="82"/>
        <v>-3.2869581744997031E-2</v>
      </c>
    </row>
    <row r="2360" spans="1:38" x14ac:dyDescent="0.35">
      <c r="A2360" t="s">
        <v>128</v>
      </c>
      <c r="E2360">
        <v>-3.2791698277646018E-3</v>
      </c>
      <c r="F2360">
        <f t="shared" si="83"/>
        <v>-1.9378657781534098E-2</v>
      </c>
      <c r="G2360">
        <f t="shared" si="82"/>
        <v>-3.2869581744997031E-2</v>
      </c>
    </row>
    <row r="2361" spans="1:38" x14ac:dyDescent="0.35">
      <c r="A2361" t="s">
        <v>128</v>
      </c>
      <c r="E2361">
        <v>-3.249311185171942E-3</v>
      </c>
      <c r="F2361">
        <f t="shared" si="83"/>
        <v>-1.9379588701399202E-2</v>
      </c>
      <c r="G2361">
        <f t="shared" si="82"/>
        <v>-3.305695568893402E-2</v>
      </c>
    </row>
    <row r="2362" spans="1:38" x14ac:dyDescent="0.35">
      <c r="A2362" t="s">
        <v>128</v>
      </c>
      <c r="E2362">
        <v>-4.0944868742628042E-4</v>
      </c>
      <c r="F2362">
        <f t="shared" si="83"/>
        <v>-1.9380519621264306E-2</v>
      </c>
      <c r="G2362">
        <f t="shared" si="82"/>
        <v>-3.305695568893402E-2</v>
      </c>
    </row>
    <row r="2363" spans="1:38" x14ac:dyDescent="0.35">
      <c r="A2363" t="s">
        <v>128</v>
      </c>
      <c r="E2363">
        <v>-1.6556940663758012E-4</v>
      </c>
      <c r="F2363">
        <f t="shared" si="83"/>
        <v>-1.9381450541129414E-2</v>
      </c>
      <c r="G2363">
        <f t="shared" si="82"/>
        <v>-3.305695568893402E-2</v>
      </c>
    </row>
    <row r="2364" spans="1:38" x14ac:dyDescent="0.35">
      <c r="A2364" t="s">
        <v>128</v>
      </c>
      <c r="E2364">
        <v>9.054336899957308E-3</v>
      </c>
      <c r="F2364">
        <f t="shared" si="83"/>
        <v>-1.9382381460994517E-2</v>
      </c>
      <c r="G2364">
        <f t="shared" si="82"/>
        <v>-3.305695568893402E-2</v>
      </c>
    </row>
    <row r="2365" spans="1:38" x14ac:dyDescent="0.35">
      <c r="A2365" t="s">
        <v>129</v>
      </c>
      <c r="B2365" s="3" cm="1">
        <f t="array" ref="B2365">_xlfn.STDEV.S(_xlfn._xlws.FILTER($E$2013:$E$3011, $A$2013:$A$3011="2019-07"))</f>
        <v>6.0305260951999534E-3</v>
      </c>
      <c r="C2365" s="3" cm="1">
        <f t="array" ref="C2365">AVERAGE(_xlfn._xlws.FILTER($E$2013:$E$3011, $A$2013:$A$3011="2019-07"))</f>
        <v>-8.5696905608810626E-5</v>
      </c>
      <c r="D2365" s="3" cm="1">
        <f t="array" ref="D2365">_xlfn.PERCENTILE.EXC(_xlfn._xlws.FILTER($E$1498:$E$2489, $A$1498:$A$2489="2019-07"), 0.05)</f>
        <v>-1.5200513391859273E-2</v>
      </c>
      <c r="E2365">
        <v>6.8567303673471684E-3</v>
      </c>
      <c r="F2365">
        <f t="shared" si="83"/>
        <v>-1.9383312380859621E-2</v>
      </c>
      <c r="G2365">
        <f t="shared" si="82"/>
        <v>-3.305695568893402E-2</v>
      </c>
      <c r="AI2365" s="3"/>
      <c r="AJ2365" s="3"/>
      <c r="AK2365" s="3"/>
      <c r="AL2365" s="3"/>
    </row>
    <row r="2366" spans="1:38" x14ac:dyDescent="0.35">
      <c r="A2366" t="s">
        <v>129</v>
      </c>
      <c r="E2366">
        <v>2.9662133467985409E-3</v>
      </c>
      <c r="F2366">
        <f t="shared" si="83"/>
        <v>-1.9384243300724725E-2</v>
      </c>
      <c r="G2366">
        <f t="shared" si="82"/>
        <v>-3.305695568893402E-2</v>
      </c>
    </row>
    <row r="2367" spans="1:38" x14ac:dyDescent="0.35">
      <c r="A2367" t="s">
        <v>129</v>
      </c>
      <c r="E2367">
        <v>9.2643041738814345E-3</v>
      </c>
      <c r="F2367">
        <f t="shared" si="83"/>
        <v>-1.9385174220589833E-2</v>
      </c>
      <c r="G2367">
        <f t="shared" si="82"/>
        <v>-3.305695568893402E-2</v>
      </c>
    </row>
    <row r="2368" spans="1:38" x14ac:dyDescent="0.35">
      <c r="A2368" t="s">
        <v>129</v>
      </c>
      <c r="E2368">
        <v>9.9367949029815746E-4</v>
      </c>
      <c r="F2368">
        <f t="shared" si="83"/>
        <v>-1.9386105140454937E-2</v>
      </c>
      <c r="G2368">
        <f t="shared" si="82"/>
        <v>-3.305695568893402E-2</v>
      </c>
    </row>
    <row r="2369" spans="1:7" x14ac:dyDescent="0.35">
      <c r="A2369" t="s">
        <v>129</v>
      </c>
      <c r="E2369">
        <v>-4.5728877093520132E-3</v>
      </c>
      <c r="F2369">
        <f t="shared" si="83"/>
        <v>-1.938703606032004E-2</v>
      </c>
      <c r="G2369">
        <f t="shared" si="82"/>
        <v>-3.305695568893402E-2</v>
      </c>
    </row>
    <row r="2370" spans="1:7" x14ac:dyDescent="0.35">
      <c r="A2370" t="s">
        <v>129</v>
      </c>
      <c r="E2370">
        <v>-1.1968678663023739E-3</v>
      </c>
      <c r="F2370">
        <f t="shared" si="83"/>
        <v>-1.9387966980185148E-2</v>
      </c>
      <c r="G2370">
        <f t="shared" si="82"/>
        <v>-3.305695568893402E-2</v>
      </c>
    </row>
    <row r="2371" spans="1:7" x14ac:dyDescent="0.35">
      <c r="A2371" t="s">
        <v>129</v>
      </c>
      <c r="E2371">
        <v>-3.9837914580100808E-3</v>
      </c>
      <c r="F2371">
        <f t="shared" si="83"/>
        <v>-1.9388897900050252E-2</v>
      </c>
      <c r="G2371">
        <f t="shared" ref="G2371:G2434" si="84">AVERAGEIFS(E2371:E6187,E2371:E6187,"&lt;=" &amp; F2371)</f>
        <v>-3.305695568893402E-2</v>
      </c>
    </row>
    <row r="2372" spans="1:7" x14ac:dyDescent="0.35">
      <c r="A2372" t="s">
        <v>129</v>
      </c>
      <c r="E2372">
        <v>-2.347649935016806E-3</v>
      </c>
      <c r="F2372">
        <f t="shared" ref="F2372:F2435" si="85">_xlfn.PERCENTILE.EXC(E2372:E6187,0.05)</f>
        <v>-1.9389828819915356E-2</v>
      </c>
      <c r="G2372">
        <f t="shared" si="84"/>
        <v>-3.305695568893402E-2</v>
      </c>
    </row>
    <row r="2373" spans="1:7" x14ac:dyDescent="0.35">
      <c r="A2373" t="s">
        <v>129</v>
      </c>
      <c r="E2373">
        <v>-1.3689138707558448E-3</v>
      </c>
      <c r="F2373">
        <f t="shared" si="85"/>
        <v>-1.939075973978046E-2</v>
      </c>
      <c r="G2373">
        <f t="shared" si="84"/>
        <v>-3.305695568893402E-2</v>
      </c>
    </row>
    <row r="2374" spans="1:7" x14ac:dyDescent="0.35">
      <c r="A2374" t="s">
        <v>129</v>
      </c>
      <c r="E2374">
        <v>2.5735020930212814E-4</v>
      </c>
      <c r="F2374">
        <f t="shared" si="85"/>
        <v>-1.9391690659645567E-2</v>
      </c>
      <c r="G2374">
        <f t="shared" si="84"/>
        <v>-3.305695568893402E-2</v>
      </c>
    </row>
    <row r="2375" spans="1:7" x14ac:dyDescent="0.35">
      <c r="A2375" t="s">
        <v>129</v>
      </c>
      <c r="E2375">
        <v>1.3114568620381753E-3</v>
      </c>
      <c r="F2375">
        <f t="shared" si="85"/>
        <v>-1.9392621579510671E-2</v>
      </c>
      <c r="G2375">
        <f t="shared" si="84"/>
        <v>-3.305695568893402E-2</v>
      </c>
    </row>
    <row r="2376" spans="1:7" x14ac:dyDescent="0.35">
      <c r="A2376" t="s">
        <v>129</v>
      </c>
      <c r="E2376">
        <v>5.4502254916680209E-3</v>
      </c>
      <c r="F2376">
        <f t="shared" si="85"/>
        <v>-1.9393552499375775E-2</v>
      </c>
      <c r="G2376">
        <f t="shared" si="84"/>
        <v>-3.305695568893402E-2</v>
      </c>
    </row>
    <row r="2377" spans="1:7" x14ac:dyDescent="0.35">
      <c r="A2377" t="s">
        <v>129</v>
      </c>
      <c r="E2377">
        <v>-5.6329834235852756E-3</v>
      </c>
      <c r="F2377">
        <f t="shared" si="85"/>
        <v>-1.9394483419240879E-2</v>
      </c>
      <c r="G2377">
        <f t="shared" si="84"/>
        <v>-3.305695568893402E-2</v>
      </c>
    </row>
    <row r="2378" spans="1:7" x14ac:dyDescent="0.35">
      <c r="A2378" t="s">
        <v>129</v>
      </c>
      <c r="E2378">
        <v>-5.3691135093041588E-3</v>
      </c>
      <c r="F2378">
        <f t="shared" si="85"/>
        <v>-1.9395414339105983E-2</v>
      </c>
      <c r="G2378">
        <f t="shared" si="84"/>
        <v>-3.305695568893402E-2</v>
      </c>
    </row>
    <row r="2379" spans="1:7" x14ac:dyDescent="0.35">
      <c r="A2379" t="s">
        <v>129</v>
      </c>
      <c r="E2379">
        <v>-7.6116510760281604E-4</v>
      </c>
      <c r="F2379">
        <f t="shared" si="85"/>
        <v>-1.939634525897109E-2</v>
      </c>
      <c r="G2379">
        <f t="shared" si="84"/>
        <v>-3.305695568893402E-2</v>
      </c>
    </row>
    <row r="2380" spans="1:7" x14ac:dyDescent="0.35">
      <c r="A2380" t="s">
        <v>129</v>
      </c>
      <c r="E2380">
        <v>2.7947967288380585E-3</v>
      </c>
      <c r="F2380">
        <f t="shared" si="85"/>
        <v>-1.9397276178836194E-2</v>
      </c>
      <c r="G2380">
        <f t="shared" si="84"/>
        <v>-3.305695568893402E-2</v>
      </c>
    </row>
    <row r="2381" spans="1:7" x14ac:dyDescent="0.35">
      <c r="A2381" t="s">
        <v>129</v>
      </c>
      <c r="E2381">
        <v>1.2231758460372758E-2</v>
      </c>
      <c r="F2381">
        <f t="shared" si="85"/>
        <v>-1.9401032829465138E-2</v>
      </c>
      <c r="G2381">
        <f t="shared" si="84"/>
        <v>-3.324934554118892E-2</v>
      </c>
    </row>
    <row r="2382" spans="1:7" x14ac:dyDescent="0.35">
      <c r="A2382" t="s">
        <v>129</v>
      </c>
      <c r="E2382">
        <v>8.4916435151822431E-6</v>
      </c>
      <c r="F2382">
        <f t="shared" si="85"/>
        <v>-1.9404789480094081E-2</v>
      </c>
      <c r="G2382">
        <f t="shared" si="84"/>
        <v>-3.324934554118892E-2</v>
      </c>
    </row>
    <row r="2383" spans="1:7" x14ac:dyDescent="0.35">
      <c r="A2383" t="s">
        <v>129</v>
      </c>
      <c r="E2383">
        <v>-6.4602918119993705E-3</v>
      </c>
      <c r="F2383">
        <f t="shared" si="85"/>
        <v>-1.9408546130723028E-2</v>
      </c>
      <c r="G2383">
        <f t="shared" si="84"/>
        <v>-3.324934554118892E-2</v>
      </c>
    </row>
    <row r="2384" spans="1:7" x14ac:dyDescent="0.35">
      <c r="A2384" t="s">
        <v>129</v>
      </c>
      <c r="E2384">
        <v>4.0712987425218254E-3</v>
      </c>
      <c r="F2384">
        <f t="shared" si="85"/>
        <v>-1.9412302781351972E-2</v>
      </c>
      <c r="G2384">
        <f t="shared" si="84"/>
        <v>-3.324934554118892E-2</v>
      </c>
    </row>
    <row r="2385" spans="1:38" x14ac:dyDescent="0.35">
      <c r="A2385" t="s">
        <v>129</v>
      </c>
      <c r="E2385">
        <v>-2.5255212568874556E-4</v>
      </c>
      <c r="F2385">
        <f t="shared" si="85"/>
        <v>-1.9416059431980916E-2</v>
      </c>
      <c r="G2385">
        <f t="shared" si="84"/>
        <v>-3.324934554118892E-2</v>
      </c>
    </row>
    <row r="2386" spans="1:38" x14ac:dyDescent="0.35">
      <c r="A2386" t="s">
        <v>129</v>
      </c>
      <c r="E2386">
        <v>-1.7385568786824252E-2</v>
      </c>
      <c r="F2386">
        <f t="shared" si="85"/>
        <v>-1.9419816082609859E-2</v>
      </c>
      <c r="G2386">
        <f t="shared" si="84"/>
        <v>-3.324934554118892E-2</v>
      </c>
    </row>
    <row r="2387" spans="1:38" x14ac:dyDescent="0.35">
      <c r="A2387" t="s">
        <v>129</v>
      </c>
      <c r="E2387">
        <v>1.1544512588576457E-3</v>
      </c>
      <c r="F2387">
        <f t="shared" si="85"/>
        <v>-1.9423572733238807E-2</v>
      </c>
      <c r="G2387">
        <f t="shared" si="84"/>
        <v>-3.324934554118892E-2</v>
      </c>
    </row>
    <row r="2388" spans="1:38" x14ac:dyDescent="0.35">
      <c r="A2388" t="s">
        <v>130</v>
      </c>
      <c r="B2388" s="3" cm="1">
        <f t="array" ref="B2388">_xlfn.STDEV.S(_xlfn._xlws.FILTER($E$2013:$E$3011, $A$2013:$A$3011="2019-08"))</f>
        <v>1.3829807143936331E-2</v>
      </c>
      <c r="C2388" s="3" cm="1">
        <f t="array" ref="C2388">AVERAGE(_xlfn._xlws.FILTER($E$2013:$E$3011, $A$2013:$A$3011="2019-08"))</f>
        <v>-5.8155961770976902E-4</v>
      </c>
      <c r="D2388" s="3" cm="1">
        <f t="array" ref="D2388">_xlfn.PERCENTILE.EXC(_xlfn._xlws.FILTER($E$1498:$E$2489, $A$1498:$A$2489="2019-08"), 0.05)</f>
        <v>-3.2554201915853863E-2</v>
      </c>
      <c r="E2388">
        <v>6.6639314696693161E-3</v>
      </c>
      <c r="F2388">
        <f t="shared" si="85"/>
        <v>-1.942732938386775E-2</v>
      </c>
      <c r="G2388">
        <f t="shared" si="84"/>
        <v>-3.324934554118892E-2</v>
      </c>
      <c r="AI2388" s="3"/>
      <c r="AJ2388" s="3"/>
      <c r="AK2388" s="3"/>
      <c r="AL2388" s="3"/>
    </row>
    <row r="2389" spans="1:38" x14ac:dyDescent="0.35">
      <c r="A2389" t="s">
        <v>130</v>
      </c>
      <c r="E2389">
        <v>-3.3183211040231246E-2</v>
      </c>
      <c r="F2389">
        <f t="shared" si="85"/>
        <v>-1.9431086034496694E-2</v>
      </c>
      <c r="G2389">
        <f t="shared" si="84"/>
        <v>-3.324934554118892E-2</v>
      </c>
    </row>
    <row r="2390" spans="1:38" x14ac:dyDescent="0.35">
      <c r="A2390" t="s">
        <v>130</v>
      </c>
      <c r="E2390">
        <v>-1.9498004433125236E-2</v>
      </c>
      <c r="F2390">
        <f t="shared" si="85"/>
        <v>-1.9387966980185148E-2</v>
      </c>
      <c r="G2390">
        <f t="shared" si="84"/>
        <v>-3.3055177444549555E-2</v>
      </c>
    </row>
    <row r="2391" spans="1:38" x14ac:dyDescent="0.35">
      <c r="A2391" t="s">
        <v>130</v>
      </c>
      <c r="E2391">
        <v>-5.8371198920036073E-3</v>
      </c>
      <c r="F2391">
        <f t="shared" si="85"/>
        <v>-1.9372684716459861E-2</v>
      </c>
      <c r="G2391">
        <f t="shared" si="84"/>
        <v>-3.3053496505794748E-2</v>
      </c>
    </row>
    <row r="2392" spans="1:38" x14ac:dyDescent="0.35">
      <c r="A2392" t="s">
        <v>130</v>
      </c>
      <c r="E2392">
        <v>5.5531714358023083E-3</v>
      </c>
      <c r="F2392">
        <f t="shared" si="85"/>
        <v>-1.9373348390356999E-2</v>
      </c>
      <c r="G2392">
        <f t="shared" si="84"/>
        <v>-3.3053496505794748E-2</v>
      </c>
    </row>
    <row r="2393" spans="1:38" x14ac:dyDescent="0.35">
      <c r="A2393" t="s">
        <v>130</v>
      </c>
      <c r="E2393">
        <v>1.9562742342643977E-2</v>
      </c>
      <c r="F2393">
        <f t="shared" si="85"/>
        <v>-1.9374012064254136E-2</v>
      </c>
      <c r="G2393">
        <f t="shared" si="84"/>
        <v>-3.3053496505794748E-2</v>
      </c>
    </row>
    <row r="2394" spans="1:38" x14ac:dyDescent="0.35">
      <c r="A2394" t="s">
        <v>130</v>
      </c>
      <c r="E2394">
        <v>-1.2413113694474389E-2</v>
      </c>
      <c r="F2394">
        <f t="shared" si="85"/>
        <v>-1.9374675738151274E-2</v>
      </c>
      <c r="G2394">
        <f t="shared" si="84"/>
        <v>-3.3053496505794748E-2</v>
      </c>
    </row>
    <row r="2395" spans="1:38" x14ac:dyDescent="0.35">
      <c r="A2395" t="s">
        <v>130</v>
      </c>
      <c r="E2395">
        <v>-2.1590659845305486E-3</v>
      </c>
      <c r="F2395">
        <f t="shared" si="85"/>
        <v>-1.9375339412048411E-2</v>
      </c>
      <c r="G2395">
        <f t="shared" si="84"/>
        <v>-3.3053496505794748E-2</v>
      </c>
    </row>
    <row r="2396" spans="1:38" x14ac:dyDescent="0.35">
      <c r="A2396" t="s">
        <v>130</v>
      </c>
      <c r="E2396">
        <v>9.1596475647304568E-3</v>
      </c>
      <c r="F2396">
        <f t="shared" si="85"/>
        <v>-1.9376003085945549E-2</v>
      </c>
      <c r="G2396">
        <f t="shared" si="84"/>
        <v>-3.3053496505794748E-2</v>
      </c>
    </row>
    <row r="2397" spans="1:38" x14ac:dyDescent="0.35">
      <c r="A2397" t="s">
        <v>130</v>
      </c>
      <c r="E2397">
        <v>-2.0603028552683551E-2</v>
      </c>
      <c r="F2397">
        <f t="shared" si="85"/>
        <v>-1.9376666759842686E-2</v>
      </c>
      <c r="G2397">
        <f t="shared" si="84"/>
        <v>-3.3053496505794748E-2</v>
      </c>
    </row>
    <row r="2398" spans="1:38" x14ac:dyDescent="0.35">
      <c r="A2398" t="s">
        <v>130</v>
      </c>
      <c r="E2398">
        <v>1.2203639632697409E-2</v>
      </c>
      <c r="F2398">
        <f t="shared" si="85"/>
        <v>-1.9316816534056924E-2</v>
      </c>
      <c r="G2398">
        <f t="shared" si="84"/>
        <v>-3.3036064896652603E-2</v>
      </c>
    </row>
    <row r="2399" spans="1:38" x14ac:dyDescent="0.35">
      <c r="A2399" t="s">
        <v>130</v>
      </c>
      <c r="E2399">
        <v>1.1976369846276487E-2</v>
      </c>
      <c r="F2399">
        <f t="shared" si="85"/>
        <v>-1.9341100418824139E-2</v>
      </c>
      <c r="G2399">
        <f t="shared" si="84"/>
        <v>-3.3036064896652603E-2</v>
      </c>
    </row>
    <row r="2400" spans="1:38" x14ac:dyDescent="0.35">
      <c r="A2400" t="s">
        <v>130</v>
      </c>
      <c r="E2400">
        <v>-5.6433591944031513E-3</v>
      </c>
      <c r="F2400">
        <f t="shared" si="85"/>
        <v>-1.9365384303591346E-2</v>
      </c>
      <c r="G2400">
        <f t="shared" si="84"/>
        <v>-3.3036064896652603E-2</v>
      </c>
    </row>
    <row r="2401" spans="1:38" x14ac:dyDescent="0.35">
      <c r="A2401" t="s">
        <v>130</v>
      </c>
      <c r="E2401">
        <v>1.3242359700018814E-2</v>
      </c>
      <c r="F2401">
        <f t="shared" si="85"/>
        <v>-1.9366047977488483E-2</v>
      </c>
      <c r="G2401">
        <f t="shared" si="84"/>
        <v>-3.3231360333696336E-2</v>
      </c>
    </row>
    <row r="2402" spans="1:38" x14ac:dyDescent="0.35">
      <c r="A2402" t="s">
        <v>130</v>
      </c>
      <c r="E2402">
        <v>-6.270187313821376E-3</v>
      </c>
      <c r="F2402">
        <f t="shared" si="85"/>
        <v>-1.9366711651385621E-2</v>
      </c>
      <c r="G2402">
        <f t="shared" si="84"/>
        <v>-3.3231360333696336E-2</v>
      </c>
    </row>
    <row r="2403" spans="1:38" x14ac:dyDescent="0.35">
      <c r="A2403" t="s">
        <v>130</v>
      </c>
      <c r="E2403">
        <v>-1.1753406062459167E-2</v>
      </c>
      <c r="F2403">
        <f t="shared" si="85"/>
        <v>-1.9367375325282758E-2</v>
      </c>
      <c r="G2403">
        <f t="shared" si="84"/>
        <v>-3.3231360333696336E-2</v>
      </c>
    </row>
    <row r="2404" spans="1:38" x14ac:dyDescent="0.35">
      <c r="A2404" t="s">
        <v>130</v>
      </c>
      <c r="E2404">
        <v>1.0804433994813274E-2</v>
      </c>
      <c r="F2404">
        <f t="shared" si="85"/>
        <v>-1.9368038999179896E-2</v>
      </c>
      <c r="G2404">
        <f t="shared" si="84"/>
        <v>-3.3231360333696336E-2</v>
      </c>
    </row>
    <row r="2405" spans="1:38" x14ac:dyDescent="0.35">
      <c r="A2405" t="s">
        <v>130</v>
      </c>
      <c r="E2405">
        <v>-1.5113166026053206E-3</v>
      </c>
      <c r="F2405">
        <f t="shared" si="85"/>
        <v>-1.9368702673077033E-2</v>
      </c>
      <c r="G2405">
        <f t="shared" si="84"/>
        <v>-3.3231360333696336E-2</v>
      </c>
    </row>
    <row r="2406" spans="1:38" x14ac:dyDescent="0.35">
      <c r="A2406" t="s">
        <v>130</v>
      </c>
      <c r="E2406">
        <v>1.3561360666697936E-2</v>
      </c>
      <c r="F2406">
        <f t="shared" si="85"/>
        <v>-1.9369366346974171E-2</v>
      </c>
      <c r="G2406">
        <f t="shared" si="84"/>
        <v>-3.3231360333696336E-2</v>
      </c>
    </row>
    <row r="2407" spans="1:38" x14ac:dyDescent="0.35">
      <c r="A2407" t="s">
        <v>130</v>
      </c>
      <c r="E2407">
        <v>4.5129637627922279E-3</v>
      </c>
      <c r="F2407">
        <f t="shared" si="85"/>
        <v>-1.9370030020871308E-2</v>
      </c>
      <c r="G2407">
        <f t="shared" si="84"/>
        <v>-3.3231360333696336E-2</v>
      </c>
    </row>
    <row r="2408" spans="1:38" x14ac:dyDescent="0.35">
      <c r="A2408" t="s">
        <v>131</v>
      </c>
      <c r="B2408" s="3" cm="1">
        <f t="array" ref="B2408">_xlfn.STDEV.S(_xlfn._xlws.FILTER($E$2013:$E$3011, $A$2013:$A$3011="2019-09"))</f>
        <v>5.3230873781370735E-3</v>
      </c>
      <c r="C2408" s="3" cm="1">
        <f t="array" ref="C2408">AVERAGE(_xlfn._xlws.FILTER($E$2013:$E$3011, $A$2013:$A$3011="2019-09"))</f>
        <v>1.9426816169581859E-3</v>
      </c>
      <c r="D2408" s="3" cm="1">
        <f t="array" ref="D2408">_xlfn.PERCENTILE.EXC(_xlfn._xlws.FILTER($E$1498:$E$2489, $A$1498:$A$2489="2019-09"), 0.05)</f>
        <v>-9.6118063182984992E-3</v>
      </c>
      <c r="E2408">
        <v>1.6853035639358203E-3</v>
      </c>
      <c r="F2408">
        <f t="shared" si="85"/>
        <v>-1.9370693694768445E-2</v>
      </c>
      <c r="G2408">
        <f t="shared" si="84"/>
        <v>-3.3231360333696336E-2</v>
      </c>
      <c r="AI2408" s="3"/>
      <c r="AJ2408" s="3"/>
      <c r="AK2408" s="3"/>
      <c r="AL2408" s="3"/>
    </row>
    <row r="2409" spans="1:38" x14ac:dyDescent="0.35">
      <c r="A2409" t="s">
        <v>131</v>
      </c>
      <c r="E2409">
        <v>-3.4436099680172387E-3</v>
      </c>
      <c r="F2409">
        <f t="shared" si="85"/>
        <v>-1.9371357368665583E-2</v>
      </c>
      <c r="G2409">
        <f t="shared" si="84"/>
        <v>-3.3231360333696336E-2</v>
      </c>
    </row>
    <row r="2410" spans="1:38" x14ac:dyDescent="0.35">
      <c r="A2410" t="s">
        <v>131</v>
      </c>
      <c r="E2410">
        <v>8.7578798807719134E-3</v>
      </c>
      <c r="F2410">
        <f t="shared" si="85"/>
        <v>-1.937202104256272E-2</v>
      </c>
      <c r="G2410">
        <f t="shared" si="84"/>
        <v>-3.3231360333696336E-2</v>
      </c>
    </row>
    <row r="2411" spans="1:38" x14ac:dyDescent="0.35">
      <c r="A2411" t="s">
        <v>131</v>
      </c>
      <c r="E2411">
        <v>9.7671754745859846E-3</v>
      </c>
      <c r="F2411">
        <f t="shared" si="85"/>
        <v>-1.9372684716459861E-2</v>
      </c>
      <c r="G2411">
        <f t="shared" si="84"/>
        <v>-3.3231360333696336E-2</v>
      </c>
    </row>
    <row r="2412" spans="1:38" x14ac:dyDescent="0.35">
      <c r="A2412" t="s">
        <v>131</v>
      </c>
      <c r="E2412">
        <v>3.0057802910493274E-3</v>
      </c>
      <c r="F2412">
        <f t="shared" si="85"/>
        <v>-1.9373348390356999E-2</v>
      </c>
      <c r="G2412">
        <f t="shared" si="84"/>
        <v>-3.3231360333696336E-2</v>
      </c>
    </row>
    <row r="2413" spans="1:38" x14ac:dyDescent="0.35">
      <c r="A2413" t="s">
        <v>131</v>
      </c>
      <c r="E2413">
        <v>-4.8639454332152567E-5</v>
      </c>
      <c r="F2413">
        <f t="shared" si="85"/>
        <v>-1.9374012064254136E-2</v>
      </c>
      <c r="G2413">
        <f t="shared" si="84"/>
        <v>-3.3231360333696336E-2</v>
      </c>
    </row>
    <row r="2414" spans="1:38" x14ac:dyDescent="0.35">
      <c r="A2414" t="s">
        <v>131</v>
      </c>
      <c r="E2414">
        <v>1.1352572919915765E-3</v>
      </c>
      <c r="F2414">
        <f t="shared" si="85"/>
        <v>-1.9374675738151274E-2</v>
      </c>
      <c r="G2414">
        <f t="shared" si="84"/>
        <v>-3.3231360333696336E-2</v>
      </c>
    </row>
    <row r="2415" spans="1:38" x14ac:dyDescent="0.35">
      <c r="A2415" t="s">
        <v>131</v>
      </c>
      <c r="E2415">
        <v>5.0828167771155433E-3</v>
      </c>
      <c r="F2415">
        <f t="shared" si="85"/>
        <v>-1.9375339412048411E-2</v>
      </c>
      <c r="G2415">
        <f t="shared" si="84"/>
        <v>-3.3231360333696336E-2</v>
      </c>
    </row>
    <row r="2416" spans="1:38" x14ac:dyDescent="0.35">
      <c r="A2416" t="s">
        <v>131</v>
      </c>
      <c r="E2416">
        <v>6.2474691841617677E-3</v>
      </c>
      <c r="F2416">
        <f t="shared" si="85"/>
        <v>-1.9376003085945549E-2</v>
      </c>
      <c r="G2416">
        <f t="shared" si="84"/>
        <v>-3.3231360333696336E-2</v>
      </c>
    </row>
    <row r="2417" spans="1:38" x14ac:dyDescent="0.35">
      <c r="A2417" t="s">
        <v>131</v>
      </c>
      <c r="E2417">
        <v>3.173947539436681E-3</v>
      </c>
      <c r="F2417">
        <f t="shared" si="85"/>
        <v>-1.9376666759842686E-2</v>
      </c>
      <c r="G2417">
        <f t="shared" si="84"/>
        <v>-3.3231360333696336E-2</v>
      </c>
    </row>
    <row r="2418" spans="1:38" x14ac:dyDescent="0.35">
      <c r="A2418" t="s">
        <v>131</v>
      </c>
      <c r="E2418">
        <v>-8.9580372003773487E-3</v>
      </c>
      <c r="F2418">
        <f t="shared" si="85"/>
        <v>-1.9377330433739823E-2</v>
      </c>
      <c r="G2418">
        <f t="shared" si="84"/>
        <v>-3.3231360333696336E-2</v>
      </c>
    </row>
    <row r="2419" spans="1:38" x14ac:dyDescent="0.35">
      <c r="A2419" t="s">
        <v>131</v>
      </c>
      <c r="E2419">
        <v>7.9832838262981862E-4</v>
      </c>
      <c r="F2419">
        <f t="shared" si="85"/>
        <v>-1.9377994107636961E-2</v>
      </c>
      <c r="G2419">
        <f t="shared" si="84"/>
        <v>-3.3231360333696336E-2</v>
      </c>
    </row>
    <row r="2420" spans="1:38" x14ac:dyDescent="0.35">
      <c r="A2420" t="s">
        <v>131</v>
      </c>
      <c r="E2420">
        <v>1.923595843736113E-3</v>
      </c>
      <c r="F2420">
        <f t="shared" si="85"/>
        <v>-1.9378657781534098E-2</v>
      </c>
      <c r="G2420">
        <f t="shared" si="84"/>
        <v>-3.3231360333696336E-2</v>
      </c>
    </row>
    <row r="2421" spans="1:38" x14ac:dyDescent="0.35">
      <c r="A2421" t="s">
        <v>131</v>
      </c>
      <c r="E2421">
        <v>6.9513279350334198E-3</v>
      </c>
      <c r="F2421">
        <f t="shared" si="85"/>
        <v>-1.9379588701399202E-2</v>
      </c>
      <c r="G2421">
        <f t="shared" si="84"/>
        <v>-3.3432124138800139E-2</v>
      </c>
    </row>
    <row r="2422" spans="1:38" x14ac:dyDescent="0.35">
      <c r="A2422" t="s">
        <v>131</v>
      </c>
      <c r="E2422">
        <v>5.2610718707811945E-3</v>
      </c>
      <c r="F2422">
        <f t="shared" si="85"/>
        <v>-1.9380519621264306E-2</v>
      </c>
      <c r="G2422">
        <f t="shared" si="84"/>
        <v>-3.3432124138800139E-2</v>
      </c>
    </row>
    <row r="2423" spans="1:38" x14ac:dyDescent="0.35">
      <c r="A2423" t="s">
        <v>131</v>
      </c>
      <c r="E2423">
        <v>-9.68444733140085E-3</v>
      </c>
      <c r="F2423">
        <f t="shared" si="85"/>
        <v>-1.9381450541129414E-2</v>
      </c>
      <c r="G2423">
        <f t="shared" si="84"/>
        <v>-3.3432124138800139E-2</v>
      </c>
    </row>
    <row r="2424" spans="1:38" x14ac:dyDescent="0.35">
      <c r="A2424" t="s">
        <v>131</v>
      </c>
      <c r="E2424">
        <v>-1.3919894962611031E-3</v>
      </c>
      <c r="F2424">
        <f t="shared" si="85"/>
        <v>-1.9382381460994517E-2</v>
      </c>
      <c r="G2424">
        <f t="shared" si="84"/>
        <v>-3.3432124138800139E-2</v>
      </c>
    </row>
    <row r="2425" spans="1:38" x14ac:dyDescent="0.35">
      <c r="A2425" t="s">
        <v>131</v>
      </c>
      <c r="E2425">
        <v>-5.3995259700283299E-3</v>
      </c>
      <c r="F2425">
        <f t="shared" si="85"/>
        <v>-1.9383312380859621E-2</v>
      </c>
      <c r="G2425">
        <f t="shared" si="84"/>
        <v>-3.3432124138800139E-2</v>
      </c>
    </row>
    <row r="2426" spans="1:38" x14ac:dyDescent="0.35">
      <c r="A2426" t="s">
        <v>131</v>
      </c>
      <c r="E2426">
        <v>5.4363311136926724E-3</v>
      </c>
      <c r="F2426">
        <f t="shared" si="85"/>
        <v>-1.9384243300724725E-2</v>
      </c>
      <c r="G2426">
        <f t="shared" si="84"/>
        <v>-3.3432124138800139E-2</v>
      </c>
    </row>
    <row r="2427" spans="1:38" x14ac:dyDescent="0.35">
      <c r="A2427" t="s">
        <v>131</v>
      </c>
      <c r="E2427">
        <v>3.8711220612823532E-3</v>
      </c>
      <c r="F2427">
        <f t="shared" si="85"/>
        <v>-1.9385174220589833E-2</v>
      </c>
      <c r="G2427">
        <f t="shared" si="84"/>
        <v>-3.3432124138800139E-2</v>
      </c>
    </row>
    <row r="2428" spans="1:38" x14ac:dyDescent="0.35">
      <c r="A2428" t="s">
        <v>131</v>
      </c>
      <c r="E2428">
        <v>6.6251561663347473E-3</v>
      </c>
      <c r="F2428">
        <f t="shared" si="85"/>
        <v>-1.9386105140454937E-2</v>
      </c>
      <c r="G2428">
        <f t="shared" si="84"/>
        <v>-3.3432124138800139E-2</v>
      </c>
    </row>
    <row r="2429" spans="1:38" x14ac:dyDescent="0.35">
      <c r="A2429" t="s">
        <v>132</v>
      </c>
      <c r="B2429" s="3" cm="1">
        <f t="array" ref="B2429">_xlfn.STDEV.S(_xlfn._xlws.FILTER($E$2013:$E$3011, $A$2013:$A$3011="2019-10"))</f>
        <v>1.0357617872880155E-2</v>
      </c>
      <c r="C2429" s="3" cm="1">
        <f t="array" ref="C2429">AVERAGE(_xlfn._xlws.FILTER($E$2013:$E$3011, $A$2013:$A$3011="2019-10"))</f>
        <v>4.4302606652592692E-4</v>
      </c>
      <c r="D2429" s="3" cm="1">
        <f t="array" ref="D2429">_xlfn.PERCENTILE.EXC(_xlfn._xlws.FILTER($E$1498:$E$2489, $A$1498:$A$2489="2019-10"), 0.05)</f>
        <v>-2.790620243587718E-2</v>
      </c>
      <c r="E2429">
        <v>-1.4447815403646579E-2</v>
      </c>
      <c r="F2429">
        <f t="shared" si="85"/>
        <v>-1.938703606032004E-2</v>
      </c>
      <c r="G2429">
        <f t="shared" si="84"/>
        <v>-3.3432124138800139E-2</v>
      </c>
      <c r="AI2429" s="3"/>
      <c r="AJ2429" s="3"/>
      <c r="AK2429" s="3"/>
      <c r="AL2429" s="3"/>
    </row>
    <row r="2430" spans="1:38" x14ac:dyDescent="0.35">
      <c r="A2430" t="s">
        <v>132</v>
      </c>
      <c r="E2430">
        <v>-3.0281211912153171E-2</v>
      </c>
      <c r="F2430">
        <f t="shared" si="85"/>
        <v>-1.9387966980185148E-2</v>
      </c>
      <c r="G2430">
        <f t="shared" si="84"/>
        <v>-3.3432124138800139E-2</v>
      </c>
    </row>
    <row r="2431" spans="1:38" x14ac:dyDescent="0.35">
      <c r="A2431" t="s">
        <v>132</v>
      </c>
      <c r="E2431">
        <v>9.7376578846020603E-3</v>
      </c>
      <c r="F2431">
        <f t="shared" si="85"/>
        <v>-1.9372684716459861E-2</v>
      </c>
      <c r="G2431">
        <f t="shared" si="84"/>
        <v>-3.3274116107921602E-2</v>
      </c>
    </row>
    <row r="2432" spans="1:38" x14ac:dyDescent="0.35">
      <c r="A2432" t="s">
        <v>132</v>
      </c>
      <c r="E2432">
        <v>7.0917259611078254E-3</v>
      </c>
      <c r="F2432">
        <f t="shared" si="85"/>
        <v>-1.9373348390356999E-2</v>
      </c>
      <c r="G2432">
        <f t="shared" si="84"/>
        <v>-3.3274116107921602E-2</v>
      </c>
    </row>
    <row r="2433" spans="1:7" x14ac:dyDescent="0.35">
      <c r="A2433" t="s">
        <v>132</v>
      </c>
      <c r="E2433">
        <v>-1.1147276496309616E-2</v>
      </c>
      <c r="F2433">
        <f t="shared" si="85"/>
        <v>-1.9374012064254136E-2</v>
      </c>
      <c r="G2433">
        <f t="shared" si="84"/>
        <v>-3.3274116107921602E-2</v>
      </c>
    </row>
    <row r="2434" spans="1:7" x14ac:dyDescent="0.35">
      <c r="A2434" t="s">
        <v>132</v>
      </c>
      <c r="E2434">
        <v>8.5136274587676655E-3</v>
      </c>
      <c r="F2434">
        <f t="shared" si="85"/>
        <v>-1.9374675738151274E-2</v>
      </c>
      <c r="G2434">
        <f t="shared" si="84"/>
        <v>-3.3274116107921602E-2</v>
      </c>
    </row>
    <row r="2435" spans="1:7" x14ac:dyDescent="0.35">
      <c r="A2435" t="s">
        <v>132</v>
      </c>
      <c r="E2435">
        <v>9.1575336588699124E-3</v>
      </c>
      <c r="F2435">
        <f t="shared" si="85"/>
        <v>-1.9375339412048411E-2</v>
      </c>
      <c r="G2435">
        <f t="shared" ref="G2435:G2498" si="86">AVERAGEIFS(E2435:E6251,E2435:E6251,"&lt;=" &amp; F2435)</f>
        <v>-3.3274116107921602E-2</v>
      </c>
    </row>
    <row r="2436" spans="1:7" x14ac:dyDescent="0.35">
      <c r="A2436" t="s">
        <v>132</v>
      </c>
      <c r="E2436">
        <v>2.1507423127453032E-2</v>
      </c>
      <c r="F2436">
        <f t="shared" ref="F2436:F2499" si="87">_xlfn.PERCENTILE.EXC(E2436:E6251,0.05)</f>
        <v>-1.9376003085945549E-2</v>
      </c>
      <c r="G2436">
        <f t="shared" si="86"/>
        <v>-3.3274116107921602E-2</v>
      </c>
    </row>
    <row r="2437" spans="1:7" x14ac:dyDescent="0.35">
      <c r="A2437" t="s">
        <v>132</v>
      </c>
      <c r="E2437">
        <v>-3.8337557375363158E-3</v>
      </c>
      <c r="F2437">
        <f t="shared" si="87"/>
        <v>-1.9376666759842686E-2</v>
      </c>
      <c r="G2437">
        <f t="shared" si="86"/>
        <v>-3.3274116107921602E-2</v>
      </c>
    </row>
    <row r="2438" spans="1:7" x14ac:dyDescent="0.35">
      <c r="A2438" t="s">
        <v>132</v>
      </c>
      <c r="E2438">
        <v>1.1849344292639861E-2</v>
      </c>
      <c r="F2438">
        <f t="shared" si="87"/>
        <v>-1.9377330433739823E-2</v>
      </c>
      <c r="G2438">
        <f t="shared" si="86"/>
        <v>-3.3274116107921602E-2</v>
      </c>
    </row>
    <row r="2439" spans="1:7" x14ac:dyDescent="0.35">
      <c r="A2439" t="s">
        <v>132</v>
      </c>
      <c r="E2439">
        <v>1.6671529234618278E-4</v>
      </c>
      <c r="F2439">
        <f t="shared" si="87"/>
        <v>-1.9377994107636961E-2</v>
      </c>
      <c r="G2439">
        <f t="shared" si="86"/>
        <v>-3.3274116107921602E-2</v>
      </c>
    </row>
    <row r="2440" spans="1:7" x14ac:dyDescent="0.35">
      <c r="A2440" t="s">
        <v>132</v>
      </c>
      <c r="E2440">
        <v>-2.9577629393935803E-3</v>
      </c>
      <c r="F2440">
        <f t="shared" si="87"/>
        <v>-1.9378657781534098E-2</v>
      </c>
      <c r="G2440">
        <f t="shared" si="86"/>
        <v>-3.3274116107921602E-2</v>
      </c>
    </row>
    <row r="2441" spans="1:7" x14ac:dyDescent="0.35">
      <c r="A2441" t="s">
        <v>132</v>
      </c>
      <c r="E2441">
        <v>-2.569745123347619E-3</v>
      </c>
      <c r="F2441">
        <f t="shared" si="87"/>
        <v>-1.9379588701399202E-2</v>
      </c>
      <c r="G2441">
        <f t="shared" si="86"/>
        <v>-3.3478461083309652E-2</v>
      </c>
    </row>
    <row r="2442" spans="1:7" x14ac:dyDescent="0.35">
      <c r="A2442" t="s">
        <v>132</v>
      </c>
      <c r="E2442">
        <v>5.7580850757901645E-3</v>
      </c>
      <c r="F2442">
        <f t="shared" si="87"/>
        <v>-1.9380519621264306E-2</v>
      </c>
      <c r="G2442">
        <f t="shared" si="86"/>
        <v>-3.3478461083309652E-2</v>
      </c>
    </row>
    <row r="2443" spans="1:7" x14ac:dyDescent="0.35">
      <c r="A2443" t="s">
        <v>132</v>
      </c>
      <c r="E2443">
        <v>1.315771401087053E-3</v>
      </c>
      <c r="F2443">
        <f t="shared" si="87"/>
        <v>-1.9381450541129414E-2</v>
      </c>
      <c r="G2443">
        <f t="shared" si="86"/>
        <v>-3.3478461083309652E-2</v>
      </c>
    </row>
    <row r="2444" spans="1:7" x14ac:dyDescent="0.35">
      <c r="A2444" t="s">
        <v>132</v>
      </c>
      <c r="E2444">
        <v>5.7406636064050664E-4</v>
      </c>
      <c r="F2444">
        <f t="shared" si="87"/>
        <v>-1.9382381460994517E-2</v>
      </c>
      <c r="G2444">
        <f t="shared" si="86"/>
        <v>-3.3478461083309652E-2</v>
      </c>
    </row>
    <row r="2445" spans="1:7" x14ac:dyDescent="0.35">
      <c r="A2445" t="s">
        <v>132</v>
      </c>
      <c r="E2445">
        <v>4.0065020819613929E-3</v>
      </c>
      <c r="F2445">
        <f t="shared" si="87"/>
        <v>-1.9383312380859621E-2</v>
      </c>
      <c r="G2445">
        <f t="shared" si="86"/>
        <v>-3.3478461083309652E-2</v>
      </c>
    </row>
    <row r="2446" spans="1:7" x14ac:dyDescent="0.35">
      <c r="A2446" t="s">
        <v>132</v>
      </c>
      <c r="E2446">
        <v>9.1360126696030369E-4</v>
      </c>
      <c r="F2446">
        <f t="shared" si="87"/>
        <v>-1.9384243300724725E-2</v>
      </c>
      <c r="G2446">
        <f t="shared" si="86"/>
        <v>-3.3478461083309652E-2</v>
      </c>
    </row>
    <row r="2447" spans="1:7" x14ac:dyDescent="0.35">
      <c r="A2447" t="s">
        <v>132</v>
      </c>
      <c r="E2447">
        <v>2.7860647292031514E-4</v>
      </c>
      <c r="F2447">
        <f t="shared" si="87"/>
        <v>-1.9385174220589833E-2</v>
      </c>
      <c r="G2447">
        <f t="shared" si="86"/>
        <v>-3.3478461083309652E-2</v>
      </c>
    </row>
    <row r="2448" spans="1:7" x14ac:dyDescent="0.35">
      <c r="A2448" t="s">
        <v>132</v>
      </c>
      <c r="E2448">
        <v>-9.9340771824136002E-4</v>
      </c>
      <c r="F2448">
        <f t="shared" si="87"/>
        <v>-1.9386105140454937E-2</v>
      </c>
      <c r="G2448">
        <f t="shared" si="86"/>
        <v>-3.3478461083309652E-2</v>
      </c>
    </row>
    <row r="2449" spans="1:38" x14ac:dyDescent="0.35">
      <c r="A2449" t="s">
        <v>132</v>
      </c>
      <c r="E2449">
        <v>-4.9707417646202318E-4</v>
      </c>
      <c r="F2449">
        <f t="shared" si="87"/>
        <v>-1.938703606032004E-2</v>
      </c>
      <c r="G2449">
        <f t="shared" si="86"/>
        <v>-3.3478461083309652E-2</v>
      </c>
    </row>
    <row r="2450" spans="1:38" x14ac:dyDescent="0.35">
      <c r="A2450" t="s">
        <v>132</v>
      </c>
      <c r="E2450">
        <v>-4.396037364485619E-3</v>
      </c>
      <c r="F2450">
        <f t="shared" si="87"/>
        <v>-1.9387966980185148E-2</v>
      </c>
      <c r="G2450">
        <f t="shared" si="86"/>
        <v>-3.3478461083309652E-2</v>
      </c>
    </row>
    <row r="2451" spans="1:38" x14ac:dyDescent="0.35">
      <c r="A2451" t="s">
        <v>133</v>
      </c>
      <c r="B2451" s="3" cm="1">
        <f t="array" ref="B2451">_xlfn.STDEV.S(_xlfn._xlws.FILTER($E$2013:$E$3011, $A$2013:$A$3011="2019-11"))</f>
        <v>3.9499568717088372E-3</v>
      </c>
      <c r="C2451" s="3" cm="1">
        <f t="array" ref="C2451">AVERAGE(_xlfn._xlws.FILTER($E$2013:$E$3011, $A$2013:$A$3011="2019-11"))</f>
        <v>1.2924677935339519E-3</v>
      </c>
      <c r="D2451" s="3" cm="1">
        <f t="array" ref="D2451">_xlfn.PERCENTILE.EXC(_xlfn._xlws.FILTER($E$1498:$E$2489, $A$1498:$A$2489="2019-11"), 0.05)</f>
        <v>-3.4352033328883614E-3</v>
      </c>
      <c r="E2451">
        <v>5.3485459158971686E-3</v>
      </c>
      <c r="F2451">
        <f t="shared" si="87"/>
        <v>-1.9388897900050252E-2</v>
      </c>
      <c r="G2451">
        <f t="shared" si="86"/>
        <v>-3.3478461083309652E-2</v>
      </c>
      <c r="AI2451" s="3"/>
      <c r="AJ2451" s="3"/>
      <c r="AK2451" s="3"/>
      <c r="AL2451" s="3"/>
    </row>
    <row r="2452" spans="1:38" x14ac:dyDescent="0.35">
      <c r="A2452" t="s">
        <v>133</v>
      </c>
      <c r="E2452">
        <v>1.1378990791617737E-2</v>
      </c>
      <c r="F2452">
        <f t="shared" si="87"/>
        <v>-1.9389828819915356E-2</v>
      </c>
      <c r="G2452">
        <f t="shared" si="86"/>
        <v>-3.3478461083309652E-2</v>
      </c>
    </row>
    <row r="2453" spans="1:38" x14ac:dyDescent="0.35">
      <c r="A2453" t="s">
        <v>133</v>
      </c>
      <c r="E2453">
        <v>3.0810201265517941E-3</v>
      </c>
      <c r="F2453">
        <f t="shared" si="87"/>
        <v>-1.939075973978046E-2</v>
      </c>
      <c r="G2453">
        <f t="shared" si="86"/>
        <v>-3.3478461083309652E-2</v>
      </c>
    </row>
    <row r="2454" spans="1:38" x14ac:dyDescent="0.35">
      <c r="A2454" t="s">
        <v>133</v>
      </c>
      <c r="E2454">
        <v>3.3182837300715661E-3</v>
      </c>
      <c r="F2454">
        <f t="shared" si="87"/>
        <v>-1.9391690659645567E-2</v>
      </c>
      <c r="G2454">
        <f t="shared" si="86"/>
        <v>-3.3478461083309652E-2</v>
      </c>
    </row>
    <row r="2455" spans="1:38" x14ac:dyDescent="0.35">
      <c r="A2455" t="s">
        <v>133</v>
      </c>
      <c r="E2455">
        <v>4.8516609442639715E-3</v>
      </c>
      <c r="F2455">
        <f t="shared" si="87"/>
        <v>-1.9392621579510671E-2</v>
      </c>
      <c r="G2455">
        <f t="shared" si="86"/>
        <v>-3.3478461083309652E-2</v>
      </c>
    </row>
    <row r="2456" spans="1:38" x14ac:dyDescent="0.35">
      <c r="A2456" t="s">
        <v>133</v>
      </c>
      <c r="E2456">
        <v>-1.8983766889258012E-3</v>
      </c>
      <c r="F2456">
        <f t="shared" si="87"/>
        <v>-1.9393552499375775E-2</v>
      </c>
      <c r="G2456">
        <f t="shared" si="86"/>
        <v>-3.3478461083309652E-2</v>
      </c>
    </row>
    <row r="2457" spans="1:38" x14ac:dyDescent="0.35">
      <c r="A2457" t="s">
        <v>133</v>
      </c>
      <c r="E2457">
        <v>-7.6522993755090798E-4</v>
      </c>
      <c r="F2457">
        <f t="shared" si="87"/>
        <v>-1.9394483419240879E-2</v>
      </c>
      <c r="G2457">
        <f t="shared" si="86"/>
        <v>-3.3478461083309652E-2</v>
      </c>
    </row>
    <row r="2458" spans="1:38" x14ac:dyDescent="0.35">
      <c r="A2458" t="s">
        <v>133</v>
      </c>
      <c r="E2458">
        <v>4.1517021391786349E-3</v>
      </c>
      <c r="F2458">
        <f t="shared" si="87"/>
        <v>-1.9395414339105983E-2</v>
      </c>
      <c r="G2458">
        <f t="shared" si="86"/>
        <v>-3.3478461083309652E-2</v>
      </c>
    </row>
    <row r="2459" spans="1:38" x14ac:dyDescent="0.35">
      <c r="A2459" t="s">
        <v>133</v>
      </c>
      <c r="E2459">
        <v>-3.4270173993924138E-3</v>
      </c>
      <c r="F2459">
        <f t="shared" si="87"/>
        <v>-1.939634525897109E-2</v>
      </c>
      <c r="G2459">
        <f t="shared" si="86"/>
        <v>-3.3478461083309652E-2</v>
      </c>
    </row>
    <row r="2460" spans="1:38" x14ac:dyDescent="0.35">
      <c r="A2460" t="s">
        <v>133</v>
      </c>
      <c r="E2460">
        <v>-2.8937625680877689E-3</v>
      </c>
      <c r="F2460">
        <f t="shared" si="87"/>
        <v>-1.9397276178836194E-2</v>
      </c>
      <c r="G2460">
        <f t="shared" si="86"/>
        <v>-3.3478461083309652E-2</v>
      </c>
    </row>
    <row r="2461" spans="1:38" x14ac:dyDescent="0.35">
      <c r="A2461" t="s">
        <v>133</v>
      </c>
      <c r="E2461">
        <v>6.1618319337234349E-3</v>
      </c>
      <c r="F2461">
        <f t="shared" si="87"/>
        <v>-1.9401032829465138E-2</v>
      </c>
      <c r="G2461">
        <f t="shared" si="86"/>
        <v>-3.3688628022182386E-2</v>
      </c>
    </row>
    <row r="2462" spans="1:38" x14ac:dyDescent="0.35">
      <c r="A2462" t="s">
        <v>133</v>
      </c>
      <c r="E2462">
        <v>-1.8040786768192285E-3</v>
      </c>
      <c r="F2462">
        <f t="shared" si="87"/>
        <v>-1.9404789480094081E-2</v>
      </c>
      <c r="G2462">
        <f t="shared" si="86"/>
        <v>-3.3688628022182386E-2</v>
      </c>
    </row>
    <row r="2463" spans="1:38" x14ac:dyDescent="0.35">
      <c r="A2463" t="s">
        <v>133</v>
      </c>
      <c r="E2463">
        <v>-2.2590086185934285E-3</v>
      </c>
      <c r="F2463">
        <f t="shared" si="87"/>
        <v>-1.9408546130723028E-2</v>
      </c>
      <c r="G2463">
        <f t="shared" si="86"/>
        <v>-3.3688628022182386E-2</v>
      </c>
    </row>
    <row r="2464" spans="1:38" x14ac:dyDescent="0.35">
      <c r="A2464" t="s">
        <v>133</v>
      </c>
      <c r="E2464">
        <v>-3.4361128810545777E-3</v>
      </c>
      <c r="F2464">
        <f t="shared" si="87"/>
        <v>-1.9412302781351972E-2</v>
      </c>
      <c r="G2464">
        <f t="shared" si="86"/>
        <v>-3.3688628022182386E-2</v>
      </c>
    </row>
    <row r="2465" spans="1:38" x14ac:dyDescent="0.35">
      <c r="A2465" t="s">
        <v>133</v>
      </c>
      <c r="E2465">
        <v>-1.1461879644847773E-3</v>
      </c>
      <c r="F2465">
        <f t="shared" si="87"/>
        <v>-1.9416059431980916E-2</v>
      </c>
      <c r="G2465">
        <f t="shared" si="86"/>
        <v>-3.3688628022182386E-2</v>
      </c>
    </row>
    <row r="2466" spans="1:38" x14ac:dyDescent="0.35">
      <c r="A2466" t="s">
        <v>133</v>
      </c>
      <c r="E2466">
        <v>2.0795503070434721E-3</v>
      </c>
      <c r="F2466">
        <f t="shared" si="87"/>
        <v>-1.9419816082609859E-2</v>
      </c>
      <c r="G2466">
        <f t="shared" si="86"/>
        <v>-3.3688628022182386E-2</v>
      </c>
    </row>
    <row r="2467" spans="1:38" x14ac:dyDescent="0.35">
      <c r="A2467" t="s">
        <v>133</v>
      </c>
      <c r="E2467">
        <v>5.5064371722378831E-3</v>
      </c>
      <c r="F2467">
        <f t="shared" si="87"/>
        <v>-1.9423572733238807E-2</v>
      </c>
      <c r="G2467">
        <f t="shared" si="86"/>
        <v>-3.3688628022182386E-2</v>
      </c>
    </row>
    <row r="2468" spans="1:38" x14ac:dyDescent="0.35">
      <c r="A2468" t="s">
        <v>133</v>
      </c>
      <c r="E2468">
        <v>-5.7464831351889301E-4</v>
      </c>
      <c r="F2468">
        <f t="shared" si="87"/>
        <v>-1.942732938386775E-2</v>
      </c>
      <c r="G2468">
        <f t="shared" si="86"/>
        <v>-3.3688628022182386E-2</v>
      </c>
    </row>
    <row r="2469" spans="1:38" x14ac:dyDescent="0.35">
      <c r="A2469" t="s">
        <v>133</v>
      </c>
      <c r="E2469">
        <v>1.9680800054676499E-3</v>
      </c>
      <c r="F2469">
        <f t="shared" si="87"/>
        <v>-1.9431086034496694E-2</v>
      </c>
      <c r="G2469">
        <f t="shared" si="86"/>
        <v>-3.3688628022182386E-2</v>
      </c>
    </row>
    <row r="2470" spans="1:38" x14ac:dyDescent="0.35">
      <c r="A2470" t="s">
        <v>133</v>
      </c>
      <c r="E2470">
        <v>-2.2568777586312225E-3</v>
      </c>
      <c r="F2470">
        <f t="shared" si="87"/>
        <v>-1.9434842685125638E-2</v>
      </c>
      <c r="G2470">
        <f t="shared" si="86"/>
        <v>-3.3688628022182386E-2</v>
      </c>
    </row>
    <row r="2471" spans="1:38" x14ac:dyDescent="0.35">
      <c r="A2471" t="s">
        <v>133</v>
      </c>
      <c r="E2471">
        <v>-2.429785947813093E-4</v>
      </c>
      <c r="F2471">
        <f t="shared" si="87"/>
        <v>-1.9438599335754585E-2</v>
      </c>
      <c r="G2471">
        <f t="shared" si="86"/>
        <v>-3.3688628022182386E-2</v>
      </c>
    </row>
    <row r="2472" spans="1:38" x14ac:dyDescent="0.35">
      <c r="A2472" t="s">
        <v>134</v>
      </c>
      <c r="B2472" s="3" cm="1">
        <f t="array" ref="B2472">_xlfn.STDEV.S(_xlfn._xlws.FILTER($E$2013:$E$3011, $A$2013:$A$3011="2019-12"))</f>
        <v>8.6382155475028203E-3</v>
      </c>
      <c r="C2472" s="3" cm="1">
        <f t="array" ref="C2472">AVERAGE(_xlfn._xlws.FILTER($E$2013:$E$3011, $A$2013:$A$3011="2019-12"))</f>
        <v>6.6932429453908367E-4</v>
      </c>
      <c r="D2472" s="3" cm="1">
        <f t="array" ref="D2472">_xlfn.PERCENTILE.INC(_xlfn._xlws.FILTER($E$1498:$E$2489, $A$1498:$A$2489="2019-12"), 0.05)</f>
        <v>-1.077828223056344E-2</v>
      </c>
      <c r="E2472">
        <v>-2.0987804903266669E-2</v>
      </c>
      <c r="F2472">
        <f t="shared" si="87"/>
        <v>-1.9442355986383528E-2</v>
      </c>
      <c r="G2472">
        <f t="shared" si="86"/>
        <v>-3.3688628022182386E-2</v>
      </c>
      <c r="AI2472" s="3"/>
      <c r="AJ2472" s="3"/>
      <c r="AK2472" s="3"/>
      <c r="AL2472" s="3"/>
    </row>
    <row r="2473" spans="1:38" x14ac:dyDescent="0.35">
      <c r="A2473" t="s">
        <v>134</v>
      </c>
      <c r="E2473">
        <v>-4.3301415471960741E-3</v>
      </c>
      <c r="F2473">
        <f t="shared" si="87"/>
        <v>-1.939075973978046E-2</v>
      </c>
      <c r="G2473">
        <f t="shared" si="86"/>
        <v>-3.3664888787489397E-2</v>
      </c>
    </row>
    <row r="2474" spans="1:38" x14ac:dyDescent="0.35">
      <c r="A2474" t="s">
        <v>134</v>
      </c>
      <c r="E2474">
        <v>1.3486638903711937E-2</v>
      </c>
      <c r="F2474">
        <f t="shared" si="87"/>
        <v>-1.9391690659645567E-2</v>
      </c>
      <c r="G2474">
        <f t="shared" si="86"/>
        <v>-3.3664888787489397E-2</v>
      </c>
    </row>
    <row r="2475" spans="1:38" x14ac:dyDescent="0.35">
      <c r="A2475" t="s">
        <v>134</v>
      </c>
      <c r="E2475">
        <v>-3.2539043371676438E-3</v>
      </c>
      <c r="F2475">
        <f t="shared" si="87"/>
        <v>-1.9392621579510671E-2</v>
      </c>
      <c r="G2475">
        <f t="shared" si="86"/>
        <v>-3.3664888787489397E-2</v>
      </c>
    </row>
    <row r="2476" spans="1:38" x14ac:dyDescent="0.35">
      <c r="A2476" t="s">
        <v>134</v>
      </c>
      <c r="E2476">
        <v>1.2045695866021916E-2</v>
      </c>
      <c r="F2476">
        <f t="shared" si="87"/>
        <v>-1.9393552499375775E-2</v>
      </c>
      <c r="G2476">
        <f t="shared" si="86"/>
        <v>-3.3664888787489397E-2</v>
      </c>
    </row>
    <row r="2477" spans="1:38" x14ac:dyDescent="0.35">
      <c r="A2477" t="s">
        <v>134</v>
      </c>
      <c r="E2477">
        <v>-5.474912243407749E-3</v>
      </c>
      <c r="F2477">
        <f t="shared" si="87"/>
        <v>-1.9394483419240879E-2</v>
      </c>
      <c r="G2477">
        <f t="shared" si="86"/>
        <v>-3.3664888787489397E-2</v>
      </c>
    </row>
    <row r="2478" spans="1:38" x14ac:dyDescent="0.35">
      <c r="A2478" t="s">
        <v>134</v>
      </c>
      <c r="E2478">
        <v>-1.0893305529853308E-4</v>
      </c>
      <c r="F2478">
        <f t="shared" si="87"/>
        <v>-1.9395414339105983E-2</v>
      </c>
      <c r="G2478">
        <f t="shared" si="86"/>
        <v>-3.3664888787489397E-2</v>
      </c>
    </row>
    <row r="2479" spans="1:38" x14ac:dyDescent="0.35">
      <c r="A2479" t="s">
        <v>134</v>
      </c>
      <c r="E2479">
        <v>4.2586041426090036E-3</v>
      </c>
      <c r="F2479">
        <f t="shared" si="87"/>
        <v>-1.939634525897109E-2</v>
      </c>
      <c r="G2479">
        <f t="shared" si="86"/>
        <v>-3.3664888787489397E-2</v>
      </c>
    </row>
    <row r="2480" spans="1:38" x14ac:dyDescent="0.35">
      <c r="A2480" t="s">
        <v>134</v>
      </c>
      <c r="E2480">
        <v>5.1124025981828395E-3</v>
      </c>
      <c r="F2480">
        <f t="shared" si="87"/>
        <v>-1.9397276178836194E-2</v>
      </c>
      <c r="G2480">
        <f t="shared" si="86"/>
        <v>-3.3664888787489397E-2</v>
      </c>
    </row>
    <row r="2481" spans="1:38" x14ac:dyDescent="0.35">
      <c r="A2481" t="s">
        <v>134</v>
      </c>
      <c r="E2481">
        <v>6.6474909389419093E-3</v>
      </c>
      <c r="F2481">
        <f t="shared" si="87"/>
        <v>-1.9401032829465138E-2</v>
      </c>
      <c r="G2481">
        <f t="shared" si="86"/>
        <v>-3.3881064736105353E-2</v>
      </c>
    </row>
    <row r="2482" spans="1:38" x14ac:dyDescent="0.35">
      <c r="A2482" t="s">
        <v>134</v>
      </c>
      <c r="E2482">
        <v>1.1106472137467127E-2</v>
      </c>
      <c r="F2482">
        <f t="shared" si="87"/>
        <v>-1.9404789480094081E-2</v>
      </c>
      <c r="G2482">
        <f t="shared" si="86"/>
        <v>-3.3881064736105353E-2</v>
      </c>
    </row>
    <row r="2483" spans="1:38" x14ac:dyDescent="0.35">
      <c r="A2483" t="s">
        <v>134</v>
      </c>
      <c r="E2483">
        <v>-7.3051473971093026E-3</v>
      </c>
      <c r="F2483">
        <f t="shared" si="87"/>
        <v>-1.9408546130723028E-2</v>
      </c>
      <c r="G2483">
        <f t="shared" si="86"/>
        <v>-3.3881064736105353E-2</v>
      </c>
    </row>
    <row r="2484" spans="1:38" x14ac:dyDescent="0.35">
      <c r="A2484" t="s">
        <v>134</v>
      </c>
      <c r="E2484">
        <v>-1.6781845344817933E-3</v>
      </c>
      <c r="F2484">
        <f t="shared" si="87"/>
        <v>-1.9412302781351972E-2</v>
      </c>
      <c r="G2484">
        <f t="shared" si="86"/>
        <v>-3.3881064736105353E-2</v>
      </c>
    </row>
    <row r="2485" spans="1:38" x14ac:dyDescent="0.35">
      <c r="A2485" t="s">
        <v>134</v>
      </c>
      <c r="E2485">
        <v>4.5465668747675942E-5</v>
      </c>
      <c r="F2485">
        <f t="shared" si="87"/>
        <v>-1.9416059431980916E-2</v>
      </c>
      <c r="G2485">
        <f t="shared" si="86"/>
        <v>-3.3881064736105353E-2</v>
      </c>
    </row>
    <row r="2486" spans="1:38" x14ac:dyDescent="0.35">
      <c r="A2486" t="s">
        <v>134</v>
      </c>
      <c r="E2486">
        <v>9.9498807081636852E-3</v>
      </c>
      <c r="F2486">
        <f t="shared" si="87"/>
        <v>-1.9419816082609859E-2</v>
      </c>
      <c r="G2486">
        <f t="shared" si="86"/>
        <v>-3.3881064736105353E-2</v>
      </c>
    </row>
    <row r="2487" spans="1:38" x14ac:dyDescent="0.35">
      <c r="A2487" t="s">
        <v>134</v>
      </c>
      <c r="E2487">
        <v>2.6478773292857516E-5</v>
      </c>
      <c r="F2487">
        <f t="shared" si="87"/>
        <v>-1.9423572733238807E-2</v>
      </c>
      <c r="G2487">
        <f t="shared" si="86"/>
        <v>-3.3881064736105353E-2</v>
      </c>
    </row>
    <row r="2488" spans="1:38" x14ac:dyDescent="0.35">
      <c r="A2488" t="s">
        <v>134</v>
      </c>
      <c r="E2488">
        <v>1.4843373414022483E-3</v>
      </c>
      <c r="F2488">
        <f t="shared" si="87"/>
        <v>-1.942732938386775E-2</v>
      </c>
      <c r="G2488">
        <f t="shared" si="86"/>
        <v>-3.3881064736105353E-2</v>
      </c>
    </row>
    <row r="2489" spans="1:38" x14ac:dyDescent="0.35">
      <c r="A2489" t="s">
        <v>134</v>
      </c>
      <c r="E2489">
        <v>-8.9766017589099304E-3</v>
      </c>
      <c r="F2489">
        <f t="shared" si="87"/>
        <v>-1.9431086034496694E-2</v>
      </c>
      <c r="G2489">
        <f t="shared" si="86"/>
        <v>-3.3881064736105353E-2</v>
      </c>
    </row>
    <row r="2490" spans="1:38" x14ac:dyDescent="0.35">
      <c r="A2490" t="s">
        <v>135</v>
      </c>
      <c r="B2490" s="3" cm="1">
        <f t="array" ref="B2490">_xlfn.STDEV.S(_xlfn._xlws.FILTER($E$2013:$E$3011, $A$2013:$A$3011="2020-01"))</f>
        <v>9.191537108075359E-3</v>
      </c>
      <c r="C2490" s="3" cm="1">
        <f t="array" ref="C2490">AVERAGE(_xlfn._xlws.FILTER($E$2013:$E$3011, $A$2013:$A$3011="2020-01"))</f>
        <v>-1.3233684692644028E-3</v>
      </c>
      <c r="D2490" s="3" cm="1">
        <f t="array" ref="D2490">_xlfn.PERCENTILE.EXC(_xlfn._xlws.FILTER($E$2490:$E$3818, $A$2490:$A$3818="2020-01"), 0.05)</f>
        <v>-2.5140343587988234E-2</v>
      </c>
      <c r="E2490">
        <v>1.1872778430284345E-2</v>
      </c>
      <c r="F2490">
        <f t="shared" si="87"/>
        <v>-1.9434842685125638E-2</v>
      </c>
      <c r="G2490">
        <f t="shared" si="86"/>
        <v>-3.3881064736105353E-2</v>
      </c>
      <c r="AI2490" s="3"/>
      <c r="AJ2490" s="3"/>
      <c r="AK2490" s="3"/>
      <c r="AL2490" s="3"/>
    </row>
    <row r="2491" spans="1:38" x14ac:dyDescent="0.35">
      <c r="A2491" t="s">
        <v>135</v>
      </c>
      <c r="E2491">
        <v>-5.2520337837557137E-3</v>
      </c>
      <c r="F2491">
        <f t="shared" si="87"/>
        <v>-1.9438599335754585E-2</v>
      </c>
      <c r="G2491">
        <f t="shared" si="86"/>
        <v>-3.3881064736105353E-2</v>
      </c>
    </row>
    <row r="2492" spans="1:38" x14ac:dyDescent="0.35">
      <c r="A2492" t="s">
        <v>135</v>
      </c>
      <c r="E2492">
        <v>-5.5408870827787261E-3</v>
      </c>
      <c r="F2492">
        <f t="shared" si="87"/>
        <v>-1.9442355986383528E-2</v>
      </c>
      <c r="G2492">
        <f t="shared" si="86"/>
        <v>-3.3881064736105353E-2</v>
      </c>
    </row>
    <row r="2493" spans="1:38" x14ac:dyDescent="0.35">
      <c r="A2493" t="s">
        <v>135</v>
      </c>
      <c r="E2493">
        <v>1.7918551288692069E-3</v>
      </c>
      <c r="F2493">
        <f t="shared" si="87"/>
        <v>-1.9446112637012472E-2</v>
      </c>
      <c r="G2493">
        <f t="shared" si="86"/>
        <v>-3.3881064736105353E-2</v>
      </c>
    </row>
    <row r="2494" spans="1:38" x14ac:dyDescent="0.35">
      <c r="A2494" t="s">
        <v>135</v>
      </c>
      <c r="E2494">
        <v>3.5343466856626441E-3</v>
      </c>
      <c r="F2494">
        <f t="shared" si="87"/>
        <v>-1.9449869287641419E-2</v>
      </c>
      <c r="G2494">
        <f t="shared" si="86"/>
        <v>-3.3881064736105353E-2</v>
      </c>
    </row>
    <row r="2495" spans="1:38" x14ac:dyDescent="0.35">
      <c r="A2495" t="s">
        <v>135</v>
      </c>
      <c r="E2495">
        <v>6.1624519186565183E-3</v>
      </c>
      <c r="F2495">
        <f t="shared" si="87"/>
        <v>-1.9453625938270363E-2</v>
      </c>
      <c r="G2495">
        <f t="shared" si="86"/>
        <v>-3.3881064736105353E-2</v>
      </c>
    </row>
    <row r="2496" spans="1:38" x14ac:dyDescent="0.35">
      <c r="A2496" t="s">
        <v>135</v>
      </c>
      <c r="E2496">
        <v>-1.6769060274652269E-3</v>
      </c>
      <c r="F2496">
        <f t="shared" si="87"/>
        <v>-1.9457382588899307E-2</v>
      </c>
      <c r="G2496">
        <f t="shared" si="86"/>
        <v>-3.3881064736105353E-2</v>
      </c>
    </row>
    <row r="2497" spans="1:38" x14ac:dyDescent="0.35">
      <c r="A2497" t="s">
        <v>135</v>
      </c>
      <c r="E2497">
        <v>-2.6000120338347519E-3</v>
      </c>
      <c r="F2497">
        <f t="shared" si="87"/>
        <v>-1.946113923952825E-2</v>
      </c>
      <c r="G2497">
        <f t="shared" si="86"/>
        <v>-3.3881064736105353E-2</v>
      </c>
    </row>
    <row r="2498" spans="1:38" x14ac:dyDescent="0.35">
      <c r="A2498" t="s">
        <v>135</v>
      </c>
      <c r="E2498">
        <v>-1.2707558470454858E-3</v>
      </c>
      <c r="F2498">
        <f t="shared" si="87"/>
        <v>-1.9464895890157194E-2</v>
      </c>
      <c r="G2498">
        <f t="shared" si="86"/>
        <v>-3.3881064736105353E-2</v>
      </c>
    </row>
    <row r="2499" spans="1:38" x14ac:dyDescent="0.35">
      <c r="A2499" t="s">
        <v>135</v>
      </c>
      <c r="E2499">
        <v>-1.5694927822519141E-3</v>
      </c>
      <c r="F2499">
        <f t="shared" si="87"/>
        <v>-1.9468652540786141E-2</v>
      </c>
      <c r="G2499">
        <f t="shared" ref="G2499:G2562" si="88">AVERAGEIFS(E2499:E6315,E2499:E6315,"&lt;=" &amp; F2499)</f>
        <v>-3.3881064736105353E-2</v>
      </c>
    </row>
    <row r="2500" spans="1:38" x14ac:dyDescent="0.35">
      <c r="A2500" t="s">
        <v>135</v>
      </c>
      <c r="E2500">
        <v>1.3734408437565094E-3</v>
      </c>
      <c r="F2500">
        <f t="shared" ref="F2500:F2563" si="89">_xlfn.PERCENTILE.EXC(E2500:E6315,0.05)</f>
        <v>-1.9472409191415085E-2</v>
      </c>
      <c r="G2500">
        <f t="shared" si="88"/>
        <v>-3.3881064736105353E-2</v>
      </c>
    </row>
    <row r="2501" spans="1:38" x14ac:dyDescent="0.35">
      <c r="A2501" t="s">
        <v>135</v>
      </c>
      <c r="E2501">
        <v>8.9998497314830155E-3</v>
      </c>
      <c r="F2501">
        <f t="shared" si="89"/>
        <v>-1.9474655259155607E-2</v>
      </c>
      <c r="G2501">
        <f t="shared" si="88"/>
        <v>-3.4102736359869823E-2</v>
      </c>
    </row>
    <row r="2502" spans="1:38" x14ac:dyDescent="0.35">
      <c r="A2502" t="s">
        <v>135</v>
      </c>
      <c r="E2502">
        <v>-2.4266209199935861E-3</v>
      </c>
      <c r="F2502">
        <f t="shared" si="89"/>
        <v>-1.947690132689613E-2</v>
      </c>
      <c r="G2502">
        <f t="shared" si="88"/>
        <v>-3.4102736359869823E-2</v>
      </c>
    </row>
    <row r="2503" spans="1:38" x14ac:dyDescent="0.35">
      <c r="A2503" t="s">
        <v>135</v>
      </c>
      <c r="E2503">
        <v>-2.6119688288053287E-3</v>
      </c>
      <c r="F2503">
        <f t="shared" si="89"/>
        <v>-1.9479147394636652E-2</v>
      </c>
      <c r="G2503">
        <f t="shared" si="88"/>
        <v>-3.4102736359869823E-2</v>
      </c>
    </row>
    <row r="2504" spans="1:38" x14ac:dyDescent="0.35">
      <c r="A2504" t="s">
        <v>135</v>
      </c>
      <c r="E2504">
        <v>-5.1145051697725381E-3</v>
      </c>
      <c r="F2504">
        <f t="shared" si="89"/>
        <v>-1.9481393462377178E-2</v>
      </c>
      <c r="G2504">
        <f t="shared" si="88"/>
        <v>-3.4102736359869823E-2</v>
      </c>
    </row>
    <row r="2505" spans="1:38" x14ac:dyDescent="0.35">
      <c r="A2505" t="s">
        <v>135</v>
      </c>
      <c r="E2505">
        <v>-8.7762864419827519E-3</v>
      </c>
      <c r="F2505">
        <f t="shared" si="89"/>
        <v>-1.94836395301177E-2</v>
      </c>
      <c r="G2505">
        <f t="shared" si="88"/>
        <v>-3.4102736359869823E-2</v>
      </c>
    </row>
    <row r="2506" spans="1:38" x14ac:dyDescent="0.35">
      <c r="A2506" t="s">
        <v>135</v>
      </c>
      <c r="E2506">
        <v>1.1258752165557814E-2</v>
      </c>
      <c r="F2506">
        <f t="shared" si="89"/>
        <v>-1.9485885597858223E-2</v>
      </c>
      <c r="G2506">
        <f t="shared" si="88"/>
        <v>-3.4102736359869823E-2</v>
      </c>
    </row>
    <row r="2507" spans="1:38" x14ac:dyDescent="0.35">
      <c r="A2507" t="s">
        <v>135</v>
      </c>
      <c r="E2507">
        <v>-2.7176139381571592E-2</v>
      </c>
      <c r="F2507">
        <f t="shared" si="89"/>
        <v>-1.9488131665598745E-2</v>
      </c>
      <c r="G2507">
        <f t="shared" si="88"/>
        <v>-3.4102736359869823E-2</v>
      </c>
    </row>
    <row r="2508" spans="1:38" x14ac:dyDescent="0.35">
      <c r="A2508" t="s">
        <v>135</v>
      </c>
      <c r="E2508">
        <v>1.1188345547630938E-2</v>
      </c>
      <c r="F2508">
        <f t="shared" si="89"/>
        <v>-1.942732938386775E-2</v>
      </c>
      <c r="G2508">
        <f t="shared" si="88"/>
        <v>-3.3984217433867411E-2</v>
      </c>
    </row>
    <row r="2509" spans="1:38" x14ac:dyDescent="0.35">
      <c r="A2509" t="s">
        <v>135</v>
      </c>
      <c r="E2509">
        <v>4.5979065870182228E-3</v>
      </c>
      <c r="F2509">
        <f t="shared" si="89"/>
        <v>-1.9431086034496694E-2</v>
      </c>
      <c r="G2509">
        <f t="shared" si="88"/>
        <v>-3.3984217433867411E-2</v>
      </c>
    </row>
    <row r="2510" spans="1:38" x14ac:dyDescent="0.35">
      <c r="A2510" t="s">
        <v>135</v>
      </c>
      <c r="E2510">
        <v>-1.2274057639129242E-2</v>
      </c>
      <c r="F2510">
        <f t="shared" si="89"/>
        <v>-1.9434842685125638E-2</v>
      </c>
      <c r="G2510">
        <f t="shared" si="88"/>
        <v>-3.3984217433867411E-2</v>
      </c>
    </row>
    <row r="2511" spans="1:38" x14ac:dyDescent="0.35">
      <c r="A2511" t="s">
        <v>135</v>
      </c>
      <c r="E2511">
        <v>-1.3604167424349221E-2</v>
      </c>
      <c r="F2511">
        <f t="shared" si="89"/>
        <v>-1.9438599335754585E-2</v>
      </c>
      <c r="G2511">
        <f t="shared" si="88"/>
        <v>-3.3984217433867411E-2</v>
      </c>
    </row>
    <row r="2512" spans="1:38" x14ac:dyDescent="0.35">
      <c r="A2512" t="s">
        <v>136</v>
      </c>
      <c r="B2512" s="3" cm="1">
        <f t="array" ref="B2512">_xlfn.STDEV.S(_xlfn._xlws.FILTER($E$2013:$E$3011, $A$2013:$A$3011="2020-02"))</f>
        <v>1.6675988468966955E-2</v>
      </c>
      <c r="C2512" s="3" cm="1">
        <f t="array" ref="C2512">AVERAGE(_xlfn._xlws.FILTER($E$2013:$E$3011, $A$2013:$A$3011="2020-02"))</f>
        <v>-4.4707255646899494E-3</v>
      </c>
      <c r="D2512" s="3" cm="1">
        <f t="array" ref="D2512">_xlfn.PERCENTILE.EXC(_xlfn._xlws.FILTER($E$2490:$E$3818, $A$2490:$A$3818="2020-02"), 0.05)</f>
        <v>-4.0744576562953695E-2</v>
      </c>
      <c r="E2512">
        <v>5.576431356256622E-3</v>
      </c>
      <c r="F2512">
        <f t="shared" si="89"/>
        <v>-1.9442355986383528E-2</v>
      </c>
      <c r="G2512">
        <f t="shared" si="88"/>
        <v>-3.3984217433867411E-2</v>
      </c>
      <c r="AI2512" s="3"/>
      <c r="AJ2512" s="3"/>
      <c r="AK2512" s="3"/>
      <c r="AL2512" s="3"/>
    </row>
    <row r="2513" spans="1:7" x14ac:dyDescent="0.35">
      <c r="A2513" t="s">
        <v>136</v>
      </c>
      <c r="E2513">
        <v>1.9209225205899044E-2</v>
      </c>
      <c r="F2513">
        <f t="shared" si="89"/>
        <v>-1.9446112637012472E-2</v>
      </c>
      <c r="G2513">
        <f t="shared" si="88"/>
        <v>-3.3984217433867411E-2</v>
      </c>
    </row>
    <row r="2514" spans="1:7" x14ac:dyDescent="0.35">
      <c r="A2514" t="s">
        <v>136</v>
      </c>
      <c r="E2514">
        <v>1.2133110766526392E-2</v>
      </c>
      <c r="F2514">
        <f t="shared" si="89"/>
        <v>-1.9449869287641419E-2</v>
      </c>
      <c r="G2514">
        <f t="shared" si="88"/>
        <v>-3.3984217433867411E-2</v>
      </c>
    </row>
    <row r="2515" spans="1:7" x14ac:dyDescent="0.35">
      <c r="A2515" t="s">
        <v>136</v>
      </c>
      <c r="E2515">
        <v>7.300226530136125E-3</v>
      </c>
      <c r="F2515">
        <f t="shared" si="89"/>
        <v>-1.9453625938270363E-2</v>
      </c>
      <c r="G2515">
        <f t="shared" si="88"/>
        <v>-3.3984217433867411E-2</v>
      </c>
    </row>
    <row r="2516" spans="1:7" x14ac:dyDescent="0.35">
      <c r="A2516" t="s">
        <v>136</v>
      </c>
      <c r="E2516">
        <v>-1.8490249231396759E-3</v>
      </c>
      <c r="F2516">
        <f t="shared" si="89"/>
        <v>-1.9457382588899307E-2</v>
      </c>
      <c r="G2516">
        <f t="shared" si="88"/>
        <v>-3.3984217433867411E-2</v>
      </c>
    </row>
    <row r="2517" spans="1:7" x14ac:dyDescent="0.35">
      <c r="A2517" t="s">
        <v>136</v>
      </c>
      <c r="E2517">
        <v>-1.3989019190612528E-3</v>
      </c>
      <c r="F2517">
        <f t="shared" si="89"/>
        <v>-1.946113923952825E-2</v>
      </c>
      <c r="G2517">
        <f t="shared" si="88"/>
        <v>-3.3984217433867411E-2</v>
      </c>
    </row>
    <row r="2518" spans="1:7" x14ac:dyDescent="0.35">
      <c r="A2518" t="s">
        <v>136</v>
      </c>
      <c r="E2518">
        <v>8.5733335908901413E-3</v>
      </c>
      <c r="F2518">
        <f t="shared" si="89"/>
        <v>-1.9464895890157194E-2</v>
      </c>
      <c r="G2518">
        <f t="shared" si="88"/>
        <v>-3.3984217433867411E-2</v>
      </c>
    </row>
    <row r="2519" spans="1:7" x14ac:dyDescent="0.35">
      <c r="A2519" t="s">
        <v>136</v>
      </c>
      <c r="E2519">
        <v>7.4450851493938694E-3</v>
      </c>
      <c r="F2519">
        <f t="shared" si="89"/>
        <v>-1.9468652540786141E-2</v>
      </c>
      <c r="G2519">
        <f t="shared" si="88"/>
        <v>-3.3984217433867411E-2</v>
      </c>
    </row>
    <row r="2520" spans="1:7" x14ac:dyDescent="0.35">
      <c r="A2520" t="s">
        <v>136</v>
      </c>
      <c r="E2520">
        <v>-1.9970998058488139E-3</v>
      </c>
      <c r="F2520">
        <f t="shared" si="89"/>
        <v>-1.9472409191415085E-2</v>
      </c>
      <c r="G2520">
        <f t="shared" si="88"/>
        <v>-3.3984217433867411E-2</v>
      </c>
    </row>
    <row r="2521" spans="1:7" x14ac:dyDescent="0.35">
      <c r="A2521" t="s">
        <v>136</v>
      </c>
      <c r="E2521">
        <v>-1.5010974876676362E-3</v>
      </c>
      <c r="F2521">
        <f t="shared" si="89"/>
        <v>-1.9474655259155607E-2</v>
      </c>
      <c r="G2521">
        <f t="shared" si="88"/>
        <v>-3.4210964437655728E-2</v>
      </c>
    </row>
    <row r="2522" spans="1:7" x14ac:dyDescent="0.35">
      <c r="A2522" t="s">
        <v>136</v>
      </c>
      <c r="E2522">
        <v>3.1971995876488336E-3</v>
      </c>
      <c r="F2522">
        <f t="shared" si="89"/>
        <v>-1.947690132689613E-2</v>
      </c>
      <c r="G2522">
        <f t="shared" si="88"/>
        <v>-3.4210964437655728E-2</v>
      </c>
    </row>
    <row r="2523" spans="1:7" x14ac:dyDescent="0.35">
      <c r="A2523" t="s">
        <v>136</v>
      </c>
      <c r="E2523">
        <v>-4.3512197039736042E-3</v>
      </c>
      <c r="F2523">
        <f t="shared" si="89"/>
        <v>-1.9479147394636652E-2</v>
      </c>
      <c r="G2523">
        <f t="shared" si="88"/>
        <v>-3.4210964437655728E-2</v>
      </c>
    </row>
    <row r="2524" spans="1:7" x14ac:dyDescent="0.35">
      <c r="A2524" t="s">
        <v>136</v>
      </c>
      <c r="E2524">
        <v>7.437334002225052E-3</v>
      </c>
      <c r="F2524">
        <f t="shared" si="89"/>
        <v>-1.9481393462377178E-2</v>
      </c>
      <c r="G2524">
        <f t="shared" si="88"/>
        <v>-3.4210964437655728E-2</v>
      </c>
    </row>
    <row r="2525" spans="1:7" x14ac:dyDescent="0.35">
      <c r="A2525" t="s">
        <v>136</v>
      </c>
      <c r="E2525">
        <v>-1.0978029546141571E-2</v>
      </c>
      <c r="F2525">
        <f t="shared" si="89"/>
        <v>-1.94836395301177E-2</v>
      </c>
      <c r="G2525">
        <f t="shared" si="88"/>
        <v>-3.4210964437655728E-2</v>
      </c>
    </row>
    <row r="2526" spans="1:7" x14ac:dyDescent="0.35">
      <c r="A2526" t="s">
        <v>136</v>
      </c>
      <c r="E2526">
        <v>-5.9291614743265542E-3</v>
      </c>
      <c r="F2526">
        <f t="shared" si="89"/>
        <v>-1.9485885597858223E-2</v>
      </c>
      <c r="G2526">
        <f t="shared" si="88"/>
        <v>-3.4210964437655728E-2</v>
      </c>
    </row>
    <row r="2527" spans="1:7" x14ac:dyDescent="0.35">
      <c r="A2527" t="s">
        <v>136</v>
      </c>
      <c r="E2527">
        <v>-4.0927471991757516E-2</v>
      </c>
      <c r="F2527">
        <f t="shared" si="89"/>
        <v>-1.9488131665598745E-2</v>
      </c>
      <c r="G2527">
        <f t="shared" si="88"/>
        <v>-3.4210964437655728E-2</v>
      </c>
    </row>
    <row r="2528" spans="1:7" x14ac:dyDescent="0.35">
      <c r="A2528" t="s">
        <v>136</v>
      </c>
      <c r="E2528">
        <v>-2.0905159762696121E-2</v>
      </c>
      <c r="F2528">
        <f t="shared" si="89"/>
        <v>-1.942732938386775E-2</v>
      </c>
      <c r="G2528">
        <f t="shared" si="88"/>
        <v>-3.387572908140038E-2</v>
      </c>
    </row>
    <row r="2529" spans="1:38" x14ac:dyDescent="0.35">
      <c r="A2529" t="s">
        <v>136</v>
      </c>
      <c r="E2529">
        <v>1.446115669927586E-3</v>
      </c>
      <c r="F2529">
        <f t="shared" si="89"/>
        <v>-1.938703606032004E-2</v>
      </c>
      <c r="G2529">
        <f t="shared" si="88"/>
        <v>-3.3852168400402567E-2</v>
      </c>
    </row>
    <row r="2530" spans="1:38" x14ac:dyDescent="0.35">
      <c r="A2530" t="s">
        <v>136</v>
      </c>
      <c r="E2530">
        <v>-3.4625843122408878E-2</v>
      </c>
      <c r="F2530">
        <f t="shared" si="89"/>
        <v>-1.9387966980185148E-2</v>
      </c>
      <c r="G2530">
        <f t="shared" si="88"/>
        <v>-3.3852168400402567E-2</v>
      </c>
    </row>
    <row r="2531" spans="1:38" x14ac:dyDescent="0.35">
      <c r="A2531" t="s">
        <v>136</v>
      </c>
      <c r="E2531">
        <v>-3.726956341568103E-2</v>
      </c>
      <c r="F2531">
        <f t="shared" si="89"/>
        <v>-1.9372684716459861E-2</v>
      </c>
      <c r="G2531">
        <f t="shared" si="88"/>
        <v>-3.3613931129451401E-2</v>
      </c>
    </row>
    <row r="2532" spans="1:38" x14ac:dyDescent="0.35">
      <c r="A2532" t="s">
        <v>137</v>
      </c>
      <c r="B2532" s="3" cm="1">
        <f t="array" ref="B2532">_xlfn.STDEV.S(_xlfn._xlws.FILTER($E$2013:$E$3011, $A$2013:$A$3011="2020-03"))</f>
        <v>4.7786857435540099E-2</v>
      </c>
      <c r="C2532" s="3" cm="1">
        <f t="array" ref="C2532">AVERAGE(_xlfn._xlws.FILTER($E$2013:$E$3011, $A$2013:$A$3011="2020-03"))</f>
        <v>-8.0858760058851644E-3</v>
      </c>
      <c r="D2532" s="3" cm="1">
        <f t="array" ref="D2532">_xlfn.PERCENTILE.EXC(_xlfn._xlws.FILTER($E$2490:$E$3818, $A$2490:$A$3818="2020-03"), 0.05)</f>
        <v>-0.12578152042787732</v>
      </c>
      <c r="E2532">
        <v>2.8013071081866027E-3</v>
      </c>
      <c r="F2532">
        <f t="shared" si="89"/>
        <v>-1.9171113225453677E-2</v>
      </c>
      <c r="G2532">
        <f t="shared" si="88"/>
        <v>-3.3334178330824998E-2</v>
      </c>
      <c r="AI2532" s="3"/>
      <c r="AJ2532" s="3"/>
      <c r="AK2532" s="3"/>
      <c r="AL2532" s="3"/>
    </row>
    <row r="2533" spans="1:38" x14ac:dyDescent="0.35">
      <c r="A2533" t="s">
        <v>137</v>
      </c>
      <c r="E2533">
        <v>9.8766970846352695E-3</v>
      </c>
      <c r="F2533">
        <f t="shared" si="89"/>
        <v>-1.9195397110220884E-2</v>
      </c>
      <c r="G2533">
        <f t="shared" si="88"/>
        <v>-3.3334178330824998E-2</v>
      </c>
    </row>
    <row r="2534" spans="1:38" x14ac:dyDescent="0.35">
      <c r="A2534" t="s">
        <v>137</v>
      </c>
      <c r="E2534">
        <v>1.4307137057321952E-2</v>
      </c>
      <c r="F2534">
        <f t="shared" si="89"/>
        <v>-1.9219680994988098E-2</v>
      </c>
      <c r="G2534">
        <f t="shared" si="88"/>
        <v>-3.3334178330824998E-2</v>
      </c>
    </row>
    <row r="2535" spans="1:38" x14ac:dyDescent="0.35">
      <c r="A2535" t="s">
        <v>137</v>
      </c>
      <c r="E2535">
        <v>-1.6798397411500098E-2</v>
      </c>
      <c r="F2535">
        <f t="shared" si="89"/>
        <v>-1.9243964879755306E-2</v>
      </c>
      <c r="G2535">
        <f t="shared" si="88"/>
        <v>-3.3334178330824998E-2</v>
      </c>
    </row>
    <row r="2536" spans="1:38" x14ac:dyDescent="0.35">
      <c r="A2536" t="s">
        <v>137</v>
      </c>
      <c r="E2536">
        <v>-3.9883084108550654E-2</v>
      </c>
      <c r="F2536">
        <f t="shared" si="89"/>
        <v>-1.926824876452251E-2</v>
      </c>
      <c r="G2536">
        <f t="shared" si="88"/>
        <v>-3.3334178330824998E-2</v>
      </c>
    </row>
    <row r="2537" spans="1:38" x14ac:dyDescent="0.35">
      <c r="A2537" t="s">
        <v>137</v>
      </c>
      <c r="E2537">
        <v>-8.824776906113467E-2</v>
      </c>
      <c r="F2537">
        <f t="shared" si="89"/>
        <v>-1.8868985425932412E-2</v>
      </c>
      <c r="G2537">
        <f t="shared" si="88"/>
        <v>-3.3006000557382752E-2</v>
      </c>
    </row>
    <row r="2538" spans="1:38" x14ac:dyDescent="0.35">
      <c r="A2538" t="s">
        <v>137</v>
      </c>
      <c r="E2538">
        <v>-1.6715075766998839E-2</v>
      </c>
      <c r="F2538">
        <f t="shared" si="89"/>
        <v>-1.8798540375487602E-2</v>
      </c>
      <c r="G2538">
        <f t="shared" si="88"/>
        <v>-3.1921007791731924E-2</v>
      </c>
    </row>
    <row r="2539" spans="1:38" x14ac:dyDescent="0.35">
      <c r="A2539" t="s">
        <v>137</v>
      </c>
      <c r="E2539">
        <v>-1.533811201762955E-3</v>
      </c>
      <c r="F2539">
        <f t="shared" si="89"/>
        <v>-1.8803386217484841E-2</v>
      </c>
      <c r="G2539">
        <f t="shared" si="88"/>
        <v>-3.1921007791731924E-2</v>
      </c>
    </row>
    <row r="2540" spans="1:38" x14ac:dyDescent="0.35">
      <c r="A2540" t="s">
        <v>137</v>
      </c>
      <c r="E2540">
        <v>-0.13240512361024367</v>
      </c>
      <c r="F2540">
        <f t="shared" si="89"/>
        <v>-1.880823205948208E-2</v>
      </c>
      <c r="G2540">
        <f t="shared" si="88"/>
        <v>-3.1921007791731924E-2</v>
      </c>
    </row>
    <row r="2541" spans="1:38" x14ac:dyDescent="0.35">
      <c r="A2541" t="s">
        <v>137</v>
      </c>
      <c r="E2541">
        <v>1.5898995071798108E-2</v>
      </c>
      <c r="F2541">
        <f t="shared" si="89"/>
        <v>-1.8716161061534529E-2</v>
      </c>
      <c r="G2541">
        <f t="shared" si="88"/>
        <v>-3.032602182635873E-2</v>
      </c>
    </row>
    <row r="2542" spans="1:38" x14ac:dyDescent="0.35">
      <c r="A2542" t="s">
        <v>137</v>
      </c>
      <c r="E2542">
        <v>-5.3880980709443381E-2</v>
      </c>
      <c r="F2542">
        <f t="shared" si="89"/>
        <v>-1.8721006903531769E-2</v>
      </c>
      <c r="G2542">
        <f t="shared" si="88"/>
        <v>-3.032602182635873E-2</v>
      </c>
    </row>
    <row r="2543" spans="1:38" x14ac:dyDescent="0.35">
      <c r="A2543" t="s">
        <v>137</v>
      </c>
      <c r="E2543">
        <v>3.2177878109630707E-2</v>
      </c>
      <c r="F2543">
        <f t="shared" si="89"/>
        <v>-1.8461675816820726E-2</v>
      </c>
      <c r="G2543">
        <f t="shared" si="88"/>
        <v>-2.9767773167788784E-2</v>
      </c>
    </row>
    <row r="2544" spans="1:38" x14ac:dyDescent="0.35">
      <c r="A2544" t="s">
        <v>137</v>
      </c>
      <c r="E2544">
        <v>-5.8874030909074032E-2</v>
      </c>
      <c r="F2544">
        <f t="shared" si="89"/>
        <v>-1.8476360487568757E-2</v>
      </c>
      <c r="G2544">
        <f t="shared" si="88"/>
        <v>-2.9767773167788784E-2</v>
      </c>
    </row>
    <row r="2545" spans="1:38" x14ac:dyDescent="0.35">
      <c r="A2545" t="s">
        <v>137</v>
      </c>
      <c r="E2545">
        <v>2.8209064831435662E-2</v>
      </c>
      <c r="F2545">
        <f t="shared" si="89"/>
        <v>-1.8371079316364447E-2</v>
      </c>
      <c r="G2545">
        <f t="shared" si="88"/>
        <v>-2.912560794390787E-2</v>
      </c>
    </row>
    <row r="2546" spans="1:38" x14ac:dyDescent="0.35">
      <c r="A2546" t="s">
        <v>137</v>
      </c>
      <c r="E2546">
        <v>3.7753005203602086E-2</v>
      </c>
      <c r="F2546">
        <f t="shared" si="89"/>
        <v>-1.8374182148911924E-2</v>
      </c>
      <c r="G2546">
        <f t="shared" si="88"/>
        <v>-2.912560794390787E-2</v>
      </c>
    </row>
    <row r="2547" spans="1:38" x14ac:dyDescent="0.35">
      <c r="A2547" t="s">
        <v>137</v>
      </c>
      <c r="E2547">
        <v>-2.5015011033485513E-2</v>
      </c>
      <c r="F2547">
        <f t="shared" si="89"/>
        <v>-1.8377284981459404E-2</v>
      </c>
      <c r="G2547">
        <f t="shared" si="88"/>
        <v>-2.912560794390787E-2</v>
      </c>
    </row>
    <row r="2548" spans="1:38" x14ac:dyDescent="0.35">
      <c r="A2548" t="s">
        <v>137</v>
      </c>
      <c r="E2548">
        <v>8.8342528454463318E-2</v>
      </c>
      <c r="F2548">
        <f t="shared" si="89"/>
        <v>-1.83077513645311E-2</v>
      </c>
      <c r="G2548">
        <f t="shared" si="88"/>
        <v>-2.9019902453751387E-2</v>
      </c>
    </row>
    <row r="2549" spans="1:38" x14ac:dyDescent="0.35">
      <c r="A2549" t="s">
        <v>137</v>
      </c>
      <c r="E2549">
        <v>3.0836947712262697E-2</v>
      </c>
      <c r="F2549">
        <f t="shared" si="89"/>
        <v>-1.8311735846955762E-2</v>
      </c>
      <c r="G2549">
        <f t="shared" si="88"/>
        <v>-2.9019902453751387E-2</v>
      </c>
    </row>
    <row r="2550" spans="1:38" x14ac:dyDescent="0.35">
      <c r="A2550" t="s">
        <v>137</v>
      </c>
      <c r="E2550">
        <v>1.6870327443800407E-2</v>
      </c>
      <c r="F2550">
        <f t="shared" si="89"/>
        <v>-1.8315720329380426E-2</v>
      </c>
      <c r="G2550">
        <f t="shared" si="88"/>
        <v>-2.9019902453751387E-2</v>
      </c>
    </row>
    <row r="2551" spans="1:38" x14ac:dyDescent="0.35">
      <c r="A2551" t="s">
        <v>137</v>
      </c>
      <c r="E2551">
        <v>-4.2732761980802447E-2</v>
      </c>
      <c r="F2551">
        <f t="shared" si="89"/>
        <v>-1.8319704811805088E-2</v>
      </c>
      <c r="G2551">
        <f t="shared" si="88"/>
        <v>-2.9019902453751387E-2</v>
      </c>
    </row>
    <row r="2552" spans="1:38" x14ac:dyDescent="0.35">
      <c r="A2552" t="s">
        <v>137</v>
      </c>
      <c r="E2552">
        <v>1.3457859908720565E-2</v>
      </c>
      <c r="F2552">
        <f t="shared" si="89"/>
        <v>-1.825028377093248E-2</v>
      </c>
      <c r="G2552">
        <f t="shared" si="88"/>
        <v>-2.8631697906518552E-2</v>
      </c>
    </row>
    <row r="2553" spans="1:38" x14ac:dyDescent="0.35">
      <c r="A2553" t="s">
        <v>137</v>
      </c>
      <c r="E2553">
        <v>7.6650256776653195E-3</v>
      </c>
      <c r="F2553">
        <f t="shared" si="89"/>
        <v>-1.8253482737707643E-2</v>
      </c>
      <c r="G2553">
        <f t="shared" si="88"/>
        <v>-2.8631697906518552E-2</v>
      </c>
    </row>
    <row r="2554" spans="1:38" x14ac:dyDescent="0.35">
      <c r="A2554" t="s">
        <v>138</v>
      </c>
      <c r="B2554" s="3" cm="1">
        <f t="array" ref="B2554">_xlfn.STDEV.S(_xlfn._xlws.FILTER($E$2013:$E$3011, $A$2013:$A$3011="2020-04"))</f>
        <v>2.4115871013662939E-2</v>
      </c>
      <c r="C2554" s="3" cm="1">
        <f t="array" ref="C2554">AVERAGE(_xlfn._xlws.FILTER($E$2013:$E$3011, $A$2013:$A$3011="2020-04"))</f>
        <v>2.4682910864438504E-3</v>
      </c>
      <c r="D2554" s="3" cm="1">
        <f t="array" ref="D2554">_xlfn.PERCENTILE.EXC(_xlfn._xlws.FILTER($E$2490:$E$3818, $A$2490:$A$3818="2020-04"), 0.05)</f>
        <v>-4.1336560872742602E-2</v>
      </c>
      <c r="E2554">
        <v>-3.9001138424158713E-2</v>
      </c>
      <c r="F2554">
        <f t="shared" si="89"/>
        <v>-1.8256681704482809E-2</v>
      </c>
      <c r="G2554">
        <f t="shared" si="88"/>
        <v>-2.8631697906518552E-2</v>
      </c>
      <c r="AI2554" s="3"/>
      <c r="AJ2554" s="3"/>
      <c r="AK2554" s="3"/>
      <c r="AL2554" s="3"/>
    </row>
    <row r="2555" spans="1:38" x14ac:dyDescent="0.35">
      <c r="A2555" t="s">
        <v>138</v>
      </c>
      <c r="E2555">
        <v>3.0509691580376764E-3</v>
      </c>
      <c r="F2555">
        <f t="shared" si="89"/>
        <v>-1.8195229884353306E-2</v>
      </c>
      <c r="G2555">
        <f t="shared" si="88"/>
        <v>-2.8301709934224459E-2</v>
      </c>
    </row>
    <row r="2556" spans="1:38" x14ac:dyDescent="0.35">
      <c r="A2556" t="s">
        <v>138</v>
      </c>
      <c r="E2556">
        <v>-9.530146053067937E-3</v>
      </c>
      <c r="F2556">
        <f t="shared" si="89"/>
        <v>-1.8198563141408747E-2</v>
      </c>
      <c r="G2556">
        <f t="shared" si="88"/>
        <v>-2.8301709934224459E-2</v>
      </c>
    </row>
    <row r="2557" spans="1:38" x14ac:dyDescent="0.35">
      <c r="A2557" t="s">
        <v>138</v>
      </c>
      <c r="E2557">
        <v>4.8729543038872371E-2</v>
      </c>
      <c r="F2557">
        <f t="shared" si="89"/>
        <v>-1.8201896398464187E-2</v>
      </c>
      <c r="G2557">
        <f t="shared" si="88"/>
        <v>-2.8301709934224459E-2</v>
      </c>
    </row>
    <row r="2558" spans="1:38" x14ac:dyDescent="0.35">
      <c r="A2558" t="s">
        <v>138</v>
      </c>
      <c r="E2558">
        <v>2.1827512780378849E-2</v>
      </c>
      <c r="F2558">
        <f t="shared" si="89"/>
        <v>-1.8205229655519628E-2</v>
      </c>
      <c r="G2558">
        <f t="shared" si="88"/>
        <v>-2.8301709934224459E-2</v>
      </c>
    </row>
    <row r="2559" spans="1:38" x14ac:dyDescent="0.35">
      <c r="A2559" t="s">
        <v>138</v>
      </c>
      <c r="E2559">
        <v>-2.2420984214475679E-3</v>
      </c>
      <c r="F2559">
        <f t="shared" si="89"/>
        <v>-1.8208562912575065E-2</v>
      </c>
      <c r="G2559">
        <f t="shared" si="88"/>
        <v>-2.8301709934224459E-2</v>
      </c>
    </row>
    <row r="2560" spans="1:38" x14ac:dyDescent="0.35">
      <c r="A2560" t="s">
        <v>138</v>
      </c>
      <c r="E2560">
        <v>1.4456925292139901E-2</v>
      </c>
      <c r="F2560">
        <f t="shared" si="89"/>
        <v>-1.8211896169630506E-2</v>
      </c>
      <c r="G2560">
        <f t="shared" si="88"/>
        <v>-2.8301709934224459E-2</v>
      </c>
    </row>
    <row r="2561" spans="1:38" x14ac:dyDescent="0.35">
      <c r="A2561" t="s">
        <v>138</v>
      </c>
      <c r="E2561">
        <v>8.5879096546825368E-3</v>
      </c>
      <c r="F2561">
        <f t="shared" si="89"/>
        <v>-1.8215095136405669E-2</v>
      </c>
      <c r="G2561">
        <f t="shared" si="88"/>
        <v>-2.8464448865911453E-2</v>
      </c>
    </row>
    <row r="2562" spans="1:38" x14ac:dyDescent="0.35">
      <c r="A2562" t="s">
        <v>138</v>
      </c>
      <c r="E2562">
        <v>-3.8265635307615974E-2</v>
      </c>
      <c r="F2562">
        <f t="shared" si="89"/>
        <v>-1.8218294103180835E-2</v>
      </c>
      <c r="G2562">
        <f t="shared" si="88"/>
        <v>-2.8464448865911453E-2</v>
      </c>
    </row>
    <row r="2563" spans="1:38" x14ac:dyDescent="0.35">
      <c r="A2563" t="s">
        <v>138</v>
      </c>
      <c r="E2563">
        <v>1.4767240765276332E-3</v>
      </c>
      <c r="F2563">
        <f t="shared" si="89"/>
        <v>-1.8155230799688032E-2</v>
      </c>
      <c r="G2563">
        <f t="shared" ref="G2563:G2626" si="90">AVERAGEIFS(E2563:E6379,E2563:E6379,"&lt;=" &amp; F2563)</f>
        <v>-2.8141001460460075E-2</v>
      </c>
    </row>
    <row r="2564" spans="1:38" x14ac:dyDescent="0.35">
      <c r="A2564" t="s">
        <v>138</v>
      </c>
      <c r="E2564">
        <v>2.6647660977033097E-2</v>
      </c>
      <c r="F2564">
        <f t="shared" ref="F2564:F2627" si="91">_xlfn.PERCENTILE.EXC(E2564:E6379,0.05)</f>
        <v>-1.8158564056743473E-2</v>
      </c>
      <c r="G2564">
        <f t="shared" si="90"/>
        <v>-2.8141001460460075E-2</v>
      </c>
    </row>
    <row r="2565" spans="1:38" x14ac:dyDescent="0.35">
      <c r="A2565" t="s">
        <v>138</v>
      </c>
      <c r="E2565">
        <v>7.313151362622115E-3</v>
      </c>
      <c r="F2565">
        <f t="shared" si="91"/>
        <v>-1.8161897313798914E-2</v>
      </c>
      <c r="G2565">
        <f t="shared" si="90"/>
        <v>-2.8141001460460075E-2</v>
      </c>
    </row>
    <row r="2566" spans="1:38" x14ac:dyDescent="0.35">
      <c r="A2566" t="s">
        <v>138</v>
      </c>
      <c r="E2566">
        <v>-4.1459477843720699E-2</v>
      </c>
      <c r="F2566">
        <f t="shared" si="91"/>
        <v>-1.8165230570854351E-2</v>
      </c>
      <c r="G2566">
        <f t="shared" si="90"/>
        <v>-2.8141001460460075E-2</v>
      </c>
    </row>
    <row r="2567" spans="1:38" x14ac:dyDescent="0.35">
      <c r="A2567" t="s">
        <v>138</v>
      </c>
      <c r="E2567">
        <v>1.5484895918121876E-2</v>
      </c>
      <c r="F2567">
        <f t="shared" si="91"/>
        <v>-1.8093850551068158E-2</v>
      </c>
      <c r="G2567">
        <f t="shared" si="90"/>
        <v>-2.7764965221505254E-2</v>
      </c>
    </row>
    <row r="2568" spans="1:38" x14ac:dyDescent="0.35">
      <c r="A2568" t="s">
        <v>138</v>
      </c>
      <c r="E2568">
        <v>6.1751166797556333E-3</v>
      </c>
      <c r="F2568">
        <f t="shared" si="91"/>
        <v>-1.8097802895487663E-2</v>
      </c>
      <c r="G2568">
        <f t="shared" si="90"/>
        <v>-2.7764965221505254E-2</v>
      </c>
    </row>
    <row r="2569" spans="1:38" x14ac:dyDescent="0.35">
      <c r="A2569" t="s">
        <v>138</v>
      </c>
      <c r="E2569">
        <v>-1.5328312156812999E-2</v>
      </c>
      <c r="F2569">
        <f t="shared" si="91"/>
        <v>-1.8101755239907168E-2</v>
      </c>
      <c r="G2569">
        <f t="shared" si="90"/>
        <v>-2.7764965221505254E-2</v>
      </c>
    </row>
    <row r="2570" spans="1:38" x14ac:dyDescent="0.35">
      <c r="A2570" t="s">
        <v>138</v>
      </c>
      <c r="E2570">
        <v>2.5662257691476387E-2</v>
      </c>
      <c r="F2570">
        <f t="shared" si="91"/>
        <v>-1.8105707584326669E-2</v>
      </c>
      <c r="G2570">
        <f t="shared" si="90"/>
        <v>-2.7764965221505254E-2</v>
      </c>
    </row>
    <row r="2571" spans="1:38" x14ac:dyDescent="0.35">
      <c r="A2571" t="s">
        <v>138</v>
      </c>
      <c r="E2571">
        <v>1.7189522258818896E-2</v>
      </c>
      <c r="F2571">
        <f t="shared" si="91"/>
        <v>-1.8109659928746174E-2</v>
      </c>
      <c r="G2571">
        <f t="shared" si="90"/>
        <v>-2.7764965221505254E-2</v>
      </c>
    </row>
    <row r="2572" spans="1:38" x14ac:dyDescent="0.35">
      <c r="A2572" t="s">
        <v>138</v>
      </c>
      <c r="E2572">
        <v>2.1599519905940001E-2</v>
      </c>
      <c r="F2572">
        <f t="shared" si="91"/>
        <v>-1.8113612273165679E-2</v>
      </c>
      <c r="G2572">
        <f t="shared" si="90"/>
        <v>-2.7764965221505254E-2</v>
      </c>
    </row>
    <row r="2573" spans="1:38" x14ac:dyDescent="0.35">
      <c r="A2573" t="s">
        <v>138</v>
      </c>
      <c r="E2573">
        <v>-2.3009078858706077E-2</v>
      </c>
      <c r="F2573">
        <f t="shared" si="91"/>
        <v>-1.8117564617585184E-2</v>
      </c>
      <c r="G2573">
        <f t="shared" si="90"/>
        <v>-2.7764965221505254E-2</v>
      </c>
    </row>
    <row r="2574" spans="1:38" x14ac:dyDescent="0.35">
      <c r="A2574" t="s">
        <v>139</v>
      </c>
      <c r="B2574" s="3" cm="1">
        <f t="array" ref="B2574">_xlfn.STDEV.S(_xlfn._xlws.FILTER($E$2013:$E$3011, $A$2013:$A$3011="2020-05"))</f>
        <v>2.1270233453782674E-2</v>
      </c>
      <c r="C2574" s="3" cm="1">
        <f t="array" ref="C2574">AVERAGE(_xlfn._xlws.FILTER($E$2013:$E$3011, $A$2013:$A$3011="2020-05"))</f>
        <v>2.2728596405825452E-3</v>
      </c>
      <c r="D2574" s="3" cm="1">
        <f t="array" ref="D2574">_xlfn.PERCENTILE.INC(_xlfn._xlws.FILTER($E$2490:$E$3818, $A$2490:$A$3818="2020-05"), 0.05)</f>
        <v>-2.7808437262128217E-2</v>
      </c>
      <c r="E2574">
        <v>-3.8807810393935403E-2</v>
      </c>
      <c r="F2574">
        <f t="shared" si="91"/>
        <v>-1.7855846162135688E-2</v>
      </c>
      <c r="G2574">
        <f t="shared" si="90"/>
        <v>-2.7685241113141149E-2</v>
      </c>
      <c r="AI2574" s="3"/>
      <c r="AJ2574" s="3"/>
      <c r="AK2574" s="3"/>
      <c r="AL2574" s="3"/>
    </row>
    <row r="2575" spans="1:38" x14ac:dyDescent="0.35">
      <c r="A2575" t="s">
        <v>139</v>
      </c>
      <c r="E2575">
        <v>2.0881267590481097E-2</v>
      </c>
      <c r="F2575">
        <f t="shared" si="91"/>
        <v>-1.7344892741116866E-2</v>
      </c>
      <c r="G2575">
        <f t="shared" si="90"/>
        <v>-2.733939026076819E-2</v>
      </c>
    </row>
    <row r="2576" spans="1:38" x14ac:dyDescent="0.35">
      <c r="A2576" t="s">
        <v>139</v>
      </c>
      <c r="E2576">
        <v>-1.1242025711549069E-2</v>
      </c>
      <c r="F2576">
        <f t="shared" si="91"/>
        <v>-1.7348925702255862E-2</v>
      </c>
      <c r="G2576">
        <f t="shared" si="90"/>
        <v>-2.733939026076819E-2</v>
      </c>
    </row>
    <row r="2577" spans="1:38" x14ac:dyDescent="0.35">
      <c r="A2577" t="s">
        <v>139</v>
      </c>
      <c r="E2577">
        <v>1.2871485588355337E-2</v>
      </c>
      <c r="F2577">
        <f t="shared" si="91"/>
        <v>-1.7352958663394858E-2</v>
      </c>
      <c r="G2577">
        <f t="shared" si="90"/>
        <v>-2.733939026076819E-2</v>
      </c>
    </row>
    <row r="2578" spans="1:38" x14ac:dyDescent="0.35">
      <c r="A2578" t="s">
        <v>139</v>
      </c>
      <c r="E2578">
        <v>1.0929247230136892E-3</v>
      </c>
      <c r="F2578">
        <f t="shared" si="91"/>
        <v>-1.7356991624533854E-2</v>
      </c>
      <c r="G2578">
        <f t="shared" si="90"/>
        <v>-2.733939026076819E-2</v>
      </c>
    </row>
    <row r="2579" spans="1:38" x14ac:dyDescent="0.35">
      <c r="A2579" t="s">
        <v>139</v>
      </c>
      <c r="E2579">
        <v>1.5603464000661841E-4</v>
      </c>
      <c r="F2579">
        <f t="shared" si="91"/>
        <v>-1.736102458567285E-2</v>
      </c>
      <c r="G2579">
        <f t="shared" si="90"/>
        <v>-2.733939026076819E-2</v>
      </c>
    </row>
    <row r="2580" spans="1:38" x14ac:dyDescent="0.35">
      <c r="A2580" t="s">
        <v>139</v>
      </c>
      <c r="E2580">
        <v>-2.5867371415338715E-2</v>
      </c>
      <c r="F2580">
        <f t="shared" si="91"/>
        <v>-1.7365057546811846E-2</v>
      </c>
      <c r="G2580">
        <f t="shared" si="90"/>
        <v>-2.733939026076819E-2</v>
      </c>
    </row>
    <row r="2581" spans="1:38" x14ac:dyDescent="0.35">
      <c r="A2581" t="s">
        <v>139</v>
      </c>
      <c r="E2581">
        <v>-1.8066184140131628E-2</v>
      </c>
      <c r="F2581">
        <f t="shared" si="91"/>
        <v>-1.7288431285170925E-2</v>
      </c>
      <c r="G2581">
        <f t="shared" si="90"/>
        <v>-2.7363521717250639E-2</v>
      </c>
    </row>
    <row r="2582" spans="1:38" x14ac:dyDescent="0.35">
      <c r="A2582" t="s">
        <v>139</v>
      </c>
      <c r="E2582">
        <v>3.7859862649295339E-3</v>
      </c>
      <c r="F2582">
        <f t="shared" si="91"/>
        <v>-1.7276390868224863E-2</v>
      </c>
      <c r="G2582">
        <f t="shared" si="90"/>
        <v>-2.7350705556330974E-2</v>
      </c>
    </row>
    <row r="2583" spans="1:38" x14ac:dyDescent="0.35">
      <c r="A2583" t="s">
        <v>139</v>
      </c>
      <c r="E2583">
        <v>4.9698924838833106E-2</v>
      </c>
      <c r="F2583">
        <f t="shared" si="91"/>
        <v>-1.7276835726880813E-2</v>
      </c>
      <c r="G2583">
        <f t="shared" si="90"/>
        <v>-2.7350705556330974E-2</v>
      </c>
    </row>
    <row r="2584" spans="1:38" x14ac:dyDescent="0.35">
      <c r="A2584" t="s">
        <v>139</v>
      </c>
      <c r="E2584">
        <v>-3.19892403788584E-3</v>
      </c>
      <c r="F2584">
        <f t="shared" si="91"/>
        <v>-1.727728058553676E-2</v>
      </c>
      <c r="G2584">
        <f t="shared" si="90"/>
        <v>-2.7350705556330974E-2</v>
      </c>
    </row>
    <row r="2585" spans="1:38" x14ac:dyDescent="0.35">
      <c r="A2585" t="s">
        <v>139</v>
      </c>
      <c r="E2585">
        <v>1.3622179619716766E-2</v>
      </c>
      <c r="F2585">
        <f t="shared" si="91"/>
        <v>-1.7277725444192708E-2</v>
      </c>
      <c r="G2585">
        <f t="shared" si="90"/>
        <v>-2.7350705556330974E-2</v>
      </c>
    </row>
    <row r="2586" spans="1:38" x14ac:dyDescent="0.35">
      <c r="A2586" t="s">
        <v>139</v>
      </c>
      <c r="E2586">
        <v>-1.2795670677364623E-2</v>
      </c>
      <c r="F2586">
        <f t="shared" si="91"/>
        <v>-1.7278170302848655E-2</v>
      </c>
      <c r="G2586">
        <f t="shared" si="90"/>
        <v>-2.7350705556330974E-2</v>
      </c>
    </row>
    <row r="2587" spans="1:38" x14ac:dyDescent="0.35">
      <c r="A2587" t="s">
        <v>139</v>
      </c>
      <c r="E2587">
        <v>1.6866163590134866E-4</v>
      </c>
      <c r="F2587">
        <f t="shared" si="91"/>
        <v>-1.7278615161504605E-2</v>
      </c>
      <c r="G2587">
        <f t="shared" si="90"/>
        <v>-2.7350705556330974E-2</v>
      </c>
    </row>
    <row r="2588" spans="1:38" x14ac:dyDescent="0.35">
      <c r="A2588" t="s">
        <v>139</v>
      </c>
      <c r="E2588">
        <v>3.1757087627756996E-2</v>
      </c>
      <c r="F2588">
        <f t="shared" si="91"/>
        <v>-1.7279060020160553E-2</v>
      </c>
      <c r="G2588">
        <f t="shared" si="90"/>
        <v>-2.7350705556330974E-2</v>
      </c>
    </row>
    <row r="2589" spans="1:38" x14ac:dyDescent="0.35">
      <c r="A2589" t="s">
        <v>139</v>
      </c>
      <c r="E2589">
        <v>1.7143371439697439E-2</v>
      </c>
      <c r="F2589">
        <f t="shared" si="91"/>
        <v>-1.72795048788165E-2</v>
      </c>
      <c r="G2589">
        <f t="shared" si="90"/>
        <v>-2.7350705556330974E-2</v>
      </c>
    </row>
    <row r="2590" spans="1:38" x14ac:dyDescent="0.35">
      <c r="A2590" t="s">
        <v>139</v>
      </c>
      <c r="E2590">
        <v>1.4121021228852603E-2</v>
      </c>
      <c r="F2590">
        <f t="shared" si="91"/>
        <v>-1.7279949737472447E-2</v>
      </c>
      <c r="G2590">
        <f t="shared" si="90"/>
        <v>-2.7350705556330974E-2</v>
      </c>
    </row>
    <row r="2591" spans="1:38" x14ac:dyDescent="0.35">
      <c r="A2591" t="s">
        <v>139</v>
      </c>
      <c r="E2591">
        <v>-1.440948529085344E-2</v>
      </c>
      <c r="F2591">
        <f t="shared" si="91"/>
        <v>-1.7280394596128398E-2</v>
      </c>
      <c r="G2591">
        <f t="shared" si="90"/>
        <v>-2.7350705556330974E-2</v>
      </c>
    </row>
    <row r="2592" spans="1:38" x14ac:dyDescent="0.35">
      <c r="A2592" t="s">
        <v>140</v>
      </c>
      <c r="B2592" s="3" cm="1">
        <f t="array" ref="B2592">_xlfn.STDEV.S(_xlfn._xlws.FILTER($E$2013:$E$3011, $A$2013:$A$3011="2020-06"))</f>
        <v>2.1021087728115496E-2</v>
      </c>
      <c r="C2592" s="3" cm="1">
        <f t="array" ref="C2592">AVERAGE(_xlfn._xlws.FILTER($E$2013:$E$3011, $A$2013:$A$3011="2020-06"))</f>
        <v>2.7873449382078194E-3</v>
      </c>
      <c r="D2592" s="3" cm="1">
        <f t="array" ref="D2592">_xlfn.PERCENTILE.EXC(_xlfn._xlws.FILTER($E$2490:$E$3818, $A$2490:$A$3818="2020-06"), 0.05)</f>
        <v>-4.4866718461043377E-2</v>
      </c>
      <c r="E2592">
        <v>3.5054690677402543E-2</v>
      </c>
      <c r="F2592">
        <f t="shared" si="91"/>
        <v>-1.7280839454784345E-2</v>
      </c>
      <c r="G2592">
        <f t="shared" si="90"/>
        <v>-2.7350705556330974E-2</v>
      </c>
      <c r="AI2592" s="3"/>
      <c r="AJ2592" s="3"/>
      <c r="AK2592" s="3"/>
      <c r="AL2592" s="3"/>
    </row>
    <row r="2593" spans="1:7" x14ac:dyDescent="0.35">
      <c r="A2593" t="s">
        <v>140</v>
      </c>
      <c r="E2593">
        <v>3.4402741867803274E-2</v>
      </c>
      <c r="F2593">
        <f t="shared" si="91"/>
        <v>-1.7281284313440292E-2</v>
      </c>
      <c r="G2593">
        <f t="shared" si="90"/>
        <v>-2.7350705556330974E-2</v>
      </c>
    </row>
    <row r="2594" spans="1:7" x14ac:dyDescent="0.35">
      <c r="A2594" t="s">
        <v>140</v>
      </c>
      <c r="E2594">
        <v>-2.4252606333376552E-3</v>
      </c>
      <c r="F2594">
        <f t="shared" si="91"/>
        <v>-1.7281729172096239E-2</v>
      </c>
      <c r="G2594">
        <f t="shared" si="90"/>
        <v>-2.7350705556330974E-2</v>
      </c>
    </row>
    <row r="2595" spans="1:7" x14ac:dyDescent="0.35">
      <c r="A2595" t="s">
        <v>140</v>
      </c>
      <c r="E2595">
        <v>3.6904801319877292E-2</v>
      </c>
      <c r="F2595">
        <f t="shared" si="91"/>
        <v>-1.728217403075219E-2</v>
      </c>
      <c r="G2595">
        <f t="shared" si="90"/>
        <v>-2.7350705556330974E-2</v>
      </c>
    </row>
    <row r="2596" spans="1:7" x14ac:dyDescent="0.35">
      <c r="A2596" t="s">
        <v>140</v>
      </c>
      <c r="E2596">
        <v>-5.3328877398733602E-3</v>
      </c>
      <c r="F2596">
        <f t="shared" si="91"/>
        <v>-1.7282618889408137E-2</v>
      </c>
      <c r="G2596">
        <f t="shared" si="90"/>
        <v>-2.7350705556330974E-2</v>
      </c>
    </row>
    <row r="2597" spans="1:7" x14ac:dyDescent="0.35">
      <c r="A2597" t="s">
        <v>140</v>
      </c>
      <c r="E2597">
        <v>-1.3632632245545425E-2</v>
      </c>
      <c r="F2597">
        <f t="shared" si="91"/>
        <v>-1.7283063748064084E-2</v>
      </c>
      <c r="G2597">
        <f t="shared" si="90"/>
        <v>-2.7350705556330974E-2</v>
      </c>
    </row>
    <row r="2598" spans="1:7" x14ac:dyDescent="0.35">
      <c r="A2598" t="s">
        <v>140</v>
      </c>
      <c r="E2598">
        <v>-8.1640264650027165E-3</v>
      </c>
      <c r="F2598">
        <f t="shared" si="91"/>
        <v>-1.7283508606720031E-2</v>
      </c>
      <c r="G2598">
        <f t="shared" si="90"/>
        <v>-2.7350705556330974E-2</v>
      </c>
    </row>
    <row r="2599" spans="1:7" x14ac:dyDescent="0.35">
      <c r="A2599" t="s">
        <v>140</v>
      </c>
      <c r="E2599">
        <v>-4.6337433176830096E-2</v>
      </c>
      <c r="F2599">
        <f t="shared" si="91"/>
        <v>-1.7283953465375982E-2</v>
      </c>
      <c r="G2599">
        <f t="shared" si="90"/>
        <v>-2.7350705556330974E-2</v>
      </c>
    </row>
    <row r="2600" spans="1:7" x14ac:dyDescent="0.35">
      <c r="A2600" t="s">
        <v>140</v>
      </c>
      <c r="E2600">
        <v>2.9118942952842067E-3</v>
      </c>
      <c r="F2600">
        <f t="shared" si="91"/>
        <v>-1.7275501150912968E-2</v>
      </c>
      <c r="G2600">
        <f t="shared" si="90"/>
        <v>-2.6874280441152001E-2</v>
      </c>
    </row>
    <row r="2601" spans="1:7" x14ac:dyDescent="0.35">
      <c r="A2601" t="s">
        <v>140</v>
      </c>
      <c r="E2601">
        <v>-5.5134047650944942E-3</v>
      </c>
      <c r="F2601">
        <f t="shared" si="91"/>
        <v>-1.7275946009568915E-2</v>
      </c>
      <c r="G2601">
        <f t="shared" si="90"/>
        <v>-2.7034260095989318E-2</v>
      </c>
    </row>
    <row r="2602" spans="1:7" x14ac:dyDescent="0.35">
      <c r="A2602" t="s">
        <v>140</v>
      </c>
      <c r="E2602">
        <v>3.3315251365231301E-2</v>
      </c>
      <c r="F2602">
        <f t="shared" si="91"/>
        <v>-1.7276390868224863E-2</v>
      </c>
      <c r="G2602">
        <f t="shared" si="90"/>
        <v>-2.7034260095989318E-2</v>
      </c>
    </row>
    <row r="2603" spans="1:7" x14ac:dyDescent="0.35">
      <c r="A2603" t="s">
        <v>140</v>
      </c>
      <c r="E2603">
        <v>7.5608164284035658E-3</v>
      </c>
      <c r="F2603">
        <f t="shared" si="91"/>
        <v>-1.7276835726880813E-2</v>
      </c>
      <c r="G2603">
        <f t="shared" si="90"/>
        <v>-2.7034260095989318E-2</v>
      </c>
    </row>
    <row r="2604" spans="1:7" x14ac:dyDescent="0.35">
      <c r="A2604" t="s">
        <v>140</v>
      </c>
      <c r="E2604">
        <v>-5.3274865307702092E-3</v>
      </c>
      <c r="F2604">
        <f t="shared" si="91"/>
        <v>-1.727728058553676E-2</v>
      </c>
      <c r="G2604">
        <f t="shared" si="90"/>
        <v>-2.7034260095989318E-2</v>
      </c>
    </row>
    <row r="2605" spans="1:7" x14ac:dyDescent="0.35">
      <c r="A2605" t="s">
        <v>140</v>
      </c>
      <c r="E2605">
        <v>5.8904910313187083E-3</v>
      </c>
      <c r="F2605">
        <f t="shared" si="91"/>
        <v>-1.7277725444192708E-2</v>
      </c>
      <c r="G2605">
        <f t="shared" si="90"/>
        <v>-2.7034260095989318E-2</v>
      </c>
    </row>
    <row r="2606" spans="1:7" x14ac:dyDescent="0.35">
      <c r="A2606" t="s">
        <v>140</v>
      </c>
      <c r="E2606">
        <v>-8.4199189148730386E-3</v>
      </c>
      <c r="F2606">
        <f t="shared" si="91"/>
        <v>-1.7278170302848655E-2</v>
      </c>
      <c r="G2606">
        <f t="shared" si="90"/>
        <v>-2.7034260095989318E-2</v>
      </c>
    </row>
    <row r="2607" spans="1:7" x14ac:dyDescent="0.35">
      <c r="A2607" t="s">
        <v>140</v>
      </c>
      <c r="E2607">
        <v>1.7473061397849834E-2</v>
      </c>
      <c r="F2607">
        <f t="shared" si="91"/>
        <v>-1.7278615161504605E-2</v>
      </c>
      <c r="G2607">
        <f t="shared" si="90"/>
        <v>-2.7034260095989318E-2</v>
      </c>
    </row>
    <row r="2608" spans="1:7" x14ac:dyDescent="0.35">
      <c r="A2608" t="s">
        <v>140</v>
      </c>
      <c r="E2608">
        <v>-3.1630286018962894E-2</v>
      </c>
      <c r="F2608">
        <f t="shared" si="91"/>
        <v>-1.7279060020160553E-2</v>
      </c>
      <c r="G2608">
        <f t="shared" si="90"/>
        <v>-2.7034260095989318E-2</v>
      </c>
    </row>
    <row r="2609" spans="1:38" x14ac:dyDescent="0.35">
      <c r="A2609" t="s">
        <v>140</v>
      </c>
      <c r="E2609">
        <v>7.105218799508109E-3</v>
      </c>
      <c r="F2609">
        <f t="shared" si="91"/>
        <v>-1.7215669302767477E-2</v>
      </c>
      <c r="G2609">
        <f t="shared" si="90"/>
        <v>-2.6795013681521818E-2</v>
      </c>
    </row>
    <row r="2610" spans="1:38" x14ac:dyDescent="0.35">
      <c r="A2610" t="s">
        <v>140</v>
      </c>
      <c r="E2610">
        <v>-4.5897064571296655E-3</v>
      </c>
      <c r="F2610">
        <f t="shared" si="91"/>
        <v>-1.7221108561689798E-2</v>
      </c>
      <c r="G2610">
        <f t="shared" si="90"/>
        <v>-2.6795013681521818E-2</v>
      </c>
    </row>
    <row r="2611" spans="1:38" x14ac:dyDescent="0.35">
      <c r="A2611" t="s">
        <v>140</v>
      </c>
      <c r="E2611">
        <v>8.6542422833093581E-3</v>
      </c>
      <c r="F2611">
        <f t="shared" si="91"/>
        <v>-1.7226547820612111E-2</v>
      </c>
      <c r="G2611">
        <f t="shared" si="90"/>
        <v>-2.6795013681521818E-2</v>
      </c>
    </row>
    <row r="2612" spans="1:38" x14ac:dyDescent="0.35">
      <c r="A2612" t="s">
        <v>140</v>
      </c>
      <c r="E2612">
        <v>6.3407718379559792E-4</v>
      </c>
      <c r="F2612">
        <f t="shared" si="91"/>
        <v>-1.7231987079534428E-2</v>
      </c>
      <c r="G2612">
        <f t="shared" si="90"/>
        <v>-2.6795013681521818E-2</v>
      </c>
    </row>
    <row r="2613" spans="1:38" x14ac:dyDescent="0.35">
      <c r="A2613" t="s">
        <v>141</v>
      </c>
      <c r="B2613" s="3" cm="1">
        <f t="array" ref="B2613">_xlfn.STDEV.S(_xlfn._xlws.FILTER($E$2013:$E$3011, $A$2013:$A$3011="2020-07"))</f>
        <v>1.2676600047595622E-2</v>
      </c>
      <c r="C2613" s="3" cm="1">
        <f t="array" ref="C2613">AVERAGE(_xlfn._xlws.FILTER($E$2013:$E$3011, $A$2013:$A$3011="2020-07"))</f>
        <v>-8.1078129410272666E-4</v>
      </c>
      <c r="D2613" s="3" cm="1">
        <f t="array" ref="D2613">_xlfn.PERCENTILE.EXC(_xlfn._xlws.FILTER($E$2490:$E$3818, $A$2490:$A$3818="2020-07"), 0.05)</f>
        <v>-2.6251115189896704E-2</v>
      </c>
      <c r="E2613">
        <v>-1.7392600461493689E-3</v>
      </c>
      <c r="F2613">
        <f t="shared" si="91"/>
        <v>-1.7237426338456749E-2</v>
      </c>
      <c r="G2613">
        <f t="shared" si="90"/>
        <v>-2.6795013681521818E-2</v>
      </c>
      <c r="AI2613" s="3"/>
      <c r="AJ2613" s="3"/>
      <c r="AK2613" s="3"/>
      <c r="AL2613" s="3"/>
    </row>
    <row r="2614" spans="1:38" x14ac:dyDescent="0.35">
      <c r="A2614" t="s">
        <v>141</v>
      </c>
      <c r="E2614">
        <v>2.7989745098544558E-2</v>
      </c>
      <c r="F2614">
        <f t="shared" si="91"/>
        <v>-1.7242865597379066E-2</v>
      </c>
      <c r="G2614">
        <f t="shared" si="90"/>
        <v>-2.6795013681521818E-2</v>
      </c>
    </row>
    <row r="2615" spans="1:38" x14ac:dyDescent="0.35">
      <c r="A2615" t="s">
        <v>141</v>
      </c>
      <c r="E2615">
        <v>-7.7739046299531147E-3</v>
      </c>
      <c r="F2615">
        <f t="shared" si="91"/>
        <v>-1.7248304856301383E-2</v>
      </c>
      <c r="G2615">
        <f t="shared" si="90"/>
        <v>-2.6795013681521818E-2</v>
      </c>
    </row>
    <row r="2616" spans="1:38" x14ac:dyDescent="0.35">
      <c r="A2616" t="s">
        <v>141</v>
      </c>
      <c r="E2616">
        <v>1.6751314656005899E-2</v>
      </c>
      <c r="F2616">
        <f t="shared" si="91"/>
        <v>-1.72537441152237E-2</v>
      </c>
      <c r="G2616">
        <f t="shared" si="90"/>
        <v>-2.6795013681521818E-2</v>
      </c>
    </row>
    <row r="2617" spans="1:38" x14ac:dyDescent="0.35">
      <c r="A2617" t="s">
        <v>141</v>
      </c>
      <c r="E2617">
        <v>-8.5347489331003626E-3</v>
      </c>
      <c r="F2617">
        <f t="shared" si="91"/>
        <v>-1.7259183374146017E-2</v>
      </c>
      <c r="G2617">
        <f t="shared" si="90"/>
        <v>-2.6795013681521818E-2</v>
      </c>
    </row>
    <row r="2618" spans="1:38" x14ac:dyDescent="0.35">
      <c r="A2618" t="s">
        <v>141</v>
      </c>
      <c r="E2618">
        <v>-1.0736143924948467E-2</v>
      </c>
      <c r="F2618">
        <f t="shared" si="91"/>
        <v>-1.7264622633068334E-2</v>
      </c>
      <c r="G2618">
        <f t="shared" si="90"/>
        <v>-2.6795013681521818E-2</v>
      </c>
    </row>
    <row r="2619" spans="1:38" x14ac:dyDescent="0.35">
      <c r="A2619" t="s">
        <v>141</v>
      </c>
      <c r="E2619">
        <v>-7.6123814662298296E-3</v>
      </c>
      <c r="F2619">
        <f t="shared" si="91"/>
        <v>-1.7270061891990651E-2</v>
      </c>
      <c r="G2619">
        <f t="shared" si="90"/>
        <v>-2.6795013681521818E-2</v>
      </c>
    </row>
    <row r="2620" spans="1:38" x14ac:dyDescent="0.35">
      <c r="A2620" t="s">
        <v>141</v>
      </c>
      <c r="E2620">
        <v>1.0690330696041427E-2</v>
      </c>
      <c r="F2620">
        <f t="shared" si="91"/>
        <v>-1.7275501150912968E-2</v>
      </c>
      <c r="G2620">
        <f t="shared" si="90"/>
        <v>-2.6795013681521818E-2</v>
      </c>
    </row>
    <row r="2621" spans="1:38" x14ac:dyDescent="0.35">
      <c r="A2621" t="s">
        <v>141</v>
      </c>
      <c r="E2621">
        <v>1.6183988444454494E-2</v>
      </c>
      <c r="F2621">
        <f t="shared" si="91"/>
        <v>-1.7275946009568915E-2</v>
      </c>
      <c r="G2621">
        <f t="shared" si="90"/>
        <v>-2.6956361351532138E-2</v>
      </c>
    </row>
    <row r="2622" spans="1:38" x14ac:dyDescent="0.35">
      <c r="A2622" t="s">
        <v>141</v>
      </c>
      <c r="E2622">
        <v>-8.5769758295791958E-3</v>
      </c>
      <c r="F2622">
        <f t="shared" si="91"/>
        <v>-1.7276390868224863E-2</v>
      </c>
      <c r="G2622">
        <f t="shared" si="90"/>
        <v>-2.6956361351532138E-2</v>
      </c>
    </row>
    <row r="2623" spans="1:38" x14ac:dyDescent="0.35">
      <c r="A2623" t="s">
        <v>141</v>
      </c>
      <c r="E2623">
        <v>1.6962613408626655E-2</v>
      </c>
      <c r="F2623">
        <f t="shared" si="91"/>
        <v>-1.7276835726880813E-2</v>
      </c>
      <c r="G2623">
        <f t="shared" si="90"/>
        <v>-2.6956361351532138E-2</v>
      </c>
    </row>
    <row r="2624" spans="1:38" x14ac:dyDescent="0.35">
      <c r="A2624" t="s">
        <v>141</v>
      </c>
      <c r="E2624">
        <v>-3.8140138411200388E-3</v>
      </c>
      <c r="F2624">
        <f t="shared" si="91"/>
        <v>-1.727728058553676E-2</v>
      </c>
      <c r="G2624">
        <f t="shared" si="90"/>
        <v>-2.6956361351532138E-2</v>
      </c>
    </row>
    <row r="2625" spans="1:38" x14ac:dyDescent="0.35">
      <c r="A2625" t="s">
        <v>141</v>
      </c>
      <c r="E2625">
        <v>7.4283719271358992E-5</v>
      </c>
      <c r="F2625">
        <f t="shared" si="91"/>
        <v>-1.7277725444192708E-2</v>
      </c>
      <c r="G2625">
        <f t="shared" si="90"/>
        <v>-2.6956361351532138E-2</v>
      </c>
    </row>
    <row r="2626" spans="1:38" x14ac:dyDescent="0.35">
      <c r="A2626" t="s">
        <v>141</v>
      </c>
      <c r="E2626">
        <v>6.7338726517521983E-3</v>
      </c>
      <c r="F2626">
        <f t="shared" si="91"/>
        <v>-1.7278170302848655E-2</v>
      </c>
      <c r="G2626">
        <f t="shared" si="90"/>
        <v>-2.6956361351532138E-2</v>
      </c>
    </row>
    <row r="2627" spans="1:38" x14ac:dyDescent="0.35">
      <c r="A2627" t="s">
        <v>141</v>
      </c>
      <c r="E2627">
        <v>5.0075983877020617E-3</v>
      </c>
      <c r="F2627">
        <f t="shared" si="91"/>
        <v>-1.7278615161504605E-2</v>
      </c>
      <c r="G2627">
        <f t="shared" ref="G2627:G2690" si="92">AVERAGEIFS(E2627:E6443,E2627:E6443,"&lt;=" &amp; F2627)</f>
        <v>-2.6956361351532138E-2</v>
      </c>
    </row>
    <row r="2628" spans="1:38" x14ac:dyDescent="0.35">
      <c r="A2628" t="s">
        <v>141</v>
      </c>
      <c r="E2628">
        <v>-1.0209486107176102E-2</v>
      </c>
      <c r="F2628">
        <f t="shared" ref="F2628:F2691" si="93">_xlfn.PERCENTILE.EXC(E2628:E6443,0.05)</f>
        <v>-1.7279060020160553E-2</v>
      </c>
      <c r="G2628">
        <f t="shared" si="92"/>
        <v>-2.6956361351532138E-2</v>
      </c>
    </row>
    <row r="2629" spans="1:38" x14ac:dyDescent="0.35">
      <c r="A2629" t="s">
        <v>141</v>
      </c>
      <c r="E2629">
        <v>2.9069336504274518E-4</v>
      </c>
      <c r="F2629">
        <f t="shared" si="93"/>
        <v>-1.72795048788165E-2</v>
      </c>
      <c r="G2629">
        <f t="shared" si="92"/>
        <v>-2.6956361351532138E-2</v>
      </c>
    </row>
    <row r="2630" spans="1:38" x14ac:dyDescent="0.35">
      <c r="A2630" t="s">
        <v>141</v>
      </c>
      <c r="E2630">
        <v>-1.8211896169630506E-2</v>
      </c>
      <c r="F2630">
        <f t="shared" si="93"/>
        <v>-1.7279949737472447E-2</v>
      </c>
      <c r="G2630">
        <f t="shared" si="92"/>
        <v>-2.6956361351532138E-2</v>
      </c>
    </row>
    <row r="2631" spans="1:38" x14ac:dyDescent="0.35">
      <c r="A2631" t="s">
        <v>141</v>
      </c>
      <c r="E2631">
        <v>-2.4343309978894704E-3</v>
      </c>
      <c r="F2631">
        <f t="shared" si="93"/>
        <v>-1.7226547820612111E-2</v>
      </c>
      <c r="G2631">
        <f t="shared" si="92"/>
        <v>-2.6940490249519975E-2</v>
      </c>
    </row>
    <row r="2632" spans="1:38" x14ac:dyDescent="0.35">
      <c r="A2632" t="s">
        <v>141</v>
      </c>
      <c r="E2632">
        <v>2.1797045375706299E-4</v>
      </c>
      <c r="F2632">
        <f t="shared" si="93"/>
        <v>-1.7231987079534428E-2</v>
      </c>
      <c r="G2632">
        <f t="shared" si="92"/>
        <v>-2.6940490249519975E-2</v>
      </c>
    </row>
    <row r="2633" spans="1:38" x14ac:dyDescent="0.35">
      <c r="A2633" t="s">
        <v>141</v>
      </c>
      <c r="E2633">
        <v>-1.0297227321651376E-3</v>
      </c>
      <c r="F2633">
        <f t="shared" si="93"/>
        <v>-1.7237426338456749E-2</v>
      </c>
      <c r="G2633">
        <f t="shared" si="92"/>
        <v>-2.6940490249519975E-2</v>
      </c>
    </row>
    <row r="2634" spans="1:38" x14ac:dyDescent="0.35">
      <c r="A2634" t="s">
        <v>141</v>
      </c>
      <c r="E2634">
        <v>-2.8260919944963256E-2</v>
      </c>
      <c r="F2634">
        <f t="shared" si="93"/>
        <v>-1.7242865597379066E-2</v>
      </c>
      <c r="G2634">
        <f t="shared" si="92"/>
        <v>-2.6940490249519975E-2</v>
      </c>
    </row>
    <row r="2635" spans="1:38" x14ac:dyDescent="0.35">
      <c r="A2635" t="s">
        <v>141</v>
      </c>
      <c r="E2635">
        <v>-1.0616596022656315E-2</v>
      </c>
      <c r="F2635">
        <f t="shared" si="93"/>
        <v>-1.7166153832085057E-2</v>
      </c>
      <c r="G2635">
        <f t="shared" si="92"/>
        <v>-2.6752452894053931E-2</v>
      </c>
    </row>
    <row r="2636" spans="1:38" x14ac:dyDescent="0.35">
      <c r="A2636" t="s">
        <v>142</v>
      </c>
      <c r="B2636" s="3" cm="1">
        <f t="array" ref="B2636">_xlfn.STDEV.S(_xlfn._xlws.FILTER($E$2013:$E$3011, $A$2013:$A$3011="2020-08"))</f>
        <v>1.0760118730749911E-2</v>
      </c>
      <c r="C2636" s="3" cm="1">
        <f t="array" ref="C2636">AVERAGE(_xlfn._xlws.FILTER($E$2013:$E$3011, $A$2013:$A$3011="2020-08"))</f>
        <v>2.1763535060689426E-3</v>
      </c>
      <c r="D2636" s="3" cm="1">
        <f t="array" ref="D2636">_xlfn.PERCENTILE.EXC(_xlfn._xlws.FILTER($E$2490:$E$3818, $A$2490:$A$3818="2020-08"), 0.05)</f>
        <v>-1.3147830520389375E-2</v>
      </c>
      <c r="E2636">
        <v>2.303218930243478E-2</v>
      </c>
      <c r="F2636">
        <f t="shared" si="93"/>
        <v>-1.7166266260161368E-2</v>
      </c>
      <c r="G2636">
        <f t="shared" si="92"/>
        <v>-2.6752452894053931E-2</v>
      </c>
      <c r="AI2636" s="3"/>
      <c r="AJ2636" s="3"/>
      <c r="AK2636" s="3"/>
      <c r="AL2636" s="3"/>
    </row>
    <row r="2637" spans="1:38" x14ac:dyDescent="0.35">
      <c r="A2637" t="s">
        <v>142</v>
      </c>
      <c r="E2637">
        <v>1.8485004271616601E-3</v>
      </c>
      <c r="F2637">
        <f t="shared" si="93"/>
        <v>-1.7166378688237682E-2</v>
      </c>
      <c r="G2637">
        <f t="shared" si="92"/>
        <v>-2.6752452894053931E-2</v>
      </c>
    </row>
    <row r="2638" spans="1:38" x14ac:dyDescent="0.35">
      <c r="A2638" t="s">
        <v>142</v>
      </c>
      <c r="E2638">
        <v>4.3203234000929059E-3</v>
      </c>
      <c r="F2638">
        <f t="shared" si="93"/>
        <v>-1.7166491116313996E-2</v>
      </c>
      <c r="G2638">
        <f t="shared" si="92"/>
        <v>-2.6752452894053931E-2</v>
      </c>
    </row>
    <row r="2639" spans="1:38" x14ac:dyDescent="0.35">
      <c r="A2639" t="s">
        <v>142</v>
      </c>
      <c r="E2639">
        <v>-8.6007563769603113E-3</v>
      </c>
      <c r="F2639">
        <f t="shared" si="93"/>
        <v>-1.716660354439031E-2</v>
      </c>
      <c r="G2639">
        <f t="shared" si="92"/>
        <v>-2.6752452894053931E-2</v>
      </c>
    </row>
    <row r="2640" spans="1:38" x14ac:dyDescent="0.35">
      <c r="A2640" t="s">
        <v>142</v>
      </c>
      <c r="E2640">
        <v>3.7763557809115246E-3</v>
      </c>
      <c r="F2640">
        <f t="shared" si="93"/>
        <v>-1.7166715972466624E-2</v>
      </c>
      <c r="G2640">
        <f t="shared" si="92"/>
        <v>-2.6752452894053931E-2</v>
      </c>
    </row>
    <row r="2641" spans="1:38" x14ac:dyDescent="0.35">
      <c r="A2641" t="s">
        <v>142</v>
      </c>
      <c r="E2641">
        <v>2.1681856548999069E-3</v>
      </c>
      <c r="F2641">
        <f t="shared" si="93"/>
        <v>-1.7172155231388941E-2</v>
      </c>
      <c r="G2641">
        <f t="shared" si="92"/>
        <v>-2.6917724220288194E-2</v>
      </c>
    </row>
    <row r="2642" spans="1:38" x14ac:dyDescent="0.35">
      <c r="A2642" t="s">
        <v>142</v>
      </c>
      <c r="E2642">
        <v>2.1970503695367349E-2</v>
      </c>
      <c r="F2642">
        <f t="shared" si="93"/>
        <v>-1.7177594490311258E-2</v>
      </c>
      <c r="G2642">
        <f t="shared" si="92"/>
        <v>-2.6917724220288194E-2</v>
      </c>
    </row>
    <row r="2643" spans="1:38" x14ac:dyDescent="0.35">
      <c r="A2643" t="s">
        <v>142</v>
      </c>
      <c r="E2643">
        <v>9.2782169035457093E-3</v>
      </c>
      <c r="F2643">
        <f t="shared" si="93"/>
        <v>-1.7183033749233575E-2</v>
      </c>
      <c r="G2643">
        <f t="shared" si="92"/>
        <v>-2.6917724220288194E-2</v>
      </c>
    </row>
    <row r="2644" spans="1:38" x14ac:dyDescent="0.35">
      <c r="A2644" t="s">
        <v>142</v>
      </c>
      <c r="E2644">
        <v>-6.0632184114783544E-3</v>
      </c>
      <c r="F2644">
        <f t="shared" si="93"/>
        <v>-1.7188473008155892E-2</v>
      </c>
      <c r="G2644">
        <f t="shared" si="92"/>
        <v>-2.6917724220288194E-2</v>
      </c>
    </row>
    <row r="2645" spans="1:38" x14ac:dyDescent="0.35">
      <c r="A2645" t="s">
        <v>142</v>
      </c>
      <c r="E2645">
        <v>-1.1372134771668336E-2</v>
      </c>
      <c r="F2645">
        <f t="shared" si="93"/>
        <v>-1.7193912267078209E-2</v>
      </c>
      <c r="G2645">
        <f t="shared" si="92"/>
        <v>-2.6917724220288194E-2</v>
      </c>
    </row>
    <row r="2646" spans="1:38" x14ac:dyDescent="0.35">
      <c r="A2646" t="s">
        <v>142</v>
      </c>
      <c r="E2646">
        <v>2.4202453641854435E-4</v>
      </c>
      <c r="F2646">
        <f t="shared" si="93"/>
        <v>-1.7199351526000526E-2</v>
      </c>
      <c r="G2646">
        <f t="shared" si="92"/>
        <v>-2.6917724220288194E-2</v>
      </c>
    </row>
    <row r="2647" spans="1:38" x14ac:dyDescent="0.35">
      <c r="A2647" t="s">
        <v>142</v>
      </c>
      <c r="E2647">
        <v>-4.9154900208715248E-3</v>
      </c>
      <c r="F2647">
        <f t="shared" si="93"/>
        <v>-1.7204790784922843E-2</v>
      </c>
      <c r="G2647">
        <f t="shared" si="92"/>
        <v>-2.6917724220288194E-2</v>
      </c>
    </row>
    <row r="2648" spans="1:38" x14ac:dyDescent="0.35">
      <c r="A2648" t="s">
        <v>142</v>
      </c>
      <c r="E2648">
        <v>8.4695220883661271E-3</v>
      </c>
      <c r="F2648">
        <f t="shared" si="93"/>
        <v>-1.721023004384516E-2</v>
      </c>
      <c r="G2648">
        <f t="shared" si="92"/>
        <v>-2.6917724220288194E-2</v>
      </c>
    </row>
    <row r="2649" spans="1:38" x14ac:dyDescent="0.35">
      <c r="A2649" t="s">
        <v>142</v>
      </c>
      <c r="E2649">
        <v>-1.3241288191374692E-2</v>
      </c>
      <c r="F2649">
        <f t="shared" si="93"/>
        <v>-1.7215669302767477E-2</v>
      </c>
      <c r="G2649">
        <f t="shared" si="92"/>
        <v>-2.6917724220288194E-2</v>
      </c>
    </row>
    <row r="2650" spans="1:38" x14ac:dyDescent="0.35">
      <c r="A2650" t="s">
        <v>142</v>
      </c>
      <c r="E2650">
        <v>-4.3558648733484535E-3</v>
      </c>
      <c r="F2650">
        <f t="shared" si="93"/>
        <v>-1.7221108561689798E-2</v>
      </c>
      <c r="G2650">
        <f t="shared" si="92"/>
        <v>-2.6917724220288194E-2</v>
      </c>
    </row>
    <row r="2651" spans="1:38" x14ac:dyDescent="0.35">
      <c r="A2651" t="s">
        <v>142</v>
      </c>
      <c r="E2651">
        <v>2.1844184726073093E-2</v>
      </c>
      <c r="F2651">
        <f t="shared" si="93"/>
        <v>-1.7226547820612111E-2</v>
      </c>
      <c r="G2651">
        <f t="shared" si="92"/>
        <v>-2.6917724220288194E-2</v>
      </c>
    </row>
    <row r="2652" spans="1:38" x14ac:dyDescent="0.35">
      <c r="A2652" t="s">
        <v>142</v>
      </c>
      <c r="E2652">
        <v>-6.0947693455291874E-4</v>
      </c>
      <c r="F2652">
        <f t="shared" si="93"/>
        <v>-1.7231987079534428E-2</v>
      </c>
      <c r="G2652">
        <f t="shared" si="92"/>
        <v>-2.6917724220288194E-2</v>
      </c>
    </row>
    <row r="2653" spans="1:38" x14ac:dyDescent="0.35">
      <c r="A2653" t="s">
        <v>142</v>
      </c>
      <c r="E2653">
        <v>8.0910099252972933E-3</v>
      </c>
      <c r="F2653">
        <f t="shared" si="93"/>
        <v>-1.7237426338456749E-2</v>
      </c>
      <c r="G2653">
        <f t="shared" si="92"/>
        <v>-2.6917724220288194E-2</v>
      </c>
    </row>
    <row r="2654" spans="1:38" x14ac:dyDescent="0.35">
      <c r="A2654" t="s">
        <v>142</v>
      </c>
      <c r="E2654">
        <v>-7.6916554929357256E-3</v>
      </c>
      <c r="F2654">
        <f t="shared" si="93"/>
        <v>-1.7242865597379066E-2</v>
      </c>
      <c r="G2654">
        <f t="shared" si="92"/>
        <v>-2.6917724220288194E-2</v>
      </c>
    </row>
    <row r="2655" spans="1:38" x14ac:dyDescent="0.35">
      <c r="A2655" t="s">
        <v>142</v>
      </c>
      <c r="E2655">
        <v>-4.6640612459997351E-3</v>
      </c>
      <c r="F2655">
        <f t="shared" si="93"/>
        <v>-1.7248304856301383E-2</v>
      </c>
      <c r="G2655">
        <f t="shared" si="92"/>
        <v>-2.6917724220288194E-2</v>
      </c>
    </row>
    <row r="2656" spans="1:38" x14ac:dyDescent="0.35">
      <c r="A2656" t="s">
        <v>143</v>
      </c>
      <c r="B2656" s="3" cm="1">
        <f t="array" ref="B2656">_xlfn.STDEV.S(_xlfn._xlws.FILTER($E$2013:$E$3011, $A$2013:$A$3011="2020-09"))</f>
        <v>1.3777372071749101E-2</v>
      </c>
      <c r="C2656" s="3" cm="1">
        <f t="array" ref="C2656">AVERAGE(_xlfn._xlws.FILTER($E$2013:$E$3011, $A$2013:$A$3011="2020-09"))</f>
        <v>-1.7031167230316497E-3</v>
      </c>
      <c r="D2656" s="3" cm="1">
        <f t="array" ref="D2656">_xlfn.PERCENTILE.EXC(_xlfn._xlws.FILTER($E$2490:$E$3818, $A$2490:$A$3818="2020-09"), 0.05)</f>
        <v>-3.4509647719686141E-2</v>
      </c>
      <c r="E2656">
        <v>-1.1515161093292441E-2</v>
      </c>
      <c r="F2656">
        <f t="shared" si="93"/>
        <v>-1.72537441152237E-2</v>
      </c>
      <c r="G2656">
        <f t="shared" si="92"/>
        <v>-2.6917724220288194E-2</v>
      </c>
      <c r="AI2656" s="3"/>
      <c r="AJ2656" s="3"/>
      <c r="AK2656" s="3"/>
      <c r="AL2656" s="3"/>
    </row>
    <row r="2657" spans="1:7" x14ac:dyDescent="0.35">
      <c r="A2657" t="s">
        <v>143</v>
      </c>
      <c r="E2657">
        <v>1.819757412460047E-2</v>
      </c>
      <c r="F2657">
        <f t="shared" si="93"/>
        <v>-1.7259183374146017E-2</v>
      </c>
      <c r="G2657">
        <f t="shared" si="92"/>
        <v>-2.6917724220288194E-2</v>
      </c>
    </row>
    <row r="2658" spans="1:7" x14ac:dyDescent="0.35">
      <c r="A2658" t="s">
        <v>143</v>
      </c>
      <c r="E2658">
        <v>-1.0102479932233089E-2</v>
      </c>
      <c r="F2658">
        <f t="shared" si="93"/>
        <v>-1.7264622633068334E-2</v>
      </c>
      <c r="G2658">
        <f t="shared" si="92"/>
        <v>-2.6917724220288194E-2</v>
      </c>
    </row>
    <row r="2659" spans="1:7" x14ac:dyDescent="0.35">
      <c r="A2659" t="s">
        <v>143</v>
      </c>
      <c r="E2659">
        <v>-1.3292278799886472E-2</v>
      </c>
      <c r="F2659">
        <f t="shared" si="93"/>
        <v>-1.7270061891990651E-2</v>
      </c>
      <c r="G2659">
        <f t="shared" si="92"/>
        <v>-2.6917724220288194E-2</v>
      </c>
    </row>
    <row r="2660" spans="1:7" x14ac:dyDescent="0.35">
      <c r="A2660" t="s">
        <v>143</v>
      </c>
      <c r="E2660">
        <v>1.6268880693340152E-2</v>
      </c>
      <c r="F2660">
        <f t="shared" si="93"/>
        <v>-1.7275501150912968E-2</v>
      </c>
      <c r="G2660">
        <f t="shared" si="92"/>
        <v>-2.6917724220288194E-2</v>
      </c>
    </row>
    <row r="2661" spans="1:7" x14ac:dyDescent="0.35">
      <c r="A2661" t="s">
        <v>143</v>
      </c>
      <c r="E2661">
        <v>-1.4191661336026673E-2</v>
      </c>
      <c r="F2661">
        <f t="shared" si="93"/>
        <v>-1.7275946009568915E-2</v>
      </c>
      <c r="G2661">
        <f t="shared" si="92"/>
        <v>-2.7086886028522848E-2</v>
      </c>
    </row>
    <row r="2662" spans="1:7" x14ac:dyDescent="0.35">
      <c r="A2662" t="s">
        <v>143</v>
      </c>
      <c r="E2662">
        <v>1.7433165025368264E-2</v>
      </c>
      <c r="F2662">
        <f t="shared" si="93"/>
        <v>-1.7276390868224863E-2</v>
      </c>
      <c r="G2662">
        <f t="shared" si="92"/>
        <v>-2.7086886028522848E-2</v>
      </c>
    </row>
    <row r="2663" spans="1:7" x14ac:dyDescent="0.35">
      <c r="A2663" t="s">
        <v>143</v>
      </c>
      <c r="E2663">
        <v>-3.6338475566076323E-3</v>
      </c>
      <c r="F2663">
        <f t="shared" si="93"/>
        <v>-1.7276835726880813E-2</v>
      </c>
      <c r="G2663">
        <f t="shared" si="92"/>
        <v>-2.7086886028522848E-2</v>
      </c>
    </row>
    <row r="2664" spans="1:7" x14ac:dyDescent="0.35">
      <c r="A2664" t="s">
        <v>143</v>
      </c>
      <c r="E2664">
        <v>9.17240257532327E-4</v>
      </c>
      <c r="F2664">
        <f t="shared" si="93"/>
        <v>-1.727728058553676E-2</v>
      </c>
      <c r="G2664">
        <f t="shared" si="92"/>
        <v>-2.7086886028522848E-2</v>
      </c>
    </row>
    <row r="2665" spans="1:7" x14ac:dyDescent="0.35">
      <c r="A2665" t="s">
        <v>143</v>
      </c>
      <c r="E2665">
        <v>2.9551005853863072E-4</v>
      </c>
      <c r="F2665">
        <f t="shared" si="93"/>
        <v>-1.7277725444192708E-2</v>
      </c>
      <c r="G2665">
        <f t="shared" si="92"/>
        <v>-2.7086886028522848E-2</v>
      </c>
    </row>
    <row r="2666" spans="1:7" x14ac:dyDescent="0.35">
      <c r="A2666" t="s">
        <v>143</v>
      </c>
      <c r="E2666">
        <v>4.6533047321441739E-3</v>
      </c>
      <c r="F2666">
        <f t="shared" si="93"/>
        <v>-1.7278170302848655E-2</v>
      </c>
      <c r="G2666">
        <f t="shared" si="92"/>
        <v>-2.7086886028522848E-2</v>
      </c>
    </row>
    <row r="2667" spans="1:7" x14ac:dyDescent="0.35">
      <c r="A2667" t="s">
        <v>143</v>
      </c>
      <c r="E2667">
        <v>1.9726888020985124E-3</v>
      </c>
      <c r="F2667">
        <f t="shared" si="93"/>
        <v>-1.7278615161504605E-2</v>
      </c>
      <c r="G2667">
        <f t="shared" si="92"/>
        <v>-2.7086886028522848E-2</v>
      </c>
    </row>
    <row r="2668" spans="1:7" x14ac:dyDescent="0.35">
      <c r="A2668" t="s">
        <v>143</v>
      </c>
      <c r="E2668">
        <v>-6.6923249258995258E-3</v>
      </c>
      <c r="F2668">
        <f t="shared" si="93"/>
        <v>-1.7279060020160553E-2</v>
      </c>
      <c r="G2668">
        <f t="shared" si="92"/>
        <v>-2.7086886028522848E-2</v>
      </c>
    </row>
    <row r="2669" spans="1:7" x14ac:dyDescent="0.35">
      <c r="A2669" t="s">
        <v>143</v>
      </c>
      <c r="E2669">
        <v>-9.9633262912419002E-3</v>
      </c>
      <c r="F2669">
        <f t="shared" si="93"/>
        <v>-1.72795048788165E-2</v>
      </c>
      <c r="G2669">
        <f t="shared" si="92"/>
        <v>-2.7086886028522848E-2</v>
      </c>
    </row>
    <row r="2670" spans="1:7" x14ac:dyDescent="0.35">
      <c r="A2670" t="s">
        <v>143</v>
      </c>
      <c r="E2670">
        <v>-3.809517472856723E-2</v>
      </c>
      <c r="F2670">
        <f t="shared" si="93"/>
        <v>-1.7279949737472447E-2</v>
      </c>
      <c r="G2670">
        <f t="shared" si="92"/>
        <v>-2.7086886028522848E-2</v>
      </c>
    </row>
    <row r="2671" spans="1:7" x14ac:dyDescent="0.35">
      <c r="A2671" t="s">
        <v>143</v>
      </c>
      <c r="E2671">
        <v>1.0055209635085318E-3</v>
      </c>
      <c r="F2671">
        <f t="shared" si="93"/>
        <v>-1.7226547820612111E-2</v>
      </c>
      <c r="G2671">
        <f t="shared" si="92"/>
        <v>-2.6721628597335935E-2</v>
      </c>
    </row>
    <row r="2672" spans="1:7" x14ac:dyDescent="0.35">
      <c r="A2672" t="s">
        <v>143</v>
      </c>
      <c r="E2672">
        <v>5.0376510960895128E-3</v>
      </c>
      <c r="F2672">
        <f t="shared" si="93"/>
        <v>-1.7231987079534428E-2</v>
      </c>
      <c r="G2672">
        <f t="shared" si="92"/>
        <v>-2.6721628597335935E-2</v>
      </c>
    </row>
    <row r="2673" spans="1:38" x14ac:dyDescent="0.35">
      <c r="A2673" t="s">
        <v>143</v>
      </c>
      <c r="E2673">
        <v>-6.4576903304422364E-3</v>
      </c>
      <c r="F2673">
        <f t="shared" si="93"/>
        <v>-1.7237426338456749E-2</v>
      </c>
      <c r="G2673">
        <f t="shared" si="92"/>
        <v>-2.6721628597335935E-2</v>
      </c>
    </row>
    <row r="2674" spans="1:38" x14ac:dyDescent="0.35">
      <c r="A2674" t="s">
        <v>143</v>
      </c>
      <c r="E2674">
        <v>-7.1720414786868025E-3</v>
      </c>
      <c r="F2674">
        <f t="shared" si="93"/>
        <v>-1.7242865597379066E-2</v>
      </c>
      <c r="G2674">
        <f t="shared" si="92"/>
        <v>-2.6721628597335935E-2</v>
      </c>
    </row>
    <row r="2675" spans="1:38" x14ac:dyDescent="0.35">
      <c r="A2675" t="s">
        <v>143</v>
      </c>
      <c r="E2675">
        <v>2.7085496803698768E-2</v>
      </c>
      <c r="F2675">
        <f t="shared" si="93"/>
        <v>-1.7248304856301383E-2</v>
      </c>
      <c r="G2675">
        <f t="shared" si="92"/>
        <v>-2.6721628597335935E-2</v>
      </c>
    </row>
    <row r="2676" spans="1:38" x14ac:dyDescent="0.35">
      <c r="A2676" t="s">
        <v>143</v>
      </c>
      <c r="E2676">
        <v>-2.7619477937330219E-3</v>
      </c>
      <c r="F2676">
        <f t="shared" si="93"/>
        <v>-1.72537441152237E-2</v>
      </c>
      <c r="G2676">
        <f t="shared" si="92"/>
        <v>-2.6721628597335935E-2</v>
      </c>
    </row>
    <row r="2677" spans="1:38" x14ac:dyDescent="0.35">
      <c r="A2677" t="s">
        <v>143</v>
      </c>
      <c r="E2677">
        <v>-6.4576661969986144E-3</v>
      </c>
      <c r="F2677">
        <f t="shared" si="93"/>
        <v>-1.7259183374146017E-2</v>
      </c>
      <c r="G2677">
        <f t="shared" si="92"/>
        <v>-2.6721628597335935E-2</v>
      </c>
    </row>
    <row r="2678" spans="1:38" x14ac:dyDescent="0.35">
      <c r="A2678" t="s">
        <v>144</v>
      </c>
      <c r="B2678" s="3" cm="1">
        <f t="array" ref="B2678">_xlfn.STDEV.S(_xlfn._xlws.FILTER($E$2013:$E$3011, $A$2013:$A$3011="2020-10"))</f>
        <v>1.2881778906009516E-2</v>
      </c>
      <c r="C2678" s="3" cm="1">
        <f t="array" ref="C2678">AVERAGE(_xlfn._xlws.FILTER($E$2013:$E$3011, $A$2013:$A$3011="2020-10"))</f>
        <v>-3.4803446685983471E-3</v>
      </c>
      <c r="D2678" s="3" cm="1">
        <f t="array" ref="D2678">_xlfn.PERCENTILE.EXC(_xlfn._xlws.FILTER($E$2490:$E$3818, $A$2490:$A$3818="2020-10"), 0.05)</f>
        <v>-3.4620250487975582E-2</v>
      </c>
      <c r="E2678">
        <v>1.5028883664016925E-4</v>
      </c>
      <c r="F2678">
        <f t="shared" si="93"/>
        <v>-1.7264622633068334E-2</v>
      </c>
      <c r="G2678">
        <f t="shared" si="92"/>
        <v>-2.6721628597335935E-2</v>
      </c>
      <c r="AI2678" s="3"/>
      <c r="AJ2678" s="3"/>
      <c r="AK2678" s="3"/>
      <c r="AL2678" s="3"/>
    </row>
    <row r="2679" spans="1:38" x14ac:dyDescent="0.35">
      <c r="A2679" t="s">
        <v>144</v>
      </c>
      <c r="E2679">
        <v>-9.8981687073734716E-4</v>
      </c>
      <c r="F2679">
        <f t="shared" si="93"/>
        <v>-1.7270061891990651E-2</v>
      </c>
      <c r="G2679">
        <f t="shared" si="92"/>
        <v>-2.6721628597335935E-2</v>
      </c>
    </row>
    <row r="2680" spans="1:38" x14ac:dyDescent="0.35">
      <c r="A2680" t="s">
        <v>144</v>
      </c>
      <c r="E2680">
        <v>9.1372698452414011E-3</v>
      </c>
      <c r="F2680">
        <f t="shared" si="93"/>
        <v>-1.7275501150912968E-2</v>
      </c>
      <c r="G2680">
        <f t="shared" si="92"/>
        <v>-2.6721628597335935E-2</v>
      </c>
    </row>
    <row r="2681" spans="1:38" x14ac:dyDescent="0.35">
      <c r="A2681" t="s">
        <v>144</v>
      </c>
      <c r="E2681">
        <v>4.0536073059612016E-3</v>
      </c>
      <c r="F2681">
        <f t="shared" si="93"/>
        <v>-1.7275946009568915E-2</v>
      </c>
      <c r="G2681">
        <f t="shared" si="92"/>
        <v>-2.6890309444593492E-2</v>
      </c>
    </row>
    <row r="2682" spans="1:38" x14ac:dyDescent="0.35">
      <c r="A2682" t="s">
        <v>144</v>
      </c>
      <c r="E2682">
        <v>4.0205791804302814E-5</v>
      </c>
      <c r="F2682">
        <f t="shared" si="93"/>
        <v>-1.7276390868224863E-2</v>
      </c>
      <c r="G2682">
        <f t="shared" si="92"/>
        <v>-2.6890309444593492E-2</v>
      </c>
    </row>
    <row r="2683" spans="1:38" x14ac:dyDescent="0.35">
      <c r="A2683" t="s">
        <v>144</v>
      </c>
      <c r="E2683">
        <v>6.8822420483225649E-3</v>
      </c>
      <c r="F2683">
        <f t="shared" si="93"/>
        <v>-1.7276835726880813E-2</v>
      </c>
      <c r="G2683">
        <f t="shared" si="92"/>
        <v>-2.6890309444593492E-2</v>
      </c>
    </row>
    <row r="2684" spans="1:38" x14ac:dyDescent="0.35">
      <c r="A2684" t="s">
        <v>144</v>
      </c>
      <c r="E2684">
        <v>5.3179231084525954E-3</v>
      </c>
      <c r="F2684">
        <f t="shared" si="93"/>
        <v>-1.727728058553676E-2</v>
      </c>
      <c r="G2684">
        <f t="shared" si="92"/>
        <v>-2.6890309444593492E-2</v>
      </c>
    </row>
    <row r="2685" spans="1:38" x14ac:dyDescent="0.35">
      <c r="A2685" t="s">
        <v>144</v>
      </c>
      <c r="E2685">
        <v>7.6089507054446538E-3</v>
      </c>
      <c r="F2685">
        <f t="shared" si="93"/>
        <v>-1.7277725444192708E-2</v>
      </c>
      <c r="G2685">
        <f t="shared" si="92"/>
        <v>-2.6890309444593492E-2</v>
      </c>
    </row>
    <row r="2686" spans="1:38" x14ac:dyDescent="0.35">
      <c r="A2686" t="s">
        <v>144</v>
      </c>
      <c r="E2686">
        <v>-5.7561684846932203E-3</v>
      </c>
      <c r="F2686">
        <f t="shared" si="93"/>
        <v>-1.7278170302848655E-2</v>
      </c>
      <c r="G2686">
        <f t="shared" si="92"/>
        <v>-2.6890309444593492E-2</v>
      </c>
    </row>
    <row r="2687" spans="1:38" x14ac:dyDescent="0.35">
      <c r="A2687" t="s">
        <v>144</v>
      </c>
      <c r="E2687">
        <v>-1.8039003925611574E-3</v>
      </c>
      <c r="F2687">
        <f t="shared" si="93"/>
        <v>-1.7278615161504605E-2</v>
      </c>
      <c r="G2687">
        <f t="shared" si="92"/>
        <v>-2.6890309444593492E-2</v>
      </c>
    </row>
    <row r="2688" spans="1:38" x14ac:dyDescent="0.35">
      <c r="A2688" t="s">
        <v>144</v>
      </c>
      <c r="E2688">
        <v>-2.4928718645785997E-2</v>
      </c>
      <c r="F2688">
        <f t="shared" si="93"/>
        <v>-1.7279060020160553E-2</v>
      </c>
      <c r="G2688">
        <f t="shared" si="92"/>
        <v>-2.6890309444593492E-2</v>
      </c>
    </row>
    <row r="2689" spans="1:38" x14ac:dyDescent="0.35">
      <c r="A2689" t="s">
        <v>144</v>
      </c>
      <c r="E2689">
        <v>1.639635623992727E-2</v>
      </c>
      <c r="F2689">
        <f t="shared" si="93"/>
        <v>-1.7215669302767477E-2</v>
      </c>
      <c r="G2689">
        <f t="shared" si="92"/>
        <v>-2.6753644846470755E-2</v>
      </c>
    </row>
    <row r="2690" spans="1:38" x14ac:dyDescent="0.35">
      <c r="A2690" t="s">
        <v>144</v>
      </c>
      <c r="E2690">
        <v>-9.1245663684799629E-4</v>
      </c>
      <c r="F2690">
        <f t="shared" si="93"/>
        <v>-1.7221108561689798E-2</v>
      </c>
      <c r="G2690">
        <f t="shared" si="92"/>
        <v>-2.6753644846470755E-2</v>
      </c>
    </row>
    <row r="2691" spans="1:38" x14ac:dyDescent="0.35">
      <c r="A2691" t="s">
        <v>144</v>
      </c>
      <c r="E2691">
        <v>-4.5252442616820297E-3</v>
      </c>
      <c r="F2691">
        <f t="shared" si="93"/>
        <v>-1.7226547820612111E-2</v>
      </c>
      <c r="G2691">
        <f t="shared" ref="G2691:G2754" si="94">AVERAGEIFS(E2691:E6507,E2691:E6507,"&lt;=" &amp; F2691)</f>
        <v>-2.6753644846470755E-2</v>
      </c>
    </row>
    <row r="2692" spans="1:38" x14ac:dyDescent="0.35">
      <c r="A2692" t="s">
        <v>144</v>
      </c>
      <c r="E2692">
        <v>-1.4721178627993855E-2</v>
      </c>
      <c r="F2692">
        <f t="shared" ref="F2692:F2755" si="95">_xlfn.PERCENTILE.EXC(E2692:E6507,0.05)</f>
        <v>-1.7231987079534428E-2</v>
      </c>
      <c r="G2692">
        <f t="shared" si="94"/>
        <v>-2.6753644846470755E-2</v>
      </c>
    </row>
    <row r="2693" spans="1:38" x14ac:dyDescent="0.35">
      <c r="A2693" t="s">
        <v>144</v>
      </c>
      <c r="E2693">
        <v>-2.9250144042038922E-3</v>
      </c>
      <c r="F2693">
        <f t="shared" si="95"/>
        <v>-1.7237426338456749E-2</v>
      </c>
      <c r="G2693">
        <f t="shared" si="94"/>
        <v>-2.6753644846470755E-2</v>
      </c>
    </row>
    <row r="2694" spans="1:38" x14ac:dyDescent="0.35">
      <c r="A2694" t="s">
        <v>144</v>
      </c>
      <c r="E2694">
        <v>8.6182123836556646E-3</v>
      </c>
      <c r="F2694">
        <f t="shared" si="95"/>
        <v>-1.7242865597379066E-2</v>
      </c>
      <c r="G2694">
        <f t="shared" si="94"/>
        <v>-2.6753644846470755E-2</v>
      </c>
    </row>
    <row r="2695" spans="1:38" x14ac:dyDescent="0.35">
      <c r="A2695" t="s">
        <v>144</v>
      </c>
      <c r="E2695">
        <v>-2.9700268891408553E-2</v>
      </c>
      <c r="F2695">
        <f t="shared" si="95"/>
        <v>-1.7248304856301383E-2</v>
      </c>
      <c r="G2695">
        <f t="shared" si="94"/>
        <v>-2.6753644846470755E-2</v>
      </c>
    </row>
    <row r="2696" spans="1:38" x14ac:dyDescent="0.35">
      <c r="A2696" t="s">
        <v>144</v>
      </c>
      <c r="E2696">
        <v>-1.1221245199504463E-2</v>
      </c>
      <c r="F2696">
        <f t="shared" si="95"/>
        <v>-1.7166266260161368E-2</v>
      </c>
      <c r="G2696">
        <f t="shared" si="94"/>
        <v>-2.6529831401489647E-2</v>
      </c>
    </row>
    <row r="2697" spans="1:38" x14ac:dyDescent="0.35">
      <c r="A2697" t="s">
        <v>144</v>
      </c>
      <c r="E2697">
        <v>-3.5488482534428586E-2</v>
      </c>
      <c r="F2697">
        <f t="shared" si="95"/>
        <v>-1.7166378688237682E-2</v>
      </c>
      <c r="G2697">
        <f t="shared" si="94"/>
        <v>-2.6529831401489647E-2</v>
      </c>
    </row>
    <row r="2698" spans="1:38" x14ac:dyDescent="0.35">
      <c r="A2698" t="s">
        <v>144</v>
      </c>
      <c r="E2698">
        <v>-1.1850962884889804E-3</v>
      </c>
      <c r="F2698">
        <f t="shared" si="95"/>
        <v>-1.7154432121688257E-2</v>
      </c>
      <c r="G2698">
        <f t="shared" si="94"/>
        <v>-2.6202616845713074E-2</v>
      </c>
    </row>
    <row r="2699" spans="1:38" x14ac:dyDescent="0.35">
      <c r="A2699" t="s">
        <v>144</v>
      </c>
      <c r="E2699">
        <v>-6.1504773627737324E-4</v>
      </c>
      <c r="F2699">
        <f t="shared" si="95"/>
        <v>-1.7159449766314304E-2</v>
      </c>
      <c r="G2699">
        <f t="shared" si="94"/>
        <v>-2.6202616845713074E-2</v>
      </c>
    </row>
    <row r="2700" spans="1:38" x14ac:dyDescent="0.35">
      <c r="A2700" t="s">
        <v>145</v>
      </c>
      <c r="B2700" s="3" cm="1">
        <f t="array" ref="B2700">_xlfn.STDEV.S(_xlfn._xlws.FILTER($E$2013:$E$3011, $A$2013:$A$3011="2020-11"))</f>
        <v>1.5924436780296394E-2</v>
      </c>
      <c r="C2700" s="3" cm="1">
        <f t="array" ref="C2700">AVERAGE(_xlfn._xlws.FILTER($E$2013:$E$3011, $A$2013:$A$3011="2020-11"))</f>
        <v>7.9069004530353659E-3</v>
      </c>
      <c r="D2700" s="3" cm="1">
        <f t="array" ref="D2700">_xlfn.PERCENTILE.EXC(_xlfn._xlws.FILTER($E$2490:$E$3818, $A$2490:$A$3818="2020-11"), 0.05)</f>
        <v>-1.1211000645514462E-2</v>
      </c>
      <c r="E2700">
        <v>2.0520146220970373E-2</v>
      </c>
      <c r="F2700">
        <f t="shared" si="95"/>
        <v>-1.716446741094035E-2</v>
      </c>
      <c r="G2700">
        <f t="shared" si="94"/>
        <v>-2.6202616845713074E-2</v>
      </c>
      <c r="AI2700" s="3"/>
      <c r="AJ2700" s="3"/>
      <c r="AK2700" s="3"/>
      <c r="AL2700" s="3"/>
    </row>
    <row r="2701" spans="1:38" x14ac:dyDescent="0.35">
      <c r="A2701" t="s">
        <v>145</v>
      </c>
      <c r="E2701">
        <v>2.5884621092847632E-2</v>
      </c>
      <c r="F2701">
        <f t="shared" si="95"/>
        <v>-1.7164579839016664E-2</v>
      </c>
      <c r="G2701">
        <f t="shared" si="94"/>
        <v>-2.6366946835436215E-2</v>
      </c>
    </row>
    <row r="2702" spans="1:38" x14ac:dyDescent="0.35">
      <c r="A2702" t="s">
        <v>145</v>
      </c>
      <c r="E2702">
        <v>1.9921454881858942E-2</v>
      </c>
      <c r="F2702">
        <f t="shared" si="95"/>
        <v>-1.7164692267092978E-2</v>
      </c>
      <c r="G2702">
        <f t="shared" si="94"/>
        <v>-2.6366946835436215E-2</v>
      </c>
    </row>
    <row r="2703" spans="1:38" x14ac:dyDescent="0.35">
      <c r="A2703" t="s">
        <v>145</v>
      </c>
      <c r="E2703">
        <v>1.7090948157026557E-2</v>
      </c>
      <c r="F2703">
        <f t="shared" si="95"/>
        <v>-1.7164804695169292E-2</v>
      </c>
      <c r="G2703">
        <f t="shared" si="94"/>
        <v>-2.6366946835436215E-2</v>
      </c>
    </row>
    <row r="2704" spans="1:38" x14ac:dyDescent="0.35">
      <c r="A2704" t="s">
        <v>145</v>
      </c>
      <c r="E2704">
        <v>-3.5858914586880909E-3</v>
      </c>
      <c r="F2704">
        <f t="shared" si="95"/>
        <v>-1.7164917123245606E-2</v>
      </c>
      <c r="G2704">
        <f t="shared" si="94"/>
        <v>-2.6366946835436215E-2</v>
      </c>
    </row>
    <row r="2705" spans="1:7" x14ac:dyDescent="0.35">
      <c r="A2705" t="s">
        <v>145</v>
      </c>
      <c r="E2705">
        <v>6.1683565590173725E-2</v>
      </c>
      <c r="F2705">
        <f t="shared" si="95"/>
        <v>-1.7165029551321917E-2</v>
      </c>
      <c r="G2705">
        <f t="shared" si="94"/>
        <v>-2.6366946835436215E-2</v>
      </c>
    </row>
    <row r="2706" spans="1:7" x14ac:dyDescent="0.35">
      <c r="A2706" t="s">
        <v>145</v>
      </c>
      <c r="E2706">
        <v>1.013360923327726E-2</v>
      </c>
      <c r="F2706">
        <f t="shared" si="95"/>
        <v>-1.7165141979398231E-2</v>
      </c>
      <c r="G2706">
        <f t="shared" si="94"/>
        <v>-2.6366946835436215E-2</v>
      </c>
    </row>
    <row r="2707" spans="1:7" x14ac:dyDescent="0.35">
      <c r="A2707" t="s">
        <v>145</v>
      </c>
      <c r="E2707">
        <v>7.1433836997694469E-3</v>
      </c>
      <c r="F2707">
        <f t="shared" si="95"/>
        <v>-1.7165254407474545E-2</v>
      </c>
      <c r="G2707">
        <f t="shared" si="94"/>
        <v>-2.6366946835436215E-2</v>
      </c>
    </row>
    <row r="2708" spans="1:7" x14ac:dyDescent="0.35">
      <c r="A2708" t="s">
        <v>145</v>
      </c>
      <c r="E2708">
        <v>-1.1340851009882727E-2</v>
      </c>
      <c r="F2708">
        <f t="shared" si="95"/>
        <v>-1.7165366835550859E-2</v>
      </c>
      <c r="G2708">
        <f t="shared" si="94"/>
        <v>-2.6366946835436215E-2</v>
      </c>
    </row>
    <row r="2709" spans="1:7" x14ac:dyDescent="0.35">
      <c r="A2709" t="s">
        <v>145</v>
      </c>
      <c r="E2709">
        <v>1.1282355972915162E-3</v>
      </c>
      <c r="F2709">
        <f t="shared" si="95"/>
        <v>-1.7165479263627173E-2</v>
      </c>
      <c r="G2709">
        <f t="shared" si="94"/>
        <v>-2.6366946835436215E-2</v>
      </c>
    </row>
    <row r="2710" spans="1:7" x14ac:dyDescent="0.35">
      <c r="A2710" t="s">
        <v>145</v>
      </c>
      <c r="E2710">
        <v>9.8982003446155525E-3</v>
      </c>
      <c r="F2710">
        <f t="shared" si="95"/>
        <v>-1.7165591691703487E-2</v>
      </c>
      <c r="G2710">
        <f t="shared" si="94"/>
        <v>-2.6366946835436215E-2</v>
      </c>
    </row>
    <row r="2711" spans="1:7" x14ac:dyDescent="0.35">
      <c r="A2711" t="s">
        <v>145</v>
      </c>
      <c r="E2711">
        <v>6.5467961252131408E-4</v>
      </c>
      <c r="F2711">
        <f t="shared" si="95"/>
        <v>-1.7165704119779801E-2</v>
      </c>
      <c r="G2711">
        <f t="shared" si="94"/>
        <v>-2.6366946835436215E-2</v>
      </c>
    </row>
    <row r="2712" spans="1:7" x14ac:dyDescent="0.35">
      <c r="A2712" t="s">
        <v>145</v>
      </c>
      <c r="E2712">
        <v>3.9392050247646377E-3</v>
      </c>
      <c r="F2712">
        <f t="shared" si="95"/>
        <v>-1.7165816547856115E-2</v>
      </c>
      <c r="G2712">
        <f t="shared" si="94"/>
        <v>-2.6366946835436215E-2</v>
      </c>
    </row>
    <row r="2713" spans="1:7" x14ac:dyDescent="0.35">
      <c r="A2713" t="s">
        <v>145</v>
      </c>
      <c r="E2713">
        <v>-8.7105801007314396E-3</v>
      </c>
      <c r="F2713">
        <f t="shared" si="95"/>
        <v>-1.7165928975932429E-2</v>
      </c>
      <c r="G2713">
        <f t="shared" si="94"/>
        <v>-2.6366946835436215E-2</v>
      </c>
    </row>
    <row r="2714" spans="1:7" x14ac:dyDescent="0.35">
      <c r="A2714" t="s">
        <v>145</v>
      </c>
      <c r="E2714">
        <v>4.5176294430672136E-3</v>
      </c>
      <c r="F2714">
        <f t="shared" si="95"/>
        <v>-1.7166041404008743E-2</v>
      </c>
      <c r="G2714">
        <f t="shared" si="94"/>
        <v>-2.6366946835436215E-2</v>
      </c>
    </row>
    <row r="2715" spans="1:7" x14ac:dyDescent="0.35">
      <c r="A2715" t="s">
        <v>145</v>
      </c>
      <c r="E2715">
        <v>-1.3158959801695062E-3</v>
      </c>
      <c r="F2715">
        <f t="shared" si="95"/>
        <v>-1.7166153832085057E-2</v>
      </c>
      <c r="G2715">
        <f t="shared" si="94"/>
        <v>-2.6366946835436215E-2</v>
      </c>
    </row>
    <row r="2716" spans="1:7" x14ac:dyDescent="0.35">
      <c r="A2716" t="s">
        <v>145</v>
      </c>
      <c r="E2716">
        <v>1.2893557207229839E-2</v>
      </c>
      <c r="F2716">
        <f t="shared" si="95"/>
        <v>-1.7166266260161368E-2</v>
      </c>
      <c r="G2716">
        <f t="shared" si="94"/>
        <v>-2.6366946835436215E-2</v>
      </c>
    </row>
    <row r="2717" spans="1:7" x14ac:dyDescent="0.35">
      <c r="A2717" t="s">
        <v>145</v>
      </c>
      <c r="E2717">
        <v>1.1168283239751686E-3</v>
      </c>
      <c r="F2717">
        <f t="shared" si="95"/>
        <v>-1.7166378688237682E-2</v>
      </c>
      <c r="G2717">
        <f t="shared" si="94"/>
        <v>-2.6366946835436215E-2</v>
      </c>
    </row>
    <row r="2718" spans="1:7" x14ac:dyDescent="0.35">
      <c r="A2718" t="s">
        <v>145</v>
      </c>
      <c r="E2718">
        <v>-2.7339367150024525E-4</v>
      </c>
      <c r="F2718">
        <f t="shared" si="95"/>
        <v>-1.7166491116313996E-2</v>
      </c>
      <c r="G2718">
        <f t="shared" si="94"/>
        <v>-2.6366946835436215E-2</v>
      </c>
    </row>
    <row r="2719" spans="1:7" x14ac:dyDescent="0.35">
      <c r="A2719" t="s">
        <v>145</v>
      </c>
      <c r="E2719">
        <v>4.7878046715256325E-3</v>
      </c>
      <c r="F2719">
        <f t="shared" si="95"/>
        <v>-1.716660354439031E-2</v>
      </c>
      <c r="G2719">
        <f t="shared" si="94"/>
        <v>-2.6366946835436215E-2</v>
      </c>
    </row>
    <row r="2720" spans="1:7" x14ac:dyDescent="0.35">
      <c r="A2720" t="s">
        <v>145</v>
      </c>
      <c r="E2720">
        <v>-1.0042347366200065E-2</v>
      </c>
      <c r="F2720">
        <f t="shared" si="95"/>
        <v>-1.7166715972466624E-2</v>
      </c>
      <c r="G2720">
        <f t="shared" si="94"/>
        <v>-2.6366946835436215E-2</v>
      </c>
    </row>
    <row r="2721" spans="1:38" x14ac:dyDescent="0.35">
      <c r="A2721" t="s">
        <v>146</v>
      </c>
      <c r="B2721" s="3" cm="1">
        <f t="array" ref="B2721">_xlfn.STDEV.S(_xlfn._xlws.FILTER($E$2013:$E$3011, $A$2013:$A$3011="2020-12"))</f>
        <v>9.4635933656711524E-3</v>
      </c>
      <c r="C2721" s="3" cm="1">
        <f t="array" ref="C2721">AVERAGE(_xlfn._xlws.FILTER($E$2013:$E$3011, $A$2013:$A$3011="2020-12"))</f>
        <v>1.1779794523257888E-3</v>
      </c>
      <c r="D2721" s="3" cm="1">
        <f t="array" ref="D2721">_xlfn.PERCENTILE.EXC(_xlfn._xlws.FILTER($E$2490:$E$3818, $A$2490:$A$3818="2020-12"), 0.05)</f>
        <v>-2.7755333776571574E-2</v>
      </c>
      <c r="E2721">
        <v>9.3192538557205981E-3</v>
      </c>
      <c r="F2721">
        <f t="shared" si="95"/>
        <v>-1.7172155231388941E-2</v>
      </c>
      <c r="G2721">
        <f t="shared" si="94"/>
        <v>-2.6537321481046764E-2</v>
      </c>
      <c r="AI2721" s="3"/>
      <c r="AJ2721" s="3"/>
      <c r="AK2721" s="3"/>
      <c r="AL2721" s="3"/>
    </row>
    <row r="2722" spans="1:38" x14ac:dyDescent="0.35">
      <c r="A2722" t="s">
        <v>146</v>
      </c>
      <c r="E2722">
        <v>-1.1125997378502916E-3</v>
      </c>
      <c r="F2722">
        <f t="shared" si="95"/>
        <v>-1.7177594490311258E-2</v>
      </c>
      <c r="G2722">
        <f t="shared" si="94"/>
        <v>-2.6537321481046764E-2</v>
      </c>
    </row>
    <row r="2723" spans="1:38" x14ac:dyDescent="0.35">
      <c r="A2723" t="s">
        <v>146</v>
      </c>
      <c r="E2723">
        <v>-1.1991329035973004E-3</v>
      </c>
      <c r="F2723">
        <f t="shared" si="95"/>
        <v>-1.7183033749233575E-2</v>
      </c>
      <c r="G2723">
        <f t="shared" si="94"/>
        <v>-2.6537321481046764E-2</v>
      </c>
    </row>
    <row r="2724" spans="1:38" x14ac:dyDescent="0.35">
      <c r="A2724" t="s">
        <v>146</v>
      </c>
      <c r="E2724">
        <v>6.2837047797634242E-3</v>
      </c>
      <c r="F2724">
        <f t="shared" si="95"/>
        <v>-1.7188473008155892E-2</v>
      </c>
      <c r="G2724">
        <f t="shared" si="94"/>
        <v>-2.6537321481046764E-2</v>
      </c>
    </row>
    <row r="2725" spans="1:38" x14ac:dyDescent="0.35">
      <c r="A2725" t="s">
        <v>146</v>
      </c>
      <c r="E2725">
        <v>-2.5999576133205575E-3</v>
      </c>
      <c r="F2725">
        <f t="shared" si="95"/>
        <v>-1.7193912267078209E-2</v>
      </c>
      <c r="G2725">
        <f t="shared" si="94"/>
        <v>-2.6537321481046764E-2</v>
      </c>
    </row>
    <row r="2726" spans="1:38" x14ac:dyDescent="0.35">
      <c r="A2726" t="s">
        <v>146</v>
      </c>
      <c r="E2726">
        <v>-1.1933192552641587E-3</v>
      </c>
      <c r="F2726">
        <f t="shared" si="95"/>
        <v>-1.7199351526000526E-2</v>
      </c>
      <c r="G2726">
        <f t="shared" si="94"/>
        <v>-2.6537321481046764E-2</v>
      </c>
    </row>
    <row r="2727" spans="1:38" x14ac:dyDescent="0.35">
      <c r="A2727" t="s">
        <v>146</v>
      </c>
      <c r="E2727">
        <v>8.9299768226841112E-4</v>
      </c>
      <c r="F2727">
        <f t="shared" si="95"/>
        <v>-1.7204790784922843E-2</v>
      </c>
      <c r="G2727">
        <f t="shared" si="94"/>
        <v>-2.6537321481046764E-2</v>
      </c>
    </row>
    <row r="2728" spans="1:38" x14ac:dyDescent="0.35">
      <c r="A2728" t="s">
        <v>146</v>
      </c>
      <c r="E2728">
        <v>-1.9031876327927882E-3</v>
      </c>
      <c r="F2728">
        <f t="shared" si="95"/>
        <v>-1.721023004384516E-2</v>
      </c>
      <c r="G2728">
        <f t="shared" si="94"/>
        <v>-2.6537321481046764E-2</v>
      </c>
    </row>
    <row r="2729" spans="1:38" x14ac:dyDescent="0.35">
      <c r="A2729" t="s">
        <v>146</v>
      </c>
      <c r="E2729">
        <v>-1.0407976204869586E-2</v>
      </c>
      <c r="F2729">
        <f t="shared" si="95"/>
        <v>-1.7215669302767477E-2</v>
      </c>
      <c r="G2729">
        <f t="shared" si="94"/>
        <v>-2.6537321481046764E-2</v>
      </c>
    </row>
    <row r="2730" spans="1:38" x14ac:dyDescent="0.35">
      <c r="A2730" t="s">
        <v>146</v>
      </c>
      <c r="E2730">
        <v>5.18470931660708E-3</v>
      </c>
      <c r="F2730">
        <f t="shared" si="95"/>
        <v>-1.7221108561689798E-2</v>
      </c>
      <c r="G2730">
        <f t="shared" si="94"/>
        <v>-2.6537321481046764E-2</v>
      </c>
    </row>
    <row r="2731" spans="1:38" x14ac:dyDescent="0.35">
      <c r="A2731" t="s">
        <v>146</v>
      </c>
      <c r="E2731">
        <v>4.9932777194546876E-3</v>
      </c>
      <c r="F2731">
        <f t="shared" si="95"/>
        <v>-1.7226547820612111E-2</v>
      </c>
      <c r="G2731">
        <f t="shared" si="94"/>
        <v>-2.6537321481046764E-2</v>
      </c>
    </row>
    <row r="2732" spans="1:38" x14ac:dyDescent="0.35">
      <c r="A2732" t="s">
        <v>146</v>
      </c>
      <c r="E2732">
        <v>6.0867906800070445E-3</v>
      </c>
      <c r="F2732">
        <f t="shared" si="95"/>
        <v>-1.7231987079534428E-2</v>
      </c>
      <c r="G2732">
        <f t="shared" si="94"/>
        <v>-2.6537321481046764E-2</v>
      </c>
    </row>
    <row r="2733" spans="1:38" x14ac:dyDescent="0.35">
      <c r="A2733" t="s">
        <v>146</v>
      </c>
      <c r="E2733">
        <v>5.031071146653735E-3</v>
      </c>
      <c r="F2733">
        <f t="shared" si="95"/>
        <v>-1.7237426338456749E-2</v>
      </c>
      <c r="G2733">
        <f t="shared" si="94"/>
        <v>-2.6537321481046764E-2</v>
      </c>
    </row>
    <row r="2734" spans="1:38" x14ac:dyDescent="0.35">
      <c r="A2734" t="s">
        <v>146</v>
      </c>
      <c r="E2734">
        <v>-4.2580141191831669E-3</v>
      </c>
      <c r="F2734">
        <f t="shared" si="95"/>
        <v>-1.7242865597379066E-2</v>
      </c>
      <c r="G2734">
        <f t="shared" si="94"/>
        <v>-2.6537321481046764E-2</v>
      </c>
    </row>
    <row r="2735" spans="1:38" x14ac:dyDescent="0.35">
      <c r="A2735" t="s">
        <v>146</v>
      </c>
      <c r="E2735">
        <v>-2.7755333776571574E-2</v>
      </c>
      <c r="F2735">
        <f t="shared" si="95"/>
        <v>-1.7248304856301383E-2</v>
      </c>
      <c r="G2735">
        <f t="shared" si="94"/>
        <v>-2.6537321481046764E-2</v>
      </c>
    </row>
    <row r="2736" spans="1:38" x14ac:dyDescent="0.35">
      <c r="A2736" t="s">
        <v>146</v>
      </c>
      <c r="E2736">
        <v>1.4054019234045534E-2</v>
      </c>
      <c r="F2736">
        <f t="shared" si="95"/>
        <v>-1.7166266260161368E-2</v>
      </c>
      <c r="G2736">
        <f t="shared" si="94"/>
        <v>-2.6341235966155927E-2</v>
      </c>
    </row>
    <row r="2737" spans="1:38" x14ac:dyDescent="0.35">
      <c r="A2737" t="s">
        <v>146</v>
      </c>
      <c r="E2737">
        <v>1.1872097377569562E-2</v>
      </c>
      <c r="F2737">
        <f t="shared" si="95"/>
        <v>-1.7166378688237682E-2</v>
      </c>
      <c r="G2737">
        <f t="shared" si="94"/>
        <v>-2.6341235966155927E-2</v>
      </c>
    </row>
    <row r="2738" spans="1:38" x14ac:dyDescent="0.35">
      <c r="A2738" t="s">
        <v>146</v>
      </c>
      <c r="E2738">
        <v>1.1827743027091223E-2</v>
      </c>
      <c r="F2738">
        <f t="shared" si="95"/>
        <v>-1.7166491116313996E-2</v>
      </c>
      <c r="G2738">
        <f t="shared" si="94"/>
        <v>-2.6341235966155927E-2</v>
      </c>
    </row>
    <row r="2739" spans="1:38" x14ac:dyDescent="0.35">
      <c r="A2739" t="s">
        <v>146</v>
      </c>
      <c r="E2739">
        <v>-2.7345339815418924E-3</v>
      </c>
      <c r="F2739">
        <f t="shared" si="95"/>
        <v>-1.716660354439031E-2</v>
      </c>
      <c r="G2739">
        <f t="shared" si="94"/>
        <v>-2.6341235966155927E-2</v>
      </c>
    </row>
    <row r="2740" spans="1:38" x14ac:dyDescent="0.35">
      <c r="A2740" t="s">
        <v>147</v>
      </c>
      <c r="B2740" s="3" cm="1">
        <f t="array" ref="B2740">_xlfn.STDEV.S(_xlfn._xlws.FILTER($E$2013:$E$3011, $A$2013:$A$3011="2021-01"))</f>
        <v>9.5564244153844811E-3</v>
      </c>
      <c r="C2740" s="3" cm="1">
        <f t="array" ref="C2740">AVERAGE(_xlfn._xlws.FILTER($E$2013:$E$3011, $A$2013:$A$3011="2021-01"))</f>
        <v>-1.2782436745161542E-3</v>
      </c>
      <c r="D2740" s="3" cm="1">
        <f t="array" ref="D2740">_xlfn.PERCENTILE.EXC(_xlfn._xlws.FILTER($E$2490:$E$3818, $A$2490:$A$3818="2021-01"), 0.05)</f>
        <v>-2.1200429568141811E-2</v>
      </c>
      <c r="E2740">
        <v>-2.0179435601718949E-3</v>
      </c>
      <c r="F2740">
        <f t="shared" si="95"/>
        <v>-1.7166715972466624E-2</v>
      </c>
      <c r="G2740">
        <f t="shared" si="94"/>
        <v>-2.6341235966155927E-2</v>
      </c>
      <c r="AI2740" s="3"/>
      <c r="AJ2740" s="3"/>
      <c r="AK2740" s="3"/>
      <c r="AL2740" s="3"/>
    </row>
    <row r="2741" spans="1:38" x14ac:dyDescent="0.35">
      <c r="A2741" t="s">
        <v>147</v>
      </c>
      <c r="E2741">
        <v>-4.6511450169512726E-3</v>
      </c>
      <c r="F2741">
        <f t="shared" si="95"/>
        <v>-1.7172155231388941E-2</v>
      </c>
      <c r="G2741">
        <f t="shared" si="94"/>
        <v>-2.6514340116980256E-2</v>
      </c>
    </row>
    <row r="2742" spans="1:38" x14ac:dyDescent="0.35">
      <c r="A2742" t="s">
        <v>147</v>
      </c>
      <c r="E2742">
        <v>1.7665110363469384E-2</v>
      </c>
      <c r="F2742">
        <f t="shared" si="95"/>
        <v>-1.7177594490311258E-2</v>
      </c>
      <c r="G2742">
        <f t="shared" si="94"/>
        <v>-2.6514340116980256E-2</v>
      </c>
    </row>
    <row r="2743" spans="1:38" x14ac:dyDescent="0.35">
      <c r="A2743" t="s">
        <v>147</v>
      </c>
      <c r="E2743">
        <v>3.1354141950993659E-3</v>
      </c>
      <c r="F2743">
        <f t="shared" si="95"/>
        <v>-1.7183033749233575E-2</v>
      </c>
      <c r="G2743">
        <f t="shared" si="94"/>
        <v>-2.6514340116980256E-2</v>
      </c>
    </row>
    <row r="2744" spans="1:38" x14ac:dyDescent="0.35">
      <c r="A2744" t="s">
        <v>147</v>
      </c>
      <c r="E2744">
        <v>6.2277720148197734E-3</v>
      </c>
      <c r="F2744">
        <f t="shared" si="95"/>
        <v>-1.7188473008155892E-2</v>
      </c>
      <c r="G2744">
        <f t="shared" si="94"/>
        <v>-2.6514340116980256E-2</v>
      </c>
    </row>
    <row r="2745" spans="1:38" x14ac:dyDescent="0.35">
      <c r="A2745" t="s">
        <v>147</v>
      </c>
      <c r="E2745">
        <v>-6.7248008969067246E-3</v>
      </c>
      <c r="F2745">
        <f t="shared" si="95"/>
        <v>-1.7193912267078209E-2</v>
      </c>
      <c r="G2745">
        <f t="shared" si="94"/>
        <v>-2.6514340116980256E-2</v>
      </c>
    </row>
    <row r="2746" spans="1:38" x14ac:dyDescent="0.35">
      <c r="A2746" t="s">
        <v>147</v>
      </c>
      <c r="E2746">
        <v>-2.3476558430409016E-3</v>
      </c>
      <c r="F2746">
        <f t="shared" si="95"/>
        <v>-1.7199351526000526E-2</v>
      </c>
      <c r="G2746">
        <f t="shared" si="94"/>
        <v>-2.6514340116980256E-2</v>
      </c>
    </row>
    <row r="2747" spans="1:38" x14ac:dyDescent="0.35">
      <c r="A2747" t="s">
        <v>147</v>
      </c>
      <c r="E2747">
        <v>1.2118463600425873E-3</v>
      </c>
      <c r="F2747">
        <f t="shared" si="95"/>
        <v>-1.7204790784922843E-2</v>
      </c>
      <c r="G2747">
        <f t="shared" si="94"/>
        <v>-2.6514340116980256E-2</v>
      </c>
    </row>
    <row r="2748" spans="1:38" x14ac:dyDescent="0.35">
      <c r="A2748" t="s">
        <v>147</v>
      </c>
      <c r="E2748">
        <v>6.850512056478221E-3</v>
      </c>
      <c r="F2748">
        <f t="shared" si="95"/>
        <v>-1.721023004384516E-2</v>
      </c>
      <c r="G2748">
        <f t="shared" si="94"/>
        <v>-2.6514340116980256E-2</v>
      </c>
    </row>
    <row r="2749" spans="1:38" x14ac:dyDescent="0.35">
      <c r="A2749" t="s">
        <v>147</v>
      </c>
      <c r="E2749">
        <v>-1.1551146815323283E-2</v>
      </c>
      <c r="F2749">
        <f t="shared" si="95"/>
        <v>-1.7215669302767477E-2</v>
      </c>
      <c r="G2749">
        <f t="shared" si="94"/>
        <v>-2.6514340116980256E-2</v>
      </c>
    </row>
    <row r="2750" spans="1:38" x14ac:dyDescent="0.35">
      <c r="A2750" t="s">
        <v>147</v>
      </c>
      <c r="E2750">
        <v>8.663995810093537E-4</v>
      </c>
      <c r="F2750">
        <f t="shared" si="95"/>
        <v>-1.7221108561689798E-2</v>
      </c>
      <c r="G2750">
        <f t="shared" si="94"/>
        <v>-2.6514340116980256E-2</v>
      </c>
    </row>
    <row r="2751" spans="1:38" x14ac:dyDescent="0.35">
      <c r="A2751" t="s">
        <v>147</v>
      </c>
      <c r="E2751">
        <v>-2.0144239518122041E-3</v>
      </c>
      <c r="F2751">
        <f t="shared" si="95"/>
        <v>-1.7226547820612111E-2</v>
      </c>
      <c r="G2751">
        <f t="shared" si="94"/>
        <v>-2.6514340116980256E-2</v>
      </c>
    </row>
    <row r="2752" spans="1:38" x14ac:dyDescent="0.35">
      <c r="A2752" t="s">
        <v>147</v>
      </c>
      <c r="E2752">
        <v>7.9286123693033516E-3</v>
      </c>
      <c r="F2752">
        <f t="shared" si="95"/>
        <v>-1.7231987079534428E-2</v>
      </c>
      <c r="G2752">
        <f t="shared" si="94"/>
        <v>-2.6514340116980256E-2</v>
      </c>
    </row>
    <row r="2753" spans="1:38" x14ac:dyDescent="0.35">
      <c r="A2753" t="s">
        <v>147</v>
      </c>
      <c r="E2753">
        <v>-1.5713048236057168E-3</v>
      </c>
      <c r="F2753">
        <f t="shared" si="95"/>
        <v>-1.7237426338456749E-2</v>
      </c>
      <c r="G2753">
        <f t="shared" si="94"/>
        <v>-2.6514340116980256E-2</v>
      </c>
    </row>
    <row r="2754" spans="1:38" x14ac:dyDescent="0.35">
      <c r="A2754" t="s">
        <v>147</v>
      </c>
      <c r="E2754">
        <v>-4.4150548952763711E-3</v>
      </c>
      <c r="F2754">
        <f t="shared" si="95"/>
        <v>-1.7242865597379066E-2</v>
      </c>
      <c r="G2754">
        <f t="shared" si="94"/>
        <v>-2.6514340116980256E-2</v>
      </c>
    </row>
    <row r="2755" spans="1:38" x14ac:dyDescent="0.35">
      <c r="A2755" t="s">
        <v>147</v>
      </c>
      <c r="E2755">
        <v>-1.3771346344795042E-2</v>
      </c>
      <c r="F2755">
        <f t="shared" si="95"/>
        <v>-1.7248304856301383E-2</v>
      </c>
      <c r="G2755">
        <f t="shared" ref="G2755:G2818" si="96">AVERAGEIFS(E2755:E6571,E2755:E6571,"&lt;=" &amp; F2755)</f>
        <v>-2.6514340116980256E-2</v>
      </c>
    </row>
    <row r="2756" spans="1:38" x14ac:dyDescent="0.35">
      <c r="A2756" t="s">
        <v>147</v>
      </c>
      <c r="E2756">
        <v>1.110847320619341E-2</v>
      </c>
      <c r="F2756">
        <f t="shared" ref="F2756:F2819" si="97">_xlfn.PERCENTILE.EXC(E2756:E6571,0.05)</f>
        <v>-1.72537441152237E-2</v>
      </c>
      <c r="G2756">
        <f t="shared" si="96"/>
        <v>-2.6514340116980256E-2</v>
      </c>
    </row>
    <row r="2757" spans="1:38" x14ac:dyDescent="0.35">
      <c r="A2757" t="s">
        <v>147</v>
      </c>
      <c r="E2757">
        <v>-1.5836587725248256E-2</v>
      </c>
      <c r="F2757">
        <f t="shared" si="97"/>
        <v>-1.7259183374146017E-2</v>
      </c>
      <c r="G2757">
        <f t="shared" si="96"/>
        <v>-2.6514340116980256E-2</v>
      </c>
    </row>
    <row r="2758" spans="1:38" x14ac:dyDescent="0.35">
      <c r="A2758" t="s">
        <v>147</v>
      </c>
      <c r="E2758">
        <v>5.8251332699504003E-3</v>
      </c>
      <c r="F2758">
        <f t="shared" si="97"/>
        <v>-1.7264622633068334E-2</v>
      </c>
      <c r="G2758">
        <f t="shared" si="96"/>
        <v>-2.6514340116980256E-2</v>
      </c>
    </row>
    <row r="2759" spans="1:38" x14ac:dyDescent="0.35">
      <c r="A2759" t="s">
        <v>147</v>
      </c>
      <c r="E2759">
        <v>-2.1482737033557263E-2</v>
      </c>
      <c r="F2759">
        <f t="shared" si="97"/>
        <v>-1.7270061891990651E-2</v>
      </c>
      <c r="G2759">
        <f t="shared" si="96"/>
        <v>-2.6514340116980256E-2</v>
      </c>
    </row>
    <row r="2760" spans="1:38" x14ac:dyDescent="0.35">
      <c r="A2760" t="s">
        <v>148</v>
      </c>
      <c r="B2760" s="3" cm="1">
        <f t="array" ref="B2760">_xlfn.STDEV.S(_xlfn._xlws.FILTER($E$2013:$E$3011, $A$2013:$A$3011="2021-02"))</f>
        <v>7.7063551777866108E-3</v>
      </c>
      <c r="C2760" s="3" cm="1">
        <f t="array" ref="C2760">AVERAGE(_xlfn._xlws.FILTER($E$2013:$E$3011, $A$2013:$A$3011="2021-02"))</f>
        <v>2.1779589896996909E-3</v>
      </c>
      <c r="D2760" s="3" cm="1">
        <f t="array" ref="D2760">_xlfn.PERCENTILE.EXC(_xlfn._xlws.FILTER($E$2490:$E$3818, $A$2490:$A$3818="2021-02"), 0.05)</f>
        <v>-1.3031776201524542E-2</v>
      </c>
      <c r="E2760">
        <v>1.4092633859233745E-2</v>
      </c>
      <c r="F2760">
        <f t="shared" si="97"/>
        <v>-1.7166715972466624E-2</v>
      </c>
      <c r="G2760">
        <f t="shared" si="96"/>
        <v>-2.643290575733704E-2</v>
      </c>
      <c r="AI2760" s="3"/>
      <c r="AJ2760" s="3"/>
      <c r="AK2760" s="3"/>
      <c r="AL2760" s="3"/>
    </row>
    <row r="2761" spans="1:38" x14ac:dyDescent="0.35">
      <c r="A2761" t="s">
        <v>148</v>
      </c>
      <c r="E2761">
        <v>1.6741692836192153E-2</v>
      </c>
      <c r="F2761">
        <f t="shared" si="97"/>
        <v>-1.7172155231388941E-2</v>
      </c>
      <c r="G2761">
        <f t="shared" si="96"/>
        <v>-2.6611101714738392E-2</v>
      </c>
    </row>
    <row r="2762" spans="1:38" x14ac:dyDescent="0.35">
      <c r="A2762" t="s">
        <v>148</v>
      </c>
      <c r="E2762">
        <v>5.3581898726905337E-3</v>
      </c>
      <c r="F2762">
        <f t="shared" si="97"/>
        <v>-1.7177594490311258E-2</v>
      </c>
      <c r="G2762">
        <f t="shared" si="96"/>
        <v>-2.6611101714738392E-2</v>
      </c>
    </row>
    <row r="2763" spans="1:38" x14ac:dyDescent="0.35">
      <c r="A2763" t="s">
        <v>148</v>
      </c>
      <c r="E2763">
        <v>8.9274118225804531E-3</v>
      </c>
      <c r="F2763">
        <f t="shared" si="97"/>
        <v>-1.7183033749233575E-2</v>
      </c>
      <c r="G2763">
        <f t="shared" si="96"/>
        <v>-2.6611101714738392E-2</v>
      </c>
    </row>
    <row r="2764" spans="1:38" x14ac:dyDescent="0.35">
      <c r="A2764" t="s">
        <v>148</v>
      </c>
      <c r="E2764">
        <v>3.7408116367328484E-3</v>
      </c>
      <c r="F2764">
        <f t="shared" si="97"/>
        <v>-1.7188473008155892E-2</v>
      </c>
      <c r="G2764">
        <f t="shared" si="96"/>
        <v>-2.6611101714738392E-2</v>
      </c>
    </row>
    <row r="2765" spans="1:38" x14ac:dyDescent="0.35">
      <c r="A2765" t="s">
        <v>148</v>
      </c>
      <c r="E2765">
        <v>2.6607384900501764E-3</v>
      </c>
      <c r="F2765">
        <f t="shared" si="97"/>
        <v>-1.7193912267078209E-2</v>
      </c>
      <c r="G2765">
        <f t="shared" si="96"/>
        <v>-2.6611101714738392E-2</v>
      </c>
    </row>
    <row r="2766" spans="1:38" x14ac:dyDescent="0.35">
      <c r="A2766" t="s">
        <v>148</v>
      </c>
      <c r="E2766">
        <v>-1.1956368872457119E-3</v>
      </c>
      <c r="F2766">
        <f t="shared" si="97"/>
        <v>-1.7199351526000526E-2</v>
      </c>
      <c r="G2766">
        <f t="shared" si="96"/>
        <v>-2.6611101714738392E-2</v>
      </c>
    </row>
    <row r="2767" spans="1:38" x14ac:dyDescent="0.35">
      <c r="A2767" t="s">
        <v>148</v>
      </c>
      <c r="E2767">
        <v>-3.4913504238398823E-3</v>
      </c>
      <c r="F2767">
        <f t="shared" si="97"/>
        <v>-1.7204790784922843E-2</v>
      </c>
      <c r="G2767">
        <f t="shared" si="96"/>
        <v>-2.6611101714738392E-2</v>
      </c>
    </row>
    <row r="2768" spans="1:38" x14ac:dyDescent="0.35">
      <c r="A2768" t="s">
        <v>148</v>
      </c>
      <c r="E2768">
        <v>6.368830483845022E-3</v>
      </c>
      <c r="F2768">
        <f t="shared" si="97"/>
        <v>-1.721023004384516E-2</v>
      </c>
      <c r="G2768">
        <f t="shared" si="96"/>
        <v>-2.6611101714738392E-2</v>
      </c>
    </row>
    <row r="2769" spans="1:38" x14ac:dyDescent="0.35">
      <c r="A2769" t="s">
        <v>148</v>
      </c>
      <c r="E2769">
        <v>6.4963057400318162E-3</v>
      </c>
      <c r="F2769">
        <f t="shared" si="97"/>
        <v>-1.7215669302767477E-2</v>
      </c>
      <c r="G2769">
        <f t="shared" si="96"/>
        <v>-2.6611101714738392E-2</v>
      </c>
    </row>
    <row r="2770" spans="1:38" x14ac:dyDescent="0.35">
      <c r="A2770" t="s">
        <v>148</v>
      </c>
      <c r="E2770">
        <v>1.0387976817752061E-2</v>
      </c>
      <c r="F2770">
        <f t="shared" si="97"/>
        <v>-1.7221108561689798E-2</v>
      </c>
      <c r="G2770">
        <f t="shared" si="96"/>
        <v>-2.6611101714738392E-2</v>
      </c>
    </row>
    <row r="2771" spans="1:38" x14ac:dyDescent="0.35">
      <c r="A2771" t="s">
        <v>148</v>
      </c>
      <c r="E2771">
        <v>-2.0909854011587764E-3</v>
      </c>
      <c r="F2771">
        <f t="shared" si="97"/>
        <v>-1.7226547820612111E-2</v>
      </c>
      <c r="G2771">
        <f t="shared" si="96"/>
        <v>-2.6611101714738392E-2</v>
      </c>
    </row>
    <row r="2772" spans="1:38" x14ac:dyDescent="0.35">
      <c r="A2772" t="s">
        <v>148</v>
      </c>
      <c r="E2772">
        <v>-7.1503418600912206E-3</v>
      </c>
      <c r="F2772">
        <f t="shared" si="97"/>
        <v>-1.7231987079534428E-2</v>
      </c>
      <c r="G2772">
        <f t="shared" si="96"/>
        <v>-2.6611101714738392E-2</v>
      </c>
    </row>
    <row r="2773" spans="1:38" x14ac:dyDescent="0.35">
      <c r="A2773" t="s">
        <v>148</v>
      </c>
      <c r="E2773">
        <v>-5.0969573376717968E-3</v>
      </c>
      <c r="F2773">
        <f t="shared" si="97"/>
        <v>-1.7237426338456749E-2</v>
      </c>
      <c r="G2773">
        <f t="shared" si="96"/>
        <v>-2.6611101714738392E-2</v>
      </c>
    </row>
    <row r="2774" spans="1:38" x14ac:dyDescent="0.35">
      <c r="A2774" t="s">
        <v>148</v>
      </c>
      <c r="E2774">
        <v>8.7687356096668272E-3</v>
      </c>
      <c r="F2774">
        <f t="shared" si="97"/>
        <v>-1.7242865597379066E-2</v>
      </c>
      <c r="G2774">
        <f t="shared" si="96"/>
        <v>-2.6611101714738392E-2</v>
      </c>
    </row>
    <row r="2775" spans="1:38" x14ac:dyDescent="0.35">
      <c r="A2775" t="s">
        <v>148</v>
      </c>
      <c r="E2775">
        <v>-3.6717782719949839E-3</v>
      </c>
      <c r="F2775">
        <f t="shared" si="97"/>
        <v>-1.7248304856301383E-2</v>
      </c>
      <c r="G2775">
        <f t="shared" si="96"/>
        <v>-2.6611101714738392E-2</v>
      </c>
    </row>
    <row r="2776" spans="1:38" x14ac:dyDescent="0.35">
      <c r="A2776" t="s">
        <v>148</v>
      </c>
      <c r="E2776">
        <v>-2.9097524234740339E-3</v>
      </c>
      <c r="F2776">
        <f t="shared" si="97"/>
        <v>-1.72537441152237E-2</v>
      </c>
      <c r="G2776">
        <f t="shared" si="96"/>
        <v>-2.6611101714738392E-2</v>
      </c>
    </row>
    <row r="2777" spans="1:38" x14ac:dyDescent="0.35">
      <c r="A2777" t="s">
        <v>148</v>
      </c>
      <c r="E2777">
        <v>4.5679036681159704E-3</v>
      </c>
      <c r="F2777">
        <f t="shared" si="97"/>
        <v>-1.7259183374146017E-2</v>
      </c>
      <c r="G2777">
        <f t="shared" si="96"/>
        <v>-2.6611101714738392E-2</v>
      </c>
    </row>
    <row r="2778" spans="1:38" x14ac:dyDescent="0.35">
      <c r="A2778" t="s">
        <v>148</v>
      </c>
      <c r="E2778">
        <v>-5.603923060031918E-3</v>
      </c>
      <c r="F2778">
        <f t="shared" si="97"/>
        <v>-1.7264622633068334E-2</v>
      </c>
      <c r="G2778">
        <f t="shared" si="96"/>
        <v>-2.6611101714738392E-2</v>
      </c>
    </row>
    <row r="2779" spans="1:38" x14ac:dyDescent="0.35">
      <c r="A2779" t="s">
        <v>148</v>
      </c>
      <c r="E2779">
        <v>-1.3341325377389454E-2</v>
      </c>
      <c r="F2779">
        <f t="shared" si="97"/>
        <v>-1.7270061891990651E-2</v>
      </c>
      <c r="G2779">
        <f t="shared" si="96"/>
        <v>-2.6611101714738392E-2</v>
      </c>
    </row>
    <row r="2780" spans="1:38" x14ac:dyDescent="0.35">
      <c r="A2780" t="s">
        <v>149</v>
      </c>
      <c r="B2780" s="3" cm="1">
        <f t="array" ref="B2780">_xlfn.STDEV.S(_xlfn._xlws.FILTER($E$2013:$E$3011, $A$2013:$A$3011="2021-03"))</f>
        <v>7.8916701881916566E-3</v>
      </c>
      <c r="C2780" s="3" cm="1">
        <f t="array" ref="C2780">AVERAGE(_xlfn._xlws.FILTER($E$2013:$E$3011, $A$2013:$A$3011="2021-03"))</f>
        <v>3.2558661645667179E-3</v>
      </c>
      <c r="D2780" s="3" cm="1">
        <f t="array" ref="D2780">_xlfn.PERCENTILE.EXC(_xlfn._xlws.FILTER($E$2490:$E$3818, $A$2490:$A$3818="2021-03"), 0.05)</f>
        <v>-9.2456912605106238E-3</v>
      </c>
      <c r="E2780">
        <v>1.911522905194633E-2</v>
      </c>
      <c r="F2780">
        <f t="shared" si="97"/>
        <v>-1.7275501150912968E-2</v>
      </c>
      <c r="G2780">
        <f t="shared" si="96"/>
        <v>-2.6611101714738392E-2</v>
      </c>
      <c r="AI2780" s="3"/>
      <c r="AJ2780" s="3"/>
      <c r="AK2780" s="3"/>
      <c r="AL2780" s="3"/>
    </row>
    <row r="2781" spans="1:38" x14ac:dyDescent="0.35">
      <c r="A2781" t="s">
        <v>149</v>
      </c>
      <c r="E2781">
        <v>2.9672229977877214E-4</v>
      </c>
      <c r="F2781">
        <f t="shared" si="97"/>
        <v>-1.7275946009568915E-2</v>
      </c>
      <c r="G2781">
        <f t="shared" si="96"/>
        <v>-2.6794152706185952E-2</v>
      </c>
    </row>
    <row r="2782" spans="1:38" x14ac:dyDescent="0.35">
      <c r="A2782" t="s">
        <v>149</v>
      </c>
      <c r="E2782">
        <v>1.3637897134338372E-3</v>
      </c>
      <c r="F2782">
        <f t="shared" si="97"/>
        <v>-1.7276390868224863E-2</v>
      </c>
      <c r="G2782">
        <f t="shared" si="96"/>
        <v>-2.6794152706185952E-2</v>
      </c>
    </row>
    <row r="2783" spans="1:38" x14ac:dyDescent="0.35">
      <c r="A2783" t="s">
        <v>149</v>
      </c>
      <c r="E2783">
        <v>-2.1381500617104142E-3</v>
      </c>
      <c r="F2783">
        <f t="shared" si="97"/>
        <v>-1.7276835726880813E-2</v>
      </c>
      <c r="G2783">
        <f t="shared" si="96"/>
        <v>-2.6794152706185952E-2</v>
      </c>
    </row>
    <row r="2784" spans="1:38" x14ac:dyDescent="0.35">
      <c r="A2784" t="s">
        <v>149</v>
      </c>
      <c r="E2784">
        <v>-9.5764584872828473E-3</v>
      </c>
      <c r="F2784">
        <f t="shared" si="97"/>
        <v>-1.727728058553676E-2</v>
      </c>
      <c r="G2784">
        <f t="shared" si="96"/>
        <v>-2.6794152706185952E-2</v>
      </c>
    </row>
    <row r="2785" spans="1:7" x14ac:dyDescent="0.35">
      <c r="A2785" t="s">
        <v>149</v>
      </c>
      <c r="E2785">
        <v>2.5213974866092004E-2</v>
      </c>
      <c r="F2785">
        <f t="shared" si="97"/>
        <v>-1.7277725444192708E-2</v>
      </c>
      <c r="G2785">
        <f t="shared" si="96"/>
        <v>-2.6794152706185952E-2</v>
      </c>
    </row>
    <row r="2786" spans="1:7" x14ac:dyDescent="0.35">
      <c r="A2786" t="s">
        <v>149</v>
      </c>
      <c r="E2786">
        <v>6.0429707730478123E-3</v>
      </c>
      <c r="F2786">
        <f t="shared" si="97"/>
        <v>-1.7278170302848655E-2</v>
      </c>
      <c r="G2786">
        <f t="shared" si="96"/>
        <v>-2.6794152706185952E-2</v>
      </c>
    </row>
    <row r="2787" spans="1:7" x14ac:dyDescent="0.35">
      <c r="A2787" t="s">
        <v>149</v>
      </c>
      <c r="E2787">
        <v>8.9062207404370878E-3</v>
      </c>
      <c r="F2787">
        <f t="shared" si="97"/>
        <v>-1.7278615161504605E-2</v>
      </c>
      <c r="G2787">
        <f t="shared" si="96"/>
        <v>-2.6794152706185952E-2</v>
      </c>
    </row>
    <row r="2788" spans="1:7" x14ac:dyDescent="0.35">
      <c r="A2788" t="s">
        <v>149</v>
      </c>
      <c r="E2788">
        <v>6.7105590505228E-3</v>
      </c>
      <c r="F2788">
        <f t="shared" si="97"/>
        <v>-1.7279060020160553E-2</v>
      </c>
      <c r="G2788">
        <f t="shared" si="96"/>
        <v>-2.6794152706185952E-2</v>
      </c>
    </row>
    <row r="2789" spans="1:7" x14ac:dyDescent="0.35">
      <c r="A2789" t="s">
        <v>149</v>
      </c>
      <c r="E2789">
        <v>-3.1983358426969657E-3</v>
      </c>
      <c r="F2789">
        <f t="shared" si="97"/>
        <v>-1.72795048788165E-2</v>
      </c>
      <c r="G2789">
        <f t="shared" si="96"/>
        <v>-2.6794152706185952E-2</v>
      </c>
    </row>
    <row r="2790" spans="1:7" x14ac:dyDescent="0.35">
      <c r="A2790" t="s">
        <v>149</v>
      </c>
      <c r="E2790">
        <v>-9.186763356204262E-4</v>
      </c>
      <c r="F2790">
        <f t="shared" si="97"/>
        <v>-1.7279949737472447E-2</v>
      </c>
      <c r="G2790">
        <f t="shared" si="96"/>
        <v>-2.6794152706185952E-2</v>
      </c>
    </row>
    <row r="2791" spans="1:7" x14ac:dyDescent="0.35">
      <c r="A2791" t="s">
        <v>149</v>
      </c>
      <c r="E2791">
        <v>5.4994410033202667E-3</v>
      </c>
      <c r="F2791">
        <f t="shared" si="97"/>
        <v>-1.7280394596128398E-2</v>
      </c>
      <c r="G2791">
        <f t="shared" si="96"/>
        <v>-2.6794152706185952E-2</v>
      </c>
    </row>
    <row r="2792" spans="1:7" x14ac:dyDescent="0.35">
      <c r="A2792" t="s">
        <v>149</v>
      </c>
      <c r="E2792">
        <v>-3.1685431459666506E-4</v>
      </c>
      <c r="F2792">
        <f t="shared" si="97"/>
        <v>-1.7280839454784345E-2</v>
      </c>
      <c r="G2792">
        <f t="shared" si="96"/>
        <v>-2.6794152706185952E-2</v>
      </c>
    </row>
    <row r="2793" spans="1:7" x14ac:dyDescent="0.35">
      <c r="A2793" t="s">
        <v>149</v>
      </c>
      <c r="E2793">
        <v>4.6130324584371168E-3</v>
      </c>
      <c r="F2793">
        <f t="shared" si="97"/>
        <v>-1.7281284313440292E-2</v>
      </c>
      <c r="G2793">
        <f t="shared" si="96"/>
        <v>-2.6794152706185952E-2</v>
      </c>
    </row>
    <row r="2794" spans="1:7" x14ac:dyDescent="0.35">
      <c r="A2794" t="s">
        <v>149</v>
      </c>
      <c r="E2794">
        <v>-7.9226223534217283E-3</v>
      </c>
      <c r="F2794">
        <f t="shared" si="97"/>
        <v>-1.7281729172096239E-2</v>
      </c>
      <c r="G2794">
        <f t="shared" si="96"/>
        <v>-2.6794152706185952E-2</v>
      </c>
    </row>
    <row r="2795" spans="1:7" x14ac:dyDescent="0.35">
      <c r="A2795" t="s">
        <v>149</v>
      </c>
      <c r="E2795">
        <v>-8.2911177681979946E-4</v>
      </c>
      <c r="F2795">
        <f t="shared" si="97"/>
        <v>-1.728217403075219E-2</v>
      </c>
      <c r="G2795">
        <f t="shared" si="96"/>
        <v>-2.6794152706185952E-2</v>
      </c>
    </row>
    <row r="2796" spans="1:7" x14ac:dyDescent="0.35">
      <c r="A2796" t="s">
        <v>149</v>
      </c>
      <c r="E2796">
        <v>-1.7804794244190322E-3</v>
      </c>
      <c r="F2796">
        <f t="shared" si="97"/>
        <v>-1.7282618889408137E-2</v>
      </c>
      <c r="G2796">
        <f t="shared" si="96"/>
        <v>-2.6794152706185952E-2</v>
      </c>
    </row>
    <row r="2797" spans="1:7" x14ac:dyDescent="0.35">
      <c r="A2797" t="s">
        <v>149</v>
      </c>
      <c r="E2797">
        <v>1.4439455376288673E-3</v>
      </c>
      <c r="F2797">
        <f t="shared" si="97"/>
        <v>-1.7283063748064084E-2</v>
      </c>
      <c r="G2797">
        <f t="shared" si="96"/>
        <v>-2.6794152706185952E-2</v>
      </c>
    </row>
    <row r="2798" spans="1:7" x14ac:dyDescent="0.35">
      <c r="A2798" t="s">
        <v>149</v>
      </c>
      <c r="E2798">
        <v>5.2184440687605747E-6</v>
      </c>
      <c r="F2798">
        <f t="shared" si="97"/>
        <v>-1.7283508606720031E-2</v>
      </c>
      <c r="G2798">
        <f t="shared" si="96"/>
        <v>-2.6794152706185952E-2</v>
      </c>
    </row>
    <row r="2799" spans="1:7" x14ac:dyDescent="0.35">
      <c r="A2799" t="s">
        <v>149</v>
      </c>
      <c r="E2799">
        <v>8.8606612769113E-3</v>
      </c>
      <c r="F2799">
        <f t="shared" si="97"/>
        <v>-1.7283953465375982E-2</v>
      </c>
      <c r="G2799">
        <f t="shared" si="96"/>
        <v>-2.6794152706185952E-2</v>
      </c>
    </row>
    <row r="2800" spans="1:7" x14ac:dyDescent="0.35">
      <c r="A2800" t="s">
        <v>149</v>
      </c>
      <c r="E2800">
        <v>4.178313206354152E-3</v>
      </c>
      <c r="F2800">
        <f t="shared" si="97"/>
        <v>-1.7284398324031929E-2</v>
      </c>
      <c r="G2800">
        <f t="shared" si="96"/>
        <v>-2.6794152706185952E-2</v>
      </c>
    </row>
    <row r="2801" spans="1:38" x14ac:dyDescent="0.35">
      <c r="A2801" t="s">
        <v>149</v>
      </c>
      <c r="E2801">
        <v>1.1097466071315523E-2</v>
      </c>
      <c r="F2801">
        <f t="shared" si="97"/>
        <v>-1.7288431285170925E-2</v>
      </c>
      <c r="G2801">
        <f t="shared" si="96"/>
        <v>-2.6984347793829029E-2</v>
      </c>
    </row>
    <row r="2802" spans="1:38" x14ac:dyDescent="0.35">
      <c r="A2802" t="s">
        <v>149</v>
      </c>
      <c r="E2802">
        <v>-1.7819341116922576E-3</v>
      </c>
      <c r="F2802">
        <f t="shared" si="97"/>
        <v>-1.7292464246309921E-2</v>
      </c>
      <c r="G2802">
        <f t="shared" si="96"/>
        <v>-2.6984347793829029E-2</v>
      </c>
    </row>
    <row r="2803" spans="1:38" x14ac:dyDescent="0.35">
      <c r="A2803" t="s">
        <v>150</v>
      </c>
      <c r="B2803" s="3" cm="1">
        <f t="array" ref="B2803">_xlfn.STDEV.S(_xlfn._xlws.FILTER($E$2013:$E$3011, $A$2013:$A$3011="2021-04"))</f>
        <v>6.8826762017655434E-3</v>
      </c>
      <c r="C2803" s="3" cm="1">
        <f t="array" ref="C2803">AVERAGE(_xlfn._xlws.FILTER($E$2013:$E$3011, $A$2013:$A$3011="2021-04"))</f>
        <v>7.0346171409555369E-4</v>
      </c>
      <c r="D2803" s="3" cm="1">
        <f t="array" ref="D2803">_xlfn.PERCENTILE.EXC(_xlfn._xlws.FILTER($E$2490:$E$3818, $A$2490:$A$3818="2021-04"), 0.05)</f>
        <v>-1.9241930403307392E-2</v>
      </c>
      <c r="E2803">
        <v>6.8021678215012347E-3</v>
      </c>
      <c r="F2803">
        <f t="shared" si="97"/>
        <v>-1.7296497207448917E-2</v>
      </c>
      <c r="G2803">
        <f t="shared" si="96"/>
        <v>-2.6984347793829029E-2</v>
      </c>
      <c r="AI2803" s="3"/>
      <c r="AJ2803" s="3"/>
      <c r="AK2803" s="3"/>
      <c r="AL2803" s="3"/>
    </row>
    <row r="2804" spans="1:38" x14ac:dyDescent="0.35">
      <c r="A2804" t="s">
        <v>150</v>
      </c>
      <c r="E2804">
        <v>6.1796118526432388E-3</v>
      </c>
      <c r="F2804">
        <f t="shared" si="97"/>
        <v>-1.7300530168587912E-2</v>
      </c>
      <c r="G2804">
        <f t="shared" si="96"/>
        <v>-2.6984347793829029E-2</v>
      </c>
    </row>
    <row r="2805" spans="1:38" x14ac:dyDescent="0.35">
      <c r="A2805" t="s">
        <v>150</v>
      </c>
      <c r="E2805">
        <v>-3.4438466823271019E-3</v>
      </c>
      <c r="F2805">
        <f t="shared" si="97"/>
        <v>-1.7304563129726908E-2</v>
      </c>
      <c r="G2805">
        <f t="shared" si="96"/>
        <v>-2.6984347793829029E-2</v>
      </c>
    </row>
    <row r="2806" spans="1:38" x14ac:dyDescent="0.35">
      <c r="A2806" t="s">
        <v>150</v>
      </c>
      <c r="E2806">
        <v>5.3084086039562736E-3</v>
      </c>
      <c r="F2806">
        <f t="shared" si="97"/>
        <v>-1.7308596090865904E-2</v>
      </c>
      <c r="G2806">
        <f t="shared" si="96"/>
        <v>-2.6984347793829029E-2</v>
      </c>
    </row>
    <row r="2807" spans="1:38" x14ac:dyDescent="0.35">
      <c r="A2807" t="s">
        <v>150</v>
      </c>
      <c r="E2807">
        <v>2.5387505210727333E-4</v>
      </c>
      <c r="F2807">
        <f t="shared" si="97"/>
        <v>-1.73126290520049E-2</v>
      </c>
      <c r="G2807">
        <f t="shared" si="96"/>
        <v>-2.6984347793829029E-2</v>
      </c>
    </row>
    <row r="2808" spans="1:38" x14ac:dyDescent="0.35">
      <c r="A2808" t="s">
        <v>150</v>
      </c>
      <c r="E2808">
        <v>-4.2666113480439851E-3</v>
      </c>
      <c r="F2808">
        <f t="shared" si="97"/>
        <v>-1.7316662013143896E-2</v>
      </c>
      <c r="G2808">
        <f t="shared" si="96"/>
        <v>-2.6984347793829029E-2</v>
      </c>
    </row>
    <row r="2809" spans="1:38" x14ac:dyDescent="0.35">
      <c r="A2809" t="s">
        <v>150</v>
      </c>
      <c r="E2809">
        <v>1.2839125525034463E-3</v>
      </c>
      <c r="F2809">
        <f t="shared" si="97"/>
        <v>-1.7320694974282892E-2</v>
      </c>
      <c r="G2809">
        <f t="shared" si="96"/>
        <v>-2.6984347793829029E-2</v>
      </c>
    </row>
    <row r="2810" spans="1:38" x14ac:dyDescent="0.35">
      <c r="A2810" t="s">
        <v>150</v>
      </c>
      <c r="E2810">
        <v>2.339088117544469E-3</v>
      </c>
      <c r="F2810">
        <f t="shared" si="97"/>
        <v>-1.7324727935421887E-2</v>
      </c>
      <c r="G2810">
        <f t="shared" si="96"/>
        <v>-2.6984347793829029E-2</v>
      </c>
    </row>
    <row r="2811" spans="1:38" x14ac:dyDescent="0.35">
      <c r="A2811" t="s">
        <v>150</v>
      </c>
      <c r="E2811">
        <v>4.3038018879060832E-3</v>
      </c>
      <c r="F2811">
        <f t="shared" si="97"/>
        <v>-1.7328760896560883E-2</v>
      </c>
      <c r="G2811">
        <f t="shared" si="96"/>
        <v>-2.6984347793829029E-2</v>
      </c>
    </row>
    <row r="2812" spans="1:38" x14ac:dyDescent="0.35">
      <c r="A2812" t="s">
        <v>150</v>
      </c>
      <c r="E2812">
        <v>9.8575256064983869E-3</v>
      </c>
      <c r="F2812">
        <f t="shared" si="97"/>
        <v>-1.7332793857699879E-2</v>
      </c>
      <c r="G2812">
        <f t="shared" si="96"/>
        <v>-2.6984347793829029E-2</v>
      </c>
    </row>
    <row r="2813" spans="1:38" x14ac:dyDescent="0.35">
      <c r="A2813" t="s">
        <v>150</v>
      </c>
      <c r="E2813">
        <v>-3.24852202378115E-3</v>
      </c>
      <c r="F2813">
        <f t="shared" si="97"/>
        <v>-1.7336826818838875E-2</v>
      </c>
      <c r="G2813">
        <f t="shared" si="96"/>
        <v>-2.6984347793829029E-2</v>
      </c>
    </row>
    <row r="2814" spans="1:38" x14ac:dyDescent="0.35">
      <c r="A2814" t="s">
        <v>150</v>
      </c>
      <c r="E2814">
        <v>-1.9962046556632817E-2</v>
      </c>
      <c r="F2814">
        <f t="shared" si="97"/>
        <v>-1.7340859779977871E-2</v>
      </c>
      <c r="G2814">
        <f t="shared" si="96"/>
        <v>-2.6984347793829029E-2</v>
      </c>
    </row>
    <row r="2815" spans="1:38" x14ac:dyDescent="0.35">
      <c r="A2815" t="s">
        <v>150</v>
      </c>
      <c r="E2815">
        <v>9.0819344262531732E-3</v>
      </c>
      <c r="F2815">
        <f t="shared" si="97"/>
        <v>-1.728217403075219E-2</v>
      </c>
      <c r="G2815">
        <f t="shared" si="96"/>
        <v>-2.6930794829177013E-2</v>
      </c>
    </row>
    <row r="2816" spans="1:38" x14ac:dyDescent="0.35">
      <c r="A2816" t="s">
        <v>150</v>
      </c>
      <c r="E2816">
        <v>9.6081307672760356E-3</v>
      </c>
      <c r="F2816">
        <f t="shared" si="97"/>
        <v>-1.7282618889408137E-2</v>
      </c>
      <c r="G2816">
        <f t="shared" si="96"/>
        <v>-2.6930794829177013E-2</v>
      </c>
    </row>
    <row r="2817" spans="1:38" x14ac:dyDescent="0.35">
      <c r="A2817" t="s">
        <v>150</v>
      </c>
      <c r="E2817">
        <v>-3.6372061675444579E-4</v>
      </c>
      <c r="F2817">
        <f t="shared" si="97"/>
        <v>-1.7283063748064084E-2</v>
      </c>
      <c r="G2817">
        <f t="shared" si="96"/>
        <v>-2.6930794829177013E-2</v>
      </c>
    </row>
    <row r="2818" spans="1:38" x14ac:dyDescent="0.35">
      <c r="A2818" t="s">
        <v>150</v>
      </c>
      <c r="E2818">
        <v>1.8645366403532656E-3</v>
      </c>
      <c r="F2818">
        <f t="shared" si="97"/>
        <v>-1.7283508606720031E-2</v>
      </c>
      <c r="G2818">
        <f t="shared" si="96"/>
        <v>-2.6930794829177013E-2</v>
      </c>
    </row>
    <row r="2819" spans="1:38" x14ac:dyDescent="0.35">
      <c r="A2819" t="s">
        <v>150</v>
      </c>
      <c r="E2819">
        <v>-2.2209118349289978E-3</v>
      </c>
      <c r="F2819">
        <f t="shared" si="97"/>
        <v>-1.7283953465375982E-2</v>
      </c>
      <c r="G2819">
        <f t="shared" ref="G2819:G2882" si="98">AVERAGEIFS(E2819:E6635,E2819:E6635,"&lt;=" &amp; F2819)</f>
        <v>-2.6930794829177013E-2</v>
      </c>
    </row>
    <row r="2820" spans="1:38" x14ac:dyDescent="0.35">
      <c r="A2820" t="s">
        <v>150</v>
      </c>
      <c r="E2820">
        <v>7.7738220470673146E-4</v>
      </c>
      <c r="F2820">
        <f t="shared" ref="F2820:F2883" si="99">_xlfn.PERCENTILE.EXC(E2820:E6635,0.05)</f>
        <v>-1.7284398324031929E-2</v>
      </c>
      <c r="G2820">
        <f t="shared" si="98"/>
        <v>-2.6930794829177013E-2</v>
      </c>
    </row>
    <row r="2821" spans="1:38" x14ac:dyDescent="0.35">
      <c r="A2821" t="s">
        <v>150</v>
      </c>
      <c r="E2821">
        <v>-4.5257586987456876E-3</v>
      </c>
      <c r="F2821">
        <f t="shared" si="99"/>
        <v>-1.7288431285170925E-2</v>
      </c>
      <c r="G2821">
        <f t="shared" si="98"/>
        <v>-2.7127660063975892E-2</v>
      </c>
    </row>
    <row r="2822" spans="1:38" x14ac:dyDescent="0.35">
      <c r="A2822" t="s">
        <v>150</v>
      </c>
      <c r="E2822">
        <v>-5.5597234901243455E-3</v>
      </c>
      <c r="F2822">
        <f t="shared" si="99"/>
        <v>-1.7292464246309921E-2</v>
      </c>
      <c r="G2822">
        <f t="shared" si="98"/>
        <v>-2.7127660063975892E-2</v>
      </c>
    </row>
    <row r="2823" spans="1:38" x14ac:dyDescent="0.35">
      <c r="A2823" t="s">
        <v>151</v>
      </c>
      <c r="B2823" s="3" cm="1">
        <f t="array" ref="B2823">_xlfn.STDEV.S(_xlfn._xlws.FILTER($E$2013:$E$3011, $A$2013:$A$3011="2021-05"))</f>
        <v>1.0610914087013531E-2</v>
      </c>
      <c r="C2823" s="3" cm="1">
        <f t="array" ref="C2823">AVERAGE(_xlfn._xlws.FILTER($E$2013:$E$3011, $A$2013:$A$3011="2021-05"))</f>
        <v>1.3234024980639464E-3</v>
      </c>
      <c r="D2823" s="3" cm="1">
        <f t="array" ref="D2823">_xlfn.PERCENTILE.INC(_xlfn._xlws.FILTER($E$2490:$E$3818, $A$2490:$A$3818="2021-05"), 0.05)</f>
        <v>-1.7593767405101452E-2</v>
      </c>
      <c r="E2823">
        <v>-1.264394263992674E-2</v>
      </c>
      <c r="F2823">
        <f t="shared" si="99"/>
        <v>-1.7296497207448917E-2</v>
      </c>
      <c r="G2823">
        <f t="shared" si="98"/>
        <v>-2.7127660063975892E-2</v>
      </c>
      <c r="AI2823" s="3"/>
      <c r="AJ2823" s="3"/>
      <c r="AK2823" s="3"/>
      <c r="AL2823" s="3"/>
    </row>
    <row r="2824" spans="1:38" x14ac:dyDescent="0.35">
      <c r="A2824" t="s">
        <v>151</v>
      </c>
      <c r="E2824">
        <v>1.9676223457731262E-2</v>
      </c>
      <c r="F2824">
        <f t="shared" si="99"/>
        <v>-1.7300530168587912E-2</v>
      </c>
      <c r="G2824">
        <f t="shared" si="98"/>
        <v>-2.7127660063975892E-2</v>
      </c>
    </row>
    <row r="2825" spans="1:38" x14ac:dyDescent="0.35">
      <c r="A2825" t="s">
        <v>151</v>
      </c>
      <c r="E2825">
        <v>-8.372666608433163E-4</v>
      </c>
      <c r="F2825">
        <f t="shared" si="99"/>
        <v>-1.7304563129726908E-2</v>
      </c>
      <c r="G2825">
        <f t="shared" si="98"/>
        <v>-2.7127660063975892E-2</v>
      </c>
    </row>
    <row r="2826" spans="1:38" x14ac:dyDescent="0.35">
      <c r="A2826" t="s">
        <v>151</v>
      </c>
      <c r="E2826">
        <v>8.66605952034878E-3</v>
      </c>
      <c r="F2826">
        <f t="shared" si="99"/>
        <v>-1.7308596090865904E-2</v>
      </c>
      <c r="G2826">
        <f t="shared" si="98"/>
        <v>-2.7127660063975892E-2</v>
      </c>
    </row>
    <row r="2827" spans="1:38" x14ac:dyDescent="0.35">
      <c r="A2827" t="s">
        <v>151</v>
      </c>
      <c r="E2827">
        <v>-2.7055219045030686E-3</v>
      </c>
      <c r="F2827">
        <f t="shared" si="99"/>
        <v>-1.73126290520049E-2</v>
      </c>
      <c r="G2827">
        <f t="shared" si="98"/>
        <v>-2.7127660063975892E-2</v>
      </c>
    </row>
    <row r="2828" spans="1:38" x14ac:dyDescent="0.35">
      <c r="A2828" t="s">
        <v>151</v>
      </c>
      <c r="E2828">
        <v>-1.9397276178836194E-2</v>
      </c>
      <c r="F2828">
        <f t="shared" si="99"/>
        <v>-1.7316662013143896E-2</v>
      </c>
      <c r="G2828">
        <f t="shared" si="98"/>
        <v>-2.7127660063975892E-2</v>
      </c>
    </row>
    <row r="2829" spans="1:38" x14ac:dyDescent="0.35">
      <c r="A2829" t="s">
        <v>151</v>
      </c>
      <c r="E2829">
        <v>3.4712149220594374E-4</v>
      </c>
      <c r="F2829">
        <f t="shared" si="99"/>
        <v>-1.72795048788165E-2</v>
      </c>
      <c r="G2829">
        <f t="shared" si="98"/>
        <v>-2.7084540107755396E-2</v>
      </c>
    </row>
    <row r="2830" spans="1:38" x14ac:dyDescent="0.35">
      <c r="A2830" t="s">
        <v>151</v>
      </c>
      <c r="E2830">
        <v>1.2709055519051231E-3</v>
      </c>
      <c r="F2830">
        <f t="shared" si="99"/>
        <v>-1.7279949737472447E-2</v>
      </c>
      <c r="G2830">
        <f t="shared" si="98"/>
        <v>-2.7084540107755396E-2</v>
      </c>
    </row>
    <row r="2831" spans="1:38" x14ac:dyDescent="0.35">
      <c r="A2831" t="s">
        <v>151</v>
      </c>
      <c r="E2831">
        <v>1.6309244057052225E-2</v>
      </c>
      <c r="F2831">
        <f t="shared" si="99"/>
        <v>-1.7280394596128398E-2</v>
      </c>
      <c r="G2831">
        <f t="shared" si="98"/>
        <v>-2.7084540107755396E-2</v>
      </c>
    </row>
    <row r="2832" spans="1:38" x14ac:dyDescent="0.35">
      <c r="A2832" t="s">
        <v>151</v>
      </c>
      <c r="E2832">
        <v>-2.6419831226556952E-3</v>
      </c>
      <c r="F2832">
        <f t="shared" si="99"/>
        <v>-1.7280839454784345E-2</v>
      </c>
      <c r="G2832">
        <f t="shared" si="98"/>
        <v>-2.7084540107755396E-2</v>
      </c>
    </row>
    <row r="2833" spans="1:38" x14ac:dyDescent="0.35">
      <c r="A2833" t="s">
        <v>151</v>
      </c>
      <c r="E2833">
        <v>-3.7442993480542341E-4</v>
      </c>
      <c r="F2833">
        <f t="shared" si="99"/>
        <v>-1.7281284313440292E-2</v>
      </c>
      <c r="G2833">
        <f t="shared" si="98"/>
        <v>-2.7084540107755396E-2</v>
      </c>
    </row>
    <row r="2834" spans="1:38" x14ac:dyDescent="0.35">
      <c r="A2834" t="s">
        <v>151</v>
      </c>
      <c r="E2834">
        <v>-1.7275501150912968E-2</v>
      </c>
      <c r="F2834">
        <f t="shared" si="99"/>
        <v>-1.7281729172096239E-2</v>
      </c>
      <c r="G2834">
        <f t="shared" si="98"/>
        <v>-2.7084540107755396E-2</v>
      </c>
    </row>
    <row r="2835" spans="1:38" x14ac:dyDescent="0.35">
      <c r="A2835" t="s">
        <v>151</v>
      </c>
      <c r="E2835">
        <v>1.5918891217987185E-2</v>
      </c>
      <c r="F2835">
        <f t="shared" si="99"/>
        <v>-1.7254977736140605E-2</v>
      </c>
      <c r="G2835">
        <f t="shared" si="98"/>
        <v>-2.7084540107755396E-2</v>
      </c>
    </row>
    <row r="2836" spans="1:38" x14ac:dyDescent="0.35">
      <c r="A2836" t="s">
        <v>151</v>
      </c>
      <c r="E2836">
        <v>6.4468200490128292E-3</v>
      </c>
      <c r="F2836">
        <f t="shared" si="99"/>
        <v>-1.7260861853718869E-2</v>
      </c>
      <c r="G2836">
        <f t="shared" si="98"/>
        <v>-2.7084540107755396E-2</v>
      </c>
    </row>
    <row r="2837" spans="1:38" x14ac:dyDescent="0.35">
      <c r="A2837" t="s">
        <v>151</v>
      </c>
      <c r="E2837">
        <v>2.5453323292512356E-3</v>
      </c>
      <c r="F2837">
        <f t="shared" si="99"/>
        <v>-1.7266745971297133E-2</v>
      </c>
      <c r="G2837">
        <f t="shared" si="98"/>
        <v>-2.7084540107755396E-2</v>
      </c>
    </row>
    <row r="2838" spans="1:38" x14ac:dyDescent="0.35">
      <c r="A2838" t="s">
        <v>151</v>
      </c>
      <c r="E2838">
        <v>-1.0833310635578353E-3</v>
      </c>
      <c r="F2838">
        <f t="shared" si="99"/>
        <v>-1.7272630088875397E-2</v>
      </c>
      <c r="G2838">
        <f t="shared" si="98"/>
        <v>-2.7084540107755396E-2</v>
      </c>
    </row>
    <row r="2839" spans="1:38" x14ac:dyDescent="0.35">
      <c r="A2839" t="s">
        <v>151</v>
      </c>
      <c r="E2839">
        <v>1.8684461158060448E-3</v>
      </c>
      <c r="F2839">
        <f t="shared" si="99"/>
        <v>-1.7278514206453665E-2</v>
      </c>
      <c r="G2839">
        <f t="shared" si="98"/>
        <v>-2.7084540107755396E-2</v>
      </c>
    </row>
    <row r="2840" spans="1:38" x14ac:dyDescent="0.35">
      <c r="A2840" t="s">
        <v>151</v>
      </c>
      <c r="E2840">
        <v>7.7314538298916503E-3</v>
      </c>
      <c r="F2840">
        <f t="shared" si="99"/>
        <v>-1.7284398324031929E-2</v>
      </c>
      <c r="G2840">
        <f t="shared" si="98"/>
        <v>-2.7084540107755396E-2</v>
      </c>
    </row>
    <row r="2841" spans="1:38" x14ac:dyDescent="0.35">
      <c r="A2841" t="s">
        <v>152</v>
      </c>
      <c r="B2841" s="3" cm="1">
        <f t="array" ref="B2841">_xlfn.STDEV.S(_xlfn._xlws.FILTER($E$2013:$E$3011, $A$2013:$A$3011="2021-06"))</f>
        <v>6.6797733265263537E-3</v>
      </c>
      <c r="C2841" s="3" cm="1">
        <f t="array" ref="C2841">AVERAGE(_xlfn._xlws.FILTER($E$2013:$E$3011, $A$2013:$A$3011="2021-06"))</f>
        <v>-6.9957076264914991E-5</v>
      </c>
      <c r="D2841" s="3" cm="1">
        <f t="array" ref="D2841">_xlfn.PERCENTILE.EXC(_xlfn._xlws.FILTER($E$2490:$E$3818, $A$2490:$A$3818="2021-06"), 0.05)</f>
        <v>-1.7150124683531914E-2</v>
      </c>
      <c r="E2841">
        <v>2.9230034436722967E-4</v>
      </c>
      <c r="F2841">
        <f t="shared" si="99"/>
        <v>-1.7288431285170925E-2</v>
      </c>
      <c r="G2841">
        <f t="shared" si="98"/>
        <v>-2.7288709728249639E-2</v>
      </c>
      <c r="AI2841" s="3"/>
      <c r="AJ2841" s="3"/>
      <c r="AK2841" s="3"/>
      <c r="AL2841" s="3"/>
    </row>
    <row r="2842" spans="1:38" x14ac:dyDescent="0.35">
      <c r="A2842" t="s">
        <v>152</v>
      </c>
      <c r="E2842">
        <v>4.1052721483618637E-3</v>
      </c>
      <c r="F2842">
        <f t="shared" si="99"/>
        <v>-1.7292464246309921E-2</v>
      </c>
      <c r="G2842">
        <f t="shared" si="98"/>
        <v>-2.7288709728249639E-2</v>
      </c>
    </row>
    <row r="2843" spans="1:38" x14ac:dyDescent="0.35">
      <c r="A2843" t="s">
        <v>152</v>
      </c>
      <c r="E2843">
        <v>-2.2674580648798389E-3</v>
      </c>
      <c r="F2843">
        <f t="shared" si="99"/>
        <v>-1.7296497207448917E-2</v>
      </c>
      <c r="G2843">
        <f t="shared" si="98"/>
        <v>-2.7288709728249639E-2</v>
      </c>
    </row>
    <row r="2844" spans="1:38" x14ac:dyDescent="0.35">
      <c r="A2844" t="s">
        <v>152</v>
      </c>
      <c r="E2844">
        <v>2.4826727668310678E-3</v>
      </c>
      <c r="F2844">
        <f t="shared" si="99"/>
        <v>-1.7300530168587912E-2</v>
      </c>
      <c r="G2844">
        <f t="shared" si="98"/>
        <v>-2.7288709728249639E-2</v>
      </c>
    </row>
    <row r="2845" spans="1:38" x14ac:dyDescent="0.35">
      <c r="A2845" t="s">
        <v>152</v>
      </c>
      <c r="E2845">
        <v>2.0202693315708128E-3</v>
      </c>
      <c r="F2845">
        <f t="shared" si="99"/>
        <v>-1.7304563129726908E-2</v>
      </c>
      <c r="G2845">
        <f t="shared" si="98"/>
        <v>-2.7288709728249639E-2</v>
      </c>
    </row>
    <row r="2846" spans="1:38" x14ac:dyDescent="0.35">
      <c r="A2846" t="s">
        <v>152</v>
      </c>
      <c r="E2846">
        <v>-4.003095129404945E-4</v>
      </c>
      <c r="F2846">
        <f t="shared" si="99"/>
        <v>-1.7308596090865904E-2</v>
      </c>
      <c r="G2846">
        <f t="shared" si="98"/>
        <v>-2.7288709728249639E-2</v>
      </c>
    </row>
    <row r="2847" spans="1:38" x14ac:dyDescent="0.35">
      <c r="A2847" t="s">
        <v>152</v>
      </c>
      <c r="E2847">
        <v>2.050565987808448E-4</v>
      </c>
      <c r="F2847">
        <f t="shared" si="99"/>
        <v>-1.73126290520049E-2</v>
      </c>
      <c r="G2847">
        <f t="shared" si="98"/>
        <v>-2.7288709728249639E-2</v>
      </c>
    </row>
    <row r="2848" spans="1:38" x14ac:dyDescent="0.35">
      <c r="A2848" t="s">
        <v>152</v>
      </c>
      <c r="E2848">
        <v>-1.9040830433042502E-4</v>
      </c>
      <c r="F2848">
        <f t="shared" si="99"/>
        <v>-1.7316662013143896E-2</v>
      </c>
      <c r="G2848">
        <f t="shared" si="98"/>
        <v>-2.7288709728249639E-2</v>
      </c>
    </row>
    <row r="2849" spans="1:38" x14ac:dyDescent="0.35">
      <c r="A2849" t="s">
        <v>152</v>
      </c>
      <c r="E2849">
        <v>7.4500786652168024E-3</v>
      </c>
      <c r="F2849">
        <f t="shared" si="99"/>
        <v>-1.7320694974282892E-2</v>
      </c>
      <c r="G2849">
        <f t="shared" si="98"/>
        <v>-2.7288709728249639E-2</v>
      </c>
    </row>
    <row r="2850" spans="1:38" x14ac:dyDescent="0.35">
      <c r="A2850" t="s">
        <v>152</v>
      </c>
      <c r="E2850">
        <v>1.4456310928558241E-3</v>
      </c>
      <c r="F2850">
        <f t="shared" si="99"/>
        <v>-1.7324727935421887E-2</v>
      </c>
      <c r="G2850">
        <f t="shared" si="98"/>
        <v>-2.7288709728249639E-2</v>
      </c>
    </row>
    <row r="2851" spans="1:38" x14ac:dyDescent="0.35">
      <c r="A2851" t="s">
        <v>152</v>
      </c>
      <c r="E2851">
        <v>2.6219809395264903E-3</v>
      </c>
      <c r="F2851">
        <f t="shared" si="99"/>
        <v>-1.7328760896560883E-2</v>
      </c>
      <c r="G2851">
        <f t="shared" si="98"/>
        <v>-2.7288709728249639E-2</v>
      </c>
    </row>
    <row r="2852" spans="1:38" x14ac:dyDescent="0.35">
      <c r="A2852" t="s">
        <v>152</v>
      </c>
      <c r="E2852">
        <v>1.9866725921685699E-3</v>
      </c>
      <c r="F2852">
        <f t="shared" si="99"/>
        <v>-1.7332793857699879E-2</v>
      </c>
      <c r="G2852">
        <f t="shared" si="98"/>
        <v>-2.7288709728249639E-2</v>
      </c>
    </row>
    <row r="2853" spans="1:38" x14ac:dyDescent="0.35">
      <c r="A2853" t="s">
        <v>152</v>
      </c>
      <c r="E2853">
        <v>1.5355181779737497E-3</v>
      </c>
      <c r="F2853">
        <f t="shared" si="99"/>
        <v>-1.7336826818838875E-2</v>
      </c>
      <c r="G2853">
        <f t="shared" si="98"/>
        <v>-2.7288709728249639E-2</v>
      </c>
    </row>
    <row r="2854" spans="1:38" x14ac:dyDescent="0.35">
      <c r="A2854" t="s">
        <v>152</v>
      </c>
      <c r="E2854">
        <v>-1.8145231028521714E-2</v>
      </c>
      <c r="F2854">
        <f t="shared" si="99"/>
        <v>-1.7340859779977871E-2</v>
      </c>
      <c r="G2854">
        <f t="shared" si="98"/>
        <v>-2.7288709728249639E-2</v>
      </c>
    </row>
    <row r="2855" spans="1:38" x14ac:dyDescent="0.35">
      <c r="A2855" t="s">
        <v>152</v>
      </c>
      <c r="E2855">
        <v>7.0671499769120062E-3</v>
      </c>
      <c r="F2855">
        <f t="shared" si="99"/>
        <v>-1.7254977736140605E-2</v>
      </c>
      <c r="G2855">
        <f t="shared" si="98"/>
        <v>-2.7270775713572764E-2</v>
      </c>
    </row>
    <row r="2856" spans="1:38" x14ac:dyDescent="0.35">
      <c r="A2856" t="s">
        <v>152</v>
      </c>
      <c r="E2856">
        <v>2.6228058156310932E-3</v>
      </c>
      <c r="F2856">
        <f t="shared" si="99"/>
        <v>-1.7260861853718869E-2</v>
      </c>
      <c r="G2856">
        <f t="shared" si="98"/>
        <v>-2.7270775713572764E-2</v>
      </c>
    </row>
    <row r="2857" spans="1:38" x14ac:dyDescent="0.35">
      <c r="A2857" t="s">
        <v>152</v>
      </c>
      <c r="E2857">
        <v>-1.1511188728589713E-2</v>
      </c>
      <c r="F2857">
        <f t="shared" si="99"/>
        <v>-1.7266745971297133E-2</v>
      </c>
      <c r="G2857">
        <f t="shared" si="98"/>
        <v>-2.7270775713572764E-2</v>
      </c>
    </row>
    <row r="2858" spans="1:38" x14ac:dyDescent="0.35">
      <c r="A2858" t="s">
        <v>152</v>
      </c>
      <c r="E2858">
        <v>1.1341400381483803E-2</v>
      </c>
      <c r="F2858">
        <f t="shared" si="99"/>
        <v>-1.7272630088875397E-2</v>
      </c>
      <c r="G2858">
        <f t="shared" si="98"/>
        <v>-2.7270775713572764E-2</v>
      </c>
    </row>
    <row r="2859" spans="1:38" x14ac:dyDescent="0.35">
      <c r="A2859" t="s">
        <v>152</v>
      </c>
      <c r="E2859">
        <v>-4.2945061310830333E-4</v>
      </c>
      <c r="F2859">
        <f t="shared" si="99"/>
        <v>-1.7278514206453665E-2</v>
      </c>
      <c r="G2859">
        <f t="shared" si="98"/>
        <v>-2.7270775713572764E-2</v>
      </c>
    </row>
    <row r="2860" spans="1:38" x14ac:dyDescent="0.35">
      <c r="A2860" t="s">
        <v>152</v>
      </c>
      <c r="E2860">
        <v>-7.4903797838519392E-3</v>
      </c>
      <c r="F2860">
        <f t="shared" si="99"/>
        <v>-1.7284398324031929E-2</v>
      </c>
      <c r="G2860">
        <f t="shared" si="98"/>
        <v>-2.7270775713572764E-2</v>
      </c>
    </row>
    <row r="2861" spans="1:38" x14ac:dyDescent="0.35">
      <c r="A2861" t="s">
        <v>152</v>
      </c>
      <c r="E2861">
        <v>4.2940405746057396E-3</v>
      </c>
      <c r="F2861">
        <f t="shared" si="99"/>
        <v>-1.7288431285170925E-2</v>
      </c>
      <c r="G2861">
        <f t="shared" si="98"/>
        <v>-2.7483251828243852E-2</v>
      </c>
    </row>
    <row r="2862" spans="1:38" x14ac:dyDescent="0.35">
      <c r="A2862" t="s">
        <v>152</v>
      </c>
      <c r="E2862">
        <v>-1.0575479047891597E-2</v>
      </c>
      <c r="F2862">
        <f t="shared" si="99"/>
        <v>-1.7292464246309921E-2</v>
      </c>
      <c r="G2862">
        <f t="shared" si="98"/>
        <v>-2.7483251828243852E-2</v>
      </c>
    </row>
    <row r="2863" spans="1:38" x14ac:dyDescent="0.35">
      <c r="A2863" t="s">
        <v>153</v>
      </c>
      <c r="B2863" s="3" cm="1">
        <f t="array" ref="B2863">_xlfn.STDEV.S(_xlfn._xlws.FILTER($E$2013:$E$3011, $A$2013:$A$3011="2021-07"))</f>
        <v>1.1252449489694632E-2</v>
      </c>
      <c r="C2863" s="3" cm="1">
        <f t="array" ref="C2863">AVERAGE(_xlfn._xlws.FILTER($E$2013:$E$3011, $A$2013:$A$3011="2021-07"))</f>
        <v>2.7873999151963063E-4</v>
      </c>
      <c r="D2863" s="3" cm="1">
        <f t="array" ref="D2863">_xlfn.PERCENTILE.EXC(_xlfn._xlws.FILTER($E$2490:$E$3818, $A$2490:$A$3818="2021-07"), 0.05)</f>
        <v>-2.6121449832173217E-2</v>
      </c>
      <c r="E2863">
        <v>3.583366128487607E-3</v>
      </c>
      <c r="F2863">
        <f t="shared" si="99"/>
        <v>-1.7296497207448917E-2</v>
      </c>
      <c r="G2863">
        <f t="shared" si="98"/>
        <v>-2.7483251828243852E-2</v>
      </c>
      <c r="AI2863" s="3"/>
      <c r="AJ2863" s="3"/>
      <c r="AK2863" s="3"/>
      <c r="AL2863" s="3"/>
    </row>
    <row r="2864" spans="1:38" x14ac:dyDescent="0.35">
      <c r="A2864" t="s">
        <v>153</v>
      </c>
      <c r="E2864">
        <v>1.3279108184155893E-3</v>
      </c>
      <c r="F2864">
        <f t="shared" si="99"/>
        <v>-1.7300530168587912E-2</v>
      </c>
      <c r="G2864">
        <f t="shared" si="98"/>
        <v>-2.7483251828243852E-2</v>
      </c>
    </row>
    <row r="2865" spans="1:7" x14ac:dyDescent="0.35">
      <c r="A2865" t="s">
        <v>153</v>
      </c>
      <c r="E2865">
        <v>7.4892804001805901E-4</v>
      </c>
      <c r="F2865">
        <f t="shared" si="99"/>
        <v>-1.7304563129726908E-2</v>
      </c>
      <c r="G2865">
        <f t="shared" si="98"/>
        <v>-2.7483251828243852E-2</v>
      </c>
    </row>
    <row r="2866" spans="1:7" x14ac:dyDescent="0.35">
      <c r="A2866" t="s">
        <v>153</v>
      </c>
      <c r="E2866">
        <v>-8.525808274475178E-3</v>
      </c>
      <c r="F2866">
        <f t="shared" si="99"/>
        <v>-1.7308596090865904E-2</v>
      </c>
      <c r="G2866">
        <f t="shared" si="98"/>
        <v>-2.7483251828243852E-2</v>
      </c>
    </row>
    <row r="2867" spans="1:7" x14ac:dyDescent="0.35">
      <c r="A2867" t="s">
        <v>153</v>
      </c>
      <c r="E2867">
        <v>6.3607062151191654E-3</v>
      </c>
      <c r="F2867">
        <f t="shared" si="99"/>
        <v>-1.73126290520049E-2</v>
      </c>
      <c r="G2867">
        <f t="shared" si="98"/>
        <v>-2.7483251828243852E-2</v>
      </c>
    </row>
    <row r="2868" spans="1:7" x14ac:dyDescent="0.35">
      <c r="A2868" t="s">
        <v>153</v>
      </c>
      <c r="E2868">
        <v>-2.1529444895566685E-2</v>
      </c>
      <c r="F2868">
        <f t="shared" si="99"/>
        <v>-1.7316662013143896E-2</v>
      </c>
      <c r="G2868">
        <f t="shared" si="98"/>
        <v>-2.7483251828243852E-2</v>
      </c>
    </row>
    <row r="2869" spans="1:7" x14ac:dyDescent="0.35">
      <c r="A2869" t="s">
        <v>153</v>
      </c>
      <c r="E2869">
        <v>1.8966417354052467E-2</v>
      </c>
      <c r="F2869">
        <f t="shared" si="99"/>
        <v>-1.7219673030671012E-2</v>
      </c>
      <c r="G2869">
        <f t="shared" si="98"/>
        <v>-2.7392931688423963E-2</v>
      </c>
    </row>
    <row r="2870" spans="1:7" x14ac:dyDescent="0.35">
      <c r="A2870" t="s">
        <v>153</v>
      </c>
      <c r="E2870">
        <v>6.1974328019765686E-3</v>
      </c>
      <c r="F2870">
        <f t="shared" si="99"/>
        <v>-1.7225557148249276E-2</v>
      </c>
      <c r="G2870">
        <f t="shared" si="98"/>
        <v>-2.7392931688423963E-2</v>
      </c>
    </row>
    <row r="2871" spans="1:7" x14ac:dyDescent="0.35">
      <c r="A2871" t="s">
        <v>153</v>
      </c>
      <c r="E2871">
        <v>2.8822878725756569E-4</v>
      </c>
      <c r="F2871">
        <f t="shared" si="99"/>
        <v>-1.7231441265827541E-2</v>
      </c>
      <c r="G2871">
        <f t="shared" si="98"/>
        <v>-2.7392931688423963E-2</v>
      </c>
    </row>
    <row r="2872" spans="1:7" x14ac:dyDescent="0.35">
      <c r="A2872" t="s">
        <v>153</v>
      </c>
      <c r="E2872">
        <v>1.2057516294721646E-3</v>
      </c>
      <c r="F2872">
        <f t="shared" si="99"/>
        <v>-1.7237325383405805E-2</v>
      </c>
      <c r="G2872">
        <f t="shared" si="98"/>
        <v>-2.7392931688423963E-2</v>
      </c>
    </row>
    <row r="2873" spans="1:7" x14ac:dyDescent="0.35">
      <c r="A2873" t="s">
        <v>153</v>
      </c>
      <c r="E2873">
        <v>-1.0571599541544244E-2</v>
      </c>
      <c r="F2873">
        <f t="shared" si="99"/>
        <v>-1.7243209500984073E-2</v>
      </c>
      <c r="G2873">
        <f t="shared" si="98"/>
        <v>-2.7392931688423963E-2</v>
      </c>
    </row>
    <row r="2874" spans="1:7" x14ac:dyDescent="0.35">
      <c r="A2874" t="s">
        <v>153</v>
      </c>
      <c r="E2874">
        <v>-5.0963017609723348E-3</v>
      </c>
      <c r="F2874">
        <f t="shared" si="99"/>
        <v>-1.7249093618562337E-2</v>
      </c>
      <c r="G2874">
        <f t="shared" si="98"/>
        <v>-2.7392931688423963E-2</v>
      </c>
    </row>
    <row r="2875" spans="1:7" x14ac:dyDescent="0.35">
      <c r="A2875" t="s">
        <v>153</v>
      </c>
      <c r="E2875">
        <v>-2.6931803644515546E-2</v>
      </c>
      <c r="F2875">
        <f t="shared" si="99"/>
        <v>-1.7254977736140605E-2</v>
      </c>
      <c r="G2875">
        <f t="shared" si="98"/>
        <v>-2.7392931688423963E-2</v>
      </c>
    </row>
    <row r="2876" spans="1:7" x14ac:dyDescent="0.35">
      <c r="A2876" t="s">
        <v>153</v>
      </c>
      <c r="E2876">
        <v>7.0540453597016835E-3</v>
      </c>
      <c r="F2876">
        <f t="shared" si="99"/>
        <v>-1.7166266260161368E-2</v>
      </c>
      <c r="G2876">
        <f t="shared" si="98"/>
        <v>-2.7185163865614412E-2</v>
      </c>
    </row>
    <row r="2877" spans="1:7" x14ac:dyDescent="0.35">
      <c r="A2877" t="s">
        <v>153</v>
      </c>
      <c r="E2877">
        <v>1.7622859624590346E-2</v>
      </c>
      <c r="F2877">
        <f t="shared" si="99"/>
        <v>-1.7166378688237682E-2</v>
      </c>
      <c r="G2877">
        <f t="shared" si="98"/>
        <v>-2.7185163865614412E-2</v>
      </c>
    </row>
    <row r="2878" spans="1:7" x14ac:dyDescent="0.35">
      <c r="A2878" t="s">
        <v>153</v>
      </c>
      <c r="E2878">
        <v>8.0067409945371627E-3</v>
      </c>
      <c r="F2878">
        <f t="shared" si="99"/>
        <v>-1.7166491116313996E-2</v>
      </c>
      <c r="G2878">
        <f t="shared" si="98"/>
        <v>-2.7185163865614412E-2</v>
      </c>
    </row>
    <row r="2879" spans="1:7" x14ac:dyDescent="0.35">
      <c r="A2879" t="s">
        <v>153</v>
      </c>
      <c r="E2879">
        <v>1.2255070340855889E-2</v>
      </c>
      <c r="F2879">
        <f t="shared" si="99"/>
        <v>-1.716660354439031E-2</v>
      </c>
      <c r="G2879">
        <f t="shared" si="98"/>
        <v>-2.7185163865614412E-2</v>
      </c>
    </row>
    <row r="2880" spans="1:7" x14ac:dyDescent="0.35">
      <c r="A2880" t="s">
        <v>153</v>
      </c>
      <c r="E2880">
        <v>-1.5855448424915103E-3</v>
      </c>
      <c r="F2880">
        <f t="shared" si="99"/>
        <v>-1.7166715972466624E-2</v>
      </c>
      <c r="G2880">
        <f t="shared" si="98"/>
        <v>-2.7185163865614412E-2</v>
      </c>
    </row>
    <row r="2881" spans="1:38" x14ac:dyDescent="0.35">
      <c r="A2881" t="s">
        <v>153</v>
      </c>
      <c r="E2881">
        <v>-9.2465598771851974E-3</v>
      </c>
      <c r="F2881">
        <f t="shared" si="99"/>
        <v>-1.7172600090044888E-2</v>
      </c>
      <c r="G2881">
        <f t="shared" si="98"/>
        <v>-2.7402956211117623E-2</v>
      </c>
    </row>
    <row r="2882" spans="1:38" x14ac:dyDescent="0.35">
      <c r="A2882" t="s">
        <v>153</v>
      </c>
      <c r="E2882">
        <v>9.3538034493761343E-3</v>
      </c>
      <c r="F2882">
        <f t="shared" si="99"/>
        <v>-1.7178484207623152E-2</v>
      </c>
      <c r="G2882">
        <f t="shared" si="98"/>
        <v>-2.7402956211117623E-2</v>
      </c>
    </row>
    <row r="2883" spans="1:38" x14ac:dyDescent="0.35">
      <c r="A2883" t="s">
        <v>153</v>
      </c>
      <c r="E2883">
        <v>3.3431501489734356E-3</v>
      </c>
      <c r="F2883">
        <f t="shared" si="99"/>
        <v>-1.718436832520142E-2</v>
      </c>
      <c r="G2883">
        <f t="shared" ref="G2883:G2946" si="100">AVERAGEIFS(E2883:E6699,E2883:E6699,"&lt;=" &amp; F2883)</f>
        <v>-2.7402956211117623E-2</v>
      </c>
    </row>
    <row r="2884" spans="1:38" x14ac:dyDescent="0.35">
      <c r="A2884" t="s">
        <v>153</v>
      </c>
      <c r="E2884">
        <v>-6.6950690426512667E-3</v>
      </c>
      <c r="F2884">
        <f t="shared" ref="F2884:F2947" si="101">_xlfn.PERCENTILE.EXC(E2884:E6699,0.05)</f>
        <v>-1.7190252442779684E-2</v>
      </c>
      <c r="G2884">
        <f t="shared" si="100"/>
        <v>-2.7402956211117623E-2</v>
      </c>
    </row>
    <row r="2885" spans="1:38" x14ac:dyDescent="0.35">
      <c r="A2885" t="s">
        <v>154</v>
      </c>
      <c r="B2885" s="3" cm="1">
        <f t="array" ref="B2885">_xlfn.STDEV.S(_xlfn._xlws.FILTER($E$2013:$E$3011, $A$2013:$A$3011="2021-08"))</f>
        <v>5.1622903219873117E-3</v>
      </c>
      <c r="C2885" s="3" cm="1">
        <f t="array" ref="C2885">AVERAGE(_xlfn._xlws.FILTER($E$2013:$E$3011, $A$2013:$A$3011="2021-08"))</f>
        <v>1.231218647834867E-3</v>
      </c>
      <c r="D2885" s="3" cm="1">
        <f t="array" ref="D2885">_xlfn.PERCENTILE.EXC(_xlfn._xlws.FILTER($E$2490:$E$3818, $A$2490:$A$3818="2021-08"), 0.05)</f>
        <v>-1.4656502679280902E-2</v>
      </c>
      <c r="E2885">
        <v>6.6586320464645712E-3</v>
      </c>
      <c r="F2885">
        <f t="shared" si="101"/>
        <v>-1.7196136560357948E-2</v>
      </c>
      <c r="G2885">
        <f t="shared" si="100"/>
        <v>-2.7402956211117623E-2</v>
      </c>
      <c r="AI2885" s="3"/>
      <c r="AJ2885" s="3"/>
      <c r="AK2885" s="3"/>
      <c r="AL2885" s="3"/>
    </row>
    <row r="2886" spans="1:38" x14ac:dyDescent="0.35">
      <c r="A2886" t="s">
        <v>154</v>
      </c>
      <c r="E2886">
        <v>3.2302840623505894E-4</v>
      </c>
      <c r="F2886">
        <f t="shared" si="101"/>
        <v>-1.7202020677936216E-2</v>
      </c>
      <c r="G2886">
        <f t="shared" si="100"/>
        <v>-2.7402956211117623E-2</v>
      </c>
    </row>
    <row r="2887" spans="1:38" x14ac:dyDescent="0.35">
      <c r="A2887" t="s">
        <v>154</v>
      </c>
      <c r="E2887">
        <v>6.5231961284130764E-3</v>
      </c>
      <c r="F2887">
        <f t="shared" si="101"/>
        <v>-1.720790479551448E-2</v>
      </c>
      <c r="G2887">
        <f t="shared" si="100"/>
        <v>-2.7402956211117623E-2</v>
      </c>
    </row>
    <row r="2888" spans="1:38" x14ac:dyDescent="0.35">
      <c r="A2888" t="s">
        <v>154</v>
      </c>
      <c r="E2888">
        <v>3.8959931196622432E-3</v>
      </c>
      <c r="F2888">
        <f t="shared" si="101"/>
        <v>-1.7213788913092744E-2</v>
      </c>
      <c r="G2888">
        <f t="shared" si="100"/>
        <v>-2.7402956211117623E-2</v>
      </c>
    </row>
    <row r="2889" spans="1:38" x14ac:dyDescent="0.35">
      <c r="A2889" t="s">
        <v>154</v>
      </c>
      <c r="E2889">
        <v>3.2295166283329403E-3</v>
      </c>
      <c r="F2889">
        <f t="shared" si="101"/>
        <v>-1.7219673030671012E-2</v>
      </c>
      <c r="G2889">
        <f t="shared" si="100"/>
        <v>-2.7402956211117623E-2</v>
      </c>
    </row>
    <row r="2890" spans="1:38" x14ac:dyDescent="0.35">
      <c r="A2890" t="s">
        <v>154</v>
      </c>
      <c r="E2890">
        <v>6.250232192446688E-4</v>
      </c>
      <c r="F2890">
        <f t="shared" si="101"/>
        <v>-1.7225557148249276E-2</v>
      </c>
      <c r="G2890">
        <f t="shared" si="100"/>
        <v>-2.7402956211117623E-2</v>
      </c>
    </row>
    <row r="2891" spans="1:38" x14ac:dyDescent="0.35">
      <c r="A2891" t="s">
        <v>154</v>
      </c>
      <c r="E2891">
        <v>2.5511163308103478E-3</v>
      </c>
      <c r="F2891">
        <f t="shared" si="101"/>
        <v>-1.7231441265827541E-2</v>
      </c>
      <c r="G2891">
        <f t="shared" si="100"/>
        <v>-2.7402956211117623E-2</v>
      </c>
    </row>
    <row r="2892" spans="1:38" x14ac:dyDescent="0.35">
      <c r="A2892" t="s">
        <v>154</v>
      </c>
      <c r="E2892">
        <v>4.4102214045964819E-3</v>
      </c>
      <c r="F2892">
        <f t="shared" si="101"/>
        <v>-1.7237325383405805E-2</v>
      </c>
      <c r="G2892">
        <f t="shared" si="100"/>
        <v>-2.7402956211117623E-2</v>
      </c>
    </row>
    <row r="2893" spans="1:38" x14ac:dyDescent="0.35">
      <c r="A2893" t="s">
        <v>154</v>
      </c>
      <c r="E2893">
        <v>4.7434706251270539E-3</v>
      </c>
      <c r="F2893">
        <f t="shared" si="101"/>
        <v>-1.7243209500984073E-2</v>
      </c>
      <c r="G2893">
        <f t="shared" si="100"/>
        <v>-2.7402956211117623E-2</v>
      </c>
    </row>
    <row r="2894" spans="1:38" x14ac:dyDescent="0.35">
      <c r="A2894" t="s">
        <v>154</v>
      </c>
      <c r="E2894">
        <v>7.9706438563171178E-4</v>
      </c>
      <c r="F2894">
        <f t="shared" si="101"/>
        <v>-1.7249093618562337E-2</v>
      </c>
      <c r="G2894">
        <f t="shared" si="100"/>
        <v>-2.7402956211117623E-2</v>
      </c>
    </row>
    <row r="2895" spans="1:38" x14ac:dyDescent="0.35">
      <c r="A2895" t="s">
        <v>154</v>
      </c>
      <c r="E2895">
        <v>-6.4657595745177951E-3</v>
      </c>
      <c r="F2895">
        <f t="shared" si="101"/>
        <v>-1.7254977736140605E-2</v>
      </c>
      <c r="G2895">
        <f t="shared" si="100"/>
        <v>-2.7402956211117623E-2</v>
      </c>
    </row>
    <row r="2896" spans="1:38" x14ac:dyDescent="0.35">
      <c r="A2896" t="s">
        <v>154</v>
      </c>
      <c r="E2896">
        <v>-1.4382941075769145E-3</v>
      </c>
      <c r="F2896">
        <f t="shared" si="101"/>
        <v>-1.7260861853718869E-2</v>
      </c>
      <c r="G2896">
        <f t="shared" si="100"/>
        <v>-2.7402956211117623E-2</v>
      </c>
    </row>
    <row r="2897" spans="1:38" x14ac:dyDescent="0.35">
      <c r="A2897" t="s">
        <v>154</v>
      </c>
      <c r="E2897">
        <v>-1.6647153437491541E-3</v>
      </c>
      <c r="F2897">
        <f t="shared" si="101"/>
        <v>-1.7266745971297133E-2</v>
      </c>
      <c r="G2897">
        <f t="shared" si="100"/>
        <v>-2.7402956211117623E-2</v>
      </c>
    </row>
    <row r="2898" spans="1:38" x14ac:dyDescent="0.35">
      <c r="A2898" t="s">
        <v>154</v>
      </c>
      <c r="E2898">
        <v>-1.5566585246476803E-2</v>
      </c>
      <c r="F2898">
        <f t="shared" si="101"/>
        <v>-1.7272630088875397E-2</v>
      </c>
      <c r="G2898">
        <f t="shared" si="100"/>
        <v>-2.7402956211117623E-2</v>
      </c>
    </row>
    <row r="2899" spans="1:38" x14ac:dyDescent="0.35">
      <c r="A2899" t="s">
        <v>154</v>
      </c>
      <c r="E2899">
        <v>5.5100287974950536E-3</v>
      </c>
      <c r="F2899">
        <f t="shared" si="101"/>
        <v>-1.7278514206453665E-2</v>
      </c>
      <c r="G2899">
        <f t="shared" si="100"/>
        <v>-2.7402956211117623E-2</v>
      </c>
    </row>
    <row r="2900" spans="1:38" x14ac:dyDescent="0.35">
      <c r="A2900" t="s">
        <v>154</v>
      </c>
      <c r="E2900">
        <v>6.9486771532215061E-3</v>
      </c>
      <c r="F2900">
        <f t="shared" si="101"/>
        <v>-1.7284398324031929E-2</v>
      </c>
      <c r="G2900">
        <f t="shared" si="100"/>
        <v>-2.7402956211117623E-2</v>
      </c>
    </row>
    <row r="2901" spans="1:38" x14ac:dyDescent="0.35">
      <c r="A2901" t="s">
        <v>154</v>
      </c>
      <c r="E2901">
        <v>3.9739063303508384E-4</v>
      </c>
      <c r="F2901">
        <f t="shared" si="101"/>
        <v>-1.7288431285170925E-2</v>
      </c>
      <c r="G2901">
        <f t="shared" si="100"/>
        <v>-2.7627813053052858E-2</v>
      </c>
    </row>
    <row r="2902" spans="1:38" x14ac:dyDescent="0.35">
      <c r="A2902" t="s">
        <v>154</v>
      </c>
      <c r="E2902">
        <v>7.2734236147480361E-4</v>
      </c>
      <c r="F2902">
        <f t="shared" si="101"/>
        <v>-1.7292464246309921E-2</v>
      </c>
      <c r="G2902">
        <f t="shared" si="100"/>
        <v>-2.7627813053052858E-2</v>
      </c>
    </row>
    <row r="2903" spans="1:38" x14ac:dyDescent="0.35">
      <c r="A2903" t="s">
        <v>154</v>
      </c>
      <c r="E2903">
        <v>-2.6942929653880196E-3</v>
      </c>
      <c r="F2903">
        <f t="shared" si="101"/>
        <v>-1.7296497207448917E-2</v>
      </c>
      <c r="G2903">
        <f t="shared" si="100"/>
        <v>-2.7627813053052858E-2</v>
      </c>
    </row>
    <row r="2904" spans="1:38" x14ac:dyDescent="0.35">
      <c r="A2904" t="s">
        <v>154</v>
      </c>
      <c r="E2904">
        <v>5.0497365359855502E-3</v>
      </c>
      <c r="F2904">
        <f t="shared" si="101"/>
        <v>-1.7300530168587912E-2</v>
      </c>
      <c r="G2904">
        <f t="shared" si="100"/>
        <v>-2.7627813053052858E-2</v>
      </c>
    </row>
    <row r="2905" spans="1:38" x14ac:dyDescent="0.35">
      <c r="A2905" t="s">
        <v>154</v>
      </c>
      <c r="E2905">
        <v>1.2948010665107415E-3</v>
      </c>
      <c r="F2905">
        <f t="shared" si="101"/>
        <v>-1.7304563129726908E-2</v>
      </c>
      <c r="G2905">
        <f t="shared" si="100"/>
        <v>-2.7627813053052858E-2</v>
      </c>
    </row>
    <row r="2906" spans="1:38" x14ac:dyDescent="0.35">
      <c r="A2906" t="s">
        <v>155</v>
      </c>
      <c r="B2906" s="3" cm="1">
        <f t="array" ref="B2906">_xlfn.STDEV.S(_xlfn._xlws.FILTER($E$2013:$E$3011, $A$2013:$A$3011="2021-09"))</f>
        <v>1.0527371424930942E-2</v>
      </c>
      <c r="C2906" s="3" cm="1">
        <f t="array" ref="C2906">AVERAGE(_xlfn._xlws.FILTER($E$2013:$E$3011, $A$2013:$A$3011="2021-09"))</f>
        <v>-1.6357592377986493E-3</v>
      </c>
      <c r="D2906" s="3" cm="1">
        <f t="array" ref="D2906">_xlfn.PERCENTILE.EXC(_xlfn._xlws.FILTER($E$2490:$E$3818, $A$2490:$A$3818="2021-09"), 0.05)</f>
        <v>-2.5249036394379341E-2</v>
      </c>
      <c r="E2906">
        <v>7.3269967661395621E-3</v>
      </c>
      <c r="F2906">
        <f t="shared" si="101"/>
        <v>-1.7308596090865904E-2</v>
      </c>
      <c r="G2906">
        <f t="shared" si="100"/>
        <v>-2.7627813053052858E-2</v>
      </c>
      <c r="AI2906" s="3"/>
      <c r="AJ2906" s="3"/>
      <c r="AK2906" s="3"/>
      <c r="AL2906" s="3"/>
    </row>
    <row r="2907" spans="1:38" x14ac:dyDescent="0.35">
      <c r="A2907" t="s">
        <v>155</v>
      </c>
      <c r="E2907">
        <v>1.1419291329875694E-3</v>
      </c>
      <c r="F2907">
        <f t="shared" si="101"/>
        <v>-1.73126290520049E-2</v>
      </c>
      <c r="G2907">
        <f t="shared" si="100"/>
        <v>-2.7627813053052858E-2</v>
      </c>
    </row>
    <row r="2908" spans="1:38" x14ac:dyDescent="0.35">
      <c r="A2908" t="s">
        <v>155</v>
      </c>
      <c r="E2908">
        <v>-7.142480993215369E-3</v>
      </c>
      <c r="F2908">
        <f t="shared" si="101"/>
        <v>-1.7316662013143896E-2</v>
      </c>
      <c r="G2908">
        <f t="shared" si="100"/>
        <v>-2.7627813053052858E-2</v>
      </c>
    </row>
    <row r="2909" spans="1:38" x14ac:dyDescent="0.35">
      <c r="A2909" t="s">
        <v>155</v>
      </c>
      <c r="E2909">
        <v>1.0452137090500576E-2</v>
      </c>
      <c r="F2909">
        <f t="shared" si="101"/>
        <v>-1.7320694974282892E-2</v>
      </c>
      <c r="G2909">
        <f t="shared" si="100"/>
        <v>-2.7627813053052858E-2</v>
      </c>
    </row>
    <row r="2910" spans="1:38" x14ac:dyDescent="0.35">
      <c r="A2910" t="s">
        <v>155</v>
      </c>
      <c r="E2910">
        <v>-4.9863521934729749E-3</v>
      </c>
      <c r="F2910">
        <f t="shared" si="101"/>
        <v>-1.7324727935421887E-2</v>
      </c>
      <c r="G2910">
        <f t="shared" si="100"/>
        <v>-2.7627813053052858E-2</v>
      </c>
    </row>
    <row r="2911" spans="1:38" x14ac:dyDescent="0.35">
      <c r="A2911" t="s">
        <v>155</v>
      </c>
      <c r="E2911">
        <v>-1.1392431859119076E-2</v>
      </c>
      <c r="F2911">
        <f t="shared" si="101"/>
        <v>-1.7328760896560883E-2</v>
      </c>
      <c r="G2911">
        <f t="shared" si="100"/>
        <v>-2.7627813053052858E-2</v>
      </c>
    </row>
    <row r="2912" spans="1:38" x14ac:dyDescent="0.35">
      <c r="A2912" t="s">
        <v>155</v>
      </c>
      <c r="E2912">
        <v>-9.575952867179436E-6</v>
      </c>
      <c r="F2912">
        <f t="shared" si="101"/>
        <v>-1.7332793857699879E-2</v>
      </c>
      <c r="G2912">
        <f t="shared" si="100"/>
        <v>-2.7627813053052858E-2</v>
      </c>
    </row>
    <row r="2913" spans="1:38" x14ac:dyDescent="0.35">
      <c r="A2913" t="s">
        <v>155</v>
      </c>
      <c r="E2913">
        <v>-1.6196547159928851E-3</v>
      </c>
      <c r="F2913">
        <f t="shared" si="101"/>
        <v>-1.7336826818838875E-2</v>
      </c>
      <c r="G2913">
        <f t="shared" si="100"/>
        <v>-2.7627813053052858E-2</v>
      </c>
    </row>
    <row r="2914" spans="1:38" x14ac:dyDescent="0.35">
      <c r="A2914" t="s">
        <v>155</v>
      </c>
      <c r="E2914">
        <v>4.5885906623440399E-3</v>
      </c>
      <c r="F2914">
        <f t="shared" si="101"/>
        <v>-1.7340859779977871E-2</v>
      </c>
      <c r="G2914">
        <f t="shared" si="100"/>
        <v>-2.7627813053052858E-2</v>
      </c>
    </row>
    <row r="2915" spans="1:38" x14ac:dyDescent="0.35">
      <c r="A2915" t="s">
        <v>155</v>
      </c>
      <c r="E2915">
        <v>5.106667413988361E-4</v>
      </c>
      <c r="F2915">
        <f t="shared" si="101"/>
        <v>-1.7344892741116866E-2</v>
      </c>
      <c r="G2915">
        <f t="shared" si="100"/>
        <v>-2.7627813053052858E-2</v>
      </c>
    </row>
    <row r="2916" spans="1:38" x14ac:dyDescent="0.35">
      <c r="A2916" t="s">
        <v>155</v>
      </c>
      <c r="E2916">
        <v>-1.0969680417163646E-2</v>
      </c>
      <c r="F2916">
        <f t="shared" si="101"/>
        <v>-1.7348925702255862E-2</v>
      </c>
      <c r="G2916">
        <f t="shared" si="100"/>
        <v>-2.7627813053052858E-2</v>
      </c>
    </row>
    <row r="2917" spans="1:38" x14ac:dyDescent="0.35">
      <c r="A2917" t="s">
        <v>155</v>
      </c>
      <c r="E2917">
        <v>5.7553181359642344E-3</v>
      </c>
      <c r="F2917">
        <f t="shared" si="101"/>
        <v>-1.7352958663394858E-2</v>
      </c>
      <c r="G2917">
        <f t="shared" si="100"/>
        <v>-2.7627813053052858E-2</v>
      </c>
    </row>
    <row r="2918" spans="1:38" x14ac:dyDescent="0.35">
      <c r="A2918" t="s">
        <v>155</v>
      </c>
      <c r="E2918">
        <v>-9.4040841422632204E-3</v>
      </c>
      <c r="F2918">
        <f t="shared" si="101"/>
        <v>-1.7356991624533854E-2</v>
      </c>
      <c r="G2918">
        <f t="shared" si="100"/>
        <v>-2.7627813053052858E-2</v>
      </c>
    </row>
    <row r="2919" spans="1:38" x14ac:dyDescent="0.35">
      <c r="A2919" t="s">
        <v>155</v>
      </c>
      <c r="E2919">
        <v>-2.133797272083152E-2</v>
      </c>
      <c r="F2919">
        <f t="shared" si="101"/>
        <v>-1.736102458567285E-2</v>
      </c>
      <c r="G2919">
        <f t="shared" si="100"/>
        <v>-2.7627813053052858E-2</v>
      </c>
    </row>
    <row r="2920" spans="1:38" x14ac:dyDescent="0.35">
      <c r="A2920" t="s">
        <v>155</v>
      </c>
      <c r="E2920">
        <v>1.3236668743666469E-2</v>
      </c>
      <c r="F2920">
        <f t="shared" si="101"/>
        <v>-1.7284398324031929E-2</v>
      </c>
      <c r="G2920">
        <f t="shared" si="100"/>
        <v>-2.7537733622012874E-2</v>
      </c>
    </row>
    <row r="2921" spans="1:38" x14ac:dyDescent="0.35">
      <c r="A2921" t="s">
        <v>155</v>
      </c>
      <c r="E2921">
        <v>1.2774644181743965E-2</v>
      </c>
      <c r="F2921">
        <f t="shared" si="101"/>
        <v>-1.7288431285170925E-2</v>
      </c>
      <c r="G2921">
        <f t="shared" si="100"/>
        <v>-2.7770763969694256E-2</v>
      </c>
    </row>
    <row r="2922" spans="1:38" x14ac:dyDescent="0.35">
      <c r="A2922" t="s">
        <v>155</v>
      </c>
      <c r="E2922">
        <v>1.0720153088395617E-2</v>
      </c>
      <c r="F2922">
        <f t="shared" si="101"/>
        <v>-1.7292464246309921E-2</v>
      </c>
      <c r="G2922">
        <f t="shared" si="100"/>
        <v>-2.7770763969694256E-2</v>
      </c>
    </row>
    <row r="2923" spans="1:38" x14ac:dyDescent="0.35">
      <c r="A2923" t="s">
        <v>155</v>
      </c>
      <c r="E2923">
        <v>-8.7174323785651538E-3</v>
      </c>
      <c r="F2923">
        <f t="shared" si="101"/>
        <v>-1.7296497207448917E-2</v>
      </c>
      <c r="G2923">
        <f t="shared" si="100"/>
        <v>-2.7770763969694256E-2</v>
      </c>
    </row>
    <row r="2924" spans="1:38" x14ac:dyDescent="0.35">
      <c r="A2924" t="s">
        <v>155</v>
      </c>
      <c r="E2924">
        <v>1.6746780399720504E-3</v>
      </c>
      <c r="F2924">
        <f t="shared" si="101"/>
        <v>-1.7300530168587912E-2</v>
      </c>
      <c r="G2924">
        <f t="shared" si="100"/>
        <v>-2.7770763969694256E-2</v>
      </c>
    </row>
    <row r="2925" spans="1:38" x14ac:dyDescent="0.35">
      <c r="A2925" t="s">
        <v>155</v>
      </c>
      <c r="E2925">
        <v>-2.5939224101476015E-2</v>
      </c>
      <c r="F2925">
        <f t="shared" si="101"/>
        <v>-1.7304563129726908E-2</v>
      </c>
      <c r="G2925">
        <f t="shared" si="100"/>
        <v>-2.7770763969694256E-2</v>
      </c>
    </row>
    <row r="2926" spans="1:38" x14ac:dyDescent="0.35">
      <c r="A2926" t="s">
        <v>155</v>
      </c>
      <c r="E2926">
        <v>5.2586175555342628E-3</v>
      </c>
      <c r="F2926">
        <f t="shared" si="101"/>
        <v>-1.7202020677936216E-2</v>
      </c>
      <c r="G2926">
        <f t="shared" si="100"/>
        <v>-2.7574063383843252E-2</v>
      </c>
    </row>
    <row r="2927" spans="1:38" x14ac:dyDescent="0.35">
      <c r="A2927" t="s">
        <v>155</v>
      </c>
      <c r="E2927">
        <v>-7.9082138952504284E-3</v>
      </c>
      <c r="F2927">
        <f t="shared" si="101"/>
        <v>-1.720790479551448E-2</v>
      </c>
      <c r="G2927">
        <f t="shared" si="100"/>
        <v>-2.7574063383843252E-2</v>
      </c>
    </row>
    <row r="2928" spans="1:38" x14ac:dyDescent="0.35">
      <c r="A2928" t="s">
        <v>156</v>
      </c>
      <c r="B2928" s="3" cm="1">
        <f t="array" ref="B2928">_xlfn.STDEV.S(_xlfn._xlws.FILTER($E$2013:$E$3011, $A$2013:$A$3011="2021-10"))</f>
        <v>8.8730042032842717E-3</v>
      </c>
      <c r="C2928" s="3" cm="1">
        <f t="array" ref="C2928">AVERAGE(_xlfn._xlws.FILTER($E$2013:$E$3011, $A$2013:$A$3011="2021-10"))</f>
        <v>2.3241925869652209E-3</v>
      </c>
      <c r="D2928" s="3" cm="1">
        <f t="array" ref="D2928">_xlfn.PERCENTILE.EXC(_xlfn._xlws.FILTER($E$2490:$E$3818, $A$2490:$A$3818="2021-10"), 0.05)</f>
        <v>-1.2729301802861446E-2</v>
      </c>
      <c r="E2928">
        <v>-3.1620462352231534E-3</v>
      </c>
      <c r="F2928">
        <f t="shared" si="101"/>
        <v>-1.7213788913092744E-2</v>
      </c>
      <c r="G2928">
        <f t="shared" si="100"/>
        <v>-2.7574063383843252E-2</v>
      </c>
      <c r="AI2928" s="3"/>
      <c r="AJ2928" s="3"/>
      <c r="AK2928" s="3"/>
      <c r="AL2928" s="3"/>
    </row>
    <row r="2929" spans="1:7" x14ac:dyDescent="0.35">
      <c r="A2929" t="s">
        <v>156</v>
      </c>
      <c r="E2929">
        <v>-9.684190274885934E-3</v>
      </c>
      <c r="F2929">
        <f t="shared" si="101"/>
        <v>-1.7219673030671012E-2</v>
      </c>
      <c r="G2929">
        <f t="shared" si="100"/>
        <v>-2.7574063383843252E-2</v>
      </c>
    </row>
    <row r="2930" spans="1:7" x14ac:dyDescent="0.35">
      <c r="A2930" t="s">
        <v>156</v>
      </c>
      <c r="E2930">
        <v>1.7123060337540234E-2</v>
      </c>
      <c r="F2930">
        <f t="shared" si="101"/>
        <v>-1.7225557148249276E-2</v>
      </c>
      <c r="G2930">
        <f t="shared" si="100"/>
        <v>-2.7574063383843252E-2</v>
      </c>
    </row>
    <row r="2931" spans="1:7" x14ac:dyDescent="0.35">
      <c r="A2931" t="s">
        <v>156</v>
      </c>
      <c r="E2931">
        <v>-1.3067647528192059E-2</v>
      </c>
      <c r="F2931">
        <f t="shared" si="101"/>
        <v>-1.7231441265827541E-2</v>
      </c>
      <c r="G2931">
        <f t="shared" si="100"/>
        <v>-2.7574063383843252E-2</v>
      </c>
    </row>
    <row r="2932" spans="1:7" x14ac:dyDescent="0.35">
      <c r="A2932" t="s">
        <v>156</v>
      </c>
      <c r="E2932">
        <v>2.1130142741263607E-2</v>
      </c>
      <c r="F2932">
        <f t="shared" si="101"/>
        <v>-1.7237325383405805E-2</v>
      </c>
      <c r="G2932">
        <f t="shared" si="100"/>
        <v>-2.7574063383843252E-2</v>
      </c>
    </row>
    <row r="2933" spans="1:7" x14ac:dyDescent="0.35">
      <c r="A2933" t="s">
        <v>156</v>
      </c>
      <c r="E2933">
        <v>-6.1309869553542121E-3</v>
      </c>
      <c r="F2933">
        <f t="shared" si="101"/>
        <v>-1.7243209500984073E-2</v>
      </c>
      <c r="G2933">
        <f t="shared" si="100"/>
        <v>-2.7574063383843252E-2</v>
      </c>
    </row>
    <row r="2934" spans="1:7" x14ac:dyDescent="0.35">
      <c r="A2934" t="s">
        <v>156</v>
      </c>
      <c r="E2934">
        <v>-1.8905425053941918E-4</v>
      </c>
      <c r="F2934">
        <f t="shared" si="101"/>
        <v>-1.7249093618562337E-2</v>
      </c>
      <c r="G2934">
        <f t="shared" si="100"/>
        <v>-2.7574063383843252E-2</v>
      </c>
    </row>
    <row r="2935" spans="1:7" x14ac:dyDescent="0.35">
      <c r="A2935" t="s">
        <v>156</v>
      </c>
      <c r="E2935">
        <v>-4.2890903280574117E-3</v>
      </c>
      <c r="F2935">
        <f t="shared" si="101"/>
        <v>-1.7254977736140605E-2</v>
      </c>
      <c r="G2935">
        <f t="shared" si="100"/>
        <v>-2.7574063383843252E-2</v>
      </c>
    </row>
    <row r="2936" spans="1:7" x14ac:dyDescent="0.35">
      <c r="A2936" t="s">
        <v>156</v>
      </c>
      <c r="E2936">
        <v>6.9277048705547722E-3</v>
      </c>
      <c r="F2936">
        <f t="shared" si="101"/>
        <v>-1.7260861853718869E-2</v>
      </c>
      <c r="G2936">
        <f t="shared" si="100"/>
        <v>-2.7574063383843252E-2</v>
      </c>
    </row>
    <row r="2937" spans="1:7" x14ac:dyDescent="0.35">
      <c r="A2937" t="s">
        <v>156</v>
      </c>
      <c r="E2937">
        <v>1.5981215549308755E-2</v>
      </c>
      <c r="F2937">
        <f t="shared" si="101"/>
        <v>-1.7266745971297133E-2</v>
      </c>
      <c r="G2937">
        <f t="shared" si="100"/>
        <v>-2.7574063383843252E-2</v>
      </c>
    </row>
    <row r="2938" spans="1:7" x14ac:dyDescent="0.35">
      <c r="A2938" t="s">
        <v>156</v>
      </c>
      <c r="E2938">
        <v>8.1253740078310339E-3</v>
      </c>
      <c r="F2938">
        <f t="shared" si="101"/>
        <v>-1.7272630088875397E-2</v>
      </c>
      <c r="G2938">
        <f t="shared" si="100"/>
        <v>-2.7574063383843252E-2</v>
      </c>
    </row>
    <row r="2939" spans="1:7" x14ac:dyDescent="0.35">
      <c r="A2939" t="s">
        <v>156</v>
      </c>
      <c r="E2939">
        <v>-7.5615498192947231E-3</v>
      </c>
      <c r="F2939">
        <f t="shared" si="101"/>
        <v>-1.7278514206453665E-2</v>
      </c>
      <c r="G2939">
        <f t="shared" si="100"/>
        <v>-2.7574063383843252E-2</v>
      </c>
    </row>
    <row r="2940" spans="1:7" x14ac:dyDescent="0.35">
      <c r="A2940" t="s">
        <v>156</v>
      </c>
      <c r="E2940">
        <v>3.7099281211624914E-3</v>
      </c>
      <c r="F2940">
        <f t="shared" si="101"/>
        <v>-1.7284398324031929E-2</v>
      </c>
      <c r="G2940">
        <f t="shared" si="100"/>
        <v>-2.7574063383843252E-2</v>
      </c>
    </row>
    <row r="2941" spans="1:7" x14ac:dyDescent="0.35">
      <c r="A2941" t="s">
        <v>156</v>
      </c>
      <c r="E2941">
        <v>1.2807292792706127E-3</v>
      </c>
      <c r="F2941">
        <f t="shared" si="101"/>
        <v>-1.7288431285170925E-2</v>
      </c>
      <c r="G2941">
        <f t="shared" si="100"/>
        <v>-2.7813357920117941E-2</v>
      </c>
    </row>
    <row r="2942" spans="1:7" x14ac:dyDescent="0.35">
      <c r="A2942" t="s">
        <v>156</v>
      </c>
      <c r="E2942">
        <v>-3.9481793383012156E-3</v>
      </c>
      <c r="F2942">
        <f t="shared" si="101"/>
        <v>-1.7292464246309921E-2</v>
      </c>
      <c r="G2942">
        <f t="shared" si="100"/>
        <v>-2.7813357920117941E-2</v>
      </c>
    </row>
    <row r="2943" spans="1:7" x14ac:dyDescent="0.35">
      <c r="A2943" t="s">
        <v>156</v>
      </c>
      <c r="E2943">
        <v>7.9285792363426397E-3</v>
      </c>
      <c r="F2943">
        <f t="shared" si="101"/>
        <v>-1.7296497207448917E-2</v>
      </c>
      <c r="G2943">
        <f t="shared" si="100"/>
        <v>-2.7813357920117941E-2</v>
      </c>
    </row>
    <row r="2944" spans="1:7" x14ac:dyDescent="0.35">
      <c r="A2944" t="s">
        <v>156</v>
      </c>
      <c r="E2944">
        <v>-1.1937276787103289E-4</v>
      </c>
      <c r="F2944">
        <f t="shared" si="101"/>
        <v>-1.7300530168587912E-2</v>
      </c>
      <c r="G2944">
        <f t="shared" si="100"/>
        <v>-2.7813357920117941E-2</v>
      </c>
    </row>
    <row r="2945" spans="1:38" x14ac:dyDescent="0.35">
      <c r="A2945" t="s">
        <v>156</v>
      </c>
      <c r="E2945">
        <v>8.4781328247248017E-3</v>
      </c>
      <c r="F2945">
        <f t="shared" si="101"/>
        <v>-1.7304563129726908E-2</v>
      </c>
      <c r="G2945">
        <f t="shared" si="100"/>
        <v>-2.7813357920117941E-2</v>
      </c>
    </row>
    <row r="2946" spans="1:38" x14ac:dyDescent="0.35">
      <c r="A2946" t="s">
        <v>156</v>
      </c>
      <c r="E2946">
        <v>-7.3180699193043947E-4</v>
      </c>
      <c r="F2946">
        <f t="shared" si="101"/>
        <v>-1.7308596090865904E-2</v>
      </c>
      <c r="G2946">
        <f t="shared" si="100"/>
        <v>-2.7813357920117941E-2</v>
      </c>
    </row>
    <row r="2947" spans="1:38" x14ac:dyDescent="0.35">
      <c r="A2947" t="s">
        <v>156</v>
      </c>
      <c r="E2947">
        <v>3.0728313010508178E-3</v>
      </c>
      <c r="F2947">
        <f t="shared" si="101"/>
        <v>-1.73126290520049E-2</v>
      </c>
      <c r="G2947">
        <f t="shared" ref="G2947:G3010" si="102">AVERAGEIFS(E2947:E6763,E2947:E6763,"&lt;=" &amp; F2947)</f>
        <v>-2.7813357920117941E-2</v>
      </c>
    </row>
    <row r="2948" spans="1:38" x14ac:dyDescent="0.35">
      <c r="A2948" t="s">
        <v>156</v>
      </c>
      <c r="E2948">
        <v>3.9342705468694752E-3</v>
      </c>
      <c r="F2948">
        <f t="shared" ref="F2948:F3011" si="103">_xlfn.PERCENTILE.EXC(E2948:E6763,0.05)</f>
        <v>-1.7316662013143896E-2</v>
      </c>
      <c r="G2948">
        <f t="shared" si="102"/>
        <v>-2.7813357920117941E-2</v>
      </c>
    </row>
    <row r="2949" spans="1:38" x14ac:dyDescent="0.35">
      <c r="A2949" t="s">
        <v>157</v>
      </c>
      <c r="B2949" s="3" cm="1">
        <f t="array" ref="B2949">_xlfn.STDEV.S(_xlfn._xlws.FILTER($E$2013:$E$3011, $A$2013:$A$3011="2021-11"))</f>
        <v>1.1691878440059819E-2</v>
      </c>
      <c r="C2949" s="3" cm="1">
        <f t="array" ref="C2949">AVERAGE(_xlfn._xlws.FILTER($E$2013:$E$3011, $A$2013:$A$3011="2021-11"))</f>
        <v>-2.0506524841912501E-3</v>
      </c>
      <c r="D2949" s="3" cm="1">
        <f t="array" ref="D2949">_xlfn.PERCENTILE.EXC(_xlfn._xlws.FILTER($E$2490:$E$3818, $A$2490:$A$3818="2021-11"), 0.05)</f>
        <v>-4.3218603394377567E-2</v>
      </c>
      <c r="E2949">
        <v>7.012077686800843E-3</v>
      </c>
      <c r="F2949">
        <f t="shared" si="103"/>
        <v>-1.7320694974282892E-2</v>
      </c>
      <c r="G2949">
        <f t="shared" si="102"/>
        <v>-2.7813357920117941E-2</v>
      </c>
      <c r="AI2949" s="3"/>
      <c r="AJ2949" s="3"/>
      <c r="AK2949" s="3"/>
      <c r="AL2949" s="3"/>
    </row>
    <row r="2950" spans="1:38" x14ac:dyDescent="0.35">
      <c r="A2950" t="s">
        <v>157</v>
      </c>
      <c r="E2950">
        <v>3.6727496748574584E-3</v>
      </c>
      <c r="F2950">
        <f t="shared" si="103"/>
        <v>-1.7324727935421887E-2</v>
      </c>
      <c r="G2950">
        <f t="shared" si="102"/>
        <v>-2.7813357920117941E-2</v>
      </c>
    </row>
    <row r="2951" spans="1:38" x14ac:dyDescent="0.35">
      <c r="A2951" t="s">
        <v>157</v>
      </c>
      <c r="E2951">
        <v>3.1118464588002883E-3</v>
      </c>
      <c r="F2951">
        <f t="shared" si="103"/>
        <v>-1.7328760896560883E-2</v>
      </c>
      <c r="G2951">
        <f t="shared" si="102"/>
        <v>-2.7813357920117941E-2</v>
      </c>
    </row>
    <row r="2952" spans="1:38" x14ac:dyDescent="0.35">
      <c r="A2952" t="s">
        <v>157</v>
      </c>
      <c r="E2952">
        <v>5.4911944713220513E-3</v>
      </c>
      <c r="F2952">
        <f t="shared" si="103"/>
        <v>-1.7332793857699879E-2</v>
      </c>
      <c r="G2952">
        <f t="shared" si="102"/>
        <v>-2.7813357920117941E-2</v>
      </c>
    </row>
    <row r="2953" spans="1:38" x14ac:dyDescent="0.35">
      <c r="A2953" t="s">
        <v>157</v>
      </c>
      <c r="E2953">
        <v>6.8304548493317184E-3</v>
      </c>
      <c r="F2953">
        <f t="shared" si="103"/>
        <v>-1.7336826818838875E-2</v>
      </c>
      <c r="G2953">
        <f t="shared" si="102"/>
        <v>-2.7813357920117941E-2</v>
      </c>
    </row>
    <row r="2954" spans="1:38" x14ac:dyDescent="0.35">
      <c r="A2954" t="s">
        <v>157</v>
      </c>
      <c r="E2954">
        <v>-2.4117768761954179E-3</v>
      </c>
      <c r="F2954">
        <f t="shared" si="103"/>
        <v>-1.7340859779977871E-2</v>
      </c>
      <c r="G2954">
        <f t="shared" si="102"/>
        <v>-2.7813357920117941E-2</v>
      </c>
    </row>
    <row r="2955" spans="1:38" x14ac:dyDescent="0.35">
      <c r="A2955" t="s">
        <v>157</v>
      </c>
      <c r="E2955">
        <v>-1.8166854864639088E-3</v>
      </c>
      <c r="F2955">
        <f t="shared" si="103"/>
        <v>-1.7344892741116866E-2</v>
      </c>
      <c r="G2955">
        <f t="shared" si="102"/>
        <v>-2.7813357920117941E-2</v>
      </c>
    </row>
    <row r="2956" spans="1:38" x14ac:dyDescent="0.35">
      <c r="A2956" t="s">
        <v>157</v>
      </c>
      <c r="E2956">
        <v>9.6394419348852978E-4</v>
      </c>
      <c r="F2956">
        <f t="shared" si="103"/>
        <v>-1.7348925702255862E-2</v>
      </c>
      <c r="G2956">
        <f t="shared" si="102"/>
        <v>-2.7813357920117941E-2</v>
      </c>
    </row>
    <row r="2957" spans="1:38" x14ac:dyDescent="0.35">
      <c r="A2957" t="s">
        <v>157</v>
      </c>
      <c r="E2957">
        <v>2.1086925884852285E-3</v>
      </c>
      <c r="F2957">
        <f t="shared" si="103"/>
        <v>-1.7352958663394858E-2</v>
      </c>
      <c r="G2957">
        <f t="shared" si="102"/>
        <v>-2.7813357920117941E-2</v>
      </c>
    </row>
    <row r="2958" spans="1:38" x14ac:dyDescent="0.35">
      <c r="A2958" t="s">
        <v>157</v>
      </c>
      <c r="E2958">
        <v>2.8252846081079533E-3</v>
      </c>
      <c r="F2958">
        <f t="shared" si="103"/>
        <v>-1.7356991624533854E-2</v>
      </c>
      <c r="G2958">
        <f t="shared" si="102"/>
        <v>-2.7813357920117941E-2</v>
      </c>
    </row>
    <row r="2959" spans="1:38" x14ac:dyDescent="0.35">
      <c r="A2959" t="s">
        <v>157</v>
      </c>
      <c r="E2959">
        <v>3.622447580334062E-3</v>
      </c>
      <c r="F2959">
        <f t="shared" si="103"/>
        <v>-1.736102458567285E-2</v>
      </c>
      <c r="G2959">
        <f t="shared" si="102"/>
        <v>-2.7813357920117941E-2</v>
      </c>
    </row>
    <row r="2960" spans="1:38" x14ac:dyDescent="0.35">
      <c r="A2960" t="s">
        <v>157</v>
      </c>
      <c r="E2960">
        <v>3.4821512526293655E-3</v>
      </c>
      <c r="F2960">
        <f t="shared" si="103"/>
        <v>-1.7365057546811846E-2</v>
      </c>
      <c r="G2960">
        <f t="shared" si="102"/>
        <v>-2.7813357920117941E-2</v>
      </c>
    </row>
    <row r="2961" spans="1:38" x14ac:dyDescent="0.35">
      <c r="A2961" t="s">
        <v>157</v>
      </c>
      <c r="E2961">
        <v>-1.5450507284507561E-4</v>
      </c>
      <c r="F2961">
        <f t="shared" si="103"/>
        <v>-1.7410598444727941E-2</v>
      </c>
      <c r="G2961">
        <f t="shared" si="102"/>
        <v>-2.8062126976625225E-2</v>
      </c>
    </row>
    <row r="2962" spans="1:38" x14ac:dyDescent="0.35">
      <c r="A2962" t="s">
        <v>157</v>
      </c>
      <c r="E2962">
        <v>-3.8954982433585502E-3</v>
      </c>
      <c r="F2962">
        <f t="shared" si="103"/>
        <v>-1.7456139342644034E-2</v>
      </c>
      <c r="G2962">
        <f t="shared" si="102"/>
        <v>-2.8062126976625225E-2</v>
      </c>
    </row>
    <row r="2963" spans="1:38" x14ac:dyDescent="0.35">
      <c r="A2963" t="s">
        <v>157</v>
      </c>
      <c r="E2963">
        <v>-6.2310202437091721E-3</v>
      </c>
      <c r="F2963">
        <f t="shared" si="103"/>
        <v>-1.7501680240560136E-2</v>
      </c>
      <c r="G2963">
        <f t="shared" si="102"/>
        <v>-2.8062126976625225E-2</v>
      </c>
    </row>
    <row r="2964" spans="1:38" x14ac:dyDescent="0.35">
      <c r="A2964" t="s">
        <v>157</v>
      </c>
      <c r="E2964">
        <v>-4.0896371731088729E-3</v>
      </c>
      <c r="F2964">
        <f t="shared" si="103"/>
        <v>-1.7547221138476232E-2</v>
      </c>
      <c r="G2964">
        <f t="shared" si="102"/>
        <v>-2.8062126976625225E-2</v>
      </c>
    </row>
    <row r="2965" spans="1:38" x14ac:dyDescent="0.35">
      <c r="A2965" t="s">
        <v>157</v>
      </c>
      <c r="E2965">
        <v>-1.2727324334428977E-2</v>
      </c>
      <c r="F2965">
        <f t="shared" si="103"/>
        <v>-1.7592762036392331E-2</v>
      </c>
      <c r="G2965">
        <f t="shared" si="102"/>
        <v>-2.8062126976625225E-2</v>
      </c>
    </row>
    <row r="2966" spans="1:38" x14ac:dyDescent="0.35">
      <c r="A2966" t="s">
        <v>157</v>
      </c>
      <c r="E2966">
        <v>-1.7686775863714279E-3</v>
      </c>
      <c r="F2966">
        <f t="shared" si="103"/>
        <v>-1.7638302934308427E-2</v>
      </c>
      <c r="G2966">
        <f t="shared" si="102"/>
        <v>-2.8062126976625225E-2</v>
      </c>
    </row>
    <row r="2967" spans="1:38" x14ac:dyDescent="0.35">
      <c r="A2967" t="s">
        <v>157</v>
      </c>
      <c r="E2967">
        <v>3.9652353316872255E-3</v>
      </c>
      <c r="F2967">
        <f t="shared" si="103"/>
        <v>-1.7683843832224523E-2</v>
      </c>
      <c r="G2967">
        <f t="shared" si="102"/>
        <v>-2.8062126976625225E-2</v>
      </c>
    </row>
    <row r="2968" spans="1:38" x14ac:dyDescent="0.35">
      <c r="A2968" t="s">
        <v>157</v>
      </c>
      <c r="E2968">
        <v>-4.8599417346133204E-2</v>
      </c>
      <c r="F2968">
        <f t="shared" si="103"/>
        <v>-1.7729384730140626E-2</v>
      </c>
      <c r="G2968">
        <f t="shared" si="102"/>
        <v>-2.8062126976625225E-2</v>
      </c>
    </row>
    <row r="2969" spans="1:38" x14ac:dyDescent="0.35">
      <c r="A2969" t="s">
        <v>157</v>
      </c>
      <c r="E2969">
        <v>4.861524694282175E-3</v>
      </c>
      <c r="F2969">
        <f t="shared" si="103"/>
        <v>-1.7320694974282892E-2</v>
      </c>
      <c r="G2969">
        <f t="shared" si="102"/>
        <v>-2.7318451743308055E-2</v>
      </c>
    </row>
    <row r="2970" spans="1:38" x14ac:dyDescent="0.35">
      <c r="A2970" t="s">
        <v>157</v>
      </c>
      <c r="E2970">
        <v>-1.1367415679719788E-2</v>
      </c>
      <c r="F2970">
        <f t="shared" si="103"/>
        <v>-1.7324727935421887E-2</v>
      </c>
      <c r="G2970">
        <f t="shared" si="102"/>
        <v>-2.7318451743308055E-2</v>
      </c>
    </row>
    <row r="2971" spans="1:38" x14ac:dyDescent="0.35">
      <c r="A2971" t="s">
        <v>158</v>
      </c>
      <c r="B2971" s="3" cm="1">
        <f t="array" ref="B2971">_xlfn.STDEV.S(_xlfn._xlws.FILTER($E$2013:$E$3011, $A$2013:$A$3011="2021-12"))</f>
        <v>1.3767353722750265E-2</v>
      </c>
      <c r="C2971" s="3" cm="1">
        <f t="array" ref="C2971">AVERAGE(_xlfn._xlws.FILTER($E$2013:$E$3011, $A$2013:$A$3011="2021-12"))</f>
        <v>3.05733004666742E-3</v>
      </c>
      <c r="D2971" s="3" cm="1">
        <f t="array" ref="D2971">_xlfn.PERCENTILE.EXC(_xlfn._xlws.FILTER($E$2490:$E$3818, $A$2490:$A$3818="2021-12"), 0.05)</f>
        <v>-1.7166715972466624E-2</v>
      </c>
      <c r="E2971">
        <v>2.8171492266305692E-2</v>
      </c>
      <c r="F2971">
        <f t="shared" si="103"/>
        <v>-1.7328760896560883E-2</v>
      </c>
      <c r="G2971">
        <f t="shared" si="102"/>
        <v>-2.7318451743308055E-2</v>
      </c>
      <c r="AI2971" s="3"/>
      <c r="AJ2971" s="3"/>
      <c r="AK2971" s="3"/>
      <c r="AL2971" s="3"/>
    </row>
    <row r="2972" spans="1:38" x14ac:dyDescent="0.35">
      <c r="A2972" t="s">
        <v>158</v>
      </c>
      <c r="E2972">
        <v>-1.7166715972466624E-2</v>
      </c>
      <c r="F2972">
        <f t="shared" si="103"/>
        <v>-1.7332793857699879E-2</v>
      </c>
      <c r="G2972">
        <f t="shared" si="102"/>
        <v>-2.7318451743308055E-2</v>
      </c>
    </row>
    <row r="2973" spans="1:38" x14ac:dyDescent="0.35">
      <c r="A2973" t="s">
        <v>158</v>
      </c>
      <c r="E2973">
        <v>-6.8074081574853807E-3</v>
      </c>
      <c r="F2973">
        <f t="shared" si="103"/>
        <v>-1.7336826818838875E-2</v>
      </c>
      <c r="G2973">
        <f t="shared" si="102"/>
        <v>-2.7318451743308055E-2</v>
      </c>
    </row>
    <row r="2974" spans="1:38" x14ac:dyDescent="0.35">
      <c r="A2974" t="s">
        <v>158</v>
      </c>
      <c r="E2974">
        <v>1.3863723995566631E-2</v>
      </c>
      <c r="F2974">
        <f t="shared" si="103"/>
        <v>-1.7340859779977871E-2</v>
      </c>
      <c r="G2974">
        <f t="shared" si="102"/>
        <v>-2.7318451743308055E-2</v>
      </c>
    </row>
    <row r="2975" spans="1:38" x14ac:dyDescent="0.35">
      <c r="A2975" t="s">
        <v>158</v>
      </c>
      <c r="E2975">
        <v>3.3067288312028716E-2</v>
      </c>
      <c r="F2975">
        <f t="shared" si="103"/>
        <v>-1.7344892741116866E-2</v>
      </c>
      <c r="G2975">
        <f t="shared" si="102"/>
        <v>-2.7318451743308055E-2</v>
      </c>
    </row>
    <row r="2976" spans="1:38" x14ac:dyDescent="0.35">
      <c r="A2976" t="s">
        <v>158</v>
      </c>
      <c r="E2976">
        <v>-1.0132541924324213E-2</v>
      </c>
      <c r="F2976">
        <f t="shared" si="103"/>
        <v>-1.7348925702255862E-2</v>
      </c>
      <c r="G2976">
        <f t="shared" si="102"/>
        <v>-2.7318451743308055E-2</v>
      </c>
    </row>
    <row r="2977" spans="1:38" x14ac:dyDescent="0.35">
      <c r="A2977" t="s">
        <v>158</v>
      </c>
      <c r="E2977">
        <v>-5.8734571595536085E-3</v>
      </c>
      <c r="F2977">
        <f t="shared" si="103"/>
        <v>-1.7352958663394858E-2</v>
      </c>
      <c r="G2977">
        <f t="shared" si="102"/>
        <v>-2.7318451743308055E-2</v>
      </c>
    </row>
    <row r="2978" spans="1:38" x14ac:dyDescent="0.35">
      <c r="A2978" t="s">
        <v>158</v>
      </c>
      <c r="E2978">
        <v>-2.1742603832095612E-3</v>
      </c>
      <c r="F2978">
        <f t="shared" si="103"/>
        <v>-1.7356991624533854E-2</v>
      </c>
      <c r="G2978">
        <f t="shared" si="102"/>
        <v>-2.7318451743308055E-2</v>
      </c>
    </row>
    <row r="2979" spans="1:38" x14ac:dyDescent="0.35">
      <c r="A2979" t="s">
        <v>158</v>
      </c>
      <c r="E2979">
        <v>-3.8462503573732871E-3</v>
      </c>
      <c r="F2979">
        <f t="shared" si="103"/>
        <v>-1.736102458567285E-2</v>
      </c>
      <c r="G2979">
        <f t="shared" si="102"/>
        <v>-2.7318451743308055E-2</v>
      </c>
    </row>
    <row r="2980" spans="1:38" x14ac:dyDescent="0.35">
      <c r="A2980" t="s">
        <v>158</v>
      </c>
      <c r="E2980">
        <v>-9.2536880464601356E-3</v>
      </c>
      <c r="F2980">
        <f t="shared" si="103"/>
        <v>-1.7365057546811846E-2</v>
      </c>
      <c r="G2980">
        <f t="shared" si="102"/>
        <v>-2.7318451743308055E-2</v>
      </c>
    </row>
    <row r="2981" spans="1:38" x14ac:dyDescent="0.35">
      <c r="A2981" t="s">
        <v>158</v>
      </c>
      <c r="E2981">
        <v>3.6535813546952948E-3</v>
      </c>
      <c r="F2981">
        <f t="shared" si="103"/>
        <v>-1.7410598444727941E-2</v>
      </c>
      <c r="G2981">
        <f t="shared" si="102"/>
        <v>-2.7561217455417716E-2</v>
      </c>
    </row>
    <row r="2982" spans="1:38" x14ac:dyDescent="0.35">
      <c r="A2982" t="s">
        <v>158</v>
      </c>
      <c r="E2982">
        <v>1.0091516057973737E-2</v>
      </c>
      <c r="F2982">
        <f t="shared" si="103"/>
        <v>-1.7456139342644034E-2</v>
      </c>
      <c r="G2982">
        <f t="shared" si="102"/>
        <v>-2.7561217455417716E-2</v>
      </c>
    </row>
    <row r="2983" spans="1:38" x14ac:dyDescent="0.35">
      <c r="A2983" t="s">
        <v>158</v>
      </c>
      <c r="E2983">
        <v>-9.6901234365261747E-3</v>
      </c>
      <c r="F2983">
        <f t="shared" si="103"/>
        <v>-1.7501680240560136E-2</v>
      </c>
      <c r="G2983">
        <f t="shared" si="102"/>
        <v>-2.7561217455417716E-2</v>
      </c>
    </row>
    <row r="2984" spans="1:38" x14ac:dyDescent="0.35">
      <c r="A2984" t="s">
        <v>158</v>
      </c>
      <c r="E2984">
        <v>-1.3115053110601169E-2</v>
      </c>
      <c r="F2984">
        <f t="shared" si="103"/>
        <v>-1.7547221138476232E-2</v>
      </c>
      <c r="G2984">
        <f t="shared" si="102"/>
        <v>-2.7561217455417716E-2</v>
      </c>
    </row>
    <row r="2985" spans="1:38" x14ac:dyDescent="0.35">
      <c r="A2985" t="s">
        <v>158</v>
      </c>
      <c r="E2985">
        <v>1.6387475342005551E-2</v>
      </c>
      <c r="F2985">
        <f t="shared" si="103"/>
        <v>-1.7592762036392331E-2</v>
      </c>
      <c r="G2985">
        <f t="shared" si="102"/>
        <v>-2.7561217455417716E-2</v>
      </c>
    </row>
    <row r="2986" spans="1:38" x14ac:dyDescent="0.35">
      <c r="A2986" t="s">
        <v>158</v>
      </c>
      <c r="E2986">
        <v>1.0026239697093584E-2</v>
      </c>
      <c r="F2986">
        <f t="shared" si="103"/>
        <v>-1.7638302934308427E-2</v>
      </c>
      <c r="G2986">
        <f t="shared" si="102"/>
        <v>-2.7561217455417716E-2</v>
      </c>
    </row>
    <row r="2987" spans="1:38" x14ac:dyDescent="0.35">
      <c r="A2987" t="s">
        <v>158</v>
      </c>
      <c r="E2987">
        <v>1.1505599095431224E-2</v>
      </c>
      <c r="F2987">
        <f t="shared" si="103"/>
        <v>-1.7683843832224523E-2</v>
      </c>
      <c r="G2987">
        <f t="shared" si="102"/>
        <v>-2.7561217455417716E-2</v>
      </c>
    </row>
    <row r="2988" spans="1:38" x14ac:dyDescent="0.35">
      <c r="A2988" t="s">
        <v>158</v>
      </c>
      <c r="E2988">
        <v>4.4370761009635612E-3</v>
      </c>
      <c r="F2988">
        <f t="shared" si="103"/>
        <v>-1.7729384730140626E-2</v>
      </c>
      <c r="G2988">
        <f t="shared" si="102"/>
        <v>-2.7561217455417716E-2</v>
      </c>
    </row>
    <row r="2989" spans="1:38" x14ac:dyDescent="0.35">
      <c r="A2989" t="s">
        <v>158</v>
      </c>
      <c r="E2989">
        <v>4.9447772126171349E-3</v>
      </c>
      <c r="F2989">
        <f t="shared" si="103"/>
        <v>-1.7774925628056718E-2</v>
      </c>
      <c r="G2989">
        <f t="shared" si="102"/>
        <v>-2.7561217455417716E-2</v>
      </c>
    </row>
    <row r="2990" spans="1:38" x14ac:dyDescent="0.35">
      <c r="A2990" t="s">
        <v>159</v>
      </c>
      <c r="B2990" s="3" cm="1">
        <f t="array" ref="B2990">_xlfn.STDEV.S(_xlfn._xlws.FILTER($E$2013:$E$3011, $A$2013:$A$3011="2022-01"))</f>
        <v>1.4397156308614222E-2</v>
      </c>
      <c r="C2990" s="3" cm="1">
        <f t="array" ref="C2990">AVERAGE(_xlfn._xlws.FILTER($E$2013:$E$3011, $A$2013:$A$3011="2022-01"))</f>
        <v>-1.5503554933403245E-3</v>
      </c>
      <c r="D2990" s="3" cm="1">
        <f t="array" ref="D2990">_xlfn.PERCENTILE.EXC(_xlfn._xlws.FILTER($E$2490:$E$3818, $A$2490:$A$3818="2022-01"), 0.05)</f>
        <v>-4.1011184899703394E-2</v>
      </c>
      <c r="E2990">
        <v>1.4192583124731524E-2</v>
      </c>
      <c r="F2990">
        <f t="shared" si="103"/>
        <v>-1.7820466525972821E-2</v>
      </c>
      <c r="G2990">
        <f t="shared" si="102"/>
        <v>-2.7561217455417716E-2</v>
      </c>
      <c r="AI2990" s="3"/>
      <c r="AJ2990" s="3"/>
      <c r="AK2990" s="3"/>
      <c r="AL2990" s="3"/>
    </row>
    <row r="2991" spans="1:38" x14ac:dyDescent="0.35">
      <c r="A2991" t="s">
        <v>159</v>
      </c>
      <c r="E2991">
        <v>5.6006183082864579E-3</v>
      </c>
      <c r="F2991">
        <f t="shared" si="103"/>
        <v>-1.7866007423888917E-2</v>
      </c>
      <c r="G2991">
        <f t="shared" si="102"/>
        <v>-2.7561217455417716E-2</v>
      </c>
    </row>
    <row r="2992" spans="1:38" x14ac:dyDescent="0.35">
      <c r="A2992" t="s">
        <v>159</v>
      </c>
      <c r="E2992">
        <v>-1.5450647846467399E-2</v>
      </c>
      <c r="F2992">
        <f t="shared" si="103"/>
        <v>-1.7911548321805013E-2</v>
      </c>
      <c r="G2992">
        <f t="shared" si="102"/>
        <v>-2.7561217455417716E-2</v>
      </c>
    </row>
    <row r="2993" spans="1:7" x14ac:dyDescent="0.35">
      <c r="A2993" t="s">
        <v>159</v>
      </c>
      <c r="E2993">
        <v>-4.3982904158363515E-3</v>
      </c>
      <c r="F2993">
        <f t="shared" si="103"/>
        <v>-1.7957089219721112E-2</v>
      </c>
      <c r="G2993">
        <f t="shared" si="102"/>
        <v>-2.7561217455417716E-2</v>
      </c>
    </row>
    <row r="2994" spans="1:7" x14ac:dyDescent="0.35">
      <c r="A2994" t="s">
        <v>159</v>
      </c>
      <c r="E2994">
        <v>-1.5519863078950933E-2</v>
      </c>
      <c r="F2994">
        <f t="shared" si="103"/>
        <v>-1.8002630117637208E-2</v>
      </c>
      <c r="G2994">
        <f t="shared" si="102"/>
        <v>-2.7561217455417716E-2</v>
      </c>
    </row>
    <row r="2995" spans="1:7" x14ac:dyDescent="0.35">
      <c r="A2995" t="s">
        <v>159</v>
      </c>
      <c r="E2995">
        <v>9.8627026723747575E-3</v>
      </c>
      <c r="F2995">
        <f t="shared" si="103"/>
        <v>-1.804817101555331E-2</v>
      </c>
      <c r="G2995">
        <f t="shared" si="102"/>
        <v>-2.7561217455417716E-2</v>
      </c>
    </row>
    <row r="2996" spans="1:7" x14ac:dyDescent="0.35">
      <c r="A2996" t="s">
        <v>159</v>
      </c>
      <c r="E2996">
        <v>8.1066467987084487E-3</v>
      </c>
      <c r="F2996">
        <f t="shared" si="103"/>
        <v>-1.8093711913469403E-2</v>
      </c>
      <c r="G2996">
        <f t="shared" si="102"/>
        <v>-2.7561217455417716E-2</v>
      </c>
    </row>
    <row r="2997" spans="1:7" x14ac:dyDescent="0.35">
      <c r="A2997" t="s">
        <v>159</v>
      </c>
      <c r="E2997">
        <v>-1.1352723333593826E-4</v>
      </c>
      <c r="F2997">
        <f t="shared" si="103"/>
        <v>-1.8139252811385499E-2</v>
      </c>
      <c r="G2997">
        <f t="shared" si="102"/>
        <v>-2.7561217455417716E-2</v>
      </c>
    </row>
    <row r="2998" spans="1:7" x14ac:dyDescent="0.35">
      <c r="A2998" t="s">
        <v>159</v>
      </c>
      <c r="E2998">
        <v>-1.0179301201674221E-2</v>
      </c>
      <c r="F2998">
        <f t="shared" si="103"/>
        <v>-1.8184793709301601E-2</v>
      </c>
      <c r="G2998">
        <f t="shared" si="102"/>
        <v>-2.7561217455417716E-2</v>
      </c>
    </row>
    <row r="2999" spans="1:7" x14ac:dyDescent="0.35">
      <c r="A2999" t="s">
        <v>159</v>
      </c>
      <c r="E2999">
        <v>6.9859969949688664E-3</v>
      </c>
      <c r="F2999">
        <f t="shared" si="103"/>
        <v>-1.8230334607217694E-2</v>
      </c>
      <c r="G2999">
        <f t="shared" si="102"/>
        <v>-2.7561217455417716E-2</v>
      </c>
    </row>
    <row r="3000" spans="1:7" x14ac:dyDescent="0.35">
      <c r="A3000" t="s">
        <v>159</v>
      </c>
      <c r="E3000">
        <v>-1.0355281109315263E-2</v>
      </c>
      <c r="F3000">
        <f t="shared" si="103"/>
        <v>-1.8275875505133796E-2</v>
      </c>
      <c r="G3000">
        <f t="shared" si="102"/>
        <v>-2.7561217455417716E-2</v>
      </c>
    </row>
    <row r="3001" spans="1:7" x14ac:dyDescent="0.35">
      <c r="A3001" t="s">
        <v>159</v>
      </c>
      <c r="E3001">
        <v>2.453643576254644E-3</v>
      </c>
      <c r="F3001">
        <f t="shared" si="103"/>
        <v>-1.8279859987558458E-2</v>
      </c>
      <c r="G3001">
        <f t="shared" si="102"/>
        <v>-2.7793351004174814E-2</v>
      </c>
    </row>
    <row r="3002" spans="1:7" x14ac:dyDescent="0.35">
      <c r="A3002" t="s">
        <v>159</v>
      </c>
      <c r="E3002">
        <v>7.3133851255951388E-3</v>
      </c>
      <c r="F3002">
        <f t="shared" si="103"/>
        <v>-1.8283844469983122E-2</v>
      </c>
      <c r="G3002">
        <f t="shared" si="102"/>
        <v>-2.7793351004174814E-2</v>
      </c>
    </row>
    <row r="3003" spans="1:7" x14ac:dyDescent="0.35">
      <c r="A3003" t="s">
        <v>159</v>
      </c>
      <c r="E3003">
        <v>-1.6426352176500385E-2</v>
      </c>
      <c r="F3003">
        <f t="shared" si="103"/>
        <v>-1.8287828952407784E-2</v>
      </c>
      <c r="G3003">
        <f t="shared" si="102"/>
        <v>-2.7793351004174814E-2</v>
      </c>
    </row>
    <row r="3004" spans="1:7" x14ac:dyDescent="0.35">
      <c r="A3004" t="s">
        <v>159</v>
      </c>
      <c r="E3004">
        <v>-4.2305123464082502E-2</v>
      </c>
      <c r="F3004">
        <f t="shared" si="103"/>
        <v>-1.8291813434832448E-2</v>
      </c>
      <c r="G3004">
        <f t="shared" si="102"/>
        <v>-2.7793351004174814E-2</v>
      </c>
    </row>
    <row r="3005" spans="1:7" x14ac:dyDescent="0.35">
      <c r="A3005" t="s">
        <v>159</v>
      </c>
      <c r="E3005">
        <v>5.8775815921579405E-3</v>
      </c>
      <c r="F3005">
        <f t="shared" si="103"/>
        <v>-1.7592762036392331E-2</v>
      </c>
      <c r="G3005">
        <f t="shared" si="102"/>
        <v>-2.7192619805201095E-2</v>
      </c>
    </row>
    <row r="3006" spans="1:7" x14ac:dyDescent="0.35">
      <c r="A3006" t="s">
        <v>159</v>
      </c>
      <c r="E3006">
        <v>2.0949805728065742E-2</v>
      </c>
      <c r="F3006">
        <f t="shared" si="103"/>
        <v>-1.7638302934308427E-2</v>
      </c>
      <c r="G3006">
        <f t="shared" si="102"/>
        <v>-2.7192619805201095E-2</v>
      </c>
    </row>
    <row r="3007" spans="1:7" x14ac:dyDescent="0.35">
      <c r="A3007" t="s">
        <v>159</v>
      </c>
      <c r="E3007">
        <v>4.8793028655076806E-3</v>
      </c>
      <c r="F3007">
        <f t="shared" si="103"/>
        <v>-1.7683843832224523E-2</v>
      </c>
      <c r="G3007">
        <f t="shared" si="102"/>
        <v>-2.7192619805201095E-2</v>
      </c>
    </row>
    <row r="3008" spans="1:7" x14ac:dyDescent="0.35">
      <c r="A3008" t="s">
        <v>159</v>
      </c>
      <c r="E3008">
        <v>-1.1550403109181923E-2</v>
      </c>
      <c r="F3008">
        <f t="shared" si="103"/>
        <v>-1.7729384730140626E-2</v>
      </c>
      <c r="G3008">
        <f t="shared" si="102"/>
        <v>-2.7192619805201095E-2</v>
      </c>
    </row>
    <row r="3009" spans="1:38" x14ac:dyDescent="0.35">
      <c r="A3009" t="s">
        <v>159</v>
      </c>
      <c r="E3009">
        <v>9.069412981887218E-3</v>
      </c>
      <c r="F3009">
        <f t="shared" si="103"/>
        <v>-1.7774925628056718E-2</v>
      </c>
      <c r="G3009">
        <f t="shared" si="102"/>
        <v>-2.7192619805201095E-2</v>
      </c>
    </row>
    <row r="3010" spans="1:38" x14ac:dyDescent="0.35">
      <c r="A3010" t="s">
        <v>160</v>
      </c>
      <c r="B3010" s="3" cm="1">
        <f t="array" ref="B3010">_xlfn.STDEV.S(_xlfn._xlws.FILTER($E$2013:$E$3011, $A$2013:$A$3011="2022-02"))</f>
        <v>8.7955684754724029E-3</v>
      </c>
      <c r="C3010" s="3" cm="1">
        <f t="array" ref="C3010">AVERAGE(_xlfn._xlws.FILTER($E$2013:$E$3011, $A$2013:$A$3011="2022-02"))</f>
        <v>5.6511233774500357E-3</v>
      </c>
      <c r="D3010" s="3" cm="1">
        <f t="array" ref="D3010">_xlfn.PERCENTILE.EXC(_xlfn._xlws.FILTER($E$2490:$E$3818, $A$2490:$A$3818="2022-02"), 0.05)</f>
        <v>-3.6202465097685939E-2</v>
      </c>
      <c r="E3010">
        <v>1.1870529490847196E-2</v>
      </c>
      <c r="F3010">
        <f t="shared" si="103"/>
        <v>-1.7820466525972821E-2</v>
      </c>
      <c r="G3010">
        <f t="shared" si="102"/>
        <v>-2.7192619805201095E-2</v>
      </c>
      <c r="AI3010" s="3"/>
      <c r="AJ3010" s="3"/>
      <c r="AK3010" s="3"/>
      <c r="AL3010" s="3"/>
    </row>
    <row r="3011" spans="1:38" x14ac:dyDescent="0.35">
      <c r="A3011" t="s">
        <v>160</v>
      </c>
      <c r="E3011">
        <v>-5.68282735947125E-4</v>
      </c>
      <c r="F3011">
        <f t="shared" si="103"/>
        <v>-1.7866007423888917E-2</v>
      </c>
      <c r="G3011">
        <f t="shared" ref="G3011:G3074" si="104">AVERAGEIFS(E3011:E6827,E3011:E6827,"&lt;=" &amp; F3011)</f>
        <v>-2.7192619805201095E-2</v>
      </c>
    </row>
    <row r="3012" spans="1:38" x14ac:dyDescent="0.35">
      <c r="A3012" t="s">
        <v>160</v>
      </c>
      <c r="E3012">
        <v>-1.9378657781534098E-2</v>
      </c>
      <c r="F3012">
        <f t="shared" ref="F3012:F3075" si="105">_xlfn.PERCENTILE.EXC(E3012:E6827,0.05)</f>
        <v>-1.7911548321805013E-2</v>
      </c>
      <c r="G3012">
        <f t="shared" si="104"/>
        <v>-2.7192619805201095E-2</v>
      </c>
    </row>
    <row r="3013" spans="1:38" x14ac:dyDescent="0.35">
      <c r="A3013" t="s">
        <v>160</v>
      </c>
      <c r="E3013">
        <v>-1.3233699865768637E-2</v>
      </c>
      <c r="F3013">
        <f t="shared" si="105"/>
        <v>-1.7336826818838875E-2</v>
      </c>
      <c r="G3013">
        <f t="shared" si="104"/>
        <v>-2.7142279799333043E-2</v>
      </c>
    </row>
    <row r="3014" spans="1:38" x14ac:dyDescent="0.35">
      <c r="A3014" t="s">
        <v>160</v>
      </c>
      <c r="E3014">
        <v>8.2806420176629557E-3</v>
      </c>
      <c r="F3014">
        <f t="shared" si="105"/>
        <v>-1.7340859779977871E-2</v>
      </c>
      <c r="G3014">
        <f t="shared" si="104"/>
        <v>-2.7142279799333043E-2</v>
      </c>
    </row>
    <row r="3015" spans="1:38" x14ac:dyDescent="0.35">
      <c r="A3015" t="s">
        <v>160</v>
      </c>
      <c r="E3015">
        <v>2.1067159641334054E-3</v>
      </c>
      <c r="F3015">
        <f t="shared" si="105"/>
        <v>-1.7344892741116866E-2</v>
      </c>
      <c r="G3015">
        <f t="shared" si="104"/>
        <v>-2.7142279799333043E-2</v>
      </c>
    </row>
    <row r="3016" spans="1:38" x14ac:dyDescent="0.35">
      <c r="A3016" t="s">
        <v>160</v>
      </c>
      <c r="E3016">
        <v>1.7962068549173392E-2</v>
      </c>
      <c r="F3016">
        <f t="shared" si="105"/>
        <v>-1.7348925702255862E-2</v>
      </c>
      <c r="G3016">
        <f t="shared" si="104"/>
        <v>-2.7142279799333043E-2</v>
      </c>
    </row>
    <row r="3017" spans="1:38" x14ac:dyDescent="0.35">
      <c r="A3017" t="s">
        <v>160</v>
      </c>
      <c r="E3017">
        <v>-1.6711981759301405E-3</v>
      </c>
      <c r="F3017">
        <f t="shared" si="105"/>
        <v>-1.7352958663394858E-2</v>
      </c>
      <c r="G3017">
        <f t="shared" si="104"/>
        <v>-2.7142279799333043E-2</v>
      </c>
    </row>
    <row r="3018" spans="1:38" x14ac:dyDescent="0.35">
      <c r="A3018" t="s">
        <v>160</v>
      </c>
      <c r="E3018">
        <v>-1.0018881022942431E-2</v>
      </c>
      <c r="F3018">
        <f t="shared" si="105"/>
        <v>-1.7356991624533854E-2</v>
      </c>
      <c r="G3018">
        <f t="shared" si="104"/>
        <v>-2.7142279799333043E-2</v>
      </c>
    </row>
    <row r="3019" spans="1:38" x14ac:dyDescent="0.35">
      <c r="A3019" t="s">
        <v>160</v>
      </c>
      <c r="E3019">
        <v>-2.2089349276656858E-2</v>
      </c>
      <c r="F3019">
        <f t="shared" si="105"/>
        <v>-1.736102458567285E-2</v>
      </c>
      <c r="G3019">
        <f t="shared" si="104"/>
        <v>-2.7142279799333043E-2</v>
      </c>
    </row>
    <row r="3020" spans="1:38" x14ac:dyDescent="0.35">
      <c r="A3020" t="s">
        <v>160</v>
      </c>
      <c r="E3020">
        <v>1.93130893207317E-2</v>
      </c>
      <c r="F3020">
        <f t="shared" si="105"/>
        <v>-1.7284398324031929E-2</v>
      </c>
      <c r="G3020">
        <f t="shared" si="104"/>
        <v>-2.702215602551742E-2</v>
      </c>
    </row>
    <row r="3021" spans="1:38" x14ac:dyDescent="0.35">
      <c r="A3021" t="s">
        <v>160</v>
      </c>
      <c r="E3021">
        <v>-1.5674571162380855E-3</v>
      </c>
      <c r="F3021">
        <f t="shared" si="105"/>
        <v>-1.7288431285170925E-2</v>
      </c>
      <c r="G3021">
        <f t="shared" si="104"/>
        <v>-2.7271842120427301E-2</v>
      </c>
    </row>
    <row r="3022" spans="1:38" x14ac:dyDescent="0.35">
      <c r="A3022" t="s">
        <v>160</v>
      </c>
      <c r="E3022">
        <v>-5.8251815243784612E-3</v>
      </c>
      <c r="F3022">
        <f t="shared" si="105"/>
        <v>-1.7292464246309921E-2</v>
      </c>
      <c r="G3022">
        <f t="shared" si="104"/>
        <v>-2.7271842120427301E-2</v>
      </c>
    </row>
    <row r="3023" spans="1:38" x14ac:dyDescent="0.35">
      <c r="A3023" t="s">
        <v>160</v>
      </c>
      <c r="E3023">
        <v>-9.5048392075673081E-3</v>
      </c>
      <c r="F3023">
        <f t="shared" si="105"/>
        <v>-1.7296497207448917E-2</v>
      </c>
      <c r="G3023">
        <f t="shared" si="104"/>
        <v>-2.7271842120427301E-2</v>
      </c>
    </row>
    <row r="3024" spans="1:38" x14ac:dyDescent="0.35">
      <c r="A3024" t="s">
        <v>160</v>
      </c>
      <c r="E3024">
        <v>-2.1978579462642894E-2</v>
      </c>
      <c r="F3024">
        <f t="shared" si="105"/>
        <v>-1.7300530168587912E-2</v>
      </c>
      <c r="G3024">
        <f t="shared" si="104"/>
        <v>-2.7271842120427301E-2</v>
      </c>
    </row>
    <row r="3025" spans="1:38" x14ac:dyDescent="0.35">
      <c r="A3025" t="s">
        <v>160</v>
      </c>
      <c r="E3025">
        <v>-6.0216931513982541E-5</v>
      </c>
      <c r="F3025">
        <f t="shared" si="105"/>
        <v>-1.7194450139213245E-2</v>
      </c>
      <c r="G3025">
        <f t="shared" si="104"/>
        <v>-2.7151478501488562E-2</v>
      </c>
    </row>
    <row r="3026" spans="1:38" x14ac:dyDescent="0.35">
      <c r="A3026" t="s">
        <v>160</v>
      </c>
      <c r="E3026">
        <v>-3.0305794861419729E-3</v>
      </c>
      <c r="F3026">
        <f t="shared" si="105"/>
        <v>-1.7200446684867823E-2</v>
      </c>
      <c r="G3026">
        <f t="shared" si="104"/>
        <v>-2.7151478501488562E-2</v>
      </c>
    </row>
    <row r="3027" spans="1:38" x14ac:dyDescent="0.35">
      <c r="A3027" t="s">
        <v>160</v>
      </c>
      <c r="E3027">
        <v>-3.6945260667213785E-2</v>
      </c>
      <c r="F3027">
        <f t="shared" si="105"/>
        <v>-1.7206443230522402E-2</v>
      </c>
      <c r="G3027">
        <f t="shared" si="104"/>
        <v>-2.7151478501488562E-2</v>
      </c>
    </row>
    <row r="3028" spans="1:38" x14ac:dyDescent="0.35">
      <c r="A3028" t="s">
        <v>160</v>
      </c>
      <c r="E3028">
        <v>3.6260475705722661E-2</v>
      </c>
      <c r="F3028">
        <f t="shared" si="105"/>
        <v>-1.7104255675427792E-2</v>
      </c>
      <c r="G3028">
        <f t="shared" si="104"/>
        <v>-2.6644278674404626E-2</v>
      </c>
    </row>
    <row r="3029" spans="1:38" x14ac:dyDescent="0.35">
      <c r="A3029" t="s">
        <v>160</v>
      </c>
      <c r="E3029">
        <v>-1.1769729478530031E-2</v>
      </c>
      <c r="F3029">
        <f t="shared" si="105"/>
        <v>-1.7109273320053839E-2</v>
      </c>
      <c r="G3029">
        <f t="shared" si="104"/>
        <v>-2.6644278674404626E-2</v>
      </c>
    </row>
    <row r="3030" spans="1:38" x14ac:dyDescent="0.35">
      <c r="A3030" t="s">
        <v>161</v>
      </c>
      <c r="B3030" s="3" cm="1">
        <f t="array" ref="B3030">_xlfn.STDEV.S(_xlfn._xlws.FILTER($E$2826:$E$3824, $A$2826:$A$3824="2022-03"))</f>
        <v>2.5826679158201353E-2</v>
      </c>
      <c r="C3030" s="3" cm="1">
        <f t="array" ref="C3030">AVERAGE(_xlfn._xlws.FILTER($E$2826:$E$3824, $A$2826:$A$3824="2022-03"))</f>
        <v>-2.412024056823384E-4</v>
      </c>
      <c r="D3030" s="3" cm="1">
        <f t="array" ref="D3030">_xlfn.PERCENTILE.EXC(_xlfn._xlws.FILTER($E$2490:$E$3818, $A$2490:$A$3818="2022-03"), 0.05)</f>
        <v>-4.8977154242404314E-2</v>
      </c>
      <c r="E3030">
        <v>-4.1196554261628986E-2</v>
      </c>
      <c r="F3030">
        <f t="shared" si="105"/>
        <v>-1.7114290964679885E-2</v>
      </c>
      <c r="G3030">
        <f t="shared" si="104"/>
        <v>-2.6644278674404626E-2</v>
      </c>
      <c r="AI3030" s="3"/>
      <c r="AJ3030" s="3"/>
      <c r="AK3030" s="3"/>
      <c r="AL3030" s="3"/>
    </row>
    <row r="3031" spans="1:38" x14ac:dyDescent="0.35">
      <c r="A3031" t="s">
        <v>161</v>
      </c>
      <c r="E3031">
        <v>1.4431261570744976E-2</v>
      </c>
      <c r="F3031">
        <f t="shared" si="105"/>
        <v>-1.7050551842853739E-2</v>
      </c>
      <c r="G3031">
        <f t="shared" si="104"/>
        <v>-2.6025498168168484E-2</v>
      </c>
    </row>
    <row r="3032" spans="1:38" x14ac:dyDescent="0.35">
      <c r="A3032" t="s">
        <v>161</v>
      </c>
      <c r="E3032">
        <v>-2.0843426920266549E-2</v>
      </c>
      <c r="F3032">
        <f t="shared" si="105"/>
        <v>-1.7052058806805482E-2</v>
      </c>
      <c r="G3032">
        <f t="shared" si="104"/>
        <v>-2.6025498168168484E-2</v>
      </c>
    </row>
    <row r="3033" spans="1:38" x14ac:dyDescent="0.35">
      <c r="A3033" t="s">
        <v>161</v>
      </c>
      <c r="E3033">
        <v>-5.0922304237598151E-2</v>
      </c>
      <c r="F3033">
        <f t="shared" si="105"/>
        <v>-1.7026260705902272E-2</v>
      </c>
      <c r="G3033">
        <f t="shared" si="104"/>
        <v>-2.5927819919940739E-2</v>
      </c>
    </row>
    <row r="3034" spans="1:38" x14ac:dyDescent="0.35">
      <c r="A3034" t="s">
        <v>161</v>
      </c>
      <c r="E3034">
        <v>-1.2390813616246157E-2</v>
      </c>
      <c r="F3034">
        <f t="shared" si="105"/>
        <v>-1.693227921061765E-2</v>
      </c>
      <c r="G3034">
        <f t="shared" si="104"/>
        <v>-2.5058323239877955E-2</v>
      </c>
    </row>
    <row r="3035" spans="1:38" x14ac:dyDescent="0.35">
      <c r="A3035" t="s">
        <v>161</v>
      </c>
      <c r="E3035">
        <v>-1.9750601716984335E-3</v>
      </c>
      <c r="F3035">
        <f t="shared" si="105"/>
        <v>-1.6945554961372948E-2</v>
      </c>
      <c r="G3035">
        <f t="shared" si="104"/>
        <v>-2.5058323239877955E-2</v>
      </c>
    </row>
    <row r="3036" spans="1:38" x14ac:dyDescent="0.35">
      <c r="A3036" t="s">
        <v>161</v>
      </c>
      <c r="E3036">
        <v>7.1745484887073829E-2</v>
      </c>
      <c r="F3036">
        <f t="shared" si="105"/>
        <v>-1.6958830712128243E-2</v>
      </c>
      <c r="G3036">
        <f t="shared" si="104"/>
        <v>-2.5058323239877955E-2</v>
      </c>
    </row>
    <row r="3037" spans="1:38" x14ac:dyDescent="0.35">
      <c r="A3037" t="s">
        <v>161</v>
      </c>
      <c r="E3037">
        <v>-3.0910823877368643E-2</v>
      </c>
      <c r="F3037">
        <f t="shared" si="105"/>
        <v>-1.6972106462883538E-2</v>
      </c>
      <c r="G3037">
        <f t="shared" si="104"/>
        <v>-2.5058323239877955E-2</v>
      </c>
    </row>
    <row r="3038" spans="1:38" x14ac:dyDescent="0.35">
      <c r="A3038" t="s">
        <v>161</v>
      </c>
      <c r="E3038">
        <v>9.6455313461137025E-3</v>
      </c>
      <c r="F3038">
        <f t="shared" si="105"/>
        <v>-1.6740074496769203E-2</v>
      </c>
      <c r="G3038">
        <f t="shared" si="104"/>
        <v>-2.4695133363536282E-2</v>
      </c>
    </row>
    <row r="3039" spans="1:38" x14ac:dyDescent="0.35">
      <c r="A3039" t="s">
        <v>161</v>
      </c>
      <c r="E3039">
        <v>1.4626237465323313E-2</v>
      </c>
      <c r="F3039">
        <f t="shared" si="105"/>
        <v>-1.6743246598406349E-2</v>
      </c>
      <c r="G3039">
        <f t="shared" si="104"/>
        <v>-2.4695133363536282E-2</v>
      </c>
    </row>
    <row r="3040" spans="1:38" x14ac:dyDescent="0.35">
      <c r="A3040" t="s">
        <v>161</v>
      </c>
      <c r="E3040">
        <v>-7.9954972765489379E-4</v>
      </c>
      <c r="F3040">
        <f t="shared" si="105"/>
        <v>-1.6746418700043498E-2</v>
      </c>
      <c r="G3040">
        <f t="shared" si="104"/>
        <v>-2.4695133363536282E-2</v>
      </c>
    </row>
    <row r="3041" spans="1:38" x14ac:dyDescent="0.35">
      <c r="A3041" t="s">
        <v>161</v>
      </c>
      <c r="E3041">
        <v>3.9749326836379391E-2</v>
      </c>
      <c r="F3041">
        <f t="shared" si="105"/>
        <v>-1.6759694450798793E-2</v>
      </c>
      <c r="G3041">
        <f t="shared" si="104"/>
        <v>-2.4904310065207148E-2</v>
      </c>
    </row>
    <row r="3042" spans="1:38" x14ac:dyDescent="0.35">
      <c r="A3042" t="s">
        <v>161</v>
      </c>
      <c r="E3042">
        <v>-1.1241144281931067E-3</v>
      </c>
      <c r="F3042">
        <f t="shared" si="105"/>
        <v>-1.6772970201554091E-2</v>
      </c>
      <c r="G3042">
        <f t="shared" si="104"/>
        <v>-2.4904310065207148E-2</v>
      </c>
    </row>
    <row r="3043" spans="1:38" x14ac:dyDescent="0.35">
      <c r="A3043" t="s">
        <v>161</v>
      </c>
      <c r="E3043">
        <v>4.3966500195731254E-3</v>
      </c>
      <c r="F3043">
        <f t="shared" si="105"/>
        <v>-1.6786245952309386E-2</v>
      </c>
      <c r="G3043">
        <f t="shared" si="104"/>
        <v>-2.4904310065207148E-2</v>
      </c>
    </row>
    <row r="3044" spans="1:38" x14ac:dyDescent="0.35">
      <c r="A3044" t="s">
        <v>161</v>
      </c>
      <c r="E3044">
        <v>-5.3030349449981872E-3</v>
      </c>
      <c r="F3044">
        <f t="shared" si="105"/>
        <v>-1.6799521703064684E-2</v>
      </c>
      <c r="G3044">
        <f t="shared" si="104"/>
        <v>-2.4904310065207148E-2</v>
      </c>
    </row>
    <row r="3045" spans="1:38" x14ac:dyDescent="0.35">
      <c r="A3045" t="s">
        <v>161</v>
      </c>
      <c r="E3045">
        <v>1.1352697263694299E-2</v>
      </c>
      <c r="F3045">
        <f t="shared" si="105"/>
        <v>-1.6812797453819979E-2</v>
      </c>
      <c r="G3045">
        <f t="shared" si="104"/>
        <v>-2.4904310065207148E-2</v>
      </c>
    </row>
    <row r="3046" spans="1:38" x14ac:dyDescent="0.35">
      <c r="A3046" t="s">
        <v>161</v>
      </c>
      <c r="E3046">
        <v>-1.4598724508099644E-2</v>
      </c>
      <c r="F3046">
        <f t="shared" si="105"/>
        <v>-1.6826073204575277E-2</v>
      </c>
      <c r="G3046">
        <f t="shared" si="104"/>
        <v>-2.4904310065207148E-2</v>
      </c>
    </row>
    <row r="3047" spans="1:38" x14ac:dyDescent="0.35">
      <c r="A3047" t="s">
        <v>161</v>
      </c>
      <c r="E3047">
        <v>-1.5078999470215738E-3</v>
      </c>
      <c r="F3047">
        <f t="shared" si="105"/>
        <v>-1.6839348955330572E-2</v>
      </c>
      <c r="G3047">
        <f t="shared" si="104"/>
        <v>-2.4904310065207148E-2</v>
      </c>
    </row>
    <row r="3048" spans="1:38" x14ac:dyDescent="0.35">
      <c r="A3048" t="s">
        <v>161</v>
      </c>
      <c r="E3048">
        <v>1.1227352455772715E-3</v>
      </c>
      <c r="F3048">
        <f t="shared" si="105"/>
        <v>-1.685262470608587E-2</v>
      </c>
      <c r="G3048">
        <f t="shared" si="104"/>
        <v>-2.4904310065207148E-2</v>
      </c>
    </row>
    <row r="3049" spans="1:38" x14ac:dyDescent="0.35">
      <c r="A3049" t="s">
        <v>161</v>
      </c>
      <c r="E3049">
        <v>4.9956066820976541E-3</v>
      </c>
      <c r="F3049">
        <f t="shared" si="105"/>
        <v>-1.6865900456841165E-2</v>
      </c>
      <c r="G3049">
        <f t="shared" si="104"/>
        <v>-2.4904310065207148E-2</v>
      </c>
    </row>
    <row r="3050" spans="1:38" x14ac:dyDescent="0.35">
      <c r="A3050" t="s">
        <v>161</v>
      </c>
      <c r="E3050">
        <v>2.9175834340590259E-2</v>
      </c>
      <c r="F3050">
        <f t="shared" si="105"/>
        <v>-1.6879176207596464E-2</v>
      </c>
      <c r="G3050">
        <f t="shared" si="104"/>
        <v>-2.4904310065207148E-2</v>
      </c>
    </row>
    <row r="3051" spans="1:38" x14ac:dyDescent="0.35">
      <c r="A3051" t="s">
        <v>161</v>
      </c>
      <c r="E3051">
        <v>-1.0812382697302794E-2</v>
      </c>
      <c r="F3051">
        <f t="shared" si="105"/>
        <v>-1.6892451958351758E-2</v>
      </c>
      <c r="G3051">
        <f t="shared" si="104"/>
        <v>-2.4904310065207148E-2</v>
      </c>
    </row>
    <row r="3052" spans="1:38" x14ac:dyDescent="0.35">
      <c r="A3052" t="s">
        <v>161</v>
      </c>
      <c r="E3052">
        <v>-1.4404331649784507E-2</v>
      </c>
      <c r="F3052">
        <f t="shared" si="105"/>
        <v>-1.6905727709107057E-2</v>
      </c>
      <c r="G3052">
        <f t="shared" si="104"/>
        <v>-2.4904310065207148E-2</v>
      </c>
    </row>
    <row r="3053" spans="1:38" x14ac:dyDescent="0.35">
      <c r="A3053" t="s">
        <v>162</v>
      </c>
      <c r="B3053" s="3" cm="1">
        <f t="array" ref="B3053">_xlfn.STDEV.S(_xlfn._xlws.FILTER($E$2826:$E$3824, $A$2826:$A$3824="2022-04"))</f>
        <v>1.2140522400844385E-2</v>
      </c>
      <c r="C3053" s="3" cm="1">
        <f t="array" ref="C3053">AVERAGE(_xlfn._xlws.FILTER($E$2826:$E$3824, $A$2826:$A$3824="2022-04"))</f>
        <v>-1.3615306888457872E-3</v>
      </c>
      <c r="D3053" s="3" cm="1">
        <f t="array" ref="D3053">_xlfn.PERCENTILE.EXC(_xlfn._xlws.FILTER($E$2490:$E$3818, $A$2490:$A$3818="2022-04"), 0.05)</f>
        <v>-2.4065615707781332E-2</v>
      </c>
      <c r="E3053">
        <v>4.132364086395026E-3</v>
      </c>
      <c r="F3053">
        <f t="shared" si="105"/>
        <v>-1.6919003459862351E-2</v>
      </c>
      <c r="G3053">
        <f t="shared" si="104"/>
        <v>-2.4904310065207148E-2</v>
      </c>
      <c r="AI3053" s="3"/>
      <c r="AJ3053" s="3"/>
      <c r="AK3053" s="3"/>
      <c r="AL3053" s="3"/>
    </row>
    <row r="3054" spans="1:38" x14ac:dyDescent="0.35">
      <c r="A3054" t="s">
        <v>162</v>
      </c>
      <c r="E3054">
        <v>8.2442206251030353E-3</v>
      </c>
      <c r="F3054">
        <f t="shared" si="105"/>
        <v>-1.693227921061765E-2</v>
      </c>
      <c r="G3054">
        <f t="shared" si="104"/>
        <v>-2.4904310065207148E-2</v>
      </c>
    </row>
    <row r="3055" spans="1:38" x14ac:dyDescent="0.35">
      <c r="A3055" t="s">
        <v>162</v>
      </c>
      <c r="E3055">
        <v>-8.4560490754767587E-3</v>
      </c>
      <c r="F3055">
        <f t="shared" si="105"/>
        <v>-1.6945554961372948E-2</v>
      </c>
      <c r="G3055">
        <f t="shared" si="104"/>
        <v>-2.4904310065207148E-2</v>
      </c>
    </row>
    <row r="3056" spans="1:38" x14ac:dyDescent="0.35">
      <c r="A3056" t="s">
        <v>162</v>
      </c>
      <c r="E3056">
        <v>-2.4065615707781332E-2</v>
      </c>
      <c r="F3056">
        <f t="shared" si="105"/>
        <v>-1.6958830712128243E-2</v>
      </c>
      <c r="G3056">
        <f t="shared" si="104"/>
        <v>-2.4904310065207148E-2</v>
      </c>
    </row>
    <row r="3057" spans="1:38" x14ac:dyDescent="0.35">
      <c r="A3057" t="s">
        <v>162</v>
      </c>
      <c r="E3057">
        <v>-5.9475439850678559E-3</v>
      </c>
      <c r="F3057">
        <f t="shared" si="105"/>
        <v>-1.6736902395132053E-2</v>
      </c>
      <c r="G3057">
        <f t="shared" si="104"/>
        <v>-2.4711699617635096E-2</v>
      </c>
    </row>
    <row r="3058" spans="1:38" x14ac:dyDescent="0.35">
      <c r="A3058" t="s">
        <v>162</v>
      </c>
      <c r="E3058">
        <v>1.4714940241360382E-2</v>
      </c>
      <c r="F3058">
        <f t="shared" si="105"/>
        <v>-1.6740074496769203E-2</v>
      </c>
      <c r="G3058">
        <f t="shared" si="104"/>
        <v>-2.4711699617635096E-2</v>
      </c>
    </row>
    <row r="3059" spans="1:38" x14ac:dyDescent="0.35">
      <c r="A3059" t="s">
        <v>162</v>
      </c>
      <c r="E3059">
        <v>-4.8714111291701659E-3</v>
      </c>
      <c r="F3059">
        <f t="shared" si="105"/>
        <v>-1.6743246598406349E-2</v>
      </c>
      <c r="G3059">
        <f t="shared" si="104"/>
        <v>-2.4711699617635096E-2</v>
      </c>
    </row>
    <row r="3060" spans="1:38" x14ac:dyDescent="0.35">
      <c r="A3060" t="s">
        <v>162</v>
      </c>
      <c r="E3060">
        <v>-2.1248618035931985E-3</v>
      </c>
      <c r="F3060">
        <f t="shared" si="105"/>
        <v>-1.6746418700043498E-2</v>
      </c>
      <c r="G3060">
        <f t="shared" si="104"/>
        <v>-2.4711699617635096E-2</v>
      </c>
    </row>
    <row r="3061" spans="1:38" x14ac:dyDescent="0.35">
      <c r="A3061" t="s">
        <v>162</v>
      </c>
      <c r="E3061">
        <v>-9.1651735069083579E-4</v>
      </c>
      <c r="F3061">
        <f t="shared" si="105"/>
        <v>-1.6759694450798793E-2</v>
      </c>
      <c r="G3061">
        <f t="shared" si="104"/>
        <v>-2.492697748027271E-2</v>
      </c>
    </row>
    <row r="3062" spans="1:38" x14ac:dyDescent="0.35">
      <c r="A3062" t="s">
        <v>162</v>
      </c>
      <c r="E3062">
        <v>5.3982081525684586E-3</v>
      </c>
      <c r="F3062">
        <f t="shared" si="105"/>
        <v>-1.6772970201554091E-2</v>
      </c>
      <c r="G3062">
        <f t="shared" si="104"/>
        <v>-2.492697748027271E-2</v>
      </c>
    </row>
    <row r="3063" spans="1:38" x14ac:dyDescent="0.35">
      <c r="A3063" t="s">
        <v>162</v>
      </c>
      <c r="E3063">
        <v>-4.6670154402744897E-3</v>
      </c>
      <c r="F3063">
        <f t="shared" si="105"/>
        <v>-1.6786245952309386E-2</v>
      </c>
      <c r="G3063">
        <f t="shared" si="104"/>
        <v>-2.492697748027271E-2</v>
      </c>
    </row>
    <row r="3064" spans="1:38" x14ac:dyDescent="0.35">
      <c r="A3064" t="s">
        <v>162</v>
      </c>
      <c r="E3064">
        <v>1.7095052787460888E-2</v>
      </c>
      <c r="F3064">
        <f t="shared" si="105"/>
        <v>-1.6799521703064684E-2</v>
      </c>
      <c r="G3064">
        <f t="shared" si="104"/>
        <v>-2.492697748027271E-2</v>
      </c>
    </row>
    <row r="3065" spans="1:38" x14ac:dyDescent="0.35">
      <c r="A3065" t="s">
        <v>162</v>
      </c>
      <c r="E3065">
        <v>7.9797582225218724E-3</v>
      </c>
      <c r="F3065">
        <f t="shared" si="105"/>
        <v>-1.6812797453819979E-2</v>
      </c>
      <c r="G3065">
        <f t="shared" si="104"/>
        <v>-2.492697748027271E-2</v>
      </c>
    </row>
    <row r="3066" spans="1:38" x14ac:dyDescent="0.35">
      <c r="A3066" t="s">
        <v>162</v>
      </c>
      <c r="E3066">
        <v>-2.2663057174684482E-2</v>
      </c>
      <c r="F3066">
        <f t="shared" si="105"/>
        <v>-1.6826073204575277E-2</v>
      </c>
      <c r="G3066">
        <f t="shared" si="104"/>
        <v>-2.492697748027271E-2</v>
      </c>
    </row>
    <row r="3067" spans="1:38" x14ac:dyDescent="0.35">
      <c r="A3067" t="s">
        <v>162</v>
      </c>
      <c r="E3067">
        <v>-2.1697176308957331E-2</v>
      </c>
      <c r="F3067">
        <f t="shared" si="105"/>
        <v>-1.6705181378760571E-2</v>
      </c>
      <c r="G3067">
        <f t="shared" si="104"/>
        <v>-2.476706833230944E-2</v>
      </c>
    </row>
    <row r="3068" spans="1:38" x14ac:dyDescent="0.35">
      <c r="A3068" t="s">
        <v>162</v>
      </c>
      <c r="E3068">
        <v>-9.6886015833009455E-3</v>
      </c>
      <c r="F3068">
        <f t="shared" si="105"/>
        <v>-1.6596812225187767E-2</v>
      </c>
      <c r="G3068">
        <f t="shared" si="104"/>
        <v>-2.4631549423075473E-2</v>
      </c>
    </row>
    <row r="3069" spans="1:38" x14ac:dyDescent="0.35">
      <c r="A3069" t="s">
        <v>162</v>
      </c>
      <c r="E3069">
        <v>3.5622355265739394E-3</v>
      </c>
      <c r="F3069">
        <f t="shared" si="105"/>
        <v>-1.6603992595363829E-2</v>
      </c>
      <c r="G3069">
        <f t="shared" si="104"/>
        <v>-2.4631549423075473E-2</v>
      </c>
    </row>
    <row r="3070" spans="1:38" x14ac:dyDescent="0.35">
      <c r="A3070" t="s">
        <v>162</v>
      </c>
      <c r="E3070">
        <v>1.1283910526910135E-2</v>
      </c>
      <c r="F3070">
        <f t="shared" si="105"/>
        <v>-1.6611172965539892E-2</v>
      </c>
      <c r="G3070">
        <f t="shared" si="104"/>
        <v>-2.4631549423075473E-2</v>
      </c>
    </row>
    <row r="3071" spans="1:38" x14ac:dyDescent="0.35">
      <c r="A3071" t="s">
        <v>162</v>
      </c>
      <c r="E3071">
        <v>6.8180763020337116E-3</v>
      </c>
      <c r="F3071">
        <f t="shared" si="105"/>
        <v>-1.6618353335715957E-2</v>
      </c>
      <c r="G3071">
        <f t="shared" si="104"/>
        <v>-2.4631549423075473E-2</v>
      </c>
    </row>
    <row r="3072" spans="1:38" x14ac:dyDescent="0.35">
      <c r="A3072" t="s">
        <v>163</v>
      </c>
      <c r="B3072" s="3" cm="1">
        <f t="array" ref="B3072">_xlfn.STDEV.S(_xlfn._xlws.FILTER($E$2826:$E$3824, $A$2826:$A$3824="2022-05"))</f>
        <v>1.5680832517176096E-2</v>
      </c>
      <c r="C3072" s="3" cm="1">
        <f t="array" ref="C3072">AVERAGE(_xlfn._xlws.FILTER($E$2826:$E$3824, $A$2826:$A$3824="2022-05"))</f>
        <v>-1.7123148242485729E-4</v>
      </c>
      <c r="D3072" s="3" cm="1">
        <f t="array" ref="D3072">_xlfn.PERCENTILE.EXC(_xlfn._xlws.FILTER($E$2490:$E$3818, $A$2490:$A$3818="2022-05"), 0.05)</f>
        <v>-2.7578175967784172E-2</v>
      </c>
      <c r="E3072">
        <v>-1.1018018534859071E-2</v>
      </c>
      <c r="F3072">
        <f t="shared" si="105"/>
        <v>-1.662553370589202E-2</v>
      </c>
      <c r="G3072">
        <f t="shared" si="104"/>
        <v>-2.4631549423075473E-2</v>
      </c>
      <c r="AI3072" s="3"/>
      <c r="AJ3072" s="3"/>
      <c r="AK3072" s="3"/>
      <c r="AL3072" s="3"/>
    </row>
    <row r="3073" spans="1:7" x14ac:dyDescent="0.35">
      <c r="A3073" t="s">
        <v>163</v>
      </c>
      <c r="E3073">
        <v>-9.6712294271508667E-3</v>
      </c>
      <c r="F3073">
        <f t="shared" si="105"/>
        <v>-1.6632714076068086E-2</v>
      </c>
      <c r="G3073">
        <f t="shared" si="104"/>
        <v>-2.4631549423075473E-2</v>
      </c>
    </row>
    <row r="3074" spans="1:7" x14ac:dyDescent="0.35">
      <c r="A3074" t="s">
        <v>163</v>
      </c>
      <c r="E3074">
        <v>-7.6425734649940872E-3</v>
      </c>
      <c r="F3074">
        <f t="shared" si="105"/>
        <v>-1.6639894446244148E-2</v>
      </c>
      <c r="G3074">
        <f t="shared" si="104"/>
        <v>-2.4631549423075473E-2</v>
      </c>
    </row>
    <row r="3075" spans="1:7" x14ac:dyDescent="0.35">
      <c r="A3075" t="s">
        <v>163</v>
      </c>
      <c r="E3075">
        <v>-1.8417621804576626E-2</v>
      </c>
      <c r="F3075">
        <f t="shared" si="105"/>
        <v>-1.6647074816420214E-2</v>
      </c>
      <c r="G3075">
        <f t="shared" ref="G3075:G3138" si="106">AVERAGEIFS(E3075:E6891,E3075:E6891,"&lt;=" &amp; F3075)</f>
        <v>-2.4631549423075473E-2</v>
      </c>
    </row>
    <row r="3076" spans="1:7" x14ac:dyDescent="0.35">
      <c r="A3076" t="s">
        <v>163</v>
      </c>
      <c r="E3076">
        <v>-2.859601531925168E-2</v>
      </c>
      <c r="F3076">
        <f t="shared" ref="F3076:F3139" si="107">_xlfn.PERCENTILE.EXC(E3076:E6891,0.05)</f>
        <v>-1.6481323320208387E-2</v>
      </c>
      <c r="G3076">
        <f t="shared" si="106"/>
        <v>-2.4580785840891756E-2</v>
      </c>
    </row>
    <row r="3077" spans="1:7" x14ac:dyDescent="0.35">
      <c r="A3077" t="s">
        <v>163</v>
      </c>
      <c r="E3077">
        <v>7.8908462068444686E-3</v>
      </c>
      <c r="F3077">
        <f t="shared" si="107"/>
        <v>-1.623880563284566E-2</v>
      </c>
      <c r="G3077">
        <f t="shared" si="106"/>
        <v>-2.424708649566671E-2</v>
      </c>
    </row>
    <row r="3078" spans="1:7" x14ac:dyDescent="0.35">
      <c r="A3078" t="s">
        <v>163</v>
      </c>
      <c r="E3078">
        <v>2.5844632730013337E-2</v>
      </c>
      <c r="F3078">
        <f t="shared" si="107"/>
        <v>-1.6242250270538747E-2</v>
      </c>
      <c r="G3078">
        <f t="shared" si="106"/>
        <v>-2.424708649566671E-2</v>
      </c>
    </row>
    <row r="3079" spans="1:7" x14ac:dyDescent="0.35">
      <c r="A3079" t="s">
        <v>163</v>
      </c>
      <c r="E3079">
        <v>-9.4859758591273897E-3</v>
      </c>
      <c r="F3079">
        <f t="shared" si="107"/>
        <v>-1.6245694908231832E-2</v>
      </c>
      <c r="G3079">
        <f t="shared" si="106"/>
        <v>-2.424708649566671E-2</v>
      </c>
    </row>
    <row r="3080" spans="1:7" x14ac:dyDescent="0.35">
      <c r="A3080" t="s">
        <v>163</v>
      </c>
      <c r="E3080">
        <v>2.459925729676336E-2</v>
      </c>
      <c r="F3080">
        <f t="shared" si="107"/>
        <v>-1.6249139545924919E-2</v>
      </c>
      <c r="G3080">
        <f t="shared" si="106"/>
        <v>-2.424708649566671E-2</v>
      </c>
    </row>
    <row r="3081" spans="1:7" x14ac:dyDescent="0.35">
      <c r="A3081" t="s">
        <v>163</v>
      </c>
      <c r="E3081">
        <v>-4.8939297217606825E-3</v>
      </c>
      <c r="F3081">
        <f t="shared" si="107"/>
        <v>-1.6263651031817636E-2</v>
      </c>
      <c r="G3081">
        <f t="shared" si="106"/>
        <v>-2.4469251688715096E-2</v>
      </c>
    </row>
    <row r="3082" spans="1:7" x14ac:dyDescent="0.35">
      <c r="A3082" t="s">
        <v>163</v>
      </c>
      <c r="E3082">
        <v>1.512648593147573E-2</v>
      </c>
      <c r="F3082">
        <f t="shared" si="107"/>
        <v>-1.6278162517710353E-2</v>
      </c>
      <c r="G3082">
        <f t="shared" si="106"/>
        <v>-2.4469251688715096E-2</v>
      </c>
    </row>
    <row r="3083" spans="1:7" x14ac:dyDescent="0.35">
      <c r="A3083" t="s">
        <v>163</v>
      </c>
      <c r="E3083">
        <v>-1.3662293307551671E-2</v>
      </c>
      <c r="F3083">
        <f t="shared" si="107"/>
        <v>-1.6292674003603069E-2</v>
      </c>
      <c r="G3083">
        <f t="shared" si="106"/>
        <v>-2.4469251688715096E-2</v>
      </c>
    </row>
    <row r="3084" spans="1:7" x14ac:dyDescent="0.35">
      <c r="A3084" t="s">
        <v>163</v>
      </c>
      <c r="E3084">
        <v>-1.3692210816536788E-2</v>
      </c>
      <c r="F3084">
        <f t="shared" si="107"/>
        <v>-1.6307185489495786E-2</v>
      </c>
      <c r="G3084">
        <f t="shared" si="106"/>
        <v>-2.4469251688715096E-2</v>
      </c>
    </row>
    <row r="3085" spans="1:7" x14ac:dyDescent="0.35">
      <c r="A3085" t="s">
        <v>163</v>
      </c>
      <c r="E3085">
        <v>4.5165734435840821E-3</v>
      </c>
      <c r="F3085">
        <f t="shared" si="107"/>
        <v>-1.6321696975388503E-2</v>
      </c>
      <c r="G3085">
        <f t="shared" si="106"/>
        <v>-2.4469251688715096E-2</v>
      </c>
    </row>
    <row r="3086" spans="1:7" x14ac:dyDescent="0.35">
      <c r="A3086" t="s">
        <v>163</v>
      </c>
      <c r="E3086">
        <v>1.3946477587275553E-2</v>
      </c>
      <c r="F3086">
        <f t="shared" si="107"/>
        <v>-1.6336208461281219E-2</v>
      </c>
      <c r="G3086">
        <f t="shared" si="106"/>
        <v>-2.4469251688715096E-2</v>
      </c>
    </row>
    <row r="3087" spans="1:7" x14ac:dyDescent="0.35">
      <c r="A3087" t="s">
        <v>163</v>
      </c>
      <c r="E3087">
        <v>-1.6539369263779254E-2</v>
      </c>
      <c r="F3087">
        <f t="shared" si="107"/>
        <v>-1.6350719947173936E-2</v>
      </c>
      <c r="G3087">
        <f t="shared" si="106"/>
        <v>-2.4469251688715096E-2</v>
      </c>
    </row>
    <row r="3088" spans="1:7" x14ac:dyDescent="0.35">
      <c r="A3088" t="s">
        <v>163</v>
      </c>
      <c r="E3088">
        <v>8.0659471305526195E-3</v>
      </c>
      <c r="F3088">
        <f t="shared" si="107"/>
        <v>-1.6207803893607885E-2</v>
      </c>
      <c r="G3088">
        <f t="shared" si="106"/>
        <v>-2.446118975210803E-2</v>
      </c>
    </row>
    <row r="3089" spans="1:38" x14ac:dyDescent="0.35">
      <c r="A3089" t="s">
        <v>163</v>
      </c>
      <c r="E3089">
        <v>1.7044097658887571E-2</v>
      </c>
      <c r="F3089">
        <f t="shared" si="107"/>
        <v>-1.6211248531300973E-2</v>
      </c>
      <c r="G3089">
        <f t="shared" si="106"/>
        <v>-2.446118975210803E-2</v>
      </c>
    </row>
    <row r="3090" spans="1:38" x14ac:dyDescent="0.35">
      <c r="A3090" t="s">
        <v>163</v>
      </c>
      <c r="E3090">
        <v>1.8161436075183817E-2</v>
      </c>
      <c r="F3090">
        <f t="shared" si="107"/>
        <v>-1.6214693168994057E-2</v>
      </c>
      <c r="G3090">
        <f t="shared" si="106"/>
        <v>-2.446118975210803E-2</v>
      </c>
    </row>
    <row r="3091" spans="1:38" x14ac:dyDescent="0.35">
      <c r="A3091" t="s">
        <v>163</v>
      </c>
      <c r="E3091">
        <v>8.5642208682344227E-3</v>
      </c>
      <c r="F3091">
        <f t="shared" si="107"/>
        <v>-1.6218137806687145E-2</v>
      </c>
      <c r="G3091">
        <f t="shared" si="106"/>
        <v>-2.446118975210803E-2</v>
      </c>
    </row>
    <row r="3092" spans="1:38" x14ac:dyDescent="0.35">
      <c r="A3092" t="s">
        <v>163</v>
      </c>
      <c r="E3092">
        <v>-1.3736598540148854E-2</v>
      </c>
      <c r="F3092">
        <f t="shared" si="107"/>
        <v>-1.6221582444380232E-2</v>
      </c>
      <c r="G3092">
        <f t="shared" si="106"/>
        <v>-2.446118975210803E-2</v>
      </c>
    </row>
    <row r="3093" spans="1:38" x14ac:dyDescent="0.35">
      <c r="A3093" t="s">
        <v>164</v>
      </c>
      <c r="B3093" s="3" cm="1">
        <f t="array" ref="B3093">_xlfn.STDEV.S(_xlfn._xlws.FILTER($E$2826:$E$3824, $A$2826:$A$3824="2022-06"))</f>
        <v>1.6292230092577489E-2</v>
      </c>
      <c r="C3093" s="3" cm="1">
        <f t="array" ref="C3093">AVERAGE(_xlfn._xlws.FILTER($E$2826:$E$3824, $A$2826:$A$3824="2022-06"))</f>
        <v>-4.6187809340346875E-3</v>
      </c>
      <c r="D3093" s="3" cm="1">
        <f t="array" ref="D3093">_xlfn.PERCENTILE.EXC(_xlfn._xlws.FILTER($E$2490:$E$3818, $A$2490:$A$3818="2022-06"), 0.05)</f>
        <v>-3.3997418452033266E-2</v>
      </c>
      <c r="E3093">
        <v>-7.8609446031780907E-3</v>
      </c>
      <c r="F3093">
        <f t="shared" si="107"/>
        <v>-1.6225027082073316E-2</v>
      </c>
      <c r="G3093">
        <f t="shared" si="106"/>
        <v>-2.446118975210803E-2</v>
      </c>
      <c r="AI3093" s="3"/>
      <c r="AJ3093" s="3"/>
      <c r="AK3093" s="3"/>
      <c r="AL3093" s="3"/>
    </row>
    <row r="3094" spans="1:38" x14ac:dyDescent="0.35">
      <c r="A3094" t="s">
        <v>164</v>
      </c>
      <c r="E3094">
        <v>2.0764214102024423E-2</v>
      </c>
      <c r="F3094">
        <f t="shared" si="107"/>
        <v>-1.6228471719766404E-2</v>
      </c>
      <c r="G3094">
        <f t="shared" si="106"/>
        <v>-2.446118975210803E-2</v>
      </c>
    </row>
    <row r="3095" spans="1:38" x14ac:dyDescent="0.35">
      <c r="A3095" t="s">
        <v>164</v>
      </c>
      <c r="E3095">
        <v>-8.2876437715616921E-3</v>
      </c>
      <c r="F3095">
        <f t="shared" si="107"/>
        <v>-1.6231916357459488E-2</v>
      </c>
      <c r="G3095">
        <f t="shared" si="106"/>
        <v>-2.446118975210803E-2</v>
      </c>
    </row>
    <row r="3096" spans="1:38" x14ac:dyDescent="0.35">
      <c r="A3096" t="s">
        <v>164</v>
      </c>
      <c r="E3096">
        <v>-4.6895224882647626E-3</v>
      </c>
      <c r="F3096">
        <f t="shared" si="107"/>
        <v>-1.6235360995152576E-2</v>
      </c>
      <c r="G3096">
        <f t="shared" si="106"/>
        <v>-2.446118975210803E-2</v>
      </c>
    </row>
    <row r="3097" spans="1:38" x14ac:dyDescent="0.35">
      <c r="A3097" t="s">
        <v>164</v>
      </c>
      <c r="E3097">
        <v>-1.716446741094035E-2</v>
      </c>
      <c r="F3097">
        <f t="shared" si="107"/>
        <v>-1.623880563284566E-2</v>
      </c>
      <c r="G3097">
        <f t="shared" si="106"/>
        <v>-2.446118975210803E-2</v>
      </c>
    </row>
    <row r="3098" spans="1:38" x14ac:dyDescent="0.35">
      <c r="A3098" t="s">
        <v>164</v>
      </c>
      <c r="E3098">
        <v>-3.4207591378502933E-2</v>
      </c>
      <c r="F3098">
        <f t="shared" si="107"/>
        <v>-1.6176164931386048E-2</v>
      </c>
      <c r="G3098">
        <f t="shared" si="106"/>
        <v>-2.4433850290472556E-2</v>
      </c>
    </row>
    <row r="3099" spans="1:38" x14ac:dyDescent="0.35">
      <c r="A3099" t="s">
        <v>164</v>
      </c>
      <c r="E3099">
        <v>-2.7234599315800429E-2</v>
      </c>
      <c r="F3099">
        <f t="shared" si="107"/>
        <v>-1.6128302895385284E-2</v>
      </c>
      <c r="G3099">
        <f t="shared" si="106"/>
        <v>-2.3931956868438908E-2</v>
      </c>
    </row>
    <row r="3100" spans="1:38" x14ac:dyDescent="0.35">
      <c r="A3100" t="s">
        <v>164</v>
      </c>
      <c r="E3100">
        <v>-7.8307229926176843E-3</v>
      </c>
      <c r="F3100">
        <f t="shared" si="107"/>
        <v>-1.5916922387163256E-2</v>
      </c>
      <c r="G3100">
        <f t="shared" si="106"/>
        <v>-2.3617576953754542E-2</v>
      </c>
    </row>
    <row r="3101" spans="1:38" x14ac:dyDescent="0.35">
      <c r="A3101" t="s">
        <v>164</v>
      </c>
      <c r="E3101">
        <v>1.6308602627854264E-2</v>
      </c>
      <c r="F3101">
        <f t="shared" si="107"/>
        <v>-1.5928047677069679E-2</v>
      </c>
      <c r="G3101">
        <f t="shared" si="106"/>
        <v>-2.383759565565715E-2</v>
      </c>
    </row>
    <row r="3102" spans="1:38" x14ac:dyDescent="0.35">
      <c r="A3102" t="s">
        <v>164</v>
      </c>
      <c r="E3102">
        <v>-3.0004132849109633E-2</v>
      </c>
      <c r="F3102">
        <f t="shared" si="107"/>
        <v>-1.5939172966976101E-2</v>
      </c>
      <c r="G3102">
        <f t="shared" si="106"/>
        <v>-2.383759565565715E-2</v>
      </c>
    </row>
    <row r="3103" spans="1:38" x14ac:dyDescent="0.35">
      <c r="A3103" t="s">
        <v>164</v>
      </c>
      <c r="E3103">
        <v>3.0729507154414349E-3</v>
      </c>
      <c r="F3103">
        <f t="shared" si="107"/>
        <v>-1.5726167563565114E-2</v>
      </c>
      <c r="G3103">
        <f t="shared" si="106"/>
        <v>-2.3435103928172968E-2</v>
      </c>
    </row>
    <row r="3104" spans="1:38" x14ac:dyDescent="0.35">
      <c r="A3104" t="s">
        <v>164</v>
      </c>
      <c r="E3104">
        <v>9.081904673591986E-3</v>
      </c>
      <c r="F3104">
        <f t="shared" si="107"/>
        <v>-1.5737388435541476E-2</v>
      </c>
      <c r="G3104">
        <f t="shared" si="106"/>
        <v>-2.3435103928172968E-2</v>
      </c>
    </row>
    <row r="3105" spans="1:38" x14ac:dyDescent="0.35">
      <c r="A3105" t="s">
        <v>164</v>
      </c>
      <c r="E3105">
        <v>6.9416103076795485E-3</v>
      </c>
      <c r="F3105">
        <f t="shared" si="107"/>
        <v>-1.5748609307517838E-2</v>
      </c>
      <c r="G3105">
        <f t="shared" si="106"/>
        <v>-2.3435103928172968E-2</v>
      </c>
    </row>
    <row r="3106" spans="1:38" x14ac:dyDescent="0.35">
      <c r="A3106" t="s">
        <v>164</v>
      </c>
      <c r="E3106">
        <v>-8.4384805714684697E-3</v>
      </c>
      <c r="F3106">
        <f t="shared" si="107"/>
        <v>-1.57598301794942E-2</v>
      </c>
      <c r="G3106">
        <f t="shared" si="106"/>
        <v>-2.3435103928172968E-2</v>
      </c>
    </row>
    <row r="3107" spans="1:38" x14ac:dyDescent="0.35">
      <c r="A3107" t="s">
        <v>164</v>
      </c>
      <c r="E3107">
        <v>-8.2163301142485802E-3</v>
      </c>
      <c r="F3107">
        <f t="shared" si="107"/>
        <v>-1.5771051051470562E-2</v>
      </c>
      <c r="G3107">
        <f t="shared" si="106"/>
        <v>-2.3435103928172968E-2</v>
      </c>
    </row>
    <row r="3108" spans="1:38" x14ac:dyDescent="0.35">
      <c r="A3108" t="s">
        <v>164</v>
      </c>
      <c r="E3108">
        <v>2.7803083940196056E-2</v>
      </c>
      <c r="F3108">
        <f t="shared" si="107"/>
        <v>-1.578227192344692E-2</v>
      </c>
      <c r="G3108">
        <f t="shared" si="106"/>
        <v>-2.3435103928172968E-2</v>
      </c>
    </row>
    <row r="3109" spans="1:38" x14ac:dyDescent="0.35">
      <c r="A3109" t="s">
        <v>164</v>
      </c>
      <c r="E3109">
        <v>1.6148079385143507E-3</v>
      </c>
      <c r="F3109">
        <f t="shared" si="107"/>
        <v>-1.5793492795423282E-2</v>
      </c>
      <c r="G3109">
        <f t="shared" si="106"/>
        <v>-2.3435103928172968E-2</v>
      </c>
    </row>
    <row r="3110" spans="1:38" x14ac:dyDescent="0.35">
      <c r="A3110" t="s">
        <v>164</v>
      </c>
      <c r="E3110">
        <v>2.9372905797991878E-3</v>
      </c>
      <c r="F3110">
        <f t="shared" si="107"/>
        <v>-1.5804713667399644E-2</v>
      </c>
      <c r="G3110">
        <f t="shared" si="106"/>
        <v>-2.3435103928172968E-2</v>
      </c>
    </row>
    <row r="3111" spans="1:38" x14ac:dyDescent="0.35">
      <c r="A3111" t="s">
        <v>164</v>
      </c>
      <c r="E3111">
        <v>-9.9015335516829655E-3</v>
      </c>
      <c r="F3111">
        <f t="shared" si="107"/>
        <v>-1.5815934539376006E-2</v>
      </c>
      <c r="G3111">
        <f t="shared" si="106"/>
        <v>-2.3435103928172968E-2</v>
      </c>
    </row>
    <row r="3112" spans="1:38" x14ac:dyDescent="0.35">
      <c r="A3112" t="s">
        <v>164</v>
      </c>
      <c r="E3112">
        <v>-1.706411451841942E-2</v>
      </c>
      <c r="F3112">
        <f t="shared" si="107"/>
        <v>-1.5827155411352368E-2</v>
      </c>
      <c r="G3112">
        <f t="shared" si="106"/>
        <v>-2.3435103928172968E-2</v>
      </c>
    </row>
    <row r="3113" spans="1:38" x14ac:dyDescent="0.35">
      <c r="A3113" t="s">
        <v>165</v>
      </c>
      <c r="B3113" s="3" cm="1">
        <f t="array" ref="B3113">_xlfn.STDEV.S(_xlfn._xlws.FILTER($E$2826:$E$3824, $A$2826:$A$3824="2022-07"))</f>
        <v>1.29854604903309E-2</v>
      </c>
      <c r="C3113" s="3" cm="1">
        <f t="array" ref="C3113">AVERAGE(_xlfn._xlws.FILTER($E$2826:$E$3824, $A$2826:$A$3824="2022-07"))</f>
        <v>3.3684609829377713E-3</v>
      </c>
      <c r="D3113" s="3" cm="1">
        <f t="array" ref="D3113">_xlfn.PERCENTILE.EXC(_xlfn._xlws.FILTER($E$2490:$E$3818, $A$2490:$A$3818="2022-07"), 0.05)</f>
        <v>-2.6141193134937509E-2</v>
      </c>
      <c r="E3113">
        <v>-1.897679461942337E-3</v>
      </c>
      <c r="F3113">
        <f t="shared" si="107"/>
        <v>-1.5610655341940385E-2</v>
      </c>
      <c r="G3113">
        <f t="shared" si="106"/>
        <v>-2.3395915083293445E-2</v>
      </c>
      <c r="AI3113" s="3"/>
      <c r="AJ3113" s="3"/>
      <c r="AK3113" s="3"/>
      <c r="AL3113" s="3"/>
    </row>
    <row r="3114" spans="1:38" x14ac:dyDescent="0.35">
      <c r="A3114" t="s">
        <v>165</v>
      </c>
      <c r="E3114">
        <v>1.191178465459534E-3</v>
      </c>
      <c r="F3114">
        <f t="shared" si="107"/>
        <v>-1.5622348142754049E-2</v>
      </c>
      <c r="G3114">
        <f t="shared" si="106"/>
        <v>-2.3395915083293445E-2</v>
      </c>
    </row>
    <row r="3115" spans="1:38" x14ac:dyDescent="0.35">
      <c r="A3115" t="s">
        <v>165</v>
      </c>
      <c r="E3115">
        <v>-2.7185056961036843E-2</v>
      </c>
      <c r="F3115">
        <f t="shared" si="107"/>
        <v>-1.5634040943567712E-2</v>
      </c>
      <c r="G3115">
        <f t="shared" si="106"/>
        <v>-2.3395915083293445E-2</v>
      </c>
    </row>
    <row r="3116" spans="1:38" x14ac:dyDescent="0.35">
      <c r="A3116" t="s">
        <v>165</v>
      </c>
      <c r="E3116">
        <v>1.8288040636981917E-2</v>
      </c>
      <c r="F3116">
        <f t="shared" si="107"/>
        <v>-1.536751248759669E-2</v>
      </c>
      <c r="G3116">
        <f t="shared" si="106"/>
        <v>-2.3060874853874185E-2</v>
      </c>
    </row>
    <row r="3117" spans="1:38" x14ac:dyDescent="0.35">
      <c r="A3117" t="s">
        <v>165</v>
      </c>
      <c r="E3117">
        <v>1.9293426303137042E-2</v>
      </c>
      <c r="F3117">
        <f t="shared" si="107"/>
        <v>-1.5390296598538208E-2</v>
      </c>
      <c r="G3117">
        <f t="shared" si="106"/>
        <v>-2.3060874853874185E-2</v>
      </c>
    </row>
    <row r="3118" spans="1:38" x14ac:dyDescent="0.35">
      <c r="A3118" t="s">
        <v>165</v>
      </c>
      <c r="E3118">
        <v>5.1608037288652514E-3</v>
      </c>
      <c r="F3118">
        <f t="shared" si="107"/>
        <v>-1.5413080709479724E-2</v>
      </c>
      <c r="G3118">
        <f t="shared" si="106"/>
        <v>-2.3060874853874185E-2</v>
      </c>
    </row>
    <row r="3119" spans="1:38" x14ac:dyDescent="0.35">
      <c r="A3119" t="s">
        <v>165</v>
      </c>
      <c r="E3119">
        <v>-9.9911410284081806E-3</v>
      </c>
      <c r="F3119">
        <f t="shared" si="107"/>
        <v>-1.543586482042124E-2</v>
      </c>
      <c r="G3119">
        <f t="shared" si="106"/>
        <v>-2.3060874853874185E-2</v>
      </c>
    </row>
    <row r="3120" spans="1:38" x14ac:dyDescent="0.35">
      <c r="A3120" t="s">
        <v>165</v>
      </c>
      <c r="E3120">
        <v>4.4145994664301262E-3</v>
      </c>
      <c r="F3120">
        <f t="shared" si="107"/>
        <v>-1.5458648931362758E-2</v>
      </c>
      <c r="G3120">
        <f t="shared" si="106"/>
        <v>-2.3060874853874185E-2</v>
      </c>
    </row>
    <row r="3121" spans="1:38" x14ac:dyDescent="0.35">
      <c r="A3121" t="s">
        <v>165</v>
      </c>
      <c r="E3121">
        <v>-9.5318124592086648E-3</v>
      </c>
      <c r="F3121">
        <f t="shared" si="107"/>
        <v>-1.547034173217642E-2</v>
      </c>
      <c r="G3121">
        <f t="shared" si="106"/>
        <v>-2.3284469733948054E-2</v>
      </c>
    </row>
    <row r="3122" spans="1:38" x14ac:dyDescent="0.35">
      <c r="A3122" t="s">
        <v>165</v>
      </c>
      <c r="E3122">
        <v>-1.6746418700043498E-2</v>
      </c>
      <c r="F3122">
        <f t="shared" si="107"/>
        <v>-1.5482034532990085E-2</v>
      </c>
      <c r="G3122">
        <f t="shared" si="106"/>
        <v>-2.3284469733948054E-2</v>
      </c>
    </row>
    <row r="3123" spans="1:38" x14ac:dyDescent="0.35">
      <c r="A3123" t="s">
        <v>165</v>
      </c>
      <c r="E3123">
        <v>2.344949681798273E-2</v>
      </c>
      <c r="F3123">
        <f t="shared" si="107"/>
        <v>-1.5071319045356977E-2</v>
      </c>
      <c r="G3123">
        <f t="shared" si="106"/>
        <v>-2.3246594152516266E-2</v>
      </c>
    </row>
    <row r="3124" spans="1:38" x14ac:dyDescent="0.35">
      <c r="A3124" t="s">
        <v>165</v>
      </c>
      <c r="E3124">
        <v>9.9184394297943228E-3</v>
      </c>
      <c r="F3124">
        <f t="shared" si="107"/>
        <v>-1.5094103156298491E-2</v>
      </c>
      <c r="G3124">
        <f t="shared" si="106"/>
        <v>-2.3246594152516266E-2</v>
      </c>
    </row>
    <row r="3125" spans="1:38" x14ac:dyDescent="0.35">
      <c r="A3125" t="s">
        <v>165</v>
      </c>
      <c r="E3125">
        <v>2.1293044554637031E-2</v>
      </c>
      <c r="F3125">
        <f t="shared" si="107"/>
        <v>-1.511688726724001E-2</v>
      </c>
      <c r="G3125">
        <f t="shared" si="106"/>
        <v>-2.3246594152516266E-2</v>
      </c>
    </row>
    <row r="3126" spans="1:38" x14ac:dyDescent="0.35">
      <c r="A3126" t="s">
        <v>165</v>
      </c>
      <c r="E3126">
        <v>-6.1343878968252543E-4</v>
      </c>
      <c r="F3126">
        <f t="shared" si="107"/>
        <v>-1.5139671378181525E-2</v>
      </c>
      <c r="G3126">
        <f t="shared" si="106"/>
        <v>-2.3246594152516266E-2</v>
      </c>
    </row>
    <row r="3127" spans="1:38" x14ac:dyDescent="0.35">
      <c r="A3127" t="s">
        <v>165</v>
      </c>
      <c r="E3127">
        <v>3.1385133849105239E-3</v>
      </c>
      <c r="F3127">
        <f t="shared" si="107"/>
        <v>-1.5162455489123042E-2</v>
      </c>
      <c r="G3127">
        <f t="shared" si="106"/>
        <v>-2.3246594152516266E-2</v>
      </c>
    </row>
    <row r="3128" spans="1:38" x14ac:dyDescent="0.35">
      <c r="A3128" t="s">
        <v>165</v>
      </c>
      <c r="E3128">
        <v>-5.56096204655829E-6</v>
      </c>
      <c r="F3128">
        <f t="shared" si="107"/>
        <v>-1.5185239600064558E-2</v>
      </c>
      <c r="G3128">
        <f t="shared" si="106"/>
        <v>-2.3246594152516266E-2</v>
      </c>
    </row>
    <row r="3129" spans="1:38" x14ac:dyDescent="0.35">
      <c r="A3129" t="s">
        <v>165</v>
      </c>
      <c r="E3129">
        <v>2.1303640368095784E-3</v>
      </c>
      <c r="F3129">
        <f t="shared" si="107"/>
        <v>-1.5208023711006075E-2</v>
      </c>
      <c r="G3129">
        <f t="shared" si="106"/>
        <v>-2.3246594152516266E-2</v>
      </c>
    </row>
    <row r="3130" spans="1:38" x14ac:dyDescent="0.35">
      <c r="A3130" t="s">
        <v>165</v>
      </c>
      <c r="E3130">
        <v>-8.0228635003585652E-3</v>
      </c>
      <c r="F3130">
        <f t="shared" si="107"/>
        <v>-1.5230807821947592E-2</v>
      </c>
      <c r="G3130">
        <f t="shared" si="106"/>
        <v>-2.3246594152516266E-2</v>
      </c>
    </row>
    <row r="3131" spans="1:38" x14ac:dyDescent="0.35">
      <c r="A3131" t="s">
        <v>165</v>
      </c>
      <c r="E3131">
        <v>9.0267543546970024E-3</v>
      </c>
      <c r="F3131">
        <f t="shared" si="107"/>
        <v>-1.5253591932889108E-2</v>
      </c>
      <c r="G3131">
        <f t="shared" si="106"/>
        <v>-2.3246594152516266E-2</v>
      </c>
    </row>
    <row r="3132" spans="1:38" x14ac:dyDescent="0.35">
      <c r="A3132" t="s">
        <v>165</v>
      </c>
      <c r="E3132">
        <v>1.2237101014263452E-2</v>
      </c>
      <c r="F3132">
        <f t="shared" si="107"/>
        <v>-1.5276376043830626E-2</v>
      </c>
      <c r="G3132">
        <f t="shared" si="106"/>
        <v>-2.3246594152516266E-2</v>
      </c>
    </row>
    <row r="3133" spans="1:38" x14ac:dyDescent="0.35">
      <c r="A3133" t="s">
        <v>165</v>
      </c>
      <c r="E3133">
        <v>1.5189890310451858E-2</v>
      </c>
      <c r="F3133">
        <f t="shared" si="107"/>
        <v>-1.5299160154772142E-2</v>
      </c>
      <c r="G3133">
        <f t="shared" si="106"/>
        <v>-2.3246594152516266E-2</v>
      </c>
    </row>
    <row r="3134" spans="1:38" x14ac:dyDescent="0.35">
      <c r="A3134" t="s">
        <v>166</v>
      </c>
      <c r="B3134" s="3" cm="1">
        <f t="array" ref="B3134">_xlfn.STDEV.S(_xlfn._xlws.FILTER($E$2826:$E$3824, $A$2826:$A$3824="2022-08"))</f>
        <v>9.925178702257325E-3</v>
      </c>
      <c r="C3134" s="3" cm="1">
        <f t="array" ref="C3134">AVERAGE(_xlfn._xlws.FILTER($E$2826:$E$3824, $A$2826:$A$3824="2022-08"))</f>
        <v>-2.5161991324315737E-3</v>
      </c>
      <c r="D3134" s="3" cm="1">
        <f t="array" ref="D3134">_xlfn.PERCENTILE.EXC(_xlfn._xlws.FILTER($E$2490:$E$3818, $A$2490:$A$3818="2022-08"), 0.05)</f>
        <v>-1.9512838410744502E-2</v>
      </c>
      <c r="E3134">
        <v>-3.9920590923332017E-4</v>
      </c>
      <c r="F3134">
        <f t="shared" si="107"/>
        <v>-1.5321944265713656E-2</v>
      </c>
      <c r="G3134">
        <f t="shared" si="106"/>
        <v>-2.3246594152516266E-2</v>
      </c>
      <c r="AI3134" s="3"/>
      <c r="AJ3134" s="3"/>
      <c r="AK3134" s="3"/>
      <c r="AL3134" s="3"/>
    </row>
    <row r="3135" spans="1:38" x14ac:dyDescent="0.35">
      <c r="A3135" t="s">
        <v>166</v>
      </c>
      <c r="E3135">
        <v>-5.9502966024720435E-3</v>
      </c>
      <c r="F3135">
        <f t="shared" si="107"/>
        <v>-1.5344728376655174E-2</v>
      </c>
      <c r="G3135">
        <f t="shared" si="106"/>
        <v>-2.3246594152516266E-2</v>
      </c>
    </row>
    <row r="3136" spans="1:38" x14ac:dyDescent="0.35">
      <c r="A3136" t="s">
        <v>166</v>
      </c>
      <c r="E3136">
        <v>1.291885350707199E-2</v>
      </c>
      <c r="F3136">
        <f t="shared" si="107"/>
        <v>-1.536751248759669E-2</v>
      </c>
      <c r="G3136">
        <f t="shared" si="106"/>
        <v>-2.3246594152516266E-2</v>
      </c>
    </row>
    <row r="3137" spans="1:7" x14ac:dyDescent="0.35">
      <c r="A3137" t="s">
        <v>166</v>
      </c>
      <c r="E3137">
        <v>5.8927878565096133E-3</v>
      </c>
      <c r="F3137">
        <f t="shared" si="107"/>
        <v>-1.5390296598538208E-2</v>
      </c>
      <c r="G3137">
        <f t="shared" si="106"/>
        <v>-2.3246594152516266E-2</v>
      </c>
    </row>
    <row r="3138" spans="1:7" x14ac:dyDescent="0.35">
      <c r="A3138" t="s">
        <v>166</v>
      </c>
      <c r="E3138">
        <v>-7.8102105704764115E-3</v>
      </c>
      <c r="F3138">
        <f t="shared" si="107"/>
        <v>-1.5413080709479724E-2</v>
      </c>
      <c r="G3138">
        <f t="shared" si="106"/>
        <v>-2.3246594152516266E-2</v>
      </c>
    </row>
    <row r="3139" spans="1:7" x14ac:dyDescent="0.35">
      <c r="A3139" t="s">
        <v>166</v>
      </c>
      <c r="E3139">
        <v>8.5077778993635968E-3</v>
      </c>
      <c r="F3139">
        <f t="shared" si="107"/>
        <v>-1.543586482042124E-2</v>
      </c>
      <c r="G3139">
        <f t="shared" ref="G3139:G3202" si="108">AVERAGEIFS(E3139:E6955,E3139:E6955,"&lt;=" &amp; F3139)</f>
        <v>-2.3246594152516266E-2</v>
      </c>
    </row>
    <row r="3140" spans="1:7" x14ac:dyDescent="0.35">
      <c r="A3140" t="s">
        <v>166</v>
      </c>
      <c r="E3140">
        <v>-1.1201052795170965E-2</v>
      </c>
      <c r="F3140">
        <f t="shared" ref="F3140:F3203" si="109">_xlfn.PERCENTILE.EXC(E3140:E6955,0.05)</f>
        <v>-1.5458648931362758E-2</v>
      </c>
      <c r="G3140">
        <f t="shared" si="108"/>
        <v>-2.3246594152516266E-2</v>
      </c>
    </row>
    <row r="3141" spans="1:7" x14ac:dyDescent="0.35">
      <c r="A3141" t="s">
        <v>166</v>
      </c>
      <c r="E3141">
        <v>9.1042221831868081E-3</v>
      </c>
      <c r="F3141">
        <f t="shared" si="109"/>
        <v>-1.547034173217642E-2</v>
      </c>
      <c r="G3141">
        <f t="shared" si="108"/>
        <v>-2.3482592492551222E-2</v>
      </c>
    </row>
    <row r="3142" spans="1:7" x14ac:dyDescent="0.35">
      <c r="A3142" t="s">
        <v>166</v>
      </c>
      <c r="E3142">
        <v>2.0515833690641109E-3</v>
      </c>
      <c r="F3142">
        <f t="shared" si="109"/>
        <v>-1.5482034532990085E-2</v>
      </c>
      <c r="G3142">
        <f t="shared" si="108"/>
        <v>-2.3482592492551222E-2</v>
      </c>
    </row>
    <row r="3143" spans="1:7" x14ac:dyDescent="0.35">
      <c r="A3143" t="s">
        <v>166</v>
      </c>
      <c r="E3143">
        <v>5.245662996464704E-3</v>
      </c>
      <c r="F3143">
        <f t="shared" si="109"/>
        <v>-1.5493727333803749E-2</v>
      </c>
      <c r="G3143">
        <f t="shared" si="108"/>
        <v>-2.3482592492551222E-2</v>
      </c>
    </row>
    <row r="3144" spans="1:7" x14ac:dyDescent="0.35">
      <c r="A3144" t="s">
        <v>166</v>
      </c>
      <c r="E3144">
        <v>7.4940703113165171E-3</v>
      </c>
      <c r="F3144">
        <f t="shared" si="109"/>
        <v>-1.5505420134617412E-2</v>
      </c>
      <c r="G3144">
        <f t="shared" si="108"/>
        <v>-2.3482592492551222E-2</v>
      </c>
    </row>
    <row r="3145" spans="1:7" x14ac:dyDescent="0.35">
      <c r="A3145" t="s">
        <v>166</v>
      </c>
      <c r="E3145">
        <v>-1.3003272642552148E-2</v>
      </c>
      <c r="F3145">
        <f t="shared" si="109"/>
        <v>-1.5517112935431076E-2</v>
      </c>
      <c r="G3145">
        <f t="shared" si="108"/>
        <v>-2.3482592492551222E-2</v>
      </c>
    </row>
    <row r="3146" spans="1:7" x14ac:dyDescent="0.35">
      <c r="A3146" t="s">
        <v>166</v>
      </c>
      <c r="E3146">
        <v>5.6601119591591729E-3</v>
      </c>
      <c r="F3146">
        <f t="shared" si="109"/>
        <v>-1.552880573624474E-2</v>
      </c>
      <c r="G3146">
        <f t="shared" si="108"/>
        <v>-2.3482592492551222E-2</v>
      </c>
    </row>
    <row r="3147" spans="1:7" x14ac:dyDescent="0.35">
      <c r="A3147" t="s">
        <v>166</v>
      </c>
      <c r="E3147">
        <v>-1.2536626757864953E-2</v>
      </c>
      <c r="F3147">
        <f t="shared" si="109"/>
        <v>-1.5540498537058405E-2</v>
      </c>
      <c r="G3147">
        <f t="shared" si="108"/>
        <v>-2.3482592492551222E-2</v>
      </c>
    </row>
    <row r="3148" spans="1:7" x14ac:dyDescent="0.35">
      <c r="A3148" t="s">
        <v>166</v>
      </c>
      <c r="E3148">
        <v>-1.9517330546225547E-2</v>
      </c>
      <c r="F3148">
        <f t="shared" si="109"/>
        <v>-1.5552191337872067E-2</v>
      </c>
      <c r="G3148">
        <f t="shared" si="108"/>
        <v>-2.3482592492551222E-2</v>
      </c>
    </row>
    <row r="3149" spans="1:7" x14ac:dyDescent="0.35">
      <c r="A3149" t="s">
        <v>166</v>
      </c>
      <c r="E3149">
        <v>-1.5593499850895197E-3</v>
      </c>
      <c r="F3149">
        <f t="shared" si="109"/>
        <v>-1.5208023711006075E-2</v>
      </c>
      <c r="G3149">
        <f t="shared" si="108"/>
        <v>-2.3359602140585686E-2</v>
      </c>
    </row>
    <row r="3150" spans="1:7" x14ac:dyDescent="0.35">
      <c r="A3150" t="s">
        <v>166</v>
      </c>
      <c r="E3150">
        <v>4.0819840340885457E-3</v>
      </c>
      <c r="F3150">
        <f t="shared" si="109"/>
        <v>-1.5230807821947592E-2</v>
      </c>
      <c r="G3150">
        <f t="shared" si="108"/>
        <v>-2.3359602140585686E-2</v>
      </c>
    </row>
    <row r="3151" spans="1:7" x14ac:dyDescent="0.35">
      <c r="A3151" t="s">
        <v>166</v>
      </c>
      <c r="E3151">
        <v>1.9286303989573728E-3</v>
      </c>
      <c r="F3151">
        <f t="shared" si="109"/>
        <v>-1.5253591932889108E-2</v>
      </c>
      <c r="G3151">
        <f t="shared" si="108"/>
        <v>-2.3359602140585686E-2</v>
      </c>
    </row>
    <row r="3152" spans="1:7" x14ac:dyDescent="0.35">
      <c r="A3152" t="s">
        <v>166</v>
      </c>
      <c r="E3152">
        <v>-1.9472409191415085E-2</v>
      </c>
      <c r="F3152">
        <f t="shared" si="109"/>
        <v>-1.5276376043830626E-2</v>
      </c>
      <c r="G3152">
        <f t="shared" si="108"/>
        <v>-2.3359602140585686E-2</v>
      </c>
    </row>
    <row r="3153" spans="1:38" x14ac:dyDescent="0.35">
      <c r="A3153" t="s">
        <v>166</v>
      </c>
      <c r="E3153">
        <v>-1.1655820248207053E-2</v>
      </c>
      <c r="F3153">
        <f t="shared" si="109"/>
        <v>-1.4979407769935489E-2</v>
      </c>
      <c r="G3153">
        <f t="shared" si="108"/>
        <v>-2.3224164489710451E-2</v>
      </c>
    </row>
    <row r="3154" spans="1:38" x14ac:dyDescent="0.35">
      <c r="A3154" t="s">
        <v>166</v>
      </c>
      <c r="E3154">
        <v>-1.2620291047538441E-2</v>
      </c>
      <c r="F3154">
        <f t="shared" si="109"/>
        <v>-1.4982773333163623E-2</v>
      </c>
      <c r="G3154">
        <f t="shared" si="108"/>
        <v>-2.3224164489710451E-2</v>
      </c>
    </row>
    <row r="3155" spans="1:38" x14ac:dyDescent="0.35">
      <c r="A3155" t="s">
        <v>167</v>
      </c>
      <c r="B3155" s="3" cm="1">
        <f t="array" ref="B3155">_xlfn.STDEV.S(_xlfn._xlws.FILTER($E$2826:$E$3824, $A$2826:$A$3824="2022-09"))</f>
        <v>1.3636059971168839E-2</v>
      </c>
      <c r="C3155" s="3" cm="1">
        <f t="array" ref="C3155">AVERAGE(_xlfn._xlws.FILTER($E$2826:$E$3824, $A$2826:$A$3824="2022-09"))</f>
        <v>-2.7741412880032293E-3</v>
      </c>
      <c r="D3155" s="3" cm="1">
        <f t="array" ref="D3155">_xlfn.PERCENTILE.EXC(_xlfn._xlws.FILTER($E$2490:$E$3818, $A$2490:$A$3818="2022-09"), 0.05)</f>
        <v>-2.2736502989396341E-2</v>
      </c>
      <c r="E3155">
        <v>-1.7365057546811846E-2</v>
      </c>
      <c r="F3155">
        <f t="shared" si="109"/>
        <v>-1.4986138896391757E-2</v>
      </c>
      <c r="G3155">
        <f t="shared" si="108"/>
        <v>-2.3224164489710451E-2</v>
      </c>
      <c r="AI3155" s="3"/>
      <c r="AJ3155" s="3"/>
      <c r="AK3155" s="3"/>
      <c r="AL3155" s="3"/>
    </row>
    <row r="3156" spans="1:38" x14ac:dyDescent="0.35">
      <c r="A3156" t="s">
        <v>167</v>
      </c>
      <c r="E3156">
        <v>2.5048873742732798E-2</v>
      </c>
      <c r="F3156">
        <f t="shared" si="109"/>
        <v>-1.4929495871780113E-2</v>
      </c>
      <c r="G3156">
        <f t="shared" si="108"/>
        <v>-2.3150546244290991E-2</v>
      </c>
    </row>
    <row r="3157" spans="1:38" x14ac:dyDescent="0.35">
      <c r="A3157" t="s">
        <v>167</v>
      </c>
      <c r="E3157">
        <v>-1.5458648931362758E-2</v>
      </c>
      <c r="F3157">
        <f t="shared" si="109"/>
        <v>-1.4931035765827522E-2</v>
      </c>
      <c r="G3157">
        <f t="shared" si="108"/>
        <v>-2.3150546244290991E-2</v>
      </c>
    </row>
    <row r="3158" spans="1:38" x14ac:dyDescent="0.35">
      <c r="A3158" t="s">
        <v>167</v>
      </c>
      <c r="E3158">
        <v>2.8983661556456824E-3</v>
      </c>
      <c r="F3158">
        <f t="shared" si="109"/>
        <v>-1.4904087556372857E-2</v>
      </c>
      <c r="G3158">
        <f t="shared" si="108"/>
        <v>-2.3133764687795804E-2</v>
      </c>
    </row>
    <row r="3159" spans="1:38" x14ac:dyDescent="0.35">
      <c r="A3159" t="s">
        <v>167</v>
      </c>
      <c r="E3159">
        <v>5.5696543827023508E-4</v>
      </c>
      <c r="F3159">
        <f t="shared" si="109"/>
        <v>-1.4904472561697213E-2</v>
      </c>
      <c r="G3159">
        <f t="shared" si="108"/>
        <v>-2.3133764687795804E-2</v>
      </c>
    </row>
    <row r="3160" spans="1:38" x14ac:dyDescent="0.35">
      <c r="A3160" t="s">
        <v>167</v>
      </c>
      <c r="E3160">
        <v>2.933937241544424E-3</v>
      </c>
      <c r="F3160">
        <f t="shared" si="109"/>
        <v>-1.4904857567021569E-2</v>
      </c>
      <c r="G3160">
        <f t="shared" si="108"/>
        <v>-2.3133764687795804E-2</v>
      </c>
    </row>
    <row r="3161" spans="1:38" x14ac:dyDescent="0.35">
      <c r="A3161" t="s">
        <v>167</v>
      </c>
      <c r="E3161">
        <v>1.6282929835366586E-2</v>
      </c>
      <c r="F3161">
        <f t="shared" si="109"/>
        <v>-1.4906397461068978E-2</v>
      </c>
      <c r="G3161">
        <f t="shared" si="108"/>
        <v>-2.3390918035319997E-2</v>
      </c>
    </row>
    <row r="3162" spans="1:38" x14ac:dyDescent="0.35">
      <c r="A3162" t="s">
        <v>167</v>
      </c>
      <c r="E3162">
        <v>2.1193745583503374E-2</v>
      </c>
      <c r="F3162">
        <f t="shared" si="109"/>
        <v>-1.4907937355116387E-2</v>
      </c>
      <c r="G3162">
        <f t="shared" si="108"/>
        <v>-2.3390918035319997E-2</v>
      </c>
    </row>
    <row r="3163" spans="1:38" x14ac:dyDescent="0.35">
      <c r="A3163" t="s">
        <v>167</v>
      </c>
      <c r="E3163">
        <v>-1.6682976667300533E-2</v>
      </c>
      <c r="F3163">
        <f t="shared" si="109"/>
        <v>-1.4909477249163796E-2</v>
      </c>
      <c r="G3163">
        <f t="shared" si="108"/>
        <v>-2.3390918035319997E-2</v>
      </c>
    </row>
    <row r="3164" spans="1:38" x14ac:dyDescent="0.35">
      <c r="A3164" t="s">
        <v>167</v>
      </c>
      <c r="E3164">
        <v>-5.2056803989980463E-3</v>
      </c>
      <c r="F3164">
        <f t="shared" si="109"/>
        <v>-1.4898697481831879E-2</v>
      </c>
      <c r="G3164">
        <f t="shared" si="108"/>
        <v>-2.3335351813436281E-2</v>
      </c>
    </row>
    <row r="3165" spans="1:38" x14ac:dyDescent="0.35">
      <c r="A3165" t="s">
        <v>167</v>
      </c>
      <c r="E3165">
        <v>-7.2496396623177991E-3</v>
      </c>
      <c r="F3165">
        <f t="shared" si="109"/>
        <v>-1.4899082487156235E-2</v>
      </c>
      <c r="G3165">
        <f t="shared" si="108"/>
        <v>-2.3335351813436281E-2</v>
      </c>
    </row>
    <row r="3166" spans="1:38" x14ac:dyDescent="0.35">
      <c r="A3166" t="s">
        <v>167</v>
      </c>
      <c r="E3166">
        <v>-1.175214457363544E-2</v>
      </c>
      <c r="F3166">
        <f t="shared" si="109"/>
        <v>-1.4899467492480591E-2</v>
      </c>
      <c r="G3166">
        <f t="shared" si="108"/>
        <v>-2.3335351813436281E-2</v>
      </c>
    </row>
    <row r="3167" spans="1:38" x14ac:dyDescent="0.35">
      <c r="A3167" t="s">
        <v>167</v>
      </c>
      <c r="E3167">
        <v>-9.5644790834660542E-3</v>
      </c>
      <c r="F3167">
        <f t="shared" si="109"/>
        <v>-1.4899852497804946E-2</v>
      </c>
      <c r="G3167">
        <f t="shared" si="108"/>
        <v>-2.3335351813436281E-2</v>
      </c>
    </row>
    <row r="3168" spans="1:38" x14ac:dyDescent="0.35">
      <c r="A3168" t="s">
        <v>167</v>
      </c>
      <c r="E3168">
        <v>7.1217839264232641E-3</v>
      </c>
      <c r="F3168">
        <f t="shared" si="109"/>
        <v>-1.4900237503129302E-2</v>
      </c>
      <c r="G3168">
        <f t="shared" si="108"/>
        <v>-2.3335351813436281E-2</v>
      </c>
    </row>
    <row r="3169" spans="1:38" x14ac:dyDescent="0.35">
      <c r="A3169" t="s">
        <v>167</v>
      </c>
      <c r="E3169">
        <v>-1.871131521953729E-2</v>
      </c>
      <c r="F3169">
        <f t="shared" si="109"/>
        <v>-1.4900622508453658E-2</v>
      </c>
      <c r="G3169">
        <f t="shared" si="108"/>
        <v>-2.3335351813436281E-2</v>
      </c>
    </row>
    <row r="3170" spans="1:38" x14ac:dyDescent="0.35">
      <c r="A3170" t="s">
        <v>167</v>
      </c>
      <c r="E3170">
        <v>-2.3183746074936236E-2</v>
      </c>
      <c r="F3170">
        <f t="shared" si="109"/>
        <v>-1.4833889530449999E-2</v>
      </c>
      <c r="G3170">
        <f t="shared" si="108"/>
        <v>-2.3216159383467442E-2</v>
      </c>
    </row>
    <row r="3171" spans="1:38" x14ac:dyDescent="0.35">
      <c r="A3171" t="s">
        <v>167</v>
      </c>
      <c r="E3171">
        <v>-1.805367571703741E-3</v>
      </c>
      <c r="F3171">
        <f t="shared" si="109"/>
        <v>-1.4711481379797624E-2</v>
      </c>
      <c r="G3171">
        <f t="shared" si="108"/>
        <v>-2.2953249243637109E-2</v>
      </c>
    </row>
    <row r="3172" spans="1:38" x14ac:dyDescent="0.35">
      <c r="A3172" t="s">
        <v>167</v>
      </c>
      <c r="E3172">
        <v>-4.1701640806431385E-3</v>
      </c>
      <c r="F3172">
        <f t="shared" si="109"/>
        <v>-1.4718052515416283E-2</v>
      </c>
      <c r="G3172">
        <f t="shared" si="108"/>
        <v>-2.2953249243637109E-2</v>
      </c>
    </row>
    <row r="3173" spans="1:38" x14ac:dyDescent="0.35">
      <c r="A3173" t="s">
        <v>167</v>
      </c>
      <c r="E3173">
        <v>1.9958139564063403E-3</v>
      </c>
      <c r="F3173">
        <f t="shared" si="109"/>
        <v>-1.472462365103494E-2</v>
      </c>
      <c r="G3173">
        <f t="shared" si="108"/>
        <v>-2.2953249243637109E-2</v>
      </c>
    </row>
    <row r="3174" spans="1:38" x14ac:dyDescent="0.35">
      <c r="A3174" t="s">
        <v>167</v>
      </c>
      <c r="E3174">
        <v>-1.7011933715149429E-2</v>
      </c>
      <c r="F3174">
        <f t="shared" si="109"/>
        <v>-1.4731194786653596E-2</v>
      </c>
      <c r="G3174">
        <f t="shared" si="108"/>
        <v>-2.2953249243637109E-2</v>
      </c>
    </row>
    <row r="3175" spans="1:38" x14ac:dyDescent="0.35">
      <c r="A3175" t="s">
        <v>167</v>
      </c>
      <c r="E3175">
        <v>1.1871770597901796E-2</v>
      </c>
      <c r="F3175">
        <f t="shared" si="109"/>
        <v>-1.4622124547854731E-2</v>
      </c>
      <c r="G3175">
        <f t="shared" si="108"/>
        <v>-2.2879101280288451E-2</v>
      </c>
    </row>
    <row r="3176" spans="1:38" x14ac:dyDescent="0.35">
      <c r="A3176" t="s">
        <v>168</v>
      </c>
      <c r="B3176" s="3" cm="1">
        <f t="array" ref="B3176">_xlfn.STDEV.S(_xlfn._xlws.FILTER($E$2826:$E$3824, $A$2826:$A$3824="2022-10"))</f>
        <v>1.2173866978828163E-2</v>
      </c>
      <c r="C3176" s="3" cm="1">
        <f t="array" ref="C3176">AVERAGE(_xlfn._xlws.FILTER($E$2826:$E$3824, $A$2826:$A$3824="2022-10"))</f>
        <v>4.1129414093003455E-3</v>
      </c>
      <c r="D3176" s="3" cm="1">
        <f t="array" ref="D3176">_xlfn.PERCENTILE.EXC(_xlfn._xlws.FILTER($E$2490:$E$3818, $A$2490:$A$3818="2022-10"), 0.05)</f>
        <v>-1.6391145632251945E-2</v>
      </c>
      <c r="E3176">
        <v>7.1978293962303239E-3</v>
      </c>
      <c r="F3176">
        <f t="shared" si="109"/>
        <v>-1.4625539415882263E-2</v>
      </c>
      <c r="G3176">
        <f t="shared" si="108"/>
        <v>-2.2879101280288451E-2</v>
      </c>
      <c r="AI3176" s="3"/>
      <c r="AJ3176" s="3"/>
      <c r="AK3176" s="3"/>
      <c r="AL3176" s="3"/>
    </row>
    <row r="3177" spans="1:38" x14ac:dyDescent="0.35">
      <c r="A3177" t="s">
        <v>168</v>
      </c>
      <c r="E3177">
        <v>4.1698525552211062E-2</v>
      </c>
      <c r="F3177">
        <f t="shared" si="109"/>
        <v>-1.4628954283909796E-2</v>
      </c>
      <c r="G3177">
        <f t="shared" si="108"/>
        <v>-2.2879101280288451E-2</v>
      </c>
    </row>
    <row r="3178" spans="1:38" x14ac:dyDescent="0.35">
      <c r="A3178" t="s">
        <v>168</v>
      </c>
      <c r="E3178">
        <v>-1.0605679168058277E-2</v>
      </c>
      <c r="F3178">
        <f t="shared" si="109"/>
        <v>-1.4632369151937328E-2</v>
      </c>
      <c r="G3178">
        <f t="shared" si="108"/>
        <v>-2.2879101280288451E-2</v>
      </c>
    </row>
    <row r="3179" spans="1:38" x14ac:dyDescent="0.35">
      <c r="A3179" t="s">
        <v>168</v>
      </c>
      <c r="E3179">
        <v>-4.1475564348231074E-3</v>
      </c>
      <c r="F3179">
        <f t="shared" si="109"/>
        <v>-1.463578401996486E-2</v>
      </c>
      <c r="G3179">
        <f t="shared" si="108"/>
        <v>-2.2879101280288451E-2</v>
      </c>
    </row>
    <row r="3180" spans="1:38" x14ac:dyDescent="0.35">
      <c r="A3180" t="s">
        <v>168</v>
      </c>
      <c r="E3180">
        <v>-1.7033975239384574E-2</v>
      </c>
      <c r="F3180">
        <f t="shared" si="109"/>
        <v>-1.4639198887992394E-2</v>
      </c>
      <c r="G3180">
        <f t="shared" si="108"/>
        <v>-2.2879101280288451E-2</v>
      </c>
    </row>
    <row r="3181" spans="1:38" x14ac:dyDescent="0.35">
      <c r="A3181" t="s">
        <v>168</v>
      </c>
      <c r="E3181">
        <v>-5.519640176271965E-3</v>
      </c>
      <c r="F3181">
        <f t="shared" si="109"/>
        <v>-1.4574316395469269E-2</v>
      </c>
      <c r="G3181">
        <f t="shared" si="108"/>
        <v>-2.3067653733220832E-2</v>
      </c>
    </row>
    <row r="3182" spans="1:38" x14ac:dyDescent="0.35">
      <c r="A3182" t="s">
        <v>168</v>
      </c>
      <c r="E3182">
        <v>-4.9363792393829009E-3</v>
      </c>
      <c r="F3182">
        <f t="shared" si="109"/>
        <v>-1.4577731263496803E-2</v>
      </c>
      <c r="G3182">
        <f t="shared" si="108"/>
        <v>-2.3067653733220832E-2</v>
      </c>
    </row>
    <row r="3183" spans="1:38" x14ac:dyDescent="0.35">
      <c r="A3183" t="s">
        <v>168</v>
      </c>
      <c r="E3183">
        <v>-2.6439339850038227E-3</v>
      </c>
      <c r="F3183">
        <f t="shared" si="109"/>
        <v>-1.4581146131524335E-2</v>
      </c>
      <c r="G3183">
        <f t="shared" si="108"/>
        <v>-2.3067653733220832E-2</v>
      </c>
    </row>
    <row r="3184" spans="1:38" x14ac:dyDescent="0.35">
      <c r="A3184" t="s">
        <v>168</v>
      </c>
      <c r="E3184">
        <v>9.223346776135323E-3</v>
      </c>
      <c r="F3184">
        <f t="shared" si="109"/>
        <v>-1.4584560999551868E-2</v>
      </c>
      <c r="G3184">
        <f t="shared" si="108"/>
        <v>-2.3067653733220832E-2</v>
      </c>
    </row>
    <row r="3185" spans="1:38" x14ac:dyDescent="0.35">
      <c r="A3185" t="s">
        <v>168</v>
      </c>
      <c r="E3185">
        <v>5.7324081631774902E-3</v>
      </c>
      <c r="F3185">
        <f t="shared" si="109"/>
        <v>-1.45879758675794E-2</v>
      </c>
      <c r="G3185">
        <f t="shared" si="108"/>
        <v>-2.3067653733220832E-2</v>
      </c>
    </row>
    <row r="3186" spans="1:38" x14ac:dyDescent="0.35">
      <c r="A3186" t="s">
        <v>168</v>
      </c>
      <c r="E3186">
        <v>1.7560689093002575E-2</v>
      </c>
      <c r="F3186">
        <f t="shared" si="109"/>
        <v>-1.4591390735606934E-2</v>
      </c>
      <c r="G3186">
        <f t="shared" si="108"/>
        <v>-2.3067653733220832E-2</v>
      </c>
    </row>
    <row r="3187" spans="1:38" x14ac:dyDescent="0.35">
      <c r="A3187" t="s">
        <v>168</v>
      </c>
      <c r="E3187">
        <v>6.4268113184908632E-3</v>
      </c>
      <c r="F3187">
        <f t="shared" si="109"/>
        <v>-1.4594805603634466E-2</v>
      </c>
      <c r="G3187">
        <f t="shared" si="108"/>
        <v>-2.3067653733220832E-2</v>
      </c>
    </row>
    <row r="3188" spans="1:38" x14ac:dyDescent="0.35">
      <c r="A3188" t="s">
        <v>168</v>
      </c>
      <c r="E3188">
        <v>2.1369655446559898E-3</v>
      </c>
      <c r="F3188">
        <f t="shared" si="109"/>
        <v>-1.4598220471662E-2</v>
      </c>
      <c r="G3188">
        <f t="shared" si="108"/>
        <v>-2.3067653733220832E-2</v>
      </c>
    </row>
    <row r="3189" spans="1:38" x14ac:dyDescent="0.35">
      <c r="A3189" t="s">
        <v>168</v>
      </c>
      <c r="E3189">
        <v>6.2061430456049329E-3</v>
      </c>
      <c r="F3189">
        <f t="shared" si="109"/>
        <v>-1.4601635339689532E-2</v>
      </c>
      <c r="G3189">
        <f t="shared" si="108"/>
        <v>-2.3067653733220832E-2</v>
      </c>
    </row>
    <row r="3190" spans="1:38" x14ac:dyDescent="0.35">
      <c r="A3190" t="s">
        <v>168</v>
      </c>
      <c r="E3190">
        <v>-4.6545880852243799E-3</v>
      </c>
      <c r="F3190">
        <f t="shared" si="109"/>
        <v>-1.4605050207717065E-2</v>
      </c>
      <c r="G3190">
        <f t="shared" si="108"/>
        <v>-2.3067653733220832E-2</v>
      </c>
    </row>
    <row r="3191" spans="1:38" x14ac:dyDescent="0.35">
      <c r="A3191" t="s">
        <v>168</v>
      </c>
      <c r="E3191">
        <v>1.4608178774931421E-2</v>
      </c>
      <c r="F3191">
        <f t="shared" si="109"/>
        <v>-1.4608465075744597E-2</v>
      </c>
      <c r="G3191">
        <f t="shared" si="108"/>
        <v>-2.3067653733220832E-2</v>
      </c>
    </row>
    <row r="3192" spans="1:38" x14ac:dyDescent="0.35">
      <c r="A3192" t="s">
        <v>168</v>
      </c>
      <c r="E3192">
        <v>1.6248633618536699E-2</v>
      </c>
      <c r="F3192">
        <f t="shared" si="109"/>
        <v>-1.4611879943772131E-2</v>
      </c>
      <c r="G3192">
        <f t="shared" si="108"/>
        <v>-2.3067653733220832E-2</v>
      </c>
    </row>
    <row r="3193" spans="1:38" x14ac:dyDescent="0.35">
      <c r="A3193" t="s">
        <v>168</v>
      </c>
      <c r="E3193">
        <v>5.4875125361191412E-3</v>
      </c>
      <c r="F3193">
        <f t="shared" si="109"/>
        <v>-1.4615294811799663E-2</v>
      </c>
      <c r="G3193">
        <f t="shared" si="108"/>
        <v>-2.3067653733220832E-2</v>
      </c>
    </row>
    <row r="3194" spans="1:38" x14ac:dyDescent="0.35">
      <c r="A3194" t="s">
        <v>168</v>
      </c>
      <c r="E3194">
        <v>-2.2191954952628589E-4</v>
      </c>
      <c r="F3194">
        <f t="shared" si="109"/>
        <v>-1.4618709679827197E-2</v>
      </c>
      <c r="G3194">
        <f t="shared" si="108"/>
        <v>-2.3067653733220832E-2</v>
      </c>
    </row>
    <row r="3195" spans="1:38" x14ac:dyDescent="0.35">
      <c r="A3195" t="s">
        <v>168</v>
      </c>
      <c r="E3195">
        <v>2.3581485476553282E-3</v>
      </c>
      <c r="F3195">
        <f t="shared" si="109"/>
        <v>-1.4622124547854731E-2</v>
      </c>
      <c r="G3195">
        <f t="shared" si="108"/>
        <v>-2.3067653733220832E-2</v>
      </c>
    </row>
    <row r="3196" spans="1:38" x14ac:dyDescent="0.35">
      <c r="A3196" t="s">
        <v>168</v>
      </c>
      <c r="E3196">
        <v>1.2502491062314418E-3</v>
      </c>
      <c r="F3196">
        <f t="shared" si="109"/>
        <v>-1.4625539415882263E-2</v>
      </c>
      <c r="G3196">
        <f t="shared" si="108"/>
        <v>-2.3067653733220832E-2</v>
      </c>
    </row>
    <row r="3197" spans="1:38" x14ac:dyDescent="0.35">
      <c r="A3197" t="s">
        <v>169</v>
      </c>
      <c r="B3197" s="3" cm="1">
        <f t="array" ref="B3197">_xlfn.STDEV.S(_xlfn._xlws.FILTER($E$2826:$E$3824, $A$2826:$A$3824="2022-11"))</f>
        <v>9.9994270249032773E-3</v>
      </c>
      <c r="C3197" s="3" cm="1">
        <f t="array" ref="C3197">AVERAGE(_xlfn._xlws.FILTER($E$2826:$E$3824, $A$2826:$A$3824="2022-11"))</f>
        <v>4.1654999029154807E-3</v>
      </c>
      <c r="D3197" s="3" cm="1">
        <f t="array" ref="D3197">_xlfn.PERCENTILE.EXC(_xlfn._xlws.FILTER($E$2490:$E$3818, $A$2490:$A$3818="2022-11"), 0.05)</f>
        <v>-8.242614310305315E-3</v>
      </c>
      <c r="E3197">
        <v>9.2123437873170427E-3</v>
      </c>
      <c r="F3197">
        <f t="shared" si="109"/>
        <v>-1.4628954283909795E-2</v>
      </c>
      <c r="G3197">
        <f t="shared" si="108"/>
        <v>-2.3067653733220832E-2</v>
      </c>
      <c r="AI3197" s="3"/>
      <c r="AJ3197" s="3"/>
      <c r="AK3197" s="3"/>
      <c r="AL3197" s="3"/>
    </row>
    <row r="3198" spans="1:38" x14ac:dyDescent="0.35">
      <c r="A3198" t="s">
        <v>169</v>
      </c>
      <c r="E3198">
        <v>-7.9774602467546397E-3</v>
      </c>
      <c r="F3198">
        <f t="shared" si="109"/>
        <v>-1.4632369151937328E-2</v>
      </c>
      <c r="G3198">
        <f t="shared" si="108"/>
        <v>-2.3067653733220832E-2</v>
      </c>
    </row>
    <row r="3199" spans="1:38" x14ac:dyDescent="0.35">
      <c r="A3199" t="s">
        <v>169</v>
      </c>
      <c r="E3199">
        <v>-7.9915160748055079E-3</v>
      </c>
      <c r="F3199">
        <f t="shared" si="109"/>
        <v>-1.463578401996486E-2</v>
      </c>
      <c r="G3199">
        <f t="shared" si="108"/>
        <v>-2.3067653733220832E-2</v>
      </c>
    </row>
    <row r="3200" spans="1:38" x14ac:dyDescent="0.35">
      <c r="A3200" t="s">
        <v>169</v>
      </c>
      <c r="E3200">
        <v>2.6136176795748117E-2</v>
      </c>
      <c r="F3200">
        <f t="shared" si="109"/>
        <v>-1.4639198887992394E-2</v>
      </c>
      <c r="G3200">
        <f t="shared" si="108"/>
        <v>-2.3067653733220832E-2</v>
      </c>
    </row>
    <row r="3201" spans="1:7" x14ac:dyDescent="0.35">
      <c r="A3201" t="s">
        <v>169</v>
      </c>
      <c r="E3201">
        <v>5.534593079365417E-3</v>
      </c>
      <c r="F3201">
        <f t="shared" si="109"/>
        <v>-1.4645770023611051E-2</v>
      </c>
      <c r="G3201">
        <f t="shared" si="108"/>
        <v>-2.3348602228061781E-2</v>
      </c>
    </row>
    <row r="3202" spans="1:7" x14ac:dyDescent="0.35">
      <c r="A3202" t="s">
        <v>169</v>
      </c>
      <c r="E3202">
        <v>8.1847053610838005E-3</v>
      </c>
      <c r="F3202">
        <f t="shared" si="109"/>
        <v>-1.4652341159229709E-2</v>
      </c>
      <c r="G3202">
        <f t="shared" si="108"/>
        <v>-2.3348602228061781E-2</v>
      </c>
    </row>
    <row r="3203" spans="1:7" x14ac:dyDescent="0.35">
      <c r="A3203" t="s">
        <v>169</v>
      </c>
      <c r="E3203">
        <v>-3.0131355231128171E-3</v>
      </c>
      <c r="F3203">
        <f t="shared" si="109"/>
        <v>-1.4658912294848366E-2</v>
      </c>
      <c r="G3203">
        <f t="shared" ref="G3203:G3266" si="110">AVERAGEIFS(E3203:E7019,E3203:E7019,"&lt;=" &amp; F3203)</f>
        <v>-2.3348602228061781E-2</v>
      </c>
    </row>
    <row r="3204" spans="1:7" x14ac:dyDescent="0.35">
      <c r="A3204" t="s">
        <v>169</v>
      </c>
      <c r="E3204">
        <v>3.1299298390055103E-2</v>
      </c>
      <c r="F3204">
        <f t="shared" ref="F3204:F3267" si="111">_xlfn.PERCENTILE.EXC(E3204:E7019,0.05)</f>
        <v>-1.4665483430467023E-2</v>
      </c>
      <c r="G3204">
        <f t="shared" si="110"/>
        <v>-2.3348602228061781E-2</v>
      </c>
    </row>
    <row r="3205" spans="1:7" x14ac:dyDescent="0.35">
      <c r="A3205" t="s">
        <v>169</v>
      </c>
      <c r="E3205">
        <v>5.6875926160503036E-3</v>
      </c>
      <c r="F3205">
        <f t="shared" si="111"/>
        <v>-1.467205456608568E-2</v>
      </c>
      <c r="G3205">
        <f t="shared" si="110"/>
        <v>-2.3348602228061781E-2</v>
      </c>
    </row>
    <row r="3206" spans="1:7" x14ac:dyDescent="0.35">
      <c r="A3206" t="s">
        <v>169</v>
      </c>
      <c r="E3206">
        <v>4.9020148419388751E-3</v>
      </c>
      <c r="F3206">
        <f t="shared" si="111"/>
        <v>-1.4678625701704338E-2</v>
      </c>
      <c r="G3206">
        <f t="shared" si="110"/>
        <v>-2.3348602228061781E-2</v>
      </c>
    </row>
    <row r="3207" spans="1:7" x14ac:dyDescent="0.35">
      <c r="A3207" t="s">
        <v>169</v>
      </c>
      <c r="E3207">
        <v>7.0694678349708662E-3</v>
      </c>
      <c r="F3207">
        <f t="shared" si="111"/>
        <v>-1.4685196837322995E-2</v>
      </c>
      <c r="G3207">
        <f t="shared" si="110"/>
        <v>-2.3348602228061781E-2</v>
      </c>
    </row>
    <row r="3208" spans="1:7" x14ac:dyDescent="0.35">
      <c r="A3208" t="s">
        <v>169</v>
      </c>
      <c r="E3208">
        <v>-8.28692576362881E-3</v>
      </c>
      <c r="F3208">
        <f t="shared" si="111"/>
        <v>-1.4691767972941652E-2</v>
      </c>
      <c r="G3208">
        <f t="shared" si="110"/>
        <v>-2.3348602228061781E-2</v>
      </c>
    </row>
    <row r="3209" spans="1:7" x14ac:dyDescent="0.35">
      <c r="A3209" t="s">
        <v>169</v>
      </c>
      <c r="E3209">
        <v>-1.1235377154690781E-3</v>
      </c>
      <c r="F3209">
        <f t="shared" si="111"/>
        <v>-1.469833910856031E-2</v>
      </c>
      <c r="G3209">
        <f t="shared" si="110"/>
        <v>-2.3348602228061781E-2</v>
      </c>
    </row>
    <row r="3210" spans="1:7" x14ac:dyDescent="0.35">
      <c r="A3210" t="s">
        <v>169</v>
      </c>
      <c r="E3210">
        <v>1.1897731867089589E-2</v>
      </c>
      <c r="F3210">
        <f t="shared" si="111"/>
        <v>-1.4704910244178967E-2</v>
      </c>
      <c r="G3210">
        <f t="shared" si="110"/>
        <v>-2.3348602228061781E-2</v>
      </c>
    </row>
    <row r="3211" spans="1:7" x14ac:dyDescent="0.35">
      <c r="A3211" t="s">
        <v>169</v>
      </c>
      <c r="E3211">
        <v>-3.9723722539504649E-3</v>
      </c>
      <c r="F3211">
        <f t="shared" si="111"/>
        <v>-1.4711481379797624E-2</v>
      </c>
      <c r="G3211">
        <f t="shared" si="110"/>
        <v>-2.3348602228061781E-2</v>
      </c>
    </row>
    <row r="3212" spans="1:7" x14ac:dyDescent="0.35">
      <c r="A3212" t="s">
        <v>169</v>
      </c>
      <c r="E3212">
        <v>5.2607664464888512E-3</v>
      </c>
      <c r="F3212">
        <f t="shared" si="111"/>
        <v>-1.4718052515416281E-2</v>
      </c>
      <c r="G3212">
        <f t="shared" si="110"/>
        <v>-2.3348602228061781E-2</v>
      </c>
    </row>
    <row r="3213" spans="1:7" x14ac:dyDescent="0.35">
      <c r="A3213" t="s">
        <v>169</v>
      </c>
      <c r="E3213">
        <v>4.1999264412001516E-3</v>
      </c>
      <c r="F3213">
        <f t="shared" si="111"/>
        <v>-1.472462365103494E-2</v>
      </c>
      <c r="G3213">
        <f t="shared" si="110"/>
        <v>-2.3348602228061781E-2</v>
      </c>
    </row>
    <row r="3214" spans="1:7" x14ac:dyDescent="0.35">
      <c r="A3214" t="s">
        <v>169</v>
      </c>
      <c r="E3214">
        <v>3.932517589372712E-3</v>
      </c>
      <c r="F3214">
        <f t="shared" si="111"/>
        <v>-1.4731194786653598E-2</v>
      </c>
      <c r="G3214">
        <f t="shared" si="110"/>
        <v>-2.3348602228061781E-2</v>
      </c>
    </row>
    <row r="3215" spans="1:7" x14ac:dyDescent="0.35">
      <c r="A3215" t="s">
        <v>169</v>
      </c>
      <c r="E3215">
        <v>1.0600171631745089E-4</v>
      </c>
      <c r="F3215">
        <f t="shared" si="111"/>
        <v>-1.4737765922272255E-2</v>
      </c>
      <c r="G3215">
        <f t="shared" si="110"/>
        <v>-2.3348602228061781E-2</v>
      </c>
    </row>
    <row r="3216" spans="1:7" x14ac:dyDescent="0.35">
      <c r="A3216" t="s">
        <v>169</v>
      </c>
      <c r="E3216">
        <v>-6.8119464413701385E-3</v>
      </c>
      <c r="F3216">
        <f t="shared" si="111"/>
        <v>-1.4744337057890912E-2</v>
      </c>
      <c r="G3216">
        <f t="shared" si="110"/>
        <v>-2.3348602228061781E-2</v>
      </c>
    </row>
    <row r="3217" spans="1:38" x14ac:dyDescent="0.35">
      <c r="A3217" t="s">
        <v>169</v>
      </c>
      <c r="E3217">
        <v>-2.7192040777720289E-4</v>
      </c>
      <c r="F3217">
        <f t="shared" si="111"/>
        <v>-1.475090819350957E-2</v>
      </c>
      <c r="G3217">
        <f t="shared" si="110"/>
        <v>-2.3348602228061781E-2</v>
      </c>
    </row>
    <row r="3218" spans="1:38" x14ac:dyDescent="0.35">
      <c r="A3218" t="s">
        <v>169</v>
      </c>
      <c r="E3218">
        <v>7.6666755240109566E-3</v>
      </c>
      <c r="F3218">
        <f t="shared" si="111"/>
        <v>-1.4757479329128227E-2</v>
      </c>
      <c r="G3218">
        <f t="shared" si="110"/>
        <v>-2.3348602228061781E-2</v>
      </c>
    </row>
    <row r="3219" spans="1:38" x14ac:dyDescent="0.35">
      <c r="A3219" t="s">
        <v>170</v>
      </c>
      <c r="B3219" s="3" cm="1">
        <f t="array" ref="B3219">_xlfn.STDEV.S(_xlfn._xlws.FILTER($E$2826:$E$3824, $A$2826:$A$3824="2022-12"))</f>
        <v>1.152481679937313E-2</v>
      </c>
      <c r="C3219" s="3" cm="1">
        <f t="array" ref="C3219">AVERAGE(_xlfn._xlws.FILTER($E$2826:$E$3824, $A$2826:$A$3824="2022-12"))</f>
        <v>-2.2057263167172035E-3</v>
      </c>
      <c r="D3219" s="3" cm="1">
        <f t="array" ref="D3219">_xlfn.PERCENTILE.EXC(_xlfn._xlws.FILTER($E$2490:$E$3818, $A$2490:$A$3818="2022-12"), 0.05)</f>
        <v>-3.4689827990722247E-2</v>
      </c>
      <c r="E3219">
        <v>4.97659916909984E-3</v>
      </c>
      <c r="F3219">
        <f t="shared" si="111"/>
        <v>-1.4764050464746884E-2</v>
      </c>
      <c r="G3219">
        <f t="shared" si="110"/>
        <v>-2.3348602228061781E-2</v>
      </c>
      <c r="AI3219" s="3"/>
      <c r="AJ3219" s="3"/>
      <c r="AK3219" s="3"/>
      <c r="AL3219" s="3"/>
    </row>
    <row r="3220" spans="1:38" x14ac:dyDescent="0.35">
      <c r="A3220" t="s">
        <v>170</v>
      </c>
      <c r="E3220">
        <v>-1.6577920002890021E-3</v>
      </c>
      <c r="F3220">
        <f t="shared" si="111"/>
        <v>-1.4770621600365541E-2</v>
      </c>
      <c r="G3220">
        <f t="shared" si="110"/>
        <v>-2.3348602228061781E-2</v>
      </c>
    </row>
    <row r="3221" spans="1:38" x14ac:dyDescent="0.35">
      <c r="A3221" t="s">
        <v>170</v>
      </c>
      <c r="E3221">
        <v>-5.3866633577681041E-3</v>
      </c>
      <c r="F3221">
        <f t="shared" si="111"/>
        <v>-1.4776948393373986E-2</v>
      </c>
      <c r="G3221">
        <f t="shared" si="110"/>
        <v>-2.3644394663499581E-2</v>
      </c>
    </row>
    <row r="3222" spans="1:38" x14ac:dyDescent="0.35">
      <c r="A3222" t="s">
        <v>170</v>
      </c>
      <c r="E3222">
        <v>-4.3922600793485662E-3</v>
      </c>
      <c r="F3222">
        <f t="shared" si="111"/>
        <v>-1.4783275186382432E-2</v>
      </c>
      <c r="G3222">
        <f t="shared" si="110"/>
        <v>-2.3644394663499581E-2</v>
      </c>
    </row>
    <row r="3223" spans="1:38" x14ac:dyDescent="0.35">
      <c r="A3223" t="s">
        <v>170</v>
      </c>
      <c r="E3223">
        <v>-4.6538991313265299E-3</v>
      </c>
      <c r="F3223">
        <f t="shared" si="111"/>
        <v>-1.4789601979390879E-2</v>
      </c>
      <c r="G3223">
        <f t="shared" si="110"/>
        <v>-2.3644394663499581E-2</v>
      </c>
    </row>
    <row r="3224" spans="1:38" x14ac:dyDescent="0.35">
      <c r="A3224" t="s">
        <v>170</v>
      </c>
      <c r="E3224">
        <v>9.4361637218824798E-5</v>
      </c>
      <c r="F3224">
        <f t="shared" si="111"/>
        <v>-1.4795928772399325E-2</v>
      </c>
      <c r="G3224">
        <f t="shared" si="110"/>
        <v>-2.3644394663499581E-2</v>
      </c>
    </row>
    <row r="3225" spans="1:38" x14ac:dyDescent="0.35">
      <c r="A3225" t="s">
        <v>170</v>
      </c>
      <c r="E3225">
        <v>5.4298960073235732E-3</v>
      </c>
      <c r="F3225">
        <f t="shared" si="111"/>
        <v>-1.4802255565407769E-2</v>
      </c>
      <c r="G3225">
        <f t="shared" si="110"/>
        <v>-2.3644394663499581E-2</v>
      </c>
    </row>
    <row r="3226" spans="1:38" x14ac:dyDescent="0.35">
      <c r="A3226" t="s">
        <v>170</v>
      </c>
      <c r="E3226">
        <v>-5.2896451620822859E-3</v>
      </c>
      <c r="F3226">
        <f t="shared" si="111"/>
        <v>-1.4808582358416216E-2</v>
      </c>
      <c r="G3226">
        <f t="shared" si="110"/>
        <v>-2.3644394663499581E-2</v>
      </c>
    </row>
    <row r="3227" spans="1:38" x14ac:dyDescent="0.35">
      <c r="A3227" t="s">
        <v>170</v>
      </c>
      <c r="E3227">
        <v>1.6440597145404356E-2</v>
      </c>
      <c r="F3227">
        <f t="shared" si="111"/>
        <v>-1.4814909151424662E-2</v>
      </c>
      <c r="G3227">
        <f t="shared" si="110"/>
        <v>-2.3644394663499581E-2</v>
      </c>
    </row>
    <row r="3228" spans="1:38" x14ac:dyDescent="0.35">
      <c r="A3228" t="s">
        <v>170</v>
      </c>
      <c r="E3228">
        <v>-2.9062741425340249E-3</v>
      </c>
      <c r="F3228">
        <f t="shared" si="111"/>
        <v>-1.4821235944433107E-2</v>
      </c>
      <c r="G3228">
        <f t="shared" si="110"/>
        <v>-2.3644394663499581E-2</v>
      </c>
    </row>
    <row r="3229" spans="1:38" x14ac:dyDescent="0.35">
      <c r="A3229" t="s">
        <v>170</v>
      </c>
      <c r="E3229">
        <v>-3.5738207274425234E-2</v>
      </c>
      <c r="F3229">
        <f t="shared" si="111"/>
        <v>-1.4827562737441553E-2</v>
      </c>
      <c r="G3229">
        <f t="shared" si="110"/>
        <v>-2.3644394663499581E-2</v>
      </c>
    </row>
    <row r="3230" spans="1:38" x14ac:dyDescent="0.35">
      <c r="A3230" t="s">
        <v>170</v>
      </c>
      <c r="E3230">
        <v>-8.2935452049621387E-3</v>
      </c>
      <c r="F3230">
        <f t="shared" si="111"/>
        <v>-1.4704910244178967E-2</v>
      </c>
      <c r="G3230">
        <f t="shared" si="110"/>
        <v>-2.2921374467842346E-2</v>
      </c>
    </row>
    <row r="3231" spans="1:38" x14ac:dyDescent="0.35">
      <c r="A3231" t="s">
        <v>170</v>
      </c>
      <c r="E3231">
        <v>1.8961932129229282E-3</v>
      </c>
      <c r="F3231">
        <f t="shared" si="111"/>
        <v>-1.4711481379797624E-2</v>
      </c>
      <c r="G3231">
        <f t="shared" si="110"/>
        <v>-2.2921374467842346E-2</v>
      </c>
    </row>
    <row r="3232" spans="1:38" x14ac:dyDescent="0.35">
      <c r="A3232" t="s">
        <v>170</v>
      </c>
      <c r="E3232">
        <v>-2.298480206730616E-3</v>
      </c>
      <c r="F3232">
        <f t="shared" si="111"/>
        <v>-1.4718052515416281E-2</v>
      </c>
      <c r="G3232">
        <f t="shared" si="110"/>
        <v>-2.2921374467842346E-2</v>
      </c>
    </row>
    <row r="3233" spans="1:38" x14ac:dyDescent="0.35">
      <c r="A3233" t="s">
        <v>170</v>
      </c>
      <c r="E3233">
        <v>1.8153793034321405E-2</v>
      </c>
      <c r="F3233">
        <f t="shared" si="111"/>
        <v>-1.472462365103494E-2</v>
      </c>
      <c r="G3233">
        <f t="shared" si="110"/>
        <v>-2.2921374467842346E-2</v>
      </c>
    </row>
    <row r="3234" spans="1:38" x14ac:dyDescent="0.35">
      <c r="A3234" t="s">
        <v>170</v>
      </c>
      <c r="E3234">
        <v>-1.2698599839009856E-2</v>
      </c>
      <c r="F3234">
        <f t="shared" si="111"/>
        <v>-1.4731194786653598E-2</v>
      </c>
      <c r="G3234">
        <f t="shared" si="110"/>
        <v>-2.2921374467842346E-2</v>
      </c>
    </row>
    <row r="3235" spans="1:38" x14ac:dyDescent="0.35">
      <c r="A3235" t="s">
        <v>170</v>
      </c>
      <c r="E3235">
        <v>-1.6439148761920289E-3</v>
      </c>
      <c r="F3235">
        <f t="shared" si="111"/>
        <v>-1.4737765922272255E-2</v>
      </c>
      <c r="G3235">
        <f t="shared" si="110"/>
        <v>-2.2921374467842346E-2</v>
      </c>
    </row>
    <row r="3236" spans="1:38" x14ac:dyDescent="0.35">
      <c r="A3236" t="s">
        <v>170</v>
      </c>
      <c r="E3236">
        <v>-2.147963736113426E-3</v>
      </c>
      <c r="F3236">
        <f t="shared" si="111"/>
        <v>-1.4744337057890912E-2</v>
      </c>
      <c r="G3236">
        <f t="shared" si="110"/>
        <v>-2.2921374467842346E-2</v>
      </c>
    </row>
    <row r="3237" spans="1:38" x14ac:dyDescent="0.35">
      <c r="A3237" t="s">
        <v>170</v>
      </c>
      <c r="E3237">
        <v>1.0771900070512361E-2</v>
      </c>
      <c r="F3237">
        <f t="shared" si="111"/>
        <v>-1.475090819350957E-2</v>
      </c>
      <c r="G3237">
        <f t="shared" si="110"/>
        <v>-2.2921374467842346E-2</v>
      </c>
    </row>
    <row r="3238" spans="1:38" x14ac:dyDescent="0.35">
      <c r="A3238" t="s">
        <v>170</v>
      </c>
      <c r="E3238">
        <v>-1.4770621600365541E-2</v>
      </c>
      <c r="F3238">
        <f t="shared" si="111"/>
        <v>-1.4757479329128227E-2</v>
      </c>
      <c r="G3238">
        <f t="shared" si="110"/>
        <v>-2.2921374467842346E-2</v>
      </c>
    </row>
    <row r="3239" spans="1:38" x14ac:dyDescent="0.35">
      <c r="A3239" t="s">
        <v>171</v>
      </c>
      <c r="B3239" s="3" cm="1">
        <f t="array" ref="B3239">_xlfn.STDEV.S(_xlfn._xlws.FILTER($E$2826:$E$3824, $A$2826:$A$3824="2023-01"))</f>
        <v>9.4794233884352708E-3</v>
      </c>
      <c r="C3239" s="3" cm="1">
        <f t="array" ref="C3239">AVERAGE(_xlfn._xlws.FILTER($E$2826:$E$3824, $A$2826:$A$3824="2023-01"))</f>
        <v>4.4296832924984944E-3</v>
      </c>
      <c r="D3239" s="3" cm="1">
        <f t="array" ref="D3239">_xlfn.PERCENTILE.EXC(_xlfn._xlws.FILTER($E$2490:$E$3818, $A$2490:$A$3818="2023-01"), 0.05)</f>
        <v>-1.7893782224346472E-2</v>
      </c>
      <c r="E3239">
        <v>2.3104477365357569E-2</v>
      </c>
      <c r="F3239">
        <f t="shared" si="111"/>
        <v>-1.463578401996486E-2</v>
      </c>
      <c r="G3239">
        <f t="shared" si="110"/>
        <v>-2.291684265017431E-2</v>
      </c>
      <c r="AI3239" s="3"/>
      <c r="AJ3239" s="3"/>
      <c r="AK3239" s="3"/>
      <c r="AL3239" s="3"/>
    </row>
    <row r="3240" spans="1:38" x14ac:dyDescent="0.35">
      <c r="A3240" t="s">
        <v>171</v>
      </c>
      <c r="E3240">
        <v>2.3340409314603041E-2</v>
      </c>
      <c r="F3240">
        <f t="shared" si="111"/>
        <v>-1.4639198887992394E-2</v>
      </c>
      <c r="G3240">
        <f t="shared" si="110"/>
        <v>-2.291684265017431E-2</v>
      </c>
    </row>
    <row r="3241" spans="1:38" x14ac:dyDescent="0.35">
      <c r="A3241" t="s">
        <v>171</v>
      </c>
      <c r="E3241">
        <v>-3.6528915194304992E-3</v>
      </c>
      <c r="F3241">
        <f t="shared" si="111"/>
        <v>-1.4652096816619496E-2</v>
      </c>
      <c r="G3241">
        <f t="shared" si="110"/>
        <v>-2.3212472784537946E-2</v>
      </c>
    </row>
    <row r="3242" spans="1:38" x14ac:dyDescent="0.35">
      <c r="A3242" t="s">
        <v>171</v>
      </c>
      <c r="E3242">
        <v>1.4629252378144379E-2</v>
      </c>
      <c r="F3242">
        <f t="shared" si="111"/>
        <v>-1.4664994745246599E-2</v>
      </c>
      <c r="G3242">
        <f t="shared" si="110"/>
        <v>-2.3212472784537946E-2</v>
      </c>
    </row>
    <row r="3243" spans="1:38" x14ac:dyDescent="0.35">
      <c r="A3243" t="s">
        <v>171</v>
      </c>
      <c r="E3243">
        <v>1.2561919728552581E-2</v>
      </c>
      <c r="F3243">
        <f t="shared" si="111"/>
        <v>-1.4677892673873703E-2</v>
      </c>
      <c r="G3243">
        <f t="shared" si="110"/>
        <v>-2.3212472784537946E-2</v>
      </c>
    </row>
    <row r="3244" spans="1:38" x14ac:dyDescent="0.35">
      <c r="A3244" t="s">
        <v>171</v>
      </c>
      <c r="E3244">
        <v>-2.7467135485557651E-3</v>
      </c>
      <c r="F3244">
        <f t="shared" si="111"/>
        <v>-1.4690790602500807E-2</v>
      </c>
      <c r="G3244">
        <f t="shared" si="110"/>
        <v>-2.3212472784537946E-2</v>
      </c>
    </row>
    <row r="3245" spans="1:38" x14ac:dyDescent="0.35">
      <c r="A3245" t="s">
        <v>171</v>
      </c>
      <c r="E3245">
        <v>1.0371273340670256E-2</v>
      </c>
      <c r="F3245">
        <f t="shared" si="111"/>
        <v>-1.470368853112791E-2</v>
      </c>
      <c r="G3245">
        <f t="shared" si="110"/>
        <v>-2.3212472784537946E-2</v>
      </c>
    </row>
    <row r="3246" spans="1:38" x14ac:dyDescent="0.35">
      <c r="A3246" t="s">
        <v>171</v>
      </c>
      <c r="E3246">
        <v>6.5447741893278153E-3</v>
      </c>
      <c r="F3246">
        <f t="shared" si="111"/>
        <v>-1.4716586459755012E-2</v>
      </c>
      <c r="G3246">
        <f t="shared" si="110"/>
        <v>-2.3212472784537946E-2</v>
      </c>
    </row>
    <row r="3247" spans="1:38" x14ac:dyDescent="0.35">
      <c r="A3247" t="s">
        <v>171</v>
      </c>
      <c r="E3247">
        <v>5.8278771480949456E-3</v>
      </c>
      <c r="F3247">
        <f t="shared" si="111"/>
        <v>-1.4729484388382116E-2</v>
      </c>
      <c r="G3247">
        <f t="shared" si="110"/>
        <v>-2.3212472784537946E-2</v>
      </c>
    </row>
    <row r="3248" spans="1:38" x14ac:dyDescent="0.35">
      <c r="A3248" t="s">
        <v>171</v>
      </c>
      <c r="E3248">
        <v>1.4925735215139987E-3</v>
      </c>
      <c r="F3248">
        <f t="shared" si="111"/>
        <v>-1.4742382317009219E-2</v>
      </c>
      <c r="G3248">
        <f t="shared" si="110"/>
        <v>-2.3212472784537946E-2</v>
      </c>
    </row>
    <row r="3249" spans="1:38" x14ac:dyDescent="0.35">
      <c r="A3249" t="s">
        <v>171</v>
      </c>
      <c r="E3249">
        <v>4.1602061122629624E-3</v>
      </c>
      <c r="F3249">
        <f t="shared" si="111"/>
        <v>-1.4755280245636323E-2</v>
      </c>
      <c r="G3249">
        <f t="shared" si="110"/>
        <v>-2.3212472784537946E-2</v>
      </c>
    </row>
    <row r="3250" spans="1:38" x14ac:dyDescent="0.35">
      <c r="A3250" t="s">
        <v>171</v>
      </c>
      <c r="E3250">
        <v>2.3955911541656787E-6</v>
      </c>
      <c r="F3250">
        <f t="shared" si="111"/>
        <v>-1.4768178174263426E-2</v>
      </c>
      <c r="G3250">
        <f t="shared" si="110"/>
        <v>-2.3212472784537946E-2</v>
      </c>
    </row>
    <row r="3251" spans="1:38" x14ac:dyDescent="0.35">
      <c r="A3251" t="s">
        <v>171</v>
      </c>
      <c r="E3251">
        <v>-1.9365384303591346E-2</v>
      </c>
      <c r="F3251">
        <f t="shared" si="111"/>
        <v>-1.4781076102890528E-2</v>
      </c>
      <c r="G3251">
        <f t="shared" si="110"/>
        <v>-2.3212472784537946E-2</v>
      </c>
    </row>
    <row r="3252" spans="1:38" x14ac:dyDescent="0.35">
      <c r="A3252" t="s">
        <v>171</v>
      </c>
      <c r="E3252">
        <v>6.2380135518826513E-3</v>
      </c>
      <c r="F3252">
        <f t="shared" si="111"/>
        <v>-1.4611879943772131E-2</v>
      </c>
      <c r="G3252">
        <f t="shared" si="110"/>
        <v>-2.3043680448266553E-2</v>
      </c>
    </row>
    <row r="3253" spans="1:38" x14ac:dyDescent="0.35">
      <c r="A3253" t="s">
        <v>171</v>
      </c>
      <c r="E3253">
        <v>7.4770138634394851E-3</v>
      </c>
      <c r="F3253">
        <f t="shared" si="111"/>
        <v>-1.4615294811799663E-2</v>
      </c>
      <c r="G3253">
        <f t="shared" si="110"/>
        <v>-2.3043680448266553E-2</v>
      </c>
    </row>
    <row r="3254" spans="1:38" x14ac:dyDescent="0.35">
      <c r="A3254" t="s">
        <v>171</v>
      </c>
      <c r="E3254">
        <v>5.2987534718276124E-4</v>
      </c>
      <c r="F3254">
        <f t="shared" si="111"/>
        <v>-1.4618709679827197E-2</v>
      </c>
      <c r="G3254">
        <f t="shared" si="110"/>
        <v>-2.3043680448266553E-2</v>
      </c>
    </row>
    <row r="3255" spans="1:38" x14ac:dyDescent="0.35">
      <c r="A3255" t="s">
        <v>171</v>
      </c>
      <c r="E3255">
        <v>-1.1829716129244171E-3</v>
      </c>
      <c r="F3255">
        <f t="shared" si="111"/>
        <v>-1.4622124547854731E-2</v>
      </c>
      <c r="G3255">
        <f t="shared" si="110"/>
        <v>-2.3043680448266553E-2</v>
      </c>
    </row>
    <row r="3256" spans="1:38" x14ac:dyDescent="0.35">
      <c r="A3256" t="s">
        <v>171</v>
      </c>
      <c r="E3256">
        <v>6.2172082567804442E-3</v>
      </c>
      <c r="F3256">
        <f t="shared" si="111"/>
        <v>-1.4625539415882263E-2</v>
      </c>
      <c r="G3256">
        <f t="shared" si="110"/>
        <v>-2.3043680448266553E-2</v>
      </c>
    </row>
    <row r="3257" spans="1:38" x14ac:dyDescent="0.35">
      <c r="A3257" t="s">
        <v>171</v>
      </c>
      <c r="E3257">
        <v>9.6503954453076889E-4</v>
      </c>
      <c r="F3257">
        <f t="shared" si="111"/>
        <v>-1.4628954283909795E-2</v>
      </c>
      <c r="G3257">
        <f t="shared" si="110"/>
        <v>-2.3043680448266553E-2</v>
      </c>
    </row>
    <row r="3258" spans="1:38" x14ac:dyDescent="0.35">
      <c r="A3258" t="s">
        <v>171</v>
      </c>
      <c r="E3258">
        <v>-4.6493635111426214E-3</v>
      </c>
      <c r="F3258">
        <f t="shared" si="111"/>
        <v>-1.4632369151937328E-2</v>
      </c>
      <c r="G3258">
        <f t="shared" si="110"/>
        <v>-2.3043680448266553E-2</v>
      </c>
    </row>
    <row r="3259" spans="1:38" x14ac:dyDescent="0.35">
      <c r="A3259" t="s">
        <v>171</v>
      </c>
      <c r="E3259">
        <v>1.1583643846151692E-3</v>
      </c>
      <c r="F3259">
        <f t="shared" si="111"/>
        <v>-1.463578401996486E-2</v>
      </c>
      <c r="G3259">
        <f t="shared" si="110"/>
        <v>-2.3043680448266553E-2</v>
      </c>
    </row>
    <row r="3260" spans="1:38" x14ac:dyDescent="0.35">
      <c r="A3260" t="s">
        <v>172</v>
      </c>
      <c r="B3260" s="3" cm="1">
        <f t="array" ref="B3260">_xlfn.STDEV.S(_xlfn._xlws.FILTER($E$2826:$E$3824, $A$2826:$A$3824="2023-02"))</f>
        <v>9.1539414497710872E-3</v>
      </c>
      <c r="C3260" s="3" cm="1">
        <f t="array" ref="C3260">AVERAGE(_xlfn._xlws.FILTER($E$2826:$E$3824, $A$2826:$A$3824="2023-02"))</f>
        <v>8.9185316340239552E-4</v>
      </c>
      <c r="D3260" s="3" cm="1">
        <f t="array" ref="D3260">_xlfn.PERCENTILE.EXC(_xlfn._xlws.FILTER($E$2490:$E$3818, $A$2490:$A$3818="2023-02"), 0.05)</f>
        <v>-1.8488498769629883E-2</v>
      </c>
      <c r="E3260">
        <v>1.9172424465066613E-3</v>
      </c>
      <c r="F3260">
        <f t="shared" si="111"/>
        <v>-1.4639198887992394E-2</v>
      </c>
      <c r="G3260">
        <f t="shared" si="110"/>
        <v>-2.3043680448266553E-2</v>
      </c>
      <c r="AI3260" s="3"/>
      <c r="AJ3260" s="3"/>
      <c r="AK3260" s="3"/>
      <c r="AL3260" s="3"/>
    </row>
    <row r="3261" spans="1:38" x14ac:dyDescent="0.35">
      <c r="A3261" t="s">
        <v>172</v>
      </c>
      <c r="E3261">
        <v>1.6566085364347585E-2</v>
      </c>
      <c r="F3261">
        <f t="shared" si="111"/>
        <v>-1.4652096816619496E-2</v>
      </c>
      <c r="G3261">
        <f t="shared" si="110"/>
        <v>-2.3354957543091522E-2</v>
      </c>
    </row>
    <row r="3262" spans="1:38" x14ac:dyDescent="0.35">
      <c r="A3262" t="s">
        <v>172</v>
      </c>
      <c r="E3262">
        <v>3.9674841138475931E-3</v>
      </c>
      <c r="F3262">
        <f t="shared" si="111"/>
        <v>-1.4664994745246599E-2</v>
      </c>
      <c r="G3262">
        <f t="shared" si="110"/>
        <v>-2.3354957543091522E-2</v>
      </c>
    </row>
    <row r="3263" spans="1:38" x14ac:dyDescent="0.35">
      <c r="A3263" t="s">
        <v>172</v>
      </c>
      <c r="E3263">
        <v>-1.2413566262438168E-2</v>
      </c>
      <c r="F3263">
        <f t="shared" si="111"/>
        <v>-1.4677892673873703E-2</v>
      </c>
      <c r="G3263">
        <f t="shared" si="110"/>
        <v>-2.3354957543091522E-2</v>
      </c>
    </row>
    <row r="3264" spans="1:38" x14ac:dyDescent="0.35">
      <c r="A3264" t="s">
        <v>172</v>
      </c>
      <c r="E3264">
        <v>9.1743561806724623E-4</v>
      </c>
      <c r="F3264">
        <f t="shared" si="111"/>
        <v>-1.4690790602500807E-2</v>
      </c>
      <c r="G3264">
        <f t="shared" si="110"/>
        <v>-2.3354957543091522E-2</v>
      </c>
    </row>
    <row r="3265" spans="1:38" x14ac:dyDescent="0.35">
      <c r="A3265" t="s">
        <v>172</v>
      </c>
      <c r="E3265">
        <v>-3.8011702857732972E-5</v>
      </c>
      <c r="F3265">
        <f t="shared" si="111"/>
        <v>-1.470368853112791E-2</v>
      </c>
      <c r="G3265">
        <f t="shared" si="110"/>
        <v>-2.3354957543091522E-2</v>
      </c>
    </row>
    <row r="3266" spans="1:38" x14ac:dyDescent="0.35">
      <c r="A3266" t="s">
        <v>172</v>
      </c>
      <c r="E3266">
        <v>9.6911964980840159E-3</v>
      </c>
      <c r="F3266">
        <f t="shared" si="111"/>
        <v>-1.4716586459755012E-2</v>
      </c>
      <c r="G3266">
        <f t="shared" si="110"/>
        <v>-2.3354957543091522E-2</v>
      </c>
    </row>
    <row r="3267" spans="1:38" x14ac:dyDescent="0.35">
      <c r="A3267" t="s">
        <v>172</v>
      </c>
      <c r="E3267">
        <v>-1.2357994794193155E-2</v>
      </c>
      <c r="F3267">
        <f t="shared" si="111"/>
        <v>-1.4729484388382116E-2</v>
      </c>
      <c r="G3267">
        <f t="shared" ref="G3267:G3330" si="112">AVERAGEIFS(E3267:E7083,E3267:E7083,"&lt;=" &amp; F3267)</f>
        <v>-2.3354957543091522E-2</v>
      </c>
    </row>
    <row r="3268" spans="1:38" x14ac:dyDescent="0.35">
      <c r="A3268" t="s">
        <v>172</v>
      </c>
      <c r="E3268">
        <v>1.0290043753996373E-2</v>
      </c>
      <c r="F3268">
        <f t="shared" ref="F3268:F3331" si="113">_xlfn.PERCENTILE.EXC(E3268:E7083,0.05)</f>
        <v>-1.4742382317009219E-2</v>
      </c>
      <c r="G3268">
        <f t="shared" si="112"/>
        <v>-2.3354957543091522E-2</v>
      </c>
    </row>
    <row r="3269" spans="1:38" x14ac:dyDescent="0.35">
      <c r="A3269" t="s">
        <v>172</v>
      </c>
      <c r="E3269">
        <v>-6.1319888904137461E-4</v>
      </c>
      <c r="F3269">
        <f t="shared" si="113"/>
        <v>-1.4755280245636323E-2</v>
      </c>
      <c r="G3269">
        <f t="shared" si="112"/>
        <v>-2.3354957543091522E-2</v>
      </c>
    </row>
    <row r="3270" spans="1:38" x14ac:dyDescent="0.35">
      <c r="A3270" t="s">
        <v>172</v>
      </c>
      <c r="E3270">
        <v>9.6915817034170619E-3</v>
      </c>
      <c r="F3270">
        <f t="shared" si="113"/>
        <v>-1.4768178174263426E-2</v>
      </c>
      <c r="G3270">
        <f t="shared" si="112"/>
        <v>-2.3354957543091522E-2</v>
      </c>
    </row>
    <row r="3271" spans="1:38" x14ac:dyDescent="0.35">
      <c r="A3271" t="s">
        <v>172</v>
      </c>
      <c r="E3271">
        <v>4.0106008093578243E-3</v>
      </c>
      <c r="F3271">
        <f t="shared" si="113"/>
        <v>-1.4781076102890528E-2</v>
      </c>
      <c r="G3271">
        <f t="shared" si="112"/>
        <v>-2.3354957543091522E-2</v>
      </c>
    </row>
    <row r="3272" spans="1:38" x14ac:dyDescent="0.35">
      <c r="A3272" t="s">
        <v>172</v>
      </c>
      <c r="E3272">
        <v>-5.2075673904516352E-3</v>
      </c>
      <c r="F3272">
        <f t="shared" si="113"/>
        <v>-1.4793974031517632E-2</v>
      </c>
      <c r="G3272">
        <f t="shared" si="112"/>
        <v>-2.3354957543091522E-2</v>
      </c>
    </row>
    <row r="3273" spans="1:38" x14ac:dyDescent="0.35">
      <c r="A3273" t="s">
        <v>172</v>
      </c>
      <c r="E3273">
        <v>-8.7525309527330269E-4</v>
      </c>
      <c r="F3273">
        <f t="shared" si="113"/>
        <v>-1.4806871960144736E-2</v>
      </c>
      <c r="G3273">
        <f t="shared" si="112"/>
        <v>-2.3354957543091522E-2</v>
      </c>
    </row>
    <row r="3274" spans="1:38" x14ac:dyDescent="0.35">
      <c r="A3274" t="s">
        <v>172</v>
      </c>
      <c r="E3274">
        <v>-4.8770395134627329E-3</v>
      </c>
      <c r="F3274">
        <f t="shared" si="113"/>
        <v>-1.4819769888771837E-2</v>
      </c>
      <c r="G3274">
        <f t="shared" si="112"/>
        <v>-2.3354957543091522E-2</v>
      </c>
    </row>
    <row r="3275" spans="1:38" x14ac:dyDescent="0.35">
      <c r="A3275" t="s">
        <v>172</v>
      </c>
      <c r="E3275">
        <v>-1.770812210379401E-3</v>
      </c>
      <c r="F3275">
        <f t="shared" si="113"/>
        <v>-1.4832667817398941E-2</v>
      </c>
      <c r="G3275">
        <f t="shared" si="112"/>
        <v>-2.3354957543091522E-2</v>
      </c>
    </row>
    <row r="3276" spans="1:38" x14ac:dyDescent="0.35">
      <c r="A3276" t="s">
        <v>172</v>
      </c>
      <c r="E3276">
        <v>3.5948581480123865E-3</v>
      </c>
      <c r="F3276">
        <f t="shared" si="113"/>
        <v>-1.4845565746026045E-2</v>
      </c>
      <c r="G3276">
        <f t="shared" si="112"/>
        <v>-2.3354957543091522E-2</v>
      </c>
    </row>
    <row r="3277" spans="1:38" x14ac:dyDescent="0.35">
      <c r="A3277" t="s">
        <v>172</v>
      </c>
      <c r="E3277">
        <v>-1.880823205948208E-2</v>
      </c>
      <c r="F3277">
        <f t="shared" si="113"/>
        <v>-1.4858463674653146E-2</v>
      </c>
      <c r="G3277">
        <f t="shared" si="112"/>
        <v>-2.3354957543091522E-2</v>
      </c>
    </row>
    <row r="3278" spans="1:38" x14ac:dyDescent="0.35">
      <c r="A3278" t="s">
        <v>172</v>
      </c>
      <c r="E3278">
        <v>1.6421727953084008E-2</v>
      </c>
      <c r="F3278">
        <f t="shared" si="113"/>
        <v>-1.4632369151937328E-2</v>
      </c>
      <c r="G3278">
        <f t="shared" si="112"/>
        <v>-2.3200548907110423E-2</v>
      </c>
    </row>
    <row r="3279" spans="1:38" x14ac:dyDescent="0.35">
      <c r="A3279" t="s">
        <v>172</v>
      </c>
      <c r="E3279">
        <v>-2.2695172230932591E-3</v>
      </c>
      <c r="F3279">
        <f t="shared" si="113"/>
        <v>-1.463578401996486E-2</v>
      </c>
      <c r="G3279">
        <f t="shared" si="112"/>
        <v>-2.3200548907110423E-2</v>
      </c>
    </row>
    <row r="3280" spans="1:38" x14ac:dyDescent="0.35">
      <c r="A3280" t="s">
        <v>173</v>
      </c>
      <c r="B3280" s="3" cm="1">
        <f t="array" ref="B3280">_xlfn.STDEV.S(_xlfn._xlws.FILTER($E$2826:$E$3824, $A$2826:$A$3824="2023-03"))</f>
        <v>1.5023140217560535E-2</v>
      </c>
      <c r="C3280" s="3" cm="1">
        <f t="array" ref="C3280">AVERAGE(_xlfn._xlws.FILTER($E$2826:$E$3824, $A$2826:$A$3824="2023-03"))</f>
        <v>7.7946918221889294E-4</v>
      </c>
      <c r="D3280" s="3" cm="1">
        <f t="array" ref="D3280">_xlfn.PERCENTILE.EXC(_xlfn._xlws.FILTER($E$2490:$E$3818, $A$2490:$A$3818="2023-03"), 0.05)</f>
        <v>-3.454800754319224E-2</v>
      </c>
      <c r="E3280">
        <v>-5.3536091945809699E-3</v>
      </c>
      <c r="F3280">
        <f t="shared" si="113"/>
        <v>-1.4639198887992394E-2</v>
      </c>
      <c r="G3280">
        <f t="shared" si="112"/>
        <v>-2.3200548907110423E-2</v>
      </c>
      <c r="AI3280" s="3"/>
      <c r="AJ3280" s="3"/>
      <c r="AK3280" s="3"/>
      <c r="AL3280" s="3"/>
    </row>
    <row r="3281" spans="1:7" x14ac:dyDescent="0.35">
      <c r="A3281" t="s">
        <v>173</v>
      </c>
      <c r="E3281">
        <v>5.8748989385110726E-3</v>
      </c>
      <c r="F3281">
        <f t="shared" si="113"/>
        <v>-1.4652096816619496E-2</v>
      </c>
      <c r="G3281">
        <f t="shared" si="112"/>
        <v>-2.3529831600153428E-2</v>
      </c>
    </row>
    <row r="3282" spans="1:7" x14ac:dyDescent="0.35">
      <c r="A3282" t="s">
        <v>173</v>
      </c>
      <c r="E3282">
        <v>1.2702578071175313E-2</v>
      </c>
      <c r="F3282">
        <f t="shared" si="113"/>
        <v>-1.4664994745246599E-2</v>
      </c>
      <c r="G3282">
        <f t="shared" si="112"/>
        <v>-2.3529831600153428E-2</v>
      </c>
    </row>
    <row r="3283" spans="1:7" x14ac:dyDescent="0.35">
      <c r="A3283" t="s">
        <v>173</v>
      </c>
      <c r="E3283">
        <v>4.4095613339905707E-3</v>
      </c>
      <c r="F3283">
        <f t="shared" si="113"/>
        <v>-1.4677892673873703E-2</v>
      </c>
      <c r="G3283">
        <f t="shared" si="112"/>
        <v>-2.3529831600153428E-2</v>
      </c>
    </row>
    <row r="3284" spans="1:7" x14ac:dyDescent="0.35">
      <c r="A3284" t="s">
        <v>173</v>
      </c>
      <c r="E3284">
        <v>-8.1045604993464342E-3</v>
      </c>
      <c r="F3284">
        <f t="shared" si="113"/>
        <v>-1.4690790602500807E-2</v>
      </c>
      <c r="G3284">
        <f t="shared" si="112"/>
        <v>-2.3529831600153428E-2</v>
      </c>
    </row>
    <row r="3285" spans="1:7" x14ac:dyDescent="0.35">
      <c r="A3285" t="s">
        <v>173</v>
      </c>
      <c r="E3285">
        <v>2.2153728796246237E-3</v>
      </c>
      <c r="F3285">
        <f t="shared" si="113"/>
        <v>-1.470368853112791E-2</v>
      </c>
      <c r="G3285">
        <f t="shared" si="112"/>
        <v>-2.3529831600153428E-2</v>
      </c>
    </row>
    <row r="3286" spans="1:7" x14ac:dyDescent="0.35">
      <c r="A3286" t="s">
        <v>173</v>
      </c>
      <c r="E3286">
        <v>-5.4346749920950485E-4</v>
      </c>
      <c r="F3286">
        <f t="shared" si="113"/>
        <v>-1.4716586459755012E-2</v>
      </c>
      <c r="G3286">
        <f t="shared" si="112"/>
        <v>-2.3529831600153428E-2</v>
      </c>
    </row>
    <row r="3287" spans="1:7" x14ac:dyDescent="0.35">
      <c r="A3287" t="s">
        <v>173</v>
      </c>
      <c r="E3287">
        <v>-1.3291019019123995E-2</v>
      </c>
      <c r="F3287">
        <f t="shared" si="113"/>
        <v>-1.4729484388382116E-2</v>
      </c>
      <c r="G3287">
        <f t="shared" si="112"/>
        <v>-2.3529831600153428E-2</v>
      </c>
    </row>
    <row r="3288" spans="1:7" x14ac:dyDescent="0.35">
      <c r="A3288" t="s">
        <v>173</v>
      </c>
      <c r="E3288">
        <v>-3.1948160788665518E-2</v>
      </c>
      <c r="F3288">
        <f t="shared" si="113"/>
        <v>-1.4742382317009219E-2</v>
      </c>
      <c r="G3288">
        <f t="shared" si="112"/>
        <v>-2.3529831600153428E-2</v>
      </c>
    </row>
    <row r="3289" spans="1:7" x14ac:dyDescent="0.35">
      <c r="A3289" t="s">
        <v>173</v>
      </c>
      <c r="E3289">
        <v>2.0041729254107021E-2</v>
      </c>
      <c r="F3289">
        <f t="shared" si="113"/>
        <v>-1.4601635339689532E-2</v>
      </c>
      <c r="G3289">
        <f t="shared" si="112"/>
        <v>-2.2864102296281382E-2</v>
      </c>
    </row>
    <row r="3290" spans="1:7" x14ac:dyDescent="0.35">
      <c r="A3290" t="s">
        <v>173</v>
      </c>
      <c r="E3290">
        <v>-3.5197969231823917E-2</v>
      </c>
      <c r="F3290">
        <f t="shared" si="113"/>
        <v>-1.4605050207717065E-2</v>
      </c>
      <c r="G3290">
        <f t="shared" si="112"/>
        <v>-2.2864102296281382E-2</v>
      </c>
    </row>
    <row r="3291" spans="1:7" x14ac:dyDescent="0.35">
      <c r="A3291" t="s">
        <v>173</v>
      </c>
      <c r="E3291">
        <v>2.0133409862329164E-2</v>
      </c>
      <c r="F3291">
        <f t="shared" si="113"/>
        <v>-1.4510302139291191E-2</v>
      </c>
      <c r="G3291">
        <f t="shared" si="112"/>
        <v>-2.2070753538420529E-2</v>
      </c>
    </row>
    <row r="3292" spans="1:7" x14ac:dyDescent="0.35">
      <c r="A3292" t="s">
        <v>173</v>
      </c>
      <c r="E3292">
        <v>-1.2708601897577715E-2</v>
      </c>
      <c r="F3292">
        <f t="shared" si="113"/>
        <v>-1.451703540464125E-2</v>
      </c>
      <c r="G3292">
        <f t="shared" si="112"/>
        <v>-2.2070753538420529E-2</v>
      </c>
    </row>
    <row r="3293" spans="1:7" x14ac:dyDescent="0.35">
      <c r="A3293" t="s">
        <v>173</v>
      </c>
      <c r="E3293">
        <v>1.3301093780288644E-2</v>
      </c>
      <c r="F3293">
        <f t="shared" si="113"/>
        <v>-1.4523768669991312E-2</v>
      </c>
      <c r="G3293">
        <f t="shared" si="112"/>
        <v>-2.2070753538420529E-2</v>
      </c>
    </row>
    <row r="3294" spans="1:7" x14ac:dyDescent="0.35">
      <c r="A3294" t="s">
        <v>173</v>
      </c>
      <c r="E3294">
        <v>1.4981571664138743E-2</v>
      </c>
      <c r="F3294">
        <f t="shared" si="113"/>
        <v>-1.4530501935341373E-2</v>
      </c>
      <c r="G3294">
        <f t="shared" si="112"/>
        <v>-2.2070753538420529E-2</v>
      </c>
    </row>
    <row r="3295" spans="1:7" x14ac:dyDescent="0.35">
      <c r="A3295" t="s">
        <v>173</v>
      </c>
      <c r="E3295">
        <v>3.3662428979781924E-3</v>
      </c>
      <c r="F3295">
        <f t="shared" si="113"/>
        <v>-1.4537235200691433E-2</v>
      </c>
      <c r="G3295">
        <f t="shared" si="112"/>
        <v>-2.2070753538420529E-2</v>
      </c>
    </row>
    <row r="3296" spans="1:7" x14ac:dyDescent="0.35">
      <c r="A3296" t="s">
        <v>173</v>
      </c>
      <c r="E3296">
        <v>2.7228906103507161E-3</v>
      </c>
      <c r="F3296">
        <f t="shared" si="113"/>
        <v>-1.4543968466041494E-2</v>
      </c>
      <c r="G3296">
        <f t="shared" si="112"/>
        <v>-2.2070753538420529E-2</v>
      </c>
    </row>
    <row r="3297" spans="1:38" x14ac:dyDescent="0.35">
      <c r="A3297" t="s">
        <v>173</v>
      </c>
      <c r="E3297">
        <v>-1.8355565153627053E-2</v>
      </c>
      <c r="F3297">
        <f t="shared" si="113"/>
        <v>-1.4550701731391554E-2</v>
      </c>
      <c r="G3297">
        <f t="shared" si="112"/>
        <v>-2.2070753538420529E-2</v>
      </c>
    </row>
    <row r="3298" spans="1:38" x14ac:dyDescent="0.35">
      <c r="A3298" t="s">
        <v>173</v>
      </c>
      <c r="E3298">
        <v>8.1975181906289493E-3</v>
      </c>
      <c r="F3298">
        <f t="shared" si="113"/>
        <v>-1.4434066328839952E-2</v>
      </c>
      <c r="G3298">
        <f t="shared" si="112"/>
        <v>-2.1920010117913356E-2</v>
      </c>
    </row>
    <row r="3299" spans="1:38" x14ac:dyDescent="0.35">
      <c r="A3299" t="s">
        <v>173</v>
      </c>
      <c r="E3299">
        <v>8.6165209709427204E-4</v>
      </c>
      <c r="F3299">
        <f t="shared" si="113"/>
        <v>-1.4435151274640238E-2</v>
      </c>
      <c r="G3299">
        <f t="shared" si="112"/>
        <v>-2.1920010117913356E-2</v>
      </c>
    </row>
    <row r="3300" spans="1:38" x14ac:dyDescent="0.35">
      <c r="A3300" t="s">
        <v>173</v>
      </c>
      <c r="E3300">
        <v>1.501549734387525E-2</v>
      </c>
      <c r="F3300">
        <f t="shared" si="113"/>
        <v>-1.4436236220440523E-2</v>
      </c>
      <c r="G3300">
        <f t="shared" si="112"/>
        <v>-2.1920010117913356E-2</v>
      </c>
    </row>
    <row r="3301" spans="1:38" x14ac:dyDescent="0.35">
      <c r="A3301" t="s">
        <v>173</v>
      </c>
      <c r="E3301">
        <v>1.2716379179636491E-2</v>
      </c>
      <c r="F3301">
        <f t="shared" si="113"/>
        <v>-1.4442969485790583E-2</v>
      </c>
      <c r="G3301">
        <f t="shared" si="112"/>
        <v>-2.2219361073812269E-2</v>
      </c>
    </row>
    <row r="3302" spans="1:38" x14ac:dyDescent="0.35">
      <c r="A3302" t="s">
        <v>173</v>
      </c>
      <c r="E3302">
        <v>6.8903483712606179E-3</v>
      </c>
      <c r="F3302">
        <f t="shared" si="113"/>
        <v>-1.4449702751140645E-2</v>
      </c>
      <c r="G3302">
        <f t="shared" si="112"/>
        <v>-2.2219361073812269E-2</v>
      </c>
    </row>
    <row r="3303" spans="1:38" x14ac:dyDescent="0.35">
      <c r="A3303" t="s">
        <v>174</v>
      </c>
      <c r="B3303" s="3" cm="1">
        <f t="array" ref="B3303">_xlfn.STDEV.S(_xlfn._xlws.FILTER($E$2826:$E$3824, $A$2826:$A$3824="2023-04"))</f>
        <v>4.3116232822835174E-3</v>
      </c>
      <c r="C3303" s="3" cm="1">
        <f t="array" ref="C3303">AVERAGE(_xlfn._xlws.FILTER($E$2826:$E$3824, $A$2826:$A$3824="2023-04"))</f>
        <v>5.6693755569416451E-4</v>
      </c>
      <c r="D3303" s="3" cm="1">
        <f t="array" ref="D3303">_xlfn.PERCENTILE.INC(_xlfn._xlws.FILTER($E$2490:$E$3818, $A$2490:$A$3818="2023-04"), 0.05)</f>
        <v>-5.6737100908346482E-3</v>
      </c>
      <c r="E3303">
        <v>-9.2741801896605502E-4</v>
      </c>
      <c r="F3303">
        <f t="shared" si="113"/>
        <v>-1.4456436016490706E-2</v>
      </c>
      <c r="G3303">
        <f t="shared" si="112"/>
        <v>-2.2219361073812269E-2</v>
      </c>
      <c r="AI3303" s="3"/>
      <c r="AJ3303" s="3"/>
      <c r="AK3303" s="3"/>
      <c r="AL3303" s="3"/>
    </row>
    <row r="3304" spans="1:38" x14ac:dyDescent="0.35">
      <c r="A3304" t="s">
        <v>174</v>
      </c>
      <c r="E3304">
        <v>9.8998775817484659E-4</v>
      </c>
      <c r="F3304">
        <f t="shared" si="113"/>
        <v>-1.4463169281840766E-2</v>
      </c>
      <c r="G3304">
        <f t="shared" si="112"/>
        <v>-2.2219361073812269E-2</v>
      </c>
    </row>
    <row r="3305" spans="1:38" x14ac:dyDescent="0.35">
      <c r="A3305" t="s">
        <v>174</v>
      </c>
      <c r="E3305">
        <v>-3.9379270920061353E-3</v>
      </c>
      <c r="F3305">
        <f t="shared" si="113"/>
        <v>-1.4469902547190827E-2</v>
      </c>
      <c r="G3305">
        <f t="shared" si="112"/>
        <v>-2.2219361073812269E-2</v>
      </c>
    </row>
    <row r="3306" spans="1:38" x14ac:dyDescent="0.35">
      <c r="A3306" t="s">
        <v>174</v>
      </c>
      <c r="E3306">
        <v>2.5767311629889826E-3</v>
      </c>
      <c r="F3306">
        <f t="shared" si="113"/>
        <v>-1.4476635812540887E-2</v>
      </c>
      <c r="G3306">
        <f t="shared" si="112"/>
        <v>-2.2219361073812269E-2</v>
      </c>
    </row>
    <row r="3307" spans="1:38" x14ac:dyDescent="0.35">
      <c r="A3307" t="s">
        <v>174</v>
      </c>
      <c r="E3307">
        <v>5.5167829794624621E-3</v>
      </c>
      <c r="F3307">
        <f t="shared" si="113"/>
        <v>-1.4483369077890948E-2</v>
      </c>
      <c r="G3307">
        <f t="shared" si="112"/>
        <v>-2.2219361073812269E-2</v>
      </c>
    </row>
    <row r="3308" spans="1:38" x14ac:dyDescent="0.35">
      <c r="A3308" t="s">
        <v>174</v>
      </c>
      <c r="E3308">
        <v>1.7075635878173586E-4</v>
      </c>
      <c r="F3308">
        <f t="shared" si="113"/>
        <v>-1.4490102343241008E-2</v>
      </c>
      <c r="G3308">
        <f t="shared" si="112"/>
        <v>-2.2219361073812269E-2</v>
      </c>
    </row>
    <row r="3309" spans="1:38" x14ac:dyDescent="0.35">
      <c r="A3309" t="s">
        <v>174</v>
      </c>
      <c r="E3309">
        <v>6.7170755483815531E-3</v>
      </c>
      <c r="F3309">
        <f t="shared" si="113"/>
        <v>-1.4496835608591069E-2</v>
      </c>
      <c r="G3309">
        <f t="shared" si="112"/>
        <v>-2.2219361073812269E-2</v>
      </c>
    </row>
    <row r="3310" spans="1:38" x14ac:dyDescent="0.35">
      <c r="A3310" t="s">
        <v>174</v>
      </c>
      <c r="E3310">
        <v>6.2851546691180329E-3</v>
      </c>
      <c r="F3310">
        <f t="shared" si="113"/>
        <v>-1.4503568873941129E-2</v>
      </c>
      <c r="G3310">
        <f t="shared" si="112"/>
        <v>-2.2219361073812269E-2</v>
      </c>
    </row>
    <row r="3311" spans="1:38" x14ac:dyDescent="0.35">
      <c r="A3311" t="s">
        <v>174</v>
      </c>
      <c r="E3311">
        <v>-5.2841065775964457E-3</v>
      </c>
      <c r="F3311">
        <f t="shared" si="113"/>
        <v>-1.4510302139291191E-2</v>
      </c>
      <c r="G3311">
        <f t="shared" si="112"/>
        <v>-2.2219361073812269E-2</v>
      </c>
    </row>
    <row r="3312" spans="1:38" x14ac:dyDescent="0.35">
      <c r="A3312" t="s">
        <v>174</v>
      </c>
      <c r="E3312">
        <v>6.0126460021729224E-3</v>
      </c>
      <c r="F3312">
        <f t="shared" si="113"/>
        <v>-1.451703540464125E-2</v>
      </c>
      <c r="G3312">
        <f t="shared" si="112"/>
        <v>-2.2219361073812269E-2</v>
      </c>
    </row>
    <row r="3313" spans="1:38" x14ac:dyDescent="0.35">
      <c r="A3313" t="s">
        <v>174</v>
      </c>
      <c r="E3313">
        <v>-8.6486289701097311E-5</v>
      </c>
      <c r="F3313">
        <f t="shared" si="113"/>
        <v>-1.4523768669991312E-2</v>
      </c>
      <c r="G3313">
        <f t="shared" si="112"/>
        <v>-2.2219361073812269E-2</v>
      </c>
    </row>
    <row r="3314" spans="1:38" x14ac:dyDescent="0.35">
      <c r="A3314" t="s">
        <v>174</v>
      </c>
      <c r="E3314">
        <v>-1.984410164060587E-3</v>
      </c>
      <c r="F3314">
        <f t="shared" si="113"/>
        <v>-1.4530501935341373E-2</v>
      </c>
      <c r="G3314">
        <f t="shared" si="112"/>
        <v>-2.2219361073812269E-2</v>
      </c>
    </row>
    <row r="3315" spans="1:38" x14ac:dyDescent="0.35">
      <c r="A3315" t="s">
        <v>174</v>
      </c>
      <c r="E3315">
        <v>5.3972121532157458E-3</v>
      </c>
      <c r="F3315">
        <f t="shared" si="113"/>
        <v>-1.4537235200691433E-2</v>
      </c>
      <c r="G3315">
        <f t="shared" si="112"/>
        <v>-2.2219361073812269E-2</v>
      </c>
    </row>
    <row r="3316" spans="1:38" x14ac:dyDescent="0.35">
      <c r="A3316" t="s">
        <v>174</v>
      </c>
      <c r="E3316">
        <v>-1.5413622653038593E-3</v>
      </c>
      <c r="F3316">
        <f t="shared" si="113"/>
        <v>-1.4543968466041494E-2</v>
      </c>
      <c r="G3316">
        <f t="shared" si="112"/>
        <v>-2.2219361073812269E-2</v>
      </c>
    </row>
    <row r="3317" spans="1:38" x14ac:dyDescent="0.35">
      <c r="A3317" t="s">
        <v>174</v>
      </c>
      <c r="E3317">
        <v>-5.45581188491856E-3</v>
      </c>
      <c r="F3317">
        <f t="shared" si="113"/>
        <v>-1.4550701731391554E-2</v>
      </c>
      <c r="G3317">
        <f t="shared" si="112"/>
        <v>-2.2219361073812269E-2</v>
      </c>
    </row>
    <row r="3318" spans="1:38" x14ac:dyDescent="0.35">
      <c r="A3318" t="s">
        <v>174</v>
      </c>
      <c r="E3318">
        <v>-6.9084665910258154E-3</v>
      </c>
      <c r="F3318">
        <f t="shared" si="113"/>
        <v>-1.4557434996741616E-2</v>
      </c>
      <c r="G3318">
        <f t="shared" si="112"/>
        <v>-2.2219361073812269E-2</v>
      </c>
    </row>
    <row r="3319" spans="1:38" x14ac:dyDescent="0.35">
      <c r="A3319" t="s">
        <v>174</v>
      </c>
      <c r="E3319">
        <v>2.3754399069440772E-3</v>
      </c>
      <c r="F3319">
        <f t="shared" si="113"/>
        <v>-1.4564168262091675E-2</v>
      </c>
      <c r="G3319">
        <f t="shared" si="112"/>
        <v>-2.2219361073812269E-2</v>
      </c>
    </row>
    <row r="3320" spans="1:38" x14ac:dyDescent="0.35">
      <c r="A3320" t="s">
        <v>174</v>
      </c>
      <c r="E3320">
        <v>2.8907834683315412E-4</v>
      </c>
      <c r="F3320">
        <f t="shared" si="113"/>
        <v>-1.4570901527441737E-2</v>
      </c>
      <c r="G3320">
        <f t="shared" si="112"/>
        <v>-2.2219361073812269E-2</v>
      </c>
    </row>
    <row r="3321" spans="1:38" x14ac:dyDescent="0.35">
      <c r="A3321" t="s">
        <v>175</v>
      </c>
      <c r="B3321" s="3" cm="1">
        <f t="array" ref="B3321">_xlfn.STDEV.S(_xlfn._xlws.FILTER($E$2826:$E$3824, $A$2826:$A$3824="2023-05"))</f>
        <v>9.301887418665911E-3</v>
      </c>
      <c r="C3321" s="3" cm="1">
        <f t="array" ref="C3321">AVERAGE(_xlfn._xlws.FILTER($E$2826:$E$3824, $A$2826:$A$3824="2023-05"))</f>
        <v>-1.6471611388636045E-3</v>
      </c>
      <c r="D3321" s="3" cm="1">
        <f t="array" ref="D3321">_xlfn.PERCENTILE.EXC(_xlfn._xlws.FILTER($E$2490:$E$3818, $A$2490:$A$3818="2023-05"), 0.05)</f>
        <v>-1.8226301646078701E-2</v>
      </c>
      <c r="E3321">
        <v>-1.4897157460534457E-2</v>
      </c>
      <c r="F3321">
        <f t="shared" si="113"/>
        <v>-1.4574316395469269E-2</v>
      </c>
      <c r="G3321">
        <f t="shared" si="112"/>
        <v>-2.2538046888244376E-2</v>
      </c>
      <c r="AI3321" s="3"/>
      <c r="AJ3321" s="3"/>
      <c r="AK3321" s="3"/>
      <c r="AL3321" s="3"/>
    </row>
    <row r="3322" spans="1:38" x14ac:dyDescent="0.35">
      <c r="A3322" t="s">
        <v>175</v>
      </c>
      <c r="E3322">
        <v>3.5630360889266099E-3</v>
      </c>
      <c r="F3322">
        <f t="shared" si="113"/>
        <v>-1.4449702751140645E-2</v>
      </c>
      <c r="G3322">
        <f t="shared" si="112"/>
        <v>-2.2524452891032179E-2</v>
      </c>
    </row>
    <row r="3323" spans="1:38" x14ac:dyDescent="0.35">
      <c r="A3323" t="s">
        <v>175</v>
      </c>
      <c r="E3323">
        <v>-5.3854810926750925E-3</v>
      </c>
      <c r="F3323">
        <f t="shared" si="113"/>
        <v>-1.4456436016490706E-2</v>
      </c>
      <c r="G3323">
        <f t="shared" si="112"/>
        <v>-2.2524452891032179E-2</v>
      </c>
    </row>
    <row r="3324" spans="1:38" x14ac:dyDescent="0.35">
      <c r="A3324" t="s">
        <v>175</v>
      </c>
      <c r="E3324">
        <v>1.2379236053408167E-2</v>
      </c>
      <c r="F3324">
        <f t="shared" si="113"/>
        <v>-1.4463169281840766E-2</v>
      </c>
      <c r="G3324">
        <f t="shared" si="112"/>
        <v>-2.2524452891032179E-2</v>
      </c>
    </row>
    <row r="3325" spans="1:38" x14ac:dyDescent="0.35">
      <c r="A3325" t="s">
        <v>175</v>
      </c>
      <c r="E3325">
        <v>-4.0029972008270775E-3</v>
      </c>
      <c r="F3325">
        <f t="shared" si="113"/>
        <v>-1.4469902547190827E-2</v>
      </c>
      <c r="G3325">
        <f t="shared" si="112"/>
        <v>-2.2524452891032179E-2</v>
      </c>
    </row>
    <row r="3326" spans="1:38" x14ac:dyDescent="0.35">
      <c r="A3326" t="s">
        <v>175</v>
      </c>
      <c r="E3326">
        <v>-3.7845430664247524E-3</v>
      </c>
      <c r="F3326">
        <f t="shared" si="113"/>
        <v>-1.4476635812540887E-2</v>
      </c>
      <c r="G3326">
        <f t="shared" si="112"/>
        <v>-2.2524452891032179E-2</v>
      </c>
    </row>
    <row r="3327" spans="1:38" x14ac:dyDescent="0.35">
      <c r="A3327" t="s">
        <v>175</v>
      </c>
      <c r="E3327">
        <v>6.9401651481011217E-4</v>
      </c>
      <c r="F3327">
        <f t="shared" si="113"/>
        <v>-1.4483369077890948E-2</v>
      </c>
      <c r="G3327">
        <f t="shared" si="112"/>
        <v>-2.2524452891032179E-2</v>
      </c>
    </row>
    <row r="3328" spans="1:38" x14ac:dyDescent="0.35">
      <c r="A3328" t="s">
        <v>175</v>
      </c>
      <c r="E3328">
        <v>1.884643269680907E-3</v>
      </c>
      <c r="F3328">
        <f t="shared" si="113"/>
        <v>-1.4490102343241008E-2</v>
      </c>
      <c r="G3328">
        <f t="shared" si="112"/>
        <v>-2.2524452891032179E-2</v>
      </c>
    </row>
    <row r="3329" spans="1:38" x14ac:dyDescent="0.35">
      <c r="A3329" t="s">
        <v>175</v>
      </c>
      <c r="E3329">
        <v>-3.4050281243814471E-4</v>
      </c>
      <c r="F3329">
        <f t="shared" si="113"/>
        <v>-1.4496835608591069E-2</v>
      </c>
      <c r="G3329">
        <f t="shared" si="112"/>
        <v>-2.2524452891032179E-2</v>
      </c>
    </row>
    <row r="3330" spans="1:38" x14ac:dyDescent="0.35">
      <c r="A3330" t="s">
        <v>175</v>
      </c>
      <c r="E3330">
        <v>-2.0852834670870353E-4</v>
      </c>
      <c r="F3330">
        <f t="shared" si="113"/>
        <v>-1.4503568873941129E-2</v>
      </c>
      <c r="G3330">
        <f t="shared" si="112"/>
        <v>-2.2524452891032179E-2</v>
      </c>
    </row>
    <row r="3331" spans="1:38" x14ac:dyDescent="0.35">
      <c r="A3331" t="s">
        <v>175</v>
      </c>
      <c r="E3331">
        <v>1.7872981603995772E-3</v>
      </c>
      <c r="F3331">
        <f t="shared" si="113"/>
        <v>-1.4510302139291191E-2</v>
      </c>
      <c r="G3331">
        <f t="shared" ref="G3331:G3394" si="114">AVERAGEIFS(E3331:E7147,E3331:E7147,"&lt;=" &amp; F3331)</f>
        <v>-2.2524452891032179E-2</v>
      </c>
    </row>
    <row r="3332" spans="1:38" x14ac:dyDescent="0.35">
      <c r="A3332" t="s">
        <v>175</v>
      </c>
      <c r="E3332">
        <v>1.0176506699749573E-2</v>
      </c>
      <c r="F3332">
        <f t="shared" ref="F3332:F3395" si="115">_xlfn.PERCENTILE.EXC(E3332:E7147,0.05)</f>
        <v>-1.451703540464125E-2</v>
      </c>
      <c r="G3332">
        <f t="shared" si="114"/>
        <v>-2.2524452891032179E-2</v>
      </c>
    </row>
    <row r="3333" spans="1:38" x14ac:dyDescent="0.35">
      <c r="A3333" t="s">
        <v>175</v>
      </c>
      <c r="E3333">
        <v>6.3564734296055704E-3</v>
      </c>
      <c r="F3333">
        <f t="shared" si="115"/>
        <v>-1.4523768669991312E-2</v>
      </c>
      <c r="G3333">
        <f t="shared" si="114"/>
        <v>-2.2524452891032179E-2</v>
      </c>
    </row>
    <row r="3334" spans="1:38" x14ac:dyDescent="0.35">
      <c r="A3334" t="s">
        <v>175</v>
      </c>
      <c r="E3334">
        <v>-2.2025010811169529E-3</v>
      </c>
      <c r="F3334">
        <f t="shared" si="115"/>
        <v>-1.4530501935341373E-2</v>
      </c>
      <c r="G3334">
        <f t="shared" si="114"/>
        <v>-2.2524452891032179E-2</v>
      </c>
    </row>
    <row r="3335" spans="1:38" x14ac:dyDescent="0.35">
      <c r="A3335" t="s">
        <v>175</v>
      </c>
      <c r="E3335">
        <v>-9.9107022122900418E-3</v>
      </c>
      <c r="F3335">
        <f t="shared" si="115"/>
        <v>-1.4537235200691433E-2</v>
      </c>
      <c r="G3335">
        <f t="shared" si="114"/>
        <v>-2.2524452891032179E-2</v>
      </c>
    </row>
    <row r="3336" spans="1:38" x14ac:dyDescent="0.35">
      <c r="A3336" t="s">
        <v>175</v>
      </c>
      <c r="E3336">
        <v>-1.8275875505133796E-2</v>
      </c>
      <c r="F3336">
        <f t="shared" si="115"/>
        <v>-1.4543968466041494E-2</v>
      </c>
      <c r="G3336">
        <f t="shared" si="114"/>
        <v>-2.2524452891032179E-2</v>
      </c>
    </row>
    <row r="3337" spans="1:38" x14ac:dyDescent="0.35">
      <c r="A3337" t="s">
        <v>175</v>
      </c>
      <c r="E3337">
        <v>1.3828051581297519E-3</v>
      </c>
      <c r="F3337">
        <f t="shared" si="115"/>
        <v>-1.4432981383039667E-2</v>
      </c>
      <c r="G3337">
        <f t="shared" si="114"/>
        <v>-2.2364467920836625E-2</v>
      </c>
    </row>
    <row r="3338" spans="1:38" x14ac:dyDescent="0.35">
      <c r="A3338" t="s">
        <v>175</v>
      </c>
      <c r="E3338">
        <v>1.576863072014845E-2</v>
      </c>
      <c r="F3338">
        <f t="shared" si="115"/>
        <v>-1.4434066328839952E-2</v>
      </c>
      <c r="G3338">
        <f t="shared" si="114"/>
        <v>-2.2364467920836625E-2</v>
      </c>
    </row>
    <row r="3339" spans="1:38" x14ac:dyDescent="0.35">
      <c r="A3339" t="s">
        <v>175</v>
      </c>
      <c r="E3339">
        <v>-1.0643181769949864E-2</v>
      </c>
      <c r="F3339">
        <f t="shared" si="115"/>
        <v>-1.4435151274640238E-2</v>
      </c>
      <c r="G3339">
        <f t="shared" si="114"/>
        <v>-2.2364467920836625E-2</v>
      </c>
    </row>
    <row r="3340" spans="1:38" x14ac:dyDescent="0.35">
      <c r="A3340" t="s">
        <v>175</v>
      </c>
      <c r="E3340">
        <v>-1.7284398324031929E-2</v>
      </c>
      <c r="F3340">
        <f t="shared" si="115"/>
        <v>-1.4436236220440523E-2</v>
      </c>
      <c r="G3340">
        <f t="shared" si="114"/>
        <v>-2.2364467920836625E-2</v>
      </c>
    </row>
    <row r="3341" spans="1:38" x14ac:dyDescent="0.35">
      <c r="A3341" t="s">
        <v>176</v>
      </c>
      <c r="B3341" s="3" cm="1">
        <f t="array" ref="B3341">_xlfn.STDEV.S(_xlfn._xlws.FILTER($E$2826:$E$3824, $A$2826:$A$3824="2023-06"))</f>
        <v>6.4919125565940476E-3</v>
      </c>
      <c r="C3341" s="3" cm="1">
        <f t="array" ref="C3341">AVERAGE(_xlfn._xlws.FILTER($E$2826:$E$3824, $A$2826:$A$3824="2023-06"))</f>
        <v>1.9103243715260163E-3</v>
      </c>
      <c r="D3341" s="3" cm="1">
        <f t="array" ref="D3341">_xlfn.PERCENTILE.EXC(_xlfn._xlws.FILTER($E$2490:$E$3818, $A$2490:$A$3818="2023-06"), 0.05)</f>
        <v>-7.6250496445511608E-3</v>
      </c>
      <c r="E3341">
        <v>9.3374048006081931E-3</v>
      </c>
      <c r="F3341">
        <f t="shared" si="115"/>
        <v>-1.4415622250235096E-2</v>
      </c>
      <c r="G3341">
        <f t="shared" si="114"/>
        <v>-2.2585340512002044E-2</v>
      </c>
      <c r="AI3341" s="3"/>
      <c r="AJ3341" s="3"/>
      <c r="AK3341" s="3"/>
      <c r="AL3341" s="3"/>
    </row>
    <row r="3342" spans="1:38" x14ac:dyDescent="0.35">
      <c r="A3342" t="s">
        <v>176</v>
      </c>
      <c r="E3342">
        <v>1.53619153098533E-2</v>
      </c>
      <c r="F3342">
        <f t="shared" si="115"/>
        <v>-1.4416707196035381E-2</v>
      </c>
      <c r="G3342">
        <f t="shared" si="114"/>
        <v>-2.2585340512002044E-2</v>
      </c>
    </row>
    <row r="3343" spans="1:38" x14ac:dyDescent="0.35">
      <c r="A3343" t="s">
        <v>176</v>
      </c>
      <c r="E3343">
        <v>-7.0281926480926672E-3</v>
      </c>
      <c r="F3343">
        <f t="shared" si="115"/>
        <v>-1.4417792141835667E-2</v>
      </c>
      <c r="G3343">
        <f t="shared" si="114"/>
        <v>-2.2585340512002044E-2</v>
      </c>
    </row>
    <row r="3344" spans="1:38" x14ac:dyDescent="0.35">
      <c r="A3344" t="s">
        <v>176</v>
      </c>
      <c r="E3344">
        <v>4.6108383460584444E-4</v>
      </c>
      <c r="F3344">
        <f t="shared" si="115"/>
        <v>-1.4418877087635952E-2</v>
      </c>
      <c r="G3344">
        <f t="shared" si="114"/>
        <v>-2.2585340512002044E-2</v>
      </c>
    </row>
    <row r="3345" spans="1:7" x14ac:dyDescent="0.35">
      <c r="A3345" t="s">
        <v>176</v>
      </c>
      <c r="E3345">
        <v>-7.7092117248334232E-4</v>
      </c>
      <c r="F3345">
        <f t="shared" si="115"/>
        <v>-1.4419962033436238E-2</v>
      </c>
      <c r="G3345">
        <f t="shared" si="114"/>
        <v>-2.2585340512002044E-2</v>
      </c>
    </row>
    <row r="3346" spans="1:7" x14ac:dyDescent="0.35">
      <c r="A3346" t="s">
        <v>176</v>
      </c>
      <c r="E3346">
        <v>1.3434869109896377E-3</v>
      </c>
      <c r="F3346">
        <f t="shared" si="115"/>
        <v>-1.4421046979236525E-2</v>
      </c>
      <c r="G3346">
        <f t="shared" si="114"/>
        <v>-2.2585340512002044E-2</v>
      </c>
    </row>
    <row r="3347" spans="1:7" x14ac:dyDescent="0.35">
      <c r="A3347" t="s">
        <v>176</v>
      </c>
      <c r="E3347">
        <v>-1.8375615216439864E-3</v>
      </c>
      <c r="F3347">
        <f t="shared" si="115"/>
        <v>-1.4422131925036811E-2</v>
      </c>
      <c r="G3347">
        <f t="shared" si="114"/>
        <v>-2.2585340512002044E-2</v>
      </c>
    </row>
    <row r="3348" spans="1:7" x14ac:dyDescent="0.35">
      <c r="A3348" t="s">
        <v>176</v>
      </c>
      <c r="E3348">
        <v>6.2047913061597671E-3</v>
      </c>
      <c r="F3348">
        <f t="shared" si="115"/>
        <v>-1.4423216870837096E-2</v>
      </c>
      <c r="G3348">
        <f t="shared" si="114"/>
        <v>-2.2585340512002044E-2</v>
      </c>
    </row>
    <row r="3349" spans="1:7" x14ac:dyDescent="0.35">
      <c r="A3349" t="s">
        <v>176</v>
      </c>
      <c r="E3349">
        <v>7.1698960437387819E-3</v>
      </c>
      <c r="F3349">
        <f t="shared" si="115"/>
        <v>-1.4424301816637381E-2</v>
      </c>
      <c r="G3349">
        <f t="shared" si="114"/>
        <v>-2.2585340512002044E-2</v>
      </c>
    </row>
    <row r="3350" spans="1:7" x14ac:dyDescent="0.35">
      <c r="A3350" t="s">
        <v>176</v>
      </c>
      <c r="E3350">
        <v>6.5180266825921934E-3</v>
      </c>
      <c r="F3350">
        <f t="shared" si="115"/>
        <v>-1.4425386762437667E-2</v>
      </c>
      <c r="G3350">
        <f t="shared" si="114"/>
        <v>-2.2585340512002044E-2</v>
      </c>
    </row>
    <row r="3351" spans="1:7" x14ac:dyDescent="0.35">
      <c r="A3351" t="s">
        <v>176</v>
      </c>
      <c r="E3351">
        <v>-2.4848144027051701E-3</v>
      </c>
      <c r="F3351">
        <f t="shared" si="115"/>
        <v>-1.4426471708237952E-2</v>
      </c>
      <c r="G3351">
        <f t="shared" si="114"/>
        <v>-2.2585340512002044E-2</v>
      </c>
    </row>
    <row r="3352" spans="1:7" x14ac:dyDescent="0.35">
      <c r="A3352" t="s">
        <v>176</v>
      </c>
      <c r="E3352">
        <v>6.7808943444178892E-3</v>
      </c>
      <c r="F3352">
        <f t="shared" si="115"/>
        <v>-1.4427556654038238E-2</v>
      </c>
      <c r="G3352">
        <f t="shared" si="114"/>
        <v>-2.2585340512002044E-2</v>
      </c>
    </row>
    <row r="3353" spans="1:7" x14ac:dyDescent="0.35">
      <c r="A3353" t="s">
        <v>176</v>
      </c>
      <c r="E3353">
        <v>-7.4087946801433269E-3</v>
      </c>
      <c r="F3353">
        <f t="shared" si="115"/>
        <v>-1.4428641599838523E-2</v>
      </c>
      <c r="G3353">
        <f t="shared" si="114"/>
        <v>-2.2585340512002044E-2</v>
      </c>
    </row>
    <row r="3354" spans="1:7" x14ac:dyDescent="0.35">
      <c r="A3354" t="s">
        <v>176</v>
      </c>
      <c r="E3354">
        <v>-4.4201911720518731E-3</v>
      </c>
      <c r="F3354">
        <f t="shared" si="115"/>
        <v>-1.4429726545638809E-2</v>
      </c>
      <c r="G3354">
        <f t="shared" si="114"/>
        <v>-2.2585340512002044E-2</v>
      </c>
    </row>
    <row r="3355" spans="1:7" x14ac:dyDescent="0.35">
      <c r="A3355" t="s">
        <v>176</v>
      </c>
      <c r="E3355">
        <v>-4.705815012079285E-3</v>
      </c>
      <c r="F3355">
        <f t="shared" si="115"/>
        <v>-1.4430811491439096E-2</v>
      </c>
      <c r="G3355">
        <f t="shared" si="114"/>
        <v>-2.2585340512002044E-2</v>
      </c>
    </row>
    <row r="3356" spans="1:7" x14ac:dyDescent="0.35">
      <c r="A3356" t="s">
        <v>176</v>
      </c>
      <c r="E3356">
        <v>-4.2377561617510722E-3</v>
      </c>
      <c r="F3356">
        <f t="shared" si="115"/>
        <v>-1.4431896437239381E-2</v>
      </c>
      <c r="G3356">
        <f t="shared" si="114"/>
        <v>-2.2585340512002044E-2</v>
      </c>
    </row>
    <row r="3357" spans="1:7" x14ac:dyDescent="0.35">
      <c r="A3357" t="s">
        <v>176</v>
      </c>
      <c r="E3357">
        <v>-7.6632122853290139E-3</v>
      </c>
      <c r="F3357">
        <f t="shared" si="115"/>
        <v>-1.4432981383039667E-2</v>
      </c>
      <c r="G3357">
        <f t="shared" si="114"/>
        <v>-2.2585340512002044E-2</v>
      </c>
    </row>
    <row r="3358" spans="1:7" x14ac:dyDescent="0.35">
      <c r="A3358" t="s">
        <v>176</v>
      </c>
      <c r="E3358">
        <v>2.0953729407719177E-3</v>
      </c>
      <c r="F3358">
        <f t="shared" si="115"/>
        <v>-1.4434066328839952E-2</v>
      </c>
      <c r="G3358">
        <f t="shared" si="114"/>
        <v>-2.2585340512002044E-2</v>
      </c>
    </row>
    <row r="3359" spans="1:7" x14ac:dyDescent="0.35">
      <c r="A3359" t="s">
        <v>176</v>
      </c>
      <c r="E3359">
        <v>5.7513526492059168E-3</v>
      </c>
      <c r="F3359">
        <f t="shared" si="115"/>
        <v>-1.4435151274640238E-2</v>
      </c>
      <c r="G3359">
        <f t="shared" si="114"/>
        <v>-2.2585340512002044E-2</v>
      </c>
    </row>
    <row r="3360" spans="1:7" x14ac:dyDescent="0.35">
      <c r="A3360" t="s">
        <v>176</v>
      </c>
      <c r="E3360">
        <v>9.130688717046748E-3</v>
      </c>
      <c r="F3360">
        <f t="shared" si="115"/>
        <v>-1.4436236220440523E-2</v>
      </c>
      <c r="G3360">
        <f t="shared" si="114"/>
        <v>-2.2585340512002044E-2</v>
      </c>
    </row>
    <row r="3361" spans="1:38" x14ac:dyDescent="0.35">
      <c r="A3361" t="s">
        <v>176</v>
      </c>
      <c r="E3361">
        <v>2.2852055593676275E-3</v>
      </c>
      <c r="F3361">
        <f t="shared" si="115"/>
        <v>-1.4442969485790583E-2</v>
      </c>
      <c r="G3361">
        <f t="shared" si="114"/>
        <v>-2.2955754343436663E-2</v>
      </c>
    </row>
    <row r="3362" spans="1:38" x14ac:dyDescent="0.35">
      <c r="A3362" t="s">
        <v>176</v>
      </c>
      <c r="E3362">
        <v>1.0144276130494276E-2</v>
      </c>
      <c r="F3362">
        <f t="shared" si="115"/>
        <v>-1.4449702751140645E-2</v>
      </c>
      <c r="G3362">
        <f t="shared" si="114"/>
        <v>-2.2955754343436663E-2</v>
      </c>
    </row>
    <row r="3363" spans="1:38" x14ac:dyDescent="0.35">
      <c r="A3363" t="s">
        <v>177</v>
      </c>
      <c r="B3363" s="3" cm="1">
        <f t="array" ref="B3363">_xlfn.STDEV.S(_xlfn._xlws.FILTER($E$2826:$E$3824, $A$2826:$A$3824="2023-07"))</f>
        <v>1.0456929463440881E-2</v>
      </c>
      <c r="C3363" s="3" cm="1">
        <f t="array" ref="C3363">AVERAGE(_xlfn._xlws.FILTER($E$2826:$E$3824, $A$2826:$A$3824="2023-07"))</f>
        <v>7.7541567689259937E-4</v>
      </c>
      <c r="D3363" s="3" cm="1">
        <f t="array" ref="D3363">_xlfn.PERCENTILE.EXC(_xlfn._xlws.FILTER($E$2490:$E$3818, $A$2490:$A$3818="2023-07"), 0.05)</f>
        <v>-2.7828257833757475E-2</v>
      </c>
      <c r="E3363">
        <v>-2.1370338960355402E-4</v>
      </c>
      <c r="F3363">
        <f t="shared" si="115"/>
        <v>-1.4456436016490706E-2</v>
      </c>
      <c r="G3363">
        <f t="shared" si="114"/>
        <v>-2.2955754343436663E-2</v>
      </c>
      <c r="AI3363" s="3"/>
      <c r="AJ3363" s="3"/>
      <c r="AK3363" s="3"/>
      <c r="AL3363" s="3"/>
    </row>
    <row r="3364" spans="1:38" x14ac:dyDescent="0.35">
      <c r="A3364" t="s">
        <v>177</v>
      </c>
      <c r="E3364">
        <v>-1.6292837715386119E-3</v>
      </c>
      <c r="F3364">
        <f t="shared" si="115"/>
        <v>-1.4463169281840766E-2</v>
      </c>
      <c r="G3364">
        <f t="shared" si="114"/>
        <v>-2.2955754343436663E-2</v>
      </c>
    </row>
    <row r="3365" spans="1:38" x14ac:dyDescent="0.35">
      <c r="A3365" t="s">
        <v>177</v>
      </c>
      <c r="E3365">
        <v>-9.2156640187007737E-3</v>
      </c>
      <c r="F3365">
        <f t="shared" si="115"/>
        <v>-1.4469902547190827E-2</v>
      </c>
      <c r="G3365">
        <f t="shared" si="114"/>
        <v>-2.2955754343436663E-2</v>
      </c>
    </row>
    <row r="3366" spans="1:38" x14ac:dyDescent="0.35">
      <c r="A3366" t="s">
        <v>177</v>
      </c>
      <c r="E3366">
        <v>-2.977196258440885E-2</v>
      </c>
      <c r="F3366">
        <f t="shared" si="115"/>
        <v>-1.4476635812540887E-2</v>
      </c>
      <c r="G3366">
        <f t="shared" si="114"/>
        <v>-2.2955754343436663E-2</v>
      </c>
    </row>
    <row r="3367" spans="1:38" x14ac:dyDescent="0.35">
      <c r="A3367" t="s">
        <v>177</v>
      </c>
      <c r="E3367">
        <v>3.1939731799031949E-3</v>
      </c>
      <c r="F3367">
        <f t="shared" si="115"/>
        <v>-1.4422131925036811E-2</v>
      </c>
      <c r="G3367">
        <f t="shared" si="114"/>
        <v>-2.225867587234719E-2</v>
      </c>
    </row>
    <row r="3368" spans="1:38" x14ac:dyDescent="0.35">
      <c r="A3368" t="s">
        <v>177</v>
      </c>
      <c r="E3368">
        <v>4.688514919051848E-3</v>
      </c>
      <c r="F3368">
        <f t="shared" si="115"/>
        <v>-1.4423216870837096E-2</v>
      </c>
      <c r="G3368">
        <f t="shared" si="114"/>
        <v>-2.225867587234719E-2</v>
      </c>
    </row>
    <row r="3369" spans="1:38" x14ac:dyDescent="0.35">
      <c r="A3369" t="s">
        <v>177</v>
      </c>
      <c r="E3369">
        <v>7.0349707852432634E-3</v>
      </c>
      <c r="F3369">
        <f t="shared" si="115"/>
        <v>-1.4424301816637381E-2</v>
      </c>
      <c r="G3369">
        <f t="shared" si="114"/>
        <v>-2.225867587234719E-2</v>
      </c>
    </row>
    <row r="3370" spans="1:38" x14ac:dyDescent="0.35">
      <c r="A3370" t="s">
        <v>177</v>
      </c>
      <c r="E3370">
        <v>1.7093009910367093E-2</v>
      </c>
      <c r="F3370">
        <f t="shared" si="115"/>
        <v>-1.4425386762437667E-2</v>
      </c>
      <c r="G3370">
        <f t="shared" si="114"/>
        <v>-2.225867587234719E-2</v>
      </c>
    </row>
    <row r="3371" spans="1:38" x14ac:dyDescent="0.35">
      <c r="A3371" t="s">
        <v>177</v>
      </c>
      <c r="E3371">
        <v>7.1525015225230928E-3</v>
      </c>
      <c r="F3371">
        <f t="shared" si="115"/>
        <v>-1.4426471708237952E-2</v>
      </c>
      <c r="G3371">
        <f t="shared" si="114"/>
        <v>-2.225867587234719E-2</v>
      </c>
    </row>
    <row r="3372" spans="1:38" x14ac:dyDescent="0.35">
      <c r="A3372" t="s">
        <v>177</v>
      </c>
      <c r="E3372">
        <v>1.8994827063161625E-3</v>
      </c>
      <c r="F3372">
        <f t="shared" si="115"/>
        <v>-1.4427556654038238E-2</v>
      </c>
      <c r="G3372">
        <f t="shared" si="114"/>
        <v>-2.225867587234719E-2</v>
      </c>
    </row>
    <row r="3373" spans="1:38" x14ac:dyDescent="0.35">
      <c r="A3373" t="s">
        <v>177</v>
      </c>
      <c r="E3373">
        <v>-9.8939929395746359E-3</v>
      </c>
      <c r="F3373">
        <f t="shared" si="115"/>
        <v>-1.4428641599838523E-2</v>
      </c>
      <c r="G3373">
        <f t="shared" si="114"/>
        <v>-2.225867587234719E-2</v>
      </c>
    </row>
    <row r="3374" spans="1:38" x14ac:dyDescent="0.35">
      <c r="A3374" t="s">
        <v>177</v>
      </c>
      <c r="E3374">
        <v>2.9656746295622784E-3</v>
      </c>
      <c r="F3374">
        <f t="shared" si="115"/>
        <v>-1.4429726545638809E-2</v>
      </c>
      <c r="G3374">
        <f t="shared" si="114"/>
        <v>-2.225867587234719E-2</v>
      </c>
    </row>
    <row r="3375" spans="1:38" x14ac:dyDescent="0.35">
      <c r="A3375" t="s">
        <v>177</v>
      </c>
      <c r="E3375">
        <v>-1.7063658442147093E-3</v>
      </c>
      <c r="F3375">
        <f t="shared" si="115"/>
        <v>-1.4430811491439096E-2</v>
      </c>
      <c r="G3375">
        <f t="shared" si="114"/>
        <v>-2.225867587234719E-2</v>
      </c>
    </row>
    <row r="3376" spans="1:38" x14ac:dyDescent="0.35">
      <c r="A3376" t="s">
        <v>177</v>
      </c>
      <c r="E3376">
        <v>2.6213354967450143E-3</v>
      </c>
      <c r="F3376">
        <f t="shared" si="115"/>
        <v>-1.4431896437239381E-2</v>
      </c>
      <c r="G3376">
        <f t="shared" si="114"/>
        <v>-2.225867587234719E-2</v>
      </c>
    </row>
    <row r="3377" spans="1:38" x14ac:dyDescent="0.35">
      <c r="A3377" t="s">
        <v>177</v>
      </c>
      <c r="E3377">
        <v>4.03416807438903E-3</v>
      </c>
      <c r="F3377">
        <f t="shared" si="115"/>
        <v>-1.4432981383039667E-2</v>
      </c>
      <c r="G3377">
        <f t="shared" si="114"/>
        <v>-2.225867587234719E-2</v>
      </c>
    </row>
    <row r="3378" spans="1:38" x14ac:dyDescent="0.35">
      <c r="A3378" t="s">
        <v>177</v>
      </c>
      <c r="E3378">
        <v>-1.9100939884119149E-3</v>
      </c>
      <c r="F3378">
        <f t="shared" si="115"/>
        <v>-1.4434066328839952E-2</v>
      </c>
      <c r="G3378">
        <f t="shared" si="114"/>
        <v>-2.225867587234719E-2</v>
      </c>
    </row>
    <row r="3379" spans="1:38" x14ac:dyDescent="0.35">
      <c r="A3379" t="s">
        <v>177</v>
      </c>
      <c r="E3379">
        <v>1.8850447723942033E-3</v>
      </c>
      <c r="F3379">
        <f t="shared" si="115"/>
        <v>-1.4435151274640238E-2</v>
      </c>
      <c r="G3379">
        <f t="shared" si="114"/>
        <v>-2.225867587234719E-2</v>
      </c>
    </row>
    <row r="3380" spans="1:38" x14ac:dyDescent="0.35">
      <c r="A3380" t="s">
        <v>177</v>
      </c>
      <c r="E3380">
        <v>-1.0334915077895124E-2</v>
      </c>
      <c r="F3380">
        <f t="shared" si="115"/>
        <v>-1.4436236220440523E-2</v>
      </c>
      <c r="G3380">
        <f t="shared" si="114"/>
        <v>-2.225867587234719E-2</v>
      </c>
    </row>
    <row r="3381" spans="1:38" x14ac:dyDescent="0.35">
      <c r="A3381" t="s">
        <v>177</v>
      </c>
      <c r="E3381">
        <v>2.3038254007011243E-2</v>
      </c>
      <c r="F3381">
        <f t="shared" si="115"/>
        <v>-1.4442969485790583E-2</v>
      </c>
      <c r="G3381">
        <f t="shared" si="114"/>
        <v>-2.2631172998628463E-2</v>
      </c>
    </row>
    <row r="3382" spans="1:38" x14ac:dyDescent="0.35">
      <c r="A3382" t="s">
        <v>177</v>
      </c>
      <c r="E3382">
        <v>4.2764544180306906E-3</v>
      </c>
      <c r="F3382">
        <f t="shared" si="115"/>
        <v>-1.4449702751140645E-2</v>
      </c>
      <c r="G3382">
        <f t="shared" si="114"/>
        <v>-2.2631172998628463E-2</v>
      </c>
    </row>
    <row r="3383" spans="1:38" x14ac:dyDescent="0.35">
      <c r="A3383" t="s">
        <v>177</v>
      </c>
      <c r="E3383">
        <v>1.0763264075556468E-3</v>
      </c>
      <c r="F3383">
        <f t="shared" si="115"/>
        <v>-1.4456436016490706E-2</v>
      </c>
      <c r="G3383">
        <f t="shared" si="114"/>
        <v>-2.2631172998628463E-2</v>
      </c>
    </row>
    <row r="3384" spans="1:38" x14ac:dyDescent="0.35">
      <c r="A3384" t="s">
        <v>178</v>
      </c>
      <c r="B3384" s="3" cm="1">
        <f t="array" ref="B3384">_xlfn.STDEV.S(_xlfn._xlws.FILTER($E$2826:$E$3824, $A$2826:$A$3824="2023-08"))</f>
        <v>1.0072584572851612E-2</v>
      </c>
      <c r="C3384" s="3" cm="1">
        <f t="array" ref="C3384">AVERAGE(_xlfn._xlws.FILTER($E$2826:$E$3824, $A$2826:$A$3824="2023-08"))</f>
        <v>-1.892320326038811E-3</v>
      </c>
      <c r="D3384" s="3" cm="1">
        <f t="array" ref="D3384">_xlfn.PERCENTILE.EXC(_xlfn._xlws.FILTER($E$2490:$E$3818, $A$2490:$A$3818="2023-08"), 0.05)</f>
        <v>-1.6064970436097403E-2</v>
      </c>
      <c r="E3384">
        <v>-1.4364719879013983E-2</v>
      </c>
      <c r="F3384">
        <f t="shared" si="115"/>
        <v>-1.4463169281840766E-2</v>
      </c>
      <c r="G3384">
        <f t="shared" si="114"/>
        <v>-2.2631172998628463E-2</v>
      </c>
      <c r="AI3384" s="3"/>
      <c r="AJ3384" s="3"/>
      <c r="AK3384" s="3"/>
      <c r="AL3384" s="3"/>
    </row>
    <row r="3385" spans="1:38" x14ac:dyDescent="0.35">
      <c r="A3385" t="s">
        <v>178</v>
      </c>
      <c r="E3385">
        <v>-1.6249139545924919E-2</v>
      </c>
      <c r="F3385">
        <f t="shared" si="115"/>
        <v>-1.4469902547190827E-2</v>
      </c>
      <c r="G3385">
        <f t="shared" si="114"/>
        <v>-2.2631172998628463E-2</v>
      </c>
    </row>
    <row r="3386" spans="1:38" x14ac:dyDescent="0.35">
      <c r="A3386" t="s">
        <v>178</v>
      </c>
      <c r="E3386">
        <v>-7.3763835300490483E-3</v>
      </c>
      <c r="F3386">
        <f t="shared" si="115"/>
        <v>-1.4421046979236525E-2</v>
      </c>
      <c r="G3386">
        <f t="shared" si="114"/>
        <v>-2.2544844268843491E-2</v>
      </c>
    </row>
    <row r="3387" spans="1:38" x14ac:dyDescent="0.35">
      <c r="A3387" t="s">
        <v>178</v>
      </c>
      <c r="E3387">
        <v>6.5481841012062052E-3</v>
      </c>
      <c r="F3387">
        <f t="shared" si="115"/>
        <v>-1.4422131925036811E-2</v>
      </c>
      <c r="G3387">
        <f t="shared" si="114"/>
        <v>-2.2544844268843491E-2</v>
      </c>
    </row>
    <row r="3388" spans="1:38" x14ac:dyDescent="0.35">
      <c r="A3388" t="s">
        <v>178</v>
      </c>
      <c r="E3388">
        <v>1.0587735594472557E-3</v>
      </c>
      <c r="F3388">
        <f t="shared" si="115"/>
        <v>-1.4423216870837096E-2</v>
      </c>
      <c r="G3388">
        <f t="shared" si="114"/>
        <v>-2.2544844268843491E-2</v>
      </c>
    </row>
    <row r="3389" spans="1:38" x14ac:dyDescent="0.35">
      <c r="A3389" t="s">
        <v>178</v>
      </c>
      <c r="E3389">
        <v>-1.1279513537033404E-2</v>
      </c>
      <c r="F3389">
        <f t="shared" si="115"/>
        <v>-1.4424301816637381E-2</v>
      </c>
      <c r="G3389">
        <f t="shared" si="114"/>
        <v>-2.2544844268843491E-2</v>
      </c>
    </row>
    <row r="3390" spans="1:38" x14ac:dyDescent="0.35">
      <c r="A3390" t="s">
        <v>178</v>
      </c>
      <c r="E3390">
        <v>6.6185238894502568E-3</v>
      </c>
      <c r="F3390">
        <f t="shared" si="115"/>
        <v>-1.4425386762437667E-2</v>
      </c>
      <c r="G3390">
        <f t="shared" si="114"/>
        <v>-2.2544844268843491E-2</v>
      </c>
    </row>
    <row r="3391" spans="1:38" x14ac:dyDescent="0.35">
      <c r="A3391" t="s">
        <v>178</v>
      </c>
      <c r="E3391">
        <v>1.5333518066286869E-2</v>
      </c>
      <c r="F3391">
        <f t="shared" si="115"/>
        <v>-1.4426471708237952E-2</v>
      </c>
      <c r="G3391">
        <f t="shared" si="114"/>
        <v>-2.2544844268843491E-2</v>
      </c>
    </row>
    <row r="3392" spans="1:38" x14ac:dyDescent="0.35">
      <c r="A3392" t="s">
        <v>178</v>
      </c>
      <c r="E3392">
        <v>-1.4407448447649768E-2</v>
      </c>
      <c r="F3392">
        <f t="shared" si="115"/>
        <v>-1.4427556654038238E-2</v>
      </c>
      <c r="G3392">
        <f t="shared" si="114"/>
        <v>-2.2544844268843491E-2</v>
      </c>
    </row>
    <row r="3393" spans="1:38" x14ac:dyDescent="0.35">
      <c r="A3393" t="s">
        <v>178</v>
      </c>
      <c r="E3393">
        <v>2.0574331425772373E-3</v>
      </c>
      <c r="F3393">
        <f t="shared" si="115"/>
        <v>-1.4428641599838523E-2</v>
      </c>
      <c r="G3393">
        <f t="shared" si="114"/>
        <v>-2.2544844268843491E-2</v>
      </c>
    </row>
    <row r="3394" spans="1:38" x14ac:dyDescent="0.35">
      <c r="A3394" t="s">
        <v>178</v>
      </c>
      <c r="E3394">
        <v>-1.0670482577027423E-2</v>
      </c>
      <c r="F3394">
        <f t="shared" si="115"/>
        <v>-1.4429726545638809E-2</v>
      </c>
      <c r="G3394">
        <f t="shared" si="114"/>
        <v>-2.2544844268843491E-2</v>
      </c>
    </row>
    <row r="3395" spans="1:38" x14ac:dyDescent="0.35">
      <c r="A3395" t="s">
        <v>178</v>
      </c>
      <c r="E3395">
        <v>-1.3261316746193626E-2</v>
      </c>
      <c r="F3395">
        <f t="shared" si="115"/>
        <v>-1.4430811491439096E-2</v>
      </c>
      <c r="G3395">
        <f t="shared" ref="G3395:G3458" si="116">AVERAGEIFS(E3395:E7211,E3395:E7211,"&lt;=" &amp; F3395)</f>
        <v>-2.2544844268843491E-2</v>
      </c>
    </row>
    <row r="3396" spans="1:38" x14ac:dyDescent="0.35">
      <c r="A3396" t="s">
        <v>178</v>
      </c>
      <c r="E3396">
        <v>-3.5257441644677228E-3</v>
      </c>
      <c r="F3396">
        <f t="shared" ref="F3396:F3459" si="117">_xlfn.PERCENTILE.EXC(E3396:E7211,0.05)</f>
        <v>-1.4431896437239381E-2</v>
      </c>
      <c r="G3396">
        <f t="shared" si="116"/>
        <v>-2.2544844268843491E-2</v>
      </c>
    </row>
    <row r="3397" spans="1:38" x14ac:dyDescent="0.35">
      <c r="A3397" t="s">
        <v>178</v>
      </c>
      <c r="E3397">
        <v>2.8253762060654365E-3</v>
      </c>
      <c r="F3397">
        <f t="shared" si="117"/>
        <v>-1.4432981383039667E-2</v>
      </c>
      <c r="G3397">
        <f t="shared" si="116"/>
        <v>-2.2544844268843491E-2</v>
      </c>
    </row>
    <row r="3398" spans="1:38" x14ac:dyDescent="0.35">
      <c r="A3398" t="s">
        <v>178</v>
      </c>
      <c r="E3398">
        <v>8.3675198647572488E-3</v>
      </c>
      <c r="F3398">
        <f t="shared" si="117"/>
        <v>-1.4434066328839952E-2</v>
      </c>
      <c r="G3398">
        <f t="shared" si="116"/>
        <v>-2.2544844268843491E-2</v>
      </c>
    </row>
    <row r="3399" spans="1:38" x14ac:dyDescent="0.35">
      <c r="A3399" t="s">
        <v>178</v>
      </c>
      <c r="E3399">
        <v>1.4776525374139572E-3</v>
      </c>
      <c r="F3399">
        <f t="shared" si="117"/>
        <v>-1.4435151274640238E-2</v>
      </c>
      <c r="G3399">
        <f t="shared" si="116"/>
        <v>-2.2544844268843491E-2</v>
      </c>
    </row>
    <row r="3400" spans="1:38" x14ac:dyDescent="0.35">
      <c r="A3400" t="s">
        <v>178</v>
      </c>
      <c r="E3400">
        <v>-8.1069854251985159E-3</v>
      </c>
      <c r="F3400">
        <f t="shared" si="117"/>
        <v>-1.4436236220440523E-2</v>
      </c>
      <c r="G3400">
        <f t="shared" si="116"/>
        <v>-2.2544844268843491E-2</v>
      </c>
    </row>
    <row r="3401" spans="1:38" x14ac:dyDescent="0.35">
      <c r="A3401" t="s">
        <v>178</v>
      </c>
      <c r="E3401">
        <v>9.5176585716594503E-4</v>
      </c>
      <c r="F3401">
        <f t="shared" si="117"/>
        <v>-1.4442969485790583E-2</v>
      </c>
      <c r="G3401">
        <f t="shared" si="116"/>
        <v>-2.2950274671263638E-2</v>
      </c>
    </row>
    <row r="3402" spans="1:38" x14ac:dyDescent="0.35">
      <c r="A3402" t="s">
        <v>178</v>
      </c>
      <c r="E3402">
        <v>2.1073523090166552E-2</v>
      </c>
      <c r="F3402">
        <f t="shared" si="117"/>
        <v>-1.4449702751140645E-2</v>
      </c>
      <c r="G3402">
        <f t="shared" si="116"/>
        <v>-2.2950274671263638E-2</v>
      </c>
    </row>
    <row r="3403" spans="1:38" x14ac:dyDescent="0.35">
      <c r="A3403" t="s">
        <v>178</v>
      </c>
      <c r="E3403">
        <v>-2.5828026642446176E-3</v>
      </c>
      <c r="F3403">
        <f t="shared" si="117"/>
        <v>-1.4456436016490706E-2</v>
      </c>
      <c r="G3403">
        <f t="shared" si="116"/>
        <v>-2.2950274671263638E-2</v>
      </c>
    </row>
    <row r="3404" spans="1:38" x14ac:dyDescent="0.35">
      <c r="A3404" t="s">
        <v>178</v>
      </c>
      <c r="E3404">
        <v>-4.2264606445489555E-3</v>
      </c>
      <c r="F3404">
        <f t="shared" si="117"/>
        <v>-1.4463169281840766E-2</v>
      </c>
      <c r="G3404">
        <f t="shared" si="116"/>
        <v>-2.2950274671263638E-2</v>
      </c>
    </row>
    <row r="3405" spans="1:38" x14ac:dyDescent="0.35">
      <c r="A3405" t="s">
        <v>179</v>
      </c>
      <c r="B3405" s="3" cm="1">
        <f t="array" ref="B3405">_xlfn.STDEV.S(_xlfn._xlws.FILTER($E$2826:$E$3824, $A$2826:$A$3824="2023-09"))</f>
        <v>6.8934508488290597E-3</v>
      </c>
      <c r="C3405" s="3" cm="1">
        <f t="array" ref="C3405">AVERAGE(_xlfn._xlws.FILTER($E$2826:$E$3824, $A$2826:$A$3824="2023-09"))</f>
        <v>-1.3766564695052181E-3</v>
      </c>
      <c r="D3405" s="3" cm="1">
        <f t="array" ref="D3405">_xlfn.PERCENTILE.EXC(_xlfn._xlws.FILTER($E$2490:$E$3818, $A$2490:$A$3818="2023-09"), 0.05)</f>
        <v>-1.4593499485558173E-2</v>
      </c>
      <c r="E3405">
        <v>-3.3730618536487044E-3</v>
      </c>
      <c r="F3405">
        <f t="shared" si="117"/>
        <v>-1.4469902547190827E-2</v>
      </c>
      <c r="G3405">
        <f t="shared" si="116"/>
        <v>-2.2950274671263638E-2</v>
      </c>
      <c r="AI3405" s="3"/>
      <c r="AJ3405" s="3"/>
      <c r="AK3405" s="3"/>
      <c r="AL3405" s="3"/>
    </row>
    <row r="3406" spans="1:38" x14ac:dyDescent="0.35">
      <c r="A3406" t="s">
        <v>179</v>
      </c>
      <c r="E3406">
        <v>-6.4700656621281783E-4</v>
      </c>
      <c r="F3406">
        <f t="shared" si="117"/>
        <v>-1.4476635812540887E-2</v>
      </c>
      <c r="G3406">
        <f t="shared" si="116"/>
        <v>-2.2950274671263638E-2</v>
      </c>
    </row>
    <row r="3407" spans="1:38" x14ac:dyDescent="0.35">
      <c r="A3407" t="s">
        <v>179</v>
      </c>
      <c r="E3407">
        <v>-2.5055487237529944E-3</v>
      </c>
      <c r="F3407">
        <f t="shared" si="117"/>
        <v>-1.4483369077890948E-2</v>
      </c>
      <c r="G3407">
        <f t="shared" si="116"/>
        <v>-2.2950274671263638E-2</v>
      </c>
    </row>
    <row r="3408" spans="1:38" x14ac:dyDescent="0.35">
      <c r="A3408" t="s">
        <v>179</v>
      </c>
      <c r="E3408">
        <v>-7.2642789193390345E-3</v>
      </c>
      <c r="F3408">
        <f t="shared" si="117"/>
        <v>-1.4490102343241008E-2</v>
      </c>
      <c r="G3408">
        <f t="shared" si="116"/>
        <v>-2.2950274671263638E-2</v>
      </c>
    </row>
    <row r="3409" spans="1:7" x14ac:dyDescent="0.35">
      <c r="A3409" t="s">
        <v>179</v>
      </c>
      <c r="E3409">
        <v>-4.0760026547134766E-3</v>
      </c>
      <c r="F3409">
        <f t="shared" si="117"/>
        <v>-1.4496835608591069E-2</v>
      </c>
      <c r="G3409">
        <f t="shared" si="116"/>
        <v>-2.2950274671263638E-2</v>
      </c>
    </row>
    <row r="3410" spans="1:7" x14ac:dyDescent="0.35">
      <c r="A3410" t="s">
        <v>179</v>
      </c>
      <c r="E3410">
        <v>3.823508685500012E-3</v>
      </c>
      <c r="F3410">
        <f t="shared" si="117"/>
        <v>-1.4503568873941129E-2</v>
      </c>
      <c r="G3410">
        <f t="shared" si="116"/>
        <v>-2.2950274671263638E-2</v>
      </c>
    </row>
    <row r="3411" spans="1:7" x14ac:dyDescent="0.35">
      <c r="A3411" t="s">
        <v>179</v>
      </c>
      <c r="E3411">
        <v>4.0369741289595024E-3</v>
      </c>
      <c r="F3411">
        <f t="shared" si="117"/>
        <v>-1.4510302139291191E-2</v>
      </c>
      <c r="G3411">
        <f t="shared" si="116"/>
        <v>-2.2950274671263638E-2</v>
      </c>
    </row>
    <row r="3412" spans="1:7" x14ac:dyDescent="0.35">
      <c r="A3412" t="s">
        <v>179</v>
      </c>
      <c r="E3412">
        <v>-2.8387844782593436E-3</v>
      </c>
      <c r="F3412">
        <f t="shared" si="117"/>
        <v>-1.451703540464125E-2</v>
      </c>
      <c r="G3412">
        <f t="shared" si="116"/>
        <v>-2.2950274671263638E-2</v>
      </c>
    </row>
    <row r="3413" spans="1:7" x14ac:dyDescent="0.35">
      <c r="A3413" t="s">
        <v>179</v>
      </c>
      <c r="E3413">
        <v>-4.4390705738489179E-3</v>
      </c>
      <c r="F3413">
        <f t="shared" si="117"/>
        <v>-1.4523768669991312E-2</v>
      </c>
      <c r="G3413">
        <f t="shared" si="116"/>
        <v>-2.2950274671263638E-2</v>
      </c>
    </row>
    <row r="3414" spans="1:7" x14ac:dyDescent="0.35">
      <c r="A3414" t="s">
        <v>179</v>
      </c>
      <c r="E3414">
        <v>1.3235163907569633E-2</v>
      </c>
      <c r="F3414">
        <f t="shared" si="117"/>
        <v>-1.4530501935341373E-2</v>
      </c>
      <c r="G3414">
        <f t="shared" si="116"/>
        <v>-2.2950274671263638E-2</v>
      </c>
    </row>
    <row r="3415" spans="1:7" x14ac:dyDescent="0.35">
      <c r="A3415" t="s">
        <v>179</v>
      </c>
      <c r="E3415">
        <v>3.5686001392458639E-3</v>
      </c>
      <c r="F3415">
        <f t="shared" si="117"/>
        <v>-1.4537235200691433E-2</v>
      </c>
      <c r="G3415">
        <f t="shared" si="116"/>
        <v>-2.2950274671263638E-2</v>
      </c>
    </row>
    <row r="3416" spans="1:7" x14ac:dyDescent="0.35">
      <c r="A3416" t="s">
        <v>179</v>
      </c>
      <c r="E3416">
        <v>-1.1514095823853985E-2</v>
      </c>
      <c r="F3416">
        <f t="shared" si="117"/>
        <v>-1.4543968466041494E-2</v>
      </c>
      <c r="G3416">
        <f t="shared" si="116"/>
        <v>-2.2950274671263638E-2</v>
      </c>
    </row>
    <row r="3417" spans="1:7" x14ac:dyDescent="0.35">
      <c r="A3417" t="s">
        <v>179</v>
      </c>
      <c r="E3417">
        <v>-7.4924195772706323E-4</v>
      </c>
      <c r="F3417">
        <f t="shared" si="117"/>
        <v>-1.4550701731391554E-2</v>
      </c>
      <c r="G3417">
        <f t="shared" si="116"/>
        <v>-2.2950274671263638E-2</v>
      </c>
    </row>
    <row r="3418" spans="1:7" x14ac:dyDescent="0.35">
      <c r="A3418" t="s">
        <v>179</v>
      </c>
      <c r="E3418">
        <v>7.8134568529694224E-3</v>
      </c>
      <c r="F3418">
        <f t="shared" si="117"/>
        <v>-1.4557434996741616E-2</v>
      </c>
      <c r="G3418">
        <f t="shared" si="116"/>
        <v>-2.2950274671263638E-2</v>
      </c>
    </row>
    <row r="3419" spans="1:7" x14ac:dyDescent="0.35">
      <c r="A3419" t="s">
        <v>179</v>
      </c>
      <c r="E3419">
        <v>-1.4935655447969749E-2</v>
      </c>
      <c r="F3419">
        <f t="shared" si="117"/>
        <v>-1.4564168262091675E-2</v>
      </c>
      <c r="G3419">
        <f t="shared" si="116"/>
        <v>-2.2950274671263638E-2</v>
      </c>
    </row>
    <row r="3420" spans="1:7" x14ac:dyDescent="0.35">
      <c r="A3420" t="s">
        <v>179</v>
      </c>
      <c r="E3420">
        <v>-1.2898246985482394E-3</v>
      </c>
      <c r="F3420">
        <f t="shared" si="117"/>
        <v>-1.4436236220440523E-2</v>
      </c>
      <c r="G3420">
        <f t="shared" si="116"/>
        <v>-2.2925303709887178E-2</v>
      </c>
    </row>
    <row r="3421" spans="1:7" x14ac:dyDescent="0.35">
      <c r="A3421" t="s">
        <v>179</v>
      </c>
      <c r="E3421">
        <v>-9.5026943418382633E-3</v>
      </c>
      <c r="F3421">
        <f t="shared" si="117"/>
        <v>-1.4442969485790583E-2</v>
      </c>
      <c r="G3421">
        <f t="shared" si="116"/>
        <v>-2.3372096735647524E-2</v>
      </c>
    </row>
    <row r="3422" spans="1:7" x14ac:dyDescent="0.35">
      <c r="A3422" t="s">
        <v>179</v>
      </c>
      <c r="E3422">
        <v>-9.2063013506914152E-3</v>
      </c>
      <c r="F3422">
        <f t="shared" si="117"/>
        <v>-1.4449702751140645E-2</v>
      </c>
      <c r="G3422">
        <f t="shared" si="116"/>
        <v>-2.3372096735647524E-2</v>
      </c>
    </row>
    <row r="3423" spans="1:7" x14ac:dyDescent="0.35">
      <c r="A3423" t="s">
        <v>179</v>
      </c>
      <c r="E3423">
        <v>6.0526387720440404E-4</v>
      </c>
      <c r="F3423">
        <f t="shared" si="117"/>
        <v>-1.4456436016490706E-2</v>
      </c>
      <c r="G3423">
        <f t="shared" si="116"/>
        <v>-2.3372096735647524E-2</v>
      </c>
    </row>
    <row r="3424" spans="1:7" x14ac:dyDescent="0.35">
      <c r="A3424" t="s">
        <v>179</v>
      </c>
      <c r="E3424">
        <v>7.2059000567032787E-3</v>
      </c>
      <c r="F3424">
        <f t="shared" si="117"/>
        <v>-1.4463169281840766E-2</v>
      </c>
      <c r="G3424">
        <f t="shared" si="116"/>
        <v>-2.3372096735647524E-2</v>
      </c>
    </row>
    <row r="3425" spans="1:38" x14ac:dyDescent="0.35">
      <c r="A3425" t="s">
        <v>179</v>
      </c>
      <c r="E3425">
        <v>3.1429138826423089E-3</v>
      </c>
      <c r="F3425">
        <f t="shared" si="117"/>
        <v>-1.4469902547190827E-2</v>
      </c>
      <c r="G3425">
        <f t="shared" si="116"/>
        <v>-2.3372096735647524E-2</v>
      </c>
    </row>
    <row r="3426" spans="1:38" x14ac:dyDescent="0.35">
      <c r="A3426" t="s">
        <v>180</v>
      </c>
      <c r="B3426" s="3" cm="1">
        <f t="array" ref="B3426">_xlfn.STDEV.S(_xlfn._xlws.FILTER($E$2826:$E$3824, $A$2826:$A$3824="2023-10"))</f>
        <v>9.0104408824585695E-3</v>
      </c>
      <c r="C3426" s="3" cm="1">
        <f t="array" ref="C3426">AVERAGE(_xlfn._xlws.FILTER($E$2826:$E$3824, $A$2826:$A$3824="2023-10"))</f>
        <v>-1.2533691009647898E-3</v>
      </c>
      <c r="D3426" s="3" cm="1">
        <f t="array" ref="D3426">_xlfn.PERCENTILE.EXC(_xlfn._xlws.FILTER($E$2490:$E$3818, $A$2490:$A$3818="2023-10"), 0.05)</f>
        <v>-1.5988938408306955E-2</v>
      </c>
      <c r="E3426">
        <v>-8.9097577117251327E-3</v>
      </c>
      <c r="F3426">
        <f t="shared" si="117"/>
        <v>-1.4476635812540887E-2</v>
      </c>
      <c r="G3426">
        <f t="shared" si="116"/>
        <v>-2.3372096735647524E-2</v>
      </c>
      <c r="AI3426" s="3"/>
      <c r="AJ3426" s="3"/>
      <c r="AK3426" s="3"/>
      <c r="AL3426" s="3"/>
    </row>
    <row r="3427" spans="1:38" x14ac:dyDescent="0.35">
      <c r="A3427" t="s">
        <v>180</v>
      </c>
      <c r="E3427">
        <v>-1.0212375078310451E-2</v>
      </c>
      <c r="F3427">
        <f t="shared" si="117"/>
        <v>-1.4483369077890948E-2</v>
      </c>
      <c r="G3427">
        <f t="shared" si="116"/>
        <v>-2.3372096735647524E-2</v>
      </c>
    </row>
    <row r="3428" spans="1:38" x14ac:dyDescent="0.35">
      <c r="A3428" t="s">
        <v>180</v>
      </c>
      <c r="E3428">
        <v>1.0396026042957909E-3</v>
      </c>
      <c r="F3428">
        <f t="shared" si="117"/>
        <v>-1.4490102343241008E-2</v>
      </c>
      <c r="G3428">
        <f t="shared" si="116"/>
        <v>-2.3372096735647524E-2</v>
      </c>
    </row>
    <row r="3429" spans="1:38" x14ac:dyDescent="0.35">
      <c r="A3429" t="s">
        <v>180</v>
      </c>
      <c r="E3429">
        <v>-9.7565020989178045E-6</v>
      </c>
      <c r="F3429">
        <f t="shared" si="117"/>
        <v>-1.4496835608591069E-2</v>
      </c>
      <c r="G3429">
        <f t="shared" si="116"/>
        <v>-2.3372096735647524E-2</v>
      </c>
    </row>
    <row r="3430" spans="1:38" x14ac:dyDescent="0.35">
      <c r="A3430" t="s">
        <v>180</v>
      </c>
      <c r="E3430">
        <v>1.0824632879736569E-2</v>
      </c>
      <c r="F3430">
        <f t="shared" si="117"/>
        <v>-1.4503568873941129E-2</v>
      </c>
      <c r="G3430">
        <f t="shared" si="116"/>
        <v>-2.3372096735647524E-2</v>
      </c>
    </row>
    <row r="3431" spans="1:38" x14ac:dyDescent="0.35">
      <c r="A3431" t="s">
        <v>180</v>
      </c>
      <c r="E3431">
        <v>-7.717126829559719E-3</v>
      </c>
      <c r="F3431">
        <f t="shared" si="117"/>
        <v>-1.4510302139291191E-2</v>
      </c>
      <c r="G3431">
        <f t="shared" si="116"/>
        <v>-2.3372096735647524E-2</v>
      </c>
    </row>
    <row r="3432" spans="1:38" x14ac:dyDescent="0.35">
      <c r="A3432" t="s">
        <v>180</v>
      </c>
      <c r="E3432">
        <v>2.2280851495407084E-2</v>
      </c>
      <c r="F3432">
        <f t="shared" si="117"/>
        <v>-1.451703540464125E-2</v>
      </c>
      <c r="G3432">
        <f t="shared" si="116"/>
        <v>-2.3372096735647524E-2</v>
      </c>
    </row>
    <row r="3433" spans="1:38" x14ac:dyDescent="0.35">
      <c r="A3433" t="s">
        <v>180</v>
      </c>
      <c r="E3433">
        <v>-1.0540053771201903E-3</v>
      </c>
      <c r="F3433">
        <f t="shared" si="117"/>
        <v>-1.4523768669991312E-2</v>
      </c>
      <c r="G3433">
        <f t="shared" si="116"/>
        <v>-2.3372096735647524E-2</v>
      </c>
    </row>
    <row r="3434" spans="1:38" x14ac:dyDescent="0.35">
      <c r="A3434" t="s">
        <v>180</v>
      </c>
      <c r="E3434">
        <v>-6.1197544959572172E-4</v>
      </c>
      <c r="F3434">
        <f t="shared" si="117"/>
        <v>-1.4530501935341373E-2</v>
      </c>
      <c r="G3434">
        <f t="shared" si="116"/>
        <v>-2.3372096735647524E-2</v>
      </c>
    </row>
    <row r="3435" spans="1:38" x14ac:dyDescent="0.35">
      <c r="A3435" t="s">
        <v>180</v>
      </c>
      <c r="E3435">
        <v>-1.4904857567021569E-2</v>
      </c>
      <c r="F3435">
        <f t="shared" si="117"/>
        <v>-1.4537235200691433E-2</v>
      </c>
      <c r="G3435">
        <f t="shared" si="116"/>
        <v>-2.3372096735647524E-2</v>
      </c>
    </row>
    <row r="3436" spans="1:38" x14ac:dyDescent="0.35">
      <c r="A3436" t="s">
        <v>180</v>
      </c>
      <c r="E3436">
        <v>3.3164484089167013E-3</v>
      </c>
      <c r="F3436">
        <f t="shared" si="117"/>
        <v>-1.4431896437239381E-2</v>
      </c>
      <c r="G3436">
        <f t="shared" si="116"/>
        <v>-2.3347432454248522E-2</v>
      </c>
    </row>
    <row r="3437" spans="1:38" x14ac:dyDescent="0.35">
      <c r="A3437" t="s">
        <v>180</v>
      </c>
      <c r="E3437">
        <v>5.9261545088033242E-4</v>
      </c>
      <c r="F3437">
        <f t="shared" si="117"/>
        <v>-1.4432981383039667E-2</v>
      </c>
      <c r="G3437">
        <f t="shared" si="116"/>
        <v>-2.3347432454248522E-2</v>
      </c>
    </row>
    <row r="3438" spans="1:38" x14ac:dyDescent="0.35">
      <c r="A3438" t="s">
        <v>180</v>
      </c>
      <c r="E3438">
        <v>-1.1251992613475358E-2</v>
      </c>
      <c r="F3438">
        <f t="shared" si="117"/>
        <v>-1.4434066328839952E-2</v>
      </c>
      <c r="G3438">
        <f t="shared" si="116"/>
        <v>-2.3347432454248522E-2</v>
      </c>
    </row>
    <row r="3439" spans="1:38" x14ac:dyDescent="0.35">
      <c r="A3439" t="s">
        <v>180</v>
      </c>
      <c r="E3439">
        <v>-3.7895701747564727E-3</v>
      </c>
      <c r="F3439">
        <f t="shared" si="117"/>
        <v>-1.4435151274640238E-2</v>
      </c>
      <c r="G3439">
        <f t="shared" si="116"/>
        <v>-2.3347432454248522E-2</v>
      </c>
    </row>
    <row r="3440" spans="1:38" x14ac:dyDescent="0.35">
      <c r="A3440" t="s">
        <v>180</v>
      </c>
      <c r="E3440">
        <v>-1.6180246792063199E-2</v>
      </c>
      <c r="F3440">
        <f t="shared" si="117"/>
        <v>-1.4436236220440523E-2</v>
      </c>
      <c r="G3440">
        <f t="shared" si="116"/>
        <v>-2.3347432454248522E-2</v>
      </c>
    </row>
    <row r="3441" spans="1:38" x14ac:dyDescent="0.35">
      <c r="A3441" t="s">
        <v>180</v>
      </c>
      <c r="E3441">
        <v>4.232361895181583E-3</v>
      </c>
      <c r="F3441">
        <f t="shared" si="117"/>
        <v>-1.4415622250235096E-2</v>
      </c>
      <c r="G3441">
        <f t="shared" si="116"/>
        <v>-2.3745609435481041E-2</v>
      </c>
    </row>
    <row r="3442" spans="1:38" x14ac:dyDescent="0.35">
      <c r="A3442" t="s">
        <v>180</v>
      </c>
      <c r="E3442">
        <v>5.8269932682524905E-3</v>
      </c>
      <c r="F3442">
        <f t="shared" si="117"/>
        <v>-1.4416707196035381E-2</v>
      </c>
      <c r="G3442">
        <f t="shared" si="116"/>
        <v>-2.3745609435481041E-2</v>
      </c>
    </row>
    <row r="3443" spans="1:38" x14ac:dyDescent="0.35">
      <c r="A3443" t="s">
        <v>180</v>
      </c>
      <c r="E3443">
        <v>1.9609969521652178E-3</v>
      </c>
      <c r="F3443">
        <f t="shared" si="117"/>
        <v>-1.4417792141835667E-2</v>
      </c>
      <c r="G3443">
        <f t="shared" si="116"/>
        <v>-2.3745609435481041E-2</v>
      </c>
    </row>
    <row r="3444" spans="1:38" x14ac:dyDescent="0.35">
      <c r="A3444" t="s">
        <v>180</v>
      </c>
      <c r="E3444">
        <v>-5.8970347247178506E-3</v>
      </c>
      <c r="F3444">
        <f t="shared" si="117"/>
        <v>-1.4418877087635952E-2</v>
      </c>
      <c r="G3444">
        <f t="shared" si="116"/>
        <v>-2.3745609435481041E-2</v>
      </c>
    </row>
    <row r="3445" spans="1:38" x14ac:dyDescent="0.35">
      <c r="A3445" t="s">
        <v>180</v>
      </c>
      <c r="E3445">
        <v>-8.6907895440353905E-3</v>
      </c>
      <c r="F3445">
        <f t="shared" si="117"/>
        <v>-1.4419962033436238E-2</v>
      </c>
      <c r="G3445">
        <f t="shared" si="116"/>
        <v>-2.3745609435481041E-2</v>
      </c>
    </row>
    <row r="3446" spans="1:38" x14ac:dyDescent="0.35">
      <c r="A3446" t="s">
        <v>180</v>
      </c>
      <c r="E3446">
        <v>3.471483142324182E-3</v>
      </c>
      <c r="F3446">
        <f t="shared" si="117"/>
        <v>-1.4421046979236525E-2</v>
      </c>
      <c r="G3446">
        <f t="shared" si="116"/>
        <v>-2.3745609435481041E-2</v>
      </c>
    </row>
    <row r="3447" spans="1:38" x14ac:dyDescent="0.35">
      <c r="A3447" t="s">
        <v>180</v>
      </c>
      <c r="E3447">
        <v>8.1093820460946368E-3</v>
      </c>
      <c r="F3447">
        <f t="shared" si="117"/>
        <v>-1.4422131925036811E-2</v>
      </c>
      <c r="G3447">
        <f t="shared" si="116"/>
        <v>-2.3745609435481041E-2</v>
      </c>
    </row>
    <row r="3448" spans="1:38" x14ac:dyDescent="0.35">
      <c r="A3448" t="s">
        <v>181</v>
      </c>
      <c r="B3448" s="3" cm="1">
        <f t="array" ref="B3448">_xlfn.STDEV.S(_xlfn._xlws.FILTER($E$2826:$E$3824, $A$2826:$A$3824="2023-11"))</f>
        <v>6.4660980422578014E-3</v>
      </c>
      <c r="C3448" s="3" cm="1">
        <f t="array" ref="C3448">AVERAGE(_xlfn._xlws.FILTER($E$2826:$E$3824, $A$2826:$A$3824="2023-11"))</f>
        <v>3.461531579194899E-3</v>
      </c>
      <c r="D3448" s="3" cm="1">
        <f t="array" ref="D3448">_xlfn.PERCENTILE.EXC(_xlfn._xlws.FILTER($E$2490:$E$3818, $A$2490:$A$3818="2023-11"), 0.05)</f>
        <v>-7.0316773344663106E-3</v>
      </c>
      <c r="E3448">
        <v>7.5041779480963348E-3</v>
      </c>
      <c r="F3448">
        <f t="shared" si="117"/>
        <v>-1.4423216870837096E-2</v>
      </c>
      <c r="G3448">
        <f t="shared" si="116"/>
        <v>-2.3745609435481041E-2</v>
      </c>
      <c r="AI3448" s="3"/>
      <c r="AJ3448" s="3"/>
      <c r="AK3448" s="3"/>
      <c r="AL3448" s="3"/>
    </row>
    <row r="3449" spans="1:38" x14ac:dyDescent="0.35">
      <c r="A3449" t="s">
        <v>181</v>
      </c>
      <c r="E3449">
        <v>1.886192897230371E-2</v>
      </c>
      <c r="F3449">
        <f t="shared" si="117"/>
        <v>-1.4424301816637381E-2</v>
      </c>
      <c r="G3449">
        <f t="shared" si="116"/>
        <v>-2.3745609435481041E-2</v>
      </c>
    </row>
    <row r="3450" spans="1:38" x14ac:dyDescent="0.35">
      <c r="A3450" t="s">
        <v>181</v>
      </c>
      <c r="E3450">
        <v>1.210408702611787E-3</v>
      </c>
      <c r="F3450">
        <f t="shared" si="117"/>
        <v>-1.4425386762437667E-2</v>
      </c>
      <c r="G3450">
        <f t="shared" si="116"/>
        <v>-2.3745609435481041E-2</v>
      </c>
    </row>
    <row r="3451" spans="1:38" x14ac:dyDescent="0.35">
      <c r="A3451" t="s">
        <v>181</v>
      </c>
      <c r="E3451">
        <v>-3.847215517424413E-3</v>
      </c>
      <c r="F3451">
        <f t="shared" si="117"/>
        <v>-1.4426471708237952E-2</v>
      </c>
      <c r="G3451">
        <f t="shared" si="116"/>
        <v>-2.3745609435481041E-2</v>
      </c>
    </row>
    <row r="3452" spans="1:38" x14ac:dyDescent="0.35">
      <c r="A3452" t="s">
        <v>181</v>
      </c>
      <c r="E3452">
        <v>-1.2680448426200606E-3</v>
      </c>
      <c r="F3452">
        <f t="shared" si="117"/>
        <v>-1.4427556654038238E-2</v>
      </c>
      <c r="G3452">
        <f t="shared" si="116"/>
        <v>-2.3745609435481041E-2</v>
      </c>
    </row>
    <row r="3453" spans="1:38" x14ac:dyDescent="0.35">
      <c r="A3453" t="s">
        <v>181</v>
      </c>
      <c r="E3453">
        <v>6.029884350557636E-3</v>
      </c>
      <c r="F3453">
        <f t="shared" si="117"/>
        <v>-1.4428641599838523E-2</v>
      </c>
      <c r="G3453">
        <f t="shared" si="116"/>
        <v>-2.3745609435481041E-2</v>
      </c>
    </row>
    <row r="3454" spans="1:38" x14ac:dyDescent="0.35">
      <c r="A3454" t="s">
        <v>181</v>
      </c>
      <c r="E3454">
        <v>1.2062912623046885E-2</v>
      </c>
      <c r="F3454">
        <f t="shared" si="117"/>
        <v>-1.4429726545638809E-2</v>
      </c>
      <c r="G3454">
        <f t="shared" si="116"/>
        <v>-2.3745609435481041E-2</v>
      </c>
    </row>
    <row r="3455" spans="1:38" x14ac:dyDescent="0.35">
      <c r="A3455" t="s">
        <v>181</v>
      </c>
      <c r="E3455">
        <v>-7.5570936493259914E-3</v>
      </c>
      <c r="F3455">
        <f t="shared" si="117"/>
        <v>-1.4430811491439096E-2</v>
      </c>
      <c r="G3455">
        <f t="shared" si="116"/>
        <v>-2.3745609435481041E-2</v>
      </c>
    </row>
    <row r="3456" spans="1:38" x14ac:dyDescent="0.35">
      <c r="A3456" t="s">
        <v>181</v>
      </c>
      <c r="E3456">
        <v>8.2638333515388952E-3</v>
      </c>
      <c r="F3456">
        <f t="shared" si="117"/>
        <v>-1.4431896437239381E-2</v>
      </c>
      <c r="G3456">
        <f t="shared" si="116"/>
        <v>-2.3745609435481041E-2</v>
      </c>
    </row>
    <row r="3457" spans="1:38" x14ac:dyDescent="0.35">
      <c r="A3457" t="s">
        <v>181</v>
      </c>
      <c r="E3457">
        <v>1.3967995410492044E-2</v>
      </c>
      <c r="F3457">
        <f t="shared" si="117"/>
        <v>-1.4432981383039667E-2</v>
      </c>
      <c r="G3457">
        <f t="shared" si="116"/>
        <v>-2.3745609435481041E-2</v>
      </c>
    </row>
    <row r="3458" spans="1:38" x14ac:dyDescent="0.35">
      <c r="A3458" t="s">
        <v>181</v>
      </c>
      <c r="E3458">
        <v>5.5325593502567562E-3</v>
      </c>
      <c r="F3458">
        <f t="shared" si="117"/>
        <v>-1.4434066328839952E-2</v>
      </c>
      <c r="G3458">
        <f t="shared" si="116"/>
        <v>-2.3745609435481041E-2</v>
      </c>
    </row>
    <row r="3459" spans="1:38" x14ac:dyDescent="0.35">
      <c r="A3459" t="s">
        <v>181</v>
      </c>
      <c r="E3459">
        <v>-3.0355164536586873E-3</v>
      </c>
      <c r="F3459">
        <f t="shared" si="117"/>
        <v>-1.4435151274640238E-2</v>
      </c>
      <c r="G3459">
        <f t="shared" ref="G3459:G3522" si="118">AVERAGEIFS(E3459:E7275,E3459:E7275,"&lt;=" &amp; F3459)</f>
        <v>-2.3745609435481041E-2</v>
      </c>
    </row>
    <row r="3460" spans="1:38" x14ac:dyDescent="0.35">
      <c r="A3460" t="s">
        <v>181</v>
      </c>
      <c r="E3460">
        <v>8.8671238446624053E-3</v>
      </c>
      <c r="F3460">
        <f t="shared" ref="F3460:F3523" si="119">_xlfn.PERCENTILE.EXC(E3460:E7275,0.05)</f>
        <v>-1.4436236220440523E-2</v>
      </c>
      <c r="G3460">
        <f t="shared" si="118"/>
        <v>-2.3745609435481041E-2</v>
      </c>
    </row>
    <row r="3461" spans="1:38" x14ac:dyDescent="0.35">
      <c r="A3461" t="s">
        <v>181</v>
      </c>
      <c r="E3461">
        <v>3.7774179954825271E-4</v>
      </c>
      <c r="F3461">
        <f t="shared" si="119"/>
        <v>-1.4442969485790585E-2</v>
      </c>
      <c r="G3461">
        <f t="shared" si="118"/>
        <v>-2.4293219624601074E-2</v>
      </c>
    </row>
    <row r="3462" spans="1:38" x14ac:dyDescent="0.35">
      <c r="A3462" t="s">
        <v>181</v>
      </c>
      <c r="E3462">
        <v>-2.4232486832983266E-3</v>
      </c>
      <c r="F3462">
        <f t="shared" si="119"/>
        <v>-1.4449702751140645E-2</v>
      </c>
      <c r="G3462">
        <f t="shared" si="118"/>
        <v>-2.4293219624601074E-2</v>
      </c>
    </row>
    <row r="3463" spans="1:38" x14ac:dyDescent="0.35">
      <c r="A3463" t="s">
        <v>181</v>
      </c>
      <c r="E3463">
        <v>4.6338602848674543E-3</v>
      </c>
      <c r="F3463">
        <f t="shared" si="119"/>
        <v>-1.4456436016490706E-2</v>
      </c>
      <c r="G3463">
        <f t="shared" si="118"/>
        <v>-2.4293219624601074E-2</v>
      </c>
    </row>
    <row r="3464" spans="1:38" x14ac:dyDescent="0.35">
      <c r="A3464" t="s">
        <v>181</v>
      </c>
      <c r="E3464">
        <v>2.1346587029758739E-3</v>
      </c>
      <c r="F3464">
        <f t="shared" si="119"/>
        <v>-1.4463169281840766E-2</v>
      </c>
      <c r="G3464">
        <f t="shared" si="118"/>
        <v>-2.4293219624601074E-2</v>
      </c>
    </row>
    <row r="3465" spans="1:38" x14ac:dyDescent="0.35">
      <c r="A3465" t="s">
        <v>181</v>
      </c>
      <c r="E3465">
        <v>2.4686790455013294E-3</v>
      </c>
      <c r="F3465">
        <f t="shared" si="119"/>
        <v>-1.4469902547190827E-2</v>
      </c>
      <c r="G3465">
        <f t="shared" si="118"/>
        <v>-2.4293219624601074E-2</v>
      </c>
    </row>
    <row r="3466" spans="1:38" x14ac:dyDescent="0.35">
      <c r="A3466" t="s">
        <v>181</v>
      </c>
      <c r="E3466">
        <v>-4.0543182169281199E-3</v>
      </c>
      <c r="F3466">
        <f t="shared" si="119"/>
        <v>-1.4476635812540887E-2</v>
      </c>
      <c r="G3466">
        <f t="shared" si="118"/>
        <v>-2.4293219624601074E-2</v>
      </c>
    </row>
    <row r="3467" spans="1:38" x14ac:dyDescent="0.35">
      <c r="A3467" t="s">
        <v>181</v>
      </c>
      <c r="E3467">
        <v>-1.4685555984749723E-3</v>
      </c>
      <c r="F3467">
        <f t="shared" si="119"/>
        <v>-1.4483369077890948E-2</v>
      </c>
      <c r="G3467">
        <f t="shared" si="118"/>
        <v>-2.4293219624601074E-2</v>
      </c>
    </row>
    <row r="3468" spans="1:38" x14ac:dyDescent="0.35">
      <c r="A3468" t="s">
        <v>181</v>
      </c>
      <c r="E3468">
        <v>5.163714153635944E-3</v>
      </c>
      <c r="F3468">
        <f t="shared" si="119"/>
        <v>-1.4490102343241008E-2</v>
      </c>
      <c r="G3468">
        <f t="shared" si="118"/>
        <v>-2.4293219624601074E-2</v>
      </c>
    </row>
    <row r="3469" spans="1:38" x14ac:dyDescent="0.35">
      <c r="A3469" t="s">
        <v>181</v>
      </c>
      <c r="E3469">
        <v>2.7282091639230493E-3</v>
      </c>
      <c r="F3469">
        <f t="shared" si="119"/>
        <v>-1.4496835608591069E-2</v>
      </c>
      <c r="G3469">
        <f t="shared" si="118"/>
        <v>-2.4293219624601074E-2</v>
      </c>
    </row>
    <row r="3470" spans="1:38" x14ac:dyDescent="0.35">
      <c r="A3470" t="s">
        <v>182</v>
      </c>
      <c r="B3470" s="3" cm="1">
        <f t="array" ref="B3470">_xlfn.STDEV.S(_xlfn._xlws.FILTER($E$2826:$E$3824, $A$2826:$A$3824="2023-12"))</f>
        <v>4.4404297654553485E-3</v>
      </c>
      <c r="C3470" s="3" cm="1">
        <f t="array" ref="C3470">AVERAGE(_xlfn._xlws.FILTER($E$2826:$E$3824, $A$2826:$A$3824="2023-12"))</f>
        <v>1.643054462939824E-3</v>
      </c>
      <c r="D3470" s="3" cm="1">
        <f t="array" ref="D3470">_xlfn.PERCENTILE.EXC(_xlfn._xlws.FILTER($E$2490:$E$3818, $A$2490:$A$3818="2023-12"), 0.05)</f>
        <v>-6.2421858658488674E-3</v>
      </c>
      <c r="E3470">
        <v>8.190042802907813E-3</v>
      </c>
      <c r="F3470">
        <f t="shared" si="119"/>
        <v>-1.4503568873941129E-2</v>
      </c>
      <c r="G3470">
        <f t="shared" si="118"/>
        <v>-2.4293219624601074E-2</v>
      </c>
      <c r="AI3470" s="3"/>
      <c r="AJ3470" s="3"/>
      <c r="AK3470" s="3"/>
      <c r="AL3470" s="3"/>
    </row>
    <row r="3471" spans="1:38" x14ac:dyDescent="0.35">
      <c r="A3471" t="s">
        <v>182</v>
      </c>
      <c r="E3471">
        <v>-8.0602622137605643E-4</v>
      </c>
      <c r="F3471">
        <f t="shared" si="119"/>
        <v>-1.4510302139291191E-2</v>
      </c>
      <c r="G3471">
        <f t="shared" si="118"/>
        <v>-2.4293219624601074E-2</v>
      </c>
    </row>
    <row r="3472" spans="1:38" x14ac:dyDescent="0.35">
      <c r="A3472" t="s">
        <v>182</v>
      </c>
      <c r="E3472">
        <v>8.529865469498835E-3</v>
      </c>
      <c r="F3472">
        <f t="shared" si="119"/>
        <v>-1.451703540464125E-2</v>
      </c>
      <c r="G3472">
        <f t="shared" si="118"/>
        <v>-2.4293219624601074E-2</v>
      </c>
    </row>
    <row r="3473" spans="1:7" x14ac:dyDescent="0.35">
      <c r="A3473" t="s">
        <v>182</v>
      </c>
      <c r="E3473">
        <v>6.8240859356588955E-3</v>
      </c>
      <c r="F3473">
        <f t="shared" si="119"/>
        <v>-1.4523768669991312E-2</v>
      </c>
      <c r="G3473">
        <f t="shared" si="118"/>
        <v>-2.4293219624601074E-2</v>
      </c>
    </row>
    <row r="3474" spans="1:7" x14ac:dyDescent="0.35">
      <c r="A3474" t="s">
        <v>182</v>
      </c>
      <c r="E3474">
        <v>-2.1190067580416712E-3</v>
      </c>
      <c r="F3474">
        <f t="shared" si="119"/>
        <v>-1.4530501935341373E-2</v>
      </c>
      <c r="G3474">
        <f t="shared" si="118"/>
        <v>-2.4293219624601074E-2</v>
      </c>
    </row>
    <row r="3475" spans="1:7" x14ac:dyDescent="0.35">
      <c r="A3475" t="s">
        <v>182</v>
      </c>
      <c r="E3475">
        <v>1.1012573117034991E-2</v>
      </c>
      <c r="F3475">
        <f t="shared" si="119"/>
        <v>-1.4537235200691433E-2</v>
      </c>
      <c r="G3475">
        <f t="shared" si="118"/>
        <v>-2.4293219624601074E-2</v>
      </c>
    </row>
    <row r="3476" spans="1:7" x14ac:dyDescent="0.35">
      <c r="A3476" t="s">
        <v>182</v>
      </c>
      <c r="E3476">
        <v>3.7248346701917968E-3</v>
      </c>
      <c r="F3476">
        <f t="shared" si="119"/>
        <v>-1.4543968466041494E-2</v>
      </c>
      <c r="G3476">
        <f t="shared" si="118"/>
        <v>-2.4293219624601074E-2</v>
      </c>
    </row>
    <row r="3477" spans="1:7" x14ac:dyDescent="0.35">
      <c r="A3477" t="s">
        <v>182</v>
      </c>
      <c r="E3477">
        <v>-7.888242961475064E-4</v>
      </c>
      <c r="F3477">
        <f t="shared" si="119"/>
        <v>-1.4550701731391554E-2</v>
      </c>
      <c r="G3477">
        <f t="shared" si="118"/>
        <v>-2.4293219624601074E-2</v>
      </c>
    </row>
    <row r="3478" spans="1:7" x14ac:dyDescent="0.35">
      <c r="A3478" t="s">
        <v>182</v>
      </c>
      <c r="E3478">
        <v>-1.4161558814447021E-3</v>
      </c>
      <c r="F3478">
        <f t="shared" si="119"/>
        <v>-1.4557434996741616E-2</v>
      </c>
      <c r="G3478">
        <f t="shared" si="118"/>
        <v>-2.4293219624601074E-2</v>
      </c>
    </row>
    <row r="3479" spans="1:7" x14ac:dyDescent="0.35">
      <c r="A3479" t="s">
        <v>182</v>
      </c>
      <c r="E3479">
        <v>1.9780916879055554E-3</v>
      </c>
      <c r="F3479">
        <f t="shared" si="119"/>
        <v>-1.4564168262091675E-2</v>
      </c>
      <c r="G3479">
        <f t="shared" si="118"/>
        <v>-2.4293219624601074E-2</v>
      </c>
    </row>
    <row r="3480" spans="1:7" x14ac:dyDescent="0.35">
      <c r="A3480" t="s">
        <v>182</v>
      </c>
      <c r="E3480">
        <v>2.2621755570578833E-3</v>
      </c>
      <c r="F3480">
        <f t="shared" si="119"/>
        <v>-1.4570901527441737E-2</v>
      </c>
      <c r="G3480">
        <f t="shared" si="118"/>
        <v>-2.4293219624601074E-2</v>
      </c>
    </row>
    <row r="3481" spans="1:7" x14ac:dyDescent="0.35">
      <c r="A3481" t="s">
        <v>182</v>
      </c>
      <c r="E3481">
        <v>-6.2421858658488674E-3</v>
      </c>
      <c r="F3481">
        <f t="shared" si="119"/>
        <v>-1.4574316395469271E-2</v>
      </c>
      <c r="G3481">
        <f t="shared" si="118"/>
        <v>-2.4900864505673533E-2</v>
      </c>
    </row>
    <row r="3482" spans="1:7" x14ac:dyDescent="0.35">
      <c r="A3482" t="s">
        <v>182</v>
      </c>
      <c r="E3482">
        <v>3.1513199447016252E-3</v>
      </c>
      <c r="F3482">
        <f t="shared" si="119"/>
        <v>-1.4577731263496803E-2</v>
      </c>
      <c r="G3482">
        <f t="shared" si="118"/>
        <v>-2.4900864505673533E-2</v>
      </c>
    </row>
    <row r="3483" spans="1:7" x14ac:dyDescent="0.35">
      <c r="A3483" t="s">
        <v>182</v>
      </c>
      <c r="E3483">
        <v>-3.4843129089043317E-4</v>
      </c>
      <c r="F3483">
        <f t="shared" si="119"/>
        <v>-1.4581146131524335E-2</v>
      </c>
      <c r="G3483">
        <f t="shared" si="118"/>
        <v>-2.4900864505673533E-2</v>
      </c>
    </row>
    <row r="3484" spans="1:7" x14ac:dyDescent="0.35">
      <c r="A3484" t="s">
        <v>182</v>
      </c>
      <c r="E3484">
        <v>-1.978213806416104E-3</v>
      </c>
      <c r="F3484">
        <f t="shared" si="119"/>
        <v>-1.4584560999551868E-2</v>
      </c>
      <c r="G3484">
        <f t="shared" si="118"/>
        <v>-2.4900864505673533E-2</v>
      </c>
    </row>
    <row r="3485" spans="1:7" x14ac:dyDescent="0.35">
      <c r="A3485" t="s">
        <v>182</v>
      </c>
      <c r="E3485">
        <v>-7.4947523662822015E-4</v>
      </c>
      <c r="F3485">
        <f t="shared" si="119"/>
        <v>-1.45879758675794E-2</v>
      </c>
      <c r="G3485">
        <f t="shared" si="118"/>
        <v>-2.4900864505673533E-2</v>
      </c>
    </row>
    <row r="3486" spans="1:7" x14ac:dyDescent="0.35">
      <c r="A3486" t="s">
        <v>182</v>
      </c>
      <c r="E3486">
        <v>1.5270974309758325E-3</v>
      </c>
      <c r="F3486">
        <f t="shared" si="119"/>
        <v>-1.4591390735606934E-2</v>
      </c>
      <c r="G3486">
        <f t="shared" si="118"/>
        <v>-2.4900864505673533E-2</v>
      </c>
    </row>
    <row r="3487" spans="1:7" x14ac:dyDescent="0.35">
      <c r="A3487" t="s">
        <v>182</v>
      </c>
      <c r="E3487">
        <v>-3.0964022456984345E-3</v>
      </c>
      <c r="F3487">
        <f t="shared" si="119"/>
        <v>-1.4594805603634466E-2</v>
      </c>
      <c r="G3487">
        <f t="shared" si="118"/>
        <v>-2.4900864505673533E-2</v>
      </c>
    </row>
    <row r="3488" spans="1:7" x14ac:dyDescent="0.35">
      <c r="A3488" t="s">
        <v>182</v>
      </c>
      <c r="E3488">
        <v>1.5626697824154458E-3</v>
      </c>
      <c r="F3488">
        <f t="shared" si="119"/>
        <v>-1.4598220471662E-2</v>
      </c>
      <c r="G3488">
        <f t="shared" si="118"/>
        <v>-2.4900864505673533E-2</v>
      </c>
    </row>
    <row r="3489" spans="1:38" x14ac:dyDescent="0.35">
      <c r="A3489" t="s">
        <v>183</v>
      </c>
      <c r="B3489" s="3" cm="1">
        <f t="array" ref="B3489">_xlfn.STDEV.S(_xlfn._xlws.FILTER($E$2826:$E$3824, $A$2826:$A$3824="2024-01"))</f>
        <v>7.9957289154276058E-3</v>
      </c>
      <c r="C3489" s="3" cm="1">
        <f t="array" ref="C3489">AVERAGE(_xlfn._xlws.FILTER($E$2826:$E$3824, $A$2826:$A$3824="2024-01"))</f>
        <v>1.2587521449442876E-3</v>
      </c>
      <c r="D3489" s="3" cm="1">
        <f t="array" ref="D3489">_xlfn.PERCENTILE.EXC(_xlfn._xlws.FILTER($E$2490:$E$3818, $A$2490:$A$3818="2024-01"), 0.05)</f>
        <v>-1.3743084203833864E-2</v>
      </c>
      <c r="E3489">
        <v>-1.9105078174693401E-3</v>
      </c>
      <c r="F3489">
        <f t="shared" si="119"/>
        <v>-1.4601635339689532E-2</v>
      </c>
      <c r="G3489">
        <f t="shared" si="118"/>
        <v>-2.4900864505673533E-2</v>
      </c>
      <c r="AI3489" s="3"/>
      <c r="AJ3489" s="3"/>
      <c r="AK3489" s="3"/>
      <c r="AL3489" s="3"/>
    </row>
    <row r="3490" spans="1:38" x14ac:dyDescent="0.35">
      <c r="A3490" t="s">
        <v>183</v>
      </c>
      <c r="E3490">
        <v>-1.4436236220440523E-2</v>
      </c>
      <c r="F3490">
        <f t="shared" si="119"/>
        <v>-1.4605050207717065E-2</v>
      </c>
      <c r="G3490">
        <f t="shared" si="118"/>
        <v>-2.4900864505673533E-2</v>
      </c>
    </row>
    <row r="3491" spans="1:38" x14ac:dyDescent="0.35">
      <c r="A3491" t="s">
        <v>183</v>
      </c>
      <c r="E3491">
        <v>5.8013150618862249E-3</v>
      </c>
      <c r="F3491">
        <f t="shared" si="119"/>
        <v>-1.4608465075744599E-2</v>
      </c>
      <c r="G3491">
        <f t="shared" si="118"/>
        <v>-2.4900864505673533E-2</v>
      </c>
    </row>
    <row r="3492" spans="1:38" x14ac:dyDescent="0.35">
      <c r="A3492" t="s">
        <v>183</v>
      </c>
      <c r="E3492">
        <v>-2.3496461727038989E-3</v>
      </c>
      <c r="F3492">
        <f t="shared" si="119"/>
        <v>-1.4611879943772131E-2</v>
      </c>
      <c r="G3492">
        <f t="shared" si="118"/>
        <v>-2.4900864505673533E-2</v>
      </c>
    </row>
    <row r="3493" spans="1:38" x14ac:dyDescent="0.35">
      <c r="A3493" t="s">
        <v>183</v>
      </c>
      <c r="E3493">
        <v>4.9100611664544443E-3</v>
      </c>
      <c r="F3493">
        <f t="shared" si="119"/>
        <v>-1.4615294811799663E-2</v>
      </c>
      <c r="G3493">
        <f t="shared" si="118"/>
        <v>-2.4900864505673533E-2</v>
      </c>
    </row>
    <row r="3494" spans="1:38" x14ac:dyDescent="0.35">
      <c r="A3494" t="s">
        <v>183</v>
      </c>
      <c r="E3494">
        <v>-4.0904146882679215E-3</v>
      </c>
      <c r="F3494">
        <f t="shared" si="119"/>
        <v>-1.4618709679827197E-2</v>
      </c>
      <c r="G3494">
        <f t="shared" si="118"/>
        <v>-2.4900864505673533E-2</v>
      </c>
    </row>
    <row r="3495" spans="1:38" x14ac:dyDescent="0.35">
      <c r="A3495" t="s">
        <v>183</v>
      </c>
      <c r="E3495">
        <v>4.0509615992380431E-4</v>
      </c>
      <c r="F3495">
        <f t="shared" si="119"/>
        <v>-1.4622124547854731E-2</v>
      </c>
      <c r="G3495">
        <f t="shared" si="118"/>
        <v>-2.4900864505673533E-2</v>
      </c>
    </row>
    <row r="3496" spans="1:38" x14ac:dyDescent="0.35">
      <c r="A3496" t="s">
        <v>183</v>
      </c>
      <c r="E3496">
        <v>-5.9924365124874321E-3</v>
      </c>
      <c r="F3496">
        <f t="shared" si="119"/>
        <v>-1.4625539415882263E-2</v>
      </c>
      <c r="G3496">
        <f t="shared" si="118"/>
        <v>-2.4900864505673533E-2</v>
      </c>
    </row>
    <row r="3497" spans="1:38" x14ac:dyDescent="0.35">
      <c r="A3497" t="s">
        <v>183</v>
      </c>
      <c r="E3497">
        <v>8.4597525479408776E-3</v>
      </c>
      <c r="F3497">
        <f t="shared" si="119"/>
        <v>-1.4628954283909795E-2</v>
      </c>
      <c r="G3497">
        <f t="shared" si="118"/>
        <v>-2.4900864505673533E-2</v>
      </c>
    </row>
    <row r="3498" spans="1:38" x14ac:dyDescent="0.35">
      <c r="A3498" t="s">
        <v>183</v>
      </c>
      <c r="E3498">
        <v>-5.6722817648886406E-3</v>
      </c>
      <c r="F3498">
        <f t="shared" si="119"/>
        <v>-1.4632369151937328E-2</v>
      </c>
      <c r="G3498">
        <f t="shared" si="118"/>
        <v>-2.4900864505673533E-2</v>
      </c>
    </row>
    <row r="3499" spans="1:38" x14ac:dyDescent="0.35">
      <c r="A3499" t="s">
        <v>183</v>
      </c>
      <c r="E3499">
        <v>-1.8357101228697991E-3</v>
      </c>
      <c r="F3499">
        <f t="shared" si="119"/>
        <v>-1.463578401996486E-2</v>
      </c>
      <c r="G3499">
        <f t="shared" si="118"/>
        <v>-2.4900864505673533E-2</v>
      </c>
    </row>
    <row r="3500" spans="1:38" x14ac:dyDescent="0.35">
      <c r="A3500" t="s">
        <v>183</v>
      </c>
      <c r="E3500">
        <v>-9.8152227763961351E-3</v>
      </c>
      <c r="F3500">
        <f t="shared" si="119"/>
        <v>-1.4639198887992394E-2</v>
      </c>
      <c r="G3500">
        <f t="shared" si="118"/>
        <v>-2.4900864505673533E-2</v>
      </c>
    </row>
    <row r="3501" spans="1:38" x14ac:dyDescent="0.35">
      <c r="A3501" t="s">
        <v>183</v>
      </c>
      <c r="E3501">
        <v>1.128495862339683E-2</v>
      </c>
      <c r="F3501">
        <f t="shared" si="119"/>
        <v>-1.4657387279219395E-2</v>
      </c>
      <c r="G3501">
        <f t="shared" si="118"/>
        <v>-2.5584975546852275E-2</v>
      </c>
    </row>
    <row r="3502" spans="1:38" x14ac:dyDescent="0.35">
      <c r="A3502" t="s">
        <v>183</v>
      </c>
      <c r="E3502">
        <v>-9.4811440192879776E-4</v>
      </c>
      <c r="F3502">
        <f t="shared" si="119"/>
        <v>-1.4675575670446398E-2</v>
      </c>
      <c r="G3502">
        <f t="shared" si="118"/>
        <v>-2.5584975546852275E-2</v>
      </c>
    </row>
    <row r="3503" spans="1:38" x14ac:dyDescent="0.35">
      <c r="A3503" t="s">
        <v>183</v>
      </c>
      <c r="E3503">
        <v>7.0533321874665048E-3</v>
      </c>
      <c r="F3503">
        <f t="shared" si="119"/>
        <v>-1.4693764061673399E-2</v>
      </c>
      <c r="G3503">
        <f t="shared" si="118"/>
        <v>-2.5584975546852275E-2</v>
      </c>
    </row>
    <row r="3504" spans="1:38" x14ac:dyDescent="0.35">
      <c r="A3504" t="s">
        <v>183</v>
      </c>
      <c r="E3504">
        <v>-3.2214714940483583E-3</v>
      </c>
      <c r="F3504">
        <f t="shared" si="119"/>
        <v>-1.47119524529004E-2</v>
      </c>
      <c r="G3504">
        <f t="shared" si="118"/>
        <v>-2.5584975546852275E-2</v>
      </c>
    </row>
    <row r="3505" spans="1:38" x14ac:dyDescent="0.35">
      <c r="A3505" t="s">
        <v>183</v>
      </c>
      <c r="E3505">
        <v>2.1750532421219708E-2</v>
      </c>
      <c r="F3505">
        <f t="shared" si="119"/>
        <v>-1.4730140844127403E-2</v>
      </c>
      <c r="G3505">
        <f t="shared" si="118"/>
        <v>-2.5584975546852275E-2</v>
      </c>
    </row>
    <row r="3506" spans="1:38" x14ac:dyDescent="0.35">
      <c r="A3506" t="s">
        <v>183</v>
      </c>
      <c r="E3506">
        <v>3.9687928268504697E-3</v>
      </c>
      <c r="F3506">
        <f t="shared" si="119"/>
        <v>-1.4748329235354404E-2</v>
      </c>
      <c r="G3506">
        <f t="shared" si="118"/>
        <v>-2.5584975546852275E-2</v>
      </c>
    </row>
    <row r="3507" spans="1:38" x14ac:dyDescent="0.35">
      <c r="A3507" t="s">
        <v>183</v>
      </c>
      <c r="E3507">
        <v>1.1545270048747378E-2</v>
      </c>
      <c r="F3507">
        <f t="shared" si="119"/>
        <v>-1.4766517626581405E-2</v>
      </c>
      <c r="G3507">
        <f t="shared" si="118"/>
        <v>-2.5584975546852275E-2</v>
      </c>
    </row>
    <row r="3508" spans="1:38" x14ac:dyDescent="0.35">
      <c r="A3508" t="s">
        <v>183</v>
      </c>
      <c r="E3508">
        <v>8.3882944012858888E-4</v>
      </c>
      <c r="F3508">
        <f t="shared" si="119"/>
        <v>-1.4784706017808406E-2</v>
      </c>
      <c r="G3508">
        <f t="shared" si="118"/>
        <v>-2.5584975546852275E-2</v>
      </c>
    </row>
    <row r="3509" spans="1:38" x14ac:dyDescent="0.35">
      <c r="A3509" t="s">
        <v>183</v>
      </c>
      <c r="E3509">
        <v>5.0182538019887795E-3</v>
      </c>
      <c r="F3509">
        <f t="shared" si="119"/>
        <v>-1.4802894409035408E-2</v>
      </c>
      <c r="G3509">
        <f t="shared" si="118"/>
        <v>-2.5584975546852275E-2</v>
      </c>
    </row>
    <row r="3510" spans="1:38" x14ac:dyDescent="0.35">
      <c r="A3510" t="s">
        <v>183</v>
      </c>
      <c r="E3510">
        <v>-3.0716051257284388E-3</v>
      </c>
      <c r="F3510">
        <f t="shared" si="119"/>
        <v>-1.4821082800262411E-2</v>
      </c>
      <c r="G3510">
        <f t="shared" si="118"/>
        <v>-2.5584975546852275E-2</v>
      </c>
    </row>
    <row r="3511" spans="1:38" x14ac:dyDescent="0.35">
      <c r="A3511" t="s">
        <v>184</v>
      </c>
      <c r="B3511" s="3" cm="1">
        <f t="array" ref="B3511">_xlfn.STDEV.S(_xlfn._xlws.FILTER($E$2826:$E$3824, $A$2826:$A$3824="2024-02"))</f>
        <v>5.5723557473640979E-3</v>
      </c>
      <c r="C3511" s="3" cm="1">
        <f t="array" ref="C3511">AVERAGE(_xlfn._xlws.FILTER($E$2826:$E$3824, $A$2826:$A$3824="2024-02"))</f>
        <v>2.2935749449535447E-3</v>
      </c>
      <c r="D3511" s="3" cm="1">
        <f t="array" ref="D3511">_xlfn.PERCENTILE.EXC(_xlfn._xlws.FILTER($E$2490:$E$3818, $A$2490:$A$3818="2024-02"), 0.05)</f>
        <v>-1.114373546024738E-2</v>
      </c>
      <c r="E3511">
        <v>-2.1104777942344347E-3</v>
      </c>
      <c r="F3511">
        <f t="shared" si="119"/>
        <v>-1.4839271191489412E-2</v>
      </c>
      <c r="G3511">
        <f t="shared" si="118"/>
        <v>-2.5584975546852275E-2</v>
      </c>
      <c r="AI3511" s="3"/>
      <c r="AJ3511" s="3"/>
      <c r="AK3511" s="3"/>
      <c r="AL3511" s="3"/>
    </row>
    <row r="3512" spans="1:38" x14ac:dyDescent="0.35">
      <c r="A3512" t="s">
        <v>184</v>
      </c>
      <c r="E3512">
        <v>3.4326392367677225E-3</v>
      </c>
      <c r="F3512">
        <f t="shared" si="119"/>
        <v>-1.4857459582716413E-2</v>
      </c>
      <c r="G3512">
        <f t="shared" si="118"/>
        <v>-2.5584975546852275E-2</v>
      </c>
    </row>
    <row r="3513" spans="1:38" x14ac:dyDescent="0.35">
      <c r="A3513" t="s">
        <v>184</v>
      </c>
      <c r="E3513">
        <v>1.5467538608388983E-4</v>
      </c>
      <c r="F3513">
        <f t="shared" si="119"/>
        <v>-1.4875647973943414E-2</v>
      </c>
      <c r="G3513">
        <f t="shared" si="118"/>
        <v>-2.5584975546852275E-2</v>
      </c>
    </row>
    <row r="3514" spans="1:38" x14ac:dyDescent="0.35">
      <c r="A3514" t="s">
        <v>184</v>
      </c>
      <c r="E3514">
        <v>7.6181551258921575E-3</v>
      </c>
      <c r="F3514">
        <f t="shared" si="119"/>
        <v>-1.4893836365170417E-2</v>
      </c>
      <c r="G3514">
        <f t="shared" si="118"/>
        <v>-2.5584975546852275E-2</v>
      </c>
    </row>
    <row r="3515" spans="1:38" x14ac:dyDescent="0.35">
      <c r="A3515" t="s">
        <v>184</v>
      </c>
      <c r="E3515">
        <v>-2.565713082963818E-3</v>
      </c>
      <c r="F3515">
        <f t="shared" si="119"/>
        <v>-1.4912024756397418E-2</v>
      </c>
      <c r="G3515">
        <f t="shared" si="118"/>
        <v>-2.5584975546852275E-2</v>
      </c>
    </row>
    <row r="3516" spans="1:38" x14ac:dyDescent="0.35">
      <c r="A3516" t="s">
        <v>184</v>
      </c>
      <c r="E3516">
        <v>6.8011461747307647E-3</v>
      </c>
      <c r="F3516">
        <f t="shared" si="119"/>
        <v>-1.4930213147624419E-2</v>
      </c>
      <c r="G3516">
        <f t="shared" si="118"/>
        <v>-2.5584975546852275E-2</v>
      </c>
    </row>
    <row r="3517" spans="1:38" x14ac:dyDescent="0.35">
      <c r="A3517" t="s">
        <v>184</v>
      </c>
      <c r="E3517">
        <v>1.0799171486524258E-3</v>
      </c>
      <c r="F3517">
        <f t="shared" si="119"/>
        <v>-1.4948401538851422E-2</v>
      </c>
      <c r="G3517">
        <f t="shared" si="118"/>
        <v>-2.5584975546852275E-2</v>
      </c>
    </row>
    <row r="3518" spans="1:38" x14ac:dyDescent="0.35">
      <c r="A3518" t="s">
        <v>184</v>
      </c>
      <c r="E3518">
        <v>6.4424850456206726E-3</v>
      </c>
      <c r="F3518">
        <f t="shared" si="119"/>
        <v>-1.4966589930078423E-2</v>
      </c>
      <c r="G3518">
        <f t="shared" si="118"/>
        <v>-2.5584975546852275E-2</v>
      </c>
    </row>
    <row r="3519" spans="1:38" x14ac:dyDescent="0.35">
      <c r="A3519" t="s">
        <v>184</v>
      </c>
      <c r="E3519">
        <v>-1.2096849057723333E-2</v>
      </c>
      <c r="F3519">
        <f t="shared" si="119"/>
        <v>-1.4984778321305426E-2</v>
      </c>
      <c r="G3519">
        <f t="shared" si="118"/>
        <v>-2.5584975546852275E-2</v>
      </c>
    </row>
    <row r="3520" spans="1:38" x14ac:dyDescent="0.35">
      <c r="A3520" t="s">
        <v>184</v>
      </c>
      <c r="E3520">
        <v>4.2432366693398345E-3</v>
      </c>
      <c r="F3520">
        <f t="shared" si="119"/>
        <v>-1.5002966712532427E-2</v>
      </c>
      <c r="G3520">
        <f t="shared" si="118"/>
        <v>-2.5584975546852275E-2</v>
      </c>
    </row>
    <row r="3521" spans="1:38" x14ac:dyDescent="0.35">
      <c r="A3521" t="s">
        <v>184</v>
      </c>
      <c r="E3521">
        <v>7.18339932828462E-3</v>
      </c>
      <c r="F3521">
        <f t="shared" si="119"/>
        <v>-1.5037443624287605E-2</v>
      </c>
      <c r="G3521">
        <f t="shared" si="118"/>
        <v>-2.6340833320732258E-2</v>
      </c>
    </row>
    <row r="3522" spans="1:38" x14ac:dyDescent="0.35">
      <c r="A3522" t="s">
        <v>184</v>
      </c>
      <c r="E3522">
        <v>4.7282505885875691E-3</v>
      </c>
      <c r="F3522">
        <f t="shared" si="119"/>
        <v>-1.5071920536042787E-2</v>
      </c>
      <c r="G3522">
        <f t="shared" si="118"/>
        <v>-2.6340833320732258E-2</v>
      </c>
    </row>
    <row r="3523" spans="1:38" x14ac:dyDescent="0.35">
      <c r="A3523" t="s">
        <v>184</v>
      </c>
      <c r="E3523">
        <v>-5.4152080511284009E-4</v>
      </c>
      <c r="F3523">
        <f t="shared" si="119"/>
        <v>-1.5106397447797966E-2</v>
      </c>
      <c r="G3523">
        <f t="shared" ref="G3523:G3586" si="120">AVERAGEIFS(E3523:E7339,E3523:E7339,"&lt;=" &amp; F3523)</f>
        <v>-2.6340833320732258E-2</v>
      </c>
    </row>
    <row r="3524" spans="1:38" x14ac:dyDescent="0.35">
      <c r="A3524" t="s">
        <v>184</v>
      </c>
      <c r="E3524">
        <v>-5.8592828780209736E-4</v>
      </c>
      <c r="F3524">
        <f t="shared" ref="F3524:F3587" si="121">_xlfn.PERCENTILE.EXC(E3524:E7339,0.05)</f>
        <v>-1.5140874359553146E-2</v>
      </c>
      <c r="G3524">
        <f t="shared" si="120"/>
        <v>-2.6340833320732258E-2</v>
      </c>
    </row>
    <row r="3525" spans="1:38" x14ac:dyDescent="0.35">
      <c r="A3525" t="s">
        <v>184</v>
      </c>
      <c r="E3525">
        <v>3.1524032486506038E-3</v>
      </c>
      <c r="F3525">
        <f t="shared" si="121"/>
        <v>-1.5175351271308328E-2</v>
      </c>
      <c r="G3525">
        <f t="shared" si="120"/>
        <v>-2.6340833320732258E-2</v>
      </c>
    </row>
    <row r="3526" spans="1:38" x14ac:dyDescent="0.35">
      <c r="A3526" t="s">
        <v>184</v>
      </c>
      <c r="E3526">
        <v>1.6624356063384228E-2</v>
      </c>
      <c r="F3526">
        <f t="shared" si="121"/>
        <v>-1.5209828183063507E-2</v>
      </c>
      <c r="G3526">
        <f t="shared" si="120"/>
        <v>-2.6340833320732258E-2</v>
      </c>
    </row>
    <row r="3527" spans="1:38" x14ac:dyDescent="0.35">
      <c r="A3527" t="s">
        <v>184</v>
      </c>
      <c r="E3527">
        <v>3.5382692833583586E-3</v>
      </c>
      <c r="F3527">
        <f t="shared" si="121"/>
        <v>-1.5244305094818687E-2</v>
      </c>
      <c r="G3527">
        <f t="shared" si="120"/>
        <v>-2.6340833320732258E-2</v>
      </c>
    </row>
    <row r="3528" spans="1:38" x14ac:dyDescent="0.35">
      <c r="A3528" t="s">
        <v>184</v>
      </c>
      <c r="E3528">
        <v>-1.7007540410089162E-3</v>
      </c>
      <c r="F3528">
        <f t="shared" si="121"/>
        <v>-1.5278782006573868E-2</v>
      </c>
      <c r="G3528">
        <f t="shared" si="120"/>
        <v>-2.6340833320732258E-2</v>
      </c>
    </row>
    <row r="3529" spans="1:38" x14ac:dyDescent="0.35">
      <c r="A3529" t="s">
        <v>184</v>
      </c>
      <c r="E3529">
        <v>4.3999935602019417E-3</v>
      </c>
      <c r="F3529">
        <f t="shared" si="121"/>
        <v>-1.5313258918329048E-2</v>
      </c>
      <c r="G3529">
        <f t="shared" si="120"/>
        <v>-2.6340833320732258E-2</v>
      </c>
    </row>
    <row r="3530" spans="1:38" x14ac:dyDescent="0.35">
      <c r="A3530" t="s">
        <v>184</v>
      </c>
      <c r="E3530">
        <v>-4.0329556481346864E-4</v>
      </c>
      <c r="F3530">
        <f t="shared" si="121"/>
        <v>-1.5347735830084228E-2</v>
      </c>
      <c r="G3530">
        <f t="shared" si="120"/>
        <v>-2.6340833320732258E-2</v>
      </c>
    </row>
    <row r="3531" spans="1:38" x14ac:dyDescent="0.35">
      <c r="A3531" t="s">
        <v>184</v>
      </c>
      <c r="E3531">
        <v>-1.229314381871439E-3</v>
      </c>
      <c r="F3531">
        <f t="shared" si="121"/>
        <v>-1.5382212741839409E-2</v>
      </c>
      <c r="G3531">
        <f t="shared" si="120"/>
        <v>-2.6340833320732258E-2</v>
      </c>
    </row>
    <row r="3532" spans="1:38" x14ac:dyDescent="0.35">
      <c r="A3532" t="s">
        <v>185</v>
      </c>
      <c r="B3532" s="3" cm="1">
        <f t="array" ref="B3532">_xlfn.STDEV.S(_xlfn._xlws.FILTER($E$2826:$E$3824, $A$2826:$A$3824="2024-03"))</f>
        <v>5.0327459759840964E-3</v>
      </c>
      <c r="C3532" s="3" cm="1">
        <f t="array" ref="C3532">AVERAGE(_xlfn._xlws.FILTER($E$2826:$E$3824, $A$2826:$A$3824="2024-03"))</f>
        <v>2.0648057604848932E-3</v>
      </c>
      <c r="D3532" s="3" cm="1">
        <f t="array" ref="D3532">_xlfn.PERCENTILE.EXC(_xlfn._xlws.FILTER($E$2490:$E$3818, $A$2490:$A$3818="2024-03"), 0.05)</f>
        <v>-6.1049113650892932E-3</v>
      </c>
      <c r="E3532">
        <v>3.497526749992617E-3</v>
      </c>
      <c r="F3532">
        <f t="shared" si="121"/>
        <v>-1.5416689653594589E-2</v>
      </c>
      <c r="G3532">
        <f t="shared" si="120"/>
        <v>-2.6340833320732258E-2</v>
      </c>
      <c r="AI3532" s="3"/>
      <c r="AJ3532" s="3"/>
      <c r="AK3532" s="3"/>
      <c r="AL3532" s="3"/>
    </row>
    <row r="3533" spans="1:38" x14ac:dyDescent="0.35">
      <c r="A3533" t="s">
        <v>185</v>
      </c>
      <c r="E3533">
        <v>3.6827947633973992E-3</v>
      </c>
      <c r="F3533">
        <f t="shared" si="121"/>
        <v>-1.5451166565349769E-2</v>
      </c>
      <c r="G3533">
        <f t="shared" si="120"/>
        <v>-2.6340833320732258E-2</v>
      </c>
    </row>
    <row r="3534" spans="1:38" x14ac:dyDescent="0.35">
      <c r="A3534" t="s">
        <v>185</v>
      </c>
      <c r="E3534">
        <v>-4.0485513676957047E-3</v>
      </c>
      <c r="F3534">
        <f t="shared" si="121"/>
        <v>-1.548564347710495E-2</v>
      </c>
      <c r="G3534">
        <f t="shared" si="120"/>
        <v>-2.6340833320732258E-2</v>
      </c>
    </row>
    <row r="3535" spans="1:38" x14ac:dyDescent="0.35">
      <c r="A3535" t="s">
        <v>185</v>
      </c>
      <c r="E3535">
        <v>4.5715250854333669E-3</v>
      </c>
      <c r="F3535">
        <f t="shared" si="121"/>
        <v>-1.552012038886013E-2</v>
      </c>
      <c r="G3535">
        <f t="shared" si="120"/>
        <v>-2.6340833320732258E-2</v>
      </c>
    </row>
    <row r="3536" spans="1:38" x14ac:dyDescent="0.35">
      <c r="A3536" t="s">
        <v>185</v>
      </c>
      <c r="E3536">
        <v>1.1877130957341739E-2</v>
      </c>
      <c r="F3536">
        <f t="shared" si="121"/>
        <v>-1.555459730061531E-2</v>
      </c>
      <c r="G3536">
        <f t="shared" si="120"/>
        <v>-2.6340833320732258E-2</v>
      </c>
    </row>
    <row r="3537" spans="1:38" x14ac:dyDescent="0.35">
      <c r="A3537" t="s">
        <v>185</v>
      </c>
      <c r="E3537">
        <v>-2.6390683769768634E-3</v>
      </c>
      <c r="F3537">
        <f t="shared" si="121"/>
        <v>-1.5589074212370491E-2</v>
      </c>
      <c r="G3537">
        <f t="shared" si="120"/>
        <v>-2.6340833320732258E-2</v>
      </c>
    </row>
    <row r="3538" spans="1:38" x14ac:dyDescent="0.35">
      <c r="A3538" t="s">
        <v>185</v>
      </c>
      <c r="E3538">
        <v>-6.2053288984220169E-3</v>
      </c>
      <c r="F3538">
        <f t="shared" si="121"/>
        <v>-1.5623551124125671E-2</v>
      </c>
      <c r="G3538">
        <f t="shared" si="120"/>
        <v>-2.6340833320732258E-2</v>
      </c>
    </row>
    <row r="3539" spans="1:38" x14ac:dyDescent="0.35">
      <c r="A3539" t="s">
        <v>185</v>
      </c>
      <c r="E3539">
        <v>1.0648077834123046E-2</v>
      </c>
      <c r="F3539">
        <f t="shared" si="121"/>
        <v>-1.5658028035880851E-2</v>
      </c>
      <c r="G3539">
        <f t="shared" si="120"/>
        <v>-2.6340833320732258E-2</v>
      </c>
    </row>
    <row r="3540" spans="1:38" x14ac:dyDescent="0.35">
      <c r="A3540" t="s">
        <v>185</v>
      </c>
      <c r="E3540">
        <v>3.4756514267452561E-3</v>
      </c>
      <c r="F3540">
        <f t="shared" si="121"/>
        <v>-1.5692504947636032E-2</v>
      </c>
      <c r="G3540">
        <f t="shared" si="120"/>
        <v>-2.6340833320732258E-2</v>
      </c>
    </row>
    <row r="3541" spans="1:38" x14ac:dyDescent="0.35">
      <c r="A3541" t="s">
        <v>185</v>
      </c>
      <c r="E3541">
        <v>-1.486941507769298E-3</v>
      </c>
      <c r="F3541">
        <f t="shared" si="121"/>
        <v>-1.5703725819612394E-2</v>
      </c>
      <c r="G3541">
        <f t="shared" si="120"/>
        <v>-2.7159935503278124E-2</v>
      </c>
    </row>
    <row r="3542" spans="1:38" x14ac:dyDescent="0.35">
      <c r="A3542" t="s">
        <v>185</v>
      </c>
      <c r="E3542">
        <v>-1.4229685520053405E-3</v>
      </c>
      <c r="F3542">
        <f t="shared" si="121"/>
        <v>-1.5714946691588755E-2</v>
      </c>
      <c r="G3542">
        <f t="shared" si="120"/>
        <v>-2.7159935503278124E-2</v>
      </c>
    </row>
    <row r="3543" spans="1:38" x14ac:dyDescent="0.35">
      <c r="A3543" t="s">
        <v>185</v>
      </c>
      <c r="E3543">
        <v>-6.5404194218578594E-4</v>
      </c>
      <c r="F3543">
        <f t="shared" si="121"/>
        <v>-1.5726167563565114E-2</v>
      </c>
      <c r="G3543">
        <f t="shared" si="120"/>
        <v>-2.7159935503278124E-2</v>
      </c>
    </row>
    <row r="3544" spans="1:38" x14ac:dyDescent="0.35">
      <c r="A3544" t="s">
        <v>185</v>
      </c>
      <c r="E3544">
        <v>5.036704846726533E-3</v>
      </c>
      <c r="F3544">
        <f t="shared" si="121"/>
        <v>-1.5737388435541476E-2</v>
      </c>
      <c r="G3544">
        <f t="shared" si="120"/>
        <v>-2.7159935503278124E-2</v>
      </c>
    </row>
    <row r="3545" spans="1:38" x14ac:dyDescent="0.35">
      <c r="A3545" t="s">
        <v>185</v>
      </c>
      <c r="E3545">
        <v>-1.5207487171302334E-3</v>
      </c>
      <c r="F3545">
        <f t="shared" si="121"/>
        <v>-1.5748609307517838E-2</v>
      </c>
      <c r="G3545">
        <f t="shared" si="120"/>
        <v>-2.7159935503278124E-2</v>
      </c>
    </row>
    <row r="3546" spans="1:38" x14ac:dyDescent="0.35">
      <c r="A3546" t="s">
        <v>185</v>
      </c>
      <c r="E3546">
        <v>1.0345653930400557E-2</v>
      </c>
      <c r="F3546">
        <f t="shared" si="121"/>
        <v>-1.57598301794942E-2</v>
      </c>
      <c r="G3546">
        <f t="shared" si="120"/>
        <v>-2.7159935503278124E-2</v>
      </c>
    </row>
    <row r="3547" spans="1:38" x14ac:dyDescent="0.35">
      <c r="A3547" t="s">
        <v>185</v>
      </c>
      <c r="E3547">
        <v>-4.1969782317675527E-3</v>
      </c>
      <c r="F3547">
        <f t="shared" si="121"/>
        <v>-1.5771051051470562E-2</v>
      </c>
      <c r="G3547">
        <f t="shared" si="120"/>
        <v>-2.7159935503278124E-2</v>
      </c>
    </row>
    <row r="3548" spans="1:38" x14ac:dyDescent="0.35">
      <c r="A3548" t="s">
        <v>185</v>
      </c>
      <c r="E3548">
        <v>2.5884996994692331E-3</v>
      </c>
      <c r="F3548">
        <f t="shared" si="121"/>
        <v>-1.578227192344692E-2</v>
      </c>
      <c r="G3548">
        <f t="shared" si="120"/>
        <v>-2.7159935503278124E-2</v>
      </c>
    </row>
    <row r="3549" spans="1:38" x14ac:dyDescent="0.35">
      <c r="A3549" t="s">
        <v>185</v>
      </c>
      <c r="E3549">
        <v>3.9551433235801769E-3</v>
      </c>
      <c r="F3549">
        <f t="shared" si="121"/>
        <v>-1.5793492795423282E-2</v>
      </c>
      <c r="G3549">
        <f t="shared" si="120"/>
        <v>-2.7159935503278124E-2</v>
      </c>
    </row>
    <row r="3550" spans="1:38" x14ac:dyDescent="0.35">
      <c r="A3550" t="s">
        <v>185</v>
      </c>
      <c r="E3550">
        <v>3.4614933950913519E-3</v>
      </c>
      <c r="F3550">
        <f t="shared" si="121"/>
        <v>-1.5804713667399644E-2</v>
      </c>
      <c r="G3550">
        <f t="shared" si="120"/>
        <v>-2.7159935503278124E-2</v>
      </c>
    </row>
    <row r="3551" spans="1:38" x14ac:dyDescent="0.35">
      <c r="A3551" t="s">
        <v>185</v>
      </c>
      <c r="E3551">
        <v>3.3054079134937865E-4</v>
      </c>
      <c r="F3551">
        <f t="shared" si="121"/>
        <v>-1.5815934539376006E-2</v>
      </c>
      <c r="G3551">
        <f t="shared" si="120"/>
        <v>-2.7159935503278124E-2</v>
      </c>
    </row>
    <row r="3552" spans="1:38" x14ac:dyDescent="0.35">
      <c r="A3552" t="s">
        <v>186</v>
      </c>
      <c r="B3552" s="3" cm="1">
        <f t="array" ref="B3552">_xlfn.STDEV.S(_xlfn._xlws.FILTER($E$2826:$E$3824, $A$2826:$A$3824="2024-04"))</f>
        <v>8.1823254718006756E-3</v>
      </c>
      <c r="C3552" s="3" cm="1">
        <f t="array" ref="C3552">AVERAGE(_xlfn._xlws.FILTER($E$2826:$E$3824, $A$2826:$A$3824="2024-04"))</f>
        <v>-1.5441807702507417E-3</v>
      </c>
      <c r="D3552" s="3" cm="1">
        <f t="array" ref="D3552">_xlfn.PERCENTILE.EXC(_xlfn._xlws.FILTER($E$2490:$E$3818, $A$2490:$A$3818="2024-04"), 0.05)</f>
        <v>-1.3478504864409262E-2</v>
      </c>
      <c r="E3552">
        <v>-8.181434654575168E-3</v>
      </c>
      <c r="F3552">
        <f t="shared" si="121"/>
        <v>-1.5827155411352368E-2</v>
      </c>
      <c r="G3552">
        <f t="shared" si="120"/>
        <v>-2.7159935503278124E-2</v>
      </c>
      <c r="AI3552" s="3"/>
      <c r="AJ3552" s="3"/>
      <c r="AK3552" s="3"/>
      <c r="AL3552" s="3"/>
    </row>
    <row r="3553" spans="1:7" x14ac:dyDescent="0.35">
      <c r="A3553" t="s">
        <v>186</v>
      </c>
      <c r="E3553">
        <v>5.3900489007081701E-3</v>
      </c>
      <c r="F3553">
        <f t="shared" si="121"/>
        <v>-1.5838376283328726E-2</v>
      </c>
      <c r="G3553">
        <f t="shared" si="120"/>
        <v>-2.7159935503278124E-2</v>
      </c>
    </row>
    <row r="3554" spans="1:7" x14ac:dyDescent="0.35">
      <c r="A3554" t="s">
        <v>186</v>
      </c>
      <c r="E3554">
        <v>2.9783008323700308E-4</v>
      </c>
      <c r="F3554">
        <f t="shared" si="121"/>
        <v>-1.5849597155305088E-2</v>
      </c>
      <c r="G3554">
        <f t="shared" si="120"/>
        <v>-2.7159935503278124E-2</v>
      </c>
    </row>
    <row r="3555" spans="1:7" x14ac:dyDescent="0.35">
      <c r="A3555" t="s">
        <v>186</v>
      </c>
      <c r="E3555">
        <v>-1.1107138027003289E-2</v>
      </c>
      <c r="F3555">
        <f t="shared" si="121"/>
        <v>-1.586081802728145E-2</v>
      </c>
      <c r="G3555">
        <f t="shared" si="120"/>
        <v>-2.7159935503278124E-2</v>
      </c>
    </row>
    <row r="3556" spans="1:7" x14ac:dyDescent="0.35">
      <c r="A3556" t="s">
        <v>186</v>
      </c>
      <c r="E3556">
        <v>6.2221892857881114E-3</v>
      </c>
      <c r="F3556">
        <f t="shared" si="121"/>
        <v>-1.5872038899257812E-2</v>
      </c>
      <c r="G3556">
        <f t="shared" si="120"/>
        <v>-2.7159935503278124E-2</v>
      </c>
    </row>
    <row r="3557" spans="1:7" x14ac:dyDescent="0.35">
      <c r="A3557" t="s">
        <v>186</v>
      </c>
      <c r="E3557">
        <v>-1.0989504786627304E-2</v>
      </c>
      <c r="F3557">
        <f t="shared" si="121"/>
        <v>-1.5883259771234174E-2</v>
      </c>
      <c r="G3557">
        <f t="shared" si="120"/>
        <v>-2.7159935503278124E-2</v>
      </c>
    </row>
    <row r="3558" spans="1:7" x14ac:dyDescent="0.35">
      <c r="A3558" t="s">
        <v>186</v>
      </c>
      <c r="E3558">
        <v>1.9876444357943878E-3</v>
      </c>
      <c r="F3558">
        <f t="shared" si="121"/>
        <v>-1.5894480643210532E-2</v>
      </c>
      <c r="G3558">
        <f t="shared" si="120"/>
        <v>-2.7159935503278124E-2</v>
      </c>
    </row>
    <row r="3559" spans="1:7" x14ac:dyDescent="0.35">
      <c r="A3559" t="s">
        <v>186</v>
      </c>
      <c r="E3559">
        <v>-6.8522898141661357E-3</v>
      </c>
      <c r="F3559">
        <f t="shared" si="121"/>
        <v>-1.5905701515186894E-2</v>
      </c>
      <c r="G3559">
        <f t="shared" si="120"/>
        <v>-2.7159935503278124E-2</v>
      </c>
    </row>
    <row r="3560" spans="1:7" x14ac:dyDescent="0.35">
      <c r="A3560" t="s">
        <v>186</v>
      </c>
      <c r="E3560">
        <v>-2.3524229000726564E-3</v>
      </c>
      <c r="F3560">
        <f t="shared" si="121"/>
        <v>-1.5916922387163256E-2</v>
      </c>
      <c r="G3560">
        <f t="shared" si="120"/>
        <v>-2.7159935503278124E-2</v>
      </c>
    </row>
    <row r="3561" spans="1:7" x14ac:dyDescent="0.35">
      <c r="A3561" t="s">
        <v>186</v>
      </c>
      <c r="E3561">
        <v>5.9298990906260672E-3</v>
      </c>
      <c r="F3561">
        <f t="shared" si="121"/>
        <v>-1.5928047677069679E-2</v>
      </c>
      <c r="G3561">
        <f t="shared" si="120"/>
        <v>-2.8096853262954361E-2</v>
      </c>
    </row>
    <row r="3562" spans="1:7" x14ac:dyDescent="0.35">
      <c r="A3562" t="s">
        <v>186</v>
      </c>
      <c r="E3562">
        <v>-1.3632530366700958E-2</v>
      </c>
      <c r="F3562">
        <f t="shared" si="121"/>
        <v>-1.5939172966976101E-2</v>
      </c>
      <c r="G3562">
        <f t="shared" si="120"/>
        <v>-2.8096853262954361E-2</v>
      </c>
    </row>
    <row r="3563" spans="1:7" x14ac:dyDescent="0.35">
      <c r="A3563" t="s">
        <v>186</v>
      </c>
      <c r="E3563">
        <v>-5.8182589179682281E-4</v>
      </c>
      <c r="F3563">
        <f t="shared" si="121"/>
        <v>-1.5950298256882524E-2</v>
      </c>
      <c r="G3563">
        <f t="shared" si="120"/>
        <v>-2.8096853262954361E-2</v>
      </c>
    </row>
    <row r="3564" spans="1:7" x14ac:dyDescent="0.35">
      <c r="A3564" t="s">
        <v>186</v>
      </c>
      <c r="E3564">
        <v>4.5560292804226743E-3</v>
      </c>
      <c r="F3564">
        <f t="shared" si="121"/>
        <v>-1.5961423546788946E-2</v>
      </c>
      <c r="G3564">
        <f t="shared" si="120"/>
        <v>-2.8096853262954361E-2</v>
      </c>
    </row>
    <row r="3565" spans="1:7" x14ac:dyDescent="0.35">
      <c r="A3565" t="s">
        <v>186</v>
      </c>
      <c r="E3565">
        <v>-3.7505143073805463E-3</v>
      </c>
      <c r="F3565">
        <f t="shared" si="121"/>
        <v>-1.5972548836695369E-2</v>
      </c>
      <c r="G3565">
        <f t="shared" si="120"/>
        <v>-2.8096853262954361E-2</v>
      </c>
    </row>
    <row r="3566" spans="1:7" x14ac:dyDescent="0.35">
      <c r="A3566" t="s">
        <v>186</v>
      </c>
      <c r="E3566">
        <v>3.8072322430249585E-3</v>
      </c>
      <c r="F3566">
        <f t="shared" si="121"/>
        <v>-1.5983674126601791E-2</v>
      </c>
      <c r="G3566">
        <f t="shared" si="120"/>
        <v>-2.8096853262954361E-2</v>
      </c>
    </row>
    <row r="3567" spans="1:7" x14ac:dyDescent="0.35">
      <c r="A3567" t="s">
        <v>186</v>
      </c>
      <c r="E3567">
        <v>1.4343102916975086E-2</v>
      </c>
      <c r="F3567">
        <f t="shared" si="121"/>
        <v>-1.5994799416508214E-2</v>
      </c>
      <c r="G3567">
        <f t="shared" si="120"/>
        <v>-2.8096853262954361E-2</v>
      </c>
    </row>
    <row r="3568" spans="1:7" x14ac:dyDescent="0.35">
      <c r="A3568" t="s">
        <v>186</v>
      </c>
      <c r="E3568">
        <v>-3.6587175304818023E-3</v>
      </c>
      <c r="F3568">
        <f t="shared" si="121"/>
        <v>-1.6005924706414636E-2</v>
      </c>
      <c r="G3568">
        <f t="shared" si="120"/>
        <v>-2.8096853262954361E-2</v>
      </c>
    </row>
    <row r="3569" spans="1:38" x14ac:dyDescent="0.35">
      <c r="A3569" t="s">
        <v>186</v>
      </c>
      <c r="E3569">
        <v>-1.0246955120280158E-2</v>
      </c>
      <c r="F3569">
        <f t="shared" si="121"/>
        <v>-1.6017049996321059E-2</v>
      </c>
      <c r="G3569">
        <f t="shared" si="120"/>
        <v>-2.8096853262954361E-2</v>
      </c>
    </row>
    <row r="3570" spans="1:38" x14ac:dyDescent="0.35">
      <c r="A3570" t="s">
        <v>186</v>
      </c>
      <c r="E3570">
        <v>1.3642068582543652E-2</v>
      </c>
      <c r="F3570">
        <f t="shared" si="121"/>
        <v>-1.6028175286227481E-2</v>
      </c>
      <c r="G3570">
        <f t="shared" si="120"/>
        <v>-2.8096853262954361E-2</v>
      </c>
    </row>
    <row r="3571" spans="1:38" x14ac:dyDescent="0.35">
      <c r="A3571" t="s">
        <v>186</v>
      </c>
      <c r="E3571">
        <v>-5.1582322515168443E-3</v>
      </c>
      <c r="F3571">
        <f t="shared" si="121"/>
        <v>-1.6039300576133904E-2</v>
      </c>
      <c r="G3571">
        <f t="shared" si="120"/>
        <v>-2.8096853262954361E-2</v>
      </c>
    </row>
    <row r="3572" spans="1:38" x14ac:dyDescent="0.35">
      <c r="A3572" t="s">
        <v>186</v>
      </c>
      <c r="E3572">
        <v>-1.2092275343783997E-2</v>
      </c>
      <c r="F3572">
        <f t="shared" si="121"/>
        <v>-1.6050425866040326E-2</v>
      </c>
      <c r="G3572">
        <f t="shared" si="120"/>
        <v>-2.8096853262954361E-2</v>
      </c>
    </row>
    <row r="3573" spans="1:38" x14ac:dyDescent="0.35">
      <c r="A3573" t="s">
        <v>187</v>
      </c>
      <c r="B3573" s="3" cm="1">
        <f t="array" ref="B3573">_xlfn.STDEV.S(_xlfn._xlws.FILTER($E$2826:$E$3824, $A$2826:$A$3824="2024-05"))</f>
        <v>6.5128536088981063E-3</v>
      </c>
      <c r="C3573" s="3" cm="1">
        <f t="array" ref="C3573">AVERAGE(_xlfn._xlws.FILTER($E$2826:$E$3824, $A$2826:$A$3824="2024-05"))</f>
        <v>6.3050500850007516E-4</v>
      </c>
      <c r="D3573" s="3" cm="1">
        <f t="array" ref="D3573">_xlfn.PERCENTILE.EXC(_xlfn._xlws.FILTER($E$2490:$E$3818, $A$2490:$A$3818="2024-05"), 0.05)</f>
        <v>-1.3078898044091614E-2</v>
      </c>
      <c r="E3573">
        <v>-6.2394271619114466E-3</v>
      </c>
      <c r="F3573">
        <f t="shared" si="121"/>
        <v>-1.6061551155946749E-2</v>
      </c>
      <c r="G3573">
        <f t="shared" si="120"/>
        <v>-2.8096853262954361E-2</v>
      </c>
      <c r="AI3573" s="3"/>
      <c r="AJ3573" s="3"/>
      <c r="AK3573" s="3"/>
      <c r="AL3573" s="3"/>
    </row>
    <row r="3574" spans="1:38" x14ac:dyDescent="0.35">
      <c r="A3574" t="s">
        <v>187</v>
      </c>
      <c r="E3574">
        <v>6.29225819405919E-3</v>
      </c>
      <c r="F3574">
        <f t="shared" si="121"/>
        <v>-1.6072676445853171E-2</v>
      </c>
      <c r="G3574">
        <f t="shared" si="120"/>
        <v>-2.8096853262954361E-2</v>
      </c>
    </row>
    <row r="3575" spans="1:38" x14ac:dyDescent="0.35">
      <c r="A3575" t="s">
        <v>187</v>
      </c>
      <c r="E3575">
        <v>1.9043441058857784E-2</v>
      </c>
      <c r="F3575">
        <f t="shared" si="121"/>
        <v>-1.6083801735759594E-2</v>
      </c>
      <c r="G3575">
        <f t="shared" si="120"/>
        <v>-2.8096853262954361E-2</v>
      </c>
    </row>
    <row r="3576" spans="1:38" x14ac:dyDescent="0.35">
      <c r="A3576" t="s">
        <v>187</v>
      </c>
      <c r="E3576">
        <v>4.3901815741021763E-3</v>
      </c>
      <c r="F3576">
        <f t="shared" si="121"/>
        <v>-1.6094927025666016E-2</v>
      </c>
      <c r="G3576">
        <f t="shared" si="120"/>
        <v>-2.8096853262954361E-2</v>
      </c>
    </row>
    <row r="3577" spans="1:38" x14ac:dyDescent="0.35">
      <c r="A3577" t="s">
        <v>187</v>
      </c>
      <c r="E3577">
        <v>3.2182086277820284E-3</v>
      </c>
      <c r="F3577">
        <f t="shared" si="121"/>
        <v>-1.6106052315572439E-2</v>
      </c>
      <c r="G3577">
        <f t="shared" si="120"/>
        <v>-2.8096853262954361E-2</v>
      </c>
    </row>
    <row r="3578" spans="1:38" x14ac:dyDescent="0.35">
      <c r="A3578" t="s">
        <v>187</v>
      </c>
      <c r="E3578">
        <v>6.0496323855467734E-3</v>
      </c>
      <c r="F3578">
        <f t="shared" si="121"/>
        <v>-1.6117177605478861E-2</v>
      </c>
      <c r="G3578">
        <f t="shared" si="120"/>
        <v>-2.8096853262954361E-2</v>
      </c>
    </row>
    <row r="3579" spans="1:38" x14ac:dyDescent="0.35">
      <c r="A3579" t="s">
        <v>187</v>
      </c>
      <c r="E3579">
        <v>-1.2042457014348259E-3</v>
      </c>
      <c r="F3579">
        <f t="shared" si="121"/>
        <v>-1.6128302895385284E-2</v>
      </c>
      <c r="G3579">
        <f t="shared" si="120"/>
        <v>-2.8096853262954361E-2</v>
      </c>
    </row>
    <row r="3580" spans="1:38" x14ac:dyDescent="0.35">
      <c r="A3580" t="s">
        <v>187</v>
      </c>
      <c r="E3580">
        <v>2.6183035314573244E-4</v>
      </c>
      <c r="F3580">
        <f t="shared" si="121"/>
        <v>-1.6139428185291706E-2</v>
      </c>
      <c r="G3580">
        <f t="shared" si="120"/>
        <v>-2.8096853262954361E-2</v>
      </c>
    </row>
    <row r="3581" spans="1:38" x14ac:dyDescent="0.35">
      <c r="A3581" t="s">
        <v>187</v>
      </c>
      <c r="E3581">
        <v>4.0486481742275883E-3</v>
      </c>
      <c r="F3581">
        <f t="shared" si="121"/>
        <v>-1.6276442106439477E-2</v>
      </c>
      <c r="G3581">
        <f t="shared" si="120"/>
        <v>-2.9183891906378243E-2</v>
      </c>
    </row>
    <row r="3582" spans="1:38" x14ac:dyDescent="0.35">
      <c r="A3582" t="s">
        <v>187</v>
      </c>
      <c r="E3582">
        <v>-5.5930591526106794E-3</v>
      </c>
      <c r="F3582">
        <f t="shared" si="121"/>
        <v>-1.6413456027587252E-2</v>
      </c>
      <c r="G3582">
        <f t="shared" si="120"/>
        <v>-2.9183891906378243E-2</v>
      </c>
    </row>
    <row r="3583" spans="1:38" x14ac:dyDescent="0.35">
      <c r="A3583" t="s">
        <v>187</v>
      </c>
      <c r="E3583">
        <v>-1.6396050075321484E-3</v>
      </c>
      <c r="F3583">
        <f t="shared" si="121"/>
        <v>-1.6550469948735023E-2</v>
      </c>
      <c r="G3583">
        <f t="shared" si="120"/>
        <v>-2.9183891906378243E-2</v>
      </c>
    </row>
    <row r="3584" spans="1:38" x14ac:dyDescent="0.35">
      <c r="A3584" t="s">
        <v>187</v>
      </c>
      <c r="E3584">
        <v>2.0121366203590279E-3</v>
      </c>
      <c r="F3584">
        <f t="shared" si="121"/>
        <v>-1.6687483869882801E-2</v>
      </c>
      <c r="G3584">
        <f t="shared" si="120"/>
        <v>-2.9183891906378243E-2</v>
      </c>
    </row>
    <row r="3585" spans="1:38" x14ac:dyDescent="0.35">
      <c r="A3585" t="s">
        <v>187</v>
      </c>
      <c r="E3585">
        <v>-5.4044412285408237E-3</v>
      </c>
      <c r="F3585">
        <f t="shared" si="121"/>
        <v>-1.6824497791030575E-2</v>
      </c>
      <c r="G3585">
        <f t="shared" si="120"/>
        <v>-2.9183891906378243E-2</v>
      </c>
    </row>
    <row r="3586" spans="1:38" x14ac:dyDescent="0.35">
      <c r="A3586" t="s">
        <v>187</v>
      </c>
      <c r="E3586">
        <v>-4.3327417624276316E-3</v>
      </c>
      <c r="F3586">
        <f t="shared" si="121"/>
        <v>-1.6961511712178346E-2</v>
      </c>
      <c r="G3586">
        <f t="shared" si="120"/>
        <v>-2.9183891906378243E-2</v>
      </c>
    </row>
    <row r="3587" spans="1:38" x14ac:dyDescent="0.35">
      <c r="A3587" t="s">
        <v>187</v>
      </c>
      <c r="E3587">
        <v>2.4704939737354918E-3</v>
      </c>
      <c r="F3587">
        <f t="shared" si="121"/>
        <v>-1.7098525633326121E-2</v>
      </c>
      <c r="G3587">
        <f t="shared" ref="G3587:G3650" si="122">AVERAGEIFS(E3587:E7403,E3587:E7403,"&lt;=" &amp; F3587)</f>
        <v>-2.9183891906378243E-2</v>
      </c>
    </row>
    <row r="3588" spans="1:38" x14ac:dyDescent="0.35">
      <c r="A3588" t="s">
        <v>187</v>
      </c>
      <c r="E3588">
        <v>-4.3482534704249968E-4</v>
      </c>
      <c r="F3588">
        <f t="shared" ref="F3588:F3651" si="123">_xlfn.PERCENTILE.EXC(E3588:E7403,0.05)</f>
        <v>-1.7235539554473892E-2</v>
      </c>
      <c r="G3588">
        <f t="shared" si="122"/>
        <v>-2.9183891906378243E-2</v>
      </c>
    </row>
    <row r="3589" spans="1:38" x14ac:dyDescent="0.35">
      <c r="A3589" t="s">
        <v>187</v>
      </c>
      <c r="E3589">
        <v>-1.0053886494855884E-3</v>
      </c>
      <c r="F3589">
        <f t="shared" si="123"/>
        <v>-1.7372553475621666E-2</v>
      </c>
      <c r="G3589">
        <f t="shared" si="122"/>
        <v>-2.9183891906378243E-2</v>
      </c>
    </row>
    <row r="3590" spans="1:38" x14ac:dyDescent="0.35">
      <c r="A3590" t="s">
        <v>187</v>
      </c>
      <c r="E3590">
        <v>-1.3438870195785308E-2</v>
      </c>
      <c r="F3590">
        <f t="shared" si="123"/>
        <v>-1.750956739676944E-2</v>
      </c>
      <c r="G3590">
        <f t="shared" si="122"/>
        <v>-2.9183891906378243E-2</v>
      </c>
    </row>
    <row r="3591" spans="1:38" x14ac:dyDescent="0.35">
      <c r="A3591" t="s">
        <v>187</v>
      </c>
      <c r="E3591">
        <v>3.8168522554766653E-3</v>
      </c>
      <c r="F3591">
        <f t="shared" si="123"/>
        <v>-1.7646581317917211E-2</v>
      </c>
      <c r="G3591">
        <f t="shared" si="122"/>
        <v>-2.9183891906378243E-2</v>
      </c>
    </row>
    <row r="3592" spans="1:38" x14ac:dyDescent="0.35">
      <c r="A3592" t="s">
        <v>187</v>
      </c>
      <c r="E3592">
        <v>2.9902115948000029E-4</v>
      </c>
      <c r="F3592">
        <f t="shared" si="123"/>
        <v>-1.7783595239064989E-2</v>
      </c>
      <c r="G3592">
        <f t="shared" si="122"/>
        <v>-2.9183891906378243E-2</v>
      </c>
    </row>
    <row r="3593" spans="1:38" x14ac:dyDescent="0.35">
      <c r="A3593" t="s">
        <v>188</v>
      </c>
      <c r="B3593" s="3" cm="1">
        <f t="array" ref="B3593">_xlfn.STDEV.S(_xlfn._xlws.FILTER($E$2826:$E$3824, $A$2826:$A$3824="2024-06"))</f>
        <v>1.0414590867625091E-2</v>
      </c>
      <c r="C3593" s="3" cm="1">
        <f t="array" ref="C3593">AVERAGE(_xlfn._xlws.FILTER($E$2826:$E$3824, $A$2826:$A$3824="2024-06"))</f>
        <v>-9.0762578831057612E-4</v>
      </c>
      <c r="D3593" s="3" cm="1">
        <f t="array" ref="D3593">_xlfn.PERCENTILE.EXC(_xlfn._xlws.FILTER($E$2490:$E$3818, $A$2490:$A$3818="2024-06"), 0.05)</f>
        <v>-1.9839859266422431E-2</v>
      </c>
      <c r="E3593">
        <v>3.9790945052967522E-3</v>
      </c>
      <c r="F3593">
        <f t="shared" si="123"/>
        <v>-1.792060916021276E-2</v>
      </c>
      <c r="G3593">
        <f t="shared" si="122"/>
        <v>-2.9183891906378243E-2</v>
      </c>
      <c r="AI3593" s="3"/>
      <c r="AJ3593" s="3"/>
      <c r="AK3593" s="3"/>
      <c r="AL3593" s="3"/>
    </row>
    <row r="3594" spans="1:38" x14ac:dyDescent="0.35">
      <c r="A3594" t="s">
        <v>188</v>
      </c>
      <c r="E3594">
        <v>-1.0077508903619269E-2</v>
      </c>
      <c r="F3594">
        <f t="shared" si="123"/>
        <v>-1.8057623081360535E-2</v>
      </c>
      <c r="G3594">
        <f t="shared" si="122"/>
        <v>-2.9183891906378243E-2</v>
      </c>
    </row>
    <row r="3595" spans="1:38" x14ac:dyDescent="0.35">
      <c r="A3595" t="s">
        <v>188</v>
      </c>
      <c r="E3595">
        <v>1.6476446986297633E-2</v>
      </c>
      <c r="F3595">
        <f t="shared" si="123"/>
        <v>-1.8194637002508309E-2</v>
      </c>
      <c r="G3595">
        <f t="shared" si="122"/>
        <v>-2.9183891906378243E-2</v>
      </c>
    </row>
    <row r="3596" spans="1:38" x14ac:dyDescent="0.35">
      <c r="A3596" t="s">
        <v>188</v>
      </c>
      <c r="E3596">
        <v>6.6167143108390178E-3</v>
      </c>
      <c r="F3596">
        <f t="shared" si="123"/>
        <v>-1.833165092365608E-2</v>
      </c>
      <c r="G3596">
        <f t="shared" si="122"/>
        <v>-2.9183891906378243E-2</v>
      </c>
    </row>
    <row r="3597" spans="1:38" x14ac:dyDescent="0.35">
      <c r="A3597" t="s">
        <v>188</v>
      </c>
      <c r="E3597">
        <v>-3.5136987258941208E-3</v>
      </c>
      <c r="F3597">
        <f t="shared" si="123"/>
        <v>-1.8468664844803855E-2</v>
      </c>
      <c r="G3597">
        <f t="shared" si="122"/>
        <v>-2.9183891906378243E-2</v>
      </c>
    </row>
    <row r="3598" spans="1:38" x14ac:dyDescent="0.35">
      <c r="A3598" t="s">
        <v>188</v>
      </c>
      <c r="E3598">
        <v>-6.9191230557929303E-3</v>
      </c>
      <c r="F3598">
        <f t="shared" si="123"/>
        <v>-1.8605678765951626E-2</v>
      </c>
      <c r="G3598">
        <f t="shared" si="122"/>
        <v>-2.9183891906378243E-2</v>
      </c>
    </row>
    <row r="3599" spans="1:38" x14ac:dyDescent="0.35">
      <c r="A3599" t="s">
        <v>188</v>
      </c>
      <c r="E3599">
        <v>-1.0297068311102664E-2</v>
      </c>
      <c r="F3599">
        <f t="shared" si="123"/>
        <v>-1.8742692687099403E-2</v>
      </c>
      <c r="G3599">
        <f t="shared" si="122"/>
        <v>-2.9183891906378243E-2</v>
      </c>
    </row>
    <row r="3600" spans="1:38" x14ac:dyDescent="0.35">
      <c r="A3600" t="s">
        <v>188</v>
      </c>
      <c r="E3600">
        <v>1.3868887993834471E-2</v>
      </c>
      <c r="F3600">
        <f t="shared" si="123"/>
        <v>-1.8879706608247178E-2</v>
      </c>
      <c r="G3600">
        <f t="shared" si="122"/>
        <v>-2.9183891906378243E-2</v>
      </c>
    </row>
    <row r="3601" spans="1:38" x14ac:dyDescent="0.35">
      <c r="A3601" t="s">
        <v>188</v>
      </c>
      <c r="E3601">
        <v>-1.9846327339092182E-2</v>
      </c>
      <c r="F3601">
        <f t="shared" si="123"/>
        <v>-1.8921569572119674E-2</v>
      </c>
      <c r="G3601">
        <f t="shared" si="122"/>
        <v>-3.0214310436191348E-2</v>
      </c>
    </row>
    <row r="3602" spans="1:38" x14ac:dyDescent="0.35">
      <c r="A3602" t="s">
        <v>188</v>
      </c>
      <c r="E3602">
        <v>-1.971696588569714E-2</v>
      </c>
      <c r="F3602">
        <f t="shared" si="123"/>
        <v>-1.6413456027587252E-2</v>
      </c>
      <c r="G3602">
        <f t="shared" si="122"/>
        <v>-3.0117648363106847E-2</v>
      </c>
    </row>
    <row r="3603" spans="1:38" x14ac:dyDescent="0.35">
      <c r="A3603" t="s">
        <v>188</v>
      </c>
      <c r="E3603">
        <v>8.4942627452887429E-3</v>
      </c>
      <c r="F3603">
        <f t="shared" si="123"/>
        <v>-1.5950298256882524E-2</v>
      </c>
      <c r="G3603">
        <f t="shared" si="122"/>
        <v>-2.9759894593066306E-2</v>
      </c>
    </row>
    <row r="3604" spans="1:38" x14ac:dyDescent="0.35">
      <c r="A3604" t="s">
        <v>188</v>
      </c>
      <c r="E3604">
        <v>7.1560929277016084E-3</v>
      </c>
      <c r="F3604">
        <f t="shared" si="123"/>
        <v>-1.5961423546788946E-2</v>
      </c>
      <c r="G3604">
        <f t="shared" si="122"/>
        <v>-2.9759894593066306E-2</v>
      </c>
    </row>
    <row r="3605" spans="1:38" x14ac:dyDescent="0.35">
      <c r="A3605" t="s">
        <v>188</v>
      </c>
      <c r="E3605">
        <v>-6.1259746802141395E-3</v>
      </c>
      <c r="F3605">
        <f t="shared" si="123"/>
        <v>-1.5972548836695369E-2</v>
      </c>
      <c r="G3605">
        <f t="shared" si="122"/>
        <v>-2.9759894593066306E-2</v>
      </c>
    </row>
    <row r="3606" spans="1:38" x14ac:dyDescent="0.35">
      <c r="A3606" t="s">
        <v>188</v>
      </c>
      <c r="E3606">
        <v>1.2667485556475171E-2</v>
      </c>
      <c r="F3606">
        <f t="shared" si="123"/>
        <v>-1.5983674126601791E-2</v>
      </c>
      <c r="G3606">
        <f t="shared" si="122"/>
        <v>-2.9759894593066306E-2</v>
      </c>
    </row>
    <row r="3607" spans="1:38" x14ac:dyDescent="0.35">
      <c r="A3607" t="s">
        <v>188</v>
      </c>
      <c r="E3607">
        <v>-8.204993149384391E-3</v>
      </c>
      <c r="F3607">
        <f t="shared" si="123"/>
        <v>-1.5994799416508214E-2</v>
      </c>
      <c r="G3607">
        <f t="shared" si="122"/>
        <v>-2.9759894593066306E-2</v>
      </c>
    </row>
    <row r="3608" spans="1:38" x14ac:dyDescent="0.35">
      <c r="A3608" t="s">
        <v>188</v>
      </c>
      <c r="E3608">
        <v>8.8616443931889746E-3</v>
      </c>
      <c r="F3608">
        <f t="shared" si="123"/>
        <v>-1.6005924706414636E-2</v>
      </c>
      <c r="G3608">
        <f t="shared" si="122"/>
        <v>-2.9759894593066306E-2</v>
      </c>
    </row>
    <row r="3609" spans="1:38" x14ac:dyDescent="0.35">
      <c r="A3609" t="s">
        <v>188</v>
      </c>
      <c r="E3609">
        <v>-3.0363279943339699E-3</v>
      </c>
      <c r="F3609">
        <f t="shared" si="123"/>
        <v>-1.6017049996321059E-2</v>
      </c>
      <c r="G3609">
        <f t="shared" si="122"/>
        <v>-2.9759894593066306E-2</v>
      </c>
    </row>
    <row r="3610" spans="1:38" x14ac:dyDescent="0.35">
      <c r="A3610" t="s">
        <v>188</v>
      </c>
      <c r="E3610">
        <v>-4.066222204276446E-3</v>
      </c>
      <c r="F3610">
        <f t="shared" si="123"/>
        <v>-1.6028175286227481E-2</v>
      </c>
      <c r="G3610">
        <f t="shared" si="122"/>
        <v>-2.9759894593066306E-2</v>
      </c>
    </row>
    <row r="3611" spans="1:38" x14ac:dyDescent="0.35">
      <c r="A3611" t="s">
        <v>188</v>
      </c>
      <c r="E3611">
        <v>-2.717309947974542E-3</v>
      </c>
      <c r="F3611">
        <f t="shared" si="123"/>
        <v>-1.6039300576133904E-2</v>
      </c>
      <c r="G3611">
        <f t="shared" si="122"/>
        <v>-2.9759894593066306E-2</v>
      </c>
    </row>
    <row r="3612" spans="1:38" x14ac:dyDescent="0.35">
      <c r="A3612" t="s">
        <v>188</v>
      </c>
      <c r="E3612">
        <v>-1.7516249877520943E-3</v>
      </c>
      <c r="F3612">
        <f t="shared" si="123"/>
        <v>-1.6050425866040326E-2</v>
      </c>
      <c r="G3612">
        <f t="shared" si="122"/>
        <v>-2.9759894593066306E-2</v>
      </c>
    </row>
    <row r="3613" spans="1:38" x14ac:dyDescent="0.35">
      <c r="A3613" t="s">
        <v>189</v>
      </c>
      <c r="B3613" s="3" cm="1">
        <f t="array" ref="B3613">_xlfn.STDEV.S(_xlfn._xlws.FILTER($E$2826:$E$3824, $A$2826:$A$3824="2024-07"))</f>
        <v>9.2982053750191342E-3</v>
      </c>
      <c r="C3613" s="3" cm="1">
        <f t="array" ref="C3613">AVERAGE(_xlfn._xlws.FILTER($E$2826:$E$3824, $A$2826:$A$3824="2024-07"))</f>
        <v>-1.8767828725873325E-4</v>
      </c>
      <c r="D3613" s="3" cm="1">
        <f t="array" ref="D3613">_xlfn.PERCENTILE.EXC(_xlfn._xlws.FILTER($E$2490:$E$3818, $A$2490:$A$3818="2024-07"), 0.05)</f>
        <v>-1.3119724114365981E-2</v>
      </c>
      <c r="E3613">
        <v>7.3229080061478526E-3</v>
      </c>
      <c r="F3613">
        <f t="shared" si="123"/>
        <v>-1.6061551155946749E-2</v>
      </c>
      <c r="G3613">
        <f t="shared" si="122"/>
        <v>-2.9759894593066306E-2</v>
      </c>
      <c r="AI3613" s="3"/>
      <c r="AJ3613" s="3"/>
      <c r="AK3613" s="3"/>
      <c r="AL3613" s="3"/>
    </row>
    <row r="3614" spans="1:38" x14ac:dyDescent="0.35">
      <c r="A3614" t="s">
        <v>189</v>
      </c>
      <c r="E3614">
        <v>-4.8107515068470047E-3</v>
      </c>
      <c r="F3614">
        <f t="shared" si="123"/>
        <v>-1.6072676445853171E-2</v>
      </c>
      <c r="G3614">
        <f t="shared" si="122"/>
        <v>-2.9759894593066306E-2</v>
      </c>
    </row>
    <row r="3615" spans="1:38" x14ac:dyDescent="0.35">
      <c r="A3615" t="s">
        <v>189</v>
      </c>
      <c r="E3615">
        <v>1.2048204264569276E-2</v>
      </c>
      <c r="F3615">
        <f t="shared" si="123"/>
        <v>-1.6083801735759594E-2</v>
      </c>
      <c r="G3615">
        <f t="shared" si="122"/>
        <v>-2.9759894593066306E-2</v>
      </c>
    </row>
    <row r="3616" spans="1:38" x14ac:dyDescent="0.35">
      <c r="A3616" t="s">
        <v>189</v>
      </c>
      <c r="E3616">
        <v>4.3563597701811929E-3</v>
      </c>
      <c r="F3616">
        <f t="shared" si="123"/>
        <v>-1.6094927025666016E-2</v>
      </c>
      <c r="G3616">
        <f t="shared" si="122"/>
        <v>-2.9759894593066306E-2</v>
      </c>
    </row>
    <row r="3617" spans="1:7" x14ac:dyDescent="0.35">
      <c r="A3617" t="s">
        <v>189</v>
      </c>
      <c r="E3617">
        <v>-1.6233786086645035E-3</v>
      </c>
      <c r="F3617">
        <f t="shared" si="123"/>
        <v>-1.6106052315572439E-2</v>
      </c>
      <c r="G3617">
        <f t="shared" si="122"/>
        <v>-2.9759894593066306E-2</v>
      </c>
    </row>
    <row r="3618" spans="1:7" x14ac:dyDescent="0.35">
      <c r="A3618" t="s">
        <v>189</v>
      </c>
      <c r="E3618">
        <v>-1.9217592820777439E-3</v>
      </c>
      <c r="F3618">
        <f t="shared" si="123"/>
        <v>-1.6117177605478861E-2</v>
      </c>
      <c r="G3618">
        <f t="shared" si="122"/>
        <v>-2.9759894593066306E-2</v>
      </c>
    </row>
    <row r="3619" spans="1:7" x14ac:dyDescent="0.35">
      <c r="A3619" t="s">
        <v>189</v>
      </c>
      <c r="E3619">
        <v>-1.341192642564823E-2</v>
      </c>
      <c r="F3619">
        <f t="shared" si="123"/>
        <v>-1.6128302895385284E-2</v>
      </c>
      <c r="G3619">
        <f t="shared" si="122"/>
        <v>-2.9759894593066306E-2</v>
      </c>
    </row>
    <row r="3620" spans="1:7" x14ac:dyDescent="0.35">
      <c r="A3620" t="s">
        <v>189</v>
      </c>
      <c r="E3620">
        <v>1.1202167743705953E-2</v>
      </c>
      <c r="F3620">
        <f t="shared" si="123"/>
        <v>-1.6139428185291706E-2</v>
      </c>
      <c r="G3620">
        <f t="shared" si="122"/>
        <v>-2.9759894593066306E-2</v>
      </c>
    </row>
    <row r="3621" spans="1:7" x14ac:dyDescent="0.35">
      <c r="A3621" t="s">
        <v>189</v>
      </c>
      <c r="E3621">
        <v>3.4766048873507449E-3</v>
      </c>
      <c r="F3621">
        <f t="shared" si="123"/>
        <v>-1.6276442106439477E-2</v>
      </c>
      <c r="G3621">
        <f t="shared" si="122"/>
        <v>-3.1273279749485704E-2</v>
      </c>
    </row>
    <row r="3622" spans="1:7" x14ac:dyDescent="0.35">
      <c r="A3622" t="s">
        <v>189</v>
      </c>
      <c r="E3622">
        <v>1.3352628482496399E-2</v>
      </c>
      <c r="F3622">
        <f t="shared" si="123"/>
        <v>-1.6413456027587252E-2</v>
      </c>
      <c r="G3622">
        <f t="shared" si="122"/>
        <v>-3.1273279749485704E-2</v>
      </c>
    </row>
    <row r="3623" spans="1:7" x14ac:dyDescent="0.35">
      <c r="A3623" t="s">
        <v>189</v>
      </c>
      <c r="E3623">
        <v>-1.1950914869236993E-2</v>
      </c>
      <c r="F3623">
        <f t="shared" si="123"/>
        <v>-1.6550469948735023E-2</v>
      </c>
      <c r="G3623">
        <f t="shared" si="122"/>
        <v>-3.1273279749485704E-2</v>
      </c>
    </row>
    <row r="3624" spans="1:7" x14ac:dyDescent="0.35">
      <c r="A3624" t="s">
        <v>189</v>
      </c>
      <c r="E3624">
        <v>-7.1050974868766374E-3</v>
      </c>
      <c r="F3624">
        <f t="shared" si="123"/>
        <v>-1.6687483869882801E-2</v>
      </c>
      <c r="G3624">
        <f t="shared" si="122"/>
        <v>-3.1273279749485704E-2</v>
      </c>
    </row>
    <row r="3625" spans="1:7" x14ac:dyDescent="0.35">
      <c r="A3625" t="s">
        <v>189</v>
      </c>
      <c r="E3625">
        <v>-1.1458269192696838E-2</v>
      </c>
      <c r="F3625">
        <f t="shared" si="123"/>
        <v>-1.6824497791030575E-2</v>
      </c>
      <c r="G3625">
        <f t="shared" si="122"/>
        <v>-3.1273279749485704E-2</v>
      </c>
    </row>
    <row r="3626" spans="1:7" x14ac:dyDescent="0.35">
      <c r="A3626" t="s">
        <v>189</v>
      </c>
      <c r="E3626">
        <v>-4.3722499832246258E-3</v>
      </c>
      <c r="F3626">
        <f t="shared" si="123"/>
        <v>-1.6961511712178346E-2</v>
      </c>
      <c r="G3626">
        <f t="shared" si="122"/>
        <v>-3.1273279749485704E-2</v>
      </c>
    </row>
    <row r="3627" spans="1:7" x14ac:dyDescent="0.35">
      <c r="A3627" t="s">
        <v>189</v>
      </c>
      <c r="E3627">
        <v>-8.8437016824829684E-3</v>
      </c>
      <c r="F3627">
        <f t="shared" si="123"/>
        <v>-1.7098525633326121E-2</v>
      </c>
      <c r="G3627">
        <f t="shared" si="122"/>
        <v>-3.1273279749485704E-2</v>
      </c>
    </row>
    <row r="3628" spans="1:7" x14ac:dyDescent="0.35">
      <c r="A3628" t="s">
        <v>189</v>
      </c>
      <c r="E3628">
        <v>1.4437743847444052E-2</v>
      </c>
      <c r="F3628">
        <f t="shared" si="123"/>
        <v>-1.7235539554473892E-2</v>
      </c>
      <c r="G3628">
        <f t="shared" si="122"/>
        <v>-3.1273279749485704E-2</v>
      </c>
    </row>
    <row r="3629" spans="1:7" x14ac:dyDescent="0.35">
      <c r="A3629" t="s">
        <v>189</v>
      </c>
      <c r="E3629">
        <v>3.9452927811157081E-3</v>
      </c>
      <c r="F3629">
        <f t="shared" si="123"/>
        <v>-1.7372553475621666E-2</v>
      </c>
      <c r="G3629">
        <f t="shared" si="122"/>
        <v>-3.1273279749485704E-2</v>
      </c>
    </row>
    <row r="3630" spans="1:7" x14ac:dyDescent="0.35">
      <c r="A3630" t="s">
        <v>189</v>
      </c>
      <c r="E3630">
        <v>-1.1234774825531832E-2</v>
      </c>
      <c r="F3630">
        <f t="shared" si="123"/>
        <v>-1.750956739676944E-2</v>
      </c>
      <c r="G3630">
        <f t="shared" si="122"/>
        <v>-3.1273279749485704E-2</v>
      </c>
    </row>
    <row r="3631" spans="1:7" x14ac:dyDescent="0.35">
      <c r="A3631" t="s">
        <v>189</v>
      </c>
      <c r="E3631">
        <v>-1.0459976586358007E-2</v>
      </c>
      <c r="F3631">
        <f t="shared" si="123"/>
        <v>-1.7646581317917211E-2</v>
      </c>
      <c r="G3631">
        <f t="shared" si="122"/>
        <v>-3.1273279749485704E-2</v>
      </c>
    </row>
    <row r="3632" spans="1:7" x14ac:dyDescent="0.35">
      <c r="A3632" t="s">
        <v>189</v>
      </c>
      <c r="E3632">
        <v>1.058954796237129E-2</v>
      </c>
      <c r="F3632">
        <f t="shared" si="123"/>
        <v>-1.7783595239064989E-2</v>
      </c>
      <c r="G3632">
        <f t="shared" si="122"/>
        <v>-3.1273279749485704E-2</v>
      </c>
    </row>
    <row r="3633" spans="1:38" x14ac:dyDescent="0.35">
      <c r="A3633" t="s">
        <v>189</v>
      </c>
      <c r="E3633">
        <v>-9.7356700898110857E-3</v>
      </c>
      <c r="F3633">
        <f t="shared" si="123"/>
        <v>-1.7920609160212764E-2</v>
      </c>
      <c r="G3633">
        <f t="shared" si="122"/>
        <v>-3.1273279749485704E-2</v>
      </c>
    </row>
    <row r="3634" spans="1:38" x14ac:dyDescent="0.35">
      <c r="A3634" t="s">
        <v>189</v>
      </c>
      <c r="E3634">
        <v>5.3042721028036411E-3</v>
      </c>
      <c r="F3634">
        <f t="shared" si="123"/>
        <v>-1.8057623081360535E-2</v>
      </c>
      <c r="G3634">
        <f t="shared" si="122"/>
        <v>-3.1273279749485704E-2</v>
      </c>
    </row>
    <row r="3635" spans="1:38" x14ac:dyDescent="0.35">
      <c r="A3635" t="s">
        <v>189</v>
      </c>
      <c r="E3635">
        <v>6.5761400843194918E-3</v>
      </c>
      <c r="F3635">
        <f t="shared" si="123"/>
        <v>-1.8194637002508309E-2</v>
      </c>
      <c r="G3635">
        <f t="shared" si="122"/>
        <v>-3.1273279749485704E-2</v>
      </c>
    </row>
    <row r="3636" spans="1:38" x14ac:dyDescent="0.35">
      <c r="A3636" t="s">
        <v>190</v>
      </c>
      <c r="B3636" s="3" cm="1">
        <f t="array" ref="B3636">_xlfn.STDEV.S(_xlfn._xlws.FILTER($E$2826:$E$3824, $A$2826:$A$3824="2024-08"))</f>
        <v>1.1910941980579645E-2</v>
      </c>
      <c r="C3636" s="3" cm="1">
        <f t="array" ref="C3636">AVERAGE(_xlfn._xlws.FILTER($E$2826:$E$3824, $A$2826:$A$3824="2024-08"))</f>
        <v>8.6504743391773613E-4</v>
      </c>
      <c r="D3636" s="3" cm="1">
        <f t="array" ref="D3636">_xlfn.PERCENTILE.EXC(_xlfn._xlws.FILTER($E$2490:$E$3818, $A$2490:$A$3818="2024-08"), 0.05)</f>
        <v>-2.6776190439536714E-2</v>
      </c>
      <c r="E3636">
        <v>-2.2248823566595608E-2</v>
      </c>
      <c r="F3636">
        <f t="shared" si="123"/>
        <v>-1.833165092365608E-2</v>
      </c>
      <c r="G3636">
        <f t="shared" si="122"/>
        <v>-3.1273279749485704E-2</v>
      </c>
      <c r="AI3636" s="3"/>
      <c r="AJ3636" s="3"/>
      <c r="AK3636" s="3"/>
      <c r="AL3636" s="3"/>
    </row>
    <row r="3637" spans="1:38" x14ac:dyDescent="0.35">
      <c r="A3637" t="s">
        <v>190</v>
      </c>
      <c r="E3637">
        <v>-2.7014472906533613E-2</v>
      </c>
      <c r="F3637">
        <f t="shared" si="123"/>
        <v>-1.6106052315572439E-2</v>
      </c>
      <c r="G3637">
        <f t="shared" si="122"/>
        <v>-3.0594458040451935E-2</v>
      </c>
    </row>
    <row r="3638" spans="1:38" x14ac:dyDescent="0.35">
      <c r="A3638" t="s">
        <v>190</v>
      </c>
      <c r="E3638">
        <v>-1.4570901527441737E-2</v>
      </c>
      <c r="F3638">
        <f t="shared" si="123"/>
        <v>-1.5894480643210532E-2</v>
      </c>
      <c r="G3638">
        <f t="shared" si="122"/>
        <v>-2.936139687163301E-2</v>
      </c>
    </row>
    <row r="3639" spans="1:38" x14ac:dyDescent="0.35">
      <c r="A3639" t="s">
        <v>190</v>
      </c>
      <c r="E3639">
        <v>7.9153196170919323E-4</v>
      </c>
      <c r="F3639">
        <f t="shared" si="123"/>
        <v>-1.5905701515186894E-2</v>
      </c>
      <c r="G3639">
        <f t="shared" si="122"/>
        <v>-2.936139687163301E-2</v>
      </c>
    </row>
    <row r="3640" spans="1:38" x14ac:dyDescent="0.35">
      <c r="A3640" t="s">
        <v>190</v>
      </c>
      <c r="E3640">
        <v>2.0088782809126408E-2</v>
      </c>
      <c r="F3640">
        <f t="shared" si="123"/>
        <v>-1.5916922387163256E-2</v>
      </c>
      <c r="G3640">
        <f t="shared" si="122"/>
        <v>-2.936139687163301E-2</v>
      </c>
    </row>
    <row r="3641" spans="1:38" x14ac:dyDescent="0.35">
      <c r="A3641" t="s">
        <v>190</v>
      </c>
      <c r="E3641">
        <v>1.4566018361790523E-4</v>
      </c>
      <c r="F3641">
        <f t="shared" si="123"/>
        <v>-1.5928047677069679E-2</v>
      </c>
      <c r="G3641">
        <f t="shared" si="122"/>
        <v>-3.1041956182191733E-2</v>
      </c>
    </row>
    <row r="3642" spans="1:38" x14ac:dyDescent="0.35">
      <c r="A3642" t="s">
        <v>190</v>
      </c>
      <c r="E3642">
        <v>1.3998259995022621E-3</v>
      </c>
      <c r="F3642">
        <f t="shared" si="123"/>
        <v>-1.5939172966976101E-2</v>
      </c>
      <c r="G3642">
        <f t="shared" si="122"/>
        <v>-3.1041956182191733E-2</v>
      </c>
    </row>
    <row r="3643" spans="1:38" x14ac:dyDescent="0.35">
      <c r="A3643" t="s">
        <v>190</v>
      </c>
      <c r="E3643">
        <v>-7.2749373070597452E-4</v>
      </c>
      <c r="F3643">
        <f t="shared" si="123"/>
        <v>-1.5950298256882524E-2</v>
      </c>
      <c r="G3643">
        <f t="shared" si="122"/>
        <v>-3.1041956182191733E-2</v>
      </c>
    </row>
    <row r="3644" spans="1:38" x14ac:dyDescent="0.35">
      <c r="A3644" t="s">
        <v>190</v>
      </c>
      <c r="E3644">
        <v>4.9195128468773842E-3</v>
      </c>
      <c r="F3644">
        <f t="shared" si="123"/>
        <v>-1.5961423546788946E-2</v>
      </c>
      <c r="G3644">
        <f t="shared" si="122"/>
        <v>-3.1041956182191733E-2</v>
      </c>
    </row>
    <row r="3645" spans="1:38" x14ac:dyDescent="0.35">
      <c r="A3645" t="s">
        <v>190</v>
      </c>
      <c r="E3645">
        <v>6.9366010445153815E-3</v>
      </c>
      <c r="F3645">
        <f t="shared" si="123"/>
        <v>-1.5972548836695369E-2</v>
      </c>
      <c r="G3645">
        <f t="shared" si="122"/>
        <v>-3.1041956182191733E-2</v>
      </c>
    </row>
    <row r="3646" spans="1:38" x14ac:dyDescent="0.35">
      <c r="A3646" t="s">
        <v>190</v>
      </c>
      <c r="E3646">
        <v>2.360447881807046E-2</v>
      </c>
      <c r="F3646">
        <f t="shared" si="123"/>
        <v>-1.5983674126601791E-2</v>
      </c>
      <c r="G3646">
        <f t="shared" si="122"/>
        <v>-3.1041956182191733E-2</v>
      </c>
    </row>
    <row r="3647" spans="1:38" x14ac:dyDescent="0.35">
      <c r="A3647" t="s">
        <v>190</v>
      </c>
      <c r="E3647">
        <v>6.3612699361562533E-3</v>
      </c>
      <c r="F3647">
        <f t="shared" si="123"/>
        <v>-1.5994799416508214E-2</v>
      </c>
      <c r="G3647">
        <f t="shared" si="122"/>
        <v>-3.1041956182191733E-2</v>
      </c>
    </row>
    <row r="3648" spans="1:38" x14ac:dyDescent="0.35">
      <c r="A3648" t="s">
        <v>190</v>
      </c>
      <c r="E3648">
        <v>-2.8430513990842675E-3</v>
      </c>
      <c r="F3648">
        <f t="shared" si="123"/>
        <v>-1.6005924706414636E-2</v>
      </c>
      <c r="G3648">
        <f t="shared" si="122"/>
        <v>-3.1041956182191733E-2</v>
      </c>
    </row>
    <row r="3649" spans="1:38" x14ac:dyDescent="0.35">
      <c r="A3649" t="s">
        <v>190</v>
      </c>
      <c r="E3649">
        <v>5.6862306624147051E-3</v>
      </c>
      <c r="F3649">
        <f t="shared" si="123"/>
        <v>-1.6017049996321059E-2</v>
      </c>
      <c r="G3649">
        <f t="shared" si="122"/>
        <v>-3.1041956182191733E-2</v>
      </c>
    </row>
    <row r="3650" spans="1:38" x14ac:dyDescent="0.35">
      <c r="A3650" t="s">
        <v>190</v>
      </c>
      <c r="E3650">
        <v>-5.7316678759780401E-5</v>
      </c>
      <c r="F3650">
        <f t="shared" si="123"/>
        <v>-1.6028175286227481E-2</v>
      </c>
      <c r="G3650">
        <f t="shared" si="122"/>
        <v>-3.1041956182191733E-2</v>
      </c>
    </row>
    <row r="3651" spans="1:38" x14ac:dyDescent="0.35">
      <c r="A3651" t="s">
        <v>190</v>
      </c>
      <c r="E3651">
        <v>4.9417102464701301E-3</v>
      </c>
      <c r="F3651">
        <f t="shared" si="123"/>
        <v>-1.6039300576133904E-2</v>
      </c>
      <c r="G3651">
        <f t="shared" ref="G3651:G3714" si="124">AVERAGEIFS(E3651:E7467,E3651:E7467,"&lt;=" &amp; F3651)</f>
        <v>-3.1041956182191733E-2</v>
      </c>
    </row>
    <row r="3652" spans="1:38" x14ac:dyDescent="0.35">
      <c r="A3652" t="s">
        <v>190</v>
      </c>
      <c r="E3652">
        <v>-2.1248012170363411E-3</v>
      </c>
      <c r="F3652">
        <f t="shared" ref="F3652:F3715" si="125">_xlfn.PERCENTILE.EXC(E3652:E7467,0.05)</f>
        <v>-1.6050425866040326E-2</v>
      </c>
      <c r="G3652">
        <f t="shared" si="124"/>
        <v>-3.1041956182191733E-2</v>
      </c>
    </row>
    <row r="3653" spans="1:38" x14ac:dyDescent="0.35">
      <c r="A3653" t="s">
        <v>190</v>
      </c>
      <c r="E3653">
        <v>2.9046648924162372E-3</v>
      </c>
      <c r="F3653">
        <f t="shared" si="125"/>
        <v>-1.6061551155946749E-2</v>
      </c>
      <c r="G3653">
        <f t="shared" si="124"/>
        <v>-3.1041956182191733E-2</v>
      </c>
    </row>
    <row r="3654" spans="1:38" x14ac:dyDescent="0.35">
      <c r="A3654" t="s">
        <v>190</v>
      </c>
      <c r="E3654">
        <v>1.0778195905455304E-2</v>
      </c>
      <c r="F3654">
        <f t="shared" si="125"/>
        <v>-1.6072676445853171E-2</v>
      </c>
      <c r="G3654">
        <f t="shared" si="124"/>
        <v>-3.1041956182191733E-2</v>
      </c>
    </row>
    <row r="3655" spans="1:38" x14ac:dyDescent="0.35">
      <c r="A3655" t="s">
        <v>190</v>
      </c>
      <c r="E3655">
        <v>-1.6706556018195732E-3</v>
      </c>
      <c r="F3655">
        <f t="shared" si="125"/>
        <v>-1.6083801735759594E-2</v>
      </c>
      <c r="G3655">
        <f t="shared" si="124"/>
        <v>-3.1041956182191733E-2</v>
      </c>
    </row>
    <row r="3656" spans="1:38" x14ac:dyDescent="0.35">
      <c r="A3656" t="s">
        <v>191</v>
      </c>
      <c r="B3656" s="3" cm="1">
        <f t="array" ref="B3656">_xlfn.STDEV.S(_xlfn._xlws.FILTER($E$2826:$E$3824, $A$2826:$A$3824="2024-09"))</f>
        <v>1.1460862381061135E-2</v>
      </c>
      <c r="C3656" s="3" cm="1">
        <f t="array" ref="C3656">AVERAGE(_xlfn._xlws.FILTER($E$2826:$E$3824, $A$2826:$A$3824="2024-09"))</f>
        <v>4.0616707924341015E-4</v>
      </c>
      <c r="D3656" s="3" cm="1">
        <f t="array" ref="D3656">_xlfn.PERCENTILE.EXC(_xlfn._xlws.FILTER($E$2490:$E$3818, $A$2490:$A$3818="2024-09"), 0.05)</f>
        <v>-1.5989405255561775E-2</v>
      </c>
      <c r="E3656">
        <v>3.0389559237602474E-3</v>
      </c>
      <c r="F3656">
        <f t="shared" si="125"/>
        <v>-1.6094927025666016E-2</v>
      </c>
      <c r="G3656">
        <f t="shared" si="124"/>
        <v>-3.1041956182191733E-2</v>
      </c>
      <c r="AI3656" s="3"/>
      <c r="AJ3656" s="3"/>
      <c r="AK3656" s="3"/>
      <c r="AL3656" s="3"/>
    </row>
    <row r="3657" spans="1:38" x14ac:dyDescent="0.35">
      <c r="A3657" t="s">
        <v>191</v>
      </c>
      <c r="E3657">
        <v>-1.2250307210080238E-2</v>
      </c>
      <c r="F3657">
        <f t="shared" si="125"/>
        <v>-1.6106052315572439E-2</v>
      </c>
      <c r="G3657">
        <f t="shared" si="124"/>
        <v>-3.1041956182191733E-2</v>
      </c>
    </row>
    <row r="3658" spans="1:38" x14ac:dyDescent="0.35">
      <c r="A3658" t="s">
        <v>191</v>
      </c>
      <c r="E3658">
        <v>-1.3183671643280466E-2</v>
      </c>
      <c r="F3658">
        <f t="shared" si="125"/>
        <v>-1.6117177605478861E-2</v>
      </c>
      <c r="G3658">
        <f t="shared" si="124"/>
        <v>-3.1041956182191733E-2</v>
      </c>
    </row>
    <row r="3659" spans="1:38" x14ac:dyDescent="0.35">
      <c r="A3659" t="s">
        <v>191</v>
      </c>
      <c r="E3659">
        <v>-6.8361793778008708E-3</v>
      </c>
      <c r="F3659">
        <f t="shared" si="125"/>
        <v>-1.6128302895385284E-2</v>
      </c>
      <c r="G3659">
        <f t="shared" si="124"/>
        <v>-3.1041956182191733E-2</v>
      </c>
    </row>
    <row r="3660" spans="1:38" x14ac:dyDescent="0.35">
      <c r="A3660" t="s">
        <v>191</v>
      </c>
      <c r="E3660">
        <v>-1.6139428185291706E-2</v>
      </c>
      <c r="F3660">
        <f t="shared" si="125"/>
        <v>-1.6139428185291706E-2</v>
      </c>
      <c r="G3660">
        <f t="shared" si="124"/>
        <v>-3.1041956182191733E-2</v>
      </c>
    </row>
    <row r="3661" spans="1:38" x14ac:dyDescent="0.35">
      <c r="A3661" t="s">
        <v>191</v>
      </c>
      <c r="E3661">
        <v>8.5324032466676508E-3</v>
      </c>
      <c r="F3661">
        <f t="shared" si="125"/>
        <v>-1.6065061598217453E-2</v>
      </c>
      <c r="G3661">
        <f t="shared" si="124"/>
        <v>-3.3170888753177447E-2</v>
      </c>
    </row>
    <row r="3662" spans="1:38" x14ac:dyDescent="0.35">
      <c r="A3662" t="s">
        <v>191</v>
      </c>
      <c r="E3662">
        <v>-6.6052019197857855E-3</v>
      </c>
      <c r="F3662">
        <f t="shared" si="125"/>
        <v>-1.6213200809271647E-2</v>
      </c>
      <c r="G3662">
        <f t="shared" si="124"/>
        <v>-3.3170888753177447E-2</v>
      </c>
    </row>
    <row r="3663" spans="1:38" x14ac:dyDescent="0.35">
      <c r="A3663" t="s">
        <v>191</v>
      </c>
      <c r="E3663">
        <v>3.4445158431375129E-3</v>
      </c>
      <c r="F3663">
        <f t="shared" si="125"/>
        <v>-1.6361340020325844E-2</v>
      </c>
      <c r="G3663">
        <f t="shared" si="124"/>
        <v>-3.3170888753177447E-2</v>
      </c>
    </row>
    <row r="3664" spans="1:38" x14ac:dyDescent="0.35">
      <c r="A3664" t="s">
        <v>191</v>
      </c>
      <c r="E3664">
        <v>1.0545471022167305E-2</v>
      </c>
      <c r="F3664">
        <f t="shared" si="125"/>
        <v>-1.6509479231380037E-2</v>
      </c>
      <c r="G3664">
        <f t="shared" si="124"/>
        <v>-3.3170888753177447E-2</v>
      </c>
    </row>
    <row r="3665" spans="1:38" x14ac:dyDescent="0.35">
      <c r="A3665" t="s">
        <v>191</v>
      </c>
      <c r="E3665">
        <v>6.1938038594109065E-3</v>
      </c>
      <c r="F3665">
        <f t="shared" si="125"/>
        <v>-1.6657618442434238E-2</v>
      </c>
      <c r="G3665">
        <f t="shared" si="124"/>
        <v>-3.3170888753177447E-2</v>
      </c>
    </row>
    <row r="3666" spans="1:38" x14ac:dyDescent="0.35">
      <c r="A3666" t="s">
        <v>191</v>
      </c>
      <c r="E3666">
        <v>-3.3830972688794754E-3</v>
      </c>
      <c r="F3666">
        <f t="shared" si="125"/>
        <v>-1.6805757653488431E-2</v>
      </c>
      <c r="G3666">
        <f t="shared" si="124"/>
        <v>-3.3170888753177447E-2</v>
      </c>
    </row>
    <row r="3667" spans="1:38" x14ac:dyDescent="0.35">
      <c r="A3667" t="s">
        <v>191</v>
      </c>
      <c r="E3667">
        <v>6.8432548515499026E-3</v>
      </c>
      <c r="F3667">
        <f t="shared" si="125"/>
        <v>-1.6953896864542628E-2</v>
      </c>
      <c r="G3667">
        <f t="shared" si="124"/>
        <v>-3.3170888753177447E-2</v>
      </c>
    </row>
    <row r="3668" spans="1:38" x14ac:dyDescent="0.35">
      <c r="A3668" t="s">
        <v>191</v>
      </c>
      <c r="E3668">
        <v>-5.2557443116160217E-3</v>
      </c>
      <c r="F3668">
        <f t="shared" si="125"/>
        <v>-1.7102036075596825E-2</v>
      </c>
      <c r="G3668">
        <f t="shared" si="124"/>
        <v>-3.3170888753177447E-2</v>
      </c>
    </row>
    <row r="3669" spans="1:38" x14ac:dyDescent="0.35">
      <c r="A3669" t="s">
        <v>191</v>
      </c>
      <c r="E3669">
        <v>2.2106133210649262E-2</v>
      </c>
      <c r="F3669">
        <f t="shared" si="125"/>
        <v>-1.7250175286651018E-2</v>
      </c>
      <c r="G3669">
        <f t="shared" si="124"/>
        <v>-3.3170888753177447E-2</v>
      </c>
    </row>
    <row r="3670" spans="1:38" x14ac:dyDescent="0.35">
      <c r="A3670" t="s">
        <v>191</v>
      </c>
      <c r="E3670">
        <v>-1.4639198887992394E-2</v>
      </c>
      <c r="F3670">
        <f t="shared" si="125"/>
        <v>-1.7398314497705215E-2</v>
      </c>
      <c r="G3670">
        <f t="shared" si="124"/>
        <v>-3.3170888753177447E-2</v>
      </c>
    </row>
    <row r="3671" spans="1:38" x14ac:dyDescent="0.35">
      <c r="A3671" t="s">
        <v>191</v>
      </c>
      <c r="E3671">
        <v>2.8758535405731221E-3</v>
      </c>
      <c r="F3671">
        <f t="shared" si="125"/>
        <v>-1.7546453708759412E-2</v>
      </c>
      <c r="G3671">
        <f t="shared" si="124"/>
        <v>-3.3170888753177447E-2</v>
      </c>
    </row>
    <row r="3672" spans="1:38" x14ac:dyDescent="0.35">
      <c r="A3672" t="s">
        <v>191</v>
      </c>
      <c r="E3672">
        <v>1.1225107153913059E-2</v>
      </c>
      <c r="F3672">
        <f t="shared" si="125"/>
        <v>-1.7694592919813609E-2</v>
      </c>
      <c r="G3672">
        <f t="shared" si="124"/>
        <v>-3.3170888753177447E-2</v>
      </c>
    </row>
    <row r="3673" spans="1:38" x14ac:dyDescent="0.35">
      <c r="A3673" t="s">
        <v>191</v>
      </c>
      <c r="E3673">
        <v>-4.8348527524271637E-3</v>
      </c>
      <c r="F3673">
        <f t="shared" si="125"/>
        <v>-1.7842732130867803E-2</v>
      </c>
      <c r="G3673">
        <f t="shared" si="124"/>
        <v>-3.3170888753177447E-2</v>
      </c>
    </row>
    <row r="3674" spans="1:38" x14ac:dyDescent="0.35">
      <c r="A3674" t="s">
        <v>191</v>
      </c>
      <c r="E3674">
        <v>2.325854531257927E-2</v>
      </c>
      <c r="F3674">
        <f t="shared" si="125"/>
        <v>-1.7990871341922E-2</v>
      </c>
      <c r="G3674">
        <f t="shared" si="124"/>
        <v>-3.3170888753177447E-2</v>
      </c>
    </row>
    <row r="3675" spans="1:38" x14ac:dyDescent="0.35">
      <c r="A3675" t="s">
        <v>191</v>
      </c>
      <c r="E3675">
        <v>6.9029703696310207E-3</v>
      </c>
      <c r="F3675">
        <f t="shared" si="125"/>
        <v>-1.8139010552976197E-2</v>
      </c>
      <c r="G3675">
        <f t="shared" si="124"/>
        <v>-3.3170888753177447E-2</v>
      </c>
    </row>
    <row r="3676" spans="1:38" x14ac:dyDescent="0.35">
      <c r="A3676" t="s">
        <v>191</v>
      </c>
      <c r="E3676">
        <v>-1.3309824112773526E-2</v>
      </c>
      <c r="F3676">
        <f t="shared" si="125"/>
        <v>-1.8287149764030394E-2</v>
      </c>
      <c r="G3676">
        <f t="shared" si="124"/>
        <v>-3.3170888753177447E-2</v>
      </c>
    </row>
    <row r="3677" spans="1:38" x14ac:dyDescent="0.35">
      <c r="A3677" t="s">
        <v>192</v>
      </c>
      <c r="B3677" s="3" cm="1">
        <f t="array" ref="B3677">_xlfn.STDEV.S(_xlfn._xlws.FILTER($E$2826:$E$3824, $A$2826:$A$3824="2024-10"))</f>
        <v>7.7860579037157904E-3</v>
      </c>
      <c r="C3677" s="3" cm="1">
        <f t="array" ref="C3677">AVERAGE(_xlfn._xlws.FILTER($E$2826:$E$3824, $A$2826:$A$3824="2024-10"))</f>
        <v>-1.5292280162646293E-3</v>
      </c>
      <c r="D3677" s="3" cm="1">
        <f t="array" ref="D3677">_xlfn.PERCENTILE.EXC(_xlfn._xlws.FILTER($E$2490:$E$3818, $A$2490:$A$3818="2024-10"), 0.05)</f>
        <v>-1.7717527696283309E-2</v>
      </c>
      <c r="E3677">
        <v>-9.3022992127844324E-3</v>
      </c>
      <c r="F3677">
        <f t="shared" si="125"/>
        <v>-1.8435288975084587E-2</v>
      </c>
      <c r="G3677">
        <f t="shared" si="124"/>
        <v>-3.3170888753177447E-2</v>
      </c>
      <c r="AI3677" s="3"/>
      <c r="AJ3677" s="3"/>
      <c r="AK3677" s="3"/>
      <c r="AL3677" s="3"/>
    </row>
    <row r="3678" spans="1:38" x14ac:dyDescent="0.35">
      <c r="A3678" t="s">
        <v>192</v>
      </c>
      <c r="E3678">
        <v>1.8432181263970094E-3</v>
      </c>
      <c r="F3678">
        <f t="shared" si="125"/>
        <v>-1.8583428186138784E-2</v>
      </c>
      <c r="G3678">
        <f t="shared" si="124"/>
        <v>-3.3170888753177447E-2</v>
      </c>
    </row>
    <row r="3679" spans="1:38" x14ac:dyDescent="0.35">
      <c r="A3679" t="s">
        <v>192</v>
      </c>
      <c r="E3679">
        <v>-8.4900081217613513E-3</v>
      </c>
      <c r="F3679">
        <f t="shared" si="125"/>
        <v>-1.8731567397192981E-2</v>
      </c>
      <c r="G3679">
        <f t="shared" si="124"/>
        <v>-3.3170888753177447E-2</v>
      </c>
    </row>
    <row r="3680" spans="1:38" x14ac:dyDescent="0.35">
      <c r="A3680" t="s">
        <v>192</v>
      </c>
      <c r="E3680">
        <v>6.8062395516151099E-3</v>
      </c>
      <c r="F3680">
        <f t="shared" si="125"/>
        <v>-1.8879706608247178E-2</v>
      </c>
      <c r="G3680">
        <f t="shared" si="124"/>
        <v>-3.3170888753177447E-2</v>
      </c>
    </row>
    <row r="3681" spans="1:7" x14ac:dyDescent="0.35">
      <c r="A3681" t="s">
        <v>192</v>
      </c>
      <c r="E3681">
        <v>2.9764295776909411E-3</v>
      </c>
      <c r="F3681">
        <f t="shared" si="125"/>
        <v>-1.9074880765620028E-2</v>
      </c>
      <c r="G3681">
        <f t="shared" si="124"/>
        <v>-3.5552752443999157E-2</v>
      </c>
    </row>
    <row r="3682" spans="1:7" x14ac:dyDescent="0.35">
      <c r="A3682" t="s">
        <v>192</v>
      </c>
      <c r="E3682">
        <v>-4.1759523357514121E-3</v>
      </c>
      <c r="F3682">
        <f t="shared" si="125"/>
        <v>-1.9270054922992882E-2</v>
      </c>
      <c r="G3682">
        <f t="shared" si="124"/>
        <v>-3.5552752443999157E-2</v>
      </c>
    </row>
    <row r="3683" spans="1:7" x14ac:dyDescent="0.35">
      <c r="A3683" t="s">
        <v>192</v>
      </c>
      <c r="E3683">
        <v>6.760286208477375E-3</v>
      </c>
      <c r="F3683">
        <f t="shared" si="125"/>
        <v>-1.9465229080365732E-2</v>
      </c>
      <c r="G3683">
        <f t="shared" si="124"/>
        <v>-3.5552752443999157E-2</v>
      </c>
    </row>
    <row r="3684" spans="1:7" x14ac:dyDescent="0.35">
      <c r="A3684" t="s">
        <v>192</v>
      </c>
      <c r="E3684">
        <v>-2.4575739468013095E-3</v>
      </c>
      <c r="F3684">
        <f t="shared" si="125"/>
        <v>-1.9660403237738582E-2</v>
      </c>
      <c r="G3684">
        <f t="shared" si="124"/>
        <v>-3.5552752443999157E-2</v>
      </c>
    </row>
    <row r="3685" spans="1:7" x14ac:dyDescent="0.35">
      <c r="A3685" t="s">
        <v>192</v>
      </c>
      <c r="E3685">
        <v>6.7333570352109649E-3</v>
      </c>
      <c r="F3685">
        <f t="shared" si="125"/>
        <v>-1.9855577395111436E-2</v>
      </c>
      <c r="G3685">
        <f t="shared" si="124"/>
        <v>-3.5552752443999157E-2</v>
      </c>
    </row>
    <row r="3686" spans="1:7" x14ac:dyDescent="0.35">
      <c r="A3686" t="s">
        <v>192</v>
      </c>
      <c r="E3686">
        <v>7.38485356527645E-3</v>
      </c>
      <c r="F3686">
        <f t="shared" si="125"/>
        <v>-2.005075155248429E-2</v>
      </c>
      <c r="G3686">
        <f t="shared" si="124"/>
        <v>-3.5552752443999157E-2</v>
      </c>
    </row>
    <row r="3687" spans="1:7" x14ac:dyDescent="0.35">
      <c r="A3687" t="s">
        <v>192</v>
      </c>
      <c r="E3687">
        <v>-1.8879706608247178E-2</v>
      </c>
      <c r="F3687">
        <f t="shared" si="125"/>
        <v>-2.024592570985714E-2</v>
      </c>
      <c r="G3687">
        <f t="shared" si="124"/>
        <v>-3.5552752443999157E-2</v>
      </c>
    </row>
    <row r="3688" spans="1:7" x14ac:dyDescent="0.35">
      <c r="A3688" t="s">
        <v>192</v>
      </c>
      <c r="E3688">
        <v>-7.7155740608149271E-3</v>
      </c>
      <c r="F3688">
        <f t="shared" si="125"/>
        <v>-1.8663429334579637E-2</v>
      </c>
      <c r="G3688">
        <f t="shared" si="124"/>
        <v>-3.5552752443999157E-2</v>
      </c>
    </row>
    <row r="3689" spans="1:7" x14ac:dyDescent="0.35">
      <c r="A3689" t="s">
        <v>192</v>
      </c>
      <c r="E3689">
        <v>7.8307950578467254E-3</v>
      </c>
      <c r="F3689">
        <f t="shared" si="125"/>
        <v>-1.9006742703006684E-2</v>
      </c>
      <c r="G3689">
        <f t="shared" si="124"/>
        <v>-3.5552752443999157E-2</v>
      </c>
    </row>
    <row r="3690" spans="1:7" x14ac:dyDescent="0.35">
      <c r="A3690" t="s">
        <v>192</v>
      </c>
      <c r="E3690">
        <v>7.8461620390716542E-3</v>
      </c>
      <c r="F3690">
        <f t="shared" si="125"/>
        <v>-1.9350056071433738E-2</v>
      </c>
      <c r="G3690">
        <f t="shared" si="124"/>
        <v>-3.5552752443999157E-2</v>
      </c>
    </row>
    <row r="3691" spans="1:7" x14ac:dyDescent="0.35">
      <c r="A3691" t="s">
        <v>192</v>
      </c>
      <c r="E3691">
        <v>-9.0758709876652289E-3</v>
      </c>
      <c r="F3691">
        <f t="shared" si="125"/>
        <v>-1.9693369439860782E-2</v>
      </c>
      <c r="G3691">
        <f t="shared" si="124"/>
        <v>-3.5552752443999157E-2</v>
      </c>
    </row>
    <row r="3692" spans="1:7" x14ac:dyDescent="0.35">
      <c r="A3692" t="s">
        <v>192</v>
      </c>
      <c r="E3692">
        <v>-3.866189412493554E-4</v>
      </c>
      <c r="F3692">
        <f t="shared" si="125"/>
        <v>-2.0036682808287829E-2</v>
      </c>
      <c r="G3692">
        <f t="shared" si="124"/>
        <v>-3.5552752443999157E-2</v>
      </c>
    </row>
    <row r="3693" spans="1:7" x14ac:dyDescent="0.35">
      <c r="A3693" t="s">
        <v>192</v>
      </c>
      <c r="E3693">
        <v>-3.3989564109719807E-3</v>
      </c>
      <c r="F3693">
        <f t="shared" si="125"/>
        <v>-2.0379996176714876E-2</v>
      </c>
      <c r="G3693">
        <f t="shared" si="124"/>
        <v>-3.5552752443999157E-2</v>
      </c>
    </row>
    <row r="3694" spans="1:7" x14ac:dyDescent="0.35">
      <c r="A3694" t="s">
        <v>192</v>
      </c>
      <c r="E3694">
        <v>2.6171652187602246E-3</v>
      </c>
      <c r="F3694">
        <f t="shared" si="125"/>
        <v>-2.0723309545141923E-2</v>
      </c>
      <c r="G3694">
        <f t="shared" si="124"/>
        <v>-3.5552752443999157E-2</v>
      </c>
    </row>
    <row r="3695" spans="1:7" x14ac:dyDescent="0.35">
      <c r="A3695" t="s">
        <v>192</v>
      </c>
      <c r="E3695">
        <v>1.5467875866795717E-3</v>
      </c>
      <c r="F3695">
        <f t="shared" si="125"/>
        <v>-2.1066622913568978E-2</v>
      </c>
      <c r="G3695">
        <f t="shared" si="124"/>
        <v>-3.5552752443999157E-2</v>
      </c>
    </row>
    <row r="3696" spans="1:7" x14ac:dyDescent="0.35">
      <c r="A3696" t="s">
        <v>192</v>
      </c>
      <c r="E3696">
        <v>5.3949925668148237E-3</v>
      </c>
      <c r="F3696">
        <f t="shared" si="125"/>
        <v>-2.1409936281996025E-2</v>
      </c>
      <c r="G3696">
        <f t="shared" si="124"/>
        <v>-3.5552752443999157E-2</v>
      </c>
    </row>
    <row r="3697" spans="1:38" x14ac:dyDescent="0.35">
      <c r="A3697" t="s">
        <v>192</v>
      </c>
      <c r="E3697">
        <v>-3.9940173156597057E-3</v>
      </c>
      <c r="F3697">
        <f t="shared" si="125"/>
        <v>-2.1753249650423072E-2</v>
      </c>
      <c r="G3697">
        <f t="shared" si="124"/>
        <v>-3.5552752443999157E-2</v>
      </c>
    </row>
    <row r="3698" spans="1:38" x14ac:dyDescent="0.35">
      <c r="A3698" t="s">
        <v>192</v>
      </c>
      <c r="E3698">
        <v>-1.3068812048427837E-2</v>
      </c>
      <c r="F3698">
        <f t="shared" si="125"/>
        <v>-2.2096563018850116E-2</v>
      </c>
      <c r="G3698">
        <f t="shared" si="124"/>
        <v>-3.5552752443999157E-2</v>
      </c>
    </row>
    <row r="3699" spans="1:38" x14ac:dyDescent="0.35">
      <c r="A3699" t="s">
        <v>192</v>
      </c>
      <c r="E3699">
        <v>-1.1967140917792603E-2</v>
      </c>
      <c r="F3699">
        <f t="shared" si="125"/>
        <v>-2.2439876387277163E-2</v>
      </c>
      <c r="G3699">
        <f t="shared" si="124"/>
        <v>-3.5552752443999157E-2</v>
      </c>
    </row>
    <row r="3700" spans="1:38" x14ac:dyDescent="0.35">
      <c r="A3700" t="s">
        <v>193</v>
      </c>
      <c r="B3700" s="3" cm="1">
        <f t="array" ref="B3700">_xlfn.STDEV.S(_xlfn._xlws.FILTER($E$2826:$E$3824, $A$2826:$A$3824="2024-11"))</f>
        <v>1.0102320285916958E-2</v>
      </c>
      <c r="C3700" s="3" cm="1">
        <f t="array" ref="C3700">AVERAGE(_xlfn._xlws.FILTER($E$2826:$E$3824, $A$2826:$A$3824="2024-11"))</f>
        <v>-2.2969044343136859E-4</v>
      </c>
      <c r="D3700" s="3" cm="1">
        <f t="array" ref="D3700">_xlfn.PERCENTILE.EXC(_xlfn._xlws.FILTER($E$2490:$E$3818, $A$2490:$A$3818="2024-11"), 0.05)</f>
        <v>-2.1946324510577275E-2</v>
      </c>
      <c r="E3700">
        <v>1.0328383957614424E-2</v>
      </c>
      <c r="F3700">
        <f t="shared" si="125"/>
        <v>-2.2783189755704217E-2</v>
      </c>
      <c r="G3700">
        <f t="shared" si="124"/>
        <v>-3.5552752443999157E-2</v>
      </c>
      <c r="AI3700" s="3"/>
      <c r="AJ3700" s="3"/>
      <c r="AK3700" s="3"/>
      <c r="AL3700" s="3"/>
    </row>
    <row r="3701" spans="1:38" x14ac:dyDescent="0.35">
      <c r="A3701" t="s">
        <v>193</v>
      </c>
      <c r="E3701">
        <v>-5.2724470407434507E-3</v>
      </c>
      <c r="F3701">
        <f t="shared" si="125"/>
        <v>-2.3047672955592655E-2</v>
      </c>
      <c r="G3701">
        <f t="shared" si="124"/>
        <v>-3.8106664981658149E-2</v>
      </c>
    </row>
    <row r="3702" spans="1:38" x14ac:dyDescent="0.35">
      <c r="A3702" t="s">
        <v>193</v>
      </c>
      <c r="E3702">
        <v>3.7500956786248379E-3</v>
      </c>
      <c r="F3702">
        <f t="shared" si="125"/>
        <v>-2.3312156155481094E-2</v>
      </c>
      <c r="G3702">
        <f t="shared" si="124"/>
        <v>-3.8106664981658149E-2</v>
      </c>
    </row>
    <row r="3703" spans="1:38" x14ac:dyDescent="0.35">
      <c r="A3703" t="s">
        <v>193</v>
      </c>
      <c r="E3703">
        <v>-1.4414537304434811E-2</v>
      </c>
      <c r="F3703">
        <f t="shared" si="125"/>
        <v>-2.3576639355369536E-2</v>
      </c>
      <c r="G3703">
        <f t="shared" si="124"/>
        <v>-3.8106664981658149E-2</v>
      </c>
    </row>
    <row r="3704" spans="1:38" x14ac:dyDescent="0.35">
      <c r="A3704" t="s">
        <v>193</v>
      </c>
      <c r="E3704">
        <v>1.0635587723420629E-2</v>
      </c>
      <c r="F3704">
        <f t="shared" si="125"/>
        <v>-2.3841122555257971E-2</v>
      </c>
      <c r="G3704">
        <f t="shared" si="124"/>
        <v>-3.8106664981658149E-2</v>
      </c>
    </row>
    <row r="3705" spans="1:38" x14ac:dyDescent="0.35">
      <c r="A3705" t="s">
        <v>193</v>
      </c>
      <c r="E3705">
        <v>-1.019199436005053E-2</v>
      </c>
      <c r="F3705">
        <f t="shared" si="125"/>
        <v>-2.4105605755146416E-2</v>
      </c>
      <c r="G3705">
        <f t="shared" si="124"/>
        <v>-3.8106664981658149E-2</v>
      </c>
    </row>
    <row r="3706" spans="1:38" x14ac:dyDescent="0.35">
      <c r="A3706" t="s">
        <v>193</v>
      </c>
      <c r="E3706">
        <v>1.0618535090338433E-2</v>
      </c>
      <c r="F3706">
        <f t="shared" si="125"/>
        <v>-2.4370088955034855E-2</v>
      </c>
      <c r="G3706">
        <f t="shared" si="124"/>
        <v>-3.8106664981658149E-2</v>
      </c>
    </row>
    <row r="3707" spans="1:38" x14ac:dyDescent="0.35">
      <c r="A3707" t="s">
        <v>193</v>
      </c>
      <c r="E3707">
        <v>-2.2783189755704217E-2</v>
      </c>
      <c r="F3707">
        <f t="shared" si="125"/>
        <v>-2.4634572154923293E-2</v>
      </c>
      <c r="G3707">
        <f t="shared" si="124"/>
        <v>-3.8106664981658149E-2</v>
      </c>
    </row>
    <row r="3708" spans="1:38" x14ac:dyDescent="0.35">
      <c r="A3708" t="s">
        <v>193</v>
      </c>
      <c r="E3708">
        <v>-9.1723490700141598E-4</v>
      </c>
      <c r="F3708">
        <f t="shared" si="125"/>
        <v>-2.0779294933687152E-2</v>
      </c>
      <c r="G3708">
        <f t="shared" si="124"/>
        <v>-3.8106664981658149E-2</v>
      </c>
    </row>
    <row r="3709" spans="1:38" x14ac:dyDescent="0.35">
      <c r="A3709" t="s">
        <v>193</v>
      </c>
      <c r="E3709">
        <v>1.9468186493469118E-2</v>
      </c>
      <c r="F3709">
        <f t="shared" si="125"/>
        <v>-2.1387091502002638E-2</v>
      </c>
      <c r="G3709">
        <f t="shared" si="124"/>
        <v>-3.8106664981658149E-2</v>
      </c>
    </row>
    <row r="3710" spans="1:38" x14ac:dyDescent="0.35">
      <c r="A3710" t="s">
        <v>193</v>
      </c>
      <c r="E3710">
        <v>-8.0346243257256051E-3</v>
      </c>
      <c r="F3710">
        <f t="shared" si="125"/>
        <v>-2.1994888070318137E-2</v>
      </c>
      <c r="G3710">
        <f t="shared" si="124"/>
        <v>-3.8106664981658149E-2</v>
      </c>
    </row>
    <row r="3711" spans="1:38" x14ac:dyDescent="0.35">
      <c r="A3711" t="s">
        <v>193</v>
      </c>
      <c r="E3711">
        <v>-9.4312268210676139E-4</v>
      </c>
      <c r="F3711">
        <f t="shared" si="125"/>
        <v>-2.2602684638633623E-2</v>
      </c>
      <c r="G3711">
        <f t="shared" si="124"/>
        <v>-3.8106664981658149E-2</v>
      </c>
    </row>
    <row r="3712" spans="1:38" x14ac:dyDescent="0.35">
      <c r="A3712" t="s">
        <v>193</v>
      </c>
      <c r="E3712">
        <v>-8.1957706840698179E-3</v>
      </c>
      <c r="F3712">
        <f t="shared" si="125"/>
        <v>-2.3210481206949109E-2</v>
      </c>
      <c r="G3712">
        <f t="shared" si="124"/>
        <v>-3.8106664981658149E-2</v>
      </c>
    </row>
    <row r="3713" spans="1:38" x14ac:dyDescent="0.35">
      <c r="A3713" t="s">
        <v>193</v>
      </c>
      <c r="E3713">
        <v>-4.5396420518698981E-3</v>
      </c>
      <c r="F3713">
        <f t="shared" si="125"/>
        <v>-2.3818277775264594E-2</v>
      </c>
      <c r="G3713">
        <f t="shared" si="124"/>
        <v>-3.8106664981658149E-2</v>
      </c>
    </row>
    <row r="3714" spans="1:38" x14ac:dyDescent="0.35">
      <c r="A3714" t="s">
        <v>193</v>
      </c>
      <c r="E3714">
        <v>5.5073440247136139E-3</v>
      </c>
      <c r="F3714">
        <f t="shared" si="125"/>
        <v>-2.442607434358008E-2</v>
      </c>
      <c r="G3714">
        <f t="shared" si="124"/>
        <v>-3.8106664981658149E-2</v>
      </c>
    </row>
    <row r="3715" spans="1:38" x14ac:dyDescent="0.35">
      <c r="A3715" t="s">
        <v>193</v>
      </c>
      <c r="E3715">
        <v>6.9670923030559452E-3</v>
      </c>
      <c r="F3715">
        <f t="shared" si="125"/>
        <v>-2.5033870911895576E-2</v>
      </c>
      <c r="G3715">
        <f t="shared" ref="G3715:G3778" si="126">AVERAGEIFS(E3715:E7531,E3715:E7531,"&lt;=" &amp; F3715)</f>
        <v>-3.8106664981658149E-2</v>
      </c>
    </row>
    <row r="3716" spans="1:38" x14ac:dyDescent="0.35">
      <c r="A3716" t="s">
        <v>193</v>
      </c>
      <c r="E3716">
        <v>2.2505080439645538E-3</v>
      </c>
      <c r="F3716">
        <f t="shared" ref="F3716:F3779" si="127">_xlfn.PERCENTILE.EXC(E3716:E7531,0.05)</f>
        <v>-2.5641667480211062E-2</v>
      </c>
      <c r="G3716">
        <f t="shared" si="126"/>
        <v>-3.8106664981658149E-2</v>
      </c>
    </row>
    <row r="3717" spans="1:38" x14ac:dyDescent="0.35">
      <c r="A3717" t="s">
        <v>193</v>
      </c>
      <c r="E3717">
        <v>-7.9231861092865941E-3</v>
      </c>
      <c r="F3717">
        <f t="shared" si="127"/>
        <v>-2.6249464048526547E-2</v>
      </c>
      <c r="G3717">
        <f t="shared" si="126"/>
        <v>-3.8106664981658149E-2</v>
      </c>
    </row>
    <row r="3718" spans="1:38" x14ac:dyDescent="0.35">
      <c r="A3718" t="s">
        <v>193</v>
      </c>
      <c r="E3718">
        <v>-6.0747053098447095E-3</v>
      </c>
      <c r="F3718">
        <f t="shared" si="127"/>
        <v>-2.6857260616842033E-2</v>
      </c>
      <c r="G3718">
        <f t="shared" si="126"/>
        <v>-3.8106664981658149E-2</v>
      </c>
    </row>
    <row r="3719" spans="1:38" x14ac:dyDescent="0.35">
      <c r="A3719" t="s">
        <v>193</v>
      </c>
      <c r="E3719">
        <v>5.3730717774306599E-3</v>
      </c>
      <c r="F3719">
        <f t="shared" si="127"/>
        <v>-2.7465057185157519E-2</v>
      </c>
      <c r="G3719">
        <f t="shared" si="126"/>
        <v>-3.8106664981658149E-2</v>
      </c>
    </row>
    <row r="3720" spans="1:38" x14ac:dyDescent="0.35">
      <c r="A3720" t="s">
        <v>193</v>
      </c>
      <c r="E3720">
        <v>9.5681501261468509E-3</v>
      </c>
      <c r="F3720">
        <f t="shared" si="127"/>
        <v>-2.8072853753473015E-2</v>
      </c>
      <c r="G3720">
        <f t="shared" si="126"/>
        <v>-3.8106664981658149E-2</v>
      </c>
    </row>
    <row r="3721" spans="1:38" x14ac:dyDescent="0.35">
      <c r="A3721" t="s">
        <v>194</v>
      </c>
      <c r="B3721" s="3" cm="1">
        <f t="array" ref="B3721">_xlfn.STDEV.S(_xlfn._xlws.FILTER($E$2826:$E$3824, $A$2826:$A$3824="2024-12"))</f>
        <v>6.5251728842300625E-3</v>
      </c>
      <c r="C3721" s="3" cm="1">
        <f t="array" ref="C3721">AVERAGE(_xlfn._xlws.FILTER($E$2826:$E$3824, $A$2826:$A$3824="2024-12"))</f>
        <v>7.4521764021125223E-4</v>
      </c>
      <c r="D3721" s="3" cm="1">
        <f t="array" ref="D3721">_xlfn.PERCENTILE.INC(_xlfn._xlws.FILTER($E$2490:$E$3818, $A$2490:$A$3818="2024-12"), 0.05)</f>
        <v>-8.1561874766987591E-3</v>
      </c>
      <c r="E3721">
        <v>8.772086053962869E-3</v>
      </c>
      <c r="F3721">
        <f t="shared" si="127"/>
        <v>-2.8281881572540215E-2</v>
      </c>
      <c r="G3721">
        <f t="shared" si="126"/>
        <v>-4.0615117788704434E-2</v>
      </c>
      <c r="AI3721" s="3"/>
      <c r="AJ3721" s="3"/>
      <c r="AK3721" s="3"/>
      <c r="AL3721" s="3"/>
    </row>
    <row r="3722" spans="1:38" x14ac:dyDescent="0.35">
      <c r="A3722" t="s">
        <v>194</v>
      </c>
      <c r="E3722">
        <v>6.5355946219985486E-3</v>
      </c>
      <c r="F3722">
        <f t="shared" si="127"/>
        <v>-2.8490909391607418E-2</v>
      </c>
      <c r="G3722">
        <f t="shared" si="126"/>
        <v>-4.0615117788704434E-2</v>
      </c>
    </row>
    <row r="3723" spans="1:38" x14ac:dyDescent="0.35">
      <c r="A3723" t="s">
        <v>194</v>
      </c>
      <c r="E3723">
        <v>8.2694782978239775E-3</v>
      </c>
      <c r="F3723">
        <f t="shared" si="127"/>
        <v>-2.8699937210674618E-2</v>
      </c>
      <c r="G3723">
        <f t="shared" si="126"/>
        <v>-4.0615117788704434E-2</v>
      </c>
    </row>
    <row r="3724" spans="1:38" x14ac:dyDescent="0.35">
      <c r="A3724" t="s">
        <v>194</v>
      </c>
      <c r="E3724">
        <v>6.5973938969044084E-3</v>
      </c>
      <c r="F3724">
        <f t="shared" si="127"/>
        <v>-2.8908965029741818E-2</v>
      </c>
      <c r="G3724">
        <f t="shared" si="126"/>
        <v>-4.0615117788704434E-2</v>
      </c>
    </row>
    <row r="3725" spans="1:38" x14ac:dyDescent="0.35">
      <c r="A3725" t="s">
        <v>194</v>
      </c>
      <c r="E3725">
        <v>5.2772909443039888E-3</v>
      </c>
      <c r="F3725">
        <f t="shared" si="127"/>
        <v>-2.9117992848809025E-2</v>
      </c>
      <c r="G3725">
        <f t="shared" si="126"/>
        <v>-4.0615117788704434E-2</v>
      </c>
    </row>
    <row r="3726" spans="1:38" x14ac:dyDescent="0.35">
      <c r="A3726" t="s">
        <v>194</v>
      </c>
      <c r="E3726">
        <v>1.5416674738565157E-3</v>
      </c>
      <c r="F3726">
        <f t="shared" si="127"/>
        <v>-2.9327020667876225E-2</v>
      </c>
      <c r="G3726">
        <f t="shared" si="126"/>
        <v>-4.0615117788704434E-2</v>
      </c>
    </row>
    <row r="3727" spans="1:38" x14ac:dyDescent="0.35">
      <c r="A3727" t="s">
        <v>194</v>
      </c>
      <c r="E3727">
        <v>-6.7866460219109075E-3</v>
      </c>
      <c r="F3727">
        <f t="shared" si="127"/>
        <v>-2.9536048486943425E-2</v>
      </c>
      <c r="G3727">
        <f t="shared" si="126"/>
        <v>-4.0615117788704434E-2</v>
      </c>
    </row>
    <row r="3728" spans="1:38" x14ac:dyDescent="0.35">
      <c r="A3728" t="s">
        <v>194</v>
      </c>
      <c r="E3728">
        <v>1.5356537970119173E-3</v>
      </c>
      <c r="F3728">
        <f t="shared" si="127"/>
        <v>-2.9745076306010625E-2</v>
      </c>
      <c r="G3728">
        <f t="shared" si="126"/>
        <v>-4.0615117788704434E-2</v>
      </c>
    </row>
    <row r="3729" spans="1:38" x14ac:dyDescent="0.35">
      <c r="A3729" t="s">
        <v>194</v>
      </c>
      <c r="E3729">
        <v>1.2453552685207905E-3</v>
      </c>
      <c r="F3729">
        <f t="shared" si="127"/>
        <v>-2.9954104125077832E-2</v>
      </c>
      <c r="G3729">
        <f t="shared" si="126"/>
        <v>-4.0615117788704434E-2</v>
      </c>
    </row>
    <row r="3730" spans="1:38" x14ac:dyDescent="0.35">
      <c r="A3730" t="s">
        <v>194</v>
      </c>
      <c r="E3730">
        <v>4.8724113762278249E-4</v>
      </c>
      <c r="F3730">
        <f t="shared" si="127"/>
        <v>-3.0163131944145032E-2</v>
      </c>
      <c r="G3730">
        <f t="shared" si="126"/>
        <v>-4.0615117788704434E-2</v>
      </c>
    </row>
    <row r="3731" spans="1:38" x14ac:dyDescent="0.35">
      <c r="A3731" t="s">
        <v>194</v>
      </c>
      <c r="E3731">
        <v>-4.2198836597262266E-3</v>
      </c>
      <c r="F3731">
        <f t="shared" si="127"/>
        <v>-3.0372159763212232E-2</v>
      </c>
      <c r="G3731">
        <f t="shared" si="126"/>
        <v>-4.0615117788704434E-2</v>
      </c>
    </row>
    <row r="3732" spans="1:38" x14ac:dyDescent="0.35">
      <c r="A3732" t="s">
        <v>194</v>
      </c>
      <c r="E3732">
        <v>-8.9993443630857837E-4</v>
      </c>
      <c r="F3732">
        <f t="shared" si="127"/>
        <v>-3.0581187582279436E-2</v>
      </c>
      <c r="G3732">
        <f t="shared" si="126"/>
        <v>-4.0615117788704434E-2</v>
      </c>
    </row>
    <row r="3733" spans="1:38" x14ac:dyDescent="0.35">
      <c r="A3733" t="s">
        <v>194</v>
      </c>
      <c r="E3733">
        <v>2.9697411486055186E-3</v>
      </c>
      <c r="F3733">
        <f t="shared" si="127"/>
        <v>-3.0790215401346636E-2</v>
      </c>
      <c r="G3733">
        <f t="shared" si="126"/>
        <v>-4.0615117788704434E-2</v>
      </c>
    </row>
    <row r="3734" spans="1:38" x14ac:dyDescent="0.35">
      <c r="A3734" t="s">
        <v>194</v>
      </c>
      <c r="E3734">
        <v>-1.5916922387163256E-2</v>
      </c>
      <c r="F3734">
        <f t="shared" si="127"/>
        <v>-3.0999243220413839E-2</v>
      </c>
      <c r="G3734">
        <f t="shared" si="126"/>
        <v>-4.0615117788704434E-2</v>
      </c>
    </row>
    <row r="3735" spans="1:38" x14ac:dyDescent="0.35">
      <c r="A3735" t="s">
        <v>194</v>
      </c>
      <c r="E3735">
        <v>-3.432817128624195E-3</v>
      </c>
      <c r="F3735">
        <f t="shared" si="127"/>
        <v>-3.1208271039481039E-2</v>
      </c>
      <c r="G3735">
        <f t="shared" si="126"/>
        <v>-4.0615117788704434E-2</v>
      </c>
    </row>
    <row r="3736" spans="1:38" x14ac:dyDescent="0.35">
      <c r="A3736" t="s">
        <v>194</v>
      </c>
      <c r="E3736">
        <v>-1.9248174536116893E-3</v>
      </c>
      <c r="F3736">
        <f t="shared" si="127"/>
        <v>-3.1417298858548243E-2</v>
      </c>
      <c r="G3736">
        <f t="shared" si="126"/>
        <v>-4.0615117788704434E-2</v>
      </c>
    </row>
    <row r="3737" spans="1:38" x14ac:dyDescent="0.35">
      <c r="A3737" t="s">
        <v>194</v>
      </c>
      <c r="E3737">
        <v>9.4239613101150983E-3</v>
      </c>
      <c r="F3737">
        <f t="shared" si="127"/>
        <v>-3.1626326677615446E-2</v>
      </c>
      <c r="G3737">
        <f t="shared" si="126"/>
        <v>-4.0615117788704434E-2</v>
      </c>
    </row>
    <row r="3738" spans="1:38" x14ac:dyDescent="0.35">
      <c r="A3738" t="s">
        <v>194</v>
      </c>
      <c r="E3738">
        <v>-6.0605253395790218E-3</v>
      </c>
      <c r="F3738">
        <f t="shared" si="127"/>
        <v>-3.1835354496682643E-2</v>
      </c>
      <c r="G3738">
        <f t="shared" si="126"/>
        <v>-4.0615117788704434E-2</v>
      </c>
    </row>
    <row r="3739" spans="1:38" x14ac:dyDescent="0.35">
      <c r="A3739" t="s">
        <v>195</v>
      </c>
      <c r="B3739" s="3" cm="1">
        <f t="array" ref="B3739">_xlfn.STDEV.S(_xlfn._xlws.FILTER($E$2826:$E$3824, $A$2826:$A$3824="2025-01"))</f>
        <v>7.6791426918838774E-3</v>
      </c>
      <c r="C3739" s="3" cm="1">
        <f t="array" ref="C3739">AVERAGE(_xlfn._xlws.FILTER($E$2826:$E$3824, $A$2826:$A$3824="2025-01"))</f>
        <v>3.7400139143376116E-3</v>
      </c>
      <c r="D3739" s="3" cm="1">
        <f t="array" ref="D3739">_xlfn.PERCENTILE.EXC(_xlfn._xlws.FILTER($E$2490:$E$3818, $A$2490:$A$3818="2025-01"), 0.05)</f>
        <v>-9.2831189198946742E-3</v>
      </c>
      <c r="E3739">
        <v>9.931461111643931E-3</v>
      </c>
      <c r="F3739">
        <f t="shared" si="127"/>
        <v>-3.2044382315749846E-2</v>
      </c>
      <c r="G3739">
        <f t="shared" si="126"/>
        <v>-4.0615117788704434E-2</v>
      </c>
      <c r="AI3739" s="3"/>
      <c r="AJ3739" s="3"/>
      <c r="AK3739" s="3"/>
      <c r="AL3739" s="3"/>
    </row>
    <row r="3740" spans="1:38" x14ac:dyDescent="0.35">
      <c r="A3740" t="s">
        <v>195</v>
      </c>
      <c r="E3740">
        <v>-9.4859092821818411E-3</v>
      </c>
      <c r="F3740">
        <f t="shared" si="127"/>
        <v>-3.225341013481705E-2</v>
      </c>
      <c r="G3740">
        <f t="shared" si="126"/>
        <v>-4.0615117788704434E-2</v>
      </c>
    </row>
    <row r="3741" spans="1:38" x14ac:dyDescent="0.35">
      <c r="A3741" t="s">
        <v>195</v>
      </c>
      <c r="E3741">
        <v>2.3370702218877715E-2</v>
      </c>
      <c r="F3741">
        <f t="shared" si="127"/>
        <v>-3.2471277079205177E-2</v>
      </c>
      <c r="G3741">
        <f t="shared" si="126"/>
        <v>-4.340235367333356E-2</v>
      </c>
    </row>
    <row r="3742" spans="1:38" x14ac:dyDescent="0.35">
      <c r="A3742" t="s">
        <v>195</v>
      </c>
      <c r="E3742">
        <v>5.0367863117019348E-3</v>
      </c>
      <c r="F3742">
        <f t="shared" si="127"/>
        <v>-3.2689144023593304E-2</v>
      </c>
      <c r="G3742">
        <f t="shared" si="126"/>
        <v>-4.340235367333356E-2</v>
      </c>
    </row>
    <row r="3743" spans="1:38" x14ac:dyDescent="0.35">
      <c r="A3743" t="s">
        <v>195</v>
      </c>
      <c r="E3743">
        <v>-3.0834709154652735E-3</v>
      </c>
      <c r="F3743">
        <f t="shared" si="127"/>
        <v>-3.2907010967981438E-2</v>
      </c>
      <c r="G3743">
        <f t="shared" si="126"/>
        <v>-4.340235367333356E-2</v>
      </c>
    </row>
    <row r="3744" spans="1:38" x14ac:dyDescent="0.35">
      <c r="A3744" t="s">
        <v>195</v>
      </c>
      <c r="E3744">
        <v>4.2978606843686734E-3</v>
      </c>
      <c r="F3744">
        <f t="shared" si="127"/>
        <v>-3.3124877912369566E-2</v>
      </c>
      <c r="G3744">
        <f t="shared" si="126"/>
        <v>-4.340235367333356E-2</v>
      </c>
    </row>
    <row r="3745" spans="1:7" x14ac:dyDescent="0.35">
      <c r="A3745" t="s">
        <v>195</v>
      </c>
      <c r="E3745">
        <v>-8.1339735336007253E-3</v>
      </c>
      <c r="F3745">
        <f t="shared" si="127"/>
        <v>-3.33427448567577E-2</v>
      </c>
      <c r="G3745">
        <f t="shared" si="126"/>
        <v>-4.340235367333356E-2</v>
      </c>
    </row>
    <row r="3746" spans="1:7" x14ac:dyDescent="0.35">
      <c r="A3746" t="s">
        <v>195</v>
      </c>
      <c r="E3746">
        <v>-4.6418186607185439E-3</v>
      </c>
      <c r="F3746">
        <f t="shared" si="127"/>
        <v>-3.3560611801145827E-2</v>
      </c>
      <c r="G3746">
        <f t="shared" si="126"/>
        <v>-4.340235367333356E-2</v>
      </c>
    </row>
    <row r="3747" spans="1:7" x14ac:dyDescent="0.35">
      <c r="A3747" t="s">
        <v>195</v>
      </c>
      <c r="E3747">
        <v>5.2865439366984578E-3</v>
      </c>
      <c r="F3747">
        <f t="shared" si="127"/>
        <v>-3.3778478745533955E-2</v>
      </c>
      <c r="G3747">
        <f t="shared" si="126"/>
        <v>-4.340235367333356E-2</v>
      </c>
    </row>
    <row r="3748" spans="1:7" x14ac:dyDescent="0.35">
      <c r="A3748" t="s">
        <v>195</v>
      </c>
      <c r="E3748">
        <v>1.0354859130630403E-2</v>
      </c>
      <c r="F3748">
        <f t="shared" si="127"/>
        <v>-3.3996345689922082E-2</v>
      </c>
      <c r="G3748">
        <f t="shared" si="126"/>
        <v>-4.340235367333356E-2</v>
      </c>
    </row>
    <row r="3749" spans="1:7" x14ac:dyDescent="0.35">
      <c r="A3749" t="s">
        <v>195</v>
      </c>
      <c r="E3749">
        <v>1.4719317670504543E-2</v>
      </c>
      <c r="F3749">
        <f t="shared" si="127"/>
        <v>-3.4214212634310216E-2</v>
      </c>
      <c r="G3749">
        <f t="shared" si="126"/>
        <v>-4.340235367333356E-2</v>
      </c>
    </row>
    <row r="3750" spans="1:7" x14ac:dyDescent="0.35">
      <c r="A3750" t="s">
        <v>195</v>
      </c>
      <c r="E3750">
        <v>8.068122199770383E-3</v>
      </c>
      <c r="F3750">
        <f t="shared" si="127"/>
        <v>-3.4432079578698344E-2</v>
      </c>
      <c r="G3750">
        <f t="shared" si="126"/>
        <v>-4.340235367333356E-2</v>
      </c>
    </row>
    <row r="3751" spans="1:7" x14ac:dyDescent="0.35">
      <c r="A3751" t="s">
        <v>195</v>
      </c>
      <c r="E3751">
        <v>3.1301115276380275E-3</v>
      </c>
      <c r="F3751">
        <f t="shared" si="127"/>
        <v>-3.4649946523086471E-2</v>
      </c>
      <c r="G3751">
        <f t="shared" si="126"/>
        <v>-4.340235367333356E-2</v>
      </c>
    </row>
    <row r="3752" spans="1:7" x14ac:dyDescent="0.35">
      <c r="A3752" t="s">
        <v>195</v>
      </c>
      <c r="E3752">
        <v>2.9427708723184172E-4</v>
      </c>
      <c r="F3752">
        <f t="shared" si="127"/>
        <v>-3.4867813467474598E-2</v>
      </c>
      <c r="G3752">
        <f t="shared" si="126"/>
        <v>-4.340235367333356E-2</v>
      </c>
    </row>
    <row r="3753" spans="1:7" x14ac:dyDescent="0.35">
      <c r="A3753" t="s">
        <v>195</v>
      </c>
      <c r="E3753">
        <v>7.6881997008258303E-3</v>
      </c>
      <c r="F3753">
        <f t="shared" si="127"/>
        <v>-3.5085680411862732E-2</v>
      </c>
      <c r="G3753">
        <f t="shared" si="126"/>
        <v>-4.340235367333356E-2</v>
      </c>
    </row>
    <row r="3754" spans="1:7" x14ac:dyDescent="0.35">
      <c r="A3754" t="s">
        <v>195</v>
      </c>
      <c r="E3754">
        <v>2.2392085592931651E-3</v>
      </c>
      <c r="F3754">
        <f t="shared" si="127"/>
        <v>-3.530354735625086E-2</v>
      </c>
      <c r="G3754">
        <f t="shared" si="126"/>
        <v>-4.340235367333356E-2</v>
      </c>
    </row>
    <row r="3755" spans="1:7" x14ac:dyDescent="0.35">
      <c r="A3755" t="s">
        <v>195</v>
      </c>
      <c r="E3755">
        <v>3.5834498657370475E-4</v>
      </c>
      <c r="F3755">
        <f t="shared" si="127"/>
        <v>-3.5521414300638987E-2</v>
      </c>
      <c r="G3755">
        <f t="shared" si="126"/>
        <v>-4.340235367333356E-2</v>
      </c>
    </row>
    <row r="3756" spans="1:7" x14ac:dyDescent="0.35">
      <c r="A3756" t="s">
        <v>195</v>
      </c>
      <c r="E3756">
        <v>-5.9417036355701508E-3</v>
      </c>
      <c r="F3756">
        <f t="shared" si="127"/>
        <v>-3.5739281245027121E-2</v>
      </c>
      <c r="G3756">
        <f t="shared" si="126"/>
        <v>-4.340235367333356E-2</v>
      </c>
    </row>
    <row r="3757" spans="1:7" x14ac:dyDescent="0.35">
      <c r="A3757" t="s">
        <v>195</v>
      </c>
      <c r="E3757">
        <v>1.3982837673715354E-3</v>
      </c>
      <c r="F3757">
        <f t="shared" si="127"/>
        <v>-3.5957148189415249E-2</v>
      </c>
      <c r="G3757">
        <f t="shared" si="126"/>
        <v>-4.340235367333356E-2</v>
      </c>
    </row>
    <row r="3758" spans="1:7" x14ac:dyDescent="0.35">
      <c r="A3758" t="s">
        <v>195</v>
      </c>
      <c r="E3758">
        <v>6.7041800559954285E-3</v>
      </c>
      <c r="F3758">
        <f t="shared" si="127"/>
        <v>-3.6175015133803376E-2</v>
      </c>
      <c r="G3758">
        <f t="shared" si="126"/>
        <v>-4.340235367333356E-2</v>
      </c>
    </row>
    <row r="3759" spans="1:7" x14ac:dyDescent="0.35">
      <c r="A3759" t="s">
        <v>195</v>
      </c>
      <c r="E3759">
        <v>9.8071056085861676E-3</v>
      </c>
      <c r="F3759">
        <f t="shared" si="127"/>
        <v>-3.639288207819151E-2</v>
      </c>
      <c r="G3759">
        <f t="shared" si="126"/>
        <v>-4.340235367333356E-2</v>
      </c>
    </row>
    <row r="3760" spans="1:7" x14ac:dyDescent="0.35">
      <c r="A3760" t="s">
        <v>195</v>
      </c>
      <c r="E3760">
        <v>8.8181758525223493E-4</v>
      </c>
      <c r="F3760">
        <f t="shared" si="127"/>
        <v>-3.6610749022579638E-2</v>
      </c>
      <c r="G3760">
        <f t="shared" si="126"/>
        <v>-4.340235367333356E-2</v>
      </c>
    </row>
    <row r="3761" spans="1:38" x14ac:dyDescent="0.35">
      <c r="A3761" t="s">
        <v>196</v>
      </c>
      <c r="B3761" s="3" cm="1">
        <f t="array" ref="B3761">_xlfn.STDEV.S(_xlfn._xlws.FILTER($E$2826:$E$3824, $A$2826:$A$3824="2025-02"))</f>
        <v>8.6532952335285768E-3</v>
      </c>
      <c r="C3761" s="3" cm="1">
        <f t="array" ref="C3761">AVERAGE(_xlfn._xlws.FILTER($E$2826:$E$3824, $A$2826:$A$3824="2025-02"))</f>
        <v>1.6435271489305201E-3</v>
      </c>
      <c r="D3761" s="3" cm="1">
        <f t="array" ref="D3761">_xlfn.PERCENTILE.EXC(_xlfn._xlws.FILTER($E$2490:$E$3818, $A$2490:$A$3818="2025-02"), 0.05)</f>
        <v>-1.321444292767124E-2</v>
      </c>
      <c r="E3761">
        <v>-1.3129449759374152E-2</v>
      </c>
      <c r="F3761">
        <f t="shared" si="127"/>
        <v>-3.7107915743376317E-2</v>
      </c>
      <c r="G3761">
        <f t="shared" si="126"/>
        <v>-4.6798155998710525E-2</v>
      </c>
      <c r="AI3761" s="3"/>
      <c r="AJ3761" s="3"/>
      <c r="AK3761" s="3"/>
      <c r="AL3761" s="3"/>
    </row>
    <row r="3762" spans="1:38" x14ac:dyDescent="0.35">
      <c r="A3762" t="s">
        <v>196</v>
      </c>
      <c r="E3762">
        <v>8.9063312311060978E-3</v>
      </c>
      <c r="F3762">
        <f t="shared" si="127"/>
        <v>-3.7605082464173004E-2</v>
      </c>
      <c r="G3762">
        <f t="shared" si="126"/>
        <v>-4.6798155998710525E-2</v>
      </c>
    </row>
    <row r="3763" spans="1:38" x14ac:dyDescent="0.35">
      <c r="A3763" t="s">
        <v>196</v>
      </c>
      <c r="E3763">
        <v>1.2395938833097576E-3</v>
      </c>
      <c r="F3763">
        <f t="shared" si="127"/>
        <v>-3.8102249184969683E-2</v>
      </c>
      <c r="G3763">
        <f t="shared" si="126"/>
        <v>-4.6798155998710525E-2</v>
      </c>
    </row>
    <row r="3764" spans="1:38" x14ac:dyDescent="0.35">
      <c r="A3764" t="s">
        <v>196</v>
      </c>
      <c r="E3764">
        <v>1.6092182312520971E-2</v>
      </c>
      <c r="F3764">
        <f t="shared" si="127"/>
        <v>-3.8599415905766363E-2</v>
      </c>
      <c r="G3764">
        <f t="shared" si="126"/>
        <v>-4.6798155998710525E-2</v>
      </c>
    </row>
    <row r="3765" spans="1:38" x14ac:dyDescent="0.35">
      <c r="A3765" t="s">
        <v>196</v>
      </c>
      <c r="E3765">
        <v>-5.8472198597781244E-3</v>
      </c>
      <c r="F3765">
        <f t="shared" si="127"/>
        <v>-3.9096582626563049E-2</v>
      </c>
      <c r="G3765">
        <f t="shared" si="126"/>
        <v>-4.6798155998710525E-2</v>
      </c>
    </row>
    <row r="3766" spans="1:38" x14ac:dyDescent="0.35">
      <c r="A3766" t="s">
        <v>196</v>
      </c>
      <c r="E3766">
        <v>6.1589344511981626E-3</v>
      </c>
      <c r="F3766">
        <f t="shared" si="127"/>
        <v>-3.9593749347359736E-2</v>
      </c>
      <c r="G3766">
        <f t="shared" si="126"/>
        <v>-4.6798155998710525E-2</v>
      </c>
    </row>
    <row r="3767" spans="1:38" x14ac:dyDescent="0.35">
      <c r="A3767" t="s">
        <v>196</v>
      </c>
      <c r="E3767">
        <v>6.0674412429486124E-3</v>
      </c>
      <c r="F3767">
        <f t="shared" si="127"/>
        <v>-4.0090916068156415E-2</v>
      </c>
      <c r="G3767">
        <f t="shared" si="126"/>
        <v>-4.6798155998710525E-2</v>
      </c>
    </row>
    <row r="3768" spans="1:38" x14ac:dyDescent="0.35">
      <c r="A3768" t="s">
        <v>196</v>
      </c>
      <c r="E3768">
        <v>2.7305010407027079E-3</v>
      </c>
      <c r="F3768">
        <f t="shared" si="127"/>
        <v>-4.0588082788953095E-2</v>
      </c>
      <c r="G3768">
        <f t="shared" si="126"/>
        <v>-4.6798155998710525E-2</v>
      </c>
    </row>
    <row r="3769" spans="1:38" x14ac:dyDescent="0.35">
      <c r="A3769" t="s">
        <v>196</v>
      </c>
      <c r="E3769">
        <v>1.7394294317291593E-2</v>
      </c>
      <c r="F3769">
        <f t="shared" si="127"/>
        <v>-4.1085249509749781E-2</v>
      </c>
      <c r="G3769">
        <f t="shared" si="126"/>
        <v>-4.6798155998710525E-2</v>
      </c>
    </row>
    <row r="3770" spans="1:38" x14ac:dyDescent="0.35">
      <c r="A3770" t="s">
        <v>196</v>
      </c>
      <c r="E3770">
        <v>-1.2916255354470595E-3</v>
      </c>
      <c r="F3770">
        <f t="shared" si="127"/>
        <v>-4.1582416230546468E-2</v>
      </c>
      <c r="G3770">
        <f t="shared" si="126"/>
        <v>-4.6798155998710525E-2</v>
      </c>
    </row>
    <row r="3771" spans="1:38" x14ac:dyDescent="0.35">
      <c r="A3771" t="s">
        <v>196</v>
      </c>
      <c r="E3771">
        <v>4.7996910514079439E-3</v>
      </c>
      <c r="F3771">
        <f t="shared" si="127"/>
        <v>-4.2079582951343147E-2</v>
      </c>
      <c r="G3771">
        <f t="shared" si="126"/>
        <v>-4.6798155998710525E-2</v>
      </c>
    </row>
    <row r="3772" spans="1:38" x14ac:dyDescent="0.35">
      <c r="A3772" t="s">
        <v>196</v>
      </c>
      <c r="E3772">
        <v>2.5349060541993056E-3</v>
      </c>
      <c r="F3772">
        <f t="shared" si="127"/>
        <v>-4.2576749672139827E-2</v>
      </c>
      <c r="G3772">
        <f t="shared" si="126"/>
        <v>-4.6798155998710525E-2</v>
      </c>
    </row>
    <row r="3773" spans="1:38" x14ac:dyDescent="0.35">
      <c r="A3773" t="s">
        <v>196</v>
      </c>
      <c r="E3773">
        <v>-1.3218916252318455E-2</v>
      </c>
      <c r="F3773">
        <f t="shared" si="127"/>
        <v>-4.3073916392936513E-2</v>
      </c>
      <c r="G3773">
        <f t="shared" si="126"/>
        <v>-4.6798155998710525E-2</v>
      </c>
    </row>
    <row r="3774" spans="1:38" x14ac:dyDescent="0.35">
      <c r="A3774" t="s">
        <v>196</v>
      </c>
      <c r="E3774">
        <v>-2.5635860908592066E-5</v>
      </c>
      <c r="F3774">
        <f t="shared" si="127"/>
        <v>-4.3571083113733193E-2</v>
      </c>
      <c r="G3774">
        <f t="shared" si="126"/>
        <v>-4.6798155998710525E-2</v>
      </c>
    </row>
    <row r="3775" spans="1:38" x14ac:dyDescent="0.35">
      <c r="A3775" t="s">
        <v>196</v>
      </c>
      <c r="E3775">
        <v>2.5274614126922774E-3</v>
      </c>
      <c r="F3775">
        <f t="shared" si="127"/>
        <v>-4.406824983452988E-2</v>
      </c>
      <c r="G3775">
        <f t="shared" si="126"/>
        <v>-4.6798155998710525E-2</v>
      </c>
    </row>
    <row r="3776" spans="1:38" x14ac:dyDescent="0.35">
      <c r="A3776" t="s">
        <v>196</v>
      </c>
      <c r="E3776">
        <v>-3.8595990122440634E-3</v>
      </c>
      <c r="F3776">
        <f t="shared" si="127"/>
        <v>-4.4565416555326559E-2</v>
      </c>
      <c r="G3776">
        <f t="shared" si="126"/>
        <v>-4.6798155998710525E-2</v>
      </c>
    </row>
    <row r="3777" spans="1:38" x14ac:dyDescent="0.35">
      <c r="A3777" t="s">
        <v>196</v>
      </c>
      <c r="E3777">
        <v>-1.07506573575035E-3</v>
      </c>
      <c r="F3777">
        <f t="shared" si="127"/>
        <v>-4.5062583276123246E-2</v>
      </c>
      <c r="G3777">
        <f t="shared" si="126"/>
        <v>-4.6798155998710525E-2</v>
      </c>
    </row>
    <row r="3778" spans="1:38" x14ac:dyDescent="0.35">
      <c r="A3778" t="s">
        <v>196</v>
      </c>
      <c r="E3778">
        <v>1.459406417224458E-2</v>
      </c>
      <c r="F3778">
        <f t="shared" si="127"/>
        <v>-4.5559749996919925E-2</v>
      </c>
      <c r="G3778">
        <f t="shared" si="126"/>
        <v>-4.6798155998710525E-2</v>
      </c>
    </row>
    <row r="3779" spans="1:38" x14ac:dyDescent="0.35">
      <c r="A3779" t="s">
        <v>196</v>
      </c>
      <c r="E3779">
        <v>-1.0077763225989756E-2</v>
      </c>
      <c r="F3779">
        <f t="shared" si="127"/>
        <v>-4.6056916717716605E-2</v>
      </c>
      <c r="G3779">
        <f t="shared" ref="G3779:G3818" si="128">AVERAGEIFS(E3779:E7595,E3779:E7595,"&lt;=" &amp; F3779)</f>
        <v>-4.6798155998710525E-2</v>
      </c>
    </row>
    <row r="3780" spans="1:38" x14ac:dyDescent="0.35">
      <c r="A3780" t="s">
        <v>196</v>
      </c>
      <c r="E3780">
        <v>-1.6495829492010465E-3</v>
      </c>
      <c r="F3780">
        <f t="shared" ref="F3780:F3818" si="129">_xlfn.PERCENTILE.EXC(E3780:E7595,0.05)</f>
        <v>-4.6554083438513291E-2</v>
      </c>
      <c r="G3780">
        <f t="shared" si="128"/>
        <v>-4.6798155998710525E-2</v>
      </c>
    </row>
    <row r="3781" spans="1:38" x14ac:dyDescent="0.35">
      <c r="A3781" t="s">
        <v>197</v>
      </c>
      <c r="B3781" s="3" cm="1">
        <f t="array" ref="B3781">_xlfn.STDEV.S(_xlfn._xlws.FILTER($E$2826:$E$3824, $A$2826:$A$3824="2025-03"))</f>
        <v>1.2270451177299987E-2</v>
      </c>
      <c r="C3781" s="3" cm="1">
        <f t="array" ref="C3781">AVERAGE(_xlfn._xlws.FILTER($E$2826:$E$3824, $A$2826:$A$3824="2025-03"))</f>
        <v>-1.9131223052862023E-3</v>
      </c>
      <c r="D3781" s="3" cm="1">
        <f t="array" ref="D3781">_xlfn.PERCENTILE.EXC(_xlfn._xlws.FILTER($E$2490:$E$3818, $A$2490:$A$3818="2025-03"), 0.05)</f>
        <v>-2.6834818872889316E-2</v>
      </c>
      <c r="E3781">
        <v>1.4022110424066416E-2</v>
      </c>
      <c r="F3781">
        <f t="shared" si="129"/>
        <v>-4.6578490694533015E-2</v>
      </c>
      <c r="G3781">
        <f t="shared" si="128"/>
        <v>-4.7042228558907752E-2</v>
      </c>
      <c r="AI3781" s="3"/>
      <c r="AJ3781" s="3"/>
      <c r="AK3781" s="3"/>
      <c r="AL3781" s="3"/>
    </row>
    <row r="3782" spans="1:38" x14ac:dyDescent="0.35">
      <c r="A3782" t="s">
        <v>197</v>
      </c>
      <c r="E3782">
        <v>-2.8072853753473015E-2</v>
      </c>
      <c r="F3782">
        <f t="shared" si="129"/>
        <v>-4.6602897950552738E-2</v>
      </c>
      <c r="G3782">
        <f t="shared" si="128"/>
        <v>-4.7042228558907752E-2</v>
      </c>
    </row>
    <row r="3783" spans="1:38" x14ac:dyDescent="0.35">
      <c r="A3783" t="s">
        <v>197</v>
      </c>
      <c r="E3783">
        <v>1.872176324778195E-2</v>
      </c>
      <c r="F3783">
        <f t="shared" si="129"/>
        <v>-4.6627305206572461E-2</v>
      </c>
      <c r="G3783">
        <f t="shared" si="128"/>
        <v>-4.7042228558907752E-2</v>
      </c>
    </row>
    <row r="3784" spans="1:38" x14ac:dyDescent="0.35">
      <c r="A3784" t="s">
        <v>197</v>
      </c>
      <c r="E3784">
        <v>5.6950503575029666E-3</v>
      </c>
      <c r="F3784">
        <f t="shared" si="129"/>
        <v>-4.6651712462592185E-2</v>
      </c>
      <c r="G3784">
        <f t="shared" si="128"/>
        <v>-4.7042228558907752E-2</v>
      </c>
    </row>
    <row r="3785" spans="1:38" x14ac:dyDescent="0.35">
      <c r="A3785" t="s">
        <v>197</v>
      </c>
      <c r="E3785">
        <v>-9.4751038294239674E-3</v>
      </c>
      <c r="F3785">
        <f t="shared" si="129"/>
        <v>-4.6676119718611908E-2</v>
      </c>
      <c r="G3785">
        <f t="shared" si="128"/>
        <v>-4.7042228558907752E-2</v>
      </c>
    </row>
    <row r="3786" spans="1:38" x14ac:dyDescent="0.35">
      <c r="A3786" t="s">
        <v>197</v>
      </c>
      <c r="E3786">
        <v>-1.5002966712532427E-2</v>
      </c>
      <c r="F3786">
        <f t="shared" si="129"/>
        <v>-4.6700526974631631E-2</v>
      </c>
      <c r="G3786">
        <f t="shared" si="128"/>
        <v>-4.7042228558907752E-2</v>
      </c>
    </row>
    <row r="3787" spans="1:38" x14ac:dyDescent="0.35">
      <c r="A3787" t="s">
        <v>197</v>
      </c>
      <c r="E3787">
        <v>-1.4411928365158335E-2</v>
      </c>
      <c r="F3787">
        <f t="shared" si="129"/>
        <v>-4.6724934230651355E-2</v>
      </c>
      <c r="G3787">
        <f t="shared" si="128"/>
        <v>-4.7042228558907752E-2</v>
      </c>
    </row>
    <row r="3788" spans="1:38" x14ac:dyDescent="0.35">
      <c r="A3788" t="s">
        <v>197</v>
      </c>
      <c r="E3788">
        <v>9.2827575876734299E-3</v>
      </c>
      <c r="F3788">
        <f t="shared" si="129"/>
        <v>-4.6749341486671078E-2</v>
      </c>
      <c r="G3788">
        <f t="shared" si="128"/>
        <v>-4.7042228558907752E-2</v>
      </c>
    </row>
    <row r="3789" spans="1:38" x14ac:dyDescent="0.35">
      <c r="A3789" t="s">
        <v>197</v>
      </c>
      <c r="E3789">
        <v>-5.8066315150464591E-3</v>
      </c>
      <c r="F3789">
        <f t="shared" si="129"/>
        <v>-4.6773748742690802E-2</v>
      </c>
      <c r="G3789">
        <f t="shared" si="128"/>
        <v>-4.7042228558907752E-2</v>
      </c>
    </row>
    <row r="3790" spans="1:38" x14ac:dyDescent="0.35">
      <c r="A3790" t="s">
        <v>197</v>
      </c>
      <c r="E3790">
        <v>1.4123599446054156E-2</v>
      </c>
      <c r="F3790">
        <f t="shared" si="129"/>
        <v>-4.6798155998710525E-2</v>
      </c>
      <c r="G3790">
        <f t="shared" si="128"/>
        <v>-4.7042228558907752E-2</v>
      </c>
    </row>
    <row r="3791" spans="1:38" x14ac:dyDescent="0.35">
      <c r="A3791" t="s">
        <v>197</v>
      </c>
      <c r="E3791">
        <v>7.6260331812741805E-3</v>
      </c>
      <c r="F3791">
        <f t="shared" si="129"/>
        <v>-4.6822563254730241E-2</v>
      </c>
      <c r="G3791">
        <f t="shared" si="128"/>
        <v>-4.7042228558907752E-2</v>
      </c>
    </row>
    <row r="3792" spans="1:38" x14ac:dyDescent="0.35">
      <c r="A3792" t="s">
        <v>197</v>
      </c>
      <c r="E3792">
        <v>7.2201554948310726E-3</v>
      </c>
      <c r="F3792">
        <f t="shared" si="129"/>
        <v>-4.6846970510749965E-2</v>
      </c>
      <c r="G3792">
        <f t="shared" si="128"/>
        <v>-4.7042228558907752E-2</v>
      </c>
    </row>
    <row r="3793" spans="1:38" x14ac:dyDescent="0.35">
      <c r="A3793" t="s">
        <v>197</v>
      </c>
      <c r="E3793">
        <v>4.0664626097031238E-3</v>
      </c>
      <c r="F3793">
        <f t="shared" si="129"/>
        <v>-4.6871377766769688E-2</v>
      </c>
      <c r="G3793">
        <f t="shared" si="128"/>
        <v>-4.7042228558907752E-2</v>
      </c>
    </row>
    <row r="3794" spans="1:38" x14ac:dyDescent="0.35">
      <c r="A3794" t="s">
        <v>197</v>
      </c>
      <c r="E3794">
        <v>-1.0299143170028115E-2</v>
      </c>
      <c r="F3794">
        <f t="shared" si="129"/>
        <v>-4.6895785022789412E-2</v>
      </c>
      <c r="G3794">
        <f t="shared" si="128"/>
        <v>-4.7042228558907752E-2</v>
      </c>
    </row>
    <row r="3795" spans="1:38" x14ac:dyDescent="0.35">
      <c r="A3795" t="s">
        <v>197</v>
      </c>
      <c r="E3795">
        <v>-4.9840283552361215E-3</v>
      </c>
      <c r="F3795">
        <f t="shared" si="129"/>
        <v>-4.6920192278809135E-2</v>
      </c>
      <c r="G3795">
        <f t="shared" si="128"/>
        <v>-4.7042228558907752E-2</v>
      </c>
    </row>
    <row r="3796" spans="1:38" x14ac:dyDescent="0.35">
      <c r="A3796" t="s">
        <v>197</v>
      </c>
      <c r="E3796">
        <v>-1.4834471087385274E-3</v>
      </c>
      <c r="F3796">
        <f t="shared" si="129"/>
        <v>-4.6944599534828858E-2</v>
      </c>
      <c r="G3796">
        <f t="shared" si="128"/>
        <v>-4.7042228558907752E-2</v>
      </c>
    </row>
    <row r="3797" spans="1:38" x14ac:dyDescent="0.35">
      <c r="A3797" t="s">
        <v>197</v>
      </c>
      <c r="E3797">
        <v>1.0888126612669791E-2</v>
      </c>
      <c r="F3797">
        <f t="shared" si="129"/>
        <v>-4.6969006790848582E-2</v>
      </c>
      <c r="G3797">
        <f t="shared" si="128"/>
        <v>-4.7042228558907752E-2</v>
      </c>
    </row>
    <row r="3798" spans="1:38" x14ac:dyDescent="0.35">
      <c r="A3798" t="s">
        <v>197</v>
      </c>
      <c r="E3798">
        <v>-1.1645458918241031E-2</v>
      </c>
      <c r="F3798">
        <f t="shared" si="129"/>
        <v>-4.6993414046868305E-2</v>
      </c>
      <c r="G3798">
        <f t="shared" si="128"/>
        <v>-4.7042228558907752E-2</v>
      </c>
    </row>
    <row r="3799" spans="1:38" x14ac:dyDescent="0.35">
      <c r="A3799" t="s">
        <v>197</v>
      </c>
      <c r="E3799">
        <v>-5.6723310278795295E-3</v>
      </c>
      <c r="F3799">
        <f t="shared" si="129"/>
        <v>-4.7017821302888028E-2</v>
      </c>
      <c r="G3799">
        <f t="shared" si="128"/>
        <v>-4.7042228558907752E-2</v>
      </c>
    </row>
    <row r="3800" spans="1:38" x14ac:dyDescent="0.35">
      <c r="A3800" t="s">
        <v>197</v>
      </c>
      <c r="E3800">
        <v>-9.2752296691737714E-3</v>
      </c>
      <c r="F3800">
        <f t="shared" si="129"/>
        <v>-4.7042228558907752E-2</v>
      </c>
      <c r="G3800">
        <f t="shared" si="128"/>
        <v>-4.7042228558907752E-2</v>
      </c>
    </row>
    <row r="3801" spans="1:38" x14ac:dyDescent="0.35">
      <c r="A3801" t="s">
        <v>197</v>
      </c>
      <c r="E3801">
        <v>-1.5692504947636032E-2</v>
      </c>
      <c r="F3801" t="e">
        <f>_xlfn.PERCENTILE.EXC(E3801:E7616,0.05)</f>
        <v>#NUM!</v>
      </c>
      <c r="G3801" t="e">
        <f>AVERAGEIFS(E3801:E7617,E3801:E7617,"&lt;=" &amp; F3801)</f>
        <v>#DIV/0!</v>
      </c>
    </row>
    <row r="3802" spans="1:38" x14ac:dyDescent="0.35">
      <c r="A3802" t="s">
        <v>198</v>
      </c>
      <c r="B3802" s="3" cm="1">
        <f t="array" ref="B3802">_xlfn.STDEV.S(_xlfn._xlws.FILTER($E$2826:$E$3824, $A$2826:$A$3824="2025-04"))</f>
        <v>2.6239357191571226E-2</v>
      </c>
      <c r="C3802" s="3" cm="1">
        <f t="array" ref="C3802">AVERAGE(_xlfn._xlws.FILTER($E$2826:$E$3824, $A$2826:$A$3824="2025-04"))</f>
        <v>-1.0661745916952286E-3</v>
      </c>
      <c r="D3802" s="3" cm="1">
        <f t="array" ref="D3802">_xlfn.PERCENTILE.INC(_xlfn._xlws.FILTER($E$2490:$E$3818, $A$2490:$A$3818="2025-04"), 0.05)</f>
        <v>-4.6651712462592185E-2</v>
      </c>
      <c r="E3802">
        <v>1.3608329836057457E-2</v>
      </c>
      <c r="F3802" t="e">
        <f t="shared" si="129"/>
        <v>#NUM!</v>
      </c>
      <c r="G3802" t="e">
        <f t="shared" si="128"/>
        <v>#DIV/0!</v>
      </c>
      <c r="AI3802" s="3"/>
      <c r="AJ3802" s="3"/>
      <c r="AK3802" s="3"/>
      <c r="AL3802" s="3"/>
    </row>
    <row r="3803" spans="1:38" x14ac:dyDescent="0.35">
      <c r="A3803" t="s">
        <v>198</v>
      </c>
      <c r="E3803">
        <v>-3.0778667496190182E-3</v>
      </c>
      <c r="F3803" t="e">
        <f t="shared" si="129"/>
        <v>#NUM!</v>
      </c>
      <c r="G3803" t="e">
        <f t="shared" si="128"/>
        <v>#DIV/0!</v>
      </c>
    </row>
    <row r="3804" spans="1:38" x14ac:dyDescent="0.35">
      <c r="A3804" t="s">
        <v>198</v>
      </c>
      <c r="E3804">
        <v>-3.6610749022579638E-2</v>
      </c>
      <c r="F3804" t="e">
        <f t="shared" si="129"/>
        <v>#NUM!</v>
      </c>
      <c r="G3804" t="e">
        <f t="shared" si="128"/>
        <v>#DIV/0!</v>
      </c>
    </row>
    <row r="3805" spans="1:38" x14ac:dyDescent="0.35">
      <c r="A3805" t="s">
        <v>198</v>
      </c>
      <c r="E3805">
        <v>-4.7042228558907752E-2</v>
      </c>
      <c r="F3805" t="e">
        <f t="shared" si="129"/>
        <v>#NUM!</v>
      </c>
      <c r="G3805" t="e">
        <f t="shared" si="128"/>
        <v>#DIV/0!</v>
      </c>
    </row>
    <row r="3806" spans="1:38" x14ac:dyDescent="0.35">
      <c r="A3806" t="s">
        <v>198</v>
      </c>
      <c r="E3806">
        <v>-4.6554083438513291E-2</v>
      </c>
      <c r="F3806" t="e">
        <f t="shared" si="129"/>
        <v>#NUM!</v>
      </c>
      <c r="G3806" t="e">
        <f t="shared" si="128"/>
        <v>#DIV/0!</v>
      </c>
    </row>
    <row r="3807" spans="1:38" x14ac:dyDescent="0.35">
      <c r="A3807" t="s">
        <v>198</v>
      </c>
      <c r="E3807">
        <v>2.4866446474594614E-2</v>
      </c>
      <c r="F3807" t="e">
        <f t="shared" si="129"/>
        <v>#NUM!</v>
      </c>
      <c r="G3807" t="e">
        <f t="shared" si="128"/>
        <v>#DIV/0!</v>
      </c>
    </row>
    <row r="3808" spans="1:38" x14ac:dyDescent="0.35">
      <c r="A3808" t="s">
        <v>198</v>
      </c>
      <c r="E3808">
        <v>-3.225341013481705E-2</v>
      </c>
      <c r="F3808" t="e">
        <f t="shared" si="129"/>
        <v>#NUM!</v>
      </c>
      <c r="G3808" t="e">
        <f t="shared" si="128"/>
        <v>#DIV/0!</v>
      </c>
    </row>
    <row r="3809" spans="1:7" x14ac:dyDescent="0.35">
      <c r="A3809" t="s">
        <v>198</v>
      </c>
      <c r="E3809">
        <v>4.169203525460017E-2</v>
      </c>
      <c r="F3809" t="e">
        <f t="shared" si="129"/>
        <v>#NUM!</v>
      </c>
      <c r="G3809" t="e">
        <f t="shared" si="128"/>
        <v>#DIV/0!</v>
      </c>
    </row>
    <row r="3810" spans="1:7" x14ac:dyDescent="0.35">
      <c r="A3810" t="s">
        <v>198</v>
      </c>
      <c r="E3810">
        <v>-6.5978805162829274E-3</v>
      </c>
      <c r="F3810" t="e">
        <f t="shared" si="129"/>
        <v>#NUM!</v>
      </c>
      <c r="G3810" t="e">
        <f t="shared" si="128"/>
        <v>#DIV/0!</v>
      </c>
    </row>
    <row r="3811" spans="1:7" x14ac:dyDescent="0.35">
      <c r="A3811" t="s">
        <v>198</v>
      </c>
      <c r="E3811">
        <v>2.5605041415850047E-2</v>
      </c>
      <c r="F3811" t="e">
        <f t="shared" si="129"/>
        <v>#NUM!</v>
      </c>
      <c r="G3811" t="e">
        <f t="shared" si="128"/>
        <v>#DIV/0!</v>
      </c>
    </row>
    <row r="3812" spans="1:7" x14ac:dyDescent="0.35">
      <c r="A3812" t="s">
        <v>198</v>
      </c>
      <c r="E3812">
        <v>1.1949358015252452E-2</v>
      </c>
      <c r="F3812" t="e">
        <f t="shared" si="129"/>
        <v>#NUM!</v>
      </c>
      <c r="G3812" t="e">
        <f t="shared" si="128"/>
        <v>#DIV/0!</v>
      </c>
    </row>
    <row r="3813" spans="1:7" x14ac:dyDescent="0.35">
      <c r="A3813" t="s">
        <v>198</v>
      </c>
      <c r="E3813">
        <v>-7.9098880738916676E-4</v>
      </c>
      <c r="F3813" t="e">
        <f t="shared" si="129"/>
        <v>#NUM!</v>
      </c>
      <c r="G3813" t="e">
        <f t="shared" si="128"/>
        <v>#DIV/0!</v>
      </c>
    </row>
    <row r="3814" spans="1:7" x14ac:dyDescent="0.35">
      <c r="A3814" t="s">
        <v>198</v>
      </c>
      <c r="E3814">
        <v>-6.2938005176608174E-3</v>
      </c>
      <c r="F3814" t="e">
        <f t="shared" si="129"/>
        <v>#NUM!</v>
      </c>
      <c r="G3814" t="e">
        <f t="shared" si="128"/>
        <v>#DIV/0!</v>
      </c>
    </row>
    <row r="3815" spans="1:7" x14ac:dyDescent="0.35">
      <c r="A3815" t="s">
        <v>198</v>
      </c>
      <c r="E3815">
        <v>5.2764705682660914E-3</v>
      </c>
      <c r="F3815" t="e">
        <f t="shared" si="129"/>
        <v>#NUM!</v>
      </c>
      <c r="G3815" t="e">
        <f t="shared" si="128"/>
        <v>#DIV/0!</v>
      </c>
    </row>
    <row r="3816" spans="1:7" x14ac:dyDescent="0.35">
      <c r="A3816" t="s">
        <v>198</v>
      </c>
      <c r="E3816">
        <v>2.7295413658812846E-2</v>
      </c>
      <c r="F3816" t="e">
        <f t="shared" si="129"/>
        <v>#NUM!</v>
      </c>
      <c r="G3816" t="e">
        <f t="shared" si="128"/>
        <v>#DIV/0!</v>
      </c>
    </row>
    <row r="3817" spans="1:7" x14ac:dyDescent="0.35">
      <c r="A3817" t="s">
        <v>198</v>
      </c>
      <c r="E3817">
        <v>3.180038944827269E-3</v>
      </c>
      <c r="F3817" t="e">
        <f t="shared" si="129"/>
        <v>#NUM!</v>
      </c>
      <c r="G3817" t="e">
        <f t="shared" si="128"/>
        <v>#DIV/0!</v>
      </c>
    </row>
    <row r="3818" spans="1:7" x14ac:dyDescent="0.35">
      <c r="A3818" t="s">
        <v>198</v>
      </c>
      <c r="E3818">
        <v>7.6229055186898525E-3</v>
      </c>
      <c r="F3818" t="e">
        <f t="shared" si="129"/>
        <v>#NUM!</v>
      </c>
      <c r="G3818" t="e">
        <f t="shared" si="128"/>
        <v>#DIV/0!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62468-1A2F-43A7-873C-1F3F312548FC}">
  <dimension ref="A1:AD3818"/>
  <sheetViews>
    <sheetView zoomScale="56" workbookViewId="0">
      <selection activeCell="V16" sqref="V16"/>
    </sheetView>
  </sheetViews>
  <sheetFormatPr baseColWidth="10" defaultRowHeight="14.5" x14ac:dyDescent="0.35"/>
  <cols>
    <col min="1" max="1" width="16.36328125" customWidth="1"/>
    <col min="2" max="3" width="19.08984375" customWidth="1"/>
    <col min="4" max="4" width="17.6328125" customWidth="1"/>
    <col min="5" max="5" width="21.7265625" customWidth="1"/>
    <col min="6" max="8" width="10.90625" customWidth="1"/>
    <col min="10" max="10" width="18.453125" bestFit="1" customWidth="1"/>
    <col min="11" max="13" width="18.453125" customWidth="1"/>
    <col min="14" max="14" width="15.81640625" bestFit="1" customWidth="1"/>
    <col min="15" max="16" width="18.453125" bestFit="1" customWidth="1"/>
    <col min="17" max="17" width="15.81640625" bestFit="1" customWidth="1"/>
    <col min="18" max="19" width="18.453125" customWidth="1"/>
    <col min="20" max="21" width="18.453125" bestFit="1" customWidth="1"/>
    <col min="22" max="22" width="35.453125" bestFit="1" customWidth="1"/>
    <col min="23" max="23" width="14.7265625" bestFit="1" customWidth="1"/>
    <col min="24" max="24" width="16.453125" bestFit="1" customWidth="1"/>
    <col min="25" max="25" width="21.36328125" bestFit="1" customWidth="1"/>
    <col min="26" max="26" width="11.81640625" bestFit="1" customWidth="1"/>
    <col min="27" max="27" width="40" bestFit="1" customWidth="1"/>
    <col min="28" max="28" width="40.6328125" bestFit="1" customWidth="1"/>
    <col min="29" max="29" width="42.1796875" bestFit="1" customWidth="1"/>
    <col min="30" max="30" width="42.81640625" bestFit="1" customWidth="1"/>
  </cols>
  <sheetData>
    <row r="1" spans="1:25" x14ac:dyDescent="0.35">
      <c r="A1" t="s">
        <v>379</v>
      </c>
      <c r="B1" t="s">
        <v>249</v>
      </c>
      <c r="C1" t="s">
        <v>381</v>
      </c>
      <c r="D1" t="s">
        <v>207</v>
      </c>
      <c r="E1" t="s">
        <v>380</v>
      </c>
      <c r="F1" t="s">
        <v>199</v>
      </c>
      <c r="G1" t="s">
        <v>200</v>
      </c>
    </row>
    <row r="2" spans="1:25" x14ac:dyDescent="0.35">
      <c r="A2" t="s">
        <v>15</v>
      </c>
      <c r="B2" s="3" cm="1">
        <f t="array" ref="B2">_xlfn.STDEV.S(_xlfn._xlws.FILTER($E$2:$E$1000, $A$2:$A$1000="2010-01"))</f>
        <v>8.4195049882479205E-3</v>
      </c>
      <c r="C2" s="3" cm="1">
        <f t="array" ref="C2">AVERAGE(_xlfn._xlws.FILTER($E$2:$E$1000, $A$2:$A$1000="2010-01"))</f>
        <v>-1.4886146841901129E-3</v>
      </c>
      <c r="D2" s="3" cm="1">
        <f t="array" ref="D2">_xlfn.PERCENTILE.EXC(_xlfn._xlws.FILTER($E$2:$E$21, $A$2:$A$21="2010-01"), 0.05)</f>
        <v>-1.8926147238837492E-2</v>
      </c>
      <c r="J2" t="s">
        <v>204</v>
      </c>
      <c r="K2" t="s">
        <v>249</v>
      </c>
      <c r="L2" t="s">
        <v>381</v>
      </c>
      <c r="M2" t="s">
        <v>250</v>
      </c>
      <c r="N2" t="s">
        <v>201</v>
      </c>
      <c r="O2" t="s">
        <v>200</v>
      </c>
      <c r="P2" t="s">
        <v>202</v>
      </c>
      <c r="Q2" t="s">
        <v>220</v>
      </c>
      <c r="R2" t="s">
        <v>295</v>
      </c>
      <c r="S2" t="s">
        <v>382</v>
      </c>
      <c r="T2" t="s">
        <v>203</v>
      </c>
      <c r="U2" t="s">
        <v>222</v>
      </c>
      <c r="V2" t="s">
        <v>223</v>
      </c>
      <c r="W2" t="s">
        <v>224</v>
      </c>
      <c r="X2" t="s">
        <v>274</v>
      </c>
      <c r="Y2" t="s">
        <v>275</v>
      </c>
    </row>
    <row r="3" spans="1:25" x14ac:dyDescent="0.35">
      <c r="A3" t="s">
        <v>15</v>
      </c>
      <c r="E3">
        <v>-1.9071164465894301E-3</v>
      </c>
      <c r="F3">
        <f>_xlfn.PERCENTILE.EXC(E3:E3818,0.05)</f>
        <v>-1.6769710653412106E-2</v>
      </c>
      <c r="G3">
        <f>AVERAGEIFS(E3:E3819,E3:E3819,"&lt;=" &amp; F3)</f>
        <v>-2.7798266755865178E-2</v>
      </c>
      <c r="J3" s="2" t="s">
        <v>15</v>
      </c>
      <c r="K3">
        <f>B2</f>
        <v>8.4195049882479205E-3</v>
      </c>
      <c r="L3">
        <f>C2</f>
        <v>-1.4886146841901129E-3</v>
      </c>
      <c r="N3">
        <f>D2</f>
        <v>-1.8926147238837492E-2</v>
      </c>
      <c r="O3">
        <f>AVERAGEIFS(E2:E21,E2:E21,"&lt;=" &amp; N3)</f>
        <v>-1.8926147238837492E-2</v>
      </c>
      <c r="P3">
        <v>209.14732626177343</v>
      </c>
      <c r="Q3">
        <v>37.116689999999998</v>
      </c>
      <c r="T3">
        <v>24.62</v>
      </c>
      <c r="U3">
        <f>CORREL(P3:P186,N3:N186)</f>
        <v>-3.817723271918988E-2</v>
      </c>
      <c r="V3">
        <f>CORREL(P3:P186,O3:O186)</f>
        <v>-5.5942740528190073E-2</v>
      </c>
      <c r="W3">
        <f>CORREL(N3:N186,O3:O186)</f>
        <v>0.96133905748086124</v>
      </c>
      <c r="X3">
        <f>CORREL(P3:P186,T3:T186)</f>
        <v>-0.13386051304342708</v>
      </c>
      <c r="Y3">
        <f>CORREL(P3:P186,Q3:Q186)</f>
        <v>-0.22102449060209228</v>
      </c>
    </row>
    <row r="4" spans="1:25" x14ac:dyDescent="0.35">
      <c r="A4" t="s">
        <v>15</v>
      </c>
      <c r="E4">
        <v>-1.0796508451619848E-4</v>
      </c>
      <c r="F4">
        <f t="shared" ref="F4:F67" si="0">_xlfn.PERCENTILE.EXC(E4:E3819,0.05)</f>
        <v>-1.6770679222841683E-2</v>
      </c>
      <c r="G4">
        <f>AVERAGEIFS(E4:E3820,E4:E3820,"&lt;=" &amp; F4)</f>
        <v>-2.7798266755865178E-2</v>
      </c>
      <c r="J4" s="2" t="s">
        <v>16</v>
      </c>
      <c r="K4">
        <f>B22</f>
        <v>9.8557818850551256E-3</v>
      </c>
      <c r="L4">
        <f>C22</f>
        <v>1.3477491801701554E-4</v>
      </c>
      <c r="M4">
        <f>K3</f>
        <v>8.4195049882479205E-3</v>
      </c>
      <c r="N4">
        <f>D22</f>
        <v>-2.1950385642803303E-2</v>
      </c>
      <c r="O4">
        <f>AVERAGEIFS(E22:E41,E22:E41,"&lt;=" &amp; N4)</f>
        <v>-2.2106737374190558E-2</v>
      </c>
      <c r="P4">
        <v>163.18252310825903</v>
      </c>
      <c r="Q4">
        <v>33.141820000000003</v>
      </c>
      <c r="R4">
        <f>P3</f>
        <v>209.14732626177343</v>
      </c>
      <c r="S4">
        <v>8.4195049882479205E-3</v>
      </c>
      <c r="T4">
        <v>19.5</v>
      </c>
    </row>
    <row r="5" spans="1:25" x14ac:dyDescent="0.35">
      <c r="A5" t="s">
        <v>15</v>
      </c>
      <c r="E5">
        <v>1.7195480630470493E-3</v>
      </c>
      <c r="F5">
        <f t="shared" si="0"/>
        <v>-1.677164779227126E-2</v>
      </c>
      <c r="G5">
        <f t="shared" ref="G5:G67" si="1">AVERAGEIFS(E5:E3821,E5:E3821,"&lt;=" &amp; F5)</f>
        <v>-2.7798266755865178E-2</v>
      </c>
      <c r="J5" s="2" t="s">
        <v>17</v>
      </c>
      <c r="K5">
        <f>B42</f>
        <v>6.1189665672242311E-3</v>
      </c>
      <c r="L5">
        <f>C42</f>
        <v>6.1189665672242311E-3</v>
      </c>
      <c r="M5">
        <f>K4</f>
        <v>9.8557818850551256E-3</v>
      </c>
      <c r="N5">
        <f>D42</f>
        <v>-7.4927886038323862E-3</v>
      </c>
      <c r="O5">
        <f>AVERAGEIFS(E42:E64,E42:E64,"&lt;=" &amp; N5)</f>
        <v>-7.5605710509466595E-3</v>
      </c>
      <c r="P5">
        <v>208.94072334740846</v>
      </c>
      <c r="Q5">
        <v>27.876359999999998</v>
      </c>
      <c r="R5">
        <f t="shared" ref="R5:R68" si="2">P4</f>
        <v>163.18252310825903</v>
      </c>
      <c r="S5">
        <v>9.8557818850551256E-3</v>
      </c>
      <c r="T5">
        <v>17.59</v>
      </c>
    </row>
    <row r="6" spans="1:25" x14ac:dyDescent="0.35">
      <c r="A6" t="s">
        <v>15</v>
      </c>
      <c r="E6">
        <v>4.3552545351611504E-4</v>
      </c>
      <c r="F6">
        <f t="shared" si="0"/>
        <v>-1.6772616361700837E-2</v>
      </c>
      <c r="G6">
        <f t="shared" si="1"/>
        <v>-2.7798266755865178E-2</v>
      </c>
      <c r="J6" s="2" t="s">
        <v>18</v>
      </c>
      <c r="K6">
        <f>B65</f>
        <v>1.2420194985732512E-2</v>
      </c>
      <c r="L6">
        <f>C65</f>
        <v>1.2420194985732512E-2</v>
      </c>
      <c r="M6">
        <f t="shared" ref="M6:M69" si="3">K5</f>
        <v>6.1189665672242311E-3</v>
      </c>
      <c r="N6">
        <f>D65</f>
        <v>-2.8966625324511896E-2</v>
      </c>
      <c r="O6">
        <f>AVERAGEIFS(E65:E84,E65:E84,"&lt;=" &amp; N6)</f>
        <v>-2.9619923373066803E-2</v>
      </c>
      <c r="P6">
        <v>214.02366588970199</v>
      </c>
      <c r="Q6">
        <v>38.34281</v>
      </c>
      <c r="R6">
        <f t="shared" si="2"/>
        <v>208.94072334740846</v>
      </c>
      <c r="S6">
        <v>6.1189665672242311E-3</v>
      </c>
      <c r="T6">
        <v>22.05</v>
      </c>
    </row>
    <row r="7" spans="1:25" x14ac:dyDescent="0.35">
      <c r="A7" t="s">
        <v>15</v>
      </c>
      <c r="E7">
        <v>-4.3083221561963952E-4</v>
      </c>
      <c r="F7">
        <f t="shared" si="0"/>
        <v>-1.6773584931130413E-2</v>
      </c>
      <c r="G7">
        <f t="shared" si="1"/>
        <v>-2.7798266755865178E-2</v>
      </c>
      <c r="J7" s="2" t="s">
        <v>19</v>
      </c>
      <c r="K7">
        <f>B85</f>
        <v>2.1914291140548534E-2</v>
      </c>
      <c r="L7">
        <f>C85</f>
        <v>-2.4821892809046456E-3</v>
      </c>
      <c r="M7">
        <f t="shared" si="3"/>
        <v>1.2420194985732512E-2</v>
      </c>
      <c r="N7">
        <f>D85</f>
        <v>-3.5754816554237685E-2</v>
      </c>
      <c r="O7">
        <f>AVERAGEIFS(E85:E103,E85:E103,"&lt;=" &amp; N7)</f>
        <v>-3.5754816554237685E-2</v>
      </c>
      <c r="P7">
        <v>238.26550103335578</v>
      </c>
      <c r="Q7">
        <v>42.291849999999997</v>
      </c>
      <c r="R7">
        <f t="shared" si="2"/>
        <v>214.02366588970199</v>
      </c>
      <c r="S7">
        <v>1.2420194985732512E-2</v>
      </c>
      <c r="T7">
        <v>32.07</v>
      </c>
    </row>
    <row r="8" spans="1:25" x14ac:dyDescent="0.35">
      <c r="A8" t="s">
        <v>15</v>
      </c>
      <c r="E8">
        <v>-3.7045569690575776E-3</v>
      </c>
      <c r="F8">
        <f t="shared" si="0"/>
        <v>-1.6774553500559987E-2</v>
      </c>
      <c r="G8">
        <f t="shared" si="1"/>
        <v>-2.7798266755865178E-2</v>
      </c>
      <c r="J8" s="2" t="s">
        <v>20</v>
      </c>
      <c r="K8">
        <f>B104</f>
        <v>1.1352951350497766E-2</v>
      </c>
      <c r="L8">
        <f>C104</f>
        <v>-7.3148301625474972E-4</v>
      </c>
      <c r="M8">
        <f t="shared" si="3"/>
        <v>2.1914291140548534E-2</v>
      </c>
      <c r="N8">
        <f>D104</f>
        <v>-2.3735589468149815E-2</v>
      </c>
      <c r="O8">
        <f>AVERAGEIFS(E104:E125,E104:E125,"&lt;=" &amp; N8)</f>
        <v>-2.4459002380842237E-2</v>
      </c>
      <c r="P8">
        <v>242.65689297501473</v>
      </c>
      <c r="Q8">
        <v>42.061239999999998</v>
      </c>
      <c r="R8">
        <f t="shared" si="2"/>
        <v>238.26550103335578</v>
      </c>
      <c r="S8">
        <v>2.1914291140548534E-2</v>
      </c>
      <c r="T8">
        <v>34.54</v>
      </c>
    </row>
    <row r="9" spans="1:25" x14ac:dyDescent="0.35">
      <c r="A9" t="s">
        <v>15</v>
      </c>
      <c r="E9">
        <v>2.1422695072212195E-3</v>
      </c>
      <c r="F9">
        <f t="shared" si="0"/>
        <v>-1.6775522069989564E-2</v>
      </c>
      <c r="G9">
        <f t="shared" si="1"/>
        <v>-2.7798266755865178E-2</v>
      </c>
      <c r="J9" s="2" t="s">
        <v>21</v>
      </c>
      <c r="K9">
        <f>B126</f>
        <v>1.2701797584624258E-2</v>
      </c>
      <c r="L9">
        <f>C126</f>
        <v>2.3775645745409881E-3</v>
      </c>
      <c r="M9">
        <f t="shared" si="3"/>
        <v>1.1352951350497766E-2</v>
      </c>
      <c r="N9">
        <f>D126</f>
        <v>-2.6703335147708646E-2</v>
      </c>
      <c r="O9">
        <f>AVERAGEIFS(E126:E147,E126:E147,"&lt;=" &amp; N9)</f>
        <v>-2.8418048394442542E-2</v>
      </c>
      <c r="P9">
        <v>237.96942889751369</v>
      </c>
      <c r="Q9">
        <v>35.439799999999998</v>
      </c>
      <c r="R9">
        <f t="shared" si="2"/>
        <v>242.65689297501473</v>
      </c>
      <c r="S9">
        <v>1.1352951350497766E-2</v>
      </c>
      <c r="T9">
        <v>23.5</v>
      </c>
    </row>
    <row r="10" spans="1:25" x14ac:dyDescent="0.35">
      <c r="A10" t="s">
        <v>15</v>
      </c>
      <c r="E10">
        <v>8.0872878645181102E-3</v>
      </c>
      <c r="F10">
        <f t="shared" si="0"/>
        <v>-1.6776490639419141E-2</v>
      </c>
      <c r="G10">
        <f t="shared" si="1"/>
        <v>-2.7798266755865178E-2</v>
      </c>
      <c r="J10" s="2" t="s">
        <v>22</v>
      </c>
      <c r="K10">
        <f>B148</f>
        <v>1.1166731882837453E-2</v>
      </c>
      <c r="L10">
        <f>C148</f>
        <v>-6.199159609230301E-5</v>
      </c>
      <c r="M10">
        <f t="shared" si="3"/>
        <v>1.2701797584624258E-2</v>
      </c>
      <c r="N10">
        <f>D148</f>
        <v>-1.8740736391713728E-2</v>
      </c>
      <c r="O10">
        <f>AVERAGEIFS(E148:E168,E148:E168,"&lt;=" &amp; N10)</f>
        <v>-1.9101341276684166E-2</v>
      </c>
      <c r="P10">
        <v>269.24424208790765</v>
      </c>
      <c r="Q10">
        <v>37.272030000000001</v>
      </c>
      <c r="R10">
        <f t="shared" si="2"/>
        <v>237.96942889751369</v>
      </c>
      <c r="S10">
        <v>1.2701797584624258E-2</v>
      </c>
      <c r="T10">
        <v>26.05</v>
      </c>
    </row>
    <row r="11" spans="1:25" x14ac:dyDescent="0.35">
      <c r="A11" t="s">
        <v>15</v>
      </c>
      <c r="E11">
        <v>-4.598795565250619E-3</v>
      </c>
      <c r="F11">
        <f t="shared" si="0"/>
        <v>-1.6777459208848718E-2</v>
      </c>
      <c r="G11">
        <f t="shared" si="1"/>
        <v>-2.7798266755865178E-2</v>
      </c>
      <c r="J11" s="2" t="s">
        <v>23</v>
      </c>
      <c r="K11">
        <f>B169</f>
        <v>9.5424415810154636E-3</v>
      </c>
      <c r="L11">
        <f>C169</f>
        <v>6.4965817595726949E-4</v>
      </c>
      <c r="M11">
        <f t="shared" si="3"/>
        <v>1.1166731882837453E-2</v>
      </c>
      <c r="N11">
        <f>D169</f>
        <v>-1.5241201100306967E-2</v>
      </c>
      <c r="O11">
        <f>AVERAGEIFS(E169:E190,E169:E190,"&lt;=" &amp; N11)</f>
        <v>-1.6174316450981208E-2</v>
      </c>
      <c r="P11">
        <v>233.24436644394021</v>
      </c>
      <c r="Q11">
        <v>35.565089999999998</v>
      </c>
      <c r="R11">
        <f t="shared" si="2"/>
        <v>269.24424208790765</v>
      </c>
      <c r="S11">
        <v>1.1166731882837453E-2</v>
      </c>
      <c r="T11">
        <v>23.7</v>
      </c>
    </row>
    <row r="12" spans="1:25" x14ac:dyDescent="0.35">
      <c r="A12" t="s">
        <v>15</v>
      </c>
      <c r="E12">
        <v>1.1172270950749363E-2</v>
      </c>
      <c r="F12">
        <f t="shared" si="0"/>
        <v>-1.6778427778278295E-2</v>
      </c>
      <c r="G12">
        <f t="shared" si="1"/>
        <v>-2.7798266755865178E-2</v>
      </c>
      <c r="J12" s="2" t="s">
        <v>24</v>
      </c>
      <c r="K12">
        <f>B191</f>
        <v>5.634370763907744E-3</v>
      </c>
      <c r="L12">
        <f>C191</f>
        <v>9.1703078577019023E-4</v>
      </c>
      <c r="M12">
        <f t="shared" si="3"/>
        <v>9.5424415810154636E-3</v>
      </c>
      <c r="N12">
        <f>D191</f>
        <v>-9.1749083811467711E-3</v>
      </c>
      <c r="O12">
        <f>AVERAGEIFS(E191:E211,E191:E211,"&lt;=" &amp; N12)</f>
        <v>-9.4001811300047974E-3</v>
      </c>
      <c r="P12">
        <v>302.28375772878906</v>
      </c>
      <c r="Q12">
        <v>32.5473</v>
      </c>
      <c r="R12">
        <f t="shared" si="2"/>
        <v>233.24436644394021</v>
      </c>
      <c r="S12">
        <v>9.5424415810154636E-3</v>
      </c>
      <c r="T12">
        <v>21.2</v>
      </c>
    </row>
    <row r="13" spans="1:25" x14ac:dyDescent="0.35">
      <c r="A13" t="s">
        <v>15</v>
      </c>
      <c r="E13">
        <v>1.3391287955837284E-2</v>
      </c>
      <c r="F13">
        <f t="shared" si="0"/>
        <v>-1.6779396347707868E-2</v>
      </c>
      <c r="G13">
        <f t="shared" si="1"/>
        <v>-2.7798266755865178E-2</v>
      </c>
      <c r="J13" s="2" t="s">
        <v>25</v>
      </c>
      <c r="K13">
        <f>B212</f>
        <v>1.0501835307997566E-2</v>
      </c>
      <c r="L13">
        <f>C212</f>
        <v>5.1528659329517763E-4</v>
      </c>
      <c r="M13">
        <f t="shared" si="3"/>
        <v>5.634370763907744E-3</v>
      </c>
      <c r="N13">
        <f>D212</f>
        <v>-2.5012047397738688E-2</v>
      </c>
      <c r="O13">
        <f>AVERAGEIFS(E212:E233,E212:E233,"&lt;=" &amp; N13)</f>
        <v>-2.6976249648764831E-2</v>
      </c>
      <c r="P13">
        <v>268.50774485320574</v>
      </c>
      <c r="Q13">
        <v>40.515819999999998</v>
      </c>
      <c r="R13">
        <f t="shared" si="2"/>
        <v>302.28375772878906</v>
      </c>
      <c r="S13">
        <v>5.634370763907744E-3</v>
      </c>
      <c r="T13">
        <v>23.54</v>
      </c>
    </row>
    <row r="14" spans="1:25" x14ac:dyDescent="0.35">
      <c r="A14" t="s">
        <v>15</v>
      </c>
      <c r="E14">
        <v>-1.0423373398900433E-2</v>
      </c>
      <c r="F14">
        <f t="shared" si="0"/>
        <v>-1.6780364917137445E-2</v>
      </c>
      <c r="G14">
        <f t="shared" si="1"/>
        <v>-2.7798266755865178E-2</v>
      </c>
      <c r="J14" s="2" t="s">
        <v>26</v>
      </c>
      <c r="K14">
        <f>B234</f>
        <v>7.7218950526777869E-3</v>
      </c>
      <c r="L14">
        <f>C234</f>
        <v>2.5194341773011946E-3</v>
      </c>
      <c r="M14">
        <f t="shared" si="3"/>
        <v>1.0501835307997566E-2</v>
      </c>
      <c r="N14">
        <f>D234</f>
        <v>-1.5725571185728988E-2</v>
      </c>
      <c r="O14">
        <f>AVERAGEIFS(E234:E252,E234:E252,"&lt;=" &amp; N14)</f>
        <v>-1.5725571185728988E-2</v>
      </c>
      <c r="P14">
        <v>194.98122889758613</v>
      </c>
      <c r="Q14">
        <v>31.72045</v>
      </c>
      <c r="R14">
        <f t="shared" si="2"/>
        <v>268.50774485320574</v>
      </c>
      <c r="S14">
        <v>1.0501835307997566E-2</v>
      </c>
      <c r="T14">
        <v>17.75</v>
      </c>
    </row>
    <row r="15" spans="1:25" x14ac:dyDescent="0.35">
      <c r="A15" t="s">
        <v>15</v>
      </c>
      <c r="E15">
        <v>-1.8926147238837492E-2</v>
      </c>
      <c r="F15">
        <f t="shared" si="0"/>
        <v>-1.6781333486567022E-2</v>
      </c>
      <c r="G15">
        <f t="shared" si="1"/>
        <v>-2.7798266755865178E-2</v>
      </c>
      <c r="J15" s="2" t="s">
        <v>27</v>
      </c>
      <c r="K15">
        <f>B253</f>
        <v>1.1385292637813257E-2</v>
      </c>
      <c r="L15">
        <f>C253</f>
        <v>-4.8961303343285031E-4</v>
      </c>
      <c r="M15">
        <f t="shared" si="3"/>
        <v>7.7218950526777869E-3</v>
      </c>
      <c r="N15">
        <f>D253</f>
        <v>-2.300463871188323E-2</v>
      </c>
      <c r="O15">
        <f>AVERAGEIFS(E253:E272,E253:E272,"&lt;=" &amp; N15)</f>
        <v>-2.3136273384352889E-2</v>
      </c>
      <c r="P15">
        <v>195.22675789671382</v>
      </c>
      <c r="Q15">
        <v>31.13862</v>
      </c>
      <c r="R15">
        <f t="shared" si="2"/>
        <v>194.98122889758613</v>
      </c>
      <c r="S15">
        <v>7.7218950526777869E-3</v>
      </c>
      <c r="T15">
        <v>19.53</v>
      </c>
    </row>
    <row r="16" spans="1:25" x14ac:dyDescent="0.35">
      <c r="A16" t="s">
        <v>15</v>
      </c>
      <c r="E16">
        <v>-1.475309889733714E-2</v>
      </c>
      <c r="F16">
        <f t="shared" si="0"/>
        <v>-1.674359833217957E-2</v>
      </c>
      <c r="G16">
        <f t="shared" si="1"/>
        <v>-2.7786901796424578E-2</v>
      </c>
      <c r="J16" s="2" t="s">
        <v>28</v>
      </c>
      <c r="K16">
        <f>B273</f>
        <v>8.4884626125909142E-3</v>
      </c>
      <c r="L16">
        <f>C273</f>
        <v>1.4320690205525601E-3</v>
      </c>
      <c r="M16">
        <f t="shared" si="3"/>
        <v>1.1385292637813257E-2</v>
      </c>
      <c r="N16">
        <f>D273</f>
        <v>-1.4200782286099056E-2</v>
      </c>
      <c r="O16">
        <f>AVERAGEIFS(E273:E292,E273:E292,"&lt;=" &amp; N16)</f>
        <v>-1.4272771371528832E-2</v>
      </c>
      <c r="P16">
        <v>131.32564515006823</v>
      </c>
      <c r="Q16">
        <v>31.327290000000001</v>
      </c>
      <c r="R16">
        <f t="shared" si="2"/>
        <v>195.22675789671382</v>
      </c>
      <c r="S16">
        <v>1.1385292637813257E-2</v>
      </c>
      <c r="T16">
        <v>18.350000000000001</v>
      </c>
    </row>
    <row r="17" spans="1:20" x14ac:dyDescent="0.35">
      <c r="A17" t="s">
        <v>15</v>
      </c>
      <c r="E17">
        <v>-1.7420958105654064E-3</v>
      </c>
      <c r="F17">
        <f t="shared" si="0"/>
        <v>-1.6749399985415522E-2</v>
      </c>
      <c r="G17">
        <f t="shared" si="1"/>
        <v>-2.7786901796424578E-2</v>
      </c>
      <c r="J17" s="2" t="s">
        <v>29</v>
      </c>
      <c r="K17">
        <f>B293</f>
        <v>9.0983167098245069E-3</v>
      </c>
      <c r="L17">
        <f>C293</f>
        <v>-2.3602427858973444E-3</v>
      </c>
      <c r="M17">
        <f t="shared" si="3"/>
        <v>8.4884626125909142E-3</v>
      </c>
      <c r="N17">
        <f>D293</f>
        <v>-1.816718651844898E-2</v>
      </c>
      <c r="O17">
        <f>AVERAGEIFS(E293:E315,E293:E315,"&lt;=" &amp; N17)</f>
        <v>-1.8278320474716395E-2</v>
      </c>
      <c r="P17">
        <v>177.413063799589</v>
      </c>
      <c r="Q17">
        <v>31.331520000000001</v>
      </c>
      <c r="R17">
        <f t="shared" si="2"/>
        <v>131.32564515006823</v>
      </c>
      <c r="S17">
        <v>8.4884626125909142E-3</v>
      </c>
      <c r="T17">
        <v>17.739999999999998</v>
      </c>
    </row>
    <row r="18" spans="1:20" x14ac:dyDescent="0.35">
      <c r="A18" t="s">
        <v>15</v>
      </c>
      <c r="E18">
        <v>1.8527328927655585E-3</v>
      </c>
      <c r="F18">
        <f t="shared" si="0"/>
        <v>-1.6755201638651473E-2</v>
      </c>
      <c r="G18">
        <f t="shared" si="1"/>
        <v>-2.7786901796424578E-2</v>
      </c>
      <c r="J18" s="2" t="s">
        <v>30</v>
      </c>
      <c r="K18">
        <f>B316</f>
        <v>9.2916862662084741E-3</v>
      </c>
      <c r="L18">
        <f>C316</f>
        <v>1.1219580704843668E-3</v>
      </c>
      <c r="M18">
        <f t="shared" si="3"/>
        <v>9.0983167098245069E-3</v>
      </c>
      <c r="N18">
        <f>D316</f>
        <v>-1.3095019512933483E-2</v>
      </c>
      <c r="O18">
        <f>AVERAGEIFS(E316:E333,E316:E333,"&lt;=" &amp; N18)</f>
        <v>-2.3921820030615916E-2</v>
      </c>
      <c r="P18">
        <v>156.23403748512021</v>
      </c>
      <c r="Q18">
        <v>27.39622</v>
      </c>
      <c r="R18">
        <f t="shared" si="2"/>
        <v>177.413063799589</v>
      </c>
      <c r="S18">
        <v>9.0983167098245069E-3</v>
      </c>
      <c r="T18">
        <v>14.75</v>
      </c>
    </row>
    <row r="19" spans="1:20" x14ac:dyDescent="0.35">
      <c r="A19" t="s">
        <v>15</v>
      </c>
      <c r="E19">
        <v>-5.2498917632138424E-3</v>
      </c>
      <c r="F19">
        <f t="shared" si="0"/>
        <v>-1.6761003291887424E-2</v>
      </c>
      <c r="G19">
        <f t="shared" si="1"/>
        <v>-2.7786901796424578E-2</v>
      </c>
      <c r="J19" s="2" t="s">
        <v>31</v>
      </c>
      <c r="K19">
        <f>B334</f>
        <v>9.0347378583096154E-3</v>
      </c>
      <c r="L19">
        <f>C334</f>
        <v>1.9168496527579104E-4</v>
      </c>
      <c r="M19">
        <f t="shared" si="3"/>
        <v>9.2916862662084741E-3</v>
      </c>
      <c r="N19">
        <f>D334</f>
        <v>-1.6832895124464519E-2</v>
      </c>
      <c r="O19">
        <f>AVERAGEIFS(E334:E353,E334:E353,"&lt;=" &amp; N19)</f>
        <v>-1.6847865397786179E-2</v>
      </c>
      <c r="P19">
        <v>146.94329795526593</v>
      </c>
      <c r="Q19">
        <v>29.241160000000001</v>
      </c>
      <c r="R19">
        <f t="shared" si="2"/>
        <v>156.23403748512021</v>
      </c>
      <c r="S19">
        <v>9.2916862662084741E-3</v>
      </c>
      <c r="T19">
        <v>15.45</v>
      </c>
    </row>
    <row r="20" spans="1:20" x14ac:dyDescent="0.35">
      <c r="A20" t="s">
        <v>15</v>
      </c>
      <c r="E20">
        <v>-1.1835409942824903E-2</v>
      </c>
      <c r="F20">
        <f t="shared" si="0"/>
        <v>-1.6766804945123379E-2</v>
      </c>
      <c r="G20">
        <f t="shared" si="1"/>
        <v>-2.7786901796424578E-2</v>
      </c>
      <c r="J20" s="2" t="s">
        <v>32</v>
      </c>
      <c r="K20">
        <f>B354</f>
        <v>9.0260362953858506E-3</v>
      </c>
      <c r="L20">
        <f>C354</f>
        <v>-1.8140376494427007E-3</v>
      </c>
      <c r="M20">
        <f t="shared" si="3"/>
        <v>9.0347378583096154E-3</v>
      </c>
      <c r="N20">
        <f>D354</f>
        <v>-1.9032900908756058E-2</v>
      </c>
      <c r="O20">
        <f>AVERAGEIFS(E354:E375,E354:E375,"&lt;=" &amp; N20)</f>
        <v>-1.9564874300124768E-2</v>
      </c>
      <c r="P20">
        <v>198.10659336104962</v>
      </c>
      <c r="Q20">
        <v>31.286750000000001</v>
      </c>
      <c r="R20">
        <f t="shared" si="2"/>
        <v>146.94329795526593</v>
      </c>
      <c r="S20">
        <v>9.0347378583096154E-3</v>
      </c>
      <c r="T20">
        <v>16.52</v>
      </c>
    </row>
    <row r="21" spans="1:20" x14ac:dyDescent="0.35">
      <c r="A21" t="s">
        <v>15</v>
      </c>
      <c r="E21">
        <v>6.5946816454458303E-3</v>
      </c>
      <c r="F21">
        <f t="shared" si="0"/>
        <v>-1.6767773514552956E-2</v>
      </c>
      <c r="G21">
        <f t="shared" si="1"/>
        <v>-2.7845209187172204E-2</v>
      </c>
      <c r="J21" s="2" t="s">
        <v>33</v>
      </c>
      <c r="K21">
        <f>B376</f>
        <v>7.0172150301132255E-3</v>
      </c>
      <c r="L21">
        <f>C376</f>
        <v>4.3753230651393589E-4</v>
      </c>
      <c r="M21">
        <f t="shared" si="3"/>
        <v>9.0260362953858506E-3</v>
      </c>
      <c r="N21">
        <f>D376</f>
        <v>-1.6146308785026132E-2</v>
      </c>
      <c r="O21">
        <f>AVERAGEIFS(E376:E396,E376:E396,"&lt;=" &amp; N21)</f>
        <v>-1.6924324506873693E-2</v>
      </c>
      <c r="P21">
        <v>194.1976415710775</v>
      </c>
      <c r="Q21">
        <v>39.728549999999998</v>
      </c>
      <c r="R21">
        <f t="shared" si="2"/>
        <v>198.10659336104962</v>
      </c>
      <c r="S21">
        <v>9.0260362953858506E-3</v>
      </c>
      <c r="T21">
        <v>25.25</v>
      </c>
    </row>
    <row r="22" spans="1:20" x14ac:dyDescent="0.35">
      <c r="A22" t="s">
        <v>16</v>
      </c>
      <c r="B22" s="3" cm="1">
        <f t="array" ref="B22">_xlfn.STDEV.S(_xlfn._xlws.FILTER($E$2:$E$1000, $A$2:$A$1000="2010-02"))</f>
        <v>9.8557818850551256E-3</v>
      </c>
      <c r="C22" s="3" cm="1">
        <f t="array" ref="C22">AVERAGE(_xlfn._xlws.FILTER($E$2:$E$1000, $A$2:$A$1000="2010-02"))</f>
        <v>1.3477491801701554E-4</v>
      </c>
      <c r="D22" s="3" cm="1">
        <f t="array" ref="D22">_xlfn.PERCENTILE.EXC(_xlfn._xlws.FILTER($E$22:$E$41, $A$22:$A$41="2010-02"), 0.05)</f>
        <v>-2.1950385642803303E-2</v>
      </c>
      <c r="E22">
        <v>5.5454511483001767E-3</v>
      </c>
      <c r="F22">
        <f t="shared" si="0"/>
        <v>-1.6768742083982532E-2</v>
      </c>
      <c r="G22">
        <f t="shared" si="1"/>
        <v>-2.7845209187172204E-2</v>
      </c>
      <c r="J22" s="4" t="s">
        <v>34</v>
      </c>
      <c r="K22" s="3">
        <f>B397</f>
        <v>2.2619879101153543E-2</v>
      </c>
      <c r="L22" s="3">
        <f>C397</f>
        <v>-4.1282993936666117E-3</v>
      </c>
      <c r="M22">
        <f t="shared" si="3"/>
        <v>7.0172150301132255E-3</v>
      </c>
      <c r="N22" s="3">
        <f>D397</f>
        <v>-4.2158248308558868E-2</v>
      </c>
      <c r="O22" s="3">
        <f>AVERAGEIFS(E397:E417,E397:E417,"&lt;=" &amp; N22)</f>
        <v>-4.3171139776749634E-2</v>
      </c>
      <c r="P22" s="3">
        <v>203.31243706249586</v>
      </c>
      <c r="Q22" s="3">
        <v>51.370930000000001</v>
      </c>
      <c r="R22">
        <f t="shared" si="2"/>
        <v>194.1976415710775</v>
      </c>
      <c r="S22">
        <v>7.0172150301132255E-3</v>
      </c>
      <c r="T22" s="3">
        <v>31.62</v>
      </c>
    </row>
    <row r="23" spans="1:20" x14ac:dyDescent="0.35">
      <c r="A23" t="s">
        <v>16</v>
      </c>
      <c r="E23">
        <v>5.1645456344814487E-3</v>
      </c>
      <c r="F23">
        <f t="shared" si="0"/>
        <v>-1.6769710653412106E-2</v>
      </c>
      <c r="G23">
        <f t="shared" si="1"/>
        <v>-2.7845209187172204E-2</v>
      </c>
      <c r="J23" s="2" t="s">
        <v>35</v>
      </c>
      <c r="K23">
        <f>B418</f>
        <v>2.0328773350302157E-2</v>
      </c>
      <c r="L23">
        <f>C418</f>
        <v>-9.4752619762717186E-4</v>
      </c>
      <c r="M23">
        <f t="shared" si="3"/>
        <v>2.2619879101153543E-2</v>
      </c>
      <c r="N23">
        <f>D418</f>
        <v>-4.5115788076765494E-2</v>
      </c>
      <c r="O23">
        <f>AVERAGEIFS(E418:E439,E418:E439,"&lt;=" &amp; N23)</f>
        <v>-4.6605278398232031E-2</v>
      </c>
      <c r="P23">
        <v>288.86507044124818</v>
      </c>
      <c r="Q23">
        <v>62.779389999999999</v>
      </c>
      <c r="R23">
        <f t="shared" si="2"/>
        <v>203.31243706249586</v>
      </c>
      <c r="S23">
        <v>2.2619879101153543E-2</v>
      </c>
      <c r="T23">
        <v>42.96</v>
      </c>
    </row>
    <row r="24" spans="1:20" x14ac:dyDescent="0.35">
      <c r="A24" t="s">
        <v>16</v>
      </c>
      <c r="E24">
        <v>-6.0615902406560554E-3</v>
      </c>
      <c r="F24">
        <f t="shared" si="0"/>
        <v>-1.6770679222841683E-2</v>
      </c>
      <c r="G24">
        <f t="shared" si="1"/>
        <v>-2.7845209187172204E-2</v>
      </c>
      <c r="J24" s="2" t="s">
        <v>36</v>
      </c>
      <c r="K24">
        <f>B440</f>
        <v>1.4302826952954834E-2</v>
      </c>
      <c r="L24">
        <f>C440</f>
        <v>3.4254490096690118E-3</v>
      </c>
      <c r="M24">
        <f t="shared" si="3"/>
        <v>2.0328773350302157E-2</v>
      </c>
      <c r="N24">
        <f>D440</f>
        <v>-3.0160571969556425E-2</v>
      </c>
      <c r="O24">
        <f>AVERAGEIFS(E440:E460,E440:E460,"&lt;=" &amp; N24)</f>
        <v>-3.2131358152793756E-2</v>
      </c>
      <c r="P24">
        <v>334.33163284672622</v>
      </c>
      <c r="Q24">
        <v>48.978070000000002</v>
      </c>
      <c r="R24">
        <f t="shared" si="2"/>
        <v>288.86507044124818</v>
      </c>
      <c r="S24">
        <v>2.0328773350302157E-2</v>
      </c>
      <c r="T24">
        <v>29.96</v>
      </c>
    </row>
    <row r="25" spans="1:20" x14ac:dyDescent="0.35">
      <c r="A25" t="s">
        <v>16</v>
      </c>
      <c r="E25">
        <v>-1.8979702746445427E-2</v>
      </c>
      <c r="F25">
        <f t="shared" si="0"/>
        <v>-1.677164779227126E-2</v>
      </c>
      <c r="G25">
        <f t="shared" si="1"/>
        <v>-2.7845209187172204E-2</v>
      </c>
      <c r="J25" s="2" t="s">
        <v>37</v>
      </c>
      <c r="K25">
        <f>B461</f>
        <v>1.4703327400922063E-2</v>
      </c>
      <c r="L25">
        <f>C461</f>
        <v>1.4296858326925323E-4</v>
      </c>
      <c r="M25">
        <f t="shared" si="3"/>
        <v>1.4302826952954834E-2</v>
      </c>
      <c r="N25">
        <f>D461</f>
        <v>-3.2230808745870684E-2</v>
      </c>
      <c r="O25">
        <f>AVERAGEIFS(E461:E482,E461:E482,"&lt;=" &amp; N25)</f>
        <v>-3.5030845823136557E-2</v>
      </c>
      <c r="P25">
        <v>380.26802388196154</v>
      </c>
      <c r="Q25">
        <v>49.869079999999997</v>
      </c>
      <c r="R25">
        <f t="shared" si="2"/>
        <v>334.33163284672622</v>
      </c>
      <c r="S25">
        <v>1.4302826952954834E-2</v>
      </c>
      <c r="T25">
        <v>27.8</v>
      </c>
    </row>
    <row r="26" spans="1:20" x14ac:dyDescent="0.35">
      <c r="A26" t="s">
        <v>16</v>
      </c>
      <c r="E26">
        <v>-1.6147245278459413E-2</v>
      </c>
      <c r="F26">
        <f t="shared" si="0"/>
        <v>-1.6685581799820052E-2</v>
      </c>
      <c r="G26">
        <f t="shared" si="1"/>
        <v>-2.7833500733196959E-2</v>
      </c>
      <c r="J26" s="2" t="s">
        <v>38</v>
      </c>
      <c r="K26">
        <f>B483</f>
        <v>8.7924522935462213E-3</v>
      </c>
      <c r="L26">
        <f>C483</f>
        <v>1.8014849692726015E-3</v>
      </c>
      <c r="M26">
        <f t="shared" si="3"/>
        <v>1.4703327400922063E-2</v>
      </c>
      <c r="N26">
        <f>D483</f>
        <v>-1.9075117354842731E-2</v>
      </c>
      <c r="O26">
        <f>AVERAGEIFS(E483:E502,E483:E502,"&lt;=" &amp; N26)</f>
        <v>-1.9575802059690731E-2</v>
      </c>
      <c r="P26">
        <v>324.93907399871603</v>
      </c>
      <c r="Q26">
        <v>41.6721</v>
      </c>
      <c r="R26">
        <f t="shared" si="2"/>
        <v>380.26802388196154</v>
      </c>
      <c r="S26">
        <v>1.4703327400922063E-2</v>
      </c>
      <c r="T26">
        <v>23.4</v>
      </c>
    </row>
    <row r="27" spans="1:20" x14ac:dyDescent="0.35">
      <c r="A27" t="s">
        <v>16</v>
      </c>
      <c r="E27">
        <v>2.7726559631838076E-3</v>
      </c>
      <c r="F27">
        <f t="shared" si="0"/>
        <v>-1.6691383453056007E-2</v>
      </c>
      <c r="G27">
        <f t="shared" si="1"/>
        <v>-2.7833500733196959E-2</v>
      </c>
      <c r="J27" s="2" t="s">
        <v>39</v>
      </c>
      <c r="K27">
        <f>B503</f>
        <v>9.405913248749221E-3</v>
      </c>
      <c r="L27">
        <f>C503</f>
        <v>1.2503981843357851E-3</v>
      </c>
      <c r="M27">
        <f t="shared" si="3"/>
        <v>8.7924522935462213E-3</v>
      </c>
      <c r="N27">
        <f>D503</f>
        <v>-1.2358045555112033E-2</v>
      </c>
      <c r="O27">
        <f>AVERAGEIFS(E503:E523,E503:E523,"&lt;=" &amp; N27)</f>
        <v>-1.2433464351715492E-2</v>
      </c>
      <c r="P27">
        <v>252.60074111119545</v>
      </c>
      <c r="Q27">
        <v>34.387320000000003</v>
      </c>
      <c r="R27">
        <f t="shared" si="2"/>
        <v>324.93907399871603</v>
      </c>
      <c r="S27">
        <v>8.7924522935462213E-3</v>
      </c>
      <c r="T27">
        <v>19.440000000000001</v>
      </c>
    </row>
    <row r="28" spans="1:20" x14ac:dyDescent="0.35">
      <c r="A28" t="s">
        <v>16</v>
      </c>
      <c r="E28">
        <v>7.1003783663188937E-4</v>
      </c>
      <c r="F28">
        <f t="shared" si="0"/>
        <v>-1.6697185106291954E-2</v>
      </c>
      <c r="G28">
        <f t="shared" si="1"/>
        <v>-2.7833500733196959E-2</v>
      </c>
      <c r="J28" s="2" t="s">
        <v>40</v>
      </c>
      <c r="K28">
        <f>B524</f>
        <v>7.1627161066257494E-3</v>
      </c>
      <c r="L28">
        <f>C524</f>
        <v>1.0999628589015828E-3</v>
      </c>
      <c r="M28">
        <f t="shared" si="3"/>
        <v>9.405913248749221E-3</v>
      </c>
      <c r="N28">
        <f>D524</f>
        <v>-1.0046565417440418E-2</v>
      </c>
      <c r="O28">
        <f>AVERAGEIFS(E524:E544,E524:E544,"&lt;=" &amp; N28)</f>
        <v>-1.0283276908669302E-2</v>
      </c>
      <c r="P28">
        <v>280.63766785826141</v>
      </c>
      <c r="Q28">
        <v>31.961829999999999</v>
      </c>
      <c r="R28">
        <f t="shared" si="2"/>
        <v>252.60074111119545</v>
      </c>
      <c r="S28">
        <v>9.405913248749221E-3</v>
      </c>
      <c r="T28">
        <v>18.43</v>
      </c>
    </row>
    <row r="29" spans="1:20" x14ac:dyDescent="0.35">
      <c r="A29" t="s">
        <v>16</v>
      </c>
      <c r="E29">
        <v>1.5921851463289156E-3</v>
      </c>
      <c r="F29">
        <f t="shared" si="0"/>
        <v>-1.6702986759527909E-2</v>
      </c>
      <c r="G29">
        <f t="shared" si="1"/>
        <v>-2.7833500733196959E-2</v>
      </c>
      <c r="J29" s="2" t="s">
        <v>41</v>
      </c>
      <c r="K29">
        <f>B545</f>
        <v>9.2252257639025229E-3</v>
      </c>
      <c r="L29">
        <f>C545</f>
        <v>-5.6601732141365907E-4</v>
      </c>
      <c r="M29">
        <f t="shared" si="3"/>
        <v>7.1627161066257494E-3</v>
      </c>
      <c r="N29">
        <f>D545</f>
        <v>-1.9057433230038747E-2</v>
      </c>
      <c r="O29">
        <f>AVERAGEIFS(E545:E566,E545:E566,"&lt;=" &amp; N29)</f>
        <v>-1.9905412786773956E-2</v>
      </c>
      <c r="P29">
        <v>254.34739516562104</v>
      </c>
      <c r="Q29">
        <v>30.058730000000001</v>
      </c>
      <c r="R29">
        <f t="shared" si="2"/>
        <v>280.63766785826141</v>
      </c>
      <c r="S29">
        <v>7.1627161066257494E-3</v>
      </c>
      <c r="T29">
        <v>15.5</v>
      </c>
    </row>
    <row r="30" spans="1:20" x14ac:dyDescent="0.35">
      <c r="A30" t="s">
        <v>16</v>
      </c>
      <c r="E30">
        <v>1.4534560663391566E-2</v>
      </c>
      <c r="F30">
        <f t="shared" si="0"/>
        <v>-1.670878841276386E-2</v>
      </c>
      <c r="G30">
        <f t="shared" si="1"/>
        <v>-2.7833500733196959E-2</v>
      </c>
      <c r="J30" s="2" t="s">
        <v>42</v>
      </c>
      <c r="K30">
        <f>B567</f>
        <v>1.1055098933716465E-2</v>
      </c>
      <c r="L30">
        <f>C567</f>
        <v>9.2139357622515652E-4</v>
      </c>
      <c r="M30">
        <f t="shared" si="3"/>
        <v>9.2252257639025229E-3</v>
      </c>
      <c r="N30">
        <f>D567</f>
        <v>-2.2998742849094488E-2</v>
      </c>
      <c r="O30">
        <f>AVERAGEIFS(E567:E585,E567:E585,"&lt;=" &amp; N30)</f>
        <v>-2.2998742849094488E-2</v>
      </c>
      <c r="P30">
        <v>222.41670273541337</v>
      </c>
      <c r="Q30">
        <v>35.65361</v>
      </c>
      <c r="R30">
        <f t="shared" si="2"/>
        <v>254.34739516562104</v>
      </c>
      <c r="S30">
        <v>9.2252257639025229E-3</v>
      </c>
      <c r="T30">
        <v>17.149999999999999</v>
      </c>
    </row>
    <row r="31" spans="1:20" x14ac:dyDescent="0.35">
      <c r="A31" t="s">
        <v>16</v>
      </c>
      <c r="E31">
        <v>-7.4287161337399253E-4</v>
      </c>
      <c r="F31">
        <f t="shared" si="0"/>
        <v>-1.6714590065999811E-2</v>
      </c>
      <c r="G31">
        <f t="shared" si="1"/>
        <v>-2.7833500733196959E-2</v>
      </c>
      <c r="J31" s="2" t="s">
        <v>43</v>
      </c>
      <c r="K31">
        <f>B586</f>
        <v>1.1194197592612745E-2</v>
      </c>
      <c r="L31">
        <f>C586</f>
        <v>-2.8341401821539952E-3</v>
      </c>
      <c r="M31">
        <f t="shared" si="3"/>
        <v>1.1055098933716465E-2</v>
      </c>
      <c r="N31">
        <f>D586</f>
        <v>-1.8148795870434591E-2</v>
      </c>
      <c r="O31">
        <f>AVERAGEIFS(E586:E606,E586:E606,"&lt;=" &amp; N31)</f>
        <v>-1.8196953806206013E-2</v>
      </c>
      <c r="P31">
        <v>378.44965803842251</v>
      </c>
      <c r="Q31">
        <v>43.20946</v>
      </c>
      <c r="R31">
        <f t="shared" si="2"/>
        <v>222.41670273541337</v>
      </c>
      <c r="S31">
        <v>1.1055098933716465E-2</v>
      </c>
      <c r="T31">
        <v>24.06</v>
      </c>
    </row>
    <row r="32" spans="1:20" x14ac:dyDescent="0.35">
      <c r="A32" t="s">
        <v>16</v>
      </c>
      <c r="E32">
        <v>5.703009054381457E-3</v>
      </c>
      <c r="F32">
        <f t="shared" si="0"/>
        <v>-1.6720391719235766E-2</v>
      </c>
      <c r="G32">
        <f t="shared" si="1"/>
        <v>-2.7833500733196959E-2</v>
      </c>
      <c r="J32" s="2" t="s">
        <v>44</v>
      </c>
      <c r="K32">
        <f>B607</f>
        <v>9.8601625803553944E-3</v>
      </c>
      <c r="L32">
        <f>C607</f>
        <v>2.1119441630464367E-3</v>
      </c>
      <c r="M32">
        <f t="shared" si="3"/>
        <v>1.1194197592612745E-2</v>
      </c>
      <c r="N32">
        <f>D607</f>
        <v>-1.691862352273963E-2</v>
      </c>
      <c r="O32">
        <f>AVERAGEIFS(E607:E625,E607:E625,"&lt;=" &amp; N32)</f>
        <v>-1.691862352273963E-2</v>
      </c>
      <c r="P32">
        <v>313.57887146758776</v>
      </c>
      <c r="Q32">
        <v>31.559560000000001</v>
      </c>
      <c r="R32">
        <f t="shared" si="2"/>
        <v>378.44965803842251</v>
      </c>
      <c r="S32">
        <v>1.1194197592612745E-2</v>
      </c>
      <c r="T32">
        <v>17.079999999999998</v>
      </c>
    </row>
    <row r="33" spans="1:20" x14ac:dyDescent="0.35">
      <c r="A33" t="s">
        <v>16</v>
      </c>
      <c r="E33">
        <v>1.1275818969692371E-2</v>
      </c>
      <c r="F33">
        <f t="shared" si="0"/>
        <v>-1.6726193372471714E-2</v>
      </c>
      <c r="G33">
        <f t="shared" si="1"/>
        <v>-2.7833500733196959E-2</v>
      </c>
      <c r="J33" s="2" t="s">
        <v>45</v>
      </c>
      <c r="K33">
        <f>B626</f>
        <v>1.1179647771132482E-2</v>
      </c>
      <c r="L33">
        <f>C626</f>
        <v>1.7393334056502931E-3</v>
      </c>
      <c r="M33">
        <f t="shared" si="3"/>
        <v>9.8601625803553944E-3</v>
      </c>
      <c r="N33">
        <f>D626</f>
        <v>-2.340341173387029E-2</v>
      </c>
      <c r="O33">
        <f>AVERAGEIFS(E626:E647,E626:E647,"&lt;=" &amp; N33)</f>
        <v>-2.4824626703465885E-2</v>
      </c>
      <c r="P33">
        <v>292.40768268929224</v>
      </c>
      <c r="Q33">
        <v>34.46763</v>
      </c>
      <c r="R33">
        <f t="shared" si="2"/>
        <v>313.57887146758776</v>
      </c>
      <c r="S33">
        <v>9.8601625803553944E-3</v>
      </c>
      <c r="T33">
        <v>18.93</v>
      </c>
    </row>
    <row r="34" spans="1:20" x14ac:dyDescent="0.35">
      <c r="A34" t="s">
        <v>16</v>
      </c>
      <c r="E34">
        <v>1.1456942677553728E-2</v>
      </c>
      <c r="F34">
        <f t="shared" si="0"/>
        <v>-1.6731995025707668E-2</v>
      </c>
      <c r="G34">
        <f t="shared" si="1"/>
        <v>-2.7833500733196959E-2</v>
      </c>
      <c r="J34" s="2" t="s">
        <v>46</v>
      </c>
      <c r="K34">
        <f>B648</f>
        <v>6.1290642740389496E-3</v>
      </c>
      <c r="L34">
        <f>C648</f>
        <v>2.1399412848509863E-4</v>
      </c>
      <c r="M34">
        <f t="shared" si="3"/>
        <v>1.1179647771132482E-2</v>
      </c>
      <c r="N34">
        <f>D648</f>
        <v>-1.2412115025802313E-2</v>
      </c>
      <c r="O34">
        <f>AVERAGEIFS(E648:E668,E648:E668,"&lt;=" &amp; N34)</f>
        <v>-1.3127999593207361E-2</v>
      </c>
      <c r="P34">
        <v>218.67830260587243</v>
      </c>
      <c r="Q34">
        <v>32.31174</v>
      </c>
      <c r="R34">
        <f t="shared" si="2"/>
        <v>292.40768268929224</v>
      </c>
      <c r="S34">
        <v>1.1179647771132482E-2</v>
      </c>
      <c r="T34">
        <v>17.47</v>
      </c>
    </row>
    <row r="35" spans="1:20" x14ac:dyDescent="0.35">
      <c r="A35" t="s">
        <v>16</v>
      </c>
      <c r="E35">
        <v>4.7601988429814392E-3</v>
      </c>
      <c r="F35">
        <f t="shared" si="0"/>
        <v>-1.6737796678943619E-2</v>
      </c>
      <c r="G35">
        <f t="shared" si="1"/>
        <v>-2.7833500733196959E-2</v>
      </c>
      <c r="J35" s="2" t="s">
        <v>47</v>
      </c>
      <c r="K35">
        <f>B669</f>
        <v>7.3636176752241763E-3</v>
      </c>
      <c r="L35">
        <f>C669</f>
        <v>-2.8877598972336297E-5</v>
      </c>
      <c r="M35">
        <f t="shared" si="3"/>
        <v>6.1290642740389496E-3</v>
      </c>
      <c r="N35">
        <f>D669</f>
        <v>-1.2671148497758458E-2</v>
      </c>
      <c r="O35">
        <f>AVERAGEIFS(E669:E688,E669:E688,"&lt;=" &amp; N35)</f>
        <v>-1.2677299163388922E-2</v>
      </c>
      <c r="P35">
        <v>309.84896884940753</v>
      </c>
      <c r="Q35">
        <v>30.108720000000002</v>
      </c>
      <c r="R35">
        <f t="shared" si="2"/>
        <v>218.67830260587243</v>
      </c>
      <c r="S35">
        <v>6.1290642740389496E-3</v>
      </c>
      <c r="T35">
        <v>15.73</v>
      </c>
    </row>
    <row r="36" spans="1:20" x14ac:dyDescent="0.35">
      <c r="A36" t="s">
        <v>16</v>
      </c>
      <c r="E36">
        <v>-1.883859929373511E-3</v>
      </c>
      <c r="F36">
        <f t="shared" si="0"/>
        <v>-1.674359833217957E-2</v>
      </c>
      <c r="G36">
        <f t="shared" si="1"/>
        <v>-2.7833500733196959E-2</v>
      </c>
      <c r="J36" s="2" t="s">
        <v>48</v>
      </c>
      <c r="K36">
        <f>B689</f>
        <v>6.1856602302009208E-3</v>
      </c>
      <c r="L36">
        <f>C689</f>
        <v>-6.0865227520961158E-5</v>
      </c>
      <c r="M36">
        <f t="shared" si="3"/>
        <v>7.3636176752241763E-3</v>
      </c>
      <c r="N36">
        <f>D689</f>
        <v>-1.1752781342540201E-2</v>
      </c>
      <c r="O36">
        <f>AVERAGEIFS(E689:E711,E689:E711,"&lt;=" &amp; N36)</f>
        <v>-1.2622009512084717E-2</v>
      </c>
      <c r="P36">
        <v>374.76808742588372</v>
      </c>
      <c r="Q36">
        <v>28.809349999999998</v>
      </c>
      <c r="R36">
        <f t="shared" si="2"/>
        <v>309.84896884940753</v>
      </c>
      <c r="S36">
        <v>7.3636176752241763E-3</v>
      </c>
      <c r="T36">
        <v>18.600000000000001</v>
      </c>
    </row>
    <row r="37" spans="1:20" x14ac:dyDescent="0.35">
      <c r="A37" t="s">
        <v>16</v>
      </c>
      <c r="E37">
        <v>-1.364893085993895E-3</v>
      </c>
      <c r="F37">
        <f t="shared" si="0"/>
        <v>-1.6749399985415522E-2</v>
      </c>
      <c r="G37">
        <f t="shared" si="1"/>
        <v>-2.7833500733196959E-2</v>
      </c>
      <c r="J37" s="2" t="s">
        <v>49</v>
      </c>
      <c r="K37">
        <f>B712</f>
        <v>8.4704346216455187E-3</v>
      </c>
      <c r="L37">
        <f>C712</f>
        <v>2.5616964777238922E-4</v>
      </c>
      <c r="M37">
        <f t="shared" si="3"/>
        <v>6.1856602302009208E-3</v>
      </c>
      <c r="N37">
        <f>D712</f>
        <v>-1.498506366743918E-2</v>
      </c>
      <c r="O37">
        <f>AVERAGEIFS(E712:E733,E712:E733,"&lt;=" &amp; N37)</f>
        <v>-1.5442186156664291E-2</v>
      </c>
      <c r="P37">
        <v>408.43499862213156</v>
      </c>
      <c r="Q37">
        <v>21.524550000000001</v>
      </c>
      <c r="R37">
        <f t="shared" si="2"/>
        <v>374.76808742588372</v>
      </c>
      <c r="S37">
        <v>6.1856602302009208E-3</v>
      </c>
      <c r="T37">
        <v>15.87</v>
      </c>
    </row>
    <row r="38" spans="1:20" x14ac:dyDescent="0.35">
      <c r="A38" t="s">
        <v>16</v>
      </c>
      <c r="E38">
        <v>-4.6647076646829568E-3</v>
      </c>
      <c r="F38">
        <f t="shared" si="0"/>
        <v>-1.6755201638651473E-2</v>
      </c>
      <c r="G38">
        <f t="shared" si="1"/>
        <v>-2.7833500733196959E-2</v>
      </c>
      <c r="J38" s="2" t="s">
        <v>50</v>
      </c>
      <c r="K38">
        <f>B734</f>
        <v>3.9674372983449033E-3</v>
      </c>
      <c r="L38">
        <f>C734</f>
        <v>6.4929080157863706E-5</v>
      </c>
      <c r="M38">
        <f t="shared" si="3"/>
        <v>8.4704346216455187E-3</v>
      </c>
      <c r="N38">
        <f>D734</f>
        <v>-5.505138472957187E-3</v>
      </c>
      <c r="O38">
        <f>AVERAGEIFS(E734:E750,E734:E750,"&lt;=" &amp; N38)</f>
        <v>-6.4717634322341696E-3</v>
      </c>
      <c r="P38">
        <v>358.99346986261082</v>
      </c>
      <c r="Q38">
        <v>28.233470000000001</v>
      </c>
      <c r="R38">
        <f t="shared" si="2"/>
        <v>408.43499862213156</v>
      </c>
      <c r="S38">
        <v>8.4704346216455187E-3</v>
      </c>
      <c r="T38">
        <v>18.02</v>
      </c>
    </row>
    <row r="39" spans="1:20" x14ac:dyDescent="0.35">
      <c r="A39" t="s">
        <v>16</v>
      </c>
      <c r="E39">
        <v>2.6617711192338609E-3</v>
      </c>
      <c r="F39">
        <f t="shared" si="0"/>
        <v>-1.6761003291887424E-2</v>
      </c>
      <c r="G39">
        <f t="shared" si="1"/>
        <v>-2.7833500733196959E-2</v>
      </c>
      <c r="J39" s="2" t="s">
        <v>51</v>
      </c>
      <c r="K39">
        <f>B751</f>
        <v>7.1868467216755832E-3</v>
      </c>
      <c r="L39">
        <f>C751</f>
        <v>5.8013121343396333E-4</v>
      </c>
      <c r="M39">
        <f t="shared" si="3"/>
        <v>3.9674372983449033E-3</v>
      </c>
      <c r="N39">
        <f>D751</f>
        <v>-6.7763064383981686E-3</v>
      </c>
      <c r="O39">
        <f>AVERAGEIFS(E751:E772,E751:E772,"&lt;=" &amp; N39)</f>
        <v>-6.8266441830861623E-3</v>
      </c>
      <c r="P39">
        <v>371.50230742087575</v>
      </c>
      <c r="Q39">
        <v>22.603100000000001</v>
      </c>
      <c r="R39">
        <f t="shared" si="2"/>
        <v>358.99346986261082</v>
      </c>
      <c r="S39">
        <v>3.9674372983449033E-3</v>
      </c>
      <c r="T39">
        <v>14.28</v>
      </c>
    </row>
    <row r="40" spans="1:20" x14ac:dyDescent="0.35">
      <c r="A40" t="s">
        <v>16</v>
      </c>
      <c r="E40">
        <v>-2.2106737374190558E-2</v>
      </c>
      <c r="F40">
        <f t="shared" si="0"/>
        <v>-1.6766804945123379E-2</v>
      </c>
      <c r="G40">
        <f t="shared" si="1"/>
        <v>-2.7833500733196959E-2</v>
      </c>
      <c r="J40" s="2" t="s">
        <v>52</v>
      </c>
      <c r="K40">
        <f>B773</f>
        <v>6.449611776050637E-3</v>
      </c>
      <c r="L40">
        <f>C773</f>
        <v>3.2106646032249573E-4</v>
      </c>
      <c r="M40">
        <f t="shared" si="3"/>
        <v>7.1868467216755832E-3</v>
      </c>
      <c r="N40">
        <f>D773</f>
        <v>-9.3426862242219685E-3</v>
      </c>
      <c r="O40">
        <f>AVERAGEIFS(E773:E792,E773:E792,"&lt;=" &amp; N40)</f>
        <v>-9.4405826970184493E-3</v>
      </c>
      <c r="P40">
        <v>265.68391379020221</v>
      </c>
      <c r="Q40">
        <v>27.480319999999999</v>
      </c>
      <c r="R40">
        <f t="shared" si="2"/>
        <v>371.50230742087575</v>
      </c>
      <c r="S40">
        <v>7.1868467216755832E-3</v>
      </c>
      <c r="T40">
        <v>15.51</v>
      </c>
    </row>
    <row r="41" spans="1:20" x14ac:dyDescent="0.35">
      <c r="A41" t="s">
        <v>16</v>
      </c>
      <c r="E41">
        <v>8.4699292373554592E-3</v>
      </c>
      <c r="F41">
        <f t="shared" si="0"/>
        <v>-1.6656573533640296E-2</v>
      </c>
      <c r="G41">
        <f t="shared" si="1"/>
        <v>-2.7863962240425713E-2</v>
      </c>
      <c r="J41" s="2" t="s">
        <v>53</v>
      </c>
      <c r="K41">
        <f>B793</f>
        <v>5.9792957830567331E-3</v>
      </c>
      <c r="L41">
        <f>C793</f>
        <v>1.4227714568456648E-3</v>
      </c>
      <c r="M41">
        <f t="shared" si="3"/>
        <v>6.449611776050637E-3</v>
      </c>
      <c r="N41">
        <f>D793</f>
        <v>-7.9897079357728173E-3</v>
      </c>
      <c r="O41">
        <f>AVERAGEIFS(E793:E812,E793:E812,"&lt;=" &amp; N41)</f>
        <v>-8.0902242758127164E-3</v>
      </c>
      <c r="P41">
        <v>274.71902011322442</v>
      </c>
      <c r="Q41">
        <v>26.790800000000001</v>
      </c>
      <c r="R41">
        <f t="shared" si="2"/>
        <v>265.68391379020221</v>
      </c>
      <c r="S41">
        <v>6.449611776050637E-3</v>
      </c>
      <c r="T41">
        <v>12.7</v>
      </c>
    </row>
    <row r="42" spans="1:20" x14ac:dyDescent="0.35">
      <c r="A42" t="s">
        <v>17</v>
      </c>
      <c r="B42" s="3" cm="1">
        <f t="array" ref="B42">_xlfn.STDEV.S(_xlfn._xlws.FILTER($E$2:$E$1000, $A$2:$A$1000="2010-03"))</f>
        <v>6.1189665672242311E-3</v>
      </c>
      <c r="C42" s="3" cm="1">
        <f t="array" ref="C42">_xlfn.STDEV.S(_xlfn._xlws.FILTER($E$2:$E$1000, $A$2:$A$1000="2010-03"))</f>
        <v>6.1189665672242311E-3</v>
      </c>
      <c r="D42" s="3" cm="1">
        <f t="array" ref="D42">_xlfn.PERCENTILE.EXC(_xlfn._xlws.FILTER($E$42:$E$64, $A$42:$A$64="2010-03"), 0.05)</f>
        <v>-7.4927886038323862E-3</v>
      </c>
      <c r="E42">
        <v>-6.6357996777010589E-4</v>
      </c>
      <c r="F42">
        <f t="shared" si="0"/>
        <v>-1.6662375186876247E-2</v>
      </c>
      <c r="G42">
        <f t="shared" si="1"/>
        <v>-2.7863962240425713E-2</v>
      </c>
      <c r="J42" s="4" t="s">
        <v>54</v>
      </c>
      <c r="K42" s="3">
        <f>B813</f>
        <v>9.3972954783102473E-3</v>
      </c>
      <c r="L42" s="3">
        <f>C813</f>
        <v>-7.5768909285467144E-6</v>
      </c>
      <c r="M42">
        <f t="shared" si="3"/>
        <v>5.9792957830567331E-3</v>
      </c>
      <c r="N42" s="3">
        <f>D813</f>
        <v>-1.6374318132155816E-2</v>
      </c>
      <c r="O42" s="3">
        <f>AVERAGEIFS(E813:E833,E813:E833,"&lt;=" &amp; N42)</f>
        <v>-1.69354683390729E-2</v>
      </c>
      <c r="P42" s="3">
        <v>240.47741598219568</v>
      </c>
      <c r="Q42" s="3">
        <v>26.659420000000001</v>
      </c>
      <c r="R42">
        <f t="shared" si="2"/>
        <v>274.71902011322442</v>
      </c>
      <c r="S42">
        <v>5.9792957830567331E-3</v>
      </c>
      <c r="T42" s="3">
        <v>13.52</v>
      </c>
    </row>
    <row r="43" spans="1:20" x14ac:dyDescent="0.35">
      <c r="A43" t="s">
        <v>17</v>
      </c>
      <c r="E43">
        <v>8.08474664936654E-3</v>
      </c>
      <c r="F43">
        <f t="shared" si="0"/>
        <v>-1.6668176840112198E-2</v>
      </c>
      <c r="G43">
        <f t="shared" si="1"/>
        <v>-2.7863962240425713E-2</v>
      </c>
      <c r="J43" s="2" t="s">
        <v>55</v>
      </c>
      <c r="K43">
        <f>B834</f>
        <v>9.3744188292125604E-3</v>
      </c>
      <c r="L43">
        <f>C834</f>
        <v>6.9954871889180733E-4</v>
      </c>
      <c r="M43">
        <f t="shared" si="3"/>
        <v>9.3972954783102473E-3</v>
      </c>
      <c r="N43">
        <f>D834</f>
        <v>-2.2301400862437527E-2</v>
      </c>
      <c r="O43">
        <f>AVERAGEIFS(E834:E853,E834:E853,"&lt;=" &amp; N43)</f>
        <v>-2.2338248333308507E-2</v>
      </c>
      <c r="P43">
        <v>162.96872337936028</v>
      </c>
      <c r="Q43">
        <v>25.429390000000001</v>
      </c>
      <c r="R43">
        <f t="shared" si="2"/>
        <v>240.47741598219568</v>
      </c>
      <c r="S43">
        <v>9.3972954783102473E-3</v>
      </c>
      <c r="T43">
        <v>16.3</v>
      </c>
    </row>
    <row r="44" spans="1:20" x14ac:dyDescent="0.35">
      <c r="A44" t="s">
        <v>17</v>
      </c>
      <c r="E44">
        <v>9.6221910108455488E-3</v>
      </c>
      <c r="F44">
        <f t="shared" si="0"/>
        <v>-1.667397849334815E-2</v>
      </c>
      <c r="G44">
        <f t="shared" si="1"/>
        <v>-2.7863962240425713E-2</v>
      </c>
      <c r="J44" s="2" t="s">
        <v>56</v>
      </c>
      <c r="K44">
        <f>B854</f>
        <v>9.9002907444371239E-3</v>
      </c>
      <c r="L44">
        <f>C854</f>
        <v>-2.9678018097155636E-3</v>
      </c>
      <c r="M44">
        <f t="shared" si="3"/>
        <v>9.3744188292125604E-3</v>
      </c>
      <c r="N44">
        <f>D854</f>
        <v>-2.8425048774597519E-2</v>
      </c>
      <c r="O44">
        <f>AVERAGEIFS(E854:E873,E854:E873,"&lt;=" &amp; N44)</f>
        <v>-2.9082516428527206E-2</v>
      </c>
      <c r="P44">
        <v>216.77473824448069</v>
      </c>
      <c r="Q44">
        <v>28.373660000000001</v>
      </c>
      <c r="R44">
        <f t="shared" si="2"/>
        <v>162.96872337936028</v>
      </c>
      <c r="S44">
        <v>9.3744188292125604E-3</v>
      </c>
      <c r="T44">
        <v>16.86</v>
      </c>
    </row>
    <row r="45" spans="1:20" x14ac:dyDescent="0.35">
      <c r="A45" t="s">
        <v>17</v>
      </c>
      <c r="E45">
        <v>3.0661796958296899E-3</v>
      </c>
      <c r="F45">
        <f t="shared" si="0"/>
        <v>-1.6679780146584104E-2</v>
      </c>
      <c r="G45">
        <f t="shared" si="1"/>
        <v>-2.7863962240425713E-2</v>
      </c>
      <c r="J45" s="2" t="s">
        <v>57</v>
      </c>
      <c r="K45">
        <f>B874</f>
        <v>8.5542834227826884E-3</v>
      </c>
      <c r="L45">
        <f>C874</f>
        <v>1.8288331886969482E-3</v>
      </c>
      <c r="M45">
        <f t="shared" si="3"/>
        <v>9.9002907444371239E-3</v>
      </c>
      <c r="N45">
        <f>D874</f>
        <v>-1.1025270008154968E-2</v>
      </c>
      <c r="O45">
        <f>AVERAGEIFS(E874:E896,E874:E896,"&lt;=" &amp; N45)</f>
        <v>-1.1370976838816037E-2</v>
      </c>
      <c r="P45">
        <v>141.82069505296914</v>
      </c>
      <c r="Q45">
        <v>25.309899999999999</v>
      </c>
      <c r="R45">
        <f t="shared" si="2"/>
        <v>216.77473824448069</v>
      </c>
      <c r="S45">
        <v>9.9002907444371239E-3</v>
      </c>
      <c r="T45">
        <v>13.45</v>
      </c>
    </row>
    <row r="46" spans="1:20" x14ac:dyDescent="0.35">
      <c r="A46" t="s">
        <v>17</v>
      </c>
      <c r="E46">
        <v>1.6177899154686287E-2</v>
      </c>
      <c r="F46">
        <f t="shared" si="0"/>
        <v>-1.6685581799820052E-2</v>
      </c>
      <c r="G46">
        <f t="shared" si="1"/>
        <v>-2.7863962240425713E-2</v>
      </c>
      <c r="J46" s="2" t="s">
        <v>58</v>
      </c>
      <c r="K46">
        <f>B897</f>
        <v>7.0934197688399215E-3</v>
      </c>
      <c r="L46">
        <f>C897</f>
        <v>-3.4636033612615673E-4</v>
      </c>
      <c r="M46">
        <f t="shared" si="3"/>
        <v>8.5542834227826884E-3</v>
      </c>
      <c r="N46">
        <f>D897</f>
        <v>-1.1046216526803676E-2</v>
      </c>
      <c r="O46">
        <f>AVERAGEIFS(E897:E916,E897:E916,"&lt;=" &amp; N46)</f>
        <v>-1.110261099420885E-2</v>
      </c>
      <c r="P46">
        <v>217.50977905964422</v>
      </c>
      <c r="Q46">
        <v>31.001010000000001</v>
      </c>
      <c r="R46">
        <f t="shared" si="2"/>
        <v>141.82069505296914</v>
      </c>
      <c r="S46">
        <v>8.5542834227826884E-3</v>
      </c>
      <c r="T46">
        <v>17.010000000000002</v>
      </c>
    </row>
    <row r="47" spans="1:20" x14ac:dyDescent="0.35">
      <c r="A47" t="s">
        <v>17</v>
      </c>
      <c r="E47">
        <v>-3.0718845073151738E-3</v>
      </c>
      <c r="F47">
        <f t="shared" si="0"/>
        <v>-1.6691383453056007E-2</v>
      </c>
      <c r="G47">
        <f t="shared" si="1"/>
        <v>-2.7863962240425713E-2</v>
      </c>
      <c r="J47" s="2" t="s">
        <v>59</v>
      </c>
      <c r="K47">
        <f>B917</f>
        <v>6.603814880940982E-3</v>
      </c>
      <c r="L47">
        <f>C917</f>
        <v>1.3237794922788672E-3</v>
      </c>
      <c r="M47">
        <f t="shared" si="3"/>
        <v>7.0934197688399215E-3</v>
      </c>
      <c r="N47">
        <f>D917</f>
        <v>-9.1959156172364172E-3</v>
      </c>
      <c r="O47">
        <f>AVERAGEIFS(E917:E937,E917:E937,"&lt;=" &amp; N47)</f>
        <v>-9.5005827596453367E-3</v>
      </c>
      <c r="P47">
        <v>181.16468416844054</v>
      </c>
      <c r="Q47">
        <v>26.318200000000001</v>
      </c>
      <c r="R47">
        <f t="shared" si="2"/>
        <v>217.50977905964422</v>
      </c>
      <c r="S47">
        <v>7.0934197688399215E-3</v>
      </c>
      <c r="T47">
        <v>16.600000000000001</v>
      </c>
    </row>
    <row r="48" spans="1:20" x14ac:dyDescent="0.35">
      <c r="A48" t="s">
        <v>17</v>
      </c>
      <c r="E48">
        <v>-3.6637519852364903E-3</v>
      </c>
      <c r="F48">
        <f t="shared" si="0"/>
        <v>-1.6697185106291954E-2</v>
      </c>
      <c r="G48">
        <f t="shared" si="1"/>
        <v>-2.7863962240425713E-2</v>
      </c>
      <c r="J48" s="2" t="s">
        <v>60</v>
      </c>
      <c r="K48">
        <f>B938</f>
        <v>6.190892643247699E-3</v>
      </c>
      <c r="L48">
        <f>C938</f>
        <v>1.2005054079469244E-3</v>
      </c>
      <c r="M48">
        <f t="shared" si="3"/>
        <v>6.603814880940982E-3</v>
      </c>
      <c r="N48">
        <f>D938</f>
        <v>-1.1375394434164163E-2</v>
      </c>
      <c r="O48">
        <f>AVERAGEIFS(E938:E960,E938:E960,"&lt;=" &amp; N48)</f>
        <v>-1.220671544618564E-2</v>
      </c>
      <c r="P48">
        <v>229.49415661533226</v>
      </c>
      <c r="Q48">
        <v>21.606089999999998</v>
      </c>
      <c r="R48">
        <f t="shared" si="2"/>
        <v>181.16468416844054</v>
      </c>
      <c r="S48">
        <v>6.603814880940982E-3</v>
      </c>
      <c r="T48">
        <v>13.75</v>
      </c>
    </row>
    <row r="49" spans="1:27" x14ac:dyDescent="0.35">
      <c r="A49" t="s">
        <v>17</v>
      </c>
      <c r="E49">
        <v>1.0355478344495287E-3</v>
      </c>
      <c r="F49">
        <f t="shared" si="0"/>
        <v>-1.6702986759527909E-2</v>
      </c>
      <c r="G49">
        <f t="shared" si="1"/>
        <v>-2.7863962240425713E-2</v>
      </c>
      <c r="J49" s="2" t="s">
        <v>61</v>
      </c>
      <c r="K49">
        <f>B961</f>
        <v>4.8512345609946252E-3</v>
      </c>
      <c r="L49">
        <f>C961</f>
        <v>3.8389490517522516E-4</v>
      </c>
      <c r="M49">
        <f t="shared" si="3"/>
        <v>6.190892643247699E-3</v>
      </c>
      <c r="N49">
        <f>D961</f>
        <v>-9.2566321571718232E-3</v>
      </c>
      <c r="O49">
        <f>AVERAGEIFS(E961:E981,E961:E981,"&lt;=" &amp; N49)</f>
        <v>-9.3409645301689211E-3</v>
      </c>
      <c r="P49">
        <v>176.47413605170777</v>
      </c>
      <c r="Q49">
        <v>19.903759999999998</v>
      </c>
      <c r="R49">
        <f t="shared" si="2"/>
        <v>229.49415661533226</v>
      </c>
      <c r="S49">
        <v>6.190892643247699E-3</v>
      </c>
      <c r="T49">
        <v>13.7</v>
      </c>
    </row>
    <row r="50" spans="1:27" x14ac:dyDescent="0.35">
      <c r="A50" t="s">
        <v>17</v>
      </c>
      <c r="E50">
        <v>-8.1844010591929973E-4</v>
      </c>
      <c r="F50">
        <f t="shared" si="0"/>
        <v>-1.670878841276386E-2</v>
      </c>
      <c r="G50">
        <f t="shared" si="1"/>
        <v>-2.7863962240425713E-2</v>
      </c>
      <c r="J50" s="2" t="s">
        <v>62</v>
      </c>
      <c r="K50">
        <f>B982</f>
        <v>9.3695406377716315E-3</v>
      </c>
      <c r="L50">
        <f>C982</f>
        <v>3.1552546352377306E-4</v>
      </c>
      <c r="M50">
        <f t="shared" si="3"/>
        <v>4.8512345609946252E-3</v>
      </c>
      <c r="N50">
        <f>D982</f>
        <v>-1.015811913424355E-2</v>
      </c>
      <c r="O50">
        <f>AVERAGEIFS(E982:E999,E982:E999,"&lt;=" &amp; N50)</f>
        <v>-1.0605399210328742E-2</v>
      </c>
      <c r="P50">
        <v>190.23350878762832</v>
      </c>
      <c r="Q50">
        <v>23.81176</v>
      </c>
      <c r="R50">
        <f t="shared" si="2"/>
        <v>176.47413605170777</v>
      </c>
      <c r="S50">
        <v>4.8512345609946252E-3</v>
      </c>
      <c r="T50">
        <v>13.72</v>
      </c>
      <c r="V50" t="s">
        <v>225</v>
      </c>
    </row>
    <row r="51" spans="1:27" ht="15" thickBot="1" x14ac:dyDescent="0.4">
      <c r="A51" t="s">
        <v>17</v>
      </c>
      <c r="E51">
        <v>3.763303600029729E-3</v>
      </c>
      <c r="F51">
        <f t="shared" si="0"/>
        <v>-1.6714590065999811E-2</v>
      </c>
      <c r="G51">
        <f t="shared" si="1"/>
        <v>-2.7863962240425713E-2</v>
      </c>
      <c r="J51" s="2" t="s">
        <v>63</v>
      </c>
      <c r="K51">
        <f>B1000</f>
        <v>7.8685285360196103E-3</v>
      </c>
      <c r="L51">
        <f>C1000</f>
        <v>-6.856477702719666E-4</v>
      </c>
      <c r="M51">
        <f t="shared" si="3"/>
        <v>9.3695406377716315E-3</v>
      </c>
      <c r="N51">
        <f>D1000</f>
        <v>-2.2176890782762065E-2</v>
      </c>
      <c r="O51">
        <f>AVERAGEIFS(E1000:E1021,E1000:E1021,"&lt;=" &amp; N51)</f>
        <v>-2.3531545062719081E-2</v>
      </c>
      <c r="P51">
        <v>206.44778369271117</v>
      </c>
      <c r="Q51">
        <v>29.466290000000001</v>
      </c>
      <c r="R51">
        <f t="shared" si="2"/>
        <v>190.23350878762832</v>
      </c>
      <c r="S51">
        <v>9.3695406377716315E-3</v>
      </c>
      <c r="T51">
        <v>18.41</v>
      </c>
    </row>
    <row r="52" spans="1:27" x14ac:dyDescent="0.35">
      <c r="A52" t="s">
        <v>17</v>
      </c>
      <c r="E52">
        <v>-7.221658815375293E-3</v>
      </c>
      <c r="F52">
        <f t="shared" si="0"/>
        <v>-1.6720391719235766E-2</v>
      </c>
      <c r="G52">
        <f t="shared" si="1"/>
        <v>-2.7863962240425713E-2</v>
      </c>
      <c r="J52" s="2" t="s">
        <v>64</v>
      </c>
      <c r="K52">
        <f>B1022</f>
        <v>6.987315064233098E-3</v>
      </c>
      <c r="L52">
        <f>C1022</f>
        <v>1.9482199427932098E-3</v>
      </c>
      <c r="M52">
        <f t="shared" si="3"/>
        <v>7.8685285360196103E-3</v>
      </c>
      <c r="N52">
        <f>D1022</f>
        <v>-1.620366871062142E-2</v>
      </c>
      <c r="O52">
        <f>AVERAGEIFS(E1022:E1041,E1022:E1041,"&lt;=" &amp; N52)</f>
        <v>-1.682282608466934E-2</v>
      </c>
      <c r="P52">
        <v>181.96482834139883</v>
      </c>
      <c r="Q52">
        <v>23.15146</v>
      </c>
      <c r="R52">
        <f t="shared" si="2"/>
        <v>206.44778369271117</v>
      </c>
      <c r="S52">
        <v>7.8685285360196103E-3</v>
      </c>
      <c r="T52">
        <v>14</v>
      </c>
      <c r="V52" s="8" t="s">
        <v>226</v>
      </c>
      <c r="W52" s="8"/>
    </row>
    <row r="53" spans="1:27" x14ac:dyDescent="0.35">
      <c r="A53" t="s">
        <v>17</v>
      </c>
      <c r="E53">
        <v>9.2535779052432317E-3</v>
      </c>
      <c r="F53">
        <f t="shared" si="0"/>
        <v>-1.6726193372471714E-2</v>
      </c>
      <c r="G53">
        <f t="shared" si="1"/>
        <v>-2.7863962240425713E-2</v>
      </c>
      <c r="J53" s="2" t="s">
        <v>65</v>
      </c>
      <c r="K53">
        <f>B1042</f>
        <v>8.7210974365529003E-3</v>
      </c>
      <c r="L53">
        <f>C1042</f>
        <v>-1.5108782767039688E-3</v>
      </c>
      <c r="M53">
        <f t="shared" si="3"/>
        <v>6.987315064233098E-3</v>
      </c>
      <c r="N53">
        <f>D1042</f>
        <v>-1.4496082536714841E-2</v>
      </c>
      <c r="O53">
        <f>AVERAGEIFS(E1042:E1062,E1042:E1062,"&lt;=" &amp; N53)</f>
        <v>-1.4535588636151783E-2</v>
      </c>
      <c r="P53">
        <v>217.12489641616935</v>
      </c>
      <c r="Q53">
        <v>24.326720000000002</v>
      </c>
      <c r="R53">
        <f t="shared" si="2"/>
        <v>181.96482834139883</v>
      </c>
      <c r="S53">
        <v>6.987315064233098E-3</v>
      </c>
      <c r="T53">
        <v>13.88</v>
      </c>
      <c r="V53" t="s">
        <v>227</v>
      </c>
      <c r="W53">
        <v>5.5942740528191176E-2</v>
      </c>
      <c r="Y53" t="s">
        <v>378</v>
      </c>
    </row>
    <row r="54" spans="1:27" x14ac:dyDescent="0.35">
      <c r="A54" t="s">
        <v>17</v>
      </c>
      <c r="E54">
        <v>1.2463810286163805E-2</v>
      </c>
      <c r="F54">
        <f t="shared" si="0"/>
        <v>-1.6731995025707668E-2</v>
      </c>
      <c r="G54">
        <f t="shared" si="1"/>
        <v>-2.7863962240425713E-2</v>
      </c>
      <c r="J54" s="2" t="s">
        <v>66</v>
      </c>
      <c r="K54">
        <f>B1063</f>
        <v>7.603368596848529E-3</v>
      </c>
      <c r="L54">
        <f>C1063</f>
        <v>1.5900493167891228E-3</v>
      </c>
      <c r="M54">
        <f t="shared" si="3"/>
        <v>8.7210974365529003E-3</v>
      </c>
      <c r="N54">
        <f>D1063</f>
        <v>-1.5027526858003983E-2</v>
      </c>
      <c r="O54">
        <f>AVERAGEIFS(E1063:E1082,E1063:E1082,"&lt;=" &amp; N54)</f>
        <v>-1.5205352427301255E-2</v>
      </c>
      <c r="P54">
        <v>114.79574303210008</v>
      </c>
      <c r="Q54">
        <v>23.671060000000001</v>
      </c>
      <c r="R54">
        <f t="shared" si="2"/>
        <v>217.12489641616935</v>
      </c>
      <c r="S54">
        <v>8.7210974365529003E-3</v>
      </c>
      <c r="T54">
        <v>13.41</v>
      </c>
      <c r="V54" t="s">
        <v>228</v>
      </c>
      <c r="W54">
        <v>3.1295902178045238E-3</v>
      </c>
    </row>
    <row r="55" spans="1:27" x14ac:dyDescent="0.35">
      <c r="A55" t="s">
        <v>17</v>
      </c>
      <c r="E55">
        <v>4.1355958344639404E-3</v>
      </c>
      <c r="F55">
        <f t="shared" si="0"/>
        <v>-1.6737796678943619E-2</v>
      </c>
      <c r="G55">
        <f t="shared" si="1"/>
        <v>-2.7863962240425713E-2</v>
      </c>
      <c r="J55" s="2" t="s">
        <v>67</v>
      </c>
      <c r="K55">
        <f>B1083</f>
        <v>4.226329482919372E-3</v>
      </c>
      <c r="L55">
        <f>C1083</f>
        <v>1.0338112692990086E-3</v>
      </c>
      <c r="M55">
        <f t="shared" si="3"/>
        <v>7.603368596848529E-3</v>
      </c>
      <c r="N55">
        <f>D1083</f>
        <v>-4.8124820304221482E-3</v>
      </c>
      <c r="O55">
        <f>AVERAGEIFS(E1083:E1101,E1083:E1101,"&lt;=" &amp; N55)</f>
        <v>-4.8124820304221482E-3</v>
      </c>
      <c r="P55">
        <v>198.74093353104837</v>
      </c>
      <c r="Q55">
        <v>21.531639999999999</v>
      </c>
      <c r="R55">
        <f t="shared" si="2"/>
        <v>114.79574303210008</v>
      </c>
      <c r="S55">
        <v>7.603368596848529E-3</v>
      </c>
      <c r="T55">
        <v>11.4</v>
      </c>
      <c r="V55" t="s">
        <v>228</v>
      </c>
      <c r="W55">
        <v>-2.3477197260536931E-3</v>
      </c>
    </row>
    <row r="56" spans="1:27" x14ac:dyDescent="0.35">
      <c r="A56" t="s">
        <v>17</v>
      </c>
      <c r="E56">
        <v>-7.5605710509466595E-3</v>
      </c>
      <c r="F56">
        <f t="shared" si="0"/>
        <v>-1.674359833217957E-2</v>
      </c>
      <c r="G56">
        <f t="shared" si="1"/>
        <v>-2.7863962240425713E-2</v>
      </c>
      <c r="J56" s="2" t="s">
        <v>68</v>
      </c>
      <c r="K56">
        <f>B1102</f>
        <v>4.4854119671980316E-3</v>
      </c>
      <c r="L56">
        <f>C1102</f>
        <v>6.072614452311212E-5</v>
      </c>
      <c r="M56">
        <f t="shared" si="3"/>
        <v>4.226329482919372E-3</v>
      </c>
      <c r="N56">
        <f>D1102</f>
        <v>-1.0700047167261756E-2</v>
      </c>
      <c r="O56">
        <f>AVERAGEIFS(E1102:E1122,E1102:E1122,"&lt;=" &amp; N56)</f>
        <v>-1.1240668907284698E-2</v>
      </c>
      <c r="P56">
        <v>123.77552863465189</v>
      </c>
      <c r="Q56">
        <v>20.90326</v>
      </c>
      <c r="R56">
        <f t="shared" si="2"/>
        <v>198.74093353104837</v>
      </c>
      <c r="S56">
        <v>4.226329482919372E-3</v>
      </c>
      <c r="T56">
        <v>11.57</v>
      </c>
      <c r="V56" t="s">
        <v>229</v>
      </c>
      <c r="W56">
        <v>1.241538333155396E-2</v>
      </c>
    </row>
    <row r="57" spans="1:27" ht="15" thickBot="1" x14ac:dyDescent="0.4">
      <c r="A57" t="s">
        <v>17</v>
      </c>
      <c r="E57">
        <v>1.3508071911817528E-3</v>
      </c>
      <c r="F57">
        <f t="shared" si="0"/>
        <v>-1.6749399985415522E-2</v>
      </c>
      <c r="G57">
        <f t="shared" si="1"/>
        <v>-2.7863962240425713E-2</v>
      </c>
      <c r="J57" s="2" t="s">
        <v>69</v>
      </c>
      <c r="K57">
        <f>B1123</f>
        <v>7.1623321235759424E-3</v>
      </c>
      <c r="L57">
        <f>C1123</f>
        <v>3.3514632242814455E-4</v>
      </c>
      <c r="M57">
        <f t="shared" si="3"/>
        <v>4.4854119671980316E-3</v>
      </c>
      <c r="N57">
        <f>D1123</f>
        <v>-1.1948201271053706E-2</v>
      </c>
      <c r="O57">
        <f>AVERAGEIFS(E1123:E1145,E1123:E1145,"&lt;=" &amp; N57)</f>
        <v>-1.267594719509345E-2</v>
      </c>
      <c r="P57">
        <v>146.22756807628474</v>
      </c>
      <c r="Q57">
        <v>25.594930000000002</v>
      </c>
      <c r="R57">
        <f t="shared" si="2"/>
        <v>123.77552863465189</v>
      </c>
      <c r="S57">
        <v>4.4854119671980316E-3</v>
      </c>
      <c r="T57">
        <v>16.95</v>
      </c>
      <c r="V57" s="6" t="s">
        <v>230</v>
      </c>
      <c r="W57" s="6">
        <v>184</v>
      </c>
    </row>
    <row r="58" spans="1:27" x14ac:dyDescent="0.35">
      <c r="A58" t="s">
        <v>17</v>
      </c>
      <c r="E58">
        <v>6.4110373938997146E-3</v>
      </c>
      <c r="F58">
        <f t="shared" si="0"/>
        <v>-1.6755201638651473E-2</v>
      </c>
      <c r="G58">
        <f t="shared" si="1"/>
        <v>-2.7863962240425713E-2</v>
      </c>
      <c r="J58" s="2" t="s">
        <v>70</v>
      </c>
      <c r="K58">
        <f>B1146</f>
        <v>7.3645359633783582E-3</v>
      </c>
      <c r="L58">
        <f>C1146</f>
        <v>7.0196134634815455E-4</v>
      </c>
      <c r="M58">
        <f t="shared" si="3"/>
        <v>7.1623321235759424E-3</v>
      </c>
      <c r="N58">
        <f>D1146</f>
        <v>-1.405205661122096E-2</v>
      </c>
      <c r="O58">
        <f>AVERAGEIFS(E1146:E1164,E1146:E1164,"&lt;=" &amp; N58)</f>
        <v>-1.405205661122096E-2</v>
      </c>
      <c r="P58">
        <v>209.91403240297143</v>
      </c>
      <c r="Q58">
        <v>22.59468</v>
      </c>
      <c r="R58">
        <f t="shared" si="2"/>
        <v>146.22756807628474</v>
      </c>
      <c r="S58">
        <v>7.1623321235759424E-3</v>
      </c>
      <c r="T58">
        <v>11.98</v>
      </c>
    </row>
    <row r="59" spans="1:27" ht="15" thickBot="1" x14ac:dyDescent="0.4">
      <c r="A59" t="s">
        <v>17</v>
      </c>
      <c r="E59">
        <v>2.7116445587191838E-3</v>
      </c>
      <c r="F59">
        <f t="shared" si="0"/>
        <v>-1.6761003291887424E-2</v>
      </c>
      <c r="G59">
        <f t="shared" si="1"/>
        <v>-2.7863962240425713E-2</v>
      </c>
      <c r="J59" s="2" t="s">
        <v>71</v>
      </c>
      <c r="K59">
        <f>B1165</f>
        <v>6.8269702457620964E-3</v>
      </c>
      <c r="L59">
        <f>C1165</f>
        <v>-5.2390598649812794E-4</v>
      </c>
      <c r="M59">
        <f t="shared" si="3"/>
        <v>7.3645359633783582E-3</v>
      </c>
      <c r="N59">
        <f>D1165</f>
        <v>-1.452915127562418E-2</v>
      </c>
      <c r="O59">
        <f>AVERAGEIFS(E1165:E1186,E1165:E1186,"&lt;=" &amp; N59)</f>
        <v>-1.4940602909053627E-2</v>
      </c>
      <c r="P59">
        <v>267.5660441517748</v>
      </c>
      <c r="Q59">
        <v>22.544530000000002</v>
      </c>
      <c r="R59">
        <f t="shared" si="2"/>
        <v>209.91403240297143</v>
      </c>
      <c r="S59">
        <v>7.3645359633783582E-3</v>
      </c>
      <c r="T59">
        <v>16.309999999999999</v>
      </c>
      <c r="V59" t="s">
        <v>231</v>
      </c>
    </row>
    <row r="60" spans="1:27" x14ac:dyDescent="0.35">
      <c r="A60" t="s">
        <v>17</v>
      </c>
      <c r="E60">
        <v>6.8991179964502025E-3</v>
      </c>
      <c r="F60">
        <f t="shared" si="0"/>
        <v>-1.6766804945123379E-2</v>
      </c>
      <c r="G60">
        <f t="shared" si="1"/>
        <v>-2.7863962240425713E-2</v>
      </c>
      <c r="J60" s="2" t="s">
        <v>72</v>
      </c>
      <c r="K60">
        <f>B1187</f>
        <v>1.4482191037231125E-2</v>
      </c>
      <c r="L60">
        <f>C1187</f>
        <v>-8.0726131963953433E-4</v>
      </c>
      <c r="M60">
        <f t="shared" si="3"/>
        <v>6.8269702457620964E-3</v>
      </c>
      <c r="N60">
        <f>D1187</f>
        <v>-3.6054991116663278E-2</v>
      </c>
      <c r="O60">
        <f>AVERAGEIFS(E1187:E1208,E1187:E1208,"&lt;=" &amp; N60)</f>
        <v>-3.8018622051690772E-2</v>
      </c>
      <c r="P60">
        <v>159.83262884455087</v>
      </c>
      <c r="Q60">
        <v>25.459479999999999</v>
      </c>
      <c r="R60">
        <f t="shared" si="2"/>
        <v>267.5660441517748</v>
      </c>
      <c r="S60">
        <v>6.8269702457620964E-3</v>
      </c>
      <c r="T60">
        <v>14.03</v>
      </c>
      <c r="V60" s="7"/>
      <c r="W60" s="7" t="s">
        <v>236</v>
      </c>
      <c r="X60" s="7" t="s">
        <v>237</v>
      </c>
      <c r="Y60" s="7" t="s">
        <v>238</v>
      </c>
      <c r="Z60" s="7" t="s">
        <v>239</v>
      </c>
      <c r="AA60" s="7" t="s">
        <v>240</v>
      </c>
    </row>
    <row r="61" spans="1:27" x14ac:dyDescent="0.35">
      <c r="A61" t="s">
        <v>17</v>
      </c>
      <c r="E61">
        <v>-6.3772857489820646E-3</v>
      </c>
      <c r="F61">
        <f t="shared" si="0"/>
        <v>-1.6767773514552956E-2</v>
      </c>
      <c r="G61">
        <f t="shared" si="1"/>
        <v>-2.7923305327566365E-2</v>
      </c>
      <c r="J61" s="2" t="s">
        <v>73</v>
      </c>
      <c r="K61">
        <f>B1209</f>
        <v>7.3513000164235264E-3</v>
      </c>
      <c r="L61">
        <f>C1209</f>
        <v>5.3865096005539543E-4</v>
      </c>
      <c r="M61">
        <f t="shared" si="3"/>
        <v>1.4482191037231125E-2</v>
      </c>
      <c r="N61">
        <f>D1209</f>
        <v>-9.4968654985866617E-3</v>
      </c>
      <c r="O61">
        <f>AVERAGEIFS(E1209:E1228,E1209:E1228,"&lt;=" &amp; N61)</f>
        <v>-9.6732460475391635E-3</v>
      </c>
      <c r="P61">
        <v>142.29186164962024</v>
      </c>
      <c r="Q61">
        <v>22.414459999999998</v>
      </c>
      <c r="R61">
        <f t="shared" si="2"/>
        <v>159.83262884455087</v>
      </c>
      <c r="S61">
        <v>1.4482191037231125E-2</v>
      </c>
      <c r="T61">
        <v>13.33</v>
      </c>
      <c r="V61" t="s">
        <v>232</v>
      </c>
      <c r="W61">
        <v>1</v>
      </c>
      <c r="X61">
        <v>8.8072520422595446E-5</v>
      </c>
      <c r="Y61">
        <v>8.8072520422595446E-5</v>
      </c>
      <c r="Z61">
        <v>0.5713735848221948</v>
      </c>
      <c r="AA61">
        <v>0.45069083166133161</v>
      </c>
    </row>
    <row r="62" spans="1:27" x14ac:dyDescent="0.35">
      <c r="A62" t="s">
        <v>17</v>
      </c>
      <c r="E62">
        <v>2.8374331534306288E-3</v>
      </c>
      <c r="F62">
        <f t="shared" si="0"/>
        <v>-1.6768742083982532E-2</v>
      </c>
      <c r="G62">
        <f t="shared" si="1"/>
        <v>-2.7923305327566365E-2</v>
      </c>
      <c r="J62" s="2" t="s">
        <v>74</v>
      </c>
      <c r="K62">
        <f>B1229</f>
        <v>1.6105001409455449E-2</v>
      </c>
      <c r="L62">
        <f>C1229</f>
        <v>-4.2264735915084899E-4</v>
      </c>
      <c r="M62">
        <f t="shared" si="3"/>
        <v>7.3513000164235264E-3</v>
      </c>
      <c r="N62">
        <f>D1229</f>
        <v>-3.0224847172743749E-2</v>
      </c>
      <c r="O62">
        <f>AVERAGEIFS(E1229:E1247,E1229:E1247,"&lt;=" &amp; N62)</f>
        <v>-3.0224847172743749E-2</v>
      </c>
      <c r="P62">
        <v>210.36074872352586</v>
      </c>
      <c r="Q62">
        <v>31.836269999999999</v>
      </c>
      <c r="R62">
        <f t="shared" si="2"/>
        <v>142.29186164962024</v>
      </c>
      <c r="S62">
        <v>7.3513000164235264E-3</v>
      </c>
      <c r="T62">
        <v>19.2</v>
      </c>
      <c r="V62" t="s">
        <v>233</v>
      </c>
      <c r="W62">
        <v>182</v>
      </c>
      <c r="X62">
        <v>2.8053797275035881E-2</v>
      </c>
      <c r="Y62">
        <v>1.5414174326942791E-4</v>
      </c>
    </row>
    <row r="63" spans="1:27" ht="15" thickBot="1" x14ac:dyDescent="0.4">
      <c r="A63" t="s">
        <v>17</v>
      </c>
      <c r="E63">
        <v>1.5880726313171644E-3</v>
      </c>
      <c r="F63">
        <f t="shared" si="0"/>
        <v>-1.6769710653412106E-2</v>
      </c>
      <c r="G63">
        <f t="shared" si="1"/>
        <v>-2.7923305327566365E-2</v>
      </c>
      <c r="J63" s="2" t="s">
        <v>75</v>
      </c>
      <c r="K63">
        <f>B1248</f>
        <v>1.3922996110844365E-2</v>
      </c>
      <c r="L63">
        <f>C1248</f>
        <v>3.3056797065127218E-3</v>
      </c>
      <c r="M63">
        <f t="shared" si="3"/>
        <v>1.6105001409455449E-2</v>
      </c>
      <c r="N63">
        <f>D1248</f>
        <v>-2.1430745337947053E-2</v>
      </c>
      <c r="O63">
        <f>AVERAGEIFS(E1248:E1268,E1248:E1268,"&lt;=" &amp; N63)</f>
        <v>-2.1580263858845906E-2</v>
      </c>
      <c r="P63">
        <v>201.19103510193636</v>
      </c>
      <c r="Q63">
        <v>27.916350000000001</v>
      </c>
      <c r="R63">
        <f t="shared" si="2"/>
        <v>210.36074872352586</v>
      </c>
      <c r="S63">
        <v>1.6105001409455449E-2</v>
      </c>
      <c r="T63">
        <v>20.97</v>
      </c>
      <c r="V63" s="6" t="s">
        <v>234</v>
      </c>
      <c r="W63" s="6">
        <v>183</v>
      </c>
      <c r="X63" s="6">
        <v>2.8141869795458477E-2</v>
      </c>
      <c r="Y63" s="6"/>
      <c r="Z63" s="6"/>
      <c r="AA63" s="6"/>
    </row>
    <row r="64" spans="1:27" ht="15" thickBot="1" x14ac:dyDescent="0.4">
      <c r="A64" t="s">
        <v>17</v>
      </c>
      <c r="E64">
        <v>1.050786038785163E-3</v>
      </c>
      <c r="F64">
        <f t="shared" si="0"/>
        <v>-1.6770679222841683E-2</v>
      </c>
      <c r="G64">
        <f t="shared" si="1"/>
        <v>-2.7923305327566365E-2</v>
      </c>
      <c r="J64" s="2" t="s">
        <v>76</v>
      </c>
      <c r="K64">
        <f>B1269</f>
        <v>4.4888207768201535E-3</v>
      </c>
      <c r="L64">
        <f>C1269</f>
        <v>3.2329609836519919E-3</v>
      </c>
      <c r="M64">
        <f t="shared" si="3"/>
        <v>1.3922996110844365E-2</v>
      </c>
      <c r="N64">
        <f>D1269</f>
        <v>-4.4360977358111064E-3</v>
      </c>
      <c r="O64">
        <f>AVERAGEIFS(E1269:E1288,E1269:E1288,"&lt;=" &amp; N64)</f>
        <v>-4.5082373831092639E-3</v>
      </c>
      <c r="P64">
        <v>190.13890372553413</v>
      </c>
      <c r="Q64">
        <v>19.87426</v>
      </c>
      <c r="R64">
        <f t="shared" si="2"/>
        <v>201.19103510193636</v>
      </c>
      <c r="S64">
        <v>1.3922996110844365E-2</v>
      </c>
      <c r="T64">
        <v>13.34</v>
      </c>
    </row>
    <row r="65" spans="1:30" x14ac:dyDescent="0.35">
      <c r="A65" t="s">
        <v>18</v>
      </c>
      <c r="B65" s="3" cm="1">
        <f t="array" ref="B65">_xlfn.STDEV.S(_xlfn._xlws.FILTER($E$2:$E$1000, $A$2:$A$1000="2010-04"))</f>
        <v>1.2420194985732512E-2</v>
      </c>
      <c r="C65" s="3" cm="1">
        <f t="array" ref="C65">_xlfn.STDEV.S(_xlfn._xlws.FILTER($E$2:$E$1000, $A$2:$A$1000="2010-04"))</f>
        <v>1.2420194985732512E-2</v>
      </c>
      <c r="D65" s="3" cm="1">
        <f t="array" ref="D65">_xlfn.PERCENTILE.EXC(_xlfn._xlws.FILTER($E$65:$E$84, $A$65:$A$84="2010-04"), 0.05)</f>
        <v>-2.8966625324511896E-2</v>
      </c>
      <c r="E65">
        <v>1.4518251509468193E-2</v>
      </c>
      <c r="F65">
        <f t="shared" si="0"/>
        <v>-1.677164779227126E-2</v>
      </c>
      <c r="G65">
        <f t="shared" si="1"/>
        <v>-2.7923305327566365E-2</v>
      </c>
      <c r="J65" s="4" t="s">
        <v>77</v>
      </c>
      <c r="K65" s="3">
        <f>B1289</f>
        <v>7.127011605779973E-3</v>
      </c>
      <c r="L65" s="3">
        <f>C1289</f>
        <v>-1.0060913454358101E-3</v>
      </c>
      <c r="M65">
        <f t="shared" si="3"/>
        <v>4.4888207768201535E-3</v>
      </c>
      <c r="N65" s="3">
        <f>D1289</f>
        <v>-1.3214894889218879E-2</v>
      </c>
      <c r="O65" s="3">
        <f>AVERAGEIFS(E1289:E1310,E1289:E1310,"&lt;=" &amp; N65)</f>
        <v>-1.4027996886740149E-2</v>
      </c>
      <c r="P65" s="3">
        <v>209.54929946170648</v>
      </c>
      <c r="Q65" s="3">
        <v>22.636510000000001</v>
      </c>
      <c r="R65">
        <f t="shared" si="2"/>
        <v>190.13890372553413</v>
      </c>
      <c r="S65">
        <v>4.4888207768201535E-3</v>
      </c>
      <c r="T65" s="3">
        <v>15.29</v>
      </c>
      <c r="V65" s="7"/>
      <c r="W65" s="7" t="s">
        <v>241</v>
      </c>
      <c r="X65" s="7" t="s">
        <v>229</v>
      </c>
      <c r="Y65" s="7" t="s">
        <v>242</v>
      </c>
      <c r="Z65" s="7" t="s">
        <v>243</v>
      </c>
      <c r="AA65" s="7" t="s">
        <v>244</v>
      </c>
      <c r="AB65" s="7" t="s">
        <v>245</v>
      </c>
      <c r="AC65" s="7" t="s">
        <v>246</v>
      </c>
      <c r="AD65" s="7" t="s">
        <v>247</v>
      </c>
    </row>
    <row r="66" spans="1:30" x14ac:dyDescent="0.35">
      <c r="A66" t="s">
        <v>18</v>
      </c>
      <c r="E66">
        <v>1.7422552766219925E-2</v>
      </c>
      <c r="F66">
        <f t="shared" si="0"/>
        <v>-1.6772616361700837E-2</v>
      </c>
      <c r="G66">
        <f t="shared" si="1"/>
        <v>-2.7923305327566365E-2</v>
      </c>
      <c r="J66" s="2" t="s">
        <v>78</v>
      </c>
      <c r="K66">
        <f>B1311</f>
        <v>1.0053386825393119E-2</v>
      </c>
      <c r="L66">
        <f>C1311</f>
        <v>7.77916044741519E-4</v>
      </c>
      <c r="M66">
        <f t="shared" si="3"/>
        <v>7.127011605779973E-3</v>
      </c>
      <c r="N66">
        <f>D1311</f>
        <v>-1.8419846691784408E-2</v>
      </c>
      <c r="O66">
        <f>AVERAGEIFS(E1311:E1330,E1311:E1330,"&lt;=" &amp; N66)</f>
        <v>-1.8720012790396347E-2</v>
      </c>
      <c r="P66">
        <v>255.48546579367084</v>
      </c>
      <c r="Q66">
        <v>27.152229999999999</v>
      </c>
      <c r="R66">
        <f t="shared" si="2"/>
        <v>209.54929946170648</v>
      </c>
      <c r="S66">
        <v>7.127011605779973E-3</v>
      </c>
      <c r="T66">
        <v>14.55</v>
      </c>
      <c r="V66" t="s">
        <v>235</v>
      </c>
      <c r="W66">
        <v>-1.8313424453439364E-2</v>
      </c>
      <c r="X66">
        <v>2.1693038103989906E-3</v>
      </c>
      <c r="Y66">
        <v>-8.4420745336131855</v>
      </c>
      <c r="Z66">
        <v>9.5808842884286447E-15</v>
      </c>
      <c r="AA66">
        <v>-2.259364326064171E-2</v>
      </c>
      <c r="AB66">
        <v>-1.4033205646237019E-2</v>
      </c>
      <c r="AC66">
        <v>-2.259364326064171E-2</v>
      </c>
      <c r="AD66">
        <v>-1.4033205646237019E-2</v>
      </c>
    </row>
    <row r="67" spans="1:30" ht="15" thickBot="1" x14ac:dyDescent="0.4">
      <c r="A67" t="s">
        <v>18</v>
      </c>
      <c r="E67">
        <v>-6.7927849396149785E-4</v>
      </c>
      <c r="F67">
        <f t="shared" si="0"/>
        <v>-1.6773584931130413E-2</v>
      </c>
      <c r="G67">
        <f t="shared" si="1"/>
        <v>-2.7923305327566365E-2</v>
      </c>
      <c r="J67" s="2" t="s">
        <v>79</v>
      </c>
      <c r="K67">
        <f>B1331</f>
        <v>1.321310473460964E-2</v>
      </c>
      <c r="L67">
        <f>C1331</f>
        <v>1.1678725732283356E-3</v>
      </c>
      <c r="M67">
        <f t="shared" si="3"/>
        <v>1.0053386825393119E-2</v>
      </c>
      <c r="N67">
        <f>D1331</f>
        <v>-1.316293218794248E-2</v>
      </c>
      <c r="O67">
        <f>AVERAGEIFS(E1331:E1348,E1331:E1348,"&lt;=" &amp; N67)</f>
        <v>-1.4009799170089312E-2</v>
      </c>
      <c r="P67">
        <v>272.46484325669115</v>
      </c>
      <c r="Q67">
        <v>25.82891</v>
      </c>
      <c r="R67">
        <f t="shared" si="2"/>
        <v>255.48546579367084</v>
      </c>
      <c r="S67">
        <v>1.0053386825393119E-2</v>
      </c>
      <c r="T67">
        <v>13.84</v>
      </c>
      <c r="V67" s="6" t="s">
        <v>202</v>
      </c>
      <c r="W67" s="6">
        <v>-4.8792835560730287E-6</v>
      </c>
      <c r="X67" s="6">
        <v>6.4549960112740686E-6</v>
      </c>
      <c r="Y67" s="6">
        <v>-0.75589257492197426</v>
      </c>
      <c r="Z67" s="6">
        <v>0.45069083166134027</v>
      </c>
      <c r="AA67" s="6">
        <v>-1.7615533405184639E-5</v>
      </c>
      <c r="AB67" s="6">
        <v>7.8569662930385831E-6</v>
      </c>
      <c r="AC67" s="6">
        <v>-1.7615533405184639E-5</v>
      </c>
      <c r="AD67" s="6">
        <v>7.8569662930385831E-6</v>
      </c>
    </row>
    <row r="68" spans="1:30" x14ac:dyDescent="0.35">
      <c r="A68" t="s">
        <v>18</v>
      </c>
      <c r="E68">
        <v>-7.7697901441521168E-3</v>
      </c>
      <c r="F68">
        <f t="shared" ref="F68:F131" si="4">_xlfn.PERCENTILE.EXC(E68:E3883,0.05)</f>
        <v>-1.6774553500559987E-2</v>
      </c>
      <c r="G68">
        <f t="shared" ref="G68:G131" si="5">AVERAGEIFS(E68:E3884,E68:E3884,"&lt;=" &amp; F68)</f>
        <v>-2.7923305327566365E-2</v>
      </c>
      <c r="J68" s="2" t="s">
        <v>80</v>
      </c>
      <c r="K68">
        <f>B1349</f>
        <v>9.9169066905881419E-3</v>
      </c>
      <c r="L68">
        <f>C1349</f>
        <v>-2.5287875915240184E-3</v>
      </c>
      <c r="M68">
        <f t="shared" si="3"/>
        <v>1.321310473460964E-2</v>
      </c>
      <c r="N68">
        <f>D1349</f>
        <v>-2.3450027582446385E-2</v>
      </c>
      <c r="O68">
        <f>AVERAGEIFS(E1349:E1370,E1349:E1370,"&lt;=" &amp; N68)</f>
        <v>-2.485397734730093E-2</v>
      </c>
      <c r="P68">
        <v>199.78224831465846</v>
      </c>
      <c r="Q68">
        <v>36.032110000000003</v>
      </c>
      <c r="R68">
        <f t="shared" si="2"/>
        <v>272.46484325669115</v>
      </c>
      <c r="S68">
        <v>1.321310473460964E-2</v>
      </c>
      <c r="T68">
        <v>18.23</v>
      </c>
    </row>
    <row r="69" spans="1:30" x14ac:dyDescent="0.35">
      <c r="A69" t="s">
        <v>18</v>
      </c>
      <c r="E69">
        <v>8.944686861582573E-3</v>
      </c>
      <c r="F69">
        <f t="shared" si="4"/>
        <v>-1.6775522069989564E-2</v>
      </c>
      <c r="G69">
        <f t="shared" si="5"/>
        <v>-2.7923305327566365E-2</v>
      </c>
      <c r="J69" s="2" t="s">
        <v>81</v>
      </c>
      <c r="K69">
        <f>B1371</f>
        <v>1.2403705164543746E-2</v>
      </c>
      <c r="L69">
        <f>C1371</f>
        <v>1.4647142055857927E-3</v>
      </c>
      <c r="M69">
        <f t="shared" si="3"/>
        <v>9.9169066905881419E-3</v>
      </c>
      <c r="N69">
        <f>D1371</f>
        <v>-1.9053482893359421E-2</v>
      </c>
      <c r="O69">
        <f>AVERAGEIFS(E1371:E1393,E1371:E1393,"&lt;=" &amp; N69)</f>
        <v>-1.9775840765522936E-2</v>
      </c>
      <c r="P69">
        <v>179.13893143424198</v>
      </c>
      <c r="Q69">
        <v>21.222370000000002</v>
      </c>
      <c r="R69">
        <f t="shared" ref="R69:R132" si="6">P68</f>
        <v>199.78224831465846</v>
      </c>
      <c r="S69">
        <v>9.9169066905881419E-3</v>
      </c>
      <c r="T69">
        <v>12.12</v>
      </c>
    </row>
    <row r="70" spans="1:30" x14ac:dyDescent="0.35">
      <c r="A70" t="s">
        <v>18</v>
      </c>
      <c r="E70">
        <v>-7.1756654278498358E-3</v>
      </c>
      <c r="F70">
        <f t="shared" si="4"/>
        <v>-1.6776490639419141E-2</v>
      </c>
      <c r="G70">
        <f t="shared" si="5"/>
        <v>-2.7923305327566365E-2</v>
      </c>
      <c r="J70" s="2" t="s">
        <v>82</v>
      </c>
      <c r="K70">
        <f>B1394</f>
        <v>2.396692662882409E-2</v>
      </c>
      <c r="L70">
        <f>C1394</f>
        <v>-5.0417894012237847E-3</v>
      </c>
      <c r="M70">
        <f t="shared" ref="M70:M133" si="7">K69</f>
        <v>1.2403705164543746E-2</v>
      </c>
      <c r="N70">
        <f>D1394</f>
        <v>-5.9535849920983604E-2</v>
      </c>
      <c r="O70">
        <f>AVERAGEIFS(E1394:E1413,E1394:E1413,"&lt;=" &amp; N70)</f>
        <v>-6.047803941791962E-2</v>
      </c>
      <c r="P70">
        <v>137.50152095041128</v>
      </c>
      <c r="Q70">
        <v>34.812840000000001</v>
      </c>
      <c r="R70">
        <f t="shared" si="6"/>
        <v>179.13893143424198</v>
      </c>
      <c r="S70">
        <v>1.2403705164543746E-2</v>
      </c>
      <c r="T70">
        <v>28.43</v>
      </c>
    </row>
    <row r="71" spans="1:30" x14ac:dyDescent="0.35">
      <c r="A71" t="s">
        <v>18</v>
      </c>
      <c r="E71">
        <v>-3.026566188423575E-3</v>
      </c>
      <c r="F71">
        <f t="shared" si="4"/>
        <v>-1.6777459208848718E-2</v>
      </c>
      <c r="G71">
        <f t="shared" si="5"/>
        <v>-2.7923305327566365E-2</v>
      </c>
      <c r="J71" s="2" t="s">
        <v>83</v>
      </c>
      <c r="K71">
        <f>B1414</f>
        <v>2.0758654082604688E-2</v>
      </c>
      <c r="L71">
        <f>C1414</f>
        <v>-2.1335812074611922E-3</v>
      </c>
      <c r="M71">
        <f t="shared" si="7"/>
        <v>2.396692662882409E-2</v>
      </c>
      <c r="N71">
        <f>D1414</f>
        <v>-4.1193792063901738E-2</v>
      </c>
      <c r="O71">
        <f>AVERAGEIFS(E1414:E1435,E1414:E1435,"&lt;=" &amp; N71)</f>
        <v>-4.3025636977835645E-2</v>
      </c>
      <c r="P71">
        <v>279.84174554250558</v>
      </c>
      <c r="Q71">
        <v>35.833730000000003</v>
      </c>
      <c r="R71">
        <f t="shared" si="6"/>
        <v>137.50152095041128</v>
      </c>
      <c r="S71">
        <v>2.396692662882409E-2</v>
      </c>
      <c r="T71">
        <v>24.5</v>
      </c>
    </row>
    <row r="72" spans="1:30" x14ac:dyDescent="0.35">
      <c r="A72" t="s">
        <v>18</v>
      </c>
      <c r="E72">
        <v>7.2453254806560154E-3</v>
      </c>
      <c r="F72">
        <f t="shared" si="4"/>
        <v>-1.6778427778278295E-2</v>
      </c>
      <c r="G72">
        <f t="shared" si="5"/>
        <v>-2.7923305327566365E-2</v>
      </c>
      <c r="J72" s="2" t="s">
        <v>84</v>
      </c>
      <c r="K72">
        <f>B1436</f>
        <v>1.0338095932867521E-2</v>
      </c>
      <c r="L72">
        <f>C1436</f>
        <v>3.797168686625278E-3</v>
      </c>
      <c r="M72">
        <f t="shared" si="7"/>
        <v>2.0758654082604688E-2</v>
      </c>
      <c r="N72">
        <f>D1436</f>
        <v>-1.2500736647221128E-2</v>
      </c>
      <c r="O72">
        <f>AVERAGEIFS(E1436:E1457,E1436:E1457,"&lt;=" &amp; N72)</f>
        <v>-1.2831456088047571E-2</v>
      </c>
      <c r="P72">
        <v>155.60470199346986</v>
      </c>
      <c r="Q72">
        <v>22.42923</v>
      </c>
      <c r="R72">
        <f t="shared" si="6"/>
        <v>279.84174554250558</v>
      </c>
      <c r="S72">
        <v>2.0758654082604688E-2</v>
      </c>
      <c r="T72">
        <v>15.07</v>
      </c>
    </row>
    <row r="73" spans="1:30" x14ac:dyDescent="0.35">
      <c r="A73" t="s">
        <v>18</v>
      </c>
      <c r="E73">
        <v>1.2757330421330119E-2</v>
      </c>
      <c r="F73">
        <f t="shared" si="4"/>
        <v>-1.6779396347707868E-2</v>
      </c>
      <c r="G73">
        <f t="shared" si="5"/>
        <v>-2.7923305327566365E-2</v>
      </c>
      <c r="J73" s="2" t="s">
        <v>85</v>
      </c>
      <c r="K73">
        <f>B1458</f>
        <v>1.0844248986069971E-2</v>
      </c>
      <c r="L73">
        <f>C1458</f>
        <v>7.0006807972331116E-4</v>
      </c>
      <c r="M73">
        <f t="shared" si="7"/>
        <v>1.0338095932867521E-2</v>
      </c>
      <c r="N73">
        <f>D1458</f>
        <v>-2.2382555658214603E-2</v>
      </c>
      <c r="O73">
        <f>AVERAGEIFS(E1458:E1478,E1458:E1478,"&lt;=" &amp; N73)</f>
        <v>-2.2794808392419593E-2</v>
      </c>
      <c r="P73">
        <v>208.38193842264391</v>
      </c>
      <c r="Q73">
        <v>24.974720000000001</v>
      </c>
      <c r="R73">
        <f t="shared" si="6"/>
        <v>155.60470199346986</v>
      </c>
      <c r="S73">
        <v>1.0338095932867521E-2</v>
      </c>
      <c r="T73">
        <v>16.13</v>
      </c>
    </row>
    <row r="74" spans="1:30" x14ac:dyDescent="0.35">
      <c r="A74" t="s">
        <v>18</v>
      </c>
      <c r="E74">
        <v>-1.5138901605655635E-2</v>
      </c>
      <c r="F74">
        <f t="shared" si="4"/>
        <v>-1.6780364917137445E-2</v>
      </c>
      <c r="G74">
        <f t="shared" si="5"/>
        <v>-2.7923305327566365E-2</v>
      </c>
      <c r="J74" s="2" t="s">
        <v>86</v>
      </c>
      <c r="K74">
        <f>B1479</f>
        <v>1.7357549712814148E-2</v>
      </c>
      <c r="L74">
        <f>C1479</f>
        <v>-3.1414698123042499E-3</v>
      </c>
      <c r="M74">
        <f t="shared" si="7"/>
        <v>1.0844248986069971E-2</v>
      </c>
      <c r="N74">
        <f>D1479</f>
        <v>-4.1243430425004272E-2</v>
      </c>
      <c r="O74">
        <f>AVERAGEIFS(E1479:E1497,E1479:E1497,"&lt;=" &amp; N74)</f>
        <v>-4.1243430425004272E-2</v>
      </c>
      <c r="P74">
        <v>164.42555112733527</v>
      </c>
      <c r="Q74">
        <v>24.7791</v>
      </c>
      <c r="R74">
        <f t="shared" si="6"/>
        <v>208.38193842264391</v>
      </c>
      <c r="S74">
        <v>1.0844248986069971E-2</v>
      </c>
      <c r="T74">
        <v>18.21</v>
      </c>
    </row>
    <row r="75" spans="1:30" x14ac:dyDescent="0.35">
      <c r="A75" t="s">
        <v>18</v>
      </c>
      <c r="E75">
        <v>-6.2222604011708885E-3</v>
      </c>
      <c r="F75">
        <f t="shared" si="4"/>
        <v>-1.6781333486567022E-2</v>
      </c>
      <c r="G75">
        <f t="shared" si="5"/>
        <v>-2.7923305327566365E-2</v>
      </c>
      <c r="J75" s="2" t="s">
        <v>87</v>
      </c>
      <c r="K75">
        <f>B1498</f>
        <v>2.0070943151589835E-2</v>
      </c>
      <c r="L75">
        <f>C1498</f>
        <v>-3.3032250797853761E-3</v>
      </c>
      <c r="M75">
        <f t="shared" si="7"/>
        <v>1.7357549712814148E-2</v>
      </c>
      <c r="N75">
        <f>D1498</f>
        <v>-3.7155349141192402E-2</v>
      </c>
      <c r="O75">
        <f>AVERAGEIFS(E1498:E1517,E1498:E1517,"&lt;=" &amp; N75)</f>
        <v>-3.7275344145875772E-2</v>
      </c>
      <c r="P75">
        <v>249.41543106223193</v>
      </c>
      <c r="Q75">
        <v>29.697890000000001</v>
      </c>
      <c r="R75">
        <f t="shared" si="6"/>
        <v>164.42555112733527</v>
      </c>
      <c r="S75">
        <v>1.7357549712814148E-2</v>
      </c>
      <c r="T75">
        <v>20.2</v>
      </c>
    </row>
    <row r="76" spans="1:30" x14ac:dyDescent="0.35">
      <c r="A76" t="s">
        <v>18</v>
      </c>
      <c r="E76">
        <v>1.5293570598484513E-2</v>
      </c>
      <c r="F76">
        <f t="shared" si="4"/>
        <v>-1.6782302055996599E-2</v>
      </c>
      <c r="G76">
        <f t="shared" si="5"/>
        <v>-2.7923305327566365E-2</v>
      </c>
      <c r="J76" s="2" t="s">
        <v>88</v>
      </c>
      <c r="K76">
        <f>B1518</f>
        <v>2.1253669594817184E-2</v>
      </c>
      <c r="L76">
        <f>C1518</f>
        <v>-1.0857062974573856E-3</v>
      </c>
      <c r="M76">
        <f t="shared" si="7"/>
        <v>2.0070943151589835E-2</v>
      </c>
      <c r="N76">
        <f>D1518</f>
        <v>-3.4718654202265858E-2</v>
      </c>
      <c r="O76">
        <f>AVERAGEIFS(E1518:E1538,E1518:E1538,"&lt;=" &amp; N76)</f>
        <v>-3.4829509579840344E-2</v>
      </c>
      <c r="P76">
        <v>312.59959969675594</v>
      </c>
      <c r="Q76">
        <v>32.331159999999997</v>
      </c>
      <c r="R76">
        <f t="shared" si="6"/>
        <v>249.41543106223193</v>
      </c>
      <c r="S76">
        <v>2.0070943151589835E-2</v>
      </c>
      <c r="T76">
        <v>20.55</v>
      </c>
      <c r="V76" t="s">
        <v>225</v>
      </c>
    </row>
    <row r="77" spans="1:30" ht="15" thickBot="1" x14ac:dyDescent="0.4">
      <c r="A77" t="s">
        <v>18</v>
      </c>
      <c r="E77">
        <v>-4.6816584745178443E-3</v>
      </c>
      <c r="F77">
        <f t="shared" si="4"/>
        <v>-1.6783270625426176E-2</v>
      </c>
      <c r="G77">
        <f t="shared" si="5"/>
        <v>-2.7923305327566365E-2</v>
      </c>
      <c r="J77" s="2" t="s">
        <v>89</v>
      </c>
      <c r="K77">
        <f>B1539</f>
        <v>1.2675343049001093E-2</v>
      </c>
      <c r="L77">
        <f>C1539</f>
        <v>5.6674090390333971E-5</v>
      </c>
      <c r="M77">
        <f t="shared" si="7"/>
        <v>2.1253669594817184E-2</v>
      </c>
      <c r="N77">
        <f>D1539</f>
        <v>-2.7595254847849401E-2</v>
      </c>
      <c r="O77">
        <f>AVERAGEIFS(E1539:E1559,E1539:E1559,"&lt;=" &amp; N77)</f>
        <v>-2.8566720605015011E-2</v>
      </c>
      <c r="P77">
        <v>479.32598410110472</v>
      </c>
      <c r="Q77">
        <v>26.686969999999999</v>
      </c>
      <c r="R77">
        <f t="shared" si="6"/>
        <v>312.59959969675594</v>
      </c>
      <c r="S77">
        <v>2.1253669594817184E-2</v>
      </c>
      <c r="T77">
        <v>13.95</v>
      </c>
    </row>
    <row r="78" spans="1:30" x14ac:dyDescent="0.35">
      <c r="A78" t="s">
        <v>18</v>
      </c>
      <c r="E78">
        <v>-6.4864694981790266E-3</v>
      </c>
      <c r="F78">
        <f t="shared" si="4"/>
        <v>-1.6784239194855749E-2</v>
      </c>
      <c r="G78">
        <f t="shared" si="5"/>
        <v>-2.7923305327566365E-2</v>
      </c>
      <c r="J78" s="2" t="s">
        <v>90</v>
      </c>
      <c r="K78">
        <f>B1560</f>
        <v>1.1018574376714276E-2</v>
      </c>
      <c r="L78">
        <f>C1560</f>
        <v>1.0289980751310118E-3</v>
      </c>
      <c r="M78">
        <f t="shared" si="7"/>
        <v>1.2675343049001093E-2</v>
      </c>
      <c r="N78">
        <f>D1560</f>
        <v>-1.9855504728225483E-2</v>
      </c>
      <c r="O78">
        <f>AVERAGEIFS(E1560:E1580,E1560:E1580,"&lt;=" &amp; N78)</f>
        <v>-1.9875396257721639E-2</v>
      </c>
      <c r="P78">
        <v>434.60921569484424</v>
      </c>
      <c r="Q78">
        <v>27.493749999999999</v>
      </c>
      <c r="R78">
        <f t="shared" si="6"/>
        <v>479.32598410110472</v>
      </c>
      <c r="S78">
        <v>1.2675343049001093E-2</v>
      </c>
      <c r="T78">
        <v>15.7</v>
      </c>
      <c r="V78" s="8" t="s">
        <v>226</v>
      </c>
      <c r="W78" s="8"/>
    </row>
    <row r="79" spans="1:30" x14ac:dyDescent="0.35">
      <c r="A79" t="s">
        <v>18</v>
      </c>
      <c r="E79">
        <v>5.8533400033310284E-3</v>
      </c>
      <c r="F79">
        <f t="shared" si="4"/>
        <v>-1.6785207764285326E-2</v>
      </c>
      <c r="G79">
        <f t="shared" si="5"/>
        <v>-2.7923305327566365E-2</v>
      </c>
      <c r="J79" s="2" t="s">
        <v>91</v>
      </c>
      <c r="K79">
        <f>B1581</f>
        <v>1.1921436798954764E-2</v>
      </c>
      <c r="L79">
        <f>C1581</f>
        <v>9.0870852656061091E-4</v>
      </c>
      <c r="M79">
        <f t="shared" si="7"/>
        <v>1.1018574376714276E-2</v>
      </c>
      <c r="N79">
        <f>D1581</f>
        <v>-2.088478767412151E-2</v>
      </c>
      <c r="O79">
        <f>AVERAGEIFS(E1581:E1599,E1581:E1599,"&lt;=" &amp; N79)</f>
        <v>-2.088478767412151E-2</v>
      </c>
      <c r="P79">
        <v>428.50928537875717</v>
      </c>
      <c r="Q79">
        <v>24.633790000000001</v>
      </c>
      <c r="R79">
        <f t="shared" si="6"/>
        <v>434.60921569484424</v>
      </c>
      <c r="S79">
        <v>1.1018574376714276E-2</v>
      </c>
      <c r="T79">
        <v>14.19</v>
      </c>
      <c r="V79" t="s">
        <v>227</v>
      </c>
      <c r="W79">
        <v>3.8177232719189304E-2</v>
      </c>
      <c r="Y79" t="s">
        <v>383</v>
      </c>
    </row>
    <row r="80" spans="1:30" x14ac:dyDescent="0.35">
      <c r="A80" t="s">
        <v>18</v>
      </c>
      <c r="E80">
        <v>1.3073162951869862E-2</v>
      </c>
      <c r="F80">
        <f t="shared" si="4"/>
        <v>-1.6786176333714903E-2</v>
      </c>
      <c r="G80">
        <f t="shared" si="5"/>
        <v>-2.7923305327566365E-2</v>
      </c>
      <c r="J80" s="2" t="s">
        <v>92</v>
      </c>
      <c r="K80">
        <f>B1600</f>
        <v>2.99195987639897E-2</v>
      </c>
      <c r="L80">
        <f>C1600</f>
        <v>-1.859988496124529E-3</v>
      </c>
      <c r="M80">
        <f t="shared" si="7"/>
        <v>1.1921436798954764E-2</v>
      </c>
      <c r="N80">
        <f>D1600</f>
        <v>-8.3880611513777181E-2</v>
      </c>
      <c r="O80">
        <f>AVERAGEIFS(E1600:E1621,E1600:E1621,"&lt;=" &amp; N80)</f>
        <v>-8.9041250796063481E-2</v>
      </c>
      <c r="P80">
        <v>799.93408788119325</v>
      </c>
      <c r="Q80">
        <v>28.874510000000001</v>
      </c>
      <c r="R80">
        <f t="shared" si="6"/>
        <v>428.50928537875717</v>
      </c>
      <c r="S80">
        <v>1.1921436798954764E-2</v>
      </c>
      <c r="T80">
        <v>15.63</v>
      </c>
      <c r="V80" t="s">
        <v>228</v>
      </c>
      <c r="W80">
        <v>1.4575010980951385E-3</v>
      </c>
    </row>
    <row r="81" spans="1:30" x14ac:dyDescent="0.35">
      <c r="A81" t="s">
        <v>18</v>
      </c>
      <c r="E81">
        <v>-2.9619923373066803E-2</v>
      </c>
      <c r="F81">
        <f t="shared" si="4"/>
        <v>-1.6788008821262624E-2</v>
      </c>
      <c r="G81">
        <f t="shared" si="5"/>
        <v>-2.7983182365167721E-2</v>
      </c>
      <c r="J81" s="2" t="s">
        <v>93</v>
      </c>
      <c r="K81">
        <f>B1622</f>
        <v>1.014439389714296E-2</v>
      </c>
      <c r="L81">
        <f>C1622</f>
        <v>1.0810636838441707E-3</v>
      </c>
      <c r="M81">
        <f t="shared" si="7"/>
        <v>2.99195987639897E-2</v>
      </c>
      <c r="N81">
        <f>D1622</f>
        <v>-1.9904333458393979E-2</v>
      </c>
      <c r="O81">
        <f>AVERAGEIFS(E1622:E1642,E1622:E1642,"&lt;=" &amp; N81)</f>
        <v>-2.08684951575854E-2</v>
      </c>
      <c r="P81">
        <v>1141.7955414253549</v>
      </c>
      <c r="Q81">
        <v>22.58746</v>
      </c>
      <c r="R81">
        <f t="shared" si="6"/>
        <v>799.93408788119325</v>
      </c>
      <c r="S81">
        <v>2.99195987639897E-2</v>
      </c>
      <c r="T81">
        <v>11.87</v>
      </c>
      <c r="V81" t="s">
        <v>228</v>
      </c>
      <c r="W81">
        <v>-4.0289961486186243E-3</v>
      </c>
    </row>
    <row r="82" spans="1:30" x14ac:dyDescent="0.35">
      <c r="A82" t="s">
        <v>18</v>
      </c>
      <c r="E82">
        <v>-3.0813236617103089E-3</v>
      </c>
      <c r="F82">
        <f t="shared" si="4"/>
        <v>-1.6768742083982532E-2</v>
      </c>
      <c r="G82">
        <f t="shared" si="5"/>
        <v>-2.7914183725171206E-2</v>
      </c>
      <c r="J82" s="2" t="s">
        <v>94</v>
      </c>
      <c r="K82">
        <f>B1643</f>
        <v>5.2970363621297504E-3</v>
      </c>
      <c r="L82">
        <f>C1643</f>
        <v>8.4015257907643526E-5</v>
      </c>
      <c r="M82">
        <f t="shared" si="7"/>
        <v>1.014439389714296E-2</v>
      </c>
      <c r="N82">
        <f>D1643</f>
        <v>-7.5184322979035502E-3</v>
      </c>
      <c r="O82">
        <f>AVERAGEIFS(E1643:E1663,E1643:E1663,"&lt;=" &amp; N82)</f>
        <v>-7.537309929705277E-3</v>
      </c>
      <c r="P82">
        <v>458.68452345539561</v>
      </c>
      <c r="Q82">
        <v>21.665040000000001</v>
      </c>
      <c r="R82">
        <f t="shared" si="6"/>
        <v>1141.7955414253549</v>
      </c>
      <c r="S82">
        <v>1.014439389714296E-2</v>
      </c>
      <c r="T82">
        <v>13.42</v>
      </c>
      <c r="V82" t="s">
        <v>229</v>
      </c>
      <c r="W82">
        <v>1.1525830173723417E-2</v>
      </c>
    </row>
    <row r="83" spans="1:30" ht="15" thickBot="1" x14ac:dyDescent="0.4">
      <c r="A83" t="s">
        <v>18</v>
      </c>
      <c r="E83">
        <v>8.2773846175711908E-3</v>
      </c>
      <c r="F83">
        <f t="shared" si="4"/>
        <v>-1.6769710653412106E-2</v>
      </c>
      <c r="G83">
        <f t="shared" si="5"/>
        <v>-2.7914183725171206E-2</v>
      </c>
      <c r="J83" s="2" t="s">
        <v>95</v>
      </c>
      <c r="K83">
        <f>B1664</f>
        <v>1.0144351403341134E-2</v>
      </c>
      <c r="L83">
        <f>C1664</f>
        <v>-9.6705886587578624E-5</v>
      </c>
      <c r="M83">
        <f t="shared" si="7"/>
        <v>5.2970363621297504E-3</v>
      </c>
      <c r="N83">
        <f>D1664</f>
        <v>-1.4539753709337333E-2</v>
      </c>
      <c r="O83">
        <f>AVERAGEIFS(E1664:E1685,E1664:E1685,"&lt;=" &amp; N83)</f>
        <v>-1.4566350881975903E-2</v>
      </c>
      <c r="P83">
        <v>378.97449756523412</v>
      </c>
      <c r="Q83">
        <v>22.19697</v>
      </c>
      <c r="R83">
        <f t="shared" si="6"/>
        <v>458.68452345539561</v>
      </c>
      <c r="S83">
        <v>5.2970363621297504E-3</v>
      </c>
      <c r="T83">
        <v>13.29</v>
      </c>
      <c r="V83" s="6" t="s">
        <v>230</v>
      </c>
      <c r="W83" s="6">
        <v>184</v>
      </c>
    </row>
    <row r="84" spans="1:30" x14ac:dyDescent="0.35">
      <c r="A84" t="s">
        <v>18</v>
      </c>
      <c r="E84">
        <v>-1.6553962401968703E-2</v>
      </c>
      <c r="F84">
        <f t="shared" si="4"/>
        <v>-1.6770679222841683E-2</v>
      </c>
      <c r="G84">
        <f t="shared" si="5"/>
        <v>-2.7914183725171206E-2</v>
      </c>
      <c r="J84" s="2" t="s">
        <v>96</v>
      </c>
      <c r="K84">
        <f>B1686</f>
        <v>7.6930820428933655E-3</v>
      </c>
      <c r="L84">
        <f>C1686</f>
        <v>-1.3550769079755647E-3</v>
      </c>
      <c r="M84">
        <f t="shared" si="7"/>
        <v>1.0144351403341134E-2</v>
      </c>
      <c r="N84">
        <f>D1686</f>
        <v>-1.4962461402687926E-2</v>
      </c>
      <c r="O84">
        <f>AVERAGEIFS(E1686:E1705,E1686:E1705,"&lt;=" &amp; N84)</f>
        <v>-1.5180489037342202E-2</v>
      </c>
      <c r="P84">
        <v>545.11511062356703</v>
      </c>
      <c r="Q84">
        <v>23.51004</v>
      </c>
      <c r="R84">
        <f t="shared" si="6"/>
        <v>378.97449756523412</v>
      </c>
      <c r="S84">
        <v>1.0144351403341134E-2</v>
      </c>
      <c r="T84">
        <v>17.059999999999999</v>
      </c>
    </row>
    <row r="85" spans="1:30" ht="15" thickBot="1" x14ac:dyDescent="0.4">
      <c r="A85" t="s">
        <v>19</v>
      </c>
      <c r="B85" s="3" cm="1">
        <f t="array" ref="B85">_xlfn.STDEV.S(_xlfn._xlws.FILTER($E$2:$E$1000, $A$2:$A$1000="2010-05"))</f>
        <v>2.1914291140548534E-2</v>
      </c>
      <c r="C85" s="3" cm="1">
        <f t="array" ref="C85">AVERAGE(_xlfn._xlws.FILTER($E$2:$E$1000, $A$2:$A$1000="2010-05"))</f>
        <v>-2.4821892809046456E-3</v>
      </c>
      <c r="D85" s="3" cm="1">
        <f t="array" ref="D85">_xlfn.PERCENTILE.EXC(_xlfn._xlws.FILTER($E$85:$E$103, $A$85:$A$103="2010-05"), 0.05)</f>
        <v>-3.5754816554237685E-2</v>
      </c>
      <c r="E85">
        <v>-1.5591255818830757E-2</v>
      </c>
      <c r="F85">
        <f t="shared" si="4"/>
        <v>-1.677164779227126E-2</v>
      </c>
      <c r="G85">
        <f t="shared" si="5"/>
        <v>-2.7914183725171206E-2</v>
      </c>
      <c r="J85" s="4" t="s">
        <v>97</v>
      </c>
      <c r="K85" s="3">
        <f>B1706</f>
        <v>8.6042843997583187E-3</v>
      </c>
      <c r="L85" s="3">
        <f>C1706</f>
        <v>1.399718627377597E-3</v>
      </c>
      <c r="M85">
        <f t="shared" si="7"/>
        <v>7.6930820428933655E-3</v>
      </c>
      <c r="N85" s="3">
        <f>D1706</f>
        <v>-1.272201529393808E-2</v>
      </c>
      <c r="O85" s="3">
        <f>AVERAGEIFS(E1706:E1727,E1706:E1727,"&lt;=" &amp; N85)</f>
        <v>-1.3139558251104581E-2</v>
      </c>
      <c r="P85" s="3">
        <v>816.202206578502</v>
      </c>
      <c r="Q85" s="3">
        <v>22.72129</v>
      </c>
      <c r="R85">
        <f t="shared" si="6"/>
        <v>545.11511062356703</v>
      </c>
      <c r="S85">
        <v>7.6930820428933655E-3</v>
      </c>
      <c r="T85" s="3">
        <v>13.33</v>
      </c>
      <c r="V85" t="s">
        <v>231</v>
      </c>
    </row>
    <row r="86" spans="1:30" x14ac:dyDescent="0.35">
      <c r="A86" t="s">
        <v>19</v>
      </c>
      <c r="E86">
        <v>-3.9260961727471807E-3</v>
      </c>
      <c r="F86">
        <f t="shared" si="4"/>
        <v>-1.6772616361700837E-2</v>
      </c>
      <c r="G86">
        <f t="shared" si="5"/>
        <v>-2.7914183725171206E-2</v>
      </c>
      <c r="J86" s="2" t="s">
        <v>98</v>
      </c>
      <c r="K86">
        <f>B1728</f>
        <v>6.9153545700028794E-3</v>
      </c>
      <c r="L86">
        <f>C1728</f>
        <v>2.2086901262767219E-3</v>
      </c>
      <c r="M86">
        <f t="shared" si="7"/>
        <v>8.6042843997583187E-3</v>
      </c>
      <c r="N86">
        <f>D1728</f>
        <v>-9.3585947912405848E-3</v>
      </c>
      <c r="O86">
        <f>AVERAGEIFS(E1728:E1747,E1728:E1747,"&lt;=" &amp; N86)</f>
        <v>-9.5076169892214721E-3</v>
      </c>
      <c r="P86">
        <v>468.0212573442347</v>
      </c>
      <c r="Q86">
        <v>19.114329999999999</v>
      </c>
      <c r="R86">
        <f t="shared" si="6"/>
        <v>816.202206578502</v>
      </c>
      <c r="S86">
        <v>8.6042843997583187E-3</v>
      </c>
      <c r="T86">
        <v>14.04</v>
      </c>
      <c r="V86" s="7"/>
      <c r="W86" s="7" t="s">
        <v>236</v>
      </c>
      <c r="X86" s="7" t="s">
        <v>237</v>
      </c>
      <c r="Y86" s="7" t="s">
        <v>238</v>
      </c>
      <c r="Z86" s="7" t="s">
        <v>239</v>
      </c>
      <c r="AA86" s="7" t="s">
        <v>240</v>
      </c>
    </row>
    <row r="87" spans="1:30" x14ac:dyDescent="0.35">
      <c r="A87" t="s">
        <v>19</v>
      </c>
      <c r="E87">
        <v>-1.5114080484225734E-2</v>
      </c>
      <c r="F87">
        <f t="shared" si="4"/>
        <v>-1.6773584931130413E-2</v>
      </c>
      <c r="G87">
        <f t="shared" si="5"/>
        <v>-2.7914183725171206E-2</v>
      </c>
      <c r="J87" s="2" t="s">
        <v>99</v>
      </c>
      <c r="K87">
        <f>B1748</f>
        <v>6.2546593150338125E-3</v>
      </c>
      <c r="L87">
        <f>C1748</f>
        <v>-4.9019963502520112E-4</v>
      </c>
      <c r="M87">
        <f t="shared" si="7"/>
        <v>6.9153545700028794E-3</v>
      </c>
      <c r="N87">
        <f>D1748</f>
        <v>-1.4350049265915314E-2</v>
      </c>
      <c r="O87">
        <f>AVERAGEIFS(E1748:E1768,E1748:E1768,"&lt;=" &amp; N87)</f>
        <v>-1.4882745746693866E-2</v>
      </c>
      <c r="P87">
        <v>539.22460586330453</v>
      </c>
      <c r="Q87">
        <v>18.729869999999998</v>
      </c>
      <c r="R87">
        <f t="shared" si="6"/>
        <v>468.0212573442347</v>
      </c>
      <c r="S87">
        <v>6.9153545700028794E-3</v>
      </c>
      <c r="T87">
        <v>11.99</v>
      </c>
      <c r="V87" t="s">
        <v>232</v>
      </c>
      <c r="W87">
        <v>1</v>
      </c>
      <c r="X87">
        <v>3.5290528110937247E-5</v>
      </c>
      <c r="Y87">
        <v>3.5290528110937247E-5</v>
      </c>
      <c r="Z87">
        <v>0.26565238850126738</v>
      </c>
      <c r="AA87">
        <v>0.60688869795229916</v>
      </c>
    </row>
    <row r="88" spans="1:30" x14ac:dyDescent="0.35">
      <c r="A88" t="s">
        <v>19</v>
      </c>
      <c r="E88">
        <v>-3.5754816554237685E-2</v>
      </c>
      <c r="F88">
        <f t="shared" si="4"/>
        <v>-1.6774553500559987E-2</v>
      </c>
      <c r="G88">
        <f t="shared" si="5"/>
        <v>-2.7914183725171206E-2</v>
      </c>
      <c r="J88" s="2" t="s">
        <v>100</v>
      </c>
      <c r="K88">
        <f>B1769</f>
        <v>5.2098103885626626E-3</v>
      </c>
      <c r="L88">
        <f>C1769</f>
        <v>1.3543543084578438E-3</v>
      </c>
      <c r="M88">
        <f t="shared" si="7"/>
        <v>6.2546593150338125E-3</v>
      </c>
      <c r="N88">
        <f>D1769</f>
        <v>-1.0207728808279859E-2</v>
      </c>
      <c r="O88">
        <f>AVERAGEIFS(E1769:E1788,E1769:E1788,"&lt;=" &amp; N88)</f>
        <v>-1.0319086625118436E-2</v>
      </c>
      <c r="P88">
        <v>445.97402972667248</v>
      </c>
      <c r="Q88">
        <v>17.275020000000001</v>
      </c>
      <c r="R88">
        <f t="shared" si="6"/>
        <v>539.22460586330453</v>
      </c>
      <c r="S88">
        <v>6.2546593150338125E-3</v>
      </c>
      <c r="T88">
        <v>12.92</v>
      </c>
      <c r="V88" t="s">
        <v>233</v>
      </c>
      <c r="W88">
        <v>182</v>
      </c>
      <c r="X88">
        <v>2.4177746537219394E-2</v>
      </c>
      <c r="Y88">
        <v>1.3284476119351316E-4</v>
      </c>
    </row>
    <row r="89" spans="1:30" ht="15" thickBot="1" x14ac:dyDescent="0.4">
      <c r="A89" t="s">
        <v>19</v>
      </c>
      <c r="E89">
        <v>4.7086271053647419E-2</v>
      </c>
      <c r="F89">
        <f t="shared" si="4"/>
        <v>-1.6702986759527909E-2</v>
      </c>
      <c r="G89">
        <f t="shared" si="5"/>
        <v>-2.7812097641251237E-2</v>
      </c>
      <c r="J89" s="2" t="s">
        <v>101</v>
      </c>
      <c r="K89">
        <f>B1789</f>
        <v>6.2658735943612615E-3</v>
      </c>
      <c r="L89">
        <f>C1789</f>
        <v>4.2683593233997343E-4</v>
      </c>
      <c r="M89">
        <f t="shared" si="7"/>
        <v>5.2098103885626626E-3</v>
      </c>
      <c r="N89">
        <f>D1789</f>
        <v>-7.270691238452056E-3</v>
      </c>
      <c r="O89">
        <f>AVERAGEIFS(E1789:E1811,E1789:E1811,"&lt;=" &amp; N89)</f>
        <v>-7.31849589536601E-3</v>
      </c>
      <c r="P89">
        <v>418.65660970924273</v>
      </c>
      <c r="Q89">
        <v>17.673690000000001</v>
      </c>
      <c r="R89">
        <f t="shared" si="6"/>
        <v>445.97402972667248</v>
      </c>
      <c r="S89">
        <v>5.2098103885626626E-3</v>
      </c>
      <c r="T89">
        <v>12.37</v>
      </c>
      <c r="V89" s="6" t="s">
        <v>234</v>
      </c>
      <c r="W89" s="6">
        <v>183</v>
      </c>
      <c r="X89" s="6">
        <v>2.4213037065330331E-2</v>
      </c>
      <c r="Y89" s="6"/>
      <c r="Z89" s="6"/>
      <c r="AA89" s="6"/>
    </row>
    <row r="90" spans="1:30" ht="15" thickBot="1" x14ac:dyDescent="0.4">
      <c r="A90" t="s">
        <v>19</v>
      </c>
      <c r="E90">
        <v>4.5775128250817214E-3</v>
      </c>
      <c r="F90">
        <f t="shared" si="4"/>
        <v>-1.670878841276386E-2</v>
      </c>
      <c r="G90">
        <f t="shared" si="5"/>
        <v>-2.7812097641251237E-2</v>
      </c>
      <c r="J90" s="2" t="s">
        <v>102</v>
      </c>
      <c r="K90">
        <f>B1812</f>
        <v>5.3462796132821132E-3</v>
      </c>
      <c r="L90">
        <f>C1812</f>
        <v>-1.8108228929155284E-4</v>
      </c>
      <c r="M90">
        <f t="shared" si="7"/>
        <v>6.2658735943612615E-3</v>
      </c>
      <c r="N90">
        <f>D1812</f>
        <v>-8.2774112560129488E-3</v>
      </c>
      <c r="O90">
        <f>AVERAGEIFS(E1812:E1829,E1812:E1829,"&lt;=" &amp; N90)</f>
        <v>-1.3170273935475018E-2</v>
      </c>
      <c r="P90">
        <v>335.47583021478181</v>
      </c>
      <c r="Q90">
        <v>18.585660000000001</v>
      </c>
      <c r="R90">
        <f t="shared" si="6"/>
        <v>418.65660970924273</v>
      </c>
      <c r="S90">
        <v>6.2658735943612615E-3</v>
      </c>
      <c r="T90">
        <v>10.82</v>
      </c>
    </row>
    <row r="91" spans="1:30" x14ac:dyDescent="0.35">
      <c r="A91" t="s">
        <v>19</v>
      </c>
      <c r="E91">
        <v>8.3944423649284176E-3</v>
      </c>
      <c r="F91">
        <f t="shared" si="4"/>
        <v>-1.6714590065999811E-2</v>
      </c>
      <c r="G91">
        <f t="shared" si="5"/>
        <v>-2.7812097641251237E-2</v>
      </c>
      <c r="J91" s="2" t="s">
        <v>103</v>
      </c>
      <c r="K91">
        <f>B1830</f>
        <v>4.4317207678448156E-3</v>
      </c>
      <c r="L91">
        <f>C1830</f>
        <v>3.7762108613516738E-4</v>
      </c>
      <c r="M91">
        <f t="shared" si="7"/>
        <v>5.3462796132821132E-3</v>
      </c>
      <c r="N91">
        <f>D1830</f>
        <v>-6.078933037404039E-3</v>
      </c>
      <c r="O91">
        <f>AVERAGEIFS(E1830:E1850,E1830:E1850,"&lt;=" &amp; N91)</f>
        <v>-6.1961107874348286E-3</v>
      </c>
      <c r="P91">
        <v>470.26431956743357</v>
      </c>
      <c r="Q91">
        <v>16.354109999999999</v>
      </c>
      <c r="R91">
        <f t="shared" si="6"/>
        <v>335.47583021478181</v>
      </c>
      <c r="S91">
        <v>5.3462796132821132E-3</v>
      </c>
      <c r="T91">
        <v>10.41</v>
      </c>
      <c r="V91" s="7"/>
      <c r="W91" s="7" t="s">
        <v>241</v>
      </c>
      <c r="X91" s="7" t="s">
        <v>229</v>
      </c>
      <c r="Y91" s="7" t="s">
        <v>242</v>
      </c>
      <c r="Z91" s="7" t="s">
        <v>243</v>
      </c>
      <c r="AA91" s="7" t="s">
        <v>244</v>
      </c>
      <c r="AB91" s="7" t="s">
        <v>245</v>
      </c>
      <c r="AC91" s="7" t="s">
        <v>246</v>
      </c>
      <c r="AD91" s="7" t="s">
        <v>247</v>
      </c>
    </row>
    <row r="92" spans="1:30" x14ac:dyDescent="0.35">
      <c r="A92" t="s">
        <v>19</v>
      </c>
      <c r="E92">
        <v>1.8538378234461775E-3</v>
      </c>
      <c r="F92">
        <f t="shared" si="4"/>
        <v>-1.6720391719235766E-2</v>
      </c>
      <c r="G92">
        <f t="shared" si="5"/>
        <v>-2.7812097641251237E-2</v>
      </c>
      <c r="J92" s="2" t="s">
        <v>104</v>
      </c>
      <c r="K92">
        <f>B1851</f>
        <v>5.2512833853292501E-3</v>
      </c>
      <c r="L92">
        <f>C1851</f>
        <v>-1.6367908639745507E-3</v>
      </c>
      <c r="M92">
        <f t="shared" si="7"/>
        <v>4.4317207678448156E-3</v>
      </c>
      <c r="N92">
        <f>D1851</f>
        <v>-1.2745057539206692E-2</v>
      </c>
      <c r="O92">
        <f>AVERAGEIFS(E1851:E1871,E1851:E1871,"&lt;=" &amp; N92)</f>
        <v>-1.3145019828295062E-2</v>
      </c>
      <c r="P92">
        <v>709.74368193683949</v>
      </c>
      <c r="Q92">
        <v>19.691189999999999</v>
      </c>
      <c r="R92">
        <f t="shared" si="6"/>
        <v>470.26431956743357</v>
      </c>
      <c r="S92">
        <v>4.4317207678448156E-3</v>
      </c>
      <c r="T92">
        <v>11.18</v>
      </c>
      <c r="V92" t="s">
        <v>235</v>
      </c>
      <c r="W92">
        <v>-1.779343344245447E-2</v>
      </c>
      <c r="X92">
        <v>2.0138747750401017E-3</v>
      </c>
      <c r="Y92">
        <v>-8.8354219750829124</v>
      </c>
      <c r="Z92">
        <v>8.3439535558556411E-16</v>
      </c>
      <c r="AA92">
        <v>-2.1766977694834499E-2</v>
      </c>
      <c r="AB92">
        <v>-1.3819889190074427E-2</v>
      </c>
      <c r="AC92">
        <v>-2.1766977694834513E-2</v>
      </c>
      <c r="AD92">
        <v>-1.3819889190074427E-2</v>
      </c>
    </row>
    <row r="93" spans="1:30" ht="15" thickBot="1" x14ac:dyDescent="0.4">
      <c r="A93" t="s">
        <v>19</v>
      </c>
      <c r="E93">
        <v>-2.6152594526095016E-2</v>
      </c>
      <c r="F93">
        <f t="shared" si="4"/>
        <v>-1.6726193372471714E-2</v>
      </c>
      <c r="G93">
        <f t="shared" si="5"/>
        <v>-2.7812097641251237E-2</v>
      </c>
      <c r="J93" s="2" t="s">
        <v>105</v>
      </c>
      <c r="K93">
        <f>B1872</f>
        <v>7.7147267173372719E-3</v>
      </c>
      <c r="L93">
        <f>C1872</f>
        <v>-5.8619462939695931E-4</v>
      </c>
      <c r="M93">
        <f t="shared" si="7"/>
        <v>5.2512833853292501E-3</v>
      </c>
      <c r="N93">
        <f>D1872</f>
        <v>-1.2440128468316424E-2</v>
      </c>
      <c r="O93">
        <f>AVERAGEIFS(E1872:E1892,E1872:E1892,"&lt;=" &amp; N93)</f>
        <v>-1.2534918940921546E-2</v>
      </c>
      <c r="P93">
        <v>466.4747238112837</v>
      </c>
      <c r="Q93">
        <v>16.421189999999999</v>
      </c>
      <c r="R93">
        <f t="shared" si="6"/>
        <v>709.74368193683949</v>
      </c>
      <c r="S93">
        <v>5.2512833853292501E-3</v>
      </c>
      <c r="T93">
        <v>10.26</v>
      </c>
      <c r="V93" s="6" t="s">
        <v>202</v>
      </c>
      <c r="W93" s="6">
        <v>-3.0886231609665486E-6</v>
      </c>
      <c r="X93" s="6">
        <v>5.9925002564294447E-6</v>
      </c>
      <c r="Y93" s="6">
        <v>-0.51541477326642038</v>
      </c>
      <c r="Z93" s="6">
        <v>0.60688869795229372</v>
      </c>
      <c r="AA93" s="6">
        <v>-1.4912330000358784E-5</v>
      </c>
      <c r="AB93" s="6">
        <v>8.7350836784256865E-6</v>
      </c>
      <c r="AC93" s="6">
        <v>-1.4912330000358784E-5</v>
      </c>
      <c r="AD93" s="6">
        <v>8.7350836784256865E-6</v>
      </c>
    </row>
    <row r="94" spans="1:30" x14ac:dyDescent="0.35">
      <c r="A94" t="s">
        <v>19</v>
      </c>
      <c r="E94">
        <v>-2.5807148211436019E-3</v>
      </c>
      <c r="F94">
        <f t="shared" si="4"/>
        <v>-1.6620078295688939E-2</v>
      </c>
      <c r="G94">
        <f t="shared" si="5"/>
        <v>-2.7761012573263653E-2</v>
      </c>
      <c r="J94" s="2" t="s">
        <v>106</v>
      </c>
      <c r="K94">
        <f>B1893</f>
        <v>8.7222386653233713E-3</v>
      </c>
      <c r="L94">
        <f>C1893</f>
        <v>-9.8503830832883331E-4</v>
      </c>
      <c r="M94">
        <f t="shared" si="7"/>
        <v>7.7147267173372719E-3</v>
      </c>
      <c r="N94">
        <f>D1893</f>
        <v>-1.6714841397339343E-2</v>
      </c>
      <c r="O94">
        <f>AVERAGEIFS(E1893:E1913,E1893:E1913,"&lt;=" &amp; N94)</f>
        <v>-1.6786176333714903E-2</v>
      </c>
      <c r="P94">
        <v>441.47924767235429</v>
      </c>
      <c r="Q94">
        <v>18.572019999999998</v>
      </c>
      <c r="R94">
        <f t="shared" si="6"/>
        <v>466.4747238112837</v>
      </c>
      <c r="S94">
        <v>7.7147267173372719E-3</v>
      </c>
      <c r="T94">
        <v>10.59</v>
      </c>
    </row>
    <row r="95" spans="1:30" x14ac:dyDescent="0.35">
      <c r="A95" t="s">
        <v>19</v>
      </c>
      <c r="E95">
        <v>8.0343907671957294E-3</v>
      </c>
      <c r="F95">
        <f t="shared" si="4"/>
        <v>-1.6625193893141505E-2</v>
      </c>
      <c r="G95">
        <f t="shared" si="5"/>
        <v>-2.7761012573263653E-2</v>
      </c>
      <c r="J95" s="2" t="s">
        <v>107</v>
      </c>
      <c r="K95">
        <f>B1914</f>
        <v>3.852733471247061E-3</v>
      </c>
      <c r="L95">
        <f>C1914</f>
        <v>1.7566186508550013E-3</v>
      </c>
      <c r="M95">
        <f t="shared" si="7"/>
        <v>8.7222386653233713E-3</v>
      </c>
      <c r="N95">
        <f>D1914</f>
        <v>-8.5105611377479691E-3</v>
      </c>
      <c r="O95">
        <f>AVERAGEIFS(E1914:E1934,E1914:E1934,"&lt;=" &amp; N95)</f>
        <v>-9.1883597945121315E-3</v>
      </c>
      <c r="P95">
        <v>457.88155242031394</v>
      </c>
      <c r="Q95">
        <v>14.306179999999999</v>
      </c>
      <c r="R95">
        <f t="shared" si="6"/>
        <v>441.47924767235429</v>
      </c>
      <c r="S95">
        <v>8.7222386653233713E-3</v>
      </c>
      <c r="T95">
        <v>9.51</v>
      </c>
    </row>
    <row r="96" spans="1:30" x14ac:dyDescent="0.35">
      <c r="A96" t="s">
        <v>19</v>
      </c>
      <c r="E96">
        <v>-3.1162671153896052E-2</v>
      </c>
      <c r="F96">
        <f t="shared" si="4"/>
        <v>-1.6630309490594072E-2</v>
      </c>
      <c r="G96">
        <f t="shared" si="5"/>
        <v>-2.7761012573263653E-2</v>
      </c>
      <c r="J96" s="2" t="s">
        <v>108</v>
      </c>
      <c r="K96">
        <f>B1935</f>
        <v>5.2582989122478552E-3</v>
      </c>
      <c r="L96">
        <f>C1935</f>
        <v>7.5653427600521153E-4</v>
      </c>
      <c r="M96">
        <f t="shared" si="7"/>
        <v>3.852733471247061E-3</v>
      </c>
      <c r="N96">
        <f>D1935</f>
        <v>-8.7738384268229025E-3</v>
      </c>
      <c r="O96">
        <f>AVERAGEIFS(E1935:E1954,E1935:E1954,"&lt;=" &amp; N96)</f>
        <v>-8.8973371432869309E-3</v>
      </c>
      <c r="P96">
        <v>485.84779043674536</v>
      </c>
      <c r="Q96">
        <v>13.96176</v>
      </c>
      <c r="R96">
        <f t="shared" si="6"/>
        <v>457.88155242031394</v>
      </c>
      <c r="S96">
        <v>3.852733471247061E-3</v>
      </c>
      <c r="T96">
        <v>10.18</v>
      </c>
    </row>
    <row r="97" spans="1:30" x14ac:dyDescent="0.35">
      <c r="A97" t="s">
        <v>19</v>
      </c>
      <c r="E97">
        <v>-2.2349560610804526E-2</v>
      </c>
      <c r="F97">
        <f t="shared" si="4"/>
        <v>-1.6548326870316609E-2</v>
      </c>
      <c r="G97">
        <f t="shared" si="5"/>
        <v>-2.7682441545185465E-2</v>
      </c>
      <c r="J97" s="2" t="s">
        <v>109</v>
      </c>
      <c r="K97">
        <f>B1955</f>
        <v>6.1382951650582893E-3</v>
      </c>
      <c r="L97">
        <f>C1955</f>
        <v>-9.2523386066654565E-4</v>
      </c>
      <c r="M97">
        <f t="shared" si="7"/>
        <v>5.2582989122478552E-3</v>
      </c>
      <c r="N97">
        <f>D1955</f>
        <v>-9.1503392372518314E-3</v>
      </c>
      <c r="O97">
        <f>AVERAGEIFS(E1955:E1976,E1955:E1976,"&lt;=" &amp; N97)</f>
        <v>-9.181133441666935E-3</v>
      </c>
      <c r="P97">
        <v>520.00683644400567</v>
      </c>
      <c r="Q97">
        <v>16.018129999999999</v>
      </c>
      <c r="R97">
        <f t="shared" si="6"/>
        <v>485.84779043674536</v>
      </c>
      <c r="S97">
        <v>5.2582989122478552E-3</v>
      </c>
      <c r="T97">
        <v>11.28</v>
      </c>
      <c r="V97" t="s">
        <v>225</v>
      </c>
    </row>
    <row r="98" spans="1:30" ht="15" thickBot="1" x14ac:dyDescent="0.4">
      <c r="A98" t="s">
        <v>19</v>
      </c>
      <c r="E98">
        <v>-1.1190246930866756E-2</v>
      </c>
      <c r="F98">
        <f t="shared" si="4"/>
        <v>-1.6529208769469145E-2</v>
      </c>
      <c r="G98">
        <f t="shared" si="5"/>
        <v>-2.7651248062642304E-2</v>
      </c>
      <c r="J98" s="2" t="s">
        <v>110</v>
      </c>
      <c r="K98">
        <f>B1977</f>
        <v>5.2665150876214416E-3</v>
      </c>
      <c r="L98">
        <f>C1977</f>
        <v>2.0138368652236078E-3</v>
      </c>
      <c r="M98">
        <f t="shared" si="7"/>
        <v>6.1382951650582893E-3</v>
      </c>
      <c r="N98">
        <f>D1977</f>
        <v>-4.7662877467239718E-3</v>
      </c>
      <c r="O98">
        <f>AVERAGEIFS(E1977:E1995,E1977:E1995,"&lt;=" &amp; N98)</f>
        <v>-4.7662877467239718E-3</v>
      </c>
      <c r="P98">
        <v>419.09911366945448</v>
      </c>
      <c r="Q98">
        <v>16.243410000000001</v>
      </c>
      <c r="R98">
        <f t="shared" si="6"/>
        <v>520.00683644400567</v>
      </c>
      <c r="S98">
        <v>6.1382951650582893E-3</v>
      </c>
      <c r="T98">
        <v>11.04</v>
      </c>
    </row>
    <row r="99" spans="1:30" x14ac:dyDescent="0.35">
      <c r="A99" t="s">
        <v>19</v>
      </c>
      <c r="E99">
        <v>1.3184052260023013E-2</v>
      </c>
      <c r="F99">
        <f t="shared" si="4"/>
        <v>-1.6538390813623134E-2</v>
      </c>
      <c r="G99">
        <f t="shared" si="5"/>
        <v>-2.7651248062642304E-2</v>
      </c>
      <c r="J99" s="2" t="s">
        <v>111</v>
      </c>
      <c r="K99">
        <f>B1996</f>
        <v>1.8227642919692972E-3</v>
      </c>
      <c r="L99">
        <f>C1996</f>
        <v>-5.7303739583021353E-4</v>
      </c>
      <c r="M99">
        <f t="shared" si="7"/>
        <v>5.2665150876214416E-3</v>
      </c>
      <c r="N99">
        <f>D1996</f>
        <v>-8.3468973346353583E-3</v>
      </c>
      <c r="O99">
        <f>AVERAGEIFS(E1996:E2017,E1996:E2017,"&lt;=" &amp; N99)</f>
        <v>-8.5200988833339392E-3</v>
      </c>
      <c r="P99">
        <v>395.8885844301924</v>
      </c>
      <c r="Q99">
        <v>18.826599999999999</v>
      </c>
      <c r="R99">
        <f t="shared" si="6"/>
        <v>419.09911366945448</v>
      </c>
      <c r="S99">
        <v>5.2665150876214416E-3</v>
      </c>
      <c r="T99">
        <v>13.54</v>
      </c>
      <c r="V99" s="8" t="s">
        <v>226</v>
      </c>
      <c r="W99" s="8"/>
    </row>
    <row r="100" spans="1:30" x14ac:dyDescent="0.35">
      <c r="A100" t="s">
        <v>19</v>
      </c>
      <c r="E100">
        <v>-2.1449667896353344E-2</v>
      </c>
      <c r="F100">
        <f t="shared" si="4"/>
        <v>-1.654757285777712E-2</v>
      </c>
      <c r="G100">
        <f t="shared" si="5"/>
        <v>-2.7651248062642304E-2</v>
      </c>
      <c r="J100" s="2" t="s">
        <v>112</v>
      </c>
      <c r="K100">
        <f>B2018</f>
        <v>1.2246716554915972E-2</v>
      </c>
      <c r="L100">
        <f>C2018</f>
        <v>-2.6332345300261982E-3</v>
      </c>
      <c r="M100">
        <f t="shared" si="7"/>
        <v>1.8227642919692972E-3</v>
      </c>
      <c r="N100">
        <f>D2018</f>
        <v>-2.8604013417490859E-2</v>
      </c>
      <c r="O100">
        <f>AVERAGEIFS(E2018:E2037,E2018:E2037,"&lt;=" &amp; N100)</f>
        <v>-2.9043061819303939E-2</v>
      </c>
      <c r="P100">
        <v>205.92891304436333</v>
      </c>
      <c r="Q100">
        <v>21.97644</v>
      </c>
      <c r="R100">
        <f t="shared" si="6"/>
        <v>395.8885844301924</v>
      </c>
      <c r="S100">
        <v>1.8227642919692972E-3</v>
      </c>
      <c r="T100">
        <v>19.850000000000001</v>
      </c>
      <c r="V100" t="s">
        <v>227</v>
      </c>
      <c r="W100">
        <v>0.12083232702602278</v>
      </c>
      <c r="Y100" t="s">
        <v>384</v>
      </c>
    </row>
    <row r="101" spans="1:30" x14ac:dyDescent="0.35">
      <c r="A101" t="s">
        <v>19</v>
      </c>
      <c r="E101">
        <v>2.874569858017581E-2</v>
      </c>
      <c r="F101">
        <f t="shared" si="4"/>
        <v>-1.6373114018851401E-2</v>
      </c>
      <c r="G101">
        <f t="shared" si="5"/>
        <v>-2.7684770117595219E-2</v>
      </c>
      <c r="J101" s="2" t="s">
        <v>113</v>
      </c>
      <c r="K101">
        <f>B2038</f>
        <v>9.0549497648173861E-3</v>
      </c>
      <c r="L101">
        <f>C2038</f>
        <v>-6.9249907263481836E-4</v>
      </c>
      <c r="M101">
        <f t="shared" si="7"/>
        <v>1.2246716554915972E-2</v>
      </c>
      <c r="N101">
        <f>D2038</f>
        <v>-1.9685982351814488E-2</v>
      </c>
      <c r="O101">
        <f>AVERAGEIFS(E2038:E2058,E2038:E2058,"&lt;=" &amp; N101)</f>
        <v>-2.0310716363221036E-2</v>
      </c>
      <c r="P101">
        <v>388.92643593014105</v>
      </c>
      <c r="Q101">
        <v>21.431080000000001</v>
      </c>
      <c r="R101">
        <f t="shared" si="6"/>
        <v>205.92891304436333</v>
      </c>
      <c r="S101">
        <v>1.2246716554915972E-2</v>
      </c>
      <c r="T101">
        <v>19.97</v>
      </c>
      <c r="V101" t="s">
        <v>228</v>
      </c>
      <c r="W101">
        <v>1.4600451254523715E-2</v>
      </c>
    </row>
    <row r="102" spans="1:30" x14ac:dyDescent="0.35">
      <c r="A102" t="s">
        <v>19</v>
      </c>
      <c r="E102">
        <v>2.9375169141409148E-2</v>
      </c>
      <c r="F102">
        <f t="shared" si="4"/>
        <v>-1.6382296063005387E-2</v>
      </c>
      <c r="G102">
        <f t="shared" si="5"/>
        <v>-2.7684770117595219E-2</v>
      </c>
      <c r="J102" s="2" t="s">
        <v>114</v>
      </c>
      <c r="K102">
        <f>B2059</f>
        <v>5.959876445745969E-3</v>
      </c>
      <c r="L102">
        <f>C2059</f>
        <v>2.9807469900319456E-3</v>
      </c>
      <c r="M102">
        <f t="shared" si="7"/>
        <v>9.0549497648173861E-3</v>
      </c>
      <c r="N102">
        <f>D2059</f>
        <v>-7.1033695732011159E-3</v>
      </c>
      <c r="O102">
        <f>AVERAGEIFS(E2059:E2078,E2059:E2078,"&lt;=" &amp; N102)</f>
        <v>-7.2438640503520923E-3</v>
      </c>
      <c r="P102">
        <v>289.22596101487522</v>
      </c>
      <c r="Q102">
        <v>16.597010000000001</v>
      </c>
      <c r="R102">
        <f t="shared" si="6"/>
        <v>388.92643593014105</v>
      </c>
      <c r="S102">
        <v>9.0549497648173861E-3</v>
      </c>
      <c r="T102">
        <v>15.93</v>
      </c>
      <c r="V102" t="s">
        <v>228</v>
      </c>
      <c r="W102">
        <v>9.1562548526150072E-3</v>
      </c>
    </row>
    <row r="103" spans="1:30" x14ac:dyDescent="0.35">
      <c r="A103" t="s">
        <v>19</v>
      </c>
      <c r="E103">
        <v>-3.1412661838950457E-3</v>
      </c>
      <c r="F103">
        <f t="shared" si="4"/>
        <v>-1.6391478107159369E-2</v>
      </c>
      <c r="G103">
        <f t="shared" si="5"/>
        <v>-2.7684770117595219E-2</v>
      </c>
      <c r="J103" s="2" t="s">
        <v>115</v>
      </c>
      <c r="K103">
        <f>B2079</f>
        <v>7.1819291845423936E-3</v>
      </c>
      <c r="L103">
        <f>C2079</f>
        <v>1.2385419168646141E-3</v>
      </c>
      <c r="M103">
        <f t="shared" si="7"/>
        <v>5.959876445745969E-3</v>
      </c>
      <c r="N103">
        <f>D2079</f>
        <v>-1.0634172079706211E-2</v>
      </c>
      <c r="O103">
        <f>AVERAGEIFS(E2079:E2097,E2079:E2097,"&lt;=" &amp; N103)</f>
        <v>-1.0634172079706211E-2</v>
      </c>
      <c r="P103">
        <v>355.05524386292512</v>
      </c>
      <c r="Q103">
        <v>20.604800000000001</v>
      </c>
      <c r="R103">
        <f t="shared" si="6"/>
        <v>289.22596101487522</v>
      </c>
      <c r="S103">
        <v>5.959876445745969E-3</v>
      </c>
      <c r="T103">
        <v>15.43</v>
      </c>
      <c r="V103" t="s">
        <v>229</v>
      </c>
      <c r="W103">
        <v>1.1481303419967268E-2</v>
      </c>
    </row>
    <row r="104" spans="1:30" ht="15" thickBot="1" x14ac:dyDescent="0.4">
      <c r="A104" t="s">
        <v>20</v>
      </c>
      <c r="B104" s="3" cm="1">
        <f t="array" ref="B104">_xlfn.STDEV.S(_xlfn._xlws.FILTER($E$2:$E$1000, $A$2:$A$1000="2010-06"))</f>
        <v>1.1352951350497766E-2</v>
      </c>
      <c r="C104" s="3" cm="1">
        <f t="array" ref="C104">AVERAGE(_xlfn._xlws.FILTER($E$2:$E$1000, $A$2:$A$1000="2010-06"))</f>
        <v>-7.3148301625474972E-4</v>
      </c>
      <c r="D104" s="3" cm="1">
        <f t="array" ref="D104">_xlfn.PERCENTILE.EXC(_xlfn._xlws.FILTER($E$104:$E$125, $A$104:$A$125="2010-06"), 0.05)</f>
        <v>-2.3735589468149815E-2</v>
      </c>
      <c r="E104">
        <v>1.1554468947193785E-2</v>
      </c>
      <c r="F104">
        <f t="shared" si="4"/>
        <v>-1.6400660151313355E-2</v>
      </c>
      <c r="G104">
        <f t="shared" si="5"/>
        <v>-2.7684770117595219E-2</v>
      </c>
      <c r="J104" s="4" t="s">
        <v>116</v>
      </c>
      <c r="K104" s="3">
        <f>B2098</f>
        <v>9.1408390307116932E-3</v>
      </c>
      <c r="L104" s="3">
        <f>C2098</f>
        <v>-6.3708652840411336E-4</v>
      </c>
      <c r="M104">
        <f t="shared" si="7"/>
        <v>7.1819291845423936E-3</v>
      </c>
      <c r="N104" s="3">
        <f>D2098</f>
        <v>-2.4525353421914035E-2</v>
      </c>
      <c r="O104" s="3">
        <f>AVERAGEIFS(E2098:E2118,E2098:E2118,"&lt;=" &amp; N104)</f>
        <v>-2.5490842628063615E-2</v>
      </c>
      <c r="P104" s="3">
        <v>371.71623847924837</v>
      </c>
      <c r="Q104" s="3">
        <v>19.422699999999999</v>
      </c>
      <c r="R104">
        <f t="shared" si="6"/>
        <v>355.05524386292512</v>
      </c>
      <c r="S104">
        <v>7.1819291845423936E-3</v>
      </c>
      <c r="T104" s="3">
        <v>16.09</v>
      </c>
      <c r="V104" s="6" t="s">
        <v>230</v>
      </c>
      <c r="W104" s="6">
        <v>183</v>
      </c>
    </row>
    <row r="105" spans="1:30" x14ac:dyDescent="0.35">
      <c r="A105" t="s">
        <v>20</v>
      </c>
      <c r="E105">
        <v>-1.4424527635779811E-3</v>
      </c>
      <c r="F105">
        <f t="shared" si="4"/>
        <v>-1.6409842195467345E-2</v>
      </c>
      <c r="G105">
        <f t="shared" si="5"/>
        <v>-2.7684770117595219E-2</v>
      </c>
      <c r="J105" s="2" t="s">
        <v>117</v>
      </c>
      <c r="K105">
        <f>B2119</f>
        <v>5.9659389985921114E-3</v>
      </c>
      <c r="L105">
        <f>C2119</f>
        <v>3.2050594139301693E-4</v>
      </c>
      <c r="M105">
        <f t="shared" si="7"/>
        <v>9.1408390307116932E-3</v>
      </c>
      <c r="N105">
        <f>D2119</f>
        <v>-1.2229779462629094E-2</v>
      </c>
      <c r="O105">
        <f>AVERAGEIFS(E2119:E2140,E2119:E2140,"&lt;=" &amp; N105)</f>
        <v>-1.2546239755507832E-2</v>
      </c>
      <c r="P105">
        <v>372.04321719428754</v>
      </c>
      <c r="Q105">
        <v>14.70101</v>
      </c>
      <c r="R105">
        <f t="shared" si="6"/>
        <v>371.71623847924837</v>
      </c>
      <c r="S105">
        <v>9.1408390307116932E-3</v>
      </c>
      <c r="T105">
        <v>12.83</v>
      </c>
    </row>
    <row r="106" spans="1:30" ht="15" thickBot="1" x14ac:dyDescent="0.4">
      <c r="A106" t="s">
        <v>20</v>
      </c>
      <c r="E106">
        <v>1.4069458709636279E-2</v>
      </c>
      <c r="F106">
        <f t="shared" si="4"/>
        <v>-1.6419024239621327E-2</v>
      </c>
      <c r="G106">
        <f t="shared" si="5"/>
        <v>-2.7684770117595219E-2</v>
      </c>
      <c r="J106" s="2" t="s">
        <v>118</v>
      </c>
      <c r="K106">
        <f>B2141</f>
        <v>5.5554867909588775E-3</v>
      </c>
      <c r="L106">
        <f>C2141</f>
        <v>-2.1485637150464305E-3</v>
      </c>
      <c r="M106">
        <f t="shared" si="7"/>
        <v>5.9659389985921114E-3</v>
      </c>
      <c r="N106">
        <f>D2141</f>
        <v>-1.1314683464002773E-2</v>
      </c>
      <c r="O106">
        <f>AVERAGEIFS(E2141:E2161,E2141:E2161,"&lt;=" &amp; N106)</f>
        <v>-1.1464464082255502E-2</v>
      </c>
      <c r="P106">
        <v>302.56179920394811</v>
      </c>
      <c r="Q106">
        <v>18.127970000000001</v>
      </c>
      <c r="R106">
        <f t="shared" si="6"/>
        <v>372.04321719428754</v>
      </c>
      <c r="S106">
        <v>5.9659389985921114E-3</v>
      </c>
      <c r="T106">
        <v>12.86</v>
      </c>
      <c r="V106" t="s">
        <v>231</v>
      </c>
    </row>
    <row r="107" spans="1:30" x14ac:dyDescent="0.35">
      <c r="A107" t="s">
        <v>20</v>
      </c>
      <c r="E107">
        <v>-1.0458224787490079E-2</v>
      </c>
      <c r="F107">
        <f t="shared" si="4"/>
        <v>-1.6428206283775313E-2</v>
      </c>
      <c r="G107">
        <f t="shared" si="5"/>
        <v>-2.7684770117595219E-2</v>
      </c>
      <c r="J107" s="2" t="s">
        <v>119</v>
      </c>
      <c r="K107">
        <f>B2162</f>
        <v>5.0279820406890306E-3</v>
      </c>
      <c r="L107">
        <f>C2162</f>
        <v>7.5788399318000058E-4</v>
      </c>
      <c r="M107">
        <f t="shared" si="7"/>
        <v>5.5554867909588775E-3</v>
      </c>
      <c r="N107">
        <f>D2162</f>
        <v>-9.6219073815937781E-3</v>
      </c>
      <c r="O107">
        <f>AVERAGEIFS(E2162:E2181,E2162:E2181,"&lt;=" &amp; N107)</f>
        <v>-9.7800648683091084E-3</v>
      </c>
      <c r="P107">
        <v>364.96503164137056</v>
      </c>
      <c r="Q107">
        <v>17.146560000000001</v>
      </c>
      <c r="R107">
        <f t="shared" si="6"/>
        <v>302.56179920394811</v>
      </c>
      <c r="S107">
        <v>5.5554867909588775E-3</v>
      </c>
      <c r="T107">
        <v>12.12</v>
      </c>
      <c r="V107" s="7"/>
      <c r="W107" s="7" t="s">
        <v>236</v>
      </c>
      <c r="X107" s="7" t="s">
        <v>237</v>
      </c>
      <c r="Y107" s="7" t="s">
        <v>238</v>
      </c>
      <c r="Z107" s="7" t="s">
        <v>239</v>
      </c>
      <c r="AA107" s="7" t="s">
        <v>240</v>
      </c>
    </row>
    <row r="108" spans="1:30" x14ac:dyDescent="0.35">
      <c r="A108" t="s">
        <v>20</v>
      </c>
      <c r="E108">
        <v>-6.669950791133728E-3</v>
      </c>
      <c r="F108">
        <f t="shared" si="4"/>
        <v>-1.6437388327929296E-2</v>
      </c>
      <c r="G108">
        <f t="shared" si="5"/>
        <v>-2.7684770117595219E-2</v>
      </c>
      <c r="J108" s="2" t="s">
        <v>120</v>
      </c>
      <c r="K108">
        <f>B2182</f>
        <v>9.1159588182433797E-3</v>
      </c>
      <c r="L108">
        <f>C2182</f>
        <v>-2.166801822140138E-3</v>
      </c>
      <c r="M108">
        <f t="shared" si="7"/>
        <v>5.0279820406890306E-3</v>
      </c>
      <c r="N108">
        <f>D2182</f>
        <v>-2.1868012070064769E-2</v>
      </c>
      <c r="O108">
        <f>AVERAGEIFS(E2182:E2203,E2182:E2203,"&lt;=" &amp; N108)</f>
        <v>-2.3640459057782514E-2</v>
      </c>
      <c r="P108">
        <v>451.38799387564762</v>
      </c>
      <c r="Q108">
        <v>22.955480000000001</v>
      </c>
      <c r="R108">
        <f t="shared" si="6"/>
        <v>364.96503164137056</v>
      </c>
      <c r="S108">
        <v>5.0279820406890306E-3</v>
      </c>
      <c r="T108">
        <v>21.23</v>
      </c>
      <c r="V108" t="s">
        <v>232</v>
      </c>
      <c r="W108">
        <v>1</v>
      </c>
      <c r="X108">
        <v>3.5352072821553601E-4</v>
      </c>
      <c r="Y108">
        <v>3.5352072821553601E-4</v>
      </c>
      <c r="Z108">
        <v>2.68183771794215</v>
      </c>
      <c r="AA108">
        <v>0.10323586662197913</v>
      </c>
    </row>
    <row r="109" spans="1:30" x14ac:dyDescent="0.35">
      <c r="A109" t="s">
        <v>20</v>
      </c>
      <c r="E109">
        <v>-1.3718376369683309E-2</v>
      </c>
      <c r="F109">
        <f t="shared" si="4"/>
        <v>-1.6446570372083281E-2</v>
      </c>
      <c r="G109">
        <f t="shared" si="5"/>
        <v>-2.7684770117595219E-2</v>
      </c>
      <c r="J109" s="2" t="s">
        <v>121</v>
      </c>
      <c r="K109">
        <f>B2204</f>
        <v>7.8575599769844587E-3</v>
      </c>
      <c r="L109">
        <f>C2204</f>
        <v>-9.8896088899063728E-4</v>
      </c>
      <c r="M109">
        <f t="shared" si="7"/>
        <v>9.1159588182433797E-3</v>
      </c>
      <c r="N109">
        <f>D2204</f>
        <v>-1.6054901409773017E-2</v>
      </c>
      <c r="O109">
        <f>AVERAGEIFS(E2204:E2225,E2204:E2225,"&lt;=" &amp; N109)</f>
        <v>-1.7223489505466264E-2</v>
      </c>
      <c r="P109">
        <v>451.1716742185605</v>
      </c>
      <c r="Q109">
        <v>20.9254</v>
      </c>
      <c r="R109">
        <f t="shared" si="6"/>
        <v>451.38799387564762</v>
      </c>
      <c r="S109">
        <v>9.1159588182433797E-3</v>
      </c>
      <c r="T109">
        <v>18.07</v>
      </c>
      <c r="V109" t="s">
        <v>233</v>
      </c>
      <c r="W109">
        <v>181</v>
      </c>
      <c r="X109">
        <v>2.3859479408064724E-2</v>
      </c>
      <c r="Y109">
        <v>1.3182032822135206E-4</v>
      </c>
    </row>
    <row r="110" spans="1:30" ht="15" thickBot="1" x14ac:dyDescent="0.4">
      <c r="A110" t="s">
        <v>20</v>
      </c>
      <c r="E110">
        <v>1.6304969441518227E-2</v>
      </c>
      <c r="F110">
        <f t="shared" si="4"/>
        <v>-1.6455752416237271E-2</v>
      </c>
      <c r="G110">
        <f t="shared" si="5"/>
        <v>-2.7684770117595219E-2</v>
      </c>
      <c r="J110" s="2" t="s">
        <v>122</v>
      </c>
      <c r="K110">
        <f>B2226</f>
        <v>1.5041547953491665E-2</v>
      </c>
      <c r="L110">
        <f>C2226</f>
        <v>-3.0184851964728913E-3</v>
      </c>
      <c r="M110">
        <f t="shared" si="7"/>
        <v>7.8575599769844587E-3</v>
      </c>
      <c r="N110">
        <f>D2226</f>
        <v>-2.6306456858190351E-2</v>
      </c>
      <c r="O110">
        <f>AVERAGEIFS(E2226:E2242,E2226:E2242,"&lt;=" &amp; N110)</f>
        <v>-3.1622786644691814E-2</v>
      </c>
      <c r="P110">
        <v>468.74660762237761</v>
      </c>
      <c r="Q110">
        <v>27.303149999999999</v>
      </c>
      <c r="R110">
        <f t="shared" si="6"/>
        <v>451.1716742185605</v>
      </c>
      <c r="S110">
        <v>7.8575599769844587E-3</v>
      </c>
      <c r="T110">
        <v>25.42</v>
      </c>
      <c r="V110" s="6" t="s">
        <v>234</v>
      </c>
      <c r="W110" s="6">
        <v>182</v>
      </c>
      <c r="X110" s="6">
        <v>2.421300013628026E-2</v>
      </c>
      <c r="Y110" s="6"/>
      <c r="Z110" s="6"/>
      <c r="AA110" s="6"/>
    </row>
    <row r="111" spans="1:30" ht="15" thickBot="1" x14ac:dyDescent="0.4">
      <c r="A111" t="s">
        <v>20</v>
      </c>
      <c r="E111">
        <v>1.0755218745539722E-2</v>
      </c>
      <c r="F111">
        <f t="shared" si="4"/>
        <v>-1.646493446039125E-2</v>
      </c>
      <c r="G111">
        <f t="shared" si="5"/>
        <v>-2.7684770117595219E-2</v>
      </c>
      <c r="J111" s="2" t="s">
        <v>123</v>
      </c>
      <c r="K111">
        <f>B2243</f>
        <v>8.5856330615929118E-3</v>
      </c>
      <c r="L111">
        <f>C2243</f>
        <v>3.012089929730699E-3</v>
      </c>
      <c r="M111">
        <f t="shared" si="7"/>
        <v>1.5041547953491665E-2</v>
      </c>
      <c r="N111">
        <f>D2243</f>
        <v>-1.1507661063356456E-2</v>
      </c>
      <c r="O111">
        <f>AVERAGEIFS(E2243:E2264,E2243:E2264,"&lt;=" &amp; N111)</f>
        <v>-1.2235497755818493E-2</v>
      </c>
      <c r="P111">
        <v>406.90740204368802</v>
      </c>
      <c r="Q111">
        <v>17.303930000000001</v>
      </c>
      <c r="R111">
        <f t="shared" si="6"/>
        <v>468.74660762237761</v>
      </c>
      <c r="S111">
        <v>1.5041547953491665E-2</v>
      </c>
      <c r="T111">
        <v>16.57</v>
      </c>
    </row>
    <row r="112" spans="1:30" x14ac:dyDescent="0.35">
      <c r="A112" t="s">
        <v>20</v>
      </c>
      <c r="E112">
        <v>-1.7192850490164865E-3</v>
      </c>
      <c r="F112">
        <f t="shared" si="4"/>
        <v>-1.6474116504545239E-2</v>
      </c>
      <c r="G112">
        <f t="shared" si="5"/>
        <v>-2.7684770117595219E-2</v>
      </c>
      <c r="J112" s="2" t="s">
        <v>124</v>
      </c>
      <c r="K112">
        <f>B2265</f>
        <v>6.623069324990097E-3</v>
      </c>
      <c r="L112">
        <f>C2265</f>
        <v>1.5974895745271046E-3</v>
      </c>
      <c r="M112">
        <f t="shared" si="7"/>
        <v>8.5856330615929118E-3</v>
      </c>
      <c r="N112">
        <f>D2265</f>
        <v>-9.0417475340424207E-3</v>
      </c>
      <c r="O112">
        <f>AVERAGEIFS(E2265:E2284,E2265:E2284,"&lt;=" &amp; N112)</f>
        <v>-9.0738441940600555E-3</v>
      </c>
      <c r="P112">
        <v>460.38434018727958</v>
      </c>
      <c r="Q112">
        <v>15.46541</v>
      </c>
      <c r="R112">
        <f t="shared" si="6"/>
        <v>406.90740204368802</v>
      </c>
      <c r="S112">
        <v>8.5856330615929118E-3</v>
      </c>
      <c r="T112">
        <v>14.78</v>
      </c>
      <c r="V112" s="7"/>
      <c r="W112" s="7" t="s">
        <v>241</v>
      </c>
      <c r="X112" s="7" t="s">
        <v>229</v>
      </c>
      <c r="Y112" s="7" t="s">
        <v>242</v>
      </c>
      <c r="Z112" s="7" t="s">
        <v>243</v>
      </c>
      <c r="AA112" s="7" t="s">
        <v>244</v>
      </c>
      <c r="AB112" s="7" t="s">
        <v>245</v>
      </c>
      <c r="AC112" s="7" t="s">
        <v>246</v>
      </c>
      <c r="AD112" s="7" t="s">
        <v>247</v>
      </c>
    </row>
    <row r="113" spans="1:30" x14ac:dyDescent="0.35">
      <c r="A113" t="s">
        <v>20</v>
      </c>
      <c r="E113">
        <v>7.1556448867816456E-3</v>
      </c>
      <c r="F113">
        <f t="shared" si="4"/>
        <v>-1.6483298548699222E-2</v>
      </c>
      <c r="G113">
        <f t="shared" si="5"/>
        <v>-2.7684770117595219E-2</v>
      </c>
      <c r="J113" s="2" t="s">
        <v>125</v>
      </c>
      <c r="K113">
        <f>B2285</f>
        <v>7.6526236552383478E-3</v>
      </c>
      <c r="L113">
        <f>C2285</f>
        <v>1.0448966378124736E-3</v>
      </c>
      <c r="M113">
        <f t="shared" si="7"/>
        <v>6.623069324990097E-3</v>
      </c>
      <c r="N113">
        <f>D2285</f>
        <v>-1.7252983452050896E-2</v>
      </c>
      <c r="O113">
        <f>AVERAGEIFS(E2285:E2305,E2285:E2305,"&lt;=" &amp; N113)</f>
        <v>-1.7906743029252558E-2</v>
      </c>
      <c r="P113">
        <v>417.98173100925442</v>
      </c>
      <c r="Q113">
        <v>17.139849999999999</v>
      </c>
      <c r="R113">
        <f t="shared" si="6"/>
        <v>460.38434018727958</v>
      </c>
      <c r="S113">
        <v>6.623069324990097E-3</v>
      </c>
      <c r="T113">
        <v>13.71</v>
      </c>
      <c r="V113" t="s">
        <v>235</v>
      </c>
      <c r="W113">
        <v>-2.1750837203755823E-2</v>
      </c>
      <c r="X113">
        <v>2.0286059260194379E-3</v>
      </c>
      <c r="Y113">
        <v>-10.722061354930405</v>
      </c>
      <c r="Z113">
        <v>4.4377052208941106E-21</v>
      </c>
      <c r="AA113">
        <v>-2.5753595272446882E-2</v>
      </c>
      <c r="AB113">
        <v>-1.7748079135064765E-2</v>
      </c>
      <c r="AC113">
        <v>-2.5753595272446882E-2</v>
      </c>
      <c r="AD113">
        <v>-1.7748079135064765E-2</v>
      </c>
    </row>
    <row r="114" spans="1:30" ht="15" thickBot="1" x14ac:dyDescent="0.4">
      <c r="A114" t="s">
        <v>20</v>
      </c>
      <c r="E114">
        <v>1.5239230467016019E-3</v>
      </c>
      <c r="F114">
        <f t="shared" si="4"/>
        <v>-1.6492480592853208E-2</v>
      </c>
      <c r="G114">
        <f t="shared" si="5"/>
        <v>-2.7684770117595219E-2</v>
      </c>
      <c r="J114" s="2" t="s">
        <v>126</v>
      </c>
      <c r="K114">
        <f>B2306</f>
        <v>5.382224772886357E-3</v>
      </c>
      <c r="L114">
        <f>C2306</f>
        <v>1.1520125067404083E-3</v>
      </c>
      <c r="M114">
        <f t="shared" si="7"/>
        <v>7.6526236552383478E-3</v>
      </c>
      <c r="N114">
        <f>D2306</f>
        <v>-6.6315138628037819E-3</v>
      </c>
      <c r="O114">
        <f>AVERAGEIFS(E2306:E2325,E2306:E2325,"&lt;=" &amp; N114)</f>
        <v>-6.6834896092722246E-3</v>
      </c>
      <c r="P114">
        <v>350.97569323714606</v>
      </c>
      <c r="Q114">
        <v>14.876429999999999</v>
      </c>
      <c r="R114">
        <f t="shared" si="6"/>
        <v>417.98173100925442</v>
      </c>
      <c r="S114">
        <v>7.6526236552383478E-3</v>
      </c>
      <c r="T114">
        <v>13.12</v>
      </c>
      <c r="V114" s="6" t="s">
        <v>248</v>
      </c>
      <c r="W114" s="6">
        <v>9.9707047537672559E-6</v>
      </c>
      <c r="X114" s="6">
        <v>6.0884901692782626E-6</v>
      </c>
      <c r="Y114" s="6">
        <v>1.6376317406371366</v>
      </c>
      <c r="Z114" s="6">
        <v>0.10323586662197511</v>
      </c>
      <c r="AA114" s="6">
        <v>-2.042842499860961E-6</v>
      </c>
      <c r="AB114" s="6">
        <v>2.1984252007395473E-5</v>
      </c>
      <c r="AC114" s="6">
        <v>-2.042842499860961E-6</v>
      </c>
      <c r="AD114" s="6">
        <v>2.1984252007395473E-5</v>
      </c>
    </row>
    <row r="115" spans="1:30" x14ac:dyDescent="0.35">
      <c r="A115" t="s">
        <v>20</v>
      </c>
      <c r="E115">
        <v>6.0340345559069608E-3</v>
      </c>
      <c r="F115">
        <f t="shared" si="4"/>
        <v>-1.6501662637007194E-2</v>
      </c>
      <c r="G115">
        <f t="shared" si="5"/>
        <v>-2.7684770117595219E-2</v>
      </c>
      <c r="J115" s="2" t="s">
        <v>127</v>
      </c>
      <c r="K115">
        <f>B2326</f>
        <v>8.8790794216107062E-3</v>
      </c>
      <c r="L115">
        <f>C2326</f>
        <v>-3.1266686499815191E-3</v>
      </c>
      <c r="M115">
        <f t="shared" si="7"/>
        <v>5.382224772886357E-3</v>
      </c>
      <c r="N115">
        <f>D2326</f>
        <v>-2.1072716725324219E-2</v>
      </c>
      <c r="O115">
        <f>AVERAGEIFS(E2326:E2345,E2326:E2345,"&lt;=" &amp; N115)</f>
        <v>-2.1330981536626072E-2</v>
      </c>
      <c r="P115">
        <v>400.54898877700225</v>
      </c>
      <c r="Q115">
        <v>19.446210000000001</v>
      </c>
      <c r="R115">
        <f t="shared" si="6"/>
        <v>350.97569323714606</v>
      </c>
      <c r="S115">
        <v>5.382224772886357E-3</v>
      </c>
      <c r="T115">
        <v>18.71</v>
      </c>
    </row>
    <row r="116" spans="1:30" x14ac:dyDescent="0.35">
      <c r="A116" t="s">
        <v>20</v>
      </c>
      <c r="E116">
        <v>-1.7651866135319372E-3</v>
      </c>
      <c r="F116">
        <f t="shared" si="4"/>
        <v>-1.6510844681161176E-2</v>
      </c>
      <c r="G116">
        <f t="shared" si="5"/>
        <v>-2.7684770117595219E-2</v>
      </c>
      <c r="J116" s="2" t="s">
        <v>128</v>
      </c>
      <c r="K116">
        <f>B2346</f>
        <v>5.0439337796986733E-3</v>
      </c>
      <c r="L116">
        <f>C2346</f>
        <v>1.2623771434418097E-3</v>
      </c>
      <c r="M116">
        <f t="shared" si="7"/>
        <v>8.8790794216107062E-3</v>
      </c>
      <c r="N116">
        <f>D2346</f>
        <v>-6.4568095426003978E-3</v>
      </c>
      <c r="O116">
        <f>AVERAGEIFS(E2346:E2364,E2346:E2364,"&lt;=" &amp; N116)</f>
        <v>-6.4568095426003978E-3</v>
      </c>
      <c r="P116">
        <v>354.84107352439736</v>
      </c>
      <c r="Q116">
        <v>15.600680000000001</v>
      </c>
      <c r="R116">
        <f t="shared" si="6"/>
        <v>400.54898877700225</v>
      </c>
      <c r="S116">
        <v>8.8790794216107062E-3</v>
      </c>
      <c r="T116">
        <v>15.08</v>
      </c>
    </row>
    <row r="117" spans="1:30" x14ac:dyDescent="0.35">
      <c r="A117" t="s">
        <v>20</v>
      </c>
      <c r="E117">
        <v>-1.200729941391746E-3</v>
      </c>
      <c r="F117">
        <f t="shared" si="4"/>
        <v>-1.6520026725315162E-2</v>
      </c>
      <c r="G117">
        <f t="shared" si="5"/>
        <v>-2.7684770117595219E-2</v>
      </c>
      <c r="J117" s="2" t="s">
        <v>129</v>
      </c>
      <c r="K117">
        <f>B2365</f>
        <v>4.9643407225912753E-3</v>
      </c>
      <c r="L117">
        <f>C2365</f>
        <v>1.4740331368542228E-4</v>
      </c>
      <c r="M117">
        <f t="shared" si="7"/>
        <v>5.0439337796986733E-3</v>
      </c>
      <c r="N117">
        <f>D2365</f>
        <v>-9.8072150734217732E-3</v>
      </c>
      <c r="O117">
        <f>AVERAGEIFS(E2365:E2387,E2365:E2387,"&lt;=" &amp; N117)</f>
        <v>-1.0538235652549265E-2</v>
      </c>
      <c r="P117">
        <v>435.49970222038502</v>
      </c>
      <c r="Q117">
        <v>16.014189999999999</v>
      </c>
      <c r="R117">
        <f t="shared" si="6"/>
        <v>354.84107352439736</v>
      </c>
      <c r="S117">
        <v>5.0439337796986733E-3</v>
      </c>
      <c r="T117">
        <v>16.12</v>
      </c>
    </row>
    <row r="118" spans="1:30" x14ac:dyDescent="0.35">
      <c r="A118" t="s">
        <v>20</v>
      </c>
      <c r="E118">
        <v>1.0243367568724959E-2</v>
      </c>
      <c r="F118">
        <f t="shared" si="4"/>
        <v>-1.6529208769469145E-2</v>
      </c>
      <c r="G118">
        <f t="shared" si="5"/>
        <v>-2.7684770117595219E-2</v>
      </c>
      <c r="J118" s="2" t="s">
        <v>130</v>
      </c>
      <c r="K118">
        <f>B2388</f>
        <v>1.1978493836165834E-2</v>
      </c>
      <c r="L118">
        <f>C2388</f>
        <v>-2.130323991218392E-3</v>
      </c>
      <c r="M118">
        <f t="shared" si="7"/>
        <v>4.9643407225912753E-3</v>
      </c>
      <c r="N118">
        <f>D2388</f>
        <v>-3.2734319346817392E-2</v>
      </c>
      <c r="O118">
        <f>AVERAGEIFS(E2388:E2407,E2388:E2407,"&lt;=" &amp; N118)</f>
        <v>-3.2994701863870241E-2</v>
      </c>
      <c r="P118">
        <v>505.47774524693227</v>
      </c>
      <c r="Q118">
        <v>19.413709999999998</v>
      </c>
      <c r="R118">
        <f t="shared" si="6"/>
        <v>435.49970222038502</v>
      </c>
      <c r="S118">
        <v>4.9643407225912753E-3</v>
      </c>
      <c r="T118">
        <v>18.98</v>
      </c>
      <c r="V118" t="s">
        <v>225</v>
      </c>
    </row>
    <row r="119" spans="1:30" ht="15" thickBot="1" x14ac:dyDescent="0.4">
      <c r="A119" t="s">
        <v>20</v>
      </c>
      <c r="E119">
        <v>-3.7000045810413984E-3</v>
      </c>
      <c r="F119">
        <f t="shared" si="4"/>
        <v>-1.6538390813623134E-2</v>
      </c>
      <c r="G119">
        <f t="shared" si="5"/>
        <v>-2.7684770117595219E-2</v>
      </c>
      <c r="J119" s="2" t="s">
        <v>131</v>
      </c>
      <c r="K119">
        <f>B2408</f>
        <v>5.4117760819267936E-3</v>
      </c>
      <c r="L119">
        <f>C2408</f>
        <v>2.162744196753347E-3</v>
      </c>
      <c r="M119">
        <f t="shared" si="7"/>
        <v>1.1978493836165834E-2</v>
      </c>
      <c r="N119">
        <f>D2408</f>
        <v>-4.9471720251315892E-3</v>
      </c>
      <c r="O119">
        <f>AVERAGEIFS(E2408:E2428,E2408:E2428,"&lt;=" &amp; N119)</f>
        <v>-5.0037859095457193E-3</v>
      </c>
      <c r="P119">
        <v>429.23981182185599</v>
      </c>
      <c r="Q119">
        <v>17.257490000000001</v>
      </c>
      <c r="R119">
        <f t="shared" si="6"/>
        <v>505.47774524693227</v>
      </c>
      <c r="S119">
        <v>1.1978493836165834E-2</v>
      </c>
      <c r="T119">
        <v>16.239999999999998</v>
      </c>
    </row>
    <row r="120" spans="1:30" x14ac:dyDescent="0.35">
      <c r="A120" t="s">
        <v>20</v>
      </c>
      <c r="E120">
        <v>-5.5369310867127717E-3</v>
      </c>
      <c r="F120">
        <f t="shared" si="4"/>
        <v>-1.654757285777712E-2</v>
      </c>
      <c r="G120">
        <f t="shared" si="5"/>
        <v>-2.7684770117595219E-2</v>
      </c>
      <c r="J120" s="2" t="s">
        <v>132</v>
      </c>
      <c r="K120">
        <f>B2429</f>
        <v>1.2089380299776483E-2</v>
      </c>
      <c r="L120">
        <f>C2429</f>
        <v>3.3872465609544511E-4</v>
      </c>
      <c r="M120">
        <f t="shared" si="7"/>
        <v>5.4117760819267936E-3</v>
      </c>
      <c r="N120">
        <f>D2429</f>
        <v>-3.2057017709861829E-2</v>
      </c>
      <c r="O120">
        <f>AVERAGEIFS(E2429:E2450,E2429:E2450,"&lt;=" &amp; N120)</f>
        <v>-3.5396730722781829E-2</v>
      </c>
      <c r="P120">
        <v>542.47842010664499</v>
      </c>
      <c r="Q120">
        <v>15.372450000000001</v>
      </c>
      <c r="R120">
        <f t="shared" si="6"/>
        <v>429.23981182185599</v>
      </c>
      <c r="S120">
        <v>5.4117760819267936E-3</v>
      </c>
      <c r="T120">
        <v>13.22</v>
      </c>
      <c r="V120" s="8" t="s">
        <v>226</v>
      </c>
      <c r="W120" s="8"/>
    </row>
    <row r="121" spans="1:30" x14ac:dyDescent="0.35">
      <c r="A121" t="s">
        <v>20</v>
      </c>
      <c r="E121">
        <v>-1.9636249629559427E-2</v>
      </c>
      <c r="F121">
        <f t="shared" si="4"/>
        <v>-1.6547617211455912E-2</v>
      </c>
      <c r="G121">
        <f t="shared" si="5"/>
        <v>-2.774529836357249E-2</v>
      </c>
      <c r="J121" s="2" t="s">
        <v>133</v>
      </c>
      <c r="K121">
        <f>B2451</f>
        <v>6.4778077201487578E-3</v>
      </c>
      <c r="L121">
        <f>C2451</f>
        <v>1.1807362379612446E-3</v>
      </c>
      <c r="M121">
        <f t="shared" si="7"/>
        <v>1.2089380299776483E-2</v>
      </c>
      <c r="N121">
        <f>D2451</f>
        <v>-8.0085525441426775E-3</v>
      </c>
      <c r="O121">
        <f>AVERAGEIFS(E2451:E2471,E2451:E2471,"&lt;=" &amp; N121)</f>
        <v>-8.0286780014442588E-3</v>
      </c>
      <c r="P121">
        <v>459.1411333307571</v>
      </c>
      <c r="Q121">
        <v>14.51248</v>
      </c>
      <c r="R121">
        <f t="shared" si="6"/>
        <v>542.47842010664499</v>
      </c>
      <c r="S121">
        <v>1.2089380299776483E-2</v>
      </c>
      <c r="T121">
        <v>12.62</v>
      </c>
      <c r="V121" t="s">
        <v>227</v>
      </c>
      <c r="W121">
        <v>0.53734082514216686</v>
      </c>
      <c r="Y121" t="s">
        <v>385</v>
      </c>
    </row>
    <row r="122" spans="1:30" x14ac:dyDescent="0.35">
      <c r="A122" t="s">
        <v>20</v>
      </c>
      <c r="E122">
        <v>-7.23486799268109E-3</v>
      </c>
      <c r="F122">
        <f t="shared" si="4"/>
        <v>-1.6382296063005387E-2</v>
      </c>
      <c r="G122">
        <f t="shared" si="5"/>
        <v>-2.7728512076769324E-2</v>
      </c>
      <c r="J122" s="2" t="s">
        <v>134</v>
      </c>
      <c r="K122">
        <f>B2472</f>
        <v>1.1422272592157999E-2</v>
      </c>
      <c r="L122">
        <f>C2472</f>
        <v>1.6124876489169888E-3</v>
      </c>
      <c r="M122">
        <f t="shared" si="7"/>
        <v>6.4778077201487578E-3</v>
      </c>
      <c r="N122">
        <f>D2472</f>
        <v>-1.3656305262626275E-2</v>
      </c>
      <c r="O122">
        <f>AVERAGEIFS(E2472:E2489,E2472:E2489,"&lt;=" &amp; N122)</f>
        <v>-1.4720304335286347E-2</v>
      </c>
      <c r="P122">
        <v>407.36200799900712</v>
      </c>
      <c r="Q122">
        <v>15.644729999999999</v>
      </c>
      <c r="R122">
        <f t="shared" si="6"/>
        <v>459.1411333307571</v>
      </c>
      <c r="S122">
        <v>6.4778077201487578E-3</v>
      </c>
      <c r="T122">
        <v>13.78</v>
      </c>
      <c r="V122" t="s">
        <v>228</v>
      </c>
      <c r="W122">
        <v>0.28873516236446478</v>
      </c>
    </row>
    <row r="123" spans="1:30" x14ac:dyDescent="0.35">
      <c r="A123" t="s">
        <v>20</v>
      </c>
      <c r="E123">
        <v>1.5527129289517034E-2</v>
      </c>
      <c r="F123">
        <f t="shared" si="4"/>
        <v>-1.6391478107159369E-2</v>
      </c>
      <c r="G123">
        <f t="shared" si="5"/>
        <v>-2.7728512076769324E-2</v>
      </c>
      <c r="J123" s="2" t="s">
        <v>135</v>
      </c>
      <c r="K123">
        <f>B2490</f>
        <v>7.2766661639199386E-3</v>
      </c>
      <c r="L123">
        <f>C2490</f>
        <v>-1.0523430546957458E-3</v>
      </c>
      <c r="M123">
        <f t="shared" si="7"/>
        <v>1.1422272592157999E-2</v>
      </c>
      <c r="N123">
        <f>D2490</f>
        <v>-2.1701880473797005E-2</v>
      </c>
      <c r="O123">
        <f>AVERAGEIFS(E2490:E2511,E2490:E2511,"&lt;=" &amp; N123)</f>
        <v>-2.3712839623829349E-2</v>
      </c>
      <c r="P123">
        <v>390.30472388130153</v>
      </c>
      <c r="Q123">
        <v>19.012</v>
      </c>
      <c r="R123">
        <f t="shared" si="6"/>
        <v>407.36200799900712</v>
      </c>
      <c r="S123">
        <v>1.1422272592157999E-2</v>
      </c>
      <c r="T123">
        <v>18.84</v>
      </c>
      <c r="V123" t="s">
        <v>228</v>
      </c>
      <c r="W123">
        <v>0.27681452262755635</v>
      </c>
    </row>
    <row r="124" spans="1:30" x14ac:dyDescent="0.35">
      <c r="A124" t="s">
        <v>20</v>
      </c>
      <c r="E124">
        <v>-2.4459002380842237E-2</v>
      </c>
      <c r="F124">
        <f t="shared" si="4"/>
        <v>-1.6400660151313355E-2</v>
      </c>
      <c r="G124">
        <f t="shared" si="5"/>
        <v>-2.7728512076769324E-2</v>
      </c>
      <c r="J124" s="2" t="s">
        <v>136</v>
      </c>
      <c r="K124">
        <f>B2512</f>
        <v>1.7437895800897493E-2</v>
      </c>
      <c r="L124">
        <f>C2512</f>
        <v>-6.3961254165749489E-3</v>
      </c>
      <c r="M124">
        <f t="shared" si="7"/>
        <v>7.2766661639199386E-3</v>
      </c>
      <c r="N124">
        <f>D2512</f>
        <v>-4.6523098143577177E-2</v>
      </c>
      <c r="O124">
        <f>AVERAGEIFS(E2512:E2531,E2512:E2531,"&lt;=" &amp; N124)</f>
        <v>-4.6668053707366056E-2</v>
      </c>
      <c r="P124">
        <v>238.03451559604648</v>
      </c>
      <c r="Q124">
        <v>46.46481</v>
      </c>
      <c r="R124">
        <f t="shared" si="6"/>
        <v>390.30472388130153</v>
      </c>
      <c r="S124">
        <v>7.2766661639199386E-3</v>
      </c>
      <c r="T124">
        <v>40.11</v>
      </c>
      <c r="V124" t="s">
        <v>229</v>
      </c>
      <c r="W124">
        <v>9.8087452744020087E-3</v>
      </c>
    </row>
    <row r="125" spans="1:30" ht="15" thickBot="1" x14ac:dyDescent="0.4">
      <c r="A125" t="s">
        <v>20</v>
      </c>
      <c r="E125">
        <v>-1.171957956246252E-2</v>
      </c>
      <c r="F125">
        <f t="shared" si="4"/>
        <v>-1.6344452044678194E-2</v>
      </c>
      <c r="G125">
        <f t="shared" si="5"/>
        <v>-2.7684517128909847E-2</v>
      </c>
      <c r="J125" s="2" t="s">
        <v>137</v>
      </c>
      <c r="K125">
        <f>B2285</f>
        <v>7.6526236552383478E-3</v>
      </c>
      <c r="L125">
        <f>C2285</f>
        <v>1.0448966378124736E-3</v>
      </c>
      <c r="M125">
        <f t="shared" si="7"/>
        <v>1.7437895800897493E-2</v>
      </c>
      <c r="N125">
        <f>D2285</f>
        <v>-1.7252983452050896E-2</v>
      </c>
      <c r="O125">
        <f>AVERAGEIFS(E2532:E2553,E2532:E2553,"&lt;=" &amp; N125)</f>
        <v>-6.0179914489783624E-2</v>
      </c>
      <c r="P125">
        <v>386.63553353409139</v>
      </c>
      <c r="Q125">
        <v>53.310940000000002</v>
      </c>
      <c r="R125">
        <f t="shared" si="6"/>
        <v>238.03451559604648</v>
      </c>
      <c r="S125">
        <v>1.7437895800897493E-2</v>
      </c>
      <c r="T125">
        <v>53.54</v>
      </c>
      <c r="V125" s="6" t="s">
        <v>230</v>
      </c>
      <c r="W125" s="6">
        <v>183</v>
      </c>
    </row>
    <row r="126" spans="1:30" x14ac:dyDescent="0.35">
      <c r="A126" t="s">
        <v>21</v>
      </c>
      <c r="B126" s="3" cm="1">
        <f t="array" ref="B126">_xlfn.STDEV.S(_xlfn._xlws.FILTER($E$2:$E$1000, $A$2:$A$1000="2010-07"))</f>
        <v>1.2701797584624258E-2</v>
      </c>
      <c r="C126" s="3" cm="1">
        <f t="array" ref="C126">AVERAGE(_xlfn._xlws.FILTER($E$2:$E$1000, $A$2:$A$1000="2010-07"))</f>
        <v>2.3775645745409881E-3</v>
      </c>
      <c r="D126" s="3" cm="1">
        <f t="array" ref="D126">_xlfn.PERCENTILE.EXC(_xlfn._xlws.FILTER($E$126:$E$252, $A$126:$A$252="2010-07"), 0.05)</f>
        <v>-2.6703335147708646E-2</v>
      </c>
      <c r="E126">
        <v>-2.8418048394442542E-2</v>
      </c>
      <c r="F126">
        <f t="shared" si="4"/>
        <v>-1.6345750706679478E-2</v>
      </c>
      <c r="G126">
        <f t="shared" si="5"/>
        <v>-2.7684517128909847E-2</v>
      </c>
      <c r="J126" s="4" t="s">
        <v>138</v>
      </c>
      <c r="K126" s="3">
        <f>B2554</f>
        <v>2.4336682628597766E-2</v>
      </c>
      <c r="L126" s="3">
        <f>C2554</f>
        <v>2.8729310282415324E-3</v>
      </c>
      <c r="M126">
        <f t="shared" si="7"/>
        <v>7.6526236552383478E-3</v>
      </c>
      <c r="N126" s="3">
        <f>D2554</f>
        <v>-4.2960944734626763E-2</v>
      </c>
      <c r="O126" s="3">
        <f>AVERAGEIFS(E2554:E2573,E2554:E2573,"&lt;=" &amp; N126)</f>
        <v>-4.3373559466673692E-2</v>
      </c>
      <c r="P126" s="3">
        <v>322.86984626643164</v>
      </c>
      <c r="Q126" s="3">
        <v>37.087910000000001</v>
      </c>
      <c r="R126">
        <f t="shared" si="6"/>
        <v>386.63553353409139</v>
      </c>
      <c r="S126">
        <v>7.6526236552383478E-3</v>
      </c>
      <c r="T126" s="3">
        <v>34.15</v>
      </c>
    </row>
    <row r="127" spans="1:30" ht="15" thickBot="1" x14ac:dyDescent="0.4">
      <c r="A127" t="s">
        <v>21</v>
      </c>
      <c r="E127">
        <v>4.1116470622997048E-3</v>
      </c>
      <c r="F127">
        <f t="shared" si="4"/>
        <v>-1.6336062315577441E-2</v>
      </c>
      <c r="G127">
        <f t="shared" si="5"/>
        <v>-2.7618864467715439E-2</v>
      </c>
      <c r="J127" s="2" t="s">
        <v>139</v>
      </c>
      <c r="K127">
        <f>B2574</f>
        <v>1.8020944151765021E-2</v>
      </c>
      <c r="L127">
        <f>C2574</f>
        <v>-3.6734779156288405E-4</v>
      </c>
      <c r="M127">
        <f t="shared" si="7"/>
        <v>2.4336682628597766E-2</v>
      </c>
      <c r="N127">
        <f>D2574</f>
        <v>-2.7738663314251781E-2</v>
      </c>
      <c r="O127">
        <f>AVERAGEIFS(E2574:E2591,E2574:E2591,"&lt;=" &amp; N127)</f>
        <v>-3.3824630386771908E-2</v>
      </c>
      <c r="P127">
        <v>291.24947225297296</v>
      </c>
      <c r="Q127">
        <v>34.543970000000002</v>
      </c>
      <c r="R127">
        <f t="shared" si="6"/>
        <v>322.86984626643164</v>
      </c>
      <c r="S127">
        <v>2.4336682628597766E-2</v>
      </c>
      <c r="T127">
        <v>27.51</v>
      </c>
      <c r="V127" t="s">
        <v>231</v>
      </c>
    </row>
    <row r="128" spans="1:30" x14ac:dyDescent="0.35">
      <c r="A128" t="s">
        <v>21</v>
      </c>
      <c r="E128">
        <v>-5.9077377555954115E-3</v>
      </c>
      <c r="F128">
        <f t="shared" si="4"/>
        <v>-1.6336208193969314E-2</v>
      </c>
      <c r="G128">
        <f t="shared" si="5"/>
        <v>-2.7618864467715439E-2</v>
      </c>
      <c r="J128" s="2" t="s">
        <v>140</v>
      </c>
      <c r="K128">
        <f>B2592</f>
        <v>2.1175655293576016E-2</v>
      </c>
      <c r="L128">
        <f>C2592</f>
        <v>3.4531587889102491E-4</v>
      </c>
      <c r="M128">
        <f t="shared" si="7"/>
        <v>1.8020944151765021E-2</v>
      </c>
      <c r="N128">
        <f>D2592</f>
        <v>-5.0149485973844728E-2</v>
      </c>
      <c r="O128">
        <f>AVERAGEIFS(E2592:E2612,E2592:E2612,"&lt;=" &amp; N128)</f>
        <v>-5.1913178348977324E-2</v>
      </c>
      <c r="P128">
        <v>294.3223184665195</v>
      </c>
      <c r="Q128">
        <v>35.660429999999998</v>
      </c>
      <c r="R128">
        <f t="shared" si="6"/>
        <v>291.24947225297296</v>
      </c>
      <c r="S128">
        <v>1.8020944151765021E-2</v>
      </c>
      <c r="T128">
        <v>30.43</v>
      </c>
      <c r="V128" s="7"/>
      <c r="W128" s="7" t="s">
        <v>236</v>
      </c>
      <c r="X128" s="7" t="s">
        <v>237</v>
      </c>
      <c r="Y128" s="7" t="s">
        <v>238</v>
      </c>
      <c r="Z128" s="7" t="s">
        <v>239</v>
      </c>
      <c r="AA128" s="7" t="s">
        <v>240</v>
      </c>
    </row>
    <row r="129" spans="1:30" x14ac:dyDescent="0.35">
      <c r="A129" t="s">
        <v>21</v>
      </c>
      <c r="E129">
        <v>2.2885869496255588E-2</v>
      </c>
      <c r="F129">
        <f t="shared" si="4"/>
        <v>-1.6336354072361187E-2</v>
      </c>
      <c r="G129">
        <f t="shared" si="5"/>
        <v>-2.7618864467715439E-2</v>
      </c>
      <c r="J129" s="2" t="s">
        <v>141</v>
      </c>
      <c r="K129">
        <f>B2613</f>
        <v>1.0903442103111284E-2</v>
      </c>
      <c r="L129">
        <f>C2613</f>
        <v>-1.5713257211473596E-3</v>
      </c>
      <c r="M129">
        <f t="shared" si="7"/>
        <v>2.1175655293576016E-2</v>
      </c>
      <c r="N129">
        <f>D2613</f>
        <v>-1.8583594006428922E-2</v>
      </c>
      <c r="O129">
        <f>AVERAGEIFS(E2613:E2635,E2613:E2635,"&lt;=" &amp; N129)</f>
        <v>-1.9281129927416235E-2</v>
      </c>
      <c r="P129">
        <v>343.81094552852392</v>
      </c>
      <c r="Q129">
        <v>31.437750000000001</v>
      </c>
      <c r="R129">
        <f t="shared" si="6"/>
        <v>294.3223184665195</v>
      </c>
      <c r="S129">
        <v>2.1175655293576016E-2</v>
      </c>
      <c r="T129">
        <v>24.46</v>
      </c>
      <c r="V129" t="s">
        <v>232</v>
      </c>
      <c r="W129">
        <v>3</v>
      </c>
      <c r="X129">
        <v>6.9911445256796885E-3</v>
      </c>
      <c r="Y129">
        <v>2.3303815085598963E-3</v>
      </c>
      <c r="Z129">
        <v>24.221448574650704</v>
      </c>
      <c r="AA129">
        <v>3.3344903386082678E-13</v>
      </c>
    </row>
    <row r="130" spans="1:30" x14ac:dyDescent="0.35">
      <c r="A130" t="s">
        <v>21</v>
      </c>
      <c r="E130">
        <v>1.3955464438515638E-2</v>
      </c>
      <c r="F130">
        <f t="shared" si="4"/>
        <v>-1.6336499950753057E-2</v>
      </c>
      <c r="G130">
        <f t="shared" si="5"/>
        <v>-2.7618864467715439E-2</v>
      </c>
      <c r="J130" s="2" t="s">
        <v>142</v>
      </c>
      <c r="K130">
        <f>B2636</f>
        <v>1.1018526428379092E-2</v>
      </c>
      <c r="L130">
        <f>C2636</f>
        <v>1.0037881998980985E-3</v>
      </c>
      <c r="M130">
        <f t="shared" si="7"/>
        <v>1.0903442103111284E-2</v>
      </c>
      <c r="N130">
        <f>D2636</f>
        <v>-1.6244468827775204E-2</v>
      </c>
      <c r="O130">
        <f>AVERAGEIFS(E2636:E2655,E2636:E2655,"&lt;=" &amp; N130)</f>
        <v>-1.6335041166834329E-2</v>
      </c>
      <c r="P130">
        <v>293.55096675069882</v>
      </c>
      <c r="Q130">
        <v>31.91592</v>
      </c>
      <c r="R130">
        <f t="shared" si="6"/>
        <v>343.81094552852392</v>
      </c>
      <c r="S130">
        <v>1.0903442103111284E-2</v>
      </c>
      <c r="T130">
        <v>26.41</v>
      </c>
      <c r="V130" t="s">
        <v>233</v>
      </c>
      <c r="W130">
        <v>179</v>
      </c>
      <c r="X130">
        <v>1.7221855610600571E-2</v>
      </c>
      <c r="Y130">
        <v>9.6211483858103748E-5</v>
      </c>
    </row>
    <row r="131" spans="1:30" ht="15" thickBot="1" x14ac:dyDescent="0.4">
      <c r="A131" t="s">
        <v>21</v>
      </c>
      <c r="E131">
        <v>9.5048274203422545E-3</v>
      </c>
      <c r="F131">
        <f t="shared" si="4"/>
        <v>-1.633664582914493E-2</v>
      </c>
      <c r="G131">
        <f t="shared" si="5"/>
        <v>-2.7618864467715439E-2</v>
      </c>
      <c r="J131" s="2" t="s">
        <v>143</v>
      </c>
      <c r="K131">
        <f>B2656</f>
        <v>1.5105630031708903E-2</v>
      </c>
      <c r="L131">
        <f>C2656</f>
        <v>-1.5475220054309102E-3</v>
      </c>
      <c r="M131">
        <f t="shared" si="7"/>
        <v>1.1018526428379092E-2</v>
      </c>
      <c r="N131">
        <f>D2656</f>
        <v>-3.386406200534884E-2</v>
      </c>
      <c r="O131">
        <f>AVERAGEIFS(E2656:E2677,E2656:E2677,"&lt;=" &amp; N131)</f>
        <v>-3.6255690402661397E-2</v>
      </c>
      <c r="P131">
        <v>276.29084799699052</v>
      </c>
      <c r="Q131">
        <v>30.5473</v>
      </c>
      <c r="R131">
        <f t="shared" si="6"/>
        <v>293.55096675069882</v>
      </c>
      <c r="S131">
        <v>1.1018526428379092E-2</v>
      </c>
      <c r="T131">
        <v>26.37</v>
      </c>
      <c r="V131" s="6" t="s">
        <v>234</v>
      </c>
      <c r="W131" s="6">
        <v>182</v>
      </c>
      <c r="X131" s="6">
        <v>2.421300013628026E-2</v>
      </c>
      <c r="Y131" s="6"/>
      <c r="Z131" s="6"/>
      <c r="AA131" s="6"/>
    </row>
    <row r="132" spans="1:30" ht="15" thickBot="1" x14ac:dyDescent="0.4">
      <c r="A132" t="s">
        <v>21</v>
      </c>
      <c r="E132">
        <v>2.0797271292908332E-3</v>
      </c>
      <c r="F132">
        <f t="shared" ref="F132:F195" si="8">_xlfn.PERCENTILE.EXC(E132:E3947,0.05)</f>
        <v>-1.6336791707536803E-2</v>
      </c>
      <c r="G132">
        <f t="shared" ref="G132:G195" si="9">AVERAGEIFS(E132:E3948,E132:E3948,"&lt;=" &amp; F132)</f>
        <v>-2.7618864467715439E-2</v>
      </c>
      <c r="J132" s="2" t="s">
        <v>144</v>
      </c>
      <c r="K132">
        <f>B2678</f>
        <v>9.2032040728523886E-3</v>
      </c>
      <c r="L132">
        <f>C2678</f>
        <v>-1.8903539973221654E-3</v>
      </c>
      <c r="M132">
        <f t="shared" si="7"/>
        <v>1.5105630031708903E-2</v>
      </c>
      <c r="N132">
        <f>D2678</f>
        <v>-2.4539560123556382E-2</v>
      </c>
      <c r="O132">
        <f>AVERAGEIFS(E2678:E2699,E2678:E2699,"&lt;=" &amp; N132)</f>
        <v>-2.5328284133880153E-2</v>
      </c>
      <c r="P132">
        <v>322.77067488034061</v>
      </c>
      <c r="Q132">
        <v>41.165349999999997</v>
      </c>
      <c r="R132">
        <f t="shared" si="6"/>
        <v>276.29084799699052</v>
      </c>
      <c r="S132">
        <v>1.5105630031708903E-2</v>
      </c>
      <c r="T132">
        <v>38.020000000000003</v>
      </c>
    </row>
    <row r="133" spans="1:30" x14ac:dyDescent="0.35">
      <c r="A133" t="s">
        <v>21</v>
      </c>
      <c r="E133">
        <v>9.353304048309417E-3</v>
      </c>
      <c r="F133">
        <f t="shared" si="8"/>
        <v>-1.6336937585928676E-2</v>
      </c>
      <c r="G133">
        <f t="shared" si="9"/>
        <v>-2.7618864467715439E-2</v>
      </c>
      <c r="J133" s="2" t="s">
        <v>145</v>
      </c>
      <c r="K133">
        <f>B2700</f>
        <v>1.5650264589855384E-2</v>
      </c>
      <c r="L133">
        <f>C2700</f>
        <v>5.7918652121847387E-3</v>
      </c>
      <c r="M133">
        <f t="shared" si="7"/>
        <v>9.2032040728523886E-3</v>
      </c>
      <c r="N133">
        <f>D2700</f>
        <v>-1.5360717420003309E-2</v>
      </c>
      <c r="O133">
        <f>AVERAGEIFS(E2700:E2720,E2700:E2720,"&lt;=" &amp; N133)</f>
        <v>-1.5611865751471426E-2</v>
      </c>
      <c r="P133">
        <v>313.84183483225593</v>
      </c>
      <c r="Q133">
        <v>27.392469999999999</v>
      </c>
      <c r="R133">
        <f t="shared" ref="R133:R186" si="10">P132</f>
        <v>322.77067488034061</v>
      </c>
      <c r="S133">
        <v>9.2032040728523886E-3</v>
      </c>
      <c r="T133">
        <v>20.57</v>
      </c>
      <c r="V133" s="7"/>
      <c r="W133" s="7" t="s">
        <v>241</v>
      </c>
      <c r="X133" s="7" t="s">
        <v>229</v>
      </c>
      <c r="Y133" s="7" t="s">
        <v>242</v>
      </c>
      <c r="Z133" s="7" t="s">
        <v>243</v>
      </c>
      <c r="AA133" s="7" t="s">
        <v>244</v>
      </c>
      <c r="AB133" s="7" t="s">
        <v>245</v>
      </c>
      <c r="AC133" s="7" t="s">
        <v>246</v>
      </c>
      <c r="AD133" s="7" t="s">
        <v>247</v>
      </c>
    </row>
    <row r="134" spans="1:30" x14ac:dyDescent="0.35">
      <c r="A134" t="s">
        <v>21</v>
      </c>
      <c r="E134">
        <v>1.8548914710216198E-2</v>
      </c>
      <c r="F134">
        <f t="shared" si="8"/>
        <v>-1.633708346432055E-2</v>
      </c>
      <c r="G134">
        <f t="shared" si="9"/>
        <v>-2.7618864467715439E-2</v>
      </c>
      <c r="J134" s="2" t="s">
        <v>146</v>
      </c>
      <c r="K134">
        <f>B2721</f>
        <v>1.1029070689157731E-2</v>
      </c>
      <c r="L134">
        <f>C2721</f>
        <v>1.8842773110562001E-3</v>
      </c>
      <c r="M134">
        <f t="shared" ref="M134:M186" si="11">K133</f>
        <v>1.5650264589855384E-2</v>
      </c>
      <c r="N134">
        <f>D2721</f>
        <v>-2.8522370980979629E-2</v>
      </c>
      <c r="O134">
        <f>AVERAGEIFS(E2721:E2739,E2721:E2739,"&lt;=" &amp; N134)</f>
        <v>-2.8522370980979629E-2</v>
      </c>
      <c r="P134">
        <v>210.90305959711114</v>
      </c>
      <c r="Q134">
        <v>28.718160000000001</v>
      </c>
      <c r="R134">
        <f t="shared" si="10"/>
        <v>313.84183483225593</v>
      </c>
      <c r="S134">
        <v>1.5650264589855384E-2</v>
      </c>
      <c r="T134">
        <v>22.75</v>
      </c>
      <c r="V134" t="s">
        <v>235</v>
      </c>
      <c r="W134">
        <v>-1.5333425618040113E-3</v>
      </c>
      <c r="X134">
        <v>2.9905707147275954E-3</v>
      </c>
      <c r="Y134">
        <v>-0.51272573300233104</v>
      </c>
      <c r="Z134">
        <v>0.60877532174208837</v>
      </c>
      <c r="AA134">
        <v>-7.4346520034631455E-3</v>
      </c>
      <c r="AB134">
        <v>4.3679668798551228E-3</v>
      </c>
      <c r="AC134">
        <v>-7.4346520034631455E-3</v>
      </c>
      <c r="AD134">
        <v>4.3679668798551228E-3</v>
      </c>
    </row>
    <row r="135" spans="1:30" x14ac:dyDescent="0.35">
      <c r="A135" t="s">
        <v>21</v>
      </c>
      <c r="E135">
        <v>-1.9046937654653763E-4</v>
      </c>
      <c r="F135">
        <f t="shared" si="8"/>
        <v>-1.6337229342712423E-2</v>
      </c>
      <c r="G135">
        <f t="shared" si="9"/>
        <v>-2.7618864467715439E-2</v>
      </c>
      <c r="J135" s="2" t="s">
        <v>147</v>
      </c>
      <c r="K135">
        <f>B2740</f>
        <v>1.0903036411220536E-2</v>
      </c>
      <c r="L135">
        <f>C2740</f>
        <v>-1.0974358261993545E-4</v>
      </c>
      <c r="M135">
        <f t="shared" si="11"/>
        <v>1.1029070689157731E-2</v>
      </c>
      <c r="N135">
        <f>D2740</f>
        <v>-1.9933954989483884E-2</v>
      </c>
      <c r="O135">
        <f>AVERAGEIFS(E2740:E2759,E2740:E2759,"&lt;=" &amp; N135)</f>
        <v>-2.038955079307616E-2</v>
      </c>
      <c r="P135">
        <v>199.2239483170456</v>
      </c>
      <c r="Q135">
        <v>35.192749999999997</v>
      </c>
      <c r="R135">
        <f t="shared" si="10"/>
        <v>210.90305959711114</v>
      </c>
      <c r="S135">
        <v>1.1029070689157731E-2</v>
      </c>
      <c r="T135">
        <v>33.090000000000003</v>
      </c>
      <c r="V135" t="s">
        <v>248</v>
      </c>
      <c r="W135">
        <v>2.3190573105740659E-6</v>
      </c>
      <c r="X135">
        <v>5.3261278583264124E-6</v>
      </c>
      <c r="Y135">
        <v>0.43541149823293301</v>
      </c>
      <c r="Z135">
        <v>0.66378832821183076</v>
      </c>
      <c r="AA135">
        <v>-8.1910197335958779E-6</v>
      </c>
      <c r="AB135">
        <v>1.282913435474401E-5</v>
      </c>
      <c r="AC135">
        <v>-8.1910197335958779E-6</v>
      </c>
      <c r="AD135">
        <v>1.282913435474401E-5</v>
      </c>
    </row>
    <row r="136" spans="1:30" x14ac:dyDescent="0.35">
      <c r="A136" t="s">
        <v>21</v>
      </c>
      <c r="E136">
        <v>-1.1135425436116033E-2</v>
      </c>
      <c r="F136">
        <f t="shared" si="8"/>
        <v>-1.6337375221104296E-2</v>
      </c>
      <c r="G136">
        <f t="shared" si="9"/>
        <v>-2.7618864467715439E-2</v>
      </c>
      <c r="J136" s="2" t="s">
        <v>148</v>
      </c>
      <c r="K136">
        <f>B2760</f>
        <v>1.0287601578788519E-2</v>
      </c>
      <c r="L136">
        <f>C2760</f>
        <v>1.6684739872477373E-3</v>
      </c>
      <c r="M136">
        <f t="shared" si="11"/>
        <v>1.0903036411220536E-2</v>
      </c>
      <c r="N136">
        <f>D2760</f>
        <v>-2.2588486204297608E-2</v>
      </c>
      <c r="O136">
        <f>AVERAGEIFS(E2760:E2779,E2760:E2779,"&lt;=" &amp; N136)</f>
        <v>-2.3280512534737289E-2</v>
      </c>
      <c r="P136">
        <v>172.01045608383237</v>
      </c>
      <c r="Q136">
        <v>32.450749999999999</v>
      </c>
      <c r="R136">
        <f t="shared" si="10"/>
        <v>199.2239483170456</v>
      </c>
      <c r="S136">
        <v>1.0903036411220536E-2</v>
      </c>
      <c r="T136">
        <v>27.95</v>
      </c>
      <c r="V136" t="s">
        <v>251</v>
      </c>
      <c r="W136">
        <v>-0.2744770882404422</v>
      </c>
      <c r="X136">
        <v>0.18368408444059683</v>
      </c>
      <c r="Y136">
        <v>-1.4942888986618093</v>
      </c>
      <c r="Z136">
        <v>0.13686085784086177</v>
      </c>
      <c r="AA136">
        <v>-0.63694189017726743</v>
      </c>
      <c r="AB136">
        <v>8.798771369638303E-2</v>
      </c>
      <c r="AC136">
        <v>-0.63694189017726743</v>
      </c>
      <c r="AD136">
        <v>8.798771369638303E-2</v>
      </c>
    </row>
    <row r="137" spans="1:30" ht="15" thickBot="1" x14ac:dyDescent="0.4">
      <c r="A137" t="s">
        <v>21</v>
      </c>
      <c r="E137">
        <v>-1.6986626749549909E-2</v>
      </c>
      <c r="F137">
        <f t="shared" si="8"/>
        <v>-1.6337521099496169E-2</v>
      </c>
      <c r="G137">
        <f t="shared" si="9"/>
        <v>-2.7618864467715439E-2</v>
      </c>
      <c r="J137" s="2" t="s">
        <v>149</v>
      </c>
      <c r="K137">
        <f>B2780</f>
        <v>7.8950760104043796E-3</v>
      </c>
      <c r="L137">
        <f>C2780</f>
        <v>2.2667660998505531E-3</v>
      </c>
      <c r="M137">
        <f t="shared" si="11"/>
        <v>1.0287601578788519E-2</v>
      </c>
      <c r="N137">
        <f>D2780</f>
        <v>-1.2838584873927895E-2</v>
      </c>
      <c r="O137">
        <f>AVERAGEIFS(E2780:E2802,E2780:E2802,"&lt;=" &amp; N137)</f>
        <v>-1.380373672430211E-2</v>
      </c>
      <c r="P137">
        <v>211.31998414197577</v>
      </c>
      <c r="Q137">
        <v>21.119689999999999</v>
      </c>
      <c r="R137">
        <f t="shared" si="10"/>
        <v>172.01045608383237</v>
      </c>
      <c r="S137">
        <v>1.0287601578788519E-2</v>
      </c>
      <c r="T137">
        <v>19.399999999999999</v>
      </c>
      <c r="V137" s="6" t="s">
        <v>252</v>
      </c>
      <c r="W137" s="6">
        <v>-8.229332711111629E-4</v>
      </c>
      <c r="X137" s="6">
        <v>1.2323200208892065E-4</v>
      </c>
      <c r="Y137" s="6">
        <v>-6.6779185370806369</v>
      </c>
      <c r="Z137" s="6">
        <v>2.9471551712066317E-10</v>
      </c>
      <c r="AA137" s="6">
        <v>-1.0661076504563936E-3</v>
      </c>
      <c r="AB137" s="6">
        <v>-5.7975889176593235E-4</v>
      </c>
      <c r="AC137" s="6">
        <v>-1.0661076504563936E-3</v>
      </c>
      <c r="AD137" s="6">
        <v>-5.7975889176593235E-4</v>
      </c>
    </row>
    <row r="138" spans="1:30" x14ac:dyDescent="0.35">
      <c r="A138" t="s">
        <v>21</v>
      </c>
      <c r="E138">
        <v>-9.6090820290091559E-3</v>
      </c>
      <c r="F138">
        <f t="shared" si="8"/>
        <v>-1.6332392658750132E-2</v>
      </c>
      <c r="G138">
        <f t="shared" si="9"/>
        <v>-2.7615323241722417E-2</v>
      </c>
      <c r="J138" s="2" t="s">
        <v>150</v>
      </c>
      <c r="K138">
        <f>B2803</f>
        <v>6.6750055092318896E-3</v>
      </c>
      <c r="L138">
        <f>C2803</f>
        <v>8.1594240584306841E-4</v>
      </c>
      <c r="M138">
        <f t="shared" si="11"/>
        <v>7.8950760104043796E-3</v>
      </c>
      <c r="N138">
        <f>D2803</f>
        <v>-2.1952674617674611E-2</v>
      </c>
      <c r="O138">
        <f>AVERAGEIFS(E2803:E2822,E2803:E2822,"&lt;=" &amp; N138)</f>
        <v>-2.2862727643318891E-2</v>
      </c>
      <c r="P138">
        <v>174.97536246808733</v>
      </c>
      <c r="Q138">
        <v>24.81278</v>
      </c>
      <c r="R138">
        <f t="shared" si="10"/>
        <v>211.31998414197577</v>
      </c>
      <c r="S138">
        <v>7.8950760104043796E-3</v>
      </c>
      <c r="T138">
        <v>18.61</v>
      </c>
    </row>
    <row r="139" spans="1:30" x14ac:dyDescent="0.35">
      <c r="A139" t="s">
        <v>21</v>
      </c>
      <c r="E139">
        <v>6.03648794732664E-3</v>
      </c>
      <c r="F139">
        <f t="shared" si="8"/>
        <v>-1.6333716912792232E-2</v>
      </c>
      <c r="G139">
        <f t="shared" si="9"/>
        <v>-2.7615323241722417E-2</v>
      </c>
      <c r="J139" s="2" t="s">
        <v>151</v>
      </c>
      <c r="K139">
        <f>B2823</f>
        <v>9.9932533962457885E-3</v>
      </c>
      <c r="L139">
        <f>C2823</f>
        <v>1.0763175108131724E-3</v>
      </c>
      <c r="M139">
        <f t="shared" si="11"/>
        <v>6.6750055092318896E-3</v>
      </c>
      <c r="N139">
        <f>D2823</f>
        <v>-1.5461193873938657E-2</v>
      </c>
      <c r="O139">
        <f>AVERAGEIFS(E2823:E2840,E2823:E2840,"&lt;=" &amp; N139)</f>
        <v>-2.3758129677812767E-2</v>
      </c>
      <c r="P139">
        <v>171.23832120001649</v>
      </c>
      <c r="Q139">
        <v>23.353159999999999</v>
      </c>
      <c r="R139">
        <f t="shared" si="10"/>
        <v>174.97536246808733</v>
      </c>
      <c r="S139">
        <v>6.6750055092318896E-3</v>
      </c>
      <c r="T139">
        <v>16.760000000000002</v>
      </c>
      <c r="V139" t="s">
        <v>225</v>
      </c>
    </row>
    <row r="140" spans="1:30" ht="15" thickBot="1" x14ac:dyDescent="0.4">
      <c r="A140" t="s">
        <v>21</v>
      </c>
      <c r="E140">
        <v>1.5653108047284602E-2</v>
      </c>
      <c r="F140">
        <f t="shared" si="8"/>
        <v>-1.6335041166834329E-2</v>
      </c>
      <c r="G140">
        <f t="shared" si="9"/>
        <v>-2.7615323241722417E-2</v>
      </c>
      <c r="J140" s="2" t="s">
        <v>152</v>
      </c>
      <c r="K140">
        <f>B2841</f>
        <v>6.8673984005914457E-3</v>
      </c>
      <c r="L140">
        <f>C2841</f>
        <v>1.3755199803811214E-4</v>
      </c>
      <c r="M140">
        <f t="shared" si="11"/>
        <v>9.9932533962457885E-3</v>
      </c>
      <c r="N140">
        <f>D2841</f>
        <v>-2.0933365593610618E-2</v>
      </c>
      <c r="O140">
        <f>AVERAGEIFS(E2841:E2862,E2841:E2862,"&lt;=" &amp; N140)</f>
        <v>-2.3051287299374931E-2</v>
      </c>
      <c r="P140">
        <v>124.26290627436056</v>
      </c>
      <c r="Q140">
        <v>21.54729</v>
      </c>
      <c r="R140">
        <f t="shared" si="10"/>
        <v>171.23832120001649</v>
      </c>
      <c r="S140">
        <v>9.9932533962457885E-3</v>
      </c>
      <c r="T140">
        <v>15.83</v>
      </c>
    </row>
    <row r="141" spans="1:30" x14ac:dyDescent="0.35">
      <c r="A141" t="s">
        <v>21</v>
      </c>
      <c r="E141">
        <v>1.6834226845351321E-2</v>
      </c>
      <c r="F141">
        <f t="shared" si="8"/>
        <v>-1.6335187045226202E-2</v>
      </c>
      <c r="G141">
        <f t="shared" si="9"/>
        <v>-2.7676964127377544E-2</v>
      </c>
      <c r="J141" s="2" t="s">
        <v>153</v>
      </c>
      <c r="K141">
        <f>B2863</f>
        <v>1.1890457152196006E-2</v>
      </c>
      <c r="L141">
        <f>C2863</f>
        <v>2.531725490722109E-4</v>
      </c>
      <c r="M141">
        <f t="shared" si="11"/>
        <v>6.8673984005914457E-3</v>
      </c>
      <c r="N141">
        <f>D2863</f>
        <v>-2.9293746143196537E-2</v>
      </c>
      <c r="O141">
        <f>AVERAGEIFS(E2863:E2884,E2863:E2884,"&lt;=" &amp; N141)</f>
        <v>-3.0488804660108719E-2</v>
      </c>
      <c r="P141">
        <v>178.62496559542024</v>
      </c>
      <c r="Q141">
        <v>24.831800000000001</v>
      </c>
      <c r="R141">
        <f t="shared" si="10"/>
        <v>124.26290627436056</v>
      </c>
      <c r="S141">
        <v>6.8673984005914457E-3</v>
      </c>
      <c r="T141">
        <v>18.239999999999998</v>
      </c>
      <c r="V141" s="8" t="s">
        <v>226</v>
      </c>
      <c r="W141" s="8"/>
    </row>
    <row r="142" spans="1:30" x14ac:dyDescent="0.35">
      <c r="A142" t="s">
        <v>21</v>
      </c>
      <c r="E142">
        <v>1.2431984793755084E-2</v>
      </c>
      <c r="F142">
        <f t="shared" si="8"/>
        <v>-1.6335332923618075E-2</v>
      </c>
      <c r="G142">
        <f t="shared" si="9"/>
        <v>-2.7676964127377544E-2</v>
      </c>
      <c r="J142" s="2" t="s">
        <v>154</v>
      </c>
      <c r="K142">
        <f>B2885</f>
        <v>6.8356851116695531E-3</v>
      </c>
      <c r="L142">
        <f>C2885</f>
        <v>2.9112562790450252E-4</v>
      </c>
      <c r="M142">
        <f t="shared" si="11"/>
        <v>1.1890457152196006E-2</v>
      </c>
      <c r="N142">
        <f>D2885</f>
        <v>-2.0208320632315483E-2</v>
      </c>
      <c r="O142">
        <f>AVERAGEIFS(E2885:E2905,E2885:E2905,"&lt;=" &amp; N142)</f>
        <v>-2.1520126881511482E-2</v>
      </c>
      <c r="P142">
        <v>175.76509801231887</v>
      </c>
      <c r="Q142">
        <v>22.156310000000001</v>
      </c>
      <c r="R142">
        <f t="shared" si="10"/>
        <v>178.62496559542024</v>
      </c>
      <c r="S142">
        <v>1.1890457152196006E-2</v>
      </c>
      <c r="T142">
        <v>16.48</v>
      </c>
      <c r="V142" t="s">
        <v>227</v>
      </c>
      <c r="W142">
        <v>0.55005044445358975</v>
      </c>
    </row>
    <row r="143" spans="1:30" x14ac:dyDescent="0.35">
      <c r="A143" t="s">
        <v>21</v>
      </c>
      <c r="E143">
        <v>1.7340248114896253E-3</v>
      </c>
      <c r="F143">
        <f t="shared" si="8"/>
        <v>-1.6335478802009949E-2</v>
      </c>
      <c r="G143">
        <f t="shared" si="9"/>
        <v>-2.7676964127377544E-2</v>
      </c>
      <c r="J143" s="2" t="s">
        <v>155</v>
      </c>
      <c r="K143">
        <f>B2906</f>
        <v>8.0154451439418458E-3</v>
      </c>
      <c r="L143">
        <f>C2906</f>
        <v>-2.6737986998702577E-4</v>
      </c>
      <c r="M143">
        <f t="shared" si="11"/>
        <v>6.8356851116695531E-3</v>
      </c>
      <c r="N143">
        <f>D2906</f>
        <v>-1.6159329526779544E-2</v>
      </c>
      <c r="O143">
        <f>AVERAGEIFS(E2906:E2927,E2906:E2927,"&lt;=" &amp; N143)</f>
        <v>-1.6223802592851465E-2</v>
      </c>
      <c r="P143">
        <v>159.41849401574572</v>
      </c>
      <c r="Q143">
        <v>26.89424</v>
      </c>
      <c r="R143">
        <f t="shared" si="10"/>
        <v>175.76509801231887</v>
      </c>
      <c r="S143">
        <v>6.8356851116695531E-3</v>
      </c>
      <c r="T143">
        <v>23.14</v>
      </c>
      <c r="V143" t="s">
        <v>228</v>
      </c>
      <c r="W143">
        <v>0.30255549144359167</v>
      </c>
      <c r="Y143" t="s">
        <v>386</v>
      </c>
    </row>
    <row r="144" spans="1:30" x14ac:dyDescent="0.35">
      <c r="A144" t="s">
        <v>21</v>
      </c>
      <c r="E144">
        <v>8.2778240812603245E-3</v>
      </c>
      <c r="F144">
        <f t="shared" si="8"/>
        <v>-1.6335624680401822E-2</v>
      </c>
      <c r="G144">
        <f t="shared" si="9"/>
        <v>-2.7676964127377544E-2</v>
      </c>
      <c r="J144" s="2" t="s">
        <v>156</v>
      </c>
      <c r="K144">
        <f>B2928</f>
        <v>7.2499382751892725E-3</v>
      </c>
      <c r="L144">
        <f>C2928</f>
        <v>1.8810034872399311E-3</v>
      </c>
      <c r="M144">
        <f t="shared" si="11"/>
        <v>8.0154451439418458E-3</v>
      </c>
      <c r="N144">
        <f>D2928</f>
        <v>-1.2225874456420689E-2</v>
      </c>
      <c r="O144">
        <f>AVERAGEIFS(E2928:E2948,E2928:E2948,"&lt;=" &amp; N144)</f>
        <v>-1.2658959073008536E-2</v>
      </c>
      <c r="P144">
        <v>206.54662430050385</v>
      </c>
      <c r="Q144">
        <v>20.327559999999998</v>
      </c>
      <c r="R144">
        <f t="shared" si="10"/>
        <v>159.41849401574572</v>
      </c>
      <c r="S144">
        <v>8.0154451439418458E-3</v>
      </c>
      <c r="T144">
        <v>16.260000000000002</v>
      </c>
      <c r="V144" t="s">
        <v>228</v>
      </c>
      <c r="W144">
        <v>0.29080080871511288</v>
      </c>
    </row>
    <row r="145" spans="1:30" x14ac:dyDescent="0.35">
      <c r="A145" t="s">
        <v>21</v>
      </c>
      <c r="E145">
        <v>-6.9782719455514482E-3</v>
      </c>
      <c r="F145">
        <f t="shared" si="8"/>
        <v>-1.6335770558793695E-2</v>
      </c>
      <c r="G145">
        <f t="shared" si="9"/>
        <v>-2.7676964127377544E-2</v>
      </c>
      <c r="J145" s="2" t="s">
        <v>157</v>
      </c>
      <c r="K145">
        <f>B2949</f>
        <v>1.1022840871484361E-2</v>
      </c>
      <c r="L145">
        <f>C2949</f>
        <v>-1.6059526406044266E-3</v>
      </c>
      <c r="M145">
        <f t="shared" si="11"/>
        <v>7.2499382751892725E-3</v>
      </c>
      <c r="N145">
        <f>D2949</f>
        <v>-4.0128735396864283E-2</v>
      </c>
      <c r="O145">
        <f>AVERAGEIFS(E2949:E2970,E2949:E2970,"&lt;=" &amp; N145)</f>
        <v>-4.478865187503514E-2</v>
      </c>
      <c r="P145">
        <v>243.69114583572659</v>
      </c>
      <c r="Q145">
        <v>34.009799999999998</v>
      </c>
      <c r="R145">
        <f t="shared" si="10"/>
        <v>206.54662430050385</v>
      </c>
      <c r="S145">
        <v>7.2499382751892725E-3</v>
      </c>
      <c r="T145">
        <v>27.19</v>
      </c>
      <c r="V145" t="s">
        <v>229</v>
      </c>
      <c r="W145">
        <v>9.4636793498205554E-3</v>
      </c>
    </row>
    <row r="146" spans="1:30" ht="15" thickBot="1" x14ac:dyDescent="0.4">
      <c r="A146" t="s">
        <v>21</v>
      </c>
      <c r="E146">
        <v>-7.6746211888839575E-3</v>
      </c>
      <c r="F146">
        <f t="shared" si="8"/>
        <v>-1.6335916437185568E-2</v>
      </c>
      <c r="G146">
        <f t="shared" si="9"/>
        <v>-2.7676964127377544E-2</v>
      </c>
      <c r="J146" s="2" t="s">
        <v>158</v>
      </c>
      <c r="K146">
        <f>B2971</f>
        <v>1.0704764215607924E-2</v>
      </c>
      <c r="L146">
        <f>C2971</f>
        <v>3.3560245459149938E-3</v>
      </c>
      <c r="M146">
        <f t="shared" si="11"/>
        <v>1.1022840871484361E-2</v>
      </c>
      <c r="N146">
        <f>D2971</f>
        <v>-1.5134434347517463E-2</v>
      </c>
      <c r="O146">
        <f>AVERAGEIFS(E2971:E2989,E2971:E2989,"&lt;=" &amp; N146)</f>
        <v>-1.5134434347517463E-2</v>
      </c>
      <c r="P146">
        <v>207.10460676803453</v>
      </c>
      <c r="Q146">
        <v>21.801400000000001</v>
      </c>
      <c r="R146">
        <f t="shared" si="10"/>
        <v>243.69114583572659</v>
      </c>
      <c r="S146">
        <v>1.1022840871484361E-2</v>
      </c>
      <c r="T146">
        <v>17.22</v>
      </c>
      <c r="V146" s="6" t="s">
        <v>230</v>
      </c>
      <c r="W146" s="6">
        <v>182</v>
      </c>
    </row>
    <row r="147" spans="1:30" x14ac:dyDescent="0.35">
      <c r="A147" t="s">
        <v>21</v>
      </c>
      <c r="E147">
        <v>-2.2007073161004792E-3</v>
      </c>
      <c r="F147">
        <f t="shared" si="8"/>
        <v>-1.6336062315577441E-2</v>
      </c>
      <c r="G147">
        <f t="shared" si="9"/>
        <v>-2.7676964127377544E-2</v>
      </c>
      <c r="J147" s="2" t="s">
        <v>159</v>
      </c>
      <c r="K147">
        <f>B2990</f>
        <v>1.2428875066010862E-2</v>
      </c>
      <c r="L147">
        <f>C2990</f>
        <v>6.5674270389314698E-4</v>
      </c>
      <c r="M147">
        <f t="shared" si="11"/>
        <v>1.0704764215607924E-2</v>
      </c>
      <c r="N147">
        <f>D2990</f>
        <v>-3.1844060686713402E-2</v>
      </c>
      <c r="O147">
        <f>AVERAGEIFS(E2990:E3009,E2990:E3009,"&lt;=" &amp; N147)</f>
        <v>-3.2526380369602398E-2</v>
      </c>
      <c r="P147">
        <v>186.75594980863136</v>
      </c>
      <c r="Q147">
        <v>30.300719999999998</v>
      </c>
      <c r="R147">
        <f t="shared" si="10"/>
        <v>207.10460676803453</v>
      </c>
      <c r="S147">
        <v>1.0704764215607924E-2</v>
      </c>
      <c r="T147">
        <v>24.83</v>
      </c>
    </row>
    <row r="148" spans="1:30" ht="15" thickBot="1" x14ac:dyDescent="0.4">
      <c r="A148" t="s">
        <v>22</v>
      </c>
      <c r="B148" s="3" cm="1">
        <f t="array" ref="B148">_xlfn.STDEV.S(_xlfn._xlws.FILTER($E$2:$E$1000, $A$2:$A$1000="2010-08"))</f>
        <v>1.1166731882837453E-2</v>
      </c>
      <c r="C148" s="3" cm="1">
        <f t="array" ref="C148">AVERAGE(_xlfn._xlws.FILTER($E$2:$E$1000, $A$2:$A$1000="2010-08"))</f>
        <v>-6.199159609230301E-5</v>
      </c>
      <c r="D148" s="3" cm="1">
        <f t="array" ref="D148">_xlfn.PERCENTILE.EXC(_xlfn._xlws.FILTER($E$126:$E$252, $A$126:$A$252="2010-08"), 0.05)</f>
        <v>-1.8740736391713728E-2</v>
      </c>
      <c r="E148">
        <v>2.8987394167326718E-2</v>
      </c>
      <c r="F148">
        <f t="shared" si="8"/>
        <v>-1.6336208193969314E-2</v>
      </c>
      <c r="G148">
        <f t="shared" si="9"/>
        <v>-2.7676964127377544E-2</v>
      </c>
      <c r="J148" s="4" t="s">
        <v>160</v>
      </c>
      <c r="K148" s="3">
        <f>B3010</f>
        <v>4.6790581746846841E-3</v>
      </c>
      <c r="L148" s="3">
        <f>C3010</f>
        <v>9.0198358398990725E-3</v>
      </c>
      <c r="M148">
        <f t="shared" si="11"/>
        <v>1.2428875066010862E-2</v>
      </c>
      <c r="N148" s="3">
        <f>D3010</f>
        <v>-3.9070294738434382E-2</v>
      </c>
      <c r="O148" s="3">
        <f>AVERAGEIFS(E3010:E3029,E3010:E3029,"&lt;=" &amp; N148)</f>
        <v>-4.0250269625699123E-2</v>
      </c>
      <c r="P148" s="3">
        <v>111.09922042336812</v>
      </c>
      <c r="Q148" s="3">
        <v>39.545810000000003</v>
      </c>
      <c r="R148">
        <f t="shared" si="10"/>
        <v>186.75594980863136</v>
      </c>
      <c r="S148">
        <v>1.2428875066010862E-2</v>
      </c>
      <c r="T148" s="3">
        <v>30.15</v>
      </c>
      <c r="V148" t="s">
        <v>231</v>
      </c>
    </row>
    <row r="149" spans="1:30" x14ac:dyDescent="0.35">
      <c r="A149" t="s">
        <v>22</v>
      </c>
      <c r="E149">
        <v>-1.9096249881054043E-3</v>
      </c>
      <c r="F149">
        <f t="shared" si="8"/>
        <v>-1.6336354072361187E-2</v>
      </c>
      <c r="G149">
        <f t="shared" si="9"/>
        <v>-2.7676964127377544E-2</v>
      </c>
      <c r="J149" s="2" t="s">
        <v>161</v>
      </c>
      <c r="K149">
        <f>B3030</f>
        <v>1.2700793139194902E-2</v>
      </c>
      <c r="L149">
        <f>C3030</f>
        <v>-1.2578006517750439E-5</v>
      </c>
      <c r="M149">
        <f t="shared" si="11"/>
        <v>4.6790581746846841E-3</v>
      </c>
      <c r="N149">
        <f>D3030</f>
        <v>-3.0234006991553406E-2</v>
      </c>
      <c r="O149">
        <f>AVERAGEIFS(E3030:E3052,E3030:E3052,"&lt;=" &amp; N149)</f>
        <v>-3.1996755220233326E-2</v>
      </c>
      <c r="P149">
        <v>311.47345393186447</v>
      </c>
      <c r="Q149">
        <v>32.1265</v>
      </c>
      <c r="R149">
        <f t="shared" si="10"/>
        <v>111.09922042336812</v>
      </c>
      <c r="S149">
        <v>4.6790581746846841E-3</v>
      </c>
      <c r="T149">
        <v>20.56</v>
      </c>
      <c r="V149" s="7"/>
      <c r="W149" s="7" t="s">
        <v>236</v>
      </c>
      <c r="X149" s="7" t="s">
        <v>237</v>
      </c>
      <c r="Y149" s="7" t="s">
        <v>238</v>
      </c>
      <c r="Z149" s="7" t="s">
        <v>239</v>
      </c>
      <c r="AA149" s="7" t="s">
        <v>240</v>
      </c>
    </row>
    <row r="150" spans="1:30" x14ac:dyDescent="0.35">
      <c r="A150" t="s">
        <v>22</v>
      </c>
      <c r="E150">
        <v>4.7560407468732655E-4</v>
      </c>
      <c r="F150">
        <f t="shared" si="8"/>
        <v>-1.6336499950753057E-2</v>
      </c>
      <c r="G150">
        <f t="shared" si="9"/>
        <v>-2.7676964127377544E-2</v>
      </c>
      <c r="J150" s="2" t="s">
        <v>162</v>
      </c>
      <c r="K150">
        <f>B3053</f>
        <v>1.027179063689489E-2</v>
      </c>
      <c r="L150">
        <f>C3053</f>
        <v>4.9944187471634319E-4</v>
      </c>
      <c r="M150">
        <f t="shared" si="11"/>
        <v>1.2700793139194902E-2</v>
      </c>
      <c r="N150">
        <f>D3053</f>
        <v>-2.332390153876443E-2</v>
      </c>
      <c r="O150">
        <f>AVERAGEIFS(E3053:E3071,E3053:E3071,"&lt;=" &amp; N150)</f>
        <v>-2.332390153876443E-2</v>
      </c>
      <c r="P150">
        <v>243.41051643403259</v>
      </c>
      <c r="Q150">
        <v>32.462649999999996</v>
      </c>
      <c r="R150">
        <f t="shared" si="10"/>
        <v>311.47345393186447</v>
      </c>
      <c r="S150">
        <v>1.2700793139194902E-2</v>
      </c>
      <c r="T150">
        <v>33.4</v>
      </c>
      <c r="V150" t="s">
        <v>232</v>
      </c>
      <c r="W150">
        <v>3</v>
      </c>
      <c r="X150">
        <v>6.9156884006932977E-3</v>
      </c>
      <c r="Y150">
        <v>2.3052294668977659E-3</v>
      </c>
      <c r="Z150">
        <v>25.739145703232971</v>
      </c>
      <c r="AA150">
        <v>7.0338761872869387E-14</v>
      </c>
    </row>
    <row r="151" spans="1:30" x14ac:dyDescent="0.35">
      <c r="A151" t="s">
        <v>22</v>
      </c>
      <c r="E151">
        <v>-5.0399758751359857E-3</v>
      </c>
      <c r="F151">
        <f t="shared" si="8"/>
        <v>-1.633664582914493E-2</v>
      </c>
      <c r="G151">
        <f t="shared" si="9"/>
        <v>-2.7676964127377544E-2</v>
      </c>
      <c r="J151" s="2" t="s">
        <v>163</v>
      </c>
      <c r="K151">
        <f>B3072</f>
        <v>1.3089199902736928E-2</v>
      </c>
      <c r="L151">
        <f>C3072</f>
        <v>-2.6357512889233175E-4</v>
      </c>
      <c r="M151">
        <f t="shared" si="11"/>
        <v>1.027179063689489E-2</v>
      </c>
      <c r="N151">
        <f>D3072</f>
        <v>-2.4147824019289447E-2</v>
      </c>
      <c r="O151">
        <f>AVERAGEIFS(E3072:E3092,E3072:E3092,"&lt;=" &amp; N151)</f>
        <v>-2.4669352158633528E-2</v>
      </c>
      <c r="P151">
        <v>257.3088703606885</v>
      </c>
      <c r="Q151">
        <v>27.09723</v>
      </c>
      <c r="R151">
        <f t="shared" si="10"/>
        <v>243.41051643403259</v>
      </c>
      <c r="S151">
        <v>1.027179063689489E-2</v>
      </c>
      <c r="T151">
        <v>26.19</v>
      </c>
      <c r="V151" t="s">
        <v>233</v>
      </c>
      <c r="W151">
        <v>178</v>
      </c>
      <c r="X151">
        <v>1.5941898376847164E-2</v>
      </c>
      <c r="Y151">
        <v>8.956122683622002E-5</v>
      </c>
    </row>
    <row r="152" spans="1:30" ht="15" thickBot="1" x14ac:dyDescent="0.4">
      <c r="A152" t="s">
        <v>22</v>
      </c>
      <c r="E152">
        <v>-9.360218554826466E-3</v>
      </c>
      <c r="F152">
        <f t="shared" si="8"/>
        <v>-1.6336791707536803E-2</v>
      </c>
      <c r="G152">
        <f t="shared" si="9"/>
        <v>-2.7676964127377544E-2</v>
      </c>
      <c r="J152" s="2" t="s">
        <v>164</v>
      </c>
      <c r="K152">
        <f>B3093</f>
        <v>1.4713792128608742E-2</v>
      </c>
      <c r="L152">
        <f>C3093</f>
        <v>-3.5804649011235154E-3</v>
      </c>
      <c r="M152">
        <f t="shared" si="11"/>
        <v>1.3089199902736928E-2</v>
      </c>
      <c r="N152">
        <f>D3093</f>
        <v>-2.5030517517725396E-2</v>
      </c>
      <c r="O152">
        <f>AVERAGEIFS(E3093:E3112,E3093:E3112,"&lt;=" &amp; N152)</f>
        <v>-2.5134586277167664E-2</v>
      </c>
      <c r="P152">
        <v>266.21208175701486</v>
      </c>
      <c r="Q152">
        <v>31.218789999999998</v>
      </c>
      <c r="R152">
        <f t="shared" si="10"/>
        <v>257.3088703606885</v>
      </c>
      <c r="S152">
        <v>1.3089199902736928E-2</v>
      </c>
      <c r="T152">
        <v>28.71</v>
      </c>
      <c r="V152" s="6" t="s">
        <v>234</v>
      </c>
      <c r="W152" s="6">
        <v>181</v>
      </c>
      <c r="X152" s="6">
        <v>2.2857586777540462E-2</v>
      </c>
      <c r="Y152" s="6"/>
      <c r="Z152" s="6"/>
      <c r="AA152" s="6"/>
    </row>
    <row r="153" spans="1:30" ht="15" thickBot="1" x14ac:dyDescent="0.4">
      <c r="A153" t="s">
        <v>22</v>
      </c>
      <c r="E153">
        <v>1.6334565149913063E-2</v>
      </c>
      <c r="F153">
        <f t="shared" si="8"/>
        <v>-1.6336937585928676E-2</v>
      </c>
      <c r="G153">
        <f t="shared" si="9"/>
        <v>-2.7676964127377544E-2</v>
      </c>
      <c r="J153" s="2" t="s">
        <v>165</v>
      </c>
      <c r="K153">
        <f>B3113</f>
        <v>1.1393948629286367E-2</v>
      </c>
      <c r="L153">
        <f>C3113</f>
        <v>2.94476806477363E-3</v>
      </c>
      <c r="M153">
        <f t="shared" si="11"/>
        <v>1.4713792128608742E-2</v>
      </c>
      <c r="N153">
        <f>D3113</f>
        <v>-2.659298992302709E-2</v>
      </c>
      <c r="O153">
        <f>AVERAGEIFS(E3113:E3133,E3113:E3133,"&lt;=" &amp; N153)</f>
        <v>-2.7399213823441491E-2</v>
      </c>
      <c r="P153">
        <v>347.90978994656666</v>
      </c>
      <c r="Q153">
        <v>22.744309999999999</v>
      </c>
      <c r="R153">
        <f t="shared" si="10"/>
        <v>266.21208175701486</v>
      </c>
      <c r="S153">
        <v>1.4713792128608742E-2</v>
      </c>
      <c r="T153">
        <v>21.33</v>
      </c>
    </row>
    <row r="154" spans="1:30" x14ac:dyDescent="0.35">
      <c r="A154" t="s">
        <v>22</v>
      </c>
      <c r="E154">
        <v>-6.2710291864676746E-3</v>
      </c>
      <c r="F154">
        <f t="shared" si="8"/>
        <v>-1.633708346432055E-2</v>
      </c>
      <c r="G154">
        <f t="shared" si="9"/>
        <v>-2.7676964127377544E-2</v>
      </c>
      <c r="J154" s="2" t="s">
        <v>166</v>
      </c>
      <c r="K154">
        <f>B3134</f>
        <v>7.938119665690661E-3</v>
      </c>
      <c r="L154">
        <f>C3134</f>
        <v>-2.4072023196405187E-3</v>
      </c>
      <c r="M154">
        <f t="shared" si="11"/>
        <v>1.1393948629286367E-2</v>
      </c>
      <c r="N154">
        <f>D3134</f>
        <v>-2.1455087561913659E-2</v>
      </c>
      <c r="O154">
        <f>AVERAGEIFS(E3134:E3154,E3134:E3154,"&lt;=" &amp; N154)</f>
        <v>-2.2083093990638812E-2</v>
      </c>
      <c r="P154">
        <v>270.22755900551749</v>
      </c>
      <c r="Q154">
        <v>28.096</v>
      </c>
      <c r="R154">
        <f t="shared" si="10"/>
        <v>347.90978994656666</v>
      </c>
      <c r="S154">
        <v>1.1393948629286367E-2</v>
      </c>
      <c r="T154">
        <v>25.87</v>
      </c>
      <c r="V154" s="7"/>
      <c r="W154" s="7" t="s">
        <v>241</v>
      </c>
      <c r="X154" s="7" t="s">
        <v>229</v>
      </c>
      <c r="Y154" s="7" t="s">
        <v>242</v>
      </c>
      <c r="Z154" s="7" t="s">
        <v>243</v>
      </c>
      <c r="AA154" s="7" t="s">
        <v>244</v>
      </c>
      <c r="AB154" s="7" t="s">
        <v>245</v>
      </c>
      <c r="AC154" s="7" t="s">
        <v>246</v>
      </c>
      <c r="AD154" s="7" t="s">
        <v>247</v>
      </c>
    </row>
    <row r="155" spans="1:30" x14ac:dyDescent="0.35">
      <c r="A155" t="s">
        <v>22</v>
      </c>
      <c r="E155">
        <v>-1.5495292426979806E-2</v>
      </c>
      <c r="F155">
        <f t="shared" si="8"/>
        <v>-1.6337229342712423E-2</v>
      </c>
      <c r="G155">
        <f t="shared" si="9"/>
        <v>-2.7676964127377544E-2</v>
      </c>
      <c r="J155" s="2" t="s">
        <v>167</v>
      </c>
      <c r="K155">
        <f>B3155</f>
        <v>1.3613012397703449E-2</v>
      </c>
      <c r="L155">
        <f>C3155</f>
        <v>-3.4276916736667037E-3</v>
      </c>
      <c r="M155">
        <f t="shared" si="11"/>
        <v>7.938119665690661E-3</v>
      </c>
      <c r="N155">
        <f>D3155</f>
        <v>-3.7347243794077042E-2</v>
      </c>
      <c r="O155">
        <f>AVERAGEIFS(E3155:E3175,E3155:E3175,"&lt;=" &amp; N155)</f>
        <v>-3.948678589732485E-2</v>
      </c>
      <c r="P155">
        <v>343.61266854500292</v>
      </c>
      <c r="Q155">
        <v>30.064309999999999</v>
      </c>
      <c r="R155">
        <f t="shared" si="10"/>
        <v>270.22755900551749</v>
      </c>
      <c r="S155">
        <v>7.938119665690661E-3</v>
      </c>
      <c r="T155">
        <v>31.62</v>
      </c>
      <c r="V155" t="s">
        <v>235</v>
      </c>
      <c r="W155">
        <v>-2.9561990597918412E-3</v>
      </c>
      <c r="X155">
        <v>2.9098086417770038E-3</v>
      </c>
      <c r="Y155">
        <v>-1.015942772781961</v>
      </c>
      <c r="Z155">
        <v>0.31103555969429597</v>
      </c>
      <c r="AA155">
        <v>-8.6983598228087787E-3</v>
      </c>
      <c r="AB155">
        <v>2.7859617032250971E-3</v>
      </c>
      <c r="AC155">
        <v>-8.6983598228087787E-3</v>
      </c>
      <c r="AD155">
        <v>2.7859617032250971E-3</v>
      </c>
    </row>
    <row r="156" spans="1:30" x14ac:dyDescent="0.35">
      <c r="A156" t="s">
        <v>22</v>
      </c>
      <c r="E156">
        <v>1.7064876345484474E-3</v>
      </c>
      <c r="F156">
        <f t="shared" si="8"/>
        <v>-1.6337375221104296E-2</v>
      </c>
      <c r="G156">
        <f t="shared" si="9"/>
        <v>-2.7676964127377544E-2</v>
      </c>
      <c r="J156" s="2" t="s">
        <v>168</v>
      </c>
      <c r="K156">
        <f>B3176</f>
        <v>1.0146413431527475E-2</v>
      </c>
      <c r="L156">
        <f>C3176</f>
        <v>2.3217730166583662E-3</v>
      </c>
      <c r="M156">
        <f t="shared" si="11"/>
        <v>1.3613012397703449E-2</v>
      </c>
      <c r="N156">
        <f>D3176</f>
        <v>-1.4313420665029402E-2</v>
      </c>
      <c r="O156">
        <f>AVERAGEIFS(E3176:E3196,E3176:E3196,"&lt;=" &amp; N156)</f>
        <v>-1.4881897101573751E-2</v>
      </c>
      <c r="P156">
        <v>548.27839835924476</v>
      </c>
      <c r="Q156">
        <v>24.54992</v>
      </c>
      <c r="R156">
        <f t="shared" si="10"/>
        <v>343.61266854500292</v>
      </c>
      <c r="S156">
        <v>1.3613012397703449E-2</v>
      </c>
      <c r="T156">
        <v>25.88</v>
      </c>
      <c r="V156" t="s">
        <v>248</v>
      </c>
      <c r="W156">
        <v>6.2814786992750094E-6</v>
      </c>
      <c r="X156">
        <v>5.2445636232207304E-6</v>
      </c>
      <c r="Y156">
        <v>1.1977123647548584</v>
      </c>
      <c r="Z156">
        <v>0.23262146738220008</v>
      </c>
      <c r="AA156">
        <v>-4.0680429235671333E-6</v>
      </c>
      <c r="AB156">
        <v>1.6631000322117154E-5</v>
      </c>
      <c r="AC156">
        <v>-4.0680429235671333E-6</v>
      </c>
      <c r="AD156">
        <v>1.6631000322117154E-5</v>
      </c>
    </row>
    <row r="157" spans="1:30" x14ac:dyDescent="0.35">
      <c r="A157" t="s">
        <v>22</v>
      </c>
      <c r="E157">
        <v>7.5591570320317145E-3</v>
      </c>
      <c r="F157">
        <f t="shared" si="8"/>
        <v>-1.6337521099496169E-2</v>
      </c>
      <c r="G157">
        <f t="shared" si="9"/>
        <v>-2.7676964127377544E-2</v>
      </c>
      <c r="J157" s="2" t="s">
        <v>169</v>
      </c>
      <c r="K157">
        <f>B3197</f>
        <v>9.1488070178043033E-3</v>
      </c>
      <c r="L157">
        <f>C3197</f>
        <v>2.8853740418798221E-3</v>
      </c>
      <c r="M157">
        <f t="shared" si="11"/>
        <v>1.0146413431527475E-2</v>
      </c>
      <c r="N157">
        <f>D3197</f>
        <v>-1.3798392642752658E-2</v>
      </c>
      <c r="O157">
        <f>AVERAGEIFS(E3197:E3218,E3197:E3218,"&lt;=" &amp; N157)</f>
        <v>-1.4005175440526374E-2</v>
      </c>
      <c r="P157">
        <v>394.90492417420899</v>
      </c>
      <c r="Q157">
        <v>21.878530000000001</v>
      </c>
      <c r="R157">
        <f t="shared" si="10"/>
        <v>548.27839835924476</v>
      </c>
      <c r="S157">
        <v>1.0146413431527475E-2</v>
      </c>
      <c r="T157">
        <v>20.58</v>
      </c>
      <c r="V157" t="s">
        <v>251</v>
      </c>
      <c r="W157">
        <v>-0.31865487012547805</v>
      </c>
      <c r="X157">
        <v>0.17760705478017108</v>
      </c>
      <c r="Y157">
        <v>-1.7941566032941967</v>
      </c>
      <c r="Z157">
        <v>7.4485346671343405E-2</v>
      </c>
      <c r="AA157">
        <v>-0.66914123770011091</v>
      </c>
      <c r="AB157">
        <v>3.1831497449154866E-2</v>
      </c>
      <c r="AC157">
        <v>-0.66914123770011091</v>
      </c>
      <c r="AD157">
        <v>3.1831497449154866E-2</v>
      </c>
    </row>
    <row r="158" spans="1:30" ht="15" thickBot="1" x14ac:dyDescent="0.4">
      <c r="A158" t="s">
        <v>22</v>
      </c>
      <c r="E158">
        <v>1.9839639070348674E-3</v>
      </c>
      <c r="F158">
        <f t="shared" si="8"/>
        <v>-1.6337666977888042E-2</v>
      </c>
      <c r="G158">
        <f t="shared" si="9"/>
        <v>-2.7676964127377544E-2</v>
      </c>
      <c r="J158" s="2" t="s">
        <v>170</v>
      </c>
      <c r="K158">
        <f>B3219</f>
        <v>7.7971285074280488E-3</v>
      </c>
      <c r="L158">
        <f>C3219</f>
        <v>-2.0462808540227468E-3</v>
      </c>
      <c r="M158">
        <f t="shared" si="11"/>
        <v>9.1488070178043033E-3</v>
      </c>
      <c r="N158">
        <f>D3219</f>
        <v>-2.4823169101131276E-2</v>
      </c>
      <c r="O158">
        <f>AVERAGEIFS(E3219:E3238,E3219:E3238,"&lt;=" &amp; N158)</f>
        <v>-2.5519869754467864E-2</v>
      </c>
      <c r="P158">
        <v>247.44959421918935</v>
      </c>
      <c r="Q158">
        <v>22.371210000000001</v>
      </c>
      <c r="R158">
        <f t="shared" si="10"/>
        <v>394.90492417420899</v>
      </c>
      <c r="S158">
        <v>9.1488070178043033E-3</v>
      </c>
      <c r="T158">
        <v>21.67</v>
      </c>
      <c r="V158" s="6" t="s">
        <v>252</v>
      </c>
      <c r="W158" s="6">
        <v>-7.7792286392111315E-4</v>
      </c>
      <c r="X158" s="6">
        <v>1.1949142815709941E-4</v>
      </c>
      <c r="Y158" s="6">
        <v>-6.5102817492343608</v>
      </c>
      <c r="Z158" s="6">
        <v>7.3943354477071212E-10</v>
      </c>
      <c r="AA158" s="6">
        <v>-1.0137249645917373E-3</v>
      </c>
      <c r="AB158" s="6">
        <v>-5.4212076325048885E-4</v>
      </c>
      <c r="AC158" s="6">
        <v>-1.0137249645917373E-3</v>
      </c>
      <c r="AD158" s="6">
        <v>-5.4212076325048885E-4</v>
      </c>
    </row>
    <row r="159" spans="1:30" x14ac:dyDescent="0.35">
      <c r="A159" t="s">
        <v>22</v>
      </c>
      <c r="E159">
        <v>4.4163624786119505E-3</v>
      </c>
      <c r="F159">
        <f t="shared" si="8"/>
        <v>-1.6337812856279915E-2</v>
      </c>
      <c r="G159">
        <f t="shared" si="9"/>
        <v>-2.7676964127377544E-2</v>
      </c>
      <c r="J159" s="2" t="s">
        <v>171</v>
      </c>
      <c r="K159">
        <f>B3239</f>
        <v>6.7885299443091688E-3</v>
      </c>
      <c r="L159">
        <f>C3239</f>
        <v>2.2112718235532936E-3</v>
      </c>
      <c r="M159">
        <f t="shared" si="11"/>
        <v>7.7971285074280488E-3</v>
      </c>
      <c r="N159">
        <f>D3239</f>
        <v>-1.0230377044248435E-2</v>
      </c>
      <c r="O159">
        <f>AVERAGEIFS(E3239:E3259,E3239:E3259,"&lt;=" &amp; N159)</f>
        <v>-1.0375070575858621E-2</v>
      </c>
      <c r="P159">
        <v>267.36624632500713</v>
      </c>
      <c r="Q159">
        <v>20.17446</v>
      </c>
      <c r="R159">
        <f t="shared" si="10"/>
        <v>247.44959421918935</v>
      </c>
      <c r="S159">
        <v>7.7971285074280488E-3</v>
      </c>
      <c r="T159">
        <v>19.399999999999999</v>
      </c>
    </row>
    <row r="160" spans="1:30" x14ac:dyDescent="0.35">
      <c r="A160" t="s">
        <v>22</v>
      </c>
      <c r="E160">
        <v>-6.5284464324046601E-3</v>
      </c>
      <c r="F160">
        <f t="shared" si="8"/>
        <v>-1.6337958734671788E-2</v>
      </c>
      <c r="G160">
        <f t="shared" si="9"/>
        <v>-2.7676964127377544E-2</v>
      </c>
      <c r="J160" s="2" t="s">
        <v>172</v>
      </c>
      <c r="K160">
        <f>B3260</f>
        <v>5.5768851318081271E-3</v>
      </c>
      <c r="L160">
        <f>C3260</f>
        <v>9.4940575927904161E-4</v>
      </c>
      <c r="M160">
        <f t="shared" si="11"/>
        <v>6.7885299443091688E-3</v>
      </c>
      <c r="N160">
        <f>D3260</f>
        <v>-7.2850038903450372E-3</v>
      </c>
      <c r="O160">
        <f>AVERAGEIFS(E3260:E3279,E3260:E3279,"&lt;=" &amp; N160)</f>
        <v>-7.2861925996385683E-3</v>
      </c>
      <c r="P160">
        <v>267.98471133739451</v>
      </c>
      <c r="Q160">
        <v>20.68244</v>
      </c>
      <c r="R160">
        <f t="shared" si="10"/>
        <v>267.36624632500713</v>
      </c>
      <c r="S160">
        <v>6.7885299443091688E-3</v>
      </c>
      <c r="T160">
        <v>20.7</v>
      </c>
    </row>
    <row r="161" spans="1:30" x14ac:dyDescent="0.35">
      <c r="A161" t="s">
        <v>22</v>
      </c>
      <c r="E161">
        <v>-1.3758014955913462E-2</v>
      </c>
      <c r="F161">
        <f t="shared" si="8"/>
        <v>-1.6339257396673069E-2</v>
      </c>
      <c r="G161">
        <f t="shared" si="9"/>
        <v>-2.7739266354809996E-2</v>
      </c>
      <c r="J161" s="2" t="s">
        <v>173</v>
      </c>
      <c r="K161">
        <f>B3280</f>
        <v>1.1433117506974495E-2</v>
      </c>
      <c r="L161">
        <f>C3280</f>
        <v>-1.5541744358884559E-3</v>
      </c>
      <c r="M161">
        <f t="shared" si="11"/>
        <v>5.5768851318081271E-3</v>
      </c>
      <c r="N161">
        <f>D3280</f>
        <v>-3.0109689694915728E-2</v>
      </c>
      <c r="O161">
        <f>AVERAGEIFS(E3280:E3302,E3280:E3302,"&lt;=" &amp; N161)</f>
        <v>-3.1869646878043049E-2</v>
      </c>
      <c r="P161">
        <v>297.87572986593472</v>
      </c>
      <c r="Q161">
        <v>21.1126</v>
      </c>
      <c r="R161">
        <f t="shared" si="10"/>
        <v>267.98471133739451</v>
      </c>
      <c r="S161">
        <v>5.5768851318081271E-3</v>
      </c>
      <c r="T161">
        <v>18.7</v>
      </c>
      <c r="V161" t="s">
        <v>225</v>
      </c>
    </row>
    <row r="162" spans="1:30" ht="15" thickBot="1" x14ac:dyDescent="0.4">
      <c r="A162" t="s">
        <v>22</v>
      </c>
      <c r="E162">
        <v>1.0015051297713876E-3</v>
      </c>
      <c r="F162">
        <f t="shared" si="8"/>
        <v>-1.6340556058674353E-2</v>
      </c>
      <c r="G162">
        <f t="shared" si="9"/>
        <v>-2.7739266354809996E-2</v>
      </c>
      <c r="J162" s="2" t="s">
        <v>174</v>
      </c>
      <c r="K162">
        <f>B3303</f>
        <v>4.3334113884787549E-3</v>
      </c>
      <c r="L162">
        <f>C3303</f>
        <v>1.9020243895681353E-3</v>
      </c>
      <c r="M162">
        <f t="shared" si="11"/>
        <v>1.1433117506974495E-2</v>
      </c>
      <c r="N162">
        <f>D3303</f>
        <v>-2.9945377560118311E-3</v>
      </c>
      <c r="O162">
        <f>AVERAGEIFS(E3303:E3320,E3303:E3320,"&lt;=" &amp; N162)</f>
        <v>-6.05434850895154E-3</v>
      </c>
      <c r="P162">
        <v>218.15758746664872</v>
      </c>
      <c r="Q162">
        <v>19.22747</v>
      </c>
      <c r="R162">
        <f t="shared" si="10"/>
        <v>297.87572986593472</v>
      </c>
      <c r="S162">
        <v>1.1433117506974495E-2</v>
      </c>
      <c r="T162">
        <v>15.78</v>
      </c>
    </row>
    <row r="163" spans="1:30" x14ac:dyDescent="0.35">
      <c r="A163" t="s">
        <v>22</v>
      </c>
      <c r="E163">
        <v>9.6790035187266244E-3</v>
      </c>
      <c r="F163">
        <f t="shared" si="8"/>
        <v>-1.6341854720675633E-2</v>
      </c>
      <c r="G163">
        <f t="shared" si="9"/>
        <v>-2.7739266354809996E-2</v>
      </c>
      <c r="J163" s="2" t="s">
        <v>175</v>
      </c>
      <c r="K163">
        <f>B3321</f>
        <v>8.3010638040666163E-3</v>
      </c>
      <c r="L163">
        <f>C3321</f>
        <v>-1.7110447569336855E-3</v>
      </c>
      <c r="M163">
        <f t="shared" si="11"/>
        <v>4.3334113884787549E-3</v>
      </c>
      <c r="N163">
        <f>D3321</f>
        <v>-2.0039520589273503E-2</v>
      </c>
      <c r="O163">
        <f>AVERAGEIFS(E3321:E3340,E3321:E3340,"&lt;=" &amp; N163)</f>
        <v>-2.018266890559612E-2</v>
      </c>
      <c r="P163">
        <v>286.87348882059297</v>
      </c>
      <c r="Q163">
        <v>21.256530000000001</v>
      </c>
      <c r="R163">
        <f t="shared" si="10"/>
        <v>218.15758746664872</v>
      </c>
      <c r="S163">
        <v>4.3334113884787549E-3</v>
      </c>
      <c r="T163">
        <v>17.940000000000001</v>
      </c>
      <c r="V163" s="8" t="s">
        <v>226</v>
      </c>
      <c r="W163" s="8"/>
    </row>
    <row r="164" spans="1:30" x14ac:dyDescent="0.35">
      <c r="A164" t="s">
        <v>22</v>
      </c>
      <c r="E164">
        <v>-1.9101341276684166E-2</v>
      </c>
      <c r="F164">
        <f t="shared" si="8"/>
        <v>-1.6343153382676914E-2</v>
      </c>
      <c r="G164">
        <f t="shared" si="9"/>
        <v>-2.7739266354809996E-2</v>
      </c>
      <c r="J164" s="2" t="s">
        <v>176</v>
      </c>
      <c r="K164">
        <f>B3341</f>
        <v>6.0070431853999637E-3</v>
      </c>
      <c r="L164">
        <f>C3341</f>
        <v>5.2889234527837207E-4</v>
      </c>
      <c r="M164">
        <f t="shared" si="11"/>
        <v>8.3010638040666163E-3</v>
      </c>
      <c r="N164">
        <f>D3341</f>
        <v>-9.3630022857556505E-3</v>
      </c>
      <c r="O164">
        <f>AVERAGEIFS(E3341:E3362,E3341:E3362,"&lt;=" &amp; N164)</f>
        <v>-9.615123952983742E-3</v>
      </c>
      <c r="P164">
        <v>243.64958492957803</v>
      </c>
      <c r="Q164">
        <v>14.863659999999999</v>
      </c>
      <c r="R164">
        <f t="shared" si="10"/>
        <v>286.87348882059297</v>
      </c>
      <c r="S164">
        <v>8.3010638040666163E-3</v>
      </c>
      <c r="T164">
        <v>13.59</v>
      </c>
      <c r="V164" t="s">
        <v>227</v>
      </c>
      <c r="W164">
        <v>0.12012481696863304</v>
      </c>
    </row>
    <row r="165" spans="1:30" x14ac:dyDescent="0.35">
      <c r="A165" t="s">
        <v>22</v>
      </c>
      <c r="E165">
        <v>-8.6462144555312249E-3</v>
      </c>
      <c r="F165">
        <f t="shared" si="8"/>
        <v>-1.6335770558793695E-2</v>
      </c>
      <c r="G165">
        <f t="shared" si="9"/>
        <v>-2.7724082934249487E-2</v>
      </c>
      <c r="J165" s="2" t="s">
        <v>177</v>
      </c>
      <c r="K165">
        <f>B3363</f>
        <v>7.4884310143844921E-3</v>
      </c>
      <c r="L165">
        <f>C3363</f>
        <v>1.1920002935917455E-3</v>
      </c>
      <c r="M165">
        <f t="shared" si="11"/>
        <v>6.0070431853999637E-3</v>
      </c>
      <c r="N165">
        <f>D3363</f>
        <v>-2.0218951795296845E-2</v>
      </c>
      <c r="O165">
        <f>AVERAGEIFS(E3363:E3383,E3363:E3383,"&lt;=" &amp; N165)</f>
        <v>-2.1563781858282904E-2</v>
      </c>
      <c r="P165">
        <v>276.09509461877508</v>
      </c>
      <c r="Q165">
        <v>17.860399999999998</v>
      </c>
      <c r="R165">
        <f t="shared" si="10"/>
        <v>243.64958492957803</v>
      </c>
      <c r="S165">
        <v>6.0070431853999637E-3</v>
      </c>
      <c r="T165">
        <v>13.63</v>
      </c>
      <c r="V165" t="s">
        <v>228</v>
      </c>
      <c r="W165">
        <v>1.442997165174759E-2</v>
      </c>
      <c r="Y165" t="s">
        <v>387</v>
      </c>
    </row>
    <row r="166" spans="1:30" x14ac:dyDescent="0.35">
      <c r="A166" t="s">
        <v>22</v>
      </c>
      <c r="E166">
        <v>1.0698538213051341E-2</v>
      </c>
      <c r="F166">
        <f t="shared" si="8"/>
        <v>-1.6335916437185568E-2</v>
      </c>
      <c r="G166">
        <f t="shared" si="9"/>
        <v>-2.7724082934249487E-2</v>
      </c>
      <c r="J166" s="2" t="s">
        <v>178</v>
      </c>
      <c r="K166">
        <f>B3384</f>
        <v>6.5880169223333142E-3</v>
      </c>
      <c r="L166">
        <f>C3384</f>
        <v>-1.6329015930645601E-3</v>
      </c>
      <c r="M166">
        <f t="shared" si="11"/>
        <v>7.4884310143844921E-3</v>
      </c>
      <c r="N166">
        <f>D3384</f>
        <v>-1.4479680424503235E-2</v>
      </c>
      <c r="O166">
        <f>AVERAGEIFS(E3384:E3404,E3384:E3404,"&lt;=" &amp; N166)</f>
        <v>-1.4574113663541156E-2</v>
      </c>
      <c r="P166">
        <v>267.42509815605689</v>
      </c>
      <c r="Q166">
        <v>17.411549999999998</v>
      </c>
      <c r="R166">
        <f t="shared" si="10"/>
        <v>276.09509461877508</v>
      </c>
      <c r="S166">
        <v>7.4884310143844921E-3</v>
      </c>
      <c r="T166">
        <v>13.57</v>
      </c>
      <c r="V166" t="s">
        <v>228</v>
      </c>
      <c r="W166">
        <v>8.9848333735804489E-3</v>
      </c>
    </row>
    <row r="167" spans="1:30" x14ac:dyDescent="0.35">
      <c r="A167" t="s">
        <v>22</v>
      </c>
      <c r="E167">
        <v>4.483002439344322E-3</v>
      </c>
      <c r="F167">
        <f t="shared" si="8"/>
        <v>-1.6336062315577441E-2</v>
      </c>
      <c r="G167">
        <f t="shared" si="9"/>
        <v>-2.7724082934249487E-2</v>
      </c>
      <c r="J167" s="2" t="s">
        <v>179</v>
      </c>
      <c r="K167">
        <f>B3405</f>
        <v>6.4065724340094717E-3</v>
      </c>
      <c r="L167">
        <f>C3405</f>
        <v>4.7974194405242331E-4</v>
      </c>
      <c r="M167">
        <f t="shared" si="11"/>
        <v>6.5880169223333142E-3</v>
      </c>
      <c r="N167">
        <f>D3405</f>
        <v>-9.81532973578721E-3</v>
      </c>
      <c r="O167">
        <f>AVERAGEIFS(E3405:E3425,E3405:E3425,"&lt;=" &amp; N167)</f>
        <v>-9.8828881329947361E-3</v>
      </c>
      <c r="P167">
        <v>255.42735756843783</v>
      </c>
      <c r="Q167">
        <v>18.48019</v>
      </c>
      <c r="R167">
        <f t="shared" si="10"/>
        <v>267.42509815605689</v>
      </c>
      <c r="S167">
        <v>6.5880169223333142E-3</v>
      </c>
      <c r="T167">
        <v>17.52</v>
      </c>
      <c r="V167" t="s">
        <v>229</v>
      </c>
      <c r="W167">
        <v>1.2378699079360395E-2</v>
      </c>
    </row>
    <row r="168" spans="1:30" ht="15" thickBot="1" x14ac:dyDescent="0.4">
      <c r="A168" t="s">
        <v>22</v>
      </c>
      <c r="E168">
        <v>-2.5172491109372737E-3</v>
      </c>
      <c r="F168">
        <f t="shared" si="8"/>
        <v>-1.6336208193969314E-2</v>
      </c>
      <c r="G168">
        <f t="shared" si="9"/>
        <v>-2.7724082934249487E-2</v>
      </c>
      <c r="J168" s="2" t="s">
        <v>180</v>
      </c>
      <c r="K168">
        <f>B3426</f>
        <v>8.1414229614440222E-3</v>
      </c>
      <c r="L168">
        <f>C3426</f>
        <v>-1.947500305044674E-3</v>
      </c>
      <c r="M168">
        <f t="shared" si="11"/>
        <v>6.4065724340094717E-3</v>
      </c>
      <c r="N168">
        <f>D3426</f>
        <v>-1.5435591563160836E-2</v>
      </c>
      <c r="O168">
        <f>AVERAGEIFS(E3426:E3447,E3426:E3447,"&lt;=" &amp; N168)</f>
        <v>-1.567929258018461E-2</v>
      </c>
      <c r="P168">
        <v>270.91055943674291</v>
      </c>
      <c r="Q168">
        <v>20.840789999999998</v>
      </c>
      <c r="R168">
        <f t="shared" si="10"/>
        <v>255.42735756843783</v>
      </c>
      <c r="S168">
        <v>6.4065724340094717E-3</v>
      </c>
      <c r="T168">
        <v>18.14</v>
      </c>
      <c r="V168" s="6" t="s">
        <v>230</v>
      </c>
      <c r="W168" s="6">
        <v>183</v>
      </c>
    </row>
    <row r="169" spans="1:30" x14ac:dyDescent="0.35">
      <c r="A169" t="s">
        <v>23</v>
      </c>
      <c r="B169" s="3" cm="1">
        <f t="array" ref="B169">_xlfn.STDEV.S(_xlfn._xlws.FILTER($E$2:$E$1000, $A$2:$A$1000="2010-09"))</f>
        <v>9.5424415810154636E-3</v>
      </c>
      <c r="C169" s="3" cm="1">
        <f t="array" ref="C169">AVERAGE(_xlfn._xlws.FILTER($E$2:$E$1000, $A$2:$A$1000="2010-09"))</f>
        <v>6.4965817595726949E-4</v>
      </c>
      <c r="D169" s="3" cm="1">
        <f t="array" ref="D169">_xlfn.PERCENTILE.EXC(_xlfn._xlws.FILTER($E$126:$E$252, $A$126:$A$252="2010-09"), 0.05)</f>
        <v>-1.5241201100306967E-2</v>
      </c>
      <c r="E169">
        <v>2.5540228880258597E-2</v>
      </c>
      <c r="F169">
        <f t="shared" si="8"/>
        <v>-1.6336354072361187E-2</v>
      </c>
      <c r="G169">
        <f t="shared" si="9"/>
        <v>-2.7724082934249487E-2</v>
      </c>
      <c r="J169" s="4" t="s">
        <v>181</v>
      </c>
      <c r="K169" s="3">
        <f>B3448</f>
        <v>6.4439217380326741E-3</v>
      </c>
      <c r="L169" s="3">
        <f>C3448</f>
        <v>1.2108221357074742E-3</v>
      </c>
      <c r="M169">
        <f t="shared" si="11"/>
        <v>8.1414229614440222E-3</v>
      </c>
      <c r="N169" s="3">
        <f>D3448</f>
        <v>-1.3906801343166721E-2</v>
      </c>
      <c r="O169" s="3">
        <f>AVERAGEIFS(E3448:E3469,E3448:E3469,"&lt;=" &amp; N169)</f>
        <v>-1.449273908472897E-2</v>
      </c>
      <c r="P169" s="3">
        <v>250.73352414749928</v>
      </c>
      <c r="Q169" s="3">
        <v>15.04454</v>
      </c>
      <c r="R169">
        <f t="shared" si="10"/>
        <v>270.91055943674291</v>
      </c>
      <c r="S169">
        <v>8.1414229614440222E-3</v>
      </c>
      <c r="T169" s="3">
        <v>12.92</v>
      </c>
    </row>
    <row r="170" spans="1:30" ht="15" thickBot="1" x14ac:dyDescent="0.4">
      <c r="A170" t="s">
        <v>23</v>
      </c>
      <c r="E170">
        <v>-3.7708544286147684E-3</v>
      </c>
      <c r="F170">
        <f t="shared" si="8"/>
        <v>-1.6336499950753057E-2</v>
      </c>
      <c r="G170">
        <f t="shared" si="9"/>
        <v>-2.7724082934249487E-2</v>
      </c>
      <c r="J170" s="2" t="s">
        <v>182</v>
      </c>
      <c r="K170">
        <f>B3470</f>
        <v>6.2578781295505462E-3</v>
      </c>
      <c r="L170">
        <f>C3470</f>
        <v>1.6961318076431232E-3</v>
      </c>
      <c r="M170">
        <f t="shared" si="11"/>
        <v>6.4439217380326741E-3</v>
      </c>
      <c r="N170">
        <f>D3470</f>
        <v>-6.989583579772073E-3</v>
      </c>
      <c r="O170">
        <f>AVERAGEIFS(E3470:E3488,E3470:E3488,"&lt;=" &amp; N170)</f>
        <v>-6.989583579772073E-3</v>
      </c>
      <c r="P170">
        <v>162.62321457336648</v>
      </c>
      <c r="Q170">
        <v>15.01905</v>
      </c>
      <c r="R170">
        <f t="shared" si="10"/>
        <v>250.73352414749928</v>
      </c>
      <c r="S170">
        <v>6.4439217380326741E-3</v>
      </c>
      <c r="T170">
        <v>12.45</v>
      </c>
      <c r="V170" t="s">
        <v>231</v>
      </c>
    </row>
    <row r="171" spans="1:30" x14ac:dyDescent="0.35">
      <c r="A171" t="s">
        <v>23</v>
      </c>
      <c r="E171">
        <v>7.3980147449584244E-3</v>
      </c>
      <c r="F171">
        <f t="shared" si="8"/>
        <v>-1.633664582914493E-2</v>
      </c>
      <c r="G171">
        <f t="shared" si="9"/>
        <v>-2.7724082934249487E-2</v>
      </c>
      <c r="J171" s="2" t="s">
        <v>183</v>
      </c>
      <c r="K171">
        <f>B3489</f>
        <v>5.5659171496324203E-3</v>
      </c>
      <c r="L171">
        <f>C3489</f>
        <v>1.1973155332557322E-4</v>
      </c>
      <c r="M171">
        <f t="shared" si="11"/>
        <v>6.2578781295505462E-3</v>
      </c>
      <c r="N171">
        <f>D3489</f>
        <v>-1.0795440641298067E-2</v>
      </c>
      <c r="O171">
        <f>AVERAGEIFS(E3489:E3510,E3489:E3510,"&lt;=" &amp; N171)</f>
        <v>-1.1035716110274338E-2</v>
      </c>
      <c r="P171">
        <v>256.49036963046962</v>
      </c>
      <c r="Q171">
        <v>16.078399999999998</v>
      </c>
      <c r="R171">
        <f t="shared" si="10"/>
        <v>162.62321457336648</v>
      </c>
      <c r="S171">
        <v>6.2578781295505462E-3</v>
      </c>
      <c r="T171">
        <v>14.35</v>
      </c>
      <c r="V171" s="7"/>
      <c r="W171" s="7" t="s">
        <v>236</v>
      </c>
      <c r="X171" s="7" t="s">
        <v>237</v>
      </c>
      <c r="Y171" s="7" t="s">
        <v>238</v>
      </c>
      <c r="Z171" s="7" t="s">
        <v>239</v>
      </c>
      <c r="AA171" s="7" t="s">
        <v>240</v>
      </c>
    </row>
    <row r="172" spans="1:30" x14ac:dyDescent="0.35">
      <c r="A172" t="s">
        <v>23</v>
      </c>
      <c r="E172">
        <v>1.2786806836147886E-3</v>
      </c>
      <c r="F172">
        <f t="shared" si="8"/>
        <v>-1.6336791707536803E-2</v>
      </c>
      <c r="G172">
        <f t="shared" si="9"/>
        <v>-2.7724082934249487E-2</v>
      </c>
      <c r="J172" s="2" t="s">
        <v>184</v>
      </c>
      <c r="K172">
        <f>B3511</f>
        <v>6.0427406621305618E-3</v>
      </c>
      <c r="L172">
        <f>C3511</f>
        <v>-1.5938485807267383E-4</v>
      </c>
      <c r="M172">
        <f t="shared" si="11"/>
        <v>5.5659171496324203E-3</v>
      </c>
      <c r="N172">
        <f>D3511</f>
        <v>-8.5001406519853336E-3</v>
      </c>
      <c r="O172">
        <f>AVERAGEIFS(E3511:E3531,E3511:E3531,"&lt;=" &amp; N172)</f>
        <v>-8.5072850969229227E-3</v>
      </c>
      <c r="P172">
        <v>254.38124652516922</v>
      </c>
      <c r="Q172">
        <v>14.885859999999999</v>
      </c>
      <c r="R172">
        <f t="shared" si="10"/>
        <v>256.49036963046962</v>
      </c>
      <c r="S172">
        <v>5.5659171496324203E-3</v>
      </c>
      <c r="T172">
        <v>13.4</v>
      </c>
      <c r="V172" t="s">
        <v>232</v>
      </c>
      <c r="W172">
        <v>1</v>
      </c>
      <c r="X172">
        <v>4.060753020083685E-4</v>
      </c>
      <c r="Y172">
        <v>4.060753020083685E-4</v>
      </c>
      <c r="Z172">
        <v>2.6500652351853198</v>
      </c>
      <c r="AA172">
        <v>0.1052850838247073</v>
      </c>
    </row>
    <row r="173" spans="1:30" x14ac:dyDescent="0.35">
      <c r="A173" t="s">
        <v>23</v>
      </c>
      <c r="E173">
        <v>-6.6863053041863775E-5</v>
      </c>
      <c r="F173">
        <f t="shared" si="8"/>
        <v>-1.6336937585928676E-2</v>
      </c>
      <c r="G173">
        <f t="shared" si="9"/>
        <v>-2.7724082934249487E-2</v>
      </c>
      <c r="J173" s="2" t="s">
        <v>185</v>
      </c>
      <c r="K173">
        <f>B3532</f>
        <v>4.2728630965522367E-3</v>
      </c>
      <c r="L173">
        <f>C3532</f>
        <v>2.116800787372104E-3</v>
      </c>
      <c r="M173">
        <f t="shared" si="11"/>
        <v>6.0427406621305618E-3</v>
      </c>
      <c r="N173">
        <f>D3532</f>
        <v>-4.156929736787494E-3</v>
      </c>
      <c r="O173">
        <f>AVERAGEIFS(E3532:E3551,E3532:E3551,"&lt;=" &amp; N173)</f>
        <v>-4.1923056520227313E-3</v>
      </c>
      <c r="P173">
        <v>171.84815694931598</v>
      </c>
      <c r="Q173">
        <v>14.443</v>
      </c>
      <c r="R173">
        <f t="shared" si="10"/>
        <v>254.38124652516922</v>
      </c>
      <c r="S173">
        <v>6.0427406621305618E-3</v>
      </c>
      <c r="T173">
        <v>13.01</v>
      </c>
      <c r="V173" t="s">
        <v>233</v>
      </c>
      <c r="W173">
        <v>181</v>
      </c>
      <c r="X173">
        <v>2.7735026552421774E-2</v>
      </c>
      <c r="Y173">
        <v>1.5323219089735787E-4</v>
      </c>
    </row>
    <row r="174" spans="1:30" ht="15" thickBot="1" x14ac:dyDescent="0.4">
      <c r="A174" t="s">
        <v>23</v>
      </c>
      <c r="E174">
        <v>1.3209050204578823E-2</v>
      </c>
      <c r="F174">
        <f t="shared" si="8"/>
        <v>-1.633708346432055E-2</v>
      </c>
      <c r="G174">
        <f t="shared" si="9"/>
        <v>-2.7724082934249487E-2</v>
      </c>
      <c r="J174" s="2" t="s">
        <v>186</v>
      </c>
      <c r="K174">
        <f>B3552</f>
        <v>6.8350953791088574E-3</v>
      </c>
      <c r="L174">
        <f>C3552</f>
        <v>1.2048571053135898E-3</v>
      </c>
      <c r="M174">
        <f t="shared" si="11"/>
        <v>4.2728630965522367E-3</v>
      </c>
      <c r="N174">
        <f>D3552</f>
        <v>-1.8133340381092652E-2</v>
      </c>
      <c r="O174">
        <f>AVERAGEIFS(E3552:E3572,E3552:E3572,"&lt;=" &amp; N174)</f>
        <v>-1.9206043472814887E-2</v>
      </c>
      <c r="P174">
        <v>190.47289078449487</v>
      </c>
      <c r="Q174">
        <v>16.62208</v>
      </c>
      <c r="R174">
        <f t="shared" si="10"/>
        <v>171.84815694931598</v>
      </c>
      <c r="S174">
        <v>4.2728630965522367E-3</v>
      </c>
      <c r="T174">
        <v>15.65</v>
      </c>
      <c r="V174" s="6" t="s">
        <v>234</v>
      </c>
      <c r="W174" s="6">
        <v>182</v>
      </c>
      <c r="X174" s="6">
        <v>2.8141101854430143E-2</v>
      </c>
      <c r="Y174" s="6"/>
      <c r="Z174" s="6"/>
      <c r="AA174" s="6"/>
    </row>
    <row r="175" spans="1:30" ht="15" thickBot="1" x14ac:dyDescent="0.4">
      <c r="A175" t="s">
        <v>23</v>
      </c>
      <c r="E175">
        <v>1.2491254723993423E-2</v>
      </c>
      <c r="F175">
        <f t="shared" si="8"/>
        <v>-1.6337229342712423E-2</v>
      </c>
      <c r="G175">
        <f t="shared" si="9"/>
        <v>-2.7724082934249487E-2</v>
      </c>
      <c r="J175" s="2" t="s">
        <v>187</v>
      </c>
      <c r="K175">
        <f>B3573</f>
        <v>4.5862226784747877E-3</v>
      </c>
      <c r="L175">
        <f>C3573</f>
        <v>9.0254983523461974E-4</v>
      </c>
      <c r="M175">
        <f t="shared" si="11"/>
        <v>6.8350953791088574E-3</v>
      </c>
      <c r="N175">
        <f>D3573</f>
        <v>-7.8663165191115939E-3</v>
      </c>
      <c r="O175">
        <f>AVERAGEIFS(E3573:E3592,E3573:E3592,"&lt;=" &amp; N175)</f>
        <v>-7.9192939161099873E-3</v>
      </c>
      <c r="P175">
        <v>265.26235908415021</v>
      </c>
      <c r="Q175">
        <v>15.33592</v>
      </c>
      <c r="R175">
        <f t="shared" si="10"/>
        <v>190.47289078449487</v>
      </c>
      <c r="S175">
        <v>6.8350953791088574E-3</v>
      </c>
      <c r="T175">
        <v>12.92</v>
      </c>
    </row>
    <row r="176" spans="1:30" x14ac:dyDescent="0.35">
      <c r="A176" t="s">
        <v>23</v>
      </c>
      <c r="E176">
        <v>-5.0678987365016387E-3</v>
      </c>
      <c r="F176">
        <f t="shared" si="8"/>
        <v>-1.6337375221104296E-2</v>
      </c>
      <c r="G176">
        <f t="shared" si="9"/>
        <v>-2.7724082934249487E-2</v>
      </c>
      <c r="J176" s="2" t="s">
        <v>188</v>
      </c>
      <c r="K176">
        <f>B3593</f>
        <v>4.5993878607007675E-3</v>
      </c>
      <c r="L176">
        <f>C3593</f>
        <v>-4.1610568334343403E-4</v>
      </c>
      <c r="M176">
        <f t="shared" si="11"/>
        <v>4.5862226784747877E-3</v>
      </c>
      <c r="N176">
        <f>D3593</f>
        <v>-8.1528139837310238E-3</v>
      </c>
      <c r="O176">
        <f>AVERAGEIFS(E3593:E3612,E3593:E3612,"&lt;=" &amp; N176)</f>
        <v>-8.2700697089579615E-3</v>
      </c>
      <c r="P176">
        <v>218.630897133204</v>
      </c>
      <c r="Q176">
        <v>19.606960000000001</v>
      </c>
      <c r="R176">
        <f t="shared" si="10"/>
        <v>265.26235908415021</v>
      </c>
      <c r="S176">
        <v>4.5862226784747877E-3</v>
      </c>
      <c r="T176">
        <v>12.44</v>
      </c>
      <c r="V176" s="7"/>
      <c r="W176" s="7" t="s">
        <v>241</v>
      </c>
      <c r="X176" s="7" t="s">
        <v>229</v>
      </c>
      <c r="Y176" s="7" t="s">
        <v>242</v>
      </c>
      <c r="Z176" s="7" t="s">
        <v>243</v>
      </c>
      <c r="AA176" s="7" t="s">
        <v>244</v>
      </c>
      <c r="AB176" s="7" t="s">
        <v>245</v>
      </c>
      <c r="AC176" s="7" t="s">
        <v>246</v>
      </c>
      <c r="AD176" s="7" t="s">
        <v>247</v>
      </c>
    </row>
    <row r="177" spans="1:30" x14ac:dyDescent="0.35">
      <c r="A177" t="s">
        <v>23</v>
      </c>
      <c r="E177">
        <v>5.2474072075531716E-3</v>
      </c>
      <c r="F177">
        <f t="shared" si="8"/>
        <v>-1.6337521099496169E-2</v>
      </c>
      <c r="G177">
        <f t="shared" si="9"/>
        <v>-2.7724082934249487E-2</v>
      </c>
      <c r="J177" s="2" t="s">
        <v>189</v>
      </c>
      <c r="K177">
        <f>B3613</f>
        <v>5.9632348821647314E-3</v>
      </c>
      <c r="L177">
        <f>C3613</f>
        <v>1.3621490029147234E-3</v>
      </c>
      <c r="M177">
        <f t="shared" si="11"/>
        <v>4.5993878607007675E-3</v>
      </c>
      <c r="N177">
        <f>D3613</f>
        <v>-9.0287497010503939E-3</v>
      </c>
      <c r="O177">
        <f>AVERAGEIFS(E3613:E3635,E3613:E3635,"&lt;=" &amp; N177)</f>
        <v>-9.3739165814076316E-3</v>
      </c>
      <c r="P177">
        <v>113.29084200894302</v>
      </c>
      <c r="Q177">
        <v>17.017040000000001</v>
      </c>
      <c r="R177">
        <f t="shared" si="10"/>
        <v>218.630897133204</v>
      </c>
      <c r="S177">
        <v>4.5993878607007675E-3</v>
      </c>
      <c r="T177">
        <v>16.36</v>
      </c>
      <c r="V177" t="s">
        <v>235</v>
      </c>
      <c r="W177">
        <v>-2.3038759180482603E-2</v>
      </c>
      <c r="X177">
        <v>2.1871647660778788E-3</v>
      </c>
      <c r="Y177">
        <v>-10.533618471642049</v>
      </c>
      <c r="Z177">
        <v>1.5393190445686739E-20</v>
      </c>
      <c r="AA177">
        <v>-2.7354378741031561E-2</v>
      </c>
      <c r="AB177">
        <v>-1.8723139619933646E-2</v>
      </c>
      <c r="AC177">
        <v>-2.7354378741031561E-2</v>
      </c>
      <c r="AD177">
        <v>-1.8723139619933646E-2</v>
      </c>
    </row>
    <row r="178" spans="1:30" ht="15" thickBot="1" x14ac:dyDescent="0.4">
      <c r="A178" t="s">
        <v>23</v>
      </c>
      <c r="E178">
        <v>-2.797179657512085E-3</v>
      </c>
      <c r="F178">
        <f t="shared" si="8"/>
        <v>-1.6337666977888042E-2</v>
      </c>
      <c r="G178">
        <f t="shared" si="9"/>
        <v>-2.7724082934249487E-2</v>
      </c>
      <c r="J178" s="2" t="s">
        <v>190</v>
      </c>
      <c r="K178">
        <f>B3636</f>
        <v>1.0819652555918605E-2</v>
      </c>
      <c r="L178">
        <f>C3636</f>
        <v>3.5589793163796165E-5</v>
      </c>
      <c r="M178">
        <f t="shared" si="11"/>
        <v>5.9632348821647314E-3</v>
      </c>
      <c r="N178">
        <f>D3636</f>
        <v>-2.6530317572078584E-2</v>
      </c>
      <c r="O178">
        <f>AVERAGEIFS(E3636:E3655,E3636:E3655,"&lt;=" &amp; N178)</f>
        <v>-2.6764699185710571E-2</v>
      </c>
      <c r="P178">
        <v>181.54405232257903</v>
      </c>
      <c r="Q178">
        <v>16.872800000000002</v>
      </c>
      <c r="R178">
        <f t="shared" si="10"/>
        <v>113.29084200894302</v>
      </c>
      <c r="S178">
        <v>5.9632348821647314E-3</v>
      </c>
      <c r="T178">
        <v>15</v>
      </c>
      <c r="V178" s="6" t="s">
        <v>248</v>
      </c>
      <c r="W178" s="6">
        <v>1.068616074733668E-5</v>
      </c>
      <c r="X178" s="6">
        <v>6.5643755675045574E-6</v>
      </c>
      <c r="Y178" s="6">
        <v>1.6279020963145496</v>
      </c>
      <c r="Z178" s="6">
        <v>0.10528508382470866</v>
      </c>
      <c r="AA178" s="6">
        <v>-2.2663831310624678E-6</v>
      </c>
      <c r="AB178" s="6">
        <v>2.3638704625735827E-5</v>
      </c>
      <c r="AC178" s="6">
        <v>-2.2663831310624678E-6</v>
      </c>
      <c r="AD178" s="6">
        <v>2.3638704625735827E-5</v>
      </c>
    </row>
    <row r="179" spans="1:30" x14ac:dyDescent="0.35">
      <c r="A179" t="s">
        <v>23</v>
      </c>
      <c r="E179">
        <v>1.6392007494183572E-3</v>
      </c>
      <c r="F179">
        <f t="shared" si="8"/>
        <v>-1.6337812856279915E-2</v>
      </c>
      <c r="G179">
        <f t="shared" si="9"/>
        <v>-2.7724082934249487E-2</v>
      </c>
      <c r="J179" s="2" t="s">
        <v>191</v>
      </c>
      <c r="K179">
        <f>B3656</f>
        <v>6.7966203886628135E-3</v>
      </c>
      <c r="L179">
        <f>C3656</f>
        <v>-2.0489758711889969E-4</v>
      </c>
      <c r="M179">
        <f t="shared" si="11"/>
        <v>1.0819652555918605E-2</v>
      </c>
      <c r="N179">
        <f>D3656</f>
        <v>-1.005945307641669E-2</v>
      </c>
      <c r="O179">
        <f>AVERAGEIFS(E3656:E3676,E3656:E3676,"&lt;=" &amp; N179)</f>
        <v>-1.0154592828842063E-2</v>
      </c>
      <c r="P179">
        <v>303.67782586298591</v>
      </c>
      <c r="Q179">
        <v>20.138529999999999</v>
      </c>
      <c r="R179">
        <f t="shared" si="10"/>
        <v>181.54405232257903</v>
      </c>
      <c r="S179">
        <v>1.0819652555918605E-2</v>
      </c>
      <c r="T179">
        <v>16.73</v>
      </c>
    </row>
    <row r="180" spans="1:30" x14ac:dyDescent="0.35">
      <c r="A180" t="s">
        <v>23</v>
      </c>
      <c r="E180">
        <v>-7.8026492252024288E-3</v>
      </c>
      <c r="F180">
        <f t="shared" si="8"/>
        <v>-1.6337958734671788E-2</v>
      </c>
      <c r="G180">
        <f t="shared" si="9"/>
        <v>-2.7724082934249487E-2</v>
      </c>
      <c r="J180" s="2" t="s">
        <v>192</v>
      </c>
      <c r="K180">
        <f>B3677</f>
        <v>7.1809019921477389E-3</v>
      </c>
      <c r="L180">
        <f>C3677</f>
        <v>-1.3396744337004476E-3</v>
      </c>
      <c r="M180">
        <f t="shared" si="11"/>
        <v>6.7966203886628135E-3</v>
      </c>
      <c r="N180">
        <f>D3677</f>
        <v>-1.4779041445549552E-2</v>
      </c>
      <c r="O180">
        <f>AVERAGEIFS(E3677:E3699,E3677:E3699,"&lt;=" &amp; N180)</f>
        <v>-1.4854335393235715E-2</v>
      </c>
      <c r="P180">
        <v>388.31066204412303</v>
      </c>
      <c r="Q180">
        <v>23.603339999999999</v>
      </c>
      <c r="R180">
        <f t="shared" si="10"/>
        <v>303.67782586298591</v>
      </c>
      <c r="S180">
        <v>6.7966203886628135E-3</v>
      </c>
      <c r="T180">
        <v>23.16</v>
      </c>
    </row>
    <row r="181" spans="1:30" x14ac:dyDescent="0.35">
      <c r="A181" t="s">
        <v>23</v>
      </c>
      <c r="E181">
        <v>-3.6558418175400725E-3</v>
      </c>
      <c r="F181">
        <f t="shared" si="8"/>
        <v>-1.6339257396673069E-2</v>
      </c>
      <c r="G181">
        <f t="shared" si="9"/>
        <v>-2.7786989697783069E-2</v>
      </c>
      <c r="J181" s="2" t="s">
        <v>193</v>
      </c>
      <c r="K181">
        <f>B3700</f>
        <v>7.5634442206512992E-3</v>
      </c>
      <c r="L181">
        <f>C3700</f>
        <v>1.8296272183199748E-3</v>
      </c>
      <c r="M181">
        <f t="shared" si="11"/>
        <v>7.1809019921477389E-3</v>
      </c>
      <c r="N181">
        <f>D3700</f>
        <v>-1.7405009217700992E-2</v>
      </c>
      <c r="O181">
        <f>AVERAGEIFS(E3700:E3720,E3700:E3720,"&lt;=" &amp; N181)</f>
        <v>-1.8595331209465559E-2</v>
      </c>
      <c r="P181">
        <v>396.50594845423484</v>
      </c>
      <c r="Q181">
        <v>17.92407</v>
      </c>
      <c r="R181">
        <f t="shared" si="10"/>
        <v>388.31066204412303</v>
      </c>
      <c r="S181">
        <v>7.1809019921477389E-3</v>
      </c>
      <c r="T181">
        <v>13.51</v>
      </c>
    </row>
    <row r="182" spans="1:30" x14ac:dyDescent="0.35">
      <c r="A182" t="s">
        <v>23</v>
      </c>
      <c r="E182">
        <v>1.0712730179070925E-2</v>
      </c>
      <c r="F182">
        <f t="shared" si="8"/>
        <v>-1.6340556058674353E-2</v>
      </c>
      <c r="G182">
        <f t="shared" si="9"/>
        <v>-2.7786989697783069E-2</v>
      </c>
      <c r="J182" s="2" t="s">
        <v>194</v>
      </c>
      <c r="K182">
        <f>B3721</f>
        <v>5.7077817285100026E-3</v>
      </c>
      <c r="L182">
        <f>C3721</f>
        <v>-9.9086861883385374E-4</v>
      </c>
      <c r="M182">
        <f t="shared" si="11"/>
        <v>7.5634442206512992E-3</v>
      </c>
      <c r="N182">
        <f>D3721</f>
        <v>-8.6884602460397427E-3</v>
      </c>
      <c r="O182">
        <f>AVERAGEIFS(E3721:E3738,E3721:E3738,"&lt;=" &amp; N182)</f>
        <v>-1.6126070754262346E-2</v>
      </c>
      <c r="P182">
        <v>409.25162120964018</v>
      </c>
      <c r="Q182">
        <v>17.672920000000001</v>
      </c>
      <c r="R182">
        <f t="shared" si="10"/>
        <v>396.50594845423484</v>
      </c>
      <c r="S182">
        <v>7.5634442206512992E-3</v>
      </c>
      <c r="T182">
        <v>17.350000000000001</v>
      </c>
    </row>
    <row r="183" spans="1:30" x14ac:dyDescent="0.35">
      <c r="A183" t="s">
        <v>23</v>
      </c>
      <c r="E183">
        <v>-9.9535474464862699E-3</v>
      </c>
      <c r="F183">
        <f t="shared" si="8"/>
        <v>-1.6341854720675633E-2</v>
      </c>
      <c r="G183">
        <f t="shared" si="9"/>
        <v>-2.7786989697783069E-2</v>
      </c>
      <c r="J183" s="2" t="s">
        <v>195</v>
      </c>
      <c r="K183">
        <f>B3739</f>
        <v>7.129910263965809E-3</v>
      </c>
      <c r="L183">
        <f>C3739</f>
        <v>2.5496481610294288E-3</v>
      </c>
      <c r="M183">
        <f t="shared" si="11"/>
        <v>5.7077817285100026E-3</v>
      </c>
      <c r="N183">
        <f>D3739</f>
        <v>-9.7687297349150111E-3</v>
      </c>
      <c r="O183">
        <f>AVERAGEIFS(E3739:E3760,E3739:E3760,"&lt;=" &amp; N183)</f>
        <v>-9.97498576976894E-3</v>
      </c>
      <c r="P183">
        <v>458.20202293935466</v>
      </c>
      <c r="Q183">
        <v>16.003240000000002</v>
      </c>
      <c r="R183">
        <f t="shared" si="10"/>
        <v>409.25162120964018</v>
      </c>
      <c r="S183">
        <v>5.7077817285100026E-3</v>
      </c>
      <c r="T183">
        <v>16.43</v>
      </c>
      <c r="V183" t="s">
        <v>225</v>
      </c>
    </row>
    <row r="184" spans="1:30" ht="15" thickBot="1" x14ac:dyDescent="0.4">
      <c r="A184" t="s">
        <v>23</v>
      </c>
      <c r="E184">
        <v>-1.6174316450981208E-2</v>
      </c>
      <c r="F184">
        <f t="shared" si="8"/>
        <v>-1.6343153382676914E-2</v>
      </c>
      <c r="G184">
        <f t="shared" si="9"/>
        <v>-2.7786989697783069E-2</v>
      </c>
      <c r="J184" s="2" t="s">
        <v>196</v>
      </c>
      <c r="K184">
        <f>B3761</f>
        <v>4.9276149875332187E-3</v>
      </c>
      <c r="L184">
        <f>C3761</f>
        <v>1.4301609153287288E-3</v>
      </c>
      <c r="M184">
        <f t="shared" si="11"/>
        <v>7.129910263965809E-3</v>
      </c>
      <c r="N184">
        <f>D3761</f>
        <v>-6.8207445376446286E-3</v>
      </c>
      <c r="O184">
        <f>AVERAGEIFS(E3761:E3780,E3761:E3780,"&lt;=" &amp; N184)</f>
        <v>-6.9221224483339344E-3</v>
      </c>
      <c r="P184">
        <v>331.83865168048993</v>
      </c>
      <c r="Q184">
        <v>19.36608</v>
      </c>
      <c r="R184">
        <f t="shared" si="10"/>
        <v>458.20202293935466</v>
      </c>
      <c r="S184">
        <v>7.129910263965809E-3</v>
      </c>
      <c r="T184">
        <v>19.63</v>
      </c>
    </row>
    <row r="185" spans="1:30" x14ac:dyDescent="0.35">
      <c r="A185" t="s">
        <v>23</v>
      </c>
      <c r="E185">
        <v>4.406888244560864E-3</v>
      </c>
      <c r="F185">
        <f t="shared" si="8"/>
        <v>-1.6344452044678194E-2</v>
      </c>
      <c r="G185">
        <f t="shared" si="9"/>
        <v>-2.7786989697783069E-2</v>
      </c>
      <c r="J185" s="2" t="s">
        <v>197</v>
      </c>
      <c r="K185">
        <f>B3781</f>
        <v>7.9629376823725853E-3</v>
      </c>
      <c r="L185">
        <f>C3781</f>
        <v>-1.9223302270013653E-3</v>
      </c>
      <c r="M185">
        <f t="shared" si="11"/>
        <v>4.9276149875332187E-3</v>
      </c>
      <c r="N185">
        <f>D3781</f>
        <v>-1.609682345717069E-2</v>
      </c>
      <c r="O185">
        <f>AVERAGEIFS(E3781:E3801,E3781:E3801,"&lt;=" &amp; N185)</f>
        <v>-1.6175277860324348E-2</v>
      </c>
      <c r="P185">
        <v>646.20319350308068</v>
      </c>
      <c r="Q185">
        <v>23.943390000000001</v>
      </c>
      <c r="R185">
        <f t="shared" si="10"/>
        <v>331.83865168048993</v>
      </c>
      <c r="S185">
        <v>4.9276149875332187E-3</v>
      </c>
      <c r="T185">
        <v>22.28</v>
      </c>
      <c r="V185" s="8" t="s">
        <v>226</v>
      </c>
      <c r="W185" s="8"/>
    </row>
    <row r="186" spans="1:30" x14ac:dyDescent="0.35">
      <c r="A186" t="s">
        <v>23</v>
      </c>
      <c r="E186">
        <v>7.4144907718168059E-3</v>
      </c>
      <c r="F186">
        <f t="shared" si="8"/>
        <v>-1.6345750706679478E-2</v>
      </c>
      <c r="G186">
        <f t="shared" si="9"/>
        <v>-2.7786989697783069E-2</v>
      </c>
      <c r="J186" s="2" t="s">
        <v>198</v>
      </c>
      <c r="K186">
        <f>B3802</f>
        <v>2.720030588294135E-2</v>
      </c>
      <c r="L186">
        <f>C3802</f>
        <v>-2.2663375068830275E-3</v>
      </c>
      <c r="M186">
        <f t="shared" si="11"/>
        <v>7.9629376823725853E-3</v>
      </c>
      <c r="N186">
        <f>D3802</f>
        <v>-5.5448664705390817E-2</v>
      </c>
      <c r="O186">
        <f>AVERAGEIFS(E3802:E3818,E3802:E3818,"&lt;=" &amp; N186)</f>
        <v>-6.0774609119216297E-2</v>
      </c>
      <c r="P186">
        <v>682.29106450076131</v>
      </c>
      <c r="R186">
        <f t="shared" si="10"/>
        <v>646.20319350308068</v>
      </c>
      <c r="S186">
        <v>7.9629376823725853E-3</v>
      </c>
      <c r="T186">
        <v>22.28</v>
      </c>
      <c r="V186" t="s">
        <v>227</v>
      </c>
      <c r="W186">
        <v>0.60702828996403724</v>
      </c>
    </row>
    <row r="187" spans="1:30" x14ac:dyDescent="0.35">
      <c r="A187" t="s">
        <v>23</v>
      </c>
      <c r="E187">
        <v>-3.8576233805607918E-3</v>
      </c>
      <c r="F187">
        <f t="shared" si="8"/>
        <v>-1.6347049368680758E-2</v>
      </c>
      <c r="G187">
        <f t="shared" si="9"/>
        <v>-2.7786989697783069E-2</v>
      </c>
      <c r="V187" t="s">
        <v>228</v>
      </c>
      <c r="W187">
        <v>0.36848334481666323</v>
      </c>
      <c r="Y187" t="s">
        <v>388</v>
      </c>
    </row>
    <row r="188" spans="1:30" x14ac:dyDescent="0.35">
      <c r="A188" t="s">
        <v>23</v>
      </c>
      <c r="E188">
        <v>-8.9991713687320885E-3</v>
      </c>
      <c r="F188">
        <f t="shared" si="8"/>
        <v>-1.6348348030682039E-2</v>
      </c>
      <c r="G188">
        <f t="shared" si="9"/>
        <v>-2.7786989697783069E-2</v>
      </c>
      <c r="V188" t="s">
        <v>228</v>
      </c>
      <c r="W188">
        <v>0.35789926679683076</v>
      </c>
    </row>
    <row r="189" spans="1:30" x14ac:dyDescent="0.35">
      <c r="A189" t="s">
        <v>23</v>
      </c>
      <c r="E189">
        <v>-5.6678574105180459E-3</v>
      </c>
      <c r="F189">
        <f t="shared" si="8"/>
        <v>-1.6349646692683323E-2</v>
      </c>
      <c r="G189">
        <f t="shared" si="9"/>
        <v>-2.7786989697783069E-2</v>
      </c>
      <c r="V189" t="s">
        <v>229</v>
      </c>
      <c r="W189">
        <v>9.9640623842443665E-3</v>
      </c>
    </row>
    <row r="190" spans="1:30" ht="15" thickBot="1" x14ac:dyDescent="0.4">
      <c r="A190" t="s">
        <v>23</v>
      </c>
      <c r="E190">
        <v>-7.231663543072986E-3</v>
      </c>
      <c r="F190">
        <f t="shared" si="8"/>
        <v>-1.6350945354684603E-2</v>
      </c>
      <c r="G190">
        <f t="shared" si="9"/>
        <v>-2.7786989697783069E-2</v>
      </c>
      <c r="V190" s="6" t="s">
        <v>230</v>
      </c>
      <c r="W190" s="6">
        <v>183</v>
      </c>
    </row>
    <row r="191" spans="1:30" x14ac:dyDescent="0.35">
      <c r="A191" t="s">
        <v>24</v>
      </c>
      <c r="B191" s="3" cm="1">
        <f t="array" ref="B191">_xlfn.STDEV.S(_xlfn._xlws.FILTER($E$2:$E$1000, $A$2:$A$1000="2010-10"))</f>
        <v>5.634370763907744E-3</v>
      </c>
      <c r="C191" s="3" cm="1">
        <f t="array" ref="C191">AVERAGE(_xlfn._xlws.FILTER($E$2:$E$1000, $A$2:$A$1000="2010-10"))</f>
        <v>9.1703078577019023E-4</v>
      </c>
      <c r="D191" s="3" cm="1">
        <f t="array" ref="D191">_xlfn.PERCENTILE.EXC(_xlfn._xlws.FILTER($E$126:$E$252, $A$126:$A$252="2010-10"), 0.05)</f>
        <v>-9.1749083811467711E-3</v>
      </c>
      <c r="E191">
        <v>4.9267600622872453E-3</v>
      </c>
      <c r="F191">
        <f t="shared" si="8"/>
        <v>-1.6352244016685884E-2</v>
      </c>
      <c r="G191">
        <f t="shared" si="9"/>
        <v>-2.7786989697783069E-2</v>
      </c>
    </row>
    <row r="192" spans="1:30" ht="15" thickBot="1" x14ac:dyDescent="0.4">
      <c r="A192" t="s">
        <v>24</v>
      </c>
      <c r="E192">
        <v>-1.6434130775134759E-3</v>
      </c>
      <c r="F192">
        <f t="shared" si="8"/>
        <v>-1.6353542678687168E-2</v>
      </c>
      <c r="G192">
        <f t="shared" si="9"/>
        <v>-2.7786989697783069E-2</v>
      </c>
      <c r="V192" t="s">
        <v>231</v>
      </c>
    </row>
    <row r="193" spans="1:30" x14ac:dyDescent="0.35">
      <c r="A193" t="s">
        <v>24</v>
      </c>
      <c r="E193">
        <v>7.9474246846701173E-3</v>
      </c>
      <c r="F193">
        <f t="shared" si="8"/>
        <v>-1.6354841340688448E-2</v>
      </c>
      <c r="G193">
        <f t="shared" si="9"/>
        <v>-2.7786989697783069E-2</v>
      </c>
      <c r="V193" s="7"/>
      <c r="W193" s="7" t="s">
        <v>236</v>
      </c>
      <c r="X193" s="7" t="s">
        <v>237</v>
      </c>
      <c r="Y193" s="7" t="s">
        <v>238</v>
      </c>
      <c r="Z193" s="7" t="s">
        <v>239</v>
      </c>
      <c r="AA193" s="7" t="s">
        <v>240</v>
      </c>
    </row>
    <row r="194" spans="1:30" x14ac:dyDescent="0.35">
      <c r="A194" t="s">
        <v>24</v>
      </c>
      <c r="E194">
        <v>1.7746941270235907E-3</v>
      </c>
      <c r="F194">
        <f t="shared" si="8"/>
        <v>-1.6356140002689729E-2</v>
      </c>
      <c r="G194">
        <f t="shared" si="9"/>
        <v>-2.7786989697783069E-2</v>
      </c>
      <c r="V194" t="s">
        <v>232</v>
      </c>
      <c r="W194">
        <v>3</v>
      </c>
      <c r="X194">
        <v>1.0369527338146823E-2</v>
      </c>
      <c r="Y194">
        <v>3.4565091127156077E-3</v>
      </c>
      <c r="Z194">
        <v>34.814874203137826</v>
      </c>
      <c r="AA194">
        <v>8.9512671894011725E-18</v>
      </c>
    </row>
    <row r="195" spans="1:30" x14ac:dyDescent="0.35">
      <c r="A195" t="s">
        <v>24</v>
      </c>
      <c r="E195">
        <v>-2.7304331758613138E-3</v>
      </c>
      <c r="F195">
        <f t="shared" si="8"/>
        <v>-1.6357438664691012E-2</v>
      </c>
      <c r="G195">
        <f t="shared" si="9"/>
        <v>-2.7786989697783069E-2</v>
      </c>
      <c r="V195" t="s">
        <v>233</v>
      </c>
      <c r="W195">
        <v>179</v>
      </c>
      <c r="X195">
        <v>1.777157451628332E-2</v>
      </c>
      <c r="Y195">
        <v>9.9282539197113515E-5</v>
      </c>
    </row>
    <row r="196" spans="1:30" ht="15" thickBot="1" x14ac:dyDescent="0.4">
      <c r="A196" t="s">
        <v>24</v>
      </c>
      <c r="E196">
        <v>1.8464741659696025E-3</v>
      </c>
      <c r="F196">
        <f t="shared" ref="F196:F259" si="12">_xlfn.PERCENTILE.EXC(E196:E4011,0.05)</f>
        <v>-1.6358737326692293E-2</v>
      </c>
      <c r="G196">
        <f t="shared" ref="G196:G259" si="13">AVERAGEIFS(E196:E4012,E196:E4012,"&lt;=" &amp; F196)</f>
        <v>-2.7786989697783069E-2</v>
      </c>
      <c r="V196" s="6" t="s">
        <v>234</v>
      </c>
      <c r="W196" s="6">
        <v>182</v>
      </c>
      <c r="X196" s="6">
        <v>2.8141101854430143E-2</v>
      </c>
      <c r="Y196" s="6"/>
      <c r="Z196" s="6"/>
      <c r="AA196" s="6"/>
    </row>
    <row r="197" spans="1:30" ht="15" thickBot="1" x14ac:dyDescent="0.4">
      <c r="A197" t="s">
        <v>24</v>
      </c>
      <c r="E197">
        <v>1.2064479653259414E-3</v>
      </c>
      <c r="F197">
        <f t="shared" si="12"/>
        <v>-1.6360035988693573E-2</v>
      </c>
      <c r="G197">
        <f t="shared" si="13"/>
        <v>-2.7786989697783069E-2</v>
      </c>
    </row>
    <row r="198" spans="1:30" x14ac:dyDescent="0.35">
      <c r="A198" t="s">
        <v>24</v>
      </c>
      <c r="E198">
        <v>-7.1474536414245426E-3</v>
      </c>
      <c r="F198">
        <f t="shared" si="12"/>
        <v>-1.6361334650694854E-2</v>
      </c>
      <c r="G198">
        <f t="shared" si="13"/>
        <v>-2.7786989697783069E-2</v>
      </c>
      <c r="V198" s="7"/>
      <c r="W198" s="7" t="s">
        <v>241</v>
      </c>
      <c r="X198" s="7" t="s">
        <v>229</v>
      </c>
      <c r="Y198" s="7" t="s">
        <v>242</v>
      </c>
      <c r="Z198" s="7" t="s">
        <v>243</v>
      </c>
      <c r="AA198" s="7" t="s">
        <v>244</v>
      </c>
      <c r="AB198" s="7" t="s">
        <v>245</v>
      </c>
      <c r="AC198" s="7" t="s">
        <v>246</v>
      </c>
      <c r="AD198" s="7" t="s">
        <v>247</v>
      </c>
    </row>
    <row r="199" spans="1:30" x14ac:dyDescent="0.35">
      <c r="A199" t="s">
        <v>24</v>
      </c>
      <c r="E199">
        <v>1.4506580731078144E-2</v>
      </c>
      <c r="F199">
        <f t="shared" si="12"/>
        <v>-1.6362633312696138E-2</v>
      </c>
      <c r="G199">
        <f t="shared" si="13"/>
        <v>-2.7786989697783069E-2</v>
      </c>
      <c r="V199" t="s">
        <v>235</v>
      </c>
      <c r="W199">
        <v>1.6613928821010253E-3</v>
      </c>
      <c r="X199">
        <v>3.0379250691528097E-3</v>
      </c>
      <c r="Y199">
        <v>0.54688408840983693</v>
      </c>
      <c r="Z199">
        <v>0.58513948215738787</v>
      </c>
      <c r="AA199">
        <v>-4.3333611644614392E-3</v>
      </c>
      <c r="AB199">
        <v>7.6561469286634898E-3</v>
      </c>
      <c r="AC199">
        <v>-4.3333611644614392E-3</v>
      </c>
      <c r="AD199">
        <v>7.6561469286634898E-3</v>
      </c>
    </row>
    <row r="200" spans="1:30" x14ac:dyDescent="0.35">
      <c r="A200" t="s">
        <v>24</v>
      </c>
      <c r="E200">
        <v>-4.2924868452158399E-3</v>
      </c>
      <c r="F200">
        <f t="shared" si="12"/>
        <v>-1.6363931974697418E-2</v>
      </c>
      <c r="G200">
        <f t="shared" si="13"/>
        <v>-2.7786989697783069E-2</v>
      </c>
      <c r="V200" t="s">
        <v>248</v>
      </c>
      <c r="W200">
        <v>1.0425216195060581E-6</v>
      </c>
      <c r="X200">
        <v>5.4104647192055484E-6</v>
      </c>
      <c r="Y200">
        <v>0.19268615056400143</v>
      </c>
      <c r="Z200">
        <v>0.8474232113868676</v>
      </c>
      <c r="AA200">
        <v>-9.6339778105098166E-6</v>
      </c>
      <c r="AB200">
        <v>1.1719021049521934E-5</v>
      </c>
      <c r="AC200">
        <v>-9.6339778105098166E-6</v>
      </c>
      <c r="AD200">
        <v>1.1719021049521934E-5</v>
      </c>
    </row>
    <row r="201" spans="1:30" x14ac:dyDescent="0.35">
      <c r="A201" t="s">
        <v>24</v>
      </c>
      <c r="E201">
        <v>1.1339588860633776E-3</v>
      </c>
      <c r="F201">
        <f t="shared" si="12"/>
        <v>-1.6373114018851401E-2</v>
      </c>
      <c r="G201">
        <f t="shared" si="13"/>
        <v>-2.7850451129577989E-2</v>
      </c>
      <c r="V201" t="s">
        <v>251</v>
      </c>
      <c r="W201">
        <v>-0.26259096606431154</v>
      </c>
      <c r="X201">
        <v>0.18659264005308746</v>
      </c>
      <c r="Y201">
        <v>-1.4072954109529818</v>
      </c>
      <c r="Z201">
        <v>0.16107386346819094</v>
      </c>
      <c r="AA201">
        <v>-0.63079523659589465</v>
      </c>
      <c r="AB201">
        <v>0.10561330446727157</v>
      </c>
      <c r="AC201">
        <v>-0.63079523659589465</v>
      </c>
      <c r="AD201">
        <v>0.10561330446727157</v>
      </c>
    </row>
    <row r="202" spans="1:30" ht="15" thickBot="1" x14ac:dyDescent="0.4">
      <c r="A202" t="s">
        <v>24</v>
      </c>
      <c r="E202">
        <v>2.7871136822318278E-3</v>
      </c>
      <c r="F202">
        <f t="shared" si="12"/>
        <v>-1.6382296063005387E-2</v>
      </c>
      <c r="G202">
        <f t="shared" si="13"/>
        <v>-2.7850451129577989E-2</v>
      </c>
      <c r="V202" s="6" t="s">
        <v>252</v>
      </c>
      <c r="W202" s="6">
        <v>-1.0372120298826767E-3</v>
      </c>
      <c r="X202" s="6">
        <v>1.2518332591975639E-4</v>
      </c>
      <c r="Y202" s="6">
        <v>-8.2855445983879559</v>
      </c>
      <c r="Z202" s="6">
        <v>2.6867900681202368E-14</v>
      </c>
      <c r="AA202" s="6">
        <v>-1.2842369671464799E-3</v>
      </c>
      <c r="AB202" s="6">
        <v>-7.9018709261887354E-4</v>
      </c>
      <c r="AC202" s="6">
        <v>-1.2842369671464799E-3</v>
      </c>
      <c r="AD202" s="6">
        <v>-7.9018709261887354E-4</v>
      </c>
    </row>
    <row r="203" spans="1:30" x14ac:dyDescent="0.35">
      <c r="A203" t="s">
        <v>24</v>
      </c>
      <c r="E203">
        <v>-6.460705697246545E-3</v>
      </c>
      <c r="F203">
        <f t="shared" si="12"/>
        <v>-1.6391478107159369E-2</v>
      </c>
      <c r="G203">
        <f t="shared" si="13"/>
        <v>-2.7850451129577989E-2</v>
      </c>
    </row>
    <row r="204" spans="1:30" x14ac:dyDescent="0.35">
      <c r="A204" t="s">
        <v>24</v>
      </c>
      <c r="E204">
        <v>1.8798871517136694E-3</v>
      </c>
      <c r="F204">
        <f t="shared" si="12"/>
        <v>-1.6400660151313355E-2</v>
      </c>
      <c r="G204">
        <f t="shared" si="13"/>
        <v>-2.7850451129577989E-2</v>
      </c>
    </row>
    <row r="205" spans="1:30" x14ac:dyDescent="0.35">
      <c r="A205" t="s">
        <v>24</v>
      </c>
      <c r="E205">
        <v>-2.5611036216418009E-3</v>
      </c>
      <c r="F205">
        <f t="shared" si="12"/>
        <v>-1.6409842195467345E-2</v>
      </c>
      <c r="G205">
        <f t="shared" si="13"/>
        <v>-2.7850451129577989E-2</v>
      </c>
      <c r="V205" t="s">
        <v>225</v>
      </c>
    </row>
    <row r="206" spans="1:30" ht="15" thickBot="1" x14ac:dyDescent="0.4">
      <c r="A206" t="s">
        <v>24</v>
      </c>
      <c r="E206">
        <v>-3.7657063186532346E-3</v>
      </c>
      <c r="F206">
        <f t="shared" si="12"/>
        <v>-1.6419024239621327E-2</v>
      </c>
      <c r="G206">
        <f t="shared" si="13"/>
        <v>-2.7850451129577989E-2</v>
      </c>
    </row>
    <row r="207" spans="1:30" x14ac:dyDescent="0.35">
      <c r="A207" t="s">
        <v>24</v>
      </c>
      <c r="E207">
        <v>1.9855818743142579E-3</v>
      </c>
      <c r="F207">
        <f t="shared" si="12"/>
        <v>-1.6428206283775313E-2</v>
      </c>
      <c r="G207">
        <f t="shared" si="13"/>
        <v>-2.7850451129577989E-2</v>
      </c>
      <c r="V207" s="8" t="s">
        <v>226</v>
      </c>
      <c r="W207" s="8"/>
    </row>
    <row r="208" spans="1:30" x14ac:dyDescent="0.35">
      <c r="A208" t="s">
        <v>24</v>
      </c>
      <c r="E208">
        <v>6.0886208471171658E-3</v>
      </c>
      <c r="F208">
        <f t="shared" si="12"/>
        <v>-1.6437388327929296E-2</v>
      </c>
      <c r="G208">
        <f t="shared" si="13"/>
        <v>-2.7850451129577989E-2</v>
      </c>
      <c r="V208" t="s">
        <v>227</v>
      </c>
      <c r="W208">
        <v>0.59058665540123001</v>
      </c>
      <c r="Y208" t="s">
        <v>389</v>
      </c>
    </row>
    <row r="209" spans="1:30" x14ac:dyDescent="0.35">
      <c r="A209" t="s">
        <v>24</v>
      </c>
      <c r="E209">
        <v>-9.4001811300047974E-3</v>
      </c>
      <c r="F209">
        <f t="shared" si="12"/>
        <v>-1.6446570372083281E-2</v>
      </c>
      <c r="G209">
        <f t="shared" si="13"/>
        <v>-2.7850451129577989E-2</v>
      </c>
      <c r="V209" t="s">
        <v>228</v>
      </c>
      <c r="W209">
        <v>0.34879259753801123</v>
      </c>
    </row>
    <row r="210" spans="1:30" x14ac:dyDescent="0.35">
      <c r="A210" t="s">
        <v>24</v>
      </c>
      <c r="E210">
        <v>5.3303690898592691E-3</v>
      </c>
      <c r="F210">
        <f t="shared" si="12"/>
        <v>-1.6455752416237271E-2</v>
      </c>
      <c r="G210">
        <f t="shared" si="13"/>
        <v>-2.7850451129577989E-2</v>
      </c>
      <c r="V210" t="s">
        <v>228</v>
      </c>
      <c r="W210">
        <v>0.33781719187853948</v>
      </c>
    </row>
    <row r="211" spans="1:30" x14ac:dyDescent="0.35">
      <c r="A211" t="s">
        <v>24</v>
      </c>
      <c r="E211">
        <v>5.8452167410813372E-3</v>
      </c>
      <c r="F211">
        <f t="shared" si="12"/>
        <v>-1.646493446039125E-2</v>
      </c>
      <c r="G211">
        <f t="shared" si="13"/>
        <v>-2.7850451129577989E-2</v>
      </c>
      <c r="V211" t="s">
        <v>229</v>
      </c>
      <c r="W211">
        <v>9.8376207379871992E-3</v>
      </c>
    </row>
    <row r="212" spans="1:30" ht="15" thickBot="1" x14ac:dyDescent="0.4">
      <c r="A212" t="s">
        <v>25</v>
      </c>
      <c r="B212" s="3" cm="1">
        <f t="array" ref="B212">_xlfn.STDEV.S(_xlfn._xlws.FILTER($E$2:$E$1000, $A$2:$A$1000="2010-11"))</f>
        <v>1.0501835307997566E-2</v>
      </c>
      <c r="C212" s="3" cm="1">
        <f t="array" ref="C212">AVERAGE(_xlfn._xlws.FILTER($E$2:$E$1000, $A$2:$A$1000="2010-11"))</f>
        <v>5.1528659329517763E-4</v>
      </c>
      <c r="D212" s="3" cm="1">
        <f t="array" ref="D212">_xlfn.PERCENTILE.EXC(_xlfn._xlws.FILTER($E$126:$E$252, $A$126:$A$252="2010-11"), 0.05)</f>
        <v>-2.5012047397738688E-2</v>
      </c>
      <c r="E212">
        <v>5.936533599187865E-3</v>
      </c>
      <c r="F212">
        <f t="shared" si="12"/>
        <v>-1.6474116504545239E-2</v>
      </c>
      <c r="G212">
        <f t="shared" si="13"/>
        <v>-2.7850451129577989E-2</v>
      </c>
      <c r="V212" s="6" t="s">
        <v>230</v>
      </c>
      <c r="W212" s="6">
        <v>182</v>
      </c>
    </row>
    <row r="213" spans="1:30" x14ac:dyDescent="0.35">
      <c r="A213" t="s">
        <v>25</v>
      </c>
      <c r="E213">
        <v>3.6904875509768628E-4</v>
      </c>
      <c r="F213">
        <f t="shared" si="12"/>
        <v>-1.6483298548699222E-2</v>
      </c>
      <c r="G213">
        <f t="shared" si="13"/>
        <v>-2.7850451129577989E-2</v>
      </c>
    </row>
    <row r="214" spans="1:30" ht="15" thickBot="1" x14ac:dyDescent="0.4">
      <c r="A214" t="s">
        <v>25</v>
      </c>
      <c r="E214">
        <v>1.5996103043542124E-3</v>
      </c>
      <c r="F214">
        <f t="shared" si="12"/>
        <v>-1.6492480592853208E-2</v>
      </c>
      <c r="G214">
        <f t="shared" si="13"/>
        <v>-2.7850451129577989E-2</v>
      </c>
      <c r="V214" t="s">
        <v>231</v>
      </c>
    </row>
    <row r="215" spans="1:30" x14ac:dyDescent="0.35">
      <c r="A215" t="s">
        <v>25</v>
      </c>
      <c r="E215">
        <v>1.9855408318514789E-2</v>
      </c>
      <c r="F215">
        <f t="shared" si="12"/>
        <v>-1.6501662637007194E-2</v>
      </c>
      <c r="G215">
        <f t="shared" si="13"/>
        <v>-2.7850451129577989E-2</v>
      </c>
      <c r="V215" s="7"/>
      <c r="W215" s="7" t="s">
        <v>236</v>
      </c>
      <c r="X215" s="7" t="s">
        <v>237</v>
      </c>
      <c r="Y215" s="7" t="s">
        <v>238</v>
      </c>
      <c r="Z215" s="7" t="s">
        <v>239</v>
      </c>
      <c r="AA215" s="7" t="s">
        <v>240</v>
      </c>
    </row>
    <row r="216" spans="1:30" x14ac:dyDescent="0.35">
      <c r="A216" t="s">
        <v>25</v>
      </c>
      <c r="E216">
        <v>7.9494151259193787E-3</v>
      </c>
      <c r="F216">
        <f t="shared" si="12"/>
        <v>-1.6510844681161176E-2</v>
      </c>
      <c r="G216">
        <f t="shared" si="13"/>
        <v>-2.7850451129577989E-2</v>
      </c>
      <c r="V216" t="s">
        <v>232</v>
      </c>
      <c r="W216">
        <v>3</v>
      </c>
      <c r="X216">
        <v>9.2267357761051869E-3</v>
      </c>
      <c r="Y216">
        <v>3.0755785920350623E-3</v>
      </c>
      <c r="Z216">
        <v>31.779472063249433</v>
      </c>
      <c r="AA216">
        <v>1.6815666136725105E-16</v>
      </c>
    </row>
    <row r="217" spans="1:30" x14ac:dyDescent="0.35">
      <c r="A217" t="s">
        <v>25</v>
      </c>
      <c r="E217">
        <v>4.909472629053953E-4</v>
      </c>
      <c r="F217">
        <f t="shared" si="12"/>
        <v>-1.6520026725315162E-2</v>
      </c>
      <c r="G217">
        <f t="shared" si="13"/>
        <v>-2.7850451129577989E-2</v>
      </c>
      <c r="V217" t="s">
        <v>233</v>
      </c>
      <c r="W217">
        <v>178</v>
      </c>
      <c r="X217">
        <v>1.7226623157636695E-2</v>
      </c>
      <c r="Y217">
        <v>9.6778781784475821E-5</v>
      </c>
    </row>
    <row r="218" spans="1:30" ht="15" thickBot="1" x14ac:dyDescent="0.4">
      <c r="A218" t="s">
        <v>25</v>
      </c>
      <c r="E218">
        <v>4.6276483599428497E-3</v>
      </c>
      <c r="F218">
        <f t="shared" si="12"/>
        <v>-1.6529208769469145E-2</v>
      </c>
      <c r="G218">
        <f t="shared" si="13"/>
        <v>-2.7850451129577989E-2</v>
      </c>
      <c r="V218" s="6" t="s">
        <v>234</v>
      </c>
      <c r="W218" s="6">
        <v>181</v>
      </c>
      <c r="X218" s="6">
        <v>2.6453358933741882E-2</v>
      </c>
      <c r="Y218" s="6"/>
      <c r="Z218" s="6"/>
      <c r="AA218" s="6"/>
    </row>
    <row r="219" spans="1:30" ht="15" thickBot="1" x14ac:dyDescent="0.4">
      <c r="A219" t="s">
        <v>25</v>
      </c>
      <c r="E219">
        <v>9.5702529251231701E-4</v>
      </c>
      <c r="F219">
        <f t="shared" si="12"/>
        <v>-1.6538390813623134E-2</v>
      </c>
      <c r="G219">
        <f t="shared" si="13"/>
        <v>-2.7850451129577989E-2</v>
      </c>
    </row>
    <row r="220" spans="1:30" x14ac:dyDescent="0.35">
      <c r="A220" t="s">
        <v>25</v>
      </c>
      <c r="E220">
        <v>7.4766338220327308E-3</v>
      </c>
      <c r="F220">
        <f t="shared" si="12"/>
        <v>-1.654757285777712E-2</v>
      </c>
      <c r="G220">
        <f t="shared" si="13"/>
        <v>-2.7850451129577989E-2</v>
      </c>
      <c r="V220" s="7"/>
      <c r="W220" s="7" t="s">
        <v>241</v>
      </c>
      <c r="X220" s="7" t="s">
        <v>229</v>
      </c>
      <c r="Y220" s="7" t="s">
        <v>242</v>
      </c>
      <c r="Z220" s="7" t="s">
        <v>243</v>
      </c>
      <c r="AA220" s="7" t="s">
        <v>244</v>
      </c>
      <c r="AB220" s="7" t="s">
        <v>245</v>
      </c>
      <c r="AC220" s="7" t="s">
        <v>246</v>
      </c>
      <c r="AD220" s="7" t="s">
        <v>247</v>
      </c>
    </row>
    <row r="221" spans="1:30" x14ac:dyDescent="0.35">
      <c r="A221" t="s">
        <v>25</v>
      </c>
      <c r="E221">
        <v>-3.09275225375804E-3</v>
      </c>
      <c r="F221">
        <f t="shared" si="12"/>
        <v>-1.6547617211455912E-2</v>
      </c>
      <c r="G221">
        <f t="shared" si="13"/>
        <v>-2.7913595700928832E-2</v>
      </c>
      <c r="V221" t="s">
        <v>235</v>
      </c>
      <c r="W221">
        <v>1.6701789593225676E-3</v>
      </c>
      <c r="X221">
        <v>3.2823523804138667E-3</v>
      </c>
      <c r="Y221">
        <v>0.50883597059496011</v>
      </c>
      <c r="Z221">
        <v>0.61149733229307635</v>
      </c>
      <c r="AA221">
        <v>-4.8071524976688821E-3</v>
      </c>
      <c r="AB221">
        <v>8.1475104163140182E-3</v>
      </c>
      <c r="AC221">
        <v>-4.8071524976688821E-3</v>
      </c>
      <c r="AD221">
        <v>8.1475104163140182E-3</v>
      </c>
    </row>
    <row r="222" spans="1:30" x14ac:dyDescent="0.35">
      <c r="A222" t="s">
        <v>25</v>
      </c>
      <c r="E222">
        <v>4.1088032212331475E-3</v>
      </c>
      <c r="F222">
        <f t="shared" si="12"/>
        <v>-1.6547661565134708E-2</v>
      </c>
      <c r="G222">
        <f t="shared" si="13"/>
        <v>-2.7913595700928832E-2</v>
      </c>
      <c r="V222" t="s">
        <v>248</v>
      </c>
      <c r="W222">
        <v>-7.434382409033832E-4</v>
      </c>
      <c r="X222">
        <v>1.0180533870615362E-4</v>
      </c>
      <c r="Y222">
        <v>-7.3025467068010066</v>
      </c>
      <c r="Z222">
        <v>9.0834438626241996E-12</v>
      </c>
      <c r="AA222">
        <v>-9.4433895065834618E-4</v>
      </c>
      <c r="AB222">
        <v>-5.4253753114842022E-4</v>
      </c>
      <c r="AC222">
        <v>-9.4433895065834618E-4</v>
      </c>
      <c r="AD222">
        <v>-5.4253753114842022E-4</v>
      </c>
    </row>
    <row r="223" spans="1:30" x14ac:dyDescent="0.35">
      <c r="A223" t="s">
        <v>25</v>
      </c>
      <c r="E223">
        <v>-2.6976249648764831E-2</v>
      </c>
      <c r="F223">
        <f t="shared" si="12"/>
        <v>-1.65477059188135E-2</v>
      </c>
      <c r="G223">
        <f t="shared" si="13"/>
        <v>-2.7913595700928832E-2</v>
      </c>
      <c r="V223" t="s">
        <v>251</v>
      </c>
      <c r="W223">
        <v>1.6215072183048838E-6</v>
      </c>
      <c r="X223">
        <v>5.6273406646630892E-6</v>
      </c>
      <c r="Y223">
        <v>0.28814804628536983</v>
      </c>
      <c r="Z223">
        <v>0.77356865856049306</v>
      </c>
      <c r="AA223">
        <v>-9.4833793026948696E-6</v>
      </c>
      <c r="AB223">
        <v>1.2726393739304637E-5</v>
      </c>
      <c r="AC223">
        <v>-9.4833793026948696E-6</v>
      </c>
      <c r="AD223">
        <v>1.2726393739304637E-5</v>
      </c>
    </row>
    <row r="224" spans="1:30" ht="15" thickBot="1" x14ac:dyDescent="0.4">
      <c r="A224" t="s">
        <v>25</v>
      </c>
      <c r="E224">
        <v>6.093677678715865E-4</v>
      </c>
      <c r="F224">
        <f t="shared" si="12"/>
        <v>-1.6400660151313355E-2</v>
      </c>
      <c r="G224">
        <f t="shared" si="13"/>
        <v>-2.785533493673337E-2</v>
      </c>
      <c r="V224" s="6" t="s">
        <v>252</v>
      </c>
      <c r="W224" s="6">
        <v>-0.27902317324400533</v>
      </c>
      <c r="X224" s="6">
        <v>0.19008590798420499</v>
      </c>
      <c r="Y224" s="6">
        <v>-1.4678793194243021</v>
      </c>
      <c r="Z224" s="6">
        <v>0.14390181433145885</v>
      </c>
      <c r="AA224" s="6">
        <v>-0.65413507124248493</v>
      </c>
      <c r="AB224" s="6">
        <v>9.6088724754474331E-2</v>
      </c>
      <c r="AC224" s="6">
        <v>-0.65413507124248493</v>
      </c>
      <c r="AD224" s="6">
        <v>9.6088724754474331E-2</v>
      </c>
    </row>
    <row r="225" spans="1:7" x14ac:dyDescent="0.35">
      <c r="A225" t="s">
        <v>25</v>
      </c>
      <c r="E225">
        <v>1.4980898045090622E-2</v>
      </c>
      <c r="F225">
        <f t="shared" si="12"/>
        <v>-1.6409842195467345E-2</v>
      </c>
      <c r="G225">
        <f t="shared" si="13"/>
        <v>-2.785533493673337E-2</v>
      </c>
    </row>
    <row r="226" spans="1:7" x14ac:dyDescent="0.35">
      <c r="A226" t="s">
        <v>25</v>
      </c>
      <c r="E226">
        <v>-1.2785910220345248E-2</v>
      </c>
      <c r="F226">
        <f t="shared" si="12"/>
        <v>-1.6419024239621327E-2</v>
      </c>
      <c r="G226">
        <f t="shared" si="13"/>
        <v>-2.785533493673337E-2</v>
      </c>
    </row>
    <row r="227" spans="1:7" x14ac:dyDescent="0.35">
      <c r="A227" t="s">
        <v>25</v>
      </c>
      <c r="E227">
        <v>-8.3985159051529045E-3</v>
      </c>
      <c r="F227">
        <f t="shared" si="12"/>
        <v>-1.6428206283775313E-2</v>
      </c>
      <c r="G227">
        <f t="shared" si="13"/>
        <v>-2.785533493673337E-2</v>
      </c>
    </row>
    <row r="228" spans="1:7" x14ac:dyDescent="0.35">
      <c r="A228" t="s">
        <v>25</v>
      </c>
      <c r="E228">
        <v>-9.0262105015950327E-3</v>
      </c>
      <c r="F228">
        <f t="shared" si="12"/>
        <v>-1.6437388327929296E-2</v>
      </c>
      <c r="G228">
        <f t="shared" si="13"/>
        <v>-2.785533493673337E-2</v>
      </c>
    </row>
    <row r="229" spans="1:7" x14ac:dyDescent="0.35">
      <c r="A229" t="s">
        <v>25</v>
      </c>
      <c r="E229">
        <v>1.3618167634992776E-2</v>
      </c>
      <c r="F229">
        <f t="shared" si="12"/>
        <v>-1.6446570372083281E-2</v>
      </c>
      <c r="G229">
        <f t="shared" si="13"/>
        <v>-2.785533493673337E-2</v>
      </c>
    </row>
    <row r="230" spans="1:7" x14ac:dyDescent="0.35">
      <c r="A230" t="s">
        <v>25</v>
      </c>
      <c r="E230">
        <v>6.0539296944532662E-3</v>
      </c>
      <c r="F230">
        <f t="shared" si="12"/>
        <v>-1.6455752416237271E-2</v>
      </c>
      <c r="G230">
        <f t="shared" si="13"/>
        <v>-2.785533493673337E-2</v>
      </c>
    </row>
    <row r="231" spans="1:7" x14ac:dyDescent="0.35">
      <c r="A231" t="s">
        <v>25</v>
      </c>
      <c r="E231">
        <v>-5.6844146619694719E-3</v>
      </c>
      <c r="F231">
        <f t="shared" si="12"/>
        <v>-1.646493446039125E-2</v>
      </c>
      <c r="G231">
        <f t="shared" si="13"/>
        <v>-2.785533493673337E-2</v>
      </c>
    </row>
    <row r="232" spans="1:7" x14ac:dyDescent="0.35">
      <c r="A232" t="s">
        <v>25</v>
      </c>
      <c r="E232">
        <v>-1.3881567975257227E-2</v>
      </c>
      <c r="F232">
        <f t="shared" si="12"/>
        <v>-1.6474116504545239E-2</v>
      </c>
      <c r="G232">
        <f t="shared" si="13"/>
        <v>-2.785533493673337E-2</v>
      </c>
    </row>
    <row r="233" spans="1:7" x14ac:dyDescent="0.35">
      <c r="A233" t="s">
        <v>25</v>
      </c>
      <c r="E233">
        <v>2.5484890152280329E-3</v>
      </c>
      <c r="F233">
        <f t="shared" si="12"/>
        <v>-1.6483298548699222E-2</v>
      </c>
      <c r="G233">
        <f t="shared" si="13"/>
        <v>-2.785533493673337E-2</v>
      </c>
    </row>
    <row r="234" spans="1:7" x14ac:dyDescent="0.35">
      <c r="A234" t="s">
        <v>26</v>
      </c>
      <c r="B234" s="3" cm="1">
        <f t="array" ref="B234">_xlfn.STDEV.S(_xlfn._xlws.FILTER($E$2:$E$1000, $A$2:$A$1000="2010-12"))</f>
        <v>7.7218950526777869E-3</v>
      </c>
      <c r="C234" s="3" cm="1">
        <f t="array" ref="C234">AVERAGE(_xlfn._xlws.FILTER($E$2:$E$1000, $A$2:$A$1000="2010-12"))</f>
        <v>2.5194341773011946E-3</v>
      </c>
      <c r="D234" s="3" cm="1">
        <f t="array" ref="D234">_xlfn.PERCENTILE.EXC(_xlfn._xlws.FILTER($E$126:$E$252, $A$126:$A$252="2010-12"), 0.05)</f>
        <v>-1.5725571185728988E-2</v>
      </c>
      <c r="E234">
        <v>1.4279338377112372E-2</v>
      </c>
      <c r="F234">
        <f t="shared" si="12"/>
        <v>-1.6492480592853208E-2</v>
      </c>
      <c r="G234">
        <f t="shared" si="13"/>
        <v>-2.785533493673337E-2</v>
      </c>
    </row>
    <row r="235" spans="1:7" x14ac:dyDescent="0.35">
      <c r="A235" t="s">
        <v>26</v>
      </c>
      <c r="E235">
        <v>1.6289724373502075E-2</v>
      </c>
      <c r="F235">
        <f t="shared" si="12"/>
        <v>-1.6501662637007194E-2</v>
      </c>
      <c r="G235">
        <f t="shared" si="13"/>
        <v>-2.785533493673337E-2</v>
      </c>
    </row>
    <row r="236" spans="1:7" x14ac:dyDescent="0.35">
      <c r="A236" t="s">
        <v>26</v>
      </c>
      <c r="E236">
        <v>-7.0903384946518584E-3</v>
      </c>
      <c r="F236">
        <f t="shared" si="12"/>
        <v>-1.6510844681161176E-2</v>
      </c>
      <c r="G236">
        <f t="shared" si="13"/>
        <v>-2.785533493673337E-2</v>
      </c>
    </row>
    <row r="237" spans="1:7" x14ac:dyDescent="0.35">
      <c r="A237" t="s">
        <v>26</v>
      </c>
      <c r="E237">
        <v>7.2539889762499579E-3</v>
      </c>
      <c r="F237">
        <f t="shared" si="12"/>
        <v>-1.6520026725315162E-2</v>
      </c>
      <c r="G237">
        <f t="shared" si="13"/>
        <v>-2.785533493673337E-2</v>
      </c>
    </row>
    <row r="238" spans="1:7" x14ac:dyDescent="0.35">
      <c r="A238" t="s">
        <v>26</v>
      </c>
      <c r="E238">
        <v>1.0614505538291684E-2</v>
      </c>
      <c r="F238">
        <f t="shared" si="12"/>
        <v>-1.6529208769469145E-2</v>
      </c>
      <c r="G238">
        <f t="shared" si="13"/>
        <v>-2.785533493673337E-2</v>
      </c>
    </row>
    <row r="239" spans="1:7" x14ac:dyDescent="0.35">
      <c r="A239" t="s">
        <v>26</v>
      </c>
      <c r="E239">
        <v>3.786944176195435E-3</v>
      </c>
      <c r="F239">
        <f t="shared" si="12"/>
        <v>-1.6538390813623134E-2</v>
      </c>
      <c r="G239">
        <f t="shared" si="13"/>
        <v>-2.785533493673337E-2</v>
      </c>
    </row>
    <row r="240" spans="1:7" x14ac:dyDescent="0.35">
      <c r="A240" t="s">
        <v>26</v>
      </c>
      <c r="E240">
        <v>1.8955154813703201E-3</v>
      </c>
      <c r="F240">
        <f t="shared" si="12"/>
        <v>-1.654757285777712E-2</v>
      </c>
      <c r="G240">
        <f t="shared" si="13"/>
        <v>-2.785533493673337E-2</v>
      </c>
    </row>
    <row r="241" spans="1:7" x14ac:dyDescent="0.35">
      <c r="A241" t="s">
        <v>26</v>
      </c>
      <c r="E241">
        <v>2.4329937307626523E-3</v>
      </c>
      <c r="F241">
        <f t="shared" si="12"/>
        <v>-1.6547617211455912E-2</v>
      </c>
      <c r="G241">
        <f t="shared" si="13"/>
        <v>-2.7918861689985933E-2</v>
      </c>
    </row>
    <row r="242" spans="1:7" x14ac:dyDescent="0.35">
      <c r="A242" t="s">
        <v>26</v>
      </c>
      <c r="E242">
        <v>2.170240317200926E-3</v>
      </c>
      <c r="F242">
        <f t="shared" si="12"/>
        <v>-1.6547661565134708E-2</v>
      </c>
      <c r="G242">
        <f t="shared" si="13"/>
        <v>-2.7918861689985933E-2</v>
      </c>
    </row>
    <row r="243" spans="1:7" x14ac:dyDescent="0.35">
      <c r="A243" t="s">
        <v>26</v>
      </c>
      <c r="E243">
        <v>-2.1679987096545825E-3</v>
      </c>
      <c r="F243">
        <f t="shared" si="12"/>
        <v>-1.65477059188135E-2</v>
      </c>
      <c r="G243">
        <f t="shared" si="13"/>
        <v>-2.7918861689985933E-2</v>
      </c>
    </row>
    <row r="244" spans="1:7" x14ac:dyDescent="0.35">
      <c r="A244" t="s">
        <v>26</v>
      </c>
      <c r="E244">
        <v>-6.441698767238279E-3</v>
      </c>
      <c r="F244">
        <f t="shared" si="12"/>
        <v>-1.6547750272492293E-2</v>
      </c>
      <c r="G244">
        <f t="shared" si="13"/>
        <v>-2.7918861689985933E-2</v>
      </c>
    </row>
    <row r="245" spans="1:7" x14ac:dyDescent="0.35">
      <c r="A245" t="s">
        <v>26</v>
      </c>
      <c r="E245">
        <v>6.1958238238027704E-3</v>
      </c>
      <c r="F245">
        <f t="shared" si="12"/>
        <v>-1.6547794626171088E-2</v>
      </c>
      <c r="G245">
        <f t="shared" si="13"/>
        <v>-2.7918861689985933E-2</v>
      </c>
    </row>
    <row r="246" spans="1:7" x14ac:dyDescent="0.35">
      <c r="A246" t="s">
        <v>26</v>
      </c>
      <c r="E246">
        <v>-4.3126554943318744E-3</v>
      </c>
      <c r="F246">
        <f t="shared" si="12"/>
        <v>-1.6547838979849881E-2</v>
      </c>
      <c r="G246">
        <f t="shared" si="13"/>
        <v>-2.7918861689985933E-2</v>
      </c>
    </row>
    <row r="247" spans="1:7" x14ac:dyDescent="0.35">
      <c r="A247" t="s">
        <v>26</v>
      </c>
      <c r="E247">
        <v>7.6422674988759496E-3</v>
      </c>
      <c r="F247">
        <f t="shared" si="12"/>
        <v>-1.6547883333528673E-2</v>
      </c>
      <c r="G247">
        <f t="shared" si="13"/>
        <v>-2.7918861689985933E-2</v>
      </c>
    </row>
    <row r="248" spans="1:7" x14ac:dyDescent="0.35">
      <c r="A248" t="s">
        <v>26</v>
      </c>
      <c r="E248">
        <v>7.7988183801665466E-3</v>
      </c>
      <c r="F248">
        <f t="shared" si="12"/>
        <v>-1.6547927687207468E-2</v>
      </c>
      <c r="G248">
        <f t="shared" si="13"/>
        <v>-2.7918861689985933E-2</v>
      </c>
    </row>
    <row r="249" spans="1:7" x14ac:dyDescent="0.35">
      <c r="A249" t="s">
        <v>26</v>
      </c>
      <c r="E249">
        <v>1.4733245997724184E-3</v>
      </c>
      <c r="F249">
        <f t="shared" si="12"/>
        <v>-1.6547972040886261E-2</v>
      </c>
      <c r="G249">
        <f t="shared" si="13"/>
        <v>-2.7918861689985933E-2</v>
      </c>
    </row>
    <row r="250" spans="1:7" x14ac:dyDescent="0.35">
      <c r="A250" t="s">
        <v>26</v>
      </c>
      <c r="E250">
        <v>2.7679457399513354E-3</v>
      </c>
      <c r="F250">
        <f t="shared" si="12"/>
        <v>-1.6548016394565053E-2</v>
      </c>
      <c r="G250">
        <f t="shared" si="13"/>
        <v>-2.7918861689985933E-2</v>
      </c>
    </row>
    <row r="251" spans="1:7" x14ac:dyDescent="0.35">
      <c r="A251" t="s">
        <v>26</v>
      </c>
      <c r="E251">
        <v>-9.9391899292617216E-4</v>
      </c>
      <c r="F251">
        <f t="shared" si="12"/>
        <v>-1.6548060748243849E-2</v>
      </c>
      <c r="G251">
        <f t="shared" si="13"/>
        <v>-2.7918861689985933E-2</v>
      </c>
    </row>
    <row r="252" spans="1:7" x14ac:dyDescent="0.35">
      <c r="A252" t="s">
        <v>26</v>
      </c>
      <c r="E252">
        <v>-1.5725571185728988E-2</v>
      </c>
      <c r="F252">
        <f t="shared" si="12"/>
        <v>-1.6548105101922641E-2</v>
      </c>
      <c r="G252">
        <f t="shared" si="13"/>
        <v>-2.7918861689985933E-2</v>
      </c>
    </row>
    <row r="253" spans="1:7" x14ac:dyDescent="0.35">
      <c r="A253" t="s">
        <v>27</v>
      </c>
      <c r="B253" s="3" cm="1">
        <f t="array" ref="B253">_xlfn.STDEV.S(_xlfn._xlws.FILTER($E$2:$E$1000, $A$2:$A$1000="2011-01"))</f>
        <v>1.1385292637813257E-2</v>
      </c>
      <c r="C253" s="3" cm="1">
        <f t="array" ref="C253">AVERAGE(_xlfn._xlws.FILTER($E$2:$E$1000, $A$2:$A$1000="2011-01"))</f>
        <v>-4.8961303343285031E-4</v>
      </c>
      <c r="D253" s="3" cm="1">
        <f t="array" ref="D253">_xlfn.PERCENTILE.EXC(_xlfn._xlws.FILTER($E$253:$E$502, $A$253:$A$502="2011-01"), 0.05)</f>
        <v>-2.300463871188323E-2</v>
      </c>
      <c r="E253">
        <v>1.5838029887886115E-2</v>
      </c>
      <c r="F253">
        <f t="shared" si="12"/>
        <v>-1.6548149455601437E-2</v>
      </c>
      <c r="G253">
        <f t="shared" si="13"/>
        <v>-2.7918861689985933E-2</v>
      </c>
    </row>
    <row r="254" spans="1:7" x14ac:dyDescent="0.35">
      <c r="A254" t="s">
        <v>27</v>
      </c>
      <c r="E254">
        <v>9.2010411958612943E-3</v>
      </c>
      <c r="F254">
        <f t="shared" si="12"/>
        <v>-1.6548193809280229E-2</v>
      </c>
      <c r="G254">
        <f t="shared" si="13"/>
        <v>-2.7918861689985933E-2</v>
      </c>
    </row>
    <row r="255" spans="1:7" x14ac:dyDescent="0.35">
      <c r="A255" t="s">
        <v>27</v>
      </c>
      <c r="E255">
        <v>7.4675808497194143E-3</v>
      </c>
      <c r="F255">
        <f t="shared" si="12"/>
        <v>-1.6548238162959021E-2</v>
      </c>
      <c r="G255">
        <f t="shared" si="13"/>
        <v>-2.7918861689985933E-2</v>
      </c>
    </row>
    <row r="256" spans="1:7" x14ac:dyDescent="0.35">
      <c r="A256" t="s">
        <v>27</v>
      </c>
      <c r="E256">
        <v>5.2976454686800194E-3</v>
      </c>
      <c r="F256">
        <f t="shared" si="12"/>
        <v>-1.6548282516637817E-2</v>
      </c>
      <c r="G256">
        <f t="shared" si="13"/>
        <v>-2.7918861689985933E-2</v>
      </c>
    </row>
    <row r="257" spans="1:7" x14ac:dyDescent="0.35">
      <c r="A257" t="s">
        <v>27</v>
      </c>
      <c r="E257">
        <v>-4.2608827146262537E-3</v>
      </c>
      <c r="F257">
        <f t="shared" si="12"/>
        <v>-1.6548326870316609E-2</v>
      </c>
      <c r="G257">
        <f t="shared" si="13"/>
        <v>-2.7918861689985933E-2</v>
      </c>
    </row>
    <row r="258" spans="1:7" x14ac:dyDescent="0.35">
      <c r="A258" t="s">
        <v>27</v>
      </c>
      <c r="E258">
        <v>1.049814747003476E-2</v>
      </c>
      <c r="F258">
        <f t="shared" si="12"/>
        <v>-1.6548371223995401E-2</v>
      </c>
      <c r="G258">
        <f t="shared" si="13"/>
        <v>-2.7918861689985933E-2</v>
      </c>
    </row>
    <row r="259" spans="1:7" x14ac:dyDescent="0.35">
      <c r="A259" t="s">
        <v>27</v>
      </c>
      <c r="E259">
        <v>5.3021429019728655E-3</v>
      </c>
      <c r="F259">
        <f t="shared" si="12"/>
        <v>-1.6548415577674197E-2</v>
      </c>
      <c r="G259">
        <f t="shared" si="13"/>
        <v>-2.7918861689985933E-2</v>
      </c>
    </row>
    <row r="260" spans="1:7" x14ac:dyDescent="0.35">
      <c r="A260" t="s">
        <v>27</v>
      </c>
      <c r="E260">
        <v>-1.736630235980758E-2</v>
      </c>
      <c r="F260">
        <f t="shared" ref="F260:F323" si="14">_xlfn.PERCENTILE.EXC(E260:E4075,0.05)</f>
        <v>-1.6548459931352989E-2</v>
      </c>
      <c r="G260">
        <f t="shared" ref="G260:G323" si="15">AVERAGEIFS(E260:E4076,E260:E4076,"&lt;=" &amp; F260)</f>
        <v>-2.7918861689985933E-2</v>
      </c>
    </row>
    <row r="261" spans="1:7" x14ac:dyDescent="0.35">
      <c r="A261" t="s">
        <v>27</v>
      </c>
      <c r="E261">
        <v>-1.9688733859175912E-3</v>
      </c>
      <c r="F261">
        <f t="shared" si="14"/>
        <v>-1.6547617211455912E-2</v>
      </c>
      <c r="G261">
        <f t="shared" si="15"/>
        <v>-2.7978480669252483E-2</v>
      </c>
    </row>
    <row r="262" spans="1:7" x14ac:dyDescent="0.35">
      <c r="A262" t="s">
        <v>27</v>
      </c>
      <c r="E262">
        <v>1.625133100302699E-3</v>
      </c>
      <c r="F262">
        <f t="shared" si="14"/>
        <v>-1.6547661565134708E-2</v>
      </c>
      <c r="G262">
        <f t="shared" si="15"/>
        <v>-2.7978480669252483E-2</v>
      </c>
    </row>
    <row r="263" spans="1:7" x14ac:dyDescent="0.35">
      <c r="A263" t="s">
        <v>27</v>
      </c>
      <c r="E263">
        <v>1.1391567434585149E-2</v>
      </c>
      <c r="F263">
        <f t="shared" si="14"/>
        <v>-1.65477059188135E-2</v>
      </c>
      <c r="G263">
        <f t="shared" si="15"/>
        <v>-2.7978480669252483E-2</v>
      </c>
    </row>
    <row r="264" spans="1:7" x14ac:dyDescent="0.35">
      <c r="A264" t="s">
        <v>27</v>
      </c>
      <c r="E264">
        <v>-2.0503579934959718E-2</v>
      </c>
      <c r="F264">
        <f t="shared" si="14"/>
        <v>-1.6547750272492293E-2</v>
      </c>
      <c r="G264">
        <f t="shared" si="15"/>
        <v>-2.7978480669252483E-2</v>
      </c>
    </row>
    <row r="265" spans="1:7" x14ac:dyDescent="0.35">
      <c r="A265" t="s">
        <v>27</v>
      </c>
      <c r="E265">
        <v>-2.3136273384352889E-2</v>
      </c>
      <c r="F265">
        <f t="shared" si="14"/>
        <v>-1.6409842195467345E-2</v>
      </c>
      <c r="G265">
        <f t="shared" si="15"/>
        <v>-2.7956130346782522E-2</v>
      </c>
    </row>
    <row r="266" spans="1:7" x14ac:dyDescent="0.35">
      <c r="A266" t="s">
        <v>27</v>
      </c>
      <c r="E266">
        <v>1.9723483396956046E-3</v>
      </c>
      <c r="F266">
        <f t="shared" si="14"/>
        <v>-1.6345750706679478E-2</v>
      </c>
      <c r="G266">
        <f t="shared" si="15"/>
        <v>-2.7917868530908763E-2</v>
      </c>
    </row>
    <row r="267" spans="1:7" x14ac:dyDescent="0.35">
      <c r="A267" t="s">
        <v>27</v>
      </c>
      <c r="E267">
        <v>4.0814914030390973E-3</v>
      </c>
      <c r="F267">
        <f t="shared" si="14"/>
        <v>-1.6347049368680758E-2</v>
      </c>
      <c r="G267">
        <f t="shared" si="15"/>
        <v>-2.7917868530908763E-2</v>
      </c>
    </row>
    <row r="268" spans="1:7" x14ac:dyDescent="0.35">
      <c r="A268" t="s">
        <v>27</v>
      </c>
      <c r="E268">
        <v>-1.5536561272222605E-2</v>
      </c>
      <c r="F268">
        <f t="shared" si="14"/>
        <v>-1.6348348030682039E-2</v>
      </c>
      <c r="G268">
        <f t="shared" si="15"/>
        <v>-2.7917868530908763E-2</v>
      </c>
    </row>
    <row r="269" spans="1:7" x14ac:dyDescent="0.35">
      <c r="A269" t="s">
        <v>27</v>
      </c>
      <c r="E269">
        <v>9.3875816131106637E-3</v>
      </c>
      <c r="F269">
        <f t="shared" si="14"/>
        <v>-1.6349646692683323E-2</v>
      </c>
      <c r="G269">
        <f t="shared" si="15"/>
        <v>-2.7917868530908763E-2</v>
      </c>
    </row>
    <row r="270" spans="1:7" x14ac:dyDescent="0.35">
      <c r="A270" t="s">
        <v>27</v>
      </c>
      <c r="E270">
        <v>2.4825268558185325E-4</v>
      </c>
      <c r="F270">
        <f t="shared" si="14"/>
        <v>-1.6350945354684603E-2</v>
      </c>
      <c r="G270">
        <f t="shared" si="15"/>
        <v>-2.7917868530908763E-2</v>
      </c>
    </row>
    <row r="271" spans="1:7" x14ac:dyDescent="0.35">
      <c r="A271" t="s">
        <v>27</v>
      </c>
      <c r="E271">
        <v>-1.1898812706148473E-2</v>
      </c>
      <c r="F271">
        <f t="shared" si="14"/>
        <v>-1.6352244016685884E-2</v>
      </c>
      <c r="G271">
        <f t="shared" si="15"/>
        <v>-2.7917868530908763E-2</v>
      </c>
    </row>
    <row r="272" spans="1:7" x14ac:dyDescent="0.35">
      <c r="A272" t="s">
        <v>27</v>
      </c>
      <c r="E272">
        <v>2.5680627389085657E-3</v>
      </c>
      <c r="F272">
        <f t="shared" si="14"/>
        <v>-1.6353542678687168E-2</v>
      </c>
      <c r="G272">
        <f t="shared" si="15"/>
        <v>-2.7917868530908763E-2</v>
      </c>
    </row>
    <row r="273" spans="1:7" x14ac:dyDescent="0.35">
      <c r="A273" t="s">
        <v>28</v>
      </c>
      <c r="B273" s="3" cm="1">
        <f t="array" ref="B273">_xlfn.STDEV.S(_xlfn._xlws.FILTER($E$2:$E$1000, $A$2:$A$1000="2011-02"))</f>
        <v>8.4884626125909142E-3</v>
      </c>
      <c r="C273" s="3" cm="1">
        <f t="array" ref="C273">AVERAGE(_xlfn._xlws.FILTER($E$2:$E$1000, $A$2:$A$1000="2011-02"))</f>
        <v>1.4320690205525601E-3</v>
      </c>
      <c r="D273" s="3" cm="1">
        <f t="array" ref="D273">_xlfn.PERCENTILE.EXC(_xlfn._xlws.FILTER($E$253:$E$502, $A$253:$A$502="2011-02"), 0.05)</f>
        <v>-1.4200782286099056E-2</v>
      </c>
      <c r="E273">
        <v>1.3424058927628263E-2</v>
      </c>
      <c r="F273">
        <f t="shared" si="14"/>
        <v>-1.6354841340688448E-2</v>
      </c>
      <c r="G273">
        <f t="shared" si="15"/>
        <v>-2.7917868530908763E-2</v>
      </c>
    </row>
    <row r="274" spans="1:7" x14ac:dyDescent="0.35">
      <c r="A274" t="s">
        <v>28</v>
      </c>
      <c r="E274">
        <v>1.1520805336597613E-2</v>
      </c>
      <c r="F274">
        <f t="shared" si="14"/>
        <v>-1.6356140002689729E-2</v>
      </c>
      <c r="G274">
        <f t="shared" si="15"/>
        <v>-2.7917868530908763E-2</v>
      </c>
    </row>
    <row r="275" spans="1:7" x14ac:dyDescent="0.35">
      <c r="A275" t="s">
        <v>28</v>
      </c>
      <c r="E275">
        <v>6.22633334803921E-3</v>
      </c>
      <c r="F275">
        <f t="shared" si="14"/>
        <v>-1.6357438664691012E-2</v>
      </c>
      <c r="G275">
        <f t="shared" si="15"/>
        <v>-2.7917868530908763E-2</v>
      </c>
    </row>
    <row r="276" spans="1:7" x14ac:dyDescent="0.35">
      <c r="A276" t="s">
        <v>28</v>
      </c>
      <c r="E276">
        <v>3.9386008176553232E-3</v>
      </c>
      <c r="F276">
        <f t="shared" si="14"/>
        <v>-1.6358737326692293E-2</v>
      </c>
      <c r="G276">
        <f t="shared" si="15"/>
        <v>-2.7917868530908763E-2</v>
      </c>
    </row>
    <row r="277" spans="1:7" x14ac:dyDescent="0.35">
      <c r="A277" t="s">
        <v>28</v>
      </c>
      <c r="E277">
        <v>1.1498142230974824E-2</v>
      </c>
      <c r="F277">
        <f t="shared" si="14"/>
        <v>-1.6360035988693573E-2</v>
      </c>
      <c r="G277">
        <f t="shared" si="15"/>
        <v>-2.7917868530908763E-2</v>
      </c>
    </row>
    <row r="278" spans="1:7" x14ac:dyDescent="0.35">
      <c r="A278" t="s">
        <v>28</v>
      </c>
      <c r="E278">
        <v>-1.9456046604202555E-3</v>
      </c>
      <c r="F278">
        <f t="shared" si="14"/>
        <v>-1.6361334650694854E-2</v>
      </c>
      <c r="G278">
        <f t="shared" si="15"/>
        <v>-2.7917868530908763E-2</v>
      </c>
    </row>
    <row r="279" spans="1:7" x14ac:dyDescent="0.35">
      <c r="A279" t="s">
        <v>28</v>
      </c>
      <c r="E279">
        <v>-9.7065852385399953E-3</v>
      </c>
      <c r="F279">
        <f t="shared" si="14"/>
        <v>-1.6362633312696138E-2</v>
      </c>
      <c r="G279">
        <f t="shared" si="15"/>
        <v>-2.7917868530908763E-2</v>
      </c>
    </row>
    <row r="280" spans="1:7" x14ac:dyDescent="0.35">
      <c r="A280" t="s">
        <v>28</v>
      </c>
      <c r="E280">
        <v>2.0286858086744301E-3</v>
      </c>
      <c r="F280">
        <f t="shared" si="14"/>
        <v>-1.6363931974697418E-2</v>
      </c>
      <c r="G280">
        <f t="shared" si="15"/>
        <v>-2.7917868530908763E-2</v>
      </c>
    </row>
    <row r="281" spans="1:7" x14ac:dyDescent="0.35">
      <c r="A281" t="s">
        <v>28</v>
      </c>
      <c r="E281">
        <v>7.7999644087082673E-3</v>
      </c>
      <c r="F281">
        <f t="shared" si="14"/>
        <v>-1.6373114018851401E-2</v>
      </c>
      <c r="G281">
        <f t="shared" si="15"/>
        <v>-2.7983515897705421E-2</v>
      </c>
    </row>
    <row r="282" spans="1:7" x14ac:dyDescent="0.35">
      <c r="A282" t="s">
        <v>28</v>
      </c>
      <c r="E282">
        <v>2.885421131113858E-3</v>
      </c>
      <c r="F282">
        <f t="shared" si="14"/>
        <v>-1.6382296063005387E-2</v>
      </c>
      <c r="G282">
        <f t="shared" si="15"/>
        <v>-2.7983515897705421E-2</v>
      </c>
    </row>
    <row r="283" spans="1:7" x14ac:dyDescent="0.35">
      <c r="A283" t="s">
        <v>28</v>
      </c>
      <c r="E283">
        <v>1.5296185729249232E-3</v>
      </c>
      <c r="F283">
        <f t="shared" si="14"/>
        <v>-1.6391478107159369E-2</v>
      </c>
      <c r="G283">
        <f t="shared" si="15"/>
        <v>-2.7983515897705421E-2</v>
      </c>
    </row>
    <row r="284" spans="1:7" x14ac:dyDescent="0.35">
      <c r="A284" t="s">
        <v>28</v>
      </c>
      <c r="E284">
        <v>8.9001264360579087E-4</v>
      </c>
      <c r="F284">
        <f t="shared" si="14"/>
        <v>-1.6400660151313355E-2</v>
      </c>
      <c r="G284">
        <f t="shared" si="15"/>
        <v>-2.7983515897705421E-2</v>
      </c>
    </row>
    <row r="285" spans="1:7" x14ac:dyDescent="0.35">
      <c r="A285" t="s">
        <v>28</v>
      </c>
      <c r="E285">
        <v>3.1628986299388068E-3</v>
      </c>
      <c r="F285">
        <f t="shared" si="14"/>
        <v>-1.6409842195467345E-2</v>
      </c>
      <c r="G285">
        <f t="shared" si="15"/>
        <v>-2.7983515897705421E-2</v>
      </c>
    </row>
    <row r="286" spans="1:7" x14ac:dyDescent="0.35">
      <c r="A286" t="s">
        <v>28</v>
      </c>
      <c r="E286">
        <v>-2.0368955587553059E-3</v>
      </c>
      <c r="F286">
        <f t="shared" si="14"/>
        <v>-1.6419024239621327E-2</v>
      </c>
      <c r="G286">
        <f t="shared" si="15"/>
        <v>-2.7983515897705421E-2</v>
      </c>
    </row>
    <row r="287" spans="1:7" x14ac:dyDescent="0.35">
      <c r="A287" t="s">
        <v>28</v>
      </c>
      <c r="E287">
        <v>-1.2832989662933321E-2</v>
      </c>
      <c r="F287">
        <f t="shared" si="14"/>
        <v>-1.6428206283775313E-2</v>
      </c>
      <c r="G287">
        <f t="shared" si="15"/>
        <v>-2.7983515897705421E-2</v>
      </c>
    </row>
    <row r="288" spans="1:7" x14ac:dyDescent="0.35">
      <c r="A288" t="s">
        <v>28</v>
      </c>
      <c r="E288">
        <v>-6.9931307751960421E-3</v>
      </c>
      <c r="F288">
        <f t="shared" si="14"/>
        <v>-1.6437388327929296E-2</v>
      </c>
      <c r="G288">
        <f t="shared" si="15"/>
        <v>-2.7983515897705421E-2</v>
      </c>
    </row>
    <row r="289" spans="1:7" x14ac:dyDescent="0.35">
      <c r="A289" t="s">
        <v>28</v>
      </c>
      <c r="E289">
        <v>-1.4272771371528832E-2</v>
      </c>
      <c r="F289">
        <f t="shared" si="14"/>
        <v>-1.6446570372083281E-2</v>
      </c>
      <c r="G289">
        <f t="shared" si="15"/>
        <v>-2.7983515897705421E-2</v>
      </c>
    </row>
    <row r="290" spans="1:7" x14ac:dyDescent="0.35">
      <c r="A290" t="s">
        <v>28</v>
      </c>
      <c r="E290">
        <v>-8.4282655248005892E-3</v>
      </c>
      <c r="F290">
        <f t="shared" si="14"/>
        <v>-1.6455752416237271E-2</v>
      </c>
      <c r="G290">
        <f t="shared" si="15"/>
        <v>-2.7983515897705421E-2</v>
      </c>
    </row>
    <row r="291" spans="1:7" x14ac:dyDescent="0.35">
      <c r="A291" t="s">
        <v>28</v>
      </c>
      <c r="E291">
        <v>1.4139024054604862E-2</v>
      </c>
      <c r="F291">
        <f t="shared" si="14"/>
        <v>-1.646493446039125E-2</v>
      </c>
      <c r="G291">
        <f t="shared" si="15"/>
        <v>-2.7983515897705421E-2</v>
      </c>
    </row>
    <row r="292" spans="1:7" x14ac:dyDescent="0.35">
      <c r="A292" t="s">
        <v>28</v>
      </c>
      <c r="E292">
        <v>5.8140572927593715E-3</v>
      </c>
      <c r="F292">
        <f t="shared" si="14"/>
        <v>-1.6474116504545239E-2</v>
      </c>
      <c r="G292">
        <f t="shared" si="15"/>
        <v>-2.7983515897705421E-2</v>
      </c>
    </row>
    <row r="293" spans="1:7" x14ac:dyDescent="0.35">
      <c r="A293" t="s">
        <v>29</v>
      </c>
      <c r="B293" s="3" cm="1">
        <f t="array" ref="B293">_xlfn.STDEV.S(_xlfn._xlws.FILTER($E$2:$E$1000, $A$2:$A$1000="2011-03"))</f>
        <v>9.0983167098245069E-3</v>
      </c>
      <c r="C293" s="3" cm="1">
        <f t="array" ref="C293">AVERAGE(_xlfn._xlws.FILTER($E$2:$E$1000, $A$2:$A$1000="2011-03"))</f>
        <v>-2.3602427858973444E-3</v>
      </c>
      <c r="D293" s="3" cm="1">
        <f t="array" ref="D293">_xlfn.PERCENTILE.EXC(_xlfn._xlws.FILTER($E$253:$E$502, $A$253:$A$502="2011-03"), 0.05)</f>
        <v>-1.816718651844898E-2</v>
      </c>
      <c r="E293">
        <v>-9.1704154548878855E-3</v>
      </c>
      <c r="F293">
        <f t="shared" si="14"/>
        <v>-1.6483298548699222E-2</v>
      </c>
      <c r="G293">
        <f t="shared" si="15"/>
        <v>-2.7983515897705421E-2</v>
      </c>
    </row>
    <row r="294" spans="1:7" x14ac:dyDescent="0.35">
      <c r="A294" t="s">
        <v>29</v>
      </c>
      <c r="E294">
        <v>-4.7915200021008105E-3</v>
      </c>
      <c r="F294">
        <f t="shared" si="14"/>
        <v>-1.6492480592853208E-2</v>
      </c>
      <c r="G294">
        <f t="shared" si="15"/>
        <v>-2.7983515897705421E-2</v>
      </c>
    </row>
    <row r="295" spans="1:7" x14ac:dyDescent="0.35">
      <c r="A295" t="s">
        <v>29</v>
      </c>
      <c r="E295">
        <v>6.0372301344682215E-3</v>
      </c>
      <c r="F295">
        <f t="shared" si="14"/>
        <v>-1.6501662637007194E-2</v>
      </c>
      <c r="G295">
        <f t="shared" si="15"/>
        <v>-2.7983515897705421E-2</v>
      </c>
    </row>
    <row r="296" spans="1:7" x14ac:dyDescent="0.35">
      <c r="A296" t="s">
        <v>29</v>
      </c>
      <c r="E296">
        <v>-6.2500051510680638E-3</v>
      </c>
      <c r="F296">
        <f t="shared" si="14"/>
        <v>-1.6510844681161176E-2</v>
      </c>
      <c r="G296">
        <f t="shared" si="15"/>
        <v>-2.7983515897705421E-2</v>
      </c>
    </row>
    <row r="297" spans="1:7" x14ac:dyDescent="0.35">
      <c r="A297" t="s">
        <v>29</v>
      </c>
      <c r="E297">
        <v>-5.1137669316473388E-3</v>
      </c>
      <c r="F297">
        <f t="shared" si="14"/>
        <v>-1.6520026725315162E-2</v>
      </c>
      <c r="G297">
        <f t="shared" si="15"/>
        <v>-2.7983515897705421E-2</v>
      </c>
    </row>
    <row r="298" spans="1:7" x14ac:dyDescent="0.35">
      <c r="A298" t="s">
        <v>29</v>
      </c>
      <c r="E298">
        <v>1.8329604266060218E-3</v>
      </c>
      <c r="F298">
        <f t="shared" si="14"/>
        <v>-1.6529208769469145E-2</v>
      </c>
      <c r="G298">
        <f t="shared" si="15"/>
        <v>-2.7983515897705421E-2</v>
      </c>
    </row>
    <row r="299" spans="1:7" x14ac:dyDescent="0.35">
      <c r="A299" t="s">
        <v>29</v>
      </c>
      <c r="E299">
        <v>-3.1176310055171406E-3</v>
      </c>
      <c r="F299">
        <f t="shared" si="14"/>
        <v>-1.6538390813623134E-2</v>
      </c>
      <c r="G299">
        <f t="shared" si="15"/>
        <v>-2.7983515897705421E-2</v>
      </c>
    </row>
    <row r="300" spans="1:7" x14ac:dyDescent="0.35">
      <c r="A300" t="s">
        <v>29</v>
      </c>
      <c r="E300">
        <v>-1.8278320474716395E-2</v>
      </c>
      <c r="F300">
        <f t="shared" si="14"/>
        <v>-1.654757285777712E-2</v>
      </c>
      <c r="G300">
        <f t="shared" si="15"/>
        <v>-2.7983515897705421E-2</v>
      </c>
    </row>
    <row r="301" spans="1:7" x14ac:dyDescent="0.35">
      <c r="A301" t="s">
        <v>29</v>
      </c>
      <c r="E301">
        <v>-7.1599311889244902E-3</v>
      </c>
      <c r="F301">
        <f t="shared" si="14"/>
        <v>-1.6373114018851401E-2</v>
      </c>
      <c r="G301">
        <f t="shared" si="15"/>
        <v>-2.8038974157265355E-2</v>
      </c>
    </row>
    <row r="302" spans="1:7" x14ac:dyDescent="0.35">
      <c r="A302" t="s">
        <v>29</v>
      </c>
      <c r="E302">
        <v>-1.0173222428495424E-2</v>
      </c>
      <c r="F302">
        <f t="shared" si="14"/>
        <v>-1.6382296063005387E-2</v>
      </c>
      <c r="G302">
        <f t="shared" si="15"/>
        <v>-2.8038974157265355E-2</v>
      </c>
    </row>
    <row r="303" spans="1:7" x14ac:dyDescent="0.35">
      <c r="A303" t="s">
        <v>29</v>
      </c>
      <c r="E303">
        <v>-1.7722650693379315E-2</v>
      </c>
      <c r="F303">
        <f t="shared" si="14"/>
        <v>-1.6391478107159369E-2</v>
      </c>
      <c r="G303">
        <f t="shared" si="15"/>
        <v>-2.8038974157265355E-2</v>
      </c>
    </row>
    <row r="304" spans="1:7" x14ac:dyDescent="0.35">
      <c r="A304" t="s">
        <v>29</v>
      </c>
      <c r="E304">
        <v>-1.7300065563683725E-2</v>
      </c>
      <c r="F304">
        <f t="shared" si="14"/>
        <v>-1.6343153382676914E-2</v>
      </c>
      <c r="G304">
        <f t="shared" si="15"/>
        <v>-2.8031210050301462E-2</v>
      </c>
    </row>
    <row r="305" spans="1:7" x14ac:dyDescent="0.35">
      <c r="A305" t="s">
        <v>29</v>
      </c>
      <c r="E305">
        <v>1.7073526539729704E-2</v>
      </c>
      <c r="F305">
        <f t="shared" si="14"/>
        <v>-1.6335770558793695E-2</v>
      </c>
      <c r="G305">
        <f t="shared" si="15"/>
        <v>-2.802571229699282E-2</v>
      </c>
    </row>
    <row r="306" spans="1:7" x14ac:dyDescent="0.35">
      <c r="A306" t="s">
        <v>29</v>
      </c>
      <c r="E306">
        <v>-4.7073576967541039E-4</v>
      </c>
      <c r="F306">
        <f t="shared" si="14"/>
        <v>-1.6335916437185568E-2</v>
      </c>
      <c r="G306">
        <f t="shared" si="15"/>
        <v>-2.802571229699282E-2</v>
      </c>
    </row>
    <row r="307" spans="1:7" x14ac:dyDescent="0.35">
      <c r="A307" t="s">
        <v>29</v>
      </c>
      <c r="E307">
        <v>1.1837607081678088E-2</v>
      </c>
      <c r="F307">
        <f t="shared" si="14"/>
        <v>-1.6336062315577441E-2</v>
      </c>
      <c r="G307">
        <f t="shared" si="15"/>
        <v>-2.802571229699282E-2</v>
      </c>
    </row>
    <row r="308" spans="1:7" x14ac:dyDescent="0.35">
      <c r="A308" t="s">
        <v>29</v>
      </c>
      <c r="E308">
        <v>1.0233180371897964E-3</v>
      </c>
      <c r="F308">
        <f t="shared" si="14"/>
        <v>-1.6336208193969314E-2</v>
      </c>
      <c r="G308">
        <f t="shared" si="15"/>
        <v>-2.802571229699282E-2</v>
      </c>
    </row>
    <row r="309" spans="1:7" x14ac:dyDescent="0.35">
      <c r="A309" t="s">
        <v>29</v>
      </c>
      <c r="E309">
        <v>4.0973570145631157E-3</v>
      </c>
      <c r="F309">
        <f t="shared" si="14"/>
        <v>-1.6336354072361187E-2</v>
      </c>
      <c r="G309">
        <f t="shared" si="15"/>
        <v>-2.802571229699282E-2</v>
      </c>
    </row>
    <row r="310" spans="1:7" x14ac:dyDescent="0.35">
      <c r="A310" t="s">
        <v>29</v>
      </c>
      <c r="E310">
        <v>2.5604688368156417E-3</v>
      </c>
      <c r="F310">
        <f t="shared" si="14"/>
        <v>-1.6336499950753057E-2</v>
      </c>
      <c r="G310">
        <f t="shared" si="15"/>
        <v>-2.802571229699282E-2</v>
      </c>
    </row>
    <row r="311" spans="1:7" x14ac:dyDescent="0.35">
      <c r="A311" t="s">
        <v>29</v>
      </c>
      <c r="E311">
        <v>5.0636251133094048E-3</v>
      </c>
      <c r="F311">
        <f t="shared" si="14"/>
        <v>-1.633664582914493E-2</v>
      </c>
      <c r="G311">
        <f t="shared" si="15"/>
        <v>-2.802571229699282E-2</v>
      </c>
    </row>
    <row r="312" spans="1:7" x14ac:dyDescent="0.35">
      <c r="A312" t="s">
        <v>29</v>
      </c>
      <c r="E312">
        <v>-1.4033675008021528E-3</v>
      </c>
      <c r="F312">
        <f t="shared" si="14"/>
        <v>-1.6336791707536803E-2</v>
      </c>
      <c r="G312">
        <f t="shared" si="15"/>
        <v>-2.802571229699282E-2</v>
      </c>
    </row>
    <row r="313" spans="1:7" x14ac:dyDescent="0.35">
      <c r="A313" t="s">
        <v>29</v>
      </c>
      <c r="E313">
        <v>3.9377574743815827E-3</v>
      </c>
      <c r="F313">
        <f t="shared" si="14"/>
        <v>-1.6336937585928676E-2</v>
      </c>
      <c r="G313">
        <f t="shared" si="15"/>
        <v>-2.802571229699282E-2</v>
      </c>
    </row>
    <row r="314" spans="1:7" x14ac:dyDescent="0.35">
      <c r="A314" t="s">
        <v>29</v>
      </c>
      <c r="E314">
        <v>3.7693823685717022E-3</v>
      </c>
      <c r="F314">
        <f t="shared" si="14"/>
        <v>-1.633708346432055E-2</v>
      </c>
      <c r="G314">
        <f t="shared" si="15"/>
        <v>-2.802571229699282E-2</v>
      </c>
    </row>
    <row r="315" spans="1:7" x14ac:dyDescent="0.35">
      <c r="A315" t="s">
        <v>29</v>
      </c>
      <c r="E315">
        <v>-1.0567184938054044E-2</v>
      </c>
      <c r="F315">
        <f t="shared" si="14"/>
        <v>-1.6337229342712423E-2</v>
      </c>
      <c r="G315">
        <f t="shared" si="15"/>
        <v>-2.802571229699282E-2</v>
      </c>
    </row>
    <row r="316" spans="1:7" x14ac:dyDescent="0.35">
      <c r="A316" t="s">
        <v>30</v>
      </c>
      <c r="B316" s="3" cm="1">
        <f t="array" ref="B316">_xlfn.STDEV.S(_xlfn._xlws.FILTER($E$2:$E$1000, $A$2:$A$1000="2011-04"))</f>
        <v>9.2916862662084741E-3</v>
      </c>
      <c r="C316" s="3" cm="1">
        <f t="array" ref="C316">AVERAGE(_xlfn._xlws.FILTER($E$2:$E$1000, $A$2:$A$1000="2011-04"))</f>
        <v>1.1219580704843668E-3</v>
      </c>
      <c r="D316" s="3" cm="1">
        <f t="array" ref="D316">_xlfn.PERCENTILE.INC(_xlfn._xlws.FILTER($E$253:$E$502, $A$253:$A$502="2011-04"), 0.05)</f>
        <v>-1.3095019512933483E-2</v>
      </c>
      <c r="E316">
        <v>1.8331194605027325E-2</v>
      </c>
      <c r="F316">
        <f t="shared" si="14"/>
        <v>-1.6337375221104296E-2</v>
      </c>
      <c r="G316">
        <f t="shared" si="15"/>
        <v>-2.802571229699282E-2</v>
      </c>
    </row>
    <row r="317" spans="1:7" x14ac:dyDescent="0.35">
      <c r="A317" t="s">
        <v>30</v>
      </c>
      <c r="E317">
        <v>1.3435990246123035E-3</v>
      </c>
      <c r="F317">
        <f t="shared" si="14"/>
        <v>-1.6337521099496169E-2</v>
      </c>
      <c r="G317">
        <f t="shared" si="15"/>
        <v>-2.802571229699282E-2</v>
      </c>
    </row>
    <row r="318" spans="1:7" x14ac:dyDescent="0.35">
      <c r="A318" t="s">
        <v>30</v>
      </c>
      <c r="E318">
        <v>7.9812335942647823E-3</v>
      </c>
      <c r="F318">
        <f t="shared" si="14"/>
        <v>-1.6337666977888042E-2</v>
      </c>
      <c r="G318">
        <f t="shared" si="15"/>
        <v>-2.802571229699282E-2</v>
      </c>
    </row>
    <row r="319" spans="1:7" x14ac:dyDescent="0.35">
      <c r="A319" t="s">
        <v>30</v>
      </c>
      <c r="E319">
        <v>7.3539028237056914E-4</v>
      </c>
      <c r="F319">
        <f t="shared" si="14"/>
        <v>-1.6337812856279915E-2</v>
      </c>
      <c r="G319">
        <f t="shared" si="15"/>
        <v>-2.802571229699282E-2</v>
      </c>
    </row>
    <row r="320" spans="1:7" x14ac:dyDescent="0.35">
      <c r="A320" t="s">
        <v>30</v>
      </c>
      <c r="E320">
        <v>-3.865712177483157E-3</v>
      </c>
      <c r="F320">
        <f t="shared" si="14"/>
        <v>-1.6337958734671788E-2</v>
      </c>
      <c r="G320">
        <f t="shared" si="15"/>
        <v>-2.802571229699282E-2</v>
      </c>
    </row>
    <row r="321" spans="1:7" x14ac:dyDescent="0.35">
      <c r="A321" t="s">
        <v>30</v>
      </c>
      <c r="E321">
        <v>1.29285664248651E-3</v>
      </c>
      <c r="F321">
        <f t="shared" si="14"/>
        <v>-1.6339257396673069E-2</v>
      </c>
      <c r="G321">
        <f t="shared" si="15"/>
        <v>-2.8092883294477424E-2</v>
      </c>
    </row>
    <row r="322" spans="1:7" x14ac:dyDescent="0.35">
      <c r="A322" t="s">
        <v>30</v>
      </c>
      <c r="E322">
        <v>-1.0067885197176583E-4</v>
      </c>
      <c r="F322">
        <f t="shared" si="14"/>
        <v>-1.6340556058674353E-2</v>
      </c>
      <c r="G322">
        <f t="shared" si="15"/>
        <v>-2.8092883294477424E-2</v>
      </c>
    </row>
    <row r="323" spans="1:7" x14ac:dyDescent="0.35">
      <c r="A323" t="s">
        <v>30</v>
      </c>
      <c r="E323">
        <v>-2.3921820030615916E-2</v>
      </c>
      <c r="F323">
        <f t="shared" si="14"/>
        <v>-1.6341854720675633E-2</v>
      </c>
      <c r="G323">
        <f t="shared" si="15"/>
        <v>-2.8092883294477424E-2</v>
      </c>
    </row>
    <row r="324" spans="1:7" x14ac:dyDescent="0.35">
      <c r="A324" t="s">
        <v>30</v>
      </c>
      <c r="E324">
        <v>9.8511534968880911E-3</v>
      </c>
      <c r="F324">
        <f t="shared" ref="F324:F387" si="16">_xlfn.PERCENTILE.EXC(E324:E4139,0.05)</f>
        <v>-1.6335624680401822E-2</v>
      </c>
      <c r="G324">
        <f t="shared" ref="G324:G387" si="17">AVERAGEIFS(E324:E4140,E324:E4140,"&lt;=" &amp; F324)</f>
        <v>-2.8049297884730616E-2</v>
      </c>
    </row>
    <row r="325" spans="1:7" x14ac:dyDescent="0.35">
      <c r="A325" t="s">
        <v>30</v>
      </c>
      <c r="E325">
        <v>-5.4266687048777542E-3</v>
      </c>
      <c r="F325">
        <f t="shared" si="16"/>
        <v>-1.6335770558793695E-2</v>
      </c>
      <c r="G325">
        <f t="shared" si="17"/>
        <v>-2.8049297884730616E-2</v>
      </c>
    </row>
    <row r="326" spans="1:7" x14ac:dyDescent="0.35">
      <c r="A326" t="s">
        <v>30</v>
      </c>
      <c r="E326">
        <v>6.3467038397756921E-3</v>
      </c>
      <c r="F326">
        <f t="shared" si="16"/>
        <v>-1.6335916437185568E-2</v>
      </c>
      <c r="G326">
        <f t="shared" si="17"/>
        <v>-2.8049297884730616E-2</v>
      </c>
    </row>
    <row r="327" spans="1:7" x14ac:dyDescent="0.35">
      <c r="A327" t="s">
        <v>30</v>
      </c>
      <c r="E327">
        <v>-1.1184407656871878E-2</v>
      </c>
      <c r="F327">
        <f t="shared" si="16"/>
        <v>-1.6336062315577441E-2</v>
      </c>
      <c r="G327">
        <f t="shared" si="17"/>
        <v>-2.8049297884730616E-2</v>
      </c>
    </row>
    <row r="328" spans="1:7" x14ac:dyDescent="0.35">
      <c r="A328" t="s">
        <v>30</v>
      </c>
      <c r="E328">
        <v>3.3978932067496707E-3</v>
      </c>
      <c r="F328">
        <f t="shared" si="16"/>
        <v>-1.6336208193969314E-2</v>
      </c>
      <c r="G328">
        <f t="shared" si="17"/>
        <v>-2.8049297884730616E-2</v>
      </c>
    </row>
    <row r="329" spans="1:7" x14ac:dyDescent="0.35">
      <c r="A329" t="s">
        <v>30</v>
      </c>
      <c r="E329">
        <v>1.3489246123280169E-2</v>
      </c>
      <c r="F329">
        <f t="shared" si="16"/>
        <v>-1.6336354072361187E-2</v>
      </c>
      <c r="G329">
        <f t="shared" si="17"/>
        <v>-2.8049297884730616E-2</v>
      </c>
    </row>
    <row r="330" spans="1:7" x14ac:dyDescent="0.35">
      <c r="A330" t="s">
        <v>30</v>
      </c>
      <c r="E330">
        <v>3.1667244165252671E-3</v>
      </c>
      <c r="F330">
        <f t="shared" si="16"/>
        <v>-1.6336499950753057E-2</v>
      </c>
      <c r="G330">
        <f t="shared" si="17"/>
        <v>-2.8049297884730616E-2</v>
      </c>
    </row>
    <row r="331" spans="1:7" x14ac:dyDescent="0.35">
      <c r="A331" t="s">
        <v>30</v>
      </c>
      <c r="E331">
        <v>-4.4911488356463623E-5</v>
      </c>
      <c r="F331">
        <f t="shared" si="16"/>
        <v>-1.633664582914493E-2</v>
      </c>
      <c r="G331">
        <f t="shared" si="17"/>
        <v>-2.8049297884730616E-2</v>
      </c>
    </row>
    <row r="332" spans="1:7" x14ac:dyDescent="0.35">
      <c r="A332" t="s">
        <v>30</v>
      </c>
      <c r="E332">
        <v>6.8349664397678641E-4</v>
      </c>
      <c r="F332">
        <f t="shared" si="16"/>
        <v>-1.6336791707536803E-2</v>
      </c>
      <c r="G332">
        <f t="shared" si="17"/>
        <v>-2.8049297884730616E-2</v>
      </c>
    </row>
    <row r="333" spans="1:7" x14ac:dyDescent="0.35">
      <c r="A333" t="s">
        <v>30</v>
      </c>
      <c r="E333">
        <v>-1.8800476970616267E-3</v>
      </c>
      <c r="F333">
        <f t="shared" si="16"/>
        <v>-1.6336937585928676E-2</v>
      </c>
      <c r="G333">
        <f t="shared" si="17"/>
        <v>-2.8049297884730616E-2</v>
      </c>
    </row>
    <row r="334" spans="1:7" x14ac:dyDescent="0.35">
      <c r="A334" t="s">
        <v>31</v>
      </c>
      <c r="B334" s="3" cm="1">
        <f t="array" ref="B334">_xlfn.STDEV.S(_xlfn._xlws.FILTER($E$2:$E$1000, $A$2:$A$1000="2011-05"))</f>
        <v>9.0347378583096154E-3</v>
      </c>
      <c r="C334" s="3" cm="1">
        <f t="array" ref="C334">AVERAGE(_xlfn._xlws.FILTER($E$2:$E$1000, $A$2:$A$1000="2011-05"))</f>
        <v>1.9168496527579104E-4</v>
      </c>
      <c r="D334" s="3" cm="1">
        <f t="array" ref="D334">_xlfn.PERCENTILE.EXC(_xlfn._xlws.FILTER($E$253:$E$502, $A$253:$A$502="2011-05"), 0.05)</f>
        <v>-1.6832895124464519E-2</v>
      </c>
      <c r="E334">
        <v>-8.2075159711286049E-3</v>
      </c>
      <c r="F334">
        <f t="shared" si="16"/>
        <v>-1.633708346432055E-2</v>
      </c>
      <c r="G334">
        <f t="shared" si="17"/>
        <v>-2.8049297884730616E-2</v>
      </c>
    </row>
    <row r="335" spans="1:7" x14ac:dyDescent="0.35">
      <c r="A335" t="s">
        <v>31</v>
      </c>
      <c r="E335">
        <v>-1.6847865397786179E-2</v>
      </c>
      <c r="F335">
        <f t="shared" si="16"/>
        <v>-1.6337229342712423E-2</v>
      </c>
      <c r="G335">
        <f t="shared" si="17"/>
        <v>-2.8049297884730616E-2</v>
      </c>
    </row>
    <row r="336" spans="1:7" x14ac:dyDescent="0.35">
      <c r="A336" t="s">
        <v>31</v>
      </c>
      <c r="E336">
        <v>2.081298267782809E-3</v>
      </c>
      <c r="F336">
        <f t="shared" si="16"/>
        <v>-1.6329744150665938E-2</v>
      </c>
      <c r="G336">
        <f t="shared" si="17"/>
        <v>-2.8046350619035487E-2</v>
      </c>
    </row>
    <row r="337" spans="1:7" x14ac:dyDescent="0.35">
      <c r="A337" t="s">
        <v>31</v>
      </c>
      <c r="E337">
        <v>1.9362152775966455E-2</v>
      </c>
      <c r="F337">
        <f t="shared" si="16"/>
        <v>-1.6331068404708035E-2</v>
      </c>
      <c r="G337">
        <f t="shared" si="17"/>
        <v>-2.8046350619035487E-2</v>
      </c>
    </row>
    <row r="338" spans="1:7" x14ac:dyDescent="0.35">
      <c r="A338" t="s">
        <v>31</v>
      </c>
      <c r="E338">
        <v>-2.1906605934512362E-3</v>
      </c>
      <c r="F338">
        <f t="shared" si="16"/>
        <v>-1.6332392658750132E-2</v>
      </c>
      <c r="G338">
        <f t="shared" si="17"/>
        <v>-2.8046350619035487E-2</v>
      </c>
    </row>
    <row r="339" spans="1:7" x14ac:dyDescent="0.35">
      <c r="A339" t="s">
        <v>31</v>
      </c>
      <c r="E339">
        <v>8.8056499119365337E-3</v>
      </c>
      <c r="F339">
        <f t="shared" si="16"/>
        <v>-1.6333716912792232E-2</v>
      </c>
      <c r="G339">
        <f t="shared" si="17"/>
        <v>-2.8046350619035487E-2</v>
      </c>
    </row>
    <row r="340" spans="1:7" x14ac:dyDescent="0.35">
      <c r="A340" t="s">
        <v>31</v>
      </c>
      <c r="E340">
        <v>4.273001816255507E-3</v>
      </c>
      <c r="F340">
        <f t="shared" si="16"/>
        <v>-1.6335041166834329E-2</v>
      </c>
      <c r="G340">
        <f t="shared" si="17"/>
        <v>-2.8046350619035487E-2</v>
      </c>
    </row>
    <row r="341" spans="1:7" x14ac:dyDescent="0.35">
      <c r="A341" t="s">
        <v>31</v>
      </c>
      <c r="E341">
        <v>-1.0655264029433309E-2</v>
      </c>
      <c r="F341">
        <f t="shared" si="16"/>
        <v>-1.6335187045226202E-2</v>
      </c>
      <c r="G341">
        <f t="shared" si="17"/>
        <v>-2.811404604939504E-2</v>
      </c>
    </row>
    <row r="342" spans="1:7" x14ac:dyDescent="0.35">
      <c r="A342" t="s">
        <v>31</v>
      </c>
      <c r="E342">
        <v>-1.5716107449688494E-3</v>
      </c>
      <c r="F342">
        <f t="shared" si="16"/>
        <v>-1.6335332923618075E-2</v>
      </c>
      <c r="G342">
        <f t="shared" si="17"/>
        <v>-2.811404604939504E-2</v>
      </c>
    </row>
    <row r="343" spans="1:7" x14ac:dyDescent="0.35">
      <c r="A343" t="s">
        <v>31</v>
      </c>
      <c r="E343">
        <v>-3.637732930709544E-3</v>
      </c>
      <c r="F343">
        <f t="shared" si="16"/>
        <v>-1.6335478802009949E-2</v>
      </c>
      <c r="G343">
        <f t="shared" si="17"/>
        <v>-2.811404604939504E-2</v>
      </c>
    </row>
    <row r="344" spans="1:7" x14ac:dyDescent="0.35">
      <c r="A344" t="s">
        <v>31</v>
      </c>
      <c r="E344">
        <v>-9.202738544247099E-3</v>
      </c>
      <c r="F344">
        <f t="shared" si="16"/>
        <v>-1.6335624680401822E-2</v>
      </c>
      <c r="G344">
        <f t="shared" si="17"/>
        <v>-2.811404604939504E-2</v>
      </c>
    </row>
    <row r="345" spans="1:7" x14ac:dyDescent="0.35">
      <c r="A345" t="s">
        <v>31</v>
      </c>
      <c r="E345">
        <v>2.0510199422976915E-3</v>
      </c>
      <c r="F345">
        <f t="shared" si="16"/>
        <v>-1.6335770558793695E-2</v>
      </c>
      <c r="G345">
        <f t="shared" si="17"/>
        <v>-2.811404604939504E-2</v>
      </c>
    </row>
    <row r="346" spans="1:7" x14ac:dyDescent="0.35">
      <c r="A346" t="s">
        <v>31</v>
      </c>
      <c r="E346">
        <v>3.2478501903201564E-3</v>
      </c>
      <c r="F346">
        <f t="shared" si="16"/>
        <v>-1.6335916437185568E-2</v>
      </c>
      <c r="G346">
        <f t="shared" si="17"/>
        <v>-2.811404604939504E-2</v>
      </c>
    </row>
    <row r="347" spans="1:7" x14ac:dyDescent="0.35">
      <c r="A347" t="s">
        <v>31</v>
      </c>
      <c r="E347">
        <v>9.7275854216103391E-3</v>
      </c>
      <c r="F347">
        <f t="shared" si="16"/>
        <v>-1.6336062315577441E-2</v>
      </c>
      <c r="G347">
        <f t="shared" si="17"/>
        <v>-2.811404604939504E-2</v>
      </c>
    </row>
    <row r="348" spans="1:7" x14ac:dyDescent="0.35">
      <c r="A348" t="s">
        <v>31</v>
      </c>
      <c r="E348">
        <v>-1.6548459931352989E-2</v>
      </c>
      <c r="F348">
        <f t="shared" si="16"/>
        <v>-1.6336208193969314E-2</v>
      </c>
      <c r="G348">
        <f t="shared" si="17"/>
        <v>-2.811404604939504E-2</v>
      </c>
    </row>
    <row r="349" spans="1:7" x14ac:dyDescent="0.35">
      <c r="A349" t="s">
        <v>31</v>
      </c>
      <c r="E349">
        <v>4.774976378774721E-3</v>
      </c>
      <c r="F349">
        <f t="shared" si="16"/>
        <v>-1.6320474372371253E-2</v>
      </c>
      <c r="G349">
        <f t="shared" si="17"/>
        <v>-2.8112812414918049E-2</v>
      </c>
    </row>
    <row r="350" spans="1:7" x14ac:dyDescent="0.35">
      <c r="A350" t="s">
        <v>31</v>
      </c>
      <c r="E350">
        <v>6.7817023150231462E-3</v>
      </c>
      <c r="F350">
        <f t="shared" si="16"/>
        <v>-1.632179862641335E-2</v>
      </c>
      <c r="G350">
        <f t="shared" si="17"/>
        <v>-2.8112812414918049E-2</v>
      </c>
    </row>
    <row r="351" spans="1:7" x14ac:dyDescent="0.35">
      <c r="A351" t="s">
        <v>31</v>
      </c>
      <c r="E351">
        <v>6.3238845672019201E-3</v>
      </c>
      <c r="F351">
        <f t="shared" si="16"/>
        <v>-1.6323122880455451E-2</v>
      </c>
      <c r="G351">
        <f t="shared" si="17"/>
        <v>-2.8112812414918049E-2</v>
      </c>
    </row>
    <row r="352" spans="1:7" x14ac:dyDescent="0.35">
      <c r="A352" t="s">
        <v>31</v>
      </c>
      <c r="E352">
        <v>3.2619774934438245E-3</v>
      </c>
      <c r="F352">
        <f t="shared" si="16"/>
        <v>-1.6324447134497547E-2</v>
      </c>
      <c r="G352">
        <f t="shared" si="17"/>
        <v>-2.8112812414918049E-2</v>
      </c>
    </row>
    <row r="353" spans="1:7" x14ac:dyDescent="0.35">
      <c r="A353" t="s">
        <v>31</v>
      </c>
      <c r="E353">
        <v>2.0044483679805261E-3</v>
      </c>
      <c r="F353">
        <f t="shared" si="16"/>
        <v>-1.6325771388539644E-2</v>
      </c>
      <c r="G353">
        <f t="shared" si="17"/>
        <v>-2.8112812414918049E-2</v>
      </c>
    </row>
    <row r="354" spans="1:7" x14ac:dyDescent="0.35">
      <c r="A354" t="s">
        <v>32</v>
      </c>
      <c r="B354" s="3" cm="1">
        <f t="array" ref="B354">_xlfn.STDEV.S(_xlfn._xlws.FILTER($E$2:$E$1000, $A$2:$A$1000="2011-06"))</f>
        <v>9.0260362953858506E-3</v>
      </c>
      <c r="C354" s="3" cm="1">
        <f t="array" ref="C354">AVERAGE(_xlfn._xlws.FILTER($E$2:$E$1000, $A$2:$A$1000="2011-06"))</f>
        <v>-1.8140376494427007E-3</v>
      </c>
      <c r="D354" s="3" cm="1">
        <f t="array" ref="D354">_xlfn.PERCENTILE.EXC(_xlfn._xlws.FILTER($E$253:$E$502, $A$253:$A$502="2011-06"), 0.05)</f>
        <v>-1.9032900908756058E-2</v>
      </c>
      <c r="E354">
        <v>-1.6018385024333368E-2</v>
      </c>
      <c r="F354">
        <f t="shared" si="16"/>
        <v>-1.6327095642581741E-2</v>
      </c>
      <c r="G354">
        <f t="shared" si="17"/>
        <v>-2.8112812414918049E-2</v>
      </c>
    </row>
    <row r="355" spans="1:7" x14ac:dyDescent="0.35">
      <c r="A355" t="s">
        <v>32</v>
      </c>
      <c r="E355">
        <v>-1.9564874300124768E-2</v>
      </c>
      <c r="F355">
        <f t="shared" si="16"/>
        <v>-1.6328419896623841E-2</v>
      </c>
      <c r="G355">
        <f t="shared" si="17"/>
        <v>-2.8112812414918049E-2</v>
      </c>
    </row>
    <row r="356" spans="1:7" x14ac:dyDescent="0.35">
      <c r="A356" t="s">
        <v>32</v>
      </c>
      <c r="E356">
        <v>-5.896878085047982E-3</v>
      </c>
      <c r="F356">
        <f t="shared" si="16"/>
        <v>-1.629160538736419E-2</v>
      </c>
      <c r="G356">
        <f t="shared" si="17"/>
        <v>-2.8093989766281448E-2</v>
      </c>
    </row>
    <row r="357" spans="1:7" x14ac:dyDescent="0.35">
      <c r="A357" t="s">
        <v>32</v>
      </c>
      <c r="E357">
        <v>-9.1039371906911264E-4</v>
      </c>
      <c r="F357">
        <f t="shared" si="16"/>
        <v>-1.6295843062021236E-2</v>
      </c>
      <c r="G357">
        <f t="shared" si="17"/>
        <v>-2.8093989766281448E-2</v>
      </c>
    </row>
    <row r="358" spans="1:7" x14ac:dyDescent="0.35">
      <c r="A358" t="s">
        <v>32</v>
      </c>
      <c r="E358">
        <v>-3.0124991208340833E-4</v>
      </c>
      <c r="F358">
        <f t="shared" si="16"/>
        <v>-1.6300080736678282E-2</v>
      </c>
      <c r="G358">
        <f t="shared" si="17"/>
        <v>-2.8093989766281448E-2</v>
      </c>
    </row>
    <row r="359" spans="1:7" x14ac:dyDescent="0.35">
      <c r="A359" t="s">
        <v>32</v>
      </c>
      <c r="E359">
        <v>-6.2656368425432788E-3</v>
      </c>
      <c r="F359">
        <f t="shared" si="16"/>
        <v>-1.6304318411335329E-2</v>
      </c>
      <c r="G359">
        <f t="shared" si="17"/>
        <v>-2.8093989766281448E-2</v>
      </c>
    </row>
    <row r="360" spans="1:7" x14ac:dyDescent="0.35">
      <c r="A360" t="s">
        <v>32</v>
      </c>
      <c r="E360">
        <v>1.1652020283425242E-2</v>
      </c>
      <c r="F360">
        <f t="shared" si="16"/>
        <v>-1.6308556085992375E-2</v>
      </c>
      <c r="G360">
        <f t="shared" si="17"/>
        <v>-2.8093989766281448E-2</v>
      </c>
    </row>
    <row r="361" spans="1:7" x14ac:dyDescent="0.35">
      <c r="A361" t="s">
        <v>32</v>
      </c>
      <c r="E361">
        <v>-1.2841192859192285E-2</v>
      </c>
      <c r="F361">
        <f t="shared" si="16"/>
        <v>-1.6309880340034472E-2</v>
      </c>
      <c r="G361">
        <f t="shared" si="17"/>
        <v>-2.8162509729538938E-2</v>
      </c>
    </row>
    <row r="362" spans="1:7" x14ac:dyDescent="0.35">
      <c r="A362" t="s">
        <v>32</v>
      </c>
      <c r="E362">
        <v>5.1210644315174102E-3</v>
      </c>
      <c r="F362">
        <f t="shared" si="16"/>
        <v>-1.6311204594076568E-2</v>
      </c>
      <c r="G362">
        <f t="shared" si="17"/>
        <v>-2.8162509729538938E-2</v>
      </c>
    </row>
    <row r="363" spans="1:7" x14ac:dyDescent="0.35">
      <c r="A363" t="s">
        <v>32</v>
      </c>
      <c r="E363">
        <v>3.0652950041967801E-3</v>
      </c>
      <c r="F363">
        <f t="shared" si="16"/>
        <v>-1.6312528848118669E-2</v>
      </c>
      <c r="G363">
        <f t="shared" si="17"/>
        <v>-2.8162509729538938E-2</v>
      </c>
    </row>
    <row r="364" spans="1:7" x14ac:dyDescent="0.35">
      <c r="A364" t="s">
        <v>32</v>
      </c>
      <c r="E364">
        <v>-3.5978105928451609E-3</v>
      </c>
      <c r="F364">
        <f t="shared" si="16"/>
        <v>-1.6313853102160766E-2</v>
      </c>
      <c r="G364">
        <f t="shared" si="17"/>
        <v>-2.8162509729538938E-2</v>
      </c>
    </row>
    <row r="365" spans="1:7" x14ac:dyDescent="0.35">
      <c r="A365" t="s">
        <v>32</v>
      </c>
      <c r="E365">
        <v>-8.6448073383848315E-3</v>
      </c>
      <c r="F365">
        <f t="shared" si="16"/>
        <v>-1.6315177356202862E-2</v>
      </c>
      <c r="G365">
        <f t="shared" si="17"/>
        <v>-2.8162509729538938E-2</v>
      </c>
    </row>
    <row r="366" spans="1:7" x14ac:dyDescent="0.35">
      <c r="A366" t="s">
        <v>32</v>
      </c>
      <c r="E366">
        <v>-4.3367348327328862E-3</v>
      </c>
      <c r="F366">
        <f t="shared" si="16"/>
        <v>-1.6316501610244959E-2</v>
      </c>
      <c r="G366">
        <f t="shared" si="17"/>
        <v>-2.8162509729538938E-2</v>
      </c>
    </row>
    <row r="367" spans="1:7" x14ac:dyDescent="0.35">
      <c r="A367" t="s">
        <v>32</v>
      </c>
      <c r="E367">
        <v>-3.0553023796831154E-3</v>
      </c>
      <c r="F367">
        <f t="shared" si="16"/>
        <v>-1.631782586428706E-2</v>
      </c>
      <c r="G367">
        <f t="shared" si="17"/>
        <v>-2.8162509729538938E-2</v>
      </c>
    </row>
    <row r="368" spans="1:7" x14ac:dyDescent="0.35">
      <c r="A368" t="s">
        <v>32</v>
      </c>
      <c r="E368">
        <v>1.0204214541881074E-2</v>
      </c>
      <c r="F368">
        <f t="shared" si="16"/>
        <v>-1.6319150118329157E-2</v>
      </c>
      <c r="G368">
        <f t="shared" si="17"/>
        <v>-2.8162509729538938E-2</v>
      </c>
    </row>
    <row r="369" spans="1:7" x14ac:dyDescent="0.35">
      <c r="A369" t="s">
        <v>32</v>
      </c>
      <c r="E369">
        <v>-7.3918313766942094E-3</v>
      </c>
      <c r="F369">
        <f t="shared" si="16"/>
        <v>-1.6320474372371253E-2</v>
      </c>
      <c r="G369">
        <f t="shared" si="17"/>
        <v>-2.8162509729538938E-2</v>
      </c>
    </row>
    <row r="370" spans="1:7" x14ac:dyDescent="0.35">
      <c r="A370" t="s">
        <v>32</v>
      </c>
      <c r="E370">
        <v>-1.1010732532742122E-2</v>
      </c>
      <c r="F370">
        <f t="shared" si="16"/>
        <v>-1.632179862641335E-2</v>
      </c>
      <c r="G370">
        <f t="shared" si="17"/>
        <v>-2.8162509729538938E-2</v>
      </c>
    </row>
    <row r="371" spans="1:7" x14ac:dyDescent="0.35">
      <c r="A371" t="s">
        <v>32</v>
      </c>
      <c r="E371">
        <v>5.0920261150931836E-3</v>
      </c>
      <c r="F371">
        <f t="shared" si="16"/>
        <v>-1.6323122880455451E-2</v>
      </c>
      <c r="G371">
        <f t="shared" si="17"/>
        <v>-2.8162509729538938E-2</v>
      </c>
    </row>
    <row r="372" spans="1:7" x14ac:dyDescent="0.35">
      <c r="A372" t="s">
        <v>32</v>
      </c>
      <c r="E372">
        <v>-2.6215223839925095E-3</v>
      </c>
      <c r="F372">
        <f t="shared" si="16"/>
        <v>-1.6324447134497547E-2</v>
      </c>
      <c r="G372">
        <f t="shared" si="17"/>
        <v>-2.8162509729538938E-2</v>
      </c>
    </row>
    <row r="373" spans="1:7" x14ac:dyDescent="0.35">
      <c r="A373" t="s">
        <v>32</v>
      </c>
      <c r="E373">
        <v>3.6861237619016003E-3</v>
      </c>
      <c r="F373">
        <f t="shared" si="16"/>
        <v>-1.6325771388539644E-2</v>
      </c>
      <c r="G373">
        <f t="shared" si="17"/>
        <v>-2.8162509729538938E-2</v>
      </c>
    </row>
    <row r="374" spans="1:7" x14ac:dyDescent="0.35">
      <c r="A374" t="s">
        <v>32</v>
      </c>
      <c r="E374">
        <v>1.3976726909823236E-2</v>
      </c>
      <c r="F374">
        <f t="shared" si="16"/>
        <v>-1.6327095642581741E-2</v>
      </c>
      <c r="G374">
        <f t="shared" si="17"/>
        <v>-2.8162509729538938E-2</v>
      </c>
    </row>
    <row r="375" spans="1:7" x14ac:dyDescent="0.35">
      <c r="A375" t="s">
        <v>32</v>
      </c>
      <c r="E375">
        <v>9.7510528438910695E-3</v>
      </c>
      <c r="F375">
        <f t="shared" si="16"/>
        <v>-1.6328419896623841E-2</v>
      </c>
      <c r="G375">
        <f t="shared" si="17"/>
        <v>-2.8162509729538938E-2</v>
      </c>
    </row>
    <row r="376" spans="1:7" x14ac:dyDescent="0.35">
      <c r="A376" t="s">
        <v>33</v>
      </c>
      <c r="B376" s="3" cm="1">
        <f t="array" ref="B376">_xlfn.STDEV.S(_xlfn._xlws.FILTER($E$2:$E$1000, $A$2:$A$1000="2011-07"))</f>
        <v>7.0172150301132255E-3</v>
      </c>
      <c r="C376" s="3" cm="1">
        <f t="array" ref="C376">AVERAGE(_xlfn._xlws.FILTER($E$2:$E$1000, $A$2:$A$1000="2011-07"))</f>
        <v>4.3753230651393589E-4</v>
      </c>
      <c r="D376" s="3" cm="1">
        <f t="array" ref="D376">_xlfn.PERCENTILE.EXC(_xlfn._xlws.FILTER($E$253:$E$502, $A$253:$A$502="2011-07"), 0.05)</f>
        <v>-1.6146308785026132E-2</v>
      </c>
      <c r="E376">
        <v>7.8724744457181525E-3</v>
      </c>
      <c r="F376">
        <f t="shared" si="16"/>
        <v>-1.6329744150665938E-2</v>
      </c>
      <c r="G376">
        <f t="shared" si="17"/>
        <v>-2.8162509729538938E-2</v>
      </c>
    </row>
    <row r="377" spans="1:7" x14ac:dyDescent="0.35">
      <c r="A377" t="s">
        <v>33</v>
      </c>
      <c r="E377">
        <v>4.3823010808315679E-3</v>
      </c>
      <c r="F377">
        <f t="shared" si="16"/>
        <v>-1.6331068404708035E-2</v>
      </c>
      <c r="G377">
        <f t="shared" si="17"/>
        <v>-2.8162509729538938E-2</v>
      </c>
    </row>
    <row r="378" spans="1:7" x14ac:dyDescent="0.35">
      <c r="A378" t="s">
        <v>33</v>
      </c>
      <c r="E378">
        <v>3.834311777152306E-3</v>
      </c>
      <c r="F378">
        <f t="shared" si="16"/>
        <v>-1.6332392658750132E-2</v>
      </c>
      <c r="G378">
        <f t="shared" si="17"/>
        <v>-2.8162509729538938E-2</v>
      </c>
    </row>
    <row r="379" spans="1:7" x14ac:dyDescent="0.35">
      <c r="A379" t="s">
        <v>33</v>
      </c>
      <c r="E379">
        <v>1.6514883560728839E-3</v>
      </c>
      <c r="F379">
        <f t="shared" si="16"/>
        <v>-1.6333716912792232E-2</v>
      </c>
      <c r="G379">
        <f t="shared" si="17"/>
        <v>-2.8162509729538938E-2</v>
      </c>
    </row>
    <row r="380" spans="1:7" x14ac:dyDescent="0.35">
      <c r="A380" t="s">
        <v>33</v>
      </c>
      <c r="E380">
        <v>5.7109199158595575E-3</v>
      </c>
      <c r="F380">
        <f t="shared" si="16"/>
        <v>-1.6335041166834329E-2</v>
      </c>
      <c r="G380">
        <f t="shared" si="17"/>
        <v>-2.8162509729538938E-2</v>
      </c>
    </row>
    <row r="381" spans="1:7" x14ac:dyDescent="0.35">
      <c r="A381" t="s">
        <v>33</v>
      </c>
      <c r="E381">
        <v>-1.0070486688720679E-3</v>
      </c>
      <c r="F381">
        <f t="shared" si="16"/>
        <v>-1.6335187045226202E-2</v>
      </c>
      <c r="G381">
        <f t="shared" si="17"/>
        <v>-2.8231676212361775E-2</v>
      </c>
    </row>
    <row r="382" spans="1:7" x14ac:dyDescent="0.35">
      <c r="A382" t="s">
        <v>33</v>
      </c>
      <c r="E382">
        <v>-1.9311180078889606E-3</v>
      </c>
      <c r="F382">
        <f t="shared" si="16"/>
        <v>-1.6335332923618075E-2</v>
      </c>
      <c r="G382">
        <f t="shared" si="17"/>
        <v>-2.8231676212361775E-2</v>
      </c>
    </row>
    <row r="383" spans="1:7" x14ac:dyDescent="0.35">
      <c r="A383" t="s">
        <v>33</v>
      </c>
      <c r="E383">
        <v>-6.6800359696675207E-3</v>
      </c>
      <c r="F383">
        <f t="shared" si="16"/>
        <v>-1.6335478802009949E-2</v>
      </c>
      <c r="G383">
        <f t="shared" si="17"/>
        <v>-2.8231676212361775E-2</v>
      </c>
    </row>
    <row r="384" spans="1:7" x14ac:dyDescent="0.35">
      <c r="A384" t="s">
        <v>33</v>
      </c>
      <c r="E384">
        <v>7.0240903558816126E-3</v>
      </c>
      <c r="F384">
        <f t="shared" si="16"/>
        <v>-1.6335624680401822E-2</v>
      </c>
      <c r="G384">
        <f t="shared" si="17"/>
        <v>-2.8231676212361775E-2</v>
      </c>
    </row>
    <row r="385" spans="1:7" x14ac:dyDescent="0.35">
      <c r="A385" t="s">
        <v>33</v>
      </c>
      <c r="E385">
        <v>-9.1441672883980762E-3</v>
      </c>
      <c r="F385">
        <f t="shared" si="16"/>
        <v>-1.6335770558793695E-2</v>
      </c>
      <c r="G385">
        <f t="shared" si="17"/>
        <v>-2.8231676212361775E-2</v>
      </c>
    </row>
    <row r="386" spans="1:7" x14ac:dyDescent="0.35">
      <c r="A386" t="s">
        <v>33</v>
      </c>
      <c r="E386">
        <v>1.1438017758134251E-3</v>
      </c>
      <c r="F386">
        <f t="shared" si="16"/>
        <v>-1.6335916437185568E-2</v>
      </c>
      <c r="G386">
        <f t="shared" si="17"/>
        <v>-2.8231676212361775E-2</v>
      </c>
    </row>
    <row r="387" spans="1:7" x14ac:dyDescent="0.35">
      <c r="A387" t="s">
        <v>33</v>
      </c>
      <c r="E387">
        <v>-1.6924324506873693E-2</v>
      </c>
      <c r="F387">
        <f t="shared" si="16"/>
        <v>-1.6336062315577441E-2</v>
      </c>
      <c r="G387">
        <f t="shared" si="17"/>
        <v>-2.8231676212361775E-2</v>
      </c>
    </row>
    <row r="388" spans="1:7" x14ac:dyDescent="0.35">
      <c r="A388" t="s">
        <v>33</v>
      </c>
      <c r="E388">
        <v>5.9736630662993234E-3</v>
      </c>
      <c r="F388">
        <f t="shared" ref="F388:F451" si="18">_xlfn.PERCENTILE.EXC(E388:E4203,0.05)</f>
        <v>-1.6319150118329157E-2</v>
      </c>
      <c r="G388">
        <f t="shared" ref="G388:G451" si="19">AVERAGEIFS(E388:E4204,E388:E4204,"&lt;=" &amp; F388)</f>
        <v>-2.8228230110958038E-2</v>
      </c>
    </row>
    <row r="389" spans="1:7" x14ac:dyDescent="0.35">
      <c r="A389" t="s">
        <v>33</v>
      </c>
      <c r="E389">
        <v>9.3117110738184499E-3</v>
      </c>
      <c r="F389">
        <f t="shared" si="18"/>
        <v>-1.6320474372371253E-2</v>
      </c>
      <c r="G389">
        <f t="shared" si="19"/>
        <v>-2.8228230110958038E-2</v>
      </c>
    </row>
    <row r="390" spans="1:7" x14ac:dyDescent="0.35">
      <c r="A390" t="s">
        <v>33</v>
      </c>
      <c r="E390">
        <v>4.5371669472762804E-3</v>
      </c>
      <c r="F390">
        <f t="shared" si="18"/>
        <v>-1.632179862641335E-2</v>
      </c>
      <c r="G390">
        <f t="shared" si="19"/>
        <v>-2.8228230110958038E-2</v>
      </c>
    </row>
    <row r="391" spans="1:7" x14ac:dyDescent="0.35">
      <c r="A391" t="s">
        <v>33</v>
      </c>
      <c r="E391">
        <v>7.5608339111968804E-3</v>
      </c>
      <c r="F391">
        <f t="shared" si="18"/>
        <v>-1.6323122880455451E-2</v>
      </c>
      <c r="G391">
        <f t="shared" si="19"/>
        <v>-2.8228230110958038E-2</v>
      </c>
    </row>
    <row r="392" spans="1:7" x14ac:dyDescent="0.35">
      <c r="A392" t="s">
        <v>33</v>
      </c>
      <c r="E392">
        <v>-3.7364677284405993E-3</v>
      </c>
      <c r="F392">
        <f t="shared" si="18"/>
        <v>-1.6324447134497547E-2</v>
      </c>
      <c r="G392">
        <f t="shared" si="19"/>
        <v>-2.8228230110958038E-2</v>
      </c>
    </row>
    <row r="393" spans="1:7" x14ac:dyDescent="0.35">
      <c r="A393" t="s">
        <v>33</v>
      </c>
      <c r="E393">
        <v>-1.7226557125405062E-3</v>
      </c>
      <c r="F393">
        <f t="shared" si="18"/>
        <v>-1.6325771388539644E-2</v>
      </c>
      <c r="G393">
        <f t="shared" si="19"/>
        <v>-2.8228230110958038E-2</v>
      </c>
    </row>
    <row r="394" spans="1:7" x14ac:dyDescent="0.35">
      <c r="A394" t="s">
        <v>33</v>
      </c>
      <c r="E394">
        <v>-6.5420420489524225E-3</v>
      </c>
      <c r="F394">
        <f t="shared" si="18"/>
        <v>-1.6327095642581741E-2</v>
      </c>
      <c r="G394">
        <f t="shared" si="19"/>
        <v>-2.8228230110958038E-2</v>
      </c>
    </row>
    <row r="395" spans="1:7" x14ac:dyDescent="0.35">
      <c r="A395" t="s">
        <v>33</v>
      </c>
      <c r="E395">
        <v>6.855846008325347E-3</v>
      </c>
      <c r="F395">
        <f t="shared" si="18"/>
        <v>-1.6328419896623841E-2</v>
      </c>
      <c r="G395">
        <f t="shared" si="19"/>
        <v>-2.8228230110958038E-2</v>
      </c>
    </row>
    <row r="396" spans="1:7" x14ac:dyDescent="0.35">
      <c r="A396" t="s">
        <v>33</v>
      </c>
      <c r="E396">
        <v>-8.9825703458192799E-3</v>
      </c>
      <c r="F396">
        <f t="shared" si="18"/>
        <v>-1.6329744150665938E-2</v>
      </c>
      <c r="G396">
        <f t="shared" si="19"/>
        <v>-2.8228230110958038E-2</v>
      </c>
    </row>
    <row r="397" spans="1:7" x14ac:dyDescent="0.35">
      <c r="A397" t="s">
        <v>34</v>
      </c>
      <c r="B397" s="3" cm="1">
        <f t="array" ref="B397">_xlfn.STDEV.S(_xlfn._xlws.FILTER($E$2:$E$1000, $A$2:$A$1000="2011-08"))</f>
        <v>2.2619879101153543E-2</v>
      </c>
      <c r="C397" s="3" cm="1">
        <f t="array" ref="C397">AVERAGE(_xlfn._xlws.FILTER($E$2:$E$1000, $A$2:$A$1000="2011-08"))</f>
        <v>-4.1282993936666117E-3</v>
      </c>
      <c r="D397" s="3" cm="1">
        <f t="array" ref="D397">_xlfn.PERCENTILE.EXC(_xlfn._xlws.FILTER($E$253:$E$502, $A$253:$A$502="2011-08"), 0.05)</f>
        <v>-4.2158248308558868E-2</v>
      </c>
      <c r="E397">
        <v>-5.7812488851585794E-3</v>
      </c>
      <c r="F397">
        <f t="shared" si="18"/>
        <v>-1.6331068404708035E-2</v>
      </c>
      <c r="G397">
        <f t="shared" si="19"/>
        <v>-2.8228230110958038E-2</v>
      </c>
    </row>
    <row r="398" spans="1:7" x14ac:dyDescent="0.35">
      <c r="A398" t="s">
        <v>34</v>
      </c>
      <c r="E398">
        <v>-7.5801776579636588E-3</v>
      </c>
      <c r="F398">
        <f t="shared" si="18"/>
        <v>-1.6332392658750132E-2</v>
      </c>
      <c r="G398">
        <f t="shared" si="19"/>
        <v>-2.8228230110958038E-2</v>
      </c>
    </row>
    <row r="399" spans="1:7" x14ac:dyDescent="0.35">
      <c r="A399" t="s">
        <v>34</v>
      </c>
      <c r="E399">
        <v>-2.2937904460361667E-2</v>
      </c>
      <c r="F399">
        <f t="shared" si="18"/>
        <v>-1.6333716912792232E-2</v>
      </c>
      <c r="G399">
        <f t="shared" si="19"/>
        <v>-2.8228230110958038E-2</v>
      </c>
    </row>
    <row r="400" spans="1:7" x14ac:dyDescent="0.35">
      <c r="A400" t="s">
        <v>34</v>
      </c>
      <c r="E400">
        <v>-3.2144291659739144E-2</v>
      </c>
      <c r="F400">
        <f t="shared" si="18"/>
        <v>-1.6308556085992375E-2</v>
      </c>
      <c r="G400">
        <f t="shared" si="19"/>
        <v>-2.8189461991809675E-2</v>
      </c>
    </row>
    <row r="401" spans="1:7" x14ac:dyDescent="0.35">
      <c r="A401" t="s">
        <v>34</v>
      </c>
      <c r="E401">
        <v>-2.8767099329337895E-2</v>
      </c>
      <c r="F401">
        <f t="shared" si="18"/>
        <v>-1.6228040267508508E-2</v>
      </c>
      <c r="G401">
        <f t="shared" si="19"/>
        <v>-2.8166198287880681E-2</v>
      </c>
    </row>
    <row r="402" spans="1:7" x14ac:dyDescent="0.35">
      <c r="A402" t="s">
        <v>34</v>
      </c>
      <c r="E402">
        <v>-3.304222509484199E-2</v>
      </c>
      <c r="F402">
        <f t="shared" si="18"/>
        <v>-1.6180130333577059E-2</v>
      </c>
      <c r="G402">
        <f t="shared" si="19"/>
        <v>-2.8092414189430759E-2</v>
      </c>
    </row>
    <row r="403" spans="1:7" x14ac:dyDescent="0.35">
      <c r="A403" t="s">
        <v>34</v>
      </c>
      <c r="E403">
        <v>8.9120782697499432E-3</v>
      </c>
      <c r="F403">
        <f t="shared" si="18"/>
        <v>-1.6167124193049297E-2</v>
      </c>
      <c r="G403">
        <f t="shared" si="19"/>
        <v>-2.7993196852757123E-2</v>
      </c>
    </row>
    <row r="404" spans="1:7" x14ac:dyDescent="0.35">
      <c r="A404" t="s">
        <v>34</v>
      </c>
      <c r="E404">
        <v>-3.2071395917700543E-2</v>
      </c>
      <c r="F404">
        <f t="shared" si="18"/>
        <v>-1.6167603820536065E-2</v>
      </c>
      <c r="G404">
        <f t="shared" si="19"/>
        <v>-2.7993196852757123E-2</v>
      </c>
    </row>
    <row r="405" spans="1:7" x14ac:dyDescent="0.35">
      <c r="A405" t="s">
        <v>34</v>
      </c>
      <c r="E405">
        <v>3.2818947230607312E-2</v>
      </c>
      <c r="F405">
        <f t="shared" si="18"/>
        <v>-1.616445988117627E-2</v>
      </c>
      <c r="G405">
        <f t="shared" si="19"/>
        <v>-2.7899633849185885E-2</v>
      </c>
    </row>
    <row r="406" spans="1:7" x14ac:dyDescent="0.35">
      <c r="A406" t="s">
        <v>34</v>
      </c>
      <c r="E406">
        <v>3.2149739120401255E-2</v>
      </c>
      <c r="F406">
        <f t="shared" si="18"/>
        <v>-1.6164541576470452E-2</v>
      </c>
      <c r="G406">
        <f t="shared" si="19"/>
        <v>-2.7899633849185885E-2</v>
      </c>
    </row>
    <row r="407" spans="1:7" x14ac:dyDescent="0.35">
      <c r="A407" t="s">
        <v>34</v>
      </c>
      <c r="E407">
        <v>5.2589405425459146E-3</v>
      </c>
      <c r="F407">
        <f t="shared" si="18"/>
        <v>-1.6164623271764635E-2</v>
      </c>
      <c r="G407">
        <f t="shared" si="19"/>
        <v>-2.7899633849185885E-2</v>
      </c>
    </row>
    <row r="408" spans="1:7" x14ac:dyDescent="0.35">
      <c r="A408" t="s">
        <v>34</v>
      </c>
      <c r="E408">
        <v>-7.5429734088680792E-5</v>
      </c>
      <c r="F408">
        <f t="shared" si="18"/>
        <v>-1.6164704967058813E-2</v>
      </c>
      <c r="G408">
        <f t="shared" si="19"/>
        <v>-2.7899633849185885E-2</v>
      </c>
    </row>
    <row r="409" spans="1:7" x14ac:dyDescent="0.35">
      <c r="A409" t="s">
        <v>34</v>
      </c>
      <c r="E409">
        <v>-4.3171139776749634E-2</v>
      </c>
      <c r="F409">
        <f t="shared" si="18"/>
        <v>-1.6164786662352996E-2</v>
      </c>
      <c r="G409">
        <f t="shared" si="19"/>
        <v>-2.7899633849185885E-2</v>
      </c>
    </row>
    <row r="410" spans="1:7" x14ac:dyDescent="0.35">
      <c r="A410" t="s">
        <v>34</v>
      </c>
      <c r="E410">
        <v>-1.1185529586031197E-2</v>
      </c>
      <c r="F410">
        <f t="shared" si="18"/>
        <v>-1.6151253794219306E-2</v>
      </c>
      <c r="G410">
        <f t="shared" si="19"/>
        <v>-2.7740768623467978E-2</v>
      </c>
    </row>
    <row r="411" spans="1:7" x14ac:dyDescent="0.35">
      <c r="A411" t="s">
        <v>34</v>
      </c>
      <c r="E411">
        <v>7.8488772333525098E-3</v>
      </c>
      <c r="F411">
        <f t="shared" si="18"/>
        <v>-1.6152533555267908E-2</v>
      </c>
      <c r="G411">
        <f t="shared" si="19"/>
        <v>-2.7740768623467978E-2</v>
      </c>
    </row>
    <row r="412" spans="1:7" x14ac:dyDescent="0.35">
      <c r="A412" t="s">
        <v>34</v>
      </c>
      <c r="E412">
        <v>5.630340713843154E-3</v>
      </c>
      <c r="F412">
        <f t="shared" si="18"/>
        <v>-1.6153813316316514E-2</v>
      </c>
      <c r="G412">
        <f t="shared" si="19"/>
        <v>-2.7740768623467978E-2</v>
      </c>
    </row>
    <row r="413" spans="1:7" x14ac:dyDescent="0.35">
      <c r="A413" t="s">
        <v>34</v>
      </c>
      <c r="E413">
        <v>8.5601150833224029E-3</v>
      </c>
      <c r="F413">
        <f t="shared" si="18"/>
        <v>-1.615509307736512E-2</v>
      </c>
      <c r="G413">
        <f t="shared" si="19"/>
        <v>-2.7740768623467978E-2</v>
      </c>
    </row>
    <row r="414" spans="1:7" x14ac:dyDescent="0.35">
      <c r="A414" t="s">
        <v>34</v>
      </c>
      <c r="E414">
        <v>-1.7665533381432799E-2</v>
      </c>
      <c r="F414">
        <f t="shared" si="18"/>
        <v>-1.6156372838413726E-2</v>
      </c>
      <c r="G414">
        <f t="shared" si="19"/>
        <v>-2.7740768623467978E-2</v>
      </c>
    </row>
    <row r="415" spans="1:7" x14ac:dyDescent="0.35">
      <c r="A415" t="s">
        <v>34</v>
      </c>
      <c r="E415">
        <v>-4.1390832157793215E-3</v>
      </c>
      <c r="F415">
        <f t="shared" si="18"/>
        <v>-1.613535982636552E-2</v>
      </c>
      <c r="G415">
        <f t="shared" si="19"/>
        <v>-2.7731785816422688E-2</v>
      </c>
    </row>
    <row r="416" spans="1:7" x14ac:dyDescent="0.35">
      <c r="A416" t="s">
        <v>34</v>
      </c>
      <c r="E416">
        <v>2.7052305466196847E-2</v>
      </c>
      <c r="F416">
        <f t="shared" si="18"/>
        <v>-1.6135979097839065E-2</v>
      </c>
      <c r="G416">
        <f t="shared" si="19"/>
        <v>-2.7731785816422688E-2</v>
      </c>
    </row>
    <row r="417" spans="1:7" x14ac:dyDescent="0.35">
      <c r="A417" t="s">
        <v>34</v>
      </c>
      <c r="E417">
        <v>2.3635427772166942E-2</v>
      </c>
      <c r="F417">
        <f t="shared" si="18"/>
        <v>-1.613659836931261E-2</v>
      </c>
      <c r="G417">
        <f t="shared" si="19"/>
        <v>-2.7731785816422688E-2</v>
      </c>
    </row>
    <row r="418" spans="1:7" x14ac:dyDescent="0.35">
      <c r="A418" t="s">
        <v>35</v>
      </c>
      <c r="B418" s="3" cm="1">
        <f t="array" ref="B418">_xlfn.STDEV.S(_xlfn._xlws.FILTER($E$2:$E$1000, $A$2:$A$1000="2011-09"))</f>
        <v>2.0328773350302157E-2</v>
      </c>
      <c r="C418" s="3" cm="1">
        <f t="array" ref="C418">AVERAGE(_xlfn._xlws.FILTER($E$2:$E$1000, $A$2:$A$1000="2011-09"))</f>
        <v>-9.4752619762717186E-4</v>
      </c>
      <c r="D418" s="3" cm="1">
        <f t="array" ref="D418">_xlfn.PERCENTILE.EXC(_xlfn._xlws.FILTER($E$253:$E$502, $A$253:$A$502="2011-09"), 0.05)</f>
        <v>-4.5115788076765494E-2</v>
      </c>
      <c r="E418">
        <v>7.0684316862053634E-3</v>
      </c>
      <c r="F418">
        <f t="shared" si="18"/>
        <v>-1.6137217640786156E-2</v>
      </c>
      <c r="G418">
        <f t="shared" si="19"/>
        <v>-2.7731785816422688E-2</v>
      </c>
    </row>
    <row r="419" spans="1:7" x14ac:dyDescent="0.35">
      <c r="A419" t="s">
        <v>35</v>
      </c>
      <c r="E419">
        <v>-1.5537914315789408E-2</v>
      </c>
      <c r="F419">
        <f t="shared" si="18"/>
        <v>-1.6137836912259701E-2</v>
      </c>
      <c r="G419">
        <f t="shared" si="19"/>
        <v>-2.7731785816422688E-2</v>
      </c>
    </row>
    <row r="420" spans="1:7" x14ac:dyDescent="0.35">
      <c r="A420" t="s">
        <v>35</v>
      </c>
      <c r="E420">
        <v>-3.6675342921788444E-2</v>
      </c>
      <c r="F420">
        <f t="shared" si="18"/>
        <v>-1.6138456183733246E-2</v>
      </c>
      <c r="G420">
        <f t="shared" si="19"/>
        <v>-2.7731785816422688E-2</v>
      </c>
    </row>
    <row r="421" spans="1:7" x14ac:dyDescent="0.35">
      <c r="A421" t="s">
        <v>35</v>
      </c>
      <c r="E421">
        <v>9.4464637243397778E-3</v>
      </c>
      <c r="F421">
        <f t="shared" si="18"/>
        <v>-1.6126690025735892E-2</v>
      </c>
      <c r="G421">
        <f t="shared" si="19"/>
        <v>-2.7678865360177926E-2</v>
      </c>
    </row>
    <row r="422" spans="1:7" x14ac:dyDescent="0.35">
      <c r="A422" t="s">
        <v>35</v>
      </c>
      <c r="E422">
        <v>2.6297484632285859E-2</v>
      </c>
      <c r="F422">
        <f t="shared" si="18"/>
        <v>-1.6127309297209437E-2</v>
      </c>
      <c r="G422">
        <f t="shared" si="19"/>
        <v>-2.7678865360177926E-2</v>
      </c>
    </row>
    <row r="423" spans="1:7" x14ac:dyDescent="0.35">
      <c r="A423" t="s">
        <v>35</v>
      </c>
      <c r="E423">
        <v>1.6192285615193716E-2</v>
      </c>
      <c r="F423">
        <f t="shared" si="18"/>
        <v>-1.6127928568682982E-2</v>
      </c>
      <c r="G423">
        <f t="shared" si="19"/>
        <v>-2.7678865360177926E-2</v>
      </c>
    </row>
    <row r="424" spans="1:7" x14ac:dyDescent="0.35">
      <c r="A424" t="s">
        <v>35</v>
      </c>
      <c r="E424">
        <v>-1.3705455084541632E-2</v>
      </c>
      <c r="F424">
        <f t="shared" si="18"/>
        <v>-1.6128547840156528E-2</v>
      </c>
      <c r="G424">
        <f t="shared" si="19"/>
        <v>-2.7678865360177926E-2</v>
      </c>
    </row>
    <row r="425" spans="1:7" x14ac:dyDescent="0.35">
      <c r="A425" t="s">
        <v>35</v>
      </c>
      <c r="E425">
        <v>-1.4583461068161725E-2</v>
      </c>
      <c r="F425">
        <f t="shared" si="18"/>
        <v>-1.6129167111630073E-2</v>
      </c>
      <c r="G425">
        <f t="shared" si="19"/>
        <v>-2.7678865360177926E-2</v>
      </c>
    </row>
    <row r="426" spans="1:7" x14ac:dyDescent="0.35">
      <c r="A426" t="s">
        <v>35</v>
      </c>
      <c r="E426">
        <v>1.3745369049053056E-3</v>
      </c>
      <c r="F426">
        <f t="shared" si="18"/>
        <v>-1.6129786383103615E-2</v>
      </c>
      <c r="G426">
        <f t="shared" si="19"/>
        <v>-2.7678865360177926E-2</v>
      </c>
    </row>
    <row r="427" spans="1:7" x14ac:dyDescent="0.35">
      <c r="A427" t="s">
        <v>35</v>
      </c>
      <c r="E427">
        <v>5.9923674121751171E-3</v>
      </c>
      <c r="F427">
        <f t="shared" si="18"/>
        <v>-1.613040565457716E-2</v>
      </c>
      <c r="G427">
        <f t="shared" si="19"/>
        <v>-2.7678865360177926E-2</v>
      </c>
    </row>
    <row r="428" spans="1:7" x14ac:dyDescent="0.35">
      <c r="A428" t="s">
        <v>35</v>
      </c>
      <c r="E428">
        <v>1.305944916323639E-2</v>
      </c>
      <c r="F428">
        <f t="shared" si="18"/>
        <v>-1.6131024926050706E-2</v>
      </c>
      <c r="G428">
        <f t="shared" si="19"/>
        <v>-2.7678865360177926E-2</v>
      </c>
    </row>
    <row r="429" spans="1:7" x14ac:dyDescent="0.35">
      <c r="A429" t="s">
        <v>35</v>
      </c>
      <c r="E429">
        <v>9.5619798808456308E-3</v>
      </c>
      <c r="F429">
        <f t="shared" si="18"/>
        <v>-1.6131644197524251E-2</v>
      </c>
      <c r="G429">
        <f t="shared" si="19"/>
        <v>-2.7678865360177926E-2</v>
      </c>
    </row>
    <row r="430" spans="1:7" x14ac:dyDescent="0.35">
      <c r="A430" t="s">
        <v>35</v>
      </c>
      <c r="E430">
        <v>-1.6766804945123379E-2</v>
      </c>
      <c r="F430">
        <f t="shared" si="18"/>
        <v>-1.6132263468997796E-2</v>
      </c>
      <c r="G430">
        <f t="shared" si="19"/>
        <v>-2.7678865360177926E-2</v>
      </c>
    </row>
    <row r="431" spans="1:7" x14ac:dyDescent="0.35">
      <c r="A431" t="s">
        <v>35</v>
      </c>
      <c r="E431">
        <v>1.9811823134646044E-2</v>
      </c>
      <c r="F431">
        <f t="shared" si="18"/>
        <v>-1.6106387146904513E-2</v>
      </c>
      <c r="G431">
        <f t="shared" si="19"/>
        <v>-2.767507403360479E-2</v>
      </c>
    </row>
    <row r="432" spans="1:7" x14ac:dyDescent="0.35">
      <c r="A432" t="s">
        <v>35</v>
      </c>
      <c r="E432">
        <v>-2.3344153254270094E-2</v>
      </c>
      <c r="F432">
        <f t="shared" si="18"/>
        <v>-1.6108574214388719E-2</v>
      </c>
      <c r="G432">
        <f t="shared" si="19"/>
        <v>-2.767507403360479E-2</v>
      </c>
    </row>
    <row r="433" spans="1:7" x14ac:dyDescent="0.35">
      <c r="A433" t="s">
        <v>35</v>
      </c>
      <c r="E433">
        <v>-4.6605278398232031E-2</v>
      </c>
      <c r="F433">
        <f t="shared" si="18"/>
        <v>-1.6079003552461633E-2</v>
      </c>
      <c r="G433">
        <f t="shared" si="19"/>
        <v>-2.7632104661713119E-2</v>
      </c>
    </row>
    <row r="434" spans="1:7" x14ac:dyDescent="0.35">
      <c r="A434" t="s">
        <v>35</v>
      </c>
      <c r="E434">
        <v>1.0722596729002647E-2</v>
      </c>
      <c r="F434">
        <f t="shared" si="18"/>
        <v>-1.6030927883951551E-2</v>
      </c>
      <c r="G434">
        <f t="shared" si="19"/>
        <v>-2.7451439268646419E-2</v>
      </c>
    </row>
    <row r="435" spans="1:7" x14ac:dyDescent="0.35">
      <c r="A435" t="s">
        <v>35</v>
      </c>
      <c r="E435">
        <v>9.8269203639451252E-3</v>
      </c>
      <c r="F435">
        <f t="shared" si="18"/>
        <v>-1.6037911064952844E-2</v>
      </c>
      <c r="G435">
        <f t="shared" si="19"/>
        <v>-2.7451439268646419E-2</v>
      </c>
    </row>
    <row r="436" spans="1:7" x14ac:dyDescent="0.35">
      <c r="A436" t="s">
        <v>35</v>
      </c>
      <c r="E436">
        <v>3.7857937164422255E-2</v>
      </c>
      <c r="F436">
        <f t="shared" si="18"/>
        <v>-1.6044894245954133E-2</v>
      </c>
      <c r="G436">
        <f t="shared" si="19"/>
        <v>-2.7451439268646419E-2</v>
      </c>
    </row>
    <row r="437" spans="1:7" x14ac:dyDescent="0.35">
      <c r="A437" t="s">
        <v>35</v>
      </c>
      <c r="E437">
        <v>-1.654757285777712E-2</v>
      </c>
      <c r="F437">
        <f t="shared" si="18"/>
        <v>-1.6051877426955422E-2</v>
      </c>
      <c r="G437">
        <f t="shared" si="19"/>
        <v>-2.7451439268646419E-2</v>
      </c>
    </row>
    <row r="438" spans="1:7" x14ac:dyDescent="0.35">
      <c r="A438" t="s">
        <v>35</v>
      </c>
      <c r="E438">
        <v>-2.0806220023002102E-3</v>
      </c>
      <c r="F438">
        <f t="shared" si="18"/>
        <v>-1.5923442071596915E-2</v>
      </c>
      <c r="G438">
        <f t="shared" si="19"/>
        <v>-2.7447803709428412E-2</v>
      </c>
    </row>
    <row r="439" spans="1:7" x14ac:dyDescent="0.35">
      <c r="A439" t="s">
        <v>35</v>
      </c>
      <c r="E439">
        <v>-2.2112479110169784E-3</v>
      </c>
      <c r="F439">
        <f t="shared" si="18"/>
        <v>-1.5928302710765202E-2</v>
      </c>
      <c r="G439">
        <f t="shared" si="19"/>
        <v>-2.7447803709428412E-2</v>
      </c>
    </row>
    <row r="440" spans="1:7" x14ac:dyDescent="0.35">
      <c r="A440" t="s">
        <v>36</v>
      </c>
      <c r="B440" s="3" cm="1">
        <f t="array" ref="B440">_xlfn.STDEV.S(_xlfn._xlws.FILTER($E$2:$E$1000, $A$2:$A$1000="2011-10"))</f>
        <v>1.4302826952954834E-2</v>
      </c>
      <c r="C440" s="3" cm="1">
        <f t="array" ref="C440">AVERAGE(_xlfn._xlws.FILTER($E$2:$E$1000, $A$2:$A$1000="2011-10"))</f>
        <v>3.4254490096690118E-3</v>
      </c>
      <c r="D440" s="3" cm="1">
        <f t="array" ref="D440">_xlfn.PERCENTILE.EXC(_xlfn._xlws.FILTER($E$253:$E$502, $A$253:$A$502="2011-10"), 0.05)</f>
        <v>-3.0160571969556425E-2</v>
      </c>
      <c r="E440">
        <v>-7.8119494071771734E-3</v>
      </c>
      <c r="F440">
        <f t="shared" si="18"/>
        <v>-1.5933163349933485E-2</v>
      </c>
      <c r="G440">
        <f t="shared" si="19"/>
        <v>-2.7447803709428412E-2</v>
      </c>
    </row>
    <row r="441" spans="1:7" x14ac:dyDescent="0.35">
      <c r="A441" t="s">
        <v>36</v>
      </c>
      <c r="E441">
        <v>-3.2131358152793756E-2</v>
      </c>
      <c r="F441">
        <f t="shared" si="18"/>
        <v>-1.5940146530934774E-2</v>
      </c>
      <c r="G441">
        <f t="shared" si="19"/>
        <v>-2.7516343235377782E-2</v>
      </c>
    </row>
    <row r="442" spans="1:7" x14ac:dyDescent="0.35">
      <c r="A442" t="s">
        <v>36</v>
      </c>
      <c r="E442">
        <v>3.0111868632454634E-2</v>
      </c>
      <c r="F442">
        <f t="shared" si="18"/>
        <v>-1.5845671844904385E-2</v>
      </c>
      <c r="G442">
        <f t="shared" si="19"/>
        <v>-2.7419925409170282E-2</v>
      </c>
    </row>
    <row r="443" spans="1:7" x14ac:dyDescent="0.35">
      <c r="A443" t="s">
        <v>36</v>
      </c>
      <c r="E443">
        <v>2.8596868851563602E-2</v>
      </c>
      <c r="F443">
        <f t="shared" si="18"/>
        <v>-1.5850532484072668E-2</v>
      </c>
      <c r="G443">
        <f t="shared" si="19"/>
        <v>-2.7419925409170282E-2</v>
      </c>
    </row>
    <row r="444" spans="1:7" x14ac:dyDescent="0.35">
      <c r="A444" t="s">
        <v>36</v>
      </c>
      <c r="E444">
        <v>1.3381021009647489E-2</v>
      </c>
      <c r="F444">
        <f t="shared" si="18"/>
        <v>-1.5855393123240951E-2</v>
      </c>
      <c r="G444">
        <f t="shared" si="19"/>
        <v>-2.7419925409170282E-2</v>
      </c>
    </row>
    <row r="445" spans="1:7" x14ac:dyDescent="0.35">
      <c r="A445" t="s">
        <v>36</v>
      </c>
      <c r="E445">
        <v>5.4054442046202154E-3</v>
      </c>
      <c r="F445">
        <f t="shared" si="18"/>
        <v>-1.5860253762409234E-2</v>
      </c>
      <c r="G445">
        <f t="shared" si="19"/>
        <v>-2.7419925409170282E-2</v>
      </c>
    </row>
    <row r="446" spans="1:7" x14ac:dyDescent="0.35">
      <c r="A446" t="s">
        <v>36</v>
      </c>
      <c r="E446">
        <v>-4.1986095776734966E-3</v>
      </c>
      <c r="F446">
        <f t="shared" si="18"/>
        <v>-1.5865114401577517E-2</v>
      </c>
      <c r="G446">
        <f t="shared" si="19"/>
        <v>-2.7419925409170282E-2</v>
      </c>
    </row>
    <row r="447" spans="1:7" x14ac:dyDescent="0.35">
      <c r="A447" t="s">
        <v>36</v>
      </c>
      <c r="E447">
        <v>6.6455285177539443E-3</v>
      </c>
      <c r="F447">
        <f t="shared" si="18"/>
        <v>-1.5869975040745801E-2</v>
      </c>
      <c r="G447">
        <f t="shared" si="19"/>
        <v>-2.7419925409170282E-2</v>
      </c>
    </row>
    <row r="448" spans="1:7" x14ac:dyDescent="0.35">
      <c r="A448" t="s">
        <v>36</v>
      </c>
      <c r="E448">
        <v>-4.2000756156857499E-3</v>
      </c>
      <c r="F448">
        <f t="shared" si="18"/>
        <v>-1.5874835679914084E-2</v>
      </c>
      <c r="G448">
        <f t="shared" si="19"/>
        <v>-2.7419925409170282E-2</v>
      </c>
    </row>
    <row r="449" spans="1:7" x14ac:dyDescent="0.35">
      <c r="A449" t="s">
        <v>36</v>
      </c>
      <c r="E449">
        <v>8.1191465004352183E-3</v>
      </c>
      <c r="F449">
        <f t="shared" si="18"/>
        <v>-1.5879696319082367E-2</v>
      </c>
      <c r="G449">
        <f t="shared" si="19"/>
        <v>-2.7419925409170282E-2</v>
      </c>
    </row>
    <row r="450" spans="1:7" x14ac:dyDescent="0.35">
      <c r="A450" t="s">
        <v>36</v>
      </c>
      <c r="E450">
        <v>-8.7829436744238138E-4</v>
      </c>
      <c r="F450">
        <f t="shared" si="18"/>
        <v>-1.5884556958250654E-2</v>
      </c>
      <c r="G450">
        <f t="shared" si="19"/>
        <v>-2.7419925409170282E-2</v>
      </c>
    </row>
    <row r="451" spans="1:7" x14ac:dyDescent="0.35">
      <c r="A451" t="s">
        <v>36</v>
      </c>
      <c r="E451">
        <v>-7.296529956242955E-3</v>
      </c>
      <c r="F451">
        <f t="shared" si="18"/>
        <v>-1.5889417597418933E-2</v>
      </c>
      <c r="G451">
        <f t="shared" si="19"/>
        <v>-2.7419925409170282E-2</v>
      </c>
    </row>
    <row r="452" spans="1:7" x14ac:dyDescent="0.35">
      <c r="A452" t="s">
        <v>36</v>
      </c>
      <c r="E452">
        <v>1.0071128494759185E-2</v>
      </c>
      <c r="F452">
        <f t="shared" ref="F452:F515" si="20">_xlfn.PERCENTILE.EXC(E452:E4267,0.05)</f>
        <v>-1.5894278236587216E-2</v>
      </c>
      <c r="G452">
        <f t="shared" ref="G452:G515" si="21">AVERAGEIFS(E452:E4268,E452:E4268,"&lt;=" &amp; F452)</f>
        <v>-2.7419925409170282E-2</v>
      </c>
    </row>
    <row r="453" spans="1:7" x14ac:dyDescent="0.35">
      <c r="A453" t="s">
        <v>36</v>
      </c>
      <c r="E453">
        <v>-9.9607331268168602E-3</v>
      </c>
      <c r="F453">
        <f t="shared" si="20"/>
        <v>-1.58991388757555E-2</v>
      </c>
      <c r="G453">
        <f t="shared" si="21"/>
        <v>-2.7419925409170282E-2</v>
      </c>
    </row>
    <row r="454" spans="1:7" x14ac:dyDescent="0.35">
      <c r="A454" t="s">
        <v>36</v>
      </c>
      <c r="E454">
        <v>2.0004184660499337E-2</v>
      </c>
      <c r="F454">
        <f t="shared" si="20"/>
        <v>-1.5903999514923783E-2</v>
      </c>
      <c r="G454">
        <f t="shared" si="21"/>
        <v>-2.7419925409170282E-2</v>
      </c>
    </row>
    <row r="455" spans="1:7" x14ac:dyDescent="0.35">
      <c r="A455" t="s">
        <v>36</v>
      </c>
      <c r="E455">
        <v>9.7203976280890187E-3</v>
      </c>
      <c r="F455">
        <f t="shared" si="20"/>
        <v>-1.5908860154092069E-2</v>
      </c>
      <c r="G455">
        <f t="shared" si="21"/>
        <v>-2.7419925409170282E-2</v>
      </c>
    </row>
    <row r="456" spans="1:7" x14ac:dyDescent="0.35">
      <c r="A456" t="s">
        <v>36</v>
      </c>
      <c r="E456">
        <v>-2.9764828207350614E-3</v>
      </c>
      <c r="F456">
        <f t="shared" si="20"/>
        <v>-1.5913720793260349E-2</v>
      </c>
      <c r="G456">
        <f t="shared" si="21"/>
        <v>-2.7419925409170282E-2</v>
      </c>
    </row>
    <row r="457" spans="1:7" x14ac:dyDescent="0.35">
      <c r="A457" t="s">
        <v>36</v>
      </c>
      <c r="E457">
        <v>5.3885571647151534E-3</v>
      </c>
      <c r="F457">
        <f t="shared" si="20"/>
        <v>-1.5918581432428636E-2</v>
      </c>
      <c r="G457">
        <f t="shared" si="21"/>
        <v>-2.7419925409170282E-2</v>
      </c>
    </row>
    <row r="458" spans="1:7" x14ac:dyDescent="0.35">
      <c r="A458" t="s">
        <v>36</v>
      </c>
      <c r="E458">
        <v>1.4919836289849586E-2</v>
      </c>
      <c r="F458">
        <f t="shared" si="20"/>
        <v>-1.5923442071596915E-2</v>
      </c>
      <c r="G458">
        <f t="shared" si="21"/>
        <v>-2.7419925409170282E-2</v>
      </c>
    </row>
    <row r="459" spans="1:7" x14ac:dyDescent="0.35">
      <c r="A459" t="s">
        <v>36</v>
      </c>
      <c r="E459">
        <v>1.4479765936497913E-3</v>
      </c>
      <c r="F459">
        <f t="shared" si="20"/>
        <v>-1.5928302710765202E-2</v>
      </c>
      <c r="G459">
        <f t="shared" si="21"/>
        <v>-2.7419925409170282E-2</v>
      </c>
    </row>
    <row r="460" spans="1:7" x14ac:dyDescent="0.35">
      <c r="A460" t="s">
        <v>36</v>
      </c>
      <c r="E460">
        <v>-1.242349632042046E-2</v>
      </c>
      <c r="F460">
        <f t="shared" si="20"/>
        <v>-1.5933163349933485E-2</v>
      </c>
      <c r="G460">
        <f t="shared" si="21"/>
        <v>-2.7419925409170282E-2</v>
      </c>
    </row>
    <row r="461" spans="1:7" x14ac:dyDescent="0.35">
      <c r="A461" t="s">
        <v>37</v>
      </c>
      <c r="B461" s="3" cm="1">
        <f t="array" ref="B461">_xlfn.STDEV.S(_xlfn._xlws.FILTER($E$2:$E$1000, $A$2:$A$1000="2011-11"))</f>
        <v>1.4703327400922063E-2</v>
      </c>
      <c r="C461" s="3" cm="1">
        <f t="array" ref="C461">AVERAGE(_xlfn._xlws.FILTER($E$2:$E$1000, $A$2:$A$1000="2011-11"))</f>
        <v>1.4296858326925323E-4</v>
      </c>
      <c r="D461" s="3" cm="1">
        <f t="array" ref="D461">_xlfn.PERCENTILE.EXC(_xlfn._xlws.FILTER($E$253:$E$502, $A$253:$A$502="2011-11"), 0.05)</f>
        <v>-3.2230808745870684E-2</v>
      </c>
      <c r="E461">
        <v>-1.6363931974697418E-2</v>
      </c>
      <c r="F461">
        <f t="shared" si="20"/>
        <v>-1.5940146530934774E-2</v>
      </c>
      <c r="G461">
        <f t="shared" si="21"/>
        <v>-2.7488708415513017E-2</v>
      </c>
    </row>
    <row r="462" spans="1:7" x14ac:dyDescent="0.35">
      <c r="A462" t="s">
        <v>37</v>
      </c>
      <c r="E462">
        <v>8.7357251139316694E-3</v>
      </c>
      <c r="F462">
        <f t="shared" si="20"/>
        <v>-1.5845671844904385E-2</v>
      </c>
      <c r="G462">
        <f t="shared" si="21"/>
        <v>-2.7486128962670123E-2</v>
      </c>
    </row>
    <row r="463" spans="1:7" x14ac:dyDescent="0.35">
      <c r="A463" t="s">
        <v>37</v>
      </c>
      <c r="E463">
        <v>1.0214643838288726E-2</v>
      </c>
      <c r="F463">
        <f t="shared" si="20"/>
        <v>-1.5850532484072668E-2</v>
      </c>
      <c r="G463">
        <f t="shared" si="21"/>
        <v>-2.7486128962670123E-2</v>
      </c>
    </row>
    <row r="464" spans="1:7" x14ac:dyDescent="0.35">
      <c r="A464" t="s">
        <v>37</v>
      </c>
      <c r="E464">
        <v>5.0531389480424032E-4</v>
      </c>
      <c r="F464">
        <f t="shared" si="20"/>
        <v>-1.5855393123240951E-2</v>
      </c>
      <c r="G464">
        <f t="shared" si="21"/>
        <v>-2.7486128962670123E-2</v>
      </c>
    </row>
    <row r="465" spans="1:7" x14ac:dyDescent="0.35">
      <c r="A465" t="s">
        <v>37</v>
      </c>
      <c r="E465">
        <v>-9.8146307749576427E-4</v>
      </c>
      <c r="F465">
        <f t="shared" si="20"/>
        <v>-1.5860253762409234E-2</v>
      </c>
      <c r="G465">
        <f t="shared" si="21"/>
        <v>-2.7486128962670123E-2</v>
      </c>
    </row>
    <row r="466" spans="1:7" x14ac:dyDescent="0.35">
      <c r="A466" t="s">
        <v>37</v>
      </c>
      <c r="E466">
        <v>1.1024406357802713E-2</v>
      </c>
      <c r="F466">
        <f t="shared" si="20"/>
        <v>-1.5865114401577517E-2</v>
      </c>
      <c r="G466">
        <f t="shared" si="21"/>
        <v>-2.7486128962670123E-2</v>
      </c>
    </row>
    <row r="467" spans="1:7" x14ac:dyDescent="0.35">
      <c r="A467" t="s">
        <v>37</v>
      </c>
      <c r="E467">
        <v>-1.3962245200806305E-2</v>
      </c>
      <c r="F467">
        <f t="shared" si="20"/>
        <v>-1.5869975040745801E-2</v>
      </c>
      <c r="G467">
        <f t="shared" si="21"/>
        <v>-2.7486128962670123E-2</v>
      </c>
    </row>
    <row r="468" spans="1:7" x14ac:dyDescent="0.35">
      <c r="A468" t="s">
        <v>37</v>
      </c>
      <c r="E468">
        <v>-4.3189464781857693E-3</v>
      </c>
      <c r="F468">
        <f t="shared" si="20"/>
        <v>-1.5874835679914084E-2</v>
      </c>
      <c r="G468">
        <f t="shared" si="21"/>
        <v>-2.7486128962670123E-2</v>
      </c>
    </row>
    <row r="469" spans="1:7" x14ac:dyDescent="0.35">
      <c r="A469" t="s">
        <v>37</v>
      </c>
      <c r="E469">
        <v>1.5430152888481629E-2</v>
      </c>
      <c r="F469">
        <f t="shared" si="20"/>
        <v>-1.5879696319082367E-2</v>
      </c>
      <c r="G469">
        <f t="shared" si="21"/>
        <v>-2.7486128962670123E-2</v>
      </c>
    </row>
    <row r="470" spans="1:7" x14ac:dyDescent="0.35">
      <c r="A470" t="s">
        <v>37</v>
      </c>
      <c r="E470">
        <v>-5.6183362581764991E-3</v>
      </c>
      <c r="F470">
        <f t="shared" si="20"/>
        <v>-1.5884556958250654E-2</v>
      </c>
      <c r="G470">
        <f t="shared" si="21"/>
        <v>-2.7486128962670123E-2</v>
      </c>
    </row>
    <row r="471" spans="1:7" x14ac:dyDescent="0.35">
      <c r="A471" t="s">
        <v>37</v>
      </c>
      <c r="E471">
        <v>1.5457228745223905E-3</v>
      </c>
      <c r="F471">
        <f t="shared" si="20"/>
        <v>-1.5889417597418933E-2</v>
      </c>
      <c r="G471">
        <f t="shared" si="21"/>
        <v>-2.7486128962670123E-2</v>
      </c>
    </row>
    <row r="472" spans="1:7" x14ac:dyDescent="0.35">
      <c r="A472" t="s">
        <v>37</v>
      </c>
      <c r="E472">
        <v>-4.2784027558282521E-3</v>
      </c>
      <c r="F472">
        <f t="shared" si="20"/>
        <v>-1.5894278236587216E-2</v>
      </c>
      <c r="G472">
        <f t="shared" si="21"/>
        <v>-2.7486128962670123E-2</v>
      </c>
    </row>
    <row r="473" spans="1:7" x14ac:dyDescent="0.35">
      <c r="A473" t="s">
        <v>37</v>
      </c>
      <c r="E473">
        <v>-1.2514686967197026E-2</v>
      </c>
      <c r="F473">
        <f t="shared" si="20"/>
        <v>-1.58991388757555E-2</v>
      </c>
      <c r="G473">
        <f t="shared" si="21"/>
        <v>-2.7486128962670123E-2</v>
      </c>
    </row>
    <row r="474" spans="1:7" x14ac:dyDescent="0.35">
      <c r="A474" t="s">
        <v>37</v>
      </c>
      <c r="E474">
        <v>-1.2247109478576542E-2</v>
      </c>
      <c r="F474">
        <f t="shared" si="20"/>
        <v>-1.5903999514923783E-2</v>
      </c>
      <c r="G474">
        <f t="shared" si="21"/>
        <v>-2.7486128962670123E-2</v>
      </c>
    </row>
    <row r="475" spans="1:7" x14ac:dyDescent="0.35">
      <c r="A475" t="s">
        <v>37</v>
      </c>
      <c r="E475">
        <v>-3.5030845823136557E-2</v>
      </c>
      <c r="F475">
        <f t="shared" si="20"/>
        <v>-1.5908860154092069E-2</v>
      </c>
      <c r="G475">
        <f t="shared" si="21"/>
        <v>-2.7486128962670123E-2</v>
      </c>
    </row>
    <row r="476" spans="1:7" x14ac:dyDescent="0.35">
      <c r="A476" t="s">
        <v>37</v>
      </c>
      <c r="E476">
        <v>-3.9443133303513683E-3</v>
      </c>
      <c r="F476">
        <f t="shared" si="20"/>
        <v>-1.5833013379036066E-2</v>
      </c>
      <c r="G476">
        <f t="shared" si="21"/>
        <v>-2.7371189470115818E-2</v>
      </c>
    </row>
    <row r="477" spans="1:7" x14ac:dyDescent="0.35">
      <c r="A477" t="s">
        <v>37</v>
      </c>
      <c r="E477">
        <v>-9.4160012570641723E-3</v>
      </c>
      <c r="F477">
        <f t="shared" si="20"/>
        <v>-1.5833747675919004E-2</v>
      </c>
      <c r="G477">
        <f t="shared" si="21"/>
        <v>-2.7371189470115818E-2</v>
      </c>
    </row>
    <row r="478" spans="1:7" x14ac:dyDescent="0.35">
      <c r="A478" t="s">
        <v>37</v>
      </c>
      <c r="E478">
        <v>-2.773206485954742E-3</v>
      </c>
      <c r="F478">
        <f t="shared" si="20"/>
        <v>-1.5834481972801941E-2</v>
      </c>
      <c r="G478">
        <f t="shared" si="21"/>
        <v>-2.7371189470115818E-2</v>
      </c>
    </row>
    <row r="479" spans="1:7" x14ac:dyDescent="0.35">
      <c r="A479" t="s">
        <v>37</v>
      </c>
      <c r="E479">
        <v>1.1033119840043565E-2</v>
      </c>
      <c r="F479">
        <f t="shared" si="20"/>
        <v>-1.5835216269684881E-2</v>
      </c>
      <c r="G479">
        <f t="shared" si="21"/>
        <v>-2.7371189470115818E-2</v>
      </c>
    </row>
    <row r="480" spans="1:7" x14ac:dyDescent="0.35">
      <c r="A480" t="s">
        <v>37</v>
      </c>
      <c r="E480">
        <v>2.763374647508202E-2</v>
      </c>
      <c r="F480">
        <f t="shared" si="20"/>
        <v>-1.5835950566567818E-2</v>
      </c>
      <c r="G480">
        <f t="shared" si="21"/>
        <v>-2.7371189470115818E-2</v>
      </c>
    </row>
    <row r="481" spans="1:7" x14ac:dyDescent="0.35">
      <c r="A481" t="s">
        <v>37</v>
      </c>
      <c r="E481">
        <v>9.3824889043677244E-3</v>
      </c>
      <c r="F481">
        <f t="shared" si="20"/>
        <v>-1.5840811205736102E-2</v>
      </c>
      <c r="G481">
        <f t="shared" si="21"/>
        <v>-2.7440678861101048E-2</v>
      </c>
    </row>
    <row r="482" spans="1:7" x14ac:dyDescent="0.35">
      <c r="A482" t="s">
        <v>37</v>
      </c>
      <c r="E482">
        <v>2.9089477732069314E-2</v>
      </c>
      <c r="F482">
        <f t="shared" si="20"/>
        <v>-1.5845671844904385E-2</v>
      </c>
      <c r="G482">
        <f t="shared" si="21"/>
        <v>-2.7440678861101048E-2</v>
      </c>
    </row>
    <row r="483" spans="1:7" x14ac:dyDescent="0.35">
      <c r="A483" t="s">
        <v>38</v>
      </c>
      <c r="B483" s="3" cm="1">
        <f t="array" ref="B483">_xlfn.STDEV.S(_xlfn._xlws.FILTER($E$2:$E$1000, $A$2:$A$1000="2011-12"))</f>
        <v>8.7924522935462213E-3</v>
      </c>
      <c r="C483" s="3" cm="1">
        <f t="array" ref="C483">AVERAGE(_xlfn._xlws.FILTER($E$2:$E$1000, $A$2:$A$1000="2011-12"))</f>
        <v>1.8014849692726015E-3</v>
      </c>
      <c r="D483" s="3" cm="1">
        <f t="array" ref="D483">_xlfn.PERCENTILE.EXC(_xlfn._xlws.FILTER($E$253:$E$502, $A$253:$A$502="2011-12"), 0.05)</f>
        <v>-1.9075117354842731E-2</v>
      </c>
      <c r="E483">
        <v>-4.0924671629737428E-3</v>
      </c>
      <c r="F483">
        <f t="shared" si="20"/>
        <v>-1.5850532484072668E-2</v>
      </c>
      <c r="G483">
        <f t="shared" si="21"/>
        <v>-2.7440678861101048E-2</v>
      </c>
    </row>
    <row r="484" spans="1:7" x14ac:dyDescent="0.35">
      <c r="A484" t="s">
        <v>38</v>
      </c>
      <c r="E484">
        <v>8.8088611081848216E-3</v>
      </c>
      <c r="F484">
        <f t="shared" si="20"/>
        <v>-1.5855393123240951E-2</v>
      </c>
      <c r="G484">
        <f t="shared" si="21"/>
        <v>-2.7440678861101048E-2</v>
      </c>
    </row>
    <row r="485" spans="1:7" x14ac:dyDescent="0.35">
      <c r="A485" t="s">
        <v>38</v>
      </c>
      <c r="E485">
        <v>3.6690048780829211E-3</v>
      </c>
      <c r="F485">
        <f t="shared" si="20"/>
        <v>-1.5860253762409234E-2</v>
      </c>
      <c r="G485">
        <f t="shared" si="21"/>
        <v>-2.7440678861101048E-2</v>
      </c>
    </row>
    <row r="486" spans="1:7" x14ac:dyDescent="0.35">
      <c r="A486" t="s">
        <v>38</v>
      </c>
      <c r="E486">
        <v>-1.847124299017305E-3</v>
      </c>
      <c r="F486">
        <f t="shared" si="20"/>
        <v>-1.5865114401577517E-2</v>
      </c>
      <c r="G486">
        <f t="shared" si="21"/>
        <v>-2.7440678861101048E-2</v>
      </c>
    </row>
    <row r="487" spans="1:7" x14ac:dyDescent="0.35">
      <c r="A487" t="s">
        <v>38</v>
      </c>
      <c r="E487">
        <v>2.1192676618265595E-3</v>
      </c>
      <c r="F487">
        <f t="shared" si="20"/>
        <v>-1.5869975040745801E-2</v>
      </c>
      <c r="G487">
        <f t="shared" si="21"/>
        <v>-2.7440678861101048E-2</v>
      </c>
    </row>
    <row r="488" spans="1:7" x14ac:dyDescent="0.35">
      <c r="A488" t="s">
        <v>38</v>
      </c>
      <c r="E488">
        <v>-9.5621079627307461E-3</v>
      </c>
      <c r="F488">
        <f t="shared" si="20"/>
        <v>-1.5874835679914084E-2</v>
      </c>
      <c r="G488">
        <f t="shared" si="21"/>
        <v>-2.7440678861101048E-2</v>
      </c>
    </row>
    <row r="489" spans="1:7" x14ac:dyDescent="0.35">
      <c r="A489" t="s">
        <v>38</v>
      </c>
      <c r="E489">
        <v>6.5683098569098014E-3</v>
      </c>
      <c r="F489">
        <f t="shared" si="20"/>
        <v>-1.5879696319082367E-2</v>
      </c>
      <c r="G489">
        <f t="shared" si="21"/>
        <v>-2.7440678861101048E-2</v>
      </c>
    </row>
    <row r="490" spans="1:7" x14ac:dyDescent="0.35">
      <c r="A490" t="s">
        <v>38</v>
      </c>
      <c r="E490">
        <v>-9.1964630978990398E-3</v>
      </c>
      <c r="F490">
        <f t="shared" si="20"/>
        <v>-1.5884556958250654E-2</v>
      </c>
      <c r="G490">
        <f t="shared" si="21"/>
        <v>-2.7440678861101048E-2</v>
      </c>
    </row>
    <row r="491" spans="1:7" x14ac:dyDescent="0.35">
      <c r="A491" t="s">
        <v>38</v>
      </c>
      <c r="E491">
        <v>1.6363240511911105E-2</v>
      </c>
      <c r="F491">
        <f t="shared" si="20"/>
        <v>-1.5889417597418933E-2</v>
      </c>
      <c r="G491">
        <f t="shared" si="21"/>
        <v>-2.7440678861101048E-2</v>
      </c>
    </row>
    <row r="492" spans="1:7" x14ac:dyDescent="0.35">
      <c r="A492" t="s">
        <v>38</v>
      </c>
      <c r="E492">
        <v>-1.9575802059690731E-2</v>
      </c>
      <c r="F492">
        <f t="shared" si="20"/>
        <v>-1.5894278236587216E-2</v>
      </c>
      <c r="G492">
        <f t="shared" si="21"/>
        <v>-2.7440678861101048E-2</v>
      </c>
    </row>
    <row r="493" spans="1:7" x14ac:dyDescent="0.35">
      <c r="A493" t="s">
        <v>38</v>
      </c>
      <c r="E493">
        <v>6.8625122530025081E-3</v>
      </c>
      <c r="F493">
        <f t="shared" si="20"/>
        <v>-1.5830810488387248E-2</v>
      </c>
      <c r="G493">
        <f t="shared" si="21"/>
        <v>-2.7418149635238861E-2</v>
      </c>
    </row>
    <row r="494" spans="1:7" x14ac:dyDescent="0.35">
      <c r="A494" t="s">
        <v>38</v>
      </c>
      <c r="E494">
        <v>-2.4893949827110673E-3</v>
      </c>
      <c r="F494">
        <f t="shared" si="20"/>
        <v>-1.5831544785270189E-2</v>
      </c>
      <c r="G494">
        <f t="shared" si="21"/>
        <v>-2.7418149635238861E-2</v>
      </c>
    </row>
    <row r="495" spans="1:7" x14ac:dyDescent="0.35">
      <c r="A495" t="s">
        <v>38</v>
      </c>
      <c r="E495">
        <v>-2.892497137157491E-3</v>
      </c>
      <c r="F495">
        <f t="shared" si="20"/>
        <v>-1.5832279082153126E-2</v>
      </c>
      <c r="G495">
        <f t="shared" si="21"/>
        <v>-2.7418149635238861E-2</v>
      </c>
    </row>
    <row r="496" spans="1:7" x14ac:dyDescent="0.35">
      <c r="A496" t="s">
        <v>38</v>
      </c>
      <c r="E496">
        <v>1.3768809302700047E-2</v>
      </c>
      <c r="F496">
        <f t="shared" si="20"/>
        <v>-1.5833013379036066E-2</v>
      </c>
      <c r="G496">
        <f t="shared" si="21"/>
        <v>-2.7418149635238861E-2</v>
      </c>
    </row>
    <row r="497" spans="1:7" x14ac:dyDescent="0.35">
      <c r="A497" t="s">
        <v>38</v>
      </c>
      <c r="E497">
        <v>-2.7706261593549992E-3</v>
      </c>
      <c r="F497">
        <f t="shared" si="20"/>
        <v>-1.5833747675919004E-2</v>
      </c>
      <c r="G497">
        <f t="shared" si="21"/>
        <v>-2.7418149635238861E-2</v>
      </c>
    </row>
    <row r="498" spans="1:7" x14ac:dyDescent="0.35">
      <c r="A498" t="s">
        <v>38</v>
      </c>
      <c r="E498">
        <v>1.2805485979971568E-2</v>
      </c>
      <c r="F498">
        <f t="shared" si="20"/>
        <v>-1.5834481972801941E-2</v>
      </c>
      <c r="G498">
        <f t="shared" si="21"/>
        <v>-2.7418149635238861E-2</v>
      </c>
    </row>
    <row r="499" spans="1:7" x14ac:dyDescent="0.35">
      <c r="A499" t="s">
        <v>38</v>
      </c>
      <c r="E499">
        <v>7.132442165949728E-3</v>
      </c>
      <c r="F499">
        <f t="shared" si="20"/>
        <v>-1.5835216269684881E-2</v>
      </c>
      <c r="G499">
        <f t="shared" si="21"/>
        <v>-2.7418149635238861E-2</v>
      </c>
    </row>
    <row r="500" spans="1:7" x14ac:dyDescent="0.35">
      <c r="A500" t="s">
        <v>38</v>
      </c>
      <c r="E500">
        <v>-1.52607482171224E-3</v>
      </c>
      <c r="F500">
        <f t="shared" si="20"/>
        <v>-1.5835950566567818E-2</v>
      </c>
      <c r="G500">
        <f t="shared" si="21"/>
        <v>-2.7418149635238861E-2</v>
      </c>
    </row>
    <row r="501" spans="1:7" x14ac:dyDescent="0.35">
      <c r="A501" t="s">
        <v>38</v>
      </c>
      <c r="E501">
        <v>5.1669363934884506E-3</v>
      </c>
      <c r="F501">
        <f t="shared" si="20"/>
        <v>-1.5840811205736102E-2</v>
      </c>
      <c r="G501">
        <f t="shared" si="21"/>
        <v>-2.7488344781109595E-2</v>
      </c>
    </row>
    <row r="502" spans="1:7" x14ac:dyDescent="0.35">
      <c r="A502" t="s">
        <v>38</v>
      </c>
      <c r="E502">
        <v>6.717386956671882E-3</v>
      </c>
      <c r="F502">
        <f t="shared" si="20"/>
        <v>-1.5845671844904385E-2</v>
      </c>
      <c r="G502">
        <f t="shared" si="21"/>
        <v>-2.7488344781109595E-2</v>
      </c>
    </row>
    <row r="503" spans="1:7" x14ac:dyDescent="0.35">
      <c r="A503" t="s">
        <v>39</v>
      </c>
      <c r="B503" s="3" cm="1">
        <f t="array" ref="B503">_xlfn.STDEV.S(_xlfn._xlws.FILTER($E$2:$E$1000, $A$2:$A$1000="2012-01"))</f>
        <v>9.405913248749221E-3</v>
      </c>
      <c r="C503" s="3" cm="1">
        <f t="array" ref="C503">AVERAGE(_xlfn._xlws.FILTER($E$2:$E$1000, $A$2:$A$1000="2012-01"))</f>
        <v>1.2503981843357851E-3</v>
      </c>
      <c r="D503" s="3" cm="1">
        <f t="array" ref="D503">_xlfn.PERCENTILE.EXC(_xlfn._xlws.FILTER($E$503:$E$750, $A$503:$A$750="2012-01"), 0.05)</f>
        <v>-1.2358045555112033E-2</v>
      </c>
      <c r="E503">
        <v>2.4724879551393995E-2</v>
      </c>
      <c r="F503">
        <f t="shared" si="20"/>
        <v>-1.5850532484072668E-2</v>
      </c>
      <c r="G503">
        <f t="shared" si="21"/>
        <v>-2.7488344781109595E-2</v>
      </c>
    </row>
    <row r="504" spans="1:7" x14ac:dyDescent="0.35">
      <c r="A504" t="s">
        <v>39</v>
      </c>
      <c r="E504">
        <v>6.8521659868676021E-4</v>
      </c>
      <c r="F504">
        <f t="shared" si="20"/>
        <v>-1.5855393123240951E-2</v>
      </c>
      <c r="G504">
        <f t="shared" si="21"/>
        <v>-2.7488344781109595E-2</v>
      </c>
    </row>
    <row r="505" spans="1:7" x14ac:dyDescent="0.35">
      <c r="A505" t="s">
        <v>39</v>
      </c>
      <c r="E505">
        <v>-4.2794463169411774E-3</v>
      </c>
      <c r="F505">
        <f t="shared" si="20"/>
        <v>-1.5860253762409234E-2</v>
      </c>
      <c r="G505">
        <f t="shared" si="21"/>
        <v>-2.7488344781109595E-2</v>
      </c>
    </row>
    <row r="506" spans="1:7" x14ac:dyDescent="0.35">
      <c r="A506" t="s">
        <v>39</v>
      </c>
      <c r="E506">
        <v>5.5223365544003989E-3</v>
      </c>
      <c r="F506">
        <f t="shared" si="20"/>
        <v>-1.5865114401577517E-2</v>
      </c>
      <c r="G506">
        <f t="shared" si="21"/>
        <v>-2.7488344781109595E-2</v>
      </c>
    </row>
    <row r="507" spans="1:7" x14ac:dyDescent="0.35">
      <c r="A507" t="s">
        <v>39</v>
      </c>
      <c r="E507">
        <v>-7.6566950867645008E-3</v>
      </c>
      <c r="F507">
        <f t="shared" si="20"/>
        <v>-1.5869975040745801E-2</v>
      </c>
      <c r="G507">
        <f t="shared" si="21"/>
        <v>-2.7488344781109595E-2</v>
      </c>
    </row>
    <row r="508" spans="1:7" x14ac:dyDescent="0.35">
      <c r="A508" t="s">
        <v>39</v>
      </c>
      <c r="E508">
        <v>1.542217607780068E-2</v>
      </c>
      <c r="F508">
        <f t="shared" si="20"/>
        <v>-1.5874835679914084E-2</v>
      </c>
      <c r="G508">
        <f t="shared" si="21"/>
        <v>-2.7488344781109595E-2</v>
      </c>
    </row>
    <row r="509" spans="1:7" x14ac:dyDescent="0.35">
      <c r="A509" t="s">
        <v>39</v>
      </c>
      <c r="E509">
        <v>-8.0094346197412611E-3</v>
      </c>
      <c r="F509">
        <f t="shared" si="20"/>
        <v>-1.5879696319082367E-2</v>
      </c>
      <c r="G509">
        <f t="shared" si="21"/>
        <v>-2.7488344781109595E-2</v>
      </c>
    </row>
    <row r="510" spans="1:7" x14ac:dyDescent="0.35">
      <c r="A510" t="s">
        <v>39</v>
      </c>
      <c r="E510">
        <v>-1.1679276385680898E-2</v>
      </c>
      <c r="F510">
        <f t="shared" si="20"/>
        <v>-1.5884556958250654E-2</v>
      </c>
      <c r="G510">
        <f t="shared" si="21"/>
        <v>-2.7488344781109595E-2</v>
      </c>
    </row>
    <row r="511" spans="1:7" x14ac:dyDescent="0.35">
      <c r="A511" t="s">
        <v>39</v>
      </c>
      <c r="E511">
        <v>4.8590407400072953E-3</v>
      </c>
      <c r="F511">
        <f t="shared" si="20"/>
        <v>-1.5889417597418933E-2</v>
      </c>
      <c r="G511">
        <f t="shared" si="21"/>
        <v>-2.7488344781109595E-2</v>
      </c>
    </row>
    <row r="512" spans="1:7" x14ac:dyDescent="0.35">
      <c r="A512" t="s">
        <v>39</v>
      </c>
      <c r="E512">
        <v>6.0373152243781278E-3</v>
      </c>
      <c r="F512">
        <f t="shared" si="20"/>
        <v>-1.5894278236587216E-2</v>
      </c>
      <c r="G512">
        <f t="shared" si="21"/>
        <v>-2.7488344781109595E-2</v>
      </c>
    </row>
    <row r="513" spans="1:7" x14ac:dyDescent="0.35">
      <c r="A513" t="s">
        <v>39</v>
      </c>
      <c r="E513">
        <v>3.404548706896228E-3</v>
      </c>
      <c r="F513">
        <f t="shared" si="20"/>
        <v>-1.58991388757555E-2</v>
      </c>
      <c r="G513">
        <f t="shared" si="21"/>
        <v>-2.7488344781109595E-2</v>
      </c>
    </row>
    <row r="514" spans="1:7" x14ac:dyDescent="0.35">
      <c r="A514" t="s">
        <v>39</v>
      </c>
      <c r="E514">
        <v>-2.7953125450276696E-3</v>
      </c>
      <c r="F514">
        <f t="shared" si="20"/>
        <v>-1.5903999514923783E-2</v>
      </c>
      <c r="G514">
        <f t="shared" si="21"/>
        <v>-2.7488344781109595E-2</v>
      </c>
    </row>
    <row r="515" spans="1:7" x14ac:dyDescent="0.35">
      <c r="A515" t="s">
        <v>39</v>
      </c>
      <c r="E515">
        <v>3.0062808072507151E-3</v>
      </c>
      <c r="F515">
        <f t="shared" si="20"/>
        <v>-1.5908860154092069E-2</v>
      </c>
      <c r="G515">
        <f t="shared" si="21"/>
        <v>-2.7488344781109595E-2</v>
      </c>
    </row>
    <row r="516" spans="1:7" x14ac:dyDescent="0.35">
      <c r="A516" t="s">
        <v>39</v>
      </c>
      <c r="E516">
        <v>2.7178633233445508E-3</v>
      </c>
      <c r="F516">
        <f t="shared" ref="F516:F579" si="22">_xlfn.PERCENTILE.EXC(E516:E4331,0.05)</f>
        <v>-1.5913720793260349E-2</v>
      </c>
      <c r="G516">
        <f t="shared" ref="G516:G579" si="23">AVERAGEIFS(E516:E4332,E516:E4332,"&lt;=" &amp; F516)</f>
        <v>-2.7488344781109595E-2</v>
      </c>
    </row>
    <row r="517" spans="1:7" x14ac:dyDescent="0.35">
      <c r="A517" t="s">
        <v>39</v>
      </c>
      <c r="E517">
        <v>5.2733738792697113E-3</v>
      </c>
      <c r="F517">
        <f t="shared" si="22"/>
        <v>-1.5918581432428636E-2</v>
      </c>
      <c r="G517">
        <f t="shared" si="23"/>
        <v>-2.7488344781109595E-2</v>
      </c>
    </row>
    <row r="518" spans="1:7" x14ac:dyDescent="0.35">
      <c r="A518" t="s">
        <v>39</v>
      </c>
      <c r="E518">
        <v>-4.3649676547163731E-3</v>
      </c>
      <c r="F518">
        <f t="shared" si="22"/>
        <v>-1.5923442071596915E-2</v>
      </c>
      <c r="G518">
        <f t="shared" si="23"/>
        <v>-2.7488344781109595E-2</v>
      </c>
    </row>
    <row r="519" spans="1:7" x14ac:dyDescent="0.35">
      <c r="A519" t="s">
        <v>39</v>
      </c>
      <c r="E519">
        <v>-6.1987890431616857E-3</v>
      </c>
      <c r="F519">
        <f t="shared" si="22"/>
        <v>-1.5928302710765202E-2</v>
      </c>
      <c r="G519">
        <f t="shared" si="23"/>
        <v>-2.7488344781109595E-2</v>
      </c>
    </row>
    <row r="520" spans="1:7" x14ac:dyDescent="0.35">
      <c r="A520" t="s">
        <v>39</v>
      </c>
      <c r="E520">
        <v>1.0904243439396291E-2</v>
      </c>
      <c r="F520">
        <f t="shared" si="22"/>
        <v>-1.5933163349933485E-2</v>
      </c>
      <c r="G520">
        <f t="shared" si="23"/>
        <v>-2.7488344781109595E-2</v>
      </c>
    </row>
    <row r="521" spans="1:7" x14ac:dyDescent="0.35">
      <c r="A521" t="s">
        <v>39</v>
      </c>
      <c r="E521">
        <v>-1.2433464351715492E-2</v>
      </c>
      <c r="F521">
        <f t="shared" si="22"/>
        <v>-1.5940146530934774E-2</v>
      </c>
      <c r="G521">
        <f t="shared" si="23"/>
        <v>-2.7558803204470423E-2</v>
      </c>
    </row>
    <row r="522" spans="1:7" x14ac:dyDescent="0.35">
      <c r="A522" t="s">
        <v>39</v>
      </c>
      <c r="E522">
        <v>-9.1705956951852012E-3</v>
      </c>
      <c r="F522">
        <f t="shared" si="22"/>
        <v>-1.5947129711936067E-2</v>
      </c>
      <c r="G522">
        <f t="shared" si="23"/>
        <v>-2.7558803204470423E-2</v>
      </c>
    </row>
    <row r="523" spans="1:7" x14ac:dyDescent="0.35">
      <c r="A523" t="s">
        <v>39</v>
      </c>
      <c r="E523">
        <v>1.0289068667160992E-2</v>
      </c>
      <c r="F523">
        <f t="shared" si="22"/>
        <v>-1.5954112892937352E-2</v>
      </c>
      <c r="G523">
        <f t="shared" si="23"/>
        <v>-2.7558803204470423E-2</v>
      </c>
    </row>
    <row r="524" spans="1:7" x14ac:dyDescent="0.35">
      <c r="A524" t="s">
        <v>40</v>
      </c>
      <c r="B524" s="3" cm="1">
        <f t="array" ref="B524">_xlfn.STDEV.S(_xlfn._xlws.FILTER($E$2:$E$1000, $A$2:$A$1000="2012-02"))</f>
        <v>7.1627161066257494E-3</v>
      </c>
      <c r="C524" s="3" cm="1">
        <f t="array" ref="C524">AVERAGE(_xlfn._xlws.FILTER($E$2:$E$1000, $A$2:$A$1000="2012-02"))</f>
        <v>1.0999628589015828E-3</v>
      </c>
      <c r="D524" s="3" cm="1">
        <f t="array" ref="D524">_xlfn.PERCENTILE.EXC(_xlfn._xlws.FILTER($E$503:$E$750, $A$503:$A$750="2012-02"), 0.05)</f>
        <v>-1.0046565417440418E-2</v>
      </c>
      <c r="E524">
        <v>1.6554287826804223E-2</v>
      </c>
      <c r="F524">
        <f t="shared" si="22"/>
        <v>-1.5961096073938644E-2</v>
      </c>
      <c r="G524">
        <f t="shared" si="23"/>
        <v>-2.7558803204470423E-2</v>
      </c>
    </row>
    <row r="525" spans="1:7" x14ac:dyDescent="0.35">
      <c r="A525" t="s">
        <v>40</v>
      </c>
      <c r="E525">
        <v>1.1551856914422244E-3</v>
      </c>
      <c r="F525">
        <f t="shared" si="22"/>
        <v>-1.5968079254939937E-2</v>
      </c>
      <c r="G525">
        <f t="shared" si="23"/>
        <v>-2.7558803204470423E-2</v>
      </c>
    </row>
    <row r="526" spans="1:7" x14ac:dyDescent="0.35">
      <c r="A526" t="s">
        <v>40</v>
      </c>
      <c r="E526">
        <v>1.9119455771623082E-2</v>
      </c>
      <c r="F526">
        <f t="shared" si="22"/>
        <v>-1.5975062435941226E-2</v>
      </c>
      <c r="G526">
        <f t="shared" si="23"/>
        <v>-2.7558803204470423E-2</v>
      </c>
    </row>
    <row r="527" spans="1:7" x14ac:dyDescent="0.35">
      <c r="A527" t="s">
        <v>40</v>
      </c>
      <c r="E527">
        <v>-2.2414674714420731E-4</v>
      </c>
      <c r="F527">
        <f t="shared" si="22"/>
        <v>-1.5982045616942518E-2</v>
      </c>
      <c r="G527">
        <f t="shared" si="23"/>
        <v>-2.7558803204470423E-2</v>
      </c>
    </row>
    <row r="528" spans="1:7" x14ac:dyDescent="0.35">
      <c r="A528" t="s">
        <v>40</v>
      </c>
      <c r="E528">
        <v>-5.3279494388178833E-3</v>
      </c>
      <c r="F528">
        <f t="shared" si="22"/>
        <v>-1.5989028797943807E-2</v>
      </c>
      <c r="G528">
        <f t="shared" si="23"/>
        <v>-2.7558803204470423E-2</v>
      </c>
    </row>
    <row r="529" spans="1:7" x14ac:dyDescent="0.35">
      <c r="A529" t="s">
        <v>40</v>
      </c>
      <c r="E529">
        <v>-7.916161996380457E-3</v>
      </c>
      <c r="F529">
        <f t="shared" si="22"/>
        <v>-1.59960119789451E-2</v>
      </c>
      <c r="G529">
        <f t="shared" si="23"/>
        <v>-2.7558803204470423E-2</v>
      </c>
    </row>
    <row r="530" spans="1:7" x14ac:dyDescent="0.35">
      <c r="A530" t="s">
        <v>40</v>
      </c>
      <c r="E530">
        <v>1.7660343818724472E-3</v>
      </c>
      <c r="F530">
        <f t="shared" si="22"/>
        <v>-1.6002995159946388E-2</v>
      </c>
      <c r="G530">
        <f t="shared" si="23"/>
        <v>-2.7558803204470423E-2</v>
      </c>
    </row>
    <row r="531" spans="1:7" x14ac:dyDescent="0.35">
      <c r="A531" t="s">
        <v>40</v>
      </c>
      <c r="E531">
        <v>-5.1313846249591627E-3</v>
      </c>
      <c r="F531">
        <f t="shared" si="22"/>
        <v>-1.6009978340947677E-2</v>
      </c>
      <c r="G531">
        <f t="shared" si="23"/>
        <v>-2.7558803204470423E-2</v>
      </c>
    </row>
    <row r="532" spans="1:7" x14ac:dyDescent="0.35">
      <c r="A532" t="s">
        <v>40</v>
      </c>
      <c r="E532">
        <v>1.0152087868919758E-2</v>
      </c>
      <c r="F532">
        <f t="shared" si="22"/>
        <v>-1.601696152194897E-2</v>
      </c>
      <c r="G532">
        <f t="shared" si="23"/>
        <v>-2.7558803204470423E-2</v>
      </c>
    </row>
    <row r="533" spans="1:7" x14ac:dyDescent="0.35">
      <c r="A533" t="s">
        <v>40</v>
      </c>
      <c r="E533">
        <v>-6.8702298520514926E-4</v>
      </c>
      <c r="F533">
        <f t="shared" si="22"/>
        <v>-1.6023944702950259E-2</v>
      </c>
      <c r="G533">
        <f t="shared" si="23"/>
        <v>-2.7558803204470423E-2</v>
      </c>
    </row>
    <row r="534" spans="1:7" x14ac:dyDescent="0.35">
      <c r="A534" t="s">
        <v>40</v>
      </c>
      <c r="E534">
        <v>4.7041925396889804E-3</v>
      </c>
      <c r="F534">
        <f t="shared" si="22"/>
        <v>-1.6030927883951551E-2</v>
      </c>
      <c r="G534">
        <f t="shared" si="23"/>
        <v>-2.7558803204470423E-2</v>
      </c>
    </row>
    <row r="535" spans="1:7" x14ac:dyDescent="0.35">
      <c r="A535" t="s">
        <v>40</v>
      </c>
      <c r="E535">
        <v>7.7049506169989579E-4</v>
      </c>
      <c r="F535">
        <f t="shared" si="22"/>
        <v>-1.6037911064952844E-2</v>
      </c>
      <c r="G535">
        <f t="shared" si="23"/>
        <v>-2.7558803204470423E-2</v>
      </c>
    </row>
    <row r="536" spans="1:7" x14ac:dyDescent="0.35">
      <c r="A536" t="s">
        <v>40</v>
      </c>
      <c r="E536">
        <v>2.7704100731214764E-3</v>
      </c>
      <c r="F536">
        <f t="shared" si="22"/>
        <v>-1.6044894245954133E-2</v>
      </c>
      <c r="G536">
        <f t="shared" si="23"/>
        <v>-2.7558803204470423E-2</v>
      </c>
    </row>
    <row r="537" spans="1:7" x14ac:dyDescent="0.35">
      <c r="A537" t="s">
        <v>40</v>
      </c>
      <c r="E537">
        <v>1.0217039649776571E-3</v>
      </c>
      <c r="F537">
        <f t="shared" si="22"/>
        <v>-1.6051877426955422E-2</v>
      </c>
      <c r="G537">
        <f t="shared" si="23"/>
        <v>-2.7558803204470423E-2</v>
      </c>
    </row>
    <row r="538" spans="1:7" x14ac:dyDescent="0.35">
      <c r="A538" t="s">
        <v>40</v>
      </c>
      <c r="E538">
        <v>-6.5609171474573782E-3</v>
      </c>
      <c r="F538">
        <f t="shared" si="22"/>
        <v>-1.605886060795671E-2</v>
      </c>
      <c r="G538">
        <f t="shared" si="23"/>
        <v>-2.7558803204470423E-2</v>
      </c>
    </row>
    <row r="539" spans="1:7" x14ac:dyDescent="0.35">
      <c r="A539" t="s">
        <v>40</v>
      </c>
      <c r="E539">
        <v>-1.0283276908669302E-2</v>
      </c>
      <c r="F539">
        <f t="shared" si="22"/>
        <v>-1.6065843788958003E-2</v>
      </c>
      <c r="G539">
        <f t="shared" si="23"/>
        <v>-2.7558803204470423E-2</v>
      </c>
    </row>
    <row r="540" spans="1:7" x14ac:dyDescent="0.35">
      <c r="A540" t="s">
        <v>40</v>
      </c>
      <c r="E540">
        <v>8.7961808349811584E-4</v>
      </c>
      <c r="F540">
        <f t="shared" si="22"/>
        <v>-1.6072826969959295E-2</v>
      </c>
      <c r="G540">
        <f t="shared" si="23"/>
        <v>-2.7558803204470423E-2</v>
      </c>
    </row>
    <row r="541" spans="1:7" x14ac:dyDescent="0.35">
      <c r="A541" t="s">
        <v>40</v>
      </c>
      <c r="E541">
        <v>-9.4079513404238669E-4</v>
      </c>
      <c r="F541">
        <f t="shared" si="22"/>
        <v>-1.6073302091690243E-2</v>
      </c>
      <c r="G541">
        <f t="shared" si="23"/>
        <v>-2.7629269316338589E-2</v>
      </c>
    </row>
    <row r="542" spans="1:7" x14ac:dyDescent="0.35">
      <c r="A542" t="s">
        <v>40</v>
      </c>
      <c r="E542">
        <v>-1.2003200554288802E-3</v>
      </c>
      <c r="F542">
        <f t="shared" si="22"/>
        <v>-1.6073777213421195E-2</v>
      </c>
      <c r="G542">
        <f t="shared" si="23"/>
        <v>-2.7629269316338589E-2</v>
      </c>
    </row>
    <row r="543" spans="1:7" x14ac:dyDescent="0.35">
      <c r="A543" t="s">
        <v>40</v>
      </c>
      <c r="E543">
        <v>1.4303637859525067E-3</v>
      </c>
      <c r="F543">
        <f t="shared" si="22"/>
        <v>-1.6074252335152143E-2</v>
      </c>
      <c r="G543">
        <f t="shared" si="23"/>
        <v>-2.7629269316338589E-2</v>
      </c>
    </row>
    <row r="544" spans="1:7" x14ac:dyDescent="0.35">
      <c r="A544" t="s">
        <v>40</v>
      </c>
      <c r="E544">
        <v>1.0473600254376834E-3</v>
      </c>
      <c r="F544">
        <f t="shared" si="22"/>
        <v>-1.6074727456883091E-2</v>
      </c>
      <c r="G544">
        <f t="shared" si="23"/>
        <v>-2.7629269316338589E-2</v>
      </c>
    </row>
    <row r="545" spans="1:7" x14ac:dyDescent="0.35">
      <c r="A545" t="s">
        <v>41</v>
      </c>
      <c r="B545" s="3" cm="1">
        <f t="array" ref="B545">_xlfn.STDEV.S(_xlfn._xlws.FILTER($E$2:$E$1000, $A$2:$A$1000="2012-03"))</f>
        <v>9.2252257639025229E-3</v>
      </c>
      <c r="C545" s="3" cm="1">
        <f t="array" ref="C545">AVERAGE(_xlfn._xlws.FILTER($E$2:$E$1000, $A$2:$A$1000="2012-03"))</f>
        <v>-5.6601732141365907E-4</v>
      </c>
      <c r="D545" s="3" cm="1">
        <f t="array" ref="D545">_xlfn.PERCENTILE.EXC(_xlfn._xlws.FILTER($E$503:$E$750, $A$503:$A$750="2012-03"), 0.05)</f>
        <v>-1.9057433230038747E-2</v>
      </c>
      <c r="E545">
        <v>1.3812299495758837E-2</v>
      </c>
      <c r="F545">
        <f t="shared" si="22"/>
        <v>-1.6075202578614042E-2</v>
      </c>
      <c r="G545">
        <f t="shared" si="23"/>
        <v>-2.7629269316338589E-2</v>
      </c>
    </row>
    <row r="546" spans="1:7" x14ac:dyDescent="0.35">
      <c r="A546" t="s">
        <v>41</v>
      </c>
      <c r="E546">
        <v>-9.3958315971425725E-4</v>
      </c>
      <c r="F546">
        <f t="shared" si="22"/>
        <v>-1.607567770034499E-2</v>
      </c>
      <c r="G546">
        <f t="shared" si="23"/>
        <v>-2.7629269316338589E-2</v>
      </c>
    </row>
    <row r="547" spans="1:7" x14ac:dyDescent="0.35">
      <c r="A547" t="s">
        <v>41</v>
      </c>
      <c r="E547">
        <v>-7.0063072875188471E-3</v>
      </c>
      <c r="F547">
        <f t="shared" si="22"/>
        <v>-1.6076152822075938E-2</v>
      </c>
      <c r="G547">
        <f t="shared" si="23"/>
        <v>-2.7629269316338589E-2</v>
      </c>
    </row>
    <row r="548" spans="1:7" x14ac:dyDescent="0.35">
      <c r="A548" t="s">
        <v>41</v>
      </c>
      <c r="E548">
        <v>-1.9905412786773956E-2</v>
      </c>
      <c r="F548">
        <f t="shared" si="22"/>
        <v>-1.6076627943806886E-2</v>
      </c>
      <c r="G548">
        <f t="shared" si="23"/>
        <v>-2.7629269316338589E-2</v>
      </c>
    </row>
    <row r="549" spans="1:7" x14ac:dyDescent="0.35">
      <c r="A549" t="s">
        <v>41</v>
      </c>
      <c r="E549">
        <v>3.9525016929532588E-3</v>
      </c>
      <c r="F549">
        <f t="shared" si="22"/>
        <v>-1.59960119789451E-2</v>
      </c>
      <c r="G549">
        <f t="shared" si="23"/>
        <v>-2.7605756519916414E-2</v>
      </c>
    </row>
    <row r="550" spans="1:7" x14ac:dyDescent="0.35">
      <c r="A550" t="s">
        <v>41</v>
      </c>
      <c r="E550">
        <v>7.7720907991006586E-3</v>
      </c>
      <c r="F550">
        <f t="shared" si="22"/>
        <v>-1.6002995159946388E-2</v>
      </c>
      <c r="G550">
        <f t="shared" si="23"/>
        <v>-2.7605756519916414E-2</v>
      </c>
    </row>
    <row r="551" spans="1:7" x14ac:dyDescent="0.35">
      <c r="A551" t="s">
        <v>41</v>
      </c>
      <c r="E551">
        <v>6.7025965133994158E-3</v>
      </c>
      <c r="F551">
        <f t="shared" si="22"/>
        <v>-1.6009978340947677E-2</v>
      </c>
      <c r="G551">
        <f t="shared" si="23"/>
        <v>-2.7605756519916414E-2</v>
      </c>
    </row>
    <row r="552" spans="1:7" x14ac:dyDescent="0.35">
      <c r="A552" t="s">
        <v>41</v>
      </c>
      <c r="E552">
        <v>-4.1377667762460199E-3</v>
      </c>
      <c r="F552">
        <f t="shared" si="22"/>
        <v>-1.601696152194897E-2</v>
      </c>
      <c r="G552">
        <f t="shared" si="23"/>
        <v>-2.7605756519916414E-2</v>
      </c>
    </row>
    <row r="553" spans="1:7" x14ac:dyDescent="0.35">
      <c r="A553" t="s">
        <v>41</v>
      </c>
      <c r="E553">
        <v>1.9028320575695971E-2</v>
      </c>
      <c r="F553">
        <f t="shared" si="22"/>
        <v>-1.6023944702950259E-2</v>
      </c>
      <c r="G553">
        <f t="shared" si="23"/>
        <v>-2.7605756519916414E-2</v>
      </c>
    </row>
    <row r="554" spans="1:7" x14ac:dyDescent="0.35">
      <c r="A554" t="s">
        <v>41</v>
      </c>
      <c r="E554">
        <v>1.7253285670847339E-3</v>
      </c>
      <c r="F554">
        <f t="shared" si="22"/>
        <v>-1.6030927883951551E-2</v>
      </c>
      <c r="G554">
        <f t="shared" si="23"/>
        <v>-2.7605756519916414E-2</v>
      </c>
    </row>
    <row r="555" spans="1:7" x14ac:dyDescent="0.35">
      <c r="A555" t="s">
        <v>41</v>
      </c>
      <c r="E555">
        <v>-3.3251883502506473E-3</v>
      </c>
      <c r="F555">
        <f t="shared" si="22"/>
        <v>-1.6037911064952844E-2</v>
      </c>
      <c r="G555">
        <f t="shared" si="23"/>
        <v>-2.7605756519916414E-2</v>
      </c>
    </row>
    <row r="556" spans="1:7" x14ac:dyDescent="0.35">
      <c r="A556" t="s">
        <v>41</v>
      </c>
      <c r="E556">
        <v>5.4012816141647468E-3</v>
      </c>
      <c r="F556">
        <f t="shared" si="22"/>
        <v>-1.6044894245954133E-2</v>
      </c>
      <c r="G556">
        <f t="shared" si="23"/>
        <v>-2.7605756519916414E-2</v>
      </c>
    </row>
    <row r="557" spans="1:7" x14ac:dyDescent="0.35">
      <c r="A557" t="s">
        <v>41</v>
      </c>
      <c r="E557">
        <v>-1.4239799540819765E-3</v>
      </c>
      <c r="F557">
        <f t="shared" si="22"/>
        <v>-1.6051877426955422E-2</v>
      </c>
      <c r="G557">
        <f t="shared" si="23"/>
        <v>-2.7605756519916414E-2</v>
      </c>
    </row>
    <row r="558" spans="1:7" x14ac:dyDescent="0.35">
      <c r="A558" t="s">
        <v>41</v>
      </c>
      <c r="E558">
        <v>-1.3448728979484809E-2</v>
      </c>
      <c r="F558">
        <f t="shared" si="22"/>
        <v>-1.605886060795671E-2</v>
      </c>
      <c r="G558">
        <f t="shared" si="23"/>
        <v>-2.7605756519916414E-2</v>
      </c>
    </row>
    <row r="559" spans="1:7" x14ac:dyDescent="0.35">
      <c r="A559" t="s">
        <v>41</v>
      </c>
      <c r="E559">
        <v>1.8952352960124124E-3</v>
      </c>
      <c r="F559">
        <f t="shared" si="22"/>
        <v>-1.6065843788958003E-2</v>
      </c>
      <c r="G559">
        <f t="shared" si="23"/>
        <v>-2.7605756519916414E-2</v>
      </c>
    </row>
    <row r="560" spans="1:7" x14ac:dyDescent="0.35">
      <c r="A560" t="s">
        <v>41</v>
      </c>
      <c r="E560">
        <v>-9.0888549245966756E-3</v>
      </c>
      <c r="F560">
        <f t="shared" si="22"/>
        <v>-1.6072826969959295E-2</v>
      </c>
      <c r="G560">
        <f t="shared" si="23"/>
        <v>-2.7605756519916414E-2</v>
      </c>
    </row>
    <row r="561" spans="1:7" x14ac:dyDescent="0.35">
      <c r="A561" t="s">
        <v>41</v>
      </c>
      <c r="E561">
        <v>-1.0620032965679002E-3</v>
      </c>
      <c r="F561">
        <f t="shared" si="22"/>
        <v>-1.6073302091690243E-2</v>
      </c>
      <c r="G561">
        <f t="shared" si="23"/>
        <v>-2.7676947443064294E-2</v>
      </c>
    </row>
    <row r="562" spans="1:7" x14ac:dyDescent="0.35">
      <c r="A562" t="s">
        <v>41</v>
      </c>
      <c r="E562">
        <v>7.8333967223762745E-3</v>
      </c>
      <c r="F562">
        <f t="shared" si="22"/>
        <v>-1.6073777213421195E-2</v>
      </c>
      <c r="G562">
        <f t="shared" si="23"/>
        <v>-2.7676947443064294E-2</v>
      </c>
    </row>
    <row r="563" spans="1:7" x14ac:dyDescent="0.35">
      <c r="A563" t="s">
        <v>41</v>
      </c>
      <c r="E563">
        <v>-4.8775964073727879E-3</v>
      </c>
      <c r="F563">
        <f t="shared" si="22"/>
        <v>-1.6074252335152143E-2</v>
      </c>
      <c r="G563">
        <f t="shared" si="23"/>
        <v>-2.7676947443064294E-2</v>
      </c>
    </row>
    <row r="564" spans="1:7" x14ac:dyDescent="0.35">
      <c r="A564" t="s">
        <v>41</v>
      </c>
      <c r="E564">
        <v>-1.4252215741872574E-2</v>
      </c>
      <c r="F564">
        <f t="shared" si="22"/>
        <v>-1.6074727456883091E-2</v>
      </c>
      <c r="G564">
        <f t="shared" si="23"/>
        <v>-2.7676947443064294E-2</v>
      </c>
    </row>
    <row r="565" spans="1:7" x14ac:dyDescent="0.35">
      <c r="A565" t="s">
        <v>41</v>
      </c>
      <c r="E565">
        <v>-5.7883598190751522E-3</v>
      </c>
      <c r="F565">
        <f t="shared" si="22"/>
        <v>-1.6075202578614042E-2</v>
      </c>
      <c r="G565">
        <f t="shared" si="23"/>
        <v>-2.7676947443064294E-2</v>
      </c>
    </row>
    <row r="566" spans="1:7" x14ac:dyDescent="0.35">
      <c r="A566" t="s">
        <v>41</v>
      </c>
      <c r="E566">
        <v>4.6805651359087897E-3</v>
      </c>
      <c r="F566">
        <f t="shared" si="22"/>
        <v>-1.607567770034499E-2</v>
      </c>
      <c r="G566">
        <f t="shared" si="23"/>
        <v>-2.7676947443064294E-2</v>
      </c>
    </row>
    <row r="567" spans="1:7" x14ac:dyDescent="0.35">
      <c r="A567" t="s">
        <v>42</v>
      </c>
      <c r="B567" s="3" cm="1">
        <f t="array" ref="B567">_xlfn.STDEV.S(_xlfn._xlws.FILTER($E$2:$E$1000, $A$2:$A$1000="2012-04"))</f>
        <v>1.1055098933716465E-2</v>
      </c>
      <c r="C567" s="3" cm="1">
        <f t="array" ref="C567">AVERAGE(_xlfn._xlws.FILTER($E$2:$E$1000, $A$2:$A$1000="2012-04"))</f>
        <v>9.2139357622515652E-4</v>
      </c>
      <c r="D567" s="3" cm="1">
        <f t="array" ref="D567">_xlfn.PERCENTILE.EXC(_xlfn._xlws.FILTER($E$503:$E$750, $A$503:$A$750="2012-04"), 0.05)</f>
        <v>-2.2998742849094488E-2</v>
      </c>
      <c r="E567">
        <v>2.019599635197418E-2</v>
      </c>
      <c r="F567">
        <f t="shared" si="22"/>
        <v>-1.6076152822075938E-2</v>
      </c>
      <c r="G567">
        <f t="shared" si="23"/>
        <v>-2.7676947443064294E-2</v>
      </c>
    </row>
    <row r="568" spans="1:7" x14ac:dyDescent="0.35">
      <c r="A568" t="s">
        <v>42</v>
      </c>
      <c r="E568">
        <v>-9.4422182343186136E-3</v>
      </c>
      <c r="F568">
        <f t="shared" si="22"/>
        <v>-1.6076627943806886E-2</v>
      </c>
      <c r="G568">
        <f t="shared" si="23"/>
        <v>-2.7676947443064294E-2</v>
      </c>
    </row>
    <row r="569" spans="1:7" x14ac:dyDescent="0.35">
      <c r="A569" t="s">
        <v>42</v>
      </c>
      <c r="E569">
        <v>-1.4247806275459858E-2</v>
      </c>
      <c r="F569">
        <f t="shared" si="22"/>
        <v>-1.6077103065537838E-2</v>
      </c>
      <c r="G569">
        <f t="shared" si="23"/>
        <v>-2.7676947443064294E-2</v>
      </c>
    </row>
    <row r="570" spans="1:7" x14ac:dyDescent="0.35">
      <c r="A570" t="s">
        <v>42</v>
      </c>
      <c r="E570">
        <v>5.7122695034546979E-3</v>
      </c>
      <c r="F570">
        <f t="shared" si="22"/>
        <v>-1.6077578187268786E-2</v>
      </c>
      <c r="G570">
        <f t="shared" si="23"/>
        <v>-2.7676947443064294E-2</v>
      </c>
    </row>
    <row r="571" spans="1:7" x14ac:dyDescent="0.35">
      <c r="A571" t="s">
        <v>42</v>
      </c>
      <c r="E571">
        <v>-2.2998742849094488E-2</v>
      </c>
      <c r="F571">
        <f t="shared" si="22"/>
        <v>-1.6078053308999734E-2</v>
      </c>
      <c r="G571">
        <f t="shared" si="23"/>
        <v>-2.7676947443064294E-2</v>
      </c>
    </row>
    <row r="572" spans="1:7" x14ac:dyDescent="0.35">
      <c r="A572" t="s">
        <v>42</v>
      </c>
      <c r="E572">
        <v>8.4811710535857166E-3</v>
      </c>
      <c r="F572">
        <f t="shared" si="22"/>
        <v>-1.601696152194897E-2</v>
      </c>
      <c r="G572">
        <f t="shared" si="23"/>
        <v>-2.7634194875909141E-2</v>
      </c>
    </row>
    <row r="573" spans="1:7" x14ac:dyDescent="0.35">
      <c r="A573" t="s">
        <v>42</v>
      </c>
      <c r="E573">
        <v>1.1823979827942852E-2</v>
      </c>
      <c r="F573">
        <f t="shared" si="22"/>
        <v>-1.6023944702950259E-2</v>
      </c>
      <c r="G573">
        <f t="shared" si="23"/>
        <v>-2.7634194875909141E-2</v>
      </c>
    </row>
    <row r="574" spans="1:7" x14ac:dyDescent="0.35">
      <c r="A574" t="s">
        <v>42</v>
      </c>
      <c r="E574">
        <v>-9.1523755540654748E-3</v>
      </c>
      <c r="F574">
        <f t="shared" si="22"/>
        <v>-1.6030927883951551E-2</v>
      </c>
      <c r="G574">
        <f t="shared" si="23"/>
        <v>-2.7634194875909141E-2</v>
      </c>
    </row>
    <row r="575" spans="1:7" x14ac:dyDescent="0.35">
      <c r="A575" t="s">
        <v>42</v>
      </c>
      <c r="E575">
        <v>3.5868513250578108E-3</v>
      </c>
      <c r="F575">
        <f t="shared" si="22"/>
        <v>-1.6037911064952844E-2</v>
      </c>
      <c r="G575">
        <f t="shared" si="23"/>
        <v>-2.7634194875909141E-2</v>
      </c>
    </row>
    <row r="576" spans="1:7" x14ac:dyDescent="0.35">
      <c r="A576" t="s">
        <v>42</v>
      </c>
      <c r="E576">
        <v>1.780895242868755E-2</v>
      </c>
      <c r="F576">
        <f t="shared" si="22"/>
        <v>-1.6044894245954133E-2</v>
      </c>
      <c r="G576">
        <f t="shared" si="23"/>
        <v>-2.7634194875909141E-2</v>
      </c>
    </row>
    <row r="577" spans="1:7" x14ac:dyDescent="0.35">
      <c r="A577" t="s">
        <v>42</v>
      </c>
      <c r="E577">
        <v>2.3550768041378741E-3</v>
      </c>
      <c r="F577">
        <f t="shared" si="22"/>
        <v>-1.6051877426955422E-2</v>
      </c>
      <c r="G577">
        <f t="shared" si="23"/>
        <v>-2.7634194875909141E-2</v>
      </c>
    </row>
    <row r="578" spans="1:7" x14ac:dyDescent="0.35">
      <c r="A578" t="s">
        <v>42</v>
      </c>
      <c r="E578">
        <v>1.3192405282789613E-3</v>
      </c>
      <c r="F578">
        <f t="shared" si="22"/>
        <v>-1.605886060795671E-2</v>
      </c>
      <c r="G578">
        <f t="shared" si="23"/>
        <v>-2.7634194875909141E-2</v>
      </c>
    </row>
    <row r="579" spans="1:7" x14ac:dyDescent="0.35">
      <c r="A579" t="s">
        <v>42</v>
      </c>
      <c r="E579">
        <v>2.5232532581091973E-3</v>
      </c>
      <c r="F579">
        <f t="shared" si="22"/>
        <v>-1.6065843788958003E-2</v>
      </c>
      <c r="G579">
        <f t="shared" si="23"/>
        <v>-2.7634194875909141E-2</v>
      </c>
    </row>
    <row r="580" spans="1:7" x14ac:dyDescent="0.35">
      <c r="A580" t="s">
        <v>42</v>
      </c>
      <c r="E580">
        <v>-1.3116273447439694E-2</v>
      </c>
      <c r="F580">
        <f t="shared" ref="F580:F643" si="24">_xlfn.PERCENTILE.EXC(E580:E4395,0.05)</f>
        <v>-1.6072826969959295E-2</v>
      </c>
      <c r="G580">
        <f t="shared" ref="G580:G643" si="25">AVERAGEIFS(E580:E4396,E580:E4396,"&lt;=" &amp; F580)</f>
        <v>-2.7634194875909141E-2</v>
      </c>
    </row>
    <row r="581" spans="1:7" x14ac:dyDescent="0.35">
      <c r="A581" t="s">
        <v>42</v>
      </c>
      <c r="E581">
        <v>3.7575856051838791E-3</v>
      </c>
      <c r="F581">
        <f t="shared" si="24"/>
        <v>-1.6073302091690243E-2</v>
      </c>
      <c r="G581">
        <f t="shared" si="25"/>
        <v>-2.7706004614455416E-2</v>
      </c>
    </row>
    <row r="582" spans="1:7" x14ac:dyDescent="0.35">
      <c r="A582" t="s">
        <v>42</v>
      </c>
      <c r="E582">
        <v>2.4090720810765842E-3</v>
      </c>
      <c r="F582">
        <f t="shared" si="24"/>
        <v>-1.6073777213421195E-2</v>
      </c>
      <c r="G582">
        <f t="shared" si="25"/>
        <v>-2.7706004614455416E-2</v>
      </c>
    </row>
    <row r="583" spans="1:7" x14ac:dyDescent="0.35">
      <c r="A583" t="s">
        <v>42</v>
      </c>
      <c r="E583">
        <v>4.91892382229681E-3</v>
      </c>
      <c r="F583">
        <f t="shared" si="24"/>
        <v>-1.6074252335152143E-2</v>
      </c>
      <c r="G583">
        <f t="shared" si="25"/>
        <v>-2.7706004614455416E-2</v>
      </c>
    </row>
    <row r="584" spans="1:7" x14ac:dyDescent="0.35">
      <c r="A584" t="s">
        <v>42</v>
      </c>
      <c r="E584">
        <v>7.7795892180627388E-3</v>
      </c>
      <c r="F584">
        <f t="shared" si="24"/>
        <v>-1.6074727456883091E-2</v>
      </c>
      <c r="G584">
        <f t="shared" si="25"/>
        <v>-2.7706004614455416E-2</v>
      </c>
    </row>
    <row r="585" spans="1:7" x14ac:dyDescent="0.35">
      <c r="A585" t="s">
        <v>42</v>
      </c>
      <c r="E585">
        <v>-6.2080674991927508E-3</v>
      </c>
      <c r="F585">
        <f t="shared" si="24"/>
        <v>-1.6075202578614042E-2</v>
      </c>
      <c r="G585">
        <f t="shared" si="25"/>
        <v>-2.7706004614455416E-2</v>
      </c>
    </row>
    <row r="586" spans="1:7" x14ac:dyDescent="0.35">
      <c r="A586" t="s">
        <v>43</v>
      </c>
      <c r="B586" s="3" cm="1">
        <f t="array" ref="B586">_xlfn.STDEV.S(_xlfn._xlws.FILTER($E$2:$E$1000, $A$2:$A$1000="2012-05"))</f>
        <v>1.1194197592612745E-2</v>
      </c>
      <c r="C586" s="3" cm="1">
        <f t="array" ref="C586">AVERAGE(_xlfn._xlws.FILTER($E$2:$E$1000, $A$2:$A$1000="2012-05"))</f>
        <v>-2.8341401821539952E-3</v>
      </c>
      <c r="D586" s="3" cm="1">
        <f t="array" ref="D586">_xlfn.PERCENTILE.EXC(_xlfn._xlws.FILTER($E$503:$E$750, $A$503:$A$750="2012-05"), 0.05)</f>
        <v>-1.8148795870434591E-2</v>
      </c>
      <c r="E586">
        <v>5.8293538659003981E-3</v>
      </c>
      <c r="F586">
        <f t="shared" si="24"/>
        <v>-1.607567770034499E-2</v>
      </c>
      <c r="G586">
        <f t="shared" si="25"/>
        <v>-2.7706004614455416E-2</v>
      </c>
    </row>
    <row r="587" spans="1:7" x14ac:dyDescent="0.35">
      <c r="A587" t="s">
        <v>43</v>
      </c>
      <c r="E587">
        <v>2.3956835538825874E-3</v>
      </c>
      <c r="F587">
        <f t="shared" si="24"/>
        <v>-1.6076152822075938E-2</v>
      </c>
      <c r="G587">
        <f t="shared" si="25"/>
        <v>-2.7706004614455416E-2</v>
      </c>
    </row>
    <row r="588" spans="1:7" x14ac:dyDescent="0.35">
      <c r="A588" t="s">
        <v>43</v>
      </c>
      <c r="E588">
        <v>-1.7218842898120201E-2</v>
      </c>
      <c r="F588">
        <f t="shared" si="24"/>
        <v>-1.6076627943806886E-2</v>
      </c>
      <c r="G588">
        <f t="shared" si="25"/>
        <v>-2.7706004614455416E-2</v>
      </c>
    </row>
    <row r="589" spans="1:7" x14ac:dyDescent="0.35">
      <c r="A589" t="s">
        <v>43</v>
      </c>
      <c r="E589">
        <v>-1.15843732580624E-2</v>
      </c>
      <c r="F589">
        <f t="shared" si="24"/>
        <v>-1.59960119789451E-2</v>
      </c>
      <c r="G589">
        <f t="shared" si="25"/>
        <v>-2.7698886503100376E-2</v>
      </c>
    </row>
    <row r="590" spans="1:7" x14ac:dyDescent="0.35">
      <c r="A590" t="s">
        <v>43</v>
      </c>
      <c r="E590">
        <v>-1.4238780353938931E-3</v>
      </c>
      <c r="F590">
        <f t="shared" si="24"/>
        <v>-1.6002995159946388E-2</v>
      </c>
      <c r="G590">
        <f t="shared" si="25"/>
        <v>-2.7698886503100376E-2</v>
      </c>
    </row>
    <row r="591" spans="1:7" x14ac:dyDescent="0.35">
      <c r="A591" t="s">
        <v>43</v>
      </c>
      <c r="E591">
        <v>3.3804119618985689E-3</v>
      </c>
      <c r="F591">
        <f t="shared" si="24"/>
        <v>-1.6009978340947677E-2</v>
      </c>
      <c r="G591">
        <f t="shared" si="25"/>
        <v>-2.7698886503100376E-2</v>
      </c>
    </row>
    <row r="592" spans="1:7" x14ac:dyDescent="0.35">
      <c r="A592" t="s">
        <v>43</v>
      </c>
      <c r="E592">
        <v>2.647760419507394E-3</v>
      </c>
      <c r="F592">
        <f t="shared" si="24"/>
        <v>-1.601696152194897E-2</v>
      </c>
      <c r="G592">
        <f t="shared" si="25"/>
        <v>-2.7698886503100376E-2</v>
      </c>
    </row>
    <row r="593" spans="1:7" x14ac:dyDescent="0.35">
      <c r="A593" t="s">
        <v>43</v>
      </c>
      <c r="E593">
        <v>-1.1114161974734148E-2</v>
      </c>
      <c r="F593">
        <f t="shared" si="24"/>
        <v>-1.6023944702950259E-2</v>
      </c>
      <c r="G593">
        <f t="shared" si="25"/>
        <v>-2.7698886503100376E-2</v>
      </c>
    </row>
    <row r="594" spans="1:7" x14ac:dyDescent="0.35">
      <c r="A594" t="s">
        <v>43</v>
      </c>
      <c r="E594">
        <v>-4.5217000094203794E-3</v>
      </c>
      <c r="F594">
        <f t="shared" si="24"/>
        <v>-1.6030927883951551E-2</v>
      </c>
      <c r="G594">
        <f t="shared" si="25"/>
        <v>-2.7698886503100376E-2</v>
      </c>
    </row>
    <row r="595" spans="1:7" x14ac:dyDescent="0.35">
      <c r="A595" t="s">
        <v>43</v>
      </c>
      <c r="E595">
        <v>-8.7663350051110003E-3</v>
      </c>
      <c r="F595">
        <f t="shared" si="24"/>
        <v>-1.6037911064952844E-2</v>
      </c>
      <c r="G595">
        <f t="shared" si="25"/>
        <v>-2.7698886503100376E-2</v>
      </c>
    </row>
    <row r="596" spans="1:7" x14ac:dyDescent="0.35">
      <c r="A596" t="s">
        <v>43</v>
      </c>
      <c r="E596">
        <v>-1.7535533951881371E-2</v>
      </c>
      <c r="F596">
        <f t="shared" si="24"/>
        <v>-1.6044894245954133E-2</v>
      </c>
      <c r="G596">
        <f t="shared" si="25"/>
        <v>-2.7698886503100376E-2</v>
      </c>
    </row>
    <row r="597" spans="1:7" x14ac:dyDescent="0.35">
      <c r="A597" t="s">
        <v>43</v>
      </c>
      <c r="E597">
        <v>-1.6308556085992375E-2</v>
      </c>
      <c r="F597">
        <f t="shared" si="24"/>
        <v>-1.5918581432428636E-2</v>
      </c>
      <c r="G597">
        <f t="shared" si="25"/>
        <v>-2.7688933890665922E-2</v>
      </c>
    </row>
    <row r="598" spans="1:7" x14ac:dyDescent="0.35">
      <c r="A598" t="s">
        <v>43</v>
      </c>
      <c r="E598">
        <v>3.1649866931410839E-3</v>
      </c>
      <c r="F598">
        <f t="shared" si="24"/>
        <v>-1.5834481972801941E-2</v>
      </c>
      <c r="G598">
        <f t="shared" si="25"/>
        <v>-2.7685998452657071E-2</v>
      </c>
    </row>
    <row r="599" spans="1:7" x14ac:dyDescent="0.35">
      <c r="A599" t="s">
        <v>43</v>
      </c>
      <c r="E599">
        <v>2.0793349196780508E-2</v>
      </c>
      <c r="F599">
        <f t="shared" si="24"/>
        <v>-1.5835216269684881E-2</v>
      </c>
      <c r="G599">
        <f t="shared" si="25"/>
        <v>-2.7685998452657071E-2</v>
      </c>
    </row>
    <row r="600" spans="1:7" x14ac:dyDescent="0.35">
      <c r="A600" t="s">
        <v>43</v>
      </c>
      <c r="E600">
        <v>-1.7715374448491777E-2</v>
      </c>
      <c r="F600">
        <f t="shared" si="24"/>
        <v>-1.5835950566567818E-2</v>
      </c>
      <c r="G600">
        <f t="shared" si="25"/>
        <v>-2.7685998452657071E-2</v>
      </c>
    </row>
    <row r="601" spans="1:7" x14ac:dyDescent="0.35">
      <c r="A601" t="s">
        <v>43</v>
      </c>
      <c r="E601">
        <v>1.5612557632967348E-2</v>
      </c>
      <c r="F601">
        <f t="shared" si="24"/>
        <v>-1.5821998925791989E-2</v>
      </c>
      <c r="G601">
        <f t="shared" si="25"/>
        <v>-2.7748314852683104E-2</v>
      </c>
    </row>
    <row r="602" spans="1:7" x14ac:dyDescent="0.35">
      <c r="A602" t="s">
        <v>43</v>
      </c>
      <c r="E602">
        <v>1.2018106214430927E-3</v>
      </c>
      <c r="F602">
        <f t="shared" si="24"/>
        <v>-1.5822733222674929E-2</v>
      </c>
      <c r="G602">
        <f t="shared" si="25"/>
        <v>-2.7748314852683104E-2</v>
      </c>
    </row>
    <row r="603" spans="1:7" x14ac:dyDescent="0.35">
      <c r="A603" t="s">
        <v>43</v>
      </c>
      <c r="E603">
        <v>1.6640479253789058E-3</v>
      </c>
      <c r="F603">
        <f t="shared" si="24"/>
        <v>-1.5823467519557866E-2</v>
      </c>
      <c r="G603">
        <f t="shared" si="25"/>
        <v>-2.7748314852683104E-2</v>
      </c>
    </row>
    <row r="604" spans="1:7" x14ac:dyDescent="0.35">
      <c r="A604" t="s">
        <v>43</v>
      </c>
      <c r="E604">
        <v>7.3274206381234875E-3</v>
      </c>
      <c r="F604">
        <f t="shared" si="24"/>
        <v>-1.5824201816440803E-2</v>
      </c>
      <c r="G604">
        <f t="shared" si="25"/>
        <v>-2.7748314852683104E-2</v>
      </c>
    </row>
    <row r="605" spans="1:7" x14ac:dyDescent="0.35">
      <c r="A605" t="s">
        <v>43</v>
      </c>
      <c r="E605">
        <v>-1.8196953806206013E-2</v>
      </c>
      <c r="F605">
        <f t="shared" si="24"/>
        <v>-1.5824936113323744E-2</v>
      </c>
      <c r="G605">
        <f t="shared" si="25"/>
        <v>-2.7748314852683104E-2</v>
      </c>
    </row>
    <row r="606" spans="1:7" x14ac:dyDescent="0.35">
      <c r="A606" t="s">
        <v>43</v>
      </c>
      <c r="E606">
        <v>8.5138313915628918E-4</v>
      </c>
      <c r="F606">
        <f t="shared" si="24"/>
        <v>-1.5808500181043829E-2</v>
      </c>
      <c r="G606">
        <f t="shared" si="25"/>
        <v>-2.7733466795324995E-2</v>
      </c>
    </row>
    <row r="607" spans="1:7" x14ac:dyDescent="0.35">
      <c r="A607" t="s">
        <v>44</v>
      </c>
      <c r="B607" s="3" cm="1">
        <f t="array" ref="B607">_xlfn.STDEV.S(_xlfn._xlws.FILTER($E$2:$E$1000, $A$2:$A$1000="2012-06"))</f>
        <v>9.8601625803553944E-3</v>
      </c>
      <c r="C607" s="3" cm="1">
        <f t="array" ref="C607">AVERAGE(_xlfn._xlws.FILTER($E$2:$E$1000, $A$2:$A$1000="2012-06"))</f>
        <v>2.1119441630464367E-3</v>
      </c>
      <c r="D607" s="3" cm="1">
        <f t="array" ref="D607">_xlfn.PERCENTILE.EXC(_xlfn._xlws.FILTER($E$503:$E$750, $A$503:$A$750="2012-06"), 0.05)</f>
        <v>-1.691862352273963E-2</v>
      </c>
      <c r="E607">
        <v>-1.691862352273963E-2</v>
      </c>
      <c r="F607">
        <f t="shared" si="24"/>
        <v>-1.5809411927319914E-2</v>
      </c>
      <c r="G607">
        <f t="shared" si="25"/>
        <v>-2.7733466795324995E-2</v>
      </c>
    </row>
    <row r="608" spans="1:7" x14ac:dyDescent="0.35">
      <c r="A608" t="s">
        <v>44</v>
      </c>
      <c r="E608">
        <v>1.7100915753593564E-2</v>
      </c>
      <c r="F608">
        <f t="shared" si="24"/>
        <v>-1.579760117277812E-2</v>
      </c>
      <c r="G608">
        <f t="shared" si="25"/>
        <v>-2.7726494333954042E-2</v>
      </c>
    </row>
    <row r="609" spans="1:7" x14ac:dyDescent="0.35">
      <c r="A609" t="s">
        <v>44</v>
      </c>
      <c r="E609">
        <v>1.5648818292059514E-2</v>
      </c>
      <c r="F609">
        <f t="shared" si="24"/>
        <v>-1.5798053550328886E-2</v>
      </c>
      <c r="G609">
        <f t="shared" si="25"/>
        <v>-2.7726494333954042E-2</v>
      </c>
    </row>
    <row r="610" spans="1:7" x14ac:dyDescent="0.35">
      <c r="A610" t="s">
        <v>44</v>
      </c>
      <c r="E610">
        <v>-3.5299354904420126E-3</v>
      </c>
      <c r="F610">
        <f t="shared" si="24"/>
        <v>-1.5798505927879652E-2</v>
      </c>
      <c r="G610">
        <f t="shared" si="25"/>
        <v>-2.7726494333954042E-2</v>
      </c>
    </row>
    <row r="611" spans="1:7" x14ac:dyDescent="0.35">
      <c r="A611" t="s">
        <v>44</v>
      </c>
      <c r="E611">
        <v>2.8667353460105926E-3</v>
      </c>
      <c r="F611">
        <f t="shared" si="24"/>
        <v>-1.5798958305430415E-2</v>
      </c>
      <c r="G611">
        <f t="shared" si="25"/>
        <v>-2.7726494333954042E-2</v>
      </c>
    </row>
    <row r="612" spans="1:7" x14ac:dyDescent="0.35">
      <c r="A612" t="s">
        <v>44</v>
      </c>
      <c r="E612">
        <v>1.2910729800354083E-2</v>
      </c>
      <c r="F612">
        <f t="shared" si="24"/>
        <v>-1.5799410682981182E-2</v>
      </c>
      <c r="G612">
        <f t="shared" si="25"/>
        <v>-2.7726494333954042E-2</v>
      </c>
    </row>
    <row r="613" spans="1:7" x14ac:dyDescent="0.35">
      <c r="A613" t="s">
        <v>44</v>
      </c>
      <c r="E613">
        <v>-6.5288679767715142E-3</v>
      </c>
      <c r="F613">
        <f t="shared" si="24"/>
        <v>-1.5799863060531945E-2</v>
      </c>
      <c r="G613">
        <f t="shared" si="25"/>
        <v>-2.7726494333954042E-2</v>
      </c>
    </row>
    <row r="614" spans="1:7" x14ac:dyDescent="0.35">
      <c r="A614" t="s">
        <v>44</v>
      </c>
      <c r="E614">
        <v>-5.940703469168529E-3</v>
      </c>
      <c r="F614">
        <f t="shared" si="24"/>
        <v>-1.5800315438082711E-2</v>
      </c>
      <c r="G614">
        <f t="shared" si="25"/>
        <v>-2.7726494333954042E-2</v>
      </c>
    </row>
    <row r="615" spans="1:7" x14ac:dyDescent="0.35">
      <c r="A615" t="s">
        <v>44</v>
      </c>
      <c r="E615">
        <v>6.914616844825177E-3</v>
      </c>
      <c r="F615">
        <f t="shared" si="24"/>
        <v>-1.5800767815633478E-2</v>
      </c>
      <c r="G615">
        <f t="shared" si="25"/>
        <v>-2.7726494333954042E-2</v>
      </c>
    </row>
    <row r="616" spans="1:7" x14ac:dyDescent="0.35">
      <c r="A616" t="s">
        <v>44</v>
      </c>
      <c r="E616">
        <v>8.3217317126343705E-3</v>
      </c>
      <c r="F616">
        <f t="shared" si="24"/>
        <v>-1.5801220193184241E-2</v>
      </c>
      <c r="G616">
        <f t="shared" si="25"/>
        <v>-2.7726494333954042E-2</v>
      </c>
    </row>
    <row r="617" spans="1:7" x14ac:dyDescent="0.35">
      <c r="A617" t="s">
        <v>44</v>
      </c>
      <c r="E617">
        <v>1.1883107586997907E-2</v>
      </c>
      <c r="F617">
        <f t="shared" si="24"/>
        <v>-1.5801672570735007E-2</v>
      </c>
      <c r="G617">
        <f t="shared" si="25"/>
        <v>-2.7726494333954042E-2</v>
      </c>
    </row>
    <row r="618" spans="1:7" x14ac:dyDescent="0.35">
      <c r="A618" t="s">
        <v>44</v>
      </c>
      <c r="E618">
        <v>5.0842568769023681E-3</v>
      </c>
      <c r="F618">
        <f t="shared" si="24"/>
        <v>-1.5802124948285774E-2</v>
      </c>
      <c r="G618">
        <f t="shared" si="25"/>
        <v>-2.7726494333954042E-2</v>
      </c>
    </row>
    <row r="619" spans="1:7" x14ac:dyDescent="0.35">
      <c r="A619" t="s">
        <v>44</v>
      </c>
      <c r="E619">
        <v>-6.4063134403184287E-3</v>
      </c>
      <c r="F619">
        <f t="shared" si="24"/>
        <v>-1.5802577325836537E-2</v>
      </c>
      <c r="G619">
        <f t="shared" si="25"/>
        <v>-2.7726494333954042E-2</v>
      </c>
    </row>
    <row r="620" spans="1:7" x14ac:dyDescent="0.35">
      <c r="A620" t="s">
        <v>44</v>
      </c>
      <c r="E620">
        <v>-1.0535075484556653E-2</v>
      </c>
      <c r="F620">
        <f t="shared" si="24"/>
        <v>-1.5803029703387303E-2</v>
      </c>
      <c r="G620">
        <f t="shared" si="25"/>
        <v>-2.7726494333954042E-2</v>
      </c>
    </row>
    <row r="621" spans="1:7" x14ac:dyDescent="0.35">
      <c r="A621" t="s">
        <v>44</v>
      </c>
      <c r="E621">
        <v>-7.6110215956510397E-3</v>
      </c>
      <c r="F621">
        <f t="shared" si="24"/>
        <v>-1.5803941449663392E-2</v>
      </c>
      <c r="G621">
        <f t="shared" si="25"/>
        <v>-2.7801484677542513E-2</v>
      </c>
    </row>
    <row r="622" spans="1:7" x14ac:dyDescent="0.35">
      <c r="A622" t="s">
        <v>44</v>
      </c>
      <c r="E622">
        <v>3.4729905079019237E-3</v>
      </c>
      <c r="F622">
        <f t="shared" si="24"/>
        <v>-1.5804853195939477E-2</v>
      </c>
      <c r="G622">
        <f t="shared" si="25"/>
        <v>-2.7801484677542513E-2</v>
      </c>
    </row>
    <row r="623" spans="1:7" x14ac:dyDescent="0.35">
      <c r="A623" t="s">
        <v>44</v>
      </c>
      <c r="E623">
        <v>1.1657656306582396E-2</v>
      </c>
      <c r="F623">
        <f t="shared" si="24"/>
        <v>-1.5805764942215566E-2</v>
      </c>
      <c r="G623">
        <f t="shared" si="25"/>
        <v>-2.7801484677542513E-2</v>
      </c>
    </row>
    <row r="624" spans="1:7" x14ac:dyDescent="0.35">
      <c r="A624" t="s">
        <v>44</v>
      </c>
      <c r="E624">
        <v>-6.286037452179415E-3</v>
      </c>
      <c r="F624">
        <f t="shared" si="24"/>
        <v>-1.5806676688491651E-2</v>
      </c>
      <c r="G624">
        <f t="shared" si="25"/>
        <v>-2.7801484677542513E-2</v>
      </c>
    </row>
    <row r="625" spans="1:7" x14ac:dyDescent="0.35">
      <c r="A625" t="s">
        <v>44</v>
      </c>
      <c r="E625">
        <v>8.0219585018476355E-3</v>
      </c>
      <c r="F625">
        <f t="shared" si="24"/>
        <v>-1.580758843476774E-2</v>
      </c>
      <c r="G625">
        <f t="shared" si="25"/>
        <v>-2.7801484677542513E-2</v>
      </c>
    </row>
    <row r="626" spans="1:7" x14ac:dyDescent="0.35">
      <c r="A626" t="s">
        <v>45</v>
      </c>
      <c r="B626" s="3" cm="1">
        <f t="array" ref="B626">_xlfn.STDEV.S(_xlfn._xlws.FILTER($E$2:$E$1000, $A$2:$A$1000="2012-07"))</f>
        <v>1.1179647771132482E-2</v>
      </c>
      <c r="C626" s="3" cm="1">
        <f t="array" ref="C626">AVERAGE(_xlfn._xlws.FILTER($E$2:$E$1000, $A$2:$A$1000="2012-07"))</f>
        <v>1.7393334056502931E-3</v>
      </c>
      <c r="D626" s="3" cm="1">
        <f t="array" ref="D626">_xlfn.PERCENTILE.EXC(_xlfn._xlws.FILTER($E$503:$E$750, $A$503:$A$750="2012-07"), 0.05)</f>
        <v>-2.340341173387029E-2</v>
      </c>
      <c r="E626">
        <v>1.7070609614156042E-2</v>
      </c>
      <c r="F626">
        <f t="shared" si="24"/>
        <v>-1.5808500181043829E-2</v>
      </c>
      <c r="G626">
        <f t="shared" si="25"/>
        <v>-2.7801484677542513E-2</v>
      </c>
    </row>
    <row r="627" spans="1:7" x14ac:dyDescent="0.35">
      <c r="A627" t="s">
        <v>45</v>
      </c>
      <c r="E627">
        <v>7.6189838221919336E-3</v>
      </c>
      <c r="F627">
        <f t="shared" si="24"/>
        <v>-1.5809411927319914E-2</v>
      </c>
      <c r="G627">
        <f t="shared" si="25"/>
        <v>-2.7801484677542513E-2</v>
      </c>
    </row>
    <row r="628" spans="1:7" x14ac:dyDescent="0.35">
      <c r="A628" t="s">
        <v>45</v>
      </c>
      <c r="E628">
        <v>-9.0185451052101229E-4</v>
      </c>
      <c r="F628">
        <f t="shared" si="24"/>
        <v>-1.5810323673596003E-2</v>
      </c>
      <c r="G628">
        <f t="shared" si="25"/>
        <v>-2.7801484677542513E-2</v>
      </c>
    </row>
    <row r="629" spans="1:7" x14ac:dyDescent="0.35">
      <c r="A629" t="s">
        <v>45</v>
      </c>
      <c r="E629">
        <v>8.6476670270801692E-3</v>
      </c>
      <c r="F629">
        <f t="shared" si="24"/>
        <v>-1.5811235419872088E-2</v>
      </c>
      <c r="G629">
        <f t="shared" si="25"/>
        <v>-2.7801484677542513E-2</v>
      </c>
    </row>
    <row r="630" spans="1:7" x14ac:dyDescent="0.35">
      <c r="A630" t="s">
        <v>45</v>
      </c>
      <c r="E630">
        <v>3.5913768110800489E-4</v>
      </c>
      <c r="F630">
        <f t="shared" si="24"/>
        <v>-1.5812147166148177E-2</v>
      </c>
      <c r="G630">
        <f t="shared" si="25"/>
        <v>-2.7801484677542513E-2</v>
      </c>
    </row>
    <row r="631" spans="1:7" x14ac:dyDescent="0.35">
      <c r="A631" t="s">
        <v>45</v>
      </c>
      <c r="E631">
        <v>-6.2550332470640412E-3</v>
      </c>
      <c r="F631">
        <f t="shared" si="24"/>
        <v>-1.5813058912424266E-2</v>
      </c>
      <c r="G631">
        <f t="shared" si="25"/>
        <v>-2.7801484677542513E-2</v>
      </c>
    </row>
    <row r="632" spans="1:7" x14ac:dyDescent="0.35">
      <c r="A632" t="s">
        <v>45</v>
      </c>
      <c r="E632">
        <v>1.056482112971186E-2</v>
      </c>
      <c r="F632">
        <f t="shared" si="24"/>
        <v>-1.5813970658700351E-2</v>
      </c>
      <c r="G632">
        <f t="shared" si="25"/>
        <v>-2.7801484677542513E-2</v>
      </c>
    </row>
    <row r="633" spans="1:7" x14ac:dyDescent="0.35">
      <c r="A633" t="s">
        <v>45</v>
      </c>
      <c r="E633">
        <v>1.7175892188064884E-3</v>
      </c>
      <c r="F633">
        <f t="shared" si="24"/>
        <v>-1.581488240497644E-2</v>
      </c>
      <c r="G633">
        <f t="shared" si="25"/>
        <v>-2.7801484677542513E-2</v>
      </c>
    </row>
    <row r="634" spans="1:7" x14ac:dyDescent="0.35">
      <c r="A634" t="s">
        <v>45</v>
      </c>
      <c r="E634">
        <v>-1.2438924920254215E-2</v>
      </c>
      <c r="F634">
        <f t="shared" si="24"/>
        <v>-1.5815794151252525E-2</v>
      </c>
      <c r="G634">
        <f t="shared" si="25"/>
        <v>-2.7801484677542513E-2</v>
      </c>
    </row>
    <row r="635" spans="1:7" x14ac:dyDescent="0.35">
      <c r="A635" t="s">
        <v>45</v>
      </c>
      <c r="E635">
        <v>1.574972915161223E-2</v>
      </c>
      <c r="F635">
        <f t="shared" si="24"/>
        <v>-1.5816705897528614E-2</v>
      </c>
      <c r="G635">
        <f t="shared" si="25"/>
        <v>-2.7801484677542513E-2</v>
      </c>
    </row>
    <row r="636" spans="1:7" x14ac:dyDescent="0.35">
      <c r="A636" t="s">
        <v>45</v>
      </c>
      <c r="E636">
        <v>1.7903151389639285E-3</v>
      </c>
      <c r="F636">
        <f t="shared" si="24"/>
        <v>-1.5817617643804703E-2</v>
      </c>
      <c r="G636">
        <f t="shared" si="25"/>
        <v>-2.7801484677542513E-2</v>
      </c>
    </row>
    <row r="637" spans="1:7" x14ac:dyDescent="0.35">
      <c r="A637" t="s">
        <v>45</v>
      </c>
      <c r="E637">
        <v>-5.111660855948069E-3</v>
      </c>
      <c r="F637">
        <f t="shared" si="24"/>
        <v>-1.5818529390080788E-2</v>
      </c>
      <c r="G637">
        <f t="shared" si="25"/>
        <v>-2.7801484677542513E-2</v>
      </c>
    </row>
    <row r="638" spans="1:7" x14ac:dyDescent="0.35">
      <c r="A638" t="s">
        <v>45</v>
      </c>
      <c r="E638">
        <v>1.0479998420431052E-2</v>
      </c>
      <c r="F638">
        <f t="shared" si="24"/>
        <v>-1.5819441136356877E-2</v>
      </c>
      <c r="G638">
        <f t="shared" si="25"/>
        <v>-2.7801484677542513E-2</v>
      </c>
    </row>
    <row r="639" spans="1:7" x14ac:dyDescent="0.35">
      <c r="A639" t="s">
        <v>45</v>
      </c>
      <c r="E639">
        <v>8.3892992648231472E-3</v>
      </c>
      <c r="F639">
        <f t="shared" si="24"/>
        <v>-1.5820352882632963E-2</v>
      </c>
      <c r="G639">
        <f t="shared" si="25"/>
        <v>-2.7801484677542513E-2</v>
      </c>
    </row>
    <row r="640" spans="1:7" x14ac:dyDescent="0.35">
      <c r="A640" t="s">
        <v>45</v>
      </c>
      <c r="E640">
        <v>-8.1829179406702115E-3</v>
      </c>
      <c r="F640">
        <f t="shared" si="24"/>
        <v>-1.5821264628909051E-2</v>
      </c>
      <c r="G640">
        <f t="shared" si="25"/>
        <v>-2.7801484677542513E-2</v>
      </c>
    </row>
    <row r="641" spans="1:7" x14ac:dyDescent="0.35">
      <c r="A641" t="s">
        <v>45</v>
      </c>
      <c r="E641">
        <v>-2.4824626703465885E-2</v>
      </c>
      <c r="F641">
        <f t="shared" si="24"/>
        <v>-1.5821998925791989E-2</v>
      </c>
      <c r="G641">
        <f t="shared" si="25"/>
        <v>-2.7877308855065511E-2</v>
      </c>
    </row>
    <row r="642" spans="1:7" x14ac:dyDescent="0.35">
      <c r="A642" t="s">
        <v>45</v>
      </c>
      <c r="E642">
        <v>-7.238787660343841E-4</v>
      </c>
      <c r="F642">
        <f t="shared" si="24"/>
        <v>-1.5804853195939477E-2</v>
      </c>
      <c r="G642">
        <f t="shared" si="25"/>
        <v>-2.7820325550796166E-2</v>
      </c>
    </row>
    <row r="643" spans="1:7" x14ac:dyDescent="0.35">
      <c r="A643" t="s">
        <v>45</v>
      </c>
      <c r="E643">
        <v>-7.5593016117643857E-3</v>
      </c>
      <c r="F643">
        <f t="shared" si="24"/>
        <v>-1.5805764942215566E-2</v>
      </c>
      <c r="G643">
        <f t="shared" si="25"/>
        <v>-2.7820325550796166E-2</v>
      </c>
    </row>
    <row r="644" spans="1:7" x14ac:dyDescent="0.35">
      <c r="A644" t="s">
        <v>45</v>
      </c>
      <c r="E644">
        <v>1.3497659603357869E-2</v>
      </c>
      <c r="F644">
        <f t="shared" ref="F644:F707" si="26">_xlfn.PERCENTILE.EXC(E644:E4459,0.05)</f>
        <v>-1.5806676688491651E-2</v>
      </c>
      <c r="G644">
        <f t="shared" ref="G644:G707" si="27">AVERAGEIFS(E644:E4460,E644:E4460,"&lt;=" &amp; F644)</f>
        <v>-2.7820325550796166E-2</v>
      </c>
    </row>
    <row r="645" spans="1:7" x14ac:dyDescent="0.35">
      <c r="A645" t="s">
        <v>45</v>
      </c>
      <c r="E645">
        <v>6.3937899150451286E-3</v>
      </c>
      <c r="F645">
        <f t="shared" si="26"/>
        <v>-1.580758843476774E-2</v>
      </c>
      <c r="G645">
        <f t="shared" si="27"/>
        <v>-2.7820325550796166E-2</v>
      </c>
    </row>
    <row r="646" spans="1:7" x14ac:dyDescent="0.35">
      <c r="A646" t="s">
        <v>45</v>
      </c>
      <c r="E646">
        <v>1.7333793732236081E-2</v>
      </c>
      <c r="F646">
        <f t="shared" si="26"/>
        <v>-1.5808500181043829E-2</v>
      </c>
      <c r="G646">
        <f t="shared" si="27"/>
        <v>-2.7820325550796166E-2</v>
      </c>
    </row>
    <row r="647" spans="1:7" x14ac:dyDescent="0.35">
      <c r="A647" t="s">
        <v>45</v>
      </c>
      <c r="E647">
        <v>-1.5349860239495264E-2</v>
      </c>
      <c r="F647">
        <f t="shared" si="26"/>
        <v>-1.5809411927319914E-2</v>
      </c>
      <c r="G647">
        <f t="shared" si="27"/>
        <v>-2.7820325550796166E-2</v>
      </c>
    </row>
    <row r="648" spans="1:7" x14ac:dyDescent="0.35">
      <c r="A648" t="s">
        <v>46</v>
      </c>
      <c r="B648" s="3" cm="1">
        <f t="array" ref="B648">_xlfn.STDEV.S(_xlfn._xlws.FILTER($E$2:$E$1000, $A$2:$A$1000="2012-08"))</f>
        <v>6.1290642740389496E-3</v>
      </c>
      <c r="C648" s="3" cm="1">
        <f t="array" ref="C648">AVERAGE(_xlfn._xlws.FILTER($E$2:$E$1000, $A$2:$A$1000="2012-08"))</f>
        <v>2.1399412848509863E-4</v>
      </c>
      <c r="D648" s="3" cm="1">
        <f t="array" ref="D648">_xlfn.PERCENTILE.EXC(_xlfn._xlws.FILTER($E$503:$E$750, $A$503:$A$750="2012-08"), 0.05)</f>
        <v>-1.2412115025802313E-2</v>
      </c>
      <c r="E648">
        <v>1.0124840727682948E-2</v>
      </c>
      <c r="F648">
        <f t="shared" si="26"/>
        <v>-1.5810323673596003E-2</v>
      </c>
      <c r="G648">
        <f t="shared" si="27"/>
        <v>-2.7820325550796166E-2</v>
      </c>
    </row>
    <row r="649" spans="1:7" x14ac:dyDescent="0.35">
      <c r="A649" t="s">
        <v>46</v>
      </c>
      <c r="E649">
        <v>-4.1925199965749411E-3</v>
      </c>
      <c r="F649">
        <f t="shared" si="26"/>
        <v>-1.5811235419872088E-2</v>
      </c>
      <c r="G649">
        <f t="shared" si="27"/>
        <v>-2.7820325550796166E-2</v>
      </c>
    </row>
    <row r="650" spans="1:7" x14ac:dyDescent="0.35">
      <c r="A650" t="s">
        <v>46</v>
      </c>
      <c r="E650">
        <v>1.3434785903086291E-2</v>
      </c>
      <c r="F650">
        <f t="shared" si="26"/>
        <v>-1.5812147166148177E-2</v>
      </c>
      <c r="G650">
        <f t="shared" si="27"/>
        <v>-2.7820325550796166E-2</v>
      </c>
    </row>
    <row r="651" spans="1:7" x14ac:dyDescent="0.35">
      <c r="A651" t="s">
        <v>46</v>
      </c>
      <c r="E651">
        <v>-5.2882392680015928E-4</v>
      </c>
      <c r="F651">
        <f t="shared" si="26"/>
        <v>-1.5813058912424266E-2</v>
      </c>
      <c r="G651">
        <f t="shared" si="27"/>
        <v>-2.7820325550796166E-2</v>
      </c>
    </row>
    <row r="652" spans="1:7" x14ac:dyDescent="0.35">
      <c r="A652" t="s">
        <v>46</v>
      </c>
      <c r="E652">
        <v>6.4650388373891903E-3</v>
      </c>
      <c r="F652">
        <f t="shared" si="26"/>
        <v>-1.5813970658700351E-2</v>
      </c>
      <c r="G652">
        <f t="shared" si="27"/>
        <v>-2.7820325550796166E-2</v>
      </c>
    </row>
    <row r="653" spans="1:7" x14ac:dyDescent="0.35">
      <c r="A653" t="s">
        <v>46</v>
      </c>
      <c r="E653">
        <v>5.9214399512012581E-3</v>
      </c>
      <c r="F653">
        <f t="shared" si="26"/>
        <v>-1.581488240497644E-2</v>
      </c>
      <c r="G653">
        <f t="shared" si="27"/>
        <v>-2.7820325550796166E-2</v>
      </c>
    </row>
    <row r="654" spans="1:7" x14ac:dyDescent="0.35">
      <c r="A654" t="s">
        <v>46</v>
      </c>
      <c r="E654">
        <v>4.8640332322987074E-3</v>
      </c>
      <c r="F654">
        <f t="shared" si="26"/>
        <v>-1.5815794151252525E-2</v>
      </c>
      <c r="G654">
        <f t="shared" si="27"/>
        <v>-2.7820325550796166E-2</v>
      </c>
    </row>
    <row r="655" spans="1:7" x14ac:dyDescent="0.35">
      <c r="A655" t="s">
        <v>46</v>
      </c>
      <c r="E655">
        <v>2.0427506379306062E-3</v>
      </c>
      <c r="F655">
        <f t="shared" si="26"/>
        <v>-1.5816705897528614E-2</v>
      </c>
      <c r="G655">
        <f t="shared" si="27"/>
        <v>-2.7820325550796166E-2</v>
      </c>
    </row>
    <row r="656" spans="1:7" x14ac:dyDescent="0.35">
      <c r="A656" t="s">
        <v>46</v>
      </c>
      <c r="E656">
        <v>-4.8763681981920338E-3</v>
      </c>
      <c r="F656">
        <f t="shared" si="26"/>
        <v>-1.5817617643804703E-2</v>
      </c>
      <c r="G656">
        <f t="shared" si="27"/>
        <v>-2.7820325550796166E-2</v>
      </c>
    </row>
    <row r="657" spans="1:7" x14ac:dyDescent="0.35">
      <c r="A657" t="s">
        <v>46</v>
      </c>
      <c r="E657">
        <v>5.5383354251559063E-3</v>
      </c>
      <c r="F657">
        <f t="shared" si="26"/>
        <v>-1.5818529390080788E-2</v>
      </c>
      <c r="G657">
        <f t="shared" si="27"/>
        <v>-2.7820325550796166E-2</v>
      </c>
    </row>
    <row r="658" spans="1:7" x14ac:dyDescent="0.35">
      <c r="A658" t="s">
        <v>46</v>
      </c>
      <c r="E658">
        <v>-4.179078630396682E-3</v>
      </c>
      <c r="F658">
        <f t="shared" si="26"/>
        <v>-1.5819441136356877E-2</v>
      </c>
      <c r="G658">
        <f t="shared" si="27"/>
        <v>-2.7820325550796166E-2</v>
      </c>
    </row>
    <row r="659" spans="1:7" x14ac:dyDescent="0.35">
      <c r="A659" t="s">
        <v>46</v>
      </c>
      <c r="E659">
        <v>3.7498381240773687E-3</v>
      </c>
      <c r="F659">
        <f t="shared" si="26"/>
        <v>-1.5820352882632963E-2</v>
      </c>
      <c r="G659">
        <f t="shared" si="27"/>
        <v>-2.7820325550796166E-2</v>
      </c>
    </row>
    <row r="660" spans="1:7" x14ac:dyDescent="0.35">
      <c r="A660" t="s">
        <v>46</v>
      </c>
      <c r="E660">
        <v>-5.9691539191568813E-3</v>
      </c>
      <c r="F660">
        <f t="shared" si="26"/>
        <v>-1.5821264628909051E-2</v>
      </c>
      <c r="G660">
        <f t="shared" si="27"/>
        <v>-2.7820325550796166E-2</v>
      </c>
    </row>
    <row r="661" spans="1:7" x14ac:dyDescent="0.35">
      <c r="A661" t="s">
        <v>46</v>
      </c>
      <c r="E661">
        <v>-2.9874099871296541E-5</v>
      </c>
      <c r="F661">
        <f t="shared" si="26"/>
        <v>-1.5821998925791989E-2</v>
      </c>
      <c r="G661">
        <f t="shared" si="27"/>
        <v>-2.7896752690426015E-2</v>
      </c>
    </row>
    <row r="662" spans="1:7" x14ac:dyDescent="0.35">
      <c r="A662" t="s">
        <v>46</v>
      </c>
      <c r="E662">
        <v>-1.3127999593207361E-2</v>
      </c>
      <c r="F662">
        <f t="shared" si="26"/>
        <v>-1.5822733222674929E-2</v>
      </c>
      <c r="G662">
        <f t="shared" si="27"/>
        <v>-2.7896752690426015E-2</v>
      </c>
    </row>
    <row r="663" spans="1:7" x14ac:dyDescent="0.35">
      <c r="A663" t="s">
        <v>46</v>
      </c>
      <c r="E663">
        <v>-3.2532937354562306E-3</v>
      </c>
      <c r="F663">
        <f t="shared" si="26"/>
        <v>-1.5823467519557866E-2</v>
      </c>
      <c r="G663">
        <f t="shared" si="27"/>
        <v>-2.7896752690426015E-2</v>
      </c>
    </row>
    <row r="664" spans="1:7" x14ac:dyDescent="0.35">
      <c r="A664" t="s">
        <v>46</v>
      </c>
      <c r="E664">
        <v>6.1590092009760418E-4</v>
      </c>
      <c r="F664">
        <f t="shared" si="26"/>
        <v>-1.5824201816440803E-2</v>
      </c>
      <c r="G664">
        <f t="shared" si="27"/>
        <v>-2.7896752690426015E-2</v>
      </c>
    </row>
    <row r="665" spans="1:7" x14ac:dyDescent="0.35">
      <c r="A665" t="s">
        <v>46</v>
      </c>
      <c r="E665">
        <v>-2.9421505637763847E-3</v>
      </c>
      <c r="F665">
        <f t="shared" si="26"/>
        <v>-1.5824936113323744E-2</v>
      </c>
      <c r="G665">
        <f t="shared" si="27"/>
        <v>-2.7896752690426015E-2</v>
      </c>
    </row>
    <row r="666" spans="1:7" x14ac:dyDescent="0.35">
      <c r="A666" t="s">
        <v>46</v>
      </c>
      <c r="E666">
        <v>-2.0809288706151816E-3</v>
      </c>
      <c r="F666">
        <f t="shared" si="26"/>
        <v>-1.5825670410206681E-2</v>
      </c>
      <c r="G666">
        <f t="shared" si="27"/>
        <v>-2.7896752690426015E-2</v>
      </c>
    </row>
    <row r="667" spans="1:7" x14ac:dyDescent="0.35">
      <c r="A667" t="s">
        <v>46</v>
      </c>
      <c r="E667">
        <v>-4.9067342340016057E-3</v>
      </c>
      <c r="F667">
        <f t="shared" si="26"/>
        <v>-1.5826404707089618E-2</v>
      </c>
      <c r="G667">
        <f t="shared" si="27"/>
        <v>-2.7896752690426015E-2</v>
      </c>
    </row>
    <row r="668" spans="1:7" x14ac:dyDescent="0.35">
      <c r="A668" t="s">
        <v>46</v>
      </c>
      <c r="E668">
        <v>-2.1761612926840548E-3</v>
      </c>
      <c r="F668">
        <f t="shared" si="26"/>
        <v>-1.5827139003972559E-2</v>
      </c>
      <c r="G668">
        <f t="shared" si="27"/>
        <v>-2.7896752690426015E-2</v>
      </c>
    </row>
    <row r="669" spans="1:7" x14ac:dyDescent="0.35">
      <c r="A669" t="s">
        <v>47</v>
      </c>
      <c r="B669" s="3" cm="1">
        <f t="array" ref="B669">_xlfn.STDEV.S(_xlfn._xlws.FILTER($E$2:$E$1000, $A$2:$A$1000="2012-09"))</f>
        <v>7.3636176752241763E-3</v>
      </c>
      <c r="C669" s="3" cm="1">
        <f t="array" ref="C669">AVERAGE(_xlfn._xlws.FILTER($E$2:$E$1000, $A$2:$A$1000="2012-09"))</f>
        <v>-2.8877598972336297E-5</v>
      </c>
      <c r="D669" s="3" cm="1">
        <f t="array" ref="D669">_xlfn.PERCENTILE.EXC(_xlfn._xlws.FILTER($E$503:$E$750, $A$503:$A$750="2012-09"), 0.05)</f>
        <v>-1.2671148497758458E-2</v>
      </c>
      <c r="E669">
        <v>7.486487039296782E-3</v>
      </c>
      <c r="F669">
        <f t="shared" si="26"/>
        <v>-1.5827873300855496E-2</v>
      </c>
      <c r="G669">
        <f t="shared" si="27"/>
        <v>-2.7896752690426015E-2</v>
      </c>
    </row>
    <row r="670" spans="1:7" x14ac:dyDescent="0.35">
      <c r="A670" t="s">
        <v>47</v>
      </c>
      <c r="E670">
        <v>-1.2554285850779643E-2</v>
      </c>
      <c r="F670">
        <f t="shared" si="26"/>
        <v>-1.5828607597738437E-2</v>
      </c>
      <c r="G670">
        <f t="shared" si="27"/>
        <v>-2.7896752690426015E-2</v>
      </c>
    </row>
    <row r="671" spans="1:7" x14ac:dyDescent="0.35">
      <c r="A671" t="s">
        <v>47</v>
      </c>
      <c r="E671">
        <v>-4.1701922139869936E-3</v>
      </c>
      <c r="F671">
        <f t="shared" si="26"/>
        <v>-1.5829341894621374E-2</v>
      </c>
      <c r="G671">
        <f t="shared" si="27"/>
        <v>-2.7896752690426015E-2</v>
      </c>
    </row>
    <row r="672" spans="1:7" x14ac:dyDescent="0.35">
      <c r="A672" t="s">
        <v>47</v>
      </c>
      <c r="E672">
        <v>2.0281678094691218E-2</v>
      </c>
      <c r="F672">
        <f t="shared" si="26"/>
        <v>-1.5830076191504311E-2</v>
      </c>
      <c r="G672">
        <f t="shared" si="27"/>
        <v>-2.7896752690426015E-2</v>
      </c>
    </row>
    <row r="673" spans="1:7" x14ac:dyDescent="0.35">
      <c r="A673" t="s">
        <v>47</v>
      </c>
      <c r="E673">
        <v>-4.0930623556857254E-3</v>
      </c>
      <c r="F673">
        <f t="shared" si="26"/>
        <v>-1.5830810488387248E-2</v>
      </c>
      <c r="G673">
        <f t="shared" si="27"/>
        <v>-2.7896752690426015E-2</v>
      </c>
    </row>
    <row r="674" spans="1:7" x14ac:dyDescent="0.35">
      <c r="A674" t="s">
        <v>47</v>
      </c>
      <c r="E674">
        <v>-4.3137700443343651E-4</v>
      </c>
      <c r="F674">
        <f t="shared" si="26"/>
        <v>-1.5831544785270189E-2</v>
      </c>
      <c r="G674">
        <f t="shared" si="27"/>
        <v>-2.7896752690426015E-2</v>
      </c>
    </row>
    <row r="675" spans="1:7" x14ac:dyDescent="0.35">
      <c r="A675" t="s">
        <v>47</v>
      </c>
      <c r="E675">
        <v>-2.5475842955974314E-3</v>
      </c>
      <c r="F675">
        <f t="shared" si="26"/>
        <v>-1.5832279082153126E-2</v>
      </c>
      <c r="G675">
        <f t="shared" si="27"/>
        <v>-2.7896752690426015E-2</v>
      </c>
    </row>
    <row r="676" spans="1:7" x14ac:dyDescent="0.35">
      <c r="A676" t="s">
        <v>47</v>
      </c>
      <c r="E676">
        <v>-1.3888713392328799E-3</v>
      </c>
      <c r="F676">
        <f t="shared" si="26"/>
        <v>-1.5833013379036066E-2</v>
      </c>
      <c r="G676">
        <f t="shared" si="27"/>
        <v>-2.7896752690426015E-2</v>
      </c>
    </row>
    <row r="677" spans="1:7" x14ac:dyDescent="0.35">
      <c r="A677" t="s">
        <v>47</v>
      </c>
      <c r="E677">
        <v>5.4069066034322707E-3</v>
      </c>
      <c r="F677">
        <f t="shared" si="26"/>
        <v>-1.5833747675919004E-2</v>
      </c>
      <c r="G677">
        <f t="shared" si="27"/>
        <v>-2.7896752690426015E-2</v>
      </c>
    </row>
    <row r="678" spans="1:7" x14ac:dyDescent="0.35">
      <c r="A678" t="s">
        <v>47</v>
      </c>
      <c r="E678">
        <v>7.7201114407013105E-3</v>
      </c>
      <c r="F678">
        <f t="shared" si="26"/>
        <v>-1.5834481972801941E-2</v>
      </c>
      <c r="G678">
        <f t="shared" si="27"/>
        <v>-2.7896752690426015E-2</v>
      </c>
    </row>
    <row r="679" spans="1:7" x14ac:dyDescent="0.35">
      <c r="A679" t="s">
        <v>47</v>
      </c>
      <c r="E679">
        <v>-2.3946068249379613E-3</v>
      </c>
      <c r="F679">
        <f t="shared" si="26"/>
        <v>-1.5835216269684881E-2</v>
      </c>
      <c r="G679">
        <f t="shared" si="27"/>
        <v>-2.7896752690426015E-2</v>
      </c>
    </row>
    <row r="680" spans="1:7" x14ac:dyDescent="0.35">
      <c r="A680" t="s">
        <v>47</v>
      </c>
      <c r="E680">
        <v>4.8212097212462353E-4</v>
      </c>
      <c r="F680">
        <f t="shared" si="26"/>
        <v>-1.5835950566567818E-2</v>
      </c>
      <c r="G680">
        <f t="shared" si="27"/>
        <v>-2.7896752690426015E-2</v>
      </c>
    </row>
    <row r="681" spans="1:7" x14ac:dyDescent="0.35">
      <c r="A681" t="s">
        <v>47</v>
      </c>
      <c r="E681">
        <v>1.8790614337061188E-4</v>
      </c>
      <c r="F681">
        <f t="shared" si="26"/>
        <v>-1.5840811205736102E-2</v>
      </c>
      <c r="G681">
        <f t="shared" si="27"/>
        <v>-2.797406552455331E-2</v>
      </c>
    </row>
    <row r="682" spans="1:7" x14ac:dyDescent="0.35">
      <c r="A682" t="s">
        <v>47</v>
      </c>
      <c r="E682">
        <v>1.9654388418487785E-3</v>
      </c>
      <c r="F682">
        <f t="shared" si="26"/>
        <v>-1.5845671844904385E-2</v>
      </c>
      <c r="G682">
        <f t="shared" si="27"/>
        <v>-2.797406552455331E-2</v>
      </c>
    </row>
    <row r="683" spans="1:7" x14ac:dyDescent="0.35">
      <c r="A683" t="s">
        <v>47</v>
      </c>
      <c r="E683">
        <v>-1.1479936212021628E-3</v>
      </c>
      <c r="F683">
        <f t="shared" si="26"/>
        <v>-1.5850532484072668E-2</v>
      </c>
      <c r="G683">
        <f t="shared" si="27"/>
        <v>-2.797406552455331E-2</v>
      </c>
    </row>
    <row r="684" spans="1:7" x14ac:dyDescent="0.35">
      <c r="A684" t="s">
        <v>47</v>
      </c>
      <c r="E684">
        <v>1.6610194822696367E-3</v>
      </c>
      <c r="F684">
        <f t="shared" si="26"/>
        <v>-1.5855393123240951E-2</v>
      </c>
      <c r="G684">
        <f t="shared" si="27"/>
        <v>-2.797406552455331E-2</v>
      </c>
    </row>
    <row r="685" spans="1:7" x14ac:dyDescent="0.35">
      <c r="A685" t="s">
        <v>47</v>
      </c>
      <c r="E685">
        <v>1.6165470138611692E-3</v>
      </c>
      <c r="F685">
        <f t="shared" si="26"/>
        <v>-1.5860253762409234E-2</v>
      </c>
      <c r="G685">
        <f t="shared" si="27"/>
        <v>-2.797406552455331E-2</v>
      </c>
    </row>
    <row r="686" spans="1:7" x14ac:dyDescent="0.35">
      <c r="A686" t="s">
        <v>47</v>
      </c>
      <c r="E686">
        <v>-1.2677299163388922E-2</v>
      </c>
      <c r="F686">
        <f t="shared" si="26"/>
        <v>-1.5865114401577517E-2</v>
      </c>
      <c r="G686">
        <f t="shared" si="27"/>
        <v>-2.797406552455331E-2</v>
      </c>
    </row>
    <row r="687" spans="1:7" x14ac:dyDescent="0.35">
      <c r="A687" t="s">
        <v>47</v>
      </c>
      <c r="E687">
        <v>3.2751894108577844E-3</v>
      </c>
      <c r="F687">
        <f t="shared" si="26"/>
        <v>-1.5869975040745801E-2</v>
      </c>
      <c r="G687">
        <f t="shared" si="27"/>
        <v>-2.797406552455331E-2</v>
      </c>
    </row>
    <row r="688" spans="1:7" x14ac:dyDescent="0.35">
      <c r="A688" t="s">
        <v>47</v>
      </c>
      <c r="E688">
        <v>-9.2556843526557537E-3</v>
      </c>
      <c r="F688">
        <f t="shared" si="26"/>
        <v>-1.5874835679914084E-2</v>
      </c>
      <c r="G688">
        <f t="shared" si="27"/>
        <v>-2.797406552455331E-2</v>
      </c>
    </row>
    <row r="689" spans="1:7" x14ac:dyDescent="0.35">
      <c r="A689" t="s">
        <v>48</v>
      </c>
      <c r="B689" s="3" cm="1">
        <f t="array" ref="B689">_xlfn.STDEV.S(_xlfn._xlws.FILTER($E$2:$E$1000, $A$2:$A$1000="2012-10"))</f>
        <v>6.1856602302009208E-3</v>
      </c>
      <c r="C689" s="3" cm="1">
        <f t="array" ref="C689">AVERAGE(_xlfn._xlws.FILTER($E$2:$E$1000, $A$2:$A$1000="2012-10"))</f>
        <v>-6.0865227520961158E-5</v>
      </c>
      <c r="D689" s="3" cm="1">
        <f t="array" ref="D689">_xlfn.PERCENTILE.EXC(_xlfn._xlws.FILTER($E$503:$E$750, $A$503:$A$750="2012-10"), 0.05)</f>
        <v>-1.1752781342540201E-2</v>
      </c>
      <c r="E689">
        <v>1.0999141750663494E-2</v>
      </c>
      <c r="F689">
        <f t="shared" si="26"/>
        <v>-1.5879696319082367E-2</v>
      </c>
      <c r="G689">
        <f t="shared" si="27"/>
        <v>-2.797406552455331E-2</v>
      </c>
    </row>
    <row r="690" spans="1:7" x14ac:dyDescent="0.35">
      <c r="A690" t="s">
        <v>48</v>
      </c>
      <c r="E690">
        <v>-3.7649795432452993E-3</v>
      </c>
      <c r="F690">
        <f t="shared" si="26"/>
        <v>-1.5884556958250654E-2</v>
      </c>
      <c r="G690">
        <f t="shared" si="27"/>
        <v>-2.797406552455331E-2</v>
      </c>
    </row>
    <row r="691" spans="1:7" x14ac:dyDescent="0.35">
      <c r="A691" t="s">
        <v>48</v>
      </c>
      <c r="E691">
        <v>5.4332046597858517E-4</v>
      </c>
      <c r="F691">
        <f t="shared" si="26"/>
        <v>-1.5889417597418933E-2</v>
      </c>
      <c r="G691">
        <f t="shared" si="27"/>
        <v>-2.797406552455331E-2</v>
      </c>
    </row>
    <row r="692" spans="1:7" x14ac:dyDescent="0.35">
      <c r="A692" t="s">
        <v>48</v>
      </c>
      <c r="E692">
        <v>-2.0735008380236087E-3</v>
      </c>
      <c r="F692">
        <f t="shared" si="26"/>
        <v>-1.5894278236587216E-2</v>
      </c>
      <c r="G692">
        <f t="shared" si="27"/>
        <v>-2.797406552455331E-2</v>
      </c>
    </row>
    <row r="693" spans="1:7" x14ac:dyDescent="0.35">
      <c r="A693" t="s">
        <v>48</v>
      </c>
      <c r="E693">
        <v>4.3512359012643533E-3</v>
      </c>
      <c r="F693">
        <f t="shared" si="26"/>
        <v>-1.58991388757555E-2</v>
      </c>
      <c r="G693">
        <f t="shared" si="27"/>
        <v>-2.797406552455331E-2</v>
      </c>
    </row>
    <row r="694" spans="1:7" x14ac:dyDescent="0.35">
      <c r="A694" t="s">
        <v>48</v>
      </c>
      <c r="E694">
        <v>-7.9475992986040231E-3</v>
      </c>
      <c r="F694">
        <f t="shared" si="26"/>
        <v>-1.5903999514923783E-2</v>
      </c>
      <c r="G694">
        <f t="shared" si="27"/>
        <v>-2.797406552455331E-2</v>
      </c>
    </row>
    <row r="695" spans="1:7" x14ac:dyDescent="0.35">
      <c r="A695" t="s">
        <v>48</v>
      </c>
      <c r="E695">
        <v>1.3179849309040572E-4</v>
      </c>
      <c r="F695">
        <f t="shared" si="26"/>
        <v>-1.5908860154092069E-2</v>
      </c>
      <c r="G695">
        <f t="shared" si="27"/>
        <v>-2.797406552455331E-2</v>
      </c>
    </row>
    <row r="696" spans="1:7" x14ac:dyDescent="0.35">
      <c r="A696" t="s">
        <v>48</v>
      </c>
      <c r="E696">
        <v>-6.5635807606246287E-3</v>
      </c>
      <c r="F696">
        <f t="shared" si="26"/>
        <v>-1.5913720793260349E-2</v>
      </c>
      <c r="G696">
        <f t="shared" si="27"/>
        <v>-2.797406552455331E-2</v>
      </c>
    </row>
    <row r="697" spans="1:7" x14ac:dyDescent="0.35">
      <c r="A697" t="s">
        <v>48</v>
      </c>
      <c r="E697">
        <v>7.6722140825146098E-3</v>
      </c>
      <c r="F697">
        <f t="shared" si="26"/>
        <v>-1.5918581432428636E-2</v>
      </c>
      <c r="G697">
        <f t="shared" si="27"/>
        <v>-2.797406552455331E-2</v>
      </c>
    </row>
    <row r="698" spans="1:7" x14ac:dyDescent="0.35">
      <c r="A698" t="s">
        <v>48</v>
      </c>
      <c r="E698">
        <v>-5.0956988902807641E-3</v>
      </c>
      <c r="F698">
        <f t="shared" si="26"/>
        <v>-1.5923442071596915E-2</v>
      </c>
      <c r="G698">
        <f t="shared" si="27"/>
        <v>-2.797406552455331E-2</v>
      </c>
    </row>
    <row r="699" spans="1:7" x14ac:dyDescent="0.35">
      <c r="A699" t="s">
        <v>48</v>
      </c>
      <c r="E699">
        <v>2.827484801166165E-3</v>
      </c>
      <c r="F699">
        <f t="shared" si="26"/>
        <v>-1.5928302710765202E-2</v>
      </c>
      <c r="G699">
        <f t="shared" si="27"/>
        <v>-2.797406552455331E-2</v>
      </c>
    </row>
    <row r="700" spans="1:7" x14ac:dyDescent="0.35">
      <c r="A700" t="s">
        <v>48</v>
      </c>
      <c r="E700">
        <v>5.776033223173215E-3</v>
      </c>
      <c r="F700">
        <f t="shared" si="26"/>
        <v>-1.5933163349933485E-2</v>
      </c>
      <c r="G700">
        <f t="shared" si="27"/>
        <v>-2.797406552455331E-2</v>
      </c>
    </row>
    <row r="701" spans="1:7" x14ac:dyDescent="0.35">
      <c r="A701" t="s">
        <v>48</v>
      </c>
      <c r="E701">
        <v>3.4277063893361904E-3</v>
      </c>
      <c r="F701">
        <f t="shared" si="26"/>
        <v>-1.5940146530934774E-2</v>
      </c>
      <c r="G701">
        <f t="shared" si="27"/>
        <v>-2.805174876438957E-2</v>
      </c>
    </row>
    <row r="702" spans="1:7" x14ac:dyDescent="0.35">
      <c r="A702" t="s">
        <v>48</v>
      </c>
      <c r="E702">
        <v>1.2055777527965178E-3</v>
      </c>
      <c r="F702">
        <f t="shared" si="26"/>
        <v>-1.5947129711936067E-2</v>
      </c>
      <c r="G702">
        <f t="shared" si="27"/>
        <v>-2.805174876438957E-2</v>
      </c>
    </row>
    <row r="703" spans="1:7" x14ac:dyDescent="0.35">
      <c r="A703" t="s">
        <v>48</v>
      </c>
      <c r="E703">
        <v>-5.5944686723456913E-3</v>
      </c>
      <c r="F703">
        <f t="shared" si="26"/>
        <v>-1.5954112892937352E-2</v>
      </c>
      <c r="G703">
        <f t="shared" si="27"/>
        <v>-2.805174876438957E-2</v>
      </c>
    </row>
    <row r="704" spans="1:7" x14ac:dyDescent="0.35">
      <c r="A704" t="s">
        <v>48</v>
      </c>
      <c r="E704">
        <v>-4.5427076763294794E-3</v>
      </c>
      <c r="F704">
        <f t="shared" si="26"/>
        <v>-1.5961096073938644E-2</v>
      </c>
      <c r="G704">
        <f t="shared" si="27"/>
        <v>-2.805174876438957E-2</v>
      </c>
    </row>
    <row r="705" spans="1:7" x14ac:dyDescent="0.35">
      <c r="A705" t="s">
        <v>48</v>
      </c>
      <c r="E705">
        <v>-1.2622009512084717E-2</v>
      </c>
      <c r="F705">
        <f t="shared" si="26"/>
        <v>-1.5968079254939937E-2</v>
      </c>
      <c r="G705">
        <f t="shared" si="27"/>
        <v>-2.805174876438957E-2</v>
      </c>
    </row>
    <row r="706" spans="1:7" x14ac:dyDescent="0.35">
      <c r="A706" t="s">
        <v>48</v>
      </c>
      <c r="E706">
        <v>7.8870387700091665E-3</v>
      </c>
      <c r="F706">
        <f t="shared" si="26"/>
        <v>-1.5975062435941226E-2</v>
      </c>
      <c r="G706">
        <f t="shared" si="27"/>
        <v>-2.805174876438957E-2</v>
      </c>
    </row>
    <row r="707" spans="1:7" x14ac:dyDescent="0.35">
      <c r="A707" t="s">
        <v>48</v>
      </c>
      <c r="E707">
        <v>5.7453487660299868E-3</v>
      </c>
      <c r="F707">
        <f t="shared" si="26"/>
        <v>-1.5982045616942518E-2</v>
      </c>
      <c r="G707">
        <f t="shared" si="27"/>
        <v>-2.805174876438957E-2</v>
      </c>
    </row>
    <row r="708" spans="1:7" x14ac:dyDescent="0.35">
      <c r="A708" t="s">
        <v>48</v>
      </c>
      <c r="E708">
        <v>6.1479971303736805E-4</v>
      </c>
      <c r="F708">
        <f t="shared" ref="F708:F771" si="28">_xlfn.PERCENTILE.EXC(E708:E4523,0.05)</f>
        <v>-1.5989028797943807E-2</v>
      </c>
      <c r="G708">
        <f t="shared" ref="G708:G771" si="29">AVERAGEIFS(E708:E4524,E708:E4524,"&lt;=" &amp; F708)</f>
        <v>-2.805174876438957E-2</v>
      </c>
    </row>
    <row r="709" spans="1:7" x14ac:dyDescent="0.35">
      <c r="A709" t="s">
        <v>48</v>
      </c>
      <c r="E709">
        <v>-3.275078669872783E-3</v>
      </c>
      <c r="F709">
        <f t="shared" si="28"/>
        <v>-1.59960119789451E-2</v>
      </c>
      <c r="G709">
        <f t="shared" si="29"/>
        <v>-2.805174876438957E-2</v>
      </c>
    </row>
    <row r="710" spans="1:7" x14ac:dyDescent="0.35">
      <c r="A710" t="s">
        <v>48</v>
      </c>
      <c r="E710">
        <v>7.173892183730976E-3</v>
      </c>
      <c r="F710">
        <f t="shared" si="28"/>
        <v>-1.6002995159946388E-2</v>
      </c>
      <c r="G710">
        <f t="shared" si="29"/>
        <v>-2.805174876438957E-2</v>
      </c>
    </row>
    <row r="711" spans="1:7" x14ac:dyDescent="0.35">
      <c r="A711" t="s">
        <v>48</v>
      </c>
      <c r="E711">
        <v>-8.2758686643621456E-3</v>
      </c>
      <c r="F711">
        <f t="shared" si="28"/>
        <v>-1.6009978340947677E-2</v>
      </c>
      <c r="G711">
        <f t="shared" si="29"/>
        <v>-2.805174876438957E-2</v>
      </c>
    </row>
    <row r="712" spans="1:7" x14ac:dyDescent="0.35">
      <c r="A712" t="s">
        <v>49</v>
      </c>
      <c r="B712" s="3" cm="1">
        <f t="array" ref="B712">_xlfn.STDEV.S(_xlfn._xlws.FILTER($E$2:$E$1000, $A$2:$A$1000="2012-11"))</f>
        <v>8.4704346216455187E-3</v>
      </c>
      <c r="C712" s="3" cm="1">
        <f t="array" ref="C712">AVERAGE(_xlfn._xlws.FILTER($E$2:$E$1000, $A$2:$A$1000="2012-11"))</f>
        <v>2.5616964777238922E-4</v>
      </c>
      <c r="D712" s="3" cm="1">
        <f t="array" ref="D712">_xlfn.PERCENTILE.EXC(_xlfn._xlws.FILTER($E$503:$E$750, $A$503:$A$750="2012-11"), 0.05)</f>
        <v>-1.498506366743918E-2</v>
      </c>
      <c r="E712">
        <v>1.5765987139460716E-2</v>
      </c>
      <c r="F712">
        <f t="shared" si="28"/>
        <v>-1.601696152194897E-2</v>
      </c>
      <c r="G712">
        <f t="shared" si="29"/>
        <v>-2.805174876438957E-2</v>
      </c>
    </row>
    <row r="713" spans="1:7" x14ac:dyDescent="0.35">
      <c r="A713" t="s">
        <v>49</v>
      </c>
      <c r="E713">
        <v>3.8401911710563025E-3</v>
      </c>
      <c r="F713">
        <f t="shared" si="28"/>
        <v>-1.6023944702950259E-2</v>
      </c>
      <c r="G713">
        <f t="shared" si="29"/>
        <v>-2.805174876438957E-2</v>
      </c>
    </row>
    <row r="714" spans="1:7" x14ac:dyDescent="0.35">
      <c r="A714" t="s">
        <v>49</v>
      </c>
      <c r="E714">
        <v>-5.6012749344035492E-3</v>
      </c>
      <c r="F714">
        <f t="shared" si="28"/>
        <v>-1.6030927883951551E-2</v>
      </c>
      <c r="G714">
        <f t="shared" si="29"/>
        <v>-2.805174876438957E-2</v>
      </c>
    </row>
    <row r="715" spans="1:7" x14ac:dyDescent="0.35">
      <c r="A715" t="s">
        <v>49</v>
      </c>
      <c r="E715">
        <v>6.4463767731706197E-3</v>
      </c>
      <c r="F715">
        <f t="shared" si="28"/>
        <v>-1.6037911064952844E-2</v>
      </c>
      <c r="G715">
        <f t="shared" si="29"/>
        <v>-2.805174876438957E-2</v>
      </c>
    </row>
    <row r="716" spans="1:7" x14ac:dyDescent="0.35">
      <c r="A716" t="s">
        <v>49</v>
      </c>
      <c r="E716">
        <v>-1.2394702895163555E-2</v>
      </c>
      <c r="F716">
        <f t="shared" si="28"/>
        <v>-1.6044894245954133E-2</v>
      </c>
      <c r="G716">
        <f t="shared" si="29"/>
        <v>-2.805174876438957E-2</v>
      </c>
    </row>
    <row r="717" spans="1:7" x14ac:dyDescent="0.35">
      <c r="A717" t="s">
        <v>49</v>
      </c>
      <c r="E717">
        <v>-9.2061689330681022E-4</v>
      </c>
      <c r="F717">
        <f t="shared" si="28"/>
        <v>-1.6051877426955422E-2</v>
      </c>
      <c r="G717">
        <f t="shared" si="29"/>
        <v>-2.805174876438957E-2</v>
      </c>
    </row>
    <row r="718" spans="1:7" x14ac:dyDescent="0.35">
      <c r="A718" t="s">
        <v>49</v>
      </c>
      <c r="E718">
        <v>-3.6249479682464564E-3</v>
      </c>
      <c r="F718">
        <f t="shared" si="28"/>
        <v>-1.605886060795671E-2</v>
      </c>
      <c r="G718">
        <f t="shared" si="29"/>
        <v>-2.805174876438957E-2</v>
      </c>
    </row>
    <row r="719" spans="1:7" x14ac:dyDescent="0.35">
      <c r="A719" t="s">
        <v>49</v>
      </c>
      <c r="E719">
        <v>-2.3522769924030698E-3</v>
      </c>
      <c r="F719">
        <f t="shared" si="28"/>
        <v>-1.6065843788958003E-2</v>
      </c>
      <c r="G719">
        <f t="shared" si="29"/>
        <v>-2.805174876438957E-2</v>
      </c>
    </row>
    <row r="720" spans="1:7" x14ac:dyDescent="0.35">
      <c r="A720" t="s">
        <v>49</v>
      </c>
      <c r="E720">
        <v>3.77352457641852E-3</v>
      </c>
      <c r="F720">
        <f t="shared" si="28"/>
        <v>-1.6072826969959295E-2</v>
      </c>
      <c r="G720">
        <f t="shared" si="29"/>
        <v>-2.805174876438957E-2</v>
      </c>
    </row>
    <row r="721" spans="1:7" x14ac:dyDescent="0.35">
      <c r="A721" t="s">
        <v>49</v>
      </c>
      <c r="E721">
        <v>-1.5442186156664291E-2</v>
      </c>
      <c r="F721">
        <f t="shared" si="28"/>
        <v>-1.6073302091690243E-2</v>
      </c>
      <c r="G721">
        <f t="shared" si="29"/>
        <v>-2.8129533970846915E-2</v>
      </c>
    </row>
    <row r="722" spans="1:7" x14ac:dyDescent="0.35">
      <c r="A722" t="s">
        <v>49</v>
      </c>
      <c r="E722">
        <v>-9.6920020195508938E-3</v>
      </c>
      <c r="F722">
        <f t="shared" si="28"/>
        <v>-1.6073777213421195E-2</v>
      </c>
      <c r="G722">
        <f t="shared" si="29"/>
        <v>-2.8129533970846915E-2</v>
      </c>
    </row>
    <row r="723" spans="1:7" x14ac:dyDescent="0.35">
      <c r="A723" t="s">
        <v>49</v>
      </c>
      <c r="E723">
        <v>-8.1121422628409844E-3</v>
      </c>
      <c r="F723">
        <f t="shared" si="28"/>
        <v>-1.6074252335152143E-2</v>
      </c>
      <c r="G723">
        <f t="shared" si="29"/>
        <v>-2.8129533970846915E-2</v>
      </c>
    </row>
    <row r="724" spans="1:7" x14ac:dyDescent="0.35">
      <c r="A724" t="s">
        <v>49</v>
      </c>
      <c r="E724">
        <v>1.9551416194247245E-2</v>
      </c>
      <c r="F724">
        <f t="shared" si="28"/>
        <v>-1.6074727456883091E-2</v>
      </c>
      <c r="G724">
        <f t="shared" si="29"/>
        <v>-2.8129533970846915E-2</v>
      </c>
    </row>
    <row r="725" spans="1:7" x14ac:dyDescent="0.35">
      <c r="A725" t="s">
        <v>49</v>
      </c>
      <c r="E725">
        <v>2.3850643357082794E-3</v>
      </c>
      <c r="F725">
        <f t="shared" si="28"/>
        <v>-1.6075202578614042E-2</v>
      </c>
      <c r="G725">
        <f t="shared" si="29"/>
        <v>-2.8129533970846915E-2</v>
      </c>
    </row>
    <row r="726" spans="1:7" x14ac:dyDescent="0.35">
      <c r="A726" t="s">
        <v>49</v>
      </c>
      <c r="E726">
        <v>9.6730677019731689E-5</v>
      </c>
      <c r="F726">
        <f t="shared" si="28"/>
        <v>-1.607567770034499E-2</v>
      </c>
      <c r="G726">
        <f t="shared" si="29"/>
        <v>-2.8129533970846915E-2</v>
      </c>
    </row>
    <row r="727" spans="1:7" x14ac:dyDescent="0.35">
      <c r="A727" t="s">
        <v>49</v>
      </c>
      <c r="E727">
        <v>3.402304742667713E-3</v>
      </c>
      <c r="F727">
        <f t="shared" si="28"/>
        <v>-1.6076152822075938E-2</v>
      </c>
      <c r="G727">
        <f t="shared" si="29"/>
        <v>-2.8129533970846915E-2</v>
      </c>
    </row>
    <row r="728" spans="1:7" x14ac:dyDescent="0.35">
      <c r="A728" t="s">
        <v>49</v>
      </c>
      <c r="E728">
        <v>2.7074852798402611E-3</v>
      </c>
      <c r="F728">
        <f t="shared" si="28"/>
        <v>-1.6076627943806886E-2</v>
      </c>
      <c r="G728">
        <f t="shared" si="29"/>
        <v>-2.8129533970846915E-2</v>
      </c>
    </row>
    <row r="729" spans="1:7" x14ac:dyDescent="0.35">
      <c r="A729" t="s">
        <v>49</v>
      </c>
      <c r="E729">
        <v>-5.5160169759264277E-3</v>
      </c>
      <c r="F729">
        <f t="shared" si="28"/>
        <v>-1.6077103065537838E-2</v>
      </c>
      <c r="G729">
        <f t="shared" si="29"/>
        <v>-2.8129533970846915E-2</v>
      </c>
    </row>
    <row r="730" spans="1:7" x14ac:dyDescent="0.35">
      <c r="A730" t="s">
        <v>49</v>
      </c>
      <c r="E730">
        <v>4.3632458995789348E-3</v>
      </c>
      <c r="F730">
        <f t="shared" si="28"/>
        <v>-1.6077578187268786E-2</v>
      </c>
      <c r="G730">
        <f t="shared" si="29"/>
        <v>-2.8129533970846915E-2</v>
      </c>
    </row>
    <row r="731" spans="1:7" x14ac:dyDescent="0.35">
      <c r="A731" t="s">
        <v>49</v>
      </c>
      <c r="E731">
        <v>-3.5066133816462482E-4</v>
      </c>
      <c r="F731">
        <f t="shared" si="28"/>
        <v>-1.6078053308999734E-2</v>
      </c>
      <c r="G731">
        <f t="shared" si="29"/>
        <v>-2.8129533970846915E-2</v>
      </c>
    </row>
    <row r="732" spans="1:7" x14ac:dyDescent="0.35">
      <c r="A732" t="s">
        <v>49</v>
      </c>
      <c r="E732">
        <v>1.0836786011202136E-2</v>
      </c>
      <c r="F732">
        <f t="shared" si="28"/>
        <v>-1.6078528430730685E-2</v>
      </c>
      <c r="G732">
        <f t="shared" si="29"/>
        <v>-2.8129533970846915E-2</v>
      </c>
    </row>
    <row r="733" spans="1:7" x14ac:dyDescent="0.35">
      <c r="A733" t="s">
        <v>49</v>
      </c>
      <c r="E733">
        <v>-3.5265521127072308E-3</v>
      </c>
      <c r="F733">
        <f t="shared" si="28"/>
        <v>-1.6079003552461633E-2</v>
      </c>
      <c r="G733">
        <f t="shared" si="29"/>
        <v>-2.8129533970846915E-2</v>
      </c>
    </row>
    <row r="734" spans="1:7" x14ac:dyDescent="0.35">
      <c r="A734" t="s">
        <v>50</v>
      </c>
      <c r="B734" s="3" cm="1">
        <f t="array" ref="B734">_xlfn.STDEV.S(_xlfn._xlws.FILTER($E$2:$E$1000, $A$2:$A$1000="2012-12"))</f>
        <v>3.9674372983449033E-3</v>
      </c>
      <c r="C734" s="3" cm="1">
        <f t="array" ref="C734">AVERAGE(_xlfn._xlws.FILTER($E$2:$E$1000, $A$2:$A$1000="2012-12"))</f>
        <v>6.4929080157863706E-5</v>
      </c>
      <c r="D734" s="3" cm="1">
        <f t="array" ref="D734">_xlfn.PERCENTILE.INC(_xlfn._xlws.FILTER($E$503:$E$750, $A$503:$A$750="2012-12"), 0.05)</f>
        <v>-5.505138472957187E-3</v>
      </c>
      <c r="E734">
        <v>1.1039614431411248E-3</v>
      </c>
      <c r="F734">
        <f t="shared" si="28"/>
        <v>-1.6079478674192581E-2</v>
      </c>
      <c r="G734">
        <f t="shared" si="29"/>
        <v>-2.8129533970846915E-2</v>
      </c>
    </row>
    <row r="735" spans="1:7" x14ac:dyDescent="0.35">
      <c r="A735" t="s">
        <v>50</v>
      </c>
      <c r="E735">
        <v>-3.4533654662918241E-3</v>
      </c>
      <c r="F735">
        <f t="shared" si="28"/>
        <v>-1.6079953795923529E-2</v>
      </c>
      <c r="G735">
        <f t="shared" si="29"/>
        <v>-2.8129533970846915E-2</v>
      </c>
    </row>
    <row r="736" spans="1:7" x14ac:dyDescent="0.35">
      <c r="A736" t="s">
        <v>50</v>
      </c>
      <c r="E736">
        <v>4.7490244132264523E-3</v>
      </c>
      <c r="F736">
        <f t="shared" si="28"/>
        <v>-1.6080428917654481E-2</v>
      </c>
      <c r="G736">
        <f t="shared" si="29"/>
        <v>-2.8129533970846915E-2</v>
      </c>
    </row>
    <row r="737" spans="1:7" x14ac:dyDescent="0.35">
      <c r="A737" t="s">
        <v>50</v>
      </c>
      <c r="E737">
        <v>7.8027600744745226E-3</v>
      </c>
      <c r="F737">
        <f t="shared" si="28"/>
        <v>-1.6080904039385429E-2</v>
      </c>
      <c r="G737">
        <f t="shared" si="29"/>
        <v>-2.8129533970846915E-2</v>
      </c>
    </row>
    <row r="738" spans="1:7" x14ac:dyDescent="0.35">
      <c r="A738" t="s">
        <v>50</v>
      </c>
      <c r="E738">
        <v>2.9042982911928342E-3</v>
      </c>
      <c r="F738">
        <f t="shared" si="28"/>
        <v>-1.6081379161116377E-2</v>
      </c>
      <c r="G738">
        <f t="shared" si="29"/>
        <v>-2.8129533970846915E-2</v>
      </c>
    </row>
    <row r="739" spans="1:7" x14ac:dyDescent="0.35">
      <c r="A739" t="s">
        <v>50</v>
      </c>
      <c r="E739">
        <v>3.6337712938437797E-3</v>
      </c>
      <c r="F739">
        <f t="shared" si="28"/>
        <v>-1.6081854282847328E-2</v>
      </c>
      <c r="G739">
        <f t="shared" si="29"/>
        <v>-2.8129533970846915E-2</v>
      </c>
    </row>
    <row r="740" spans="1:7" x14ac:dyDescent="0.35">
      <c r="A740" t="s">
        <v>50</v>
      </c>
      <c r="E740">
        <v>-1.6692035759518782E-3</v>
      </c>
      <c r="F740">
        <f t="shared" si="28"/>
        <v>-1.6082329404578277E-2</v>
      </c>
      <c r="G740">
        <f t="shared" si="29"/>
        <v>-2.8129533970846915E-2</v>
      </c>
    </row>
    <row r="741" spans="1:7" x14ac:dyDescent="0.35">
      <c r="A741" t="s">
        <v>50</v>
      </c>
      <c r="E741">
        <v>4.0460073552509815E-5</v>
      </c>
      <c r="F741">
        <f t="shared" si="28"/>
        <v>-1.6084516472062479E-2</v>
      </c>
      <c r="G741">
        <f t="shared" si="29"/>
        <v>-2.8208273869972853E-2</v>
      </c>
    </row>
    <row r="742" spans="1:7" x14ac:dyDescent="0.35">
      <c r="A742" t="s">
        <v>50</v>
      </c>
      <c r="E742">
        <v>-5.2634822331379411E-3</v>
      </c>
      <c r="F742">
        <f t="shared" si="28"/>
        <v>-1.6086703539546682E-2</v>
      </c>
      <c r="G742">
        <f t="shared" si="29"/>
        <v>-2.8208273869972853E-2</v>
      </c>
    </row>
    <row r="743" spans="1:7" x14ac:dyDescent="0.35">
      <c r="A743" t="s">
        <v>50</v>
      </c>
      <c r="E743">
        <v>-4.4572636117809978E-3</v>
      </c>
      <c r="F743">
        <f t="shared" si="28"/>
        <v>-1.6088890607030885E-2</v>
      </c>
      <c r="G743">
        <f t="shared" si="29"/>
        <v>-2.8208273869972853E-2</v>
      </c>
    </row>
    <row r="744" spans="1:7" x14ac:dyDescent="0.35">
      <c r="A744" t="s">
        <v>50</v>
      </c>
      <c r="E744">
        <v>9.4134479158345459E-4</v>
      </c>
      <c r="F744">
        <f t="shared" si="28"/>
        <v>-1.6091077674515088E-2</v>
      </c>
      <c r="G744">
        <f t="shared" si="29"/>
        <v>-2.8208273869972853E-2</v>
      </c>
    </row>
    <row r="745" spans="1:7" x14ac:dyDescent="0.35">
      <c r="A745" t="s">
        <v>50</v>
      </c>
      <c r="E745">
        <v>1.6806004411296963E-3</v>
      </c>
      <c r="F745">
        <f t="shared" si="28"/>
        <v>-1.6093264741999295E-2</v>
      </c>
      <c r="G745">
        <f t="shared" si="29"/>
        <v>-2.8208273869972853E-2</v>
      </c>
    </row>
    <row r="746" spans="1:7" x14ac:dyDescent="0.35">
      <c r="A746" t="s">
        <v>50</v>
      </c>
      <c r="E746">
        <v>4.1693700605733575E-3</v>
      </c>
      <c r="F746">
        <f t="shared" si="28"/>
        <v>-1.6095451809483498E-2</v>
      </c>
      <c r="G746">
        <f t="shared" si="29"/>
        <v>-2.8208273869972853E-2</v>
      </c>
    </row>
    <row r="747" spans="1:7" x14ac:dyDescent="0.35">
      <c r="A747" t="s">
        <v>50</v>
      </c>
      <c r="E747">
        <v>2.6243992914378323E-4</v>
      </c>
      <c r="F747">
        <f t="shared" si="28"/>
        <v>-1.6097638876967701E-2</v>
      </c>
      <c r="G747">
        <f t="shared" si="29"/>
        <v>-2.8208273869972853E-2</v>
      </c>
    </row>
    <row r="748" spans="1:7" x14ac:dyDescent="0.35">
      <c r="A748" t="s">
        <v>50</v>
      </c>
      <c r="E748">
        <v>-4.4888600216128373E-3</v>
      </c>
      <c r="F748">
        <f t="shared" si="28"/>
        <v>-1.6099825944451904E-2</v>
      </c>
      <c r="G748">
        <f t="shared" si="29"/>
        <v>-2.8208273869972853E-2</v>
      </c>
    </row>
    <row r="749" spans="1:7" x14ac:dyDescent="0.35">
      <c r="A749" t="s">
        <v>50</v>
      </c>
      <c r="E749">
        <v>-6.4717634322341696E-3</v>
      </c>
      <c r="F749">
        <f t="shared" si="28"/>
        <v>-1.6102013011936107E-2</v>
      </c>
      <c r="G749">
        <f t="shared" si="29"/>
        <v>-2.8208273869972853E-2</v>
      </c>
    </row>
    <row r="750" spans="1:7" x14ac:dyDescent="0.35">
      <c r="A750" t="s">
        <v>50</v>
      </c>
      <c r="E750">
        <v>-3.8029810816818523E-4</v>
      </c>
      <c r="F750">
        <f t="shared" si="28"/>
        <v>-1.610420007942031E-2</v>
      </c>
      <c r="G750">
        <f t="shared" si="29"/>
        <v>-2.8208273869972853E-2</v>
      </c>
    </row>
    <row r="751" spans="1:7" x14ac:dyDescent="0.35">
      <c r="A751" t="s">
        <v>51</v>
      </c>
      <c r="B751" s="3" cm="1">
        <f t="array" ref="B751">_xlfn.STDEV.S(_xlfn._xlws.FILTER($E$2:$E$1000, $A$2:$A$1000="2013-01"))</f>
        <v>7.1868467216755832E-3</v>
      </c>
      <c r="C751" s="3" cm="1">
        <f t="array" ref="C751">AVERAGE(_xlfn._xlws.FILTER($E$2:$E$1000, $A$2:$A$1000="2013-01"))</f>
        <v>5.8013121343396333E-4</v>
      </c>
      <c r="D751" s="3" cm="1">
        <f t="array" ref="D751">_xlfn.PERCENTILE.EXC(_xlfn._xlws.FILTER($E$751:$E$999, $A$751:$A$999="2013-01"), 0.05)</f>
        <v>-6.7763064383981686E-3</v>
      </c>
      <c r="E751">
        <v>2.5468098347014849E-2</v>
      </c>
      <c r="F751">
        <f t="shared" si="28"/>
        <v>-1.6106387146904513E-2</v>
      </c>
      <c r="G751">
        <f t="shared" si="29"/>
        <v>-2.8208273869972853E-2</v>
      </c>
    </row>
    <row r="752" spans="1:7" x14ac:dyDescent="0.35">
      <c r="A752" t="s">
        <v>51</v>
      </c>
      <c r="E752">
        <v>3.0902560151060679E-3</v>
      </c>
      <c r="F752">
        <f t="shared" si="28"/>
        <v>-1.6108574214388719E-2</v>
      </c>
      <c r="G752">
        <f t="shared" si="29"/>
        <v>-2.8208273869972853E-2</v>
      </c>
    </row>
    <row r="753" spans="1:7" x14ac:dyDescent="0.35">
      <c r="A753" t="s">
        <v>51</v>
      </c>
      <c r="E753">
        <v>4.8491497926992028E-3</v>
      </c>
      <c r="F753">
        <f t="shared" si="28"/>
        <v>-1.6110761281872922E-2</v>
      </c>
      <c r="G753">
        <f t="shared" si="29"/>
        <v>-2.8208273869972853E-2</v>
      </c>
    </row>
    <row r="754" spans="1:7" x14ac:dyDescent="0.35">
      <c r="A754" t="s">
        <v>51</v>
      </c>
      <c r="E754">
        <v>-5.8049111387219925E-3</v>
      </c>
      <c r="F754">
        <f t="shared" si="28"/>
        <v>-1.6112948349357125E-2</v>
      </c>
      <c r="G754">
        <f t="shared" si="29"/>
        <v>-2.8208273869972853E-2</v>
      </c>
    </row>
    <row r="755" spans="1:7" x14ac:dyDescent="0.35">
      <c r="A755" t="s">
        <v>51</v>
      </c>
      <c r="E755">
        <v>-1.8914872236504127E-3</v>
      </c>
      <c r="F755">
        <f t="shared" si="28"/>
        <v>-1.6115135416841328E-2</v>
      </c>
      <c r="G755">
        <f t="shared" si="29"/>
        <v>-2.8208273869972853E-2</v>
      </c>
    </row>
    <row r="756" spans="1:7" x14ac:dyDescent="0.35">
      <c r="A756" t="s">
        <v>51</v>
      </c>
      <c r="E756">
        <v>6.4880394269168406E-3</v>
      </c>
      <c r="F756">
        <f t="shared" si="28"/>
        <v>-1.6117322484325531E-2</v>
      </c>
      <c r="G756">
        <f t="shared" si="29"/>
        <v>-2.8208273869972853E-2</v>
      </c>
    </row>
    <row r="757" spans="1:7" x14ac:dyDescent="0.35">
      <c r="A757" t="s">
        <v>51</v>
      </c>
      <c r="E757">
        <v>-5.7139919619517638E-3</v>
      </c>
      <c r="F757">
        <f t="shared" si="28"/>
        <v>-1.6119509551809734E-2</v>
      </c>
      <c r="G757">
        <f t="shared" si="29"/>
        <v>-2.8208273869972853E-2</v>
      </c>
    </row>
    <row r="758" spans="1:7" x14ac:dyDescent="0.35">
      <c r="A758" t="s">
        <v>51</v>
      </c>
      <c r="E758">
        <v>-5.529501241005816E-3</v>
      </c>
      <c r="F758">
        <f t="shared" si="28"/>
        <v>-1.612169661929394E-2</v>
      </c>
      <c r="G758">
        <f t="shared" si="29"/>
        <v>-2.8208273869972853E-2</v>
      </c>
    </row>
    <row r="759" spans="1:7" x14ac:dyDescent="0.35">
      <c r="A759" t="s">
        <v>51</v>
      </c>
      <c r="E759">
        <v>-6.4910592184995366E-3</v>
      </c>
      <c r="F759">
        <f t="shared" si="28"/>
        <v>-1.6123883686778143E-2</v>
      </c>
      <c r="G759">
        <f t="shared" si="29"/>
        <v>-2.8208273869972853E-2</v>
      </c>
    </row>
    <row r="760" spans="1:7" x14ac:dyDescent="0.35">
      <c r="A760" t="s">
        <v>51</v>
      </c>
      <c r="E760">
        <v>3.5064756189564753E-3</v>
      </c>
      <c r="F760">
        <f t="shared" si="28"/>
        <v>-1.6126070754262346E-2</v>
      </c>
      <c r="G760">
        <f t="shared" si="29"/>
        <v>-2.8208273869972853E-2</v>
      </c>
    </row>
    <row r="761" spans="1:7" x14ac:dyDescent="0.35">
      <c r="A761" t="s">
        <v>51</v>
      </c>
      <c r="E761">
        <v>-3.2767786504781546E-3</v>
      </c>
      <c r="F761">
        <f t="shared" si="28"/>
        <v>-1.6126690025735892E-2</v>
      </c>
      <c r="G761">
        <f t="shared" si="29"/>
        <v>-2.8287762048365684E-2</v>
      </c>
    </row>
    <row r="762" spans="1:7" x14ac:dyDescent="0.35">
      <c r="A762" t="s">
        <v>51</v>
      </c>
      <c r="E762">
        <v>-1.4906260558484835E-3</v>
      </c>
      <c r="F762">
        <f t="shared" si="28"/>
        <v>-1.6127309297209437E-2</v>
      </c>
      <c r="G762">
        <f t="shared" si="29"/>
        <v>-2.8287762048365684E-2</v>
      </c>
    </row>
    <row r="763" spans="1:7" x14ac:dyDescent="0.35">
      <c r="A763" t="s">
        <v>51</v>
      </c>
      <c r="E763">
        <v>-7.8303545134052947E-4</v>
      </c>
      <c r="F763">
        <f t="shared" si="28"/>
        <v>-1.6127928568682982E-2</v>
      </c>
      <c r="G763">
        <f t="shared" si="29"/>
        <v>-2.8287762048365684E-2</v>
      </c>
    </row>
    <row r="764" spans="1:7" x14ac:dyDescent="0.35">
      <c r="A764" t="s">
        <v>51</v>
      </c>
      <c r="E764">
        <v>2.337395480124395E-3</v>
      </c>
      <c r="F764">
        <f t="shared" si="28"/>
        <v>-1.6128547840156528E-2</v>
      </c>
      <c r="G764">
        <f t="shared" si="29"/>
        <v>-2.8287762048365684E-2</v>
      </c>
    </row>
    <row r="765" spans="1:7" x14ac:dyDescent="0.35">
      <c r="A765" t="s">
        <v>51</v>
      </c>
      <c r="E765">
        <v>1.6064720379189016E-3</v>
      </c>
      <c r="F765">
        <f t="shared" si="28"/>
        <v>-1.6129167111630073E-2</v>
      </c>
      <c r="G765">
        <f t="shared" si="29"/>
        <v>-2.8287762048365684E-2</v>
      </c>
    </row>
    <row r="766" spans="1:7" x14ac:dyDescent="0.35">
      <c r="A766" t="s">
        <v>51</v>
      </c>
      <c r="E766">
        <v>2.1521762495664135E-3</v>
      </c>
      <c r="F766">
        <f t="shared" si="28"/>
        <v>-1.6129786383103615E-2</v>
      </c>
      <c r="G766">
        <f t="shared" si="29"/>
        <v>-2.8287762048365684E-2</v>
      </c>
    </row>
    <row r="767" spans="1:7" x14ac:dyDescent="0.35">
      <c r="A767" t="s">
        <v>51</v>
      </c>
      <c r="E767">
        <v>2.2431372533266605E-3</v>
      </c>
      <c r="F767">
        <f t="shared" si="28"/>
        <v>-1.613040565457716E-2</v>
      </c>
      <c r="G767">
        <f t="shared" si="29"/>
        <v>-2.8287762048365684E-2</v>
      </c>
    </row>
    <row r="768" spans="1:7" x14ac:dyDescent="0.35">
      <c r="A768" t="s">
        <v>51</v>
      </c>
      <c r="E768">
        <v>-1.6994108137503522E-3</v>
      </c>
      <c r="F768">
        <f t="shared" si="28"/>
        <v>-1.6131024926050706E-2</v>
      </c>
      <c r="G768">
        <f t="shared" si="29"/>
        <v>-2.8287762048365684E-2</v>
      </c>
    </row>
    <row r="769" spans="1:7" x14ac:dyDescent="0.35">
      <c r="A769" t="s">
        <v>51</v>
      </c>
      <c r="E769">
        <v>-5.7212338798518728E-3</v>
      </c>
      <c r="F769">
        <f t="shared" si="28"/>
        <v>-1.6131644197524251E-2</v>
      </c>
      <c r="G769">
        <f t="shared" si="29"/>
        <v>-2.8287762048365684E-2</v>
      </c>
    </row>
    <row r="770" spans="1:7" x14ac:dyDescent="0.35">
      <c r="A770" t="s">
        <v>51</v>
      </c>
      <c r="E770">
        <v>9.4624289478704299E-3</v>
      </c>
      <c r="F770">
        <f t="shared" si="28"/>
        <v>-1.6132263468997796E-2</v>
      </c>
      <c r="G770">
        <f t="shared" si="29"/>
        <v>-2.8287762048365684E-2</v>
      </c>
    </row>
    <row r="771" spans="1:7" x14ac:dyDescent="0.35">
      <c r="A771" t="s">
        <v>51</v>
      </c>
      <c r="E771">
        <v>-6.8266441830861623E-3</v>
      </c>
      <c r="F771">
        <f t="shared" si="28"/>
        <v>-1.6132882740471342E-2</v>
      </c>
      <c r="G771">
        <f t="shared" si="29"/>
        <v>-2.8287762048365684E-2</v>
      </c>
    </row>
    <row r="772" spans="1:7" x14ac:dyDescent="0.35">
      <c r="A772" t="s">
        <v>51</v>
      </c>
      <c r="E772">
        <v>-3.2120626557679732E-3</v>
      </c>
      <c r="F772">
        <f t="shared" ref="F772:F835" si="30">_xlfn.PERCENTILE.EXC(E772:E4587,0.05)</f>
        <v>-1.6133502011944887E-2</v>
      </c>
      <c r="G772">
        <f t="shared" ref="G772:G835" si="31">AVERAGEIFS(E772:E4588,E772:E4588,"&lt;=" &amp; F772)</f>
        <v>-2.8287762048365684E-2</v>
      </c>
    </row>
    <row r="773" spans="1:7" x14ac:dyDescent="0.35">
      <c r="A773" t="s">
        <v>52</v>
      </c>
      <c r="B773" s="3" cm="1">
        <f t="array" ref="B773">_xlfn.STDEV.S(_xlfn._xlws.FILTER($E$2:$E$1000, $A$2:$A$1000="2013-02"))</f>
        <v>6.449611776050637E-3</v>
      </c>
      <c r="C773" s="3" cm="1">
        <f t="array" ref="C773">AVERAGE(_xlfn._xlws.FILTER($E$2:$E$1000, $A$2:$A$1000="2013-02"))</f>
        <v>3.2106646032249573E-4</v>
      </c>
      <c r="D773" s="3" cm="1">
        <f t="array" ref="D773">_xlfn.PERCENTILE.EXC(_xlfn._xlws.FILTER($E$751:$E$999, $A$751:$A$999="2013-02"), 0.05)</f>
        <v>-9.3426862242219685E-3</v>
      </c>
      <c r="E773">
        <v>-4.3499741213949275E-3</v>
      </c>
      <c r="F773">
        <f t="shared" si="30"/>
        <v>-1.6134121283418432E-2</v>
      </c>
      <c r="G773">
        <f t="shared" si="31"/>
        <v>-2.8287762048365684E-2</v>
      </c>
    </row>
    <row r="774" spans="1:7" x14ac:dyDescent="0.35">
      <c r="A774" t="s">
        <v>52</v>
      </c>
      <c r="E774">
        <v>-5.4380058366097521E-3</v>
      </c>
      <c r="F774">
        <f t="shared" si="30"/>
        <v>-1.6134740554891978E-2</v>
      </c>
      <c r="G774">
        <f t="shared" si="31"/>
        <v>-2.8287762048365684E-2</v>
      </c>
    </row>
    <row r="775" spans="1:7" x14ac:dyDescent="0.35">
      <c r="A775" t="s">
        <v>52</v>
      </c>
      <c r="E775">
        <v>-3.8707819151907914E-3</v>
      </c>
      <c r="F775">
        <f t="shared" si="30"/>
        <v>-1.613535982636552E-2</v>
      </c>
      <c r="G775">
        <f t="shared" si="31"/>
        <v>-2.8287762048365684E-2</v>
      </c>
    </row>
    <row r="776" spans="1:7" x14ac:dyDescent="0.35">
      <c r="A776" t="s">
        <v>52</v>
      </c>
      <c r="E776">
        <v>7.6779955563293272E-3</v>
      </c>
      <c r="F776">
        <f t="shared" si="30"/>
        <v>-1.6135979097839065E-2</v>
      </c>
      <c r="G776">
        <f t="shared" si="31"/>
        <v>-2.8287762048365684E-2</v>
      </c>
    </row>
    <row r="777" spans="1:7" x14ac:dyDescent="0.35">
      <c r="A777" t="s">
        <v>52</v>
      </c>
      <c r="E777">
        <v>5.807727914420237E-4</v>
      </c>
      <c r="F777">
        <f t="shared" si="30"/>
        <v>-1.613659836931261E-2</v>
      </c>
      <c r="G777">
        <f t="shared" si="31"/>
        <v>-2.8287762048365684E-2</v>
      </c>
    </row>
    <row r="778" spans="1:7" x14ac:dyDescent="0.35">
      <c r="A778" t="s">
        <v>52</v>
      </c>
      <c r="E778">
        <v>1.5284088209041542E-2</v>
      </c>
      <c r="F778">
        <f t="shared" si="30"/>
        <v>-1.6137217640786156E-2</v>
      </c>
      <c r="G778">
        <f t="shared" si="31"/>
        <v>-2.8287762048365684E-2</v>
      </c>
    </row>
    <row r="779" spans="1:7" x14ac:dyDescent="0.35">
      <c r="A779" t="s">
        <v>52</v>
      </c>
      <c r="E779">
        <v>-9.4405826970184493E-3</v>
      </c>
      <c r="F779">
        <f t="shared" si="30"/>
        <v>-1.6137836912259701E-2</v>
      </c>
      <c r="G779">
        <f t="shared" si="31"/>
        <v>-2.8287762048365684E-2</v>
      </c>
    </row>
    <row r="780" spans="1:7" x14ac:dyDescent="0.35">
      <c r="A780" t="s">
        <v>52</v>
      </c>
      <c r="E780">
        <v>5.1919734599540522E-3</v>
      </c>
      <c r="F780">
        <f t="shared" si="30"/>
        <v>-1.6138456183733246E-2</v>
      </c>
      <c r="G780">
        <f t="shared" si="31"/>
        <v>-2.8287762048365684E-2</v>
      </c>
    </row>
    <row r="781" spans="1:7" x14ac:dyDescent="0.35">
      <c r="A781" t="s">
        <v>52</v>
      </c>
      <c r="E781">
        <v>-2.9086288134503612E-3</v>
      </c>
      <c r="F781">
        <f t="shared" si="30"/>
        <v>-1.6139735944781852E-2</v>
      </c>
      <c r="G781">
        <f t="shared" si="31"/>
        <v>-2.836822102760166E-2</v>
      </c>
    </row>
    <row r="782" spans="1:7" x14ac:dyDescent="0.35">
      <c r="A782" t="s">
        <v>52</v>
      </c>
      <c r="E782">
        <v>-8.8546306667789808E-4</v>
      </c>
      <c r="F782">
        <f t="shared" si="30"/>
        <v>-1.6141015705830458E-2</v>
      </c>
      <c r="G782">
        <f t="shared" si="31"/>
        <v>-2.836822102760166E-2</v>
      </c>
    </row>
    <row r="783" spans="1:7" x14ac:dyDescent="0.35">
      <c r="A783" t="s">
        <v>52</v>
      </c>
      <c r="E783">
        <v>1.1566229166935509E-3</v>
      </c>
      <c r="F783">
        <f t="shared" si="30"/>
        <v>-1.6142295466879064E-2</v>
      </c>
      <c r="G783">
        <f t="shared" si="31"/>
        <v>-2.836822102760166E-2</v>
      </c>
    </row>
    <row r="784" spans="1:7" x14ac:dyDescent="0.35">
      <c r="A784" t="s">
        <v>52</v>
      </c>
      <c r="E784">
        <v>-4.8080867139443191E-3</v>
      </c>
      <c r="F784">
        <f t="shared" si="30"/>
        <v>-1.614357522792767E-2</v>
      </c>
      <c r="G784">
        <f t="shared" si="31"/>
        <v>-2.836822102760166E-2</v>
      </c>
    </row>
    <row r="785" spans="1:7" x14ac:dyDescent="0.35">
      <c r="A785" t="s">
        <v>52</v>
      </c>
      <c r="E785">
        <v>3.3364667666251481E-3</v>
      </c>
      <c r="F785">
        <f t="shared" si="30"/>
        <v>-1.6144854988976276E-2</v>
      </c>
      <c r="G785">
        <f t="shared" si="31"/>
        <v>-2.836822102760166E-2</v>
      </c>
    </row>
    <row r="786" spans="1:7" x14ac:dyDescent="0.35">
      <c r="A786" t="s">
        <v>52</v>
      </c>
      <c r="E786">
        <v>-2.6137067001318513E-3</v>
      </c>
      <c r="F786">
        <f t="shared" si="30"/>
        <v>-1.6146134750024882E-2</v>
      </c>
      <c r="G786">
        <f t="shared" si="31"/>
        <v>-2.836822102760166E-2</v>
      </c>
    </row>
    <row r="787" spans="1:7" x14ac:dyDescent="0.35">
      <c r="A787" t="s">
        <v>52</v>
      </c>
      <c r="E787">
        <v>-7.4826532410888335E-3</v>
      </c>
      <c r="F787">
        <f t="shared" si="30"/>
        <v>-1.6147414511073488E-2</v>
      </c>
      <c r="G787">
        <f t="shared" si="31"/>
        <v>-2.836822102760166E-2</v>
      </c>
    </row>
    <row r="788" spans="1:7" x14ac:dyDescent="0.35">
      <c r="A788" t="s">
        <v>52</v>
      </c>
      <c r="E788">
        <v>7.8178320386510809E-3</v>
      </c>
      <c r="F788">
        <f t="shared" si="30"/>
        <v>-1.6148694272122094E-2</v>
      </c>
      <c r="G788">
        <f t="shared" si="31"/>
        <v>-2.836822102760166E-2</v>
      </c>
    </row>
    <row r="789" spans="1:7" x14ac:dyDescent="0.35">
      <c r="A789" t="s">
        <v>52</v>
      </c>
      <c r="E789">
        <v>-4.3527814861278446E-3</v>
      </c>
      <c r="F789">
        <f t="shared" si="30"/>
        <v>-1.6149974033170696E-2</v>
      </c>
      <c r="G789">
        <f t="shared" si="31"/>
        <v>-2.836822102760166E-2</v>
      </c>
    </row>
    <row r="790" spans="1:7" x14ac:dyDescent="0.35">
      <c r="A790" t="s">
        <v>52</v>
      </c>
      <c r="E790">
        <v>-3.246604657737585E-3</v>
      </c>
      <c r="F790">
        <f t="shared" si="30"/>
        <v>-1.6151253794219306E-2</v>
      </c>
      <c r="G790">
        <f t="shared" si="31"/>
        <v>-2.836822102760166E-2</v>
      </c>
    </row>
    <row r="791" spans="1:7" x14ac:dyDescent="0.35">
      <c r="A791" t="s">
        <v>52</v>
      </c>
      <c r="E791">
        <v>4.8778308733478659E-3</v>
      </c>
      <c r="F791">
        <f t="shared" si="30"/>
        <v>-1.6152533555267908E-2</v>
      </c>
      <c r="G791">
        <f t="shared" si="31"/>
        <v>-2.836822102760166E-2</v>
      </c>
    </row>
    <row r="792" spans="1:7" x14ac:dyDescent="0.35">
      <c r="A792" t="s">
        <v>52</v>
      </c>
      <c r="E792">
        <v>9.8950158437379355E-3</v>
      </c>
      <c r="F792">
        <f t="shared" si="30"/>
        <v>-1.6153813316316514E-2</v>
      </c>
      <c r="G792">
        <f t="shared" si="31"/>
        <v>-2.836822102760166E-2</v>
      </c>
    </row>
    <row r="793" spans="1:7" x14ac:dyDescent="0.35">
      <c r="A793" t="s">
        <v>53</v>
      </c>
      <c r="B793" s="3" cm="1">
        <f t="array" ref="B793">_xlfn.STDEV.S(_xlfn._xlws.FILTER($E$2:$E$1000, $A$2:$A$1000="2013-03"))</f>
        <v>5.9792957830567331E-3</v>
      </c>
      <c r="C793" s="3" cm="1">
        <f t="array" ref="C793">AVERAGE(_xlfn._xlws.FILTER($E$2:$E$1000, $A$2:$A$1000="2013-03"))</f>
        <v>1.4227714568456648E-3</v>
      </c>
      <c r="D793" s="3" cm="1">
        <f t="array" ref="D793">_xlfn.PERCENTILE.EXC(_xlfn._xlws.FILTER($E$751:$E$999, $A$751:$A$999="2013-03"), 0.05)</f>
        <v>-7.9897079357728173E-3</v>
      </c>
      <c r="E793">
        <v>-3.331333252829579E-3</v>
      </c>
      <c r="F793">
        <f t="shared" si="30"/>
        <v>-1.615509307736512E-2</v>
      </c>
      <c r="G793">
        <f t="shared" si="31"/>
        <v>-2.836822102760166E-2</v>
      </c>
    </row>
    <row r="794" spans="1:7" x14ac:dyDescent="0.35">
      <c r="A794" t="s">
        <v>53</v>
      </c>
      <c r="E794">
        <v>2.7172855573133589E-4</v>
      </c>
      <c r="F794">
        <f t="shared" si="30"/>
        <v>-1.6156372838413726E-2</v>
      </c>
      <c r="G794">
        <f t="shared" si="31"/>
        <v>-2.836822102760166E-2</v>
      </c>
    </row>
    <row r="795" spans="1:7" x14ac:dyDescent="0.35">
      <c r="A795" t="s">
        <v>53</v>
      </c>
      <c r="E795">
        <v>1.3342092248870219E-2</v>
      </c>
      <c r="F795">
        <f t="shared" si="30"/>
        <v>-1.6157652599462332E-2</v>
      </c>
      <c r="G795">
        <f t="shared" si="31"/>
        <v>-2.836822102760166E-2</v>
      </c>
    </row>
    <row r="796" spans="1:7" x14ac:dyDescent="0.35">
      <c r="A796" t="s">
        <v>53</v>
      </c>
      <c r="E796">
        <v>-3.4899476787633101E-3</v>
      </c>
      <c r="F796">
        <f t="shared" si="30"/>
        <v>-1.6158932360510938E-2</v>
      </c>
      <c r="G796">
        <f t="shared" si="31"/>
        <v>-2.836822102760166E-2</v>
      </c>
    </row>
    <row r="797" spans="1:7" x14ac:dyDescent="0.35">
      <c r="A797" t="s">
        <v>53</v>
      </c>
      <c r="E797">
        <v>-6.0798974750147427E-3</v>
      </c>
      <c r="F797">
        <f t="shared" si="30"/>
        <v>-1.6160212121559544E-2</v>
      </c>
      <c r="G797">
        <f t="shared" si="31"/>
        <v>-2.836822102760166E-2</v>
      </c>
    </row>
    <row r="798" spans="1:7" x14ac:dyDescent="0.35">
      <c r="A798" t="s">
        <v>53</v>
      </c>
      <c r="E798">
        <v>9.7397675947997267E-3</v>
      </c>
      <c r="F798">
        <f t="shared" si="30"/>
        <v>-1.616149188260815E-2</v>
      </c>
      <c r="G798">
        <f t="shared" si="31"/>
        <v>-2.836822102760166E-2</v>
      </c>
    </row>
    <row r="799" spans="1:7" x14ac:dyDescent="0.35">
      <c r="A799" t="s">
        <v>53</v>
      </c>
      <c r="E799">
        <v>-1.6707196769454851E-3</v>
      </c>
      <c r="F799">
        <f t="shared" si="30"/>
        <v>-1.6162771643656756E-2</v>
      </c>
      <c r="G799">
        <f t="shared" si="31"/>
        <v>-2.836822102760166E-2</v>
      </c>
    </row>
    <row r="800" spans="1:7" x14ac:dyDescent="0.35">
      <c r="A800" t="s">
        <v>53</v>
      </c>
      <c r="E800">
        <v>3.4711425315117329E-4</v>
      </c>
      <c r="F800">
        <f t="shared" si="30"/>
        <v>-1.6164051404705362E-2</v>
      </c>
      <c r="G800">
        <f t="shared" si="31"/>
        <v>-2.836822102760166E-2</v>
      </c>
    </row>
    <row r="801" spans="1:7" x14ac:dyDescent="0.35">
      <c r="A801" t="s">
        <v>53</v>
      </c>
      <c r="E801">
        <v>1.3953830112328049E-3</v>
      </c>
      <c r="F801">
        <f t="shared" si="30"/>
        <v>-1.6164133099999544E-2</v>
      </c>
      <c r="G801">
        <f t="shared" si="31"/>
        <v>-2.8449582158420968E-2</v>
      </c>
    </row>
    <row r="802" spans="1:7" x14ac:dyDescent="0.35">
      <c r="A802" t="s">
        <v>53</v>
      </c>
      <c r="E802">
        <v>1.4977000705946186E-2</v>
      </c>
      <c r="F802">
        <f t="shared" si="30"/>
        <v>-1.6164214795293726E-2</v>
      </c>
      <c r="G802">
        <f t="shared" si="31"/>
        <v>-2.8449582158420968E-2</v>
      </c>
    </row>
    <row r="803" spans="1:7" x14ac:dyDescent="0.35">
      <c r="A803" t="s">
        <v>53</v>
      </c>
      <c r="E803">
        <v>-8.0902242758127164E-3</v>
      </c>
      <c r="F803">
        <f t="shared" si="30"/>
        <v>-1.6164296490587905E-2</v>
      </c>
      <c r="G803">
        <f t="shared" si="31"/>
        <v>-2.8449582158420968E-2</v>
      </c>
    </row>
    <row r="804" spans="1:7" x14ac:dyDescent="0.35">
      <c r="A804" t="s">
        <v>53</v>
      </c>
      <c r="E804">
        <v>1.0646715741557584E-3</v>
      </c>
      <c r="F804">
        <f t="shared" si="30"/>
        <v>-1.6164378185882088E-2</v>
      </c>
      <c r="G804">
        <f t="shared" si="31"/>
        <v>-2.8449582158420968E-2</v>
      </c>
    </row>
    <row r="805" spans="1:7" x14ac:dyDescent="0.35">
      <c r="A805" t="s">
        <v>53</v>
      </c>
      <c r="E805">
        <v>4.6789460834377556E-3</v>
      </c>
      <c r="F805">
        <f t="shared" si="30"/>
        <v>-1.616445988117627E-2</v>
      </c>
      <c r="G805">
        <f t="shared" si="31"/>
        <v>-2.8449582158420968E-2</v>
      </c>
    </row>
    <row r="806" spans="1:7" x14ac:dyDescent="0.35">
      <c r="A806" t="s">
        <v>53</v>
      </c>
      <c r="E806">
        <v>-4.9072368552138049E-3</v>
      </c>
      <c r="F806">
        <f t="shared" si="30"/>
        <v>-1.6164541576470452E-2</v>
      </c>
      <c r="G806">
        <f t="shared" si="31"/>
        <v>-2.8449582158420968E-2</v>
      </c>
    </row>
    <row r="807" spans="1:7" x14ac:dyDescent="0.35">
      <c r="A807" t="s">
        <v>53</v>
      </c>
      <c r="E807">
        <v>-1.6072432747570268E-3</v>
      </c>
      <c r="F807">
        <f t="shared" si="30"/>
        <v>-1.6164623271764635E-2</v>
      </c>
      <c r="G807">
        <f t="shared" si="31"/>
        <v>-2.8449582158420968E-2</v>
      </c>
    </row>
    <row r="808" spans="1:7" x14ac:dyDescent="0.35">
      <c r="A808" t="s">
        <v>53</v>
      </c>
      <c r="E808">
        <v>-6.3251908135556227E-4</v>
      </c>
      <c r="F808">
        <f t="shared" si="30"/>
        <v>-1.6164704967058813E-2</v>
      </c>
      <c r="G808">
        <f t="shared" si="31"/>
        <v>-2.8449582158420968E-2</v>
      </c>
    </row>
    <row r="809" spans="1:7" x14ac:dyDescent="0.35">
      <c r="A809" t="s">
        <v>53</v>
      </c>
      <c r="E809">
        <v>2.4123584119572321E-3</v>
      </c>
      <c r="F809">
        <f t="shared" si="30"/>
        <v>-1.6164786662352996E-2</v>
      </c>
      <c r="G809">
        <f t="shared" si="31"/>
        <v>-2.8449582158420968E-2</v>
      </c>
    </row>
    <row r="810" spans="1:7" x14ac:dyDescent="0.35">
      <c r="A810" t="s">
        <v>53</v>
      </c>
      <c r="E810">
        <v>2.5786474205243925E-3</v>
      </c>
      <c r="F810">
        <f t="shared" si="30"/>
        <v>-1.6164868357647178E-2</v>
      </c>
      <c r="G810">
        <f t="shared" si="31"/>
        <v>-2.8449582158420968E-2</v>
      </c>
    </row>
    <row r="811" spans="1:7" x14ac:dyDescent="0.35">
      <c r="A811" t="s">
        <v>53</v>
      </c>
      <c r="E811">
        <v>2.8341313522582709E-3</v>
      </c>
      <c r="F811">
        <f t="shared" si="30"/>
        <v>-1.616495005294136E-2</v>
      </c>
      <c r="G811">
        <f t="shared" si="31"/>
        <v>-2.8449582158420968E-2</v>
      </c>
    </row>
    <row r="812" spans="1:7" x14ac:dyDescent="0.35">
      <c r="A812" t="s">
        <v>53</v>
      </c>
      <c r="E812">
        <v>4.622709495540671E-3</v>
      </c>
      <c r="F812">
        <f t="shared" si="30"/>
        <v>-1.6165031748235543E-2</v>
      </c>
      <c r="G812">
        <f t="shared" si="31"/>
        <v>-2.8449582158420968E-2</v>
      </c>
    </row>
    <row r="813" spans="1:7" x14ac:dyDescent="0.35">
      <c r="A813" t="s">
        <v>54</v>
      </c>
      <c r="B813" s="3" cm="1">
        <f t="array" ref="B813">_xlfn.STDEV.S(_xlfn._xlws.FILTER($E$2:$E$1000, $A$2:$A$1000="2013-04"))</f>
        <v>9.3972954783102473E-3</v>
      </c>
      <c r="C813" s="3" cm="1">
        <f t="array" ref="C813">AVERAGE(_xlfn._xlws.FILTER($E$2:$E$1000, $A$2:$A$1000="2013-04"))</f>
        <v>-7.5768909285467144E-6</v>
      </c>
      <c r="D813" s="3" cm="1">
        <f t="array" ref="D813">_xlfn.PERCENTILE.EXC(_xlfn._xlws.FILTER($E$751:$E$999, $A$751:$A$999="2013-04"), 0.05)</f>
        <v>-1.6374318132155816E-2</v>
      </c>
      <c r="E813">
        <v>7.0377666038605969E-3</v>
      </c>
      <c r="F813">
        <f t="shared" si="30"/>
        <v>-1.6165113443529722E-2</v>
      </c>
      <c r="G813">
        <f t="shared" si="31"/>
        <v>-2.8449582158420968E-2</v>
      </c>
    </row>
    <row r="814" spans="1:7" x14ac:dyDescent="0.35">
      <c r="A814" t="s">
        <v>54</v>
      </c>
      <c r="E814">
        <v>-1.0069855756825627E-2</v>
      </c>
      <c r="F814">
        <f t="shared" si="30"/>
        <v>-1.6165195138823904E-2</v>
      </c>
      <c r="G814">
        <f t="shared" si="31"/>
        <v>-2.8449582158420968E-2</v>
      </c>
    </row>
    <row r="815" spans="1:7" x14ac:dyDescent="0.35">
      <c r="A815" t="s">
        <v>54</v>
      </c>
      <c r="E815">
        <v>-1.1323966269902052E-2</v>
      </c>
      <c r="F815">
        <f t="shared" si="30"/>
        <v>-1.6165276834118086E-2</v>
      </c>
      <c r="G815">
        <f t="shared" si="31"/>
        <v>-2.8449582158420968E-2</v>
      </c>
    </row>
    <row r="816" spans="1:7" x14ac:dyDescent="0.35">
      <c r="A816" t="s">
        <v>54</v>
      </c>
      <c r="E816">
        <v>-1.69354683390729E-2</v>
      </c>
      <c r="F816">
        <f t="shared" si="30"/>
        <v>-1.6165358529412269E-2</v>
      </c>
      <c r="G816">
        <f t="shared" si="31"/>
        <v>-2.8449582158420968E-2</v>
      </c>
    </row>
    <row r="817" spans="1:7" x14ac:dyDescent="0.35">
      <c r="A817" t="s">
        <v>54</v>
      </c>
      <c r="E817">
        <v>3.5905677381207834E-4</v>
      </c>
      <c r="F817">
        <f t="shared" si="30"/>
        <v>-1.6160212121559544E-2</v>
      </c>
      <c r="G817">
        <f t="shared" si="31"/>
        <v>-2.8444439378858512E-2</v>
      </c>
    </row>
    <row r="818" spans="1:7" x14ac:dyDescent="0.35">
      <c r="A818" t="s">
        <v>54</v>
      </c>
      <c r="E818">
        <v>4.1547367516044662E-3</v>
      </c>
      <c r="F818">
        <f t="shared" si="30"/>
        <v>-1.616149188260815E-2</v>
      </c>
      <c r="G818">
        <f t="shared" si="31"/>
        <v>-2.8444439378858512E-2</v>
      </c>
    </row>
    <row r="819" spans="1:7" x14ac:dyDescent="0.35">
      <c r="A819" t="s">
        <v>54</v>
      </c>
      <c r="E819">
        <v>1.2620803766012054E-2</v>
      </c>
      <c r="F819">
        <f t="shared" si="30"/>
        <v>-1.6162771643656756E-2</v>
      </c>
      <c r="G819">
        <f t="shared" si="31"/>
        <v>-2.8444439378858512E-2</v>
      </c>
    </row>
    <row r="820" spans="1:7" x14ac:dyDescent="0.35">
      <c r="A820" t="s">
        <v>54</v>
      </c>
      <c r="E820">
        <v>5.3587902328495318E-3</v>
      </c>
      <c r="F820">
        <f t="shared" si="30"/>
        <v>-1.6164051404705362E-2</v>
      </c>
      <c r="G820">
        <f t="shared" si="31"/>
        <v>-2.8444439378858512E-2</v>
      </c>
    </row>
    <row r="821" spans="1:7" x14ac:dyDescent="0.35">
      <c r="A821" t="s">
        <v>54</v>
      </c>
      <c r="E821">
        <v>-5.4796037102946248E-3</v>
      </c>
      <c r="F821">
        <f t="shared" si="30"/>
        <v>-1.6164133099999544E-2</v>
      </c>
      <c r="G821">
        <f t="shared" si="31"/>
        <v>-2.8526858090094441E-2</v>
      </c>
    </row>
    <row r="822" spans="1:7" x14ac:dyDescent="0.35">
      <c r="A822" t="s">
        <v>54</v>
      </c>
      <c r="E822">
        <v>-7.7053775576463382E-3</v>
      </c>
      <c r="F822">
        <f t="shared" si="30"/>
        <v>-1.6164214795293726E-2</v>
      </c>
      <c r="G822">
        <f t="shared" si="31"/>
        <v>-2.8526858090094441E-2</v>
      </c>
    </row>
    <row r="823" spans="1:7" x14ac:dyDescent="0.35">
      <c r="A823" t="s">
        <v>54</v>
      </c>
      <c r="E823">
        <v>-1.1279682316542923E-2</v>
      </c>
      <c r="F823">
        <f t="shared" si="30"/>
        <v>-1.6164296490587905E-2</v>
      </c>
      <c r="G823">
        <f t="shared" si="31"/>
        <v>-2.8526858090094441E-2</v>
      </c>
    </row>
    <row r="824" spans="1:7" x14ac:dyDescent="0.35">
      <c r="A824" t="s">
        <v>54</v>
      </c>
      <c r="E824">
        <v>-5.2412945327302597E-3</v>
      </c>
      <c r="F824">
        <f t="shared" si="30"/>
        <v>-1.6164378185882088E-2</v>
      </c>
      <c r="G824">
        <f t="shared" si="31"/>
        <v>-2.8526858090094441E-2</v>
      </c>
    </row>
    <row r="825" spans="1:7" x14ac:dyDescent="0.35">
      <c r="A825" t="s">
        <v>54</v>
      </c>
      <c r="E825">
        <v>-7.6435629358312775E-4</v>
      </c>
      <c r="F825">
        <f t="shared" si="30"/>
        <v>-1.616445988117627E-2</v>
      </c>
      <c r="G825">
        <f t="shared" si="31"/>
        <v>-2.8526858090094441E-2</v>
      </c>
    </row>
    <row r="826" spans="1:7" x14ac:dyDescent="0.35">
      <c r="A826" t="s">
        <v>54</v>
      </c>
      <c r="E826">
        <v>3.5108008013694501E-3</v>
      </c>
      <c r="F826">
        <f t="shared" si="30"/>
        <v>-1.6164541576470452E-2</v>
      </c>
      <c r="G826">
        <f t="shared" si="31"/>
        <v>-2.8526858090094441E-2</v>
      </c>
    </row>
    <row r="827" spans="1:7" x14ac:dyDescent="0.35">
      <c r="A827" t="s">
        <v>54</v>
      </c>
      <c r="E827">
        <v>2.9418835807592234E-3</v>
      </c>
      <c r="F827">
        <f t="shared" si="30"/>
        <v>-1.6164623271764635E-2</v>
      </c>
      <c r="G827">
        <f t="shared" si="31"/>
        <v>-2.8526858090094441E-2</v>
      </c>
    </row>
    <row r="828" spans="1:7" x14ac:dyDescent="0.35">
      <c r="A828" t="s">
        <v>54</v>
      </c>
      <c r="E828">
        <v>2.2493809664715782E-2</v>
      </c>
      <c r="F828">
        <f t="shared" si="30"/>
        <v>-1.6164704967058813E-2</v>
      </c>
      <c r="G828">
        <f t="shared" si="31"/>
        <v>-2.8526858090094441E-2</v>
      </c>
    </row>
    <row r="829" spans="1:7" x14ac:dyDescent="0.35">
      <c r="A829" t="s">
        <v>54</v>
      </c>
      <c r="E829">
        <v>3.92021791866642E-3</v>
      </c>
      <c r="F829">
        <f t="shared" si="30"/>
        <v>-1.6164786662352996E-2</v>
      </c>
      <c r="G829">
        <f t="shared" si="31"/>
        <v>-2.8526858090094441E-2</v>
      </c>
    </row>
    <row r="830" spans="1:7" x14ac:dyDescent="0.35">
      <c r="A830" t="s">
        <v>54</v>
      </c>
      <c r="E830">
        <v>1.2553832423923975E-2</v>
      </c>
      <c r="F830">
        <f t="shared" si="30"/>
        <v>-1.6164868357647178E-2</v>
      </c>
      <c r="G830">
        <f t="shared" si="31"/>
        <v>-2.8526858090094441E-2</v>
      </c>
    </row>
    <row r="831" spans="1:7" x14ac:dyDescent="0.35">
      <c r="A831" t="s">
        <v>54</v>
      </c>
      <c r="E831">
        <v>-3.9358861646726379E-4</v>
      </c>
      <c r="F831">
        <f t="shared" si="30"/>
        <v>-1.616495005294136E-2</v>
      </c>
      <c r="G831">
        <f t="shared" si="31"/>
        <v>-2.8526858090094441E-2</v>
      </c>
    </row>
    <row r="832" spans="1:7" x14ac:dyDescent="0.35">
      <c r="A832" t="s">
        <v>54</v>
      </c>
      <c r="E832">
        <v>1.0753975842277426E-3</v>
      </c>
      <c r="F832">
        <f t="shared" si="30"/>
        <v>-1.6165031748235543E-2</v>
      </c>
      <c r="G832">
        <f t="shared" si="31"/>
        <v>-2.8526858090094441E-2</v>
      </c>
    </row>
    <row r="833" spans="1:7" x14ac:dyDescent="0.35">
      <c r="A833" t="s">
        <v>54</v>
      </c>
      <c r="E833">
        <v>-6.9930174182356768E-3</v>
      </c>
      <c r="F833">
        <f t="shared" si="30"/>
        <v>-1.6165113443529722E-2</v>
      </c>
      <c r="G833">
        <f t="shared" si="31"/>
        <v>-2.8526858090094441E-2</v>
      </c>
    </row>
    <row r="834" spans="1:7" x14ac:dyDescent="0.35">
      <c r="A834" t="s">
        <v>55</v>
      </c>
      <c r="B834" s="3" cm="1">
        <f t="array" ref="B834">_xlfn.STDEV.S(_xlfn._xlws.FILTER($E$2:$E$1000, $A$2:$A$1000="2013-05"))</f>
        <v>9.3744188292125604E-3</v>
      </c>
      <c r="C834" s="3" cm="1">
        <f t="array" ref="C834">AVERAGE(_xlfn._xlws.FILTER($E$2:$E$1000, $A$2:$A$1000="2013-05"))</f>
        <v>6.9954871889180733E-4</v>
      </c>
      <c r="D834" s="3" cm="1">
        <f t="array" ref="D834">_xlfn.PERCENTILE.EXC(_xlfn._xlws.FILTER($E$751:$E$999, $A$751:$A$999="2013-05"), 0.05)</f>
        <v>-2.2301400862437527E-2</v>
      </c>
      <c r="E834">
        <v>1.0824841732719219E-2</v>
      </c>
      <c r="F834">
        <f t="shared" si="30"/>
        <v>-1.6165195138823904E-2</v>
      </c>
      <c r="G834">
        <f t="shared" si="31"/>
        <v>-2.8526858090094441E-2</v>
      </c>
    </row>
    <row r="835" spans="1:7" x14ac:dyDescent="0.35">
      <c r="A835" t="s">
        <v>55</v>
      </c>
      <c r="E835">
        <v>8.5784348777138437E-3</v>
      </c>
      <c r="F835">
        <f t="shared" si="30"/>
        <v>-1.6165276834118086E-2</v>
      </c>
      <c r="G835">
        <f t="shared" si="31"/>
        <v>-2.8526858090094441E-2</v>
      </c>
    </row>
    <row r="836" spans="1:7" x14ac:dyDescent="0.35">
      <c r="A836" t="s">
        <v>55</v>
      </c>
      <c r="E836">
        <v>2.2121724610627076E-3</v>
      </c>
      <c r="F836">
        <f t="shared" ref="F836:F899" si="32">_xlfn.PERCENTILE.EXC(E836:E4651,0.05)</f>
        <v>-1.6165358529412269E-2</v>
      </c>
      <c r="G836">
        <f t="shared" ref="G836:G899" si="33">AVERAGEIFS(E836:E4652,E836:E4652,"&lt;=" &amp; F836)</f>
        <v>-2.8526858090094441E-2</v>
      </c>
    </row>
    <row r="837" spans="1:7" x14ac:dyDescent="0.35">
      <c r="A837" t="s">
        <v>55</v>
      </c>
      <c r="E837">
        <v>2.2535014541925696E-3</v>
      </c>
      <c r="F837">
        <f t="shared" si="32"/>
        <v>-1.6165440224706451E-2</v>
      </c>
      <c r="G837">
        <f t="shared" si="33"/>
        <v>-2.8526858090094441E-2</v>
      </c>
    </row>
    <row r="838" spans="1:7" x14ac:dyDescent="0.35">
      <c r="A838" t="s">
        <v>55</v>
      </c>
      <c r="E838">
        <v>2.16069253454855E-3</v>
      </c>
      <c r="F838">
        <f t="shared" si="32"/>
        <v>-1.616552192000063E-2</v>
      </c>
      <c r="G838">
        <f t="shared" si="33"/>
        <v>-2.8526858090094441E-2</v>
      </c>
    </row>
    <row r="839" spans="1:7" x14ac:dyDescent="0.35">
      <c r="A839" t="s">
        <v>55</v>
      </c>
      <c r="E839">
        <v>5.540073620052109E-3</v>
      </c>
      <c r="F839">
        <f t="shared" si="32"/>
        <v>-1.6165603615294812E-2</v>
      </c>
      <c r="G839">
        <f t="shared" si="33"/>
        <v>-2.8526858090094441E-2</v>
      </c>
    </row>
    <row r="840" spans="1:7" x14ac:dyDescent="0.35">
      <c r="A840" t="s">
        <v>55</v>
      </c>
      <c r="E840">
        <v>-2.9171714557773049E-3</v>
      </c>
      <c r="F840">
        <f t="shared" si="32"/>
        <v>-1.6165685310588995E-2</v>
      </c>
      <c r="G840">
        <f t="shared" si="33"/>
        <v>-2.8526858090094441E-2</v>
      </c>
    </row>
    <row r="841" spans="1:7" x14ac:dyDescent="0.35">
      <c r="A841" t="s">
        <v>55</v>
      </c>
      <c r="E841">
        <v>6.5105393778352493E-3</v>
      </c>
      <c r="F841">
        <f t="shared" si="32"/>
        <v>-1.6166164938075763E-2</v>
      </c>
      <c r="G841">
        <f t="shared" si="33"/>
        <v>-2.8610379527793807E-2</v>
      </c>
    </row>
    <row r="842" spans="1:7" x14ac:dyDescent="0.35">
      <c r="A842" t="s">
        <v>55</v>
      </c>
      <c r="E842">
        <v>6.1570565367630812E-3</v>
      </c>
      <c r="F842">
        <f t="shared" si="32"/>
        <v>-1.6166644565562528E-2</v>
      </c>
      <c r="G842">
        <f t="shared" si="33"/>
        <v>-2.8610379527793807E-2</v>
      </c>
    </row>
    <row r="843" spans="1:7" x14ac:dyDescent="0.35">
      <c r="A843" t="s">
        <v>55</v>
      </c>
      <c r="E843">
        <v>2.626194372247829E-3</v>
      </c>
      <c r="F843">
        <f t="shared" si="32"/>
        <v>-1.6167124193049297E-2</v>
      </c>
      <c r="G843">
        <f t="shared" si="33"/>
        <v>-2.8610379527793807E-2</v>
      </c>
    </row>
    <row r="844" spans="1:7" x14ac:dyDescent="0.35">
      <c r="A844" t="s">
        <v>55</v>
      </c>
      <c r="E844">
        <v>2.5649561663358775E-3</v>
      </c>
      <c r="F844">
        <f t="shared" si="32"/>
        <v>-1.6167603820536065E-2</v>
      </c>
      <c r="G844">
        <f t="shared" si="33"/>
        <v>-2.8610379527793807E-2</v>
      </c>
    </row>
    <row r="845" spans="1:7" x14ac:dyDescent="0.35">
      <c r="A845" t="s">
        <v>55</v>
      </c>
      <c r="E845">
        <v>5.1981090422309282E-3</v>
      </c>
      <c r="F845">
        <f t="shared" si="32"/>
        <v>-1.6168083448022834E-2</v>
      </c>
      <c r="G845">
        <f t="shared" si="33"/>
        <v>-2.8610379527793807E-2</v>
      </c>
    </row>
    <row r="846" spans="1:7" x14ac:dyDescent="0.35">
      <c r="A846" t="s">
        <v>55</v>
      </c>
      <c r="E846">
        <v>-4.5881020949226705E-4</v>
      </c>
      <c r="F846">
        <f t="shared" si="32"/>
        <v>-1.6168563075509599E-2</v>
      </c>
      <c r="G846">
        <f t="shared" si="33"/>
        <v>-2.8610379527793807E-2</v>
      </c>
    </row>
    <row r="847" spans="1:7" x14ac:dyDescent="0.35">
      <c r="A847" t="s">
        <v>55</v>
      </c>
      <c r="E847">
        <v>1.3731123568826802E-3</v>
      </c>
      <c r="F847">
        <f t="shared" si="32"/>
        <v>-1.6169042702996368E-2</v>
      </c>
      <c r="G847">
        <f t="shared" si="33"/>
        <v>-2.8610379527793807E-2</v>
      </c>
    </row>
    <row r="848" spans="1:7" x14ac:dyDescent="0.35">
      <c r="A848" t="s">
        <v>55</v>
      </c>
      <c r="E848">
        <v>-2.2338248333308507E-2</v>
      </c>
      <c r="F848">
        <f t="shared" si="32"/>
        <v>-1.6169522330483136E-2</v>
      </c>
      <c r="G848">
        <f t="shared" si="33"/>
        <v>-2.8610379527793807E-2</v>
      </c>
    </row>
    <row r="849" spans="1:7" x14ac:dyDescent="0.35">
      <c r="A849" t="s">
        <v>55</v>
      </c>
      <c r="E849">
        <v>-5.4082557407833364E-3</v>
      </c>
      <c r="F849">
        <f t="shared" si="32"/>
        <v>-1.6164786662352996E-2</v>
      </c>
      <c r="G849">
        <f t="shared" si="33"/>
        <v>-2.8568673020883541E-2</v>
      </c>
    </row>
    <row r="850" spans="1:7" x14ac:dyDescent="0.35">
      <c r="A850" t="s">
        <v>55</v>
      </c>
      <c r="E850">
        <v>1.5996366549869096E-2</v>
      </c>
      <c r="F850">
        <f t="shared" si="32"/>
        <v>-1.6164868357647178E-2</v>
      </c>
      <c r="G850">
        <f t="shared" si="33"/>
        <v>-2.8568673020883541E-2</v>
      </c>
    </row>
    <row r="851" spans="1:7" x14ac:dyDescent="0.35">
      <c r="A851" t="s">
        <v>55</v>
      </c>
      <c r="E851">
        <v>-2.1601298915888884E-2</v>
      </c>
      <c r="F851">
        <f t="shared" si="32"/>
        <v>-1.616495005294136E-2</v>
      </c>
      <c r="G851">
        <f t="shared" si="33"/>
        <v>-2.8568673020883541E-2</v>
      </c>
    </row>
    <row r="852" spans="1:7" x14ac:dyDescent="0.35">
      <c r="A852" t="s">
        <v>55</v>
      </c>
      <c r="E852">
        <v>2.223071409148705E-3</v>
      </c>
      <c r="F852">
        <f t="shared" si="32"/>
        <v>-1.6153813316316514E-2</v>
      </c>
      <c r="G852">
        <f t="shared" si="33"/>
        <v>-2.853193486202419E-2</v>
      </c>
    </row>
    <row r="853" spans="1:7" x14ac:dyDescent="0.35">
      <c r="A853" t="s">
        <v>55</v>
      </c>
      <c r="E853">
        <v>-7.5043634585159925E-3</v>
      </c>
      <c r="F853">
        <f t="shared" si="32"/>
        <v>-1.615509307736512E-2</v>
      </c>
      <c r="G853">
        <f t="shared" si="33"/>
        <v>-2.853193486202419E-2</v>
      </c>
    </row>
    <row r="854" spans="1:7" x14ac:dyDescent="0.35">
      <c r="A854" t="s">
        <v>56</v>
      </c>
      <c r="B854" s="3" cm="1">
        <f t="array" ref="B854">_xlfn.STDEV.S(_xlfn._xlws.FILTER($E$2:$E$1000, $A$2:$A$1000="2013-06"))</f>
        <v>9.9002907444371239E-3</v>
      </c>
      <c r="C854" s="3" cm="1">
        <f t="array" ref="C854">AVERAGE(_xlfn._xlws.FILTER($E$2:$E$1000, $A$2:$A$1000="2013-06"))</f>
        <v>-2.9678018097155636E-3</v>
      </c>
      <c r="D854" s="3" cm="1">
        <f t="array" ref="D854">_xlfn.PERCENTILE.EXC(_xlfn._xlws.FILTER($E$751:$E$999, $A$751:$A$999="2013-06"), 0.05)</f>
        <v>-2.8425048774597519E-2</v>
      </c>
      <c r="E854">
        <v>-6.9645490414643367E-3</v>
      </c>
      <c r="F854">
        <f t="shared" si="32"/>
        <v>-1.6156372838413726E-2</v>
      </c>
      <c r="G854">
        <f t="shared" si="33"/>
        <v>-2.853193486202419E-2</v>
      </c>
    </row>
    <row r="855" spans="1:7" x14ac:dyDescent="0.35">
      <c r="A855" t="s">
        <v>56</v>
      </c>
      <c r="E855">
        <v>3.4970261701160899E-3</v>
      </c>
      <c r="F855">
        <f t="shared" si="32"/>
        <v>-1.6157652599462332E-2</v>
      </c>
      <c r="G855">
        <f t="shared" si="33"/>
        <v>-2.853193486202419E-2</v>
      </c>
    </row>
    <row r="856" spans="1:7" x14ac:dyDescent="0.35">
      <c r="A856" t="s">
        <v>56</v>
      </c>
      <c r="E856">
        <v>-1.5933163349933485E-2</v>
      </c>
      <c r="F856">
        <f t="shared" si="32"/>
        <v>-1.6158932360510938E-2</v>
      </c>
      <c r="G856">
        <f t="shared" si="33"/>
        <v>-2.853193486202419E-2</v>
      </c>
    </row>
    <row r="857" spans="1:7" x14ac:dyDescent="0.35">
      <c r="A857" t="s">
        <v>56</v>
      </c>
      <c r="E857">
        <v>-1.1354806068631141E-2</v>
      </c>
      <c r="F857">
        <f t="shared" si="32"/>
        <v>-1.6160212121559544E-2</v>
      </c>
      <c r="G857">
        <f t="shared" si="33"/>
        <v>-2.853193486202419E-2</v>
      </c>
    </row>
    <row r="858" spans="1:7" x14ac:dyDescent="0.35">
      <c r="A858" t="s">
        <v>56</v>
      </c>
      <c r="E858">
        <v>8.7670198438990002E-3</v>
      </c>
      <c r="F858">
        <f t="shared" si="32"/>
        <v>-1.616149188260815E-2</v>
      </c>
      <c r="G858">
        <f t="shared" si="33"/>
        <v>-2.853193486202419E-2</v>
      </c>
    </row>
    <row r="859" spans="1:7" x14ac:dyDescent="0.35">
      <c r="A859" t="s">
        <v>56</v>
      </c>
      <c r="E859">
        <v>-8.9647289457592087E-4</v>
      </c>
      <c r="F859">
        <f t="shared" si="32"/>
        <v>-1.6162771643656756E-2</v>
      </c>
      <c r="G859">
        <f t="shared" si="33"/>
        <v>-2.853193486202419E-2</v>
      </c>
    </row>
    <row r="860" spans="1:7" x14ac:dyDescent="0.35">
      <c r="A860" t="s">
        <v>56</v>
      </c>
      <c r="E860">
        <v>-1.088168407879571E-2</v>
      </c>
      <c r="F860">
        <f t="shared" si="32"/>
        <v>-1.6164051404705362E-2</v>
      </c>
      <c r="G860">
        <f t="shared" si="33"/>
        <v>-2.853193486202419E-2</v>
      </c>
    </row>
    <row r="861" spans="1:7" x14ac:dyDescent="0.35">
      <c r="A861" t="s">
        <v>56</v>
      </c>
      <c r="E861">
        <v>-5.1410693818013959E-3</v>
      </c>
      <c r="F861">
        <f t="shared" si="32"/>
        <v>-1.6164133099999544E-2</v>
      </c>
      <c r="G861">
        <f t="shared" si="33"/>
        <v>-2.8616070123638603E-2</v>
      </c>
    </row>
    <row r="862" spans="1:7" x14ac:dyDescent="0.35">
      <c r="A862" t="s">
        <v>56</v>
      </c>
      <c r="E862">
        <v>2.0519160636679151E-3</v>
      </c>
      <c r="F862">
        <f t="shared" si="32"/>
        <v>-1.6164214795293726E-2</v>
      </c>
      <c r="G862">
        <f t="shared" si="33"/>
        <v>-2.8616070123638603E-2</v>
      </c>
    </row>
    <row r="863" spans="1:7" x14ac:dyDescent="0.35">
      <c r="A863" t="s">
        <v>56</v>
      </c>
      <c r="E863">
        <v>9.7351061727149241E-4</v>
      </c>
      <c r="F863">
        <f t="shared" si="32"/>
        <v>-1.6164296490587905E-2</v>
      </c>
      <c r="G863">
        <f t="shared" si="33"/>
        <v>-2.8616070123638603E-2</v>
      </c>
    </row>
    <row r="864" spans="1:7" x14ac:dyDescent="0.35">
      <c r="A864" t="s">
        <v>56</v>
      </c>
      <c r="E864">
        <v>2.9996467338615825E-3</v>
      </c>
      <c r="F864">
        <f t="shared" si="32"/>
        <v>-1.6164378185882088E-2</v>
      </c>
      <c r="G864">
        <f t="shared" si="33"/>
        <v>-2.8616070123638603E-2</v>
      </c>
    </row>
    <row r="865" spans="1:7" x14ac:dyDescent="0.35">
      <c r="A865" t="s">
        <v>56</v>
      </c>
      <c r="E865">
        <v>-1.4064477751692536E-3</v>
      </c>
      <c r="F865">
        <f t="shared" si="32"/>
        <v>-1.616445988117627E-2</v>
      </c>
      <c r="G865">
        <f t="shared" si="33"/>
        <v>-2.8616070123638603E-2</v>
      </c>
    </row>
    <row r="866" spans="1:7" x14ac:dyDescent="0.35">
      <c r="A866" t="s">
        <v>56</v>
      </c>
      <c r="E866">
        <v>-3.4271336360369958E-3</v>
      </c>
      <c r="F866">
        <f t="shared" si="32"/>
        <v>-1.6164541576470452E-2</v>
      </c>
      <c r="G866">
        <f t="shared" si="33"/>
        <v>-2.8616070123638603E-2</v>
      </c>
    </row>
    <row r="867" spans="1:7" x14ac:dyDescent="0.35">
      <c r="A867" t="s">
        <v>56</v>
      </c>
      <c r="E867">
        <v>-2.9082516428527206E-2</v>
      </c>
      <c r="F867">
        <f t="shared" si="32"/>
        <v>-1.6164623271764635E-2</v>
      </c>
      <c r="G867">
        <f t="shared" si="33"/>
        <v>-2.8616070123638603E-2</v>
      </c>
    </row>
    <row r="868" spans="1:7" x14ac:dyDescent="0.35">
      <c r="A868" t="s">
        <v>56</v>
      </c>
      <c r="E868">
        <v>-3.1363156536239863E-3</v>
      </c>
      <c r="F868">
        <f t="shared" si="32"/>
        <v>-1.6148694272122094E-2</v>
      </c>
      <c r="G868">
        <f t="shared" si="33"/>
        <v>-2.8528189409190836E-2</v>
      </c>
    </row>
    <row r="869" spans="1:7" x14ac:dyDescent="0.35">
      <c r="A869" t="s">
        <v>56</v>
      </c>
      <c r="E869">
        <v>-1.1869449447050647E-2</v>
      </c>
      <c r="F869">
        <f t="shared" si="32"/>
        <v>-1.6149974033170696E-2</v>
      </c>
      <c r="G869">
        <f t="shared" si="33"/>
        <v>-2.8528189409190836E-2</v>
      </c>
    </row>
    <row r="870" spans="1:7" x14ac:dyDescent="0.35">
      <c r="A870" t="s">
        <v>56</v>
      </c>
      <c r="E870">
        <v>1.2553249907946294E-2</v>
      </c>
      <c r="F870">
        <f t="shared" si="32"/>
        <v>-1.6151253794219306E-2</v>
      </c>
      <c r="G870">
        <f t="shared" si="33"/>
        <v>-2.8528189409190836E-2</v>
      </c>
    </row>
    <row r="871" spans="1:7" x14ac:dyDescent="0.35">
      <c r="A871" t="s">
        <v>56</v>
      </c>
      <c r="E871">
        <v>1.0908707915595379E-2</v>
      </c>
      <c r="F871">
        <f t="shared" si="32"/>
        <v>-1.6152533555267908E-2</v>
      </c>
      <c r="G871">
        <f t="shared" si="33"/>
        <v>-2.8528189409190836E-2</v>
      </c>
    </row>
    <row r="872" spans="1:7" x14ac:dyDescent="0.35">
      <c r="A872" t="s">
        <v>56</v>
      </c>
      <c r="E872">
        <v>5.4484540215403278E-3</v>
      </c>
      <c r="F872">
        <f t="shared" si="32"/>
        <v>-1.6153813316316514E-2</v>
      </c>
      <c r="G872">
        <f t="shared" si="33"/>
        <v>-2.8528189409190836E-2</v>
      </c>
    </row>
    <row r="873" spans="1:7" x14ac:dyDescent="0.35">
      <c r="A873" t="s">
        <v>56</v>
      </c>
      <c r="E873">
        <v>-6.4619597125992728E-3</v>
      </c>
      <c r="F873">
        <f t="shared" si="32"/>
        <v>-1.615509307736512E-2</v>
      </c>
      <c r="G873">
        <f t="shared" si="33"/>
        <v>-2.8528189409190836E-2</v>
      </c>
    </row>
    <row r="874" spans="1:7" x14ac:dyDescent="0.35">
      <c r="A874" t="s">
        <v>57</v>
      </c>
      <c r="B874" s="3" cm="1">
        <f t="array" ref="B874">_xlfn.STDEV.S(_xlfn._xlws.FILTER($E$2:$E$1000, $A$2:$A$1000="2013-07"))</f>
        <v>8.5542834227826884E-3</v>
      </c>
      <c r="C874" s="3" cm="1">
        <f t="array" ref="C874">AVERAGE(_xlfn._xlws.FILTER($E$2:$E$1000, $A$2:$A$1000="2013-07"))</f>
        <v>1.8288331886969482E-3</v>
      </c>
      <c r="D874" s="3" cm="1">
        <f t="array" ref="D874">_xlfn.PERCENTILE.EXC(_xlfn._xlws.FILTER($E$751:$E$999, $A$751:$A$999="2013-07"), 0.05)</f>
        <v>-1.1025270008154968E-2</v>
      </c>
      <c r="E874">
        <v>1.3152585449378286E-2</v>
      </c>
      <c r="F874">
        <f t="shared" si="32"/>
        <v>-1.6156372838413726E-2</v>
      </c>
      <c r="G874">
        <f t="shared" si="33"/>
        <v>-2.8528189409190836E-2</v>
      </c>
    </row>
    <row r="875" spans="1:7" x14ac:dyDescent="0.35">
      <c r="A875" t="s">
        <v>57</v>
      </c>
      <c r="E875">
        <v>-1.2151792858980995E-3</v>
      </c>
      <c r="F875">
        <f t="shared" si="32"/>
        <v>-1.6157652599462332E-2</v>
      </c>
      <c r="G875">
        <f t="shared" si="33"/>
        <v>-2.8528189409190836E-2</v>
      </c>
    </row>
    <row r="876" spans="1:7" x14ac:dyDescent="0.35">
      <c r="A876" t="s">
        <v>57</v>
      </c>
      <c r="E876">
        <v>-4.3943070260744769E-3</v>
      </c>
      <c r="F876">
        <f t="shared" si="32"/>
        <v>-1.6158932360510938E-2</v>
      </c>
      <c r="G876">
        <f t="shared" si="33"/>
        <v>-2.8528189409190836E-2</v>
      </c>
    </row>
    <row r="877" spans="1:7" x14ac:dyDescent="0.35">
      <c r="A877" t="s">
        <v>57</v>
      </c>
      <c r="E877">
        <v>2.4491326131628823E-2</v>
      </c>
      <c r="F877">
        <f t="shared" si="32"/>
        <v>-1.6160212121559544E-2</v>
      </c>
      <c r="G877">
        <f t="shared" si="33"/>
        <v>-2.8528189409190836E-2</v>
      </c>
    </row>
    <row r="878" spans="1:7" x14ac:dyDescent="0.35">
      <c r="A878" t="s">
        <v>57</v>
      </c>
      <c r="E878">
        <v>-1.1370976838816037E-2</v>
      </c>
      <c r="F878">
        <f t="shared" si="32"/>
        <v>-1.616149188260815E-2</v>
      </c>
      <c r="G878">
        <f t="shared" si="33"/>
        <v>-2.8528189409190836E-2</v>
      </c>
    </row>
    <row r="879" spans="1:7" x14ac:dyDescent="0.35">
      <c r="A879" t="s">
        <v>57</v>
      </c>
      <c r="E879">
        <v>1.1580329453898702E-2</v>
      </c>
      <c r="F879">
        <f t="shared" si="32"/>
        <v>-1.6162771643656756E-2</v>
      </c>
      <c r="G879">
        <f t="shared" si="33"/>
        <v>-2.8528189409190836E-2</v>
      </c>
    </row>
    <row r="880" spans="1:7" x14ac:dyDescent="0.35">
      <c r="A880" t="s">
        <v>57</v>
      </c>
      <c r="E880">
        <v>9.2716047967259015E-3</v>
      </c>
      <c r="F880">
        <f t="shared" si="32"/>
        <v>-1.6164051404705362E-2</v>
      </c>
      <c r="G880">
        <f t="shared" si="33"/>
        <v>-2.8528189409190836E-2</v>
      </c>
    </row>
    <row r="881" spans="1:7" x14ac:dyDescent="0.35">
      <c r="A881" t="s">
        <v>57</v>
      </c>
      <c r="E881">
        <v>-4.7929199293297392E-4</v>
      </c>
      <c r="F881">
        <f t="shared" si="32"/>
        <v>-1.6164133099999544E-2</v>
      </c>
      <c r="G881">
        <f t="shared" si="33"/>
        <v>-2.8612875285933887E-2</v>
      </c>
    </row>
    <row r="882" spans="1:7" x14ac:dyDescent="0.35">
      <c r="A882" t="s">
        <v>57</v>
      </c>
      <c r="E882">
        <v>3.5937514338865821E-3</v>
      </c>
      <c r="F882">
        <f t="shared" si="32"/>
        <v>-1.6164214795293726E-2</v>
      </c>
      <c r="G882">
        <f t="shared" si="33"/>
        <v>-2.8612875285933887E-2</v>
      </c>
    </row>
    <row r="883" spans="1:7" x14ac:dyDescent="0.35">
      <c r="A883" t="s">
        <v>57</v>
      </c>
      <c r="E883">
        <v>-2.6471377181669737E-3</v>
      </c>
      <c r="F883">
        <f t="shared" si="32"/>
        <v>-1.6164296490587905E-2</v>
      </c>
      <c r="G883">
        <f t="shared" si="33"/>
        <v>-2.8612875285933887E-2</v>
      </c>
    </row>
    <row r="884" spans="1:7" x14ac:dyDescent="0.35">
      <c r="A884" t="s">
        <v>57</v>
      </c>
      <c r="E884">
        <v>5.6681595092938405E-3</v>
      </c>
      <c r="F884">
        <f t="shared" si="32"/>
        <v>-1.6164378185882088E-2</v>
      </c>
      <c r="G884">
        <f t="shared" si="33"/>
        <v>-2.8612875285933887E-2</v>
      </c>
    </row>
    <row r="885" spans="1:7" x14ac:dyDescent="0.35">
      <c r="A885" t="s">
        <v>57</v>
      </c>
      <c r="E885">
        <v>-9.6424426855106979E-3</v>
      </c>
      <c r="F885">
        <f t="shared" si="32"/>
        <v>-1.616445988117627E-2</v>
      </c>
      <c r="G885">
        <f t="shared" si="33"/>
        <v>-2.8612875285933887E-2</v>
      </c>
    </row>
    <row r="886" spans="1:7" x14ac:dyDescent="0.35">
      <c r="A886" t="s">
        <v>57</v>
      </c>
      <c r="E886">
        <v>1.0268844455539586E-2</v>
      </c>
      <c r="F886">
        <f t="shared" si="32"/>
        <v>-1.6164541576470452E-2</v>
      </c>
      <c r="G886">
        <f t="shared" si="33"/>
        <v>-2.8612875285933887E-2</v>
      </c>
    </row>
    <row r="887" spans="1:7" x14ac:dyDescent="0.35">
      <c r="A887" t="s">
        <v>57</v>
      </c>
      <c r="E887">
        <v>1.1864073116284285E-2</v>
      </c>
      <c r="F887">
        <f t="shared" si="32"/>
        <v>-1.6164623271764635E-2</v>
      </c>
      <c r="G887">
        <f t="shared" si="33"/>
        <v>-2.8612875285933887E-2</v>
      </c>
    </row>
    <row r="888" spans="1:7" x14ac:dyDescent="0.35">
      <c r="A888" t="s">
        <v>57</v>
      </c>
      <c r="E888">
        <v>-4.0780240849456058E-4</v>
      </c>
      <c r="F888">
        <f t="shared" si="32"/>
        <v>-1.6164704967058813E-2</v>
      </c>
      <c r="G888">
        <f t="shared" si="33"/>
        <v>-2.8612875285933887E-2</v>
      </c>
    </row>
    <row r="889" spans="1:7" x14ac:dyDescent="0.35">
      <c r="A889" t="s">
        <v>57</v>
      </c>
      <c r="E889">
        <v>9.1606180107209291E-4</v>
      </c>
      <c r="F889">
        <f t="shared" si="32"/>
        <v>-1.6164786662352996E-2</v>
      </c>
      <c r="G889">
        <f t="shared" si="33"/>
        <v>-2.8612875285933887E-2</v>
      </c>
    </row>
    <row r="890" spans="1:7" x14ac:dyDescent="0.35">
      <c r="A890" t="s">
        <v>57</v>
      </c>
      <c r="E890">
        <v>-4.3661420558319683E-3</v>
      </c>
      <c r="F890">
        <f t="shared" si="32"/>
        <v>-1.6164868357647178E-2</v>
      </c>
      <c r="G890">
        <f t="shared" si="33"/>
        <v>-2.8612875285933887E-2</v>
      </c>
    </row>
    <row r="891" spans="1:7" x14ac:dyDescent="0.35">
      <c r="A891" t="s">
        <v>57</v>
      </c>
      <c r="E891">
        <v>2.4358087171078803E-3</v>
      </c>
      <c r="F891">
        <f t="shared" si="32"/>
        <v>-1.616495005294136E-2</v>
      </c>
      <c r="G891">
        <f t="shared" si="33"/>
        <v>-2.8612875285933887E-2</v>
      </c>
    </row>
    <row r="892" spans="1:7" x14ac:dyDescent="0.35">
      <c r="A892" t="s">
        <v>57</v>
      </c>
      <c r="E892">
        <v>-7.8966077372388446E-3</v>
      </c>
      <c r="F892">
        <f t="shared" si="32"/>
        <v>-1.6165031748235543E-2</v>
      </c>
      <c r="G892">
        <f t="shared" si="33"/>
        <v>-2.8612875285933887E-2</v>
      </c>
    </row>
    <row r="893" spans="1:7" x14ac:dyDescent="0.35">
      <c r="A893" t="s">
        <v>57</v>
      </c>
      <c r="E893">
        <v>-5.7682845590107459E-3</v>
      </c>
      <c r="F893">
        <f t="shared" si="32"/>
        <v>-1.6165113443529722E-2</v>
      </c>
      <c r="G893">
        <f t="shared" si="33"/>
        <v>-2.8612875285933887E-2</v>
      </c>
    </row>
    <row r="894" spans="1:7" x14ac:dyDescent="0.35">
      <c r="A894" t="s">
        <v>57</v>
      </c>
      <c r="E894">
        <v>-8.9154002794588515E-5</v>
      </c>
      <c r="F894">
        <f t="shared" si="32"/>
        <v>-1.6165195138823904E-2</v>
      </c>
      <c r="G894">
        <f t="shared" si="33"/>
        <v>-2.8612875285933887E-2</v>
      </c>
    </row>
    <row r="895" spans="1:7" x14ac:dyDescent="0.35">
      <c r="A895" t="s">
        <v>57</v>
      </c>
      <c r="E895">
        <v>-5.0919669915431122E-3</v>
      </c>
      <c r="F895">
        <f t="shared" si="32"/>
        <v>-1.6165276834118086E-2</v>
      </c>
      <c r="G895">
        <f t="shared" si="33"/>
        <v>-2.8612875285933887E-2</v>
      </c>
    </row>
    <row r="896" spans="1:7" x14ac:dyDescent="0.35">
      <c r="A896" t="s">
        <v>57</v>
      </c>
      <c r="E896">
        <v>2.1899117775269106E-3</v>
      </c>
      <c r="F896">
        <f t="shared" si="32"/>
        <v>-1.6165358529412269E-2</v>
      </c>
      <c r="G896">
        <f t="shared" si="33"/>
        <v>-2.8612875285933887E-2</v>
      </c>
    </row>
    <row r="897" spans="1:7" x14ac:dyDescent="0.35">
      <c r="A897" t="s">
        <v>58</v>
      </c>
      <c r="B897" s="3" cm="1">
        <f t="array" ref="B897">_xlfn.STDEV.S(_xlfn._xlws.FILTER($E$2:$E$1000, $A$2:$A$1000="2013-08"))</f>
        <v>7.0934197688399215E-3</v>
      </c>
      <c r="C897" s="3" cm="1">
        <f t="array" ref="C897">AVERAGE(_xlfn._xlws.FILTER($E$2:$E$1000, $A$2:$A$1000="2013-08"))</f>
        <v>-3.4636033612615673E-4</v>
      </c>
      <c r="D897" s="3" cm="1">
        <f t="array" ref="D897">_xlfn.PERCENTILE.EXC(_xlfn._xlws.FILTER($E$751:$E$999, $A$751:$A$999="2013-08"), 0.05)</f>
        <v>-1.1046216526803676E-2</v>
      </c>
      <c r="E897">
        <v>1.0407773137031664E-2</v>
      </c>
      <c r="F897">
        <f t="shared" si="32"/>
        <v>-1.6165440224706451E-2</v>
      </c>
      <c r="G897">
        <f t="shared" si="33"/>
        <v>-2.8612875285933887E-2</v>
      </c>
    </row>
    <row r="898" spans="1:7" x14ac:dyDescent="0.35">
      <c r="A898" t="s">
        <v>58</v>
      </c>
      <c r="E898">
        <v>3.8703345418853271E-4</v>
      </c>
      <c r="F898">
        <f t="shared" si="32"/>
        <v>-1.616552192000063E-2</v>
      </c>
      <c r="G898">
        <f t="shared" si="33"/>
        <v>-2.8612875285933887E-2</v>
      </c>
    </row>
    <row r="899" spans="1:7" x14ac:dyDescent="0.35">
      <c r="A899" t="s">
        <v>58</v>
      </c>
      <c r="E899">
        <v>5.8901516459376117E-4</v>
      </c>
      <c r="F899">
        <f t="shared" si="32"/>
        <v>-1.6165603615294812E-2</v>
      </c>
      <c r="G899">
        <f t="shared" si="33"/>
        <v>-2.8612875285933887E-2</v>
      </c>
    </row>
    <row r="900" spans="1:7" x14ac:dyDescent="0.35">
      <c r="A900" t="s">
        <v>58</v>
      </c>
      <c r="E900">
        <v>-3.2216963652848844E-3</v>
      </c>
      <c r="F900">
        <f t="shared" ref="F900:F963" si="34">_xlfn.PERCENTILE.EXC(E900:E4715,0.05)</f>
        <v>-1.6165685310588995E-2</v>
      </c>
      <c r="G900">
        <f t="shared" ref="G900:G963" si="35">AVERAGEIFS(E900:E4716,E900:E4716,"&lt;=" &amp; F900)</f>
        <v>-2.8612875285933887E-2</v>
      </c>
    </row>
    <row r="901" spans="1:7" x14ac:dyDescent="0.35">
      <c r="A901" t="s">
        <v>58</v>
      </c>
      <c r="E901">
        <v>-7.5490582866433236E-3</v>
      </c>
      <c r="F901">
        <f t="shared" si="34"/>
        <v>-1.6166164938075763E-2</v>
      </c>
      <c r="G901">
        <f t="shared" si="35"/>
        <v>-2.8698717975419022E-2</v>
      </c>
    </row>
    <row r="902" spans="1:7" x14ac:dyDescent="0.35">
      <c r="A902" t="s">
        <v>58</v>
      </c>
      <c r="E902">
        <v>1.5940202778559583E-3</v>
      </c>
      <c r="F902">
        <f t="shared" si="34"/>
        <v>-1.6166644565562528E-2</v>
      </c>
      <c r="G902">
        <f t="shared" si="35"/>
        <v>-2.8698717975419022E-2</v>
      </c>
    </row>
    <row r="903" spans="1:7" x14ac:dyDescent="0.35">
      <c r="A903" t="s">
        <v>58</v>
      </c>
      <c r="E903">
        <v>9.2727524836320602E-3</v>
      </c>
      <c r="F903">
        <f t="shared" si="34"/>
        <v>-1.6167124193049297E-2</v>
      </c>
      <c r="G903">
        <f t="shared" si="35"/>
        <v>-2.8698717975419022E-2</v>
      </c>
    </row>
    <row r="904" spans="1:7" x14ac:dyDescent="0.35">
      <c r="A904" t="s">
        <v>58</v>
      </c>
      <c r="E904">
        <v>-1.2654467529838388E-3</v>
      </c>
      <c r="F904">
        <f t="shared" si="34"/>
        <v>-1.6167603820536065E-2</v>
      </c>
      <c r="G904">
        <f t="shared" si="35"/>
        <v>-2.8698717975419022E-2</v>
      </c>
    </row>
    <row r="905" spans="1:7" x14ac:dyDescent="0.35">
      <c r="A905" t="s">
        <v>58</v>
      </c>
      <c r="E905">
        <v>8.8101355784518977E-3</v>
      </c>
      <c r="F905">
        <f t="shared" si="34"/>
        <v>-1.6168083448022834E-2</v>
      </c>
      <c r="G905">
        <f t="shared" si="35"/>
        <v>-2.8698717975419022E-2</v>
      </c>
    </row>
    <row r="906" spans="1:7" x14ac:dyDescent="0.35">
      <c r="A906" t="s">
        <v>58</v>
      </c>
      <c r="E906">
        <v>-6.4738718846557802E-4</v>
      </c>
      <c r="F906">
        <f t="shared" si="34"/>
        <v>-1.6168563075509599E-2</v>
      </c>
      <c r="G906">
        <f t="shared" si="35"/>
        <v>-2.8698717975419022E-2</v>
      </c>
    </row>
    <row r="907" spans="1:7" x14ac:dyDescent="0.35">
      <c r="A907" t="s">
        <v>58</v>
      </c>
      <c r="E907">
        <v>-1.110261099420885E-2</v>
      </c>
      <c r="F907">
        <f t="shared" si="34"/>
        <v>-1.6169042702996368E-2</v>
      </c>
      <c r="G907">
        <f t="shared" si="35"/>
        <v>-2.8698717975419022E-2</v>
      </c>
    </row>
    <row r="908" spans="1:7" x14ac:dyDescent="0.35">
      <c r="A908" t="s">
        <v>58</v>
      </c>
      <c r="E908">
        <v>-4.9528417033794193E-3</v>
      </c>
      <c r="F908">
        <f t="shared" si="34"/>
        <v>-1.6169522330483136E-2</v>
      </c>
      <c r="G908">
        <f t="shared" si="35"/>
        <v>-2.8698717975419022E-2</v>
      </c>
    </row>
    <row r="909" spans="1:7" x14ac:dyDescent="0.35">
      <c r="A909" t="s">
        <v>58</v>
      </c>
      <c r="E909">
        <v>-6.3992274725741252E-3</v>
      </c>
      <c r="F909">
        <f t="shared" si="34"/>
        <v>-1.6170001957969905E-2</v>
      </c>
      <c r="G909">
        <f t="shared" si="35"/>
        <v>-2.8698717975419022E-2</v>
      </c>
    </row>
    <row r="910" spans="1:7" x14ac:dyDescent="0.35">
      <c r="A910" t="s">
        <v>58</v>
      </c>
      <c r="E910">
        <v>-5.3606781169011682E-3</v>
      </c>
      <c r="F910">
        <f t="shared" si="34"/>
        <v>-1.617048158545667E-2</v>
      </c>
      <c r="G910">
        <f t="shared" si="35"/>
        <v>-2.8698717975419022E-2</v>
      </c>
    </row>
    <row r="911" spans="1:7" x14ac:dyDescent="0.35">
      <c r="A911" t="s">
        <v>58</v>
      </c>
      <c r="E911">
        <v>3.4043311582699475E-3</v>
      </c>
      <c r="F911">
        <f t="shared" si="34"/>
        <v>-1.6170961212943438E-2</v>
      </c>
      <c r="G911">
        <f t="shared" si="35"/>
        <v>-2.8698717975419022E-2</v>
      </c>
    </row>
    <row r="912" spans="1:7" x14ac:dyDescent="0.35">
      <c r="A912" t="s">
        <v>58</v>
      </c>
      <c r="E912">
        <v>3.538901620409735E-3</v>
      </c>
      <c r="F912">
        <f t="shared" si="34"/>
        <v>-1.6171440840430207E-2</v>
      </c>
      <c r="G912">
        <f t="shared" si="35"/>
        <v>-2.8698717975419022E-2</v>
      </c>
    </row>
    <row r="913" spans="1:7" x14ac:dyDescent="0.35">
      <c r="A913" t="s">
        <v>58</v>
      </c>
      <c r="E913">
        <v>-9.9747216461053816E-3</v>
      </c>
      <c r="F913">
        <f t="shared" si="34"/>
        <v>-1.6171920467916975E-2</v>
      </c>
      <c r="G913">
        <f t="shared" si="35"/>
        <v>-2.8698717975419022E-2</v>
      </c>
    </row>
    <row r="914" spans="1:7" x14ac:dyDescent="0.35">
      <c r="A914" t="s">
        <v>58</v>
      </c>
      <c r="E914">
        <v>1.3910738749676437E-3</v>
      </c>
      <c r="F914">
        <f t="shared" si="34"/>
        <v>-1.617240009540374E-2</v>
      </c>
      <c r="G914">
        <f t="shared" si="35"/>
        <v>-2.8698717975419022E-2</v>
      </c>
    </row>
    <row r="915" spans="1:7" x14ac:dyDescent="0.35">
      <c r="A915" t="s">
        <v>58</v>
      </c>
      <c r="E915">
        <v>1.3530377418174328E-2</v>
      </c>
      <c r="F915">
        <f t="shared" si="34"/>
        <v>-1.6172879722890509E-2</v>
      </c>
      <c r="G915">
        <f t="shared" si="35"/>
        <v>-2.8698717975419022E-2</v>
      </c>
    </row>
    <row r="916" spans="1:7" x14ac:dyDescent="0.35">
      <c r="A916" t="s">
        <v>58</v>
      </c>
      <c r="E916">
        <v>-9.3789523635520924E-3</v>
      </c>
      <c r="F916">
        <f t="shared" si="34"/>
        <v>-1.6173359350377278E-2</v>
      </c>
      <c r="G916">
        <f t="shared" si="35"/>
        <v>-2.8698717975419022E-2</v>
      </c>
    </row>
    <row r="917" spans="1:7" x14ac:dyDescent="0.35">
      <c r="A917" t="s">
        <v>59</v>
      </c>
      <c r="B917" s="3" cm="1">
        <f t="array" ref="B917">_xlfn.STDEV.S(_xlfn._xlws.FILTER($E$2:$E$1000, $A$2:$A$1000="2013-09"))</f>
        <v>6.603814880940982E-3</v>
      </c>
      <c r="C917" s="3" cm="1">
        <f t="array" ref="C917">AVERAGE(_xlfn._xlws.FILTER($E$2:$E$1000, $A$2:$A$1000="2013-09"))</f>
        <v>1.3237794922788672E-3</v>
      </c>
      <c r="D917" s="3" cm="1">
        <f t="array" ref="D917">_xlfn.PERCENTILE.EXC(_xlfn._xlws.FILTER($E$751:$E$999, $A$751:$A$999="2013-09"), 0.05)</f>
        <v>-9.1959156172364172E-3</v>
      </c>
      <c r="E917">
        <v>1.8731352525684065E-2</v>
      </c>
      <c r="F917">
        <f t="shared" si="34"/>
        <v>-1.6173838977864046E-2</v>
      </c>
      <c r="G917">
        <f t="shared" si="35"/>
        <v>-2.8698717975419022E-2</v>
      </c>
    </row>
    <row r="918" spans="1:7" x14ac:dyDescent="0.35">
      <c r="A918" t="s">
        <v>59</v>
      </c>
      <c r="E918">
        <v>-3.0379558965935366E-3</v>
      </c>
      <c r="F918">
        <f t="shared" si="34"/>
        <v>-1.6174318605350815E-2</v>
      </c>
      <c r="G918">
        <f t="shared" si="35"/>
        <v>-2.8698717975419022E-2</v>
      </c>
    </row>
    <row r="919" spans="1:7" x14ac:dyDescent="0.35">
      <c r="A919" t="s">
        <v>59</v>
      </c>
      <c r="E919">
        <v>3.2933022208356645E-3</v>
      </c>
      <c r="F919">
        <f t="shared" si="34"/>
        <v>-1.617479823283758E-2</v>
      </c>
      <c r="G919">
        <f t="shared" si="35"/>
        <v>-2.8698717975419022E-2</v>
      </c>
    </row>
    <row r="920" spans="1:7" x14ac:dyDescent="0.35">
      <c r="A920" t="s">
        <v>59</v>
      </c>
      <c r="E920">
        <v>1.2985626431968215E-2</v>
      </c>
      <c r="F920">
        <f t="shared" si="34"/>
        <v>-1.6175277860324348E-2</v>
      </c>
      <c r="G920">
        <f t="shared" si="35"/>
        <v>-2.8698717975419022E-2</v>
      </c>
    </row>
    <row r="921" spans="1:7" x14ac:dyDescent="0.35">
      <c r="A921" t="s">
        <v>59</v>
      </c>
      <c r="E921">
        <v>1.447862296089492E-3</v>
      </c>
      <c r="F921">
        <f t="shared" si="34"/>
        <v>-1.6177704096950702E-2</v>
      </c>
      <c r="G921">
        <f t="shared" si="35"/>
        <v>-2.8785686309551625E-2</v>
      </c>
    </row>
    <row r="922" spans="1:7" x14ac:dyDescent="0.35">
      <c r="A922" t="s">
        <v>59</v>
      </c>
      <c r="E922">
        <v>-4.6734395295478298E-3</v>
      </c>
      <c r="F922">
        <f t="shared" si="34"/>
        <v>-1.6180130333577059E-2</v>
      </c>
      <c r="G922">
        <f t="shared" si="35"/>
        <v>-2.8785686309551625E-2</v>
      </c>
    </row>
    <row r="923" spans="1:7" x14ac:dyDescent="0.35">
      <c r="A923" t="s">
        <v>59</v>
      </c>
      <c r="E923">
        <v>9.6239980981495214E-3</v>
      </c>
      <c r="F923">
        <f t="shared" si="34"/>
        <v>-1.6182556570203416E-2</v>
      </c>
      <c r="G923">
        <f t="shared" si="35"/>
        <v>-2.8785686309551625E-2</v>
      </c>
    </row>
    <row r="924" spans="1:7" x14ac:dyDescent="0.35">
      <c r="A924" t="s">
        <v>59</v>
      </c>
      <c r="E924">
        <v>2.7227575919161161E-3</v>
      </c>
      <c r="F924">
        <f t="shared" si="34"/>
        <v>-1.618498280682977E-2</v>
      </c>
      <c r="G924">
        <f t="shared" si="35"/>
        <v>-2.8785686309551625E-2</v>
      </c>
    </row>
    <row r="925" spans="1:7" x14ac:dyDescent="0.35">
      <c r="A925" t="s">
        <v>59</v>
      </c>
      <c r="E925">
        <v>-6.0482301989179925E-4</v>
      </c>
      <c r="F925">
        <f t="shared" si="34"/>
        <v>-1.6187409043456127E-2</v>
      </c>
      <c r="G925">
        <f t="shared" si="35"/>
        <v>-2.8785686309551625E-2</v>
      </c>
    </row>
    <row r="926" spans="1:7" x14ac:dyDescent="0.35">
      <c r="A926" t="s">
        <v>59</v>
      </c>
      <c r="E926">
        <v>4.2137336820015697E-3</v>
      </c>
      <c r="F926">
        <f t="shared" si="34"/>
        <v>-1.6189835280082481E-2</v>
      </c>
      <c r="G926">
        <f t="shared" si="35"/>
        <v>-2.8785686309551625E-2</v>
      </c>
    </row>
    <row r="927" spans="1:7" x14ac:dyDescent="0.35">
      <c r="A927" t="s">
        <v>59</v>
      </c>
      <c r="E927">
        <v>5.2433705191472597E-3</v>
      </c>
      <c r="F927">
        <f t="shared" si="34"/>
        <v>-1.6192261516708838E-2</v>
      </c>
      <c r="G927">
        <f t="shared" si="35"/>
        <v>-2.8785686309551625E-2</v>
      </c>
    </row>
    <row r="928" spans="1:7" x14ac:dyDescent="0.35">
      <c r="A928" t="s">
        <v>59</v>
      </c>
      <c r="E928">
        <v>-9.5005827596453367E-3</v>
      </c>
      <c r="F928">
        <f t="shared" si="34"/>
        <v>-1.6194687753335196E-2</v>
      </c>
      <c r="G928">
        <f t="shared" si="35"/>
        <v>-2.8785686309551625E-2</v>
      </c>
    </row>
    <row r="929" spans="1:7" x14ac:dyDescent="0.35">
      <c r="A929" t="s">
        <v>59</v>
      </c>
      <c r="E929">
        <v>1.6852688223470838E-3</v>
      </c>
      <c r="F929">
        <f t="shared" si="34"/>
        <v>-1.6197113989961549E-2</v>
      </c>
      <c r="G929">
        <f t="shared" si="35"/>
        <v>-2.8785686309551625E-2</v>
      </c>
    </row>
    <row r="930" spans="1:7" x14ac:dyDescent="0.35">
      <c r="A930" t="s">
        <v>59</v>
      </c>
      <c r="E930">
        <v>2.4761844645492296E-3</v>
      </c>
      <c r="F930">
        <f t="shared" si="34"/>
        <v>-1.6199540226587907E-2</v>
      </c>
      <c r="G930">
        <f t="shared" si="35"/>
        <v>-2.8785686309551625E-2</v>
      </c>
    </row>
    <row r="931" spans="1:7" x14ac:dyDescent="0.35">
      <c r="A931" t="s">
        <v>59</v>
      </c>
      <c r="E931">
        <v>-6.4539113355561433E-3</v>
      </c>
      <c r="F931">
        <f t="shared" si="34"/>
        <v>-1.620196646321426E-2</v>
      </c>
      <c r="G931">
        <f t="shared" si="35"/>
        <v>-2.8785686309551625E-2</v>
      </c>
    </row>
    <row r="932" spans="1:7" x14ac:dyDescent="0.35">
      <c r="A932" t="s">
        <v>59</v>
      </c>
      <c r="E932">
        <v>-2.0585831851362194E-3</v>
      </c>
      <c r="F932">
        <f t="shared" si="34"/>
        <v>-1.6204392699840618E-2</v>
      </c>
      <c r="G932">
        <f t="shared" si="35"/>
        <v>-2.8785686309551625E-2</v>
      </c>
    </row>
    <row r="933" spans="1:7" x14ac:dyDescent="0.35">
      <c r="A933" t="s">
        <v>59</v>
      </c>
      <c r="E933">
        <v>3.4546152910309443E-4</v>
      </c>
      <c r="F933">
        <f t="shared" si="34"/>
        <v>-1.6206818936466975E-2</v>
      </c>
      <c r="G933">
        <f t="shared" si="35"/>
        <v>-2.8785686309551625E-2</v>
      </c>
    </row>
    <row r="934" spans="1:7" x14ac:dyDescent="0.35">
      <c r="A934" t="s">
        <v>59</v>
      </c>
      <c r="E934">
        <v>-1.1400524622647433E-3</v>
      </c>
      <c r="F934">
        <f t="shared" si="34"/>
        <v>-1.6209245173093328E-2</v>
      </c>
      <c r="G934">
        <f t="shared" si="35"/>
        <v>-2.8785686309551625E-2</v>
      </c>
    </row>
    <row r="935" spans="1:7" x14ac:dyDescent="0.35">
      <c r="A935" t="s">
        <v>59</v>
      </c>
      <c r="E935">
        <v>2.291842285709582E-3</v>
      </c>
      <c r="F935">
        <f t="shared" si="34"/>
        <v>-1.6211671409719686E-2</v>
      </c>
      <c r="G935">
        <f t="shared" si="35"/>
        <v>-2.8785686309551625E-2</v>
      </c>
    </row>
    <row r="936" spans="1:7" x14ac:dyDescent="0.35">
      <c r="A936" t="s">
        <v>59</v>
      </c>
      <c r="E936">
        <v>-5.1400543458414482E-3</v>
      </c>
      <c r="F936">
        <f t="shared" si="34"/>
        <v>-1.6214097646346039E-2</v>
      </c>
      <c r="G936">
        <f t="shared" si="35"/>
        <v>-2.8785686309551625E-2</v>
      </c>
    </row>
    <row r="937" spans="1:7" x14ac:dyDescent="0.35">
      <c r="A937" t="s">
        <v>59</v>
      </c>
      <c r="E937">
        <v>-4.6519885951676115E-3</v>
      </c>
      <c r="F937">
        <f t="shared" si="34"/>
        <v>-1.6216523882972397E-2</v>
      </c>
      <c r="G937">
        <f t="shared" si="35"/>
        <v>-2.8785686309551625E-2</v>
      </c>
    </row>
    <row r="938" spans="1:7" x14ac:dyDescent="0.35">
      <c r="A938" t="s">
        <v>60</v>
      </c>
      <c r="B938" s="3" cm="1">
        <f t="array" ref="B938">_xlfn.STDEV.S(_xlfn._xlws.FILTER($E$2:$E$1000, $A$2:$A$1000="2013-10"))</f>
        <v>6.190892643247699E-3</v>
      </c>
      <c r="C938" s="3" cm="1">
        <f t="array" ref="C938">AVERAGE(_xlfn._xlws.FILTER($E$2:$E$1000, $A$2:$A$1000="2013-10"))</f>
        <v>1.2005054079469244E-3</v>
      </c>
      <c r="D938" s="3" cm="1">
        <f t="array" ref="D938">_xlfn.PERCENTILE.EXC(_xlfn._xlws.FILTER($E$751:$E$999, $A$751:$A$999="2013-10"), 0.05)</f>
        <v>-1.1375394434164163E-2</v>
      </c>
      <c r="E938">
        <v>1.2131386697661359E-3</v>
      </c>
      <c r="F938">
        <f t="shared" si="34"/>
        <v>-1.6218950119598754E-2</v>
      </c>
      <c r="G938">
        <f t="shared" si="35"/>
        <v>-2.8785686309551625E-2</v>
      </c>
    </row>
    <row r="939" spans="1:7" x14ac:dyDescent="0.35">
      <c r="A939" t="s">
        <v>60</v>
      </c>
      <c r="E939">
        <v>-6.5977062160036759E-3</v>
      </c>
      <c r="F939">
        <f t="shared" si="34"/>
        <v>-1.6221376356225108E-2</v>
      </c>
      <c r="G939">
        <f t="shared" si="35"/>
        <v>-2.8785686309551625E-2</v>
      </c>
    </row>
    <row r="940" spans="1:7" x14ac:dyDescent="0.35">
      <c r="A940" t="s">
        <v>60</v>
      </c>
      <c r="E940">
        <v>-4.4339843787195065E-3</v>
      </c>
      <c r="F940">
        <f t="shared" si="34"/>
        <v>-1.6223802592851465E-2</v>
      </c>
      <c r="G940">
        <f t="shared" si="35"/>
        <v>-2.8785686309551625E-2</v>
      </c>
    </row>
    <row r="941" spans="1:7" x14ac:dyDescent="0.35">
      <c r="A941" t="s">
        <v>60</v>
      </c>
      <c r="E941">
        <v>-2.1487621528588309E-3</v>
      </c>
      <c r="F941">
        <f t="shared" si="34"/>
        <v>-1.6229364521550608E-2</v>
      </c>
      <c r="G941">
        <f t="shared" si="35"/>
        <v>-2.8873531650227848E-2</v>
      </c>
    </row>
    <row r="942" spans="1:7" x14ac:dyDescent="0.35">
      <c r="A942" t="s">
        <v>60</v>
      </c>
      <c r="E942">
        <v>-5.3653742228370975E-4</v>
      </c>
      <c r="F942">
        <f t="shared" si="34"/>
        <v>-1.6234926450249751E-2</v>
      </c>
      <c r="G942">
        <f t="shared" si="35"/>
        <v>-2.8873531650227848E-2</v>
      </c>
    </row>
    <row r="943" spans="1:7" x14ac:dyDescent="0.35">
      <c r="A943" t="s">
        <v>60</v>
      </c>
      <c r="E943">
        <v>-1.220671544618564E-2</v>
      </c>
      <c r="F943">
        <f t="shared" si="34"/>
        <v>-1.6240488378948894E-2</v>
      </c>
      <c r="G943">
        <f t="shared" si="35"/>
        <v>-2.8873531650227848E-2</v>
      </c>
    </row>
    <row r="944" spans="1:7" x14ac:dyDescent="0.35">
      <c r="A944" t="s">
        <v>60</v>
      </c>
      <c r="E944">
        <v>-8.0501103860782606E-3</v>
      </c>
      <c r="F944">
        <f t="shared" si="34"/>
        <v>-1.6246050307648037E-2</v>
      </c>
      <c r="G944">
        <f t="shared" si="35"/>
        <v>-2.8873531650227848E-2</v>
      </c>
    </row>
    <row r="945" spans="1:7" x14ac:dyDescent="0.35">
      <c r="A945" t="s">
        <v>60</v>
      </c>
      <c r="E945">
        <v>1.4753456201904876E-2</v>
      </c>
      <c r="F945">
        <f t="shared" si="34"/>
        <v>-1.625161223634718E-2</v>
      </c>
      <c r="G945">
        <f t="shared" si="35"/>
        <v>-2.8873531650227848E-2</v>
      </c>
    </row>
    <row r="946" spans="1:7" x14ac:dyDescent="0.35">
      <c r="A946" t="s">
        <v>60</v>
      </c>
      <c r="E946">
        <v>5.954853830617314E-3</v>
      </c>
      <c r="F946">
        <f t="shared" si="34"/>
        <v>-1.6257174165046323E-2</v>
      </c>
      <c r="G946">
        <f t="shared" si="35"/>
        <v>-2.8873531650227848E-2</v>
      </c>
    </row>
    <row r="947" spans="1:7" x14ac:dyDescent="0.35">
      <c r="A947" t="s">
        <v>60</v>
      </c>
      <c r="E947">
        <v>3.9900280690355443E-3</v>
      </c>
      <c r="F947">
        <f t="shared" si="34"/>
        <v>-1.6262736093745466E-2</v>
      </c>
      <c r="G947">
        <f t="shared" si="35"/>
        <v>-2.8873531650227848E-2</v>
      </c>
    </row>
    <row r="948" spans="1:7" x14ac:dyDescent="0.35">
      <c r="A948" t="s">
        <v>60</v>
      </c>
      <c r="E948">
        <v>1.0798901440981485E-2</v>
      </c>
      <c r="F948">
        <f t="shared" si="34"/>
        <v>-1.6268298022444613E-2</v>
      </c>
      <c r="G948">
        <f t="shared" si="35"/>
        <v>-2.8873531650227848E-2</v>
      </c>
    </row>
    <row r="949" spans="1:7" x14ac:dyDescent="0.35">
      <c r="A949" t="s">
        <v>60</v>
      </c>
      <c r="E949">
        <v>-6.5997227102397864E-4</v>
      </c>
      <c r="F949">
        <f t="shared" si="34"/>
        <v>-1.6273859951143752E-2</v>
      </c>
      <c r="G949">
        <f t="shared" si="35"/>
        <v>-2.8873531650227848E-2</v>
      </c>
    </row>
    <row r="950" spans="1:7" x14ac:dyDescent="0.35">
      <c r="A950" t="s">
        <v>60</v>
      </c>
      <c r="E950">
        <v>4.4062040994506191E-3</v>
      </c>
      <c r="F950">
        <f t="shared" si="34"/>
        <v>-1.6279421879842895E-2</v>
      </c>
      <c r="G950">
        <f t="shared" si="35"/>
        <v>-2.8873531650227848E-2</v>
      </c>
    </row>
    <row r="951" spans="1:7" x14ac:dyDescent="0.35">
      <c r="A951" t="s">
        <v>60</v>
      </c>
      <c r="E951">
        <v>5.5209887705879599E-3</v>
      </c>
      <c r="F951">
        <f t="shared" si="34"/>
        <v>-1.6284983808542038E-2</v>
      </c>
      <c r="G951">
        <f t="shared" si="35"/>
        <v>-2.8873531650227848E-2</v>
      </c>
    </row>
    <row r="952" spans="1:7" x14ac:dyDescent="0.35">
      <c r="A952" t="s">
        <v>60</v>
      </c>
      <c r="E952">
        <v>4.5092366246555632E-3</v>
      </c>
      <c r="F952">
        <f t="shared" si="34"/>
        <v>-1.6290545737241181E-2</v>
      </c>
      <c r="G952">
        <f t="shared" si="35"/>
        <v>-2.8873531650227848E-2</v>
      </c>
    </row>
    <row r="953" spans="1:7" x14ac:dyDescent="0.35">
      <c r="A953" t="s">
        <v>60</v>
      </c>
      <c r="E953">
        <v>3.7468801219066789E-3</v>
      </c>
      <c r="F953">
        <f t="shared" si="34"/>
        <v>-1.6296107665940328E-2</v>
      </c>
      <c r="G953">
        <f t="shared" si="35"/>
        <v>-2.8873531650227848E-2</v>
      </c>
    </row>
    <row r="954" spans="1:7" x14ac:dyDescent="0.35">
      <c r="A954" t="s">
        <v>60</v>
      </c>
      <c r="E954">
        <v>-7.3238047313320589E-3</v>
      </c>
      <c r="F954">
        <f t="shared" si="34"/>
        <v>-1.6301669594639467E-2</v>
      </c>
      <c r="G954">
        <f t="shared" si="35"/>
        <v>-2.8873531650227848E-2</v>
      </c>
    </row>
    <row r="955" spans="1:7" x14ac:dyDescent="0.35">
      <c r="A955" t="s">
        <v>60</v>
      </c>
      <c r="E955">
        <v>5.9916850441385453E-3</v>
      </c>
      <c r="F955">
        <f t="shared" si="34"/>
        <v>-1.6307231523338614E-2</v>
      </c>
      <c r="G955">
        <f t="shared" si="35"/>
        <v>-2.8873531650227848E-2</v>
      </c>
    </row>
    <row r="956" spans="1:7" x14ac:dyDescent="0.35">
      <c r="A956" t="s">
        <v>60</v>
      </c>
      <c r="E956">
        <v>-1.1077162156147357E-4</v>
      </c>
      <c r="F956">
        <f t="shared" si="34"/>
        <v>-1.6312793452037753E-2</v>
      </c>
      <c r="G956">
        <f t="shared" si="35"/>
        <v>-2.8873531650227848E-2</v>
      </c>
    </row>
    <row r="957" spans="1:7" x14ac:dyDescent="0.35">
      <c r="A957" t="s">
        <v>60</v>
      </c>
      <c r="E957">
        <v>-1.5789273468877089E-4</v>
      </c>
      <c r="F957">
        <f t="shared" si="34"/>
        <v>-1.63183553807369E-2</v>
      </c>
      <c r="G957">
        <f t="shared" si="35"/>
        <v>-2.8873531650227848E-2</v>
      </c>
    </row>
    <row r="958" spans="1:7" x14ac:dyDescent="0.35">
      <c r="A958" t="s">
        <v>60</v>
      </c>
      <c r="E958">
        <v>3.1892052996260111E-3</v>
      </c>
      <c r="F958">
        <f t="shared" si="34"/>
        <v>-1.6323917309436043E-2</v>
      </c>
      <c r="G958">
        <f t="shared" si="35"/>
        <v>-2.8873531650227848E-2</v>
      </c>
    </row>
    <row r="959" spans="1:7" x14ac:dyDescent="0.35">
      <c r="A959" t="s">
        <v>60</v>
      </c>
      <c r="E959">
        <v>1.1137857914526278E-3</v>
      </c>
      <c r="F959">
        <f t="shared" si="34"/>
        <v>-1.6329479238135186E-2</v>
      </c>
      <c r="G959">
        <f t="shared" si="35"/>
        <v>-2.8873531650227848E-2</v>
      </c>
    </row>
    <row r="960" spans="1:7" x14ac:dyDescent="0.35">
      <c r="A960" t="s">
        <v>60</v>
      </c>
      <c r="E960">
        <v>4.6495177793918034E-3</v>
      </c>
      <c r="F960">
        <f t="shared" si="34"/>
        <v>-1.6335041166834329E-2</v>
      </c>
      <c r="G960">
        <f t="shared" si="35"/>
        <v>-2.8873531650227848E-2</v>
      </c>
    </row>
    <row r="961" spans="1:7" x14ac:dyDescent="0.35">
      <c r="A961" t="s">
        <v>61</v>
      </c>
      <c r="B961" s="3" cm="1">
        <f t="array" ref="B961">_xlfn.STDEV.S(_xlfn._xlws.FILTER($E$2:$E$1000, $A$2:$A$1000="2013-11"))</f>
        <v>4.8512345609946252E-3</v>
      </c>
      <c r="C961" s="3" cm="1">
        <f t="array" ref="C961">AVERAGE(_xlfn._xlws.FILTER($E$2:$E$1000, $A$2:$A$1000="2013-11"))</f>
        <v>3.8389490517522516E-4</v>
      </c>
      <c r="D961" s="3" cm="1">
        <f t="array" ref="D961">_xlfn.PERCENTILE.EXC(_xlfn._xlws.FILTER($E$751:$E$999, $A$751:$A$999="2013-11"), 0.05)</f>
        <v>-9.2566321571718232E-3</v>
      </c>
      <c r="E961">
        <v>3.6455508597306783E-5</v>
      </c>
      <c r="F961">
        <f t="shared" si="34"/>
        <v>-1.6335187045226202E-2</v>
      </c>
      <c r="G961">
        <f t="shared" si="35"/>
        <v>-2.8961830878984143E-2</v>
      </c>
    </row>
    <row r="962" spans="1:7" x14ac:dyDescent="0.35">
      <c r="A962" t="s">
        <v>61</v>
      </c>
      <c r="E962">
        <v>4.9766536919059164E-3</v>
      </c>
      <c r="F962">
        <f t="shared" si="34"/>
        <v>-1.6335332923618075E-2</v>
      </c>
      <c r="G962">
        <f t="shared" si="35"/>
        <v>-2.8961830878984143E-2</v>
      </c>
    </row>
    <row r="963" spans="1:7" x14ac:dyDescent="0.35">
      <c r="A963" t="s">
        <v>61</v>
      </c>
      <c r="E963">
        <v>5.819362185867441E-3</v>
      </c>
      <c r="F963">
        <f t="shared" si="34"/>
        <v>-1.6335478802009949E-2</v>
      </c>
      <c r="G963">
        <f t="shared" si="35"/>
        <v>-2.8961830878984143E-2</v>
      </c>
    </row>
    <row r="964" spans="1:7" x14ac:dyDescent="0.35">
      <c r="A964" t="s">
        <v>61</v>
      </c>
      <c r="E964">
        <v>-1.624437854224842E-3</v>
      </c>
      <c r="F964">
        <f t="shared" ref="F964:F1027" si="36">_xlfn.PERCENTILE.EXC(E964:E4779,0.05)</f>
        <v>-1.6335624680401822E-2</v>
      </c>
      <c r="G964">
        <f t="shared" ref="G964:G1027" si="37">AVERAGEIFS(E964:E4780,E964:E4780,"&lt;=" &amp; F964)</f>
        <v>-2.8961830878984143E-2</v>
      </c>
    </row>
    <row r="965" spans="1:7" x14ac:dyDescent="0.35">
      <c r="A965" t="s">
        <v>61</v>
      </c>
      <c r="E965">
        <v>1.8082876110227354E-3</v>
      </c>
      <c r="F965">
        <f t="shared" si="36"/>
        <v>-1.6335770558793695E-2</v>
      </c>
      <c r="G965">
        <f t="shared" si="37"/>
        <v>-2.8961830878984143E-2</v>
      </c>
    </row>
    <row r="966" spans="1:7" x14ac:dyDescent="0.35">
      <c r="A966" t="s">
        <v>61</v>
      </c>
      <c r="E966">
        <v>-2.2814029559780366E-4</v>
      </c>
      <c r="F966">
        <f t="shared" si="36"/>
        <v>-1.6335916437185568E-2</v>
      </c>
      <c r="G966">
        <f t="shared" si="37"/>
        <v>-2.8961830878984143E-2</v>
      </c>
    </row>
    <row r="967" spans="1:7" x14ac:dyDescent="0.35">
      <c r="A967" t="s">
        <v>61</v>
      </c>
      <c r="E967">
        <v>-1.2835467422236328E-3</v>
      </c>
      <c r="F967">
        <f t="shared" si="36"/>
        <v>-1.6336062315577441E-2</v>
      </c>
      <c r="G967">
        <f t="shared" si="37"/>
        <v>-2.8961830878984143E-2</v>
      </c>
    </row>
    <row r="968" spans="1:7" x14ac:dyDescent="0.35">
      <c r="A968" t="s">
        <v>61</v>
      </c>
      <c r="E968">
        <v>-7.0911408842687651E-3</v>
      </c>
      <c r="F968">
        <f t="shared" si="36"/>
        <v>-1.6336208193969314E-2</v>
      </c>
      <c r="G968">
        <f t="shared" si="37"/>
        <v>-2.8961830878984143E-2</v>
      </c>
    </row>
    <row r="969" spans="1:7" x14ac:dyDescent="0.35">
      <c r="A969" t="s">
        <v>61</v>
      </c>
      <c r="E969">
        <v>-8.4976408001979399E-3</v>
      </c>
      <c r="F969">
        <f t="shared" si="36"/>
        <v>-1.6336354072361187E-2</v>
      </c>
      <c r="G969">
        <f t="shared" si="37"/>
        <v>-2.8961830878984143E-2</v>
      </c>
    </row>
    <row r="970" spans="1:7" x14ac:dyDescent="0.35">
      <c r="A970" t="s">
        <v>61</v>
      </c>
      <c r="E970">
        <v>6.9640815630713365E-3</v>
      </c>
      <c r="F970">
        <f t="shared" si="36"/>
        <v>-1.6336499950753057E-2</v>
      </c>
      <c r="G970">
        <f t="shared" si="37"/>
        <v>-2.8961830878984143E-2</v>
      </c>
    </row>
    <row r="971" spans="1:7" x14ac:dyDescent="0.35">
      <c r="A971" t="s">
        <v>61</v>
      </c>
      <c r="E971">
        <v>5.4098163943965168E-3</v>
      </c>
      <c r="F971">
        <f t="shared" si="36"/>
        <v>-1.633664582914493E-2</v>
      </c>
      <c r="G971">
        <f t="shared" si="37"/>
        <v>-2.8961830878984143E-2</v>
      </c>
    </row>
    <row r="972" spans="1:7" x14ac:dyDescent="0.35">
      <c r="A972" t="s">
        <v>61</v>
      </c>
      <c r="E972">
        <v>2.4120426385972455E-3</v>
      </c>
      <c r="F972">
        <f t="shared" si="36"/>
        <v>-1.6336791707536803E-2</v>
      </c>
      <c r="G972">
        <f t="shared" si="37"/>
        <v>-2.8961830878984143E-2</v>
      </c>
    </row>
    <row r="973" spans="1:7" x14ac:dyDescent="0.35">
      <c r="A973" t="s">
        <v>61</v>
      </c>
      <c r="E973">
        <v>-4.621825306228078E-3</v>
      </c>
      <c r="F973">
        <f t="shared" si="36"/>
        <v>-1.6336937585928676E-2</v>
      </c>
      <c r="G973">
        <f t="shared" si="37"/>
        <v>-2.8961830878984143E-2</v>
      </c>
    </row>
    <row r="974" spans="1:7" x14ac:dyDescent="0.35">
      <c r="A974" t="s">
        <v>61</v>
      </c>
      <c r="E974">
        <v>5.2191467901504269E-3</v>
      </c>
      <c r="F974">
        <f t="shared" si="36"/>
        <v>-1.633708346432055E-2</v>
      </c>
      <c r="G974">
        <f t="shared" si="37"/>
        <v>-2.8961830878984143E-2</v>
      </c>
    </row>
    <row r="975" spans="1:7" x14ac:dyDescent="0.35">
      <c r="A975" t="s">
        <v>61</v>
      </c>
      <c r="E975">
        <v>3.464852881592276E-4</v>
      </c>
      <c r="F975">
        <f t="shared" si="36"/>
        <v>-1.6337229342712423E-2</v>
      </c>
      <c r="G975">
        <f t="shared" si="37"/>
        <v>-2.8961830878984143E-2</v>
      </c>
    </row>
    <row r="976" spans="1:7" x14ac:dyDescent="0.35">
      <c r="A976" t="s">
        <v>61</v>
      </c>
      <c r="E976">
        <v>-4.0749263566834931E-3</v>
      </c>
      <c r="F976">
        <f t="shared" si="36"/>
        <v>-1.6337375221104296E-2</v>
      </c>
      <c r="G976">
        <f t="shared" si="37"/>
        <v>-2.8961830878984143E-2</v>
      </c>
    </row>
    <row r="977" spans="1:7" x14ac:dyDescent="0.35">
      <c r="A977" t="s">
        <v>61</v>
      </c>
      <c r="E977">
        <v>1.2410682819346071E-3</v>
      </c>
      <c r="F977">
        <f t="shared" si="36"/>
        <v>-1.6337521099496169E-2</v>
      </c>
      <c r="G977">
        <f t="shared" si="37"/>
        <v>-2.8961830878984143E-2</v>
      </c>
    </row>
    <row r="978" spans="1:7" x14ac:dyDescent="0.35">
      <c r="A978" t="s">
        <v>61</v>
      </c>
      <c r="E978">
        <v>-9.3409645301689211E-3</v>
      </c>
      <c r="F978">
        <f t="shared" si="36"/>
        <v>-1.6337666977888042E-2</v>
      </c>
      <c r="G978">
        <f t="shared" si="37"/>
        <v>-2.8961830878984143E-2</v>
      </c>
    </row>
    <row r="979" spans="1:7" x14ac:dyDescent="0.35">
      <c r="A979" t="s">
        <v>61</v>
      </c>
      <c r="E979">
        <v>6.0882453597524673E-3</v>
      </c>
      <c r="F979">
        <f t="shared" si="36"/>
        <v>-1.6337812856279915E-2</v>
      </c>
      <c r="G979">
        <f t="shared" si="37"/>
        <v>-2.8961830878984143E-2</v>
      </c>
    </row>
    <row r="980" spans="1:7" x14ac:dyDescent="0.35">
      <c r="A980" t="s">
        <v>61</v>
      </c>
      <c r="E980">
        <v>2.5180336770988516E-3</v>
      </c>
      <c r="F980">
        <f t="shared" si="36"/>
        <v>-1.6337958734671788E-2</v>
      </c>
      <c r="G980">
        <f t="shared" si="37"/>
        <v>-2.8961830878984143E-2</v>
      </c>
    </row>
    <row r="981" spans="1:7" x14ac:dyDescent="0.35">
      <c r="A981" t="s">
        <v>61</v>
      </c>
      <c r="E981">
        <v>1.9847367877191243E-3</v>
      </c>
      <c r="F981">
        <f t="shared" si="36"/>
        <v>-1.635359939195841E-2</v>
      </c>
      <c r="G981">
        <f t="shared" si="37"/>
        <v>-2.9051361887099832E-2</v>
      </c>
    </row>
    <row r="982" spans="1:7" x14ac:dyDescent="0.35">
      <c r="A982" t="s">
        <v>62</v>
      </c>
      <c r="B982" s="3" cm="1">
        <f t="array" ref="B982">_xlfn.STDEV.S(_xlfn._xlws.FILTER($E$2:$E$1000, $A$2:$A$1000="2013-12"))</f>
        <v>9.3695406377716315E-3</v>
      </c>
      <c r="C982" s="3" cm="1">
        <f t="array" ref="C982">AVERAGE(_xlfn._xlws.FILTER($E$2:$E$1000, $A$2:$A$1000="2013-12"))</f>
        <v>3.1552546352377306E-4</v>
      </c>
      <c r="D982" s="3" cm="1">
        <f t="array" ref="D982">_xlfn.PERCENTILE.INC(_xlfn._xlws.FILTER($E$751:$E$999, $A$751:$A$999="2013-12"), 0.05)</f>
        <v>-1.015811913424355E-2</v>
      </c>
      <c r="E982">
        <v>-6.0668707195311849E-3</v>
      </c>
      <c r="F982">
        <f t="shared" si="36"/>
        <v>-1.6369240049245042E-2</v>
      </c>
      <c r="G982">
        <f t="shared" si="37"/>
        <v>-2.9051361887099832E-2</v>
      </c>
    </row>
    <row r="983" spans="1:7" x14ac:dyDescent="0.35">
      <c r="A983" t="s">
        <v>62</v>
      </c>
      <c r="E983">
        <v>-1.007918735611087E-2</v>
      </c>
      <c r="F983">
        <f t="shared" si="36"/>
        <v>-1.6384880706531674E-2</v>
      </c>
      <c r="G983">
        <f t="shared" si="37"/>
        <v>-2.9051361887099832E-2</v>
      </c>
    </row>
    <row r="984" spans="1:7" x14ac:dyDescent="0.35">
      <c r="A984" t="s">
        <v>62</v>
      </c>
      <c r="E984">
        <v>-4.1615228035690307E-3</v>
      </c>
      <c r="F984">
        <f t="shared" si="36"/>
        <v>-1.6400521363818296E-2</v>
      </c>
      <c r="G984">
        <f t="shared" si="37"/>
        <v>-2.9051361887099832E-2</v>
      </c>
    </row>
    <row r="985" spans="1:7" x14ac:dyDescent="0.35">
      <c r="A985" t="s">
        <v>62</v>
      </c>
      <c r="E985">
        <v>-1.0605399210328742E-2</v>
      </c>
      <c r="F985">
        <f t="shared" si="36"/>
        <v>-1.6416162021104928E-2</v>
      </c>
      <c r="G985">
        <f t="shared" si="37"/>
        <v>-2.9051361887099832E-2</v>
      </c>
    </row>
    <row r="986" spans="1:7" x14ac:dyDescent="0.35">
      <c r="A986" t="s">
        <v>62</v>
      </c>
      <c r="E986">
        <v>6.6309794308694161E-3</v>
      </c>
      <c r="F986">
        <f t="shared" si="36"/>
        <v>-1.643180267839155E-2</v>
      </c>
      <c r="G986">
        <f t="shared" si="37"/>
        <v>-2.9051361887099832E-2</v>
      </c>
    </row>
    <row r="987" spans="1:7" x14ac:dyDescent="0.35">
      <c r="A987" t="s">
        <v>62</v>
      </c>
      <c r="E987">
        <v>3.1429080438764626E-3</v>
      </c>
      <c r="F987">
        <f t="shared" si="36"/>
        <v>-1.6447443335678182E-2</v>
      </c>
      <c r="G987">
        <f t="shared" si="37"/>
        <v>-2.9051361887099832E-2</v>
      </c>
    </row>
    <row r="988" spans="1:7" x14ac:dyDescent="0.35">
      <c r="A988" t="s">
        <v>62</v>
      </c>
      <c r="E988">
        <v>-7.1097610786267666E-3</v>
      </c>
      <c r="F988">
        <f t="shared" si="36"/>
        <v>-1.6463083992964814E-2</v>
      </c>
      <c r="G988">
        <f t="shared" si="37"/>
        <v>-2.9051361887099832E-2</v>
      </c>
    </row>
    <row r="989" spans="1:7" x14ac:dyDescent="0.35">
      <c r="A989" t="s">
        <v>62</v>
      </c>
      <c r="E989">
        <v>-7.4178149185472279E-3</v>
      </c>
      <c r="F989">
        <f t="shared" si="36"/>
        <v>-1.6478724650251436E-2</v>
      </c>
      <c r="G989">
        <f t="shared" si="37"/>
        <v>-2.9051361887099832E-2</v>
      </c>
    </row>
    <row r="990" spans="1:7" x14ac:dyDescent="0.35">
      <c r="A990" t="s">
        <v>62</v>
      </c>
      <c r="E990">
        <v>-9.1362923998615075E-3</v>
      </c>
      <c r="F990">
        <f t="shared" si="36"/>
        <v>-1.6494365307538068E-2</v>
      </c>
      <c r="G990">
        <f t="shared" si="37"/>
        <v>-2.9051361887099832E-2</v>
      </c>
    </row>
    <row r="991" spans="1:7" x14ac:dyDescent="0.35">
      <c r="A991" t="s">
        <v>62</v>
      </c>
      <c r="E991">
        <v>-1.3336482105718076E-3</v>
      </c>
      <c r="F991">
        <f t="shared" si="36"/>
        <v>-1.651000596482469E-2</v>
      </c>
      <c r="G991">
        <f t="shared" si="37"/>
        <v>-2.9051361887099832E-2</v>
      </c>
    </row>
    <row r="992" spans="1:7" x14ac:dyDescent="0.35">
      <c r="A992" t="s">
        <v>62</v>
      </c>
      <c r="E992">
        <v>1.1325330209619086E-2</v>
      </c>
      <c r="F992">
        <f t="shared" si="36"/>
        <v>-1.6525646622111319E-2</v>
      </c>
      <c r="G992">
        <f t="shared" si="37"/>
        <v>-2.9051361887099832E-2</v>
      </c>
    </row>
    <row r="993" spans="1:7" x14ac:dyDescent="0.35">
      <c r="A993" t="s">
        <v>62</v>
      </c>
      <c r="E993">
        <v>-8.8431971018329818E-3</v>
      </c>
      <c r="F993">
        <f t="shared" si="36"/>
        <v>-1.6541287279397951E-2</v>
      </c>
      <c r="G993">
        <f t="shared" si="37"/>
        <v>-2.9051361887099832E-2</v>
      </c>
    </row>
    <row r="994" spans="1:7" x14ac:dyDescent="0.35">
      <c r="A994" t="s">
        <v>62</v>
      </c>
      <c r="E994">
        <v>8.4433159835034313E-3</v>
      </c>
      <c r="F994">
        <f t="shared" si="36"/>
        <v>-1.6556927936684573E-2</v>
      </c>
      <c r="G994">
        <f t="shared" si="37"/>
        <v>-2.9051361887099832E-2</v>
      </c>
    </row>
    <row r="995" spans="1:7" x14ac:dyDescent="0.35">
      <c r="A995" t="s">
        <v>62</v>
      </c>
      <c r="E995">
        <v>2.0375739789656559E-2</v>
      </c>
      <c r="F995">
        <f t="shared" si="36"/>
        <v>-1.6572568593971205E-2</v>
      </c>
      <c r="G995">
        <f t="shared" si="37"/>
        <v>-2.9051361887099832E-2</v>
      </c>
    </row>
    <row r="996" spans="1:7" x14ac:dyDescent="0.35">
      <c r="A996" t="s">
        <v>62</v>
      </c>
      <c r="E996">
        <v>1.0833535856606534E-3</v>
      </c>
      <c r="F996">
        <f t="shared" si="36"/>
        <v>-1.6588209251257827E-2</v>
      </c>
      <c r="G996">
        <f t="shared" si="37"/>
        <v>-2.9051361887099832E-2</v>
      </c>
    </row>
    <row r="997" spans="1:7" x14ac:dyDescent="0.35">
      <c r="A997" t="s">
        <v>62</v>
      </c>
      <c r="E997">
        <v>9.6152775855193936E-3</v>
      </c>
      <c r="F997">
        <f t="shared" si="36"/>
        <v>-1.6603849908544459E-2</v>
      </c>
      <c r="G997">
        <f t="shared" si="37"/>
        <v>-2.9051361887099832E-2</v>
      </c>
    </row>
    <row r="998" spans="1:7" x14ac:dyDescent="0.35">
      <c r="A998" t="s">
        <v>62</v>
      </c>
      <c r="E998">
        <v>1.3469671603660553E-2</v>
      </c>
      <c r="F998">
        <f t="shared" si="36"/>
        <v>-1.6619490565831091E-2</v>
      </c>
      <c r="G998">
        <f t="shared" si="37"/>
        <v>-2.9051361887099832E-2</v>
      </c>
    </row>
    <row r="999" spans="1:7" x14ac:dyDescent="0.35">
      <c r="A999" t="s">
        <v>62</v>
      </c>
      <c r="E999">
        <v>-3.6534240899575143E-3</v>
      </c>
      <c r="F999">
        <f t="shared" si="36"/>
        <v>-1.6635131223117713E-2</v>
      </c>
      <c r="G999">
        <f t="shared" si="37"/>
        <v>-2.9051361887099832E-2</v>
      </c>
    </row>
    <row r="1000" spans="1:7" x14ac:dyDescent="0.35">
      <c r="A1000" t="s">
        <v>63</v>
      </c>
      <c r="B1000" s="3" cm="1">
        <f t="array" ref="B1000">_xlfn.STDEV.S(_xlfn._xlws.FILTER($E$1000:$E$1998, $A$1000:$A$1998="2014-01"))</f>
        <v>7.8685285360196103E-3</v>
      </c>
      <c r="C1000" s="3" cm="1">
        <f t="array" ref="C1000">AVERAGE(_xlfn._xlws.FILTER($E$1000:$E$1998, $A$1000:$A$1998="2014-01"))</f>
        <v>-6.856477702719666E-4</v>
      </c>
      <c r="D1000" s="3" cm="1">
        <f t="array" ref="D1000">_xlfn.PERCENTILE.EXC(_xlfn._xlws.FILTER($E$1000:$E$1497, $A$1000:$A$1497="2014-01"), 0.05)</f>
        <v>-2.2176890782762065E-2</v>
      </c>
      <c r="E1000">
        <v>2.8038541432003441E-3</v>
      </c>
      <c r="F1000">
        <f t="shared" si="36"/>
        <v>-1.6650771880404345E-2</v>
      </c>
      <c r="G1000">
        <f t="shared" si="37"/>
        <v>-2.9051361887099832E-2</v>
      </c>
    </row>
    <row r="1001" spans="1:7" x14ac:dyDescent="0.35">
      <c r="A1001" t="s">
        <v>63</v>
      </c>
      <c r="E1001">
        <v>6.0560422362527372E-3</v>
      </c>
      <c r="F1001">
        <f t="shared" si="36"/>
        <v>-1.6657542103069869E-2</v>
      </c>
      <c r="G1001">
        <f t="shared" si="37"/>
        <v>-2.9139937530004798E-2</v>
      </c>
    </row>
    <row r="1002" spans="1:7" x14ac:dyDescent="0.35">
      <c r="A1002" t="s">
        <v>63</v>
      </c>
      <c r="E1002">
        <v>-3.3396672424276606E-3</v>
      </c>
      <c r="F1002">
        <f t="shared" si="36"/>
        <v>-1.6664312325735401E-2</v>
      </c>
      <c r="G1002">
        <f t="shared" si="37"/>
        <v>-2.9139937530004798E-2</v>
      </c>
    </row>
    <row r="1003" spans="1:7" x14ac:dyDescent="0.35">
      <c r="A1003" t="s">
        <v>63</v>
      </c>
      <c r="E1003">
        <v>5.0694152144626185E-3</v>
      </c>
      <c r="F1003">
        <f t="shared" si="36"/>
        <v>-1.6671082548400929E-2</v>
      </c>
      <c r="G1003">
        <f t="shared" si="37"/>
        <v>-2.9139937530004798E-2</v>
      </c>
    </row>
    <row r="1004" spans="1:7" x14ac:dyDescent="0.35">
      <c r="A1004" t="s">
        <v>63</v>
      </c>
      <c r="E1004">
        <v>5.5880457334447724E-4</v>
      </c>
      <c r="F1004">
        <f t="shared" si="36"/>
        <v>-1.6677852771066454E-2</v>
      </c>
      <c r="G1004">
        <f t="shared" si="37"/>
        <v>-2.9139937530004798E-2</v>
      </c>
    </row>
    <row r="1005" spans="1:7" x14ac:dyDescent="0.35">
      <c r="A1005" t="s">
        <v>63</v>
      </c>
      <c r="E1005">
        <v>-4.5846128035014729E-3</v>
      </c>
      <c r="F1005">
        <f t="shared" si="36"/>
        <v>-1.6684622993731985E-2</v>
      </c>
      <c r="G1005">
        <f t="shared" si="37"/>
        <v>-2.9139937530004798E-2</v>
      </c>
    </row>
    <row r="1006" spans="1:7" x14ac:dyDescent="0.35">
      <c r="A1006" t="s">
        <v>63</v>
      </c>
      <c r="E1006">
        <v>2.0932494276559676E-3</v>
      </c>
      <c r="F1006">
        <f t="shared" si="36"/>
        <v>-1.669139321639751E-2</v>
      </c>
      <c r="G1006">
        <f t="shared" si="37"/>
        <v>-2.9139937530004798E-2</v>
      </c>
    </row>
    <row r="1007" spans="1:7" x14ac:dyDescent="0.35">
      <c r="A1007" t="s">
        <v>63</v>
      </c>
      <c r="E1007">
        <v>-3.0028452048257029E-3</v>
      </c>
      <c r="F1007">
        <f t="shared" si="36"/>
        <v>-1.6698163439063038E-2</v>
      </c>
      <c r="G1007">
        <f t="shared" si="37"/>
        <v>-2.9139937530004798E-2</v>
      </c>
    </row>
    <row r="1008" spans="1:7" x14ac:dyDescent="0.35">
      <c r="A1008" t="s">
        <v>63</v>
      </c>
      <c r="E1008">
        <v>4.2504723537667146E-3</v>
      </c>
      <c r="F1008">
        <f t="shared" si="36"/>
        <v>-1.6704933661728569E-2</v>
      </c>
      <c r="G1008">
        <f t="shared" si="37"/>
        <v>-2.9139937530004798E-2</v>
      </c>
    </row>
    <row r="1009" spans="1:7" x14ac:dyDescent="0.35">
      <c r="A1009" t="s">
        <v>63</v>
      </c>
      <c r="E1009">
        <v>8.6579061558089664E-3</v>
      </c>
      <c r="F1009">
        <f t="shared" si="36"/>
        <v>-1.6711703884394094E-2</v>
      </c>
      <c r="G1009">
        <f t="shared" si="37"/>
        <v>-2.9139937530004798E-2</v>
      </c>
    </row>
    <row r="1010" spans="1:7" x14ac:dyDescent="0.35">
      <c r="A1010" t="s">
        <v>63</v>
      </c>
      <c r="E1010">
        <v>-1.372769908788395E-3</v>
      </c>
      <c r="F1010">
        <f t="shared" si="36"/>
        <v>-1.6718474107059622E-2</v>
      </c>
      <c r="G1010">
        <f t="shared" si="37"/>
        <v>-2.9139937530004798E-2</v>
      </c>
    </row>
    <row r="1011" spans="1:7" x14ac:dyDescent="0.35">
      <c r="A1011" t="s">
        <v>63</v>
      </c>
      <c r="E1011">
        <v>1.0623174784293209E-2</v>
      </c>
      <c r="F1011">
        <f t="shared" si="36"/>
        <v>-1.672524432972515E-2</v>
      </c>
      <c r="G1011">
        <f t="shared" si="37"/>
        <v>-2.9139937530004798E-2</v>
      </c>
    </row>
    <row r="1012" spans="1:7" x14ac:dyDescent="0.35">
      <c r="A1012" t="s">
        <v>63</v>
      </c>
      <c r="E1012">
        <v>-2.4871403527498891E-4</v>
      </c>
      <c r="F1012">
        <f t="shared" si="36"/>
        <v>-1.6732014552390678E-2</v>
      </c>
      <c r="G1012">
        <f t="shared" si="37"/>
        <v>-2.9139937530004798E-2</v>
      </c>
    </row>
    <row r="1013" spans="1:7" x14ac:dyDescent="0.35">
      <c r="A1013" t="s">
        <v>63</v>
      </c>
      <c r="E1013">
        <v>3.5376751163250313E-3</v>
      </c>
      <c r="F1013">
        <f t="shared" si="36"/>
        <v>-1.673878477505621E-2</v>
      </c>
      <c r="G1013">
        <f t="shared" si="37"/>
        <v>-2.9139937530004798E-2</v>
      </c>
    </row>
    <row r="1014" spans="1:7" x14ac:dyDescent="0.35">
      <c r="A1014" t="s">
        <v>63</v>
      </c>
      <c r="E1014">
        <v>4.8769833234172336E-3</v>
      </c>
      <c r="F1014">
        <f t="shared" si="36"/>
        <v>-1.6745554997721734E-2</v>
      </c>
      <c r="G1014">
        <f t="shared" si="37"/>
        <v>-2.9139937530004798E-2</v>
      </c>
    </row>
    <row r="1015" spans="1:7" x14ac:dyDescent="0.35">
      <c r="A1015" t="s">
        <v>63</v>
      </c>
      <c r="E1015">
        <v>-1.4500516529672318E-2</v>
      </c>
      <c r="F1015">
        <f t="shared" si="36"/>
        <v>-1.6752325220387262E-2</v>
      </c>
      <c r="G1015">
        <f t="shared" si="37"/>
        <v>-2.9139937530004798E-2</v>
      </c>
    </row>
    <row r="1016" spans="1:7" x14ac:dyDescent="0.35">
      <c r="A1016" t="s">
        <v>63</v>
      </c>
      <c r="E1016">
        <v>-2.3531545062719081E-2</v>
      </c>
      <c r="F1016">
        <f t="shared" si="36"/>
        <v>-1.6759095443052791E-2</v>
      </c>
      <c r="G1016">
        <f t="shared" si="37"/>
        <v>-2.9139937530004798E-2</v>
      </c>
    </row>
    <row r="1017" spans="1:7" x14ac:dyDescent="0.35">
      <c r="A1017" t="s">
        <v>63</v>
      </c>
      <c r="E1017">
        <v>-1.2168580998887372E-2</v>
      </c>
      <c r="F1017">
        <f t="shared" si="36"/>
        <v>-1.6603849908544459E-2</v>
      </c>
      <c r="G1017">
        <f t="shared" si="37"/>
        <v>-2.9090789150131125E-2</v>
      </c>
    </row>
    <row r="1018" spans="1:7" x14ac:dyDescent="0.35">
      <c r="A1018" t="s">
        <v>63</v>
      </c>
      <c r="E1018">
        <v>3.5680148453069048E-3</v>
      </c>
      <c r="F1018">
        <f t="shared" si="36"/>
        <v>-1.6619490565831091E-2</v>
      </c>
      <c r="G1018">
        <f t="shared" si="37"/>
        <v>-2.9090789150131125E-2</v>
      </c>
    </row>
    <row r="1019" spans="1:7" x14ac:dyDescent="0.35">
      <c r="A1019" t="s">
        <v>63</v>
      </c>
      <c r="E1019">
        <v>-4.1177910458732175E-3</v>
      </c>
      <c r="F1019">
        <f t="shared" si="36"/>
        <v>-1.6635131223117713E-2</v>
      </c>
      <c r="G1019">
        <f t="shared" si="37"/>
        <v>-2.9090789150131125E-2</v>
      </c>
    </row>
    <row r="1020" spans="1:7" x14ac:dyDescent="0.35">
      <c r="A1020" t="s">
        <v>63</v>
      </c>
      <c r="E1020">
        <v>1.9025768151635786E-3</v>
      </c>
      <c r="F1020">
        <f t="shared" si="36"/>
        <v>-1.6650771880404345E-2</v>
      </c>
      <c r="G1020">
        <f t="shared" si="37"/>
        <v>-2.9090789150131125E-2</v>
      </c>
    </row>
    <row r="1021" spans="1:7" x14ac:dyDescent="0.35">
      <c r="A1021" t="s">
        <v>63</v>
      </c>
      <c r="E1021">
        <v>-2.2153771030108366E-3</v>
      </c>
      <c r="F1021">
        <f t="shared" si="36"/>
        <v>-1.6657542103069869E-2</v>
      </c>
      <c r="G1021">
        <f t="shared" si="37"/>
        <v>-2.918028567725146E-2</v>
      </c>
    </row>
    <row r="1022" spans="1:7" x14ac:dyDescent="0.35">
      <c r="A1022" t="s">
        <v>64</v>
      </c>
      <c r="B1022" s="3" cm="1">
        <f t="array" ref="B1022">_xlfn.STDEV.S(_xlfn._xlws.FILTER($E$1000:$E$1998, $A$1000:$A$1998="2014-02"))</f>
        <v>6.987315064233098E-3</v>
      </c>
      <c r="C1022" s="3" cm="1">
        <f t="array" ref="C1022">AVERAGE(_xlfn._xlws.FILTER($E$1000:$E$1998, $A$1000:$A$1998="2014-02"))</f>
        <v>1.9482199427932098E-3</v>
      </c>
      <c r="D1022" s="3" cm="1">
        <f t="array" ref="D1022">_xlfn.PERCENTILE.EXC(_xlfn._xlws.FILTER($E$1000:$E$1497, $A$1000:$A$1497="2014-02"), 0.05)</f>
        <v>-1.620366871062142E-2</v>
      </c>
      <c r="E1022">
        <v>-1.682282608466934E-2</v>
      </c>
      <c r="F1022">
        <f t="shared" si="36"/>
        <v>-1.6664312325735401E-2</v>
      </c>
      <c r="G1022">
        <f t="shared" si="37"/>
        <v>-2.918028567725146E-2</v>
      </c>
    </row>
    <row r="1023" spans="1:7" x14ac:dyDescent="0.35">
      <c r="A1023" t="s">
        <v>64</v>
      </c>
      <c r="E1023">
        <v>-2.0986000557299597E-3</v>
      </c>
      <c r="F1023">
        <f t="shared" si="36"/>
        <v>-1.6384880706531674E-2</v>
      </c>
      <c r="G1023">
        <f t="shared" si="37"/>
        <v>-2.9179047877220778E-2</v>
      </c>
    </row>
    <row r="1024" spans="1:7" x14ac:dyDescent="0.35">
      <c r="A1024" t="s">
        <v>64</v>
      </c>
      <c r="E1024">
        <v>3.8731363206928468E-4</v>
      </c>
      <c r="F1024">
        <f t="shared" si="36"/>
        <v>-1.6400521363818296E-2</v>
      </c>
      <c r="G1024">
        <f t="shared" si="37"/>
        <v>-2.9179047877220778E-2</v>
      </c>
    </row>
    <row r="1025" spans="1:7" x14ac:dyDescent="0.35">
      <c r="A1025" t="s">
        <v>64</v>
      </c>
      <c r="E1025">
        <v>1.1515760199497941E-2</v>
      </c>
      <c r="F1025">
        <f t="shared" si="36"/>
        <v>-1.6416162021104928E-2</v>
      </c>
      <c r="G1025">
        <f t="shared" si="37"/>
        <v>-2.9179047877220778E-2</v>
      </c>
    </row>
    <row r="1026" spans="1:7" x14ac:dyDescent="0.35">
      <c r="A1026" t="s">
        <v>64</v>
      </c>
      <c r="E1026">
        <v>3.7490563431715842E-3</v>
      </c>
      <c r="F1026">
        <f t="shared" si="36"/>
        <v>-1.643180267839155E-2</v>
      </c>
      <c r="G1026">
        <f t="shared" si="37"/>
        <v>-2.9179047877220778E-2</v>
      </c>
    </row>
    <row r="1027" spans="1:7" x14ac:dyDescent="0.35">
      <c r="A1027" t="s">
        <v>64</v>
      </c>
      <c r="E1027">
        <v>2.3931297918584932E-3</v>
      </c>
      <c r="F1027">
        <f t="shared" si="36"/>
        <v>-1.6447443335678182E-2</v>
      </c>
      <c r="G1027">
        <f t="shared" si="37"/>
        <v>-2.9179047877220778E-2</v>
      </c>
    </row>
    <row r="1028" spans="1:7" x14ac:dyDescent="0.35">
      <c r="A1028" t="s">
        <v>64</v>
      </c>
      <c r="E1028">
        <v>1.4820673936414969E-2</v>
      </c>
      <c r="F1028">
        <f t="shared" ref="F1028:F1091" si="38">_xlfn.PERCENTILE.EXC(E1028:E4843,0.05)</f>
        <v>-1.6463083992964814E-2</v>
      </c>
      <c r="G1028">
        <f t="shared" ref="G1028:G1091" si="39">AVERAGEIFS(E1028:E4844,E1028:E4844,"&lt;=" &amp; F1028)</f>
        <v>-2.9179047877220778E-2</v>
      </c>
    </row>
    <row r="1029" spans="1:7" x14ac:dyDescent="0.35">
      <c r="A1029" t="s">
        <v>64</v>
      </c>
      <c r="E1029">
        <v>1.2199318264833683E-2</v>
      </c>
      <c r="F1029">
        <f t="shared" si="38"/>
        <v>-1.6478724650251436E-2</v>
      </c>
      <c r="G1029">
        <f t="shared" si="39"/>
        <v>-2.9179047877220778E-2</v>
      </c>
    </row>
    <row r="1030" spans="1:7" x14ac:dyDescent="0.35">
      <c r="A1030" t="s">
        <v>64</v>
      </c>
      <c r="E1030">
        <v>-4.4247078641360587E-3</v>
      </c>
      <c r="F1030">
        <f t="shared" si="38"/>
        <v>-1.6494365307538068E-2</v>
      </c>
      <c r="G1030">
        <f t="shared" si="39"/>
        <v>-2.9179047877220778E-2</v>
      </c>
    </row>
    <row r="1031" spans="1:7" x14ac:dyDescent="0.35">
      <c r="A1031" t="s">
        <v>64</v>
      </c>
      <c r="E1031">
        <v>4.0762817801847121E-3</v>
      </c>
      <c r="F1031">
        <f t="shared" si="38"/>
        <v>-1.651000596482469E-2</v>
      </c>
      <c r="G1031">
        <f t="shared" si="39"/>
        <v>-2.9179047877220778E-2</v>
      </c>
    </row>
    <row r="1032" spans="1:7" x14ac:dyDescent="0.35">
      <c r="A1032" t="s">
        <v>64</v>
      </c>
      <c r="E1032">
        <v>8.5635018838950711E-3</v>
      </c>
      <c r="F1032">
        <f t="shared" si="38"/>
        <v>-1.6525646622111319E-2</v>
      </c>
      <c r="G1032">
        <f t="shared" si="39"/>
        <v>-2.9179047877220778E-2</v>
      </c>
    </row>
    <row r="1033" spans="1:7" x14ac:dyDescent="0.35">
      <c r="A1033" t="s">
        <v>64</v>
      </c>
      <c r="E1033">
        <v>4.6585553576133235E-3</v>
      </c>
      <c r="F1033">
        <f t="shared" si="38"/>
        <v>-1.6541287279397951E-2</v>
      </c>
      <c r="G1033">
        <f t="shared" si="39"/>
        <v>-2.9179047877220778E-2</v>
      </c>
    </row>
    <row r="1034" spans="1:7" x14ac:dyDescent="0.35">
      <c r="A1034" t="s">
        <v>64</v>
      </c>
      <c r="E1034">
        <v>1.8622642702901958E-3</v>
      </c>
      <c r="F1034">
        <f t="shared" si="38"/>
        <v>-1.6556927936684573E-2</v>
      </c>
      <c r="G1034">
        <f t="shared" si="39"/>
        <v>-2.9179047877220778E-2</v>
      </c>
    </row>
    <row r="1035" spans="1:7" x14ac:dyDescent="0.35">
      <c r="A1035" t="s">
        <v>64</v>
      </c>
      <c r="E1035">
        <v>1.7933732923235658E-3</v>
      </c>
      <c r="F1035">
        <f t="shared" si="38"/>
        <v>-1.6572568593971205E-2</v>
      </c>
      <c r="G1035">
        <f t="shared" si="39"/>
        <v>-2.9179047877220778E-2</v>
      </c>
    </row>
    <row r="1036" spans="1:7" x14ac:dyDescent="0.35">
      <c r="A1036" t="s">
        <v>64</v>
      </c>
      <c r="E1036">
        <v>4.7359138435439872E-4</v>
      </c>
      <c r="F1036">
        <f t="shared" si="38"/>
        <v>-1.6588209251257827E-2</v>
      </c>
      <c r="G1036">
        <f t="shared" si="39"/>
        <v>-2.9179047877220778E-2</v>
      </c>
    </row>
    <row r="1037" spans="1:7" x14ac:dyDescent="0.35">
      <c r="A1037" t="s">
        <v>64</v>
      </c>
      <c r="E1037">
        <v>4.3322202775997265E-3</v>
      </c>
      <c r="F1037">
        <f t="shared" si="38"/>
        <v>-1.6603849908544459E-2</v>
      </c>
      <c r="G1037">
        <f t="shared" si="39"/>
        <v>-2.9179047877220778E-2</v>
      </c>
    </row>
    <row r="1038" spans="1:7" x14ac:dyDescent="0.35">
      <c r="A1038" t="s">
        <v>64</v>
      </c>
      <c r="E1038">
        <v>-3.1958404914905385E-3</v>
      </c>
      <c r="F1038">
        <f t="shared" si="38"/>
        <v>-1.6619490565831091E-2</v>
      </c>
      <c r="G1038">
        <f t="shared" si="39"/>
        <v>-2.9179047877220778E-2</v>
      </c>
    </row>
    <row r="1039" spans="1:7" x14ac:dyDescent="0.35">
      <c r="A1039" t="s">
        <v>64</v>
      </c>
      <c r="E1039">
        <v>-2.425771833337228E-3</v>
      </c>
      <c r="F1039">
        <f t="shared" si="38"/>
        <v>-1.6635131223117713E-2</v>
      </c>
      <c r="G1039">
        <f t="shared" si="39"/>
        <v>-2.9179047877220778E-2</v>
      </c>
    </row>
    <row r="1040" spans="1:7" x14ac:dyDescent="0.35">
      <c r="A1040" t="s">
        <v>64</v>
      </c>
      <c r="E1040">
        <v>1.5467833748313391E-3</v>
      </c>
      <c r="F1040">
        <f t="shared" si="38"/>
        <v>-1.6650771880404345E-2</v>
      </c>
      <c r="G1040">
        <f t="shared" si="39"/>
        <v>-2.9179047877220778E-2</v>
      </c>
    </row>
    <row r="1041" spans="1:7" x14ac:dyDescent="0.35">
      <c r="A1041" t="s">
        <v>64</v>
      </c>
      <c r="E1041">
        <v>-4.439678603710976E-3</v>
      </c>
      <c r="F1041">
        <f t="shared" si="38"/>
        <v>-1.6657542103069869E-2</v>
      </c>
      <c r="G1041">
        <f t="shared" si="39"/>
        <v>-2.9269832485893359E-2</v>
      </c>
    </row>
    <row r="1042" spans="1:7" x14ac:dyDescent="0.35">
      <c r="A1042" t="s">
        <v>65</v>
      </c>
      <c r="B1042" s="3" cm="1">
        <f t="array" ref="B1042">_xlfn.STDEV.S(_xlfn._xlws.FILTER($E$1000:$E$1998, $A$1000:$A$1998="2014-03"))</f>
        <v>8.7210974365529003E-3</v>
      </c>
      <c r="C1042" s="3" cm="1">
        <f t="array" ref="C1042">AVERAGE(_xlfn._xlws.FILTER($E$1000:$E$1998, $A$1000:$A$1998="2014-03"))</f>
        <v>-1.5108782767039688E-3</v>
      </c>
      <c r="D1042" s="3" cm="1">
        <f t="array" ref="D1042">_xlfn.PERCENTILE.EXC(_xlfn._xlws.FILTER($E$1000:$E$1497, $A$1000:$A$1497="2014-03"), 0.05)</f>
        <v>-1.4496082536714841E-2</v>
      </c>
      <c r="E1042">
        <v>-1.4140527641782374E-2</v>
      </c>
      <c r="F1042">
        <f t="shared" si="38"/>
        <v>-1.6664312325735401E-2</v>
      </c>
      <c r="G1042">
        <f t="shared" si="39"/>
        <v>-2.9269832485893359E-2</v>
      </c>
    </row>
    <row r="1043" spans="1:7" x14ac:dyDescent="0.35">
      <c r="A1043" t="s">
        <v>65</v>
      </c>
      <c r="E1043">
        <v>1.8357687363366577E-2</v>
      </c>
      <c r="F1043">
        <f t="shared" si="38"/>
        <v>-1.6671082548400929E-2</v>
      </c>
      <c r="G1043">
        <f t="shared" si="39"/>
        <v>-2.9269832485893359E-2</v>
      </c>
    </row>
    <row r="1044" spans="1:7" x14ac:dyDescent="0.35">
      <c r="A1044" t="s">
        <v>65</v>
      </c>
      <c r="E1044">
        <v>-3.6641982418796704E-3</v>
      </c>
      <c r="F1044">
        <f t="shared" si="38"/>
        <v>-1.6677852771066454E-2</v>
      </c>
      <c r="G1044">
        <f t="shared" si="39"/>
        <v>-2.9269832485893359E-2</v>
      </c>
    </row>
    <row r="1045" spans="1:7" x14ac:dyDescent="0.35">
      <c r="A1045" t="s">
        <v>65</v>
      </c>
      <c r="E1045">
        <v>-5.3287464246499373E-3</v>
      </c>
      <c r="F1045">
        <f t="shared" si="38"/>
        <v>-1.6684622993731985E-2</v>
      </c>
      <c r="G1045">
        <f t="shared" si="39"/>
        <v>-2.9269832485893359E-2</v>
      </c>
    </row>
    <row r="1046" spans="1:7" x14ac:dyDescent="0.35">
      <c r="A1046" t="s">
        <v>65</v>
      </c>
      <c r="E1046">
        <v>-1.4535588636151783E-2</v>
      </c>
      <c r="F1046">
        <f t="shared" si="38"/>
        <v>-1.669139321639751E-2</v>
      </c>
      <c r="G1046">
        <f t="shared" si="39"/>
        <v>-2.9269832485893359E-2</v>
      </c>
    </row>
    <row r="1047" spans="1:7" x14ac:dyDescent="0.35">
      <c r="A1047" t="s">
        <v>65</v>
      </c>
      <c r="E1047">
        <v>-8.3076556088798967E-3</v>
      </c>
      <c r="F1047">
        <f t="shared" si="38"/>
        <v>-1.6698163439063038E-2</v>
      </c>
      <c r="G1047">
        <f t="shared" si="39"/>
        <v>-2.9269832485893359E-2</v>
      </c>
    </row>
    <row r="1048" spans="1:7" x14ac:dyDescent="0.35">
      <c r="A1048" t="s">
        <v>65</v>
      </c>
      <c r="E1048">
        <v>-1.4299793597596659E-3</v>
      </c>
      <c r="F1048">
        <f t="shared" si="38"/>
        <v>-1.6704933661728569E-2</v>
      </c>
      <c r="G1048">
        <f t="shared" si="39"/>
        <v>-2.9269832485893359E-2</v>
      </c>
    </row>
    <row r="1049" spans="1:7" x14ac:dyDescent="0.35">
      <c r="A1049" t="s">
        <v>65</v>
      </c>
      <c r="E1049">
        <v>-1.294309101154501E-2</v>
      </c>
      <c r="F1049">
        <f t="shared" si="38"/>
        <v>-1.6711703884394094E-2</v>
      </c>
      <c r="G1049">
        <f t="shared" si="39"/>
        <v>-2.9269832485893359E-2</v>
      </c>
    </row>
    <row r="1050" spans="1:7" x14ac:dyDescent="0.35">
      <c r="A1050" t="s">
        <v>65</v>
      </c>
      <c r="E1050">
        <v>-5.6719090292657228E-3</v>
      </c>
      <c r="F1050">
        <f t="shared" si="38"/>
        <v>-1.6718474107059622E-2</v>
      </c>
      <c r="G1050">
        <f t="shared" si="39"/>
        <v>-2.9269832485893359E-2</v>
      </c>
    </row>
    <row r="1051" spans="1:7" x14ac:dyDescent="0.35">
      <c r="A1051" t="s">
        <v>65</v>
      </c>
      <c r="E1051">
        <v>-7.4173723634579098E-3</v>
      </c>
      <c r="F1051">
        <f t="shared" si="38"/>
        <v>-1.672524432972515E-2</v>
      </c>
      <c r="G1051">
        <f t="shared" si="39"/>
        <v>-2.9269832485893359E-2</v>
      </c>
    </row>
    <row r="1052" spans="1:7" x14ac:dyDescent="0.35">
      <c r="A1052" t="s">
        <v>65</v>
      </c>
      <c r="E1052">
        <v>5.1635953224667738E-3</v>
      </c>
      <c r="F1052">
        <f t="shared" si="38"/>
        <v>-1.6732014552390678E-2</v>
      </c>
      <c r="G1052">
        <f t="shared" si="39"/>
        <v>-2.9269832485893359E-2</v>
      </c>
    </row>
    <row r="1053" spans="1:7" x14ac:dyDescent="0.35">
      <c r="A1053" t="s">
        <v>65</v>
      </c>
      <c r="E1053">
        <v>2.4506679208901963E-3</v>
      </c>
      <c r="F1053">
        <f t="shared" si="38"/>
        <v>-1.673878477505621E-2</v>
      </c>
      <c r="G1053">
        <f t="shared" si="39"/>
        <v>-2.9269832485893359E-2</v>
      </c>
    </row>
    <row r="1054" spans="1:7" x14ac:dyDescent="0.35">
      <c r="A1054" t="s">
        <v>65</v>
      </c>
      <c r="E1054">
        <v>-6.560361333493238E-4</v>
      </c>
      <c r="F1054">
        <f t="shared" si="38"/>
        <v>-1.6745554997721734E-2</v>
      </c>
      <c r="G1054">
        <f t="shared" si="39"/>
        <v>-2.9269832485893359E-2</v>
      </c>
    </row>
    <row r="1055" spans="1:7" x14ac:dyDescent="0.35">
      <c r="A1055" t="s">
        <v>65</v>
      </c>
      <c r="E1055">
        <v>-3.4513185804161549E-3</v>
      </c>
      <c r="F1055">
        <f t="shared" si="38"/>
        <v>-1.6752325220387262E-2</v>
      </c>
      <c r="G1055">
        <f t="shared" si="39"/>
        <v>-2.9269832485893359E-2</v>
      </c>
    </row>
    <row r="1056" spans="1:7" x14ac:dyDescent="0.35">
      <c r="A1056" t="s">
        <v>65</v>
      </c>
      <c r="E1056">
        <v>6.8891820665086033E-4</v>
      </c>
      <c r="F1056">
        <f t="shared" si="38"/>
        <v>-1.6759095443052791E-2</v>
      </c>
      <c r="G1056">
        <f t="shared" si="39"/>
        <v>-2.9269832485893359E-2</v>
      </c>
    </row>
    <row r="1057" spans="1:7" x14ac:dyDescent="0.35">
      <c r="A1057" t="s">
        <v>65</v>
      </c>
      <c r="E1057">
        <v>-8.9850571038189858E-3</v>
      </c>
      <c r="F1057">
        <f t="shared" si="38"/>
        <v>-1.6765865665718319E-2</v>
      </c>
      <c r="G1057">
        <f t="shared" si="39"/>
        <v>-2.9269832485893359E-2</v>
      </c>
    </row>
    <row r="1058" spans="1:7" x14ac:dyDescent="0.35">
      <c r="A1058" t="s">
        <v>65</v>
      </c>
      <c r="E1058">
        <v>1.5929710899280018E-2</v>
      </c>
      <c r="F1058">
        <f t="shared" si="38"/>
        <v>-1.6772635888383847E-2</v>
      </c>
      <c r="G1058">
        <f t="shared" si="39"/>
        <v>-2.9269832485893359E-2</v>
      </c>
    </row>
    <row r="1059" spans="1:7" x14ac:dyDescent="0.35">
      <c r="A1059" t="s">
        <v>65</v>
      </c>
      <c r="E1059">
        <v>5.231314609891723E-3</v>
      </c>
      <c r="F1059">
        <f t="shared" si="38"/>
        <v>-1.6779406111049375E-2</v>
      </c>
      <c r="G1059">
        <f t="shared" si="39"/>
        <v>-2.9269832485893359E-2</v>
      </c>
    </row>
    <row r="1060" spans="1:7" x14ac:dyDescent="0.35">
      <c r="A1060" t="s">
        <v>65</v>
      </c>
      <c r="E1060">
        <v>3.6228222281795073E-3</v>
      </c>
      <c r="F1060">
        <f t="shared" si="38"/>
        <v>-1.6786176333714903E-2</v>
      </c>
      <c r="G1060">
        <f t="shared" si="39"/>
        <v>-2.9269832485893359E-2</v>
      </c>
    </row>
    <row r="1061" spans="1:7" x14ac:dyDescent="0.35">
      <c r="A1061" t="s">
        <v>65</v>
      </c>
      <c r="E1061">
        <v>5.3634489056940604E-3</v>
      </c>
      <c r="F1061">
        <f t="shared" si="38"/>
        <v>-1.6788272151987527E-2</v>
      </c>
      <c r="G1061">
        <f t="shared" si="39"/>
        <v>-2.9360954063646486E-2</v>
      </c>
    </row>
    <row r="1062" spans="1:7" x14ac:dyDescent="0.35">
      <c r="A1062" t="s">
        <v>65</v>
      </c>
      <c r="E1062">
        <v>-2.0051291322466269E-3</v>
      </c>
      <c r="F1062">
        <f t="shared" si="38"/>
        <v>-1.6790367970260154E-2</v>
      </c>
      <c r="G1062">
        <f t="shared" si="39"/>
        <v>-2.9360954063646486E-2</v>
      </c>
    </row>
    <row r="1063" spans="1:7" x14ac:dyDescent="0.35">
      <c r="A1063" t="s">
        <v>66</v>
      </c>
      <c r="B1063" s="3" cm="1">
        <f t="array" ref="B1063">_xlfn.STDEV.S(_xlfn._xlws.FILTER($E$1000:$E$1998, $A$1000:$A$1998="2014-04"))</f>
        <v>7.603368596848529E-3</v>
      </c>
      <c r="C1063" s="3" cm="1">
        <f t="array" ref="C1063">AVERAGE(_xlfn._xlws.FILTER($E$1000:$E$1998, $A$1000:$A$1998="2014-04"))</f>
        <v>1.5900493167891228E-3</v>
      </c>
      <c r="D1063" s="3" cm="1">
        <f t="array" ref="D1063">_xlfn.PERCENTILE.EXC(_xlfn._xlws.FILTER($E$1000:$E$1497, $A$1000:$A$1497="2014-04"), 0.05)</f>
        <v>-1.5027526858003983E-2</v>
      </c>
      <c r="E1063">
        <v>4.0198619876527309E-3</v>
      </c>
      <c r="F1063">
        <f t="shared" si="38"/>
        <v>-1.6792463788532778E-2</v>
      </c>
      <c r="G1063">
        <f t="shared" si="39"/>
        <v>-2.9360954063646486E-2</v>
      </c>
    </row>
    <row r="1064" spans="1:7" x14ac:dyDescent="0.35">
      <c r="A1064" t="s">
        <v>66</v>
      </c>
      <c r="E1064">
        <v>2.8071426442192703E-3</v>
      </c>
      <c r="F1064">
        <f t="shared" si="38"/>
        <v>-1.6794559606805405E-2</v>
      </c>
      <c r="G1064">
        <f t="shared" si="39"/>
        <v>-2.9360954063646486E-2</v>
      </c>
    </row>
    <row r="1065" spans="1:7" x14ac:dyDescent="0.35">
      <c r="A1065" t="s">
        <v>66</v>
      </c>
      <c r="E1065">
        <v>-9.2233342584626115E-4</v>
      </c>
      <c r="F1065">
        <f t="shared" si="38"/>
        <v>-1.6796655425078029E-2</v>
      </c>
      <c r="G1065">
        <f t="shared" si="39"/>
        <v>-2.9360954063646486E-2</v>
      </c>
    </row>
    <row r="1066" spans="1:7" x14ac:dyDescent="0.35">
      <c r="A1066" t="s">
        <v>66</v>
      </c>
      <c r="E1066">
        <v>7.3987898480109039E-3</v>
      </c>
      <c r="F1066">
        <f t="shared" si="38"/>
        <v>-1.6798751243350653E-2</v>
      </c>
      <c r="G1066">
        <f t="shared" si="39"/>
        <v>-2.9360954063646486E-2</v>
      </c>
    </row>
    <row r="1067" spans="1:7" x14ac:dyDescent="0.35">
      <c r="A1067" t="s">
        <v>66</v>
      </c>
      <c r="E1067">
        <v>-1.1648841041355832E-2</v>
      </c>
      <c r="F1067">
        <f t="shared" si="38"/>
        <v>-1.680084706162328E-2</v>
      </c>
      <c r="G1067">
        <f t="shared" si="39"/>
        <v>-2.9360954063646486E-2</v>
      </c>
    </row>
    <row r="1068" spans="1:7" x14ac:dyDescent="0.35">
      <c r="A1068" t="s">
        <v>66</v>
      </c>
      <c r="E1068">
        <v>-1.1491344570026406E-3</v>
      </c>
      <c r="F1068">
        <f t="shared" si="38"/>
        <v>-1.6802942879895907E-2</v>
      </c>
      <c r="G1068">
        <f t="shared" si="39"/>
        <v>-2.9360954063646486E-2</v>
      </c>
    </row>
    <row r="1069" spans="1:7" x14ac:dyDescent="0.35">
      <c r="A1069" t="s">
        <v>66</v>
      </c>
      <c r="E1069">
        <v>6.3285342067735595E-3</v>
      </c>
      <c r="F1069">
        <f t="shared" si="38"/>
        <v>-1.6805038698168531E-2</v>
      </c>
      <c r="G1069">
        <f t="shared" si="39"/>
        <v>-2.9360954063646486E-2</v>
      </c>
    </row>
    <row r="1070" spans="1:7" x14ac:dyDescent="0.35">
      <c r="A1070" t="s">
        <v>66</v>
      </c>
      <c r="E1070">
        <v>-2.5271311911533095E-3</v>
      </c>
      <c r="F1070">
        <f t="shared" si="38"/>
        <v>-1.6807134516441155E-2</v>
      </c>
      <c r="G1070">
        <f t="shared" si="39"/>
        <v>-2.9360954063646486E-2</v>
      </c>
    </row>
    <row r="1071" spans="1:7" x14ac:dyDescent="0.35">
      <c r="A1071" t="s">
        <v>66</v>
      </c>
      <c r="E1071">
        <v>-1.5205352427301255E-2</v>
      </c>
      <c r="F1071">
        <f t="shared" si="38"/>
        <v>-1.6809230334713782E-2</v>
      </c>
      <c r="G1071">
        <f t="shared" si="39"/>
        <v>-2.9360954063646486E-2</v>
      </c>
    </row>
    <row r="1072" spans="1:7" x14ac:dyDescent="0.35">
      <c r="A1072" t="s">
        <v>66</v>
      </c>
      <c r="E1072">
        <v>7.8558367361317022E-3</v>
      </c>
      <c r="F1072">
        <f t="shared" si="38"/>
        <v>-1.6811326152986406E-2</v>
      </c>
      <c r="G1072">
        <f t="shared" si="39"/>
        <v>-2.9360954063646486E-2</v>
      </c>
    </row>
    <row r="1073" spans="1:7" x14ac:dyDescent="0.35">
      <c r="A1073" t="s">
        <v>66</v>
      </c>
      <c r="E1073">
        <v>-6.3095733022895143E-3</v>
      </c>
      <c r="F1073">
        <f t="shared" si="38"/>
        <v>-1.6813421971259034E-2</v>
      </c>
      <c r="G1073">
        <f t="shared" si="39"/>
        <v>-2.9360954063646486E-2</v>
      </c>
    </row>
    <row r="1074" spans="1:7" x14ac:dyDescent="0.35">
      <c r="A1074" t="s">
        <v>66</v>
      </c>
      <c r="E1074">
        <v>1.0031469385072943E-2</v>
      </c>
      <c r="F1074">
        <f t="shared" si="38"/>
        <v>-1.6815517789531657E-2</v>
      </c>
      <c r="G1074">
        <f t="shared" si="39"/>
        <v>-2.9360954063646486E-2</v>
      </c>
    </row>
    <row r="1075" spans="1:7" x14ac:dyDescent="0.35">
      <c r="A1075" t="s">
        <v>66</v>
      </c>
      <c r="E1075">
        <v>7.087816566492002E-3</v>
      </c>
      <c r="F1075">
        <f t="shared" si="38"/>
        <v>-1.6817613607804285E-2</v>
      </c>
      <c r="G1075">
        <f t="shared" si="39"/>
        <v>-2.9360954063646486E-2</v>
      </c>
    </row>
    <row r="1076" spans="1:7" x14ac:dyDescent="0.35">
      <c r="A1076" t="s">
        <v>66</v>
      </c>
      <c r="E1076">
        <v>1.1653306131306631E-2</v>
      </c>
      <c r="F1076">
        <f t="shared" si="38"/>
        <v>-1.6819709426076909E-2</v>
      </c>
      <c r="G1076">
        <f t="shared" si="39"/>
        <v>-2.9360954063646486E-2</v>
      </c>
    </row>
    <row r="1077" spans="1:7" x14ac:dyDescent="0.35">
      <c r="A1077" t="s">
        <v>66</v>
      </c>
      <c r="E1077">
        <v>-5.4619429337333155E-3</v>
      </c>
      <c r="F1077">
        <f t="shared" si="38"/>
        <v>-1.6821805244349536E-2</v>
      </c>
      <c r="G1077">
        <f t="shared" si="39"/>
        <v>-2.9360954063646486E-2</v>
      </c>
    </row>
    <row r="1078" spans="1:7" x14ac:dyDescent="0.35">
      <c r="A1078" t="s">
        <v>66</v>
      </c>
      <c r="E1078">
        <v>4.6972082483270573E-3</v>
      </c>
      <c r="F1078">
        <f t="shared" si="38"/>
        <v>-1.682390106262216E-2</v>
      </c>
      <c r="G1078">
        <f t="shared" si="39"/>
        <v>-2.9360954063646486E-2</v>
      </c>
    </row>
    <row r="1079" spans="1:7" x14ac:dyDescent="0.35">
      <c r="A1079" t="s">
        <v>66</v>
      </c>
      <c r="E1079">
        <v>-3.300285327356791E-3</v>
      </c>
      <c r="F1079">
        <f t="shared" si="38"/>
        <v>-1.6825996880894784E-2</v>
      </c>
      <c r="G1079">
        <f t="shared" si="39"/>
        <v>-2.9360954063646486E-2</v>
      </c>
    </row>
    <row r="1080" spans="1:7" x14ac:dyDescent="0.35">
      <c r="A1080" t="s">
        <v>66</v>
      </c>
      <c r="E1080">
        <v>1.8094242235292349E-3</v>
      </c>
      <c r="F1080">
        <f t="shared" si="38"/>
        <v>-1.6828092699167411E-2</v>
      </c>
      <c r="G1080">
        <f t="shared" si="39"/>
        <v>-2.9360954063646486E-2</v>
      </c>
    </row>
    <row r="1081" spans="1:7" x14ac:dyDescent="0.35">
      <c r="A1081" t="s">
        <v>66</v>
      </c>
      <c r="E1081">
        <v>1.4149168092215381E-2</v>
      </c>
      <c r="F1081">
        <f t="shared" si="38"/>
        <v>-1.683532734260864E-2</v>
      </c>
      <c r="G1081">
        <f t="shared" si="39"/>
        <v>-2.9453107456032364E-2</v>
      </c>
    </row>
    <row r="1082" spans="1:7" x14ac:dyDescent="0.35">
      <c r="A1082" t="s">
        <v>66</v>
      </c>
      <c r="E1082">
        <v>4.8702237208995795E-4</v>
      </c>
      <c r="F1082">
        <f t="shared" si="38"/>
        <v>-1.6842561986049869E-2</v>
      </c>
      <c r="G1082">
        <f t="shared" si="39"/>
        <v>-2.9453107456032364E-2</v>
      </c>
    </row>
    <row r="1083" spans="1:7" x14ac:dyDescent="0.35">
      <c r="A1083" t="s">
        <v>67</v>
      </c>
      <c r="B1083" s="3" cm="1">
        <f t="array" ref="B1083">_xlfn.STDEV.S(_xlfn._xlws.FILTER($E$1000:$E$1998, $A$1000:$A$1998="2014-05"))</f>
        <v>4.226329482919372E-3</v>
      </c>
      <c r="C1083" s="3" cm="1">
        <f t="array" ref="C1083">AVERAGE(_xlfn._xlws.FILTER($E$1000:$E$1998, $A$1000:$A$1998="2014-05"))</f>
        <v>1.0338112692990086E-3</v>
      </c>
      <c r="D1083" s="3" cm="1">
        <f t="array" ref="D1083">_xlfn.PERCENTILE.EXC(_xlfn._xlws.FILTER($E$1000:$E$1497, $A$1000:$A$1497="2014-05"), 0.05)</f>
        <v>-4.8124820304221482E-3</v>
      </c>
      <c r="E1083">
        <v>6.1398763360800516E-3</v>
      </c>
      <c r="F1083">
        <f t="shared" si="38"/>
        <v>-1.6849796629491102E-2</v>
      </c>
      <c r="G1083">
        <f t="shared" si="39"/>
        <v>-2.9453107456032364E-2</v>
      </c>
    </row>
    <row r="1084" spans="1:7" x14ac:dyDescent="0.35">
      <c r="A1084" t="s">
        <v>67</v>
      </c>
      <c r="E1084">
        <v>-1.1584305909095379E-3</v>
      </c>
      <c r="F1084">
        <f t="shared" si="38"/>
        <v>-1.6857031272932331E-2</v>
      </c>
      <c r="G1084">
        <f t="shared" si="39"/>
        <v>-2.9453107456032364E-2</v>
      </c>
    </row>
    <row r="1085" spans="1:7" x14ac:dyDescent="0.35">
      <c r="A1085" t="s">
        <v>67</v>
      </c>
      <c r="E1085">
        <v>-1.01319372195605E-3</v>
      </c>
      <c r="F1085">
        <f t="shared" si="38"/>
        <v>-1.6864265916373564E-2</v>
      </c>
      <c r="G1085">
        <f t="shared" si="39"/>
        <v>-2.9453107456032364E-2</v>
      </c>
    </row>
    <row r="1086" spans="1:7" x14ac:dyDescent="0.35">
      <c r="A1086" t="s">
        <v>67</v>
      </c>
      <c r="E1086">
        <v>8.6386268316589725E-3</v>
      </c>
      <c r="F1086">
        <f t="shared" si="38"/>
        <v>-1.6871500559814789E-2</v>
      </c>
      <c r="G1086">
        <f t="shared" si="39"/>
        <v>-2.9453107456032364E-2</v>
      </c>
    </row>
    <row r="1087" spans="1:7" x14ac:dyDescent="0.35">
      <c r="A1087" t="s">
        <v>67</v>
      </c>
      <c r="E1087">
        <v>-1.2482230067039611E-3</v>
      </c>
      <c r="F1087">
        <f t="shared" si="38"/>
        <v>-1.6878735203256022E-2</v>
      </c>
      <c r="G1087">
        <f t="shared" si="39"/>
        <v>-2.9453107456032364E-2</v>
      </c>
    </row>
    <row r="1088" spans="1:7" x14ac:dyDescent="0.35">
      <c r="A1088" t="s">
        <v>67</v>
      </c>
      <c r="E1088">
        <v>6.8188342320460735E-3</v>
      </c>
      <c r="F1088">
        <f t="shared" si="38"/>
        <v>-1.6885969846697255E-2</v>
      </c>
      <c r="G1088">
        <f t="shared" si="39"/>
        <v>-2.9453107456032364E-2</v>
      </c>
    </row>
    <row r="1089" spans="1:7" x14ac:dyDescent="0.35">
      <c r="A1089" t="s">
        <v>67</v>
      </c>
      <c r="E1089">
        <v>5.2426250943425848E-3</v>
      </c>
      <c r="F1089">
        <f t="shared" si="38"/>
        <v>-1.6893204490138484E-2</v>
      </c>
      <c r="G1089">
        <f t="shared" si="39"/>
        <v>-2.9453107456032364E-2</v>
      </c>
    </row>
    <row r="1090" spans="1:7" x14ac:dyDescent="0.35">
      <c r="A1090" t="s">
        <v>67</v>
      </c>
      <c r="E1090">
        <v>-3.2481037767143456E-3</v>
      </c>
      <c r="F1090">
        <f t="shared" si="38"/>
        <v>-1.6900439133579713E-2</v>
      </c>
      <c r="G1090">
        <f t="shared" si="39"/>
        <v>-2.9453107456032364E-2</v>
      </c>
    </row>
    <row r="1091" spans="1:7" x14ac:dyDescent="0.35">
      <c r="A1091" t="s">
        <v>67</v>
      </c>
      <c r="E1091">
        <v>-4.8124820304221482E-3</v>
      </c>
      <c r="F1091">
        <f t="shared" si="38"/>
        <v>-1.6907673777020942E-2</v>
      </c>
      <c r="G1091">
        <f t="shared" si="39"/>
        <v>-2.9453107456032364E-2</v>
      </c>
    </row>
    <row r="1092" spans="1:7" x14ac:dyDescent="0.35">
      <c r="A1092" t="s">
        <v>67</v>
      </c>
      <c r="E1092">
        <v>5.1017016899650783E-3</v>
      </c>
      <c r="F1092">
        <f t="shared" ref="F1092:F1155" si="40">_xlfn.PERCENTILE.EXC(E1092:E4907,0.05)</f>
        <v>-1.6914908420462175E-2</v>
      </c>
      <c r="G1092">
        <f t="shared" ref="G1092:G1155" si="41">AVERAGEIFS(E1092:E4908,E1092:E4908,"&lt;=" &amp; F1092)</f>
        <v>-2.9453107456032364E-2</v>
      </c>
    </row>
    <row r="1093" spans="1:7" x14ac:dyDescent="0.35">
      <c r="A1093" t="s">
        <v>67</v>
      </c>
      <c r="E1093">
        <v>-3.1191006808638606E-3</v>
      </c>
      <c r="F1093">
        <f t="shared" si="40"/>
        <v>-1.6922143063903407E-2</v>
      </c>
      <c r="G1093">
        <f t="shared" si="41"/>
        <v>-2.9453107456032364E-2</v>
      </c>
    </row>
    <row r="1094" spans="1:7" x14ac:dyDescent="0.35">
      <c r="A1094" t="s">
        <v>67</v>
      </c>
      <c r="E1094">
        <v>-3.1580819748258412E-3</v>
      </c>
      <c r="F1094">
        <f t="shared" si="40"/>
        <v>-1.6929377707344633E-2</v>
      </c>
      <c r="G1094">
        <f t="shared" si="41"/>
        <v>-2.9453107456032364E-2</v>
      </c>
    </row>
    <row r="1095" spans="1:7" x14ac:dyDescent="0.35">
      <c r="A1095" t="s">
        <v>67</v>
      </c>
      <c r="E1095">
        <v>6.5354611086032785E-3</v>
      </c>
      <c r="F1095">
        <f t="shared" si="40"/>
        <v>-1.6936612350785866E-2</v>
      </c>
      <c r="G1095">
        <f t="shared" si="41"/>
        <v>-2.9453107456032364E-2</v>
      </c>
    </row>
    <row r="1096" spans="1:7" x14ac:dyDescent="0.35">
      <c r="A1096" t="s">
        <v>67</v>
      </c>
      <c r="E1096">
        <v>-6.7211614319675347E-5</v>
      </c>
      <c r="F1096">
        <f t="shared" si="40"/>
        <v>-1.6943846994227095E-2</v>
      </c>
      <c r="G1096">
        <f t="shared" si="41"/>
        <v>-2.9453107456032364E-2</v>
      </c>
    </row>
    <row r="1097" spans="1:7" x14ac:dyDescent="0.35">
      <c r="A1097" t="s">
        <v>67</v>
      </c>
      <c r="E1097">
        <v>-1.2304698533718436E-3</v>
      </c>
      <c r="F1097">
        <f t="shared" si="40"/>
        <v>-1.6951081637668328E-2</v>
      </c>
      <c r="G1097">
        <f t="shared" si="41"/>
        <v>-2.9453107456032364E-2</v>
      </c>
    </row>
    <row r="1098" spans="1:7" x14ac:dyDescent="0.35">
      <c r="A1098" t="s">
        <v>67</v>
      </c>
      <c r="E1098">
        <v>3.0714869175698586E-3</v>
      </c>
      <c r="F1098">
        <f t="shared" si="40"/>
        <v>-1.695831628110956E-2</v>
      </c>
      <c r="G1098">
        <f t="shared" si="41"/>
        <v>-2.9453107456032364E-2</v>
      </c>
    </row>
    <row r="1099" spans="1:7" x14ac:dyDescent="0.35">
      <c r="A1099" t="s">
        <v>67</v>
      </c>
      <c r="E1099">
        <v>-1.9167514487076461E-3</v>
      </c>
      <c r="F1099">
        <f t="shared" si="40"/>
        <v>-1.6965550924550786E-2</v>
      </c>
      <c r="G1099">
        <f t="shared" si="41"/>
        <v>-2.9453107456032364E-2</v>
      </c>
    </row>
    <row r="1100" spans="1:7" x14ac:dyDescent="0.35">
      <c r="A1100" t="s">
        <v>67</v>
      </c>
      <c r="E1100">
        <v>2.2136887377095424E-3</v>
      </c>
      <c r="F1100">
        <f t="shared" si="40"/>
        <v>-1.6972785567992019E-2</v>
      </c>
      <c r="G1100">
        <f t="shared" si="41"/>
        <v>-2.9453107456032364E-2</v>
      </c>
    </row>
    <row r="1101" spans="1:7" x14ac:dyDescent="0.35">
      <c r="A1101" t="s">
        <v>67</v>
      </c>
      <c r="E1101">
        <v>-3.1478381324993661E-3</v>
      </c>
      <c r="F1101">
        <f t="shared" si="40"/>
        <v>-1.6985320764865728E-2</v>
      </c>
      <c r="G1101">
        <f t="shared" si="41"/>
        <v>-2.9545554284832663E-2</v>
      </c>
    </row>
    <row r="1102" spans="1:7" x14ac:dyDescent="0.35">
      <c r="A1102" t="s">
        <v>68</v>
      </c>
      <c r="B1102" s="3" cm="1">
        <f t="array" ref="B1102">_xlfn.STDEV.S(_xlfn._xlws.FILTER($E$1000:$E$1998, $A$1000:$A$1998="2014-06"))</f>
        <v>4.4854119671980316E-3</v>
      </c>
      <c r="C1102" s="3" cm="1">
        <f t="array" ref="C1102">AVERAGE(_xlfn._xlws.FILTER($E$1000:$E$1998, $A$1000:$A$1998="2014-06"))</f>
        <v>6.072614452311212E-5</v>
      </c>
      <c r="D1102" s="3" cm="1">
        <f t="array" ref="D1102">_xlfn.PERCENTILE.EXC(_xlfn._xlws.FILTER($E$1000:$E$1497, $A$1000:$A$1497="2014-06"), 0.05)</f>
        <v>-1.0700047167261756E-2</v>
      </c>
      <c r="E1102">
        <v>4.4453283145822527E-3</v>
      </c>
      <c r="F1102">
        <f t="shared" si="40"/>
        <v>-1.6997855961739441E-2</v>
      </c>
      <c r="G1102">
        <f t="shared" si="41"/>
        <v>-2.9545554284832663E-2</v>
      </c>
    </row>
    <row r="1103" spans="1:7" x14ac:dyDescent="0.35">
      <c r="A1103" t="s">
        <v>68</v>
      </c>
      <c r="E1103">
        <v>-5.8344515070552772E-3</v>
      </c>
      <c r="F1103">
        <f t="shared" si="40"/>
        <v>-1.7010391158613157E-2</v>
      </c>
      <c r="G1103">
        <f t="shared" si="41"/>
        <v>-2.9545554284832663E-2</v>
      </c>
    </row>
    <row r="1104" spans="1:7" x14ac:dyDescent="0.35">
      <c r="A1104" t="s">
        <v>68</v>
      </c>
      <c r="E1104">
        <v>-1.5884791460264208E-3</v>
      </c>
      <c r="F1104">
        <f t="shared" si="40"/>
        <v>-1.7022926355486866E-2</v>
      </c>
      <c r="G1104">
        <f t="shared" si="41"/>
        <v>-2.9545554284832663E-2</v>
      </c>
    </row>
    <row r="1105" spans="1:7" x14ac:dyDescent="0.35">
      <c r="A1105" t="s">
        <v>68</v>
      </c>
      <c r="E1105">
        <v>6.3494326107494704E-4</v>
      </c>
      <c r="F1105">
        <f t="shared" si="40"/>
        <v>-1.7035461552360579E-2</v>
      </c>
      <c r="G1105">
        <f t="shared" si="41"/>
        <v>-2.9545554284832663E-2</v>
      </c>
    </row>
    <row r="1106" spans="1:7" x14ac:dyDescent="0.35">
      <c r="A1106" t="s">
        <v>68</v>
      </c>
      <c r="E1106">
        <v>6.5738995691249627E-3</v>
      </c>
      <c r="F1106">
        <f t="shared" si="40"/>
        <v>-1.7047996749234288E-2</v>
      </c>
      <c r="G1106">
        <f t="shared" si="41"/>
        <v>-2.9545554284832663E-2</v>
      </c>
    </row>
    <row r="1107" spans="1:7" x14ac:dyDescent="0.35">
      <c r="A1107" t="s">
        <v>68</v>
      </c>
      <c r="E1107">
        <v>5.6838342086544796E-3</v>
      </c>
      <c r="F1107">
        <f t="shared" si="40"/>
        <v>-1.7060531946108005E-2</v>
      </c>
      <c r="G1107">
        <f t="shared" si="41"/>
        <v>-2.9545554284832663E-2</v>
      </c>
    </row>
    <row r="1108" spans="1:7" x14ac:dyDescent="0.35">
      <c r="A1108" t="s">
        <v>68</v>
      </c>
      <c r="E1108">
        <v>5.3188917371913805E-4</v>
      </c>
      <c r="F1108">
        <f t="shared" si="40"/>
        <v>-1.7073067142981718E-2</v>
      </c>
      <c r="G1108">
        <f t="shared" si="41"/>
        <v>-2.9545554284832663E-2</v>
      </c>
    </row>
    <row r="1109" spans="1:7" x14ac:dyDescent="0.35">
      <c r="A1109" t="s">
        <v>68</v>
      </c>
      <c r="E1109">
        <v>-1.578177731932499E-3</v>
      </c>
      <c r="F1109">
        <f t="shared" si="40"/>
        <v>-1.7085602339855427E-2</v>
      </c>
      <c r="G1109">
        <f t="shared" si="41"/>
        <v>-2.9545554284832663E-2</v>
      </c>
    </row>
    <row r="1110" spans="1:7" x14ac:dyDescent="0.35">
      <c r="A1110" t="s">
        <v>68</v>
      </c>
      <c r="E1110">
        <v>4.6194582574206436E-4</v>
      </c>
      <c r="F1110">
        <f t="shared" si="40"/>
        <v>-1.709813753672914E-2</v>
      </c>
      <c r="G1110">
        <f t="shared" si="41"/>
        <v>-2.9545554284832663E-2</v>
      </c>
    </row>
    <row r="1111" spans="1:7" x14ac:dyDescent="0.35">
      <c r="A1111" t="s">
        <v>68</v>
      </c>
      <c r="E1111">
        <v>4.2255825813811946E-4</v>
      </c>
      <c r="F1111">
        <f t="shared" si="40"/>
        <v>-1.7110672733602849E-2</v>
      </c>
      <c r="G1111">
        <f t="shared" si="41"/>
        <v>-2.9545554284832663E-2</v>
      </c>
    </row>
    <row r="1112" spans="1:7" x14ac:dyDescent="0.35">
      <c r="A1112" t="s">
        <v>68</v>
      </c>
      <c r="E1112">
        <v>-4.8944641247203793E-3</v>
      </c>
      <c r="F1112">
        <f t="shared" si="40"/>
        <v>-1.7123207930476565E-2</v>
      </c>
      <c r="G1112">
        <f t="shared" si="41"/>
        <v>-2.9545554284832663E-2</v>
      </c>
    </row>
    <row r="1113" spans="1:7" x14ac:dyDescent="0.35">
      <c r="A1113" t="s">
        <v>68</v>
      </c>
      <c r="E1113">
        <v>2.4011133867619591E-3</v>
      </c>
      <c r="F1113">
        <f t="shared" si="40"/>
        <v>-1.7135743127350278E-2</v>
      </c>
      <c r="G1113">
        <f t="shared" si="41"/>
        <v>-2.9545554284832663E-2</v>
      </c>
    </row>
    <row r="1114" spans="1:7" x14ac:dyDescent="0.35">
      <c r="A1114" t="s">
        <v>68</v>
      </c>
      <c r="E1114">
        <v>-1.4151309642938209E-3</v>
      </c>
      <c r="F1114">
        <f t="shared" si="40"/>
        <v>-1.7148278324223987E-2</v>
      </c>
      <c r="G1114">
        <f t="shared" si="41"/>
        <v>-2.9545554284832663E-2</v>
      </c>
    </row>
    <row r="1115" spans="1:7" x14ac:dyDescent="0.35">
      <c r="A1115" t="s">
        <v>68</v>
      </c>
      <c r="E1115">
        <v>6.7324047817688241E-3</v>
      </c>
      <c r="F1115">
        <f t="shared" si="40"/>
        <v>-1.7160813521097704E-2</v>
      </c>
      <c r="G1115">
        <f t="shared" si="41"/>
        <v>-2.9545554284832663E-2</v>
      </c>
    </row>
    <row r="1116" spans="1:7" x14ac:dyDescent="0.35">
      <c r="A1116" t="s">
        <v>68</v>
      </c>
      <c r="E1116">
        <v>3.0543569179850615E-3</v>
      </c>
      <c r="F1116">
        <f t="shared" si="40"/>
        <v>-1.7173348717971409E-2</v>
      </c>
      <c r="G1116">
        <f t="shared" si="41"/>
        <v>-2.9545554284832663E-2</v>
      </c>
    </row>
    <row r="1117" spans="1:7" x14ac:dyDescent="0.35">
      <c r="A1117" t="s">
        <v>68</v>
      </c>
      <c r="E1117">
        <v>-4.0294840824489225E-3</v>
      </c>
      <c r="F1117">
        <f t="shared" si="40"/>
        <v>-1.7185883914845126E-2</v>
      </c>
      <c r="G1117">
        <f t="shared" si="41"/>
        <v>-2.9545554284832663E-2</v>
      </c>
    </row>
    <row r="1118" spans="1:7" x14ac:dyDescent="0.35">
      <c r="A1118" t="s">
        <v>68</v>
      </c>
      <c r="E1118">
        <v>-3.9712124977779508E-3</v>
      </c>
      <c r="F1118">
        <f t="shared" si="40"/>
        <v>-1.7198419111718842E-2</v>
      </c>
      <c r="G1118">
        <f t="shared" si="41"/>
        <v>-2.9545554284832663E-2</v>
      </c>
    </row>
    <row r="1119" spans="1:7" x14ac:dyDescent="0.35">
      <c r="A1119" t="s">
        <v>68</v>
      </c>
      <c r="E1119">
        <v>-1.1240668907284698E-2</v>
      </c>
      <c r="F1119">
        <f t="shared" si="40"/>
        <v>-1.7210954308592548E-2</v>
      </c>
      <c r="G1119">
        <f t="shared" si="41"/>
        <v>-2.9545554284832663E-2</v>
      </c>
    </row>
    <row r="1120" spans="1:7" x14ac:dyDescent="0.35">
      <c r="A1120" t="s">
        <v>68</v>
      </c>
      <c r="E1120">
        <v>4.4839372490754204E-3</v>
      </c>
      <c r="F1120">
        <f t="shared" si="40"/>
        <v>-1.7223489505466264E-2</v>
      </c>
      <c r="G1120">
        <f t="shared" si="41"/>
        <v>-2.9545554284832663E-2</v>
      </c>
    </row>
    <row r="1121" spans="1:7" x14ac:dyDescent="0.35">
      <c r="A1121" t="s">
        <v>68</v>
      </c>
      <c r="E1121">
        <v>1.2291208295975946E-3</v>
      </c>
      <c r="F1121">
        <f t="shared" si="40"/>
        <v>-1.7227217706913996E-2</v>
      </c>
      <c r="G1121">
        <f t="shared" si="41"/>
        <v>-2.9637509992141365E-2</v>
      </c>
    </row>
    <row r="1122" spans="1:7" x14ac:dyDescent="0.35">
      <c r="A1122" t="s">
        <v>68</v>
      </c>
      <c r="E1122">
        <v>-8.2801377969950239E-4</v>
      </c>
      <c r="F1122">
        <f t="shared" si="40"/>
        <v>-1.7230945908361731E-2</v>
      </c>
      <c r="G1122">
        <f t="shared" si="41"/>
        <v>-2.9637509992141365E-2</v>
      </c>
    </row>
    <row r="1123" spans="1:7" x14ac:dyDescent="0.35">
      <c r="A1123" t="s">
        <v>69</v>
      </c>
      <c r="B1123" s="3" cm="1">
        <f t="array" ref="B1123">_xlfn.STDEV.S(_xlfn._xlws.FILTER($E$1000:$E$1998, $A$1000:$A$1998="2014-07"))</f>
        <v>7.1623321235759424E-3</v>
      </c>
      <c r="C1123" s="3" cm="1">
        <f t="array" ref="C1123">AVERAGE(_xlfn._xlws.FILTER($E$1000:$E$1998, $A$1000:$A$1998="2014-07"))</f>
        <v>3.3514632242814455E-4</v>
      </c>
      <c r="D1123" s="3" cm="1">
        <f t="array" ref="D1123">_xlfn.PERCENTILE.EXC(_xlfn._xlws.FILTER($E$1000:$E$1497, $A$1000:$A$1497="2014-07"), 0.05)</f>
        <v>-1.1948201271053706E-2</v>
      </c>
      <c r="E1123">
        <v>1.2311576036047076E-2</v>
      </c>
      <c r="F1123">
        <f t="shared" si="40"/>
        <v>-1.7234674109809466E-2</v>
      </c>
      <c r="G1123">
        <f t="shared" si="41"/>
        <v>-2.9637509992141365E-2</v>
      </c>
    </row>
    <row r="1124" spans="1:7" x14ac:dyDescent="0.35">
      <c r="A1124" t="s">
        <v>69</v>
      </c>
      <c r="E1124">
        <v>4.5947320057391078E-3</v>
      </c>
      <c r="F1124">
        <f t="shared" si="40"/>
        <v>-1.7238402311257197E-2</v>
      </c>
      <c r="G1124">
        <f t="shared" si="41"/>
        <v>-2.9637509992141365E-2</v>
      </c>
    </row>
    <row r="1125" spans="1:7" x14ac:dyDescent="0.35">
      <c r="A1125" t="s">
        <v>69</v>
      </c>
      <c r="E1125">
        <v>9.9774127683853499E-3</v>
      </c>
      <c r="F1125">
        <f t="shared" si="40"/>
        <v>-1.7242130512704928E-2</v>
      </c>
      <c r="G1125">
        <f t="shared" si="41"/>
        <v>-2.9637509992141365E-2</v>
      </c>
    </row>
    <row r="1126" spans="1:7" x14ac:dyDescent="0.35">
      <c r="A1126" t="s">
        <v>69</v>
      </c>
      <c r="E1126">
        <v>1.6738393337577594E-3</v>
      </c>
      <c r="F1126">
        <f t="shared" si="40"/>
        <v>-1.7245858714152663E-2</v>
      </c>
      <c r="G1126">
        <f t="shared" si="41"/>
        <v>-2.9637509992141365E-2</v>
      </c>
    </row>
    <row r="1127" spans="1:7" x14ac:dyDescent="0.35">
      <c r="A1127" t="s">
        <v>69</v>
      </c>
      <c r="E1127">
        <v>-9.0372175748947309E-3</v>
      </c>
      <c r="F1127">
        <f t="shared" si="40"/>
        <v>-1.7249586915600395E-2</v>
      </c>
      <c r="G1127">
        <f t="shared" si="41"/>
        <v>-2.9637509992141365E-2</v>
      </c>
    </row>
    <row r="1128" spans="1:7" x14ac:dyDescent="0.35">
      <c r="A1128" t="s">
        <v>69</v>
      </c>
      <c r="E1128">
        <v>-1.267594719509345E-2</v>
      </c>
      <c r="F1128">
        <f t="shared" si="40"/>
        <v>-1.725331511704813E-2</v>
      </c>
      <c r="G1128">
        <f t="shared" si="41"/>
        <v>-2.9637509992141365E-2</v>
      </c>
    </row>
    <row r="1129" spans="1:7" x14ac:dyDescent="0.35">
      <c r="A1129" t="s">
        <v>69</v>
      </c>
      <c r="E1129">
        <v>-4.6190037961672589E-3</v>
      </c>
      <c r="F1129">
        <f t="shared" si="40"/>
        <v>-1.7257043318495861E-2</v>
      </c>
      <c r="G1129">
        <f t="shared" si="41"/>
        <v>-2.9637509992141365E-2</v>
      </c>
    </row>
    <row r="1130" spans="1:7" x14ac:dyDescent="0.35">
      <c r="A1130" t="s">
        <v>69</v>
      </c>
      <c r="E1130">
        <v>-5.14301117469742E-3</v>
      </c>
      <c r="F1130">
        <f t="shared" si="40"/>
        <v>-1.7260771519943596E-2</v>
      </c>
      <c r="G1130">
        <f t="shared" si="41"/>
        <v>-2.9637509992141365E-2</v>
      </c>
    </row>
    <row r="1131" spans="1:7" x14ac:dyDescent="0.35">
      <c r="A1131" t="s">
        <v>69</v>
      </c>
      <c r="E1131">
        <v>1.9308558619224186E-3</v>
      </c>
      <c r="F1131">
        <f t="shared" si="40"/>
        <v>-1.7264499721391328E-2</v>
      </c>
      <c r="G1131">
        <f t="shared" si="41"/>
        <v>-2.9637509992141365E-2</v>
      </c>
    </row>
    <row r="1132" spans="1:7" x14ac:dyDescent="0.35">
      <c r="A1132" t="s">
        <v>69</v>
      </c>
      <c r="E1132">
        <v>5.3882347518288461E-3</v>
      </c>
      <c r="F1132">
        <f t="shared" si="40"/>
        <v>-1.7268227922839063E-2</v>
      </c>
      <c r="G1132">
        <f t="shared" si="41"/>
        <v>-2.9637509992141365E-2</v>
      </c>
    </row>
    <row r="1133" spans="1:7" x14ac:dyDescent="0.35">
      <c r="A1133" t="s">
        <v>69</v>
      </c>
      <c r="E1133">
        <v>1.9079554969167471E-3</v>
      </c>
      <c r="F1133">
        <f t="shared" si="40"/>
        <v>-1.7271956124286798E-2</v>
      </c>
      <c r="G1133">
        <f t="shared" si="41"/>
        <v>-2.9637509992141365E-2</v>
      </c>
    </row>
    <row r="1134" spans="1:7" x14ac:dyDescent="0.35">
      <c r="A1134" t="s">
        <v>69</v>
      </c>
      <c r="E1134">
        <v>1.3485310812200588E-2</v>
      </c>
      <c r="F1134">
        <f t="shared" si="40"/>
        <v>-1.7275684325734529E-2</v>
      </c>
      <c r="G1134">
        <f t="shared" si="41"/>
        <v>-2.9637509992141365E-2</v>
      </c>
    </row>
    <row r="1135" spans="1:7" x14ac:dyDescent="0.35">
      <c r="A1135" t="s">
        <v>69</v>
      </c>
      <c r="E1135">
        <v>-8.1948070814225043E-3</v>
      </c>
      <c r="F1135">
        <f t="shared" si="40"/>
        <v>-1.7279412527182264E-2</v>
      </c>
      <c r="G1135">
        <f t="shared" si="41"/>
        <v>-2.9637509992141365E-2</v>
      </c>
    </row>
    <row r="1136" spans="1:7" x14ac:dyDescent="0.35">
      <c r="A1136" t="s">
        <v>69</v>
      </c>
      <c r="E1136">
        <v>2.0629223485102053E-4</v>
      </c>
      <c r="F1136">
        <f t="shared" si="40"/>
        <v>-1.7283140728629996E-2</v>
      </c>
      <c r="G1136">
        <f t="shared" si="41"/>
        <v>-2.9637509992141365E-2</v>
      </c>
    </row>
    <row r="1137" spans="1:7" x14ac:dyDescent="0.35">
      <c r="A1137" t="s">
        <v>69</v>
      </c>
      <c r="E1137">
        <v>-3.675671352191942E-3</v>
      </c>
      <c r="F1137">
        <f t="shared" si="40"/>
        <v>-1.7286868930077727E-2</v>
      </c>
      <c r="G1137">
        <f t="shared" si="41"/>
        <v>-2.9637509992141365E-2</v>
      </c>
    </row>
    <row r="1138" spans="1:7" x14ac:dyDescent="0.35">
      <c r="A1138" t="s">
        <v>69</v>
      </c>
      <c r="E1138">
        <v>1.3133599003094279E-2</v>
      </c>
      <c r="F1138">
        <f t="shared" si="40"/>
        <v>-1.7290597131525462E-2</v>
      </c>
      <c r="G1138">
        <f t="shared" si="41"/>
        <v>-2.9637509992141365E-2</v>
      </c>
    </row>
    <row r="1139" spans="1:7" x14ac:dyDescent="0.35">
      <c r="A1139" t="s">
        <v>69</v>
      </c>
      <c r="E1139">
        <v>-4.628650838288871E-4</v>
      </c>
      <c r="F1139">
        <f t="shared" si="40"/>
        <v>-1.7294325332973193E-2</v>
      </c>
      <c r="G1139">
        <f t="shared" si="41"/>
        <v>-2.9637509992141365E-2</v>
      </c>
    </row>
    <row r="1140" spans="1:7" x14ac:dyDescent="0.35">
      <c r="A1140" t="s">
        <v>69</v>
      </c>
      <c r="E1140">
        <v>-2.1289122864879227E-4</v>
      </c>
      <c r="F1140">
        <f t="shared" si="40"/>
        <v>-1.7298053534420928E-2</v>
      </c>
      <c r="G1140">
        <f t="shared" si="41"/>
        <v>-2.9637509992141365E-2</v>
      </c>
    </row>
    <row r="1141" spans="1:7" x14ac:dyDescent="0.35">
      <c r="A1141" t="s">
        <v>69</v>
      </c>
      <c r="E1141">
        <v>-2.1706313933719198E-3</v>
      </c>
      <c r="F1141">
        <f t="shared" si="40"/>
        <v>-1.7299135986657072E-2</v>
      </c>
      <c r="G1141">
        <f t="shared" si="41"/>
        <v>-2.9730287860244526E-2</v>
      </c>
    </row>
    <row r="1142" spans="1:7" x14ac:dyDescent="0.35">
      <c r="A1142" t="s">
        <v>69</v>
      </c>
      <c r="E1142">
        <v>-2.2772772210151839E-4</v>
      </c>
      <c r="F1142">
        <f t="shared" si="40"/>
        <v>-1.7300218438893216E-2</v>
      </c>
      <c r="G1142">
        <f t="shared" si="41"/>
        <v>-2.9730287860244526E-2</v>
      </c>
    </row>
    <row r="1143" spans="1:7" x14ac:dyDescent="0.35">
      <c r="A1143" t="s">
        <v>69</v>
      </c>
      <c r="E1143">
        <v>2.2409246760612708E-3</v>
      </c>
      <c r="F1143">
        <f t="shared" si="40"/>
        <v>-1.730130089112936E-2</v>
      </c>
      <c r="G1143">
        <f t="shared" si="41"/>
        <v>-2.9730287860244526E-2</v>
      </c>
    </row>
    <row r="1144" spans="1:7" x14ac:dyDescent="0.35">
      <c r="A1144" t="s">
        <v>69</v>
      </c>
      <c r="E1144">
        <v>-5.0278425392646384E-3</v>
      </c>
      <c r="F1144">
        <f t="shared" si="40"/>
        <v>-1.7302383343365507E-2</v>
      </c>
      <c r="G1144">
        <f t="shared" si="41"/>
        <v>-2.9730287860244526E-2</v>
      </c>
    </row>
    <row r="1145" spans="1:7" x14ac:dyDescent="0.35">
      <c r="A1145" t="s">
        <v>69</v>
      </c>
      <c r="E1145">
        <v>-7.6947514232740813E-3</v>
      </c>
      <c r="F1145">
        <f t="shared" si="40"/>
        <v>-1.7303465795601651E-2</v>
      </c>
      <c r="G1145">
        <f t="shared" si="41"/>
        <v>-2.9730287860244526E-2</v>
      </c>
    </row>
    <row r="1146" spans="1:7" x14ac:dyDescent="0.35">
      <c r="A1146" t="s">
        <v>70</v>
      </c>
      <c r="B1146" s="3" cm="1">
        <f t="array" ref="B1146">_xlfn.STDEV.S(_xlfn._xlws.FILTER($E$1000:$E$1998, $A$1000:$A$1998="2014-08"))</f>
        <v>7.3645359633783582E-3</v>
      </c>
      <c r="C1146" s="3" cm="1">
        <f t="array" ref="C1146">AVERAGE(_xlfn._xlws.FILTER($E$1000:$E$1998, $A$1000:$A$1998="2014-08"))</f>
        <v>7.0196134634815455E-4</v>
      </c>
      <c r="D1146" s="3" cm="1">
        <f t="array" ref="D1146">_xlfn.PERCENTILE.EXC(_xlfn._xlws.FILTER($E$1000:$E$1497, $A$1000:$A$1497="2014-08"), 0.05)</f>
        <v>-1.405205661122096E-2</v>
      </c>
      <c r="E1146">
        <v>-1.405205661122096E-2</v>
      </c>
      <c r="F1146">
        <f t="shared" si="40"/>
        <v>-1.7304548247837795E-2</v>
      </c>
      <c r="G1146">
        <f t="shared" si="41"/>
        <v>-2.9730287860244526E-2</v>
      </c>
    </row>
    <row r="1147" spans="1:7" x14ac:dyDescent="0.35">
      <c r="A1147" t="s">
        <v>70</v>
      </c>
      <c r="E1147">
        <v>1.6849999099047414E-3</v>
      </c>
      <c r="F1147">
        <f t="shared" si="40"/>
        <v>-1.7305630700073939E-2</v>
      </c>
      <c r="G1147">
        <f t="shared" si="41"/>
        <v>-2.9730287860244526E-2</v>
      </c>
    </row>
    <row r="1148" spans="1:7" x14ac:dyDescent="0.35">
      <c r="A1148" t="s">
        <v>70</v>
      </c>
      <c r="E1148">
        <v>5.8684102683893239E-3</v>
      </c>
      <c r="F1148">
        <f t="shared" si="40"/>
        <v>-1.7306713152310083E-2</v>
      </c>
      <c r="G1148">
        <f t="shared" si="41"/>
        <v>-2.9730287860244526E-2</v>
      </c>
    </row>
    <row r="1149" spans="1:7" x14ac:dyDescent="0.35">
      <c r="A1149" t="s">
        <v>70</v>
      </c>
      <c r="E1149">
        <v>-8.5569742538355933E-3</v>
      </c>
      <c r="F1149">
        <f t="shared" si="40"/>
        <v>-1.7307795604546226E-2</v>
      </c>
      <c r="G1149">
        <f t="shared" si="41"/>
        <v>-2.9730287860244526E-2</v>
      </c>
    </row>
    <row r="1150" spans="1:7" x14ac:dyDescent="0.35">
      <c r="A1150" t="s">
        <v>70</v>
      </c>
      <c r="E1150">
        <v>-5.3308995369991839E-3</v>
      </c>
      <c r="F1150">
        <f t="shared" si="40"/>
        <v>-1.730887805678237E-2</v>
      </c>
      <c r="G1150">
        <f t="shared" si="41"/>
        <v>-2.9730287860244526E-2</v>
      </c>
    </row>
    <row r="1151" spans="1:7" x14ac:dyDescent="0.35">
      <c r="A1151" t="s">
        <v>70</v>
      </c>
      <c r="E1151">
        <v>-1.2882751233685815E-2</v>
      </c>
      <c r="F1151">
        <f t="shared" si="40"/>
        <v>-1.7309960509018518E-2</v>
      </c>
      <c r="G1151">
        <f t="shared" si="41"/>
        <v>-2.9730287860244526E-2</v>
      </c>
    </row>
    <row r="1152" spans="1:7" x14ac:dyDescent="0.35">
      <c r="A1152" t="s">
        <v>70</v>
      </c>
      <c r="E1152">
        <v>1.2573944279701594E-2</v>
      </c>
      <c r="F1152">
        <f t="shared" si="40"/>
        <v>-1.7311042961254661E-2</v>
      </c>
      <c r="G1152">
        <f t="shared" si="41"/>
        <v>-2.9730287860244526E-2</v>
      </c>
    </row>
    <row r="1153" spans="1:7" x14ac:dyDescent="0.35">
      <c r="A1153" t="s">
        <v>70</v>
      </c>
      <c r="E1153">
        <v>3.491386254215995E-3</v>
      </c>
      <c r="F1153">
        <f t="shared" si="40"/>
        <v>-1.7312125413490805E-2</v>
      </c>
      <c r="G1153">
        <f t="shared" si="41"/>
        <v>-2.9730287860244526E-2</v>
      </c>
    </row>
    <row r="1154" spans="1:7" x14ac:dyDescent="0.35">
      <c r="A1154" t="s">
        <v>70</v>
      </c>
      <c r="E1154">
        <v>-3.8568934562723217E-3</v>
      </c>
      <c r="F1154">
        <f t="shared" si="40"/>
        <v>-1.7313207865726949E-2</v>
      </c>
      <c r="G1154">
        <f t="shared" si="41"/>
        <v>-2.9730287860244526E-2</v>
      </c>
    </row>
    <row r="1155" spans="1:7" x14ac:dyDescent="0.35">
      <c r="A1155" t="s">
        <v>70</v>
      </c>
      <c r="E1155">
        <v>3.7149215952105388E-3</v>
      </c>
      <c r="F1155">
        <f t="shared" si="40"/>
        <v>-1.7314290317963093E-2</v>
      </c>
      <c r="G1155">
        <f t="shared" si="41"/>
        <v>-2.9730287860244526E-2</v>
      </c>
    </row>
    <row r="1156" spans="1:7" x14ac:dyDescent="0.35">
      <c r="A1156" t="s">
        <v>70</v>
      </c>
      <c r="E1156">
        <v>1.1617011314437722E-2</v>
      </c>
      <c r="F1156">
        <f t="shared" ref="F1156:F1219" si="42">_xlfn.PERCENTILE.EXC(E1156:E4971,0.05)</f>
        <v>-1.7315372770199237E-2</v>
      </c>
      <c r="G1156">
        <f t="shared" ref="G1156:G1219" si="43">AVERAGEIFS(E1156:E4972,E1156:E4972,"&lt;=" &amp; F1156)</f>
        <v>-2.9730287860244526E-2</v>
      </c>
    </row>
    <row r="1157" spans="1:7" x14ac:dyDescent="0.35">
      <c r="A1157" t="s">
        <v>70</v>
      </c>
      <c r="E1157">
        <v>2.0917046080260876E-3</v>
      </c>
      <c r="F1157">
        <f t="shared" si="42"/>
        <v>-1.7316455222435384E-2</v>
      </c>
      <c r="G1157">
        <f t="shared" si="43"/>
        <v>-2.9730287860244526E-2</v>
      </c>
    </row>
    <row r="1158" spans="1:7" x14ac:dyDescent="0.35">
      <c r="A1158" t="s">
        <v>70</v>
      </c>
      <c r="E1158">
        <v>-8.7523384930758769E-4</v>
      </c>
      <c r="F1158">
        <f t="shared" si="42"/>
        <v>-1.7317537674671528E-2</v>
      </c>
      <c r="G1158">
        <f t="shared" si="43"/>
        <v>-2.9730287860244526E-2</v>
      </c>
    </row>
    <row r="1159" spans="1:7" x14ac:dyDescent="0.35">
      <c r="A1159" t="s">
        <v>70</v>
      </c>
      <c r="E1159">
        <v>1.5767072397366128E-3</v>
      </c>
      <c r="F1159">
        <f t="shared" si="42"/>
        <v>-1.7318620126907672E-2</v>
      </c>
      <c r="G1159">
        <f t="shared" si="43"/>
        <v>-2.9730287860244526E-2</v>
      </c>
    </row>
    <row r="1160" spans="1:7" x14ac:dyDescent="0.35">
      <c r="A1160" t="s">
        <v>70</v>
      </c>
      <c r="E1160">
        <v>1.9221762956346266E-3</v>
      </c>
      <c r="F1160">
        <f t="shared" si="42"/>
        <v>-1.7319702579143816E-2</v>
      </c>
      <c r="G1160">
        <f t="shared" si="43"/>
        <v>-2.9730287860244526E-2</v>
      </c>
    </row>
    <row r="1161" spans="1:7" x14ac:dyDescent="0.35">
      <c r="A1161" t="s">
        <v>70</v>
      </c>
      <c r="E1161">
        <v>1.0107489419260231E-2</v>
      </c>
      <c r="F1161">
        <f t="shared" si="42"/>
        <v>-1.7344276160909725E-2</v>
      </c>
      <c r="G1161">
        <f t="shared" si="43"/>
        <v>-2.982430744570741E-2</v>
      </c>
    </row>
    <row r="1162" spans="1:7" x14ac:dyDescent="0.35">
      <c r="A1162" t="s">
        <v>70</v>
      </c>
      <c r="E1162">
        <v>1.8350230109923846E-3</v>
      </c>
      <c r="F1162">
        <f t="shared" si="42"/>
        <v>-1.7368849742675645E-2</v>
      </c>
      <c r="G1162">
        <f t="shared" si="43"/>
        <v>-2.982430744570741E-2</v>
      </c>
    </row>
    <row r="1163" spans="1:7" x14ac:dyDescent="0.35">
      <c r="A1163" t="s">
        <v>70</v>
      </c>
      <c r="E1163">
        <v>-2.6428107540697066E-3</v>
      </c>
      <c r="F1163">
        <f t="shared" si="42"/>
        <v>-1.7393423324441569E-2</v>
      </c>
      <c r="G1163">
        <f t="shared" si="43"/>
        <v>-2.982430744570741E-2</v>
      </c>
    </row>
    <row r="1164" spans="1:7" x14ac:dyDescent="0.35">
      <c r="A1164" t="s">
        <v>70</v>
      </c>
      <c r="E1164">
        <v>5.0511110804962473E-3</v>
      </c>
      <c r="F1164">
        <f t="shared" si="42"/>
        <v>-1.7417996906207475E-2</v>
      </c>
      <c r="G1164">
        <f t="shared" si="43"/>
        <v>-2.982430744570741E-2</v>
      </c>
    </row>
    <row r="1165" spans="1:7" x14ac:dyDescent="0.35">
      <c r="A1165" t="s">
        <v>71</v>
      </c>
      <c r="B1165" s="3" cm="1">
        <f t="array" ref="B1165">_xlfn.STDEV.S(_xlfn._xlws.FILTER($E$1000:$E$1998, $A$1000:$A$1998="2014-09"))</f>
        <v>6.8269702457620964E-3</v>
      </c>
      <c r="C1165" s="3" cm="1">
        <f t="array" ref="C1165">AVERAGE(_xlfn._xlws.FILTER($E$1000:$E$1998, $A$1000:$A$1998="2014-09"))</f>
        <v>-5.2390598649812794E-4</v>
      </c>
      <c r="D1165" s="3" cm="1">
        <f t="array" ref="D1165">_xlfn.PERCENTILE.EXC(_xlfn._xlws.FILTER($E$1000:$E$1497, $A$1000:$A$1497="2014-09"), 0.05)</f>
        <v>-1.452915127562418E-2</v>
      </c>
      <c r="E1165">
        <v>3.2062592282534404E-3</v>
      </c>
      <c r="F1165">
        <f t="shared" si="42"/>
        <v>-1.7442570487973399E-2</v>
      </c>
      <c r="G1165">
        <f t="shared" si="43"/>
        <v>-2.982430744570741E-2</v>
      </c>
    </row>
    <row r="1166" spans="1:7" x14ac:dyDescent="0.35">
      <c r="A1166" t="s">
        <v>71</v>
      </c>
      <c r="E1166">
        <v>-6.2301191799790951E-3</v>
      </c>
      <c r="F1166">
        <f t="shared" si="42"/>
        <v>-1.7467144069739308E-2</v>
      </c>
      <c r="G1166">
        <f t="shared" si="43"/>
        <v>-2.982430744570741E-2</v>
      </c>
    </row>
    <row r="1167" spans="1:7" x14ac:dyDescent="0.35">
      <c r="A1167" t="s">
        <v>71</v>
      </c>
      <c r="E1167">
        <v>2.9559817335358708E-3</v>
      </c>
      <c r="F1167">
        <f t="shared" si="42"/>
        <v>-1.7491717651505229E-2</v>
      </c>
      <c r="G1167">
        <f t="shared" si="43"/>
        <v>-2.982430744570741E-2</v>
      </c>
    </row>
    <row r="1168" spans="1:7" x14ac:dyDescent="0.35">
      <c r="A1168" t="s">
        <v>71</v>
      </c>
      <c r="E1168">
        <v>9.6578097959091683E-3</v>
      </c>
      <c r="F1168">
        <f t="shared" si="42"/>
        <v>-1.7516291233271152E-2</v>
      </c>
      <c r="G1168">
        <f t="shared" si="43"/>
        <v>-2.982430744570741E-2</v>
      </c>
    </row>
    <row r="1169" spans="1:7" x14ac:dyDescent="0.35">
      <c r="A1169" t="s">
        <v>71</v>
      </c>
      <c r="E1169">
        <v>-6.3339827188694893E-3</v>
      </c>
      <c r="F1169">
        <f t="shared" si="42"/>
        <v>-1.7540864815037058E-2</v>
      </c>
      <c r="G1169">
        <f t="shared" si="43"/>
        <v>-2.982430744570741E-2</v>
      </c>
    </row>
    <row r="1170" spans="1:7" x14ac:dyDescent="0.35">
      <c r="A1170" t="s">
        <v>71</v>
      </c>
      <c r="E1170">
        <v>-1.2197592019523983E-2</v>
      </c>
      <c r="F1170">
        <f t="shared" si="42"/>
        <v>-1.7565438396802982E-2</v>
      </c>
      <c r="G1170">
        <f t="shared" si="43"/>
        <v>-2.982430744570741E-2</v>
      </c>
    </row>
    <row r="1171" spans="1:7" x14ac:dyDescent="0.35">
      <c r="A1171" t="s">
        <v>71</v>
      </c>
      <c r="E1171">
        <v>-2.6173624423268876E-3</v>
      </c>
      <c r="F1171">
        <f t="shared" si="42"/>
        <v>-1.7590011978568892E-2</v>
      </c>
      <c r="G1171">
        <f t="shared" si="43"/>
        <v>-2.982430744570741E-2</v>
      </c>
    </row>
    <row r="1172" spans="1:7" x14ac:dyDescent="0.35">
      <c r="A1172" t="s">
        <v>71</v>
      </c>
      <c r="E1172">
        <v>6.8263780779841904E-3</v>
      </c>
      <c r="F1172">
        <f t="shared" si="42"/>
        <v>-1.7614585560334812E-2</v>
      </c>
      <c r="G1172">
        <f t="shared" si="43"/>
        <v>-2.982430744570741E-2</v>
      </c>
    </row>
    <row r="1173" spans="1:7" x14ac:dyDescent="0.35">
      <c r="A1173" t="s">
        <v>71</v>
      </c>
      <c r="E1173">
        <v>-4.0822831666331837E-3</v>
      </c>
      <c r="F1173">
        <f t="shared" si="42"/>
        <v>-1.7639159142100735E-2</v>
      </c>
      <c r="G1173">
        <f t="shared" si="43"/>
        <v>-2.982430744570741E-2</v>
      </c>
    </row>
    <row r="1174" spans="1:7" x14ac:dyDescent="0.35">
      <c r="A1174" t="s">
        <v>71</v>
      </c>
      <c r="E1174">
        <v>8.5489896887252007E-4</v>
      </c>
      <c r="F1174">
        <f t="shared" si="42"/>
        <v>-1.7663732723866642E-2</v>
      </c>
      <c r="G1174">
        <f t="shared" si="43"/>
        <v>-2.982430744570741E-2</v>
      </c>
    </row>
    <row r="1175" spans="1:7" x14ac:dyDescent="0.35">
      <c r="A1175" t="s">
        <v>71</v>
      </c>
      <c r="E1175">
        <v>6.947251494793043E-6</v>
      </c>
      <c r="F1175">
        <f t="shared" si="42"/>
        <v>-1.7688306305632565E-2</v>
      </c>
      <c r="G1175">
        <f t="shared" si="43"/>
        <v>-2.982430744570741E-2</v>
      </c>
    </row>
    <row r="1176" spans="1:7" x14ac:dyDescent="0.35">
      <c r="A1176" t="s">
        <v>71</v>
      </c>
      <c r="E1176">
        <v>-9.8623329631055377E-4</v>
      </c>
      <c r="F1176">
        <f t="shared" si="42"/>
        <v>-1.7712879887398475E-2</v>
      </c>
      <c r="G1176">
        <f t="shared" si="43"/>
        <v>-2.982430744570741E-2</v>
      </c>
    </row>
    <row r="1177" spans="1:7" x14ac:dyDescent="0.35">
      <c r="A1177" t="s">
        <v>71</v>
      </c>
      <c r="E1177">
        <v>1.7413284892253953E-3</v>
      </c>
      <c r="F1177">
        <f t="shared" si="42"/>
        <v>-1.7737453469164395E-2</v>
      </c>
      <c r="G1177">
        <f t="shared" si="43"/>
        <v>-2.982430744570741E-2</v>
      </c>
    </row>
    <row r="1178" spans="1:7" x14ac:dyDescent="0.35">
      <c r="A1178" t="s">
        <v>71</v>
      </c>
      <c r="E1178">
        <v>1.2030178367446128E-2</v>
      </c>
      <c r="F1178">
        <f t="shared" si="42"/>
        <v>-1.7762027050930319E-2</v>
      </c>
      <c r="G1178">
        <f t="shared" si="43"/>
        <v>-2.982430744570741E-2</v>
      </c>
    </row>
    <row r="1179" spans="1:7" x14ac:dyDescent="0.35">
      <c r="A1179" t="s">
        <v>71</v>
      </c>
      <c r="E1179">
        <v>4.6381287494310225E-3</v>
      </c>
      <c r="F1179">
        <f t="shared" si="42"/>
        <v>-1.7786600632696225E-2</v>
      </c>
      <c r="G1179">
        <f t="shared" si="43"/>
        <v>-2.982430744570741E-2</v>
      </c>
    </row>
    <row r="1180" spans="1:7" x14ac:dyDescent="0.35">
      <c r="A1180" t="s">
        <v>71</v>
      </c>
      <c r="E1180">
        <v>-6.5505937280919049E-3</v>
      </c>
      <c r="F1180">
        <f t="shared" si="42"/>
        <v>-1.7811174214462148E-2</v>
      </c>
      <c r="G1180">
        <f t="shared" si="43"/>
        <v>-2.982430744570741E-2</v>
      </c>
    </row>
    <row r="1181" spans="1:7" x14ac:dyDescent="0.35">
      <c r="A1181" t="s">
        <v>71</v>
      </c>
      <c r="E1181">
        <v>-1.4940602909053627E-2</v>
      </c>
      <c r="F1181">
        <f t="shared" si="42"/>
        <v>-1.7814352810705172E-2</v>
      </c>
      <c r="G1181">
        <f t="shared" si="43"/>
        <v>-2.991601075281615E-2</v>
      </c>
    </row>
    <row r="1182" spans="1:7" x14ac:dyDescent="0.35">
      <c r="A1182" t="s">
        <v>71</v>
      </c>
      <c r="E1182">
        <v>7.8474810442056685E-3</v>
      </c>
      <c r="F1182">
        <f t="shared" si="42"/>
        <v>-1.7817531406948195E-2</v>
      </c>
      <c r="G1182">
        <f t="shared" si="43"/>
        <v>-2.991601075281615E-2</v>
      </c>
    </row>
    <row r="1183" spans="1:7" x14ac:dyDescent="0.35">
      <c r="A1183" t="s">
        <v>71</v>
      </c>
      <c r="E1183">
        <v>-8.4540656758677613E-3</v>
      </c>
      <c r="F1183">
        <f t="shared" si="42"/>
        <v>-1.7820710003191218E-2</v>
      </c>
      <c r="G1183">
        <f t="shared" si="43"/>
        <v>-2.991601075281615E-2</v>
      </c>
    </row>
    <row r="1184" spans="1:7" x14ac:dyDescent="0.35">
      <c r="A1184" t="s">
        <v>71</v>
      </c>
      <c r="E1184">
        <v>1.8594037388074394E-3</v>
      </c>
      <c r="F1184">
        <f t="shared" si="42"/>
        <v>-1.7823888599434238E-2</v>
      </c>
      <c r="G1184">
        <f t="shared" si="43"/>
        <v>-2.991601075281615E-2</v>
      </c>
    </row>
    <row r="1185" spans="1:7" x14ac:dyDescent="0.35">
      <c r="A1185" t="s">
        <v>71</v>
      </c>
      <c r="E1185">
        <v>2.4208559369449977E-4</v>
      </c>
      <c r="F1185">
        <f t="shared" si="42"/>
        <v>-1.7827067195677261E-2</v>
      </c>
      <c r="G1185">
        <f t="shared" si="43"/>
        <v>-2.991601075281615E-2</v>
      </c>
    </row>
    <row r="1186" spans="1:7" x14ac:dyDescent="0.35">
      <c r="A1186" t="s">
        <v>71</v>
      </c>
      <c r="E1186">
        <v>-9.9997760516246483E-4</v>
      </c>
      <c r="F1186">
        <f t="shared" si="42"/>
        <v>-1.7830245791920284E-2</v>
      </c>
      <c r="G1186">
        <f t="shared" si="43"/>
        <v>-2.991601075281615E-2</v>
      </c>
    </row>
    <row r="1187" spans="1:7" x14ac:dyDescent="0.35">
      <c r="A1187" t="s">
        <v>72</v>
      </c>
      <c r="B1187" s="3" cm="1">
        <f t="array" ref="B1187">_xlfn.STDEV.S(_xlfn._xlws.FILTER($E$1000:$E$1998, $A$1000:$A$1998="2014-10"))</f>
        <v>1.4482191037231125E-2</v>
      </c>
      <c r="C1187" s="3" cm="1">
        <f t="array" ref="C1187">AVERAGE(_xlfn._xlws.FILTER($E$1000:$E$1998, $A$1000:$A$1998="2014-10"))</f>
        <v>-8.0726131963953433E-4</v>
      </c>
      <c r="D1187" s="3" cm="1">
        <f t="array" ref="D1187">_xlfn.PERCENTILE.EXC(_xlfn._xlws.FILTER($E$1000:$E$1497, $A$1000:$A$1497="2014-10"), 0.05)</f>
        <v>-3.6054991116663278E-2</v>
      </c>
      <c r="E1187">
        <v>-1.0221934376758385E-2</v>
      </c>
      <c r="F1187">
        <f t="shared" si="42"/>
        <v>-1.7833424388163308E-2</v>
      </c>
      <c r="G1187">
        <f t="shared" si="43"/>
        <v>-2.991601075281615E-2</v>
      </c>
    </row>
    <row r="1188" spans="1:7" x14ac:dyDescent="0.35">
      <c r="A1188" t="s">
        <v>72</v>
      </c>
      <c r="E1188">
        <v>-2.4927749151507486E-2</v>
      </c>
      <c r="F1188">
        <f t="shared" si="42"/>
        <v>-1.7836602984406331E-2</v>
      </c>
      <c r="G1188">
        <f t="shared" si="43"/>
        <v>-2.991601075281615E-2</v>
      </c>
    </row>
    <row r="1189" spans="1:7" x14ac:dyDescent="0.35">
      <c r="A1189" t="s">
        <v>72</v>
      </c>
      <c r="E1189">
        <v>1.6728014518906546E-2</v>
      </c>
      <c r="F1189">
        <f t="shared" si="42"/>
        <v>-1.7540864815037058E-2</v>
      </c>
      <c r="G1189">
        <f t="shared" si="43"/>
        <v>-2.9861685753296723E-2</v>
      </c>
    </row>
    <row r="1190" spans="1:7" x14ac:dyDescent="0.35">
      <c r="A1190" t="s">
        <v>72</v>
      </c>
      <c r="E1190">
        <v>-1.1202676160826331E-2</v>
      </c>
      <c r="F1190">
        <f t="shared" si="42"/>
        <v>-1.7565438396802982E-2</v>
      </c>
      <c r="G1190">
        <f t="shared" si="43"/>
        <v>-2.9861685753296723E-2</v>
      </c>
    </row>
    <row r="1191" spans="1:7" x14ac:dyDescent="0.35">
      <c r="A1191" t="s">
        <v>72</v>
      </c>
      <c r="E1191">
        <v>-4.9795819489473281E-3</v>
      </c>
      <c r="F1191">
        <f t="shared" si="42"/>
        <v>-1.7590011978568892E-2</v>
      </c>
      <c r="G1191">
        <f t="shared" si="43"/>
        <v>-2.9861685753296723E-2</v>
      </c>
    </row>
    <row r="1192" spans="1:7" x14ac:dyDescent="0.35">
      <c r="A1192" t="s">
        <v>72</v>
      </c>
      <c r="E1192">
        <v>-5.3279843325018143E-3</v>
      </c>
      <c r="F1192">
        <f t="shared" si="42"/>
        <v>-1.7614585560334812E-2</v>
      </c>
      <c r="G1192">
        <f t="shared" si="43"/>
        <v>-2.9861685753296723E-2</v>
      </c>
    </row>
    <row r="1193" spans="1:7" x14ac:dyDescent="0.35">
      <c r="A1193" t="s">
        <v>72</v>
      </c>
      <c r="E1193">
        <v>-1.4156632084117333E-2</v>
      </c>
      <c r="F1193">
        <f t="shared" si="42"/>
        <v>-1.7639159142100735E-2</v>
      </c>
      <c r="G1193">
        <f t="shared" si="43"/>
        <v>-2.9861685753296723E-2</v>
      </c>
    </row>
    <row r="1194" spans="1:7" x14ac:dyDescent="0.35">
      <c r="A1194" t="s">
        <v>72</v>
      </c>
      <c r="E1194">
        <v>1.8142430438511359E-3</v>
      </c>
      <c r="F1194">
        <f t="shared" si="42"/>
        <v>-1.7663732723866642E-2</v>
      </c>
      <c r="G1194">
        <f t="shared" si="43"/>
        <v>-2.9861685753296723E-2</v>
      </c>
    </row>
    <row r="1195" spans="1:7" x14ac:dyDescent="0.35">
      <c r="A1195" t="s">
        <v>72</v>
      </c>
      <c r="E1195">
        <v>-4.0115291569890032E-3</v>
      </c>
      <c r="F1195">
        <f t="shared" si="42"/>
        <v>-1.7688306305632565E-2</v>
      </c>
      <c r="G1195">
        <f t="shared" si="43"/>
        <v>-2.9861685753296723E-2</v>
      </c>
    </row>
    <row r="1196" spans="1:7" x14ac:dyDescent="0.35">
      <c r="A1196" t="s">
        <v>72</v>
      </c>
      <c r="E1196">
        <v>-3.8018622051690772E-2</v>
      </c>
      <c r="F1196">
        <f t="shared" si="42"/>
        <v>-1.7712879887398475E-2</v>
      </c>
      <c r="G1196">
        <f t="shared" si="43"/>
        <v>-2.9861685753296723E-2</v>
      </c>
    </row>
    <row r="1197" spans="1:7" x14ac:dyDescent="0.35">
      <c r="A1197" t="s">
        <v>72</v>
      </c>
      <c r="E1197">
        <v>2.9956077196798196E-3</v>
      </c>
      <c r="F1197">
        <f t="shared" si="42"/>
        <v>-1.7316455222435384E-2</v>
      </c>
      <c r="G1197">
        <f t="shared" si="43"/>
        <v>-2.9703678734422319E-2</v>
      </c>
    </row>
    <row r="1198" spans="1:7" x14ac:dyDescent="0.35">
      <c r="A1198" t="s">
        <v>72</v>
      </c>
      <c r="E1198">
        <v>2.4190496819187123E-2</v>
      </c>
      <c r="F1198">
        <f t="shared" si="42"/>
        <v>-1.7317537674671528E-2</v>
      </c>
      <c r="G1198">
        <f t="shared" si="43"/>
        <v>-2.9703678734422319E-2</v>
      </c>
    </row>
    <row r="1199" spans="1:7" x14ac:dyDescent="0.35">
      <c r="A1199" t="s">
        <v>72</v>
      </c>
      <c r="E1199">
        <v>-5.7105773620325494E-3</v>
      </c>
      <c r="F1199">
        <f t="shared" si="42"/>
        <v>-1.7318620126907672E-2</v>
      </c>
      <c r="G1199">
        <f t="shared" si="43"/>
        <v>-2.9703678734422319E-2</v>
      </c>
    </row>
    <row r="1200" spans="1:7" x14ac:dyDescent="0.35">
      <c r="A1200" t="s">
        <v>72</v>
      </c>
      <c r="E1200">
        <v>2.0832102775094646E-2</v>
      </c>
      <c r="F1200">
        <f t="shared" si="42"/>
        <v>-1.7319702579143816E-2</v>
      </c>
      <c r="G1200">
        <f t="shared" si="43"/>
        <v>-2.9703678734422319E-2</v>
      </c>
    </row>
    <row r="1201" spans="1:7" x14ac:dyDescent="0.35">
      <c r="A1201" t="s">
        <v>72</v>
      </c>
      <c r="E1201">
        <v>5.9985616985761712E-3</v>
      </c>
      <c r="F1201">
        <f t="shared" si="42"/>
        <v>-1.7344276160909725E-2</v>
      </c>
      <c r="G1201">
        <f t="shared" si="43"/>
        <v>-2.9798940089462923E-2</v>
      </c>
    </row>
    <row r="1202" spans="1:7" x14ac:dyDescent="0.35">
      <c r="A1202" t="s">
        <v>72</v>
      </c>
      <c r="E1202">
        <v>2.3393993736494203E-3</v>
      </c>
      <c r="F1202">
        <f t="shared" si="42"/>
        <v>-1.7368849742675645E-2</v>
      </c>
      <c r="G1202">
        <f t="shared" si="43"/>
        <v>-2.9798940089462923E-2</v>
      </c>
    </row>
    <row r="1203" spans="1:7" x14ac:dyDescent="0.35">
      <c r="A1203" t="s">
        <v>72</v>
      </c>
      <c r="E1203">
        <v>-3.8682271295222997E-3</v>
      </c>
      <c r="F1203">
        <f t="shared" si="42"/>
        <v>-1.7393423324441569E-2</v>
      </c>
      <c r="G1203">
        <f t="shared" si="43"/>
        <v>-2.9798940089462923E-2</v>
      </c>
    </row>
    <row r="1204" spans="1:7" x14ac:dyDescent="0.35">
      <c r="A1204" t="s">
        <v>72</v>
      </c>
      <c r="E1204">
        <v>-4.3432493707406591E-3</v>
      </c>
      <c r="F1204">
        <f t="shared" si="42"/>
        <v>-1.7417996906207475E-2</v>
      </c>
      <c r="G1204">
        <f t="shared" si="43"/>
        <v>-2.9798940089462923E-2</v>
      </c>
    </row>
    <row r="1205" spans="1:7" x14ac:dyDescent="0.35">
      <c r="A1205" t="s">
        <v>72</v>
      </c>
      <c r="E1205">
        <v>4.3840817308240096E-3</v>
      </c>
      <c r="F1205">
        <f t="shared" si="42"/>
        <v>-1.7442570487973399E-2</v>
      </c>
      <c r="G1205">
        <f t="shared" si="43"/>
        <v>-2.9798940089462923E-2</v>
      </c>
    </row>
    <row r="1206" spans="1:7" x14ac:dyDescent="0.35">
      <c r="A1206" t="s">
        <v>72</v>
      </c>
      <c r="E1206">
        <v>5.5812198373069912E-3</v>
      </c>
      <c r="F1206">
        <f t="shared" si="42"/>
        <v>-1.7467144069739308E-2</v>
      </c>
      <c r="G1206">
        <f t="shared" si="43"/>
        <v>-2.9798940089462923E-2</v>
      </c>
    </row>
    <row r="1207" spans="1:7" x14ac:dyDescent="0.35">
      <c r="A1207" t="s">
        <v>72</v>
      </c>
      <c r="E1207">
        <v>5.3177851868961542E-3</v>
      </c>
      <c r="F1207">
        <f t="shared" si="42"/>
        <v>-1.7491717651505229E-2</v>
      </c>
      <c r="G1207">
        <f t="shared" si="43"/>
        <v>-2.9798940089462923E-2</v>
      </c>
    </row>
    <row r="1208" spans="1:7" x14ac:dyDescent="0.35">
      <c r="A1208" t="s">
        <v>72</v>
      </c>
      <c r="E1208">
        <v>1.8827501389592188E-2</v>
      </c>
      <c r="F1208">
        <f t="shared" si="42"/>
        <v>-1.7516291233271152E-2</v>
      </c>
      <c r="G1208">
        <f t="shared" si="43"/>
        <v>-2.9798940089462923E-2</v>
      </c>
    </row>
    <row r="1209" spans="1:7" x14ac:dyDescent="0.35">
      <c r="A1209" t="s">
        <v>73</v>
      </c>
      <c r="B1209" s="3" cm="1">
        <f t="array" ref="B1209">_xlfn.STDEV.S(_xlfn._xlws.FILTER($E$1000:$E$1998, $A$1000:$A$1998="2014-11"))</f>
        <v>7.3513000164235264E-3</v>
      </c>
      <c r="C1209" s="3" cm="1">
        <f t="array" ref="C1209">AVERAGE(_xlfn._xlws.FILTER($E$1000:$E$1998, $A$1000:$A$1998="2014-11"))</f>
        <v>5.3865096005539543E-4</v>
      </c>
      <c r="D1209" s="3" cm="1">
        <f t="array" ref="D1209">_xlfn.PERCENTILE.EXC(_xlfn._xlws.FILTER($E$1000:$E$1497, $A$1000:$A$1497="2014-11"), 0.05)</f>
        <v>-9.4968654985866617E-3</v>
      </c>
      <c r="E1209">
        <v>-5.7989418313290197E-3</v>
      </c>
      <c r="F1209">
        <f t="shared" si="42"/>
        <v>-1.7540864815037058E-2</v>
      </c>
      <c r="G1209">
        <f t="shared" si="43"/>
        <v>-2.9798940089462923E-2</v>
      </c>
    </row>
    <row r="1210" spans="1:7" x14ac:dyDescent="0.35">
      <c r="A1210" t="s">
        <v>73</v>
      </c>
      <c r="E1210">
        <v>-9.6732460475391635E-3</v>
      </c>
      <c r="F1210">
        <f t="shared" si="42"/>
        <v>-1.7565438396802982E-2</v>
      </c>
      <c r="G1210">
        <f t="shared" si="43"/>
        <v>-2.9798940089462923E-2</v>
      </c>
    </row>
    <row r="1211" spans="1:7" x14ac:dyDescent="0.35">
      <c r="A1211" t="s">
        <v>73</v>
      </c>
      <c r="E1211">
        <v>1.6530716148766601E-2</v>
      </c>
      <c r="F1211">
        <f t="shared" si="42"/>
        <v>-1.7590011978568892E-2</v>
      </c>
      <c r="G1211">
        <f t="shared" si="43"/>
        <v>-2.9798940089462923E-2</v>
      </c>
    </row>
    <row r="1212" spans="1:7" x14ac:dyDescent="0.35">
      <c r="A1212" t="s">
        <v>73</v>
      </c>
      <c r="E1212">
        <v>6.5124484824510191E-4</v>
      </c>
      <c r="F1212">
        <f t="shared" si="42"/>
        <v>-1.7614585560334812E-2</v>
      </c>
      <c r="G1212">
        <f t="shared" si="43"/>
        <v>-2.9798940089462923E-2</v>
      </c>
    </row>
    <row r="1213" spans="1:7" x14ac:dyDescent="0.35">
      <c r="A1213" t="s">
        <v>73</v>
      </c>
      <c r="E1213">
        <v>7.5809119740915891E-5</v>
      </c>
      <c r="F1213">
        <f t="shared" si="42"/>
        <v>-1.7639159142100735E-2</v>
      </c>
      <c r="G1213">
        <f t="shared" si="43"/>
        <v>-2.9798940089462923E-2</v>
      </c>
    </row>
    <row r="1214" spans="1:7" x14ac:dyDescent="0.35">
      <c r="A1214" t="s">
        <v>73</v>
      </c>
      <c r="E1214">
        <v>7.8556903182243117E-3</v>
      </c>
      <c r="F1214">
        <f t="shared" si="42"/>
        <v>-1.7663732723866642E-2</v>
      </c>
      <c r="G1214">
        <f t="shared" si="43"/>
        <v>-2.9798940089462923E-2</v>
      </c>
    </row>
    <row r="1215" spans="1:7" x14ac:dyDescent="0.35">
      <c r="A1215" t="s">
        <v>73</v>
      </c>
      <c r="E1215">
        <v>1.1680265546419751E-3</v>
      </c>
      <c r="F1215">
        <f t="shared" si="42"/>
        <v>-1.7688306305632565E-2</v>
      </c>
      <c r="G1215">
        <f t="shared" si="43"/>
        <v>-2.9798940089462923E-2</v>
      </c>
    </row>
    <row r="1216" spans="1:7" x14ac:dyDescent="0.35">
      <c r="A1216" t="s">
        <v>73</v>
      </c>
      <c r="E1216">
        <v>-6.1456350684891336E-3</v>
      </c>
      <c r="F1216">
        <f t="shared" si="42"/>
        <v>-1.7712879887398475E-2</v>
      </c>
      <c r="G1216">
        <f t="shared" si="43"/>
        <v>-2.9798940089462923E-2</v>
      </c>
    </row>
    <row r="1217" spans="1:7" x14ac:dyDescent="0.35">
      <c r="A1217" t="s">
        <v>73</v>
      </c>
      <c r="E1217">
        <v>-3.9258065465113358E-3</v>
      </c>
      <c r="F1217">
        <f t="shared" si="42"/>
        <v>-1.7737453469164395E-2</v>
      </c>
      <c r="G1217">
        <f t="shared" si="43"/>
        <v>-2.9798940089462923E-2</v>
      </c>
    </row>
    <row r="1218" spans="1:7" x14ac:dyDescent="0.35">
      <c r="A1218" t="s">
        <v>73</v>
      </c>
      <c r="E1218">
        <v>-4.2003123986624844E-3</v>
      </c>
      <c r="F1218">
        <f t="shared" si="42"/>
        <v>-1.7762027050930319E-2</v>
      </c>
      <c r="G1218">
        <f t="shared" si="43"/>
        <v>-2.9798940089462923E-2</v>
      </c>
    </row>
    <row r="1219" spans="1:7" x14ac:dyDescent="0.35">
      <c r="A1219" t="s">
        <v>73</v>
      </c>
      <c r="E1219">
        <v>6.5874554165290247E-3</v>
      </c>
      <c r="F1219">
        <f t="shared" si="42"/>
        <v>-1.7786600632696225E-2</v>
      </c>
      <c r="G1219">
        <f t="shared" si="43"/>
        <v>-2.9798940089462923E-2</v>
      </c>
    </row>
    <row r="1220" spans="1:7" x14ac:dyDescent="0.35">
      <c r="A1220" t="s">
        <v>73</v>
      </c>
      <c r="E1220">
        <v>-5.3202560861405313E-4</v>
      </c>
      <c r="F1220">
        <f t="shared" ref="F1220:F1283" si="44">_xlfn.PERCENTILE.EXC(E1220:E5035,0.05)</f>
        <v>-1.7811174214462148E-2</v>
      </c>
      <c r="G1220">
        <f t="shared" ref="G1220:G1283" si="45">AVERAGEIFS(E1220:E5036,E1220:E5036,"&lt;=" &amp; F1220)</f>
        <v>-2.9798940089462923E-2</v>
      </c>
    </row>
    <row r="1221" spans="1:7" x14ac:dyDescent="0.35">
      <c r="A1221" t="s">
        <v>73</v>
      </c>
      <c r="E1221">
        <v>-9.4291384774915568E-4</v>
      </c>
      <c r="F1221">
        <f t="shared" si="44"/>
        <v>-1.7814352810705172E-2</v>
      </c>
      <c r="G1221">
        <f t="shared" si="45"/>
        <v>-2.9891868507098584E-2</v>
      </c>
    </row>
    <row r="1222" spans="1:7" x14ac:dyDescent="0.35">
      <c r="A1222" t="s">
        <v>73</v>
      </c>
      <c r="E1222">
        <v>-1.5785069657484106E-3</v>
      </c>
      <c r="F1222">
        <f t="shared" si="44"/>
        <v>-1.7817531406948195E-2</v>
      </c>
      <c r="G1222">
        <f t="shared" si="45"/>
        <v>-2.9891868507098584E-2</v>
      </c>
    </row>
    <row r="1223" spans="1:7" x14ac:dyDescent="0.35">
      <c r="A1223" t="s">
        <v>73</v>
      </c>
      <c r="E1223">
        <v>2.0456037249435757E-2</v>
      </c>
      <c r="F1223">
        <f t="shared" si="44"/>
        <v>-1.7820710003191218E-2</v>
      </c>
      <c r="G1223">
        <f t="shared" si="45"/>
        <v>-2.9891868507098584E-2</v>
      </c>
    </row>
    <row r="1224" spans="1:7" x14ac:dyDescent="0.35">
      <c r="A1224" t="s">
        <v>73</v>
      </c>
      <c r="E1224">
        <v>-3.3833242016129399E-3</v>
      </c>
      <c r="F1224">
        <f t="shared" si="44"/>
        <v>-1.7823888599434238E-2</v>
      </c>
      <c r="G1224">
        <f t="shared" si="45"/>
        <v>-2.9891868507098584E-2</v>
      </c>
    </row>
    <row r="1225" spans="1:7" x14ac:dyDescent="0.35">
      <c r="A1225" t="s">
        <v>73</v>
      </c>
      <c r="E1225">
        <v>-1.7508376196193182E-3</v>
      </c>
      <c r="F1225">
        <f t="shared" si="44"/>
        <v>-1.7827067195677261E-2</v>
      </c>
      <c r="G1225">
        <f t="shared" si="45"/>
        <v>-2.9891868507098584E-2</v>
      </c>
    </row>
    <row r="1226" spans="1:7" x14ac:dyDescent="0.35">
      <c r="A1226" t="s">
        <v>73</v>
      </c>
      <c r="E1226">
        <v>9.9253233304037887E-4</v>
      </c>
      <c r="F1226">
        <f t="shared" si="44"/>
        <v>-1.7830245791920284E-2</v>
      </c>
      <c r="G1226">
        <f t="shared" si="45"/>
        <v>-2.9891868507098584E-2</v>
      </c>
    </row>
    <row r="1227" spans="1:7" x14ac:dyDescent="0.35">
      <c r="A1227" t="s">
        <v>73</v>
      </c>
      <c r="E1227">
        <v>-2.0845820932581202E-3</v>
      </c>
      <c r="F1227">
        <f t="shared" si="44"/>
        <v>-1.7833424388163308E-2</v>
      </c>
      <c r="G1227">
        <f t="shared" si="45"/>
        <v>-2.9891868507098584E-2</v>
      </c>
    </row>
    <row r="1228" spans="1:7" x14ac:dyDescent="0.35">
      <c r="A1228" t="s">
        <v>73</v>
      </c>
      <c r="E1228">
        <v>-3.5283605583830255E-3</v>
      </c>
      <c r="F1228">
        <f t="shared" si="44"/>
        <v>-1.7836602984406331E-2</v>
      </c>
      <c r="G1228">
        <f t="shared" si="45"/>
        <v>-2.9891868507098584E-2</v>
      </c>
    </row>
    <row r="1229" spans="1:7" x14ac:dyDescent="0.35">
      <c r="A1229" t="s">
        <v>74</v>
      </c>
      <c r="B1229" s="3" cm="1">
        <f t="array" ref="B1229">_xlfn.STDEV.S(_xlfn._xlws.FILTER($E$1000:$E$1998, $A$1000:$A$1998="2014-12"))</f>
        <v>1.6105001409455449E-2</v>
      </c>
      <c r="C1229" s="3" cm="1">
        <f t="array" ref="C1229">AVERAGE(_xlfn._xlws.FILTER($E$1000:$E$1998, $A$1000:$A$1998="2014-12"))</f>
        <v>-4.2264735915084899E-4</v>
      </c>
      <c r="D1229" s="3" cm="1">
        <f t="array" ref="D1229">_xlfn.PERCENTILE.EXC(_xlfn._xlws.FILTER($E$1000:$E$1497, $A$1000:$A$1497="2014-12"), 0.05)</f>
        <v>-3.0224847172743749E-2</v>
      </c>
      <c r="E1229">
        <v>-6.4774525806695687E-3</v>
      </c>
      <c r="F1229">
        <f t="shared" si="44"/>
        <v>-1.7839781580649351E-2</v>
      </c>
      <c r="G1229">
        <f t="shared" si="45"/>
        <v>-2.9891868507098584E-2</v>
      </c>
    </row>
    <row r="1230" spans="1:7" x14ac:dyDescent="0.35">
      <c r="A1230" t="s">
        <v>74</v>
      </c>
      <c r="E1230">
        <v>1.4406764801508095E-2</v>
      </c>
      <c r="F1230">
        <f t="shared" si="44"/>
        <v>-1.7842960176892374E-2</v>
      </c>
      <c r="G1230">
        <f t="shared" si="45"/>
        <v>-2.9891868507098584E-2</v>
      </c>
    </row>
    <row r="1231" spans="1:7" x14ac:dyDescent="0.35">
      <c r="A1231" t="s">
        <v>74</v>
      </c>
      <c r="E1231">
        <v>6.7325673680588751E-3</v>
      </c>
      <c r="F1231">
        <f t="shared" si="44"/>
        <v>-1.7846138773135397E-2</v>
      </c>
      <c r="G1231">
        <f t="shared" si="45"/>
        <v>-2.9891868507098584E-2</v>
      </c>
    </row>
    <row r="1232" spans="1:7" x14ac:dyDescent="0.35">
      <c r="A1232" t="s">
        <v>74</v>
      </c>
      <c r="E1232">
        <v>-1.2956499796779054E-2</v>
      </c>
      <c r="F1232">
        <f t="shared" si="44"/>
        <v>-1.784931736937842E-2</v>
      </c>
      <c r="G1232">
        <f t="shared" si="45"/>
        <v>-2.9891868507098584E-2</v>
      </c>
    </row>
    <row r="1233" spans="1:7" x14ac:dyDescent="0.35">
      <c r="A1233" t="s">
        <v>74</v>
      </c>
      <c r="E1233">
        <v>1.0668439906984534E-2</v>
      </c>
      <c r="F1233">
        <f t="shared" si="44"/>
        <v>-1.7852495965621443E-2</v>
      </c>
      <c r="G1233">
        <f t="shared" si="45"/>
        <v>-2.9891868507098584E-2</v>
      </c>
    </row>
    <row r="1234" spans="1:7" x14ac:dyDescent="0.35">
      <c r="A1234" t="s">
        <v>74</v>
      </c>
      <c r="E1234">
        <v>-9.1889795983701918E-3</v>
      </c>
      <c r="F1234">
        <f t="shared" si="44"/>
        <v>-1.7855674561864467E-2</v>
      </c>
      <c r="G1234">
        <f t="shared" si="45"/>
        <v>-2.9891868507098584E-2</v>
      </c>
    </row>
    <row r="1235" spans="1:7" x14ac:dyDescent="0.35">
      <c r="A1235" t="s">
        <v>74</v>
      </c>
      <c r="E1235">
        <v>-2.5137533940787427E-2</v>
      </c>
      <c r="F1235">
        <f t="shared" si="44"/>
        <v>-1.785885315810749E-2</v>
      </c>
      <c r="G1235">
        <f t="shared" si="45"/>
        <v>-2.9891868507098584E-2</v>
      </c>
    </row>
    <row r="1236" spans="1:7" x14ac:dyDescent="0.35">
      <c r="A1236" t="s">
        <v>74</v>
      </c>
      <c r="E1236">
        <v>-5.6642405481781124E-3</v>
      </c>
      <c r="F1236">
        <f t="shared" si="44"/>
        <v>-1.7712879887398475E-2</v>
      </c>
      <c r="G1236">
        <f t="shared" si="45"/>
        <v>-2.9835075020848003E-2</v>
      </c>
    </row>
    <row r="1237" spans="1:7" x14ac:dyDescent="0.35">
      <c r="A1237" t="s">
        <v>74</v>
      </c>
      <c r="E1237">
        <v>-2.8024244414950618E-3</v>
      </c>
      <c r="F1237">
        <f t="shared" si="44"/>
        <v>-1.7737453469164395E-2</v>
      </c>
      <c r="G1237">
        <f t="shared" si="45"/>
        <v>-2.9835075020848003E-2</v>
      </c>
    </row>
    <row r="1238" spans="1:7" x14ac:dyDescent="0.35">
      <c r="A1238" t="s">
        <v>74</v>
      </c>
      <c r="E1238">
        <v>-3.0224847172743749E-2</v>
      </c>
      <c r="F1238">
        <f t="shared" si="44"/>
        <v>-1.7762027050930319E-2</v>
      </c>
      <c r="G1238">
        <f t="shared" si="45"/>
        <v>-2.9835075020848003E-2</v>
      </c>
    </row>
    <row r="1239" spans="1:7" x14ac:dyDescent="0.35">
      <c r="A1239" t="s">
        <v>74</v>
      </c>
      <c r="E1239">
        <v>-2.210125749706162E-2</v>
      </c>
      <c r="F1239">
        <f t="shared" si="44"/>
        <v>-1.7318620126907672E-2</v>
      </c>
      <c r="G1239">
        <f t="shared" si="45"/>
        <v>-2.973503514027746E-2</v>
      </c>
    </row>
    <row r="1240" spans="1:7" x14ac:dyDescent="0.35">
      <c r="A1240" t="s">
        <v>74</v>
      </c>
      <c r="E1240">
        <v>2.5273603283560115E-2</v>
      </c>
      <c r="F1240">
        <f t="shared" si="44"/>
        <v>-1.7298053534420928E-2</v>
      </c>
      <c r="G1240">
        <f t="shared" si="45"/>
        <v>-2.9697801001032184E-2</v>
      </c>
    </row>
    <row r="1241" spans="1:7" x14ac:dyDescent="0.35">
      <c r="A1241" t="s">
        <v>74</v>
      </c>
      <c r="E1241">
        <v>2.0703648271724081E-3</v>
      </c>
      <c r="F1241">
        <f t="shared" si="44"/>
        <v>-1.7299135986657072E-2</v>
      </c>
      <c r="G1241">
        <f t="shared" si="45"/>
        <v>-2.9794674028115083E-2</v>
      </c>
    </row>
    <row r="1242" spans="1:7" x14ac:dyDescent="0.35">
      <c r="A1242" t="s">
        <v>74</v>
      </c>
      <c r="E1242">
        <v>3.1128048402387847E-2</v>
      </c>
      <c r="F1242">
        <f t="shared" si="44"/>
        <v>-1.7300218438893216E-2</v>
      </c>
      <c r="G1242">
        <f t="shared" si="45"/>
        <v>-2.9794674028115083E-2</v>
      </c>
    </row>
    <row r="1243" spans="1:7" x14ac:dyDescent="0.35">
      <c r="A1243" t="s">
        <v>74</v>
      </c>
      <c r="E1243">
        <v>1.3215914020359999E-2</v>
      </c>
      <c r="F1243">
        <f t="shared" si="44"/>
        <v>-1.730130089112936E-2</v>
      </c>
      <c r="G1243">
        <f t="shared" si="45"/>
        <v>-2.9794674028115083E-2</v>
      </c>
    </row>
    <row r="1244" spans="1:7" x14ac:dyDescent="0.35">
      <c r="A1244" t="s">
        <v>74</v>
      </c>
      <c r="E1244">
        <v>2.7918322225681867E-3</v>
      </c>
      <c r="F1244">
        <f t="shared" si="44"/>
        <v>-1.7302383343365507E-2</v>
      </c>
      <c r="G1244">
        <f t="shared" si="45"/>
        <v>-2.9794674028115083E-2</v>
      </c>
    </row>
    <row r="1245" spans="1:7" x14ac:dyDescent="0.35">
      <c r="A1245" t="s">
        <v>74</v>
      </c>
      <c r="E1245">
        <v>3.6929818653808522E-3</v>
      </c>
      <c r="F1245">
        <f t="shared" si="44"/>
        <v>-1.7303465795601651E-2</v>
      </c>
      <c r="G1245">
        <f t="shared" si="45"/>
        <v>-2.9794674028115083E-2</v>
      </c>
    </row>
    <row r="1246" spans="1:7" x14ac:dyDescent="0.35">
      <c r="A1246" t="s">
        <v>74</v>
      </c>
      <c r="E1246">
        <v>6.1198656674275563E-3</v>
      </c>
      <c r="F1246">
        <f t="shared" si="44"/>
        <v>-1.7304548247837795E-2</v>
      </c>
      <c r="G1246">
        <f t="shared" si="45"/>
        <v>-2.9794674028115083E-2</v>
      </c>
    </row>
    <row r="1247" spans="1:7" x14ac:dyDescent="0.35">
      <c r="A1247" t="s">
        <v>74</v>
      </c>
      <c r="E1247">
        <v>-9.5774466131898217E-3</v>
      </c>
      <c r="F1247">
        <f t="shared" si="44"/>
        <v>-1.7305630700073939E-2</v>
      </c>
      <c r="G1247">
        <f t="shared" si="45"/>
        <v>-2.9794674028115083E-2</v>
      </c>
    </row>
    <row r="1248" spans="1:7" x14ac:dyDescent="0.35">
      <c r="A1248" t="s">
        <v>75</v>
      </c>
      <c r="B1248" s="3" cm="1">
        <f t="array" ref="B1248">_xlfn.STDEV.S(_xlfn._xlws.FILTER($E$1000:$E$1998, $A$1000:$A$1998="2015-01"))</f>
        <v>1.3922996110844365E-2</v>
      </c>
      <c r="C1248" s="3" cm="1">
        <f t="array" ref="C1248">AVERAGE(_xlfn._xlws.FILTER($E$1000:$E$1998, $A$1000:$A$1998="2015-01"))</f>
        <v>3.3056797065127218E-3</v>
      </c>
      <c r="D1248" s="3" cm="1">
        <f t="array" ref="D1248">_xlfn.PERCENTILE.EXC(_xlfn._xlws.FILTER($E$1000:$E$1497, $A$1000:$A$1497="2015-01"), 0.05)</f>
        <v>-2.1430745337947053E-2</v>
      </c>
      <c r="E1248">
        <v>-5.8566904157954518E-4</v>
      </c>
      <c r="F1248">
        <f t="shared" si="44"/>
        <v>-1.7306713152310083E-2</v>
      </c>
      <c r="G1248">
        <f t="shared" si="45"/>
        <v>-2.9794674028115083E-2</v>
      </c>
    </row>
    <row r="1249" spans="1:7" x14ac:dyDescent="0.35">
      <c r="A1249" t="s">
        <v>75</v>
      </c>
      <c r="E1249">
        <v>-2.1580263858845906E-2</v>
      </c>
      <c r="F1249">
        <f t="shared" si="44"/>
        <v>-1.7307795604546226E-2</v>
      </c>
      <c r="G1249">
        <f t="shared" si="45"/>
        <v>-2.9794674028115083E-2</v>
      </c>
    </row>
    <row r="1250" spans="1:7" x14ac:dyDescent="0.35">
      <c r="A1250" t="s">
        <v>75</v>
      </c>
      <c r="E1250">
        <v>-1.1393207350197205E-2</v>
      </c>
      <c r="F1250">
        <f t="shared" si="44"/>
        <v>-1.7260771519943596E-2</v>
      </c>
      <c r="G1250">
        <f t="shared" si="45"/>
        <v>-2.9761219259955517E-2</v>
      </c>
    </row>
    <row r="1251" spans="1:7" x14ac:dyDescent="0.35">
      <c r="A1251" t="s">
        <v>75</v>
      </c>
      <c r="E1251">
        <v>1.0535055958467985E-2</v>
      </c>
      <c r="F1251">
        <f t="shared" si="44"/>
        <v>-1.7264499721391328E-2</v>
      </c>
      <c r="G1251">
        <f t="shared" si="45"/>
        <v>-2.9761219259955517E-2</v>
      </c>
    </row>
    <row r="1252" spans="1:7" x14ac:dyDescent="0.35">
      <c r="A1252" t="s">
        <v>75</v>
      </c>
      <c r="E1252">
        <v>2.6003514776757341E-2</v>
      </c>
      <c r="F1252">
        <f t="shared" si="44"/>
        <v>-1.7268227922839063E-2</v>
      </c>
      <c r="G1252">
        <f t="shared" si="45"/>
        <v>-2.9761219259955517E-2</v>
      </c>
    </row>
    <row r="1253" spans="1:7" x14ac:dyDescent="0.35">
      <c r="A1253" t="s">
        <v>75</v>
      </c>
      <c r="E1253">
        <v>-9.8449925811752922E-3</v>
      </c>
      <c r="F1253">
        <f t="shared" si="44"/>
        <v>-1.7271956124286798E-2</v>
      </c>
      <c r="G1253">
        <f t="shared" si="45"/>
        <v>-2.9761219259955517E-2</v>
      </c>
    </row>
    <row r="1254" spans="1:7" x14ac:dyDescent="0.35">
      <c r="A1254" t="s">
        <v>75</v>
      </c>
      <c r="E1254">
        <v>1.8331068134348914E-3</v>
      </c>
      <c r="F1254">
        <f t="shared" si="44"/>
        <v>-1.7275684325734529E-2</v>
      </c>
      <c r="G1254">
        <f t="shared" si="45"/>
        <v>-2.9761219259955517E-2</v>
      </c>
    </row>
    <row r="1255" spans="1:7" x14ac:dyDescent="0.35">
      <c r="A1255" t="s">
        <v>75</v>
      </c>
      <c r="E1255">
        <v>9.5279905066168059E-3</v>
      </c>
      <c r="F1255">
        <f t="shared" si="44"/>
        <v>-1.7279412527182264E-2</v>
      </c>
      <c r="G1255">
        <f t="shared" si="45"/>
        <v>-2.9761219259955517E-2</v>
      </c>
    </row>
    <row r="1256" spans="1:7" x14ac:dyDescent="0.35">
      <c r="A1256" t="s">
        <v>75</v>
      </c>
      <c r="E1256">
        <v>-2.0085078649857376E-2</v>
      </c>
      <c r="F1256">
        <f t="shared" si="44"/>
        <v>-1.7283140728629996E-2</v>
      </c>
      <c r="G1256">
        <f t="shared" si="45"/>
        <v>-2.9761219259955517E-2</v>
      </c>
    </row>
    <row r="1257" spans="1:7" x14ac:dyDescent="0.35">
      <c r="A1257" t="s">
        <v>75</v>
      </c>
      <c r="E1257">
        <v>2.8700462597200611E-2</v>
      </c>
      <c r="F1257">
        <f t="shared" si="44"/>
        <v>-1.7185883914845126E-2</v>
      </c>
      <c r="G1257">
        <f t="shared" si="45"/>
        <v>-2.9738863094764964E-2</v>
      </c>
    </row>
    <row r="1258" spans="1:7" x14ac:dyDescent="0.35">
      <c r="A1258" t="s">
        <v>75</v>
      </c>
      <c r="E1258">
        <v>1.2074829483061095E-2</v>
      </c>
      <c r="F1258">
        <f t="shared" si="44"/>
        <v>-1.7198419111718842E-2</v>
      </c>
      <c r="G1258">
        <f t="shared" si="45"/>
        <v>-2.9738863094764964E-2</v>
      </c>
    </row>
    <row r="1259" spans="1:7" x14ac:dyDescent="0.35">
      <c r="A1259" t="s">
        <v>75</v>
      </c>
      <c r="E1259">
        <v>-7.5841697070051751E-4</v>
      </c>
      <c r="F1259">
        <f t="shared" si="44"/>
        <v>-1.7210954308592548E-2</v>
      </c>
      <c r="G1259">
        <f t="shared" si="45"/>
        <v>-2.9738863094764964E-2</v>
      </c>
    </row>
    <row r="1260" spans="1:7" x14ac:dyDescent="0.35">
      <c r="A1260" t="s">
        <v>75</v>
      </c>
      <c r="E1260">
        <v>1.1626649156058745E-2</v>
      </c>
      <c r="F1260">
        <f t="shared" si="44"/>
        <v>-1.7223489505466264E-2</v>
      </c>
      <c r="G1260">
        <f t="shared" si="45"/>
        <v>-2.9738863094764964E-2</v>
      </c>
    </row>
    <row r="1261" spans="1:7" x14ac:dyDescent="0.35">
      <c r="A1261" t="s">
        <v>75</v>
      </c>
      <c r="E1261">
        <v>1.0996109718588967E-2</v>
      </c>
      <c r="F1261">
        <f t="shared" si="44"/>
        <v>-1.7227217706913996E-2</v>
      </c>
      <c r="G1261">
        <f t="shared" si="45"/>
        <v>-2.9837409343499599E-2</v>
      </c>
    </row>
    <row r="1262" spans="1:7" x14ac:dyDescent="0.35">
      <c r="A1262" t="s">
        <v>75</v>
      </c>
      <c r="E1262">
        <v>2.1161386523125818E-2</v>
      </c>
      <c r="F1262">
        <f t="shared" si="44"/>
        <v>-1.7230945908361731E-2</v>
      </c>
      <c r="G1262">
        <f t="shared" si="45"/>
        <v>-2.9837409343499599E-2</v>
      </c>
    </row>
    <row r="1263" spans="1:7" x14ac:dyDescent="0.35">
      <c r="A1263" t="s">
        <v>75</v>
      </c>
      <c r="E1263">
        <v>1.6287697168709626E-2</v>
      </c>
      <c r="F1263">
        <f t="shared" si="44"/>
        <v>-1.7234674109809462E-2</v>
      </c>
      <c r="G1263">
        <f t="shared" si="45"/>
        <v>-2.9837409343499599E-2</v>
      </c>
    </row>
    <row r="1264" spans="1:7" x14ac:dyDescent="0.35">
      <c r="A1264" t="s">
        <v>75</v>
      </c>
      <c r="E1264">
        <v>5.5565677317017401E-3</v>
      </c>
      <c r="F1264">
        <f t="shared" si="44"/>
        <v>-1.7238402311257197E-2</v>
      </c>
      <c r="G1264">
        <f t="shared" si="45"/>
        <v>-2.9837409343499599E-2</v>
      </c>
    </row>
    <row r="1265" spans="1:7" x14ac:dyDescent="0.35">
      <c r="A1265" t="s">
        <v>75</v>
      </c>
      <c r="E1265">
        <v>-5.356392982483092E-3</v>
      </c>
      <c r="F1265">
        <f t="shared" si="44"/>
        <v>-1.7242130512704928E-2</v>
      </c>
      <c r="G1265">
        <f t="shared" si="45"/>
        <v>-2.9837409343499599E-2</v>
      </c>
    </row>
    <row r="1266" spans="1:7" x14ac:dyDescent="0.35">
      <c r="A1266" t="s">
        <v>75</v>
      </c>
      <c r="E1266">
        <v>5.6496130280943226E-4</v>
      </c>
      <c r="F1266">
        <f t="shared" si="44"/>
        <v>-1.7245858714152663E-2</v>
      </c>
      <c r="G1266">
        <f t="shared" si="45"/>
        <v>-2.9837409343499599E-2</v>
      </c>
    </row>
    <row r="1267" spans="1:7" x14ac:dyDescent="0.35">
      <c r="A1267" t="s">
        <v>75</v>
      </c>
      <c r="E1267">
        <v>-6.460871942701004E-3</v>
      </c>
      <c r="F1267">
        <f t="shared" si="44"/>
        <v>-1.7249586915600395E-2</v>
      </c>
      <c r="G1267">
        <f t="shared" si="45"/>
        <v>-2.9837409343499599E-2</v>
      </c>
    </row>
    <row r="1268" spans="1:7" x14ac:dyDescent="0.35">
      <c r="A1268" t="s">
        <v>75</v>
      </c>
      <c r="E1268">
        <v>-9.3841645222259556E-3</v>
      </c>
      <c r="F1268">
        <f t="shared" si="44"/>
        <v>-1.725331511704813E-2</v>
      </c>
      <c r="G1268">
        <f t="shared" si="45"/>
        <v>-2.9837409343499599E-2</v>
      </c>
    </row>
    <row r="1269" spans="1:7" x14ac:dyDescent="0.35">
      <c r="A1269" t="s">
        <v>76</v>
      </c>
      <c r="B1269" s="3" cm="1">
        <f t="array" ref="B1269">_xlfn.STDEV.S(_xlfn._xlws.FILTER($E$1000:$E$1998, $A$1000:$A$1998="2015-02"))</f>
        <v>4.4888207768201535E-3</v>
      </c>
      <c r="C1269" s="3" cm="1">
        <f t="array" ref="C1269">AVERAGE(_xlfn._xlws.FILTER($E$1000:$E$1998, $A$1000:$A$1998="2015-02"))</f>
        <v>3.2329609836519919E-3</v>
      </c>
      <c r="D1269" s="3" cm="1">
        <f t="array" ref="D1269">_xlfn.PERCENTILE.EXC(_xlfn._xlws.FILTER($E$1000:$E$1497, $A$1000:$A$1497="2015-02"), 0.05)</f>
        <v>-4.4360977358111064E-3</v>
      </c>
      <c r="E1269">
        <v>1.3868531889052269E-3</v>
      </c>
      <c r="F1269">
        <f t="shared" si="44"/>
        <v>-1.7257043318495861E-2</v>
      </c>
      <c r="G1269">
        <f t="shared" si="45"/>
        <v>-2.9837409343499599E-2</v>
      </c>
    </row>
    <row r="1270" spans="1:7" x14ac:dyDescent="0.35">
      <c r="A1270" t="s">
        <v>76</v>
      </c>
      <c r="E1270">
        <v>9.7814528386966585E-3</v>
      </c>
      <c r="F1270">
        <f t="shared" si="44"/>
        <v>-1.7260771519943596E-2</v>
      </c>
      <c r="G1270">
        <f t="shared" si="45"/>
        <v>-2.9837409343499599E-2</v>
      </c>
    </row>
    <row r="1271" spans="1:7" x14ac:dyDescent="0.35">
      <c r="A1271" t="s">
        <v>76</v>
      </c>
      <c r="E1271">
        <v>5.9447261213516995E-3</v>
      </c>
      <c r="F1271">
        <f t="shared" si="44"/>
        <v>-1.7264499721391328E-2</v>
      </c>
      <c r="G1271">
        <f t="shared" si="45"/>
        <v>-2.9837409343499599E-2</v>
      </c>
    </row>
    <row r="1272" spans="1:7" x14ac:dyDescent="0.35">
      <c r="A1272" t="s">
        <v>76</v>
      </c>
      <c r="E1272">
        <v>4.1381897014517981E-3</v>
      </c>
      <c r="F1272">
        <f t="shared" si="44"/>
        <v>-1.7268227922839063E-2</v>
      </c>
      <c r="G1272">
        <f t="shared" si="45"/>
        <v>-2.9837409343499599E-2</v>
      </c>
    </row>
    <row r="1273" spans="1:7" x14ac:dyDescent="0.35">
      <c r="A1273" t="s">
        <v>76</v>
      </c>
      <c r="E1273">
        <v>5.5136464551055553E-3</v>
      </c>
      <c r="F1273">
        <f t="shared" si="44"/>
        <v>-1.7271956124286794E-2</v>
      </c>
      <c r="G1273">
        <f t="shared" si="45"/>
        <v>-2.9837409343499599E-2</v>
      </c>
    </row>
    <row r="1274" spans="1:7" x14ac:dyDescent="0.35">
      <c r="A1274" t="s">
        <v>76</v>
      </c>
      <c r="E1274">
        <v>-4.5082373831092639E-3</v>
      </c>
      <c r="F1274">
        <f t="shared" si="44"/>
        <v>-1.7275684325734529E-2</v>
      </c>
      <c r="G1274">
        <f t="shared" si="45"/>
        <v>-2.9837409343499599E-2</v>
      </c>
    </row>
    <row r="1275" spans="1:7" x14ac:dyDescent="0.35">
      <c r="A1275" t="s">
        <v>76</v>
      </c>
      <c r="E1275">
        <v>3.0829935454808229E-3</v>
      </c>
      <c r="F1275">
        <f t="shared" si="44"/>
        <v>-1.7279412527182264E-2</v>
      </c>
      <c r="G1275">
        <f t="shared" si="45"/>
        <v>-2.9837409343499599E-2</v>
      </c>
    </row>
    <row r="1276" spans="1:7" x14ac:dyDescent="0.35">
      <c r="A1276" t="s">
        <v>76</v>
      </c>
      <c r="E1276">
        <v>-1.5864000155724524E-3</v>
      </c>
      <c r="F1276">
        <f t="shared" si="44"/>
        <v>-1.7283140728629996E-2</v>
      </c>
      <c r="G1276">
        <f t="shared" si="45"/>
        <v>-2.9837409343499599E-2</v>
      </c>
    </row>
    <row r="1277" spans="1:7" x14ac:dyDescent="0.35">
      <c r="A1277" t="s">
        <v>76</v>
      </c>
      <c r="E1277">
        <v>2.0560344643736714E-3</v>
      </c>
      <c r="F1277">
        <f t="shared" si="44"/>
        <v>-1.7286868930077727E-2</v>
      </c>
      <c r="G1277">
        <f t="shared" si="45"/>
        <v>-2.9837409343499599E-2</v>
      </c>
    </row>
    <row r="1278" spans="1:7" x14ac:dyDescent="0.35">
      <c r="A1278" t="s">
        <v>76</v>
      </c>
      <c r="E1278">
        <v>6.8236913008962998E-3</v>
      </c>
      <c r="F1278">
        <f t="shared" si="44"/>
        <v>-1.7290597131525462E-2</v>
      </c>
      <c r="G1278">
        <f t="shared" si="45"/>
        <v>-2.9837409343499599E-2</v>
      </c>
    </row>
    <row r="1279" spans="1:7" x14ac:dyDescent="0.35">
      <c r="A1279" t="s">
        <v>76</v>
      </c>
      <c r="E1279">
        <v>-8.8701726589024779E-4</v>
      </c>
      <c r="F1279">
        <f t="shared" si="44"/>
        <v>-1.7294325332973193E-2</v>
      </c>
      <c r="G1279">
        <f t="shared" si="45"/>
        <v>-2.9837409343499599E-2</v>
      </c>
    </row>
    <row r="1280" spans="1:7" x14ac:dyDescent="0.35">
      <c r="A1280" t="s">
        <v>76</v>
      </c>
      <c r="E1280">
        <v>1.1793473373290855E-3</v>
      </c>
      <c r="F1280">
        <f t="shared" si="44"/>
        <v>-1.7298053534420928E-2</v>
      </c>
      <c r="G1280">
        <f t="shared" si="45"/>
        <v>-2.9837409343499599E-2</v>
      </c>
    </row>
    <row r="1281" spans="1:7" x14ac:dyDescent="0.35">
      <c r="A1281" t="s">
        <v>76</v>
      </c>
      <c r="E1281">
        <v>1.0221490029314557E-2</v>
      </c>
      <c r="F1281">
        <f t="shared" si="44"/>
        <v>-1.7299135986657072E-2</v>
      </c>
      <c r="G1281">
        <f t="shared" si="45"/>
        <v>-2.9936928040397045E-2</v>
      </c>
    </row>
    <row r="1282" spans="1:7" x14ac:dyDescent="0.35">
      <c r="A1282" t="s">
        <v>76</v>
      </c>
      <c r="E1282">
        <v>-3.0654444371461215E-3</v>
      </c>
      <c r="F1282">
        <f t="shared" si="44"/>
        <v>-1.7300218438893216E-2</v>
      </c>
      <c r="G1282">
        <f t="shared" si="45"/>
        <v>-2.9936928040397045E-2</v>
      </c>
    </row>
    <row r="1283" spans="1:7" x14ac:dyDescent="0.35">
      <c r="A1283" t="s">
        <v>76</v>
      </c>
      <c r="E1283">
        <v>-2.2171501765959018E-5</v>
      </c>
      <c r="F1283">
        <f t="shared" si="44"/>
        <v>-1.730130089112936E-2</v>
      </c>
      <c r="G1283">
        <f t="shared" si="45"/>
        <v>-2.9936928040397045E-2</v>
      </c>
    </row>
    <row r="1284" spans="1:7" x14ac:dyDescent="0.35">
      <c r="A1284" t="s">
        <v>76</v>
      </c>
      <c r="E1284">
        <v>8.2995584329443803E-3</v>
      </c>
      <c r="F1284">
        <f t="shared" ref="F1284:F1347" si="46">_xlfn.PERCENTILE.EXC(E1284:E5099,0.05)</f>
        <v>-1.7302383343365507E-2</v>
      </c>
      <c r="G1284">
        <f t="shared" ref="G1284:G1347" si="47">AVERAGEIFS(E1284:E5100,E1284:E5100,"&lt;=" &amp; F1284)</f>
        <v>-2.9936928040397045E-2</v>
      </c>
    </row>
    <row r="1285" spans="1:7" x14ac:dyDescent="0.35">
      <c r="A1285" t="s">
        <v>76</v>
      </c>
      <c r="E1285">
        <v>5.5062047291542307E-3</v>
      </c>
      <c r="F1285">
        <f t="shared" si="46"/>
        <v>-1.7303465795601651E-2</v>
      </c>
      <c r="G1285">
        <f t="shared" si="47"/>
        <v>-2.9936928040397045E-2</v>
      </c>
    </row>
    <row r="1286" spans="1:7" x14ac:dyDescent="0.35">
      <c r="A1286" t="s">
        <v>76</v>
      </c>
      <c r="E1286">
        <v>-1.2670767612693199E-3</v>
      </c>
      <c r="F1286">
        <f t="shared" si="46"/>
        <v>-1.7304548247837795E-2</v>
      </c>
      <c r="G1286">
        <f t="shared" si="47"/>
        <v>-2.9936928040397045E-2</v>
      </c>
    </row>
    <row r="1287" spans="1:7" x14ac:dyDescent="0.35">
      <c r="A1287" t="s">
        <v>76</v>
      </c>
      <c r="E1287">
        <v>1.0428530241373047E-2</v>
      </c>
      <c r="F1287">
        <f t="shared" si="46"/>
        <v>-1.7305630700073939E-2</v>
      </c>
      <c r="G1287">
        <f t="shared" si="47"/>
        <v>-2.9936928040397045E-2</v>
      </c>
    </row>
    <row r="1288" spans="1:7" x14ac:dyDescent="0.35">
      <c r="A1288" t="s">
        <v>76</v>
      </c>
      <c r="E1288">
        <v>1.6328486514161657E-3</v>
      </c>
      <c r="F1288">
        <f t="shared" si="46"/>
        <v>-1.7306713152310083E-2</v>
      </c>
      <c r="G1288">
        <f t="shared" si="47"/>
        <v>-2.9936928040397045E-2</v>
      </c>
    </row>
    <row r="1289" spans="1:7" x14ac:dyDescent="0.35">
      <c r="A1289" t="s">
        <v>77</v>
      </c>
      <c r="B1289" s="3" cm="1">
        <f t="array" ref="B1289">_xlfn.STDEV.S(_xlfn._xlws.FILTER($E$1000:$E$1998, $A$1000:$A$1998="2015-03"))</f>
        <v>7.127011605779973E-3</v>
      </c>
      <c r="C1289" s="3" cm="1">
        <f t="array" ref="C1289">AVERAGE(_xlfn._xlws.FILTER($E$1000:$E$1998, $A$1000:$A$1998="2015-03"))</f>
        <v>-1.0060913454358101E-3</v>
      </c>
      <c r="D1289" s="3" cm="1">
        <f t="array" ref="D1289">_xlfn.PERCENTILE.EXC(_xlfn._xlws.FILTER($E$1000:$E$1497, $A$1000:$A$1497="2015-03"), 0.05)</f>
        <v>-1.3214894889218879E-2</v>
      </c>
      <c r="E1289">
        <v>-4.6072137939897184E-3</v>
      </c>
      <c r="F1289">
        <f t="shared" si="46"/>
        <v>-1.7307795604546226E-2</v>
      </c>
      <c r="G1289">
        <f t="shared" si="47"/>
        <v>-2.9936928040397045E-2</v>
      </c>
    </row>
    <row r="1290" spans="1:7" x14ac:dyDescent="0.35">
      <c r="A1290" t="s">
        <v>77</v>
      </c>
      <c r="E1290">
        <v>-8.0083082334996419E-3</v>
      </c>
      <c r="F1290">
        <f t="shared" si="46"/>
        <v>-1.730887805678237E-2</v>
      </c>
      <c r="G1290">
        <f t="shared" si="47"/>
        <v>-2.9936928040397045E-2</v>
      </c>
    </row>
    <row r="1291" spans="1:7" x14ac:dyDescent="0.35">
      <c r="A1291" t="s">
        <v>77</v>
      </c>
      <c r="E1291">
        <v>8.0880820804684547E-3</v>
      </c>
      <c r="F1291">
        <f t="shared" si="46"/>
        <v>-1.7309960509018518E-2</v>
      </c>
      <c r="G1291">
        <f t="shared" si="47"/>
        <v>-2.9936928040397045E-2</v>
      </c>
    </row>
    <row r="1292" spans="1:7" x14ac:dyDescent="0.35">
      <c r="A1292" t="s">
        <v>77</v>
      </c>
      <c r="E1292">
        <v>8.811735155591114E-3</v>
      </c>
      <c r="F1292">
        <f t="shared" si="46"/>
        <v>-1.7311042961254661E-2</v>
      </c>
      <c r="G1292">
        <f t="shared" si="47"/>
        <v>-2.9936928040397045E-2</v>
      </c>
    </row>
    <row r="1293" spans="1:7" x14ac:dyDescent="0.35">
      <c r="A1293" t="s">
        <v>77</v>
      </c>
      <c r="E1293">
        <v>-3.5515663752418119E-3</v>
      </c>
      <c r="F1293">
        <f t="shared" si="46"/>
        <v>-1.7312125413490805E-2</v>
      </c>
      <c r="G1293">
        <f t="shared" si="47"/>
        <v>-2.9936928040397045E-2</v>
      </c>
    </row>
    <row r="1294" spans="1:7" x14ac:dyDescent="0.35">
      <c r="A1294" t="s">
        <v>77</v>
      </c>
      <c r="E1294">
        <v>-1.4504974412550969E-3</v>
      </c>
      <c r="F1294">
        <f t="shared" si="46"/>
        <v>-1.7313207865726949E-2</v>
      </c>
      <c r="G1294">
        <f t="shared" si="47"/>
        <v>-2.9936928040397045E-2</v>
      </c>
    </row>
    <row r="1295" spans="1:7" x14ac:dyDescent="0.35">
      <c r="A1295" t="s">
        <v>77</v>
      </c>
      <c r="E1295">
        <v>-1.4027996886740149E-2</v>
      </c>
      <c r="F1295">
        <f t="shared" si="46"/>
        <v>-1.7314290317963093E-2</v>
      </c>
      <c r="G1295">
        <f t="shared" si="47"/>
        <v>-2.9936928040397045E-2</v>
      </c>
    </row>
    <row r="1296" spans="1:7" x14ac:dyDescent="0.35">
      <c r="A1296" t="s">
        <v>77</v>
      </c>
      <c r="E1296">
        <v>8.1184078209740919E-3</v>
      </c>
      <c r="F1296">
        <f t="shared" si="46"/>
        <v>-1.7315372770199237E-2</v>
      </c>
      <c r="G1296">
        <f t="shared" si="47"/>
        <v>-2.9936928040397045E-2</v>
      </c>
    </row>
    <row r="1297" spans="1:7" x14ac:dyDescent="0.35">
      <c r="A1297" t="s">
        <v>77</v>
      </c>
      <c r="E1297">
        <v>-4.9091101647219674E-3</v>
      </c>
      <c r="F1297">
        <f t="shared" si="46"/>
        <v>-1.7316455222435384E-2</v>
      </c>
      <c r="G1297">
        <f t="shared" si="47"/>
        <v>-2.9936928040397045E-2</v>
      </c>
    </row>
    <row r="1298" spans="1:7" x14ac:dyDescent="0.35">
      <c r="A1298" t="s">
        <v>77</v>
      </c>
      <c r="E1298">
        <v>-1.0033391115321644E-3</v>
      </c>
      <c r="F1298">
        <f t="shared" si="46"/>
        <v>-1.7317537674671528E-2</v>
      </c>
      <c r="G1298">
        <f t="shared" si="47"/>
        <v>-2.9936928040397045E-2</v>
      </c>
    </row>
    <row r="1299" spans="1:7" x14ac:dyDescent="0.35">
      <c r="A1299" t="s">
        <v>77</v>
      </c>
      <c r="E1299">
        <v>7.5882745248563649E-3</v>
      </c>
      <c r="F1299">
        <f t="shared" si="46"/>
        <v>-1.7318620126907672E-2</v>
      </c>
      <c r="G1299">
        <f t="shared" si="47"/>
        <v>-2.9936928040397045E-2</v>
      </c>
    </row>
    <row r="1300" spans="1:7" x14ac:dyDescent="0.35">
      <c r="A1300" t="s">
        <v>77</v>
      </c>
      <c r="E1300">
        <v>-1.2334352662287343E-3</v>
      </c>
      <c r="F1300">
        <f t="shared" si="46"/>
        <v>-1.7319702579143816E-2</v>
      </c>
      <c r="G1300">
        <f t="shared" si="47"/>
        <v>-2.9936928040397045E-2</v>
      </c>
    </row>
    <row r="1301" spans="1:7" x14ac:dyDescent="0.35">
      <c r="A1301" t="s">
        <v>77</v>
      </c>
      <c r="E1301">
        <v>9.0681280018253679E-3</v>
      </c>
      <c r="F1301">
        <f t="shared" si="46"/>
        <v>-1.7344276160909732E-2</v>
      </c>
      <c r="G1301">
        <f t="shared" si="47"/>
        <v>-3.0037865844087071E-2</v>
      </c>
    </row>
    <row r="1302" spans="1:7" x14ac:dyDescent="0.35">
      <c r="A1302" t="s">
        <v>77</v>
      </c>
      <c r="E1302">
        <v>3.0668536429664202E-3</v>
      </c>
      <c r="F1302">
        <f t="shared" si="46"/>
        <v>-1.7368849742675645E-2</v>
      </c>
      <c r="G1302">
        <f t="shared" si="47"/>
        <v>-3.0037865844087071E-2</v>
      </c>
    </row>
    <row r="1303" spans="1:7" x14ac:dyDescent="0.35">
      <c r="A1303" t="s">
        <v>77</v>
      </c>
      <c r="E1303">
        <v>5.7086724276693588E-3</v>
      </c>
      <c r="F1303">
        <f t="shared" si="46"/>
        <v>-1.7393423324441562E-2</v>
      </c>
      <c r="G1303">
        <f t="shared" si="47"/>
        <v>-3.0037865844087071E-2</v>
      </c>
    </row>
    <row r="1304" spans="1:7" x14ac:dyDescent="0.35">
      <c r="A1304" t="s">
        <v>77</v>
      </c>
      <c r="E1304">
        <v>-7.7219564592766066E-3</v>
      </c>
      <c r="F1304">
        <f t="shared" si="46"/>
        <v>-1.7417996906207475E-2</v>
      </c>
      <c r="G1304">
        <f t="shared" si="47"/>
        <v>-3.0037865844087071E-2</v>
      </c>
    </row>
    <row r="1305" spans="1:7" x14ac:dyDescent="0.35">
      <c r="A1305" t="s">
        <v>77</v>
      </c>
      <c r="E1305">
        <v>-6.5608745601914206E-3</v>
      </c>
      <c r="F1305">
        <f t="shared" si="46"/>
        <v>-1.7442570487973399E-2</v>
      </c>
      <c r="G1305">
        <f t="shared" si="47"/>
        <v>-3.0037865844087071E-2</v>
      </c>
    </row>
    <row r="1306" spans="1:7" x14ac:dyDescent="0.35">
      <c r="A1306" t="s">
        <v>77</v>
      </c>
      <c r="E1306">
        <v>-7.4324852991421502E-3</v>
      </c>
      <c r="F1306">
        <f t="shared" si="46"/>
        <v>-1.7467144069739315E-2</v>
      </c>
      <c r="G1306">
        <f t="shared" si="47"/>
        <v>-3.0037865844087071E-2</v>
      </c>
    </row>
    <row r="1307" spans="1:7" x14ac:dyDescent="0.35">
      <c r="A1307" t="s">
        <v>77</v>
      </c>
      <c r="E1307">
        <v>-8.6073169032650169E-3</v>
      </c>
      <c r="F1307">
        <f t="shared" si="46"/>
        <v>-1.7491717651505229E-2</v>
      </c>
      <c r="G1307">
        <f t="shared" si="47"/>
        <v>-3.0037865844087071E-2</v>
      </c>
    </row>
    <row r="1308" spans="1:7" x14ac:dyDescent="0.35">
      <c r="A1308" t="s">
        <v>77</v>
      </c>
      <c r="E1308">
        <v>-5.0383154998638749E-3</v>
      </c>
      <c r="F1308">
        <f t="shared" si="46"/>
        <v>-1.7516291233271145E-2</v>
      </c>
      <c r="G1308">
        <f t="shared" si="47"/>
        <v>-3.0037865844087071E-2</v>
      </c>
    </row>
    <row r="1309" spans="1:7" x14ac:dyDescent="0.35">
      <c r="A1309" t="s">
        <v>77</v>
      </c>
      <c r="E1309">
        <v>8.4020158252941009E-3</v>
      </c>
      <c r="F1309">
        <f t="shared" si="46"/>
        <v>-1.7540864815037058E-2</v>
      </c>
      <c r="G1309">
        <f t="shared" si="47"/>
        <v>-3.0037865844087071E-2</v>
      </c>
    </row>
    <row r="1310" spans="1:7" x14ac:dyDescent="0.35">
      <c r="A1310" t="s">
        <v>77</v>
      </c>
      <c r="E1310">
        <v>-6.8337630842847464E-3</v>
      </c>
      <c r="F1310">
        <f t="shared" si="46"/>
        <v>-1.7565438396802982E-2</v>
      </c>
      <c r="G1310">
        <f t="shared" si="47"/>
        <v>-3.0037865844087071E-2</v>
      </c>
    </row>
    <row r="1311" spans="1:7" x14ac:dyDescent="0.35">
      <c r="A1311" t="s">
        <v>78</v>
      </c>
      <c r="B1311" s="3" cm="1">
        <f t="array" ref="B1311">_xlfn.STDEV.S(_xlfn._xlws.FILTER($E$1000:$E$1998, $A$1000:$A$1998="2015-04"))</f>
        <v>1.0053386825393119E-2</v>
      </c>
      <c r="C1311" s="3" cm="1">
        <f t="array" ref="C1311">AVERAGE(_xlfn._xlws.FILTER($E$1000:$E$1998, $A$1000:$A$1998="2015-04"))</f>
        <v>7.77916044741519E-4</v>
      </c>
      <c r="D1311" s="3" cm="1">
        <f t="array" ref="D1311">_xlfn.PERCENTILE.EXC(_xlfn._xlws.FILTER($E$1000:$E$1497, $A$1000:$A$1497="2015-04"), 0.05)</f>
        <v>-1.8419846691784408E-2</v>
      </c>
      <c r="E1311">
        <v>-4.10400547340962E-4</v>
      </c>
      <c r="F1311">
        <f t="shared" si="46"/>
        <v>-1.7590011978568899E-2</v>
      </c>
      <c r="G1311">
        <f t="shared" si="47"/>
        <v>-3.0037865844087071E-2</v>
      </c>
    </row>
    <row r="1312" spans="1:7" x14ac:dyDescent="0.35">
      <c r="A1312" t="s">
        <v>78</v>
      </c>
      <c r="E1312">
        <v>-4.7102171965535218E-3</v>
      </c>
      <c r="F1312">
        <f t="shared" si="46"/>
        <v>-1.7614585560334812E-2</v>
      </c>
      <c r="G1312">
        <f t="shared" si="47"/>
        <v>-3.0037865844087071E-2</v>
      </c>
    </row>
    <row r="1313" spans="1:7" x14ac:dyDescent="0.35">
      <c r="A1313" t="s">
        <v>78</v>
      </c>
      <c r="E1313">
        <v>2.1877739542207342E-2</v>
      </c>
      <c r="F1313">
        <f t="shared" si="46"/>
        <v>-1.7639159142100728E-2</v>
      </c>
      <c r="G1313">
        <f t="shared" si="47"/>
        <v>-3.0037865844087071E-2</v>
      </c>
    </row>
    <row r="1314" spans="1:7" x14ac:dyDescent="0.35">
      <c r="A1314" t="s">
        <v>78</v>
      </c>
      <c r="E1314">
        <v>3.7477850473686004E-3</v>
      </c>
      <c r="F1314">
        <f t="shared" si="46"/>
        <v>-1.7663732723866642E-2</v>
      </c>
      <c r="G1314">
        <f t="shared" si="47"/>
        <v>-3.0037865844087071E-2</v>
      </c>
    </row>
    <row r="1315" spans="1:7" x14ac:dyDescent="0.35">
      <c r="A1315" t="s">
        <v>78</v>
      </c>
      <c r="E1315">
        <v>1.2885012161348764E-2</v>
      </c>
      <c r="F1315">
        <f t="shared" si="46"/>
        <v>-1.7688306305632565E-2</v>
      </c>
      <c r="G1315">
        <f t="shared" si="47"/>
        <v>-3.0037865844087071E-2</v>
      </c>
    </row>
    <row r="1316" spans="1:7" x14ac:dyDescent="0.35">
      <c r="A1316" t="s">
        <v>78</v>
      </c>
      <c r="E1316">
        <v>1.225606424207854E-2</v>
      </c>
      <c r="F1316">
        <f t="shared" si="46"/>
        <v>-1.7712879887398482E-2</v>
      </c>
      <c r="G1316">
        <f t="shared" si="47"/>
        <v>-3.0037865844087071E-2</v>
      </c>
    </row>
    <row r="1317" spans="1:7" x14ac:dyDescent="0.35">
      <c r="A1317" t="s">
        <v>78</v>
      </c>
      <c r="E1317">
        <v>-1.6995003441874748E-3</v>
      </c>
      <c r="F1317">
        <f t="shared" si="46"/>
        <v>-1.7737453469164395E-2</v>
      </c>
      <c r="G1317">
        <f t="shared" si="47"/>
        <v>-3.0037865844087071E-2</v>
      </c>
    </row>
    <row r="1318" spans="1:7" x14ac:dyDescent="0.35">
      <c r="A1318" t="s">
        <v>78</v>
      </c>
      <c r="E1318">
        <v>2.0420740605103173E-3</v>
      </c>
      <c r="F1318">
        <f t="shared" si="46"/>
        <v>-1.7762027050930312E-2</v>
      </c>
      <c r="G1318">
        <f t="shared" si="47"/>
        <v>-3.0037865844087071E-2</v>
      </c>
    </row>
    <row r="1319" spans="1:7" x14ac:dyDescent="0.35">
      <c r="A1319" t="s">
        <v>78</v>
      </c>
      <c r="E1319">
        <v>7.810957544712116E-3</v>
      </c>
      <c r="F1319">
        <f t="shared" si="46"/>
        <v>-1.7786600632696225E-2</v>
      </c>
      <c r="G1319">
        <f t="shared" si="47"/>
        <v>-3.0037865844087071E-2</v>
      </c>
    </row>
    <row r="1320" spans="1:7" x14ac:dyDescent="0.35">
      <c r="A1320" t="s">
        <v>78</v>
      </c>
      <c r="E1320">
        <v>-7.1859197990228902E-3</v>
      </c>
      <c r="F1320">
        <f t="shared" si="46"/>
        <v>-1.7811174214462148E-2</v>
      </c>
      <c r="G1320">
        <f t="shared" si="47"/>
        <v>-3.0037865844087071E-2</v>
      </c>
    </row>
    <row r="1321" spans="1:7" x14ac:dyDescent="0.35">
      <c r="A1321" t="s">
        <v>78</v>
      </c>
      <c r="E1321">
        <v>-1.2716690818157564E-2</v>
      </c>
      <c r="F1321">
        <f t="shared" si="46"/>
        <v>-1.7814352810705172E-2</v>
      </c>
      <c r="G1321">
        <f t="shared" si="47"/>
        <v>-3.0136468195938886E-2</v>
      </c>
    </row>
    <row r="1322" spans="1:7" x14ac:dyDescent="0.35">
      <c r="A1322" t="s">
        <v>78</v>
      </c>
      <c r="E1322">
        <v>8.8297160009317838E-3</v>
      </c>
      <c r="F1322">
        <f t="shared" si="46"/>
        <v>-1.7817531406948195E-2</v>
      </c>
      <c r="G1322">
        <f t="shared" si="47"/>
        <v>-3.0136468195938886E-2</v>
      </c>
    </row>
    <row r="1323" spans="1:7" x14ac:dyDescent="0.35">
      <c r="A1323" t="s">
        <v>78</v>
      </c>
      <c r="E1323">
        <v>4.6142999457159132E-3</v>
      </c>
      <c r="F1323">
        <f t="shared" si="46"/>
        <v>-1.7820710003191215E-2</v>
      </c>
      <c r="G1323">
        <f t="shared" si="47"/>
        <v>-3.0136468195938886E-2</v>
      </c>
    </row>
    <row r="1324" spans="1:7" x14ac:dyDescent="0.35">
      <c r="A1324" t="s">
        <v>78</v>
      </c>
      <c r="E1324">
        <v>1.9655826096167876E-3</v>
      </c>
      <c r="F1324">
        <f t="shared" si="46"/>
        <v>-1.7823888599434238E-2</v>
      </c>
      <c r="G1324">
        <f t="shared" si="47"/>
        <v>-3.0136468195938886E-2</v>
      </c>
    </row>
    <row r="1325" spans="1:7" x14ac:dyDescent="0.35">
      <c r="A1325" t="s">
        <v>78</v>
      </c>
      <c r="E1325">
        <v>-3.5018620440066357E-3</v>
      </c>
      <c r="F1325">
        <f t="shared" si="46"/>
        <v>-1.7827067195677261E-2</v>
      </c>
      <c r="G1325">
        <f t="shared" si="47"/>
        <v>-3.0136468195938886E-2</v>
      </c>
    </row>
    <row r="1326" spans="1:7" x14ac:dyDescent="0.35">
      <c r="A1326" t="s">
        <v>78</v>
      </c>
      <c r="E1326">
        <v>7.0821925553588797E-3</v>
      </c>
      <c r="F1326">
        <f t="shared" si="46"/>
        <v>-1.7830245791920284E-2</v>
      </c>
      <c r="G1326">
        <f t="shared" si="47"/>
        <v>-3.0136468195938886E-2</v>
      </c>
    </row>
    <row r="1327" spans="1:7" x14ac:dyDescent="0.35">
      <c r="A1327" t="s">
        <v>78</v>
      </c>
      <c r="E1327">
        <v>4.9938992646469307E-3</v>
      </c>
      <c r="F1327">
        <f t="shared" si="46"/>
        <v>-1.7833424388163308E-2</v>
      </c>
      <c r="G1327">
        <f t="shared" si="47"/>
        <v>-3.0136468195938886E-2</v>
      </c>
    </row>
    <row r="1328" spans="1:7" x14ac:dyDescent="0.35">
      <c r="A1328" t="s">
        <v>78</v>
      </c>
      <c r="E1328">
        <v>-1.1414970270976545E-2</v>
      </c>
      <c r="F1328">
        <f t="shared" si="46"/>
        <v>-1.7836602984406331E-2</v>
      </c>
      <c r="G1328">
        <f t="shared" si="47"/>
        <v>-3.0136468195938886E-2</v>
      </c>
    </row>
    <row r="1329" spans="1:7" x14ac:dyDescent="0.35">
      <c r="A1329" t="s">
        <v>78</v>
      </c>
      <c r="E1329">
        <v>-1.8720012790396347E-2</v>
      </c>
      <c r="F1329">
        <f t="shared" si="46"/>
        <v>-1.7839781580649351E-2</v>
      </c>
      <c r="G1329">
        <f t="shared" si="47"/>
        <v>-3.0136468195938886E-2</v>
      </c>
    </row>
    <row r="1330" spans="1:7" x14ac:dyDescent="0.35">
      <c r="A1330" t="s">
        <v>78</v>
      </c>
      <c r="E1330">
        <v>-1.2187428269023654E-2</v>
      </c>
      <c r="F1330">
        <f t="shared" si="46"/>
        <v>-1.7565438396802982E-2</v>
      </c>
      <c r="G1330">
        <f t="shared" si="47"/>
        <v>-3.0129138852584579E-2</v>
      </c>
    </row>
    <row r="1331" spans="1:7" x14ac:dyDescent="0.35">
      <c r="A1331" t="s">
        <v>79</v>
      </c>
      <c r="B1331" s="3" cm="1">
        <f t="array" ref="B1331">_xlfn.STDEV.S(_xlfn._xlws.FILTER($E$1000:$E$1998, $A$1000:$A$1998="2015-05"))</f>
        <v>1.321310473460964E-2</v>
      </c>
      <c r="C1331" s="3" cm="1">
        <f t="array" ref="C1331">AVERAGE(_xlfn._xlws.FILTER($E$1000:$E$1998, $A$1000:$A$1998="2015-05"))</f>
        <v>1.1678725732283356E-3</v>
      </c>
      <c r="D1331" s="3" cm="1">
        <f t="array" ref="D1331">_xlfn.PERCENTILE.INC(_xlfn._xlws.FILTER($E$1000:$E$1497, $A$1000:$A$1497="2015-05"), 0.05)</f>
        <v>-1.316293218794248E-2</v>
      </c>
      <c r="E1331">
        <v>-1.217931157025403E-2</v>
      </c>
      <c r="F1331">
        <f t="shared" si="46"/>
        <v>-1.7590011978568899E-2</v>
      </c>
      <c r="G1331">
        <f t="shared" si="47"/>
        <v>-3.0129138852584579E-2</v>
      </c>
    </row>
    <row r="1332" spans="1:7" x14ac:dyDescent="0.35">
      <c r="A1332" t="s">
        <v>79</v>
      </c>
      <c r="E1332">
        <v>-8.0384901966922828E-3</v>
      </c>
      <c r="F1332">
        <f t="shared" si="46"/>
        <v>-1.7614585560334812E-2</v>
      </c>
      <c r="G1332">
        <f t="shared" si="47"/>
        <v>-3.0129138852584579E-2</v>
      </c>
    </row>
    <row r="1333" spans="1:7" x14ac:dyDescent="0.35">
      <c r="A1333" t="s">
        <v>79</v>
      </c>
      <c r="E1333">
        <v>-3.1269651267132126E-3</v>
      </c>
      <c r="F1333">
        <f t="shared" si="46"/>
        <v>-1.7639159142100728E-2</v>
      </c>
      <c r="G1333">
        <f t="shared" si="47"/>
        <v>-3.0129138852584579E-2</v>
      </c>
    </row>
    <row r="1334" spans="1:7" x14ac:dyDescent="0.35">
      <c r="A1334" t="s">
        <v>79</v>
      </c>
      <c r="E1334">
        <v>4.2563624180996094E-2</v>
      </c>
      <c r="F1334">
        <f t="shared" si="46"/>
        <v>-1.7663732723866642E-2</v>
      </c>
      <c r="G1334">
        <f t="shared" si="47"/>
        <v>-3.0129138852584579E-2</v>
      </c>
    </row>
    <row r="1335" spans="1:7" x14ac:dyDescent="0.35">
      <c r="A1335" t="s">
        <v>79</v>
      </c>
      <c r="E1335">
        <v>1.1726608990005298E-2</v>
      </c>
      <c r="F1335">
        <f t="shared" si="46"/>
        <v>-1.7688306305632565E-2</v>
      </c>
      <c r="G1335">
        <f t="shared" si="47"/>
        <v>-3.0129138852584579E-2</v>
      </c>
    </row>
    <row r="1336" spans="1:7" x14ac:dyDescent="0.35">
      <c r="A1336" t="s">
        <v>79</v>
      </c>
      <c r="E1336">
        <v>-1.301348507344598E-2</v>
      </c>
      <c r="F1336">
        <f t="shared" si="46"/>
        <v>-1.7712879887398482E-2</v>
      </c>
      <c r="G1336">
        <f t="shared" si="47"/>
        <v>-3.0129138852584579E-2</v>
      </c>
    </row>
    <row r="1337" spans="1:7" x14ac:dyDescent="0.35">
      <c r="A1337" t="s">
        <v>79</v>
      </c>
      <c r="E1337">
        <v>-6.9665348856881399E-3</v>
      </c>
      <c r="F1337">
        <f t="shared" si="46"/>
        <v>-1.7737453469164395E-2</v>
      </c>
      <c r="G1337">
        <f t="shared" si="47"/>
        <v>-3.0129138852584579E-2</v>
      </c>
    </row>
    <row r="1338" spans="1:7" x14ac:dyDescent="0.35">
      <c r="A1338" t="s">
        <v>79</v>
      </c>
      <c r="E1338">
        <v>3.4848851936124764E-3</v>
      </c>
      <c r="F1338">
        <f t="shared" si="46"/>
        <v>-1.7762027050930312E-2</v>
      </c>
      <c r="G1338">
        <f t="shared" si="47"/>
        <v>-3.0129138852584579E-2</v>
      </c>
    </row>
    <row r="1339" spans="1:7" x14ac:dyDescent="0.35">
      <c r="A1339" t="s">
        <v>79</v>
      </c>
      <c r="E1339">
        <v>-6.1944925538948209E-3</v>
      </c>
      <c r="F1339">
        <f t="shared" si="46"/>
        <v>-1.7786600632696225E-2</v>
      </c>
      <c r="G1339">
        <f t="shared" si="47"/>
        <v>-3.0129138852584579E-2</v>
      </c>
    </row>
    <row r="1340" spans="1:7" x14ac:dyDescent="0.35">
      <c r="A1340" t="s">
        <v>79</v>
      </c>
      <c r="E1340">
        <v>2.6513155028017512E-3</v>
      </c>
      <c r="F1340">
        <f t="shared" si="46"/>
        <v>-1.7811174214462148E-2</v>
      </c>
      <c r="G1340">
        <f t="shared" si="47"/>
        <v>-3.0129138852584579E-2</v>
      </c>
    </row>
    <row r="1341" spans="1:7" x14ac:dyDescent="0.35">
      <c r="A1341" t="s">
        <v>79</v>
      </c>
      <c r="E1341">
        <v>1.1050827138593121E-2</v>
      </c>
      <c r="F1341">
        <f t="shared" si="46"/>
        <v>-1.7814352810705172E-2</v>
      </c>
      <c r="G1341">
        <f t="shared" si="47"/>
        <v>-3.0229284906553053E-2</v>
      </c>
    </row>
    <row r="1342" spans="1:7" x14ac:dyDescent="0.35">
      <c r="A1342" t="s">
        <v>79</v>
      </c>
      <c r="E1342">
        <v>9.0406140666322542E-3</v>
      </c>
      <c r="F1342">
        <f t="shared" si="46"/>
        <v>-1.7817531406948195E-2</v>
      </c>
      <c r="G1342">
        <f t="shared" si="47"/>
        <v>-3.0229284906553053E-2</v>
      </c>
    </row>
    <row r="1343" spans="1:7" x14ac:dyDescent="0.35">
      <c r="A1343" t="s">
        <v>79</v>
      </c>
      <c r="E1343">
        <v>5.8338600155259969E-3</v>
      </c>
      <c r="F1343">
        <f t="shared" si="46"/>
        <v>-1.7820710003191215E-2</v>
      </c>
      <c r="G1343">
        <f t="shared" si="47"/>
        <v>-3.0229284906553053E-2</v>
      </c>
    </row>
    <row r="1344" spans="1:7" x14ac:dyDescent="0.35">
      <c r="A1344" t="s">
        <v>79</v>
      </c>
      <c r="E1344">
        <v>-9.3611266518743715E-4</v>
      </c>
      <c r="F1344">
        <f t="shared" si="46"/>
        <v>-1.7823888599434238E-2</v>
      </c>
      <c r="G1344">
        <f t="shared" si="47"/>
        <v>-3.0229284906553053E-2</v>
      </c>
    </row>
    <row r="1345" spans="1:7" x14ac:dyDescent="0.35">
      <c r="A1345" t="s">
        <v>79</v>
      </c>
      <c r="E1345">
        <v>-4.3735710327164673E-3</v>
      </c>
      <c r="F1345">
        <f t="shared" si="46"/>
        <v>-1.7827067195677261E-2</v>
      </c>
      <c r="G1345">
        <f t="shared" si="47"/>
        <v>-3.0229284906553053E-2</v>
      </c>
    </row>
    <row r="1346" spans="1:7" x14ac:dyDescent="0.35">
      <c r="A1346" t="s">
        <v>79</v>
      </c>
      <c r="E1346">
        <v>8.2681105924033212E-3</v>
      </c>
      <c r="F1346">
        <f t="shared" si="46"/>
        <v>-1.7830245791920284E-2</v>
      </c>
      <c r="G1346">
        <f t="shared" si="47"/>
        <v>-3.0229284906553053E-2</v>
      </c>
    </row>
    <row r="1347" spans="1:7" x14ac:dyDescent="0.35">
      <c r="A1347" t="s">
        <v>79</v>
      </c>
      <c r="E1347">
        <v>-4.7593770877785895E-3</v>
      </c>
      <c r="F1347">
        <f t="shared" si="46"/>
        <v>-1.7833424388163308E-2</v>
      </c>
      <c r="G1347">
        <f t="shared" si="47"/>
        <v>-3.0229284906553053E-2</v>
      </c>
    </row>
    <row r="1348" spans="1:7" x14ac:dyDescent="0.35">
      <c r="A1348" t="s">
        <v>79</v>
      </c>
      <c r="E1348">
        <v>-1.4009799170089312E-2</v>
      </c>
      <c r="F1348">
        <f t="shared" ref="F1348:F1411" si="48">_xlfn.PERCENTILE.EXC(E1348:E5163,0.05)</f>
        <v>-1.7836602984406331E-2</v>
      </c>
      <c r="G1348">
        <f t="shared" ref="G1348:G1411" si="49">AVERAGEIFS(E1348:E5164,E1348:E5164,"&lt;=" &amp; F1348)</f>
        <v>-3.0229284906553053E-2</v>
      </c>
    </row>
    <row r="1349" spans="1:7" x14ac:dyDescent="0.35">
      <c r="A1349" t="s">
        <v>80</v>
      </c>
      <c r="B1349" s="3" cm="1">
        <f t="array" ref="B1349">_xlfn.STDEV.S(_xlfn._xlws.FILTER($E$1000:$E$1998, $A$1000:$A$1998="2015-06"))</f>
        <v>9.9169066905881419E-3</v>
      </c>
      <c r="C1349" s="3" cm="1">
        <f t="array" ref="C1349">AVERAGE(_xlfn._xlws.FILTER($E$1000:$E$1998, $A$1000:$A$1998="2015-06"))</f>
        <v>-2.5287875915240184E-3</v>
      </c>
      <c r="D1349" s="3" cm="1">
        <f t="array" ref="D1349">_xlfn.PERCENTILE.EXC(_xlfn._xlws.FILTER($E$1000:$E$1497, $A$1000:$A$1497="2015-06"), 0.05)</f>
        <v>-2.3450027582446385E-2</v>
      </c>
      <c r="E1349">
        <v>-5.0092382018560935E-3</v>
      </c>
      <c r="F1349">
        <f t="shared" si="48"/>
        <v>-1.7839781580649351E-2</v>
      </c>
      <c r="G1349">
        <f t="shared" si="49"/>
        <v>-3.0229284906553053E-2</v>
      </c>
    </row>
    <row r="1350" spans="1:7" x14ac:dyDescent="0.35">
      <c r="A1350" t="s">
        <v>80</v>
      </c>
      <c r="E1350">
        <v>-1.5494312248270638E-2</v>
      </c>
      <c r="F1350">
        <f t="shared" si="48"/>
        <v>-1.7842960176892374E-2</v>
      </c>
      <c r="G1350">
        <f t="shared" si="49"/>
        <v>-3.0229284906553053E-2</v>
      </c>
    </row>
    <row r="1351" spans="1:7" x14ac:dyDescent="0.35">
      <c r="A1351" t="s">
        <v>80</v>
      </c>
      <c r="E1351">
        <v>-5.9559013259686744E-3</v>
      </c>
      <c r="F1351">
        <f t="shared" si="48"/>
        <v>-1.7846138773135397E-2</v>
      </c>
      <c r="G1351">
        <f t="shared" si="49"/>
        <v>-3.0229284906553053E-2</v>
      </c>
    </row>
    <row r="1352" spans="1:7" x14ac:dyDescent="0.35">
      <c r="A1352" t="s">
        <v>80</v>
      </c>
      <c r="E1352">
        <v>-1.2687400735090126E-2</v>
      </c>
      <c r="F1352">
        <f t="shared" si="48"/>
        <v>-1.784931736937842E-2</v>
      </c>
      <c r="G1352">
        <f t="shared" si="49"/>
        <v>-3.0229284906553053E-2</v>
      </c>
    </row>
    <row r="1353" spans="1:7" x14ac:dyDescent="0.35">
      <c r="A1353" t="s">
        <v>80</v>
      </c>
      <c r="E1353">
        <v>-5.8824996590590626E-4</v>
      </c>
      <c r="F1353">
        <f t="shared" si="48"/>
        <v>-1.7852495965621443E-2</v>
      </c>
      <c r="G1353">
        <f t="shared" si="49"/>
        <v>-3.0229284906553053E-2</v>
      </c>
    </row>
    <row r="1354" spans="1:7" x14ac:dyDescent="0.35">
      <c r="A1354" t="s">
        <v>80</v>
      </c>
      <c r="E1354">
        <v>-9.5549807062720264E-3</v>
      </c>
      <c r="F1354">
        <f t="shared" si="48"/>
        <v>-1.7855674561864467E-2</v>
      </c>
      <c r="G1354">
        <f t="shared" si="49"/>
        <v>-3.0229284906553053E-2</v>
      </c>
    </row>
    <row r="1355" spans="1:7" x14ac:dyDescent="0.35">
      <c r="A1355" t="s">
        <v>80</v>
      </c>
      <c r="E1355">
        <v>-4.5326586582210889E-3</v>
      </c>
      <c r="F1355">
        <f t="shared" si="48"/>
        <v>-1.785885315810749E-2</v>
      </c>
      <c r="G1355">
        <f t="shared" si="49"/>
        <v>-3.0229284906553053E-2</v>
      </c>
    </row>
    <row r="1356" spans="1:7" x14ac:dyDescent="0.35">
      <c r="A1356" t="s">
        <v>80</v>
      </c>
      <c r="E1356">
        <v>1.7120554958281433E-2</v>
      </c>
      <c r="F1356">
        <f t="shared" si="48"/>
        <v>-1.7862031754350513E-2</v>
      </c>
      <c r="G1356">
        <f t="shared" si="49"/>
        <v>-3.0229284906553053E-2</v>
      </c>
    </row>
    <row r="1357" spans="1:7" x14ac:dyDescent="0.35">
      <c r="A1357" t="s">
        <v>80</v>
      </c>
      <c r="E1357">
        <v>7.2475400756804535E-3</v>
      </c>
      <c r="F1357">
        <f t="shared" si="48"/>
        <v>-1.7865210350593533E-2</v>
      </c>
      <c r="G1357">
        <f t="shared" si="49"/>
        <v>-3.0229284906553053E-2</v>
      </c>
    </row>
    <row r="1358" spans="1:7" x14ac:dyDescent="0.35">
      <c r="A1358" t="s">
        <v>80</v>
      </c>
      <c r="E1358">
        <v>-8.1611910326761933E-3</v>
      </c>
      <c r="F1358">
        <f t="shared" si="48"/>
        <v>-1.7868388946836556E-2</v>
      </c>
      <c r="G1358">
        <f t="shared" si="49"/>
        <v>-3.0229284906553053E-2</v>
      </c>
    </row>
    <row r="1359" spans="1:7" x14ac:dyDescent="0.35">
      <c r="A1359" t="s">
        <v>80</v>
      </c>
      <c r="E1359">
        <v>-1.0001131839548701E-2</v>
      </c>
      <c r="F1359">
        <f t="shared" si="48"/>
        <v>-1.7871567543079579E-2</v>
      </c>
      <c r="G1359">
        <f t="shared" si="49"/>
        <v>-3.0229284906553053E-2</v>
      </c>
    </row>
    <row r="1360" spans="1:7" x14ac:dyDescent="0.35">
      <c r="A1360" t="s">
        <v>80</v>
      </c>
      <c r="E1360">
        <v>6.8847694900080912E-3</v>
      </c>
      <c r="F1360">
        <f t="shared" si="48"/>
        <v>-1.7874746139322602E-2</v>
      </c>
      <c r="G1360">
        <f t="shared" si="49"/>
        <v>-3.0229284906553053E-2</v>
      </c>
    </row>
    <row r="1361" spans="1:7" x14ac:dyDescent="0.35">
      <c r="A1361" t="s">
        <v>80</v>
      </c>
      <c r="E1361">
        <v>-1.0355477245483733E-3</v>
      </c>
      <c r="F1361">
        <f t="shared" si="48"/>
        <v>-1.7876345983819101E-2</v>
      </c>
      <c r="G1361">
        <f t="shared" si="49"/>
        <v>-3.0330551617759861E-2</v>
      </c>
    </row>
    <row r="1362" spans="1:7" x14ac:dyDescent="0.35">
      <c r="A1362" t="s">
        <v>80</v>
      </c>
      <c r="E1362">
        <v>3.8868939383960377E-3</v>
      </c>
      <c r="F1362">
        <f t="shared" si="48"/>
        <v>-1.7877945828315599E-2</v>
      </c>
      <c r="G1362">
        <f t="shared" si="49"/>
        <v>-3.0330551617759861E-2</v>
      </c>
    </row>
    <row r="1363" spans="1:7" x14ac:dyDescent="0.35">
      <c r="A1363" t="s">
        <v>80</v>
      </c>
      <c r="E1363">
        <v>3.3894872102504126E-3</v>
      </c>
      <c r="F1363">
        <f t="shared" si="48"/>
        <v>-1.7879545672812094E-2</v>
      </c>
      <c r="G1363">
        <f t="shared" si="49"/>
        <v>-3.0330551617759861E-2</v>
      </c>
    </row>
    <row r="1364" spans="1:7" x14ac:dyDescent="0.35">
      <c r="A1364" t="s">
        <v>80</v>
      </c>
      <c r="E1364">
        <v>1.2437000860113085E-2</v>
      </c>
      <c r="F1364">
        <f t="shared" si="48"/>
        <v>-1.7881145517308593E-2</v>
      </c>
      <c r="G1364">
        <f t="shared" si="49"/>
        <v>-3.0330551617759861E-2</v>
      </c>
    </row>
    <row r="1365" spans="1:7" x14ac:dyDescent="0.35">
      <c r="A1365" t="s">
        <v>80</v>
      </c>
      <c r="E1365">
        <v>1.132416883218826E-2</v>
      </c>
      <c r="F1365">
        <f t="shared" si="48"/>
        <v>-1.7882745361805091E-2</v>
      </c>
      <c r="G1365">
        <f t="shared" si="49"/>
        <v>-3.0330551617759861E-2</v>
      </c>
    </row>
    <row r="1366" spans="1:7" x14ac:dyDescent="0.35">
      <c r="A1366" t="s">
        <v>80</v>
      </c>
      <c r="E1366">
        <v>-1.9143545632279762E-3</v>
      </c>
      <c r="F1366">
        <f t="shared" si="48"/>
        <v>-1.788434520630159E-2</v>
      </c>
      <c r="G1366">
        <f t="shared" si="49"/>
        <v>-3.0330551617759861E-2</v>
      </c>
    </row>
    <row r="1367" spans="1:7" x14ac:dyDescent="0.35">
      <c r="A1367" t="s">
        <v>80</v>
      </c>
      <c r="E1367">
        <v>-3.9194992423446763E-3</v>
      </c>
      <c r="F1367">
        <f t="shared" si="48"/>
        <v>-1.7885945050798088E-2</v>
      </c>
      <c r="G1367">
        <f t="shared" si="49"/>
        <v>-3.0330551617759861E-2</v>
      </c>
    </row>
    <row r="1368" spans="1:7" x14ac:dyDescent="0.35">
      <c r="A1368" t="s">
        <v>80</v>
      </c>
      <c r="E1368">
        <v>-3.6366665917498646E-3</v>
      </c>
      <c r="F1368">
        <f t="shared" si="48"/>
        <v>-1.7887544895294583E-2</v>
      </c>
      <c r="G1368">
        <f t="shared" si="49"/>
        <v>-3.0330551617759861E-2</v>
      </c>
    </row>
    <row r="1369" spans="1:7" x14ac:dyDescent="0.35">
      <c r="A1369" t="s">
        <v>80</v>
      </c>
      <c r="E1369">
        <v>-2.485397734730093E-2</v>
      </c>
      <c r="F1369">
        <f t="shared" si="48"/>
        <v>-1.7889144739791082E-2</v>
      </c>
      <c r="G1369">
        <f t="shared" si="49"/>
        <v>-3.0330551617759861E-2</v>
      </c>
    </row>
    <row r="1370" spans="1:7" x14ac:dyDescent="0.35">
      <c r="A1370" t="s">
        <v>80</v>
      </c>
      <c r="E1370">
        <v>-1.0578632195464907E-2</v>
      </c>
      <c r="F1370">
        <f t="shared" si="48"/>
        <v>-1.7842960176892374E-2</v>
      </c>
      <c r="G1370">
        <f t="shared" si="49"/>
        <v>-3.0273344804579709E-2</v>
      </c>
    </row>
    <row r="1371" spans="1:7" x14ac:dyDescent="0.35">
      <c r="A1371" t="s">
        <v>81</v>
      </c>
      <c r="B1371" s="3" cm="1">
        <f t="array" ref="B1371">_xlfn.STDEV.S(_xlfn._xlws.FILTER($E$1000:$E$1998, $A$1000:$A$1998="2015-07"))</f>
        <v>1.2403705164543746E-2</v>
      </c>
      <c r="C1371" s="3" cm="1">
        <f t="array" ref="C1371">AVERAGE(_xlfn._xlws.FILTER($E$1000:$E$1998, $A$1000:$A$1998="2015-07"))</f>
        <v>1.4647142055857927E-3</v>
      </c>
      <c r="D1371" s="3" cm="1">
        <f t="array" ref="D1371">_xlfn.PERCENTILE.EXC(_xlfn._xlws.FILTER($E$1000:$E$1497, $A$1000:$A$1497="2015-07"), 0.05)</f>
        <v>-1.9053482893359421E-2</v>
      </c>
      <c r="E1371">
        <v>1.3381822759364599E-2</v>
      </c>
      <c r="F1371">
        <f t="shared" si="48"/>
        <v>-1.7846138773135397E-2</v>
      </c>
      <c r="G1371">
        <f t="shared" si="49"/>
        <v>-3.0273344804579709E-2</v>
      </c>
    </row>
    <row r="1372" spans="1:7" x14ac:dyDescent="0.35">
      <c r="A1372" t="s">
        <v>81</v>
      </c>
      <c r="E1372">
        <v>9.889027765861624E-4</v>
      </c>
      <c r="F1372">
        <f t="shared" si="48"/>
        <v>-1.784931736937842E-2</v>
      </c>
      <c r="G1372">
        <f t="shared" si="49"/>
        <v>-3.0273344804579709E-2</v>
      </c>
    </row>
    <row r="1373" spans="1:7" x14ac:dyDescent="0.35">
      <c r="A1373" t="s">
        <v>81</v>
      </c>
      <c r="E1373">
        <v>-6.3930756850399699E-3</v>
      </c>
      <c r="F1373">
        <f t="shared" si="48"/>
        <v>-1.7852495965621443E-2</v>
      </c>
      <c r="G1373">
        <f t="shared" si="49"/>
        <v>-3.0273344804579709E-2</v>
      </c>
    </row>
    <row r="1374" spans="1:7" x14ac:dyDescent="0.35">
      <c r="A1374" t="s">
        <v>81</v>
      </c>
      <c r="E1374">
        <v>-5.343359839843174E-3</v>
      </c>
      <c r="F1374">
        <f t="shared" si="48"/>
        <v>-1.7855674561864467E-2</v>
      </c>
      <c r="G1374">
        <f t="shared" si="49"/>
        <v>-3.0273344804579709E-2</v>
      </c>
    </row>
    <row r="1375" spans="1:7" x14ac:dyDescent="0.35">
      <c r="A1375" t="s">
        <v>81</v>
      </c>
      <c r="E1375">
        <v>-1.6164051404705362E-2</v>
      </c>
      <c r="F1375">
        <f t="shared" si="48"/>
        <v>-1.785885315810749E-2</v>
      </c>
      <c r="G1375">
        <f t="shared" si="49"/>
        <v>-3.0273344804579709E-2</v>
      </c>
    </row>
    <row r="1376" spans="1:7" x14ac:dyDescent="0.35">
      <c r="A1376" t="s">
        <v>81</v>
      </c>
      <c r="E1376">
        <v>-6.9604392158675674E-3</v>
      </c>
      <c r="F1376">
        <f t="shared" si="48"/>
        <v>-1.7862031754350513E-2</v>
      </c>
      <c r="G1376">
        <f t="shared" si="49"/>
        <v>-3.0273344804579709E-2</v>
      </c>
    </row>
    <row r="1377" spans="1:7" x14ac:dyDescent="0.35">
      <c r="A1377" t="s">
        <v>81</v>
      </c>
      <c r="E1377">
        <v>1.9347613907136262E-2</v>
      </c>
      <c r="F1377">
        <f t="shared" si="48"/>
        <v>-1.7865210350593533E-2</v>
      </c>
      <c r="G1377">
        <f t="shared" si="49"/>
        <v>-3.0273344804579709E-2</v>
      </c>
    </row>
    <row r="1378" spans="1:7" x14ac:dyDescent="0.35">
      <c r="A1378" t="s">
        <v>81</v>
      </c>
      <c r="E1378">
        <v>1.0824856223506754E-2</v>
      </c>
      <c r="F1378">
        <f t="shared" si="48"/>
        <v>-1.7868388946836556E-2</v>
      </c>
      <c r="G1378">
        <f t="shared" si="49"/>
        <v>-3.0273344804579709E-2</v>
      </c>
    </row>
    <row r="1379" spans="1:7" x14ac:dyDescent="0.35">
      <c r="A1379" t="s">
        <v>81</v>
      </c>
      <c r="E1379">
        <v>2.118793405550834E-2</v>
      </c>
      <c r="F1379">
        <f t="shared" si="48"/>
        <v>-1.7871567543079579E-2</v>
      </c>
      <c r="G1379">
        <f t="shared" si="49"/>
        <v>-3.0273344804579709E-2</v>
      </c>
    </row>
    <row r="1380" spans="1:7" x14ac:dyDescent="0.35">
      <c r="A1380" t="s">
        <v>81</v>
      </c>
      <c r="E1380">
        <v>8.1647106978229439E-3</v>
      </c>
      <c r="F1380">
        <f t="shared" si="48"/>
        <v>-1.7874746139322602E-2</v>
      </c>
      <c r="G1380">
        <f t="shared" si="49"/>
        <v>-3.0273344804579709E-2</v>
      </c>
    </row>
    <row r="1381" spans="1:7" x14ac:dyDescent="0.35">
      <c r="A1381" t="s">
        <v>81</v>
      </c>
      <c r="E1381">
        <v>8.4937686228778366E-3</v>
      </c>
      <c r="F1381">
        <f t="shared" si="48"/>
        <v>-1.7876345983819101E-2</v>
      </c>
      <c r="G1381">
        <f t="shared" si="49"/>
        <v>-3.0375812562143816E-2</v>
      </c>
    </row>
    <row r="1382" spans="1:7" x14ac:dyDescent="0.35">
      <c r="A1382" t="s">
        <v>81</v>
      </c>
      <c r="E1382">
        <v>1.15288568809371E-2</v>
      </c>
      <c r="F1382">
        <f t="shared" si="48"/>
        <v>-1.7877945828315599E-2</v>
      </c>
      <c r="G1382">
        <f t="shared" si="49"/>
        <v>-3.0375812562143816E-2</v>
      </c>
    </row>
    <row r="1383" spans="1:7" x14ac:dyDescent="0.35">
      <c r="A1383" t="s">
        <v>81</v>
      </c>
      <c r="E1383">
        <v>-1.8416431554639924E-4</v>
      </c>
      <c r="F1383">
        <f t="shared" si="48"/>
        <v>-1.7879545672812094E-2</v>
      </c>
      <c r="G1383">
        <f t="shared" si="49"/>
        <v>-3.0375812562143816E-2</v>
      </c>
    </row>
    <row r="1384" spans="1:7" x14ac:dyDescent="0.35">
      <c r="A1384" t="s">
        <v>81</v>
      </c>
      <c r="E1384">
        <v>5.3364365072611816E-4</v>
      </c>
      <c r="F1384">
        <f t="shared" si="48"/>
        <v>-1.7881145517308593E-2</v>
      </c>
      <c r="G1384">
        <f t="shared" si="49"/>
        <v>-3.0375812562143816E-2</v>
      </c>
    </row>
    <row r="1385" spans="1:7" x14ac:dyDescent="0.35">
      <c r="A1385" t="s">
        <v>81</v>
      </c>
      <c r="E1385">
        <v>-1.4646021947893982E-2</v>
      </c>
      <c r="F1385">
        <f t="shared" si="48"/>
        <v>-1.7882745361805091E-2</v>
      </c>
      <c r="G1385">
        <f t="shared" si="49"/>
        <v>-3.0375812562143816E-2</v>
      </c>
    </row>
    <row r="1386" spans="1:7" x14ac:dyDescent="0.35">
      <c r="A1386" t="s">
        <v>81</v>
      </c>
      <c r="E1386">
        <v>-8.2597274870850317E-3</v>
      </c>
      <c r="F1386">
        <f t="shared" si="48"/>
        <v>-1.788434520630159E-2</v>
      </c>
      <c r="G1386">
        <f t="shared" si="49"/>
        <v>-3.0375812562143816E-2</v>
      </c>
    </row>
    <row r="1387" spans="1:7" x14ac:dyDescent="0.35">
      <c r="A1387" t="s">
        <v>81</v>
      </c>
      <c r="E1387">
        <v>-1.527959358511845E-2</v>
      </c>
      <c r="F1387">
        <f t="shared" si="48"/>
        <v>-1.7885945050798088E-2</v>
      </c>
      <c r="G1387">
        <f t="shared" si="49"/>
        <v>-3.0375812562143816E-2</v>
      </c>
    </row>
    <row r="1388" spans="1:7" x14ac:dyDescent="0.35">
      <c r="A1388" t="s">
        <v>81</v>
      </c>
      <c r="E1388">
        <v>-1.0256529498836028E-2</v>
      </c>
      <c r="F1388">
        <f t="shared" si="48"/>
        <v>-1.7887544895294583E-2</v>
      </c>
      <c r="G1388">
        <f t="shared" si="49"/>
        <v>-3.0375812562143816E-2</v>
      </c>
    </row>
    <row r="1389" spans="1:7" x14ac:dyDescent="0.35">
      <c r="A1389" t="s">
        <v>81</v>
      </c>
      <c r="E1389">
        <v>-1.9775840765522936E-2</v>
      </c>
      <c r="F1389">
        <f t="shared" si="48"/>
        <v>-1.7889144739791082E-2</v>
      </c>
      <c r="G1389">
        <f t="shared" si="49"/>
        <v>-3.0375812562143816E-2</v>
      </c>
    </row>
    <row r="1390" spans="1:7" x14ac:dyDescent="0.35">
      <c r="A1390" t="s">
        <v>81</v>
      </c>
      <c r="E1390">
        <v>1.5406857027366863E-2</v>
      </c>
      <c r="F1390">
        <f t="shared" si="48"/>
        <v>-1.7842960176892374E-2</v>
      </c>
      <c r="G1390">
        <f t="shared" si="49"/>
        <v>-3.0360101036307451E-2</v>
      </c>
    </row>
    <row r="1391" spans="1:7" x14ac:dyDescent="0.35">
      <c r="A1391" t="s">
        <v>81</v>
      </c>
      <c r="E1391">
        <v>1.4199642706577021E-2</v>
      </c>
      <c r="F1391">
        <f t="shared" si="48"/>
        <v>-1.7846138773135397E-2</v>
      </c>
      <c r="G1391">
        <f t="shared" si="49"/>
        <v>-3.0360101036307451E-2</v>
      </c>
    </row>
    <row r="1392" spans="1:7" x14ac:dyDescent="0.35">
      <c r="A1392" t="s">
        <v>81</v>
      </c>
      <c r="E1392">
        <v>1.444084467725394E-2</v>
      </c>
      <c r="F1392">
        <f t="shared" si="48"/>
        <v>-1.784931736937842E-2</v>
      </c>
      <c r="G1392">
        <f t="shared" si="49"/>
        <v>-3.0360101036307451E-2</v>
      </c>
    </row>
    <row r="1393" spans="1:7" x14ac:dyDescent="0.35">
      <c r="A1393" t="s">
        <v>81</v>
      </c>
      <c r="E1393">
        <v>-1.5482235117318035E-3</v>
      </c>
      <c r="F1393">
        <f t="shared" si="48"/>
        <v>-1.7852495965621443E-2</v>
      </c>
      <c r="G1393">
        <f t="shared" si="49"/>
        <v>-3.0360101036307451E-2</v>
      </c>
    </row>
    <row r="1394" spans="1:7" x14ac:dyDescent="0.35">
      <c r="A1394" t="s">
        <v>82</v>
      </c>
      <c r="B1394" s="3" cm="1">
        <f t="array" ref="B1394">_xlfn.STDEV.S(_xlfn._xlws.FILTER($E$1000:$E$1998, $A$1000:$A$1998="2015-08"))</f>
        <v>2.396692662882409E-2</v>
      </c>
      <c r="C1394" s="3" cm="1">
        <f t="array" ref="C1394">AVERAGE(_xlfn._xlws.FILTER($E$1000:$E$1998, $A$1000:$A$1998="2015-08"))</f>
        <v>-5.0417894012237847E-3</v>
      </c>
      <c r="D1394" s="3" cm="1">
        <f t="array" ref="D1394">_xlfn.PERCENTILE.EXC(_xlfn._xlws.FILTER($E$1000:$E$1497, $A$1000:$A$1497="2015-08"), 0.05)</f>
        <v>-5.9535849920983604E-2</v>
      </c>
      <c r="E1394">
        <v>4.3735902221789697E-4</v>
      </c>
      <c r="F1394">
        <f t="shared" si="48"/>
        <v>-1.7855674561864467E-2</v>
      </c>
      <c r="G1394">
        <f t="shared" si="49"/>
        <v>-3.0360101036307451E-2</v>
      </c>
    </row>
    <row r="1395" spans="1:7" x14ac:dyDescent="0.35">
      <c r="A1395" t="s">
        <v>82</v>
      </c>
      <c r="E1395">
        <v>2.1646951633061693E-3</v>
      </c>
      <c r="F1395">
        <f t="shared" si="48"/>
        <v>-1.785885315810749E-2</v>
      </c>
      <c r="G1395">
        <f t="shared" si="49"/>
        <v>-3.0360101036307451E-2</v>
      </c>
    </row>
    <row r="1396" spans="1:7" x14ac:dyDescent="0.35">
      <c r="A1396" t="s">
        <v>82</v>
      </c>
      <c r="E1396">
        <v>1.6349766878107599E-2</v>
      </c>
      <c r="F1396">
        <f t="shared" si="48"/>
        <v>-1.7862031754350513E-2</v>
      </c>
      <c r="G1396">
        <f t="shared" si="49"/>
        <v>-3.0360101036307451E-2</v>
      </c>
    </row>
    <row r="1397" spans="1:7" x14ac:dyDescent="0.35">
      <c r="A1397" t="s">
        <v>82</v>
      </c>
      <c r="E1397">
        <v>-1.0183848928022717E-2</v>
      </c>
      <c r="F1397">
        <f t="shared" si="48"/>
        <v>-1.7865210350593533E-2</v>
      </c>
      <c r="G1397">
        <f t="shared" si="49"/>
        <v>-3.0360101036307451E-2</v>
      </c>
    </row>
    <row r="1398" spans="1:7" x14ac:dyDescent="0.35">
      <c r="A1398" t="s">
        <v>82</v>
      </c>
      <c r="E1398">
        <v>-1.0902301190475224E-2</v>
      </c>
      <c r="F1398">
        <f t="shared" si="48"/>
        <v>-1.7868388946836556E-2</v>
      </c>
      <c r="G1398">
        <f t="shared" si="49"/>
        <v>-3.0360101036307451E-2</v>
      </c>
    </row>
    <row r="1399" spans="1:7" x14ac:dyDescent="0.35">
      <c r="A1399" t="s">
        <v>82</v>
      </c>
      <c r="E1399">
        <v>4.1618137144940346E-3</v>
      </c>
      <c r="F1399">
        <f t="shared" si="48"/>
        <v>-1.7871567543079579E-2</v>
      </c>
      <c r="G1399">
        <f t="shared" si="49"/>
        <v>-3.0360101036307451E-2</v>
      </c>
    </row>
    <row r="1400" spans="1:7" x14ac:dyDescent="0.35">
      <c r="A1400" t="s">
        <v>82</v>
      </c>
      <c r="E1400">
        <v>-1.1693776973559849E-2</v>
      </c>
      <c r="F1400">
        <f t="shared" si="48"/>
        <v>-1.7874746139322602E-2</v>
      </c>
      <c r="G1400">
        <f t="shared" si="49"/>
        <v>-3.0360101036307451E-2</v>
      </c>
    </row>
    <row r="1401" spans="1:7" x14ac:dyDescent="0.35">
      <c r="A1401" t="s">
        <v>82</v>
      </c>
      <c r="E1401">
        <v>-2.3358992671830652E-2</v>
      </c>
      <c r="F1401">
        <f t="shared" si="48"/>
        <v>-1.7876345983819101E-2</v>
      </c>
      <c r="G1401">
        <f t="shared" si="49"/>
        <v>-3.0464145660448989E-2</v>
      </c>
    </row>
    <row r="1402" spans="1:7" x14ac:dyDescent="0.35">
      <c r="A1402" t="s">
        <v>82</v>
      </c>
      <c r="E1402">
        <v>2.9558619065632056E-4</v>
      </c>
      <c r="F1402">
        <f t="shared" si="48"/>
        <v>-1.7817531406948195E-2</v>
      </c>
      <c r="G1402">
        <f t="shared" si="49"/>
        <v>-3.0418443606011428E-2</v>
      </c>
    </row>
    <row r="1403" spans="1:7" x14ac:dyDescent="0.35">
      <c r="A1403" t="s">
        <v>82</v>
      </c>
      <c r="E1403">
        <v>5.8915564544492555E-6</v>
      </c>
      <c r="F1403">
        <f t="shared" si="48"/>
        <v>-1.7820710003191215E-2</v>
      </c>
      <c r="G1403">
        <f t="shared" si="49"/>
        <v>-3.0418443606011428E-2</v>
      </c>
    </row>
    <row r="1404" spans="1:7" x14ac:dyDescent="0.35">
      <c r="A1404" t="s">
        <v>82</v>
      </c>
      <c r="E1404">
        <v>1.492389907041813E-3</v>
      </c>
      <c r="F1404">
        <f t="shared" si="48"/>
        <v>-1.7823888599434238E-2</v>
      </c>
      <c r="G1404">
        <f t="shared" si="49"/>
        <v>-3.0418443606011428E-2</v>
      </c>
    </row>
    <row r="1405" spans="1:7" x14ac:dyDescent="0.35">
      <c r="A1405" t="s">
        <v>82</v>
      </c>
      <c r="E1405">
        <v>4.7667726736870079E-3</v>
      </c>
      <c r="F1405">
        <f t="shared" si="48"/>
        <v>-1.7827067195677261E-2</v>
      </c>
      <c r="G1405">
        <f t="shared" si="49"/>
        <v>-3.0418443606011428E-2</v>
      </c>
    </row>
    <row r="1406" spans="1:7" x14ac:dyDescent="0.35">
      <c r="A1406" t="s">
        <v>82</v>
      </c>
      <c r="E1406">
        <v>-2.1893682547003811E-2</v>
      </c>
      <c r="F1406">
        <f t="shared" si="48"/>
        <v>-1.7830245791920284E-2</v>
      </c>
      <c r="G1406">
        <f t="shared" si="49"/>
        <v>-3.0418443606011428E-2</v>
      </c>
    </row>
    <row r="1407" spans="1:7" x14ac:dyDescent="0.35">
      <c r="A1407" t="s">
        <v>82</v>
      </c>
      <c r="E1407">
        <v>-1.5621784142873034E-2</v>
      </c>
      <c r="F1407">
        <f t="shared" si="48"/>
        <v>-1.7491717651505229E-2</v>
      </c>
      <c r="G1407">
        <f t="shared" si="49"/>
        <v>-3.0384422703240248E-2</v>
      </c>
    </row>
    <row r="1408" spans="1:7" x14ac:dyDescent="0.35">
      <c r="A1408" t="s">
        <v>82</v>
      </c>
      <c r="E1408">
        <v>-4.1634249479199269E-2</v>
      </c>
      <c r="F1408">
        <f t="shared" si="48"/>
        <v>-1.7516291233271145E-2</v>
      </c>
      <c r="G1408">
        <f t="shared" si="49"/>
        <v>-3.0384422703240248E-2</v>
      </c>
    </row>
    <row r="1409" spans="1:7" x14ac:dyDescent="0.35">
      <c r="A1409" t="s">
        <v>82</v>
      </c>
      <c r="E1409">
        <v>-6.047803941791962E-2</v>
      </c>
      <c r="F1409">
        <f t="shared" si="48"/>
        <v>-1.7307795604546226E-2</v>
      </c>
      <c r="G1409">
        <f t="shared" si="49"/>
        <v>-3.0181801479073119E-2</v>
      </c>
    </row>
    <row r="1410" spans="1:7" x14ac:dyDescent="0.35">
      <c r="A1410" t="s">
        <v>82</v>
      </c>
      <c r="E1410">
        <v>3.6838122529708632E-2</v>
      </c>
      <c r="F1410">
        <f t="shared" si="48"/>
        <v>-1.7260771519943596E-2</v>
      </c>
      <c r="G1410">
        <f t="shared" si="49"/>
        <v>-2.9821968263377296E-2</v>
      </c>
    </row>
    <row r="1411" spans="1:7" x14ac:dyDescent="0.35">
      <c r="A1411" t="s">
        <v>82</v>
      </c>
      <c r="E1411">
        <v>-2.7011060293491984E-2</v>
      </c>
      <c r="F1411">
        <f t="shared" si="48"/>
        <v>-1.7264499721391328E-2</v>
      </c>
      <c r="G1411">
        <f t="shared" si="49"/>
        <v>-2.9821968263377296E-2</v>
      </c>
    </row>
    <row r="1412" spans="1:7" x14ac:dyDescent="0.35">
      <c r="A1412" t="s">
        <v>82</v>
      </c>
      <c r="E1412">
        <v>4.2970980962458681E-2</v>
      </c>
      <c r="F1412">
        <f t="shared" ref="F1412:F1475" si="50">_xlfn.PERCENTILE.EXC(E1412:E5227,0.05)</f>
        <v>-1.7123207930476565E-2</v>
      </c>
      <c r="G1412">
        <f t="shared" ref="G1412:G1475" si="51">AVERAGEIFS(E1412:E5228,E1412:E5228,"&lt;=" &amp; F1412)</f>
        <v>-2.9740405173477084E-2</v>
      </c>
    </row>
    <row r="1413" spans="1:7" x14ac:dyDescent="0.35">
      <c r="A1413" t="s">
        <v>82</v>
      </c>
      <c r="E1413">
        <v>1.2458569021767859E-2</v>
      </c>
      <c r="F1413">
        <f t="shared" si="50"/>
        <v>-1.7135743127350275E-2</v>
      </c>
      <c r="G1413">
        <f t="shared" si="51"/>
        <v>-2.9740405173477084E-2</v>
      </c>
    </row>
    <row r="1414" spans="1:7" x14ac:dyDescent="0.35">
      <c r="A1414" t="s">
        <v>83</v>
      </c>
      <c r="B1414" s="3" cm="1">
        <f t="array" ref="B1414">_xlfn.STDEV.S(_xlfn._xlws.FILTER($E$1000:$E$1998, $A$1000:$A$1998="2015-09"))</f>
        <v>2.0758654082604688E-2</v>
      </c>
      <c r="C1414" s="3" cm="1">
        <f t="array" ref="C1414">AVERAGE(_xlfn._xlws.FILTER($E$1000:$E$1998, $A$1000:$A$1998="2015-09"))</f>
        <v>-2.1335812074611922E-3</v>
      </c>
      <c r="D1414" s="3" cm="1">
        <f t="array" ref="D1414">_xlfn.PERCENTILE.EXC(_xlfn._xlws.FILTER($E$1000:$E$1497, $A$1000:$A$1497="2015-09"), 0.05)</f>
        <v>-4.1193792063901738E-2</v>
      </c>
      <c r="E1414">
        <v>-4.3025636977835645E-2</v>
      </c>
      <c r="F1414">
        <f t="shared" si="50"/>
        <v>-1.7148278324223987E-2</v>
      </c>
      <c r="G1414">
        <f t="shared" si="51"/>
        <v>-2.9740405173477084E-2</v>
      </c>
    </row>
    <row r="1415" spans="1:7" x14ac:dyDescent="0.35">
      <c r="A1415" t="s">
        <v>83</v>
      </c>
      <c r="E1415">
        <v>6.6263038330205675E-3</v>
      </c>
      <c r="F1415">
        <f t="shared" si="50"/>
        <v>-1.6936612350785866E-2</v>
      </c>
      <c r="G1415">
        <f t="shared" si="51"/>
        <v>-2.9523298078395054E-2</v>
      </c>
    </row>
    <row r="1416" spans="1:7" x14ac:dyDescent="0.35">
      <c r="A1416" t="s">
        <v>83</v>
      </c>
      <c r="E1416">
        <v>2.500781630292034E-2</v>
      </c>
      <c r="F1416">
        <f t="shared" si="50"/>
        <v>-1.6943846994227095E-2</v>
      </c>
      <c r="G1416">
        <f t="shared" si="51"/>
        <v>-2.9523298078395054E-2</v>
      </c>
    </row>
    <row r="1417" spans="1:7" x14ac:dyDescent="0.35">
      <c r="A1417" t="s">
        <v>83</v>
      </c>
      <c r="E1417">
        <v>-3.0813337551609622E-2</v>
      </c>
      <c r="F1417">
        <f t="shared" si="50"/>
        <v>-1.6951081637668328E-2</v>
      </c>
      <c r="G1417">
        <f t="shared" si="51"/>
        <v>-2.9523298078395054E-2</v>
      </c>
    </row>
    <row r="1418" spans="1:7" x14ac:dyDescent="0.35">
      <c r="A1418" t="s">
        <v>83</v>
      </c>
      <c r="E1418">
        <v>8.5516812931168782E-3</v>
      </c>
      <c r="F1418">
        <f t="shared" si="50"/>
        <v>-1.682390106262216E-2</v>
      </c>
      <c r="G1418">
        <f t="shared" si="51"/>
        <v>-2.9406754371291369E-2</v>
      </c>
    </row>
    <row r="1419" spans="1:7" x14ac:dyDescent="0.35">
      <c r="A1419" t="s">
        <v>83</v>
      </c>
      <c r="E1419">
        <v>1.6113802508467657E-2</v>
      </c>
      <c r="F1419">
        <f t="shared" si="50"/>
        <v>-1.6825996880894784E-2</v>
      </c>
      <c r="G1419">
        <f t="shared" si="51"/>
        <v>-2.9406754371291369E-2</v>
      </c>
    </row>
    <row r="1420" spans="1:7" x14ac:dyDescent="0.35">
      <c r="A1420" t="s">
        <v>83</v>
      </c>
      <c r="E1420">
        <v>1.5027343739008107E-2</v>
      </c>
      <c r="F1420">
        <f t="shared" si="50"/>
        <v>-1.6828092699167411E-2</v>
      </c>
      <c r="G1420">
        <f t="shared" si="51"/>
        <v>-2.9406754371291369E-2</v>
      </c>
    </row>
    <row r="1421" spans="1:7" x14ac:dyDescent="0.35">
      <c r="A1421" t="s">
        <v>83</v>
      </c>
      <c r="E1421">
        <v>-1.6138456183733246E-2</v>
      </c>
      <c r="F1421">
        <f t="shared" si="50"/>
        <v>-1.683532734260864E-2</v>
      </c>
      <c r="G1421">
        <f t="shared" si="51"/>
        <v>-2.9512457410552917E-2</v>
      </c>
    </row>
    <row r="1422" spans="1:7" x14ac:dyDescent="0.35">
      <c r="A1422" t="s">
        <v>83</v>
      </c>
      <c r="E1422">
        <v>-1.4037544693645697E-2</v>
      </c>
      <c r="F1422">
        <f t="shared" si="50"/>
        <v>-1.6842561986049869E-2</v>
      </c>
      <c r="G1422">
        <f t="shared" si="51"/>
        <v>-2.9512457410552917E-2</v>
      </c>
    </row>
    <row r="1423" spans="1:7" x14ac:dyDescent="0.35">
      <c r="A1423" t="s">
        <v>83</v>
      </c>
      <c r="E1423">
        <v>-3.3367279096280073E-3</v>
      </c>
      <c r="F1423">
        <f t="shared" si="50"/>
        <v>-1.6849796629491102E-2</v>
      </c>
      <c r="G1423">
        <f t="shared" si="51"/>
        <v>-2.9512457410552917E-2</v>
      </c>
    </row>
    <row r="1424" spans="1:7" x14ac:dyDescent="0.35">
      <c r="A1424" t="s">
        <v>83</v>
      </c>
      <c r="E1424">
        <v>7.1819345390050681E-3</v>
      </c>
      <c r="F1424">
        <f t="shared" si="50"/>
        <v>-1.6857031272932331E-2</v>
      </c>
      <c r="G1424">
        <f t="shared" si="51"/>
        <v>-2.9512457410552917E-2</v>
      </c>
    </row>
    <row r="1425" spans="1:7" x14ac:dyDescent="0.35">
      <c r="A1425" t="s">
        <v>83</v>
      </c>
      <c r="E1425">
        <v>2.0815526245005524E-2</v>
      </c>
      <c r="F1425">
        <f t="shared" si="50"/>
        <v>-1.6864265916373564E-2</v>
      </c>
      <c r="G1425">
        <f t="shared" si="51"/>
        <v>-2.9512457410552917E-2</v>
      </c>
    </row>
    <row r="1426" spans="1:7" x14ac:dyDescent="0.35">
      <c r="A1426" t="s">
        <v>83</v>
      </c>
      <c r="E1426">
        <v>-4.0361631881077583E-3</v>
      </c>
      <c r="F1426">
        <f t="shared" si="50"/>
        <v>-1.6871500559814793E-2</v>
      </c>
      <c r="G1426">
        <f t="shared" si="51"/>
        <v>-2.9512457410552917E-2</v>
      </c>
    </row>
    <row r="1427" spans="1:7" x14ac:dyDescent="0.35">
      <c r="A1427" t="s">
        <v>83</v>
      </c>
      <c r="E1427">
        <v>-1.5057017512978579E-2</v>
      </c>
      <c r="F1427">
        <f t="shared" si="50"/>
        <v>-1.6878735203256022E-2</v>
      </c>
      <c r="G1427">
        <f t="shared" si="51"/>
        <v>-2.9512457410552917E-2</v>
      </c>
    </row>
    <row r="1428" spans="1:7" x14ac:dyDescent="0.35">
      <c r="A1428" t="s">
        <v>83</v>
      </c>
      <c r="E1428">
        <v>9.5042374871708926E-3</v>
      </c>
      <c r="F1428">
        <f t="shared" si="50"/>
        <v>-1.6885969846697251E-2</v>
      </c>
      <c r="G1428">
        <f t="shared" si="51"/>
        <v>-2.9512457410552917E-2</v>
      </c>
    </row>
    <row r="1429" spans="1:7" x14ac:dyDescent="0.35">
      <c r="A1429" t="s">
        <v>83</v>
      </c>
      <c r="E1429">
        <v>-2.9288015976210429E-2</v>
      </c>
      <c r="F1429">
        <f t="shared" si="50"/>
        <v>-1.6893204490138484E-2</v>
      </c>
      <c r="G1429">
        <f t="shared" si="51"/>
        <v>-2.9512457410552917E-2</v>
      </c>
    </row>
    <row r="1430" spans="1:7" x14ac:dyDescent="0.35">
      <c r="A1430" t="s">
        <v>83</v>
      </c>
      <c r="E1430">
        <v>4.4440276349678159E-3</v>
      </c>
      <c r="F1430">
        <f t="shared" si="50"/>
        <v>-1.6807134516441155E-2</v>
      </c>
      <c r="G1430">
        <f t="shared" si="51"/>
        <v>-2.9407752172930703E-2</v>
      </c>
    </row>
    <row r="1431" spans="1:7" x14ac:dyDescent="0.35">
      <c r="A1431" t="s">
        <v>83</v>
      </c>
      <c r="E1431">
        <v>-1.9938463067875205E-2</v>
      </c>
      <c r="F1431">
        <f t="shared" si="50"/>
        <v>-1.6809230334713782E-2</v>
      </c>
      <c r="G1431">
        <f t="shared" si="51"/>
        <v>-2.9407752172930703E-2</v>
      </c>
    </row>
    <row r="1432" spans="1:7" x14ac:dyDescent="0.35">
      <c r="A1432" t="s">
        <v>83</v>
      </c>
      <c r="E1432">
        <v>2.5860955570560038E-2</v>
      </c>
      <c r="F1432">
        <f t="shared" si="50"/>
        <v>-1.6732014552390678E-2</v>
      </c>
      <c r="G1432">
        <f t="shared" si="51"/>
        <v>-2.9381262368441963E-2</v>
      </c>
    </row>
    <row r="1433" spans="1:7" x14ac:dyDescent="0.35">
      <c r="A1433" t="s">
        <v>83</v>
      </c>
      <c r="E1433">
        <v>-2.8074928090297761E-2</v>
      </c>
      <c r="F1433">
        <f t="shared" si="50"/>
        <v>-1.6738784775056206E-2</v>
      </c>
      <c r="G1433">
        <f t="shared" si="51"/>
        <v>-2.9381262368441963E-2</v>
      </c>
    </row>
    <row r="1434" spans="1:7" x14ac:dyDescent="0.35">
      <c r="A1434" t="s">
        <v>83</v>
      </c>
      <c r="E1434">
        <v>-1.2909790210553938E-2</v>
      </c>
      <c r="F1434">
        <f t="shared" si="50"/>
        <v>-1.6556927936684573E-2</v>
      </c>
      <c r="G1434">
        <f t="shared" si="51"/>
        <v>-2.9285261055753783E-2</v>
      </c>
    </row>
    <row r="1435" spans="1:7" x14ac:dyDescent="0.35">
      <c r="A1435" t="s">
        <v>83</v>
      </c>
      <c r="E1435">
        <v>3.0583665645086782E-2</v>
      </c>
      <c r="F1435">
        <f t="shared" si="50"/>
        <v>-1.6572568593971205E-2</v>
      </c>
      <c r="G1435">
        <f t="shared" si="51"/>
        <v>-2.9285261055753783E-2</v>
      </c>
    </row>
    <row r="1436" spans="1:7" x14ac:dyDescent="0.35">
      <c r="A1436" t="s">
        <v>84</v>
      </c>
      <c r="B1436" s="3" cm="1">
        <f t="array" ref="B1436">_xlfn.STDEV.S(_xlfn._xlws.FILTER($E$1000:$E$1998, $A$1000:$A$1998="2015-10"))</f>
        <v>1.0338095932867521E-2</v>
      </c>
      <c r="C1436" s="3" cm="1">
        <f t="array" ref="C1436">AVERAGE(_xlfn._xlws.FILTER($E$1000:$E$1998, $A$1000:$A$1998="2015-10"))</f>
        <v>3.797168686625278E-3</v>
      </c>
      <c r="D1436" s="3" cm="1">
        <f t="array" ref="D1436">_xlfn.PERCENTILE.EXC(_xlfn._xlws.FILTER($E$1000:$E$1497, $A$1000:$A$1497="2015-10"), 0.05)</f>
        <v>-1.2500736647221128E-2</v>
      </c>
      <c r="E1436">
        <v>1.6615869067592196E-3</v>
      </c>
      <c r="F1436">
        <f t="shared" si="50"/>
        <v>-1.6588209251257834E-2</v>
      </c>
      <c r="G1436">
        <f t="shared" si="51"/>
        <v>-2.9285261055753783E-2</v>
      </c>
    </row>
    <row r="1437" spans="1:7" x14ac:dyDescent="0.35">
      <c r="A1437" t="s">
        <v>84</v>
      </c>
      <c r="E1437">
        <v>8.8183274458415277E-3</v>
      </c>
      <c r="F1437">
        <f t="shared" si="50"/>
        <v>-1.6603849908544459E-2</v>
      </c>
      <c r="G1437">
        <f t="shared" si="51"/>
        <v>-2.9285261055753783E-2</v>
      </c>
    </row>
    <row r="1438" spans="1:7" x14ac:dyDescent="0.35">
      <c r="A1438" t="s">
        <v>84</v>
      </c>
      <c r="E1438">
        <v>2.8994590202145617E-2</v>
      </c>
      <c r="F1438">
        <f t="shared" si="50"/>
        <v>-1.6619490565831087E-2</v>
      </c>
      <c r="G1438">
        <f t="shared" si="51"/>
        <v>-2.9285261055753783E-2</v>
      </c>
    </row>
    <row r="1439" spans="1:7" x14ac:dyDescent="0.35">
      <c r="A1439" t="s">
        <v>84</v>
      </c>
      <c r="E1439">
        <v>2.2185824572029901E-3</v>
      </c>
      <c r="F1439">
        <f t="shared" si="50"/>
        <v>-1.6635131223117713E-2</v>
      </c>
      <c r="G1439">
        <f t="shared" si="51"/>
        <v>-2.9285261055753783E-2</v>
      </c>
    </row>
    <row r="1440" spans="1:7" x14ac:dyDescent="0.35">
      <c r="A1440" t="s">
        <v>84</v>
      </c>
      <c r="E1440">
        <v>9.4108944845343965E-3</v>
      </c>
      <c r="F1440">
        <f t="shared" si="50"/>
        <v>-1.6650771880404345E-2</v>
      </c>
      <c r="G1440">
        <f t="shared" si="51"/>
        <v>-2.9285261055753783E-2</v>
      </c>
    </row>
    <row r="1441" spans="1:7" x14ac:dyDescent="0.35">
      <c r="A1441" t="s">
        <v>84</v>
      </c>
      <c r="E1441">
        <v>3.0470148359152617E-3</v>
      </c>
      <c r="F1441">
        <f t="shared" si="50"/>
        <v>-1.6657542103069873E-2</v>
      </c>
      <c r="G1441">
        <f t="shared" si="51"/>
        <v>-2.9392332997917762E-2</v>
      </c>
    </row>
    <row r="1442" spans="1:7" x14ac:dyDescent="0.35">
      <c r="A1442" t="s">
        <v>84</v>
      </c>
      <c r="E1442">
        <v>-1.9892022945824936E-3</v>
      </c>
      <c r="F1442">
        <f t="shared" si="50"/>
        <v>-1.6664312325735401E-2</v>
      </c>
      <c r="G1442">
        <f t="shared" si="51"/>
        <v>-2.9392332997917762E-2</v>
      </c>
    </row>
    <row r="1443" spans="1:7" x14ac:dyDescent="0.35">
      <c r="A1443" t="s">
        <v>84</v>
      </c>
      <c r="E1443">
        <v>-4.9268338845678619E-3</v>
      </c>
      <c r="F1443">
        <f t="shared" si="50"/>
        <v>-1.6671082548400929E-2</v>
      </c>
      <c r="G1443">
        <f t="shared" si="51"/>
        <v>-2.9392332997917762E-2</v>
      </c>
    </row>
    <row r="1444" spans="1:7" x14ac:dyDescent="0.35">
      <c r="A1444" t="s">
        <v>84</v>
      </c>
      <c r="E1444">
        <v>-1.2831456088047571E-2</v>
      </c>
      <c r="F1444">
        <f t="shared" si="50"/>
        <v>-1.6677852771066454E-2</v>
      </c>
      <c r="G1444">
        <f t="shared" si="51"/>
        <v>-2.9392332997917762E-2</v>
      </c>
    </row>
    <row r="1445" spans="1:7" x14ac:dyDescent="0.35">
      <c r="A1445" t="s">
        <v>84</v>
      </c>
      <c r="E1445">
        <v>-2.7915366892021891E-3</v>
      </c>
      <c r="F1445">
        <f t="shared" si="50"/>
        <v>-1.6684622993731985E-2</v>
      </c>
      <c r="G1445">
        <f t="shared" si="51"/>
        <v>-2.9392332997917762E-2</v>
      </c>
    </row>
    <row r="1446" spans="1:7" x14ac:dyDescent="0.35">
      <c r="A1446" t="s">
        <v>84</v>
      </c>
      <c r="E1446">
        <v>1.7391514260506377E-2</v>
      </c>
      <c r="F1446">
        <f t="shared" si="50"/>
        <v>-1.6691393216397513E-2</v>
      </c>
      <c r="G1446">
        <f t="shared" si="51"/>
        <v>-2.9392332997917762E-2</v>
      </c>
    </row>
    <row r="1447" spans="1:7" x14ac:dyDescent="0.35">
      <c r="A1447" t="s">
        <v>84</v>
      </c>
      <c r="E1447">
        <v>4.9097995368294674E-3</v>
      </c>
      <c r="F1447">
        <f t="shared" si="50"/>
        <v>-1.6698163439063038E-2</v>
      </c>
      <c r="G1447">
        <f t="shared" si="51"/>
        <v>-2.9392332997917762E-2</v>
      </c>
    </row>
    <row r="1448" spans="1:7" x14ac:dyDescent="0.35">
      <c r="A1448" t="s">
        <v>84</v>
      </c>
      <c r="E1448">
        <v>2.7754211568563783E-3</v>
      </c>
      <c r="F1448">
        <f t="shared" si="50"/>
        <v>-1.6704933661728566E-2</v>
      </c>
      <c r="G1448">
        <f t="shared" si="51"/>
        <v>-2.9392332997917762E-2</v>
      </c>
    </row>
    <row r="1449" spans="1:7" x14ac:dyDescent="0.35">
      <c r="A1449" t="s">
        <v>84</v>
      </c>
      <c r="E1449">
        <v>-4.6855006979602577E-3</v>
      </c>
      <c r="F1449">
        <f t="shared" si="50"/>
        <v>-1.6711703884394094E-2</v>
      </c>
      <c r="G1449">
        <f t="shared" si="51"/>
        <v>-2.9392332997917762E-2</v>
      </c>
    </row>
    <row r="1450" spans="1:7" x14ac:dyDescent="0.35">
      <c r="A1450" t="s">
        <v>84</v>
      </c>
      <c r="E1450">
        <v>-1.1799376332362972E-4</v>
      </c>
      <c r="F1450">
        <f t="shared" si="50"/>
        <v>-1.6718474107059622E-2</v>
      </c>
      <c r="G1450">
        <f t="shared" si="51"/>
        <v>-2.9392332997917762E-2</v>
      </c>
    </row>
    <row r="1451" spans="1:7" x14ac:dyDescent="0.35">
      <c r="A1451" t="s">
        <v>84</v>
      </c>
      <c r="E1451">
        <v>1.9402948095843905E-2</v>
      </c>
      <c r="F1451">
        <f t="shared" si="50"/>
        <v>-1.672524432972515E-2</v>
      </c>
      <c r="G1451">
        <f t="shared" si="51"/>
        <v>-2.9392332997917762E-2</v>
      </c>
    </row>
    <row r="1452" spans="1:7" x14ac:dyDescent="0.35">
      <c r="A1452" t="s">
        <v>84</v>
      </c>
      <c r="E1452">
        <v>1.8702500636982481E-2</v>
      </c>
      <c r="F1452">
        <f t="shared" si="50"/>
        <v>-1.6732014552390678E-2</v>
      </c>
      <c r="G1452">
        <f t="shared" si="51"/>
        <v>-2.9392332997917762E-2</v>
      </c>
    </row>
    <row r="1453" spans="1:7" x14ac:dyDescent="0.35">
      <c r="A1453" t="s">
        <v>84</v>
      </c>
      <c r="E1453">
        <v>-6.2187848678034018E-3</v>
      </c>
      <c r="F1453">
        <f t="shared" si="50"/>
        <v>-1.6738784775056206E-2</v>
      </c>
      <c r="G1453">
        <f t="shared" si="51"/>
        <v>-2.9392332997917762E-2</v>
      </c>
    </row>
    <row r="1454" spans="1:7" x14ac:dyDescent="0.35">
      <c r="A1454" t="s">
        <v>84</v>
      </c>
      <c r="E1454">
        <v>-1.0626659815871282E-2</v>
      </c>
      <c r="F1454">
        <f t="shared" si="50"/>
        <v>-1.6745554997721734E-2</v>
      </c>
      <c r="G1454">
        <f t="shared" si="51"/>
        <v>-2.9392332997917762E-2</v>
      </c>
    </row>
    <row r="1455" spans="1:7" x14ac:dyDescent="0.35">
      <c r="A1455" t="s">
        <v>84</v>
      </c>
      <c r="E1455">
        <v>1.0062578934285636E-2</v>
      </c>
      <c r="F1455">
        <f t="shared" si="50"/>
        <v>-1.6752325220387262E-2</v>
      </c>
      <c r="G1455">
        <f t="shared" si="51"/>
        <v>-2.9392332997917762E-2</v>
      </c>
    </row>
    <row r="1456" spans="1:7" x14ac:dyDescent="0.35">
      <c r="A1456" t="s">
        <v>84</v>
      </c>
      <c r="E1456">
        <v>1.044703172770847E-3</v>
      </c>
      <c r="F1456">
        <f t="shared" si="50"/>
        <v>-1.6759095443052791E-2</v>
      </c>
      <c r="G1456">
        <f t="shared" si="51"/>
        <v>-2.9392332997917762E-2</v>
      </c>
    </row>
    <row r="1457" spans="1:7" x14ac:dyDescent="0.35">
      <c r="A1457" t="s">
        <v>84</v>
      </c>
      <c r="E1457">
        <v>-7.1478291935929026E-4</v>
      </c>
      <c r="F1457">
        <f t="shared" si="50"/>
        <v>-1.6765865665718319E-2</v>
      </c>
      <c r="G1457">
        <f t="shared" si="51"/>
        <v>-2.9392332997917762E-2</v>
      </c>
    </row>
    <row r="1458" spans="1:7" x14ac:dyDescent="0.35">
      <c r="A1458" t="s">
        <v>85</v>
      </c>
      <c r="B1458" s="3" cm="1">
        <f t="array" ref="B1458">_xlfn.STDEV.S(_xlfn._xlws.FILTER($E$1000:$E$1998, $A$1000:$A$1998="2015-11"))</f>
        <v>1.0844248986069971E-2</v>
      </c>
      <c r="C1458" s="3" cm="1">
        <f t="array" ref="C1458">AVERAGE(_xlfn._xlws.FILTER($E$1000:$E$1998, $A$1000:$A$1998="2015-11"))</f>
        <v>7.0006807972331116E-4</v>
      </c>
      <c r="D1458" s="3" cm="1">
        <f t="array" ref="D1458">_xlfn.PERCENTILE.EXC(_xlfn._xlws.FILTER($E$1000:$E$1497, $A$1000:$A$1497="2015-11"), 0.05)</f>
        <v>-2.2382555658214603E-2</v>
      </c>
      <c r="E1458">
        <v>-1.7156430870189662E-3</v>
      </c>
      <c r="F1458">
        <f t="shared" si="50"/>
        <v>-1.6772635888383847E-2</v>
      </c>
      <c r="G1458">
        <f t="shared" si="51"/>
        <v>-2.9392332997917762E-2</v>
      </c>
    </row>
    <row r="1459" spans="1:7" x14ac:dyDescent="0.35">
      <c r="A1459" t="s">
        <v>85</v>
      </c>
      <c r="E1459">
        <v>8.739654308733448E-3</v>
      </c>
      <c r="F1459">
        <f t="shared" si="50"/>
        <v>-1.6779406111049375E-2</v>
      </c>
      <c r="G1459">
        <f t="shared" si="51"/>
        <v>-2.9392332997917762E-2</v>
      </c>
    </row>
    <row r="1460" spans="1:7" x14ac:dyDescent="0.35">
      <c r="A1460" t="s">
        <v>85</v>
      </c>
      <c r="E1460">
        <v>1.0899510283521548E-2</v>
      </c>
      <c r="F1460">
        <f t="shared" si="50"/>
        <v>-1.6786176333714903E-2</v>
      </c>
      <c r="G1460">
        <f t="shared" si="51"/>
        <v>-2.9392332997917762E-2</v>
      </c>
    </row>
    <row r="1461" spans="1:7" x14ac:dyDescent="0.35">
      <c r="A1461" t="s">
        <v>85</v>
      </c>
      <c r="E1461">
        <v>-1.8672281050369686E-2</v>
      </c>
      <c r="F1461">
        <f t="shared" si="50"/>
        <v>-1.6788272151987527E-2</v>
      </c>
      <c r="G1461">
        <f t="shared" si="51"/>
        <v>-2.9500077926671631E-2</v>
      </c>
    </row>
    <row r="1462" spans="1:7" x14ac:dyDescent="0.35">
      <c r="A1462" t="s">
        <v>85</v>
      </c>
      <c r="E1462">
        <v>-1.3283665530960987E-3</v>
      </c>
      <c r="F1462">
        <f t="shared" si="50"/>
        <v>-1.6664312325735401E-2</v>
      </c>
      <c r="G1462">
        <f t="shared" si="51"/>
        <v>-2.9483957373537831E-2</v>
      </c>
    </row>
    <row r="1463" spans="1:7" x14ac:dyDescent="0.35">
      <c r="A1463" t="s">
        <v>85</v>
      </c>
      <c r="E1463">
        <v>-6.1627116245130311E-3</v>
      </c>
      <c r="F1463">
        <f t="shared" si="50"/>
        <v>-1.6671082548400929E-2</v>
      </c>
      <c r="G1463">
        <f t="shared" si="51"/>
        <v>-2.9483957373537831E-2</v>
      </c>
    </row>
    <row r="1464" spans="1:7" x14ac:dyDescent="0.35">
      <c r="A1464" t="s">
        <v>85</v>
      </c>
      <c r="E1464">
        <v>1.4180965518281381E-3</v>
      </c>
      <c r="F1464">
        <f t="shared" si="50"/>
        <v>-1.6677852771066454E-2</v>
      </c>
      <c r="G1464">
        <f t="shared" si="51"/>
        <v>-2.9483957373537831E-2</v>
      </c>
    </row>
    <row r="1465" spans="1:7" x14ac:dyDescent="0.35">
      <c r="A1465" t="s">
        <v>85</v>
      </c>
      <c r="E1465">
        <v>7.0549981730419686E-3</v>
      </c>
      <c r="F1465">
        <f t="shared" si="50"/>
        <v>-1.6684622993731985E-2</v>
      </c>
      <c r="G1465">
        <f t="shared" si="51"/>
        <v>-2.9483957373537831E-2</v>
      </c>
    </row>
    <row r="1466" spans="1:7" x14ac:dyDescent="0.35">
      <c r="A1466" t="s">
        <v>85</v>
      </c>
      <c r="E1466">
        <v>-2.2794808392419593E-2</v>
      </c>
      <c r="F1466">
        <f t="shared" si="50"/>
        <v>-1.6691393216397513E-2</v>
      </c>
      <c r="G1466">
        <f t="shared" si="51"/>
        <v>-2.9483957373537831E-2</v>
      </c>
    </row>
    <row r="1467" spans="1:7" x14ac:dyDescent="0.35">
      <c r="A1467" t="s">
        <v>85</v>
      </c>
      <c r="E1467">
        <v>-5.157567990812446E-3</v>
      </c>
      <c r="F1467">
        <f t="shared" si="50"/>
        <v>-1.6447443335678182E-2</v>
      </c>
      <c r="G1467">
        <f t="shared" si="51"/>
        <v>-2.9431444240956502E-2</v>
      </c>
    </row>
    <row r="1468" spans="1:7" x14ac:dyDescent="0.35">
      <c r="A1468" t="s">
        <v>85</v>
      </c>
      <c r="E1468">
        <v>8.0303819446533829E-3</v>
      </c>
      <c r="F1468">
        <f t="shared" si="50"/>
        <v>-1.6463083992964807E-2</v>
      </c>
      <c r="G1468">
        <f t="shared" si="51"/>
        <v>-2.9431444240956502E-2</v>
      </c>
    </row>
    <row r="1469" spans="1:7" x14ac:dyDescent="0.35">
      <c r="A1469" t="s">
        <v>85</v>
      </c>
      <c r="E1469">
        <v>2.4317131774128167E-2</v>
      </c>
      <c r="F1469">
        <f t="shared" si="50"/>
        <v>-1.6478724650251436E-2</v>
      </c>
      <c r="G1469">
        <f t="shared" si="51"/>
        <v>-2.9431444240956502E-2</v>
      </c>
    </row>
    <row r="1470" spans="1:7" x14ac:dyDescent="0.35">
      <c r="A1470" t="s">
        <v>85</v>
      </c>
      <c r="E1470">
        <v>2.1536159828869942E-3</v>
      </c>
      <c r="F1470">
        <f t="shared" si="50"/>
        <v>-1.6494365307538068E-2</v>
      </c>
      <c r="G1470">
        <f t="shared" si="51"/>
        <v>-2.9431444240956502E-2</v>
      </c>
    </row>
    <row r="1471" spans="1:7" x14ac:dyDescent="0.35">
      <c r="A1471" t="s">
        <v>85</v>
      </c>
      <c r="E1471">
        <v>5.4736808613323716E-3</v>
      </c>
      <c r="F1471">
        <f t="shared" si="50"/>
        <v>-1.6510005964824694E-2</v>
      </c>
      <c r="G1471">
        <f t="shared" si="51"/>
        <v>-2.9431444240956502E-2</v>
      </c>
    </row>
    <row r="1472" spans="1:7" x14ac:dyDescent="0.35">
      <c r="A1472" t="s">
        <v>85</v>
      </c>
      <c r="E1472">
        <v>1.0969193640356042E-3</v>
      </c>
      <c r="F1472">
        <f t="shared" si="50"/>
        <v>-1.6525646622111319E-2</v>
      </c>
      <c r="G1472">
        <f t="shared" si="51"/>
        <v>-2.9431444240956502E-2</v>
      </c>
    </row>
    <row r="1473" spans="1:7" x14ac:dyDescent="0.35">
      <c r="A1473" t="s">
        <v>85</v>
      </c>
      <c r="E1473">
        <v>-6.1431301885308213E-3</v>
      </c>
      <c r="F1473">
        <f t="shared" si="50"/>
        <v>-1.6541287279397947E-2</v>
      </c>
      <c r="G1473">
        <f t="shared" si="51"/>
        <v>-2.9431444240956502E-2</v>
      </c>
    </row>
    <row r="1474" spans="1:7" x14ac:dyDescent="0.35">
      <c r="A1474" t="s">
        <v>85</v>
      </c>
      <c r="E1474">
        <v>-1.0805991733923494E-2</v>
      </c>
      <c r="F1474">
        <f t="shared" si="50"/>
        <v>-1.6556927936684573E-2</v>
      </c>
      <c r="G1474">
        <f t="shared" si="51"/>
        <v>-2.9431444240956502E-2</v>
      </c>
    </row>
    <row r="1475" spans="1:7" x14ac:dyDescent="0.35">
      <c r="A1475" t="s">
        <v>85</v>
      </c>
      <c r="E1475">
        <v>1.4617292160773631E-2</v>
      </c>
      <c r="F1475">
        <f t="shared" si="50"/>
        <v>-1.6572568593971205E-2</v>
      </c>
      <c r="G1475">
        <f t="shared" si="51"/>
        <v>-2.9431444240956502E-2</v>
      </c>
    </row>
    <row r="1476" spans="1:7" x14ac:dyDescent="0.35">
      <c r="A1476" t="s">
        <v>85</v>
      </c>
      <c r="E1476">
        <v>9.3003870357169505E-3</v>
      </c>
      <c r="F1476">
        <f t="shared" ref="F1476:F1539" si="52">_xlfn.PERCENTILE.EXC(E1476:E5291,0.05)</f>
        <v>-1.6588209251257834E-2</v>
      </c>
      <c r="G1476">
        <f t="shared" ref="G1476:G1539" si="53">AVERAGEIFS(E1476:E5292,E1476:E5292,"&lt;=" &amp; F1476)</f>
        <v>-2.9431444240956502E-2</v>
      </c>
    </row>
    <row r="1477" spans="1:7" x14ac:dyDescent="0.35">
      <c r="A1477" t="s">
        <v>85</v>
      </c>
      <c r="E1477">
        <v>-5.6084305320006919E-3</v>
      </c>
      <c r="F1477">
        <f t="shared" si="52"/>
        <v>-1.6603849908544459E-2</v>
      </c>
      <c r="G1477">
        <f t="shared" si="53"/>
        <v>-2.9431444240956502E-2</v>
      </c>
    </row>
    <row r="1478" spans="1:7" x14ac:dyDescent="0.35">
      <c r="A1478" t="s">
        <v>85</v>
      </c>
      <c r="E1478">
        <v>-1.1307613777840912E-5</v>
      </c>
      <c r="F1478">
        <f t="shared" si="52"/>
        <v>-1.6619490565831087E-2</v>
      </c>
      <c r="G1478">
        <f t="shared" si="53"/>
        <v>-2.9431444240956502E-2</v>
      </c>
    </row>
    <row r="1479" spans="1:7" x14ac:dyDescent="0.35">
      <c r="A1479" t="s">
        <v>86</v>
      </c>
      <c r="B1479" s="3" cm="1">
        <f t="array" ref="B1479">_xlfn.STDEV.S(_xlfn._xlws.FILTER($E$1000:$E$1998, $A$1000:$A$1998="2015-12"))</f>
        <v>1.7357549712814148E-2</v>
      </c>
      <c r="C1479" s="3" cm="1">
        <f t="array" ref="C1479">AVERAGE(_xlfn._xlws.FILTER($E$1000:$E$1998, $A$1000:$A$1998="2015-12"))</f>
        <v>-3.1414698123042499E-3</v>
      </c>
      <c r="D1479" s="3" cm="1">
        <f t="array" ref="D1479">_xlfn.PERCENTILE.EXC(_xlfn._xlws.FILTER($E$1000:$E$1497, $A$1000:$A$1497="2015-12"), 0.05)</f>
        <v>-4.1243430425004272E-2</v>
      </c>
      <c r="E1479">
        <v>3.5062330013428782E-3</v>
      </c>
      <c r="F1479">
        <f t="shared" si="52"/>
        <v>-1.6635131223117713E-2</v>
      </c>
      <c r="G1479">
        <f t="shared" si="53"/>
        <v>-2.9431444240956502E-2</v>
      </c>
    </row>
    <row r="1480" spans="1:7" x14ac:dyDescent="0.35">
      <c r="A1480" t="s">
        <v>86</v>
      </c>
      <c r="E1480">
        <v>-2.595555945012405E-3</v>
      </c>
      <c r="F1480">
        <f t="shared" si="52"/>
        <v>-1.6650771880404345E-2</v>
      </c>
      <c r="G1480">
        <f t="shared" si="53"/>
        <v>-2.9431444240956502E-2</v>
      </c>
    </row>
    <row r="1481" spans="1:7" x14ac:dyDescent="0.35">
      <c r="A1481" t="s">
        <v>86</v>
      </c>
      <c r="E1481">
        <v>-4.1243430425004272E-2</v>
      </c>
      <c r="F1481">
        <f t="shared" si="52"/>
        <v>-1.6657542103069873E-2</v>
      </c>
      <c r="G1481">
        <f t="shared" si="53"/>
        <v>-2.9541622450961261E-2</v>
      </c>
    </row>
    <row r="1482" spans="1:7" x14ac:dyDescent="0.35">
      <c r="A1482" t="s">
        <v>86</v>
      </c>
      <c r="E1482">
        <v>-2.9020433179293777E-3</v>
      </c>
      <c r="F1482">
        <f t="shared" si="52"/>
        <v>-1.6369240049245042E-2</v>
      </c>
      <c r="G1482">
        <f t="shared" si="53"/>
        <v>-2.9329616773852641E-2</v>
      </c>
    </row>
    <row r="1483" spans="1:7" x14ac:dyDescent="0.35">
      <c r="A1483" t="s">
        <v>86</v>
      </c>
      <c r="E1483">
        <v>-3.299107893147087E-3</v>
      </c>
      <c r="F1483">
        <f t="shared" si="52"/>
        <v>-1.6384880706531667E-2</v>
      </c>
      <c r="G1483">
        <f t="shared" si="53"/>
        <v>-2.9329616773852641E-2</v>
      </c>
    </row>
    <row r="1484" spans="1:7" x14ac:dyDescent="0.35">
      <c r="A1484" t="s">
        <v>86</v>
      </c>
      <c r="E1484">
        <v>-2.1244188735013127E-2</v>
      </c>
      <c r="F1484">
        <f t="shared" si="52"/>
        <v>-1.6400521363818296E-2</v>
      </c>
      <c r="G1484">
        <f t="shared" si="53"/>
        <v>-2.9329616773852641E-2</v>
      </c>
    </row>
    <row r="1485" spans="1:7" x14ac:dyDescent="0.35">
      <c r="A1485" t="s">
        <v>86</v>
      </c>
      <c r="E1485">
        <v>-1.2698663964688887E-3</v>
      </c>
      <c r="F1485">
        <f t="shared" si="52"/>
        <v>-1.6335770558793695E-2</v>
      </c>
      <c r="G1485">
        <f t="shared" si="53"/>
        <v>-2.9287321687642805E-2</v>
      </c>
    </row>
    <row r="1486" spans="1:7" x14ac:dyDescent="0.35">
      <c r="A1486" t="s">
        <v>86</v>
      </c>
      <c r="E1486">
        <v>-1.1567278307210616E-3</v>
      </c>
      <c r="F1486">
        <f t="shared" si="52"/>
        <v>-1.6335916437185568E-2</v>
      </c>
      <c r="G1486">
        <f t="shared" si="53"/>
        <v>-2.9287321687642805E-2</v>
      </c>
    </row>
    <row r="1487" spans="1:7" x14ac:dyDescent="0.35">
      <c r="A1487" t="s">
        <v>86</v>
      </c>
      <c r="E1487">
        <v>-2.3660085930320252E-2</v>
      </c>
      <c r="F1487">
        <f t="shared" si="52"/>
        <v>-1.6336062315577441E-2</v>
      </c>
      <c r="G1487">
        <f t="shared" si="53"/>
        <v>-2.9287321687642805E-2</v>
      </c>
    </row>
    <row r="1488" spans="1:7" x14ac:dyDescent="0.35">
      <c r="A1488" t="s">
        <v>86</v>
      </c>
      <c r="E1488">
        <v>-2.0029727952661662E-2</v>
      </c>
      <c r="F1488">
        <f t="shared" si="52"/>
        <v>-1.6268298022444609E-2</v>
      </c>
      <c r="G1488">
        <f t="shared" si="53"/>
        <v>-2.9224174750026543E-2</v>
      </c>
    </row>
    <row r="1489" spans="1:7" x14ac:dyDescent="0.35">
      <c r="A1489" t="s">
        <v>86</v>
      </c>
      <c r="E1489">
        <v>2.6708015547310917E-2</v>
      </c>
      <c r="F1489">
        <f t="shared" si="52"/>
        <v>-1.6197113989961549E-2</v>
      </c>
      <c r="G1489">
        <f t="shared" si="53"/>
        <v>-2.919136504864887E-2</v>
      </c>
    </row>
    <row r="1490" spans="1:7" x14ac:dyDescent="0.35">
      <c r="A1490" t="s">
        <v>86</v>
      </c>
      <c r="E1490">
        <v>4.0096849711534184E-3</v>
      </c>
      <c r="F1490">
        <f t="shared" si="52"/>
        <v>-1.6199540226587907E-2</v>
      </c>
      <c r="G1490">
        <f t="shared" si="53"/>
        <v>-2.919136504864887E-2</v>
      </c>
    </row>
    <row r="1491" spans="1:7" x14ac:dyDescent="0.35">
      <c r="A1491" t="s">
        <v>86</v>
      </c>
      <c r="E1491">
        <v>8.7483878601889772E-3</v>
      </c>
      <c r="F1491">
        <f t="shared" si="52"/>
        <v>-1.6201966463214264E-2</v>
      </c>
      <c r="G1491">
        <f t="shared" si="53"/>
        <v>-2.919136504864887E-2</v>
      </c>
    </row>
    <row r="1492" spans="1:7" x14ac:dyDescent="0.35">
      <c r="A1492" t="s">
        <v>86</v>
      </c>
      <c r="E1492">
        <v>-9.640696049566199E-3</v>
      </c>
      <c r="F1492">
        <f t="shared" si="52"/>
        <v>-1.6204392699840618E-2</v>
      </c>
      <c r="G1492">
        <f t="shared" si="53"/>
        <v>-2.919136504864887E-2</v>
      </c>
    </row>
    <row r="1493" spans="1:7" x14ac:dyDescent="0.35">
      <c r="A1493" t="s">
        <v>86</v>
      </c>
      <c r="E1493">
        <v>-1.0678785837110634E-2</v>
      </c>
      <c r="F1493">
        <f t="shared" si="52"/>
        <v>-1.6206818936466975E-2</v>
      </c>
      <c r="G1493">
        <f t="shared" si="53"/>
        <v>-2.919136504864887E-2</v>
      </c>
    </row>
    <row r="1494" spans="1:7" x14ac:dyDescent="0.35">
      <c r="A1494" t="s">
        <v>86</v>
      </c>
      <c r="E1494">
        <v>-1.7364252027638923E-3</v>
      </c>
      <c r="F1494">
        <f t="shared" si="52"/>
        <v>-1.6209245173093328E-2</v>
      </c>
      <c r="G1494">
        <f t="shared" si="53"/>
        <v>-2.919136504864887E-2</v>
      </c>
    </row>
    <row r="1495" spans="1:7" x14ac:dyDescent="0.35">
      <c r="A1495" t="s">
        <v>86</v>
      </c>
      <c r="E1495">
        <v>3.7741369737345133E-2</v>
      </c>
      <c r="F1495">
        <f t="shared" si="52"/>
        <v>-1.6211671409719686E-2</v>
      </c>
      <c r="G1495">
        <f t="shared" si="53"/>
        <v>-2.919136504864887E-2</v>
      </c>
    </row>
    <row r="1496" spans="1:7" x14ac:dyDescent="0.35">
      <c r="A1496" t="s">
        <v>86</v>
      </c>
      <c r="E1496">
        <v>2.2874388916651893E-3</v>
      </c>
      <c r="F1496">
        <f t="shared" si="52"/>
        <v>-1.6214097646346043E-2</v>
      </c>
      <c r="G1496">
        <f t="shared" si="53"/>
        <v>-2.919136504864887E-2</v>
      </c>
    </row>
    <row r="1497" spans="1:7" x14ac:dyDescent="0.35">
      <c r="A1497" t="s">
        <v>86</v>
      </c>
      <c r="E1497">
        <v>-3.2324149270683868E-3</v>
      </c>
      <c r="F1497">
        <f t="shared" si="52"/>
        <v>-1.6216523882972397E-2</v>
      </c>
      <c r="G1497">
        <f t="shared" si="53"/>
        <v>-2.919136504864887E-2</v>
      </c>
    </row>
    <row r="1498" spans="1:7" x14ac:dyDescent="0.35">
      <c r="A1498" t="s">
        <v>87</v>
      </c>
      <c r="B1498" s="3" cm="1">
        <f t="array" ref="B1498">_xlfn.STDEV.S(_xlfn._xlws.FILTER($E$1000:$E$1998, $A$1000:$A$1998="2016-01"))</f>
        <v>2.0070943151589835E-2</v>
      </c>
      <c r="C1498" s="3" cm="1">
        <f t="array" ref="C1498">AVERAGE(_xlfn._xlws.FILTER($E$1000:$E$1998, $A$1000:$A$1998="2016-01"))</f>
        <v>-3.3032250797853761E-3</v>
      </c>
      <c r="D1498" s="3" cm="1">
        <f t="array" ref="D1498">_xlfn.PERCENTILE.EXC(_xlfn._xlws.FILTER($E$1498:$E$2489, $A$1498:$A$2489="2016-01"), 0.05)</f>
        <v>-3.7155349141192402E-2</v>
      </c>
      <c r="E1498">
        <v>-2.9389900447241518E-2</v>
      </c>
      <c r="F1498">
        <f t="shared" si="52"/>
        <v>-1.6218950119598754E-2</v>
      </c>
      <c r="G1498">
        <f t="shared" si="53"/>
        <v>-2.919136504864887E-2</v>
      </c>
    </row>
    <row r="1499" spans="1:7" x14ac:dyDescent="0.35">
      <c r="A1499" t="s">
        <v>87</v>
      </c>
      <c r="E1499">
        <v>1.1457529754606066E-2</v>
      </c>
      <c r="F1499">
        <f t="shared" si="52"/>
        <v>-1.617479823283758E-2</v>
      </c>
      <c r="G1499">
        <f t="shared" si="53"/>
        <v>-2.9077445888416827E-2</v>
      </c>
    </row>
    <row r="1500" spans="1:7" x14ac:dyDescent="0.35">
      <c r="A1500" t="s">
        <v>87</v>
      </c>
      <c r="E1500">
        <v>-1.4097274332177619E-2</v>
      </c>
      <c r="F1500">
        <f t="shared" si="52"/>
        <v>-1.6175277860324348E-2</v>
      </c>
      <c r="G1500">
        <f t="shared" si="53"/>
        <v>-2.9077445888416827E-2</v>
      </c>
    </row>
    <row r="1501" spans="1:7" x14ac:dyDescent="0.35">
      <c r="A1501" t="s">
        <v>87</v>
      </c>
      <c r="E1501">
        <v>-3.2066414698569128E-2</v>
      </c>
      <c r="F1501">
        <f t="shared" si="52"/>
        <v>-1.6177704096950705E-2</v>
      </c>
      <c r="G1501">
        <f t="shared" si="53"/>
        <v>-2.91896386538785E-2</v>
      </c>
    </row>
    <row r="1502" spans="1:7" x14ac:dyDescent="0.35">
      <c r="A1502" t="s">
        <v>87</v>
      </c>
      <c r="E1502">
        <v>-1.415036123591585E-2</v>
      </c>
      <c r="F1502">
        <f t="shared" si="52"/>
        <v>-1.6166644565562528E-2</v>
      </c>
      <c r="G1502">
        <f t="shared" si="53"/>
        <v>-2.9051454855285062E-2</v>
      </c>
    </row>
    <row r="1503" spans="1:7" x14ac:dyDescent="0.35">
      <c r="A1503" t="s">
        <v>87</v>
      </c>
      <c r="E1503">
        <v>-3.3603657877296304E-3</v>
      </c>
      <c r="F1503">
        <f t="shared" si="52"/>
        <v>-1.6167124193049297E-2</v>
      </c>
      <c r="G1503">
        <f t="shared" si="53"/>
        <v>-2.9051454855285062E-2</v>
      </c>
    </row>
    <row r="1504" spans="1:7" x14ac:dyDescent="0.35">
      <c r="A1504" t="s">
        <v>87</v>
      </c>
      <c r="E1504">
        <v>4.4205200137950092E-3</v>
      </c>
      <c r="F1504">
        <f t="shared" si="52"/>
        <v>-1.6167603820536065E-2</v>
      </c>
      <c r="G1504">
        <f t="shared" si="53"/>
        <v>-2.9051454855285062E-2</v>
      </c>
    </row>
    <row r="1505" spans="1:7" x14ac:dyDescent="0.35">
      <c r="A1505" t="s">
        <v>87</v>
      </c>
      <c r="E1505">
        <v>6.5384442506916246E-3</v>
      </c>
      <c r="F1505">
        <f t="shared" si="52"/>
        <v>-1.6168083448022834E-2</v>
      </c>
      <c r="G1505">
        <f t="shared" si="53"/>
        <v>-2.9051454855285062E-2</v>
      </c>
    </row>
    <row r="1506" spans="1:7" x14ac:dyDescent="0.35">
      <c r="A1506" t="s">
        <v>87</v>
      </c>
      <c r="E1506">
        <v>-1.1326214882324829E-2</v>
      </c>
      <c r="F1506">
        <f t="shared" si="52"/>
        <v>-1.6168563075509599E-2</v>
      </c>
      <c r="G1506">
        <f t="shared" si="53"/>
        <v>-2.9051454855285062E-2</v>
      </c>
    </row>
    <row r="1507" spans="1:7" x14ac:dyDescent="0.35">
      <c r="A1507" t="s">
        <v>87</v>
      </c>
      <c r="E1507">
        <v>-3.7275344145875772E-2</v>
      </c>
      <c r="F1507">
        <f t="shared" si="52"/>
        <v>-1.6169042702996368E-2</v>
      </c>
      <c r="G1507">
        <f t="shared" si="53"/>
        <v>-2.9051454855285062E-2</v>
      </c>
    </row>
    <row r="1508" spans="1:7" x14ac:dyDescent="0.35">
      <c r="A1508" t="s">
        <v>87</v>
      </c>
      <c r="E1508">
        <v>1.7628516231559023E-4</v>
      </c>
      <c r="F1508">
        <f t="shared" si="52"/>
        <v>-1.6141916576793005E-2</v>
      </c>
      <c r="G1508">
        <f t="shared" si="53"/>
        <v>-2.8867892604543439E-2</v>
      </c>
    </row>
    <row r="1509" spans="1:7" x14ac:dyDescent="0.35">
      <c r="A1509" t="s">
        <v>87</v>
      </c>
      <c r="E1509">
        <v>7.9092381219132944E-3</v>
      </c>
      <c r="F1509">
        <f t="shared" si="52"/>
        <v>-1.6143897304609339E-2</v>
      </c>
      <c r="G1509">
        <f t="shared" si="53"/>
        <v>-2.8867892604543439E-2</v>
      </c>
    </row>
    <row r="1510" spans="1:7" x14ac:dyDescent="0.35">
      <c r="A1510" t="s">
        <v>87</v>
      </c>
      <c r="E1510">
        <v>-3.4875444052208333E-2</v>
      </c>
      <c r="F1510">
        <f t="shared" si="52"/>
        <v>-1.6145878032425669E-2</v>
      </c>
      <c r="G1510">
        <f t="shared" si="53"/>
        <v>-2.8867892604543439E-2</v>
      </c>
    </row>
    <row r="1511" spans="1:7" x14ac:dyDescent="0.35">
      <c r="A1511" t="s">
        <v>87</v>
      </c>
      <c r="E1511">
        <v>2.6457861838886831E-2</v>
      </c>
      <c r="F1511">
        <f t="shared" si="52"/>
        <v>-1.6106387146904516E-2</v>
      </c>
      <c r="G1511">
        <f t="shared" si="53"/>
        <v>-2.8704854575865645E-2</v>
      </c>
    </row>
    <row r="1512" spans="1:7" x14ac:dyDescent="0.35">
      <c r="A1512" t="s">
        <v>87</v>
      </c>
      <c r="E1512">
        <v>3.0663178080454767E-2</v>
      </c>
      <c r="F1512">
        <f t="shared" si="52"/>
        <v>-1.6108574214388719E-2</v>
      </c>
      <c r="G1512">
        <f t="shared" si="53"/>
        <v>-2.8704854575865645E-2</v>
      </c>
    </row>
    <row r="1513" spans="1:7" x14ac:dyDescent="0.35">
      <c r="A1513" t="s">
        <v>87</v>
      </c>
      <c r="E1513">
        <v>-9.1449581237822812E-3</v>
      </c>
      <c r="F1513">
        <f t="shared" si="52"/>
        <v>-1.6110761281872922E-2</v>
      </c>
      <c r="G1513">
        <f t="shared" si="53"/>
        <v>-2.8704854575865645E-2</v>
      </c>
    </row>
    <row r="1514" spans="1:7" x14ac:dyDescent="0.35">
      <c r="A1514" t="s">
        <v>87</v>
      </c>
      <c r="E1514">
        <v>1.2130734631263103E-2</v>
      </c>
      <c r="F1514">
        <f t="shared" si="52"/>
        <v>-1.6112948349357125E-2</v>
      </c>
      <c r="G1514">
        <f t="shared" si="53"/>
        <v>-2.8704854575865645E-2</v>
      </c>
    </row>
    <row r="1515" spans="1:7" x14ac:dyDescent="0.35">
      <c r="A1515" t="s">
        <v>87</v>
      </c>
      <c r="E1515">
        <v>4.9513204529053204E-3</v>
      </c>
      <c r="F1515">
        <f t="shared" si="52"/>
        <v>-1.6115135416841328E-2</v>
      </c>
      <c r="G1515">
        <f t="shared" si="53"/>
        <v>-2.8704854575865645E-2</v>
      </c>
    </row>
    <row r="1516" spans="1:7" x14ac:dyDescent="0.35">
      <c r="A1516" t="s">
        <v>87</v>
      </c>
      <c r="E1516">
        <v>-9.4675491801554726E-3</v>
      </c>
      <c r="F1516">
        <f t="shared" si="52"/>
        <v>-1.6117322484325531E-2</v>
      </c>
      <c r="G1516">
        <f t="shared" si="53"/>
        <v>-2.8704854575865645E-2</v>
      </c>
    </row>
    <row r="1517" spans="1:7" x14ac:dyDescent="0.35">
      <c r="A1517" t="s">
        <v>87</v>
      </c>
      <c r="E1517">
        <v>2.4384212983441299E-2</v>
      </c>
      <c r="F1517">
        <f t="shared" si="52"/>
        <v>-1.6119509551809734E-2</v>
      </c>
      <c r="G1517">
        <f t="shared" si="53"/>
        <v>-2.8704854575865645E-2</v>
      </c>
    </row>
    <row r="1518" spans="1:7" x14ac:dyDescent="0.35">
      <c r="A1518" t="s">
        <v>88</v>
      </c>
      <c r="B1518" s="3" cm="1">
        <f t="array" ref="B1518">_xlfn.STDEV.S(_xlfn._xlws.FILTER($E$1000:$E$1998, $A$1000:$A$1998="2016-02"))</f>
        <v>2.1253669594817184E-2</v>
      </c>
      <c r="C1518" s="3" cm="1">
        <f t="array" ref="C1518">AVERAGE(_xlfn._xlws.FILTER($E$1000:$E$1998, $A$1000:$A$1998="2016-02"))</f>
        <v>-1.0857062974573856E-3</v>
      </c>
      <c r="D1518" s="3" cm="1">
        <f t="array" ref="D1518">_xlfn.PERCENTILE.EXC(_xlfn._xlws.FILTER($E$1498:$E$2489, $A$1498:$A$2489="2016-02"), 0.05)</f>
        <v>-3.4718654202265858E-2</v>
      </c>
      <c r="E1518">
        <v>3.1460438724945773E-3</v>
      </c>
      <c r="F1518">
        <f t="shared" si="52"/>
        <v>-1.612169661929394E-2</v>
      </c>
      <c r="G1518">
        <f t="shared" si="53"/>
        <v>-2.8704854575865645E-2</v>
      </c>
    </row>
    <row r="1519" spans="1:7" x14ac:dyDescent="0.35">
      <c r="A1519" t="s">
        <v>88</v>
      </c>
      <c r="E1519">
        <v>-2.3196034188442544E-2</v>
      </c>
      <c r="F1519">
        <f t="shared" si="52"/>
        <v>-1.6123883686778143E-2</v>
      </c>
      <c r="G1519">
        <f t="shared" si="53"/>
        <v>-2.8704854575865645E-2</v>
      </c>
    </row>
    <row r="1520" spans="1:7" x14ac:dyDescent="0.35">
      <c r="A1520" t="s">
        <v>88</v>
      </c>
      <c r="E1520">
        <v>-1.6972785567992019E-2</v>
      </c>
      <c r="F1520">
        <f t="shared" si="52"/>
        <v>-1.6082329404578277E-2</v>
      </c>
      <c r="G1520">
        <f t="shared" si="53"/>
        <v>-2.8642996273397264E-2</v>
      </c>
    </row>
    <row r="1521" spans="1:7" x14ac:dyDescent="0.35">
      <c r="A1521" t="s">
        <v>88</v>
      </c>
      <c r="E1521">
        <v>-7.1874745595889612E-4</v>
      </c>
      <c r="F1521">
        <f t="shared" si="52"/>
        <v>-1.6073302091690243E-2</v>
      </c>
      <c r="G1521">
        <f t="shared" si="53"/>
        <v>-2.8745366542742918E-2</v>
      </c>
    </row>
    <row r="1522" spans="1:7" x14ac:dyDescent="0.35">
      <c r="A1522" t="s">
        <v>88</v>
      </c>
      <c r="E1522">
        <v>-1.1422829703418243E-2</v>
      </c>
      <c r="F1522">
        <f t="shared" si="52"/>
        <v>-1.6073777213421195E-2</v>
      </c>
      <c r="G1522">
        <f t="shared" si="53"/>
        <v>-2.8745366542742918E-2</v>
      </c>
    </row>
    <row r="1523" spans="1:7" x14ac:dyDescent="0.35">
      <c r="A1523" t="s">
        <v>88</v>
      </c>
      <c r="E1523">
        <v>-3.3720955804095502E-2</v>
      </c>
      <c r="F1523">
        <f t="shared" si="52"/>
        <v>-1.6074252335152143E-2</v>
      </c>
      <c r="G1523">
        <f t="shared" si="53"/>
        <v>-2.8745366542742918E-2</v>
      </c>
    </row>
    <row r="1524" spans="1:7" x14ac:dyDescent="0.35">
      <c r="A1524" t="s">
        <v>88</v>
      </c>
      <c r="E1524">
        <v>-1.8315967481932632E-2</v>
      </c>
      <c r="F1524">
        <f t="shared" si="52"/>
        <v>-1.588332584724611E-2</v>
      </c>
      <c r="G1524">
        <f t="shared" si="53"/>
        <v>-2.8590558395075058E-2</v>
      </c>
    </row>
    <row r="1525" spans="1:7" x14ac:dyDescent="0.35">
      <c r="A1525" t="s">
        <v>88</v>
      </c>
      <c r="E1525">
        <v>1.4165164531304546E-2</v>
      </c>
      <c r="F1525">
        <f t="shared" si="52"/>
        <v>-1.5824936113323744E-2</v>
      </c>
      <c r="G1525">
        <f t="shared" si="53"/>
        <v>-2.8568803860729755E-2</v>
      </c>
    </row>
    <row r="1526" spans="1:7" x14ac:dyDescent="0.35">
      <c r="A1526" t="s">
        <v>88</v>
      </c>
      <c r="E1526">
        <v>-3.4829509579840344E-2</v>
      </c>
      <c r="F1526">
        <f t="shared" si="52"/>
        <v>-1.5825670410206681E-2</v>
      </c>
      <c r="G1526">
        <f t="shared" si="53"/>
        <v>-2.8568803860729755E-2</v>
      </c>
    </row>
    <row r="1527" spans="1:7" x14ac:dyDescent="0.35">
      <c r="A1527" t="s">
        <v>88</v>
      </c>
      <c r="E1527">
        <v>3.9037148700315452E-2</v>
      </c>
      <c r="F1527">
        <f t="shared" si="52"/>
        <v>-1.5809411927319914E-2</v>
      </c>
      <c r="G1527">
        <f t="shared" si="53"/>
        <v>-2.840206486993211E-2</v>
      </c>
    </row>
    <row r="1528" spans="1:7" x14ac:dyDescent="0.35">
      <c r="A1528" t="s">
        <v>88</v>
      </c>
      <c r="E1528">
        <v>2.5989253622007318E-2</v>
      </c>
      <c r="F1528">
        <f t="shared" si="52"/>
        <v>-1.5810323673596003E-2</v>
      </c>
      <c r="G1528">
        <f t="shared" si="53"/>
        <v>-2.840206486993211E-2</v>
      </c>
    </row>
    <row r="1529" spans="1:7" x14ac:dyDescent="0.35">
      <c r="A1529" t="s">
        <v>88</v>
      </c>
      <c r="E1529">
        <v>-1.4130507854743437E-3</v>
      </c>
      <c r="F1529">
        <f t="shared" si="52"/>
        <v>-1.5811235419872088E-2</v>
      </c>
      <c r="G1529">
        <f t="shared" si="53"/>
        <v>-2.840206486993211E-2</v>
      </c>
    </row>
    <row r="1530" spans="1:7" x14ac:dyDescent="0.35">
      <c r="A1530" t="s">
        <v>88</v>
      </c>
      <c r="E1530">
        <v>2.8191207383020639E-2</v>
      </c>
      <c r="F1530">
        <f t="shared" si="52"/>
        <v>-1.5812147166148177E-2</v>
      </c>
      <c r="G1530">
        <f t="shared" si="53"/>
        <v>-2.840206486993211E-2</v>
      </c>
    </row>
    <row r="1531" spans="1:7" x14ac:dyDescent="0.35">
      <c r="A1531" t="s">
        <v>88</v>
      </c>
      <c r="E1531">
        <v>-5.1463983559216324E-3</v>
      </c>
      <c r="F1531">
        <f t="shared" si="52"/>
        <v>-1.5813058912424266E-2</v>
      </c>
      <c r="G1531">
        <f t="shared" si="53"/>
        <v>-2.840206486993211E-2</v>
      </c>
    </row>
    <row r="1532" spans="1:7" x14ac:dyDescent="0.35">
      <c r="A1532" t="s">
        <v>88</v>
      </c>
      <c r="E1532">
        <v>-3.996192346883652E-3</v>
      </c>
      <c r="F1532">
        <f t="shared" si="52"/>
        <v>-1.5813970658700351E-2</v>
      </c>
      <c r="G1532">
        <f t="shared" si="53"/>
        <v>-2.840206486993211E-2</v>
      </c>
    </row>
    <row r="1533" spans="1:7" x14ac:dyDescent="0.35">
      <c r="A1533" t="s">
        <v>88</v>
      </c>
      <c r="E1533">
        <v>1.0599887450143571E-2</v>
      </c>
      <c r="F1533">
        <f t="shared" si="52"/>
        <v>-1.581488240497644E-2</v>
      </c>
      <c r="G1533">
        <f t="shared" si="53"/>
        <v>-2.840206486993211E-2</v>
      </c>
    </row>
    <row r="1534" spans="1:7" x14ac:dyDescent="0.35">
      <c r="A1534" t="s">
        <v>88</v>
      </c>
      <c r="E1534">
        <v>-2.1653973963798936E-2</v>
      </c>
      <c r="F1534">
        <f t="shared" si="52"/>
        <v>-1.5815794151252525E-2</v>
      </c>
      <c r="G1534">
        <f t="shared" si="53"/>
        <v>-2.840206486993211E-2</v>
      </c>
    </row>
    <row r="1535" spans="1:7" x14ac:dyDescent="0.35">
      <c r="A1535" t="s">
        <v>88</v>
      </c>
      <c r="E1535">
        <v>-2.3653787862429426E-2</v>
      </c>
      <c r="F1535">
        <f t="shared" si="52"/>
        <v>-1.5800767815633478E-2</v>
      </c>
      <c r="G1535">
        <f t="shared" si="53"/>
        <v>-2.8350740797472358E-2</v>
      </c>
    </row>
    <row r="1536" spans="1:7" x14ac:dyDescent="0.35">
      <c r="A1536" t="s">
        <v>88</v>
      </c>
      <c r="E1536">
        <v>2.4770775755583559E-2</v>
      </c>
      <c r="F1536">
        <f t="shared" si="52"/>
        <v>-1.5793875786393533E-2</v>
      </c>
      <c r="G1536">
        <f t="shared" si="53"/>
        <v>-2.8281795133349049E-2</v>
      </c>
    </row>
    <row r="1537" spans="1:7" x14ac:dyDescent="0.35">
      <c r="A1537" t="s">
        <v>88</v>
      </c>
      <c r="E1537">
        <v>1.8913679417948165E-2</v>
      </c>
      <c r="F1537">
        <f t="shared" si="52"/>
        <v>-1.579390237788815E-2</v>
      </c>
      <c r="G1537">
        <f t="shared" si="53"/>
        <v>-2.8281795133349049E-2</v>
      </c>
    </row>
    <row r="1538" spans="1:7" x14ac:dyDescent="0.35">
      <c r="A1538" t="s">
        <v>88</v>
      </c>
      <c r="E1538">
        <v>7.4272401167652579E-3</v>
      </c>
      <c r="F1538">
        <f t="shared" si="52"/>
        <v>-1.5793928969382767E-2</v>
      </c>
      <c r="G1538">
        <f t="shared" si="53"/>
        <v>-2.8281795133349049E-2</v>
      </c>
    </row>
    <row r="1539" spans="1:7" x14ac:dyDescent="0.35">
      <c r="A1539" t="s">
        <v>89</v>
      </c>
      <c r="B1539" s="3" cm="1">
        <f t="array" ref="B1539">_xlfn.STDEV.S(_xlfn._xlws.FILTER($E$1000:$E$1998, $A$1000:$A$1998="2016-03"))</f>
        <v>1.2675343049001093E-2</v>
      </c>
      <c r="C1539" s="3" cm="1">
        <f t="array" ref="C1539">AVERAGE(_xlfn._xlws.FILTER($E$1000:$E$1998, $A$1000:$A$1998="2016-03"))</f>
        <v>5.6674090390333971E-5</v>
      </c>
      <c r="D1539" s="3" cm="1">
        <f t="array" ref="D1539">_xlfn.PERCENTILE.EXC(_xlfn._xlws.FILTER($E$1498:$E$2489, $A$1498:$A$2489="2016-03"), 0.05)</f>
        <v>-2.7595254847849401E-2</v>
      </c>
      <c r="E1539">
        <v>1.368730989824214E-2</v>
      </c>
      <c r="F1539">
        <f t="shared" si="52"/>
        <v>-1.5793955560877381E-2</v>
      </c>
      <c r="G1539">
        <f t="shared" si="53"/>
        <v>-2.8281795133349049E-2</v>
      </c>
    </row>
    <row r="1540" spans="1:7" x14ac:dyDescent="0.35">
      <c r="A1540" t="s">
        <v>89</v>
      </c>
      <c r="E1540">
        <v>7.3658247392455155E-3</v>
      </c>
      <c r="F1540">
        <f t="shared" ref="F1540:F1603" si="54">_xlfn.PERCENTILE.EXC(E1540:E5355,0.05)</f>
        <v>-1.5793982152371999E-2</v>
      </c>
      <c r="G1540">
        <f t="shared" ref="G1540:G1603" si="55">AVERAGEIFS(E1540:E5356,E1540:E5356,"&lt;=" &amp; F1540)</f>
        <v>-2.8281795133349049E-2</v>
      </c>
    </row>
    <row r="1541" spans="1:7" x14ac:dyDescent="0.35">
      <c r="A1541" t="s">
        <v>89</v>
      </c>
      <c r="E1541">
        <v>-5.6356204663069653E-3</v>
      </c>
      <c r="F1541">
        <f t="shared" si="54"/>
        <v>-1.5794434529922765E-2</v>
      </c>
      <c r="G1541">
        <f t="shared" si="55"/>
        <v>-2.8392306752649733E-2</v>
      </c>
    </row>
    <row r="1542" spans="1:7" x14ac:dyDescent="0.35">
      <c r="A1542" t="s">
        <v>89</v>
      </c>
      <c r="E1542">
        <v>1.1947775308956243E-2</v>
      </c>
      <c r="F1542">
        <f t="shared" si="54"/>
        <v>-1.5794886907473528E-2</v>
      </c>
      <c r="G1542">
        <f t="shared" si="55"/>
        <v>-2.8392306752649733E-2</v>
      </c>
    </row>
    <row r="1543" spans="1:7" x14ac:dyDescent="0.35">
      <c r="A1543" t="s">
        <v>89</v>
      </c>
      <c r="E1543">
        <v>-1.0501689289462907E-3</v>
      </c>
      <c r="F1543">
        <f t="shared" si="54"/>
        <v>-1.5795339285024294E-2</v>
      </c>
      <c r="G1543">
        <f t="shared" si="55"/>
        <v>-2.8392306752649733E-2</v>
      </c>
    </row>
    <row r="1544" spans="1:7" x14ac:dyDescent="0.35">
      <c r="A1544" t="s">
        <v>89</v>
      </c>
      <c r="E1544">
        <v>-1.2512703821631567E-2</v>
      </c>
      <c r="F1544">
        <f t="shared" si="54"/>
        <v>-1.5795791662575061E-2</v>
      </c>
      <c r="G1544">
        <f t="shared" si="55"/>
        <v>-2.8392306752649733E-2</v>
      </c>
    </row>
    <row r="1545" spans="1:7" x14ac:dyDescent="0.35">
      <c r="A1545" t="s">
        <v>89</v>
      </c>
      <c r="E1545">
        <v>2.3552384219328914E-3</v>
      </c>
      <c r="F1545">
        <f t="shared" si="54"/>
        <v>-1.5796244040125824E-2</v>
      </c>
      <c r="G1545">
        <f t="shared" si="55"/>
        <v>-2.8392306752649733E-2</v>
      </c>
    </row>
    <row r="1546" spans="1:7" x14ac:dyDescent="0.35">
      <c r="A1546" t="s">
        <v>89</v>
      </c>
      <c r="E1546">
        <v>-2.8566720605015011E-2</v>
      </c>
      <c r="F1546">
        <f t="shared" si="54"/>
        <v>-1.579669641767659E-2</v>
      </c>
      <c r="G1546">
        <f t="shared" si="55"/>
        <v>-2.8392306752649733E-2</v>
      </c>
    </row>
    <row r="1547" spans="1:7" x14ac:dyDescent="0.35">
      <c r="A1547" t="s">
        <v>89</v>
      </c>
      <c r="E1547">
        <v>2.848996749527264E-2</v>
      </c>
      <c r="F1547">
        <f t="shared" si="54"/>
        <v>-1.579363646294199E-2</v>
      </c>
      <c r="G1547">
        <f t="shared" si="55"/>
        <v>-2.8279273668998024E-2</v>
      </c>
    </row>
    <row r="1548" spans="1:7" x14ac:dyDescent="0.35">
      <c r="A1548" t="s">
        <v>89</v>
      </c>
      <c r="E1548">
        <v>5.6252851017152966E-3</v>
      </c>
      <c r="F1548">
        <f t="shared" si="54"/>
        <v>-1.5793663054436604E-2</v>
      </c>
      <c r="G1548">
        <f t="shared" si="55"/>
        <v>-2.8279273668998024E-2</v>
      </c>
    </row>
    <row r="1549" spans="1:7" x14ac:dyDescent="0.35">
      <c r="A1549" t="s">
        <v>89</v>
      </c>
      <c r="E1549">
        <v>-1.8852063033358912E-2</v>
      </c>
      <c r="F1549">
        <f t="shared" si="54"/>
        <v>-1.5793689645931221E-2</v>
      </c>
      <c r="G1549">
        <f t="shared" si="55"/>
        <v>-2.8279273668998024E-2</v>
      </c>
    </row>
    <row r="1550" spans="1:7" x14ac:dyDescent="0.35">
      <c r="A1550" t="s">
        <v>89</v>
      </c>
      <c r="E1550">
        <v>5.6744255797821644E-3</v>
      </c>
      <c r="F1550">
        <f t="shared" si="54"/>
        <v>-1.5762869700385623E-2</v>
      </c>
      <c r="G1550">
        <f t="shared" si="55"/>
        <v>-2.8252206299875203E-2</v>
      </c>
    </row>
    <row r="1551" spans="1:7" x14ac:dyDescent="0.35">
      <c r="A1551" t="s">
        <v>89</v>
      </c>
      <c r="E1551">
        <v>7.9922426454849503E-3</v>
      </c>
      <c r="F1551">
        <f t="shared" si="54"/>
        <v>-1.5765927762595028E-2</v>
      </c>
      <c r="G1551">
        <f t="shared" si="55"/>
        <v>-2.8252206299875203E-2</v>
      </c>
    </row>
    <row r="1552" spans="1:7" x14ac:dyDescent="0.35">
      <c r="A1552" t="s">
        <v>89</v>
      </c>
      <c r="E1552">
        <v>3.0583191750848848E-3</v>
      </c>
      <c r="F1552">
        <f t="shared" si="54"/>
        <v>-1.5768985824804432E-2</v>
      </c>
      <c r="G1552">
        <f t="shared" si="55"/>
        <v>-2.8252206299875203E-2</v>
      </c>
    </row>
    <row r="1553" spans="1:7" x14ac:dyDescent="0.35">
      <c r="A1553" t="s">
        <v>89</v>
      </c>
      <c r="E1553">
        <v>-4.9480852947940569E-3</v>
      </c>
      <c r="F1553">
        <f t="shared" si="54"/>
        <v>-1.5772043887013837E-2</v>
      </c>
      <c r="G1553">
        <f t="shared" si="55"/>
        <v>-2.8252206299875203E-2</v>
      </c>
    </row>
    <row r="1554" spans="1:7" x14ac:dyDescent="0.35">
      <c r="A1554" t="s">
        <v>89</v>
      </c>
      <c r="E1554">
        <v>-8.7003291205498753E-3</v>
      </c>
      <c r="F1554">
        <f t="shared" si="54"/>
        <v>-1.5775101949223241E-2</v>
      </c>
      <c r="G1554">
        <f t="shared" si="55"/>
        <v>-2.8252206299875203E-2</v>
      </c>
    </row>
    <row r="1555" spans="1:7" x14ac:dyDescent="0.35">
      <c r="A1555" t="s">
        <v>89</v>
      </c>
      <c r="E1555">
        <v>-3.1523366691252165E-3</v>
      </c>
      <c r="F1555">
        <f t="shared" si="54"/>
        <v>-1.5778160011432649E-2</v>
      </c>
      <c r="G1555">
        <f t="shared" si="55"/>
        <v>-2.8252206299875203E-2</v>
      </c>
    </row>
    <row r="1556" spans="1:7" x14ac:dyDescent="0.35">
      <c r="A1556" t="s">
        <v>89</v>
      </c>
      <c r="E1556">
        <v>-1.0356499929741549E-2</v>
      </c>
      <c r="F1556">
        <f t="shared" si="54"/>
        <v>-1.5781218073642054E-2</v>
      </c>
      <c r="G1556">
        <f t="shared" si="55"/>
        <v>-2.8252206299875203E-2</v>
      </c>
    </row>
    <row r="1557" spans="1:7" x14ac:dyDescent="0.35">
      <c r="A1557" t="s">
        <v>89</v>
      </c>
      <c r="E1557">
        <v>5.828698956360707E-3</v>
      </c>
      <c r="F1557">
        <f t="shared" si="54"/>
        <v>-1.5784276135851458E-2</v>
      </c>
      <c r="G1557">
        <f t="shared" si="55"/>
        <v>-2.8252206299875203E-2</v>
      </c>
    </row>
    <row r="1558" spans="1:7" x14ac:dyDescent="0.35">
      <c r="A1558" t="s">
        <v>89</v>
      </c>
      <c r="E1558">
        <v>1.283097227088334E-2</v>
      </c>
      <c r="F1558">
        <f t="shared" si="54"/>
        <v>-1.5787334198060863E-2</v>
      </c>
      <c r="G1558">
        <f t="shared" si="55"/>
        <v>-2.8252206299875203E-2</v>
      </c>
    </row>
    <row r="1559" spans="1:7" x14ac:dyDescent="0.35">
      <c r="A1559" t="s">
        <v>89</v>
      </c>
      <c r="E1559">
        <v>-9.8913758252943129E-3</v>
      </c>
      <c r="F1559">
        <f t="shared" si="54"/>
        <v>-1.5790392260270271E-2</v>
      </c>
      <c r="G1559">
        <f t="shared" si="55"/>
        <v>-2.8252206299875203E-2</v>
      </c>
    </row>
    <row r="1560" spans="1:7" x14ac:dyDescent="0.35">
      <c r="A1560" t="s">
        <v>90</v>
      </c>
      <c r="B1560" s="3" cm="1">
        <f t="array" ref="B1560">_xlfn.STDEV.S(_xlfn._xlws.FILTER($E$1000:$E$1998, $A$1000:$A$1998="2016-04"))</f>
        <v>1.1018574376714276E-2</v>
      </c>
      <c r="C1560" s="3" cm="1">
        <f t="array" ref="C1560">AVERAGE(_xlfn._xlws.FILTER($E$1000:$E$1998, $A$1000:$A$1998="2016-04"))</f>
        <v>1.0289980751310118E-3</v>
      </c>
      <c r="D1560" s="3" cm="1">
        <f t="array" ref="D1560">_xlfn.PERCENTILE.EXC(_xlfn._xlws.FILTER($E$1498:$E$2489, $A$1498:$A$2489="2016-04"), 0.05)</f>
        <v>-1.9855504728225483E-2</v>
      </c>
      <c r="E1560">
        <v>-1.7811174214462148E-2</v>
      </c>
      <c r="F1560">
        <f t="shared" si="54"/>
        <v>-1.5793450322479675E-2</v>
      </c>
      <c r="G1560">
        <f t="shared" si="55"/>
        <v>-2.8252206299875203E-2</v>
      </c>
    </row>
    <row r="1561" spans="1:7" x14ac:dyDescent="0.35">
      <c r="A1561" t="s">
        <v>90</v>
      </c>
      <c r="E1561">
        <v>6.4199625731042771E-3</v>
      </c>
      <c r="F1561">
        <f t="shared" si="54"/>
        <v>-1.5735347140500972E-2</v>
      </c>
      <c r="G1561">
        <f t="shared" si="55"/>
        <v>-2.8345429800637815E-2</v>
      </c>
    </row>
    <row r="1562" spans="1:7" x14ac:dyDescent="0.35">
      <c r="A1562" t="s">
        <v>90</v>
      </c>
      <c r="E1562">
        <v>-1.9676480962760083E-2</v>
      </c>
      <c r="F1562">
        <f t="shared" si="54"/>
        <v>-1.5738405202710377E-2</v>
      </c>
      <c r="G1562">
        <f t="shared" si="55"/>
        <v>-2.8345429800637815E-2</v>
      </c>
    </row>
    <row r="1563" spans="1:7" x14ac:dyDescent="0.35">
      <c r="A1563" t="s">
        <v>90</v>
      </c>
      <c r="E1563">
        <v>7.2805675423369982E-3</v>
      </c>
      <c r="F1563">
        <f t="shared" si="54"/>
        <v>-1.5687242054900654E-2</v>
      </c>
      <c r="G1563">
        <f t="shared" si="55"/>
        <v>-2.8310213801669346E-2</v>
      </c>
    </row>
    <row r="1564" spans="1:7" x14ac:dyDescent="0.35">
      <c r="A1564" t="s">
        <v>90</v>
      </c>
      <c r="E1564">
        <v>-4.8567770324303428E-3</v>
      </c>
      <c r="F1564">
        <f t="shared" si="54"/>
        <v>-1.5689891879806E-2</v>
      </c>
      <c r="G1564">
        <f t="shared" si="55"/>
        <v>-2.8310213801669346E-2</v>
      </c>
    </row>
    <row r="1565" spans="1:7" x14ac:dyDescent="0.35">
      <c r="A1565" t="s">
        <v>90</v>
      </c>
      <c r="E1565">
        <v>1.1697931822648645E-2</v>
      </c>
      <c r="F1565">
        <f t="shared" si="54"/>
        <v>-1.5692541704711349E-2</v>
      </c>
      <c r="G1565">
        <f t="shared" si="55"/>
        <v>-2.8310213801669346E-2</v>
      </c>
    </row>
    <row r="1566" spans="1:7" x14ac:dyDescent="0.35">
      <c r="A1566" t="s">
        <v>90</v>
      </c>
      <c r="E1566">
        <v>7.580659808093782E-3</v>
      </c>
      <c r="F1566">
        <f t="shared" si="54"/>
        <v>-1.5695191529616698E-2</v>
      </c>
      <c r="G1566">
        <f t="shared" si="55"/>
        <v>-2.8310213801669346E-2</v>
      </c>
    </row>
    <row r="1567" spans="1:7" x14ac:dyDescent="0.35">
      <c r="A1567" t="s">
        <v>90</v>
      </c>
      <c r="E1567">
        <v>1.019948236774078E-2</v>
      </c>
      <c r="F1567">
        <f t="shared" si="54"/>
        <v>-1.5697841354522044E-2</v>
      </c>
      <c r="G1567">
        <f t="shared" si="55"/>
        <v>-2.8310213801669346E-2</v>
      </c>
    </row>
    <row r="1568" spans="1:7" x14ac:dyDescent="0.35">
      <c r="A1568" t="s">
        <v>90</v>
      </c>
      <c r="E1568">
        <v>2.5568719866474035E-2</v>
      </c>
      <c r="F1568">
        <f t="shared" si="54"/>
        <v>-1.5700491179427394E-2</v>
      </c>
      <c r="G1568">
        <f t="shared" si="55"/>
        <v>-2.8310213801669346E-2</v>
      </c>
    </row>
    <row r="1569" spans="1:7" x14ac:dyDescent="0.35">
      <c r="A1569" t="s">
        <v>90</v>
      </c>
      <c r="E1569">
        <v>-2.4231640718014721E-3</v>
      </c>
      <c r="F1569">
        <f t="shared" si="54"/>
        <v>-1.5703141004332739E-2</v>
      </c>
      <c r="G1569">
        <f t="shared" si="55"/>
        <v>-2.8310213801669346E-2</v>
      </c>
    </row>
    <row r="1570" spans="1:7" x14ac:dyDescent="0.35">
      <c r="A1570" t="s">
        <v>90</v>
      </c>
      <c r="E1570">
        <v>-1.28235882578483E-3</v>
      </c>
      <c r="F1570">
        <f t="shared" si="54"/>
        <v>-1.5705790829238089E-2</v>
      </c>
      <c r="G1570">
        <f t="shared" si="55"/>
        <v>-2.8310213801669346E-2</v>
      </c>
    </row>
    <row r="1571" spans="1:7" x14ac:dyDescent="0.35">
      <c r="A1571" t="s">
        <v>90</v>
      </c>
      <c r="E1571">
        <v>2.5899582715584683E-3</v>
      </c>
      <c r="F1571">
        <f t="shared" si="54"/>
        <v>-1.5708440654143438E-2</v>
      </c>
      <c r="G1571">
        <f t="shared" si="55"/>
        <v>-2.8310213801669346E-2</v>
      </c>
    </row>
    <row r="1572" spans="1:7" x14ac:dyDescent="0.35">
      <c r="A1572" t="s">
        <v>90</v>
      </c>
      <c r="E1572">
        <v>1.1167532811472479E-2</v>
      </c>
      <c r="F1572">
        <f t="shared" si="54"/>
        <v>-1.5711090479048784E-2</v>
      </c>
      <c r="G1572">
        <f t="shared" si="55"/>
        <v>-2.8310213801669346E-2</v>
      </c>
    </row>
    <row r="1573" spans="1:7" x14ac:dyDescent="0.35">
      <c r="A1573" t="s">
        <v>90</v>
      </c>
      <c r="E1573">
        <v>4.8742979614162249E-3</v>
      </c>
      <c r="F1573">
        <f t="shared" si="54"/>
        <v>-1.5713740303954133E-2</v>
      </c>
      <c r="G1573">
        <f t="shared" si="55"/>
        <v>-2.8310213801669346E-2</v>
      </c>
    </row>
    <row r="1574" spans="1:7" x14ac:dyDescent="0.35">
      <c r="A1574" t="s">
        <v>90</v>
      </c>
      <c r="E1574">
        <v>-5.564700619438174E-3</v>
      </c>
      <c r="F1574">
        <f t="shared" si="54"/>
        <v>-1.5716390128859479E-2</v>
      </c>
      <c r="G1574">
        <f t="shared" si="55"/>
        <v>-2.8310213801669346E-2</v>
      </c>
    </row>
    <row r="1575" spans="1:7" x14ac:dyDescent="0.35">
      <c r="A1575" t="s">
        <v>90</v>
      </c>
      <c r="E1575">
        <v>-6.2762818915023419E-4</v>
      </c>
      <c r="F1575">
        <f t="shared" si="54"/>
        <v>-1.5719039953764828E-2</v>
      </c>
      <c r="G1575">
        <f t="shared" si="55"/>
        <v>-2.8310213801669346E-2</v>
      </c>
    </row>
    <row r="1576" spans="1:7" x14ac:dyDescent="0.35">
      <c r="A1576" t="s">
        <v>90</v>
      </c>
      <c r="E1576">
        <v>-4.6371527662097218E-3</v>
      </c>
      <c r="F1576">
        <f t="shared" si="54"/>
        <v>-1.5721689778670177E-2</v>
      </c>
      <c r="G1576">
        <f t="shared" si="55"/>
        <v>-2.8310213801669346E-2</v>
      </c>
    </row>
    <row r="1577" spans="1:7" x14ac:dyDescent="0.35">
      <c r="A1577" t="s">
        <v>90</v>
      </c>
      <c r="E1577">
        <v>7.7272648301700952E-3</v>
      </c>
      <c r="F1577">
        <f t="shared" si="54"/>
        <v>-1.5724339603575523E-2</v>
      </c>
      <c r="G1577">
        <f t="shared" si="55"/>
        <v>-2.8310213801669346E-2</v>
      </c>
    </row>
    <row r="1578" spans="1:7" x14ac:dyDescent="0.35">
      <c r="A1578" t="s">
        <v>90</v>
      </c>
      <c r="E1578">
        <v>1.1293937308142433E-3</v>
      </c>
      <c r="F1578">
        <f t="shared" si="54"/>
        <v>-1.5726989428480873E-2</v>
      </c>
      <c r="G1578">
        <f t="shared" si="55"/>
        <v>-2.8310213801669346E-2</v>
      </c>
    </row>
    <row r="1579" spans="1:7" x14ac:dyDescent="0.35">
      <c r="A1579" t="s">
        <v>90</v>
      </c>
      <c r="E1579">
        <v>2.1280209316798695E-3</v>
      </c>
      <c r="F1579">
        <f t="shared" si="54"/>
        <v>-1.5729639253386218E-2</v>
      </c>
      <c r="G1579">
        <f t="shared" si="55"/>
        <v>-2.8310213801669346E-2</v>
      </c>
    </row>
    <row r="1580" spans="1:7" x14ac:dyDescent="0.35">
      <c r="A1580" t="s">
        <v>90</v>
      </c>
      <c r="E1580">
        <v>-1.9875396257721639E-2</v>
      </c>
      <c r="F1580">
        <f t="shared" si="54"/>
        <v>-1.5732289078291568E-2</v>
      </c>
      <c r="G1580">
        <f t="shared" si="55"/>
        <v>-2.8310213801669346E-2</v>
      </c>
    </row>
    <row r="1581" spans="1:7" x14ac:dyDescent="0.35">
      <c r="A1581" t="s">
        <v>91</v>
      </c>
      <c r="B1581" s="3" cm="1">
        <f t="array" ref="B1581">_xlfn.STDEV.S(_xlfn._xlws.FILTER($E$1000:$E$1998, $A$1000:$A$1998="2016-05"))</f>
        <v>1.1921436798954764E-2</v>
      </c>
      <c r="C1581" s="3" cm="1">
        <f t="array" ref="C1581">AVERAGE(_xlfn._xlws.FILTER($E$1000:$E$1998, $A$1000:$A$1998="2016-05"))</f>
        <v>9.0870852656061091E-4</v>
      </c>
      <c r="D1581" s="3" cm="1">
        <f t="array" ref="D1581">_xlfn.PERCENTILE.EXC(_xlfn._xlws.FILTER($E$1498:$E$2489, $A$1498:$A$2489="2016-05"), 0.05)</f>
        <v>-2.088478767412151E-2</v>
      </c>
      <c r="E1581">
        <v>-2.088478767412151E-2</v>
      </c>
      <c r="F1581">
        <f t="shared" si="54"/>
        <v>-1.5681942405089959E-2</v>
      </c>
      <c r="G1581">
        <f t="shared" si="55"/>
        <v>-2.8386203148912117E-2</v>
      </c>
    </row>
    <row r="1582" spans="1:7" x14ac:dyDescent="0.35">
      <c r="A1582" t="s">
        <v>91</v>
      </c>
      <c r="E1582">
        <v>-1.4384054580992227E-2</v>
      </c>
      <c r="F1582">
        <f t="shared" si="54"/>
        <v>-1.5618608434342743E-2</v>
      </c>
      <c r="G1582">
        <f t="shared" si="55"/>
        <v>-2.8339306796714488E-2</v>
      </c>
    </row>
    <row r="1583" spans="1:7" x14ac:dyDescent="0.35">
      <c r="A1583" t="s">
        <v>91</v>
      </c>
      <c r="E1583">
        <v>8.0689768590581721E-3</v>
      </c>
      <c r="F1583">
        <f t="shared" si="54"/>
        <v>-1.5621979775778403E-2</v>
      </c>
      <c r="G1583">
        <f t="shared" si="55"/>
        <v>-2.8339306796714488E-2</v>
      </c>
    </row>
    <row r="1584" spans="1:7" x14ac:dyDescent="0.35">
      <c r="A1584" t="s">
        <v>91</v>
      </c>
      <c r="E1584">
        <v>-1.5543179052221435E-3</v>
      </c>
      <c r="F1584">
        <f t="shared" si="54"/>
        <v>-1.5625351117214061E-2</v>
      </c>
      <c r="G1584">
        <f t="shared" si="55"/>
        <v>-2.8339306796714488E-2</v>
      </c>
    </row>
    <row r="1585" spans="1:7" x14ac:dyDescent="0.35">
      <c r="A1585" t="s">
        <v>91</v>
      </c>
      <c r="E1585">
        <v>-3.1647307382064718E-3</v>
      </c>
      <c r="F1585">
        <f t="shared" si="54"/>
        <v>-1.562872245864972E-2</v>
      </c>
      <c r="G1585">
        <f t="shared" si="55"/>
        <v>-2.8339306796714488E-2</v>
      </c>
    </row>
    <row r="1586" spans="1:7" x14ac:dyDescent="0.35">
      <c r="A1586" t="s">
        <v>91</v>
      </c>
      <c r="E1586">
        <v>1.0037284998584443E-2</v>
      </c>
      <c r="F1586">
        <f t="shared" si="54"/>
        <v>-1.563209380008538E-2</v>
      </c>
      <c r="G1586">
        <f t="shared" si="55"/>
        <v>-2.8339306796714488E-2</v>
      </c>
    </row>
    <row r="1587" spans="1:7" x14ac:dyDescent="0.35">
      <c r="A1587" t="s">
        <v>91</v>
      </c>
      <c r="E1587">
        <v>-1.1515032961316525E-3</v>
      </c>
      <c r="F1587">
        <f t="shared" si="54"/>
        <v>-1.5635465141521039E-2</v>
      </c>
      <c r="G1587">
        <f t="shared" si="55"/>
        <v>-2.8339306796714488E-2</v>
      </c>
    </row>
    <row r="1588" spans="1:7" x14ac:dyDescent="0.35">
      <c r="A1588" t="s">
        <v>91</v>
      </c>
      <c r="E1588">
        <v>-5.6809758690450456E-3</v>
      </c>
      <c r="F1588">
        <f t="shared" si="54"/>
        <v>-1.5638836482956699E-2</v>
      </c>
      <c r="G1588">
        <f t="shared" si="55"/>
        <v>-2.8339306796714488E-2</v>
      </c>
    </row>
    <row r="1589" spans="1:7" x14ac:dyDescent="0.35">
      <c r="A1589" t="s">
        <v>91</v>
      </c>
      <c r="E1589">
        <v>6.9194109068370421E-3</v>
      </c>
      <c r="F1589">
        <f t="shared" si="54"/>
        <v>-1.5642207824392358E-2</v>
      </c>
      <c r="G1589">
        <f t="shared" si="55"/>
        <v>-2.8339306796714488E-2</v>
      </c>
    </row>
    <row r="1590" spans="1:7" x14ac:dyDescent="0.35">
      <c r="A1590" t="s">
        <v>91</v>
      </c>
      <c r="E1590">
        <v>8.8185040422267876E-3</v>
      </c>
      <c r="F1590">
        <f t="shared" si="54"/>
        <v>-1.5645579165828018E-2</v>
      </c>
      <c r="G1590">
        <f t="shared" si="55"/>
        <v>-2.8339306796714488E-2</v>
      </c>
    </row>
    <row r="1591" spans="1:7" x14ac:dyDescent="0.35">
      <c r="A1591" t="s">
        <v>91</v>
      </c>
      <c r="E1591">
        <v>1.3544166860495388E-2</v>
      </c>
      <c r="F1591">
        <f t="shared" si="54"/>
        <v>-1.5648950507263677E-2</v>
      </c>
      <c r="G1591">
        <f t="shared" si="55"/>
        <v>-2.8339306796714488E-2</v>
      </c>
    </row>
    <row r="1592" spans="1:7" x14ac:dyDescent="0.35">
      <c r="A1592" t="s">
        <v>91</v>
      </c>
      <c r="E1592">
        <v>-1.1298101336231761E-2</v>
      </c>
      <c r="F1592">
        <f t="shared" si="54"/>
        <v>-1.5652321848699337E-2</v>
      </c>
      <c r="G1592">
        <f t="shared" si="55"/>
        <v>-2.8339306796714488E-2</v>
      </c>
    </row>
    <row r="1593" spans="1:7" x14ac:dyDescent="0.35">
      <c r="A1593" t="s">
        <v>91</v>
      </c>
      <c r="E1593">
        <v>9.3503006955177898E-3</v>
      </c>
      <c r="F1593">
        <f t="shared" si="54"/>
        <v>-1.5655693190134996E-2</v>
      </c>
      <c r="G1593">
        <f t="shared" si="55"/>
        <v>-2.8339306796714488E-2</v>
      </c>
    </row>
    <row r="1594" spans="1:7" x14ac:dyDescent="0.35">
      <c r="A1594" t="s">
        <v>91</v>
      </c>
      <c r="E1594">
        <v>-5.1064798867060607E-3</v>
      </c>
      <c r="F1594">
        <f t="shared" si="54"/>
        <v>-1.5659064531570652E-2</v>
      </c>
      <c r="G1594">
        <f t="shared" si="55"/>
        <v>-2.8339306796714488E-2</v>
      </c>
    </row>
    <row r="1595" spans="1:7" x14ac:dyDescent="0.35">
      <c r="A1595" t="s">
        <v>91</v>
      </c>
      <c r="E1595">
        <v>2.862039293790989E-2</v>
      </c>
      <c r="F1595">
        <f t="shared" si="54"/>
        <v>-1.5662435873006315E-2</v>
      </c>
      <c r="G1595">
        <f t="shared" si="55"/>
        <v>-2.8339306796714488E-2</v>
      </c>
    </row>
    <row r="1596" spans="1:7" x14ac:dyDescent="0.35">
      <c r="A1596" t="s">
        <v>91</v>
      </c>
      <c r="E1596">
        <v>1.0249866235686524E-2</v>
      </c>
      <c r="F1596">
        <f t="shared" si="54"/>
        <v>-1.5665807214441971E-2</v>
      </c>
      <c r="G1596">
        <f t="shared" si="55"/>
        <v>-2.8339306796714488E-2</v>
      </c>
    </row>
    <row r="1597" spans="1:7" x14ac:dyDescent="0.35">
      <c r="A1597" t="s">
        <v>91</v>
      </c>
      <c r="E1597">
        <v>-3.3247060559801834E-3</v>
      </c>
      <c r="F1597">
        <f t="shared" si="54"/>
        <v>-1.5669178555877631E-2</v>
      </c>
      <c r="G1597">
        <f t="shared" si="55"/>
        <v>-2.8339306796714488E-2</v>
      </c>
    </row>
    <row r="1598" spans="1:7" x14ac:dyDescent="0.35">
      <c r="A1598" t="s">
        <v>91</v>
      </c>
      <c r="E1598">
        <v>3.1549661105860697E-3</v>
      </c>
      <c r="F1598">
        <f t="shared" si="54"/>
        <v>-1.5672549897313291E-2</v>
      </c>
      <c r="G1598">
        <f t="shared" si="55"/>
        <v>-2.8339306796714488E-2</v>
      </c>
    </row>
    <row r="1599" spans="1:7" x14ac:dyDescent="0.35">
      <c r="A1599" t="s">
        <v>91</v>
      </c>
      <c r="E1599">
        <v>-1.4948750299613447E-2</v>
      </c>
      <c r="F1599">
        <f t="shared" si="54"/>
        <v>-1.567592123874895E-2</v>
      </c>
      <c r="G1599">
        <f t="shared" si="55"/>
        <v>-2.8339306796714488E-2</v>
      </c>
    </row>
    <row r="1600" spans="1:7" x14ac:dyDescent="0.35">
      <c r="A1600" t="s">
        <v>92</v>
      </c>
      <c r="B1600" s="3" cm="1">
        <f t="array" ref="B1600">_xlfn.STDEV.S(_xlfn._xlws.FILTER($E$1000:$E$1998, $A$1000:$A$1998="2016-06"))</f>
        <v>2.99195987639897E-2</v>
      </c>
      <c r="C1600" s="3" cm="1">
        <f t="array" ref="C1600">AVERAGE(_xlfn._xlws.FILTER($E$1000:$E$1998, $A$1000:$A$1998="2016-06"))</f>
        <v>-1.859988496124529E-3</v>
      </c>
      <c r="D1600" s="3" cm="1">
        <f t="array" ref="D1600">_xlfn.PERCENTILE.EXC(_xlfn._xlws.FILTER($E$1498:$E$2489, $A$1498:$A$2489="2016-06"), 0.05)</f>
        <v>-8.3880611513777181E-2</v>
      </c>
      <c r="E1600">
        <v>-1.5821264628909051E-2</v>
      </c>
      <c r="F1600">
        <f t="shared" si="54"/>
        <v>-1.567929258018461E-2</v>
      </c>
      <c r="G1600">
        <f t="shared" si="55"/>
        <v>-2.8339306796714488E-2</v>
      </c>
    </row>
    <row r="1601" spans="1:7" x14ac:dyDescent="0.35">
      <c r="A1601" t="s">
        <v>92</v>
      </c>
      <c r="E1601">
        <v>1.5612446680769764E-3</v>
      </c>
      <c r="F1601">
        <f t="shared" si="54"/>
        <v>-1.5615237092907085E-2</v>
      </c>
      <c r="G1601">
        <f t="shared" si="55"/>
        <v>-2.8453107180058172E-2</v>
      </c>
    </row>
    <row r="1602" spans="1:7" x14ac:dyDescent="0.35">
      <c r="A1602" t="s">
        <v>92</v>
      </c>
      <c r="E1602">
        <v>-5.5836394431268664E-3</v>
      </c>
      <c r="F1602">
        <f t="shared" si="54"/>
        <v>-1.5618608434342743E-2</v>
      </c>
      <c r="G1602">
        <f t="shared" si="55"/>
        <v>-2.8453107180058172E-2</v>
      </c>
    </row>
    <row r="1603" spans="1:7" x14ac:dyDescent="0.35">
      <c r="A1603" t="s">
        <v>92</v>
      </c>
      <c r="E1603">
        <v>1.7025717048028857E-3</v>
      </c>
      <c r="F1603">
        <f t="shared" si="54"/>
        <v>-1.5621979775778403E-2</v>
      </c>
      <c r="G1603">
        <f t="shared" si="55"/>
        <v>-2.8453107180058172E-2</v>
      </c>
    </row>
    <row r="1604" spans="1:7" x14ac:dyDescent="0.35">
      <c r="A1604" t="s">
        <v>92</v>
      </c>
      <c r="E1604">
        <v>1.0391509909156028E-2</v>
      </c>
      <c r="F1604">
        <f t="shared" ref="F1604:F1667" si="56">_xlfn.PERCENTILE.EXC(E1604:E5419,0.05)</f>
        <v>-1.5625351117214061E-2</v>
      </c>
      <c r="G1604">
        <f t="shared" ref="G1604:G1667" si="57">AVERAGEIFS(E1604:E5420,E1604:E5420,"&lt;=" &amp; F1604)</f>
        <v>-2.8453107180058172E-2</v>
      </c>
    </row>
    <row r="1605" spans="1:7" x14ac:dyDescent="0.35">
      <c r="A1605" t="s">
        <v>92</v>
      </c>
      <c r="E1605">
        <v>-2.7277126030362908E-3</v>
      </c>
      <c r="F1605">
        <f t="shared" si="56"/>
        <v>-1.562872245864972E-2</v>
      </c>
      <c r="G1605">
        <f t="shared" si="57"/>
        <v>-2.8453107180058172E-2</v>
      </c>
    </row>
    <row r="1606" spans="1:7" x14ac:dyDescent="0.35">
      <c r="A1606" t="s">
        <v>92</v>
      </c>
      <c r="E1606">
        <v>-8.8962424200400674E-3</v>
      </c>
      <c r="F1606">
        <f t="shared" si="56"/>
        <v>-1.563209380008538E-2</v>
      </c>
      <c r="G1606">
        <f t="shared" si="57"/>
        <v>-2.8453107180058172E-2</v>
      </c>
    </row>
    <row r="1607" spans="1:7" x14ac:dyDescent="0.35">
      <c r="A1607" t="s">
        <v>92</v>
      </c>
      <c r="E1607">
        <v>-2.4001002605438592E-2</v>
      </c>
      <c r="F1607">
        <f t="shared" si="56"/>
        <v>-1.5635465141521039E-2</v>
      </c>
      <c r="G1607">
        <f t="shared" si="57"/>
        <v>-2.8453107180058172E-2</v>
      </c>
    </row>
    <row r="1608" spans="1:7" x14ac:dyDescent="0.35">
      <c r="A1608" t="s">
        <v>92</v>
      </c>
      <c r="E1608">
        <v>-1.9665588800178078E-2</v>
      </c>
      <c r="F1608">
        <f t="shared" si="56"/>
        <v>-1.5479186597861232E-2</v>
      </c>
      <c r="G1608">
        <f t="shared" si="57"/>
        <v>-2.8376842299567561E-2</v>
      </c>
    </row>
    <row r="1609" spans="1:7" x14ac:dyDescent="0.35">
      <c r="A1609" t="s">
        <v>92</v>
      </c>
      <c r="E1609">
        <v>-1.9761133590836828E-2</v>
      </c>
      <c r="F1609">
        <f t="shared" si="56"/>
        <v>-1.5275099193492707E-2</v>
      </c>
      <c r="G1609">
        <f t="shared" si="57"/>
        <v>-2.8337979981645833E-2</v>
      </c>
    </row>
    <row r="1610" spans="1:7" x14ac:dyDescent="0.35">
      <c r="A1610" t="s">
        <v>92</v>
      </c>
      <c r="E1610">
        <v>6.4637715711353717E-3</v>
      </c>
      <c r="F1610">
        <f t="shared" si="56"/>
        <v>-1.5157461692429833E-2</v>
      </c>
      <c r="G1610">
        <f t="shared" si="57"/>
        <v>-2.8296337758432245E-2</v>
      </c>
    </row>
    <row r="1611" spans="1:7" x14ac:dyDescent="0.35">
      <c r="A1611" t="s">
        <v>92</v>
      </c>
      <c r="E1611">
        <v>6.5846095159514159E-4</v>
      </c>
      <c r="F1611">
        <f t="shared" si="56"/>
        <v>-1.5159764426921069E-2</v>
      </c>
      <c r="G1611">
        <f t="shared" si="57"/>
        <v>-2.8296337758432245E-2</v>
      </c>
    </row>
    <row r="1612" spans="1:7" x14ac:dyDescent="0.35">
      <c r="A1612" t="s">
        <v>92</v>
      </c>
      <c r="E1612">
        <v>1.6074047951105754E-2</v>
      </c>
      <c r="F1612">
        <f t="shared" si="56"/>
        <v>-1.5162067161412307E-2</v>
      </c>
      <c r="G1612">
        <f t="shared" si="57"/>
        <v>-2.8296337758432245E-2</v>
      </c>
    </row>
    <row r="1613" spans="1:7" x14ac:dyDescent="0.35">
      <c r="A1613" t="s">
        <v>92</v>
      </c>
      <c r="E1613">
        <v>5.0786453629877396E-2</v>
      </c>
      <c r="F1613">
        <f t="shared" si="56"/>
        <v>-1.5164369895903543E-2</v>
      </c>
      <c r="G1613">
        <f t="shared" si="57"/>
        <v>-2.8296337758432245E-2</v>
      </c>
    </row>
    <row r="1614" spans="1:7" x14ac:dyDescent="0.35">
      <c r="A1614" t="s">
        <v>92</v>
      </c>
      <c r="E1614">
        <v>7.4989715313479085E-3</v>
      </c>
      <c r="F1614">
        <f t="shared" si="56"/>
        <v>-1.5166672630394781E-2</v>
      </c>
      <c r="G1614">
        <f t="shared" si="57"/>
        <v>-2.8296337758432245E-2</v>
      </c>
    </row>
    <row r="1615" spans="1:7" x14ac:dyDescent="0.35">
      <c r="A1615" t="s">
        <v>92</v>
      </c>
      <c r="E1615">
        <v>4.5759458441815308E-3</v>
      </c>
      <c r="F1615">
        <f t="shared" si="56"/>
        <v>-1.5168975364886018E-2</v>
      </c>
      <c r="G1615">
        <f t="shared" si="57"/>
        <v>-2.8296337758432245E-2</v>
      </c>
    </row>
    <row r="1616" spans="1:7" x14ac:dyDescent="0.35">
      <c r="A1616" t="s">
        <v>92</v>
      </c>
      <c r="E1616">
        <v>1.4909983387718685E-2</v>
      </c>
      <c r="F1616">
        <f t="shared" si="56"/>
        <v>-1.5171278099377255E-2</v>
      </c>
      <c r="G1616">
        <f t="shared" si="57"/>
        <v>-2.8296337758432245E-2</v>
      </c>
    </row>
    <row r="1617" spans="1:7" x14ac:dyDescent="0.35">
      <c r="A1617" t="s">
        <v>92</v>
      </c>
      <c r="E1617">
        <v>-8.9041250796063481E-2</v>
      </c>
      <c r="F1617">
        <f t="shared" si="56"/>
        <v>-1.5173580833868491E-2</v>
      </c>
      <c r="G1617">
        <f t="shared" si="57"/>
        <v>-2.8296337758432245E-2</v>
      </c>
    </row>
    <row r="1618" spans="1:7" x14ac:dyDescent="0.35">
      <c r="A1618" t="s">
        <v>92</v>
      </c>
      <c r="E1618">
        <v>-5.4636988914154812E-2</v>
      </c>
      <c r="F1618">
        <f t="shared" si="56"/>
        <v>-1.5116147419806155E-2</v>
      </c>
      <c r="G1618">
        <f t="shared" si="57"/>
        <v>-2.7624457608900005E-2</v>
      </c>
    </row>
    <row r="1619" spans="1:7" x14ac:dyDescent="0.35">
      <c r="A1619" t="s">
        <v>92</v>
      </c>
      <c r="E1619">
        <v>3.3482105975511142E-2</v>
      </c>
      <c r="F1619">
        <f t="shared" si="56"/>
        <v>-1.4950418144171097E-2</v>
      </c>
      <c r="G1619">
        <f t="shared" si="57"/>
        <v>-2.7263681028502275E-2</v>
      </c>
    </row>
    <row r="1620" spans="1:7" x14ac:dyDescent="0.35">
      <c r="A1620" t="s">
        <v>92</v>
      </c>
      <c r="E1620">
        <v>4.1682848929204666E-2</v>
      </c>
      <c r="F1620">
        <f t="shared" si="56"/>
        <v>-1.4951565070404391E-2</v>
      </c>
      <c r="G1620">
        <f t="shared" si="57"/>
        <v>-2.7263681028502275E-2</v>
      </c>
    </row>
    <row r="1621" spans="1:7" x14ac:dyDescent="0.35">
      <c r="A1621" t="s">
        <v>92</v>
      </c>
      <c r="E1621">
        <v>9.4271608333309376E-3</v>
      </c>
      <c r="F1621">
        <f t="shared" si="56"/>
        <v>-1.4960708534260044E-2</v>
      </c>
      <c r="G1621">
        <f t="shared" si="57"/>
        <v>-2.7376636220778405E-2</v>
      </c>
    </row>
    <row r="1622" spans="1:7" x14ac:dyDescent="0.35">
      <c r="A1622" t="s">
        <v>93</v>
      </c>
      <c r="B1622" s="3" cm="1">
        <f t="array" ref="B1622">_xlfn.STDEV.S(_xlfn._xlws.FILTER($E$1000:$E$1998, $A$1000:$A$1998="2016-07"))</f>
        <v>1.014439389714296E-2</v>
      </c>
      <c r="C1622" s="3" cm="1">
        <f t="array" ref="C1622">AVERAGE(_xlfn._xlws.FILTER($E$1000:$E$1998, $A$1000:$A$1998="2016-07"))</f>
        <v>1.0810636838441707E-3</v>
      </c>
      <c r="D1622" s="3" cm="1">
        <f t="array" ref="D1622">_xlfn.PERCENTILE.EXC(_xlfn._xlws.FILTER($E$1498:$E$2489, $A$1498:$A$2489="2016-07"), 0.05)</f>
        <v>-1.9904333458393979E-2</v>
      </c>
      <c r="E1622">
        <v>6.528223490864982E-3</v>
      </c>
      <c r="F1622">
        <f t="shared" si="56"/>
        <v>-1.4969851998115697E-2</v>
      </c>
      <c r="G1622">
        <f t="shared" si="57"/>
        <v>-2.7376636220778405E-2</v>
      </c>
    </row>
    <row r="1623" spans="1:7" x14ac:dyDescent="0.35">
      <c r="A1623" t="s">
        <v>93</v>
      </c>
      <c r="E1623">
        <v>-8.5681030221673761E-3</v>
      </c>
      <c r="F1623">
        <f t="shared" si="56"/>
        <v>-1.497899546197135E-2</v>
      </c>
      <c r="G1623">
        <f t="shared" si="57"/>
        <v>-2.7376636220778405E-2</v>
      </c>
    </row>
    <row r="1624" spans="1:7" x14ac:dyDescent="0.35">
      <c r="A1624" t="s">
        <v>93</v>
      </c>
      <c r="E1624">
        <v>-9.5415176157086813E-3</v>
      </c>
      <c r="F1624">
        <f t="shared" si="56"/>
        <v>-1.4988138925827003E-2</v>
      </c>
      <c r="G1624">
        <f t="shared" si="57"/>
        <v>-2.7376636220778405E-2</v>
      </c>
    </row>
    <row r="1625" spans="1:7" x14ac:dyDescent="0.35">
      <c r="A1625" t="s">
        <v>93</v>
      </c>
      <c r="E1625">
        <v>-2.08684951575854E-2</v>
      </c>
      <c r="F1625">
        <f t="shared" si="56"/>
        <v>-1.4997282389682658E-2</v>
      </c>
      <c r="G1625">
        <f t="shared" si="57"/>
        <v>-2.7376636220778405E-2</v>
      </c>
    </row>
    <row r="1626" spans="1:7" x14ac:dyDescent="0.35">
      <c r="A1626" t="s">
        <v>93</v>
      </c>
      <c r="E1626">
        <v>9.8867957504113098E-3</v>
      </c>
      <c r="F1626">
        <f t="shared" si="56"/>
        <v>-1.4935508103138284E-2</v>
      </c>
      <c r="G1626">
        <f t="shared" si="57"/>
        <v>-2.7322352458510689E-2</v>
      </c>
    </row>
    <row r="1627" spans="1:7" x14ac:dyDescent="0.35">
      <c r="A1627" t="s">
        <v>93</v>
      </c>
      <c r="E1627">
        <v>1.4116371362449372E-2</v>
      </c>
      <c r="F1627">
        <f t="shared" si="56"/>
        <v>-1.4936655029371578E-2</v>
      </c>
      <c r="G1627">
        <f t="shared" si="57"/>
        <v>-2.7322352458510689E-2</v>
      </c>
    </row>
    <row r="1628" spans="1:7" x14ac:dyDescent="0.35">
      <c r="A1628" t="s">
        <v>93</v>
      </c>
      <c r="E1628">
        <v>1.4462148091129294E-2</v>
      </c>
      <c r="F1628">
        <f t="shared" si="56"/>
        <v>-1.4937801955604872E-2</v>
      </c>
      <c r="G1628">
        <f t="shared" si="57"/>
        <v>-2.7322352458510689E-2</v>
      </c>
    </row>
    <row r="1629" spans="1:7" x14ac:dyDescent="0.35">
      <c r="A1629" t="s">
        <v>93</v>
      </c>
      <c r="E1629">
        <v>1.9927352025618045E-2</v>
      </c>
      <c r="F1629">
        <f t="shared" si="56"/>
        <v>-1.4938948881838165E-2</v>
      </c>
      <c r="G1629">
        <f t="shared" si="57"/>
        <v>-2.7322352458510689E-2</v>
      </c>
    </row>
    <row r="1630" spans="1:7" x14ac:dyDescent="0.35">
      <c r="A1630" t="s">
        <v>93</v>
      </c>
      <c r="E1630">
        <v>-9.7214689840361274E-3</v>
      </c>
      <c r="F1630">
        <f t="shared" si="56"/>
        <v>-1.4940095808071457E-2</v>
      </c>
      <c r="G1630">
        <f t="shared" si="57"/>
        <v>-2.7322352458510689E-2</v>
      </c>
    </row>
    <row r="1631" spans="1:7" x14ac:dyDescent="0.35">
      <c r="A1631" t="s">
        <v>93</v>
      </c>
      <c r="E1631">
        <v>6.9801291031466543E-3</v>
      </c>
      <c r="F1631">
        <f t="shared" si="56"/>
        <v>-1.4941242734304751E-2</v>
      </c>
      <c r="G1631">
        <f t="shared" si="57"/>
        <v>-2.7322352458510689E-2</v>
      </c>
    </row>
    <row r="1632" spans="1:7" x14ac:dyDescent="0.35">
      <c r="A1632" t="s">
        <v>93</v>
      </c>
      <c r="E1632">
        <v>-3.9002000527399963E-3</v>
      </c>
      <c r="F1632">
        <f t="shared" si="56"/>
        <v>-1.4942389660538045E-2</v>
      </c>
      <c r="G1632">
        <f t="shared" si="57"/>
        <v>-2.7322352458510689E-2</v>
      </c>
    </row>
    <row r="1633" spans="1:7" x14ac:dyDescent="0.35">
      <c r="A1633" t="s">
        <v>93</v>
      </c>
      <c r="E1633">
        <v>9.0810256409472722E-3</v>
      </c>
      <c r="F1633">
        <f t="shared" si="56"/>
        <v>-1.4943536586771338E-2</v>
      </c>
      <c r="G1633">
        <f t="shared" si="57"/>
        <v>-2.7322352458510689E-2</v>
      </c>
    </row>
    <row r="1634" spans="1:7" x14ac:dyDescent="0.35">
      <c r="A1634" t="s">
        <v>93</v>
      </c>
      <c r="E1634">
        <v>-5.1627241033885794E-3</v>
      </c>
      <c r="F1634">
        <f t="shared" si="56"/>
        <v>-1.494468351300463E-2</v>
      </c>
      <c r="G1634">
        <f t="shared" si="57"/>
        <v>-2.7322352458510689E-2</v>
      </c>
    </row>
    <row r="1635" spans="1:7" x14ac:dyDescent="0.35">
      <c r="A1635" t="s">
        <v>93</v>
      </c>
      <c r="E1635">
        <v>1.0682921179261024E-2</v>
      </c>
      <c r="F1635">
        <f t="shared" si="56"/>
        <v>-1.4945830439237924E-2</v>
      </c>
      <c r="G1635">
        <f t="shared" si="57"/>
        <v>-2.7322352458510689E-2</v>
      </c>
    </row>
    <row r="1636" spans="1:7" x14ac:dyDescent="0.35">
      <c r="A1636" t="s">
        <v>93</v>
      </c>
      <c r="E1636">
        <v>-2.7730285265063041E-3</v>
      </c>
      <c r="F1636">
        <f t="shared" si="56"/>
        <v>-1.4946977365471218E-2</v>
      </c>
      <c r="G1636">
        <f t="shared" si="57"/>
        <v>-2.7322352458510689E-2</v>
      </c>
    </row>
    <row r="1637" spans="1:7" x14ac:dyDescent="0.35">
      <c r="A1637" t="s">
        <v>93</v>
      </c>
      <c r="E1637">
        <v>5.3548474907493774E-4</v>
      </c>
      <c r="F1637">
        <f t="shared" si="56"/>
        <v>-1.4948124291704511E-2</v>
      </c>
      <c r="G1637">
        <f t="shared" si="57"/>
        <v>-2.7322352458510689E-2</v>
      </c>
    </row>
    <row r="1638" spans="1:7" x14ac:dyDescent="0.35">
      <c r="A1638" t="s">
        <v>93</v>
      </c>
      <c r="E1638">
        <v>-2.6401850997774786E-3</v>
      </c>
      <c r="F1638">
        <f t="shared" si="56"/>
        <v>-1.4949271217937803E-2</v>
      </c>
      <c r="G1638">
        <f t="shared" si="57"/>
        <v>-2.7322352458510689E-2</v>
      </c>
    </row>
    <row r="1639" spans="1:7" x14ac:dyDescent="0.35">
      <c r="A1639" t="s">
        <v>93</v>
      </c>
      <c r="E1639">
        <v>2.2066763242570963E-3</v>
      </c>
      <c r="F1639">
        <f t="shared" si="56"/>
        <v>-1.4950418144171097E-2</v>
      </c>
      <c r="G1639">
        <f t="shared" si="57"/>
        <v>-2.7322352458510689E-2</v>
      </c>
    </row>
    <row r="1640" spans="1:7" x14ac:dyDescent="0.35">
      <c r="A1640" t="s">
        <v>93</v>
      </c>
      <c r="E1640">
        <v>3.0365278008799594E-3</v>
      </c>
      <c r="F1640">
        <f t="shared" si="56"/>
        <v>-1.4951565070404391E-2</v>
      </c>
      <c r="G1640">
        <f t="shared" si="57"/>
        <v>-2.7322352458510689E-2</v>
      </c>
    </row>
    <row r="1641" spans="1:7" x14ac:dyDescent="0.35">
      <c r="A1641" t="s">
        <v>93</v>
      </c>
      <c r="E1641">
        <v>-1.1226878165671195E-2</v>
      </c>
      <c r="F1641">
        <f t="shared" si="56"/>
        <v>-1.4960708534260044E-2</v>
      </c>
      <c r="G1641">
        <f t="shared" si="57"/>
        <v>-2.743689678617834E-2</v>
      </c>
    </row>
    <row r="1642" spans="1:7" x14ac:dyDescent="0.35">
      <c r="A1642" t="s">
        <v>93</v>
      </c>
      <c r="E1642">
        <v>-3.3871742973122184E-4</v>
      </c>
      <c r="F1642">
        <f t="shared" si="56"/>
        <v>-1.4969851998115697E-2</v>
      </c>
      <c r="G1642">
        <f t="shared" si="57"/>
        <v>-2.743689678617834E-2</v>
      </c>
    </row>
    <row r="1643" spans="1:7" x14ac:dyDescent="0.35">
      <c r="A1643" t="s">
        <v>94</v>
      </c>
      <c r="B1643" s="3" cm="1">
        <f t="array" ref="B1643">_xlfn.STDEV.S(_xlfn._xlws.FILTER($E$1000:$E$1998, $A$1000:$A$1998="2016-08"))</f>
        <v>5.2970363621297504E-3</v>
      </c>
      <c r="C1643" s="3" cm="1">
        <f t="array" ref="C1643">AVERAGE(_xlfn._xlws.FILTER($E$1000:$E$1998, $A$1000:$A$1998="2016-08"))</f>
        <v>8.4015257907643526E-5</v>
      </c>
      <c r="D1643" s="3" cm="1">
        <f t="array" ref="D1643">_xlfn.PERCENTILE.EXC(_xlfn._xlws.FILTER($E$1498:$E$2489, $A$1498:$A$2489="2016-08"), 0.05)</f>
        <v>-7.5184322979035502E-3</v>
      </c>
      <c r="E1643">
        <v>-7.537309929705277E-3</v>
      </c>
      <c r="F1643">
        <f t="shared" si="56"/>
        <v>-1.497899546197135E-2</v>
      </c>
      <c r="G1643">
        <f t="shared" si="57"/>
        <v>-2.743689678617834E-2</v>
      </c>
    </row>
    <row r="1644" spans="1:7" x14ac:dyDescent="0.35">
      <c r="A1644" t="s">
        <v>94</v>
      </c>
      <c r="E1644">
        <v>-1.9767755208867132E-3</v>
      </c>
      <c r="F1644">
        <f t="shared" si="56"/>
        <v>-1.4988138925827003E-2</v>
      </c>
      <c r="G1644">
        <f t="shared" si="57"/>
        <v>-2.743689678617834E-2</v>
      </c>
    </row>
    <row r="1645" spans="1:7" x14ac:dyDescent="0.35">
      <c r="A1645" t="s">
        <v>94</v>
      </c>
      <c r="E1645">
        <v>1.9688667597622376E-3</v>
      </c>
      <c r="F1645">
        <f t="shared" si="56"/>
        <v>-1.4997282389682658E-2</v>
      </c>
      <c r="G1645">
        <f t="shared" si="57"/>
        <v>-2.743689678617834E-2</v>
      </c>
    </row>
    <row r="1646" spans="1:7" x14ac:dyDescent="0.35">
      <c r="A1646" t="s">
        <v>94</v>
      </c>
      <c r="E1646">
        <v>3.2356760110255171E-3</v>
      </c>
      <c r="F1646">
        <f t="shared" si="56"/>
        <v>-1.5006425853538312E-2</v>
      </c>
      <c r="G1646">
        <f t="shared" si="57"/>
        <v>-2.743689678617834E-2</v>
      </c>
    </row>
    <row r="1647" spans="1:7" x14ac:dyDescent="0.35">
      <c r="A1647" t="s">
        <v>94</v>
      </c>
      <c r="E1647">
        <v>9.3999934136864468E-3</v>
      </c>
      <c r="F1647">
        <f t="shared" si="56"/>
        <v>-1.5015569317393965E-2</v>
      </c>
      <c r="G1647">
        <f t="shared" si="57"/>
        <v>-2.743689678617834E-2</v>
      </c>
    </row>
    <row r="1648" spans="1:7" x14ac:dyDescent="0.35">
      <c r="A1648" t="s">
        <v>94</v>
      </c>
      <c r="E1648">
        <v>1.5533784819294269E-4</v>
      </c>
      <c r="F1648">
        <f t="shared" si="56"/>
        <v>-1.5024712781249618E-2</v>
      </c>
      <c r="G1648">
        <f t="shared" si="57"/>
        <v>-2.743689678617834E-2</v>
      </c>
    </row>
    <row r="1649" spans="1:7" x14ac:dyDescent="0.35">
      <c r="A1649" t="s">
        <v>94</v>
      </c>
      <c r="E1649">
        <v>1.6028561308917726E-3</v>
      </c>
      <c r="F1649">
        <f t="shared" si="56"/>
        <v>-1.5033856245105271E-2</v>
      </c>
      <c r="G1649">
        <f t="shared" si="57"/>
        <v>-2.743689678617834E-2</v>
      </c>
    </row>
    <row r="1650" spans="1:7" x14ac:dyDescent="0.35">
      <c r="A1650" t="s">
        <v>94</v>
      </c>
      <c r="E1650">
        <v>-3.8507364754087766E-3</v>
      </c>
      <c r="F1650">
        <f t="shared" si="56"/>
        <v>-1.5042999708960926E-2</v>
      </c>
      <c r="G1650">
        <f t="shared" si="57"/>
        <v>-2.743689678617834E-2</v>
      </c>
    </row>
    <row r="1651" spans="1:7" x14ac:dyDescent="0.35">
      <c r="A1651" t="s">
        <v>94</v>
      </c>
      <c r="E1651">
        <v>5.1195329735125332E-3</v>
      </c>
      <c r="F1651">
        <f t="shared" si="56"/>
        <v>-1.5052143172816579E-2</v>
      </c>
      <c r="G1651">
        <f t="shared" si="57"/>
        <v>-2.743689678617834E-2</v>
      </c>
    </row>
    <row r="1652" spans="1:7" x14ac:dyDescent="0.35">
      <c r="A1652" t="s">
        <v>94</v>
      </c>
      <c r="E1652">
        <v>-4.4914877937415774E-3</v>
      </c>
      <c r="F1652">
        <f t="shared" si="56"/>
        <v>-1.5061286636672232E-2</v>
      </c>
      <c r="G1652">
        <f t="shared" si="57"/>
        <v>-2.743689678617834E-2</v>
      </c>
    </row>
    <row r="1653" spans="1:7" x14ac:dyDescent="0.35">
      <c r="A1653" t="s">
        <v>94</v>
      </c>
      <c r="E1653">
        <v>-3.3427762118081994E-3</v>
      </c>
      <c r="F1653">
        <f t="shared" si="56"/>
        <v>-1.5070430100527886E-2</v>
      </c>
      <c r="G1653">
        <f t="shared" si="57"/>
        <v>-2.743689678617834E-2</v>
      </c>
    </row>
    <row r="1654" spans="1:7" x14ac:dyDescent="0.35">
      <c r="A1654" t="s">
        <v>94</v>
      </c>
      <c r="E1654">
        <v>-7.1771322988303079E-3</v>
      </c>
      <c r="F1654">
        <f t="shared" si="56"/>
        <v>-1.5079573564383539E-2</v>
      </c>
      <c r="G1654">
        <f t="shared" si="57"/>
        <v>-2.743689678617834E-2</v>
      </c>
    </row>
    <row r="1655" spans="1:7" x14ac:dyDescent="0.35">
      <c r="A1655" t="s">
        <v>94</v>
      </c>
      <c r="E1655">
        <v>5.9455323291167754E-3</v>
      </c>
      <c r="F1655">
        <f t="shared" si="56"/>
        <v>-1.5088717028239195E-2</v>
      </c>
      <c r="G1655">
        <f t="shared" si="57"/>
        <v>-2.743689678617834E-2</v>
      </c>
    </row>
    <row r="1656" spans="1:7" x14ac:dyDescent="0.35">
      <c r="A1656" t="s">
        <v>94</v>
      </c>
      <c r="E1656">
        <v>-6.3003296705450218E-3</v>
      </c>
      <c r="F1656">
        <f t="shared" si="56"/>
        <v>-1.5097860492094849E-2</v>
      </c>
      <c r="G1656">
        <f t="shared" si="57"/>
        <v>-2.743689678617834E-2</v>
      </c>
    </row>
    <row r="1657" spans="1:7" x14ac:dyDescent="0.35">
      <c r="A1657" t="s">
        <v>94</v>
      </c>
      <c r="E1657">
        <v>7.4855944209257304E-4</v>
      </c>
      <c r="F1657">
        <f t="shared" si="56"/>
        <v>-1.5107003955950502E-2</v>
      </c>
      <c r="G1657">
        <f t="shared" si="57"/>
        <v>-2.743689678617834E-2</v>
      </c>
    </row>
    <row r="1658" spans="1:7" x14ac:dyDescent="0.35">
      <c r="A1658" t="s">
        <v>94</v>
      </c>
      <c r="E1658">
        <v>1.0344482588387341E-2</v>
      </c>
      <c r="F1658">
        <f t="shared" si="56"/>
        <v>-1.5116147419806155E-2</v>
      </c>
      <c r="G1658">
        <f t="shared" si="57"/>
        <v>-2.743689678617834E-2</v>
      </c>
    </row>
    <row r="1659" spans="1:7" x14ac:dyDescent="0.35">
      <c r="A1659" t="s">
        <v>94</v>
      </c>
      <c r="E1659">
        <v>3.270783464820572E-3</v>
      </c>
      <c r="F1659">
        <f t="shared" si="56"/>
        <v>-1.5125290883661808E-2</v>
      </c>
      <c r="G1659">
        <f t="shared" si="57"/>
        <v>-2.743689678617834E-2</v>
      </c>
    </row>
    <row r="1660" spans="1:7" x14ac:dyDescent="0.35">
      <c r="A1660" t="s">
        <v>94</v>
      </c>
      <c r="E1660">
        <v>-7.3485336116880084E-3</v>
      </c>
      <c r="F1660">
        <f t="shared" si="56"/>
        <v>-1.5134434347517463E-2</v>
      </c>
      <c r="G1660">
        <f t="shared" si="57"/>
        <v>-2.743689678617834E-2</v>
      </c>
    </row>
    <row r="1661" spans="1:7" x14ac:dyDescent="0.35">
      <c r="A1661" t="s">
        <v>94</v>
      </c>
      <c r="E1661">
        <v>4.4121991586852467E-3</v>
      </c>
      <c r="F1661">
        <f t="shared" si="56"/>
        <v>-1.5136737082008699E-2</v>
      </c>
      <c r="G1661">
        <f t="shared" si="57"/>
        <v>-2.7551873070651808E-2</v>
      </c>
    </row>
    <row r="1662" spans="1:7" x14ac:dyDescent="0.35">
      <c r="A1662" t="s">
        <v>94</v>
      </c>
      <c r="E1662">
        <v>-2.819361278401774E-4</v>
      </c>
      <c r="F1662">
        <f t="shared" si="56"/>
        <v>-1.5139039816499937E-2</v>
      </c>
      <c r="G1662">
        <f t="shared" si="57"/>
        <v>-2.7551873070651808E-2</v>
      </c>
    </row>
    <row r="1663" spans="1:7" x14ac:dyDescent="0.35">
      <c r="A1663" t="s">
        <v>94</v>
      </c>
      <c r="E1663">
        <v>-2.1324820636593844E-3</v>
      </c>
      <c r="F1663">
        <f t="shared" si="56"/>
        <v>-1.5141342550991173E-2</v>
      </c>
      <c r="G1663">
        <f t="shared" si="57"/>
        <v>-2.7551873070651808E-2</v>
      </c>
    </row>
    <row r="1664" spans="1:7" x14ac:dyDescent="0.35">
      <c r="A1664" t="s">
        <v>95</v>
      </c>
      <c r="B1664" s="3" cm="1">
        <f t="array" ref="B1664">_xlfn.STDEV.S(_xlfn._xlws.FILTER($E$1000:$E$1998, $A$1000:$A$1998="2016-09"))</f>
        <v>1.0144351403341134E-2</v>
      </c>
      <c r="C1664" s="3" cm="1">
        <f t="array" ref="C1664">AVERAGE(_xlfn._xlws.FILTER($E$1000:$E$1998, $A$1000:$A$1998="2016-09"))</f>
        <v>-9.6705886587578624E-5</v>
      </c>
      <c r="D1664" s="3" cm="1">
        <f t="array" ref="D1664">_xlfn.PERCENTILE.EXC(_xlfn._xlws.FILTER($E$1498:$E$2489, $A$1498:$A$2489="2016-09"), 0.05)</f>
        <v>-1.4539753709337333E-2</v>
      </c>
      <c r="E1664">
        <v>1.3124909557791389E-3</v>
      </c>
      <c r="F1664">
        <f t="shared" si="56"/>
        <v>-1.5143645285482411E-2</v>
      </c>
      <c r="G1664">
        <f t="shared" si="57"/>
        <v>-2.7551873070651808E-2</v>
      </c>
    </row>
    <row r="1665" spans="1:7" x14ac:dyDescent="0.35">
      <c r="A1665" t="s">
        <v>95</v>
      </c>
      <c r="E1665">
        <v>2.7331305052155915E-2</v>
      </c>
      <c r="F1665">
        <f t="shared" si="56"/>
        <v>-1.5145948019973647E-2</v>
      </c>
      <c r="G1665">
        <f t="shared" si="57"/>
        <v>-2.7551873070651808E-2</v>
      </c>
    </row>
    <row r="1666" spans="1:7" x14ac:dyDescent="0.35">
      <c r="A1666" t="s">
        <v>95</v>
      </c>
      <c r="E1666">
        <v>-8.5714337826028712E-4</v>
      </c>
      <c r="F1666">
        <f t="shared" si="56"/>
        <v>-1.5148250754464885E-2</v>
      </c>
      <c r="G1666">
        <f t="shared" si="57"/>
        <v>-2.7551873070651808E-2</v>
      </c>
    </row>
    <row r="1667" spans="1:7" x14ac:dyDescent="0.35">
      <c r="A1667" t="s">
        <v>95</v>
      </c>
      <c r="E1667">
        <v>-7.4933091580340009E-3</v>
      </c>
      <c r="F1667">
        <f t="shared" si="56"/>
        <v>-1.5150553488956121E-2</v>
      </c>
      <c r="G1667">
        <f t="shared" si="57"/>
        <v>-2.7551873070651808E-2</v>
      </c>
    </row>
    <row r="1668" spans="1:7" x14ac:dyDescent="0.35">
      <c r="A1668" t="s">
        <v>95</v>
      </c>
      <c r="E1668">
        <v>-3.8244425819263786E-3</v>
      </c>
      <c r="F1668">
        <f t="shared" ref="F1668:F1731" si="58">_xlfn.PERCENTILE.EXC(E1668:E5483,0.05)</f>
        <v>-1.5152856223447359E-2</v>
      </c>
      <c r="G1668">
        <f t="shared" ref="G1668:G1731" si="59">AVERAGEIFS(E1668:E5484,E1668:E5484,"&lt;=" &amp; F1668)</f>
        <v>-2.7551873070651808E-2</v>
      </c>
    </row>
    <row r="1669" spans="1:7" x14ac:dyDescent="0.35">
      <c r="A1669" t="s">
        <v>95</v>
      </c>
      <c r="E1669">
        <v>-1.2667173899556863E-3</v>
      </c>
      <c r="F1669">
        <f t="shared" si="58"/>
        <v>-1.5155158957938595E-2</v>
      </c>
      <c r="G1669">
        <f t="shared" si="59"/>
        <v>-2.7551873070651808E-2</v>
      </c>
    </row>
    <row r="1670" spans="1:7" x14ac:dyDescent="0.35">
      <c r="A1670" t="s">
        <v>95</v>
      </c>
      <c r="E1670">
        <v>-1.1729174958196866E-2</v>
      </c>
      <c r="F1670">
        <f t="shared" si="58"/>
        <v>-1.5157461692429833E-2</v>
      </c>
      <c r="G1670">
        <f t="shared" si="59"/>
        <v>-2.7551873070651808E-2</v>
      </c>
    </row>
    <row r="1671" spans="1:7" x14ac:dyDescent="0.35">
      <c r="A1671" t="s">
        <v>95</v>
      </c>
      <c r="E1671">
        <v>-8.792510147160983E-3</v>
      </c>
      <c r="F1671">
        <f t="shared" si="58"/>
        <v>-1.5159764426921069E-2</v>
      </c>
      <c r="G1671">
        <f t="shared" si="59"/>
        <v>-2.7551873070651808E-2</v>
      </c>
    </row>
    <row r="1672" spans="1:7" x14ac:dyDescent="0.35">
      <c r="A1672" t="s">
        <v>95</v>
      </c>
      <c r="E1672">
        <v>-1.4389036397718767E-2</v>
      </c>
      <c r="F1672">
        <f t="shared" si="58"/>
        <v>-1.5162067161412307E-2</v>
      </c>
      <c r="G1672">
        <f t="shared" si="59"/>
        <v>-2.7551873070651808E-2</v>
      </c>
    </row>
    <row r="1673" spans="1:7" x14ac:dyDescent="0.35">
      <c r="A1673" t="s">
        <v>95</v>
      </c>
      <c r="E1673">
        <v>-1.068684158384294E-3</v>
      </c>
      <c r="F1673">
        <f t="shared" si="58"/>
        <v>-1.5164369895903543E-2</v>
      </c>
      <c r="G1673">
        <f t="shared" si="59"/>
        <v>-2.7551873070651808E-2</v>
      </c>
    </row>
    <row r="1674" spans="1:7" x14ac:dyDescent="0.35">
      <c r="A1674" t="s">
        <v>95</v>
      </c>
      <c r="E1674">
        <v>1.1463881569872086E-2</v>
      </c>
      <c r="F1674">
        <f t="shared" si="58"/>
        <v>-1.5166672630394781E-2</v>
      </c>
      <c r="G1674">
        <f t="shared" si="59"/>
        <v>-2.7551873070651808E-2</v>
      </c>
    </row>
    <row r="1675" spans="1:7" x14ac:dyDescent="0.35">
      <c r="A1675" t="s">
        <v>95</v>
      </c>
      <c r="E1675">
        <v>-6.7288829686705815E-3</v>
      </c>
      <c r="F1675">
        <f t="shared" si="58"/>
        <v>-1.5168975364886018E-2</v>
      </c>
      <c r="G1675">
        <f t="shared" si="59"/>
        <v>-2.7551873070651808E-2</v>
      </c>
    </row>
    <row r="1676" spans="1:7" x14ac:dyDescent="0.35">
      <c r="A1676" t="s">
        <v>95</v>
      </c>
      <c r="E1676">
        <v>1.1952094679148267E-2</v>
      </c>
      <c r="F1676">
        <f t="shared" si="58"/>
        <v>-1.5171278099377255E-2</v>
      </c>
      <c r="G1676">
        <f t="shared" si="59"/>
        <v>-2.7551873070651808E-2</v>
      </c>
    </row>
    <row r="1677" spans="1:7" x14ac:dyDescent="0.35">
      <c r="A1677" t="s">
        <v>95</v>
      </c>
      <c r="E1677">
        <v>-1.5468488049094162E-3</v>
      </c>
      <c r="F1677">
        <f t="shared" si="58"/>
        <v>-1.5173580833868491E-2</v>
      </c>
      <c r="G1677">
        <f t="shared" si="59"/>
        <v>-2.7551873070651808E-2</v>
      </c>
    </row>
    <row r="1678" spans="1:7" x14ac:dyDescent="0.35">
      <c r="A1678" t="s">
        <v>95</v>
      </c>
      <c r="E1678">
        <v>8.1183500223328702E-4</v>
      </c>
      <c r="F1678">
        <f t="shared" si="58"/>
        <v>-1.5175883568359728E-2</v>
      </c>
      <c r="G1678">
        <f t="shared" si="59"/>
        <v>-2.7551873070651808E-2</v>
      </c>
    </row>
    <row r="1679" spans="1:7" x14ac:dyDescent="0.35">
      <c r="A1679" t="s">
        <v>95</v>
      </c>
      <c r="E1679">
        <v>1.3196641117182235E-2</v>
      </c>
      <c r="F1679">
        <f t="shared" si="58"/>
        <v>-1.5178186302850965E-2</v>
      </c>
      <c r="G1679">
        <f t="shared" si="59"/>
        <v>-2.7551873070651808E-2</v>
      </c>
    </row>
    <row r="1680" spans="1:7" x14ac:dyDescent="0.35">
      <c r="A1680" t="s">
        <v>95</v>
      </c>
      <c r="E1680">
        <v>-9.469481383604891E-3</v>
      </c>
      <c r="F1680">
        <f t="shared" si="58"/>
        <v>-1.5180489037342202E-2</v>
      </c>
      <c r="G1680">
        <f t="shared" si="59"/>
        <v>-2.7551873070651808E-2</v>
      </c>
    </row>
    <row r="1681" spans="1:7" x14ac:dyDescent="0.35">
      <c r="A1681" t="s">
        <v>95</v>
      </c>
      <c r="E1681">
        <v>-1.4566350881975903E-2</v>
      </c>
      <c r="F1681">
        <f t="shared" si="58"/>
        <v>-1.519100127691448E-2</v>
      </c>
      <c r="G1681">
        <f t="shared" si="59"/>
        <v>-2.7668584240777366E-2</v>
      </c>
    </row>
    <row r="1682" spans="1:7" x14ac:dyDescent="0.35">
      <c r="A1682" t="s">
        <v>95</v>
      </c>
      <c r="E1682">
        <v>4.8887463480780137E-3</v>
      </c>
      <c r="F1682">
        <f t="shared" si="58"/>
        <v>-1.5201513516486758E-2</v>
      </c>
      <c r="G1682">
        <f t="shared" si="59"/>
        <v>-2.7668584240777366E-2</v>
      </c>
    </row>
    <row r="1683" spans="1:7" x14ac:dyDescent="0.35">
      <c r="A1683" t="s">
        <v>95</v>
      </c>
      <c r="E1683">
        <v>6.0779486019842694E-3</v>
      </c>
      <c r="F1683">
        <f t="shared" si="58"/>
        <v>-1.5212025756059035E-2</v>
      </c>
      <c r="G1683">
        <f t="shared" si="59"/>
        <v>-2.7668584240777366E-2</v>
      </c>
    </row>
    <row r="1684" spans="1:7" x14ac:dyDescent="0.35">
      <c r="A1684" t="s">
        <v>95</v>
      </c>
      <c r="E1684">
        <v>6.4627303086624149E-3</v>
      </c>
      <c r="F1684">
        <f t="shared" si="58"/>
        <v>-1.5222537995631313E-2</v>
      </c>
      <c r="G1684">
        <f t="shared" si="59"/>
        <v>-2.7668584240777366E-2</v>
      </c>
    </row>
    <row r="1685" spans="1:7" x14ac:dyDescent="0.35">
      <c r="A1685" t="s">
        <v>95</v>
      </c>
      <c r="E1685">
        <v>-3.892620931224305E-3</v>
      </c>
      <c r="F1685">
        <f t="shared" si="58"/>
        <v>-1.5233050235203594E-2</v>
      </c>
      <c r="G1685">
        <f t="shared" si="59"/>
        <v>-2.7668584240777366E-2</v>
      </c>
    </row>
    <row r="1686" spans="1:7" x14ac:dyDescent="0.35">
      <c r="A1686" t="s">
        <v>96</v>
      </c>
      <c r="B1686" s="3" cm="1">
        <f t="array" ref="B1686">_xlfn.STDEV.S(_xlfn._xlws.FILTER($E$1000:$E$1998, $A$1000:$A$1998="2016-10"))</f>
        <v>7.6930820428933655E-3</v>
      </c>
      <c r="C1686" s="3" cm="1">
        <f t="array" ref="C1686">AVERAGE(_xlfn._xlws.FILTER($E$1000:$E$1998, $A$1000:$A$1998="2016-10"))</f>
        <v>-1.3550769079755647E-3</v>
      </c>
      <c r="D1686" s="3" cm="1">
        <f t="array" ref="D1686">_xlfn.PERCENTILE.EXC(_xlfn._xlws.FILTER($E$1498:$E$2489, $A$1498:$A$2489="2016-10"), 0.05)</f>
        <v>-1.4962461402687926E-2</v>
      </c>
      <c r="E1686">
        <v>9.8762159287226568E-3</v>
      </c>
      <c r="F1686">
        <f t="shared" si="58"/>
        <v>-1.5243562474775872E-2</v>
      </c>
      <c r="G1686">
        <f t="shared" si="59"/>
        <v>-2.7668584240777366E-2</v>
      </c>
    </row>
    <row r="1687" spans="1:7" x14ac:dyDescent="0.35">
      <c r="A1687" t="s">
        <v>96</v>
      </c>
      <c r="E1687">
        <v>-5.4843589352473483E-3</v>
      </c>
      <c r="F1687">
        <f t="shared" si="58"/>
        <v>-1.5254074714348149E-2</v>
      </c>
      <c r="G1687">
        <f t="shared" si="59"/>
        <v>-2.7668584240777366E-2</v>
      </c>
    </row>
    <row r="1688" spans="1:7" x14ac:dyDescent="0.35">
      <c r="A1688" t="s">
        <v>96</v>
      </c>
      <c r="E1688">
        <v>-9.3037467297128387E-3</v>
      </c>
      <c r="F1688">
        <f t="shared" si="58"/>
        <v>-1.5264586953920429E-2</v>
      </c>
      <c r="G1688">
        <f t="shared" si="59"/>
        <v>-2.7668584240777366E-2</v>
      </c>
    </row>
    <row r="1689" spans="1:7" x14ac:dyDescent="0.35">
      <c r="A1689" t="s">
        <v>96</v>
      </c>
      <c r="E1689">
        <v>-9.0382328792802755E-3</v>
      </c>
      <c r="F1689">
        <f t="shared" si="58"/>
        <v>-1.5275099193492707E-2</v>
      </c>
      <c r="G1689">
        <f t="shared" si="59"/>
        <v>-2.7668584240777366E-2</v>
      </c>
    </row>
    <row r="1690" spans="1:7" x14ac:dyDescent="0.35">
      <c r="A1690" t="s">
        <v>96</v>
      </c>
      <c r="E1690">
        <v>3.3018895424868303E-3</v>
      </c>
      <c r="F1690">
        <f t="shared" si="58"/>
        <v>-1.5285611433064988E-2</v>
      </c>
      <c r="G1690">
        <f t="shared" si="59"/>
        <v>-2.7668584240777366E-2</v>
      </c>
    </row>
    <row r="1691" spans="1:7" x14ac:dyDescent="0.35">
      <c r="A1691" t="s">
        <v>96</v>
      </c>
      <c r="E1691">
        <v>-1.5180489037342202E-2</v>
      </c>
      <c r="F1691">
        <f t="shared" si="58"/>
        <v>-1.5296123672637265E-2</v>
      </c>
      <c r="G1691">
        <f t="shared" si="59"/>
        <v>-2.7668584240777366E-2</v>
      </c>
    </row>
    <row r="1692" spans="1:7" x14ac:dyDescent="0.35">
      <c r="A1692" t="s">
        <v>96</v>
      </c>
      <c r="E1692">
        <v>2.0473075071579363E-3</v>
      </c>
      <c r="F1692">
        <f t="shared" si="58"/>
        <v>-1.5288214036279647E-2</v>
      </c>
      <c r="G1692">
        <f t="shared" si="59"/>
        <v>-2.7668584240777366E-2</v>
      </c>
    </row>
    <row r="1693" spans="1:7" x14ac:dyDescent="0.35">
      <c r="A1693" t="s">
        <v>96</v>
      </c>
      <c r="E1693">
        <v>-5.2268891445117439E-3</v>
      </c>
      <c r="F1693">
        <f t="shared" si="58"/>
        <v>-1.5301029010343161E-2</v>
      </c>
      <c r="G1693">
        <f t="shared" si="59"/>
        <v>-2.7668584240777366E-2</v>
      </c>
    </row>
    <row r="1694" spans="1:7" x14ac:dyDescent="0.35">
      <c r="A1694" t="s">
        <v>96</v>
      </c>
      <c r="E1694">
        <v>5.8505007662098853E-3</v>
      </c>
      <c r="F1694">
        <f t="shared" si="58"/>
        <v>-1.5313843984406677E-2</v>
      </c>
      <c r="G1694">
        <f t="shared" si="59"/>
        <v>-2.7668584240777366E-2</v>
      </c>
    </row>
    <row r="1695" spans="1:7" x14ac:dyDescent="0.35">
      <c r="A1695" t="s">
        <v>96</v>
      </c>
      <c r="E1695">
        <v>-1.0819936344256676E-2</v>
      </c>
      <c r="F1695">
        <f t="shared" si="58"/>
        <v>-1.5326658958470194E-2</v>
      </c>
      <c r="G1695">
        <f t="shared" si="59"/>
        <v>-2.7668584240777366E-2</v>
      </c>
    </row>
    <row r="1696" spans="1:7" x14ac:dyDescent="0.35">
      <c r="A1696" t="s">
        <v>96</v>
      </c>
      <c r="E1696">
        <v>1.628804074097218E-2</v>
      </c>
      <c r="F1696">
        <f t="shared" si="58"/>
        <v>-1.5339473932533709E-2</v>
      </c>
      <c r="G1696">
        <f t="shared" si="59"/>
        <v>-2.7668584240777366E-2</v>
      </c>
    </row>
    <row r="1697" spans="1:7" x14ac:dyDescent="0.35">
      <c r="A1697" t="s">
        <v>96</v>
      </c>
      <c r="E1697">
        <v>3.7379320638094272E-3</v>
      </c>
      <c r="F1697">
        <f t="shared" si="58"/>
        <v>-1.5352288906597223E-2</v>
      </c>
      <c r="G1697">
        <f t="shared" si="59"/>
        <v>-2.7668584240777366E-2</v>
      </c>
    </row>
    <row r="1698" spans="1:7" x14ac:dyDescent="0.35">
      <c r="A1698" t="s">
        <v>96</v>
      </c>
      <c r="E1698">
        <v>2.6452355158392148E-3</v>
      </c>
      <c r="F1698">
        <f t="shared" si="58"/>
        <v>-1.5365103880660739E-2</v>
      </c>
      <c r="G1698">
        <f t="shared" si="59"/>
        <v>-2.7668584240777366E-2</v>
      </c>
    </row>
    <row r="1699" spans="1:7" x14ac:dyDescent="0.35">
      <c r="A1699" t="s">
        <v>96</v>
      </c>
      <c r="E1699">
        <v>2.5735827286309486E-3</v>
      </c>
      <c r="F1699">
        <f t="shared" si="58"/>
        <v>-1.5377918854724252E-2</v>
      </c>
      <c r="G1699">
        <f t="shared" si="59"/>
        <v>-2.7668584240777366E-2</v>
      </c>
    </row>
    <row r="1700" spans="1:7" x14ac:dyDescent="0.35">
      <c r="A1700" t="s">
        <v>96</v>
      </c>
      <c r="E1700">
        <v>-7.3595113078637328E-3</v>
      </c>
      <c r="F1700">
        <f t="shared" si="58"/>
        <v>-1.5390733828787771E-2</v>
      </c>
      <c r="G1700">
        <f t="shared" si="59"/>
        <v>-2.7668584240777366E-2</v>
      </c>
    </row>
    <row r="1701" spans="1:7" x14ac:dyDescent="0.35">
      <c r="A1701" t="s">
        <v>96</v>
      </c>
      <c r="E1701">
        <v>2.202037407550924E-3</v>
      </c>
      <c r="F1701">
        <f t="shared" si="58"/>
        <v>-1.5401790424921954E-2</v>
      </c>
      <c r="G1701">
        <f t="shared" si="59"/>
        <v>-2.778551614946298E-2</v>
      </c>
    </row>
    <row r="1702" spans="1:7" x14ac:dyDescent="0.35">
      <c r="A1702" t="s">
        <v>96</v>
      </c>
      <c r="E1702">
        <v>-8.1554808059335713E-3</v>
      </c>
      <c r="F1702">
        <f t="shared" si="58"/>
        <v>-1.5412847021056135E-2</v>
      </c>
      <c r="G1702">
        <f t="shared" si="59"/>
        <v>-2.778551614946298E-2</v>
      </c>
    </row>
    <row r="1703" spans="1:7" x14ac:dyDescent="0.35">
      <c r="A1703" t="s">
        <v>96</v>
      </c>
      <c r="E1703">
        <v>1.3283249096648644E-3</v>
      </c>
      <c r="F1703">
        <f t="shared" si="58"/>
        <v>-1.5423903617190317E-2</v>
      </c>
      <c r="G1703">
        <f t="shared" si="59"/>
        <v>-2.778551614946298E-2</v>
      </c>
    </row>
    <row r="1704" spans="1:7" x14ac:dyDescent="0.35">
      <c r="A1704" t="s">
        <v>96</v>
      </c>
      <c r="E1704">
        <v>-3.7510336208582754E-3</v>
      </c>
      <c r="F1704">
        <f t="shared" si="58"/>
        <v>-1.54349602133245E-2</v>
      </c>
      <c r="G1704">
        <f t="shared" si="59"/>
        <v>-2.778551614946298E-2</v>
      </c>
    </row>
    <row r="1705" spans="1:7" x14ac:dyDescent="0.35">
      <c r="A1705" t="s">
        <v>96</v>
      </c>
      <c r="E1705">
        <v>-2.6329264655494964E-3</v>
      </c>
      <c r="F1705">
        <f t="shared" si="58"/>
        <v>-1.5446016809458684E-2</v>
      </c>
      <c r="G1705">
        <f t="shared" si="59"/>
        <v>-2.778551614946298E-2</v>
      </c>
    </row>
    <row r="1706" spans="1:7" x14ac:dyDescent="0.35">
      <c r="A1706" t="s">
        <v>97</v>
      </c>
      <c r="B1706" s="3" cm="1">
        <f t="array" ref="B1706">_xlfn.STDEV.S(_xlfn._xlws.FILTER($E$1000:$E$1998, $A$1000:$A$1998="2016-11"))</f>
        <v>8.6042843997583187E-3</v>
      </c>
      <c r="C1706" s="3" cm="1">
        <f t="array" ref="C1706">AVERAGE(_xlfn._xlws.FILTER($E$1000:$E$1998, $A$1000:$A$1998="2016-11"))</f>
        <v>1.399718627377597E-3</v>
      </c>
      <c r="D1706" s="3" cm="1">
        <f t="array" ref="D1706">_xlfn.PERCENTILE.EXC(_xlfn._xlws.FILTER($E$1498:$E$2489, $A$1498:$A$2489="2016-11"), 0.05)</f>
        <v>-1.272201529393808E-2</v>
      </c>
      <c r="E1706">
        <v>-1.3139558251104581E-2</v>
      </c>
      <c r="F1706">
        <f t="shared" si="58"/>
        <v>-1.5457073405592867E-2</v>
      </c>
      <c r="G1706">
        <f t="shared" si="59"/>
        <v>-2.778551614946298E-2</v>
      </c>
    </row>
    <row r="1707" spans="1:7" x14ac:dyDescent="0.35">
      <c r="A1707" t="s">
        <v>97</v>
      </c>
      <c r="E1707">
        <v>-9.4215118218603025E-3</v>
      </c>
      <c r="F1707">
        <f t="shared" si="58"/>
        <v>-1.5468130001727049E-2</v>
      </c>
      <c r="G1707">
        <f t="shared" si="59"/>
        <v>-2.778551614946298E-2</v>
      </c>
    </row>
    <row r="1708" spans="1:7" x14ac:dyDescent="0.35">
      <c r="A1708" t="s">
        <v>97</v>
      </c>
      <c r="E1708">
        <v>2.9000480838189883E-3</v>
      </c>
      <c r="F1708">
        <f t="shared" si="58"/>
        <v>-1.5479186597861232E-2</v>
      </c>
      <c r="G1708">
        <f t="shared" si="59"/>
        <v>-2.778551614946298E-2</v>
      </c>
    </row>
    <row r="1709" spans="1:7" x14ac:dyDescent="0.35">
      <c r="A1709" t="s">
        <v>97</v>
      </c>
      <c r="E1709">
        <v>-1.0355938536661245E-2</v>
      </c>
      <c r="F1709">
        <f t="shared" si="58"/>
        <v>-1.5490243193995413E-2</v>
      </c>
      <c r="G1709">
        <f t="shared" si="59"/>
        <v>-2.778551614946298E-2</v>
      </c>
    </row>
    <row r="1710" spans="1:7" x14ac:dyDescent="0.35">
      <c r="A1710" t="s">
        <v>97</v>
      </c>
      <c r="E1710">
        <v>1.5624915202539374E-2</v>
      </c>
      <c r="F1710">
        <f t="shared" si="58"/>
        <v>-1.5501299790129599E-2</v>
      </c>
      <c r="G1710">
        <f t="shared" si="59"/>
        <v>-2.778551614946298E-2</v>
      </c>
    </row>
    <row r="1711" spans="1:7" x14ac:dyDescent="0.35">
      <c r="A1711" t="s">
        <v>97</v>
      </c>
      <c r="E1711">
        <v>5.9918641971877622E-3</v>
      </c>
      <c r="F1711">
        <f t="shared" si="58"/>
        <v>-1.5512356386263781E-2</v>
      </c>
      <c r="G1711">
        <f t="shared" si="59"/>
        <v>-2.778551614946298E-2</v>
      </c>
    </row>
    <row r="1712" spans="1:7" x14ac:dyDescent="0.35">
      <c r="A1712" t="s">
        <v>97</v>
      </c>
      <c r="E1712">
        <v>1.9817073495747226E-2</v>
      </c>
      <c r="F1712">
        <f t="shared" si="58"/>
        <v>-1.5523412982397962E-2</v>
      </c>
      <c r="G1712">
        <f t="shared" si="59"/>
        <v>-2.778551614946298E-2</v>
      </c>
    </row>
    <row r="1713" spans="1:7" x14ac:dyDescent="0.35">
      <c r="A1713" t="s">
        <v>97</v>
      </c>
      <c r="E1713">
        <v>2.2071280699042556E-3</v>
      </c>
      <c r="F1713">
        <f t="shared" si="58"/>
        <v>-1.5534469578532144E-2</v>
      </c>
      <c r="G1713">
        <f t="shared" si="59"/>
        <v>-2.778551614946298E-2</v>
      </c>
    </row>
    <row r="1714" spans="1:7" x14ac:dyDescent="0.35">
      <c r="A1714" t="s">
        <v>97</v>
      </c>
      <c r="E1714">
        <v>-6.8462319915006085E-3</v>
      </c>
      <c r="F1714">
        <f t="shared" si="58"/>
        <v>-1.5545526174666327E-2</v>
      </c>
      <c r="G1714">
        <f t="shared" si="59"/>
        <v>-2.778551614946298E-2</v>
      </c>
    </row>
    <row r="1715" spans="1:7" x14ac:dyDescent="0.35">
      <c r="A1715" t="s">
        <v>97</v>
      </c>
      <c r="E1715">
        <v>5.4405142251654588E-3</v>
      </c>
      <c r="F1715">
        <f t="shared" si="58"/>
        <v>-1.5556582770800513E-2</v>
      </c>
      <c r="G1715">
        <f t="shared" si="59"/>
        <v>-2.778551614946298E-2</v>
      </c>
    </row>
    <row r="1716" spans="1:7" x14ac:dyDescent="0.35">
      <c r="A1716" t="s">
        <v>97</v>
      </c>
      <c r="E1716">
        <v>2.7593473432325271E-3</v>
      </c>
      <c r="F1716">
        <f t="shared" si="58"/>
        <v>-1.5567639366934694E-2</v>
      </c>
      <c r="G1716">
        <f t="shared" si="59"/>
        <v>-2.778551614946298E-2</v>
      </c>
    </row>
    <row r="1717" spans="1:7" x14ac:dyDescent="0.35">
      <c r="A1717" t="s">
        <v>97</v>
      </c>
      <c r="E1717">
        <v>-2.4179439671483194E-3</v>
      </c>
      <c r="F1717">
        <f t="shared" si="58"/>
        <v>-1.5578695963068876E-2</v>
      </c>
      <c r="G1717">
        <f t="shared" si="59"/>
        <v>-2.778551614946298E-2</v>
      </c>
    </row>
    <row r="1718" spans="1:7" x14ac:dyDescent="0.35">
      <c r="A1718" t="s">
        <v>97</v>
      </c>
      <c r="E1718">
        <v>1.1223737231184628E-2</v>
      </c>
      <c r="F1718">
        <f t="shared" si="58"/>
        <v>-1.5589752559203059E-2</v>
      </c>
      <c r="G1718">
        <f t="shared" si="59"/>
        <v>-2.778551614946298E-2</v>
      </c>
    </row>
    <row r="1719" spans="1:7" x14ac:dyDescent="0.35">
      <c r="A1719" t="s">
        <v>97</v>
      </c>
      <c r="E1719">
        <v>-5.6678925221694647E-3</v>
      </c>
      <c r="F1719">
        <f t="shared" si="58"/>
        <v>-1.560080915533724E-2</v>
      </c>
      <c r="G1719">
        <f t="shared" si="59"/>
        <v>-2.778551614946298E-2</v>
      </c>
    </row>
    <row r="1720" spans="1:7" x14ac:dyDescent="0.35">
      <c r="A1720" t="s">
        <v>97</v>
      </c>
      <c r="E1720">
        <v>9.5567285008531285E-3</v>
      </c>
      <c r="F1720">
        <f t="shared" si="58"/>
        <v>-1.5611865751471426E-2</v>
      </c>
      <c r="G1720">
        <f t="shared" si="59"/>
        <v>-2.778551614946298E-2</v>
      </c>
    </row>
    <row r="1721" spans="1:7" x14ac:dyDescent="0.35">
      <c r="A1721" t="s">
        <v>97</v>
      </c>
      <c r="E1721">
        <v>-3.8712852100897157E-4</v>
      </c>
      <c r="F1721">
        <f t="shared" si="58"/>
        <v>-1.5615237092907085E-2</v>
      </c>
      <c r="G1721">
        <f t="shared" si="59"/>
        <v>-2.7902570480212899E-2</v>
      </c>
    </row>
    <row r="1722" spans="1:7" x14ac:dyDescent="0.35">
      <c r="A1722" t="s">
        <v>97</v>
      </c>
      <c r="E1722">
        <v>9.6624880245377333E-3</v>
      </c>
      <c r="F1722">
        <f t="shared" si="58"/>
        <v>-1.5618608434342743E-2</v>
      </c>
      <c r="G1722">
        <f t="shared" si="59"/>
        <v>-2.7902570480212899E-2</v>
      </c>
    </row>
    <row r="1723" spans="1:7" x14ac:dyDescent="0.35">
      <c r="A1723" t="s">
        <v>97</v>
      </c>
      <c r="E1723">
        <v>1.7128765420567978E-3</v>
      </c>
      <c r="F1723">
        <f t="shared" si="58"/>
        <v>-1.5621979775778403E-2</v>
      </c>
      <c r="G1723">
        <f t="shared" si="59"/>
        <v>-2.7902570480212899E-2</v>
      </c>
    </row>
    <row r="1724" spans="1:7" x14ac:dyDescent="0.35">
      <c r="A1724" t="s">
        <v>97</v>
      </c>
      <c r="E1724">
        <v>-2.30521917920059E-3</v>
      </c>
      <c r="F1724">
        <f t="shared" si="58"/>
        <v>-1.5625351117214061E-2</v>
      </c>
      <c r="G1724">
        <f t="shared" si="59"/>
        <v>-2.7902570480212899E-2</v>
      </c>
    </row>
    <row r="1725" spans="1:7" x14ac:dyDescent="0.35">
      <c r="A1725" t="s">
        <v>97</v>
      </c>
      <c r="E1725">
        <v>-8.7553293110859982E-3</v>
      </c>
      <c r="F1725">
        <f t="shared" si="58"/>
        <v>-1.562872245864972E-2</v>
      </c>
      <c r="G1725">
        <f t="shared" si="59"/>
        <v>-2.7902570480212899E-2</v>
      </c>
    </row>
    <row r="1726" spans="1:7" x14ac:dyDescent="0.35">
      <c r="A1726" t="s">
        <v>97</v>
      </c>
      <c r="E1726">
        <v>-1.5840547983510631E-3</v>
      </c>
      <c r="F1726">
        <f t="shared" si="58"/>
        <v>-1.563209380008538E-2</v>
      </c>
      <c r="G1726">
        <f t="shared" si="59"/>
        <v>-2.7902570480212899E-2</v>
      </c>
    </row>
    <row r="1727" spans="1:7" x14ac:dyDescent="0.35">
      <c r="A1727" t="s">
        <v>97</v>
      </c>
      <c r="E1727">
        <v>4.777897786170401E-3</v>
      </c>
      <c r="F1727">
        <f t="shared" si="58"/>
        <v>-1.5635465141521039E-2</v>
      </c>
      <c r="G1727">
        <f t="shared" si="59"/>
        <v>-2.7902570480212899E-2</v>
      </c>
    </row>
    <row r="1728" spans="1:7" x14ac:dyDescent="0.35">
      <c r="A1728" t="s">
        <v>98</v>
      </c>
      <c r="B1728" s="3" cm="1">
        <f t="array" ref="B1728">_xlfn.STDEV.S(_xlfn._xlws.FILTER($E$1000:$E$1998, $A$1000:$A$1998="2016-12"))</f>
        <v>6.9153545700028794E-3</v>
      </c>
      <c r="C1728" s="3" cm="1">
        <f t="array" ref="C1728">AVERAGE(_xlfn._xlws.FILTER($E$1000:$E$1998, $A$1000:$A$1998="2016-12"))</f>
        <v>2.2086901262767219E-3</v>
      </c>
      <c r="D1728" s="3" cm="1">
        <f t="array" ref="D1728">_xlfn.PERCENTILE.EXC(_xlfn._xlws.FILTER($E$1498:$E$2489, $A$1498:$A$2489="2016-12"), 0.05)</f>
        <v>-9.3585947912405848E-3</v>
      </c>
      <c r="E1728">
        <v>-3.1092586942640471E-4</v>
      </c>
      <c r="F1728">
        <f t="shared" si="58"/>
        <v>-1.5638836482956699E-2</v>
      </c>
      <c r="G1728">
        <f t="shared" si="59"/>
        <v>-2.7902570480212899E-2</v>
      </c>
    </row>
    <row r="1729" spans="1:7" x14ac:dyDescent="0.35">
      <c r="A1729" t="s">
        <v>98</v>
      </c>
      <c r="E1729">
        <v>2.4259443292910161E-4</v>
      </c>
      <c r="F1729">
        <f t="shared" si="58"/>
        <v>-1.5642207824392358E-2</v>
      </c>
      <c r="G1729">
        <f t="shared" si="59"/>
        <v>-2.7902570480212899E-2</v>
      </c>
    </row>
    <row r="1730" spans="1:7" x14ac:dyDescent="0.35">
      <c r="A1730" t="s">
        <v>98</v>
      </c>
      <c r="E1730">
        <v>-3.5141635638396046E-3</v>
      </c>
      <c r="F1730">
        <f t="shared" si="58"/>
        <v>-1.5645579165828018E-2</v>
      </c>
      <c r="G1730">
        <f t="shared" si="59"/>
        <v>-2.7902570480212899E-2</v>
      </c>
    </row>
    <row r="1731" spans="1:7" x14ac:dyDescent="0.35">
      <c r="A1731" t="s">
        <v>98</v>
      </c>
      <c r="E1731">
        <v>5.984537648941992E-3</v>
      </c>
      <c r="F1731">
        <f t="shared" si="58"/>
        <v>-1.5648950507263677E-2</v>
      </c>
      <c r="G1731">
        <f t="shared" si="59"/>
        <v>-2.7902570480212899E-2</v>
      </c>
    </row>
    <row r="1732" spans="1:7" x14ac:dyDescent="0.35">
      <c r="A1732" t="s">
        <v>98</v>
      </c>
      <c r="E1732">
        <v>9.6056601427516493E-3</v>
      </c>
      <c r="F1732">
        <f t="shared" ref="F1732:F1795" si="60">_xlfn.PERCENTILE.EXC(E1732:E5547,0.05)</f>
        <v>-1.5652321848699337E-2</v>
      </c>
      <c r="G1732">
        <f t="shared" ref="G1732:G1795" si="61">AVERAGEIFS(E1732:E5548,E1732:E5548,"&lt;=" &amp; F1732)</f>
        <v>-2.7902570480212899E-2</v>
      </c>
    </row>
    <row r="1733" spans="1:7" x14ac:dyDescent="0.35">
      <c r="A1733" t="s">
        <v>98</v>
      </c>
      <c r="E1733">
        <v>1.4341159083444285E-2</v>
      </c>
      <c r="F1733">
        <f t="shared" si="60"/>
        <v>-1.5655693190134996E-2</v>
      </c>
      <c r="G1733">
        <f t="shared" si="61"/>
        <v>-2.7902570480212899E-2</v>
      </c>
    </row>
    <row r="1734" spans="1:7" x14ac:dyDescent="0.35">
      <c r="A1734" t="s">
        <v>98</v>
      </c>
      <c r="E1734">
        <v>1.0345658355985951E-2</v>
      </c>
      <c r="F1734">
        <f t="shared" si="60"/>
        <v>-1.5659064531570652E-2</v>
      </c>
      <c r="G1734">
        <f t="shared" si="61"/>
        <v>-2.7902570480212899E-2</v>
      </c>
    </row>
    <row r="1735" spans="1:7" x14ac:dyDescent="0.35">
      <c r="A1735" t="s">
        <v>98</v>
      </c>
      <c r="E1735">
        <v>-9.5076169892214721E-3</v>
      </c>
      <c r="F1735">
        <f t="shared" si="60"/>
        <v>-1.5662435873006315E-2</v>
      </c>
      <c r="G1735">
        <f t="shared" si="61"/>
        <v>-2.7902570480212899E-2</v>
      </c>
    </row>
    <row r="1736" spans="1:7" x14ac:dyDescent="0.35">
      <c r="A1736" t="s">
        <v>98</v>
      </c>
      <c r="E1736">
        <v>1.1867436056340898E-2</v>
      </c>
      <c r="F1736">
        <f t="shared" si="60"/>
        <v>-1.5665807214441971E-2</v>
      </c>
      <c r="G1736">
        <f t="shared" si="61"/>
        <v>-2.7902570480212899E-2</v>
      </c>
    </row>
    <row r="1737" spans="1:7" x14ac:dyDescent="0.35">
      <c r="A1737" t="s">
        <v>98</v>
      </c>
      <c r="E1737">
        <v>-4.3589148798224451E-3</v>
      </c>
      <c r="F1737">
        <f t="shared" si="60"/>
        <v>-1.5669178555877631E-2</v>
      </c>
      <c r="G1737">
        <f t="shared" si="61"/>
        <v>-2.7902570480212899E-2</v>
      </c>
    </row>
    <row r="1738" spans="1:7" x14ac:dyDescent="0.35">
      <c r="A1738" t="s">
        <v>98</v>
      </c>
      <c r="E1738">
        <v>9.6708132977627263E-3</v>
      </c>
      <c r="F1738">
        <f t="shared" si="60"/>
        <v>-1.5672549897313291E-2</v>
      </c>
      <c r="G1738">
        <f t="shared" si="61"/>
        <v>-2.7902570480212899E-2</v>
      </c>
    </row>
    <row r="1739" spans="1:7" x14ac:dyDescent="0.35">
      <c r="A1739" t="s">
        <v>98</v>
      </c>
      <c r="E1739">
        <v>3.1299561209639747E-3</v>
      </c>
      <c r="F1739">
        <f t="shared" si="60"/>
        <v>-1.567592123874895E-2</v>
      </c>
      <c r="G1739">
        <f t="shared" si="61"/>
        <v>-2.7902570480212899E-2</v>
      </c>
    </row>
    <row r="1740" spans="1:7" x14ac:dyDescent="0.35">
      <c r="A1740" t="s">
        <v>98</v>
      </c>
      <c r="E1740">
        <v>-5.2826262562440315E-3</v>
      </c>
      <c r="F1740">
        <f t="shared" si="60"/>
        <v>-1.567929258018461E-2</v>
      </c>
      <c r="G1740">
        <f t="shared" si="61"/>
        <v>-2.7902570480212899E-2</v>
      </c>
    </row>
    <row r="1741" spans="1:7" x14ac:dyDescent="0.35">
      <c r="A1741" t="s">
        <v>98</v>
      </c>
      <c r="E1741">
        <v>3.3021742286355881E-3</v>
      </c>
      <c r="F1741">
        <f t="shared" si="60"/>
        <v>-1.5681942405089959E-2</v>
      </c>
      <c r="G1741">
        <f t="shared" si="61"/>
        <v>-2.8021243081184047E-2</v>
      </c>
    </row>
    <row r="1742" spans="1:7" x14ac:dyDescent="0.35">
      <c r="A1742" t="s">
        <v>98</v>
      </c>
      <c r="E1742">
        <v>-3.5504513724438076E-3</v>
      </c>
      <c r="F1742">
        <f t="shared" si="60"/>
        <v>-1.5684592229995305E-2</v>
      </c>
      <c r="G1742">
        <f t="shared" si="61"/>
        <v>-2.8021243081184047E-2</v>
      </c>
    </row>
    <row r="1743" spans="1:7" x14ac:dyDescent="0.35">
      <c r="A1743" t="s">
        <v>98</v>
      </c>
      <c r="E1743">
        <v>-2.4183299423067442E-3</v>
      </c>
      <c r="F1743">
        <f t="shared" si="60"/>
        <v>-1.5687242054900654E-2</v>
      </c>
      <c r="G1743">
        <f t="shared" si="61"/>
        <v>-2.8021243081184047E-2</v>
      </c>
    </row>
    <row r="1744" spans="1:7" x14ac:dyDescent="0.35">
      <c r="A1744" t="s">
        <v>98</v>
      </c>
      <c r="E1744">
        <v>-2.3805990284978167E-3</v>
      </c>
      <c r="F1744">
        <f t="shared" si="60"/>
        <v>-1.5689891879806E-2</v>
      </c>
      <c r="G1744">
        <f t="shared" si="61"/>
        <v>-2.8021243081184047E-2</v>
      </c>
    </row>
    <row r="1745" spans="1:7" x14ac:dyDescent="0.35">
      <c r="A1745" t="s">
        <v>98</v>
      </c>
      <c r="E1745">
        <v>7.8199386793859002E-3</v>
      </c>
      <c r="F1745">
        <f t="shared" si="60"/>
        <v>-1.5692541704711349E-2</v>
      </c>
      <c r="G1745">
        <f t="shared" si="61"/>
        <v>-2.8021243081184047E-2</v>
      </c>
    </row>
    <row r="1746" spans="1:7" x14ac:dyDescent="0.35">
      <c r="A1746" t="s">
        <v>98</v>
      </c>
      <c r="E1746">
        <v>-6.5271730296037273E-3</v>
      </c>
      <c r="F1746">
        <f t="shared" si="60"/>
        <v>-1.5695191529616698E-2</v>
      </c>
      <c r="G1746">
        <f t="shared" si="61"/>
        <v>-2.8021243081184047E-2</v>
      </c>
    </row>
    <row r="1747" spans="1:7" x14ac:dyDescent="0.35">
      <c r="A1747" t="s">
        <v>98</v>
      </c>
      <c r="E1747">
        <v>5.7146754097984259E-3</v>
      </c>
      <c r="F1747">
        <f t="shared" si="60"/>
        <v>-1.5697841354522044E-2</v>
      </c>
      <c r="G1747">
        <f t="shared" si="61"/>
        <v>-2.8021243081184047E-2</v>
      </c>
    </row>
    <row r="1748" spans="1:7" x14ac:dyDescent="0.35">
      <c r="A1748" t="s">
        <v>99</v>
      </c>
      <c r="B1748" s="3" cm="1">
        <f t="array" ref="B1748">_xlfn.STDEV.S(_xlfn._xlws.FILTER($E$1000:$E$1998, $A$1000:$A$1998="2017-01"))</f>
        <v>6.2546593150338125E-3</v>
      </c>
      <c r="C1748" s="3" cm="1">
        <f t="array" ref="C1748">AVERAGE(_xlfn._xlws.FILTER($E$1000:$E$1998, $A$1000:$A$1998="2017-01"))</f>
        <v>-4.9019963502520112E-4</v>
      </c>
      <c r="D1748" s="3" cm="1">
        <f t="array" ref="D1748">_xlfn.PERCENTILE.EXC(_xlfn._xlws.FILTER($E$1498:$E$2489, $A$1498:$A$2489="2017-01"), 0.05)</f>
        <v>-1.4350049265915314E-2</v>
      </c>
      <c r="E1748">
        <v>9.4300825850016212E-3</v>
      </c>
      <c r="F1748">
        <f t="shared" si="60"/>
        <v>-1.5700491179427394E-2</v>
      </c>
      <c r="G1748">
        <f t="shared" si="61"/>
        <v>-2.8021243081184047E-2</v>
      </c>
    </row>
    <row r="1749" spans="1:7" x14ac:dyDescent="0.35">
      <c r="A1749" t="s">
        <v>99</v>
      </c>
      <c r="E1749">
        <v>1.9816006083532836E-3</v>
      </c>
      <c r="F1749">
        <f t="shared" si="60"/>
        <v>-1.5703141004332739E-2</v>
      </c>
      <c r="G1749">
        <f t="shared" si="61"/>
        <v>-2.8021243081184047E-2</v>
      </c>
    </row>
    <row r="1750" spans="1:7" x14ac:dyDescent="0.35">
      <c r="A1750" t="s">
        <v>99</v>
      </c>
      <c r="E1750">
        <v>-3.0192493583895801E-3</v>
      </c>
      <c r="F1750">
        <f t="shared" si="60"/>
        <v>-1.5705790829238089E-2</v>
      </c>
      <c r="G1750">
        <f t="shared" si="61"/>
        <v>-2.8021243081184047E-2</v>
      </c>
    </row>
    <row r="1751" spans="1:7" x14ac:dyDescent="0.35">
      <c r="A1751" t="s">
        <v>99</v>
      </c>
      <c r="E1751">
        <v>-2.8805679028472866E-3</v>
      </c>
      <c r="F1751">
        <f t="shared" si="60"/>
        <v>-1.5708440654143438E-2</v>
      </c>
      <c r="G1751">
        <f t="shared" si="61"/>
        <v>-2.8021243081184047E-2</v>
      </c>
    </row>
    <row r="1752" spans="1:7" x14ac:dyDescent="0.35">
      <c r="A1752" t="s">
        <v>99</v>
      </c>
      <c r="E1752">
        <v>-8.9401058428095984E-3</v>
      </c>
      <c r="F1752">
        <f t="shared" si="60"/>
        <v>-1.5711090479048784E-2</v>
      </c>
      <c r="G1752">
        <f t="shared" si="61"/>
        <v>-2.8021243081184047E-2</v>
      </c>
    </row>
    <row r="1753" spans="1:7" x14ac:dyDescent="0.35">
      <c r="A1753" t="s">
        <v>99</v>
      </c>
      <c r="E1753">
        <v>5.3196015621438898E-3</v>
      </c>
      <c r="F1753">
        <f t="shared" si="60"/>
        <v>-1.5713740303954133E-2</v>
      </c>
      <c r="G1753">
        <f t="shared" si="61"/>
        <v>-2.8021243081184047E-2</v>
      </c>
    </row>
    <row r="1754" spans="1:7" x14ac:dyDescent="0.35">
      <c r="A1754" t="s">
        <v>99</v>
      </c>
      <c r="E1754">
        <v>2.2517373055019876E-3</v>
      </c>
      <c r="F1754">
        <f t="shared" si="60"/>
        <v>-1.5716390128859479E-2</v>
      </c>
      <c r="G1754">
        <f t="shared" si="61"/>
        <v>-2.8021243081184047E-2</v>
      </c>
    </row>
    <row r="1755" spans="1:7" x14ac:dyDescent="0.35">
      <c r="A1755" t="s">
        <v>99</v>
      </c>
      <c r="E1755">
        <v>-5.8473520086015293E-3</v>
      </c>
      <c r="F1755">
        <f t="shared" si="60"/>
        <v>-1.5719039953764828E-2</v>
      </c>
      <c r="G1755">
        <f t="shared" si="61"/>
        <v>-2.8021243081184047E-2</v>
      </c>
    </row>
    <row r="1756" spans="1:7" x14ac:dyDescent="0.35">
      <c r="A1756" t="s">
        <v>99</v>
      </c>
      <c r="E1756">
        <v>8.6512444957686906E-3</v>
      </c>
      <c r="F1756">
        <f t="shared" si="60"/>
        <v>-1.5721689778670177E-2</v>
      </c>
      <c r="G1756">
        <f t="shared" si="61"/>
        <v>-2.8021243081184047E-2</v>
      </c>
    </row>
    <row r="1757" spans="1:7" x14ac:dyDescent="0.35">
      <c r="A1757" t="s">
        <v>99</v>
      </c>
      <c r="E1757">
        <v>-9.5557809389083467E-3</v>
      </c>
      <c r="F1757">
        <f t="shared" si="60"/>
        <v>-1.5724339603575523E-2</v>
      </c>
      <c r="G1757">
        <f t="shared" si="61"/>
        <v>-2.8021243081184047E-2</v>
      </c>
    </row>
    <row r="1758" spans="1:7" x14ac:dyDescent="0.35">
      <c r="A1758" t="s">
        <v>99</v>
      </c>
      <c r="E1758">
        <v>2.1719381263471909E-3</v>
      </c>
      <c r="F1758">
        <f t="shared" si="60"/>
        <v>-1.5726989428480873E-2</v>
      </c>
      <c r="G1758">
        <f t="shared" si="61"/>
        <v>-2.8021243081184047E-2</v>
      </c>
    </row>
    <row r="1759" spans="1:7" x14ac:dyDescent="0.35">
      <c r="A1759" t="s">
        <v>99</v>
      </c>
      <c r="E1759">
        <v>-6.5186206043147689E-4</v>
      </c>
      <c r="F1759">
        <f t="shared" si="60"/>
        <v>-1.5729639253386218E-2</v>
      </c>
      <c r="G1759">
        <f t="shared" si="61"/>
        <v>-2.8021243081184047E-2</v>
      </c>
    </row>
    <row r="1760" spans="1:7" x14ac:dyDescent="0.35">
      <c r="A1760" t="s">
        <v>99</v>
      </c>
      <c r="E1760">
        <v>-1.2839154741561959E-3</v>
      </c>
      <c r="F1760">
        <f t="shared" si="60"/>
        <v>-1.5732289078291568E-2</v>
      </c>
      <c r="G1760">
        <f t="shared" si="61"/>
        <v>-2.8021243081184047E-2</v>
      </c>
    </row>
    <row r="1761" spans="1:7" x14ac:dyDescent="0.35">
      <c r="A1761" t="s">
        <v>99</v>
      </c>
      <c r="E1761">
        <v>-2.5834369150855682E-3</v>
      </c>
      <c r="F1761">
        <f t="shared" si="60"/>
        <v>-1.5735347140500972E-2</v>
      </c>
      <c r="G1761">
        <f t="shared" si="61"/>
        <v>-2.8141723022388876E-2</v>
      </c>
    </row>
    <row r="1762" spans="1:7" x14ac:dyDescent="0.35">
      <c r="A1762" t="s">
        <v>99</v>
      </c>
      <c r="E1762">
        <v>-1.622540806682884E-4</v>
      </c>
      <c r="F1762">
        <f t="shared" si="60"/>
        <v>-1.5738405202710377E-2</v>
      </c>
      <c r="G1762">
        <f t="shared" si="61"/>
        <v>-2.8141723022388876E-2</v>
      </c>
    </row>
    <row r="1763" spans="1:7" x14ac:dyDescent="0.35">
      <c r="A1763" t="s">
        <v>99</v>
      </c>
      <c r="E1763">
        <v>1.0891174860213947E-3</v>
      </c>
      <c r="F1763">
        <f t="shared" si="60"/>
        <v>-1.5741463264919785E-2</v>
      </c>
      <c r="G1763">
        <f t="shared" si="61"/>
        <v>-2.8141723022388876E-2</v>
      </c>
    </row>
    <row r="1764" spans="1:7" x14ac:dyDescent="0.35">
      <c r="A1764" t="s">
        <v>99</v>
      </c>
      <c r="E1764">
        <v>1.0102351379148871E-2</v>
      </c>
      <c r="F1764">
        <f t="shared" si="60"/>
        <v>-1.5744521327129189E-2</v>
      </c>
      <c r="G1764">
        <f t="shared" si="61"/>
        <v>-2.8141723022388876E-2</v>
      </c>
    </row>
    <row r="1765" spans="1:7" x14ac:dyDescent="0.35">
      <c r="A1765" t="s">
        <v>99</v>
      </c>
      <c r="E1765">
        <v>3.080414563015106E-3</v>
      </c>
      <c r="F1765">
        <f t="shared" si="60"/>
        <v>-1.5747579389338594E-2</v>
      </c>
      <c r="G1765">
        <f t="shared" si="61"/>
        <v>-2.8141723022388876E-2</v>
      </c>
    </row>
    <row r="1766" spans="1:7" x14ac:dyDescent="0.35">
      <c r="A1766" t="s">
        <v>99</v>
      </c>
      <c r="E1766">
        <v>-6.3740772924652329E-4</v>
      </c>
      <c r="F1766">
        <f t="shared" si="60"/>
        <v>-1.5750637451547998E-2</v>
      </c>
      <c r="G1766">
        <f t="shared" si="61"/>
        <v>-2.8141723022388876E-2</v>
      </c>
    </row>
    <row r="1767" spans="1:7" x14ac:dyDescent="0.35">
      <c r="A1767" t="s">
        <v>99</v>
      </c>
      <c r="E1767">
        <v>-1.4882745746693866E-2</v>
      </c>
      <c r="F1767">
        <f t="shared" si="60"/>
        <v>-1.5753695513757406E-2</v>
      </c>
      <c r="G1767">
        <f t="shared" si="61"/>
        <v>-2.8141723022388876E-2</v>
      </c>
    </row>
    <row r="1768" spans="1:7" x14ac:dyDescent="0.35">
      <c r="A1768" t="s">
        <v>99</v>
      </c>
      <c r="E1768">
        <v>-3.9276023889929972E-3</v>
      </c>
      <c r="F1768">
        <f t="shared" si="60"/>
        <v>-1.5756753575966811E-2</v>
      </c>
      <c r="G1768">
        <f t="shared" si="61"/>
        <v>-2.8141723022388876E-2</v>
      </c>
    </row>
    <row r="1769" spans="1:7" x14ac:dyDescent="0.35">
      <c r="A1769" t="s">
        <v>100</v>
      </c>
      <c r="B1769" s="3" cm="1">
        <f t="array" ref="B1769">_xlfn.STDEV.S(_xlfn._xlws.FILTER($E$1000:$E$1998, $A$1000:$A$1998="2017-02"))</f>
        <v>5.2098103885626626E-3</v>
      </c>
      <c r="C1769" s="3" cm="1">
        <f t="array" ref="C1769">AVERAGE(_xlfn._xlws.FILTER($E$1000:$E$1998, $A$1000:$A$1998="2017-02"))</f>
        <v>1.3543543084578438E-3</v>
      </c>
      <c r="D1769" s="3" cm="1">
        <f t="array" ref="D1769">_xlfn.PERCENTILE.EXC(_xlfn._xlws.FILTER($E$1498:$E$2489, $A$1498:$A$2489="2017-02"), 0.05)</f>
        <v>-1.0207728808279859E-2</v>
      </c>
      <c r="E1769">
        <v>9.3122396505007816E-3</v>
      </c>
      <c r="F1769">
        <f t="shared" si="60"/>
        <v>-1.5759811638176215E-2</v>
      </c>
      <c r="G1769">
        <f t="shared" si="61"/>
        <v>-2.8141723022388876E-2</v>
      </c>
    </row>
    <row r="1770" spans="1:7" x14ac:dyDescent="0.35">
      <c r="A1770" t="s">
        <v>100</v>
      </c>
      <c r="E1770">
        <v>-4.7954467667771445E-3</v>
      </c>
      <c r="F1770">
        <f t="shared" si="60"/>
        <v>-1.5762869700385623E-2</v>
      </c>
      <c r="G1770">
        <f t="shared" si="61"/>
        <v>-2.8141723022388876E-2</v>
      </c>
    </row>
    <row r="1771" spans="1:7" x14ac:dyDescent="0.35">
      <c r="A1771" t="s">
        <v>100</v>
      </c>
      <c r="E1771">
        <v>3.3380136612127828E-3</v>
      </c>
      <c r="F1771">
        <f t="shared" si="60"/>
        <v>-1.5765927762595028E-2</v>
      </c>
      <c r="G1771">
        <f t="shared" si="61"/>
        <v>-2.8141723022388876E-2</v>
      </c>
    </row>
    <row r="1772" spans="1:7" x14ac:dyDescent="0.35">
      <c r="A1772" t="s">
        <v>100</v>
      </c>
      <c r="E1772">
        <v>-9.773453948250686E-4</v>
      </c>
      <c r="F1772">
        <f t="shared" si="60"/>
        <v>-1.5768985824804432E-2</v>
      </c>
      <c r="G1772">
        <f t="shared" si="61"/>
        <v>-2.8141723022388876E-2</v>
      </c>
    </row>
    <row r="1773" spans="1:7" x14ac:dyDescent="0.35">
      <c r="A1773" t="s">
        <v>100</v>
      </c>
      <c r="E1773">
        <v>8.0561326471720752E-3</v>
      </c>
      <c r="F1773">
        <f t="shared" si="60"/>
        <v>-1.5772043887013837E-2</v>
      </c>
      <c r="G1773">
        <f t="shared" si="61"/>
        <v>-2.8141723022388876E-2</v>
      </c>
    </row>
    <row r="1774" spans="1:7" x14ac:dyDescent="0.35">
      <c r="A1774" t="s">
        <v>100</v>
      </c>
      <c r="E1774">
        <v>3.0898646345120461E-3</v>
      </c>
      <c r="F1774">
        <f t="shared" si="60"/>
        <v>-1.5775101949223241E-2</v>
      </c>
      <c r="G1774">
        <f t="shared" si="61"/>
        <v>-2.8141723022388876E-2</v>
      </c>
    </row>
    <row r="1775" spans="1:7" x14ac:dyDescent="0.35">
      <c r="A1775" t="s">
        <v>100</v>
      </c>
      <c r="E1775">
        <v>7.4730429860017525E-3</v>
      </c>
      <c r="F1775">
        <f t="shared" si="60"/>
        <v>-1.5778160011432649E-2</v>
      </c>
      <c r="G1775">
        <f t="shared" si="61"/>
        <v>-2.8141723022388876E-2</v>
      </c>
    </row>
    <row r="1776" spans="1:7" x14ac:dyDescent="0.35">
      <c r="A1776" t="s">
        <v>100</v>
      </c>
      <c r="E1776">
        <v>4.6787228809852758E-3</v>
      </c>
      <c r="F1776">
        <f t="shared" si="60"/>
        <v>-1.5781218073642054E-2</v>
      </c>
      <c r="G1776">
        <f t="shared" si="61"/>
        <v>-2.8141723022388876E-2</v>
      </c>
    </row>
    <row r="1777" spans="1:7" x14ac:dyDescent="0.35">
      <c r="A1777" t="s">
        <v>100</v>
      </c>
      <c r="E1777">
        <v>7.1547693155150161E-3</v>
      </c>
      <c r="F1777">
        <f t="shared" si="60"/>
        <v>-1.5784276135851458E-2</v>
      </c>
      <c r="G1777">
        <f t="shared" si="61"/>
        <v>-2.8141723022388876E-2</v>
      </c>
    </row>
    <row r="1778" spans="1:7" x14ac:dyDescent="0.35">
      <c r="A1778" t="s">
        <v>100</v>
      </c>
      <c r="E1778">
        <v>-1.2172145466859958E-3</v>
      </c>
      <c r="F1778">
        <f t="shared" si="60"/>
        <v>-1.5787334198060863E-2</v>
      </c>
      <c r="G1778">
        <f t="shared" si="61"/>
        <v>-2.8141723022388876E-2</v>
      </c>
    </row>
    <row r="1779" spans="1:7" x14ac:dyDescent="0.35">
      <c r="A1779" t="s">
        <v>100</v>
      </c>
      <c r="E1779">
        <v>1.2443201507865839E-3</v>
      </c>
      <c r="F1779">
        <f t="shared" si="60"/>
        <v>-1.5790392260270271E-2</v>
      </c>
      <c r="G1779">
        <f t="shared" si="61"/>
        <v>-2.8141723022388876E-2</v>
      </c>
    </row>
    <row r="1780" spans="1:7" x14ac:dyDescent="0.35">
      <c r="A1780" t="s">
        <v>100</v>
      </c>
      <c r="E1780">
        <v>-8.09193028834688E-3</v>
      </c>
      <c r="F1780">
        <f t="shared" si="60"/>
        <v>-1.5793450322479675E-2</v>
      </c>
      <c r="G1780">
        <f t="shared" si="61"/>
        <v>-2.8141723022388876E-2</v>
      </c>
    </row>
    <row r="1781" spans="1:7" x14ac:dyDescent="0.35">
      <c r="A1781" t="s">
        <v>100</v>
      </c>
      <c r="E1781">
        <v>4.3635044101982901E-3</v>
      </c>
      <c r="F1781">
        <f t="shared" si="60"/>
        <v>-1.5793476913974293E-2</v>
      </c>
      <c r="G1781">
        <f t="shared" si="61"/>
        <v>-2.8263983148130552E-2</v>
      </c>
    </row>
    <row r="1782" spans="1:7" x14ac:dyDescent="0.35">
      <c r="A1782" t="s">
        <v>100</v>
      </c>
      <c r="E1782">
        <v>1.4074515291243319E-3</v>
      </c>
      <c r="F1782">
        <f t="shared" si="60"/>
        <v>-1.5793503505468907E-2</v>
      </c>
      <c r="G1782">
        <f t="shared" si="61"/>
        <v>-2.8263983148130552E-2</v>
      </c>
    </row>
    <row r="1783" spans="1:7" x14ac:dyDescent="0.35">
      <c r="A1783" t="s">
        <v>100</v>
      </c>
      <c r="E1783">
        <v>3.206582107762008E-3</v>
      </c>
      <c r="F1783">
        <f t="shared" si="60"/>
        <v>-1.5793530096963524E-2</v>
      </c>
      <c r="G1783">
        <f t="shared" si="61"/>
        <v>-2.8263983148130552E-2</v>
      </c>
    </row>
    <row r="1784" spans="1:7" x14ac:dyDescent="0.35">
      <c r="A1784" t="s">
        <v>100</v>
      </c>
      <c r="E1784">
        <v>1.4693187967502849E-3</v>
      </c>
      <c r="F1784">
        <f t="shared" si="60"/>
        <v>-1.5793556688458141E-2</v>
      </c>
      <c r="G1784">
        <f t="shared" si="61"/>
        <v>-2.8263983148130552E-2</v>
      </c>
    </row>
    <row r="1785" spans="1:7" x14ac:dyDescent="0.35">
      <c r="A1785" t="s">
        <v>100</v>
      </c>
      <c r="E1785">
        <v>2.5944093487089634E-3</v>
      </c>
      <c r="F1785">
        <f t="shared" si="60"/>
        <v>-1.5793583279952755E-2</v>
      </c>
      <c r="G1785">
        <f t="shared" si="61"/>
        <v>-2.8263983148130552E-2</v>
      </c>
    </row>
    <row r="1786" spans="1:7" x14ac:dyDescent="0.35">
      <c r="A1786" t="s">
        <v>100</v>
      </c>
      <c r="E1786">
        <v>-1.0319086625118436E-2</v>
      </c>
      <c r="F1786">
        <f t="shared" si="60"/>
        <v>-1.5793609871447373E-2</v>
      </c>
      <c r="G1786">
        <f t="shared" si="61"/>
        <v>-2.8263983148130552E-2</v>
      </c>
    </row>
    <row r="1787" spans="1:7" x14ac:dyDescent="0.35">
      <c r="A1787" t="s">
        <v>100</v>
      </c>
      <c r="E1787">
        <v>-2.5044739340366537E-3</v>
      </c>
      <c r="F1787">
        <f t="shared" si="60"/>
        <v>-1.579363646294199E-2</v>
      </c>
      <c r="G1787">
        <f t="shared" si="61"/>
        <v>-2.8263983148130552E-2</v>
      </c>
    </row>
    <row r="1788" spans="1:7" x14ac:dyDescent="0.35">
      <c r="A1788" t="s">
        <v>100</v>
      </c>
      <c r="E1788">
        <v>-2.3957883942831402E-3</v>
      </c>
      <c r="F1788">
        <f t="shared" si="60"/>
        <v>-1.5793663054436604E-2</v>
      </c>
      <c r="G1788">
        <f t="shared" si="61"/>
        <v>-2.8263983148130552E-2</v>
      </c>
    </row>
    <row r="1789" spans="1:7" x14ac:dyDescent="0.35">
      <c r="A1789" t="s">
        <v>101</v>
      </c>
      <c r="B1789" s="3" cm="1">
        <f t="array" ref="B1789">_xlfn.STDEV.S(_xlfn._xlws.FILTER($E$1000:$E$1998, $A$1000:$A$1998="2017-03"))</f>
        <v>6.2658735943612615E-3</v>
      </c>
      <c r="C1789" s="3" cm="1">
        <f t="array" ref="C1789">AVERAGE(_xlfn._xlws.FILTER($E$1000:$E$1998, $A$1000:$A$1998="2017-03"))</f>
        <v>4.2683593233997343E-4</v>
      </c>
      <c r="D1789" s="3" cm="1">
        <f t="array" ref="D1789">_xlfn.PERCENTILE.EXC(_xlfn._xlws.FILTER($E$1498:$E$2489, $A$1498:$A$2489="2017-03"), 0.05)</f>
        <v>-7.270691238452056E-3</v>
      </c>
      <c r="E1789">
        <v>1.2545693531909497E-2</v>
      </c>
      <c r="F1789">
        <f t="shared" si="60"/>
        <v>-1.5793689645931221E-2</v>
      </c>
      <c r="G1789">
        <f t="shared" si="61"/>
        <v>-2.8263983148130552E-2</v>
      </c>
    </row>
    <row r="1790" spans="1:7" x14ac:dyDescent="0.35">
      <c r="A1790" t="s">
        <v>101</v>
      </c>
      <c r="E1790">
        <v>1.0378641486086474E-3</v>
      </c>
      <c r="F1790">
        <f t="shared" si="60"/>
        <v>-1.5793716237425835E-2</v>
      </c>
      <c r="G1790">
        <f t="shared" si="61"/>
        <v>-2.8263983148130552E-2</v>
      </c>
    </row>
    <row r="1791" spans="1:7" x14ac:dyDescent="0.35">
      <c r="A1791" t="s">
        <v>101</v>
      </c>
      <c r="E1791">
        <v>-6.9834823079873111E-3</v>
      </c>
      <c r="F1791">
        <f t="shared" si="60"/>
        <v>-1.5793742828920453E-2</v>
      </c>
      <c r="G1791">
        <f t="shared" si="61"/>
        <v>-2.8263983148130552E-2</v>
      </c>
    </row>
    <row r="1792" spans="1:7" x14ac:dyDescent="0.35">
      <c r="A1792" t="s">
        <v>101</v>
      </c>
      <c r="E1792">
        <v>-7.0794726107962398E-3</v>
      </c>
      <c r="F1792">
        <f t="shared" si="60"/>
        <v>-1.579376942041507E-2</v>
      </c>
      <c r="G1792">
        <f t="shared" si="61"/>
        <v>-2.8263983148130552E-2</v>
      </c>
    </row>
    <row r="1793" spans="1:7" x14ac:dyDescent="0.35">
      <c r="A1793" t="s">
        <v>101</v>
      </c>
      <c r="E1793">
        <v>-3.1141524490905818E-3</v>
      </c>
      <c r="F1793">
        <f t="shared" si="60"/>
        <v>-1.5793796011909684E-2</v>
      </c>
      <c r="G1793">
        <f t="shared" si="61"/>
        <v>-2.8263983148130552E-2</v>
      </c>
    </row>
    <row r="1794" spans="1:7" x14ac:dyDescent="0.35">
      <c r="A1794" t="s">
        <v>101</v>
      </c>
      <c r="E1794">
        <v>-1.4306425631603636E-3</v>
      </c>
      <c r="F1794">
        <f t="shared" si="60"/>
        <v>-1.5793822603404301E-2</v>
      </c>
      <c r="G1794">
        <f t="shared" si="61"/>
        <v>-2.8263983148130552E-2</v>
      </c>
    </row>
    <row r="1795" spans="1:7" x14ac:dyDescent="0.35">
      <c r="A1795" t="s">
        <v>101</v>
      </c>
      <c r="E1795">
        <v>-5.3573737461454305E-3</v>
      </c>
      <c r="F1795">
        <f t="shared" si="60"/>
        <v>-1.5793849194898919E-2</v>
      </c>
      <c r="G1795">
        <f t="shared" si="61"/>
        <v>-2.8263983148130552E-2</v>
      </c>
    </row>
    <row r="1796" spans="1:7" x14ac:dyDescent="0.35">
      <c r="A1796" t="s">
        <v>101</v>
      </c>
      <c r="E1796">
        <v>-4.6222799268034812E-3</v>
      </c>
      <c r="F1796">
        <f t="shared" ref="F1796:F1859" si="62">_xlfn.PERCENTILE.EXC(E1796:E5611,0.05)</f>
        <v>-1.5793875786393533E-2</v>
      </c>
      <c r="G1796">
        <f t="shared" ref="G1796:G1859" si="63">AVERAGEIFS(E1796:E5612,E1796:E5612,"&lt;=" &amp; F1796)</f>
        <v>-2.8263983148130552E-2</v>
      </c>
    </row>
    <row r="1797" spans="1:7" x14ac:dyDescent="0.35">
      <c r="A1797" t="s">
        <v>101</v>
      </c>
      <c r="E1797">
        <v>9.6097503728971682E-3</v>
      </c>
      <c r="F1797">
        <f t="shared" si="62"/>
        <v>-1.579390237788815E-2</v>
      </c>
      <c r="G1797">
        <f t="shared" si="63"/>
        <v>-2.8263983148130552E-2</v>
      </c>
    </row>
    <row r="1798" spans="1:7" x14ac:dyDescent="0.35">
      <c r="A1798" t="s">
        <v>101</v>
      </c>
      <c r="E1798">
        <v>-3.4199447733511803E-3</v>
      </c>
      <c r="F1798">
        <f t="shared" si="62"/>
        <v>-1.5793928969382767E-2</v>
      </c>
      <c r="G1798">
        <f t="shared" si="63"/>
        <v>-2.8263983148130552E-2</v>
      </c>
    </row>
    <row r="1799" spans="1:7" x14ac:dyDescent="0.35">
      <c r="A1799" t="s">
        <v>101</v>
      </c>
      <c r="E1799">
        <v>3.5276722254188593E-3</v>
      </c>
      <c r="F1799">
        <f t="shared" si="62"/>
        <v>-1.5793955560877381E-2</v>
      </c>
      <c r="G1799">
        <f t="shared" si="63"/>
        <v>-2.8263983148130552E-2</v>
      </c>
    </row>
    <row r="1800" spans="1:7" x14ac:dyDescent="0.35">
      <c r="A1800" t="s">
        <v>101</v>
      </c>
      <c r="E1800">
        <v>1.0781205323546372E-2</v>
      </c>
      <c r="F1800">
        <f t="shared" si="62"/>
        <v>-1.5793982152371999E-2</v>
      </c>
      <c r="G1800">
        <f t="shared" si="63"/>
        <v>-2.8263983148130552E-2</v>
      </c>
    </row>
    <row r="1801" spans="1:7" x14ac:dyDescent="0.35">
      <c r="A1801" t="s">
        <v>101</v>
      </c>
      <c r="E1801">
        <v>1.7197387603438738E-3</v>
      </c>
      <c r="F1801">
        <f t="shared" si="62"/>
        <v>-1.5794434529922765E-2</v>
      </c>
      <c r="G1801">
        <f t="shared" si="63"/>
        <v>-2.8388683158088138E-2</v>
      </c>
    </row>
    <row r="1802" spans="1:7" x14ac:dyDescent="0.35">
      <c r="A1802" t="s">
        <v>101</v>
      </c>
      <c r="E1802">
        <v>-1.6319258063663218E-3</v>
      </c>
      <c r="F1802">
        <f t="shared" si="62"/>
        <v>-1.5794886907473528E-2</v>
      </c>
      <c r="G1802">
        <f t="shared" si="63"/>
        <v>-2.8388683158088138E-2</v>
      </c>
    </row>
    <row r="1803" spans="1:7" x14ac:dyDescent="0.35">
      <c r="A1803" t="s">
        <v>101</v>
      </c>
      <c r="E1803">
        <v>-3.7576097048703954E-3</v>
      </c>
      <c r="F1803">
        <f t="shared" si="62"/>
        <v>-1.5795339285024294E-2</v>
      </c>
      <c r="G1803">
        <f t="shared" si="63"/>
        <v>-2.8388683158088138E-2</v>
      </c>
    </row>
    <row r="1804" spans="1:7" x14ac:dyDescent="0.35">
      <c r="A1804" t="s">
        <v>101</v>
      </c>
      <c r="E1804">
        <v>-7.31849589536601E-3</v>
      </c>
      <c r="F1804">
        <f t="shared" si="62"/>
        <v>-1.5795791662575061E-2</v>
      </c>
      <c r="G1804">
        <f t="shared" si="63"/>
        <v>-2.8388683158088138E-2</v>
      </c>
    </row>
    <row r="1805" spans="1:7" x14ac:dyDescent="0.35">
      <c r="A1805" t="s">
        <v>101</v>
      </c>
      <c r="E1805">
        <v>7.7600089987790097E-3</v>
      </c>
      <c r="F1805">
        <f t="shared" si="62"/>
        <v>-1.5796244040125824E-2</v>
      </c>
      <c r="G1805">
        <f t="shared" si="63"/>
        <v>-2.8388683158088138E-2</v>
      </c>
    </row>
    <row r="1806" spans="1:7" x14ac:dyDescent="0.35">
      <c r="A1806" t="s">
        <v>101</v>
      </c>
      <c r="E1806">
        <v>-4.1805040373145905E-3</v>
      </c>
      <c r="F1806">
        <f t="shared" si="62"/>
        <v>-1.579669641767659E-2</v>
      </c>
      <c r="G1806">
        <f t="shared" si="63"/>
        <v>-2.8388683158088138E-2</v>
      </c>
    </row>
    <row r="1807" spans="1:7" x14ac:dyDescent="0.35">
      <c r="A1807" t="s">
        <v>101</v>
      </c>
      <c r="E1807">
        <v>-6.1127075872352051E-3</v>
      </c>
      <c r="F1807">
        <f t="shared" si="62"/>
        <v>-1.5797148795227357E-2</v>
      </c>
      <c r="G1807">
        <f t="shared" si="63"/>
        <v>-2.8388683158088138E-2</v>
      </c>
    </row>
    <row r="1808" spans="1:7" x14ac:dyDescent="0.35">
      <c r="A1808" t="s">
        <v>101</v>
      </c>
      <c r="E1808">
        <v>3.1301759297522377E-3</v>
      </c>
      <c r="F1808">
        <f t="shared" si="62"/>
        <v>-1.579760117277812E-2</v>
      </c>
      <c r="G1808">
        <f t="shared" si="63"/>
        <v>-2.8388683158088138E-2</v>
      </c>
    </row>
    <row r="1809" spans="1:7" x14ac:dyDescent="0.35">
      <c r="A1809" t="s">
        <v>101</v>
      </c>
      <c r="E1809">
        <v>6.0110223307382167E-3</v>
      </c>
      <c r="F1809">
        <f t="shared" si="62"/>
        <v>-1.5798053550328886E-2</v>
      </c>
      <c r="G1809">
        <f t="shared" si="63"/>
        <v>-2.8388683158088138E-2</v>
      </c>
    </row>
    <row r="1810" spans="1:7" x14ac:dyDescent="0.35">
      <c r="A1810" t="s">
        <v>101</v>
      </c>
      <c r="E1810">
        <v>9.0355602189720243E-3</v>
      </c>
      <c r="F1810">
        <f t="shared" si="62"/>
        <v>-1.5798505927879652E-2</v>
      </c>
      <c r="G1810">
        <f t="shared" si="63"/>
        <v>-2.8388683158088138E-2</v>
      </c>
    </row>
    <row r="1811" spans="1:7" x14ac:dyDescent="0.35">
      <c r="A1811" t="s">
        <v>101</v>
      </c>
      <c r="E1811">
        <v>-3.3287398865940583E-4</v>
      </c>
      <c r="F1811">
        <f t="shared" si="62"/>
        <v>-1.5798958305430415E-2</v>
      </c>
      <c r="G1811">
        <f t="shared" si="63"/>
        <v>-2.8388683158088138E-2</v>
      </c>
    </row>
    <row r="1812" spans="1:7" x14ac:dyDescent="0.35">
      <c r="A1812" t="s">
        <v>102</v>
      </c>
      <c r="B1812" s="3" cm="1">
        <f t="array" ref="B1812">_xlfn.STDEV.S(_xlfn._xlws.FILTER($E$1000:$E$1998, $A$1000:$A$1998="2017-04"))</f>
        <v>5.3462796132821132E-3</v>
      </c>
      <c r="C1812" s="3" cm="1">
        <f t="array" ref="C1812">AVERAGE(_xlfn._xlws.FILTER($E$1000:$E$1998, $A$1000:$A$1998="2017-04"))</f>
        <v>-1.8108228929155284E-4</v>
      </c>
      <c r="D1812" s="3" cm="1">
        <f t="array" ref="D1812">_xlfn.PERCENTILE.INC(_xlfn._xlws.FILTER($E$1498:$E$2489, $A$1498:$A$2489="2017-04"), 0.05)</f>
        <v>-8.2774112560129488E-3</v>
      </c>
      <c r="E1812">
        <v>-7.4139649008137607E-3</v>
      </c>
      <c r="F1812">
        <f t="shared" si="62"/>
        <v>-1.5799410682981182E-2</v>
      </c>
      <c r="G1812">
        <f t="shared" si="63"/>
        <v>-2.8388683158088138E-2</v>
      </c>
    </row>
    <row r="1813" spans="1:7" x14ac:dyDescent="0.35">
      <c r="A1813" t="s">
        <v>102</v>
      </c>
      <c r="E1813">
        <v>1.825626141064616E-3</v>
      </c>
      <c r="F1813">
        <f t="shared" si="62"/>
        <v>-1.5799863060531945E-2</v>
      </c>
      <c r="G1813">
        <f t="shared" si="63"/>
        <v>-2.8388683158088138E-2</v>
      </c>
    </row>
    <row r="1814" spans="1:7" x14ac:dyDescent="0.35">
      <c r="A1814" t="s">
        <v>102</v>
      </c>
      <c r="E1814">
        <v>5.5513835800120991E-3</v>
      </c>
      <c r="F1814">
        <f t="shared" si="62"/>
        <v>-1.5800315438082711E-2</v>
      </c>
      <c r="G1814">
        <f t="shared" si="63"/>
        <v>-2.8388683158088138E-2</v>
      </c>
    </row>
    <row r="1815" spans="1:7" x14ac:dyDescent="0.35">
      <c r="A1815" t="s">
        <v>102</v>
      </c>
      <c r="E1815">
        <v>-3.4522187307319948E-3</v>
      </c>
      <c r="F1815">
        <f t="shared" si="62"/>
        <v>-1.5800767815633478E-2</v>
      </c>
      <c r="G1815">
        <f t="shared" si="63"/>
        <v>-2.8388683158088138E-2</v>
      </c>
    </row>
    <row r="1816" spans="1:7" x14ac:dyDescent="0.35">
      <c r="A1816" t="s">
        <v>102</v>
      </c>
      <c r="E1816">
        <v>3.7013349019218746E-3</v>
      </c>
      <c r="F1816">
        <f t="shared" si="62"/>
        <v>-1.5801220193184241E-2</v>
      </c>
      <c r="G1816">
        <f t="shared" si="63"/>
        <v>-2.8388683158088138E-2</v>
      </c>
    </row>
    <row r="1817" spans="1:7" x14ac:dyDescent="0.35">
      <c r="A1817" t="s">
        <v>102</v>
      </c>
      <c r="E1817">
        <v>2.5886416610207625E-3</v>
      </c>
      <c r="F1817">
        <f t="shared" si="62"/>
        <v>-1.5801672570735007E-2</v>
      </c>
      <c r="G1817">
        <f t="shared" si="63"/>
        <v>-2.8388683158088138E-2</v>
      </c>
    </row>
    <row r="1818" spans="1:7" x14ac:dyDescent="0.35">
      <c r="A1818" t="s">
        <v>102</v>
      </c>
      <c r="E1818">
        <v>6.4480600563354981E-3</v>
      </c>
      <c r="F1818">
        <f t="shared" si="62"/>
        <v>-1.5802124948285774E-2</v>
      </c>
      <c r="G1818">
        <f t="shared" si="63"/>
        <v>-2.8388683158088138E-2</v>
      </c>
    </row>
    <row r="1819" spans="1:7" x14ac:dyDescent="0.35">
      <c r="A1819" t="s">
        <v>102</v>
      </c>
      <c r="E1819">
        <v>-8.4909080030783676E-4</v>
      </c>
      <c r="F1819">
        <f t="shared" si="62"/>
        <v>-1.5802577325836537E-2</v>
      </c>
      <c r="G1819">
        <f t="shared" si="63"/>
        <v>-2.8388683158088138E-2</v>
      </c>
    </row>
    <row r="1820" spans="1:7" x14ac:dyDescent="0.35">
      <c r="A1820" t="s">
        <v>102</v>
      </c>
      <c r="E1820">
        <v>-2.8014317089921164E-3</v>
      </c>
      <c r="F1820">
        <f t="shared" si="62"/>
        <v>-1.5803029703387303E-2</v>
      </c>
      <c r="G1820">
        <f t="shared" si="63"/>
        <v>-2.8388683158088138E-2</v>
      </c>
    </row>
    <row r="1821" spans="1:7" x14ac:dyDescent="0.35">
      <c r="A1821" t="s">
        <v>102</v>
      </c>
      <c r="E1821">
        <v>-1.3170273935475018E-2</v>
      </c>
      <c r="F1821">
        <f t="shared" si="62"/>
        <v>-1.5804675746546329E-2</v>
      </c>
      <c r="G1821">
        <f t="shared" si="63"/>
        <v>-2.8515810970761887E-2</v>
      </c>
    </row>
    <row r="1822" spans="1:7" x14ac:dyDescent="0.35">
      <c r="A1822" t="s">
        <v>102</v>
      </c>
      <c r="E1822">
        <v>-3.3469054560155069E-3</v>
      </c>
      <c r="F1822">
        <f t="shared" si="62"/>
        <v>-1.5806321789705355E-2</v>
      </c>
      <c r="G1822">
        <f t="shared" si="63"/>
        <v>-2.8515810970761887E-2</v>
      </c>
    </row>
    <row r="1823" spans="1:7" x14ac:dyDescent="0.35">
      <c r="A1823" t="s">
        <v>102</v>
      </c>
      <c r="E1823">
        <v>-3.4493643339706557E-5</v>
      </c>
      <c r="F1823">
        <f t="shared" si="62"/>
        <v>-1.5807967832864381E-2</v>
      </c>
      <c r="G1823">
        <f t="shared" si="63"/>
        <v>-2.8515810970761887E-2</v>
      </c>
    </row>
    <row r="1824" spans="1:7" x14ac:dyDescent="0.35">
      <c r="A1824" t="s">
        <v>102</v>
      </c>
      <c r="E1824">
        <v>2.5879224046282141E-3</v>
      </c>
      <c r="F1824">
        <f t="shared" si="62"/>
        <v>-1.5809613876023407E-2</v>
      </c>
      <c r="G1824">
        <f t="shared" si="63"/>
        <v>-2.8515810970761887E-2</v>
      </c>
    </row>
    <row r="1825" spans="1:7" x14ac:dyDescent="0.35">
      <c r="A1825" t="s">
        <v>102</v>
      </c>
      <c r="E1825">
        <v>5.8712697633100377E-3</v>
      </c>
      <c r="F1825">
        <f t="shared" si="62"/>
        <v>-1.5811259919182433E-2</v>
      </c>
      <c r="G1825">
        <f t="shared" si="63"/>
        <v>-2.8515810970761887E-2</v>
      </c>
    </row>
    <row r="1826" spans="1:7" x14ac:dyDescent="0.35">
      <c r="A1826" t="s">
        <v>102</v>
      </c>
      <c r="E1826">
        <v>-3.7857476591050443E-3</v>
      </c>
      <c r="F1826">
        <f t="shared" si="62"/>
        <v>-1.5812905962341459E-2</v>
      </c>
      <c r="G1826">
        <f t="shared" si="63"/>
        <v>-2.8515810970761887E-2</v>
      </c>
    </row>
    <row r="1827" spans="1:7" x14ac:dyDescent="0.35">
      <c r="A1827" t="s">
        <v>102</v>
      </c>
      <c r="E1827">
        <v>7.8765371436827058E-3</v>
      </c>
      <c r="F1827">
        <f t="shared" si="62"/>
        <v>-1.5814552005500485E-2</v>
      </c>
      <c r="G1827">
        <f t="shared" si="63"/>
        <v>-2.8515810970761887E-2</v>
      </c>
    </row>
    <row r="1828" spans="1:7" x14ac:dyDescent="0.35">
      <c r="A1828" t="s">
        <v>102</v>
      </c>
      <c r="E1828">
        <v>-1.7489414986117738E-3</v>
      </c>
      <c r="F1828">
        <f t="shared" si="62"/>
        <v>-1.5816198048659511E-2</v>
      </c>
      <c r="G1828">
        <f t="shared" si="63"/>
        <v>-2.8515810970761887E-2</v>
      </c>
    </row>
    <row r="1829" spans="1:7" x14ac:dyDescent="0.35">
      <c r="A1829" t="s">
        <v>102</v>
      </c>
      <c r="E1829">
        <v>-3.1071885258309988E-3</v>
      </c>
      <c r="F1829">
        <f t="shared" si="62"/>
        <v>-1.5817844091818533E-2</v>
      </c>
      <c r="G1829">
        <f t="shared" si="63"/>
        <v>-2.8515810970761887E-2</v>
      </c>
    </row>
    <row r="1830" spans="1:7" x14ac:dyDescent="0.35">
      <c r="A1830" t="s">
        <v>103</v>
      </c>
      <c r="B1830" s="3" cm="1">
        <f t="array" ref="B1830">_xlfn.STDEV.S(_xlfn._xlws.FILTER($E$1000:$E$1998, $A$1000:$A$1998="2017-05"))</f>
        <v>4.4317207678448156E-3</v>
      </c>
      <c r="C1830" s="3" cm="1">
        <f t="array" ref="C1830">AVERAGE(_xlfn._xlws.FILTER($E$1000:$E$1998, $A$1000:$A$1998="2017-05"))</f>
        <v>3.7762108613516738E-4</v>
      </c>
      <c r="D1830" s="3" cm="1">
        <f t="array" ref="D1830">_xlfn.PERCENTILE.EXC(_xlfn._xlws.FILTER($E$1498:$E$2489, $A$1498:$A$2489="2017-05"), 0.05)</f>
        <v>-6.078933037404039E-3</v>
      </c>
      <c r="E1830">
        <v>3.7571953951633054E-3</v>
      </c>
      <c r="F1830">
        <f t="shared" si="62"/>
        <v>-1.5819490134977562E-2</v>
      </c>
      <c r="G1830">
        <f t="shared" si="63"/>
        <v>-2.8515810970761887E-2</v>
      </c>
    </row>
    <row r="1831" spans="1:7" x14ac:dyDescent="0.35">
      <c r="A1831" t="s">
        <v>103</v>
      </c>
      <c r="E1831">
        <v>-3.77037142023424E-3</v>
      </c>
      <c r="F1831">
        <f t="shared" si="62"/>
        <v>-1.5821136178136585E-2</v>
      </c>
      <c r="G1831">
        <f t="shared" si="63"/>
        <v>-2.8515810970761887E-2</v>
      </c>
    </row>
    <row r="1832" spans="1:7" x14ac:dyDescent="0.35">
      <c r="A1832" t="s">
        <v>103</v>
      </c>
      <c r="E1832">
        <v>-2.7917604328027948E-3</v>
      </c>
      <c r="F1832">
        <f t="shared" si="62"/>
        <v>-1.5822782221295611E-2</v>
      </c>
      <c r="G1832">
        <f t="shared" si="63"/>
        <v>-2.8515810970761887E-2</v>
      </c>
    </row>
    <row r="1833" spans="1:7" x14ac:dyDescent="0.35">
      <c r="A1833" t="s">
        <v>103</v>
      </c>
      <c r="E1833">
        <v>8.1853994139495338E-3</v>
      </c>
      <c r="F1833">
        <f t="shared" si="62"/>
        <v>-1.5824428264454637E-2</v>
      </c>
      <c r="G1833">
        <f t="shared" si="63"/>
        <v>-2.8515810970761887E-2</v>
      </c>
    </row>
    <row r="1834" spans="1:7" x14ac:dyDescent="0.35">
      <c r="A1834" t="s">
        <v>103</v>
      </c>
      <c r="E1834">
        <v>4.1394822289802157E-3</v>
      </c>
      <c r="F1834">
        <f t="shared" si="62"/>
        <v>-1.5826074307613663E-2</v>
      </c>
      <c r="G1834">
        <f t="shared" si="63"/>
        <v>-2.8515810970761887E-2</v>
      </c>
    </row>
    <row r="1835" spans="1:7" x14ac:dyDescent="0.35">
      <c r="A1835" t="s">
        <v>103</v>
      </c>
      <c r="E1835">
        <v>9.641694526811807E-3</v>
      </c>
      <c r="F1835">
        <f t="shared" si="62"/>
        <v>-1.5827720350772689E-2</v>
      </c>
      <c r="G1835">
        <f t="shared" si="63"/>
        <v>-2.8515810970761887E-2</v>
      </c>
    </row>
    <row r="1836" spans="1:7" x14ac:dyDescent="0.35">
      <c r="A1836" t="s">
        <v>103</v>
      </c>
      <c r="E1836">
        <v>8.0302894156546976E-3</v>
      </c>
      <c r="F1836">
        <f t="shared" si="62"/>
        <v>-1.5829366393931715E-2</v>
      </c>
      <c r="G1836">
        <f t="shared" si="63"/>
        <v>-2.8515810970761887E-2</v>
      </c>
    </row>
    <row r="1837" spans="1:7" x14ac:dyDescent="0.35">
      <c r="A1837" t="s">
        <v>103</v>
      </c>
      <c r="E1837">
        <v>-4.7552386367469791E-3</v>
      </c>
      <c r="F1837">
        <f t="shared" si="62"/>
        <v>-1.5831012437090741E-2</v>
      </c>
      <c r="G1837">
        <f t="shared" si="63"/>
        <v>-2.8515810970761887E-2</v>
      </c>
    </row>
    <row r="1838" spans="1:7" x14ac:dyDescent="0.35">
      <c r="A1838" t="s">
        <v>103</v>
      </c>
      <c r="E1838">
        <v>1.5726877356966851E-3</v>
      </c>
      <c r="F1838">
        <f t="shared" si="62"/>
        <v>-1.5832658480249766E-2</v>
      </c>
      <c r="G1838">
        <f t="shared" si="63"/>
        <v>-2.8515810970761887E-2</v>
      </c>
    </row>
    <row r="1839" spans="1:7" x14ac:dyDescent="0.35">
      <c r="A1839" t="s">
        <v>103</v>
      </c>
      <c r="E1839">
        <v>2.4013588406366821E-4</v>
      </c>
      <c r="F1839">
        <f t="shared" si="62"/>
        <v>-1.5834304523408792E-2</v>
      </c>
      <c r="G1839">
        <f t="shared" si="63"/>
        <v>-2.8515810970761887E-2</v>
      </c>
    </row>
    <row r="1840" spans="1:7" x14ac:dyDescent="0.35">
      <c r="A1840" t="s">
        <v>103</v>
      </c>
      <c r="E1840">
        <v>4.0342273321760844E-4</v>
      </c>
      <c r="F1840">
        <f t="shared" si="62"/>
        <v>-1.5835950566567818E-2</v>
      </c>
      <c r="G1840">
        <f t="shared" si="63"/>
        <v>-2.8515810970761887E-2</v>
      </c>
    </row>
    <row r="1841" spans="1:7" x14ac:dyDescent="0.35">
      <c r="A1841" t="s">
        <v>103</v>
      </c>
      <c r="E1841">
        <v>-6.1961107874348286E-3</v>
      </c>
      <c r="F1841">
        <f t="shared" si="62"/>
        <v>-1.584779438673739E-2</v>
      </c>
      <c r="G1841">
        <f t="shared" si="63"/>
        <v>-2.8645197301416927E-2</v>
      </c>
    </row>
    <row r="1842" spans="1:7" x14ac:dyDescent="0.35">
      <c r="A1842" t="s">
        <v>103</v>
      </c>
      <c r="E1842">
        <v>-3.7336335720841701E-3</v>
      </c>
      <c r="F1842">
        <f t="shared" si="62"/>
        <v>-1.5859638206906966E-2</v>
      </c>
      <c r="G1842">
        <f t="shared" si="63"/>
        <v>-2.8645197301416927E-2</v>
      </c>
    </row>
    <row r="1843" spans="1:7" x14ac:dyDescent="0.35">
      <c r="A1843" t="s">
        <v>103</v>
      </c>
      <c r="E1843">
        <v>1.0046318983336379E-3</v>
      </c>
      <c r="F1843">
        <f t="shared" si="62"/>
        <v>-1.5871482027076538E-2</v>
      </c>
      <c r="G1843">
        <f t="shared" si="63"/>
        <v>-2.8645197301416927E-2</v>
      </c>
    </row>
    <row r="1844" spans="1:7" x14ac:dyDescent="0.35">
      <c r="A1844" t="s">
        <v>103</v>
      </c>
      <c r="E1844">
        <v>-1.1783173680307124E-3</v>
      </c>
      <c r="F1844">
        <f t="shared" si="62"/>
        <v>-1.588332584724611E-2</v>
      </c>
      <c r="G1844">
        <f t="shared" si="63"/>
        <v>-2.8645197301416927E-2</v>
      </c>
    </row>
    <row r="1845" spans="1:7" x14ac:dyDescent="0.35">
      <c r="A1845" t="s">
        <v>103</v>
      </c>
      <c r="E1845">
        <v>-2.6863094709431417E-4</v>
      </c>
      <c r="F1845">
        <f t="shared" si="62"/>
        <v>-1.5895169667415686E-2</v>
      </c>
      <c r="G1845">
        <f t="shared" si="63"/>
        <v>-2.8645197301416927E-2</v>
      </c>
    </row>
    <row r="1846" spans="1:7" x14ac:dyDescent="0.35">
      <c r="A1846" t="s">
        <v>103</v>
      </c>
      <c r="E1846">
        <v>1.494780728751614E-3</v>
      </c>
      <c r="F1846">
        <f t="shared" si="62"/>
        <v>-1.5907013487585261E-2</v>
      </c>
      <c r="G1846">
        <f t="shared" si="63"/>
        <v>-2.8645197301416927E-2</v>
      </c>
    </row>
    <row r="1847" spans="1:7" x14ac:dyDescent="0.35">
      <c r="A1847" t="s">
        <v>103</v>
      </c>
      <c r="E1847">
        <v>-1.1125481584153324E-3</v>
      </c>
      <c r="F1847">
        <f t="shared" si="62"/>
        <v>-1.5918857307754834E-2</v>
      </c>
      <c r="G1847">
        <f t="shared" si="63"/>
        <v>-2.8645197301416927E-2</v>
      </c>
    </row>
    <row r="1848" spans="1:7" x14ac:dyDescent="0.35">
      <c r="A1848" t="s">
        <v>103</v>
      </c>
      <c r="E1848">
        <v>-5.0243332871269305E-3</v>
      </c>
      <c r="F1848">
        <f t="shared" si="62"/>
        <v>-1.5930701127924406E-2</v>
      </c>
      <c r="G1848">
        <f t="shared" si="63"/>
        <v>-2.8645197301416927E-2</v>
      </c>
    </row>
    <row r="1849" spans="1:7" x14ac:dyDescent="0.35">
      <c r="A1849" t="s">
        <v>103</v>
      </c>
      <c r="E1849">
        <v>1.1209568059433004E-3</v>
      </c>
      <c r="F1849">
        <f t="shared" si="62"/>
        <v>-1.5942544948093981E-2</v>
      </c>
      <c r="G1849">
        <f t="shared" si="63"/>
        <v>-2.8645197301416927E-2</v>
      </c>
    </row>
    <row r="1850" spans="1:7" x14ac:dyDescent="0.35">
      <c r="A1850" t="s">
        <v>103</v>
      </c>
      <c r="E1850">
        <v>-2.829689347757256E-3</v>
      </c>
      <c r="F1850">
        <f t="shared" si="62"/>
        <v>-1.5954388768263557E-2</v>
      </c>
      <c r="G1850">
        <f t="shared" si="63"/>
        <v>-2.8645197301416927E-2</v>
      </c>
    </row>
    <row r="1851" spans="1:7" x14ac:dyDescent="0.35">
      <c r="A1851" t="s">
        <v>104</v>
      </c>
      <c r="B1851" s="3" cm="1">
        <f t="array" ref="B1851">_xlfn.STDEV.S(_xlfn._xlws.FILTER($E$1000:$E$1998, $A$1000:$A$1998="2017-06"))</f>
        <v>5.2512833853292501E-3</v>
      </c>
      <c r="C1851" s="3" cm="1">
        <f t="array" ref="C1851">AVERAGE(_xlfn._xlws.FILTER($E$1000:$E$1998, $A$1000:$A$1998="2017-06"))</f>
        <v>-1.6367908639745507E-3</v>
      </c>
      <c r="D1851" s="3" cm="1">
        <f t="array" ref="D1851">_xlfn.PERCENTILE.EXC(_xlfn._xlws.FILTER($E$1498:$E$2489, $A$1498:$A$2489="2017-06"), 0.05)</f>
        <v>-1.2745057539206692E-2</v>
      </c>
      <c r="E1851">
        <v>5.1802621221785352E-3</v>
      </c>
      <c r="F1851">
        <f t="shared" si="62"/>
        <v>-1.5966232588433129E-2</v>
      </c>
      <c r="G1851">
        <f t="shared" si="63"/>
        <v>-2.8645197301416927E-2</v>
      </c>
    </row>
    <row r="1852" spans="1:7" x14ac:dyDescent="0.35">
      <c r="A1852" t="s">
        <v>104</v>
      </c>
      <c r="E1852">
        <v>-4.9041530232917805E-3</v>
      </c>
      <c r="F1852">
        <f t="shared" si="62"/>
        <v>-1.5978076408602705E-2</v>
      </c>
      <c r="G1852">
        <f t="shared" si="63"/>
        <v>-2.8645197301416927E-2</v>
      </c>
    </row>
    <row r="1853" spans="1:7" x14ac:dyDescent="0.35">
      <c r="A1853" t="s">
        <v>104</v>
      </c>
      <c r="E1853">
        <v>-3.0094406372601296E-3</v>
      </c>
      <c r="F1853">
        <f t="shared" si="62"/>
        <v>-1.5989920228772277E-2</v>
      </c>
      <c r="G1853">
        <f t="shared" si="63"/>
        <v>-2.8645197301416927E-2</v>
      </c>
    </row>
    <row r="1854" spans="1:7" x14ac:dyDescent="0.35">
      <c r="A1854" t="s">
        <v>104</v>
      </c>
      <c r="E1854">
        <v>-2.4002135819916493E-3</v>
      </c>
      <c r="F1854">
        <f t="shared" si="62"/>
        <v>-1.6001764048941849E-2</v>
      </c>
      <c r="G1854">
        <f t="shared" si="63"/>
        <v>-2.8645197301416927E-2</v>
      </c>
    </row>
    <row r="1855" spans="1:7" x14ac:dyDescent="0.35">
      <c r="A1855" t="s">
        <v>104</v>
      </c>
      <c r="E1855">
        <v>1.7295762228938161E-3</v>
      </c>
      <c r="F1855">
        <f t="shared" si="62"/>
        <v>-1.6013607869111428E-2</v>
      </c>
      <c r="G1855">
        <f t="shared" si="63"/>
        <v>-2.8645197301416927E-2</v>
      </c>
    </row>
    <row r="1856" spans="1:7" x14ac:dyDescent="0.35">
      <c r="A1856" t="s">
        <v>104</v>
      </c>
      <c r="E1856">
        <v>-3.8435756904358015E-3</v>
      </c>
      <c r="F1856">
        <f t="shared" si="62"/>
        <v>-1.6025451689281E-2</v>
      </c>
      <c r="G1856">
        <f t="shared" si="63"/>
        <v>-2.8645197301416927E-2</v>
      </c>
    </row>
    <row r="1857" spans="1:7" x14ac:dyDescent="0.35">
      <c r="A1857" t="s">
        <v>104</v>
      </c>
      <c r="E1857">
        <v>-9.1453969374113708E-3</v>
      </c>
      <c r="F1857">
        <f t="shared" si="62"/>
        <v>-1.6037295509450572E-2</v>
      </c>
      <c r="G1857">
        <f t="shared" si="63"/>
        <v>-2.8645197301416927E-2</v>
      </c>
    </row>
    <row r="1858" spans="1:7" x14ac:dyDescent="0.35">
      <c r="A1858" t="s">
        <v>104</v>
      </c>
      <c r="E1858">
        <v>5.5234649506929251E-3</v>
      </c>
      <c r="F1858">
        <f t="shared" si="62"/>
        <v>-1.6049139329620144E-2</v>
      </c>
      <c r="G1858">
        <f t="shared" si="63"/>
        <v>-2.8645197301416927E-2</v>
      </c>
    </row>
    <row r="1859" spans="1:7" x14ac:dyDescent="0.35">
      <c r="A1859" t="s">
        <v>104</v>
      </c>
      <c r="E1859">
        <v>-5.8020928144157241E-3</v>
      </c>
      <c r="F1859">
        <f t="shared" si="62"/>
        <v>-1.606098314978972E-2</v>
      </c>
      <c r="G1859">
        <f t="shared" si="63"/>
        <v>-2.8645197301416927E-2</v>
      </c>
    </row>
    <row r="1860" spans="1:7" x14ac:dyDescent="0.35">
      <c r="A1860" t="s">
        <v>104</v>
      </c>
      <c r="E1860">
        <v>8.6338450863146846E-4</v>
      </c>
      <c r="F1860">
        <f t="shared" ref="F1860:F1923" si="64">_xlfn.PERCENTILE.EXC(E1860:E5675,0.05)</f>
        <v>-1.6072826969959295E-2</v>
      </c>
      <c r="G1860">
        <f t="shared" ref="G1860:G1923" si="65">AVERAGEIFS(E1860:E5676,E1860:E5676,"&lt;=" &amp; F1860)</f>
        <v>-2.8645197301416927E-2</v>
      </c>
    </row>
    <row r="1861" spans="1:7" x14ac:dyDescent="0.35">
      <c r="A1861" t="s">
        <v>104</v>
      </c>
      <c r="E1861">
        <v>4.3800719534271317E-3</v>
      </c>
      <c r="F1861">
        <f t="shared" si="64"/>
        <v>-1.6073302091690243E-2</v>
      </c>
      <c r="G1861">
        <f t="shared" si="65"/>
        <v>-2.8774809366689691E-2</v>
      </c>
    </row>
    <row r="1862" spans="1:7" x14ac:dyDescent="0.35">
      <c r="A1862" t="s">
        <v>104</v>
      </c>
      <c r="E1862">
        <v>7.5155957435898832E-3</v>
      </c>
      <c r="F1862">
        <f t="shared" si="64"/>
        <v>-1.6073777213421195E-2</v>
      </c>
      <c r="G1862">
        <f t="shared" si="65"/>
        <v>-2.8774809366689691E-2</v>
      </c>
    </row>
    <row r="1863" spans="1:7" x14ac:dyDescent="0.35">
      <c r="A1863" t="s">
        <v>104</v>
      </c>
      <c r="E1863">
        <v>-1.3145019828295062E-2</v>
      </c>
      <c r="F1863">
        <f t="shared" si="64"/>
        <v>-1.6074252335152143E-2</v>
      </c>
      <c r="G1863">
        <f t="shared" si="65"/>
        <v>-2.8774809366689691E-2</v>
      </c>
    </row>
    <row r="1864" spans="1:7" x14ac:dyDescent="0.35">
      <c r="A1864" t="s">
        <v>104</v>
      </c>
      <c r="E1864">
        <v>-2.6264994415663395E-3</v>
      </c>
      <c r="F1864">
        <f t="shared" si="64"/>
        <v>-1.6074727456883091E-2</v>
      </c>
      <c r="G1864">
        <f t="shared" si="65"/>
        <v>-2.8774809366689691E-2</v>
      </c>
    </row>
    <row r="1865" spans="1:7" x14ac:dyDescent="0.35">
      <c r="A1865" t="s">
        <v>104</v>
      </c>
      <c r="E1865">
        <v>-1.3172340155661983E-3</v>
      </c>
      <c r="F1865">
        <f t="shared" si="64"/>
        <v>-1.6075202578614042E-2</v>
      </c>
      <c r="G1865">
        <f t="shared" si="65"/>
        <v>-2.8774809366689691E-2</v>
      </c>
    </row>
    <row r="1866" spans="1:7" x14ac:dyDescent="0.35">
      <c r="A1866" t="s">
        <v>104</v>
      </c>
      <c r="E1866">
        <v>-1.7688296244643725E-3</v>
      </c>
      <c r="F1866">
        <f t="shared" si="64"/>
        <v>-1.607567770034499E-2</v>
      </c>
      <c r="G1866">
        <f t="shared" si="65"/>
        <v>-2.8774809366689691E-2</v>
      </c>
    </row>
    <row r="1867" spans="1:7" x14ac:dyDescent="0.35">
      <c r="A1867" t="s">
        <v>104</v>
      </c>
      <c r="E1867">
        <v>4.3247124276983113E-3</v>
      </c>
      <c r="F1867">
        <f t="shared" si="64"/>
        <v>-1.6076152822075938E-2</v>
      </c>
      <c r="G1867">
        <f t="shared" si="65"/>
        <v>-2.8774809366689691E-2</v>
      </c>
    </row>
    <row r="1868" spans="1:7" x14ac:dyDescent="0.35">
      <c r="A1868" t="s">
        <v>104</v>
      </c>
      <c r="E1868">
        <v>-8.067695107132667E-3</v>
      </c>
      <c r="F1868">
        <f t="shared" si="64"/>
        <v>-1.6076627943806886E-2</v>
      </c>
      <c r="G1868">
        <f t="shared" si="65"/>
        <v>-2.8774809366689691E-2</v>
      </c>
    </row>
    <row r="1869" spans="1:7" x14ac:dyDescent="0.35">
      <c r="A1869" t="s">
        <v>104</v>
      </c>
      <c r="E1869">
        <v>-5.1046429796672537E-4</v>
      </c>
      <c r="F1869">
        <f t="shared" si="64"/>
        <v>-1.6077103065537838E-2</v>
      </c>
      <c r="G1869">
        <f t="shared" si="65"/>
        <v>-2.8774809366689691E-2</v>
      </c>
    </row>
    <row r="1870" spans="1:7" x14ac:dyDescent="0.35">
      <c r="A1870" t="s">
        <v>104</v>
      </c>
      <c r="E1870">
        <v>-5.1706368226716948E-3</v>
      </c>
      <c r="F1870">
        <f t="shared" si="64"/>
        <v>-1.6077578187268786E-2</v>
      </c>
      <c r="G1870">
        <f t="shared" si="65"/>
        <v>-2.8774809366689691E-2</v>
      </c>
    </row>
    <row r="1871" spans="1:7" x14ac:dyDescent="0.35">
      <c r="A1871" t="s">
        <v>104</v>
      </c>
      <c r="E1871">
        <v>-2.1784242501081217E-3</v>
      </c>
      <c r="F1871">
        <f t="shared" si="64"/>
        <v>-1.6078053308999734E-2</v>
      </c>
      <c r="G1871">
        <f t="shared" si="65"/>
        <v>-2.8774809366689691E-2</v>
      </c>
    </row>
    <row r="1872" spans="1:7" x14ac:dyDescent="0.35">
      <c r="A1872" t="s">
        <v>105</v>
      </c>
      <c r="B1872" s="3" cm="1">
        <f t="array" ref="B1872">_xlfn.STDEV.S(_xlfn._xlws.FILTER($E$1000:$E$1998, $A$1000:$A$1998="2017-07"))</f>
        <v>7.7147267173372719E-3</v>
      </c>
      <c r="C1872" s="3" cm="1">
        <f t="array" ref="C1872">AVERAGE(_xlfn._xlws.FILTER($E$1000:$E$1998, $A$1000:$A$1998="2017-07"))</f>
        <v>-5.8619462939695931E-4</v>
      </c>
      <c r="D1872" s="3" cm="1">
        <f t="array" ref="D1872">_xlfn.PERCENTILE.EXC(_xlfn._xlws.FILTER($E$1498:$E$2489, $A$1498:$A$2489="2017-07"), 0.05)</f>
        <v>-1.2440128468316424E-2</v>
      </c>
      <c r="E1872">
        <v>9.75434690817727E-3</v>
      </c>
      <c r="F1872">
        <f t="shared" si="64"/>
        <v>-1.6078528430730685E-2</v>
      </c>
      <c r="G1872">
        <f t="shared" si="65"/>
        <v>-2.8774809366689691E-2</v>
      </c>
    </row>
    <row r="1873" spans="1:7" x14ac:dyDescent="0.35">
      <c r="A1873" t="s">
        <v>105</v>
      </c>
      <c r="E1873">
        <v>-4.4853351071953108E-3</v>
      </c>
      <c r="F1873">
        <f t="shared" si="64"/>
        <v>-1.6079003552461633E-2</v>
      </c>
      <c r="G1873">
        <f t="shared" si="65"/>
        <v>-2.8774809366689691E-2</v>
      </c>
    </row>
    <row r="1874" spans="1:7" x14ac:dyDescent="0.35">
      <c r="A1874" t="s">
        <v>105</v>
      </c>
      <c r="E1874">
        <v>2.1675722364415534E-3</v>
      </c>
      <c r="F1874">
        <f t="shared" si="64"/>
        <v>-1.6079478674192581E-2</v>
      </c>
      <c r="G1874">
        <f t="shared" si="65"/>
        <v>-2.8774809366689691E-2</v>
      </c>
    </row>
    <row r="1875" spans="1:7" x14ac:dyDescent="0.35">
      <c r="A1875" t="s">
        <v>105</v>
      </c>
      <c r="E1875">
        <v>-7.699484874537272E-3</v>
      </c>
      <c r="F1875">
        <f t="shared" si="64"/>
        <v>-1.6079953795923529E-2</v>
      </c>
      <c r="G1875">
        <f t="shared" si="65"/>
        <v>-2.8774809366689691E-2</v>
      </c>
    </row>
    <row r="1876" spans="1:7" x14ac:dyDescent="0.35">
      <c r="A1876" t="s">
        <v>105</v>
      </c>
      <c r="E1876">
        <v>-3.4342298181434519E-3</v>
      </c>
      <c r="F1876">
        <f t="shared" si="64"/>
        <v>-1.6080428917654481E-2</v>
      </c>
      <c r="G1876">
        <f t="shared" si="65"/>
        <v>-2.8774809366689691E-2</v>
      </c>
    </row>
    <row r="1877" spans="1:7" x14ac:dyDescent="0.35">
      <c r="A1877" t="s">
        <v>105</v>
      </c>
      <c r="E1877">
        <v>2.9501260349671108E-3</v>
      </c>
      <c r="F1877">
        <f t="shared" si="64"/>
        <v>-1.6080904039385429E-2</v>
      </c>
      <c r="G1877">
        <f t="shared" si="65"/>
        <v>-2.8774809366689691E-2</v>
      </c>
    </row>
    <row r="1878" spans="1:7" x14ac:dyDescent="0.35">
      <c r="A1878" t="s">
        <v>105</v>
      </c>
      <c r="E1878">
        <v>-1.1587014214870317E-2</v>
      </c>
      <c r="F1878">
        <f t="shared" si="64"/>
        <v>-1.6081379161116377E-2</v>
      </c>
      <c r="G1878">
        <f t="shared" si="65"/>
        <v>-2.8774809366689691E-2</v>
      </c>
    </row>
    <row r="1879" spans="1:7" x14ac:dyDescent="0.35">
      <c r="A1879" t="s">
        <v>105</v>
      </c>
      <c r="E1879">
        <v>1.7368473424873025E-2</v>
      </c>
      <c r="F1879">
        <f t="shared" si="64"/>
        <v>-1.6081854282847328E-2</v>
      </c>
      <c r="G1879">
        <f t="shared" si="65"/>
        <v>-2.8774809366689691E-2</v>
      </c>
    </row>
    <row r="1880" spans="1:7" x14ac:dyDescent="0.35">
      <c r="A1880" t="s">
        <v>105</v>
      </c>
      <c r="E1880">
        <v>4.0184206238872387E-3</v>
      </c>
      <c r="F1880">
        <f t="shared" si="64"/>
        <v>-1.6082329404578277E-2</v>
      </c>
      <c r="G1880">
        <f t="shared" si="65"/>
        <v>-2.8774809366689691E-2</v>
      </c>
    </row>
    <row r="1881" spans="1:7" x14ac:dyDescent="0.35">
      <c r="A1881" t="s">
        <v>105</v>
      </c>
      <c r="E1881">
        <v>1.3846879427326679E-3</v>
      </c>
      <c r="F1881">
        <f t="shared" si="64"/>
        <v>-1.6084516472062479E-2</v>
      </c>
      <c r="G1881">
        <f t="shared" si="65"/>
        <v>-2.8907022699628346E-2</v>
      </c>
    </row>
    <row r="1882" spans="1:7" x14ac:dyDescent="0.35">
      <c r="A1882" t="s">
        <v>105</v>
      </c>
      <c r="E1882">
        <v>8.184363726296001E-4</v>
      </c>
      <c r="F1882">
        <f t="shared" si="64"/>
        <v>-1.6086703539546682E-2</v>
      </c>
      <c r="G1882">
        <f t="shared" si="65"/>
        <v>-2.8907022699628346E-2</v>
      </c>
    </row>
    <row r="1883" spans="1:7" x14ac:dyDescent="0.35">
      <c r="A1883" t="s">
        <v>105</v>
      </c>
      <c r="E1883">
        <v>-1.07675741929166E-2</v>
      </c>
      <c r="F1883">
        <f t="shared" si="64"/>
        <v>-1.6088890607030885E-2</v>
      </c>
      <c r="G1883">
        <f t="shared" si="65"/>
        <v>-2.8907022699628346E-2</v>
      </c>
    </row>
    <row r="1884" spans="1:7" x14ac:dyDescent="0.35">
      <c r="A1884" t="s">
        <v>105</v>
      </c>
      <c r="E1884">
        <v>8.1996994744672497E-3</v>
      </c>
      <c r="F1884">
        <f t="shared" si="64"/>
        <v>-1.6091077674515088E-2</v>
      </c>
      <c r="G1884">
        <f t="shared" si="65"/>
        <v>-2.8907022699628346E-2</v>
      </c>
    </row>
    <row r="1885" spans="1:7" x14ac:dyDescent="0.35">
      <c r="A1885" t="s">
        <v>105</v>
      </c>
      <c r="E1885">
        <v>-6.6697769149368299E-3</v>
      </c>
      <c r="F1885">
        <f t="shared" si="64"/>
        <v>-1.6093264741999295E-2</v>
      </c>
      <c r="G1885">
        <f t="shared" si="65"/>
        <v>-2.8907022699628346E-2</v>
      </c>
    </row>
    <row r="1886" spans="1:7" x14ac:dyDescent="0.35">
      <c r="A1886" t="s">
        <v>105</v>
      </c>
      <c r="E1886">
        <v>-7.1865423987620301E-3</v>
      </c>
      <c r="F1886">
        <f t="shared" si="64"/>
        <v>-1.6095451809483498E-2</v>
      </c>
      <c r="G1886">
        <f t="shared" si="65"/>
        <v>-2.8907022699628346E-2</v>
      </c>
    </row>
    <row r="1887" spans="1:7" x14ac:dyDescent="0.35">
      <c r="A1887" t="s">
        <v>105</v>
      </c>
      <c r="E1887">
        <v>-4.1208417150329097E-3</v>
      </c>
      <c r="F1887">
        <f t="shared" si="64"/>
        <v>-1.6097638876967701E-2</v>
      </c>
      <c r="G1887">
        <f t="shared" si="65"/>
        <v>-2.8907022699628346E-2</v>
      </c>
    </row>
    <row r="1888" spans="1:7" x14ac:dyDescent="0.35">
      <c r="A1888" t="s">
        <v>105</v>
      </c>
      <c r="E1888">
        <v>7.341125197451644E-3</v>
      </c>
      <c r="F1888">
        <f t="shared" si="64"/>
        <v>-1.6099825944451904E-2</v>
      </c>
      <c r="G1888">
        <f t="shared" si="65"/>
        <v>-2.8907022699628346E-2</v>
      </c>
    </row>
    <row r="1889" spans="1:7" x14ac:dyDescent="0.35">
      <c r="A1889" t="s">
        <v>105</v>
      </c>
      <c r="E1889">
        <v>5.2747536583823314E-3</v>
      </c>
      <c r="F1889">
        <f t="shared" si="64"/>
        <v>-1.6102013011936107E-2</v>
      </c>
      <c r="G1889">
        <f t="shared" si="65"/>
        <v>-2.8907022699628346E-2</v>
      </c>
    </row>
    <row r="1890" spans="1:7" x14ac:dyDescent="0.35">
      <c r="A1890" t="s">
        <v>105</v>
      </c>
      <c r="E1890">
        <v>-2.8189805612971589E-3</v>
      </c>
      <c r="F1890">
        <f t="shared" si="64"/>
        <v>-1.610420007942031E-2</v>
      </c>
      <c r="G1890">
        <f t="shared" si="65"/>
        <v>-2.8907022699628346E-2</v>
      </c>
    </row>
    <row r="1891" spans="1:7" x14ac:dyDescent="0.35">
      <c r="A1891" t="s">
        <v>105</v>
      </c>
      <c r="E1891">
        <v>-1.2534918940921546E-2</v>
      </c>
      <c r="F1891">
        <f t="shared" si="64"/>
        <v>-1.6106387146904516E-2</v>
      </c>
      <c r="G1891">
        <f t="shared" si="65"/>
        <v>-2.8907022699628346E-2</v>
      </c>
    </row>
    <row r="1892" spans="1:7" x14ac:dyDescent="0.35">
      <c r="A1892" t="s">
        <v>105</v>
      </c>
      <c r="E1892">
        <v>-2.8303035273240945E-4</v>
      </c>
      <c r="F1892">
        <f t="shared" si="64"/>
        <v>-1.6108574214388719E-2</v>
      </c>
      <c r="G1892">
        <f t="shared" si="65"/>
        <v>-2.8907022699628346E-2</v>
      </c>
    </row>
    <row r="1893" spans="1:7" x14ac:dyDescent="0.35">
      <c r="A1893" t="s">
        <v>106</v>
      </c>
      <c r="B1893" s="3" cm="1">
        <f t="array" ref="B1893">_xlfn.STDEV.S(_xlfn._xlws.FILTER($E$1000:$E$1998, $A$1000:$A$1998="2017-08"))</f>
        <v>8.7222386653233713E-3</v>
      </c>
      <c r="C1893" s="3" cm="1">
        <f t="array" ref="C1893">AVERAGE(_xlfn._xlws.FILTER($E$1000:$E$1998, $A$1000:$A$1998="2017-08"))</f>
        <v>-9.8503830832883331E-4</v>
      </c>
      <c r="D1893" s="3" cm="1">
        <f t="array" ref="D1893">_xlfn.PERCENTILE.EXC(_xlfn._xlws.FILTER($E$1498:$E$2489, $A$1498:$A$2489="2017-08"), 0.05)</f>
        <v>-1.6714841397339343E-2</v>
      </c>
      <c r="E1893">
        <v>9.0064394754539572E-3</v>
      </c>
      <c r="F1893">
        <f t="shared" si="64"/>
        <v>-1.6110761281872922E-2</v>
      </c>
      <c r="G1893">
        <f t="shared" si="65"/>
        <v>-2.8907022699628346E-2</v>
      </c>
    </row>
    <row r="1894" spans="1:7" x14ac:dyDescent="0.35">
      <c r="A1894" t="s">
        <v>106</v>
      </c>
      <c r="E1894">
        <v>-4.8539631949368854E-3</v>
      </c>
      <c r="F1894">
        <f t="shared" si="64"/>
        <v>-1.6112948349357125E-2</v>
      </c>
      <c r="G1894">
        <f t="shared" si="65"/>
        <v>-2.8907022699628346E-2</v>
      </c>
    </row>
    <row r="1895" spans="1:7" x14ac:dyDescent="0.35">
      <c r="A1895" t="s">
        <v>106</v>
      </c>
      <c r="E1895">
        <v>6.14631775172366E-4</v>
      </c>
      <c r="F1895">
        <f t="shared" si="64"/>
        <v>-1.6115135416841328E-2</v>
      </c>
      <c r="G1895">
        <f t="shared" si="65"/>
        <v>-2.8907022699628346E-2</v>
      </c>
    </row>
    <row r="1896" spans="1:7" x14ac:dyDescent="0.35">
      <c r="A1896" t="s">
        <v>106</v>
      </c>
      <c r="E1896">
        <v>6.9470412959729303E-3</v>
      </c>
      <c r="F1896">
        <f t="shared" si="64"/>
        <v>-1.6117322484325531E-2</v>
      </c>
      <c r="G1896">
        <f t="shared" si="65"/>
        <v>-2.8907022699628346E-2</v>
      </c>
    </row>
    <row r="1897" spans="1:7" x14ac:dyDescent="0.35">
      <c r="A1897" t="s">
        <v>106</v>
      </c>
      <c r="E1897">
        <v>-1.0512949547120494E-3</v>
      </c>
      <c r="F1897">
        <f t="shared" si="64"/>
        <v>-1.6119509551809734E-2</v>
      </c>
      <c r="G1897">
        <f t="shared" si="65"/>
        <v>-2.8907022699628346E-2</v>
      </c>
    </row>
    <row r="1898" spans="1:7" x14ac:dyDescent="0.35">
      <c r="A1898" t="s">
        <v>106</v>
      </c>
      <c r="E1898">
        <v>1.3449684864855524E-3</v>
      </c>
      <c r="F1898">
        <f t="shared" si="64"/>
        <v>-1.612169661929394E-2</v>
      </c>
      <c r="G1898">
        <f t="shared" si="65"/>
        <v>-2.8907022699628346E-2</v>
      </c>
    </row>
    <row r="1899" spans="1:7" x14ac:dyDescent="0.35">
      <c r="A1899" t="s">
        <v>106</v>
      </c>
      <c r="E1899">
        <v>-4.4119289579408073E-3</v>
      </c>
      <c r="F1899">
        <f t="shared" si="64"/>
        <v>-1.6123883686778143E-2</v>
      </c>
      <c r="G1899">
        <f t="shared" si="65"/>
        <v>-2.8907022699628346E-2</v>
      </c>
    </row>
    <row r="1900" spans="1:7" x14ac:dyDescent="0.35">
      <c r="A1900" t="s">
        <v>106</v>
      </c>
      <c r="E1900">
        <v>-1.6786176333714903E-2</v>
      </c>
      <c r="F1900">
        <f t="shared" si="64"/>
        <v>-1.6126070754262346E-2</v>
      </c>
      <c r="G1900">
        <f t="shared" si="65"/>
        <v>-2.8907022699628346E-2</v>
      </c>
    </row>
    <row r="1901" spans="1:7" x14ac:dyDescent="0.35">
      <c r="A1901" t="s">
        <v>106</v>
      </c>
      <c r="E1901">
        <v>-1.3463694504326978E-2</v>
      </c>
      <c r="F1901">
        <f t="shared" si="64"/>
        <v>-1.6084516472062479E-2</v>
      </c>
      <c r="G1901">
        <f t="shared" si="65"/>
        <v>-2.9034610556111645E-2</v>
      </c>
    </row>
    <row r="1902" spans="1:7" x14ac:dyDescent="0.35">
      <c r="A1902" t="s">
        <v>106</v>
      </c>
      <c r="E1902">
        <v>5.8243438871840589E-3</v>
      </c>
      <c r="F1902">
        <f t="shared" si="64"/>
        <v>-1.6086703539546682E-2</v>
      </c>
      <c r="G1902">
        <f t="shared" si="65"/>
        <v>-2.9034610556111645E-2</v>
      </c>
    </row>
    <row r="1903" spans="1:7" x14ac:dyDescent="0.35">
      <c r="A1903" t="s">
        <v>106</v>
      </c>
      <c r="E1903">
        <v>7.997062058893771E-3</v>
      </c>
      <c r="F1903">
        <f t="shared" si="64"/>
        <v>-1.6088890607030885E-2</v>
      </c>
      <c r="G1903">
        <f t="shared" si="65"/>
        <v>-2.9034610556111645E-2</v>
      </c>
    </row>
    <row r="1904" spans="1:7" x14ac:dyDescent="0.35">
      <c r="A1904" t="s">
        <v>106</v>
      </c>
      <c r="E1904">
        <v>-7.088883815616065E-3</v>
      </c>
      <c r="F1904">
        <f t="shared" si="64"/>
        <v>-1.6091077674515088E-2</v>
      </c>
      <c r="G1904">
        <f t="shared" si="65"/>
        <v>-2.9034610556111645E-2</v>
      </c>
    </row>
    <row r="1905" spans="1:7" x14ac:dyDescent="0.35">
      <c r="A1905" t="s">
        <v>106</v>
      </c>
      <c r="E1905">
        <v>-1.0376772997009115E-2</v>
      </c>
      <c r="F1905">
        <f t="shared" si="64"/>
        <v>-1.6093264741999295E-2</v>
      </c>
      <c r="G1905">
        <f t="shared" si="65"/>
        <v>-2.9034610556111645E-2</v>
      </c>
    </row>
    <row r="1906" spans="1:7" x14ac:dyDescent="0.35">
      <c r="A1906" t="s">
        <v>106</v>
      </c>
      <c r="E1906">
        <v>-3.6452580764139413E-3</v>
      </c>
      <c r="F1906">
        <f t="shared" si="64"/>
        <v>-1.6095451809483498E-2</v>
      </c>
      <c r="G1906">
        <f t="shared" si="65"/>
        <v>-2.9034610556111645E-2</v>
      </c>
    </row>
    <row r="1907" spans="1:7" x14ac:dyDescent="0.35">
      <c r="A1907" t="s">
        <v>106</v>
      </c>
      <c r="E1907">
        <v>8.3574404425355991E-3</v>
      </c>
      <c r="F1907">
        <f t="shared" si="64"/>
        <v>-1.6097638876967701E-2</v>
      </c>
      <c r="G1907">
        <f t="shared" si="65"/>
        <v>-2.9034610556111645E-2</v>
      </c>
    </row>
    <row r="1908" spans="1:7" x14ac:dyDescent="0.35">
      <c r="A1908" t="s">
        <v>106</v>
      </c>
      <c r="E1908">
        <v>-6.9186659907184362E-3</v>
      </c>
      <c r="F1908">
        <f t="shared" si="64"/>
        <v>-1.6099825944451904E-2</v>
      </c>
      <c r="G1908">
        <f t="shared" si="65"/>
        <v>-2.9034610556111645E-2</v>
      </c>
    </row>
    <row r="1909" spans="1:7" x14ac:dyDescent="0.35">
      <c r="A1909" t="s">
        <v>106</v>
      </c>
      <c r="E1909">
        <v>3.4376176058047211E-3</v>
      </c>
      <c r="F1909">
        <f t="shared" si="64"/>
        <v>-1.6102013011936107E-2</v>
      </c>
      <c r="G1909">
        <f t="shared" si="65"/>
        <v>-2.9034610556111645E-2</v>
      </c>
    </row>
    <row r="1910" spans="1:7" x14ac:dyDescent="0.35">
      <c r="A1910" t="s">
        <v>106</v>
      </c>
      <c r="E1910">
        <v>-9.0908736207836983E-4</v>
      </c>
      <c r="F1910">
        <f t="shared" si="64"/>
        <v>-1.610420007942031E-2</v>
      </c>
      <c r="G1910">
        <f t="shared" si="65"/>
        <v>-2.9034610556111645E-2</v>
      </c>
    </row>
    <row r="1911" spans="1:7" x14ac:dyDescent="0.35">
      <c r="A1911" t="s">
        <v>106</v>
      </c>
      <c r="E1911">
        <v>-1.6072826969959295E-2</v>
      </c>
      <c r="F1911">
        <f t="shared" si="64"/>
        <v>-1.6106387146904516E-2</v>
      </c>
      <c r="G1911">
        <f t="shared" si="65"/>
        <v>-2.9034610556111645E-2</v>
      </c>
    </row>
    <row r="1912" spans="1:7" x14ac:dyDescent="0.35">
      <c r="A1912" t="s">
        <v>106</v>
      </c>
      <c r="E1912">
        <v>1.3614359827856233E-2</v>
      </c>
      <c r="F1912">
        <f t="shared" si="64"/>
        <v>-1.6108574214388719E-2</v>
      </c>
      <c r="G1912">
        <f t="shared" si="65"/>
        <v>-2.9034610556111645E-2</v>
      </c>
    </row>
    <row r="1913" spans="1:7" x14ac:dyDescent="0.35">
      <c r="A1913" t="s">
        <v>106</v>
      </c>
      <c r="E1913">
        <v>7.7488438271621565E-3</v>
      </c>
      <c r="F1913">
        <f t="shared" si="64"/>
        <v>-1.6110761281872922E-2</v>
      </c>
      <c r="G1913">
        <f t="shared" si="65"/>
        <v>-2.9034610556111645E-2</v>
      </c>
    </row>
    <row r="1914" spans="1:7" x14ac:dyDescent="0.35">
      <c r="A1914" t="s">
        <v>107</v>
      </c>
      <c r="B1914" s="3" cm="1">
        <f t="array" ref="B1914">_xlfn.STDEV.S(_xlfn._xlws.FILTER($E$1000:$E$1998, $A$1000:$A$1998="2017-09"))</f>
        <v>3.852733471247061E-3</v>
      </c>
      <c r="C1914" s="3" cm="1">
        <f t="array" ref="C1914">AVERAGE(_xlfn._xlws.FILTER($E$1000:$E$1998, $A$1000:$A$1998="2017-09"))</f>
        <v>1.7566186508550013E-3</v>
      </c>
      <c r="D1914" s="3" cm="1">
        <f t="array" ref="D1914">_xlfn.PERCENTILE.EXC(_xlfn._xlws.FILTER($E$1498:$E$2489, $A$1498:$A$2489="2017-09"), 0.05)</f>
        <v>-8.5105611377479691E-3</v>
      </c>
      <c r="E1914">
        <v>7.8717512376401677E-3</v>
      </c>
      <c r="F1914">
        <f t="shared" si="64"/>
        <v>-1.6112948349357125E-2</v>
      </c>
      <c r="G1914">
        <f t="shared" si="65"/>
        <v>-2.9034610556111645E-2</v>
      </c>
    </row>
    <row r="1915" spans="1:7" x14ac:dyDescent="0.35">
      <c r="A1915" t="s">
        <v>107</v>
      </c>
      <c r="E1915">
        <v>-9.1883597945121315E-3</v>
      </c>
      <c r="F1915">
        <f t="shared" si="64"/>
        <v>-1.6115135416841328E-2</v>
      </c>
      <c r="G1915">
        <f t="shared" si="65"/>
        <v>-2.9034610556111645E-2</v>
      </c>
    </row>
    <row r="1916" spans="1:7" x14ac:dyDescent="0.35">
      <c r="A1916" t="s">
        <v>107</v>
      </c>
      <c r="E1916">
        <v>1.2420810692993559E-3</v>
      </c>
      <c r="F1916">
        <f t="shared" si="64"/>
        <v>-1.6117322484325531E-2</v>
      </c>
      <c r="G1916">
        <f t="shared" si="65"/>
        <v>-2.9034610556111645E-2</v>
      </c>
    </row>
    <row r="1917" spans="1:7" x14ac:dyDescent="0.35">
      <c r="A1917" t="s">
        <v>107</v>
      </c>
      <c r="E1917">
        <v>-2.2641861779162001E-3</v>
      </c>
      <c r="F1917">
        <f t="shared" si="64"/>
        <v>-1.6119509551809734E-2</v>
      </c>
      <c r="G1917">
        <f t="shared" si="65"/>
        <v>-2.9034610556111645E-2</v>
      </c>
    </row>
    <row r="1918" spans="1:7" x14ac:dyDescent="0.35">
      <c r="A1918" t="s">
        <v>107</v>
      </c>
      <c r="E1918">
        <v>2.3860937314660238E-3</v>
      </c>
      <c r="F1918">
        <f t="shared" si="64"/>
        <v>-1.612169661929394E-2</v>
      </c>
      <c r="G1918">
        <f t="shared" si="65"/>
        <v>-2.9034610556111645E-2</v>
      </c>
    </row>
    <row r="1919" spans="1:7" x14ac:dyDescent="0.35">
      <c r="A1919" t="s">
        <v>107</v>
      </c>
      <c r="E1919">
        <v>3.2064527998920942E-3</v>
      </c>
      <c r="F1919">
        <f t="shared" si="64"/>
        <v>-1.6123883686778143E-2</v>
      </c>
      <c r="G1919">
        <f t="shared" si="65"/>
        <v>-2.9034610556111645E-2</v>
      </c>
    </row>
    <row r="1920" spans="1:7" x14ac:dyDescent="0.35">
      <c r="A1920" t="s">
        <v>107</v>
      </c>
      <c r="E1920">
        <v>8.8512020102060902E-3</v>
      </c>
      <c r="F1920">
        <f t="shared" si="64"/>
        <v>-1.6126070754262346E-2</v>
      </c>
      <c r="G1920">
        <f t="shared" si="65"/>
        <v>-2.9034610556111645E-2</v>
      </c>
    </row>
    <row r="1921" spans="1:7" x14ac:dyDescent="0.35">
      <c r="A1921" t="s">
        <v>107</v>
      </c>
      <c r="E1921">
        <v>6.0259846544720537E-3</v>
      </c>
      <c r="F1921">
        <f t="shared" si="64"/>
        <v>-1.612805148207868E-2</v>
      </c>
      <c r="G1921">
        <f t="shared" si="65"/>
        <v>-2.917193544762068E-2</v>
      </c>
    </row>
    <row r="1922" spans="1:7" x14ac:dyDescent="0.35">
      <c r="A1922" t="s">
        <v>107</v>
      </c>
      <c r="E1922">
        <v>-1.4010854896617554E-3</v>
      </c>
      <c r="F1922">
        <f t="shared" si="64"/>
        <v>-1.613003220989501E-2</v>
      </c>
      <c r="G1922">
        <f t="shared" si="65"/>
        <v>-2.917193544762068E-2</v>
      </c>
    </row>
    <row r="1923" spans="1:7" x14ac:dyDescent="0.35">
      <c r="A1923" t="s">
        <v>107</v>
      </c>
      <c r="E1923">
        <v>2.1729355216020822E-3</v>
      </c>
      <c r="F1923">
        <f t="shared" si="64"/>
        <v>-1.6132012937711344E-2</v>
      </c>
      <c r="G1923">
        <f t="shared" si="65"/>
        <v>-2.917193544762068E-2</v>
      </c>
    </row>
    <row r="1924" spans="1:7" x14ac:dyDescent="0.35">
      <c r="A1924" t="s">
        <v>107</v>
      </c>
      <c r="E1924">
        <v>-2.4103732268705045E-3</v>
      </c>
      <c r="F1924">
        <f t="shared" ref="F1924:F1987" si="66">_xlfn.PERCENTILE.EXC(E1924:E5739,0.05)</f>
        <v>-1.6133993665527674E-2</v>
      </c>
      <c r="G1924">
        <f t="shared" ref="G1924:G1987" si="67">AVERAGEIFS(E1924:E5740,E1924:E5740,"&lt;=" &amp; F1924)</f>
        <v>-2.917193544762068E-2</v>
      </c>
    </row>
    <row r="1925" spans="1:7" x14ac:dyDescent="0.35">
      <c r="A1925" t="s">
        <v>107</v>
      </c>
      <c r="E1925">
        <v>-3.5728909971380113E-4</v>
      </c>
      <c r="F1925">
        <f t="shared" si="66"/>
        <v>-1.6135974393344008E-2</v>
      </c>
      <c r="G1925">
        <f t="shared" si="67"/>
        <v>-2.917193544762068E-2</v>
      </c>
    </row>
    <row r="1926" spans="1:7" x14ac:dyDescent="0.35">
      <c r="A1926" t="s">
        <v>107</v>
      </c>
      <c r="E1926">
        <v>4.8974174059502145E-5</v>
      </c>
      <c r="F1926">
        <f t="shared" si="66"/>
        <v>-1.6137955121160341E-2</v>
      </c>
      <c r="G1926">
        <f t="shared" si="67"/>
        <v>-2.917193544762068E-2</v>
      </c>
    </row>
    <row r="1927" spans="1:7" x14ac:dyDescent="0.35">
      <c r="A1927" t="s">
        <v>107</v>
      </c>
      <c r="E1927">
        <v>3.9148576018819816E-3</v>
      </c>
      <c r="F1927">
        <f t="shared" si="66"/>
        <v>-1.6139935848976671E-2</v>
      </c>
      <c r="G1927">
        <f t="shared" si="67"/>
        <v>-2.917193544762068E-2</v>
      </c>
    </row>
    <row r="1928" spans="1:7" x14ac:dyDescent="0.35">
      <c r="A1928" t="s">
        <v>107</v>
      </c>
      <c r="E1928">
        <v>4.2354605275065869E-3</v>
      </c>
      <c r="F1928">
        <f t="shared" si="66"/>
        <v>-1.6141916576793005E-2</v>
      </c>
      <c r="G1928">
        <f t="shared" si="67"/>
        <v>-2.917193544762068E-2</v>
      </c>
    </row>
    <row r="1929" spans="1:7" x14ac:dyDescent="0.35">
      <c r="A1929" t="s">
        <v>107</v>
      </c>
      <c r="E1929">
        <v>2.1620818216157847E-3</v>
      </c>
      <c r="F1929">
        <f t="shared" si="66"/>
        <v>-1.6143897304609339E-2</v>
      </c>
      <c r="G1929">
        <f t="shared" si="67"/>
        <v>-2.917193544762068E-2</v>
      </c>
    </row>
    <row r="1930" spans="1:7" x14ac:dyDescent="0.35">
      <c r="A1930" t="s">
        <v>107</v>
      </c>
      <c r="E1930">
        <v>1.4941843066338173E-3</v>
      </c>
      <c r="F1930">
        <f t="shared" si="66"/>
        <v>-1.6145878032425669E-2</v>
      </c>
      <c r="G1930">
        <f t="shared" si="67"/>
        <v>-2.917193544762068E-2</v>
      </c>
    </row>
    <row r="1931" spans="1:7" x14ac:dyDescent="0.35">
      <c r="A1931" t="s">
        <v>107</v>
      </c>
      <c r="E1931">
        <v>1.5643228608759672E-3</v>
      </c>
      <c r="F1931">
        <f t="shared" si="66"/>
        <v>-1.6147858760242002E-2</v>
      </c>
      <c r="G1931">
        <f t="shared" si="67"/>
        <v>-2.917193544762068E-2</v>
      </c>
    </row>
    <row r="1932" spans="1:7" x14ac:dyDescent="0.35">
      <c r="A1932" t="s">
        <v>107</v>
      </c>
      <c r="E1932">
        <v>4.1924558333389737E-3</v>
      </c>
      <c r="F1932">
        <f t="shared" si="66"/>
        <v>-1.6149839488058336E-2</v>
      </c>
      <c r="G1932">
        <f t="shared" si="67"/>
        <v>-2.917193544762068E-2</v>
      </c>
    </row>
    <row r="1933" spans="1:7" x14ac:dyDescent="0.35">
      <c r="A1933" t="s">
        <v>107</v>
      </c>
      <c r="E1933">
        <v>1.2353016951977501E-3</v>
      </c>
      <c r="F1933">
        <f t="shared" si="66"/>
        <v>-1.6151820215874666E-2</v>
      </c>
      <c r="G1933">
        <f t="shared" si="67"/>
        <v>-2.917193544762068E-2</v>
      </c>
    </row>
    <row r="1934" spans="1:7" x14ac:dyDescent="0.35">
      <c r="A1934" t="s">
        <v>107</v>
      </c>
      <c r="E1934">
        <v>1.9061456109411878E-3</v>
      </c>
      <c r="F1934">
        <f t="shared" si="66"/>
        <v>-1.6153800943691E-2</v>
      </c>
      <c r="G1934">
        <f t="shared" si="67"/>
        <v>-2.917193544762068E-2</v>
      </c>
    </row>
    <row r="1935" spans="1:7" x14ac:dyDescent="0.35">
      <c r="A1935" t="s">
        <v>108</v>
      </c>
      <c r="B1935" s="3" cm="1">
        <f t="array" ref="B1935">_xlfn.STDEV.S(_xlfn._xlws.FILTER($E$1000:$E$1998, $A$1000:$A$1998="2017-10"))</f>
        <v>5.2582989122478552E-3</v>
      </c>
      <c r="C1935" s="3" cm="1">
        <f t="array" ref="C1935">AVERAGE(_xlfn._xlws.FILTER($E$1000:$E$1998, $A$1000:$A$1998="2017-10"))</f>
        <v>7.5653427600521153E-4</v>
      </c>
      <c r="D1935" s="3" cm="1">
        <f t="array" ref="D1935">_xlfn.PERCENTILE.EXC(_xlfn._xlws.FILTER($E$1498:$E$2489, $A$1498:$A$2489="2017-10"), 0.05)</f>
        <v>-8.7738384268229025E-3</v>
      </c>
      <c r="E1935">
        <v>4.8696073401943898E-3</v>
      </c>
      <c r="F1935">
        <f t="shared" si="66"/>
        <v>-1.6155781671507333E-2</v>
      </c>
      <c r="G1935">
        <f t="shared" si="67"/>
        <v>-2.917193544762068E-2</v>
      </c>
    </row>
    <row r="1936" spans="1:7" x14ac:dyDescent="0.35">
      <c r="A1936" t="s">
        <v>108</v>
      </c>
      <c r="E1936">
        <v>2.1543681679841707E-3</v>
      </c>
      <c r="F1936">
        <f t="shared" si="66"/>
        <v>-1.6157762399323664E-2</v>
      </c>
      <c r="G1936">
        <f t="shared" si="67"/>
        <v>-2.917193544762068E-2</v>
      </c>
    </row>
    <row r="1937" spans="1:7" x14ac:dyDescent="0.35">
      <c r="A1937" t="s">
        <v>108</v>
      </c>
      <c r="E1937">
        <v>-5.295709091063793E-4</v>
      </c>
      <c r="F1937">
        <f t="shared" si="66"/>
        <v>-1.6159743127139997E-2</v>
      </c>
      <c r="G1937">
        <f t="shared" si="67"/>
        <v>-2.917193544762068E-2</v>
      </c>
    </row>
    <row r="1938" spans="1:7" x14ac:dyDescent="0.35">
      <c r="A1938" t="s">
        <v>108</v>
      </c>
      <c r="E1938">
        <v>-5.3334041582407728E-3</v>
      </c>
      <c r="F1938">
        <f t="shared" si="66"/>
        <v>-1.6161723854956331E-2</v>
      </c>
      <c r="G1938">
        <f t="shared" si="67"/>
        <v>-2.917193544762068E-2</v>
      </c>
    </row>
    <row r="1939" spans="1:7" x14ac:dyDescent="0.35">
      <c r="A1939" t="s">
        <v>108</v>
      </c>
      <c r="E1939">
        <v>2.6617915309077962E-3</v>
      </c>
      <c r="F1939">
        <f t="shared" si="66"/>
        <v>-1.6163704582772661E-2</v>
      </c>
      <c r="G1939">
        <f t="shared" si="67"/>
        <v>-2.917193544762068E-2</v>
      </c>
    </row>
    <row r="1940" spans="1:7" x14ac:dyDescent="0.35">
      <c r="A1940" t="s">
        <v>108</v>
      </c>
      <c r="E1940">
        <v>4.5551374275593316E-3</v>
      </c>
      <c r="F1940">
        <f t="shared" si="66"/>
        <v>-1.6165685310588995E-2</v>
      </c>
      <c r="G1940">
        <f t="shared" si="67"/>
        <v>-2.917193544762068E-2</v>
      </c>
    </row>
    <row r="1941" spans="1:7" x14ac:dyDescent="0.35">
      <c r="A1941" t="s">
        <v>108</v>
      </c>
      <c r="E1941">
        <v>-4.2373751049071557E-3</v>
      </c>
      <c r="F1941">
        <f t="shared" si="66"/>
        <v>-1.6166164938075763E-2</v>
      </c>
      <c r="G1941">
        <f t="shared" si="67"/>
        <v>-2.9311787599631774E-2</v>
      </c>
    </row>
    <row r="1942" spans="1:7" x14ac:dyDescent="0.35">
      <c r="A1942" t="s">
        <v>108</v>
      </c>
      <c r="E1942">
        <v>6.6231328887274401E-3</v>
      </c>
      <c r="F1942">
        <f t="shared" si="66"/>
        <v>-1.6166644565562528E-2</v>
      </c>
      <c r="G1942">
        <f t="shared" si="67"/>
        <v>-2.9311787599631774E-2</v>
      </c>
    </row>
    <row r="1943" spans="1:7" x14ac:dyDescent="0.35">
      <c r="A1943" t="s">
        <v>108</v>
      </c>
      <c r="E1943">
        <v>1.7622386111092471E-3</v>
      </c>
      <c r="F1943">
        <f t="shared" si="66"/>
        <v>-1.6167124193049297E-2</v>
      </c>
      <c r="G1943">
        <f t="shared" si="67"/>
        <v>-2.9311787599631774E-2</v>
      </c>
    </row>
    <row r="1944" spans="1:7" x14ac:dyDescent="0.35">
      <c r="A1944" t="s">
        <v>108</v>
      </c>
      <c r="E1944">
        <v>-7.4896992100028325E-4</v>
      </c>
      <c r="F1944">
        <f t="shared" si="66"/>
        <v>-1.6167603820536065E-2</v>
      </c>
      <c r="G1944">
        <f t="shared" si="67"/>
        <v>-2.9311787599631774E-2</v>
      </c>
    </row>
    <row r="1945" spans="1:7" x14ac:dyDescent="0.35">
      <c r="A1945" t="s">
        <v>108</v>
      </c>
      <c r="E1945">
        <v>-3.9282530048230088E-3</v>
      </c>
      <c r="F1945">
        <f t="shared" si="66"/>
        <v>-1.6168083448022834E-2</v>
      </c>
      <c r="G1945">
        <f t="shared" si="67"/>
        <v>-2.9311787599631774E-2</v>
      </c>
    </row>
    <row r="1946" spans="1:7" x14ac:dyDescent="0.35">
      <c r="A1946" t="s">
        <v>108</v>
      </c>
      <c r="E1946">
        <v>9.7170001013229142E-4</v>
      </c>
      <c r="F1946">
        <f t="shared" si="66"/>
        <v>-1.6168563075509599E-2</v>
      </c>
      <c r="G1946">
        <f t="shared" si="67"/>
        <v>-2.9311787599631774E-2</v>
      </c>
    </row>
    <row r="1947" spans="1:7" x14ac:dyDescent="0.35">
      <c r="A1947" t="s">
        <v>108</v>
      </c>
      <c r="E1947">
        <v>-8.8973371432869309E-3</v>
      </c>
      <c r="F1947">
        <f t="shared" si="66"/>
        <v>-1.6169042702996368E-2</v>
      </c>
      <c r="G1947">
        <f t="shared" si="67"/>
        <v>-2.9311787599631774E-2</v>
      </c>
    </row>
    <row r="1948" spans="1:7" x14ac:dyDescent="0.35">
      <c r="A1948" t="s">
        <v>108</v>
      </c>
      <c r="E1948">
        <v>6.620514059402372E-3</v>
      </c>
      <c r="F1948">
        <f t="shared" si="66"/>
        <v>-1.6169522330483136E-2</v>
      </c>
      <c r="G1948">
        <f t="shared" si="67"/>
        <v>-2.9311787599631774E-2</v>
      </c>
    </row>
    <row r="1949" spans="1:7" x14ac:dyDescent="0.35">
      <c r="A1949" t="s">
        <v>108</v>
      </c>
      <c r="E1949">
        <v>4.08345656499316E-3</v>
      </c>
      <c r="F1949">
        <f t="shared" si="66"/>
        <v>-1.6170001957969905E-2</v>
      </c>
      <c r="G1949">
        <f t="shared" si="67"/>
        <v>-2.9311787599631774E-2</v>
      </c>
    </row>
    <row r="1950" spans="1:7" x14ac:dyDescent="0.35">
      <c r="A1950" t="s">
        <v>108</v>
      </c>
      <c r="E1950">
        <v>-6.4273628140063682E-3</v>
      </c>
      <c r="F1950">
        <f t="shared" si="66"/>
        <v>-1.617048158545667E-2</v>
      </c>
      <c r="G1950">
        <f t="shared" si="67"/>
        <v>-2.9311787599631774E-2</v>
      </c>
    </row>
    <row r="1951" spans="1:7" x14ac:dyDescent="0.35">
      <c r="A1951" t="s">
        <v>108</v>
      </c>
      <c r="E1951">
        <v>-6.1096090060322322E-3</v>
      </c>
      <c r="F1951">
        <f t="shared" si="66"/>
        <v>-1.6170961212943438E-2</v>
      </c>
      <c r="G1951">
        <f t="shared" si="67"/>
        <v>-2.9311787599631774E-2</v>
      </c>
    </row>
    <row r="1952" spans="1:7" x14ac:dyDescent="0.35">
      <c r="A1952" t="s">
        <v>108</v>
      </c>
      <c r="E1952">
        <v>1.1039238256209529E-2</v>
      </c>
      <c r="F1952">
        <f t="shared" si="66"/>
        <v>-1.6171440840430207E-2</v>
      </c>
      <c r="G1952">
        <f t="shared" si="67"/>
        <v>-2.9311787599631774E-2</v>
      </c>
    </row>
    <row r="1953" spans="1:7" x14ac:dyDescent="0.35">
      <c r="A1953" t="s">
        <v>108</v>
      </c>
      <c r="E1953">
        <v>5.4331811708797631E-3</v>
      </c>
      <c r="F1953">
        <f t="shared" si="66"/>
        <v>-1.6171920467916975E-2</v>
      </c>
      <c r="G1953">
        <f t="shared" si="67"/>
        <v>-2.9311787599631774E-2</v>
      </c>
    </row>
    <row r="1954" spans="1:7" x14ac:dyDescent="0.35">
      <c r="A1954" t="s">
        <v>108</v>
      </c>
      <c r="E1954">
        <v>5.6820155340787145E-4</v>
      </c>
      <c r="F1954">
        <f t="shared" si="66"/>
        <v>-1.617240009540374E-2</v>
      </c>
      <c r="G1954">
        <f t="shared" si="67"/>
        <v>-2.9311787599631774E-2</v>
      </c>
    </row>
    <row r="1955" spans="1:7" x14ac:dyDescent="0.35">
      <c r="A1955" t="s">
        <v>109</v>
      </c>
      <c r="B1955" s="3" cm="1">
        <f t="array" ref="B1955">_xlfn.STDEV.S(_xlfn._xlws.FILTER($E$1000:$E$1998, $A$1000:$A$1998="2017-11"))</f>
        <v>6.1382951650582893E-3</v>
      </c>
      <c r="C1955" s="3" cm="1">
        <f t="array" ref="C1955">AVERAGE(_xlfn._xlws.FILTER($E$1000:$E$1998, $A$1000:$A$1998="2017-11"))</f>
        <v>-9.2523386066654565E-4</v>
      </c>
      <c r="D1955" s="3" cm="1">
        <f t="array" ref="D1955">_xlfn.PERCENTILE.EXC(_xlfn._xlws.FILTER($E$1498:$E$2489, $A$1498:$A$2489="2017-11"), 0.05)</f>
        <v>-9.1503392372518314E-3</v>
      </c>
      <c r="E1955">
        <v>5.3326383869749848E-3</v>
      </c>
      <c r="F1955">
        <f t="shared" si="66"/>
        <v>-1.6172879722890509E-2</v>
      </c>
      <c r="G1955">
        <f t="shared" si="67"/>
        <v>-2.9311787599631774E-2</v>
      </c>
    </row>
    <row r="1956" spans="1:7" x14ac:dyDescent="0.35">
      <c r="A1956" t="s">
        <v>109</v>
      </c>
      <c r="E1956">
        <v>-9.181133441666935E-3</v>
      </c>
      <c r="F1956">
        <f t="shared" si="66"/>
        <v>-1.6173359350377278E-2</v>
      </c>
      <c r="G1956">
        <f t="shared" si="67"/>
        <v>-2.9311787599631774E-2</v>
      </c>
    </row>
    <row r="1957" spans="1:7" x14ac:dyDescent="0.35">
      <c r="A1957" t="s">
        <v>109</v>
      </c>
      <c r="E1957">
        <v>5.8355224540642542E-3</v>
      </c>
      <c r="F1957">
        <f t="shared" si="66"/>
        <v>-1.6173838977864046E-2</v>
      </c>
      <c r="G1957">
        <f t="shared" si="67"/>
        <v>-2.9311787599631774E-2</v>
      </c>
    </row>
    <row r="1958" spans="1:7" x14ac:dyDescent="0.35">
      <c r="A1958" t="s">
        <v>109</v>
      </c>
      <c r="E1958">
        <v>6.2699182123461105E-3</v>
      </c>
      <c r="F1958">
        <f t="shared" si="66"/>
        <v>-1.6174318605350811E-2</v>
      </c>
      <c r="G1958">
        <f t="shared" si="67"/>
        <v>-2.9311787599631774E-2</v>
      </c>
    </row>
    <row r="1959" spans="1:7" x14ac:dyDescent="0.35">
      <c r="A1959" t="s">
        <v>109</v>
      </c>
      <c r="E1959">
        <v>-3.7946208494434789E-3</v>
      </c>
      <c r="F1959">
        <f t="shared" si="66"/>
        <v>-1.617479823283758E-2</v>
      </c>
      <c r="G1959">
        <f t="shared" si="67"/>
        <v>-2.9311787599631774E-2</v>
      </c>
    </row>
    <row r="1960" spans="1:7" x14ac:dyDescent="0.35">
      <c r="A1960" t="s">
        <v>109</v>
      </c>
      <c r="E1960">
        <v>-2.1674719714076568E-3</v>
      </c>
      <c r="F1960">
        <f t="shared" si="66"/>
        <v>-1.6175277860324348E-2</v>
      </c>
      <c r="G1960">
        <f t="shared" si="67"/>
        <v>-2.9311787599631774E-2</v>
      </c>
    </row>
    <row r="1961" spans="1:7" x14ac:dyDescent="0.35">
      <c r="A1961" t="s">
        <v>109</v>
      </c>
      <c r="E1961">
        <v>-7.3706450319870167E-3</v>
      </c>
      <c r="F1961">
        <f t="shared" si="66"/>
        <v>-1.6177704096950705E-2</v>
      </c>
      <c r="G1961">
        <f t="shared" si="67"/>
        <v>-2.9454575748972072E-2</v>
      </c>
    </row>
    <row r="1962" spans="1:7" x14ac:dyDescent="0.35">
      <c r="A1962" t="s">
        <v>109</v>
      </c>
      <c r="E1962">
        <v>-4.6870305197849061E-3</v>
      </c>
      <c r="F1962">
        <f t="shared" si="66"/>
        <v>-1.6180130333577059E-2</v>
      </c>
      <c r="G1962">
        <f t="shared" si="67"/>
        <v>-2.9454575748972072E-2</v>
      </c>
    </row>
    <row r="1963" spans="1:7" x14ac:dyDescent="0.35">
      <c r="A1963" t="s">
        <v>109</v>
      </c>
      <c r="E1963">
        <v>-8.9758387455662423E-3</v>
      </c>
      <c r="F1963">
        <f t="shared" si="66"/>
        <v>-1.6182556570203416E-2</v>
      </c>
      <c r="G1963">
        <f t="shared" si="67"/>
        <v>-2.9454575748972072E-2</v>
      </c>
    </row>
    <row r="1964" spans="1:7" x14ac:dyDescent="0.35">
      <c r="A1964" t="s">
        <v>109</v>
      </c>
      <c r="E1964">
        <v>-5.2334536834337982E-3</v>
      </c>
      <c r="F1964">
        <f t="shared" si="66"/>
        <v>-1.618498280682977E-2</v>
      </c>
      <c r="G1964">
        <f t="shared" si="67"/>
        <v>-2.9454575748972072E-2</v>
      </c>
    </row>
    <row r="1965" spans="1:7" x14ac:dyDescent="0.35">
      <c r="A1965" t="s">
        <v>109</v>
      </c>
      <c r="E1965">
        <v>-7.1638219305504795E-3</v>
      </c>
      <c r="F1965">
        <f t="shared" si="66"/>
        <v>-1.6187409043456127E-2</v>
      </c>
      <c r="G1965">
        <f t="shared" si="67"/>
        <v>-2.9454575748972072E-2</v>
      </c>
    </row>
    <row r="1966" spans="1:7" x14ac:dyDescent="0.35">
      <c r="A1966" t="s">
        <v>109</v>
      </c>
      <c r="E1966">
        <v>5.200745322160796E-3</v>
      </c>
      <c r="F1966">
        <f t="shared" si="66"/>
        <v>-1.6189835280082485E-2</v>
      </c>
      <c r="G1966">
        <f t="shared" si="67"/>
        <v>-2.9454575748972072E-2</v>
      </c>
    </row>
    <row r="1967" spans="1:7" x14ac:dyDescent="0.35">
      <c r="A1967" t="s">
        <v>109</v>
      </c>
      <c r="E1967">
        <v>-2.171628369996324E-3</v>
      </c>
      <c r="F1967">
        <f t="shared" si="66"/>
        <v>-1.6192261516708838E-2</v>
      </c>
      <c r="G1967">
        <f t="shared" si="67"/>
        <v>-2.9454575748972072E-2</v>
      </c>
    </row>
    <row r="1968" spans="1:7" x14ac:dyDescent="0.35">
      <c r="A1968" t="s">
        <v>109</v>
      </c>
      <c r="E1968">
        <v>7.9022885331542208E-3</v>
      </c>
      <c r="F1968">
        <f t="shared" si="66"/>
        <v>-1.6194687753335196E-2</v>
      </c>
      <c r="G1968">
        <f t="shared" si="67"/>
        <v>-2.9454575748972072E-2</v>
      </c>
    </row>
    <row r="1969" spans="1:7" x14ac:dyDescent="0.35">
      <c r="A1969" t="s">
        <v>109</v>
      </c>
      <c r="E1969">
        <v>3.6749125867746924E-3</v>
      </c>
      <c r="F1969">
        <f t="shared" si="66"/>
        <v>-1.6197113989961549E-2</v>
      </c>
      <c r="G1969">
        <f t="shared" si="67"/>
        <v>-2.9454575748972072E-2</v>
      </c>
    </row>
    <row r="1970" spans="1:7" x14ac:dyDescent="0.35">
      <c r="A1970" t="s">
        <v>109</v>
      </c>
      <c r="E1970">
        <v>3.8692614115508865E-4</v>
      </c>
      <c r="F1970">
        <f t="shared" si="66"/>
        <v>-1.6199540226587907E-2</v>
      </c>
      <c r="G1970">
        <f t="shared" si="67"/>
        <v>-2.9454575748972072E-2</v>
      </c>
    </row>
    <row r="1971" spans="1:7" x14ac:dyDescent="0.35">
      <c r="A1971" t="s">
        <v>109</v>
      </c>
      <c r="E1971">
        <v>-3.6044364807935676E-3</v>
      </c>
      <c r="F1971">
        <f t="shared" si="66"/>
        <v>-1.6201966463214264E-2</v>
      </c>
      <c r="G1971">
        <f t="shared" si="67"/>
        <v>-2.9454575748972072E-2</v>
      </c>
    </row>
    <row r="1972" spans="1:7" x14ac:dyDescent="0.35">
      <c r="A1972" t="s">
        <v>109</v>
      </c>
      <c r="E1972">
        <v>-5.6430106706091979E-3</v>
      </c>
      <c r="F1972">
        <f t="shared" si="66"/>
        <v>-1.6204392699840618E-2</v>
      </c>
      <c r="G1972">
        <f t="shared" si="67"/>
        <v>-2.9454575748972072E-2</v>
      </c>
    </row>
    <row r="1973" spans="1:7" x14ac:dyDescent="0.35">
      <c r="A1973" t="s">
        <v>109</v>
      </c>
      <c r="E1973">
        <v>-1.5228255417051974E-3</v>
      </c>
      <c r="F1973">
        <f t="shared" si="66"/>
        <v>-1.6206818936466975E-2</v>
      </c>
      <c r="G1973">
        <f t="shared" si="67"/>
        <v>-2.9454575748972072E-2</v>
      </c>
    </row>
    <row r="1974" spans="1:7" x14ac:dyDescent="0.35">
      <c r="A1974" t="s">
        <v>109</v>
      </c>
      <c r="E1974">
        <v>1.3107853626768915E-2</v>
      </c>
      <c r="F1974">
        <f t="shared" si="66"/>
        <v>-1.6209245173093328E-2</v>
      </c>
      <c r="G1974">
        <f t="shared" si="67"/>
        <v>-2.9454575748972072E-2</v>
      </c>
    </row>
    <row r="1975" spans="1:7" x14ac:dyDescent="0.35">
      <c r="A1975" t="s">
        <v>109</v>
      </c>
      <c r="E1975">
        <v>-3.1820790049101468E-5</v>
      </c>
      <c r="F1975">
        <f t="shared" si="66"/>
        <v>-1.6211671409719686E-2</v>
      </c>
      <c r="G1975">
        <f t="shared" si="67"/>
        <v>-2.9454575748972072E-2</v>
      </c>
    </row>
    <row r="1976" spans="1:7" x14ac:dyDescent="0.35">
      <c r="A1976" t="s">
        <v>109</v>
      </c>
      <c r="E1976">
        <v>-6.5182121710691673E-3</v>
      </c>
      <c r="F1976">
        <f t="shared" si="66"/>
        <v>-1.6214097646346043E-2</v>
      </c>
      <c r="G1976">
        <f t="shared" si="67"/>
        <v>-2.9454575748972072E-2</v>
      </c>
    </row>
    <row r="1977" spans="1:7" x14ac:dyDescent="0.35">
      <c r="A1977" t="s">
        <v>110</v>
      </c>
      <c r="B1977" s="3" cm="1">
        <f t="array" ref="B1977">_xlfn.STDEV.S(_xlfn._xlws.FILTER($E$1000:$E$1998, $A$1000:$A$1998="2017-12"))</f>
        <v>5.2665150876214416E-3</v>
      </c>
      <c r="C1977" s="3" cm="1">
        <f t="array" ref="C1977">AVERAGE(_xlfn._xlws.FILTER($E$1000:$E$1998, $A$1000:$A$1998="2017-12"))</f>
        <v>2.0138368652236078E-3</v>
      </c>
      <c r="D1977" s="3" cm="1">
        <f t="array" ref="D1977">_xlfn.PERCENTILE.EXC(_xlfn._xlws.FILTER($E$1498:$E$2489, $A$1498:$A$2489="2017-12"), 0.05)</f>
        <v>-4.7662877467239718E-3</v>
      </c>
      <c r="E1977">
        <v>-4.7662877467239718E-3</v>
      </c>
      <c r="F1977">
        <f t="shared" si="66"/>
        <v>-1.6216523882972397E-2</v>
      </c>
      <c r="G1977">
        <f t="shared" si="67"/>
        <v>-2.9454575748972072E-2</v>
      </c>
    </row>
    <row r="1978" spans="1:7" x14ac:dyDescent="0.35">
      <c r="A1978" t="s">
        <v>110</v>
      </c>
      <c r="E1978">
        <v>6.6216742788519998E-3</v>
      </c>
      <c r="F1978">
        <f t="shared" si="66"/>
        <v>-1.6218950119598754E-2</v>
      </c>
      <c r="G1978">
        <f t="shared" si="67"/>
        <v>-2.9454575748972072E-2</v>
      </c>
    </row>
    <row r="1979" spans="1:7" x14ac:dyDescent="0.35">
      <c r="A1979" t="s">
        <v>110</v>
      </c>
      <c r="E1979">
        <v>8.7792584276109823E-5</v>
      </c>
      <c r="F1979">
        <f t="shared" si="66"/>
        <v>-1.6221376356225108E-2</v>
      </c>
      <c r="G1979">
        <f t="shared" si="67"/>
        <v>-2.9454575748972072E-2</v>
      </c>
    </row>
    <row r="1980" spans="1:7" x14ac:dyDescent="0.35">
      <c r="A1980" t="s">
        <v>110</v>
      </c>
      <c r="E1980">
        <v>-5.7568343056589003E-4</v>
      </c>
      <c r="F1980">
        <f t="shared" si="66"/>
        <v>-1.6223802592851465E-2</v>
      </c>
      <c r="G1980">
        <f t="shared" si="67"/>
        <v>-2.9454575748972072E-2</v>
      </c>
    </row>
    <row r="1981" spans="1:7" x14ac:dyDescent="0.35">
      <c r="A1981" t="s">
        <v>110</v>
      </c>
      <c r="E1981">
        <v>-3.2780436417591621E-4</v>
      </c>
      <c r="F1981">
        <f t="shared" si="66"/>
        <v>-1.6229364521550608E-2</v>
      </c>
      <c r="G1981">
        <f t="shared" si="67"/>
        <v>-2.9599968860577794E-2</v>
      </c>
    </row>
    <row r="1982" spans="1:7" x14ac:dyDescent="0.35">
      <c r="A1982" t="s">
        <v>110</v>
      </c>
      <c r="E1982">
        <v>1.1195378029252181E-2</v>
      </c>
      <c r="F1982">
        <f t="shared" si="66"/>
        <v>-1.6234926450249751E-2</v>
      </c>
      <c r="G1982">
        <f t="shared" si="67"/>
        <v>-2.9599968860577794E-2</v>
      </c>
    </row>
    <row r="1983" spans="1:7" x14ac:dyDescent="0.35">
      <c r="A1983" t="s">
        <v>110</v>
      </c>
      <c r="E1983">
        <v>1.5204875593484361E-3</v>
      </c>
      <c r="F1983">
        <f t="shared" si="66"/>
        <v>-1.6240488378948894E-2</v>
      </c>
      <c r="G1983">
        <f t="shared" si="67"/>
        <v>-2.9599968860577794E-2</v>
      </c>
    </row>
    <row r="1984" spans="1:7" x14ac:dyDescent="0.35">
      <c r="A1984" t="s">
        <v>110</v>
      </c>
      <c r="E1984">
        <v>9.3598911982166362E-3</v>
      </c>
      <c r="F1984">
        <f t="shared" si="66"/>
        <v>-1.6246050307648037E-2</v>
      </c>
      <c r="G1984">
        <f t="shared" si="67"/>
        <v>-2.9599968860577794E-2</v>
      </c>
    </row>
    <row r="1985" spans="1:7" x14ac:dyDescent="0.35">
      <c r="A1985" t="s">
        <v>110</v>
      </c>
      <c r="E1985">
        <v>-1.0661285688353319E-3</v>
      </c>
      <c r="F1985">
        <f t="shared" si="66"/>
        <v>-1.625161223634718E-2</v>
      </c>
      <c r="G1985">
        <f t="shared" si="67"/>
        <v>-2.9599968860577794E-2</v>
      </c>
    </row>
    <row r="1986" spans="1:7" x14ac:dyDescent="0.35">
      <c r="A1986" t="s">
        <v>110</v>
      </c>
      <c r="E1986">
        <v>-2.6996984583340902E-3</v>
      </c>
      <c r="F1986">
        <f t="shared" si="66"/>
        <v>-1.6257174165046323E-2</v>
      </c>
      <c r="G1986">
        <f t="shared" si="67"/>
        <v>-2.9599968860577794E-2</v>
      </c>
    </row>
    <row r="1987" spans="1:7" x14ac:dyDescent="0.35">
      <c r="A1987" t="s">
        <v>110</v>
      </c>
      <c r="E1987">
        <v>-5.8744377053174973E-4</v>
      </c>
      <c r="F1987">
        <f t="shared" si="66"/>
        <v>-1.6262736093745466E-2</v>
      </c>
      <c r="G1987">
        <f t="shared" si="67"/>
        <v>-2.9599968860577794E-2</v>
      </c>
    </row>
    <row r="1988" spans="1:7" x14ac:dyDescent="0.35">
      <c r="A1988" t="s">
        <v>110</v>
      </c>
      <c r="E1988">
        <v>9.4484082917784991E-3</v>
      </c>
      <c r="F1988">
        <f t="shared" ref="F1988:F2051" si="68">_xlfn.PERCENTILE.EXC(E1988:E5803,0.05)</f>
        <v>-1.6268298022444609E-2</v>
      </c>
      <c r="G1988">
        <f t="shared" ref="G1988:G2051" si="69">AVERAGEIFS(E1988:E5804,E1988:E5804,"&lt;=" &amp; F1988)</f>
        <v>-2.9599968860577794E-2</v>
      </c>
    </row>
    <row r="1989" spans="1:7" x14ac:dyDescent="0.35">
      <c r="A1989" t="s">
        <v>110</v>
      </c>
      <c r="E1989">
        <v>-4.0075056178715523E-3</v>
      </c>
      <c r="F1989">
        <f t="shared" si="68"/>
        <v>-1.6273859951143752E-2</v>
      </c>
      <c r="G1989">
        <f t="shared" si="69"/>
        <v>-2.9599968860577794E-2</v>
      </c>
    </row>
    <row r="1990" spans="1:7" x14ac:dyDescent="0.35">
      <c r="A1990" t="s">
        <v>110</v>
      </c>
      <c r="E1990">
        <v>-4.686069990507781E-3</v>
      </c>
      <c r="F1990">
        <f t="shared" si="68"/>
        <v>-1.6279421879842895E-2</v>
      </c>
      <c r="G1990">
        <f t="shared" si="69"/>
        <v>-2.9599968860577794E-2</v>
      </c>
    </row>
    <row r="1991" spans="1:7" x14ac:dyDescent="0.35">
      <c r="A1991" t="s">
        <v>110</v>
      </c>
      <c r="E1991">
        <v>9.3018307565713772E-3</v>
      </c>
      <c r="F1991">
        <f t="shared" si="68"/>
        <v>-1.6284983808542038E-2</v>
      </c>
      <c r="G1991">
        <f t="shared" si="69"/>
        <v>-2.9599968860577794E-2</v>
      </c>
    </row>
    <row r="1992" spans="1:7" x14ac:dyDescent="0.35">
      <c r="A1992" t="s">
        <v>110</v>
      </c>
      <c r="E1992">
        <v>5.9723694313351075E-4</v>
      </c>
      <c r="F1992">
        <f t="shared" si="68"/>
        <v>-1.6290545737241181E-2</v>
      </c>
      <c r="G1992">
        <f t="shared" si="69"/>
        <v>-2.9599968860577794E-2</v>
      </c>
    </row>
    <row r="1993" spans="1:7" x14ac:dyDescent="0.35">
      <c r="A1993" t="s">
        <v>110</v>
      </c>
      <c r="E1993">
        <v>1.0051724391094356E-3</v>
      </c>
      <c r="F1993">
        <f t="shared" si="68"/>
        <v>-1.6296107665940324E-2</v>
      </c>
      <c r="G1993">
        <f t="shared" si="69"/>
        <v>-2.9599968860577794E-2</v>
      </c>
    </row>
    <row r="1994" spans="1:7" x14ac:dyDescent="0.35">
      <c r="A1994" t="s">
        <v>110</v>
      </c>
      <c r="E1994">
        <v>-5.1432977599447799E-4</v>
      </c>
      <c r="F1994">
        <f t="shared" si="68"/>
        <v>-1.6301669594639467E-2</v>
      </c>
      <c r="G1994">
        <f t="shared" si="69"/>
        <v>-2.9599968860577794E-2</v>
      </c>
    </row>
    <row r="1995" spans="1:7" x14ac:dyDescent="0.35">
      <c r="A1995" t="s">
        <v>110</v>
      </c>
      <c r="E1995">
        <v>8.3559800822511285E-3</v>
      </c>
      <c r="F1995">
        <f t="shared" si="68"/>
        <v>-1.6307231523338614E-2</v>
      </c>
      <c r="G1995">
        <f t="shared" si="69"/>
        <v>-2.9599968860577794E-2</v>
      </c>
    </row>
    <row r="1996" spans="1:7" x14ac:dyDescent="0.35">
      <c r="A1996" t="s">
        <v>111</v>
      </c>
      <c r="B1996" s="3" cm="1">
        <f t="array" ref="B1996">_xlfn.STDEV.S(_xlfn._xlws.FILTER($E$1000:$E$1998, $A$1000:$A$1998="2018-01"))</f>
        <v>1.8227642919692972E-3</v>
      </c>
      <c r="C1996" s="3" cm="1">
        <f t="array" ref="C1996">AVERAGE(_xlfn._xlws.FILTER($E$1000:$E$1998, $A$1000:$A$1998="2018-01"))</f>
        <v>-5.7303739583021353E-4</v>
      </c>
      <c r="D1996" s="3" cm="1">
        <f t="array" ref="D1996">_xlfn.PERCENTILE.EXC(_xlfn._xlws.FILTER($E$1498:$E$2489, $A$1498:$A$2489="2018-01"), 0.05)</f>
        <v>-8.3468973346353583E-3</v>
      </c>
      <c r="E1996">
        <v>-2.6580896594742727E-3</v>
      </c>
      <c r="F1996">
        <f t="shared" si="68"/>
        <v>-1.6312793452037757E-2</v>
      </c>
      <c r="G1996">
        <f t="shared" si="69"/>
        <v>-2.9599968860577794E-2</v>
      </c>
    </row>
    <row r="1997" spans="1:7" x14ac:dyDescent="0.35">
      <c r="A1997" t="s">
        <v>111</v>
      </c>
      <c r="E1997">
        <v>2.2071683749256459E-4</v>
      </c>
      <c r="F1997">
        <f t="shared" si="68"/>
        <v>-1.63183553807369E-2</v>
      </c>
      <c r="G1997">
        <f t="shared" si="69"/>
        <v>-2.9599968860577794E-2</v>
      </c>
    </row>
    <row r="1998" spans="1:7" x14ac:dyDescent="0.35">
      <c r="A1998" t="s">
        <v>111</v>
      </c>
      <c r="E1998">
        <v>7.182606344910673E-4</v>
      </c>
      <c r="F1998">
        <f t="shared" si="68"/>
        <v>-1.6323917309436043E-2</v>
      </c>
      <c r="G1998">
        <f t="shared" si="69"/>
        <v>-2.9599968860577794E-2</v>
      </c>
    </row>
    <row r="1999" spans="1:7" x14ac:dyDescent="0.35">
      <c r="A1999" t="s">
        <v>111</v>
      </c>
      <c r="E1999">
        <v>7.3251829561700611E-3</v>
      </c>
      <c r="F1999">
        <f t="shared" si="68"/>
        <v>-1.6329479238135186E-2</v>
      </c>
      <c r="G1999">
        <f t="shared" si="69"/>
        <v>-2.9599968860577794E-2</v>
      </c>
    </row>
    <row r="2000" spans="1:7" x14ac:dyDescent="0.35">
      <c r="A2000" t="s">
        <v>111</v>
      </c>
      <c r="E2000">
        <v>1.7814734004811632E-3</v>
      </c>
      <c r="F2000">
        <f t="shared" si="68"/>
        <v>-1.6335041166834329E-2</v>
      </c>
      <c r="G2000">
        <f t="shared" si="69"/>
        <v>-2.9599968860577794E-2</v>
      </c>
    </row>
    <row r="2001" spans="1:7" x14ac:dyDescent="0.35">
      <c r="A2001" t="s">
        <v>111</v>
      </c>
      <c r="E2001">
        <v>6.8810660071148676E-3</v>
      </c>
      <c r="F2001">
        <f t="shared" si="68"/>
        <v>-1.6335187045226202E-2</v>
      </c>
      <c r="G2001">
        <f t="shared" si="69"/>
        <v>-2.9747356946063834E-2</v>
      </c>
    </row>
    <row r="2002" spans="1:7" x14ac:dyDescent="0.35">
      <c r="A2002" t="s">
        <v>111</v>
      </c>
      <c r="E2002">
        <v>-1.7459737911014058E-3</v>
      </c>
      <c r="F2002">
        <f t="shared" si="68"/>
        <v>-1.6335332923618075E-2</v>
      </c>
      <c r="G2002">
        <f t="shared" si="69"/>
        <v>-2.9747356946063834E-2</v>
      </c>
    </row>
    <row r="2003" spans="1:7" x14ac:dyDescent="0.35">
      <c r="A2003" t="s">
        <v>111</v>
      </c>
      <c r="E2003">
        <v>-2.5706794296229286E-3</v>
      </c>
      <c r="F2003">
        <f t="shared" si="68"/>
        <v>-1.6335478802009949E-2</v>
      </c>
      <c r="G2003">
        <f t="shared" si="69"/>
        <v>-2.9747356946063834E-2</v>
      </c>
    </row>
    <row r="2004" spans="1:7" x14ac:dyDescent="0.35">
      <c r="A2004" t="s">
        <v>111</v>
      </c>
      <c r="E2004">
        <v>4.7160675531422664E-3</v>
      </c>
      <c r="F2004">
        <f t="shared" si="68"/>
        <v>-1.6335624680401822E-2</v>
      </c>
      <c r="G2004">
        <f t="shared" si="69"/>
        <v>-2.9747356946063834E-2</v>
      </c>
    </row>
    <row r="2005" spans="1:7" x14ac:dyDescent="0.35">
      <c r="A2005" t="s">
        <v>111</v>
      </c>
      <c r="E2005">
        <v>-3.7126704395883487E-3</v>
      </c>
      <c r="F2005">
        <f t="shared" si="68"/>
        <v>-1.6335770558793695E-2</v>
      </c>
      <c r="G2005">
        <f t="shared" si="69"/>
        <v>-2.9747356946063834E-2</v>
      </c>
    </row>
    <row r="2006" spans="1:7" x14ac:dyDescent="0.35">
      <c r="A2006" t="s">
        <v>111</v>
      </c>
      <c r="E2006">
        <v>-2.2544520515438587E-3</v>
      </c>
      <c r="F2006">
        <f t="shared" si="68"/>
        <v>-1.6335916437185568E-2</v>
      </c>
      <c r="G2006">
        <f t="shared" si="69"/>
        <v>-2.9747356946063834E-2</v>
      </c>
    </row>
    <row r="2007" spans="1:7" x14ac:dyDescent="0.35">
      <c r="A2007" t="s">
        <v>111</v>
      </c>
      <c r="E2007">
        <v>1.054291732323485E-3</v>
      </c>
      <c r="F2007">
        <f t="shared" si="68"/>
        <v>-1.6336062315577441E-2</v>
      </c>
      <c r="G2007">
        <f t="shared" si="69"/>
        <v>-2.9747356946063834E-2</v>
      </c>
    </row>
    <row r="2008" spans="1:7" x14ac:dyDescent="0.35">
      <c r="A2008" t="s">
        <v>111</v>
      </c>
      <c r="E2008">
        <v>6.5408168613816521E-4</v>
      </c>
      <c r="F2008">
        <f t="shared" si="68"/>
        <v>-1.6336208193969314E-2</v>
      </c>
      <c r="G2008">
        <f t="shared" si="69"/>
        <v>-2.9747356946063834E-2</v>
      </c>
    </row>
    <row r="2009" spans="1:7" x14ac:dyDescent="0.35">
      <c r="A2009" t="s">
        <v>111</v>
      </c>
      <c r="E2009">
        <v>2.3132224082753911E-3</v>
      </c>
      <c r="F2009">
        <f t="shared" si="68"/>
        <v>-1.6336354072361187E-2</v>
      </c>
      <c r="G2009">
        <f t="shared" si="69"/>
        <v>-2.9747356946063834E-2</v>
      </c>
    </row>
    <row r="2010" spans="1:7" x14ac:dyDescent="0.35">
      <c r="A2010" t="s">
        <v>111</v>
      </c>
      <c r="E2010">
        <v>4.1594836209013324E-3</v>
      </c>
      <c r="F2010">
        <f t="shared" si="68"/>
        <v>-1.6336499950753057E-2</v>
      </c>
      <c r="G2010">
        <f t="shared" si="69"/>
        <v>-2.9747356946063834E-2</v>
      </c>
    </row>
    <row r="2011" spans="1:7" x14ac:dyDescent="0.35">
      <c r="A2011" t="s">
        <v>111</v>
      </c>
      <c r="E2011">
        <v>6.8953987880244984E-4</v>
      </c>
      <c r="F2011">
        <f t="shared" si="68"/>
        <v>-1.633664582914493E-2</v>
      </c>
      <c r="G2011">
        <f t="shared" si="69"/>
        <v>-2.9747356946063834E-2</v>
      </c>
    </row>
    <row r="2012" spans="1:7" x14ac:dyDescent="0.35">
      <c r="A2012" t="s">
        <v>111</v>
      </c>
      <c r="E2012">
        <v>-5.2447135062580466E-3</v>
      </c>
      <c r="F2012">
        <f t="shared" si="68"/>
        <v>-1.6336791707536803E-2</v>
      </c>
      <c r="G2012">
        <f t="shared" si="69"/>
        <v>-2.9747356946063834E-2</v>
      </c>
    </row>
    <row r="2013" spans="1:7" x14ac:dyDescent="0.35">
      <c r="A2013" t="s">
        <v>111</v>
      </c>
      <c r="E2013">
        <v>-7.365421892010067E-3</v>
      </c>
      <c r="F2013">
        <f t="shared" si="68"/>
        <v>-1.6336937585928676E-2</v>
      </c>
      <c r="G2013">
        <f t="shared" si="69"/>
        <v>-2.9747356946063834E-2</v>
      </c>
    </row>
    <row r="2014" spans="1:7" x14ac:dyDescent="0.35">
      <c r="A2014" t="s">
        <v>111</v>
      </c>
      <c r="E2014">
        <v>6.2569669691862981E-3</v>
      </c>
      <c r="F2014">
        <f t="shared" si="68"/>
        <v>-1.633708346432055E-2</v>
      </c>
      <c r="G2014">
        <f t="shared" si="69"/>
        <v>-2.9747356946063834E-2</v>
      </c>
    </row>
    <row r="2015" spans="1:7" x14ac:dyDescent="0.35">
      <c r="A2015" t="s">
        <v>111</v>
      </c>
      <c r="E2015">
        <v>-2.4515967277486442E-3</v>
      </c>
      <c r="F2015">
        <f t="shared" si="68"/>
        <v>-1.6337229342712423E-2</v>
      </c>
      <c r="G2015">
        <f t="shared" si="69"/>
        <v>-2.9747356946063834E-2</v>
      </c>
    </row>
    <row r="2016" spans="1:7" x14ac:dyDescent="0.35">
      <c r="A2016" t="s">
        <v>111</v>
      </c>
      <c r="E2016">
        <v>-8.5200988833339392E-3</v>
      </c>
      <c r="F2016">
        <f t="shared" si="68"/>
        <v>-1.6337375221104296E-2</v>
      </c>
      <c r="G2016">
        <f t="shared" si="69"/>
        <v>-2.9747356946063834E-2</v>
      </c>
    </row>
    <row r="2017" spans="1:7" x14ac:dyDescent="0.35">
      <c r="A2017" t="s">
        <v>111</v>
      </c>
      <c r="E2017">
        <v>-5.029463342198782E-3</v>
      </c>
      <c r="F2017">
        <f t="shared" si="68"/>
        <v>-1.6337521099496169E-2</v>
      </c>
      <c r="G2017">
        <f t="shared" si="69"/>
        <v>-2.9747356946063834E-2</v>
      </c>
    </row>
    <row r="2018" spans="1:7" x14ac:dyDescent="0.35">
      <c r="A2018" t="s">
        <v>112</v>
      </c>
      <c r="B2018" s="3" cm="1">
        <f t="array" ref="B2018">_xlfn.STDEV.S(_xlfn._xlws.FILTER($E$2013:$E$3011, $A$2013:$A$3011="2018-02"))</f>
        <v>1.2246716554915972E-2</v>
      </c>
      <c r="C2018" s="3" cm="1">
        <f t="array" ref="C2018">AVERAGE(_xlfn._xlws.FILTER($E$2013:$E$3011, $A$2013:$A$3011="2018-02"))</f>
        <v>-2.6332345300261982E-3</v>
      </c>
      <c r="D2018" s="3" cm="1">
        <f t="array" ref="D2018">_xlfn.PERCENTILE.EXC(_xlfn._xlws.FILTER($E$1498:$E$2489, $A$1498:$A$2489="2018-02"), 0.05)</f>
        <v>-2.8604013417490859E-2</v>
      </c>
      <c r="E2018">
        <v>-7.5792108854216373E-3</v>
      </c>
      <c r="F2018">
        <f t="shared" si="68"/>
        <v>-1.6337666977888042E-2</v>
      </c>
      <c r="G2018">
        <f t="shared" si="69"/>
        <v>-2.9747356946063834E-2</v>
      </c>
    </row>
    <row r="2019" spans="1:7" x14ac:dyDescent="0.35">
      <c r="A2019" t="s">
        <v>112</v>
      </c>
      <c r="E2019">
        <v>-1.0771554604267951E-2</v>
      </c>
      <c r="F2019">
        <f t="shared" si="68"/>
        <v>-1.6337812856279915E-2</v>
      </c>
      <c r="G2019">
        <f t="shared" si="69"/>
        <v>-2.9747356946063834E-2</v>
      </c>
    </row>
    <row r="2020" spans="1:7" x14ac:dyDescent="0.35">
      <c r="A2020" t="s">
        <v>112</v>
      </c>
      <c r="E2020">
        <v>-2.0262093783042365E-2</v>
      </c>
      <c r="F2020">
        <f t="shared" si="68"/>
        <v>-1.6337958734671788E-2</v>
      </c>
      <c r="G2020">
        <f t="shared" si="69"/>
        <v>-2.9747356946063834E-2</v>
      </c>
    </row>
    <row r="2021" spans="1:7" x14ac:dyDescent="0.35">
      <c r="A2021" t="s">
        <v>112</v>
      </c>
      <c r="E2021">
        <v>-2.9043061819303939E-2</v>
      </c>
      <c r="F2021">
        <f t="shared" si="68"/>
        <v>-1.6335187045226202E-2</v>
      </c>
      <c r="G2021">
        <f t="shared" si="69"/>
        <v>-2.9853932936659576E-2</v>
      </c>
    </row>
    <row r="2022" spans="1:7" x14ac:dyDescent="0.35">
      <c r="A2022" t="s">
        <v>112</v>
      </c>
      <c r="E2022">
        <v>2.2990907693513196E-2</v>
      </c>
      <c r="F2022">
        <f t="shared" si="68"/>
        <v>-1.6234926450249751E-2</v>
      </c>
      <c r="G2022">
        <f t="shared" si="69"/>
        <v>-2.9711146187755423E-2</v>
      </c>
    </row>
    <row r="2023" spans="1:7" x14ac:dyDescent="0.35">
      <c r="A2023" t="s">
        <v>112</v>
      </c>
      <c r="E2023">
        <v>-1.1473787942584917E-2</v>
      </c>
      <c r="F2023">
        <f t="shared" si="68"/>
        <v>-1.6240488378948894E-2</v>
      </c>
      <c r="G2023">
        <f t="shared" si="69"/>
        <v>-2.9711146187755423E-2</v>
      </c>
    </row>
    <row r="2024" spans="1:7" x14ac:dyDescent="0.35">
      <c r="A2024" t="s">
        <v>112</v>
      </c>
      <c r="E2024">
        <v>-1.6337958734671788E-2</v>
      </c>
      <c r="F2024">
        <f t="shared" si="68"/>
        <v>-1.6246050307648037E-2</v>
      </c>
      <c r="G2024">
        <f t="shared" si="69"/>
        <v>-2.9711146187755423E-2</v>
      </c>
    </row>
    <row r="2025" spans="1:7" x14ac:dyDescent="0.35">
      <c r="A2025" t="s">
        <v>112</v>
      </c>
      <c r="E2025">
        <v>9.1261052817260078E-3</v>
      </c>
      <c r="F2025">
        <f t="shared" si="68"/>
        <v>-1.6187409043456127E-2</v>
      </c>
      <c r="G2025">
        <f t="shared" si="69"/>
        <v>-2.9709863534476539E-2</v>
      </c>
    </row>
    <row r="2026" spans="1:7" x14ac:dyDescent="0.35">
      <c r="A2026" t="s">
        <v>112</v>
      </c>
      <c r="E2026">
        <v>-4.0559508146634123E-3</v>
      </c>
      <c r="F2026">
        <f t="shared" si="68"/>
        <v>-1.6189835280082485E-2</v>
      </c>
      <c r="G2026">
        <f t="shared" si="69"/>
        <v>-2.9709863534476539E-2</v>
      </c>
    </row>
    <row r="2027" spans="1:7" x14ac:dyDescent="0.35">
      <c r="A2027" t="s">
        <v>112</v>
      </c>
      <c r="E2027">
        <v>9.1165901568321835E-3</v>
      </c>
      <c r="F2027">
        <f t="shared" si="68"/>
        <v>-1.6192261516708838E-2</v>
      </c>
      <c r="G2027">
        <f t="shared" si="69"/>
        <v>-2.9709863534476539E-2</v>
      </c>
    </row>
    <row r="2028" spans="1:7" x14ac:dyDescent="0.35">
      <c r="A2028" t="s">
        <v>112</v>
      </c>
      <c r="E2028">
        <v>3.4701113595758592E-3</v>
      </c>
      <c r="F2028">
        <f t="shared" si="68"/>
        <v>-1.6194687753335196E-2</v>
      </c>
      <c r="G2028">
        <f t="shared" si="69"/>
        <v>-2.9709863534476539E-2</v>
      </c>
    </row>
    <row r="2029" spans="1:7" x14ac:dyDescent="0.35">
      <c r="A2029" t="s">
        <v>112</v>
      </c>
      <c r="E2029">
        <v>1.0590221660963029E-2</v>
      </c>
      <c r="F2029">
        <f t="shared" si="68"/>
        <v>-1.6197113989961549E-2</v>
      </c>
      <c r="G2029">
        <f t="shared" si="69"/>
        <v>-2.9709863534476539E-2</v>
      </c>
    </row>
    <row r="2030" spans="1:7" x14ac:dyDescent="0.35">
      <c r="A2030" t="s">
        <v>112</v>
      </c>
      <c r="E2030">
        <v>-6.3546677749837174E-3</v>
      </c>
      <c r="F2030">
        <f t="shared" si="68"/>
        <v>-1.6199540226587907E-2</v>
      </c>
      <c r="G2030">
        <f t="shared" si="69"/>
        <v>-2.9709863534476539E-2</v>
      </c>
    </row>
    <row r="2031" spans="1:7" x14ac:dyDescent="0.35">
      <c r="A2031" t="s">
        <v>112</v>
      </c>
      <c r="E2031">
        <v>4.6661513319557922E-3</v>
      </c>
      <c r="F2031">
        <f t="shared" si="68"/>
        <v>-1.6201966463214264E-2</v>
      </c>
      <c r="G2031">
        <f t="shared" si="69"/>
        <v>-2.9709863534476539E-2</v>
      </c>
    </row>
    <row r="2032" spans="1:7" x14ac:dyDescent="0.35">
      <c r="A2032" t="s">
        <v>112</v>
      </c>
      <c r="E2032">
        <v>3.5945950846899264E-3</v>
      </c>
      <c r="F2032">
        <f t="shared" si="68"/>
        <v>-1.6204392699840618E-2</v>
      </c>
      <c r="G2032">
        <f t="shared" si="69"/>
        <v>-2.9709863534476539E-2</v>
      </c>
    </row>
    <row r="2033" spans="1:7" x14ac:dyDescent="0.35">
      <c r="A2033" t="s">
        <v>112</v>
      </c>
      <c r="E2033">
        <v>-5.2465741667936583E-3</v>
      </c>
      <c r="F2033">
        <f t="shared" si="68"/>
        <v>-1.6206818936466975E-2</v>
      </c>
      <c r="G2033">
        <f t="shared" si="69"/>
        <v>-2.9709863534476539E-2</v>
      </c>
    </row>
    <row r="2034" spans="1:7" x14ac:dyDescent="0.35">
      <c r="A2034" t="s">
        <v>112</v>
      </c>
      <c r="E2034">
        <v>2.9086270613120292E-3</v>
      </c>
      <c r="F2034">
        <f t="shared" si="68"/>
        <v>-1.6209245173093328E-2</v>
      </c>
      <c r="G2034">
        <f t="shared" si="69"/>
        <v>-2.9709863534476539E-2</v>
      </c>
    </row>
    <row r="2035" spans="1:7" x14ac:dyDescent="0.35">
      <c r="A2035" t="s">
        <v>112</v>
      </c>
      <c r="E2035">
        <v>4.9083012485762346E-3</v>
      </c>
      <c r="F2035">
        <f t="shared" si="68"/>
        <v>-1.6211671409719686E-2</v>
      </c>
      <c r="G2035">
        <f t="shared" si="69"/>
        <v>-2.9709863534476539E-2</v>
      </c>
    </row>
    <row r="2036" spans="1:7" x14ac:dyDescent="0.35">
      <c r="A2036" t="s">
        <v>112</v>
      </c>
      <c r="E2036">
        <v>8.9637652665533528E-4</v>
      </c>
      <c r="F2036">
        <f t="shared" si="68"/>
        <v>-1.6214097646346043E-2</v>
      </c>
      <c r="G2036">
        <f t="shared" si="69"/>
        <v>-2.9709863534476539E-2</v>
      </c>
    </row>
    <row r="2037" spans="1:7" x14ac:dyDescent="0.35">
      <c r="A2037" t="s">
        <v>112</v>
      </c>
      <c r="E2037">
        <v>-1.3807817480590179E-2</v>
      </c>
      <c r="F2037">
        <f t="shared" si="68"/>
        <v>-1.6216523882972397E-2</v>
      </c>
      <c r="G2037">
        <f t="shared" si="69"/>
        <v>-2.9709863534476539E-2</v>
      </c>
    </row>
    <row r="2038" spans="1:7" x14ac:dyDescent="0.35">
      <c r="A2038" t="s">
        <v>113</v>
      </c>
      <c r="B2038" s="3" cm="1">
        <f t="array" ref="B2038">_xlfn.STDEV.S(_xlfn._xlws.FILTER($E$2013:$E$3011, $A$2013:$A$3011="2018-03"))</f>
        <v>9.0549497648173861E-3</v>
      </c>
      <c r="C2038" s="3" cm="1">
        <f t="array" ref="C2038">AVERAGE(_xlfn._xlws.FILTER($E$2013:$E$3011, $A$2013:$A$3011="2018-03"))</f>
        <v>-6.9249907263481836E-4</v>
      </c>
      <c r="D2038" s="3" cm="1">
        <f t="array" ref="D2038">_xlfn.PERCENTILE.EXC(_xlfn._xlws.FILTER($E$1498:$E$2489, $A$1498:$A$2489="2018-03"), 0.05)</f>
        <v>-1.9685982351814488E-2</v>
      </c>
      <c r="E2038">
        <v>-1.1690636388757773E-2</v>
      </c>
      <c r="F2038">
        <f t="shared" si="68"/>
        <v>-1.6218950119598754E-2</v>
      </c>
      <c r="G2038">
        <f t="shared" si="69"/>
        <v>-2.9709863534476539E-2</v>
      </c>
    </row>
    <row r="2039" spans="1:7" x14ac:dyDescent="0.35">
      <c r="A2039" t="s">
        <v>113</v>
      </c>
      <c r="E2039">
        <v>-2.0310716363221036E-2</v>
      </c>
      <c r="F2039">
        <f t="shared" si="68"/>
        <v>-1.6221376356225108E-2</v>
      </c>
      <c r="G2039">
        <f t="shared" si="69"/>
        <v>-2.9709863534476539E-2</v>
      </c>
    </row>
    <row r="2040" spans="1:7" x14ac:dyDescent="0.35">
      <c r="A2040" t="s">
        <v>113</v>
      </c>
      <c r="E2040">
        <v>1.0070180026022661E-2</v>
      </c>
      <c r="F2040">
        <f t="shared" si="68"/>
        <v>-1.6175277860324348E-2</v>
      </c>
      <c r="G2040">
        <f t="shared" si="69"/>
        <v>-2.9663397933320394E-2</v>
      </c>
    </row>
    <row r="2041" spans="1:7" x14ac:dyDescent="0.35">
      <c r="A2041" t="s">
        <v>113</v>
      </c>
      <c r="E2041">
        <v>1.9231528671672118E-3</v>
      </c>
      <c r="F2041">
        <f t="shared" si="68"/>
        <v>-1.6177704096950705E-2</v>
      </c>
      <c r="G2041">
        <f t="shared" si="69"/>
        <v>-2.9816672025058989E-2</v>
      </c>
    </row>
    <row r="2042" spans="1:7" x14ac:dyDescent="0.35">
      <c r="A2042" t="s">
        <v>113</v>
      </c>
      <c r="E2042">
        <v>1.4814780346912612E-3</v>
      </c>
      <c r="F2042">
        <f t="shared" si="68"/>
        <v>-1.6180130333577059E-2</v>
      </c>
      <c r="G2042">
        <f t="shared" si="69"/>
        <v>-2.9816672025058989E-2</v>
      </c>
    </row>
    <row r="2043" spans="1:7" x14ac:dyDescent="0.35">
      <c r="A2043" t="s">
        <v>113</v>
      </c>
      <c r="E2043">
        <v>7.7588019689006282E-3</v>
      </c>
      <c r="F2043">
        <f t="shared" si="68"/>
        <v>-1.6182556570203416E-2</v>
      </c>
      <c r="G2043">
        <f t="shared" si="69"/>
        <v>-2.9816672025058989E-2</v>
      </c>
    </row>
    <row r="2044" spans="1:7" x14ac:dyDescent="0.35">
      <c r="A2044" t="s">
        <v>113</v>
      </c>
      <c r="E2044">
        <v>5.7043326824087262E-3</v>
      </c>
      <c r="F2044">
        <f t="shared" si="68"/>
        <v>-1.618498280682977E-2</v>
      </c>
      <c r="G2044">
        <f t="shared" si="69"/>
        <v>-2.9816672025058989E-2</v>
      </c>
    </row>
    <row r="2045" spans="1:7" x14ac:dyDescent="0.35">
      <c r="A2045" t="s">
        <v>113</v>
      </c>
      <c r="E2045">
        <v>1.2161269041240832E-3</v>
      </c>
      <c r="F2045">
        <f t="shared" si="68"/>
        <v>-1.6187409043456127E-2</v>
      </c>
      <c r="G2045">
        <f t="shared" si="69"/>
        <v>-2.9816672025058989E-2</v>
      </c>
    </row>
    <row r="2046" spans="1:7" x14ac:dyDescent="0.35">
      <c r="A2046" t="s">
        <v>113</v>
      </c>
      <c r="E2046">
        <v>-1.0508313755539726E-2</v>
      </c>
      <c r="F2046">
        <f t="shared" si="68"/>
        <v>-1.6189835280082485E-2</v>
      </c>
      <c r="G2046">
        <f t="shared" si="69"/>
        <v>-2.9816672025058989E-2</v>
      </c>
    </row>
    <row r="2047" spans="1:7" x14ac:dyDescent="0.35">
      <c r="A2047" t="s">
        <v>113</v>
      </c>
      <c r="E2047">
        <v>6.5334984001304199E-4</v>
      </c>
      <c r="F2047">
        <f t="shared" si="68"/>
        <v>-1.6192261516708838E-2</v>
      </c>
      <c r="G2047">
        <f t="shared" si="69"/>
        <v>-2.9816672025058989E-2</v>
      </c>
    </row>
    <row r="2048" spans="1:7" x14ac:dyDescent="0.35">
      <c r="A2048" t="s">
        <v>113</v>
      </c>
      <c r="E2048">
        <v>3.5840180830789652E-3</v>
      </c>
      <c r="F2048">
        <f t="shared" si="68"/>
        <v>-1.6194687753335196E-2</v>
      </c>
      <c r="G2048">
        <f t="shared" si="69"/>
        <v>-2.9816672025058989E-2</v>
      </c>
    </row>
    <row r="2049" spans="1:7" x14ac:dyDescent="0.35">
      <c r="A2049" t="s">
        <v>113</v>
      </c>
      <c r="E2049">
        <v>5.2097846152705509E-3</v>
      </c>
      <c r="F2049">
        <f t="shared" si="68"/>
        <v>-1.6197113989961549E-2</v>
      </c>
      <c r="G2049">
        <f t="shared" si="69"/>
        <v>-2.9816672025058989E-2</v>
      </c>
    </row>
    <row r="2050" spans="1:7" x14ac:dyDescent="0.35">
      <c r="A2050" t="s">
        <v>113</v>
      </c>
      <c r="E2050">
        <v>-1.4063376249155549E-2</v>
      </c>
      <c r="F2050">
        <f t="shared" si="68"/>
        <v>-1.6199540226587907E-2</v>
      </c>
      <c r="G2050">
        <f t="shared" si="69"/>
        <v>-2.9816672025058989E-2</v>
      </c>
    </row>
    <row r="2051" spans="1:7" x14ac:dyDescent="0.35">
      <c r="A2051" t="s">
        <v>113</v>
      </c>
      <c r="E2051">
        <v>6.8094472893651314E-3</v>
      </c>
      <c r="F2051">
        <f t="shared" si="68"/>
        <v>-1.6201966463214264E-2</v>
      </c>
      <c r="G2051">
        <f t="shared" si="69"/>
        <v>-2.9816672025058989E-2</v>
      </c>
    </row>
    <row r="2052" spans="1:7" x14ac:dyDescent="0.35">
      <c r="A2052" t="s">
        <v>113</v>
      </c>
      <c r="E2052">
        <v>4.9681385338551994E-4</v>
      </c>
      <c r="F2052">
        <f t="shared" ref="F2052:F2115" si="70">_xlfn.PERCENTILE.EXC(E2052:E5867,0.05)</f>
        <v>-1.6204392699840618E-2</v>
      </c>
      <c r="G2052">
        <f t="shared" ref="G2052:G2115" si="71">AVERAGEIFS(E2052:E5868,E2052:E5868,"&lt;=" &amp; F2052)</f>
        <v>-2.9816672025058989E-2</v>
      </c>
    </row>
    <row r="2053" spans="1:7" x14ac:dyDescent="0.35">
      <c r="A2053" t="s">
        <v>113</v>
      </c>
      <c r="E2053">
        <v>-1.2515718992222072E-2</v>
      </c>
      <c r="F2053">
        <f t="shared" si="70"/>
        <v>-1.6206818936466975E-2</v>
      </c>
      <c r="G2053">
        <f t="shared" si="71"/>
        <v>-2.9816672025058989E-2</v>
      </c>
    </row>
    <row r="2054" spans="1:7" x14ac:dyDescent="0.35">
      <c r="A2054" t="s">
        <v>113</v>
      </c>
      <c r="E2054">
        <v>-5.8754431823998202E-3</v>
      </c>
      <c r="F2054">
        <f t="shared" si="70"/>
        <v>-1.6209245173093328E-2</v>
      </c>
      <c r="G2054">
        <f t="shared" si="71"/>
        <v>-2.9816672025058989E-2</v>
      </c>
    </row>
    <row r="2055" spans="1:7" x14ac:dyDescent="0.35">
      <c r="A2055" t="s">
        <v>113</v>
      </c>
      <c r="E2055">
        <v>-6.4216995808010612E-3</v>
      </c>
      <c r="F2055">
        <f t="shared" si="70"/>
        <v>-1.6211671409719686E-2</v>
      </c>
      <c r="G2055">
        <f t="shared" si="71"/>
        <v>-2.9816672025058989E-2</v>
      </c>
    </row>
    <row r="2056" spans="1:7" x14ac:dyDescent="0.35">
      <c r="A2056" t="s">
        <v>113</v>
      </c>
      <c r="E2056">
        <v>1.4729341322498901E-2</v>
      </c>
      <c r="F2056">
        <f t="shared" si="70"/>
        <v>-1.6214097646346043E-2</v>
      </c>
      <c r="G2056">
        <f t="shared" si="71"/>
        <v>-2.9816672025058989E-2</v>
      </c>
    </row>
    <row r="2057" spans="1:7" x14ac:dyDescent="0.35">
      <c r="A2057" t="s">
        <v>113</v>
      </c>
      <c r="E2057">
        <v>7.3875928544174692E-3</v>
      </c>
      <c r="F2057">
        <f t="shared" si="70"/>
        <v>-1.6216523882972397E-2</v>
      </c>
      <c r="G2057">
        <f t="shared" si="71"/>
        <v>-2.9816672025058989E-2</v>
      </c>
    </row>
    <row r="2058" spans="1:7" x14ac:dyDescent="0.35">
      <c r="A2058" t="s">
        <v>113</v>
      </c>
      <c r="E2058">
        <v>-1.8099635457830267E-4</v>
      </c>
      <c r="F2058">
        <f t="shared" si="70"/>
        <v>-1.6218950119598754E-2</v>
      </c>
      <c r="G2058">
        <f t="shared" si="71"/>
        <v>-2.9816672025058989E-2</v>
      </c>
    </row>
    <row r="2059" spans="1:7" x14ac:dyDescent="0.35">
      <c r="A2059" t="s">
        <v>114</v>
      </c>
      <c r="B2059" s="3" cm="1">
        <f t="array" ref="B2059">_xlfn.STDEV.S(_xlfn._xlws.FILTER($E$2013:$E$3011, $A$2013:$A$3011="2018-04"))</f>
        <v>5.959876445745969E-3</v>
      </c>
      <c r="C2059" s="3" cm="1">
        <f t="array" ref="C2059">AVERAGE(_xlfn._xlws.FILTER($E$2013:$E$3011, $A$2013:$A$3011="2018-04"))</f>
        <v>2.9807469900319456E-3</v>
      </c>
      <c r="D2059" s="3" cm="1">
        <f t="array" ref="D2059">_xlfn.PERCENTILE.EXC(_xlfn._xlws.FILTER($E$1498:$E$2489, $A$1498:$A$2489="2018-04"), 0.05)</f>
        <v>-7.1033695732011159E-3</v>
      </c>
      <c r="E2059">
        <v>1.0204016775506224E-3</v>
      </c>
      <c r="F2059">
        <f t="shared" si="70"/>
        <v>-1.6221376356225108E-2</v>
      </c>
      <c r="G2059">
        <f t="shared" si="71"/>
        <v>-2.9816672025058989E-2</v>
      </c>
    </row>
    <row r="2060" spans="1:7" x14ac:dyDescent="0.35">
      <c r="A2060" t="s">
        <v>114</v>
      </c>
      <c r="E2060">
        <v>1.5424397364417674E-4</v>
      </c>
      <c r="F2060">
        <f t="shared" si="70"/>
        <v>-1.6223802592851465E-2</v>
      </c>
      <c r="G2060">
        <f t="shared" si="71"/>
        <v>-2.9816672025058989E-2</v>
      </c>
    </row>
    <row r="2061" spans="1:7" x14ac:dyDescent="0.35">
      <c r="A2061" t="s">
        <v>114</v>
      </c>
      <c r="E2061">
        <v>2.1285969693698278E-2</v>
      </c>
      <c r="F2061">
        <f t="shared" si="70"/>
        <v>-1.6229364521550608E-2</v>
      </c>
      <c r="G2061">
        <f t="shared" si="71"/>
        <v>-2.997291190359011E-2</v>
      </c>
    </row>
    <row r="2062" spans="1:7" x14ac:dyDescent="0.35">
      <c r="A2062" t="s">
        <v>114</v>
      </c>
      <c r="E2062">
        <v>1.4415109472906752E-3</v>
      </c>
      <c r="F2062">
        <f t="shared" si="70"/>
        <v>-1.6234926450249751E-2</v>
      </c>
      <c r="G2062">
        <f t="shared" si="71"/>
        <v>-2.997291190359011E-2</v>
      </c>
    </row>
    <row r="2063" spans="1:7" x14ac:dyDescent="0.35">
      <c r="A2063" t="s">
        <v>114</v>
      </c>
      <c r="E2063">
        <v>1.673493499413065E-3</v>
      </c>
      <c r="F2063">
        <f t="shared" si="70"/>
        <v>-1.6240488378948894E-2</v>
      </c>
      <c r="G2063">
        <f t="shared" si="71"/>
        <v>-2.997291190359011E-2</v>
      </c>
    </row>
    <row r="2064" spans="1:7" x14ac:dyDescent="0.35">
      <c r="A2064" t="s">
        <v>114</v>
      </c>
      <c r="E2064">
        <v>8.9510526091282957E-3</v>
      </c>
      <c r="F2064">
        <f t="shared" si="70"/>
        <v>-1.6246050307648037E-2</v>
      </c>
      <c r="G2064">
        <f t="shared" si="71"/>
        <v>-2.997291190359011E-2</v>
      </c>
    </row>
    <row r="2065" spans="1:7" x14ac:dyDescent="0.35">
      <c r="A2065" t="s">
        <v>114</v>
      </c>
      <c r="E2065">
        <v>-2.0371317389933736E-3</v>
      </c>
      <c r="F2065">
        <f t="shared" si="70"/>
        <v>-1.625161223634718E-2</v>
      </c>
      <c r="G2065">
        <f t="shared" si="71"/>
        <v>-2.997291190359011E-2</v>
      </c>
    </row>
    <row r="2066" spans="1:7" x14ac:dyDescent="0.35">
      <c r="A2066" t="s">
        <v>114</v>
      </c>
      <c r="E2066">
        <v>7.0751460892968469E-3</v>
      </c>
      <c r="F2066">
        <f t="shared" si="70"/>
        <v>-1.6257174165046323E-2</v>
      </c>
      <c r="G2066">
        <f t="shared" si="71"/>
        <v>-2.997291190359011E-2</v>
      </c>
    </row>
    <row r="2067" spans="1:7" x14ac:dyDescent="0.35">
      <c r="A2067" t="s">
        <v>114</v>
      </c>
      <c r="E2067">
        <v>1.8235137785219048E-3</v>
      </c>
      <c r="F2067">
        <f t="shared" si="70"/>
        <v>-1.6262736093745466E-2</v>
      </c>
      <c r="G2067">
        <f t="shared" si="71"/>
        <v>-2.997291190359011E-2</v>
      </c>
    </row>
    <row r="2068" spans="1:7" x14ac:dyDescent="0.35">
      <c r="A2068" t="s">
        <v>114</v>
      </c>
      <c r="E2068">
        <v>-7.2438640503520923E-3</v>
      </c>
      <c r="F2068">
        <f t="shared" si="70"/>
        <v>-1.6268298022444609E-2</v>
      </c>
      <c r="G2068">
        <f t="shared" si="71"/>
        <v>-2.997291190359011E-2</v>
      </c>
    </row>
    <row r="2069" spans="1:7" x14ac:dyDescent="0.35">
      <c r="A2069" t="s">
        <v>114</v>
      </c>
      <c r="E2069">
        <v>3.5390431654864431E-3</v>
      </c>
      <c r="F2069">
        <f t="shared" si="70"/>
        <v>-1.6273859951143752E-2</v>
      </c>
      <c r="G2069">
        <f t="shared" si="71"/>
        <v>-2.997291190359011E-2</v>
      </c>
    </row>
    <row r="2070" spans="1:7" x14ac:dyDescent="0.35">
      <c r="A2070" t="s">
        <v>114</v>
      </c>
      <c r="E2070">
        <v>4.5328359404444045E-3</v>
      </c>
      <c r="F2070">
        <f t="shared" si="70"/>
        <v>-1.6279421879842895E-2</v>
      </c>
      <c r="G2070">
        <f t="shared" si="71"/>
        <v>-2.997291190359011E-2</v>
      </c>
    </row>
    <row r="2071" spans="1:7" x14ac:dyDescent="0.35">
      <c r="A2071" t="s">
        <v>114</v>
      </c>
      <c r="E2071">
        <v>3.7413553938282283E-3</v>
      </c>
      <c r="F2071">
        <f t="shared" si="70"/>
        <v>-1.6284983808542038E-2</v>
      </c>
      <c r="G2071">
        <f t="shared" si="71"/>
        <v>-2.997291190359011E-2</v>
      </c>
    </row>
    <row r="2072" spans="1:7" x14ac:dyDescent="0.35">
      <c r="A2072" t="s">
        <v>114</v>
      </c>
      <c r="E2072">
        <v>-1.8151857928631759E-3</v>
      </c>
      <c r="F2072">
        <f t="shared" si="70"/>
        <v>-1.6290545737241181E-2</v>
      </c>
      <c r="G2072">
        <f t="shared" si="71"/>
        <v>-2.997291190359011E-2</v>
      </c>
    </row>
    <row r="2073" spans="1:7" x14ac:dyDescent="0.35">
      <c r="A2073" t="s">
        <v>114</v>
      </c>
      <c r="E2073">
        <v>4.0272898318187153E-3</v>
      </c>
      <c r="F2073">
        <f t="shared" si="70"/>
        <v>-1.6296107665940324E-2</v>
      </c>
      <c r="G2073">
        <f t="shared" si="71"/>
        <v>-2.997291190359011E-2</v>
      </c>
    </row>
    <row r="2074" spans="1:7" x14ac:dyDescent="0.35">
      <c r="A2074" t="s">
        <v>114</v>
      </c>
      <c r="E2074">
        <v>3.9906712090646366E-3</v>
      </c>
      <c r="F2074">
        <f t="shared" si="70"/>
        <v>-1.6301669594639467E-2</v>
      </c>
      <c r="G2074">
        <f t="shared" si="71"/>
        <v>-2.997291190359011E-2</v>
      </c>
    </row>
    <row r="2075" spans="1:7" x14ac:dyDescent="0.35">
      <c r="A2075" t="s">
        <v>114</v>
      </c>
      <c r="E2075">
        <v>-4.4339745073325642E-3</v>
      </c>
      <c r="F2075">
        <f t="shared" si="70"/>
        <v>-1.6307231523338614E-2</v>
      </c>
      <c r="G2075">
        <f t="shared" si="71"/>
        <v>-2.997291190359011E-2</v>
      </c>
    </row>
    <row r="2076" spans="1:7" x14ac:dyDescent="0.35">
      <c r="A2076" t="s">
        <v>114</v>
      </c>
      <c r="E2076">
        <v>9.9699123837387587E-3</v>
      </c>
      <c r="F2076">
        <f t="shared" si="70"/>
        <v>-1.6312793452037757E-2</v>
      </c>
      <c r="G2076">
        <f t="shared" si="71"/>
        <v>-2.997291190359011E-2</v>
      </c>
    </row>
    <row r="2077" spans="1:7" x14ac:dyDescent="0.35">
      <c r="A2077" t="s">
        <v>114</v>
      </c>
      <c r="E2077">
        <v>1.0194068232578992E-3</v>
      </c>
      <c r="F2077">
        <f t="shared" si="70"/>
        <v>-1.63183553807369E-2</v>
      </c>
      <c r="G2077">
        <f t="shared" si="71"/>
        <v>-2.997291190359011E-2</v>
      </c>
    </row>
    <row r="2078" spans="1:7" x14ac:dyDescent="0.35">
      <c r="A2078" t="s">
        <v>114</v>
      </c>
      <c r="E2078">
        <v>8.9924887399716593E-4</v>
      </c>
      <c r="F2078">
        <f t="shared" si="70"/>
        <v>-1.6323917309436043E-2</v>
      </c>
      <c r="G2078">
        <f t="shared" si="71"/>
        <v>-2.997291190359011E-2</v>
      </c>
    </row>
    <row r="2079" spans="1:7" x14ac:dyDescent="0.35">
      <c r="A2079" t="s">
        <v>115</v>
      </c>
      <c r="B2079" s="3" cm="1">
        <f t="array" ref="B2079">_xlfn.STDEV.S(_xlfn._xlws.FILTER($E$2013:$E$3011, $A$2013:$A$3011="2018-05"))</f>
        <v>7.1819291845423936E-3</v>
      </c>
      <c r="C2079" s="3" cm="1">
        <f t="array" ref="C2079">AVERAGE(_xlfn._xlws.FILTER($E$2013:$E$3011, $A$2013:$A$3011="2018-05"))</f>
        <v>1.2385419168646141E-3</v>
      </c>
      <c r="D2079" s="3" cm="1">
        <f t="array" ref="D2079">_xlfn.PERCENTILE.EXC(_xlfn._xlws.FILTER($E$1498:$E$2489, $A$1498:$A$2489="2018-05"), 0.05)</f>
        <v>-1.0634172079706211E-2</v>
      </c>
      <c r="E2079">
        <v>3.6536557445268169E-3</v>
      </c>
      <c r="F2079">
        <f t="shared" si="70"/>
        <v>-1.6329479238135186E-2</v>
      </c>
      <c r="G2079">
        <f t="shared" si="71"/>
        <v>-2.997291190359011E-2</v>
      </c>
    </row>
    <row r="2080" spans="1:7" x14ac:dyDescent="0.35">
      <c r="A2080" t="s">
        <v>115</v>
      </c>
      <c r="E2080">
        <v>-8.5360921129004064E-3</v>
      </c>
      <c r="F2080">
        <f t="shared" si="70"/>
        <v>-1.6335041166834329E-2</v>
      </c>
      <c r="G2080">
        <f t="shared" si="71"/>
        <v>-2.997291190359011E-2</v>
      </c>
    </row>
    <row r="2081" spans="1:7" x14ac:dyDescent="0.35">
      <c r="A2081" t="s">
        <v>115</v>
      </c>
      <c r="E2081">
        <v>7.9870764427995549E-3</v>
      </c>
      <c r="F2081">
        <f t="shared" si="70"/>
        <v>-1.6350827702512827E-2</v>
      </c>
      <c r="G2081">
        <f t="shared" si="71"/>
        <v>-3.0131491795877971E-2</v>
      </c>
    </row>
    <row r="2082" spans="1:7" x14ac:dyDescent="0.35">
      <c r="A2082" t="s">
        <v>115</v>
      </c>
      <c r="E2082">
        <v>6.7785325859361272E-3</v>
      </c>
      <c r="F2082">
        <f t="shared" si="70"/>
        <v>-1.6366614238191329E-2</v>
      </c>
      <c r="G2082">
        <f t="shared" si="71"/>
        <v>-3.0131491795877971E-2</v>
      </c>
    </row>
    <row r="2083" spans="1:7" x14ac:dyDescent="0.35">
      <c r="A2083" t="s">
        <v>115</v>
      </c>
      <c r="E2083">
        <v>1.5701500856435183E-2</v>
      </c>
      <c r="F2083">
        <f t="shared" si="70"/>
        <v>-1.6382400773869828E-2</v>
      </c>
      <c r="G2083">
        <f t="shared" si="71"/>
        <v>-3.0131491795877971E-2</v>
      </c>
    </row>
    <row r="2084" spans="1:7" x14ac:dyDescent="0.35">
      <c r="A2084" t="s">
        <v>115</v>
      </c>
      <c r="E2084">
        <v>-4.0684102406511619E-3</v>
      </c>
      <c r="F2084">
        <f t="shared" si="70"/>
        <v>-1.639818730954833E-2</v>
      </c>
      <c r="G2084">
        <f t="shared" si="71"/>
        <v>-3.0131491795877971E-2</v>
      </c>
    </row>
    <row r="2085" spans="1:7" x14ac:dyDescent="0.35">
      <c r="A2085" t="s">
        <v>115</v>
      </c>
      <c r="E2085">
        <v>3.037635852181204E-3</v>
      </c>
      <c r="F2085">
        <f t="shared" si="70"/>
        <v>-1.6413973845226831E-2</v>
      </c>
      <c r="G2085">
        <f t="shared" si="71"/>
        <v>-3.0131491795877971E-2</v>
      </c>
    </row>
    <row r="2086" spans="1:7" x14ac:dyDescent="0.35">
      <c r="A2086" t="s">
        <v>115</v>
      </c>
      <c r="E2086">
        <v>-9.039268945239485E-4</v>
      </c>
      <c r="F2086">
        <f t="shared" si="70"/>
        <v>-1.6429760380905333E-2</v>
      </c>
      <c r="G2086">
        <f t="shared" si="71"/>
        <v>-3.0131491795877971E-2</v>
      </c>
    </row>
    <row r="2087" spans="1:7" x14ac:dyDescent="0.35">
      <c r="A2087" t="s">
        <v>115</v>
      </c>
      <c r="E2087">
        <v>5.9119935294498667E-3</v>
      </c>
      <c r="F2087">
        <f t="shared" si="70"/>
        <v>-1.6445546916583832E-2</v>
      </c>
      <c r="G2087">
        <f t="shared" si="71"/>
        <v>-3.0131491795877971E-2</v>
      </c>
    </row>
    <row r="2088" spans="1:7" x14ac:dyDescent="0.35">
      <c r="A2088" t="s">
        <v>115</v>
      </c>
      <c r="E2088">
        <v>4.4476963526025263E-3</v>
      </c>
      <c r="F2088">
        <f t="shared" si="70"/>
        <v>-1.6461333452262333E-2</v>
      </c>
      <c r="G2088">
        <f t="shared" si="71"/>
        <v>-3.0131491795877971E-2</v>
      </c>
    </row>
    <row r="2089" spans="1:7" x14ac:dyDescent="0.35">
      <c r="A2089" t="s">
        <v>115</v>
      </c>
      <c r="E2089">
        <v>8.8642859696676114E-3</v>
      </c>
      <c r="F2089">
        <f t="shared" si="70"/>
        <v>-1.6477119987940832E-2</v>
      </c>
      <c r="G2089">
        <f t="shared" si="71"/>
        <v>-3.0131491795877971E-2</v>
      </c>
    </row>
    <row r="2090" spans="1:7" x14ac:dyDescent="0.35">
      <c r="A2090" t="s">
        <v>115</v>
      </c>
      <c r="E2090">
        <v>-1.8436622260185713E-3</v>
      </c>
      <c r="F2090">
        <f t="shared" si="70"/>
        <v>-1.6492906523619337E-2</v>
      </c>
      <c r="G2090">
        <f t="shared" si="71"/>
        <v>-3.0131491795877971E-2</v>
      </c>
    </row>
    <row r="2091" spans="1:7" x14ac:dyDescent="0.35">
      <c r="A2091" t="s">
        <v>115</v>
      </c>
      <c r="E2091">
        <v>8.8879049492490338E-3</v>
      </c>
      <c r="F2091">
        <f t="shared" si="70"/>
        <v>-1.6508693059297835E-2</v>
      </c>
      <c r="G2091">
        <f t="shared" si="71"/>
        <v>-3.0131491795877971E-2</v>
      </c>
    </row>
    <row r="2092" spans="1:7" x14ac:dyDescent="0.35">
      <c r="A2092" t="s">
        <v>115</v>
      </c>
      <c r="E2092">
        <v>-1.0634172079706211E-2</v>
      </c>
      <c r="F2092">
        <f t="shared" si="70"/>
        <v>-1.6524479594976337E-2</v>
      </c>
      <c r="G2092">
        <f t="shared" si="71"/>
        <v>-3.0131491795877971E-2</v>
      </c>
    </row>
    <row r="2093" spans="1:7" x14ac:dyDescent="0.35">
      <c r="A2093" t="s">
        <v>115</v>
      </c>
      <c r="E2093">
        <v>-8.9113846804989259E-3</v>
      </c>
      <c r="F2093">
        <f t="shared" si="70"/>
        <v>-1.6540266130654836E-2</v>
      </c>
      <c r="G2093">
        <f t="shared" si="71"/>
        <v>-3.0131491795877971E-2</v>
      </c>
    </row>
    <row r="2094" spans="1:7" x14ac:dyDescent="0.35">
      <c r="A2094" t="s">
        <v>115</v>
      </c>
      <c r="E2094">
        <v>2.5806271816061267E-3</v>
      </c>
      <c r="F2094">
        <f t="shared" si="70"/>
        <v>-1.6556052666333337E-2</v>
      </c>
      <c r="G2094">
        <f t="shared" si="71"/>
        <v>-3.0131491795877971E-2</v>
      </c>
    </row>
    <row r="2095" spans="1:7" x14ac:dyDescent="0.35">
      <c r="A2095" t="s">
        <v>115</v>
      </c>
      <c r="E2095">
        <v>-8.2972075826542643E-3</v>
      </c>
      <c r="F2095">
        <f t="shared" si="70"/>
        <v>-1.6571839202011843E-2</v>
      </c>
      <c r="G2095">
        <f t="shared" si="71"/>
        <v>-3.0131491795877971E-2</v>
      </c>
    </row>
    <row r="2096" spans="1:7" x14ac:dyDescent="0.35">
      <c r="A2096" t="s">
        <v>115</v>
      </c>
      <c r="E2096">
        <v>8.806902095193571E-4</v>
      </c>
      <c r="F2096">
        <f t="shared" si="70"/>
        <v>-1.6587625737690341E-2</v>
      </c>
      <c r="G2096">
        <f t="shared" si="71"/>
        <v>-3.0131491795877971E-2</v>
      </c>
    </row>
    <row r="2097" spans="1:7" x14ac:dyDescent="0.35">
      <c r="A2097" t="s">
        <v>115</v>
      </c>
      <c r="E2097">
        <v>-2.0044474365922475E-3</v>
      </c>
      <c r="F2097">
        <f t="shared" si="70"/>
        <v>-1.6603412273368839E-2</v>
      </c>
      <c r="G2097">
        <f t="shared" si="71"/>
        <v>-3.0131491795877971E-2</v>
      </c>
    </row>
    <row r="2098" spans="1:7" x14ac:dyDescent="0.35">
      <c r="A2098" t="s">
        <v>116</v>
      </c>
      <c r="B2098" s="3" cm="1">
        <f t="array" ref="B2098">_xlfn.STDEV.S(_xlfn._xlws.FILTER($E$2013:$E$3011, $A$2013:$A$3011="2018-06"))</f>
        <v>9.1408390307116932E-3</v>
      </c>
      <c r="C2098" s="3" cm="1">
        <f t="array" ref="C2098">AVERAGE(_xlfn._xlws.FILTER($E$2013:$E$3011, $A$2013:$A$3011="2018-06"))</f>
        <v>-6.3708652840411336E-4</v>
      </c>
      <c r="D2098" s="3" cm="1">
        <f t="array" ref="D2098">_xlfn.PERCENTILE.EXC(_xlfn._xlws.FILTER($E$1498:$E$2489, $A$1498:$A$2489="2018-06"), 0.05)</f>
        <v>-2.4525353421914035E-2</v>
      </c>
      <c r="E2098">
        <v>7.7082349819179675E-3</v>
      </c>
      <c r="F2098">
        <f t="shared" si="70"/>
        <v>-1.6619198809047341E-2</v>
      </c>
      <c r="G2098">
        <f t="shared" si="71"/>
        <v>-3.0131491795877971E-2</v>
      </c>
    </row>
    <row r="2099" spans="1:7" x14ac:dyDescent="0.35">
      <c r="A2099" t="s">
        <v>116</v>
      </c>
      <c r="E2099">
        <v>6.9396939784169948E-4</v>
      </c>
      <c r="F2099">
        <f t="shared" si="70"/>
        <v>-1.663498534472584E-2</v>
      </c>
      <c r="G2099">
        <f t="shared" si="71"/>
        <v>-3.0131491795877971E-2</v>
      </c>
    </row>
    <row r="2100" spans="1:7" x14ac:dyDescent="0.35">
      <c r="A2100" t="s">
        <v>116</v>
      </c>
      <c r="E2100">
        <v>-4.3727773826509608E-3</v>
      </c>
      <c r="F2100">
        <f t="shared" si="70"/>
        <v>-1.6650771880404345E-2</v>
      </c>
      <c r="G2100">
        <f t="shared" si="71"/>
        <v>-3.0131491795877971E-2</v>
      </c>
    </row>
    <row r="2101" spans="1:7" x14ac:dyDescent="0.35">
      <c r="A2101" t="s">
        <v>116</v>
      </c>
      <c r="E2101">
        <v>2.0730141594905828E-4</v>
      </c>
      <c r="F2101">
        <f t="shared" si="70"/>
        <v>-1.6659637921342497E-2</v>
      </c>
      <c r="G2101">
        <f t="shared" si="71"/>
        <v>-3.0290088500765897E-2</v>
      </c>
    </row>
    <row r="2102" spans="1:7" x14ac:dyDescent="0.35">
      <c r="A2102" t="s">
        <v>116</v>
      </c>
      <c r="E2102">
        <v>-3.5136099179623524E-3</v>
      </c>
      <c r="F2102">
        <f t="shared" si="70"/>
        <v>-1.6668503962280652E-2</v>
      </c>
      <c r="G2102">
        <f t="shared" si="71"/>
        <v>-3.0290088500765897E-2</v>
      </c>
    </row>
    <row r="2103" spans="1:7" x14ac:dyDescent="0.35">
      <c r="A2103" t="s">
        <v>116</v>
      </c>
      <c r="E2103">
        <v>-2.87928751556963E-4</v>
      </c>
      <c r="F2103">
        <f t="shared" si="70"/>
        <v>-1.6677370003218804E-2</v>
      </c>
      <c r="G2103">
        <f t="shared" si="71"/>
        <v>-3.0290088500765897E-2</v>
      </c>
    </row>
    <row r="2104" spans="1:7" x14ac:dyDescent="0.35">
      <c r="A2104" t="s">
        <v>116</v>
      </c>
      <c r="E2104">
        <v>3.7977982368435147E-3</v>
      </c>
      <c r="F2104">
        <f t="shared" si="70"/>
        <v>-1.6686236044156956E-2</v>
      </c>
      <c r="G2104">
        <f t="shared" si="71"/>
        <v>-3.0290088500765897E-2</v>
      </c>
    </row>
    <row r="2105" spans="1:7" x14ac:dyDescent="0.35">
      <c r="A2105" t="s">
        <v>116</v>
      </c>
      <c r="E2105">
        <v>-2.0457774599621412E-3</v>
      </c>
      <c r="F2105">
        <f t="shared" si="70"/>
        <v>-1.6695102085095111E-2</v>
      </c>
      <c r="G2105">
        <f t="shared" si="71"/>
        <v>-3.0290088500765897E-2</v>
      </c>
    </row>
    <row r="2106" spans="1:7" x14ac:dyDescent="0.35">
      <c r="A2106" t="s">
        <v>116</v>
      </c>
      <c r="E2106">
        <v>-2.1279163793948208E-3</v>
      </c>
      <c r="F2106">
        <f t="shared" si="70"/>
        <v>-1.6703968126033263E-2</v>
      </c>
      <c r="G2106">
        <f t="shared" si="71"/>
        <v>-3.0290088500765897E-2</v>
      </c>
    </row>
    <row r="2107" spans="1:7" x14ac:dyDescent="0.35">
      <c r="A2107" t="s">
        <v>116</v>
      </c>
      <c r="E2107">
        <v>1.498549180321284E-2</v>
      </c>
      <c r="F2107">
        <f t="shared" si="70"/>
        <v>-1.6712834166971419E-2</v>
      </c>
      <c r="G2107">
        <f t="shared" si="71"/>
        <v>-3.0290088500765897E-2</v>
      </c>
    </row>
    <row r="2108" spans="1:7" x14ac:dyDescent="0.35">
      <c r="A2108" t="s">
        <v>116</v>
      </c>
      <c r="E2108">
        <v>-1.5835950566567818E-2</v>
      </c>
      <c r="F2108">
        <f t="shared" si="70"/>
        <v>-1.6721700207909571E-2</v>
      </c>
      <c r="G2108">
        <f t="shared" si="71"/>
        <v>-3.0290088500765897E-2</v>
      </c>
    </row>
    <row r="2109" spans="1:7" x14ac:dyDescent="0.35">
      <c r="A2109" t="s">
        <v>116</v>
      </c>
      <c r="E2109">
        <v>-3.5802494816069719E-3</v>
      </c>
      <c r="F2109">
        <f t="shared" si="70"/>
        <v>-1.6730566248847722E-2</v>
      </c>
      <c r="G2109">
        <f t="shared" si="71"/>
        <v>-3.0290088500765897E-2</v>
      </c>
    </row>
    <row r="2110" spans="1:7" x14ac:dyDescent="0.35">
      <c r="A2110" t="s">
        <v>116</v>
      </c>
      <c r="E2110">
        <v>-5.7357425826709569E-3</v>
      </c>
      <c r="F2110">
        <f t="shared" si="70"/>
        <v>-1.6739432289785878E-2</v>
      </c>
      <c r="G2110">
        <f t="shared" si="71"/>
        <v>-3.0290088500765897E-2</v>
      </c>
    </row>
    <row r="2111" spans="1:7" x14ac:dyDescent="0.35">
      <c r="A2111" t="s">
        <v>116</v>
      </c>
      <c r="E2111">
        <v>3.1959716605128646E-3</v>
      </c>
      <c r="F2111">
        <f t="shared" si="70"/>
        <v>-1.674829833072403E-2</v>
      </c>
      <c r="G2111">
        <f t="shared" si="71"/>
        <v>-3.0290088500765897E-2</v>
      </c>
    </row>
    <row r="2112" spans="1:7" x14ac:dyDescent="0.35">
      <c r="A2112" t="s">
        <v>116</v>
      </c>
      <c r="E2112">
        <v>-6.9659953043262448E-3</v>
      </c>
      <c r="F2112">
        <f t="shared" si="70"/>
        <v>-1.6757164371662185E-2</v>
      </c>
      <c r="G2112">
        <f t="shared" si="71"/>
        <v>-3.0290088500765897E-2</v>
      </c>
    </row>
    <row r="2113" spans="1:7" x14ac:dyDescent="0.35">
      <c r="A2113" t="s">
        <v>116</v>
      </c>
      <c r="E2113">
        <v>1.3366114323010408E-2</v>
      </c>
      <c r="F2113">
        <f t="shared" si="70"/>
        <v>-1.6766030412600337E-2</v>
      </c>
      <c r="G2113">
        <f t="shared" si="71"/>
        <v>-3.0290088500765897E-2</v>
      </c>
    </row>
    <row r="2114" spans="1:7" x14ac:dyDescent="0.35">
      <c r="A2114" t="s">
        <v>116</v>
      </c>
      <c r="E2114">
        <v>-2.5490842628063615E-2</v>
      </c>
      <c r="F2114">
        <f t="shared" si="70"/>
        <v>-1.6774896453538489E-2</v>
      </c>
      <c r="G2114">
        <f t="shared" si="71"/>
        <v>-3.0290088500765897E-2</v>
      </c>
    </row>
    <row r="2115" spans="1:7" x14ac:dyDescent="0.35">
      <c r="A2115" t="s">
        <v>116</v>
      </c>
      <c r="E2115">
        <v>3.7757528224070134E-3</v>
      </c>
      <c r="F2115">
        <f t="shared" si="70"/>
        <v>-1.6571839202011843E-2</v>
      </c>
      <c r="G2115">
        <f t="shared" si="71"/>
        <v>-3.0186087668440484E-2</v>
      </c>
    </row>
    <row r="2116" spans="1:7" x14ac:dyDescent="0.35">
      <c r="A2116" t="s">
        <v>116</v>
      </c>
      <c r="E2116">
        <v>1.0907299782092997E-2</v>
      </c>
      <c r="F2116">
        <f t="shared" ref="F2116:F2179" si="72">_xlfn.PERCENTILE.EXC(E2116:E5931,0.05)</f>
        <v>-1.6587625737690341E-2</v>
      </c>
      <c r="G2116">
        <f t="shared" ref="G2116:G2179" si="73">AVERAGEIFS(E2116:E5932,E2116:E5932,"&lt;=" &amp; F2116)</f>
        <v>-3.0186087668440484E-2</v>
      </c>
    </row>
    <row r="2117" spans="1:7" x14ac:dyDescent="0.35">
      <c r="A2117" t="s">
        <v>116</v>
      </c>
      <c r="E2117">
        <v>-4.3020511220597211E-3</v>
      </c>
      <c r="F2117">
        <f t="shared" si="72"/>
        <v>-1.6603412273368839E-2</v>
      </c>
      <c r="G2117">
        <f t="shared" si="73"/>
        <v>-3.0186087668440484E-2</v>
      </c>
    </row>
    <row r="2118" spans="1:7" x14ac:dyDescent="0.35">
      <c r="A2118" t="s">
        <v>116</v>
      </c>
      <c r="E2118">
        <v>2.2420900565478224E-3</v>
      </c>
      <c r="F2118">
        <f t="shared" si="72"/>
        <v>-1.6619198809047341E-2</v>
      </c>
      <c r="G2118">
        <f t="shared" si="73"/>
        <v>-3.0186087668440484E-2</v>
      </c>
    </row>
    <row r="2119" spans="1:7" x14ac:dyDescent="0.35">
      <c r="A2119" t="s">
        <v>117</v>
      </c>
      <c r="B2119" s="3" cm="1">
        <f t="array" ref="B2119">_xlfn.STDEV.S(_xlfn._xlws.FILTER($E$2013:$E$3011, $A$2013:$A$3011="2018-07"))</f>
        <v>5.9659389985921114E-3</v>
      </c>
      <c r="C2119" s="3" cm="1">
        <f t="array" ref="C2119">AVERAGE(_xlfn._xlws.FILTER($E$2013:$E$3011, $A$2013:$A$3011="2018-07"))</f>
        <v>3.2050594139301693E-4</v>
      </c>
      <c r="D2119" s="3" cm="1">
        <f t="array" ref="D2119">_xlfn.PERCENTILE.EXC(_xlfn._xlws.FILTER($E$1498:$E$2489, $A$1498:$A$2489="2018-07"), 0.05)</f>
        <v>-1.2229779462629094E-2</v>
      </c>
      <c r="E2119">
        <v>-1.0436504469649582E-2</v>
      </c>
      <c r="F2119">
        <f t="shared" si="72"/>
        <v>-1.663498534472584E-2</v>
      </c>
      <c r="G2119">
        <f t="shared" si="73"/>
        <v>-3.0186087668440484E-2</v>
      </c>
    </row>
    <row r="2120" spans="1:7" x14ac:dyDescent="0.35">
      <c r="A2120" t="s">
        <v>117</v>
      </c>
      <c r="E2120">
        <v>4.8962602143557852E-3</v>
      </c>
      <c r="F2120">
        <f t="shared" si="72"/>
        <v>-1.6650771880404345E-2</v>
      </c>
      <c r="G2120">
        <f t="shared" si="73"/>
        <v>-3.0186087668440484E-2</v>
      </c>
    </row>
    <row r="2121" spans="1:7" x14ac:dyDescent="0.35">
      <c r="A2121" t="s">
        <v>117</v>
      </c>
      <c r="E2121">
        <v>1.9803559219052863E-4</v>
      </c>
      <c r="F2121">
        <f t="shared" si="72"/>
        <v>-1.6659637921342497E-2</v>
      </c>
      <c r="G2121">
        <f t="shared" si="73"/>
        <v>-3.0347222380202821E-2</v>
      </c>
    </row>
    <row r="2122" spans="1:7" x14ac:dyDescent="0.35">
      <c r="A2122" t="s">
        <v>117</v>
      </c>
      <c r="E2122">
        <v>1.2414965322391606E-3</v>
      </c>
      <c r="F2122">
        <f t="shared" si="72"/>
        <v>-1.6668503962280652E-2</v>
      </c>
      <c r="G2122">
        <f t="shared" si="73"/>
        <v>-3.0347222380202821E-2</v>
      </c>
    </row>
    <row r="2123" spans="1:7" x14ac:dyDescent="0.35">
      <c r="A2123" t="s">
        <v>117</v>
      </c>
      <c r="E2123">
        <v>9.7926409455529164E-4</v>
      </c>
      <c r="F2123">
        <f t="shared" si="72"/>
        <v>-1.6677370003218804E-2</v>
      </c>
      <c r="G2123">
        <f t="shared" si="73"/>
        <v>-3.0347222380202821E-2</v>
      </c>
    </row>
    <row r="2124" spans="1:7" x14ac:dyDescent="0.35">
      <c r="A2124" t="s">
        <v>117</v>
      </c>
      <c r="E2124">
        <v>5.4743706696624298E-3</v>
      </c>
      <c r="F2124">
        <f t="shared" si="72"/>
        <v>-1.6686236044156956E-2</v>
      </c>
      <c r="G2124">
        <f t="shared" si="73"/>
        <v>-3.0347222380202821E-2</v>
      </c>
    </row>
    <row r="2125" spans="1:7" x14ac:dyDescent="0.35">
      <c r="A2125" t="s">
        <v>117</v>
      </c>
      <c r="E2125">
        <v>4.3639662025570522E-3</v>
      </c>
      <c r="F2125">
        <f t="shared" si="72"/>
        <v>-1.6695102085095111E-2</v>
      </c>
      <c r="G2125">
        <f t="shared" si="73"/>
        <v>-3.0347222380202821E-2</v>
      </c>
    </row>
    <row r="2126" spans="1:7" x14ac:dyDescent="0.35">
      <c r="A2126" t="s">
        <v>117</v>
      </c>
      <c r="E2126">
        <v>-1.2546239755507832E-2</v>
      </c>
      <c r="F2126">
        <f t="shared" si="72"/>
        <v>-1.6703968126033263E-2</v>
      </c>
      <c r="G2126">
        <f t="shared" si="73"/>
        <v>-3.0347222380202821E-2</v>
      </c>
    </row>
    <row r="2127" spans="1:7" x14ac:dyDescent="0.35">
      <c r="A2127" t="s">
        <v>117</v>
      </c>
      <c r="E2127">
        <v>9.2537023242704863E-3</v>
      </c>
      <c r="F2127">
        <f t="shared" si="72"/>
        <v>-1.6712834166971419E-2</v>
      </c>
      <c r="G2127">
        <f t="shared" si="73"/>
        <v>-3.0347222380202821E-2</v>
      </c>
    </row>
    <row r="2128" spans="1:7" x14ac:dyDescent="0.35">
      <c r="A2128" t="s">
        <v>117</v>
      </c>
      <c r="E2128">
        <v>1.834684576845204E-3</v>
      </c>
      <c r="F2128">
        <f t="shared" si="72"/>
        <v>-1.6721700207909571E-2</v>
      </c>
      <c r="G2128">
        <f t="shared" si="73"/>
        <v>-3.0347222380202821E-2</v>
      </c>
    </row>
    <row r="2129" spans="1:7" x14ac:dyDescent="0.35">
      <c r="A2129" t="s">
        <v>117</v>
      </c>
      <c r="E2129">
        <v>-9.8029085992704917E-3</v>
      </c>
      <c r="F2129">
        <f t="shared" si="72"/>
        <v>-1.6730566248847722E-2</v>
      </c>
      <c r="G2129">
        <f t="shared" si="73"/>
        <v>-3.0347222380202821E-2</v>
      </c>
    </row>
    <row r="2130" spans="1:7" x14ac:dyDescent="0.35">
      <c r="A2130" t="s">
        <v>117</v>
      </c>
      <c r="E2130">
        <v>4.9250788093523979E-4</v>
      </c>
      <c r="F2130">
        <f t="shared" si="72"/>
        <v>-1.6739432289785878E-2</v>
      </c>
      <c r="G2130">
        <f t="shared" si="73"/>
        <v>-3.0347222380202821E-2</v>
      </c>
    </row>
    <row r="2131" spans="1:7" x14ac:dyDescent="0.35">
      <c r="A2131" t="s">
        <v>117</v>
      </c>
      <c r="E2131">
        <v>1.1166763945005583E-3</v>
      </c>
      <c r="F2131">
        <f t="shared" si="72"/>
        <v>-1.674829833072403E-2</v>
      </c>
      <c r="G2131">
        <f t="shared" si="73"/>
        <v>-3.0347222380202821E-2</v>
      </c>
    </row>
    <row r="2132" spans="1:7" x14ac:dyDescent="0.35">
      <c r="A2132" t="s">
        <v>117</v>
      </c>
      <c r="E2132">
        <v>-4.9428146023435785E-4</v>
      </c>
      <c r="F2132">
        <f t="shared" si="72"/>
        <v>-1.6757164371662185E-2</v>
      </c>
      <c r="G2132">
        <f t="shared" si="73"/>
        <v>-3.0347222380202821E-2</v>
      </c>
    </row>
    <row r="2133" spans="1:7" x14ac:dyDescent="0.35">
      <c r="A2133" t="s">
        <v>117</v>
      </c>
      <c r="E2133">
        <v>4.5796073428661094E-4</v>
      </c>
      <c r="F2133">
        <f t="shared" si="72"/>
        <v>-1.6766030412600337E-2</v>
      </c>
      <c r="G2133">
        <f t="shared" si="73"/>
        <v>-3.0347222380202821E-2</v>
      </c>
    </row>
    <row r="2134" spans="1:7" x14ac:dyDescent="0.35">
      <c r="A2134" t="s">
        <v>117</v>
      </c>
      <c r="E2134">
        <v>-3.1367701320030024E-3</v>
      </c>
      <c r="F2134">
        <f t="shared" si="72"/>
        <v>-1.6774896453538489E-2</v>
      </c>
      <c r="G2134">
        <f t="shared" si="73"/>
        <v>-3.0347222380202821E-2</v>
      </c>
    </row>
    <row r="2135" spans="1:7" x14ac:dyDescent="0.35">
      <c r="A2135" t="s">
        <v>117</v>
      </c>
      <c r="E2135">
        <v>1.0825565284096247E-2</v>
      </c>
      <c r="F2135">
        <f t="shared" si="72"/>
        <v>-1.6783762494476644E-2</v>
      </c>
      <c r="G2135">
        <f t="shared" si="73"/>
        <v>-3.0347222380202821E-2</v>
      </c>
    </row>
    <row r="2136" spans="1:7" x14ac:dyDescent="0.35">
      <c r="A2136" t="s">
        <v>117</v>
      </c>
      <c r="E2136">
        <v>-5.364313792205689E-3</v>
      </c>
      <c r="F2136">
        <f t="shared" si="72"/>
        <v>-1.6792628535414796E-2</v>
      </c>
      <c r="G2136">
        <f t="shared" si="73"/>
        <v>-3.0347222380202821E-2</v>
      </c>
    </row>
    <row r="2137" spans="1:7" x14ac:dyDescent="0.35">
      <c r="A2137" t="s">
        <v>117</v>
      </c>
      <c r="E2137">
        <v>4.1373857717183146E-4</v>
      </c>
      <c r="F2137">
        <f t="shared" si="72"/>
        <v>-1.6801494576352952E-2</v>
      </c>
      <c r="G2137">
        <f t="shared" si="73"/>
        <v>-3.0347222380202821E-2</v>
      </c>
    </row>
    <row r="2138" spans="1:7" x14ac:dyDescent="0.35">
      <c r="A2138" t="s">
        <v>117</v>
      </c>
      <c r="E2138">
        <v>4.0979217126164078E-3</v>
      </c>
      <c r="F2138">
        <f t="shared" si="72"/>
        <v>-1.6810360617291104E-2</v>
      </c>
      <c r="G2138">
        <f t="shared" si="73"/>
        <v>-3.0347222380202821E-2</v>
      </c>
    </row>
    <row r="2139" spans="1:7" x14ac:dyDescent="0.35">
      <c r="A2139" t="s">
        <v>117</v>
      </c>
      <c r="E2139">
        <v>-3.0417189793768961E-3</v>
      </c>
      <c r="F2139">
        <f t="shared" si="72"/>
        <v>-1.6819226658229255E-2</v>
      </c>
      <c r="G2139">
        <f t="shared" si="73"/>
        <v>-3.0347222380202821E-2</v>
      </c>
    </row>
    <row r="2140" spans="1:7" x14ac:dyDescent="0.35">
      <c r="A2140" t="s">
        <v>117</v>
      </c>
      <c r="E2140">
        <v>6.2277171086113896E-3</v>
      </c>
      <c r="F2140">
        <f t="shared" si="72"/>
        <v>-1.6828092699167411E-2</v>
      </c>
      <c r="G2140">
        <f t="shared" si="73"/>
        <v>-3.0347222380202821E-2</v>
      </c>
    </row>
    <row r="2141" spans="1:7" x14ac:dyDescent="0.35">
      <c r="A2141" t="s">
        <v>118</v>
      </c>
      <c r="B2141" s="3" cm="1">
        <f t="array" ref="B2141">_xlfn.STDEV.S(_xlfn._xlws.FILTER($E$2013:$E$3011, $A$2013:$A$3011="2018-08"))</f>
        <v>5.5554867909588775E-3</v>
      </c>
      <c r="C2141" s="3" cm="1">
        <f t="array" ref="C2141">AVERAGE(_xlfn._xlws.FILTER($E$2013:$E$3011, $A$2013:$A$3011="2018-08"))</f>
        <v>-2.1485637150464305E-3</v>
      </c>
      <c r="D2141" s="3" cm="1">
        <f t="array" ref="D2141">_xlfn.PERCENTILE.EXC(_xlfn._xlws.FILTER($E$1498:$E$2489, $A$1498:$A$2489="2018-08"), 0.05)</f>
        <v>-1.1314683464002773E-2</v>
      </c>
      <c r="E2141">
        <v>-9.9666578997282141E-3</v>
      </c>
      <c r="F2141">
        <f t="shared" si="72"/>
        <v>-1.6847862539482353E-2</v>
      </c>
      <c r="G2141">
        <f t="shared" si="73"/>
        <v>-3.0510103460697224E-2</v>
      </c>
    </row>
    <row r="2142" spans="1:7" x14ac:dyDescent="0.35">
      <c r="A2142" t="s">
        <v>118</v>
      </c>
      <c r="E2142">
        <v>-1.1464464082255502E-2</v>
      </c>
      <c r="F2142">
        <f t="shared" si="72"/>
        <v>-1.6867632379797295E-2</v>
      </c>
      <c r="G2142">
        <f t="shared" si="73"/>
        <v>-3.0510103460697224E-2</v>
      </c>
    </row>
    <row r="2143" spans="1:7" x14ac:dyDescent="0.35">
      <c r="A2143" t="s">
        <v>118</v>
      </c>
      <c r="E2143">
        <v>1.1050364961406973E-2</v>
      </c>
      <c r="F2143">
        <f t="shared" si="72"/>
        <v>-1.6887402220112237E-2</v>
      </c>
      <c r="G2143">
        <f t="shared" si="73"/>
        <v>-3.0510103460697224E-2</v>
      </c>
    </row>
    <row r="2144" spans="1:7" x14ac:dyDescent="0.35">
      <c r="A2144" t="s">
        <v>118</v>
      </c>
      <c r="E2144">
        <v>-2.4705721631935779E-3</v>
      </c>
      <c r="F2144">
        <f t="shared" si="72"/>
        <v>-1.6907172060427175E-2</v>
      </c>
      <c r="G2144">
        <f t="shared" si="73"/>
        <v>-3.0510103460697224E-2</v>
      </c>
    </row>
    <row r="2145" spans="1:7" x14ac:dyDescent="0.35">
      <c r="A2145" t="s">
        <v>118</v>
      </c>
      <c r="E2145">
        <v>4.9751958363255374E-3</v>
      </c>
      <c r="F2145">
        <f t="shared" si="72"/>
        <v>-1.6926941900742124E-2</v>
      </c>
      <c r="G2145">
        <f t="shared" si="73"/>
        <v>-3.0510103460697224E-2</v>
      </c>
    </row>
    <row r="2146" spans="1:7" x14ac:dyDescent="0.35">
      <c r="A2146" t="s">
        <v>118</v>
      </c>
      <c r="E2146">
        <v>1.9932674249849985E-3</v>
      </c>
      <c r="F2146">
        <f t="shared" si="72"/>
        <v>-1.6946711741057066E-2</v>
      </c>
      <c r="G2146">
        <f t="shared" si="73"/>
        <v>-3.0510103460697224E-2</v>
      </c>
    </row>
    <row r="2147" spans="1:7" x14ac:dyDescent="0.35">
      <c r="A2147" t="s">
        <v>118</v>
      </c>
      <c r="E2147">
        <v>-3.7000244247298738E-3</v>
      </c>
      <c r="F2147">
        <f t="shared" si="72"/>
        <v>-1.6966481581372008E-2</v>
      </c>
      <c r="G2147">
        <f t="shared" si="73"/>
        <v>-3.0510103460697224E-2</v>
      </c>
    </row>
    <row r="2148" spans="1:7" x14ac:dyDescent="0.35">
      <c r="A2148" t="s">
        <v>118</v>
      </c>
      <c r="E2148">
        <v>-4.0142486544088377E-3</v>
      </c>
      <c r="F2148">
        <f t="shared" si="72"/>
        <v>-1.698625142168695E-2</v>
      </c>
      <c r="G2148">
        <f t="shared" si="73"/>
        <v>-3.0510103460697224E-2</v>
      </c>
    </row>
    <row r="2149" spans="1:7" x14ac:dyDescent="0.35">
      <c r="A2149" t="s">
        <v>118</v>
      </c>
      <c r="E2149">
        <v>-2.7419398553703688E-3</v>
      </c>
      <c r="F2149">
        <f t="shared" si="72"/>
        <v>-1.7006021262001892E-2</v>
      </c>
      <c r="G2149">
        <f t="shared" si="73"/>
        <v>-3.0510103460697224E-2</v>
      </c>
    </row>
    <row r="2150" spans="1:7" x14ac:dyDescent="0.35">
      <c r="A2150" t="s">
        <v>118</v>
      </c>
      <c r="E2150">
        <v>-2.0577307790721252E-3</v>
      </c>
      <c r="F2150">
        <f t="shared" si="72"/>
        <v>-1.7025791102316837E-2</v>
      </c>
      <c r="G2150">
        <f t="shared" si="73"/>
        <v>-3.0510103460697224E-2</v>
      </c>
    </row>
    <row r="2151" spans="1:7" x14ac:dyDescent="0.35">
      <c r="A2151" t="s">
        <v>118</v>
      </c>
      <c r="E2151">
        <v>-9.774998601055707E-3</v>
      </c>
      <c r="F2151">
        <f t="shared" si="72"/>
        <v>-1.7045560942631779E-2</v>
      </c>
      <c r="G2151">
        <f t="shared" si="73"/>
        <v>-3.0510103460697224E-2</v>
      </c>
    </row>
    <row r="2152" spans="1:7" x14ac:dyDescent="0.35">
      <c r="A2152" t="s">
        <v>118</v>
      </c>
      <c r="E2152">
        <v>-1.8510967523023602E-3</v>
      </c>
      <c r="F2152">
        <f t="shared" si="72"/>
        <v>-1.7065330782946721E-2</v>
      </c>
      <c r="G2152">
        <f t="shared" si="73"/>
        <v>-3.0510103460697224E-2</v>
      </c>
    </row>
    <row r="2153" spans="1:7" x14ac:dyDescent="0.35">
      <c r="A2153" t="s">
        <v>118</v>
      </c>
      <c r="E2153">
        <v>4.4861664895496037E-3</v>
      </c>
      <c r="F2153">
        <f t="shared" si="72"/>
        <v>-1.7085100623261663E-2</v>
      </c>
      <c r="G2153">
        <f t="shared" si="73"/>
        <v>-3.0510103460697224E-2</v>
      </c>
    </row>
    <row r="2154" spans="1:7" x14ac:dyDescent="0.35">
      <c r="A2154" t="s">
        <v>118</v>
      </c>
      <c r="E2154">
        <v>-4.8925703503266875E-3</v>
      </c>
      <c r="F2154">
        <f t="shared" si="72"/>
        <v>-1.7104870463576605E-2</v>
      </c>
      <c r="G2154">
        <f t="shared" si="73"/>
        <v>-3.0510103460697224E-2</v>
      </c>
    </row>
    <row r="2155" spans="1:7" x14ac:dyDescent="0.35">
      <c r="A2155" t="s">
        <v>118</v>
      </c>
      <c r="E2155">
        <v>7.7650389665567766E-4</v>
      </c>
      <c r="F2155">
        <f t="shared" si="72"/>
        <v>-1.7124640303891551E-2</v>
      </c>
      <c r="G2155">
        <f t="shared" si="73"/>
        <v>-3.0510103460697224E-2</v>
      </c>
    </row>
    <row r="2156" spans="1:7" x14ac:dyDescent="0.35">
      <c r="A2156" t="s">
        <v>118</v>
      </c>
      <c r="E2156">
        <v>-5.7399608400187365E-3</v>
      </c>
      <c r="F2156">
        <f t="shared" si="72"/>
        <v>-1.7144410144206493E-2</v>
      </c>
      <c r="G2156">
        <f t="shared" si="73"/>
        <v>-3.0510103460697224E-2</v>
      </c>
    </row>
    <row r="2157" spans="1:7" x14ac:dyDescent="0.35">
      <c r="A2157" t="s">
        <v>118</v>
      </c>
      <c r="E2157">
        <v>-1.2634281945599899E-3</v>
      </c>
      <c r="F2157">
        <f t="shared" si="72"/>
        <v>-1.7164179984521435E-2</v>
      </c>
      <c r="G2157">
        <f t="shared" si="73"/>
        <v>-3.0510103460697224E-2</v>
      </c>
    </row>
    <row r="2158" spans="1:7" x14ac:dyDescent="0.35">
      <c r="A2158" t="s">
        <v>118</v>
      </c>
      <c r="E2158">
        <v>5.0285516960791331E-5</v>
      </c>
      <c r="F2158">
        <f t="shared" si="72"/>
        <v>-1.7183949824836377E-2</v>
      </c>
      <c r="G2158">
        <f t="shared" si="73"/>
        <v>-3.0510103460697224E-2</v>
      </c>
    </row>
    <row r="2159" spans="1:7" x14ac:dyDescent="0.35">
      <c r="A2159" t="s">
        <v>118</v>
      </c>
      <c r="E2159">
        <v>3.0315023402345065E-3</v>
      </c>
      <c r="F2159">
        <f t="shared" si="72"/>
        <v>-1.7203719665151319E-2</v>
      </c>
      <c r="G2159">
        <f t="shared" si="73"/>
        <v>-3.0510103460697224E-2</v>
      </c>
    </row>
    <row r="2160" spans="1:7" x14ac:dyDescent="0.35">
      <c r="A2160" t="s">
        <v>118</v>
      </c>
      <c r="E2160">
        <v>-1.8408600726357747E-3</v>
      </c>
      <c r="F2160">
        <f t="shared" si="72"/>
        <v>-1.7223489505466264E-2</v>
      </c>
      <c r="G2160">
        <f t="shared" si="73"/>
        <v>-3.0510103460697224E-2</v>
      </c>
    </row>
    <row r="2161" spans="1:7" x14ac:dyDescent="0.35">
      <c r="A2161" t="s">
        <v>118</v>
      </c>
      <c r="E2161">
        <v>-9.7045718124353867E-3</v>
      </c>
      <c r="F2161">
        <f t="shared" si="72"/>
        <v>-1.7227217706913996E-2</v>
      </c>
      <c r="G2161">
        <f t="shared" si="73"/>
        <v>-3.0672135338200041E-2</v>
      </c>
    </row>
    <row r="2162" spans="1:7" x14ac:dyDescent="0.35">
      <c r="A2162" t="s">
        <v>119</v>
      </c>
      <c r="B2162" s="3" cm="1">
        <f t="array" ref="B2162">_xlfn.STDEV.S(_xlfn._xlws.FILTER($E$2013:$E$3011, $A$2013:$A$3011="2018-09"))</f>
        <v>5.0279820406890306E-3</v>
      </c>
      <c r="C2162" s="3" cm="1">
        <f t="array" ref="C2162">AVERAGE(_xlfn._xlws.FILTER($E$2013:$E$3011, $A$2013:$A$3011="2018-09"))</f>
        <v>7.5788399318000058E-4</v>
      </c>
      <c r="D2162" s="3" cm="1">
        <f t="array" ref="D2162">_xlfn.PERCENTILE.EXC(_xlfn._xlws.FILTER($E$1498:$E$2489, $A$1498:$A$2489="2018-09"), 0.05)</f>
        <v>-9.6219073815937781E-3</v>
      </c>
      <c r="E2162">
        <v>1.7319119970008177E-3</v>
      </c>
      <c r="F2162">
        <f t="shared" si="72"/>
        <v>-1.7230945908361731E-2</v>
      </c>
      <c r="G2162">
        <f t="shared" si="73"/>
        <v>-3.0672135338200041E-2</v>
      </c>
    </row>
    <row r="2163" spans="1:7" x14ac:dyDescent="0.35">
      <c r="A2163" t="s">
        <v>119</v>
      </c>
      <c r="E2163">
        <v>-5.155895830741334E-3</v>
      </c>
      <c r="F2163">
        <f t="shared" si="72"/>
        <v>-1.7234674109809462E-2</v>
      </c>
      <c r="G2163">
        <f t="shared" si="73"/>
        <v>-3.0672135338200041E-2</v>
      </c>
    </row>
    <row r="2164" spans="1:7" x14ac:dyDescent="0.35">
      <c r="A2164" t="s">
        <v>119</v>
      </c>
      <c r="E2164">
        <v>-9.7800648683091084E-3</v>
      </c>
      <c r="F2164">
        <f t="shared" si="72"/>
        <v>-1.7238402311257197E-2</v>
      </c>
      <c r="G2164">
        <f t="shared" si="73"/>
        <v>-3.0672135338200041E-2</v>
      </c>
    </row>
    <row r="2165" spans="1:7" x14ac:dyDescent="0.35">
      <c r="A2165" t="s">
        <v>119</v>
      </c>
      <c r="E2165">
        <v>-6.6169151340025115E-3</v>
      </c>
      <c r="F2165">
        <f t="shared" si="72"/>
        <v>-1.7242130512704928E-2</v>
      </c>
      <c r="G2165">
        <f t="shared" si="73"/>
        <v>-3.0672135338200041E-2</v>
      </c>
    </row>
    <row r="2166" spans="1:7" x14ac:dyDescent="0.35">
      <c r="A2166" t="s">
        <v>119</v>
      </c>
      <c r="E2166">
        <v>-6.7408993408661362E-4</v>
      </c>
      <c r="F2166">
        <f t="shared" si="72"/>
        <v>-1.7245858714152663E-2</v>
      </c>
      <c r="G2166">
        <f t="shared" si="73"/>
        <v>-3.0672135338200041E-2</v>
      </c>
    </row>
    <row r="2167" spans="1:7" x14ac:dyDescent="0.35">
      <c r="A2167" t="s">
        <v>119</v>
      </c>
      <c r="E2167">
        <v>4.5480298638832725E-3</v>
      </c>
      <c r="F2167">
        <f t="shared" si="72"/>
        <v>-1.7249586915600395E-2</v>
      </c>
      <c r="G2167">
        <f t="shared" si="73"/>
        <v>-3.0672135338200041E-2</v>
      </c>
    </row>
    <row r="2168" spans="1:7" x14ac:dyDescent="0.35">
      <c r="A2168" t="s">
        <v>119</v>
      </c>
      <c r="E2168">
        <v>-1.3603452554090886E-3</v>
      </c>
      <c r="F2168">
        <f t="shared" si="72"/>
        <v>-1.725331511704813E-2</v>
      </c>
      <c r="G2168">
        <f t="shared" si="73"/>
        <v>-3.0672135338200041E-2</v>
      </c>
    </row>
    <row r="2169" spans="1:7" x14ac:dyDescent="0.35">
      <c r="A2169" t="s">
        <v>119</v>
      </c>
      <c r="E2169">
        <v>5.9176859543838018E-3</v>
      </c>
      <c r="F2169">
        <f t="shared" si="72"/>
        <v>-1.7257043318495861E-2</v>
      </c>
      <c r="G2169">
        <f t="shared" si="73"/>
        <v>-3.0672135338200041E-2</v>
      </c>
    </row>
    <row r="2170" spans="1:7" x14ac:dyDescent="0.35">
      <c r="A2170" t="s">
        <v>119</v>
      </c>
      <c r="E2170">
        <v>-4.8252275489775896E-3</v>
      </c>
      <c r="F2170">
        <f t="shared" si="72"/>
        <v>-1.7260771519943596E-2</v>
      </c>
      <c r="G2170">
        <f t="shared" si="73"/>
        <v>-3.0672135338200041E-2</v>
      </c>
    </row>
    <row r="2171" spans="1:7" x14ac:dyDescent="0.35">
      <c r="A2171" t="s">
        <v>119</v>
      </c>
      <c r="E2171">
        <v>3.847890261284495E-3</v>
      </c>
      <c r="F2171">
        <f t="shared" si="72"/>
        <v>-1.7264499721391328E-2</v>
      </c>
      <c r="G2171">
        <f t="shared" si="73"/>
        <v>-3.0672135338200041E-2</v>
      </c>
    </row>
    <row r="2172" spans="1:7" x14ac:dyDescent="0.35">
      <c r="A2172" t="s">
        <v>119</v>
      </c>
      <c r="E2172">
        <v>1.3199611904856766E-3</v>
      </c>
      <c r="F2172">
        <f t="shared" si="72"/>
        <v>-1.7268227922839063E-2</v>
      </c>
      <c r="G2172">
        <f t="shared" si="73"/>
        <v>-3.0672135338200041E-2</v>
      </c>
    </row>
    <row r="2173" spans="1:7" x14ac:dyDescent="0.35">
      <c r="A2173" t="s">
        <v>119</v>
      </c>
      <c r="E2173">
        <v>1.0107182321655438E-3</v>
      </c>
      <c r="F2173">
        <f t="shared" si="72"/>
        <v>-1.7271956124286794E-2</v>
      </c>
      <c r="G2173">
        <f t="shared" si="73"/>
        <v>-3.0672135338200041E-2</v>
      </c>
    </row>
    <row r="2174" spans="1:7" x14ac:dyDescent="0.35">
      <c r="A2174" t="s">
        <v>119</v>
      </c>
      <c r="E2174">
        <v>4.2956697240287356E-3</v>
      </c>
      <c r="F2174">
        <f t="shared" si="72"/>
        <v>-1.7275684325734529E-2</v>
      </c>
      <c r="G2174">
        <f t="shared" si="73"/>
        <v>-3.0672135338200041E-2</v>
      </c>
    </row>
    <row r="2175" spans="1:7" x14ac:dyDescent="0.35">
      <c r="A2175" t="s">
        <v>119</v>
      </c>
      <c r="E2175">
        <v>4.8128684129166164E-3</v>
      </c>
      <c r="F2175">
        <f t="shared" si="72"/>
        <v>-1.7279412527182264E-2</v>
      </c>
      <c r="G2175">
        <f t="shared" si="73"/>
        <v>-3.0672135338200041E-2</v>
      </c>
    </row>
    <row r="2176" spans="1:7" x14ac:dyDescent="0.35">
      <c r="A2176" t="s">
        <v>119</v>
      </c>
      <c r="E2176">
        <v>5.6007589828096158E-3</v>
      </c>
      <c r="F2176">
        <f t="shared" si="72"/>
        <v>-1.7283140728629996E-2</v>
      </c>
      <c r="G2176">
        <f t="shared" si="73"/>
        <v>-3.0672135338200041E-2</v>
      </c>
    </row>
    <row r="2177" spans="1:7" x14ac:dyDescent="0.35">
      <c r="A2177" t="s">
        <v>119</v>
      </c>
      <c r="E2177">
        <v>-3.0851776151317248E-3</v>
      </c>
      <c r="F2177">
        <f t="shared" si="72"/>
        <v>-1.7286868930077727E-2</v>
      </c>
      <c r="G2177">
        <f t="shared" si="73"/>
        <v>-3.0672135338200041E-2</v>
      </c>
    </row>
    <row r="2178" spans="1:7" x14ac:dyDescent="0.35">
      <c r="A2178" t="s">
        <v>119</v>
      </c>
      <c r="E2178">
        <v>9.3114735419813442E-3</v>
      </c>
      <c r="F2178">
        <f t="shared" si="72"/>
        <v>-1.7290597131525462E-2</v>
      </c>
      <c r="G2178">
        <f t="shared" si="73"/>
        <v>-3.0672135338200041E-2</v>
      </c>
    </row>
    <row r="2179" spans="1:7" x14ac:dyDescent="0.35">
      <c r="A2179" t="s">
        <v>119</v>
      </c>
      <c r="E2179">
        <v>3.0677423420491269E-3</v>
      </c>
      <c r="F2179">
        <f t="shared" si="72"/>
        <v>-1.7294325332973193E-2</v>
      </c>
      <c r="G2179">
        <f t="shared" si="73"/>
        <v>-3.0672135338200041E-2</v>
      </c>
    </row>
    <row r="2180" spans="1:7" x14ac:dyDescent="0.35">
      <c r="A2180" t="s">
        <v>119</v>
      </c>
      <c r="E2180">
        <v>5.3184250295313209E-3</v>
      </c>
      <c r="F2180">
        <f t="shared" ref="F2180:F2243" si="74">_xlfn.PERCENTILE.EXC(E2180:E5995,0.05)</f>
        <v>-1.7298053534420928E-2</v>
      </c>
      <c r="G2180">
        <f t="shared" ref="G2180:G2243" si="75">AVERAGEIFS(E2180:E5996,E2180:E5996,"&lt;=" &amp; F2180)</f>
        <v>-3.0672135338200041E-2</v>
      </c>
    </row>
    <row r="2181" spans="1:7" x14ac:dyDescent="0.35">
      <c r="A2181" t="s">
        <v>119</v>
      </c>
      <c r="E2181">
        <v>-4.1277394822623907E-3</v>
      </c>
      <c r="F2181">
        <f t="shared" si="74"/>
        <v>-1.7299135986657072E-2</v>
      </c>
      <c r="G2181">
        <f t="shared" si="75"/>
        <v>-3.0837247459234357E-2</v>
      </c>
    </row>
    <row r="2182" spans="1:7" x14ac:dyDescent="0.35">
      <c r="A2182" t="s">
        <v>120</v>
      </c>
      <c r="B2182" s="3" cm="1">
        <f t="array" ref="B2182">_xlfn.STDEV.S(_xlfn._xlws.FILTER($E$2013:$E$3011, $A$2013:$A$3011="2018-10"))</f>
        <v>9.1159588182433797E-3</v>
      </c>
      <c r="C2182" s="3" cm="1">
        <f t="array" ref="C2182">AVERAGE(_xlfn._xlws.FILTER($E$2013:$E$3011, $A$2013:$A$3011="2018-10"))</f>
        <v>-2.166801822140138E-3</v>
      </c>
      <c r="D2182" s="3" cm="1">
        <f t="array" ref="D2182">_xlfn.PERCENTILE.EXC(_xlfn._xlws.FILTER($E$1498:$E$2489, $A$1498:$A$2489="2018-10"), 0.05)</f>
        <v>-2.1868012070064769E-2</v>
      </c>
      <c r="E2182">
        <v>1.4087120473089273E-3</v>
      </c>
      <c r="F2182">
        <f t="shared" si="74"/>
        <v>-1.7300218438893216E-2</v>
      </c>
      <c r="G2182">
        <f t="shared" si="75"/>
        <v>-3.0837247459234357E-2</v>
      </c>
    </row>
    <row r="2183" spans="1:7" x14ac:dyDescent="0.35">
      <c r="A2183" t="s">
        <v>120</v>
      </c>
      <c r="E2183">
        <v>-5.4158074561422966E-3</v>
      </c>
      <c r="F2183">
        <f t="shared" si="74"/>
        <v>-1.730130089112936E-2</v>
      </c>
      <c r="G2183">
        <f t="shared" si="75"/>
        <v>-3.0837247459234357E-2</v>
      </c>
    </row>
    <row r="2184" spans="1:7" x14ac:dyDescent="0.35">
      <c r="A2184" t="s">
        <v>120</v>
      </c>
      <c r="E2184">
        <v>-1.2398499455429425E-3</v>
      </c>
      <c r="F2184">
        <f t="shared" si="74"/>
        <v>-1.7302383343365507E-2</v>
      </c>
      <c r="G2184">
        <f t="shared" si="75"/>
        <v>-3.0837247459234357E-2</v>
      </c>
    </row>
    <row r="2185" spans="1:7" x14ac:dyDescent="0.35">
      <c r="A2185" t="s">
        <v>120</v>
      </c>
      <c r="E2185">
        <v>-7.8906705534045173E-3</v>
      </c>
      <c r="F2185">
        <f t="shared" si="74"/>
        <v>-1.7303465795601651E-2</v>
      </c>
      <c r="G2185">
        <f t="shared" si="75"/>
        <v>-3.0837247459234357E-2</v>
      </c>
    </row>
    <row r="2186" spans="1:7" x14ac:dyDescent="0.35">
      <c r="A2186" t="s">
        <v>120</v>
      </c>
      <c r="E2186">
        <v>-1.0369487616727504E-2</v>
      </c>
      <c r="F2186">
        <f t="shared" si="74"/>
        <v>-1.7304548247837795E-2</v>
      </c>
      <c r="G2186">
        <f t="shared" si="75"/>
        <v>-3.0837247459234357E-2</v>
      </c>
    </row>
    <row r="2187" spans="1:7" x14ac:dyDescent="0.35">
      <c r="A2187" t="s">
        <v>120</v>
      </c>
      <c r="E2187">
        <v>4.9390885835471606E-3</v>
      </c>
      <c r="F2187">
        <f t="shared" si="74"/>
        <v>-1.7305630700073939E-2</v>
      </c>
      <c r="G2187">
        <f t="shared" si="75"/>
        <v>-3.0837247459234357E-2</v>
      </c>
    </row>
    <row r="2188" spans="1:7" x14ac:dyDescent="0.35">
      <c r="A2188" t="s">
        <v>120</v>
      </c>
      <c r="E2188">
        <v>-1.1824145806330897E-2</v>
      </c>
      <c r="F2188">
        <f t="shared" si="74"/>
        <v>-1.7306713152310083E-2</v>
      </c>
      <c r="G2188">
        <f t="shared" si="75"/>
        <v>-3.0837247459234357E-2</v>
      </c>
    </row>
    <row r="2189" spans="1:7" x14ac:dyDescent="0.35">
      <c r="A2189" t="s">
        <v>120</v>
      </c>
      <c r="E2189">
        <v>-2.3640459057782514E-2</v>
      </c>
      <c r="F2189">
        <f t="shared" si="74"/>
        <v>-1.7307795604546226E-2</v>
      </c>
      <c r="G2189">
        <f t="shared" si="75"/>
        <v>-3.0837247459234357E-2</v>
      </c>
    </row>
    <row r="2190" spans="1:7" x14ac:dyDescent="0.35">
      <c r="A2190" t="s">
        <v>120</v>
      </c>
      <c r="E2190">
        <v>-3.7238447661459818E-3</v>
      </c>
      <c r="F2190">
        <f t="shared" si="74"/>
        <v>-1.7260771519943596E-2</v>
      </c>
      <c r="G2190">
        <f t="shared" si="75"/>
        <v>-3.0758946156476806E-2</v>
      </c>
    </row>
    <row r="2191" spans="1:7" x14ac:dyDescent="0.35">
      <c r="A2191" t="s">
        <v>120</v>
      </c>
      <c r="E2191">
        <v>3.0115653078719596E-3</v>
      </c>
      <c r="F2191">
        <f t="shared" si="74"/>
        <v>-1.7264499721391328E-2</v>
      </c>
      <c r="G2191">
        <f t="shared" si="75"/>
        <v>-3.0758946156476806E-2</v>
      </c>
    </row>
    <row r="2192" spans="1:7" x14ac:dyDescent="0.35">
      <c r="A2192" t="s">
        <v>120</v>
      </c>
      <c r="E2192">
        <v>6.3132360740563807E-3</v>
      </c>
      <c r="F2192">
        <f t="shared" si="74"/>
        <v>-1.7268227922839063E-2</v>
      </c>
      <c r="G2192">
        <f t="shared" si="75"/>
        <v>-3.0758946156476806E-2</v>
      </c>
    </row>
    <row r="2193" spans="1:7" x14ac:dyDescent="0.35">
      <c r="A2193" t="s">
        <v>120</v>
      </c>
      <c r="E2193">
        <v>9.2015095796549621E-4</v>
      </c>
      <c r="F2193">
        <f t="shared" si="74"/>
        <v>-1.7271956124286794E-2</v>
      </c>
      <c r="G2193">
        <f t="shared" si="75"/>
        <v>-3.0758946156476806E-2</v>
      </c>
    </row>
    <row r="2194" spans="1:7" x14ac:dyDescent="0.35">
      <c r="A2194" t="s">
        <v>120</v>
      </c>
      <c r="E2194">
        <v>-6.6134795810214309E-3</v>
      </c>
      <c r="F2194">
        <f t="shared" si="74"/>
        <v>-1.7275684325734529E-2</v>
      </c>
      <c r="G2194">
        <f t="shared" si="75"/>
        <v>-3.0758946156476806E-2</v>
      </c>
    </row>
    <row r="2195" spans="1:7" x14ac:dyDescent="0.35">
      <c r="A2195" t="s">
        <v>120</v>
      </c>
      <c r="E2195">
        <v>1.0568493944044218E-3</v>
      </c>
      <c r="F2195">
        <f t="shared" si="74"/>
        <v>-1.7279412527182264E-2</v>
      </c>
      <c r="G2195">
        <f t="shared" si="75"/>
        <v>-3.0758946156476806E-2</v>
      </c>
    </row>
    <row r="2196" spans="1:7" x14ac:dyDescent="0.35">
      <c r="A2196" t="s">
        <v>120</v>
      </c>
      <c r="E2196">
        <v>-4.0834352884683107E-3</v>
      </c>
      <c r="F2196">
        <f t="shared" si="74"/>
        <v>-1.7283140728629996E-2</v>
      </c>
      <c r="G2196">
        <f t="shared" si="75"/>
        <v>-3.0758946156476806E-2</v>
      </c>
    </row>
    <row r="2197" spans="1:7" x14ac:dyDescent="0.35">
      <c r="A2197" t="s">
        <v>120</v>
      </c>
      <c r="E2197">
        <v>-1.1722126460281632E-2</v>
      </c>
      <c r="F2197">
        <f t="shared" si="74"/>
        <v>-1.7286868930077727E-2</v>
      </c>
      <c r="G2197">
        <f t="shared" si="75"/>
        <v>-3.0758946156476806E-2</v>
      </c>
    </row>
    <row r="2198" spans="1:7" x14ac:dyDescent="0.35">
      <c r="A2198" t="s">
        <v>120</v>
      </c>
      <c r="E2198">
        <v>2.4259935843109549E-4</v>
      </c>
      <c r="F2198">
        <f t="shared" si="74"/>
        <v>-1.7290597131525462E-2</v>
      </c>
      <c r="G2198">
        <f t="shared" si="75"/>
        <v>-3.0758946156476806E-2</v>
      </c>
    </row>
    <row r="2199" spans="1:7" x14ac:dyDescent="0.35">
      <c r="A2199" t="s">
        <v>120</v>
      </c>
      <c r="E2199">
        <v>2.9872874531760864E-3</v>
      </c>
      <c r="F2199">
        <f t="shared" si="74"/>
        <v>-1.7294325332973193E-2</v>
      </c>
      <c r="G2199">
        <f t="shared" si="75"/>
        <v>-3.0758946156476806E-2</v>
      </c>
    </row>
    <row r="2200" spans="1:7" x14ac:dyDescent="0.35">
      <c r="A2200" t="s">
        <v>120</v>
      </c>
      <c r="E2200">
        <v>-1.0741858673750056E-2</v>
      </c>
      <c r="F2200">
        <f t="shared" si="74"/>
        <v>-1.7298053534420928E-2</v>
      </c>
      <c r="G2200">
        <f t="shared" si="75"/>
        <v>-3.0758946156476806E-2</v>
      </c>
    </row>
    <row r="2201" spans="1:7" x14ac:dyDescent="0.35">
      <c r="A2201" t="s">
        <v>120</v>
      </c>
      <c r="E2201">
        <v>1.1020477846647933E-2</v>
      </c>
      <c r="F2201">
        <f t="shared" si="74"/>
        <v>-1.7299135986657072E-2</v>
      </c>
      <c r="G2201">
        <f t="shared" si="75"/>
        <v>-3.0927207314252504E-2</v>
      </c>
    </row>
    <row r="2202" spans="1:7" x14ac:dyDescent="0.35">
      <c r="A2202" t="s">
        <v>120</v>
      </c>
      <c r="E2202">
        <v>-2.5039174572472895E-3</v>
      </c>
      <c r="F2202">
        <f t="shared" si="74"/>
        <v>-1.7300218438893216E-2</v>
      </c>
      <c r="G2202">
        <f t="shared" si="75"/>
        <v>-3.0927207314252504E-2</v>
      </c>
    </row>
    <row r="2203" spans="1:7" x14ac:dyDescent="0.35">
      <c r="A2203" t="s">
        <v>120</v>
      </c>
      <c r="E2203">
        <v>2.019947555235288E-2</v>
      </c>
      <c r="F2203">
        <f t="shared" si="74"/>
        <v>-1.730130089112936E-2</v>
      </c>
      <c r="G2203">
        <f t="shared" si="75"/>
        <v>-3.0927207314252504E-2</v>
      </c>
    </row>
    <row r="2204" spans="1:7" x14ac:dyDescent="0.35">
      <c r="A2204" t="s">
        <v>121</v>
      </c>
      <c r="B2204" s="3" cm="1">
        <f t="array" ref="B2204">_xlfn.STDEV.S(_xlfn._xlws.FILTER($E$2013:$E$3011, $A$2013:$A$3011="2018-11"))</f>
        <v>7.8575599769844587E-3</v>
      </c>
      <c r="C2204" s="3" cm="1">
        <f t="array" ref="C2204">AVERAGE(_xlfn._xlws.FILTER($E$2013:$E$3011, $A$2013:$A$3011="2018-11"))</f>
        <v>-9.8896088899063728E-4</v>
      </c>
      <c r="D2204" s="3" cm="1">
        <f t="array" ref="D2204">_xlfn.PERCENTILE.EXC(_xlfn._xlws.FILTER($E$1498:$E$2489, $A$1498:$A$2489="2018-11"), 0.05)</f>
        <v>-1.6054901409773017E-2</v>
      </c>
      <c r="E2204">
        <v>8.2036332136600758E-3</v>
      </c>
      <c r="F2204">
        <f t="shared" si="74"/>
        <v>-1.7302383343365507E-2</v>
      </c>
      <c r="G2204">
        <f t="shared" si="75"/>
        <v>-3.0927207314252504E-2</v>
      </c>
    </row>
    <row r="2205" spans="1:7" x14ac:dyDescent="0.35">
      <c r="A2205" t="s">
        <v>121</v>
      </c>
      <c r="E2205">
        <v>-3.7467938911342012E-3</v>
      </c>
      <c r="F2205">
        <f t="shared" si="74"/>
        <v>-1.7303465795601651E-2</v>
      </c>
      <c r="G2205">
        <f t="shared" si="75"/>
        <v>-3.0927207314252504E-2</v>
      </c>
    </row>
    <row r="2206" spans="1:7" x14ac:dyDescent="0.35">
      <c r="A2206" t="s">
        <v>121</v>
      </c>
      <c r="E2206">
        <v>4.7040674761588599E-3</v>
      </c>
      <c r="F2206">
        <f t="shared" si="74"/>
        <v>-1.7304548247837795E-2</v>
      </c>
      <c r="G2206">
        <f t="shared" si="75"/>
        <v>-3.0927207314252504E-2</v>
      </c>
    </row>
    <row r="2207" spans="1:7" x14ac:dyDescent="0.35">
      <c r="A2207" t="s">
        <v>121</v>
      </c>
      <c r="E2207">
        <v>-5.2875824520421831E-3</v>
      </c>
      <c r="F2207">
        <f t="shared" si="74"/>
        <v>-1.7305630700073939E-2</v>
      </c>
      <c r="G2207">
        <f t="shared" si="75"/>
        <v>-3.0927207314252504E-2</v>
      </c>
    </row>
    <row r="2208" spans="1:7" x14ac:dyDescent="0.35">
      <c r="A2208" t="s">
        <v>121</v>
      </c>
      <c r="E2208">
        <v>1.1458344940237414E-2</v>
      </c>
      <c r="F2208">
        <f t="shared" si="74"/>
        <v>-1.7306713152310083E-2</v>
      </c>
      <c r="G2208">
        <f t="shared" si="75"/>
        <v>-3.0927207314252504E-2</v>
      </c>
    </row>
    <row r="2209" spans="1:7" x14ac:dyDescent="0.35">
      <c r="A2209" t="s">
        <v>121</v>
      </c>
      <c r="E2209">
        <v>4.8460708159693763E-3</v>
      </c>
      <c r="F2209">
        <f t="shared" si="74"/>
        <v>-1.7307795604546226E-2</v>
      </c>
      <c r="G2209">
        <f t="shared" si="75"/>
        <v>-3.0927207314252504E-2</v>
      </c>
    </row>
    <row r="2210" spans="1:7" x14ac:dyDescent="0.35">
      <c r="A2210" t="s">
        <v>121</v>
      </c>
      <c r="E2210">
        <v>-8.4163197872070012E-3</v>
      </c>
      <c r="F2210">
        <f t="shared" si="74"/>
        <v>-1.730887805678237E-2</v>
      </c>
      <c r="G2210">
        <f t="shared" si="75"/>
        <v>-3.0927207314252504E-2</v>
      </c>
    </row>
    <row r="2211" spans="1:7" x14ac:dyDescent="0.35">
      <c r="A2211" t="s">
        <v>121</v>
      </c>
      <c r="E2211">
        <v>-9.4329022008446239E-3</v>
      </c>
      <c r="F2211">
        <f t="shared" si="74"/>
        <v>-1.7309960509018518E-2</v>
      </c>
      <c r="G2211">
        <f t="shared" si="75"/>
        <v>-3.0927207314252504E-2</v>
      </c>
    </row>
    <row r="2212" spans="1:7" x14ac:dyDescent="0.35">
      <c r="A2212" t="s">
        <v>121</v>
      </c>
      <c r="E2212">
        <v>7.6054456007846605E-3</v>
      </c>
      <c r="F2212">
        <f t="shared" si="74"/>
        <v>-1.7311042961254661E-2</v>
      </c>
      <c r="G2212">
        <f t="shared" si="75"/>
        <v>-3.0927207314252504E-2</v>
      </c>
    </row>
    <row r="2213" spans="1:7" x14ac:dyDescent="0.35">
      <c r="A2213" t="s">
        <v>121</v>
      </c>
      <c r="E2213">
        <v>-6.7744530249849028E-3</v>
      </c>
      <c r="F2213">
        <f t="shared" si="74"/>
        <v>-1.7312125413490805E-2</v>
      </c>
      <c r="G2213">
        <f t="shared" si="75"/>
        <v>-3.0927207314252504E-2</v>
      </c>
    </row>
    <row r="2214" spans="1:7" x14ac:dyDescent="0.35">
      <c r="A2214" t="s">
        <v>121</v>
      </c>
      <c r="E2214">
        <v>-1.7223489505466264E-2</v>
      </c>
      <c r="F2214">
        <f t="shared" si="74"/>
        <v>-1.7313207865726949E-2</v>
      </c>
      <c r="G2214">
        <f t="shared" si="75"/>
        <v>-3.0927207314252504E-2</v>
      </c>
    </row>
    <row r="2215" spans="1:7" x14ac:dyDescent="0.35">
      <c r="A2215" t="s">
        <v>121</v>
      </c>
      <c r="E2215">
        <v>-6.2600694455476865E-3</v>
      </c>
      <c r="F2215">
        <f t="shared" si="74"/>
        <v>-1.7314290317963093E-2</v>
      </c>
      <c r="G2215">
        <f t="shared" si="75"/>
        <v>-3.0927207314252504E-2</v>
      </c>
    </row>
    <row r="2216" spans="1:7" x14ac:dyDescent="0.35">
      <c r="A2216" t="s">
        <v>121</v>
      </c>
      <c r="E2216">
        <v>-2.6834759670080169E-3</v>
      </c>
      <c r="F2216">
        <f t="shared" si="74"/>
        <v>-1.7315372770199237E-2</v>
      </c>
      <c r="G2216">
        <f t="shared" si="75"/>
        <v>-3.0927207314252504E-2</v>
      </c>
    </row>
    <row r="2217" spans="1:7" x14ac:dyDescent="0.35">
      <c r="A2217" t="s">
        <v>121</v>
      </c>
      <c r="E2217">
        <v>-5.4795006133975107E-3</v>
      </c>
      <c r="F2217">
        <f t="shared" si="74"/>
        <v>-1.7316455222435384E-2</v>
      </c>
      <c r="G2217">
        <f t="shared" si="75"/>
        <v>-3.0927207314252504E-2</v>
      </c>
    </row>
    <row r="2218" spans="1:7" x14ac:dyDescent="0.35">
      <c r="A2218" t="s">
        <v>121</v>
      </c>
      <c r="E2218">
        <v>1.200134860987348E-2</v>
      </c>
      <c r="F2218">
        <f t="shared" si="74"/>
        <v>-1.7317537674671528E-2</v>
      </c>
      <c r="G2218">
        <f t="shared" si="75"/>
        <v>-3.0927207314252504E-2</v>
      </c>
    </row>
    <row r="2219" spans="1:7" x14ac:dyDescent="0.35">
      <c r="A2219" t="s">
        <v>121</v>
      </c>
      <c r="E2219">
        <v>-7.0277515317496708E-3</v>
      </c>
      <c r="F2219">
        <f t="shared" si="74"/>
        <v>-1.7318620126907672E-2</v>
      </c>
      <c r="G2219">
        <f t="shared" si="75"/>
        <v>-3.0927207314252504E-2</v>
      </c>
    </row>
    <row r="2220" spans="1:7" x14ac:dyDescent="0.35">
      <c r="A2220" t="s">
        <v>121</v>
      </c>
      <c r="E2220">
        <v>3.6316981457738671E-4</v>
      </c>
      <c r="F2220">
        <f t="shared" si="74"/>
        <v>-1.7319702579143816E-2</v>
      </c>
      <c r="G2220">
        <f t="shared" si="75"/>
        <v>-3.0927207314252504E-2</v>
      </c>
    </row>
    <row r="2221" spans="1:7" x14ac:dyDescent="0.35">
      <c r="A2221" t="s">
        <v>121</v>
      </c>
      <c r="E2221">
        <v>1.2314309992740835E-2</v>
      </c>
      <c r="F2221">
        <f t="shared" si="74"/>
        <v>-1.7347454757152752E-2</v>
      </c>
      <c r="G2221">
        <f t="shared" si="75"/>
        <v>-3.1099454209633625E-2</v>
      </c>
    </row>
    <row r="2222" spans="1:7" x14ac:dyDescent="0.35">
      <c r="A2222" t="s">
        <v>121</v>
      </c>
      <c r="E2222">
        <v>-4.5260627314743602E-3</v>
      </c>
      <c r="F2222">
        <f t="shared" si="74"/>
        <v>-1.7375206935161692E-2</v>
      </c>
      <c r="G2222">
        <f t="shared" si="75"/>
        <v>-3.1099454209633625E-2</v>
      </c>
    </row>
    <row r="2223" spans="1:7" x14ac:dyDescent="0.35">
      <c r="A2223" t="s">
        <v>121</v>
      </c>
      <c r="E2223">
        <v>-1.4916936771295726E-3</v>
      </c>
      <c r="F2223">
        <f t="shared" si="74"/>
        <v>-1.7402959113170628E-2</v>
      </c>
      <c r="G2223">
        <f t="shared" si="75"/>
        <v>-3.1099454209633625E-2</v>
      </c>
    </row>
    <row r="2224" spans="1:7" x14ac:dyDescent="0.35">
      <c r="A2224" t="s">
        <v>121</v>
      </c>
      <c r="E2224">
        <v>3.1768010980542873E-4</v>
      </c>
      <c r="F2224">
        <f t="shared" si="74"/>
        <v>-1.7430711291179568E-2</v>
      </c>
      <c r="G2224">
        <f t="shared" si="75"/>
        <v>-3.1099454209633625E-2</v>
      </c>
    </row>
    <row r="2225" spans="1:7" x14ac:dyDescent="0.35">
      <c r="A2225" t="s">
        <v>121</v>
      </c>
      <c r="E2225">
        <v>-5.2211153036155486E-3</v>
      </c>
      <c r="F2225">
        <f t="shared" si="74"/>
        <v>-1.7458463469188511E-2</v>
      </c>
      <c r="G2225">
        <f t="shared" si="75"/>
        <v>-3.1099454209633625E-2</v>
      </c>
    </row>
    <row r="2226" spans="1:7" x14ac:dyDescent="0.35">
      <c r="A2226" t="s">
        <v>122</v>
      </c>
      <c r="B2226" s="3" cm="1">
        <f t="array" ref="B2226">_xlfn.STDEV.S(_xlfn._xlws.FILTER($E$2013:$E$3011, $A$2013:$A$3011="2018-12"))</f>
        <v>1.5041547953491665E-2</v>
      </c>
      <c r="C2226" s="3" cm="1">
        <f t="array" ref="C2226">AVERAGE(_xlfn._xlws.FILTER($E$2013:$E$3011, $A$2013:$A$3011="2018-12"))</f>
        <v>-3.0184851964728913E-3</v>
      </c>
      <c r="D2226" s="3" cm="1">
        <f t="array" ref="D2226">_xlfn.PERCENTILE.INC(_xlfn._xlws.FILTER($E$1498:$E$2489, $A$1498:$A$2489="2018-12"), 0.05)</f>
        <v>-2.6306456858190351E-2</v>
      </c>
      <c r="E2226">
        <v>7.3304981880524247E-3</v>
      </c>
      <c r="F2226">
        <f t="shared" si="74"/>
        <v>-1.7486215647197451E-2</v>
      </c>
      <c r="G2226">
        <f t="shared" si="75"/>
        <v>-3.1099454209633625E-2</v>
      </c>
    </row>
    <row r="2227" spans="1:7" x14ac:dyDescent="0.35">
      <c r="A2227" t="s">
        <v>122</v>
      </c>
      <c r="E2227">
        <v>-6.7129342213021921E-3</v>
      </c>
      <c r="F2227">
        <f t="shared" si="74"/>
        <v>-1.7513967825206388E-2</v>
      </c>
      <c r="G2227">
        <f t="shared" si="75"/>
        <v>-3.1099454209633625E-2</v>
      </c>
    </row>
    <row r="2228" spans="1:7" x14ac:dyDescent="0.35">
      <c r="A2228" t="s">
        <v>122</v>
      </c>
      <c r="E2228">
        <v>-1.2499809459017821E-2</v>
      </c>
      <c r="F2228">
        <f t="shared" si="74"/>
        <v>-1.7541720003215324E-2</v>
      </c>
      <c r="G2228">
        <f t="shared" si="75"/>
        <v>-3.1099454209633625E-2</v>
      </c>
    </row>
    <row r="2229" spans="1:7" x14ac:dyDescent="0.35">
      <c r="A2229" t="s">
        <v>122</v>
      </c>
      <c r="E2229">
        <v>-3.1622786644691814E-2</v>
      </c>
      <c r="F2229">
        <f t="shared" si="74"/>
        <v>-1.7569472181224264E-2</v>
      </c>
      <c r="G2229">
        <f t="shared" si="75"/>
        <v>-3.1099454209633625E-2</v>
      </c>
    </row>
    <row r="2230" spans="1:7" x14ac:dyDescent="0.35">
      <c r="A2230" t="s">
        <v>122</v>
      </c>
      <c r="E2230">
        <v>5.2696668019654586E-3</v>
      </c>
      <c r="F2230">
        <f t="shared" si="74"/>
        <v>-1.730887805678237E-2</v>
      </c>
      <c r="G2230">
        <f t="shared" si="75"/>
        <v>-3.0918402512601376E-2</v>
      </c>
    </row>
    <row r="2231" spans="1:7" x14ac:dyDescent="0.35">
      <c r="A2231" t="s">
        <v>122</v>
      </c>
      <c r="E2231">
        <v>-1.8588735538909544E-2</v>
      </c>
      <c r="F2231">
        <f t="shared" si="74"/>
        <v>-1.7309960509018518E-2</v>
      </c>
      <c r="G2231">
        <f t="shared" si="75"/>
        <v>-3.0918402512601376E-2</v>
      </c>
    </row>
    <row r="2232" spans="1:7" x14ac:dyDescent="0.35">
      <c r="A2232" t="s">
        <v>122</v>
      </c>
      <c r="E2232">
        <v>1.2492908303041325E-2</v>
      </c>
      <c r="F2232">
        <f t="shared" si="74"/>
        <v>-1.711006920031952E-2</v>
      </c>
      <c r="G2232">
        <f t="shared" si="75"/>
        <v>-3.0902064765709114E-2</v>
      </c>
    </row>
    <row r="2233" spans="1:7" x14ac:dyDescent="0.35">
      <c r="A2233" t="s">
        <v>122</v>
      </c>
      <c r="E2233">
        <v>1.6241932691878822E-2</v>
      </c>
      <c r="F2233">
        <f t="shared" si="74"/>
        <v>-1.7133567242082193E-2</v>
      </c>
      <c r="G2233">
        <f t="shared" si="75"/>
        <v>-3.0902064765709114E-2</v>
      </c>
    </row>
    <row r="2234" spans="1:7" x14ac:dyDescent="0.35">
      <c r="A2234" t="s">
        <v>122</v>
      </c>
      <c r="E2234">
        <v>-2.1385336909141695E-4</v>
      </c>
      <c r="F2234">
        <f t="shared" si="74"/>
        <v>-1.7157065283844867E-2</v>
      </c>
      <c r="G2234">
        <f t="shared" si="75"/>
        <v>-3.0902064765709114E-2</v>
      </c>
    </row>
    <row r="2235" spans="1:7" x14ac:dyDescent="0.35">
      <c r="A2235" t="s">
        <v>122</v>
      </c>
      <c r="E2235">
        <v>-4.7694479786158286E-3</v>
      </c>
      <c r="F2235">
        <f t="shared" si="74"/>
        <v>-1.7180563325607551E-2</v>
      </c>
      <c r="G2235">
        <f t="shared" si="75"/>
        <v>-3.0902064765709114E-2</v>
      </c>
    </row>
    <row r="2236" spans="1:7" x14ac:dyDescent="0.35">
      <c r="A2236" t="s">
        <v>122</v>
      </c>
      <c r="E2236">
        <v>-1.1166116686431969E-2</v>
      </c>
      <c r="F2236">
        <f t="shared" si="74"/>
        <v>-1.7204061367370224E-2</v>
      </c>
      <c r="G2236">
        <f t="shared" si="75"/>
        <v>-3.0902064765709114E-2</v>
      </c>
    </row>
    <row r="2237" spans="1:7" x14ac:dyDescent="0.35">
      <c r="A2237" t="s">
        <v>122</v>
      </c>
      <c r="E2237">
        <v>-1.0001455206856E-2</v>
      </c>
      <c r="F2237">
        <f t="shared" si="74"/>
        <v>-1.7227559409132898E-2</v>
      </c>
      <c r="G2237">
        <f t="shared" si="75"/>
        <v>-3.0902064765709114E-2</v>
      </c>
    </row>
    <row r="2238" spans="1:7" x14ac:dyDescent="0.35">
      <c r="A2238" t="s">
        <v>122</v>
      </c>
      <c r="E2238">
        <v>5.5118008466369019E-3</v>
      </c>
      <c r="F2238">
        <f t="shared" si="74"/>
        <v>-1.7251057450895571E-2</v>
      </c>
      <c r="G2238">
        <f t="shared" si="75"/>
        <v>-3.0902064765709114E-2</v>
      </c>
    </row>
    <row r="2239" spans="1:7" x14ac:dyDescent="0.35">
      <c r="A2239" t="s">
        <v>122</v>
      </c>
      <c r="E2239">
        <v>-9.1702159506384159E-3</v>
      </c>
      <c r="F2239">
        <f t="shared" si="74"/>
        <v>-1.7274555492658248E-2</v>
      </c>
      <c r="G2239">
        <f t="shared" si="75"/>
        <v>-3.0902064765709114E-2</v>
      </c>
    </row>
    <row r="2240" spans="1:7" x14ac:dyDescent="0.35">
      <c r="A2240" t="s">
        <v>122</v>
      </c>
      <c r="E2240">
        <v>4.7645663776831959E-3</v>
      </c>
      <c r="F2240">
        <f t="shared" si="74"/>
        <v>-1.7298053534420928E-2</v>
      </c>
      <c r="G2240">
        <f t="shared" si="75"/>
        <v>-3.0902064765709114E-2</v>
      </c>
    </row>
    <row r="2241" spans="1:7" x14ac:dyDescent="0.35">
      <c r="A2241" t="s">
        <v>122</v>
      </c>
      <c r="E2241">
        <v>-2.4977374411564987E-2</v>
      </c>
      <c r="F2241">
        <f t="shared" si="74"/>
        <v>-1.7299135986657072E-2</v>
      </c>
      <c r="G2241">
        <f t="shared" si="75"/>
        <v>-3.107647516611025E-2</v>
      </c>
    </row>
    <row r="2242" spans="1:7" x14ac:dyDescent="0.35">
      <c r="A2242" t="s">
        <v>122</v>
      </c>
      <c r="E2242">
        <v>2.6797107917822707E-2</v>
      </c>
      <c r="F2242">
        <f t="shared" si="74"/>
        <v>-1.6875088782692761E-2</v>
      </c>
      <c r="G2242">
        <f t="shared" si="75"/>
        <v>-3.0978022334351991E-2</v>
      </c>
    </row>
    <row r="2243" spans="1:7" x14ac:dyDescent="0.35">
      <c r="A2243" t="s">
        <v>123</v>
      </c>
      <c r="B2243" s="3" cm="1">
        <f t="array" ref="B2243">_xlfn.STDEV.S(_xlfn._xlws.FILTER($E$2013:$E$3011, $A$2013:$A$3011="2019-01"))</f>
        <v>8.5856330615929118E-3</v>
      </c>
      <c r="C2243" s="3" cm="1">
        <f t="array" ref="C2243">AVERAGE(_xlfn._xlws.FILTER($E$2013:$E$3011, $A$2013:$A$3011="2019-01"))</f>
        <v>3.012089929730699E-3</v>
      </c>
      <c r="D2243" s="3" cm="1">
        <f t="array" ref="D2243">_xlfn.PERCENTILE.EXC(_xlfn._xlws.FILTER($E$1498:$E$2489, $A$1498:$A$2489="2019-01"), 0.05)</f>
        <v>-1.1507661063356456E-2</v>
      </c>
      <c r="E2243">
        <v>4.8800527957037956E-4</v>
      </c>
      <c r="F2243">
        <f t="shared" si="74"/>
        <v>-1.6898586824455435E-2</v>
      </c>
      <c r="G2243">
        <f t="shared" si="75"/>
        <v>-3.0978022334351991E-2</v>
      </c>
    </row>
    <row r="2244" spans="1:7" x14ac:dyDescent="0.35">
      <c r="A2244" t="s">
        <v>123</v>
      </c>
      <c r="E2244">
        <v>-7.3832531394049166E-3</v>
      </c>
      <c r="F2244">
        <f t="shared" ref="F2244:F2307" si="76">_xlfn.PERCENTILE.EXC(E2244:E6059,0.05)</f>
        <v>-1.6922084866218108E-2</v>
      </c>
      <c r="G2244">
        <f t="shared" ref="G2244:G2307" si="77">AVERAGEIFS(E2244:E6060,E2244:E6060,"&lt;=" &amp; F2244)</f>
        <v>-3.0978022334351991E-2</v>
      </c>
    </row>
    <row r="2245" spans="1:7" x14ac:dyDescent="0.35">
      <c r="A2245" t="s">
        <v>123</v>
      </c>
      <c r="E2245">
        <v>2.7328606956860027E-2</v>
      </c>
      <c r="F2245">
        <f t="shared" si="76"/>
        <v>-1.6945582907980788E-2</v>
      </c>
      <c r="G2245">
        <f t="shared" si="77"/>
        <v>-3.0978022334351991E-2</v>
      </c>
    </row>
    <row r="2246" spans="1:7" x14ac:dyDescent="0.35">
      <c r="A2246" t="s">
        <v>123</v>
      </c>
      <c r="E2246">
        <v>-5.6326349723300299E-3</v>
      </c>
      <c r="F2246">
        <f t="shared" si="76"/>
        <v>-1.6969080949743465E-2</v>
      </c>
      <c r="G2246">
        <f t="shared" si="77"/>
        <v>-3.0978022334351991E-2</v>
      </c>
    </row>
    <row r="2247" spans="1:7" x14ac:dyDescent="0.35">
      <c r="A2247" t="s">
        <v>123</v>
      </c>
      <c r="E2247">
        <v>4.8061650996013552E-3</v>
      </c>
      <c r="F2247">
        <f t="shared" si="76"/>
        <v>-1.6992578991506139E-2</v>
      </c>
      <c r="G2247">
        <f t="shared" si="77"/>
        <v>-3.0978022334351991E-2</v>
      </c>
    </row>
    <row r="2248" spans="1:7" x14ac:dyDescent="0.35">
      <c r="A2248" t="s">
        <v>123</v>
      </c>
      <c r="E2248">
        <v>3.7461297361700498E-3</v>
      </c>
      <c r="F2248">
        <f t="shared" si="76"/>
        <v>-1.7016077033268812E-2</v>
      </c>
      <c r="G2248">
        <f t="shared" si="77"/>
        <v>-3.0978022334351991E-2</v>
      </c>
    </row>
    <row r="2249" spans="1:7" x14ac:dyDescent="0.35">
      <c r="A2249" t="s">
        <v>123</v>
      </c>
      <c r="E2249">
        <v>5.6185557345140909E-3</v>
      </c>
      <c r="F2249">
        <f t="shared" si="76"/>
        <v>-1.7039575075031489E-2</v>
      </c>
      <c r="G2249">
        <f t="shared" si="77"/>
        <v>-3.0978022334351991E-2</v>
      </c>
    </row>
    <row r="2250" spans="1:7" x14ac:dyDescent="0.35">
      <c r="A2250" t="s">
        <v>123</v>
      </c>
      <c r="E2250">
        <v>6.9504721087486733E-3</v>
      </c>
      <c r="F2250">
        <f t="shared" si="76"/>
        <v>-1.706307311679417E-2</v>
      </c>
      <c r="G2250">
        <f t="shared" si="77"/>
        <v>-3.0978022334351991E-2</v>
      </c>
    </row>
    <row r="2251" spans="1:7" x14ac:dyDescent="0.35">
      <c r="A2251" t="s">
        <v>123</v>
      </c>
      <c r="E2251">
        <v>-6.318752699050423E-3</v>
      </c>
      <c r="F2251">
        <f t="shared" si="76"/>
        <v>-1.7086571158556843E-2</v>
      </c>
      <c r="G2251">
        <f t="shared" si="77"/>
        <v>-3.0978022334351991E-2</v>
      </c>
    </row>
    <row r="2252" spans="1:7" x14ac:dyDescent="0.35">
      <c r="A2252" t="s">
        <v>123</v>
      </c>
      <c r="E2252">
        <v>1.0155834907519807E-3</v>
      </c>
      <c r="F2252">
        <f t="shared" si="76"/>
        <v>-1.711006920031952E-2</v>
      </c>
      <c r="G2252">
        <f t="shared" si="77"/>
        <v>-3.0978022334351991E-2</v>
      </c>
    </row>
    <row r="2253" spans="1:7" x14ac:dyDescent="0.35">
      <c r="A2253" t="s">
        <v>123</v>
      </c>
      <c r="E2253">
        <v>3.9583299371257156E-3</v>
      </c>
      <c r="F2253">
        <f t="shared" si="76"/>
        <v>-1.7133567242082193E-2</v>
      </c>
      <c r="G2253">
        <f t="shared" si="77"/>
        <v>-3.0978022334351991E-2</v>
      </c>
    </row>
    <row r="2254" spans="1:7" x14ac:dyDescent="0.35">
      <c r="A2254" t="s">
        <v>123</v>
      </c>
      <c r="E2254">
        <v>5.5324836760052105E-3</v>
      </c>
      <c r="F2254">
        <f t="shared" si="76"/>
        <v>-1.7157065283844867E-2</v>
      </c>
      <c r="G2254">
        <f t="shared" si="77"/>
        <v>-3.0978022334351991E-2</v>
      </c>
    </row>
    <row r="2255" spans="1:7" x14ac:dyDescent="0.35">
      <c r="A2255" t="s">
        <v>123</v>
      </c>
      <c r="E2255">
        <v>1.6077895634162766E-2</v>
      </c>
      <c r="F2255">
        <f t="shared" si="76"/>
        <v>-1.7180563325607551E-2</v>
      </c>
      <c r="G2255">
        <f t="shared" si="77"/>
        <v>-3.0978022334351991E-2</v>
      </c>
    </row>
    <row r="2256" spans="1:7" x14ac:dyDescent="0.35">
      <c r="A2256" t="s">
        <v>123</v>
      </c>
      <c r="E2256">
        <v>1.4235684567232582E-4</v>
      </c>
      <c r="F2256">
        <f t="shared" si="76"/>
        <v>-1.7204061367370224E-2</v>
      </c>
      <c r="G2256">
        <f t="shared" si="77"/>
        <v>-3.0978022334351991E-2</v>
      </c>
    </row>
    <row r="2257" spans="1:7" x14ac:dyDescent="0.35">
      <c r="A2257" t="s">
        <v>123</v>
      </c>
      <c r="E2257">
        <v>-4.805891717952487E-3</v>
      </c>
      <c r="F2257">
        <f t="shared" si="76"/>
        <v>-1.7227559409132898E-2</v>
      </c>
      <c r="G2257">
        <f t="shared" si="77"/>
        <v>-3.0978022334351991E-2</v>
      </c>
    </row>
    <row r="2258" spans="1:7" x14ac:dyDescent="0.35">
      <c r="A2258" t="s">
        <v>123</v>
      </c>
      <c r="E2258">
        <v>-2.7857723553037193E-3</v>
      </c>
      <c r="F2258">
        <f t="shared" si="76"/>
        <v>-1.7251057450895571E-2</v>
      </c>
      <c r="G2258">
        <f t="shared" si="77"/>
        <v>-3.0978022334351991E-2</v>
      </c>
    </row>
    <row r="2259" spans="1:7" x14ac:dyDescent="0.35">
      <c r="A2259" t="s">
        <v>123</v>
      </c>
      <c r="E2259">
        <v>1.0244696168619308E-3</v>
      </c>
      <c r="F2259">
        <f t="shared" si="76"/>
        <v>-1.7274555492658248E-2</v>
      </c>
      <c r="G2259">
        <f t="shared" si="77"/>
        <v>-3.0978022334351991E-2</v>
      </c>
    </row>
    <row r="2260" spans="1:7" x14ac:dyDescent="0.35">
      <c r="A2260" t="s">
        <v>123</v>
      </c>
      <c r="E2260">
        <v>1.2875661822740617E-3</v>
      </c>
      <c r="F2260">
        <f t="shared" si="76"/>
        <v>-1.7298053534420928E-2</v>
      </c>
      <c r="G2260">
        <f t="shared" si="77"/>
        <v>-3.0978022334351991E-2</v>
      </c>
    </row>
    <row r="2261" spans="1:7" x14ac:dyDescent="0.35">
      <c r="A2261" t="s">
        <v>123</v>
      </c>
      <c r="E2261">
        <v>-1.2235497755818493E-2</v>
      </c>
      <c r="F2261">
        <f t="shared" si="76"/>
        <v>-1.7299135986657072E-2</v>
      </c>
      <c r="G2261">
        <f t="shared" si="77"/>
        <v>-3.1155684266818626E-2</v>
      </c>
    </row>
    <row r="2262" spans="1:7" x14ac:dyDescent="0.35">
      <c r="A2262" t="s">
        <v>123</v>
      </c>
      <c r="E2262">
        <v>1.0966564852878195E-2</v>
      </c>
      <c r="F2262">
        <f t="shared" si="76"/>
        <v>-1.7300218438893216E-2</v>
      </c>
      <c r="G2262">
        <f t="shared" si="77"/>
        <v>-3.1155684266818626E-2</v>
      </c>
    </row>
    <row r="2263" spans="1:7" x14ac:dyDescent="0.35">
      <c r="A2263" t="s">
        <v>123</v>
      </c>
      <c r="E2263">
        <v>1.0699130288532881E-2</v>
      </c>
      <c r="F2263">
        <f t="shared" si="76"/>
        <v>-1.730130089112936E-2</v>
      </c>
      <c r="G2263">
        <f t="shared" si="77"/>
        <v>-3.1155684266818626E-2</v>
      </c>
    </row>
    <row r="2264" spans="1:7" x14ac:dyDescent="0.35">
      <c r="A2264" t="s">
        <v>123</v>
      </c>
      <c r="E2264">
        <v>5.7854656542058094E-3</v>
      </c>
      <c r="F2264">
        <f t="shared" si="76"/>
        <v>-1.7302383343365507E-2</v>
      </c>
      <c r="G2264">
        <f t="shared" si="77"/>
        <v>-3.1155684266818626E-2</v>
      </c>
    </row>
    <row r="2265" spans="1:7" x14ac:dyDescent="0.35">
      <c r="A2265" t="s">
        <v>124</v>
      </c>
      <c r="B2265" s="3" cm="1">
        <f t="array" ref="B2265">_xlfn.STDEV.S(_xlfn._xlws.FILTER($E$2013:$E$3011, $A$2013:$A$3011="2019-02"))</f>
        <v>6.623069324990097E-3</v>
      </c>
      <c r="C2265" s="3" cm="1">
        <f t="array" ref="C2265">AVERAGE(_xlfn._xlws.FILTER($E$2013:$E$3011, $A$2013:$A$3011="2019-02"))</f>
        <v>1.5974895745271046E-3</v>
      </c>
      <c r="D2265" s="3" cm="1">
        <f t="array" ref="D2265">_xlfn.PERCENTILE.EXC(_xlfn._xlws.FILTER($E$1498:$E$2489, $A$1498:$A$2489="2019-02"), 0.05)</f>
        <v>-9.0417475340424207E-3</v>
      </c>
      <c r="E2265">
        <v>2.8626493347340427E-3</v>
      </c>
      <c r="F2265">
        <f t="shared" si="76"/>
        <v>-1.7303465795601651E-2</v>
      </c>
      <c r="G2265">
        <f t="shared" si="77"/>
        <v>-3.1155684266818626E-2</v>
      </c>
    </row>
    <row r="2266" spans="1:7" x14ac:dyDescent="0.35">
      <c r="A2266" t="s">
        <v>124</v>
      </c>
      <c r="E2266">
        <v>2.1599615740533849E-3</v>
      </c>
      <c r="F2266">
        <f t="shared" si="76"/>
        <v>-1.7304548247837795E-2</v>
      </c>
      <c r="G2266">
        <f t="shared" si="77"/>
        <v>-3.1155684266818626E-2</v>
      </c>
    </row>
    <row r="2267" spans="1:7" x14ac:dyDescent="0.35">
      <c r="A2267" t="s">
        <v>124</v>
      </c>
      <c r="E2267">
        <v>1.4544052726540514E-2</v>
      </c>
      <c r="F2267">
        <f t="shared" si="76"/>
        <v>-1.7305630700073939E-2</v>
      </c>
      <c r="G2267">
        <f t="shared" si="77"/>
        <v>-3.1155684266818626E-2</v>
      </c>
    </row>
    <row r="2268" spans="1:7" x14ac:dyDescent="0.35">
      <c r="A2268" t="s">
        <v>124</v>
      </c>
      <c r="E2268">
        <v>2.763504969010551E-3</v>
      </c>
      <c r="F2268">
        <f t="shared" si="76"/>
        <v>-1.7306713152310083E-2</v>
      </c>
      <c r="G2268">
        <f t="shared" si="77"/>
        <v>-3.1155684266818626E-2</v>
      </c>
    </row>
    <row r="2269" spans="1:7" x14ac:dyDescent="0.35">
      <c r="A2269" t="s">
        <v>124</v>
      </c>
      <c r="E2269">
        <v>-7.8440670209697153E-3</v>
      </c>
      <c r="F2269">
        <f t="shared" si="76"/>
        <v>-1.7307795604546226E-2</v>
      </c>
      <c r="G2269">
        <f t="shared" si="77"/>
        <v>-3.1155684266818626E-2</v>
      </c>
    </row>
    <row r="2270" spans="1:7" x14ac:dyDescent="0.35">
      <c r="A2270" t="s">
        <v>124</v>
      </c>
      <c r="E2270">
        <v>-4.1133152950615925E-3</v>
      </c>
      <c r="F2270">
        <f t="shared" si="76"/>
        <v>-1.730887805678237E-2</v>
      </c>
      <c r="G2270">
        <f t="shared" si="77"/>
        <v>-3.1155684266818626E-2</v>
      </c>
    </row>
    <row r="2271" spans="1:7" x14ac:dyDescent="0.35">
      <c r="A2271" t="s">
        <v>124</v>
      </c>
      <c r="E2271">
        <v>7.2514908338836628E-3</v>
      </c>
      <c r="F2271">
        <f t="shared" si="76"/>
        <v>-1.7309960509018518E-2</v>
      </c>
      <c r="G2271">
        <f t="shared" si="77"/>
        <v>-3.1155684266818626E-2</v>
      </c>
    </row>
    <row r="2272" spans="1:7" x14ac:dyDescent="0.35">
      <c r="A2272" t="s">
        <v>124</v>
      </c>
      <c r="E2272">
        <v>-8.2028461230058774E-4</v>
      </c>
      <c r="F2272">
        <f t="shared" si="76"/>
        <v>-1.7311042961254661E-2</v>
      </c>
      <c r="G2272">
        <f t="shared" si="77"/>
        <v>-3.1155684266818626E-2</v>
      </c>
    </row>
    <row r="2273" spans="1:7" x14ac:dyDescent="0.35">
      <c r="A2273" t="s">
        <v>124</v>
      </c>
      <c r="E2273">
        <v>9.3095699839227455E-3</v>
      </c>
      <c r="F2273">
        <f t="shared" si="76"/>
        <v>-1.7312125413490805E-2</v>
      </c>
      <c r="G2273">
        <f t="shared" si="77"/>
        <v>-3.1155684266818626E-2</v>
      </c>
    </row>
    <row r="2274" spans="1:7" x14ac:dyDescent="0.35">
      <c r="A2274" t="s">
        <v>124</v>
      </c>
      <c r="E2274">
        <v>-4.9000841787384631E-3</v>
      </c>
      <c r="F2274">
        <f t="shared" si="76"/>
        <v>-1.7313207865726949E-2</v>
      </c>
      <c r="G2274">
        <f t="shared" si="77"/>
        <v>-3.1155684266818626E-2</v>
      </c>
    </row>
    <row r="2275" spans="1:7" x14ac:dyDescent="0.35">
      <c r="A2275" t="s">
        <v>124</v>
      </c>
      <c r="E2275">
        <v>1.2609193076791933E-2</v>
      </c>
      <c r="F2275">
        <f t="shared" si="76"/>
        <v>-1.7314290317963093E-2</v>
      </c>
      <c r="G2275">
        <f t="shared" si="77"/>
        <v>-3.1155684266818626E-2</v>
      </c>
    </row>
    <row r="2276" spans="1:7" x14ac:dyDescent="0.35">
      <c r="A2276" t="s">
        <v>124</v>
      </c>
      <c r="E2276">
        <v>-1.3267441983936664E-3</v>
      </c>
      <c r="F2276">
        <f t="shared" si="76"/>
        <v>-1.7315372770199237E-2</v>
      </c>
      <c r="G2276">
        <f t="shared" si="77"/>
        <v>-3.1155684266818626E-2</v>
      </c>
    </row>
    <row r="2277" spans="1:7" x14ac:dyDescent="0.35">
      <c r="A2277" t="s">
        <v>124</v>
      </c>
      <c r="E2277">
        <v>1.5263241216508588E-3</v>
      </c>
      <c r="F2277">
        <f t="shared" si="76"/>
        <v>-1.7316455222435384E-2</v>
      </c>
      <c r="G2277">
        <f t="shared" si="77"/>
        <v>-3.1155684266818626E-2</v>
      </c>
    </row>
    <row r="2278" spans="1:7" x14ac:dyDescent="0.35">
      <c r="A2278" t="s">
        <v>124</v>
      </c>
      <c r="E2278">
        <v>7.2681243224093483E-3</v>
      </c>
      <c r="F2278">
        <f t="shared" si="76"/>
        <v>-1.7317537674671528E-2</v>
      </c>
      <c r="G2278">
        <f t="shared" si="77"/>
        <v>-3.1155684266818626E-2</v>
      </c>
    </row>
    <row r="2279" spans="1:7" x14ac:dyDescent="0.35">
      <c r="A2279" t="s">
        <v>124</v>
      </c>
      <c r="E2279">
        <v>-9.0738441940600555E-3</v>
      </c>
      <c r="F2279">
        <f t="shared" si="76"/>
        <v>-1.7318620126907672E-2</v>
      </c>
      <c r="G2279">
        <f t="shared" si="77"/>
        <v>-3.1155684266818626E-2</v>
      </c>
    </row>
    <row r="2280" spans="1:7" x14ac:dyDescent="0.35">
      <c r="A2280" t="s">
        <v>124</v>
      </c>
      <c r="E2280">
        <v>2.4383815194386265E-3</v>
      </c>
      <c r="F2280">
        <f t="shared" si="76"/>
        <v>-1.7319702579143816E-2</v>
      </c>
      <c r="G2280">
        <f t="shared" si="77"/>
        <v>-3.1155684266818626E-2</v>
      </c>
    </row>
    <row r="2281" spans="1:7" x14ac:dyDescent="0.35">
      <c r="A2281" t="s">
        <v>124</v>
      </c>
      <c r="E2281">
        <v>1.6866874063569944E-3</v>
      </c>
      <c r="F2281">
        <f t="shared" si="76"/>
        <v>-1.7347454757152752E-2</v>
      </c>
      <c r="G2281">
        <f t="shared" si="77"/>
        <v>-3.1337736657445929E-2</v>
      </c>
    </row>
    <row r="2282" spans="1:7" x14ac:dyDescent="0.35">
      <c r="A2282" t="s">
        <v>124</v>
      </c>
      <c r="E2282">
        <v>5.4677443770812864E-3</v>
      </c>
      <c r="F2282">
        <f t="shared" si="76"/>
        <v>-1.7375206935161692E-2</v>
      </c>
      <c r="G2282">
        <f t="shared" si="77"/>
        <v>-3.1337736657445929E-2</v>
      </c>
    </row>
    <row r="2283" spans="1:7" x14ac:dyDescent="0.35">
      <c r="A2283" t="s">
        <v>124</v>
      </c>
      <c r="E2283">
        <v>-1.427642262100423E-3</v>
      </c>
      <c r="F2283">
        <f t="shared" si="76"/>
        <v>-1.7402959113170628E-2</v>
      </c>
      <c r="G2283">
        <f t="shared" si="77"/>
        <v>-3.1337736657445929E-2</v>
      </c>
    </row>
    <row r="2284" spans="1:7" x14ac:dyDescent="0.35">
      <c r="A2284" t="s">
        <v>124</v>
      </c>
      <c r="E2284">
        <v>-8.431910993707355E-3</v>
      </c>
      <c r="F2284">
        <f t="shared" si="76"/>
        <v>-1.7430711291179568E-2</v>
      </c>
      <c r="G2284">
        <f t="shared" si="77"/>
        <v>-3.1337736657445929E-2</v>
      </c>
    </row>
    <row r="2285" spans="1:7" x14ac:dyDescent="0.35">
      <c r="A2285" t="s">
        <v>125</v>
      </c>
      <c r="B2285" s="3" cm="1">
        <f t="array" ref="B2285">_xlfn.STDEV.S(_xlfn._xlws.FILTER($E$2013:$E$3011, $A$2013:$A$3011="2019-03"))</f>
        <v>7.6526236552383478E-3</v>
      </c>
      <c r="C2285" s="3" cm="1">
        <f t="array" ref="C2285">AVERAGE(_xlfn._xlws.FILTER($E$2013:$E$3011, $A$2013:$A$3011="2019-03"))</f>
        <v>1.0448966378124736E-3</v>
      </c>
      <c r="D2285" s="3" cm="1">
        <f t="array" ref="D2285">_xlfn.PERCENTILE.EXC(_xlfn._xlws.FILTER($E$1498:$E$2489, $A$1498:$A$2489="2019-03"), 0.05)</f>
        <v>-1.7252983452050896E-2</v>
      </c>
      <c r="E2285">
        <v>1.3988199134905381E-3</v>
      </c>
      <c r="F2285">
        <f t="shared" si="76"/>
        <v>-1.7458463469188511E-2</v>
      </c>
      <c r="G2285">
        <f t="shared" si="77"/>
        <v>-3.1337736657445929E-2</v>
      </c>
    </row>
    <row r="2286" spans="1:7" x14ac:dyDescent="0.35">
      <c r="A2286" t="s">
        <v>125</v>
      </c>
      <c r="E2286">
        <v>5.0491237056945254E-3</v>
      </c>
      <c r="F2286">
        <f t="shared" si="76"/>
        <v>-1.7486215647197451E-2</v>
      </c>
      <c r="G2286">
        <f t="shared" si="77"/>
        <v>-3.1337736657445929E-2</v>
      </c>
    </row>
    <row r="2287" spans="1:7" x14ac:dyDescent="0.35">
      <c r="A2287" t="s">
        <v>125</v>
      </c>
      <c r="E2287">
        <v>7.6651856181546244E-3</v>
      </c>
      <c r="F2287">
        <f t="shared" si="76"/>
        <v>-1.7513967825206388E-2</v>
      </c>
      <c r="G2287">
        <f t="shared" si="77"/>
        <v>-3.1337736657445929E-2</v>
      </c>
    </row>
    <row r="2288" spans="1:7" x14ac:dyDescent="0.35">
      <c r="A2288" t="s">
        <v>125</v>
      </c>
      <c r="E2288">
        <v>1.7630488906699847E-3</v>
      </c>
      <c r="F2288">
        <f t="shared" si="76"/>
        <v>-1.7541720003215324E-2</v>
      </c>
      <c r="G2288">
        <f t="shared" si="77"/>
        <v>-3.1337736657445929E-2</v>
      </c>
    </row>
    <row r="2289" spans="1:7" x14ac:dyDescent="0.35">
      <c r="A2289" t="s">
        <v>125</v>
      </c>
      <c r="E2289">
        <v>-7.2883544566781607E-4</v>
      </c>
      <c r="F2289">
        <f t="shared" si="76"/>
        <v>-1.7569472181224271E-2</v>
      </c>
      <c r="G2289">
        <f t="shared" si="77"/>
        <v>-3.1337736657445929E-2</v>
      </c>
    </row>
    <row r="2290" spans="1:7" x14ac:dyDescent="0.35">
      <c r="A2290" t="s">
        <v>125</v>
      </c>
      <c r="E2290">
        <v>-1.7906743029252558E-2</v>
      </c>
      <c r="F2290">
        <f t="shared" si="76"/>
        <v>-1.7597224359233207E-2</v>
      </c>
      <c r="G2290">
        <f t="shared" si="77"/>
        <v>-3.1337736657445929E-2</v>
      </c>
    </row>
    <row r="2291" spans="1:7" x14ac:dyDescent="0.35">
      <c r="A2291" t="s">
        <v>125</v>
      </c>
      <c r="E2291">
        <v>1.384179051251763E-2</v>
      </c>
      <c r="F2291">
        <f t="shared" si="76"/>
        <v>-1.7309960509018518E-2</v>
      </c>
      <c r="G2291">
        <f t="shared" si="77"/>
        <v>-3.1330012440997132E-2</v>
      </c>
    </row>
    <row r="2292" spans="1:7" x14ac:dyDescent="0.35">
      <c r="A2292" t="s">
        <v>125</v>
      </c>
      <c r="E2292">
        <v>-6.9545382309257183E-3</v>
      </c>
      <c r="F2292">
        <f t="shared" si="76"/>
        <v>-1.7311042961254661E-2</v>
      </c>
      <c r="G2292">
        <f t="shared" si="77"/>
        <v>-3.1330012440997132E-2</v>
      </c>
    </row>
    <row r="2293" spans="1:7" x14ac:dyDescent="0.35">
      <c r="A2293" t="s">
        <v>125</v>
      </c>
      <c r="E2293">
        <v>9.9444022321196982E-3</v>
      </c>
      <c r="F2293">
        <f t="shared" si="76"/>
        <v>-1.7312125413490805E-2</v>
      </c>
      <c r="G2293">
        <f t="shared" si="77"/>
        <v>-3.1330012440997132E-2</v>
      </c>
    </row>
    <row r="2294" spans="1:7" x14ac:dyDescent="0.35">
      <c r="A2294" t="s">
        <v>125</v>
      </c>
      <c r="E2294">
        <v>8.1695372673706943E-3</v>
      </c>
      <c r="F2294">
        <f t="shared" si="76"/>
        <v>-1.7313207865726949E-2</v>
      </c>
      <c r="G2294">
        <f t="shared" si="77"/>
        <v>-3.1330012440997132E-2</v>
      </c>
    </row>
    <row r="2295" spans="1:7" x14ac:dyDescent="0.35">
      <c r="A2295" t="s">
        <v>125</v>
      </c>
      <c r="E2295">
        <v>6.1233344915813939E-3</v>
      </c>
      <c r="F2295">
        <f t="shared" si="76"/>
        <v>-1.7314290317963093E-2</v>
      </c>
      <c r="G2295">
        <f t="shared" si="77"/>
        <v>-3.1330012440997132E-2</v>
      </c>
    </row>
    <row r="2296" spans="1:7" x14ac:dyDescent="0.35">
      <c r="A2296" t="s">
        <v>125</v>
      </c>
      <c r="E2296">
        <v>5.2095055402377154E-3</v>
      </c>
      <c r="F2296">
        <f t="shared" si="76"/>
        <v>-1.7315372770199237E-2</v>
      </c>
      <c r="G2296">
        <f t="shared" si="77"/>
        <v>-3.1330012440997132E-2</v>
      </c>
    </row>
    <row r="2297" spans="1:7" x14ac:dyDescent="0.35">
      <c r="A2297" t="s">
        <v>125</v>
      </c>
      <c r="E2297">
        <v>3.7418869064534208E-3</v>
      </c>
      <c r="F2297">
        <f t="shared" si="76"/>
        <v>-1.7316455222435384E-2</v>
      </c>
      <c r="G2297">
        <f t="shared" si="77"/>
        <v>-3.1330012440997132E-2</v>
      </c>
    </row>
    <row r="2298" spans="1:7" x14ac:dyDescent="0.35">
      <c r="A2298" t="s">
        <v>125</v>
      </c>
      <c r="E2298">
        <v>-1.136914725723593E-2</v>
      </c>
      <c r="F2298">
        <f t="shared" si="76"/>
        <v>-1.7317537674671528E-2</v>
      </c>
      <c r="G2298">
        <f t="shared" si="77"/>
        <v>-3.1330012440997132E-2</v>
      </c>
    </row>
    <row r="2299" spans="1:7" x14ac:dyDescent="0.35">
      <c r="A2299" t="s">
        <v>125</v>
      </c>
      <c r="E2299">
        <v>-7.6696342307013151E-5</v>
      </c>
      <c r="F2299">
        <f t="shared" si="76"/>
        <v>-1.7318620126907672E-2</v>
      </c>
      <c r="G2299">
        <f t="shared" si="77"/>
        <v>-3.1330012440997132E-2</v>
      </c>
    </row>
    <row r="2300" spans="1:7" x14ac:dyDescent="0.35">
      <c r="A2300" t="s">
        <v>125</v>
      </c>
      <c r="E2300">
        <v>-4.6811473110541738E-3</v>
      </c>
      <c r="F2300">
        <f t="shared" si="76"/>
        <v>-1.7319702579143816E-2</v>
      </c>
      <c r="G2300">
        <f t="shared" si="77"/>
        <v>-3.1330012440997132E-2</v>
      </c>
    </row>
    <row r="2301" spans="1:7" x14ac:dyDescent="0.35">
      <c r="A2301" t="s">
        <v>125</v>
      </c>
      <c r="E2301">
        <v>-7.3056385229493346E-3</v>
      </c>
      <c r="F2301">
        <f t="shared" si="76"/>
        <v>-1.7347454757152752E-2</v>
      </c>
      <c r="G2301">
        <f t="shared" si="77"/>
        <v>-3.1516816572488511E-2</v>
      </c>
    </row>
    <row r="2302" spans="1:7" x14ac:dyDescent="0.35">
      <c r="A2302" t="s">
        <v>125</v>
      </c>
      <c r="E2302">
        <v>8.5661767092115072E-3</v>
      </c>
      <c r="F2302">
        <f t="shared" si="76"/>
        <v>-1.7375206935161692E-2</v>
      </c>
      <c r="G2302">
        <f t="shared" si="77"/>
        <v>-3.1516816572488511E-2</v>
      </c>
    </row>
    <row r="2303" spans="1:7" x14ac:dyDescent="0.35">
      <c r="A2303" t="s">
        <v>125</v>
      </c>
      <c r="E2303">
        <v>2.0547670536246593E-3</v>
      </c>
      <c r="F2303">
        <f t="shared" si="76"/>
        <v>-1.7402959113170628E-2</v>
      </c>
      <c r="G2303">
        <f t="shared" si="77"/>
        <v>-3.1516816572488511E-2</v>
      </c>
    </row>
    <row r="2304" spans="1:7" x14ac:dyDescent="0.35">
      <c r="A2304" t="s">
        <v>125</v>
      </c>
      <c r="E2304">
        <v>-3.9289403345099975E-3</v>
      </c>
      <c r="F2304">
        <f t="shared" si="76"/>
        <v>-1.7430711291179575E-2</v>
      </c>
      <c r="G2304">
        <f t="shared" si="77"/>
        <v>-3.1516816572488511E-2</v>
      </c>
    </row>
    <row r="2305" spans="1:7" x14ac:dyDescent="0.35">
      <c r="A2305" t="s">
        <v>125</v>
      </c>
      <c r="E2305">
        <v>1.3669370268381033E-3</v>
      </c>
      <c r="F2305">
        <f t="shared" si="76"/>
        <v>-1.7458463469188511E-2</v>
      </c>
      <c r="G2305">
        <f t="shared" si="77"/>
        <v>-3.1516816572488511E-2</v>
      </c>
    </row>
    <row r="2306" spans="1:7" x14ac:dyDescent="0.35">
      <c r="A2306" t="s">
        <v>126</v>
      </c>
      <c r="B2306" s="3" cm="1">
        <f t="array" ref="B2306">_xlfn.STDEV.S(_xlfn._xlws.FILTER($E$2013:$E$3011, $A$2013:$A$3011="2019-04"))</f>
        <v>5.382224772886357E-3</v>
      </c>
      <c r="C2306" s="3" cm="1">
        <f t="array" ref="C2306">AVERAGE(_xlfn._xlws.FILTER($E$2013:$E$3011, $A$2013:$A$3011="2019-04"))</f>
        <v>1.1520125067404083E-3</v>
      </c>
      <c r="D2306" s="3" cm="1">
        <f t="array" ref="D2306">_xlfn.PERCENTILE.EXC(_xlfn._xlws.FILTER($E$1498:$E$2489, $A$1498:$A$2489="2019-04"), 0.05)</f>
        <v>-6.6315138628037819E-3</v>
      </c>
      <c r="E2306">
        <v>1.6221232014446654E-2</v>
      </c>
      <c r="F2306">
        <f t="shared" si="76"/>
        <v>-1.7486215647197451E-2</v>
      </c>
      <c r="G2306">
        <f t="shared" si="77"/>
        <v>-3.1516816572488511E-2</v>
      </c>
    </row>
    <row r="2307" spans="1:7" x14ac:dyDescent="0.35">
      <c r="A2307" t="s">
        <v>126</v>
      </c>
      <c r="E2307">
        <v>7.6238038500088378E-3</v>
      </c>
      <c r="F2307">
        <f t="shared" si="76"/>
        <v>-1.7513967825206388E-2</v>
      </c>
      <c r="G2307">
        <f t="shared" si="77"/>
        <v>-3.1516816572488511E-2</v>
      </c>
    </row>
    <row r="2308" spans="1:7" x14ac:dyDescent="0.35">
      <c r="A2308" t="s">
        <v>126</v>
      </c>
      <c r="E2308">
        <v>6.5657315555092957E-3</v>
      </c>
      <c r="F2308">
        <f t="shared" ref="F2308:F2371" si="78">_xlfn.PERCENTILE.EXC(E2308:E6123,0.05)</f>
        <v>-1.7541720003215324E-2</v>
      </c>
      <c r="G2308">
        <f t="shared" ref="G2308:G2371" si="79">AVERAGEIFS(E2308:E6124,E2308:E6124,"&lt;=" &amp; F2308)</f>
        <v>-3.1516816572488511E-2</v>
      </c>
    </row>
    <row r="2309" spans="1:7" x14ac:dyDescent="0.35">
      <c r="A2309" t="s">
        <v>126</v>
      </c>
      <c r="E2309">
        <v>-6.6834896092722246E-3</v>
      </c>
      <c r="F2309">
        <f t="shared" si="78"/>
        <v>-1.7569472181224271E-2</v>
      </c>
      <c r="G2309">
        <f t="shared" si="79"/>
        <v>-3.1516816572488511E-2</v>
      </c>
    </row>
    <row r="2310" spans="1:7" x14ac:dyDescent="0.35">
      <c r="A2310" t="s">
        <v>126</v>
      </c>
      <c r="E2310">
        <v>1.2735818300513753E-3</v>
      </c>
      <c r="F2310">
        <f t="shared" si="78"/>
        <v>-1.7597224359233207E-2</v>
      </c>
      <c r="G2310">
        <f t="shared" si="79"/>
        <v>-3.1516816572488511E-2</v>
      </c>
    </row>
    <row r="2311" spans="1:7" x14ac:dyDescent="0.35">
      <c r="A2311" t="s">
        <v>126</v>
      </c>
      <c r="E2311">
        <v>-5.7703632585114507E-4</v>
      </c>
      <c r="F2311">
        <f t="shared" si="78"/>
        <v>-1.7624976537242147E-2</v>
      </c>
      <c r="G2311">
        <f t="shared" si="79"/>
        <v>-3.1516816572488511E-2</v>
      </c>
    </row>
    <row r="2312" spans="1:7" x14ac:dyDescent="0.35">
      <c r="A2312" t="s">
        <v>126</v>
      </c>
      <c r="E2312">
        <v>-5.6439746799033762E-3</v>
      </c>
      <c r="F2312">
        <f t="shared" si="78"/>
        <v>-1.7652728715251084E-2</v>
      </c>
      <c r="G2312">
        <f t="shared" si="79"/>
        <v>-3.1516816572488511E-2</v>
      </c>
    </row>
    <row r="2313" spans="1:7" x14ac:dyDescent="0.35">
      <c r="A2313" t="s">
        <v>126</v>
      </c>
      <c r="E2313">
        <v>4.9407984718938145E-3</v>
      </c>
      <c r="F2313">
        <f t="shared" si="78"/>
        <v>-1.7680480893260023E-2</v>
      </c>
      <c r="G2313">
        <f t="shared" si="79"/>
        <v>-3.1516816572488511E-2</v>
      </c>
    </row>
    <row r="2314" spans="1:7" x14ac:dyDescent="0.35">
      <c r="A2314" t="s">
        <v>126</v>
      </c>
      <c r="E2314">
        <v>-2.4502481722816979E-3</v>
      </c>
      <c r="F2314">
        <f t="shared" si="78"/>
        <v>-1.7708233071268967E-2</v>
      </c>
      <c r="G2314">
        <f t="shared" si="79"/>
        <v>-3.1516816572488511E-2</v>
      </c>
    </row>
    <row r="2315" spans="1:7" x14ac:dyDescent="0.35">
      <c r="A2315" t="s">
        <v>126</v>
      </c>
      <c r="E2315">
        <v>5.434434354040171E-4</v>
      </c>
      <c r="F2315">
        <f t="shared" si="78"/>
        <v>-1.7735985249277907E-2</v>
      </c>
      <c r="G2315">
        <f t="shared" si="79"/>
        <v>-3.1516816572488511E-2</v>
      </c>
    </row>
    <row r="2316" spans="1:7" x14ac:dyDescent="0.35">
      <c r="A2316" t="s">
        <v>126</v>
      </c>
      <c r="E2316">
        <v>7.9362652758773529E-4</v>
      </c>
      <c r="F2316">
        <f t="shared" si="78"/>
        <v>-1.7763737427286843E-2</v>
      </c>
      <c r="G2316">
        <f t="shared" si="79"/>
        <v>-3.1516816572488511E-2</v>
      </c>
    </row>
    <row r="2317" spans="1:7" x14ac:dyDescent="0.35">
      <c r="A2317" t="s">
        <v>126</v>
      </c>
      <c r="E2317">
        <v>2.1890859013558922E-3</v>
      </c>
      <c r="F2317">
        <f t="shared" si="78"/>
        <v>-1.7791489605295783E-2</v>
      </c>
      <c r="G2317">
        <f t="shared" si="79"/>
        <v>-3.1516816572488511E-2</v>
      </c>
    </row>
    <row r="2318" spans="1:7" x14ac:dyDescent="0.35">
      <c r="A2318" t="s">
        <v>126</v>
      </c>
      <c r="E2318">
        <v>-2.025396729261881E-3</v>
      </c>
      <c r="F2318">
        <f t="shared" si="78"/>
        <v>-1.7819241783304719E-2</v>
      </c>
      <c r="G2318">
        <f t="shared" si="79"/>
        <v>-3.1516816572488511E-2</v>
      </c>
    </row>
    <row r="2319" spans="1:7" x14ac:dyDescent="0.35">
      <c r="A2319" t="s">
        <v>126</v>
      </c>
      <c r="E2319">
        <v>2.2830964774459758E-5</v>
      </c>
      <c r="F2319">
        <f t="shared" si="78"/>
        <v>-1.7846993961313666E-2</v>
      </c>
      <c r="G2319">
        <f t="shared" si="79"/>
        <v>-3.1516816572488511E-2</v>
      </c>
    </row>
    <row r="2320" spans="1:7" x14ac:dyDescent="0.35">
      <c r="A2320" t="s">
        <v>126</v>
      </c>
      <c r="E2320">
        <v>7.238093227639057E-3</v>
      </c>
      <c r="F2320">
        <f t="shared" si="78"/>
        <v>-1.7874746139322602E-2</v>
      </c>
      <c r="G2320">
        <f t="shared" si="79"/>
        <v>-3.1516816572488511E-2</v>
      </c>
    </row>
    <row r="2321" spans="1:7" x14ac:dyDescent="0.35">
      <c r="A2321" t="s">
        <v>126</v>
      </c>
      <c r="E2321">
        <v>-3.8612226138381072E-3</v>
      </c>
      <c r="F2321">
        <f t="shared" si="78"/>
        <v>-1.7885577075598812E-2</v>
      </c>
      <c r="G2321">
        <f t="shared" si="79"/>
        <v>-3.1701168875639396E-2</v>
      </c>
    </row>
    <row r="2322" spans="1:7" x14ac:dyDescent="0.35">
      <c r="A2322" t="s">
        <v>126</v>
      </c>
      <c r="E2322">
        <v>-4.6231814694394384E-3</v>
      </c>
      <c r="F2322">
        <f t="shared" si="78"/>
        <v>-1.7896408011875021E-2</v>
      </c>
      <c r="G2322">
        <f t="shared" si="79"/>
        <v>-3.1701168875639396E-2</v>
      </c>
    </row>
    <row r="2323" spans="1:7" x14ac:dyDescent="0.35">
      <c r="A2323" t="s">
        <v>126</v>
      </c>
      <c r="E2323">
        <v>-7.3133021072452093E-4</v>
      </c>
      <c r="F2323">
        <f t="shared" si="78"/>
        <v>-1.790723894815123E-2</v>
      </c>
      <c r="G2323">
        <f t="shared" si="79"/>
        <v>-3.1701168875639396E-2</v>
      </c>
    </row>
    <row r="2324" spans="1:7" x14ac:dyDescent="0.35">
      <c r="A2324" t="s">
        <v>126</v>
      </c>
      <c r="E2324">
        <v>6.616211298346344E-5</v>
      </c>
      <c r="F2324">
        <f t="shared" si="78"/>
        <v>-1.7918069884427443E-2</v>
      </c>
      <c r="G2324">
        <f t="shared" si="79"/>
        <v>-3.1701168875639396E-2</v>
      </c>
    </row>
    <row r="2325" spans="1:7" x14ac:dyDescent="0.35">
      <c r="A2325" t="s">
        <v>126</v>
      </c>
      <c r="E2325">
        <v>2.1577400537259486E-3</v>
      </c>
      <c r="F2325">
        <f t="shared" si="78"/>
        <v>-1.7928900820703648E-2</v>
      </c>
      <c r="G2325">
        <f t="shared" si="79"/>
        <v>-3.1701168875639396E-2</v>
      </c>
    </row>
    <row r="2326" spans="1:7" x14ac:dyDescent="0.35">
      <c r="A2326" t="s">
        <v>127</v>
      </c>
      <c r="B2326" s="3" cm="1">
        <f t="array" ref="B2326">_xlfn.STDEV.S(_xlfn._xlws.FILTER($E$2013:$E$3011, $A$2013:$A$3011="2019-05"))</f>
        <v>8.8790794216107062E-3</v>
      </c>
      <c r="C2326" s="3" cm="1">
        <f t="array" ref="C2326">AVERAGE(_xlfn._xlws.FILTER($E$2013:$E$3011, $A$2013:$A$3011="2019-05"))</f>
        <v>-3.1266686499815191E-3</v>
      </c>
      <c r="D2326" s="3" cm="1">
        <f t="array" ref="D2326">_xlfn.PERCENTILE.EXC(_xlfn._xlws.FILTER($E$1498:$E$2489, $A$1498:$A$2489="2019-05"), 0.05)</f>
        <v>-2.1072716725324219E-2</v>
      </c>
      <c r="E2326">
        <v>-6.9587936795612428E-3</v>
      </c>
      <c r="F2326">
        <f t="shared" si="78"/>
        <v>-1.7939731756979858E-2</v>
      </c>
      <c r="G2326">
        <f t="shared" si="79"/>
        <v>-3.1701168875639396E-2</v>
      </c>
    </row>
    <row r="2327" spans="1:7" x14ac:dyDescent="0.35">
      <c r="A2327" t="s">
        <v>127</v>
      </c>
      <c r="E2327">
        <v>1.1772602666198723E-2</v>
      </c>
      <c r="F2327">
        <f t="shared" si="78"/>
        <v>-1.7950562693256067E-2</v>
      </c>
      <c r="G2327">
        <f t="shared" si="79"/>
        <v>-3.1701168875639396E-2</v>
      </c>
    </row>
    <row r="2328" spans="1:7" x14ac:dyDescent="0.35">
      <c r="A2328" t="s">
        <v>127</v>
      </c>
      <c r="E2328">
        <v>-2.1330981536626072E-2</v>
      </c>
      <c r="F2328">
        <f t="shared" si="78"/>
        <v>-1.7961393629532276E-2</v>
      </c>
      <c r="G2328">
        <f t="shared" si="79"/>
        <v>-3.1701168875639396E-2</v>
      </c>
    </row>
    <row r="2329" spans="1:7" x14ac:dyDescent="0.35">
      <c r="A2329" t="s">
        <v>127</v>
      </c>
      <c r="E2329">
        <v>-3.7929269059688757E-3</v>
      </c>
      <c r="F2329">
        <f t="shared" si="78"/>
        <v>-1.7569472181224271E-2</v>
      </c>
      <c r="G2329">
        <f t="shared" si="79"/>
        <v>-3.1654462991892056E-2</v>
      </c>
    </row>
    <row r="2330" spans="1:7" x14ac:dyDescent="0.35">
      <c r="A2330" t="s">
        <v>127</v>
      </c>
      <c r="E2330">
        <v>-1.0041699127854974E-2</v>
      </c>
      <c r="F2330">
        <f t="shared" si="78"/>
        <v>-1.7597224359233207E-2</v>
      </c>
      <c r="G2330">
        <f t="shared" si="79"/>
        <v>-3.1654462991892056E-2</v>
      </c>
    </row>
    <row r="2331" spans="1:7" x14ac:dyDescent="0.35">
      <c r="A2331" t="s">
        <v>127</v>
      </c>
      <c r="E2331">
        <v>-1.9816834611588595E-3</v>
      </c>
      <c r="F2331">
        <f t="shared" si="78"/>
        <v>-1.7624976537242147E-2</v>
      </c>
      <c r="G2331">
        <f t="shared" si="79"/>
        <v>-3.1654462991892056E-2</v>
      </c>
    </row>
    <row r="2332" spans="1:7" x14ac:dyDescent="0.35">
      <c r="A2332" t="s">
        <v>127</v>
      </c>
      <c r="E2332">
        <v>-1.141884271482313E-2</v>
      </c>
      <c r="F2332">
        <f t="shared" si="78"/>
        <v>-1.7652728715251084E-2</v>
      </c>
      <c r="G2332">
        <f t="shared" si="79"/>
        <v>-3.1654462991892056E-2</v>
      </c>
    </row>
    <row r="2333" spans="1:7" x14ac:dyDescent="0.35">
      <c r="A2333" t="s">
        <v>127</v>
      </c>
      <c r="E2333">
        <v>1.0648966680937099E-2</v>
      </c>
      <c r="F2333">
        <f t="shared" si="78"/>
        <v>-1.7680480893260023E-2</v>
      </c>
      <c r="G2333">
        <f t="shared" si="79"/>
        <v>-3.1654462991892056E-2</v>
      </c>
    </row>
    <row r="2334" spans="1:7" x14ac:dyDescent="0.35">
      <c r="A2334" t="s">
        <v>127</v>
      </c>
      <c r="E2334">
        <v>3.8596035182074189E-3</v>
      </c>
      <c r="F2334">
        <f t="shared" si="78"/>
        <v>-1.7708233071268967E-2</v>
      </c>
      <c r="G2334">
        <f t="shared" si="79"/>
        <v>-3.1654462991892056E-2</v>
      </c>
    </row>
    <row r="2335" spans="1:7" x14ac:dyDescent="0.35">
      <c r="A2335" t="s">
        <v>127</v>
      </c>
      <c r="E2335">
        <v>4.9343089864777563E-3</v>
      </c>
      <c r="F2335">
        <f t="shared" si="78"/>
        <v>-1.7735985249277907E-2</v>
      </c>
      <c r="G2335">
        <f t="shared" si="79"/>
        <v>-3.1654462991892056E-2</v>
      </c>
    </row>
    <row r="2336" spans="1:7" x14ac:dyDescent="0.35">
      <c r="A2336" t="s">
        <v>127</v>
      </c>
      <c r="E2336">
        <v>-4.5159358021480628E-3</v>
      </c>
      <c r="F2336">
        <f t="shared" si="78"/>
        <v>-1.7763737427286843E-2</v>
      </c>
      <c r="G2336">
        <f t="shared" si="79"/>
        <v>-3.1654462991892056E-2</v>
      </c>
    </row>
    <row r="2337" spans="1:7" x14ac:dyDescent="0.35">
      <c r="A2337" t="s">
        <v>127</v>
      </c>
      <c r="E2337">
        <v>-6.1357066474163283E-3</v>
      </c>
      <c r="F2337">
        <f t="shared" si="78"/>
        <v>-1.7791489605295783E-2</v>
      </c>
      <c r="G2337">
        <f t="shared" si="79"/>
        <v>-3.1654462991892056E-2</v>
      </c>
    </row>
    <row r="2338" spans="1:7" x14ac:dyDescent="0.35">
      <c r="A2338" t="s">
        <v>127</v>
      </c>
      <c r="E2338">
        <v>3.7311386081640917E-3</v>
      </c>
      <c r="F2338">
        <f t="shared" si="78"/>
        <v>-1.7819241783304719E-2</v>
      </c>
      <c r="G2338">
        <f t="shared" si="79"/>
        <v>-3.1654462991892056E-2</v>
      </c>
    </row>
    <row r="2339" spans="1:7" x14ac:dyDescent="0.35">
      <c r="A2339" t="s">
        <v>127</v>
      </c>
      <c r="E2339">
        <v>-3.3421990336775561E-3</v>
      </c>
      <c r="F2339">
        <f t="shared" si="78"/>
        <v>-1.7846993961313666E-2</v>
      </c>
      <c r="G2339">
        <f t="shared" si="79"/>
        <v>-3.1654462991892056E-2</v>
      </c>
    </row>
    <row r="2340" spans="1:7" x14ac:dyDescent="0.35">
      <c r="A2340" t="s">
        <v>127</v>
      </c>
      <c r="E2340">
        <v>-1.6165685310588995E-2</v>
      </c>
      <c r="F2340">
        <f t="shared" si="78"/>
        <v>-1.7874746139322602E-2</v>
      </c>
      <c r="G2340">
        <f t="shared" si="79"/>
        <v>-3.1654462991892056E-2</v>
      </c>
    </row>
    <row r="2341" spans="1:7" x14ac:dyDescent="0.35">
      <c r="A2341" t="s">
        <v>127</v>
      </c>
      <c r="E2341">
        <v>7.2169050850736088E-3</v>
      </c>
      <c r="F2341">
        <f t="shared" si="78"/>
        <v>-1.7885577075598812E-2</v>
      </c>
      <c r="G2341">
        <f t="shared" si="79"/>
        <v>-3.1843226236447801E-2</v>
      </c>
    </row>
    <row r="2342" spans="1:7" x14ac:dyDescent="0.35">
      <c r="A2342" t="s">
        <v>127</v>
      </c>
      <c r="E2342">
        <v>-1.4134373735804006E-3</v>
      </c>
      <c r="F2342">
        <f t="shared" si="78"/>
        <v>-1.7896408011875021E-2</v>
      </c>
      <c r="G2342">
        <f t="shared" si="79"/>
        <v>-3.1843226236447801E-2</v>
      </c>
    </row>
    <row r="2343" spans="1:7" x14ac:dyDescent="0.35">
      <c r="A2343" t="s">
        <v>127</v>
      </c>
      <c r="E2343">
        <v>-1.2511807280828955E-2</v>
      </c>
      <c r="F2343">
        <f t="shared" si="78"/>
        <v>-1.790723894815123E-2</v>
      </c>
      <c r="G2343">
        <f t="shared" si="79"/>
        <v>-3.1843226236447801E-2</v>
      </c>
    </row>
    <row r="2344" spans="1:7" x14ac:dyDescent="0.35">
      <c r="A2344" t="s">
        <v>127</v>
      </c>
      <c r="E2344">
        <v>3.8283142147838831E-3</v>
      </c>
      <c r="F2344">
        <f t="shared" si="78"/>
        <v>-1.7918069884427443E-2</v>
      </c>
      <c r="G2344">
        <f t="shared" si="79"/>
        <v>-3.1843226236447801E-2</v>
      </c>
    </row>
    <row r="2345" spans="1:7" x14ac:dyDescent="0.35">
      <c r="A2345" t="s">
        <v>127</v>
      </c>
      <c r="E2345">
        <v>-8.9155138852395205E-3</v>
      </c>
      <c r="F2345">
        <f t="shared" si="78"/>
        <v>-1.7928900820703648E-2</v>
      </c>
      <c r="G2345">
        <f t="shared" si="79"/>
        <v>-3.1843226236447801E-2</v>
      </c>
    </row>
    <row r="2346" spans="1:7" x14ac:dyDescent="0.35">
      <c r="A2346" t="s">
        <v>128</v>
      </c>
      <c r="B2346" s="3" cm="1">
        <f t="array" ref="B2346">_xlfn.STDEV.S(_xlfn._xlws.FILTER($E$2013:$E$3011, $A$2013:$A$3011="2019-06"))</f>
        <v>5.0439337796986733E-3</v>
      </c>
      <c r="C2346" s="3" cm="1">
        <f t="array" ref="C2346">AVERAGE(_xlfn._xlws.FILTER($E$2013:$E$3011, $A$2013:$A$3011="2019-06"))</f>
        <v>1.2623771434418097E-3</v>
      </c>
      <c r="D2346" s="3" cm="1">
        <f t="array" ref="D2346">_xlfn.PERCENTILE.EXC(_xlfn._xlws.FILTER($E$1498:$E$2489, $A$1498:$A$2489="2019-06"), 0.05)</f>
        <v>-6.4568095426003978E-3</v>
      </c>
      <c r="E2346">
        <v>-1.0531037214563889E-3</v>
      </c>
      <c r="F2346">
        <f t="shared" si="78"/>
        <v>-1.7939731756979858E-2</v>
      </c>
      <c r="G2346">
        <f t="shared" si="79"/>
        <v>-3.1843226236447801E-2</v>
      </c>
    </row>
    <row r="2347" spans="1:7" x14ac:dyDescent="0.35">
      <c r="A2347" t="s">
        <v>128</v>
      </c>
      <c r="E2347">
        <v>5.6997670223641085E-3</v>
      </c>
      <c r="F2347">
        <f t="shared" si="78"/>
        <v>-1.7950562693256067E-2</v>
      </c>
      <c r="G2347">
        <f t="shared" si="79"/>
        <v>-3.1843226236447801E-2</v>
      </c>
    </row>
    <row r="2348" spans="1:7" x14ac:dyDescent="0.35">
      <c r="A2348" t="s">
        <v>128</v>
      </c>
      <c r="E2348">
        <v>1.9477375510332602E-3</v>
      </c>
      <c r="F2348">
        <f t="shared" si="78"/>
        <v>-1.7961393629532276E-2</v>
      </c>
      <c r="G2348">
        <f t="shared" si="79"/>
        <v>-3.1843226236447801E-2</v>
      </c>
    </row>
    <row r="2349" spans="1:7" x14ac:dyDescent="0.35">
      <c r="A2349" t="s">
        <v>128</v>
      </c>
      <c r="E2349">
        <v>1.8205900697885297E-3</v>
      </c>
      <c r="F2349">
        <f t="shared" si="78"/>
        <v>-1.7972224565808489E-2</v>
      </c>
      <c r="G2349">
        <f t="shared" si="79"/>
        <v>-3.1843226236447801E-2</v>
      </c>
    </row>
    <row r="2350" spans="1:7" x14ac:dyDescent="0.35">
      <c r="A2350" t="s">
        <v>128</v>
      </c>
      <c r="E2350">
        <v>8.6346103409113938E-3</v>
      </c>
      <c r="F2350">
        <f t="shared" si="78"/>
        <v>-1.7983055502084698E-2</v>
      </c>
      <c r="G2350">
        <f t="shared" si="79"/>
        <v>-3.1843226236447801E-2</v>
      </c>
    </row>
    <row r="2351" spans="1:7" x14ac:dyDescent="0.35">
      <c r="A2351" t="s">
        <v>128</v>
      </c>
      <c r="E2351">
        <v>8.4306308715361364E-3</v>
      </c>
      <c r="F2351">
        <f t="shared" si="78"/>
        <v>-1.7993886438360907E-2</v>
      </c>
      <c r="G2351">
        <f t="shared" si="79"/>
        <v>-3.1843226236447801E-2</v>
      </c>
    </row>
    <row r="2352" spans="1:7" x14ac:dyDescent="0.35">
      <c r="A2352" t="s">
        <v>128</v>
      </c>
      <c r="E2352">
        <v>-4.337433481087942E-3</v>
      </c>
      <c r="F2352">
        <f t="shared" si="78"/>
        <v>-1.8004717374637116E-2</v>
      </c>
      <c r="G2352">
        <f t="shared" si="79"/>
        <v>-3.1843226236447801E-2</v>
      </c>
    </row>
    <row r="2353" spans="1:7" x14ac:dyDescent="0.35">
      <c r="A2353" t="s">
        <v>128</v>
      </c>
      <c r="E2353">
        <v>1.2011698084392875E-3</v>
      </c>
      <c r="F2353">
        <f t="shared" si="78"/>
        <v>-1.8015548310913326E-2</v>
      </c>
      <c r="G2353">
        <f t="shared" si="79"/>
        <v>-3.1843226236447801E-2</v>
      </c>
    </row>
    <row r="2354" spans="1:7" x14ac:dyDescent="0.35">
      <c r="A2354" t="s">
        <v>128</v>
      </c>
      <c r="E2354">
        <v>-3.7058907829524818E-3</v>
      </c>
      <c r="F2354">
        <f t="shared" si="78"/>
        <v>-1.8026379247189538E-2</v>
      </c>
      <c r="G2354">
        <f t="shared" si="79"/>
        <v>-3.1843226236447801E-2</v>
      </c>
    </row>
    <row r="2355" spans="1:7" x14ac:dyDescent="0.35">
      <c r="A2355" t="s">
        <v>128</v>
      </c>
      <c r="E2355">
        <v>-2.9685014235725496E-3</v>
      </c>
      <c r="F2355">
        <f t="shared" si="78"/>
        <v>-1.8037210183465748E-2</v>
      </c>
      <c r="G2355">
        <f t="shared" si="79"/>
        <v>-3.1843226236447801E-2</v>
      </c>
    </row>
    <row r="2356" spans="1:7" x14ac:dyDescent="0.35">
      <c r="A2356" t="s">
        <v>128</v>
      </c>
      <c r="E2356">
        <v>1.3416214479608387E-2</v>
      </c>
      <c r="F2356">
        <f t="shared" si="78"/>
        <v>-1.8048041119741953E-2</v>
      </c>
      <c r="G2356">
        <f t="shared" si="79"/>
        <v>-3.1843226236447801E-2</v>
      </c>
    </row>
    <row r="2357" spans="1:7" x14ac:dyDescent="0.35">
      <c r="A2357" t="s">
        <v>128</v>
      </c>
      <c r="E2357">
        <v>-1.3829981696109294E-4</v>
      </c>
      <c r="F2357">
        <f t="shared" si="78"/>
        <v>-1.8058872056018162E-2</v>
      </c>
      <c r="G2357">
        <f t="shared" si="79"/>
        <v>-3.1843226236447801E-2</v>
      </c>
    </row>
    <row r="2358" spans="1:7" x14ac:dyDescent="0.35">
      <c r="A2358" t="s">
        <v>128</v>
      </c>
      <c r="E2358">
        <v>1.5019671490796632E-3</v>
      </c>
      <c r="F2358">
        <f t="shared" si="78"/>
        <v>-1.8069702992294372E-2</v>
      </c>
      <c r="G2358">
        <f t="shared" si="79"/>
        <v>-3.1843226236447801E-2</v>
      </c>
    </row>
    <row r="2359" spans="1:7" x14ac:dyDescent="0.35">
      <c r="A2359" t="s">
        <v>128</v>
      </c>
      <c r="E2359">
        <v>-6.4568095426003978E-3</v>
      </c>
      <c r="F2359">
        <f t="shared" si="78"/>
        <v>-1.8080533928570584E-2</v>
      </c>
      <c r="G2359">
        <f t="shared" si="79"/>
        <v>-3.1843226236447801E-2</v>
      </c>
    </row>
    <row r="2360" spans="1:7" x14ac:dyDescent="0.35">
      <c r="A2360" t="s">
        <v>128</v>
      </c>
      <c r="E2360">
        <v>-5.4681347349466909E-4</v>
      </c>
      <c r="F2360">
        <f t="shared" si="78"/>
        <v>-1.8091364864846794E-2</v>
      </c>
      <c r="G2360">
        <f t="shared" si="79"/>
        <v>-3.1843226236447801E-2</v>
      </c>
    </row>
    <row r="2361" spans="1:7" x14ac:dyDescent="0.35">
      <c r="A2361" t="s">
        <v>128</v>
      </c>
      <c r="E2361">
        <v>-4.01337831260694E-4</v>
      </c>
      <c r="F2361">
        <f t="shared" si="78"/>
        <v>-1.809171704374812E-2</v>
      </c>
      <c r="G2361">
        <f t="shared" si="79"/>
        <v>-3.2034224311053371E-2</v>
      </c>
    </row>
    <row r="2362" spans="1:7" x14ac:dyDescent="0.35">
      <c r="A2362" t="s">
        <v>128</v>
      </c>
      <c r="E2362">
        <v>-2.1787926660723237E-3</v>
      </c>
      <c r="F2362">
        <f t="shared" si="78"/>
        <v>-1.8092069222649446E-2</v>
      </c>
      <c r="G2362">
        <f t="shared" si="79"/>
        <v>-3.2034224311053371E-2</v>
      </c>
    </row>
    <row r="2363" spans="1:7" x14ac:dyDescent="0.35">
      <c r="A2363" t="s">
        <v>128</v>
      </c>
      <c r="E2363">
        <v>-1.9793217698751285E-3</v>
      </c>
      <c r="F2363">
        <f t="shared" si="78"/>
        <v>-1.8092421401550773E-2</v>
      </c>
      <c r="G2363">
        <f t="shared" si="79"/>
        <v>-3.2034224311053371E-2</v>
      </c>
    </row>
    <row r="2364" spans="1:7" x14ac:dyDescent="0.35">
      <c r="A2364" t="s">
        <v>128</v>
      </c>
      <c r="E2364">
        <v>5.0987829419672894E-3</v>
      </c>
      <c r="F2364">
        <f t="shared" si="78"/>
        <v>-1.8092773580452099E-2</v>
      </c>
      <c r="G2364">
        <f t="shared" si="79"/>
        <v>-3.2034224311053371E-2</v>
      </c>
    </row>
    <row r="2365" spans="1:7" x14ac:dyDescent="0.35">
      <c r="A2365" t="s">
        <v>129</v>
      </c>
      <c r="B2365" s="3" cm="1">
        <f t="array" ref="B2365">_xlfn.STDEV.S(_xlfn._xlws.FILTER($E$2013:$E$3011, $A$2013:$A$3011="2019-07"))</f>
        <v>4.9643407225912753E-3</v>
      </c>
      <c r="C2365" s="3" cm="1">
        <f t="array" ref="C2365">AVERAGE(_xlfn._xlws.FILTER($E$2013:$E$3011, $A$2013:$A$3011="2019-07"))</f>
        <v>1.4740331368542228E-4</v>
      </c>
      <c r="D2365" s="3" cm="1">
        <f t="array" ref="D2365">_xlfn.PERCENTILE.EXC(_xlfn._xlws.FILTER($E$1498:$E$2489, $A$1498:$A$2489="2019-07"), 0.05)</f>
        <v>-9.8072150734217732E-3</v>
      </c>
      <c r="E2365">
        <v>1.0633398261185393E-2</v>
      </c>
      <c r="F2365">
        <f t="shared" si="78"/>
        <v>-1.8093125759353429E-2</v>
      </c>
      <c r="G2365">
        <f t="shared" si="79"/>
        <v>-3.2034224311053371E-2</v>
      </c>
    </row>
    <row r="2366" spans="1:7" x14ac:dyDescent="0.35">
      <c r="A2366" t="s">
        <v>129</v>
      </c>
      <c r="E2366">
        <v>5.4598593604991081E-3</v>
      </c>
      <c r="F2366">
        <f t="shared" si="78"/>
        <v>-1.8093477938254755E-2</v>
      </c>
      <c r="G2366">
        <f t="shared" si="79"/>
        <v>-3.2034224311053371E-2</v>
      </c>
    </row>
    <row r="2367" spans="1:7" x14ac:dyDescent="0.35">
      <c r="A2367" t="s">
        <v>129</v>
      </c>
      <c r="E2367">
        <v>5.7360126703510225E-3</v>
      </c>
      <c r="F2367">
        <f t="shared" si="78"/>
        <v>-1.8093830117156082E-2</v>
      </c>
      <c r="G2367">
        <f t="shared" si="79"/>
        <v>-3.2034224311053371E-2</v>
      </c>
    </row>
    <row r="2368" spans="1:7" x14ac:dyDescent="0.35">
      <c r="A2368" t="s">
        <v>129</v>
      </c>
      <c r="E2368">
        <v>-1.1864197314495065E-4</v>
      </c>
      <c r="F2368">
        <f t="shared" si="78"/>
        <v>-1.8094182296057408E-2</v>
      </c>
      <c r="G2368">
        <f t="shared" si="79"/>
        <v>-3.2034224311053371E-2</v>
      </c>
    </row>
    <row r="2369" spans="1:7" x14ac:dyDescent="0.35">
      <c r="A2369" t="s">
        <v>129</v>
      </c>
      <c r="E2369">
        <v>-6.883132756911812E-3</v>
      </c>
      <c r="F2369">
        <f t="shared" si="78"/>
        <v>-1.8094534474958734E-2</v>
      </c>
      <c r="G2369">
        <f t="shared" si="79"/>
        <v>-3.2034224311053371E-2</v>
      </c>
    </row>
    <row r="2370" spans="1:7" x14ac:dyDescent="0.35">
      <c r="A2370" t="s">
        <v>129</v>
      </c>
      <c r="E2370">
        <v>3.2356378491748275E-4</v>
      </c>
      <c r="F2370">
        <f t="shared" si="78"/>
        <v>-1.8094886653860061E-2</v>
      </c>
      <c r="G2370">
        <f t="shared" si="79"/>
        <v>-3.2034224311053371E-2</v>
      </c>
    </row>
    <row r="2371" spans="1:7" x14ac:dyDescent="0.35">
      <c r="A2371" t="s">
        <v>129</v>
      </c>
      <c r="E2371">
        <v>-5.1643938805628915E-3</v>
      </c>
      <c r="F2371">
        <f t="shared" si="78"/>
        <v>-1.8095238832761387E-2</v>
      </c>
      <c r="G2371">
        <f t="shared" si="79"/>
        <v>-3.2034224311053371E-2</v>
      </c>
    </row>
    <row r="2372" spans="1:7" x14ac:dyDescent="0.35">
      <c r="A2372" t="s">
        <v>129</v>
      </c>
      <c r="E2372">
        <v>-1.5350625782317591E-3</v>
      </c>
      <c r="F2372">
        <f t="shared" ref="F2372:F2435" si="80">_xlfn.PERCENTILE.EXC(E2372:E6187,0.05)</f>
        <v>-1.8095591011662714E-2</v>
      </c>
      <c r="G2372">
        <f t="shared" ref="G2372:G2435" si="81">AVERAGEIFS(E2372:E6188,E2372:E6188,"&lt;=" &amp; F2372)</f>
        <v>-3.2034224311053371E-2</v>
      </c>
    </row>
    <row r="2373" spans="1:7" x14ac:dyDescent="0.35">
      <c r="A2373" t="s">
        <v>129</v>
      </c>
      <c r="E2373">
        <v>-1.6918553254965682E-3</v>
      </c>
      <c r="F2373">
        <f t="shared" si="80"/>
        <v>-1.809594319056404E-2</v>
      </c>
      <c r="G2373">
        <f t="shared" si="81"/>
        <v>-3.2034224311053371E-2</v>
      </c>
    </row>
    <row r="2374" spans="1:7" x14ac:dyDescent="0.35">
      <c r="A2374" t="s">
        <v>129</v>
      </c>
      <c r="E2374">
        <v>1.9110741621657509E-3</v>
      </c>
      <c r="F2374">
        <f t="shared" si="80"/>
        <v>-1.8096295369465366E-2</v>
      </c>
      <c r="G2374">
        <f t="shared" si="81"/>
        <v>-3.2034224311053371E-2</v>
      </c>
    </row>
    <row r="2375" spans="1:7" x14ac:dyDescent="0.35">
      <c r="A2375" t="s">
        <v>129</v>
      </c>
      <c r="E2375">
        <v>-1.6237435450602877E-4</v>
      </c>
      <c r="F2375">
        <f t="shared" si="80"/>
        <v>-1.8096647548366693E-2</v>
      </c>
      <c r="G2375">
        <f t="shared" si="81"/>
        <v>-3.2034224311053371E-2</v>
      </c>
    </row>
    <row r="2376" spans="1:7" x14ac:dyDescent="0.35">
      <c r="A2376" t="s">
        <v>129</v>
      </c>
      <c r="E2376">
        <v>2.5731414982822403E-3</v>
      </c>
      <c r="F2376">
        <f t="shared" si="80"/>
        <v>-1.8096999727268023E-2</v>
      </c>
      <c r="G2376">
        <f t="shared" si="81"/>
        <v>-3.2034224311053371E-2</v>
      </c>
    </row>
    <row r="2377" spans="1:7" x14ac:dyDescent="0.35">
      <c r="A2377" t="s">
        <v>129</v>
      </c>
      <c r="E2377">
        <v>-4.1002087436423865E-3</v>
      </c>
      <c r="F2377">
        <f t="shared" si="80"/>
        <v>-1.8097351906169349E-2</v>
      </c>
      <c r="G2377">
        <f t="shared" si="81"/>
        <v>-3.2034224311053371E-2</v>
      </c>
    </row>
    <row r="2378" spans="1:7" x14ac:dyDescent="0.35">
      <c r="A2378" t="s">
        <v>129</v>
      </c>
      <c r="E2378">
        <v>-3.1425919989348191E-3</v>
      </c>
      <c r="F2378">
        <f t="shared" si="80"/>
        <v>-1.8097704085070675E-2</v>
      </c>
      <c r="G2378">
        <f t="shared" si="81"/>
        <v>-3.2034224311053371E-2</v>
      </c>
    </row>
    <row r="2379" spans="1:7" x14ac:dyDescent="0.35">
      <c r="A2379" t="s">
        <v>129</v>
      </c>
      <c r="E2379">
        <v>3.5570950832977291E-3</v>
      </c>
      <c r="F2379">
        <f t="shared" si="80"/>
        <v>-1.8098056263972002E-2</v>
      </c>
      <c r="G2379">
        <f t="shared" si="81"/>
        <v>-3.2034224311053371E-2</v>
      </c>
    </row>
    <row r="2380" spans="1:7" x14ac:dyDescent="0.35">
      <c r="A2380" t="s">
        <v>129</v>
      </c>
      <c r="E2380">
        <v>4.8319476479674492E-5</v>
      </c>
      <c r="F2380">
        <f t="shared" si="80"/>
        <v>-1.8098408442873328E-2</v>
      </c>
      <c r="G2380">
        <f t="shared" si="81"/>
        <v>-3.2034224311053371E-2</v>
      </c>
    </row>
    <row r="2381" spans="1:7" x14ac:dyDescent="0.35">
      <c r="A2381" t="s">
        <v>129</v>
      </c>
      <c r="E2381">
        <v>8.1837122851144868E-3</v>
      </c>
      <c r="F2381">
        <f t="shared" si="80"/>
        <v>-1.8123254581202938E-2</v>
      </c>
      <c r="G2381">
        <f t="shared" si="81"/>
        <v>-3.2230503407788304E-2</v>
      </c>
    </row>
    <row r="2382" spans="1:7" x14ac:dyDescent="0.35">
      <c r="A2382" t="s">
        <v>129</v>
      </c>
      <c r="E2382">
        <v>-1.9279324551307953E-3</v>
      </c>
      <c r="F2382">
        <f t="shared" si="80"/>
        <v>-1.8148100719532548E-2</v>
      </c>
      <c r="G2382">
        <f t="shared" si="81"/>
        <v>-3.2230503407788304E-2</v>
      </c>
    </row>
    <row r="2383" spans="1:7" x14ac:dyDescent="0.35">
      <c r="A2383" t="s">
        <v>129</v>
      </c>
      <c r="E2383">
        <v>-5.1583023879752544E-3</v>
      </c>
      <c r="F2383">
        <f t="shared" si="80"/>
        <v>-1.8172946857862159E-2</v>
      </c>
      <c r="G2383">
        <f t="shared" si="81"/>
        <v>-3.2230503407788304E-2</v>
      </c>
    </row>
    <row r="2384" spans="1:7" x14ac:dyDescent="0.35">
      <c r="A2384" t="s">
        <v>129</v>
      </c>
      <c r="E2384">
        <v>4.1454441218853107E-3</v>
      </c>
      <c r="F2384">
        <f t="shared" si="80"/>
        <v>-1.8197792996191776E-2</v>
      </c>
      <c r="G2384">
        <f t="shared" si="81"/>
        <v>-3.2230503407788304E-2</v>
      </c>
    </row>
    <row r="2385" spans="1:7" x14ac:dyDescent="0.35">
      <c r="A2385" t="s">
        <v>129</v>
      </c>
      <c r="E2385">
        <v>3.0254068199872522E-3</v>
      </c>
      <c r="F2385">
        <f t="shared" si="80"/>
        <v>-1.8222639134521386E-2</v>
      </c>
      <c r="G2385">
        <f t="shared" si="81"/>
        <v>-3.2230503407788304E-2</v>
      </c>
    </row>
    <row r="2386" spans="1:7" x14ac:dyDescent="0.35">
      <c r="A2386" t="s">
        <v>129</v>
      </c>
      <c r="E2386">
        <v>-1.0538235652549265E-2</v>
      </c>
      <c r="F2386">
        <f t="shared" si="80"/>
        <v>-1.8247485272850996E-2</v>
      </c>
      <c r="G2386">
        <f t="shared" si="81"/>
        <v>-3.2230503407788304E-2</v>
      </c>
    </row>
    <row r="2387" spans="1:7" x14ac:dyDescent="0.35">
      <c r="A2387" t="s">
        <v>129</v>
      </c>
      <c r="E2387">
        <v>-1.7840192023142137E-3</v>
      </c>
      <c r="F2387">
        <f t="shared" si="80"/>
        <v>-1.8272331411180606E-2</v>
      </c>
      <c r="G2387">
        <f t="shared" si="81"/>
        <v>-3.2230503407788304E-2</v>
      </c>
    </row>
    <row r="2388" spans="1:7" x14ac:dyDescent="0.35">
      <c r="A2388" t="s">
        <v>130</v>
      </c>
      <c r="B2388" s="3" cm="1">
        <f t="array" ref="B2388">_xlfn.STDEV.S(_xlfn._xlws.FILTER($E$2013:$E$3011, $A$2013:$A$3011="2019-08"))</f>
        <v>1.1978493836165834E-2</v>
      </c>
      <c r="C2388" s="3" cm="1">
        <f t="array" ref="C2388">AVERAGE(_xlfn._xlws.FILTER($E$2013:$E$3011, $A$2013:$A$3011="2019-08"))</f>
        <v>-2.130323991218392E-3</v>
      </c>
      <c r="D2388" s="3" cm="1">
        <f t="array" ref="D2388">_xlfn.PERCENTILE.EXC(_xlfn._xlws.FILTER($E$1498:$E$2489, $A$1498:$A$2489="2019-08"), 0.05)</f>
        <v>-3.2734319346817392E-2</v>
      </c>
      <c r="E2388">
        <v>-5.1066535062288673E-4</v>
      </c>
      <c r="F2388">
        <f t="shared" si="80"/>
        <v>-1.8297177549510216E-2</v>
      </c>
      <c r="G2388">
        <f t="shared" si="81"/>
        <v>-3.2230503407788304E-2</v>
      </c>
    </row>
    <row r="2389" spans="1:7" x14ac:dyDescent="0.35">
      <c r="A2389" t="s">
        <v>130</v>
      </c>
      <c r="E2389">
        <v>-2.7787051522813317E-2</v>
      </c>
      <c r="F2389">
        <f t="shared" si="80"/>
        <v>-1.8322023687839833E-2</v>
      </c>
      <c r="G2389">
        <f t="shared" si="81"/>
        <v>-3.2230503407788304E-2</v>
      </c>
    </row>
    <row r="2390" spans="1:7" x14ac:dyDescent="0.35">
      <c r="A2390" t="s">
        <v>130</v>
      </c>
      <c r="E2390">
        <v>-3.2994701863870241E-2</v>
      </c>
      <c r="F2390">
        <f t="shared" si="80"/>
        <v>-1.8094886653860061E-2</v>
      </c>
      <c r="G2390">
        <f t="shared" si="81"/>
        <v>-3.2094043646099003E-2</v>
      </c>
    </row>
    <row r="2391" spans="1:7" x14ac:dyDescent="0.35">
      <c r="A2391" t="s">
        <v>130</v>
      </c>
      <c r="E2391">
        <v>-6.4979098781009258E-3</v>
      </c>
      <c r="F2391">
        <f t="shared" si="80"/>
        <v>-1.7993886438360907E-2</v>
      </c>
      <c r="G2391">
        <f t="shared" si="81"/>
        <v>-3.1884137491183184E-2</v>
      </c>
    </row>
    <row r="2392" spans="1:7" x14ac:dyDescent="0.35">
      <c r="A2392" t="s">
        <v>130</v>
      </c>
      <c r="E2392">
        <v>1.5841600134368992E-3</v>
      </c>
      <c r="F2392">
        <f t="shared" si="80"/>
        <v>-1.8004717374637116E-2</v>
      </c>
      <c r="G2392">
        <f t="shared" si="81"/>
        <v>-3.1884137491183184E-2</v>
      </c>
    </row>
    <row r="2393" spans="1:7" x14ac:dyDescent="0.35">
      <c r="A2393" t="s">
        <v>130</v>
      </c>
      <c r="E2393">
        <v>1.2602423594132205E-2</v>
      </c>
      <c r="F2393">
        <f t="shared" si="80"/>
        <v>-1.8015548310913326E-2</v>
      </c>
      <c r="G2393">
        <f t="shared" si="81"/>
        <v>-3.1884137491183184E-2</v>
      </c>
    </row>
    <row r="2394" spans="1:7" x14ac:dyDescent="0.35">
      <c r="A2394" t="s">
        <v>130</v>
      </c>
      <c r="E2394">
        <v>-1.0396250063767751E-2</v>
      </c>
      <c r="F2394">
        <f t="shared" si="80"/>
        <v>-1.8026379247189538E-2</v>
      </c>
      <c r="G2394">
        <f t="shared" si="81"/>
        <v>-3.1884137491183184E-2</v>
      </c>
    </row>
    <row r="2395" spans="1:7" x14ac:dyDescent="0.35">
      <c r="A2395" t="s">
        <v>130</v>
      </c>
      <c r="E2395">
        <v>-3.3393938556068518E-3</v>
      </c>
      <c r="F2395">
        <f t="shared" si="80"/>
        <v>-1.8037210183465748E-2</v>
      </c>
      <c r="G2395">
        <f t="shared" si="81"/>
        <v>-3.1884137491183184E-2</v>
      </c>
    </row>
    <row r="2396" spans="1:7" x14ac:dyDescent="0.35">
      <c r="A2396" t="s">
        <v>130</v>
      </c>
      <c r="E2396">
        <v>4.8728964990259038E-3</v>
      </c>
      <c r="F2396">
        <f t="shared" si="80"/>
        <v>-1.8048041119741953E-2</v>
      </c>
      <c r="G2396">
        <f t="shared" si="81"/>
        <v>-3.1884137491183184E-2</v>
      </c>
    </row>
    <row r="2397" spans="1:7" x14ac:dyDescent="0.35">
      <c r="A2397" t="s">
        <v>130</v>
      </c>
      <c r="E2397">
        <v>-1.1250382997842959E-2</v>
      </c>
      <c r="F2397">
        <f t="shared" si="80"/>
        <v>-1.8058872056018162E-2</v>
      </c>
      <c r="G2397">
        <f t="shared" si="81"/>
        <v>-3.1884137491183184E-2</v>
      </c>
    </row>
    <row r="2398" spans="1:7" x14ac:dyDescent="0.35">
      <c r="A2398" t="s">
        <v>130</v>
      </c>
      <c r="E2398">
        <v>8.2071974265988928E-3</v>
      </c>
      <c r="F2398">
        <f t="shared" si="80"/>
        <v>-1.8069702992294372E-2</v>
      </c>
      <c r="G2398">
        <f t="shared" si="81"/>
        <v>-3.1884137491183184E-2</v>
      </c>
    </row>
    <row r="2399" spans="1:7" x14ac:dyDescent="0.35">
      <c r="A2399" t="s">
        <v>130</v>
      </c>
      <c r="E2399">
        <v>8.4807467272838624E-3</v>
      </c>
      <c r="F2399">
        <f t="shared" si="80"/>
        <v>-1.8080533928570584E-2</v>
      </c>
      <c r="G2399">
        <f t="shared" si="81"/>
        <v>-3.1884137491183184E-2</v>
      </c>
    </row>
    <row r="2400" spans="1:7" x14ac:dyDescent="0.35">
      <c r="A2400" t="s">
        <v>130</v>
      </c>
      <c r="E2400">
        <v>-6.6859224847851213E-3</v>
      </c>
      <c r="F2400">
        <f t="shared" si="80"/>
        <v>-1.8091364864846794E-2</v>
      </c>
      <c r="G2400">
        <f t="shared" si="81"/>
        <v>-3.1884137491183184E-2</v>
      </c>
    </row>
    <row r="2401" spans="1:7" x14ac:dyDescent="0.35">
      <c r="A2401" t="s">
        <v>130</v>
      </c>
      <c r="E2401">
        <v>8.4413566525560011E-3</v>
      </c>
      <c r="F2401">
        <f t="shared" si="80"/>
        <v>-1.809171704374812E-2</v>
      </c>
      <c r="G2401">
        <f t="shared" si="81"/>
        <v>-3.208117710013085E-2</v>
      </c>
    </row>
    <row r="2402" spans="1:7" x14ac:dyDescent="0.35">
      <c r="A2402" t="s">
        <v>130</v>
      </c>
      <c r="E2402">
        <v>3.3404438511469315E-4</v>
      </c>
      <c r="F2402">
        <f t="shared" si="80"/>
        <v>-1.8092069222649446E-2</v>
      </c>
      <c r="G2402">
        <f t="shared" si="81"/>
        <v>-3.208117710013085E-2</v>
      </c>
    </row>
    <row r="2403" spans="1:7" x14ac:dyDescent="0.35">
      <c r="A2403" t="s">
        <v>130</v>
      </c>
      <c r="E2403">
        <v>-8.6569119816681459E-3</v>
      </c>
      <c r="F2403">
        <f t="shared" si="80"/>
        <v>-1.8092421401550773E-2</v>
      </c>
      <c r="G2403">
        <f t="shared" si="81"/>
        <v>-3.208117710013085E-2</v>
      </c>
    </row>
    <row r="2404" spans="1:7" x14ac:dyDescent="0.35">
      <c r="A2404" t="s">
        <v>130</v>
      </c>
      <c r="E2404">
        <v>5.3773541546579791E-3</v>
      </c>
      <c r="F2404">
        <f t="shared" si="80"/>
        <v>-1.8092773580452099E-2</v>
      </c>
      <c r="G2404">
        <f t="shared" si="81"/>
        <v>-3.208117710013085E-2</v>
      </c>
    </row>
    <row r="2405" spans="1:7" x14ac:dyDescent="0.35">
      <c r="A2405" t="s">
        <v>130</v>
      </c>
      <c r="E2405">
        <v>1.0711564101209127E-4</v>
      </c>
      <c r="F2405">
        <f t="shared" si="80"/>
        <v>-1.8093125759353429E-2</v>
      </c>
      <c r="G2405">
        <f t="shared" si="81"/>
        <v>-3.208117710013085E-2</v>
      </c>
    </row>
    <row r="2406" spans="1:7" x14ac:dyDescent="0.35">
      <c r="A2406" t="s">
        <v>130</v>
      </c>
      <c r="E2406">
        <v>9.0572482804043355E-3</v>
      </c>
      <c r="F2406">
        <f t="shared" si="80"/>
        <v>-1.8093477938254755E-2</v>
      </c>
      <c r="G2406">
        <f t="shared" si="81"/>
        <v>-3.208117710013085E-2</v>
      </c>
    </row>
    <row r="2407" spans="1:7" x14ac:dyDescent="0.35">
      <c r="A2407" t="s">
        <v>130</v>
      </c>
      <c r="E2407">
        <v>6.4481668004874766E-3</v>
      </c>
      <c r="F2407">
        <f t="shared" si="80"/>
        <v>-1.8093830117156082E-2</v>
      </c>
      <c r="G2407">
        <f t="shared" si="81"/>
        <v>-3.208117710013085E-2</v>
      </c>
    </row>
    <row r="2408" spans="1:7" x14ac:dyDescent="0.35">
      <c r="A2408" t="s">
        <v>131</v>
      </c>
      <c r="B2408" s="3" cm="1">
        <f t="array" ref="B2408">_xlfn.STDEV.S(_xlfn._xlws.FILTER($E$2013:$E$3011, $A$2013:$A$3011="2019-09"))</f>
        <v>5.4117760819267936E-3</v>
      </c>
      <c r="C2408" s="3" cm="1">
        <f t="array" ref="C2408">AVERAGE(_xlfn._xlws.FILTER($E$2013:$E$3011, $A$2013:$A$3011="2019-09"))</f>
        <v>2.162744196753347E-3</v>
      </c>
      <c r="D2408" s="3" cm="1">
        <f t="array" ref="D2408">_xlfn.PERCENTILE.EXC(_xlfn._xlws.FILTER($E$1498:$E$2489, $A$1498:$A$2489="2019-09"), 0.05)</f>
        <v>-4.9471720251315892E-3</v>
      </c>
      <c r="E2408">
        <v>4.2521291580645349E-3</v>
      </c>
      <c r="F2408">
        <f t="shared" si="80"/>
        <v>-1.8094182296057408E-2</v>
      </c>
      <c r="G2408">
        <f t="shared" si="81"/>
        <v>-3.208117710013085E-2</v>
      </c>
    </row>
    <row r="2409" spans="1:7" x14ac:dyDescent="0.35">
      <c r="A2409" t="s">
        <v>131</v>
      </c>
      <c r="E2409">
        <v>-2.8419344091831832E-4</v>
      </c>
      <c r="F2409">
        <f t="shared" si="80"/>
        <v>-1.8094534474958734E-2</v>
      </c>
      <c r="G2409">
        <f t="shared" si="81"/>
        <v>-3.208117710013085E-2</v>
      </c>
    </row>
    <row r="2410" spans="1:7" x14ac:dyDescent="0.35">
      <c r="A2410" t="s">
        <v>131</v>
      </c>
      <c r="E2410">
        <v>1.0363884841188824E-2</v>
      </c>
      <c r="F2410">
        <f t="shared" si="80"/>
        <v>-1.8094886653860061E-2</v>
      </c>
      <c r="G2410">
        <f t="shared" si="81"/>
        <v>-3.208117710013085E-2</v>
      </c>
    </row>
    <row r="2411" spans="1:7" x14ac:dyDescent="0.35">
      <c r="A2411" t="s">
        <v>131</v>
      </c>
      <c r="E2411">
        <v>1.9498471135114815E-3</v>
      </c>
      <c r="F2411">
        <f t="shared" si="80"/>
        <v>-1.8095238832761387E-2</v>
      </c>
      <c r="G2411">
        <f t="shared" si="81"/>
        <v>-3.208117710013085E-2</v>
      </c>
    </row>
    <row r="2412" spans="1:7" x14ac:dyDescent="0.35">
      <c r="A2412" t="s">
        <v>131</v>
      </c>
      <c r="E2412">
        <v>-1.1607493352609581E-4</v>
      </c>
      <c r="F2412">
        <f t="shared" si="80"/>
        <v>-1.8095591011662714E-2</v>
      </c>
      <c r="G2412">
        <f t="shared" si="81"/>
        <v>-3.208117710013085E-2</v>
      </c>
    </row>
    <row r="2413" spans="1:7" x14ac:dyDescent="0.35">
      <c r="A2413" t="s">
        <v>131</v>
      </c>
      <c r="E2413">
        <v>-3.8833321428891317E-3</v>
      </c>
      <c r="F2413">
        <f t="shared" si="80"/>
        <v>-1.809594319056404E-2</v>
      </c>
      <c r="G2413">
        <f t="shared" si="81"/>
        <v>-3.208117710013085E-2</v>
      </c>
    </row>
    <row r="2414" spans="1:7" x14ac:dyDescent="0.35">
      <c r="A2414" t="s">
        <v>131</v>
      </c>
      <c r="E2414">
        <v>5.9893588117082962E-3</v>
      </c>
      <c r="F2414">
        <f t="shared" si="80"/>
        <v>-1.8096295369465366E-2</v>
      </c>
      <c r="G2414">
        <f t="shared" si="81"/>
        <v>-3.208117710013085E-2</v>
      </c>
    </row>
    <row r="2415" spans="1:7" x14ac:dyDescent="0.35">
      <c r="A2415" t="s">
        <v>131</v>
      </c>
      <c r="E2415">
        <v>1.040980826461067E-2</v>
      </c>
      <c r="F2415">
        <f t="shared" si="80"/>
        <v>-1.8096647548366693E-2</v>
      </c>
      <c r="G2415">
        <f t="shared" si="81"/>
        <v>-3.208117710013085E-2</v>
      </c>
    </row>
    <row r="2416" spans="1:7" x14ac:dyDescent="0.35">
      <c r="A2416" t="s">
        <v>131</v>
      </c>
      <c r="E2416">
        <v>-2.108680458538837E-3</v>
      </c>
      <c r="F2416">
        <f t="shared" si="80"/>
        <v>-1.8096999727268023E-2</v>
      </c>
      <c r="G2416">
        <f t="shared" si="81"/>
        <v>-3.208117710013085E-2</v>
      </c>
    </row>
    <row r="2417" spans="1:7" x14ac:dyDescent="0.35">
      <c r="A2417" t="s">
        <v>131</v>
      </c>
      <c r="E2417">
        <v>1.1885648199738776E-2</v>
      </c>
      <c r="F2417">
        <f t="shared" si="80"/>
        <v>-1.8097351906169349E-2</v>
      </c>
      <c r="G2417">
        <f t="shared" si="81"/>
        <v>-3.208117710013085E-2</v>
      </c>
    </row>
    <row r="2418" spans="1:7" x14ac:dyDescent="0.35">
      <c r="A2418" t="s">
        <v>131</v>
      </c>
      <c r="E2418">
        <v>-2.9515342535404894E-3</v>
      </c>
      <c r="F2418">
        <f t="shared" si="80"/>
        <v>-1.8097704085070675E-2</v>
      </c>
      <c r="G2418">
        <f t="shared" si="81"/>
        <v>-3.208117710013085E-2</v>
      </c>
    </row>
    <row r="2419" spans="1:7" x14ac:dyDescent="0.35">
      <c r="A2419" t="s">
        <v>131</v>
      </c>
      <c r="E2419">
        <v>-3.1179900106678253E-5</v>
      </c>
      <c r="F2419">
        <f t="shared" si="80"/>
        <v>-1.8098056263972002E-2</v>
      </c>
      <c r="G2419">
        <f t="shared" si="81"/>
        <v>-3.208117710013085E-2</v>
      </c>
    </row>
    <row r="2420" spans="1:7" x14ac:dyDescent="0.35">
      <c r="A2420" t="s">
        <v>131</v>
      </c>
      <c r="E2420">
        <v>-2.1566600153611619E-3</v>
      </c>
      <c r="F2420">
        <f t="shared" si="80"/>
        <v>-1.8098408442873328E-2</v>
      </c>
      <c r="G2420">
        <f t="shared" si="81"/>
        <v>-3.208117710013085E-2</v>
      </c>
    </row>
    <row r="2421" spans="1:7" x14ac:dyDescent="0.35">
      <c r="A2421" t="s">
        <v>131</v>
      </c>
      <c r="E2421">
        <v>8.3657684061894423E-3</v>
      </c>
      <c r="F2421">
        <f t="shared" si="80"/>
        <v>-1.8123254581202938E-2</v>
      </c>
      <c r="G2421">
        <f t="shared" si="81"/>
        <v>-3.2283825921250522E-2</v>
      </c>
    </row>
    <row r="2422" spans="1:7" x14ac:dyDescent="0.35">
      <c r="A2422" t="s">
        <v>131</v>
      </c>
      <c r="E2422">
        <v>1.4014586409635339E-3</v>
      </c>
      <c r="F2422">
        <f t="shared" si="80"/>
        <v>-1.8148100719532548E-2</v>
      </c>
      <c r="G2422">
        <f t="shared" si="81"/>
        <v>-3.2283825921250522E-2</v>
      </c>
    </row>
    <row r="2423" spans="1:7" x14ac:dyDescent="0.35">
      <c r="A2423" t="s">
        <v>131</v>
      </c>
      <c r="E2423">
        <v>-5.0037859095457193E-3</v>
      </c>
      <c r="F2423">
        <f t="shared" si="80"/>
        <v>-1.8172946857862159E-2</v>
      </c>
      <c r="G2423">
        <f t="shared" si="81"/>
        <v>-3.2283825921250522E-2</v>
      </c>
    </row>
    <row r="2424" spans="1:7" x14ac:dyDescent="0.35">
      <c r="A2424" t="s">
        <v>131</v>
      </c>
      <c r="E2424">
        <v>-2.7009435486399099E-3</v>
      </c>
      <c r="F2424">
        <f t="shared" si="80"/>
        <v>-1.8197792996191776E-2</v>
      </c>
      <c r="G2424">
        <f t="shared" si="81"/>
        <v>-3.2283825921250522E-2</v>
      </c>
    </row>
    <row r="2425" spans="1:7" x14ac:dyDescent="0.35">
      <c r="A2425" t="s">
        <v>131</v>
      </c>
      <c r="E2425">
        <v>-4.4376470654044183E-3</v>
      </c>
      <c r="F2425">
        <f t="shared" si="80"/>
        <v>-1.8222639134521386E-2</v>
      </c>
      <c r="G2425">
        <f t="shared" si="81"/>
        <v>-3.2283825921250522E-2</v>
      </c>
    </row>
    <row r="2426" spans="1:7" x14ac:dyDescent="0.35">
      <c r="A2426" t="s">
        <v>131</v>
      </c>
      <c r="E2426">
        <v>8.3607566290291209E-3</v>
      </c>
      <c r="F2426">
        <f t="shared" si="80"/>
        <v>-1.8247485272850996E-2</v>
      </c>
      <c r="G2426">
        <f t="shared" si="81"/>
        <v>-3.2283825921250522E-2</v>
      </c>
    </row>
    <row r="2427" spans="1:7" x14ac:dyDescent="0.35">
      <c r="A2427" t="s">
        <v>131</v>
      </c>
      <c r="E2427">
        <v>6.4936579066579335E-3</v>
      </c>
      <c r="F2427">
        <f t="shared" si="80"/>
        <v>-1.8272331411180606E-2</v>
      </c>
      <c r="G2427">
        <f t="shared" si="81"/>
        <v>-3.2283825921250522E-2</v>
      </c>
    </row>
    <row r="2428" spans="1:7" x14ac:dyDescent="0.35">
      <c r="A2428" t="s">
        <v>131</v>
      </c>
      <c r="E2428">
        <v>-3.8065817137156643E-4</v>
      </c>
      <c r="F2428">
        <f t="shared" si="80"/>
        <v>-1.8297177549510216E-2</v>
      </c>
      <c r="G2428">
        <f t="shared" si="81"/>
        <v>-3.2283825921250522E-2</v>
      </c>
    </row>
    <row r="2429" spans="1:7" x14ac:dyDescent="0.35">
      <c r="A2429" t="s">
        <v>132</v>
      </c>
      <c r="B2429" s="3" cm="1">
        <f t="array" ref="B2429">_xlfn.STDEV.S(_xlfn._xlws.FILTER($E$2013:$E$3011, $A$2013:$A$3011="2019-10"))</f>
        <v>1.2089380299776483E-2</v>
      </c>
      <c r="C2429" s="3" cm="1">
        <f t="array" ref="C2429">AVERAGE(_xlfn._xlws.FILTER($E$2013:$E$3011, $A$2013:$A$3011="2019-10"))</f>
        <v>3.3872465609544511E-4</v>
      </c>
      <c r="D2429" s="3" cm="1">
        <f t="array" ref="D2429">_xlfn.PERCENTILE.EXC(_xlfn._xlws.FILTER($E$1498:$E$2489, $A$1498:$A$2489="2019-10"), 0.05)</f>
        <v>-3.2057017709861829E-2</v>
      </c>
      <c r="E2429">
        <v>-7.4147348855629243E-3</v>
      </c>
      <c r="F2429">
        <f t="shared" si="80"/>
        <v>-1.8322023687839833E-2</v>
      </c>
      <c r="G2429">
        <f t="shared" si="81"/>
        <v>-3.2283825921250522E-2</v>
      </c>
    </row>
    <row r="2430" spans="1:7" x14ac:dyDescent="0.35">
      <c r="A2430" t="s">
        <v>132</v>
      </c>
      <c r="E2430">
        <v>-3.5396730722781829E-2</v>
      </c>
      <c r="F2430">
        <f t="shared" si="80"/>
        <v>-1.8346869826169444E-2</v>
      </c>
      <c r="G2430">
        <f t="shared" si="81"/>
        <v>-3.2283825921250522E-2</v>
      </c>
    </row>
    <row r="2431" spans="1:7" x14ac:dyDescent="0.35">
      <c r="A2431" t="s">
        <v>132</v>
      </c>
      <c r="E2431">
        <v>3.8537412871437926E-3</v>
      </c>
      <c r="F2431">
        <f t="shared" si="80"/>
        <v>-1.8095238832761387E-2</v>
      </c>
      <c r="G2431">
        <f t="shared" si="81"/>
        <v>-3.2033125598353293E-2</v>
      </c>
    </row>
    <row r="2432" spans="1:7" x14ac:dyDescent="0.35">
      <c r="A2432" t="s">
        <v>132</v>
      </c>
      <c r="E2432">
        <v>4.9580825047775027E-3</v>
      </c>
      <c r="F2432">
        <f t="shared" si="80"/>
        <v>-1.8095591011662714E-2</v>
      </c>
      <c r="G2432">
        <f t="shared" si="81"/>
        <v>-3.2033125598353293E-2</v>
      </c>
    </row>
    <row r="2433" spans="1:7" x14ac:dyDescent="0.35">
      <c r="A2433" t="s">
        <v>132</v>
      </c>
      <c r="E2433">
        <v>-1.3131977303315175E-2</v>
      </c>
      <c r="F2433">
        <f t="shared" si="80"/>
        <v>-1.809594319056404E-2</v>
      </c>
      <c r="G2433">
        <f t="shared" si="81"/>
        <v>-3.2033125598353293E-2</v>
      </c>
    </row>
    <row r="2434" spans="1:7" x14ac:dyDescent="0.35">
      <c r="A2434" t="s">
        <v>132</v>
      </c>
      <c r="E2434">
        <v>4.5633542144594443E-4</v>
      </c>
      <c r="F2434">
        <f t="shared" si="80"/>
        <v>-1.8096295369465366E-2</v>
      </c>
      <c r="G2434">
        <f t="shared" si="81"/>
        <v>-3.2033125598353293E-2</v>
      </c>
    </row>
    <row r="2435" spans="1:7" x14ac:dyDescent="0.35">
      <c r="A2435" t="s">
        <v>132</v>
      </c>
      <c r="E2435">
        <v>1.445758688879138E-2</v>
      </c>
      <c r="F2435">
        <f t="shared" si="80"/>
        <v>-1.8096647548366693E-2</v>
      </c>
      <c r="G2435">
        <f t="shared" si="81"/>
        <v>-3.2033125598353293E-2</v>
      </c>
    </row>
    <row r="2436" spans="1:7" x14ac:dyDescent="0.35">
      <c r="A2436" t="s">
        <v>132</v>
      </c>
      <c r="E2436">
        <v>2.6958802704990903E-2</v>
      </c>
      <c r="F2436">
        <f t="shared" ref="F2436:F2499" si="82">_xlfn.PERCENTILE.EXC(E2436:E6251,0.05)</f>
        <v>-1.8096999727268023E-2</v>
      </c>
      <c r="G2436">
        <f t="shared" ref="G2436:G2499" si="83">AVERAGEIFS(E2436:E6252,E2436:E6252,"&lt;=" &amp; F2436)</f>
        <v>-3.2033125598353293E-2</v>
      </c>
    </row>
    <row r="2437" spans="1:7" x14ac:dyDescent="0.35">
      <c r="A2437" t="s">
        <v>132</v>
      </c>
      <c r="E2437">
        <v>-1.0436365731269694E-2</v>
      </c>
      <c r="F2437">
        <f t="shared" si="82"/>
        <v>-1.8097351906169349E-2</v>
      </c>
      <c r="G2437">
        <f t="shared" si="83"/>
        <v>-3.2033125598353293E-2</v>
      </c>
    </row>
    <row r="2438" spans="1:7" x14ac:dyDescent="0.35">
      <c r="A2438" t="s">
        <v>132</v>
      </c>
      <c r="E2438">
        <v>1.5072609876265849E-2</v>
      </c>
      <c r="F2438">
        <f t="shared" si="82"/>
        <v>-1.8097704085070675E-2</v>
      </c>
      <c r="G2438">
        <f t="shared" si="83"/>
        <v>-3.2033125598353293E-2</v>
      </c>
    </row>
    <row r="2439" spans="1:7" x14ac:dyDescent="0.35">
      <c r="A2439" t="s">
        <v>132</v>
      </c>
      <c r="E2439">
        <v>-4.2160456876154688E-3</v>
      </c>
      <c r="F2439">
        <f t="shared" si="82"/>
        <v>-1.8098056263972002E-2</v>
      </c>
      <c r="G2439">
        <f t="shared" si="83"/>
        <v>-3.2033125598353293E-2</v>
      </c>
    </row>
    <row r="2440" spans="1:7" x14ac:dyDescent="0.35">
      <c r="A2440" t="s">
        <v>132</v>
      </c>
      <c r="E2440">
        <v>-1.8943653502840638E-3</v>
      </c>
      <c r="F2440">
        <f t="shared" si="82"/>
        <v>-1.8098408442873328E-2</v>
      </c>
      <c r="G2440">
        <f t="shared" si="83"/>
        <v>-3.2033125598353293E-2</v>
      </c>
    </row>
    <row r="2441" spans="1:7" x14ac:dyDescent="0.35">
      <c r="A2441" t="s">
        <v>132</v>
      </c>
      <c r="E2441">
        <v>-1.0181897032305045E-3</v>
      </c>
      <c r="F2441">
        <f t="shared" si="82"/>
        <v>-1.8123254581202938E-2</v>
      </c>
      <c r="G2441">
        <f t="shared" si="83"/>
        <v>-3.2238047909463302E-2</v>
      </c>
    </row>
    <row r="2442" spans="1:7" x14ac:dyDescent="0.35">
      <c r="A2442" t="s">
        <v>132</v>
      </c>
      <c r="E2442">
        <v>5.9153380051753237E-3</v>
      </c>
      <c r="F2442">
        <f t="shared" si="82"/>
        <v>-1.8148100719532548E-2</v>
      </c>
      <c r="G2442">
        <f t="shared" si="83"/>
        <v>-3.2238047909463302E-2</v>
      </c>
    </row>
    <row r="2443" spans="1:7" x14ac:dyDescent="0.35">
      <c r="A2443" t="s">
        <v>132</v>
      </c>
      <c r="E2443">
        <v>5.7771619422258705E-3</v>
      </c>
      <c r="F2443">
        <f t="shared" si="82"/>
        <v>-1.8172946857862159E-2</v>
      </c>
      <c r="G2443">
        <f t="shared" si="83"/>
        <v>-3.2238047909463302E-2</v>
      </c>
    </row>
    <row r="2444" spans="1:7" x14ac:dyDescent="0.35">
      <c r="A2444" t="s">
        <v>132</v>
      </c>
      <c r="E2444">
        <v>2.6559486084593281E-3</v>
      </c>
      <c r="F2444">
        <f t="shared" si="82"/>
        <v>-1.8197792996191776E-2</v>
      </c>
      <c r="G2444">
        <f t="shared" si="83"/>
        <v>-3.2238047909463302E-2</v>
      </c>
    </row>
    <row r="2445" spans="1:7" x14ac:dyDescent="0.35">
      <c r="A2445" t="s">
        <v>132</v>
      </c>
      <c r="E2445">
        <v>8.6488466074588887E-3</v>
      </c>
      <c r="F2445">
        <f t="shared" si="82"/>
        <v>-1.8222639134521386E-2</v>
      </c>
      <c r="G2445">
        <f t="shared" si="83"/>
        <v>-3.2238047909463302E-2</v>
      </c>
    </row>
    <row r="2446" spans="1:7" x14ac:dyDescent="0.35">
      <c r="A2446" t="s">
        <v>132</v>
      </c>
      <c r="E2446">
        <v>-1.1161952876784551E-4</v>
      </c>
      <c r="F2446">
        <f t="shared" si="82"/>
        <v>-1.8247485272850996E-2</v>
      </c>
      <c r="G2446">
        <f t="shared" si="83"/>
        <v>-3.2238047909463302E-2</v>
      </c>
    </row>
    <row r="2447" spans="1:7" x14ac:dyDescent="0.35">
      <c r="A2447" t="s">
        <v>132</v>
      </c>
      <c r="E2447">
        <v>1.9863529344094546E-3</v>
      </c>
      <c r="F2447">
        <f t="shared" si="82"/>
        <v>-1.8272331411180606E-2</v>
      </c>
      <c r="G2447">
        <f t="shared" si="83"/>
        <v>-3.2238047909463302E-2</v>
      </c>
    </row>
    <row r="2448" spans="1:7" x14ac:dyDescent="0.35">
      <c r="A2448" t="s">
        <v>132</v>
      </c>
      <c r="E2448">
        <v>-4.5032096617459091E-3</v>
      </c>
      <c r="F2448">
        <f t="shared" si="82"/>
        <v>-1.8297177549510216E-2</v>
      </c>
      <c r="G2448">
        <f t="shared" si="83"/>
        <v>-3.2238047909463302E-2</v>
      </c>
    </row>
    <row r="2449" spans="1:7" x14ac:dyDescent="0.35">
      <c r="A2449" t="s">
        <v>132</v>
      </c>
      <c r="E2449">
        <v>3.3179927778442028E-3</v>
      </c>
      <c r="F2449">
        <f t="shared" si="82"/>
        <v>-1.8322023687839833E-2</v>
      </c>
      <c r="G2449">
        <f t="shared" si="83"/>
        <v>-3.2238047909463302E-2</v>
      </c>
    </row>
    <row r="2450" spans="1:7" x14ac:dyDescent="0.35">
      <c r="A2450" t="s">
        <v>132</v>
      </c>
      <c r="E2450">
        <v>-8.4836185503152309E-3</v>
      </c>
      <c r="F2450">
        <f t="shared" si="82"/>
        <v>-1.8346869826169444E-2</v>
      </c>
      <c r="G2450">
        <f t="shared" si="83"/>
        <v>-3.2238047909463302E-2</v>
      </c>
    </row>
    <row r="2451" spans="1:7" x14ac:dyDescent="0.35">
      <c r="A2451" t="s">
        <v>133</v>
      </c>
      <c r="B2451" s="3" cm="1">
        <f t="array" ref="B2451">_xlfn.STDEV.S(_xlfn._xlws.FILTER($E$2013:$E$3011, $A$2013:$A$3011="2019-11"))</f>
        <v>6.4778077201487578E-3</v>
      </c>
      <c r="C2451" s="3" cm="1">
        <f t="array" ref="C2451">AVERAGE(_xlfn._xlws.FILTER($E$2013:$E$3011, $A$2013:$A$3011="2019-11"))</f>
        <v>1.1807362379612446E-3</v>
      </c>
      <c r="D2451" s="3" cm="1">
        <f t="array" ref="D2451">_xlfn.PERCENTILE.EXC(_xlfn._xlws.FILTER($E$1498:$E$2489, $A$1498:$A$2489="2019-11"), 0.05)</f>
        <v>-8.0085525441426775E-3</v>
      </c>
      <c r="E2451">
        <v>5.9933404858936298E-3</v>
      </c>
      <c r="F2451">
        <f t="shared" si="82"/>
        <v>-1.8371715964499054E-2</v>
      </c>
      <c r="G2451">
        <f t="shared" si="83"/>
        <v>-3.2238047909463302E-2</v>
      </c>
    </row>
    <row r="2452" spans="1:7" x14ac:dyDescent="0.35">
      <c r="A2452" t="s">
        <v>133</v>
      </c>
      <c r="E2452">
        <v>8.1888864680613911E-3</v>
      </c>
      <c r="F2452">
        <f t="shared" si="82"/>
        <v>-1.8396562102828664E-2</v>
      </c>
      <c r="G2452">
        <f t="shared" si="83"/>
        <v>-3.2238047909463302E-2</v>
      </c>
    </row>
    <row r="2453" spans="1:7" x14ac:dyDescent="0.35">
      <c r="A2453" t="s">
        <v>133</v>
      </c>
      <c r="E2453">
        <v>6.8155903127367825E-3</v>
      </c>
      <c r="F2453">
        <f t="shared" si="82"/>
        <v>-1.8421408241158274E-2</v>
      </c>
      <c r="G2453">
        <f t="shared" si="83"/>
        <v>-3.2238047909463302E-2</v>
      </c>
    </row>
    <row r="2454" spans="1:7" x14ac:dyDescent="0.35">
      <c r="A2454" t="s">
        <v>133</v>
      </c>
      <c r="E2454">
        <v>3.2948916976981082E-4</v>
      </c>
      <c r="F2454">
        <f t="shared" si="82"/>
        <v>-1.8446254379487891E-2</v>
      </c>
      <c r="G2454">
        <f t="shared" si="83"/>
        <v>-3.2238047909463302E-2</v>
      </c>
    </row>
    <row r="2455" spans="1:7" x14ac:dyDescent="0.35">
      <c r="A2455" t="s">
        <v>133</v>
      </c>
      <c r="E2455">
        <v>2.3054794466534505E-4</v>
      </c>
      <c r="F2455">
        <f t="shared" si="82"/>
        <v>-1.8471100517817501E-2</v>
      </c>
      <c r="G2455">
        <f t="shared" si="83"/>
        <v>-3.2238047909463302E-2</v>
      </c>
    </row>
    <row r="2456" spans="1:7" x14ac:dyDescent="0.35">
      <c r="A2456" t="s">
        <v>133</v>
      </c>
      <c r="E2456">
        <v>-7.8274234284284507E-3</v>
      </c>
      <c r="F2456">
        <f t="shared" si="82"/>
        <v>-1.8495946656147112E-2</v>
      </c>
      <c r="G2456">
        <f t="shared" si="83"/>
        <v>-3.2238047909463302E-2</v>
      </c>
    </row>
    <row r="2457" spans="1:7" x14ac:dyDescent="0.35">
      <c r="A2457" t="s">
        <v>133</v>
      </c>
      <c r="E2457">
        <v>7.8888248557803338E-4</v>
      </c>
      <c r="F2457">
        <f t="shared" si="82"/>
        <v>-1.8520792794476722E-2</v>
      </c>
      <c r="G2457">
        <f t="shared" si="83"/>
        <v>-3.2238047909463302E-2</v>
      </c>
    </row>
    <row r="2458" spans="1:7" x14ac:dyDescent="0.35">
      <c r="A2458" t="s">
        <v>133</v>
      </c>
      <c r="E2458">
        <v>7.5621598403128234E-3</v>
      </c>
      <c r="F2458">
        <f t="shared" si="82"/>
        <v>-1.8545638932806332E-2</v>
      </c>
      <c r="G2458">
        <f t="shared" si="83"/>
        <v>-3.2238047909463302E-2</v>
      </c>
    </row>
    <row r="2459" spans="1:7" x14ac:dyDescent="0.35">
      <c r="A2459" t="s">
        <v>133</v>
      </c>
      <c r="E2459">
        <v>-2.2443384681914012E-3</v>
      </c>
      <c r="F2459">
        <f t="shared" si="82"/>
        <v>-1.8570485071135949E-2</v>
      </c>
      <c r="G2459">
        <f t="shared" si="83"/>
        <v>-3.2238047909463302E-2</v>
      </c>
    </row>
    <row r="2460" spans="1:7" x14ac:dyDescent="0.35">
      <c r="A2460" t="s">
        <v>133</v>
      </c>
      <c r="E2460">
        <v>-6.676010172284255E-3</v>
      </c>
      <c r="F2460">
        <f t="shared" si="82"/>
        <v>-1.8595331209465559E-2</v>
      </c>
      <c r="G2460">
        <f t="shared" si="83"/>
        <v>-3.2238047909463302E-2</v>
      </c>
    </row>
    <row r="2461" spans="1:7" x14ac:dyDescent="0.35">
      <c r="A2461" t="s">
        <v>133</v>
      </c>
      <c r="E2461">
        <v>4.5954112030227064E-4</v>
      </c>
      <c r="F2461">
        <f t="shared" si="82"/>
        <v>-1.8603774127911702E-2</v>
      </c>
      <c r="G2461">
        <f t="shared" si="83"/>
        <v>-3.2441670546776692E-2</v>
      </c>
    </row>
    <row r="2462" spans="1:7" x14ac:dyDescent="0.35">
      <c r="A2462" t="s">
        <v>133</v>
      </c>
      <c r="E2462">
        <v>2.6046896473729641E-3</v>
      </c>
      <c r="F2462">
        <f t="shared" si="82"/>
        <v>-1.8612217046357848E-2</v>
      </c>
      <c r="G2462">
        <f t="shared" si="83"/>
        <v>-3.2441670546776692E-2</v>
      </c>
    </row>
    <row r="2463" spans="1:7" x14ac:dyDescent="0.35">
      <c r="A2463" t="s">
        <v>133</v>
      </c>
      <c r="E2463">
        <v>-7.9854856338792816E-4</v>
      </c>
      <c r="F2463">
        <f t="shared" si="82"/>
        <v>-1.8620659964803991E-2</v>
      </c>
      <c r="G2463">
        <f t="shared" si="83"/>
        <v>-3.2441670546776692E-2</v>
      </c>
    </row>
    <row r="2464" spans="1:7" x14ac:dyDescent="0.35">
      <c r="A2464" t="s">
        <v>133</v>
      </c>
      <c r="E2464">
        <v>-7.5292134714937007E-3</v>
      </c>
      <c r="F2464">
        <f t="shared" si="82"/>
        <v>-1.8629102883250138E-2</v>
      </c>
      <c r="G2464">
        <f t="shared" si="83"/>
        <v>-3.2441670546776692E-2</v>
      </c>
    </row>
    <row r="2465" spans="1:7" x14ac:dyDescent="0.35">
      <c r="A2465" t="s">
        <v>133</v>
      </c>
      <c r="E2465">
        <v>-4.3342797685184406E-3</v>
      </c>
      <c r="F2465">
        <f t="shared" si="82"/>
        <v>-1.8637545801696281E-2</v>
      </c>
      <c r="G2465">
        <f t="shared" si="83"/>
        <v>-3.2441670546776692E-2</v>
      </c>
    </row>
    <row r="2466" spans="1:7" x14ac:dyDescent="0.35">
      <c r="A2466" t="s">
        <v>133</v>
      </c>
      <c r="E2466">
        <v>9.7437471490389917E-3</v>
      </c>
      <c r="F2466">
        <f t="shared" si="82"/>
        <v>-1.8645988720142424E-2</v>
      </c>
      <c r="G2466">
        <f t="shared" si="83"/>
        <v>-3.2441670546776692E-2</v>
      </c>
    </row>
    <row r="2467" spans="1:7" x14ac:dyDescent="0.35">
      <c r="A2467" t="s">
        <v>133</v>
      </c>
      <c r="E2467">
        <v>1.5816388115105457E-2</v>
      </c>
      <c r="F2467">
        <f t="shared" si="82"/>
        <v>-1.865443163858857E-2</v>
      </c>
      <c r="G2467">
        <f t="shared" si="83"/>
        <v>-3.2441670546776692E-2</v>
      </c>
    </row>
    <row r="2468" spans="1:7" x14ac:dyDescent="0.35">
      <c r="A2468" t="s">
        <v>133</v>
      </c>
      <c r="E2468">
        <v>-2.4425207164890774E-3</v>
      </c>
      <c r="F2468">
        <f t="shared" si="82"/>
        <v>-1.8662874557034713E-2</v>
      </c>
      <c r="G2468">
        <f t="shared" si="83"/>
        <v>-3.2441670546776692E-2</v>
      </c>
    </row>
    <row r="2469" spans="1:7" x14ac:dyDescent="0.35">
      <c r="A2469" t="s">
        <v>133</v>
      </c>
      <c r="E2469">
        <v>7.1175487409049073E-3</v>
      </c>
      <c r="F2469">
        <f t="shared" si="82"/>
        <v>-1.8671317475480859E-2</v>
      </c>
      <c r="G2469">
        <f t="shared" si="83"/>
        <v>-3.2441670546776692E-2</v>
      </c>
    </row>
    <row r="2470" spans="1:7" x14ac:dyDescent="0.35">
      <c r="A2470" t="s">
        <v>133</v>
      </c>
      <c r="E2470">
        <v>-9.7433789231875202E-4</v>
      </c>
      <c r="F2470">
        <f t="shared" si="82"/>
        <v>-1.8679760393927002E-2</v>
      </c>
      <c r="G2470">
        <f t="shared" si="83"/>
        <v>-3.2441670546776692E-2</v>
      </c>
    </row>
    <row r="2471" spans="1:7" x14ac:dyDescent="0.35">
      <c r="A2471" t="s">
        <v>133</v>
      </c>
      <c r="E2471">
        <v>-8.0286780014442588E-3</v>
      </c>
      <c r="F2471">
        <f t="shared" si="82"/>
        <v>-1.8688203312373145E-2</v>
      </c>
      <c r="G2471">
        <f t="shared" si="83"/>
        <v>-3.2441670546776692E-2</v>
      </c>
    </row>
    <row r="2472" spans="1:7" x14ac:dyDescent="0.35">
      <c r="A2472" t="s">
        <v>134</v>
      </c>
      <c r="B2472" s="3" cm="1">
        <f t="array" ref="B2472">_xlfn.STDEV.S(_xlfn._xlws.FILTER($E$2013:$E$3011, $A$2013:$A$3011="2019-12"))</f>
        <v>1.1422272592157999E-2</v>
      </c>
      <c r="C2472" s="3" cm="1">
        <f t="array" ref="C2472">AVERAGE(_xlfn._xlws.FILTER($E$2013:$E$3011, $A$2013:$A$3011="2019-12"))</f>
        <v>1.6124876489169888E-3</v>
      </c>
      <c r="D2472" s="3" cm="1">
        <f t="array" ref="D2472">_xlfn.PERCENTILE.INC(_xlfn._xlws.FILTER($E$1498:$E$2489, $A$1498:$A$2489="2019-12"), 0.05)</f>
        <v>-1.3656305262626275E-2</v>
      </c>
      <c r="E2472">
        <v>-1.3468540720392145E-2</v>
      </c>
      <c r="F2472">
        <f t="shared" si="82"/>
        <v>-1.8696646230819292E-2</v>
      </c>
      <c r="G2472">
        <f t="shared" si="83"/>
        <v>-3.2441670546776692E-2</v>
      </c>
    </row>
    <row r="2473" spans="1:7" x14ac:dyDescent="0.35">
      <c r="A2473" t="s">
        <v>134</v>
      </c>
      <c r="E2473">
        <v>-1.3077758408963271E-2</v>
      </c>
      <c r="F2473">
        <f t="shared" si="82"/>
        <v>-1.8705089149265434E-2</v>
      </c>
      <c r="G2473">
        <f t="shared" si="83"/>
        <v>-3.2441670546776692E-2</v>
      </c>
    </row>
    <row r="2474" spans="1:7" x14ac:dyDescent="0.35">
      <c r="A2474" t="s">
        <v>134</v>
      </c>
      <c r="E2474">
        <v>1.1408446672815827E-2</v>
      </c>
      <c r="F2474">
        <f t="shared" si="82"/>
        <v>-1.8713532067711581E-2</v>
      </c>
      <c r="G2474">
        <f t="shared" si="83"/>
        <v>-3.2441670546776692E-2</v>
      </c>
    </row>
    <row r="2475" spans="1:7" x14ac:dyDescent="0.35">
      <c r="A2475" t="s">
        <v>134</v>
      </c>
      <c r="E2475">
        <v>-4.4002462706492669E-3</v>
      </c>
      <c r="F2475">
        <f t="shared" si="82"/>
        <v>-1.8721974986157724E-2</v>
      </c>
      <c r="G2475">
        <f t="shared" si="83"/>
        <v>-3.2441670546776692E-2</v>
      </c>
    </row>
    <row r="2476" spans="1:7" x14ac:dyDescent="0.35">
      <c r="A2476" t="s">
        <v>134</v>
      </c>
      <c r="E2476">
        <v>1.677348379960213E-2</v>
      </c>
      <c r="F2476">
        <f t="shared" si="82"/>
        <v>-1.8730417904603867E-2</v>
      </c>
      <c r="G2476">
        <f t="shared" si="83"/>
        <v>-3.2441670546776692E-2</v>
      </c>
    </row>
    <row r="2477" spans="1:7" x14ac:dyDescent="0.35">
      <c r="A2477" t="s">
        <v>134</v>
      </c>
      <c r="E2477">
        <v>1.6467815350779404E-4</v>
      </c>
      <c r="F2477">
        <f t="shared" si="82"/>
        <v>-1.8738860823050013E-2</v>
      </c>
      <c r="G2477">
        <f t="shared" si="83"/>
        <v>-3.2441670546776692E-2</v>
      </c>
    </row>
    <row r="2478" spans="1:7" x14ac:dyDescent="0.35">
      <c r="A2478" t="s">
        <v>134</v>
      </c>
      <c r="E2478">
        <v>-2.8390711756800116E-3</v>
      </c>
      <c r="F2478">
        <f t="shared" si="82"/>
        <v>-1.8747303741496156E-2</v>
      </c>
      <c r="G2478">
        <f t="shared" si="83"/>
        <v>-3.2441670546776692E-2</v>
      </c>
    </row>
    <row r="2479" spans="1:7" x14ac:dyDescent="0.35">
      <c r="A2479" t="s">
        <v>134</v>
      </c>
      <c r="E2479">
        <v>-9.4051890021837239E-4</v>
      </c>
      <c r="F2479">
        <f t="shared" si="82"/>
        <v>-1.8755746659942302E-2</v>
      </c>
      <c r="G2479">
        <f t="shared" si="83"/>
        <v>-3.2441670546776692E-2</v>
      </c>
    </row>
    <row r="2480" spans="1:7" x14ac:dyDescent="0.35">
      <c r="A2480" t="s">
        <v>134</v>
      </c>
      <c r="E2480">
        <v>1.4822313734171744E-3</v>
      </c>
      <c r="F2480">
        <f t="shared" si="82"/>
        <v>-1.8764189578388445E-2</v>
      </c>
      <c r="G2480">
        <f t="shared" si="83"/>
        <v>-3.2441670546776692E-2</v>
      </c>
    </row>
    <row r="2481" spans="1:7" x14ac:dyDescent="0.35">
      <c r="A2481" t="s">
        <v>134</v>
      </c>
      <c r="E2481">
        <v>2.6512627430447147E-2</v>
      </c>
      <c r="F2481">
        <f t="shared" si="82"/>
        <v>-1.8769979435060147E-2</v>
      </c>
      <c r="G2481">
        <f t="shared" si="83"/>
        <v>-3.2648905106903783E-2</v>
      </c>
    </row>
    <row r="2482" spans="1:7" x14ac:dyDescent="0.35">
      <c r="A2482" t="s">
        <v>134</v>
      </c>
      <c r="E2482">
        <v>2.0145793541502827E-2</v>
      </c>
      <c r="F2482">
        <f t="shared" si="82"/>
        <v>-1.8775769291731848E-2</v>
      </c>
      <c r="G2482">
        <f t="shared" si="83"/>
        <v>-3.2648905106903783E-2</v>
      </c>
    </row>
    <row r="2483" spans="1:7" x14ac:dyDescent="0.35">
      <c r="A2483" t="s">
        <v>134</v>
      </c>
      <c r="E2483">
        <v>-1.4720304335286347E-2</v>
      </c>
      <c r="F2483">
        <f t="shared" si="82"/>
        <v>-1.8781559148403546E-2</v>
      </c>
      <c r="G2483">
        <f t="shared" si="83"/>
        <v>-3.2648905106903783E-2</v>
      </c>
    </row>
    <row r="2484" spans="1:7" x14ac:dyDescent="0.35">
      <c r="A2484" t="s">
        <v>134</v>
      </c>
      <c r="E2484">
        <v>1.4448955372952839E-3</v>
      </c>
      <c r="F2484">
        <f t="shared" si="82"/>
        <v>-1.8787349005075248E-2</v>
      </c>
      <c r="G2484">
        <f t="shared" si="83"/>
        <v>-3.2648905106903783E-2</v>
      </c>
    </row>
    <row r="2485" spans="1:7" x14ac:dyDescent="0.35">
      <c r="A2485" t="s">
        <v>134</v>
      </c>
      <c r="E2485">
        <v>3.7769482047025389E-4</v>
      </c>
      <c r="F2485">
        <f t="shared" si="82"/>
        <v>-1.8793138861746949E-2</v>
      </c>
      <c r="G2485">
        <f t="shared" si="83"/>
        <v>-3.2648905106903783E-2</v>
      </c>
    </row>
    <row r="2486" spans="1:7" x14ac:dyDescent="0.35">
      <c r="A2486" t="s">
        <v>134</v>
      </c>
      <c r="E2486">
        <v>4.8077502409969147E-3</v>
      </c>
      <c r="F2486">
        <f t="shared" si="82"/>
        <v>-1.879892871841865E-2</v>
      </c>
      <c r="G2486">
        <f t="shared" si="83"/>
        <v>-3.2648905106903783E-2</v>
      </c>
    </row>
    <row r="2487" spans="1:7" x14ac:dyDescent="0.35">
      <c r="A2487" t="s">
        <v>134</v>
      </c>
      <c r="E2487">
        <v>-3.2824313540974312E-3</v>
      </c>
      <c r="F2487">
        <f t="shared" si="82"/>
        <v>-1.8804718575090352E-2</v>
      </c>
      <c r="G2487">
        <f t="shared" si="83"/>
        <v>-3.2648905106903783E-2</v>
      </c>
    </row>
    <row r="2488" spans="1:7" x14ac:dyDescent="0.35">
      <c r="A2488" t="s">
        <v>134</v>
      </c>
      <c r="E2488">
        <v>6.6593883506250546E-3</v>
      </c>
      <c r="F2488">
        <f t="shared" si="82"/>
        <v>-1.8810508431762053E-2</v>
      </c>
      <c r="G2488">
        <f t="shared" si="83"/>
        <v>-3.2648905106903783E-2</v>
      </c>
    </row>
    <row r="2489" spans="1:7" x14ac:dyDescent="0.35">
      <c r="A2489" t="s">
        <v>134</v>
      </c>
      <c r="E2489">
        <v>-8.0233410748877573E-3</v>
      </c>
      <c r="F2489">
        <f t="shared" si="82"/>
        <v>-1.8816298288433755E-2</v>
      </c>
      <c r="G2489">
        <f t="shared" si="83"/>
        <v>-3.2648905106903783E-2</v>
      </c>
    </row>
    <row r="2490" spans="1:7" x14ac:dyDescent="0.35">
      <c r="A2490" t="s">
        <v>135</v>
      </c>
      <c r="B2490" s="3" cm="1">
        <f t="array" ref="B2490">_xlfn.STDEV.S(_xlfn._xlws.FILTER($E$2013:$E$3011, $A$2013:$A$3011="2020-01"))</f>
        <v>7.2766661639199386E-3</v>
      </c>
      <c r="C2490" s="3" cm="1">
        <f t="array" ref="C2490">AVERAGE(_xlfn._xlws.FILTER($E$2013:$E$3011, $A$2013:$A$3011="2020-01"))</f>
        <v>-1.0523430546957458E-3</v>
      </c>
      <c r="D2490" s="3" cm="1">
        <f t="array" ref="D2490">_xlfn.PERCENTILE.EXC(_xlfn._xlws.FILTER($E$2490:$E$3818, $A$2490:$A$3818="2020-01"), 0.05)</f>
        <v>-2.1701880473797005E-2</v>
      </c>
      <c r="E2490">
        <v>7.1537177990843243E-3</v>
      </c>
      <c r="F2490">
        <f t="shared" si="82"/>
        <v>-1.8822088145105456E-2</v>
      </c>
      <c r="G2490">
        <f t="shared" si="83"/>
        <v>-3.2648905106903783E-2</v>
      </c>
    </row>
    <row r="2491" spans="1:7" x14ac:dyDescent="0.35">
      <c r="A2491" t="s">
        <v>135</v>
      </c>
      <c r="E2491">
        <v>-1.3862744331587656E-3</v>
      </c>
      <c r="F2491">
        <f t="shared" si="82"/>
        <v>-1.8827878001777154E-2</v>
      </c>
      <c r="G2491">
        <f t="shared" si="83"/>
        <v>-3.2648905106903783E-2</v>
      </c>
    </row>
    <row r="2492" spans="1:7" x14ac:dyDescent="0.35">
      <c r="A2492" t="s">
        <v>135</v>
      </c>
      <c r="E2492">
        <v>-2.7635008794342809E-3</v>
      </c>
      <c r="F2492">
        <f t="shared" si="82"/>
        <v>-1.8833667858448856E-2</v>
      </c>
      <c r="G2492">
        <f t="shared" si="83"/>
        <v>-3.2648905106903783E-2</v>
      </c>
    </row>
    <row r="2493" spans="1:7" x14ac:dyDescent="0.35">
      <c r="A2493" t="s">
        <v>135</v>
      </c>
      <c r="E2493">
        <v>2.0244693224085704E-3</v>
      </c>
      <c r="F2493">
        <f t="shared" si="82"/>
        <v>-1.8839457715120557E-2</v>
      </c>
      <c r="G2493">
        <f t="shared" si="83"/>
        <v>-3.2648905106903783E-2</v>
      </c>
    </row>
    <row r="2494" spans="1:7" x14ac:dyDescent="0.35">
      <c r="A2494" t="s">
        <v>135</v>
      </c>
      <c r="E2494">
        <v>6.3514966786507943E-4</v>
      </c>
      <c r="F2494">
        <f t="shared" si="82"/>
        <v>-1.8845247571792258E-2</v>
      </c>
      <c r="G2494">
        <f t="shared" si="83"/>
        <v>-3.2648905106903783E-2</v>
      </c>
    </row>
    <row r="2495" spans="1:7" x14ac:dyDescent="0.35">
      <c r="A2495" t="s">
        <v>135</v>
      </c>
      <c r="E2495">
        <v>8.6355086393780458E-4</v>
      </c>
      <c r="F2495">
        <f t="shared" si="82"/>
        <v>-1.885103742846396E-2</v>
      </c>
      <c r="G2495">
        <f t="shared" si="83"/>
        <v>-3.2648905106903783E-2</v>
      </c>
    </row>
    <row r="2496" spans="1:7" x14ac:dyDescent="0.35">
      <c r="A2496" t="s">
        <v>135</v>
      </c>
      <c r="E2496">
        <v>-2.805674363860569E-3</v>
      </c>
      <c r="F2496">
        <f t="shared" si="82"/>
        <v>-1.8856827285135661E-2</v>
      </c>
      <c r="G2496">
        <f t="shared" si="83"/>
        <v>-3.2648905106903783E-2</v>
      </c>
    </row>
    <row r="2497" spans="1:7" x14ac:dyDescent="0.35">
      <c r="A2497" t="s">
        <v>135</v>
      </c>
      <c r="E2497">
        <v>-2.8466139203085997E-3</v>
      </c>
      <c r="F2497">
        <f t="shared" si="82"/>
        <v>-1.8862617141807359E-2</v>
      </c>
      <c r="G2497">
        <f t="shared" si="83"/>
        <v>-3.2648905106903783E-2</v>
      </c>
    </row>
    <row r="2498" spans="1:7" x14ac:dyDescent="0.35">
      <c r="A2498" t="s">
        <v>135</v>
      </c>
      <c r="E2498">
        <v>3.5071544726803265E-3</v>
      </c>
      <c r="F2498">
        <f t="shared" si="82"/>
        <v>-1.8868406998479061E-2</v>
      </c>
      <c r="G2498">
        <f t="shared" si="83"/>
        <v>-3.2648905106903783E-2</v>
      </c>
    </row>
    <row r="2499" spans="1:7" x14ac:dyDescent="0.35">
      <c r="A2499" t="s">
        <v>135</v>
      </c>
      <c r="E2499">
        <v>1.1009538670410839E-3</v>
      </c>
      <c r="F2499">
        <f t="shared" si="82"/>
        <v>-1.8874196855150762E-2</v>
      </c>
      <c r="G2499">
        <f t="shared" si="83"/>
        <v>-3.2648905106903783E-2</v>
      </c>
    </row>
    <row r="2500" spans="1:7" x14ac:dyDescent="0.35">
      <c r="A2500" t="s">
        <v>135</v>
      </c>
      <c r="E2500">
        <v>8.7852735701043731E-4</v>
      </c>
      <c r="F2500">
        <f t="shared" ref="F2500:F2563" si="84">_xlfn.PERCENTILE.EXC(E2500:E6315,0.05)</f>
        <v>-1.8879986711822463E-2</v>
      </c>
      <c r="G2500">
        <f t="shared" ref="G2500:G2563" si="85">AVERAGEIFS(E2500:E6316,E2500:E6316,"&lt;=" &amp; F2500)</f>
        <v>-3.2648905106903783E-2</v>
      </c>
    </row>
    <row r="2501" spans="1:7" x14ac:dyDescent="0.35">
      <c r="A2501" t="s">
        <v>135</v>
      </c>
      <c r="E2501">
        <v>8.6003745963407555E-3</v>
      </c>
      <c r="F2501">
        <f t="shared" si="84"/>
        <v>-1.888292031304982E-2</v>
      </c>
      <c r="G2501">
        <f t="shared" si="85"/>
        <v>-3.2860734620674271E-2</v>
      </c>
    </row>
    <row r="2502" spans="1:7" x14ac:dyDescent="0.35">
      <c r="A2502" t="s">
        <v>135</v>
      </c>
      <c r="E2502">
        <v>-4.2302069996001555E-3</v>
      </c>
      <c r="F2502">
        <f t="shared" si="84"/>
        <v>-1.8885853914277176E-2</v>
      </c>
      <c r="G2502">
        <f t="shared" si="85"/>
        <v>-3.2860734620674271E-2</v>
      </c>
    </row>
    <row r="2503" spans="1:7" x14ac:dyDescent="0.35">
      <c r="A2503" t="s">
        <v>135</v>
      </c>
      <c r="E2503">
        <v>-2.5279981428591174E-3</v>
      </c>
      <c r="F2503">
        <f t="shared" si="84"/>
        <v>-1.8888787515504532E-2</v>
      </c>
      <c r="G2503">
        <f t="shared" si="85"/>
        <v>-3.2860734620674271E-2</v>
      </c>
    </row>
    <row r="2504" spans="1:7" x14ac:dyDescent="0.35">
      <c r="A2504" t="s">
        <v>135</v>
      </c>
      <c r="E2504">
        <v>1.7745431421151657E-3</v>
      </c>
      <c r="F2504">
        <f t="shared" si="84"/>
        <v>-1.8891721116731888E-2</v>
      </c>
      <c r="G2504">
        <f t="shared" si="85"/>
        <v>-3.2860734620674271E-2</v>
      </c>
    </row>
    <row r="2505" spans="1:7" x14ac:dyDescent="0.35">
      <c r="A2505" t="s">
        <v>135</v>
      </c>
      <c r="E2505">
        <v>-6.8076002865829132E-3</v>
      </c>
      <c r="F2505">
        <f t="shared" si="84"/>
        <v>-1.8894654717959244E-2</v>
      </c>
      <c r="G2505">
        <f t="shared" si="85"/>
        <v>-3.2860734620674271E-2</v>
      </c>
    </row>
    <row r="2506" spans="1:7" x14ac:dyDescent="0.35">
      <c r="A2506" t="s">
        <v>135</v>
      </c>
      <c r="E2506">
        <v>1.0183345728484788E-2</v>
      </c>
      <c r="F2506">
        <f t="shared" si="84"/>
        <v>-1.8897588319186597E-2</v>
      </c>
      <c r="G2506">
        <f t="shared" si="85"/>
        <v>-3.2860734620674271E-2</v>
      </c>
    </row>
    <row r="2507" spans="1:7" x14ac:dyDescent="0.35">
      <c r="A2507" t="s">
        <v>135</v>
      </c>
      <c r="E2507">
        <v>-2.3712839623829349E-2</v>
      </c>
      <c r="F2507">
        <f t="shared" si="84"/>
        <v>-1.8900521920413953E-2</v>
      </c>
      <c r="G2507">
        <f t="shared" si="85"/>
        <v>-3.2860734620674271E-2</v>
      </c>
    </row>
    <row r="2508" spans="1:7" x14ac:dyDescent="0.35">
      <c r="A2508" t="s">
        <v>135</v>
      </c>
      <c r="E2508">
        <v>5.2342986238394741E-3</v>
      </c>
      <c r="F2508">
        <f t="shared" si="84"/>
        <v>-1.8810508431762053E-2</v>
      </c>
      <c r="G2508">
        <f t="shared" si="85"/>
        <v>-3.2786383037412624E-2</v>
      </c>
    </row>
    <row r="2509" spans="1:7" x14ac:dyDescent="0.35">
      <c r="A2509" t="s">
        <v>135</v>
      </c>
      <c r="E2509">
        <v>1.7478986970215062E-3</v>
      </c>
      <c r="F2509">
        <f t="shared" si="84"/>
        <v>-1.8816298288433755E-2</v>
      </c>
      <c r="G2509">
        <f t="shared" si="85"/>
        <v>-3.2786383037412624E-2</v>
      </c>
    </row>
    <row r="2510" spans="1:7" x14ac:dyDescent="0.35">
      <c r="A2510" t="s">
        <v>135</v>
      </c>
      <c r="E2510">
        <v>-1.0306445290280401E-2</v>
      </c>
      <c r="F2510">
        <f t="shared" si="84"/>
        <v>-1.8822088145105456E-2</v>
      </c>
      <c r="G2510">
        <f t="shared" si="85"/>
        <v>-3.2786383037412624E-2</v>
      </c>
    </row>
    <row r="2511" spans="1:7" x14ac:dyDescent="0.35">
      <c r="A2511" t="s">
        <v>135</v>
      </c>
      <c r="E2511">
        <v>-9.4683774012215699E-3</v>
      </c>
      <c r="F2511">
        <f t="shared" si="84"/>
        <v>-1.8827878001777154E-2</v>
      </c>
      <c r="G2511">
        <f t="shared" si="85"/>
        <v>-3.2786383037412624E-2</v>
      </c>
    </row>
    <row r="2512" spans="1:7" x14ac:dyDescent="0.35">
      <c r="A2512" t="s">
        <v>136</v>
      </c>
      <c r="B2512" s="3" cm="1">
        <f t="array" ref="B2512">_xlfn.STDEV.S(_xlfn._xlws.FILTER($E$2013:$E$3011, $A$2013:$A$3011="2020-02"))</f>
        <v>1.7437895800897493E-2</v>
      </c>
      <c r="C2512" s="3" cm="1">
        <f t="array" ref="C2512">AVERAGE(_xlfn._xlws.FILTER($E$2013:$E$3011, $A$2013:$A$3011="2020-02"))</f>
        <v>-6.3961254165749489E-3</v>
      </c>
      <c r="D2512" s="3" cm="1">
        <f t="array" ref="D2512">_xlfn.PERCENTILE.EXC(_xlfn._xlws.FILTER($E$2490:$E$3818, $A$2490:$A$3818="2020-02"), 0.05)</f>
        <v>-4.6523098143577177E-2</v>
      </c>
      <c r="E2512">
        <v>-6.8961200836337513E-3</v>
      </c>
      <c r="F2512">
        <f t="shared" si="84"/>
        <v>-1.8833667858448856E-2</v>
      </c>
      <c r="G2512">
        <f t="shared" si="85"/>
        <v>-3.2786383037412624E-2</v>
      </c>
    </row>
    <row r="2513" spans="1:7" x14ac:dyDescent="0.35">
      <c r="A2513" t="s">
        <v>136</v>
      </c>
      <c r="E2513">
        <v>1.943996056088856E-2</v>
      </c>
      <c r="F2513">
        <f t="shared" si="84"/>
        <v>-1.8839457715120557E-2</v>
      </c>
      <c r="G2513">
        <f t="shared" si="85"/>
        <v>-3.2786383037412624E-2</v>
      </c>
    </row>
    <row r="2514" spans="1:7" x14ac:dyDescent="0.35">
      <c r="A2514" t="s">
        <v>136</v>
      </c>
      <c r="E2514">
        <v>6.8338501733847066E-3</v>
      </c>
      <c r="F2514">
        <f t="shared" si="84"/>
        <v>-1.8845247571792258E-2</v>
      </c>
      <c r="G2514">
        <f t="shared" si="85"/>
        <v>-3.2786383037412624E-2</v>
      </c>
    </row>
    <row r="2515" spans="1:7" x14ac:dyDescent="0.35">
      <c r="A2515" t="s">
        <v>136</v>
      </c>
      <c r="E2515">
        <v>-5.4084926134524857E-5</v>
      </c>
      <c r="F2515">
        <f t="shared" si="84"/>
        <v>-1.885103742846396E-2</v>
      </c>
      <c r="G2515">
        <f t="shared" si="85"/>
        <v>-3.2786383037412624E-2</v>
      </c>
    </row>
    <row r="2516" spans="1:7" x14ac:dyDescent="0.35">
      <c r="A2516" t="s">
        <v>136</v>
      </c>
      <c r="E2516">
        <v>-4.7230468975381764E-3</v>
      </c>
      <c r="F2516">
        <f t="shared" si="84"/>
        <v>-1.8856827285135661E-2</v>
      </c>
      <c r="G2516">
        <f t="shared" si="85"/>
        <v>-3.2786383037412624E-2</v>
      </c>
    </row>
    <row r="2517" spans="1:7" x14ac:dyDescent="0.35">
      <c r="A2517" t="s">
        <v>136</v>
      </c>
      <c r="E2517">
        <v>1.0595773593840624E-3</v>
      </c>
      <c r="F2517">
        <f t="shared" si="84"/>
        <v>-1.8862617141807359E-2</v>
      </c>
      <c r="G2517">
        <f t="shared" si="85"/>
        <v>-3.2786383037412624E-2</v>
      </c>
    </row>
    <row r="2518" spans="1:7" x14ac:dyDescent="0.35">
      <c r="A2518" t="s">
        <v>136</v>
      </c>
      <c r="E2518">
        <v>9.1046946700402889E-3</v>
      </c>
      <c r="F2518">
        <f t="shared" si="84"/>
        <v>-1.8868406998479061E-2</v>
      </c>
      <c r="G2518">
        <f t="shared" si="85"/>
        <v>-3.2786383037412624E-2</v>
      </c>
    </row>
    <row r="2519" spans="1:7" x14ac:dyDescent="0.35">
      <c r="A2519" t="s">
        <v>136</v>
      </c>
      <c r="E2519">
        <v>9.7491875226878039E-3</v>
      </c>
      <c r="F2519">
        <f t="shared" si="84"/>
        <v>-1.8874196855150762E-2</v>
      </c>
      <c r="G2519">
        <f t="shared" si="85"/>
        <v>-3.2786383037412624E-2</v>
      </c>
    </row>
    <row r="2520" spans="1:7" x14ac:dyDescent="0.35">
      <c r="A2520" t="s">
        <v>136</v>
      </c>
      <c r="E2520">
        <v>-6.6464395607838576E-4</v>
      </c>
      <c r="F2520">
        <f t="shared" si="84"/>
        <v>-1.8879986711822463E-2</v>
      </c>
      <c r="G2520">
        <f t="shared" si="85"/>
        <v>-3.2786383037412624E-2</v>
      </c>
    </row>
    <row r="2521" spans="1:7" x14ac:dyDescent="0.35">
      <c r="A2521" t="s">
        <v>136</v>
      </c>
      <c r="E2521">
        <v>-7.0919266953070768E-3</v>
      </c>
      <c r="F2521">
        <f t="shared" si="84"/>
        <v>-1.888292031304982E-2</v>
      </c>
      <c r="G2521">
        <f t="shared" si="85"/>
        <v>-3.3003670479999969E-2</v>
      </c>
    </row>
    <row r="2522" spans="1:7" x14ac:dyDescent="0.35">
      <c r="A2522" t="s">
        <v>136</v>
      </c>
      <c r="E2522">
        <v>2.1156026595288905E-3</v>
      </c>
      <c r="F2522">
        <f t="shared" si="84"/>
        <v>-1.8885853914277176E-2</v>
      </c>
      <c r="G2522">
        <f t="shared" si="85"/>
        <v>-3.3003670479999969E-2</v>
      </c>
    </row>
    <row r="2523" spans="1:7" x14ac:dyDescent="0.35">
      <c r="A2523" t="s">
        <v>136</v>
      </c>
      <c r="E2523">
        <v>-4.9439463079546655E-3</v>
      </c>
      <c r="F2523">
        <f t="shared" si="84"/>
        <v>-1.8888787515504532E-2</v>
      </c>
      <c r="G2523">
        <f t="shared" si="85"/>
        <v>-3.3003670479999969E-2</v>
      </c>
    </row>
    <row r="2524" spans="1:7" x14ac:dyDescent="0.35">
      <c r="A2524" t="s">
        <v>136</v>
      </c>
      <c r="E2524">
        <v>4.5859141756756849E-3</v>
      </c>
      <c r="F2524">
        <f t="shared" si="84"/>
        <v>-1.8891721116731888E-2</v>
      </c>
      <c r="G2524">
        <f t="shared" si="85"/>
        <v>-3.3003670479999969E-2</v>
      </c>
    </row>
    <row r="2525" spans="1:7" x14ac:dyDescent="0.35">
      <c r="A2525" t="s">
        <v>136</v>
      </c>
      <c r="E2525">
        <v>-5.9306520954187621E-3</v>
      </c>
      <c r="F2525">
        <f t="shared" si="84"/>
        <v>-1.8894654717959244E-2</v>
      </c>
      <c r="G2525">
        <f t="shared" si="85"/>
        <v>-3.3003670479999969E-2</v>
      </c>
    </row>
    <row r="2526" spans="1:7" x14ac:dyDescent="0.35">
      <c r="A2526" t="s">
        <v>136</v>
      </c>
      <c r="E2526">
        <v>-2.9869785070193475E-3</v>
      </c>
      <c r="F2526">
        <f t="shared" si="84"/>
        <v>-1.8897588319186597E-2</v>
      </c>
      <c r="G2526">
        <f t="shared" si="85"/>
        <v>-3.3003670479999969E-2</v>
      </c>
    </row>
    <row r="2527" spans="1:7" x14ac:dyDescent="0.35">
      <c r="A2527" t="s">
        <v>136</v>
      </c>
      <c r="E2527">
        <v>-3.7994934356939479E-2</v>
      </c>
      <c r="F2527">
        <f t="shared" si="84"/>
        <v>-1.8900521920413953E-2</v>
      </c>
      <c r="G2527">
        <f t="shared" si="85"/>
        <v>-3.3003670479999969E-2</v>
      </c>
    </row>
    <row r="2528" spans="1:7" x14ac:dyDescent="0.35">
      <c r="A2528" t="s">
        <v>136</v>
      </c>
      <c r="E2528">
        <v>-1.4928626545738526E-2</v>
      </c>
      <c r="F2528">
        <f t="shared" si="84"/>
        <v>-1.8810508431762053E-2</v>
      </c>
      <c r="G2528">
        <f t="shared" si="85"/>
        <v>-3.2704999423045021E-2</v>
      </c>
    </row>
    <row r="2529" spans="1:7" x14ac:dyDescent="0.35">
      <c r="A2529" t="s">
        <v>136</v>
      </c>
      <c r="E2529">
        <v>-4.1593389423717226E-3</v>
      </c>
      <c r="F2529">
        <f t="shared" si="84"/>
        <v>-1.8816298288433755E-2</v>
      </c>
      <c r="G2529">
        <f t="shared" si="85"/>
        <v>-3.2704999423045021E-2</v>
      </c>
    </row>
    <row r="2530" spans="1:7" x14ac:dyDescent="0.35">
      <c r="A2530" t="s">
        <v>136</v>
      </c>
      <c r="E2530">
        <v>-4.6668053707366056E-2</v>
      </c>
      <c r="F2530">
        <f t="shared" si="84"/>
        <v>-1.8822088145105456E-2</v>
      </c>
      <c r="G2530">
        <f t="shared" si="85"/>
        <v>-3.2704999423045021E-2</v>
      </c>
    </row>
    <row r="2531" spans="1:7" x14ac:dyDescent="0.35">
      <c r="A2531" t="s">
        <v>136</v>
      </c>
      <c r="E2531">
        <v>-4.376894243158852E-2</v>
      </c>
      <c r="F2531">
        <f t="shared" si="84"/>
        <v>-1.8688203312373145E-2</v>
      </c>
      <c r="G2531">
        <f t="shared" si="85"/>
        <v>-3.2269001546029748E-2</v>
      </c>
    </row>
    <row r="2532" spans="1:7" x14ac:dyDescent="0.35">
      <c r="A2532" t="s">
        <v>137</v>
      </c>
      <c r="B2532" s="3" cm="1">
        <f t="array" ref="B2532">_xlfn.STDEV.S(_xlfn._xlws.FILTER($E$2013:$E$3011, $A$2013:$A$3011="2020-03"))</f>
        <v>4.9564851635031534E-2</v>
      </c>
      <c r="C2532" s="3" cm="1">
        <f t="array" ref="C2532">AVERAGE(_xlfn._xlws.FILTER($E$2013:$E$3011, $A$2013:$A$3011="2020-03"))</f>
        <v>-7.9418379148958624E-3</v>
      </c>
      <c r="D2532" s="3" cm="1">
        <f t="array" ref="D2532">_xlfn.PERCENTILE.EXC(_xlfn._xlws.FILTER($E$2490:$E$3818, $A$2490:$A$3818="2020-03"), 0.05)</f>
        <v>-0.11837509300379007</v>
      </c>
      <c r="E2532">
        <v>-1.1614093910006201E-3</v>
      </c>
      <c r="F2532">
        <f t="shared" si="84"/>
        <v>-1.8396562102828664E-2</v>
      </c>
      <c r="G2532">
        <f t="shared" si="85"/>
        <v>-3.1875663870684079E-2</v>
      </c>
    </row>
    <row r="2533" spans="1:7" x14ac:dyDescent="0.35">
      <c r="A2533" t="s">
        <v>137</v>
      </c>
      <c r="E2533">
        <v>1.150458795907847E-2</v>
      </c>
      <c r="F2533">
        <f t="shared" si="84"/>
        <v>-1.8421408241158274E-2</v>
      </c>
      <c r="G2533">
        <f t="shared" si="85"/>
        <v>-3.1875663870684079E-2</v>
      </c>
    </row>
    <row r="2534" spans="1:7" x14ac:dyDescent="0.35">
      <c r="A2534" t="s">
        <v>137</v>
      </c>
      <c r="E2534">
        <v>1.9950656028013519E-2</v>
      </c>
      <c r="F2534">
        <f t="shared" si="84"/>
        <v>-1.8446254379487891E-2</v>
      </c>
      <c r="G2534">
        <f t="shared" si="85"/>
        <v>-3.1875663870684079E-2</v>
      </c>
    </row>
    <row r="2535" spans="1:7" x14ac:dyDescent="0.35">
      <c r="A2535" t="s">
        <v>137</v>
      </c>
      <c r="E2535">
        <v>-1.6828092699167411E-2</v>
      </c>
      <c r="F2535">
        <f t="shared" si="84"/>
        <v>-1.8471100517817501E-2</v>
      </c>
      <c r="G2535">
        <f t="shared" si="85"/>
        <v>-3.1875663870684079E-2</v>
      </c>
    </row>
    <row r="2536" spans="1:7" x14ac:dyDescent="0.35">
      <c r="A2536" t="s">
        <v>137</v>
      </c>
      <c r="E2536">
        <v>-4.0041684157417698E-2</v>
      </c>
      <c r="F2536">
        <f t="shared" si="84"/>
        <v>-1.8495946656147112E-2</v>
      </c>
      <c r="G2536">
        <f t="shared" si="85"/>
        <v>-3.1875663870684079E-2</v>
      </c>
    </row>
    <row r="2537" spans="1:7" x14ac:dyDescent="0.35">
      <c r="A2537" t="s">
        <v>137</v>
      </c>
      <c r="E2537">
        <v>-8.4831294703101648E-2</v>
      </c>
      <c r="F2537">
        <f t="shared" si="84"/>
        <v>-1.8097351906169349E-2</v>
      </c>
      <c r="G2537">
        <f t="shared" si="85"/>
        <v>-3.1532800187644323E-2</v>
      </c>
    </row>
    <row r="2538" spans="1:7" x14ac:dyDescent="0.35">
      <c r="A2538" t="s">
        <v>137</v>
      </c>
      <c r="E2538">
        <v>-2.9954722815015468E-3</v>
      </c>
      <c r="F2538">
        <f t="shared" si="84"/>
        <v>-1.8069702992294372E-2</v>
      </c>
      <c r="G2538">
        <f t="shared" si="85"/>
        <v>-3.048998878392159E-2</v>
      </c>
    </row>
    <row r="2539" spans="1:7" x14ac:dyDescent="0.35">
      <c r="A2539" t="s">
        <v>137</v>
      </c>
      <c r="E2539">
        <v>-1.7298053534420928E-2</v>
      </c>
      <c r="F2539">
        <f t="shared" si="84"/>
        <v>-1.8080533928570584E-2</v>
      </c>
      <c r="G2539">
        <f t="shared" si="85"/>
        <v>-3.048998878392159E-2</v>
      </c>
    </row>
    <row r="2540" spans="1:7" x14ac:dyDescent="0.35">
      <c r="A2540" t="s">
        <v>137</v>
      </c>
      <c r="E2540">
        <v>-0.12429458682155861</v>
      </c>
      <c r="F2540">
        <f t="shared" si="84"/>
        <v>-1.8091364864846794E-2</v>
      </c>
      <c r="G2540">
        <f t="shared" si="85"/>
        <v>-3.048998878392159E-2</v>
      </c>
    </row>
    <row r="2541" spans="1:7" x14ac:dyDescent="0.35">
      <c r="A2541" t="s">
        <v>137</v>
      </c>
      <c r="E2541">
        <v>1.1825864141925822E-2</v>
      </c>
      <c r="F2541">
        <f t="shared" si="84"/>
        <v>-1.7885577075598812E-2</v>
      </c>
      <c r="G2541">
        <f t="shared" si="85"/>
        <v>-2.90010269103083E-2</v>
      </c>
    </row>
    <row r="2542" spans="1:7" x14ac:dyDescent="0.35">
      <c r="A2542" t="s">
        <v>137</v>
      </c>
      <c r="E2542">
        <v>-5.7104677223351087E-2</v>
      </c>
      <c r="F2542">
        <f t="shared" si="84"/>
        <v>-1.7896408011875021E-2</v>
      </c>
      <c r="G2542">
        <f t="shared" si="85"/>
        <v>-2.90010269103083E-2</v>
      </c>
    </row>
    <row r="2543" spans="1:7" x14ac:dyDescent="0.35">
      <c r="A2543" t="s">
        <v>137</v>
      </c>
      <c r="E2543">
        <v>3.0975523296246699E-2</v>
      </c>
      <c r="F2543">
        <f t="shared" si="84"/>
        <v>-1.7402959113170632E-2</v>
      </c>
      <c r="G2543">
        <f t="shared" si="85"/>
        <v>-2.8378329591514199E-2</v>
      </c>
    </row>
    <row r="2544" spans="1:7" x14ac:dyDescent="0.35">
      <c r="A2544" t="s">
        <v>137</v>
      </c>
      <c r="E2544">
        <v>-6.6430048350228407E-2</v>
      </c>
      <c r="F2544">
        <f t="shared" si="84"/>
        <v>-1.7430711291179572E-2</v>
      </c>
      <c r="G2544">
        <f t="shared" si="85"/>
        <v>-2.8378329591514199E-2</v>
      </c>
    </row>
    <row r="2545" spans="1:7" x14ac:dyDescent="0.35">
      <c r="A2545" t="s">
        <v>137</v>
      </c>
      <c r="E2545">
        <v>2.1874010523116789E-2</v>
      </c>
      <c r="F2545">
        <f t="shared" si="84"/>
        <v>-1.6818004555089212E-2</v>
      </c>
      <c r="G2545">
        <f t="shared" si="85"/>
        <v>-2.7598800293560474E-2</v>
      </c>
    </row>
    <row r="2546" spans="1:7" x14ac:dyDescent="0.35">
      <c r="A2546" t="s">
        <v>137</v>
      </c>
      <c r="E2546">
        <v>1.5378854808639042E-2</v>
      </c>
      <c r="F2546">
        <f t="shared" si="84"/>
        <v>-1.6851451090026184E-2</v>
      </c>
      <c r="G2546">
        <f t="shared" si="85"/>
        <v>-2.7598800293560474E-2</v>
      </c>
    </row>
    <row r="2547" spans="1:7" x14ac:dyDescent="0.35">
      <c r="A2547" t="s">
        <v>137</v>
      </c>
      <c r="E2547">
        <v>-5.255138427721337E-2</v>
      </c>
      <c r="F2547">
        <f t="shared" si="84"/>
        <v>-1.6884897624963157E-2</v>
      </c>
      <c r="G2547">
        <f t="shared" si="85"/>
        <v>-2.7598800293560474E-2</v>
      </c>
    </row>
    <row r="2548" spans="1:7" x14ac:dyDescent="0.35">
      <c r="A2548" t="s">
        <v>137</v>
      </c>
      <c r="E2548">
        <v>0.10037154228791045</v>
      </c>
      <c r="F2548">
        <f t="shared" si="84"/>
        <v>-1.6461333452262333E-2</v>
      </c>
      <c r="G2548">
        <f t="shared" si="85"/>
        <v>-2.7028949303134934E-2</v>
      </c>
    </row>
    <row r="2549" spans="1:7" x14ac:dyDescent="0.35">
      <c r="A2549" t="s">
        <v>137</v>
      </c>
      <c r="E2549">
        <v>4.1113481343932196E-2</v>
      </c>
      <c r="F2549">
        <f t="shared" si="84"/>
        <v>-1.6477119987940835E-2</v>
      </c>
      <c r="G2549">
        <f t="shared" si="85"/>
        <v>-2.7028949303134934E-2</v>
      </c>
    </row>
    <row r="2550" spans="1:7" x14ac:dyDescent="0.35">
      <c r="A2550" t="s">
        <v>137</v>
      </c>
      <c r="E2550">
        <v>3.5498768108851456E-2</v>
      </c>
      <c r="F2550">
        <f t="shared" si="84"/>
        <v>-1.6492906523619337E-2</v>
      </c>
      <c r="G2550">
        <f t="shared" si="85"/>
        <v>-2.7028949303134934E-2</v>
      </c>
    </row>
    <row r="2551" spans="1:7" x14ac:dyDescent="0.35">
      <c r="A2551" t="s">
        <v>137</v>
      </c>
      <c r="E2551">
        <v>-3.8887586850977207E-2</v>
      </c>
      <c r="F2551">
        <f t="shared" si="84"/>
        <v>-1.6508693059297835E-2</v>
      </c>
      <c r="G2551">
        <f t="shared" si="85"/>
        <v>-2.7028949303134934E-2</v>
      </c>
    </row>
    <row r="2552" spans="1:7" x14ac:dyDescent="0.35">
      <c r="A2552" t="s">
        <v>137</v>
      </c>
      <c r="E2552">
        <v>1.4602365198874466E-2</v>
      </c>
      <c r="F2552">
        <f t="shared" si="84"/>
        <v>-1.6290545737241181E-2</v>
      </c>
      <c r="G2552">
        <f t="shared" si="85"/>
        <v>-2.6670972387513623E-2</v>
      </c>
    </row>
    <row r="2553" spans="1:7" x14ac:dyDescent="0.35">
      <c r="A2553" t="s">
        <v>137</v>
      </c>
      <c r="E2553">
        <v>2.4608202465640744E-2</v>
      </c>
      <c r="F2553">
        <f t="shared" si="84"/>
        <v>-1.6296107665940328E-2</v>
      </c>
      <c r="G2553">
        <f t="shared" si="85"/>
        <v>-2.6670972387513623E-2</v>
      </c>
    </row>
    <row r="2554" spans="1:7" x14ac:dyDescent="0.35">
      <c r="A2554" t="s">
        <v>138</v>
      </c>
      <c r="B2554" s="3" cm="1">
        <f t="array" ref="B2554">_xlfn.STDEV.S(_xlfn._xlws.FILTER($E$2013:$E$3011, $A$2013:$A$3011="2020-04"))</f>
        <v>2.4336682628597766E-2</v>
      </c>
      <c r="C2554" s="3" cm="1">
        <f t="array" ref="C2554">AVERAGE(_xlfn._xlws.FILTER($E$2013:$E$3011, $A$2013:$A$3011="2020-04"))</f>
        <v>2.8729310282415324E-3</v>
      </c>
      <c r="D2554" s="3" cm="1">
        <f t="array" ref="D2554">_xlfn.PERCENTILE.EXC(_xlfn._xlws.FILTER($E$2490:$E$3818, $A$2490:$A$3818="2020-04"), 0.05)</f>
        <v>-4.2960944734626763E-2</v>
      </c>
      <c r="E2554">
        <v>-3.5121264825735056E-2</v>
      </c>
      <c r="F2554">
        <f t="shared" si="84"/>
        <v>-1.6301669594639471E-2</v>
      </c>
      <c r="G2554">
        <f t="shared" si="85"/>
        <v>-2.6670972387513623E-2</v>
      </c>
    </row>
    <row r="2555" spans="1:7" x14ac:dyDescent="0.35">
      <c r="A2555" t="s">
        <v>138</v>
      </c>
      <c r="E2555">
        <v>9.9753226052847893E-3</v>
      </c>
      <c r="F2555">
        <f t="shared" si="84"/>
        <v>-1.6211671409719686E-2</v>
      </c>
      <c r="G2555">
        <f t="shared" si="85"/>
        <v>-2.6371012669531346E-2</v>
      </c>
    </row>
    <row r="2556" spans="1:7" x14ac:dyDescent="0.35">
      <c r="A2556" t="s">
        <v>138</v>
      </c>
      <c r="E2556">
        <v>-1.8098408442873328E-2</v>
      </c>
      <c r="F2556">
        <f t="shared" si="84"/>
        <v>-1.6214097646346043E-2</v>
      </c>
      <c r="G2556">
        <f t="shared" si="85"/>
        <v>-2.6371012669531346E-2</v>
      </c>
    </row>
    <row r="2557" spans="1:7" x14ac:dyDescent="0.35">
      <c r="A2557" t="s">
        <v>138</v>
      </c>
      <c r="E2557">
        <v>3.5402517924860467E-2</v>
      </c>
      <c r="F2557">
        <f t="shared" si="84"/>
        <v>-1.6167896794415049E-2</v>
      </c>
      <c r="G2557">
        <f t="shared" si="85"/>
        <v>-2.6340486787268663E-2</v>
      </c>
    </row>
    <row r="2558" spans="1:7" x14ac:dyDescent="0.35">
      <c r="A2558" t="s">
        <v>138</v>
      </c>
      <c r="E2558">
        <v>1.5562106712546885E-2</v>
      </c>
      <c r="F2558">
        <f t="shared" si="84"/>
        <v>-1.6170357149718147E-2</v>
      </c>
      <c r="G2558">
        <f t="shared" si="85"/>
        <v>-2.6340486787268663E-2</v>
      </c>
    </row>
    <row r="2559" spans="1:7" x14ac:dyDescent="0.35">
      <c r="A2559" t="s">
        <v>138</v>
      </c>
      <c r="E2559">
        <v>3.7424080091645251E-3</v>
      </c>
      <c r="F2559">
        <f t="shared" si="84"/>
        <v>-1.617281750502125E-2</v>
      </c>
      <c r="G2559">
        <f t="shared" si="85"/>
        <v>-2.6340486787268663E-2</v>
      </c>
    </row>
    <row r="2560" spans="1:7" x14ac:dyDescent="0.35">
      <c r="A2560" t="s">
        <v>138</v>
      </c>
      <c r="E2560">
        <v>2.5489210348097289E-2</v>
      </c>
      <c r="F2560">
        <f t="shared" si="84"/>
        <v>-1.6175277860324348E-2</v>
      </c>
      <c r="G2560">
        <f t="shared" si="85"/>
        <v>-2.6340486787268663E-2</v>
      </c>
    </row>
    <row r="2561" spans="1:7" x14ac:dyDescent="0.35">
      <c r="A2561" t="s">
        <v>138</v>
      </c>
      <c r="E2561">
        <v>1.1359800618434353E-3</v>
      </c>
      <c r="F2561">
        <f t="shared" si="84"/>
        <v>-1.6177704096950705E-2</v>
      </c>
      <c r="G2561">
        <f t="shared" si="85"/>
        <v>-2.6504441769961314E-2</v>
      </c>
    </row>
    <row r="2562" spans="1:7" x14ac:dyDescent="0.35">
      <c r="A2562" t="s">
        <v>138</v>
      </c>
      <c r="E2562">
        <v>-3.5032904179876222E-2</v>
      </c>
      <c r="F2562">
        <f t="shared" si="84"/>
        <v>-1.6180130333577059E-2</v>
      </c>
      <c r="G2562">
        <f t="shared" si="85"/>
        <v>-2.6504441769961314E-2</v>
      </c>
    </row>
    <row r="2563" spans="1:7" x14ac:dyDescent="0.35">
      <c r="A2563" t="s">
        <v>138</v>
      </c>
      <c r="E2563">
        <v>5.1084538040661008E-3</v>
      </c>
      <c r="F2563">
        <f t="shared" si="84"/>
        <v>-1.6133451820171646E-2</v>
      </c>
      <c r="G2563">
        <f t="shared" si="85"/>
        <v>-2.6200286506742734E-2</v>
      </c>
    </row>
    <row r="2564" spans="1:7" x14ac:dyDescent="0.35">
      <c r="A2564" t="s">
        <v>138</v>
      </c>
      <c r="E2564">
        <v>2.9467167000203971E-2</v>
      </c>
      <c r="F2564">
        <f t="shared" ref="F2564:F2627" si="86">_xlfn.PERCENTILE.EXC(E2564:E6379,0.05)</f>
        <v>-1.6135912175474748E-2</v>
      </c>
      <c r="G2564">
        <f t="shared" ref="G2564:G2627" si="87">AVERAGEIFS(E2564:E6380,E2564:E6380,"&lt;=" &amp; F2564)</f>
        <v>-2.6200286506742734E-2</v>
      </c>
    </row>
    <row r="2565" spans="1:7" x14ac:dyDescent="0.35">
      <c r="A2565" t="s">
        <v>138</v>
      </c>
      <c r="E2565">
        <v>1.5404918558622781E-3</v>
      </c>
      <c r="F2565">
        <f t="shared" si="86"/>
        <v>-1.6138372530777847E-2</v>
      </c>
      <c r="G2565">
        <f t="shared" si="87"/>
        <v>-2.6200286506742734E-2</v>
      </c>
    </row>
    <row r="2566" spans="1:7" x14ac:dyDescent="0.35">
      <c r="A2566" t="s">
        <v>138</v>
      </c>
      <c r="E2566">
        <v>-4.3373559466673692E-2</v>
      </c>
      <c r="F2566">
        <f t="shared" si="86"/>
        <v>-1.6140832886080946E-2</v>
      </c>
      <c r="G2566">
        <f t="shared" si="87"/>
        <v>-2.6200286506742734E-2</v>
      </c>
    </row>
    <row r="2567" spans="1:7" x14ac:dyDescent="0.35">
      <c r="A2567" t="s">
        <v>138</v>
      </c>
      <c r="E2567">
        <v>2.8554680537615142E-2</v>
      </c>
      <c r="F2567">
        <f t="shared" si="86"/>
        <v>-1.6097638876967701E-2</v>
      </c>
      <c r="G2567">
        <f t="shared" si="87"/>
        <v>-2.5760810882349001E-2</v>
      </c>
    </row>
    <row r="2568" spans="1:7" x14ac:dyDescent="0.35">
      <c r="A2568" t="s">
        <v>138</v>
      </c>
      <c r="E2568">
        <v>1.3973438552348803E-2</v>
      </c>
      <c r="F2568">
        <f t="shared" si="86"/>
        <v>-1.6099825944451904E-2</v>
      </c>
      <c r="G2568">
        <f t="shared" si="87"/>
        <v>-2.5760810882349001E-2</v>
      </c>
    </row>
    <row r="2569" spans="1:7" x14ac:dyDescent="0.35">
      <c r="A2569" t="s">
        <v>138</v>
      </c>
      <c r="E2569">
        <v>-1.2870502639740069E-2</v>
      </c>
      <c r="F2569">
        <f t="shared" si="86"/>
        <v>-1.6102013011936107E-2</v>
      </c>
      <c r="G2569">
        <f t="shared" si="87"/>
        <v>-2.5760810882349001E-2</v>
      </c>
    </row>
    <row r="2570" spans="1:7" x14ac:dyDescent="0.35">
      <c r="A2570" t="s">
        <v>138</v>
      </c>
      <c r="E2570">
        <v>1.8992234966784038E-2</v>
      </c>
      <c r="F2570">
        <f t="shared" si="86"/>
        <v>-1.610420007942031E-2</v>
      </c>
      <c r="G2570">
        <f t="shared" si="87"/>
        <v>-2.5760810882349001E-2</v>
      </c>
    </row>
    <row r="2571" spans="1:7" x14ac:dyDescent="0.35">
      <c r="A2571" t="s">
        <v>138</v>
      </c>
      <c r="E2571">
        <v>2.0004195533675634E-2</v>
      </c>
      <c r="F2571">
        <f t="shared" si="86"/>
        <v>-1.6106387146904516E-2</v>
      </c>
      <c r="G2571">
        <f t="shared" si="87"/>
        <v>-2.5760810882349001E-2</v>
      </c>
    </row>
    <row r="2572" spans="1:7" x14ac:dyDescent="0.35">
      <c r="A2572" t="s">
        <v>138</v>
      </c>
      <c r="E2572">
        <v>2.5053950273515698E-2</v>
      </c>
      <c r="F2572">
        <f t="shared" si="86"/>
        <v>-1.6108574214388719E-2</v>
      </c>
      <c r="G2572">
        <f t="shared" si="87"/>
        <v>-2.5760810882349001E-2</v>
      </c>
    </row>
    <row r="2573" spans="1:7" x14ac:dyDescent="0.35">
      <c r="A2573" t="s">
        <v>138</v>
      </c>
      <c r="E2573">
        <v>-3.2046898066140035E-2</v>
      </c>
      <c r="F2573">
        <f t="shared" si="86"/>
        <v>-1.6110761281872922E-2</v>
      </c>
      <c r="G2573">
        <f t="shared" si="87"/>
        <v>-2.5760810882349001E-2</v>
      </c>
    </row>
    <row r="2574" spans="1:7" x14ac:dyDescent="0.35">
      <c r="A2574" t="s">
        <v>139</v>
      </c>
      <c r="B2574" s="3" cm="1">
        <f t="array" ref="B2574">_xlfn.STDEV.S(_xlfn._xlws.FILTER($E$2013:$E$3011, $A$2013:$A$3011="2020-05"))</f>
        <v>1.8020944151765021E-2</v>
      </c>
      <c r="C2574" s="3" cm="1">
        <f t="array" ref="C2574">AVERAGE(_xlfn._xlws.FILTER($E$2013:$E$3011, $A$2013:$A$3011="2020-05"))</f>
        <v>-3.6734779156288405E-4</v>
      </c>
      <c r="D2574" s="3" cm="1">
        <f t="array" ref="D2574">_xlfn.PERCENTILE.INC(_xlfn._xlws.FILTER($E$2490:$E$3818, $A$2490:$A$3818="2020-05"), 0.05)</f>
        <v>-2.7738663314251781E-2</v>
      </c>
      <c r="E2574">
        <v>-3.3824630386771908E-2</v>
      </c>
      <c r="F2574">
        <f t="shared" si="86"/>
        <v>-1.5998539494220983E-2</v>
      </c>
      <c r="G2574">
        <f t="shared" si="87"/>
        <v>-2.5503317839420586E-2</v>
      </c>
    </row>
    <row r="2575" spans="1:7" x14ac:dyDescent="0.35">
      <c r="A2575" t="s">
        <v>139</v>
      </c>
      <c r="E2575">
        <v>2.2728891267856707E-2</v>
      </c>
      <c r="F2575">
        <f t="shared" si="86"/>
        <v>-1.5800767815633478E-2</v>
      </c>
      <c r="G2575">
        <f t="shared" si="87"/>
        <v>-2.5212646860656312E-2</v>
      </c>
    </row>
    <row r="2576" spans="1:7" x14ac:dyDescent="0.35">
      <c r="A2576" t="s">
        <v>139</v>
      </c>
      <c r="E2576">
        <v>-2.9836155771178641E-3</v>
      </c>
      <c r="F2576">
        <f t="shared" si="86"/>
        <v>-1.5801220193184241E-2</v>
      </c>
      <c r="G2576">
        <f t="shared" si="87"/>
        <v>-2.5212646860656312E-2</v>
      </c>
    </row>
    <row r="2577" spans="1:7" x14ac:dyDescent="0.35">
      <c r="A2577" t="s">
        <v>139</v>
      </c>
      <c r="E2577">
        <v>1.3231053334973715E-2</v>
      </c>
      <c r="F2577">
        <f t="shared" si="86"/>
        <v>-1.5801672570735007E-2</v>
      </c>
      <c r="G2577">
        <f t="shared" si="87"/>
        <v>-2.5212646860656312E-2</v>
      </c>
    </row>
    <row r="2578" spans="1:7" x14ac:dyDescent="0.35">
      <c r="A2578" t="s">
        <v>139</v>
      </c>
      <c r="E2578">
        <v>1.2239345111992613E-4</v>
      </c>
      <c r="F2578">
        <f t="shared" si="86"/>
        <v>-1.5802124948285774E-2</v>
      </c>
      <c r="G2578">
        <f t="shared" si="87"/>
        <v>-2.5212646860656312E-2</v>
      </c>
    </row>
    <row r="2579" spans="1:7" x14ac:dyDescent="0.35">
      <c r="A2579" t="s">
        <v>139</v>
      </c>
      <c r="E2579">
        <v>1.0316327767588345E-3</v>
      </c>
      <c r="F2579">
        <f t="shared" si="86"/>
        <v>-1.5802577325836537E-2</v>
      </c>
      <c r="G2579">
        <f t="shared" si="87"/>
        <v>-2.5212646860656312E-2</v>
      </c>
    </row>
    <row r="2580" spans="1:7" x14ac:dyDescent="0.35">
      <c r="A2580" t="s">
        <v>139</v>
      </c>
      <c r="E2580">
        <v>-1.7874746139322602E-2</v>
      </c>
      <c r="F2580">
        <f t="shared" si="86"/>
        <v>-1.5803029703387303E-2</v>
      </c>
      <c r="G2580">
        <f t="shared" si="87"/>
        <v>-2.5212646860656312E-2</v>
      </c>
    </row>
    <row r="2581" spans="1:7" x14ac:dyDescent="0.35">
      <c r="A2581" t="s">
        <v>139</v>
      </c>
      <c r="E2581">
        <v>-2.6664669124983522E-2</v>
      </c>
      <c r="F2581">
        <f t="shared" si="86"/>
        <v>-1.5794434529922765E-2</v>
      </c>
      <c r="G2581">
        <f t="shared" si="87"/>
        <v>-2.533294031510441E-2</v>
      </c>
    </row>
    <row r="2582" spans="1:7" x14ac:dyDescent="0.35">
      <c r="A2582" t="s">
        <v>139</v>
      </c>
      <c r="E2582">
        <v>1.3592498256460074E-3</v>
      </c>
      <c r="F2582">
        <f t="shared" si="86"/>
        <v>-1.5793503505468907E-2</v>
      </c>
      <c r="G2582">
        <f t="shared" si="87"/>
        <v>-2.5154732331946841E-2</v>
      </c>
    </row>
    <row r="2583" spans="1:7" x14ac:dyDescent="0.35">
      <c r="A2583" t="s">
        <v>139</v>
      </c>
      <c r="E2583">
        <v>3.7633653345812035E-2</v>
      </c>
      <c r="F2583">
        <f t="shared" si="86"/>
        <v>-1.5793530096963524E-2</v>
      </c>
      <c r="G2583">
        <f t="shared" si="87"/>
        <v>-2.5154732331946841E-2</v>
      </c>
    </row>
    <row r="2584" spans="1:7" x14ac:dyDescent="0.35">
      <c r="A2584" t="s">
        <v>139</v>
      </c>
      <c r="E2584">
        <v>-3.8767514719254643E-3</v>
      </c>
      <c r="F2584">
        <f t="shared" si="86"/>
        <v>-1.5793556688458141E-2</v>
      </c>
      <c r="G2584">
        <f t="shared" si="87"/>
        <v>-2.5154732331946841E-2</v>
      </c>
    </row>
    <row r="2585" spans="1:7" x14ac:dyDescent="0.35">
      <c r="A2585" t="s">
        <v>139</v>
      </c>
      <c r="E2585">
        <v>4.8341688970894234E-3</v>
      </c>
      <c r="F2585">
        <f t="shared" si="86"/>
        <v>-1.5793583279952755E-2</v>
      </c>
      <c r="G2585">
        <f t="shared" si="87"/>
        <v>-2.5154732331946841E-2</v>
      </c>
    </row>
    <row r="2586" spans="1:7" x14ac:dyDescent="0.35">
      <c r="A2586" t="s">
        <v>139</v>
      </c>
      <c r="E2586">
        <v>-6.5958414513684806E-3</v>
      </c>
      <c r="F2586">
        <f t="shared" si="86"/>
        <v>-1.5793609871447373E-2</v>
      </c>
      <c r="G2586">
        <f t="shared" si="87"/>
        <v>-2.5154732331946841E-2</v>
      </c>
    </row>
    <row r="2587" spans="1:7" x14ac:dyDescent="0.35">
      <c r="A2587" t="s">
        <v>139</v>
      </c>
      <c r="E2587">
        <v>-2.5245783244558944E-3</v>
      </c>
      <c r="F2587">
        <f t="shared" si="86"/>
        <v>-1.579363646294199E-2</v>
      </c>
      <c r="G2587">
        <f t="shared" si="87"/>
        <v>-2.5154732331946841E-2</v>
      </c>
    </row>
    <row r="2588" spans="1:7" x14ac:dyDescent="0.35">
      <c r="A2588" t="s">
        <v>139</v>
      </c>
      <c r="E2588">
        <v>1.7849877856539874E-2</v>
      </c>
      <c r="F2588">
        <f t="shared" si="86"/>
        <v>-1.5793663054436604E-2</v>
      </c>
      <c r="G2588">
        <f t="shared" si="87"/>
        <v>-2.5154732331946841E-2</v>
      </c>
    </row>
    <row r="2589" spans="1:7" x14ac:dyDescent="0.35">
      <c r="A2589" t="s">
        <v>139</v>
      </c>
      <c r="E2589">
        <v>4.8051125886046922E-3</v>
      </c>
      <c r="F2589">
        <f t="shared" si="86"/>
        <v>-1.5793689645931221E-2</v>
      </c>
      <c r="G2589">
        <f t="shared" si="87"/>
        <v>-2.5154732331946841E-2</v>
      </c>
    </row>
    <row r="2590" spans="1:7" x14ac:dyDescent="0.35">
      <c r="A2590" t="s">
        <v>139</v>
      </c>
      <c r="E2590">
        <v>1.0412814508293147E-2</v>
      </c>
      <c r="F2590">
        <f t="shared" si="86"/>
        <v>-1.5793716237425835E-2</v>
      </c>
      <c r="G2590">
        <f t="shared" si="87"/>
        <v>-2.5154732331946841E-2</v>
      </c>
    </row>
    <row r="2591" spans="1:7" x14ac:dyDescent="0.35">
      <c r="A2591" t="s">
        <v>139</v>
      </c>
      <c r="E2591">
        <v>-2.6276275624880538E-2</v>
      </c>
      <c r="F2591">
        <f t="shared" si="86"/>
        <v>-1.5793742828920453E-2</v>
      </c>
      <c r="G2591">
        <f t="shared" si="87"/>
        <v>-2.5154732331946841E-2</v>
      </c>
    </row>
    <row r="2592" spans="1:7" x14ac:dyDescent="0.35">
      <c r="A2592" t="s">
        <v>140</v>
      </c>
      <c r="B2592" s="3" cm="1">
        <f t="array" ref="B2592">_xlfn.STDEV.S(_xlfn._xlws.FILTER($E$2013:$E$3011, $A$2013:$A$3011="2020-06"))</f>
        <v>2.1175655293576016E-2</v>
      </c>
      <c r="C2592" s="3" cm="1">
        <f t="array" ref="C2592">AVERAGE(_xlfn._xlws.FILTER($E$2013:$E$3011, $A$2013:$A$3011="2020-06"))</f>
        <v>3.4531587889102491E-4</v>
      </c>
      <c r="D2592" s="3" cm="1">
        <f t="array" ref="D2592">_xlfn.PERCENTILE.EXC(_xlfn._xlws.FILTER($E$2490:$E$3818, $A$2490:$A$3818="2020-06"), 0.05)</f>
        <v>-5.0149485973844728E-2</v>
      </c>
      <c r="E2592">
        <v>3.4385710714807956E-2</v>
      </c>
      <c r="F2592">
        <f t="shared" si="86"/>
        <v>-1.5768985824804432E-2</v>
      </c>
      <c r="G2592">
        <f t="shared" si="87"/>
        <v>-2.4982882736825519E-2</v>
      </c>
    </row>
    <row r="2593" spans="1:7" x14ac:dyDescent="0.35">
      <c r="A2593" t="s">
        <v>140</v>
      </c>
      <c r="E2593">
        <v>2.4349005752814425E-2</v>
      </c>
      <c r="F2593">
        <f t="shared" si="86"/>
        <v>-1.5772043887013837E-2</v>
      </c>
      <c r="G2593">
        <f t="shared" si="87"/>
        <v>-2.4982882736825519E-2</v>
      </c>
    </row>
    <row r="2594" spans="1:7" x14ac:dyDescent="0.35">
      <c r="A2594" t="s">
        <v>140</v>
      </c>
      <c r="E2594">
        <v>-1.387931790710901E-2</v>
      </c>
      <c r="F2594">
        <f t="shared" si="86"/>
        <v>-1.5775101949223241E-2</v>
      </c>
      <c r="G2594">
        <f t="shared" si="87"/>
        <v>-2.4982882736825519E-2</v>
      </c>
    </row>
    <row r="2595" spans="1:7" x14ac:dyDescent="0.35">
      <c r="A2595" t="s">
        <v>140</v>
      </c>
      <c r="E2595">
        <v>3.1887633786416514E-2</v>
      </c>
      <c r="F2595">
        <f t="shared" si="86"/>
        <v>-1.5778160011432649E-2</v>
      </c>
      <c r="G2595">
        <f t="shared" si="87"/>
        <v>-2.4982882736825519E-2</v>
      </c>
    </row>
    <row r="2596" spans="1:7" x14ac:dyDescent="0.35">
      <c r="A2596" t="s">
        <v>140</v>
      </c>
      <c r="E2596">
        <v>-3.8898181670750349E-4</v>
      </c>
      <c r="F2596">
        <f t="shared" si="86"/>
        <v>-1.5781218073642054E-2</v>
      </c>
      <c r="G2596">
        <f t="shared" si="87"/>
        <v>-2.4982882736825519E-2</v>
      </c>
    </row>
    <row r="2597" spans="1:7" x14ac:dyDescent="0.35">
      <c r="A2597" t="s">
        <v>140</v>
      </c>
      <c r="E2597">
        <v>-2.2351669008749474E-2</v>
      </c>
      <c r="F2597">
        <f t="shared" si="86"/>
        <v>-1.5784276135851458E-2</v>
      </c>
      <c r="G2597">
        <f t="shared" si="87"/>
        <v>-2.4982882736825519E-2</v>
      </c>
    </row>
    <row r="2598" spans="1:7" x14ac:dyDescent="0.35">
      <c r="A2598" t="s">
        <v>140</v>
      </c>
      <c r="E2598">
        <v>-8.0453139304895302E-4</v>
      </c>
      <c r="F2598">
        <f t="shared" si="86"/>
        <v>-1.5726989428480873E-2</v>
      </c>
      <c r="G2598">
        <f t="shared" si="87"/>
        <v>-2.4874368311736044E-2</v>
      </c>
    </row>
    <row r="2599" spans="1:7" x14ac:dyDescent="0.35">
      <c r="A2599" t="s">
        <v>140</v>
      </c>
      <c r="E2599">
        <v>-5.1913178348977324E-2</v>
      </c>
      <c r="F2599">
        <f t="shared" si="86"/>
        <v>-1.5729639253386218E-2</v>
      </c>
      <c r="G2599">
        <f t="shared" si="87"/>
        <v>-2.4874368311736044E-2</v>
      </c>
    </row>
    <row r="2600" spans="1:7" x14ac:dyDescent="0.35">
      <c r="A2600" t="s">
        <v>140</v>
      </c>
      <c r="E2600">
        <v>6.1177643369591736E-3</v>
      </c>
      <c r="F2600">
        <f t="shared" si="86"/>
        <v>-1.567929258018461E-2</v>
      </c>
      <c r="G2600">
        <f t="shared" si="87"/>
        <v>-2.4280370184378779E-2</v>
      </c>
    </row>
    <row r="2601" spans="1:7" x14ac:dyDescent="0.35">
      <c r="A2601" t="s">
        <v>140</v>
      </c>
      <c r="E2601">
        <v>-6.2170270315587651E-3</v>
      </c>
      <c r="F2601">
        <f t="shared" si="86"/>
        <v>-1.5681942405089959E-2</v>
      </c>
      <c r="G2601">
        <f t="shared" si="87"/>
        <v>-2.4423721477782014E-2</v>
      </c>
    </row>
    <row r="2602" spans="1:7" x14ac:dyDescent="0.35">
      <c r="A2602" t="s">
        <v>140</v>
      </c>
      <c r="E2602">
        <v>3.2755202967702797E-2</v>
      </c>
      <c r="F2602">
        <f t="shared" si="86"/>
        <v>-1.5684592229995305E-2</v>
      </c>
      <c r="G2602">
        <f t="shared" si="87"/>
        <v>-2.4423721477782014E-2</v>
      </c>
    </row>
    <row r="2603" spans="1:7" x14ac:dyDescent="0.35">
      <c r="A2603" t="s">
        <v>140</v>
      </c>
      <c r="E2603">
        <v>9.0507703944790404E-4</v>
      </c>
      <c r="F2603">
        <f t="shared" si="86"/>
        <v>-1.5687242054900654E-2</v>
      </c>
      <c r="G2603">
        <f t="shared" si="87"/>
        <v>-2.4423721477782014E-2</v>
      </c>
    </row>
    <row r="2604" spans="1:7" x14ac:dyDescent="0.35">
      <c r="A2604" t="s">
        <v>140</v>
      </c>
      <c r="E2604">
        <v>-1.1796669323225373E-2</v>
      </c>
      <c r="F2604">
        <f t="shared" si="86"/>
        <v>-1.5689891879806E-2</v>
      </c>
      <c r="G2604">
        <f t="shared" si="87"/>
        <v>-2.4423721477782014E-2</v>
      </c>
    </row>
    <row r="2605" spans="1:7" x14ac:dyDescent="0.35">
      <c r="A2605" t="s">
        <v>140</v>
      </c>
      <c r="E2605">
        <v>7.4883897858656094E-3</v>
      </c>
      <c r="F2605">
        <f t="shared" si="86"/>
        <v>-1.5692541704711349E-2</v>
      </c>
      <c r="G2605">
        <f t="shared" si="87"/>
        <v>-2.4423721477782014E-2</v>
      </c>
    </row>
    <row r="2606" spans="1:7" x14ac:dyDescent="0.35">
      <c r="A2606" t="s">
        <v>140</v>
      </c>
      <c r="E2606">
        <v>-5.9788955072310086E-3</v>
      </c>
      <c r="F2606">
        <f t="shared" si="86"/>
        <v>-1.5695191529616698E-2</v>
      </c>
      <c r="G2606">
        <f t="shared" si="87"/>
        <v>-2.4423721477782014E-2</v>
      </c>
    </row>
    <row r="2607" spans="1:7" x14ac:dyDescent="0.35">
      <c r="A2607" t="s">
        <v>140</v>
      </c>
      <c r="E2607">
        <v>1.1927798991144488E-2</v>
      </c>
      <c r="F2607">
        <f t="shared" si="86"/>
        <v>-1.5697841354522044E-2</v>
      </c>
      <c r="G2607">
        <f t="shared" si="87"/>
        <v>-2.4423721477782014E-2</v>
      </c>
    </row>
    <row r="2608" spans="1:7" x14ac:dyDescent="0.35">
      <c r="A2608" t="s">
        <v>140</v>
      </c>
      <c r="E2608">
        <v>-3.42762545976514E-2</v>
      </c>
      <c r="F2608">
        <f t="shared" si="86"/>
        <v>-1.5700491179427394E-2</v>
      </c>
      <c r="G2608">
        <f t="shared" si="87"/>
        <v>-2.4423721477782014E-2</v>
      </c>
    </row>
    <row r="2609" spans="1:7" x14ac:dyDescent="0.35">
      <c r="A2609" t="s">
        <v>140</v>
      </c>
      <c r="E2609">
        <v>6.1025205089577442E-3</v>
      </c>
      <c r="F2609">
        <f t="shared" si="86"/>
        <v>-1.5642207824392358E-2</v>
      </c>
      <c r="G2609">
        <f t="shared" si="87"/>
        <v>-2.4113772110824234E-2</v>
      </c>
    </row>
    <row r="2610" spans="1:7" x14ac:dyDescent="0.35">
      <c r="A2610" t="s">
        <v>140</v>
      </c>
      <c r="E2610">
        <v>-4.1049453434654102E-3</v>
      </c>
      <c r="F2610">
        <f t="shared" si="86"/>
        <v>-1.5645579165828018E-2</v>
      </c>
      <c r="G2610">
        <f t="shared" si="87"/>
        <v>-2.4113772110824234E-2</v>
      </c>
    </row>
    <row r="2611" spans="1:7" x14ac:dyDescent="0.35">
      <c r="A2611" t="s">
        <v>140</v>
      </c>
      <c r="E2611">
        <v>5.641841450068753E-3</v>
      </c>
      <c r="F2611">
        <f t="shared" si="86"/>
        <v>-1.5648950507263677E-2</v>
      </c>
      <c r="G2611">
        <f t="shared" si="87"/>
        <v>-2.4113772110824234E-2</v>
      </c>
    </row>
    <row r="2612" spans="1:7" x14ac:dyDescent="0.35">
      <c r="A2612" t="s">
        <v>140</v>
      </c>
      <c r="E2612">
        <v>-2.5978415997496324E-3</v>
      </c>
      <c r="F2612">
        <f t="shared" si="86"/>
        <v>-1.5652321848699337E-2</v>
      </c>
      <c r="G2612">
        <f t="shared" si="87"/>
        <v>-2.4113772110824234E-2</v>
      </c>
    </row>
    <row r="2613" spans="1:7" x14ac:dyDescent="0.35">
      <c r="A2613" t="s">
        <v>141</v>
      </c>
      <c r="B2613" s="3" cm="1">
        <f t="array" ref="B2613">_xlfn.STDEV.S(_xlfn._xlws.FILTER($E$2013:$E$3011, $A$2013:$A$3011="2020-07"))</f>
        <v>1.0903442103111284E-2</v>
      </c>
      <c r="C2613" s="3" cm="1">
        <f t="array" ref="C2613">AVERAGE(_xlfn._xlws.FILTER($E$2013:$E$3011, $A$2013:$A$3011="2020-07"))</f>
        <v>-1.5713257211473596E-3</v>
      </c>
      <c r="D2613" s="3" cm="1">
        <f t="array" ref="D2613">_xlfn.PERCENTILE.EXC(_xlfn._xlws.FILTER($E$2490:$E$3818, $A$2490:$A$3818="2020-07"), 0.05)</f>
        <v>-1.8583594006428922E-2</v>
      </c>
      <c r="E2613">
        <v>4.4287701306389192E-3</v>
      </c>
      <c r="F2613">
        <f t="shared" si="86"/>
        <v>-1.5655693190134996E-2</v>
      </c>
      <c r="G2613">
        <f t="shared" si="87"/>
        <v>-2.4113772110824234E-2</v>
      </c>
    </row>
    <row r="2614" spans="1:7" x14ac:dyDescent="0.35">
      <c r="A2614" t="s">
        <v>141</v>
      </c>
      <c r="E2614">
        <v>1.4800679220169628E-2</v>
      </c>
      <c r="F2614">
        <f t="shared" si="86"/>
        <v>-1.5659064531570656E-2</v>
      </c>
      <c r="G2614">
        <f t="shared" si="87"/>
        <v>-2.4113772110824234E-2</v>
      </c>
    </row>
    <row r="2615" spans="1:7" x14ac:dyDescent="0.35">
      <c r="A2615" t="s">
        <v>141</v>
      </c>
      <c r="E2615">
        <v>-1.3914752540614139E-2</v>
      </c>
      <c r="F2615">
        <f t="shared" si="86"/>
        <v>-1.5662435873006315E-2</v>
      </c>
      <c r="G2615">
        <f t="shared" si="87"/>
        <v>-2.4113772110824234E-2</v>
      </c>
    </row>
    <row r="2616" spans="1:7" x14ac:dyDescent="0.35">
      <c r="A2616" t="s">
        <v>141</v>
      </c>
      <c r="E2616">
        <v>1.619414392175594E-2</v>
      </c>
      <c r="F2616">
        <f t="shared" si="86"/>
        <v>-1.5665807214441971E-2</v>
      </c>
      <c r="G2616">
        <f t="shared" si="87"/>
        <v>-2.4113772110824234E-2</v>
      </c>
    </row>
    <row r="2617" spans="1:7" x14ac:dyDescent="0.35">
      <c r="A2617" t="s">
        <v>141</v>
      </c>
      <c r="E2617">
        <v>-7.9025986927638448E-3</v>
      </c>
      <c r="F2617">
        <f t="shared" si="86"/>
        <v>-1.5669178555877631E-2</v>
      </c>
      <c r="G2617">
        <f t="shared" si="87"/>
        <v>-2.4113772110824234E-2</v>
      </c>
    </row>
    <row r="2618" spans="1:7" x14ac:dyDescent="0.35">
      <c r="A2618" t="s">
        <v>141</v>
      </c>
      <c r="E2618">
        <v>-6.1141295895712731E-3</v>
      </c>
      <c r="F2618">
        <f t="shared" si="86"/>
        <v>-1.5672549897313291E-2</v>
      </c>
      <c r="G2618">
        <f t="shared" si="87"/>
        <v>-2.4113772110824234E-2</v>
      </c>
    </row>
    <row r="2619" spans="1:7" x14ac:dyDescent="0.35">
      <c r="A2619" t="s">
        <v>141</v>
      </c>
      <c r="E2619">
        <v>-1.29249225488974E-2</v>
      </c>
      <c r="F2619">
        <f t="shared" si="86"/>
        <v>-1.567592123874895E-2</v>
      </c>
      <c r="G2619">
        <f t="shared" si="87"/>
        <v>-2.4113772110824234E-2</v>
      </c>
    </row>
    <row r="2620" spans="1:7" x14ac:dyDescent="0.35">
      <c r="A2620" t="s">
        <v>141</v>
      </c>
      <c r="E2620">
        <v>8.0910186590169887E-3</v>
      </c>
      <c r="F2620">
        <f t="shared" si="86"/>
        <v>-1.567929258018461E-2</v>
      </c>
      <c r="G2620">
        <f t="shared" si="87"/>
        <v>-2.4113772110824234E-2</v>
      </c>
    </row>
    <row r="2621" spans="1:7" x14ac:dyDescent="0.35">
      <c r="A2621" t="s">
        <v>141</v>
      </c>
      <c r="E2621">
        <v>6.2150865448042051E-3</v>
      </c>
      <c r="F2621">
        <f t="shared" si="86"/>
        <v>-1.5681942405089959E-2</v>
      </c>
      <c r="G2621">
        <f t="shared" si="87"/>
        <v>-2.425672939100457E-2</v>
      </c>
    </row>
    <row r="2622" spans="1:7" x14ac:dyDescent="0.35">
      <c r="A2622" t="s">
        <v>141</v>
      </c>
      <c r="E2622">
        <v>-7.8231388273102467E-3</v>
      </c>
      <c r="F2622">
        <f t="shared" si="86"/>
        <v>-1.5684592229995305E-2</v>
      </c>
      <c r="G2622">
        <f t="shared" si="87"/>
        <v>-2.425672939100457E-2</v>
      </c>
    </row>
    <row r="2623" spans="1:7" x14ac:dyDescent="0.35">
      <c r="A2623" t="s">
        <v>141</v>
      </c>
      <c r="E2623">
        <v>2.0777539295214684E-2</v>
      </c>
      <c r="F2623">
        <f t="shared" si="86"/>
        <v>-1.5687242054900654E-2</v>
      </c>
      <c r="G2623">
        <f t="shared" si="87"/>
        <v>-2.425672939100457E-2</v>
      </c>
    </row>
    <row r="2624" spans="1:7" x14ac:dyDescent="0.35">
      <c r="A2624" t="s">
        <v>141</v>
      </c>
      <c r="E2624">
        <v>-6.7068497314954302E-3</v>
      </c>
      <c r="F2624">
        <f t="shared" si="86"/>
        <v>-1.5689891879806E-2</v>
      </c>
      <c r="G2624">
        <f t="shared" si="87"/>
        <v>-2.425672939100457E-2</v>
      </c>
    </row>
    <row r="2625" spans="1:7" x14ac:dyDescent="0.35">
      <c r="A2625" t="s">
        <v>141</v>
      </c>
      <c r="E2625">
        <v>1.5748978768213267E-3</v>
      </c>
      <c r="F2625">
        <f t="shared" si="86"/>
        <v>-1.5692541704711349E-2</v>
      </c>
      <c r="G2625">
        <f t="shared" si="87"/>
        <v>-2.425672939100457E-2</v>
      </c>
    </row>
    <row r="2626" spans="1:7" x14ac:dyDescent="0.35">
      <c r="A2626" t="s">
        <v>141</v>
      </c>
      <c r="E2626">
        <v>2.5224449633973532E-3</v>
      </c>
      <c r="F2626">
        <f t="shared" si="86"/>
        <v>-1.5695191529616698E-2</v>
      </c>
      <c r="G2626">
        <f t="shared" si="87"/>
        <v>-2.425672939100457E-2</v>
      </c>
    </row>
    <row r="2627" spans="1:7" x14ac:dyDescent="0.35">
      <c r="A2627" t="s">
        <v>141</v>
      </c>
      <c r="E2627">
        <v>1.8473589545199335E-3</v>
      </c>
      <c r="F2627">
        <f t="shared" si="86"/>
        <v>-1.5697841354522044E-2</v>
      </c>
      <c r="G2627">
        <f t="shared" si="87"/>
        <v>-2.425672939100457E-2</v>
      </c>
    </row>
    <row r="2628" spans="1:7" x14ac:dyDescent="0.35">
      <c r="A2628" t="s">
        <v>141</v>
      </c>
      <c r="E2628">
        <v>-1.5793450322479675E-2</v>
      </c>
      <c r="F2628">
        <f t="shared" ref="F2628:F2691" si="88">_xlfn.PERCENTILE.EXC(E2628:E6443,0.05)</f>
        <v>-1.5700491179427394E-2</v>
      </c>
      <c r="G2628">
        <f t="shared" ref="G2628:G2691" si="89">AVERAGEIFS(E2628:E6444,E2628:E6444,"&lt;=" &amp; F2628)</f>
        <v>-2.425672939100457E-2</v>
      </c>
    </row>
    <row r="2629" spans="1:7" x14ac:dyDescent="0.35">
      <c r="A2629" t="s">
        <v>141</v>
      </c>
      <c r="E2629">
        <v>-2.3805303482156591E-3</v>
      </c>
      <c r="F2629">
        <f t="shared" si="88"/>
        <v>-1.5642207824392358E-2</v>
      </c>
      <c r="G2629">
        <f t="shared" si="89"/>
        <v>-2.4254794514016517E-2</v>
      </c>
    </row>
    <row r="2630" spans="1:7" x14ac:dyDescent="0.35">
      <c r="A2630" t="s">
        <v>141</v>
      </c>
      <c r="E2630">
        <v>-1.2363142811709147E-2</v>
      </c>
      <c r="F2630">
        <f t="shared" si="88"/>
        <v>-1.5645579165828018E-2</v>
      </c>
      <c r="G2630">
        <f t="shared" si="89"/>
        <v>-2.4254794514016517E-2</v>
      </c>
    </row>
    <row r="2631" spans="1:7" x14ac:dyDescent="0.35">
      <c r="A2631" t="s">
        <v>141</v>
      </c>
      <c r="E2631">
        <v>-5.6479685414048261E-3</v>
      </c>
      <c r="F2631">
        <f t="shared" si="88"/>
        <v>-1.5648950507263677E-2</v>
      </c>
      <c r="G2631">
        <f t="shared" si="89"/>
        <v>-2.4254794514016517E-2</v>
      </c>
    </row>
    <row r="2632" spans="1:7" x14ac:dyDescent="0.35">
      <c r="A2632" t="s">
        <v>141</v>
      </c>
      <c r="E2632">
        <v>1.064660269552177E-2</v>
      </c>
      <c r="F2632">
        <f t="shared" si="88"/>
        <v>-1.5652321848699337E-2</v>
      </c>
      <c r="G2632">
        <f t="shared" si="89"/>
        <v>-2.4254794514016517E-2</v>
      </c>
    </row>
    <row r="2633" spans="1:7" x14ac:dyDescent="0.35">
      <c r="A2633" t="s">
        <v>141</v>
      </c>
      <c r="E2633">
        <v>-9.529919147619457E-4</v>
      </c>
      <c r="F2633">
        <f t="shared" si="88"/>
        <v>-1.5655693190134996E-2</v>
      </c>
      <c r="G2633">
        <f t="shared" si="89"/>
        <v>-2.4254794514016517E-2</v>
      </c>
    </row>
    <row r="2634" spans="1:7" x14ac:dyDescent="0.35">
      <c r="A2634" t="s">
        <v>141</v>
      </c>
      <c r="E2634">
        <v>-1.9281129927416235E-2</v>
      </c>
      <c r="F2634">
        <f t="shared" si="88"/>
        <v>-1.5659064531570656E-2</v>
      </c>
      <c r="G2634">
        <f t="shared" si="89"/>
        <v>-2.4254794514016517E-2</v>
      </c>
    </row>
    <row r="2635" spans="1:7" x14ac:dyDescent="0.35">
      <c r="A2635" t="s">
        <v>141</v>
      </c>
      <c r="E2635">
        <v>-1.1433428051610199E-2</v>
      </c>
      <c r="F2635">
        <f t="shared" si="88"/>
        <v>-1.5556582770800513E-2</v>
      </c>
      <c r="G2635">
        <f t="shared" si="89"/>
        <v>-2.4192603595780161E-2</v>
      </c>
    </row>
    <row r="2636" spans="1:7" x14ac:dyDescent="0.35">
      <c r="A2636" t="s">
        <v>142</v>
      </c>
      <c r="B2636" s="3" cm="1">
        <f t="array" ref="B2636">_xlfn.STDEV.S(_xlfn._xlws.FILTER($E$2013:$E$3011, $A$2013:$A$3011="2020-08"))</f>
        <v>1.1018526428379092E-2</v>
      </c>
      <c r="C2636" s="3" cm="1">
        <f t="array" ref="C2636">AVERAGE(_xlfn._xlws.FILTER($E$2013:$E$3011, $A$2013:$A$3011="2020-08"))</f>
        <v>1.0037881998980985E-3</v>
      </c>
      <c r="D2636" s="3" cm="1">
        <f t="array" ref="D2636">_xlfn.PERCENTILE.EXC(_xlfn._xlws.FILTER($E$2490:$E$3818, $A$2490:$A$3818="2020-08"), 0.05)</f>
        <v>-1.6244468827775204E-2</v>
      </c>
      <c r="E2636">
        <v>2.3080397611428785E-2</v>
      </c>
      <c r="F2636">
        <f t="shared" si="88"/>
        <v>-1.5567639366934694E-2</v>
      </c>
      <c r="G2636">
        <f t="shared" si="89"/>
        <v>-2.4192603595780161E-2</v>
      </c>
    </row>
    <row r="2637" spans="1:7" x14ac:dyDescent="0.35">
      <c r="A2637" t="s">
        <v>142</v>
      </c>
      <c r="E2637">
        <v>-1.4073240040097057E-3</v>
      </c>
      <c r="F2637">
        <f t="shared" si="88"/>
        <v>-1.5578695963068876E-2</v>
      </c>
      <c r="G2637">
        <f t="shared" si="89"/>
        <v>-2.4192603595780161E-2</v>
      </c>
    </row>
    <row r="2638" spans="1:7" x14ac:dyDescent="0.35">
      <c r="A2638" t="s">
        <v>142</v>
      </c>
      <c r="E2638">
        <v>8.0214501872442195E-3</v>
      </c>
      <c r="F2638">
        <f t="shared" si="88"/>
        <v>-1.5589752559203061E-2</v>
      </c>
      <c r="G2638">
        <f t="shared" si="89"/>
        <v>-2.4192603595780161E-2</v>
      </c>
    </row>
    <row r="2639" spans="1:7" x14ac:dyDescent="0.35">
      <c r="A2639" t="s">
        <v>142</v>
      </c>
      <c r="E2639">
        <v>-1.097746515710012E-2</v>
      </c>
      <c r="F2639">
        <f t="shared" si="88"/>
        <v>-1.5600809155337242E-2</v>
      </c>
      <c r="G2639">
        <f t="shared" si="89"/>
        <v>-2.4192603595780161E-2</v>
      </c>
    </row>
    <row r="2640" spans="1:7" x14ac:dyDescent="0.35">
      <c r="A2640" t="s">
        <v>142</v>
      </c>
      <c r="E2640">
        <v>1.3253937940696323E-3</v>
      </c>
      <c r="F2640">
        <f t="shared" si="88"/>
        <v>-1.5611865751471426E-2</v>
      </c>
      <c r="G2640">
        <f t="shared" si="89"/>
        <v>-2.4192603595780161E-2</v>
      </c>
    </row>
    <row r="2641" spans="1:7" x14ac:dyDescent="0.35">
      <c r="A2641" t="s">
        <v>142</v>
      </c>
      <c r="E2641">
        <v>7.699362998347033E-3</v>
      </c>
      <c r="F2641">
        <f t="shared" si="88"/>
        <v>-1.5615237092907085E-2</v>
      </c>
      <c r="G2641">
        <f t="shared" si="89"/>
        <v>-2.4340547351716525E-2</v>
      </c>
    </row>
    <row r="2642" spans="1:7" x14ac:dyDescent="0.35">
      <c r="A2642" t="s">
        <v>142</v>
      </c>
      <c r="E2642">
        <v>1.5853427919938538E-2</v>
      </c>
      <c r="F2642">
        <f t="shared" si="88"/>
        <v>-1.5618608434342743E-2</v>
      </c>
      <c r="G2642">
        <f t="shared" si="89"/>
        <v>-2.4340547351716525E-2</v>
      </c>
    </row>
    <row r="2643" spans="1:7" x14ac:dyDescent="0.35">
      <c r="A2643" t="s">
        <v>142</v>
      </c>
      <c r="E2643">
        <v>1.4928786134944139E-2</v>
      </c>
      <c r="F2643">
        <f t="shared" si="88"/>
        <v>-1.5621979775778403E-2</v>
      </c>
      <c r="G2643">
        <f t="shared" si="89"/>
        <v>-2.4340547351716525E-2</v>
      </c>
    </row>
    <row r="2644" spans="1:7" x14ac:dyDescent="0.35">
      <c r="A2644" t="s">
        <v>142</v>
      </c>
      <c r="E2644">
        <v>-1.4523594385651841E-2</v>
      </c>
      <c r="F2644">
        <f t="shared" si="88"/>
        <v>-1.5625351117214064E-2</v>
      </c>
      <c r="G2644">
        <f t="shared" si="89"/>
        <v>-2.4340547351716525E-2</v>
      </c>
    </row>
    <row r="2645" spans="1:7" x14ac:dyDescent="0.35">
      <c r="A2645" t="s">
        <v>142</v>
      </c>
      <c r="E2645">
        <v>-1.6335041166834329E-2</v>
      </c>
      <c r="F2645">
        <f t="shared" si="88"/>
        <v>-1.562872245864972E-2</v>
      </c>
      <c r="G2645">
        <f t="shared" si="89"/>
        <v>-2.4340547351716525E-2</v>
      </c>
    </row>
    <row r="2646" spans="1:7" x14ac:dyDescent="0.35">
      <c r="A2646" t="s">
        <v>142</v>
      </c>
      <c r="E2646">
        <v>4.3351791555155048E-3</v>
      </c>
      <c r="F2646">
        <f t="shared" si="88"/>
        <v>-1.5457073405592867E-2</v>
      </c>
      <c r="G2646">
        <f t="shared" si="89"/>
        <v>-2.4328078810072335E-2</v>
      </c>
    </row>
    <row r="2647" spans="1:7" x14ac:dyDescent="0.35">
      <c r="A2647" t="s">
        <v>142</v>
      </c>
      <c r="E2647">
        <v>-4.0181418680676744E-3</v>
      </c>
      <c r="F2647">
        <f t="shared" si="88"/>
        <v>-1.5468130001727049E-2</v>
      </c>
      <c r="G2647">
        <f t="shared" si="89"/>
        <v>-2.4328078810072335E-2</v>
      </c>
    </row>
    <row r="2648" spans="1:7" x14ac:dyDescent="0.35">
      <c r="A2648" t="s">
        <v>142</v>
      </c>
      <c r="E2648">
        <v>5.3702112670189379E-3</v>
      </c>
      <c r="F2648">
        <f t="shared" si="88"/>
        <v>-1.5479186597861233E-2</v>
      </c>
      <c r="G2648">
        <f t="shared" si="89"/>
        <v>-2.4328078810072335E-2</v>
      </c>
    </row>
    <row r="2649" spans="1:7" x14ac:dyDescent="0.35">
      <c r="A2649" t="s">
        <v>142</v>
      </c>
      <c r="E2649">
        <v>-1.250232652756433E-2</v>
      </c>
      <c r="F2649">
        <f t="shared" si="88"/>
        <v>-1.5490243193995414E-2</v>
      </c>
      <c r="G2649">
        <f t="shared" si="89"/>
        <v>-2.4328078810072335E-2</v>
      </c>
    </row>
    <row r="2650" spans="1:7" x14ac:dyDescent="0.35">
      <c r="A2650" t="s">
        <v>142</v>
      </c>
      <c r="E2650">
        <v>-3.4252222097268946E-3</v>
      </c>
      <c r="F2650">
        <f t="shared" si="88"/>
        <v>-1.5501299790129599E-2</v>
      </c>
      <c r="G2650">
        <f t="shared" si="89"/>
        <v>-2.4328078810072335E-2</v>
      </c>
    </row>
    <row r="2651" spans="1:7" x14ac:dyDescent="0.35">
      <c r="A2651" t="s">
        <v>142</v>
      </c>
      <c r="E2651">
        <v>1.4010287769352689E-2</v>
      </c>
      <c r="F2651">
        <f t="shared" si="88"/>
        <v>-1.5512356386263781E-2</v>
      </c>
      <c r="G2651">
        <f t="shared" si="89"/>
        <v>-2.4328078810072335E-2</v>
      </c>
    </row>
    <row r="2652" spans="1:7" x14ac:dyDescent="0.35">
      <c r="A2652" t="s">
        <v>142</v>
      </c>
      <c r="E2652">
        <v>-8.0480537830958897E-3</v>
      </c>
      <c r="F2652">
        <f t="shared" si="88"/>
        <v>-1.5523412982397962E-2</v>
      </c>
      <c r="G2652">
        <f t="shared" si="89"/>
        <v>-2.4328078810072335E-2</v>
      </c>
    </row>
    <row r="2653" spans="1:7" x14ac:dyDescent="0.35">
      <c r="A2653" t="s">
        <v>142</v>
      </c>
      <c r="E2653">
        <v>6.640574710918298E-3</v>
      </c>
      <c r="F2653">
        <f t="shared" si="88"/>
        <v>-1.5534469578532146E-2</v>
      </c>
      <c r="G2653">
        <f t="shared" si="89"/>
        <v>-2.4328078810072335E-2</v>
      </c>
    </row>
    <row r="2654" spans="1:7" x14ac:dyDescent="0.35">
      <c r="A2654" t="s">
        <v>142</v>
      </c>
      <c r="E2654">
        <v>-6.9592215466527411E-3</v>
      </c>
      <c r="F2654">
        <f t="shared" si="88"/>
        <v>-1.5545526174666329E-2</v>
      </c>
      <c r="G2654">
        <f t="shared" si="89"/>
        <v>-2.4328078810072335E-2</v>
      </c>
    </row>
    <row r="2655" spans="1:7" x14ac:dyDescent="0.35">
      <c r="A2655" t="s">
        <v>142</v>
      </c>
      <c r="E2655">
        <v>-2.9929169021122642E-3</v>
      </c>
      <c r="F2655">
        <f t="shared" si="88"/>
        <v>-1.5556582770800513E-2</v>
      </c>
      <c r="G2655">
        <f t="shared" si="89"/>
        <v>-2.4328078810072335E-2</v>
      </c>
    </row>
    <row r="2656" spans="1:7" x14ac:dyDescent="0.35">
      <c r="A2656" t="s">
        <v>143</v>
      </c>
      <c r="B2656" s="3" cm="1">
        <f t="array" ref="B2656">_xlfn.STDEV.S(_xlfn._xlws.FILTER($E$2013:$E$3011, $A$2013:$A$3011="2020-09"))</f>
        <v>1.5105630031708903E-2</v>
      </c>
      <c r="C2656" s="3" cm="1">
        <f t="array" ref="C2656">AVERAGE(_xlfn._xlws.FILTER($E$2013:$E$3011, $A$2013:$A$3011="2020-09"))</f>
        <v>-1.5475220054309102E-3</v>
      </c>
      <c r="D2656" s="3" cm="1">
        <f t="array" ref="D2656">_xlfn.PERCENTILE.EXC(_xlfn._xlws.FILTER($E$2490:$E$3818, $A$2490:$A$3818="2020-09"), 0.05)</f>
        <v>-3.386406200534884E-2</v>
      </c>
      <c r="E2656">
        <v>-1.6082329404578277E-2</v>
      </c>
      <c r="F2656">
        <f t="shared" si="88"/>
        <v>-1.5567639366934694E-2</v>
      </c>
      <c r="G2656">
        <f t="shared" si="89"/>
        <v>-2.4328078810072335E-2</v>
      </c>
    </row>
    <row r="2657" spans="1:7" x14ac:dyDescent="0.35">
      <c r="A2657" t="s">
        <v>143</v>
      </c>
      <c r="E2657">
        <v>1.5811646040361931E-2</v>
      </c>
      <c r="F2657">
        <f t="shared" si="88"/>
        <v>-1.5352288906597223E-2</v>
      </c>
      <c r="G2657">
        <f t="shared" si="89"/>
        <v>-2.4316154748420776E-2</v>
      </c>
    </row>
    <row r="2658" spans="1:7" x14ac:dyDescent="0.35">
      <c r="A2658" t="s">
        <v>143</v>
      </c>
      <c r="E2658">
        <v>-1.8977838775358642E-2</v>
      </c>
      <c r="F2658">
        <f t="shared" si="88"/>
        <v>-1.536510388066074E-2</v>
      </c>
      <c r="G2658">
        <f t="shared" si="89"/>
        <v>-2.4316154748420776E-2</v>
      </c>
    </row>
    <row r="2659" spans="1:7" x14ac:dyDescent="0.35">
      <c r="A2659" t="s">
        <v>143</v>
      </c>
      <c r="E2659">
        <v>-1.0341059034767277E-2</v>
      </c>
      <c r="F2659">
        <f t="shared" si="88"/>
        <v>-1.5125290883661808E-2</v>
      </c>
      <c r="G2659">
        <f t="shared" si="89"/>
        <v>-2.4249889154837306E-2</v>
      </c>
    </row>
    <row r="2660" spans="1:7" x14ac:dyDescent="0.35">
      <c r="A2660" t="s">
        <v>143</v>
      </c>
      <c r="E2660">
        <v>1.9803808121811647E-2</v>
      </c>
      <c r="F2660">
        <f t="shared" si="88"/>
        <v>-1.5134434347517463E-2</v>
      </c>
      <c r="G2660">
        <f t="shared" si="89"/>
        <v>-2.4249889154837306E-2</v>
      </c>
    </row>
    <row r="2661" spans="1:7" x14ac:dyDescent="0.35">
      <c r="A2661" t="s">
        <v>143</v>
      </c>
      <c r="E2661">
        <v>-9.3427428630089657E-3</v>
      </c>
      <c r="F2661">
        <f t="shared" si="88"/>
        <v>-1.5147249321580979E-2</v>
      </c>
      <c r="G2661">
        <f t="shared" si="89"/>
        <v>-2.4409809414614847E-2</v>
      </c>
    </row>
    <row r="2662" spans="1:7" x14ac:dyDescent="0.35">
      <c r="A2662" t="s">
        <v>143</v>
      </c>
      <c r="E2662">
        <v>1.0688354900617845E-2</v>
      </c>
      <c r="F2662">
        <f t="shared" si="88"/>
        <v>-1.5160064295644492E-2</v>
      </c>
      <c r="G2662">
        <f t="shared" si="89"/>
        <v>-2.4409809414614847E-2</v>
      </c>
    </row>
    <row r="2663" spans="1:7" x14ac:dyDescent="0.35">
      <c r="A2663" t="s">
        <v>143</v>
      </c>
      <c r="E2663">
        <v>-2.0311501087244374E-2</v>
      </c>
      <c r="F2663">
        <f t="shared" si="88"/>
        <v>-1.517287926970801E-2</v>
      </c>
      <c r="G2663">
        <f t="shared" si="89"/>
        <v>-2.4409809414614847E-2</v>
      </c>
    </row>
    <row r="2664" spans="1:7" x14ac:dyDescent="0.35">
      <c r="A2664" t="s">
        <v>143</v>
      </c>
      <c r="E2664">
        <v>3.3526747080221786E-3</v>
      </c>
      <c r="F2664">
        <f t="shared" si="88"/>
        <v>-1.4988138925827005E-2</v>
      </c>
      <c r="G2664">
        <f t="shared" si="89"/>
        <v>-2.4318983682338938E-2</v>
      </c>
    </row>
    <row r="2665" spans="1:7" x14ac:dyDescent="0.35">
      <c r="A2665" t="s">
        <v>143</v>
      </c>
      <c r="E2665">
        <v>2.6583400480296488E-3</v>
      </c>
      <c r="F2665">
        <f t="shared" si="88"/>
        <v>-1.4997282389682658E-2</v>
      </c>
      <c r="G2665">
        <f t="shared" si="89"/>
        <v>-2.4318983682338938E-2</v>
      </c>
    </row>
    <row r="2666" spans="1:7" x14ac:dyDescent="0.35">
      <c r="A2666" t="s">
        <v>143</v>
      </c>
      <c r="E2666">
        <v>1.6192986530056325E-2</v>
      </c>
      <c r="F2666">
        <f t="shared" si="88"/>
        <v>-1.5006425853538312E-2</v>
      </c>
      <c r="G2666">
        <f t="shared" si="89"/>
        <v>-2.4318983682338938E-2</v>
      </c>
    </row>
    <row r="2667" spans="1:7" x14ac:dyDescent="0.35">
      <c r="A2667" t="s">
        <v>143</v>
      </c>
      <c r="E2667">
        <v>3.8950092184328322E-3</v>
      </c>
      <c r="F2667">
        <f t="shared" si="88"/>
        <v>-1.5015569317393965E-2</v>
      </c>
      <c r="G2667">
        <f t="shared" si="89"/>
        <v>-2.4318983682338938E-2</v>
      </c>
    </row>
    <row r="2668" spans="1:7" x14ac:dyDescent="0.35">
      <c r="A2668" t="s">
        <v>143</v>
      </c>
      <c r="E2668">
        <v>-6.94352886663152E-3</v>
      </c>
      <c r="F2668">
        <f t="shared" si="88"/>
        <v>-1.502471278124962E-2</v>
      </c>
      <c r="G2668">
        <f t="shared" si="89"/>
        <v>-2.4318983682338938E-2</v>
      </c>
    </row>
    <row r="2669" spans="1:7" x14ac:dyDescent="0.35">
      <c r="A2669" t="s">
        <v>143</v>
      </c>
      <c r="E2669">
        <v>-9.8219483343752745E-3</v>
      </c>
      <c r="F2669">
        <f t="shared" si="88"/>
        <v>-1.5033856245105273E-2</v>
      </c>
      <c r="G2669">
        <f t="shared" si="89"/>
        <v>-2.4318983682338938E-2</v>
      </c>
    </row>
    <row r="2670" spans="1:7" x14ac:dyDescent="0.35">
      <c r="A2670" t="s">
        <v>143</v>
      </c>
      <c r="E2670">
        <v>-3.6255690402661397E-2</v>
      </c>
      <c r="F2670">
        <f t="shared" si="88"/>
        <v>-1.5042999708960926E-2</v>
      </c>
      <c r="G2670">
        <f t="shared" si="89"/>
        <v>-2.4318983682338938E-2</v>
      </c>
    </row>
    <row r="2671" spans="1:7" x14ac:dyDescent="0.35">
      <c r="A2671" t="s">
        <v>143</v>
      </c>
      <c r="E2671">
        <v>2.0739526667754864E-3</v>
      </c>
      <c r="F2671">
        <f t="shared" si="88"/>
        <v>-1.4920214484430603E-2</v>
      </c>
      <c r="G2671">
        <f t="shared" si="89"/>
        <v>-2.3945227097562499E-2</v>
      </c>
    </row>
    <row r="2672" spans="1:7" x14ac:dyDescent="0.35">
      <c r="A2672" t="s">
        <v>143</v>
      </c>
      <c r="E2672">
        <v>1.6695590920826914E-2</v>
      </c>
      <c r="F2672">
        <f t="shared" si="88"/>
        <v>-1.4923697882872134E-2</v>
      </c>
      <c r="G2672">
        <f t="shared" si="89"/>
        <v>-2.3945227097562499E-2</v>
      </c>
    </row>
    <row r="2673" spans="1:7" x14ac:dyDescent="0.35">
      <c r="A2673" t="s">
        <v>143</v>
      </c>
      <c r="E2673">
        <v>-1.1898974971267033E-2</v>
      </c>
      <c r="F2673">
        <f t="shared" si="88"/>
        <v>-1.4927181281313666E-2</v>
      </c>
      <c r="G2673">
        <f t="shared" si="89"/>
        <v>-2.3945227097562499E-2</v>
      </c>
    </row>
    <row r="2674" spans="1:7" x14ac:dyDescent="0.35">
      <c r="A2674" t="s">
        <v>143</v>
      </c>
      <c r="E2674">
        <v>3.3398863170515099E-3</v>
      </c>
      <c r="F2674">
        <f t="shared" si="88"/>
        <v>-1.4930664679755198E-2</v>
      </c>
      <c r="G2674">
        <f t="shared" si="89"/>
        <v>-2.3945227097562499E-2</v>
      </c>
    </row>
    <row r="2675" spans="1:7" x14ac:dyDescent="0.35">
      <c r="A2675" t="s">
        <v>143</v>
      </c>
      <c r="E2675">
        <v>2.2969071433406183E-2</v>
      </c>
      <c r="F2675">
        <f t="shared" si="88"/>
        <v>-1.4934148078196732E-2</v>
      </c>
      <c r="G2675">
        <f t="shared" si="89"/>
        <v>-2.3945227097562499E-2</v>
      </c>
    </row>
    <row r="2676" spans="1:7" x14ac:dyDescent="0.35">
      <c r="A2676" t="s">
        <v>143</v>
      </c>
      <c r="E2676">
        <v>-1.2001315359685015E-2</v>
      </c>
      <c r="F2676">
        <f t="shared" si="88"/>
        <v>-1.4937631476638262E-2</v>
      </c>
      <c r="G2676">
        <f t="shared" si="89"/>
        <v>-2.3945227097562499E-2</v>
      </c>
    </row>
    <row r="2677" spans="1:7" x14ac:dyDescent="0.35">
      <c r="A2677" t="s">
        <v>143</v>
      </c>
      <c r="E2677">
        <v>4.5012407470525803E-4</v>
      </c>
      <c r="F2677">
        <f t="shared" si="88"/>
        <v>-1.4941114875079793E-2</v>
      </c>
      <c r="G2677">
        <f t="shared" si="89"/>
        <v>-2.3945227097562499E-2</v>
      </c>
    </row>
    <row r="2678" spans="1:7" x14ac:dyDescent="0.35">
      <c r="A2678" t="s">
        <v>144</v>
      </c>
      <c r="B2678" s="3" cm="1">
        <f t="array" ref="B2678">_xlfn.STDEV.S(_xlfn._xlws.FILTER($E$2013:$E$3011, $A$2013:$A$3011="2020-10"))</f>
        <v>9.2032040728523886E-3</v>
      </c>
      <c r="C2678" s="3" cm="1">
        <f t="array" ref="C2678">AVERAGE(_xlfn._xlws.FILTER($E$2013:$E$3011, $A$2013:$A$3011="2020-10"))</f>
        <v>-1.8903539973221654E-3</v>
      </c>
      <c r="D2678" s="3" cm="1">
        <f t="array" ref="D2678">_xlfn.PERCENTILE.EXC(_xlfn._xlws.FILTER($E$2490:$E$3818, $A$2490:$A$3818="2020-10"), 0.05)</f>
        <v>-2.4539560123556382E-2</v>
      </c>
      <c r="E2678">
        <v>-1.0045722380701027E-3</v>
      </c>
      <c r="F2678">
        <f t="shared" si="88"/>
        <v>-1.4944598273521327E-2</v>
      </c>
      <c r="G2678">
        <f t="shared" si="89"/>
        <v>-2.3945227097562499E-2</v>
      </c>
    </row>
    <row r="2679" spans="1:7" x14ac:dyDescent="0.35">
      <c r="A2679" t="s">
        <v>144</v>
      </c>
      <c r="E2679">
        <v>9.0153280787556057E-3</v>
      </c>
      <c r="F2679">
        <f t="shared" si="88"/>
        <v>-1.4948081671962859E-2</v>
      </c>
      <c r="G2679">
        <f t="shared" si="89"/>
        <v>-2.3945227097562499E-2</v>
      </c>
    </row>
    <row r="2680" spans="1:7" x14ac:dyDescent="0.35">
      <c r="A2680" t="s">
        <v>144</v>
      </c>
      <c r="E2680">
        <v>4.726381579512955E-3</v>
      </c>
      <c r="F2680">
        <f t="shared" si="88"/>
        <v>-1.4951565070404391E-2</v>
      </c>
      <c r="G2680">
        <f t="shared" si="89"/>
        <v>-2.3945227097562499E-2</v>
      </c>
    </row>
    <row r="2681" spans="1:7" x14ac:dyDescent="0.35">
      <c r="A2681" t="s">
        <v>144</v>
      </c>
      <c r="E2681">
        <v>-1.6451382269651945E-4</v>
      </c>
      <c r="F2681">
        <f t="shared" si="88"/>
        <v>-1.4960708534260044E-2</v>
      </c>
      <c r="G2681">
        <f t="shared" si="89"/>
        <v>-2.4105828205190322E-2</v>
      </c>
    </row>
    <row r="2682" spans="1:7" x14ac:dyDescent="0.35">
      <c r="A2682" t="s">
        <v>144</v>
      </c>
      <c r="E2682">
        <v>-2.6388508948700577E-3</v>
      </c>
      <c r="F2682">
        <f t="shared" si="88"/>
        <v>-1.4969851998115697E-2</v>
      </c>
      <c r="G2682">
        <f t="shared" si="89"/>
        <v>-2.4105828205190322E-2</v>
      </c>
    </row>
    <row r="2683" spans="1:7" x14ac:dyDescent="0.35">
      <c r="A2683" t="s">
        <v>144</v>
      </c>
      <c r="E2683">
        <v>8.3223724056006518E-3</v>
      </c>
      <c r="F2683">
        <f t="shared" si="88"/>
        <v>-1.4978995461971352E-2</v>
      </c>
      <c r="G2683">
        <f t="shared" si="89"/>
        <v>-2.4105828205190322E-2</v>
      </c>
    </row>
    <row r="2684" spans="1:7" x14ac:dyDescent="0.35">
      <c r="A2684" t="s">
        <v>144</v>
      </c>
      <c r="E2684">
        <v>6.912070206035118E-3</v>
      </c>
      <c r="F2684">
        <f t="shared" si="88"/>
        <v>-1.4988138925827005E-2</v>
      </c>
      <c r="G2684">
        <f t="shared" si="89"/>
        <v>-2.4105828205190322E-2</v>
      </c>
    </row>
    <row r="2685" spans="1:7" x14ac:dyDescent="0.35">
      <c r="A2685" t="s">
        <v>144</v>
      </c>
      <c r="E2685">
        <v>1.7714729008205977E-3</v>
      </c>
      <c r="F2685">
        <f t="shared" si="88"/>
        <v>-1.4997282389682658E-2</v>
      </c>
      <c r="G2685">
        <f t="shared" si="89"/>
        <v>-2.4105828205190322E-2</v>
      </c>
    </row>
    <row r="2686" spans="1:7" x14ac:dyDescent="0.35">
      <c r="A2686" t="s">
        <v>144</v>
      </c>
      <c r="E2686">
        <v>-6.9060700980565076E-3</v>
      </c>
      <c r="F2686">
        <f t="shared" si="88"/>
        <v>-1.5006425853538312E-2</v>
      </c>
      <c r="G2686">
        <f t="shared" si="89"/>
        <v>-2.4105828205190322E-2</v>
      </c>
    </row>
    <row r="2687" spans="1:7" x14ac:dyDescent="0.35">
      <c r="A2687" t="s">
        <v>144</v>
      </c>
      <c r="E2687">
        <v>-2.717714849408177E-3</v>
      </c>
      <c r="F2687">
        <f t="shared" si="88"/>
        <v>-1.5015569317393965E-2</v>
      </c>
      <c r="G2687">
        <f t="shared" si="89"/>
        <v>-2.4105828205190322E-2</v>
      </c>
    </row>
    <row r="2688" spans="1:7" x14ac:dyDescent="0.35">
      <c r="A2688" t="s">
        <v>144</v>
      </c>
      <c r="E2688">
        <v>-2.0070124065055008E-2</v>
      </c>
      <c r="F2688">
        <f t="shared" si="88"/>
        <v>-1.502471278124962E-2</v>
      </c>
      <c r="G2688">
        <f t="shared" si="89"/>
        <v>-2.4105828205190322E-2</v>
      </c>
    </row>
    <row r="2689" spans="1:7" x14ac:dyDescent="0.35">
      <c r="A2689" t="s">
        <v>144</v>
      </c>
      <c r="E2689">
        <v>1.3092051207916599E-2</v>
      </c>
      <c r="F2689">
        <f t="shared" si="88"/>
        <v>-1.4913247687547539E-2</v>
      </c>
      <c r="G2689">
        <f t="shared" si="89"/>
        <v>-2.4014425366000128E-2</v>
      </c>
    </row>
    <row r="2690" spans="1:7" x14ac:dyDescent="0.35">
      <c r="A2690" t="s">
        <v>144</v>
      </c>
      <c r="E2690">
        <v>-6.8019863466736467E-3</v>
      </c>
      <c r="F2690">
        <f t="shared" si="88"/>
        <v>-1.4916731085989071E-2</v>
      </c>
      <c r="G2690">
        <f t="shared" si="89"/>
        <v>-2.4014425366000128E-2</v>
      </c>
    </row>
    <row r="2691" spans="1:7" x14ac:dyDescent="0.35">
      <c r="A2691" t="s">
        <v>144</v>
      </c>
      <c r="E2691">
        <v>-6.2763081292418026E-3</v>
      </c>
      <c r="F2691">
        <f t="shared" si="88"/>
        <v>-1.4920214484430603E-2</v>
      </c>
      <c r="G2691">
        <f t="shared" si="89"/>
        <v>-2.4014425366000128E-2</v>
      </c>
    </row>
    <row r="2692" spans="1:7" x14ac:dyDescent="0.35">
      <c r="A2692" t="s">
        <v>144</v>
      </c>
      <c r="E2692">
        <v>-6.661033768552072E-3</v>
      </c>
      <c r="F2692">
        <f t="shared" ref="F2692:F2755" si="90">_xlfn.PERCENTILE.EXC(E2692:E6507,0.05)</f>
        <v>-1.4923697882872134E-2</v>
      </c>
      <c r="G2692">
        <f t="shared" ref="G2692:G2755" si="91">AVERAGEIFS(E2692:E6508,E2692:E6508,"&lt;=" &amp; F2692)</f>
        <v>-2.4014425366000128E-2</v>
      </c>
    </row>
    <row r="2693" spans="1:7" x14ac:dyDescent="0.35">
      <c r="A2693" t="s">
        <v>144</v>
      </c>
      <c r="E2693">
        <v>1.3245876799303879E-3</v>
      </c>
      <c r="F2693">
        <f t="shared" si="90"/>
        <v>-1.4927181281313666E-2</v>
      </c>
      <c r="G2693">
        <f t="shared" si="91"/>
        <v>-2.4014425366000128E-2</v>
      </c>
    </row>
    <row r="2694" spans="1:7" x14ac:dyDescent="0.35">
      <c r="A2694" t="s">
        <v>144</v>
      </c>
      <c r="E2694">
        <v>6.1429280220415671E-3</v>
      </c>
      <c r="F2694">
        <f t="shared" si="90"/>
        <v>-1.4930664679755198E-2</v>
      </c>
      <c r="G2694">
        <f t="shared" si="91"/>
        <v>-2.4014425366000128E-2</v>
      </c>
    </row>
    <row r="2695" spans="1:7" x14ac:dyDescent="0.35">
      <c r="A2695" t="s">
        <v>144</v>
      </c>
      <c r="E2695">
        <v>-1.0126418288531629E-2</v>
      </c>
      <c r="F2695">
        <f t="shared" si="90"/>
        <v>-1.4934148078196732E-2</v>
      </c>
      <c r="G2695">
        <f t="shared" si="91"/>
        <v>-2.4014425366000128E-2</v>
      </c>
    </row>
    <row r="2696" spans="1:7" x14ac:dyDescent="0.35">
      <c r="A2696" t="s">
        <v>144</v>
      </c>
      <c r="E2696">
        <v>-8.4816458046397883E-3</v>
      </c>
      <c r="F2696">
        <f t="shared" si="90"/>
        <v>-1.4937631476638262E-2</v>
      </c>
      <c r="G2696">
        <f t="shared" si="91"/>
        <v>-2.4014425366000128E-2</v>
      </c>
    </row>
    <row r="2697" spans="1:7" x14ac:dyDescent="0.35">
      <c r="A2697" t="s">
        <v>144</v>
      </c>
      <c r="E2697">
        <v>-2.5328284133880153E-2</v>
      </c>
      <c r="F2697">
        <f t="shared" si="90"/>
        <v>-1.4941114875079793E-2</v>
      </c>
      <c r="G2697">
        <f t="shared" si="91"/>
        <v>-2.4014425366000128E-2</v>
      </c>
    </row>
    <row r="2698" spans="1:7" x14ac:dyDescent="0.35">
      <c r="A2698" t="s">
        <v>144</v>
      </c>
      <c r="E2698">
        <v>1.2700961651409336E-3</v>
      </c>
      <c r="F2698">
        <f t="shared" si="90"/>
        <v>-1.4879140930739948E-2</v>
      </c>
      <c r="G2698">
        <f t="shared" si="91"/>
        <v>-2.3827882740423228E-2</v>
      </c>
    </row>
    <row r="2699" spans="1:7" x14ac:dyDescent="0.35">
      <c r="A2699" t="s">
        <v>144</v>
      </c>
      <c r="E2699">
        <v>3.0124462528334089E-3</v>
      </c>
      <c r="F2699">
        <f t="shared" si="90"/>
        <v>-1.4880519016156848E-2</v>
      </c>
      <c r="G2699">
        <f t="shared" si="91"/>
        <v>-2.3827882740423228E-2</v>
      </c>
    </row>
    <row r="2700" spans="1:7" x14ac:dyDescent="0.35">
      <c r="A2700" t="s">
        <v>145</v>
      </c>
      <c r="B2700" s="3" cm="1">
        <f t="array" ref="B2700">_xlfn.STDEV.S(_xlfn._xlws.FILTER($E$2013:$E$3011, $A$2013:$A$3011="2020-11"))</f>
        <v>1.5650264589855384E-2</v>
      </c>
      <c r="C2700" s="3" cm="1">
        <f t="array" ref="C2700">AVERAGE(_xlfn._xlws.FILTER($E$2013:$E$3011, $A$2013:$A$3011="2020-11"))</f>
        <v>5.7918652121847387E-3</v>
      </c>
      <c r="D2700" s="3" cm="1">
        <f t="array" ref="D2700">_xlfn.PERCENTILE.EXC(_xlfn._xlws.FILTER($E$2490:$E$3818, $A$2490:$A$3818="2020-11"), 0.05)</f>
        <v>-1.5360717420003309E-2</v>
      </c>
      <c r="E2700">
        <v>1.2519182354599107E-2</v>
      </c>
      <c r="F2700">
        <f t="shared" si="90"/>
        <v>-1.4881897101573751E-2</v>
      </c>
      <c r="G2700">
        <f t="shared" si="91"/>
        <v>-2.3827882740423228E-2</v>
      </c>
    </row>
    <row r="2701" spans="1:7" x14ac:dyDescent="0.35">
      <c r="A2701" t="s">
        <v>145</v>
      </c>
      <c r="E2701">
        <v>2.6495685624933207E-2</v>
      </c>
      <c r="F2701">
        <f t="shared" si="90"/>
        <v>-1.4885380500015283E-2</v>
      </c>
      <c r="G2701">
        <f t="shared" si="91"/>
        <v>-2.3990537024765949E-2</v>
      </c>
    </row>
    <row r="2702" spans="1:7" x14ac:dyDescent="0.35">
      <c r="A2702" t="s">
        <v>145</v>
      </c>
      <c r="E2702">
        <v>1.2730179003718652E-2</v>
      </c>
      <c r="F2702">
        <f t="shared" si="90"/>
        <v>-1.4888863898456815E-2</v>
      </c>
      <c r="G2702">
        <f t="shared" si="91"/>
        <v>-2.3990537024765949E-2</v>
      </c>
    </row>
    <row r="2703" spans="1:7" x14ac:dyDescent="0.35">
      <c r="A2703" t="s">
        <v>145</v>
      </c>
      <c r="E2703">
        <v>4.2982336094192124E-3</v>
      </c>
      <c r="F2703">
        <f t="shared" si="90"/>
        <v>-1.4892347296898346E-2</v>
      </c>
      <c r="G2703">
        <f t="shared" si="91"/>
        <v>-2.3990537024765949E-2</v>
      </c>
    </row>
    <row r="2704" spans="1:7" x14ac:dyDescent="0.35">
      <c r="A2704" t="s">
        <v>145</v>
      </c>
      <c r="E2704">
        <v>-1.823129410123181E-3</v>
      </c>
      <c r="F2704">
        <f t="shared" si="90"/>
        <v>-1.4895830695339878E-2</v>
      </c>
      <c r="G2704">
        <f t="shared" si="91"/>
        <v>-2.3990537024765949E-2</v>
      </c>
    </row>
    <row r="2705" spans="1:7" x14ac:dyDescent="0.35">
      <c r="A2705" t="s">
        <v>145</v>
      </c>
      <c r="E2705">
        <v>4.9929636294126167E-2</v>
      </c>
      <c r="F2705">
        <f t="shared" si="90"/>
        <v>-1.489931409378141E-2</v>
      </c>
      <c r="G2705">
        <f t="shared" si="91"/>
        <v>-2.3990537024765949E-2</v>
      </c>
    </row>
    <row r="2706" spans="1:7" x14ac:dyDescent="0.35">
      <c r="A2706" t="s">
        <v>145</v>
      </c>
      <c r="E2706">
        <v>2.4908174501808222E-2</v>
      </c>
      <c r="F2706">
        <f t="shared" si="90"/>
        <v>-1.4902797492222942E-2</v>
      </c>
      <c r="G2706">
        <f t="shared" si="91"/>
        <v>-2.3990537024765949E-2</v>
      </c>
    </row>
    <row r="2707" spans="1:7" x14ac:dyDescent="0.35">
      <c r="A2707" t="s">
        <v>145</v>
      </c>
      <c r="E2707">
        <v>1.4784320295627942E-2</v>
      </c>
      <c r="F2707">
        <f t="shared" si="90"/>
        <v>-1.4906280890664474E-2</v>
      </c>
      <c r="G2707">
        <f t="shared" si="91"/>
        <v>-2.3990537024765949E-2</v>
      </c>
    </row>
    <row r="2708" spans="1:7" x14ac:dyDescent="0.35">
      <c r="A2708" t="s">
        <v>145</v>
      </c>
      <c r="E2708">
        <v>-1.5611865751471426E-2</v>
      </c>
      <c r="F2708">
        <f t="shared" si="90"/>
        <v>-1.4909764289106007E-2</v>
      </c>
      <c r="G2708">
        <f t="shared" si="91"/>
        <v>-2.3990537024765949E-2</v>
      </c>
    </row>
    <row r="2709" spans="1:7" x14ac:dyDescent="0.35">
      <c r="A2709" t="s">
        <v>145</v>
      </c>
      <c r="E2709">
        <v>-2.9021966538765717E-4</v>
      </c>
      <c r="F2709">
        <f t="shared" si="90"/>
        <v>-1.486673816198783E-2</v>
      </c>
      <c r="G2709">
        <f t="shared" si="91"/>
        <v>-2.3977264867495081E-2</v>
      </c>
    </row>
    <row r="2710" spans="1:7" x14ac:dyDescent="0.35">
      <c r="A2710" t="s">
        <v>145</v>
      </c>
      <c r="E2710">
        <v>1.5801358727171064E-2</v>
      </c>
      <c r="F2710">
        <f t="shared" si="90"/>
        <v>-1.4868116247404733E-2</v>
      </c>
      <c r="G2710">
        <f t="shared" si="91"/>
        <v>-2.3977264867495081E-2</v>
      </c>
    </row>
    <row r="2711" spans="1:7" x14ac:dyDescent="0.35">
      <c r="A2711" t="s">
        <v>145</v>
      </c>
      <c r="E2711">
        <v>-7.120668229554648E-3</v>
      </c>
      <c r="F2711">
        <f t="shared" si="90"/>
        <v>-1.4869494332821635E-2</v>
      </c>
      <c r="G2711">
        <f t="shared" si="91"/>
        <v>-2.3977264867495081E-2</v>
      </c>
    </row>
    <row r="2712" spans="1:7" x14ac:dyDescent="0.35">
      <c r="A2712" t="s">
        <v>145</v>
      </c>
      <c r="E2712">
        <v>6.076132720467039E-3</v>
      </c>
      <c r="F2712">
        <f t="shared" si="90"/>
        <v>-1.4870872418238536E-2</v>
      </c>
      <c r="G2712">
        <f t="shared" si="91"/>
        <v>-2.3977264867495081E-2</v>
      </c>
    </row>
    <row r="2713" spans="1:7" x14ac:dyDescent="0.35">
      <c r="A2713" t="s">
        <v>145</v>
      </c>
      <c r="E2713">
        <v>-9.9741576426988394E-3</v>
      </c>
      <c r="F2713">
        <f t="shared" si="90"/>
        <v>-1.4872250503655439E-2</v>
      </c>
      <c r="G2713">
        <f t="shared" si="91"/>
        <v>-2.3977264867495081E-2</v>
      </c>
    </row>
    <row r="2714" spans="1:7" x14ac:dyDescent="0.35">
      <c r="A2714" t="s">
        <v>145</v>
      </c>
      <c r="E2714">
        <v>5.1889652743122216E-3</v>
      </c>
      <c r="F2714">
        <f t="shared" si="90"/>
        <v>-1.4873628589072339E-2</v>
      </c>
      <c r="G2714">
        <f t="shared" si="91"/>
        <v>-2.3977264867495081E-2</v>
      </c>
    </row>
    <row r="2715" spans="1:7" x14ac:dyDescent="0.35">
      <c r="A2715" t="s">
        <v>145</v>
      </c>
      <c r="E2715">
        <v>8.7818538269012522E-4</v>
      </c>
      <c r="F2715">
        <f t="shared" si="90"/>
        <v>-1.4875006674489242E-2</v>
      </c>
      <c r="G2715">
        <f t="shared" si="91"/>
        <v>-2.3977264867495081E-2</v>
      </c>
    </row>
    <row r="2716" spans="1:7" x14ac:dyDescent="0.35">
      <c r="A2716" t="s">
        <v>145</v>
      </c>
      <c r="E2716">
        <v>1.5032463170619638E-2</v>
      </c>
      <c r="F2716">
        <f t="shared" si="90"/>
        <v>-1.4876384759906144E-2</v>
      </c>
      <c r="G2716">
        <f t="shared" si="91"/>
        <v>-2.3977264867495081E-2</v>
      </c>
    </row>
    <row r="2717" spans="1:7" x14ac:dyDescent="0.35">
      <c r="A2717" t="s">
        <v>145</v>
      </c>
      <c r="E2717">
        <v>-7.1783612097254743E-3</v>
      </c>
      <c r="F2717">
        <f t="shared" si="90"/>
        <v>-1.4877762845323045E-2</v>
      </c>
      <c r="G2717">
        <f t="shared" si="91"/>
        <v>-2.3977264867495081E-2</v>
      </c>
    </row>
    <row r="2718" spans="1:7" x14ac:dyDescent="0.35">
      <c r="A2718" t="s">
        <v>145</v>
      </c>
      <c r="E2718">
        <v>-6.1839008494564375E-3</v>
      </c>
      <c r="F2718">
        <f t="shared" si="90"/>
        <v>-1.4879140930739948E-2</v>
      </c>
      <c r="G2718">
        <f t="shared" si="91"/>
        <v>-2.3977264867495081E-2</v>
      </c>
    </row>
    <row r="2719" spans="1:7" x14ac:dyDescent="0.35">
      <c r="A2719" t="s">
        <v>145</v>
      </c>
      <c r="E2719">
        <v>-5.7306623084051357E-3</v>
      </c>
      <c r="F2719">
        <f t="shared" si="90"/>
        <v>-1.4880519016156848E-2</v>
      </c>
      <c r="G2719">
        <f t="shared" si="91"/>
        <v>-2.3977264867495081E-2</v>
      </c>
    </row>
    <row r="2720" spans="1:7" x14ac:dyDescent="0.35">
      <c r="A2720" t="s">
        <v>145</v>
      </c>
      <c r="E2720">
        <v>-1.3100382436790264E-2</v>
      </c>
      <c r="F2720">
        <f t="shared" si="90"/>
        <v>-1.4881897101573751E-2</v>
      </c>
      <c r="G2720">
        <f t="shared" si="91"/>
        <v>-2.3977264867495081E-2</v>
      </c>
    </row>
    <row r="2721" spans="1:7" x14ac:dyDescent="0.35">
      <c r="A2721" t="s">
        <v>146</v>
      </c>
      <c r="B2721" s="3" cm="1">
        <f t="array" ref="B2721">_xlfn.STDEV.S(_xlfn._xlws.FILTER($E$2013:$E$3011, $A$2013:$A$3011="2020-12"))</f>
        <v>1.1029070689157731E-2</v>
      </c>
      <c r="C2721" s="3" cm="1">
        <f t="array" ref="C2721">AVERAGE(_xlfn._xlws.FILTER($E$2013:$E$3011, $A$2013:$A$3011="2020-12"))</f>
        <v>1.8842773110562001E-3</v>
      </c>
      <c r="D2721" s="3" cm="1">
        <f t="array" ref="D2721">_xlfn.PERCENTILE.EXC(_xlfn._xlws.FILTER($E$2490:$E$3818, $A$2490:$A$3818="2020-12"), 0.05)</f>
        <v>-2.8522370980979629E-2</v>
      </c>
      <c r="E2721">
        <v>1.6087535974333784E-2</v>
      </c>
      <c r="F2721">
        <f t="shared" si="90"/>
        <v>-1.4885380500015283E-2</v>
      </c>
      <c r="G2721">
        <f t="shared" si="91"/>
        <v>-2.4145697603901034E-2</v>
      </c>
    </row>
    <row r="2722" spans="1:7" x14ac:dyDescent="0.35">
      <c r="A2722" t="s">
        <v>146</v>
      </c>
      <c r="E2722">
        <v>3.2621828344129374E-3</v>
      </c>
      <c r="F2722">
        <f t="shared" si="90"/>
        <v>-1.4888863898456815E-2</v>
      </c>
      <c r="G2722">
        <f t="shared" si="91"/>
        <v>-2.4145697603901034E-2</v>
      </c>
    </row>
    <row r="2723" spans="1:7" x14ac:dyDescent="0.35">
      <c r="A2723" t="s">
        <v>146</v>
      </c>
      <c r="E2723">
        <v>9.7629842289711291E-3</v>
      </c>
      <c r="F2723">
        <f t="shared" si="90"/>
        <v>-1.4892347296898346E-2</v>
      </c>
      <c r="G2723">
        <f t="shared" si="91"/>
        <v>-2.4145697603901034E-2</v>
      </c>
    </row>
    <row r="2724" spans="1:7" x14ac:dyDescent="0.35">
      <c r="A2724" t="s">
        <v>146</v>
      </c>
      <c r="E2724">
        <v>8.3962798932154508E-3</v>
      </c>
      <c r="F2724">
        <f t="shared" si="90"/>
        <v>-1.4895830695339878E-2</v>
      </c>
      <c r="G2724">
        <f t="shared" si="91"/>
        <v>-2.4145697603901034E-2</v>
      </c>
    </row>
    <row r="2725" spans="1:7" x14ac:dyDescent="0.35">
      <c r="A2725" t="s">
        <v>146</v>
      </c>
      <c r="E2725">
        <v>-6.4295017777775887E-3</v>
      </c>
      <c r="F2725">
        <f t="shared" si="90"/>
        <v>-1.489931409378141E-2</v>
      </c>
      <c r="G2725">
        <f t="shared" si="91"/>
        <v>-2.4145697603901034E-2</v>
      </c>
    </row>
    <row r="2726" spans="1:7" x14ac:dyDescent="0.35">
      <c r="A2726" t="s">
        <v>146</v>
      </c>
      <c r="E2726">
        <v>1.8580877241782734E-3</v>
      </c>
      <c r="F2726">
        <f t="shared" si="90"/>
        <v>-1.4902797492222942E-2</v>
      </c>
      <c r="G2726">
        <f t="shared" si="91"/>
        <v>-2.4145697603901034E-2</v>
      </c>
    </row>
    <row r="2727" spans="1:7" x14ac:dyDescent="0.35">
      <c r="A2727" t="s">
        <v>146</v>
      </c>
      <c r="E2727">
        <v>5.0626017269172641E-3</v>
      </c>
      <c r="F2727">
        <f t="shared" si="90"/>
        <v>-1.4906280890664474E-2</v>
      </c>
      <c r="G2727">
        <f t="shared" si="91"/>
        <v>-2.4145697603901034E-2</v>
      </c>
    </row>
    <row r="2728" spans="1:7" x14ac:dyDescent="0.35">
      <c r="A2728" t="s">
        <v>146</v>
      </c>
      <c r="E2728">
        <v>-3.151876333788758E-3</v>
      </c>
      <c r="F2728">
        <f t="shared" si="90"/>
        <v>-1.4909764289106007E-2</v>
      </c>
      <c r="G2728">
        <f t="shared" si="91"/>
        <v>-2.4145697603901034E-2</v>
      </c>
    </row>
    <row r="2729" spans="1:7" x14ac:dyDescent="0.35">
      <c r="A2729" t="s">
        <v>146</v>
      </c>
      <c r="E2729">
        <v>-1.4148029771416812E-2</v>
      </c>
      <c r="F2729">
        <f t="shared" si="90"/>
        <v>-1.4913247687547539E-2</v>
      </c>
      <c r="G2729">
        <f t="shared" si="91"/>
        <v>-2.4145697603901034E-2</v>
      </c>
    </row>
    <row r="2730" spans="1:7" x14ac:dyDescent="0.35">
      <c r="A2730" t="s">
        <v>146</v>
      </c>
      <c r="E2730">
        <v>2.5480107026066784E-3</v>
      </c>
      <c r="F2730">
        <f t="shared" si="90"/>
        <v>-1.4916731085989071E-2</v>
      </c>
      <c r="G2730">
        <f t="shared" si="91"/>
        <v>-2.4145697603901034E-2</v>
      </c>
    </row>
    <row r="2731" spans="1:7" x14ac:dyDescent="0.35">
      <c r="A2731" t="s">
        <v>146</v>
      </c>
      <c r="E2731">
        <v>4.0142930064483431E-3</v>
      </c>
      <c r="F2731">
        <f t="shared" si="90"/>
        <v>-1.4920214484430603E-2</v>
      </c>
      <c r="G2731">
        <f t="shared" si="91"/>
        <v>-2.4145697603901034E-2</v>
      </c>
    </row>
    <row r="2732" spans="1:7" x14ac:dyDescent="0.35">
      <c r="A2732" t="s">
        <v>146</v>
      </c>
      <c r="E2732">
        <v>1.1193612543895193E-2</v>
      </c>
      <c r="F2732">
        <f t="shared" si="90"/>
        <v>-1.4923697882872134E-2</v>
      </c>
      <c r="G2732">
        <f t="shared" si="91"/>
        <v>-2.4145697603901034E-2</v>
      </c>
    </row>
    <row r="2733" spans="1:7" x14ac:dyDescent="0.35">
      <c r="A2733" t="s">
        <v>146</v>
      </c>
      <c r="E2733">
        <v>-3.5703058762090667E-4</v>
      </c>
      <c r="F2733">
        <f t="shared" si="90"/>
        <v>-1.4927181281313666E-2</v>
      </c>
      <c r="G2733">
        <f t="shared" si="91"/>
        <v>-2.4145697603901034E-2</v>
      </c>
    </row>
    <row r="2734" spans="1:7" x14ac:dyDescent="0.35">
      <c r="A2734" t="s">
        <v>146</v>
      </c>
      <c r="E2734">
        <v>-8.9175112610871375E-3</v>
      </c>
      <c r="F2734">
        <f t="shared" si="90"/>
        <v>-1.4930664679755198E-2</v>
      </c>
      <c r="G2734">
        <f t="shared" si="91"/>
        <v>-2.4145697603901034E-2</v>
      </c>
    </row>
    <row r="2735" spans="1:7" x14ac:dyDescent="0.35">
      <c r="A2735" t="s">
        <v>146</v>
      </c>
      <c r="E2735">
        <v>-2.8522370980979629E-2</v>
      </c>
      <c r="F2735">
        <f t="shared" si="90"/>
        <v>-1.4934148078196732E-2</v>
      </c>
      <c r="G2735">
        <f t="shared" si="91"/>
        <v>-2.4145697603901034E-2</v>
      </c>
    </row>
    <row r="2736" spans="1:7" x14ac:dyDescent="0.35">
      <c r="A2736" t="s">
        <v>146</v>
      </c>
      <c r="E2736">
        <v>1.0722945223292911E-2</v>
      </c>
      <c r="F2736">
        <f t="shared" si="90"/>
        <v>-1.4876384759906144E-2</v>
      </c>
      <c r="G2736">
        <f t="shared" si="91"/>
        <v>-2.3893096235763883E-2</v>
      </c>
    </row>
    <row r="2737" spans="1:7" x14ac:dyDescent="0.35">
      <c r="A2737" t="s">
        <v>146</v>
      </c>
      <c r="E2737">
        <v>1.4982083853291655E-2</v>
      </c>
      <c r="F2737">
        <f t="shared" si="90"/>
        <v>-1.4877762845323045E-2</v>
      </c>
      <c r="G2737">
        <f t="shared" si="91"/>
        <v>-2.3893096235763883E-2</v>
      </c>
    </row>
    <row r="2738" spans="1:7" x14ac:dyDescent="0.35">
      <c r="A2738" t="s">
        <v>146</v>
      </c>
      <c r="E2738">
        <v>1.2339152015960595E-2</v>
      </c>
      <c r="F2738">
        <f t="shared" si="90"/>
        <v>-1.4879140930739948E-2</v>
      </c>
      <c r="G2738">
        <f t="shared" si="91"/>
        <v>-2.3893096235763883E-2</v>
      </c>
    </row>
    <row r="2739" spans="1:7" x14ac:dyDescent="0.35">
      <c r="A2739" t="s">
        <v>146</v>
      </c>
      <c r="E2739">
        <v>-2.9021801047855703E-3</v>
      </c>
      <c r="F2739">
        <f t="shared" si="90"/>
        <v>-1.4880519016156848E-2</v>
      </c>
      <c r="G2739">
        <f t="shared" si="91"/>
        <v>-2.3893096235763883E-2</v>
      </c>
    </row>
    <row r="2740" spans="1:7" x14ac:dyDescent="0.35">
      <c r="A2740" t="s">
        <v>147</v>
      </c>
      <c r="B2740" s="3" cm="1">
        <f t="array" ref="B2740">_xlfn.STDEV.S(_xlfn._xlws.FILTER($E$2013:$E$3011, $A$2013:$A$3011="2021-01"))</f>
        <v>1.0903036411220536E-2</v>
      </c>
      <c r="C2740" s="3" cm="1">
        <f t="array" ref="C2740">AVERAGE(_xlfn._xlws.FILTER($E$2013:$E$3011, $A$2013:$A$3011="2021-01"))</f>
        <v>-1.0974358261993545E-4</v>
      </c>
      <c r="D2740" s="3" cm="1">
        <f t="array" ref="D2740">_xlfn.PERCENTILE.EXC(_xlfn._xlws.FILTER($E$2490:$E$3818, $A$2490:$A$3818="2021-01"), 0.05)</f>
        <v>-1.9933954989483884E-2</v>
      </c>
      <c r="E2740">
        <v>2.9508872898451758E-3</v>
      </c>
      <c r="F2740">
        <f t="shared" si="90"/>
        <v>-1.4881897101573751E-2</v>
      </c>
      <c r="G2740">
        <f t="shared" si="91"/>
        <v>-2.3893096235763883E-2</v>
      </c>
    </row>
    <row r="2741" spans="1:7" x14ac:dyDescent="0.35">
      <c r="A2741" t="s">
        <v>147</v>
      </c>
      <c r="E2741">
        <v>7.2222518103906962E-3</v>
      </c>
      <c r="F2741">
        <f t="shared" si="90"/>
        <v>-1.4885380500015283E-2</v>
      </c>
      <c r="G2741">
        <f t="shared" si="91"/>
        <v>-2.4063118860937285E-2</v>
      </c>
    </row>
    <row r="2742" spans="1:7" x14ac:dyDescent="0.35">
      <c r="A2742" t="s">
        <v>147</v>
      </c>
      <c r="E2742">
        <v>3.2160987373262145E-2</v>
      </c>
      <c r="F2742">
        <f t="shared" si="90"/>
        <v>-1.4888863898456815E-2</v>
      </c>
      <c r="G2742">
        <f t="shared" si="91"/>
        <v>-2.4063118860937285E-2</v>
      </c>
    </row>
    <row r="2743" spans="1:7" x14ac:dyDescent="0.35">
      <c r="A2743" t="s">
        <v>147</v>
      </c>
      <c r="E2743">
        <v>6.9288445527676676E-4</v>
      </c>
      <c r="F2743">
        <f t="shared" si="90"/>
        <v>-1.4892347296898346E-2</v>
      </c>
      <c r="G2743">
        <f t="shared" si="91"/>
        <v>-2.4063118860937285E-2</v>
      </c>
    </row>
    <row r="2744" spans="1:7" x14ac:dyDescent="0.35">
      <c r="A2744" t="s">
        <v>147</v>
      </c>
      <c r="E2744">
        <v>7.7545405292458918E-3</v>
      </c>
      <c r="F2744">
        <f t="shared" si="90"/>
        <v>-1.4895830695339878E-2</v>
      </c>
      <c r="G2744">
        <f t="shared" si="91"/>
        <v>-2.4063118860937285E-2</v>
      </c>
    </row>
    <row r="2745" spans="1:7" x14ac:dyDescent="0.35">
      <c r="A2745" t="s">
        <v>147</v>
      </c>
      <c r="E2745">
        <v>-9.8410146132608331E-3</v>
      </c>
      <c r="F2745">
        <f t="shared" si="90"/>
        <v>-1.489931409378141E-2</v>
      </c>
      <c r="G2745">
        <f t="shared" si="91"/>
        <v>-2.4063118860937285E-2</v>
      </c>
    </row>
    <row r="2746" spans="1:7" x14ac:dyDescent="0.35">
      <c r="A2746" t="s">
        <v>147</v>
      </c>
      <c r="E2746">
        <v>1.4034334450953355E-5</v>
      </c>
      <c r="F2746">
        <f t="shared" si="90"/>
        <v>-1.4902797492222942E-2</v>
      </c>
      <c r="G2746">
        <f t="shared" si="91"/>
        <v>-2.4063118860937285E-2</v>
      </c>
    </row>
    <row r="2747" spans="1:7" x14ac:dyDescent="0.35">
      <c r="A2747" t="s">
        <v>147</v>
      </c>
      <c r="E2747">
        <v>7.2277378781492626E-4</v>
      </c>
      <c r="F2747">
        <f t="shared" si="90"/>
        <v>-1.4906280890664474E-2</v>
      </c>
      <c r="G2747">
        <f t="shared" si="91"/>
        <v>-2.4063118860937285E-2</v>
      </c>
    </row>
    <row r="2748" spans="1:7" x14ac:dyDescent="0.35">
      <c r="A2748" t="s">
        <v>147</v>
      </c>
      <c r="E2748">
        <v>1.1835964793465712E-2</v>
      </c>
      <c r="F2748">
        <f t="shared" si="90"/>
        <v>-1.4909764289106007E-2</v>
      </c>
      <c r="G2748">
        <f t="shared" si="91"/>
        <v>-2.4063118860937285E-2</v>
      </c>
    </row>
    <row r="2749" spans="1:7" x14ac:dyDescent="0.35">
      <c r="A2749" t="s">
        <v>147</v>
      </c>
      <c r="E2749">
        <v>-9.9335869520554409E-3</v>
      </c>
      <c r="F2749">
        <f t="shared" si="90"/>
        <v>-1.4913247687547539E-2</v>
      </c>
      <c r="G2749">
        <f t="shared" si="91"/>
        <v>-2.4063118860937285E-2</v>
      </c>
    </row>
    <row r="2750" spans="1:7" x14ac:dyDescent="0.35">
      <c r="A2750" t="s">
        <v>147</v>
      </c>
      <c r="E2750">
        <v>-2.505200308540686E-3</v>
      </c>
      <c r="F2750">
        <f t="shared" si="90"/>
        <v>-1.4916731085989071E-2</v>
      </c>
      <c r="G2750">
        <f t="shared" si="91"/>
        <v>-2.4063118860937285E-2</v>
      </c>
    </row>
    <row r="2751" spans="1:7" x14ac:dyDescent="0.35">
      <c r="A2751" t="s">
        <v>147</v>
      </c>
      <c r="E2751">
        <v>-1.7140825780749924E-3</v>
      </c>
      <c r="F2751">
        <f t="shared" si="90"/>
        <v>-1.4920214484430603E-2</v>
      </c>
      <c r="G2751">
        <f t="shared" si="91"/>
        <v>-2.4063118860937285E-2</v>
      </c>
    </row>
    <row r="2752" spans="1:7" x14ac:dyDescent="0.35">
      <c r="A2752" t="s">
        <v>147</v>
      </c>
      <c r="E2752">
        <v>6.481906444267169E-3</v>
      </c>
      <c r="F2752">
        <f t="shared" si="90"/>
        <v>-1.4923697882872134E-2</v>
      </c>
      <c r="G2752">
        <f t="shared" si="91"/>
        <v>-2.4063118860937285E-2</v>
      </c>
    </row>
    <row r="2753" spans="1:7" x14ac:dyDescent="0.35">
      <c r="A2753" t="s">
        <v>147</v>
      </c>
      <c r="E2753">
        <v>-2.2022517603144933E-3</v>
      </c>
      <c r="F2753">
        <f t="shared" si="90"/>
        <v>-1.4927181281313666E-2</v>
      </c>
      <c r="G2753">
        <f t="shared" si="91"/>
        <v>-2.4063118860937285E-2</v>
      </c>
    </row>
    <row r="2754" spans="1:7" x14ac:dyDescent="0.35">
      <c r="A2754" t="s">
        <v>147</v>
      </c>
      <c r="E2754">
        <v>-6.77913028284773E-3</v>
      </c>
      <c r="F2754">
        <f t="shared" si="90"/>
        <v>-1.4930664679755198E-2</v>
      </c>
      <c r="G2754">
        <f t="shared" si="91"/>
        <v>-2.4063118860937285E-2</v>
      </c>
    </row>
    <row r="2755" spans="1:7" x14ac:dyDescent="0.35">
      <c r="A2755" t="s">
        <v>147</v>
      </c>
      <c r="E2755">
        <v>-7.2810314528715522E-3</v>
      </c>
      <c r="F2755">
        <f t="shared" si="90"/>
        <v>-1.4934148078196732E-2</v>
      </c>
      <c r="G2755">
        <f t="shared" si="91"/>
        <v>-2.4063118860937285E-2</v>
      </c>
    </row>
    <row r="2756" spans="1:7" x14ac:dyDescent="0.35">
      <c r="A2756" t="s">
        <v>147</v>
      </c>
      <c r="E2756">
        <v>5.8185759134137252E-3</v>
      </c>
      <c r="F2756">
        <f t="shared" ref="F2756:F2819" si="92">_xlfn.PERCENTILE.EXC(E2756:E6571,0.05)</f>
        <v>-1.4937631476638262E-2</v>
      </c>
      <c r="G2756">
        <f t="shared" ref="G2756:G2819" si="93">AVERAGEIFS(E2756:E6572,E2756:E6572,"&lt;=" &amp; F2756)</f>
        <v>-2.4063118860937285E-2</v>
      </c>
    </row>
    <row r="2757" spans="1:7" x14ac:dyDescent="0.35">
      <c r="A2757" t="s">
        <v>147</v>
      </c>
      <c r="E2757">
        <v>-1.1277634721230625E-2</v>
      </c>
      <c r="F2757">
        <f t="shared" si="92"/>
        <v>-1.4941114875079793E-2</v>
      </c>
      <c r="G2757">
        <f t="shared" si="93"/>
        <v>-2.4063118860937285E-2</v>
      </c>
    </row>
    <row r="2758" spans="1:7" x14ac:dyDescent="0.35">
      <c r="A2758" t="s">
        <v>147</v>
      </c>
      <c r="E2758">
        <v>-5.9261949215593628E-3</v>
      </c>
      <c r="F2758">
        <f t="shared" si="92"/>
        <v>-1.4944598273521327E-2</v>
      </c>
      <c r="G2758">
        <f t="shared" si="93"/>
        <v>-2.4063118860937285E-2</v>
      </c>
    </row>
    <row r="2759" spans="1:7" x14ac:dyDescent="0.35">
      <c r="A2759" t="s">
        <v>147</v>
      </c>
      <c r="E2759">
        <v>-2.038955079307616E-2</v>
      </c>
      <c r="F2759">
        <f t="shared" si="92"/>
        <v>-1.4948081671962859E-2</v>
      </c>
      <c r="G2759">
        <f t="shared" si="93"/>
        <v>-2.4063118860937285E-2</v>
      </c>
    </row>
    <row r="2760" spans="1:7" x14ac:dyDescent="0.35">
      <c r="A2760" t="s">
        <v>148</v>
      </c>
      <c r="B2760" s="3" cm="1">
        <f t="array" ref="B2760">_xlfn.STDEV.S(_xlfn._xlws.FILTER($E$2013:$E$3011, $A$2013:$A$3011="2021-02"))</f>
        <v>1.0287601578788519E-2</v>
      </c>
      <c r="C2760" s="3" cm="1">
        <f t="array" ref="C2760">AVERAGE(_xlfn._xlws.FILTER($E$2013:$E$3011, $A$2013:$A$3011="2021-02"))</f>
        <v>1.6684739872477373E-3</v>
      </c>
      <c r="D2760" s="3" cm="1">
        <f t="array" ref="D2760">_xlfn.PERCENTILE.EXC(_xlfn._xlws.FILTER($E$2490:$E$3818, $A$2490:$A$3818="2021-02"), 0.05)</f>
        <v>-2.2588486204297608E-2</v>
      </c>
      <c r="E2760">
        <v>1.2092028815676149E-2</v>
      </c>
      <c r="F2760">
        <f t="shared" si="92"/>
        <v>-1.4881897101573751E-2</v>
      </c>
      <c r="G2760">
        <f t="shared" si="93"/>
        <v>-2.3959200866757995E-2</v>
      </c>
    </row>
    <row r="2761" spans="1:7" x14ac:dyDescent="0.35">
      <c r="A2761" t="s">
        <v>148</v>
      </c>
      <c r="E2761">
        <v>9.8493573858397156E-3</v>
      </c>
      <c r="F2761">
        <f t="shared" si="92"/>
        <v>-1.4885380500015283E-2</v>
      </c>
      <c r="G2761">
        <f t="shared" si="93"/>
        <v>-2.4133764400703847E-2</v>
      </c>
    </row>
    <row r="2762" spans="1:7" x14ac:dyDescent="0.35">
      <c r="A2762" t="s">
        <v>148</v>
      </c>
      <c r="E2762">
        <v>-1.2155866661622719E-3</v>
      </c>
      <c r="F2762">
        <f t="shared" si="92"/>
        <v>-1.4888863898456815E-2</v>
      </c>
      <c r="G2762">
        <f t="shared" si="93"/>
        <v>-2.4133764400703847E-2</v>
      </c>
    </row>
    <row r="2763" spans="1:7" x14ac:dyDescent="0.35">
      <c r="A2763" t="s">
        <v>148</v>
      </c>
      <c r="E2763">
        <v>5.0189780493696068E-3</v>
      </c>
      <c r="F2763">
        <f t="shared" si="92"/>
        <v>-1.4892347296898346E-2</v>
      </c>
      <c r="G2763">
        <f t="shared" si="93"/>
        <v>-2.4133764400703847E-2</v>
      </c>
    </row>
    <row r="2764" spans="1:7" x14ac:dyDescent="0.35">
      <c r="A2764" t="s">
        <v>148</v>
      </c>
      <c r="E2764">
        <v>-3.3021455942394001E-3</v>
      </c>
      <c r="F2764">
        <f t="shared" si="92"/>
        <v>-1.4895830695339878E-2</v>
      </c>
      <c r="G2764">
        <f t="shared" si="93"/>
        <v>-2.4133764400703847E-2</v>
      </c>
    </row>
    <row r="2765" spans="1:7" x14ac:dyDescent="0.35">
      <c r="A2765" t="s">
        <v>148</v>
      </c>
      <c r="E2765">
        <v>5.1641395853601786E-3</v>
      </c>
      <c r="F2765">
        <f t="shared" si="92"/>
        <v>-1.489931409378141E-2</v>
      </c>
      <c r="G2765">
        <f t="shared" si="93"/>
        <v>-2.4133764400703847E-2</v>
      </c>
    </row>
    <row r="2766" spans="1:7" x14ac:dyDescent="0.35">
      <c r="A2766" t="s">
        <v>148</v>
      </c>
      <c r="E2766">
        <v>4.94064247272227E-4</v>
      </c>
      <c r="F2766">
        <f t="shared" si="92"/>
        <v>-1.4902797492222942E-2</v>
      </c>
      <c r="G2766">
        <f t="shared" si="93"/>
        <v>-2.4133764400703847E-2</v>
      </c>
    </row>
    <row r="2767" spans="1:7" x14ac:dyDescent="0.35">
      <c r="A2767" t="s">
        <v>148</v>
      </c>
      <c r="E2767">
        <v>8.0587091835245903E-5</v>
      </c>
      <c r="F2767">
        <f t="shared" si="92"/>
        <v>-1.4906280890664474E-2</v>
      </c>
      <c r="G2767">
        <f t="shared" si="93"/>
        <v>-2.4133764400703847E-2</v>
      </c>
    </row>
    <row r="2768" spans="1:7" x14ac:dyDescent="0.35">
      <c r="A2768" t="s">
        <v>148</v>
      </c>
      <c r="E2768">
        <v>-1.3895522173635109E-3</v>
      </c>
      <c r="F2768">
        <f t="shared" si="92"/>
        <v>-1.4909764289106007E-2</v>
      </c>
      <c r="G2768">
        <f t="shared" si="93"/>
        <v>-2.4133764400703847E-2</v>
      </c>
    </row>
    <row r="2769" spans="1:7" x14ac:dyDescent="0.35">
      <c r="A2769" t="s">
        <v>148</v>
      </c>
      <c r="E2769">
        <v>1.3109937968974623E-2</v>
      </c>
      <c r="F2769">
        <f t="shared" si="92"/>
        <v>-1.4913247687547539E-2</v>
      </c>
      <c r="G2769">
        <f t="shared" si="93"/>
        <v>-2.4133764400703847E-2</v>
      </c>
    </row>
    <row r="2770" spans="1:7" x14ac:dyDescent="0.35">
      <c r="A2770" t="s">
        <v>148</v>
      </c>
      <c r="E2770">
        <v>2.8083049359782505E-2</v>
      </c>
      <c r="F2770">
        <f t="shared" si="92"/>
        <v>-1.4916731085989071E-2</v>
      </c>
      <c r="G2770">
        <f t="shared" si="93"/>
        <v>-2.4133764400703847E-2</v>
      </c>
    </row>
    <row r="2771" spans="1:7" x14ac:dyDescent="0.35">
      <c r="A2771" t="s">
        <v>148</v>
      </c>
      <c r="E2771">
        <v>8.1338091776777264E-4</v>
      </c>
      <c r="F2771">
        <f t="shared" si="92"/>
        <v>-1.4920214484430603E-2</v>
      </c>
      <c r="G2771">
        <f t="shared" si="93"/>
        <v>-2.4133764400703847E-2</v>
      </c>
    </row>
    <row r="2772" spans="1:7" x14ac:dyDescent="0.35">
      <c r="A2772" t="s">
        <v>148</v>
      </c>
      <c r="E2772">
        <v>-4.4464925224953315E-3</v>
      </c>
      <c r="F2772">
        <f t="shared" si="92"/>
        <v>-1.4923697882872134E-2</v>
      </c>
      <c r="G2772">
        <f t="shared" si="93"/>
        <v>-2.4133764400703847E-2</v>
      </c>
    </row>
    <row r="2773" spans="1:7" x14ac:dyDescent="0.35">
      <c r="A2773" t="s">
        <v>148</v>
      </c>
      <c r="E2773">
        <v>-9.37117491081744E-3</v>
      </c>
      <c r="F2773">
        <f t="shared" si="92"/>
        <v>-1.4927181281313666E-2</v>
      </c>
      <c r="G2773">
        <f t="shared" si="93"/>
        <v>-2.4133764400703847E-2</v>
      </c>
    </row>
    <row r="2774" spans="1:7" x14ac:dyDescent="0.35">
      <c r="A2774" t="s">
        <v>148</v>
      </c>
      <c r="E2774">
        <v>1.5362917753579544E-3</v>
      </c>
      <c r="F2774">
        <f t="shared" si="92"/>
        <v>-1.4930664679755198E-2</v>
      </c>
      <c r="G2774">
        <f t="shared" si="93"/>
        <v>-2.4133764400703847E-2</v>
      </c>
    </row>
    <row r="2775" spans="1:7" x14ac:dyDescent="0.35">
      <c r="A2775" t="s">
        <v>148</v>
      </c>
      <c r="E2775">
        <v>-7.1001637387783998E-4</v>
      </c>
      <c r="F2775">
        <f t="shared" si="92"/>
        <v>-1.4934148078196732E-2</v>
      </c>
      <c r="G2775">
        <f t="shared" si="93"/>
        <v>-2.4133764400703847E-2</v>
      </c>
    </row>
    <row r="2776" spans="1:7" x14ac:dyDescent="0.35">
      <c r="A2776" t="s">
        <v>148</v>
      </c>
      <c r="E2776">
        <v>4.3427242828631219E-3</v>
      </c>
      <c r="F2776">
        <f t="shared" si="92"/>
        <v>-1.4937631476638262E-2</v>
      </c>
      <c r="G2776">
        <f t="shared" si="93"/>
        <v>-2.4133764400703847E-2</v>
      </c>
    </row>
    <row r="2777" spans="1:7" x14ac:dyDescent="0.35">
      <c r="A2777" t="s">
        <v>148</v>
      </c>
      <c r="E2777">
        <v>5.9404070104924055E-3</v>
      </c>
      <c r="F2777">
        <f t="shared" si="92"/>
        <v>-1.4941114875079793E-2</v>
      </c>
      <c r="G2777">
        <f t="shared" si="93"/>
        <v>-2.4133764400703847E-2</v>
      </c>
    </row>
    <row r="2778" spans="1:7" x14ac:dyDescent="0.35">
      <c r="A2778" t="s">
        <v>148</v>
      </c>
      <c r="E2778">
        <v>-9.43998592594366E-3</v>
      </c>
      <c r="F2778">
        <f t="shared" si="92"/>
        <v>-1.4944598273521327E-2</v>
      </c>
      <c r="G2778">
        <f t="shared" si="93"/>
        <v>-2.4133764400703847E-2</v>
      </c>
    </row>
    <row r="2779" spans="1:7" x14ac:dyDescent="0.35">
      <c r="A2779" t="s">
        <v>148</v>
      </c>
      <c r="E2779">
        <v>-2.3280512534737289E-2</v>
      </c>
      <c r="F2779">
        <f t="shared" si="92"/>
        <v>-1.4948081671962859E-2</v>
      </c>
      <c r="G2779">
        <f t="shared" si="93"/>
        <v>-2.4133764400703847E-2</v>
      </c>
    </row>
    <row r="2780" spans="1:7" x14ac:dyDescent="0.35">
      <c r="A2780" t="s">
        <v>149</v>
      </c>
      <c r="B2780" s="3" cm="1">
        <f t="array" ref="B2780">_xlfn.STDEV.S(_xlfn._xlws.FILTER($E$2013:$E$3011, $A$2013:$A$3011="2021-03"))</f>
        <v>7.8950760104043796E-3</v>
      </c>
      <c r="C2780" s="3" cm="1">
        <f t="array" ref="C2780">AVERAGE(_xlfn._xlws.FILTER($E$2013:$E$3011, $A$2013:$A$3011="2021-03"))</f>
        <v>2.2667660998505531E-3</v>
      </c>
      <c r="D2780" s="3" cm="1">
        <f t="array" ref="D2780">_xlfn.PERCENTILE.EXC(_xlfn._xlws.FILTER($E$2490:$E$3818, $A$2490:$A$3818="2021-03"), 0.05)</f>
        <v>-1.2838584873927895E-2</v>
      </c>
      <c r="E2780">
        <v>1.7448059308412107E-2</v>
      </c>
      <c r="F2780">
        <f t="shared" si="92"/>
        <v>-1.4881897101573751E-2</v>
      </c>
      <c r="G2780">
        <f t="shared" si="93"/>
        <v>-2.3972252565450696E-2</v>
      </c>
    </row>
    <row r="2781" spans="1:7" x14ac:dyDescent="0.35">
      <c r="A2781" t="s">
        <v>149</v>
      </c>
      <c r="E2781">
        <v>4.1010435551814958E-3</v>
      </c>
      <c r="F2781">
        <f t="shared" si="92"/>
        <v>-1.4885380500015283E-2</v>
      </c>
      <c r="G2781">
        <f t="shared" si="93"/>
        <v>-2.4150494829448286E-2</v>
      </c>
    </row>
    <row r="2782" spans="1:7" x14ac:dyDescent="0.35">
      <c r="A2782" t="s">
        <v>149</v>
      </c>
      <c r="E2782">
        <v>1.033170913085087E-2</v>
      </c>
      <c r="F2782">
        <f t="shared" si="92"/>
        <v>-1.4888863898456815E-2</v>
      </c>
      <c r="G2782">
        <f t="shared" si="93"/>
        <v>-2.4150494829448286E-2</v>
      </c>
    </row>
    <row r="2783" spans="1:7" x14ac:dyDescent="0.35">
      <c r="A2783" t="s">
        <v>149</v>
      </c>
      <c r="E2783">
        <v>-7.4370950291061414E-4</v>
      </c>
      <c r="F2783">
        <f t="shared" si="92"/>
        <v>-1.4892347296898346E-2</v>
      </c>
      <c r="G2783">
        <f t="shared" si="93"/>
        <v>-2.4150494829448286E-2</v>
      </c>
    </row>
    <row r="2784" spans="1:7" x14ac:dyDescent="0.35">
      <c r="A2784" t="s">
        <v>149</v>
      </c>
      <c r="E2784">
        <v>-3.3411371127819597E-3</v>
      </c>
      <c r="F2784">
        <f t="shared" si="92"/>
        <v>-1.4895830695339878E-2</v>
      </c>
      <c r="G2784">
        <f t="shared" si="93"/>
        <v>-2.4150494829448286E-2</v>
      </c>
    </row>
    <row r="2785" spans="1:7" x14ac:dyDescent="0.35">
      <c r="A2785" t="s">
        <v>149</v>
      </c>
      <c r="E2785">
        <v>1.8915480217881437E-2</v>
      </c>
      <c r="F2785">
        <f t="shared" si="92"/>
        <v>-1.489931409378141E-2</v>
      </c>
      <c r="G2785">
        <f t="shared" si="93"/>
        <v>-2.4150494829448286E-2</v>
      </c>
    </row>
    <row r="2786" spans="1:7" x14ac:dyDescent="0.35">
      <c r="A2786" t="s">
        <v>149</v>
      </c>
      <c r="E2786">
        <v>2.9026177000190997E-3</v>
      </c>
      <c r="F2786">
        <f t="shared" si="92"/>
        <v>-1.4902797492222942E-2</v>
      </c>
      <c r="G2786">
        <f t="shared" si="93"/>
        <v>-2.4150494829448286E-2</v>
      </c>
    </row>
    <row r="2787" spans="1:7" x14ac:dyDescent="0.35">
      <c r="A2787" t="s">
        <v>149</v>
      </c>
      <c r="E2787">
        <v>-1.4743975151038514E-3</v>
      </c>
      <c r="F2787">
        <f t="shared" si="92"/>
        <v>-1.4906280890664474E-2</v>
      </c>
      <c r="G2787">
        <f t="shared" si="93"/>
        <v>-2.4150494829448286E-2</v>
      </c>
    </row>
    <row r="2788" spans="1:7" x14ac:dyDescent="0.35">
      <c r="A2788" t="s">
        <v>149</v>
      </c>
      <c r="E2788">
        <v>9.911824983819767E-4</v>
      </c>
      <c r="F2788">
        <f t="shared" si="92"/>
        <v>-1.4909764289106007E-2</v>
      </c>
      <c r="G2788">
        <f t="shared" si="93"/>
        <v>-2.4150494829448286E-2</v>
      </c>
    </row>
    <row r="2789" spans="1:7" x14ac:dyDescent="0.35">
      <c r="A2789" t="s">
        <v>149</v>
      </c>
      <c r="E2789">
        <v>2.1963762196796502E-3</v>
      </c>
      <c r="F2789">
        <f t="shared" si="92"/>
        <v>-1.4913247687547539E-2</v>
      </c>
      <c r="G2789">
        <f t="shared" si="93"/>
        <v>-2.4150494829448286E-2</v>
      </c>
    </row>
    <row r="2790" spans="1:7" x14ac:dyDescent="0.35">
      <c r="A2790" t="s">
        <v>149</v>
      </c>
      <c r="E2790">
        <v>-2.1521465282103437E-3</v>
      </c>
      <c r="F2790">
        <f t="shared" si="92"/>
        <v>-1.4916731085989071E-2</v>
      </c>
      <c r="G2790">
        <f t="shared" si="93"/>
        <v>-2.4150494829448286E-2</v>
      </c>
    </row>
    <row r="2791" spans="1:7" x14ac:dyDescent="0.35">
      <c r="A2791" t="s">
        <v>149</v>
      </c>
      <c r="E2791">
        <v>1.0053402908011731E-2</v>
      </c>
      <c r="F2791">
        <f t="shared" si="92"/>
        <v>-1.4920214484430603E-2</v>
      </c>
      <c r="G2791">
        <f t="shared" si="93"/>
        <v>-2.4150494829448286E-2</v>
      </c>
    </row>
    <row r="2792" spans="1:7" x14ac:dyDescent="0.35">
      <c r="A2792" t="s">
        <v>149</v>
      </c>
      <c r="E2792">
        <v>-8.977977472431042E-3</v>
      </c>
      <c r="F2792">
        <f t="shared" si="92"/>
        <v>-1.4923697882872134E-2</v>
      </c>
      <c r="G2792">
        <f t="shared" si="93"/>
        <v>-2.4150494829448286E-2</v>
      </c>
    </row>
    <row r="2793" spans="1:7" x14ac:dyDescent="0.35">
      <c r="A2793" t="s">
        <v>149</v>
      </c>
      <c r="E2793">
        <v>7.3669779959428814E-3</v>
      </c>
      <c r="F2793">
        <f t="shared" si="92"/>
        <v>-1.4927181281313666E-2</v>
      </c>
      <c r="G2793">
        <f t="shared" si="93"/>
        <v>-2.4150494829448286E-2</v>
      </c>
    </row>
    <row r="2794" spans="1:7" x14ac:dyDescent="0.35">
      <c r="A2794" t="s">
        <v>149</v>
      </c>
      <c r="E2794">
        <v>-1.380373672430211E-2</v>
      </c>
      <c r="F2794">
        <f t="shared" si="92"/>
        <v>-1.4930664679755198E-2</v>
      </c>
      <c r="G2794">
        <f t="shared" si="93"/>
        <v>-2.4150494829448286E-2</v>
      </c>
    </row>
    <row r="2795" spans="1:7" x14ac:dyDescent="0.35">
      <c r="A2795" t="s">
        <v>149</v>
      </c>
      <c r="E2795">
        <v>-1.3317026605891792E-3</v>
      </c>
      <c r="F2795">
        <f t="shared" si="92"/>
        <v>-1.4934148078196732E-2</v>
      </c>
      <c r="G2795">
        <f t="shared" si="93"/>
        <v>-2.4150494829448286E-2</v>
      </c>
    </row>
    <row r="2796" spans="1:7" x14ac:dyDescent="0.35">
      <c r="A2796" t="s">
        <v>149</v>
      </c>
      <c r="E2796">
        <v>-4.4675163128644379E-3</v>
      </c>
      <c r="F2796">
        <f t="shared" si="92"/>
        <v>-1.4937631476638262E-2</v>
      </c>
      <c r="G2796">
        <f t="shared" si="93"/>
        <v>-2.4150494829448286E-2</v>
      </c>
    </row>
    <row r="2797" spans="1:7" x14ac:dyDescent="0.35">
      <c r="A2797" t="s">
        <v>149</v>
      </c>
      <c r="E2797">
        <v>1.1547482453220855E-3</v>
      </c>
      <c r="F2797">
        <f t="shared" si="92"/>
        <v>-1.4941114875079793E-2</v>
      </c>
      <c r="G2797">
        <f t="shared" si="93"/>
        <v>-2.4150494829448286E-2</v>
      </c>
    </row>
    <row r="2798" spans="1:7" x14ac:dyDescent="0.35">
      <c r="A2798" t="s">
        <v>149</v>
      </c>
      <c r="E2798">
        <v>5.4201831151953349E-4</v>
      </c>
      <c r="F2798">
        <f t="shared" si="92"/>
        <v>-1.4944598273521327E-2</v>
      </c>
      <c r="G2798">
        <f t="shared" si="93"/>
        <v>-2.4150494829448286E-2</v>
      </c>
    </row>
    <row r="2799" spans="1:7" x14ac:dyDescent="0.35">
      <c r="A2799" t="s">
        <v>149</v>
      </c>
      <c r="E2799">
        <v>1.2526148555795431E-2</v>
      </c>
      <c r="F2799">
        <f t="shared" si="92"/>
        <v>-1.4948081671962859E-2</v>
      </c>
      <c r="G2799">
        <f t="shared" si="93"/>
        <v>-2.4150494829448286E-2</v>
      </c>
    </row>
    <row r="2800" spans="1:7" x14ac:dyDescent="0.35">
      <c r="A2800" t="s">
        <v>149</v>
      </c>
      <c r="E2800">
        <v>-3.8603920376291688E-4</v>
      </c>
      <c r="F2800">
        <f t="shared" si="92"/>
        <v>-1.4951565070404391E-2</v>
      </c>
      <c r="G2800">
        <f t="shared" si="93"/>
        <v>-2.4150494829448286E-2</v>
      </c>
    </row>
    <row r="2801" spans="1:7" x14ac:dyDescent="0.35">
      <c r="A2801" t="s">
        <v>149</v>
      </c>
      <c r="E2801">
        <v>5.798875742816843E-3</v>
      </c>
      <c r="F2801">
        <f t="shared" si="92"/>
        <v>-1.4960708534260044E-2</v>
      </c>
      <c r="G2801">
        <f t="shared" si="93"/>
        <v>-2.4334473424629164E-2</v>
      </c>
    </row>
    <row r="2802" spans="1:7" x14ac:dyDescent="0.35">
      <c r="A2802" t="s">
        <v>149</v>
      </c>
      <c r="E2802">
        <v>-5.5146570602959714E-3</v>
      </c>
      <c r="F2802">
        <f t="shared" si="92"/>
        <v>-1.4969851998115697E-2</v>
      </c>
      <c r="G2802">
        <f t="shared" si="93"/>
        <v>-2.4334473424629164E-2</v>
      </c>
    </row>
    <row r="2803" spans="1:7" x14ac:dyDescent="0.35">
      <c r="A2803" t="s">
        <v>150</v>
      </c>
      <c r="B2803" s="3" cm="1">
        <f t="array" ref="B2803">_xlfn.STDEV.S(_xlfn._xlws.FILTER($E$2013:$E$3011, $A$2013:$A$3011="2021-04"))</f>
        <v>6.6750055092318896E-3</v>
      </c>
      <c r="C2803" s="3" cm="1">
        <f t="array" ref="C2803">AVERAGE(_xlfn._xlws.FILTER($E$2013:$E$3011, $A$2013:$A$3011="2021-04"))</f>
        <v>8.1594240584306841E-4</v>
      </c>
      <c r="D2803" s="3" cm="1">
        <f t="array" ref="D2803">_xlfn.PERCENTILE.EXC(_xlfn._xlws.FILTER($E$2490:$E$3818, $A$2490:$A$3818="2021-04"), 0.05)</f>
        <v>-2.1952674617674611E-2</v>
      </c>
      <c r="E2803">
        <v>2.9397943349846701E-3</v>
      </c>
      <c r="F2803">
        <f t="shared" si="92"/>
        <v>-1.4978995461971352E-2</v>
      </c>
      <c r="G2803">
        <f t="shared" si="93"/>
        <v>-2.4334473424629164E-2</v>
      </c>
    </row>
    <row r="2804" spans="1:7" x14ac:dyDescent="0.35">
      <c r="A2804" t="s">
        <v>150</v>
      </c>
      <c r="E2804">
        <v>5.9123875375981724E-3</v>
      </c>
      <c r="F2804">
        <f t="shared" si="92"/>
        <v>-1.4988138925827005E-2</v>
      </c>
      <c r="G2804">
        <f t="shared" si="93"/>
        <v>-2.4334473424629164E-2</v>
      </c>
    </row>
    <row r="2805" spans="1:7" x14ac:dyDescent="0.35">
      <c r="A2805" t="s">
        <v>150</v>
      </c>
      <c r="E2805">
        <v>1.0164733001375654E-3</v>
      </c>
      <c r="F2805">
        <f t="shared" si="92"/>
        <v>-1.4997282389682658E-2</v>
      </c>
      <c r="G2805">
        <f t="shared" si="93"/>
        <v>-2.4334473424629164E-2</v>
      </c>
    </row>
    <row r="2806" spans="1:7" x14ac:dyDescent="0.35">
      <c r="A2806" t="s">
        <v>150</v>
      </c>
      <c r="E2806">
        <v>4.7236672900487281E-3</v>
      </c>
      <c r="F2806">
        <f t="shared" si="92"/>
        <v>-1.5006425853538312E-2</v>
      </c>
      <c r="G2806">
        <f t="shared" si="93"/>
        <v>-2.4334473424629164E-2</v>
      </c>
    </row>
    <row r="2807" spans="1:7" x14ac:dyDescent="0.35">
      <c r="A2807" t="s">
        <v>150</v>
      </c>
      <c r="E2807">
        <v>-2.9197469890482356E-3</v>
      </c>
      <c r="F2807">
        <f t="shared" si="92"/>
        <v>-1.5015569317393965E-2</v>
      </c>
      <c r="G2807">
        <f t="shared" si="93"/>
        <v>-2.4334473424629164E-2</v>
      </c>
    </row>
    <row r="2808" spans="1:7" x14ac:dyDescent="0.35">
      <c r="A2808" t="s">
        <v>150</v>
      </c>
      <c r="E2808">
        <v>-4.0367906350076282E-3</v>
      </c>
      <c r="F2808">
        <f t="shared" si="92"/>
        <v>-1.502471278124962E-2</v>
      </c>
      <c r="G2808">
        <f t="shared" si="93"/>
        <v>-2.4334473424629164E-2</v>
      </c>
    </row>
    <row r="2809" spans="1:7" x14ac:dyDescent="0.35">
      <c r="A2809" t="s">
        <v>150</v>
      </c>
      <c r="E2809">
        <v>-2.0823925536757526E-3</v>
      </c>
      <c r="F2809">
        <f t="shared" si="92"/>
        <v>-1.5033856245105273E-2</v>
      </c>
      <c r="G2809">
        <f t="shared" si="93"/>
        <v>-2.4334473424629164E-2</v>
      </c>
    </row>
    <row r="2810" spans="1:7" x14ac:dyDescent="0.35">
      <c r="A2810" t="s">
        <v>150</v>
      </c>
      <c r="E2810">
        <v>7.4555486294773984E-3</v>
      </c>
      <c r="F2810">
        <f t="shared" si="92"/>
        <v>-1.5042999708960926E-2</v>
      </c>
      <c r="G2810">
        <f t="shared" si="93"/>
        <v>-2.4334473424629164E-2</v>
      </c>
    </row>
    <row r="2811" spans="1:7" x14ac:dyDescent="0.35">
      <c r="A2811" t="s">
        <v>150</v>
      </c>
      <c r="E2811">
        <v>6.8252037079624831E-3</v>
      </c>
      <c r="F2811">
        <f t="shared" si="92"/>
        <v>-1.5052143172816579E-2</v>
      </c>
      <c r="G2811">
        <f t="shared" si="93"/>
        <v>-2.4334473424629164E-2</v>
      </c>
    </row>
    <row r="2812" spans="1:7" x14ac:dyDescent="0.35">
      <c r="A2812" t="s">
        <v>150</v>
      </c>
      <c r="E2812">
        <v>7.1357950900949978E-3</v>
      </c>
      <c r="F2812">
        <f t="shared" si="92"/>
        <v>-1.5061286636672232E-2</v>
      </c>
      <c r="G2812">
        <f t="shared" si="93"/>
        <v>-2.4334473424629164E-2</v>
      </c>
    </row>
    <row r="2813" spans="1:7" x14ac:dyDescent="0.35">
      <c r="A2813" t="s">
        <v>150</v>
      </c>
      <c r="E2813">
        <v>3.9850142651452741E-3</v>
      </c>
      <c r="F2813">
        <f t="shared" si="92"/>
        <v>-1.5070430100527887E-2</v>
      </c>
      <c r="G2813">
        <f t="shared" si="93"/>
        <v>-2.4334473424629164E-2</v>
      </c>
    </row>
    <row r="2814" spans="1:7" x14ac:dyDescent="0.35">
      <c r="A2814" t="s">
        <v>150</v>
      </c>
      <c r="E2814">
        <v>-2.2862727643318891E-2</v>
      </c>
      <c r="F2814">
        <f t="shared" si="92"/>
        <v>-1.5079573564383541E-2</v>
      </c>
      <c r="G2814">
        <f t="shared" si="93"/>
        <v>-2.4334473424629164E-2</v>
      </c>
    </row>
    <row r="2815" spans="1:7" x14ac:dyDescent="0.35">
      <c r="A2815" t="s">
        <v>150</v>
      </c>
      <c r="E2815">
        <v>4.598725882730869E-3</v>
      </c>
      <c r="F2815">
        <f t="shared" si="92"/>
        <v>-1.4934148078196732E-2</v>
      </c>
      <c r="G2815">
        <f t="shared" si="93"/>
        <v>-2.4176250173170873E-2</v>
      </c>
    </row>
    <row r="2816" spans="1:7" x14ac:dyDescent="0.35">
      <c r="A2816" t="s">
        <v>150</v>
      </c>
      <c r="E2816">
        <v>1.5253693870496752E-3</v>
      </c>
      <c r="F2816">
        <f t="shared" si="92"/>
        <v>-1.4937631476638262E-2</v>
      </c>
      <c r="G2816">
        <f t="shared" si="93"/>
        <v>-2.4176250173170873E-2</v>
      </c>
    </row>
    <row r="2817" spans="1:7" x14ac:dyDescent="0.35">
      <c r="A2817" t="s">
        <v>150</v>
      </c>
      <c r="E2817">
        <v>-4.6616671304333295E-3</v>
      </c>
      <c r="F2817">
        <f t="shared" si="92"/>
        <v>-1.4941114875079793E-2</v>
      </c>
      <c r="G2817">
        <f t="shared" si="93"/>
        <v>-2.4176250173170873E-2</v>
      </c>
    </row>
    <row r="2818" spans="1:7" x14ac:dyDescent="0.35">
      <c r="A2818" t="s">
        <v>150</v>
      </c>
      <c r="E2818">
        <v>4.7750575736106313E-3</v>
      </c>
      <c r="F2818">
        <f t="shared" si="92"/>
        <v>-1.4944598273521327E-2</v>
      </c>
      <c r="G2818">
        <f t="shared" si="93"/>
        <v>-2.4176250173170873E-2</v>
      </c>
    </row>
    <row r="2819" spans="1:7" x14ac:dyDescent="0.35">
      <c r="A2819" t="s">
        <v>150</v>
      </c>
      <c r="E2819">
        <v>2.4732441775834424E-4</v>
      </c>
      <c r="F2819">
        <f t="shared" si="92"/>
        <v>-1.4948081671962859E-2</v>
      </c>
      <c r="G2819">
        <f t="shared" si="93"/>
        <v>-2.4176250173170873E-2</v>
      </c>
    </row>
    <row r="2820" spans="1:7" x14ac:dyDescent="0.35">
      <c r="A2820" t="s">
        <v>150</v>
      </c>
      <c r="E2820">
        <v>1.7631884650670421E-3</v>
      </c>
      <c r="F2820">
        <f t="shared" ref="F2820:F2883" si="94">_xlfn.PERCENTILE.EXC(E2820:E6635,0.05)</f>
        <v>-1.4951565070404391E-2</v>
      </c>
      <c r="G2820">
        <f t="shared" ref="G2820:G2883" si="95">AVERAGEIFS(E2820:E6636,E2820:E6636,"&lt;=" &amp; F2820)</f>
        <v>-2.4176250173170873E-2</v>
      </c>
    </row>
    <row r="2821" spans="1:7" x14ac:dyDescent="0.35">
      <c r="A2821" t="s">
        <v>150</v>
      </c>
      <c r="E2821">
        <v>-6.8935261663142784E-4</v>
      </c>
      <c r="F2821">
        <f t="shared" si="94"/>
        <v>-1.4960708534260044E-2</v>
      </c>
      <c r="G2821">
        <f t="shared" si="95"/>
        <v>-2.4364509052819169E-2</v>
      </c>
    </row>
    <row r="2822" spans="1:7" x14ac:dyDescent="0.35">
      <c r="A2822" t="s">
        <v>150</v>
      </c>
      <c r="E2822">
        <v>6.6797580331078217E-4</v>
      </c>
      <c r="F2822">
        <f t="shared" si="94"/>
        <v>-1.4969851998115697E-2</v>
      </c>
      <c r="G2822">
        <f t="shared" si="95"/>
        <v>-2.4364509052819169E-2</v>
      </c>
    </row>
    <row r="2823" spans="1:7" x14ac:dyDescent="0.35">
      <c r="A2823" t="s">
        <v>151</v>
      </c>
      <c r="B2823" s="3" cm="1">
        <f t="array" ref="B2823">_xlfn.STDEV.S(_xlfn._xlws.FILTER($E$2013:$E$3011, $A$2013:$A$3011="2021-05"))</f>
        <v>9.9932533962457885E-3</v>
      </c>
      <c r="C2823" s="3" cm="1">
        <f t="array" ref="C2823">AVERAGE(_xlfn._xlws.FILTER($E$2013:$E$3011, $A$2013:$A$3011="2021-05"))</f>
        <v>1.0763175108131724E-3</v>
      </c>
      <c r="D2823" s="3" cm="1">
        <f t="array" ref="D2823">_xlfn.PERCENTILE.INC(_xlfn._xlws.FILTER($E$2490:$E$3818, $A$2490:$A$3818="2021-05"), 0.05)</f>
        <v>-1.5461193873938657E-2</v>
      </c>
      <c r="E2823">
        <v>-1.7805988884031141E-3</v>
      </c>
      <c r="F2823">
        <f t="shared" si="94"/>
        <v>-1.4978995461971352E-2</v>
      </c>
      <c r="G2823">
        <f t="shared" si="95"/>
        <v>-2.4364509052819169E-2</v>
      </c>
    </row>
    <row r="2824" spans="1:7" x14ac:dyDescent="0.35">
      <c r="A2824" t="s">
        <v>151</v>
      </c>
      <c r="E2824">
        <v>1.9641533727056529E-2</v>
      </c>
      <c r="F2824">
        <f t="shared" si="94"/>
        <v>-1.4988138925827005E-2</v>
      </c>
      <c r="G2824">
        <f t="shared" si="95"/>
        <v>-2.4364509052819169E-2</v>
      </c>
    </row>
    <row r="2825" spans="1:7" x14ac:dyDescent="0.35">
      <c r="A2825" t="s">
        <v>151</v>
      </c>
      <c r="E2825">
        <v>-5.1363160839464365E-4</v>
      </c>
      <c r="F2825">
        <f t="shared" si="94"/>
        <v>-1.4997282389682658E-2</v>
      </c>
      <c r="G2825">
        <f t="shared" si="95"/>
        <v>-2.4364509052819169E-2</v>
      </c>
    </row>
    <row r="2826" spans="1:7" x14ac:dyDescent="0.35">
      <c r="A2826" t="s">
        <v>151</v>
      </c>
      <c r="E2826">
        <v>6.0085865160976583E-3</v>
      </c>
      <c r="F2826">
        <f t="shared" si="94"/>
        <v>-1.5006425853538312E-2</v>
      </c>
      <c r="G2826">
        <f t="shared" si="95"/>
        <v>-2.4364509052819169E-2</v>
      </c>
    </row>
    <row r="2827" spans="1:7" x14ac:dyDescent="0.35">
      <c r="A2827" t="s">
        <v>151</v>
      </c>
      <c r="E2827">
        <v>9.8740243857744613E-3</v>
      </c>
      <c r="F2827">
        <f t="shared" si="94"/>
        <v>-1.5015569317393965E-2</v>
      </c>
      <c r="G2827">
        <f t="shared" si="95"/>
        <v>-2.4364509052819169E-2</v>
      </c>
    </row>
    <row r="2828" spans="1:7" x14ac:dyDescent="0.35">
      <c r="A2828" t="s">
        <v>151</v>
      </c>
      <c r="E2828">
        <v>-2.3758129677812767E-2</v>
      </c>
      <c r="F2828">
        <f t="shared" si="94"/>
        <v>-1.502471278124962E-2</v>
      </c>
      <c r="G2828">
        <f t="shared" si="95"/>
        <v>-2.4364509052819169E-2</v>
      </c>
    </row>
    <row r="2829" spans="1:7" x14ac:dyDescent="0.35">
      <c r="A2829" t="s">
        <v>151</v>
      </c>
      <c r="E2829">
        <v>8.6256347759612745E-3</v>
      </c>
      <c r="F2829">
        <f t="shared" si="94"/>
        <v>-1.4913247687547539E-2</v>
      </c>
      <c r="G2829">
        <f t="shared" si="95"/>
        <v>-2.4184783244504706E-2</v>
      </c>
    </row>
    <row r="2830" spans="1:7" x14ac:dyDescent="0.35">
      <c r="A2830" t="s">
        <v>151</v>
      </c>
      <c r="E2830">
        <v>-8.5680906332971998E-3</v>
      </c>
      <c r="F2830">
        <f t="shared" si="94"/>
        <v>-1.4916731085989071E-2</v>
      </c>
      <c r="G2830">
        <f t="shared" si="95"/>
        <v>-2.4184783244504706E-2</v>
      </c>
    </row>
    <row r="2831" spans="1:7" x14ac:dyDescent="0.35">
      <c r="A2831" t="s">
        <v>151</v>
      </c>
      <c r="E2831">
        <v>1.1020876670266399E-2</v>
      </c>
      <c r="F2831">
        <f t="shared" si="94"/>
        <v>-1.4920214484430603E-2</v>
      </c>
      <c r="G2831">
        <f t="shared" si="95"/>
        <v>-2.4184783244504706E-2</v>
      </c>
    </row>
    <row r="2832" spans="1:7" x14ac:dyDescent="0.35">
      <c r="A2832" t="s">
        <v>151</v>
      </c>
      <c r="E2832">
        <v>-1.1810262609466838E-4</v>
      </c>
      <c r="F2832">
        <f t="shared" si="94"/>
        <v>-1.4923697882872134E-2</v>
      </c>
      <c r="G2832">
        <f t="shared" si="95"/>
        <v>-2.4184783244504706E-2</v>
      </c>
    </row>
    <row r="2833" spans="1:7" x14ac:dyDescent="0.35">
      <c r="A2833" t="s">
        <v>151</v>
      </c>
      <c r="E2833">
        <v>-9.959758297469624E-4</v>
      </c>
      <c r="F2833">
        <f t="shared" si="94"/>
        <v>-1.4927181281313666E-2</v>
      </c>
      <c r="G2833">
        <f t="shared" si="95"/>
        <v>-2.4184783244504706E-2</v>
      </c>
    </row>
    <row r="2834" spans="1:7" x14ac:dyDescent="0.35">
      <c r="A2834" t="s">
        <v>151</v>
      </c>
      <c r="E2834">
        <v>-1.3997028732078521E-2</v>
      </c>
      <c r="F2834">
        <f t="shared" si="94"/>
        <v>-1.4930664679755198E-2</v>
      </c>
      <c r="G2834">
        <f t="shared" si="95"/>
        <v>-2.4184783244504706E-2</v>
      </c>
    </row>
    <row r="2835" spans="1:7" x14ac:dyDescent="0.35">
      <c r="A2835" t="s">
        <v>151</v>
      </c>
      <c r="E2835">
        <v>1.0942463892136026E-2</v>
      </c>
      <c r="F2835">
        <f t="shared" si="94"/>
        <v>-1.4934148078196732E-2</v>
      </c>
      <c r="G2835">
        <f t="shared" si="95"/>
        <v>-2.4184783244504706E-2</v>
      </c>
    </row>
    <row r="2836" spans="1:7" x14ac:dyDescent="0.35">
      <c r="A2836" t="s">
        <v>151</v>
      </c>
      <c r="E2836">
        <v>1.7809804297323516E-3</v>
      </c>
      <c r="F2836">
        <f t="shared" si="94"/>
        <v>-1.4937631476638262E-2</v>
      </c>
      <c r="G2836">
        <f t="shared" si="95"/>
        <v>-2.4184783244504706E-2</v>
      </c>
    </row>
    <row r="2837" spans="1:7" x14ac:dyDescent="0.35">
      <c r="A2837" t="s">
        <v>151</v>
      </c>
      <c r="E2837">
        <v>-4.9105948755532184E-3</v>
      </c>
      <c r="F2837">
        <f t="shared" si="94"/>
        <v>-1.4941114875079793E-2</v>
      </c>
      <c r="G2837">
        <f t="shared" si="95"/>
        <v>-2.4184783244504706E-2</v>
      </c>
    </row>
    <row r="2838" spans="1:7" x14ac:dyDescent="0.35">
      <c r="A2838" t="s">
        <v>151</v>
      </c>
      <c r="E2838">
        <v>1.5218879551262205E-3</v>
      </c>
      <c r="F2838">
        <f t="shared" si="94"/>
        <v>-1.4944598273521327E-2</v>
      </c>
      <c r="G2838">
        <f t="shared" si="95"/>
        <v>-2.4184783244504706E-2</v>
      </c>
    </row>
    <row r="2839" spans="1:7" x14ac:dyDescent="0.35">
      <c r="A2839" t="s">
        <v>151</v>
      </c>
      <c r="E2839">
        <v>3.9079917506541157E-3</v>
      </c>
      <c r="F2839">
        <f t="shared" si="94"/>
        <v>-1.4948081671962859E-2</v>
      </c>
      <c r="G2839">
        <f t="shared" si="95"/>
        <v>-2.4184783244504706E-2</v>
      </c>
    </row>
    <row r="2840" spans="1:7" x14ac:dyDescent="0.35">
      <c r="A2840" t="s">
        <v>151</v>
      </c>
      <c r="E2840">
        <v>6.9188796321316653E-4</v>
      </c>
      <c r="F2840">
        <f t="shared" si="94"/>
        <v>-1.4951565070404391E-2</v>
      </c>
      <c r="G2840">
        <f t="shared" si="95"/>
        <v>-2.4184783244504706E-2</v>
      </c>
    </row>
    <row r="2841" spans="1:7" x14ac:dyDescent="0.35">
      <c r="A2841" t="s">
        <v>152</v>
      </c>
      <c r="B2841" s="3" cm="1">
        <f t="array" ref="B2841">_xlfn.STDEV.S(_xlfn._xlws.FILTER($E$2013:$E$3011, $A$2013:$A$3011="2021-06"))</f>
        <v>6.8673984005914457E-3</v>
      </c>
      <c r="C2841" s="3" cm="1">
        <f t="array" ref="C2841">AVERAGE(_xlfn._xlws.FILTER($E$2013:$E$3011, $A$2013:$A$3011="2021-06"))</f>
        <v>1.3755199803811214E-4</v>
      </c>
      <c r="D2841" s="3" cm="1">
        <f t="array" ref="D2841">_xlfn.PERCENTILE.EXC(_xlfn._xlws.FILTER($E$2490:$E$3818, $A$2490:$A$3818="2021-06"), 0.05)</f>
        <v>-2.0933365593610618E-2</v>
      </c>
      <c r="E2841">
        <v>3.0456637250450527E-3</v>
      </c>
      <c r="F2841">
        <f t="shared" si="94"/>
        <v>-1.4960708534260044E-2</v>
      </c>
      <c r="G2841">
        <f t="shared" si="95"/>
        <v>-2.4377141956465131E-2</v>
      </c>
    </row>
    <row r="2842" spans="1:7" x14ac:dyDescent="0.35">
      <c r="A2842" t="s">
        <v>152</v>
      </c>
      <c r="E2842">
        <v>6.5883183803493606E-3</v>
      </c>
      <c r="F2842">
        <f t="shared" si="94"/>
        <v>-1.4969851998115697E-2</v>
      </c>
      <c r="G2842">
        <f t="shared" si="95"/>
        <v>-2.4377141956465131E-2</v>
      </c>
    </row>
    <row r="2843" spans="1:7" x14ac:dyDescent="0.35">
      <c r="A2843" t="s">
        <v>152</v>
      </c>
      <c r="E2843">
        <v>-3.9737843284775335E-3</v>
      </c>
      <c r="F2843">
        <f t="shared" si="94"/>
        <v>-1.4978995461971352E-2</v>
      </c>
      <c r="G2843">
        <f t="shared" si="95"/>
        <v>-2.4377141956465131E-2</v>
      </c>
    </row>
    <row r="2844" spans="1:7" x14ac:dyDescent="0.35">
      <c r="A2844" t="s">
        <v>152</v>
      </c>
      <c r="E2844">
        <v>1.8862090758801364E-3</v>
      </c>
      <c r="F2844">
        <f t="shared" si="94"/>
        <v>-1.4988138925827005E-2</v>
      </c>
      <c r="G2844">
        <f t="shared" si="95"/>
        <v>-2.4377141956465131E-2</v>
      </c>
    </row>
    <row r="2845" spans="1:7" x14ac:dyDescent="0.35">
      <c r="A2845" t="s">
        <v>152</v>
      </c>
      <c r="E2845">
        <v>-5.0644524776870129E-4</v>
      </c>
      <c r="F2845">
        <f t="shared" si="94"/>
        <v>-1.4997282389682658E-2</v>
      </c>
      <c r="G2845">
        <f t="shared" si="95"/>
        <v>-2.4377141956465131E-2</v>
      </c>
    </row>
    <row r="2846" spans="1:7" x14ac:dyDescent="0.35">
      <c r="A2846" t="s">
        <v>152</v>
      </c>
      <c r="E2846">
        <v>1.6575565637264177E-3</v>
      </c>
      <c r="F2846">
        <f t="shared" si="94"/>
        <v>-1.5006425853538312E-2</v>
      </c>
      <c r="G2846">
        <f t="shared" si="95"/>
        <v>-2.4377141956465131E-2</v>
      </c>
    </row>
    <row r="2847" spans="1:7" x14ac:dyDescent="0.35">
      <c r="A2847" t="s">
        <v>152</v>
      </c>
      <c r="E2847">
        <v>-4.2282574999767744E-3</v>
      </c>
      <c r="F2847">
        <f t="shared" si="94"/>
        <v>-1.5015569317393965E-2</v>
      </c>
      <c r="G2847">
        <f t="shared" si="95"/>
        <v>-2.4377141956465131E-2</v>
      </c>
    </row>
    <row r="2848" spans="1:7" x14ac:dyDescent="0.35">
      <c r="A2848" t="s">
        <v>152</v>
      </c>
      <c r="E2848">
        <v>4.6074455550465833E-3</v>
      </c>
      <c r="F2848">
        <f t="shared" si="94"/>
        <v>-1.502471278124962E-2</v>
      </c>
      <c r="G2848">
        <f t="shared" si="95"/>
        <v>-2.4377141956465131E-2</v>
      </c>
    </row>
    <row r="2849" spans="1:7" x14ac:dyDescent="0.35">
      <c r="A2849" t="s">
        <v>152</v>
      </c>
      <c r="E2849">
        <v>8.7279448071505041E-3</v>
      </c>
      <c r="F2849">
        <f t="shared" si="94"/>
        <v>-1.5033856245105273E-2</v>
      </c>
      <c r="G2849">
        <f t="shared" si="95"/>
        <v>-2.4377141956465131E-2</v>
      </c>
    </row>
    <row r="2850" spans="1:7" x14ac:dyDescent="0.35">
      <c r="A2850" t="s">
        <v>152</v>
      </c>
      <c r="E2850">
        <v>2.6993368711527861E-4</v>
      </c>
      <c r="F2850">
        <f t="shared" si="94"/>
        <v>-1.5042999708960926E-2</v>
      </c>
      <c r="G2850">
        <f t="shared" si="95"/>
        <v>-2.4377141956465131E-2</v>
      </c>
    </row>
    <row r="2851" spans="1:7" x14ac:dyDescent="0.35">
      <c r="A2851" t="s">
        <v>152</v>
      </c>
      <c r="E2851">
        <v>9.5552801257461093E-4</v>
      </c>
      <c r="F2851">
        <f t="shared" si="94"/>
        <v>-1.5052143172816579E-2</v>
      </c>
      <c r="G2851">
        <f t="shared" si="95"/>
        <v>-2.4377141956465131E-2</v>
      </c>
    </row>
    <row r="2852" spans="1:7" x14ac:dyDescent="0.35">
      <c r="A2852" t="s">
        <v>152</v>
      </c>
      <c r="E2852">
        <v>4.0063345235696558E-3</v>
      </c>
      <c r="F2852">
        <f t="shared" si="94"/>
        <v>-1.5061286636672232E-2</v>
      </c>
      <c r="G2852">
        <f t="shared" si="95"/>
        <v>-2.4377141956465131E-2</v>
      </c>
    </row>
    <row r="2853" spans="1:7" x14ac:dyDescent="0.35">
      <c r="A2853" t="s">
        <v>152</v>
      </c>
      <c r="E2853">
        <v>-6.9336854054838403E-4</v>
      </c>
      <c r="F2853">
        <f t="shared" si="94"/>
        <v>-1.5070430100527887E-2</v>
      </c>
      <c r="G2853">
        <f t="shared" si="95"/>
        <v>-2.4377141956465131E-2</v>
      </c>
    </row>
    <row r="2854" spans="1:7" x14ac:dyDescent="0.35">
      <c r="A2854" t="s">
        <v>152</v>
      </c>
      <c r="E2854">
        <v>-2.3051287299374931E-2</v>
      </c>
      <c r="F2854">
        <f t="shared" si="94"/>
        <v>-1.5079573564383541E-2</v>
      </c>
      <c r="G2854">
        <f t="shared" si="95"/>
        <v>-2.4377141956465131E-2</v>
      </c>
    </row>
    <row r="2855" spans="1:7" x14ac:dyDescent="0.35">
      <c r="A2855" t="s">
        <v>152</v>
      </c>
      <c r="E2855">
        <v>1.0597304308935525E-2</v>
      </c>
      <c r="F2855">
        <f t="shared" si="94"/>
        <v>-1.4934148078196732E-2</v>
      </c>
      <c r="G2855">
        <f t="shared" si="95"/>
        <v>-2.4208397743361577E-2</v>
      </c>
    </row>
    <row r="2856" spans="1:7" x14ac:dyDescent="0.35">
      <c r="A2856" t="s">
        <v>152</v>
      </c>
      <c r="E2856">
        <v>3.3653585746938534E-3</v>
      </c>
      <c r="F2856">
        <f t="shared" si="94"/>
        <v>-1.4937631476638262E-2</v>
      </c>
      <c r="G2856">
        <f t="shared" si="95"/>
        <v>-2.4208397743361577E-2</v>
      </c>
    </row>
    <row r="2857" spans="1:7" x14ac:dyDescent="0.35">
      <c r="A2857" t="s">
        <v>152</v>
      </c>
      <c r="E2857">
        <v>-6.1565425405833902E-4</v>
      </c>
      <c r="F2857">
        <f t="shared" si="94"/>
        <v>-1.4941114875079793E-2</v>
      </c>
      <c r="G2857">
        <f t="shared" si="95"/>
        <v>-2.4208397743361577E-2</v>
      </c>
    </row>
    <row r="2858" spans="1:7" x14ac:dyDescent="0.35">
      <c r="A2858" t="s">
        <v>152</v>
      </c>
      <c r="E2858">
        <v>2.4460411297382448E-3</v>
      </c>
      <c r="F2858">
        <f t="shared" si="94"/>
        <v>-1.4944598273521327E-2</v>
      </c>
      <c r="G2858">
        <f t="shared" si="95"/>
        <v>-2.4208397743361577E-2</v>
      </c>
    </row>
    <row r="2859" spans="1:7" x14ac:dyDescent="0.35">
      <c r="A2859" t="s">
        <v>152</v>
      </c>
      <c r="E2859">
        <v>1.8195548324371007E-3</v>
      </c>
      <c r="F2859">
        <f t="shared" si="94"/>
        <v>-1.4948081671962859E-2</v>
      </c>
      <c r="G2859">
        <f t="shared" si="95"/>
        <v>-2.4208397743361577E-2</v>
      </c>
    </row>
    <row r="2860" spans="1:7" x14ac:dyDescent="0.35">
      <c r="A2860" t="s">
        <v>152</v>
      </c>
      <c r="E2860">
        <v>-8.9318092609461872E-3</v>
      </c>
      <c r="F2860">
        <f t="shared" si="94"/>
        <v>-1.4951565070404391E-2</v>
      </c>
      <c r="G2860">
        <f t="shared" si="95"/>
        <v>-2.4208397743361577E-2</v>
      </c>
    </row>
    <row r="2861" spans="1:7" x14ac:dyDescent="0.35">
      <c r="A2861" t="s">
        <v>152</v>
      </c>
      <c r="E2861">
        <v>1.1524267673478086E-3</v>
      </c>
      <c r="F2861">
        <f t="shared" si="94"/>
        <v>-1.4960708534260044E-2</v>
      </c>
      <c r="G2861">
        <f t="shared" si="95"/>
        <v>-2.440535163002024E-2</v>
      </c>
    </row>
    <row r="2862" spans="1:7" x14ac:dyDescent="0.35">
      <c r="A2862" t="s">
        <v>152</v>
      </c>
      <c r="E2862">
        <v>-6.0988695556208174E-3</v>
      </c>
      <c r="F2862">
        <f t="shared" si="94"/>
        <v>-1.4969851998115697E-2</v>
      </c>
      <c r="G2862">
        <f t="shared" si="95"/>
        <v>-2.440535163002024E-2</v>
      </c>
    </row>
    <row r="2863" spans="1:7" x14ac:dyDescent="0.35">
      <c r="A2863" t="s">
        <v>153</v>
      </c>
      <c r="B2863" s="3" cm="1">
        <f t="array" ref="B2863">_xlfn.STDEV.S(_xlfn._xlws.FILTER($E$2013:$E$3011, $A$2013:$A$3011="2021-07"))</f>
        <v>1.1890457152196006E-2</v>
      </c>
      <c r="C2863" s="3" cm="1">
        <f t="array" ref="C2863">AVERAGE(_xlfn._xlws.FILTER($E$2013:$E$3011, $A$2013:$A$3011="2021-07"))</f>
        <v>2.531725490722109E-4</v>
      </c>
      <c r="D2863" s="3" cm="1">
        <f t="array" ref="D2863">_xlfn.PERCENTILE.EXC(_xlfn._xlws.FILTER($E$2490:$E$3818, $A$2490:$A$3818="2021-07"), 0.05)</f>
        <v>-2.9293746143196537E-2</v>
      </c>
      <c r="E2863">
        <v>9.9166425415774511E-3</v>
      </c>
      <c r="F2863">
        <f t="shared" si="94"/>
        <v>-1.4978995461971352E-2</v>
      </c>
      <c r="G2863">
        <f t="shared" si="95"/>
        <v>-2.440535163002024E-2</v>
      </c>
    </row>
    <row r="2864" spans="1:7" x14ac:dyDescent="0.35">
      <c r="A2864" t="s">
        <v>153</v>
      </c>
      <c r="E2864">
        <v>2.9133954937076993E-3</v>
      </c>
      <c r="F2864">
        <f t="shared" si="94"/>
        <v>-1.4988138925827005E-2</v>
      </c>
      <c r="G2864">
        <f t="shared" si="95"/>
        <v>-2.440535163002024E-2</v>
      </c>
    </row>
    <row r="2865" spans="1:7" x14ac:dyDescent="0.35">
      <c r="A2865" t="s">
        <v>153</v>
      </c>
      <c r="E2865">
        <v>7.6364326011591375E-3</v>
      </c>
      <c r="F2865">
        <f t="shared" si="94"/>
        <v>-1.4997282389682658E-2</v>
      </c>
      <c r="G2865">
        <f t="shared" si="95"/>
        <v>-2.440535163002024E-2</v>
      </c>
    </row>
    <row r="2866" spans="1:7" x14ac:dyDescent="0.35">
      <c r="A2866" t="s">
        <v>153</v>
      </c>
      <c r="E2866">
        <v>-1.0145814953090122E-2</v>
      </c>
      <c r="F2866">
        <f t="shared" si="94"/>
        <v>-1.5006425853538312E-2</v>
      </c>
      <c r="G2866">
        <f t="shared" si="95"/>
        <v>-2.440535163002024E-2</v>
      </c>
    </row>
    <row r="2867" spans="1:7" x14ac:dyDescent="0.35">
      <c r="A2867" t="s">
        <v>153</v>
      </c>
      <c r="E2867">
        <v>9.6121465557662648E-3</v>
      </c>
      <c r="F2867">
        <f t="shared" si="94"/>
        <v>-1.5015569317393965E-2</v>
      </c>
      <c r="G2867">
        <f t="shared" si="95"/>
        <v>-2.440535163002024E-2</v>
      </c>
    </row>
    <row r="2868" spans="1:7" x14ac:dyDescent="0.35">
      <c r="A2868" t="s">
        <v>153</v>
      </c>
      <c r="E2868">
        <v>-2.2521747880694179E-2</v>
      </c>
      <c r="F2868">
        <f t="shared" si="94"/>
        <v>-1.502471278124962E-2</v>
      </c>
      <c r="G2868">
        <f t="shared" si="95"/>
        <v>-2.440535163002024E-2</v>
      </c>
    </row>
    <row r="2869" spans="1:7" x14ac:dyDescent="0.35">
      <c r="A2869" t="s">
        <v>153</v>
      </c>
      <c r="E2869">
        <v>1.7103814564588742E-2</v>
      </c>
      <c r="F2869">
        <f t="shared" si="94"/>
        <v>-1.4913247687547539E-2</v>
      </c>
      <c r="G2869">
        <f t="shared" si="95"/>
        <v>-2.4244283910652371E-2</v>
      </c>
    </row>
    <row r="2870" spans="1:7" x14ac:dyDescent="0.35">
      <c r="A2870" t="s">
        <v>153</v>
      </c>
      <c r="E2870">
        <v>3.0702473493761789E-3</v>
      </c>
      <c r="F2870">
        <f t="shared" si="94"/>
        <v>-1.4916731085989071E-2</v>
      </c>
      <c r="G2870">
        <f t="shared" si="95"/>
        <v>-2.4244283910652371E-2</v>
      </c>
    </row>
    <row r="2871" spans="1:7" x14ac:dyDescent="0.35">
      <c r="A2871" t="s">
        <v>153</v>
      </c>
      <c r="E2871">
        <v>1.5804551667017376E-3</v>
      </c>
      <c r="F2871">
        <f t="shared" si="94"/>
        <v>-1.4920214484430603E-2</v>
      </c>
      <c r="G2871">
        <f t="shared" si="95"/>
        <v>-2.4244283910652371E-2</v>
      </c>
    </row>
    <row r="2872" spans="1:7" x14ac:dyDescent="0.35">
      <c r="A2872" t="s">
        <v>153</v>
      </c>
      <c r="E2872">
        <v>-6.3044885853447852E-3</v>
      </c>
      <c r="F2872">
        <f t="shared" si="94"/>
        <v>-1.4923697882872134E-2</v>
      </c>
      <c r="G2872">
        <f t="shared" si="95"/>
        <v>-2.4244283910652371E-2</v>
      </c>
    </row>
    <row r="2873" spans="1:7" x14ac:dyDescent="0.35">
      <c r="A2873" t="s">
        <v>153</v>
      </c>
      <c r="E2873">
        <v>-1.0711969618436037E-2</v>
      </c>
      <c r="F2873">
        <f t="shared" si="94"/>
        <v>-1.4927181281313666E-2</v>
      </c>
      <c r="G2873">
        <f t="shared" si="95"/>
        <v>-2.4244283910652371E-2</v>
      </c>
    </row>
    <row r="2874" spans="1:7" x14ac:dyDescent="0.35">
      <c r="A2874" t="s">
        <v>153</v>
      </c>
      <c r="E2874">
        <v>-4.7159478988796251E-3</v>
      </c>
      <c r="F2874">
        <f t="shared" si="94"/>
        <v>-1.4930664679755198E-2</v>
      </c>
      <c r="G2874">
        <f t="shared" si="95"/>
        <v>-2.4244283910652371E-2</v>
      </c>
    </row>
    <row r="2875" spans="1:7" x14ac:dyDescent="0.35">
      <c r="A2875" t="s">
        <v>153</v>
      </c>
      <c r="E2875">
        <v>-3.0488804660108719E-2</v>
      </c>
      <c r="F2875">
        <f t="shared" si="94"/>
        <v>-1.4934148078196732E-2</v>
      </c>
      <c r="G2875">
        <f t="shared" si="95"/>
        <v>-2.4244283910652371E-2</v>
      </c>
    </row>
    <row r="2876" spans="1:7" x14ac:dyDescent="0.35">
      <c r="A2876" t="s">
        <v>153</v>
      </c>
      <c r="E2876">
        <v>4.2045361350174166E-3</v>
      </c>
      <c r="F2876">
        <f t="shared" si="94"/>
        <v>-1.4876384759906144E-2</v>
      </c>
      <c r="G2876">
        <f t="shared" si="95"/>
        <v>-2.3912222047704823E-2</v>
      </c>
    </row>
    <row r="2877" spans="1:7" x14ac:dyDescent="0.35">
      <c r="A2877" t="s">
        <v>153</v>
      </c>
      <c r="E2877">
        <v>2.058536228873236E-2</v>
      </c>
      <c r="F2877">
        <f t="shared" si="94"/>
        <v>-1.4877762845323045E-2</v>
      </c>
      <c r="G2877">
        <f t="shared" si="95"/>
        <v>-2.3912222047704823E-2</v>
      </c>
    </row>
    <row r="2878" spans="1:7" x14ac:dyDescent="0.35">
      <c r="A2878" t="s">
        <v>153</v>
      </c>
      <c r="E2878">
        <v>3.2059586391651991E-3</v>
      </c>
      <c r="F2878">
        <f t="shared" si="94"/>
        <v>-1.4879140930739948E-2</v>
      </c>
      <c r="G2878">
        <f t="shared" si="95"/>
        <v>-2.3912222047704823E-2</v>
      </c>
    </row>
    <row r="2879" spans="1:7" x14ac:dyDescent="0.35">
      <c r="A2879" t="s">
        <v>153</v>
      </c>
      <c r="E2879">
        <v>7.5375152278208584E-3</v>
      </c>
      <c r="F2879">
        <f t="shared" si="94"/>
        <v>-1.4880519016156848E-2</v>
      </c>
      <c r="G2879">
        <f t="shared" si="95"/>
        <v>-2.3912222047704823E-2</v>
      </c>
    </row>
    <row r="2880" spans="1:7" x14ac:dyDescent="0.35">
      <c r="A2880" t="s">
        <v>153</v>
      </c>
      <c r="E2880">
        <v>9.6440093937120823E-4</v>
      </c>
      <c r="F2880">
        <f t="shared" si="94"/>
        <v>-1.4881897101573751E-2</v>
      </c>
      <c r="G2880">
        <f t="shared" si="95"/>
        <v>-2.3912222047704823E-2</v>
      </c>
    </row>
    <row r="2881" spans="1:7" x14ac:dyDescent="0.35">
      <c r="A2881" t="s">
        <v>153</v>
      </c>
      <c r="E2881">
        <v>-2.1026024172564519E-3</v>
      </c>
      <c r="F2881">
        <f t="shared" si="94"/>
        <v>-1.4885380500015283E-2</v>
      </c>
      <c r="G2881">
        <f t="shared" si="95"/>
        <v>-2.4108533459577235E-2</v>
      </c>
    </row>
    <row r="2882" spans="1:7" x14ac:dyDescent="0.35">
      <c r="A2882" t="s">
        <v>153</v>
      </c>
      <c r="E2882">
        <v>4.7935185957978209E-3</v>
      </c>
      <c r="F2882">
        <f t="shared" si="94"/>
        <v>-1.4888863898456815E-2</v>
      </c>
      <c r="G2882">
        <f t="shared" si="95"/>
        <v>-2.4108533459577235E-2</v>
      </c>
    </row>
    <row r="2883" spans="1:7" x14ac:dyDescent="0.35">
      <c r="A2883" t="s">
        <v>153</v>
      </c>
      <c r="E2883">
        <v>8.5209206951187312E-3</v>
      </c>
      <c r="F2883">
        <f t="shared" si="94"/>
        <v>-1.4892347296898346E-2</v>
      </c>
      <c r="G2883">
        <f t="shared" si="95"/>
        <v>-2.4108533459577235E-2</v>
      </c>
    </row>
    <row r="2884" spans="1:7" x14ac:dyDescent="0.35">
      <c r="A2884" t="s">
        <v>153</v>
      </c>
      <c r="E2884">
        <v>-9.0841747005022452E-3</v>
      </c>
      <c r="F2884">
        <f t="shared" ref="F2884:F2947" si="96">_xlfn.PERCENTILE.EXC(E2884:E6699,0.05)</f>
        <v>-1.4895830695339878E-2</v>
      </c>
      <c r="G2884">
        <f t="shared" ref="G2884:G2947" si="97">AVERAGEIFS(E2884:E6700,E2884:E6700,"&lt;=" &amp; F2884)</f>
        <v>-2.4108533459577235E-2</v>
      </c>
    </row>
    <row r="2885" spans="1:7" x14ac:dyDescent="0.35">
      <c r="A2885" t="s">
        <v>154</v>
      </c>
      <c r="B2885" s="3" cm="1">
        <f t="array" ref="B2885">_xlfn.STDEV.S(_xlfn._xlws.FILTER($E$2013:$E$3011, $A$2013:$A$3011="2021-08"))</f>
        <v>6.8356851116695531E-3</v>
      </c>
      <c r="C2885" s="3" cm="1">
        <f t="array" ref="C2885">AVERAGE(_xlfn._xlws.FILTER($E$2013:$E$3011, $A$2013:$A$3011="2021-08"))</f>
        <v>2.9112562790450252E-4</v>
      </c>
      <c r="D2885" s="3" cm="1">
        <f t="array" ref="D2885">_xlfn.PERCENTILE.EXC(_xlfn._xlws.FILTER($E$2490:$E$3818, $A$2490:$A$3818="2021-08"), 0.05)</f>
        <v>-2.0208320632315483E-2</v>
      </c>
      <c r="E2885">
        <v>5.7880278252531924E-3</v>
      </c>
      <c r="F2885">
        <f t="shared" si="96"/>
        <v>-1.489931409378141E-2</v>
      </c>
      <c r="G2885">
        <f t="shared" si="97"/>
        <v>-2.4108533459577235E-2</v>
      </c>
    </row>
    <row r="2886" spans="1:7" x14ac:dyDescent="0.35">
      <c r="A2886" t="s">
        <v>154</v>
      </c>
      <c r="E2886">
        <v>5.1338343647710982E-3</v>
      </c>
      <c r="F2886">
        <f t="shared" si="96"/>
        <v>-1.4902797492222942E-2</v>
      </c>
      <c r="G2886">
        <f t="shared" si="97"/>
        <v>-2.4108533459577235E-2</v>
      </c>
    </row>
    <row r="2887" spans="1:7" x14ac:dyDescent="0.35">
      <c r="A2887" t="s">
        <v>154</v>
      </c>
      <c r="E2887">
        <v>3.714456049034906E-3</v>
      </c>
      <c r="F2887">
        <f t="shared" si="96"/>
        <v>-1.4906280890664474E-2</v>
      </c>
      <c r="G2887">
        <f t="shared" si="97"/>
        <v>-2.4108533459577235E-2</v>
      </c>
    </row>
    <row r="2888" spans="1:7" x14ac:dyDescent="0.35">
      <c r="A2888" t="s">
        <v>154</v>
      </c>
      <c r="E2888">
        <v>1.8055615833247312E-3</v>
      </c>
      <c r="F2888">
        <f t="shared" si="96"/>
        <v>-1.4909764289106007E-2</v>
      </c>
      <c r="G2888">
        <f t="shared" si="97"/>
        <v>-2.4108533459577235E-2</v>
      </c>
    </row>
    <row r="2889" spans="1:7" x14ac:dyDescent="0.35">
      <c r="A2889" t="s">
        <v>154</v>
      </c>
      <c r="E2889">
        <v>2.7124939912103996E-3</v>
      </c>
      <c r="F2889">
        <f t="shared" si="96"/>
        <v>-1.4913247687547539E-2</v>
      </c>
      <c r="G2889">
        <f t="shared" si="97"/>
        <v>-2.4108533459577235E-2</v>
      </c>
    </row>
    <row r="2890" spans="1:7" x14ac:dyDescent="0.35">
      <c r="A2890" t="s">
        <v>154</v>
      </c>
      <c r="E2890">
        <v>1.2044061110154589E-3</v>
      </c>
      <c r="F2890">
        <f t="shared" si="96"/>
        <v>-1.4916731085989071E-2</v>
      </c>
      <c r="G2890">
        <f t="shared" si="97"/>
        <v>-2.4108533459577235E-2</v>
      </c>
    </row>
    <row r="2891" spans="1:7" x14ac:dyDescent="0.35">
      <c r="A2891" t="s">
        <v>154</v>
      </c>
      <c r="E2891">
        <v>5.1544119699236824E-3</v>
      </c>
      <c r="F2891">
        <f t="shared" si="96"/>
        <v>-1.4920214484430603E-2</v>
      </c>
      <c r="G2891">
        <f t="shared" si="97"/>
        <v>-2.4108533459577235E-2</v>
      </c>
    </row>
    <row r="2892" spans="1:7" x14ac:dyDescent="0.35">
      <c r="A2892" t="s">
        <v>154</v>
      </c>
      <c r="E2892">
        <v>8.811400741080019E-3</v>
      </c>
      <c r="F2892">
        <f t="shared" si="96"/>
        <v>-1.4923697882872134E-2</v>
      </c>
      <c r="G2892">
        <f t="shared" si="97"/>
        <v>-2.4108533459577235E-2</v>
      </c>
    </row>
    <row r="2893" spans="1:7" x14ac:dyDescent="0.35">
      <c r="A2893" t="s">
        <v>154</v>
      </c>
      <c r="E2893">
        <v>-7.3596538421037243E-3</v>
      </c>
      <c r="F2893">
        <f t="shared" si="96"/>
        <v>-1.4927181281313666E-2</v>
      </c>
      <c r="G2893">
        <f t="shared" si="97"/>
        <v>-2.4108533459577235E-2</v>
      </c>
    </row>
    <row r="2894" spans="1:7" x14ac:dyDescent="0.35">
      <c r="A2894" t="s">
        <v>154</v>
      </c>
      <c r="E2894">
        <v>1.8800698625883649E-3</v>
      </c>
      <c r="F2894">
        <f t="shared" si="96"/>
        <v>-1.4930664679755198E-2</v>
      </c>
      <c r="G2894">
        <f t="shared" si="97"/>
        <v>-2.4108533459577235E-2</v>
      </c>
    </row>
    <row r="2895" spans="1:7" x14ac:dyDescent="0.35">
      <c r="A2895" t="s">
        <v>154</v>
      </c>
      <c r="E2895">
        <v>-8.402064389551489E-3</v>
      </c>
      <c r="F2895">
        <f t="shared" si="96"/>
        <v>-1.4934148078196732E-2</v>
      </c>
      <c r="G2895">
        <f t="shared" si="97"/>
        <v>-2.4108533459577235E-2</v>
      </c>
    </row>
    <row r="2896" spans="1:7" x14ac:dyDescent="0.35">
      <c r="A2896" t="s">
        <v>154</v>
      </c>
      <c r="E2896">
        <v>7.7429857475500539E-4</v>
      </c>
      <c r="F2896">
        <f t="shared" si="96"/>
        <v>-1.4937631476638262E-2</v>
      </c>
      <c r="G2896">
        <f t="shared" si="97"/>
        <v>-2.4108533459577235E-2</v>
      </c>
    </row>
    <row r="2897" spans="1:7" x14ac:dyDescent="0.35">
      <c r="A2897" t="s">
        <v>154</v>
      </c>
      <c r="E2897">
        <v>8.1265064564075217E-4</v>
      </c>
      <c r="F2897">
        <f t="shared" si="96"/>
        <v>-1.4941114875079793E-2</v>
      </c>
      <c r="G2897">
        <f t="shared" si="97"/>
        <v>-2.4108533459577235E-2</v>
      </c>
    </row>
    <row r="2898" spans="1:7" x14ac:dyDescent="0.35">
      <c r="A2898" t="s">
        <v>154</v>
      </c>
      <c r="E2898">
        <v>-2.1520126881511482E-2</v>
      </c>
      <c r="F2898">
        <f t="shared" si="96"/>
        <v>-1.4944598273521327E-2</v>
      </c>
      <c r="G2898">
        <f t="shared" si="97"/>
        <v>-2.4108533459577235E-2</v>
      </c>
    </row>
    <row r="2899" spans="1:7" x14ac:dyDescent="0.35">
      <c r="A2899" t="s">
        <v>154</v>
      </c>
      <c r="E2899">
        <v>9.1697570785512607E-4</v>
      </c>
      <c r="F2899">
        <f t="shared" si="96"/>
        <v>-1.4880519016156848E-2</v>
      </c>
      <c r="G2899">
        <f t="shared" si="97"/>
        <v>-2.3964224116535114E-2</v>
      </c>
    </row>
    <row r="2900" spans="1:7" x14ac:dyDescent="0.35">
      <c r="A2900" t="s">
        <v>154</v>
      </c>
      <c r="E2900">
        <v>6.7777672062297881E-3</v>
      </c>
      <c r="F2900">
        <f t="shared" si="96"/>
        <v>-1.4881897101573751E-2</v>
      </c>
      <c r="G2900">
        <f t="shared" si="97"/>
        <v>-2.3964224116535114E-2</v>
      </c>
    </row>
    <row r="2901" spans="1:7" x14ac:dyDescent="0.35">
      <c r="A2901" t="s">
        <v>154</v>
      </c>
      <c r="E2901">
        <v>1.5884118534556738E-3</v>
      </c>
      <c r="F2901">
        <f t="shared" si="96"/>
        <v>-1.4885380500015283E-2</v>
      </c>
      <c r="G2901">
        <f t="shared" si="97"/>
        <v>-2.4166053605756473E-2</v>
      </c>
    </row>
    <row r="2902" spans="1:7" x14ac:dyDescent="0.35">
      <c r="A2902" t="s">
        <v>154</v>
      </c>
      <c r="E2902">
        <v>3.5543487773693717E-3</v>
      </c>
      <c r="F2902">
        <f t="shared" si="96"/>
        <v>-1.4888863898456815E-2</v>
      </c>
      <c r="G2902">
        <f t="shared" si="97"/>
        <v>-2.4166053605756473E-2</v>
      </c>
    </row>
    <row r="2903" spans="1:7" x14ac:dyDescent="0.35">
      <c r="A2903" t="s">
        <v>154</v>
      </c>
      <c r="E2903">
        <v>-5.4777339223519962E-3</v>
      </c>
      <c r="F2903">
        <f t="shared" si="96"/>
        <v>-1.4892347296898346E-2</v>
      </c>
      <c r="G2903">
        <f t="shared" si="97"/>
        <v>-2.4166053605756473E-2</v>
      </c>
    </row>
    <row r="2904" spans="1:7" x14ac:dyDescent="0.35">
      <c r="A2904" t="s">
        <v>154</v>
      </c>
      <c r="E2904">
        <v>4.6096598659947701E-3</v>
      </c>
      <c r="F2904">
        <f t="shared" si="96"/>
        <v>-1.4895830695339878E-2</v>
      </c>
      <c r="G2904">
        <f t="shared" si="97"/>
        <v>-2.4166053605756473E-2</v>
      </c>
    </row>
    <row r="2905" spans="1:7" x14ac:dyDescent="0.35">
      <c r="A2905" t="s">
        <v>154</v>
      </c>
      <c r="E2905">
        <v>-6.3655579079890954E-3</v>
      </c>
      <c r="F2905">
        <f t="shared" si="96"/>
        <v>-1.489931409378141E-2</v>
      </c>
      <c r="G2905">
        <f t="shared" si="97"/>
        <v>-2.4166053605756473E-2</v>
      </c>
    </row>
    <row r="2906" spans="1:7" x14ac:dyDescent="0.35">
      <c r="A2906" t="s">
        <v>155</v>
      </c>
      <c r="B2906" s="3" cm="1">
        <f t="array" ref="B2906">_xlfn.STDEV.S(_xlfn._xlws.FILTER($E$2013:$E$3011, $A$2013:$A$3011="2021-09"))</f>
        <v>8.0154451439418458E-3</v>
      </c>
      <c r="C2906" s="3" cm="1">
        <f t="array" ref="C2906">AVERAGE(_xlfn._xlws.FILTER($E$2013:$E$3011, $A$2013:$A$3011="2021-09"))</f>
        <v>-2.6737986998702577E-4</v>
      </c>
      <c r="D2906" s="3" cm="1">
        <f t="array" ref="D2906">_xlfn.PERCENTILE.EXC(_xlfn._xlws.FILTER($E$2490:$E$3818, $A$2490:$A$3818="2021-09"), 0.05)</f>
        <v>-1.6159329526779544E-2</v>
      </c>
      <c r="E2906">
        <v>3.0821192848523265E-3</v>
      </c>
      <c r="F2906">
        <f t="shared" si="96"/>
        <v>-1.4902797492222942E-2</v>
      </c>
      <c r="G2906">
        <f t="shared" si="97"/>
        <v>-2.4166053605756473E-2</v>
      </c>
    </row>
    <row r="2907" spans="1:7" x14ac:dyDescent="0.35">
      <c r="A2907" t="s">
        <v>155</v>
      </c>
      <c r="E2907">
        <v>4.006983377237594E-3</v>
      </c>
      <c r="F2907">
        <f t="shared" si="96"/>
        <v>-1.4906280890664474E-2</v>
      </c>
      <c r="G2907">
        <f t="shared" si="97"/>
        <v>-2.4166053605756473E-2</v>
      </c>
    </row>
    <row r="2908" spans="1:7" x14ac:dyDescent="0.35">
      <c r="A2908" t="s">
        <v>155</v>
      </c>
      <c r="E2908">
        <v>-2.6458530235504065E-3</v>
      </c>
      <c r="F2908">
        <f t="shared" si="96"/>
        <v>-1.4909764289106007E-2</v>
      </c>
      <c r="G2908">
        <f t="shared" si="97"/>
        <v>-2.4166053605756473E-2</v>
      </c>
    </row>
    <row r="2909" spans="1:7" x14ac:dyDescent="0.35">
      <c r="A2909" t="s">
        <v>155</v>
      </c>
      <c r="E2909">
        <v>5.3846495848530081E-3</v>
      </c>
      <c r="F2909">
        <f t="shared" si="96"/>
        <v>-1.4913247687547539E-2</v>
      </c>
      <c r="G2909">
        <f t="shared" si="97"/>
        <v>-2.4166053605756473E-2</v>
      </c>
    </row>
    <row r="2910" spans="1:7" x14ac:dyDescent="0.35">
      <c r="A2910" t="s">
        <v>155</v>
      </c>
      <c r="E2910">
        <v>-6.1230850553551184E-3</v>
      </c>
      <c r="F2910">
        <f t="shared" si="96"/>
        <v>-1.4916731085989071E-2</v>
      </c>
      <c r="G2910">
        <f t="shared" si="97"/>
        <v>-2.4166053605756473E-2</v>
      </c>
    </row>
    <row r="2911" spans="1:7" x14ac:dyDescent="0.35">
      <c r="A2911" t="s">
        <v>155</v>
      </c>
      <c r="E2911">
        <v>-6.7405617346879207E-3</v>
      </c>
      <c r="F2911">
        <f t="shared" si="96"/>
        <v>-1.4920214484430603E-2</v>
      </c>
      <c r="G2911">
        <f t="shared" si="97"/>
        <v>-2.4166053605756473E-2</v>
      </c>
    </row>
    <row r="2912" spans="1:7" x14ac:dyDescent="0.35">
      <c r="A2912" t="s">
        <v>155</v>
      </c>
      <c r="E2912">
        <v>-4.9759855069566525E-3</v>
      </c>
      <c r="F2912">
        <f t="shared" si="96"/>
        <v>-1.4923697882872134E-2</v>
      </c>
      <c r="G2912">
        <f t="shared" si="97"/>
        <v>-2.4166053605756473E-2</v>
      </c>
    </row>
    <row r="2913" spans="1:7" x14ac:dyDescent="0.35">
      <c r="A2913" t="s">
        <v>155</v>
      </c>
      <c r="E2913">
        <v>1.5929466038003008E-3</v>
      </c>
      <c r="F2913">
        <f t="shared" si="96"/>
        <v>-1.4927181281313666E-2</v>
      </c>
      <c r="G2913">
        <f t="shared" si="97"/>
        <v>-2.4166053605756473E-2</v>
      </c>
    </row>
    <row r="2914" spans="1:7" x14ac:dyDescent="0.35">
      <c r="A2914" t="s">
        <v>155</v>
      </c>
      <c r="E2914">
        <v>5.2812104724961704E-3</v>
      </c>
      <c r="F2914">
        <f t="shared" si="96"/>
        <v>-1.4930664679755198E-2</v>
      </c>
      <c r="G2914">
        <f t="shared" si="97"/>
        <v>-2.4166053605756473E-2</v>
      </c>
    </row>
    <row r="2915" spans="1:7" x14ac:dyDescent="0.35">
      <c r="A2915" t="s">
        <v>155</v>
      </c>
      <c r="E2915">
        <v>-5.204815461796272E-3</v>
      </c>
      <c r="F2915">
        <f t="shared" si="96"/>
        <v>-1.4934148078196732E-2</v>
      </c>
      <c r="G2915">
        <f t="shared" si="97"/>
        <v>-2.4166053605756473E-2</v>
      </c>
    </row>
    <row r="2916" spans="1:7" x14ac:dyDescent="0.35">
      <c r="A2916" t="s">
        <v>155</v>
      </c>
      <c r="E2916">
        <v>-2.5670520980156392E-3</v>
      </c>
      <c r="F2916">
        <f t="shared" si="96"/>
        <v>-1.4937631476638262E-2</v>
      </c>
      <c r="G2916">
        <f t="shared" si="97"/>
        <v>-2.4166053605756473E-2</v>
      </c>
    </row>
    <row r="2917" spans="1:7" x14ac:dyDescent="0.35">
      <c r="A2917" t="s">
        <v>155</v>
      </c>
      <c r="E2917">
        <v>2.1123461243230746E-3</v>
      </c>
      <c r="F2917">
        <f t="shared" si="96"/>
        <v>-1.4941114875079793E-2</v>
      </c>
      <c r="G2917">
        <f t="shared" si="97"/>
        <v>-2.4166053605756473E-2</v>
      </c>
    </row>
    <row r="2918" spans="1:7" x14ac:dyDescent="0.35">
      <c r="A2918" t="s">
        <v>155</v>
      </c>
      <c r="E2918">
        <v>-8.8458375429248514E-3</v>
      </c>
      <c r="F2918">
        <f t="shared" si="96"/>
        <v>-1.4944598273521327E-2</v>
      </c>
      <c r="G2918">
        <f t="shared" si="97"/>
        <v>-2.4166053605756473E-2</v>
      </c>
    </row>
    <row r="2919" spans="1:7" x14ac:dyDescent="0.35">
      <c r="A2919" t="s">
        <v>155</v>
      </c>
      <c r="E2919">
        <v>-1.5793982152371999E-2</v>
      </c>
      <c r="F2919">
        <f t="shared" si="96"/>
        <v>-1.4948081671962859E-2</v>
      </c>
      <c r="G2919">
        <f t="shared" si="97"/>
        <v>-2.4166053605756473E-2</v>
      </c>
    </row>
    <row r="2920" spans="1:7" x14ac:dyDescent="0.35">
      <c r="A2920" t="s">
        <v>155</v>
      </c>
      <c r="E2920">
        <v>1.190805488179672E-2</v>
      </c>
      <c r="F2920">
        <f t="shared" si="96"/>
        <v>-1.4881897101573751E-2</v>
      </c>
      <c r="G2920">
        <f t="shared" si="97"/>
        <v>-2.4145785049072065E-2</v>
      </c>
    </row>
    <row r="2921" spans="1:7" x14ac:dyDescent="0.35">
      <c r="A2921" t="s">
        <v>155</v>
      </c>
      <c r="E2921">
        <v>1.3304812791138411E-2</v>
      </c>
      <c r="F2921">
        <f t="shared" si="96"/>
        <v>-1.4885380500015283E-2</v>
      </c>
      <c r="G2921">
        <f t="shared" si="97"/>
        <v>-2.4356327956969757E-2</v>
      </c>
    </row>
    <row r="2922" spans="1:7" x14ac:dyDescent="0.35">
      <c r="A2922" t="s">
        <v>155</v>
      </c>
      <c r="E2922">
        <v>5.2402478889686755E-3</v>
      </c>
      <c r="F2922">
        <f t="shared" si="96"/>
        <v>-1.4888863898456815E-2</v>
      </c>
      <c r="G2922">
        <f t="shared" si="97"/>
        <v>-2.4356327956969757E-2</v>
      </c>
    </row>
    <row r="2923" spans="1:7" x14ac:dyDescent="0.35">
      <c r="A2923" t="s">
        <v>155</v>
      </c>
      <c r="E2923">
        <v>-6.1564729718167543E-3</v>
      </c>
      <c r="F2923">
        <f t="shared" si="96"/>
        <v>-1.4892347296898346E-2</v>
      </c>
      <c r="G2923">
        <f t="shared" si="97"/>
        <v>-2.4356327956969757E-2</v>
      </c>
    </row>
    <row r="2924" spans="1:7" x14ac:dyDescent="0.35">
      <c r="A2924" t="s">
        <v>155</v>
      </c>
      <c r="E2924">
        <v>4.7834412644863003E-3</v>
      </c>
      <c r="F2924">
        <f t="shared" si="96"/>
        <v>-1.4895830695339878E-2</v>
      </c>
      <c r="G2924">
        <f t="shared" si="97"/>
        <v>-2.4356327956969757E-2</v>
      </c>
    </row>
    <row r="2925" spans="1:7" x14ac:dyDescent="0.35">
      <c r="A2925" t="s">
        <v>155</v>
      </c>
      <c r="E2925">
        <v>-1.6223802592851465E-2</v>
      </c>
      <c r="F2925">
        <f t="shared" si="96"/>
        <v>-1.489931409378141E-2</v>
      </c>
      <c r="G2925">
        <f t="shared" si="97"/>
        <v>-2.4356327956969757E-2</v>
      </c>
    </row>
    <row r="2926" spans="1:7" x14ac:dyDescent="0.35">
      <c r="A2926" t="s">
        <v>155</v>
      </c>
      <c r="E2926">
        <v>1.0494113721115186E-2</v>
      </c>
      <c r="F2926">
        <f t="shared" si="96"/>
        <v>-1.4862603905737126E-2</v>
      </c>
      <c r="G2926">
        <f t="shared" si="97"/>
        <v>-2.4325830104895262E-2</v>
      </c>
    </row>
    <row r="2927" spans="1:7" x14ac:dyDescent="0.35">
      <c r="A2927" t="s">
        <v>155</v>
      </c>
      <c r="E2927">
        <v>2.2041650055447419E-3</v>
      </c>
      <c r="F2927">
        <f t="shared" si="96"/>
        <v>-1.4863981991154027E-2</v>
      </c>
      <c r="G2927">
        <f t="shared" si="97"/>
        <v>-2.4325830104895262E-2</v>
      </c>
    </row>
    <row r="2928" spans="1:7" x14ac:dyDescent="0.35">
      <c r="A2928" t="s">
        <v>156</v>
      </c>
      <c r="B2928" s="3" cm="1">
        <f t="array" ref="B2928">_xlfn.STDEV.S(_xlfn._xlws.FILTER($E$2013:$E$3011, $A$2013:$A$3011="2021-10"))</f>
        <v>7.2499382751892725E-3</v>
      </c>
      <c r="C2928" s="3" cm="1">
        <f t="array" ref="C2928">AVERAGE(_xlfn._xlws.FILTER($E$2013:$E$3011, $A$2013:$A$3011="2021-10"))</f>
        <v>1.8810034872399311E-3</v>
      </c>
      <c r="D2928" s="3" cm="1">
        <f t="array" ref="D2928">_xlfn.PERCENTILE.EXC(_xlfn._xlws.FILTER($E$2490:$E$3818, $A$2490:$A$3818="2021-10"), 0.05)</f>
        <v>-1.2225874456420689E-2</v>
      </c>
      <c r="E2928">
        <v>-3.2535083647625479E-3</v>
      </c>
      <c r="F2928">
        <f t="shared" si="96"/>
        <v>-1.4865360076570929E-2</v>
      </c>
      <c r="G2928">
        <f t="shared" si="97"/>
        <v>-2.4325830104895262E-2</v>
      </c>
    </row>
    <row r="2929" spans="1:7" x14ac:dyDescent="0.35">
      <c r="A2929" t="s">
        <v>156</v>
      </c>
      <c r="E2929">
        <v>-7.2347979471436502E-4</v>
      </c>
      <c r="F2929">
        <f t="shared" si="96"/>
        <v>-1.486673816198783E-2</v>
      </c>
      <c r="G2929">
        <f t="shared" si="97"/>
        <v>-2.4325830104895262E-2</v>
      </c>
    </row>
    <row r="2930" spans="1:7" x14ac:dyDescent="0.35">
      <c r="A2930" t="s">
        <v>156</v>
      </c>
      <c r="E2930">
        <v>1.3083512591766183E-2</v>
      </c>
      <c r="F2930">
        <f t="shared" si="96"/>
        <v>-1.4868116247404733E-2</v>
      </c>
      <c r="G2930">
        <f t="shared" si="97"/>
        <v>-2.4325830104895262E-2</v>
      </c>
    </row>
    <row r="2931" spans="1:7" x14ac:dyDescent="0.35">
      <c r="A2931" t="s">
        <v>156</v>
      </c>
      <c r="E2931">
        <v>-1.2658959073008536E-2</v>
      </c>
      <c r="F2931">
        <f t="shared" si="96"/>
        <v>-1.4869494332821635E-2</v>
      </c>
      <c r="G2931">
        <f t="shared" si="97"/>
        <v>-2.4325830104895262E-2</v>
      </c>
    </row>
    <row r="2932" spans="1:7" x14ac:dyDescent="0.35">
      <c r="A2932" t="s">
        <v>156</v>
      </c>
      <c r="E2932">
        <v>1.5555893563827666E-2</v>
      </c>
      <c r="F2932">
        <f t="shared" si="96"/>
        <v>-1.4870872418238536E-2</v>
      </c>
      <c r="G2932">
        <f t="shared" si="97"/>
        <v>-2.4325830104895262E-2</v>
      </c>
    </row>
    <row r="2933" spans="1:7" x14ac:dyDescent="0.35">
      <c r="A2933" t="s">
        <v>156</v>
      </c>
      <c r="E2933">
        <v>1.4116312099444858E-3</v>
      </c>
      <c r="F2933">
        <f t="shared" si="96"/>
        <v>-1.4872250503655439E-2</v>
      </c>
      <c r="G2933">
        <f t="shared" si="97"/>
        <v>-2.4325830104895262E-2</v>
      </c>
    </row>
    <row r="2934" spans="1:7" x14ac:dyDescent="0.35">
      <c r="A2934" t="s">
        <v>156</v>
      </c>
      <c r="E2934">
        <v>6.7761573644933033E-3</v>
      </c>
      <c r="F2934">
        <f t="shared" si="96"/>
        <v>-1.4873628589072339E-2</v>
      </c>
      <c r="G2934">
        <f t="shared" si="97"/>
        <v>-2.4325830104895262E-2</v>
      </c>
    </row>
    <row r="2935" spans="1:7" x14ac:dyDescent="0.35">
      <c r="A2935" t="s">
        <v>156</v>
      </c>
      <c r="E2935">
        <v>-9.8808578028810419E-4</v>
      </c>
      <c r="F2935">
        <f t="shared" si="96"/>
        <v>-1.4875006674489242E-2</v>
      </c>
      <c r="G2935">
        <f t="shared" si="97"/>
        <v>-2.4325830104895262E-2</v>
      </c>
    </row>
    <row r="2936" spans="1:7" x14ac:dyDescent="0.35">
      <c r="A2936" t="s">
        <v>156</v>
      </c>
      <c r="E2936">
        <v>1.336083918642834E-3</v>
      </c>
      <c r="F2936">
        <f t="shared" si="96"/>
        <v>-1.4876384759906144E-2</v>
      </c>
      <c r="G2936">
        <f t="shared" si="97"/>
        <v>-2.4325830104895262E-2</v>
      </c>
    </row>
    <row r="2937" spans="1:7" x14ac:dyDescent="0.35">
      <c r="A2937" t="s">
        <v>156</v>
      </c>
      <c r="E2937">
        <v>1.146737853771734E-2</v>
      </c>
      <c r="F2937">
        <f t="shared" si="96"/>
        <v>-1.4877762845323045E-2</v>
      </c>
      <c r="G2937">
        <f t="shared" si="97"/>
        <v>-2.4325830104895262E-2</v>
      </c>
    </row>
    <row r="2938" spans="1:7" x14ac:dyDescent="0.35">
      <c r="A2938" t="s">
        <v>156</v>
      </c>
      <c r="E2938">
        <v>8.3612348560800232E-3</v>
      </c>
      <c r="F2938">
        <f t="shared" si="96"/>
        <v>-1.4879140930739948E-2</v>
      </c>
      <c r="G2938">
        <f t="shared" si="97"/>
        <v>-2.4325830104895262E-2</v>
      </c>
    </row>
    <row r="2939" spans="1:7" x14ac:dyDescent="0.35">
      <c r="A2939" t="s">
        <v>156</v>
      </c>
      <c r="E2939">
        <v>-8.3281129071300641E-3</v>
      </c>
      <c r="F2939">
        <f t="shared" si="96"/>
        <v>-1.4880519016156848E-2</v>
      </c>
      <c r="G2939">
        <f t="shared" si="97"/>
        <v>-2.4325830104895262E-2</v>
      </c>
    </row>
    <row r="2940" spans="1:7" x14ac:dyDescent="0.35">
      <c r="A2940" t="s">
        <v>156</v>
      </c>
      <c r="E2940">
        <v>5.3455552427486555E-3</v>
      </c>
      <c r="F2940">
        <f t="shared" si="96"/>
        <v>-1.4881897101573751E-2</v>
      </c>
      <c r="G2940">
        <f t="shared" si="97"/>
        <v>-2.4325830104895262E-2</v>
      </c>
    </row>
    <row r="2941" spans="1:7" x14ac:dyDescent="0.35">
      <c r="A2941" t="s">
        <v>156</v>
      </c>
      <c r="E2941">
        <v>1.4430746217290776E-3</v>
      </c>
      <c r="F2941">
        <f t="shared" si="96"/>
        <v>-1.4885380500015283E-2</v>
      </c>
      <c r="G2941">
        <f t="shared" si="97"/>
        <v>-2.4545456453809719E-2</v>
      </c>
    </row>
    <row r="2942" spans="1:7" x14ac:dyDescent="0.35">
      <c r="A2942" t="s">
        <v>156</v>
      </c>
      <c r="E2942">
        <v>-5.078019072140544E-3</v>
      </c>
      <c r="F2942">
        <f t="shared" si="96"/>
        <v>-1.4888863898456815E-2</v>
      </c>
      <c r="G2942">
        <f t="shared" si="97"/>
        <v>-2.4545456453809719E-2</v>
      </c>
    </row>
    <row r="2943" spans="1:7" x14ac:dyDescent="0.35">
      <c r="A2943" t="s">
        <v>156</v>
      </c>
      <c r="E2943">
        <v>-8.7003726196712263E-4</v>
      </c>
      <c r="F2943">
        <f t="shared" si="96"/>
        <v>-1.4892347296898346E-2</v>
      </c>
      <c r="G2943">
        <f t="shared" si="97"/>
        <v>-2.4545456453809719E-2</v>
      </c>
    </row>
    <row r="2944" spans="1:7" x14ac:dyDescent="0.35">
      <c r="A2944" t="s">
        <v>156</v>
      </c>
      <c r="E2944">
        <v>5.0611637705623904E-3</v>
      </c>
      <c r="F2944">
        <f t="shared" si="96"/>
        <v>-1.4895830695339878E-2</v>
      </c>
      <c r="G2944">
        <f t="shared" si="97"/>
        <v>-2.4545456453809719E-2</v>
      </c>
    </row>
    <row r="2945" spans="1:7" x14ac:dyDescent="0.35">
      <c r="A2945" t="s">
        <v>156</v>
      </c>
      <c r="E2945">
        <v>9.2695308252991934E-3</v>
      </c>
      <c r="F2945">
        <f t="shared" si="96"/>
        <v>-1.489931409378141E-2</v>
      </c>
      <c r="G2945">
        <f t="shared" si="97"/>
        <v>-2.4545456453809719E-2</v>
      </c>
    </row>
    <row r="2946" spans="1:7" x14ac:dyDescent="0.35">
      <c r="A2946" t="s">
        <v>156</v>
      </c>
      <c r="E2946">
        <v>-6.1208375284436236E-3</v>
      </c>
      <c r="F2946">
        <f t="shared" si="96"/>
        <v>-1.4902797492222942E-2</v>
      </c>
      <c r="G2946">
        <f t="shared" si="97"/>
        <v>-2.4545456453809719E-2</v>
      </c>
    </row>
    <row r="2947" spans="1:7" x14ac:dyDescent="0.35">
      <c r="A2947" t="s">
        <v>156</v>
      </c>
      <c r="E2947">
        <v>-3.2547541643281048E-3</v>
      </c>
      <c r="F2947">
        <f t="shared" si="96"/>
        <v>-1.4906280890664474E-2</v>
      </c>
      <c r="G2947">
        <f t="shared" si="97"/>
        <v>-2.4545456453809719E-2</v>
      </c>
    </row>
    <row r="2948" spans="1:7" x14ac:dyDescent="0.35">
      <c r="A2948" t="s">
        <v>156</v>
      </c>
      <c r="E2948">
        <v>1.6656506760104215E-3</v>
      </c>
      <c r="F2948">
        <f t="shared" ref="F2948:F3011" si="98">_xlfn.PERCENTILE.EXC(E2948:E6763,0.05)</f>
        <v>-1.4909764289106007E-2</v>
      </c>
      <c r="G2948">
        <f t="shared" ref="G2948:G3011" si="99">AVERAGEIFS(E2948:E6764,E2948:E6764,"&lt;=" &amp; F2948)</f>
        <v>-2.4545456453809719E-2</v>
      </c>
    </row>
    <row r="2949" spans="1:7" x14ac:dyDescent="0.35">
      <c r="A2949" t="s">
        <v>157</v>
      </c>
      <c r="B2949" s="3" cm="1">
        <f t="array" ref="B2949">_xlfn.STDEV.S(_xlfn._xlws.FILTER($E$2013:$E$3011, $A$2013:$A$3011="2021-11"))</f>
        <v>1.1022840871484361E-2</v>
      </c>
      <c r="C2949" s="3" cm="1">
        <f t="array" ref="C2949">AVERAGE(_xlfn._xlws.FILTER($E$2013:$E$3011, $A$2013:$A$3011="2021-11"))</f>
        <v>-1.6059526406044266E-3</v>
      </c>
      <c r="D2949" s="3" cm="1">
        <f t="array" ref="D2949">_xlfn.PERCENTILE.EXC(_xlfn._xlws.FILTER($E$2490:$E$3818, $A$2490:$A$3818="2021-11"), 0.05)</f>
        <v>-4.0128735396864283E-2</v>
      </c>
      <c r="E2949">
        <v>1.322361622879754E-3</v>
      </c>
      <c r="F2949">
        <f t="shared" si="98"/>
        <v>-1.4913247687547539E-2</v>
      </c>
      <c r="G2949">
        <f t="shared" si="99"/>
        <v>-2.4545456453809719E-2</v>
      </c>
    </row>
    <row r="2950" spans="1:7" x14ac:dyDescent="0.35">
      <c r="A2950" t="s">
        <v>157</v>
      </c>
      <c r="E2950">
        <v>-3.9532927720391572E-3</v>
      </c>
      <c r="F2950">
        <f t="shared" si="98"/>
        <v>-1.4916731085989071E-2</v>
      </c>
      <c r="G2950">
        <f t="shared" si="99"/>
        <v>-2.4545456453809719E-2</v>
      </c>
    </row>
    <row r="2951" spans="1:7" x14ac:dyDescent="0.35">
      <c r="A2951" t="s">
        <v>157</v>
      </c>
      <c r="E2951">
        <v>-7.2290367306713339E-4</v>
      </c>
      <c r="F2951">
        <f t="shared" si="98"/>
        <v>-1.4920214484430603E-2</v>
      </c>
      <c r="G2951">
        <f t="shared" si="99"/>
        <v>-2.4545456453809719E-2</v>
      </c>
    </row>
    <row r="2952" spans="1:7" x14ac:dyDescent="0.35">
      <c r="A2952" t="s">
        <v>157</v>
      </c>
      <c r="E2952">
        <v>-4.8324092546527721E-3</v>
      </c>
      <c r="F2952">
        <f t="shared" si="98"/>
        <v>-1.4923697882872134E-2</v>
      </c>
      <c r="G2952">
        <f t="shared" si="99"/>
        <v>-2.4545456453809719E-2</v>
      </c>
    </row>
    <row r="2953" spans="1:7" x14ac:dyDescent="0.35">
      <c r="A2953" t="s">
        <v>157</v>
      </c>
      <c r="E2953">
        <v>2.4325161079328558E-3</v>
      </c>
      <c r="F2953">
        <f t="shared" si="98"/>
        <v>-1.4927181281313666E-2</v>
      </c>
      <c r="G2953">
        <f t="shared" si="99"/>
        <v>-2.4545456453809719E-2</v>
      </c>
    </row>
    <row r="2954" spans="1:7" x14ac:dyDescent="0.35">
      <c r="A2954" t="s">
        <v>157</v>
      </c>
      <c r="E2954">
        <v>1.8861779217618278E-3</v>
      </c>
      <c r="F2954">
        <f t="shared" si="98"/>
        <v>-1.4930664679755198E-2</v>
      </c>
      <c r="G2954">
        <f t="shared" si="99"/>
        <v>-2.4545456453809719E-2</v>
      </c>
    </row>
    <row r="2955" spans="1:7" x14ac:dyDescent="0.35">
      <c r="A2955" t="s">
        <v>157</v>
      </c>
      <c r="E2955">
        <v>-3.6188610167328735E-3</v>
      </c>
      <c r="F2955">
        <f t="shared" si="98"/>
        <v>-1.4934148078196732E-2</v>
      </c>
      <c r="G2955">
        <f t="shared" si="99"/>
        <v>-2.4545456453809719E-2</v>
      </c>
    </row>
    <row r="2956" spans="1:7" x14ac:dyDescent="0.35">
      <c r="A2956" t="s">
        <v>157</v>
      </c>
      <c r="E2956">
        <v>8.1277496512573138E-3</v>
      </c>
      <c r="F2956">
        <f t="shared" si="98"/>
        <v>-1.4937631476638262E-2</v>
      </c>
      <c r="G2956">
        <f t="shared" si="99"/>
        <v>-2.4545456453809719E-2</v>
      </c>
    </row>
    <row r="2957" spans="1:7" x14ac:dyDescent="0.35">
      <c r="A2957" t="s">
        <v>157</v>
      </c>
      <c r="E2957">
        <v>4.6588660714917832E-3</v>
      </c>
      <c r="F2957">
        <f t="shared" si="98"/>
        <v>-1.4941114875079793E-2</v>
      </c>
      <c r="G2957">
        <f t="shared" si="99"/>
        <v>-2.4545456453809719E-2</v>
      </c>
    </row>
    <row r="2958" spans="1:7" x14ac:dyDescent="0.35">
      <c r="A2958" t="s">
        <v>157</v>
      </c>
      <c r="E2958">
        <v>-8.6752135030309968E-4</v>
      </c>
      <c r="F2958">
        <f t="shared" si="98"/>
        <v>-1.4944598273521327E-2</v>
      </c>
      <c r="G2958">
        <f t="shared" si="99"/>
        <v>-2.4545456453809719E-2</v>
      </c>
    </row>
    <row r="2959" spans="1:7" x14ac:dyDescent="0.35">
      <c r="A2959" t="s">
        <v>157</v>
      </c>
      <c r="E2959">
        <v>6.1297843993089254E-3</v>
      </c>
      <c r="F2959">
        <f t="shared" si="98"/>
        <v>-1.4948081671962859E-2</v>
      </c>
      <c r="G2959">
        <f t="shared" si="99"/>
        <v>-2.4545456453809719E-2</v>
      </c>
    </row>
    <row r="2960" spans="1:7" x14ac:dyDescent="0.35">
      <c r="A2960" t="s">
        <v>157</v>
      </c>
      <c r="E2960">
        <v>2.1626067326233778E-3</v>
      </c>
      <c r="F2960">
        <f t="shared" si="98"/>
        <v>-1.4951565070404391E-2</v>
      </c>
      <c r="G2960">
        <f t="shared" si="99"/>
        <v>-2.4545456453809719E-2</v>
      </c>
    </row>
    <row r="2961" spans="1:7" x14ac:dyDescent="0.35">
      <c r="A2961" t="s">
        <v>157</v>
      </c>
      <c r="E2961">
        <v>5.0713600640039859E-4</v>
      </c>
      <c r="F2961">
        <f t="shared" si="98"/>
        <v>-1.4960708534260044E-2</v>
      </c>
      <c r="G2961">
        <f t="shared" si="99"/>
        <v>-2.4773882439128894E-2</v>
      </c>
    </row>
    <row r="2962" spans="1:7" x14ac:dyDescent="0.35">
      <c r="A2962" t="s">
        <v>157</v>
      </c>
      <c r="E2962">
        <v>-8.8217895390211628E-3</v>
      </c>
      <c r="F2962">
        <f t="shared" si="98"/>
        <v>-1.4969851998115697E-2</v>
      </c>
      <c r="G2962">
        <f t="shared" si="99"/>
        <v>-2.4773882439128894E-2</v>
      </c>
    </row>
    <row r="2963" spans="1:7" x14ac:dyDescent="0.35">
      <c r="A2963" t="s">
        <v>157</v>
      </c>
      <c r="E2963">
        <v>-1.2377433101281765E-3</v>
      </c>
      <c r="F2963">
        <f t="shared" si="98"/>
        <v>-1.4978995461971352E-2</v>
      </c>
      <c r="G2963">
        <f t="shared" si="99"/>
        <v>-2.4773882439128894E-2</v>
      </c>
    </row>
    <row r="2964" spans="1:7" x14ac:dyDescent="0.35">
      <c r="A2964" t="s">
        <v>157</v>
      </c>
      <c r="E2964">
        <v>4.2221236648072149E-3</v>
      </c>
      <c r="F2964">
        <f t="shared" si="98"/>
        <v>-1.4988138925827005E-2</v>
      </c>
      <c r="G2964">
        <f t="shared" si="99"/>
        <v>-2.4773882439128894E-2</v>
      </c>
    </row>
    <row r="2965" spans="1:7" x14ac:dyDescent="0.35">
      <c r="A2965" t="s">
        <v>157</v>
      </c>
      <c r="E2965">
        <v>-4.8100363322112823E-4</v>
      </c>
      <c r="F2965">
        <f t="shared" si="98"/>
        <v>-1.4997282389682658E-2</v>
      </c>
      <c r="G2965">
        <f t="shared" si="99"/>
        <v>-2.4773882439128894E-2</v>
      </c>
    </row>
    <row r="2966" spans="1:7" x14ac:dyDescent="0.35">
      <c r="A2966" t="s">
        <v>157</v>
      </c>
      <c r="E2966">
        <v>4.0441158199368971E-3</v>
      </c>
      <c r="F2966">
        <f t="shared" si="98"/>
        <v>-1.5006425853538312E-2</v>
      </c>
      <c r="G2966">
        <f t="shared" si="99"/>
        <v>-2.4773882439128894E-2</v>
      </c>
    </row>
    <row r="2967" spans="1:7" x14ac:dyDescent="0.35">
      <c r="A2967" t="s">
        <v>157</v>
      </c>
      <c r="E2967">
        <v>2.1957097998647436E-3</v>
      </c>
      <c r="F2967">
        <f t="shared" si="98"/>
        <v>-1.5015569317393965E-2</v>
      </c>
      <c r="G2967">
        <f t="shared" si="99"/>
        <v>-2.4773882439128894E-2</v>
      </c>
    </row>
    <row r="2968" spans="1:7" x14ac:dyDescent="0.35">
      <c r="A2968" t="s">
        <v>157</v>
      </c>
      <c r="E2968">
        <v>-4.478865187503514E-2</v>
      </c>
      <c r="F2968">
        <f t="shared" si="98"/>
        <v>-1.502471278124962E-2</v>
      </c>
      <c r="G2968">
        <f t="shared" si="99"/>
        <v>-2.4773882439128894E-2</v>
      </c>
    </row>
    <row r="2969" spans="1:7" x14ac:dyDescent="0.35">
      <c r="A2969" t="s">
        <v>157</v>
      </c>
      <c r="E2969">
        <v>1.0026612553200965E-2</v>
      </c>
      <c r="F2969">
        <f t="shared" si="98"/>
        <v>-1.4913247687547539E-2</v>
      </c>
      <c r="G2969">
        <f t="shared" si="99"/>
        <v>-2.4063475610447201E-2</v>
      </c>
    </row>
    <row r="2970" spans="1:7" x14ac:dyDescent="0.35">
      <c r="A2970" t="s">
        <v>157</v>
      </c>
      <c r="E2970">
        <v>-1.37225420205628E-2</v>
      </c>
      <c r="F2970">
        <f t="shared" si="98"/>
        <v>-1.4916731085989071E-2</v>
      </c>
      <c r="G2970">
        <f t="shared" si="99"/>
        <v>-2.4063475610447201E-2</v>
      </c>
    </row>
    <row r="2971" spans="1:7" x14ac:dyDescent="0.35">
      <c r="A2971" t="s">
        <v>158</v>
      </c>
      <c r="B2971" s="3" cm="1">
        <f t="array" ref="B2971">_xlfn.STDEV.S(_xlfn._xlws.FILTER($E$2013:$E$3011, $A$2013:$A$3011="2021-12"))</f>
        <v>1.0704764215607924E-2</v>
      </c>
      <c r="C2971" s="3" cm="1">
        <f t="array" ref="C2971">AVERAGE(_xlfn._xlws.FILTER($E$2013:$E$3011, $A$2013:$A$3011="2021-12"))</f>
        <v>3.3560245459149938E-3</v>
      </c>
      <c r="D2971" s="3" cm="1">
        <f t="array" ref="D2971">_xlfn.PERCENTILE.EXC(_xlfn._xlws.FILTER($E$2490:$E$3818, $A$2490:$A$3818="2021-12"), 0.05)</f>
        <v>-1.5134434347517463E-2</v>
      </c>
      <c r="E2971">
        <v>1.7141704329936166E-2</v>
      </c>
      <c r="F2971">
        <f t="shared" si="98"/>
        <v>-1.4920214484430603E-2</v>
      </c>
      <c r="G2971">
        <f t="shared" si="99"/>
        <v>-2.4063475610447201E-2</v>
      </c>
    </row>
    <row r="2972" spans="1:7" x14ac:dyDescent="0.35">
      <c r="A2972" t="s">
        <v>158</v>
      </c>
      <c r="E2972">
        <v>-3.7400921513789957E-3</v>
      </c>
      <c r="F2972">
        <f t="shared" si="98"/>
        <v>-1.4923697882872134E-2</v>
      </c>
      <c r="G2972">
        <f t="shared" si="99"/>
        <v>-2.4063475610447201E-2</v>
      </c>
    </row>
    <row r="2973" spans="1:7" x14ac:dyDescent="0.35">
      <c r="A2973" t="s">
        <v>158</v>
      </c>
      <c r="E2973">
        <v>-6.572901465181794E-3</v>
      </c>
      <c r="F2973">
        <f t="shared" si="98"/>
        <v>-1.4927181281313666E-2</v>
      </c>
      <c r="G2973">
        <f t="shared" si="99"/>
        <v>-2.4063475610447201E-2</v>
      </c>
    </row>
    <row r="2974" spans="1:7" x14ac:dyDescent="0.35">
      <c r="A2974" t="s">
        <v>158</v>
      </c>
      <c r="E2974">
        <v>1.9437393142358282E-2</v>
      </c>
      <c r="F2974">
        <f t="shared" si="98"/>
        <v>-1.4930664679755198E-2</v>
      </c>
      <c r="G2974">
        <f t="shared" si="99"/>
        <v>-2.4063475610447201E-2</v>
      </c>
    </row>
    <row r="2975" spans="1:7" x14ac:dyDescent="0.35">
      <c r="A2975" t="s">
        <v>158</v>
      </c>
      <c r="E2975">
        <v>1.5839617226267391E-2</v>
      </c>
      <c r="F2975">
        <f t="shared" si="98"/>
        <v>-1.4934148078196732E-2</v>
      </c>
      <c r="G2975">
        <f t="shared" si="99"/>
        <v>-2.4063475610447201E-2</v>
      </c>
    </row>
    <row r="2976" spans="1:7" x14ac:dyDescent="0.35">
      <c r="A2976" t="s">
        <v>158</v>
      </c>
      <c r="E2976">
        <v>-8.9276016788734716E-3</v>
      </c>
      <c r="F2976">
        <f t="shared" si="98"/>
        <v>-1.4937631476638262E-2</v>
      </c>
      <c r="G2976">
        <f t="shared" si="99"/>
        <v>-2.4063475610447201E-2</v>
      </c>
    </row>
    <row r="2977" spans="1:7" x14ac:dyDescent="0.35">
      <c r="A2977" t="s">
        <v>158</v>
      </c>
      <c r="E2977">
        <v>1.1674152247438427E-3</v>
      </c>
      <c r="F2977">
        <f t="shared" si="98"/>
        <v>-1.4941114875079793E-2</v>
      </c>
      <c r="G2977">
        <f t="shared" si="99"/>
        <v>-2.4063475610447201E-2</v>
      </c>
    </row>
    <row r="2978" spans="1:7" x14ac:dyDescent="0.35">
      <c r="A2978" t="s">
        <v>158</v>
      </c>
      <c r="E2978">
        <v>-2.3704962138716254E-3</v>
      </c>
      <c r="F2978">
        <f t="shared" si="98"/>
        <v>-1.4944598273521327E-2</v>
      </c>
      <c r="G2978">
        <f t="shared" si="99"/>
        <v>-2.4063475610447201E-2</v>
      </c>
    </row>
    <row r="2979" spans="1:7" x14ac:dyDescent="0.35">
      <c r="A2979" t="s">
        <v>158</v>
      </c>
      <c r="E2979">
        <v>-1.0163762171866259E-2</v>
      </c>
      <c r="F2979">
        <f t="shared" si="98"/>
        <v>-1.4948081671962859E-2</v>
      </c>
      <c r="G2979">
        <f t="shared" si="99"/>
        <v>-2.4063475610447201E-2</v>
      </c>
    </row>
    <row r="2980" spans="1:7" x14ac:dyDescent="0.35">
      <c r="A2980" t="s">
        <v>158</v>
      </c>
      <c r="E2980">
        <v>1.2242738586423147E-3</v>
      </c>
      <c r="F2980">
        <f t="shared" si="98"/>
        <v>-1.4951565070404391E-2</v>
      </c>
      <c r="G2980">
        <f t="shared" si="99"/>
        <v>-2.4063475610447201E-2</v>
      </c>
    </row>
    <row r="2981" spans="1:7" x14ac:dyDescent="0.35">
      <c r="A2981" t="s">
        <v>158</v>
      </c>
      <c r="E2981">
        <v>-6.8014533053535314E-3</v>
      </c>
      <c r="F2981">
        <f t="shared" si="98"/>
        <v>-1.4960708534260044E-2</v>
      </c>
      <c r="G2981">
        <f t="shared" si="99"/>
        <v>-2.4285717330936051E-2</v>
      </c>
    </row>
    <row r="2982" spans="1:7" x14ac:dyDescent="0.35">
      <c r="A2982" t="s">
        <v>158</v>
      </c>
      <c r="E2982">
        <v>1.5381919871967187E-2</v>
      </c>
      <c r="F2982">
        <f t="shared" si="98"/>
        <v>-1.4969851998115697E-2</v>
      </c>
      <c r="G2982">
        <f t="shared" si="99"/>
        <v>-2.4285717330936051E-2</v>
      </c>
    </row>
    <row r="2983" spans="1:7" x14ac:dyDescent="0.35">
      <c r="A2983" t="s">
        <v>158</v>
      </c>
      <c r="E2983">
        <v>1.3447782774720163E-3</v>
      </c>
      <c r="F2983">
        <f t="shared" si="98"/>
        <v>-1.4978995461971352E-2</v>
      </c>
      <c r="G2983">
        <f t="shared" si="99"/>
        <v>-2.4285717330936051E-2</v>
      </c>
    </row>
    <row r="2984" spans="1:7" x14ac:dyDescent="0.35">
      <c r="A2984" t="s">
        <v>158</v>
      </c>
      <c r="E2984">
        <v>-1.5134434347517463E-2</v>
      </c>
      <c r="F2984">
        <f t="shared" si="98"/>
        <v>-1.4988138925827005E-2</v>
      </c>
      <c r="G2984">
        <f t="shared" si="99"/>
        <v>-2.4285717330936051E-2</v>
      </c>
    </row>
    <row r="2985" spans="1:7" x14ac:dyDescent="0.35">
      <c r="A2985" t="s">
        <v>158</v>
      </c>
      <c r="E2985">
        <v>1.8092069222162624E-2</v>
      </c>
      <c r="F2985">
        <f t="shared" si="98"/>
        <v>-1.489931409378141E-2</v>
      </c>
      <c r="G2985">
        <f t="shared" si="99"/>
        <v>-2.4281257104664999E-2</v>
      </c>
    </row>
    <row r="2986" spans="1:7" x14ac:dyDescent="0.35">
      <c r="A2986" t="s">
        <v>158</v>
      </c>
      <c r="E2986">
        <v>8.6762883926101726E-3</v>
      </c>
      <c r="F2986">
        <f t="shared" si="98"/>
        <v>-1.4902797492222942E-2</v>
      </c>
      <c r="G2986">
        <f t="shared" si="99"/>
        <v>-2.4281257104664999E-2</v>
      </c>
    </row>
    <row r="2987" spans="1:7" x14ac:dyDescent="0.35">
      <c r="A2987" t="s">
        <v>158</v>
      </c>
      <c r="E2987">
        <v>8.156410081816912E-3</v>
      </c>
      <c r="F2987">
        <f t="shared" si="98"/>
        <v>-1.4906280890664474E-2</v>
      </c>
      <c r="G2987">
        <f t="shared" si="99"/>
        <v>-2.4281257104664999E-2</v>
      </c>
    </row>
    <row r="2988" spans="1:7" x14ac:dyDescent="0.35">
      <c r="A2988" t="s">
        <v>158</v>
      </c>
      <c r="E2988">
        <v>1.1071423847625375E-2</v>
      </c>
      <c r="F2988">
        <f t="shared" si="98"/>
        <v>-1.4909764289106007E-2</v>
      </c>
      <c r="G2988">
        <f t="shared" si="99"/>
        <v>-2.4281257104664999E-2</v>
      </c>
    </row>
    <row r="2989" spans="1:7" x14ac:dyDescent="0.35">
      <c r="A2989" t="s">
        <v>158</v>
      </c>
      <c r="E2989">
        <v>-5.8085769174254214E-5</v>
      </c>
      <c r="F2989">
        <f t="shared" si="98"/>
        <v>-1.4913247687547539E-2</v>
      </c>
      <c r="G2989">
        <f t="shared" si="99"/>
        <v>-2.4281257104664999E-2</v>
      </c>
    </row>
    <row r="2990" spans="1:7" x14ac:dyDescent="0.35">
      <c r="A2990" t="s">
        <v>159</v>
      </c>
      <c r="B2990" s="3" cm="1">
        <f t="array" ref="B2990">_xlfn.STDEV.S(_xlfn._xlws.FILTER($E$2013:$E$3011, $A$2013:$A$3011="2022-01"))</f>
        <v>1.2428875066010862E-2</v>
      </c>
      <c r="C2990" s="3" cm="1">
        <f t="array" ref="C2990">AVERAGE(_xlfn._xlws.FILTER($E$2013:$E$3011, $A$2013:$A$3011="2022-01"))</f>
        <v>6.5674270389314698E-4</v>
      </c>
      <c r="D2990" s="3" cm="1">
        <f t="array" ref="D2990">_xlfn.PERCENTILE.EXC(_xlfn._xlws.FILTER($E$2490:$E$3818, $A$2490:$A$3818="2022-01"), 0.05)</f>
        <v>-3.1844060686713402E-2</v>
      </c>
      <c r="E2990">
        <v>1.9261137069105306E-2</v>
      </c>
      <c r="F2990">
        <f t="shared" si="98"/>
        <v>-1.4916731085989071E-2</v>
      </c>
      <c r="G2990">
        <f t="shared" si="99"/>
        <v>-2.4281257104664999E-2</v>
      </c>
    </row>
    <row r="2991" spans="1:7" x14ac:dyDescent="0.35">
      <c r="A2991" t="s">
        <v>159</v>
      </c>
      <c r="E2991">
        <v>1.3153489993462078E-3</v>
      </c>
      <c r="F2991">
        <f t="shared" si="98"/>
        <v>-1.4920214484430603E-2</v>
      </c>
      <c r="G2991">
        <f t="shared" si="99"/>
        <v>-2.4281257104664999E-2</v>
      </c>
    </row>
    <row r="2992" spans="1:7" x14ac:dyDescent="0.35">
      <c r="A2992" t="s">
        <v>159</v>
      </c>
      <c r="E2992">
        <v>-9.187627749976569E-3</v>
      </c>
      <c r="F2992">
        <f t="shared" si="98"/>
        <v>-1.4923697882872134E-2</v>
      </c>
      <c r="G2992">
        <f t="shared" si="99"/>
        <v>-2.4281257104664999E-2</v>
      </c>
    </row>
    <row r="2993" spans="1:7" x14ac:dyDescent="0.35">
      <c r="A2993" t="s">
        <v>159</v>
      </c>
      <c r="E2993">
        <v>2.9038899237849524E-3</v>
      </c>
      <c r="F2993">
        <f t="shared" si="98"/>
        <v>-1.4927181281313666E-2</v>
      </c>
      <c r="G2993">
        <f t="shared" si="99"/>
        <v>-2.4281257104664999E-2</v>
      </c>
    </row>
    <row r="2994" spans="1:7" x14ac:dyDescent="0.35">
      <c r="A2994" t="s">
        <v>159</v>
      </c>
      <c r="E2994">
        <v>-4.1463221877464833E-3</v>
      </c>
      <c r="F2994">
        <f t="shared" si="98"/>
        <v>-1.4930664679755198E-2</v>
      </c>
      <c r="G2994">
        <f t="shared" si="99"/>
        <v>-2.4281257104664999E-2</v>
      </c>
    </row>
    <row r="2995" spans="1:7" x14ac:dyDescent="0.35">
      <c r="A2995" t="s">
        <v>159</v>
      </c>
      <c r="E2995">
        <v>7.9446669883809582E-3</v>
      </c>
      <c r="F2995">
        <f t="shared" si="98"/>
        <v>-1.4934148078196732E-2</v>
      </c>
      <c r="G2995">
        <f t="shared" si="99"/>
        <v>-2.4281257104664999E-2</v>
      </c>
    </row>
    <row r="2996" spans="1:7" x14ac:dyDescent="0.35">
      <c r="A2996" t="s">
        <v>159</v>
      </c>
      <c r="E2996">
        <v>6.7158295957626332E-3</v>
      </c>
      <c r="F2996">
        <f t="shared" si="98"/>
        <v>-1.4937631476638262E-2</v>
      </c>
      <c r="G2996">
        <f t="shared" si="99"/>
        <v>-2.4281257104664999E-2</v>
      </c>
    </row>
    <row r="2997" spans="1:7" x14ac:dyDescent="0.35">
      <c r="A2997" t="s">
        <v>159</v>
      </c>
      <c r="E2997">
        <v>5.5821213466082328E-4</v>
      </c>
      <c r="F2997">
        <f t="shared" si="98"/>
        <v>-1.4941114875079793E-2</v>
      </c>
      <c r="G2997">
        <f t="shared" si="99"/>
        <v>-2.4281257104664999E-2</v>
      </c>
    </row>
    <row r="2998" spans="1:7" x14ac:dyDescent="0.35">
      <c r="A2998" t="s">
        <v>159</v>
      </c>
      <c r="E2998">
        <v>-1.7710814430788938E-3</v>
      </c>
      <c r="F2998">
        <f t="shared" si="98"/>
        <v>-1.4944598273521327E-2</v>
      </c>
      <c r="G2998">
        <f t="shared" si="99"/>
        <v>-2.4281257104664999E-2</v>
      </c>
    </row>
    <row r="2999" spans="1:7" x14ac:dyDescent="0.35">
      <c r="A2999" t="s">
        <v>159</v>
      </c>
      <c r="E2999">
        <v>7.7685745028118966E-3</v>
      </c>
      <c r="F2999">
        <f t="shared" si="98"/>
        <v>-1.4948081671962859E-2</v>
      </c>
      <c r="G2999">
        <f t="shared" si="99"/>
        <v>-2.4281257104664999E-2</v>
      </c>
    </row>
    <row r="3000" spans="1:7" x14ac:dyDescent="0.35">
      <c r="A3000" t="s">
        <v>159</v>
      </c>
      <c r="E3000">
        <v>-3.8903476520506684E-3</v>
      </c>
      <c r="F3000">
        <f t="shared" si="98"/>
        <v>-1.4951565070404391E-2</v>
      </c>
      <c r="G3000">
        <f t="shared" si="99"/>
        <v>-2.4281257104664999E-2</v>
      </c>
    </row>
    <row r="3001" spans="1:7" x14ac:dyDescent="0.35">
      <c r="A3001" t="s">
        <v>159</v>
      </c>
      <c r="E3001">
        <v>5.195771267741494E-3</v>
      </c>
      <c r="F3001">
        <f t="shared" si="98"/>
        <v>-1.4973523508323558E-2</v>
      </c>
      <c r="G3001">
        <f t="shared" si="99"/>
        <v>-2.4514499405521514E-2</v>
      </c>
    </row>
    <row r="3002" spans="1:7" x14ac:dyDescent="0.35">
      <c r="A3002" t="s">
        <v>159</v>
      </c>
      <c r="E3002">
        <v>9.6023685382537265E-4</v>
      </c>
      <c r="F3002">
        <f t="shared" si="98"/>
        <v>-1.4995481946242726E-2</v>
      </c>
      <c r="G3002">
        <f t="shared" si="99"/>
        <v>-2.4514499405521514E-2</v>
      </c>
    </row>
    <row r="3003" spans="1:7" x14ac:dyDescent="0.35">
      <c r="A3003" t="s">
        <v>159</v>
      </c>
      <c r="E3003">
        <v>-1.8879986711822463E-2</v>
      </c>
      <c r="F3003">
        <f t="shared" si="98"/>
        <v>-1.5017440384161897E-2</v>
      </c>
      <c r="G3003">
        <f t="shared" si="99"/>
        <v>-2.4514499405521514E-2</v>
      </c>
    </row>
    <row r="3004" spans="1:7" x14ac:dyDescent="0.35">
      <c r="A3004" t="s">
        <v>159</v>
      </c>
      <c r="E3004">
        <v>-3.2526380369602398E-2</v>
      </c>
      <c r="F3004">
        <f t="shared" si="98"/>
        <v>-1.4895830695339878E-2</v>
      </c>
      <c r="G3004">
        <f t="shared" si="99"/>
        <v>-2.4416288864486064E-2</v>
      </c>
    </row>
    <row r="3005" spans="1:7" x14ac:dyDescent="0.35">
      <c r="A3005" t="s">
        <v>159</v>
      </c>
      <c r="E3005">
        <v>1.6785671762287794E-2</v>
      </c>
      <c r="F3005">
        <f t="shared" si="98"/>
        <v>-1.4861225820320224E-2</v>
      </c>
      <c r="G3005">
        <f t="shared" si="99"/>
        <v>-2.3975176782785348E-2</v>
      </c>
    </row>
    <row r="3006" spans="1:7" x14ac:dyDescent="0.35">
      <c r="A3006" t="s">
        <v>159</v>
      </c>
      <c r="E3006">
        <v>1.5026222621141219E-2</v>
      </c>
      <c r="F3006">
        <f t="shared" si="98"/>
        <v>-1.4862603905737126E-2</v>
      </c>
      <c r="G3006">
        <f t="shared" si="99"/>
        <v>-2.3975176782785348E-2</v>
      </c>
    </row>
    <row r="3007" spans="1:7" x14ac:dyDescent="0.35">
      <c r="A3007" t="s">
        <v>159</v>
      </c>
      <c r="E3007">
        <v>1.3460224853087607E-2</v>
      </c>
      <c r="F3007">
        <f t="shared" si="98"/>
        <v>-1.4863981991154027E-2</v>
      </c>
      <c r="G3007">
        <f t="shared" si="99"/>
        <v>-2.3975176782785348E-2</v>
      </c>
    </row>
    <row r="3008" spans="1:7" x14ac:dyDescent="0.35">
      <c r="A3008" t="s">
        <v>159</v>
      </c>
      <c r="E3008">
        <v>-1.1630495893490423E-2</v>
      </c>
      <c r="F3008">
        <f t="shared" si="98"/>
        <v>-1.4865360076570929E-2</v>
      </c>
      <c r="G3008">
        <f t="shared" si="99"/>
        <v>-2.3975176782785348E-2</v>
      </c>
    </row>
    <row r="3009" spans="1:7" x14ac:dyDescent="0.35">
      <c r="A3009" t="s">
        <v>159</v>
      </c>
      <c r="E3009">
        <v>-2.7286904863054193E-3</v>
      </c>
      <c r="F3009">
        <f t="shared" si="98"/>
        <v>-1.486673816198783E-2</v>
      </c>
      <c r="G3009">
        <f t="shared" si="99"/>
        <v>-2.3975176782785348E-2</v>
      </c>
    </row>
    <row r="3010" spans="1:7" x14ac:dyDescent="0.35">
      <c r="A3010" t="s">
        <v>160</v>
      </c>
      <c r="B3010" s="3" cm="1">
        <f t="array" ref="B3010">_xlfn.STDEV.S(_xlfn._xlws.FILTER($E$2013:$E$3011, $A$2013:$A$3011="2022-02"))</f>
        <v>4.6790581746846841E-3</v>
      </c>
      <c r="C3010" s="3" cm="1">
        <f t="array" ref="C3010">AVERAGE(_xlfn._xlws.FILTER($E$2013:$E$3011, $A$2013:$A$3011="2022-02"))</f>
        <v>9.0198358398990725E-3</v>
      </c>
      <c r="D3010" s="3" cm="1">
        <f t="array" ref="D3010">_xlfn.PERCENTILE.EXC(_xlfn._xlws.FILTER($E$2490:$E$3818, $A$2490:$A$3818="2022-02"), 0.05)</f>
        <v>-3.9070294738434382E-2</v>
      </c>
      <c r="E3010">
        <v>1.2328429604784962E-2</v>
      </c>
      <c r="F3010">
        <f t="shared" si="98"/>
        <v>-1.4868116247404733E-2</v>
      </c>
      <c r="G3010">
        <f t="shared" si="99"/>
        <v>-2.3975176782785348E-2</v>
      </c>
    </row>
    <row r="3011" spans="1:7" x14ac:dyDescent="0.35">
      <c r="A3011" t="s">
        <v>160</v>
      </c>
      <c r="E3011">
        <v>5.7112420750131832E-3</v>
      </c>
      <c r="F3011">
        <f t="shared" si="98"/>
        <v>-1.4869494332821635E-2</v>
      </c>
      <c r="G3011">
        <f t="shared" si="99"/>
        <v>-2.3975176782785348E-2</v>
      </c>
    </row>
    <row r="3012" spans="1:7" x14ac:dyDescent="0.35">
      <c r="A3012" t="s">
        <v>160</v>
      </c>
      <c r="E3012">
        <v>-1.6650771880404345E-2</v>
      </c>
      <c r="F3012">
        <f t="shared" ref="F3012:F3075" si="100">_xlfn.PERCENTILE.EXC(E3012:E6827,0.05)</f>
        <v>-1.4870872418238536E-2</v>
      </c>
      <c r="G3012">
        <f t="shared" ref="G3012:G3075" si="101">AVERAGEIFS(E3012:E6828,E3012:E6828,"&lt;=" &amp; F3012)</f>
        <v>-2.3975176782785348E-2</v>
      </c>
    </row>
    <row r="3013" spans="1:7" x14ac:dyDescent="0.35">
      <c r="A3013" t="s">
        <v>160</v>
      </c>
      <c r="E3013">
        <v>-7.9060501692928102E-3</v>
      </c>
      <c r="F3013">
        <f t="shared" si="100"/>
        <v>-1.4773686583027537E-2</v>
      </c>
      <c r="G3013">
        <f t="shared" si="101"/>
        <v>-2.3930265870606132E-2</v>
      </c>
    </row>
    <row r="3014" spans="1:7" x14ac:dyDescent="0.35">
      <c r="A3014" t="s">
        <v>160</v>
      </c>
      <c r="E3014">
        <v>9.2936594119723531E-3</v>
      </c>
      <c r="F3014">
        <f t="shared" si="100"/>
        <v>-1.4785207841628704E-2</v>
      </c>
      <c r="G3014">
        <f t="shared" si="101"/>
        <v>-2.3930265870606132E-2</v>
      </c>
    </row>
    <row r="3015" spans="1:7" x14ac:dyDescent="0.35">
      <c r="A3015" t="s">
        <v>160</v>
      </c>
      <c r="E3015">
        <v>9.7494826390262372E-4</v>
      </c>
      <c r="F3015">
        <f t="shared" si="100"/>
        <v>-1.4796729100229875E-2</v>
      </c>
      <c r="G3015">
        <f t="shared" si="101"/>
        <v>-2.3930265870606132E-2</v>
      </c>
    </row>
    <row r="3016" spans="1:7" x14ac:dyDescent="0.35">
      <c r="A3016" t="s">
        <v>160</v>
      </c>
      <c r="E3016">
        <v>8.1825934946283679E-3</v>
      </c>
      <c r="F3016">
        <f t="shared" si="100"/>
        <v>-1.4808250358831042E-2</v>
      </c>
      <c r="G3016">
        <f t="shared" si="101"/>
        <v>-2.3930265870606132E-2</v>
      </c>
    </row>
    <row r="3017" spans="1:7" x14ac:dyDescent="0.35">
      <c r="A3017" t="s">
        <v>160</v>
      </c>
      <c r="E3017">
        <v>6.8039035703459242E-3</v>
      </c>
      <c r="F3017">
        <f t="shared" si="100"/>
        <v>-1.4819771617432208E-2</v>
      </c>
      <c r="G3017">
        <f t="shared" si="101"/>
        <v>-2.3930265870606132E-2</v>
      </c>
    </row>
    <row r="3018" spans="1:7" x14ac:dyDescent="0.35">
      <c r="A3018" t="s">
        <v>160</v>
      </c>
      <c r="E3018">
        <v>3.6559768366150403E-3</v>
      </c>
      <c r="F3018">
        <f t="shared" si="100"/>
        <v>-1.4831292876033377E-2</v>
      </c>
      <c r="G3018">
        <f t="shared" si="101"/>
        <v>-2.3930265870606132E-2</v>
      </c>
    </row>
    <row r="3019" spans="1:7" x14ac:dyDescent="0.35">
      <c r="A3019" t="s">
        <v>160</v>
      </c>
      <c r="E3019">
        <v>-1.4536057421278186E-2</v>
      </c>
      <c r="F3019">
        <f t="shared" si="100"/>
        <v>-1.4842814134634546E-2</v>
      </c>
      <c r="G3019">
        <f t="shared" si="101"/>
        <v>-2.3930265870606132E-2</v>
      </c>
    </row>
    <row r="3020" spans="1:7" x14ac:dyDescent="0.35">
      <c r="A3020" t="s">
        <v>160</v>
      </c>
      <c r="E3020">
        <v>5.9658789084628882E-3</v>
      </c>
      <c r="F3020">
        <f t="shared" si="100"/>
        <v>-1.4854335393235715E-2</v>
      </c>
      <c r="G3020">
        <f t="shared" si="101"/>
        <v>-2.3930265870606132E-2</v>
      </c>
    </row>
    <row r="3021" spans="1:7" x14ac:dyDescent="0.35">
      <c r="A3021" t="s">
        <v>160</v>
      </c>
      <c r="E3021">
        <v>1.5311716105788002E-3</v>
      </c>
      <c r="F3021">
        <f t="shared" si="100"/>
        <v>-1.4855713478652617E-2</v>
      </c>
      <c r="G3021">
        <f t="shared" si="101"/>
        <v>-2.4162982036692555E-2</v>
      </c>
    </row>
    <row r="3022" spans="1:7" x14ac:dyDescent="0.35">
      <c r="A3022" t="s">
        <v>160</v>
      </c>
      <c r="E3022">
        <v>-4.2034068754517664E-3</v>
      </c>
      <c r="F3022">
        <f t="shared" si="100"/>
        <v>-1.4857091564069518E-2</v>
      </c>
      <c r="G3022">
        <f t="shared" si="101"/>
        <v>-2.4162982036692555E-2</v>
      </c>
    </row>
    <row r="3023" spans="1:7" x14ac:dyDescent="0.35">
      <c r="A3023" t="s">
        <v>160</v>
      </c>
      <c r="E3023">
        <v>-2.9072281767588398E-3</v>
      </c>
      <c r="F3023">
        <f t="shared" si="100"/>
        <v>-1.485846964948642E-2</v>
      </c>
      <c r="G3023">
        <f t="shared" si="101"/>
        <v>-2.4162982036692555E-2</v>
      </c>
    </row>
    <row r="3024" spans="1:7" x14ac:dyDescent="0.35">
      <c r="A3024" t="s">
        <v>160</v>
      </c>
      <c r="E3024">
        <v>-2.7150783558385658E-3</v>
      </c>
      <c r="F3024">
        <f t="shared" si="100"/>
        <v>-1.4859847734903321E-2</v>
      </c>
      <c r="G3024">
        <f t="shared" si="101"/>
        <v>-2.4162982036692555E-2</v>
      </c>
    </row>
    <row r="3025" spans="1:7" x14ac:dyDescent="0.35">
      <c r="A3025" t="s">
        <v>160</v>
      </c>
      <c r="E3025">
        <v>-1.2138699548445615E-4</v>
      </c>
      <c r="F3025">
        <f t="shared" si="100"/>
        <v>-1.4861225820320224E-2</v>
      </c>
      <c r="G3025">
        <f t="shared" si="101"/>
        <v>-2.4162982036692555E-2</v>
      </c>
    </row>
    <row r="3026" spans="1:7" x14ac:dyDescent="0.35">
      <c r="A3026" t="s">
        <v>160</v>
      </c>
      <c r="E3026">
        <v>-6.956227916477207E-4</v>
      </c>
      <c r="F3026">
        <f t="shared" si="100"/>
        <v>-1.4862603905737126E-2</v>
      </c>
      <c r="G3026">
        <f t="shared" si="101"/>
        <v>-2.4162982036692555E-2</v>
      </c>
    </row>
    <row r="3027" spans="1:7" x14ac:dyDescent="0.35">
      <c r="A3027" t="s">
        <v>160</v>
      </c>
      <c r="E3027">
        <v>-4.0250269625699123E-2</v>
      </c>
      <c r="F3027">
        <f t="shared" si="100"/>
        <v>-1.4863981991154027E-2</v>
      </c>
      <c r="G3027">
        <f t="shared" si="101"/>
        <v>-2.4162982036692555E-2</v>
      </c>
    </row>
    <row r="3028" spans="1:7" x14ac:dyDescent="0.35">
      <c r="A3028" t="s">
        <v>160</v>
      </c>
      <c r="E3028">
        <v>3.2982562154608167E-2</v>
      </c>
      <c r="F3028">
        <f t="shared" si="100"/>
        <v>-1.4716080290021695E-2</v>
      </c>
      <c r="G3028">
        <f t="shared" si="101"/>
        <v>-2.3511804235860155E-2</v>
      </c>
    </row>
    <row r="3029" spans="1:7" x14ac:dyDescent="0.35">
      <c r="A3029" t="s">
        <v>160</v>
      </c>
      <c r="E3029">
        <v>-4.453188022427521E-4</v>
      </c>
      <c r="F3029">
        <f t="shared" si="100"/>
        <v>-1.4727601548622864E-2</v>
      </c>
      <c r="G3029">
        <f t="shared" si="101"/>
        <v>-2.3511804235860155E-2</v>
      </c>
    </row>
    <row r="3030" spans="1:7" x14ac:dyDescent="0.35">
      <c r="A3030" t="s">
        <v>161</v>
      </c>
      <c r="B3030" s="3" cm="1">
        <f t="array" ref="B3030">_xlfn.STDEV.S(_xlfn._xlws.FILTER($E$2826:$E$3824, $A$2826:$A$3824="2022-03"))</f>
        <v>1.2700793139194902E-2</v>
      </c>
      <c r="C3030" s="3" cm="1">
        <f t="array" ref="C3030">AVERAGE(_xlfn._xlws.FILTER($E$2826:$E$3824, $A$2826:$A$3824="2022-03"))</f>
        <v>-1.2578006517750439E-5</v>
      </c>
      <c r="D3030" s="3" cm="1">
        <f t="array" ref="D3030">_xlfn.PERCENTILE.EXC(_xlfn._xlws.FILTER($E$2490:$E$3818, $A$2490:$A$3818="2022-03"), 0.05)</f>
        <v>-3.0234006991553406E-2</v>
      </c>
      <c r="E3030">
        <v>-1.4555322944592181E-2</v>
      </c>
      <c r="F3030">
        <f t="shared" si="100"/>
        <v>-1.4739122807224033E-2</v>
      </c>
      <c r="G3030">
        <f t="shared" si="101"/>
        <v>-2.3511804235860155E-2</v>
      </c>
    </row>
    <row r="3031" spans="1:7" x14ac:dyDescent="0.35">
      <c r="A3031" t="s">
        <v>161</v>
      </c>
      <c r="E3031">
        <v>1.7453398763939285E-2</v>
      </c>
      <c r="F3031">
        <f t="shared" si="100"/>
        <v>-1.47506440658252E-2</v>
      </c>
      <c r="G3031">
        <f t="shared" si="101"/>
        <v>-2.3511804235860155E-2</v>
      </c>
    </row>
    <row r="3032" spans="1:7" x14ac:dyDescent="0.35">
      <c r="A3032" t="s">
        <v>161</v>
      </c>
      <c r="E3032">
        <v>-2.3183014076833739E-2</v>
      </c>
      <c r="F3032">
        <f t="shared" si="100"/>
        <v>-1.4762165324426368E-2</v>
      </c>
      <c r="G3032">
        <f t="shared" si="101"/>
        <v>-2.3511804235860155E-2</v>
      </c>
    </row>
    <row r="3033" spans="1:7" x14ac:dyDescent="0.35">
      <c r="A3033" t="s">
        <v>161</v>
      </c>
      <c r="E3033">
        <v>-3.1996755220233326E-2</v>
      </c>
      <c r="F3033">
        <f t="shared" si="100"/>
        <v>-1.4606481426027433E-2</v>
      </c>
      <c r="G3033">
        <f t="shared" si="101"/>
        <v>-2.3292340034433964E-2</v>
      </c>
    </row>
    <row r="3034" spans="1:7" x14ac:dyDescent="0.35">
      <c r="A3034" t="s">
        <v>161</v>
      </c>
      <c r="E3034">
        <v>-8.0958172733350386E-3</v>
      </c>
      <c r="F3034">
        <f t="shared" si="100"/>
        <v>-1.4557996395311129E-2</v>
      </c>
      <c r="G3034">
        <f t="shared" si="101"/>
        <v>-2.2845605635544421E-2</v>
      </c>
    </row>
    <row r="3035" spans="1:7" x14ac:dyDescent="0.35">
      <c r="A3035" t="s">
        <v>161</v>
      </c>
      <c r="E3035">
        <v>-3.8919008939114104E-3</v>
      </c>
      <c r="F3035">
        <f t="shared" si="100"/>
        <v>-1.4560682606682801E-2</v>
      </c>
      <c r="G3035">
        <f t="shared" si="101"/>
        <v>-2.2845605635544421E-2</v>
      </c>
    </row>
    <row r="3036" spans="1:7" x14ac:dyDescent="0.35">
      <c r="A3036" t="s">
        <v>161</v>
      </c>
      <c r="E3036">
        <v>2.214531783642653E-2</v>
      </c>
      <c r="F3036">
        <f t="shared" si="100"/>
        <v>-1.4563368818054472E-2</v>
      </c>
      <c r="G3036">
        <f t="shared" si="101"/>
        <v>-2.2845605635544421E-2</v>
      </c>
    </row>
    <row r="3037" spans="1:7" x14ac:dyDescent="0.35">
      <c r="A3037" t="s">
        <v>161</v>
      </c>
      <c r="E3037">
        <v>-9.9790550985126309E-3</v>
      </c>
      <c r="F3037">
        <f t="shared" si="100"/>
        <v>-1.4566055029426143E-2</v>
      </c>
      <c r="G3037">
        <f t="shared" si="101"/>
        <v>-2.2845605635544421E-2</v>
      </c>
    </row>
    <row r="3038" spans="1:7" x14ac:dyDescent="0.35">
      <c r="A3038" t="s">
        <v>161</v>
      </c>
      <c r="E3038">
        <v>1.0482459715939198E-2</v>
      </c>
      <c r="F3038">
        <f t="shared" si="100"/>
        <v>-1.4568741240797814E-2</v>
      </c>
      <c r="G3038">
        <f t="shared" si="101"/>
        <v>-2.2845605635544421E-2</v>
      </c>
    </row>
    <row r="3039" spans="1:7" x14ac:dyDescent="0.35">
      <c r="A3039" t="s">
        <v>161</v>
      </c>
      <c r="E3039">
        <v>-1.3450078561105759E-3</v>
      </c>
      <c r="F3039">
        <f t="shared" si="100"/>
        <v>-1.4571427452169484E-2</v>
      </c>
      <c r="G3039">
        <f t="shared" si="101"/>
        <v>-2.2845605635544421E-2</v>
      </c>
    </row>
    <row r="3040" spans="1:7" x14ac:dyDescent="0.35">
      <c r="A3040" t="s">
        <v>161</v>
      </c>
      <c r="E3040">
        <v>2.0544346558807273E-3</v>
      </c>
      <c r="F3040">
        <f t="shared" si="100"/>
        <v>-1.4574113663541156E-2</v>
      </c>
      <c r="G3040">
        <f t="shared" si="101"/>
        <v>-2.2845605635544421E-2</v>
      </c>
    </row>
    <row r="3041" spans="1:7" x14ac:dyDescent="0.35">
      <c r="A3041" t="s">
        <v>161</v>
      </c>
      <c r="E3041">
        <v>1.5434213684438657E-2</v>
      </c>
      <c r="F3041">
        <f t="shared" si="100"/>
        <v>-1.4576603491424716E-2</v>
      </c>
      <c r="G3041">
        <f t="shared" si="101"/>
        <v>-2.306327647691293E-2</v>
      </c>
    </row>
    <row r="3042" spans="1:7" x14ac:dyDescent="0.35">
      <c r="A3042" t="s">
        <v>161</v>
      </c>
      <c r="E3042">
        <v>5.9214638315593926E-3</v>
      </c>
      <c r="F3042">
        <f t="shared" si="100"/>
        <v>-1.4579093319308276E-2</v>
      </c>
      <c r="G3042">
        <f t="shared" si="101"/>
        <v>-2.306327647691293E-2</v>
      </c>
    </row>
    <row r="3043" spans="1:7" x14ac:dyDescent="0.35">
      <c r="A3043" t="s">
        <v>161</v>
      </c>
      <c r="E3043">
        <v>1.0269607687597611E-2</v>
      </c>
      <c r="F3043">
        <f t="shared" si="100"/>
        <v>-1.4581583147191836E-2</v>
      </c>
      <c r="G3043">
        <f t="shared" si="101"/>
        <v>-2.306327647691293E-2</v>
      </c>
    </row>
    <row r="3044" spans="1:7" x14ac:dyDescent="0.35">
      <c r="A3044" t="s">
        <v>161</v>
      </c>
      <c r="E3044">
        <v>6.6978707112112321E-3</v>
      </c>
      <c r="F3044">
        <f t="shared" si="100"/>
        <v>-1.4584072975075394E-2</v>
      </c>
      <c r="G3044">
        <f t="shared" si="101"/>
        <v>-2.306327647691293E-2</v>
      </c>
    </row>
    <row r="3045" spans="1:7" x14ac:dyDescent="0.35">
      <c r="A3045" t="s">
        <v>161</v>
      </c>
      <c r="E3045">
        <v>1.1003250445938808E-2</v>
      </c>
      <c r="F3045">
        <f t="shared" si="100"/>
        <v>-1.4586562802958954E-2</v>
      </c>
      <c r="G3045">
        <f t="shared" si="101"/>
        <v>-2.306327647691293E-2</v>
      </c>
    </row>
    <row r="3046" spans="1:7" x14ac:dyDescent="0.35">
      <c r="A3046" t="s">
        <v>161</v>
      </c>
      <c r="E3046">
        <v>-3.936689108970744E-3</v>
      </c>
      <c r="F3046">
        <f t="shared" si="100"/>
        <v>-1.4589052630842514E-2</v>
      </c>
      <c r="G3046">
        <f t="shared" si="101"/>
        <v>-2.306327647691293E-2</v>
      </c>
    </row>
    <row r="3047" spans="1:7" x14ac:dyDescent="0.35">
      <c r="A3047" t="s">
        <v>161</v>
      </c>
      <c r="E3047">
        <v>-8.1001505845116793E-4</v>
      </c>
      <c r="F3047">
        <f t="shared" si="100"/>
        <v>-1.4591542458726074E-2</v>
      </c>
      <c r="G3047">
        <f t="shared" si="101"/>
        <v>-2.306327647691293E-2</v>
      </c>
    </row>
    <row r="3048" spans="1:7" x14ac:dyDescent="0.35">
      <c r="A3048" t="s">
        <v>161</v>
      </c>
      <c r="E3048">
        <v>4.229792372115071E-3</v>
      </c>
      <c r="F3048">
        <f t="shared" si="100"/>
        <v>-1.4594032286609633E-2</v>
      </c>
      <c r="G3048">
        <f t="shared" si="101"/>
        <v>-2.306327647691293E-2</v>
      </c>
    </row>
    <row r="3049" spans="1:7" x14ac:dyDescent="0.35">
      <c r="A3049" t="s">
        <v>161</v>
      </c>
      <c r="E3049">
        <v>-9.6275979964212249E-3</v>
      </c>
      <c r="F3049">
        <f t="shared" si="100"/>
        <v>-1.4596522114493193E-2</v>
      </c>
      <c r="G3049">
        <f t="shared" si="101"/>
        <v>-2.306327647691293E-2</v>
      </c>
    </row>
    <row r="3050" spans="1:7" x14ac:dyDescent="0.35">
      <c r="A3050" t="s">
        <v>161</v>
      </c>
      <c r="E3050">
        <v>4.4449985907684135E-4</v>
      </c>
      <c r="F3050">
        <f t="shared" si="100"/>
        <v>-1.4599011942376753E-2</v>
      </c>
      <c r="G3050">
        <f t="shared" si="101"/>
        <v>-2.306327647691293E-2</v>
      </c>
    </row>
    <row r="3051" spans="1:7" x14ac:dyDescent="0.35">
      <c r="A3051" t="s">
        <v>161</v>
      </c>
      <c r="E3051">
        <v>2.987886444468818E-3</v>
      </c>
      <c r="F3051">
        <f t="shared" si="100"/>
        <v>-1.4601501770260313E-2</v>
      </c>
      <c r="G3051">
        <f t="shared" si="101"/>
        <v>-2.306327647691293E-2</v>
      </c>
    </row>
    <row r="3052" spans="1:7" x14ac:dyDescent="0.35">
      <c r="A3052" t="s">
        <v>161</v>
      </c>
      <c r="E3052">
        <v>-1.9923146311283907E-3</v>
      </c>
      <c r="F3052">
        <f t="shared" si="100"/>
        <v>-1.4603991598143873E-2</v>
      </c>
      <c r="G3052">
        <f t="shared" si="101"/>
        <v>-2.306327647691293E-2</v>
      </c>
    </row>
    <row r="3053" spans="1:7" x14ac:dyDescent="0.35">
      <c r="A3053" t="s">
        <v>162</v>
      </c>
      <c r="B3053" s="3" cm="1">
        <f t="array" ref="B3053">_xlfn.STDEV.S(_xlfn._xlws.FILTER($E$2826:$E$3824, $A$2826:$A$3824="2022-04"))</f>
        <v>1.027179063689489E-2</v>
      </c>
      <c r="C3053" s="3" cm="1">
        <f t="array" ref="C3053">AVERAGE(_xlfn._xlws.FILTER($E$2826:$E$3824, $A$2826:$A$3824="2022-04"))</f>
        <v>4.9944187471634319E-4</v>
      </c>
      <c r="D3053" s="3" cm="1">
        <f t="array" ref="D3053">_xlfn.PERCENTILE.EXC(_xlfn._xlws.FILTER($E$2490:$E$3818, $A$2490:$A$3818="2022-04"), 0.05)</f>
        <v>-2.332390153876443E-2</v>
      </c>
      <c r="E3053">
        <v>4.1581844830722242E-3</v>
      </c>
      <c r="F3053">
        <f t="shared" si="100"/>
        <v>-1.4606481426027433E-2</v>
      </c>
      <c r="G3053">
        <f t="shared" si="101"/>
        <v>-2.306327647691293E-2</v>
      </c>
    </row>
    <row r="3054" spans="1:7" x14ac:dyDescent="0.35">
      <c r="A3054" t="s">
        <v>162</v>
      </c>
      <c r="E3054">
        <v>8.6134660910881667E-3</v>
      </c>
      <c r="F3054">
        <f t="shared" si="100"/>
        <v>-1.4608971253910991E-2</v>
      </c>
      <c r="G3054">
        <f t="shared" si="101"/>
        <v>-2.306327647691293E-2</v>
      </c>
    </row>
    <row r="3055" spans="1:7" x14ac:dyDescent="0.35">
      <c r="A3055" t="s">
        <v>162</v>
      </c>
      <c r="E3055">
        <v>1.1346159346784979E-2</v>
      </c>
      <c r="F3055">
        <f t="shared" si="100"/>
        <v>-1.4611461081794553E-2</v>
      </c>
      <c r="G3055">
        <f t="shared" si="101"/>
        <v>-2.306327647691293E-2</v>
      </c>
    </row>
    <row r="3056" spans="1:7" x14ac:dyDescent="0.35">
      <c r="A3056" t="s">
        <v>162</v>
      </c>
      <c r="E3056">
        <v>-3.5615115316770043E-3</v>
      </c>
      <c r="F3056">
        <f t="shared" si="100"/>
        <v>-1.4613950909678111E-2</v>
      </c>
      <c r="G3056">
        <f t="shared" si="101"/>
        <v>-2.306327647691293E-2</v>
      </c>
    </row>
    <row r="3057" spans="1:7" x14ac:dyDescent="0.35">
      <c r="A3057" t="s">
        <v>162</v>
      </c>
      <c r="E3057">
        <v>-3.579136811706708E-3</v>
      </c>
      <c r="F3057">
        <f t="shared" si="100"/>
        <v>-1.4616440737561671E-2</v>
      </c>
      <c r="G3057">
        <f t="shared" si="101"/>
        <v>-2.306327647691293E-2</v>
      </c>
    </row>
    <row r="3058" spans="1:7" x14ac:dyDescent="0.35">
      <c r="A3058" t="s">
        <v>162</v>
      </c>
      <c r="E3058">
        <v>1.4245039457832497E-2</v>
      </c>
      <c r="F3058">
        <f t="shared" si="100"/>
        <v>-1.4618930565445231E-2</v>
      </c>
      <c r="G3058">
        <f t="shared" si="101"/>
        <v>-2.306327647691293E-2</v>
      </c>
    </row>
    <row r="3059" spans="1:7" x14ac:dyDescent="0.35">
      <c r="A3059" t="s">
        <v>162</v>
      </c>
      <c r="E3059">
        <v>-7.7936941418013401E-3</v>
      </c>
      <c r="F3059">
        <f t="shared" si="100"/>
        <v>-1.4621420393328791E-2</v>
      </c>
      <c r="G3059">
        <f t="shared" si="101"/>
        <v>-2.306327647691293E-2</v>
      </c>
    </row>
    <row r="3060" spans="1:7" x14ac:dyDescent="0.35">
      <c r="A3060" t="s">
        <v>162</v>
      </c>
      <c r="E3060">
        <v>-2.3975240664829344E-3</v>
      </c>
      <c r="F3060">
        <f t="shared" si="100"/>
        <v>-1.4623910221212351E-2</v>
      </c>
      <c r="G3060">
        <f t="shared" si="101"/>
        <v>-2.306327647691293E-2</v>
      </c>
    </row>
    <row r="3061" spans="1:7" x14ac:dyDescent="0.35">
      <c r="A3061" t="s">
        <v>162</v>
      </c>
      <c r="E3061">
        <v>2.3775730724445148E-3</v>
      </c>
      <c r="F3061">
        <f t="shared" si="100"/>
        <v>-1.4635431479813518E-2</v>
      </c>
      <c r="G3061">
        <f t="shared" si="101"/>
        <v>-2.3291367456796729E-2</v>
      </c>
    </row>
    <row r="3062" spans="1:7" x14ac:dyDescent="0.35">
      <c r="A3062" t="s">
        <v>162</v>
      </c>
      <c r="E3062">
        <v>7.9362636963665068E-3</v>
      </c>
      <c r="F3062">
        <f t="shared" si="100"/>
        <v>-1.4646952738414688E-2</v>
      </c>
      <c r="G3062">
        <f t="shared" si="101"/>
        <v>-2.3291367456796729E-2</v>
      </c>
    </row>
    <row r="3063" spans="1:7" x14ac:dyDescent="0.35">
      <c r="A3063" t="s">
        <v>162</v>
      </c>
      <c r="E3063">
        <v>-3.9704269326264743E-3</v>
      </c>
      <c r="F3063">
        <f t="shared" si="100"/>
        <v>-1.4658473997015855E-2</v>
      </c>
      <c r="G3063">
        <f t="shared" si="101"/>
        <v>-2.3291367456796729E-2</v>
      </c>
    </row>
    <row r="3064" spans="1:7" x14ac:dyDescent="0.35">
      <c r="A3064" t="s">
        <v>162</v>
      </c>
      <c r="E3064">
        <v>2.7020275729065738E-3</v>
      </c>
      <c r="F3064">
        <f t="shared" si="100"/>
        <v>-1.4669995255617022E-2</v>
      </c>
      <c r="G3064">
        <f t="shared" si="101"/>
        <v>-2.3291367456796729E-2</v>
      </c>
    </row>
    <row r="3065" spans="1:7" x14ac:dyDescent="0.35">
      <c r="A3065" t="s">
        <v>162</v>
      </c>
      <c r="E3065">
        <v>-1.4854125364647602E-3</v>
      </c>
      <c r="F3065">
        <f t="shared" si="100"/>
        <v>-1.4681516514218191E-2</v>
      </c>
      <c r="G3065">
        <f t="shared" si="101"/>
        <v>-2.3291367456796729E-2</v>
      </c>
    </row>
    <row r="3066" spans="1:7" x14ac:dyDescent="0.35">
      <c r="A3066" t="s">
        <v>162</v>
      </c>
      <c r="E3066">
        <v>-2.332390153876443E-2</v>
      </c>
      <c r="F3066">
        <f t="shared" si="100"/>
        <v>-1.469303777281936E-2</v>
      </c>
      <c r="G3066">
        <f t="shared" si="101"/>
        <v>-2.3291367456796729E-2</v>
      </c>
    </row>
    <row r="3067" spans="1:7" x14ac:dyDescent="0.35">
      <c r="A3067" t="s">
        <v>162</v>
      </c>
      <c r="E3067">
        <v>-2.1357755989379057E-2</v>
      </c>
      <c r="F3067">
        <f t="shared" si="100"/>
        <v>-1.4591542458726074E-2</v>
      </c>
      <c r="G3067">
        <f t="shared" si="101"/>
        <v>-2.3056232556322349E-2</v>
      </c>
    </row>
    <row r="3068" spans="1:7" x14ac:dyDescent="0.35">
      <c r="A3068" t="s">
        <v>162</v>
      </c>
      <c r="E3068">
        <v>-3.307413931844601E-3</v>
      </c>
      <c r="F3068">
        <f t="shared" si="100"/>
        <v>-1.4541879127081105E-2</v>
      </c>
      <c r="G3068">
        <f t="shared" si="101"/>
        <v>-2.2872890871840242E-2</v>
      </c>
    </row>
    <row r="3069" spans="1:7" x14ac:dyDescent="0.35">
      <c r="A3069" t="s">
        <v>162</v>
      </c>
      <c r="E3069">
        <v>1.0795661183955004E-2</v>
      </c>
      <c r="F3069">
        <f t="shared" si="100"/>
        <v>-1.4544565338452775E-2</v>
      </c>
      <c r="G3069">
        <f t="shared" si="101"/>
        <v>-2.2872890871840242E-2</v>
      </c>
    </row>
    <row r="3070" spans="1:7" x14ac:dyDescent="0.35">
      <c r="A3070" t="s">
        <v>162</v>
      </c>
      <c r="E3070">
        <v>7.7076688073492257E-3</v>
      </c>
      <c r="F3070">
        <f t="shared" si="100"/>
        <v>-1.4547251549824447E-2</v>
      </c>
      <c r="G3070">
        <f t="shared" si="101"/>
        <v>-2.2872890871840242E-2</v>
      </c>
    </row>
    <row r="3071" spans="1:7" x14ac:dyDescent="0.35">
      <c r="A3071" t="s">
        <v>162</v>
      </c>
      <c r="E3071">
        <v>1.0384129388558136E-2</v>
      </c>
      <c r="F3071">
        <f t="shared" si="100"/>
        <v>-1.4549937761196117E-2</v>
      </c>
      <c r="G3071">
        <f t="shared" si="101"/>
        <v>-2.2872890871840242E-2</v>
      </c>
    </row>
    <row r="3072" spans="1:7" x14ac:dyDescent="0.35">
      <c r="A3072" t="s">
        <v>163</v>
      </c>
      <c r="B3072" s="3" cm="1">
        <f t="array" ref="B3072">_xlfn.STDEV.S(_xlfn._xlws.FILTER($E$2826:$E$3824, $A$2826:$A$3824="2022-05"))</f>
        <v>1.3089199902736928E-2</v>
      </c>
      <c r="C3072" s="3" cm="1">
        <f t="array" ref="C3072">AVERAGE(_xlfn._xlws.FILTER($E$2826:$E$3824, $A$2826:$A$3824="2022-05"))</f>
        <v>-2.6357512889233175E-4</v>
      </c>
      <c r="D3072" s="3" cm="1">
        <f t="array" ref="D3072">_xlfn.PERCENTILE.EXC(_xlfn._xlws.FILTER($E$2490:$E$3818, $A$2490:$A$3818="2022-05"), 0.05)</f>
        <v>-2.4147824019289447E-2</v>
      </c>
      <c r="E3072">
        <v>-1.8262594635476814E-3</v>
      </c>
      <c r="F3072">
        <f t="shared" si="100"/>
        <v>-1.4552623972567789E-2</v>
      </c>
      <c r="G3072">
        <f t="shared" si="101"/>
        <v>-2.2872890871840242E-2</v>
      </c>
    </row>
    <row r="3073" spans="1:7" x14ac:dyDescent="0.35">
      <c r="A3073" t="s">
        <v>163</v>
      </c>
      <c r="E3073">
        <v>-1.1670610934961917E-2</v>
      </c>
      <c r="F3073">
        <f t="shared" si="100"/>
        <v>-1.4555310183939459E-2</v>
      </c>
      <c r="G3073">
        <f t="shared" si="101"/>
        <v>-2.2872890871840242E-2</v>
      </c>
    </row>
    <row r="3074" spans="1:7" x14ac:dyDescent="0.35">
      <c r="A3074" t="s">
        <v>163</v>
      </c>
      <c r="E3074">
        <v>-7.6462375572219814E-3</v>
      </c>
      <c r="F3074">
        <f t="shared" si="100"/>
        <v>-1.4557996395311129E-2</v>
      </c>
      <c r="G3074">
        <f t="shared" si="101"/>
        <v>-2.2872890871840242E-2</v>
      </c>
    </row>
    <row r="3075" spans="1:7" x14ac:dyDescent="0.35">
      <c r="A3075" t="s">
        <v>163</v>
      </c>
      <c r="E3075">
        <v>-1.9454070765192719E-2</v>
      </c>
      <c r="F3075">
        <f t="shared" si="100"/>
        <v>-1.4560682606682801E-2</v>
      </c>
      <c r="G3075">
        <f t="shared" si="101"/>
        <v>-2.2872890871840242E-2</v>
      </c>
    </row>
    <row r="3076" spans="1:7" x14ac:dyDescent="0.35">
      <c r="A3076" t="s">
        <v>163</v>
      </c>
      <c r="E3076">
        <v>-2.4669352158633528E-2</v>
      </c>
      <c r="F3076">
        <f t="shared" ref="F3076:F3139" si="102">_xlfn.PERCENTILE.EXC(E3076:E6891,0.05)</f>
        <v>-1.4514859365831984E-2</v>
      </c>
      <c r="G3076">
        <f t="shared" ref="G3076:G3139" si="103">AVERAGEIFS(E3076:E6892,E3076:E6892,"&lt;=" &amp; F3076)</f>
        <v>-2.2739548133216325E-2</v>
      </c>
    </row>
    <row r="3077" spans="1:7" x14ac:dyDescent="0.35">
      <c r="A3077" t="s">
        <v>163</v>
      </c>
      <c r="E3077">
        <v>4.3925723448966225E-3</v>
      </c>
      <c r="F3077">
        <f t="shared" si="102"/>
        <v>-1.449050807024036E-2</v>
      </c>
      <c r="G3077">
        <f t="shared" si="103"/>
        <v>-2.2464504536624311E-2</v>
      </c>
    </row>
    <row r="3078" spans="1:7" x14ac:dyDescent="0.35">
      <c r="A3078" t="s">
        <v>163</v>
      </c>
      <c r="E3078">
        <v>1.2974852445030096E-2</v>
      </c>
      <c r="F3078">
        <f t="shared" si="102"/>
        <v>-1.4491251741736563E-2</v>
      </c>
      <c r="G3078">
        <f t="shared" si="103"/>
        <v>-2.2464504536624311E-2</v>
      </c>
    </row>
    <row r="3079" spans="1:7" x14ac:dyDescent="0.35">
      <c r="A3079" t="s">
        <v>163</v>
      </c>
      <c r="E3079">
        <v>-7.1228059933731601E-3</v>
      </c>
      <c r="F3079">
        <f t="shared" si="102"/>
        <v>-1.4491995413232766E-2</v>
      </c>
      <c r="G3079">
        <f t="shared" si="103"/>
        <v>-2.2464504536624311E-2</v>
      </c>
    </row>
    <row r="3080" spans="1:7" x14ac:dyDescent="0.35">
      <c r="A3080" t="s">
        <v>163</v>
      </c>
      <c r="E3080">
        <v>2.391958586102182E-2</v>
      </c>
      <c r="F3080">
        <f t="shared" si="102"/>
        <v>-1.449273908472897E-2</v>
      </c>
      <c r="G3080">
        <f t="shared" si="103"/>
        <v>-2.2464504536624311E-2</v>
      </c>
    </row>
    <row r="3081" spans="1:7" x14ac:dyDescent="0.35">
      <c r="A3081" t="s">
        <v>163</v>
      </c>
      <c r="E3081">
        <v>7.9966984290379441E-3</v>
      </c>
      <c r="F3081">
        <f t="shared" si="102"/>
        <v>-1.4494121602297908E-2</v>
      </c>
      <c r="G3081">
        <f t="shared" si="103"/>
        <v>-2.2685942465843628E-2</v>
      </c>
    </row>
    <row r="3082" spans="1:7" x14ac:dyDescent="0.35">
      <c r="A3082" t="s">
        <v>163</v>
      </c>
      <c r="E3082">
        <v>1.2454046204308828E-2</v>
      </c>
      <c r="F3082">
        <f t="shared" si="102"/>
        <v>-1.4495504119866847E-2</v>
      </c>
      <c r="G3082">
        <f t="shared" si="103"/>
        <v>-2.2685942465843628E-2</v>
      </c>
    </row>
    <row r="3083" spans="1:7" x14ac:dyDescent="0.35">
      <c r="A3083" t="s">
        <v>163</v>
      </c>
      <c r="E3083">
        <v>-1.3289789985683739E-2</v>
      </c>
      <c r="F3083">
        <f t="shared" si="102"/>
        <v>-1.4496886637435785E-2</v>
      </c>
      <c r="G3083">
        <f t="shared" si="103"/>
        <v>-2.2685942465843628E-2</v>
      </c>
    </row>
    <row r="3084" spans="1:7" x14ac:dyDescent="0.35">
      <c r="A3084" t="s">
        <v>163</v>
      </c>
      <c r="E3084">
        <v>-1.9097408787439762E-2</v>
      </c>
      <c r="F3084">
        <f t="shared" si="102"/>
        <v>-1.4498269155004724E-2</v>
      </c>
      <c r="G3084">
        <f t="shared" si="103"/>
        <v>-2.2685942465843628E-2</v>
      </c>
    </row>
    <row r="3085" spans="1:7" x14ac:dyDescent="0.35">
      <c r="A3085" t="s">
        <v>163</v>
      </c>
      <c r="E3085">
        <v>1.3875235927618509E-2</v>
      </c>
      <c r="F3085">
        <f t="shared" si="102"/>
        <v>-1.4481584012285919E-2</v>
      </c>
      <c r="G3085">
        <f t="shared" si="103"/>
        <v>-2.2558034974101662E-2</v>
      </c>
    </row>
    <row r="3086" spans="1:7" x14ac:dyDescent="0.35">
      <c r="A3086" t="s">
        <v>163</v>
      </c>
      <c r="E3086">
        <v>1.2175331260327228E-2</v>
      </c>
      <c r="F3086">
        <f t="shared" si="102"/>
        <v>-1.4482327683782123E-2</v>
      </c>
      <c r="G3086">
        <f t="shared" si="103"/>
        <v>-2.2558034974101662E-2</v>
      </c>
    </row>
    <row r="3087" spans="1:7" x14ac:dyDescent="0.35">
      <c r="A3087" t="s">
        <v>163</v>
      </c>
      <c r="E3087">
        <v>-1.1553266778787642E-2</v>
      </c>
      <c r="F3087">
        <f t="shared" si="102"/>
        <v>-1.4483071355278326E-2</v>
      </c>
      <c r="G3087">
        <f t="shared" si="103"/>
        <v>-2.2558034974101662E-2</v>
      </c>
    </row>
    <row r="3088" spans="1:7" x14ac:dyDescent="0.35">
      <c r="A3088" t="s">
        <v>163</v>
      </c>
      <c r="E3088">
        <v>1.1985713760033895E-2</v>
      </c>
      <c r="F3088">
        <f t="shared" si="102"/>
        <v>-1.4483815026774529E-2</v>
      </c>
      <c r="G3088">
        <f t="shared" si="103"/>
        <v>-2.2558034974101662E-2</v>
      </c>
    </row>
    <row r="3089" spans="1:7" x14ac:dyDescent="0.35">
      <c r="A3089" t="s">
        <v>163</v>
      </c>
      <c r="E3089">
        <v>4.2402857407332619E-3</v>
      </c>
      <c r="F3089">
        <f t="shared" si="102"/>
        <v>-1.4484558698270733E-2</v>
      </c>
      <c r="G3089">
        <f t="shared" si="103"/>
        <v>-2.2558034974101662E-2</v>
      </c>
    </row>
    <row r="3090" spans="1:7" x14ac:dyDescent="0.35">
      <c r="A3090" t="s">
        <v>163</v>
      </c>
      <c r="E3090">
        <v>4.8794326021385295E-3</v>
      </c>
      <c r="F3090">
        <f t="shared" si="102"/>
        <v>-1.4485302369766936E-2</v>
      </c>
      <c r="G3090">
        <f t="shared" si="103"/>
        <v>-2.2558034974101662E-2</v>
      </c>
    </row>
    <row r="3091" spans="1:7" x14ac:dyDescent="0.35">
      <c r="A3091" t="s">
        <v>163</v>
      </c>
      <c r="E3091">
        <v>-1.3480491808858456E-3</v>
      </c>
      <c r="F3091">
        <f t="shared" si="102"/>
        <v>-1.4486046041263139E-2</v>
      </c>
      <c r="G3091">
        <f t="shared" si="103"/>
        <v>-2.2558034974101662E-2</v>
      </c>
    </row>
    <row r="3092" spans="1:7" x14ac:dyDescent="0.35">
      <c r="A3092" t="s">
        <v>163</v>
      </c>
      <c r="E3092">
        <v>3.24901932384227E-3</v>
      </c>
      <c r="F3092">
        <f t="shared" si="102"/>
        <v>-1.4486789712759343E-2</v>
      </c>
      <c r="G3092">
        <f t="shared" si="103"/>
        <v>-2.2558034974101662E-2</v>
      </c>
    </row>
    <row r="3093" spans="1:7" x14ac:dyDescent="0.35">
      <c r="A3093" t="s">
        <v>164</v>
      </c>
      <c r="B3093" s="3" cm="1">
        <f t="array" ref="B3093">_xlfn.STDEV.S(_xlfn._xlws.FILTER($E$2826:$E$3824, $A$2826:$A$3824="2022-06"))</f>
        <v>1.4713792128608742E-2</v>
      </c>
      <c r="C3093" s="3" cm="1">
        <f t="array" ref="C3093">AVERAGE(_xlfn._xlws.FILTER($E$2826:$E$3824, $A$2826:$A$3824="2022-06"))</f>
        <v>-3.5804649011235154E-3</v>
      </c>
      <c r="D3093" s="3" cm="1">
        <f t="array" ref="D3093">_xlfn.PERCENTILE.EXC(_xlfn._xlws.FILTER($E$2490:$E$3818, $A$2490:$A$3818="2022-06"), 0.05)</f>
        <v>-2.5030517517725396E-2</v>
      </c>
      <c r="E3093">
        <v>-1.3122562061123978E-2</v>
      </c>
      <c r="F3093">
        <f t="shared" si="102"/>
        <v>-1.4487533384255546E-2</v>
      </c>
      <c r="G3093">
        <f t="shared" si="103"/>
        <v>-2.2558034974101662E-2</v>
      </c>
    </row>
    <row r="3094" spans="1:7" x14ac:dyDescent="0.35">
      <c r="A3094" t="s">
        <v>164</v>
      </c>
      <c r="E3094">
        <v>9.7295859774412866E-3</v>
      </c>
      <c r="F3094">
        <f t="shared" si="102"/>
        <v>-1.4488277055751749E-2</v>
      </c>
      <c r="G3094">
        <f t="shared" si="103"/>
        <v>-2.2558034974101662E-2</v>
      </c>
    </row>
    <row r="3095" spans="1:7" x14ac:dyDescent="0.35">
      <c r="A3095" t="s">
        <v>164</v>
      </c>
      <c r="E3095">
        <v>2.9957741706748663E-3</v>
      </c>
      <c r="F3095">
        <f t="shared" si="102"/>
        <v>-1.4489020727247953E-2</v>
      </c>
      <c r="G3095">
        <f t="shared" si="103"/>
        <v>-2.2558034974101662E-2</v>
      </c>
    </row>
    <row r="3096" spans="1:7" x14ac:dyDescent="0.35">
      <c r="A3096" t="s">
        <v>164</v>
      </c>
      <c r="E3096">
        <v>-6.9736515278608028E-3</v>
      </c>
      <c r="F3096">
        <f t="shared" si="102"/>
        <v>-1.4489764398744156E-2</v>
      </c>
      <c r="G3096">
        <f t="shared" si="103"/>
        <v>-2.2558034974101662E-2</v>
      </c>
    </row>
    <row r="3097" spans="1:7" x14ac:dyDescent="0.35">
      <c r="A3097" t="s">
        <v>164</v>
      </c>
      <c r="E3097">
        <v>-1.0931469468248543E-2</v>
      </c>
      <c r="F3097">
        <f t="shared" si="102"/>
        <v>-1.449050807024036E-2</v>
      </c>
      <c r="G3097">
        <f t="shared" si="103"/>
        <v>-2.2558034974101662E-2</v>
      </c>
    </row>
    <row r="3098" spans="1:7" x14ac:dyDescent="0.35">
      <c r="A3098" t="s">
        <v>164</v>
      </c>
      <c r="E3098">
        <v>-2.5134586277167664E-2</v>
      </c>
      <c r="F3098">
        <f t="shared" si="102"/>
        <v>-1.4491251741736563E-2</v>
      </c>
      <c r="G3098">
        <f t="shared" si="103"/>
        <v>-2.2558034974101662E-2</v>
      </c>
    </row>
    <row r="3099" spans="1:7" x14ac:dyDescent="0.35">
      <c r="A3099" t="s">
        <v>164</v>
      </c>
      <c r="E3099">
        <v>-1.893865873636958E-2</v>
      </c>
      <c r="F3099">
        <f t="shared" si="102"/>
        <v>-1.4466412494373542E-2</v>
      </c>
      <c r="G3099">
        <f t="shared" si="103"/>
        <v>-2.2262014956813805E-2</v>
      </c>
    </row>
    <row r="3100" spans="1:7" x14ac:dyDescent="0.35">
      <c r="A3100" t="s">
        <v>164</v>
      </c>
      <c r="E3100">
        <v>-1.5732289078291568E-2</v>
      </c>
      <c r="F3100">
        <f t="shared" si="102"/>
        <v>-1.4248802446177721E-2</v>
      </c>
      <c r="G3100">
        <f t="shared" si="103"/>
        <v>-2.2131741170975144E-2</v>
      </c>
    </row>
    <row r="3101" spans="1:7" x14ac:dyDescent="0.35">
      <c r="A3101" t="s">
        <v>164</v>
      </c>
      <c r="E3101">
        <v>2.1276805227896455E-2</v>
      </c>
      <c r="F3101">
        <f t="shared" si="102"/>
        <v>-1.406432829900036E-2</v>
      </c>
      <c r="G3101">
        <f t="shared" si="103"/>
        <v>-2.2314582659337532E-2</v>
      </c>
    </row>
    <row r="3102" spans="1:7" x14ac:dyDescent="0.35">
      <c r="A3102" t="s">
        <v>164</v>
      </c>
      <c r="E3102">
        <v>-2.3053211088322319E-2</v>
      </c>
      <c r="F3102">
        <f t="shared" si="102"/>
        <v>-1.4074037464641274E-2</v>
      </c>
      <c r="G3102">
        <f t="shared" si="103"/>
        <v>-2.2314582659337532E-2</v>
      </c>
    </row>
    <row r="3103" spans="1:7" x14ac:dyDescent="0.35">
      <c r="A3103" t="s">
        <v>164</v>
      </c>
      <c r="E3103">
        <v>-1.0884487497586935E-2</v>
      </c>
      <c r="F3103">
        <f t="shared" si="102"/>
        <v>-1.4012591994451335E-2</v>
      </c>
      <c r="G3103">
        <f t="shared" si="103"/>
        <v>-2.2057480032052875E-2</v>
      </c>
    </row>
    <row r="3104" spans="1:7" x14ac:dyDescent="0.35">
      <c r="A3104" t="s">
        <v>164</v>
      </c>
      <c r="E3104">
        <v>1.5011174738445635E-2</v>
      </c>
      <c r="F3104">
        <f t="shared" si="102"/>
        <v>-1.4015064179092988E-2</v>
      </c>
      <c r="G3104">
        <f t="shared" si="103"/>
        <v>-2.2057480032052875E-2</v>
      </c>
    </row>
    <row r="3105" spans="1:7" x14ac:dyDescent="0.35">
      <c r="A3105" t="s">
        <v>164</v>
      </c>
      <c r="E3105">
        <v>4.6601701706235135E-3</v>
      </c>
      <c r="F3105">
        <f t="shared" si="102"/>
        <v>-1.4017536363734642E-2</v>
      </c>
      <c r="G3105">
        <f t="shared" si="103"/>
        <v>-2.2057480032052875E-2</v>
      </c>
    </row>
    <row r="3106" spans="1:7" x14ac:dyDescent="0.35">
      <c r="A3106" t="s">
        <v>164</v>
      </c>
      <c r="E3106">
        <v>-1.3278879723946807E-2</v>
      </c>
      <c r="F3106">
        <f t="shared" si="102"/>
        <v>-1.4020008548376296E-2</v>
      </c>
      <c r="G3106">
        <f t="shared" si="103"/>
        <v>-2.2057480032052875E-2</v>
      </c>
    </row>
    <row r="3107" spans="1:7" x14ac:dyDescent="0.35">
      <c r="A3107" t="s">
        <v>164</v>
      </c>
      <c r="E3107">
        <v>-6.50858301655023E-3</v>
      </c>
      <c r="F3107">
        <f t="shared" si="102"/>
        <v>-1.4022480733017951E-2</v>
      </c>
      <c r="G3107">
        <f t="shared" si="103"/>
        <v>-2.2057480032052875E-2</v>
      </c>
    </row>
    <row r="3108" spans="1:7" x14ac:dyDescent="0.35">
      <c r="A3108" t="s">
        <v>164</v>
      </c>
      <c r="E3108">
        <v>2.6214495498640612E-2</v>
      </c>
      <c r="F3108">
        <f t="shared" si="102"/>
        <v>-1.4024952917659603E-2</v>
      </c>
      <c r="G3108">
        <f t="shared" si="103"/>
        <v>-2.2057480032052875E-2</v>
      </c>
    </row>
    <row r="3109" spans="1:7" x14ac:dyDescent="0.35">
      <c r="A3109" t="s">
        <v>164</v>
      </c>
      <c r="E3109">
        <v>3.8121943626623802E-3</v>
      </c>
      <c r="F3109">
        <f t="shared" si="102"/>
        <v>-1.4027425102301257E-2</v>
      </c>
      <c r="G3109">
        <f t="shared" si="103"/>
        <v>-2.2057480032052875E-2</v>
      </c>
    </row>
    <row r="3110" spans="1:7" x14ac:dyDescent="0.35">
      <c r="A3110" t="s">
        <v>164</v>
      </c>
      <c r="E3110">
        <v>8.1063760424310814E-3</v>
      </c>
      <c r="F3110">
        <f t="shared" si="102"/>
        <v>-1.402989728694291E-2</v>
      </c>
      <c r="G3110">
        <f t="shared" si="103"/>
        <v>-2.2057480032052875E-2</v>
      </c>
    </row>
    <row r="3111" spans="1:7" x14ac:dyDescent="0.35">
      <c r="A3111" t="s">
        <v>164</v>
      </c>
      <c r="E3111">
        <v>-9.3306157429265239E-5</v>
      </c>
      <c r="F3111">
        <f t="shared" si="102"/>
        <v>-1.4032369471584564E-2</v>
      </c>
      <c r="G3111">
        <f t="shared" si="103"/>
        <v>-2.2057480032052875E-2</v>
      </c>
    </row>
    <row r="3112" spans="1:7" x14ac:dyDescent="0.35">
      <c r="A3112" t="s">
        <v>164</v>
      </c>
      <c r="E3112">
        <v>-1.8764189578388445E-2</v>
      </c>
      <c r="F3112">
        <f t="shared" si="102"/>
        <v>-1.4034841656226218E-2</v>
      </c>
      <c r="G3112">
        <f t="shared" si="103"/>
        <v>-2.2057480032052875E-2</v>
      </c>
    </row>
    <row r="3113" spans="1:7" x14ac:dyDescent="0.35">
      <c r="A3113" t="s">
        <v>165</v>
      </c>
      <c r="B3113" s="3" cm="1">
        <f t="array" ref="B3113">_xlfn.STDEV.S(_xlfn._xlws.FILTER($E$2826:$E$3824, $A$2826:$A$3824="2022-07"))</f>
        <v>1.1393948629286367E-2</v>
      </c>
      <c r="C3113" s="3" cm="1">
        <f t="array" ref="C3113">AVERAGE(_xlfn._xlws.FILTER($E$2826:$E$3824, $A$2826:$A$3824="2022-07"))</f>
        <v>2.94476806477363E-3</v>
      </c>
      <c r="D3113" s="3" cm="1">
        <f t="array" ref="D3113">_xlfn.PERCENTILE.EXC(_xlfn._xlws.FILTER($E$2490:$E$3818, $A$2490:$A$3818="2022-07"), 0.05)</f>
        <v>-2.659298992302709E-2</v>
      </c>
      <c r="E3113">
        <v>-3.1473492396067297E-3</v>
      </c>
      <c r="F3113">
        <f t="shared" si="102"/>
        <v>-1.3896926476350019E-2</v>
      </c>
      <c r="G3113">
        <f t="shared" si="103"/>
        <v>-2.1921508199542531E-2</v>
      </c>
    </row>
    <row r="3114" spans="1:7" x14ac:dyDescent="0.35">
      <c r="A3114" t="s">
        <v>165</v>
      </c>
      <c r="E3114">
        <v>1.2252813732319054E-2</v>
      </c>
      <c r="F3114">
        <f t="shared" si="102"/>
        <v>-1.3912390614089498E-2</v>
      </c>
      <c r="G3114">
        <f t="shared" si="103"/>
        <v>-2.1921508199542531E-2</v>
      </c>
    </row>
    <row r="3115" spans="1:7" x14ac:dyDescent="0.35">
      <c r="A3115" t="s">
        <v>165</v>
      </c>
      <c r="E3115">
        <v>-2.7399213823441491E-2</v>
      </c>
      <c r="F3115">
        <f t="shared" si="102"/>
        <v>-1.3927854751828977E-2</v>
      </c>
      <c r="G3115">
        <f t="shared" si="103"/>
        <v>-2.1921508199542531E-2</v>
      </c>
    </row>
    <row r="3116" spans="1:7" x14ac:dyDescent="0.35">
      <c r="A3116" t="s">
        <v>165</v>
      </c>
      <c r="E3116">
        <v>1.7440305158561657E-2</v>
      </c>
      <c r="F3116">
        <f t="shared" si="102"/>
        <v>-1.3682670403221821E-2</v>
      </c>
      <c r="G3116">
        <f t="shared" si="103"/>
        <v>-2.1529984738465253E-2</v>
      </c>
    </row>
    <row r="3117" spans="1:7" x14ac:dyDescent="0.35">
      <c r="A3117" t="s">
        <v>165</v>
      </c>
      <c r="E3117">
        <v>2.1424291260058379E-2</v>
      </c>
      <c r="F3117">
        <f t="shared" si="102"/>
        <v>-1.3685975973850564E-2</v>
      </c>
      <c r="G3117">
        <f t="shared" si="103"/>
        <v>-2.1529984738465253E-2</v>
      </c>
    </row>
    <row r="3118" spans="1:7" x14ac:dyDescent="0.35">
      <c r="A3118" t="s">
        <v>165</v>
      </c>
      <c r="E3118">
        <v>7.301092479324421E-4</v>
      </c>
      <c r="F3118">
        <f t="shared" si="102"/>
        <v>-1.3689281544479306E-2</v>
      </c>
      <c r="G3118">
        <f t="shared" si="103"/>
        <v>-2.1529984738465253E-2</v>
      </c>
    </row>
    <row r="3119" spans="1:7" x14ac:dyDescent="0.35">
      <c r="A3119" t="s">
        <v>165</v>
      </c>
      <c r="E3119">
        <v>-1.0646563147610993E-3</v>
      </c>
      <c r="F3119">
        <f t="shared" si="102"/>
        <v>-1.3692587115108049E-2</v>
      </c>
      <c r="G3119">
        <f t="shared" si="103"/>
        <v>-2.1529984738465253E-2</v>
      </c>
    </row>
    <row r="3120" spans="1:7" x14ac:dyDescent="0.35">
      <c r="A3120" t="s">
        <v>165</v>
      </c>
      <c r="E3120">
        <v>4.3103636228290247E-3</v>
      </c>
      <c r="F3120">
        <f t="shared" si="102"/>
        <v>-1.3695892685736791E-2</v>
      </c>
      <c r="G3120">
        <f t="shared" si="103"/>
        <v>-2.1529984738465253E-2</v>
      </c>
    </row>
    <row r="3121" spans="1:7" x14ac:dyDescent="0.35">
      <c r="A3121" t="s">
        <v>165</v>
      </c>
      <c r="E3121">
        <v>-8.5092775834237008E-3</v>
      </c>
      <c r="F3121">
        <f t="shared" si="102"/>
        <v>-1.3711356823476269E-2</v>
      </c>
      <c r="G3121">
        <f t="shared" si="103"/>
        <v>-2.1760399210604325E-2</v>
      </c>
    </row>
    <row r="3122" spans="1:7" x14ac:dyDescent="0.35">
      <c r="A3122" t="s">
        <v>165</v>
      </c>
      <c r="E3122">
        <v>-1.9336974819297498E-2</v>
      </c>
      <c r="F3122">
        <f t="shared" si="102"/>
        <v>-1.372682096121575E-2</v>
      </c>
      <c r="G3122">
        <f t="shared" si="103"/>
        <v>-2.1760399210604325E-2</v>
      </c>
    </row>
    <row r="3123" spans="1:7" x14ac:dyDescent="0.35">
      <c r="A3123" t="s">
        <v>165</v>
      </c>
      <c r="E3123">
        <v>1.4169286816122525E-2</v>
      </c>
      <c r="F3123">
        <f t="shared" si="102"/>
        <v>-1.3639697985048172E-2</v>
      </c>
      <c r="G3123">
        <f t="shared" si="103"/>
        <v>-2.1594485030205484E-2</v>
      </c>
    </row>
    <row r="3124" spans="1:7" x14ac:dyDescent="0.35">
      <c r="A3124" t="s">
        <v>165</v>
      </c>
      <c r="E3124">
        <v>1.0675610391871008E-2</v>
      </c>
      <c r="F3124">
        <f t="shared" si="102"/>
        <v>-1.3643003555676913E-2</v>
      </c>
      <c r="G3124">
        <f t="shared" si="103"/>
        <v>-2.1594485030205484E-2</v>
      </c>
    </row>
    <row r="3125" spans="1:7" x14ac:dyDescent="0.35">
      <c r="A3125" t="s">
        <v>165</v>
      </c>
      <c r="E3125">
        <v>5.3938841026622232E-3</v>
      </c>
      <c r="F3125">
        <f t="shared" si="102"/>
        <v>-1.3646309126305656E-2</v>
      </c>
      <c r="G3125">
        <f t="shared" si="103"/>
        <v>-2.1594485030205484E-2</v>
      </c>
    </row>
    <row r="3126" spans="1:7" x14ac:dyDescent="0.35">
      <c r="A3126" t="s">
        <v>165</v>
      </c>
      <c r="E3126">
        <v>-2.4995243067006379E-3</v>
      </c>
      <c r="F3126">
        <f t="shared" si="102"/>
        <v>-1.3649614696934398E-2</v>
      </c>
      <c r="G3126">
        <f t="shared" si="103"/>
        <v>-2.1594485030205484E-2</v>
      </c>
    </row>
    <row r="3127" spans="1:7" x14ac:dyDescent="0.35">
      <c r="A3127" t="s">
        <v>165</v>
      </c>
      <c r="E3127">
        <v>6.4685115518325206E-5</v>
      </c>
      <c r="F3127">
        <f t="shared" si="102"/>
        <v>-1.3652920267563141E-2</v>
      </c>
      <c r="G3127">
        <f t="shared" si="103"/>
        <v>-2.1594485030205484E-2</v>
      </c>
    </row>
    <row r="3128" spans="1:7" x14ac:dyDescent="0.35">
      <c r="A3128" t="s">
        <v>165</v>
      </c>
      <c r="E3128">
        <v>1.7467384100602632E-3</v>
      </c>
      <c r="F3128">
        <f t="shared" si="102"/>
        <v>-1.3656225838191883E-2</v>
      </c>
      <c r="G3128">
        <f t="shared" si="103"/>
        <v>-2.1594485030205484E-2</v>
      </c>
    </row>
    <row r="3129" spans="1:7" x14ac:dyDescent="0.35">
      <c r="A3129" t="s">
        <v>165</v>
      </c>
      <c r="E3129">
        <v>7.5898540640759677E-3</v>
      </c>
      <c r="F3129">
        <f t="shared" si="102"/>
        <v>-1.3659531408820626E-2</v>
      </c>
      <c r="G3129">
        <f t="shared" si="103"/>
        <v>-2.1594485030205484E-2</v>
      </c>
    </row>
    <row r="3130" spans="1:7" x14ac:dyDescent="0.35">
      <c r="A3130" t="s">
        <v>165</v>
      </c>
      <c r="E3130">
        <v>7.0767377649998894E-3</v>
      </c>
      <c r="F3130">
        <f t="shared" si="102"/>
        <v>-1.3662836979449368E-2</v>
      </c>
      <c r="G3130">
        <f t="shared" si="103"/>
        <v>-2.1594485030205484E-2</v>
      </c>
    </row>
    <row r="3131" spans="1:7" x14ac:dyDescent="0.35">
      <c r="A3131" t="s">
        <v>165</v>
      </c>
      <c r="E3131">
        <v>8.4699632642125135E-3</v>
      </c>
      <c r="F3131">
        <f t="shared" si="102"/>
        <v>-1.3666142550078111E-2</v>
      </c>
      <c r="G3131">
        <f t="shared" si="103"/>
        <v>-2.1594485030205484E-2</v>
      </c>
    </row>
    <row r="3132" spans="1:7" x14ac:dyDescent="0.35">
      <c r="A3132" t="s">
        <v>165</v>
      </c>
      <c r="E3132">
        <v>2.4870892352231336E-3</v>
      </c>
      <c r="F3132">
        <f t="shared" si="102"/>
        <v>-1.3669448120706853E-2</v>
      </c>
      <c r="G3132">
        <f t="shared" si="103"/>
        <v>-2.1594485030205484E-2</v>
      </c>
    </row>
    <row r="3133" spans="1:7" x14ac:dyDescent="0.35">
      <c r="A3133" t="s">
        <v>165</v>
      </c>
      <c r="E3133">
        <v>9.9653932610309776E-3</v>
      </c>
      <c r="F3133">
        <f t="shared" si="102"/>
        <v>-1.3672753691335596E-2</v>
      </c>
      <c r="G3133">
        <f t="shared" si="103"/>
        <v>-2.1594485030205484E-2</v>
      </c>
    </row>
    <row r="3134" spans="1:7" x14ac:dyDescent="0.35">
      <c r="A3134" t="s">
        <v>166</v>
      </c>
      <c r="B3134" s="3" cm="1">
        <f t="array" ref="B3134">_xlfn.STDEV.S(_xlfn._xlws.FILTER($E$2826:$E$3824, $A$2826:$A$3824="2022-08"))</f>
        <v>7.938119665690661E-3</v>
      </c>
      <c r="C3134" s="3" cm="1">
        <f t="array" ref="C3134">AVERAGE(_xlfn._xlws.FILTER($E$2826:$E$3824, $A$2826:$A$3824="2022-08"))</f>
        <v>-2.4072023196405187E-3</v>
      </c>
      <c r="D3134" s="3" cm="1">
        <f t="array" ref="D3134">_xlfn.PERCENTILE.EXC(_xlfn._xlws.FILTER($E$2490:$E$3818, $A$2490:$A$3818="2022-08"), 0.05)</f>
        <v>-2.1455087561913659E-2</v>
      </c>
      <c r="E3134">
        <v>-3.6357837712253668E-5</v>
      </c>
      <c r="F3134">
        <f t="shared" si="102"/>
        <v>-1.3676059261964336E-2</v>
      </c>
      <c r="G3134">
        <f t="shared" si="103"/>
        <v>-2.1594485030205484E-2</v>
      </c>
    </row>
    <row r="3135" spans="1:7" x14ac:dyDescent="0.35">
      <c r="A3135" t="s">
        <v>166</v>
      </c>
      <c r="E3135">
        <v>1.9927231427075663E-3</v>
      </c>
      <c r="F3135">
        <f t="shared" si="102"/>
        <v>-1.3679364832593081E-2</v>
      </c>
      <c r="G3135">
        <f t="shared" si="103"/>
        <v>-2.1594485030205484E-2</v>
      </c>
    </row>
    <row r="3136" spans="1:7" x14ac:dyDescent="0.35">
      <c r="A3136" t="s">
        <v>166</v>
      </c>
      <c r="E3136">
        <v>3.5174096734248649E-3</v>
      </c>
      <c r="F3136">
        <f t="shared" si="102"/>
        <v>-1.3682670403221821E-2</v>
      </c>
      <c r="G3136">
        <f t="shared" si="103"/>
        <v>-2.1594485030205484E-2</v>
      </c>
    </row>
    <row r="3137" spans="1:7" x14ac:dyDescent="0.35">
      <c r="A3137" t="s">
        <v>166</v>
      </c>
      <c r="E3137">
        <v>-7.9682798373181887E-3</v>
      </c>
      <c r="F3137">
        <f t="shared" si="102"/>
        <v>-1.3685975973850564E-2</v>
      </c>
      <c r="G3137">
        <f t="shared" si="103"/>
        <v>-2.1594485030205484E-2</v>
      </c>
    </row>
    <row r="3138" spans="1:7" x14ac:dyDescent="0.35">
      <c r="A3138" t="s">
        <v>166</v>
      </c>
      <c r="E3138">
        <v>-1.4430303382075038E-3</v>
      </c>
      <c r="F3138">
        <f t="shared" si="102"/>
        <v>-1.3689281544479306E-2</v>
      </c>
      <c r="G3138">
        <f t="shared" si="103"/>
        <v>-2.1594485030205484E-2</v>
      </c>
    </row>
    <row r="3139" spans="1:7" x14ac:dyDescent="0.35">
      <c r="A3139" t="s">
        <v>166</v>
      </c>
      <c r="E3139">
        <v>4.3550628366513704E-3</v>
      </c>
      <c r="F3139">
        <f t="shared" si="102"/>
        <v>-1.3692587115108049E-2</v>
      </c>
      <c r="G3139">
        <f t="shared" si="103"/>
        <v>-2.1594485030205484E-2</v>
      </c>
    </row>
    <row r="3140" spans="1:7" x14ac:dyDescent="0.35">
      <c r="A3140" t="s">
        <v>166</v>
      </c>
      <c r="E3140">
        <v>-8.8651073650085311E-4</v>
      </c>
      <c r="F3140">
        <f t="shared" ref="F3140:F3203" si="104">_xlfn.PERCENTILE.EXC(E3140:E6955,0.05)</f>
        <v>-1.3695892685736791E-2</v>
      </c>
      <c r="G3140">
        <f t="shared" ref="G3140:G3203" si="105">AVERAGEIFS(E3140:E6956,E3140:E6956,"&lt;=" &amp; F3140)</f>
        <v>-2.1594485030205484E-2</v>
      </c>
    </row>
    <row r="3141" spans="1:7" x14ac:dyDescent="0.35">
      <c r="A3141" t="s">
        <v>166</v>
      </c>
      <c r="E3141">
        <v>5.6746847254260961E-3</v>
      </c>
      <c r="F3141">
        <f t="shared" si="104"/>
        <v>-1.3711356823476269E-2</v>
      </c>
      <c r="G3141">
        <f t="shared" si="105"/>
        <v>-2.1833836313371203E-2</v>
      </c>
    </row>
    <row r="3142" spans="1:7" x14ac:dyDescent="0.35">
      <c r="A3142" t="s">
        <v>166</v>
      </c>
      <c r="E3142">
        <v>-7.94881672977003E-3</v>
      </c>
      <c r="F3142">
        <f t="shared" si="104"/>
        <v>-1.372682096121575E-2</v>
      </c>
      <c r="G3142">
        <f t="shared" si="105"/>
        <v>-2.1833836313371203E-2</v>
      </c>
    </row>
    <row r="3143" spans="1:7" x14ac:dyDescent="0.35">
      <c r="A3143" t="s">
        <v>166</v>
      </c>
      <c r="E3143">
        <v>3.9642859177293766E-3</v>
      </c>
      <c r="F3143">
        <f t="shared" si="104"/>
        <v>-1.3742285098955228E-2</v>
      </c>
      <c r="G3143">
        <f t="shared" si="105"/>
        <v>-2.1833836313371203E-2</v>
      </c>
    </row>
    <row r="3144" spans="1:7" x14ac:dyDescent="0.35">
      <c r="A3144" t="s">
        <v>166</v>
      </c>
      <c r="E3144">
        <v>9.706860946803942E-3</v>
      </c>
      <c r="F3144">
        <f t="shared" si="104"/>
        <v>-1.3757749236694707E-2</v>
      </c>
      <c r="G3144">
        <f t="shared" si="105"/>
        <v>-2.1833836313371203E-2</v>
      </c>
    </row>
    <row r="3145" spans="1:7" x14ac:dyDescent="0.35">
      <c r="A3145" t="s">
        <v>166</v>
      </c>
      <c r="E3145">
        <v>-6.0826102767234406E-3</v>
      </c>
      <c r="F3145">
        <f t="shared" si="104"/>
        <v>-1.3773213374434188E-2</v>
      </c>
      <c r="G3145">
        <f t="shared" si="105"/>
        <v>-2.1833836313371203E-2</v>
      </c>
    </row>
    <row r="3146" spans="1:7" x14ac:dyDescent="0.35">
      <c r="A3146" t="s">
        <v>166</v>
      </c>
      <c r="E3146">
        <v>2.2806841976139827E-3</v>
      </c>
      <c r="F3146">
        <f t="shared" si="104"/>
        <v>-1.3788677512173666E-2</v>
      </c>
      <c r="G3146">
        <f t="shared" si="105"/>
        <v>-2.1833836313371203E-2</v>
      </c>
    </row>
    <row r="3147" spans="1:7" x14ac:dyDescent="0.35">
      <c r="A3147" t="s">
        <v>166</v>
      </c>
      <c r="E3147">
        <v>-2.9316204307712943E-3</v>
      </c>
      <c r="F3147">
        <f t="shared" si="104"/>
        <v>-1.3804141649913147E-2</v>
      </c>
      <c r="G3147">
        <f t="shared" si="105"/>
        <v>-2.1833836313371203E-2</v>
      </c>
    </row>
    <row r="3148" spans="1:7" x14ac:dyDescent="0.35">
      <c r="A3148" t="s">
        <v>166</v>
      </c>
      <c r="E3148">
        <v>3.9811328309340708E-3</v>
      </c>
      <c r="F3148">
        <f t="shared" si="104"/>
        <v>-1.3819605787652624E-2</v>
      </c>
      <c r="G3148">
        <f t="shared" si="105"/>
        <v>-2.1833836313371203E-2</v>
      </c>
    </row>
    <row r="3149" spans="1:7" x14ac:dyDescent="0.35">
      <c r="A3149" t="s">
        <v>166</v>
      </c>
      <c r="E3149">
        <v>-4.5379875804264207E-3</v>
      </c>
      <c r="F3149">
        <f t="shared" si="104"/>
        <v>-1.3835069925392102E-2</v>
      </c>
      <c r="G3149">
        <f t="shared" si="105"/>
        <v>-2.1833836313371203E-2</v>
      </c>
    </row>
    <row r="3150" spans="1:7" x14ac:dyDescent="0.35">
      <c r="A3150" t="s">
        <v>166</v>
      </c>
      <c r="E3150">
        <v>-5.026376553151201E-3</v>
      </c>
      <c r="F3150">
        <f t="shared" si="104"/>
        <v>-1.3850534063131583E-2</v>
      </c>
      <c r="G3150">
        <f t="shared" si="105"/>
        <v>-2.1833836313371203E-2</v>
      </c>
    </row>
    <row r="3151" spans="1:7" x14ac:dyDescent="0.35">
      <c r="A3151" t="s">
        <v>166</v>
      </c>
      <c r="E3151">
        <v>3.3475312520774942E-3</v>
      </c>
      <c r="F3151">
        <f t="shared" si="104"/>
        <v>-1.386599820087106E-2</v>
      </c>
      <c r="G3151">
        <f t="shared" si="105"/>
        <v>-2.1833836313371203E-2</v>
      </c>
    </row>
    <row r="3152" spans="1:7" x14ac:dyDescent="0.35">
      <c r="A3152" t="s">
        <v>166</v>
      </c>
      <c r="E3152">
        <v>-1.4623910221212351E-2</v>
      </c>
      <c r="F3152">
        <f t="shared" si="104"/>
        <v>-1.3881462338610541E-2</v>
      </c>
      <c r="G3152">
        <f t="shared" si="105"/>
        <v>-2.1833836313371203E-2</v>
      </c>
    </row>
    <row r="3153" spans="1:7" x14ac:dyDescent="0.35">
      <c r="A3153" t="s">
        <v>166</v>
      </c>
      <c r="E3153">
        <v>-2.2083093990638812E-2</v>
      </c>
      <c r="F3153">
        <f t="shared" si="104"/>
        <v>-1.3672753691335596E-2</v>
      </c>
      <c r="G3153">
        <f t="shared" si="105"/>
        <v>-2.1805714569871942E-2</v>
      </c>
    </row>
    <row r="3154" spans="1:7" x14ac:dyDescent="0.35">
      <c r="A3154" t="s">
        <v>166</v>
      </c>
      <c r="E3154">
        <v>-1.5803029703387303E-2</v>
      </c>
      <c r="F3154">
        <f t="shared" si="104"/>
        <v>-1.3489390817931627E-2</v>
      </c>
      <c r="G3154">
        <f t="shared" si="105"/>
        <v>-2.1549553578433248E-2</v>
      </c>
    </row>
    <row r="3155" spans="1:7" x14ac:dyDescent="0.35">
      <c r="A3155" t="s">
        <v>167</v>
      </c>
      <c r="B3155" s="3" cm="1">
        <f t="array" ref="B3155">_xlfn.STDEV.S(_xlfn._xlws.FILTER($E$2826:$E$3824, $A$2826:$A$3824="2022-09"))</f>
        <v>1.3613012397703449E-2</v>
      </c>
      <c r="C3155" s="3" cm="1">
        <f t="array" ref="C3155">AVERAGE(_xlfn._xlws.FILTER($E$2826:$E$3824, $A$2826:$A$3824="2022-09"))</f>
        <v>-3.4276916736667037E-3</v>
      </c>
      <c r="D3155" s="3" cm="1">
        <f t="array" ref="D3155">_xlfn.PERCENTILE.EXC(_xlfn._xlws.FILTER($E$2490:$E$3818, $A$2490:$A$3818="2022-09"), 0.05)</f>
        <v>-3.7347243794077042E-2</v>
      </c>
      <c r="E3155">
        <v>-1.4951565070404391E-2</v>
      </c>
      <c r="F3155">
        <f t="shared" si="104"/>
        <v>-1.3153207640532065E-2</v>
      </c>
      <c r="G3155">
        <f t="shared" si="105"/>
        <v>-2.1469516711332449E-2</v>
      </c>
    </row>
    <row r="3156" spans="1:7" x14ac:dyDescent="0.35">
      <c r="A3156" t="s">
        <v>167</v>
      </c>
      <c r="E3156">
        <v>1.4208967535971369E-2</v>
      </c>
      <c r="F3156">
        <f t="shared" si="104"/>
        <v>-1.3027237727030124E-2</v>
      </c>
      <c r="G3156">
        <f t="shared" si="105"/>
        <v>-2.1414238718136729E-2</v>
      </c>
    </row>
    <row r="3157" spans="1:7" x14ac:dyDescent="0.35">
      <c r="A3157" t="s">
        <v>167</v>
      </c>
      <c r="E3157">
        <v>4.28300786280514E-3</v>
      </c>
      <c r="F3157">
        <f t="shared" si="104"/>
        <v>-1.3052276119008992E-2</v>
      </c>
      <c r="G3157">
        <f t="shared" si="105"/>
        <v>-2.1414238718136729E-2</v>
      </c>
    </row>
    <row r="3158" spans="1:7" x14ac:dyDescent="0.35">
      <c r="A3158" t="s">
        <v>167</v>
      </c>
      <c r="E3158">
        <v>5.0149677112952401E-3</v>
      </c>
      <c r="F3158">
        <f t="shared" si="104"/>
        <v>-1.3077314510987858E-2</v>
      </c>
      <c r="G3158">
        <f t="shared" si="105"/>
        <v>-2.1414238718136729E-2</v>
      </c>
    </row>
    <row r="3159" spans="1:7" x14ac:dyDescent="0.35">
      <c r="A3159" t="s">
        <v>167</v>
      </c>
      <c r="E3159">
        <v>-1.8091364864846794E-2</v>
      </c>
      <c r="F3159">
        <f t="shared" si="104"/>
        <v>-1.3102352902966722E-2</v>
      </c>
      <c r="G3159">
        <f t="shared" si="105"/>
        <v>-2.1414238718136729E-2</v>
      </c>
    </row>
    <row r="3160" spans="1:7" x14ac:dyDescent="0.35">
      <c r="A3160" t="s">
        <v>167</v>
      </c>
      <c r="E3160">
        <v>2.6116941524127494E-3</v>
      </c>
      <c r="F3160">
        <f t="shared" si="104"/>
        <v>-1.2626623455368273E-2</v>
      </c>
      <c r="G3160">
        <f t="shared" si="105"/>
        <v>-2.1248640493607078E-2</v>
      </c>
    </row>
    <row r="3161" spans="1:7" x14ac:dyDescent="0.35">
      <c r="A3161" t="s">
        <v>167</v>
      </c>
      <c r="E3161">
        <v>1.4002769068965448E-2</v>
      </c>
      <c r="F3161">
        <f t="shared" si="104"/>
        <v>-1.2651661847347137E-2</v>
      </c>
      <c r="G3161">
        <f t="shared" si="105"/>
        <v>-2.1518078526052038E-2</v>
      </c>
    </row>
    <row r="3162" spans="1:7" x14ac:dyDescent="0.35">
      <c r="A3162" t="s">
        <v>167</v>
      </c>
      <c r="E3162">
        <v>1.6809301618627915E-2</v>
      </c>
      <c r="F3162">
        <f t="shared" si="104"/>
        <v>-1.2676700239326004E-2</v>
      </c>
      <c r="G3162">
        <f t="shared" si="105"/>
        <v>-2.1518078526052038E-2</v>
      </c>
    </row>
    <row r="3163" spans="1:7" x14ac:dyDescent="0.35">
      <c r="A3163" t="s">
        <v>167</v>
      </c>
      <c r="E3163">
        <v>-1.316181308906089E-2</v>
      </c>
      <c r="F3163">
        <f t="shared" si="104"/>
        <v>-1.270173863130487E-2</v>
      </c>
      <c r="G3163">
        <f t="shared" si="105"/>
        <v>-2.1518078526052038E-2</v>
      </c>
    </row>
    <row r="3164" spans="1:7" x14ac:dyDescent="0.35">
      <c r="A3164" t="s">
        <v>167</v>
      </c>
      <c r="E3164">
        <v>-1.1155943632094805E-2</v>
      </c>
      <c r="F3164">
        <f t="shared" si="104"/>
        <v>-1.2553076939969335E-2</v>
      </c>
      <c r="G3164">
        <f t="shared" si="105"/>
        <v>-2.1501353849999145E-2</v>
      </c>
    </row>
    <row r="3165" spans="1:7" x14ac:dyDescent="0.35">
      <c r="A3165" t="s">
        <v>167</v>
      </c>
      <c r="E3165">
        <v>-7.5344176534762617E-3</v>
      </c>
      <c r="F3165">
        <f t="shared" si="104"/>
        <v>-1.2557673597181769E-2</v>
      </c>
      <c r="G3165">
        <f t="shared" si="105"/>
        <v>-2.1501353849999145E-2</v>
      </c>
    </row>
    <row r="3166" spans="1:7" x14ac:dyDescent="0.35">
      <c r="A3166" t="s">
        <v>167</v>
      </c>
      <c r="E3166">
        <v>-1.3695892685736791E-2</v>
      </c>
      <c r="F3166">
        <f t="shared" si="104"/>
        <v>-1.2562270254394202E-2</v>
      </c>
      <c r="G3166">
        <f t="shared" si="105"/>
        <v>-2.1501353849999145E-2</v>
      </c>
    </row>
    <row r="3167" spans="1:7" x14ac:dyDescent="0.35">
      <c r="A3167" t="s">
        <v>167</v>
      </c>
      <c r="E3167">
        <v>-4.5410200164988437E-3</v>
      </c>
      <c r="F3167">
        <f t="shared" si="104"/>
        <v>-1.2506594826422258E-2</v>
      </c>
      <c r="G3167">
        <f t="shared" si="105"/>
        <v>-2.1465066275792356E-2</v>
      </c>
    </row>
    <row r="3168" spans="1:7" x14ac:dyDescent="0.35">
      <c r="A3168" t="s">
        <v>167</v>
      </c>
      <c r="E3168">
        <v>1.1149397320784751E-2</v>
      </c>
      <c r="F3168">
        <f t="shared" si="104"/>
        <v>-1.2508756017552823E-2</v>
      </c>
      <c r="G3168">
        <f t="shared" si="105"/>
        <v>-2.1465066275792356E-2</v>
      </c>
    </row>
    <row r="3169" spans="1:7" x14ac:dyDescent="0.35">
      <c r="A3169" t="s">
        <v>167</v>
      </c>
      <c r="E3169">
        <v>-1.2237201135365455E-2</v>
      </c>
      <c r="F3169">
        <f t="shared" si="104"/>
        <v>-1.2510917208683386E-2</v>
      </c>
      <c r="G3169">
        <f t="shared" si="105"/>
        <v>-2.1465066275792356E-2</v>
      </c>
    </row>
    <row r="3170" spans="1:7" x14ac:dyDescent="0.35">
      <c r="A3170" t="s">
        <v>167</v>
      </c>
      <c r="E3170">
        <v>-3.948678589732485E-2</v>
      </c>
      <c r="F3170">
        <f t="shared" si="104"/>
        <v>-1.2513078399813953E-2</v>
      </c>
      <c r="G3170">
        <f t="shared" si="105"/>
        <v>-2.1465066275792356E-2</v>
      </c>
    </row>
    <row r="3171" spans="1:7" x14ac:dyDescent="0.35">
      <c r="A3171" t="s">
        <v>167</v>
      </c>
      <c r="E3171">
        <v>-1.0799387269349415E-2</v>
      </c>
      <c r="F3171">
        <f t="shared" si="104"/>
        <v>-1.2083942078160815E-2</v>
      </c>
      <c r="G3171">
        <f t="shared" si="105"/>
        <v>-2.062146254426684E-2</v>
      </c>
    </row>
    <row r="3172" spans="1:7" x14ac:dyDescent="0.35">
      <c r="A3172" t="s">
        <v>167</v>
      </c>
      <c r="E3172">
        <v>-1.4946680839354185E-3</v>
      </c>
      <c r="F3172">
        <f t="shared" si="104"/>
        <v>-1.2129222568199429E-2</v>
      </c>
      <c r="G3172">
        <f t="shared" si="105"/>
        <v>-2.062146254426684E-2</v>
      </c>
    </row>
    <row r="3173" spans="1:7" x14ac:dyDescent="0.35">
      <c r="A3173" t="s">
        <v>167</v>
      </c>
      <c r="E3173">
        <v>7.7080079177056296E-3</v>
      </c>
      <c r="F3173">
        <f t="shared" si="104"/>
        <v>-1.2174503058238036E-2</v>
      </c>
      <c r="G3173">
        <f t="shared" si="105"/>
        <v>-2.062146254426684E-2</v>
      </c>
    </row>
    <row r="3174" spans="1:7" x14ac:dyDescent="0.35">
      <c r="A3174" t="s">
        <v>167</v>
      </c>
      <c r="E3174">
        <v>-7.271871522289571E-3</v>
      </c>
      <c r="F3174">
        <f t="shared" si="104"/>
        <v>-1.2219783548276643E-2</v>
      </c>
      <c r="G3174">
        <f t="shared" si="105"/>
        <v>-2.062146254426684E-2</v>
      </c>
    </row>
    <row r="3175" spans="1:7" x14ac:dyDescent="0.35">
      <c r="A3175" t="s">
        <v>167</v>
      </c>
      <c r="E3175">
        <v>6.652292584814457E-3</v>
      </c>
      <c r="F3175">
        <f t="shared" si="104"/>
        <v>-1.2265064038315256E-2</v>
      </c>
      <c r="G3175">
        <f t="shared" si="105"/>
        <v>-2.062146254426684E-2</v>
      </c>
    </row>
    <row r="3176" spans="1:7" x14ac:dyDescent="0.35">
      <c r="A3176" t="s">
        <v>168</v>
      </c>
      <c r="B3176" s="3" cm="1">
        <f t="array" ref="B3176">_xlfn.STDEV.S(_xlfn._xlws.FILTER($E$2826:$E$3824, $A$2826:$A$3824="2022-10"))</f>
        <v>1.0146413431527475E-2</v>
      </c>
      <c r="C3176" s="3" cm="1">
        <f t="array" ref="C3176">AVERAGE(_xlfn._xlws.FILTER($E$2826:$E$3824, $A$2826:$A$3824="2022-10"))</f>
        <v>2.3217730166583662E-3</v>
      </c>
      <c r="D3176" s="3" cm="1">
        <f t="array" ref="D3176">_xlfn.PERCENTILE.EXC(_xlfn._xlws.FILTER($E$2490:$E$3818, $A$2490:$A$3818="2022-10"), 0.05)</f>
        <v>-1.4313420665029402E-2</v>
      </c>
      <c r="E3176">
        <v>1.3361749940733365E-2</v>
      </c>
      <c r="F3176">
        <f t="shared" si="104"/>
        <v>-1.2310344528353863E-2</v>
      </c>
      <c r="G3176">
        <f t="shared" si="105"/>
        <v>-2.062146254426684E-2</v>
      </c>
    </row>
    <row r="3177" spans="1:7" x14ac:dyDescent="0.35">
      <c r="A3177" t="s">
        <v>168</v>
      </c>
      <c r="E3177">
        <v>2.4763287455120114E-2</v>
      </c>
      <c r="F3177">
        <f t="shared" si="104"/>
        <v>-1.2355625018392475E-2</v>
      </c>
      <c r="G3177">
        <f t="shared" si="105"/>
        <v>-2.062146254426684E-2</v>
      </c>
    </row>
    <row r="3178" spans="1:7" x14ac:dyDescent="0.35">
      <c r="A3178" t="s">
        <v>168</v>
      </c>
      <c r="E3178">
        <v>-8.4169081617492224E-3</v>
      </c>
      <c r="F3178">
        <f t="shared" si="104"/>
        <v>-1.2400905508431082E-2</v>
      </c>
      <c r="G3178">
        <f t="shared" si="105"/>
        <v>-2.062146254426684E-2</v>
      </c>
    </row>
    <row r="3179" spans="1:7" x14ac:dyDescent="0.35">
      <c r="A3179" t="s">
        <v>168</v>
      </c>
      <c r="E3179">
        <v>-1.4881897101573751E-2</v>
      </c>
      <c r="F3179">
        <f t="shared" si="104"/>
        <v>-1.2446185998469689E-2</v>
      </c>
      <c r="G3179">
        <f t="shared" si="105"/>
        <v>-2.062146254426684E-2</v>
      </c>
    </row>
    <row r="3180" spans="1:7" x14ac:dyDescent="0.35">
      <c r="A3180" t="s">
        <v>168</v>
      </c>
      <c r="E3180">
        <v>-7.2630916162785277E-4</v>
      </c>
      <c r="F3180">
        <f t="shared" si="104"/>
        <v>-1.1585856687736115E-2</v>
      </c>
      <c r="G3180">
        <f t="shared" si="105"/>
        <v>-2.0518461281334416E-2</v>
      </c>
    </row>
    <row r="3181" spans="1:7" x14ac:dyDescent="0.35">
      <c r="A3181" t="s">
        <v>168</v>
      </c>
      <c r="E3181">
        <v>-3.8801989450938301E-3</v>
      </c>
      <c r="F3181">
        <f t="shared" si="104"/>
        <v>-1.1631137177774722E-2</v>
      </c>
      <c r="G3181">
        <f t="shared" si="105"/>
        <v>-2.0806609816611778E-2</v>
      </c>
    </row>
    <row r="3182" spans="1:7" x14ac:dyDescent="0.35">
      <c r="A3182" t="s">
        <v>168</v>
      </c>
      <c r="E3182">
        <v>-6.0372144651308505E-3</v>
      </c>
      <c r="F3182">
        <f t="shared" si="104"/>
        <v>-1.1676417667813332E-2</v>
      </c>
      <c r="G3182">
        <f t="shared" si="105"/>
        <v>-2.0806609816611778E-2</v>
      </c>
    </row>
    <row r="3183" spans="1:7" x14ac:dyDescent="0.35">
      <c r="A3183" t="s">
        <v>168</v>
      </c>
      <c r="E3183">
        <v>-9.1971327361302629E-3</v>
      </c>
      <c r="F3183">
        <f t="shared" si="104"/>
        <v>-1.1721698157851942E-2</v>
      </c>
      <c r="G3183">
        <f t="shared" si="105"/>
        <v>-2.0806609816611778E-2</v>
      </c>
    </row>
    <row r="3184" spans="1:7" x14ac:dyDescent="0.35">
      <c r="A3184" t="s">
        <v>168</v>
      </c>
      <c r="E3184">
        <v>1.793377868757454E-2</v>
      </c>
      <c r="F3184">
        <f t="shared" si="104"/>
        <v>-1.1766978647890551E-2</v>
      </c>
      <c r="G3184">
        <f t="shared" si="105"/>
        <v>-2.0806609816611778E-2</v>
      </c>
    </row>
    <row r="3185" spans="1:7" x14ac:dyDescent="0.35">
      <c r="A3185" t="s">
        <v>168</v>
      </c>
      <c r="E3185">
        <v>-7.8490078836591353E-3</v>
      </c>
      <c r="F3185">
        <f t="shared" si="104"/>
        <v>-1.1812259137929161E-2</v>
      </c>
      <c r="G3185">
        <f t="shared" si="105"/>
        <v>-2.0806609816611778E-2</v>
      </c>
    </row>
    <row r="3186" spans="1:7" x14ac:dyDescent="0.35">
      <c r="A3186" t="s">
        <v>168</v>
      </c>
      <c r="E3186">
        <v>1.685538454136221E-2</v>
      </c>
      <c r="F3186">
        <f t="shared" si="104"/>
        <v>-1.1857539627967768E-2</v>
      </c>
      <c r="G3186">
        <f t="shared" si="105"/>
        <v>-2.0806609816611778E-2</v>
      </c>
    </row>
    <row r="3187" spans="1:7" x14ac:dyDescent="0.35">
      <c r="A3187" t="s">
        <v>168</v>
      </c>
      <c r="E3187">
        <v>-6.128124496813327E-3</v>
      </c>
      <c r="F3187">
        <f t="shared" si="104"/>
        <v>-1.1902820118006379E-2</v>
      </c>
      <c r="G3187">
        <f t="shared" si="105"/>
        <v>-2.0806609816611778E-2</v>
      </c>
    </row>
    <row r="3188" spans="1:7" x14ac:dyDescent="0.35">
      <c r="A3188" t="s">
        <v>168</v>
      </c>
      <c r="E3188">
        <v>-3.096461304841841E-3</v>
      </c>
      <c r="F3188">
        <f t="shared" si="104"/>
        <v>-1.1948100608044989E-2</v>
      </c>
      <c r="G3188">
        <f t="shared" si="105"/>
        <v>-2.0806609816611778E-2</v>
      </c>
    </row>
    <row r="3189" spans="1:7" x14ac:dyDescent="0.35">
      <c r="A3189" t="s">
        <v>168</v>
      </c>
      <c r="E3189">
        <v>4.3814675771532072E-3</v>
      </c>
      <c r="F3189">
        <f t="shared" si="104"/>
        <v>-1.1993381098083599E-2</v>
      </c>
      <c r="G3189">
        <f t="shared" si="105"/>
        <v>-2.0806609816611778E-2</v>
      </c>
    </row>
    <row r="3190" spans="1:7" x14ac:dyDescent="0.35">
      <c r="A3190" t="s">
        <v>168</v>
      </c>
      <c r="E3190">
        <v>4.8999915550576871E-4</v>
      </c>
      <c r="F3190">
        <f t="shared" si="104"/>
        <v>-1.203866158812221E-2</v>
      </c>
      <c r="G3190">
        <f t="shared" si="105"/>
        <v>-2.0806609816611778E-2</v>
      </c>
    </row>
    <row r="3191" spans="1:7" x14ac:dyDescent="0.35">
      <c r="A3191" t="s">
        <v>168</v>
      </c>
      <c r="E3191">
        <v>4.4144168871972844E-3</v>
      </c>
      <c r="F3191">
        <f t="shared" si="104"/>
        <v>-1.2083942078160815E-2</v>
      </c>
      <c r="G3191">
        <f t="shared" si="105"/>
        <v>-2.0806609816611778E-2</v>
      </c>
    </row>
    <row r="3192" spans="1:7" x14ac:dyDescent="0.35">
      <c r="A3192" t="s">
        <v>168</v>
      </c>
      <c r="E3192">
        <v>8.7010162522545339E-3</v>
      </c>
      <c r="F3192">
        <f t="shared" si="104"/>
        <v>-1.2129222568199425E-2</v>
      </c>
      <c r="G3192">
        <f t="shared" si="105"/>
        <v>-2.0806609816611778E-2</v>
      </c>
    </row>
    <row r="3193" spans="1:7" x14ac:dyDescent="0.35">
      <c r="A3193" t="s">
        <v>168</v>
      </c>
      <c r="E3193">
        <v>6.0903430261121305E-3</v>
      </c>
      <c r="F3193">
        <f t="shared" si="104"/>
        <v>-1.2174503058238036E-2</v>
      </c>
      <c r="G3193">
        <f t="shared" si="105"/>
        <v>-2.0806609816611778E-2</v>
      </c>
    </row>
    <row r="3194" spans="1:7" x14ac:dyDescent="0.35">
      <c r="A3194" t="s">
        <v>168</v>
      </c>
      <c r="E3194">
        <v>8.9895921520620481E-3</v>
      </c>
      <c r="F3194">
        <f t="shared" si="104"/>
        <v>-1.2219783548276646E-2</v>
      </c>
      <c r="G3194">
        <f t="shared" si="105"/>
        <v>-2.0806609816611778E-2</v>
      </c>
    </row>
    <row r="3195" spans="1:7" x14ac:dyDescent="0.35">
      <c r="A3195" t="s">
        <v>168</v>
      </c>
      <c r="E3195">
        <v>1.6126293029339626E-3</v>
      </c>
      <c r="F3195">
        <f t="shared" si="104"/>
        <v>-1.2265064038315256E-2</v>
      </c>
      <c r="G3195">
        <f t="shared" si="105"/>
        <v>-2.0806609816611778E-2</v>
      </c>
    </row>
    <row r="3196" spans="1:7" x14ac:dyDescent="0.35">
      <c r="A3196" t="s">
        <v>168</v>
      </c>
      <c r="E3196">
        <v>1.3768226284366107E-3</v>
      </c>
      <c r="F3196">
        <f t="shared" si="104"/>
        <v>-1.2310344528353863E-2</v>
      </c>
      <c r="G3196">
        <f t="shared" si="105"/>
        <v>-2.0806609816611778E-2</v>
      </c>
    </row>
    <row r="3197" spans="1:7" x14ac:dyDescent="0.35">
      <c r="A3197" t="s">
        <v>169</v>
      </c>
      <c r="B3197" s="3" cm="1">
        <f t="array" ref="B3197">_xlfn.STDEV.S(_xlfn._xlws.FILTER($E$2826:$E$3824, $A$2826:$A$3824="2022-11"))</f>
        <v>9.1488070178043033E-3</v>
      </c>
      <c r="C3197" s="3" cm="1">
        <f t="array" ref="C3197">AVERAGE(_xlfn._xlws.FILTER($E$2826:$E$3824, $A$2826:$A$3824="2022-11"))</f>
        <v>2.8853740418798221E-3</v>
      </c>
      <c r="D3197" s="3" cm="1">
        <f t="array" ref="D3197">_xlfn.PERCENTILE.EXC(_xlfn._xlws.FILTER($E$2490:$E$3818, $A$2490:$A$3818="2022-11"), 0.05)</f>
        <v>-1.3798392642752658E-2</v>
      </c>
      <c r="E3197">
        <v>1.4907087234959806E-2</v>
      </c>
      <c r="F3197">
        <f t="shared" si="104"/>
        <v>-1.2355625018392474E-2</v>
      </c>
      <c r="G3197">
        <f t="shared" si="105"/>
        <v>-2.0806609816611778E-2</v>
      </c>
    </row>
    <row r="3198" spans="1:7" x14ac:dyDescent="0.35">
      <c r="A3198" t="s">
        <v>169</v>
      </c>
      <c r="E3198">
        <v>-6.794559360491342E-3</v>
      </c>
      <c r="F3198">
        <f t="shared" si="104"/>
        <v>-1.2400905508431082E-2</v>
      </c>
      <c r="G3198">
        <f t="shared" si="105"/>
        <v>-2.0806609816611778E-2</v>
      </c>
    </row>
    <row r="3199" spans="1:7" x14ac:dyDescent="0.35">
      <c r="A3199" t="s">
        <v>169</v>
      </c>
      <c r="E3199">
        <v>-6.3772159150229249E-3</v>
      </c>
      <c r="F3199">
        <f t="shared" si="104"/>
        <v>-1.2446185998469693E-2</v>
      </c>
      <c r="G3199">
        <f t="shared" si="105"/>
        <v>-2.0806609816611778E-2</v>
      </c>
    </row>
    <row r="3200" spans="1:7" x14ac:dyDescent="0.35">
      <c r="A3200" t="s">
        <v>169</v>
      </c>
      <c r="E3200">
        <v>1.6099965716530065E-2</v>
      </c>
      <c r="F3200">
        <f t="shared" si="104"/>
        <v>-1.2491466488508303E-2</v>
      </c>
      <c r="G3200">
        <f t="shared" si="105"/>
        <v>-2.0806609816611778E-2</v>
      </c>
    </row>
    <row r="3201" spans="1:7" x14ac:dyDescent="0.35">
      <c r="A3201" t="s">
        <v>169</v>
      </c>
      <c r="E3201">
        <v>1.5022044474294202E-3</v>
      </c>
      <c r="F3201">
        <f t="shared" si="104"/>
        <v>-1.2493627679638868E-2</v>
      </c>
      <c r="G3201">
        <f t="shared" si="105"/>
        <v>-2.1083781260881895E-2</v>
      </c>
    </row>
    <row r="3202" spans="1:7" x14ac:dyDescent="0.35">
      <c r="A3202" t="s">
        <v>169</v>
      </c>
      <c r="E3202">
        <v>-5.2609341994179894E-4</v>
      </c>
      <c r="F3202">
        <f t="shared" si="104"/>
        <v>-1.2495788870769433E-2</v>
      </c>
      <c r="G3202">
        <f t="shared" si="105"/>
        <v>-2.1083781260881895E-2</v>
      </c>
    </row>
    <row r="3203" spans="1:7" x14ac:dyDescent="0.35">
      <c r="A3203" t="s">
        <v>169</v>
      </c>
      <c r="E3203">
        <v>-1.2626623455368273E-2</v>
      </c>
      <c r="F3203">
        <f t="shared" si="104"/>
        <v>-1.2497950061899998E-2</v>
      </c>
      <c r="G3203">
        <f t="shared" si="105"/>
        <v>-2.1083781260881895E-2</v>
      </c>
    </row>
    <row r="3204" spans="1:7" x14ac:dyDescent="0.35">
      <c r="A3204" t="s">
        <v>169</v>
      </c>
      <c r="E3204">
        <v>2.2300601866221566E-2</v>
      </c>
      <c r="F3204">
        <f t="shared" ref="F3204:F3267" si="106">_xlfn.PERCENTILE.EXC(E3204:E7019,0.05)</f>
        <v>-1.1766978647890551E-2</v>
      </c>
      <c r="G3204">
        <f t="shared" ref="G3204:G3267" si="107">AVERAGEIFS(E3204:E7020,E3204:E7020,"&lt;=" &amp; F3204)</f>
        <v>-2.107927602865323E-2</v>
      </c>
    </row>
    <row r="3205" spans="1:7" x14ac:dyDescent="0.35">
      <c r="A3205" t="s">
        <v>169</v>
      </c>
      <c r="E3205">
        <v>-1.4005175440526374E-2</v>
      </c>
      <c r="F3205">
        <f t="shared" si="106"/>
        <v>-1.1812259137929161E-2</v>
      </c>
      <c r="G3205">
        <f t="shared" si="107"/>
        <v>-2.107927602865323E-2</v>
      </c>
    </row>
    <row r="3206" spans="1:7" x14ac:dyDescent="0.35">
      <c r="A3206" t="s">
        <v>169</v>
      </c>
      <c r="E3206">
        <v>6.2308070427062687E-3</v>
      </c>
      <c r="F3206">
        <f t="shared" si="106"/>
        <v>-1.1547009142627055E-2</v>
      </c>
      <c r="G3206">
        <f t="shared" si="107"/>
        <v>-2.099863207022689E-2</v>
      </c>
    </row>
    <row r="3207" spans="1:7" x14ac:dyDescent="0.35">
      <c r="A3207" t="s">
        <v>169</v>
      </c>
      <c r="E3207">
        <v>4.4703197029959639E-3</v>
      </c>
      <c r="F3207">
        <f t="shared" si="106"/>
        <v>-1.1549783967277702E-2</v>
      </c>
      <c r="G3207">
        <f t="shared" si="107"/>
        <v>-2.099863207022689E-2</v>
      </c>
    </row>
    <row r="3208" spans="1:7" x14ac:dyDescent="0.35">
      <c r="A3208" t="s">
        <v>169</v>
      </c>
      <c r="E3208">
        <v>-2.1309790836629033E-3</v>
      </c>
      <c r="F3208">
        <f t="shared" si="106"/>
        <v>-1.1552558791928349E-2</v>
      </c>
      <c r="G3208">
        <f t="shared" si="107"/>
        <v>-2.099863207022689E-2</v>
      </c>
    </row>
    <row r="3209" spans="1:7" x14ac:dyDescent="0.35">
      <c r="A3209" t="s">
        <v>169</v>
      </c>
      <c r="E3209">
        <v>-2.241035715167566E-3</v>
      </c>
      <c r="F3209">
        <f t="shared" si="106"/>
        <v>-1.1555333616578995E-2</v>
      </c>
      <c r="G3209">
        <f t="shared" si="107"/>
        <v>-2.099863207022689E-2</v>
      </c>
    </row>
    <row r="3210" spans="1:7" x14ac:dyDescent="0.35">
      <c r="A3210" t="s">
        <v>169</v>
      </c>
      <c r="E3210">
        <v>1.0477651178013962E-2</v>
      </c>
      <c r="F3210">
        <f t="shared" si="106"/>
        <v>-1.1558108441229644E-2</v>
      </c>
      <c r="G3210">
        <f t="shared" si="107"/>
        <v>-2.099863207022689E-2</v>
      </c>
    </row>
    <row r="3211" spans="1:7" x14ac:dyDescent="0.35">
      <c r="A3211" t="s">
        <v>169</v>
      </c>
      <c r="E3211">
        <v>1.2842569299153673E-3</v>
      </c>
      <c r="F3211">
        <f t="shared" si="106"/>
        <v>-1.1560883265880291E-2</v>
      </c>
      <c r="G3211">
        <f t="shared" si="107"/>
        <v>-2.099863207022689E-2</v>
      </c>
    </row>
    <row r="3212" spans="1:7" x14ac:dyDescent="0.35">
      <c r="A3212" t="s">
        <v>169</v>
      </c>
      <c r="E3212">
        <v>1.1629285882843248E-2</v>
      </c>
      <c r="F3212">
        <f t="shared" si="106"/>
        <v>-1.1563658090530938E-2</v>
      </c>
      <c r="G3212">
        <f t="shared" si="107"/>
        <v>-2.099863207022689E-2</v>
      </c>
    </row>
    <row r="3213" spans="1:7" x14ac:dyDescent="0.35">
      <c r="A3213" t="s">
        <v>169</v>
      </c>
      <c r="E3213">
        <v>7.4585013721583469E-3</v>
      </c>
      <c r="F3213">
        <f t="shared" si="106"/>
        <v>-1.1566432915181585E-2</v>
      </c>
      <c r="G3213">
        <f t="shared" si="107"/>
        <v>-2.099863207022689E-2</v>
      </c>
    </row>
    <row r="3214" spans="1:7" x14ac:dyDescent="0.35">
      <c r="A3214" t="s">
        <v>169</v>
      </c>
      <c r="E3214">
        <v>3.6330364573355367E-3</v>
      </c>
      <c r="F3214">
        <f t="shared" si="106"/>
        <v>-1.1569207739832232E-2</v>
      </c>
      <c r="G3214">
        <f t="shared" si="107"/>
        <v>-2.099863207022689E-2</v>
      </c>
    </row>
    <row r="3215" spans="1:7" x14ac:dyDescent="0.35">
      <c r="A3215" t="s">
        <v>169</v>
      </c>
      <c r="E3215">
        <v>5.7780266851844089E-4</v>
      </c>
      <c r="F3215">
        <f t="shared" si="106"/>
        <v>-1.1571982564482879E-2</v>
      </c>
      <c r="G3215">
        <f t="shared" si="107"/>
        <v>-2.099863207022689E-2</v>
      </c>
    </row>
    <row r="3216" spans="1:7" x14ac:dyDescent="0.35">
      <c r="A3216" t="s">
        <v>169</v>
      </c>
      <c r="E3216">
        <v>-6.0277227707771826E-3</v>
      </c>
      <c r="F3216">
        <f t="shared" si="106"/>
        <v>-1.1574757389133526E-2</v>
      </c>
      <c r="G3216">
        <f t="shared" si="107"/>
        <v>-2.099863207022689E-2</v>
      </c>
    </row>
    <row r="3217" spans="1:7" x14ac:dyDescent="0.35">
      <c r="A3217" t="s">
        <v>169</v>
      </c>
      <c r="E3217">
        <v>5.4629661853721045E-3</v>
      </c>
      <c r="F3217">
        <f t="shared" si="106"/>
        <v>-1.1577532213784172E-2</v>
      </c>
      <c r="G3217">
        <f t="shared" si="107"/>
        <v>-2.099863207022689E-2</v>
      </c>
    </row>
    <row r="3218" spans="1:7" x14ac:dyDescent="0.35">
      <c r="A3218" t="s">
        <v>169</v>
      </c>
      <c r="E3218">
        <v>8.1731473973143641E-3</v>
      </c>
      <c r="F3218">
        <f t="shared" si="106"/>
        <v>-1.1580307038434821E-2</v>
      </c>
      <c r="G3218">
        <f t="shared" si="107"/>
        <v>-2.099863207022689E-2</v>
      </c>
    </row>
    <row r="3219" spans="1:7" x14ac:dyDescent="0.35">
      <c r="A3219" t="s">
        <v>170</v>
      </c>
      <c r="B3219" s="3" cm="1">
        <f t="array" ref="B3219">_xlfn.STDEV.S(_xlfn._xlws.FILTER($E$2826:$E$3824, $A$2826:$A$3824="2022-12"))</f>
        <v>7.7971285074280488E-3</v>
      </c>
      <c r="C3219" s="3" cm="1">
        <f t="array" ref="C3219">AVERAGE(_xlfn._xlws.FILTER($E$2826:$E$3824, $A$2826:$A$3824="2022-12"))</f>
        <v>-2.0462808540227468E-3</v>
      </c>
      <c r="D3219" s="3" cm="1">
        <f t="array" ref="D3219">_xlfn.PERCENTILE.EXC(_xlfn._xlws.FILTER($E$2490:$E$3818, $A$2490:$A$3818="2022-12"), 0.05)</f>
        <v>-2.4823169101131276E-2</v>
      </c>
      <c r="E3219">
        <v>5.734415049100606E-3</v>
      </c>
      <c r="F3219">
        <f t="shared" si="106"/>
        <v>-1.1583081863085468E-2</v>
      </c>
      <c r="G3219">
        <f t="shared" si="107"/>
        <v>-2.099863207022689E-2</v>
      </c>
    </row>
    <row r="3220" spans="1:7" x14ac:dyDescent="0.35">
      <c r="A3220" t="s">
        <v>170</v>
      </c>
      <c r="E3220">
        <v>-6.2489826387167162E-4</v>
      </c>
      <c r="F3220">
        <f t="shared" si="106"/>
        <v>-1.1585856687736115E-2</v>
      </c>
      <c r="G3220">
        <f t="shared" si="107"/>
        <v>-2.099863207022689E-2</v>
      </c>
    </row>
    <row r="3221" spans="1:7" x14ac:dyDescent="0.35">
      <c r="A3221" t="s">
        <v>170</v>
      </c>
      <c r="E3221">
        <v>-3.3230481004476813E-3</v>
      </c>
      <c r="F3221">
        <f t="shared" si="106"/>
        <v>-1.1631137177774722E-2</v>
      </c>
      <c r="G3221">
        <f t="shared" si="107"/>
        <v>-2.1323210531692088E-2</v>
      </c>
    </row>
    <row r="3222" spans="1:7" x14ac:dyDescent="0.35">
      <c r="A3222" t="s">
        <v>170</v>
      </c>
      <c r="E3222">
        <v>-5.3702852592288014E-3</v>
      </c>
      <c r="F3222">
        <f t="shared" si="106"/>
        <v>-1.1676417667813332E-2</v>
      </c>
      <c r="G3222">
        <f t="shared" si="107"/>
        <v>-2.1323210531692088E-2</v>
      </c>
    </row>
    <row r="3223" spans="1:7" x14ac:dyDescent="0.35">
      <c r="A3223" t="s">
        <v>170</v>
      </c>
      <c r="E3223">
        <v>-3.784457111050975E-3</v>
      </c>
      <c r="F3223">
        <f t="shared" si="106"/>
        <v>-1.1721698157851942E-2</v>
      </c>
      <c r="G3223">
        <f t="shared" si="107"/>
        <v>-2.1323210531692088E-2</v>
      </c>
    </row>
    <row r="3224" spans="1:7" x14ac:dyDescent="0.35">
      <c r="A3224" t="s">
        <v>170</v>
      </c>
      <c r="E3224">
        <v>-3.9263691878145155E-3</v>
      </c>
      <c r="F3224">
        <f t="shared" si="106"/>
        <v>-1.1766978647890551E-2</v>
      </c>
      <c r="G3224">
        <f t="shared" si="107"/>
        <v>-2.1323210531692088E-2</v>
      </c>
    </row>
    <row r="3225" spans="1:7" x14ac:dyDescent="0.35">
      <c r="A3225" t="s">
        <v>170</v>
      </c>
      <c r="E3225">
        <v>4.7298723689330816E-3</v>
      </c>
      <c r="F3225">
        <f t="shared" si="106"/>
        <v>-1.1812259137929161E-2</v>
      </c>
      <c r="G3225">
        <f t="shared" si="107"/>
        <v>-2.1323210531692088E-2</v>
      </c>
    </row>
    <row r="3226" spans="1:7" x14ac:dyDescent="0.35">
      <c r="A3226" t="s">
        <v>170</v>
      </c>
      <c r="E3226">
        <v>-3.3777061593510266E-3</v>
      </c>
      <c r="F3226">
        <f t="shared" si="106"/>
        <v>-1.1857539627967768E-2</v>
      </c>
      <c r="G3226">
        <f t="shared" si="107"/>
        <v>-2.1323210531692088E-2</v>
      </c>
    </row>
    <row r="3227" spans="1:7" x14ac:dyDescent="0.35">
      <c r="A3227" t="s">
        <v>170</v>
      </c>
      <c r="E3227">
        <v>6.8522176995808749E-3</v>
      </c>
      <c r="F3227">
        <f t="shared" si="106"/>
        <v>-1.1902820118006379E-2</v>
      </c>
      <c r="G3227">
        <f t="shared" si="107"/>
        <v>-2.1323210531692088E-2</v>
      </c>
    </row>
    <row r="3228" spans="1:7" x14ac:dyDescent="0.35">
      <c r="A3228" t="s">
        <v>170</v>
      </c>
      <c r="E3228">
        <v>-2.117224036233686E-4</v>
      </c>
      <c r="F3228">
        <f t="shared" si="106"/>
        <v>-1.1948100608044989E-2</v>
      </c>
      <c r="G3228">
        <f t="shared" si="107"/>
        <v>-2.1323210531692088E-2</v>
      </c>
    </row>
    <row r="3229" spans="1:7" x14ac:dyDescent="0.35">
      <c r="A3229" t="s">
        <v>170</v>
      </c>
      <c r="E3229">
        <v>-2.5519869754467864E-2</v>
      </c>
      <c r="F3229">
        <f t="shared" si="106"/>
        <v>-1.1993381098083599E-2</v>
      </c>
      <c r="G3229">
        <f t="shared" si="107"/>
        <v>-2.1323210531692088E-2</v>
      </c>
    </row>
    <row r="3230" spans="1:7" x14ac:dyDescent="0.35">
      <c r="A3230" t="s">
        <v>170</v>
      </c>
      <c r="E3230">
        <v>-1.1585856687736115E-2</v>
      </c>
      <c r="F3230">
        <f t="shared" si="106"/>
        <v>-1.1558108441229644E-2</v>
      </c>
      <c r="G3230">
        <f t="shared" si="107"/>
        <v>-2.0842727322494443E-2</v>
      </c>
    </row>
    <row r="3231" spans="1:7" x14ac:dyDescent="0.35">
      <c r="A3231" t="s">
        <v>170</v>
      </c>
      <c r="E3231">
        <v>2.1711817278804719E-3</v>
      </c>
      <c r="F3231">
        <f t="shared" si="106"/>
        <v>-1.148935655753806E-2</v>
      </c>
      <c r="G3231">
        <f t="shared" si="107"/>
        <v>-2.0840813650321581E-2</v>
      </c>
    </row>
    <row r="3232" spans="1:7" x14ac:dyDescent="0.35">
      <c r="A3232" t="s">
        <v>170</v>
      </c>
      <c r="E3232">
        <v>-9.1894757941858888E-4</v>
      </c>
      <c r="F3232">
        <f t="shared" si="106"/>
        <v>-1.1493912517225294E-2</v>
      </c>
      <c r="G3232">
        <f t="shared" si="107"/>
        <v>-2.0840813650321581E-2</v>
      </c>
    </row>
    <row r="3233" spans="1:7" x14ac:dyDescent="0.35">
      <c r="A3233" t="s">
        <v>170</v>
      </c>
      <c r="E3233">
        <v>1.225086461044227E-2</v>
      </c>
      <c r="F3233">
        <f t="shared" si="106"/>
        <v>-1.149846847691253E-2</v>
      </c>
      <c r="G3233">
        <f t="shared" si="107"/>
        <v>-2.0840813650321581E-2</v>
      </c>
    </row>
    <row r="3234" spans="1:7" x14ac:dyDescent="0.35">
      <c r="A3234" t="s">
        <v>170</v>
      </c>
      <c r="E3234">
        <v>-6.2216449758005811E-3</v>
      </c>
      <c r="F3234">
        <f t="shared" si="106"/>
        <v>-1.1503024436599764E-2</v>
      </c>
      <c r="G3234">
        <f t="shared" si="107"/>
        <v>-2.0840813650321581E-2</v>
      </c>
    </row>
    <row r="3235" spans="1:7" x14ac:dyDescent="0.35">
      <c r="A3235" t="s">
        <v>170</v>
      </c>
      <c r="E3235">
        <v>-2.3754293325800767E-4</v>
      </c>
      <c r="F3235">
        <f t="shared" si="106"/>
        <v>-1.1507580396287E-2</v>
      </c>
      <c r="G3235">
        <f t="shared" si="107"/>
        <v>-2.0840813650321581E-2</v>
      </c>
    </row>
    <row r="3236" spans="1:7" x14ac:dyDescent="0.35">
      <c r="A3236" t="s">
        <v>170</v>
      </c>
      <c r="E3236">
        <v>1.7304987220020458E-3</v>
      </c>
      <c r="F3236">
        <f t="shared" si="106"/>
        <v>-1.1512136355974234E-2</v>
      </c>
      <c r="G3236">
        <f t="shared" si="107"/>
        <v>-2.0840813650321581E-2</v>
      </c>
    </row>
    <row r="3237" spans="1:7" x14ac:dyDescent="0.35">
      <c r="A3237" t="s">
        <v>170</v>
      </c>
      <c r="E3237">
        <v>-8.3109641826533862E-4</v>
      </c>
      <c r="F3237">
        <f t="shared" si="106"/>
        <v>-1.1516692315661468E-2</v>
      </c>
      <c r="G3237">
        <f t="shared" si="107"/>
        <v>-2.0840813650321581E-2</v>
      </c>
    </row>
    <row r="3238" spans="1:7" x14ac:dyDescent="0.35">
      <c r="A3238" t="s">
        <v>170</v>
      </c>
      <c r="E3238">
        <v>-8.4612224240597656E-3</v>
      </c>
      <c r="F3238">
        <f t="shared" si="106"/>
        <v>-1.1521248275348702E-2</v>
      </c>
      <c r="G3238">
        <f t="shared" si="107"/>
        <v>-2.0840813650321581E-2</v>
      </c>
    </row>
    <row r="3239" spans="1:7" x14ac:dyDescent="0.35">
      <c r="A3239" t="s">
        <v>171</v>
      </c>
      <c r="B3239" s="3" cm="1">
        <f t="array" ref="B3239">_xlfn.STDEV.S(_xlfn._xlws.FILTER($E$2826:$E$3824, $A$2826:$A$3824="2023-01"))</f>
        <v>6.7885299443091688E-3</v>
      </c>
      <c r="C3239" s="3" cm="1">
        <f t="array" ref="C3239">AVERAGE(_xlfn._xlws.FILTER($E$2826:$E$3824, $A$2826:$A$3824="2023-01"))</f>
        <v>2.2112718235532936E-3</v>
      </c>
      <c r="D3239" s="3" cm="1">
        <f t="array" ref="D3239">_xlfn.PERCENTILE.EXC(_xlfn._xlws.FILTER($E$2490:$E$3818, $A$2490:$A$3818="2023-01"), 0.05)</f>
        <v>-1.0230377044248435E-2</v>
      </c>
      <c r="E3239">
        <v>1.8111757419035718E-2</v>
      </c>
      <c r="F3239">
        <f t="shared" si="106"/>
        <v>-1.1525804235035937E-2</v>
      </c>
      <c r="G3239">
        <f t="shared" si="107"/>
        <v>-2.0840813650321581E-2</v>
      </c>
    </row>
    <row r="3240" spans="1:7" x14ac:dyDescent="0.35">
      <c r="A3240" t="s">
        <v>171</v>
      </c>
      <c r="E3240">
        <v>6.7468631774297242E-3</v>
      </c>
      <c r="F3240">
        <f t="shared" si="106"/>
        <v>-1.1530360194723172E-2</v>
      </c>
      <c r="G3240">
        <f t="shared" si="107"/>
        <v>-2.0840813650321581E-2</v>
      </c>
    </row>
    <row r="3241" spans="1:7" x14ac:dyDescent="0.35">
      <c r="A3241" t="s">
        <v>171</v>
      </c>
      <c r="E3241">
        <v>3.6295970076661666E-4</v>
      </c>
      <c r="F3241">
        <f t="shared" si="106"/>
        <v>-1.1578415509412425E-2</v>
      </c>
      <c r="G3241">
        <f t="shared" si="107"/>
        <v>-2.1173329845164381E-2</v>
      </c>
    </row>
    <row r="3242" spans="1:7" x14ac:dyDescent="0.35">
      <c r="A3242" t="s">
        <v>171</v>
      </c>
      <c r="E3242">
        <v>1.3248569879751038E-2</v>
      </c>
      <c r="F3242">
        <f t="shared" si="106"/>
        <v>-1.1626470824101683E-2</v>
      </c>
      <c r="G3242">
        <f t="shared" si="107"/>
        <v>-2.1173329845164381E-2</v>
      </c>
    </row>
    <row r="3243" spans="1:7" x14ac:dyDescent="0.35">
      <c r="A3243" t="s">
        <v>171</v>
      </c>
      <c r="E3243">
        <v>1.8877220489612774E-3</v>
      </c>
      <c r="F3243">
        <f t="shared" si="106"/>
        <v>-1.167452613879094E-2</v>
      </c>
      <c r="G3243">
        <f t="shared" si="107"/>
        <v>-2.1173329845164381E-2</v>
      </c>
    </row>
    <row r="3244" spans="1:7" x14ac:dyDescent="0.35">
      <c r="A3244" t="s">
        <v>171</v>
      </c>
      <c r="E3244">
        <v>-6.2392567526591359E-3</v>
      </c>
      <c r="F3244">
        <f t="shared" si="106"/>
        <v>-1.1722581453480197E-2</v>
      </c>
      <c r="G3244">
        <f t="shared" si="107"/>
        <v>-2.1173329845164381E-2</v>
      </c>
    </row>
    <row r="3245" spans="1:7" x14ac:dyDescent="0.35">
      <c r="A3245" t="s">
        <v>171</v>
      </c>
      <c r="E3245">
        <v>4.3699640273987947E-4</v>
      </c>
      <c r="F3245">
        <f t="shared" si="106"/>
        <v>-1.1770636768169454E-2</v>
      </c>
      <c r="G3245">
        <f t="shared" si="107"/>
        <v>-2.1173329845164381E-2</v>
      </c>
    </row>
    <row r="3246" spans="1:7" x14ac:dyDescent="0.35">
      <c r="A3246" t="s">
        <v>171</v>
      </c>
      <c r="E3246">
        <v>8.3245363742999526E-3</v>
      </c>
      <c r="F3246">
        <f t="shared" si="106"/>
        <v>-1.1818692082858708E-2</v>
      </c>
      <c r="G3246">
        <f t="shared" si="107"/>
        <v>-2.1173329845164381E-2</v>
      </c>
    </row>
    <row r="3247" spans="1:7" x14ac:dyDescent="0.35">
      <c r="A3247" t="s">
        <v>171</v>
      </c>
      <c r="E3247">
        <v>6.6992361595833647E-3</v>
      </c>
      <c r="F3247">
        <f t="shared" si="106"/>
        <v>-1.1866747397547965E-2</v>
      </c>
      <c r="G3247">
        <f t="shared" si="107"/>
        <v>-2.1173329845164381E-2</v>
      </c>
    </row>
    <row r="3248" spans="1:7" x14ac:dyDescent="0.35">
      <c r="A3248" t="s">
        <v>171</v>
      </c>
      <c r="E3248">
        <v>1.8560501401676105E-3</v>
      </c>
      <c r="F3248">
        <f t="shared" si="106"/>
        <v>-1.1914802712237223E-2</v>
      </c>
      <c r="G3248">
        <f t="shared" si="107"/>
        <v>-2.1173329845164381E-2</v>
      </c>
    </row>
    <row r="3249" spans="1:7" x14ac:dyDescent="0.35">
      <c r="A3249" t="s">
        <v>171</v>
      </c>
      <c r="E3249">
        <v>7.6198101506489398E-3</v>
      </c>
      <c r="F3249">
        <f t="shared" si="106"/>
        <v>-1.196285802692648E-2</v>
      </c>
      <c r="G3249">
        <f t="shared" si="107"/>
        <v>-2.1173329845164381E-2</v>
      </c>
    </row>
    <row r="3250" spans="1:7" x14ac:dyDescent="0.35">
      <c r="A3250" t="s">
        <v>171</v>
      </c>
      <c r="E3250">
        <v>2.9366289699504231E-3</v>
      </c>
      <c r="F3250">
        <f t="shared" si="106"/>
        <v>-1.2010913341615737E-2</v>
      </c>
      <c r="G3250">
        <f t="shared" si="107"/>
        <v>-2.1173329845164381E-2</v>
      </c>
    </row>
    <row r="3251" spans="1:7" x14ac:dyDescent="0.35">
      <c r="A3251" t="s">
        <v>171</v>
      </c>
      <c r="E3251">
        <v>-1.0375070575858621E-2</v>
      </c>
      <c r="F3251">
        <f t="shared" si="106"/>
        <v>-1.2058968656304991E-2</v>
      </c>
      <c r="G3251">
        <f t="shared" si="107"/>
        <v>-2.1173329845164381E-2</v>
      </c>
    </row>
    <row r="3252" spans="1:7" x14ac:dyDescent="0.35">
      <c r="A3252" t="s">
        <v>171</v>
      </c>
      <c r="E3252">
        <v>1.5484344014879581E-3</v>
      </c>
      <c r="F3252">
        <f t="shared" si="106"/>
        <v>-1.2107023970994248E-2</v>
      </c>
      <c r="G3252">
        <f t="shared" si="107"/>
        <v>-2.1173329845164381E-2</v>
      </c>
    </row>
    <row r="3253" spans="1:7" x14ac:dyDescent="0.35">
      <c r="A3253" t="s">
        <v>171</v>
      </c>
      <c r="E3253">
        <v>-1.3944610336458752E-3</v>
      </c>
      <c r="F3253">
        <f t="shared" si="106"/>
        <v>-1.2155079285683506E-2</v>
      </c>
      <c r="G3253">
        <f t="shared" si="107"/>
        <v>-2.1173329845164381E-2</v>
      </c>
    </row>
    <row r="3254" spans="1:7" x14ac:dyDescent="0.35">
      <c r="A3254" t="s">
        <v>171</v>
      </c>
      <c r="E3254">
        <v>-8.9281352597567632E-3</v>
      </c>
      <c r="F3254">
        <f t="shared" si="106"/>
        <v>-1.2203134600372763E-2</v>
      </c>
      <c r="G3254">
        <f t="shared" si="107"/>
        <v>-2.1173329845164381E-2</v>
      </c>
    </row>
    <row r="3255" spans="1:7" x14ac:dyDescent="0.35">
      <c r="A3255" t="s">
        <v>171</v>
      </c>
      <c r="E3255">
        <v>1.5443490895836922E-3</v>
      </c>
      <c r="F3255">
        <f t="shared" si="106"/>
        <v>-1.225118991506202E-2</v>
      </c>
      <c r="G3255">
        <f t="shared" si="107"/>
        <v>-2.1173329845164381E-2</v>
      </c>
    </row>
    <row r="3256" spans="1:7" x14ac:dyDescent="0.35">
      <c r="A3256" t="s">
        <v>171</v>
      </c>
      <c r="E3256">
        <v>4.653608061156226E-3</v>
      </c>
      <c r="F3256">
        <f t="shared" si="106"/>
        <v>-1.2299245229751274E-2</v>
      </c>
      <c r="G3256">
        <f t="shared" si="107"/>
        <v>-2.1173329845164381E-2</v>
      </c>
    </row>
    <row r="3257" spans="1:7" x14ac:dyDescent="0.35">
      <c r="A3257" t="s">
        <v>171</v>
      </c>
      <c r="E3257">
        <v>1.7091438844378179E-3</v>
      </c>
      <c r="F3257">
        <f t="shared" si="106"/>
        <v>-1.2347300544440531E-2</v>
      </c>
      <c r="G3257">
        <f t="shared" si="107"/>
        <v>-2.1173329845164381E-2</v>
      </c>
    </row>
    <row r="3258" spans="1:7" x14ac:dyDescent="0.35">
      <c r="A3258" t="s">
        <v>171</v>
      </c>
      <c r="E3258">
        <v>1.0219085568250704E-3</v>
      </c>
      <c r="F3258">
        <f t="shared" si="106"/>
        <v>-1.2395355859129788E-2</v>
      </c>
      <c r="G3258">
        <f t="shared" si="107"/>
        <v>-2.1173329845164381E-2</v>
      </c>
    </row>
    <row r="3259" spans="1:7" x14ac:dyDescent="0.35">
      <c r="A3259" t="s">
        <v>171</v>
      </c>
      <c r="E3259">
        <v>-5.3349425002857612E-3</v>
      </c>
      <c r="F3259">
        <f t="shared" si="106"/>
        <v>-1.2443411173819046E-2</v>
      </c>
      <c r="G3259">
        <f t="shared" si="107"/>
        <v>-2.1173329845164381E-2</v>
      </c>
    </row>
    <row r="3260" spans="1:7" x14ac:dyDescent="0.35">
      <c r="A3260" t="s">
        <v>172</v>
      </c>
      <c r="B3260" s="3" cm="1">
        <f t="array" ref="B3260">_xlfn.STDEV.S(_xlfn._xlws.FILTER($E$2826:$E$3824, $A$2826:$A$3824="2023-02"))</f>
        <v>5.5768851318081271E-3</v>
      </c>
      <c r="C3260" s="3" cm="1">
        <f t="array" ref="C3260">AVERAGE(_xlfn._xlws.FILTER($E$2826:$E$3824, $A$2826:$A$3824="2023-02"))</f>
        <v>9.4940575927904161E-4</v>
      </c>
      <c r="D3260" s="3" cm="1">
        <f t="array" ref="D3260">_xlfn.PERCENTILE.EXC(_xlfn._xlws.FILTER($E$2490:$E$3818, $A$2490:$A$3818="2023-02"), 0.05)</f>
        <v>-7.2850038903450372E-3</v>
      </c>
      <c r="E3260">
        <v>-7.2624184137679475E-3</v>
      </c>
      <c r="F3260">
        <f t="shared" si="106"/>
        <v>-1.2491466488508303E-2</v>
      </c>
      <c r="G3260">
        <f t="shared" si="107"/>
        <v>-2.1173329845164381E-2</v>
      </c>
    </row>
    <row r="3261" spans="1:7" x14ac:dyDescent="0.35">
      <c r="A3261" t="s">
        <v>172</v>
      </c>
      <c r="E3261">
        <v>2.7621487529684192E-3</v>
      </c>
      <c r="F3261">
        <f t="shared" si="106"/>
        <v>-1.2493627679638868E-2</v>
      </c>
      <c r="G3261">
        <f t="shared" si="107"/>
        <v>-2.1494880339855346E-2</v>
      </c>
    </row>
    <row r="3262" spans="1:7" x14ac:dyDescent="0.35">
      <c r="A3262" t="s">
        <v>172</v>
      </c>
      <c r="E3262">
        <v>4.2166078736283457E-3</v>
      </c>
      <c r="F3262">
        <f t="shared" si="106"/>
        <v>-1.2495788870769433E-2</v>
      </c>
      <c r="G3262">
        <f t="shared" si="107"/>
        <v>-2.1494880339855346E-2</v>
      </c>
    </row>
    <row r="3263" spans="1:7" x14ac:dyDescent="0.35">
      <c r="A3263" t="s">
        <v>172</v>
      </c>
      <c r="E3263">
        <v>-3.1022112101723115E-3</v>
      </c>
      <c r="F3263">
        <f t="shared" si="106"/>
        <v>-1.2497950061899998E-2</v>
      </c>
      <c r="G3263">
        <f t="shared" si="107"/>
        <v>-2.1494880339855346E-2</v>
      </c>
    </row>
    <row r="3264" spans="1:7" x14ac:dyDescent="0.35">
      <c r="A3264" t="s">
        <v>172</v>
      </c>
      <c r="E3264">
        <v>5.1548942926132922E-3</v>
      </c>
      <c r="F3264">
        <f t="shared" si="106"/>
        <v>-1.2500111253030563E-2</v>
      </c>
      <c r="G3264">
        <f t="shared" si="107"/>
        <v>-2.1494880339855346E-2</v>
      </c>
    </row>
    <row r="3265" spans="1:7" x14ac:dyDescent="0.35">
      <c r="A3265" t="s">
        <v>172</v>
      </c>
      <c r="E3265">
        <v>5.5867074208469873E-3</v>
      </c>
      <c r="F3265">
        <f t="shared" si="106"/>
        <v>-1.2502272444161128E-2</v>
      </c>
      <c r="G3265">
        <f t="shared" si="107"/>
        <v>-2.1494880339855346E-2</v>
      </c>
    </row>
    <row r="3266" spans="1:7" x14ac:dyDescent="0.35">
      <c r="A3266" t="s">
        <v>172</v>
      </c>
      <c r="E3266">
        <v>6.1220488060638734E-3</v>
      </c>
      <c r="F3266">
        <f t="shared" si="106"/>
        <v>-1.2504433635291693E-2</v>
      </c>
      <c r="G3266">
        <f t="shared" si="107"/>
        <v>-2.1494880339855346E-2</v>
      </c>
    </row>
    <row r="3267" spans="1:7" x14ac:dyDescent="0.35">
      <c r="A3267" t="s">
        <v>172</v>
      </c>
      <c r="E3267">
        <v>-3.7591148297923221E-3</v>
      </c>
      <c r="F3267">
        <f t="shared" si="106"/>
        <v>-1.2506594826422258E-2</v>
      </c>
      <c r="G3267">
        <f t="shared" si="107"/>
        <v>-2.1494880339855346E-2</v>
      </c>
    </row>
    <row r="3268" spans="1:7" x14ac:dyDescent="0.35">
      <c r="A3268" t="s">
        <v>172</v>
      </c>
      <c r="E3268">
        <v>1.0667432515013314E-2</v>
      </c>
      <c r="F3268">
        <f t="shared" ref="F3268:F3331" si="108">_xlfn.PERCENTILE.EXC(E3268:E7083,0.05)</f>
        <v>-1.2508756017552823E-2</v>
      </c>
      <c r="G3268">
        <f t="shared" ref="G3268:G3331" si="109">AVERAGEIFS(E3268:E7084,E3268:E7084,"&lt;=" &amp; F3268)</f>
        <v>-2.1494880339855346E-2</v>
      </c>
    </row>
    <row r="3269" spans="1:7" x14ac:dyDescent="0.35">
      <c r="A3269" t="s">
        <v>172</v>
      </c>
      <c r="E3269">
        <v>2.8157500891177016E-3</v>
      </c>
      <c r="F3269">
        <f t="shared" si="108"/>
        <v>-1.2510917208683388E-2</v>
      </c>
      <c r="G3269">
        <f t="shared" si="109"/>
        <v>-2.1494880339855346E-2</v>
      </c>
    </row>
    <row r="3270" spans="1:7" x14ac:dyDescent="0.35">
      <c r="A3270" t="s">
        <v>172</v>
      </c>
      <c r="E3270">
        <v>-2.5163938674267047E-3</v>
      </c>
      <c r="F3270">
        <f t="shared" si="108"/>
        <v>-1.2513078399813953E-2</v>
      </c>
      <c r="G3270">
        <f t="shared" si="109"/>
        <v>-2.1494880339855346E-2</v>
      </c>
    </row>
    <row r="3271" spans="1:7" x14ac:dyDescent="0.35">
      <c r="A3271" t="s">
        <v>172</v>
      </c>
      <c r="E3271">
        <v>4.00937211209836E-4</v>
      </c>
      <c r="F3271">
        <f t="shared" si="108"/>
        <v>-1.2515239590944516E-2</v>
      </c>
      <c r="G3271">
        <f t="shared" si="109"/>
        <v>-2.1494880339855346E-2</v>
      </c>
    </row>
    <row r="3272" spans="1:7" x14ac:dyDescent="0.35">
      <c r="A3272" t="s">
        <v>172</v>
      </c>
      <c r="E3272">
        <v>5.3956861490772428E-4</v>
      </c>
      <c r="F3272">
        <f t="shared" si="108"/>
        <v>-1.2517400782075081E-2</v>
      </c>
      <c r="G3272">
        <f t="shared" si="109"/>
        <v>-2.1494880339855346E-2</v>
      </c>
    </row>
    <row r="3273" spans="1:7" x14ac:dyDescent="0.35">
      <c r="A3273" t="s">
        <v>172</v>
      </c>
      <c r="E3273">
        <v>1.9172527180762338E-3</v>
      </c>
      <c r="F3273">
        <f t="shared" si="108"/>
        <v>-1.2519561973205647E-2</v>
      </c>
      <c r="G3273">
        <f t="shared" si="109"/>
        <v>-2.1494880339855346E-2</v>
      </c>
    </row>
    <row r="3274" spans="1:7" x14ac:dyDescent="0.35">
      <c r="A3274" t="s">
        <v>172</v>
      </c>
      <c r="E3274">
        <v>5.3846431894871679E-3</v>
      </c>
      <c r="F3274">
        <f t="shared" si="108"/>
        <v>-1.2521723164336212E-2</v>
      </c>
      <c r="G3274">
        <f t="shared" si="109"/>
        <v>-2.1494880339855346E-2</v>
      </c>
    </row>
    <row r="3275" spans="1:7" x14ac:dyDescent="0.35">
      <c r="A3275" t="s">
        <v>172</v>
      </c>
      <c r="E3275">
        <v>-7.2861925996385683E-3</v>
      </c>
      <c r="F3275">
        <f t="shared" si="108"/>
        <v>-1.2523884355466777E-2</v>
      </c>
      <c r="G3275">
        <f t="shared" si="109"/>
        <v>-2.1494880339855346E-2</v>
      </c>
    </row>
    <row r="3276" spans="1:7" x14ac:dyDescent="0.35">
      <c r="A3276" t="s">
        <v>172</v>
      </c>
      <c r="E3276">
        <v>-5.0699239963015175E-3</v>
      </c>
      <c r="F3276">
        <f t="shared" si="108"/>
        <v>-1.2526045546597342E-2</v>
      </c>
      <c r="G3276">
        <f t="shared" si="109"/>
        <v>-2.1494880339855346E-2</v>
      </c>
    </row>
    <row r="3277" spans="1:7" x14ac:dyDescent="0.35">
      <c r="A3277" t="s">
        <v>172</v>
      </c>
      <c r="E3277">
        <v>-4.5120328518652303E-3</v>
      </c>
      <c r="F3277">
        <f t="shared" si="108"/>
        <v>-1.2528206737727907E-2</v>
      </c>
      <c r="G3277">
        <f t="shared" si="109"/>
        <v>-2.1494880339855346E-2</v>
      </c>
    </row>
    <row r="3278" spans="1:7" x14ac:dyDescent="0.35">
      <c r="A3278" t="s">
        <v>172</v>
      </c>
      <c r="E3278">
        <v>1.144727676045448E-2</v>
      </c>
      <c r="F3278">
        <f t="shared" si="108"/>
        <v>-1.2530367928858472E-2</v>
      </c>
      <c r="G3278">
        <f t="shared" si="109"/>
        <v>-2.1494880339855346E-2</v>
      </c>
    </row>
    <row r="3279" spans="1:7" x14ac:dyDescent="0.35">
      <c r="A3279" t="s">
        <v>172</v>
      </c>
      <c r="E3279">
        <v>-4.5188652898419382E-3</v>
      </c>
      <c r="F3279">
        <f t="shared" si="108"/>
        <v>-1.2532529119989037E-2</v>
      </c>
      <c r="G3279">
        <f t="shared" si="109"/>
        <v>-2.1494880339855346E-2</v>
      </c>
    </row>
    <row r="3280" spans="1:7" x14ac:dyDescent="0.35">
      <c r="A3280" t="s">
        <v>173</v>
      </c>
      <c r="B3280" s="3" cm="1">
        <f t="array" ref="B3280">_xlfn.STDEV.S(_xlfn._xlws.FILTER($E$2826:$E$3824, $A$2826:$A$3824="2023-03"))</f>
        <v>1.1433117506974495E-2</v>
      </c>
      <c r="C3280" s="3" cm="1">
        <f t="array" ref="C3280">AVERAGE(_xlfn._xlws.FILTER($E$2826:$E$3824, $A$2826:$A$3824="2023-03"))</f>
        <v>-1.5541744358884559E-3</v>
      </c>
      <c r="D3280" s="3" cm="1">
        <f t="array" ref="D3280">_xlfn.PERCENTILE.EXC(_xlfn._xlws.FILTER($E$2490:$E$3818, $A$2490:$A$3818="2023-03"), 0.05)</f>
        <v>-3.0109689694915728E-2</v>
      </c>
      <c r="E3280">
        <v>-7.0363050356989911E-3</v>
      </c>
      <c r="F3280">
        <f t="shared" si="108"/>
        <v>-1.2534690311119602E-2</v>
      </c>
      <c r="G3280">
        <f t="shared" si="109"/>
        <v>-2.1494880339855346E-2</v>
      </c>
    </row>
    <row r="3281" spans="1:7" x14ac:dyDescent="0.35">
      <c r="A3281" t="s">
        <v>173</v>
      </c>
      <c r="E3281">
        <v>4.2430245422482617E-3</v>
      </c>
      <c r="F3281">
        <f t="shared" si="108"/>
        <v>-1.2564325360310899E-2</v>
      </c>
      <c r="G3281">
        <f t="shared" si="109"/>
        <v>-2.1839503033268263E-2</v>
      </c>
    </row>
    <row r="3282" spans="1:7" x14ac:dyDescent="0.35">
      <c r="A3282" t="s">
        <v>173</v>
      </c>
      <c r="E3282">
        <v>2.4902574869480189E-3</v>
      </c>
      <c r="F3282">
        <f t="shared" si="108"/>
        <v>-1.2593960409502199E-2</v>
      </c>
      <c r="G3282">
        <f t="shared" si="109"/>
        <v>-2.1839503033268263E-2</v>
      </c>
    </row>
    <row r="3283" spans="1:7" x14ac:dyDescent="0.35">
      <c r="A3283" t="s">
        <v>173</v>
      </c>
      <c r="E3283">
        <v>-5.2351036901171792E-3</v>
      </c>
      <c r="F3283">
        <f t="shared" si="108"/>
        <v>-1.2623595458693499E-2</v>
      </c>
      <c r="G3283">
        <f t="shared" si="109"/>
        <v>-2.1839503033268263E-2</v>
      </c>
    </row>
    <row r="3284" spans="1:7" x14ac:dyDescent="0.35">
      <c r="A3284" t="s">
        <v>173</v>
      </c>
      <c r="E3284">
        <v>-6.1856808059926926E-3</v>
      </c>
      <c r="F3284">
        <f t="shared" si="108"/>
        <v>-1.2653230507884798E-2</v>
      </c>
      <c r="G3284">
        <f t="shared" si="109"/>
        <v>-2.1839503033268263E-2</v>
      </c>
    </row>
    <row r="3285" spans="1:7" x14ac:dyDescent="0.35">
      <c r="A3285" t="s">
        <v>173</v>
      </c>
      <c r="E3285">
        <v>1.7968619952121662E-3</v>
      </c>
      <c r="F3285">
        <f t="shared" si="108"/>
        <v>-1.2682865557076099E-2</v>
      </c>
      <c r="G3285">
        <f t="shared" si="109"/>
        <v>-2.1839503033268263E-2</v>
      </c>
    </row>
    <row r="3286" spans="1:7" x14ac:dyDescent="0.35">
      <c r="A3286" t="s">
        <v>173</v>
      </c>
      <c r="E3286">
        <v>-1.4337684449943246E-3</v>
      </c>
      <c r="F3286">
        <f t="shared" si="108"/>
        <v>-1.2712500606267396E-2</v>
      </c>
      <c r="G3286">
        <f t="shared" si="109"/>
        <v>-2.1839503033268263E-2</v>
      </c>
    </row>
    <row r="3287" spans="1:7" x14ac:dyDescent="0.35">
      <c r="A3287" t="s">
        <v>173</v>
      </c>
      <c r="E3287">
        <v>-1.4248802446177721E-2</v>
      </c>
      <c r="F3287">
        <f t="shared" si="108"/>
        <v>-1.2742135655458696E-2</v>
      </c>
      <c r="G3287">
        <f t="shared" si="109"/>
        <v>-2.1839503033268263E-2</v>
      </c>
    </row>
    <row r="3288" spans="1:7" x14ac:dyDescent="0.35">
      <c r="A3288" t="s">
        <v>173</v>
      </c>
      <c r="E3288">
        <v>-2.3069860962406444E-2</v>
      </c>
      <c r="F3288">
        <f t="shared" si="108"/>
        <v>-1.2508756017552823E-2</v>
      </c>
      <c r="G3288">
        <f t="shared" si="109"/>
        <v>-2.1773575643458335E-2</v>
      </c>
    </row>
    <row r="3289" spans="1:7" x14ac:dyDescent="0.35">
      <c r="A3289" t="s">
        <v>173</v>
      </c>
      <c r="E3289">
        <v>1.1625979357905367E-2</v>
      </c>
      <c r="F3289">
        <f t="shared" si="108"/>
        <v>-1.196285802692648E-2</v>
      </c>
      <c r="G3289">
        <f t="shared" si="109"/>
        <v>-2.1366714317539174E-2</v>
      </c>
    </row>
    <row r="3290" spans="1:7" x14ac:dyDescent="0.35">
      <c r="A3290" t="s">
        <v>173</v>
      </c>
      <c r="E3290">
        <v>-3.1869646878043049E-2</v>
      </c>
      <c r="F3290">
        <f t="shared" si="108"/>
        <v>-1.2010913341615737E-2</v>
      </c>
      <c r="G3290">
        <f t="shared" si="109"/>
        <v>-2.1366714317539174E-2</v>
      </c>
    </row>
    <row r="3291" spans="1:7" x14ac:dyDescent="0.35">
      <c r="A3291" t="s">
        <v>173</v>
      </c>
      <c r="E3291">
        <v>9.7184463725599034E-3</v>
      </c>
      <c r="F3291">
        <f t="shared" si="108"/>
        <v>-1.148935655753806E-2</v>
      </c>
      <c r="G3291">
        <f t="shared" si="109"/>
        <v>-2.0584434060488412E-2</v>
      </c>
    </row>
    <row r="3292" spans="1:7" x14ac:dyDescent="0.35">
      <c r="A3292" t="s">
        <v>173</v>
      </c>
      <c r="E3292">
        <v>-1.1236243681610253E-2</v>
      </c>
      <c r="F3292">
        <f t="shared" si="108"/>
        <v>-1.1493912517225294E-2</v>
      </c>
      <c r="G3292">
        <f t="shared" si="109"/>
        <v>-2.0584434060488412E-2</v>
      </c>
    </row>
    <row r="3293" spans="1:7" x14ac:dyDescent="0.35">
      <c r="A3293" t="s">
        <v>173</v>
      </c>
      <c r="E3293">
        <v>1.2055986899935091E-2</v>
      </c>
      <c r="F3293">
        <f t="shared" si="108"/>
        <v>-1.149846847691253E-2</v>
      </c>
      <c r="G3293">
        <f t="shared" si="109"/>
        <v>-2.0584434060488412E-2</v>
      </c>
    </row>
    <row r="3294" spans="1:7" x14ac:dyDescent="0.35">
      <c r="A3294" t="s">
        <v>173</v>
      </c>
      <c r="E3294">
        <v>7.938890497284478E-3</v>
      </c>
      <c r="F3294">
        <f t="shared" si="108"/>
        <v>-1.1503024436599764E-2</v>
      </c>
      <c r="G3294">
        <f t="shared" si="109"/>
        <v>-2.0584434060488412E-2</v>
      </c>
    </row>
    <row r="3295" spans="1:7" x14ac:dyDescent="0.35">
      <c r="A3295" t="s">
        <v>173</v>
      </c>
      <c r="E3295">
        <v>4.7781683864330992E-3</v>
      </c>
      <c r="F3295">
        <f t="shared" si="108"/>
        <v>-1.1507580396287E-2</v>
      </c>
      <c r="G3295">
        <f t="shared" si="109"/>
        <v>-2.0584434060488412E-2</v>
      </c>
    </row>
    <row r="3296" spans="1:7" x14ac:dyDescent="0.35">
      <c r="A3296" t="s">
        <v>173</v>
      </c>
      <c r="E3296">
        <v>-1.143924100097848E-2</v>
      </c>
      <c r="F3296">
        <f t="shared" si="108"/>
        <v>-1.1512136355974234E-2</v>
      </c>
      <c r="G3296">
        <f t="shared" si="109"/>
        <v>-2.0584434060488412E-2</v>
      </c>
    </row>
    <row r="3297" spans="1:7" x14ac:dyDescent="0.35">
      <c r="A3297" t="s">
        <v>173</v>
      </c>
      <c r="E3297">
        <v>-8.5292621410972373E-3</v>
      </c>
      <c r="F3297">
        <f t="shared" si="108"/>
        <v>-1.1456163582055845E-2</v>
      </c>
      <c r="G3297">
        <f t="shared" si="109"/>
        <v>-2.0584434060488412E-2</v>
      </c>
    </row>
    <row r="3298" spans="1:7" x14ac:dyDescent="0.35">
      <c r="A3298" t="s">
        <v>173</v>
      </c>
      <c r="E3298">
        <v>1.0630672733294261E-2</v>
      </c>
      <c r="F3298">
        <f t="shared" si="108"/>
        <v>-1.1480895786278287E-2</v>
      </c>
      <c r="G3298">
        <f t="shared" si="109"/>
        <v>-2.0584434060488412E-2</v>
      </c>
    </row>
    <row r="3299" spans="1:7" x14ac:dyDescent="0.35">
      <c r="A3299" t="s">
        <v>173</v>
      </c>
      <c r="E3299">
        <v>1.9077888385038318E-3</v>
      </c>
      <c r="F3299">
        <f t="shared" si="108"/>
        <v>-1.1505627990500729E-2</v>
      </c>
      <c r="G3299">
        <f t="shared" si="109"/>
        <v>-2.0584434060488412E-2</v>
      </c>
    </row>
    <row r="3300" spans="1:7" x14ac:dyDescent="0.35">
      <c r="A3300" t="s">
        <v>173</v>
      </c>
      <c r="E3300">
        <v>9.0877294584150482E-3</v>
      </c>
      <c r="F3300">
        <f t="shared" si="108"/>
        <v>-1.1530360194723172E-2</v>
      </c>
      <c r="G3300">
        <f t="shared" si="109"/>
        <v>-2.0584434060488412E-2</v>
      </c>
    </row>
    <row r="3301" spans="1:7" x14ac:dyDescent="0.35">
      <c r="A3301" t="s">
        <v>173</v>
      </c>
      <c r="E3301">
        <v>6.5470250031442875E-3</v>
      </c>
      <c r="F3301">
        <f t="shared" si="108"/>
        <v>-1.1578415509412425E-2</v>
      </c>
      <c r="G3301">
        <f t="shared" si="109"/>
        <v>-2.0946597015119018E-2</v>
      </c>
    </row>
    <row r="3302" spans="1:7" x14ac:dyDescent="0.35">
      <c r="A3302" t="s">
        <v>173</v>
      </c>
      <c r="E3302">
        <v>1.7170714897980564E-3</v>
      </c>
      <c r="F3302">
        <f t="shared" si="108"/>
        <v>-1.1626470824101683E-2</v>
      </c>
      <c r="G3302">
        <f t="shared" si="109"/>
        <v>-2.0946597015119018E-2</v>
      </c>
    </row>
    <row r="3303" spans="1:7" x14ac:dyDescent="0.35">
      <c r="A3303" t="s">
        <v>174</v>
      </c>
      <c r="B3303" s="3" cm="1">
        <f t="array" ref="B3303">_xlfn.STDEV.S(_xlfn._xlws.FILTER($E$2826:$E$3824, $A$2826:$A$3824="2023-04"))</f>
        <v>4.3334113884787549E-3</v>
      </c>
      <c r="C3303" s="3" cm="1">
        <f t="array" ref="C3303">AVERAGE(_xlfn._xlws.FILTER($E$2826:$E$3824, $A$2826:$A$3824="2023-04"))</f>
        <v>1.9020243895681353E-3</v>
      </c>
      <c r="D3303" s="3" cm="1">
        <f t="array" ref="D3303">_xlfn.PERCENTILE.INC(_xlfn._xlws.FILTER($E$2490:$E$3818, $A$2490:$A$3818="2023-04"), 0.05)</f>
        <v>-2.9945377560118311E-3</v>
      </c>
      <c r="E3303">
        <v>7.5138030083278257E-3</v>
      </c>
      <c r="F3303">
        <f t="shared" si="108"/>
        <v>-1.167452613879094E-2</v>
      </c>
      <c r="G3303">
        <f t="shared" si="109"/>
        <v>-2.0946597015119018E-2</v>
      </c>
    </row>
    <row r="3304" spans="1:7" x14ac:dyDescent="0.35">
      <c r="A3304" t="s">
        <v>174</v>
      </c>
      <c r="E3304">
        <v>-2.454571152551883E-3</v>
      </c>
      <c r="F3304">
        <f t="shared" si="108"/>
        <v>-1.1722581453480197E-2</v>
      </c>
      <c r="G3304">
        <f t="shared" si="109"/>
        <v>-2.0946597015119018E-2</v>
      </c>
    </row>
    <row r="3305" spans="1:7" x14ac:dyDescent="0.35">
      <c r="A3305" t="s">
        <v>174</v>
      </c>
      <c r="E3305">
        <v>4.8349480748360344E-3</v>
      </c>
      <c r="F3305">
        <f t="shared" si="108"/>
        <v>-1.1770636768169454E-2</v>
      </c>
      <c r="G3305">
        <f t="shared" si="109"/>
        <v>-2.0946597015119018E-2</v>
      </c>
    </row>
    <row r="3306" spans="1:7" x14ac:dyDescent="0.35">
      <c r="A3306" t="s">
        <v>174</v>
      </c>
      <c r="E3306">
        <v>7.7008191447214391E-3</v>
      </c>
      <c r="F3306">
        <f t="shared" si="108"/>
        <v>-1.1818692082858708E-2</v>
      </c>
      <c r="G3306">
        <f t="shared" si="109"/>
        <v>-2.0946597015119018E-2</v>
      </c>
    </row>
    <row r="3307" spans="1:7" x14ac:dyDescent="0.35">
      <c r="A3307" t="s">
        <v>174</v>
      </c>
      <c r="E3307">
        <v>4.5519887094601979E-3</v>
      </c>
      <c r="F3307">
        <f t="shared" si="108"/>
        <v>-1.1866747397547965E-2</v>
      </c>
      <c r="G3307">
        <f t="shared" si="109"/>
        <v>-2.0946597015119018E-2</v>
      </c>
    </row>
    <row r="3308" spans="1:7" x14ac:dyDescent="0.35">
      <c r="A3308" t="s">
        <v>174</v>
      </c>
      <c r="E3308">
        <v>2.1772824851678547E-3</v>
      </c>
      <c r="F3308">
        <f t="shared" si="108"/>
        <v>-1.1914802712237223E-2</v>
      </c>
      <c r="G3308">
        <f t="shared" si="109"/>
        <v>-2.0946597015119018E-2</v>
      </c>
    </row>
    <row r="3309" spans="1:7" x14ac:dyDescent="0.35">
      <c r="A3309" t="s">
        <v>174</v>
      </c>
      <c r="E3309">
        <v>5.2301160837287691E-4</v>
      </c>
      <c r="F3309">
        <f t="shared" si="108"/>
        <v>-1.196285802692648E-2</v>
      </c>
      <c r="G3309">
        <f t="shared" si="109"/>
        <v>-2.0946597015119018E-2</v>
      </c>
    </row>
    <row r="3310" spans="1:7" x14ac:dyDescent="0.35">
      <c r="A3310" t="s">
        <v>174</v>
      </c>
      <c r="E3310">
        <v>7.6451918786089987E-4</v>
      </c>
      <c r="F3310">
        <f t="shared" si="108"/>
        <v>-1.2010913341615737E-2</v>
      </c>
      <c r="G3310">
        <f t="shared" si="109"/>
        <v>-2.0946597015119018E-2</v>
      </c>
    </row>
    <row r="3311" spans="1:7" x14ac:dyDescent="0.35">
      <c r="A3311" t="s">
        <v>174</v>
      </c>
      <c r="E3311">
        <v>3.0373196746916603E-3</v>
      </c>
      <c r="F3311">
        <f t="shared" si="108"/>
        <v>-1.2058968656304991E-2</v>
      </c>
      <c r="G3311">
        <f t="shared" si="109"/>
        <v>-2.0946597015119018E-2</v>
      </c>
    </row>
    <row r="3312" spans="1:7" x14ac:dyDescent="0.35">
      <c r="A3312" t="s">
        <v>174</v>
      </c>
      <c r="E3312">
        <v>4.3807669916013543E-3</v>
      </c>
      <c r="F3312">
        <f t="shared" si="108"/>
        <v>-1.2107023970994248E-2</v>
      </c>
      <c r="G3312">
        <f t="shared" si="109"/>
        <v>-2.0946597015119018E-2</v>
      </c>
    </row>
    <row r="3313" spans="1:7" x14ac:dyDescent="0.35">
      <c r="A3313" t="s">
        <v>174</v>
      </c>
      <c r="E3313">
        <v>8.6356681611232634E-4</v>
      </c>
      <c r="F3313">
        <f t="shared" si="108"/>
        <v>-1.2155079285683506E-2</v>
      </c>
      <c r="G3313">
        <f t="shared" si="109"/>
        <v>-2.0946597015119018E-2</v>
      </c>
    </row>
    <row r="3314" spans="1:7" x14ac:dyDescent="0.35">
      <c r="A3314" t="s">
        <v>174</v>
      </c>
      <c r="E3314">
        <v>1.5389271017923764E-4</v>
      </c>
      <c r="F3314">
        <f t="shared" si="108"/>
        <v>-1.2203134600372763E-2</v>
      </c>
      <c r="G3314">
        <f t="shared" si="109"/>
        <v>-2.0946597015119018E-2</v>
      </c>
    </row>
    <row r="3315" spans="1:7" x14ac:dyDescent="0.35">
      <c r="A3315" t="s">
        <v>174</v>
      </c>
      <c r="E3315">
        <v>-1.1643024669478537E-3</v>
      </c>
      <c r="F3315">
        <f t="shared" si="108"/>
        <v>-1.225118991506202E-2</v>
      </c>
      <c r="G3315">
        <f t="shared" si="109"/>
        <v>-2.0946597015119018E-2</v>
      </c>
    </row>
    <row r="3316" spans="1:7" x14ac:dyDescent="0.35">
      <c r="A3316" t="s">
        <v>174</v>
      </c>
      <c r="E3316">
        <v>-2.1884980973279019E-3</v>
      </c>
      <c r="F3316">
        <f t="shared" si="108"/>
        <v>-1.2299245229751274E-2</v>
      </c>
      <c r="G3316">
        <f t="shared" si="109"/>
        <v>-2.0946597015119018E-2</v>
      </c>
    </row>
    <row r="3317" spans="1:7" x14ac:dyDescent="0.35">
      <c r="A3317" t="s">
        <v>174</v>
      </c>
      <c r="E3317">
        <v>-2.1359445549929751E-3</v>
      </c>
      <c r="F3317">
        <f t="shared" si="108"/>
        <v>-1.2347300544440531E-2</v>
      </c>
      <c r="G3317">
        <f t="shared" si="109"/>
        <v>-2.0946597015119018E-2</v>
      </c>
    </row>
    <row r="3318" spans="1:7" x14ac:dyDescent="0.35">
      <c r="A3318" t="s">
        <v>174</v>
      </c>
      <c r="E3318">
        <v>-6.05434850895154E-3</v>
      </c>
      <c r="F3318">
        <f t="shared" si="108"/>
        <v>-1.2395355859129788E-2</v>
      </c>
      <c r="G3318">
        <f t="shared" si="109"/>
        <v>-2.0946597015119018E-2</v>
      </c>
    </row>
    <row r="3319" spans="1:7" x14ac:dyDescent="0.35">
      <c r="A3319" t="s">
        <v>174</v>
      </c>
      <c r="E3319">
        <v>5.6569776254765368E-5</v>
      </c>
      <c r="F3319">
        <f t="shared" si="108"/>
        <v>-1.2443411173819046E-2</v>
      </c>
      <c r="G3319">
        <f t="shared" si="109"/>
        <v>-2.0946597015119018E-2</v>
      </c>
    </row>
    <row r="3320" spans="1:7" x14ac:dyDescent="0.35">
      <c r="A3320" t="s">
        <v>174</v>
      </c>
      <c r="E3320">
        <v>1.167561560541212E-2</v>
      </c>
      <c r="F3320">
        <f t="shared" si="108"/>
        <v>-1.2491466488508303E-2</v>
      </c>
      <c r="G3320">
        <f t="shared" si="109"/>
        <v>-2.0946597015119018E-2</v>
      </c>
    </row>
    <row r="3321" spans="1:7" x14ac:dyDescent="0.35">
      <c r="A3321" t="s">
        <v>175</v>
      </c>
      <c r="B3321" s="3" cm="1">
        <f t="array" ref="B3321">_xlfn.STDEV.S(_xlfn._xlws.FILTER($E$2826:$E$3824, $A$2826:$A$3824="2023-05"))</f>
        <v>8.3010638040666163E-3</v>
      </c>
      <c r="C3321" s="3" cm="1">
        <f t="array" ref="C3321">AVERAGE(_xlfn._xlws.FILTER($E$2826:$E$3824, $A$2826:$A$3824="2023-05"))</f>
        <v>-1.7110447569336855E-3</v>
      </c>
      <c r="D3321" s="3" cm="1">
        <f t="array" ref="D3321">_xlfn.PERCENTILE.EXC(_xlfn._xlws.FILTER($E$2490:$E$3818, $A$2490:$A$3818="2023-05"), 0.05)</f>
        <v>-2.0039520589273503E-2</v>
      </c>
      <c r="E3321">
        <v>-1.7319702579143816E-2</v>
      </c>
      <c r="F3321">
        <f t="shared" si="108"/>
        <v>-1.2493627679638868E-2</v>
      </c>
      <c r="G3321">
        <f t="shared" si="109"/>
        <v>-2.1298894120394467E-2</v>
      </c>
    </row>
    <row r="3322" spans="1:7" x14ac:dyDescent="0.35">
      <c r="A3322" t="s">
        <v>175</v>
      </c>
      <c r="E3322">
        <v>3.4610316852589636E-3</v>
      </c>
      <c r="F3322">
        <f t="shared" si="108"/>
        <v>-1.1626470824101683E-2</v>
      </c>
      <c r="G3322">
        <f t="shared" si="109"/>
        <v>-2.1097717616617984E-2</v>
      </c>
    </row>
    <row r="3323" spans="1:7" x14ac:dyDescent="0.35">
      <c r="A3323" t="s">
        <v>175</v>
      </c>
      <c r="E3323">
        <v>-5.4960320179702846E-3</v>
      </c>
      <c r="F3323">
        <f t="shared" si="108"/>
        <v>-1.167452613879094E-2</v>
      </c>
      <c r="G3323">
        <f t="shared" si="109"/>
        <v>-2.1097717616617984E-2</v>
      </c>
    </row>
    <row r="3324" spans="1:7" x14ac:dyDescent="0.35">
      <c r="A3324" t="s">
        <v>175</v>
      </c>
      <c r="E3324">
        <v>1.3190973839236612E-2</v>
      </c>
      <c r="F3324">
        <f t="shared" si="108"/>
        <v>-1.1722581453480197E-2</v>
      </c>
      <c r="G3324">
        <f t="shared" si="109"/>
        <v>-2.1097717616617984E-2</v>
      </c>
    </row>
    <row r="3325" spans="1:7" x14ac:dyDescent="0.35">
      <c r="A3325" t="s">
        <v>175</v>
      </c>
      <c r="E3325">
        <v>2.3940435221009369E-3</v>
      </c>
      <c r="F3325">
        <f t="shared" si="108"/>
        <v>-1.1770636768169454E-2</v>
      </c>
      <c r="G3325">
        <f t="shared" si="109"/>
        <v>-2.1097717616617984E-2</v>
      </c>
    </row>
    <row r="3326" spans="1:7" x14ac:dyDescent="0.35">
      <c r="A3326" t="s">
        <v>175</v>
      </c>
      <c r="E3326">
        <v>-3.6699355515438553E-3</v>
      </c>
      <c r="F3326">
        <f t="shared" si="108"/>
        <v>-1.1818692082858708E-2</v>
      </c>
      <c r="G3326">
        <f t="shared" si="109"/>
        <v>-2.1097717616617984E-2</v>
      </c>
    </row>
    <row r="3327" spans="1:7" x14ac:dyDescent="0.35">
      <c r="A3327" t="s">
        <v>175</v>
      </c>
      <c r="E3327">
        <v>-5.7938351910356203E-3</v>
      </c>
      <c r="F3327">
        <f t="shared" si="108"/>
        <v>-1.1866747397547965E-2</v>
      </c>
      <c r="G3327">
        <f t="shared" si="109"/>
        <v>-2.1097717616617984E-2</v>
      </c>
    </row>
    <row r="3328" spans="1:7" x14ac:dyDescent="0.35">
      <c r="A3328" t="s">
        <v>175</v>
      </c>
      <c r="E3328">
        <v>4.9223971103398313E-3</v>
      </c>
      <c r="F3328">
        <f t="shared" si="108"/>
        <v>-1.1914802712237223E-2</v>
      </c>
      <c r="G3328">
        <f t="shared" si="109"/>
        <v>-2.1097717616617984E-2</v>
      </c>
    </row>
    <row r="3329" spans="1:7" x14ac:dyDescent="0.35">
      <c r="A3329" t="s">
        <v>175</v>
      </c>
      <c r="E3329">
        <v>6.9708522687184004E-3</v>
      </c>
      <c r="F3329">
        <f t="shared" si="108"/>
        <v>-1.196285802692648E-2</v>
      </c>
      <c r="G3329">
        <f t="shared" si="109"/>
        <v>-2.1097717616617984E-2</v>
      </c>
    </row>
    <row r="3330" spans="1:7" x14ac:dyDescent="0.35">
      <c r="A3330" t="s">
        <v>175</v>
      </c>
      <c r="E3330">
        <v>-6.1620670015130209E-3</v>
      </c>
      <c r="F3330">
        <f t="shared" si="108"/>
        <v>-1.2010913341615737E-2</v>
      </c>
      <c r="G3330">
        <f t="shared" si="109"/>
        <v>-2.1097717616617984E-2</v>
      </c>
    </row>
    <row r="3331" spans="1:7" x14ac:dyDescent="0.35">
      <c r="A3331" t="s">
        <v>175</v>
      </c>
      <c r="E3331">
        <v>2.243450731495248E-4</v>
      </c>
      <c r="F3331">
        <f t="shared" si="108"/>
        <v>-1.2058968656304991E-2</v>
      </c>
      <c r="G3331">
        <f t="shared" si="109"/>
        <v>-2.1097717616617984E-2</v>
      </c>
    </row>
    <row r="3332" spans="1:7" x14ac:dyDescent="0.35">
      <c r="A3332" t="s">
        <v>175</v>
      </c>
      <c r="E3332">
        <v>1.1045317546159018E-3</v>
      </c>
      <c r="F3332">
        <f t="shared" ref="F3332:F3395" si="110">_xlfn.PERCENTILE.EXC(E3332:E7147,0.05)</f>
        <v>-1.2107023970994248E-2</v>
      </c>
      <c r="G3332">
        <f t="shared" ref="G3332:G3395" si="111">AVERAGEIFS(E3332:E7148,E3332:E7148,"&lt;=" &amp; F3332)</f>
        <v>-2.1097717616617984E-2</v>
      </c>
    </row>
    <row r="3333" spans="1:7" x14ac:dyDescent="0.35">
      <c r="A3333" t="s">
        <v>175</v>
      </c>
      <c r="E3333">
        <v>2.2170509874570141E-3</v>
      </c>
      <c r="F3333">
        <f t="shared" si="110"/>
        <v>-1.2155079285683506E-2</v>
      </c>
      <c r="G3333">
        <f t="shared" si="111"/>
        <v>-2.1097717616617984E-2</v>
      </c>
    </row>
    <row r="3334" spans="1:7" x14ac:dyDescent="0.35">
      <c r="A3334" t="s">
        <v>175</v>
      </c>
      <c r="E3334">
        <v>-8.6083915784096628E-4</v>
      </c>
      <c r="F3334">
        <f t="shared" si="110"/>
        <v>-1.2203134600372763E-2</v>
      </c>
      <c r="G3334">
        <f t="shared" si="111"/>
        <v>-2.1097717616617984E-2</v>
      </c>
    </row>
    <row r="3335" spans="1:7" x14ac:dyDescent="0.35">
      <c r="A3335" t="s">
        <v>175</v>
      </c>
      <c r="E3335">
        <v>2.5479528528048636E-3</v>
      </c>
      <c r="F3335">
        <f t="shared" si="110"/>
        <v>-1.225118991506202E-2</v>
      </c>
      <c r="G3335">
        <f t="shared" si="111"/>
        <v>-2.1097717616617984E-2</v>
      </c>
    </row>
    <row r="3336" spans="1:7" x14ac:dyDescent="0.35">
      <c r="A3336" t="s">
        <v>175</v>
      </c>
      <c r="E3336">
        <v>-2.018266890559612E-2</v>
      </c>
      <c r="F3336">
        <f t="shared" si="110"/>
        <v>-1.2299245229751274E-2</v>
      </c>
      <c r="G3336">
        <f t="shared" si="111"/>
        <v>-2.1097717616617984E-2</v>
      </c>
    </row>
    <row r="3337" spans="1:7" x14ac:dyDescent="0.35">
      <c r="A3337" t="s">
        <v>175</v>
      </c>
      <c r="E3337">
        <v>-8.4990774865654553E-3</v>
      </c>
      <c r="F3337">
        <f t="shared" si="110"/>
        <v>-1.1456163582055845E-2</v>
      </c>
      <c r="G3337">
        <f t="shared" si="111"/>
        <v>-2.0737204753664949E-2</v>
      </c>
    </row>
    <row r="3338" spans="1:7" x14ac:dyDescent="0.35">
      <c r="A3338" t="s">
        <v>175</v>
      </c>
      <c r="E3338">
        <v>9.5990320398858901E-3</v>
      </c>
      <c r="F3338">
        <f t="shared" si="110"/>
        <v>-1.1480895786278287E-2</v>
      </c>
      <c r="G3338">
        <f t="shared" si="111"/>
        <v>-2.0737204753664949E-2</v>
      </c>
    </row>
    <row r="3339" spans="1:7" x14ac:dyDescent="0.35">
      <c r="A3339" t="s">
        <v>175</v>
      </c>
      <c r="E3339">
        <v>-9.6076643398491281E-3</v>
      </c>
      <c r="F3339">
        <f t="shared" si="110"/>
        <v>-1.1505627990500729E-2</v>
      </c>
      <c r="G3339">
        <f t="shared" si="111"/>
        <v>-2.0737204753664949E-2</v>
      </c>
    </row>
    <row r="3340" spans="1:7" x14ac:dyDescent="0.35">
      <c r="A3340" t="s">
        <v>175</v>
      </c>
      <c r="E3340">
        <v>-3.2612840411833889E-3</v>
      </c>
      <c r="F3340">
        <f t="shared" si="110"/>
        <v>-1.1530360194723172E-2</v>
      </c>
      <c r="G3340">
        <f t="shared" si="111"/>
        <v>-2.0737204753664949E-2</v>
      </c>
    </row>
    <row r="3341" spans="1:7" x14ac:dyDescent="0.35">
      <c r="A3341" t="s">
        <v>176</v>
      </c>
      <c r="B3341" s="3" cm="1">
        <f t="array" ref="B3341">_xlfn.STDEV.S(_xlfn._xlws.FILTER($E$2826:$E$3824, $A$2826:$A$3824="2023-06"))</f>
        <v>6.0070431853999637E-3</v>
      </c>
      <c r="C3341" s="3" cm="1">
        <f t="array" ref="C3341">AVERAGE(_xlfn._xlws.FILTER($E$2826:$E$3824, $A$2826:$A$3824="2023-06"))</f>
        <v>5.2889234527837207E-4</v>
      </c>
      <c r="D3341" s="3" cm="1">
        <f t="array" ref="D3341">_xlfn.PERCENTILE.EXC(_xlfn._xlws.FILTER($E$2490:$E$3818, $A$2490:$A$3818="2023-06"), 0.05)</f>
        <v>-9.3630022857556505E-3</v>
      </c>
      <c r="E3341">
        <v>6.2236396530223909E-3</v>
      </c>
      <c r="F3341">
        <f t="shared" si="110"/>
        <v>-1.1578415509412425E-2</v>
      </c>
      <c r="G3341">
        <f t="shared" si="111"/>
        <v>-2.1137502343184157E-2</v>
      </c>
    </row>
    <row r="3342" spans="1:7" x14ac:dyDescent="0.35">
      <c r="A3342" t="s">
        <v>176</v>
      </c>
      <c r="E3342">
        <v>1.3513966053189847E-2</v>
      </c>
      <c r="F3342">
        <f t="shared" si="110"/>
        <v>-1.1626470824101683E-2</v>
      </c>
      <c r="G3342">
        <f t="shared" si="111"/>
        <v>-2.1137502343184157E-2</v>
      </c>
    </row>
    <row r="3343" spans="1:7" x14ac:dyDescent="0.35">
      <c r="A3343" t="s">
        <v>176</v>
      </c>
      <c r="E3343">
        <v>-2.270606411029016E-3</v>
      </c>
      <c r="F3343">
        <f t="shared" si="110"/>
        <v>-1.167452613879094E-2</v>
      </c>
      <c r="G3343">
        <f t="shared" si="111"/>
        <v>-2.1137502343184157E-2</v>
      </c>
    </row>
    <row r="3344" spans="1:7" x14ac:dyDescent="0.35">
      <c r="A3344" t="s">
        <v>176</v>
      </c>
      <c r="E3344">
        <v>5.2108900735337955E-3</v>
      </c>
      <c r="F3344">
        <f t="shared" si="110"/>
        <v>-1.1722581453480197E-2</v>
      </c>
      <c r="G3344">
        <f t="shared" si="111"/>
        <v>-2.1137502343184157E-2</v>
      </c>
    </row>
    <row r="3345" spans="1:7" x14ac:dyDescent="0.35">
      <c r="A3345" t="s">
        <v>176</v>
      </c>
      <c r="E3345">
        <v>-3.976104402764047E-4</v>
      </c>
      <c r="F3345">
        <f t="shared" si="110"/>
        <v>-1.1770636768169454E-2</v>
      </c>
      <c r="G3345">
        <f t="shared" si="111"/>
        <v>-2.1137502343184157E-2</v>
      </c>
    </row>
    <row r="3346" spans="1:7" x14ac:dyDescent="0.35">
      <c r="A3346" t="s">
        <v>176</v>
      </c>
      <c r="E3346">
        <v>-2.1939992626044185E-3</v>
      </c>
      <c r="F3346">
        <f t="shared" si="110"/>
        <v>-1.1818692082858708E-2</v>
      </c>
      <c r="G3346">
        <f t="shared" si="111"/>
        <v>-2.1137502343184157E-2</v>
      </c>
    </row>
    <row r="3347" spans="1:7" x14ac:dyDescent="0.35">
      <c r="A3347" t="s">
        <v>176</v>
      </c>
      <c r="E3347">
        <v>7.3374544536665713E-4</v>
      </c>
      <c r="F3347">
        <f t="shared" si="110"/>
        <v>-1.1866747397547965E-2</v>
      </c>
      <c r="G3347">
        <f t="shared" si="111"/>
        <v>-2.1137502343184157E-2</v>
      </c>
    </row>
    <row r="3348" spans="1:7" x14ac:dyDescent="0.35">
      <c r="A3348" t="s">
        <v>176</v>
      </c>
      <c r="E3348">
        <v>-5.9307916870411639E-3</v>
      </c>
      <c r="F3348">
        <f t="shared" si="110"/>
        <v>-1.1914802712237223E-2</v>
      </c>
      <c r="G3348">
        <f t="shared" si="111"/>
        <v>-2.1137502343184157E-2</v>
      </c>
    </row>
    <row r="3349" spans="1:7" x14ac:dyDescent="0.35">
      <c r="A3349" t="s">
        <v>176</v>
      </c>
      <c r="E3349">
        <v>8.4503642999893217E-3</v>
      </c>
      <c r="F3349">
        <f t="shared" si="110"/>
        <v>-1.196285802692648E-2</v>
      </c>
      <c r="G3349">
        <f t="shared" si="111"/>
        <v>-2.1137502343184157E-2</v>
      </c>
    </row>
    <row r="3350" spans="1:7" x14ac:dyDescent="0.35">
      <c r="A3350" t="s">
        <v>176</v>
      </c>
      <c r="E3350">
        <v>1.196049710028961E-3</v>
      </c>
      <c r="F3350">
        <f t="shared" si="110"/>
        <v>-1.2010913341615737E-2</v>
      </c>
      <c r="G3350">
        <f t="shared" si="111"/>
        <v>-2.1137502343184157E-2</v>
      </c>
    </row>
    <row r="3351" spans="1:7" x14ac:dyDescent="0.35">
      <c r="A3351" t="s">
        <v>176</v>
      </c>
      <c r="E3351">
        <v>2.0338028594005489E-3</v>
      </c>
      <c r="F3351">
        <f t="shared" si="110"/>
        <v>-1.2058968656304991E-2</v>
      </c>
      <c r="G3351">
        <f t="shared" si="111"/>
        <v>-2.1137502343184157E-2</v>
      </c>
    </row>
    <row r="3352" spans="1:7" x14ac:dyDescent="0.35">
      <c r="A3352" t="s">
        <v>176</v>
      </c>
      <c r="E3352">
        <v>6.9484175322012676E-3</v>
      </c>
      <c r="F3352">
        <f t="shared" si="110"/>
        <v>-1.2107023970994248E-2</v>
      </c>
      <c r="G3352">
        <f t="shared" si="111"/>
        <v>-2.1137502343184157E-2</v>
      </c>
    </row>
    <row r="3353" spans="1:7" x14ac:dyDescent="0.35">
      <c r="A3353" t="s">
        <v>176</v>
      </c>
      <c r="E3353">
        <v>-9.615123952983742E-3</v>
      </c>
      <c r="F3353">
        <f t="shared" si="110"/>
        <v>-1.2155079285683506E-2</v>
      </c>
      <c r="G3353">
        <f t="shared" si="111"/>
        <v>-2.1137502343184157E-2</v>
      </c>
    </row>
    <row r="3354" spans="1:7" x14ac:dyDescent="0.35">
      <c r="A3354" t="s">
        <v>176</v>
      </c>
      <c r="E3354">
        <v>-3.9262847508474957E-3</v>
      </c>
      <c r="F3354">
        <f t="shared" si="110"/>
        <v>-1.2203134600372763E-2</v>
      </c>
      <c r="G3354">
        <f t="shared" si="111"/>
        <v>-2.1137502343184157E-2</v>
      </c>
    </row>
    <row r="3355" spans="1:7" x14ac:dyDescent="0.35">
      <c r="A3355" t="s">
        <v>176</v>
      </c>
      <c r="E3355">
        <v>-6.3782361122660374E-3</v>
      </c>
      <c r="F3355">
        <f t="shared" si="110"/>
        <v>-1.225118991506202E-2</v>
      </c>
      <c r="G3355">
        <f t="shared" si="111"/>
        <v>-2.1137502343184157E-2</v>
      </c>
    </row>
    <row r="3356" spans="1:7" x14ac:dyDescent="0.35">
      <c r="A3356" t="s">
        <v>176</v>
      </c>
      <c r="E3356">
        <v>-7.9343128381297954E-3</v>
      </c>
      <c r="F3356">
        <f t="shared" si="110"/>
        <v>-1.2299245229751274E-2</v>
      </c>
      <c r="G3356">
        <f t="shared" si="111"/>
        <v>-2.1137502343184157E-2</v>
      </c>
    </row>
    <row r="3357" spans="1:7" x14ac:dyDescent="0.35">
      <c r="A3357" t="s">
        <v>176</v>
      </c>
      <c r="E3357">
        <v>-1.7229832731977339E-3</v>
      </c>
      <c r="F3357">
        <f t="shared" si="110"/>
        <v>-1.2347300544440531E-2</v>
      </c>
      <c r="G3357">
        <f t="shared" si="111"/>
        <v>-2.1137502343184157E-2</v>
      </c>
    </row>
    <row r="3358" spans="1:7" x14ac:dyDescent="0.35">
      <c r="A3358" t="s">
        <v>176</v>
      </c>
      <c r="E3358">
        <v>-1.4126473066124671E-3</v>
      </c>
      <c r="F3358">
        <f t="shared" si="110"/>
        <v>-1.2395355859129788E-2</v>
      </c>
      <c r="G3358">
        <f t="shared" si="111"/>
        <v>-2.1137502343184157E-2</v>
      </c>
    </row>
    <row r="3359" spans="1:7" x14ac:dyDescent="0.35">
      <c r="A3359" t="s">
        <v>176</v>
      </c>
      <c r="E3359">
        <v>-1.3177555181954285E-3</v>
      </c>
      <c r="F3359">
        <f t="shared" si="110"/>
        <v>-1.2443411173819046E-2</v>
      </c>
      <c r="G3359">
        <f t="shared" si="111"/>
        <v>-2.1137502343184157E-2</v>
      </c>
    </row>
    <row r="3360" spans="1:7" x14ac:dyDescent="0.35">
      <c r="A3360" t="s">
        <v>176</v>
      </c>
      <c r="E3360">
        <v>1.5746564240320669E-3</v>
      </c>
      <c r="F3360">
        <f t="shared" si="110"/>
        <v>-1.2491466488508303E-2</v>
      </c>
      <c r="G3360">
        <f t="shared" si="111"/>
        <v>-2.1137502343184157E-2</v>
      </c>
    </row>
    <row r="3361" spans="1:7" x14ac:dyDescent="0.35">
      <c r="A3361" t="s">
        <v>176</v>
      </c>
      <c r="E3361">
        <v>-2.0737138494726212E-3</v>
      </c>
      <c r="F3361">
        <f t="shared" si="110"/>
        <v>-1.2493627679638868E-2</v>
      </c>
      <c r="G3361">
        <f t="shared" si="111"/>
        <v>-2.1530503972942146E-2</v>
      </c>
    </row>
    <row r="3362" spans="1:7" x14ac:dyDescent="0.35">
      <c r="A3362" t="s">
        <v>176</v>
      </c>
      <c r="E3362">
        <v>1.0924164948015661E-2</v>
      </c>
      <c r="F3362">
        <f t="shared" si="110"/>
        <v>-1.2495788870769433E-2</v>
      </c>
      <c r="G3362">
        <f t="shared" si="111"/>
        <v>-2.1530503972942146E-2</v>
      </c>
    </row>
    <row r="3363" spans="1:7" x14ac:dyDescent="0.35">
      <c r="A3363" t="s">
        <v>177</v>
      </c>
      <c r="B3363" s="3" cm="1">
        <f t="array" ref="B3363">_xlfn.STDEV.S(_xlfn._xlws.FILTER($E$2826:$E$3824, $A$2826:$A$3824="2023-07"))</f>
        <v>7.4884310143844921E-3</v>
      </c>
      <c r="C3363" s="3" cm="1">
        <f t="array" ref="C3363">AVERAGE(_xlfn._xlws.FILTER($E$2826:$E$3824, $A$2826:$A$3824="2023-07"))</f>
        <v>1.1920002935917455E-3</v>
      </c>
      <c r="D3363" s="3" cm="1">
        <f t="array" ref="D3363">_xlfn.PERCENTILE.EXC(_xlfn._xlws.FILTER($E$2490:$E$3818, $A$2490:$A$3818="2023-07"), 0.05)</f>
        <v>-2.0218951795296845E-2</v>
      </c>
      <c r="E3363">
        <v>-1.8792079182285871E-3</v>
      </c>
      <c r="F3363">
        <f t="shared" si="110"/>
        <v>-1.2497950061899998E-2</v>
      </c>
      <c r="G3363">
        <f t="shared" si="111"/>
        <v>-2.1530503972942146E-2</v>
      </c>
    </row>
    <row r="3364" spans="1:7" x14ac:dyDescent="0.35">
      <c r="A3364" t="s">
        <v>177</v>
      </c>
      <c r="E3364">
        <v>2.6546328125927501E-3</v>
      </c>
      <c r="F3364">
        <f t="shared" si="110"/>
        <v>-1.2500111253030563E-2</v>
      </c>
      <c r="G3364">
        <f t="shared" si="111"/>
        <v>-2.1530503972942146E-2</v>
      </c>
    </row>
    <row r="3365" spans="1:7" x14ac:dyDescent="0.35">
      <c r="A3365" t="s">
        <v>177</v>
      </c>
      <c r="E3365">
        <v>-8.1154812284223166E-3</v>
      </c>
      <c r="F3365">
        <f t="shared" si="110"/>
        <v>-1.2502272444161128E-2</v>
      </c>
      <c r="G3365">
        <f t="shared" si="111"/>
        <v>-2.1530503972942146E-2</v>
      </c>
    </row>
    <row r="3366" spans="1:7" x14ac:dyDescent="0.35">
      <c r="A3366" t="s">
        <v>177</v>
      </c>
      <c r="E3366">
        <v>-2.1563781858282904E-2</v>
      </c>
      <c r="F3366">
        <f t="shared" si="110"/>
        <v>-1.2504433635291693E-2</v>
      </c>
      <c r="G3366">
        <f t="shared" si="111"/>
        <v>-2.1530503972942146E-2</v>
      </c>
    </row>
    <row r="3367" spans="1:7" x14ac:dyDescent="0.35">
      <c r="A3367" t="s">
        <v>177</v>
      </c>
      <c r="E3367">
        <v>-2.7649429330265695E-3</v>
      </c>
      <c r="F3367">
        <f t="shared" si="110"/>
        <v>-1.1866747397547965E-2</v>
      </c>
      <c r="G3367">
        <f t="shared" si="111"/>
        <v>-2.1118126001588758E-2</v>
      </c>
    </row>
    <row r="3368" spans="1:7" x14ac:dyDescent="0.35">
      <c r="A3368" t="s">
        <v>177</v>
      </c>
      <c r="E3368">
        <v>5.375156736473944E-4</v>
      </c>
      <c r="F3368">
        <f t="shared" si="110"/>
        <v>-1.1914802712237223E-2</v>
      </c>
      <c r="G3368">
        <f t="shared" si="111"/>
        <v>-2.1118126001588758E-2</v>
      </c>
    </row>
    <row r="3369" spans="1:7" x14ac:dyDescent="0.35">
      <c r="A3369" t="s">
        <v>177</v>
      </c>
      <c r="E3369">
        <v>5.9024806829170206E-3</v>
      </c>
      <c r="F3369">
        <f t="shared" si="110"/>
        <v>-1.196285802692648E-2</v>
      </c>
      <c r="G3369">
        <f t="shared" si="111"/>
        <v>-2.1118126001588758E-2</v>
      </c>
    </row>
    <row r="3370" spans="1:7" x14ac:dyDescent="0.35">
      <c r="A3370" t="s">
        <v>177</v>
      </c>
      <c r="E3370">
        <v>1.2154771299526232E-2</v>
      </c>
      <c r="F3370">
        <f t="shared" si="110"/>
        <v>-1.2010913341615737E-2</v>
      </c>
      <c r="G3370">
        <f t="shared" si="111"/>
        <v>-2.1118126001588758E-2</v>
      </c>
    </row>
    <row r="3371" spans="1:7" x14ac:dyDescent="0.35">
      <c r="A3371" t="s">
        <v>177</v>
      </c>
      <c r="E3371">
        <v>5.657652690554061E-3</v>
      </c>
      <c r="F3371">
        <f t="shared" si="110"/>
        <v>-1.2058968656304991E-2</v>
      </c>
      <c r="G3371">
        <f t="shared" si="111"/>
        <v>-2.1118126001588758E-2</v>
      </c>
    </row>
    <row r="3372" spans="1:7" x14ac:dyDescent="0.35">
      <c r="A3372" t="s">
        <v>177</v>
      </c>
      <c r="E3372">
        <v>-3.7751113248528467E-3</v>
      </c>
      <c r="F3372">
        <f t="shared" si="110"/>
        <v>-1.2107023970994248E-2</v>
      </c>
      <c r="G3372">
        <f t="shared" si="111"/>
        <v>-2.1118126001588758E-2</v>
      </c>
    </row>
    <row r="3373" spans="1:7" x14ac:dyDescent="0.35">
      <c r="A3373" t="s">
        <v>177</v>
      </c>
      <c r="E3373">
        <v>-6.1616488531251708E-3</v>
      </c>
      <c r="F3373">
        <f t="shared" si="110"/>
        <v>-1.2155079285683506E-2</v>
      </c>
      <c r="G3373">
        <f t="shared" si="111"/>
        <v>-2.1118126001588758E-2</v>
      </c>
    </row>
    <row r="3374" spans="1:7" x14ac:dyDescent="0.35">
      <c r="A3374" t="s">
        <v>177</v>
      </c>
      <c r="E3374">
        <v>4.901764256477037E-3</v>
      </c>
      <c r="F3374">
        <f t="shared" si="110"/>
        <v>-1.2203134600372763E-2</v>
      </c>
      <c r="G3374">
        <f t="shared" si="111"/>
        <v>-2.1118126001588758E-2</v>
      </c>
    </row>
    <row r="3375" spans="1:7" x14ac:dyDescent="0.35">
      <c r="A3375" t="s">
        <v>177</v>
      </c>
      <c r="E3375">
        <v>1.0224822740847768E-2</v>
      </c>
      <c r="F3375">
        <f t="shared" si="110"/>
        <v>-1.225118991506202E-2</v>
      </c>
      <c r="G3375">
        <f t="shared" si="111"/>
        <v>-2.1118126001588758E-2</v>
      </c>
    </row>
    <row r="3376" spans="1:7" x14ac:dyDescent="0.35">
      <c r="A3376" t="s">
        <v>177</v>
      </c>
      <c r="E3376">
        <v>9.34157135749983E-3</v>
      </c>
      <c r="F3376">
        <f t="shared" si="110"/>
        <v>-1.2299245229751274E-2</v>
      </c>
      <c r="G3376">
        <f t="shared" si="111"/>
        <v>-2.1118126001588758E-2</v>
      </c>
    </row>
    <row r="3377" spans="1:7" x14ac:dyDescent="0.35">
      <c r="A3377" t="s">
        <v>177</v>
      </c>
      <c r="E3377">
        <v>2.7763443580344663E-3</v>
      </c>
      <c r="F3377">
        <f t="shared" si="110"/>
        <v>-1.2347300544440531E-2</v>
      </c>
      <c r="G3377">
        <f t="shared" si="111"/>
        <v>-2.1118126001588758E-2</v>
      </c>
    </row>
    <row r="3378" spans="1:7" x14ac:dyDescent="0.35">
      <c r="A3378" t="s">
        <v>177</v>
      </c>
      <c r="E3378">
        <v>3.6179875979553285E-3</v>
      </c>
      <c r="F3378">
        <f t="shared" si="110"/>
        <v>-1.2395355859129788E-2</v>
      </c>
      <c r="G3378">
        <f t="shared" si="111"/>
        <v>-2.1118126001588758E-2</v>
      </c>
    </row>
    <row r="3379" spans="1:7" x14ac:dyDescent="0.35">
      <c r="A3379" t="s">
        <v>177</v>
      </c>
      <c r="E3379">
        <v>8.9132543134735117E-3</v>
      </c>
      <c r="F3379">
        <f t="shared" si="110"/>
        <v>-1.2443411173819046E-2</v>
      </c>
      <c r="G3379">
        <f t="shared" si="111"/>
        <v>-2.1118126001588758E-2</v>
      </c>
    </row>
    <row r="3380" spans="1:7" x14ac:dyDescent="0.35">
      <c r="A3380" t="s">
        <v>177</v>
      </c>
      <c r="E3380">
        <v>-1.7845273538037783E-3</v>
      </c>
      <c r="F3380">
        <f t="shared" si="110"/>
        <v>-1.2491466488508303E-2</v>
      </c>
      <c r="G3380">
        <f t="shared" si="111"/>
        <v>-2.1118126001588758E-2</v>
      </c>
    </row>
    <row r="3381" spans="1:7" x14ac:dyDescent="0.35">
      <c r="A3381" t="s">
        <v>177</v>
      </c>
      <c r="E3381">
        <v>3.7524911289645553E-3</v>
      </c>
      <c r="F3381">
        <f t="shared" si="110"/>
        <v>-1.2493627679638868E-2</v>
      </c>
      <c r="G3381">
        <f t="shared" si="111"/>
        <v>-2.1528919311735447E-2</v>
      </c>
    </row>
    <row r="3382" spans="1:7" x14ac:dyDescent="0.35">
      <c r="A3382" t="s">
        <v>177</v>
      </c>
      <c r="E3382">
        <v>-5.8516500612451432E-4</v>
      </c>
      <c r="F3382">
        <f t="shared" si="110"/>
        <v>-1.2495788870769433E-2</v>
      </c>
      <c r="G3382">
        <f t="shared" si="111"/>
        <v>-2.1528919311735447E-2</v>
      </c>
    </row>
    <row r="3383" spans="1:7" x14ac:dyDescent="0.35">
      <c r="A3383" t="s">
        <v>177</v>
      </c>
      <c r="E3383">
        <v>1.2265837288033873E-3</v>
      </c>
      <c r="F3383">
        <f t="shared" si="110"/>
        <v>-1.2497950061899998E-2</v>
      </c>
      <c r="G3383">
        <f t="shared" si="111"/>
        <v>-2.1528919311735447E-2</v>
      </c>
    </row>
    <row r="3384" spans="1:7" x14ac:dyDescent="0.35">
      <c r="A3384" t="s">
        <v>178</v>
      </c>
      <c r="B3384" s="3" cm="1">
        <f t="array" ref="B3384">_xlfn.STDEV.S(_xlfn._xlws.FILTER($E$2826:$E$3824, $A$2826:$A$3824="2023-08"))</f>
        <v>6.5880169223333142E-3</v>
      </c>
      <c r="C3384" s="3" cm="1">
        <f t="array" ref="C3384">AVERAGE(_xlfn._xlws.FILTER($E$2826:$E$3824, $A$2826:$A$3824="2023-08"))</f>
        <v>-1.6329015930645601E-3</v>
      </c>
      <c r="D3384" s="3" cm="1">
        <f t="array" ref="D3384">_xlfn.PERCENTILE.EXC(_xlfn._xlws.FILTER($E$2490:$E$3818, $A$2490:$A$3818="2023-08"), 0.05)</f>
        <v>-1.4479680424503235E-2</v>
      </c>
      <c r="E3384">
        <v>-8.7011961419264251E-3</v>
      </c>
      <c r="F3384">
        <f t="shared" si="110"/>
        <v>-1.2500111253030563E-2</v>
      </c>
      <c r="G3384">
        <f t="shared" si="111"/>
        <v>-2.1528919311735447E-2</v>
      </c>
    </row>
    <row r="3385" spans="1:7" x14ac:dyDescent="0.35">
      <c r="A3385" t="s">
        <v>178</v>
      </c>
      <c r="E3385">
        <v>-1.4574113663541156E-2</v>
      </c>
      <c r="F3385">
        <f t="shared" si="110"/>
        <v>-1.2502272444161128E-2</v>
      </c>
      <c r="G3385">
        <f t="shared" si="111"/>
        <v>-2.1528919311735447E-2</v>
      </c>
    </row>
    <row r="3386" spans="1:7" x14ac:dyDescent="0.35">
      <c r="A3386" t="s">
        <v>178</v>
      </c>
      <c r="E3386">
        <v>-5.2186975987010917E-3</v>
      </c>
      <c r="F3386">
        <f t="shared" si="110"/>
        <v>-1.1818692082858708E-2</v>
      </c>
      <c r="G3386">
        <f t="shared" si="111"/>
        <v>-2.1429745636733881E-2</v>
      </c>
    </row>
    <row r="3387" spans="1:7" x14ac:dyDescent="0.35">
      <c r="A3387" t="s">
        <v>178</v>
      </c>
      <c r="E3387">
        <v>2.4211350842923132E-3</v>
      </c>
      <c r="F3387">
        <f t="shared" si="110"/>
        <v>-1.1866747397547965E-2</v>
      </c>
      <c r="G3387">
        <f t="shared" si="111"/>
        <v>-2.1429745636733881E-2</v>
      </c>
    </row>
    <row r="3388" spans="1:7" x14ac:dyDescent="0.35">
      <c r="A3388" t="s">
        <v>178</v>
      </c>
      <c r="E3388">
        <v>1.1404651684409585E-3</v>
      </c>
      <c r="F3388">
        <f t="shared" si="110"/>
        <v>-1.1914802712237223E-2</v>
      </c>
      <c r="G3388">
        <f t="shared" si="111"/>
        <v>-2.1429745636733881E-2</v>
      </c>
    </row>
    <row r="3389" spans="1:7" x14ac:dyDescent="0.35">
      <c r="A3389" t="s">
        <v>178</v>
      </c>
      <c r="E3389">
        <v>-2.0534359167052999E-3</v>
      </c>
      <c r="F3389">
        <f t="shared" si="110"/>
        <v>-1.196285802692648E-2</v>
      </c>
      <c r="G3389">
        <f t="shared" si="111"/>
        <v>-2.1429745636733881E-2</v>
      </c>
    </row>
    <row r="3390" spans="1:7" x14ac:dyDescent="0.35">
      <c r="A3390" t="s">
        <v>178</v>
      </c>
      <c r="E3390">
        <v>4.4012948744103228E-3</v>
      </c>
      <c r="F3390">
        <f t="shared" si="110"/>
        <v>-1.2010913341615737E-2</v>
      </c>
      <c r="G3390">
        <f t="shared" si="111"/>
        <v>-2.1429745636733881E-2</v>
      </c>
    </row>
    <row r="3391" spans="1:7" x14ac:dyDescent="0.35">
      <c r="A3391" t="s">
        <v>178</v>
      </c>
      <c r="E3391">
        <v>3.8336924611617404E-4</v>
      </c>
      <c r="F3391">
        <f t="shared" si="110"/>
        <v>-1.2058968656304991E-2</v>
      </c>
      <c r="G3391">
        <f t="shared" si="111"/>
        <v>-2.1429745636733881E-2</v>
      </c>
    </row>
    <row r="3392" spans="1:7" x14ac:dyDescent="0.35">
      <c r="A3392" t="s">
        <v>178</v>
      </c>
      <c r="E3392">
        <v>-8.4304636951918789E-3</v>
      </c>
      <c r="F3392">
        <f t="shared" si="110"/>
        <v>-1.2107023970994248E-2</v>
      </c>
      <c r="G3392">
        <f t="shared" si="111"/>
        <v>-2.1429745636733881E-2</v>
      </c>
    </row>
    <row r="3393" spans="1:7" x14ac:dyDescent="0.35">
      <c r="A3393" t="s">
        <v>178</v>
      </c>
      <c r="E3393">
        <v>-5.3469003748057812E-5</v>
      </c>
      <c r="F3393">
        <f t="shared" si="110"/>
        <v>-1.2155079285683506E-2</v>
      </c>
      <c r="G3393">
        <f t="shared" si="111"/>
        <v>-2.1429745636733881E-2</v>
      </c>
    </row>
    <row r="3394" spans="1:7" x14ac:dyDescent="0.35">
      <c r="A3394" t="s">
        <v>178</v>
      </c>
      <c r="E3394">
        <v>-1.3629781273161945E-2</v>
      </c>
      <c r="F3394">
        <f t="shared" si="110"/>
        <v>-1.2203134600372763E-2</v>
      </c>
      <c r="G3394">
        <f t="shared" si="111"/>
        <v>-2.1429745636733881E-2</v>
      </c>
    </row>
    <row r="3395" spans="1:7" x14ac:dyDescent="0.35">
      <c r="A3395" t="s">
        <v>178</v>
      </c>
      <c r="E3395">
        <v>-3.4186836980448915E-3</v>
      </c>
      <c r="F3395">
        <f t="shared" si="110"/>
        <v>-1.1406699173610963E-2</v>
      </c>
      <c r="G3395">
        <f t="shared" si="111"/>
        <v>-2.1329773204427277E-2</v>
      </c>
    </row>
    <row r="3396" spans="1:7" x14ac:dyDescent="0.35">
      <c r="A3396" t="s">
        <v>178</v>
      </c>
      <c r="E3396">
        <v>-7.2740078999856224E-3</v>
      </c>
      <c r="F3396">
        <f t="shared" ref="F3396:F3459" si="112">_xlfn.PERCENTILE.EXC(E3396:E7211,0.05)</f>
        <v>-1.1431431377833404E-2</v>
      </c>
      <c r="G3396">
        <f t="shared" ref="G3396:G3459" si="113">AVERAGEIFS(E3396:E7212,E3396:E7212,"&lt;=" &amp; F3396)</f>
        <v>-2.1329773204427277E-2</v>
      </c>
    </row>
    <row r="3397" spans="1:7" x14ac:dyDescent="0.35">
      <c r="A3397" t="s">
        <v>178</v>
      </c>
      <c r="E3397">
        <v>-2.3574791044062749E-3</v>
      </c>
      <c r="F3397">
        <f t="shared" si="112"/>
        <v>-1.1456163582055845E-2</v>
      </c>
      <c r="G3397">
        <f t="shared" si="113"/>
        <v>-2.1329773204427277E-2</v>
      </c>
    </row>
    <row r="3398" spans="1:7" x14ac:dyDescent="0.35">
      <c r="A3398" t="s">
        <v>178</v>
      </c>
      <c r="E3398">
        <v>4.8364627737238434E-3</v>
      </c>
      <c r="F3398">
        <f t="shared" si="112"/>
        <v>-1.1480895786278287E-2</v>
      </c>
      <c r="G3398">
        <f t="shared" si="113"/>
        <v>-2.1329773204427277E-2</v>
      </c>
    </row>
    <row r="3399" spans="1:7" x14ac:dyDescent="0.35">
      <c r="A3399" t="s">
        <v>178</v>
      </c>
      <c r="E3399">
        <v>4.5245276867534124E-3</v>
      </c>
      <c r="F3399">
        <f t="shared" si="112"/>
        <v>-1.1505627990500729E-2</v>
      </c>
      <c r="G3399">
        <f t="shared" si="113"/>
        <v>-2.1329773204427277E-2</v>
      </c>
    </row>
    <row r="3400" spans="1:7" x14ac:dyDescent="0.35">
      <c r="A3400" t="s">
        <v>178</v>
      </c>
      <c r="E3400">
        <v>-1.9926885983117663E-3</v>
      </c>
      <c r="F3400">
        <f t="shared" si="112"/>
        <v>-1.1530360194723172E-2</v>
      </c>
      <c r="G3400">
        <f t="shared" si="113"/>
        <v>-2.1329773204427277E-2</v>
      </c>
    </row>
    <row r="3401" spans="1:7" x14ac:dyDescent="0.35">
      <c r="A3401" t="s">
        <v>178</v>
      </c>
      <c r="E3401">
        <v>-3.4480356118447495E-4</v>
      </c>
      <c r="F3401">
        <f t="shared" si="112"/>
        <v>-1.1578415509412425E-2</v>
      </c>
      <c r="G3401">
        <f t="shared" si="113"/>
        <v>-2.181974385491248E-2</v>
      </c>
    </row>
    <row r="3402" spans="1:7" x14ac:dyDescent="0.35">
      <c r="A3402" t="s">
        <v>178</v>
      </c>
      <c r="E3402">
        <v>1.390753981672194E-2</v>
      </c>
      <c r="F3402">
        <f t="shared" si="112"/>
        <v>-1.1626470824101683E-2</v>
      </c>
      <c r="G3402">
        <f t="shared" si="113"/>
        <v>-2.181974385491248E-2</v>
      </c>
    </row>
    <row r="3403" spans="1:7" x14ac:dyDescent="0.35">
      <c r="A3403" t="s">
        <v>178</v>
      </c>
      <c r="E3403">
        <v>2.9575219558256459E-3</v>
      </c>
      <c r="F3403">
        <f t="shared" si="112"/>
        <v>-1.167452613879094E-2</v>
      </c>
      <c r="G3403">
        <f t="shared" si="113"/>
        <v>-2.181974385491248E-2</v>
      </c>
    </row>
    <row r="3404" spans="1:7" x14ac:dyDescent="0.35">
      <c r="A3404" t="s">
        <v>178</v>
      </c>
      <c r="E3404">
        <v>-8.1442990573148859E-4</v>
      </c>
      <c r="F3404">
        <f t="shared" si="112"/>
        <v>-1.1722581453480197E-2</v>
      </c>
      <c r="G3404">
        <f t="shared" si="113"/>
        <v>-2.181974385491248E-2</v>
      </c>
    </row>
    <row r="3405" spans="1:7" x14ac:dyDescent="0.35">
      <c r="A3405" t="s">
        <v>179</v>
      </c>
      <c r="B3405" s="3" cm="1">
        <f t="array" ref="B3405">_xlfn.STDEV.S(_xlfn._xlws.FILTER($E$2826:$E$3824, $A$2826:$A$3824="2023-09"))</f>
        <v>6.4065724340094717E-3</v>
      </c>
      <c r="C3405" s="3" cm="1">
        <f t="array" ref="C3405">AVERAGE(_xlfn._xlws.FILTER($E$2826:$E$3824, $A$2826:$A$3824="2023-09"))</f>
        <v>4.7974194405242331E-4</v>
      </c>
      <c r="D3405" s="3" cm="1">
        <f t="array" ref="D3405">_xlfn.PERCENTILE.EXC(_xlfn._xlws.FILTER($E$2490:$E$3818, $A$2490:$A$3818="2023-09"), 0.05)</f>
        <v>-9.81532973578721E-3</v>
      </c>
      <c r="E3405">
        <v>2.6361496369776004E-3</v>
      </c>
      <c r="F3405">
        <f t="shared" si="112"/>
        <v>-1.1770636768169454E-2</v>
      </c>
      <c r="G3405">
        <f t="shared" si="113"/>
        <v>-2.181974385491248E-2</v>
      </c>
    </row>
    <row r="3406" spans="1:7" x14ac:dyDescent="0.35">
      <c r="A3406" t="s">
        <v>179</v>
      </c>
      <c r="E3406">
        <v>6.6609577453285746E-4</v>
      </c>
      <c r="F3406">
        <f t="shared" si="112"/>
        <v>-1.1818692082858708E-2</v>
      </c>
      <c r="G3406">
        <f t="shared" si="113"/>
        <v>-2.181974385491248E-2</v>
      </c>
    </row>
    <row r="3407" spans="1:7" x14ac:dyDescent="0.35">
      <c r="A3407" t="s">
        <v>179</v>
      </c>
      <c r="E3407">
        <v>-1.7098984028298675E-4</v>
      </c>
      <c r="F3407">
        <f t="shared" si="112"/>
        <v>-1.1866747397547965E-2</v>
      </c>
      <c r="G3407">
        <f t="shared" si="113"/>
        <v>-2.181974385491248E-2</v>
      </c>
    </row>
    <row r="3408" spans="1:7" x14ac:dyDescent="0.35">
      <c r="A3408" t="s">
        <v>179</v>
      </c>
      <c r="E3408">
        <v>-6.7283715893376519E-3</v>
      </c>
      <c r="F3408">
        <f t="shared" si="112"/>
        <v>-1.1914802712237223E-2</v>
      </c>
      <c r="G3408">
        <f t="shared" si="113"/>
        <v>-2.181974385491248E-2</v>
      </c>
    </row>
    <row r="3409" spans="1:7" x14ac:dyDescent="0.35">
      <c r="A3409" t="s">
        <v>179</v>
      </c>
      <c r="E3409">
        <v>1.5207380679146377E-3</v>
      </c>
      <c r="F3409">
        <f t="shared" si="112"/>
        <v>-1.196285802692648E-2</v>
      </c>
      <c r="G3409">
        <f t="shared" si="113"/>
        <v>-2.181974385491248E-2</v>
      </c>
    </row>
    <row r="3410" spans="1:7" x14ac:dyDescent="0.35">
      <c r="A3410" t="s">
        <v>179</v>
      </c>
      <c r="E3410">
        <v>3.7527337989268655E-3</v>
      </c>
      <c r="F3410">
        <f t="shared" si="112"/>
        <v>-1.2010913341615737E-2</v>
      </c>
      <c r="G3410">
        <f t="shared" si="113"/>
        <v>-2.181974385491248E-2</v>
      </c>
    </row>
    <row r="3411" spans="1:7" x14ac:dyDescent="0.35">
      <c r="A3411" t="s">
        <v>179</v>
      </c>
      <c r="E3411">
        <v>3.0100476830911657E-3</v>
      </c>
      <c r="F3411">
        <f t="shared" si="112"/>
        <v>-1.2058968656304991E-2</v>
      </c>
      <c r="G3411">
        <f t="shared" si="113"/>
        <v>-2.181974385491248E-2</v>
      </c>
    </row>
    <row r="3412" spans="1:7" x14ac:dyDescent="0.35">
      <c r="A3412" t="s">
        <v>179</v>
      </c>
      <c r="E3412">
        <v>3.1691687748563527E-3</v>
      </c>
      <c r="F3412">
        <f t="shared" si="112"/>
        <v>-1.2107023970994248E-2</v>
      </c>
      <c r="G3412">
        <f t="shared" si="113"/>
        <v>-2.181974385491248E-2</v>
      </c>
    </row>
    <row r="3413" spans="1:7" x14ac:dyDescent="0.35">
      <c r="A3413" t="s">
        <v>179</v>
      </c>
      <c r="E3413">
        <v>-5.2036032588006554E-4</v>
      </c>
      <c r="F3413">
        <f t="shared" si="112"/>
        <v>-1.2155079285683506E-2</v>
      </c>
      <c r="G3413">
        <f t="shared" si="113"/>
        <v>-2.181974385491248E-2</v>
      </c>
    </row>
    <row r="3414" spans="1:7" x14ac:dyDescent="0.35">
      <c r="A3414" t="s">
        <v>179</v>
      </c>
      <c r="E3414">
        <v>2.1454243440474783E-2</v>
      </c>
      <c r="F3414">
        <f t="shared" si="112"/>
        <v>-1.2203134600372763E-2</v>
      </c>
      <c r="G3414">
        <f t="shared" si="113"/>
        <v>-2.181974385491248E-2</v>
      </c>
    </row>
    <row r="3415" spans="1:7" x14ac:dyDescent="0.35">
      <c r="A3415" t="s">
        <v>179</v>
      </c>
      <c r="E3415">
        <v>1.6931671153904814E-3</v>
      </c>
      <c r="F3415">
        <f t="shared" si="112"/>
        <v>-1.225118991506202E-2</v>
      </c>
      <c r="G3415">
        <f t="shared" si="113"/>
        <v>-2.181974385491248E-2</v>
      </c>
    </row>
    <row r="3416" spans="1:7" x14ac:dyDescent="0.35">
      <c r="A3416" t="s">
        <v>179</v>
      </c>
      <c r="E3416">
        <v>-9.8828881329947361E-3</v>
      </c>
      <c r="F3416">
        <f t="shared" si="112"/>
        <v>-1.2299245229751274E-2</v>
      </c>
      <c r="G3416">
        <f t="shared" si="113"/>
        <v>-2.181974385491248E-2</v>
      </c>
    </row>
    <row r="3417" spans="1:7" x14ac:dyDescent="0.35">
      <c r="A3417" t="s">
        <v>179</v>
      </c>
      <c r="E3417">
        <v>9.5748448177042779E-4</v>
      </c>
      <c r="F3417">
        <f t="shared" si="112"/>
        <v>-1.2347300544440531E-2</v>
      </c>
      <c r="G3417">
        <f t="shared" si="113"/>
        <v>-2.181974385491248E-2</v>
      </c>
    </row>
    <row r="3418" spans="1:7" x14ac:dyDescent="0.35">
      <c r="A3418" t="s">
        <v>179</v>
      </c>
      <c r="E3418">
        <v>7.0346249095509083E-3</v>
      </c>
      <c r="F3418">
        <f t="shared" si="112"/>
        <v>-1.2395355859129788E-2</v>
      </c>
      <c r="G3418">
        <f t="shared" si="113"/>
        <v>-2.181974385491248E-2</v>
      </c>
    </row>
    <row r="3419" spans="1:7" x14ac:dyDescent="0.35">
      <c r="A3419" t="s">
        <v>179</v>
      </c>
      <c r="E3419">
        <v>-9.2073041609194821E-3</v>
      </c>
      <c r="F3419">
        <f t="shared" si="112"/>
        <v>-1.2443411173819046E-2</v>
      </c>
      <c r="G3419">
        <f t="shared" si="113"/>
        <v>-2.181974385491248E-2</v>
      </c>
    </row>
    <row r="3420" spans="1:7" x14ac:dyDescent="0.35">
      <c r="A3420" t="s">
        <v>179</v>
      </c>
      <c r="E3420">
        <v>-2.9774529775464589E-3</v>
      </c>
      <c r="F3420">
        <f t="shared" si="112"/>
        <v>-1.2491466488508303E-2</v>
      </c>
      <c r="G3420">
        <f t="shared" si="113"/>
        <v>-2.181974385491248E-2</v>
      </c>
    </row>
    <row r="3421" spans="1:7" x14ac:dyDescent="0.35">
      <c r="A3421" t="s">
        <v>179</v>
      </c>
      <c r="E3421">
        <v>-4.791403761191775E-3</v>
      </c>
      <c r="F3421">
        <f t="shared" si="112"/>
        <v>-1.2493627679638868E-2</v>
      </c>
      <c r="G3421">
        <f t="shared" si="113"/>
        <v>-2.231070582156533E-2</v>
      </c>
    </row>
    <row r="3422" spans="1:7" x14ac:dyDescent="0.35">
      <c r="A3422" t="s">
        <v>179</v>
      </c>
      <c r="E3422">
        <v>-1.2455743737495872E-3</v>
      </c>
      <c r="F3422">
        <f t="shared" si="112"/>
        <v>-1.2495788870769433E-2</v>
      </c>
      <c r="G3422">
        <f t="shared" si="113"/>
        <v>-2.231070582156533E-2</v>
      </c>
    </row>
    <row r="3423" spans="1:7" x14ac:dyDescent="0.35">
      <c r="A3423" t="s">
        <v>179</v>
      </c>
      <c r="E3423">
        <v>-1.7933792172991673E-3</v>
      </c>
      <c r="F3423">
        <f t="shared" si="112"/>
        <v>-1.2497950061899998E-2</v>
      </c>
      <c r="G3423">
        <f t="shared" si="113"/>
        <v>-2.231070582156533E-2</v>
      </c>
    </row>
    <row r="3424" spans="1:7" x14ac:dyDescent="0.35">
      <c r="A3424" t="s">
        <v>179</v>
      </c>
      <c r="E3424">
        <v>2.0794743565481517E-3</v>
      </c>
      <c r="F3424">
        <f t="shared" si="112"/>
        <v>-1.2500111253030563E-2</v>
      </c>
      <c r="G3424">
        <f t="shared" si="113"/>
        <v>-2.231070582156533E-2</v>
      </c>
    </row>
    <row r="3425" spans="1:7" x14ac:dyDescent="0.35">
      <c r="A3425" t="s">
        <v>179</v>
      </c>
      <c r="E3425">
        <v>-5.8162283573142358E-4</v>
      </c>
      <c r="F3425">
        <f t="shared" si="112"/>
        <v>-1.2502272444161128E-2</v>
      </c>
      <c r="G3425">
        <f t="shared" si="113"/>
        <v>-2.231070582156533E-2</v>
      </c>
    </row>
    <row r="3426" spans="1:7" x14ac:dyDescent="0.35">
      <c r="A3426" t="s">
        <v>180</v>
      </c>
      <c r="B3426" s="3" cm="1">
        <f t="array" ref="B3426">_xlfn.STDEV.S(_xlfn._xlws.FILTER($E$2826:$E$3824, $A$2826:$A$3824="2023-10"))</f>
        <v>8.1414229614440222E-3</v>
      </c>
      <c r="C3426" s="3" cm="1">
        <f t="array" ref="C3426">AVERAGE(_xlfn._xlws.FILTER($E$2826:$E$3824, $A$2826:$A$3824="2023-10"))</f>
        <v>-1.947500305044674E-3</v>
      </c>
      <c r="D3426" s="3" cm="1">
        <f t="array" ref="D3426">_xlfn.PERCENTILE.EXC(_xlfn._xlws.FILTER($E$2490:$E$3818, $A$2490:$A$3818="2023-10"), 0.05)</f>
        <v>-1.5435591563160836E-2</v>
      </c>
      <c r="E3426">
        <v>-1.2491466488508303E-2</v>
      </c>
      <c r="F3426">
        <f t="shared" si="112"/>
        <v>-1.2504433635291693E-2</v>
      </c>
      <c r="G3426">
        <f t="shared" si="113"/>
        <v>-2.231070582156533E-2</v>
      </c>
    </row>
    <row r="3427" spans="1:7" x14ac:dyDescent="0.35">
      <c r="A3427" t="s">
        <v>180</v>
      </c>
      <c r="E3427">
        <v>-5.5666625305577271E-3</v>
      </c>
      <c r="F3427">
        <f t="shared" si="112"/>
        <v>-1.1881875735461921E-2</v>
      </c>
      <c r="G3427">
        <f t="shared" si="113"/>
        <v>-2.231070582156533E-2</v>
      </c>
    </row>
    <row r="3428" spans="1:7" x14ac:dyDescent="0.35">
      <c r="A3428" t="s">
        <v>180</v>
      </c>
      <c r="E3428">
        <v>-6.1666498443961265E-3</v>
      </c>
      <c r="F3428">
        <f t="shared" si="112"/>
        <v>-1.1932092241281743E-2</v>
      </c>
      <c r="G3428">
        <f t="shared" si="113"/>
        <v>-2.231070582156533E-2</v>
      </c>
    </row>
    <row r="3429" spans="1:7" x14ac:dyDescent="0.35">
      <c r="A3429" t="s">
        <v>180</v>
      </c>
      <c r="E3429">
        <v>5.2806973035990756E-3</v>
      </c>
      <c r="F3429">
        <f t="shared" si="112"/>
        <v>-1.1982308747101565E-2</v>
      </c>
      <c r="G3429">
        <f t="shared" si="113"/>
        <v>-2.231070582156533E-2</v>
      </c>
    </row>
    <row r="3430" spans="1:7" x14ac:dyDescent="0.35">
      <c r="A3430" t="s">
        <v>180</v>
      </c>
      <c r="E3430">
        <v>6.110129148940182E-3</v>
      </c>
      <c r="F3430">
        <f t="shared" si="112"/>
        <v>-1.2032525252921387E-2</v>
      </c>
      <c r="G3430">
        <f t="shared" si="113"/>
        <v>-2.231070582156533E-2</v>
      </c>
    </row>
    <row r="3431" spans="1:7" x14ac:dyDescent="0.35">
      <c r="A3431" t="s">
        <v>180</v>
      </c>
      <c r="E3431">
        <v>8.0970461659502315E-4</v>
      </c>
      <c r="F3431">
        <f t="shared" si="112"/>
        <v>-1.2082741758741205E-2</v>
      </c>
      <c r="G3431">
        <f t="shared" si="113"/>
        <v>-2.231070582156533E-2</v>
      </c>
    </row>
    <row r="3432" spans="1:7" x14ac:dyDescent="0.35">
      <c r="A3432" t="s">
        <v>180</v>
      </c>
      <c r="E3432">
        <v>1.7926160562109588E-2</v>
      </c>
      <c r="F3432">
        <f t="shared" si="112"/>
        <v>-1.2132958264561027E-2</v>
      </c>
      <c r="G3432">
        <f t="shared" si="113"/>
        <v>-2.231070582156533E-2</v>
      </c>
    </row>
    <row r="3433" spans="1:7" x14ac:dyDescent="0.35">
      <c r="A3433" t="s">
        <v>180</v>
      </c>
      <c r="E3433">
        <v>3.5746224929527422E-4</v>
      </c>
      <c r="F3433">
        <f t="shared" si="112"/>
        <v>-1.2183174770380849E-2</v>
      </c>
      <c r="G3433">
        <f t="shared" si="113"/>
        <v>-2.231070582156533E-2</v>
      </c>
    </row>
    <row r="3434" spans="1:7" x14ac:dyDescent="0.35">
      <c r="A3434" t="s">
        <v>180</v>
      </c>
      <c r="E3434">
        <v>8.8843175022970927E-4</v>
      </c>
      <c r="F3434">
        <f t="shared" si="112"/>
        <v>-1.2233391276200671E-2</v>
      </c>
      <c r="G3434">
        <f t="shared" si="113"/>
        <v>-2.231070582156533E-2</v>
      </c>
    </row>
    <row r="3435" spans="1:7" x14ac:dyDescent="0.35">
      <c r="A3435" t="s">
        <v>180</v>
      </c>
      <c r="E3435">
        <v>-7.3876886921005096E-3</v>
      </c>
      <c r="F3435">
        <f t="shared" si="112"/>
        <v>-1.2283607782020494E-2</v>
      </c>
      <c r="G3435">
        <f t="shared" si="113"/>
        <v>-2.231070582156533E-2</v>
      </c>
    </row>
    <row r="3436" spans="1:7" x14ac:dyDescent="0.35">
      <c r="A3436" t="s">
        <v>180</v>
      </c>
      <c r="E3436">
        <v>5.6426837796825892E-3</v>
      </c>
      <c r="F3436">
        <f t="shared" si="112"/>
        <v>-1.2333824287840313E-2</v>
      </c>
      <c r="G3436">
        <f t="shared" si="113"/>
        <v>-2.231070582156533E-2</v>
      </c>
    </row>
    <row r="3437" spans="1:7" x14ac:dyDescent="0.35">
      <c r="A3437" t="s">
        <v>180</v>
      </c>
      <c r="E3437">
        <v>2.0453238094979001E-3</v>
      </c>
      <c r="F3437">
        <f t="shared" si="112"/>
        <v>-1.2384040793660135E-2</v>
      </c>
      <c r="G3437">
        <f t="shared" si="113"/>
        <v>-2.231070582156533E-2</v>
      </c>
    </row>
    <row r="3438" spans="1:7" x14ac:dyDescent="0.35">
      <c r="A3438" t="s">
        <v>180</v>
      </c>
      <c r="E3438">
        <v>-1.0558994375605847E-2</v>
      </c>
      <c r="F3438">
        <f t="shared" si="112"/>
        <v>-1.2434257299479957E-2</v>
      </c>
      <c r="G3438">
        <f t="shared" si="113"/>
        <v>-2.231070582156533E-2</v>
      </c>
    </row>
    <row r="3439" spans="1:7" x14ac:dyDescent="0.35">
      <c r="A3439" t="s">
        <v>180</v>
      </c>
      <c r="E3439">
        <v>-1.567929258018461E-2</v>
      </c>
      <c r="F3439">
        <f t="shared" si="112"/>
        <v>-1.2484473805299779E-2</v>
      </c>
      <c r="G3439">
        <f t="shared" si="113"/>
        <v>-2.231070582156533E-2</v>
      </c>
    </row>
    <row r="3440" spans="1:7" x14ac:dyDescent="0.35">
      <c r="A3440" t="s">
        <v>180</v>
      </c>
      <c r="E3440">
        <v>-1.4054619133359448E-2</v>
      </c>
      <c r="F3440">
        <f t="shared" si="112"/>
        <v>-1.1530360194723172E-2</v>
      </c>
      <c r="G3440">
        <f t="shared" si="113"/>
        <v>-2.2092340959172625E-2</v>
      </c>
    </row>
    <row r="3441" spans="1:7" x14ac:dyDescent="0.35">
      <c r="A3441" t="s">
        <v>180</v>
      </c>
      <c r="E3441">
        <v>-4.192860598343456E-3</v>
      </c>
      <c r="F3441">
        <f t="shared" si="112"/>
        <v>-1.106044831449678E-2</v>
      </c>
      <c r="G3441">
        <f t="shared" si="113"/>
        <v>-2.2538881060606687E-2</v>
      </c>
    </row>
    <row r="3442" spans="1:7" x14ac:dyDescent="0.35">
      <c r="A3442" t="s">
        <v>180</v>
      </c>
      <c r="E3442">
        <v>3.2054812119164311E-3</v>
      </c>
      <c r="F3442">
        <f t="shared" si="112"/>
        <v>-1.108518051871922E-2</v>
      </c>
      <c r="G3442">
        <f t="shared" si="113"/>
        <v>-2.2538881060606687E-2</v>
      </c>
    </row>
    <row r="3443" spans="1:7" x14ac:dyDescent="0.35">
      <c r="A3443" t="s">
        <v>180</v>
      </c>
      <c r="E3443">
        <v>1.8276674983974861E-3</v>
      </c>
      <c r="F3443">
        <f t="shared" si="112"/>
        <v>-1.1109912722941663E-2</v>
      </c>
      <c r="G3443">
        <f t="shared" si="113"/>
        <v>-2.2538881060606687E-2</v>
      </c>
    </row>
    <row r="3444" spans="1:7" x14ac:dyDescent="0.35">
      <c r="A3444" t="s">
        <v>180</v>
      </c>
      <c r="E3444">
        <v>-5.5504855948140521E-3</v>
      </c>
      <c r="F3444">
        <f t="shared" si="112"/>
        <v>-1.1134644927164103E-2</v>
      </c>
      <c r="G3444">
        <f t="shared" si="113"/>
        <v>-2.2538881060606687E-2</v>
      </c>
    </row>
    <row r="3445" spans="1:7" x14ac:dyDescent="0.35">
      <c r="A3445" t="s">
        <v>180</v>
      </c>
      <c r="E3445">
        <v>-1.1530360194723172E-2</v>
      </c>
      <c r="F3445">
        <f t="shared" si="112"/>
        <v>-1.1159377131386546E-2</v>
      </c>
      <c r="G3445">
        <f t="shared" si="113"/>
        <v>-2.2538881060606687E-2</v>
      </c>
    </row>
    <row r="3446" spans="1:7" x14ac:dyDescent="0.35">
      <c r="A3446" t="s">
        <v>180</v>
      </c>
      <c r="E3446">
        <v>4.1920264353055171E-3</v>
      </c>
      <c r="F3446">
        <f t="shared" si="112"/>
        <v>-1.0754793031137608E-2</v>
      </c>
      <c r="G3446">
        <f t="shared" si="113"/>
        <v>-2.2511400833692866E-2</v>
      </c>
    </row>
    <row r="3447" spans="1:7" x14ac:dyDescent="0.35">
      <c r="A3447" t="s">
        <v>180</v>
      </c>
      <c r="E3447">
        <v>2.0483049560416464E-3</v>
      </c>
      <c r="F3447">
        <f t="shared" si="112"/>
        <v>-1.077485896536166E-2</v>
      </c>
      <c r="G3447">
        <f t="shared" si="113"/>
        <v>-2.2511400833692866E-2</v>
      </c>
    </row>
    <row r="3448" spans="1:7" x14ac:dyDescent="0.35">
      <c r="A3448" t="s">
        <v>181</v>
      </c>
      <c r="B3448" s="3" cm="1">
        <f t="array" ref="B3448">_xlfn.STDEV.S(_xlfn._xlws.FILTER($E$2826:$E$3824, $A$2826:$A$3824="2023-11"))</f>
        <v>6.4439217380326741E-3</v>
      </c>
      <c r="C3448" s="3" cm="1">
        <f t="array" ref="C3448">AVERAGE(_xlfn._xlws.FILTER($E$2826:$E$3824, $A$2826:$A$3824="2023-11"))</f>
        <v>1.2108221357074742E-3</v>
      </c>
      <c r="D3448" s="3" cm="1">
        <f t="array" ref="D3448">_xlfn.PERCENTILE.EXC(_xlfn._xlws.FILTER($E$2490:$E$3818, $A$2490:$A$3818="2023-11"), 0.05)</f>
        <v>-1.3906801343166721E-2</v>
      </c>
      <c r="E3448">
        <v>3.8940625384379286E-3</v>
      </c>
      <c r="F3448">
        <f t="shared" si="112"/>
        <v>-1.0794924899585712E-2</v>
      </c>
      <c r="G3448">
        <f t="shared" si="113"/>
        <v>-2.2511400833692866E-2</v>
      </c>
    </row>
    <row r="3449" spans="1:7" x14ac:dyDescent="0.35">
      <c r="A3449" t="s">
        <v>181</v>
      </c>
      <c r="E3449">
        <v>1.2362882779944429E-2</v>
      </c>
      <c r="F3449">
        <f t="shared" si="112"/>
        <v>-1.0814990833809764E-2</v>
      </c>
      <c r="G3449">
        <f t="shared" si="113"/>
        <v>-2.2511400833692866E-2</v>
      </c>
    </row>
    <row r="3450" spans="1:7" x14ac:dyDescent="0.35">
      <c r="A3450" t="s">
        <v>181</v>
      </c>
      <c r="E3450">
        <v>8.0863641639277806E-4</v>
      </c>
      <c r="F3450">
        <f t="shared" si="112"/>
        <v>-1.0835056768033816E-2</v>
      </c>
      <c r="G3450">
        <f t="shared" si="113"/>
        <v>-2.2511400833692866E-2</v>
      </c>
    </row>
    <row r="3451" spans="1:7" x14ac:dyDescent="0.35">
      <c r="A3451" t="s">
        <v>181</v>
      </c>
      <c r="E3451">
        <v>-9.531081621350397E-4</v>
      </c>
      <c r="F3451">
        <f t="shared" si="112"/>
        <v>-1.085512270225787E-2</v>
      </c>
      <c r="G3451">
        <f t="shared" si="113"/>
        <v>-2.2511400833692866E-2</v>
      </c>
    </row>
    <row r="3452" spans="1:7" x14ac:dyDescent="0.35">
      <c r="A3452" t="s">
        <v>181</v>
      </c>
      <c r="E3452">
        <v>-3.5653811384275167E-3</v>
      </c>
      <c r="F3452">
        <f t="shared" si="112"/>
        <v>-1.087518863648192E-2</v>
      </c>
      <c r="G3452">
        <f t="shared" si="113"/>
        <v>-2.2511400833692866E-2</v>
      </c>
    </row>
    <row r="3453" spans="1:7" x14ac:dyDescent="0.35">
      <c r="A3453" t="s">
        <v>181</v>
      </c>
      <c r="E3453">
        <v>-2.3942634659154787E-3</v>
      </c>
      <c r="F3453">
        <f t="shared" si="112"/>
        <v>-1.0895254570705972E-2</v>
      </c>
      <c r="G3453">
        <f t="shared" si="113"/>
        <v>-2.2511400833692866E-2</v>
      </c>
    </row>
    <row r="3454" spans="1:7" x14ac:dyDescent="0.35">
      <c r="A3454" t="s">
        <v>181</v>
      </c>
      <c r="E3454">
        <v>5.5067013394567536E-3</v>
      </c>
      <c r="F3454">
        <f t="shared" si="112"/>
        <v>-1.0915320504930026E-2</v>
      </c>
      <c r="G3454">
        <f t="shared" si="113"/>
        <v>-2.2511400833692866E-2</v>
      </c>
    </row>
    <row r="3455" spans="1:7" x14ac:dyDescent="0.35">
      <c r="A3455" t="s">
        <v>181</v>
      </c>
      <c r="E3455">
        <v>-1.449273908472897E-2</v>
      </c>
      <c r="F3455">
        <f t="shared" si="112"/>
        <v>-1.0935386439154078E-2</v>
      </c>
      <c r="G3455">
        <f t="shared" si="113"/>
        <v>-2.2511400833692866E-2</v>
      </c>
    </row>
    <row r="3456" spans="1:7" x14ac:dyDescent="0.35">
      <c r="A3456" t="s">
        <v>181</v>
      </c>
      <c r="E3456">
        <v>1.1404983305966935E-2</v>
      </c>
      <c r="F3456">
        <f t="shared" si="112"/>
        <v>-1.0624815435497433E-2</v>
      </c>
      <c r="G3456">
        <f t="shared" si="113"/>
        <v>-2.2297048519307548E-2</v>
      </c>
    </row>
    <row r="3457" spans="1:7" x14ac:dyDescent="0.35">
      <c r="A3457" t="s">
        <v>181</v>
      </c>
      <c r="E3457">
        <v>3.7309851306048781E-3</v>
      </c>
      <c r="F3457">
        <f t="shared" si="112"/>
        <v>-1.0627210933071399E-2</v>
      </c>
      <c r="G3457">
        <f t="shared" si="113"/>
        <v>-2.2297048519307548E-2</v>
      </c>
    </row>
    <row r="3458" spans="1:7" x14ac:dyDescent="0.35">
      <c r="A3458" t="s">
        <v>181</v>
      </c>
      <c r="E3458">
        <v>2.3522259087001146E-3</v>
      </c>
      <c r="F3458">
        <f t="shared" si="112"/>
        <v>-1.0629606430645365E-2</v>
      </c>
      <c r="G3458">
        <f t="shared" si="113"/>
        <v>-2.2297048519307548E-2</v>
      </c>
    </row>
    <row r="3459" spans="1:7" x14ac:dyDescent="0.35">
      <c r="A3459" t="s">
        <v>181</v>
      </c>
      <c r="E3459">
        <v>-1.0586487474313979E-2</v>
      </c>
      <c r="F3459">
        <f t="shared" si="112"/>
        <v>-1.0632001928219332E-2</v>
      </c>
      <c r="G3459">
        <f t="shared" si="113"/>
        <v>-2.2297048519307548E-2</v>
      </c>
    </row>
    <row r="3460" spans="1:7" x14ac:dyDescent="0.35">
      <c r="A3460" t="s">
        <v>181</v>
      </c>
      <c r="E3460">
        <v>1.0634488579821478E-2</v>
      </c>
      <c r="F3460">
        <f t="shared" ref="F3460:F3523" si="114">_xlfn.PERCENTILE.EXC(E3460:E7275,0.05)</f>
        <v>-1.0634397425793297E-2</v>
      </c>
      <c r="G3460">
        <f t="shared" ref="G3460:G3523" si="115">AVERAGEIFS(E3460:E7276,E3460:E7276,"&lt;=" &amp; F3460)</f>
        <v>-2.2297048519307548E-2</v>
      </c>
    </row>
    <row r="3461" spans="1:7" x14ac:dyDescent="0.35">
      <c r="A3461" t="s">
        <v>181</v>
      </c>
      <c r="E3461">
        <v>-2.3683629356147359E-4</v>
      </c>
      <c r="F3461">
        <f t="shared" si="114"/>
        <v>-1.0654463360017349E-2</v>
      </c>
      <c r="G3461">
        <f t="shared" si="115"/>
        <v>-2.2983086818926034E-2</v>
      </c>
    </row>
    <row r="3462" spans="1:7" x14ac:dyDescent="0.35">
      <c r="A3462" t="s">
        <v>181</v>
      </c>
      <c r="E3462">
        <v>3.3096060314069878E-3</v>
      </c>
      <c r="F3462">
        <f t="shared" si="114"/>
        <v>-1.0674529294241401E-2</v>
      </c>
      <c r="G3462">
        <f t="shared" si="115"/>
        <v>-2.2983086818926034E-2</v>
      </c>
    </row>
    <row r="3463" spans="1:7" x14ac:dyDescent="0.35">
      <c r="A3463" t="s">
        <v>181</v>
      </c>
      <c r="E3463">
        <v>-3.2505443007166982E-3</v>
      </c>
      <c r="F3463">
        <f t="shared" si="114"/>
        <v>-1.0694595228465453E-2</v>
      </c>
      <c r="G3463">
        <f t="shared" si="115"/>
        <v>-2.2983086818926034E-2</v>
      </c>
    </row>
    <row r="3464" spans="1:7" x14ac:dyDescent="0.35">
      <c r="A3464" t="s">
        <v>181</v>
      </c>
      <c r="E3464">
        <v>3.6412571511086323E-3</v>
      </c>
      <c r="F3464">
        <f t="shared" si="114"/>
        <v>-1.0714661162689505E-2</v>
      </c>
      <c r="G3464">
        <f t="shared" si="115"/>
        <v>-2.2983086818926034E-2</v>
      </c>
    </row>
    <row r="3465" spans="1:7" x14ac:dyDescent="0.35">
      <c r="A3465" t="s">
        <v>181</v>
      </c>
      <c r="E3465">
        <v>3.4592162177241753E-3</v>
      </c>
      <c r="F3465">
        <f t="shared" si="114"/>
        <v>-1.0734727096913557E-2</v>
      </c>
      <c r="G3465">
        <f t="shared" si="115"/>
        <v>-2.2983086818926034E-2</v>
      </c>
    </row>
    <row r="3466" spans="1:7" x14ac:dyDescent="0.35">
      <c r="A3466" t="s">
        <v>181</v>
      </c>
      <c r="E3466">
        <v>-3.3565134152803927E-3</v>
      </c>
      <c r="F3466">
        <f t="shared" si="114"/>
        <v>-1.0754793031137608E-2</v>
      </c>
      <c r="G3466">
        <f t="shared" si="115"/>
        <v>-2.2983086818926034E-2</v>
      </c>
    </row>
    <row r="3467" spans="1:7" x14ac:dyDescent="0.35">
      <c r="A3467" t="s">
        <v>181</v>
      </c>
      <c r="E3467">
        <v>1.3899919020124686E-3</v>
      </c>
      <c r="F3467">
        <f t="shared" si="114"/>
        <v>-1.077485896536166E-2</v>
      </c>
      <c r="G3467">
        <f t="shared" si="115"/>
        <v>-2.2983086818926034E-2</v>
      </c>
    </row>
    <row r="3468" spans="1:7" x14ac:dyDescent="0.35">
      <c r="A3468" t="s">
        <v>181</v>
      </c>
      <c r="E3468">
        <v>-2.7975738140288888E-3</v>
      </c>
      <c r="F3468">
        <f t="shared" si="114"/>
        <v>-1.0794924899585712E-2</v>
      </c>
      <c r="G3468">
        <f t="shared" si="115"/>
        <v>-2.2983086818926034E-2</v>
      </c>
    </row>
    <row r="3469" spans="1:7" x14ac:dyDescent="0.35">
      <c r="A3469" t="s">
        <v>181</v>
      </c>
      <c r="E3469">
        <v>5.7764968330953122E-3</v>
      </c>
      <c r="F3469">
        <f t="shared" si="114"/>
        <v>-1.0814990833809764E-2</v>
      </c>
      <c r="G3469">
        <f t="shared" si="115"/>
        <v>-2.2983086818926034E-2</v>
      </c>
    </row>
    <row r="3470" spans="1:7" x14ac:dyDescent="0.35">
      <c r="A3470" t="s">
        <v>182</v>
      </c>
      <c r="B3470" s="3" cm="1">
        <f t="array" ref="B3470">_xlfn.STDEV.S(_xlfn._xlws.FILTER($E$2826:$E$3824, $A$2826:$A$3824="2023-12"))</f>
        <v>6.2578781295505462E-3</v>
      </c>
      <c r="C3470" s="3" cm="1">
        <f t="array" ref="C3470">AVERAGE(_xlfn._xlws.FILTER($E$2826:$E$3824, $A$2826:$A$3824="2023-12"))</f>
        <v>1.6961318076431232E-3</v>
      </c>
      <c r="D3470" s="3" cm="1">
        <f t="array" ref="D3470">_xlfn.PERCENTILE.EXC(_xlfn._xlws.FILTER($E$2490:$E$3818, $A$2490:$A$3818="2023-12"), 0.05)</f>
        <v>-6.989583579772073E-3</v>
      </c>
      <c r="E3470">
        <v>1.6751701471710522E-2</v>
      </c>
      <c r="F3470">
        <f t="shared" si="114"/>
        <v>-1.0835056768033816E-2</v>
      </c>
      <c r="G3470">
        <f t="shared" si="115"/>
        <v>-2.2983086818926034E-2</v>
      </c>
    </row>
    <row r="3471" spans="1:7" x14ac:dyDescent="0.35">
      <c r="A3471" t="s">
        <v>182</v>
      </c>
      <c r="E3471">
        <v>-2.7866787216914934E-3</v>
      </c>
      <c r="F3471">
        <f t="shared" si="114"/>
        <v>-1.085512270225787E-2</v>
      </c>
      <c r="G3471">
        <f t="shared" si="115"/>
        <v>-2.2983086818926034E-2</v>
      </c>
    </row>
    <row r="3472" spans="1:7" x14ac:dyDescent="0.35">
      <c r="A3472" t="s">
        <v>182</v>
      </c>
      <c r="E3472">
        <v>-2.0779778777565328E-3</v>
      </c>
      <c r="F3472">
        <f t="shared" si="114"/>
        <v>-1.087518863648192E-2</v>
      </c>
      <c r="G3472">
        <f t="shared" si="115"/>
        <v>-2.2983086818926034E-2</v>
      </c>
    </row>
    <row r="3473" spans="1:7" x14ac:dyDescent="0.35">
      <c r="A3473" t="s">
        <v>182</v>
      </c>
      <c r="E3473">
        <v>3.2190226510570743E-3</v>
      </c>
      <c r="F3473">
        <f t="shared" si="114"/>
        <v>-1.0895254570705972E-2</v>
      </c>
      <c r="G3473">
        <f t="shared" si="115"/>
        <v>-2.2983086818926034E-2</v>
      </c>
    </row>
    <row r="3474" spans="1:7" x14ac:dyDescent="0.35">
      <c r="A3474" t="s">
        <v>182</v>
      </c>
      <c r="E3474">
        <v>-1.4372765914109991E-3</v>
      </c>
      <c r="F3474">
        <f t="shared" si="114"/>
        <v>-1.0915320504930026E-2</v>
      </c>
      <c r="G3474">
        <f t="shared" si="115"/>
        <v>-2.2983086818926034E-2</v>
      </c>
    </row>
    <row r="3475" spans="1:7" x14ac:dyDescent="0.35">
      <c r="A3475" t="s">
        <v>182</v>
      </c>
      <c r="E3475">
        <v>6.2536193526775696E-3</v>
      </c>
      <c r="F3475">
        <f t="shared" si="114"/>
        <v>-1.0935386439154078E-2</v>
      </c>
      <c r="G3475">
        <f t="shared" si="115"/>
        <v>-2.2983086818926034E-2</v>
      </c>
    </row>
    <row r="3476" spans="1:7" x14ac:dyDescent="0.35">
      <c r="A3476" t="s">
        <v>182</v>
      </c>
      <c r="E3476">
        <v>-5.5126164104617322E-4</v>
      </c>
      <c r="F3476">
        <f t="shared" si="114"/>
        <v>-1.095545237337813E-2</v>
      </c>
      <c r="G3476">
        <f t="shared" si="115"/>
        <v>-2.2983086818926034E-2</v>
      </c>
    </row>
    <row r="3477" spans="1:7" x14ac:dyDescent="0.35">
      <c r="A3477" t="s">
        <v>182</v>
      </c>
      <c r="E3477">
        <v>-4.0490676058215136E-3</v>
      </c>
      <c r="F3477">
        <f t="shared" si="114"/>
        <v>-1.097551830760218E-2</v>
      </c>
      <c r="G3477">
        <f t="shared" si="115"/>
        <v>-2.2983086818926034E-2</v>
      </c>
    </row>
    <row r="3478" spans="1:7" x14ac:dyDescent="0.35">
      <c r="A3478" t="s">
        <v>182</v>
      </c>
      <c r="E3478">
        <v>-1.831457841266032E-3</v>
      </c>
      <c r="F3478">
        <f t="shared" si="114"/>
        <v>-1.0995584241826234E-2</v>
      </c>
      <c r="G3478">
        <f t="shared" si="115"/>
        <v>-2.2983086818926034E-2</v>
      </c>
    </row>
    <row r="3479" spans="1:7" x14ac:dyDescent="0.35">
      <c r="A3479" t="s">
        <v>182</v>
      </c>
      <c r="E3479">
        <v>1.4771175164029645E-2</v>
      </c>
      <c r="F3479">
        <f t="shared" si="114"/>
        <v>-1.1015650176050286E-2</v>
      </c>
      <c r="G3479">
        <f t="shared" si="115"/>
        <v>-2.2983086818926034E-2</v>
      </c>
    </row>
    <row r="3480" spans="1:7" x14ac:dyDescent="0.35">
      <c r="A3480" t="s">
        <v>182</v>
      </c>
      <c r="E3480">
        <v>-6.989583579772073E-3</v>
      </c>
      <c r="F3480">
        <f t="shared" si="114"/>
        <v>-1.1035716110274338E-2</v>
      </c>
      <c r="G3480">
        <f t="shared" si="115"/>
        <v>-2.2983086818926034E-2</v>
      </c>
    </row>
    <row r="3481" spans="1:7" x14ac:dyDescent="0.35">
      <c r="A3481" t="s">
        <v>182</v>
      </c>
      <c r="E3481">
        <v>-8.0966041176860752E-4</v>
      </c>
      <c r="F3481">
        <f t="shared" si="114"/>
        <v>-1.1110664820316602E-2</v>
      </c>
      <c r="G3481">
        <f t="shared" si="115"/>
        <v>-2.3729797488216766E-2</v>
      </c>
    </row>
    <row r="3482" spans="1:7" x14ac:dyDescent="0.35">
      <c r="A3482" t="s">
        <v>182</v>
      </c>
      <c r="E3482">
        <v>5.3346504167575762E-3</v>
      </c>
      <c r="F3482">
        <f t="shared" si="114"/>
        <v>-1.1185613530358861E-2</v>
      </c>
      <c r="G3482">
        <f t="shared" si="115"/>
        <v>-2.3729797488216766E-2</v>
      </c>
    </row>
    <row r="3483" spans="1:7" x14ac:dyDescent="0.35">
      <c r="A3483" t="s">
        <v>182</v>
      </c>
      <c r="E3483">
        <v>6.4694466564938023E-3</v>
      </c>
      <c r="F3483">
        <f t="shared" si="114"/>
        <v>-1.1260562240401124E-2</v>
      </c>
      <c r="G3483">
        <f t="shared" si="115"/>
        <v>-2.3729797488216766E-2</v>
      </c>
    </row>
    <row r="3484" spans="1:7" x14ac:dyDescent="0.35">
      <c r="A3484" t="s">
        <v>182</v>
      </c>
      <c r="E3484">
        <v>-5.7445668442387687E-3</v>
      </c>
      <c r="F3484">
        <f t="shared" si="114"/>
        <v>-1.1335510950443389E-2</v>
      </c>
      <c r="G3484">
        <f t="shared" si="115"/>
        <v>-2.3729797488216766E-2</v>
      </c>
    </row>
    <row r="3485" spans="1:7" x14ac:dyDescent="0.35">
      <c r="A3485" t="s">
        <v>182</v>
      </c>
      <c r="E3485">
        <v>1.1812754244461634E-3</v>
      </c>
      <c r="F3485">
        <f t="shared" si="114"/>
        <v>-1.1410459660485654E-2</v>
      </c>
      <c r="G3485">
        <f t="shared" si="115"/>
        <v>-2.3729797488216766E-2</v>
      </c>
    </row>
    <row r="3486" spans="1:7" x14ac:dyDescent="0.35">
      <c r="A3486" t="s">
        <v>182</v>
      </c>
      <c r="E3486">
        <v>1.8649665542889839E-3</v>
      </c>
      <c r="F3486">
        <f t="shared" si="114"/>
        <v>-1.1485408370527918E-2</v>
      </c>
      <c r="G3486">
        <f t="shared" si="115"/>
        <v>-2.3729797488216766E-2</v>
      </c>
    </row>
    <row r="3487" spans="1:7" x14ac:dyDescent="0.35">
      <c r="A3487" t="s">
        <v>182</v>
      </c>
      <c r="E3487">
        <v>-1.486148870311196E-3</v>
      </c>
      <c r="F3487">
        <f t="shared" si="114"/>
        <v>-1.1560357080570178E-2</v>
      </c>
      <c r="G3487">
        <f t="shared" si="115"/>
        <v>-2.3729797488216766E-2</v>
      </c>
    </row>
    <row r="3488" spans="1:7" x14ac:dyDescent="0.35">
      <c r="A3488" t="s">
        <v>182</v>
      </c>
      <c r="E3488">
        <v>4.144326638841395E-3</v>
      </c>
      <c r="F3488">
        <f t="shared" si="114"/>
        <v>-1.163530579061244E-2</v>
      </c>
      <c r="G3488">
        <f t="shared" si="115"/>
        <v>-2.3729797488216766E-2</v>
      </c>
    </row>
    <row r="3489" spans="1:7" x14ac:dyDescent="0.35">
      <c r="A3489" t="s">
        <v>183</v>
      </c>
      <c r="B3489" s="3" cm="1">
        <f t="array" ref="B3489">_xlfn.STDEV.S(_xlfn._xlws.FILTER($E$2826:$E$3824, $A$2826:$A$3824="2024-01"))</f>
        <v>5.5659171496324203E-3</v>
      </c>
      <c r="C3489" s="3" cm="1">
        <f t="array" ref="C3489">AVERAGE(_xlfn._xlws.FILTER($E$2826:$E$3824, $A$2826:$A$3824="2024-01"))</f>
        <v>1.1973155332557322E-4</v>
      </c>
      <c r="D3489" s="3" cm="1">
        <f t="array" ref="D3489">_xlfn.PERCENTILE.EXC(_xlfn._xlws.FILTER($E$2490:$E$3818, $A$2490:$A$3818="2024-01"), 0.05)</f>
        <v>-1.0795440641298067E-2</v>
      </c>
      <c r="E3489">
        <v>-1.4887884330705657E-3</v>
      </c>
      <c r="F3489">
        <f t="shared" si="114"/>
        <v>-1.1710254500654705E-2</v>
      </c>
      <c r="G3489">
        <f t="shared" si="115"/>
        <v>-2.3729797488216766E-2</v>
      </c>
    </row>
    <row r="3490" spans="1:7" x14ac:dyDescent="0.35">
      <c r="A3490" t="s">
        <v>183</v>
      </c>
      <c r="E3490">
        <v>-1.1291580218450082E-4</v>
      </c>
      <c r="F3490">
        <f t="shared" si="114"/>
        <v>-1.178520321069697E-2</v>
      </c>
      <c r="G3490">
        <f t="shared" si="115"/>
        <v>-2.3729797488216766E-2</v>
      </c>
    </row>
    <row r="3491" spans="1:7" x14ac:dyDescent="0.35">
      <c r="A3491" t="s">
        <v>183</v>
      </c>
      <c r="E3491">
        <v>4.3550293313420743E-3</v>
      </c>
      <c r="F3491">
        <f t="shared" si="114"/>
        <v>-1.1860151920739234E-2</v>
      </c>
      <c r="G3491">
        <f t="shared" si="115"/>
        <v>-2.3729797488216766E-2</v>
      </c>
    </row>
    <row r="3492" spans="1:7" x14ac:dyDescent="0.35">
      <c r="A3492" t="s">
        <v>183</v>
      </c>
      <c r="E3492">
        <v>-7.4906304994405855E-4</v>
      </c>
      <c r="F3492">
        <f t="shared" si="114"/>
        <v>-1.1935100630781494E-2</v>
      </c>
      <c r="G3492">
        <f t="shared" si="115"/>
        <v>-2.3729797488216766E-2</v>
      </c>
    </row>
    <row r="3493" spans="1:7" x14ac:dyDescent="0.35">
      <c r="A3493" t="s">
        <v>183</v>
      </c>
      <c r="E3493">
        <v>1.2945200009779343E-3</v>
      </c>
      <c r="F3493">
        <f t="shared" si="114"/>
        <v>-1.2010049340823756E-2</v>
      </c>
      <c r="G3493">
        <f t="shared" si="115"/>
        <v>-2.3729797488216766E-2</v>
      </c>
    </row>
    <row r="3494" spans="1:7" x14ac:dyDescent="0.35">
      <c r="A3494" t="s">
        <v>183</v>
      </c>
      <c r="E3494">
        <v>-1.9548691972740687E-3</v>
      </c>
      <c r="F3494">
        <f t="shared" si="114"/>
        <v>-1.2084998050866021E-2</v>
      </c>
      <c r="G3494">
        <f t="shared" si="115"/>
        <v>-2.3729797488216766E-2</v>
      </c>
    </row>
    <row r="3495" spans="1:7" x14ac:dyDescent="0.35">
      <c r="A3495" t="s">
        <v>183</v>
      </c>
      <c r="E3495">
        <v>-5.4050945048426139E-3</v>
      </c>
      <c r="F3495">
        <f t="shared" si="114"/>
        <v>-1.2159946760908286E-2</v>
      </c>
      <c r="G3495">
        <f t="shared" si="115"/>
        <v>-2.3729797488216766E-2</v>
      </c>
    </row>
    <row r="3496" spans="1:7" x14ac:dyDescent="0.35">
      <c r="A3496" t="s">
        <v>183</v>
      </c>
      <c r="E3496">
        <v>-9.4338796504325351E-3</v>
      </c>
      <c r="F3496">
        <f t="shared" si="114"/>
        <v>-1.223489547095055E-2</v>
      </c>
      <c r="G3496">
        <f t="shared" si="115"/>
        <v>-2.3729797488216766E-2</v>
      </c>
    </row>
    <row r="3497" spans="1:7" x14ac:dyDescent="0.35">
      <c r="A3497" t="s">
        <v>183</v>
      </c>
      <c r="E3497">
        <v>7.9437106368569523E-3</v>
      </c>
      <c r="F3497">
        <f t="shared" si="114"/>
        <v>-1.230984418099281E-2</v>
      </c>
      <c r="G3497">
        <f t="shared" si="115"/>
        <v>-2.3729797488216766E-2</v>
      </c>
    </row>
    <row r="3498" spans="1:7" x14ac:dyDescent="0.35">
      <c r="A3498" t="s">
        <v>183</v>
      </c>
      <c r="E3498">
        <v>-4.6259857689331116E-3</v>
      </c>
      <c r="F3498">
        <f t="shared" si="114"/>
        <v>-1.2384792891035072E-2</v>
      </c>
      <c r="G3498">
        <f t="shared" si="115"/>
        <v>-2.3729797488216766E-2</v>
      </c>
    </row>
    <row r="3499" spans="1:7" x14ac:dyDescent="0.35">
      <c r="A3499" t="s">
        <v>183</v>
      </c>
      <c r="E3499">
        <v>-5.2363044366516365E-3</v>
      </c>
      <c r="F3499">
        <f t="shared" si="114"/>
        <v>-1.2459741601077337E-2</v>
      </c>
      <c r="G3499">
        <f t="shared" si="115"/>
        <v>-2.3729797488216766E-2</v>
      </c>
    </row>
    <row r="3500" spans="1:7" x14ac:dyDescent="0.35">
      <c r="A3500" t="s">
        <v>183</v>
      </c>
      <c r="E3500">
        <v>-1.1035716110274338E-2</v>
      </c>
      <c r="F3500">
        <f t="shared" si="114"/>
        <v>-1.2534690311119602E-2</v>
      </c>
      <c r="G3500">
        <f t="shared" si="115"/>
        <v>-2.3729797488216766E-2</v>
      </c>
    </row>
    <row r="3501" spans="1:7" x14ac:dyDescent="0.35">
      <c r="A3501" t="s">
        <v>183</v>
      </c>
      <c r="E3501">
        <v>2.5195889013881474E-3</v>
      </c>
      <c r="F3501">
        <f t="shared" si="114"/>
        <v>-1.25643253603109E-2</v>
      </c>
      <c r="G3501">
        <f t="shared" si="115"/>
        <v>-2.4476137966689911E-2</v>
      </c>
    </row>
    <row r="3502" spans="1:7" x14ac:dyDescent="0.35">
      <c r="A3502" t="s">
        <v>183</v>
      </c>
      <c r="E3502">
        <v>-1.8260963558475289E-3</v>
      </c>
      <c r="F3502">
        <f t="shared" si="114"/>
        <v>-1.2593960409502201E-2</v>
      </c>
      <c r="G3502">
        <f t="shared" si="115"/>
        <v>-2.4476137966689911E-2</v>
      </c>
    </row>
    <row r="3503" spans="1:7" x14ac:dyDescent="0.35">
      <c r="A3503" t="s">
        <v>183</v>
      </c>
      <c r="E3503">
        <v>5.4956099055169872E-3</v>
      </c>
      <c r="F3503">
        <f t="shared" si="114"/>
        <v>-1.2623595458693499E-2</v>
      </c>
      <c r="G3503">
        <f t="shared" si="115"/>
        <v>-2.4476137966689911E-2</v>
      </c>
    </row>
    <row r="3504" spans="1:7" x14ac:dyDescent="0.35">
      <c r="A3504" t="s">
        <v>183</v>
      </c>
      <c r="E3504">
        <v>6.618195736791463E-4</v>
      </c>
      <c r="F3504">
        <f t="shared" si="114"/>
        <v>-1.2653230507884798E-2</v>
      </c>
      <c r="G3504">
        <f t="shared" si="115"/>
        <v>-2.4476137966689911E-2</v>
      </c>
    </row>
    <row r="3505" spans="1:7" x14ac:dyDescent="0.35">
      <c r="A3505" t="s">
        <v>183</v>
      </c>
      <c r="E3505">
        <v>5.9553110766476947E-3</v>
      </c>
      <c r="F3505">
        <f t="shared" si="114"/>
        <v>-1.2682865557076099E-2</v>
      </c>
      <c r="G3505">
        <f t="shared" si="115"/>
        <v>-2.4476137966689911E-2</v>
      </c>
    </row>
    <row r="3506" spans="1:7" x14ac:dyDescent="0.35">
      <c r="A3506" t="s">
        <v>183</v>
      </c>
      <c r="E3506">
        <v>1.8764267612601615E-3</v>
      </c>
      <c r="F3506">
        <f t="shared" si="114"/>
        <v>-1.2712500606267397E-2</v>
      </c>
      <c r="G3506">
        <f t="shared" si="115"/>
        <v>-2.4476137966689911E-2</v>
      </c>
    </row>
    <row r="3507" spans="1:7" x14ac:dyDescent="0.35">
      <c r="A3507" t="s">
        <v>183</v>
      </c>
      <c r="E3507">
        <v>1.3310258415899744E-2</v>
      </c>
      <c r="F3507">
        <f t="shared" si="114"/>
        <v>-1.2742135655458698E-2</v>
      </c>
      <c r="G3507">
        <f t="shared" si="115"/>
        <v>-2.4476137966689911E-2</v>
      </c>
    </row>
    <row r="3508" spans="1:7" x14ac:dyDescent="0.35">
      <c r="A3508" t="s">
        <v>183</v>
      </c>
      <c r="E3508">
        <v>2.1275279997894306E-3</v>
      </c>
      <c r="F3508">
        <f t="shared" si="114"/>
        <v>-1.2771770704649996E-2</v>
      </c>
      <c r="G3508">
        <f t="shared" si="115"/>
        <v>-2.4476137966689911E-2</v>
      </c>
    </row>
    <row r="3509" spans="1:7" x14ac:dyDescent="0.35">
      <c r="A3509" t="s">
        <v>183</v>
      </c>
      <c r="E3509">
        <v>1.7366986354111374E-3</v>
      </c>
      <c r="F3509">
        <f t="shared" si="114"/>
        <v>-1.2801405753841295E-2</v>
      </c>
      <c r="G3509">
        <f t="shared" si="115"/>
        <v>-2.4476137966689911E-2</v>
      </c>
    </row>
    <row r="3510" spans="1:7" x14ac:dyDescent="0.35">
      <c r="A3510" t="s">
        <v>183</v>
      </c>
      <c r="E3510">
        <v>-2.7736937561518415E-3</v>
      </c>
      <c r="F3510">
        <f t="shared" si="114"/>
        <v>-1.2831040803032595E-2</v>
      </c>
      <c r="G3510">
        <f t="shared" si="115"/>
        <v>-2.4476137966689911E-2</v>
      </c>
    </row>
    <row r="3511" spans="1:7" x14ac:dyDescent="0.35">
      <c r="A3511" t="s">
        <v>184</v>
      </c>
      <c r="B3511" s="3" cm="1">
        <f t="array" ref="B3511">_xlfn.STDEV.S(_xlfn._xlws.FILTER($E$2826:$E$3824, $A$2826:$A$3824="2024-02"))</f>
        <v>6.0427406621305618E-3</v>
      </c>
      <c r="C3511" s="3" cm="1">
        <f t="array" ref="C3511">AVERAGE(_xlfn._xlws.FILTER($E$2826:$E$3824, $A$2826:$A$3824="2024-02"))</f>
        <v>-1.5938485807267383E-4</v>
      </c>
      <c r="D3511" s="3" cm="1">
        <f t="array" ref="D3511">_xlfn.PERCENTILE.EXC(_xlfn._xlws.FILTER($E$2490:$E$3818, $A$2490:$A$3818="2024-02"), 0.05)</f>
        <v>-8.5001406519853336E-3</v>
      </c>
      <c r="E3511">
        <v>-1.7274944639518034E-3</v>
      </c>
      <c r="F3511">
        <f t="shared" si="114"/>
        <v>-1.2860675852223894E-2</v>
      </c>
      <c r="G3511">
        <f t="shared" si="115"/>
        <v>-2.4476137966689911E-2</v>
      </c>
    </row>
    <row r="3512" spans="1:7" x14ac:dyDescent="0.35">
      <c r="A3512" t="s">
        <v>184</v>
      </c>
      <c r="E3512">
        <v>-1.957329423917614E-3</v>
      </c>
      <c r="F3512">
        <f t="shared" si="114"/>
        <v>-1.2890310901415195E-2</v>
      </c>
      <c r="G3512">
        <f t="shared" si="115"/>
        <v>-2.4476137966689911E-2</v>
      </c>
    </row>
    <row r="3513" spans="1:7" x14ac:dyDescent="0.35">
      <c r="A3513" t="s">
        <v>184</v>
      </c>
      <c r="E3513">
        <v>-2.7695035802748295E-3</v>
      </c>
      <c r="F3513">
        <f t="shared" si="114"/>
        <v>-1.2919945950606493E-2</v>
      </c>
      <c r="G3513">
        <f t="shared" si="115"/>
        <v>-2.4476137966689911E-2</v>
      </c>
    </row>
    <row r="3514" spans="1:7" x14ac:dyDescent="0.35">
      <c r="A3514" t="s">
        <v>184</v>
      </c>
      <c r="E3514">
        <v>1.249073180495028E-2</v>
      </c>
      <c r="F3514">
        <f t="shared" si="114"/>
        <v>-1.2949580999797792E-2</v>
      </c>
      <c r="G3514">
        <f t="shared" si="115"/>
        <v>-2.4476137966689911E-2</v>
      </c>
    </row>
    <row r="3515" spans="1:7" x14ac:dyDescent="0.35">
      <c r="A3515" t="s">
        <v>184</v>
      </c>
      <c r="E3515">
        <v>-5.9077641111961541E-3</v>
      </c>
      <c r="F3515">
        <f t="shared" si="114"/>
        <v>-1.2979216048989092E-2</v>
      </c>
      <c r="G3515">
        <f t="shared" si="115"/>
        <v>-2.4476137966689911E-2</v>
      </c>
    </row>
    <row r="3516" spans="1:7" x14ac:dyDescent="0.35">
      <c r="A3516" t="s">
        <v>184</v>
      </c>
      <c r="E3516">
        <v>-5.5889802400886594E-3</v>
      </c>
      <c r="F3516">
        <f t="shared" si="114"/>
        <v>-1.3008851098180391E-2</v>
      </c>
      <c r="G3516">
        <f t="shared" si="115"/>
        <v>-2.4476137966689911E-2</v>
      </c>
    </row>
    <row r="3517" spans="1:7" x14ac:dyDescent="0.35">
      <c r="A3517" t="s">
        <v>184</v>
      </c>
      <c r="E3517">
        <v>-3.1956722225650186E-3</v>
      </c>
      <c r="F3517">
        <f t="shared" si="114"/>
        <v>-1.3038486147371691E-2</v>
      </c>
      <c r="G3517">
        <f t="shared" si="115"/>
        <v>-2.4476137966689911E-2</v>
      </c>
    </row>
    <row r="3518" spans="1:7" x14ac:dyDescent="0.35">
      <c r="A3518" t="s">
        <v>184</v>
      </c>
      <c r="E3518">
        <v>1.3089422166788107E-3</v>
      </c>
      <c r="F3518">
        <f t="shared" si="114"/>
        <v>-1.306812119656299E-2</v>
      </c>
      <c r="G3518">
        <f t="shared" si="115"/>
        <v>-2.4476137966689911E-2</v>
      </c>
    </row>
    <row r="3519" spans="1:7" x14ac:dyDescent="0.35">
      <c r="A3519" t="s">
        <v>184</v>
      </c>
      <c r="E3519">
        <v>-5.077510008766121E-3</v>
      </c>
      <c r="F3519">
        <f t="shared" si="114"/>
        <v>-1.3097756245754289E-2</v>
      </c>
      <c r="G3519">
        <f t="shared" si="115"/>
        <v>-2.4476137966689911E-2</v>
      </c>
    </row>
    <row r="3520" spans="1:7" x14ac:dyDescent="0.35">
      <c r="A3520" t="s">
        <v>184</v>
      </c>
      <c r="E3520">
        <v>3.0893171889388544E-3</v>
      </c>
      <c r="F3520">
        <f t="shared" si="114"/>
        <v>-1.3127391294945589E-2</v>
      </c>
      <c r="G3520">
        <f t="shared" si="115"/>
        <v>-2.4476137966689911E-2</v>
      </c>
    </row>
    <row r="3521" spans="1:7" x14ac:dyDescent="0.35">
      <c r="A3521" t="s">
        <v>184</v>
      </c>
      <c r="E3521">
        <v>2.7858015862031707E-3</v>
      </c>
      <c r="F3521">
        <f t="shared" si="114"/>
        <v>-1.3194915012938553E-2</v>
      </c>
      <c r="G3521">
        <f t="shared" si="115"/>
        <v>-2.5286762728957364E-2</v>
      </c>
    </row>
    <row r="3522" spans="1:7" x14ac:dyDescent="0.35">
      <c r="A3522" t="s">
        <v>184</v>
      </c>
      <c r="E3522">
        <v>1.5098147439026505E-2</v>
      </c>
      <c r="F3522">
        <f t="shared" si="114"/>
        <v>-1.326243873093152E-2</v>
      </c>
      <c r="G3522">
        <f t="shared" si="115"/>
        <v>-2.5286762728957364E-2</v>
      </c>
    </row>
    <row r="3523" spans="1:7" x14ac:dyDescent="0.35">
      <c r="A3523" t="s">
        <v>184</v>
      </c>
      <c r="E3523">
        <v>1.0111619614885643E-3</v>
      </c>
      <c r="F3523">
        <f t="shared" si="114"/>
        <v>-1.3329962448924485E-2</v>
      </c>
      <c r="G3523">
        <f t="shared" si="115"/>
        <v>-2.5286762728957364E-2</v>
      </c>
    </row>
    <row r="3524" spans="1:7" x14ac:dyDescent="0.35">
      <c r="A3524" t="s">
        <v>184</v>
      </c>
      <c r="E3524">
        <v>-1.0494884684335399E-3</v>
      </c>
      <c r="F3524">
        <f t="shared" ref="F3524:F3587" si="116">_xlfn.PERCENTILE.EXC(E3524:E7339,0.05)</f>
        <v>-1.339748616691745E-2</v>
      </c>
      <c r="G3524">
        <f t="shared" ref="G3524:G3587" si="117">AVERAGEIFS(E3524:E7340,E3524:E7340,"&lt;=" &amp; F3524)</f>
        <v>-2.5286762728957364E-2</v>
      </c>
    </row>
    <row r="3525" spans="1:7" x14ac:dyDescent="0.35">
      <c r="A3525" t="s">
        <v>184</v>
      </c>
      <c r="E3525">
        <v>-8.5072850969229227E-3</v>
      </c>
      <c r="F3525">
        <f t="shared" si="116"/>
        <v>-1.3465009884910418E-2</v>
      </c>
      <c r="G3525">
        <f t="shared" si="117"/>
        <v>-2.5286762728957364E-2</v>
      </c>
    </row>
    <row r="3526" spans="1:7" x14ac:dyDescent="0.35">
      <c r="A3526" t="s">
        <v>184</v>
      </c>
      <c r="E3526">
        <v>4.9993049632213278E-3</v>
      </c>
      <c r="F3526">
        <f t="shared" si="116"/>
        <v>-1.3532533602903381E-2</v>
      </c>
      <c r="G3526">
        <f t="shared" si="117"/>
        <v>-2.5286762728957364E-2</v>
      </c>
    </row>
    <row r="3527" spans="1:7" x14ac:dyDescent="0.35">
      <c r="A3527" t="s">
        <v>184</v>
      </c>
      <c r="E3527">
        <v>4.0273548410113425E-3</v>
      </c>
      <c r="F3527">
        <f t="shared" si="116"/>
        <v>-1.3600057320896348E-2</v>
      </c>
      <c r="G3527">
        <f t="shared" si="117"/>
        <v>-2.5286762728957364E-2</v>
      </c>
    </row>
    <row r="3528" spans="1:7" x14ac:dyDescent="0.35">
      <c r="A3528" t="s">
        <v>184</v>
      </c>
      <c r="E3528">
        <v>-4.8599314148684031E-3</v>
      </c>
      <c r="F3528">
        <f t="shared" si="116"/>
        <v>-1.3667581038889313E-2</v>
      </c>
      <c r="G3528">
        <f t="shared" si="117"/>
        <v>-2.5286762728957364E-2</v>
      </c>
    </row>
    <row r="3529" spans="1:7" x14ac:dyDescent="0.35">
      <c r="A3529" t="s">
        <v>184</v>
      </c>
      <c r="E3529">
        <v>6.8896857437613897E-5</v>
      </c>
      <c r="F3529">
        <f t="shared" si="116"/>
        <v>-1.3735104756882279E-2</v>
      </c>
      <c r="G3529">
        <f t="shared" si="117"/>
        <v>-2.5286762728957364E-2</v>
      </c>
    </row>
    <row r="3530" spans="1:7" x14ac:dyDescent="0.35">
      <c r="A3530" t="s">
        <v>184</v>
      </c>
      <c r="E3530">
        <v>-8.4358406475470403E-3</v>
      </c>
      <c r="F3530">
        <f t="shared" si="116"/>
        <v>-1.3802628474875246E-2</v>
      </c>
      <c r="G3530">
        <f t="shared" si="117"/>
        <v>-2.5286762728957364E-2</v>
      </c>
    </row>
    <row r="3531" spans="1:7" x14ac:dyDescent="0.35">
      <c r="A3531" t="s">
        <v>184</v>
      </c>
      <c r="E3531">
        <v>8.5005880004948532E-4</v>
      </c>
      <c r="F3531">
        <f t="shared" si="116"/>
        <v>-1.3870152192868209E-2</v>
      </c>
      <c r="G3531">
        <f t="shared" si="117"/>
        <v>-2.5286762728957364E-2</v>
      </c>
    </row>
    <row r="3532" spans="1:7" x14ac:dyDescent="0.35">
      <c r="A3532" t="s">
        <v>185</v>
      </c>
      <c r="B3532" s="3" cm="1">
        <f t="array" ref="B3532">_xlfn.STDEV.S(_xlfn._xlws.FILTER($E$2826:$E$3824, $A$2826:$A$3824="2024-03"))</f>
        <v>4.2728630965522367E-3</v>
      </c>
      <c r="C3532" s="3" cm="1">
        <f t="array" ref="C3532">AVERAGE(_xlfn._xlws.FILTER($E$2826:$E$3824, $A$2826:$A$3824="2024-03"))</f>
        <v>2.116800787372104E-3</v>
      </c>
      <c r="D3532" s="3" cm="1">
        <f t="array" ref="D3532">_xlfn.PERCENTILE.EXC(_xlfn._xlws.FILTER($E$2490:$E$3818, $A$2490:$A$3818="2024-03"), 0.05)</f>
        <v>-4.156929736787494E-3</v>
      </c>
      <c r="E3532">
        <v>6.3492510301347308E-3</v>
      </c>
      <c r="F3532">
        <f t="shared" si="116"/>
        <v>-1.3937675910861176E-2</v>
      </c>
      <c r="G3532">
        <f t="shared" si="117"/>
        <v>-2.5286762728957364E-2</v>
      </c>
    </row>
    <row r="3533" spans="1:7" x14ac:dyDescent="0.35">
      <c r="A3533" t="s">
        <v>185</v>
      </c>
      <c r="E3533">
        <v>-4.1923056520227313E-3</v>
      </c>
      <c r="F3533">
        <f t="shared" si="116"/>
        <v>-1.4005199628854142E-2</v>
      </c>
      <c r="G3533">
        <f t="shared" si="117"/>
        <v>-2.5286762728957364E-2</v>
      </c>
    </row>
    <row r="3534" spans="1:7" x14ac:dyDescent="0.35">
      <c r="A3534" t="s">
        <v>185</v>
      </c>
      <c r="E3534">
        <v>1.7593633124695772E-3</v>
      </c>
      <c r="F3534">
        <f t="shared" si="116"/>
        <v>-1.4072723346847107E-2</v>
      </c>
      <c r="G3534">
        <f t="shared" si="117"/>
        <v>-2.5286762728957364E-2</v>
      </c>
    </row>
    <row r="3535" spans="1:7" x14ac:dyDescent="0.35">
      <c r="A3535" t="s">
        <v>185</v>
      </c>
      <c r="E3535">
        <v>3.0590068440178543E-3</v>
      </c>
      <c r="F3535">
        <f t="shared" si="116"/>
        <v>-1.4140247064840074E-2</v>
      </c>
      <c r="G3535">
        <f t="shared" si="117"/>
        <v>-2.5286762728957364E-2</v>
      </c>
    </row>
    <row r="3536" spans="1:7" x14ac:dyDescent="0.35">
      <c r="A3536" t="s">
        <v>185</v>
      </c>
      <c r="E3536">
        <v>2.2650536902942917E-3</v>
      </c>
      <c r="F3536">
        <f t="shared" si="116"/>
        <v>-1.4207770782833038E-2</v>
      </c>
      <c r="G3536">
        <f t="shared" si="117"/>
        <v>-2.5286762728957364E-2</v>
      </c>
    </row>
    <row r="3537" spans="1:7" x14ac:dyDescent="0.35">
      <c r="A3537" t="s">
        <v>185</v>
      </c>
      <c r="E3537">
        <v>5.7573701197383722E-7</v>
      </c>
      <c r="F3537">
        <f t="shared" si="116"/>
        <v>-1.4275294500826005E-2</v>
      </c>
      <c r="G3537">
        <f t="shared" si="117"/>
        <v>-2.5286762728957364E-2</v>
      </c>
    </row>
    <row r="3538" spans="1:7" x14ac:dyDescent="0.35">
      <c r="A3538" t="s">
        <v>185</v>
      </c>
      <c r="E3538">
        <v>-5.9911580756476343E-4</v>
      </c>
      <c r="F3538">
        <f t="shared" si="116"/>
        <v>-1.434281821881897E-2</v>
      </c>
      <c r="G3538">
        <f t="shared" si="117"/>
        <v>-2.5286762728957364E-2</v>
      </c>
    </row>
    <row r="3539" spans="1:7" x14ac:dyDescent="0.35">
      <c r="A3539" t="s">
        <v>185</v>
      </c>
      <c r="E3539">
        <v>8.789693161418595E-3</v>
      </c>
      <c r="F3539">
        <f t="shared" si="116"/>
        <v>-1.4410341936811935E-2</v>
      </c>
      <c r="G3539">
        <f t="shared" si="117"/>
        <v>-2.5286762728957364E-2</v>
      </c>
    </row>
    <row r="3540" spans="1:7" x14ac:dyDescent="0.35">
      <c r="A3540" t="s">
        <v>185</v>
      </c>
      <c r="E3540">
        <v>1.4625585233669196E-3</v>
      </c>
      <c r="F3540">
        <f t="shared" si="116"/>
        <v>-1.4477865654804902E-2</v>
      </c>
      <c r="G3540">
        <f t="shared" si="117"/>
        <v>-2.5286762728957364E-2</v>
      </c>
    </row>
    <row r="3541" spans="1:7" x14ac:dyDescent="0.35">
      <c r="A3541" t="s">
        <v>185</v>
      </c>
      <c r="E3541">
        <v>-1.713915171671523E-3</v>
      </c>
      <c r="F3541">
        <f t="shared" si="116"/>
        <v>-1.4479991843870044E-2</v>
      </c>
      <c r="G3541">
        <f t="shared" si="117"/>
        <v>-2.6118216350046016E-2</v>
      </c>
    </row>
    <row r="3542" spans="1:7" x14ac:dyDescent="0.35">
      <c r="A3542" t="s">
        <v>185</v>
      </c>
      <c r="E3542">
        <v>-3.4847873473179912E-3</v>
      </c>
      <c r="F3542">
        <f t="shared" si="116"/>
        <v>-1.4482118032935186E-2</v>
      </c>
      <c r="G3542">
        <f t="shared" si="117"/>
        <v>-2.6118216350046016E-2</v>
      </c>
    </row>
    <row r="3543" spans="1:7" x14ac:dyDescent="0.35">
      <c r="A3543" t="s">
        <v>185</v>
      </c>
      <c r="E3543">
        <v>4.3440551469287877E-4</v>
      </c>
      <c r="F3543">
        <f t="shared" si="116"/>
        <v>-1.4484244222000328E-2</v>
      </c>
      <c r="G3543">
        <f t="shared" si="117"/>
        <v>-2.6118216350046016E-2</v>
      </c>
    </row>
    <row r="3544" spans="1:7" x14ac:dyDescent="0.35">
      <c r="A3544" t="s">
        <v>185</v>
      </c>
      <c r="E3544">
        <v>2.8903845740098754E-3</v>
      </c>
      <c r="F3544">
        <f t="shared" si="116"/>
        <v>-1.448637041106547E-2</v>
      </c>
      <c r="G3544">
        <f t="shared" si="117"/>
        <v>-2.6118216350046016E-2</v>
      </c>
    </row>
    <row r="3545" spans="1:7" x14ac:dyDescent="0.35">
      <c r="A3545" t="s">
        <v>185</v>
      </c>
      <c r="E3545">
        <v>-9.0475031000937945E-4</v>
      </c>
      <c r="F3545">
        <f t="shared" si="116"/>
        <v>-1.4488496600130612E-2</v>
      </c>
      <c r="G3545">
        <f t="shared" si="117"/>
        <v>-2.6118216350046016E-2</v>
      </c>
    </row>
    <row r="3546" spans="1:7" x14ac:dyDescent="0.35">
      <c r="A3546" t="s">
        <v>185</v>
      </c>
      <c r="E3546">
        <v>1.4096614900176108E-2</v>
      </c>
      <c r="F3546">
        <f t="shared" si="116"/>
        <v>-1.4490622789195754E-2</v>
      </c>
      <c r="G3546">
        <f t="shared" si="117"/>
        <v>-2.6118216350046016E-2</v>
      </c>
    </row>
    <row r="3547" spans="1:7" x14ac:dyDescent="0.35">
      <c r="A3547" t="s">
        <v>185</v>
      </c>
      <c r="E3547">
        <v>5.8484690178206558E-3</v>
      </c>
      <c r="F3547">
        <f t="shared" si="116"/>
        <v>-1.4492748978260896E-2</v>
      </c>
      <c r="G3547">
        <f t="shared" si="117"/>
        <v>-2.6118216350046016E-2</v>
      </c>
    </row>
    <row r="3548" spans="1:7" x14ac:dyDescent="0.35">
      <c r="A3548" t="s">
        <v>185</v>
      </c>
      <c r="E3548">
        <v>-7.446756310392677E-4</v>
      </c>
      <c r="F3548">
        <f t="shared" si="116"/>
        <v>-1.4494875167326038E-2</v>
      </c>
      <c r="G3548">
        <f t="shared" si="117"/>
        <v>-2.6118216350046016E-2</v>
      </c>
    </row>
    <row r="3549" spans="1:7" x14ac:dyDescent="0.35">
      <c r="A3549" t="s">
        <v>185</v>
      </c>
      <c r="E3549">
        <v>1.2145486089654859E-3</v>
      </c>
      <c r="F3549">
        <f t="shared" si="116"/>
        <v>-1.4497001356391179E-2</v>
      </c>
      <c r="G3549">
        <f t="shared" si="117"/>
        <v>-2.6118216350046016E-2</v>
      </c>
    </row>
    <row r="3550" spans="1:7" x14ac:dyDescent="0.35">
      <c r="A3550" t="s">
        <v>185</v>
      </c>
      <c r="E3550">
        <v>1.3163387387238365E-3</v>
      </c>
      <c r="F3550">
        <f t="shared" si="116"/>
        <v>-1.449912754545632E-2</v>
      </c>
      <c r="G3550">
        <f t="shared" si="117"/>
        <v>-2.6118216350046016E-2</v>
      </c>
    </row>
    <row r="3551" spans="1:7" x14ac:dyDescent="0.35">
      <c r="A3551" t="s">
        <v>185</v>
      </c>
      <c r="E3551">
        <v>4.489302013964953E-3</v>
      </c>
      <c r="F3551">
        <f t="shared" si="116"/>
        <v>-1.4501253734521461E-2</v>
      </c>
      <c r="G3551">
        <f t="shared" si="117"/>
        <v>-2.6118216350046016E-2</v>
      </c>
    </row>
    <row r="3552" spans="1:7" x14ac:dyDescent="0.35">
      <c r="A3552" t="s">
        <v>186</v>
      </c>
      <c r="B3552" s="3" cm="1">
        <f t="array" ref="B3552">_xlfn.STDEV.S(_xlfn._xlws.FILTER($E$2826:$E$3824, $A$2826:$A$3824="2024-04"))</f>
        <v>6.8350953791088574E-3</v>
      </c>
      <c r="C3552" s="3" cm="1">
        <f t="array" ref="C3552">AVERAGE(_xlfn._xlws.FILTER($E$2826:$E$3824, $A$2826:$A$3824="2024-04"))</f>
        <v>1.2048571053135898E-3</v>
      </c>
      <c r="D3552" s="3" cm="1">
        <f t="array" ref="D3552">_xlfn.PERCENTILE.EXC(_xlfn._xlws.FILTER($E$2490:$E$3818, $A$2490:$A$3818="2024-04"), 0.05)</f>
        <v>-1.8133340381092652E-2</v>
      </c>
      <c r="E3552">
        <v>-3.8166724250329855E-3</v>
      </c>
      <c r="F3552">
        <f t="shared" si="116"/>
        <v>-1.4503379923586603E-2</v>
      </c>
      <c r="G3552">
        <f t="shared" si="117"/>
        <v>-2.6118216350046016E-2</v>
      </c>
    </row>
    <row r="3553" spans="1:7" x14ac:dyDescent="0.35">
      <c r="A3553" t="s">
        <v>186</v>
      </c>
      <c r="E3553">
        <v>3.313300337048621E-4</v>
      </c>
      <c r="F3553">
        <f t="shared" si="116"/>
        <v>-1.4505506112651745E-2</v>
      </c>
      <c r="G3553">
        <f t="shared" si="117"/>
        <v>-2.6118216350046016E-2</v>
      </c>
    </row>
    <row r="3554" spans="1:7" x14ac:dyDescent="0.35">
      <c r="A3554" t="s">
        <v>186</v>
      </c>
      <c r="E3554">
        <v>3.8308785074146839E-3</v>
      </c>
      <c r="F3554">
        <f t="shared" si="116"/>
        <v>-1.4507632301716887E-2</v>
      </c>
      <c r="G3554">
        <f t="shared" si="117"/>
        <v>-2.6118216350046016E-2</v>
      </c>
    </row>
    <row r="3555" spans="1:7" x14ac:dyDescent="0.35">
      <c r="A3555" t="s">
        <v>186</v>
      </c>
      <c r="E3555">
        <v>-8.4790125555925556E-3</v>
      </c>
      <c r="F3555">
        <f t="shared" si="116"/>
        <v>-1.4509758490782029E-2</v>
      </c>
      <c r="G3555">
        <f t="shared" si="117"/>
        <v>-2.6118216350046016E-2</v>
      </c>
    </row>
    <row r="3556" spans="1:7" x14ac:dyDescent="0.35">
      <c r="A3556" t="s">
        <v>186</v>
      </c>
      <c r="E3556">
        <v>3.8129900760244307E-3</v>
      </c>
      <c r="F3556">
        <f t="shared" si="116"/>
        <v>-1.4511884679847171E-2</v>
      </c>
      <c r="G3556">
        <f t="shared" si="117"/>
        <v>-2.6118216350046016E-2</v>
      </c>
    </row>
    <row r="3557" spans="1:7" x14ac:dyDescent="0.35">
      <c r="A3557" t="s">
        <v>186</v>
      </c>
      <c r="E3557">
        <v>1.8385175344150446E-4</v>
      </c>
      <c r="F3557">
        <f t="shared" si="116"/>
        <v>-1.4514010868912313E-2</v>
      </c>
      <c r="G3557">
        <f t="shared" si="117"/>
        <v>-2.6118216350046016E-2</v>
      </c>
    </row>
    <row r="3558" spans="1:7" x14ac:dyDescent="0.35">
      <c r="A3558" t="s">
        <v>186</v>
      </c>
      <c r="E3558">
        <v>3.5552901403326071E-3</v>
      </c>
      <c r="F3558">
        <f t="shared" si="116"/>
        <v>-1.4516137057977455E-2</v>
      </c>
      <c r="G3558">
        <f t="shared" si="117"/>
        <v>-2.6118216350046016E-2</v>
      </c>
    </row>
    <row r="3559" spans="1:7" x14ac:dyDescent="0.35">
      <c r="A3559" t="s">
        <v>186</v>
      </c>
      <c r="E3559">
        <v>-2.7927794928151537E-3</v>
      </c>
      <c r="F3559">
        <f t="shared" si="116"/>
        <v>-1.4518263247042596E-2</v>
      </c>
      <c r="G3559">
        <f t="shared" si="117"/>
        <v>-2.6118216350046016E-2</v>
      </c>
    </row>
    <row r="3560" spans="1:7" x14ac:dyDescent="0.35">
      <c r="A3560" t="s">
        <v>186</v>
      </c>
      <c r="E3560">
        <v>9.0901612367354952E-3</v>
      </c>
      <c r="F3560">
        <f t="shared" si="116"/>
        <v>-1.4520389436107738E-2</v>
      </c>
      <c r="G3560">
        <f t="shared" si="117"/>
        <v>-2.6118216350046016E-2</v>
      </c>
    </row>
    <row r="3561" spans="1:7" x14ac:dyDescent="0.35">
      <c r="A3561" t="s">
        <v>186</v>
      </c>
      <c r="E3561">
        <v>-2.4787558227250196E-3</v>
      </c>
      <c r="F3561">
        <f t="shared" si="116"/>
        <v>-1.4537086733964137E-2</v>
      </c>
      <c r="G3561">
        <f t="shared" si="117"/>
        <v>-2.708470192620754E-2</v>
      </c>
    </row>
    <row r="3562" spans="1:7" x14ac:dyDescent="0.35">
      <c r="A3562" t="s">
        <v>186</v>
      </c>
      <c r="E3562">
        <v>-1.9206043472814887E-2</v>
      </c>
      <c r="F3562">
        <f t="shared" si="116"/>
        <v>-1.4553784031820536E-2</v>
      </c>
      <c r="G3562">
        <f t="shared" si="117"/>
        <v>-2.708470192620754E-2</v>
      </c>
    </row>
    <row r="3563" spans="1:7" x14ac:dyDescent="0.35">
      <c r="A3563" t="s">
        <v>186</v>
      </c>
      <c r="E3563">
        <v>6.9405611358074775E-4</v>
      </c>
      <c r="F3563">
        <f t="shared" si="116"/>
        <v>-1.4484244222000328E-2</v>
      </c>
      <c r="G3563">
        <f t="shared" si="117"/>
        <v>-2.6694230756481942E-2</v>
      </c>
    </row>
    <row r="3564" spans="1:7" x14ac:dyDescent="0.35">
      <c r="A3564" t="s">
        <v>186</v>
      </c>
      <c r="E3564">
        <v>5.0222155042022537E-3</v>
      </c>
      <c r="F3564">
        <f t="shared" si="116"/>
        <v>-1.448637041106547E-2</v>
      </c>
      <c r="G3564">
        <f t="shared" si="117"/>
        <v>-2.6694230756481942E-2</v>
      </c>
    </row>
    <row r="3565" spans="1:7" x14ac:dyDescent="0.35">
      <c r="A3565" t="s">
        <v>186</v>
      </c>
      <c r="E3565">
        <v>-2.4606313504093431E-3</v>
      </c>
      <c r="F3565">
        <f t="shared" si="116"/>
        <v>-1.4488496600130612E-2</v>
      </c>
      <c r="G3565">
        <f t="shared" si="117"/>
        <v>-2.6694230756481942E-2</v>
      </c>
    </row>
    <row r="3566" spans="1:7" x14ac:dyDescent="0.35">
      <c r="A3566" t="s">
        <v>186</v>
      </c>
      <c r="E3566">
        <v>1.3076384016615521E-2</v>
      </c>
      <c r="F3566">
        <f t="shared" si="116"/>
        <v>-1.4490622789195754E-2</v>
      </c>
      <c r="G3566">
        <f t="shared" si="117"/>
        <v>-2.6694230756481942E-2</v>
      </c>
    </row>
    <row r="3567" spans="1:7" x14ac:dyDescent="0.35">
      <c r="A3567" t="s">
        <v>186</v>
      </c>
      <c r="E3567">
        <v>5.7343814097132019E-3</v>
      </c>
      <c r="F3567">
        <f t="shared" si="116"/>
        <v>-1.4492748978260896E-2</v>
      </c>
      <c r="G3567">
        <f t="shared" si="117"/>
        <v>-2.6694230756481942E-2</v>
      </c>
    </row>
    <row r="3568" spans="1:7" x14ac:dyDescent="0.35">
      <c r="A3568" t="s">
        <v>186</v>
      </c>
      <c r="E3568">
        <v>3.7100818691179738E-4</v>
      </c>
      <c r="F3568">
        <f t="shared" si="116"/>
        <v>-1.4494875167326038E-2</v>
      </c>
      <c r="G3568">
        <f t="shared" si="117"/>
        <v>-2.6694230756481942E-2</v>
      </c>
    </row>
    <row r="3569" spans="1:7" x14ac:dyDescent="0.35">
      <c r="A3569" t="s">
        <v>186</v>
      </c>
      <c r="E3569">
        <v>6.5685834066303381E-3</v>
      </c>
      <c r="F3569">
        <f t="shared" si="116"/>
        <v>-1.4497001356391179E-2</v>
      </c>
      <c r="G3569">
        <f t="shared" si="117"/>
        <v>-2.6694230756481942E-2</v>
      </c>
    </row>
    <row r="3570" spans="1:7" x14ac:dyDescent="0.35">
      <c r="A3570" t="s">
        <v>186</v>
      </c>
      <c r="E3570">
        <v>8.7191864622613996E-3</v>
      </c>
      <c r="F3570">
        <f t="shared" si="116"/>
        <v>-1.449912754545632E-2</v>
      </c>
      <c r="G3570">
        <f t="shared" si="117"/>
        <v>-2.6694230756481942E-2</v>
      </c>
    </row>
    <row r="3571" spans="1:7" x14ac:dyDescent="0.35">
      <c r="A3571" t="s">
        <v>186</v>
      </c>
      <c r="E3571">
        <v>3.9775931514787572E-3</v>
      </c>
      <c r="F3571">
        <f t="shared" si="116"/>
        <v>-1.4501253734521461E-2</v>
      </c>
      <c r="G3571">
        <f t="shared" si="117"/>
        <v>-2.6694230756481942E-2</v>
      </c>
    </row>
    <row r="3572" spans="1:7" x14ac:dyDescent="0.35">
      <c r="A3572" t="s">
        <v>186</v>
      </c>
      <c r="E3572">
        <v>-4.3201566807226895E-4</v>
      </c>
      <c r="F3572">
        <f t="shared" si="116"/>
        <v>-1.4503379923586603E-2</v>
      </c>
      <c r="G3572">
        <f t="shared" si="117"/>
        <v>-2.6694230756481942E-2</v>
      </c>
    </row>
    <row r="3573" spans="1:7" x14ac:dyDescent="0.35">
      <c r="A3573" t="s">
        <v>187</v>
      </c>
      <c r="B3573" s="3" cm="1">
        <f t="array" ref="B3573">_xlfn.STDEV.S(_xlfn._xlws.FILTER($E$2826:$E$3824, $A$2826:$A$3824="2024-05"))</f>
        <v>4.5862226784747877E-3</v>
      </c>
      <c r="C3573" s="3" cm="1">
        <f t="array" ref="C3573">AVERAGE(_xlfn._xlws.FILTER($E$2826:$E$3824, $A$2826:$A$3824="2024-05"))</f>
        <v>9.0254983523461974E-4</v>
      </c>
      <c r="D3573" s="3" cm="1">
        <f t="array" ref="D3573">_xlfn.PERCENTILE.EXC(_xlfn._xlws.FILTER($E$2490:$E$3818, $A$2490:$A$3818="2024-05"), 0.05)</f>
        <v>-7.8663165191115939E-3</v>
      </c>
      <c r="E3573">
        <v>6.0187886122201539E-4</v>
      </c>
      <c r="F3573">
        <f t="shared" si="116"/>
        <v>-1.4505506112651745E-2</v>
      </c>
      <c r="G3573">
        <f t="shared" si="117"/>
        <v>-2.6694230756481942E-2</v>
      </c>
    </row>
    <row r="3574" spans="1:7" x14ac:dyDescent="0.35">
      <c r="A3574" t="s">
        <v>187</v>
      </c>
      <c r="E3574">
        <v>2.8248402532935453E-3</v>
      </c>
      <c r="F3574">
        <f t="shared" si="116"/>
        <v>-1.4507632301716887E-2</v>
      </c>
      <c r="G3574">
        <f t="shared" si="117"/>
        <v>-2.6694230756481942E-2</v>
      </c>
    </row>
    <row r="3575" spans="1:7" x14ac:dyDescent="0.35">
      <c r="A3575" t="s">
        <v>187</v>
      </c>
      <c r="E3575">
        <v>1.0289538874803612E-2</v>
      </c>
      <c r="F3575">
        <f t="shared" si="116"/>
        <v>-1.4509758490782029E-2</v>
      </c>
      <c r="G3575">
        <f t="shared" si="117"/>
        <v>-2.6694230756481942E-2</v>
      </c>
    </row>
    <row r="3576" spans="1:7" x14ac:dyDescent="0.35">
      <c r="A3576" t="s">
        <v>187</v>
      </c>
      <c r="E3576">
        <v>4.758519235653228E-3</v>
      </c>
      <c r="F3576">
        <f t="shared" si="116"/>
        <v>-1.4511884679847171E-2</v>
      </c>
      <c r="G3576">
        <f t="shared" si="117"/>
        <v>-2.6694230756481942E-2</v>
      </c>
    </row>
    <row r="3577" spans="1:7" x14ac:dyDescent="0.35">
      <c r="A3577" t="s">
        <v>187</v>
      </c>
      <c r="E3577">
        <v>1.7540877382859362E-3</v>
      </c>
      <c r="F3577">
        <f t="shared" si="116"/>
        <v>-1.4514010868912313E-2</v>
      </c>
      <c r="G3577">
        <f t="shared" si="117"/>
        <v>-2.6694230756481942E-2</v>
      </c>
    </row>
    <row r="3578" spans="1:7" x14ac:dyDescent="0.35">
      <c r="A3578" t="s">
        <v>187</v>
      </c>
      <c r="E3578">
        <v>7.910413010434738E-3</v>
      </c>
      <c r="F3578">
        <f t="shared" si="116"/>
        <v>-1.4516137057977455E-2</v>
      </c>
      <c r="G3578">
        <f t="shared" si="117"/>
        <v>-2.6694230756481942E-2</v>
      </c>
    </row>
    <row r="3579" spans="1:7" x14ac:dyDescent="0.35">
      <c r="A3579" t="s">
        <v>187</v>
      </c>
      <c r="E3579">
        <v>-1.8250004891246323E-3</v>
      </c>
      <c r="F3579">
        <f t="shared" si="116"/>
        <v>-1.4518263247042596E-2</v>
      </c>
      <c r="G3579">
        <f t="shared" si="117"/>
        <v>-2.6694230756481942E-2</v>
      </c>
    </row>
    <row r="3580" spans="1:7" x14ac:dyDescent="0.35">
      <c r="A3580" t="s">
        <v>187</v>
      </c>
      <c r="E3580">
        <v>1.3405873293302602E-3</v>
      </c>
      <c r="F3580">
        <f t="shared" si="116"/>
        <v>-1.4520389436107738E-2</v>
      </c>
      <c r="G3580">
        <f t="shared" si="117"/>
        <v>-2.6694230756481942E-2</v>
      </c>
    </row>
    <row r="3581" spans="1:7" x14ac:dyDescent="0.35">
      <c r="A3581" t="s">
        <v>187</v>
      </c>
      <c r="E3581">
        <v>4.0696725777244151E-3</v>
      </c>
      <c r="F3581">
        <f t="shared" si="116"/>
        <v>-1.4537086733964137E-2</v>
      </c>
      <c r="G3581">
        <f t="shared" si="117"/>
        <v>-2.7800943603788687E-2</v>
      </c>
    </row>
    <row r="3582" spans="1:7" x14ac:dyDescent="0.35">
      <c r="A3582" t="s">
        <v>187</v>
      </c>
      <c r="E3582">
        <v>-1.0178132314018489E-3</v>
      </c>
      <c r="F3582">
        <f t="shared" si="116"/>
        <v>-1.4553784031820536E-2</v>
      </c>
      <c r="G3582">
        <f t="shared" si="117"/>
        <v>-2.7800943603788687E-2</v>
      </c>
    </row>
    <row r="3583" spans="1:7" x14ac:dyDescent="0.35">
      <c r="A3583" t="s">
        <v>187</v>
      </c>
      <c r="E3583">
        <v>3.9329882507984758E-4</v>
      </c>
      <c r="F3583">
        <f t="shared" si="116"/>
        <v>-1.4570481329676935E-2</v>
      </c>
      <c r="G3583">
        <f t="shared" si="117"/>
        <v>-2.7800943603788687E-2</v>
      </c>
    </row>
    <row r="3584" spans="1:7" x14ac:dyDescent="0.35">
      <c r="A3584" t="s">
        <v>187</v>
      </c>
      <c r="E3584">
        <v>2.0814444952237973E-3</v>
      </c>
      <c r="F3584">
        <f t="shared" si="116"/>
        <v>-1.4587178627533334E-2</v>
      </c>
      <c r="G3584">
        <f t="shared" si="117"/>
        <v>-2.7800943603788687E-2</v>
      </c>
    </row>
    <row r="3585" spans="1:7" x14ac:dyDescent="0.35">
      <c r="A3585" t="s">
        <v>187</v>
      </c>
      <c r="E3585">
        <v>-6.0201566387489539E-4</v>
      </c>
      <c r="F3585">
        <f t="shared" si="116"/>
        <v>-1.4603875925389732E-2</v>
      </c>
      <c r="G3585">
        <f t="shared" si="117"/>
        <v>-2.7800943603788687E-2</v>
      </c>
    </row>
    <row r="3586" spans="1:7" x14ac:dyDescent="0.35">
      <c r="A3586" t="s">
        <v>187</v>
      </c>
      <c r="E3586">
        <v>-1.651992820410769E-3</v>
      </c>
      <c r="F3586">
        <f t="shared" si="116"/>
        <v>-1.4620573223246131E-2</v>
      </c>
      <c r="G3586">
        <f t="shared" si="117"/>
        <v>-2.7800943603788687E-2</v>
      </c>
    </row>
    <row r="3587" spans="1:7" x14ac:dyDescent="0.35">
      <c r="A3587" t="s">
        <v>187</v>
      </c>
      <c r="E3587">
        <v>-3.9282701591292013E-3</v>
      </c>
      <c r="F3587">
        <f t="shared" si="116"/>
        <v>-1.463727052110253E-2</v>
      </c>
      <c r="G3587">
        <f t="shared" si="117"/>
        <v>-2.7800943603788687E-2</v>
      </c>
    </row>
    <row r="3588" spans="1:7" x14ac:dyDescent="0.35">
      <c r="A3588" t="s">
        <v>187</v>
      </c>
      <c r="E3588">
        <v>-3.5463147567553776E-3</v>
      </c>
      <c r="F3588">
        <f t="shared" ref="F3588:F3651" si="118">_xlfn.PERCENTILE.EXC(E3588:E7403,0.05)</f>
        <v>-1.4653967818958929E-2</v>
      </c>
      <c r="G3588">
        <f t="shared" ref="G3588:G3651" si="119">AVERAGEIFS(E3588:E7404,E3588:E7404,"&lt;=" &amp; F3588)</f>
        <v>-2.7800943603788687E-2</v>
      </c>
    </row>
    <row r="3589" spans="1:7" x14ac:dyDescent="0.35">
      <c r="A3589" t="s">
        <v>187</v>
      </c>
      <c r="E3589">
        <v>-6.8597459761421059E-3</v>
      </c>
      <c r="F3589">
        <f t="shared" si="118"/>
        <v>-1.4670665116815328E-2</v>
      </c>
      <c r="G3589">
        <f t="shared" si="119"/>
        <v>-2.7800943603788687E-2</v>
      </c>
    </row>
    <row r="3590" spans="1:7" x14ac:dyDescent="0.35">
      <c r="A3590" t="s">
        <v>187</v>
      </c>
      <c r="E3590">
        <v>-7.9192939161099873E-3</v>
      </c>
      <c r="F3590">
        <f t="shared" si="118"/>
        <v>-1.4687362414671726E-2</v>
      </c>
      <c r="G3590">
        <f t="shared" si="119"/>
        <v>-2.7800943603788687E-2</v>
      </c>
    </row>
    <row r="3591" spans="1:7" x14ac:dyDescent="0.35">
      <c r="A3591" t="s">
        <v>187</v>
      </c>
      <c r="E3591">
        <v>5.515185290393557E-3</v>
      </c>
      <c r="F3591">
        <f t="shared" si="118"/>
        <v>-1.4704059712528125E-2</v>
      </c>
      <c r="G3591">
        <f t="shared" si="119"/>
        <v>-2.7800943603788687E-2</v>
      </c>
    </row>
    <row r="3592" spans="1:7" x14ac:dyDescent="0.35">
      <c r="A3592" t="s">
        <v>187</v>
      </c>
      <c r="E3592">
        <v>3.8619772261962552E-3</v>
      </c>
      <c r="F3592">
        <f t="shared" si="118"/>
        <v>-1.4720757010384524E-2</v>
      </c>
      <c r="G3592">
        <f t="shared" si="119"/>
        <v>-2.7800943603788687E-2</v>
      </c>
    </row>
    <row r="3593" spans="1:7" x14ac:dyDescent="0.35">
      <c r="A3593" t="s">
        <v>188</v>
      </c>
      <c r="B3593" s="3" cm="1">
        <f t="array" ref="B3593">_xlfn.STDEV.S(_xlfn._xlws.FILTER($E$2826:$E$3824, $A$2826:$A$3824="2024-06"))</f>
        <v>4.5993878607007675E-3</v>
      </c>
      <c r="C3593" s="3" cm="1">
        <f t="array" ref="C3593">AVERAGE(_xlfn._xlws.FILTER($E$2826:$E$3824, $A$2826:$A$3824="2024-06"))</f>
        <v>-4.1610568334343403E-4</v>
      </c>
      <c r="D3593" s="3" cm="1">
        <f t="array" ref="D3593">_xlfn.PERCENTILE.EXC(_xlfn._xlws.FILTER($E$2490:$E$3818, $A$2490:$A$3818="2024-06"), 0.05)</f>
        <v>-8.1528139837310238E-3</v>
      </c>
      <c r="E3593">
        <v>-1.1827442588910689E-3</v>
      </c>
      <c r="F3593">
        <f t="shared" si="118"/>
        <v>-1.4737454308240923E-2</v>
      </c>
      <c r="G3593">
        <f t="shared" si="119"/>
        <v>-2.7800943603788687E-2</v>
      </c>
    </row>
    <row r="3594" spans="1:7" x14ac:dyDescent="0.35">
      <c r="A3594" t="s">
        <v>188</v>
      </c>
      <c r="E3594">
        <v>-2.6383201509122558E-3</v>
      </c>
      <c r="F3594">
        <f t="shared" si="118"/>
        <v>-1.4754151606097322E-2</v>
      </c>
      <c r="G3594">
        <f t="shared" si="119"/>
        <v>-2.7800943603788687E-2</v>
      </c>
    </row>
    <row r="3595" spans="1:7" x14ac:dyDescent="0.35">
      <c r="A3595" t="s">
        <v>188</v>
      </c>
      <c r="E3595">
        <v>2.577160457668308E-3</v>
      </c>
      <c r="F3595">
        <f t="shared" si="118"/>
        <v>-1.4770848903953721E-2</v>
      </c>
      <c r="G3595">
        <f t="shared" si="119"/>
        <v>-2.7800943603788687E-2</v>
      </c>
    </row>
    <row r="3596" spans="1:7" x14ac:dyDescent="0.35">
      <c r="A3596" t="s">
        <v>188</v>
      </c>
      <c r="E3596">
        <v>3.0670330703895629E-3</v>
      </c>
      <c r="F3596">
        <f t="shared" si="118"/>
        <v>-1.4787546201810119E-2</v>
      </c>
      <c r="G3596">
        <f t="shared" si="119"/>
        <v>-2.7800943603788687E-2</v>
      </c>
    </row>
    <row r="3597" spans="1:7" x14ac:dyDescent="0.35">
      <c r="A3597" t="s">
        <v>188</v>
      </c>
      <c r="E3597">
        <v>-2.048024656678317E-3</v>
      </c>
      <c r="F3597">
        <f t="shared" si="118"/>
        <v>-1.4804243499666518E-2</v>
      </c>
      <c r="G3597">
        <f t="shared" si="119"/>
        <v>-2.7800943603788687E-2</v>
      </c>
    </row>
    <row r="3598" spans="1:7" x14ac:dyDescent="0.35">
      <c r="A3598" t="s">
        <v>188</v>
      </c>
      <c r="E3598">
        <v>3.0735695230401133E-3</v>
      </c>
      <c r="F3598">
        <f t="shared" si="118"/>
        <v>-1.4820940797522917E-2</v>
      </c>
      <c r="G3598">
        <f t="shared" si="119"/>
        <v>-2.7800943603788687E-2</v>
      </c>
    </row>
    <row r="3599" spans="1:7" x14ac:dyDescent="0.35">
      <c r="A3599" t="s">
        <v>188</v>
      </c>
      <c r="E3599">
        <v>-8.2700697089579615E-3</v>
      </c>
      <c r="F3599">
        <f t="shared" si="118"/>
        <v>-1.4837638095379316E-2</v>
      </c>
      <c r="G3599">
        <f t="shared" si="119"/>
        <v>-2.7800943603788687E-2</v>
      </c>
    </row>
    <row r="3600" spans="1:7" x14ac:dyDescent="0.35">
      <c r="A3600" t="s">
        <v>188</v>
      </c>
      <c r="E3600">
        <v>7.5044123023331718E-3</v>
      </c>
      <c r="F3600">
        <f t="shared" si="118"/>
        <v>-1.4854335393235715E-2</v>
      </c>
      <c r="G3600">
        <f t="shared" si="119"/>
        <v>-2.7800943603788687E-2</v>
      </c>
    </row>
    <row r="3601" spans="1:7" x14ac:dyDescent="0.35">
      <c r="A3601" t="s">
        <v>188</v>
      </c>
      <c r="E3601">
        <v>-4.0388381499166558E-3</v>
      </c>
      <c r="F3601">
        <f t="shared" si="118"/>
        <v>-1.4881155315013318E-2</v>
      </c>
      <c r="G3601">
        <f t="shared" si="119"/>
        <v>-2.9095604424843984E-2</v>
      </c>
    </row>
    <row r="3602" spans="1:7" x14ac:dyDescent="0.35">
      <c r="A3602" t="s">
        <v>188</v>
      </c>
      <c r="E3602">
        <v>-3.5286594691101821E-3</v>
      </c>
      <c r="F3602">
        <f t="shared" si="118"/>
        <v>-1.4907975236790921E-2</v>
      </c>
      <c r="G3602">
        <f t="shared" si="119"/>
        <v>-2.9095604424843984E-2</v>
      </c>
    </row>
    <row r="3603" spans="1:7" x14ac:dyDescent="0.35">
      <c r="A3603" t="s">
        <v>188</v>
      </c>
      <c r="E3603">
        <v>-2.1094376965619444E-3</v>
      </c>
      <c r="F3603">
        <f t="shared" si="118"/>
        <v>-1.4934795158568522E-2</v>
      </c>
      <c r="G3603">
        <f t="shared" si="119"/>
        <v>-2.9095604424843984E-2</v>
      </c>
    </row>
    <row r="3604" spans="1:7" x14ac:dyDescent="0.35">
      <c r="A3604" t="s">
        <v>188</v>
      </c>
      <c r="E3604">
        <v>5.185089470292838E-3</v>
      </c>
      <c r="F3604">
        <f t="shared" si="118"/>
        <v>-1.4961615080346125E-2</v>
      </c>
      <c r="G3604">
        <f t="shared" si="119"/>
        <v>-2.9095604424843984E-2</v>
      </c>
    </row>
    <row r="3605" spans="1:7" x14ac:dyDescent="0.35">
      <c r="A3605" t="s">
        <v>188</v>
      </c>
      <c r="E3605">
        <v>2.4357750723039799E-3</v>
      </c>
      <c r="F3605">
        <f t="shared" si="118"/>
        <v>-1.498843500212373E-2</v>
      </c>
      <c r="G3605">
        <f t="shared" si="119"/>
        <v>-2.9095604424843984E-2</v>
      </c>
    </row>
    <row r="3606" spans="1:7" x14ac:dyDescent="0.35">
      <c r="A3606" t="s">
        <v>188</v>
      </c>
      <c r="E3606">
        <v>7.3338923725847858E-3</v>
      </c>
      <c r="F3606">
        <f t="shared" si="118"/>
        <v>-1.5015254923901331E-2</v>
      </c>
      <c r="G3606">
        <f t="shared" si="119"/>
        <v>-2.9095604424843984E-2</v>
      </c>
    </row>
    <row r="3607" spans="1:7" x14ac:dyDescent="0.35">
      <c r="A3607" t="s">
        <v>188</v>
      </c>
      <c r="E3607">
        <v>-4.7034683951751076E-3</v>
      </c>
      <c r="F3607">
        <f t="shared" si="118"/>
        <v>-1.5042074845678934E-2</v>
      </c>
      <c r="G3607">
        <f t="shared" si="119"/>
        <v>-2.9095604424843984E-2</v>
      </c>
    </row>
    <row r="3608" spans="1:7" x14ac:dyDescent="0.35">
      <c r="A3608" t="s">
        <v>188</v>
      </c>
      <c r="E3608">
        <v>5.1838722321217038E-3</v>
      </c>
      <c r="F3608">
        <f t="shared" si="118"/>
        <v>-1.5068894767456537E-2</v>
      </c>
      <c r="G3608">
        <f t="shared" si="119"/>
        <v>-2.9095604424843984E-2</v>
      </c>
    </row>
    <row r="3609" spans="1:7" x14ac:dyDescent="0.35">
      <c r="A3609" t="s">
        <v>188</v>
      </c>
      <c r="E3609">
        <v>-2.0175063407085274E-3</v>
      </c>
      <c r="F3609">
        <f t="shared" si="118"/>
        <v>-1.509571468923414E-2</v>
      </c>
      <c r="G3609">
        <f t="shared" si="119"/>
        <v>-2.9095604424843984E-2</v>
      </c>
    </row>
    <row r="3610" spans="1:7" x14ac:dyDescent="0.35">
      <c r="A3610" t="s">
        <v>188</v>
      </c>
      <c r="E3610">
        <v>-4.7649299990468862E-3</v>
      </c>
      <c r="F3610">
        <f t="shared" si="118"/>
        <v>-1.5122534611011743E-2</v>
      </c>
      <c r="G3610">
        <f t="shared" si="119"/>
        <v>-2.9095604424843984E-2</v>
      </c>
    </row>
    <row r="3611" spans="1:7" x14ac:dyDescent="0.35">
      <c r="A3611" t="s">
        <v>188</v>
      </c>
      <c r="E3611">
        <v>-5.9249552044192003E-3</v>
      </c>
      <c r="F3611">
        <f t="shared" si="118"/>
        <v>-1.5149354532789346E-2</v>
      </c>
      <c r="G3611">
        <f t="shared" si="119"/>
        <v>-2.9095604424843984E-2</v>
      </c>
    </row>
    <row r="3612" spans="1:7" x14ac:dyDescent="0.35">
      <c r="A3612" t="s">
        <v>188</v>
      </c>
      <c r="E3612">
        <v>-3.4559641372250375E-3</v>
      </c>
      <c r="F3612">
        <f t="shared" si="118"/>
        <v>-1.5176174454566949E-2</v>
      </c>
      <c r="G3612">
        <f t="shared" si="119"/>
        <v>-2.9095604424843984E-2</v>
      </c>
    </row>
    <row r="3613" spans="1:7" x14ac:dyDescent="0.35">
      <c r="A3613" t="s">
        <v>189</v>
      </c>
      <c r="B3613" s="3" cm="1">
        <f t="array" ref="B3613">_xlfn.STDEV.S(_xlfn._xlws.FILTER($E$2826:$E$3824, $A$2826:$A$3824="2024-07"))</f>
        <v>5.9632348821647314E-3</v>
      </c>
      <c r="C3613" s="3" cm="1">
        <f t="array" ref="C3613">AVERAGE(_xlfn._xlws.FILTER($E$2826:$E$3824, $A$2826:$A$3824="2024-07"))</f>
        <v>1.3621490029147234E-3</v>
      </c>
      <c r="D3613" s="3" cm="1">
        <f t="array" ref="D3613">_xlfn.PERCENTILE.EXC(_xlfn._xlws.FILTER($E$2490:$E$3818, $A$2490:$A$3818="2024-07"), 0.05)</f>
        <v>-9.0287497010503939E-3</v>
      </c>
      <c r="E3613">
        <v>-6.0098827802152746E-4</v>
      </c>
      <c r="F3613">
        <f t="shared" si="118"/>
        <v>-1.520299437634455E-2</v>
      </c>
      <c r="G3613">
        <f t="shared" si="119"/>
        <v>-2.9095604424843984E-2</v>
      </c>
    </row>
    <row r="3614" spans="1:7" x14ac:dyDescent="0.35">
      <c r="A3614" t="s">
        <v>189</v>
      </c>
      <c r="E3614">
        <v>-4.1074859424430074E-3</v>
      </c>
      <c r="F3614">
        <f t="shared" si="118"/>
        <v>-1.5229814298122153E-2</v>
      </c>
      <c r="G3614">
        <f t="shared" si="119"/>
        <v>-2.9095604424843984E-2</v>
      </c>
    </row>
    <row r="3615" spans="1:7" x14ac:dyDescent="0.35">
      <c r="A3615" t="s">
        <v>189</v>
      </c>
      <c r="E3615">
        <v>6.9481169719153744E-3</v>
      </c>
      <c r="F3615">
        <f t="shared" si="118"/>
        <v>-1.5256634219899756E-2</v>
      </c>
      <c r="G3615">
        <f t="shared" si="119"/>
        <v>-2.9095604424843984E-2</v>
      </c>
    </row>
    <row r="3616" spans="1:7" x14ac:dyDescent="0.35">
      <c r="A3616" t="s">
        <v>189</v>
      </c>
      <c r="E3616">
        <v>7.615022008256778E-3</v>
      </c>
      <c r="F3616">
        <f t="shared" si="118"/>
        <v>-1.5283454141677359E-2</v>
      </c>
      <c r="G3616">
        <f t="shared" si="119"/>
        <v>-2.9095604424843984E-2</v>
      </c>
    </row>
    <row r="3617" spans="1:7" x14ac:dyDescent="0.35">
      <c r="A3617" t="s">
        <v>189</v>
      </c>
      <c r="E3617">
        <v>-2.9386928447998248E-3</v>
      </c>
      <c r="F3617">
        <f t="shared" si="118"/>
        <v>-1.5310274063454962E-2</v>
      </c>
      <c r="G3617">
        <f t="shared" si="119"/>
        <v>-2.9095604424843984E-2</v>
      </c>
    </row>
    <row r="3618" spans="1:7" x14ac:dyDescent="0.35">
      <c r="A3618" t="s">
        <v>189</v>
      </c>
      <c r="E3618">
        <v>-3.189678993420482E-5</v>
      </c>
      <c r="F3618">
        <f t="shared" si="118"/>
        <v>-1.5337093985232565E-2</v>
      </c>
      <c r="G3618">
        <f t="shared" si="119"/>
        <v>-2.9095604424843984E-2</v>
      </c>
    </row>
    <row r="3619" spans="1:7" x14ac:dyDescent="0.35">
      <c r="A3619" t="s">
        <v>189</v>
      </c>
      <c r="E3619">
        <v>-7.5083015098960926E-3</v>
      </c>
      <c r="F3619">
        <f t="shared" si="118"/>
        <v>-1.5363913907010168E-2</v>
      </c>
      <c r="G3619">
        <f t="shared" si="119"/>
        <v>-2.9095604424843984E-2</v>
      </c>
    </row>
    <row r="3620" spans="1:7" x14ac:dyDescent="0.35">
      <c r="A3620" t="s">
        <v>189</v>
      </c>
      <c r="E3620">
        <v>9.920472393735346E-3</v>
      </c>
      <c r="F3620">
        <f t="shared" si="118"/>
        <v>-1.5390733828787771E-2</v>
      </c>
      <c r="G3620">
        <f t="shared" si="119"/>
        <v>-2.9095604424843984E-2</v>
      </c>
    </row>
    <row r="3621" spans="1:7" x14ac:dyDescent="0.35">
      <c r="A3621" t="s">
        <v>189</v>
      </c>
      <c r="E3621">
        <v>4.9935970533363941E-3</v>
      </c>
      <c r="F3621">
        <f t="shared" si="118"/>
        <v>-1.54275006750615E-2</v>
      </c>
      <c r="G3621">
        <f t="shared" si="119"/>
        <v>-3.0618367824405787E-2</v>
      </c>
    </row>
    <row r="3622" spans="1:7" x14ac:dyDescent="0.35">
      <c r="A3622" t="s">
        <v>189</v>
      </c>
      <c r="E3622">
        <v>5.9678839525246609E-3</v>
      </c>
      <c r="F3622">
        <f t="shared" si="118"/>
        <v>-1.5464267521335229E-2</v>
      </c>
      <c r="G3622">
        <f t="shared" si="119"/>
        <v>-3.0618367824405787E-2</v>
      </c>
    </row>
    <row r="3623" spans="1:7" x14ac:dyDescent="0.35">
      <c r="A3623" t="s">
        <v>189</v>
      </c>
      <c r="E3623">
        <v>-9.3739165814076316E-3</v>
      </c>
      <c r="F3623">
        <f t="shared" si="118"/>
        <v>-1.5501034367608956E-2</v>
      </c>
      <c r="G3623">
        <f t="shared" si="119"/>
        <v>-3.0618367824405787E-2</v>
      </c>
    </row>
    <row r="3624" spans="1:7" x14ac:dyDescent="0.35">
      <c r="A3624" t="s">
        <v>189</v>
      </c>
      <c r="E3624">
        <v>-2.3462196260683921E-3</v>
      </c>
      <c r="F3624">
        <f t="shared" si="118"/>
        <v>-1.5537801213882686E-2</v>
      </c>
      <c r="G3624">
        <f t="shared" si="119"/>
        <v>-3.0618367824405787E-2</v>
      </c>
    </row>
    <row r="3625" spans="1:7" x14ac:dyDescent="0.35">
      <c r="A3625" t="s">
        <v>189</v>
      </c>
      <c r="E3625">
        <v>2.7762285440352166E-3</v>
      </c>
      <c r="F3625">
        <f t="shared" si="118"/>
        <v>-1.5574568060156415E-2</v>
      </c>
      <c r="G3625">
        <f t="shared" si="119"/>
        <v>-3.0618367824405787E-2</v>
      </c>
    </row>
    <row r="3626" spans="1:7" x14ac:dyDescent="0.35">
      <c r="A3626" t="s">
        <v>189</v>
      </c>
      <c r="E3626">
        <v>9.4448742559218837E-4</v>
      </c>
      <c r="F3626">
        <f t="shared" si="118"/>
        <v>-1.5611334906430144E-2</v>
      </c>
      <c r="G3626">
        <f t="shared" si="119"/>
        <v>-3.0618367824405787E-2</v>
      </c>
    </row>
    <row r="3627" spans="1:7" x14ac:dyDescent="0.35">
      <c r="A3627" t="s">
        <v>189</v>
      </c>
      <c r="E3627">
        <v>-7.6480821796214475E-3</v>
      </c>
      <c r="F3627">
        <f t="shared" si="118"/>
        <v>-1.5648101752703873E-2</v>
      </c>
      <c r="G3627">
        <f t="shared" si="119"/>
        <v>-3.0618367824405787E-2</v>
      </c>
    </row>
    <row r="3628" spans="1:7" x14ac:dyDescent="0.35">
      <c r="A3628" t="s">
        <v>189</v>
      </c>
      <c r="E3628">
        <v>5.4836698485207711E-3</v>
      </c>
      <c r="F3628">
        <f t="shared" si="118"/>
        <v>-1.5684868598977601E-2</v>
      </c>
      <c r="G3628">
        <f t="shared" si="119"/>
        <v>-3.0618367824405787E-2</v>
      </c>
    </row>
    <row r="3629" spans="1:7" x14ac:dyDescent="0.35">
      <c r="A3629" t="s">
        <v>189</v>
      </c>
      <c r="E3629">
        <v>-1.4218774863545309E-3</v>
      </c>
      <c r="F3629">
        <f t="shared" si="118"/>
        <v>-1.572163544525133E-2</v>
      </c>
      <c r="G3629">
        <f t="shared" si="119"/>
        <v>-3.0618367824405787E-2</v>
      </c>
    </row>
    <row r="3630" spans="1:7" x14ac:dyDescent="0.35">
      <c r="A3630" t="s">
        <v>189</v>
      </c>
      <c r="E3630">
        <v>-2.5348246369503308E-4</v>
      </c>
      <c r="F3630">
        <f t="shared" si="118"/>
        <v>-1.5758402291525059E-2</v>
      </c>
      <c r="G3630">
        <f t="shared" si="119"/>
        <v>-3.0618367824405787E-2</v>
      </c>
    </row>
    <row r="3631" spans="1:7" x14ac:dyDescent="0.35">
      <c r="A3631" t="s">
        <v>189</v>
      </c>
      <c r="E3631">
        <v>-3.4784463309910833E-4</v>
      </c>
      <c r="F3631">
        <f t="shared" si="118"/>
        <v>-1.5795169137798788E-2</v>
      </c>
      <c r="G3631">
        <f t="shared" si="119"/>
        <v>-3.0618367824405787E-2</v>
      </c>
    </row>
    <row r="3632" spans="1:7" x14ac:dyDescent="0.35">
      <c r="A3632" t="s">
        <v>189</v>
      </c>
      <c r="E3632">
        <v>1.1089218045716642E-2</v>
      </c>
      <c r="F3632">
        <f t="shared" si="118"/>
        <v>-1.5831935984072516E-2</v>
      </c>
      <c r="G3632">
        <f t="shared" si="119"/>
        <v>-3.0618367824405787E-2</v>
      </c>
    </row>
    <row r="3633" spans="1:7" x14ac:dyDescent="0.35">
      <c r="A3633" t="s">
        <v>189</v>
      </c>
      <c r="E3633">
        <v>3.211846342774449E-3</v>
      </c>
      <c r="F3633">
        <f t="shared" si="118"/>
        <v>-1.5868702830346245E-2</v>
      </c>
      <c r="G3633">
        <f t="shared" si="119"/>
        <v>-3.0618367824405787E-2</v>
      </c>
    </row>
    <row r="3634" spans="1:7" x14ac:dyDescent="0.35">
      <c r="A3634" t="s">
        <v>189</v>
      </c>
      <c r="E3634">
        <v>-2.9834227298500861E-3</v>
      </c>
      <c r="F3634">
        <f t="shared" si="118"/>
        <v>-1.5905469676619974E-2</v>
      </c>
      <c r="G3634">
        <f t="shared" si="119"/>
        <v>-3.0618367824405787E-2</v>
      </c>
    </row>
    <row r="3635" spans="1:7" x14ac:dyDescent="0.35">
      <c r="A3635" t="s">
        <v>189</v>
      </c>
      <c r="E3635">
        <v>1.1941095545821706E-2</v>
      </c>
      <c r="F3635">
        <f t="shared" si="118"/>
        <v>-1.5942236522893703E-2</v>
      </c>
      <c r="G3635">
        <f t="shared" si="119"/>
        <v>-3.0618367824405787E-2</v>
      </c>
    </row>
    <row r="3636" spans="1:7" x14ac:dyDescent="0.35">
      <c r="A3636" t="s">
        <v>190</v>
      </c>
      <c r="B3636" s="3" cm="1">
        <f t="array" ref="B3636">_xlfn.STDEV.S(_xlfn._xlws.FILTER($E$2826:$E$3824, $A$2826:$A$3824="2024-08"))</f>
        <v>1.0819652555918605E-2</v>
      </c>
      <c r="C3636" s="3" cm="1">
        <f t="array" ref="C3636">AVERAGE(_xlfn._xlws.FILTER($E$2826:$E$3824, $A$2826:$A$3824="2024-08"))</f>
        <v>3.5589793163796165E-5</v>
      </c>
      <c r="D3636" s="3" cm="1">
        <f t="array" ref="D3636">_xlfn.PERCENTILE.EXC(_xlfn._xlws.FILTER($E$2490:$E$3818, $A$2490:$A$3818="2024-08"), 0.05)</f>
        <v>-2.6530317572078584E-2</v>
      </c>
      <c r="E3636">
        <v>-1.4520389436107738E-2</v>
      </c>
      <c r="F3636">
        <f t="shared" si="118"/>
        <v>-1.5979003369167431E-2</v>
      </c>
      <c r="G3636">
        <f t="shared" si="119"/>
        <v>-3.0618367824405787E-2</v>
      </c>
    </row>
    <row r="3637" spans="1:7" x14ac:dyDescent="0.35">
      <c r="A3637" t="s">
        <v>190</v>
      </c>
      <c r="E3637">
        <v>-2.2077066913070844E-2</v>
      </c>
      <c r="F3637">
        <f t="shared" si="118"/>
        <v>-1.601577021544116E-2</v>
      </c>
      <c r="G3637">
        <f t="shared" si="119"/>
        <v>-3.0618367824405787E-2</v>
      </c>
    </row>
    <row r="3638" spans="1:7" x14ac:dyDescent="0.35">
      <c r="A3638" t="s">
        <v>190</v>
      </c>
      <c r="E3638">
        <v>-2.6764699185710571E-2</v>
      </c>
      <c r="F3638">
        <f t="shared" si="118"/>
        <v>-1.5337093985232565E-2</v>
      </c>
      <c r="G3638">
        <f t="shared" si="119"/>
        <v>-2.9875441926152116E-2</v>
      </c>
    </row>
    <row r="3639" spans="1:7" x14ac:dyDescent="0.35">
      <c r="A3639" t="s">
        <v>190</v>
      </c>
      <c r="E3639">
        <v>4.3668448139887737E-4</v>
      </c>
      <c r="F3639">
        <f t="shared" si="118"/>
        <v>-1.4835511906314174E-2</v>
      </c>
      <c r="G3639">
        <f t="shared" si="119"/>
        <v>-2.855206817143268E-2</v>
      </c>
    </row>
    <row r="3640" spans="1:7" x14ac:dyDescent="0.35">
      <c r="A3640" t="s">
        <v>190</v>
      </c>
      <c r="E3640">
        <v>1.8100011345910789E-2</v>
      </c>
      <c r="F3640">
        <f t="shared" si="118"/>
        <v>-1.4854335393235715E-2</v>
      </c>
      <c r="G3640">
        <f t="shared" si="119"/>
        <v>-2.855206817143268E-2</v>
      </c>
    </row>
    <row r="3641" spans="1:7" x14ac:dyDescent="0.35">
      <c r="A3641" t="s">
        <v>190</v>
      </c>
      <c r="E3641">
        <v>1.1764822901095876E-3</v>
      </c>
      <c r="F3641">
        <f t="shared" si="118"/>
        <v>-1.4881155315013318E-2</v>
      </c>
      <c r="G3641">
        <f t="shared" si="119"/>
        <v>-3.0264284768707302E-2</v>
      </c>
    </row>
    <row r="3642" spans="1:7" x14ac:dyDescent="0.35">
      <c r="A3642" t="s">
        <v>190</v>
      </c>
      <c r="E3642">
        <v>3.1744120290723541E-3</v>
      </c>
      <c r="F3642">
        <f t="shared" si="118"/>
        <v>-1.4907975236790921E-2</v>
      </c>
      <c r="G3642">
        <f t="shared" si="119"/>
        <v>-3.0264284768707302E-2</v>
      </c>
    </row>
    <row r="3643" spans="1:7" x14ac:dyDescent="0.35">
      <c r="A3643" t="s">
        <v>190</v>
      </c>
      <c r="E3643">
        <v>4.7807831372952119E-3</v>
      </c>
      <c r="F3643">
        <f t="shared" si="118"/>
        <v>-1.4934795158568524E-2</v>
      </c>
      <c r="G3643">
        <f t="shared" si="119"/>
        <v>-3.0264284768707302E-2</v>
      </c>
    </row>
    <row r="3644" spans="1:7" x14ac:dyDescent="0.35">
      <c r="A3644" t="s">
        <v>190</v>
      </c>
      <c r="E3644">
        <v>5.3581095332410518E-3</v>
      </c>
      <c r="F3644">
        <f t="shared" si="118"/>
        <v>-1.4961615080346125E-2</v>
      </c>
      <c r="G3644">
        <f t="shared" si="119"/>
        <v>-3.0264284768707302E-2</v>
      </c>
    </row>
    <row r="3645" spans="1:7" x14ac:dyDescent="0.35">
      <c r="A3645" t="s">
        <v>190</v>
      </c>
      <c r="E3645">
        <v>8.1964474031639544E-4</v>
      </c>
      <c r="F3645">
        <f t="shared" si="118"/>
        <v>-1.498843500212373E-2</v>
      </c>
      <c r="G3645">
        <f t="shared" si="119"/>
        <v>-3.0264284768707302E-2</v>
      </c>
    </row>
    <row r="3646" spans="1:7" x14ac:dyDescent="0.35">
      <c r="A3646" t="s">
        <v>190</v>
      </c>
      <c r="E3646">
        <v>1.1375325833707298E-2</v>
      </c>
      <c r="F3646">
        <f t="shared" si="118"/>
        <v>-1.5015254923901331E-2</v>
      </c>
      <c r="G3646">
        <f t="shared" si="119"/>
        <v>-3.0264284768707302E-2</v>
      </c>
    </row>
    <row r="3647" spans="1:7" x14ac:dyDescent="0.35">
      <c r="A3647" t="s">
        <v>190</v>
      </c>
      <c r="E3647">
        <v>3.8317744516468597E-3</v>
      </c>
      <c r="F3647">
        <f t="shared" si="118"/>
        <v>-1.5042074845678934E-2</v>
      </c>
      <c r="G3647">
        <f t="shared" si="119"/>
        <v>-3.0264284768707302E-2</v>
      </c>
    </row>
    <row r="3648" spans="1:7" x14ac:dyDescent="0.35">
      <c r="A3648" t="s">
        <v>190</v>
      </c>
      <c r="E3648">
        <v>-1.0445175767412895E-2</v>
      </c>
      <c r="F3648">
        <f t="shared" si="118"/>
        <v>-1.5068894767456537E-2</v>
      </c>
      <c r="G3648">
        <f t="shared" si="119"/>
        <v>-3.0264284768707302E-2</v>
      </c>
    </row>
    <row r="3649" spans="1:7" x14ac:dyDescent="0.35">
      <c r="A3649" t="s">
        <v>190</v>
      </c>
      <c r="E3649">
        <v>3.3377077706272067E-3</v>
      </c>
      <c r="F3649">
        <f t="shared" si="118"/>
        <v>-1.509571468923414E-2</v>
      </c>
      <c r="G3649">
        <f t="shared" si="119"/>
        <v>-3.0264284768707302E-2</v>
      </c>
    </row>
    <row r="3650" spans="1:7" x14ac:dyDescent="0.35">
      <c r="A3650" t="s">
        <v>190</v>
      </c>
      <c r="E3650">
        <v>3.5574107451594684E-3</v>
      </c>
      <c r="F3650">
        <f t="shared" si="118"/>
        <v>-1.5122534611011743E-2</v>
      </c>
      <c r="G3650">
        <f t="shared" si="119"/>
        <v>-3.0264284768707302E-2</v>
      </c>
    </row>
    <row r="3651" spans="1:7" x14ac:dyDescent="0.35">
      <c r="A3651" t="s">
        <v>190</v>
      </c>
      <c r="E3651">
        <v>7.0360032995113219E-3</v>
      </c>
      <c r="F3651">
        <f t="shared" si="118"/>
        <v>-1.5149354532789346E-2</v>
      </c>
      <c r="G3651">
        <f t="shared" si="119"/>
        <v>-3.0264284768707302E-2</v>
      </c>
    </row>
    <row r="3652" spans="1:7" x14ac:dyDescent="0.35">
      <c r="A3652" t="s">
        <v>190</v>
      </c>
      <c r="E3652">
        <v>6.0159000649942299E-3</v>
      </c>
      <c r="F3652">
        <f t="shared" ref="F3652:F3715" si="120">_xlfn.PERCENTILE.EXC(E3652:E7467,0.05)</f>
        <v>-1.5176174454566949E-2</v>
      </c>
      <c r="G3652">
        <f t="shared" ref="G3652:G3715" si="121">AVERAGEIFS(E3652:E7468,E3652:E7468,"&lt;=" &amp; F3652)</f>
        <v>-3.0264284768707302E-2</v>
      </c>
    </row>
    <row r="3653" spans="1:7" x14ac:dyDescent="0.35">
      <c r="A3653" t="s">
        <v>190</v>
      </c>
      <c r="E3653">
        <v>8.2691215850443241E-4</v>
      </c>
      <c r="F3653">
        <f t="shared" si="120"/>
        <v>-1.5202994376344552E-2</v>
      </c>
      <c r="G3653">
        <f t="shared" si="121"/>
        <v>-3.0264284768707302E-2</v>
      </c>
    </row>
    <row r="3654" spans="1:7" x14ac:dyDescent="0.35">
      <c r="A3654" t="s">
        <v>190</v>
      </c>
      <c r="E3654">
        <v>7.0260505975927312E-3</v>
      </c>
      <c r="F3654">
        <f t="shared" si="120"/>
        <v>-1.5229814298122153E-2</v>
      </c>
      <c r="G3654">
        <f t="shared" si="121"/>
        <v>-3.0264284768707302E-2</v>
      </c>
    </row>
    <row r="3655" spans="1:7" x14ac:dyDescent="0.35">
      <c r="A3655" t="s">
        <v>190</v>
      </c>
      <c r="E3655">
        <v>-2.3340853135098419E-3</v>
      </c>
      <c r="F3655">
        <f t="shared" si="120"/>
        <v>-1.5256634219899756E-2</v>
      </c>
      <c r="G3655">
        <f t="shared" si="121"/>
        <v>-3.0264284768707302E-2</v>
      </c>
    </row>
    <row r="3656" spans="1:7" x14ac:dyDescent="0.35">
      <c r="A3656" t="s">
        <v>191</v>
      </c>
      <c r="B3656" s="3" cm="1">
        <f t="array" ref="B3656">_xlfn.STDEV.S(_xlfn._xlws.FILTER($E$2826:$E$3824, $A$2826:$A$3824="2024-09"))</f>
        <v>6.7966203886628135E-3</v>
      </c>
      <c r="C3656" s="3" cm="1">
        <f t="array" ref="C3656">AVERAGE(_xlfn._xlws.FILTER($E$2826:$E$3824, $A$2826:$A$3824="2024-09"))</f>
        <v>-2.0489758711889969E-4</v>
      </c>
      <c r="D3656" s="3" cm="1">
        <f t="array" ref="D3656">_xlfn.PERCENTILE.EXC(_xlfn._xlws.FILTER($E$2490:$E$3818, $A$2490:$A$3818="2024-09"), 0.05)</f>
        <v>-1.005945307641669E-2</v>
      </c>
      <c r="E3656">
        <v>-1.2233035892088039E-3</v>
      </c>
      <c r="F3656">
        <f t="shared" si="120"/>
        <v>-1.5283454141677359E-2</v>
      </c>
      <c r="G3656">
        <f t="shared" si="121"/>
        <v>-3.0264284768707302E-2</v>
      </c>
    </row>
    <row r="3657" spans="1:7" x14ac:dyDescent="0.35">
      <c r="A3657" t="s">
        <v>191</v>
      </c>
      <c r="E3657">
        <v>-8.3768056887839823E-3</v>
      </c>
      <c r="F3657">
        <f t="shared" si="120"/>
        <v>-1.5310274063454962E-2</v>
      </c>
      <c r="G3657">
        <f t="shared" si="121"/>
        <v>-3.0264284768707302E-2</v>
      </c>
    </row>
    <row r="3658" spans="1:7" x14ac:dyDescent="0.35">
      <c r="A3658" t="s">
        <v>191</v>
      </c>
      <c r="E3658">
        <v>-3.9856116141164782E-3</v>
      </c>
      <c r="F3658">
        <f t="shared" si="120"/>
        <v>-1.5337093985232565E-2</v>
      </c>
      <c r="G3658">
        <f t="shared" si="121"/>
        <v>-3.0264284768707302E-2</v>
      </c>
    </row>
    <row r="3659" spans="1:7" x14ac:dyDescent="0.35">
      <c r="A3659" t="s">
        <v>191</v>
      </c>
      <c r="E3659">
        <v>-3.1491654594264693E-3</v>
      </c>
      <c r="F3659">
        <f t="shared" si="120"/>
        <v>-1.5363913907010168E-2</v>
      </c>
      <c r="G3659">
        <f t="shared" si="121"/>
        <v>-3.0264284768707302E-2</v>
      </c>
    </row>
    <row r="3660" spans="1:7" x14ac:dyDescent="0.35">
      <c r="A3660" t="s">
        <v>191</v>
      </c>
      <c r="E3660">
        <v>-9.2031953045883276E-3</v>
      </c>
      <c r="F3660">
        <f t="shared" si="120"/>
        <v>-1.5390733828787771E-2</v>
      </c>
      <c r="G3660">
        <f t="shared" si="121"/>
        <v>-3.0264284768707302E-2</v>
      </c>
    </row>
    <row r="3661" spans="1:7" x14ac:dyDescent="0.35">
      <c r="A3661" t="s">
        <v>191</v>
      </c>
      <c r="E3661">
        <v>1.1640608038603756E-2</v>
      </c>
      <c r="F3661">
        <f t="shared" si="120"/>
        <v>-1.54275006750615E-2</v>
      </c>
      <c r="G3661">
        <f t="shared" si="121"/>
        <v>-3.2389077760124382E-2</v>
      </c>
    </row>
    <row r="3662" spans="1:7" x14ac:dyDescent="0.35">
      <c r="A3662" t="s">
        <v>191</v>
      </c>
      <c r="E3662">
        <v>-8.0965061653047402E-3</v>
      </c>
      <c r="F3662">
        <f t="shared" si="120"/>
        <v>-1.5464267521335229E-2</v>
      </c>
      <c r="G3662">
        <f t="shared" si="121"/>
        <v>-3.2389077760124382E-2</v>
      </c>
    </row>
    <row r="3663" spans="1:7" x14ac:dyDescent="0.35">
      <c r="A3663" t="s">
        <v>191</v>
      </c>
      <c r="E3663">
        <v>-2.8452759515136478E-3</v>
      </c>
      <c r="F3663">
        <f t="shared" si="120"/>
        <v>-1.5501034367608958E-2</v>
      </c>
      <c r="G3663">
        <f t="shared" si="121"/>
        <v>-3.2389077760124382E-2</v>
      </c>
    </row>
    <row r="3664" spans="1:7" x14ac:dyDescent="0.35">
      <c r="A3664" t="s">
        <v>191</v>
      </c>
      <c r="E3664">
        <v>7.21347732706752E-3</v>
      </c>
      <c r="F3664">
        <f t="shared" si="120"/>
        <v>-1.5537801213882686E-2</v>
      </c>
      <c r="G3664">
        <f t="shared" si="121"/>
        <v>-3.2389077760124382E-2</v>
      </c>
    </row>
    <row r="3665" spans="1:7" x14ac:dyDescent="0.35">
      <c r="A3665" t="s">
        <v>191</v>
      </c>
      <c r="E3665">
        <v>3.4302582885262652E-3</v>
      </c>
      <c r="F3665">
        <f t="shared" si="120"/>
        <v>-1.5574568060156415E-2</v>
      </c>
      <c r="G3665">
        <f t="shared" si="121"/>
        <v>-3.2389077760124382E-2</v>
      </c>
    </row>
    <row r="3666" spans="1:7" x14ac:dyDescent="0.35">
      <c r="A3666" t="s">
        <v>191</v>
      </c>
      <c r="E3666">
        <v>2.3659238668506271E-3</v>
      </c>
      <c r="F3666">
        <f t="shared" si="120"/>
        <v>-1.5611334906430144E-2</v>
      </c>
      <c r="G3666">
        <f t="shared" si="121"/>
        <v>-3.2389077760124382E-2</v>
      </c>
    </row>
    <row r="3667" spans="1:7" x14ac:dyDescent="0.35">
      <c r="A3667" t="s">
        <v>191</v>
      </c>
      <c r="E3667">
        <v>9.7012071457681459E-4</v>
      </c>
      <c r="F3667">
        <f t="shared" si="120"/>
        <v>-1.5648101752703873E-2</v>
      </c>
      <c r="G3667">
        <f t="shared" si="121"/>
        <v>-3.2389077760124382E-2</v>
      </c>
    </row>
    <row r="3668" spans="1:7" x14ac:dyDescent="0.35">
      <c r="A3668" t="s">
        <v>191</v>
      </c>
      <c r="E3668">
        <v>-3.2133030321286355E-3</v>
      </c>
      <c r="F3668">
        <f t="shared" si="120"/>
        <v>-1.5684868598977601E-2</v>
      </c>
      <c r="G3668">
        <f t="shared" si="121"/>
        <v>-3.2389077760124382E-2</v>
      </c>
    </row>
    <row r="3669" spans="1:7" x14ac:dyDescent="0.35">
      <c r="A3669" t="s">
        <v>191</v>
      </c>
      <c r="E3669">
        <v>1.1462715057360073E-2</v>
      </c>
      <c r="F3669">
        <f t="shared" si="120"/>
        <v>-1.572163544525133E-2</v>
      </c>
      <c r="G3669">
        <f t="shared" si="121"/>
        <v>-3.2389077760124382E-2</v>
      </c>
    </row>
    <row r="3670" spans="1:7" x14ac:dyDescent="0.35">
      <c r="A3670" t="s">
        <v>191</v>
      </c>
      <c r="E3670">
        <v>-1.0154592828842063E-2</v>
      </c>
      <c r="F3670">
        <f t="shared" si="120"/>
        <v>-1.5758402291525059E-2</v>
      </c>
      <c r="G3670">
        <f t="shared" si="121"/>
        <v>-3.2389077760124382E-2</v>
      </c>
    </row>
    <row r="3671" spans="1:7" x14ac:dyDescent="0.35">
      <c r="A3671" t="s">
        <v>191</v>
      </c>
      <c r="E3671">
        <v>9.2743898268402552E-3</v>
      </c>
      <c r="F3671">
        <f t="shared" si="120"/>
        <v>-1.5795169137798788E-2</v>
      </c>
      <c r="G3671">
        <f t="shared" si="121"/>
        <v>-3.2389077760124382E-2</v>
      </c>
    </row>
    <row r="3672" spans="1:7" x14ac:dyDescent="0.35">
      <c r="A3672" t="s">
        <v>191</v>
      </c>
      <c r="E3672">
        <v>3.3261857546972784E-3</v>
      </c>
      <c r="F3672">
        <f t="shared" si="120"/>
        <v>-1.5831935984072516E-2</v>
      </c>
      <c r="G3672">
        <f t="shared" si="121"/>
        <v>-3.2389077760124382E-2</v>
      </c>
    </row>
    <row r="3673" spans="1:7" x14ac:dyDescent="0.35">
      <c r="A3673" t="s">
        <v>191</v>
      </c>
      <c r="E3673">
        <v>-3.8865724171966054E-3</v>
      </c>
      <c r="F3673">
        <f t="shared" si="120"/>
        <v>-1.5868702830346245E-2</v>
      </c>
      <c r="G3673">
        <f t="shared" si="121"/>
        <v>-3.2389077760124382E-2</v>
      </c>
    </row>
    <row r="3674" spans="1:7" x14ac:dyDescent="0.35">
      <c r="A3674" t="s">
        <v>191</v>
      </c>
      <c r="E3674">
        <v>4.6682358438942641E-3</v>
      </c>
      <c r="F3674">
        <f t="shared" si="120"/>
        <v>-1.5905469676619974E-2</v>
      </c>
      <c r="G3674">
        <f t="shared" si="121"/>
        <v>-3.2389077760124382E-2</v>
      </c>
    </row>
    <row r="3675" spans="1:7" x14ac:dyDescent="0.35">
      <c r="A3675" t="s">
        <v>191</v>
      </c>
      <c r="E3675">
        <v>3.8255853127578676E-3</v>
      </c>
      <c r="F3675">
        <f t="shared" si="120"/>
        <v>-1.5942236522893703E-2</v>
      </c>
      <c r="G3675">
        <f t="shared" si="121"/>
        <v>-3.2389077760124382E-2</v>
      </c>
    </row>
    <row r="3676" spans="1:7" x14ac:dyDescent="0.35">
      <c r="A3676" t="s">
        <v>191</v>
      </c>
      <c r="E3676">
        <v>-8.3460173095618664E-3</v>
      </c>
      <c r="F3676">
        <f t="shared" si="120"/>
        <v>-1.5979003369167431E-2</v>
      </c>
      <c r="G3676">
        <f t="shared" si="121"/>
        <v>-3.2389077760124382E-2</v>
      </c>
    </row>
    <row r="3677" spans="1:7" x14ac:dyDescent="0.35">
      <c r="A3677" t="s">
        <v>192</v>
      </c>
      <c r="B3677" s="3" cm="1">
        <f t="array" ref="B3677">_xlfn.STDEV.S(_xlfn._xlws.FILTER($E$2826:$E$3824, $A$2826:$A$3824="2024-10"))</f>
        <v>7.1809019921477389E-3</v>
      </c>
      <c r="C3677" s="3" cm="1">
        <f t="array" ref="C3677">AVERAGE(_xlfn._xlws.FILTER($E$2826:$E$3824, $A$2826:$A$3824="2024-10"))</f>
        <v>-1.3396744337004476E-3</v>
      </c>
      <c r="D3677" s="3" cm="1">
        <f t="array" ref="D3677">_xlfn.PERCENTILE.EXC(_xlfn._xlws.FILTER($E$2490:$E$3818, $A$2490:$A$3818="2024-10"), 0.05)</f>
        <v>-1.4779041445549552E-2</v>
      </c>
      <c r="E3677">
        <v>2.2468136653115379E-3</v>
      </c>
      <c r="F3677">
        <f t="shared" si="120"/>
        <v>-1.601577021544116E-2</v>
      </c>
      <c r="G3677">
        <f t="shared" si="121"/>
        <v>-3.2389077760124382E-2</v>
      </c>
    </row>
    <row r="3678" spans="1:7" x14ac:dyDescent="0.35">
      <c r="A3678" t="s">
        <v>192</v>
      </c>
      <c r="E3678">
        <v>3.555224736595696E-3</v>
      </c>
      <c r="F3678">
        <f t="shared" si="120"/>
        <v>-1.6052537061714889E-2</v>
      </c>
      <c r="G3678">
        <f t="shared" si="121"/>
        <v>-3.2389077760124382E-2</v>
      </c>
    </row>
    <row r="3679" spans="1:7" x14ac:dyDescent="0.35">
      <c r="A3679" t="s">
        <v>192</v>
      </c>
      <c r="E3679">
        <v>-1.0528763627595203E-2</v>
      </c>
      <c r="F3679">
        <f t="shared" si="120"/>
        <v>-1.6089303907988618E-2</v>
      </c>
      <c r="G3679">
        <f t="shared" si="121"/>
        <v>-3.2389077760124382E-2</v>
      </c>
    </row>
    <row r="3680" spans="1:7" x14ac:dyDescent="0.35">
      <c r="A3680" t="s">
        <v>192</v>
      </c>
      <c r="E3680">
        <v>5.3761397012362985E-3</v>
      </c>
      <c r="F3680">
        <f t="shared" si="120"/>
        <v>-1.6126070754262346E-2</v>
      </c>
      <c r="G3680">
        <f t="shared" si="121"/>
        <v>-3.2389077760124382E-2</v>
      </c>
    </row>
    <row r="3681" spans="1:7" x14ac:dyDescent="0.35">
      <c r="A3681" t="s">
        <v>192</v>
      </c>
      <c r="E3681">
        <v>-1.3229084311247785E-3</v>
      </c>
      <c r="F3681">
        <f t="shared" si="120"/>
        <v>-1.6128531109565445E-2</v>
      </c>
      <c r="G3681">
        <f t="shared" si="121"/>
        <v>-3.5099578927768049E-2</v>
      </c>
    </row>
    <row r="3682" spans="1:7" x14ac:dyDescent="0.35">
      <c r="A3682" t="s">
        <v>192</v>
      </c>
      <c r="E3682">
        <v>-1.3127391294945589E-2</v>
      </c>
      <c r="F3682">
        <f t="shared" si="120"/>
        <v>-1.6130991464868547E-2</v>
      </c>
      <c r="G3682">
        <f t="shared" si="121"/>
        <v>-3.5099578927768049E-2</v>
      </c>
    </row>
    <row r="3683" spans="1:7" x14ac:dyDescent="0.35">
      <c r="A3683" t="s">
        <v>192</v>
      </c>
      <c r="E3683">
        <v>8.0389380670275006E-3</v>
      </c>
      <c r="F3683">
        <f t="shared" si="120"/>
        <v>-1.6133451820171646E-2</v>
      </c>
      <c r="G3683">
        <f t="shared" si="121"/>
        <v>-3.5099578927768049E-2</v>
      </c>
    </row>
    <row r="3684" spans="1:7" x14ac:dyDescent="0.35">
      <c r="A3684" t="s">
        <v>192</v>
      </c>
      <c r="E3684">
        <v>3.7748606485546122E-5</v>
      </c>
      <c r="F3684">
        <f t="shared" si="120"/>
        <v>-1.6135912175474748E-2</v>
      </c>
      <c r="G3684">
        <f t="shared" si="121"/>
        <v>-3.5099578927768049E-2</v>
      </c>
    </row>
    <row r="3685" spans="1:7" x14ac:dyDescent="0.35">
      <c r="A3685" t="s">
        <v>192</v>
      </c>
      <c r="E3685">
        <v>1.272059204163073E-3</v>
      </c>
      <c r="F3685">
        <f t="shared" si="120"/>
        <v>-1.6138372530777847E-2</v>
      </c>
      <c r="G3685">
        <f t="shared" si="121"/>
        <v>-3.5099578927768049E-2</v>
      </c>
    </row>
    <row r="3686" spans="1:7" x14ac:dyDescent="0.35">
      <c r="A3686" t="s">
        <v>192</v>
      </c>
      <c r="E3686">
        <v>7.0440756909495731E-3</v>
      </c>
      <c r="F3686">
        <f t="shared" si="120"/>
        <v>-1.6140832886080946E-2</v>
      </c>
      <c r="G3686">
        <f t="shared" si="121"/>
        <v>-3.5099578927768049E-2</v>
      </c>
    </row>
    <row r="3687" spans="1:7" x14ac:dyDescent="0.35">
      <c r="A3687" t="s">
        <v>192</v>
      </c>
      <c r="E3687">
        <v>-2.7653916846896876E-3</v>
      </c>
      <c r="F3687">
        <f t="shared" si="120"/>
        <v>-1.6143293241384048E-2</v>
      </c>
      <c r="G3687">
        <f t="shared" si="121"/>
        <v>-3.5099578927768049E-2</v>
      </c>
    </row>
    <row r="3688" spans="1:7" x14ac:dyDescent="0.35">
      <c r="A3688" t="s">
        <v>192</v>
      </c>
      <c r="E3688">
        <v>6.5856014365413169E-3</v>
      </c>
      <c r="F3688">
        <f t="shared" si="120"/>
        <v>-1.6145753596687146E-2</v>
      </c>
      <c r="G3688">
        <f t="shared" si="121"/>
        <v>-3.5099578927768049E-2</v>
      </c>
    </row>
    <row r="3689" spans="1:7" x14ac:dyDescent="0.35">
      <c r="A3689" t="s">
        <v>192</v>
      </c>
      <c r="E3689">
        <v>1.1133801949174254E-2</v>
      </c>
      <c r="F3689">
        <f t="shared" si="120"/>
        <v>-1.6148213951990249E-2</v>
      </c>
      <c r="G3689">
        <f t="shared" si="121"/>
        <v>-3.5099578927768049E-2</v>
      </c>
    </row>
    <row r="3690" spans="1:7" x14ac:dyDescent="0.35">
      <c r="A3690" t="s">
        <v>192</v>
      </c>
      <c r="E3690">
        <v>-4.4732586608626744E-3</v>
      </c>
      <c r="F3690">
        <f t="shared" si="120"/>
        <v>-1.6150674307293347E-2</v>
      </c>
      <c r="G3690">
        <f t="shared" si="121"/>
        <v>-3.5099578927768049E-2</v>
      </c>
    </row>
    <row r="3691" spans="1:7" x14ac:dyDescent="0.35">
      <c r="A3691" t="s">
        <v>192</v>
      </c>
      <c r="E3691">
        <v>-4.7509558954768657E-3</v>
      </c>
      <c r="F3691">
        <f t="shared" si="120"/>
        <v>-1.6153134662596446E-2</v>
      </c>
      <c r="G3691">
        <f t="shared" si="121"/>
        <v>-3.5099578927768049E-2</v>
      </c>
    </row>
    <row r="3692" spans="1:7" x14ac:dyDescent="0.35">
      <c r="A3692" t="s">
        <v>192</v>
      </c>
      <c r="E3692">
        <v>-1.314718247932617E-3</v>
      </c>
      <c r="F3692">
        <f t="shared" si="120"/>
        <v>-1.6155595017899548E-2</v>
      </c>
      <c r="G3692">
        <f t="shared" si="121"/>
        <v>-3.5099578927768049E-2</v>
      </c>
    </row>
    <row r="3693" spans="1:7" x14ac:dyDescent="0.35">
      <c r="A3693" t="s">
        <v>192</v>
      </c>
      <c r="E3693">
        <v>-6.0912134833222224E-3</v>
      </c>
      <c r="F3693">
        <f t="shared" si="120"/>
        <v>-1.6158055373202647E-2</v>
      </c>
      <c r="G3693">
        <f t="shared" si="121"/>
        <v>-3.5099578927768049E-2</v>
      </c>
    </row>
    <row r="3694" spans="1:7" x14ac:dyDescent="0.35">
      <c r="A3694" t="s">
        <v>192</v>
      </c>
      <c r="E3694">
        <v>1.7332102136791876E-4</v>
      </c>
      <c r="F3694">
        <f t="shared" si="120"/>
        <v>-1.6160515728505749E-2</v>
      </c>
      <c r="G3694">
        <f t="shared" si="121"/>
        <v>-3.5099578927768049E-2</v>
      </c>
    </row>
    <row r="3695" spans="1:7" x14ac:dyDescent="0.35">
      <c r="A3695" t="s">
        <v>192</v>
      </c>
      <c r="E3695">
        <v>-6.2093834304916961E-4</v>
      </c>
      <c r="F3695">
        <f t="shared" si="120"/>
        <v>-1.6162976083808848E-2</v>
      </c>
      <c r="G3695">
        <f t="shared" si="121"/>
        <v>-3.5099578927768049E-2</v>
      </c>
    </row>
    <row r="3696" spans="1:7" x14ac:dyDescent="0.35">
      <c r="A3696" t="s">
        <v>192</v>
      </c>
      <c r="E3696">
        <v>3.4621657447271477E-3</v>
      </c>
      <c r="F3696">
        <f t="shared" si="120"/>
        <v>-1.6165436439111946E-2</v>
      </c>
      <c r="G3696">
        <f t="shared" si="121"/>
        <v>-3.5099578927768049E-2</v>
      </c>
    </row>
    <row r="3697" spans="1:7" x14ac:dyDescent="0.35">
      <c r="A3697" t="s">
        <v>192</v>
      </c>
      <c r="E3697">
        <v>-5.410661081650732E-3</v>
      </c>
      <c r="F3697">
        <f t="shared" si="120"/>
        <v>-1.6167896794415049E-2</v>
      </c>
      <c r="G3697">
        <f t="shared" si="121"/>
        <v>-3.5099578927768049E-2</v>
      </c>
    </row>
    <row r="3698" spans="1:7" x14ac:dyDescent="0.35">
      <c r="A3698" t="s">
        <v>192</v>
      </c>
      <c r="E3698">
        <v>-1.4477865654804902E-2</v>
      </c>
      <c r="F3698">
        <f t="shared" si="120"/>
        <v>-1.6170357149718147E-2</v>
      </c>
      <c r="G3698">
        <f t="shared" si="121"/>
        <v>-3.5099578927768049E-2</v>
      </c>
    </row>
    <row r="3699" spans="1:7" x14ac:dyDescent="0.35">
      <c r="A3699" t="s">
        <v>192</v>
      </c>
      <c r="E3699">
        <v>-1.4854335393235715E-2</v>
      </c>
      <c r="F3699">
        <f t="shared" si="120"/>
        <v>-1.617281750502125E-2</v>
      </c>
      <c r="G3699">
        <f t="shared" si="121"/>
        <v>-3.5099578927768049E-2</v>
      </c>
    </row>
    <row r="3700" spans="1:7" x14ac:dyDescent="0.35">
      <c r="A3700" t="s">
        <v>193</v>
      </c>
      <c r="B3700" s="3" cm="1">
        <f t="array" ref="B3700">_xlfn.STDEV.S(_xlfn._xlws.FILTER($E$2826:$E$3824, $A$2826:$A$3824="2024-11"))</f>
        <v>7.5634442206512992E-3</v>
      </c>
      <c r="C3700" s="3" cm="1">
        <f t="array" ref="C3700">AVERAGE(_xlfn._xlws.FILTER($E$2826:$E$3824, $A$2826:$A$3824="2024-11"))</f>
        <v>1.8296272183199748E-3</v>
      </c>
      <c r="D3700" s="3" cm="1">
        <f t="array" ref="D3700">_xlfn.PERCENTILE.EXC(_xlfn._xlws.FILTER($E$2490:$E$3818, $A$2490:$A$3818="2024-11"), 0.05)</f>
        <v>-1.7405009217700992E-2</v>
      </c>
      <c r="E3700">
        <v>1.5903798992207077E-2</v>
      </c>
      <c r="F3700">
        <f t="shared" si="120"/>
        <v>-1.6175277860324348E-2</v>
      </c>
      <c r="G3700">
        <f t="shared" si="121"/>
        <v>-3.5099578927768049E-2</v>
      </c>
    </row>
    <row r="3701" spans="1:7" x14ac:dyDescent="0.35">
      <c r="A3701" t="s">
        <v>193</v>
      </c>
      <c r="E3701">
        <v>-1.8490075004447852E-3</v>
      </c>
      <c r="F3701">
        <f t="shared" si="120"/>
        <v>-1.6296280527781409E-2</v>
      </c>
      <c r="G3701">
        <f t="shared" si="121"/>
        <v>-3.8884439141256798E-2</v>
      </c>
    </row>
    <row r="3702" spans="1:7" x14ac:dyDescent="0.35">
      <c r="A3702" t="s">
        <v>193</v>
      </c>
      <c r="E3702">
        <v>7.9517576635989087E-4</v>
      </c>
      <c r="F3702">
        <f t="shared" si="120"/>
        <v>-1.6417283195238469E-2</v>
      </c>
      <c r="G3702">
        <f t="shared" si="121"/>
        <v>-3.8884439141256798E-2</v>
      </c>
    </row>
    <row r="3703" spans="1:7" x14ac:dyDescent="0.35">
      <c r="A3703" t="s">
        <v>193</v>
      </c>
      <c r="E3703">
        <v>6.9389253820779E-3</v>
      </c>
      <c r="F3703">
        <f t="shared" si="120"/>
        <v>-1.6538285862695529E-2</v>
      </c>
      <c r="G3703">
        <f t="shared" si="121"/>
        <v>-3.8884439141256798E-2</v>
      </c>
    </row>
    <row r="3704" spans="1:7" x14ac:dyDescent="0.35">
      <c r="A3704" t="s">
        <v>193</v>
      </c>
      <c r="E3704">
        <v>-2.6984251095525597E-3</v>
      </c>
      <c r="F3704">
        <f t="shared" si="120"/>
        <v>-1.665928853015259E-2</v>
      </c>
      <c r="G3704">
        <f t="shared" si="121"/>
        <v>-3.8884439141256798E-2</v>
      </c>
    </row>
    <row r="3705" spans="1:7" x14ac:dyDescent="0.35">
      <c r="A3705" t="s">
        <v>193</v>
      </c>
      <c r="E3705">
        <v>-6.6921112918198839E-3</v>
      </c>
      <c r="F3705">
        <f t="shared" si="120"/>
        <v>-1.678029119760965E-2</v>
      </c>
      <c r="G3705">
        <f t="shared" si="121"/>
        <v>-3.8884439141256798E-2</v>
      </c>
    </row>
    <row r="3706" spans="1:7" x14ac:dyDescent="0.35">
      <c r="A3706" t="s">
        <v>193</v>
      </c>
      <c r="E3706">
        <v>9.5760193486344632E-3</v>
      </c>
      <c r="F3706">
        <f t="shared" si="120"/>
        <v>-1.690129386506671E-2</v>
      </c>
      <c r="G3706">
        <f t="shared" si="121"/>
        <v>-3.8884439141256798E-2</v>
      </c>
    </row>
    <row r="3707" spans="1:7" x14ac:dyDescent="0.35">
      <c r="A3707" t="s">
        <v>193</v>
      </c>
      <c r="E3707">
        <v>-1.8595331209465559E-2</v>
      </c>
      <c r="F3707">
        <f t="shared" si="120"/>
        <v>-1.7022296532523771E-2</v>
      </c>
      <c r="G3707">
        <f t="shared" si="121"/>
        <v>-3.8884439141256798E-2</v>
      </c>
    </row>
    <row r="3708" spans="1:7" x14ac:dyDescent="0.35">
      <c r="A3708" t="s">
        <v>193</v>
      </c>
      <c r="E3708">
        <v>2.3490178577404283E-3</v>
      </c>
      <c r="F3708">
        <f t="shared" si="120"/>
        <v>-1.6145753596687146E-2</v>
      </c>
      <c r="G3708">
        <f t="shared" si="121"/>
        <v>-3.8400428471428549E-2</v>
      </c>
    </row>
    <row r="3709" spans="1:7" x14ac:dyDescent="0.35">
      <c r="A3709" t="s">
        <v>193</v>
      </c>
      <c r="E3709">
        <v>5.4710205889124215E-3</v>
      </c>
      <c r="F3709">
        <f t="shared" si="120"/>
        <v>-1.6148213951990249E-2</v>
      </c>
      <c r="G3709">
        <f t="shared" si="121"/>
        <v>-3.8400428471428549E-2</v>
      </c>
    </row>
    <row r="3710" spans="1:7" x14ac:dyDescent="0.35">
      <c r="A3710" t="s">
        <v>193</v>
      </c>
      <c r="E3710">
        <v>-5.9928837064323233E-3</v>
      </c>
      <c r="F3710">
        <f t="shared" si="120"/>
        <v>-1.6150674307293347E-2</v>
      </c>
      <c r="G3710">
        <f t="shared" si="121"/>
        <v>-3.8400428471428549E-2</v>
      </c>
    </row>
    <row r="3711" spans="1:7" x14ac:dyDescent="0.35">
      <c r="A3711" t="s">
        <v>193</v>
      </c>
      <c r="E3711">
        <v>4.7630145268540043E-3</v>
      </c>
      <c r="F3711">
        <f t="shared" si="120"/>
        <v>-1.6153134662596446E-2</v>
      </c>
      <c r="G3711">
        <f t="shared" si="121"/>
        <v>-3.8400428471428549E-2</v>
      </c>
    </row>
    <row r="3712" spans="1:7" x14ac:dyDescent="0.35">
      <c r="A3712" t="s">
        <v>193</v>
      </c>
      <c r="E3712">
        <v>1.6288657170781534E-4</v>
      </c>
      <c r="F3712">
        <f t="shared" si="120"/>
        <v>-1.6155595017899548E-2</v>
      </c>
      <c r="G3712">
        <f t="shared" si="121"/>
        <v>-3.8400428471428549E-2</v>
      </c>
    </row>
    <row r="3713" spans="1:7" x14ac:dyDescent="0.35">
      <c r="A3713" t="s">
        <v>193</v>
      </c>
      <c r="E3713">
        <v>1.4807222260487171E-3</v>
      </c>
      <c r="F3713">
        <f t="shared" si="120"/>
        <v>-1.6158055373202647E-2</v>
      </c>
      <c r="G3713">
        <f t="shared" si="121"/>
        <v>-3.8400428471428549E-2</v>
      </c>
    </row>
    <row r="3714" spans="1:7" x14ac:dyDescent="0.35">
      <c r="A3714" t="s">
        <v>193</v>
      </c>
      <c r="E3714">
        <v>7.8191398720674279E-3</v>
      </c>
      <c r="F3714">
        <f t="shared" si="120"/>
        <v>-1.6160515728505749E-2</v>
      </c>
      <c r="G3714">
        <f t="shared" si="121"/>
        <v>-3.8400428471428549E-2</v>
      </c>
    </row>
    <row r="3715" spans="1:7" x14ac:dyDescent="0.35">
      <c r="A3715" t="s">
        <v>193</v>
      </c>
      <c r="E3715">
        <v>1.4777657827653602E-2</v>
      </c>
      <c r="F3715">
        <f t="shared" si="120"/>
        <v>-1.6162976083808848E-2</v>
      </c>
      <c r="G3715">
        <f t="shared" si="121"/>
        <v>-3.8400428471428549E-2</v>
      </c>
    </row>
    <row r="3716" spans="1:7" x14ac:dyDescent="0.35">
      <c r="A3716" t="s">
        <v>193</v>
      </c>
      <c r="E3716">
        <v>-9.2016961465356891E-4</v>
      </c>
      <c r="F3716">
        <f t="shared" ref="F3716:F3779" si="122">_xlfn.PERCENTILE.EXC(E3716:E7531,0.05)</f>
        <v>-1.6165436439111946E-2</v>
      </c>
      <c r="G3716">
        <f t="shared" ref="G3716:G3779" si="123">AVERAGEIFS(E3716:E7532,E3716:E7532,"&lt;=" &amp; F3716)</f>
        <v>-3.8400428471428549E-2</v>
      </c>
    </row>
    <row r="3717" spans="1:7" x14ac:dyDescent="0.35">
      <c r="A3717" t="s">
        <v>193</v>
      </c>
      <c r="E3717">
        <v>-3.8243692403301657E-3</v>
      </c>
      <c r="F3717">
        <f t="shared" si="122"/>
        <v>-1.6167896794415049E-2</v>
      </c>
      <c r="G3717">
        <f t="shared" si="123"/>
        <v>-3.8400428471428549E-2</v>
      </c>
    </row>
    <row r="3718" spans="1:7" x14ac:dyDescent="0.35">
      <c r="A3718" t="s">
        <v>193</v>
      </c>
      <c r="E3718">
        <v>2.8264368626329645E-3</v>
      </c>
      <c r="F3718">
        <f t="shared" si="122"/>
        <v>-1.6170357149718147E-2</v>
      </c>
      <c r="G3718">
        <f t="shared" si="123"/>
        <v>-3.8400428471428549E-2</v>
      </c>
    </row>
    <row r="3719" spans="1:7" x14ac:dyDescent="0.35">
      <c r="A3719" t="s">
        <v>193</v>
      </c>
      <c r="E3719">
        <v>3.9838096781033335E-3</v>
      </c>
      <c r="F3719">
        <f t="shared" si="122"/>
        <v>-1.617281750502125E-2</v>
      </c>
      <c r="G3719">
        <f t="shared" si="123"/>
        <v>-3.8400428471428549E-2</v>
      </c>
    </row>
    <row r="3720" spans="1:7" x14ac:dyDescent="0.35">
      <c r="A3720" t="s">
        <v>193</v>
      </c>
      <c r="E3720">
        <v>2.1468437564182742E-3</v>
      </c>
      <c r="F3720">
        <f t="shared" si="122"/>
        <v>-1.6175277860324348E-2</v>
      </c>
      <c r="G3720">
        <f t="shared" si="123"/>
        <v>-3.8400428471428549E-2</v>
      </c>
    </row>
    <row r="3721" spans="1:7" x14ac:dyDescent="0.35">
      <c r="A3721" t="s">
        <v>194</v>
      </c>
      <c r="B3721" s="3" cm="1">
        <f t="array" ref="B3721">_xlfn.STDEV.S(_xlfn._xlws.FILTER($E$2826:$E$3824, $A$2826:$A$3824="2024-12"))</f>
        <v>5.7077817285100026E-3</v>
      </c>
      <c r="C3721" s="3" cm="1">
        <f t="array" ref="C3721">AVERAGE(_xlfn._xlws.FILTER($E$2826:$E$3824, $A$2826:$A$3824="2024-12"))</f>
        <v>-9.9086861883385374E-4</v>
      </c>
      <c r="D3721" s="3" cm="1">
        <f t="array" ref="D3721">_xlfn.PERCENTILE.INC(_xlfn._xlws.FILTER($E$2490:$E$3818, $A$2490:$A$3818="2024-12"), 0.05)</f>
        <v>-8.6884602460397427E-3</v>
      </c>
      <c r="E3721">
        <v>4.3747401658493085E-3</v>
      </c>
      <c r="F3721">
        <f t="shared" si="122"/>
        <v>-1.6489769538195097E-2</v>
      </c>
      <c r="G3721">
        <f t="shared" si="123"/>
        <v>-4.3956716124204598E-2</v>
      </c>
    </row>
    <row r="3722" spans="1:7" x14ac:dyDescent="0.35">
      <c r="A3722" t="s">
        <v>194</v>
      </c>
      <c r="E3722">
        <v>5.4679992250390493E-3</v>
      </c>
      <c r="F3722">
        <f t="shared" si="122"/>
        <v>-1.680426121606585E-2</v>
      </c>
      <c r="G3722">
        <f t="shared" si="123"/>
        <v>-4.3956716124204598E-2</v>
      </c>
    </row>
    <row r="3723" spans="1:7" x14ac:dyDescent="0.35">
      <c r="A3723" t="s">
        <v>194</v>
      </c>
      <c r="E3723">
        <v>-1.6188681053097222E-3</v>
      </c>
      <c r="F3723">
        <f t="shared" si="122"/>
        <v>-1.7118752893936599E-2</v>
      </c>
      <c r="G3723">
        <f t="shared" si="123"/>
        <v>-4.3956716124204598E-2</v>
      </c>
    </row>
    <row r="3724" spans="1:7" x14ac:dyDescent="0.35">
      <c r="A3724" t="s">
        <v>194</v>
      </c>
      <c r="E3724">
        <v>1.0451659160563814E-3</v>
      </c>
      <c r="F3724">
        <f t="shared" si="122"/>
        <v>-1.7433244571807349E-2</v>
      </c>
      <c r="G3724">
        <f t="shared" si="123"/>
        <v>-4.3956716124204598E-2</v>
      </c>
    </row>
    <row r="3725" spans="1:7" x14ac:dyDescent="0.35">
      <c r="A3725" t="s">
        <v>194</v>
      </c>
      <c r="E3725">
        <v>-4.7766918331780149E-3</v>
      </c>
      <c r="F3725">
        <f t="shared" si="122"/>
        <v>-1.7747736249678105E-2</v>
      </c>
      <c r="G3725">
        <f t="shared" si="123"/>
        <v>-4.3956716124204598E-2</v>
      </c>
    </row>
    <row r="3726" spans="1:7" x14ac:dyDescent="0.35">
      <c r="A3726" t="s">
        <v>194</v>
      </c>
      <c r="E3726">
        <v>7.075672623297051E-3</v>
      </c>
      <c r="F3726">
        <f t="shared" si="122"/>
        <v>-1.8062227927548857E-2</v>
      </c>
      <c r="G3726">
        <f t="shared" si="123"/>
        <v>-4.3956716124204598E-2</v>
      </c>
    </row>
    <row r="3727" spans="1:7" x14ac:dyDescent="0.35">
      <c r="A3727" t="s">
        <v>194</v>
      </c>
      <c r="E3727">
        <v>-5.1748898622623182E-3</v>
      </c>
      <c r="F3727">
        <f t="shared" si="122"/>
        <v>-1.8376719605419607E-2</v>
      </c>
      <c r="G3727">
        <f t="shared" si="123"/>
        <v>-4.3956716124204598E-2</v>
      </c>
    </row>
    <row r="3728" spans="1:7" x14ac:dyDescent="0.35">
      <c r="A3728" t="s">
        <v>194</v>
      </c>
      <c r="E3728">
        <v>4.4242732904908721E-3</v>
      </c>
      <c r="F3728">
        <f t="shared" si="122"/>
        <v>-1.8691211283290356E-2</v>
      </c>
      <c r="G3728">
        <f t="shared" si="123"/>
        <v>-4.3956716124204598E-2</v>
      </c>
    </row>
    <row r="3729" spans="1:7" x14ac:dyDescent="0.35">
      <c r="A3729" t="s">
        <v>194</v>
      </c>
      <c r="E3729">
        <v>-3.1619560120623035E-3</v>
      </c>
      <c r="F3729">
        <f t="shared" si="122"/>
        <v>-1.9005702961161112E-2</v>
      </c>
      <c r="G3729">
        <f t="shared" si="123"/>
        <v>-4.3956716124204598E-2</v>
      </c>
    </row>
    <row r="3730" spans="1:7" x14ac:dyDescent="0.35">
      <c r="A3730" t="s">
        <v>194</v>
      </c>
      <c r="E3730">
        <v>-7.3759407445886955E-3</v>
      </c>
      <c r="F3730">
        <f t="shared" si="122"/>
        <v>-1.9320194639031861E-2</v>
      </c>
      <c r="G3730">
        <f t="shared" si="123"/>
        <v>-4.3956716124204598E-2</v>
      </c>
    </row>
    <row r="3731" spans="1:7" x14ac:dyDescent="0.35">
      <c r="A3731" t="s">
        <v>194</v>
      </c>
      <c r="E3731">
        <v>-1.1502074938114747E-3</v>
      </c>
      <c r="F3731">
        <f t="shared" si="122"/>
        <v>-1.9634686316902614E-2</v>
      </c>
      <c r="G3731">
        <f t="shared" si="123"/>
        <v>-4.3956716124204598E-2</v>
      </c>
    </row>
    <row r="3732" spans="1:7" x14ac:dyDescent="0.35">
      <c r="A3732" t="s">
        <v>194</v>
      </c>
      <c r="E3732">
        <v>-4.1640088046897795E-3</v>
      </c>
      <c r="F3732">
        <f t="shared" si="122"/>
        <v>-1.9949177994773363E-2</v>
      </c>
      <c r="G3732">
        <f t="shared" si="123"/>
        <v>-4.3956716124204598E-2</v>
      </c>
    </row>
    <row r="3733" spans="1:7" x14ac:dyDescent="0.35">
      <c r="A3733" t="s">
        <v>194</v>
      </c>
      <c r="E3733">
        <v>1.6808447659863628E-3</v>
      </c>
      <c r="F3733">
        <f t="shared" si="122"/>
        <v>-2.0263669672644112E-2</v>
      </c>
      <c r="G3733">
        <f t="shared" si="123"/>
        <v>-4.3956716124204598E-2</v>
      </c>
    </row>
    <row r="3734" spans="1:7" x14ac:dyDescent="0.35">
      <c r="A3734" t="s">
        <v>194</v>
      </c>
      <c r="E3734">
        <v>-1.6126070754262346E-2</v>
      </c>
      <c r="F3734">
        <f t="shared" si="122"/>
        <v>-2.0578161350514868E-2</v>
      </c>
      <c r="G3734">
        <f t="shared" si="123"/>
        <v>-4.3956716124204598E-2</v>
      </c>
    </row>
    <row r="3735" spans="1:7" x14ac:dyDescent="0.35">
      <c r="A3735" t="s">
        <v>194</v>
      </c>
      <c r="E3735">
        <v>-1.517600865460874E-3</v>
      </c>
      <c r="F3735">
        <f t="shared" si="122"/>
        <v>-2.0892653028385621E-2</v>
      </c>
      <c r="G3735">
        <f t="shared" si="123"/>
        <v>-4.3956716124204598E-2</v>
      </c>
    </row>
    <row r="3736" spans="1:7" x14ac:dyDescent="0.35">
      <c r="A3736" t="s">
        <v>194</v>
      </c>
      <c r="E3736">
        <v>-1.3925283170429232E-3</v>
      </c>
      <c r="F3736">
        <f t="shared" si="122"/>
        <v>-2.120714470625637E-2</v>
      </c>
      <c r="G3736">
        <f t="shared" si="123"/>
        <v>-4.3956716124204598E-2</v>
      </c>
    </row>
    <row r="3737" spans="1:7" x14ac:dyDescent="0.35">
      <c r="A3737" t="s">
        <v>194</v>
      </c>
      <c r="E3737">
        <v>6.6915298701301761E-3</v>
      </c>
      <c r="F3737">
        <f t="shared" si="122"/>
        <v>-2.1521636384127119E-2</v>
      </c>
      <c r="G3737">
        <f t="shared" si="123"/>
        <v>-4.3956716124204598E-2</v>
      </c>
    </row>
    <row r="3738" spans="1:7" x14ac:dyDescent="0.35">
      <c r="A3738" t="s">
        <v>194</v>
      </c>
      <c r="E3738">
        <v>-2.1370982031901201E-3</v>
      </c>
      <c r="F3738">
        <f t="shared" si="122"/>
        <v>-2.1836128061997872E-2</v>
      </c>
      <c r="G3738">
        <f t="shared" si="123"/>
        <v>-4.3956716124204598E-2</v>
      </c>
    </row>
    <row r="3739" spans="1:7" x14ac:dyDescent="0.35">
      <c r="A3739" t="s">
        <v>195</v>
      </c>
      <c r="B3739" s="3" cm="1">
        <f t="array" ref="B3739">_xlfn.STDEV.S(_xlfn._xlws.FILTER($E$2826:$E$3824, $A$2826:$A$3824="2025-01"))</f>
        <v>7.129910263965809E-3</v>
      </c>
      <c r="C3739" s="3" cm="1">
        <f t="array" ref="C3739">AVERAGE(_xlfn._xlws.FILTER($E$2826:$E$3824, $A$2826:$A$3824="2025-01"))</f>
        <v>2.5496481610294288E-3</v>
      </c>
      <c r="D3739" s="3" cm="1">
        <f t="array" ref="D3739">_xlfn.PERCENTILE.EXC(_xlfn._xlws.FILTER($E$2490:$E$3818, $A$2490:$A$3818="2025-01"), 0.05)</f>
        <v>-9.7687297349150111E-3</v>
      </c>
      <c r="E3739">
        <v>1.5583293098966043E-2</v>
      </c>
      <c r="F3739">
        <f t="shared" si="122"/>
        <v>-2.2150619739868628E-2</v>
      </c>
      <c r="G3739">
        <f t="shared" si="123"/>
        <v>-4.3956716124204598E-2</v>
      </c>
    </row>
    <row r="3740" spans="1:7" x14ac:dyDescent="0.35">
      <c r="A3740" t="s">
        <v>195</v>
      </c>
      <c r="E3740">
        <v>-3.8796797493324767E-3</v>
      </c>
      <c r="F3740">
        <f t="shared" si="122"/>
        <v>-2.2465111417739377E-2</v>
      </c>
      <c r="G3740">
        <f t="shared" si="123"/>
        <v>-4.3956716124204598E-2</v>
      </c>
    </row>
    <row r="3741" spans="1:7" x14ac:dyDescent="0.35">
      <c r="A3741" t="s">
        <v>195</v>
      </c>
      <c r="E3741">
        <v>2.4366942847375427E-3</v>
      </c>
      <c r="F3741">
        <f t="shared" si="122"/>
        <v>-2.326535411474882E-2</v>
      </c>
      <c r="G3741">
        <f t="shared" si="123"/>
        <v>-5.1120584359693001E-2</v>
      </c>
    </row>
    <row r="3742" spans="1:7" x14ac:dyDescent="0.35">
      <c r="A3742" t="s">
        <v>195</v>
      </c>
      <c r="E3742">
        <v>5.3573555802190882E-5</v>
      </c>
      <c r="F3742">
        <f t="shared" si="122"/>
        <v>-2.4065596811758259E-2</v>
      </c>
      <c r="G3742">
        <f t="shared" si="123"/>
        <v>-5.1120584359693001E-2</v>
      </c>
    </row>
    <row r="3743" spans="1:7" x14ac:dyDescent="0.35">
      <c r="A3743" t="s">
        <v>195</v>
      </c>
      <c r="E3743">
        <v>-5.797960958209101E-3</v>
      </c>
      <c r="F3743">
        <f t="shared" si="122"/>
        <v>-2.4865839508767709E-2</v>
      </c>
      <c r="G3743">
        <f t="shared" si="123"/>
        <v>-5.1120584359693001E-2</v>
      </c>
    </row>
    <row r="3744" spans="1:7" x14ac:dyDescent="0.35">
      <c r="A3744" t="s">
        <v>195</v>
      </c>
      <c r="E3744">
        <v>5.5090492188549084E-3</v>
      </c>
      <c r="F3744">
        <f t="shared" si="122"/>
        <v>-2.5666082205777152E-2</v>
      </c>
      <c r="G3744">
        <f t="shared" si="123"/>
        <v>-5.1120584359693001E-2</v>
      </c>
    </row>
    <row r="3745" spans="1:7" x14ac:dyDescent="0.35">
      <c r="A3745" t="s">
        <v>195</v>
      </c>
      <c r="E3745">
        <v>-9.97498576976894E-3</v>
      </c>
      <c r="F3745">
        <f t="shared" si="122"/>
        <v>-2.6466324902786602E-2</v>
      </c>
      <c r="G3745">
        <f t="shared" si="123"/>
        <v>-5.1120584359693001E-2</v>
      </c>
    </row>
    <row r="3746" spans="1:7" x14ac:dyDescent="0.35">
      <c r="A3746" t="s">
        <v>195</v>
      </c>
      <c r="E3746">
        <v>-4.2465068643834213E-3</v>
      </c>
      <c r="F3746">
        <f t="shared" si="122"/>
        <v>-2.7266567599796045E-2</v>
      </c>
      <c r="G3746">
        <f t="shared" si="123"/>
        <v>-5.1120584359693001E-2</v>
      </c>
    </row>
    <row r="3747" spans="1:7" x14ac:dyDescent="0.35">
      <c r="A3747" t="s">
        <v>195</v>
      </c>
      <c r="E3747">
        <v>-8.5999455374094168E-3</v>
      </c>
      <c r="F3747">
        <f t="shared" si="122"/>
        <v>-2.8066810296805488E-2</v>
      </c>
      <c r="G3747">
        <f t="shared" si="123"/>
        <v>-5.1120584359693001E-2</v>
      </c>
    </row>
    <row r="3748" spans="1:7" x14ac:dyDescent="0.35">
      <c r="A3748" t="s">
        <v>195</v>
      </c>
      <c r="E3748">
        <v>1.4641081581510371E-2</v>
      </c>
      <c r="F3748">
        <f t="shared" si="122"/>
        <v>-2.8867052993814937E-2</v>
      </c>
      <c r="G3748">
        <f t="shared" si="123"/>
        <v>-5.1120584359693001E-2</v>
      </c>
    </row>
    <row r="3749" spans="1:7" x14ac:dyDescent="0.35">
      <c r="A3749" t="s">
        <v>195</v>
      </c>
      <c r="E3749">
        <v>1.1605906237709993E-2</v>
      </c>
      <c r="F3749">
        <f t="shared" si="122"/>
        <v>-2.966729569082438E-2</v>
      </c>
      <c r="G3749">
        <f t="shared" si="123"/>
        <v>-5.1120584359693001E-2</v>
      </c>
    </row>
    <row r="3750" spans="1:7" x14ac:dyDescent="0.35">
      <c r="A3750" t="s">
        <v>195</v>
      </c>
      <c r="E3750">
        <v>9.7244316530426134E-3</v>
      </c>
      <c r="F3750">
        <f t="shared" si="122"/>
        <v>-3.046753838783383E-2</v>
      </c>
      <c r="G3750">
        <f t="shared" si="123"/>
        <v>-5.1120584359693001E-2</v>
      </c>
    </row>
    <row r="3751" spans="1:7" x14ac:dyDescent="0.35">
      <c r="A3751" t="s">
        <v>195</v>
      </c>
      <c r="E3751">
        <v>5.5280395823833106E-4</v>
      </c>
      <c r="F3751">
        <f t="shared" si="122"/>
        <v>-3.1267781084843273E-2</v>
      </c>
      <c r="G3751">
        <f t="shared" si="123"/>
        <v>-5.1120584359693001E-2</v>
      </c>
    </row>
    <row r="3752" spans="1:7" x14ac:dyDescent="0.35">
      <c r="A3752" t="s">
        <v>195</v>
      </c>
      <c r="E3752">
        <v>3.4633655385962383E-3</v>
      </c>
      <c r="F3752">
        <f t="shared" si="122"/>
        <v>-3.2068023781852716E-2</v>
      </c>
      <c r="G3752">
        <f t="shared" si="123"/>
        <v>-5.1120584359693001E-2</v>
      </c>
    </row>
    <row r="3753" spans="1:7" x14ac:dyDescent="0.35">
      <c r="A3753" t="s">
        <v>195</v>
      </c>
      <c r="E3753">
        <v>-3.1038889767725879E-4</v>
      </c>
      <c r="F3753">
        <f t="shared" si="122"/>
        <v>-3.2868266478862165E-2</v>
      </c>
      <c r="G3753">
        <f t="shared" si="123"/>
        <v>-5.1120584359693001E-2</v>
      </c>
    </row>
    <row r="3754" spans="1:7" x14ac:dyDescent="0.35">
      <c r="A3754" t="s">
        <v>195</v>
      </c>
      <c r="E3754">
        <v>4.5732441574816022E-3</v>
      </c>
      <c r="F3754">
        <f t="shared" si="122"/>
        <v>-3.3668509175871601E-2</v>
      </c>
      <c r="G3754">
        <f t="shared" si="123"/>
        <v>-5.1120584359693001E-2</v>
      </c>
    </row>
    <row r="3755" spans="1:7" x14ac:dyDescent="0.35">
      <c r="A3755" t="s">
        <v>195</v>
      </c>
      <c r="E3755">
        <v>-5.1935191679204698E-3</v>
      </c>
      <c r="F3755">
        <f t="shared" si="122"/>
        <v>-3.4468751872881051E-2</v>
      </c>
      <c r="G3755">
        <f t="shared" si="123"/>
        <v>-5.1120584359693001E-2</v>
      </c>
    </row>
    <row r="3756" spans="1:7" x14ac:dyDescent="0.35">
      <c r="A3756" t="s">
        <v>195</v>
      </c>
      <c r="E3756">
        <v>1.2136407597135796E-3</v>
      </c>
      <c r="F3756">
        <f t="shared" si="122"/>
        <v>-3.5268994569890494E-2</v>
      </c>
      <c r="G3756">
        <f t="shared" si="123"/>
        <v>-5.1120584359693001E-2</v>
      </c>
    </row>
    <row r="3757" spans="1:7" x14ac:dyDescent="0.35">
      <c r="A3757" t="s">
        <v>195</v>
      </c>
      <c r="E3757">
        <v>5.6788159112874E-3</v>
      </c>
      <c r="F3757">
        <f t="shared" si="122"/>
        <v>-3.6069237266899937E-2</v>
      </c>
      <c r="G3757">
        <f t="shared" si="123"/>
        <v>-5.1120584359693001E-2</v>
      </c>
    </row>
    <row r="3758" spans="1:7" x14ac:dyDescent="0.35">
      <c r="A3758" t="s">
        <v>195</v>
      </c>
      <c r="E3758">
        <v>4.5182543782500409E-3</v>
      </c>
      <c r="F3758">
        <f t="shared" si="122"/>
        <v>-3.6869479963909386E-2</v>
      </c>
      <c r="G3758">
        <f t="shared" si="123"/>
        <v>-5.1120584359693001E-2</v>
      </c>
    </row>
    <row r="3759" spans="1:7" x14ac:dyDescent="0.35">
      <c r="A3759" t="s">
        <v>195</v>
      </c>
      <c r="E3759">
        <v>1.0979248772266036E-2</v>
      </c>
      <c r="F3759">
        <f t="shared" si="122"/>
        <v>-3.7669722660918829E-2</v>
      </c>
      <c r="G3759">
        <f t="shared" si="123"/>
        <v>-5.1120584359693001E-2</v>
      </c>
    </row>
    <row r="3760" spans="1:7" x14ac:dyDescent="0.35">
      <c r="A3760" t="s">
        <v>195</v>
      </c>
      <c r="E3760">
        <v>3.5618433808916167E-3</v>
      </c>
      <c r="F3760">
        <f t="shared" si="122"/>
        <v>-3.8469965357928279E-2</v>
      </c>
      <c r="G3760">
        <f t="shared" si="123"/>
        <v>-5.1120584359693001E-2</v>
      </c>
    </row>
    <row r="3761" spans="1:7" x14ac:dyDescent="0.35">
      <c r="A3761" t="s">
        <v>196</v>
      </c>
      <c r="B3761" s="3" cm="1">
        <f t="array" ref="B3761">_xlfn.STDEV.S(_xlfn._xlws.FILTER($E$2826:$E$3824, $A$2826:$A$3824="2025-02"))</f>
        <v>4.9276149875332187E-3</v>
      </c>
      <c r="C3761" s="3" cm="1">
        <f t="array" ref="C3761">AVERAGE(_xlfn._xlws.FILTER($E$2826:$E$3824, $A$2826:$A$3824="2025-02"))</f>
        <v>1.4301609153287288E-3</v>
      </c>
      <c r="D3761" s="3" cm="1">
        <f t="array" ref="D3761">_xlfn.PERCENTILE.EXC(_xlfn._xlws.FILTER($E$2490:$E$3818, $A$2490:$A$3818="2025-02"), 0.05)</f>
        <v>-6.8207445376446286E-3</v>
      </c>
      <c r="E3761">
        <v>-1.7792831866326644E-3</v>
      </c>
      <c r="F3761">
        <f t="shared" si="122"/>
        <v>-3.9252326020128583E-2</v>
      </c>
      <c r="G3761">
        <f t="shared" si="123"/>
        <v>-5.7445893860575373E-2</v>
      </c>
    </row>
    <row r="3762" spans="1:7" x14ac:dyDescent="0.35">
      <c r="A3762" t="s">
        <v>196</v>
      </c>
      <c r="E3762">
        <v>-3.7274934852525973E-3</v>
      </c>
      <c r="F3762">
        <f t="shared" si="122"/>
        <v>-4.0034686682328888E-2</v>
      </c>
      <c r="G3762">
        <f t="shared" si="123"/>
        <v>-5.7445893860575373E-2</v>
      </c>
    </row>
    <row r="3763" spans="1:7" x14ac:dyDescent="0.35">
      <c r="A3763" t="s">
        <v>196</v>
      </c>
      <c r="E3763">
        <v>4.0545544912233399E-3</v>
      </c>
      <c r="F3763">
        <f t="shared" si="122"/>
        <v>-4.0817047344529206E-2</v>
      </c>
      <c r="G3763">
        <f t="shared" si="123"/>
        <v>-5.7445893860575373E-2</v>
      </c>
    </row>
    <row r="3764" spans="1:7" x14ac:dyDescent="0.35">
      <c r="A3764" t="s">
        <v>196</v>
      </c>
      <c r="E3764">
        <v>1.05590324029854E-2</v>
      </c>
      <c r="F3764">
        <f t="shared" si="122"/>
        <v>-4.159940800672951E-2</v>
      </c>
      <c r="G3764">
        <f t="shared" si="123"/>
        <v>-5.7445893860575373E-2</v>
      </c>
    </row>
    <row r="3765" spans="1:7" x14ac:dyDescent="0.35">
      <c r="A3765" t="s">
        <v>196</v>
      </c>
      <c r="E3765">
        <v>-7.0228142574305823E-4</v>
      </c>
      <c r="F3765">
        <f t="shared" si="122"/>
        <v>-4.2381768668929821E-2</v>
      </c>
      <c r="G3765">
        <f t="shared" si="123"/>
        <v>-5.7445893860575373E-2</v>
      </c>
    </row>
    <row r="3766" spans="1:7" x14ac:dyDescent="0.35">
      <c r="A3766" t="s">
        <v>196</v>
      </c>
      <c r="E3766">
        <v>6.8151384102460187E-3</v>
      </c>
      <c r="F3766">
        <f t="shared" si="122"/>
        <v>-4.3164129331130126E-2</v>
      </c>
      <c r="G3766">
        <f t="shared" si="123"/>
        <v>-5.7445893860575373E-2</v>
      </c>
    </row>
    <row r="3767" spans="1:7" x14ac:dyDescent="0.35">
      <c r="A3767" t="s">
        <v>196</v>
      </c>
      <c r="E3767">
        <v>1.349290331126728E-3</v>
      </c>
      <c r="F3767">
        <f t="shared" si="122"/>
        <v>-4.3946489993330437E-2</v>
      </c>
      <c r="G3767">
        <f t="shared" si="123"/>
        <v>-5.7445893860575373E-2</v>
      </c>
    </row>
    <row r="3768" spans="1:7" x14ac:dyDescent="0.35">
      <c r="A3768" t="s">
        <v>196</v>
      </c>
      <c r="E3768">
        <v>5.2015026460052244E-5</v>
      </c>
      <c r="F3768">
        <f t="shared" si="122"/>
        <v>-4.4728850655530741E-2</v>
      </c>
      <c r="G3768">
        <f t="shared" si="123"/>
        <v>-5.7445893860575373E-2</v>
      </c>
    </row>
    <row r="3769" spans="1:7" x14ac:dyDescent="0.35">
      <c r="A3769" t="s">
        <v>196</v>
      </c>
      <c r="E3769">
        <v>-1.342242611137119E-3</v>
      </c>
      <c r="F3769">
        <f t="shared" si="122"/>
        <v>-4.5511211317731053E-2</v>
      </c>
      <c r="G3769">
        <f t="shared" si="123"/>
        <v>-5.7445893860575373E-2</v>
      </c>
    </row>
    <row r="3770" spans="1:7" x14ac:dyDescent="0.35">
      <c r="A3770" t="s">
        <v>196</v>
      </c>
      <c r="E3770">
        <v>-4.5027233732009859E-3</v>
      </c>
      <c r="F3770">
        <f t="shared" si="122"/>
        <v>-4.6293571979931364E-2</v>
      </c>
      <c r="G3770">
        <f t="shared" si="123"/>
        <v>-5.7445893860575373E-2</v>
      </c>
    </row>
    <row r="3771" spans="1:7" x14ac:dyDescent="0.35">
      <c r="A3771" t="s">
        <v>196</v>
      </c>
      <c r="E3771">
        <v>7.4592595545449293E-3</v>
      </c>
      <c r="F3771">
        <f t="shared" si="122"/>
        <v>-4.7075932642131668E-2</v>
      </c>
      <c r="G3771">
        <f t="shared" si="123"/>
        <v>-5.7445893860575373E-2</v>
      </c>
    </row>
    <row r="3772" spans="1:7" x14ac:dyDescent="0.35">
      <c r="A3772" t="s">
        <v>196</v>
      </c>
      <c r="E3772">
        <v>1.5660385226575965E-3</v>
      </c>
      <c r="F3772">
        <f t="shared" si="122"/>
        <v>-4.7858293304331972E-2</v>
      </c>
      <c r="G3772">
        <f t="shared" si="123"/>
        <v>-5.7445893860575373E-2</v>
      </c>
    </row>
    <row r="3773" spans="1:7" x14ac:dyDescent="0.35">
      <c r="A3773" t="s">
        <v>196</v>
      </c>
      <c r="E3773">
        <v>-4.8945642345478175E-3</v>
      </c>
      <c r="F3773">
        <f t="shared" si="122"/>
        <v>-4.8640653966532291E-2</v>
      </c>
      <c r="G3773">
        <f t="shared" si="123"/>
        <v>-5.7445893860575373E-2</v>
      </c>
    </row>
    <row r="3774" spans="1:7" x14ac:dyDescent="0.35">
      <c r="A3774" t="s">
        <v>196</v>
      </c>
      <c r="E3774">
        <v>-6.9221224483339344E-3</v>
      </c>
      <c r="F3774">
        <f t="shared" si="122"/>
        <v>-4.9423014628732595E-2</v>
      </c>
      <c r="G3774">
        <f t="shared" si="123"/>
        <v>-5.7445893860575373E-2</v>
      </c>
    </row>
    <row r="3775" spans="1:7" x14ac:dyDescent="0.35">
      <c r="A3775" t="s">
        <v>196</v>
      </c>
      <c r="E3775">
        <v>1.433755102086938E-3</v>
      </c>
      <c r="F3775">
        <f t="shared" si="122"/>
        <v>-5.0205375290932906E-2</v>
      </c>
      <c r="G3775">
        <f t="shared" si="123"/>
        <v>-5.7445893860575373E-2</v>
      </c>
    </row>
    <row r="3776" spans="1:7" x14ac:dyDescent="0.35">
      <c r="A3776" t="s">
        <v>196</v>
      </c>
      <c r="E3776">
        <v>-1.3958227186690658E-3</v>
      </c>
      <c r="F3776">
        <f t="shared" si="122"/>
        <v>-5.0987735953133211E-2</v>
      </c>
      <c r="G3776">
        <f t="shared" si="123"/>
        <v>-5.7445893860575373E-2</v>
      </c>
    </row>
    <row r="3777" spans="1:7" x14ac:dyDescent="0.35">
      <c r="A3777" t="s">
        <v>196</v>
      </c>
      <c r="E3777">
        <v>1.7121224757338032E-4</v>
      </c>
      <c r="F3777">
        <f t="shared" si="122"/>
        <v>-5.1770096615333522E-2</v>
      </c>
      <c r="G3777">
        <f t="shared" si="123"/>
        <v>-5.7445893860575373E-2</v>
      </c>
    </row>
    <row r="3778" spans="1:7" x14ac:dyDescent="0.35">
      <c r="A3778" t="s">
        <v>196</v>
      </c>
      <c r="E3778">
        <v>9.8104036735067596E-3</v>
      </c>
      <c r="F3778">
        <f t="shared" si="122"/>
        <v>-5.2552457277533833E-2</v>
      </c>
      <c r="G3778">
        <f t="shared" si="123"/>
        <v>-5.7445893860575373E-2</v>
      </c>
    </row>
    <row r="3779" spans="1:7" x14ac:dyDescent="0.35">
      <c r="A3779" t="s">
        <v>196</v>
      </c>
      <c r="E3779">
        <v>5.3681142428294321E-3</v>
      </c>
      <c r="F3779">
        <f t="shared" si="122"/>
        <v>-5.3334817939734137E-2</v>
      </c>
      <c r="G3779">
        <f t="shared" si="123"/>
        <v>-5.7445893860575373E-2</v>
      </c>
    </row>
    <row r="3780" spans="1:7" x14ac:dyDescent="0.35">
      <c r="A3780" t="s">
        <v>196</v>
      </c>
      <c r="E3780">
        <v>5.2309377848512428E-3</v>
      </c>
      <c r="F3780">
        <f t="shared" ref="F3780:F3818" si="124">_xlfn.PERCENTILE.EXC(E3780:E7595,0.05)</f>
        <v>-5.4117178601934449E-2</v>
      </c>
      <c r="G3780">
        <f t="shared" ref="G3780:G3818" si="125">AVERAGEIFS(E3780:E7596,E3780:E7596,"&lt;=" &amp; F3780)</f>
        <v>-5.7445893860575373E-2</v>
      </c>
    </row>
    <row r="3781" spans="1:7" x14ac:dyDescent="0.35">
      <c r="A3781" t="s">
        <v>197</v>
      </c>
      <c r="B3781" s="3" cm="1">
        <f t="array" ref="B3781">_xlfn.STDEV.S(_xlfn._xlws.FILTER($E$2826:$E$3824, $A$2826:$A$3824="2025-03"))</f>
        <v>7.9629376823725853E-3</v>
      </c>
      <c r="C3781" s="3" cm="1">
        <f t="array" ref="C3781">AVERAGE(_xlfn._xlws.FILTER($E$2826:$E$3824, $A$2826:$A$3824="2025-03"))</f>
        <v>-1.9223302270013653E-3</v>
      </c>
      <c r="D3781" s="3" cm="1">
        <f t="array" ref="D3781">_xlfn.PERCENTILE.EXC(_xlfn._xlws.FILTER($E$2490:$E$3818, $A$2490:$A$3818="2025-03"), 0.05)</f>
        <v>-1.609682345717069E-2</v>
      </c>
      <c r="E3781">
        <v>7.922298738184879E-3</v>
      </c>
      <c r="F3781">
        <f t="shared" si="124"/>
        <v>-5.4450050127798542E-2</v>
      </c>
      <c r="G3781">
        <f t="shared" si="125"/>
        <v>-6.0774609119216297E-2</v>
      </c>
    </row>
    <row r="3782" spans="1:7" x14ac:dyDescent="0.35">
      <c r="A3782" t="s">
        <v>197</v>
      </c>
      <c r="E3782">
        <v>-1.5390733828787771E-2</v>
      </c>
      <c r="F3782">
        <f t="shared" si="124"/>
        <v>-5.4782921653662636E-2</v>
      </c>
      <c r="G3782">
        <f t="shared" si="125"/>
        <v>-6.0774609119216297E-2</v>
      </c>
    </row>
    <row r="3783" spans="1:7" x14ac:dyDescent="0.35">
      <c r="A3783" t="s">
        <v>197</v>
      </c>
      <c r="E3783">
        <v>-1.2534690311119602E-2</v>
      </c>
      <c r="F3783">
        <f t="shared" si="124"/>
        <v>-5.5115793179526723E-2</v>
      </c>
      <c r="G3783">
        <f t="shared" si="125"/>
        <v>-6.0774609119216297E-2</v>
      </c>
    </row>
    <row r="3784" spans="1:7" x14ac:dyDescent="0.35">
      <c r="A3784" t="s">
        <v>197</v>
      </c>
      <c r="E3784">
        <v>-8.8633546892613636E-3</v>
      </c>
      <c r="F3784">
        <f t="shared" si="124"/>
        <v>-5.5448664705390817E-2</v>
      </c>
      <c r="G3784">
        <f t="shared" si="125"/>
        <v>-6.0774609119216297E-2</v>
      </c>
    </row>
    <row r="3785" spans="1:7" x14ac:dyDescent="0.35">
      <c r="A3785" t="s">
        <v>197</v>
      </c>
      <c r="E3785">
        <v>-3.0417248807515793E-3</v>
      </c>
      <c r="F3785">
        <f t="shared" si="124"/>
        <v>-5.5781536231254911E-2</v>
      </c>
      <c r="G3785">
        <f t="shared" si="125"/>
        <v>-6.0774609119216297E-2</v>
      </c>
    </row>
    <row r="3786" spans="1:7" x14ac:dyDescent="0.35">
      <c r="A3786" t="s">
        <v>197</v>
      </c>
      <c r="E3786">
        <v>-1.0347114389796009E-2</v>
      </c>
      <c r="F3786">
        <f t="shared" si="124"/>
        <v>-5.6114407757119004E-2</v>
      </c>
      <c r="G3786">
        <f t="shared" si="125"/>
        <v>-6.0774609119216297E-2</v>
      </c>
    </row>
    <row r="3787" spans="1:7" x14ac:dyDescent="0.35">
      <c r="A3787" t="s">
        <v>197</v>
      </c>
      <c r="E3787">
        <v>-1.6175277860324348E-2</v>
      </c>
      <c r="F3787">
        <f t="shared" si="124"/>
        <v>-5.6447279282983098E-2</v>
      </c>
      <c r="G3787">
        <f t="shared" si="125"/>
        <v>-6.0774609119216297E-2</v>
      </c>
    </row>
    <row r="3788" spans="1:7" x14ac:dyDescent="0.35">
      <c r="A3788" t="s">
        <v>197</v>
      </c>
      <c r="E3788">
        <v>9.0645932606076857E-3</v>
      </c>
      <c r="F3788">
        <f t="shared" si="124"/>
        <v>-5.6780150808847185E-2</v>
      </c>
      <c r="G3788">
        <f t="shared" si="125"/>
        <v>-6.0774609119216297E-2</v>
      </c>
    </row>
    <row r="3789" spans="1:7" x14ac:dyDescent="0.35">
      <c r="A3789" t="s">
        <v>197</v>
      </c>
      <c r="E3789">
        <v>2.8807456542565093E-3</v>
      </c>
      <c r="F3789">
        <f t="shared" si="124"/>
        <v>-5.7113022334711279E-2</v>
      </c>
      <c r="G3789">
        <f t="shared" si="125"/>
        <v>-6.0774609119216297E-2</v>
      </c>
    </row>
    <row r="3790" spans="1:7" x14ac:dyDescent="0.35">
      <c r="A3790" t="s">
        <v>197</v>
      </c>
      <c r="E3790">
        <v>7.0416967211637694E-3</v>
      </c>
      <c r="F3790">
        <f t="shared" si="124"/>
        <v>-5.7445893860575373E-2</v>
      </c>
      <c r="G3790">
        <f t="shared" si="125"/>
        <v>-6.0774609119216297E-2</v>
      </c>
    </row>
    <row r="3791" spans="1:7" x14ac:dyDescent="0.35">
      <c r="A3791" t="s">
        <v>197</v>
      </c>
      <c r="E3791">
        <v>7.4654688205558995E-3</v>
      </c>
      <c r="F3791">
        <f t="shared" si="124"/>
        <v>-5.7778765386439467E-2</v>
      </c>
      <c r="G3791">
        <f t="shared" si="125"/>
        <v>-6.0774609119216297E-2</v>
      </c>
    </row>
    <row r="3792" spans="1:7" x14ac:dyDescent="0.35">
      <c r="A3792" t="s">
        <v>197</v>
      </c>
      <c r="E3792">
        <v>6.5305794166287828E-4</v>
      </c>
      <c r="F3792">
        <f t="shared" si="124"/>
        <v>-5.811163691230356E-2</v>
      </c>
      <c r="G3792">
        <f t="shared" si="125"/>
        <v>-6.0774609119216297E-2</v>
      </c>
    </row>
    <row r="3793" spans="1:7" x14ac:dyDescent="0.35">
      <c r="A3793" t="s">
        <v>197</v>
      </c>
      <c r="E3793">
        <v>4.4165308274154843E-3</v>
      </c>
      <c r="F3793">
        <f t="shared" si="124"/>
        <v>-5.8444508438167647E-2</v>
      </c>
      <c r="G3793">
        <f t="shared" si="125"/>
        <v>-6.0774609119216297E-2</v>
      </c>
    </row>
    <row r="3794" spans="1:7" x14ac:dyDescent="0.35">
      <c r="A3794" t="s">
        <v>197</v>
      </c>
      <c r="E3794">
        <v>1.5346223868633435E-3</v>
      </c>
      <c r="F3794">
        <f t="shared" si="124"/>
        <v>-5.8777379964031741E-2</v>
      </c>
      <c r="G3794">
        <f t="shared" si="125"/>
        <v>-6.0774609119216297E-2</v>
      </c>
    </row>
    <row r="3795" spans="1:7" x14ac:dyDescent="0.35">
      <c r="A3795" t="s">
        <v>197</v>
      </c>
      <c r="E3795">
        <v>-7.3462663678968785E-3</v>
      </c>
      <c r="F3795">
        <f t="shared" si="124"/>
        <v>-5.9110251489895835E-2</v>
      </c>
      <c r="G3795">
        <f t="shared" si="125"/>
        <v>-6.0774609119216297E-2</v>
      </c>
    </row>
    <row r="3796" spans="1:7" x14ac:dyDescent="0.35">
      <c r="A3796" t="s">
        <v>197</v>
      </c>
      <c r="E3796">
        <v>1.294163583960533E-3</v>
      </c>
      <c r="F3796">
        <f t="shared" si="124"/>
        <v>-5.9443123015759929E-2</v>
      </c>
      <c r="G3796">
        <f t="shared" si="125"/>
        <v>-6.0774609119216297E-2</v>
      </c>
    </row>
    <row r="3797" spans="1:7" x14ac:dyDescent="0.35">
      <c r="A3797" t="s">
        <v>197</v>
      </c>
      <c r="E3797">
        <v>4.6548334300459387E-3</v>
      </c>
      <c r="F3797">
        <f t="shared" si="124"/>
        <v>-5.9775994541624015E-2</v>
      </c>
      <c r="G3797">
        <f t="shared" si="125"/>
        <v>-6.0774609119216297E-2</v>
      </c>
    </row>
    <row r="3798" spans="1:7" x14ac:dyDescent="0.35">
      <c r="A3798" t="s">
        <v>197</v>
      </c>
      <c r="E3798">
        <v>2.0829625749407095E-3</v>
      </c>
      <c r="F3798">
        <f t="shared" si="124"/>
        <v>-6.0108866067488109E-2</v>
      </c>
      <c r="G3798">
        <f t="shared" si="125"/>
        <v>-6.0774609119216297E-2</v>
      </c>
    </row>
    <row r="3799" spans="1:7" x14ac:dyDescent="0.35">
      <c r="A3799" t="s">
        <v>197</v>
      </c>
      <c r="E3799">
        <v>-6.581049767768538E-4</v>
      </c>
      <c r="F3799">
        <f t="shared" si="124"/>
        <v>-6.0441737593352203E-2</v>
      </c>
      <c r="G3799">
        <f t="shared" si="125"/>
        <v>-6.0774609119216297E-2</v>
      </c>
    </row>
    <row r="3800" spans="1:7" x14ac:dyDescent="0.35">
      <c r="A3800" t="s">
        <v>197</v>
      </c>
      <c r="E3800">
        <v>-4.3882439761785963E-3</v>
      </c>
      <c r="F3800">
        <f t="shared" si="124"/>
        <v>-6.0774609119216297E-2</v>
      </c>
      <c r="G3800">
        <f t="shared" si="125"/>
        <v>-6.0774609119216297E-2</v>
      </c>
    </row>
    <row r="3801" spans="1:7" x14ac:dyDescent="0.35">
      <c r="A3801" t="s">
        <v>197</v>
      </c>
      <c r="E3801">
        <v>-1.0634397425793297E-2</v>
      </c>
      <c r="F3801" t="e">
        <f t="shared" si="124"/>
        <v>#NUM!</v>
      </c>
      <c r="G3801" t="e">
        <f t="shared" si="125"/>
        <v>#DIV/0!</v>
      </c>
    </row>
    <row r="3802" spans="1:7" x14ac:dyDescent="0.35">
      <c r="A3802" t="s">
        <v>198</v>
      </c>
      <c r="B3802" s="3" cm="1">
        <f t="array" ref="B3802">_xlfn.STDEV.S(_xlfn._xlws.FILTER($E$2826:$E$3824, $A$2826:$A$3824="2025-04"))</f>
        <v>2.720030588294135E-2</v>
      </c>
      <c r="C3802" s="3" cm="1">
        <f t="array" ref="C3802">AVERAGE(_xlfn._xlws.FILTER($E$2826:$E$3824, $A$2826:$A$3824="2025-04"))</f>
        <v>-2.2663375068830275E-3</v>
      </c>
      <c r="D3802" s="3" cm="1">
        <f t="array" ref="D3802">_xlfn.PERCENTILE.INC(_xlfn._xlws.FILTER($E$2490:$E$3818, $A$2490:$A$3818="2025-04"), 0.05)</f>
        <v>-5.5448664705390817E-2</v>
      </c>
      <c r="E3802">
        <v>8.6980255639119222E-3</v>
      </c>
      <c r="F3802" t="e">
        <f t="shared" si="124"/>
        <v>#NUM!</v>
      </c>
      <c r="G3802" t="e">
        <f t="shared" si="125"/>
        <v>#DIV/0!</v>
      </c>
    </row>
    <row r="3803" spans="1:7" x14ac:dyDescent="0.35">
      <c r="A3803" t="s">
        <v>198</v>
      </c>
      <c r="E3803">
        <v>-4.4580975030990557E-3</v>
      </c>
      <c r="F3803" t="e">
        <f t="shared" si="124"/>
        <v>#NUM!</v>
      </c>
      <c r="G3803" t="e">
        <f t="shared" si="125"/>
        <v>#DIV/0!</v>
      </c>
    </row>
    <row r="3804" spans="1:7" x14ac:dyDescent="0.35">
      <c r="A3804" t="s">
        <v>198</v>
      </c>
      <c r="E3804">
        <v>-2.2465111417739377E-2</v>
      </c>
      <c r="F3804" t="e">
        <f t="shared" si="124"/>
        <v>#NUM!</v>
      </c>
      <c r="G3804" t="e">
        <f t="shared" si="125"/>
        <v>#DIV/0!</v>
      </c>
    </row>
    <row r="3805" spans="1:7" x14ac:dyDescent="0.35">
      <c r="A3805" t="s">
        <v>198</v>
      </c>
      <c r="E3805">
        <v>-6.0774609119216297E-2</v>
      </c>
      <c r="F3805" t="e">
        <f t="shared" si="124"/>
        <v>#NUM!</v>
      </c>
      <c r="G3805" t="e">
        <f t="shared" si="125"/>
        <v>#DIV/0!</v>
      </c>
    </row>
    <row r="3806" spans="1:7" x14ac:dyDescent="0.35">
      <c r="A3806" t="s">
        <v>198</v>
      </c>
      <c r="E3806">
        <v>-5.4117178601934449E-2</v>
      </c>
      <c r="F3806" t="e">
        <f t="shared" si="124"/>
        <v>#NUM!</v>
      </c>
      <c r="G3806" t="e">
        <f t="shared" si="125"/>
        <v>#DIV/0!</v>
      </c>
    </row>
    <row r="3807" spans="1:7" x14ac:dyDescent="0.35">
      <c r="A3807" t="s">
        <v>198</v>
      </c>
      <c r="E3807">
        <v>3.0259482304028609E-2</v>
      </c>
      <c r="F3807" t="e">
        <f t="shared" si="124"/>
        <v>#NUM!</v>
      </c>
      <c r="G3807" t="e">
        <f t="shared" si="125"/>
        <v>#DIV/0!</v>
      </c>
    </row>
    <row r="3808" spans="1:7" x14ac:dyDescent="0.35">
      <c r="A3808" t="s">
        <v>198</v>
      </c>
      <c r="E3808">
        <v>-3.8469965357928279E-2</v>
      </c>
      <c r="F3808" t="e">
        <f t="shared" si="124"/>
        <v>#NUM!</v>
      </c>
      <c r="G3808" t="e">
        <f t="shared" si="125"/>
        <v>#DIV/0!</v>
      </c>
    </row>
    <row r="3809" spans="1:7" x14ac:dyDescent="0.35">
      <c r="A3809" t="s">
        <v>198</v>
      </c>
      <c r="E3809">
        <v>2.8750222013376764E-2</v>
      </c>
      <c r="F3809" t="e">
        <f t="shared" si="124"/>
        <v>#NUM!</v>
      </c>
      <c r="G3809" t="e">
        <f t="shared" si="125"/>
        <v>#DIV/0!</v>
      </c>
    </row>
    <row r="3810" spans="1:7" x14ac:dyDescent="0.35">
      <c r="A3810" t="s">
        <v>198</v>
      </c>
      <c r="E3810">
        <v>4.1878827235172734E-3</v>
      </c>
      <c r="F3810" t="e">
        <f t="shared" si="124"/>
        <v>#NUM!</v>
      </c>
      <c r="G3810" t="e">
        <f t="shared" si="125"/>
        <v>#DIV/0!</v>
      </c>
    </row>
    <row r="3811" spans="1:7" x14ac:dyDescent="0.35">
      <c r="A3811" t="s">
        <v>198</v>
      </c>
      <c r="E3811">
        <v>2.7780785337598098E-2</v>
      </c>
      <c r="F3811" t="e">
        <f t="shared" si="124"/>
        <v>#NUM!</v>
      </c>
      <c r="G3811" t="e">
        <f t="shared" si="125"/>
        <v>#DIV/0!</v>
      </c>
    </row>
    <row r="3812" spans="1:7" x14ac:dyDescent="0.35">
      <c r="A3812" t="s">
        <v>198</v>
      </c>
      <c r="E3812">
        <v>2.2466872528608885E-2</v>
      </c>
      <c r="F3812" t="e">
        <f t="shared" si="124"/>
        <v>#NUM!</v>
      </c>
      <c r="G3812" t="e">
        <f t="shared" si="125"/>
        <v>#DIV/0!</v>
      </c>
    </row>
    <row r="3813" spans="1:7" x14ac:dyDescent="0.35">
      <c r="A3813" t="s">
        <v>198</v>
      </c>
      <c r="E3813">
        <v>-4.0501085795073902E-3</v>
      </c>
      <c r="F3813" t="e">
        <f t="shared" si="124"/>
        <v>#NUM!</v>
      </c>
      <c r="G3813" t="e">
        <f t="shared" si="125"/>
        <v>#DIV/0!</v>
      </c>
    </row>
    <row r="3814" spans="1:7" x14ac:dyDescent="0.35">
      <c r="A3814" t="s">
        <v>198</v>
      </c>
      <c r="E3814">
        <v>3.9312370304531467E-3</v>
      </c>
      <c r="F3814" t="e">
        <f t="shared" si="124"/>
        <v>#NUM!</v>
      </c>
      <c r="G3814" t="e">
        <f t="shared" si="125"/>
        <v>#DIV/0!</v>
      </c>
    </row>
    <row r="3815" spans="1:7" x14ac:dyDescent="0.35">
      <c r="A3815" t="s">
        <v>198</v>
      </c>
      <c r="E3815">
        <v>5.7067419262193638E-3</v>
      </c>
      <c r="F3815" t="e">
        <f t="shared" si="124"/>
        <v>#NUM!</v>
      </c>
      <c r="G3815" t="e">
        <f t="shared" si="125"/>
        <v>#DIV/0!</v>
      </c>
    </row>
    <row r="3816" spans="1:7" x14ac:dyDescent="0.35">
      <c r="A3816" t="s">
        <v>198</v>
      </c>
      <c r="E3816">
        <v>1.0780588089947935E-2</v>
      </c>
      <c r="F3816" t="e">
        <f t="shared" si="124"/>
        <v>#NUM!</v>
      </c>
      <c r="G3816" t="e">
        <f t="shared" si="125"/>
        <v>#DIV/0!</v>
      </c>
    </row>
    <row r="3817" spans="1:7" x14ac:dyDescent="0.35">
      <c r="A3817" t="s">
        <v>198</v>
      </c>
      <c r="E3817">
        <v>2.1004077755949198E-3</v>
      </c>
      <c r="F3817" t="e">
        <f t="shared" si="124"/>
        <v>#NUM!</v>
      </c>
      <c r="G3817" t="e">
        <f t="shared" si="125"/>
        <v>#DIV/0!</v>
      </c>
    </row>
    <row r="3818" spans="1:7" x14ac:dyDescent="0.35">
      <c r="A3818" t="s">
        <v>198</v>
      </c>
      <c r="E3818">
        <v>1.1450876691564318E-3</v>
      </c>
      <c r="F3818" t="e">
        <f t="shared" si="124"/>
        <v>#NUM!</v>
      </c>
      <c r="G3818" t="e">
        <f t="shared" si="125"/>
        <v>#DIV/0!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CE109-F7B9-43FD-B127-27E74B9958B7}">
  <dimension ref="A1:G130"/>
  <sheetViews>
    <sheetView zoomScale="80" zoomScaleNormal="80" workbookViewId="0">
      <selection activeCell="H41" sqref="H41"/>
    </sheetView>
  </sheetViews>
  <sheetFormatPr baseColWidth="10" defaultRowHeight="14.5" x14ac:dyDescent="0.35"/>
  <cols>
    <col min="1" max="1" width="27" customWidth="1"/>
    <col min="2" max="2" width="13.08984375" bestFit="1" customWidth="1"/>
    <col min="3" max="3" width="12.453125" bestFit="1" customWidth="1"/>
    <col min="4" max="4" width="11.81640625" bestFit="1" customWidth="1"/>
    <col min="5" max="5" width="16.1796875" customWidth="1"/>
    <col min="7" max="7" width="11.6328125" customWidth="1"/>
  </cols>
  <sheetData>
    <row r="1" spans="1:7" x14ac:dyDescent="0.35">
      <c r="A1" s="10" t="s">
        <v>276</v>
      </c>
      <c r="B1" s="10" t="s">
        <v>253</v>
      </c>
      <c r="C1" s="10" t="s">
        <v>277</v>
      </c>
      <c r="D1" s="10" t="s">
        <v>278</v>
      </c>
      <c r="E1" s="10" t="s">
        <v>279</v>
      </c>
      <c r="F1" s="10" t="s">
        <v>280</v>
      </c>
      <c r="G1" s="10" t="s">
        <v>281</v>
      </c>
    </row>
    <row r="2" spans="1:7" x14ac:dyDescent="0.35">
      <c r="A2" s="10" t="s">
        <v>282</v>
      </c>
      <c r="B2" s="10">
        <v>-0.10687843917115496</v>
      </c>
      <c r="C2" s="10">
        <v>-4.6297994123274323E-2</v>
      </c>
      <c r="D2" s="24">
        <v>-0.30206923698691251</v>
      </c>
      <c r="E2" s="24">
        <v>-0.29171134216608763</v>
      </c>
      <c r="F2" s="10">
        <v>-3.817723271918988E-2</v>
      </c>
      <c r="G2" s="10">
        <v>-8.0161053261800758E-2</v>
      </c>
    </row>
    <row r="3" spans="1:7" x14ac:dyDescent="0.35">
      <c r="A3" s="10" t="s">
        <v>283</v>
      </c>
      <c r="B3" s="10">
        <v>-0.13967557370894806</v>
      </c>
      <c r="C3" s="10">
        <v>-7.3672454927288411E-2</v>
      </c>
      <c r="D3" s="24">
        <v>-0.36037598628810241</v>
      </c>
      <c r="E3" s="24">
        <v>-0.34260951129822653</v>
      </c>
      <c r="F3" s="10">
        <v>-5.5942740528190073E-2</v>
      </c>
      <c r="G3" s="10">
        <v>-0.14441051892151732</v>
      </c>
    </row>
    <row r="4" spans="1:7" x14ac:dyDescent="0.35">
      <c r="A4" s="10" t="s">
        <v>284</v>
      </c>
      <c r="B4" s="24">
        <v>0.95106096452745392</v>
      </c>
      <c r="C4" s="24">
        <v>0.9547555999429741</v>
      </c>
      <c r="D4" s="24">
        <v>0.96472158398996244</v>
      </c>
      <c r="E4" s="24">
        <v>0.97687565706357393</v>
      </c>
      <c r="F4" s="24">
        <v>0.96133905748086124</v>
      </c>
      <c r="G4" s="24">
        <v>0.95659742397907077</v>
      </c>
    </row>
    <row r="5" spans="1:7" x14ac:dyDescent="0.35">
      <c r="A5" s="10" t="s">
        <v>285</v>
      </c>
      <c r="B5" s="10">
        <v>0.10352983113002698</v>
      </c>
      <c r="C5" s="10">
        <v>0.1787466099101517</v>
      </c>
      <c r="D5" s="24">
        <v>0.41261682512465814</v>
      </c>
      <c r="E5" s="24">
        <v>0.46595567999950654</v>
      </c>
      <c r="F5" s="10">
        <v>-0.13386051304342708</v>
      </c>
      <c r="G5" s="10">
        <v>0.19360737886245291</v>
      </c>
    </row>
    <row r="6" spans="1:7" x14ac:dyDescent="0.35">
      <c r="A6" s="10" t="s">
        <v>286</v>
      </c>
      <c r="B6" s="10">
        <v>-5.7308989775366227E-2</v>
      </c>
      <c r="C6" s="10">
        <v>-0.1672905232238486</v>
      </c>
      <c r="D6" s="24">
        <v>0.4365358047757259</v>
      </c>
      <c r="E6" s="10">
        <v>0.33670775567413697</v>
      </c>
      <c r="F6" s="10">
        <v>-0.22102449060209228</v>
      </c>
      <c r="G6" s="10">
        <v>-0.11708876298422541</v>
      </c>
    </row>
    <row r="9" spans="1:7" x14ac:dyDescent="0.35">
      <c r="A9" s="12" t="s">
        <v>353</v>
      </c>
      <c r="B9" s="10" t="s">
        <v>289</v>
      </c>
      <c r="C9" s="10" t="s">
        <v>290</v>
      </c>
      <c r="D9" s="10" t="s">
        <v>291</v>
      </c>
      <c r="E9" s="10" t="s">
        <v>292</v>
      </c>
    </row>
    <row r="10" spans="1:7" ht="15" thickBot="1" x14ac:dyDescent="0.4">
      <c r="A10" t="s">
        <v>287</v>
      </c>
      <c r="B10" s="6">
        <v>-1.3318441985436735E-5</v>
      </c>
      <c r="C10" s="6">
        <v>-1.4501754409335719</v>
      </c>
      <c r="D10" s="6">
        <v>0.14873074376627987</v>
      </c>
      <c r="E10">
        <v>1.1423000759662407E-2</v>
      </c>
    </row>
    <row r="11" spans="1:7" ht="15" thickBot="1" x14ac:dyDescent="0.4">
      <c r="A11" t="s">
        <v>288</v>
      </c>
      <c r="B11" s="6">
        <v>-1.8815985830234542E-5</v>
      </c>
      <c r="C11" s="6">
        <v>-1.9029808194077134</v>
      </c>
      <c r="D11" s="6">
        <v>5.8621629740128994E-2</v>
      </c>
      <c r="E11">
        <v>1.9509265890924197E-2</v>
      </c>
    </row>
    <row r="13" spans="1:7" x14ac:dyDescent="0.35">
      <c r="A13" s="12" t="s">
        <v>354</v>
      </c>
      <c r="B13" s="10" t="s">
        <v>289</v>
      </c>
      <c r="C13" s="10" t="s">
        <v>290</v>
      </c>
      <c r="D13" s="10" t="s">
        <v>291</v>
      </c>
      <c r="E13" s="10" t="s">
        <v>292</v>
      </c>
    </row>
    <row r="14" spans="1:7" x14ac:dyDescent="0.35">
      <c r="A14" t="s">
        <v>287</v>
      </c>
      <c r="B14">
        <f>'DAX Germany'!W93</f>
        <v>-2.1641683477430203E-6</v>
      </c>
      <c r="C14">
        <f>'DAX Germany'!Y93</f>
        <v>-0.62526457655412693</v>
      </c>
      <c r="D14">
        <f>'DAX Germany'!Z93</f>
        <v>0.53258062273062046</v>
      </c>
      <c r="E14">
        <f>'DAX Germany'!W80</f>
        <v>2.1435042598381381E-3</v>
      </c>
    </row>
    <row r="15" spans="1:7" ht="15" thickBot="1" x14ac:dyDescent="0.4">
      <c r="A15" t="s">
        <v>288</v>
      </c>
      <c r="B15" s="6">
        <v>-3.683648267368215E-6</v>
      </c>
      <c r="C15" s="6">
        <v>-0.99660403423149968</v>
      </c>
      <c r="D15" s="6">
        <v>0.32027991629243097</v>
      </c>
      <c r="E15">
        <v>5.427630615012809E-3</v>
      </c>
    </row>
    <row r="17" spans="1:5" x14ac:dyDescent="0.35">
      <c r="A17" s="12" t="s">
        <v>355</v>
      </c>
      <c r="B17" s="10" t="s">
        <v>289</v>
      </c>
      <c r="C17" s="10" t="s">
        <v>290</v>
      </c>
      <c r="D17" s="10" t="s">
        <v>291</v>
      </c>
      <c r="E17" s="10" t="s">
        <v>292</v>
      </c>
    </row>
    <row r="18" spans="1:5" ht="15" thickBot="1" x14ac:dyDescent="0.4">
      <c r="A18" t="s">
        <v>287</v>
      </c>
      <c r="B18" s="6">
        <v>-1.2729487176319884E-4</v>
      </c>
      <c r="C18" s="6">
        <v>-4.1143490124249498</v>
      </c>
      <c r="D18" s="6">
        <v>5.8759995138344359E-5</v>
      </c>
      <c r="E18">
        <v>8.5095507148339827E-2</v>
      </c>
    </row>
    <row r="19" spans="1:5" ht="15" thickBot="1" x14ac:dyDescent="0.4">
      <c r="A19" t="s">
        <v>288</v>
      </c>
      <c r="B19" s="6">
        <v>-1.5997219847508717E-4</v>
      </c>
      <c r="C19" s="6">
        <v>-4.919812385536793</v>
      </c>
      <c r="D19" s="6">
        <v>1.9303127331966919E-6</v>
      </c>
      <c r="E19">
        <v>0.11738127723200931</v>
      </c>
    </row>
    <row r="21" spans="1:5" x14ac:dyDescent="0.35">
      <c r="A21" s="12" t="s">
        <v>356</v>
      </c>
      <c r="B21" s="10" t="s">
        <v>289</v>
      </c>
      <c r="C21" s="10" t="s">
        <v>290</v>
      </c>
      <c r="D21" s="10" t="s">
        <v>291</v>
      </c>
      <c r="E21" s="10" t="s">
        <v>292</v>
      </c>
    </row>
    <row r="22" spans="1:5" ht="15" thickBot="1" x14ac:dyDescent="0.4">
      <c r="A22" t="s">
        <v>287</v>
      </c>
      <c r="B22" s="6">
        <v>-1.1237841256545951E-4</v>
      </c>
      <c r="C22" s="6">
        <v>-4.2748313211752835</v>
      </c>
      <c r="D22" s="6">
        <v>3.0821303202090823E-5</v>
      </c>
      <c r="E22">
        <v>9.1245823933854289E-2</v>
      </c>
    </row>
    <row r="23" spans="1:5" ht="15" thickBot="1" x14ac:dyDescent="0.4">
      <c r="A23" t="s">
        <v>288</v>
      </c>
      <c r="B23" s="6">
        <v>-1.4318322327488712E-4</v>
      </c>
      <c r="C23" s="6">
        <v>-5.211943262384434</v>
      </c>
      <c r="D23" s="6">
        <v>5.0358886913871858E-7</v>
      </c>
      <c r="E23">
        <v>0.12987085149312352</v>
      </c>
    </row>
    <row r="25" spans="1:5" x14ac:dyDescent="0.35">
      <c r="A25" s="12" t="s">
        <v>357</v>
      </c>
      <c r="B25" s="10" t="s">
        <v>289</v>
      </c>
      <c r="C25" s="10" t="s">
        <v>290</v>
      </c>
      <c r="D25" s="10" t="s">
        <v>291</v>
      </c>
      <c r="E25" s="10" t="s">
        <v>292</v>
      </c>
    </row>
    <row r="26" spans="1:5" ht="15" thickBot="1" x14ac:dyDescent="0.4">
      <c r="A26" t="s">
        <v>287</v>
      </c>
      <c r="B26" s="6">
        <v>-1.4757569139381949E-5</v>
      </c>
      <c r="C26" s="6">
        <v>-1.4960911988587879</v>
      </c>
      <c r="D26" s="6">
        <v>0.13636194718376601</v>
      </c>
      <c r="E26">
        <v>1.2148880067040414E-2</v>
      </c>
    </row>
    <row r="27" spans="1:5" ht="15" thickBot="1" x14ac:dyDescent="0.4">
      <c r="A27" t="s">
        <v>288</v>
      </c>
      <c r="B27" s="6">
        <v>-2.0649955062691942E-5</v>
      </c>
      <c r="C27" s="6">
        <v>-1.9688420837693184</v>
      </c>
      <c r="D27" s="6">
        <v>5.04893886533644E-2</v>
      </c>
      <c r="E27">
        <v>2.0854397975182473E-2</v>
      </c>
    </row>
    <row r="29" spans="1:5" x14ac:dyDescent="0.35">
      <c r="A29" s="12" t="s">
        <v>358</v>
      </c>
      <c r="B29" s="10" t="s">
        <v>289</v>
      </c>
      <c r="C29" s="10" t="s">
        <v>290</v>
      </c>
      <c r="D29" s="10" t="s">
        <v>291</v>
      </c>
      <c r="E29" s="10" t="s">
        <v>292</v>
      </c>
    </row>
    <row r="30" spans="1:5" ht="15" thickBot="1" x14ac:dyDescent="0.4">
      <c r="A30" t="s">
        <v>287</v>
      </c>
      <c r="B30" s="6">
        <v>-3.0886231609665486E-6</v>
      </c>
      <c r="C30" s="6">
        <v>-0.51541477326642038</v>
      </c>
      <c r="D30" s="6">
        <v>0.60688869795229372</v>
      </c>
      <c r="E30">
        <v>1.4575010980951385E-3</v>
      </c>
    </row>
    <row r="31" spans="1:5" ht="15" thickBot="1" x14ac:dyDescent="0.4">
      <c r="A31" t="s">
        <v>288</v>
      </c>
      <c r="B31" s="6">
        <v>-4.8792835560730287E-6</v>
      </c>
      <c r="C31" s="6">
        <v>-0.75589257492197426</v>
      </c>
      <c r="D31" s="6">
        <v>0.45069083166134027</v>
      </c>
      <c r="E31">
        <v>3.1295902178045238E-3</v>
      </c>
    </row>
    <row r="34" spans="1:5" x14ac:dyDescent="0.35">
      <c r="A34" s="12" t="s">
        <v>359</v>
      </c>
      <c r="B34" s="10" t="s">
        <v>289</v>
      </c>
      <c r="C34" s="10" t="s">
        <v>290</v>
      </c>
      <c r="D34" s="10" t="s">
        <v>291</v>
      </c>
      <c r="E34" s="10" t="s">
        <v>292</v>
      </c>
    </row>
    <row r="35" spans="1:5" ht="15" thickBot="1" x14ac:dyDescent="0.4">
      <c r="A35" t="s">
        <v>293</v>
      </c>
      <c r="B35" s="6">
        <v>1.8035654058627341E-6</v>
      </c>
      <c r="C35" s="6">
        <v>0.18758202263816576</v>
      </c>
      <c r="D35" s="6">
        <v>0.85141443687988372</v>
      </c>
      <c r="E35">
        <v>1.9436561365303111E-4</v>
      </c>
    </row>
    <row r="36" spans="1:5" ht="15" thickBot="1" x14ac:dyDescent="0.4">
      <c r="A36" t="s">
        <v>294</v>
      </c>
      <c r="B36" s="6">
        <v>1.5627413871260592E-6</v>
      </c>
      <c r="C36" s="6">
        <v>0.15035476352296798</v>
      </c>
      <c r="D36" s="6">
        <v>0.88065215055313262</v>
      </c>
      <c r="E36">
        <v>1.2488249586217339E-4</v>
      </c>
    </row>
    <row r="38" spans="1:5" x14ac:dyDescent="0.35">
      <c r="A38" s="12" t="s">
        <v>360</v>
      </c>
      <c r="B38" s="10" t="s">
        <v>289</v>
      </c>
      <c r="C38" s="10" t="s">
        <v>290</v>
      </c>
      <c r="D38" s="10" t="s">
        <v>291</v>
      </c>
      <c r="E38" s="10" t="s">
        <v>292</v>
      </c>
    </row>
    <row r="39" spans="1:5" ht="15" thickBot="1" x14ac:dyDescent="0.4">
      <c r="A39" t="s">
        <v>293</v>
      </c>
      <c r="B39" s="6">
        <v>2.418819001959553E-6</v>
      </c>
      <c r="C39" s="6">
        <v>0.66221718001861474</v>
      </c>
      <c r="D39" s="6">
        <v>0.50867432633175047</v>
      </c>
      <c r="E39">
        <v>2.416970583152218E-3</v>
      </c>
    </row>
    <row r="40" spans="1:5" ht="15" thickBot="1" x14ac:dyDescent="0.4">
      <c r="A40" t="s">
        <v>294</v>
      </c>
      <c r="B40" s="6">
        <v>2.1615922351948359E-6</v>
      </c>
      <c r="C40" s="6">
        <v>0.5530625385483785</v>
      </c>
      <c r="D40" s="6">
        <v>0.58090302933022675</v>
      </c>
      <c r="E40">
        <v>1.6870835884101691E-3</v>
      </c>
    </row>
    <row r="42" spans="1:5" x14ac:dyDescent="0.35">
      <c r="A42" s="12" t="s">
        <v>361</v>
      </c>
      <c r="B42" s="10" t="s">
        <v>289</v>
      </c>
      <c r="C42" s="10" t="s">
        <v>290</v>
      </c>
      <c r="D42" s="10" t="s">
        <v>291</v>
      </c>
      <c r="E42" s="10" t="s">
        <v>292</v>
      </c>
    </row>
    <row r="43" spans="1:5" ht="15" thickBot="1" x14ac:dyDescent="0.4">
      <c r="A43" t="s">
        <v>293</v>
      </c>
      <c r="B43" s="6">
        <v>-7.5627017491371469E-5</v>
      </c>
      <c r="C43" s="6">
        <v>-2.3335304981278209</v>
      </c>
      <c r="D43" s="6">
        <v>2.0718750806202859E-2</v>
      </c>
      <c r="E43">
        <v>2.9206221338851323E-2</v>
      </c>
    </row>
    <row r="44" spans="1:5" ht="15" thickBot="1" x14ac:dyDescent="0.4">
      <c r="A44" t="s">
        <v>294</v>
      </c>
      <c r="B44" s="6">
        <v>-8.416502721523765E-5</v>
      </c>
      <c r="C44" s="6">
        <v>-2.4297351359569155</v>
      </c>
      <c r="D44" s="6">
        <v>1.6086488785034464E-2</v>
      </c>
      <c r="E44">
        <v>3.1586402967206509E-2</v>
      </c>
    </row>
    <row r="46" spans="1:5" x14ac:dyDescent="0.35">
      <c r="A46" s="12" t="s">
        <v>362</v>
      </c>
      <c r="B46" s="10" t="s">
        <v>289</v>
      </c>
      <c r="C46" s="10" t="s">
        <v>290</v>
      </c>
      <c r="D46" s="10" t="s">
        <v>291</v>
      </c>
      <c r="E46" s="10" t="s">
        <v>292</v>
      </c>
    </row>
    <row r="47" spans="1:5" ht="15" thickBot="1" x14ac:dyDescent="0.4">
      <c r="A47" t="s">
        <v>293</v>
      </c>
      <c r="B47" s="6">
        <v>-6.1874110847176311E-5</v>
      </c>
      <c r="C47" s="6">
        <v>-2.2110174796350361</v>
      </c>
      <c r="D47" s="6">
        <v>2.8287352936271232E-2</v>
      </c>
      <c r="E47">
        <v>2.6298537619220019E-2</v>
      </c>
    </row>
    <row r="48" spans="1:5" ht="15" thickBot="1" x14ac:dyDescent="0.4">
      <c r="A48" t="s">
        <v>294</v>
      </c>
      <c r="B48" s="6">
        <v>-6.2568849824445164E-5</v>
      </c>
      <c r="C48" s="6">
        <v>-2.0907600831865221</v>
      </c>
      <c r="D48" s="6">
        <v>3.7946109370048234E-2</v>
      </c>
      <c r="E48">
        <v>2.3581202973204939E-2</v>
      </c>
    </row>
    <row r="50" spans="1:5" ht="29" x14ac:dyDescent="0.35">
      <c r="A50" s="12" t="s">
        <v>363</v>
      </c>
      <c r="B50" s="10" t="s">
        <v>289</v>
      </c>
      <c r="C50" s="10" t="s">
        <v>290</v>
      </c>
      <c r="D50" s="10" t="s">
        <v>291</v>
      </c>
      <c r="E50" s="10" t="s">
        <v>292</v>
      </c>
    </row>
    <row r="51" spans="1:5" ht="15" thickBot="1" x14ac:dyDescent="0.4">
      <c r="A51" t="s">
        <v>293</v>
      </c>
      <c r="B51" s="6">
        <v>-8.458447657101376E-6</v>
      </c>
      <c r="C51" s="6">
        <v>-1.1016290729340419</v>
      </c>
      <c r="D51" s="6">
        <v>0.2720857219637946</v>
      </c>
      <c r="E51">
        <v>6.66024217448811E-3</v>
      </c>
    </row>
    <row r="52" spans="1:5" ht="15" thickBot="1" x14ac:dyDescent="0.4">
      <c r="A52" t="s">
        <v>294</v>
      </c>
      <c r="B52" s="6">
        <v>1.0265091492420686E-5</v>
      </c>
      <c r="C52" s="6">
        <v>0.86692104312598406</v>
      </c>
      <c r="D52" s="6">
        <v>0.38713307409090369</v>
      </c>
      <c r="E52">
        <v>4.1350518680675803E-3</v>
      </c>
    </row>
    <row r="54" spans="1:5" x14ac:dyDescent="0.35">
      <c r="A54" s="12" t="s">
        <v>364</v>
      </c>
      <c r="B54" s="10" t="s">
        <v>289</v>
      </c>
      <c r="C54" s="10" t="s">
        <v>290</v>
      </c>
      <c r="D54" s="10" t="s">
        <v>291</v>
      </c>
      <c r="E54" s="10" t="s">
        <v>292</v>
      </c>
    </row>
    <row r="55" spans="1:5" ht="15" thickBot="1" x14ac:dyDescent="0.4">
      <c r="A55" t="s">
        <v>293</v>
      </c>
      <c r="B55" s="6">
        <v>9.9707047537672559E-6</v>
      </c>
      <c r="C55" s="6">
        <v>1.6376317406371366</v>
      </c>
      <c r="D55" s="6">
        <v>0.10323586662197511</v>
      </c>
      <c r="E55">
        <v>1.4600451254523715E-2</v>
      </c>
    </row>
    <row r="56" spans="1:5" ht="15" thickBot="1" x14ac:dyDescent="0.4">
      <c r="A56" t="s">
        <v>294</v>
      </c>
      <c r="B56" s="6">
        <v>1.068616074733668E-5</v>
      </c>
      <c r="C56" s="6">
        <v>1.6279020963145496</v>
      </c>
      <c r="D56" s="6">
        <v>0.10528508382470866</v>
      </c>
      <c r="E56">
        <v>1.442997165174759E-2</v>
      </c>
    </row>
    <row r="57" spans="1:5" ht="15" thickBot="1" x14ac:dyDescent="0.4"/>
    <row r="58" spans="1:5" ht="15" thickBot="1" x14ac:dyDescent="0.4">
      <c r="A58" s="12" t="s">
        <v>300</v>
      </c>
      <c r="B58" s="14" t="s">
        <v>289</v>
      </c>
      <c r="C58" s="14" t="s">
        <v>290</v>
      </c>
      <c r="D58" s="14" t="s">
        <v>291</v>
      </c>
      <c r="E58" s="15" t="s">
        <v>299</v>
      </c>
    </row>
    <row r="59" spans="1:5" x14ac:dyDescent="0.35">
      <c r="A59" s="12" t="s">
        <v>297</v>
      </c>
      <c r="B59" s="12">
        <v>-4.9321353876488651E-3</v>
      </c>
      <c r="C59" s="12">
        <v>-1.6098036052886855</v>
      </c>
      <c r="D59" s="12">
        <v>0.10920285335498102</v>
      </c>
      <c r="E59" s="12" t="s">
        <v>369</v>
      </c>
    </row>
    <row r="60" spans="1:5" x14ac:dyDescent="0.35">
      <c r="A60" s="12" t="s">
        <v>295</v>
      </c>
      <c r="B60" s="12">
        <v>9.28962089845629E-6</v>
      </c>
      <c r="C60" s="12">
        <v>1.1296151427549574</v>
      </c>
      <c r="D60" s="12">
        <v>0.26014990695617285</v>
      </c>
      <c r="E60" s="12" t="s">
        <v>369</v>
      </c>
    </row>
    <row r="61" spans="1:5" x14ac:dyDescent="0.35">
      <c r="A61" s="12" t="s">
        <v>298</v>
      </c>
      <c r="B61" s="12">
        <v>-0.30697902938624816</v>
      </c>
      <c r="C61" s="12">
        <v>-1.8263915557468595</v>
      </c>
      <c r="D61" s="12">
        <v>6.9457207490885853E-2</v>
      </c>
      <c r="E61" s="12" t="s">
        <v>369</v>
      </c>
    </row>
    <row r="62" spans="1:5" ht="15" thickBot="1" x14ac:dyDescent="0.4">
      <c r="A62" s="11" t="s">
        <v>296</v>
      </c>
      <c r="B62" s="16">
        <v>-8.2577051092640825E-4</v>
      </c>
      <c r="C62" s="16">
        <v>-6.5522038966477014</v>
      </c>
      <c r="D62" s="16">
        <v>5.8332517286216567E-10</v>
      </c>
      <c r="E62" s="12" t="s">
        <v>368</v>
      </c>
    </row>
    <row r="63" spans="1:5" ht="15" thickBot="1" x14ac:dyDescent="0.4"/>
    <row r="64" spans="1:5" ht="15" thickBot="1" x14ac:dyDescent="0.4">
      <c r="A64" s="12" t="s">
        <v>301</v>
      </c>
      <c r="B64" s="14" t="s">
        <v>289</v>
      </c>
      <c r="C64" s="14" t="s">
        <v>290</v>
      </c>
      <c r="D64" s="14" t="s">
        <v>291</v>
      </c>
      <c r="E64" s="15" t="s">
        <v>299</v>
      </c>
    </row>
    <row r="65" spans="1:5" x14ac:dyDescent="0.35">
      <c r="A65" s="12" t="s">
        <v>297</v>
      </c>
      <c r="B65">
        <v>-3.8468655489987662E-3</v>
      </c>
      <c r="C65">
        <v>-1.6701594805954396</v>
      </c>
      <c r="D65">
        <v>9.6635515601540531E-2</v>
      </c>
      <c r="E65" s="12" t="s">
        <v>369</v>
      </c>
    </row>
    <row r="66" spans="1:5" x14ac:dyDescent="0.35">
      <c r="A66" s="12" t="s">
        <v>295</v>
      </c>
      <c r="B66">
        <v>5.7819222387565919E-6</v>
      </c>
      <c r="C66">
        <v>1.8669316881500471</v>
      </c>
      <c r="D66">
        <v>6.3546357280360247E-2</v>
      </c>
      <c r="E66" s="12" t="s">
        <v>369</v>
      </c>
    </row>
    <row r="67" spans="1:5" x14ac:dyDescent="0.35">
      <c r="A67" s="12" t="s">
        <v>298</v>
      </c>
      <c r="B67">
        <v>-0.42010383905726562</v>
      </c>
      <c r="C67">
        <v>-2.5204938925900175</v>
      </c>
      <c r="D67">
        <v>1.2593117908352752E-2</v>
      </c>
      <c r="E67" s="12" t="s">
        <v>370</v>
      </c>
    </row>
    <row r="68" spans="1:5" ht="15" thickBot="1" x14ac:dyDescent="0.4">
      <c r="A68" s="11" t="s">
        <v>296</v>
      </c>
      <c r="B68" s="6">
        <v>-7.6121932516334421E-4</v>
      </c>
      <c r="C68" s="6">
        <v>-6.3009296020126113</v>
      </c>
      <c r="D68" s="6">
        <v>2.2324534244205442E-9</v>
      </c>
      <c r="E68" s="12" t="s">
        <v>368</v>
      </c>
    </row>
    <row r="69" spans="1:5" ht="15" thickBot="1" x14ac:dyDescent="0.4"/>
    <row r="70" spans="1:5" ht="15" thickBot="1" x14ac:dyDescent="0.4">
      <c r="A70" s="12" t="s">
        <v>302</v>
      </c>
      <c r="B70" s="14" t="s">
        <v>289</v>
      </c>
      <c r="C70" s="14" t="s">
        <v>290</v>
      </c>
      <c r="D70" s="14" t="s">
        <v>291</v>
      </c>
      <c r="E70" s="15" t="s">
        <v>299</v>
      </c>
    </row>
    <row r="71" spans="1:5" x14ac:dyDescent="0.35">
      <c r="A71" s="12" t="s">
        <v>297</v>
      </c>
      <c r="B71">
        <v>-5.9266567735023184E-3</v>
      </c>
      <c r="C71">
        <v>-1.3433635789253511</v>
      </c>
      <c r="D71">
        <v>0.18085488604905348</v>
      </c>
      <c r="E71" s="12" t="s">
        <v>369</v>
      </c>
    </row>
    <row r="72" spans="1:5" x14ac:dyDescent="0.35">
      <c r="A72" s="12" t="s">
        <v>295</v>
      </c>
      <c r="B72">
        <v>1.1156431551695598E-5</v>
      </c>
      <c r="C72">
        <v>0.34146486125705888</v>
      </c>
      <c r="D72">
        <v>0.73315416637332198</v>
      </c>
      <c r="E72" s="12" t="s">
        <v>369</v>
      </c>
    </row>
    <row r="73" spans="1:5" x14ac:dyDescent="0.35">
      <c r="A73" s="12" t="s">
        <v>298</v>
      </c>
      <c r="B73">
        <v>-0.66064306896339831</v>
      </c>
      <c r="C73">
        <v>-3.603990721426984</v>
      </c>
      <c r="D73">
        <v>4.0600536759388982E-4</v>
      </c>
      <c r="E73" s="12" t="s">
        <v>368</v>
      </c>
    </row>
    <row r="74" spans="1:5" ht="15" thickBot="1" x14ac:dyDescent="0.4">
      <c r="A74" s="11" t="s">
        <v>296</v>
      </c>
      <c r="B74" s="6">
        <v>-5.9372639847158227E-4</v>
      </c>
      <c r="C74" s="6">
        <v>-3.858690977706726</v>
      </c>
      <c r="D74" s="6">
        <v>1.5896470304955915E-4</v>
      </c>
      <c r="E74" s="12" t="s">
        <v>368</v>
      </c>
    </row>
    <row r="75" spans="1:5" ht="15" thickBot="1" x14ac:dyDescent="0.4"/>
    <row r="76" spans="1:5" ht="15" thickBot="1" x14ac:dyDescent="0.4">
      <c r="A76" s="12" t="s">
        <v>365</v>
      </c>
      <c r="B76" s="14" t="s">
        <v>289</v>
      </c>
      <c r="C76" s="14" t="s">
        <v>290</v>
      </c>
      <c r="D76" s="14" t="s">
        <v>291</v>
      </c>
      <c r="E76" s="15" t="s">
        <v>299</v>
      </c>
    </row>
    <row r="77" spans="1:5" x14ac:dyDescent="0.35">
      <c r="A77" s="12" t="s">
        <v>297</v>
      </c>
      <c r="B77">
        <v>-6.4113920007024903E-3</v>
      </c>
      <c r="C77">
        <v>-1.6057240763563037</v>
      </c>
      <c r="D77">
        <v>0.11009727025805216</v>
      </c>
      <c r="E77" s="12" t="s">
        <v>369</v>
      </c>
    </row>
    <row r="78" spans="1:5" x14ac:dyDescent="0.35">
      <c r="A78" s="12" t="s">
        <v>295</v>
      </c>
      <c r="B78">
        <v>5.7385062561291657E-10</v>
      </c>
      <c r="C78">
        <v>2.0400286233105012E-5</v>
      </c>
      <c r="D78">
        <v>0.99998374564393666</v>
      </c>
      <c r="E78" s="12" t="s">
        <v>369</v>
      </c>
    </row>
    <row r="79" spans="1:5" x14ac:dyDescent="0.35">
      <c r="A79" s="12" t="s">
        <v>298</v>
      </c>
      <c r="B79">
        <v>-0.57756073370640171</v>
      </c>
      <c r="C79">
        <v>-2.984300810176777</v>
      </c>
      <c r="D79">
        <v>3.2394725211011338E-3</v>
      </c>
      <c r="E79" s="12" t="s">
        <v>368</v>
      </c>
    </row>
    <row r="80" spans="1:5" ht="15" thickBot="1" x14ac:dyDescent="0.4">
      <c r="A80" s="11" t="s">
        <v>296</v>
      </c>
      <c r="B80" s="6">
        <v>-6.4903202548711732E-4</v>
      </c>
      <c r="C80" s="6">
        <v>-3.8985819004060063</v>
      </c>
      <c r="D80" s="6">
        <v>1.3666254199560927E-4</v>
      </c>
      <c r="E80" s="12" t="s">
        <v>368</v>
      </c>
    </row>
    <row r="81" spans="1:5" ht="15" thickBot="1" x14ac:dyDescent="0.4"/>
    <row r="82" spans="1:5" ht="15" thickBot="1" x14ac:dyDescent="0.4">
      <c r="A82" s="12" t="s">
        <v>366</v>
      </c>
      <c r="B82" s="14" t="s">
        <v>289</v>
      </c>
      <c r="C82" s="14" t="s">
        <v>290</v>
      </c>
      <c r="D82" s="14" t="s">
        <v>291</v>
      </c>
      <c r="E82" s="15" t="s">
        <v>299</v>
      </c>
    </row>
    <row r="83" spans="1:5" x14ac:dyDescent="0.35">
      <c r="A83" s="12" t="s">
        <v>297</v>
      </c>
      <c r="B83">
        <v>-1.4526972860773821E-2</v>
      </c>
      <c r="C83">
        <v>-4.8835555127020767</v>
      </c>
      <c r="D83">
        <v>2.299607502053155E-6</v>
      </c>
      <c r="E83" s="12" t="s">
        <v>369</v>
      </c>
    </row>
    <row r="84" spans="1:5" x14ac:dyDescent="0.35">
      <c r="A84" s="12" t="s">
        <v>295</v>
      </c>
      <c r="B84">
        <v>-4.2611576501607448E-5</v>
      </c>
      <c r="C84">
        <v>-3.7444186927557741</v>
      </c>
      <c r="D84">
        <v>2.4354281974684822E-4</v>
      </c>
      <c r="E84" s="12" t="s">
        <v>369</v>
      </c>
    </row>
    <row r="85" spans="1:5" x14ac:dyDescent="0.35">
      <c r="A85" s="12" t="s">
        <v>298</v>
      </c>
      <c r="B85">
        <v>6.1580778079127824E-5</v>
      </c>
      <c r="C85">
        <v>3.7451068208340441</v>
      </c>
      <c r="D85">
        <v>2.4292493151693885E-4</v>
      </c>
      <c r="E85" s="12" t="s">
        <v>368</v>
      </c>
    </row>
    <row r="86" spans="1:5" ht="15" thickBot="1" x14ac:dyDescent="0.4">
      <c r="A86" s="11" t="s">
        <v>296</v>
      </c>
      <c r="B86" s="6">
        <v>-0.92411489510382605</v>
      </c>
      <c r="C86" s="6">
        <v>-5.7211911959445096</v>
      </c>
      <c r="D86" s="6">
        <v>4.3701966364937639E-8</v>
      </c>
      <c r="E86" s="12" t="s">
        <v>368</v>
      </c>
    </row>
    <row r="87" spans="1:5" ht="15" thickBot="1" x14ac:dyDescent="0.4"/>
    <row r="88" spans="1:5" ht="15" thickBot="1" x14ac:dyDescent="0.4">
      <c r="A88" s="12" t="s">
        <v>367</v>
      </c>
      <c r="B88" s="14" t="s">
        <v>289</v>
      </c>
      <c r="C88" s="14" t="s">
        <v>290</v>
      </c>
      <c r="D88" s="14" t="s">
        <v>291</v>
      </c>
      <c r="E88" s="15" t="s">
        <v>299</v>
      </c>
    </row>
    <row r="89" spans="1:5" x14ac:dyDescent="0.35">
      <c r="A89" s="12" t="s">
        <v>297</v>
      </c>
      <c r="B89">
        <v>-1.5333425618040113E-3</v>
      </c>
      <c r="C89">
        <v>-0.51272573300233104</v>
      </c>
      <c r="D89">
        <v>0.60877532174208837</v>
      </c>
      <c r="E89" s="12" t="s">
        <v>369</v>
      </c>
    </row>
    <row r="90" spans="1:5" x14ac:dyDescent="0.35">
      <c r="A90" s="12" t="s">
        <v>295</v>
      </c>
      <c r="B90">
        <v>2.3190573105740659E-6</v>
      </c>
      <c r="C90">
        <v>0.43541149823293301</v>
      </c>
      <c r="D90">
        <v>0.66378832821183076</v>
      </c>
      <c r="E90" s="12" t="s">
        <v>369</v>
      </c>
    </row>
    <row r="91" spans="1:5" x14ac:dyDescent="0.35">
      <c r="A91" s="12" t="s">
        <v>298</v>
      </c>
      <c r="B91">
        <v>-0.2744770882404422</v>
      </c>
      <c r="C91">
        <v>-1.4942888986618093</v>
      </c>
      <c r="D91">
        <v>0.13686085784086177</v>
      </c>
      <c r="E91" s="12" t="s">
        <v>369</v>
      </c>
    </row>
    <row r="92" spans="1:5" ht="15" thickBot="1" x14ac:dyDescent="0.4">
      <c r="A92" s="11" t="s">
        <v>296</v>
      </c>
      <c r="B92" s="6">
        <v>-8.229332711111629E-4</v>
      </c>
      <c r="C92" s="6">
        <v>-6.6779185370806369</v>
      </c>
      <c r="D92" s="6">
        <v>2.9471551712066317E-10</v>
      </c>
      <c r="E92" s="12" t="s">
        <v>368</v>
      </c>
    </row>
    <row r="95" spans="1:5" ht="15" thickBot="1" x14ac:dyDescent="0.4"/>
    <row r="96" spans="1:5" ht="15" thickBot="1" x14ac:dyDescent="0.4">
      <c r="A96" s="12" t="s">
        <v>371</v>
      </c>
      <c r="B96" s="14" t="s">
        <v>289</v>
      </c>
      <c r="C96" s="14" t="s">
        <v>290</v>
      </c>
      <c r="D96" s="14" t="s">
        <v>291</v>
      </c>
      <c r="E96" s="15" t="s">
        <v>299</v>
      </c>
    </row>
    <row r="97" spans="1:5" x14ac:dyDescent="0.35">
      <c r="A97" s="12" t="s">
        <v>297</v>
      </c>
      <c r="B97" s="12">
        <v>-3.0420610138249156E-3</v>
      </c>
      <c r="C97" s="12">
        <v>-0.96697173830994565</v>
      </c>
      <c r="D97" s="12">
        <v>0.33486281720750599</v>
      </c>
      <c r="E97" s="12" t="s">
        <v>369</v>
      </c>
    </row>
    <row r="98" spans="1:5" x14ac:dyDescent="0.35">
      <c r="A98" s="12" t="s">
        <v>295</v>
      </c>
      <c r="B98" s="12">
        <v>9.8353040035564252E-6</v>
      </c>
      <c r="C98" s="12">
        <v>1.1647380336945714</v>
      </c>
      <c r="D98" s="12">
        <v>0.24567496008281356</v>
      </c>
      <c r="E98" s="12" t="s">
        <v>369</v>
      </c>
    </row>
    <row r="99" spans="1:5" x14ac:dyDescent="0.35">
      <c r="A99" s="12" t="s">
        <v>298</v>
      </c>
      <c r="B99" s="12">
        <v>-0.20604251959398959</v>
      </c>
      <c r="C99" s="12">
        <v>-1.1938506180584663</v>
      </c>
      <c r="D99" s="12">
        <v>0.2341161621032905</v>
      </c>
      <c r="E99" s="12" t="s">
        <v>369</v>
      </c>
    </row>
    <row r="100" spans="1:5" ht="15" thickBot="1" x14ac:dyDescent="0.4">
      <c r="A100" s="11" t="s">
        <v>296</v>
      </c>
      <c r="B100" s="16">
        <v>-1.0689241246510351E-3</v>
      </c>
      <c r="C100" s="16">
        <v>-8.2600536360543355</v>
      </c>
      <c r="D100" s="16">
        <v>3.1363094122633322E-14</v>
      </c>
      <c r="E100" s="12" t="s">
        <v>368</v>
      </c>
    </row>
    <row r="101" spans="1:5" ht="15" thickBot="1" x14ac:dyDescent="0.4"/>
    <row r="102" spans="1:5" ht="15" thickBot="1" x14ac:dyDescent="0.4">
      <c r="A102" s="12" t="s">
        <v>372</v>
      </c>
      <c r="B102" s="14" t="s">
        <v>289</v>
      </c>
      <c r="C102" s="14" t="s">
        <v>290</v>
      </c>
      <c r="D102" s="14" t="s">
        <v>291</v>
      </c>
      <c r="E102" s="15" t="s">
        <v>299</v>
      </c>
    </row>
    <row r="103" spans="1:5" x14ac:dyDescent="0.35">
      <c r="A103" s="12" t="s">
        <v>297</v>
      </c>
      <c r="B103">
        <v>-1.7794259543536181E-3</v>
      </c>
      <c r="C103">
        <v>-0.76587404905434897</v>
      </c>
      <c r="D103">
        <v>0.44475998284164286</v>
      </c>
      <c r="E103" s="12" t="s">
        <v>369</v>
      </c>
    </row>
    <row r="104" spans="1:5" x14ac:dyDescent="0.35">
      <c r="A104" s="12" t="s">
        <v>295</v>
      </c>
      <c r="B104">
        <v>6.4901574195319875E-6</v>
      </c>
      <c r="C104">
        <v>2.0774850598212851</v>
      </c>
      <c r="D104">
        <v>3.9184251045859965E-2</v>
      </c>
      <c r="E104" s="12" t="s">
        <v>370</v>
      </c>
    </row>
    <row r="105" spans="1:5" x14ac:dyDescent="0.35">
      <c r="A105" s="12" t="s">
        <v>298</v>
      </c>
      <c r="B105">
        <v>-0.36320894733163878</v>
      </c>
      <c r="C105">
        <v>-2.1602899008721632</v>
      </c>
      <c r="D105">
        <v>3.207975435291207E-2</v>
      </c>
      <c r="E105" s="12" t="s">
        <v>370</v>
      </c>
    </row>
    <row r="106" spans="1:5" ht="15" thickBot="1" x14ac:dyDescent="0.4">
      <c r="A106" s="11" t="s">
        <v>296</v>
      </c>
      <c r="B106" s="6">
        <v>-9.8077321562659416E-4</v>
      </c>
      <c r="C106" s="6">
        <v>-8.0480361220406458</v>
      </c>
      <c r="D106" s="6">
        <v>1.1266322902209803E-13</v>
      </c>
      <c r="E106" s="12" t="s">
        <v>368</v>
      </c>
    </row>
    <row r="107" spans="1:5" ht="15" thickBot="1" x14ac:dyDescent="0.4"/>
    <row r="108" spans="1:5" ht="15" thickBot="1" x14ac:dyDescent="0.4">
      <c r="A108" s="12" t="s">
        <v>373</v>
      </c>
      <c r="B108" s="14" t="s">
        <v>289</v>
      </c>
      <c r="C108" s="14" t="s">
        <v>290</v>
      </c>
      <c r="D108" s="14" t="s">
        <v>291</v>
      </c>
      <c r="E108" s="15" t="s">
        <v>299</v>
      </c>
    </row>
    <row r="109" spans="1:5" x14ac:dyDescent="0.35">
      <c r="A109" s="12" t="s">
        <v>297</v>
      </c>
      <c r="B109">
        <v>-4.6266143958546991E-3</v>
      </c>
      <c r="C109">
        <v>-0.99677098626684213</v>
      </c>
      <c r="D109">
        <v>0.32022122457136803</v>
      </c>
      <c r="E109" s="12" t="s">
        <v>369</v>
      </c>
    </row>
    <row r="110" spans="1:5" x14ac:dyDescent="0.35">
      <c r="A110" s="12" t="s">
        <v>295</v>
      </c>
      <c r="B110">
        <v>1.4182498760266658E-5</v>
      </c>
      <c r="C110">
        <v>0.41259290792955478</v>
      </c>
      <c r="D110">
        <v>0.68039864531408245</v>
      </c>
      <c r="E110" s="12" t="s">
        <v>369</v>
      </c>
    </row>
    <row r="111" spans="1:5" x14ac:dyDescent="0.35">
      <c r="A111" s="12" t="s">
        <v>298</v>
      </c>
      <c r="B111">
        <v>-0.62803791432963951</v>
      </c>
      <c r="C111">
        <v>-3.2564988906793628</v>
      </c>
      <c r="D111">
        <v>1.349232372036675E-3</v>
      </c>
      <c r="E111" s="12" t="s">
        <v>368</v>
      </c>
    </row>
    <row r="112" spans="1:5" ht="15" thickBot="1" x14ac:dyDescent="0.4">
      <c r="A112" s="11" t="s">
        <v>296</v>
      </c>
      <c r="B112" s="6">
        <v>-7.7276612417460076E-4</v>
      </c>
      <c r="C112" s="6">
        <v>-4.7736437686280881</v>
      </c>
      <c r="D112" s="6">
        <v>3.7464683811741275E-6</v>
      </c>
      <c r="E112" s="12" t="s">
        <v>368</v>
      </c>
    </row>
    <row r="113" spans="1:5" ht="15" thickBot="1" x14ac:dyDescent="0.4"/>
    <row r="114" spans="1:5" ht="15" thickBot="1" x14ac:dyDescent="0.4">
      <c r="A114" s="12" t="s">
        <v>374</v>
      </c>
      <c r="B114" s="14" t="s">
        <v>289</v>
      </c>
      <c r="C114" s="14" t="s">
        <v>290</v>
      </c>
      <c r="D114" s="14" t="s">
        <v>291</v>
      </c>
      <c r="E114" s="15" t="s">
        <v>299</v>
      </c>
    </row>
    <row r="115" spans="1:5" x14ac:dyDescent="0.35">
      <c r="A115" s="12" t="s">
        <v>297</v>
      </c>
      <c r="B115">
        <v>-4.7421785217027258E-3</v>
      </c>
      <c r="C115">
        <v>-1.1459696918774791</v>
      </c>
      <c r="D115">
        <v>0.25333738725644828</v>
      </c>
      <c r="E115" s="12" t="s">
        <v>369</v>
      </c>
    </row>
    <row r="116" spans="1:5" x14ac:dyDescent="0.35">
      <c r="A116" s="12" t="s">
        <v>295</v>
      </c>
      <c r="B116">
        <v>1.0506527518030755E-5</v>
      </c>
      <c r="C116">
        <v>0.36039042851260972</v>
      </c>
      <c r="D116">
        <v>0.71898008774172539</v>
      </c>
      <c r="E116" s="12" t="s">
        <v>369</v>
      </c>
    </row>
    <row r="117" spans="1:5" x14ac:dyDescent="0.35">
      <c r="A117" s="12" t="s">
        <v>298</v>
      </c>
      <c r="B117">
        <v>-0.55020114467046677</v>
      </c>
      <c r="C117">
        <v>-2.7431090394149598</v>
      </c>
      <c r="D117">
        <v>6.7051651903015114E-3</v>
      </c>
      <c r="E117" s="12" t="s">
        <v>368</v>
      </c>
    </row>
    <row r="118" spans="1:5" ht="15" thickBot="1" x14ac:dyDescent="0.4">
      <c r="A118" s="11" t="s">
        <v>296</v>
      </c>
      <c r="B118" s="6">
        <v>-9.0804453241313181E-4</v>
      </c>
      <c r="C118" s="6">
        <v>-5.2628904174632058</v>
      </c>
      <c r="D118" s="6">
        <v>4.0250094130572133E-7</v>
      </c>
      <c r="E118" s="12" t="s">
        <v>368</v>
      </c>
    </row>
    <row r="119" spans="1:5" ht="15" thickBot="1" x14ac:dyDescent="0.4"/>
    <row r="120" spans="1:5" ht="15" thickBot="1" x14ac:dyDescent="0.4">
      <c r="A120" s="12" t="s">
        <v>375</v>
      </c>
      <c r="B120" s="14" t="s">
        <v>289</v>
      </c>
      <c r="C120" s="14" t="s">
        <v>290</v>
      </c>
      <c r="D120" s="14" t="s">
        <v>291</v>
      </c>
      <c r="E120" s="15" t="s">
        <v>299</v>
      </c>
    </row>
    <row r="121" spans="1:5" x14ac:dyDescent="0.35">
      <c r="A121" s="12" t="s">
        <v>297</v>
      </c>
      <c r="B121">
        <v>-5.0143004091719387E-3</v>
      </c>
      <c r="C121">
        <v>-1.6329723203387478</v>
      </c>
      <c r="D121">
        <v>0.10423260075253576</v>
      </c>
      <c r="E121" s="12" t="s">
        <v>369</v>
      </c>
    </row>
    <row r="122" spans="1:5" x14ac:dyDescent="0.35">
      <c r="A122" s="12" t="s">
        <v>295</v>
      </c>
      <c r="B122">
        <v>2.2411644366776895E-5</v>
      </c>
      <c r="C122">
        <v>2.3639561486234668</v>
      </c>
      <c r="D122">
        <v>1.9152682740539047E-2</v>
      </c>
      <c r="E122" s="12" t="s">
        <v>377</v>
      </c>
    </row>
    <row r="123" spans="1:5" x14ac:dyDescent="0.35">
      <c r="A123" s="12" t="s">
        <v>298</v>
      </c>
      <c r="B123">
        <v>-0.23812847861588121</v>
      </c>
      <c r="C123">
        <v>-1.3875958507875428</v>
      </c>
      <c r="D123">
        <v>0.1669851246460248</v>
      </c>
      <c r="E123" s="12" t="s">
        <v>369</v>
      </c>
    </row>
    <row r="124" spans="1:5" ht="15" thickBot="1" x14ac:dyDescent="0.4">
      <c r="A124" s="11" t="s">
        <v>296</v>
      </c>
      <c r="B124" s="6">
        <v>-1.0930326181511226E-3</v>
      </c>
      <c r="C124" s="6">
        <v>-8.3913902951915595</v>
      </c>
      <c r="D124" s="6">
        <v>1.410401505831382E-14</v>
      </c>
      <c r="E124" s="12" t="s">
        <v>368</v>
      </c>
    </row>
    <row r="125" spans="1:5" ht="15" thickBot="1" x14ac:dyDescent="0.4"/>
    <row r="126" spans="1:5" ht="15" thickBot="1" x14ac:dyDescent="0.4">
      <c r="A126" s="12" t="s">
        <v>376</v>
      </c>
      <c r="B126" s="14" t="s">
        <v>289</v>
      </c>
      <c r="C126" s="14" t="s">
        <v>290</v>
      </c>
      <c r="D126" s="14" t="s">
        <v>291</v>
      </c>
      <c r="E126" s="15" t="s">
        <v>299</v>
      </c>
    </row>
    <row r="127" spans="1:5" x14ac:dyDescent="0.35">
      <c r="A127" s="12" t="s">
        <v>297</v>
      </c>
      <c r="B127">
        <v>1.6613928821010253E-3</v>
      </c>
      <c r="C127">
        <v>0.54688408840983693</v>
      </c>
      <c r="D127">
        <v>0.58513948215738787</v>
      </c>
      <c r="E127" s="12" t="s">
        <v>369</v>
      </c>
    </row>
    <row r="128" spans="1:5" x14ac:dyDescent="0.35">
      <c r="A128" s="12" t="s">
        <v>295</v>
      </c>
      <c r="B128">
        <v>1.0425216195060581E-6</v>
      </c>
      <c r="C128">
        <v>0.19268615056400143</v>
      </c>
      <c r="D128">
        <v>0.8474232113868676</v>
      </c>
      <c r="E128" s="12" t="s">
        <v>369</v>
      </c>
    </row>
    <row r="129" spans="1:5" x14ac:dyDescent="0.35">
      <c r="A129" s="12" t="s">
        <v>298</v>
      </c>
      <c r="B129">
        <v>-0.26259096606431154</v>
      </c>
      <c r="C129">
        <v>-1.4072954109529818</v>
      </c>
      <c r="D129">
        <v>0.16107386346819094</v>
      </c>
      <c r="E129" s="12" t="s">
        <v>369</v>
      </c>
    </row>
    <row r="130" spans="1:5" ht="15" thickBot="1" x14ac:dyDescent="0.4">
      <c r="A130" s="11" t="s">
        <v>296</v>
      </c>
      <c r="B130" s="6">
        <v>-1.0372120298826767E-3</v>
      </c>
      <c r="C130" s="6">
        <v>-8.2855445983879559</v>
      </c>
      <c r="D130" s="6">
        <v>2.6867900681202368E-14</v>
      </c>
      <c r="E130" s="12" t="s">
        <v>368</v>
      </c>
    </row>
  </sheetData>
  <pageMargins left="0.7" right="0.7" top="0.75" bottom="0.75" header="0.3" footer="0.3"/>
  <ignoredErrors>
    <ignoredError sqref="B55:B56" calculatedColumn="1"/>
  </ignoredErrors>
  <tableParts count="25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5048F-5B03-4A5A-AC61-5E68D59C4D64}">
  <dimension ref="A1:S184"/>
  <sheetViews>
    <sheetView zoomScale="70" zoomScaleNormal="70" workbookViewId="0">
      <selection activeCell="B35" sqref="B35"/>
    </sheetView>
  </sheetViews>
  <sheetFormatPr baseColWidth="10" defaultRowHeight="14.5" x14ac:dyDescent="0.35"/>
  <cols>
    <col min="1" max="1" width="15.36328125" customWidth="1"/>
    <col min="2" max="2" width="19.90625" customWidth="1"/>
    <col min="3" max="3" width="19.6328125" bestFit="1" customWidth="1"/>
    <col min="4" max="4" width="15.453125" bestFit="1" customWidth="1"/>
    <col min="5" max="5" width="15.81640625" customWidth="1"/>
    <col min="6" max="6" width="14.453125" customWidth="1"/>
    <col min="7" max="7" width="15.08984375" customWidth="1"/>
    <col min="8" max="8" width="23.08984375" bestFit="1" customWidth="1"/>
    <col min="9" max="9" width="15.7265625" bestFit="1" customWidth="1"/>
    <col min="10" max="10" width="16.54296875" bestFit="1" customWidth="1"/>
    <col min="11" max="11" width="13.26953125" bestFit="1" customWidth="1"/>
    <col min="12" max="12" width="11.7265625" bestFit="1" customWidth="1"/>
    <col min="13" max="13" width="12.54296875" bestFit="1" customWidth="1"/>
    <col min="14" max="14" width="16.7265625" customWidth="1"/>
    <col min="15" max="15" width="15.36328125" customWidth="1"/>
    <col min="16" max="16" width="16.1796875" customWidth="1"/>
    <col min="17" max="17" width="12.08984375" customWidth="1"/>
    <col min="19" max="19" width="13.7265625" customWidth="1"/>
  </cols>
  <sheetData>
    <row r="1" spans="1:19" x14ac:dyDescent="0.35">
      <c r="A1" s="10" t="s">
        <v>305</v>
      </c>
      <c r="B1" s="10" t="s">
        <v>254</v>
      </c>
      <c r="C1" s="10" t="s">
        <v>255</v>
      </c>
      <c r="D1" s="10" t="s">
        <v>256</v>
      </c>
      <c r="E1" s="10" t="s">
        <v>257</v>
      </c>
      <c r="F1" s="10" t="s">
        <v>258</v>
      </c>
      <c r="G1" s="10" t="s">
        <v>259</v>
      </c>
      <c r="H1" s="10" t="s">
        <v>260</v>
      </c>
      <c r="I1" s="10" t="s">
        <v>261</v>
      </c>
      <c r="J1" s="10" t="s">
        <v>262</v>
      </c>
      <c r="K1" s="10" t="s">
        <v>263</v>
      </c>
      <c r="L1" s="10" t="s">
        <v>264</v>
      </c>
      <c r="M1" s="10" t="s">
        <v>265</v>
      </c>
      <c r="N1" s="10" t="s">
        <v>266</v>
      </c>
      <c r="O1" s="10" t="s">
        <v>267</v>
      </c>
      <c r="P1" s="10" t="s">
        <v>268</v>
      </c>
      <c r="Q1" s="10" t="s">
        <v>269</v>
      </c>
      <c r="R1" s="10" t="s">
        <v>270</v>
      </c>
      <c r="S1" s="10" t="s">
        <v>271</v>
      </c>
    </row>
    <row r="2" spans="1:19" x14ac:dyDescent="0.35">
      <c r="A2" s="10" t="s">
        <v>303</v>
      </c>
      <c r="B2" s="10">
        <f>AVERAGE('CAC France'!L3:L186)</f>
        <v>4.113803566044384E-4</v>
      </c>
      <c r="C2" s="10">
        <f>MIN('CAC France'!L3:L186)</f>
        <v>-5.7051209030652677E-3</v>
      </c>
      <c r="D2" s="10">
        <f>MAX('CAC France'!L3:L186)</f>
        <v>1.421540592258882E-2</v>
      </c>
      <c r="E2" s="10">
        <f>AVERAGE('DAX Germany'!L3:L186)</f>
        <v>5.3739671036450668E-4</v>
      </c>
      <c r="F2" s="10">
        <f>MIN('DAX Germany'!L3:L186)</f>
        <v>-1.0147416539211284E-2</v>
      </c>
      <c r="G2" s="10">
        <f>MAX('DAX Germany'!L3:L186)</f>
        <v>1.1657554670445942E-2</v>
      </c>
      <c r="H2" s="10">
        <f>AVERAGE('FTSEMIB Italy '!L3:L186)</f>
        <v>4.0539018489383255E-4</v>
      </c>
      <c r="I2" s="10">
        <f>MIN('FTSEMIB Italy '!L3:L186)</f>
        <v>-8.0604891933450506E-3</v>
      </c>
      <c r="J2" s="10">
        <f>MAX('FTSEMIB Italy '!L3:L186)</f>
        <v>1.4785630807333394E-2</v>
      </c>
      <c r="K2" s="10">
        <f>AVERAGE('IBEX Spain'!L3:L186)</f>
        <v>3.1808275420591606E-4</v>
      </c>
      <c r="L2" s="10">
        <f>MIN('IBEX Spain'!L3:L186)</f>
        <v>-7.0117537029195758E-3</v>
      </c>
      <c r="M2" s="10">
        <f>MAX('IBEX Spain'!L3:L186)</f>
        <v>1.8459158346757456E-2</v>
      </c>
      <c r="N2" s="10">
        <f>AVERAGE('SXSE eurostoxx'!L3:L186)</f>
        <v>3.711861229324598E-4</v>
      </c>
      <c r="O2" s="10">
        <f>MIN('SXSE eurostoxx'!L3:L186)</f>
        <v>-7.0668560716782118E-3</v>
      </c>
      <c r="P2" s="10">
        <f>MAX('SXSE eurostoxx'!L3:L186)</f>
        <v>1.4342343612081181E-2</v>
      </c>
      <c r="Q2" s="10">
        <f>AVERAGE('UKX UK'!L3:L186)</f>
        <v>3.1068793279026666E-4</v>
      </c>
      <c r="R2" s="10">
        <f>MIN('UKX UK'!L3:L186)</f>
        <v>-6.3961254165749489E-3</v>
      </c>
      <c r="S2" s="10">
        <f>MAX('UKX UK'!L3:L186)</f>
        <v>1.2420194985732512E-2</v>
      </c>
    </row>
    <row r="3" spans="1:19" x14ac:dyDescent="0.35">
      <c r="A3" s="10" t="s">
        <v>272</v>
      </c>
      <c r="B3" s="10">
        <f>AVERAGE('CAC France'!N3:N186)</f>
        <v>-2.1134429223590503E-2</v>
      </c>
      <c r="C3" s="10">
        <f>MIN('CAC France'!N3:N186)</f>
        <v>-7.5791126580524795E-2</v>
      </c>
      <c r="D3" s="10">
        <f>MAX('CAC France'!N3:N186)</f>
        <v>-3.4078626866513705E-3</v>
      </c>
      <c r="E3" s="10">
        <f>AVERAGE('DAX Germany'!N3:N186)</f>
        <v>-2.0867059539178869E-2</v>
      </c>
      <c r="F3" s="10">
        <f>MIN('DAX Germany'!N3:N186)</f>
        <v>-6.4669574748968228E-2</v>
      </c>
      <c r="G3" s="10">
        <f>MAX('DAX Germany'!N3:N186)</f>
        <v>-3.1743405816973191E-3</v>
      </c>
      <c r="H3" s="10">
        <f>AVERAGE('FTSEMIB Italy '!N3:N186)</f>
        <v>-2.6165388402439153E-2</v>
      </c>
      <c r="I3" s="10">
        <f>MIN('FTSEMIB Italy '!N3:N186)</f>
        <v>-0.1193539062128996</v>
      </c>
      <c r="J3" s="10">
        <f>MAX('FTSEMIB Italy '!N3:N186)</f>
        <v>-2.919612023860701E-3</v>
      </c>
      <c r="K3" s="10">
        <f>AVERAGE('IBEX Spain'!N3:N186)</f>
        <v>-2.3399375096717766E-2</v>
      </c>
      <c r="L3" s="10">
        <f>MIN('IBEX Spain'!N3:N186)</f>
        <v>-0.1169245459873989</v>
      </c>
      <c r="M3" s="10">
        <f>MAX('IBEX Spain'!N3:N186)</f>
        <v>-5.3411843974765349E-3</v>
      </c>
      <c r="N3" s="10">
        <f>AVERAGE('SXSE eurostoxx'!N3:N186)</f>
        <v>-2.1581653787078974E-2</v>
      </c>
      <c r="O3" s="10">
        <f>MIN('SXSE eurostoxx'!N3:N186)</f>
        <v>-8.0904421867446896E-2</v>
      </c>
      <c r="P3" s="10">
        <f>MAX('SXSE eurostoxx'!N3:N186)</f>
        <v>-3.4352033328883614E-3</v>
      </c>
      <c r="Q3" s="10">
        <f>AVERAGE('UKX UK'!N3:N186)</f>
        <v>-1.8734500822970138E-2</v>
      </c>
      <c r="R3" s="10">
        <f>MIN('UKX UK'!N3:N186)</f>
        <v>-8.3880611513777181E-2</v>
      </c>
      <c r="S3" s="10">
        <f>MAX('UKX UK'!N3:N186)</f>
        <v>-2.9945377560118311E-3</v>
      </c>
    </row>
    <row r="4" spans="1:19" x14ac:dyDescent="0.35">
      <c r="A4" s="10" t="s">
        <v>200</v>
      </c>
      <c r="B4" s="10">
        <f>AVERAGE('CAC France'!O3:O186)</f>
        <v>-2.2505474630640291E-2</v>
      </c>
      <c r="C4" s="10">
        <f>MIN('CAC France'!O3:O186)</f>
        <v>-8.3843670369306206E-2</v>
      </c>
      <c r="D4" s="10">
        <f>MAX('CAC France'!O3:O186)</f>
        <v>-3.5037252327376222E-3</v>
      </c>
      <c r="E4" s="10">
        <f>AVERAGE('DAX Germany'!O3:O186)</f>
        <v>-2.2051044602020266E-2</v>
      </c>
      <c r="F4" s="10">
        <f>MIN('DAX Germany'!O3:O186)</f>
        <v>-7.0672712353585035E-2</v>
      </c>
      <c r="G4" s="10">
        <f>MAX('DAX Germany'!O3:O186)</f>
        <v>-3.3351443688756886E-3</v>
      </c>
      <c r="H4" s="10">
        <f>AVERAGE('FTSEMIB Italy '!O3:O186)</f>
        <v>-2.7643852200921644E-2</v>
      </c>
      <c r="I4" s="10">
        <f>MIN('FTSEMIB Italy '!O3:O186)</f>
        <v>-0.13331442103267852</v>
      </c>
      <c r="J4" s="10">
        <f>MAX('FTSEMIB Italy '!O3:O186)</f>
        <v>-2.9332853515259419E-3</v>
      </c>
      <c r="K4" s="10">
        <f>AVERAGE('IBEX Spain'!O3:O186)</f>
        <v>-2.4610488581352757E-2</v>
      </c>
      <c r="L4" s="10">
        <f>MIN('IBEX Spain'!O3:O186)</f>
        <v>-0.13185265984190989</v>
      </c>
      <c r="M4" s="10">
        <f>MAX('IBEX Spain'!O3:O186)</f>
        <v>-5.6540608344345187E-3</v>
      </c>
      <c r="N4" s="10">
        <f>AVERAGE('SXSE eurostoxx'!O3:O186)</f>
        <v>-2.2832523190252384E-2</v>
      </c>
      <c r="O4" s="10">
        <f>MIN('SXSE eurostoxx'!O3:O186)</f>
        <v>-9.0109857294124143E-2</v>
      </c>
      <c r="P4" s="10">
        <f>MAX('SXSE eurostoxx'!O3:O186)</f>
        <v>-3.4361128810545777E-3</v>
      </c>
      <c r="Q4" s="10">
        <f>AVERAGE('UKX UK'!O3:O186)</f>
        <v>-1.9800085128958578E-2</v>
      </c>
      <c r="R4" s="10">
        <f>MIN('UKX UK'!O3:O186)</f>
        <v>-8.9041250796063481E-2</v>
      </c>
      <c r="S4" s="10">
        <f>MAX('UKX UK'!O3:O186)</f>
        <v>-4.1923056520227313E-3</v>
      </c>
    </row>
    <row r="5" spans="1:19" x14ac:dyDescent="0.35">
      <c r="A5" s="10" t="s">
        <v>202</v>
      </c>
      <c r="B5" s="10">
        <f>AVERAGE('CAC France'!P3:P186)</f>
        <v>276.61507778670716</v>
      </c>
      <c r="C5" s="10">
        <f>MIN('CAC France'!P3:P186)</f>
        <v>132.2171910892462</v>
      </c>
      <c r="D5" s="10">
        <f>MAX('CAC France'!P3:P186)</f>
        <v>619.74813667375247</v>
      </c>
      <c r="E5" s="10">
        <f>AVERAGE('DAX Germany'!P3:P186)</f>
        <v>305.29993823293717</v>
      </c>
      <c r="F5" s="10">
        <f>MIN('DAX Germany'!P3:P186)</f>
        <v>65.217127701073068</v>
      </c>
      <c r="G5" s="10">
        <f>MAX('DAX Germany'!P3:P186)</f>
        <v>1318.3414114610935</v>
      </c>
      <c r="H5" s="10">
        <f>AVERAGE('FTSEMIB Italy '!P3:P186)</f>
        <v>124.9081197910543</v>
      </c>
      <c r="I5" s="10">
        <f>MIN('FTSEMIB Italy '!P3:P186)</f>
        <v>31.701534582704117</v>
      </c>
      <c r="J5" s="10">
        <f>MAX('FTSEMIB Italy '!P3:P186)</f>
        <v>279.38913293818945</v>
      </c>
      <c r="K5" s="10">
        <f>AVERAGE('IBEX Spain'!P3:P186)</f>
        <v>140.63906039362368</v>
      </c>
      <c r="L5" s="10">
        <f>MIN('IBEX Spain'!P3:P186)</f>
        <v>66.645698547363281</v>
      </c>
      <c r="M5" s="10">
        <f>MAX('IBEX Spain'!P3:P186)</f>
        <v>261.6097412109375</v>
      </c>
      <c r="N5" s="10">
        <f>AVERAGE('SXSE eurostoxx'!P3:P186)</f>
        <v>235.97391584191558</v>
      </c>
      <c r="O5" s="10">
        <f>MIN('SXSE eurostoxx'!P3:P186)</f>
        <v>111.7961041819876</v>
      </c>
      <c r="P5" s="10">
        <f>MAX('SXSE eurostoxx'!P3:P186)</f>
        <v>776.64013667105291</v>
      </c>
      <c r="Q5" s="10">
        <f>AVERAGE('UKX UK'!P3:P186)</f>
        <v>304.68831303498087</v>
      </c>
      <c r="R5" s="10">
        <f>MIN('UKX UK'!P3:P186)</f>
        <v>111.09922042336812</v>
      </c>
      <c r="S5" s="10">
        <f>MAX('UKX UK'!P3:P186)</f>
        <v>1141.7955414253549</v>
      </c>
    </row>
    <row r="6" spans="1:19" x14ac:dyDescent="0.35">
      <c r="A6" s="10" t="s">
        <v>203</v>
      </c>
      <c r="B6" s="10">
        <f>AVERAGE('CAC France'!T3:T186)</f>
        <v>18.659130434782611</v>
      </c>
      <c r="C6" s="10">
        <f>MIN('CAC France'!T3:T186)</f>
        <v>9.51</v>
      </c>
      <c r="D6" s="10">
        <f>MAX('CAC France'!T3:T186)</f>
        <v>53.54</v>
      </c>
      <c r="E6" s="10">
        <f>AVERAGE('DAX Germany'!T3:T186)</f>
        <v>18.659130434782611</v>
      </c>
      <c r="F6" s="10">
        <f>MIN('DAX Germany'!T3:T186)</f>
        <v>9.51</v>
      </c>
      <c r="G6" s="10">
        <f>MAX('DAX Germany'!T3:T186)</f>
        <v>53.54</v>
      </c>
      <c r="H6" s="10">
        <f>AVERAGE('FTSEMIB Italy '!T3:T186)</f>
        <v>18.659130434782611</v>
      </c>
      <c r="I6" s="10">
        <f>MIN('FTSEMIB Italy '!T3:T186)</f>
        <v>9.51</v>
      </c>
      <c r="J6" s="10">
        <f>MAX('FTSEMIB Italy '!T3:T186)</f>
        <v>53.54</v>
      </c>
      <c r="K6" s="10">
        <f>AVERAGE('IBEX Spain'!T3:T186)</f>
        <v>18.659130434782611</v>
      </c>
      <c r="L6" s="10">
        <f>MIN('IBEX Spain'!T3:T186)</f>
        <v>9.51</v>
      </c>
      <c r="M6" s="10">
        <f>MAX('IBEX Spain'!T3:T186)</f>
        <v>53.54</v>
      </c>
      <c r="N6" s="10">
        <f>AVERAGE('SXSE eurostoxx'!U3:U186)</f>
        <v>18.659130434782611</v>
      </c>
      <c r="O6" s="10">
        <f>MIN('SXSE eurostoxx'!U3:U186)</f>
        <v>9.51</v>
      </c>
      <c r="P6" s="10">
        <f>MAX('SXSE eurostoxx'!U3:U186)</f>
        <v>53.54</v>
      </c>
      <c r="Q6" s="10">
        <f>AVERAGE('UKX UK'!T3:T186)</f>
        <v>18.659130434782611</v>
      </c>
      <c r="R6" s="10">
        <f>MIN('UKX UK'!T3:T186)</f>
        <v>9.51</v>
      </c>
      <c r="S6" s="10">
        <f>MAX('UKX UK'!T3:T186)</f>
        <v>53.54</v>
      </c>
    </row>
    <row r="7" spans="1:19" x14ac:dyDescent="0.35">
      <c r="A7" s="10" t="s">
        <v>220</v>
      </c>
      <c r="B7" s="10">
        <f>AVERAGE('CAC France'!Q3:Q186)</f>
        <v>25.779674754098366</v>
      </c>
      <c r="C7" s="10">
        <f>MIN('CAC France'!Q3:Q186)</f>
        <v>13.96176</v>
      </c>
      <c r="D7" s="10">
        <f>MAX('CAC France'!Q3:Q186)</f>
        <v>62.779389999999999</v>
      </c>
      <c r="E7" s="10">
        <f>AVERAGE('DAX Germany'!Q3:Q186)</f>
        <v>25.779674754098366</v>
      </c>
      <c r="F7" s="10">
        <f>MIN('DAX Germany'!Q3:Q186)</f>
        <v>13.96176</v>
      </c>
      <c r="G7" s="10">
        <f>MAX('DAX Germany'!Q3:Q186)</f>
        <v>62.779389999999999</v>
      </c>
      <c r="H7" s="10">
        <f>AVERAGE('FTSEMIB Italy '!Q3:Q186)</f>
        <v>25.779674754098366</v>
      </c>
      <c r="I7" s="10">
        <f>MIN('FTSEMIB Italy '!Q3:Q186)</f>
        <v>13.96176</v>
      </c>
      <c r="J7" s="10">
        <f>MAX('FTSEMIB Italy '!Q3:Q186)</f>
        <v>62.779389999999999</v>
      </c>
      <c r="K7" s="10">
        <f>AVERAGE('IBEX Spain'!Q3:Q186)</f>
        <v>25.779674754098366</v>
      </c>
      <c r="L7" s="10">
        <f>MIN('IBEX Spain'!Q3:Q186)</f>
        <v>13.96176</v>
      </c>
      <c r="M7" s="10">
        <f>MAX('IBEX Spain'!Q3:Q186)</f>
        <v>62.779389999999999</v>
      </c>
      <c r="N7" s="10">
        <f>AVERAGE('SXSE eurostoxx'!R3:R186)</f>
        <v>25.779674754098366</v>
      </c>
      <c r="O7" s="10">
        <f>MIN('SXSE eurostoxx'!R3:R186)</f>
        <v>13.96176</v>
      </c>
      <c r="P7" s="10">
        <f>MAX('SXSE eurostoxx'!R3:R186)</f>
        <v>62.779389999999999</v>
      </c>
      <c r="Q7" s="10">
        <f>AVERAGE('UKX UK'!Q3:Q186)</f>
        <v>25.779674754098366</v>
      </c>
      <c r="R7" s="10">
        <f>MIN('UKX UK'!Q3:Q186)</f>
        <v>13.96176</v>
      </c>
      <c r="S7" s="10">
        <f>MAX('UKX UK'!Q3:Q186)</f>
        <v>62.779389999999999</v>
      </c>
    </row>
    <row r="8" spans="1:19" ht="29" x14ac:dyDescent="0.35">
      <c r="A8" s="11" t="s">
        <v>304</v>
      </c>
      <c r="B8" s="10">
        <f>AVERAGE('CAC France'!K3:K186)</f>
        <v>1.0963465228548444E-2</v>
      </c>
      <c r="C8" s="10">
        <f>MIN('CAC France'!K3:K186)</f>
        <v>-2.0156753290821051E-3</v>
      </c>
      <c r="D8" s="10">
        <f>MAX('CAC France'!K3:K186)</f>
        <v>3.2476953607379316E-2</v>
      </c>
      <c r="E8" s="10">
        <f>AVERAGE('DAX Germany'!K3:K186)</f>
        <v>1.0970741661435827E-2</v>
      </c>
      <c r="F8" s="10">
        <f>MIN('DAX Germany'!K3:K186)</f>
        <v>4.0086318378225513E-3</v>
      </c>
      <c r="G8" s="10">
        <f>MAX('DAX Germany'!K3:K186)</f>
        <v>3.0611302078091963E-2</v>
      </c>
      <c r="H8" s="10">
        <f>AVERAGE('FTSEMIB Italy '!K3:K186)</f>
        <v>1.3374971155844994E-2</v>
      </c>
      <c r="I8" s="10">
        <f>MIN('FTSEMIB Italy '!K3:K186)</f>
        <v>4.2734239202494176E-3</v>
      </c>
      <c r="J8" s="10">
        <f>MAX('FTSEMIB Italy '!K3:K186)</f>
        <v>3.7844902235982691E-2</v>
      </c>
      <c r="K8" s="10">
        <f>AVERAGE('IBEX Spain'!K3:K186)</f>
        <v>1.2122535289732908E-2</v>
      </c>
      <c r="L8" s="10">
        <f>MIN('IBEX Spain'!K3:K186)</f>
        <v>5.2577394571302217E-3</v>
      </c>
      <c r="M8" s="10">
        <f>MAX('IBEX Spain'!K3:K186)</f>
        <v>4.3862086646526119E-2</v>
      </c>
      <c r="N8" s="10">
        <f>AVERAGE('SXSE eurostoxx'!K3:K186)</f>
        <v>1.1318381041429786E-2</v>
      </c>
      <c r="O8" s="10">
        <f>MIN('SXSE eurostoxx'!K3:K186)</f>
        <v>3.9499568717088372E-3</v>
      </c>
      <c r="P8" s="10">
        <f>MAX('SXSE eurostoxx'!K3:K186)</f>
        <v>3.3574522687436902E-2</v>
      </c>
      <c r="Q8" s="10">
        <f>AVERAGE('UKX UK'!K3:K186)</f>
        <v>9.4728877208924509E-3</v>
      </c>
      <c r="R8" s="10">
        <f>MIN('UKX UK'!K3:K186)</f>
        <v>1.8227642919692972E-3</v>
      </c>
      <c r="S8" s="10">
        <f>MAX('UKX UK'!K3:K186)</f>
        <v>2.99195987639897E-2</v>
      </c>
    </row>
    <row r="10" spans="1:19" x14ac:dyDescent="0.35">
      <c r="D10" s="10"/>
      <c r="E10" s="10"/>
      <c r="F10" s="10"/>
      <c r="G10" s="10"/>
      <c r="H10" s="10"/>
      <c r="I10" s="10"/>
      <c r="J10" s="10"/>
      <c r="K10" s="11"/>
    </row>
    <row r="11" spans="1:19" x14ac:dyDescent="0.35">
      <c r="D11" s="10"/>
      <c r="E11" s="10"/>
      <c r="F11" s="10"/>
      <c r="G11" s="10"/>
      <c r="H11" s="10"/>
      <c r="I11" s="10"/>
      <c r="J11" s="10"/>
      <c r="K11" s="10"/>
    </row>
    <row r="12" spans="1:19" x14ac:dyDescent="0.35">
      <c r="D12" s="10"/>
      <c r="E12" s="10"/>
      <c r="F12" s="10"/>
      <c r="G12" s="10"/>
      <c r="H12" s="10"/>
      <c r="I12" s="10"/>
      <c r="J12" s="10"/>
      <c r="K12" s="10"/>
    </row>
    <row r="13" spans="1:19" x14ac:dyDescent="0.35">
      <c r="A13" s="10" t="s">
        <v>327</v>
      </c>
      <c r="B13" s="10" t="s">
        <v>254</v>
      </c>
      <c r="C13" s="10" t="s">
        <v>255</v>
      </c>
      <c r="D13" s="10" t="s">
        <v>256</v>
      </c>
      <c r="E13" s="10" t="s">
        <v>257</v>
      </c>
      <c r="F13" s="10" t="s">
        <v>258</v>
      </c>
      <c r="G13" s="10" t="s">
        <v>259</v>
      </c>
      <c r="H13" s="10" t="s">
        <v>260</v>
      </c>
      <c r="I13" s="10" t="s">
        <v>261</v>
      </c>
      <c r="J13" s="10" t="s">
        <v>262</v>
      </c>
      <c r="K13" s="10" t="s">
        <v>263</v>
      </c>
      <c r="L13" s="10" t="s">
        <v>264</v>
      </c>
      <c r="M13" s="10" t="s">
        <v>265</v>
      </c>
      <c r="N13" s="10" t="s">
        <v>266</v>
      </c>
      <c r="O13" s="10" t="s">
        <v>267</v>
      </c>
      <c r="P13" s="10" t="s">
        <v>268</v>
      </c>
      <c r="Q13" s="10" t="s">
        <v>269</v>
      </c>
      <c r="R13" s="10" t="s">
        <v>270</v>
      </c>
      <c r="S13" s="10" t="s">
        <v>271</v>
      </c>
    </row>
    <row r="14" spans="1:19" x14ac:dyDescent="0.35">
      <c r="A14" s="10" t="s">
        <v>303</v>
      </c>
      <c r="B14" s="25">
        <f>AVERAGE('CAC France'!L15:L198)</f>
        <v>3.3471825934982066E-4</v>
      </c>
      <c r="C14" s="25">
        <f>MIN('CAC France'!L15:L198)</f>
        <v>-5.7051209030652677E-3</v>
      </c>
      <c r="D14" s="25">
        <f>MAX('CAC France'!L15:L198)</f>
        <v>8.7291333174120272E-3</v>
      </c>
      <c r="E14" s="25">
        <f>AVERAGE('DAX Germany'!L15:L198)</f>
        <v>4.575786128369183E-4</v>
      </c>
      <c r="F14" s="25">
        <f>MIN('DAX Germany'!L15:L198)</f>
        <v>-1.0147416539211284E-2</v>
      </c>
      <c r="G14" s="25">
        <f>MAX('DAX Germany'!L15:L198)</f>
        <v>6.6596587610840714E-3</v>
      </c>
      <c r="H14" s="25">
        <f>AVERAGE('FTSEMIB Italy '!L15:L198)</f>
        <v>3.5573415702076186E-4</v>
      </c>
      <c r="I14" s="25">
        <f>MIN('FTSEMIB Italy '!L15:L198)</f>
        <v>-8.0604891933450506E-3</v>
      </c>
      <c r="J14" s="25">
        <f>MAX('FTSEMIB Italy '!L15:L198)</f>
        <v>1.0602805518741345E-2</v>
      </c>
      <c r="K14" s="25">
        <f>AVERAGE('IBEX Spain'!L15:L198)</f>
        <v>2.3603503432513136E-4</v>
      </c>
      <c r="L14" s="25">
        <f>MIN('IBEX Spain'!L15:L198)</f>
        <v>-6.9979314625309968E-3</v>
      </c>
      <c r="M14" s="25">
        <f>MAX('IBEX Spain'!L15:L198)</f>
        <v>1.0694617982209819E-2</v>
      </c>
      <c r="N14" s="25">
        <f>AVERAGE('SXSE eurostoxx'!L15:L198)</f>
        <v>2.9832325805178385E-4</v>
      </c>
      <c r="O14" s="25">
        <f>MIN('SXSE eurostoxx'!L15:L198)</f>
        <v>-7.0668560716782118E-3</v>
      </c>
      <c r="P14" s="25">
        <f>MAX('SXSE eurostoxx'!L15:L198)</f>
        <v>7.9069004530353659E-3</v>
      </c>
      <c r="Q14" s="25">
        <f>AVERAGE('UKX UK'!L15:L198)</f>
        <v>2.1091829902914139E-4</v>
      </c>
      <c r="R14" s="25">
        <f>MIN('UKX UK'!L15:L198)</f>
        <v>-6.3961254165749489E-3</v>
      </c>
      <c r="S14" s="25">
        <f>MAX('UKX UK'!L15:L198)</f>
        <v>9.0198358398990725E-3</v>
      </c>
    </row>
    <row r="15" spans="1:19" x14ac:dyDescent="0.35">
      <c r="A15" s="10" t="s">
        <v>272</v>
      </c>
      <c r="B15" s="25">
        <f>AVERAGE('CAC France'!N15:N198)</f>
        <v>-2.0838000432020044E-2</v>
      </c>
      <c r="C15" s="25">
        <f>MIN('CAC France'!N15:N198)</f>
        <v>-7.5791126580524795E-2</v>
      </c>
      <c r="D15" s="25">
        <f>MAX('CAC France'!N15:N198)</f>
        <v>-3.4078626866513705E-3</v>
      </c>
      <c r="E15" s="25">
        <f>AVERAGE('DAX Germany'!N15:N198)</f>
        <v>-2.0933271518754661E-2</v>
      </c>
      <c r="F15" s="25">
        <f>MIN('DAX Germany'!N15:N198)</f>
        <v>-6.4669574748968228E-2</v>
      </c>
      <c r="G15" s="25">
        <f>MAX('DAX Germany'!N15:N198)</f>
        <v>-3.1743405816973191E-3</v>
      </c>
      <c r="H15" s="25">
        <f>AVERAGE('FTSEMIB Italy '!N15:N198)</f>
        <v>-2.6119801518155641E-2</v>
      </c>
      <c r="I15" s="25">
        <f>MIN('FTSEMIB Italy '!N15:N198)</f>
        <v>-0.1193539062128996</v>
      </c>
      <c r="J15" s="25">
        <f>MAX('FTSEMIB Italy '!N15:N198)</f>
        <v>-2.919612023860701E-3</v>
      </c>
      <c r="K15" s="25">
        <f>AVERAGE('IBEX Spain'!N15:N198)</f>
        <v>-2.280259289458467E-2</v>
      </c>
      <c r="L15" s="25">
        <f>MIN('IBEX Spain'!N15:N198)</f>
        <v>-0.1169245459873989</v>
      </c>
      <c r="M15" s="25">
        <f>MAX('IBEX Spain'!N15:N198)</f>
        <v>-5.3411843974765349E-3</v>
      </c>
      <c r="N15" s="25">
        <f>AVERAGE('SXSE eurostoxx'!N15:N198)</f>
        <v>-2.1310985730410417E-2</v>
      </c>
      <c r="O15" s="25">
        <f>MIN('SXSE eurostoxx'!N15:N198)</f>
        <v>-8.0904421867446896E-2</v>
      </c>
      <c r="P15" s="25">
        <f>MAX('SXSE eurostoxx'!N15:N198)</f>
        <v>-3.4352033328883614E-3</v>
      </c>
      <c r="Q15" s="25">
        <f>AVERAGE('UKX UK'!N15:N198)</f>
        <v>-1.8603046505754582E-2</v>
      </c>
      <c r="R15" s="25">
        <f>MIN('UKX UK'!N15:N198)</f>
        <v>-8.3880611513777181E-2</v>
      </c>
      <c r="S15" s="25">
        <f>MAX('UKX UK'!N15:N198)</f>
        <v>-2.9945377560118311E-3</v>
      </c>
    </row>
    <row r="16" spans="1:19" x14ac:dyDescent="0.35">
      <c r="A16" s="10" t="s">
        <v>200</v>
      </c>
      <c r="B16" s="25">
        <f>AVERAGE('CAC France'!O15:O198)</f>
        <v>-2.226705122410641E-2</v>
      </c>
      <c r="C16" s="25">
        <f>MIN('CAC France'!O15:O198)</f>
        <v>-8.3843670369306206E-2</v>
      </c>
      <c r="D16" s="25">
        <f>MAX('CAC France'!O15:O198)</f>
        <v>-3.5037252327376222E-3</v>
      </c>
      <c r="E16" s="25">
        <f>AVERAGE('DAX Germany'!O15:O198)</f>
        <v>-2.21677053593894E-2</v>
      </c>
      <c r="F16" s="25">
        <f>MIN('DAX Germany'!O15:O198)</f>
        <v>-7.0672712353585035E-2</v>
      </c>
      <c r="G16" s="25">
        <f>MAX('DAX Germany'!O15:O198)</f>
        <v>-3.3351443688756886E-3</v>
      </c>
      <c r="H16" s="25">
        <f>AVERAGE('FTSEMIB Italy '!O15:O198)</f>
        <v>-2.7666516678528631E-2</v>
      </c>
      <c r="I16" s="25">
        <f>MIN('FTSEMIB Italy '!O15:O198)</f>
        <v>-0.13331442103267852</v>
      </c>
      <c r="J16" s="25">
        <f>MAX('FTSEMIB Italy '!O15:O198)</f>
        <v>-2.9332853515259419E-3</v>
      </c>
      <c r="K16" s="25">
        <f>AVERAGE('IBEX Spain'!O15:O198)</f>
        <v>-2.4048877443880439E-2</v>
      </c>
      <c r="L16" s="25">
        <f>MIN('IBEX Spain'!O15:O198)</f>
        <v>-0.13185265984190989</v>
      </c>
      <c r="M16" s="25">
        <f>MAX('IBEX Spain'!O15:O198)</f>
        <v>-5.6540608344345187E-3</v>
      </c>
      <c r="N16" s="25">
        <f>AVERAGE('SXSE eurostoxx'!O15:O198)</f>
        <v>-2.2616345465005308E-2</v>
      </c>
      <c r="O16" s="25">
        <f>MIN('SXSE eurostoxx'!O15:O198)</f>
        <v>-9.0109857294124143E-2</v>
      </c>
      <c r="P16" s="25">
        <f>MAX('SXSE eurostoxx'!O15:O198)</f>
        <v>-3.4361128810545777E-3</v>
      </c>
      <c r="Q16" s="25">
        <f>AVERAGE('UKX UK'!O15:O198)</f>
        <v>-1.9703446265521226E-2</v>
      </c>
      <c r="R16" s="25">
        <f>MIN('UKX UK'!O15:O198)</f>
        <v>-8.9041250796063481E-2</v>
      </c>
      <c r="S16" s="25">
        <f>MAX('UKX UK'!O15:O198)</f>
        <v>-4.1923056520227313E-3</v>
      </c>
    </row>
    <row r="17" spans="1:19" ht="29" x14ac:dyDescent="0.35">
      <c r="A17" s="11" t="s">
        <v>304</v>
      </c>
      <c r="B17" s="25">
        <f>AVERAGE('CAC France'!K15:K198)</f>
        <v>1.0884765762962547E-2</v>
      </c>
      <c r="C17" s="25">
        <f>MIN('CAC France'!K15:K198)</f>
        <v>3.6558133305558457E-3</v>
      </c>
      <c r="D17" s="25">
        <f>MAX('CAC France'!K15:K198)</f>
        <v>2.9003433734277571E-2</v>
      </c>
      <c r="E17" s="25">
        <f>AVERAGE('DAX Germany'!K15:K198)</f>
        <v>1.0961061907219795E-2</v>
      </c>
      <c r="F17" s="25">
        <f>MIN('DAX Germany'!K15:K198)</f>
        <v>4.0086318378225513E-3</v>
      </c>
      <c r="G17" s="25">
        <f>MAX('DAX Germany'!K15:K198)</f>
        <v>3.0611302078091963E-2</v>
      </c>
      <c r="H17" s="25">
        <f>AVERAGE('FTSEMIB Italy '!K15:K198)</f>
        <v>1.3276984877892443E-2</v>
      </c>
      <c r="I17" s="25">
        <f>MIN('FTSEMIB Italy '!K15:K198)</f>
        <v>4.2734239202494176E-3</v>
      </c>
      <c r="J17" s="25">
        <f>MAX('FTSEMIB Italy '!K15:K198)</f>
        <v>3.6358103858633459E-2</v>
      </c>
      <c r="K17" s="25">
        <f>AVERAGE('IBEX Spain'!K15:K198)</f>
        <v>1.1763254967922283E-2</v>
      </c>
      <c r="L17" s="25">
        <f>MIN('IBEX Spain'!K15:K198)</f>
        <v>5.2577394571302217E-3</v>
      </c>
      <c r="M17" s="25">
        <f>MAX('IBEX Spain'!K15:K198)</f>
        <v>3.378209884415577E-2</v>
      </c>
      <c r="N17" s="25">
        <f>AVERAGE('SXSE eurostoxx'!K15:K198)</f>
        <v>1.1134503967885179E-2</v>
      </c>
      <c r="O17" s="25">
        <f>MIN('SXSE eurostoxx'!K15:K198)</f>
        <v>3.9499568717088372E-3</v>
      </c>
      <c r="P17" s="25">
        <f>MAX('SXSE eurostoxx'!K15:K198)</f>
        <v>3.025350878056134E-2</v>
      </c>
      <c r="Q17" s="25">
        <f>AVERAGE('UKX UK'!K15:K198)</f>
        <v>9.3933754508944423E-3</v>
      </c>
      <c r="R17" s="25">
        <f>MIN('UKX UK'!K15:K198)</f>
        <v>1.8227642919692972E-3</v>
      </c>
      <c r="S17" s="25">
        <f>MAX('UKX UK'!K15:K198)</f>
        <v>2.99195987639897E-2</v>
      </c>
    </row>
    <row r="18" spans="1:19" x14ac:dyDescent="0.35">
      <c r="D18" s="10"/>
      <c r="E18" s="10"/>
      <c r="F18" s="10"/>
      <c r="G18" s="10"/>
      <c r="H18" s="10"/>
      <c r="I18" s="10"/>
      <c r="J18" s="10"/>
      <c r="K18" s="10"/>
    </row>
    <row r="19" spans="1:19" x14ac:dyDescent="0.35">
      <c r="D19" s="10"/>
      <c r="E19" s="10"/>
      <c r="F19" s="10"/>
      <c r="G19" s="10"/>
      <c r="H19" s="10"/>
      <c r="I19" s="10"/>
      <c r="J19" s="10"/>
      <c r="K19" s="10"/>
    </row>
    <row r="20" spans="1:19" x14ac:dyDescent="0.35">
      <c r="D20" s="10"/>
      <c r="E20" s="10"/>
      <c r="F20" s="10"/>
      <c r="G20" s="10"/>
      <c r="H20" s="10"/>
      <c r="I20" s="10"/>
      <c r="J20" s="10"/>
      <c r="K20" s="10"/>
    </row>
    <row r="21" spans="1:19" x14ac:dyDescent="0.35">
      <c r="D21" s="10"/>
      <c r="E21" s="10"/>
      <c r="F21" s="10"/>
      <c r="G21" s="10"/>
      <c r="H21" s="10"/>
      <c r="I21" s="10"/>
      <c r="J21" s="10"/>
      <c r="K21" s="10"/>
    </row>
    <row r="22" spans="1:19" x14ac:dyDescent="0.35">
      <c r="D22" s="10"/>
      <c r="E22" s="10"/>
      <c r="F22" s="10"/>
      <c r="G22" s="10"/>
      <c r="H22" s="10"/>
      <c r="I22" s="10"/>
      <c r="J22" s="10"/>
      <c r="K22" s="10"/>
    </row>
    <row r="23" spans="1:19" x14ac:dyDescent="0.35">
      <c r="D23" s="10"/>
      <c r="E23" s="10"/>
      <c r="F23" s="10"/>
      <c r="G23" s="10"/>
      <c r="H23" s="10"/>
      <c r="I23" s="10"/>
      <c r="J23" s="10"/>
      <c r="K23" s="10"/>
    </row>
    <row r="24" spans="1:19" x14ac:dyDescent="0.35">
      <c r="D24" s="10"/>
      <c r="E24" s="10"/>
      <c r="F24" s="10"/>
      <c r="G24" s="10"/>
      <c r="H24" s="10"/>
      <c r="I24" s="10"/>
      <c r="J24" s="10"/>
      <c r="K24" s="10"/>
    </row>
    <row r="25" spans="1:19" x14ac:dyDescent="0.35">
      <c r="D25" s="10"/>
      <c r="E25" s="10"/>
      <c r="F25" s="10"/>
      <c r="G25" s="10"/>
      <c r="H25" s="10"/>
      <c r="I25" s="10"/>
      <c r="J25" s="10"/>
      <c r="K25" s="10"/>
    </row>
    <row r="26" spans="1:19" x14ac:dyDescent="0.35">
      <c r="D26" s="10"/>
      <c r="E26" s="10"/>
      <c r="F26" s="10"/>
      <c r="G26" s="10"/>
      <c r="H26" s="10"/>
      <c r="I26" s="10"/>
      <c r="J26" s="10"/>
      <c r="K26" s="10"/>
    </row>
    <row r="27" spans="1:19" x14ac:dyDescent="0.35">
      <c r="D27" s="10"/>
      <c r="E27" s="10"/>
      <c r="F27" s="10"/>
      <c r="G27" s="10"/>
      <c r="H27" s="10"/>
      <c r="I27" s="10"/>
      <c r="J27" s="10"/>
      <c r="K27" s="10"/>
    </row>
    <row r="28" spans="1:19" x14ac:dyDescent="0.35">
      <c r="D28" s="10"/>
      <c r="E28" s="10"/>
      <c r="F28" s="10"/>
      <c r="G28" s="10"/>
      <c r="H28" s="10"/>
      <c r="I28" s="10"/>
      <c r="J28" s="10"/>
      <c r="K28" s="10"/>
    </row>
    <row r="29" spans="1:19" x14ac:dyDescent="0.35">
      <c r="D29" s="10"/>
      <c r="E29" s="10"/>
      <c r="F29" s="10"/>
      <c r="G29" s="10"/>
      <c r="H29" s="10"/>
      <c r="I29" s="10"/>
      <c r="J29" s="10"/>
      <c r="K29" s="10"/>
    </row>
    <row r="30" spans="1:19" x14ac:dyDescent="0.35">
      <c r="D30" s="10"/>
      <c r="E30" s="10"/>
      <c r="F30" s="10"/>
      <c r="G30" s="10"/>
      <c r="H30" s="10"/>
      <c r="I30" s="10"/>
      <c r="J30" s="10"/>
      <c r="K30" s="10"/>
    </row>
    <row r="31" spans="1:19" x14ac:dyDescent="0.35">
      <c r="D31" s="10"/>
      <c r="E31" s="10"/>
      <c r="F31" s="10"/>
      <c r="G31" s="10"/>
      <c r="H31" s="10"/>
      <c r="I31" s="10"/>
      <c r="J31" s="10"/>
      <c r="K31" s="10"/>
    </row>
    <row r="32" spans="1:19" x14ac:dyDescent="0.35">
      <c r="D32" s="10"/>
      <c r="E32" s="10"/>
      <c r="F32" s="10"/>
      <c r="G32" s="10"/>
      <c r="H32" s="10"/>
      <c r="I32" s="10"/>
      <c r="J32" s="10"/>
      <c r="K32" s="10"/>
    </row>
    <row r="33" spans="4:11" x14ac:dyDescent="0.35">
      <c r="D33" s="10"/>
      <c r="E33" s="10"/>
      <c r="F33" s="10"/>
      <c r="G33" s="10"/>
      <c r="H33" s="10"/>
      <c r="I33" s="10"/>
      <c r="J33" s="10"/>
      <c r="K33" s="10"/>
    </row>
    <row r="34" spans="4:11" x14ac:dyDescent="0.35">
      <c r="D34" s="10"/>
      <c r="E34" s="10"/>
      <c r="F34" s="10"/>
      <c r="G34" s="10"/>
      <c r="H34" s="10"/>
      <c r="I34" s="10"/>
      <c r="J34" s="10"/>
      <c r="K34" s="10"/>
    </row>
    <row r="35" spans="4:11" x14ac:dyDescent="0.35">
      <c r="D35" s="10"/>
      <c r="E35" s="10"/>
      <c r="F35" s="10"/>
      <c r="G35" s="10"/>
      <c r="H35" s="10"/>
      <c r="I35" s="10"/>
      <c r="J35" s="10"/>
      <c r="K35" s="10"/>
    </row>
    <row r="36" spans="4:11" x14ac:dyDescent="0.35">
      <c r="D36" s="10"/>
      <c r="E36" s="10"/>
      <c r="F36" s="10"/>
      <c r="G36" s="10"/>
      <c r="H36" s="10"/>
      <c r="I36" s="10"/>
      <c r="J36" s="10"/>
      <c r="K36" s="10"/>
    </row>
    <row r="37" spans="4:11" x14ac:dyDescent="0.35">
      <c r="D37" s="10"/>
      <c r="E37" s="10"/>
      <c r="F37" s="10"/>
      <c r="G37" s="10"/>
      <c r="H37" s="10"/>
      <c r="I37" s="10"/>
      <c r="J37" s="10"/>
      <c r="K37" s="10"/>
    </row>
    <row r="38" spans="4:11" x14ac:dyDescent="0.35">
      <c r="D38" s="10"/>
      <c r="E38" s="10"/>
      <c r="F38" s="10"/>
      <c r="G38" s="10"/>
      <c r="H38" s="10"/>
      <c r="I38" s="10"/>
      <c r="J38" s="10"/>
      <c r="K38" s="10"/>
    </row>
    <row r="39" spans="4:11" x14ac:dyDescent="0.35">
      <c r="D39" s="10"/>
      <c r="E39" s="10"/>
      <c r="F39" s="10"/>
      <c r="G39" s="10"/>
      <c r="H39" s="10"/>
      <c r="I39" s="10"/>
      <c r="J39" s="10"/>
      <c r="K39" s="10"/>
    </row>
    <row r="40" spans="4:11" x14ac:dyDescent="0.35">
      <c r="D40" s="10"/>
      <c r="E40" s="10"/>
      <c r="F40" s="10"/>
      <c r="G40" s="10"/>
      <c r="H40" s="10"/>
      <c r="I40" s="10"/>
      <c r="J40" s="10"/>
      <c r="K40" s="10"/>
    </row>
    <row r="41" spans="4:11" x14ac:dyDescent="0.35">
      <c r="D41" s="10"/>
      <c r="E41" s="10"/>
      <c r="F41" s="10"/>
      <c r="G41" s="10"/>
      <c r="H41" s="10"/>
      <c r="I41" s="10"/>
      <c r="J41" s="10"/>
      <c r="K41" s="10"/>
    </row>
    <row r="42" spans="4:11" x14ac:dyDescent="0.35">
      <c r="D42" s="10"/>
      <c r="E42" s="10"/>
      <c r="F42" s="10"/>
      <c r="G42" s="10"/>
      <c r="H42" s="10"/>
      <c r="I42" s="10"/>
      <c r="J42" s="10"/>
      <c r="K42" s="10"/>
    </row>
    <row r="43" spans="4:11" x14ac:dyDescent="0.35">
      <c r="D43" s="10"/>
      <c r="E43" s="10"/>
      <c r="F43" s="10"/>
      <c r="G43" s="10"/>
      <c r="H43" s="10"/>
      <c r="I43" s="10"/>
      <c r="J43" s="10"/>
      <c r="K43" s="10"/>
    </row>
    <row r="44" spans="4:11" x14ac:dyDescent="0.35">
      <c r="D44" s="10"/>
      <c r="E44" s="10"/>
      <c r="F44" s="10"/>
      <c r="G44" s="10"/>
      <c r="H44" s="10"/>
      <c r="I44" s="10"/>
      <c r="J44" s="10"/>
      <c r="K44" s="10"/>
    </row>
    <row r="45" spans="4:11" x14ac:dyDescent="0.35">
      <c r="D45" s="10"/>
      <c r="E45" s="10"/>
      <c r="F45" s="10"/>
      <c r="G45" s="10"/>
      <c r="H45" s="10"/>
      <c r="I45" s="10"/>
      <c r="J45" s="10"/>
      <c r="K45" s="10"/>
    </row>
    <row r="46" spans="4:11" x14ac:dyDescent="0.35">
      <c r="D46" s="10"/>
      <c r="E46" s="10"/>
      <c r="F46" s="10"/>
      <c r="G46" s="10"/>
      <c r="H46" s="10"/>
      <c r="I46" s="10"/>
      <c r="J46" s="10"/>
      <c r="K46" s="10"/>
    </row>
    <row r="47" spans="4:11" x14ac:dyDescent="0.35">
      <c r="D47" s="10"/>
      <c r="E47" s="10"/>
      <c r="F47" s="10"/>
      <c r="G47" s="10"/>
      <c r="H47" s="10"/>
      <c r="I47" s="10"/>
      <c r="J47" s="10"/>
      <c r="K47" s="10"/>
    </row>
    <row r="48" spans="4:11" x14ac:dyDescent="0.35">
      <c r="D48" s="10"/>
      <c r="E48" s="10"/>
      <c r="F48" s="10"/>
      <c r="G48" s="10"/>
      <c r="H48" s="10"/>
      <c r="I48" s="10"/>
      <c r="J48" s="10"/>
      <c r="K48" s="10"/>
    </row>
    <row r="49" spans="4:11" x14ac:dyDescent="0.35">
      <c r="D49" s="10"/>
      <c r="E49" s="10"/>
      <c r="F49" s="10"/>
      <c r="G49" s="10"/>
      <c r="H49" s="10"/>
      <c r="I49" s="10"/>
      <c r="J49" s="10"/>
      <c r="K49" s="10"/>
    </row>
    <row r="50" spans="4:11" x14ac:dyDescent="0.35">
      <c r="D50" s="10"/>
      <c r="E50" s="10"/>
      <c r="F50" s="10"/>
      <c r="G50" s="10"/>
      <c r="H50" s="10"/>
      <c r="I50" s="10"/>
      <c r="J50" s="10"/>
      <c r="K50" s="10"/>
    </row>
    <row r="51" spans="4:11" x14ac:dyDescent="0.35">
      <c r="D51" s="10"/>
      <c r="E51" s="10"/>
      <c r="F51" s="10"/>
      <c r="G51" s="10"/>
      <c r="H51" s="10"/>
      <c r="I51" s="10"/>
      <c r="J51" s="10"/>
      <c r="K51" s="10"/>
    </row>
    <row r="52" spans="4:11" x14ac:dyDescent="0.35">
      <c r="D52" s="10"/>
      <c r="E52" s="10"/>
      <c r="F52" s="10"/>
      <c r="G52" s="10"/>
      <c r="H52" s="10"/>
      <c r="I52" s="10"/>
      <c r="J52" s="10"/>
      <c r="K52" s="10"/>
    </row>
    <row r="53" spans="4:11" x14ac:dyDescent="0.35">
      <c r="D53" s="10"/>
      <c r="E53" s="10"/>
      <c r="F53" s="10"/>
      <c r="G53" s="10"/>
      <c r="H53" s="10"/>
      <c r="I53" s="10"/>
      <c r="J53" s="10"/>
      <c r="K53" s="10"/>
    </row>
    <row r="54" spans="4:11" x14ac:dyDescent="0.35">
      <c r="D54" s="10"/>
      <c r="E54" s="10"/>
      <c r="F54" s="10"/>
      <c r="G54" s="10"/>
      <c r="H54" s="10"/>
      <c r="I54" s="10"/>
      <c r="J54" s="10"/>
      <c r="K54" s="10"/>
    </row>
    <row r="55" spans="4:11" x14ac:dyDescent="0.35">
      <c r="D55" s="10"/>
      <c r="E55" s="10"/>
      <c r="F55" s="10"/>
      <c r="G55" s="10"/>
      <c r="H55" s="10"/>
      <c r="I55" s="10"/>
      <c r="J55" s="10"/>
      <c r="K55" s="10"/>
    </row>
    <row r="56" spans="4:11" x14ac:dyDescent="0.35">
      <c r="D56" s="10"/>
      <c r="E56" s="10"/>
      <c r="F56" s="10"/>
      <c r="G56" s="10"/>
      <c r="H56" s="10"/>
      <c r="I56" s="10"/>
      <c r="J56" s="10"/>
      <c r="K56" s="10"/>
    </row>
    <row r="57" spans="4:11" x14ac:dyDescent="0.35">
      <c r="D57" s="10"/>
      <c r="E57" s="10"/>
      <c r="F57" s="10"/>
      <c r="G57" s="10"/>
      <c r="H57" s="10"/>
      <c r="I57" s="10"/>
      <c r="J57" s="10"/>
      <c r="K57" s="10"/>
    </row>
    <row r="58" spans="4:11" x14ac:dyDescent="0.35">
      <c r="D58" s="10"/>
      <c r="E58" s="10"/>
      <c r="F58" s="10"/>
      <c r="G58" s="10"/>
      <c r="H58" s="10"/>
      <c r="I58" s="10"/>
      <c r="J58" s="10"/>
      <c r="K58" s="10"/>
    </row>
    <row r="59" spans="4:11" x14ac:dyDescent="0.35">
      <c r="D59" s="10"/>
      <c r="E59" s="10"/>
      <c r="F59" s="10"/>
      <c r="G59" s="10"/>
      <c r="H59" s="10"/>
      <c r="I59" s="10"/>
      <c r="J59" s="10"/>
      <c r="K59" s="10"/>
    </row>
    <row r="60" spans="4:11" x14ac:dyDescent="0.35">
      <c r="D60" s="10"/>
      <c r="E60" s="10"/>
      <c r="F60" s="10"/>
      <c r="G60" s="10"/>
      <c r="H60" s="10"/>
      <c r="I60" s="10"/>
      <c r="J60" s="10"/>
      <c r="K60" s="10"/>
    </row>
    <row r="61" spans="4:11" x14ac:dyDescent="0.35">
      <c r="D61" s="10"/>
      <c r="E61" s="10"/>
      <c r="F61" s="10"/>
      <c r="G61" s="10"/>
      <c r="H61" s="10"/>
      <c r="I61" s="10"/>
      <c r="J61" s="10"/>
      <c r="K61" s="10"/>
    </row>
    <row r="62" spans="4:11" x14ac:dyDescent="0.35">
      <c r="D62" s="10"/>
      <c r="E62" s="10"/>
      <c r="F62" s="10"/>
      <c r="G62" s="10"/>
      <c r="H62" s="10"/>
      <c r="I62" s="10"/>
      <c r="J62" s="10"/>
      <c r="K62" s="10"/>
    </row>
    <row r="63" spans="4:11" x14ac:dyDescent="0.35">
      <c r="D63" s="10"/>
      <c r="E63" s="10"/>
      <c r="F63" s="10"/>
      <c r="G63" s="10"/>
      <c r="H63" s="10"/>
      <c r="I63" s="10"/>
      <c r="J63" s="10"/>
      <c r="K63" s="10"/>
    </row>
    <row r="64" spans="4:11" x14ac:dyDescent="0.35">
      <c r="D64" s="10"/>
      <c r="E64" s="10"/>
      <c r="F64" s="10"/>
      <c r="G64" s="10"/>
      <c r="H64" s="10"/>
      <c r="I64" s="10"/>
      <c r="J64" s="10"/>
      <c r="K64" s="10"/>
    </row>
    <row r="65" spans="4:11" x14ac:dyDescent="0.35">
      <c r="D65" s="10"/>
      <c r="E65" s="10"/>
      <c r="F65" s="10"/>
      <c r="G65" s="10"/>
      <c r="H65" s="10"/>
      <c r="I65" s="10"/>
      <c r="J65" s="10"/>
      <c r="K65" s="10"/>
    </row>
    <row r="66" spans="4:11" x14ac:dyDescent="0.35">
      <c r="D66" s="10"/>
      <c r="E66" s="10"/>
      <c r="F66" s="10"/>
      <c r="G66" s="10"/>
      <c r="H66" s="10"/>
      <c r="I66" s="10"/>
      <c r="J66" s="10"/>
      <c r="K66" s="10"/>
    </row>
    <row r="67" spans="4:11" x14ac:dyDescent="0.35">
      <c r="D67" s="10"/>
      <c r="E67" s="10"/>
      <c r="F67" s="10"/>
      <c r="G67" s="10"/>
      <c r="H67" s="10"/>
      <c r="I67" s="10"/>
      <c r="J67" s="10"/>
      <c r="K67" s="10"/>
    </row>
    <row r="68" spans="4:11" x14ac:dyDescent="0.35">
      <c r="D68" s="10"/>
      <c r="E68" s="10"/>
      <c r="F68" s="10"/>
      <c r="G68" s="10"/>
      <c r="H68" s="10"/>
      <c r="I68" s="10"/>
      <c r="J68" s="10"/>
      <c r="K68" s="10"/>
    </row>
    <row r="69" spans="4:11" x14ac:dyDescent="0.35">
      <c r="D69" s="10"/>
      <c r="E69" s="10"/>
      <c r="F69" s="10"/>
      <c r="G69" s="10"/>
      <c r="H69" s="10"/>
      <c r="I69" s="10"/>
      <c r="J69" s="10"/>
      <c r="K69" s="10"/>
    </row>
    <row r="70" spans="4:11" x14ac:dyDescent="0.35">
      <c r="D70" s="10"/>
      <c r="E70" s="10"/>
      <c r="F70" s="10"/>
      <c r="G70" s="10"/>
      <c r="H70" s="10"/>
      <c r="I70" s="10"/>
      <c r="J70" s="10"/>
      <c r="K70" s="10"/>
    </row>
    <row r="71" spans="4:11" x14ac:dyDescent="0.35">
      <c r="D71" s="10"/>
      <c r="E71" s="10"/>
      <c r="F71" s="10"/>
      <c r="G71" s="10"/>
      <c r="H71" s="10"/>
      <c r="I71" s="10"/>
      <c r="J71" s="10"/>
      <c r="K71" s="10"/>
    </row>
    <row r="72" spans="4:11" x14ac:dyDescent="0.35">
      <c r="D72" s="10"/>
      <c r="E72" s="10"/>
      <c r="F72" s="10"/>
      <c r="G72" s="10"/>
      <c r="H72" s="10"/>
      <c r="I72" s="10"/>
      <c r="J72" s="10"/>
      <c r="K72" s="10"/>
    </row>
    <row r="73" spans="4:11" x14ac:dyDescent="0.35">
      <c r="D73" s="10"/>
      <c r="E73" s="10"/>
      <c r="F73" s="10"/>
      <c r="G73" s="10"/>
      <c r="H73" s="10"/>
      <c r="I73" s="10"/>
      <c r="J73" s="10"/>
      <c r="K73" s="10"/>
    </row>
    <row r="74" spans="4:11" x14ac:dyDescent="0.35">
      <c r="D74" s="10"/>
      <c r="E74" s="10"/>
      <c r="F74" s="10"/>
      <c r="G74" s="10"/>
      <c r="H74" s="10"/>
      <c r="I74" s="10"/>
      <c r="J74" s="10"/>
      <c r="K74" s="10"/>
    </row>
    <row r="75" spans="4:11" x14ac:dyDescent="0.35">
      <c r="D75" s="10"/>
      <c r="E75" s="10"/>
      <c r="F75" s="10"/>
      <c r="G75" s="10"/>
      <c r="H75" s="10"/>
      <c r="I75" s="10"/>
      <c r="J75" s="10"/>
      <c r="K75" s="10"/>
    </row>
    <row r="76" spans="4:11" x14ac:dyDescent="0.35">
      <c r="D76" s="10"/>
      <c r="E76" s="10"/>
      <c r="F76" s="10"/>
      <c r="G76" s="10"/>
      <c r="H76" s="10"/>
      <c r="I76" s="10"/>
      <c r="J76" s="10"/>
      <c r="K76" s="10"/>
    </row>
    <row r="77" spans="4:11" x14ac:dyDescent="0.35">
      <c r="D77" s="10"/>
      <c r="E77" s="10"/>
      <c r="F77" s="10"/>
      <c r="G77" s="10"/>
      <c r="H77" s="10"/>
      <c r="I77" s="10"/>
      <c r="J77" s="10"/>
      <c r="K77" s="10"/>
    </row>
    <row r="78" spans="4:11" x14ac:dyDescent="0.35">
      <c r="D78" s="10"/>
      <c r="E78" s="10"/>
      <c r="F78" s="10"/>
      <c r="G78" s="10"/>
      <c r="H78" s="10"/>
      <c r="I78" s="10"/>
      <c r="J78" s="10"/>
      <c r="K78" s="10"/>
    </row>
    <row r="79" spans="4:11" x14ac:dyDescent="0.35">
      <c r="D79" s="10"/>
      <c r="E79" s="10"/>
      <c r="F79" s="10"/>
      <c r="G79" s="10"/>
      <c r="H79" s="10"/>
      <c r="I79" s="10"/>
      <c r="J79" s="10"/>
      <c r="K79" s="10"/>
    </row>
    <row r="80" spans="4:11" x14ac:dyDescent="0.35">
      <c r="D80" s="10"/>
      <c r="E80" s="10"/>
      <c r="F80" s="10"/>
      <c r="G80" s="10"/>
      <c r="H80" s="10"/>
      <c r="I80" s="10"/>
      <c r="J80" s="10"/>
      <c r="K80" s="10"/>
    </row>
    <row r="81" spans="4:11" x14ac:dyDescent="0.35">
      <c r="D81" s="10"/>
      <c r="E81" s="10"/>
      <c r="F81" s="10"/>
      <c r="G81" s="10"/>
      <c r="H81" s="10"/>
      <c r="I81" s="10"/>
      <c r="J81" s="10"/>
      <c r="K81" s="10"/>
    </row>
    <row r="82" spans="4:11" x14ac:dyDescent="0.35">
      <c r="D82" s="10"/>
      <c r="E82" s="10"/>
      <c r="F82" s="10"/>
      <c r="G82" s="10"/>
      <c r="H82" s="10"/>
      <c r="I82" s="10"/>
      <c r="J82" s="10"/>
      <c r="K82" s="10"/>
    </row>
    <row r="83" spans="4:11" x14ac:dyDescent="0.35">
      <c r="D83" s="10"/>
      <c r="E83" s="10"/>
      <c r="F83" s="10"/>
      <c r="G83" s="10"/>
      <c r="H83" s="10"/>
      <c r="I83" s="10"/>
      <c r="J83" s="10"/>
      <c r="K83" s="10"/>
    </row>
    <row r="84" spans="4:11" x14ac:dyDescent="0.35">
      <c r="D84" s="10"/>
      <c r="E84" s="10"/>
      <c r="F84" s="10"/>
      <c r="G84" s="10"/>
      <c r="H84" s="10"/>
      <c r="I84" s="10"/>
      <c r="J84" s="10"/>
      <c r="K84" s="10"/>
    </row>
    <row r="85" spans="4:11" x14ac:dyDescent="0.35">
      <c r="D85" s="10"/>
      <c r="E85" s="10"/>
      <c r="F85" s="10"/>
      <c r="G85" s="10"/>
      <c r="H85" s="10"/>
      <c r="I85" s="10"/>
      <c r="J85" s="10"/>
      <c r="K85" s="10"/>
    </row>
    <row r="86" spans="4:11" x14ac:dyDescent="0.35">
      <c r="D86" s="10"/>
      <c r="E86" s="10"/>
      <c r="F86" s="10"/>
      <c r="G86" s="10"/>
      <c r="H86" s="10"/>
      <c r="I86" s="10"/>
      <c r="J86" s="10"/>
      <c r="K86" s="10"/>
    </row>
    <row r="87" spans="4:11" x14ac:dyDescent="0.35">
      <c r="D87" s="10"/>
      <c r="E87" s="10"/>
      <c r="F87" s="10"/>
      <c r="G87" s="10"/>
      <c r="H87" s="10"/>
      <c r="I87" s="10"/>
      <c r="J87" s="10"/>
      <c r="K87" s="10"/>
    </row>
    <row r="88" spans="4:11" x14ac:dyDescent="0.35">
      <c r="D88" s="10"/>
      <c r="E88" s="10"/>
      <c r="F88" s="10"/>
      <c r="G88" s="10"/>
      <c r="H88" s="10"/>
      <c r="I88" s="10"/>
      <c r="J88" s="10"/>
      <c r="K88" s="10"/>
    </row>
    <row r="89" spans="4:11" x14ac:dyDescent="0.35">
      <c r="D89" s="10"/>
      <c r="E89" s="10"/>
      <c r="F89" s="10"/>
      <c r="G89" s="10"/>
      <c r="H89" s="10"/>
      <c r="I89" s="10"/>
      <c r="J89" s="10"/>
      <c r="K89" s="10"/>
    </row>
    <row r="90" spans="4:11" x14ac:dyDescent="0.35">
      <c r="D90" s="10"/>
      <c r="E90" s="10"/>
      <c r="F90" s="10"/>
      <c r="G90" s="10"/>
      <c r="H90" s="10"/>
      <c r="I90" s="10"/>
      <c r="J90" s="10"/>
      <c r="K90" s="10"/>
    </row>
    <row r="91" spans="4:11" x14ac:dyDescent="0.35">
      <c r="D91" s="10"/>
      <c r="E91" s="10"/>
      <c r="F91" s="10"/>
      <c r="G91" s="10"/>
      <c r="H91" s="10"/>
      <c r="I91" s="10"/>
      <c r="J91" s="10"/>
      <c r="K91" s="10"/>
    </row>
    <row r="92" spans="4:11" x14ac:dyDescent="0.35">
      <c r="D92" s="10"/>
      <c r="E92" s="10"/>
      <c r="F92" s="10"/>
      <c r="G92" s="10"/>
      <c r="H92" s="10"/>
      <c r="I92" s="10"/>
      <c r="J92" s="10"/>
      <c r="K92" s="10"/>
    </row>
    <row r="93" spans="4:11" x14ac:dyDescent="0.35">
      <c r="D93" s="10"/>
      <c r="E93" s="10"/>
      <c r="F93" s="10"/>
      <c r="G93" s="10"/>
      <c r="H93" s="10"/>
      <c r="I93" s="10"/>
      <c r="J93" s="10"/>
      <c r="K93" s="10"/>
    </row>
    <row r="94" spans="4:11" x14ac:dyDescent="0.35">
      <c r="D94" s="10"/>
      <c r="E94" s="10"/>
      <c r="F94" s="10"/>
      <c r="G94" s="10"/>
      <c r="H94" s="10"/>
      <c r="I94" s="10"/>
      <c r="J94" s="10"/>
      <c r="K94" s="10"/>
    </row>
    <row r="95" spans="4:11" x14ac:dyDescent="0.35">
      <c r="D95" s="10"/>
      <c r="E95" s="10"/>
      <c r="F95" s="10"/>
      <c r="G95" s="10"/>
      <c r="H95" s="10"/>
      <c r="I95" s="10"/>
      <c r="J95" s="10"/>
      <c r="K95" s="10"/>
    </row>
    <row r="96" spans="4:11" x14ac:dyDescent="0.35">
      <c r="D96" s="10"/>
      <c r="E96" s="10"/>
      <c r="F96" s="10"/>
      <c r="G96" s="10"/>
      <c r="H96" s="10"/>
      <c r="I96" s="10"/>
      <c r="J96" s="10"/>
      <c r="K96" s="10"/>
    </row>
    <row r="97" spans="4:11" x14ac:dyDescent="0.35">
      <c r="D97" s="10"/>
      <c r="E97" s="10"/>
      <c r="F97" s="10"/>
      <c r="G97" s="10"/>
      <c r="H97" s="10"/>
      <c r="I97" s="10"/>
      <c r="J97" s="10"/>
      <c r="K97" s="10"/>
    </row>
    <row r="98" spans="4:11" x14ac:dyDescent="0.35">
      <c r="D98" s="10"/>
      <c r="E98" s="10"/>
      <c r="F98" s="10"/>
      <c r="G98" s="10"/>
      <c r="H98" s="10"/>
      <c r="I98" s="10"/>
      <c r="J98" s="10"/>
      <c r="K98" s="10"/>
    </row>
    <row r="99" spans="4:11" x14ac:dyDescent="0.35">
      <c r="D99" s="10"/>
      <c r="E99" s="10"/>
      <c r="F99" s="10"/>
      <c r="G99" s="10"/>
      <c r="H99" s="10"/>
      <c r="I99" s="10"/>
      <c r="J99" s="10"/>
      <c r="K99" s="10"/>
    </row>
    <row r="100" spans="4:11" x14ac:dyDescent="0.35">
      <c r="D100" s="10"/>
      <c r="E100" s="10"/>
      <c r="F100" s="10"/>
      <c r="G100" s="10"/>
      <c r="H100" s="10"/>
      <c r="I100" s="10"/>
      <c r="J100" s="10"/>
      <c r="K100" s="10"/>
    </row>
    <row r="101" spans="4:11" x14ac:dyDescent="0.35">
      <c r="D101" s="10"/>
      <c r="E101" s="10"/>
      <c r="F101" s="10"/>
      <c r="G101" s="10"/>
      <c r="H101" s="10"/>
      <c r="I101" s="10"/>
      <c r="J101" s="10"/>
      <c r="K101" s="10"/>
    </row>
    <row r="102" spans="4:11" x14ac:dyDescent="0.35">
      <c r="D102" s="10"/>
      <c r="E102" s="10"/>
      <c r="F102" s="10"/>
      <c r="G102" s="10"/>
      <c r="H102" s="10"/>
      <c r="I102" s="10"/>
      <c r="J102" s="10"/>
      <c r="K102" s="10"/>
    </row>
    <row r="103" spans="4:11" x14ac:dyDescent="0.35">
      <c r="D103" s="10"/>
      <c r="E103" s="10"/>
      <c r="F103" s="10"/>
      <c r="G103" s="10"/>
      <c r="H103" s="10"/>
      <c r="I103" s="10"/>
      <c r="J103" s="10"/>
      <c r="K103" s="10"/>
    </row>
    <row r="104" spans="4:11" x14ac:dyDescent="0.35">
      <c r="D104" s="10"/>
      <c r="E104" s="10"/>
      <c r="F104" s="10"/>
      <c r="G104" s="10"/>
      <c r="H104" s="10"/>
      <c r="I104" s="10"/>
      <c r="J104" s="10"/>
      <c r="K104" s="10"/>
    </row>
    <row r="105" spans="4:11" x14ac:dyDescent="0.35">
      <c r="D105" s="10"/>
      <c r="E105" s="10"/>
      <c r="F105" s="10"/>
      <c r="G105" s="10"/>
      <c r="H105" s="10"/>
      <c r="I105" s="10"/>
      <c r="J105" s="10"/>
      <c r="K105" s="10"/>
    </row>
    <row r="106" spans="4:11" x14ac:dyDescent="0.35">
      <c r="D106" s="10"/>
      <c r="E106" s="10"/>
      <c r="F106" s="10"/>
      <c r="G106" s="10"/>
      <c r="H106" s="10"/>
      <c r="I106" s="10"/>
      <c r="J106" s="10"/>
      <c r="K106" s="10"/>
    </row>
    <row r="107" spans="4:11" x14ac:dyDescent="0.35">
      <c r="D107" s="10"/>
      <c r="E107" s="10"/>
      <c r="F107" s="10"/>
      <c r="G107" s="10"/>
      <c r="H107" s="10"/>
      <c r="I107" s="10"/>
      <c r="J107" s="10"/>
      <c r="K107" s="10"/>
    </row>
    <row r="108" spans="4:11" x14ac:dyDescent="0.35">
      <c r="D108" s="10"/>
      <c r="E108" s="10"/>
      <c r="F108" s="10"/>
      <c r="G108" s="10"/>
      <c r="H108" s="10"/>
      <c r="I108" s="10"/>
      <c r="J108" s="10"/>
      <c r="K108" s="10"/>
    </row>
    <row r="109" spans="4:11" x14ac:dyDescent="0.35">
      <c r="D109" s="10"/>
      <c r="E109" s="10"/>
      <c r="F109" s="10"/>
      <c r="G109" s="10"/>
      <c r="H109" s="10"/>
      <c r="I109" s="10"/>
      <c r="J109" s="10"/>
      <c r="K109" s="10"/>
    </row>
    <row r="110" spans="4:11" x14ac:dyDescent="0.35">
      <c r="D110" s="10"/>
      <c r="E110" s="10"/>
      <c r="F110" s="10"/>
      <c r="G110" s="10"/>
      <c r="H110" s="10"/>
      <c r="I110" s="10"/>
      <c r="J110" s="10"/>
      <c r="K110" s="10"/>
    </row>
    <row r="111" spans="4:11" x14ac:dyDescent="0.35">
      <c r="D111" s="10"/>
      <c r="E111" s="10"/>
      <c r="F111" s="10"/>
      <c r="G111" s="10"/>
      <c r="H111" s="10"/>
      <c r="I111" s="10"/>
      <c r="J111" s="10"/>
      <c r="K111" s="10"/>
    </row>
    <row r="112" spans="4:11" x14ac:dyDescent="0.35">
      <c r="D112" s="10"/>
      <c r="E112" s="10"/>
      <c r="F112" s="10"/>
      <c r="G112" s="10"/>
      <c r="H112" s="10"/>
      <c r="I112" s="10"/>
      <c r="J112" s="10"/>
      <c r="K112" s="10"/>
    </row>
    <row r="113" spans="4:11" x14ac:dyDescent="0.35">
      <c r="D113" s="10"/>
      <c r="E113" s="10"/>
      <c r="F113" s="10"/>
      <c r="G113" s="10"/>
      <c r="H113" s="10"/>
      <c r="I113" s="10"/>
      <c r="J113" s="10"/>
      <c r="K113" s="10"/>
    </row>
    <row r="114" spans="4:11" x14ac:dyDescent="0.35">
      <c r="D114" s="10"/>
      <c r="E114" s="10"/>
      <c r="F114" s="10"/>
      <c r="G114" s="10"/>
      <c r="H114" s="10"/>
      <c r="I114" s="10"/>
      <c r="J114" s="10"/>
      <c r="K114" s="10"/>
    </row>
    <row r="115" spans="4:11" x14ac:dyDescent="0.35">
      <c r="D115" s="10"/>
      <c r="E115" s="10"/>
      <c r="F115" s="10"/>
      <c r="G115" s="10"/>
      <c r="H115" s="10"/>
      <c r="I115" s="10"/>
      <c r="J115" s="10"/>
      <c r="K115" s="10"/>
    </row>
    <row r="116" spans="4:11" x14ac:dyDescent="0.35">
      <c r="D116" s="10"/>
      <c r="E116" s="10"/>
      <c r="F116" s="10"/>
      <c r="G116" s="10"/>
      <c r="H116" s="10"/>
      <c r="I116" s="10"/>
      <c r="J116" s="10"/>
      <c r="K116" s="10"/>
    </row>
    <row r="117" spans="4:11" x14ac:dyDescent="0.35">
      <c r="D117" s="10"/>
      <c r="E117" s="10"/>
      <c r="F117" s="10"/>
      <c r="G117" s="10"/>
      <c r="H117" s="10"/>
      <c r="I117" s="10"/>
      <c r="J117" s="10"/>
      <c r="K117" s="10"/>
    </row>
    <row r="118" spans="4:11" x14ac:dyDescent="0.35">
      <c r="D118" s="10"/>
      <c r="E118" s="10"/>
      <c r="F118" s="10"/>
      <c r="G118" s="10"/>
      <c r="H118" s="10"/>
      <c r="I118" s="10"/>
      <c r="J118" s="10"/>
      <c r="K118" s="10"/>
    </row>
    <row r="119" spans="4:11" x14ac:dyDescent="0.35">
      <c r="D119" s="10"/>
      <c r="E119" s="10"/>
      <c r="F119" s="10"/>
      <c r="G119" s="10"/>
      <c r="H119" s="10"/>
      <c r="I119" s="10"/>
      <c r="J119" s="10"/>
      <c r="K119" s="10"/>
    </row>
    <row r="120" spans="4:11" x14ac:dyDescent="0.35">
      <c r="D120" s="10"/>
      <c r="E120" s="10"/>
      <c r="F120" s="10"/>
      <c r="G120" s="10"/>
      <c r="H120" s="10"/>
      <c r="I120" s="10"/>
      <c r="J120" s="10"/>
      <c r="K120" s="10"/>
    </row>
    <row r="121" spans="4:11" x14ac:dyDescent="0.35">
      <c r="D121" s="10"/>
      <c r="E121" s="10"/>
      <c r="F121" s="10"/>
      <c r="G121" s="10"/>
      <c r="H121" s="10"/>
      <c r="I121" s="10"/>
      <c r="J121" s="10"/>
      <c r="K121" s="10"/>
    </row>
    <row r="122" spans="4:11" x14ac:dyDescent="0.35">
      <c r="D122" s="10"/>
      <c r="E122" s="10"/>
      <c r="F122" s="10"/>
      <c r="G122" s="10"/>
      <c r="H122" s="10"/>
      <c r="I122" s="10"/>
      <c r="J122" s="10"/>
      <c r="K122" s="10"/>
    </row>
    <row r="123" spans="4:11" x14ac:dyDescent="0.35">
      <c r="D123" s="10"/>
      <c r="E123" s="10"/>
      <c r="F123" s="10"/>
      <c r="G123" s="10"/>
      <c r="H123" s="10"/>
      <c r="I123" s="10"/>
      <c r="J123" s="10"/>
      <c r="K123" s="10"/>
    </row>
    <row r="124" spans="4:11" x14ac:dyDescent="0.35">
      <c r="D124" s="10"/>
      <c r="E124" s="10"/>
      <c r="F124" s="10"/>
      <c r="G124" s="10"/>
      <c r="H124" s="10"/>
      <c r="I124" s="10"/>
      <c r="J124" s="10"/>
      <c r="K124" s="10"/>
    </row>
    <row r="125" spans="4:11" x14ac:dyDescent="0.35">
      <c r="D125" s="10"/>
      <c r="E125" s="10"/>
      <c r="F125" s="10"/>
      <c r="G125" s="10"/>
      <c r="H125" s="10"/>
      <c r="I125" s="10"/>
      <c r="J125" s="10"/>
      <c r="K125" s="10"/>
    </row>
    <row r="126" spans="4:11" x14ac:dyDescent="0.35">
      <c r="D126" s="10"/>
      <c r="E126" s="10"/>
      <c r="F126" s="10"/>
      <c r="G126" s="10"/>
      <c r="H126" s="10"/>
      <c r="I126" s="10"/>
      <c r="J126" s="10"/>
      <c r="K126" s="10"/>
    </row>
    <row r="127" spans="4:11" x14ac:dyDescent="0.35">
      <c r="D127" s="10"/>
      <c r="E127" s="10"/>
      <c r="F127" s="10"/>
      <c r="G127" s="10"/>
      <c r="H127" s="10"/>
      <c r="I127" s="10"/>
      <c r="J127" s="10"/>
      <c r="K127" s="10"/>
    </row>
    <row r="128" spans="4:11" x14ac:dyDescent="0.35">
      <c r="D128" s="10"/>
      <c r="E128" s="10"/>
      <c r="F128" s="10"/>
      <c r="G128" s="10"/>
      <c r="H128" s="10"/>
      <c r="I128" s="10"/>
      <c r="J128" s="10"/>
      <c r="K128" s="10"/>
    </row>
    <row r="129" spans="4:11" x14ac:dyDescent="0.35">
      <c r="D129" s="10"/>
      <c r="E129" s="10"/>
      <c r="F129" s="10"/>
      <c r="G129" s="10"/>
      <c r="H129" s="10"/>
      <c r="I129" s="10"/>
      <c r="J129" s="10"/>
      <c r="K129" s="10"/>
    </row>
    <row r="130" spans="4:11" x14ac:dyDescent="0.35">
      <c r="D130" s="10"/>
      <c r="E130" s="10"/>
      <c r="F130" s="10"/>
      <c r="G130" s="10"/>
      <c r="H130" s="10"/>
      <c r="I130" s="10"/>
      <c r="J130" s="10"/>
      <c r="K130" s="10"/>
    </row>
    <row r="131" spans="4:11" x14ac:dyDescent="0.35">
      <c r="D131" s="10"/>
      <c r="E131" s="10"/>
      <c r="F131" s="10"/>
      <c r="G131" s="10"/>
      <c r="H131" s="10"/>
      <c r="I131" s="10"/>
      <c r="J131" s="10"/>
      <c r="K131" s="10"/>
    </row>
    <row r="132" spans="4:11" x14ac:dyDescent="0.35">
      <c r="D132" s="10"/>
      <c r="E132" s="10"/>
      <c r="F132" s="10"/>
      <c r="G132" s="10"/>
      <c r="H132" s="10"/>
      <c r="I132" s="10"/>
      <c r="J132" s="10"/>
      <c r="K132" s="10"/>
    </row>
    <row r="133" spans="4:11" x14ac:dyDescent="0.35">
      <c r="D133" s="10"/>
      <c r="E133" s="10"/>
      <c r="F133" s="10"/>
      <c r="G133" s="10"/>
      <c r="H133" s="10"/>
      <c r="I133" s="10"/>
      <c r="J133" s="10"/>
      <c r="K133" s="10"/>
    </row>
    <row r="134" spans="4:11" x14ac:dyDescent="0.35">
      <c r="D134" s="10"/>
      <c r="E134" s="10"/>
      <c r="F134" s="10"/>
      <c r="G134" s="10"/>
      <c r="H134" s="10"/>
      <c r="I134" s="10"/>
      <c r="J134" s="10"/>
      <c r="K134" s="10"/>
    </row>
    <row r="135" spans="4:11" x14ac:dyDescent="0.35">
      <c r="D135" s="10"/>
      <c r="E135" s="10"/>
      <c r="F135" s="10"/>
      <c r="G135" s="10"/>
      <c r="H135" s="10"/>
      <c r="I135" s="10"/>
      <c r="J135" s="10"/>
      <c r="K135" s="10"/>
    </row>
    <row r="136" spans="4:11" x14ac:dyDescent="0.35">
      <c r="D136" s="10"/>
      <c r="E136" s="10"/>
      <c r="F136" s="10"/>
      <c r="G136" s="10"/>
      <c r="H136" s="10"/>
      <c r="I136" s="10"/>
      <c r="J136" s="10"/>
      <c r="K136" s="10"/>
    </row>
    <row r="137" spans="4:11" x14ac:dyDescent="0.35">
      <c r="D137" s="10"/>
      <c r="E137" s="10"/>
      <c r="F137" s="10"/>
      <c r="G137" s="10"/>
      <c r="H137" s="10"/>
      <c r="I137" s="10"/>
      <c r="J137" s="10"/>
      <c r="K137" s="10"/>
    </row>
    <row r="138" spans="4:11" x14ac:dyDescent="0.35">
      <c r="D138" s="10"/>
      <c r="E138" s="10"/>
      <c r="F138" s="10"/>
      <c r="G138" s="10"/>
      <c r="H138" s="10"/>
      <c r="I138" s="10"/>
      <c r="J138" s="10"/>
      <c r="K138" s="10"/>
    </row>
    <row r="139" spans="4:11" x14ac:dyDescent="0.35">
      <c r="D139" s="10"/>
      <c r="E139" s="10"/>
      <c r="F139" s="10"/>
      <c r="G139" s="10"/>
      <c r="H139" s="10"/>
      <c r="I139" s="10"/>
      <c r="J139" s="10"/>
      <c r="K139" s="10"/>
    </row>
    <row r="140" spans="4:11" x14ac:dyDescent="0.35">
      <c r="D140" s="10"/>
      <c r="E140" s="10"/>
      <c r="F140" s="10"/>
      <c r="G140" s="10"/>
      <c r="H140" s="10"/>
      <c r="I140" s="10"/>
      <c r="J140" s="10"/>
      <c r="K140" s="10"/>
    </row>
    <row r="141" spans="4:11" x14ac:dyDescent="0.35">
      <c r="D141" s="10"/>
      <c r="E141" s="10"/>
      <c r="F141" s="10"/>
      <c r="G141" s="10"/>
      <c r="H141" s="10"/>
      <c r="I141" s="10"/>
      <c r="J141" s="10"/>
      <c r="K141" s="10"/>
    </row>
    <row r="142" spans="4:11" x14ac:dyDescent="0.35">
      <c r="D142" s="10"/>
      <c r="E142" s="10"/>
      <c r="F142" s="10"/>
      <c r="G142" s="10"/>
      <c r="H142" s="10"/>
      <c r="I142" s="10"/>
      <c r="J142" s="10"/>
      <c r="K142" s="10"/>
    </row>
    <row r="143" spans="4:11" x14ac:dyDescent="0.35">
      <c r="D143" s="10"/>
      <c r="E143" s="10"/>
      <c r="F143" s="10"/>
      <c r="G143" s="10"/>
      <c r="H143" s="10"/>
      <c r="I143" s="10"/>
      <c r="J143" s="10"/>
      <c r="K143" s="10"/>
    </row>
    <row r="144" spans="4:11" x14ac:dyDescent="0.35">
      <c r="D144" s="10"/>
      <c r="E144" s="10"/>
      <c r="F144" s="10"/>
      <c r="G144" s="10"/>
      <c r="H144" s="10"/>
      <c r="I144" s="10"/>
      <c r="J144" s="10"/>
      <c r="K144" s="10"/>
    </row>
    <row r="145" spans="4:11" x14ac:dyDescent="0.35">
      <c r="D145" s="10"/>
      <c r="E145" s="10"/>
      <c r="F145" s="10"/>
      <c r="G145" s="10"/>
      <c r="H145" s="10"/>
      <c r="I145" s="10"/>
      <c r="J145" s="10"/>
      <c r="K145" s="10"/>
    </row>
    <row r="146" spans="4:11" x14ac:dyDescent="0.35">
      <c r="D146" s="10"/>
      <c r="E146" s="10"/>
      <c r="F146" s="10"/>
      <c r="G146" s="10"/>
      <c r="H146" s="10"/>
      <c r="I146" s="10"/>
      <c r="J146" s="10"/>
      <c r="K146" s="10"/>
    </row>
    <row r="147" spans="4:11" x14ac:dyDescent="0.35">
      <c r="D147" s="10"/>
      <c r="E147" s="10"/>
      <c r="F147" s="10"/>
      <c r="G147" s="10"/>
      <c r="H147" s="10"/>
      <c r="I147" s="10"/>
      <c r="J147" s="10"/>
      <c r="K147" s="10"/>
    </row>
    <row r="148" spans="4:11" x14ac:dyDescent="0.35">
      <c r="D148" s="10"/>
      <c r="E148" s="10"/>
      <c r="F148" s="10"/>
      <c r="G148" s="10"/>
      <c r="H148" s="10"/>
      <c r="I148" s="10"/>
      <c r="J148" s="10"/>
      <c r="K148" s="10"/>
    </row>
    <row r="149" spans="4:11" x14ac:dyDescent="0.35">
      <c r="D149" s="10"/>
      <c r="E149" s="10"/>
      <c r="F149" s="10"/>
      <c r="G149" s="10"/>
      <c r="H149" s="10"/>
      <c r="I149" s="10"/>
      <c r="J149" s="10"/>
      <c r="K149" s="10"/>
    </row>
    <row r="150" spans="4:11" x14ac:dyDescent="0.35">
      <c r="D150" s="10"/>
      <c r="E150" s="10"/>
      <c r="F150" s="10"/>
      <c r="G150" s="10"/>
      <c r="H150" s="10"/>
      <c r="I150" s="10"/>
      <c r="J150" s="10"/>
      <c r="K150" s="10"/>
    </row>
    <row r="151" spans="4:11" x14ac:dyDescent="0.35">
      <c r="D151" s="10"/>
      <c r="E151" s="10"/>
      <c r="F151" s="10"/>
      <c r="G151" s="10"/>
      <c r="H151" s="10"/>
      <c r="I151" s="10"/>
      <c r="J151" s="10"/>
      <c r="K151" s="10"/>
    </row>
    <row r="152" spans="4:11" x14ac:dyDescent="0.35">
      <c r="D152" s="10"/>
      <c r="E152" s="10"/>
      <c r="F152" s="10"/>
      <c r="G152" s="10"/>
      <c r="H152" s="10"/>
      <c r="I152" s="10"/>
      <c r="J152" s="10"/>
      <c r="K152" s="10"/>
    </row>
    <row r="153" spans="4:11" x14ac:dyDescent="0.35">
      <c r="D153" s="10"/>
      <c r="E153" s="10"/>
      <c r="F153" s="10"/>
      <c r="G153" s="10"/>
      <c r="H153" s="10"/>
      <c r="I153" s="10"/>
      <c r="J153" s="10"/>
      <c r="K153" s="10"/>
    </row>
    <row r="154" spans="4:11" x14ac:dyDescent="0.35">
      <c r="D154" s="10"/>
      <c r="E154" s="10"/>
      <c r="F154" s="10"/>
      <c r="G154" s="10"/>
      <c r="H154" s="10"/>
      <c r="I154" s="10"/>
      <c r="J154" s="10"/>
      <c r="K154" s="10"/>
    </row>
    <row r="155" spans="4:11" x14ac:dyDescent="0.35">
      <c r="D155" s="10"/>
      <c r="E155" s="10"/>
      <c r="F155" s="10"/>
      <c r="G155" s="10"/>
      <c r="H155" s="10"/>
      <c r="I155" s="10"/>
      <c r="J155" s="10"/>
      <c r="K155" s="10"/>
    </row>
    <row r="156" spans="4:11" x14ac:dyDescent="0.35">
      <c r="D156" s="10"/>
      <c r="E156" s="10"/>
      <c r="F156" s="10"/>
      <c r="G156" s="10"/>
      <c r="H156" s="10"/>
      <c r="I156" s="10"/>
      <c r="J156" s="10"/>
      <c r="K156" s="10"/>
    </row>
    <row r="157" spans="4:11" x14ac:dyDescent="0.35">
      <c r="D157" s="10"/>
      <c r="E157" s="10"/>
      <c r="F157" s="10"/>
      <c r="G157" s="10"/>
      <c r="H157" s="10"/>
      <c r="I157" s="10"/>
      <c r="J157" s="10"/>
      <c r="K157" s="10"/>
    </row>
    <row r="158" spans="4:11" x14ac:dyDescent="0.35">
      <c r="D158" s="10"/>
      <c r="E158" s="10"/>
      <c r="F158" s="10"/>
      <c r="G158" s="10"/>
      <c r="H158" s="10"/>
      <c r="I158" s="10"/>
      <c r="J158" s="10"/>
      <c r="K158" s="10"/>
    </row>
    <row r="159" spans="4:11" x14ac:dyDescent="0.35">
      <c r="D159" s="10"/>
      <c r="E159" s="10"/>
      <c r="F159" s="10"/>
      <c r="G159" s="10"/>
      <c r="H159" s="10"/>
      <c r="I159" s="10"/>
      <c r="J159" s="10"/>
      <c r="K159" s="10"/>
    </row>
    <row r="160" spans="4:11" x14ac:dyDescent="0.35">
      <c r="D160" s="24"/>
      <c r="E160" s="24"/>
      <c r="F160" s="24"/>
      <c r="G160" s="24"/>
      <c r="H160" s="24"/>
      <c r="I160" s="24"/>
      <c r="J160" s="24"/>
      <c r="K160" s="24"/>
    </row>
    <row r="166" ht="52" customHeight="1" x14ac:dyDescent="0.35"/>
    <row r="177" spans="1:4" x14ac:dyDescent="0.35">
      <c r="A177" s="12"/>
      <c r="B177" s="12"/>
      <c r="C177" s="12"/>
      <c r="D177" s="12"/>
    </row>
    <row r="178" spans="1:4" ht="15.5" x14ac:dyDescent="0.35">
      <c r="A178" s="23"/>
      <c r="B178" s="23"/>
      <c r="C178" s="23"/>
      <c r="D178" s="23"/>
    </row>
    <row r="179" spans="1:4" ht="15.5" x14ac:dyDescent="0.35">
      <c r="A179" s="23"/>
      <c r="B179" s="23"/>
      <c r="C179" s="23"/>
      <c r="D179" s="23"/>
    </row>
    <row r="180" spans="1:4" ht="15.5" x14ac:dyDescent="0.35">
      <c r="A180" s="23"/>
      <c r="B180" s="23"/>
      <c r="C180" s="23"/>
      <c r="D180" s="23"/>
    </row>
    <row r="181" spans="1:4" ht="15.5" x14ac:dyDescent="0.35">
      <c r="A181" s="23"/>
      <c r="B181" s="23"/>
      <c r="C181" s="23"/>
      <c r="D181" s="23"/>
    </row>
    <row r="182" spans="1:4" ht="15.5" x14ac:dyDescent="0.35">
      <c r="A182" s="23"/>
      <c r="B182" s="23"/>
      <c r="C182" s="23"/>
      <c r="D182" s="23"/>
    </row>
    <row r="183" spans="1:4" ht="15.5" x14ac:dyDescent="0.35">
      <c r="A183" s="23"/>
      <c r="B183" s="23"/>
      <c r="C183" s="23"/>
      <c r="D183" s="23"/>
    </row>
    <row r="184" spans="1:4" ht="15.5" x14ac:dyDescent="0.35">
      <c r="A184" s="23"/>
      <c r="B184" s="23"/>
      <c r="C184" s="23"/>
      <c r="D184" s="23"/>
    </row>
  </sheetData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C4F78-55DB-42E8-941D-F2EAE41FA867}">
  <dimension ref="A1:D8"/>
  <sheetViews>
    <sheetView workbookViewId="0">
      <selection activeCell="F18" sqref="F18"/>
    </sheetView>
  </sheetViews>
  <sheetFormatPr baseColWidth="10" defaultRowHeight="14.5" x14ac:dyDescent="0.35"/>
  <cols>
    <col min="1" max="1" width="19.08984375" customWidth="1"/>
    <col min="2" max="2" width="27.81640625" customWidth="1"/>
    <col min="3" max="3" width="11.7265625" bestFit="1" customWidth="1"/>
    <col min="4" max="4" width="21.1796875" bestFit="1" customWidth="1"/>
  </cols>
  <sheetData>
    <row r="1" spans="1:4" ht="15" thickBot="1" x14ac:dyDescent="0.4">
      <c r="A1" s="18" t="s">
        <v>305</v>
      </c>
      <c r="B1" s="19" t="s">
        <v>306</v>
      </c>
      <c r="C1" s="19" t="s">
        <v>307</v>
      </c>
      <c r="D1" s="20" t="s">
        <v>308</v>
      </c>
    </row>
    <row r="2" spans="1:4" ht="31.5" thickBot="1" x14ac:dyDescent="0.4">
      <c r="A2" s="21" t="s">
        <v>317</v>
      </c>
      <c r="B2" s="21" t="s">
        <v>322</v>
      </c>
      <c r="C2" s="21" t="s">
        <v>313</v>
      </c>
      <c r="D2" s="21" t="s">
        <v>309</v>
      </c>
    </row>
    <row r="3" spans="1:4" ht="31.5" thickBot="1" x14ac:dyDescent="0.4">
      <c r="A3" s="22" t="s">
        <v>316</v>
      </c>
      <c r="B3" s="22" t="e" vm="1">
        <v>#VALUE!</v>
      </c>
      <c r="C3" s="22" t="s">
        <v>313</v>
      </c>
      <c r="D3" s="22" t="s">
        <v>315</v>
      </c>
    </row>
    <row r="4" spans="1:4" ht="47" thickBot="1" x14ac:dyDescent="0.4">
      <c r="A4" s="22" t="s">
        <v>272</v>
      </c>
      <c r="B4" s="22" t="s">
        <v>323</v>
      </c>
      <c r="C4" s="22" t="s">
        <v>314</v>
      </c>
      <c r="D4" s="22" t="s">
        <v>315</v>
      </c>
    </row>
    <row r="5" spans="1:4" ht="16" thickBot="1" x14ac:dyDescent="0.4">
      <c r="A5" s="22" t="s">
        <v>310</v>
      </c>
      <c r="B5" s="22" t="s">
        <v>318</v>
      </c>
      <c r="C5" s="22" t="s">
        <v>314</v>
      </c>
      <c r="D5" s="22" t="s">
        <v>315</v>
      </c>
    </row>
    <row r="6" spans="1:4" ht="31.5" thickBot="1" x14ac:dyDescent="0.4">
      <c r="A6" s="22" t="s">
        <v>202</v>
      </c>
      <c r="B6" s="22" t="s">
        <v>319</v>
      </c>
      <c r="C6" s="22" t="s">
        <v>314</v>
      </c>
      <c r="D6" s="22" t="s">
        <v>311</v>
      </c>
    </row>
    <row r="7" spans="1:4" ht="16" thickBot="1" x14ac:dyDescent="0.4">
      <c r="A7" s="22" t="s">
        <v>312</v>
      </c>
      <c r="B7" s="22" t="s">
        <v>320</v>
      </c>
      <c r="C7" s="22" t="s">
        <v>314</v>
      </c>
      <c r="D7" s="22" t="s">
        <v>309</v>
      </c>
    </row>
    <row r="8" spans="1:4" ht="31" x14ac:dyDescent="0.35">
      <c r="A8" s="22" t="s">
        <v>324</v>
      </c>
      <c r="B8" s="22" t="s">
        <v>321</v>
      </c>
      <c r="C8" s="22" t="s">
        <v>314</v>
      </c>
      <c r="D8" s="22" t="s">
        <v>315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8832-EBD0-4159-A497-1B6ACFCF40D0}">
  <dimension ref="A1:H186"/>
  <sheetViews>
    <sheetView tabSelected="1" workbookViewId="0">
      <selection activeCell="P14" sqref="P14"/>
    </sheetView>
  </sheetViews>
  <sheetFormatPr baseColWidth="10" defaultRowHeight="14.5" x14ac:dyDescent="0.35"/>
  <cols>
    <col min="8" max="8" width="20.08984375" customWidth="1"/>
  </cols>
  <sheetData>
    <row r="1" spans="1:8" x14ac:dyDescent="0.35">
      <c r="A1" t="s">
        <v>273</v>
      </c>
      <c r="B1" t="s">
        <v>303</v>
      </c>
      <c r="C1" t="s">
        <v>272</v>
      </c>
      <c r="D1" t="s">
        <v>200</v>
      </c>
      <c r="E1" t="s">
        <v>202</v>
      </c>
      <c r="F1" t="s">
        <v>203</v>
      </c>
      <c r="G1" t="s">
        <v>220</v>
      </c>
      <c r="H1" t="s">
        <v>326</v>
      </c>
    </row>
    <row r="2" spans="1:8" x14ac:dyDescent="0.35">
      <c r="A2" t="s">
        <v>15</v>
      </c>
      <c r="B2">
        <v>-3.7283979226042899E-3</v>
      </c>
      <c r="C2">
        <v>-2.0336729056880932E-2</v>
      </c>
      <c r="D2">
        <v>-2.0336729056880932E-2</v>
      </c>
      <c r="E2">
        <v>147.0803791304256</v>
      </c>
      <c r="F2">
        <v>24.62</v>
      </c>
      <c r="G2">
        <v>37.116689999999998</v>
      </c>
      <c r="H2">
        <v>1.0298241476940719E-2</v>
      </c>
    </row>
    <row r="3" spans="1:8" x14ac:dyDescent="0.35">
      <c r="A3" t="s">
        <v>16</v>
      </c>
      <c r="B3">
        <v>-4.1164209059427019E-4</v>
      </c>
      <c r="C3">
        <v>-3.4269566290219183E-2</v>
      </c>
      <c r="D3">
        <v>-3.4607018087643139E-2</v>
      </c>
      <c r="E3">
        <v>171.11748379552878</v>
      </c>
      <c r="F3">
        <v>19.5</v>
      </c>
      <c r="G3">
        <v>33.141820000000003</v>
      </c>
      <c r="H3">
        <v>1.4467013344507918E-2</v>
      </c>
    </row>
    <row r="4" spans="1:8" x14ac:dyDescent="0.35">
      <c r="A4" t="s">
        <v>17</v>
      </c>
      <c r="B4">
        <v>7.8002348060876E-3</v>
      </c>
      <c r="C4">
        <v>-8.4661261850900536E-3</v>
      </c>
      <c r="D4">
        <v>-9.3345658997797693E-3</v>
      </c>
      <c r="E4">
        <v>169.56921673538247</v>
      </c>
      <c r="F4">
        <v>17.59</v>
      </c>
      <c r="G4">
        <v>27.876359999999998</v>
      </c>
      <c r="H4">
        <v>3.002925492151302E-3</v>
      </c>
    </row>
    <row r="5" spans="1:8" x14ac:dyDescent="0.35">
      <c r="A5" t="s">
        <v>18</v>
      </c>
      <c r="B5">
        <v>1.421540592258882E-2</v>
      </c>
      <c r="C5">
        <v>-3.8004846188281927E-2</v>
      </c>
      <c r="D5">
        <v>-3.8972081812495389E-2</v>
      </c>
      <c r="E5">
        <v>152.00736059535694</v>
      </c>
      <c r="F5">
        <v>22.05</v>
      </c>
      <c r="G5">
        <v>38.34281</v>
      </c>
      <c r="H5">
        <v>-2.0156753290821051E-3</v>
      </c>
    </row>
    <row r="6" spans="1:8" x14ac:dyDescent="0.35">
      <c r="A6" t="s">
        <v>19</v>
      </c>
      <c r="B6">
        <v>-4.3371346885742431E-3</v>
      </c>
      <c r="C6">
        <v>-4.707360932319523E-2</v>
      </c>
      <c r="D6">
        <v>-4.707360932319523E-2</v>
      </c>
      <c r="E6">
        <v>368.2284460521463</v>
      </c>
      <c r="F6">
        <v>32.07</v>
      </c>
      <c r="G6">
        <v>42.291849999999997</v>
      </c>
      <c r="H6">
        <v>3.2476953607379316E-2</v>
      </c>
    </row>
    <row r="7" spans="1:8" x14ac:dyDescent="0.35">
      <c r="A7" t="s">
        <v>20</v>
      </c>
      <c r="B7">
        <v>-9.4297090245462872E-4</v>
      </c>
      <c r="C7">
        <v>-3.9150335322432027E-2</v>
      </c>
      <c r="D7">
        <v>-4.0939086753241698E-2</v>
      </c>
      <c r="E7">
        <v>135.45886657506682</v>
      </c>
      <c r="F7">
        <v>34.54</v>
      </c>
      <c r="G7">
        <v>42.061239999999998</v>
      </c>
      <c r="H7">
        <v>1.6751089312753729E-2</v>
      </c>
    </row>
    <row r="8" spans="1:8" x14ac:dyDescent="0.35">
      <c r="A8" t="s">
        <v>21</v>
      </c>
      <c r="B8">
        <v>2.5697596449678548E-3</v>
      </c>
      <c r="C8">
        <v>-2.9274168669556733E-2</v>
      </c>
      <c r="D8">
        <v>-3.0370368543586879E-2</v>
      </c>
      <c r="E8">
        <v>187.11679620988335</v>
      </c>
      <c r="F8">
        <v>23.5</v>
      </c>
      <c r="G8">
        <v>35.439799999999998</v>
      </c>
      <c r="H8">
        <v>1.4469097688919925E-2</v>
      </c>
    </row>
    <row r="9" spans="1:8" x14ac:dyDescent="0.35">
      <c r="A9" t="s">
        <v>22</v>
      </c>
      <c r="B9">
        <v>-2.0341845487358186E-3</v>
      </c>
      <c r="C9">
        <v>-2.7114253636236076E-2</v>
      </c>
      <c r="D9">
        <v>-2.7802254639829393E-2</v>
      </c>
      <c r="E9">
        <v>170.77811211563909</v>
      </c>
      <c r="F9">
        <v>26.05</v>
      </c>
      <c r="G9">
        <v>37.272030000000001</v>
      </c>
      <c r="H9">
        <v>1.378849934091966E-2</v>
      </c>
    </row>
    <row r="10" spans="1:8" x14ac:dyDescent="0.35">
      <c r="A10" t="s">
        <v>23</v>
      </c>
      <c r="B10">
        <v>2.8317753448462118E-3</v>
      </c>
      <c r="C10">
        <v>-1.2832338512792035E-2</v>
      </c>
      <c r="D10">
        <v>-1.312614847211817E-2</v>
      </c>
      <c r="E10">
        <v>214.52643368357181</v>
      </c>
      <c r="F10">
        <v>23.7</v>
      </c>
      <c r="G10">
        <v>35.565089999999998</v>
      </c>
      <c r="H10">
        <v>1.17600960929003E-2</v>
      </c>
    </row>
    <row r="11" spans="1:8" x14ac:dyDescent="0.35">
      <c r="A11" t="s">
        <v>24</v>
      </c>
      <c r="B11">
        <v>1.492909276196865E-3</v>
      </c>
      <c r="C11">
        <v>-1.132795769592598E-2</v>
      </c>
      <c r="D11">
        <v>-1.1517581929928283E-2</v>
      </c>
      <c r="E11">
        <v>309.01094125472378</v>
      </c>
      <c r="F11">
        <v>21.2</v>
      </c>
      <c r="G11">
        <v>32.5473</v>
      </c>
      <c r="H11">
        <v>8.8912244848728395E-3</v>
      </c>
    </row>
    <row r="12" spans="1:8" x14ac:dyDescent="0.35">
      <c r="A12" t="s">
        <v>25</v>
      </c>
      <c r="B12">
        <v>-2.724935247396457E-3</v>
      </c>
      <c r="C12">
        <v>-2.6443264581158508E-2</v>
      </c>
      <c r="D12">
        <v>-2.6689369601376391E-2</v>
      </c>
      <c r="E12">
        <v>152.43801128102848</v>
      </c>
      <c r="F12">
        <v>23.54</v>
      </c>
      <c r="G12">
        <v>40.515819999999998</v>
      </c>
      <c r="H12">
        <v>1.2833860445702993E-2</v>
      </c>
    </row>
    <row r="13" spans="1:8" x14ac:dyDescent="0.35">
      <c r="A13" t="s">
        <v>26</v>
      </c>
      <c r="B13">
        <v>3.3916254127198311E-3</v>
      </c>
      <c r="C13">
        <v>-1.0305707371435753E-2</v>
      </c>
      <c r="D13">
        <v>-1.0305707371435753E-2</v>
      </c>
      <c r="E13">
        <v>311.90800715942743</v>
      </c>
      <c r="F13">
        <v>17.75</v>
      </c>
      <c r="G13">
        <v>31.72045</v>
      </c>
      <c r="H13">
        <v>8.3745648653889542E-3</v>
      </c>
    </row>
    <row r="14" spans="1:8" x14ac:dyDescent="0.35">
      <c r="A14" t="s">
        <v>27</v>
      </c>
      <c r="B14">
        <v>1.9698942628634162E-3</v>
      </c>
      <c r="C14">
        <v>-1.6457913987091954E-2</v>
      </c>
      <c r="D14">
        <v>-1.6576600844849878E-2</v>
      </c>
      <c r="E14">
        <v>162.46417461815372</v>
      </c>
      <c r="F14">
        <v>19.53</v>
      </c>
      <c r="G14">
        <v>31.13862</v>
      </c>
      <c r="H14">
        <v>1.0236787872429589E-2</v>
      </c>
    </row>
    <row r="15" spans="1:8" x14ac:dyDescent="0.35">
      <c r="A15" t="s">
        <v>28</v>
      </c>
      <c r="B15">
        <v>1.2919883180105437E-3</v>
      </c>
      <c r="C15">
        <v>-1.4327233562842762E-2</v>
      </c>
      <c r="D15">
        <v>-1.4472271054620674E-2</v>
      </c>
      <c r="E15">
        <v>210.0111903468607</v>
      </c>
      <c r="F15">
        <v>18.350000000000001</v>
      </c>
      <c r="G15">
        <v>31.327290000000001</v>
      </c>
      <c r="H15">
        <v>8.3468872925292811E-3</v>
      </c>
    </row>
    <row r="16" spans="1:8" x14ac:dyDescent="0.35">
      <c r="A16" t="s">
        <v>29</v>
      </c>
      <c r="B16">
        <v>-1.3009776972515695E-3</v>
      </c>
      <c r="C16">
        <v>-2.4814054352751337E-2</v>
      </c>
      <c r="D16">
        <v>-2.5381019285010398E-2</v>
      </c>
      <c r="E16">
        <v>271.07414381300066</v>
      </c>
      <c r="F16">
        <v>17.739999999999998</v>
      </c>
      <c r="G16">
        <v>31.331520000000001</v>
      </c>
      <c r="H16">
        <v>1.257788253327484E-2</v>
      </c>
    </row>
    <row r="17" spans="1:8" x14ac:dyDescent="0.35">
      <c r="A17" t="s">
        <v>30</v>
      </c>
      <c r="B17">
        <v>1.5886492264043186E-3</v>
      </c>
      <c r="C17">
        <v>-1.6732208654312124E-2</v>
      </c>
      <c r="D17">
        <v>-2.3739231732062827E-2</v>
      </c>
      <c r="E17">
        <v>241.78795016043958</v>
      </c>
      <c r="F17">
        <v>14.75</v>
      </c>
      <c r="G17">
        <v>27.39622</v>
      </c>
      <c r="H17">
        <v>1.1120532177235402E-2</v>
      </c>
    </row>
    <row r="18" spans="1:8" x14ac:dyDescent="0.35">
      <c r="A18" t="s">
        <v>31</v>
      </c>
      <c r="B18">
        <v>-1.2076762162847839E-3</v>
      </c>
      <c r="C18">
        <v>-2.0837406582410203E-2</v>
      </c>
      <c r="D18">
        <v>-2.123954375232482E-2</v>
      </c>
      <c r="E18">
        <v>164.03363825314077</v>
      </c>
      <c r="F18">
        <v>15.45</v>
      </c>
      <c r="G18">
        <v>29.241160000000001</v>
      </c>
      <c r="H18">
        <v>1.0378127499091477E-2</v>
      </c>
    </row>
    <row r="19" spans="1:8" x14ac:dyDescent="0.35">
      <c r="A19" t="s">
        <v>32</v>
      </c>
      <c r="B19">
        <v>-2.8140528075772781E-4</v>
      </c>
      <c r="C19">
        <v>-2.14239835266338E-2</v>
      </c>
      <c r="D19">
        <v>-2.1825714003503794E-2</v>
      </c>
      <c r="E19">
        <v>228.37820428264607</v>
      </c>
      <c r="F19">
        <v>16.52</v>
      </c>
      <c r="G19">
        <v>31.286750000000001</v>
      </c>
      <c r="H19">
        <v>1.2573994468249401E-2</v>
      </c>
    </row>
    <row r="20" spans="1:8" x14ac:dyDescent="0.35">
      <c r="A20" t="s">
        <v>33</v>
      </c>
      <c r="B20">
        <v>-3.8712650699232764E-3</v>
      </c>
      <c r="C20">
        <v>-2.6779706177487126E-2</v>
      </c>
      <c r="D20">
        <v>-2.7469458289347246E-2</v>
      </c>
      <c r="E20">
        <v>211.36402454797417</v>
      </c>
      <c r="F20">
        <v>25.25</v>
      </c>
      <c r="G20">
        <v>39.728549999999998</v>
      </c>
      <c r="H20">
        <v>1.1662950581458137E-2</v>
      </c>
    </row>
    <row r="21" spans="1:8" x14ac:dyDescent="0.35">
      <c r="A21" t="s">
        <v>34</v>
      </c>
      <c r="B21">
        <v>-5.7051209030652677E-3</v>
      </c>
      <c r="C21">
        <v>-5.6319181825641898E-2</v>
      </c>
      <c r="D21">
        <v>-5.6346434663959041E-2</v>
      </c>
      <c r="E21">
        <v>256.70832615054053</v>
      </c>
      <c r="F21">
        <v>31.62</v>
      </c>
      <c r="G21">
        <v>51.370930000000001</v>
      </c>
      <c r="H21">
        <v>2.8411018478895652E-2</v>
      </c>
    </row>
    <row r="22" spans="1:8" x14ac:dyDescent="0.35">
      <c r="A22" t="s">
        <v>35</v>
      </c>
      <c r="B22">
        <v>-4.0069106227391725E-3</v>
      </c>
      <c r="C22">
        <v>-5.3113488410767698E-2</v>
      </c>
      <c r="D22">
        <v>-5.3931739247359847E-2</v>
      </c>
      <c r="E22">
        <v>312.2534632145842</v>
      </c>
      <c r="F22">
        <v>42.96</v>
      </c>
      <c r="G22">
        <v>62.779389999999999</v>
      </c>
      <c r="H22">
        <v>2.9003433734277571E-2</v>
      </c>
    </row>
    <row r="23" spans="1:8" x14ac:dyDescent="0.35">
      <c r="A23" t="s">
        <v>36</v>
      </c>
      <c r="B23">
        <v>3.9937469827671076E-3</v>
      </c>
      <c r="C23">
        <v>-3.1532432900251157E-2</v>
      </c>
      <c r="D23">
        <v>-3.2101817893642824E-2</v>
      </c>
      <c r="E23">
        <v>298.85209459124127</v>
      </c>
      <c r="F23">
        <v>29.96</v>
      </c>
      <c r="G23">
        <v>48.978070000000002</v>
      </c>
      <c r="H23">
        <v>2.4361455327757225E-2</v>
      </c>
    </row>
    <row r="24" spans="1:8" x14ac:dyDescent="0.35">
      <c r="A24" t="s">
        <v>37</v>
      </c>
      <c r="B24">
        <v>-1.2537020034230266E-3</v>
      </c>
      <c r="C24">
        <v>-5.2216252947196111E-2</v>
      </c>
      <c r="D24">
        <v>-5.5316049424222635E-2</v>
      </c>
      <c r="E24">
        <v>361.36985406003123</v>
      </c>
      <c r="F24">
        <v>27.8</v>
      </c>
      <c r="G24">
        <v>49.869079999999997</v>
      </c>
      <c r="H24">
        <v>2.4947666841594468E-2</v>
      </c>
    </row>
    <row r="25" spans="1:8" x14ac:dyDescent="0.35">
      <c r="A25" t="s">
        <v>38</v>
      </c>
      <c r="B25">
        <v>8.2192710485756276E-5</v>
      </c>
      <c r="C25">
        <v>-3.3504564942862101E-2</v>
      </c>
      <c r="D25">
        <v>-3.3876687195497107E-2</v>
      </c>
      <c r="E25">
        <v>283.25138728551804</v>
      </c>
      <c r="F25">
        <v>23.4</v>
      </c>
      <c r="G25">
        <v>41.6721</v>
      </c>
      <c r="H25">
        <v>1.6588512799806363E-2</v>
      </c>
    </row>
    <row r="26" spans="1:8" x14ac:dyDescent="0.35">
      <c r="A26" t="s">
        <v>39</v>
      </c>
      <c r="B26">
        <v>2.0462418458271495E-3</v>
      </c>
      <c r="C26">
        <v>-1.6129326141021562E-2</v>
      </c>
      <c r="D26">
        <v>-1.6135457290221183E-2</v>
      </c>
      <c r="E26">
        <v>289.3977719458548</v>
      </c>
      <c r="F26">
        <v>19.440000000000001</v>
      </c>
      <c r="G26">
        <v>34.387320000000003</v>
      </c>
      <c r="H26">
        <v>1.2870850423329454E-2</v>
      </c>
    </row>
    <row r="27" spans="1:8" x14ac:dyDescent="0.35">
      <c r="A27" t="s">
        <v>40</v>
      </c>
      <c r="B27">
        <v>2.1714831412367585E-3</v>
      </c>
      <c r="C27">
        <v>-1.4396004318346818E-2</v>
      </c>
      <c r="D27">
        <v>-1.517273530066989E-2</v>
      </c>
      <c r="E27">
        <v>299.14963243652801</v>
      </c>
      <c r="F27">
        <v>18.43</v>
      </c>
      <c r="G27">
        <v>31.961829999999999</v>
      </c>
      <c r="H27">
        <v>8.0749584709176331E-3</v>
      </c>
    </row>
    <row r="28" spans="1:8" x14ac:dyDescent="0.35">
      <c r="A28" t="s">
        <v>41</v>
      </c>
      <c r="B28">
        <v>-3.7864353870829934E-4</v>
      </c>
      <c r="C28">
        <v>-3.3373314924004499E-2</v>
      </c>
      <c r="D28">
        <v>-3.6494027980830963E-2</v>
      </c>
      <c r="E28">
        <v>219.13884320323302</v>
      </c>
      <c r="F28">
        <v>15.5</v>
      </c>
      <c r="G28">
        <v>30.058730000000001</v>
      </c>
      <c r="H28">
        <v>1.3214896999264846E-2</v>
      </c>
    </row>
    <row r="29" spans="1:8" x14ac:dyDescent="0.35">
      <c r="A29" t="s">
        <v>42</v>
      </c>
      <c r="B29">
        <v>-3.3479544742320258E-3</v>
      </c>
      <c r="C29">
        <v>-3.1271812338847065E-2</v>
      </c>
      <c r="D29">
        <v>-3.1271812338847065E-2</v>
      </c>
      <c r="E29">
        <v>330.94551775743366</v>
      </c>
      <c r="F29">
        <v>17.149999999999999</v>
      </c>
      <c r="G29">
        <v>35.65361</v>
      </c>
      <c r="H29">
        <v>1.8690190346869112E-2</v>
      </c>
    </row>
    <row r="30" spans="1:8" x14ac:dyDescent="0.35">
      <c r="A30" t="s">
        <v>43</v>
      </c>
      <c r="B30">
        <v>-2.9941217310908825E-3</v>
      </c>
      <c r="C30">
        <v>-2.6219616998057749E-2</v>
      </c>
      <c r="D30">
        <v>-2.6554943105215157E-2</v>
      </c>
      <c r="E30">
        <v>313.97367466007552</v>
      </c>
      <c r="F30">
        <v>24.06</v>
      </c>
      <c r="G30">
        <v>43.20946</v>
      </c>
      <c r="H30">
        <v>1.2308697978482308E-2</v>
      </c>
    </row>
    <row r="31" spans="1:8" x14ac:dyDescent="0.35">
      <c r="A31" t="s">
        <v>44</v>
      </c>
      <c r="B31">
        <v>3.0440585119472633E-3</v>
      </c>
      <c r="C31">
        <v>-2.2662580288914502E-2</v>
      </c>
      <c r="D31">
        <v>-2.2662580288914502E-2</v>
      </c>
      <c r="E31">
        <v>380.179149625006</v>
      </c>
      <c r="F31">
        <v>17.079999999999998</v>
      </c>
      <c r="G31">
        <v>31.559560000000001</v>
      </c>
      <c r="H31">
        <v>1.7338811428381562E-2</v>
      </c>
    </row>
    <row r="32" spans="1:8" x14ac:dyDescent="0.35">
      <c r="A32" t="s">
        <v>45</v>
      </c>
      <c r="B32">
        <v>1.3313004705118813E-3</v>
      </c>
      <c r="C32">
        <v>-2.8182989868335707E-2</v>
      </c>
      <c r="D32">
        <v>-2.9344071502311404E-2</v>
      </c>
      <c r="E32">
        <v>241.55753384834023</v>
      </c>
      <c r="F32">
        <v>18.93</v>
      </c>
      <c r="G32">
        <v>34.46763</v>
      </c>
      <c r="H32">
        <v>1.5761433538686503E-2</v>
      </c>
    </row>
    <row r="33" spans="1:8" x14ac:dyDescent="0.35">
      <c r="A33" t="s">
        <v>46</v>
      </c>
      <c r="B33">
        <v>1.7247706061471091E-3</v>
      </c>
      <c r="C33">
        <v>-2.5952457346496434E-2</v>
      </c>
      <c r="D33">
        <v>-2.7191094823623824E-2</v>
      </c>
      <c r="E33">
        <v>144.79932603116598</v>
      </c>
      <c r="F33">
        <v>17.47</v>
      </c>
      <c r="G33">
        <v>32.31174</v>
      </c>
      <c r="H33">
        <v>1.3655208164325866E-2</v>
      </c>
    </row>
    <row r="34" spans="1:8" x14ac:dyDescent="0.35">
      <c r="A34" t="s">
        <v>47</v>
      </c>
      <c r="B34">
        <v>-8.6070309060297455E-4</v>
      </c>
      <c r="C34">
        <v>-2.8385548096617124E-2</v>
      </c>
      <c r="D34">
        <v>-2.8570279064389557E-2</v>
      </c>
      <c r="E34">
        <v>243.70951788540611</v>
      </c>
      <c r="F34">
        <v>15.73</v>
      </c>
      <c r="G34">
        <v>30.108720000000002</v>
      </c>
      <c r="H34">
        <v>1.4390837679395807E-2</v>
      </c>
    </row>
    <row r="35" spans="1:8" x14ac:dyDescent="0.35">
      <c r="A35" t="s">
        <v>48</v>
      </c>
      <c r="B35">
        <v>9.5431707916615247E-4</v>
      </c>
      <c r="C35">
        <v>-2.0768026566525859E-2</v>
      </c>
      <c r="D35">
        <v>-2.2280394779978261E-2</v>
      </c>
      <c r="E35">
        <v>284.00884266923134</v>
      </c>
      <c r="F35">
        <v>18.600000000000001</v>
      </c>
      <c r="G35">
        <v>28.809349999999998</v>
      </c>
      <c r="H35">
        <v>1.1946794390037213E-2</v>
      </c>
    </row>
    <row r="36" spans="1:8" x14ac:dyDescent="0.35">
      <c r="A36" t="s">
        <v>49</v>
      </c>
      <c r="B36">
        <v>1.6658544250273083E-3</v>
      </c>
      <c r="C36">
        <v>-1.8946896556114985E-2</v>
      </c>
      <c r="D36">
        <v>-2.0055112698893814E-2</v>
      </c>
      <c r="E36">
        <v>332.82085591141697</v>
      </c>
      <c r="F36">
        <v>15.87</v>
      </c>
      <c r="G36">
        <v>21.524550000000001</v>
      </c>
      <c r="H36">
        <v>1.0750280958294375E-2</v>
      </c>
    </row>
    <row r="37" spans="1:8" x14ac:dyDescent="0.35">
      <c r="A37" t="s">
        <v>50</v>
      </c>
      <c r="B37">
        <v>1.032169196326672E-3</v>
      </c>
      <c r="C37">
        <v>-4.1254685425178191E-3</v>
      </c>
      <c r="D37">
        <v>-1.4808667618251226E-2</v>
      </c>
      <c r="E37">
        <v>270.13153587961523</v>
      </c>
      <c r="F37">
        <v>18.02</v>
      </c>
      <c r="G37">
        <v>28.233470000000001</v>
      </c>
      <c r="H37">
        <v>4.86157741406993E-3</v>
      </c>
    </row>
    <row r="38" spans="1:8" x14ac:dyDescent="0.35">
      <c r="A38" t="s">
        <v>51</v>
      </c>
      <c r="B38">
        <v>1.3891798881962502E-3</v>
      </c>
      <c r="C38">
        <v>-8.4879116646800774E-3</v>
      </c>
      <c r="D38">
        <v>-8.7809241579029033E-3</v>
      </c>
      <c r="E38">
        <v>318.23907242314988</v>
      </c>
      <c r="F38">
        <v>14.28</v>
      </c>
      <c r="G38">
        <v>22.603100000000001</v>
      </c>
      <c r="H38">
        <v>8.1646080337423564E-3</v>
      </c>
    </row>
    <row r="39" spans="1:8" x14ac:dyDescent="0.35">
      <c r="A39" t="s">
        <v>52</v>
      </c>
      <c r="B39">
        <v>-1.2876234381562412E-4</v>
      </c>
      <c r="C39">
        <v>-3.0397571610741508E-2</v>
      </c>
      <c r="D39">
        <v>-3.057234594306522E-2</v>
      </c>
      <c r="E39">
        <v>242.87602873705944</v>
      </c>
      <c r="F39">
        <v>15.51</v>
      </c>
      <c r="G39">
        <v>27.480319999999999</v>
      </c>
      <c r="H39">
        <v>1.529107509857019E-2</v>
      </c>
    </row>
    <row r="40" spans="1:8" x14ac:dyDescent="0.35">
      <c r="A40" t="s">
        <v>53</v>
      </c>
      <c r="B40">
        <v>1.1295316846735007E-4</v>
      </c>
      <c r="C40">
        <v>-1.432391876474772E-2</v>
      </c>
      <c r="D40">
        <v>-1.4389267274336348E-2</v>
      </c>
      <c r="E40">
        <v>259.25508865141768</v>
      </c>
      <c r="F40">
        <v>12.7</v>
      </c>
      <c r="G40">
        <v>26.790800000000001</v>
      </c>
      <c r="H40">
        <v>9.4238212526381766E-3</v>
      </c>
    </row>
    <row r="41" spans="1:8" x14ac:dyDescent="0.35">
      <c r="A41" t="s">
        <v>54</v>
      </c>
      <c r="B41">
        <v>1.5731429357135969E-3</v>
      </c>
      <c r="C41">
        <v>-2.3084926181806416E-2</v>
      </c>
      <c r="D41">
        <v>-2.3764951601235505E-2</v>
      </c>
      <c r="E41">
        <v>300.53115516508069</v>
      </c>
      <c r="F41">
        <v>13.52</v>
      </c>
      <c r="G41">
        <v>26.659420000000001</v>
      </c>
      <c r="H41">
        <v>1.4337958596556497E-2</v>
      </c>
    </row>
    <row r="42" spans="1:8" x14ac:dyDescent="0.35">
      <c r="A42" t="s">
        <v>55</v>
      </c>
      <c r="B42">
        <v>1.1766846625846277E-3</v>
      </c>
      <c r="C42">
        <v>-2.0848406792171783E-2</v>
      </c>
      <c r="D42">
        <v>-2.0942964875168751E-2</v>
      </c>
      <c r="E42">
        <v>256.80840638676483</v>
      </c>
      <c r="F42">
        <v>16.3</v>
      </c>
      <c r="G42">
        <v>25.429390000000001</v>
      </c>
      <c r="H42">
        <v>1.0278681780465626E-2</v>
      </c>
    </row>
    <row r="43" spans="1:8" x14ac:dyDescent="0.35">
      <c r="A43" t="s">
        <v>56</v>
      </c>
      <c r="B43">
        <v>-2.7282214031721964E-3</v>
      </c>
      <c r="C43">
        <v>-3.6337597783142793E-2</v>
      </c>
      <c r="D43">
        <v>-3.7256888189702533E-2</v>
      </c>
      <c r="E43">
        <v>293.78504489705801</v>
      </c>
      <c r="F43">
        <v>16.86</v>
      </c>
      <c r="G43">
        <v>28.373660000000001</v>
      </c>
      <c r="H43">
        <v>1.3895140827549802E-2</v>
      </c>
    </row>
    <row r="44" spans="1:8" x14ac:dyDescent="0.35">
      <c r="A44" t="s">
        <v>57</v>
      </c>
      <c r="B44">
        <v>2.8552636567975671E-3</v>
      </c>
      <c r="C44">
        <v>-1.3912197474813376E-2</v>
      </c>
      <c r="D44">
        <v>-1.4666090388188075E-2</v>
      </c>
      <c r="E44">
        <v>215.33032213845243</v>
      </c>
      <c r="F44">
        <v>13.45</v>
      </c>
      <c r="G44">
        <v>25.309899999999999</v>
      </c>
      <c r="H44">
        <v>9.5137504801860954E-3</v>
      </c>
    </row>
    <row r="45" spans="1:8" x14ac:dyDescent="0.35">
      <c r="A45" t="s">
        <v>58</v>
      </c>
      <c r="B45">
        <v>-7.4321967631665214E-4</v>
      </c>
      <c r="C45">
        <v>-2.4491852845788486E-2</v>
      </c>
      <c r="D45">
        <v>-2.5066625568686635E-2</v>
      </c>
      <c r="E45">
        <v>143.93038420054069</v>
      </c>
      <c r="F45">
        <v>17.010000000000002</v>
      </c>
      <c r="G45">
        <v>31.001010000000001</v>
      </c>
      <c r="H45">
        <v>9.0159242452114343E-3</v>
      </c>
    </row>
    <row r="46" spans="1:8" x14ac:dyDescent="0.35">
      <c r="A46" t="s">
        <v>59</v>
      </c>
      <c r="B46">
        <v>2.4726459529666664E-3</v>
      </c>
      <c r="C46">
        <v>-1.0163371117737199E-2</v>
      </c>
      <c r="D46">
        <v>-1.0403192905549847E-2</v>
      </c>
      <c r="E46">
        <v>244.41394531322689</v>
      </c>
      <c r="F46">
        <v>16.600000000000001</v>
      </c>
      <c r="G46">
        <v>26.318200000000001</v>
      </c>
      <c r="H46">
        <v>7.704663298636681E-3</v>
      </c>
    </row>
    <row r="47" spans="1:8" x14ac:dyDescent="0.35">
      <c r="A47" t="s">
        <v>60</v>
      </c>
      <c r="B47">
        <v>1.6114382733255115E-3</v>
      </c>
      <c r="C47">
        <v>-8.9871217197841444E-3</v>
      </c>
      <c r="D47">
        <v>-9.2020049044941373E-3</v>
      </c>
      <c r="E47">
        <v>287.16964626793174</v>
      </c>
      <c r="F47">
        <v>13.75</v>
      </c>
      <c r="G47">
        <v>21.606089999999998</v>
      </c>
      <c r="H47">
        <v>7.5264677213508265E-3</v>
      </c>
    </row>
    <row r="48" spans="1:8" x14ac:dyDescent="0.35">
      <c r="A48" t="s">
        <v>61</v>
      </c>
      <c r="B48">
        <v>-5.1856793959622873E-5</v>
      </c>
      <c r="C48">
        <v>-1.0961877718603623E-2</v>
      </c>
      <c r="D48">
        <v>-1.126281402716286E-2</v>
      </c>
      <c r="E48">
        <v>185.95941067801243</v>
      </c>
      <c r="F48">
        <v>13.7</v>
      </c>
      <c r="G48">
        <v>19.903759999999998</v>
      </c>
      <c r="H48">
        <v>6.056702855497342E-3</v>
      </c>
    </row>
    <row r="49" spans="1:8" x14ac:dyDescent="0.35">
      <c r="A49" t="s">
        <v>62</v>
      </c>
      <c r="B49">
        <v>-2.5279321298918214E-4</v>
      </c>
      <c r="C49">
        <v>-1.46592439942264E-2</v>
      </c>
      <c r="D49">
        <v>-2.6808569108513182E-2</v>
      </c>
      <c r="E49">
        <v>223.97088347115911</v>
      </c>
      <c r="F49">
        <v>13.72</v>
      </c>
      <c r="G49">
        <v>23.81176</v>
      </c>
      <c r="H49">
        <v>1.1056092935915335E-2</v>
      </c>
    </row>
    <row r="50" spans="1:8" x14ac:dyDescent="0.35">
      <c r="A50" t="s">
        <v>63</v>
      </c>
      <c r="B50">
        <v>-1.1845927565311567E-3</v>
      </c>
      <c r="C50">
        <v>-2.5771281865536601E-2</v>
      </c>
      <c r="D50">
        <v>-2.8308906268907679E-2</v>
      </c>
      <c r="E50">
        <v>221.41379781909825</v>
      </c>
      <c r="F50">
        <v>18.41</v>
      </c>
      <c r="G50">
        <v>29.466290000000001</v>
      </c>
      <c r="H50">
        <v>8.8293976520815234E-3</v>
      </c>
    </row>
    <row r="51" spans="1:8" x14ac:dyDescent="0.35">
      <c r="A51" t="s">
        <v>64</v>
      </c>
      <c r="B51">
        <v>2.8275045339968222E-3</v>
      </c>
      <c r="C51">
        <v>-1.3513205758608782E-2</v>
      </c>
      <c r="D51">
        <v>-1.4013696476512461E-2</v>
      </c>
      <c r="E51">
        <v>139.96909575683688</v>
      </c>
      <c r="F51">
        <v>14</v>
      </c>
      <c r="G51">
        <v>23.15146</v>
      </c>
      <c r="H51">
        <v>6.338203831427699E-3</v>
      </c>
    </row>
    <row r="52" spans="1:8" x14ac:dyDescent="0.35">
      <c r="A52" t="s">
        <v>65</v>
      </c>
      <c r="B52">
        <v>-1.7944600624843898E-4</v>
      </c>
      <c r="C52">
        <v>-2.5623609343980495E-2</v>
      </c>
      <c r="D52">
        <v>-2.6949710924102376E-2</v>
      </c>
      <c r="E52">
        <v>221.99613301032355</v>
      </c>
      <c r="F52">
        <v>13.88</v>
      </c>
      <c r="G52">
        <v>24.326720000000002</v>
      </c>
      <c r="H52">
        <v>1.1677473675064274E-2</v>
      </c>
    </row>
    <row r="53" spans="1:8" x14ac:dyDescent="0.35">
      <c r="A53" t="s">
        <v>66</v>
      </c>
      <c r="B53">
        <v>1.0800193302053101E-3</v>
      </c>
      <c r="C53">
        <v>-1.0866228218783172E-2</v>
      </c>
      <c r="D53">
        <v>-1.0867052438152645E-2</v>
      </c>
      <c r="E53">
        <v>175.99145203390418</v>
      </c>
      <c r="F53">
        <v>13.41</v>
      </c>
      <c r="G53">
        <v>23.671060000000001</v>
      </c>
      <c r="H53">
        <v>7.7246949296255942E-3</v>
      </c>
    </row>
    <row r="54" spans="1:8" x14ac:dyDescent="0.35">
      <c r="A54" t="s">
        <v>67</v>
      </c>
      <c r="B54">
        <v>3.7608503138047386E-4</v>
      </c>
      <c r="C54">
        <v>-1.2544360374955973E-2</v>
      </c>
      <c r="D54">
        <v>-1.2544360374955973E-2</v>
      </c>
      <c r="E54">
        <v>188.4292174258124</v>
      </c>
      <c r="F54">
        <v>11.4</v>
      </c>
      <c r="G54">
        <v>21.531639999999999</v>
      </c>
      <c r="H54">
        <v>5.9714096001689618E-3</v>
      </c>
    </row>
    <row r="55" spans="1:8" x14ac:dyDescent="0.35">
      <c r="A55" t="s">
        <v>68</v>
      </c>
      <c r="B55">
        <v>-1.0302301374124417E-3</v>
      </c>
      <c r="C55">
        <v>-1.2447152868096664E-2</v>
      </c>
      <c r="D55">
        <v>-1.286138362001632E-2</v>
      </c>
      <c r="E55">
        <v>159.18368478189558</v>
      </c>
      <c r="F55">
        <v>11.57</v>
      </c>
      <c r="G55">
        <v>20.90326</v>
      </c>
      <c r="H55">
        <v>5.6045914560435631E-3</v>
      </c>
    </row>
    <row r="56" spans="1:8" x14ac:dyDescent="0.35">
      <c r="A56" t="s">
        <v>69</v>
      </c>
      <c r="B56">
        <v>-1.7726821192642565E-3</v>
      </c>
      <c r="C56">
        <v>-1.7754226828496301E-2</v>
      </c>
      <c r="D56">
        <v>-1.8327516154666559E-2</v>
      </c>
      <c r="E56">
        <v>148.74221221423838</v>
      </c>
      <c r="F56">
        <v>16.95</v>
      </c>
      <c r="G56">
        <v>25.594930000000002</v>
      </c>
      <c r="H56">
        <v>1.0466076059921102E-2</v>
      </c>
    </row>
    <row r="57" spans="1:8" x14ac:dyDescent="0.35">
      <c r="A57" t="s">
        <v>70</v>
      </c>
      <c r="B57">
        <v>1.6460949567888984E-3</v>
      </c>
      <c r="C57">
        <v>-1.3715712376760555E-2</v>
      </c>
      <c r="D57">
        <v>-1.3715712376760555E-2</v>
      </c>
      <c r="E57">
        <v>132.2171910892462</v>
      </c>
      <c r="F57">
        <v>11.98</v>
      </c>
      <c r="G57">
        <v>22.59468</v>
      </c>
      <c r="H57">
        <v>1.0586117486319775E-2</v>
      </c>
    </row>
    <row r="58" spans="1:8" x14ac:dyDescent="0.35">
      <c r="A58" t="s">
        <v>71</v>
      </c>
      <c r="B58">
        <v>3.6375073629415659E-4</v>
      </c>
      <c r="C58">
        <v>-1.8069081766253305E-2</v>
      </c>
      <c r="D58">
        <v>-1.8905572229137576E-2</v>
      </c>
      <c r="E58">
        <v>242.48573933225873</v>
      </c>
      <c r="F58">
        <v>16.309999999999999</v>
      </c>
      <c r="G58">
        <v>22.544530000000002</v>
      </c>
      <c r="H58">
        <v>8.5871402670478474E-3</v>
      </c>
    </row>
    <row r="59" spans="1:8" x14ac:dyDescent="0.35">
      <c r="A59" t="s">
        <v>72</v>
      </c>
      <c r="B59">
        <v>-1.9252923861214821E-3</v>
      </c>
      <c r="C59">
        <v>-3.5729336462158201E-2</v>
      </c>
      <c r="D59">
        <v>-3.7007350835675308E-2</v>
      </c>
      <c r="E59">
        <v>208.56677898899778</v>
      </c>
      <c r="F59">
        <v>14.03</v>
      </c>
      <c r="G59">
        <v>25.459479999999999</v>
      </c>
      <c r="H59">
        <v>1.6051313644804485E-2</v>
      </c>
    </row>
    <row r="60" spans="1:8" x14ac:dyDescent="0.35">
      <c r="A60" t="s">
        <v>73</v>
      </c>
      <c r="B60">
        <v>1.8219002847497633E-3</v>
      </c>
      <c r="C60">
        <v>-1.5334103291984208E-2</v>
      </c>
      <c r="D60">
        <v>-1.5338674772601585E-2</v>
      </c>
      <c r="E60">
        <v>195.18889530636216</v>
      </c>
      <c r="F60">
        <v>13.33</v>
      </c>
      <c r="G60">
        <v>22.414459999999998</v>
      </c>
      <c r="H60">
        <v>1.0115538150742873E-2</v>
      </c>
    </row>
    <row r="61" spans="1:8" x14ac:dyDescent="0.35">
      <c r="A61" t="s">
        <v>74</v>
      </c>
      <c r="B61">
        <v>-1.7632214932026846E-3</v>
      </c>
      <c r="C61">
        <v>-2.8060136410409907E-2</v>
      </c>
      <c r="D61">
        <v>-2.8060136410409907E-2</v>
      </c>
      <c r="E61">
        <v>261.02572967315598</v>
      </c>
      <c r="F61">
        <v>19.2</v>
      </c>
      <c r="G61">
        <v>31.836269999999999</v>
      </c>
      <c r="H61">
        <v>1.6714382692072073E-2</v>
      </c>
    </row>
    <row r="62" spans="1:8" x14ac:dyDescent="0.35">
      <c r="A62" t="s">
        <v>75</v>
      </c>
      <c r="B62">
        <v>3.8624176114293038E-3</v>
      </c>
      <c r="C62">
        <v>-3.2255911250920817E-2</v>
      </c>
      <c r="D62">
        <v>-3.3703787336422944E-2</v>
      </c>
      <c r="E62">
        <v>178.69872223041321</v>
      </c>
      <c r="F62">
        <v>20.97</v>
      </c>
      <c r="G62">
        <v>27.916350000000001</v>
      </c>
      <c r="H62">
        <v>1.5645388423116358E-2</v>
      </c>
    </row>
    <row r="63" spans="1:8" x14ac:dyDescent="0.35">
      <c r="A63" t="s">
        <v>76</v>
      </c>
      <c r="B63">
        <v>3.6353365898718903E-3</v>
      </c>
      <c r="C63">
        <v>-8.2986339475316067E-3</v>
      </c>
      <c r="D63">
        <v>-8.5527238547178936E-3</v>
      </c>
      <c r="E63">
        <v>238.49512555528176</v>
      </c>
      <c r="F63">
        <v>13.34</v>
      </c>
      <c r="G63">
        <v>19.87426</v>
      </c>
      <c r="H63">
        <v>5.3236551232587071E-3</v>
      </c>
    </row>
    <row r="64" spans="1:8" x14ac:dyDescent="0.35">
      <c r="A64" t="s">
        <v>77</v>
      </c>
      <c r="B64">
        <v>7.4803902991305547E-4</v>
      </c>
      <c r="C64">
        <v>-1.3003866772554676E-2</v>
      </c>
      <c r="D64">
        <v>-1.3312730554734711E-2</v>
      </c>
      <c r="E64">
        <v>174.1975846514905</v>
      </c>
      <c r="F64">
        <v>15.29</v>
      </c>
      <c r="G64">
        <v>22.636510000000001</v>
      </c>
      <c r="H64">
        <v>9.2223010703990603E-3</v>
      </c>
    </row>
    <row r="65" spans="1:8" x14ac:dyDescent="0.35">
      <c r="A65" t="s">
        <v>78</v>
      </c>
      <c r="B65">
        <v>1.2747858371622281E-4</v>
      </c>
      <c r="C65">
        <v>-2.5844006638714705E-2</v>
      </c>
      <c r="D65">
        <v>-2.6241203652521462E-2</v>
      </c>
      <c r="E65">
        <v>211.13492266079632</v>
      </c>
      <c r="F65">
        <v>14.55</v>
      </c>
      <c r="G65">
        <v>27.152229999999999</v>
      </c>
      <c r="H65">
        <v>1.0806542632112962E-2</v>
      </c>
    </row>
    <row r="66" spans="1:8" x14ac:dyDescent="0.35">
      <c r="A66" t="s">
        <v>79</v>
      </c>
      <c r="B66">
        <v>-4.2657130128283434E-4</v>
      </c>
      <c r="C66">
        <v>-1.6128775006962581E-2</v>
      </c>
      <c r="D66">
        <v>-2.5616142635770979E-2</v>
      </c>
      <c r="E66">
        <v>197.79857959569753</v>
      </c>
      <c r="F66">
        <v>13.84</v>
      </c>
      <c r="G66">
        <v>25.82891</v>
      </c>
      <c r="H66">
        <v>1.3327686370763226E-2</v>
      </c>
    </row>
    <row r="67" spans="1:8" x14ac:dyDescent="0.35">
      <c r="A67" t="s">
        <v>80</v>
      </c>
      <c r="B67">
        <v>-2.0201138407148918E-3</v>
      </c>
      <c r="C67">
        <v>-3.5073726973218151E-2</v>
      </c>
      <c r="D67">
        <v>-3.8145462798365226E-2</v>
      </c>
      <c r="E67">
        <v>303.52773213219677</v>
      </c>
      <c r="F67">
        <v>18.23</v>
      </c>
      <c r="G67">
        <v>36.032110000000003</v>
      </c>
      <c r="H67">
        <v>1.4961725109216041E-2</v>
      </c>
    </row>
    <row r="68" spans="1:8" x14ac:dyDescent="0.35">
      <c r="A68" t="s">
        <v>81</v>
      </c>
      <c r="B68">
        <v>2.5762063032099499E-3</v>
      </c>
      <c r="C68">
        <v>-2.5384108675679643E-2</v>
      </c>
      <c r="D68">
        <v>-2.5992553910037464E-2</v>
      </c>
      <c r="E68">
        <v>314.76036810583815</v>
      </c>
      <c r="F68">
        <v>12.12</v>
      </c>
      <c r="G68">
        <v>21.222370000000002</v>
      </c>
      <c r="H68">
        <v>1.4405817868093617E-2</v>
      </c>
    </row>
    <row r="69" spans="1:8" x14ac:dyDescent="0.35">
      <c r="A69" t="s">
        <v>82</v>
      </c>
      <c r="B69">
        <v>-4.1783969668888745E-3</v>
      </c>
      <c r="C69">
        <v>-5.3917623451203163E-2</v>
      </c>
      <c r="D69">
        <v>-5.493230125890735E-2</v>
      </c>
      <c r="E69">
        <v>171.73944490131768</v>
      </c>
      <c r="F69">
        <v>28.43</v>
      </c>
      <c r="G69">
        <v>34.812840000000001</v>
      </c>
      <c r="H69">
        <v>2.2619099673112302E-2</v>
      </c>
    </row>
    <row r="70" spans="1:8" x14ac:dyDescent="0.35">
      <c r="A70" t="s">
        <v>83</v>
      </c>
      <c r="B70">
        <v>-2.1893098017305747E-3</v>
      </c>
      <c r="C70">
        <v>-3.3971744225686822E-2</v>
      </c>
      <c r="D70">
        <v>-3.483596665097357E-2</v>
      </c>
      <c r="E70">
        <v>263.03016007190877</v>
      </c>
      <c r="F70">
        <v>24.5</v>
      </c>
      <c r="G70">
        <v>35.833730000000003</v>
      </c>
      <c r="H70">
        <v>1.9380188078330998E-2</v>
      </c>
    </row>
    <row r="71" spans="1:8" x14ac:dyDescent="0.35">
      <c r="A71" t="s">
        <v>84</v>
      </c>
      <c r="B71">
        <v>4.3029720831718275E-3</v>
      </c>
      <c r="C71">
        <v>-1.0190603850198803E-2</v>
      </c>
      <c r="D71">
        <v>-1.0274920551452177E-2</v>
      </c>
      <c r="E71">
        <v>231.93368590502911</v>
      </c>
      <c r="F71">
        <v>15.07</v>
      </c>
      <c r="G71">
        <v>22.42923</v>
      </c>
      <c r="H71">
        <v>1.1619740082328337E-2</v>
      </c>
    </row>
    <row r="72" spans="1:8" x14ac:dyDescent="0.35">
      <c r="A72" t="s">
        <v>85</v>
      </c>
      <c r="B72">
        <v>5.7924822063772834E-4</v>
      </c>
      <c r="C72">
        <v>-1.9066124523442141E-2</v>
      </c>
      <c r="D72">
        <v>-1.9545618946637387E-2</v>
      </c>
      <c r="E72">
        <v>200.97588143856777</v>
      </c>
      <c r="F72">
        <v>16.13</v>
      </c>
      <c r="G72">
        <v>24.974720000000001</v>
      </c>
      <c r="H72">
        <v>1.0560362531140942E-2</v>
      </c>
    </row>
    <row r="73" spans="1:8" x14ac:dyDescent="0.35">
      <c r="A73" t="s">
        <v>86</v>
      </c>
      <c r="B73">
        <v>-3.0649968764116177E-3</v>
      </c>
      <c r="C73">
        <v>-3.6440425968209698E-2</v>
      </c>
      <c r="D73">
        <v>-3.6440425968209698E-2</v>
      </c>
      <c r="E73">
        <v>206.39484953514801</v>
      </c>
      <c r="F73">
        <v>18.21</v>
      </c>
      <c r="G73">
        <v>24.7791</v>
      </c>
      <c r="H73">
        <v>1.5430489320303754E-2</v>
      </c>
    </row>
    <row r="74" spans="1:8" x14ac:dyDescent="0.35">
      <c r="A74" t="s">
        <v>87</v>
      </c>
      <c r="B74">
        <v>-2.8610775724823728E-3</v>
      </c>
      <c r="C74">
        <v>-3.5016256072653913E-2</v>
      </c>
      <c r="D74">
        <v>-3.5089062728072842E-2</v>
      </c>
      <c r="E74">
        <v>241.4245361712679</v>
      </c>
      <c r="F74">
        <v>20.2</v>
      </c>
      <c r="G74">
        <v>29.697890000000001</v>
      </c>
      <c r="H74">
        <v>1.8698254737071342E-2</v>
      </c>
    </row>
    <row r="75" spans="1:8" x14ac:dyDescent="0.35">
      <c r="A75" t="s">
        <v>88</v>
      </c>
      <c r="B75">
        <v>-6.8922173007866306E-4</v>
      </c>
      <c r="C75">
        <v>-4.0462108374438061E-2</v>
      </c>
      <c r="D75">
        <v>-4.1345889074985695E-2</v>
      </c>
      <c r="E75">
        <v>324.04653568126793</v>
      </c>
      <c r="F75">
        <v>20.55</v>
      </c>
      <c r="G75">
        <v>32.331159999999997</v>
      </c>
      <c r="H75">
        <v>2.0344694794150478E-2</v>
      </c>
    </row>
    <row r="76" spans="1:8" x14ac:dyDescent="0.35">
      <c r="A76" t="s">
        <v>89</v>
      </c>
      <c r="B76">
        <v>3.4341450038842802E-4</v>
      </c>
      <c r="C76">
        <v>-2.1107582289084003E-2</v>
      </c>
      <c r="D76">
        <v>-2.1546107133027084E-2</v>
      </c>
      <c r="E76">
        <v>253.68586333993335</v>
      </c>
      <c r="F76">
        <v>13.95</v>
      </c>
      <c r="G76">
        <v>26.686969999999999</v>
      </c>
      <c r="H76">
        <v>1.203433923925905E-2</v>
      </c>
    </row>
    <row r="77" spans="1:8" x14ac:dyDescent="0.35">
      <c r="A77" t="s">
        <v>90</v>
      </c>
      <c r="B77">
        <v>4.743564178771889E-4</v>
      </c>
      <c r="C77">
        <v>-2.7929996211006593E-2</v>
      </c>
      <c r="D77">
        <v>-2.8578714986915593E-2</v>
      </c>
      <c r="E77">
        <v>216.33028088042593</v>
      </c>
      <c r="F77">
        <v>15.7</v>
      </c>
      <c r="G77">
        <v>27.493749999999999</v>
      </c>
      <c r="H77">
        <v>1.2886846608624649E-2</v>
      </c>
    </row>
    <row r="78" spans="1:8" x14ac:dyDescent="0.35">
      <c r="A78" t="s">
        <v>91</v>
      </c>
      <c r="B78">
        <v>9.0319541767978797E-4</v>
      </c>
      <c r="C78">
        <v>-1.2948797777806009E-2</v>
      </c>
      <c r="D78">
        <v>-1.2948797777806009E-2</v>
      </c>
      <c r="E78">
        <v>241.11566495964757</v>
      </c>
      <c r="F78">
        <v>14.19</v>
      </c>
      <c r="G78">
        <v>24.633790000000001</v>
      </c>
      <c r="H78">
        <v>9.528347072907584E-3</v>
      </c>
    </row>
    <row r="79" spans="1:8" x14ac:dyDescent="0.35">
      <c r="A79" t="s">
        <v>92</v>
      </c>
      <c r="B79">
        <v>-2.7889433418507117E-3</v>
      </c>
      <c r="C79">
        <v>-7.5791126580524795E-2</v>
      </c>
      <c r="D79">
        <v>-8.3843670369306206E-2</v>
      </c>
      <c r="E79">
        <v>444.34198268649033</v>
      </c>
      <c r="F79">
        <v>15.63</v>
      </c>
      <c r="G79">
        <v>28.874510000000001</v>
      </c>
      <c r="H79">
        <v>2.4723889852378996E-2</v>
      </c>
    </row>
    <row r="80" spans="1:8" x14ac:dyDescent="0.35">
      <c r="A80" t="s">
        <v>93</v>
      </c>
      <c r="B80">
        <v>2.2210871335373614E-3</v>
      </c>
      <c r="C80">
        <v>-1.8748859970345748E-2</v>
      </c>
      <c r="D80">
        <v>-1.8941686878126449E-2</v>
      </c>
      <c r="E80">
        <v>410.00738279337259</v>
      </c>
      <c r="F80">
        <v>11.87</v>
      </c>
      <c r="G80">
        <v>22.58746</v>
      </c>
      <c r="H80">
        <v>1.0355160769692298E-2</v>
      </c>
    </row>
    <row r="81" spans="1:8" x14ac:dyDescent="0.35">
      <c r="A81" t="s">
        <v>94</v>
      </c>
      <c r="B81">
        <v>-1.7056551177180368E-5</v>
      </c>
      <c r="C81">
        <v>-1.7688183357138988E-2</v>
      </c>
      <c r="D81">
        <v>-1.8583232123043567E-2</v>
      </c>
      <c r="E81">
        <v>178.72028205561639</v>
      </c>
      <c r="F81">
        <v>13.42</v>
      </c>
      <c r="G81">
        <v>21.665040000000001</v>
      </c>
      <c r="H81">
        <v>8.3689951978469321E-3</v>
      </c>
    </row>
    <row r="82" spans="1:8" x14ac:dyDescent="0.35">
      <c r="A82" t="s">
        <v>95</v>
      </c>
      <c r="B82">
        <v>1.0270969619931757E-4</v>
      </c>
      <c r="C82">
        <v>-1.723618067114336E-2</v>
      </c>
      <c r="D82">
        <v>-1.8173857485110752E-2</v>
      </c>
      <c r="E82">
        <v>291.67300951647849</v>
      </c>
      <c r="F82">
        <v>13.29</v>
      </c>
      <c r="G82">
        <v>22.19697</v>
      </c>
      <c r="H82">
        <v>1.0313513115494135E-2</v>
      </c>
    </row>
    <row r="83" spans="1:8" x14ac:dyDescent="0.35">
      <c r="A83" t="s">
        <v>96</v>
      </c>
      <c r="B83">
        <v>6.8100258760181952E-4</v>
      </c>
      <c r="C83">
        <v>-1.0531166511490823E-2</v>
      </c>
      <c r="D83">
        <v>-1.0628489164106126E-2</v>
      </c>
      <c r="E83">
        <v>256.62360697508524</v>
      </c>
      <c r="F83">
        <v>17.059999999999999</v>
      </c>
      <c r="G83">
        <v>23.51004</v>
      </c>
      <c r="H83">
        <v>7.3391460671127758E-3</v>
      </c>
    </row>
    <row r="84" spans="1:8" x14ac:dyDescent="0.35">
      <c r="A84" t="s">
        <v>97</v>
      </c>
      <c r="B84">
        <v>6.910648537558088E-4</v>
      </c>
      <c r="C84">
        <v>-1.2026495175146442E-2</v>
      </c>
      <c r="D84">
        <v>-1.2517960409215146E-2</v>
      </c>
      <c r="E84">
        <v>448.59508317810725</v>
      </c>
      <c r="F84">
        <v>13.33</v>
      </c>
      <c r="G84">
        <v>22.72129</v>
      </c>
      <c r="H84">
        <v>8.2137392330827556E-3</v>
      </c>
    </row>
    <row r="85" spans="1:8" x14ac:dyDescent="0.35">
      <c r="A85" t="s">
        <v>98</v>
      </c>
      <c r="B85">
        <v>3.0088573309487339E-3</v>
      </c>
      <c r="C85">
        <v>-7.2228843330862146E-3</v>
      </c>
      <c r="D85">
        <v>-7.2348800033537027E-3</v>
      </c>
      <c r="E85">
        <v>408.26754699437186</v>
      </c>
      <c r="F85">
        <v>14.04</v>
      </c>
      <c r="G85">
        <v>19.114329999999999</v>
      </c>
      <c r="H85">
        <v>6.3340839262366957E-3</v>
      </c>
    </row>
    <row r="86" spans="1:8" x14ac:dyDescent="0.35">
      <c r="A86" t="s">
        <v>99</v>
      </c>
      <c r="B86">
        <v>-1.1238391119223656E-3</v>
      </c>
      <c r="C86">
        <v>-1.1172087232804823E-2</v>
      </c>
      <c r="D86">
        <v>-1.1499801523700594E-2</v>
      </c>
      <c r="E86">
        <v>462.96556552285955</v>
      </c>
      <c r="F86">
        <v>11.99</v>
      </c>
      <c r="G86">
        <v>18.729869999999998</v>
      </c>
      <c r="H86">
        <v>5.8551137094753338E-3</v>
      </c>
    </row>
    <row r="87" spans="1:8" x14ac:dyDescent="0.35">
      <c r="A87" t="s">
        <v>100</v>
      </c>
      <c r="B87">
        <v>1.1416600934301053E-3</v>
      </c>
      <c r="C87">
        <v>-9.8390008237079704E-3</v>
      </c>
      <c r="D87">
        <v>-9.8589854640035272E-3</v>
      </c>
      <c r="E87">
        <v>379.42595357595764</v>
      </c>
      <c r="F87">
        <v>12.92</v>
      </c>
      <c r="G87">
        <v>17.275020000000001</v>
      </c>
      <c r="H87">
        <v>6.3795496794015081E-3</v>
      </c>
    </row>
    <row r="88" spans="1:8" x14ac:dyDescent="0.35">
      <c r="A88" t="s">
        <v>101</v>
      </c>
      <c r="B88">
        <v>2.2999277891984789E-3</v>
      </c>
      <c r="C88">
        <v>-4.9856448985589495E-3</v>
      </c>
      <c r="D88">
        <v>-5.0812934054105868E-3</v>
      </c>
      <c r="E88">
        <v>521.56415059869596</v>
      </c>
      <c r="F88">
        <v>12.37</v>
      </c>
      <c r="G88">
        <v>17.673690000000001</v>
      </c>
      <c r="H88">
        <v>5.542934799288044E-3</v>
      </c>
    </row>
    <row r="89" spans="1:8" x14ac:dyDescent="0.35">
      <c r="A89" t="s">
        <v>102</v>
      </c>
      <c r="B89">
        <v>1.5488355277855905E-3</v>
      </c>
      <c r="C89">
        <v>-8.5057569615325929E-3</v>
      </c>
      <c r="D89">
        <v>-1.6071747885926926E-2</v>
      </c>
      <c r="E89">
        <v>574.6331443928085</v>
      </c>
      <c r="F89">
        <v>10.82</v>
      </c>
      <c r="G89">
        <v>18.585660000000001</v>
      </c>
      <c r="H89">
        <v>1.1601048147983347E-2</v>
      </c>
    </row>
    <row r="90" spans="1:8" x14ac:dyDescent="0.35">
      <c r="A90" t="s">
        <v>103</v>
      </c>
      <c r="B90">
        <v>1.4713184273150743E-4</v>
      </c>
      <c r="C90">
        <v>-1.5720651179697176E-2</v>
      </c>
      <c r="D90">
        <v>-1.645133750933795E-2</v>
      </c>
      <c r="E90">
        <v>288.26044389781725</v>
      </c>
      <c r="F90">
        <v>10.41</v>
      </c>
      <c r="G90">
        <v>16.354109999999999</v>
      </c>
      <c r="H90">
        <v>6.6919421390960942E-3</v>
      </c>
    </row>
    <row r="91" spans="1:8" x14ac:dyDescent="0.35">
      <c r="A91" t="s">
        <v>104</v>
      </c>
      <c r="B91">
        <v>-1.4917199412232704E-3</v>
      </c>
      <c r="C91">
        <v>-1.8443526227991652E-2</v>
      </c>
      <c r="D91">
        <v>-1.8939286704568226E-2</v>
      </c>
      <c r="E91">
        <v>308.56528601007835</v>
      </c>
      <c r="F91">
        <v>11.18</v>
      </c>
      <c r="G91">
        <v>19.691189999999999</v>
      </c>
      <c r="H91">
        <v>7.4742739572579249E-3</v>
      </c>
    </row>
    <row r="92" spans="1:8" x14ac:dyDescent="0.35">
      <c r="A92" t="s">
        <v>105</v>
      </c>
      <c r="B92">
        <v>-2.5090563585337543E-4</v>
      </c>
      <c r="C92">
        <v>-1.5324059763377898E-2</v>
      </c>
      <c r="D92">
        <v>-1.5811311005454035E-2</v>
      </c>
      <c r="E92">
        <v>176.46953211285751</v>
      </c>
      <c r="F92">
        <v>10.26</v>
      </c>
      <c r="G92">
        <v>16.421189999999999</v>
      </c>
      <c r="H92">
        <v>7.9013807955717278E-3</v>
      </c>
    </row>
    <row r="93" spans="1:8" x14ac:dyDescent="0.35">
      <c r="A93" t="s">
        <v>106</v>
      </c>
      <c r="B93">
        <v>-7.6532098947114992E-5</v>
      </c>
      <c r="C93">
        <v>-1.4271152408980239E-2</v>
      </c>
      <c r="D93">
        <v>-1.4287578104278508E-2</v>
      </c>
      <c r="E93">
        <v>164.0532893047378</v>
      </c>
      <c r="F93">
        <v>10.59</v>
      </c>
      <c r="G93">
        <v>18.572019999999998</v>
      </c>
      <c r="H93">
        <v>8.1780004729504596E-3</v>
      </c>
    </row>
    <row r="94" spans="1:8" x14ac:dyDescent="0.35">
      <c r="A94" t="s">
        <v>107</v>
      </c>
      <c r="B94">
        <v>2.2335495219532367E-3</v>
      </c>
      <c r="C94">
        <v>-3.7367483267682954E-3</v>
      </c>
      <c r="D94">
        <v>-3.7722868997681611E-3</v>
      </c>
      <c r="E94">
        <v>256.47821175850652</v>
      </c>
      <c r="F94">
        <v>9.51</v>
      </c>
      <c r="G94">
        <v>14.306179999999999</v>
      </c>
      <c r="H94">
        <v>3.8549822259871312E-3</v>
      </c>
    </row>
    <row r="95" spans="1:8" x14ac:dyDescent="0.35">
      <c r="A95" t="s">
        <v>108</v>
      </c>
      <c r="B95">
        <v>1.5136824473275835E-3</v>
      </c>
      <c r="C95">
        <v>-3.6923573264383293E-3</v>
      </c>
      <c r="D95">
        <v>-3.6974179725313976E-3</v>
      </c>
      <c r="E95">
        <v>227.00538712978212</v>
      </c>
      <c r="F95">
        <v>10.18</v>
      </c>
      <c r="G95">
        <v>13.96176</v>
      </c>
      <c r="H95">
        <v>4.1416631882232975E-3</v>
      </c>
    </row>
    <row r="96" spans="1:8" x14ac:dyDescent="0.35">
      <c r="A96" t="s">
        <v>109</v>
      </c>
      <c r="B96">
        <v>-1.0109960244065247E-3</v>
      </c>
      <c r="C96">
        <v>-1.1044565267704184E-2</v>
      </c>
      <c r="D96">
        <v>-1.1706898366384836E-2</v>
      </c>
      <c r="E96">
        <v>251.36940607972903</v>
      </c>
      <c r="F96">
        <v>11.28</v>
      </c>
      <c r="G96">
        <v>16.018129999999999</v>
      </c>
      <c r="H96">
        <v>4.8141292141488995E-3</v>
      </c>
    </row>
    <row r="97" spans="1:8" x14ac:dyDescent="0.35">
      <c r="A97" t="s">
        <v>110</v>
      </c>
      <c r="B97">
        <v>-5.9334201936984401E-4</v>
      </c>
      <c r="C97">
        <v>-1.0458780722333909E-2</v>
      </c>
      <c r="D97">
        <v>-1.0458780722333909E-2</v>
      </c>
      <c r="E97">
        <v>194.63212824866446</v>
      </c>
      <c r="F97">
        <v>11.04</v>
      </c>
      <c r="G97">
        <v>16.243410000000001</v>
      </c>
      <c r="H97">
        <v>6.7492800307251272E-3</v>
      </c>
    </row>
    <row r="98" spans="1:8" x14ac:dyDescent="0.35">
      <c r="A98" t="s">
        <v>111</v>
      </c>
      <c r="B98">
        <v>6.2857007633640482E-3</v>
      </c>
      <c r="C98">
        <v>-8.4826012059609681E-3</v>
      </c>
      <c r="D98">
        <v>-8.6964424688977509E-3</v>
      </c>
      <c r="E98">
        <v>221.13756884827956</v>
      </c>
      <c r="F98">
        <v>13.54</v>
      </c>
      <c r="G98">
        <v>18.826599999999999</v>
      </c>
      <c r="H98">
        <v>1.0045182234378652E-2</v>
      </c>
    </row>
    <row r="99" spans="1:8" x14ac:dyDescent="0.35">
      <c r="A99" t="s">
        <v>112</v>
      </c>
      <c r="B99">
        <v>-1.4945912180700884E-3</v>
      </c>
      <c r="C99">
        <v>-2.3556662960803824E-2</v>
      </c>
      <c r="D99">
        <v>-2.3742362061144429E-2</v>
      </c>
      <c r="E99">
        <v>192.03058706445086</v>
      </c>
      <c r="F99">
        <v>19.850000000000001</v>
      </c>
      <c r="G99">
        <v>21.97644</v>
      </c>
      <c r="H99">
        <v>1.1766453966640963E-2</v>
      </c>
    </row>
    <row r="100" spans="1:8" x14ac:dyDescent="0.35">
      <c r="A100" t="s">
        <v>113</v>
      </c>
      <c r="B100">
        <v>-1.3911950469248674E-3</v>
      </c>
      <c r="C100">
        <v>-2.3210105376039264E-2</v>
      </c>
      <c r="D100">
        <v>-2.423011200803861E-2</v>
      </c>
      <c r="E100">
        <v>195.57213916032086</v>
      </c>
      <c r="F100">
        <v>19.97</v>
      </c>
      <c r="G100">
        <v>21.431080000000001</v>
      </c>
      <c r="H100">
        <v>9.3011185619108934E-3</v>
      </c>
    </row>
    <row r="101" spans="1:8" x14ac:dyDescent="0.35">
      <c r="A101" t="s">
        <v>114</v>
      </c>
      <c r="B101">
        <v>3.3059063753597727E-3</v>
      </c>
      <c r="C101">
        <v>-5.680174256341858E-3</v>
      </c>
      <c r="D101">
        <v>-5.6845861006398291E-3</v>
      </c>
      <c r="E101">
        <v>187.3611054188672</v>
      </c>
      <c r="F101">
        <v>15.93</v>
      </c>
      <c r="G101">
        <v>16.597010000000001</v>
      </c>
      <c r="H101">
        <v>6.8964515920877613E-3</v>
      </c>
    </row>
    <row r="102" spans="1:8" x14ac:dyDescent="0.35">
      <c r="A102" t="s">
        <v>115</v>
      </c>
      <c r="B102">
        <v>-1.1771485540811814E-3</v>
      </c>
      <c r="C102">
        <v>-1.903230404986065E-2</v>
      </c>
      <c r="D102">
        <v>-1.903230404986065E-2</v>
      </c>
      <c r="E102">
        <v>303.05390794963159</v>
      </c>
      <c r="F102">
        <v>15.43</v>
      </c>
      <c r="G102">
        <v>20.604800000000001</v>
      </c>
      <c r="H102">
        <v>6.3641262518853497E-3</v>
      </c>
    </row>
    <row r="103" spans="1:8" x14ac:dyDescent="0.35">
      <c r="A103" t="s">
        <v>116</v>
      </c>
      <c r="B103">
        <v>-6.6504743917219242E-4</v>
      </c>
      <c r="C103">
        <v>-1.8566202851668306E-2</v>
      </c>
      <c r="D103">
        <v>-1.940229017030648E-2</v>
      </c>
      <c r="E103">
        <v>331.26207526335889</v>
      </c>
      <c r="F103">
        <v>16.09</v>
      </c>
      <c r="G103">
        <v>19.422699999999999</v>
      </c>
      <c r="H103">
        <v>8.7696118708308051E-3</v>
      </c>
    </row>
    <row r="104" spans="1:8" x14ac:dyDescent="0.35">
      <c r="A104" t="s">
        <v>117</v>
      </c>
      <c r="B104">
        <v>1.5756324024531259E-3</v>
      </c>
      <c r="C104">
        <v>-1.39979061444802E-2</v>
      </c>
      <c r="D104">
        <v>-1.4910887673939239E-2</v>
      </c>
      <c r="E104">
        <v>239.72984200414407</v>
      </c>
      <c r="F104">
        <v>12.83</v>
      </c>
      <c r="G104">
        <v>14.70101</v>
      </c>
      <c r="H104">
        <v>6.6119278052649286E-3</v>
      </c>
    </row>
    <row r="105" spans="1:8" x14ac:dyDescent="0.35">
      <c r="A105" t="s">
        <v>118</v>
      </c>
      <c r="B105">
        <v>-9.1113627628436106E-4</v>
      </c>
      <c r="C105">
        <v>-1.5747419851308436E-2</v>
      </c>
      <c r="D105">
        <v>-1.604331589206151E-2</v>
      </c>
      <c r="E105">
        <v>184.52116526124601</v>
      </c>
      <c r="F105">
        <v>12.86</v>
      </c>
      <c r="G105">
        <v>18.127970000000001</v>
      </c>
      <c r="H105">
        <v>6.5486164274229895E-3</v>
      </c>
    </row>
    <row r="106" spans="1:8" x14ac:dyDescent="0.35">
      <c r="A106" t="s">
        <v>119</v>
      </c>
      <c r="B106">
        <v>7.9485433125641195E-4</v>
      </c>
      <c r="C106">
        <v>-1.5441382891928885E-2</v>
      </c>
      <c r="D106">
        <v>-1.555829219790196E-2</v>
      </c>
      <c r="E106">
        <v>230.68047445655253</v>
      </c>
      <c r="F106">
        <v>12.12</v>
      </c>
      <c r="G106">
        <v>17.146560000000001</v>
      </c>
      <c r="H106">
        <v>6.8834030802818226E-3</v>
      </c>
    </row>
    <row r="107" spans="1:8" x14ac:dyDescent="0.35">
      <c r="A107" t="s">
        <v>120</v>
      </c>
      <c r="B107">
        <v>-3.4368326165758354E-3</v>
      </c>
      <c r="C107">
        <v>-2.1049441118132589E-2</v>
      </c>
      <c r="D107">
        <v>-2.1346645200840279E-2</v>
      </c>
      <c r="E107">
        <v>302.29285278472776</v>
      </c>
      <c r="F107">
        <v>21.23</v>
      </c>
      <c r="G107">
        <v>22.955480000000001</v>
      </c>
      <c r="H107">
        <v>1.1130975487647127E-2</v>
      </c>
    </row>
    <row r="108" spans="1:8" x14ac:dyDescent="0.35">
      <c r="A108" t="s">
        <v>121</v>
      </c>
      <c r="B108">
        <v>-8.0599236330530484E-4</v>
      </c>
      <c r="C108">
        <v>-1.1794956505468317E-2</v>
      </c>
      <c r="D108">
        <v>-1.2221730802833165E-2</v>
      </c>
      <c r="E108">
        <v>274.4578971469461</v>
      </c>
      <c r="F108">
        <v>18.07</v>
      </c>
      <c r="G108">
        <v>20.9254</v>
      </c>
      <c r="H108">
        <v>6.7272747633270119E-3</v>
      </c>
    </row>
    <row r="109" spans="1:8" x14ac:dyDescent="0.35">
      <c r="A109" t="s">
        <v>122</v>
      </c>
      <c r="B109">
        <v>-3.9525154326718343E-3</v>
      </c>
      <c r="C109">
        <v>-2.323212758707055E-2</v>
      </c>
      <c r="D109">
        <v>-3.3712779360090532E-2</v>
      </c>
      <c r="E109">
        <v>339.57651506767587</v>
      </c>
      <c r="F109">
        <v>25.42</v>
      </c>
      <c r="G109">
        <v>27.303149999999999</v>
      </c>
      <c r="H109">
        <v>1.4775060468237794E-2</v>
      </c>
    </row>
    <row r="110" spans="1:8" x14ac:dyDescent="0.35">
      <c r="A110" t="s">
        <v>123</v>
      </c>
      <c r="B110">
        <v>2.9523640238584242E-3</v>
      </c>
      <c r="C110">
        <v>-1.5377103427565509E-2</v>
      </c>
      <c r="D110">
        <v>-1.6751494833780797E-2</v>
      </c>
      <c r="E110">
        <v>363.04773960850827</v>
      </c>
      <c r="F110">
        <v>16.57</v>
      </c>
      <c r="G110">
        <v>17.303930000000001</v>
      </c>
      <c r="H110">
        <v>9.3383302706239874E-3</v>
      </c>
    </row>
    <row r="111" spans="1:8" x14ac:dyDescent="0.35">
      <c r="A111" t="s">
        <v>124</v>
      </c>
      <c r="B111">
        <v>2.4220893410102176E-3</v>
      </c>
      <c r="C111">
        <v>-1.7890047150503064E-2</v>
      </c>
      <c r="D111">
        <v>-1.8578502112716711E-2</v>
      </c>
      <c r="E111">
        <v>267.58360147209589</v>
      </c>
      <c r="F111">
        <v>14.78</v>
      </c>
      <c r="G111">
        <v>15.46541</v>
      </c>
      <c r="H111">
        <v>7.8778115543720103E-3</v>
      </c>
    </row>
    <row r="112" spans="1:8" x14ac:dyDescent="0.35">
      <c r="A112" t="s">
        <v>125</v>
      </c>
      <c r="B112">
        <v>9.891896745484179E-4</v>
      </c>
      <c r="C112">
        <v>-1.9213583905713327E-2</v>
      </c>
      <c r="D112">
        <v>-2.0459414505677471E-2</v>
      </c>
      <c r="E112">
        <v>238.68934661793918</v>
      </c>
      <c r="F112">
        <v>13.71</v>
      </c>
      <c r="G112">
        <v>17.139849999999999</v>
      </c>
      <c r="H112">
        <v>7.1791330149201596E-3</v>
      </c>
    </row>
    <row r="113" spans="1:8" x14ac:dyDescent="0.35">
      <c r="A113" t="s">
        <v>126</v>
      </c>
      <c r="B113">
        <v>2.1570620593921708E-3</v>
      </c>
      <c r="C113">
        <v>-6.3242318003971345E-3</v>
      </c>
      <c r="D113">
        <v>-6.483218836211042E-3</v>
      </c>
      <c r="E113">
        <v>206.50388062079429</v>
      </c>
      <c r="F113">
        <v>13.12</v>
      </c>
      <c r="G113">
        <v>14.876429999999999</v>
      </c>
      <c r="H113">
        <v>3.9363829735644118E-3</v>
      </c>
    </row>
    <row r="114" spans="1:8" x14ac:dyDescent="0.35">
      <c r="A114" t="s">
        <v>127</v>
      </c>
      <c r="B114">
        <v>-3.5106002387015325E-3</v>
      </c>
      <c r="C114">
        <v>-2.7551640999170911E-2</v>
      </c>
      <c r="D114">
        <v>-2.7977290246964465E-2</v>
      </c>
      <c r="E114">
        <v>159.84600990325475</v>
      </c>
      <c r="F114">
        <v>18.71</v>
      </c>
      <c r="G114">
        <v>19.446210000000001</v>
      </c>
      <c r="H114">
        <v>1.1745711763161731E-2</v>
      </c>
    </row>
    <row r="115" spans="1:8" x14ac:dyDescent="0.35">
      <c r="A115" t="s">
        <v>128</v>
      </c>
      <c r="B115">
        <v>3.2465107926614918E-3</v>
      </c>
      <c r="C115">
        <v>-6.2188551560369565E-3</v>
      </c>
      <c r="D115">
        <v>-6.2188551560369565E-3</v>
      </c>
      <c r="E115">
        <v>244.02554738596822</v>
      </c>
      <c r="F115">
        <v>15.08</v>
      </c>
      <c r="G115">
        <v>15.600680000000001</v>
      </c>
      <c r="H115">
        <v>6.8661115372314853E-3</v>
      </c>
    </row>
    <row r="116" spans="1:8" x14ac:dyDescent="0.35">
      <c r="A116" t="s">
        <v>129</v>
      </c>
      <c r="B116">
        <v>-1.5782599249955422E-4</v>
      </c>
      <c r="C116">
        <v>-1.448919925741741E-2</v>
      </c>
      <c r="D116">
        <v>-1.6204210333546815E-2</v>
      </c>
      <c r="E116">
        <v>269.49666850731074</v>
      </c>
      <c r="F116">
        <v>16.12</v>
      </c>
      <c r="G116">
        <v>16.014189999999999</v>
      </c>
      <c r="H116">
        <v>5.5470878504120229E-3</v>
      </c>
    </row>
    <row r="117" spans="1:8" x14ac:dyDescent="0.35">
      <c r="A117" t="s">
        <v>130</v>
      </c>
      <c r="B117">
        <v>-3.492938351900266E-4</v>
      </c>
      <c r="C117">
        <v>-3.5645049506053073E-2</v>
      </c>
      <c r="D117">
        <v>-3.6354781880387925E-2</v>
      </c>
      <c r="E117">
        <v>287.83403539137691</v>
      </c>
      <c r="F117">
        <v>18.98</v>
      </c>
      <c r="G117">
        <v>19.413709999999998</v>
      </c>
      <c r="H117">
        <v>1.4990702557711974E-2</v>
      </c>
    </row>
    <row r="118" spans="1:8" x14ac:dyDescent="0.35">
      <c r="A118" t="s">
        <v>131</v>
      </c>
      <c r="B118">
        <v>1.6842563880042848E-3</v>
      </c>
      <c r="C118">
        <v>-1.048827921005931E-2</v>
      </c>
      <c r="D118">
        <v>-1.0602897184209698E-2</v>
      </c>
      <c r="E118">
        <v>275.04957630281075</v>
      </c>
      <c r="F118">
        <v>16.239999999999998</v>
      </c>
      <c r="G118">
        <v>17.257490000000001</v>
      </c>
      <c r="H118">
        <v>6.0785065211527885E-3</v>
      </c>
    </row>
    <row r="119" spans="1:8" x14ac:dyDescent="0.35">
      <c r="A119" t="s">
        <v>132</v>
      </c>
      <c r="B119">
        <v>4.1495568660854324E-4</v>
      </c>
      <c r="C119">
        <v>-2.910887483056887E-2</v>
      </c>
      <c r="D119">
        <v>-3.1736538864542252E-2</v>
      </c>
      <c r="E119">
        <v>267.70970959194938</v>
      </c>
      <c r="F119">
        <v>13.22</v>
      </c>
      <c r="G119">
        <v>15.372450000000001</v>
      </c>
      <c r="H119">
        <v>1.0626960525530749E-2</v>
      </c>
    </row>
    <row r="120" spans="1:8" x14ac:dyDescent="0.35">
      <c r="A120" t="s">
        <v>133</v>
      </c>
      <c r="B120">
        <v>1.4351019418220919E-3</v>
      </c>
      <c r="C120">
        <v>-3.4078626866513705E-3</v>
      </c>
      <c r="D120">
        <v>-3.5037252327376222E-3</v>
      </c>
      <c r="E120">
        <v>246.59494175379996</v>
      </c>
      <c r="F120">
        <v>12.62</v>
      </c>
      <c r="G120">
        <v>14.51248</v>
      </c>
      <c r="H120">
        <v>3.7522256212084194E-3</v>
      </c>
    </row>
    <row r="121" spans="1:8" x14ac:dyDescent="0.35">
      <c r="A121" t="s">
        <v>134</v>
      </c>
      <c r="B121">
        <v>7.2019434069476652E-4</v>
      </c>
      <c r="C121">
        <v>-1.1826890944555853E-2</v>
      </c>
      <c r="D121">
        <v>-2.0259145101798166E-2</v>
      </c>
      <c r="E121">
        <v>244.38810811946939</v>
      </c>
      <c r="F121">
        <v>13.78</v>
      </c>
      <c r="G121">
        <v>15.644729999999999</v>
      </c>
      <c r="H121">
        <v>8.5101697432072559E-3</v>
      </c>
    </row>
    <row r="122" spans="1:8" x14ac:dyDescent="0.35">
      <c r="A122" t="s">
        <v>135</v>
      </c>
      <c r="B122">
        <v>-1.356423296866642E-3</v>
      </c>
      <c r="C122">
        <v>-2.5168839272424449E-2</v>
      </c>
      <c r="D122">
        <v>-2.7129821057584373E-2</v>
      </c>
      <c r="E122">
        <v>254.2695921323031</v>
      </c>
      <c r="F122">
        <v>18.84</v>
      </c>
      <c r="G122">
        <v>19.012</v>
      </c>
      <c r="H122">
        <v>8.7164184214202842E-3</v>
      </c>
    </row>
    <row r="123" spans="1:8" x14ac:dyDescent="0.35">
      <c r="A123" t="s">
        <v>136</v>
      </c>
      <c r="B123">
        <v>-4.4688710656645286E-3</v>
      </c>
      <c r="C123">
        <v>-3.9951835301447948E-2</v>
      </c>
      <c r="D123">
        <v>-4.0245365086637092E-2</v>
      </c>
      <c r="E123">
        <v>238.52343111851852</v>
      </c>
      <c r="F123">
        <v>40.11</v>
      </c>
      <c r="G123">
        <v>46.46481</v>
      </c>
      <c r="H123">
        <v>1.5795366677313228E-2</v>
      </c>
    </row>
    <row r="124" spans="1:8" x14ac:dyDescent="0.35">
      <c r="A124" t="s">
        <v>137</v>
      </c>
      <c r="B124">
        <v>9.891896745484179E-4</v>
      </c>
      <c r="C124">
        <v>-1.9213583905713327E-2</v>
      </c>
      <c r="D124">
        <v>-6.5474604270831793E-2</v>
      </c>
      <c r="E124">
        <v>367.15702042734057</v>
      </c>
      <c r="F124">
        <v>53.54</v>
      </c>
      <c r="G124">
        <v>53.310940000000002</v>
      </c>
      <c r="H124">
        <v>7.1791330149201596E-3</v>
      </c>
    </row>
    <row r="125" spans="1:8" x14ac:dyDescent="0.35">
      <c r="A125" t="s">
        <v>138</v>
      </c>
      <c r="B125">
        <v>1.9633890762149179E-3</v>
      </c>
      <c r="C125">
        <v>-4.3642572522058228E-2</v>
      </c>
      <c r="D125">
        <v>-4.3915482953290015E-2</v>
      </c>
      <c r="E125">
        <v>320.16271113798314</v>
      </c>
      <c r="F125">
        <v>34.15</v>
      </c>
      <c r="G125">
        <v>37.087910000000001</v>
      </c>
      <c r="H125">
        <v>2.4177324211863527E-2</v>
      </c>
    </row>
    <row r="126" spans="1:8" x14ac:dyDescent="0.35">
      <c r="A126" t="s">
        <v>139</v>
      </c>
      <c r="B126">
        <v>1.4778727640377878E-3</v>
      </c>
      <c r="C126">
        <v>-3.1095129761731108E-2</v>
      </c>
      <c r="D126">
        <v>-4.3345582111293982E-2</v>
      </c>
      <c r="E126">
        <v>305.83698185179964</v>
      </c>
      <c r="F126">
        <v>27.51</v>
      </c>
      <c r="G126">
        <v>34.543970000000002</v>
      </c>
      <c r="H126">
        <v>2.2840726646207041E-2</v>
      </c>
    </row>
    <row r="127" spans="1:8" x14ac:dyDescent="0.35">
      <c r="A127" t="s">
        <v>140</v>
      </c>
      <c r="B127">
        <v>2.3791159847667649E-3</v>
      </c>
      <c r="C127">
        <v>-4.6343586004043549E-2</v>
      </c>
      <c r="D127">
        <v>-4.8204593716093543E-2</v>
      </c>
      <c r="E127">
        <v>321.69084543949418</v>
      </c>
      <c r="F127">
        <v>30.43</v>
      </c>
      <c r="G127">
        <v>35.660429999999998</v>
      </c>
      <c r="H127">
        <v>2.0459412859532899E-2</v>
      </c>
    </row>
    <row r="128" spans="1:8" x14ac:dyDescent="0.35">
      <c r="A128" t="s">
        <v>141</v>
      </c>
      <c r="B128">
        <v>-1.3626541500628988E-3</v>
      </c>
      <c r="C128">
        <v>-2.0349874727559957E-2</v>
      </c>
      <c r="D128">
        <v>-2.1566969346964667E-2</v>
      </c>
      <c r="E128">
        <v>242.34147139316002</v>
      </c>
      <c r="F128">
        <v>24.46</v>
      </c>
      <c r="G128">
        <v>31.437750000000001</v>
      </c>
      <c r="H128">
        <v>1.2242807240349252E-2</v>
      </c>
    </row>
    <row r="129" spans="1:8" x14ac:dyDescent="0.35">
      <c r="A129" t="s">
        <v>142</v>
      </c>
      <c r="B129">
        <v>2.2406762206088173E-3</v>
      </c>
      <c r="C129">
        <v>-1.5755158456661873E-2</v>
      </c>
      <c r="D129">
        <v>-1.5881900710193589E-2</v>
      </c>
      <c r="E129">
        <v>202.95086660733247</v>
      </c>
      <c r="F129">
        <v>26.41</v>
      </c>
      <c r="G129">
        <v>31.91592</v>
      </c>
      <c r="H129">
        <v>1.1059515628070352E-2</v>
      </c>
    </row>
    <row r="130" spans="1:8" x14ac:dyDescent="0.35">
      <c r="A130" t="s">
        <v>143</v>
      </c>
      <c r="B130">
        <v>-1.8497005332840746E-3</v>
      </c>
      <c r="C130">
        <v>-3.4791446240900109E-2</v>
      </c>
      <c r="D130">
        <v>-3.8108154367996784E-2</v>
      </c>
      <c r="E130">
        <v>432.69126146881229</v>
      </c>
      <c r="F130">
        <v>26.37</v>
      </c>
      <c r="G130">
        <v>30.5473</v>
      </c>
      <c r="H130">
        <v>1.3408406341829601E-2</v>
      </c>
    </row>
    <row r="131" spans="1:8" x14ac:dyDescent="0.35">
      <c r="A131" t="s">
        <v>144</v>
      </c>
      <c r="B131">
        <v>-2.024044679108823E-3</v>
      </c>
      <c r="C131">
        <v>-3.2358472717817222E-2</v>
      </c>
      <c r="D131">
        <v>-3.4306476187290449E-2</v>
      </c>
      <c r="E131">
        <v>358.26840748688517</v>
      </c>
      <c r="F131">
        <v>38.020000000000003</v>
      </c>
      <c r="G131">
        <v>41.165349999999997</v>
      </c>
      <c r="H131">
        <v>1.2670181357773628E-2</v>
      </c>
    </row>
    <row r="132" spans="1:8" x14ac:dyDescent="0.35">
      <c r="A132" t="s">
        <v>145</v>
      </c>
      <c r="B132">
        <v>8.7291333174120272E-3</v>
      </c>
      <c r="C132">
        <v>-1.5196326846536313E-2</v>
      </c>
      <c r="D132">
        <v>-1.5292985352338882E-2</v>
      </c>
      <c r="E132">
        <v>403.88629274722911</v>
      </c>
      <c r="F132">
        <v>20.57</v>
      </c>
      <c r="G132">
        <v>27.392469999999999</v>
      </c>
      <c r="H132">
        <v>1.8384071157985484E-2</v>
      </c>
    </row>
    <row r="133" spans="1:8" x14ac:dyDescent="0.35">
      <c r="A133" t="s">
        <v>146</v>
      </c>
      <c r="B133">
        <v>7.6558370657622344E-4</v>
      </c>
      <c r="C133">
        <v>-2.4632283431022903E-2</v>
      </c>
      <c r="D133">
        <v>-2.4632283431022903E-2</v>
      </c>
      <c r="E133">
        <v>257.26733611001026</v>
      </c>
      <c r="F133">
        <v>22.75</v>
      </c>
      <c r="G133">
        <v>28.718160000000001</v>
      </c>
      <c r="H133">
        <v>8.988584443538214E-3</v>
      </c>
    </row>
    <row r="134" spans="1:8" x14ac:dyDescent="0.35">
      <c r="A134" t="s">
        <v>147</v>
      </c>
      <c r="B134">
        <v>-1.8204294238103713E-3</v>
      </c>
      <c r="C134">
        <v>-2.0176568681320516E-2</v>
      </c>
      <c r="D134">
        <v>-2.0406346006003374E-2</v>
      </c>
      <c r="E134">
        <v>276.37227437364749</v>
      </c>
      <c r="F134">
        <v>33.090000000000003</v>
      </c>
      <c r="G134">
        <v>35.192749999999997</v>
      </c>
      <c r="H134">
        <v>8.9105963461176552E-3</v>
      </c>
    </row>
    <row r="135" spans="1:8" x14ac:dyDescent="0.35">
      <c r="A135" t="s">
        <v>148</v>
      </c>
      <c r="B135">
        <v>2.738914052337278E-3</v>
      </c>
      <c r="C135">
        <v>-1.366960263420983E-2</v>
      </c>
      <c r="D135">
        <v>-1.4045539076652168E-2</v>
      </c>
      <c r="E135">
        <v>226.43034071822746</v>
      </c>
      <c r="F135">
        <v>27.95</v>
      </c>
      <c r="G135">
        <v>32.450749999999999</v>
      </c>
      <c r="H135">
        <v>7.5495036804722826E-3</v>
      </c>
    </row>
    <row r="136" spans="1:8" x14ac:dyDescent="0.35">
      <c r="A136" t="s">
        <v>149</v>
      </c>
      <c r="B136">
        <v>2.6900535055742734E-3</v>
      </c>
      <c r="C136">
        <v>-1.0253829265843492E-2</v>
      </c>
      <c r="D136">
        <v>-1.0750678756138029E-2</v>
      </c>
      <c r="E136">
        <v>258.44635817598612</v>
      </c>
      <c r="F136">
        <v>19.399999999999999</v>
      </c>
      <c r="G136">
        <v>21.119689999999999</v>
      </c>
      <c r="H136">
        <v>7.2743691888821635E-3</v>
      </c>
    </row>
    <row r="137" spans="1:8" x14ac:dyDescent="0.35">
      <c r="A137" t="s">
        <v>150</v>
      </c>
      <c r="B137">
        <v>1.6395629174887228E-3</v>
      </c>
      <c r="C137">
        <v>-2.0325416922513821E-2</v>
      </c>
      <c r="D137">
        <v>-2.1118119385507506E-2</v>
      </c>
      <c r="E137">
        <v>186.40504730622686</v>
      </c>
      <c r="F137">
        <v>18.61</v>
      </c>
      <c r="G137">
        <v>24.81278</v>
      </c>
      <c r="H137">
        <v>6.5092675927474527E-3</v>
      </c>
    </row>
    <row r="138" spans="1:8" x14ac:dyDescent="0.35">
      <c r="A138" t="s">
        <v>151</v>
      </c>
      <c r="B138">
        <v>1.8700639983186228E-3</v>
      </c>
      <c r="C138">
        <v>-1.5090355303305793E-2</v>
      </c>
      <c r="D138">
        <v>-1.8746528327207582E-2</v>
      </c>
      <c r="E138">
        <v>210.55606779907308</v>
      </c>
      <c r="F138">
        <v>16.760000000000002</v>
      </c>
      <c r="G138">
        <v>23.353159999999999</v>
      </c>
      <c r="H138">
        <v>8.7205633506024817E-3</v>
      </c>
    </row>
    <row r="139" spans="1:8" x14ac:dyDescent="0.35">
      <c r="A139" t="s">
        <v>152</v>
      </c>
      <c r="B139">
        <v>1.6597721605411981E-4</v>
      </c>
      <c r="C139">
        <v>-1.3948073088709064E-2</v>
      </c>
      <c r="D139">
        <v>-1.4673012584069278E-2</v>
      </c>
      <c r="E139">
        <v>219.50012853823208</v>
      </c>
      <c r="F139">
        <v>15.83</v>
      </c>
      <c r="G139">
        <v>21.54729</v>
      </c>
      <c r="H139">
        <v>6.2190567687700361E-3</v>
      </c>
    </row>
    <row r="140" spans="1:8" x14ac:dyDescent="0.35">
      <c r="A140" t="s">
        <v>153</v>
      </c>
      <c r="B140">
        <v>7.2704766194938331E-4</v>
      </c>
      <c r="C140">
        <v>-2.4912782472225073E-2</v>
      </c>
      <c r="D140">
        <v>-2.5731955445123904E-2</v>
      </c>
      <c r="E140">
        <v>251.80142479657709</v>
      </c>
      <c r="F140">
        <v>18.239999999999998</v>
      </c>
      <c r="G140">
        <v>24.831800000000001</v>
      </c>
      <c r="H140">
        <v>1.1086562242794437E-2</v>
      </c>
    </row>
    <row r="141" spans="1:8" x14ac:dyDescent="0.35">
      <c r="A141" t="s">
        <v>154</v>
      </c>
      <c r="B141">
        <v>4.8303892434150902E-4</v>
      </c>
      <c r="C141">
        <v>-2.2934037970873011E-2</v>
      </c>
      <c r="D141">
        <v>-2.4555659644756037E-2</v>
      </c>
      <c r="E141">
        <v>231.69912169473648</v>
      </c>
      <c r="F141">
        <v>16.48</v>
      </c>
      <c r="G141">
        <v>22.156310000000001</v>
      </c>
      <c r="H141">
        <v>7.3701537618677043E-3</v>
      </c>
    </row>
    <row r="142" spans="1:8" x14ac:dyDescent="0.35">
      <c r="A142" t="s">
        <v>155</v>
      </c>
      <c r="B142">
        <v>-1.1031374369810212E-3</v>
      </c>
      <c r="C142">
        <v>-2.1293546279128051E-2</v>
      </c>
      <c r="D142">
        <v>-2.1952010176324102E-2</v>
      </c>
      <c r="E142">
        <v>236.94298770083844</v>
      </c>
      <c r="F142">
        <v>23.14</v>
      </c>
      <c r="G142">
        <v>26.89424</v>
      </c>
      <c r="H142">
        <v>9.961993764364397E-3</v>
      </c>
    </row>
    <row r="143" spans="1:8" x14ac:dyDescent="0.35">
      <c r="A143" t="s">
        <v>156</v>
      </c>
      <c r="B143">
        <v>2.214216335459717E-3</v>
      </c>
      <c r="C143">
        <v>-1.226567870458053E-2</v>
      </c>
      <c r="D143">
        <v>-1.272608112571901E-2</v>
      </c>
      <c r="E143">
        <v>270.22984285598051</v>
      </c>
      <c r="F143">
        <v>16.260000000000002</v>
      </c>
      <c r="G143">
        <v>20.327559999999998</v>
      </c>
      <c r="H143">
        <v>7.7974403173796383E-3</v>
      </c>
    </row>
    <row r="144" spans="1:8" x14ac:dyDescent="0.35">
      <c r="A144" t="s">
        <v>157</v>
      </c>
      <c r="B144">
        <v>-7.324406381202822E-4</v>
      </c>
      <c r="C144">
        <v>-4.2650141976235789E-2</v>
      </c>
      <c r="D144">
        <v>-4.8670539392574569E-2</v>
      </c>
      <c r="E144">
        <v>310.0813528559587</v>
      </c>
      <c r="F144">
        <v>27.19</v>
      </c>
      <c r="G144">
        <v>34.009799999999998</v>
      </c>
      <c r="H144">
        <v>1.1631516385111621E-2</v>
      </c>
    </row>
    <row r="145" spans="1:8" x14ac:dyDescent="0.35">
      <c r="A145" t="s">
        <v>158</v>
      </c>
      <c r="B145">
        <v>3.4260675069228098E-3</v>
      </c>
      <c r="C145">
        <v>-1.2593000551130882E-2</v>
      </c>
      <c r="D145">
        <v>-1.2593000551130882E-2</v>
      </c>
      <c r="E145">
        <v>331.31548153447523</v>
      </c>
      <c r="F145">
        <v>17.22</v>
      </c>
      <c r="G145">
        <v>21.801400000000001</v>
      </c>
      <c r="H145">
        <v>1.1806416288253525E-2</v>
      </c>
    </row>
    <row r="146" spans="1:8" x14ac:dyDescent="0.35">
      <c r="A146" t="s">
        <v>159</v>
      </c>
      <c r="B146">
        <v>-1.228009225366959E-3</v>
      </c>
      <c r="C146">
        <v>-3.9389263051264514E-2</v>
      </c>
      <c r="D146">
        <v>-4.0535615843825694E-2</v>
      </c>
      <c r="E146">
        <v>313.78810575904663</v>
      </c>
      <c r="F146">
        <v>24.83</v>
      </c>
      <c r="G146">
        <v>30.300719999999998</v>
      </c>
      <c r="H146">
        <v>1.443097843702267E-2</v>
      </c>
    </row>
    <row r="147" spans="1:8" x14ac:dyDescent="0.35">
      <c r="A147" t="s">
        <v>160</v>
      </c>
      <c r="B147">
        <v>8.223661004539997E-3</v>
      </c>
      <c r="C147">
        <v>-3.823829323963087E-2</v>
      </c>
      <c r="D147">
        <v>-3.9040511211597038E-2</v>
      </c>
      <c r="E147">
        <v>298.90660377280608</v>
      </c>
      <c r="F147">
        <v>30.15</v>
      </c>
      <c r="G147">
        <v>39.545810000000003</v>
      </c>
      <c r="H147">
        <v>8.4901358983627568E-3</v>
      </c>
    </row>
    <row r="148" spans="1:8" x14ac:dyDescent="0.35">
      <c r="A148" t="s">
        <v>161</v>
      </c>
      <c r="B148">
        <v>6.7900608011585942E-6</v>
      </c>
      <c r="C148">
        <v>-4.8781989291811809E-2</v>
      </c>
      <c r="D148">
        <v>-5.0928888858496689E-2</v>
      </c>
      <c r="E148">
        <v>429.93556753498171</v>
      </c>
      <c r="F148">
        <v>20.56</v>
      </c>
      <c r="G148">
        <v>32.1265</v>
      </c>
      <c r="H148">
        <v>2.4974693877989392E-2</v>
      </c>
    </row>
    <row r="149" spans="1:8" x14ac:dyDescent="0.35">
      <c r="A149" t="s">
        <v>162</v>
      </c>
      <c r="B149">
        <v>-1.0060975143520849E-3</v>
      </c>
      <c r="C149">
        <v>-2.2319277956140197E-2</v>
      </c>
      <c r="D149">
        <v>-2.2319277956140197E-2</v>
      </c>
      <c r="E149">
        <v>322.84143605889113</v>
      </c>
      <c r="F149">
        <v>33.4</v>
      </c>
      <c r="G149">
        <v>32.462649999999996</v>
      </c>
      <c r="H149">
        <v>1.1532794986229961E-2</v>
      </c>
    </row>
    <row r="150" spans="1:8" x14ac:dyDescent="0.35">
      <c r="A150" t="s">
        <v>163</v>
      </c>
      <c r="B150">
        <v>-4.75880579295782E-4</v>
      </c>
      <c r="C150">
        <v>-2.6874458100596247E-2</v>
      </c>
      <c r="D150">
        <v>-2.7923832258290402E-2</v>
      </c>
      <c r="E150">
        <v>380.59057264289402</v>
      </c>
      <c r="F150">
        <v>26.19</v>
      </c>
      <c r="G150">
        <v>27.09723</v>
      </c>
      <c r="H150">
        <v>1.4955869070833626E-2</v>
      </c>
    </row>
    <row r="151" spans="1:8" x14ac:dyDescent="0.35">
      <c r="A151" t="s">
        <v>164</v>
      </c>
      <c r="B151">
        <v>-4.4085589779749189E-3</v>
      </c>
      <c r="C151">
        <v>-2.7284529305505279E-2</v>
      </c>
      <c r="D151">
        <v>-2.7298719087945515E-2</v>
      </c>
      <c r="E151">
        <v>420.58772539895682</v>
      </c>
      <c r="F151">
        <v>28.71</v>
      </c>
      <c r="G151">
        <v>31.218789999999998</v>
      </c>
      <c r="H151">
        <v>1.5302948245141943E-2</v>
      </c>
    </row>
    <row r="152" spans="1:8" x14ac:dyDescent="0.35">
      <c r="A152" t="s">
        <v>165</v>
      </c>
      <c r="B152">
        <v>4.0489573941636849E-3</v>
      </c>
      <c r="C152">
        <v>-2.5889333217377072E-2</v>
      </c>
      <c r="D152">
        <v>-2.7183852674881624E-2</v>
      </c>
      <c r="E152">
        <v>495.31645192190723</v>
      </c>
      <c r="F152">
        <v>21.33</v>
      </c>
      <c r="G152">
        <v>22.744309999999999</v>
      </c>
      <c r="H152">
        <v>1.1860563642433349E-2</v>
      </c>
    </row>
    <row r="153" spans="1:8" x14ac:dyDescent="0.35">
      <c r="A153" t="s">
        <v>166</v>
      </c>
      <c r="B153">
        <v>-2.4501172759134491E-3</v>
      </c>
      <c r="C153">
        <v>-1.806656536875657E-2</v>
      </c>
      <c r="D153">
        <v>-1.8189846876654894E-2</v>
      </c>
      <c r="E153">
        <v>231.0219656497317</v>
      </c>
      <c r="F153">
        <v>25.87</v>
      </c>
      <c r="G153">
        <v>28.096</v>
      </c>
      <c r="H153">
        <v>8.2952094789939274E-3</v>
      </c>
    </row>
    <row r="154" spans="1:8" x14ac:dyDescent="0.35">
      <c r="A154" t="s">
        <v>167</v>
      </c>
      <c r="B154">
        <v>-2.9072114579769223E-3</v>
      </c>
      <c r="C154">
        <v>-2.2669059047100662E-2</v>
      </c>
      <c r="D154">
        <v>-2.3089564290769284E-2</v>
      </c>
      <c r="E154">
        <v>255.82427560784171</v>
      </c>
      <c r="F154">
        <v>31.62</v>
      </c>
      <c r="G154">
        <v>30.064309999999999</v>
      </c>
      <c r="H154">
        <v>1.3133983534188506E-2</v>
      </c>
    </row>
    <row r="155" spans="1:8" x14ac:dyDescent="0.35">
      <c r="A155" t="s">
        <v>168</v>
      </c>
      <c r="B155">
        <v>3.9960680087113001E-3</v>
      </c>
      <c r="C155">
        <v>-1.1497698516980541E-2</v>
      </c>
      <c r="D155">
        <v>-1.1773054879298962E-2</v>
      </c>
      <c r="E155">
        <v>372.27650760470925</v>
      </c>
      <c r="F155">
        <v>25.88</v>
      </c>
      <c r="G155">
        <v>24.54992</v>
      </c>
      <c r="H155">
        <v>1.2458993336466979E-2</v>
      </c>
    </row>
    <row r="156" spans="1:8" x14ac:dyDescent="0.35">
      <c r="A156" t="s">
        <v>169</v>
      </c>
      <c r="B156">
        <v>3.2992589934078549E-3</v>
      </c>
      <c r="C156">
        <v>-7.988368608429261E-3</v>
      </c>
      <c r="D156">
        <v>-8.1506948983195663E-3</v>
      </c>
      <c r="E156">
        <v>302.97606816447041</v>
      </c>
      <c r="F156">
        <v>20.58</v>
      </c>
      <c r="G156">
        <v>21.878530000000001</v>
      </c>
      <c r="H156">
        <v>8.4930222424234002E-3</v>
      </c>
    </row>
    <row r="157" spans="1:8" x14ac:dyDescent="0.35">
      <c r="A157" t="s">
        <v>170</v>
      </c>
      <c r="B157">
        <v>-2.0043842397000104E-3</v>
      </c>
      <c r="C157">
        <v>-3.0587958201092117E-2</v>
      </c>
      <c r="D157">
        <v>-3.1393389269003341E-2</v>
      </c>
      <c r="E157">
        <v>261.96710254782568</v>
      </c>
      <c r="F157">
        <v>21.67</v>
      </c>
      <c r="G157">
        <v>22.371210000000001</v>
      </c>
      <c r="H157">
        <v>1.0711228276483223E-2</v>
      </c>
    </row>
    <row r="158" spans="1:8" x14ac:dyDescent="0.35">
      <c r="A158" t="s">
        <v>171</v>
      </c>
      <c r="B158">
        <v>4.2789797027474987E-3</v>
      </c>
      <c r="C158">
        <v>-1.7422586016895333E-2</v>
      </c>
      <c r="D158">
        <v>-1.8741918536841817E-2</v>
      </c>
      <c r="E158">
        <v>296.32166507942077</v>
      </c>
      <c r="F158">
        <v>19.399999999999999</v>
      </c>
      <c r="G158">
        <v>20.17446</v>
      </c>
      <c r="H158">
        <v>9.0418329922130666E-3</v>
      </c>
    </row>
    <row r="159" spans="1:8" x14ac:dyDescent="0.35">
      <c r="A159" t="s">
        <v>172</v>
      </c>
      <c r="B159">
        <v>1.2927931007503544E-3</v>
      </c>
      <c r="C159">
        <v>-1.7724244824588495E-2</v>
      </c>
      <c r="D159">
        <v>-1.7947767818046762E-2</v>
      </c>
      <c r="E159">
        <v>327.79795855688673</v>
      </c>
      <c r="F159">
        <v>20.7</v>
      </c>
      <c r="G159">
        <v>20.68244</v>
      </c>
      <c r="H159">
        <v>8.8597312508979335E-3</v>
      </c>
    </row>
    <row r="160" spans="1:8" x14ac:dyDescent="0.35">
      <c r="A160" t="s">
        <v>173</v>
      </c>
      <c r="B160">
        <v>3.2457644294861819E-4</v>
      </c>
      <c r="C160">
        <v>-3.5066730072093016E-2</v>
      </c>
      <c r="D160">
        <v>-3.6484390540453292E-2</v>
      </c>
      <c r="E160">
        <v>382.92593225825669</v>
      </c>
      <c r="F160">
        <v>18.7</v>
      </c>
      <c r="G160">
        <v>21.1126</v>
      </c>
      <c r="H160">
        <v>1.4494729330884387E-2</v>
      </c>
    </row>
    <row r="161" spans="1:8" x14ac:dyDescent="0.35">
      <c r="A161" t="s">
        <v>174</v>
      </c>
      <c r="B161">
        <v>1.2684592825565907E-3</v>
      </c>
      <c r="C161">
        <v>-6.0540704021819622E-3</v>
      </c>
      <c r="D161">
        <v>-8.661053043037624E-3</v>
      </c>
      <c r="E161">
        <v>269.84014918480949</v>
      </c>
      <c r="F161">
        <v>15.78</v>
      </c>
      <c r="G161">
        <v>19.22747</v>
      </c>
      <c r="H161">
        <v>4.8950045648123025E-3</v>
      </c>
    </row>
    <row r="162" spans="1:8" x14ac:dyDescent="0.35">
      <c r="A162" t="s">
        <v>175</v>
      </c>
      <c r="B162">
        <v>-2.6928687904967498E-3</v>
      </c>
      <c r="C162">
        <v>-1.7040349071112567E-2</v>
      </c>
      <c r="D162">
        <v>-1.7120230183235791E-2</v>
      </c>
      <c r="E162">
        <v>295.31020944796518</v>
      </c>
      <c r="F162">
        <v>17.940000000000001</v>
      </c>
      <c r="G162">
        <v>21.256530000000001</v>
      </c>
      <c r="H162">
        <v>9.0813369801496357E-3</v>
      </c>
    </row>
    <row r="163" spans="1:8" x14ac:dyDescent="0.35">
      <c r="A163" t="s">
        <v>176</v>
      </c>
      <c r="B163">
        <v>1.8898381633742959E-3</v>
      </c>
      <c r="C163">
        <v>-1.0072269213682651E-2</v>
      </c>
      <c r="D163">
        <v>-1.0147883067506873E-2</v>
      </c>
      <c r="E163">
        <v>214.01936472039787</v>
      </c>
      <c r="F163">
        <v>13.59</v>
      </c>
      <c r="G163">
        <v>14.863659999999999</v>
      </c>
      <c r="H163">
        <v>7.5183451095079826E-3</v>
      </c>
    </row>
    <row r="164" spans="1:8" x14ac:dyDescent="0.35">
      <c r="A164" t="s">
        <v>177</v>
      </c>
      <c r="B164">
        <v>6.2470802096458366E-4</v>
      </c>
      <c r="C164">
        <v>-2.9944001474593689E-2</v>
      </c>
      <c r="D164">
        <v>-3.1756773000750325E-2</v>
      </c>
      <c r="E164">
        <v>236.53628761213605</v>
      </c>
      <c r="F164">
        <v>13.63</v>
      </c>
      <c r="G164">
        <v>17.860399999999998</v>
      </c>
      <c r="H164">
        <v>1.0838586491981649E-2</v>
      </c>
    </row>
    <row r="165" spans="1:8" x14ac:dyDescent="0.35">
      <c r="A165" t="s">
        <v>178</v>
      </c>
      <c r="B165">
        <v>-1.1641700035366085E-3</v>
      </c>
      <c r="C165">
        <v>-1.2667442176381346E-2</v>
      </c>
      <c r="D165">
        <v>-1.2669577281891319E-2</v>
      </c>
      <c r="E165">
        <v>152.65545620310249</v>
      </c>
      <c r="F165">
        <v>13.57</v>
      </c>
      <c r="G165">
        <v>17.411549999999998</v>
      </c>
      <c r="H165">
        <v>9.0744658547894791E-3</v>
      </c>
    </row>
    <row r="166" spans="1:8" x14ac:dyDescent="0.35">
      <c r="A166" t="s">
        <v>179</v>
      </c>
      <c r="B166">
        <v>-1.1970831670348224E-3</v>
      </c>
      <c r="C166">
        <v>-1.5867532554346812E-2</v>
      </c>
      <c r="D166">
        <v>-1.6073565902909717E-2</v>
      </c>
      <c r="E166">
        <v>243.34775610542962</v>
      </c>
      <c r="F166">
        <v>17.52</v>
      </c>
      <c r="G166">
        <v>18.48019</v>
      </c>
      <c r="H166">
        <v>7.3342688044121017E-3</v>
      </c>
    </row>
    <row r="167" spans="1:8" x14ac:dyDescent="0.35">
      <c r="A167" t="s">
        <v>180</v>
      </c>
      <c r="B167">
        <v>-1.617323831161039E-3</v>
      </c>
      <c r="C167">
        <v>-1.5160106940520723E-2</v>
      </c>
      <c r="D167">
        <v>-1.5308660911926087E-2</v>
      </c>
      <c r="E167">
        <v>261.82448721556221</v>
      </c>
      <c r="F167">
        <v>18.14</v>
      </c>
      <c r="G167">
        <v>20.840789999999998</v>
      </c>
      <c r="H167">
        <v>8.7679579811230559E-3</v>
      </c>
    </row>
    <row r="168" spans="1:8" x14ac:dyDescent="0.35">
      <c r="A168" t="s">
        <v>181</v>
      </c>
      <c r="B168">
        <v>2.7231394324351644E-3</v>
      </c>
      <c r="C168">
        <v>-9.0989548439909078E-3</v>
      </c>
      <c r="D168">
        <v>-9.693056179889423E-3</v>
      </c>
      <c r="E168">
        <v>282.45585540805524</v>
      </c>
      <c r="F168">
        <v>12.92</v>
      </c>
      <c r="G168">
        <v>15.04454</v>
      </c>
      <c r="H168">
        <v>6.8208281678384872E-3</v>
      </c>
    </row>
    <row r="169" spans="1:8" x14ac:dyDescent="0.35">
      <c r="A169" t="s">
        <v>182</v>
      </c>
      <c r="B169">
        <v>1.647117915764968E-3</v>
      </c>
      <c r="C169">
        <v>-4.853395180486832E-3</v>
      </c>
      <c r="D169">
        <v>-4.853395180486832E-3</v>
      </c>
      <c r="E169">
        <v>321.28587054361736</v>
      </c>
      <c r="F169">
        <v>12.45</v>
      </c>
      <c r="G169">
        <v>15.01905</v>
      </c>
      <c r="H169">
        <v>4.3899074379488475E-3</v>
      </c>
    </row>
    <row r="170" spans="1:8" x14ac:dyDescent="0.35">
      <c r="A170" t="s">
        <v>183</v>
      </c>
      <c r="B170">
        <v>6.792621801779814E-4</v>
      </c>
      <c r="C170">
        <v>-1.5155402868096008E-2</v>
      </c>
      <c r="D170">
        <v>-1.5927825162246976E-2</v>
      </c>
      <c r="E170">
        <v>274.02961157927189</v>
      </c>
      <c r="F170">
        <v>14.35</v>
      </c>
      <c r="G170">
        <v>16.078399999999998</v>
      </c>
      <c r="H170">
        <v>8.2529764908811469E-3</v>
      </c>
    </row>
    <row r="171" spans="1:8" x14ac:dyDescent="0.35">
      <c r="A171" t="s">
        <v>184</v>
      </c>
      <c r="B171">
        <v>1.6543469349622722E-3</v>
      </c>
      <c r="C171">
        <v>-8.8708316425560735E-3</v>
      </c>
      <c r="D171">
        <v>-8.920724272590639E-3</v>
      </c>
      <c r="E171">
        <v>243.01897814370966</v>
      </c>
      <c r="F171">
        <v>13.4</v>
      </c>
      <c r="G171">
        <v>14.885859999999999</v>
      </c>
      <c r="H171">
        <v>5.6051455935215294E-3</v>
      </c>
    </row>
    <row r="172" spans="1:8" x14ac:dyDescent="0.35">
      <c r="A172" t="s">
        <v>185</v>
      </c>
      <c r="B172">
        <v>1.725677129636314E-3</v>
      </c>
      <c r="C172">
        <v>-4.7732062458561032E-3</v>
      </c>
      <c r="D172">
        <v>-4.8452466866712009E-3</v>
      </c>
      <c r="E172">
        <v>187.76199681044591</v>
      </c>
      <c r="F172">
        <v>13.01</v>
      </c>
      <c r="G172">
        <v>14.443</v>
      </c>
      <c r="H172">
        <v>3.6558133305558457E-3</v>
      </c>
    </row>
    <row r="173" spans="1:8" x14ac:dyDescent="0.35">
      <c r="A173" t="s">
        <v>186</v>
      </c>
      <c r="B173">
        <v>-1.2993535605024154E-3</v>
      </c>
      <c r="C173">
        <v>-1.3787309741056181E-2</v>
      </c>
      <c r="D173">
        <v>-1.4082342057841793E-2</v>
      </c>
      <c r="E173">
        <v>169.77211747515921</v>
      </c>
      <c r="F173">
        <v>15.65</v>
      </c>
      <c r="G173">
        <v>16.62208</v>
      </c>
      <c r="H173">
        <v>6.8878473660416613E-3</v>
      </c>
    </row>
    <row r="174" spans="1:8" x14ac:dyDescent="0.35">
      <c r="A174" t="s">
        <v>187</v>
      </c>
      <c r="B174">
        <v>4.969395444674086E-5</v>
      </c>
      <c r="C174">
        <v>-1.5027787264717825E-2</v>
      </c>
      <c r="D174">
        <v>-1.5353431716966865E-2</v>
      </c>
      <c r="E174">
        <v>304.44627414088876</v>
      </c>
      <c r="F174">
        <v>12.92</v>
      </c>
      <c r="G174">
        <v>15.33592</v>
      </c>
      <c r="H174">
        <v>6.7836625015354011E-3</v>
      </c>
    </row>
    <row r="175" spans="1:8" x14ac:dyDescent="0.35">
      <c r="A175" t="s">
        <v>188</v>
      </c>
      <c r="B175">
        <v>-3.3198659707540058E-3</v>
      </c>
      <c r="C175">
        <v>-2.6582451089620103E-2</v>
      </c>
      <c r="D175">
        <v>-2.6922419733668875E-2</v>
      </c>
      <c r="E175">
        <v>409.27206139861443</v>
      </c>
      <c r="F175">
        <v>12.44</v>
      </c>
      <c r="G175">
        <v>19.606960000000001</v>
      </c>
      <c r="H175">
        <v>1.0961626146136777E-2</v>
      </c>
    </row>
    <row r="176" spans="1:8" x14ac:dyDescent="0.35">
      <c r="A176" t="s">
        <v>189</v>
      </c>
      <c r="B176">
        <v>3.0175315381569443E-4</v>
      </c>
      <c r="C176">
        <v>-1.4943415782298139E-2</v>
      </c>
      <c r="D176">
        <v>-1.5696561265320957E-2</v>
      </c>
      <c r="E176">
        <v>543.93255638476398</v>
      </c>
      <c r="F176">
        <v>16.36</v>
      </c>
      <c r="G176">
        <v>17.017040000000001</v>
      </c>
      <c r="H176">
        <v>9.2690840895933053E-3</v>
      </c>
    </row>
    <row r="177" spans="1:8" x14ac:dyDescent="0.35">
      <c r="A177" t="s">
        <v>190</v>
      </c>
      <c r="B177">
        <v>6.5597243308655035E-4</v>
      </c>
      <c r="C177">
        <v>-2.134488042356579E-2</v>
      </c>
      <c r="D177">
        <v>-2.1614134721195572E-2</v>
      </c>
      <c r="E177">
        <v>370.78547045325695</v>
      </c>
      <c r="F177">
        <v>15</v>
      </c>
      <c r="G177">
        <v>16.872800000000002</v>
      </c>
      <c r="H177">
        <v>9.8398770062456571E-3</v>
      </c>
    </row>
    <row r="178" spans="1:8" x14ac:dyDescent="0.35">
      <c r="A178" t="s">
        <v>191</v>
      </c>
      <c r="B178">
        <v>2.9943790878570835E-5</v>
      </c>
      <c r="C178">
        <v>-1.9730118565861349E-2</v>
      </c>
      <c r="D178">
        <v>-2.022944958509322E-2</v>
      </c>
      <c r="E178">
        <v>436.40558079951768</v>
      </c>
      <c r="F178">
        <v>16.73</v>
      </c>
      <c r="G178">
        <v>20.138529999999999</v>
      </c>
      <c r="H178">
        <v>1.1215820982116664E-2</v>
      </c>
    </row>
    <row r="179" spans="1:8" x14ac:dyDescent="0.35">
      <c r="A179" t="s">
        <v>192</v>
      </c>
      <c r="B179">
        <v>-1.6561092860652243E-3</v>
      </c>
      <c r="C179">
        <v>-1.282303056523698E-2</v>
      </c>
      <c r="D179">
        <v>-1.3259250656276532E-2</v>
      </c>
      <c r="E179">
        <v>322.28924141525732</v>
      </c>
      <c r="F179">
        <v>23.16</v>
      </c>
      <c r="G179">
        <v>23.603339999999999</v>
      </c>
      <c r="H179">
        <v>7.2085372396893986E-3</v>
      </c>
    </row>
    <row r="180" spans="1:8" x14ac:dyDescent="0.35">
      <c r="A180" t="s">
        <v>193</v>
      </c>
      <c r="B180">
        <v>-7.5262325027772303E-4</v>
      </c>
      <c r="C180">
        <v>-2.5733731976738936E-2</v>
      </c>
      <c r="D180">
        <v>-2.7284606395605732E-2</v>
      </c>
      <c r="E180">
        <v>486.84426373762193</v>
      </c>
      <c r="F180">
        <v>13.51</v>
      </c>
      <c r="G180">
        <v>17.92407</v>
      </c>
      <c r="H180">
        <v>9.3034758987202634E-3</v>
      </c>
    </row>
    <row r="181" spans="1:8" x14ac:dyDescent="0.35">
      <c r="A181" t="s">
        <v>194</v>
      </c>
      <c r="B181">
        <v>5.9914419331652633E-4</v>
      </c>
      <c r="C181">
        <v>-1.160008431681674E-2</v>
      </c>
      <c r="D181">
        <v>-1.2296641281544432E-2</v>
      </c>
      <c r="E181">
        <v>567.70885241349777</v>
      </c>
      <c r="F181">
        <v>17.350000000000001</v>
      </c>
      <c r="G181">
        <v>17.672920000000001</v>
      </c>
      <c r="H181">
        <v>6.8880759392993506E-3</v>
      </c>
    </row>
    <row r="182" spans="1:8" x14ac:dyDescent="0.35">
      <c r="A182" t="s">
        <v>195</v>
      </c>
      <c r="B182">
        <v>3.7937796712622439E-3</v>
      </c>
      <c r="C182">
        <v>-1.4111598089777232E-2</v>
      </c>
      <c r="D182">
        <v>-1.5200640460058805E-2</v>
      </c>
      <c r="E182">
        <v>563.13894380467332</v>
      </c>
      <c r="F182">
        <v>16.43</v>
      </c>
      <c r="G182">
        <v>16.003240000000002</v>
      </c>
      <c r="H182">
        <v>8.5876389609485446E-3</v>
      </c>
    </row>
    <row r="183" spans="1:8" x14ac:dyDescent="0.35">
      <c r="A183" t="s">
        <v>196</v>
      </c>
      <c r="B183">
        <v>1.0052761141669613E-3</v>
      </c>
      <c r="C183">
        <v>-1.2039032977539173E-2</v>
      </c>
      <c r="D183">
        <v>-1.2053225025490076E-2</v>
      </c>
      <c r="E183">
        <v>382.71304270809446</v>
      </c>
      <c r="F183">
        <v>19.63</v>
      </c>
      <c r="G183">
        <v>19.36608</v>
      </c>
      <c r="H183">
        <v>7.4931951722551184E-3</v>
      </c>
    </row>
    <row r="184" spans="1:8" x14ac:dyDescent="0.35">
      <c r="A184" t="s">
        <v>197</v>
      </c>
      <c r="B184">
        <v>-1.9222302928070174E-3</v>
      </c>
      <c r="C184">
        <v>-1.8413016915298366E-2</v>
      </c>
      <c r="D184">
        <v>-1.8685114841037381E-2</v>
      </c>
      <c r="E184">
        <v>536.66051366771819</v>
      </c>
      <c r="F184">
        <v>22.28</v>
      </c>
      <c r="G184">
        <v>23.943390000000001</v>
      </c>
      <c r="H184">
        <v>1.0009677325051163E-2</v>
      </c>
    </row>
    <row r="185" spans="1:8" x14ac:dyDescent="0.35">
      <c r="A185" t="s">
        <v>198</v>
      </c>
      <c r="B185">
        <v>-1.9532917929011686E-3</v>
      </c>
      <c r="C185">
        <v>-4.4660229616703899E-2</v>
      </c>
      <c r="D185">
        <v>-4.8992797774612858E-2</v>
      </c>
      <c r="E185">
        <v>619.74813667375247</v>
      </c>
      <c r="F185">
        <v>22.28</v>
      </c>
      <c r="G185">
        <v>0</v>
      </c>
      <c r="H185">
        <v>2.4797797836220742E-2</v>
      </c>
    </row>
    <row r="186" spans="1:8" x14ac:dyDescent="0.35">
      <c r="A186" s="17" t="s">
        <v>325</v>
      </c>
      <c r="B186" s="17">
        <v>4.113803566044384E-4</v>
      </c>
      <c r="C186" s="17">
        <v>-2.1134429223590503E-2</v>
      </c>
      <c r="D186" s="17">
        <v>-2.2505474630640291E-2</v>
      </c>
      <c r="E186" s="17">
        <v>276.61507778670716</v>
      </c>
      <c r="F186" s="17">
        <v>18.659130434782611</v>
      </c>
      <c r="G186" s="17">
        <v>25.63956782608696</v>
      </c>
      <c r="H186" s="17">
        <v>1.0963465228548444E-2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37DF-6982-4858-B9F0-8F3504A22702}">
  <dimension ref="A1:M185"/>
  <sheetViews>
    <sheetView topLeftCell="N12" zoomScale="60" zoomScaleNormal="60" workbookViewId="0">
      <selection activeCell="AK84" sqref="AK84"/>
    </sheetView>
  </sheetViews>
  <sheetFormatPr baseColWidth="10" defaultRowHeight="14.5" x14ac:dyDescent="0.35"/>
  <cols>
    <col min="4" max="4" width="13" bestFit="1" customWidth="1"/>
    <col min="5" max="7" width="12.453125" bestFit="1" customWidth="1"/>
  </cols>
  <sheetData>
    <row r="1" spans="1:13" x14ac:dyDescent="0.35">
      <c r="A1" s="3" t="s">
        <v>204</v>
      </c>
      <c r="B1" s="3" t="s">
        <v>328</v>
      </c>
      <c r="C1" s="3" t="s">
        <v>329</v>
      </c>
      <c r="D1" s="3" t="s">
        <v>330</v>
      </c>
      <c r="E1" s="3" t="s">
        <v>331</v>
      </c>
      <c r="F1" s="3" t="s">
        <v>221</v>
      </c>
      <c r="G1" s="3" t="s">
        <v>332</v>
      </c>
      <c r="H1" s="3" t="s">
        <v>333</v>
      </c>
      <c r="I1" s="3" t="s">
        <v>334</v>
      </c>
      <c r="J1" s="3" t="s">
        <v>335</v>
      </c>
      <c r="K1" s="3" t="s">
        <v>336</v>
      </c>
      <c r="L1" s="3" t="s">
        <v>337</v>
      </c>
      <c r="M1" s="3" t="s">
        <v>338</v>
      </c>
    </row>
    <row r="2" spans="1:13" x14ac:dyDescent="0.35">
      <c r="A2" s="2" t="s">
        <v>15</v>
      </c>
      <c r="B2">
        <v>-1.8926147238837492E-2</v>
      </c>
      <c r="C2">
        <v>-1.8926147238837492E-2</v>
      </c>
      <c r="D2">
        <v>-2.3806854401359545E-2</v>
      </c>
      <c r="E2">
        <v>-2.3806854401359545E-2</v>
      </c>
      <c r="F2">
        <v>-2.4755869500105197E-2</v>
      </c>
      <c r="G2">
        <v>-2.4755869500105197E-2</v>
      </c>
      <c r="H2">
        <v>-2.7255533807051268E-2</v>
      </c>
      <c r="I2">
        <v>-2.7255533807051268E-2</v>
      </c>
      <c r="J2">
        <v>-2.1128600379992767E-2</v>
      </c>
      <c r="K2">
        <v>-2.1128600379992767E-2</v>
      </c>
      <c r="L2">
        <v>-2.0336729056880932E-2</v>
      </c>
      <c r="M2">
        <v>-2.0336729056880932E-2</v>
      </c>
    </row>
    <row r="3" spans="1:13" x14ac:dyDescent="0.35">
      <c r="A3" s="2" t="s">
        <v>16</v>
      </c>
      <c r="B3">
        <v>-2.1950385642803303E-2</v>
      </c>
      <c r="C3">
        <v>-2.2106737374190558E-2</v>
      </c>
      <c r="D3">
        <v>-3.4914396729906254E-2</v>
      </c>
      <c r="E3">
        <v>-3.5257259373100563E-2</v>
      </c>
      <c r="F3">
        <v>-3.4730558750733165E-2</v>
      </c>
      <c r="G3">
        <v>-3.5090063245289974E-2</v>
      </c>
      <c r="H3">
        <v>-5.9402440047720335E-2</v>
      </c>
      <c r="I3">
        <v>-6.1230380909932304E-2</v>
      </c>
      <c r="J3">
        <v>-2.4446684619835575E-2</v>
      </c>
      <c r="K3">
        <v>-2.4784117440589219E-2</v>
      </c>
      <c r="L3">
        <v>-3.4269566290219183E-2</v>
      </c>
      <c r="M3">
        <v>-3.4607018087643139E-2</v>
      </c>
    </row>
    <row r="4" spans="1:13" x14ac:dyDescent="0.35">
      <c r="A4" s="2" t="s">
        <v>17</v>
      </c>
      <c r="B4">
        <v>-7.4927886038323862E-3</v>
      </c>
      <c r="C4">
        <v>-7.5605710509466595E-3</v>
      </c>
      <c r="D4">
        <v>-8.9155171405747059E-3</v>
      </c>
      <c r="E4">
        <v>-9.6414107438156649E-3</v>
      </c>
      <c r="F4">
        <v>-8.1900687105120797E-3</v>
      </c>
      <c r="G4">
        <v>-8.5432984765582178E-3</v>
      </c>
      <c r="H4">
        <v>-1.1866262623054447E-2</v>
      </c>
      <c r="I4">
        <v>-1.188350176577042E-2</v>
      </c>
      <c r="J4">
        <v>-6.6072181441897771E-3</v>
      </c>
      <c r="K4">
        <v>-7.0134741394852415E-3</v>
      </c>
      <c r="L4">
        <v>-8.4661261850900536E-3</v>
      </c>
      <c r="M4">
        <v>-9.3345658997797693E-3</v>
      </c>
    </row>
    <row r="5" spans="1:13" x14ac:dyDescent="0.35">
      <c r="A5" s="2" t="s">
        <v>18</v>
      </c>
      <c r="B5">
        <v>-2.8966625324511896E-2</v>
      </c>
      <c r="C5">
        <v>-2.9619923373066803E-2</v>
      </c>
      <c r="D5">
        <v>-3.6612228199559449E-2</v>
      </c>
      <c r="E5">
        <v>-3.7426894375161571E-2</v>
      </c>
      <c r="F5">
        <v>-3.2890712253285548E-2</v>
      </c>
      <c r="G5">
        <v>-3.3327686570369157E-2</v>
      </c>
      <c r="H5">
        <v>-4.2187262267286321E-2</v>
      </c>
      <c r="I5">
        <v>-4.280725650371324E-2</v>
      </c>
      <c r="J5">
        <v>-2.7139354319967265E-2</v>
      </c>
      <c r="K5">
        <v>-2.7634705765569232E-2</v>
      </c>
      <c r="L5">
        <v>-3.8004846188281927E-2</v>
      </c>
      <c r="M5">
        <v>-3.8972081812495389E-2</v>
      </c>
    </row>
    <row r="6" spans="1:13" x14ac:dyDescent="0.35">
      <c r="A6" s="2" t="s">
        <v>19</v>
      </c>
      <c r="B6">
        <v>-3.5754816554237685E-2</v>
      </c>
      <c r="C6">
        <v>-3.5754816554237685E-2</v>
      </c>
      <c r="D6">
        <v>-4.8223764664700464E-2</v>
      </c>
      <c r="E6">
        <v>-4.8223764664700464E-2</v>
      </c>
      <c r="F6">
        <v>-5.4005251859224841E-2</v>
      </c>
      <c r="G6">
        <v>-5.4005251859224841E-2</v>
      </c>
      <c r="H6">
        <v>-6.8738760524990825E-2</v>
      </c>
      <c r="I6">
        <v>-6.8738760524990825E-2</v>
      </c>
      <c r="J6">
        <v>-3.3241326671109975E-2</v>
      </c>
      <c r="K6">
        <v>-3.3241326671109975E-2</v>
      </c>
      <c r="L6">
        <v>-4.707360932319523E-2</v>
      </c>
      <c r="M6">
        <v>-4.707360932319523E-2</v>
      </c>
    </row>
    <row r="7" spans="1:13" x14ac:dyDescent="0.35">
      <c r="A7" s="2" t="s">
        <v>20</v>
      </c>
      <c r="B7">
        <v>-2.3735589468149815E-2</v>
      </c>
      <c r="C7">
        <v>-2.4459002380842237E-2</v>
      </c>
      <c r="D7">
        <v>-4.1212742013719314E-2</v>
      </c>
      <c r="E7">
        <v>-4.3003672951539902E-2</v>
      </c>
      <c r="F7">
        <v>-4.4428003721429944E-2</v>
      </c>
      <c r="G7">
        <v>-4.5444502575244225E-2</v>
      </c>
      <c r="H7">
        <v>-5.3458544951963526E-2</v>
      </c>
      <c r="I7">
        <v>-5.6049769303615167E-2</v>
      </c>
      <c r="J7">
        <v>-3.1704489047915681E-2</v>
      </c>
      <c r="K7">
        <v>-3.3893039137552747E-2</v>
      </c>
      <c r="L7">
        <v>-3.9150335322432027E-2</v>
      </c>
      <c r="M7">
        <v>-4.0939086753241698E-2</v>
      </c>
    </row>
    <row r="8" spans="1:13" x14ac:dyDescent="0.35">
      <c r="A8" s="2" t="s">
        <v>21</v>
      </c>
      <c r="B8">
        <v>-2.6703335147708646E-2</v>
      </c>
      <c r="C8">
        <v>-2.8418048394442542E-2</v>
      </c>
      <c r="D8">
        <v>-2.1461319271563997E-2</v>
      </c>
      <c r="E8">
        <v>-2.1473850316550708E-2</v>
      </c>
      <c r="F8">
        <v>-1.8709813019539036E-2</v>
      </c>
      <c r="G8">
        <v>-1.9239129249986893E-2</v>
      </c>
      <c r="H8">
        <v>-1.6479167440148466E-2</v>
      </c>
      <c r="I8">
        <v>-1.6723378642626806E-2</v>
      </c>
      <c r="J8">
        <v>-1.8227387950396117E-2</v>
      </c>
      <c r="K8">
        <v>-1.8285286101361417E-2</v>
      </c>
      <c r="L8">
        <v>-2.9274168669556733E-2</v>
      </c>
      <c r="M8">
        <v>-3.0370368543586879E-2</v>
      </c>
    </row>
    <row r="9" spans="1:13" x14ac:dyDescent="0.35">
      <c r="A9" s="2" t="s">
        <v>22</v>
      </c>
      <c r="B9">
        <v>-1.8740736391713728E-2</v>
      </c>
      <c r="C9">
        <v>-1.9101341276684166E-2</v>
      </c>
      <c r="D9">
        <v>-2.6705171594100619E-2</v>
      </c>
      <c r="E9">
        <v>-2.7466436299235921E-2</v>
      </c>
      <c r="F9">
        <v>-3.1357141420582609E-2</v>
      </c>
      <c r="G9">
        <v>-3.2539398197996589E-2</v>
      </c>
      <c r="H9">
        <v>-3.1090270771353967E-2</v>
      </c>
      <c r="I9">
        <v>-3.2591431656530973E-2</v>
      </c>
      <c r="J9">
        <v>-2.0939491057061502E-2</v>
      </c>
      <c r="K9">
        <v>-2.1251056953246861E-2</v>
      </c>
      <c r="L9">
        <v>-2.7114253636236076E-2</v>
      </c>
      <c r="M9">
        <v>-2.7802254639829393E-2</v>
      </c>
    </row>
    <row r="10" spans="1:13" x14ac:dyDescent="0.35">
      <c r="A10" s="2" t="s">
        <v>23</v>
      </c>
      <c r="B10">
        <v>-1.5241201100306967E-2</v>
      </c>
      <c r="C10">
        <v>-1.6174316450981208E-2</v>
      </c>
      <c r="D10">
        <v>-1.4278477365360469E-2</v>
      </c>
      <c r="E10">
        <v>-1.5063414408993453E-2</v>
      </c>
      <c r="F10">
        <v>-1.7466639426002368E-2</v>
      </c>
      <c r="G10">
        <v>-1.826692771931961E-2</v>
      </c>
      <c r="H10">
        <v>-1.857341774425076E-2</v>
      </c>
      <c r="I10">
        <v>-1.9449240267379764E-2</v>
      </c>
      <c r="J10">
        <v>-1.0172535170953966E-2</v>
      </c>
      <c r="K10">
        <v>-1.0837709437942251E-2</v>
      </c>
      <c r="L10">
        <v>-1.2832338512792035E-2</v>
      </c>
      <c r="M10">
        <v>-1.312614847211817E-2</v>
      </c>
    </row>
    <row r="11" spans="1:13" x14ac:dyDescent="0.35">
      <c r="A11" s="2" t="s">
        <v>24</v>
      </c>
      <c r="B11">
        <v>-9.1749083811467711E-3</v>
      </c>
      <c r="C11">
        <v>-9.4001811300047974E-3</v>
      </c>
      <c r="D11">
        <v>-1.1509630334435653E-2</v>
      </c>
      <c r="E11">
        <v>-1.1737496110470706E-2</v>
      </c>
      <c r="F11">
        <v>-1.3909931366004998E-2</v>
      </c>
      <c r="G11">
        <v>-1.4836407691748037E-2</v>
      </c>
      <c r="H11">
        <v>-8.8495792089510004E-3</v>
      </c>
      <c r="I11">
        <v>-9.0893224574714552E-3</v>
      </c>
      <c r="J11">
        <v>-1.1940718142558867E-2</v>
      </c>
      <c r="K11">
        <v>-1.2495353151169784E-2</v>
      </c>
      <c r="L11">
        <v>-1.132795769592598E-2</v>
      </c>
      <c r="M11">
        <v>-1.1517581929928283E-2</v>
      </c>
    </row>
    <row r="12" spans="1:13" x14ac:dyDescent="0.35">
      <c r="A12" s="2" t="s">
        <v>25</v>
      </c>
      <c r="B12">
        <v>-2.5012047397738688E-2</v>
      </c>
      <c r="C12">
        <v>-2.6976249648764831E-2</v>
      </c>
      <c r="D12">
        <v>-2.5788139839396047E-2</v>
      </c>
      <c r="E12">
        <v>-2.5965283743333525E-2</v>
      </c>
      <c r="F12">
        <v>-2.666963369057233E-2</v>
      </c>
      <c r="G12">
        <v>-2.7067419968776128E-2</v>
      </c>
      <c r="H12">
        <v>-3.037825877120244E-2</v>
      </c>
      <c r="I12">
        <v>-3.0944861012859239E-2</v>
      </c>
      <c r="J12">
        <v>-2.1781473364531852E-2</v>
      </c>
      <c r="K12">
        <v>-2.2295240664135973E-2</v>
      </c>
      <c r="L12">
        <v>-2.6443264581158508E-2</v>
      </c>
      <c r="M12">
        <v>-2.6689369601376391E-2</v>
      </c>
    </row>
    <row r="13" spans="1:13" x14ac:dyDescent="0.35">
      <c r="A13" s="2" t="s">
        <v>26</v>
      </c>
      <c r="B13">
        <v>-1.5725571185728988E-2</v>
      </c>
      <c r="C13">
        <v>-1.5725571185728988E-2</v>
      </c>
      <c r="D13">
        <v>-1.2106509637262669E-2</v>
      </c>
      <c r="E13">
        <v>-1.2106509637262669E-2</v>
      </c>
      <c r="F13">
        <v>-1.4711981208040646E-2</v>
      </c>
      <c r="G13">
        <v>-1.4711981208040646E-2</v>
      </c>
      <c r="H13">
        <v>-1.5159541769532592E-2</v>
      </c>
      <c r="I13">
        <v>-1.5159541769532592E-2</v>
      </c>
      <c r="J13">
        <v>-1.1686975114596822E-2</v>
      </c>
      <c r="K13">
        <v>-1.1686975114596822E-2</v>
      </c>
      <c r="L13">
        <v>-1.0305707371435753E-2</v>
      </c>
      <c r="M13">
        <v>-1.0305707371435753E-2</v>
      </c>
    </row>
    <row r="14" spans="1:13" x14ac:dyDescent="0.35">
      <c r="A14" s="2" t="s">
        <v>27</v>
      </c>
      <c r="B14">
        <v>-2.300463871188323E-2</v>
      </c>
      <c r="C14">
        <v>-2.3136273384352889E-2</v>
      </c>
      <c r="D14">
        <v>-1.6760720877214429E-2</v>
      </c>
      <c r="E14">
        <v>-1.7012044049628663E-2</v>
      </c>
      <c r="F14">
        <v>-2.3291567477674226E-2</v>
      </c>
      <c r="G14">
        <v>-2.3837440983223008E-2</v>
      </c>
      <c r="H14">
        <v>-1.4709086236753361E-2</v>
      </c>
      <c r="I14">
        <v>-1.474325115243354E-2</v>
      </c>
      <c r="J14">
        <v>-1.2921048918942411E-2</v>
      </c>
      <c r="K14">
        <v>-1.3152041457908246E-2</v>
      </c>
      <c r="L14">
        <v>-1.6457913987091954E-2</v>
      </c>
      <c r="M14">
        <v>-1.6576600844849878E-2</v>
      </c>
    </row>
    <row r="15" spans="1:13" x14ac:dyDescent="0.35">
      <c r="A15" s="2" t="s">
        <v>28</v>
      </c>
      <c r="B15">
        <v>-1.4200782286099056E-2</v>
      </c>
      <c r="C15">
        <v>-1.4272771371528832E-2</v>
      </c>
      <c r="D15">
        <v>-1.7877116179003557E-2</v>
      </c>
      <c r="E15">
        <v>-1.830869813192532E-2</v>
      </c>
      <c r="F15">
        <v>-3.5309631468476183E-2</v>
      </c>
      <c r="G15">
        <v>-3.6605724989055545E-2</v>
      </c>
      <c r="H15">
        <v>-2.3055319581112482E-2</v>
      </c>
      <c r="I15">
        <v>-2.3549212889412564E-2</v>
      </c>
      <c r="J15">
        <v>-1.6913383735274616E-2</v>
      </c>
      <c r="K15">
        <v>-1.7054148097233691E-2</v>
      </c>
      <c r="L15">
        <v>-1.4327233562842762E-2</v>
      </c>
      <c r="M15">
        <v>-1.4472271054620674E-2</v>
      </c>
    </row>
    <row r="16" spans="1:13" x14ac:dyDescent="0.35">
      <c r="A16" s="2" t="s">
        <v>29</v>
      </c>
      <c r="B16">
        <v>-1.816718651844898E-2</v>
      </c>
      <c r="C16">
        <v>-1.8278320474716395E-2</v>
      </c>
      <c r="D16">
        <v>-2.3853377847577201E-2</v>
      </c>
      <c r="E16">
        <v>-2.4098492260903614E-2</v>
      </c>
      <c r="F16">
        <v>-2.4109926162205385E-2</v>
      </c>
      <c r="G16">
        <v>-2.5053576660109232E-2</v>
      </c>
      <c r="H16">
        <v>-2.1501272654014136E-2</v>
      </c>
      <c r="I16">
        <v>-2.3220759039845495E-2</v>
      </c>
      <c r="J16">
        <v>-2.999398120496544E-2</v>
      </c>
      <c r="K16">
        <v>-3.2408534263017381E-2</v>
      </c>
      <c r="L16">
        <v>-2.4814054352751337E-2</v>
      </c>
      <c r="M16">
        <v>-2.5381019285010398E-2</v>
      </c>
    </row>
    <row r="17" spans="1:13" x14ac:dyDescent="0.35">
      <c r="A17" s="2" t="s">
        <v>30</v>
      </c>
      <c r="B17">
        <v>-1.3095019512933483E-2</v>
      </c>
      <c r="C17">
        <v>-2.3921820030615916E-2</v>
      </c>
      <c r="D17">
        <v>-1.5857986009317111E-2</v>
      </c>
      <c r="E17">
        <v>-2.465527237181727E-2</v>
      </c>
      <c r="F17">
        <v>-1.7746545663505524E-2</v>
      </c>
      <c r="G17">
        <v>-2.9606917027677693E-2</v>
      </c>
      <c r="H17">
        <v>-1.6034467069995596E-2</v>
      </c>
      <c r="I17">
        <v>-2.0447049086370024E-2</v>
      </c>
      <c r="J17">
        <v>-1.5311953325579806E-2</v>
      </c>
      <c r="K17">
        <v>-2.1322667388996665E-2</v>
      </c>
      <c r="L17">
        <v>-1.6732208654312124E-2</v>
      </c>
      <c r="M17">
        <v>-2.3739231732062827E-2</v>
      </c>
    </row>
    <row r="18" spans="1:13" x14ac:dyDescent="0.35">
      <c r="A18" s="2" t="s">
        <v>31</v>
      </c>
      <c r="B18">
        <v>-1.6832895124464519E-2</v>
      </c>
      <c r="C18">
        <v>-1.6847865397786179E-2</v>
      </c>
      <c r="D18">
        <v>-2.0952326222377464E-2</v>
      </c>
      <c r="E18">
        <v>-2.1147198266583758E-2</v>
      </c>
      <c r="F18">
        <v>-3.2942038370812964E-2</v>
      </c>
      <c r="G18">
        <v>-3.3723006982009633E-2</v>
      </c>
      <c r="H18">
        <v>-2.0103416897604361E-2</v>
      </c>
      <c r="I18">
        <v>-2.0394103253296561E-2</v>
      </c>
      <c r="J18">
        <v>-2.0081541605876444E-2</v>
      </c>
      <c r="K18">
        <v>-2.0197596036075849E-2</v>
      </c>
      <c r="L18">
        <v>-2.0837406582410203E-2</v>
      </c>
      <c r="M18">
        <v>-2.123954375232482E-2</v>
      </c>
    </row>
    <row r="19" spans="1:13" x14ac:dyDescent="0.35">
      <c r="A19" s="2" t="s">
        <v>32</v>
      </c>
      <c r="B19">
        <v>-1.9032900908756058E-2</v>
      </c>
      <c r="C19">
        <v>-1.9564874300124768E-2</v>
      </c>
      <c r="D19">
        <v>-2.2391252527640734E-2</v>
      </c>
      <c r="E19">
        <v>-2.3240573112132578E-2</v>
      </c>
      <c r="F19">
        <v>-2.678238823974867E-2</v>
      </c>
      <c r="G19">
        <v>-2.7649509394545448E-2</v>
      </c>
      <c r="H19">
        <v>-2.6888623898649808E-2</v>
      </c>
      <c r="I19">
        <v>-2.8124498574325169E-2</v>
      </c>
      <c r="J19">
        <v>-1.9724723681635706E-2</v>
      </c>
      <c r="K19">
        <v>-2.0055879690980424E-2</v>
      </c>
      <c r="L19">
        <v>-2.14239835266338E-2</v>
      </c>
      <c r="M19">
        <v>-2.1825714003503794E-2</v>
      </c>
    </row>
    <row r="20" spans="1:13" x14ac:dyDescent="0.35">
      <c r="A20" s="2" t="s">
        <v>33</v>
      </c>
      <c r="B20">
        <v>-1.6146308785026132E-2</v>
      </c>
      <c r="C20">
        <v>-1.6924324506873693E-2</v>
      </c>
      <c r="D20">
        <v>-2.8500025885579816E-2</v>
      </c>
      <c r="E20">
        <v>-2.9442612023332773E-2</v>
      </c>
      <c r="F20">
        <v>-3.9916839639104904E-2</v>
      </c>
      <c r="G20">
        <v>-4.042261857183993E-2</v>
      </c>
      <c r="H20">
        <v>-2.7128924787556789E-2</v>
      </c>
      <c r="I20">
        <v>-2.7295562641089045E-2</v>
      </c>
      <c r="J20">
        <v>-2.278390543416399E-2</v>
      </c>
      <c r="K20">
        <v>-2.3575237375716398E-2</v>
      </c>
      <c r="L20">
        <v>-2.6779706177487126E-2</v>
      </c>
      <c r="M20">
        <v>-2.7469458289347246E-2</v>
      </c>
    </row>
    <row r="21" spans="1:13" x14ac:dyDescent="0.35">
      <c r="A21" s="4" t="s">
        <v>34</v>
      </c>
      <c r="B21" s="3">
        <v>-4.2158248308558868E-2</v>
      </c>
      <c r="C21" s="3">
        <v>-4.3171139776749634E-2</v>
      </c>
      <c r="D21">
        <v>-6.2352798893702238E-2</v>
      </c>
      <c r="E21">
        <v>-6.3181839038860349E-2</v>
      </c>
      <c r="F21">
        <v>-6.8271770506754884E-2</v>
      </c>
      <c r="G21">
        <v>-6.8809789905423857E-2</v>
      </c>
      <c r="H21">
        <v>-5.5652752015496278E-2</v>
      </c>
      <c r="I21">
        <v>-5.6483792381981701E-2</v>
      </c>
      <c r="J21">
        <v>-5.9220214130252344E-2</v>
      </c>
      <c r="K21">
        <v>-5.9946579643458765E-2</v>
      </c>
      <c r="L21">
        <v>-5.6319181825641898E-2</v>
      </c>
      <c r="M21">
        <v>-5.6346434663959041E-2</v>
      </c>
    </row>
    <row r="22" spans="1:13" x14ac:dyDescent="0.35">
      <c r="A22" s="2" t="s">
        <v>35</v>
      </c>
      <c r="B22">
        <v>-4.5115788076765494E-2</v>
      </c>
      <c r="C22">
        <v>-4.6605278398232031E-2</v>
      </c>
      <c r="D22">
        <v>-5.2102185062653003E-2</v>
      </c>
      <c r="E22">
        <v>-5.2438196733504229E-2</v>
      </c>
      <c r="F22">
        <v>-5.0415234612314799E-2</v>
      </c>
      <c r="G22">
        <v>-5.0582637356671428E-2</v>
      </c>
      <c r="H22">
        <v>-4.7935367196568053E-2</v>
      </c>
      <c r="I22">
        <v>-4.8043116522953309E-2</v>
      </c>
      <c r="J22">
        <v>-5.3696880783674392E-2</v>
      </c>
      <c r="K22">
        <v>-5.419281855978645E-2</v>
      </c>
      <c r="L22">
        <v>-5.3113488410767698E-2</v>
      </c>
      <c r="M22">
        <v>-5.3931739247359847E-2</v>
      </c>
    </row>
    <row r="23" spans="1:13" x14ac:dyDescent="0.35">
      <c r="A23" s="2" t="s">
        <v>36</v>
      </c>
      <c r="B23">
        <v>-3.0160571969556425E-2</v>
      </c>
      <c r="C23">
        <v>-3.2131358152793756E-2</v>
      </c>
      <c r="D23">
        <v>-3.1180322586165217E-2</v>
      </c>
      <c r="E23">
        <v>-3.1828876383301452E-2</v>
      </c>
      <c r="F23">
        <v>-3.8884226180071334E-2</v>
      </c>
      <c r="G23">
        <v>-3.8927173190491701E-2</v>
      </c>
      <c r="H23">
        <v>-2.9450723080659897E-2</v>
      </c>
      <c r="I23">
        <v>-2.9651278656465541E-2</v>
      </c>
      <c r="J23">
        <v>-3.2551292906554619E-2</v>
      </c>
      <c r="K23">
        <v>-3.2811673442283432E-2</v>
      </c>
      <c r="L23">
        <v>-3.1532432900251157E-2</v>
      </c>
      <c r="M23">
        <v>-3.2101817893642824E-2</v>
      </c>
    </row>
    <row r="24" spans="1:13" x14ac:dyDescent="0.35">
      <c r="A24" s="2" t="s">
        <v>37</v>
      </c>
      <c r="B24">
        <v>-3.2230808745870684E-2</v>
      </c>
      <c r="C24">
        <v>-3.5030845823136557E-2</v>
      </c>
      <c r="D24">
        <v>-5.115233932303892E-2</v>
      </c>
      <c r="E24">
        <v>-5.4046026152092884E-2</v>
      </c>
      <c r="F24">
        <v>-6.7165482230472445E-2</v>
      </c>
      <c r="G24">
        <v>-7.0441512576297827E-2</v>
      </c>
      <c r="H24">
        <v>-4.1702820732960402E-2</v>
      </c>
      <c r="I24">
        <v>-4.2813576137981209E-2</v>
      </c>
      <c r="J24">
        <v>-4.8674048696685457E-2</v>
      </c>
      <c r="K24">
        <v>-5.1252673184802568E-2</v>
      </c>
      <c r="L24">
        <v>-5.2216252947196111E-2</v>
      </c>
      <c r="M24">
        <v>-5.5316049424222635E-2</v>
      </c>
    </row>
    <row r="25" spans="1:13" x14ac:dyDescent="0.35">
      <c r="A25" s="2" t="s">
        <v>38</v>
      </c>
      <c r="B25">
        <v>-1.9075117354842731E-2</v>
      </c>
      <c r="C25">
        <v>-1.9575802059690731E-2</v>
      </c>
      <c r="D25">
        <v>-3.1362386566121531E-2</v>
      </c>
      <c r="E25">
        <v>-3.1715237151799053E-2</v>
      </c>
      <c r="F25">
        <v>-4.361560914149995E-2</v>
      </c>
      <c r="G25">
        <v>-4.3876446755877395E-2</v>
      </c>
      <c r="H25">
        <v>-3.1070033980593648E-2</v>
      </c>
      <c r="I25">
        <v>-3.1557399144656773E-2</v>
      </c>
      <c r="J25">
        <v>-3.350285889740235E-2</v>
      </c>
      <c r="K25">
        <v>-3.4199324439589118E-2</v>
      </c>
      <c r="L25">
        <v>-3.3504564942862101E-2</v>
      </c>
      <c r="M25">
        <v>-3.3876687195497107E-2</v>
      </c>
    </row>
    <row r="26" spans="1:13" x14ac:dyDescent="0.35">
      <c r="A26" s="2" t="s">
        <v>39</v>
      </c>
      <c r="B26">
        <v>-1.2358045555112033E-2</v>
      </c>
      <c r="C26">
        <v>-1.2433464351715492E-2</v>
      </c>
      <c r="D26">
        <v>-1.6661961742451742E-2</v>
      </c>
      <c r="E26">
        <v>-1.6887189780737836E-2</v>
      </c>
      <c r="F26">
        <v>-3.5544192624611184E-2</v>
      </c>
      <c r="G26">
        <v>-3.7208076880830485E-2</v>
      </c>
      <c r="H26">
        <v>-2.8585077745009867E-2</v>
      </c>
      <c r="I26">
        <v>-2.9828245888662997E-2</v>
      </c>
      <c r="J26">
        <v>-1.0278070359128092E-2</v>
      </c>
      <c r="K26">
        <v>-1.0424262163657725E-2</v>
      </c>
      <c r="L26">
        <v>-1.6129326141021562E-2</v>
      </c>
      <c r="M26">
        <v>-1.6135457290221183E-2</v>
      </c>
    </row>
    <row r="27" spans="1:13" x14ac:dyDescent="0.35">
      <c r="A27" s="2" t="s">
        <v>40</v>
      </c>
      <c r="B27">
        <v>-1.0046565417440418E-2</v>
      </c>
      <c r="C27">
        <v>-1.0283276908669302E-2</v>
      </c>
      <c r="D27">
        <v>-1.585305018802758E-2</v>
      </c>
      <c r="E27">
        <v>-1.6622077253064402E-2</v>
      </c>
      <c r="F27">
        <v>-1.7456288485643227E-2</v>
      </c>
      <c r="G27">
        <v>-1.7737321167346189E-2</v>
      </c>
      <c r="H27">
        <v>-2.0598388103957373E-2</v>
      </c>
      <c r="I27">
        <v>-2.1215036374917711E-2</v>
      </c>
      <c r="J27">
        <v>-1.3731456540784908E-2</v>
      </c>
      <c r="K27">
        <v>-1.4217967758523615E-2</v>
      </c>
      <c r="L27">
        <v>-1.4396004318346818E-2</v>
      </c>
      <c r="M27">
        <v>-1.517273530066989E-2</v>
      </c>
    </row>
    <row r="28" spans="1:13" x14ac:dyDescent="0.35">
      <c r="A28" s="2" t="s">
        <v>41</v>
      </c>
      <c r="B28">
        <v>-1.9057433230038747E-2</v>
      </c>
      <c r="C28">
        <v>-1.9905412786773956E-2</v>
      </c>
      <c r="D28">
        <v>-3.217910352570013E-2</v>
      </c>
      <c r="E28">
        <v>-3.4724342564821882E-2</v>
      </c>
      <c r="F28">
        <v>-3.4348114929431336E-2</v>
      </c>
      <c r="G28">
        <v>-3.4488276677581607E-2</v>
      </c>
      <c r="H28">
        <v>-3.231696412559467E-2</v>
      </c>
      <c r="I28">
        <v>-3.4527891210938175E-2</v>
      </c>
      <c r="J28">
        <v>-3.2062464762074153E-2</v>
      </c>
      <c r="K28">
        <v>-3.4574915433283532E-2</v>
      </c>
      <c r="L28">
        <v>-3.3373314924004499E-2</v>
      </c>
      <c r="M28">
        <v>-3.6494027980830963E-2</v>
      </c>
    </row>
    <row r="29" spans="1:13" x14ac:dyDescent="0.35">
      <c r="A29" s="2" t="s">
        <v>42</v>
      </c>
      <c r="B29">
        <v>-2.2998742849094488E-2</v>
      </c>
      <c r="C29">
        <v>-2.2998742849094488E-2</v>
      </c>
      <c r="D29">
        <v>-3.0129112044838865E-2</v>
      </c>
      <c r="E29">
        <v>-3.0129112044838865E-2</v>
      </c>
      <c r="F29">
        <v>-5.1040061525647239E-2</v>
      </c>
      <c r="G29">
        <v>-5.1040061525647239E-2</v>
      </c>
      <c r="H29">
        <v>-4.0704460209142167E-2</v>
      </c>
      <c r="I29">
        <v>-4.0704460209142167E-2</v>
      </c>
      <c r="J29">
        <v>-3.4225889690234469E-2</v>
      </c>
      <c r="K29">
        <v>-3.4225889690234469E-2</v>
      </c>
      <c r="L29">
        <v>-3.1271812338847065E-2</v>
      </c>
      <c r="M29">
        <v>-3.1271812338847065E-2</v>
      </c>
    </row>
    <row r="30" spans="1:13" x14ac:dyDescent="0.35">
      <c r="A30" s="2" t="s">
        <v>43</v>
      </c>
      <c r="B30">
        <v>-1.8148795870434591E-2</v>
      </c>
      <c r="C30">
        <v>-1.8196953806206013E-2</v>
      </c>
      <c r="D30">
        <v>-2.6822699334648713E-2</v>
      </c>
      <c r="E30">
        <v>-2.71804848604488E-2</v>
      </c>
      <c r="F30">
        <v>-3.6518846817210689E-2</v>
      </c>
      <c r="G30">
        <v>-3.7492514416145289E-2</v>
      </c>
      <c r="H30">
        <v>-3.3148321509557654E-2</v>
      </c>
      <c r="I30">
        <v>-3.3708483845384052E-2</v>
      </c>
      <c r="J30">
        <v>-2.3210185908322484E-2</v>
      </c>
      <c r="K30">
        <v>-2.3559910129754575E-2</v>
      </c>
      <c r="L30">
        <v>-2.6219616998057749E-2</v>
      </c>
      <c r="M30">
        <v>-2.6554943105215157E-2</v>
      </c>
    </row>
    <row r="31" spans="1:13" x14ac:dyDescent="0.35">
      <c r="A31" s="2" t="s">
        <v>44</v>
      </c>
      <c r="B31">
        <v>-1.691862352273963E-2</v>
      </c>
      <c r="C31">
        <v>-1.691862352273963E-2</v>
      </c>
      <c r="D31">
        <v>-2.5988603408694175E-2</v>
      </c>
      <c r="E31">
        <v>-2.5988603408694175E-2</v>
      </c>
      <c r="F31">
        <v>-4.1013225439491881E-2</v>
      </c>
      <c r="G31">
        <v>-4.1013225439491881E-2</v>
      </c>
      <c r="H31">
        <v>-3.7381299503334804E-2</v>
      </c>
      <c r="I31">
        <v>-3.7381299503334804E-2</v>
      </c>
      <c r="J31">
        <v>-3.477341618264166E-2</v>
      </c>
      <c r="K31">
        <v>-3.477341618264166E-2</v>
      </c>
      <c r="L31">
        <v>-2.2662580288914502E-2</v>
      </c>
      <c r="M31">
        <v>-2.2662580288914502E-2</v>
      </c>
    </row>
    <row r="32" spans="1:13" x14ac:dyDescent="0.35">
      <c r="A32" s="2" t="s">
        <v>45</v>
      </c>
      <c r="B32">
        <v>-2.340341173387029E-2</v>
      </c>
      <c r="C32">
        <v>-2.4824626703465885E-2</v>
      </c>
      <c r="D32">
        <v>-2.8328226997669848E-2</v>
      </c>
      <c r="E32">
        <v>-2.8690582758143904E-2</v>
      </c>
      <c r="F32">
        <v>-4.2314662208443862E-2</v>
      </c>
      <c r="G32">
        <v>-4.484004695290128E-2</v>
      </c>
      <c r="H32">
        <v>-5.6473654585394523E-2</v>
      </c>
      <c r="I32">
        <v>-6.0007595739989587E-2</v>
      </c>
      <c r="J32">
        <v>-3.0357200068210362E-2</v>
      </c>
      <c r="K32">
        <v>-3.2294069899346717E-2</v>
      </c>
      <c r="L32">
        <v>-2.8182989868335707E-2</v>
      </c>
      <c r="M32">
        <v>-2.9344071502311404E-2</v>
      </c>
    </row>
    <row r="33" spans="1:13" x14ac:dyDescent="0.35">
      <c r="A33" s="2" t="s">
        <v>46</v>
      </c>
      <c r="B33">
        <v>-1.2412115025802313E-2</v>
      </c>
      <c r="C33">
        <v>-1.3127999593207361E-2</v>
      </c>
      <c r="D33">
        <v>-2.8939627631311957E-2</v>
      </c>
      <c r="E33">
        <v>-3.0467425321718179E-2</v>
      </c>
      <c r="F33">
        <v>-4.4120720770660087E-2</v>
      </c>
      <c r="G33">
        <v>-4.7492418593466132E-2</v>
      </c>
      <c r="H33">
        <v>-5.0398029349712943E-2</v>
      </c>
      <c r="I33">
        <v>-5.2955075383574662E-2</v>
      </c>
      <c r="J33">
        <v>-2.1645112464478488E-2</v>
      </c>
      <c r="K33">
        <v>-2.2211076578129374E-2</v>
      </c>
      <c r="L33">
        <v>-2.5952457346496434E-2</v>
      </c>
      <c r="M33">
        <v>-2.7191094823623824E-2</v>
      </c>
    </row>
    <row r="34" spans="1:13" x14ac:dyDescent="0.35">
      <c r="A34" s="2" t="s">
        <v>47</v>
      </c>
      <c r="B34">
        <v>-1.2671148497758458E-2</v>
      </c>
      <c r="C34">
        <v>-1.2677299163388922E-2</v>
      </c>
      <c r="D34">
        <v>-2.7279266721123154E-2</v>
      </c>
      <c r="E34">
        <v>-2.7615727676001015E-2</v>
      </c>
      <c r="F34">
        <v>-3.3015429739302118E-2</v>
      </c>
      <c r="G34">
        <v>-3.3478522571137766E-2</v>
      </c>
      <c r="H34">
        <v>-3.8866917966943498E-2</v>
      </c>
      <c r="I34">
        <v>-4.0006832461666177E-2</v>
      </c>
      <c r="J34">
        <v>-1.979506240894318E-2</v>
      </c>
      <c r="K34">
        <v>-2.0216147736451643E-2</v>
      </c>
      <c r="L34">
        <v>-2.8385548096617124E-2</v>
      </c>
      <c r="M34">
        <v>-2.8570279064389557E-2</v>
      </c>
    </row>
    <row r="35" spans="1:13" x14ac:dyDescent="0.35">
      <c r="A35" s="2" t="s">
        <v>48</v>
      </c>
      <c r="B35">
        <v>-1.1752781342540201E-2</v>
      </c>
      <c r="C35">
        <v>-1.2622009512084717E-2</v>
      </c>
      <c r="D35">
        <v>-1.9781982163319115E-2</v>
      </c>
      <c r="E35">
        <v>-2.1234492271826385E-2</v>
      </c>
      <c r="F35">
        <v>-2.013191571240168E-2</v>
      </c>
      <c r="G35">
        <v>-2.0166835480088657E-2</v>
      </c>
      <c r="H35">
        <v>-2.2399608517518467E-2</v>
      </c>
      <c r="I35">
        <v>-2.3343572951818985E-2</v>
      </c>
      <c r="J35">
        <v>-1.993594871014618E-2</v>
      </c>
      <c r="K35">
        <v>-2.1289283913648767E-2</v>
      </c>
      <c r="L35">
        <v>-2.0768026566525859E-2</v>
      </c>
      <c r="M35">
        <v>-2.2280394779978261E-2</v>
      </c>
    </row>
    <row r="36" spans="1:13" x14ac:dyDescent="0.35">
      <c r="A36" s="2" t="s">
        <v>49</v>
      </c>
      <c r="B36">
        <v>-1.498506366743918E-2</v>
      </c>
      <c r="C36">
        <v>-1.5442186156664291E-2</v>
      </c>
      <c r="D36">
        <v>-2.1382393318974104E-2</v>
      </c>
      <c r="E36">
        <v>-2.2668785903327021E-2</v>
      </c>
      <c r="F36">
        <v>-2.4579593786369196E-2</v>
      </c>
      <c r="G36">
        <v>-2.5307164954761589E-2</v>
      </c>
      <c r="H36">
        <v>-2.2261049707302537E-2</v>
      </c>
      <c r="I36">
        <v>-2.2829301659031347E-2</v>
      </c>
      <c r="J36">
        <v>-1.8855122306197486E-2</v>
      </c>
      <c r="K36">
        <v>-1.9839685301029589E-2</v>
      </c>
      <c r="L36">
        <v>-1.8946896556114985E-2</v>
      </c>
      <c r="M36">
        <v>-2.0055112698893814E-2</v>
      </c>
    </row>
    <row r="37" spans="1:13" x14ac:dyDescent="0.35">
      <c r="A37" s="2" t="s">
        <v>50</v>
      </c>
      <c r="B37">
        <v>-5.505138472957187E-3</v>
      </c>
      <c r="C37">
        <v>-6.4717634322341696E-3</v>
      </c>
      <c r="D37">
        <v>-4.6771388252915477E-3</v>
      </c>
      <c r="E37">
        <v>-1.2521915904162139E-2</v>
      </c>
      <c r="F37">
        <v>-1.1347305239613751E-2</v>
      </c>
      <c r="G37">
        <v>-2.2234351889858003E-2</v>
      </c>
      <c r="H37">
        <v>-9.9787351694260885E-3</v>
      </c>
      <c r="I37">
        <v>-1.8267740916697302E-2</v>
      </c>
      <c r="J37">
        <v>-4.8884362187562192E-3</v>
      </c>
      <c r="K37">
        <v>-5.696797032907621E-3</v>
      </c>
      <c r="L37">
        <v>-4.1254685425178191E-3</v>
      </c>
      <c r="M37">
        <v>-1.4808667618251226E-2</v>
      </c>
    </row>
    <row r="38" spans="1:13" x14ac:dyDescent="0.35">
      <c r="A38" s="2" t="s">
        <v>51</v>
      </c>
      <c r="B38">
        <v>-6.7763064383981686E-3</v>
      </c>
      <c r="C38">
        <v>-6.8266441830861623E-3</v>
      </c>
      <c r="D38">
        <v>-1.00531806417931E-2</v>
      </c>
      <c r="E38">
        <v>-1.0722996528372096E-2</v>
      </c>
      <c r="F38">
        <v>-3.0255356905610535E-2</v>
      </c>
      <c r="G38">
        <v>-3.4225561016207148E-2</v>
      </c>
      <c r="H38">
        <v>-2.228156732954804E-2</v>
      </c>
      <c r="I38">
        <v>-2.4755902778969763E-2</v>
      </c>
      <c r="J38">
        <v>-6.9385853439948965E-3</v>
      </c>
      <c r="K38">
        <v>-6.9599117203718221E-3</v>
      </c>
      <c r="L38">
        <v>-8.4879116646800774E-3</v>
      </c>
      <c r="M38">
        <v>-8.7809241579029033E-3</v>
      </c>
    </row>
    <row r="39" spans="1:13" x14ac:dyDescent="0.35">
      <c r="A39" s="2" t="s">
        <v>52</v>
      </c>
      <c r="B39">
        <v>-9.3426862242219685E-3</v>
      </c>
      <c r="C39">
        <v>-9.4405826970184493E-3</v>
      </c>
      <c r="D39">
        <v>-3.1798527330357242E-2</v>
      </c>
      <c r="E39">
        <v>-3.1832498899709689E-2</v>
      </c>
      <c r="F39">
        <v>-4.9944093622649524E-2</v>
      </c>
      <c r="G39">
        <v>-5.014749475742096E-2</v>
      </c>
      <c r="H39">
        <v>-3.8114428615657017E-2</v>
      </c>
      <c r="I39">
        <v>-3.8408862519321303E-2</v>
      </c>
      <c r="J39">
        <v>-2.5113628361850517E-2</v>
      </c>
      <c r="K39">
        <v>-2.5229465553521829E-2</v>
      </c>
      <c r="L39">
        <v>-3.0397571610741508E-2</v>
      </c>
      <c r="M39">
        <v>-3.057234594306522E-2</v>
      </c>
    </row>
    <row r="40" spans="1:13" x14ac:dyDescent="0.35">
      <c r="A40" s="2" t="s">
        <v>53</v>
      </c>
      <c r="B40">
        <v>-7.9897079357728173E-3</v>
      </c>
      <c r="C40">
        <v>-8.0902242758127164E-3</v>
      </c>
      <c r="D40">
        <v>-1.2447787303425278E-2</v>
      </c>
      <c r="E40">
        <v>-1.2463364013329774E-2</v>
      </c>
      <c r="F40">
        <v>-2.4929756550999976E-2</v>
      </c>
      <c r="G40">
        <v>-2.5318591013778018E-2</v>
      </c>
      <c r="H40">
        <v>-2.290261333893992E-2</v>
      </c>
      <c r="I40">
        <v>-2.2939542995929485E-2</v>
      </c>
      <c r="J40">
        <v>-1.1419801595605791E-2</v>
      </c>
      <c r="K40">
        <v>-1.1561988192519744E-2</v>
      </c>
      <c r="L40">
        <v>-1.432391876474772E-2</v>
      </c>
      <c r="M40">
        <v>-1.4389267274336348E-2</v>
      </c>
    </row>
    <row r="41" spans="1:13" x14ac:dyDescent="0.35">
      <c r="A41" s="4" t="s">
        <v>54</v>
      </c>
      <c r="B41" s="3">
        <v>-1.6374318132155816E-2</v>
      </c>
      <c r="C41" s="3">
        <v>-1.69354683390729E-2</v>
      </c>
      <c r="D41">
        <v>-2.099849305151838E-2</v>
      </c>
      <c r="E41">
        <v>-2.1620935224606039E-2</v>
      </c>
      <c r="F41">
        <v>-2.2276640930490369E-2</v>
      </c>
      <c r="G41">
        <v>-2.3068894488482126E-2</v>
      </c>
      <c r="H41">
        <v>-1.8481592777682503E-2</v>
      </c>
      <c r="I41">
        <v>-1.8500118147855769E-2</v>
      </c>
      <c r="J41">
        <v>-2.3333835779934788E-2</v>
      </c>
      <c r="K41">
        <v>-2.3648489288975182E-2</v>
      </c>
      <c r="L41">
        <v>-2.3084926181806416E-2</v>
      </c>
      <c r="M41">
        <v>-2.3764951601235505E-2</v>
      </c>
    </row>
    <row r="42" spans="1:13" x14ac:dyDescent="0.35">
      <c r="A42" s="2" t="s">
        <v>55</v>
      </c>
      <c r="B42">
        <v>-2.2301400862437527E-2</v>
      </c>
      <c r="C42">
        <v>-2.2338248333308507E-2</v>
      </c>
      <c r="D42">
        <v>-2.059321170879504E-2</v>
      </c>
      <c r="E42">
        <v>-2.0753481506146341E-2</v>
      </c>
      <c r="F42">
        <v>-3.0345728934825969E-2</v>
      </c>
      <c r="G42">
        <v>-3.1086711431077902E-2</v>
      </c>
      <c r="H42">
        <v>-1.4105016352725186E-2</v>
      </c>
      <c r="I42">
        <v>-1.4138043418742887E-2</v>
      </c>
      <c r="J42">
        <v>-2.0993303259482395E-2</v>
      </c>
      <c r="K42">
        <v>-2.1195057191282649E-2</v>
      </c>
      <c r="L42">
        <v>-2.0848406792171783E-2</v>
      </c>
      <c r="M42">
        <v>-2.0942964875168751E-2</v>
      </c>
    </row>
    <row r="43" spans="1:13" x14ac:dyDescent="0.35">
      <c r="A43" s="2" t="s">
        <v>56</v>
      </c>
      <c r="B43">
        <v>-2.8425048774597519E-2</v>
      </c>
      <c r="C43">
        <v>-2.9082516428527206E-2</v>
      </c>
      <c r="D43">
        <v>-3.6012270063664552E-2</v>
      </c>
      <c r="E43">
        <v>-3.7014488384730558E-2</v>
      </c>
      <c r="F43">
        <v>-3.1179505030441344E-2</v>
      </c>
      <c r="G43">
        <v>-3.1418563172459224E-2</v>
      </c>
      <c r="H43">
        <v>-3.3929796683348362E-2</v>
      </c>
      <c r="I43">
        <v>-3.470110240231368E-2</v>
      </c>
      <c r="J43">
        <v>-3.2536722830334576E-2</v>
      </c>
      <c r="K43">
        <v>-3.3316653192384305E-2</v>
      </c>
      <c r="L43">
        <v>-3.6337597783142793E-2</v>
      </c>
      <c r="M43">
        <v>-3.7256888189702533E-2</v>
      </c>
    </row>
    <row r="44" spans="1:13" x14ac:dyDescent="0.35">
      <c r="A44" s="2" t="s">
        <v>57</v>
      </c>
      <c r="B44">
        <v>-1.1025270008154968E-2</v>
      </c>
      <c r="C44">
        <v>-1.1370976838816037E-2</v>
      </c>
      <c r="D44">
        <v>-1.7929956960765499E-2</v>
      </c>
      <c r="E44">
        <v>-1.9277475589045745E-2</v>
      </c>
      <c r="F44">
        <v>-1.7184172903072965E-2</v>
      </c>
      <c r="G44">
        <v>-1.7514416253616966E-2</v>
      </c>
      <c r="H44">
        <v>-2.2114196651262633E-2</v>
      </c>
      <c r="I44">
        <v>-2.3433552724176705E-2</v>
      </c>
      <c r="J44">
        <v>-2.1139788172367287E-2</v>
      </c>
      <c r="K44">
        <v>-2.3837369863132635E-2</v>
      </c>
      <c r="L44">
        <v>-1.3912197474813376E-2</v>
      </c>
      <c r="M44">
        <v>-1.4666090388188075E-2</v>
      </c>
    </row>
    <row r="45" spans="1:13" x14ac:dyDescent="0.35">
      <c r="A45" s="2" t="s">
        <v>58</v>
      </c>
      <c r="B45">
        <v>-1.1046216526803676E-2</v>
      </c>
      <c r="C45">
        <v>-1.110261099420885E-2</v>
      </c>
      <c r="D45">
        <v>-2.6841464479399897E-2</v>
      </c>
      <c r="E45">
        <v>-2.7544555064175739E-2</v>
      </c>
      <c r="F45">
        <v>-4.3956959895367943E-2</v>
      </c>
      <c r="G45">
        <v>-4.496063381183215E-2</v>
      </c>
      <c r="H45">
        <v>-3.3512566730637822E-2</v>
      </c>
      <c r="I45">
        <v>-3.4287467193559781E-2</v>
      </c>
      <c r="J45">
        <v>-2.0485033828823402E-2</v>
      </c>
      <c r="K45">
        <v>-2.0941306874860104E-2</v>
      </c>
      <c r="L45">
        <v>-2.4491852845788486E-2</v>
      </c>
      <c r="M45">
        <v>-2.5066625568686635E-2</v>
      </c>
    </row>
    <row r="46" spans="1:13" x14ac:dyDescent="0.35">
      <c r="A46" s="2" t="s">
        <v>59</v>
      </c>
      <c r="B46">
        <v>-9.1959156172364172E-3</v>
      </c>
      <c r="C46">
        <v>-9.5005827596453367E-3</v>
      </c>
      <c r="D46">
        <v>-8.8609617917754964E-3</v>
      </c>
      <c r="E46">
        <v>-9.0116893936251965E-3</v>
      </c>
      <c r="F46">
        <v>-1.3514218844482779E-2</v>
      </c>
      <c r="G46">
        <v>-1.3599498577825627E-2</v>
      </c>
      <c r="H46">
        <v>-6.6098168190030521E-3</v>
      </c>
      <c r="I46">
        <v>-6.8157342393272737E-3</v>
      </c>
      <c r="J46">
        <v>-7.7695145049578333E-3</v>
      </c>
      <c r="K46">
        <v>-7.7782439004305164E-3</v>
      </c>
      <c r="L46">
        <v>-1.0163371117737199E-2</v>
      </c>
      <c r="M46">
        <v>-1.0403192905549847E-2</v>
      </c>
    </row>
    <row r="47" spans="1:13" x14ac:dyDescent="0.35">
      <c r="A47" s="2" t="s">
        <v>60</v>
      </c>
      <c r="B47">
        <v>-1.1375394434164163E-2</v>
      </c>
      <c r="C47">
        <v>-1.220671544618564E-2</v>
      </c>
      <c r="D47">
        <v>-8.9019865181621735E-3</v>
      </c>
      <c r="E47">
        <v>-9.4377511731604628E-3</v>
      </c>
      <c r="F47">
        <v>-2.2204746694548926E-2</v>
      </c>
      <c r="G47">
        <v>-2.4098269238272213E-2</v>
      </c>
      <c r="H47">
        <v>-1.6911892989637023E-2</v>
      </c>
      <c r="I47">
        <v>-1.8608282435338699E-2</v>
      </c>
      <c r="J47">
        <v>-6.4357730976253285E-3</v>
      </c>
      <c r="K47">
        <v>-6.8966746323698026E-3</v>
      </c>
      <c r="L47">
        <v>-8.9871217197841444E-3</v>
      </c>
      <c r="M47">
        <v>-9.2020049044941373E-3</v>
      </c>
    </row>
    <row r="48" spans="1:13" x14ac:dyDescent="0.35">
      <c r="A48" s="2" t="s">
        <v>61</v>
      </c>
      <c r="B48">
        <v>-9.2566321571718232E-3</v>
      </c>
      <c r="C48">
        <v>-9.3409645301689211E-3</v>
      </c>
      <c r="D48">
        <v>-1.0262542460478053E-2</v>
      </c>
      <c r="E48">
        <v>-1.0482163420351735E-2</v>
      </c>
      <c r="F48">
        <v>-2.0631574944213811E-2</v>
      </c>
      <c r="G48">
        <v>-2.0936652989130774E-2</v>
      </c>
      <c r="H48">
        <v>-1.5202431827301936E-2</v>
      </c>
      <c r="I48">
        <v>-1.5793950074015219E-2</v>
      </c>
      <c r="J48">
        <v>-3.4860705356662717E-3</v>
      </c>
      <c r="K48">
        <v>-3.489931181002119E-3</v>
      </c>
      <c r="L48">
        <v>-1.0961877718603623E-2</v>
      </c>
      <c r="M48">
        <v>-1.126281402716286E-2</v>
      </c>
    </row>
    <row r="49" spans="1:13" x14ac:dyDescent="0.35">
      <c r="A49" s="2" t="s">
        <v>62</v>
      </c>
      <c r="B49">
        <v>-1.015811913424355E-2</v>
      </c>
      <c r="C49">
        <v>-1.0605399210328742E-2</v>
      </c>
      <c r="D49">
        <v>-1.4155505785219713E-2</v>
      </c>
      <c r="E49">
        <v>-2.0801556466399831E-2</v>
      </c>
      <c r="F49">
        <v>-1.7934795044482067E-2</v>
      </c>
      <c r="G49">
        <v>-1.9721221555108397E-2</v>
      </c>
      <c r="H49">
        <v>-1.469511490809461E-2</v>
      </c>
      <c r="I49">
        <v>-1.5676984599746584E-2</v>
      </c>
      <c r="J49">
        <v>-1.0538425682937027E-2</v>
      </c>
      <c r="K49">
        <v>-1.9174445029517623E-2</v>
      </c>
      <c r="L49">
        <v>-1.46592439942264E-2</v>
      </c>
      <c r="M49">
        <v>-2.6808569108513182E-2</v>
      </c>
    </row>
    <row r="50" spans="1:13" x14ac:dyDescent="0.35">
      <c r="A50" s="2" t="s">
        <v>63</v>
      </c>
      <c r="B50">
        <v>-2.2176890782762065E-2</v>
      </c>
      <c r="C50">
        <v>-2.3531545062719081E-2</v>
      </c>
      <c r="D50">
        <v>-2.6585544174891878E-2</v>
      </c>
      <c r="E50">
        <v>-2.8928282567909611E-2</v>
      </c>
      <c r="F50">
        <v>-2.1048706935085263E-2</v>
      </c>
      <c r="G50">
        <v>-2.3259605250318713E-2</v>
      </c>
      <c r="H50">
        <v>-3.3636369608041415E-2</v>
      </c>
      <c r="I50">
        <v>-3.7030401845788888E-2</v>
      </c>
      <c r="J50">
        <v>-2.3769204130774144E-2</v>
      </c>
      <c r="K50">
        <v>-2.5130823269851943E-2</v>
      </c>
      <c r="L50">
        <v>-2.5771281865536601E-2</v>
      </c>
      <c r="M50">
        <v>-2.8308906268907679E-2</v>
      </c>
    </row>
    <row r="51" spans="1:13" x14ac:dyDescent="0.35">
      <c r="A51" s="2" t="s">
        <v>64</v>
      </c>
      <c r="B51">
        <v>-1.620366871062142E-2</v>
      </c>
      <c r="C51">
        <v>-1.682282608466934E-2</v>
      </c>
      <c r="D51">
        <v>-1.6103068285956638E-2</v>
      </c>
      <c r="E51">
        <v>-1.6728616649979957E-2</v>
      </c>
      <c r="F51">
        <v>-2.5532824785016395E-2</v>
      </c>
      <c r="G51">
        <v>-2.66772940177048E-2</v>
      </c>
      <c r="H51">
        <v>-1.9287730248646481E-2</v>
      </c>
      <c r="I51">
        <v>-1.9832062619820359E-2</v>
      </c>
      <c r="J51">
        <v>-1.2706351919281815E-2</v>
      </c>
      <c r="K51">
        <v>-1.2973739535326293E-2</v>
      </c>
      <c r="L51">
        <v>-1.3513205758608782E-2</v>
      </c>
      <c r="M51">
        <v>-1.4013696476512461E-2</v>
      </c>
    </row>
    <row r="52" spans="1:13" x14ac:dyDescent="0.35">
      <c r="A52" s="2" t="s">
        <v>65</v>
      </c>
      <c r="B52">
        <v>-1.4496082536714841E-2</v>
      </c>
      <c r="C52">
        <v>-1.4535588636151783E-2</v>
      </c>
      <c r="D52">
        <v>-2.9215778778535473E-2</v>
      </c>
      <c r="E52">
        <v>-3.0709046114841723E-2</v>
      </c>
      <c r="F52">
        <v>-3.2232806775445863E-2</v>
      </c>
      <c r="G52">
        <v>-3.3967660514115601E-2</v>
      </c>
      <c r="H52">
        <v>-2.2605900578317784E-2</v>
      </c>
      <c r="I52">
        <v>-2.3559452877041302E-2</v>
      </c>
      <c r="J52">
        <v>-3.3517899573662843E-2</v>
      </c>
      <c r="K52">
        <v>-3.4982363436915097E-2</v>
      </c>
      <c r="L52">
        <v>-2.5623609343980495E-2</v>
      </c>
      <c r="M52">
        <v>-2.6949710924102376E-2</v>
      </c>
    </row>
    <row r="53" spans="1:13" x14ac:dyDescent="0.35">
      <c r="A53" s="2" t="s">
        <v>66</v>
      </c>
      <c r="B53">
        <v>-1.5027526858003983E-2</v>
      </c>
      <c r="C53">
        <v>-1.5205352427301255E-2</v>
      </c>
      <c r="D53">
        <v>-1.380536068879514E-2</v>
      </c>
      <c r="E53">
        <v>-1.3827503950849356E-2</v>
      </c>
      <c r="F53">
        <v>-2.3290642458531491E-2</v>
      </c>
      <c r="G53">
        <v>-2.359690850161025E-2</v>
      </c>
      <c r="H53">
        <v>-1.4969895462784292E-2</v>
      </c>
      <c r="I53">
        <v>-1.5003989059521586E-2</v>
      </c>
      <c r="J53">
        <v>-1.9187412901654925E-2</v>
      </c>
      <c r="K53">
        <v>-1.925645575989509E-2</v>
      </c>
      <c r="L53">
        <v>-1.0866228218783172E-2</v>
      </c>
      <c r="M53">
        <v>-1.0867052438152645E-2</v>
      </c>
    </row>
    <row r="54" spans="1:13" x14ac:dyDescent="0.35">
      <c r="A54" s="2" t="s">
        <v>67</v>
      </c>
      <c r="B54">
        <v>-4.8124820304221482E-3</v>
      </c>
      <c r="C54">
        <v>-4.8124820304221482E-3</v>
      </c>
      <c r="D54">
        <v>-1.4811273579061271E-2</v>
      </c>
      <c r="E54">
        <v>-1.4811273579061271E-2</v>
      </c>
      <c r="F54">
        <v>-3.6778299259635633E-2</v>
      </c>
      <c r="G54">
        <v>-3.6778299259635633E-2</v>
      </c>
      <c r="H54">
        <v>-2.3729716954828714E-2</v>
      </c>
      <c r="I54">
        <v>-2.3729716954828714E-2</v>
      </c>
      <c r="J54">
        <v>-1.0132778175598404E-2</v>
      </c>
      <c r="K54">
        <v>-1.0132778175598404E-2</v>
      </c>
      <c r="L54">
        <v>-1.2544360374955973E-2</v>
      </c>
      <c r="M54">
        <v>-1.2544360374955973E-2</v>
      </c>
    </row>
    <row r="55" spans="1:13" x14ac:dyDescent="0.35">
      <c r="A55" s="2" t="s">
        <v>68</v>
      </c>
      <c r="B55">
        <v>-1.0700047167261756E-2</v>
      </c>
      <c r="C55">
        <v>-1.1240668907284698E-2</v>
      </c>
      <c r="D55">
        <v>-9.6974322949255464E-3</v>
      </c>
      <c r="E55">
        <v>-9.9432985076819049E-3</v>
      </c>
      <c r="F55">
        <v>-1.3335659664974613E-2</v>
      </c>
      <c r="G55">
        <v>-1.3430192548552633E-2</v>
      </c>
      <c r="H55">
        <v>-1.2305594210327384E-2</v>
      </c>
      <c r="I55">
        <v>-1.2613090024697567E-2</v>
      </c>
      <c r="J55">
        <v>-7.826946318369464E-3</v>
      </c>
      <c r="K55">
        <v>-7.9074982287164336E-3</v>
      </c>
      <c r="L55">
        <v>-1.2447152868096664E-2</v>
      </c>
      <c r="M55">
        <v>-1.286138362001632E-2</v>
      </c>
    </row>
    <row r="56" spans="1:13" x14ac:dyDescent="0.35">
      <c r="A56" s="2" t="s">
        <v>69</v>
      </c>
      <c r="B56">
        <v>-1.1948201271053706E-2</v>
      </c>
      <c r="C56">
        <v>-1.267594719509345E-2</v>
      </c>
      <c r="D56">
        <v>-1.6982505533480633E-2</v>
      </c>
      <c r="E56">
        <v>-1.7095793420816231E-2</v>
      </c>
      <c r="F56">
        <v>-2.6311367142456604E-2</v>
      </c>
      <c r="G56">
        <v>-2.7289700875964936E-2</v>
      </c>
      <c r="H56">
        <v>-2.1026795698269381E-2</v>
      </c>
      <c r="I56">
        <v>-2.1271696414480637E-2</v>
      </c>
      <c r="J56">
        <v>-1.8767361104945042E-2</v>
      </c>
      <c r="K56">
        <v>-1.9599430824045284E-2</v>
      </c>
      <c r="L56">
        <v>-1.7754226828496301E-2</v>
      </c>
      <c r="M56">
        <v>-1.8327516154666559E-2</v>
      </c>
    </row>
    <row r="57" spans="1:13" x14ac:dyDescent="0.35">
      <c r="A57" s="2" t="s">
        <v>70</v>
      </c>
      <c r="B57">
        <v>-1.405205661122096E-2</v>
      </c>
      <c r="C57">
        <v>-1.405205661122096E-2</v>
      </c>
      <c r="D57">
        <v>-1.3878517805918318E-2</v>
      </c>
      <c r="E57">
        <v>-1.3878517805918318E-2</v>
      </c>
      <c r="F57">
        <v>-2.7419919740152749E-2</v>
      </c>
      <c r="G57">
        <v>-2.7419919740152749E-2</v>
      </c>
      <c r="H57">
        <v>-1.8208709973056816E-2</v>
      </c>
      <c r="I57">
        <v>-1.8208709973056816E-2</v>
      </c>
      <c r="J57">
        <v>-2.1206581079737007E-2</v>
      </c>
      <c r="K57">
        <v>-2.1206581079737007E-2</v>
      </c>
      <c r="L57">
        <v>-1.3715712376760555E-2</v>
      </c>
      <c r="M57">
        <v>-1.3715712376760555E-2</v>
      </c>
    </row>
    <row r="58" spans="1:13" x14ac:dyDescent="0.35">
      <c r="A58" s="2" t="s">
        <v>71</v>
      </c>
      <c r="B58">
        <v>-1.452915127562418E-2</v>
      </c>
      <c r="C58">
        <v>-1.4940602909053627E-2</v>
      </c>
      <c r="D58">
        <v>-1.5499589040099692E-2</v>
      </c>
      <c r="E58">
        <v>-1.5951670432489122E-2</v>
      </c>
      <c r="F58">
        <v>-1.5498890124058116E-2</v>
      </c>
      <c r="G58">
        <v>-1.5696976184820379E-2</v>
      </c>
      <c r="H58">
        <v>-1.5109748449401023E-2</v>
      </c>
      <c r="I58">
        <v>-1.535963038500761E-2</v>
      </c>
      <c r="J58">
        <v>-1.5956516042215624E-2</v>
      </c>
      <c r="K58">
        <v>-1.5974848326361622E-2</v>
      </c>
      <c r="L58">
        <v>-1.8069081766253305E-2</v>
      </c>
      <c r="M58">
        <v>-1.8905572229137576E-2</v>
      </c>
    </row>
    <row r="59" spans="1:13" x14ac:dyDescent="0.35">
      <c r="A59" s="2" t="s">
        <v>72</v>
      </c>
      <c r="B59">
        <v>-3.6054991116663278E-2</v>
      </c>
      <c r="C59">
        <v>-3.8018622051690772E-2</v>
      </c>
      <c r="D59">
        <v>-3.5504381313354233E-2</v>
      </c>
      <c r="E59">
        <v>-3.6803768209091821E-2</v>
      </c>
      <c r="F59">
        <v>-4.4615694853439906E-2</v>
      </c>
      <c r="G59">
        <v>-4.543445173171054E-2</v>
      </c>
      <c r="H59">
        <v>-3.5828832171723286E-2</v>
      </c>
      <c r="I59">
        <v>-3.6564736675954231E-2</v>
      </c>
      <c r="J59">
        <v>-2.8395012561796384E-2</v>
      </c>
      <c r="K59">
        <v>-2.9117153920385008E-2</v>
      </c>
      <c r="L59">
        <v>-3.5729336462158201E-2</v>
      </c>
      <c r="M59">
        <v>-3.7007350835675308E-2</v>
      </c>
    </row>
    <row r="60" spans="1:13" x14ac:dyDescent="0.35">
      <c r="A60" s="2" t="s">
        <v>73</v>
      </c>
      <c r="B60">
        <v>-9.4968654985866617E-3</v>
      </c>
      <c r="C60">
        <v>-9.6732460475391635E-3</v>
      </c>
      <c r="D60">
        <v>-1.8480502420884278E-2</v>
      </c>
      <c r="E60">
        <v>-1.8625708922024958E-2</v>
      </c>
      <c r="F60">
        <v>-2.8828423663602776E-2</v>
      </c>
      <c r="G60">
        <v>-2.9151873430307517E-2</v>
      </c>
      <c r="H60">
        <v>-2.1247975295232955E-2</v>
      </c>
      <c r="I60">
        <v>-2.1434124027334883E-2</v>
      </c>
      <c r="J60">
        <v>-1.6627468027512658E-2</v>
      </c>
      <c r="K60">
        <v>-1.7015489650374499E-2</v>
      </c>
      <c r="L60">
        <v>-1.5334103291984208E-2</v>
      </c>
      <c r="M60">
        <v>-1.5338674772601585E-2</v>
      </c>
    </row>
    <row r="61" spans="1:13" x14ac:dyDescent="0.35">
      <c r="A61" s="2" t="s">
        <v>74</v>
      </c>
      <c r="B61">
        <v>-3.0224847172743749E-2</v>
      </c>
      <c r="C61">
        <v>-3.0224847172743749E-2</v>
      </c>
      <c r="D61">
        <v>-2.9486126185031752E-2</v>
      </c>
      <c r="E61">
        <v>-2.9486126185031752E-2</v>
      </c>
      <c r="F61">
        <v>-3.1759803268126233E-2</v>
      </c>
      <c r="G61">
        <v>-3.1759803268126233E-2</v>
      </c>
      <c r="H61">
        <v>-3.231608912648444E-2</v>
      </c>
      <c r="I61">
        <v>-3.231608912648444E-2</v>
      </c>
      <c r="J61">
        <v>-2.7549270528568506E-2</v>
      </c>
      <c r="K61">
        <v>-2.7549270528568506E-2</v>
      </c>
      <c r="L61">
        <v>-2.8060136410409907E-2</v>
      </c>
      <c r="M61">
        <v>-2.8060136410409907E-2</v>
      </c>
    </row>
    <row r="62" spans="1:13" x14ac:dyDescent="0.35">
      <c r="A62" s="2" t="s">
        <v>75</v>
      </c>
      <c r="B62">
        <v>-2.1430745337947053E-2</v>
      </c>
      <c r="C62">
        <v>-2.1580263858845906E-2</v>
      </c>
      <c r="D62">
        <v>-3.6957940760259503E-2</v>
      </c>
      <c r="E62">
        <v>-3.7748413729990368E-2</v>
      </c>
      <c r="F62">
        <v>-4.8762651517772204E-2</v>
      </c>
      <c r="G62">
        <v>-5.0485147132839504E-2</v>
      </c>
      <c r="H62">
        <v>-3.9457958585192396E-2</v>
      </c>
      <c r="I62">
        <v>-3.9936738098375203E-2</v>
      </c>
      <c r="J62">
        <v>-2.9223972838513586E-2</v>
      </c>
      <c r="K62">
        <v>-3.0314377317303794E-2</v>
      </c>
      <c r="L62">
        <v>-3.2255911250920817E-2</v>
      </c>
      <c r="M62">
        <v>-3.3703787336422944E-2</v>
      </c>
    </row>
    <row r="63" spans="1:13" x14ac:dyDescent="0.35">
      <c r="A63" s="2" t="s">
        <v>76</v>
      </c>
      <c r="B63">
        <v>-4.4360977358111064E-3</v>
      </c>
      <c r="C63">
        <v>-4.5082373831092639E-3</v>
      </c>
      <c r="D63">
        <v>-1.4406025677487217E-2</v>
      </c>
      <c r="E63">
        <v>-1.4945630269149555E-2</v>
      </c>
      <c r="F63">
        <v>-1.8689191229195275E-2</v>
      </c>
      <c r="G63">
        <v>-1.9165434954851082E-2</v>
      </c>
      <c r="H63">
        <v>-1.9542011229417188E-2</v>
      </c>
      <c r="I63">
        <v>-1.9887941771345605E-2</v>
      </c>
      <c r="J63">
        <v>-1.6425773783482617E-2</v>
      </c>
      <c r="K63">
        <v>-1.7004672895773829E-2</v>
      </c>
      <c r="L63">
        <v>-8.2986339475316067E-3</v>
      </c>
      <c r="M63">
        <v>-8.5527238547178936E-3</v>
      </c>
    </row>
    <row r="64" spans="1:13" x14ac:dyDescent="0.35">
      <c r="A64" s="4" t="s">
        <v>77</v>
      </c>
      <c r="B64" s="3">
        <v>-1.3214894889218879E-2</v>
      </c>
      <c r="C64" s="3">
        <v>-1.4027996886740149E-2</v>
      </c>
      <c r="D64">
        <v>-1.264465514170411E-2</v>
      </c>
      <c r="E64">
        <v>-1.2760122372244226E-2</v>
      </c>
      <c r="F64">
        <v>-1.3511728280216009E-2</v>
      </c>
      <c r="G64">
        <v>-1.4019493121819002E-2</v>
      </c>
      <c r="H64">
        <v>-1.4624190708785846E-2</v>
      </c>
      <c r="I64">
        <v>-1.4761546272600385E-2</v>
      </c>
      <c r="J64">
        <v>-1.4954454559477958E-2</v>
      </c>
      <c r="K64">
        <v>-1.5477001759037972E-2</v>
      </c>
      <c r="L64">
        <v>-1.3003866772554676E-2</v>
      </c>
      <c r="M64">
        <v>-1.3312730554734711E-2</v>
      </c>
    </row>
    <row r="65" spans="1:13" x14ac:dyDescent="0.35">
      <c r="A65" s="2" t="s">
        <v>78</v>
      </c>
      <c r="B65">
        <v>-1.8419846691784408E-2</v>
      </c>
      <c r="C65">
        <v>-1.8720012790396347E-2</v>
      </c>
      <c r="D65">
        <v>-2.6521534666929716E-2</v>
      </c>
      <c r="E65">
        <v>-2.6816362510036149E-2</v>
      </c>
      <c r="F65">
        <v>-2.4234007980894767E-2</v>
      </c>
      <c r="G65">
        <v>-2.4295754522135067E-2</v>
      </c>
      <c r="H65">
        <v>-2.1864630103942167E-2</v>
      </c>
      <c r="I65">
        <v>-2.1967615489161305E-2</v>
      </c>
      <c r="J65">
        <v>-3.2286825565426329E-2</v>
      </c>
      <c r="K65">
        <v>-3.2607759430227132E-2</v>
      </c>
      <c r="L65">
        <v>-2.5844006638714705E-2</v>
      </c>
      <c r="M65">
        <v>-2.6241203652521462E-2</v>
      </c>
    </row>
    <row r="66" spans="1:13" x14ac:dyDescent="0.35">
      <c r="A66" s="2" t="s">
        <v>79</v>
      </c>
      <c r="B66">
        <v>-1.316293218794248E-2</v>
      </c>
      <c r="C66">
        <v>-1.4009799170089312E-2</v>
      </c>
      <c r="D66">
        <v>-1.9706033295006559E-2</v>
      </c>
      <c r="E66">
        <v>-2.213760990406571E-2</v>
      </c>
      <c r="F66">
        <v>-1.9499111083468544E-2</v>
      </c>
      <c r="G66">
        <v>-2.0568492286007781E-2</v>
      </c>
      <c r="H66">
        <v>-2.4486617492019885E-2</v>
      </c>
      <c r="I66">
        <v>-2.7543472730938347E-2</v>
      </c>
      <c r="J66">
        <v>-1.8185677893263783E-2</v>
      </c>
      <c r="K66">
        <v>-2.2845005926619009E-2</v>
      </c>
      <c r="L66">
        <v>-1.6128775006962581E-2</v>
      </c>
      <c r="M66">
        <v>-2.5616142635770979E-2</v>
      </c>
    </row>
    <row r="67" spans="1:13" x14ac:dyDescent="0.35">
      <c r="A67" s="2" t="s">
        <v>80</v>
      </c>
      <c r="B67">
        <v>-2.3450027582446385E-2</v>
      </c>
      <c r="C67">
        <v>-2.485397734730093E-2</v>
      </c>
      <c r="D67">
        <v>-3.935920898477327E-2</v>
      </c>
      <c r="E67">
        <v>-4.3014866460176771E-2</v>
      </c>
      <c r="F67">
        <v>-4.8771750748442234E-2</v>
      </c>
      <c r="G67">
        <v>-5.3085952884695177E-2</v>
      </c>
      <c r="H67">
        <v>-4.2241813721455627E-2</v>
      </c>
      <c r="I67">
        <v>-4.6656111619203494E-2</v>
      </c>
      <c r="J67">
        <v>-3.3680247268442813E-2</v>
      </c>
      <c r="K67">
        <v>-3.6258109464625946E-2</v>
      </c>
      <c r="L67">
        <v>-3.5073726973218151E-2</v>
      </c>
      <c r="M67">
        <v>-3.8145462798365226E-2</v>
      </c>
    </row>
    <row r="68" spans="1:13" x14ac:dyDescent="0.35">
      <c r="A68" s="2" t="s">
        <v>81</v>
      </c>
      <c r="B68">
        <v>-1.9053482893359421E-2</v>
      </c>
      <c r="C68">
        <v>-1.9775840765522936E-2</v>
      </c>
      <c r="D68">
        <v>-2.4047119859911325E-2</v>
      </c>
      <c r="E68">
        <v>-2.4435006884681792E-2</v>
      </c>
      <c r="F68">
        <v>-3.8956605794239166E-2</v>
      </c>
      <c r="G68">
        <v>-4.1149929810630592E-2</v>
      </c>
      <c r="H68">
        <v>-2.1706997189628489E-2</v>
      </c>
      <c r="I68">
        <v>-2.2486981698805735E-2</v>
      </c>
      <c r="J68">
        <v>-2.4753181922014329E-2</v>
      </c>
      <c r="K68">
        <v>-2.5983603260965427E-2</v>
      </c>
      <c r="L68">
        <v>-2.5384108675679643E-2</v>
      </c>
      <c r="M68">
        <v>-2.5992553910037464E-2</v>
      </c>
    </row>
    <row r="69" spans="1:13" x14ac:dyDescent="0.35">
      <c r="A69" s="2" t="s">
        <v>82</v>
      </c>
      <c r="B69">
        <v>-5.9535849920983604E-2</v>
      </c>
      <c r="C69">
        <v>-6.047803941791962E-2</v>
      </c>
      <c r="D69">
        <v>-5.3983893311539272E-2</v>
      </c>
      <c r="E69">
        <v>-5.5030376921060963E-2</v>
      </c>
      <c r="F69">
        <v>-5.9863236092193808E-2</v>
      </c>
      <c r="G69">
        <v>-6.1433740912047355E-2</v>
      </c>
      <c r="H69">
        <v>-5.0387848366620192E-2</v>
      </c>
      <c r="I69">
        <v>-5.1448561836041996E-2</v>
      </c>
      <c r="J69">
        <v>-4.741787573786245E-2</v>
      </c>
      <c r="K69">
        <v>-4.8164996647205777E-2</v>
      </c>
      <c r="L69">
        <v>-5.3917623451203163E-2</v>
      </c>
      <c r="M69">
        <v>-5.493230125890735E-2</v>
      </c>
    </row>
    <row r="70" spans="1:13" x14ac:dyDescent="0.35">
      <c r="A70" s="2" t="s">
        <v>83</v>
      </c>
      <c r="B70">
        <v>-4.1193792063901738E-2</v>
      </c>
      <c r="C70">
        <v>-4.3025636977835645E-2</v>
      </c>
      <c r="D70">
        <v>-3.4118014345440061E-2</v>
      </c>
      <c r="E70">
        <v>-3.471806668396895E-2</v>
      </c>
      <c r="F70">
        <v>-3.3596887779313592E-2</v>
      </c>
      <c r="G70">
        <v>-3.3827343829741459E-2</v>
      </c>
      <c r="H70">
        <v>-3.4831485373965347E-2</v>
      </c>
      <c r="I70">
        <v>-3.5401840031736645E-2</v>
      </c>
      <c r="J70">
        <v>-3.7580195290987689E-2</v>
      </c>
      <c r="K70">
        <v>-3.8720622609227921E-2</v>
      </c>
      <c r="L70">
        <v>-3.3971744225686822E-2</v>
      </c>
      <c r="M70">
        <v>-3.483596665097357E-2</v>
      </c>
    </row>
    <row r="71" spans="1:13" x14ac:dyDescent="0.35">
      <c r="A71" s="2" t="s">
        <v>84</v>
      </c>
      <c r="B71">
        <v>-1.2500736647221128E-2</v>
      </c>
      <c r="C71">
        <v>-1.2831456088047571E-2</v>
      </c>
      <c r="D71">
        <v>-1.0195508421374308E-2</v>
      </c>
      <c r="E71">
        <v>-1.0250149714181518E-2</v>
      </c>
      <c r="F71">
        <v>-1.143089302156855E-2</v>
      </c>
      <c r="G71">
        <v>-1.1543352154806188E-2</v>
      </c>
      <c r="H71">
        <v>-1.4673231004725036E-2</v>
      </c>
      <c r="I71">
        <v>-1.4990160838867145E-2</v>
      </c>
      <c r="J71">
        <v>-1.5167143534632593E-2</v>
      </c>
      <c r="K71">
        <v>-1.5774186747332563E-2</v>
      </c>
      <c r="L71">
        <v>-1.0190603850198803E-2</v>
      </c>
      <c r="M71">
        <v>-1.0274920551452177E-2</v>
      </c>
    </row>
    <row r="72" spans="1:13" x14ac:dyDescent="0.35">
      <c r="A72" s="2" t="s">
        <v>85</v>
      </c>
      <c r="B72">
        <v>-2.2382555658214603E-2</v>
      </c>
      <c r="C72">
        <v>-2.2794808392419593E-2</v>
      </c>
      <c r="D72">
        <v>-1.7436207749137518E-2</v>
      </c>
      <c r="E72">
        <v>-1.7764930074623621E-2</v>
      </c>
      <c r="F72">
        <v>-2.3286724651523642E-2</v>
      </c>
      <c r="G72">
        <v>-2.3770002879299906E-2</v>
      </c>
      <c r="H72">
        <v>-2.168788897317743E-2</v>
      </c>
      <c r="I72">
        <v>-2.2728694135622743E-2</v>
      </c>
      <c r="J72">
        <v>-1.5685326912039978E-2</v>
      </c>
      <c r="K72">
        <v>-1.5830831064526294E-2</v>
      </c>
      <c r="L72">
        <v>-1.9066124523442141E-2</v>
      </c>
      <c r="M72">
        <v>-1.9545618946637387E-2</v>
      </c>
    </row>
    <row r="73" spans="1:13" x14ac:dyDescent="0.35">
      <c r="A73" s="2" t="s">
        <v>86</v>
      </c>
      <c r="B73">
        <v>-4.1243430425004272E-2</v>
      </c>
      <c r="C73">
        <v>-4.1243430425004272E-2</v>
      </c>
      <c r="D73">
        <v>-3.6798044908367078E-2</v>
      </c>
      <c r="E73">
        <v>-3.6798044908367078E-2</v>
      </c>
      <c r="F73">
        <v>-2.4972328683633232E-2</v>
      </c>
      <c r="G73">
        <v>-2.4972328683633232E-2</v>
      </c>
      <c r="H73">
        <v>-3.6822463346159809E-2</v>
      </c>
      <c r="I73">
        <v>-3.6822463346159809E-2</v>
      </c>
      <c r="J73">
        <v>-3.6472968431502079E-2</v>
      </c>
      <c r="K73">
        <v>-3.6472968431502079E-2</v>
      </c>
      <c r="L73">
        <v>-3.6440425968209698E-2</v>
      </c>
      <c r="M73">
        <v>-3.6440425968209698E-2</v>
      </c>
    </row>
    <row r="74" spans="1:13" x14ac:dyDescent="0.35">
      <c r="A74" s="2" t="s">
        <v>87</v>
      </c>
      <c r="B74">
        <v>-3.7155349141192402E-2</v>
      </c>
      <c r="C74">
        <v>-3.7275344145875772E-2</v>
      </c>
      <c r="D74">
        <v>-3.7956288605647807E-2</v>
      </c>
      <c r="E74">
        <v>-3.8196171113312576E-2</v>
      </c>
      <c r="F74">
        <v>-4.8843105719798552E-2</v>
      </c>
      <c r="G74">
        <v>-4.9543313632128584E-2</v>
      </c>
      <c r="H74">
        <v>-3.4575773271613319E-2</v>
      </c>
      <c r="I74">
        <v>-3.4685435971428785E-2</v>
      </c>
      <c r="J74">
        <v>-4.2964924277195102E-2</v>
      </c>
      <c r="K74">
        <v>-4.3720476121692602E-2</v>
      </c>
      <c r="L74">
        <v>-3.5016256072653913E-2</v>
      </c>
      <c r="M74">
        <v>-3.5089062728072842E-2</v>
      </c>
    </row>
    <row r="75" spans="1:13" x14ac:dyDescent="0.35">
      <c r="A75" s="2" t="s">
        <v>88</v>
      </c>
      <c r="B75">
        <v>-3.4718654202265858E-2</v>
      </c>
      <c r="C75">
        <v>-3.4829509579840344E-2</v>
      </c>
      <c r="D75">
        <v>-3.9105243076896008E-2</v>
      </c>
      <c r="E75">
        <v>-3.9753653046618695E-2</v>
      </c>
      <c r="F75">
        <v>-5.6963588841609888E-2</v>
      </c>
      <c r="G75">
        <v>-5.7955450250386314E-2</v>
      </c>
      <c r="H75">
        <v>-4.9568240647494065E-2</v>
      </c>
      <c r="I75">
        <v>-5.0029312184992153E-2</v>
      </c>
      <c r="J75">
        <v>-3.3219862614191853E-2</v>
      </c>
      <c r="K75">
        <v>-3.360404747309189E-2</v>
      </c>
      <c r="L75">
        <v>-4.0462108374438061E-2</v>
      </c>
      <c r="M75">
        <v>-4.1345889074985695E-2</v>
      </c>
    </row>
    <row r="76" spans="1:13" x14ac:dyDescent="0.35">
      <c r="A76" s="2" t="s">
        <v>89</v>
      </c>
      <c r="B76">
        <v>-2.7595254847849401E-2</v>
      </c>
      <c r="C76">
        <v>-2.8566720605015011E-2</v>
      </c>
      <c r="D76">
        <v>-1.8143355671686016E-2</v>
      </c>
      <c r="E76">
        <v>-1.8474107916823777E-2</v>
      </c>
      <c r="F76">
        <v>-1.6013826231062608E-2</v>
      </c>
      <c r="G76">
        <v>-1.6219322528459409E-2</v>
      </c>
      <c r="H76">
        <v>-1.7001080013167018E-2</v>
      </c>
      <c r="I76">
        <v>-1.7032015053480624E-2</v>
      </c>
      <c r="J76">
        <v>-2.2792480392797066E-2</v>
      </c>
      <c r="K76">
        <v>-2.3406426386315779E-2</v>
      </c>
      <c r="L76">
        <v>-2.1107582289084003E-2</v>
      </c>
      <c r="M76">
        <v>-2.1546107133027084E-2</v>
      </c>
    </row>
    <row r="77" spans="1:13" x14ac:dyDescent="0.35">
      <c r="A77" s="2" t="s">
        <v>90</v>
      </c>
      <c r="B77">
        <v>-1.9855504728225483E-2</v>
      </c>
      <c r="C77">
        <v>-1.9875396257721639E-2</v>
      </c>
      <c r="D77">
        <v>-3.0898333063738577E-2</v>
      </c>
      <c r="E77">
        <v>-3.1600187843880537E-2</v>
      </c>
      <c r="F77">
        <v>-2.9936476013037974E-2</v>
      </c>
      <c r="G77">
        <v>-3.0504924265658179E-2</v>
      </c>
      <c r="H77">
        <v>-2.6410003450446584E-2</v>
      </c>
      <c r="I77">
        <v>-2.6599435355682863E-2</v>
      </c>
      <c r="J77">
        <v>-2.7617980016261645E-2</v>
      </c>
      <c r="K77">
        <v>-2.7720668594153102E-2</v>
      </c>
      <c r="L77">
        <v>-2.7929996211006593E-2</v>
      </c>
      <c r="M77">
        <v>-2.8578714986915593E-2</v>
      </c>
    </row>
    <row r="78" spans="1:13" x14ac:dyDescent="0.35">
      <c r="A78" s="2" t="s">
        <v>91</v>
      </c>
      <c r="B78">
        <v>-2.088478767412151E-2</v>
      </c>
      <c r="C78">
        <v>-2.088478767412151E-2</v>
      </c>
      <c r="D78">
        <v>-1.7996590606026562E-2</v>
      </c>
      <c r="E78">
        <v>-1.7996590606026562E-2</v>
      </c>
      <c r="F78">
        <v>-3.4665520841245828E-2</v>
      </c>
      <c r="G78">
        <v>-3.4665520841245828E-2</v>
      </c>
      <c r="H78">
        <v>-2.9320954243018685E-2</v>
      </c>
      <c r="I78">
        <v>-2.9320954243018685E-2</v>
      </c>
      <c r="J78">
        <v>-1.4929007628169533E-2</v>
      </c>
      <c r="K78">
        <v>-1.4929007628169533E-2</v>
      </c>
      <c r="L78">
        <v>-1.2948797777806009E-2</v>
      </c>
      <c r="M78">
        <v>-1.2948797777806009E-2</v>
      </c>
    </row>
    <row r="79" spans="1:13" x14ac:dyDescent="0.35">
      <c r="A79" s="2" t="s">
        <v>92</v>
      </c>
      <c r="B79">
        <v>-8.3880611513777181E-2</v>
      </c>
      <c r="C79">
        <v>-8.9041250796063481E-2</v>
      </c>
      <c r="D79">
        <v>-8.0904421867446896E-2</v>
      </c>
      <c r="E79">
        <v>-9.0109857294124143E-2</v>
      </c>
      <c r="F79">
        <v>-0.1193539062128996</v>
      </c>
      <c r="G79">
        <v>-0.13331442103267852</v>
      </c>
      <c r="H79">
        <v>-0.1169245459873989</v>
      </c>
      <c r="I79">
        <v>-0.13185265984190989</v>
      </c>
      <c r="J79">
        <v>-6.4669574748968228E-2</v>
      </c>
      <c r="K79">
        <v>-7.0672712353585035E-2</v>
      </c>
      <c r="L79">
        <v>-7.5791126580524795E-2</v>
      </c>
      <c r="M79">
        <v>-8.3843670369306206E-2</v>
      </c>
    </row>
    <row r="80" spans="1:13" x14ac:dyDescent="0.35">
      <c r="A80" s="2" t="s">
        <v>93</v>
      </c>
      <c r="B80">
        <v>-1.9904333458393979E-2</v>
      </c>
      <c r="C80">
        <v>-2.08684951575854E-2</v>
      </c>
      <c r="D80">
        <v>-1.8372260934628543E-2</v>
      </c>
      <c r="E80">
        <v>-1.8481936128530014E-2</v>
      </c>
      <c r="F80">
        <v>-2.2597189345889838E-2</v>
      </c>
      <c r="G80">
        <v>-2.2842332153033409E-2</v>
      </c>
      <c r="H80">
        <v>-2.2890877043202681E-2</v>
      </c>
      <c r="I80">
        <v>-2.3072055981896048E-2</v>
      </c>
      <c r="J80">
        <v>-1.8195366899629559E-2</v>
      </c>
      <c r="K80">
        <v>-1.8344007941524732E-2</v>
      </c>
      <c r="L80">
        <v>-1.8748859970345748E-2</v>
      </c>
      <c r="M80">
        <v>-1.8941686878126449E-2</v>
      </c>
    </row>
    <row r="81" spans="1:13" x14ac:dyDescent="0.35">
      <c r="A81" s="2" t="s">
        <v>94</v>
      </c>
      <c r="B81">
        <v>-7.5184322979035502E-3</v>
      </c>
      <c r="C81">
        <v>-7.537309929705277E-3</v>
      </c>
      <c r="D81">
        <v>-1.9675964531950911E-2</v>
      </c>
      <c r="E81">
        <v>-2.0541076885041892E-2</v>
      </c>
      <c r="F81">
        <v>-2.7368223305164009E-2</v>
      </c>
      <c r="G81">
        <v>-2.7959877516467307E-2</v>
      </c>
      <c r="H81">
        <v>-2.6886778048891231E-2</v>
      </c>
      <c r="I81">
        <v>-2.8124564496451451E-2</v>
      </c>
      <c r="J81">
        <v>-1.7678301366061286E-2</v>
      </c>
      <c r="K81">
        <v>-1.8186706200231179E-2</v>
      </c>
      <c r="L81">
        <v>-1.7688183357138988E-2</v>
      </c>
      <c r="M81">
        <v>-1.8583232123043567E-2</v>
      </c>
    </row>
    <row r="82" spans="1:13" x14ac:dyDescent="0.35">
      <c r="A82" s="2" t="s">
        <v>95</v>
      </c>
      <c r="B82">
        <v>-1.4539753709337333E-2</v>
      </c>
      <c r="C82">
        <v>-1.4566350881975903E-2</v>
      </c>
      <c r="D82">
        <v>-1.7961243312704898E-2</v>
      </c>
      <c r="E82">
        <v>-1.8784911720532194E-2</v>
      </c>
      <c r="F82">
        <v>-2.3700500868560605E-2</v>
      </c>
      <c r="G82">
        <v>-2.4600181776186038E-2</v>
      </c>
      <c r="H82">
        <v>-1.7526716887386214E-2</v>
      </c>
      <c r="I82">
        <v>-1.7762496052094092E-2</v>
      </c>
      <c r="J82">
        <v>-2.1111203710092671E-2</v>
      </c>
      <c r="K82">
        <v>-2.2194293903480745E-2</v>
      </c>
      <c r="L82">
        <v>-1.723618067114336E-2</v>
      </c>
      <c r="M82">
        <v>-1.8173857485110752E-2</v>
      </c>
    </row>
    <row r="83" spans="1:13" x14ac:dyDescent="0.35">
      <c r="A83" s="2" t="s">
        <v>96</v>
      </c>
      <c r="B83">
        <v>-1.4962461402687926E-2</v>
      </c>
      <c r="C83">
        <v>-1.5180489037342202E-2</v>
      </c>
      <c r="D83">
        <v>-1.0867569946628996E-2</v>
      </c>
      <c r="E83">
        <v>-1.1027895156758651E-2</v>
      </c>
      <c r="F83">
        <v>-1.224429138136888E-2</v>
      </c>
      <c r="G83">
        <v>-1.22801069387155E-2</v>
      </c>
      <c r="H83">
        <v>-1.4999333011839582E-2</v>
      </c>
      <c r="I83">
        <v>-1.5315257036880929E-2</v>
      </c>
      <c r="J83">
        <v>-1.026169585809926E-2</v>
      </c>
      <c r="K83">
        <v>-1.0412213393082905E-2</v>
      </c>
      <c r="L83">
        <v>-1.0531166511490823E-2</v>
      </c>
      <c r="M83">
        <v>-1.0628489164106126E-2</v>
      </c>
    </row>
    <row r="84" spans="1:13" x14ac:dyDescent="0.35">
      <c r="A84" s="4" t="s">
        <v>97</v>
      </c>
      <c r="B84" s="3">
        <v>-1.272201529393808E-2</v>
      </c>
      <c r="C84" s="3">
        <v>-1.3139558251104581E-2</v>
      </c>
      <c r="D84">
        <v>-1.375545326549738E-2</v>
      </c>
      <c r="E84">
        <v>-1.4318988279443903E-2</v>
      </c>
      <c r="F84">
        <v>-2.4320171369630751E-2</v>
      </c>
      <c r="G84">
        <v>-2.5396896690630614E-2</v>
      </c>
      <c r="H84">
        <v>-1.8335171541833305E-2</v>
      </c>
      <c r="I84">
        <v>-1.8678567615933818E-2</v>
      </c>
      <c r="J84">
        <v>-1.4594059530436984E-2</v>
      </c>
      <c r="K84">
        <v>-1.4856887277460011E-2</v>
      </c>
      <c r="L84">
        <v>-1.2026495175146442E-2</v>
      </c>
      <c r="M84">
        <v>-1.2517960409215146E-2</v>
      </c>
    </row>
    <row r="85" spans="1:13" x14ac:dyDescent="0.35">
      <c r="A85" s="2" t="s">
        <v>98</v>
      </c>
      <c r="B85">
        <v>-9.3585947912405848E-3</v>
      </c>
      <c r="C85">
        <v>-9.5076169892214721E-3</v>
      </c>
      <c r="D85">
        <v>-7.705348442680407E-3</v>
      </c>
      <c r="E85">
        <v>-7.7538762224804462E-3</v>
      </c>
      <c r="F85">
        <v>-1.1600161969498481E-2</v>
      </c>
      <c r="G85">
        <v>-1.1823101542335826E-2</v>
      </c>
      <c r="H85">
        <v>-1.1970090935492306E-2</v>
      </c>
      <c r="I85">
        <v>-1.2172853912254887E-2</v>
      </c>
      <c r="J85">
        <v>-9.7107227689502227E-3</v>
      </c>
      <c r="K85">
        <v>-1.003581141977259E-2</v>
      </c>
      <c r="L85">
        <v>-7.2228843330862146E-3</v>
      </c>
      <c r="M85">
        <v>-7.2348800033537027E-3</v>
      </c>
    </row>
    <row r="86" spans="1:13" x14ac:dyDescent="0.35">
      <c r="A86" s="2" t="s">
        <v>99</v>
      </c>
      <c r="B86">
        <v>-1.4350049265915314E-2</v>
      </c>
      <c r="C86">
        <v>-1.4882745746693866E-2</v>
      </c>
      <c r="D86">
        <v>-1.2119718732704661E-2</v>
      </c>
      <c r="E86">
        <v>-1.2369847266038004E-2</v>
      </c>
      <c r="F86">
        <v>-2.8642008596303489E-2</v>
      </c>
      <c r="G86">
        <v>-2.9925049900770967E-2</v>
      </c>
      <c r="H86">
        <v>-1.469911852084381E-2</v>
      </c>
      <c r="I86">
        <v>-1.5139114716235696E-2</v>
      </c>
      <c r="J86">
        <v>-1.2491146394489571E-2</v>
      </c>
      <c r="K86">
        <v>-1.2627013384244781E-2</v>
      </c>
      <c r="L86">
        <v>-1.1172087232804823E-2</v>
      </c>
      <c r="M86">
        <v>-1.1499801523700594E-2</v>
      </c>
    </row>
    <row r="87" spans="1:13" x14ac:dyDescent="0.35">
      <c r="A87" s="2" t="s">
        <v>100</v>
      </c>
      <c r="B87">
        <v>-1.0207728808279859E-2</v>
      </c>
      <c r="C87">
        <v>-1.0319086625118436E-2</v>
      </c>
      <c r="D87">
        <v>-1.0604548340780137E-2</v>
      </c>
      <c r="E87">
        <v>-1.0689014481928039E-2</v>
      </c>
      <c r="F87">
        <v>-2.1822237254134836E-2</v>
      </c>
      <c r="G87">
        <v>-2.2343879201355409E-2</v>
      </c>
      <c r="H87">
        <v>-1.1081089407981196E-2</v>
      </c>
      <c r="I87">
        <v>-1.1200967265605247E-2</v>
      </c>
      <c r="J87">
        <v>-1.2225593457476855E-2</v>
      </c>
      <c r="K87">
        <v>-1.2231747147812874E-2</v>
      </c>
      <c r="L87">
        <v>-9.8390008237079704E-3</v>
      </c>
      <c r="M87">
        <v>-9.8589854640035272E-3</v>
      </c>
    </row>
    <row r="88" spans="1:13" x14ac:dyDescent="0.35">
      <c r="A88" s="2" t="s">
        <v>101</v>
      </c>
      <c r="B88">
        <v>-7.270691238452056E-3</v>
      </c>
      <c r="C88">
        <v>-7.31849589536601E-3</v>
      </c>
      <c r="D88">
        <v>-4.7088806169359437E-3</v>
      </c>
      <c r="E88">
        <v>-4.713196847512805E-3</v>
      </c>
      <c r="F88">
        <v>-1.0506620861295194E-2</v>
      </c>
      <c r="G88">
        <v>-1.0973079068288686E-2</v>
      </c>
      <c r="H88">
        <v>-8.029607966400433E-3</v>
      </c>
      <c r="I88">
        <v>-9.1252329103580429E-3</v>
      </c>
      <c r="J88">
        <v>-7.197593701393089E-3</v>
      </c>
      <c r="K88">
        <v>-7.5594685709880656E-3</v>
      </c>
      <c r="L88">
        <v>-4.9856448985589495E-3</v>
      </c>
      <c r="M88">
        <v>-5.0812934054105868E-3</v>
      </c>
    </row>
    <row r="89" spans="1:13" x14ac:dyDescent="0.35">
      <c r="A89" s="2" t="s">
        <v>102</v>
      </c>
      <c r="B89">
        <v>-8.2774112560129488E-3</v>
      </c>
      <c r="C89">
        <v>-1.3170273935475018E-2</v>
      </c>
      <c r="D89">
        <v>-8.506374938211856E-3</v>
      </c>
      <c r="E89">
        <v>-1.1221982905899115E-2</v>
      </c>
      <c r="F89">
        <v>-1.2967648508420974E-2</v>
      </c>
      <c r="G89">
        <v>-1.6879567868868999E-2</v>
      </c>
      <c r="H89">
        <v>-9.3885086363792447E-3</v>
      </c>
      <c r="I89">
        <v>-1.3238472749884383E-2</v>
      </c>
      <c r="J89">
        <v>-5.8472083368690912E-3</v>
      </c>
      <c r="K89">
        <v>-9.005661989768007E-3</v>
      </c>
      <c r="L89">
        <v>-8.5057569615325929E-3</v>
      </c>
      <c r="M89">
        <v>-1.6071747885926926E-2</v>
      </c>
    </row>
    <row r="90" spans="1:13" x14ac:dyDescent="0.35">
      <c r="A90" s="2" t="s">
        <v>103</v>
      </c>
      <c r="B90">
        <v>-6.078933037404039E-3</v>
      </c>
      <c r="C90">
        <v>-6.1961107874348286E-3</v>
      </c>
      <c r="D90">
        <v>-1.4845262798347648E-2</v>
      </c>
      <c r="E90">
        <v>-1.5791724541740451E-2</v>
      </c>
      <c r="F90">
        <v>-2.2956152140615894E-2</v>
      </c>
      <c r="G90">
        <v>-2.3412308602825022E-2</v>
      </c>
      <c r="H90">
        <v>-1.7816020528884511E-2</v>
      </c>
      <c r="I90">
        <v>-1.8035723281757367E-2</v>
      </c>
      <c r="J90">
        <v>-1.2601322645513202E-2</v>
      </c>
      <c r="K90">
        <v>-1.3596612059663754E-2</v>
      </c>
      <c r="L90">
        <v>-1.5720651179697176E-2</v>
      </c>
      <c r="M90">
        <v>-1.645133750933795E-2</v>
      </c>
    </row>
    <row r="91" spans="1:13" x14ac:dyDescent="0.35">
      <c r="A91" s="2" t="s">
        <v>104</v>
      </c>
      <c r="B91">
        <v>-1.2745057539206692E-2</v>
      </c>
      <c r="C91">
        <v>-1.3145019828295062E-2</v>
      </c>
      <c r="D91">
        <v>-1.7717641454602348E-2</v>
      </c>
      <c r="E91">
        <v>-1.8373493720869393E-2</v>
      </c>
      <c r="F91">
        <v>-1.5804138339411227E-2</v>
      </c>
      <c r="G91">
        <v>-1.6437728877169582E-2</v>
      </c>
      <c r="H91">
        <v>-1.5792558103162112E-2</v>
      </c>
      <c r="I91">
        <v>-1.6163261957215794E-2</v>
      </c>
      <c r="J91">
        <v>-1.7637305545611433E-2</v>
      </c>
      <c r="K91">
        <v>-1.8440115447633361E-2</v>
      </c>
      <c r="L91">
        <v>-1.8443526227991652E-2</v>
      </c>
      <c r="M91">
        <v>-1.8939286704568226E-2</v>
      </c>
    </row>
    <row r="92" spans="1:13" x14ac:dyDescent="0.35">
      <c r="A92" s="2" t="s">
        <v>105</v>
      </c>
      <c r="B92">
        <v>-1.2440128468316424E-2</v>
      </c>
      <c r="C92">
        <v>-1.2534918940921546E-2</v>
      </c>
      <c r="D92">
        <v>-1.3449795685161151E-2</v>
      </c>
      <c r="E92">
        <v>-1.3747483170078961E-2</v>
      </c>
      <c r="F92">
        <v>-1.09313168018712E-2</v>
      </c>
      <c r="G92">
        <v>-1.1091371626912797E-2</v>
      </c>
      <c r="H92">
        <v>-1.3047407534606533E-2</v>
      </c>
      <c r="I92">
        <v>-1.316748733150257E-2</v>
      </c>
      <c r="J92">
        <v>-1.636027895294162E-2</v>
      </c>
      <c r="K92">
        <v>-1.6785535945269662E-2</v>
      </c>
      <c r="L92">
        <v>-1.5324059763377898E-2</v>
      </c>
      <c r="M92">
        <v>-1.5811311005454035E-2</v>
      </c>
    </row>
    <row r="93" spans="1:13" x14ac:dyDescent="0.35">
      <c r="A93" s="2" t="s">
        <v>106</v>
      </c>
      <c r="B93">
        <v>-1.6714841397339343E-2</v>
      </c>
      <c r="C93">
        <v>-1.6786176333714903E-2</v>
      </c>
      <c r="D93">
        <v>-1.4621738312865437E-2</v>
      </c>
      <c r="E93">
        <v>-1.4745161149849379E-2</v>
      </c>
      <c r="F93">
        <v>-1.5615704690587004E-2</v>
      </c>
      <c r="G93">
        <v>-1.5659180383048643E-2</v>
      </c>
      <c r="H93">
        <v>-1.5994725649076683E-2</v>
      </c>
      <c r="I93">
        <v>-1.6119656999538351E-2</v>
      </c>
      <c r="J93">
        <v>-1.7732430102871642E-2</v>
      </c>
      <c r="K93">
        <v>-1.8418174922119682E-2</v>
      </c>
      <c r="L93">
        <v>-1.4271152408980239E-2</v>
      </c>
      <c r="M93">
        <v>-1.4287578104278508E-2</v>
      </c>
    </row>
    <row r="94" spans="1:13" x14ac:dyDescent="0.35">
      <c r="A94" s="2" t="s">
        <v>107</v>
      </c>
      <c r="B94">
        <v>-8.5105611377479691E-3</v>
      </c>
      <c r="C94">
        <v>-9.1883597945121315E-3</v>
      </c>
      <c r="D94">
        <v>-3.9503033482941952E-3</v>
      </c>
      <c r="E94">
        <v>-4.0443124958122441E-3</v>
      </c>
      <c r="F94">
        <v>-6.0832899677741043E-3</v>
      </c>
      <c r="G94">
        <v>-6.2893681107702836E-3</v>
      </c>
      <c r="H94">
        <v>-8.5976498393567479E-3</v>
      </c>
      <c r="I94">
        <v>-8.6251539750766288E-3</v>
      </c>
      <c r="J94">
        <v>-3.1743405816973191E-3</v>
      </c>
      <c r="K94">
        <v>-3.3351443688756886E-3</v>
      </c>
      <c r="L94">
        <v>-3.7367483267682954E-3</v>
      </c>
      <c r="M94">
        <v>-3.7722868997681611E-3</v>
      </c>
    </row>
    <row r="95" spans="1:13" x14ac:dyDescent="0.35">
      <c r="A95" s="2" t="s">
        <v>108</v>
      </c>
      <c r="B95">
        <v>-8.7738384268229025E-3</v>
      </c>
      <c r="C95">
        <v>-8.8973371432869309E-3</v>
      </c>
      <c r="D95">
        <v>-5.316374498732482E-3</v>
      </c>
      <c r="E95">
        <v>-5.3400847518249176E-3</v>
      </c>
      <c r="F95">
        <v>-1.5390469279010159E-2</v>
      </c>
      <c r="G95">
        <v>-1.5676444139148486E-2</v>
      </c>
      <c r="H95">
        <v>-2.8058060810578104E-2</v>
      </c>
      <c r="I95">
        <v>-2.8764730088968141E-2</v>
      </c>
      <c r="J95">
        <v>-4.5774834288331732E-3</v>
      </c>
      <c r="K95">
        <v>-4.6043845257426495E-3</v>
      </c>
      <c r="L95">
        <v>-3.6923573264383293E-3</v>
      </c>
      <c r="M95">
        <v>-3.6974179725313976E-3</v>
      </c>
    </row>
    <row r="96" spans="1:13" x14ac:dyDescent="0.35">
      <c r="A96" s="2" t="s">
        <v>109</v>
      </c>
      <c r="B96">
        <v>-9.1503392372518314E-3</v>
      </c>
      <c r="C96">
        <v>-9.181133441666935E-3</v>
      </c>
      <c r="D96">
        <v>-1.0914959917006259E-2</v>
      </c>
      <c r="E96">
        <v>-1.170698361575578E-2</v>
      </c>
      <c r="F96">
        <v>-1.0388079282818433E-2</v>
      </c>
      <c r="G96">
        <v>-1.0746630740718358E-2</v>
      </c>
      <c r="H96">
        <v>-9.4571677077175641E-3</v>
      </c>
      <c r="I96">
        <v>-9.6082523991398387E-3</v>
      </c>
      <c r="J96">
        <v>-1.4537451949019342E-2</v>
      </c>
      <c r="K96">
        <v>-1.5047161410399216E-2</v>
      </c>
      <c r="L96">
        <v>-1.1044565267704184E-2</v>
      </c>
      <c r="M96">
        <v>-1.1706898366384836E-2</v>
      </c>
    </row>
    <row r="97" spans="1:13" x14ac:dyDescent="0.35">
      <c r="A97" s="2" t="s">
        <v>110</v>
      </c>
      <c r="B97">
        <v>-4.7662877467239718E-3</v>
      </c>
      <c r="C97">
        <v>-4.7662877467239718E-3</v>
      </c>
      <c r="D97">
        <v>-1.1942408767360517E-2</v>
      </c>
      <c r="E97">
        <v>-1.1942408767360517E-2</v>
      </c>
      <c r="F97">
        <v>-1.4498284093834555E-2</v>
      </c>
      <c r="G97">
        <v>-1.4498284093834555E-2</v>
      </c>
      <c r="H97">
        <v>-1.2416399167225877E-2</v>
      </c>
      <c r="I97">
        <v>-1.2416399167225877E-2</v>
      </c>
      <c r="J97">
        <v>-1.2554698393087673E-2</v>
      </c>
      <c r="K97">
        <v>-1.2554698393087673E-2</v>
      </c>
      <c r="L97">
        <v>-1.0458780722333909E-2</v>
      </c>
      <c r="M97">
        <v>-1.0458780722333909E-2</v>
      </c>
    </row>
    <row r="98" spans="1:13" x14ac:dyDescent="0.35">
      <c r="A98" s="2" t="s">
        <v>111</v>
      </c>
      <c r="B98">
        <v>-8.3468973346353583E-3</v>
      </c>
      <c r="C98">
        <v>-8.5200988833339392E-3</v>
      </c>
      <c r="D98">
        <v>-9.701827823825027E-3</v>
      </c>
      <c r="E98">
        <v>-1.0011408083972922E-2</v>
      </c>
      <c r="F98">
        <v>-1.2880771964173594E-2</v>
      </c>
      <c r="G98">
        <v>-1.3562528132156131E-2</v>
      </c>
      <c r="H98">
        <v>-1.0980296895280748E-2</v>
      </c>
      <c r="I98">
        <v>-1.2142849761331682E-2</v>
      </c>
      <c r="J98">
        <v>-1.0563521260119727E-2</v>
      </c>
      <c r="K98">
        <v>-1.0740681151919142E-2</v>
      </c>
      <c r="L98">
        <v>-8.4826012059609681E-3</v>
      </c>
      <c r="M98">
        <v>-8.6964424688977509E-3</v>
      </c>
    </row>
    <row r="99" spans="1:13" x14ac:dyDescent="0.35">
      <c r="A99" s="2" t="s">
        <v>112</v>
      </c>
      <c r="B99">
        <v>-2.8604013417490859E-2</v>
      </c>
      <c r="C99">
        <v>-2.9043061819303939E-2</v>
      </c>
      <c r="D99">
        <v>-2.4309004285343893E-2</v>
      </c>
      <c r="E99">
        <v>-2.4398586364735544E-2</v>
      </c>
      <c r="F99">
        <v>-2.2771045643879575E-2</v>
      </c>
      <c r="G99">
        <v>-2.2863403882770496E-2</v>
      </c>
      <c r="H99">
        <v>-2.5449461354579886E-2</v>
      </c>
      <c r="I99">
        <v>-2.5612107181677717E-2</v>
      </c>
      <c r="J99">
        <v>-2.6418451654627677E-2</v>
      </c>
      <c r="K99">
        <v>-2.6571417175386493E-2</v>
      </c>
      <c r="L99">
        <v>-2.3556662960803824E-2</v>
      </c>
      <c r="M99">
        <v>-2.3742362061144429E-2</v>
      </c>
    </row>
    <row r="100" spans="1:13" x14ac:dyDescent="0.35">
      <c r="A100" s="2" t="s">
        <v>113</v>
      </c>
      <c r="B100">
        <v>-1.9685982351814488E-2</v>
      </c>
      <c r="C100">
        <v>-2.0310716363221036E-2</v>
      </c>
      <c r="D100">
        <v>-2.1486609655743814E-2</v>
      </c>
      <c r="E100">
        <v>-2.213385896339199E-2</v>
      </c>
      <c r="F100">
        <v>-2.36276748177775E-2</v>
      </c>
      <c r="G100">
        <v>-2.417763009472975E-2</v>
      </c>
      <c r="H100">
        <v>-2.0884718450742374E-2</v>
      </c>
      <c r="I100">
        <v>-2.1537234178014755E-2</v>
      </c>
      <c r="J100">
        <v>-2.2691931343604154E-2</v>
      </c>
      <c r="K100">
        <v>-2.3003215108427209E-2</v>
      </c>
      <c r="L100">
        <v>-2.3210105376039264E-2</v>
      </c>
      <c r="M100">
        <v>-2.423011200803861E-2</v>
      </c>
    </row>
    <row r="101" spans="1:13" x14ac:dyDescent="0.35">
      <c r="A101" s="2" t="s">
        <v>114</v>
      </c>
      <c r="B101">
        <v>-7.1033695732011159E-3</v>
      </c>
      <c r="C101">
        <v>-7.2438640503520923E-3</v>
      </c>
      <c r="D101">
        <v>-7.1220485743306037E-3</v>
      </c>
      <c r="E101">
        <v>-7.1605388912669874E-3</v>
      </c>
      <c r="F101">
        <v>-9.6539121640302379E-3</v>
      </c>
      <c r="G101">
        <v>-9.7954884993897724E-3</v>
      </c>
      <c r="H101">
        <v>-5.9485549535602707E-3</v>
      </c>
      <c r="I101">
        <v>-5.9824001893405932E-3</v>
      </c>
      <c r="J101">
        <v>-1.0196690763352369E-2</v>
      </c>
      <c r="K101">
        <v>-1.0292757542876885E-2</v>
      </c>
      <c r="L101">
        <v>-5.680174256341858E-3</v>
      </c>
      <c r="M101">
        <v>-5.6845861006398291E-3</v>
      </c>
    </row>
    <row r="102" spans="1:13" x14ac:dyDescent="0.35">
      <c r="A102" s="2" t="s">
        <v>115</v>
      </c>
      <c r="B102">
        <v>-1.0634172079706211E-2</v>
      </c>
      <c r="C102">
        <v>-1.0634172079706211E-2</v>
      </c>
      <c r="D102">
        <v>-2.5124098184302182E-2</v>
      </c>
      <c r="E102">
        <v>-2.5124098184302182E-2</v>
      </c>
      <c r="F102">
        <v>-4.7885409540798736E-2</v>
      </c>
      <c r="G102">
        <v>-4.7885409540798736E-2</v>
      </c>
      <c r="H102">
        <v>-3.1551423755514806E-2</v>
      </c>
      <c r="I102">
        <v>-3.1551423755514806E-2</v>
      </c>
      <c r="J102">
        <v>-2.1207987977749788E-2</v>
      </c>
      <c r="K102">
        <v>-2.1207987977749788E-2</v>
      </c>
      <c r="L102">
        <v>-1.903230404986065E-2</v>
      </c>
      <c r="M102">
        <v>-1.903230404986065E-2</v>
      </c>
    </row>
    <row r="103" spans="1:13" x14ac:dyDescent="0.35">
      <c r="A103" s="4" t="s">
        <v>116</v>
      </c>
      <c r="B103" s="3">
        <v>-2.4525353421914035E-2</v>
      </c>
      <c r="C103" s="3">
        <v>-2.5490842628063615E-2</v>
      </c>
      <c r="D103">
        <v>-2.0233117294625166E-2</v>
      </c>
      <c r="E103">
        <v>-2.1258184013026291E-2</v>
      </c>
      <c r="F103">
        <v>-2.424229895491245E-2</v>
      </c>
      <c r="G103">
        <v>-2.4665212695198724E-2</v>
      </c>
      <c r="H103">
        <v>-1.723230809212686E-2</v>
      </c>
      <c r="I103">
        <v>-1.7949992506673854E-2</v>
      </c>
      <c r="J103">
        <v>-2.3865638999805601E-2</v>
      </c>
      <c r="K103">
        <v>-2.4901840246236848E-2</v>
      </c>
      <c r="L103">
        <v>-1.8566202851668306E-2</v>
      </c>
      <c r="M103">
        <v>-1.940229017030648E-2</v>
      </c>
    </row>
    <row r="104" spans="1:13" x14ac:dyDescent="0.35">
      <c r="A104" s="2" t="s">
        <v>117</v>
      </c>
      <c r="B104">
        <v>-1.2229779462629094E-2</v>
      </c>
      <c r="C104">
        <v>-1.2546239755507832E-2</v>
      </c>
      <c r="D104">
        <v>-1.3600317164472334E-2</v>
      </c>
      <c r="E104">
        <v>-1.47805801756445E-2</v>
      </c>
      <c r="F104">
        <v>-1.572941364649575E-2</v>
      </c>
      <c r="G104">
        <v>-1.5959992706989373E-2</v>
      </c>
      <c r="H104">
        <v>-1.456735873763002E-2</v>
      </c>
      <c r="I104">
        <v>-1.5869547074391366E-2</v>
      </c>
      <c r="J104">
        <v>-1.4574841757525634E-2</v>
      </c>
      <c r="K104">
        <v>-1.5401283687407851E-2</v>
      </c>
      <c r="L104">
        <v>-1.39979061444802E-2</v>
      </c>
      <c r="M104">
        <v>-1.4910887673939239E-2</v>
      </c>
    </row>
    <row r="105" spans="1:13" x14ac:dyDescent="0.35">
      <c r="A105" s="2" t="s">
        <v>118</v>
      </c>
      <c r="B105">
        <v>-1.1314683464002773E-2</v>
      </c>
      <c r="C105">
        <v>-1.1464464082255502E-2</v>
      </c>
      <c r="D105">
        <v>-1.8795337607148493E-2</v>
      </c>
      <c r="E105">
        <v>-1.9609293134650346E-2</v>
      </c>
      <c r="F105">
        <v>-2.4825666476541674E-2</v>
      </c>
      <c r="G105">
        <v>-2.5441728866032742E-2</v>
      </c>
      <c r="H105">
        <v>-1.5251981093608138E-2</v>
      </c>
      <c r="I105">
        <v>-1.5757144069845526E-2</v>
      </c>
      <c r="J105">
        <v>-1.9563464252580147E-2</v>
      </c>
      <c r="K105">
        <v>-2.0060862876394487E-2</v>
      </c>
      <c r="L105">
        <v>-1.5747419851308436E-2</v>
      </c>
      <c r="M105">
        <v>-1.604331589206151E-2</v>
      </c>
    </row>
    <row r="106" spans="1:13" x14ac:dyDescent="0.35">
      <c r="A106" s="2" t="s">
        <v>119</v>
      </c>
      <c r="B106">
        <v>-9.6219073815937781E-3</v>
      </c>
      <c r="C106">
        <v>-9.7800648683091084E-3</v>
      </c>
      <c r="D106">
        <v>-1.468987955831017E-2</v>
      </c>
      <c r="E106">
        <v>-1.4773249806959149E-2</v>
      </c>
      <c r="F106">
        <v>-3.6434639938618951E-2</v>
      </c>
      <c r="G106">
        <v>-3.7868928359963527E-2</v>
      </c>
      <c r="H106">
        <v>-1.4391422431362112E-2</v>
      </c>
      <c r="I106">
        <v>-1.4622261193283023E-2</v>
      </c>
      <c r="J106">
        <v>-1.5238374351486087E-2</v>
      </c>
      <c r="K106">
        <v>-1.530356027203802E-2</v>
      </c>
      <c r="L106">
        <v>-1.5441382891928885E-2</v>
      </c>
      <c r="M106">
        <v>-1.555829219790196E-2</v>
      </c>
    </row>
    <row r="107" spans="1:13" x14ac:dyDescent="0.35">
      <c r="A107" s="2" t="s">
        <v>120</v>
      </c>
      <c r="B107">
        <v>-2.1868012070064769E-2</v>
      </c>
      <c r="C107">
        <v>-2.3640459057782514E-2</v>
      </c>
      <c r="D107">
        <v>-1.7648851736132103E-2</v>
      </c>
      <c r="E107">
        <v>-1.7822954177818175E-2</v>
      </c>
      <c r="F107">
        <v>-2.3773913114760514E-2</v>
      </c>
      <c r="G107">
        <v>-2.4604306574373548E-2</v>
      </c>
      <c r="H107">
        <v>-1.6306344070953993E-2</v>
      </c>
      <c r="I107">
        <v>-1.7060752374856363E-2</v>
      </c>
      <c r="J107">
        <v>-2.2287979332309825E-2</v>
      </c>
      <c r="K107">
        <v>-2.2349864771830659E-2</v>
      </c>
      <c r="L107">
        <v>-2.1049441118132589E-2</v>
      </c>
      <c r="M107">
        <v>-2.1346645200840279E-2</v>
      </c>
    </row>
    <row r="108" spans="1:13" x14ac:dyDescent="0.35">
      <c r="A108" s="2" t="s">
        <v>121</v>
      </c>
      <c r="B108">
        <v>-1.6054901409773017E-2</v>
      </c>
      <c r="C108">
        <v>-1.7223489505466264E-2</v>
      </c>
      <c r="D108">
        <v>-1.3642051099175644E-2</v>
      </c>
      <c r="E108">
        <v>-1.4103860071589532E-2</v>
      </c>
      <c r="F108">
        <v>-1.7617505188386215E-2</v>
      </c>
      <c r="G108">
        <v>-1.8863925587090914E-2</v>
      </c>
      <c r="H108">
        <v>-1.4261273404343487E-2</v>
      </c>
      <c r="I108">
        <v>-1.5644202500095839E-2</v>
      </c>
      <c r="J108">
        <v>-1.7549004659794955E-2</v>
      </c>
      <c r="K108">
        <v>-1.782795548967742E-2</v>
      </c>
      <c r="L108">
        <v>-1.1794956505468317E-2</v>
      </c>
      <c r="M108">
        <v>-1.2221730802833165E-2</v>
      </c>
    </row>
    <row r="109" spans="1:13" x14ac:dyDescent="0.35">
      <c r="A109" s="2" t="s">
        <v>122</v>
      </c>
      <c r="B109">
        <v>-2.6306456858190351E-2</v>
      </c>
      <c r="C109">
        <v>-3.1622786644691814E-2</v>
      </c>
      <c r="D109">
        <v>-2.3779227484689011E-2</v>
      </c>
      <c r="E109">
        <v>-3.3678607135577465E-2</v>
      </c>
      <c r="F109">
        <v>-2.2781176443697988E-2</v>
      </c>
      <c r="G109">
        <v>-3.6075777730057934E-2</v>
      </c>
      <c r="H109">
        <v>-2.3815119049010697E-2</v>
      </c>
      <c r="I109">
        <v>-2.786974327532709E-2</v>
      </c>
      <c r="J109">
        <v>-2.6285103565180795E-2</v>
      </c>
      <c r="K109">
        <v>-3.5372922301591316E-2</v>
      </c>
      <c r="L109">
        <v>-2.323212758707055E-2</v>
      </c>
      <c r="M109">
        <v>-3.3712779360090532E-2</v>
      </c>
    </row>
    <row r="110" spans="1:13" x14ac:dyDescent="0.35">
      <c r="A110" s="2" t="s">
        <v>123</v>
      </c>
      <c r="B110">
        <v>-1.1507661063356456E-2</v>
      </c>
      <c r="C110">
        <v>-1.2235497755818493E-2</v>
      </c>
      <c r="D110">
        <v>-1.2246438583899252E-2</v>
      </c>
      <c r="E110">
        <v>-1.2952782373052304E-2</v>
      </c>
      <c r="F110">
        <v>-1.0301017505314878E-2</v>
      </c>
      <c r="G110">
        <v>-1.030669702081234E-2</v>
      </c>
      <c r="H110">
        <v>-1.2432351285923593E-2</v>
      </c>
      <c r="I110">
        <v>-1.3459507425424093E-2</v>
      </c>
      <c r="J110">
        <v>-1.4193801218080192E-2</v>
      </c>
      <c r="K110">
        <v>-1.5576937166905287E-2</v>
      </c>
      <c r="L110">
        <v>-1.5377103427565509E-2</v>
      </c>
      <c r="M110">
        <v>-1.6751494833780797E-2</v>
      </c>
    </row>
    <row r="111" spans="1:13" x14ac:dyDescent="0.35">
      <c r="A111" s="2" t="s">
        <v>124</v>
      </c>
      <c r="B111">
        <v>-9.0417475340424207E-3</v>
      </c>
      <c r="C111">
        <v>-9.0738441940600555E-3</v>
      </c>
      <c r="D111">
        <v>-1.8818087673407945E-2</v>
      </c>
      <c r="E111">
        <v>-1.9483574627189339E-2</v>
      </c>
      <c r="F111">
        <v>-2.5332830177147301E-2</v>
      </c>
      <c r="G111">
        <v>-2.6253705780519623E-2</v>
      </c>
      <c r="H111">
        <v>-1.7584494913161983E-2</v>
      </c>
      <c r="I111">
        <v>-1.8027895227502522E-2</v>
      </c>
      <c r="J111">
        <v>-2.6263737930136991E-2</v>
      </c>
      <c r="K111">
        <v>-2.7092856989532756E-2</v>
      </c>
      <c r="L111">
        <v>-1.7890047150503064E-2</v>
      </c>
      <c r="M111">
        <v>-1.8578502112716711E-2</v>
      </c>
    </row>
    <row r="112" spans="1:13" x14ac:dyDescent="0.35">
      <c r="A112" s="2" t="s">
        <v>125</v>
      </c>
      <c r="B112">
        <v>-1.7252983452050896E-2</v>
      </c>
      <c r="C112">
        <v>-1.7906743029252558E-2</v>
      </c>
      <c r="D112">
        <v>-1.771527284257278E-2</v>
      </c>
      <c r="E112">
        <v>-1.848360686935073E-2</v>
      </c>
      <c r="F112">
        <v>-1.3514085476556652E-2</v>
      </c>
      <c r="G112">
        <v>-1.3865352056368564E-2</v>
      </c>
      <c r="H112">
        <v>-1.6465518892408538E-2</v>
      </c>
      <c r="I112">
        <v>-1.6836829957658155E-2</v>
      </c>
      <c r="J112">
        <v>-1.6172541189254156E-2</v>
      </c>
      <c r="K112">
        <v>-1.6216550356998073E-2</v>
      </c>
      <c r="L112">
        <v>-1.9213583905713327E-2</v>
      </c>
      <c r="M112">
        <v>-2.0459414505677471E-2</v>
      </c>
    </row>
    <row r="113" spans="1:13" x14ac:dyDescent="0.35">
      <c r="A113" s="2" t="s">
        <v>126</v>
      </c>
      <c r="B113">
        <v>-6.6315138628037819E-3</v>
      </c>
      <c r="C113">
        <v>-6.6834896092722246E-3</v>
      </c>
      <c r="D113">
        <v>-5.9291229365170924E-3</v>
      </c>
      <c r="E113">
        <v>-6.0800037922172203E-3</v>
      </c>
      <c r="F113">
        <v>-7.7398156022815958E-3</v>
      </c>
      <c r="G113">
        <v>-7.9044401095470646E-3</v>
      </c>
      <c r="H113">
        <v>-7.6529148535249333E-3</v>
      </c>
      <c r="I113">
        <v>-7.6631153974923783E-3</v>
      </c>
      <c r="J113">
        <v>-9.1955618416949079E-3</v>
      </c>
      <c r="K113">
        <v>-9.4760213686374221E-3</v>
      </c>
      <c r="L113">
        <v>-6.3242318003971345E-3</v>
      </c>
      <c r="M113">
        <v>-6.483218836211042E-3</v>
      </c>
    </row>
    <row r="114" spans="1:13" x14ac:dyDescent="0.35">
      <c r="A114" s="2" t="s">
        <v>127</v>
      </c>
      <c r="B114">
        <v>-2.1072716725324219E-2</v>
      </c>
      <c r="C114">
        <v>-2.1330981536626072E-2</v>
      </c>
      <c r="D114">
        <v>-2.8870341980290624E-2</v>
      </c>
      <c r="E114">
        <v>-2.9354739100480427E-2</v>
      </c>
      <c r="F114">
        <v>-2.7064088794964285E-2</v>
      </c>
      <c r="G114">
        <v>-2.7155370778338697E-2</v>
      </c>
      <c r="H114">
        <v>-1.8628794623571542E-2</v>
      </c>
      <c r="I114">
        <v>-1.8719002760647294E-2</v>
      </c>
      <c r="J114">
        <v>-2.5709824577306407E-2</v>
      </c>
      <c r="K114">
        <v>-2.611889762470938E-2</v>
      </c>
      <c r="L114">
        <v>-2.7551640999170911E-2</v>
      </c>
      <c r="M114">
        <v>-2.7977290246964465E-2</v>
      </c>
    </row>
    <row r="115" spans="1:13" x14ac:dyDescent="0.35">
      <c r="A115" s="2" t="s">
        <v>128</v>
      </c>
      <c r="B115">
        <v>-6.4568095426003978E-3</v>
      </c>
      <c r="C115">
        <v>-6.4568095426003978E-3</v>
      </c>
      <c r="D115">
        <v>-4.2635820575628904E-3</v>
      </c>
      <c r="E115">
        <v>-4.2635820575628904E-3</v>
      </c>
      <c r="F115">
        <v>-7.3417347532991825E-3</v>
      </c>
      <c r="G115">
        <v>-7.3417347532991825E-3</v>
      </c>
      <c r="H115">
        <v>-6.8209738480603313E-3</v>
      </c>
      <c r="I115">
        <v>-6.8209738480603313E-3</v>
      </c>
      <c r="J115">
        <v>-5.987955473787868E-3</v>
      </c>
      <c r="K115">
        <v>-5.987955473787868E-3</v>
      </c>
      <c r="L115">
        <v>-6.2188551560369565E-3</v>
      </c>
      <c r="M115">
        <v>-6.2188551560369565E-3</v>
      </c>
    </row>
    <row r="116" spans="1:13" x14ac:dyDescent="0.35">
      <c r="A116" s="2" t="s">
        <v>129</v>
      </c>
      <c r="B116">
        <v>-9.8072150734217732E-3</v>
      </c>
      <c r="C116">
        <v>-1.0538235652549265E-2</v>
      </c>
      <c r="D116">
        <v>-1.5200513391859273E-2</v>
      </c>
      <c r="E116">
        <v>-1.7385568786824252E-2</v>
      </c>
      <c r="F116">
        <v>-2.0451769640048332E-2</v>
      </c>
      <c r="G116">
        <v>-2.0550765580473401E-2</v>
      </c>
      <c r="H116">
        <v>-2.2104438204009248E-2</v>
      </c>
      <c r="I116">
        <v>-2.5141418716646401E-2</v>
      </c>
      <c r="J116">
        <v>-2.0186460689722911E-2</v>
      </c>
      <c r="K116">
        <v>-2.2002368563334207E-2</v>
      </c>
      <c r="L116">
        <v>-1.448919925741741E-2</v>
      </c>
      <c r="M116">
        <v>-1.6204210333546815E-2</v>
      </c>
    </row>
    <row r="117" spans="1:13" x14ac:dyDescent="0.35">
      <c r="A117" s="2" t="s">
        <v>130</v>
      </c>
      <c r="B117">
        <v>-3.2734319346817392E-2</v>
      </c>
      <c r="C117">
        <v>-3.2994701863870241E-2</v>
      </c>
      <c r="D117">
        <v>-3.2554201915853863E-2</v>
      </c>
      <c r="E117">
        <v>-3.3183211040231246E-2</v>
      </c>
      <c r="F117">
        <v>-2.5576440271069766E-2</v>
      </c>
      <c r="G117">
        <v>-2.5600693581814059E-2</v>
      </c>
      <c r="H117">
        <v>-1.980905683199671E-2</v>
      </c>
      <c r="I117">
        <v>-2.0026456555646922E-2</v>
      </c>
      <c r="J117">
        <v>-3.1092920788207166E-2</v>
      </c>
      <c r="K117">
        <v>-3.1563299059465783E-2</v>
      </c>
      <c r="L117">
        <v>-3.5645049506053073E-2</v>
      </c>
      <c r="M117">
        <v>-3.6354781880387925E-2</v>
      </c>
    </row>
    <row r="118" spans="1:13" x14ac:dyDescent="0.35">
      <c r="A118" s="2" t="s">
        <v>131</v>
      </c>
      <c r="B118">
        <v>-4.9471720251315892E-3</v>
      </c>
      <c r="C118">
        <v>-5.0037859095457193E-3</v>
      </c>
      <c r="D118">
        <v>-9.6118063182984992E-3</v>
      </c>
      <c r="E118">
        <v>-9.68444733140085E-3</v>
      </c>
      <c r="F118">
        <v>-1.0094266680065453E-2</v>
      </c>
      <c r="G118">
        <v>-1.0147934365150151E-2</v>
      </c>
      <c r="H118">
        <v>-9.4351244813064717E-3</v>
      </c>
      <c r="I118">
        <v>-9.4448719962749485E-3</v>
      </c>
      <c r="J118">
        <v>-9.828268053173498E-3</v>
      </c>
      <c r="K118">
        <v>-1.0131346448688855E-2</v>
      </c>
      <c r="L118">
        <v>-1.048827921005931E-2</v>
      </c>
      <c r="M118">
        <v>-1.0602897184209698E-2</v>
      </c>
    </row>
    <row r="119" spans="1:13" x14ac:dyDescent="0.35">
      <c r="A119" s="2" t="s">
        <v>132</v>
      </c>
      <c r="B119">
        <v>-3.2057017709861829E-2</v>
      </c>
      <c r="C119">
        <v>-3.5396730722781829E-2</v>
      </c>
      <c r="D119">
        <v>-2.790620243587718E-2</v>
      </c>
      <c r="E119">
        <v>-3.0281211912153171E-2</v>
      </c>
      <c r="F119">
        <v>-2.6469179657863807E-2</v>
      </c>
      <c r="G119">
        <v>-2.9120308983266553E-2</v>
      </c>
      <c r="H119">
        <v>-2.5714706493313668E-2</v>
      </c>
      <c r="I119">
        <v>-2.8068951558240022E-2</v>
      </c>
      <c r="J119">
        <v>-2.5792459345251144E-2</v>
      </c>
      <c r="K119">
        <v>-2.7996278849128683E-2</v>
      </c>
      <c r="L119">
        <v>-2.910887483056887E-2</v>
      </c>
      <c r="M119">
        <v>-3.1736538864542252E-2</v>
      </c>
    </row>
    <row r="120" spans="1:13" x14ac:dyDescent="0.35">
      <c r="A120" s="2" t="s">
        <v>133</v>
      </c>
      <c r="B120">
        <v>-8.0085525441426775E-3</v>
      </c>
      <c r="C120">
        <v>-8.0286780014442588E-3</v>
      </c>
      <c r="D120">
        <v>-3.4352033328883614E-3</v>
      </c>
      <c r="E120">
        <v>-3.4361128810545777E-3</v>
      </c>
      <c r="F120">
        <v>-8.3517784932952439E-3</v>
      </c>
      <c r="G120">
        <v>-8.6029882431942952E-3</v>
      </c>
      <c r="H120">
        <v>-1.1791279031410376E-2</v>
      </c>
      <c r="I120">
        <v>-1.2129091682768231E-2</v>
      </c>
      <c r="J120">
        <v>-4.7567863085362858E-3</v>
      </c>
      <c r="K120">
        <v>-4.774972433938993E-3</v>
      </c>
      <c r="L120">
        <v>-3.4078626866513705E-3</v>
      </c>
      <c r="M120">
        <v>-3.5037252327376222E-3</v>
      </c>
    </row>
    <row r="121" spans="1:13" x14ac:dyDescent="0.35">
      <c r="A121" s="2" t="s">
        <v>134</v>
      </c>
      <c r="B121">
        <v>-1.3656305262626275E-2</v>
      </c>
      <c r="C121">
        <v>-1.4720304335286347E-2</v>
      </c>
      <c r="D121">
        <v>-1.077828223056344E-2</v>
      </c>
      <c r="E121">
        <v>-2.0987804903266669E-2</v>
      </c>
      <c r="F121">
        <v>-1.2498787157846124E-2</v>
      </c>
      <c r="G121">
        <v>-2.3082738476258489E-2</v>
      </c>
      <c r="H121">
        <v>-1.0909497355400945E-2</v>
      </c>
      <c r="I121">
        <v>-2.1148057216483194E-2</v>
      </c>
      <c r="J121">
        <v>-1.0742020044490888E-2</v>
      </c>
      <c r="K121">
        <v>-2.074036237687241E-2</v>
      </c>
      <c r="L121">
        <v>-1.1826890944555853E-2</v>
      </c>
      <c r="M121">
        <v>-2.0259145101798166E-2</v>
      </c>
    </row>
    <row r="122" spans="1:13" x14ac:dyDescent="0.35">
      <c r="A122" s="2" t="s">
        <v>135</v>
      </c>
      <c r="B122">
        <v>-2.1701880473797005E-2</v>
      </c>
      <c r="C122">
        <v>-2.3712839623829349E-2</v>
      </c>
      <c r="D122">
        <v>-2.5140343587988234E-2</v>
      </c>
      <c r="E122">
        <v>-2.7176139381571592E-2</v>
      </c>
      <c r="F122">
        <v>-2.331200668754781E-2</v>
      </c>
      <c r="G122">
        <v>-2.3341651284734175E-2</v>
      </c>
      <c r="H122">
        <v>-1.932802699600147E-2</v>
      </c>
      <c r="I122">
        <v>-2.0678769206015687E-2</v>
      </c>
      <c r="J122">
        <v>-2.5735972932936686E-2</v>
      </c>
      <c r="K122">
        <v>-2.777548711624727E-2</v>
      </c>
      <c r="L122">
        <v>-2.5168839272424449E-2</v>
      </c>
      <c r="M122">
        <v>-2.7129821057584373E-2</v>
      </c>
    </row>
    <row r="123" spans="1:13" x14ac:dyDescent="0.35">
      <c r="A123" s="2" t="s">
        <v>136</v>
      </c>
      <c r="B123">
        <v>-4.6523098143577177E-2</v>
      </c>
      <c r="C123">
        <v>-4.6668053707366056E-2</v>
      </c>
      <c r="D123">
        <v>-4.0744576562953695E-2</v>
      </c>
      <c r="E123">
        <v>-4.0927471991757516E-2</v>
      </c>
      <c r="F123">
        <v>-5.4890358955676552E-2</v>
      </c>
      <c r="G123">
        <v>-5.5863091763679165E-2</v>
      </c>
      <c r="H123">
        <v>-4.13152059205436E-2</v>
      </c>
      <c r="I123">
        <v>-4.1586398867063716E-2</v>
      </c>
      <c r="J123">
        <v>-4.0814792398573115E-2</v>
      </c>
      <c r="K123">
        <v>-4.0892324469004052E-2</v>
      </c>
      <c r="L123">
        <v>-3.9951835301447948E-2</v>
      </c>
      <c r="M123">
        <v>-4.0245365086637092E-2</v>
      </c>
    </row>
    <row r="124" spans="1:13" x14ac:dyDescent="0.35">
      <c r="A124" s="2" t="s">
        <v>137</v>
      </c>
      <c r="B124">
        <v>-1.7252983452050896E-2</v>
      </c>
      <c r="C124">
        <v>-6.0179914489783624E-2</v>
      </c>
      <c r="D124">
        <v>-1.771527284257278E-2</v>
      </c>
      <c r="E124">
        <v>-6.3005537344676343E-2</v>
      </c>
      <c r="F124">
        <v>-1.3514085476556652E-2</v>
      </c>
      <c r="G124">
        <v>-6.2615447784510225E-2</v>
      </c>
      <c r="H124">
        <v>-1.6465518892408538E-2</v>
      </c>
      <c r="I124">
        <v>-5.3420508999243686E-2</v>
      </c>
      <c r="J124">
        <v>-1.6172541189254156E-2</v>
      </c>
      <c r="K124">
        <v>-5.9740915430105575E-2</v>
      </c>
      <c r="L124">
        <v>-1.9213583905713327E-2</v>
      </c>
      <c r="M124">
        <v>-6.5474604270831793E-2</v>
      </c>
    </row>
    <row r="125" spans="1:13" x14ac:dyDescent="0.35">
      <c r="A125" s="4" t="s">
        <v>138</v>
      </c>
      <c r="B125" s="3">
        <v>-4.2960944734626763E-2</v>
      </c>
      <c r="C125" s="3">
        <v>-4.3373559466673692E-2</v>
      </c>
      <c r="D125">
        <v>-4.1336560872742602E-2</v>
      </c>
      <c r="E125">
        <v>-4.1459477843720699E-2</v>
      </c>
      <c r="F125">
        <v>-4.836508464338074E-2</v>
      </c>
      <c r="G125">
        <v>-4.8984192364960447E-2</v>
      </c>
      <c r="H125">
        <v>-3.8202639124834709E-2</v>
      </c>
      <c r="I125">
        <v>-3.8590689112776008E-2</v>
      </c>
      <c r="J125">
        <v>-4.0697361539728465E-2</v>
      </c>
      <c r="K125">
        <v>-4.0725793363366819E-2</v>
      </c>
      <c r="L125">
        <v>-4.3642572522058228E-2</v>
      </c>
      <c r="M125">
        <v>-4.3915482953290015E-2</v>
      </c>
    </row>
    <row r="126" spans="1:13" x14ac:dyDescent="0.35">
      <c r="A126" s="2" t="s">
        <v>139</v>
      </c>
      <c r="B126">
        <v>-2.7738663314251781E-2</v>
      </c>
      <c r="C126">
        <v>-3.3824630386771908E-2</v>
      </c>
      <c r="D126">
        <v>-2.7808437262128217E-2</v>
      </c>
      <c r="E126">
        <v>-3.8807810393935403E-2</v>
      </c>
      <c r="F126">
        <v>-2.4051125873958461E-2</v>
      </c>
      <c r="G126">
        <v>-3.7721347952089063E-2</v>
      </c>
      <c r="H126">
        <v>-2.7107448971331053E-2</v>
      </c>
      <c r="I126">
        <v>-3.6633594147626597E-2</v>
      </c>
      <c r="J126">
        <v>-2.7586497620954626E-2</v>
      </c>
      <c r="K126">
        <v>-3.7028972977372239E-2</v>
      </c>
      <c r="L126">
        <v>-3.1095129761731108E-2</v>
      </c>
      <c r="M126">
        <v>-4.3345582111293982E-2</v>
      </c>
    </row>
    <row r="127" spans="1:13" x14ac:dyDescent="0.35">
      <c r="A127" s="2" t="s">
        <v>140</v>
      </c>
      <c r="B127">
        <v>-5.0149485973844728E-2</v>
      </c>
      <c r="C127">
        <v>-5.1913178348977324E-2</v>
      </c>
      <c r="D127">
        <v>-4.4866718461043377E-2</v>
      </c>
      <c r="E127">
        <v>-4.6337433176830096E-2</v>
      </c>
      <c r="F127">
        <v>-4.7883497963209024E-2</v>
      </c>
      <c r="G127">
        <v>-4.9337281850816324E-2</v>
      </c>
      <c r="H127">
        <v>-4.9818398171696546E-2</v>
      </c>
      <c r="I127">
        <v>-5.1664893376763735E-2</v>
      </c>
      <c r="J127">
        <v>-4.4632026439250107E-2</v>
      </c>
      <c r="K127">
        <v>-4.5710791668840234E-2</v>
      </c>
      <c r="L127">
        <v>-4.6343586004043549E-2</v>
      </c>
      <c r="M127">
        <v>-4.8204593716093543E-2</v>
      </c>
    </row>
    <row r="128" spans="1:13" x14ac:dyDescent="0.35">
      <c r="A128" s="2" t="s">
        <v>141</v>
      </c>
      <c r="B128">
        <v>-1.8583594006428922E-2</v>
      </c>
      <c r="C128">
        <v>-1.9281129927416235E-2</v>
      </c>
      <c r="D128">
        <v>-2.6251115189896704E-2</v>
      </c>
      <c r="E128">
        <v>-2.8260919944963256E-2</v>
      </c>
      <c r="F128">
        <v>-3.0676016903073828E-2</v>
      </c>
      <c r="G128">
        <v>-3.3350879596743037E-2</v>
      </c>
      <c r="H128">
        <v>-2.7050688499664261E-2</v>
      </c>
      <c r="I128">
        <v>-2.9517449817446858E-2</v>
      </c>
      <c r="J128">
        <v>-3.2194337815126262E-2</v>
      </c>
      <c r="K128">
        <v>-3.5128727555956203E-2</v>
      </c>
      <c r="L128">
        <v>-2.0349874727559957E-2</v>
      </c>
      <c r="M128">
        <v>-2.1566969346964667E-2</v>
      </c>
    </row>
    <row r="129" spans="1:13" x14ac:dyDescent="0.35">
      <c r="A129" s="2" t="s">
        <v>142</v>
      </c>
      <c r="B129">
        <v>-1.6244468827775204E-2</v>
      </c>
      <c r="C129">
        <v>-1.6335041166834329E-2</v>
      </c>
      <c r="D129">
        <v>-1.3147830520389375E-2</v>
      </c>
      <c r="E129">
        <v>-1.3241288191374692E-2</v>
      </c>
      <c r="F129">
        <v>-1.4500575421230793E-2</v>
      </c>
      <c r="G129">
        <v>-1.4501311645987723E-2</v>
      </c>
      <c r="H129">
        <v>-1.4289984901084693E-2</v>
      </c>
      <c r="I129">
        <v>-1.4339096871343635E-2</v>
      </c>
      <c r="J129">
        <v>-1.1203720385702639E-2</v>
      </c>
      <c r="K129">
        <v>-1.141781041044789E-2</v>
      </c>
      <c r="L129">
        <v>-1.5755158456661873E-2</v>
      </c>
      <c r="M129">
        <v>-1.5881900710193589E-2</v>
      </c>
    </row>
    <row r="130" spans="1:13" x14ac:dyDescent="0.35">
      <c r="A130" s="2" t="s">
        <v>143</v>
      </c>
      <c r="B130">
        <v>-3.386406200534884E-2</v>
      </c>
      <c r="C130">
        <v>-3.6255690402661397E-2</v>
      </c>
      <c r="D130">
        <v>-3.4509647719686141E-2</v>
      </c>
      <c r="E130">
        <v>-3.809517472856723E-2</v>
      </c>
      <c r="F130">
        <v>-3.5205406654986338E-2</v>
      </c>
      <c r="G130">
        <v>-3.8189538880905094E-2</v>
      </c>
      <c r="H130">
        <v>-3.3392029411408661E-2</v>
      </c>
      <c r="I130">
        <v>-3.4873340989394194E-2</v>
      </c>
      <c r="J130">
        <v>-4.0515389527007922E-2</v>
      </c>
      <c r="K130">
        <v>-4.4733825860454796E-2</v>
      </c>
      <c r="L130">
        <v>-3.4791446240900109E-2</v>
      </c>
      <c r="M130">
        <v>-3.8108154367996784E-2</v>
      </c>
    </row>
    <row r="131" spans="1:13" x14ac:dyDescent="0.35">
      <c r="A131" s="2" t="s">
        <v>144</v>
      </c>
      <c r="B131">
        <v>-2.4539560123556382E-2</v>
      </c>
      <c r="C131">
        <v>-2.5328284133880153E-2</v>
      </c>
      <c r="D131">
        <v>-3.4620250487975582E-2</v>
      </c>
      <c r="E131">
        <v>-3.5488482534428586E-2</v>
      </c>
      <c r="F131">
        <v>-3.9426132791430889E-2</v>
      </c>
      <c r="G131">
        <v>-4.1434284885656529E-2</v>
      </c>
      <c r="H131">
        <v>-2.6161072561919237E-2</v>
      </c>
      <c r="I131">
        <v>-2.6956385084782004E-2</v>
      </c>
      <c r="J131">
        <v>-4.1869531649098429E-2</v>
      </c>
      <c r="K131">
        <v>-4.2595187476155275E-2</v>
      </c>
      <c r="L131">
        <v>-3.2358472717817222E-2</v>
      </c>
      <c r="M131">
        <v>-3.4306476187290449E-2</v>
      </c>
    </row>
    <row r="132" spans="1:13" x14ac:dyDescent="0.35">
      <c r="A132" s="2" t="s">
        <v>145</v>
      </c>
      <c r="B132">
        <v>-1.5360717420003309E-2</v>
      </c>
      <c r="C132">
        <v>-1.5611865751471426E-2</v>
      </c>
      <c r="D132">
        <v>-1.1211000645514462E-2</v>
      </c>
      <c r="E132">
        <v>-1.1340851009882727E-2</v>
      </c>
      <c r="F132">
        <v>-1.2651847888327126E-2</v>
      </c>
      <c r="G132">
        <v>-1.3125944980734107E-2</v>
      </c>
      <c r="H132">
        <v>-1.3464550952595442E-2</v>
      </c>
      <c r="I132">
        <v>-1.3991228749040657E-2</v>
      </c>
      <c r="J132">
        <v>-1.2065389008576829E-2</v>
      </c>
      <c r="K132">
        <v>-1.2427674678319407E-2</v>
      </c>
      <c r="L132">
        <v>-1.5196326846536313E-2</v>
      </c>
      <c r="M132">
        <v>-1.5292985352338882E-2</v>
      </c>
    </row>
    <row r="133" spans="1:13" x14ac:dyDescent="0.35">
      <c r="A133" s="2" t="s">
        <v>146</v>
      </c>
      <c r="B133">
        <v>-2.8522370980979629E-2</v>
      </c>
      <c r="C133">
        <v>-2.8522370980979629E-2</v>
      </c>
      <c r="D133">
        <v>-2.7755333776571574E-2</v>
      </c>
      <c r="E133">
        <v>-2.7755333776571574E-2</v>
      </c>
      <c r="F133">
        <v>-2.6074486317987478E-2</v>
      </c>
      <c r="G133">
        <v>-2.6074486317987478E-2</v>
      </c>
      <c r="H133">
        <v>-3.1290462194586879E-2</v>
      </c>
      <c r="I133">
        <v>-3.1290462194586879E-2</v>
      </c>
      <c r="J133">
        <v>-2.8592394316919123E-2</v>
      </c>
      <c r="K133">
        <v>-2.8592394316919123E-2</v>
      </c>
      <c r="L133">
        <v>-2.4632283431022903E-2</v>
      </c>
      <c r="M133">
        <v>-2.4632283431022903E-2</v>
      </c>
    </row>
    <row r="134" spans="1:13" x14ac:dyDescent="0.35">
      <c r="A134" s="2" t="s">
        <v>147</v>
      </c>
      <c r="B134">
        <v>-1.9933954989483884E-2</v>
      </c>
      <c r="C134">
        <v>-2.038955079307616E-2</v>
      </c>
      <c r="D134">
        <v>-2.1200429568141811E-2</v>
      </c>
      <c r="E134">
        <v>-2.1482737033557263E-2</v>
      </c>
      <c r="F134">
        <v>-1.6069992677068885E-2</v>
      </c>
      <c r="G134">
        <v>-1.6083201147475197E-2</v>
      </c>
      <c r="H134">
        <v>-2.2065735418984721E-2</v>
      </c>
      <c r="I134">
        <v>-2.230812713481533E-2</v>
      </c>
      <c r="J134">
        <v>-1.8175267385852539E-2</v>
      </c>
      <c r="K134">
        <v>-1.8226534839327253E-2</v>
      </c>
      <c r="L134">
        <v>-2.0176568681320516E-2</v>
      </c>
      <c r="M134">
        <v>-2.0406346006003374E-2</v>
      </c>
    </row>
    <row r="135" spans="1:13" x14ac:dyDescent="0.35">
      <c r="A135" s="2" t="s">
        <v>148</v>
      </c>
      <c r="B135">
        <v>-2.2588486204297608E-2</v>
      </c>
      <c r="C135">
        <v>-2.3280512534737289E-2</v>
      </c>
      <c r="D135">
        <v>-1.3031776201524542E-2</v>
      </c>
      <c r="E135">
        <v>-1.3341325377389454E-2</v>
      </c>
      <c r="F135">
        <v>-1.1245165708644082E-2</v>
      </c>
      <c r="G135">
        <v>-1.1250806963240613E-2</v>
      </c>
      <c r="H135">
        <v>-1.4298959509048989E-2</v>
      </c>
      <c r="I135">
        <v>-1.4461036318008795E-2</v>
      </c>
      <c r="J135">
        <v>-1.0897248420236788E-2</v>
      </c>
      <c r="K135">
        <v>-1.1105477820694206E-2</v>
      </c>
      <c r="L135">
        <v>-1.366960263420983E-2</v>
      </c>
      <c r="M135">
        <v>-1.4045539076652168E-2</v>
      </c>
    </row>
    <row r="136" spans="1:13" x14ac:dyDescent="0.35">
      <c r="A136" s="2" t="s">
        <v>149</v>
      </c>
      <c r="B136">
        <v>-1.2838584873927895E-2</v>
      </c>
      <c r="C136">
        <v>-1.380373672430211E-2</v>
      </c>
      <c r="D136">
        <v>-9.2456912605106238E-3</v>
      </c>
      <c r="E136">
        <v>-9.5764584872828473E-3</v>
      </c>
      <c r="F136">
        <v>-7.5858383446014647E-3</v>
      </c>
      <c r="G136">
        <v>-7.8238250185912756E-3</v>
      </c>
      <c r="H136">
        <v>-1.7282859800945335E-2</v>
      </c>
      <c r="I136">
        <v>-1.775950219305179E-2</v>
      </c>
      <c r="J136">
        <v>-1.0349788039877544E-2</v>
      </c>
      <c r="K136">
        <v>-1.051290582299455E-2</v>
      </c>
      <c r="L136">
        <v>-1.0253829265843492E-2</v>
      </c>
      <c r="M136">
        <v>-1.0750678756138029E-2</v>
      </c>
    </row>
    <row r="137" spans="1:13" x14ac:dyDescent="0.35">
      <c r="A137" s="2" t="s">
        <v>150</v>
      </c>
      <c r="B137">
        <v>-2.1952674617674611E-2</v>
      </c>
      <c r="C137">
        <v>-2.2862727643318891E-2</v>
      </c>
      <c r="D137">
        <v>-1.9241930403307392E-2</v>
      </c>
      <c r="E137">
        <v>-1.9962046556632817E-2</v>
      </c>
      <c r="F137">
        <v>-2.38529627739252E-2</v>
      </c>
      <c r="G137">
        <v>-2.4716659655186539E-2</v>
      </c>
      <c r="H137">
        <v>-2.8305069935539079E-2</v>
      </c>
      <c r="I137">
        <v>-2.9354263618326659E-2</v>
      </c>
      <c r="J137">
        <v>-1.5335571469315397E-2</v>
      </c>
      <c r="K137">
        <v>-1.566566126413068E-2</v>
      </c>
      <c r="L137">
        <v>-2.0325416922513821E-2</v>
      </c>
      <c r="M137">
        <v>-2.1118119385507506E-2</v>
      </c>
    </row>
    <row r="138" spans="1:13" x14ac:dyDescent="0.35">
      <c r="A138" s="2" t="s">
        <v>151</v>
      </c>
      <c r="B138">
        <v>-1.5461193873938657E-2</v>
      </c>
      <c r="C138">
        <v>-2.3758129677812767E-2</v>
      </c>
      <c r="D138">
        <v>-1.7593767405101452E-2</v>
      </c>
      <c r="E138">
        <v>-1.9397276178836194E-2</v>
      </c>
      <c r="F138">
        <v>-1.6040900538543606E-2</v>
      </c>
      <c r="G138">
        <v>-1.654098748099812E-2</v>
      </c>
      <c r="H138">
        <v>-1.3141544238655597E-2</v>
      </c>
      <c r="I138">
        <v>-1.7329391557244538E-2</v>
      </c>
      <c r="J138">
        <v>-1.8428541660390332E-2</v>
      </c>
      <c r="K138">
        <v>-1.8633932496901442E-2</v>
      </c>
      <c r="L138">
        <v>-1.5090355303305793E-2</v>
      </c>
      <c r="M138">
        <v>-1.8746528327207582E-2</v>
      </c>
    </row>
    <row r="139" spans="1:13" x14ac:dyDescent="0.35">
      <c r="A139" s="2" t="s">
        <v>152</v>
      </c>
      <c r="B139">
        <v>-2.0933365593610618E-2</v>
      </c>
      <c r="C139">
        <v>-2.3051287299374931E-2</v>
      </c>
      <c r="D139">
        <v>-1.7150124683531914E-2</v>
      </c>
      <c r="E139">
        <v>-1.8145231028521714E-2</v>
      </c>
      <c r="F139">
        <v>-1.8213012961315271E-2</v>
      </c>
      <c r="G139">
        <v>-1.9455664907322305E-2</v>
      </c>
      <c r="H139">
        <v>-1.9835922318024217E-2</v>
      </c>
      <c r="I139">
        <v>-2.0135392936898439E-2</v>
      </c>
      <c r="J139">
        <v>-1.6984711401830905E-2</v>
      </c>
      <c r="K139">
        <v>-1.7939447041170599E-2</v>
      </c>
      <c r="L139">
        <v>-1.3948073088709064E-2</v>
      </c>
      <c r="M139">
        <v>-1.4673012584069278E-2</v>
      </c>
    </row>
    <row r="140" spans="1:13" x14ac:dyDescent="0.35">
      <c r="A140" s="2" t="s">
        <v>153</v>
      </c>
      <c r="B140">
        <v>-2.9293746143196537E-2</v>
      </c>
      <c r="C140">
        <v>-3.0488804660108719E-2</v>
      </c>
      <c r="D140">
        <v>-2.6121449832173217E-2</v>
      </c>
      <c r="E140">
        <v>-2.6931803644515546E-2</v>
      </c>
      <c r="F140">
        <v>-3.2698732935478064E-2</v>
      </c>
      <c r="G140">
        <v>-3.39196605598963E-2</v>
      </c>
      <c r="H140">
        <v>-2.4187985242497143E-2</v>
      </c>
      <c r="I140">
        <v>-2.4334996262447561E-2</v>
      </c>
      <c r="J140">
        <v>-2.5187754593195329E-2</v>
      </c>
      <c r="K140">
        <v>-2.6546287492788645E-2</v>
      </c>
      <c r="L140">
        <v>-2.4912782472225073E-2</v>
      </c>
      <c r="M140">
        <v>-2.5731955445123904E-2</v>
      </c>
    </row>
    <row r="141" spans="1:13" x14ac:dyDescent="0.35">
      <c r="A141" s="2" t="s">
        <v>154</v>
      </c>
      <c r="B141">
        <v>-2.0208320632315483E-2</v>
      </c>
      <c r="C141">
        <v>-2.1520126881511482E-2</v>
      </c>
      <c r="D141">
        <v>-1.4656502679280902E-2</v>
      </c>
      <c r="E141">
        <v>-1.5566585246476803E-2</v>
      </c>
      <c r="F141">
        <v>-1.5599894805212219E-2</v>
      </c>
      <c r="G141">
        <v>-1.6388313153124369E-2</v>
      </c>
      <c r="H141">
        <v>-9.3825682363031394E-3</v>
      </c>
      <c r="I141">
        <v>-9.4795926469102808E-3</v>
      </c>
      <c r="J141">
        <v>-1.1777896666868447E-2</v>
      </c>
      <c r="K141">
        <v>-1.2615910913406718E-2</v>
      </c>
      <c r="L141">
        <v>-2.2934037970873011E-2</v>
      </c>
      <c r="M141">
        <v>-2.4555659644756037E-2</v>
      </c>
    </row>
    <row r="142" spans="1:13" x14ac:dyDescent="0.35">
      <c r="A142" s="2" t="s">
        <v>155</v>
      </c>
      <c r="B142">
        <v>-1.6159329526779544E-2</v>
      </c>
      <c r="C142">
        <v>-1.6223802592851465E-2</v>
      </c>
      <c r="D142">
        <v>-2.5249036394379341E-2</v>
      </c>
      <c r="E142">
        <v>-2.5939224101476015E-2</v>
      </c>
      <c r="F142">
        <v>-2.5393199325203418E-2</v>
      </c>
      <c r="G142">
        <v>-2.6058543127417177E-2</v>
      </c>
      <c r="H142">
        <v>-2.4827560966742119E-2</v>
      </c>
      <c r="I142">
        <v>-2.6278358663646497E-2</v>
      </c>
      <c r="J142">
        <v>-2.3047975664388536E-2</v>
      </c>
      <c r="K142">
        <v>-2.3389957321040773E-2</v>
      </c>
      <c r="L142">
        <v>-2.1293546279128051E-2</v>
      </c>
      <c r="M142">
        <v>-2.1952010176324102E-2</v>
      </c>
    </row>
    <row r="143" spans="1:13" x14ac:dyDescent="0.35">
      <c r="A143" s="2" t="s">
        <v>156</v>
      </c>
      <c r="B143">
        <v>-1.2225874456420689E-2</v>
      </c>
      <c r="C143">
        <v>-1.2658959073008536E-2</v>
      </c>
      <c r="D143">
        <v>-1.2729301802861446E-2</v>
      </c>
      <c r="E143">
        <v>-1.3067647528192059E-2</v>
      </c>
      <c r="F143">
        <v>-1.3064799137222447E-2</v>
      </c>
      <c r="G143">
        <v>-1.3587412728637102E-2</v>
      </c>
      <c r="H143">
        <v>-1.6316090066334794E-2</v>
      </c>
      <c r="I143">
        <v>-1.7218429727640049E-2</v>
      </c>
      <c r="J143">
        <v>-1.3990181217327773E-2</v>
      </c>
      <c r="K143">
        <v>-1.4662243549102725E-2</v>
      </c>
      <c r="L143">
        <v>-1.226567870458053E-2</v>
      </c>
      <c r="M143">
        <v>-1.272608112571901E-2</v>
      </c>
    </row>
    <row r="144" spans="1:13" x14ac:dyDescent="0.35">
      <c r="A144" s="2" t="s">
        <v>157</v>
      </c>
      <c r="B144">
        <v>-4.0128735396864283E-2</v>
      </c>
      <c r="C144">
        <v>-4.478865187503514E-2</v>
      </c>
      <c r="D144">
        <v>-4.3218603394377567E-2</v>
      </c>
      <c r="E144">
        <v>-4.8599417346133204E-2</v>
      </c>
      <c r="F144">
        <v>-4.2453808611006803E-2</v>
      </c>
      <c r="G144">
        <v>-4.7064291945019016E-2</v>
      </c>
      <c r="H144">
        <v>-4.5897036768314144E-2</v>
      </c>
      <c r="I144">
        <v>-5.0835598648421236E-2</v>
      </c>
      <c r="J144">
        <v>-3.7831671031564817E-2</v>
      </c>
      <c r="K144">
        <v>-4.2408252068594075E-2</v>
      </c>
      <c r="L144">
        <v>-4.2650141976235789E-2</v>
      </c>
      <c r="M144">
        <v>-4.8670539392574569E-2</v>
      </c>
    </row>
    <row r="145" spans="1:13" x14ac:dyDescent="0.35">
      <c r="A145" s="2" t="s">
        <v>158</v>
      </c>
      <c r="B145">
        <v>-1.5134434347517463E-2</v>
      </c>
      <c r="C145">
        <v>-1.5134434347517463E-2</v>
      </c>
      <c r="D145">
        <v>-1.7166715972466624E-2</v>
      </c>
      <c r="E145">
        <v>-1.7166715972466624E-2</v>
      </c>
      <c r="F145">
        <v>-1.6429875860617841E-2</v>
      </c>
      <c r="G145">
        <v>-1.6429875860617841E-2</v>
      </c>
      <c r="H145">
        <v>-1.8122190649271817E-2</v>
      </c>
      <c r="I145">
        <v>-1.8122190649271817E-2</v>
      </c>
      <c r="J145">
        <v>-1.8980556394743463E-2</v>
      </c>
      <c r="K145">
        <v>-1.8980556394743463E-2</v>
      </c>
      <c r="L145">
        <v>-1.2593000551130882E-2</v>
      </c>
      <c r="M145">
        <v>-1.2593000551130882E-2</v>
      </c>
    </row>
    <row r="146" spans="1:13" x14ac:dyDescent="0.35">
      <c r="A146" s="2" t="s">
        <v>159</v>
      </c>
      <c r="B146">
        <v>-3.1844060686713402E-2</v>
      </c>
      <c r="C146">
        <v>-3.2526380369602398E-2</v>
      </c>
      <c r="D146">
        <v>-4.1011184899703394E-2</v>
      </c>
      <c r="E146">
        <v>-4.2305123464082502E-2</v>
      </c>
      <c r="F146">
        <v>-3.9932931297269943E-2</v>
      </c>
      <c r="G146">
        <v>-4.105467153658076E-2</v>
      </c>
      <c r="H146">
        <v>-3.1431666161147502E-2</v>
      </c>
      <c r="I146">
        <v>-3.2365133169682904E-2</v>
      </c>
      <c r="J146">
        <v>-3.7770025512707167E-2</v>
      </c>
      <c r="K146">
        <v>-3.8727675322720791E-2</v>
      </c>
      <c r="L146">
        <v>-3.9389263051264514E-2</v>
      </c>
      <c r="M146">
        <v>-4.0535615843825694E-2</v>
      </c>
    </row>
    <row r="147" spans="1:13" x14ac:dyDescent="0.35">
      <c r="A147" s="4" t="s">
        <v>160</v>
      </c>
      <c r="B147" s="3">
        <v>-3.9070294738434382E-2</v>
      </c>
      <c r="C147" s="3">
        <v>-4.0250269625699123E-2</v>
      </c>
      <c r="D147">
        <v>-3.6202465097685939E-2</v>
      </c>
      <c r="E147">
        <v>-3.6945260667213785E-2</v>
      </c>
      <c r="F147">
        <v>-4.1224159962709755E-2</v>
      </c>
      <c r="G147">
        <v>-4.2307906823974124E-2</v>
      </c>
      <c r="H147">
        <v>-2.888203623822681E-2</v>
      </c>
      <c r="I147">
        <v>-2.9042946171120899E-2</v>
      </c>
      <c r="J147">
        <v>-3.9421450101923543E-2</v>
      </c>
      <c r="K147">
        <v>-4.039531958049021E-2</v>
      </c>
      <c r="L147">
        <v>-3.823829323963087E-2</v>
      </c>
      <c r="M147">
        <v>-3.9040511211597038E-2</v>
      </c>
    </row>
    <row r="148" spans="1:13" x14ac:dyDescent="0.35">
      <c r="A148" s="2" t="s">
        <v>161</v>
      </c>
      <c r="B148">
        <v>-3.0234006991553406E-2</v>
      </c>
      <c r="C148">
        <v>-3.1996755220233326E-2</v>
      </c>
      <c r="D148">
        <v>-4.8977154242404314E-2</v>
      </c>
      <c r="E148">
        <v>-5.0922304237598151E-2</v>
      </c>
      <c r="F148">
        <v>-6.0084322943977309E-2</v>
      </c>
      <c r="G148">
        <v>-6.4384630082924402E-2</v>
      </c>
      <c r="H148">
        <v>-3.7720448025600532E-2</v>
      </c>
      <c r="I148">
        <v>-3.7916912587439712E-2</v>
      </c>
      <c r="J148">
        <v>-4.3910761313230268E-2</v>
      </c>
      <c r="K148">
        <v>-4.5083688261365135E-2</v>
      </c>
      <c r="L148">
        <v>-4.8781989291811809E-2</v>
      </c>
      <c r="M148">
        <v>-5.0928888858496689E-2</v>
      </c>
    </row>
    <row r="149" spans="1:13" x14ac:dyDescent="0.35">
      <c r="A149" s="2" t="s">
        <v>162</v>
      </c>
      <c r="B149">
        <v>-2.332390153876443E-2</v>
      </c>
      <c r="C149">
        <v>-2.332390153876443E-2</v>
      </c>
      <c r="D149">
        <v>-2.4065615707781332E-2</v>
      </c>
      <c r="E149">
        <v>-2.4065615707781332E-2</v>
      </c>
      <c r="F149">
        <v>-2.1432513205888466E-2</v>
      </c>
      <c r="G149">
        <v>-2.1432513205888466E-2</v>
      </c>
      <c r="H149">
        <v>-1.8584256068818264E-2</v>
      </c>
      <c r="I149">
        <v>-1.8584256068818264E-2</v>
      </c>
      <c r="J149">
        <v>-2.5159385328383806E-2</v>
      </c>
      <c r="K149">
        <v>-2.5159385328383806E-2</v>
      </c>
      <c r="L149">
        <v>-2.2319277956140197E-2</v>
      </c>
      <c r="M149">
        <v>-2.2319277956140197E-2</v>
      </c>
    </row>
    <row r="150" spans="1:13" x14ac:dyDescent="0.35">
      <c r="A150" s="2" t="s">
        <v>163</v>
      </c>
      <c r="B150">
        <v>-2.4147824019289447E-2</v>
      </c>
      <c r="C150">
        <v>-2.4669352158633528E-2</v>
      </c>
      <c r="D150">
        <v>-2.7578175967784172E-2</v>
      </c>
      <c r="E150">
        <v>-2.859601531925168E-2</v>
      </c>
      <c r="F150">
        <v>-2.6414430421800746E-2</v>
      </c>
      <c r="G150">
        <v>-2.7779108137124163E-2</v>
      </c>
      <c r="H150">
        <v>-2.1348594168599085E-2</v>
      </c>
      <c r="I150">
        <v>-2.2210715474386005E-2</v>
      </c>
      <c r="J150">
        <v>-2.1355606586289318E-2</v>
      </c>
      <c r="K150">
        <v>-2.1706299214134667E-2</v>
      </c>
      <c r="L150">
        <v>-2.6874458100596247E-2</v>
      </c>
      <c r="M150">
        <v>-2.7923832258290402E-2</v>
      </c>
    </row>
    <row r="151" spans="1:13" x14ac:dyDescent="0.35">
      <c r="A151" s="2" t="s">
        <v>164</v>
      </c>
      <c r="B151">
        <v>-2.5030517517725396E-2</v>
      </c>
      <c r="C151">
        <v>-2.5134586277167664E-2</v>
      </c>
      <c r="D151">
        <v>-3.3997418452033266E-2</v>
      </c>
      <c r="E151">
        <v>-3.4207591378502933E-2</v>
      </c>
      <c r="F151">
        <v>-5.212946673690684E-2</v>
      </c>
      <c r="G151">
        <v>-5.3094157104921262E-2</v>
      </c>
      <c r="H151">
        <v>-3.6873473268977219E-2</v>
      </c>
      <c r="I151">
        <v>-3.7497522420788805E-2</v>
      </c>
      <c r="J151">
        <v>-3.3571955822178035E-2</v>
      </c>
      <c r="K151">
        <v>-3.3693709489359049E-2</v>
      </c>
      <c r="L151">
        <v>-2.7284529305505279E-2</v>
      </c>
      <c r="M151">
        <v>-2.7298719087945515E-2</v>
      </c>
    </row>
    <row r="152" spans="1:13" x14ac:dyDescent="0.35">
      <c r="A152" s="2" t="s">
        <v>165</v>
      </c>
      <c r="B152">
        <v>-2.659298992302709E-2</v>
      </c>
      <c r="C152">
        <v>-2.7399213823441491E-2</v>
      </c>
      <c r="D152">
        <v>-2.6141193134937509E-2</v>
      </c>
      <c r="E152">
        <v>-2.7185056961036843E-2</v>
      </c>
      <c r="F152">
        <v>-3.4533040000274864E-2</v>
      </c>
      <c r="G152">
        <v>-3.4993458303244532E-2</v>
      </c>
      <c r="H152">
        <v>-2.4385536432007252E-2</v>
      </c>
      <c r="I152">
        <v>-2.5111112754412971E-2</v>
      </c>
      <c r="J152">
        <v>-2.8485730806639919E-2</v>
      </c>
      <c r="K152">
        <v>-2.9570075750333238E-2</v>
      </c>
      <c r="L152">
        <v>-2.5889333217377072E-2</v>
      </c>
      <c r="M152">
        <v>-2.7183852674881624E-2</v>
      </c>
    </row>
    <row r="153" spans="1:13" x14ac:dyDescent="0.35">
      <c r="A153" s="2" t="s">
        <v>166</v>
      </c>
      <c r="B153">
        <v>-2.1455087561913659E-2</v>
      </c>
      <c r="C153">
        <v>-2.2083093990638812E-2</v>
      </c>
      <c r="D153">
        <v>-1.9512838410744502E-2</v>
      </c>
      <c r="E153">
        <v>-1.9517330546225547E-2</v>
      </c>
      <c r="F153">
        <v>-2.4678554306945023E-2</v>
      </c>
      <c r="G153">
        <v>-2.5218203795814364E-2</v>
      </c>
      <c r="H153">
        <v>-1.4871324694208115E-2</v>
      </c>
      <c r="I153">
        <v>-1.5211290502898857E-2</v>
      </c>
      <c r="J153">
        <v>-2.3396899605450137E-2</v>
      </c>
      <c r="K153">
        <v>-2.3451976379345135E-2</v>
      </c>
      <c r="L153">
        <v>-1.806656536875657E-2</v>
      </c>
      <c r="M153">
        <v>-1.8189846876654894E-2</v>
      </c>
    </row>
    <row r="154" spans="1:13" x14ac:dyDescent="0.35">
      <c r="A154" s="2" t="s">
        <v>167</v>
      </c>
      <c r="B154">
        <v>-3.7347243794077042E-2</v>
      </c>
      <c r="C154">
        <v>-3.948678589732485E-2</v>
      </c>
      <c r="D154">
        <v>-2.2736502989396341E-2</v>
      </c>
      <c r="E154">
        <v>-2.3183746074936236E-2</v>
      </c>
      <c r="F154">
        <v>-3.3189867809601453E-2</v>
      </c>
      <c r="G154">
        <v>-3.418266877889508E-2</v>
      </c>
      <c r="H154">
        <v>-2.4337879579172935E-2</v>
      </c>
      <c r="I154">
        <v>-2.4900037602551696E-2</v>
      </c>
      <c r="J154">
        <v>-2.2183454621660291E-2</v>
      </c>
      <c r="K154">
        <v>-2.243241863482949E-2</v>
      </c>
      <c r="L154">
        <v>-2.2669059047100662E-2</v>
      </c>
      <c r="M154">
        <v>-2.3089564290769284E-2</v>
      </c>
    </row>
    <row r="155" spans="1:13" x14ac:dyDescent="0.35">
      <c r="A155" s="2" t="s">
        <v>168</v>
      </c>
      <c r="B155">
        <v>-1.4313420665029402E-2</v>
      </c>
      <c r="C155">
        <v>-1.4881897101573751E-2</v>
      </c>
      <c r="D155">
        <v>-1.6391145632251945E-2</v>
      </c>
      <c r="E155">
        <v>-1.7033975239384574E-2</v>
      </c>
      <c r="F155">
        <v>-1.5075158700783686E-2</v>
      </c>
      <c r="G155">
        <v>-1.5327570727757468E-2</v>
      </c>
      <c r="H155">
        <v>-1.5051673523774864E-2</v>
      </c>
      <c r="I155">
        <v>-1.52786659473244E-2</v>
      </c>
      <c r="J155">
        <v>-1.5605199986368683E-2</v>
      </c>
      <c r="K155">
        <v>-1.5986580240685472E-2</v>
      </c>
      <c r="L155">
        <v>-1.1497698516980541E-2</v>
      </c>
      <c r="M155">
        <v>-1.1773054879298962E-2</v>
      </c>
    </row>
    <row r="156" spans="1:13" x14ac:dyDescent="0.35">
      <c r="A156" s="2" t="s">
        <v>169</v>
      </c>
      <c r="B156">
        <v>-1.3798392642752658E-2</v>
      </c>
      <c r="C156">
        <v>-1.4005175440526374E-2</v>
      </c>
      <c r="D156">
        <v>-8.242614310305315E-3</v>
      </c>
      <c r="E156">
        <v>-8.28692576362881E-3</v>
      </c>
      <c r="F156">
        <v>-1.2761064084958347E-2</v>
      </c>
      <c r="G156">
        <v>-1.3017601499297777E-2</v>
      </c>
      <c r="H156">
        <v>-1.2375829177461842E-2</v>
      </c>
      <c r="I156">
        <v>-1.259053727508189E-2</v>
      </c>
      <c r="J156">
        <v>-1.080230917841165E-2</v>
      </c>
      <c r="K156">
        <v>-1.0926395335828669E-2</v>
      </c>
      <c r="L156">
        <v>-7.988368608429261E-3</v>
      </c>
      <c r="M156">
        <v>-8.1506948983195663E-3</v>
      </c>
    </row>
    <row r="157" spans="1:13" x14ac:dyDescent="0.35">
      <c r="A157" s="2" t="s">
        <v>170</v>
      </c>
      <c r="B157">
        <v>-2.4823169101131276E-2</v>
      </c>
      <c r="C157">
        <v>-2.5519869754467864E-2</v>
      </c>
      <c r="D157">
        <v>-3.4689827990722247E-2</v>
      </c>
      <c r="E157">
        <v>-3.5738207274425234E-2</v>
      </c>
      <c r="F157">
        <v>-3.4088829700625892E-2</v>
      </c>
      <c r="G157">
        <v>-3.5112524272791386E-2</v>
      </c>
      <c r="H157">
        <v>-1.6901589303101861E-2</v>
      </c>
      <c r="I157">
        <v>-1.7105981846448574E-2</v>
      </c>
      <c r="J157">
        <v>-3.2316415899613343E-2</v>
      </c>
      <c r="K157">
        <v>-3.3326773730709969E-2</v>
      </c>
      <c r="L157">
        <v>-3.0587958201092117E-2</v>
      </c>
      <c r="M157">
        <v>-3.1393389269003341E-2</v>
      </c>
    </row>
    <row r="158" spans="1:13" x14ac:dyDescent="0.35">
      <c r="A158" s="2" t="s">
        <v>171</v>
      </c>
      <c r="B158">
        <v>-1.0230377044248435E-2</v>
      </c>
      <c r="C158">
        <v>-1.0375070575858621E-2</v>
      </c>
      <c r="D158">
        <v>-1.7893782224346472E-2</v>
      </c>
      <c r="E158">
        <v>-1.9365384303591346E-2</v>
      </c>
      <c r="F158">
        <v>-1.6274353553272961E-2</v>
      </c>
      <c r="G158">
        <v>-1.7662482205352624E-2</v>
      </c>
      <c r="H158">
        <v>-1.4405906977260104E-2</v>
      </c>
      <c r="I158">
        <v>-1.5818544483443681E-2</v>
      </c>
      <c r="J158">
        <v>-1.6010159404726058E-2</v>
      </c>
      <c r="K158">
        <v>-1.7370618842027168E-2</v>
      </c>
      <c r="L158">
        <v>-1.7422586016895333E-2</v>
      </c>
      <c r="M158">
        <v>-1.8741918536841817E-2</v>
      </c>
    </row>
    <row r="159" spans="1:13" x14ac:dyDescent="0.35">
      <c r="A159" s="2" t="s">
        <v>172</v>
      </c>
      <c r="B159">
        <v>-7.2850038903450372E-3</v>
      </c>
      <c r="C159">
        <v>-7.2861925996385683E-3</v>
      </c>
      <c r="D159">
        <v>-1.8488498769629883E-2</v>
      </c>
      <c r="E159">
        <v>-1.880823205948208E-2</v>
      </c>
      <c r="F159">
        <v>-1.1265735154387595E-2</v>
      </c>
      <c r="G159">
        <v>-1.1293647364876489E-2</v>
      </c>
      <c r="H159">
        <v>-1.3480073357652193E-2</v>
      </c>
      <c r="I159">
        <v>-1.3735926088650468E-2</v>
      </c>
      <c r="J159">
        <v>-1.7166453350566727E-2</v>
      </c>
      <c r="K159">
        <v>-1.7334393513873704E-2</v>
      </c>
      <c r="L159">
        <v>-1.7724244824588495E-2</v>
      </c>
      <c r="M159">
        <v>-1.7947767818046762E-2</v>
      </c>
    </row>
    <row r="160" spans="1:13" x14ac:dyDescent="0.35">
      <c r="A160" s="2" t="s">
        <v>173</v>
      </c>
      <c r="B160">
        <v>-3.0109689694915728E-2</v>
      </c>
      <c r="C160">
        <v>-3.1869646878043049E-2</v>
      </c>
      <c r="D160">
        <v>-3.454800754319224E-2</v>
      </c>
      <c r="E160">
        <v>-3.5197969231823917E-2</v>
      </c>
      <c r="F160">
        <v>-4.596403664591503E-2</v>
      </c>
      <c r="G160">
        <v>-4.7181368598001393E-2</v>
      </c>
      <c r="H160">
        <v>-4.2865622623644559E-2</v>
      </c>
      <c r="I160">
        <v>-4.4643842476664919E-2</v>
      </c>
      <c r="J160">
        <v>-3.2735275154400993E-2</v>
      </c>
      <c r="K160">
        <v>-3.3209706013910677E-2</v>
      </c>
      <c r="L160">
        <v>-3.5066730072093016E-2</v>
      </c>
      <c r="M160">
        <v>-3.6484390540453292E-2</v>
      </c>
    </row>
    <row r="161" spans="1:13" x14ac:dyDescent="0.35">
      <c r="A161" s="2" t="s">
        <v>174</v>
      </c>
      <c r="B161">
        <v>-2.9945377560118311E-3</v>
      </c>
      <c r="C161">
        <v>-6.05434850895154E-3</v>
      </c>
      <c r="D161">
        <v>-5.6737100908346482E-3</v>
      </c>
      <c r="E161">
        <v>-6.9084665910258154E-3</v>
      </c>
      <c r="F161">
        <v>-1.0454004574479391E-2</v>
      </c>
      <c r="G161">
        <v>-1.103272433064242E-2</v>
      </c>
      <c r="H161">
        <v>-8.805355858683233E-3</v>
      </c>
      <c r="I161">
        <v>-1.2419463573563208E-2</v>
      </c>
      <c r="J161">
        <v>-5.4892784446110999E-3</v>
      </c>
      <c r="K161">
        <v>-6.2623326491340467E-3</v>
      </c>
      <c r="L161">
        <v>-6.0540704021819622E-3</v>
      </c>
      <c r="M161">
        <v>-8.661053043037624E-3</v>
      </c>
    </row>
    <row r="162" spans="1:13" x14ac:dyDescent="0.35">
      <c r="A162" s="2" t="s">
        <v>175</v>
      </c>
      <c r="B162">
        <v>-2.0039520589273503E-2</v>
      </c>
      <c r="C162">
        <v>-2.018266890559612E-2</v>
      </c>
      <c r="D162">
        <v>-1.8226301646078701E-2</v>
      </c>
      <c r="E162">
        <v>-1.8275875505133796E-2</v>
      </c>
      <c r="F162">
        <v>-2.4011222468031723E-2</v>
      </c>
      <c r="G162">
        <v>-2.4225986831217662E-2</v>
      </c>
      <c r="H162">
        <v>-1.7131776821045983E-2</v>
      </c>
      <c r="I162">
        <v>-1.7355672230143952E-2</v>
      </c>
      <c r="J162">
        <v>-1.9228711245448019E-2</v>
      </c>
      <c r="K162">
        <v>-1.9424276730392501E-2</v>
      </c>
      <c r="L162">
        <v>-1.7040349071112567E-2</v>
      </c>
      <c r="M162">
        <v>-1.7120230183235791E-2</v>
      </c>
    </row>
    <row r="163" spans="1:13" x14ac:dyDescent="0.35">
      <c r="A163" s="2" t="s">
        <v>176</v>
      </c>
      <c r="B163">
        <v>-9.3630022857556505E-3</v>
      </c>
      <c r="C163">
        <v>-9.615123952983742E-3</v>
      </c>
      <c r="D163">
        <v>-7.6250496445511608E-3</v>
      </c>
      <c r="E163">
        <v>-7.6632122853290139E-3</v>
      </c>
      <c r="F163">
        <v>-7.7677910467809736E-3</v>
      </c>
      <c r="G163">
        <v>-7.8435003534575512E-3</v>
      </c>
      <c r="H163">
        <v>-1.016862146915487E-2</v>
      </c>
      <c r="I163">
        <v>-1.0617098738292656E-2</v>
      </c>
      <c r="J163">
        <v>-9.8949312248266322E-3</v>
      </c>
      <c r="K163">
        <v>-9.9453646905299595E-3</v>
      </c>
      <c r="L163">
        <v>-1.0072269213682651E-2</v>
      </c>
      <c r="M163">
        <v>-1.0147883067506873E-2</v>
      </c>
    </row>
    <row r="164" spans="1:13" x14ac:dyDescent="0.35">
      <c r="A164" s="2" t="s">
        <v>177</v>
      </c>
      <c r="B164">
        <v>-2.0218951795296845E-2</v>
      </c>
      <c r="C164">
        <v>-2.1563781858282904E-2</v>
      </c>
      <c r="D164">
        <v>-2.7828257833757475E-2</v>
      </c>
      <c r="E164">
        <v>-2.977196258440885E-2</v>
      </c>
      <c r="F164">
        <v>-2.3629045294404457E-2</v>
      </c>
      <c r="G164">
        <v>-2.5600079023228254E-2</v>
      </c>
      <c r="H164">
        <v>-2.0374150134517419E-2</v>
      </c>
      <c r="I164">
        <v>-2.1448457704090665E-2</v>
      </c>
      <c r="J164">
        <v>-2.4035600521789283E-2</v>
      </c>
      <c r="K164">
        <v>-2.6000221363130682E-2</v>
      </c>
      <c r="L164">
        <v>-2.9944001474593689E-2</v>
      </c>
      <c r="M164">
        <v>-3.1756773000750325E-2</v>
      </c>
    </row>
    <row r="165" spans="1:13" x14ac:dyDescent="0.35">
      <c r="A165" s="2" t="s">
        <v>178</v>
      </c>
      <c r="B165">
        <v>-1.4479680424503235E-2</v>
      </c>
      <c r="C165">
        <v>-1.4574113663541156E-2</v>
      </c>
      <c r="D165">
        <v>-1.6064970436097403E-2</v>
      </c>
      <c r="E165">
        <v>-1.6249139545924919E-2</v>
      </c>
      <c r="F165">
        <v>-2.0598494733996133E-2</v>
      </c>
      <c r="G165">
        <v>-2.1433339520333126E-2</v>
      </c>
      <c r="H165">
        <v>-1.8099179255823383E-2</v>
      </c>
      <c r="I165">
        <v>-1.8501345506864792E-2</v>
      </c>
      <c r="J165">
        <v>-1.3559576254083555E-2</v>
      </c>
      <c r="K165">
        <v>-1.3662774893192354E-2</v>
      </c>
      <c r="L165">
        <v>-1.2667442176381346E-2</v>
      </c>
      <c r="M165">
        <v>-1.2669577281891319E-2</v>
      </c>
    </row>
    <row r="166" spans="1:13" x14ac:dyDescent="0.35">
      <c r="A166" s="2" t="s">
        <v>179</v>
      </c>
      <c r="B166">
        <v>-9.81532973578721E-3</v>
      </c>
      <c r="C166">
        <v>-9.8828881329947361E-3</v>
      </c>
      <c r="D166">
        <v>-1.4593499485558173E-2</v>
      </c>
      <c r="E166">
        <v>-1.4935655447969749E-2</v>
      </c>
      <c r="F166">
        <v>-1.772910399213232E-2</v>
      </c>
      <c r="G166">
        <v>-1.79766430307206E-2</v>
      </c>
      <c r="H166">
        <v>-1.206443913688972E-2</v>
      </c>
      <c r="I166">
        <v>-1.2283085392503701E-2</v>
      </c>
      <c r="J166">
        <v>-1.3093318177767781E-2</v>
      </c>
      <c r="K166">
        <v>-1.337863158597514E-2</v>
      </c>
      <c r="L166">
        <v>-1.5867532554346812E-2</v>
      </c>
      <c r="M166">
        <v>-1.6073565902909717E-2</v>
      </c>
    </row>
    <row r="167" spans="1:13" x14ac:dyDescent="0.35">
      <c r="A167" s="2" t="s">
        <v>180</v>
      </c>
      <c r="B167">
        <v>-1.5435591563160836E-2</v>
      </c>
      <c r="C167">
        <v>-1.567929258018461E-2</v>
      </c>
      <c r="D167">
        <v>-1.5988938408306955E-2</v>
      </c>
      <c r="E167">
        <v>-1.6180246792063199E-2</v>
      </c>
      <c r="F167">
        <v>-1.4131648112972916E-2</v>
      </c>
      <c r="G167">
        <v>-1.4148801411748516E-2</v>
      </c>
      <c r="H167">
        <v>-1.6060267380574329E-2</v>
      </c>
      <c r="I167">
        <v>-1.6608891626236098E-2</v>
      </c>
      <c r="J167">
        <v>-1.6392735893303884E-2</v>
      </c>
      <c r="K167">
        <v>-1.6537200388298826E-2</v>
      </c>
      <c r="L167">
        <v>-1.5160106940520723E-2</v>
      </c>
      <c r="M167">
        <v>-1.5308660911926087E-2</v>
      </c>
    </row>
    <row r="168" spans="1:13" x14ac:dyDescent="0.35">
      <c r="A168" s="4" t="s">
        <v>181</v>
      </c>
      <c r="B168" s="3">
        <v>-1.3906801343166721E-2</v>
      </c>
      <c r="C168" s="3">
        <v>-1.449273908472897E-2</v>
      </c>
      <c r="D168">
        <v>-7.0316773344663106E-3</v>
      </c>
      <c r="E168">
        <v>-7.5570936493259914E-3</v>
      </c>
      <c r="F168">
        <v>-1.2318583701717394E-2</v>
      </c>
      <c r="G168">
        <v>-1.3237364501702297E-2</v>
      </c>
      <c r="H168">
        <v>-5.3411843974765349E-3</v>
      </c>
      <c r="I168">
        <v>-5.6540608344345187E-3</v>
      </c>
      <c r="J168">
        <v>-7.1585536785449206E-3</v>
      </c>
      <c r="K168">
        <v>-7.7255604038015801E-3</v>
      </c>
      <c r="L168">
        <v>-9.0989548439909078E-3</v>
      </c>
      <c r="M168">
        <v>-9.693056179889423E-3</v>
      </c>
    </row>
    <row r="169" spans="1:13" x14ac:dyDescent="0.35">
      <c r="A169" s="2" t="s">
        <v>182</v>
      </c>
      <c r="B169">
        <v>-6.989583579772073E-3</v>
      </c>
      <c r="C169">
        <v>-6.989583579772073E-3</v>
      </c>
      <c r="D169">
        <v>-6.2421858658488674E-3</v>
      </c>
      <c r="E169">
        <v>-6.2421858658488674E-3</v>
      </c>
      <c r="F169">
        <v>-6.7668269391187256E-3</v>
      </c>
      <c r="G169">
        <v>-6.7668269391187256E-3</v>
      </c>
      <c r="H169">
        <v>-1.0988098264046483E-2</v>
      </c>
      <c r="I169">
        <v>-1.0988098264046483E-2</v>
      </c>
      <c r="J169">
        <v>-6.0409758112003643E-3</v>
      </c>
      <c r="K169">
        <v>-6.0409758112003643E-3</v>
      </c>
      <c r="L169">
        <v>-4.853395180486832E-3</v>
      </c>
      <c r="M169">
        <v>-4.853395180486832E-3</v>
      </c>
    </row>
    <row r="170" spans="1:13" x14ac:dyDescent="0.35">
      <c r="A170" s="2" t="s">
        <v>183</v>
      </c>
      <c r="B170">
        <v>-1.0795440641298067E-2</v>
      </c>
      <c r="C170">
        <v>-1.1035716110274338E-2</v>
      </c>
      <c r="D170">
        <v>-1.3743084203833864E-2</v>
      </c>
      <c r="E170">
        <v>-1.4436236220440523E-2</v>
      </c>
      <c r="F170">
        <v>-1.3068881702962434E-2</v>
      </c>
      <c r="G170">
        <v>-1.3980820369002932E-2</v>
      </c>
      <c r="H170">
        <v>-1.437985269376834E-2</v>
      </c>
      <c r="I170">
        <v>-1.4672698886366055E-2</v>
      </c>
      <c r="J170">
        <v>-1.307746525099132E-2</v>
      </c>
      <c r="K170">
        <v>-1.3869066644501011E-2</v>
      </c>
      <c r="L170">
        <v>-1.5155402868096008E-2</v>
      </c>
      <c r="M170">
        <v>-1.5927825162246976E-2</v>
      </c>
    </row>
    <row r="171" spans="1:13" x14ac:dyDescent="0.35">
      <c r="A171" s="2" t="s">
        <v>184</v>
      </c>
      <c r="B171">
        <v>-8.5001406519853336E-3</v>
      </c>
      <c r="C171">
        <v>-8.5072850969229227E-3</v>
      </c>
      <c r="D171">
        <v>-1.114373546024738E-2</v>
      </c>
      <c r="E171">
        <v>-1.2096849057723333E-2</v>
      </c>
      <c r="F171">
        <v>-9.7296090281967923E-3</v>
      </c>
      <c r="G171">
        <v>-1.0307020847538841E-2</v>
      </c>
      <c r="H171">
        <v>-1.2060353423076212E-2</v>
      </c>
      <c r="I171">
        <v>-1.2117845919524074E-2</v>
      </c>
      <c r="J171">
        <v>-8.9618551063740132E-3</v>
      </c>
      <c r="K171">
        <v>-9.2293343002207654E-3</v>
      </c>
      <c r="L171">
        <v>-8.8708316425560735E-3</v>
      </c>
      <c r="M171">
        <v>-8.920724272590639E-3</v>
      </c>
    </row>
    <row r="172" spans="1:13" x14ac:dyDescent="0.35">
      <c r="A172" s="2" t="s">
        <v>185</v>
      </c>
      <c r="B172">
        <v>-4.156929736787494E-3</v>
      </c>
      <c r="C172">
        <v>-4.1923056520227313E-3</v>
      </c>
      <c r="D172">
        <v>-6.1049113650892932E-3</v>
      </c>
      <c r="E172">
        <v>-6.2053288984220169E-3</v>
      </c>
      <c r="F172">
        <v>-2.919612023860701E-3</v>
      </c>
      <c r="G172">
        <v>-2.9332853515259419E-3</v>
      </c>
      <c r="H172">
        <v>-6.4834334615648942E-3</v>
      </c>
      <c r="I172">
        <v>-6.6505399274413438E-3</v>
      </c>
      <c r="J172">
        <v>-3.7255224349513022E-3</v>
      </c>
      <c r="K172">
        <v>-3.8379407742676155E-3</v>
      </c>
      <c r="L172">
        <v>-4.7732062458561032E-3</v>
      </c>
      <c r="M172">
        <v>-4.8452466866712009E-3</v>
      </c>
    </row>
    <row r="173" spans="1:13" x14ac:dyDescent="0.35">
      <c r="A173" s="2" t="s">
        <v>186</v>
      </c>
      <c r="B173">
        <v>-1.8133340381092652E-2</v>
      </c>
      <c r="C173">
        <v>-1.9206043472814887E-2</v>
      </c>
      <c r="D173">
        <v>-1.3478504864409262E-2</v>
      </c>
      <c r="E173">
        <v>-1.3632530366700958E-2</v>
      </c>
      <c r="F173">
        <v>-1.6594478137488933E-2</v>
      </c>
      <c r="G173">
        <v>-1.6643162513722578E-2</v>
      </c>
      <c r="H173">
        <v>-2.1791519993793085E-2</v>
      </c>
      <c r="I173">
        <v>-2.2446650057956003E-2</v>
      </c>
      <c r="J173">
        <v>-1.4424471117576842E-2</v>
      </c>
      <c r="K173">
        <v>-1.454787102224899E-2</v>
      </c>
      <c r="L173">
        <v>-1.3787309741056181E-2</v>
      </c>
      <c r="M173">
        <v>-1.4082342057841793E-2</v>
      </c>
    </row>
    <row r="174" spans="1:13" x14ac:dyDescent="0.35">
      <c r="A174" s="2" t="s">
        <v>187</v>
      </c>
      <c r="B174">
        <v>-7.8663165191115939E-3</v>
      </c>
      <c r="C174">
        <v>-7.9192939161099873E-3</v>
      </c>
      <c r="D174">
        <v>-1.3078898044091614E-2</v>
      </c>
      <c r="E174">
        <v>-1.3438870195785308E-2</v>
      </c>
      <c r="F174">
        <v>-1.6265290585908962E-2</v>
      </c>
      <c r="G174">
        <v>-1.6342679434963397E-2</v>
      </c>
      <c r="H174">
        <v>-1.1556254245570436E-2</v>
      </c>
      <c r="I174">
        <v>-1.1676633820819862E-2</v>
      </c>
      <c r="J174">
        <v>-1.0809954198571583E-2</v>
      </c>
      <c r="K174">
        <v>-1.1013495562935101E-2</v>
      </c>
      <c r="L174">
        <v>-1.5027787264717825E-2</v>
      </c>
      <c r="M174">
        <v>-1.5353431716966865E-2</v>
      </c>
    </row>
    <row r="175" spans="1:13" x14ac:dyDescent="0.35">
      <c r="A175" s="2" t="s">
        <v>188</v>
      </c>
      <c r="B175">
        <v>-8.1528139837310238E-3</v>
      </c>
      <c r="C175">
        <v>-8.2700697089579615E-3</v>
      </c>
      <c r="D175">
        <v>-1.9839859266422431E-2</v>
      </c>
      <c r="E175">
        <v>-1.9846327339092182E-2</v>
      </c>
      <c r="F175">
        <v>-2.8185145845431376E-2</v>
      </c>
      <c r="G175">
        <v>-2.8508581598120131E-2</v>
      </c>
      <c r="H175">
        <v>-1.6125259471283033E-2</v>
      </c>
      <c r="I175">
        <v>-1.6128021810843215E-2</v>
      </c>
      <c r="J175">
        <v>-1.9532679372855109E-2</v>
      </c>
      <c r="K175">
        <v>-1.9795456423714081E-2</v>
      </c>
      <c r="L175">
        <v>-2.6582451089620103E-2</v>
      </c>
      <c r="M175">
        <v>-2.6922419733668875E-2</v>
      </c>
    </row>
    <row r="176" spans="1:13" x14ac:dyDescent="0.35">
      <c r="A176" s="2" t="s">
        <v>189</v>
      </c>
      <c r="B176">
        <v>-9.0287497010503939E-3</v>
      </c>
      <c r="C176">
        <v>-9.3739165814076316E-3</v>
      </c>
      <c r="D176">
        <v>-1.3119724114365981E-2</v>
      </c>
      <c r="E176">
        <v>-1.341192642564823E-2</v>
      </c>
      <c r="F176">
        <v>-1.824910678969081E-2</v>
      </c>
      <c r="G176">
        <v>-2.0532728271234809E-2</v>
      </c>
      <c r="H176">
        <v>-1.2973623633632053E-2</v>
      </c>
      <c r="I176">
        <v>-1.3127299363491302E-2</v>
      </c>
      <c r="J176">
        <v>-1.2282727199138865E-2</v>
      </c>
      <c r="K176">
        <v>-1.2850697599568648E-2</v>
      </c>
      <c r="L176">
        <v>-1.4943415782298139E-2</v>
      </c>
      <c r="M176">
        <v>-1.5696561265320957E-2</v>
      </c>
    </row>
    <row r="177" spans="1:13" x14ac:dyDescent="0.35">
      <c r="A177" s="2" t="s">
        <v>190</v>
      </c>
      <c r="B177">
        <v>-2.6530317572078584E-2</v>
      </c>
      <c r="C177">
        <v>-2.6764699185710571E-2</v>
      </c>
      <c r="D177">
        <v>-2.6776190439536714E-2</v>
      </c>
      <c r="E177">
        <v>-2.7014472906533613E-2</v>
      </c>
      <c r="F177">
        <v>-2.7145147890274599E-2</v>
      </c>
      <c r="G177">
        <v>-2.7213100724597844E-2</v>
      </c>
      <c r="H177">
        <v>-2.3433095708264223E-2</v>
      </c>
      <c r="I177">
        <v>-2.3654539763231404E-2</v>
      </c>
      <c r="J177">
        <v>-2.358672971376001E-2</v>
      </c>
      <c r="K177">
        <v>-2.3603759964523893E-2</v>
      </c>
      <c r="L177">
        <v>-2.134488042356579E-2</v>
      </c>
      <c r="M177">
        <v>-2.1614134721195572E-2</v>
      </c>
    </row>
    <row r="178" spans="1:13" x14ac:dyDescent="0.35">
      <c r="A178" s="2" t="s">
        <v>191</v>
      </c>
      <c r="B178">
        <v>-1.005945307641669E-2</v>
      </c>
      <c r="C178">
        <v>-1.0154592828842063E-2</v>
      </c>
      <c r="D178">
        <v>-1.5989405255561775E-2</v>
      </c>
      <c r="E178">
        <v>-1.6139428185291706E-2</v>
      </c>
      <c r="F178">
        <v>-1.7083023973461314E-2</v>
      </c>
      <c r="G178">
        <v>-1.7491128199236722E-2</v>
      </c>
      <c r="H178">
        <v>-1.0112069834686377E-2</v>
      </c>
      <c r="I178">
        <v>-1.0240668118626096E-2</v>
      </c>
      <c r="J178">
        <v>-1.4963352463011092E-2</v>
      </c>
      <c r="K178">
        <v>-1.4971229242223581E-2</v>
      </c>
      <c r="L178">
        <v>-1.9730118565861349E-2</v>
      </c>
      <c r="M178">
        <v>-2.022944958509322E-2</v>
      </c>
    </row>
    <row r="179" spans="1:13" x14ac:dyDescent="0.35">
      <c r="A179" s="2" t="s">
        <v>192</v>
      </c>
      <c r="B179">
        <v>-1.4779041445549552E-2</v>
      </c>
      <c r="C179">
        <v>-1.4854335393235715E-2</v>
      </c>
      <c r="D179">
        <v>-1.7717527696283309E-2</v>
      </c>
      <c r="E179">
        <v>-1.8879706608247178E-2</v>
      </c>
      <c r="F179">
        <v>-1.452979188973307E-2</v>
      </c>
      <c r="G179">
        <v>-1.5116685737527592E-2</v>
      </c>
      <c r="H179">
        <v>-1.5680825996489171E-2</v>
      </c>
      <c r="I179">
        <v>-1.730769973351081E-2</v>
      </c>
      <c r="J179">
        <v>-1.1123565585648719E-2</v>
      </c>
      <c r="K179">
        <v>-1.1396930571465324E-2</v>
      </c>
      <c r="L179">
        <v>-1.282303056523698E-2</v>
      </c>
      <c r="M179">
        <v>-1.3259250656276532E-2</v>
      </c>
    </row>
    <row r="180" spans="1:13" x14ac:dyDescent="0.35">
      <c r="A180" s="2" t="s">
        <v>193</v>
      </c>
      <c r="B180">
        <v>-1.7405009217700992E-2</v>
      </c>
      <c r="C180">
        <v>-1.8595331209465559E-2</v>
      </c>
      <c r="D180">
        <v>-2.1946324510577275E-2</v>
      </c>
      <c r="E180">
        <v>-2.2783189755704217E-2</v>
      </c>
      <c r="F180">
        <v>-2.1068819674285415E-2</v>
      </c>
      <c r="G180">
        <v>-2.1683836597305082E-2</v>
      </c>
      <c r="H180">
        <v>-2.8398666964042849E-2</v>
      </c>
      <c r="I180">
        <v>-2.9477803427300973E-2</v>
      </c>
      <c r="J180">
        <v>-2.0543526559657101E-2</v>
      </c>
      <c r="K180">
        <v>-2.1567148091244503E-2</v>
      </c>
      <c r="L180">
        <v>-2.5733731976738936E-2</v>
      </c>
      <c r="M180">
        <v>-2.7284606395605732E-2</v>
      </c>
    </row>
    <row r="181" spans="1:13" x14ac:dyDescent="0.35">
      <c r="A181" s="2" t="s">
        <v>194</v>
      </c>
      <c r="B181">
        <v>-8.6884602460397427E-3</v>
      </c>
      <c r="C181">
        <v>-1.6126070754262346E-2</v>
      </c>
      <c r="D181">
        <v>-8.1561874766987591E-3</v>
      </c>
      <c r="E181">
        <v>-1.5916922387163256E-2</v>
      </c>
      <c r="F181">
        <v>-1.3164363216522635E-2</v>
      </c>
      <c r="G181">
        <v>-1.8009229914120604E-2</v>
      </c>
      <c r="H181">
        <v>-1.5569644839351001E-2</v>
      </c>
      <c r="I181">
        <v>-1.6305616173191526E-2</v>
      </c>
      <c r="J181">
        <v>-5.8800401983420776E-3</v>
      </c>
      <c r="K181">
        <v>-1.3563675755667229E-2</v>
      </c>
      <c r="L181">
        <v>-1.160008431681674E-2</v>
      </c>
      <c r="M181">
        <v>-1.2296641281544432E-2</v>
      </c>
    </row>
    <row r="182" spans="1:13" x14ac:dyDescent="0.35">
      <c r="A182" s="2" t="s">
        <v>195</v>
      </c>
      <c r="B182">
        <v>-9.7687297349150111E-3</v>
      </c>
      <c r="C182">
        <v>-9.97498576976894E-3</v>
      </c>
      <c r="D182">
        <v>-9.2831189198946742E-3</v>
      </c>
      <c r="E182">
        <v>-9.4859092821818411E-3</v>
      </c>
      <c r="F182">
        <v>-8.159760099958736E-3</v>
      </c>
      <c r="G182">
        <v>-8.3263345986816784E-3</v>
      </c>
      <c r="H182">
        <v>-1.3571807256934037E-2</v>
      </c>
      <c r="I182">
        <v>-1.5106001848499971E-2</v>
      </c>
      <c r="J182">
        <v>-5.8409874151234267E-3</v>
      </c>
      <c r="K182">
        <v>-5.9393013291790331E-3</v>
      </c>
      <c r="L182">
        <v>-1.4111598089777232E-2</v>
      </c>
      <c r="M182">
        <v>-1.5200640460058805E-2</v>
      </c>
    </row>
    <row r="183" spans="1:13" x14ac:dyDescent="0.35">
      <c r="A183" s="2" t="s">
        <v>196</v>
      </c>
      <c r="B183">
        <v>-6.8207445376446286E-3</v>
      </c>
      <c r="C183">
        <v>-6.9221224483339344E-3</v>
      </c>
      <c r="D183">
        <v>-1.321444292767124E-2</v>
      </c>
      <c r="E183">
        <v>-1.3218916252318455E-2</v>
      </c>
      <c r="F183">
        <v>-1.5037674197004452E-2</v>
      </c>
      <c r="G183">
        <v>-1.5463094023561023E-2</v>
      </c>
      <c r="H183">
        <v>-1.6294985894721125E-2</v>
      </c>
      <c r="I183">
        <v>-1.6453984677158126E-2</v>
      </c>
      <c r="J183">
        <v>-1.7945677649907513E-2</v>
      </c>
      <c r="K183">
        <v>-1.8149215884817823E-2</v>
      </c>
      <c r="L183">
        <v>-1.2039032977539173E-2</v>
      </c>
      <c r="M183">
        <v>-1.2053225025490076E-2</v>
      </c>
    </row>
    <row r="184" spans="1:13" x14ac:dyDescent="0.35">
      <c r="A184" s="2" t="s">
        <v>197</v>
      </c>
      <c r="B184">
        <v>-1.609682345717069E-2</v>
      </c>
      <c r="C184">
        <v>-1.6175277860324348E-2</v>
      </c>
      <c r="D184">
        <v>-2.6834818872889316E-2</v>
      </c>
      <c r="E184">
        <v>-2.8072853753473015E-2</v>
      </c>
      <c r="F184">
        <v>-3.30388099564961E-2</v>
      </c>
      <c r="G184">
        <v>-3.4720765941600416E-2</v>
      </c>
      <c r="H184">
        <v>-2.4856805792810695E-2</v>
      </c>
      <c r="I184">
        <v>-2.5860375839437146E-2</v>
      </c>
      <c r="J184">
        <v>-3.4238595098176013E-2</v>
      </c>
      <c r="K184">
        <v>-3.6077848040279144E-2</v>
      </c>
      <c r="L184">
        <v>-1.8413016915298366E-2</v>
      </c>
      <c r="M184">
        <v>-1.8685114841037381E-2</v>
      </c>
    </row>
    <row r="185" spans="1:13" x14ac:dyDescent="0.35">
      <c r="A185" s="2" t="s">
        <v>198</v>
      </c>
      <c r="B185">
        <v>-5.5448664705390817E-2</v>
      </c>
      <c r="C185">
        <v>-6.0774609119216297E-2</v>
      </c>
      <c r="D185">
        <v>-4.6651712462592185E-2</v>
      </c>
      <c r="E185">
        <v>-4.7042228558907752E-2</v>
      </c>
      <c r="F185">
        <v>-5.6072894641028236E-2</v>
      </c>
      <c r="G185">
        <v>-6.7555192424793076E-2</v>
      </c>
      <c r="H185">
        <v>-5.4075111014272204E-2</v>
      </c>
      <c r="I185">
        <v>-6.0080846467510232E-2</v>
      </c>
      <c r="J185">
        <v>-4.3885180454164861E-2</v>
      </c>
      <c r="K185">
        <v>-5.0799051624730529E-2</v>
      </c>
      <c r="L185">
        <v>-4.4660229616703899E-2</v>
      </c>
      <c r="M185">
        <v>-4.8992797774612858E-2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42825-3E3D-4D24-B8EE-400D91F403DE}">
  <dimension ref="A1:E185"/>
  <sheetViews>
    <sheetView workbookViewId="0">
      <selection sqref="A1:E185"/>
    </sheetView>
  </sheetViews>
  <sheetFormatPr baseColWidth="10" defaultRowHeight="14.5" x14ac:dyDescent="0.35"/>
  <sheetData>
    <row r="1" spans="1:5" x14ac:dyDescent="0.35">
      <c r="A1" t="s">
        <v>204</v>
      </c>
      <c r="B1" t="s">
        <v>328</v>
      </c>
      <c r="C1" t="s">
        <v>329</v>
      </c>
      <c r="D1" t="s">
        <v>337</v>
      </c>
      <c r="E1" t="s">
        <v>338</v>
      </c>
    </row>
    <row r="2" spans="1:5" x14ac:dyDescent="0.35">
      <c r="A2" t="s">
        <v>15</v>
      </c>
      <c r="B2">
        <v>-1.8926147238837492E-2</v>
      </c>
      <c r="C2">
        <v>-1.8926147238837492E-2</v>
      </c>
      <c r="D2">
        <v>-2.0336729056880932E-2</v>
      </c>
      <c r="E2">
        <v>-2.0336729056880932E-2</v>
      </c>
    </row>
    <row r="3" spans="1:5" x14ac:dyDescent="0.35">
      <c r="A3" t="s">
        <v>16</v>
      </c>
      <c r="B3">
        <v>-2.1950385642803303E-2</v>
      </c>
      <c r="C3">
        <v>-2.2106737374190558E-2</v>
      </c>
      <c r="D3">
        <v>-3.4269566290219183E-2</v>
      </c>
      <c r="E3">
        <v>-3.4607018087643139E-2</v>
      </c>
    </row>
    <row r="4" spans="1:5" x14ac:dyDescent="0.35">
      <c r="A4" t="s">
        <v>17</v>
      </c>
      <c r="B4">
        <v>-7.4927886038323862E-3</v>
      </c>
      <c r="C4">
        <v>-7.5605710509466595E-3</v>
      </c>
      <c r="D4">
        <v>-8.4661261850900536E-3</v>
      </c>
      <c r="E4">
        <v>-9.3345658997797693E-3</v>
      </c>
    </row>
    <row r="5" spans="1:5" x14ac:dyDescent="0.35">
      <c r="A5" t="s">
        <v>18</v>
      </c>
      <c r="B5">
        <v>-2.8966625324511896E-2</v>
      </c>
      <c r="C5">
        <v>-2.9619923373066803E-2</v>
      </c>
      <c r="D5">
        <v>-3.8004846188281927E-2</v>
      </c>
      <c r="E5">
        <v>-3.8972081812495389E-2</v>
      </c>
    </row>
    <row r="6" spans="1:5" x14ac:dyDescent="0.35">
      <c r="A6" t="s">
        <v>19</v>
      </c>
      <c r="B6">
        <v>-3.5754816554237685E-2</v>
      </c>
      <c r="C6">
        <v>-3.5754816554237685E-2</v>
      </c>
      <c r="D6">
        <v>-4.707360932319523E-2</v>
      </c>
      <c r="E6">
        <v>-4.707360932319523E-2</v>
      </c>
    </row>
    <row r="7" spans="1:5" x14ac:dyDescent="0.35">
      <c r="A7" t="s">
        <v>20</v>
      </c>
      <c r="B7">
        <v>-2.3735589468149815E-2</v>
      </c>
      <c r="C7">
        <v>-2.4459002380842237E-2</v>
      </c>
      <c r="D7">
        <v>-3.9150335322432027E-2</v>
      </c>
      <c r="E7">
        <v>-4.0939086753241698E-2</v>
      </c>
    </row>
    <row r="8" spans="1:5" x14ac:dyDescent="0.35">
      <c r="A8" t="s">
        <v>21</v>
      </c>
      <c r="B8">
        <v>-2.6703335147708646E-2</v>
      </c>
      <c r="C8">
        <v>-2.8418048394442542E-2</v>
      </c>
      <c r="D8">
        <v>-2.9274168669556733E-2</v>
      </c>
      <c r="E8">
        <v>-3.0370368543586879E-2</v>
      </c>
    </row>
    <row r="9" spans="1:5" x14ac:dyDescent="0.35">
      <c r="A9" t="s">
        <v>22</v>
      </c>
      <c r="B9">
        <v>-1.8740736391713728E-2</v>
      </c>
      <c r="C9">
        <v>-1.9101341276684166E-2</v>
      </c>
      <c r="D9">
        <v>-2.7114253636236076E-2</v>
      </c>
      <c r="E9">
        <v>-2.7802254639829393E-2</v>
      </c>
    </row>
    <row r="10" spans="1:5" x14ac:dyDescent="0.35">
      <c r="A10" t="s">
        <v>23</v>
      </c>
      <c r="B10">
        <v>-1.5241201100306967E-2</v>
      </c>
      <c r="C10">
        <v>-1.6174316450981208E-2</v>
      </c>
      <c r="D10">
        <v>-1.2832338512792035E-2</v>
      </c>
      <c r="E10">
        <v>-1.312614847211817E-2</v>
      </c>
    </row>
    <row r="11" spans="1:5" x14ac:dyDescent="0.35">
      <c r="A11" t="s">
        <v>24</v>
      </c>
      <c r="B11">
        <v>-9.1749083811467711E-3</v>
      </c>
      <c r="C11">
        <v>-9.4001811300047974E-3</v>
      </c>
      <c r="D11">
        <v>-1.132795769592598E-2</v>
      </c>
      <c r="E11">
        <v>-1.1517581929928283E-2</v>
      </c>
    </row>
    <row r="12" spans="1:5" x14ac:dyDescent="0.35">
      <c r="A12" t="s">
        <v>25</v>
      </c>
      <c r="B12">
        <v>-2.5012047397738688E-2</v>
      </c>
      <c r="C12">
        <v>-2.6976249648764831E-2</v>
      </c>
      <c r="D12">
        <v>-2.6443264581158508E-2</v>
      </c>
      <c r="E12">
        <v>-2.6689369601376391E-2</v>
      </c>
    </row>
    <row r="13" spans="1:5" x14ac:dyDescent="0.35">
      <c r="A13" t="s">
        <v>26</v>
      </c>
      <c r="B13">
        <v>-1.5725571185728988E-2</v>
      </c>
      <c r="C13">
        <v>-1.5725571185728988E-2</v>
      </c>
      <c r="D13">
        <v>-1.0305707371435753E-2</v>
      </c>
      <c r="E13">
        <v>-1.0305707371435753E-2</v>
      </c>
    </row>
    <row r="14" spans="1:5" x14ac:dyDescent="0.35">
      <c r="A14" t="s">
        <v>27</v>
      </c>
      <c r="B14">
        <v>-2.300463871188323E-2</v>
      </c>
      <c r="C14">
        <v>-2.3136273384352889E-2</v>
      </c>
      <c r="D14">
        <v>-1.6457913987091954E-2</v>
      </c>
      <c r="E14">
        <v>-1.6576600844849878E-2</v>
      </c>
    </row>
    <row r="15" spans="1:5" x14ac:dyDescent="0.35">
      <c r="A15" t="s">
        <v>28</v>
      </c>
      <c r="B15">
        <v>-1.4200782286099056E-2</v>
      </c>
      <c r="C15">
        <v>-1.4272771371528832E-2</v>
      </c>
      <c r="D15">
        <v>-1.4327233562842762E-2</v>
      </c>
      <c r="E15">
        <v>-1.4472271054620674E-2</v>
      </c>
    </row>
    <row r="16" spans="1:5" x14ac:dyDescent="0.35">
      <c r="A16" t="s">
        <v>29</v>
      </c>
      <c r="B16">
        <v>-1.816718651844898E-2</v>
      </c>
      <c r="C16">
        <v>-1.8278320474716395E-2</v>
      </c>
      <c r="D16">
        <v>-2.4814054352751337E-2</v>
      </c>
      <c r="E16">
        <v>-2.5381019285010398E-2</v>
      </c>
    </row>
    <row r="17" spans="1:5" x14ac:dyDescent="0.35">
      <c r="A17" t="s">
        <v>30</v>
      </c>
      <c r="B17">
        <v>-1.3095019512933483E-2</v>
      </c>
      <c r="C17">
        <v>-2.3921820030615916E-2</v>
      </c>
      <c r="D17">
        <v>-1.6732208654312124E-2</v>
      </c>
      <c r="E17">
        <v>-2.3739231732062827E-2</v>
      </c>
    </row>
    <row r="18" spans="1:5" x14ac:dyDescent="0.35">
      <c r="A18" t="s">
        <v>31</v>
      </c>
      <c r="B18">
        <v>-1.6832895124464519E-2</v>
      </c>
      <c r="C18">
        <v>-1.6847865397786179E-2</v>
      </c>
      <c r="D18">
        <v>-2.0837406582410203E-2</v>
      </c>
      <c r="E18">
        <v>-2.123954375232482E-2</v>
      </c>
    </row>
    <row r="19" spans="1:5" x14ac:dyDescent="0.35">
      <c r="A19" t="s">
        <v>32</v>
      </c>
      <c r="B19">
        <v>-1.9032900908756058E-2</v>
      </c>
      <c r="C19">
        <v>-1.9564874300124768E-2</v>
      </c>
      <c r="D19">
        <v>-2.14239835266338E-2</v>
      </c>
      <c r="E19">
        <v>-2.1825714003503794E-2</v>
      </c>
    </row>
    <row r="20" spans="1:5" x14ac:dyDescent="0.35">
      <c r="A20" t="s">
        <v>33</v>
      </c>
      <c r="B20">
        <v>-1.6146308785026132E-2</v>
      </c>
      <c r="C20">
        <v>-1.6924324506873693E-2</v>
      </c>
      <c r="D20">
        <v>-2.6779706177487126E-2</v>
      </c>
      <c r="E20">
        <v>-2.7469458289347246E-2</v>
      </c>
    </row>
    <row r="21" spans="1:5" x14ac:dyDescent="0.35">
      <c r="A21" t="s">
        <v>34</v>
      </c>
      <c r="B21">
        <v>-4.2158248308558868E-2</v>
      </c>
      <c r="C21">
        <v>-4.3171139776749634E-2</v>
      </c>
      <c r="D21">
        <v>-5.6319181825641898E-2</v>
      </c>
      <c r="E21">
        <v>-5.6346434663959041E-2</v>
      </c>
    </row>
    <row r="22" spans="1:5" x14ac:dyDescent="0.35">
      <c r="A22" t="s">
        <v>35</v>
      </c>
      <c r="B22">
        <v>-4.5115788076765494E-2</v>
      </c>
      <c r="C22">
        <v>-4.6605278398232031E-2</v>
      </c>
      <c r="D22">
        <v>-5.3113488410767698E-2</v>
      </c>
      <c r="E22">
        <v>-5.3931739247359847E-2</v>
      </c>
    </row>
    <row r="23" spans="1:5" x14ac:dyDescent="0.35">
      <c r="A23" t="s">
        <v>36</v>
      </c>
      <c r="B23">
        <v>-3.0160571969556425E-2</v>
      </c>
      <c r="C23">
        <v>-3.2131358152793756E-2</v>
      </c>
      <c r="D23">
        <v>-3.1532432900251157E-2</v>
      </c>
      <c r="E23">
        <v>-3.2101817893642824E-2</v>
      </c>
    </row>
    <row r="24" spans="1:5" x14ac:dyDescent="0.35">
      <c r="A24" t="s">
        <v>37</v>
      </c>
      <c r="B24">
        <v>-3.2230808745870684E-2</v>
      </c>
      <c r="C24">
        <v>-3.5030845823136557E-2</v>
      </c>
      <c r="D24">
        <v>-5.2216252947196111E-2</v>
      </c>
      <c r="E24">
        <v>-5.5316049424222635E-2</v>
      </c>
    </row>
    <row r="25" spans="1:5" x14ac:dyDescent="0.35">
      <c r="A25" t="s">
        <v>38</v>
      </c>
      <c r="B25">
        <v>-1.9075117354842731E-2</v>
      </c>
      <c r="C25">
        <v>-1.9575802059690731E-2</v>
      </c>
      <c r="D25">
        <v>-3.3504564942862101E-2</v>
      </c>
      <c r="E25">
        <v>-3.3876687195497107E-2</v>
      </c>
    </row>
    <row r="26" spans="1:5" x14ac:dyDescent="0.35">
      <c r="A26" t="s">
        <v>39</v>
      </c>
      <c r="B26">
        <v>-1.2358045555112033E-2</v>
      </c>
      <c r="C26">
        <v>-1.2433464351715492E-2</v>
      </c>
      <c r="D26">
        <v>-1.6129326141021562E-2</v>
      </c>
      <c r="E26">
        <v>-1.6135457290221183E-2</v>
      </c>
    </row>
    <row r="27" spans="1:5" x14ac:dyDescent="0.35">
      <c r="A27" t="s">
        <v>40</v>
      </c>
      <c r="B27">
        <v>-1.0046565417440418E-2</v>
      </c>
      <c r="C27">
        <v>-1.0283276908669302E-2</v>
      </c>
      <c r="D27">
        <v>-1.4396004318346818E-2</v>
      </c>
      <c r="E27">
        <v>-1.517273530066989E-2</v>
      </c>
    </row>
    <row r="28" spans="1:5" x14ac:dyDescent="0.35">
      <c r="A28" t="s">
        <v>41</v>
      </c>
      <c r="B28">
        <v>-1.9057433230038747E-2</v>
      </c>
      <c r="C28">
        <v>-1.9905412786773956E-2</v>
      </c>
      <c r="D28">
        <v>-3.3373314924004499E-2</v>
      </c>
      <c r="E28">
        <v>-3.6494027980830963E-2</v>
      </c>
    </row>
    <row r="29" spans="1:5" x14ac:dyDescent="0.35">
      <c r="A29" t="s">
        <v>42</v>
      </c>
      <c r="B29">
        <v>-2.2998742849094488E-2</v>
      </c>
      <c r="C29">
        <v>-2.2998742849094488E-2</v>
      </c>
      <c r="D29">
        <v>-3.1271812338847065E-2</v>
      </c>
      <c r="E29">
        <v>-3.1271812338847065E-2</v>
      </c>
    </row>
    <row r="30" spans="1:5" x14ac:dyDescent="0.35">
      <c r="A30" t="s">
        <v>43</v>
      </c>
      <c r="B30">
        <v>-1.8148795870434591E-2</v>
      </c>
      <c r="C30">
        <v>-1.8196953806206013E-2</v>
      </c>
      <c r="D30">
        <v>-2.6219616998057749E-2</v>
      </c>
      <c r="E30">
        <v>-2.6554943105215157E-2</v>
      </c>
    </row>
    <row r="31" spans="1:5" x14ac:dyDescent="0.35">
      <c r="A31" t="s">
        <v>44</v>
      </c>
      <c r="B31">
        <v>-1.691862352273963E-2</v>
      </c>
      <c r="C31">
        <v>-1.691862352273963E-2</v>
      </c>
      <c r="D31">
        <v>-2.2662580288914502E-2</v>
      </c>
      <c r="E31">
        <v>-2.2662580288914502E-2</v>
      </c>
    </row>
    <row r="32" spans="1:5" x14ac:dyDescent="0.35">
      <c r="A32" t="s">
        <v>45</v>
      </c>
      <c r="B32">
        <v>-2.340341173387029E-2</v>
      </c>
      <c r="C32">
        <v>-2.4824626703465885E-2</v>
      </c>
      <c r="D32">
        <v>-2.8182989868335707E-2</v>
      </c>
      <c r="E32">
        <v>-2.9344071502311404E-2</v>
      </c>
    </row>
    <row r="33" spans="1:5" x14ac:dyDescent="0.35">
      <c r="A33" t="s">
        <v>46</v>
      </c>
      <c r="B33">
        <v>-1.2412115025802313E-2</v>
      </c>
      <c r="C33">
        <v>-1.3127999593207361E-2</v>
      </c>
      <c r="D33">
        <v>-2.5952457346496434E-2</v>
      </c>
      <c r="E33">
        <v>-2.7191094823623824E-2</v>
      </c>
    </row>
    <row r="34" spans="1:5" x14ac:dyDescent="0.35">
      <c r="A34" t="s">
        <v>47</v>
      </c>
      <c r="B34">
        <v>-1.2671148497758458E-2</v>
      </c>
      <c r="C34">
        <v>-1.2677299163388922E-2</v>
      </c>
      <c r="D34">
        <v>-2.8385548096617124E-2</v>
      </c>
      <c r="E34">
        <v>-2.8570279064389557E-2</v>
      </c>
    </row>
    <row r="35" spans="1:5" x14ac:dyDescent="0.35">
      <c r="A35" t="s">
        <v>48</v>
      </c>
      <c r="B35">
        <v>-1.1752781342540201E-2</v>
      </c>
      <c r="C35">
        <v>-1.2622009512084717E-2</v>
      </c>
      <c r="D35">
        <v>-2.0768026566525859E-2</v>
      </c>
      <c r="E35">
        <v>-2.2280394779978261E-2</v>
      </c>
    </row>
    <row r="36" spans="1:5" x14ac:dyDescent="0.35">
      <c r="A36" t="s">
        <v>49</v>
      </c>
      <c r="B36">
        <v>-1.498506366743918E-2</v>
      </c>
      <c r="C36">
        <v>-1.5442186156664291E-2</v>
      </c>
      <c r="D36">
        <v>-1.8946896556114985E-2</v>
      </c>
      <c r="E36">
        <v>-2.0055112698893814E-2</v>
      </c>
    </row>
    <row r="37" spans="1:5" x14ac:dyDescent="0.35">
      <c r="A37" t="s">
        <v>50</v>
      </c>
      <c r="B37">
        <v>-5.505138472957187E-3</v>
      </c>
      <c r="C37">
        <v>-6.4717634322341696E-3</v>
      </c>
      <c r="D37">
        <v>-4.1254685425178191E-3</v>
      </c>
      <c r="E37">
        <v>-1.4808667618251226E-2</v>
      </c>
    </row>
    <row r="38" spans="1:5" x14ac:dyDescent="0.35">
      <c r="A38" t="s">
        <v>51</v>
      </c>
      <c r="B38">
        <v>-6.7763064383981686E-3</v>
      </c>
      <c r="C38">
        <v>-6.8266441830861623E-3</v>
      </c>
      <c r="D38">
        <v>-8.4879116646800774E-3</v>
      </c>
      <c r="E38">
        <v>-8.7809241579029033E-3</v>
      </c>
    </row>
    <row r="39" spans="1:5" x14ac:dyDescent="0.35">
      <c r="A39" t="s">
        <v>52</v>
      </c>
      <c r="B39">
        <v>-9.3426862242219685E-3</v>
      </c>
      <c r="C39">
        <v>-9.4405826970184493E-3</v>
      </c>
      <c r="D39">
        <v>-3.0397571610741508E-2</v>
      </c>
      <c r="E39">
        <v>-3.057234594306522E-2</v>
      </c>
    </row>
    <row r="40" spans="1:5" x14ac:dyDescent="0.35">
      <c r="A40" t="s">
        <v>53</v>
      </c>
      <c r="B40">
        <v>-7.9897079357728173E-3</v>
      </c>
      <c r="C40">
        <v>-8.0902242758127164E-3</v>
      </c>
      <c r="D40">
        <v>-1.432391876474772E-2</v>
      </c>
      <c r="E40">
        <v>-1.4389267274336348E-2</v>
      </c>
    </row>
    <row r="41" spans="1:5" x14ac:dyDescent="0.35">
      <c r="A41" t="s">
        <v>54</v>
      </c>
      <c r="B41">
        <v>-1.6374318132155816E-2</v>
      </c>
      <c r="C41">
        <v>-1.69354683390729E-2</v>
      </c>
      <c r="D41">
        <v>-2.3084926181806416E-2</v>
      </c>
      <c r="E41">
        <v>-2.3764951601235505E-2</v>
      </c>
    </row>
    <row r="42" spans="1:5" x14ac:dyDescent="0.35">
      <c r="A42" t="s">
        <v>55</v>
      </c>
      <c r="B42">
        <v>-2.2301400862437527E-2</v>
      </c>
      <c r="C42">
        <v>-2.2338248333308507E-2</v>
      </c>
      <c r="D42">
        <v>-2.0848406792171783E-2</v>
      </c>
      <c r="E42">
        <v>-2.0942964875168751E-2</v>
      </c>
    </row>
    <row r="43" spans="1:5" x14ac:dyDescent="0.35">
      <c r="A43" t="s">
        <v>56</v>
      </c>
      <c r="B43">
        <v>-2.8425048774597519E-2</v>
      </c>
      <c r="C43">
        <v>-2.9082516428527206E-2</v>
      </c>
      <c r="D43">
        <v>-3.6337597783142793E-2</v>
      </c>
      <c r="E43">
        <v>-3.7256888189702533E-2</v>
      </c>
    </row>
    <row r="44" spans="1:5" x14ac:dyDescent="0.35">
      <c r="A44" t="s">
        <v>57</v>
      </c>
      <c r="B44">
        <v>-1.1025270008154968E-2</v>
      </c>
      <c r="C44">
        <v>-1.1370976838816037E-2</v>
      </c>
      <c r="D44">
        <v>-1.3912197474813376E-2</v>
      </c>
      <c r="E44">
        <v>-1.4666090388188075E-2</v>
      </c>
    </row>
    <row r="45" spans="1:5" x14ac:dyDescent="0.35">
      <c r="A45" t="s">
        <v>58</v>
      </c>
      <c r="B45">
        <v>-1.1046216526803676E-2</v>
      </c>
      <c r="C45">
        <v>-1.110261099420885E-2</v>
      </c>
      <c r="D45">
        <v>-2.4491852845788486E-2</v>
      </c>
      <c r="E45">
        <v>-2.5066625568686635E-2</v>
      </c>
    </row>
    <row r="46" spans="1:5" x14ac:dyDescent="0.35">
      <c r="A46" t="s">
        <v>59</v>
      </c>
      <c r="B46">
        <v>-9.1959156172364172E-3</v>
      </c>
      <c r="C46">
        <v>-9.5005827596453367E-3</v>
      </c>
      <c r="D46">
        <v>-1.0163371117737199E-2</v>
      </c>
      <c r="E46">
        <v>-1.0403192905549847E-2</v>
      </c>
    </row>
    <row r="47" spans="1:5" x14ac:dyDescent="0.35">
      <c r="A47" t="s">
        <v>60</v>
      </c>
      <c r="B47">
        <v>-1.1375394434164163E-2</v>
      </c>
      <c r="C47">
        <v>-1.220671544618564E-2</v>
      </c>
      <c r="D47">
        <v>-8.9871217197841444E-3</v>
      </c>
      <c r="E47">
        <v>-9.2020049044941373E-3</v>
      </c>
    </row>
    <row r="48" spans="1:5" x14ac:dyDescent="0.35">
      <c r="A48" t="s">
        <v>61</v>
      </c>
      <c r="B48">
        <v>-9.2566321571718232E-3</v>
      </c>
      <c r="C48">
        <v>-9.3409645301689211E-3</v>
      </c>
      <c r="D48">
        <v>-1.0961877718603623E-2</v>
      </c>
      <c r="E48">
        <v>-1.126281402716286E-2</v>
      </c>
    </row>
    <row r="49" spans="1:5" x14ac:dyDescent="0.35">
      <c r="A49" t="s">
        <v>62</v>
      </c>
      <c r="B49">
        <v>-1.015811913424355E-2</v>
      </c>
      <c r="C49">
        <v>-1.0605399210328742E-2</v>
      </c>
      <c r="D49">
        <v>-1.46592439942264E-2</v>
      </c>
      <c r="E49">
        <v>-2.6808569108513182E-2</v>
      </c>
    </row>
    <row r="50" spans="1:5" x14ac:dyDescent="0.35">
      <c r="A50" t="s">
        <v>63</v>
      </c>
      <c r="B50">
        <v>-2.2176890782762065E-2</v>
      </c>
      <c r="C50">
        <v>-2.3531545062719081E-2</v>
      </c>
      <c r="D50">
        <v>-2.5771281865536601E-2</v>
      </c>
      <c r="E50">
        <v>-2.8308906268907679E-2</v>
      </c>
    </row>
    <row r="51" spans="1:5" x14ac:dyDescent="0.35">
      <c r="A51" t="s">
        <v>64</v>
      </c>
      <c r="B51">
        <v>-1.620366871062142E-2</v>
      </c>
      <c r="C51">
        <v>-1.682282608466934E-2</v>
      </c>
      <c r="D51">
        <v>-1.3513205758608782E-2</v>
      </c>
      <c r="E51">
        <v>-1.4013696476512461E-2</v>
      </c>
    </row>
    <row r="52" spans="1:5" x14ac:dyDescent="0.35">
      <c r="A52" t="s">
        <v>65</v>
      </c>
      <c r="B52">
        <v>-1.4496082536714841E-2</v>
      </c>
      <c r="C52">
        <v>-1.4535588636151783E-2</v>
      </c>
      <c r="D52">
        <v>-2.5623609343980495E-2</v>
      </c>
      <c r="E52">
        <v>-2.6949710924102376E-2</v>
      </c>
    </row>
    <row r="53" spans="1:5" x14ac:dyDescent="0.35">
      <c r="A53" t="s">
        <v>66</v>
      </c>
      <c r="B53">
        <v>-1.5027526858003983E-2</v>
      </c>
      <c r="C53">
        <v>-1.5205352427301255E-2</v>
      </c>
      <c r="D53">
        <v>-1.0866228218783172E-2</v>
      </c>
      <c r="E53">
        <v>-1.0867052438152645E-2</v>
      </c>
    </row>
    <row r="54" spans="1:5" x14ac:dyDescent="0.35">
      <c r="A54" t="s">
        <v>67</v>
      </c>
      <c r="B54">
        <v>-4.8124820304221482E-3</v>
      </c>
      <c r="C54">
        <v>-4.8124820304221482E-3</v>
      </c>
      <c r="D54">
        <v>-1.2544360374955973E-2</v>
      </c>
      <c r="E54">
        <v>-1.2544360374955973E-2</v>
      </c>
    </row>
    <row r="55" spans="1:5" x14ac:dyDescent="0.35">
      <c r="A55" t="s">
        <v>68</v>
      </c>
      <c r="B55">
        <v>-1.0700047167261756E-2</v>
      </c>
      <c r="C55">
        <v>-1.1240668907284698E-2</v>
      </c>
      <c r="D55">
        <v>-1.2447152868096664E-2</v>
      </c>
      <c r="E55">
        <v>-1.286138362001632E-2</v>
      </c>
    </row>
    <row r="56" spans="1:5" x14ac:dyDescent="0.35">
      <c r="A56" t="s">
        <v>69</v>
      </c>
      <c r="B56">
        <v>-1.1948201271053706E-2</v>
      </c>
      <c r="C56">
        <v>-1.267594719509345E-2</v>
      </c>
      <c r="D56">
        <v>-1.7754226828496301E-2</v>
      </c>
      <c r="E56">
        <v>-1.8327516154666559E-2</v>
      </c>
    </row>
    <row r="57" spans="1:5" x14ac:dyDescent="0.35">
      <c r="A57" t="s">
        <v>70</v>
      </c>
      <c r="B57">
        <v>-1.405205661122096E-2</v>
      </c>
      <c r="C57">
        <v>-1.405205661122096E-2</v>
      </c>
      <c r="D57">
        <v>-1.3715712376760555E-2</v>
      </c>
      <c r="E57">
        <v>-1.3715712376760555E-2</v>
      </c>
    </row>
    <row r="58" spans="1:5" x14ac:dyDescent="0.35">
      <c r="A58" t="s">
        <v>71</v>
      </c>
      <c r="B58">
        <v>-1.452915127562418E-2</v>
      </c>
      <c r="C58">
        <v>-1.4940602909053627E-2</v>
      </c>
      <c r="D58">
        <v>-1.8069081766253305E-2</v>
      </c>
      <c r="E58">
        <v>-1.8905572229137576E-2</v>
      </c>
    </row>
    <row r="59" spans="1:5" x14ac:dyDescent="0.35">
      <c r="A59" t="s">
        <v>72</v>
      </c>
      <c r="B59">
        <v>-3.6054991116663278E-2</v>
      </c>
      <c r="C59">
        <v>-3.8018622051690772E-2</v>
      </c>
      <c r="D59">
        <v>-3.5729336462158201E-2</v>
      </c>
      <c r="E59">
        <v>-3.7007350835675308E-2</v>
      </c>
    </row>
    <row r="60" spans="1:5" x14ac:dyDescent="0.35">
      <c r="A60" t="s">
        <v>73</v>
      </c>
      <c r="B60">
        <v>-9.4968654985866617E-3</v>
      </c>
      <c r="C60">
        <v>-9.6732460475391635E-3</v>
      </c>
      <c r="D60">
        <v>-1.5334103291984208E-2</v>
      </c>
      <c r="E60">
        <v>-1.5338674772601585E-2</v>
      </c>
    </row>
    <row r="61" spans="1:5" x14ac:dyDescent="0.35">
      <c r="A61" t="s">
        <v>74</v>
      </c>
      <c r="B61">
        <v>-3.0224847172743749E-2</v>
      </c>
      <c r="C61">
        <v>-3.0224847172743749E-2</v>
      </c>
      <c r="D61">
        <v>-2.8060136410409907E-2</v>
      </c>
      <c r="E61">
        <v>-2.8060136410409907E-2</v>
      </c>
    </row>
    <row r="62" spans="1:5" x14ac:dyDescent="0.35">
      <c r="A62" t="s">
        <v>75</v>
      </c>
      <c r="B62">
        <v>-2.1430745337947053E-2</v>
      </c>
      <c r="C62">
        <v>-2.1580263858845906E-2</v>
      </c>
      <c r="D62">
        <v>-3.2255911250920817E-2</v>
      </c>
      <c r="E62">
        <v>-3.3703787336422944E-2</v>
      </c>
    </row>
    <row r="63" spans="1:5" x14ac:dyDescent="0.35">
      <c r="A63" t="s">
        <v>76</v>
      </c>
      <c r="B63">
        <v>-4.4360977358111064E-3</v>
      </c>
      <c r="C63">
        <v>-4.5082373831092639E-3</v>
      </c>
      <c r="D63">
        <v>-8.2986339475316067E-3</v>
      </c>
      <c r="E63">
        <v>-8.5527238547178936E-3</v>
      </c>
    </row>
    <row r="64" spans="1:5" x14ac:dyDescent="0.35">
      <c r="A64" t="s">
        <v>77</v>
      </c>
      <c r="B64">
        <v>-1.3214894889218879E-2</v>
      </c>
      <c r="C64">
        <v>-1.4027996886740149E-2</v>
      </c>
      <c r="D64">
        <v>-1.3003866772554676E-2</v>
      </c>
      <c r="E64">
        <v>-1.3312730554734711E-2</v>
      </c>
    </row>
    <row r="65" spans="1:5" x14ac:dyDescent="0.35">
      <c r="A65" t="s">
        <v>78</v>
      </c>
      <c r="B65">
        <v>-1.8419846691784408E-2</v>
      </c>
      <c r="C65">
        <v>-1.8720012790396347E-2</v>
      </c>
      <c r="D65">
        <v>-2.5844006638714705E-2</v>
      </c>
      <c r="E65">
        <v>-2.6241203652521462E-2</v>
      </c>
    </row>
    <row r="66" spans="1:5" x14ac:dyDescent="0.35">
      <c r="A66" t="s">
        <v>79</v>
      </c>
      <c r="B66">
        <v>-1.316293218794248E-2</v>
      </c>
      <c r="C66">
        <v>-1.4009799170089312E-2</v>
      </c>
      <c r="D66">
        <v>-1.6128775006962581E-2</v>
      </c>
      <c r="E66">
        <v>-2.5616142635770979E-2</v>
      </c>
    </row>
    <row r="67" spans="1:5" x14ac:dyDescent="0.35">
      <c r="A67" t="s">
        <v>80</v>
      </c>
      <c r="B67">
        <v>-2.3450027582446385E-2</v>
      </c>
      <c r="C67">
        <v>-2.485397734730093E-2</v>
      </c>
      <c r="D67">
        <v>-3.5073726973218151E-2</v>
      </c>
      <c r="E67">
        <v>-3.8145462798365226E-2</v>
      </c>
    </row>
    <row r="68" spans="1:5" x14ac:dyDescent="0.35">
      <c r="A68" t="s">
        <v>81</v>
      </c>
      <c r="B68">
        <v>-1.9053482893359421E-2</v>
      </c>
      <c r="C68">
        <v>-1.9775840765522936E-2</v>
      </c>
      <c r="D68">
        <v>-2.5384108675679643E-2</v>
      </c>
      <c r="E68">
        <v>-2.5992553910037464E-2</v>
      </c>
    </row>
    <row r="69" spans="1:5" x14ac:dyDescent="0.35">
      <c r="A69" t="s">
        <v>82</v>
      </c>
      <c r="B69">
        <v>-5.9535849920983604E-2</v>
      </c>
      <c r="C69">
        <v>-6.047803941791962E-2</v>
      </c>
      <c r="D69">
        <v>-5.3917623451203163E-2</v>
      </c>
      <c r="E69">
        <v>-5.493230125890735E-2</v>
      </c>
    </row>
    <row r="70" spans="1:5" x14ac:dyDescent="0.35">
      <c r="A70" t="s">
        <v>83</v>
      </c>
      <c r="B70">
        <v>-4.1193792063901738E-2</v>
      </c>
      <c r="C70">
        <v>-4.3025636977835645E-2</v>
      </c>
      <c r="D70">
        <v>-3.3971744225686822E-2</v>
      </c>
      <c r="E70">
        <v>-3.483596665097357E-2</v>
      </c>
    </row>
    <row r="71" spans="1:5" x14ac:dyDescent="0.35">
      <c r="A71" t="s">
        <v>84</v>
      </c>
      <c r="B71">
        <v>-1.2500736647221128E-2</v>
      </c>
      <c r="C71">
        <v>-1.2831456088047571E-2</v>
      </c>
      <c r="D71">
        <v>-1.0190603850198803E-2</v>
      </c>
      <c r="E71">
        <v>-1.0274920551452177E-2</v>
      </c>
    </row>
    <row r="72" spans="1:5" x14ac:dyDescent="0.35">
      <c r="A72" t="s">
        <v>85</v>
      </c>
      <c r="B72">
        <v>-2.2382555658214603E-2</v>
      </c>
      <c r="C72">
        <v>-2.2794808392419593E-2</v>
      </c>
      <c r="D72">
        <v>-1.9066124523442141E-2</v>
      </c>
      <c r="E72">
        <v>-1.9545618946637387E-2</v>
      </c>
    </row>
    <row r="73" spans="1:5" x14ac:dyDescent="0.35">
      <c r="A73" t="s">
        <v>86</v>
      </c>
      <c r="B73">
        <v>-4.1243430425004272E-2</v>
      </c>
      <c r="C73">
        <v>-4.1243430425004272E-2</v>
      </c>
      <c r="D73">
        <v>-3.6440425968209698E-2</v>
      </c>
      <c r="E73">
        <v>-3.6440425968209698E-2</v>
      </c>
    </row>
    <row r="74" spans="1:5" x14ac:dyDescent="0.35">
      <c r="A74" t="s">
        <v>87</v>
      </c>
      <c r="B74">
        <v>-3.7155349141192402E-2</v>
      </c>
      <c r="C74">
        <v>-3.7275344145875772E-2</v>
      </c>
      <c r="D74">
        <v>-3.5016256072653913E-2</v>
      </c>
      <c r="E74">
        <v>-3.5089062728072842E-2</v>
      </c>
    </row>
    <row r="75" spans="1:5" x14ac:dyDescent="0.35">
      <c r="A75" t="s">
        <v>88</v>
      </c>
      <c r="B75">
        <v>-3.4718654202265858E-2</v>
      </c>
      <c r="C75">
        <v>-3.4829509579840344E-2</v>
      </c>
      <c r="D75">
        <v>-4.0462108374438061E-2</v>
      </c>
      <c r="E75">
        <v>-4.1345889074985695E-2</v>
      </c>
    </row>
    <row r="76" spans="1:5" x14ac:dyDescent="0.35">
      <c r="A76" t="s">
        <v>89</v>
      </c>
      <c r="B76">
        <v>-2.7595254847849401E-2</v>
      </c>
      <c r="C76">
        <v>-2.8566720605015011E-2</v>
      </c>
      <c r="D76">
        <v>-2.1107582289084003E-2</v>
      </c>
      <c r="E76">
        <v>-2.1546107133027084E-2</v>
      </c>
    </row>
    <row r="77" spans="1:5" x14ac:dyDescent="0.35">
      <c r="A77" t="s">
        <v>90</v>
      </c>
      <c r="B77">
        <v>-1.9855504728225483E-2</v>
      </c>
      <c r="C77">
        <v>-1.9875396257721639E-2</v>
      </c>
      <c r="D77">
        <v>-2.7929996211006593E-2</v>
      </c>
      <c r="E77">
        <v>-2.8578714986915593E-2</v>
      </c>
    </row>
    <row r="78" spans="1:5" x14ac:dyDescent="0.35">
      <c r="A78" t="s">
        <v>91</v>
      </c>
      <c r="B78">
        <v>-2.088478767412151E-2</v>
      </c>
      <c r="C78">
        <v>-2.088478767412151E-2</v>
      </c>
      <c r="D78">
        <v>-1.2948797777806009E-2</v>
      </c>
      <c r="E78">
        <v>-1.2948797777806009E-2</v>
      </c>
    </row>
    <row r="79" spans="1:5" x14ac:dyDescent="0.35">
      <c r="A79" t="s">
        <v>92</v>
      </c>
      <c r="B79">
        <v>-8.3880611513777181E-2</v>
      </c>
      <c r="C79">
        <v>-8.9041250796063481E-2</v>
      </c>
      <c r="D79">
        <v>-7.5791126580524795E-2</v>
      </c>
      <c r="E79">
        <v>-8.3843670369306206E-2</v>
      </c>
    </row>
    <row r="80" spans="1:5" x14ac:dyDescent="0.35">
      <c r="A80" t="s">
        <v>93</v>
      </c>
      <c r="B80">
        <v>-1.9904333458393979E-2</v>
      </c>
      <c r="C80">
        <v>-2.08684951575854E-2</v>
      </c>
      <c r="D80">
        <v>-1.8748859970345748E-2</v>
      </c>
      <c r="E80">
        <v>-1.8941686878126449E-2</v>
      </c>
    </row>
    <row r="81" spans="1:5" x14ac:dyDescent="0.35">
      <c r="A81" t="s">
        <v>94</v>
      </c>
      <c r="B81">
        <v>-7.5184322979035502E-3</v>
      </c>
      <c r="C81">
        <v>-7.537309929705277E-3</v>
      </c>
      <c r="D81">
        <v>-1.7688183357138988E-2</v>
      </c>
      <c r="E81">
        <v>-1.8583232123043567E-2</v>
      </c>
    </row>
    <row r="82" spans="1:5" x14ac:dyDescent="0.35">
      <c r="A82" t="s">
        <v>95</v>
      </c>
      <c r="B82">
        <v>-1.4539753709337333E-2</v>
      </c>
      <c r="C82">
        <v>-1.4566350881975903E-2</v>
      </c>
      <c r="D82">
        <v>-1.723618067114336E-2</v>
      </c>
      <c r="E82">
        <v>-1.8173857485110752E-2</v>
      </c>
    </row>
    <row r="83" spans="1:5" x14ac:dyDescent="0.35">
      <c r="A83" t="s">
        <v>96</v>
      </c>
      <c r="B83">
        <v>-1.4962461402687926E-2</v>
      </c>
      <c r="C83">
        <v>-1.5180489037342202E-2</v>
      </c>
      <c r="D83">
        <v>-1.0531166511490823E-2</v>
      </c>
      <c r="E83">
        <v>-1.0628489164106126E-2</v>
      </c>
    </row>
    <row r="84" spans="1:5" x14ac:dyDescent="0.35">
      <c r="A84" t="s">
        <v>97</v>
      </c>
      <c r="B84">
        <v>-1.272201529393808E-2</v>
      </c>
      <c r="C84">
        <v>-1.3139558251104581E-2</v>
      </c>
      <c r="D84">
        <v>-1.2026495175146442E-2</v>
      </c>
      <c r="E84">
        <v>-1.2517960409215146E-2</v>
      </c>
    </row>
    <row r="85" spans="1:5" x14ac:dyDescent="0.35">
      <c r="A85" t="s">
        <v>98</v>
      </c>
      <c r="B85">
        <v>-9.3585947912405848E-3</v>
      </c>
      <c r="C85">
        <v>-9.5076169892214721E-3</v>
      </c>
      <c r="D85">
        <v>-7.2228843330862146E-3</v>
      </c>
      <c r="E85">
        <v>-7.2348800033537027E-3</v>
      </c>
    </row>
    <row r="86" spans="1:5" x14ac:dyDescent="0.35">
      <c r="A86" t="s">
        <v>99</v>
      </c>
      <c r="B86">
        <v>-1.4350049265915314E-2</v>
      </c>
      <c r="C86">
        <v>-1.4882745746693866E-2</v>
      </c>
      <c r="D86">
        <v>-1.1172087232804823E-2</v>
      </c>
      <c r="E86">
        <v>-1.1499801523700594E-2</v>
      </c>
    </row>
    <row r="87" spans="1:5" x14ac:dyDescent="0.35">
      <c r="A87" t="s">
        <v>100</v>
      </c>
      <c r="B87">
        <v>-1.0207728808279859E-2</v>
      </c>
      <c r="C87">
        <v>-1.0319086625118436E-2</v>
      </c>
      <c r="D87">
        <v>-9.8390008237079704E-3</v>
      </c>
      <c r="E87">
        <v>-9.8589854640035272E-3</v>
      </c>
    </row>
    <row r="88" spans="1:5" x14ac:dyDescent="0.35">
      <c r="A88" t="s">
        <v>101</v>
      </c>
      <c r="B88">
        <v>-7.270691238452056E-3</v>
      </c>
      <c r="C88">
        <v>-7.31849589536601E-3</v>
      </c>
      <c r="D88">
        <v>-4.9856448985589495E-3</v>
      </c>
      <c r="E88">
        <v>-5.0812934054105868E-3</v>
      </c>
    </row>
    <row r="89" spans="1:5" x14ac:dyDescent="0.35">
      <c r="A89" t="s">
        <v>102</v>
      </c>
      <c r="B89">
        <v>-8.2774112560129488E-3</v>
      </c>
      <c r="C89">
        <v>-1.3170273935475018E-2</v>
      </c>
      <c r="D89">
        <v>-8.5057569615325929E-3</v>
      </c>
      <c r="E89">
        <v>-1.6071747885926926E-2</v>
      </c>
    </row>
    <row r="90" spans="1:5" x14ac:dyDescent="0.35">
      <c r="A90" t="s">
        <v>103</v>
      </c>
      <c r="B90">
        <v>-6.078933037404039E-3</v>
      </c>
      <c r="C90">
        <v>-6.1961107874348286E-3</v>
      </c>
      <c r="D90">
        <v>-1.5720651179697176E-2</v>
      </c>
      <c r="E90">
        <v>-1.645133750933795E-2</v>
      </c>
    </row>
    <row r="91" spans="1:5" x14ac:dyDescent="0.35">
      <c r="A91" t="s">
        <v>104</v>
      </c>
      <c r="B91">
        <v>-1.2745057539206692E-2</v>
      </c>
      <c r="C91">
        <v>-1.3145019828295062E-2</v>
      </c>
      <c r="D91">
        <v>-1.8443526227991652E-2</v>
      </c>
      <c r="E91">
        <v>-1.8939286704568226E-2</v>
      </c>
    </row>
    <row r="92" spans="1:5" x14ac:dyDescent="0.35">
      <c r="A92" t="s">
        <v>105</v>
      </c>
      <c r="B92">
        <v>-1.2440128468316424E-2</v>
      </c>
      <c r="C92">
        <v>-1.2534918940921546E-2</v>
      </c>
      <c r="D92">
        <v>-1.5324059763377898E-2</v>
      </c>
      <c r="E92">
        <v>-1.5811311005454035E-2</v>
      </c>
    </row>
    <row r="93" spans="1:5" x14ac:dyDescent="0.35">
      <c r="A93" t="s">
        <v>106</v>
      </c>
      <c r="B93">
        <v>-1.6714841397339343E-2</v>
      </c>
      <c r="C93">
        <v>-1.6786176333714903E-2</v>
      </c>
      <c r="D93">
        <v>-1.4271152408980239E-2</v>
      </c>
      <c r="E93">
        <v>-1.4287578104278508E-2</v>
      </c>
    </row>
    <row r="94" spans="1:5" x14ac:dyDescent="0.35">
      <c r="A94" t="s">
        <v>107</v>
      </c>
      <c r="B94">
        <v>-8.5105611377479691E-3</v>
      </c>
      <c r="C94">
        <v>-9.1883597945121315E-3</v>
      </c>
      <c r="D94">
        <v>-3.7367483267682954E-3</v>
      </c>
      <c r="E94">
        <v>-3.7722868997681611E-3</v>
      </c>
    </row>
    <row r="95" spans="1:5" x14ac:dyDescent="0.35">
      <c r="A95" t="s">
        <v>108</v>
      </c>
      <c r="B95">
        <v>-8.7738384268229025E-3</v>
      </c>
      <c r="C95">
        <v>-8.8973371432869309E-3</v>
      </c>
      <c r="D95">
        <v>-3.6923573264383293E-3</v>
      </c>
      <c r="E95">
        <v>-3.6974179725313976E-3</v>
      </c>
    </row>
    <row r="96" spans="1:5" x14ac:dyDescent="0.35">
      <c r="A96" t="s">
        <v>109</v>
      </c>
      <c r="B96">
        <v>-9.1503392372518314E-3</v>
      </c>
      <c r="C96">
        <v>-9.181133441666935E-3</v>
      </c>
      <c r="D96">
        <v>-1.1044565267704184E-2</v>
      </c>
      <c r="E96">
        <v>-1.1706898366384836E-2</v>
      </c>
    </row>
    <row r="97" spans="1:5" x14ac:dyDescent="0.35">
      <c r="A97" t="s">
        <v>110</v>
      </c>
      <c r="B97">
        <v>-4.7662877467239718E-3</v>
      </c>
      <c r="C97">
        <v>-4.7662877467239718E-3</v>
      </c>
      <c r="D97">
        <v>-1.0458780722333909E-2</v>
      </c>
      <c r="E97">
        <v>-1.0458780722333909E-2</v>
      </c>
    </row>
    <row r="98" spans="1:5" x14ac:dyDescent="0.35">
      <c r="A98" t="s">
        <v>111</v>
      </c>
      <c r="B98">
        <v>-8.3468973346353583E-3</v>
      </c>
      <c r="C98">
        <v>-8.5200988833339392E-3</v>
      </c>
      <c r="D98">
        <v>-8.4826012059609681E-3</v>
      </c>
      <c r="E98">
        <v>-8.6964424688977509E-3</v>
      </c>
    </row>
    <row r="99" spans="1:5" x14ac:dyDescent="0.35">
      <c r="A99" t="s">
        <v>112</v>
      </c>
      <c r="B99">
        <v>-2.8604013417490859E-2</v>
      </c>
      <c r="C99">
        <v>-2.9043061819303939E-2</v>
      </c>
      <c r="D99">
        <v>-2.3556662960803824E-2</v>
      </c>
      <c r="E99">
        <v>-2.3742362061144429E-2</v>
      </c>
    </row>
    <row r="100" spans="1:5" x14ac:dyDescent="0.35">
      <c r="A100" t="s">
        <v>113</v>
      </c>
      <c r="B100">
        <v>-1.9685982351814488E-2</v>
      </c>
      <c r="C100">
        <v>-2.0310716363221036E-2</v>
      </c>
      <c r="D100">
        <v>-2.3210105376039264E-2</v>
      </c>
      <c r="E100">
        <v>-2.423011200803861E-2</v>
      </c>
    </row>
    <row r="101" spans="1:5" x14ac:dyDescent="0.35">
      <c r="A101" t="s">
        <v>114</v>
      </c>
      <c r="B101">
        <v>-7.1033695732011159E-3</v>
      </c>
      <c r="C101">
        <v>-7.2438640503520923E-3</v>
      </c>
      <c r="D101">
        <v>-5.680174256341858E-3</v>
      </c>
      <c r="E101">
        <v>-5.6845861006398291E-3</v>
      </c>
    </row>
    <row r="102" spans="1:5" x14ac:dyDescent="0.35">
      <c r="A102" t="s">
        <v>115</v>
      </c>
      <c r="B102">
        <v>-1.0634172079706211E-2</v>
      </c>
      <c r="C102">
        <v>-1.0634172079706211E-2</v>
      </c>
      <c r="D102">
        <v>-1.903230404986065E-2</v>
      </c>
      <c r="E102">
        <v>-1.903230404986065E-2</v>
      </c>
    </row>
    <row r="103" spans="1:5" x14ac:dyDescent="0.35">
      <c r="A103" t="s">
        <v>116</v>
      </c>
      <c r="B103">
        <v>-2.4525353421914035E-2</v>
      </c>
      <c r="C103">
        <v>-2.5490842628063615E-2</v>
      </c>
      <c r="D103">
        <v>-1.8566202851668306E-2</v>
      </c>
      <c r="E103">
        <v>-1.940229017030648E-2</v>
      </c>
    </row>
    <row r="104" spans="1:5" x14ac:dyDescent="0.35">
      <c r="A104" t="s">
        <v>117</v>
      </c>
      <c r="B104">
        <v>-1.2229779462629094E-2</v>
      </c>
      <c r="C104">
        <v>-1.2546239755507832E-2</v>
      </c>
      <c r="D104">
        <v>-1.39979061444802E-2</v>
      </c>
      <c r="E104">
        <v>-1.4910887673939239E-2</v>
      </c>
    </row>
    <row r="105" spans="1:5" x14ac:dyDescent="0.35">
      <c r="A105" t="s">
        <v>118</v>
      </c>
      <c r="B105">
        <v>-1.1314683464002773E-2</v>
      </c>
      <c r="C105">
        <v>-1.1464464082255502E-2</v>
      </c>
      <c r="D105">
        <v>-1.5747419851308436E-2</v>
      </c>
      <c r="E105">
        <v>-1.604331589206151E-2</v>
      </c>
    </row>
    <row r="106" spans="1:5" x14ac:dyDescent="0.35">
      <c r="A106" t="s">
        <v>119</v>
      </c>
      <c r="B106">
        <v>-9.6219073815937781E-3</v>
      </c>
      <c r="C106">
        <v>-9.7800648683091084E-3</v>
      </c>
      <c r="D106">
        <v>-1.5441382891928885E-2</v>
      </c>
      <c r="E106">
        <v>-1.555829219790196E-2</v>
      </c>
    </row>
    <row r="107" spans="1:5" x14ac:dyDescent="0.35">
      <c r="A107" t="s">
        <v>120</v>
      </c>
      <c r="B107">
        <v>-2.1868012070064769E-2</v>
      </c>
      <c r="C107">
        <v>-2.3640459057782514E-2</v>
      </c>
      <c r="D107">
        <v>-2.1049441118132589E-2</v>
      </c>
      <c r="E107">
        <v>-2.1346645200840279E-2</v>
      </c>
    </row>
    <row r="108" spans="1:5" x14ac:dyDescent="0.35">
      <c r="A108" t="s">
        <v>121</v>
      </c>
      <c r="B108">
        <v>-1.6054901409773017E-2</v>
      </c>
      <c r="C108">
        <v>-1.7223489505466264E-2</v>
      </c>
      <c r="D108">
        <v>-1.1794956505468317E-2</v>
      </c>
      <c r="E108">
        <v>-1.2221730802833165E-2</v>
      </c>
    </row>
    <row r="109" spans="1:5" x14ac:dyDescent="0.35">
      <c r="A109" t="s">
        <v>122</v>
      </c>
      <c r="B109">
        <v>-2.6306456858190351E-2</v>
      </c>
      <c r="C109">
        <v>-3.1622786644691814E-2</v>
      </c>
      <c r="D109">
        <v>-2.323212758707055E-2</v>
      </c>
      <c r="E109">
        <v>-3.3712779360090532E-2</v>
      </c>
    </row>
    <row r="110" spans="1:5" x14ac:dyDescent="0.35">
      <c r="A110" t="s">
        <v>123</v>
      </c>
      <c r="B110">
        <v>-1.1507661063356456E-2</v>
      </c>
      <c r="C110">
        <v>-1.2235497755818493E-2</v>
      </c>
      <c r="D110">
        <v>-1.5377103427565509E-2</v>
      </c>
      <c r="E110">
        <v>-1.6751494833780797E-2</v>
      </c>
    </row>
    <row r="111" spans="1:5" x14ac:dyDescent="0.35">
      <c r="A111" t="s">
        <v>124</v>
      </c>
      <c r="B111">
        <v>-9.0417475340424207E-3</v>
      </c>
      <c r="C111">
        <v>-9.0738441940600555E-3</v>
      </c>
      <c r="D111">
        <v>-1.7890047150503064E-2</v>
      </c>
      <c r="E111">
        <v>-1.8578502112716711E-2</v>
      </c>
    </row>
    <row r="112" spans="1:5" x14ac:dyDescent="0.35">
      <c r="A112" t="s">
        <v>125</v>
      </c>
      <c r="B112">
        <v>-1.7252983452050896E-2</v>
      </c>
      <c r="C112">
        <v>-1.7906743029252558E-2</v>
      </c>
      <c r="D112">
        <v>-1.9213583905713327E-2</v>
      </c>
      <c r="E112">
        <v>-2.0459414505677471E-2</v>
      </c>
    </row>
    <row r="113" spans="1:5" x14ac:dyDescent="0.35">
      <c r="A113" t="s">
        <v>126</v>
      </c>
      <c r="B113">
        <v>-6.6315138628037819E-3</v>
      </c>
      <c r="C113">
        <v>-6.6834896092722246E-3</v>
      </c>
      <c r="D113">
        <v>-6.3242318003971345E-3</v>
      </c>
      <c r="E113">
        <v>-6.483218836211042E-3</v>
      </c>
    </row>
    <row r="114" spans="1:5" x14ac:dyDescent="0.35">
      <c r="A114" t="s">
        <v>127</v>
      </c>
      <c r="B114">
        <v>-2.1072716725324219E-2</v>
      </c>
      <c r="C114">
        <v>-2.1330981536626072E-2</v>
      </c>
      <c r="D114">
        <v>-2.7551640999170911E-2</v>
      </c>
      <c r="E114">
        <v>-2.7977290246964465E-2</v>
      </c>
    </row>
    <row r="115" spans="1:5" x14ac:dyDescent="0.35">
      <c r="A115" t="s">
        <v>128</v>
      </c>
      <c r="B115">
        <v>-6.4568095426003978E-3</v>
      </c>
      <c r="C115">
        <v>-6.4568095426003978E-3</v>
      </c>
      <c r="D115">
        <v>-6.2188551560369565E-3</v>
      </c>
      <c r="E115">
        <v>-6.2188551560369565E-3</v>
      </c>
    </row>
    <row r="116" spans="1:5" x14ac:dyDescent="0.35">
      <c r="A116" t="s">
        <v>129</v>
      </c>
      <c r="B116">
        <v>-9.8072150734217732E-3</v>
      </c>
      <c r="C116">
        <v>-1.0538235652549265E-2</v>
      </c>
      <c r="D116">
        <v>-1.448919925741741E-2</v>
      </c>
      <c r="E116">
        <v>-1.6204210333546815E-2</v>
      </c>
    </row>
    <row r="117" spans="1:5" x14ac:dyDescent="0.35">
      <c r="A117" t="s">
        <v>130</v>
      </c>
      <c r="B117">
        <v>-3.2734319346817392E-2</v>
      </c>
      <c r="C117">
        <v>-3.2994701863870241E-2</v>
      </c>
      <c r="D117">
        <v>-3.5645049506053073E-2</v>
      </c>
      <c r="E117">
        <v>-3.6354781880387925E-2</v>
      </c>
    </row>
    <row r="118" spans="1:5" x14ac:dyDescent="0.35">
      <c r="A118" t="s">
        <v>131</v>
      </c>
      <c r="B118">
        <v>-4.9471720251315892E-3</v>
      </c>
      <c r="C118">
        <v>-5.0037859095457193E-3</v>
      </c>
      <c r="D118">
        <v>-1.048827921005931E-2</v>
      </c>
      <c r="E118">
        <v>-1.0602897184209698E-2</v>
      </c>
    </row>
    <row r="119" spans="1:5" x14ac:dyDescent="0.35">
      <c r="A119" t="s">
        <v>132</v>
      </c>
      <c r="B119">
        <v>-3.2057017709861829E-2</v>
      </c>
      <c r="C119">
        <v>-3.5396730722781829E-2</v>
      </c>
      <c r="D119">
        <v>-2.910887483056887E-2</v>
      </c>
      <c r="E119">
        <v>-3.1736538864542252E-2</v>
      </c>
    </row>
    <row r="120" spans="1:5" x14ac:dyDescent="0.35">
      <c r="A120" t="s">
        <v>133</v>
      </c>
      <c r="B120">
        <v>-8.0085525441426775E-3</v>
      </c>
      <c r="C120">
        <v>-8.0286780014442588E-3</v>
      </c>
      <c r="D120">
        <v>-3.4078626866513705E-3</v>
      </c>
      <c r="E120">
        <v>-3.5037252327376222E-3</v>
      </c>
    </row>
    <row r="121" spans="1:5" x14ac:dyDescent="0.35">
      <c r="A121" t="s">
        <v>134</v>
      </c>
      <c r="B121">
        <v>-1.3656305262626275E-2</v>
      </c>
      <c r="C121">
        <v>-1.4720304335286347E-2</v>
      </c>
      <c r="D121">
        <v>-1.1826890944555853E-2</v>
      </c>
      <c r="E121">
        <v>-2.0259145101798166E-2</v>
      </c>
    </row>
    <row r="122" spans="1:5" x14ac:dyDescent="0.35">
      <c r="A122" t="s">
        <v>135</v>
      </c>
      <c r="B122">
        <v>-2.1701880473797005E-2</v>
      </c>
      <c r="C122">
        <v>-2.3712839623829349E-2</v>
      </c>
      <c r="D122">
        <v>-2.5168839272424449E-2</v>
      </c>
      <c r="E122">
        <v>-2.7129821057584373E-2</v>
      </c>
    </row>
    <row r="123" spans="1:5" x14ac:dyDescent="0.35">
      <c r="A123" t="s">
        <v>136</v>
      </c>
      <c r="B123">
        <v>-4.6523098143577177E-2</v>
      </c>
      <c r="C123">
        <v>-4.6668053707366056E-2</v>
      </c>
      <c r="D123">
        <v>-3.9951835301447948E-2</v>
      </c>
      <c r="E123">
        <v>-4.0245365086637092E-2</v>
      </c>
    </row>
    <row r="124" spans="1:5" x14ac:dyDescent="0.35">
      <c r="A124" t="s">
        <v>137</v>
      </c>
      <c r="B124">
        <v>-1.7252983452050896E-2</v>
      </c>
      <c r="C124">
        <v>-6.0179914489783624E-2</v>
      </c>
      <c r="D124">
        <v>-1.9213583905713327E-2</v>
      </c>
      <c r="E124">
        <v>-6.5474604270831793E-2</v>
      </c>
    </row>
    <row r="125" spans="1:5" x14ac:dyDescent="0.35">
      <c r="A125" t="s">
        <v>138</v>
      </c>
      <c r="B125">
        <v>-4.2960944734626763E-2</v>
      </c>
      <c r="C125">
        <v>-4.3373559466673692E-2</v>
      </c>
      <c r="D125">
        <v>-4.3642572522058228E-2</v>
      </c>
      <c r="E125">
        <v>-4.3915482953290015E-2</v>
      </c>
    </row>
    <row r="126" spans="1:5" x14ac:dyDescent="0.35">
      <c r="A126" t="s">
        <v>139</v>
      </c>
      <c r="B126">
        <v>-2.7738663314251781E-2</v>
      </c>
      <c r="C126">
        <v>-3.3824630386771908E-2</v>
      </c>
      <c r="D126">
        <v>-3.1095129761731108E-2</v>
      </c>
      <c r="E126">
        <v>-4.3345582111293982E-2</v>
      </c>
    </row>
    <row r="127" spans="1:5" x14ac:dyDescent="0.35">
      <c r="A127" t="s">
        <v>140</v>
      </c>
      <c r="B127">
        <v>-5.0149485973844728E-2</v>
      </c>
      <c r="C127">
        <v>-5.1913178348977324E-2</v>
      </c>
      <c r="D127">
        <v>-4.6343586004043549E-2</v>
      </c>
      <c r="E127">
        <v>-4.8204593716093543E-2</v>
      </c>
    </row>
    <row r="128" spans="1:5" x14ac:dyDescent="0.35">
      <c r="A128" t="s">
        <v>141</v>
      </c>
      <c r="B128">
        <v>-1.8583594006428922E-2</v>
      </c>
      <c r="C128">
        <v>-1.9281129927416235E-2</v>
      </c>
      <c r="D128">
        <v>-2.0349874727559957E-2</v>
      </c>
      <c r="E128">
        <v>-2.1566969346964667E-2</v>
      </c>
    </row>
    <row r="129" spans="1:5" x14ac:dyDescent="0.35">
      <c r="A129" t="s">
        <v>142</v>
      </c>
      <c r="B129">
        <v>-1.6244468827775204E-2</v>
      </c>
      <c r="C129">
        <v>-1.6335041166834329E-2</v>
      </c>
      <c r="D129">
        <v>-1.5755158456661873E-2</v>
      </c>
      <c r="E129">
        <v>-1.5881900710193589E-2</v>
      </c>
    </row>
    <row r="130" spans="1:5" x14ac:dyDescent="0.35">
      <c r="A130" t="s">
        <v>143</v>
      </c>
      <c r="B130">
        <v>-3.386406200534884E-2</v>
      </c>
      <c r="C130">
        <v>-3.6255690402661397E-2</v>
      </c>
      <c r="D130">
        <v>-3.4791446240900109E-2</v>
      </c>
      <c r="E130">
        <v>-3.8108154367996784E-2</v>
      </c>
    </row>
    <row r="131" spans="1:5" x14ac:dyDescent="0.35">
      <c r="A131" t="s">
        <v>144</v>
      </c>
      <c r="B131">
        <v>-2.4539560123556382E-2</v>
      </c>
      <c r="C131">
        <v>-2.5328284133880153E-2</v>
      </c>
      <c r="D131">
        <v>-3.2358472717817222E-2</v>
      </c>
      <c r="E131">
        <v>-3.4306476187290449E-2</v>
      </c>
    </row>
    <row r="132" spans="1:5" x14ac:dyDescent="0.35">
      <c r="A132" t="s">
        <v>145</v>
      </c>
      <c r="B132">
        <v>-1.5360717420003309E-2</v>
      </c>
      <c r="C132">
        <v>-1.5611865751471426E-2</v>
      </c>
      <c r="D132">
        <v>-1.5196326846536313E-2</v>
      </c>
      <c r="E132">
        <v>-1.5292985352338882E-2</v>
      </c>
    </row>
    <row r="133" spans="1:5" x14ac:dyDescent="0.35">
      <c r="A133" t="s">
        <v>146</v>
      </c>
      <c r="B133">
        <v>-2.8522370980979629E-2</v>
      </c>
      <c r="C133">
        <v>-2.8522370980979629E-2</v>
      </c>
      <c r="D133">
        <v>-2.4632283431022903E-2</v>
      </c>
      <c r="E133">
        <v>-2.4632283431022903E-2</v>
      </c>
    </row>
    <row r="134" spans="1:5" x14ac:dyDescent="0.35">
      <c r="A134" t="s">
        <v>147</v>
      </c>
      <c r="B134">
        <v>-1.9933954989483884E-2</v>
      </c>
      <c r="C134">
        <v>-2.038955079307616E-2</v>
      </c>
      <c r="D134">
        <v>-2.0176568681320516E-2</v>
      </c>
      <c r="E134">
        <v>-2.0406346006003374E-2</v>
      </c>
    </row>
    <row r="135" spans="1:5" x14ac:dyDescent="0.35">
      <c r="A135" t="s">
        <v>148</v>
      </c>
      <c r="B135">
        <v>-2.2588486204297608E-2</v>
      </c>
      <c r="C135">
        <v>-2.3280512534737289E-2</v>
      </c>
      <c r="D135">
        <v>-1.366960263420983E-2</v>
      </c>
      <c r="E135">
        <v>-1.4045539076652168E-2</v>
      </c>
    </row>
    <row r="136" spans="1:5" x14ac:dyDescent="0.35">
      <c r="A136" t="s">
        <v>149</v>
      </c>
      <c r="B136">
        <v>-1.2838584873927895E-2</v>
      </c>
      <c r="C136">
        <v>-1.380373672430211E-2</v>
      </c>
      <c r="D136">
        <v>-1.0253829265843492E-2</v>
      </c>
      <c r="E136">
        <v>-1.0750678756138029E-2</v>
      </c>
    </row>
    <row r="137" spans="1:5" x14ac:dyDescent="0.35">
      <c r="A137" t="s">
        <v>150</v>
      </c>
      <c r="B137">
        <v>-2.1952674617674611E-2</v>
      </c>
      <c r="C137">
        <v>-2.2862727643318891E-2</v>
      </c>
      <c r="D137">
        <v>-2.0325416922513821E-2</v>
      </c>
      <c r="E137">
        <v>-2.1118119385507506E-2</v>
      </c>
    </row>
    <row r="138" spans="1:5" x14ac:dyDescent="0.35">
      <c r="A138" t="s">
        <v>151</v>
      </c>
      <c r="B138">
        <v>-1.5461193873938657E-2</v>
      </c>
      <c r="C138">
        <v>-2.3758129677812767E-2</v>
      </c>
      <c r="D138">
        <v>-1.5090355303305793E-2</v>
      </c>
      <c r="E138">
        <v>-1.8746528327207582E-2</v>
      </c>
    </row>
    <row r="139" spans="1:5" x14ac:dyDescent="0.35">
      <c r="A139" t="s">
        <v>152</v>
      </c>
      <c r="B139">
        <v>-2.0933365593610618E-2</v>
      </c>
      <c r="C139">
        <v>-2.3051287299374931E-2</v>
      </c>
      <c r="D139">
        <v>-1.3948073088709064E-2</v>
      </c>
      <c r="E139">
        <v>-1.4673012584069278E-2</v>
      </c>
    </row>
    <row r="140" spans="1:5" x14ac:dyDescent="0.35">
      <c r="A140" t="s">
        <v>153</v>
      </c>
      <c r="B140">
        <v>-2.9293746143196537E-2</v>
      </c>
      <c r="C140">
        <v>-3.0488804660108719E-2</v>
      </c>
      <c r="D140">
        <v>-2.4912782472225073E-2</v>
      </c>
      <c r="E140">
        <v>-2.5731955445123904E-2</v>
      </c>
    </row>
    <row r="141" spans="1:5" x14ac:dyDescent="0.35">
      <c r="A141" t="s">
        <v>154</v>
      </c>
      <c r="B141">
        <v>-2.0208320632315483E-2</v>
      </c>
      <c r="C141">
        <v>-2.1520126881511482E-2</v>
      </c>
      <c r="D141">
        <v>-2.2934037970873011E-2</v>
      </c>
      <c r="E141">
        <v>-2.4555659644756037E-2</v>
      </c>
    </row>
    <row r="142" spans="1:5" x14ac:dyDescent="0.35">
      <c r="A142" t="s">
        <v>155</v>
      </c>
      <c r="B142">
        <v>-1.6159329526779544E-2</v>
      </c>
      <c r="C142">
        <v>-1.6223802592851465E-2</v>
      </c>
      <c r="D142">
        <v>-2.1293546279128051E-2</v>
      </c>
      <c r="E142">
        <v>-2.1952010176324102E-2</v>
      </c>
    </row>
    <row r="143" spans="1:5" x14ac:dyDescent="0.35">
      <c r="A143" t="s">
        <v>156</v>
      </c>
      <c r="B143">
        <v>-1.2225874456420689E-2</v>
      </c>
      <c r="C143">
        <v>-1.2658959073008536E-2</v>
      </c>
      <c r="D143">
        <v>-1.226567870458053E-2</v>
      </c>
      <c r="E143">
        <v>-1.272608112571901E-2</v>
      </c>
    </row>
    <row r="144" spans="1:5" x14ac:dyDescent="0.35">
      <c r="A144" t="s">
        <v>157</v>
      </c>
      <c r="B144">
        <v>-4.0128735396864283E-2</v>
      </c>
      <c r="C144">
        <v>-4.478865187503514E-2</v>
      </c>
      <c r="D144">
        <v>-4.2650141976235789E-2</v>
      </c>
      <c r="E144">
        <v>-4.8670539392574569E-2</v>
      </c>
    </row>
    <row r="145" spans="1:5" x14ac:dyDescent="0.35">
      <c r="A145" t="s">
        <v>158</v>
      </c>
      <c r="B145">
        <v>-1.5134434347517463E-2</v>
      </c>
      <c r="C145">
        <v>-1.5134434347517463E-2</v>
      </c>
      <c r="D145">
        <v>-1.2593000551130882E-2</v>
      </c>
      <c r="E145">
        <v>-1.2593000551130882E-2</v>
      </c>
    </row>
    <row r="146" spans="1:5" x14ac:dyDescent="0.35">
      <c r="A146" t="s">
        <v>159</v>
      </c>
      <c r="B146">
        <v>-3.1844060686713402E-2</v>
      </c>
      <c r="C146">
        <v>-3.2526380369602398E-2</v>
      </c>
      <c r="D146">
        <v>-3.9389263051264514E-2</v>
      </c>
      <c r="E146">
        <v>-4.0535615843825694E-2</v>
      </c>
    </row>
    <row r="147" spans="1:5" x14ac:dyDescent="0.35">
      <c r="A147" t="s">
        <v>160</v>
      </c>
      <c r="B147">
        <v>-3.9070294738434382E-2</v>
      </c>
      <c r="C147">
        <v>-4.0250269625699123E-2</v>
      </c>
      <c r="D147">
        <v>-3.823829323963087E-2</v>
      </c>
      <c r="E147">
        <v>-3.9040511211597038E-2</v>
      </c>
    </row>
    <row r="148" spans="1:5" x14ac:dyDescent="0.35">
      <c r="A148" t="s">
        <v>161</v>
      </c>
      <c r="B148">
        <v>-3.0234006991553406E-2</v>
      </c>
      <c r="C148">
        <v>-3.1996755220233326E-2</v>
      </c>
      <c r="D148">
        <v>-4.8781989291811809E-2</v>
      </c>
      <c r="E148">
        <v>-5.0928888858496689E-2</v>
      </c>
    </row>
    <row r="149" spans="1:5" x14ac:dyDescent="0.35">
      <c r="A149" t="s">
        <v>162</v>
      </c>
      <c r="B149">
        <v>-2.332390153876443E-2</v>
      </c>
      <c r="C149">
        <v>-2.332390153876443E-2</v>
      </c>
      <c r="D149">
        <v>-2.2319277956140197E-2</v>
      </c>
      <c r="E149">
        <v>-2.2319277956140197E-2</v>
      </c>
    </row>
    <row r="150" spans="1:5" x14ac:dyDescent="0.35">
      <c r="A150" t="s">
        <v>163</v>
      </c>
      <c r="B150">
        <v>-2.4147824019289447E-2</v>
      </c>
      <c r="C150">
        <v>-2.4669352158633528E-2</v>
      </c>
      <c r="D150">
        <v>-2.6874458100596247E-2</v>
      </c>
      <c r="E150">
        <v>-2.7923832258290402E-2</v>
      </c>
    </row>
    <row r="151" spans="1:5" x14ac:dyDescent="0.35">
      <c r="A151" t="s">
        <v>164</v>
      </c>
      <c r="B151">
        <v>-2.5030517517725396E-2</v>
      </c>
      <c r="C151">
        <v>-2.5134586277167664E-2</v>
      </c>
      <c r="D151">
        <v>-2.7284529305505279E-2</v>
      </c>
      <c r="E151">
        <v>-2.7298719087945515E-2</v>
      </c>
    </row>
    <row r="152" spans="1:5" x14ac:dyDescent="0.35">
      <c r="A152" t="s">
        <v>165</v>
      </c>
      <c r="B152">
        <v>-2.659298992302709E-2</v>
      </c>
      <c r="C152">
        <v>-2.7399213823441491E-2</v>
      </c>
      <c r="D152">
        <v>-2.5889333217377072E-2</v>
      </c>
      <c r="E152">
        <v>-2.7183852674881624E-2</v>
      </c>
    </row>
    <row r="153" spans="1:5" x14ac:dyDescent="0.35">
      <c r="A153" t="s">
        <v>166</v>
      </c>
      <c r="B153">
        <v>-2.1455087561913659E-2</v>
      </c>
      <c r="C153">
        <v>-2.2083093990638812E-2</v>
      </c>
      <c r="D153">
        <v>-1.806656536875657E-2</v>
      </c>
      <c r="E153">
        <v>-1.8189846876654894E-2</v>
      </c>
    </row>
    <row r="154" spans="1:5" x14ac:dyDescent="0.35">
      <c r="A154" t="s">
        <v>167</v>
      </c>
      <c r="B154">
        <v>-3.7347243794077042E-2</v>
      </c>
      <c r="C154">
        <v>-3.948678589732485E-2</v>
      </c>
      <c r="D154">
        <v>-2.2669059047100662E-2</v>
      </c>
      <c r="E154">
        <v>-2.3089564290769284E-2</v>
      </c>
    </row>
    <row r="155" spans="1:5" x14ac:dyDescent="0.35">
      <c r="A155" t="s">
        <v>168</v>
      </c>
      <c r="B155">
        <v>-1.4313420665029402E-2</v>
      </c>
      <c r="C155">
        <v>-1.4881897101573751E-2</v>
      </c>
      <c r="D155">
        <v>-1.1497698516980541E-2</v>
      </c>
      <c r="E155">
        <v>-1.1773054879298962E-2</v>
      </c>
    </row>
    <row r="156" spans="1:5" x14ac:dyDescent="0.35">
      <c r="A156" t="s">
        <v>169</v>
      </c>
      <c r="B156">
        <v>-1.3798392642752658E-2</v>
      </c>
      <c r="C156">
        <v>-1.4005175440526374E-2</v>
      </c>
      <c r="D156">
        <v>-7.988368608429261E-3</v>
      </c>
      <c r="E156">
        <v>-8.1506948983195663E-3</v>
      </c>
    </row>
    <row r="157" spans="1:5" x14ac:dyDescent="0.35">
      <c r="A157" t="s">
        <v>170</v>
      </c>
      <c r="B157">
        <v>-2.4823169101131276E-2</v>
      </c>
      <c r="C157">
        <v>-2.5519869754467864E-2</v>
      </c>
      <c r="D157">
        <v>-3.0587958201092117E-2</v>
      </c>
      <c r="E157">
        <v>-3.1393389269003341E-2</v>
      </c>
    </row>
    <row r="158" spans="1:5" x14ac:dyDescent="0.35">
      <c r="A158" t="s">
        <v>171</v>
      </c>
      <c r="B158">
        <v>-1.0230377044248435E-2</v>
      </c>
      <c r="C158">
        <v>-1.0375070575858621E-2</v>
      </c>
      <c r="D158">
        <v>-1.7422586016895333E-2</v>
      </c>
      <c r="E158">
        <v>-1.8741918536841817E-2</v>
      </c>
    </row>
    <row r="159" spans="1:5" x14ac:dyDescent="0.35">
      <c r="A159" t="s">
        <v>172</v>
      </c>
      <c r="B159">
        <v>-7.2850038903450372E-3</v>
      </c>
      <c r="C159">
        <v>-7.2861925996385683E-3</v>
      </c>
      <c r="D159">
        <v>-1.7724244824588495E-2</v>
      </c>
      <c r="E159">
        <v>-1.7947767818046762E-2</v>
      </c>
    </row>
    <row r="160" spans="1:5" x14ac:dyDescent="0.35">
      <c r="A160" t="s">
        <v>173</v>
      </c>
      <c r="B160">
        <v>-3.0109689694915728E-2</v>
      </c>
      <c r="C160">
        <v>-3.1869646878043049E-2</v>
      </c>
      <c r="D160">
        <v>-3.5066730072093016E-2</v>
      </c>
      <c r="E160">
        <v>-3.6484390540453292E-2</v>
      </c>
    </row>
    <row r="161" spans="1:5" x14ac:dyDescent="0.35">
      <c r="A161" t="s">
        <v>174</v>
      </c>
      <c r="B161">
        <v>-2.9945377560118311E-3</v>
      </c>
      <c r="C161">
        <v>-6.05434850895154E-3</v>
      </c>
      <c r="D161">
        <v>-6.0540704021819622E-3</v>
      </c>
      <c r="E161">
        <v>-8.661053043037624E-3</v>
      </c>
    </row>
    <row r="162" spans="1:5" x14ac:dyDescent="0.35">
      <c r="A162" t="s">
        <v>175</v>
      </c>
      <c r="B162">
        <v>-2.0039520589273503E-2</v>
      </c>
      <c r="C162">
        <v>-2.018266890559612E-2</v>
      </c>
      <c r="D162">
        <v>-1.7040349071112567E-2</v>
      </c>
      <c r="E162">
        <v>-1.7120230183235791E-2</v>
      </c>
    </row>
    <row r="163" spans="1:5" x14ac:dyDescent="0.35">
      <c r="A163" t="s">
        <v>176</v>
      </c>
      <c r="B163">
        <v>-9.3630022857556505E-3</v>
      </c>
      <c r="C163">
        <v>-9.615123952983742E-3</v>
      </c>
      <c r="D163">
        <v>-1.0072269213682651E-2</v>
      </c>
      <c r="E163">
        <v>-1.0147883067506873E-2</v>
      </c>
    </row>
    <row r="164" spans="1:5" x14ac:dyDescent="0.35">
      <c r="A164" t="s">
        <v>177</v>
      </c>
      <c r="B164">
        <v>-2.0218951795296845E-2</v>
      </c>
      <c r="C164">
        <v>-2.1563781858282904E-2</v>
      </c>
      <c r="D164">
        <v>-2.9944001474593689E-2</v>
      </c>
      <c r="E164">
        <v>-3.1756773000750325E-2</v>
      </c>
    </row>
    <row r="165" spans="1:5" x14ac:dyDescent="0.35">
      <c r="A165" t="s">
        <v>178</v>
      </c>
      <c r="B165">
        <v>-1.4479680424503235E-2</v>
      </c>
      <c r="C165">
        <v>-1.4574113663541156E-2</v>
      </c>
      <c r="D165">
        <v>-1.2667442176381346E-2</v>
      </c>
      <c r="E165">
        <v>-1.2669577281891319E-2</v>
      </c>
    </row>
    <row r="166" spans="1:5" x14ac:dyDescent="0.35">
      <c r="A166" t="s">
        <v>179</v>
      </c>
      <c r="B166">
        <v>-9.81532973578721E-3</v>
      </c>
      <c r="C166">
        <v>-9.8828881329947361E-3</v>
      </c>
      <c r="D166">
        <v>-1.5867532554346812E-2</v>
      </c>
      <c r="E166">
        <v>-1.6073565902909717E-2</v>
      </c>
    </row>
    <row r="167" spans="1:5" x14ac:dyDescent="0.35">
      <c r="A167" t="s">
        <v>180</v>
      </c>
      <c r="B167">
        <v>-1.5435591563160836E-2</v>
      </c>
      <c r="C167">
        <v>-1.567929258018461E-2</v>
      </c>
      <c r="D167">
        <v>-1.5160106940520723E-2</v>
      </c>
      <c r="E167">
        <v>-1.5308660911926087E-2</v>
      </c>
    </row>
    <row r="168" spans="1:5" x14ac:dyDescent="0.35">
      <c r="A168" t="s">
        <v>181</v>
      </c>
      <c r="B168">
        <v>-1.3906801343166721E-2</v>
      </c>
      <c r="C168">
        <v>-1.449273908472897E-2</v>
      </c>
      <c r="D168">
        <v>-9.0989548439909078E-3</v>
      </c>
      <c r="E168">
        <v>-9.693056179889423E-3</v>
      </c>
    </row>
    <row r="169" spans="1:5" x14ac:dyDescent="0.35">
      <c r="A169" t="s">
        <v>182</v>
      </c>
      <c r="B169">
        <v>-6.989583579772073E-3</v>
      </c>
      <c r="C169">
        <v>-6.989583579772073E-3</v>
      </c>
      <c r="D169">
        <v>-4.853395180486832E-3</v>
      </c>
      <c r="E169">
        <v>-4.853395180486832E-3</v>
      </c>
    </row>
    <row r="170" spans="1:5" x14ac:dyDescent="0.35">
      <c r="A170" t="s">
        <v>183</v>
      </c>
      <c r="B170">
        <v>-1.0795440641298067E-2</v>
      </c>
      <c r="C170">
        <v>-1.1035716110274338E-2</v>
      </c>
      <c r="D170">
        <v>-1.5155402868096008E-2</v>
      </c>
      <c r="E170">
        <v>-1.5927825162246976E-2</v>
      </c>
    </row>
    <row r="171" spans="1:5" x14ac:dyDescent="0.35">
      <c r="A171" t="s">
        <v>184</v>
      </c>
      <c r="B171">
        <v>-8.5001406519853336E-3</v>
      </c>
      <c r="C171">
        <v>-8.5072850969229227E-3</v>
      </c>
      <c r="D171">
        <v>-8.8708316425560735E-3</v>
      </c>
      <c r="E171">
        <v>-8.920724272590639E-3</v>
      </c>
    </row>
    <row r="172" spans="1:5" x14ac:dyDescent="0.35">
      <c r="A172" t="s">
        <v>185</v>
      </c>
      <c r="B172">
        <v>-4.156929736787494E-3</v>
      </c>
      <c r="C172">
        <v>-4.1923056520227313E-3</v>
      </c>
      <c r="D172">
        <v>-4.7732062458561032E-3</v>
      </c>
      <c r="E172">
        <v>-4.8452466866712009E-3</v>
      </c>
    </row>
    <row r="173" spans="1:5" x14ac:dyDescent="0.35">
      <c r="A173" t="s">
        <v>186</v>
      </c>
      <c r="B173">
        <v>-1.8133340381092652E-2</v>
      </c>
      <c r="C173">
        <v>-1.9206043472814887E-2</v>
      </c>
      <c r="D173">
        <v>-1.3787309741056181E-2</v>
      </c>
      <c r="E173">
        <v>-1.4082342057841793E-2</v>
      </c>
    </row>
    <row r="174" spans="1:5" x14ac:dyDescent="0.35">
      <c r="A174" t="s">
        <v>187</v>
      </c>
      <c r="B174">
        <v>-7.8663165191115939E-3</v>
      </c>
      <c r="C174">
        <v>-7.9192939161099873E-3</v>
      </c>
      <c r="D174">
        <v>-1.5027787264717825E-2</v>
      </c>
      <c r="E174">
        <v>-1.5353431716966865E-2</v>
      </c>
    </row>
    <row r="175" spans="1:5" x14ac:dyDescent="0.35">
      <c r="A175" t="s">
        <v>188</v>
      </c>
      <c r="B175">
        <v>-8.1528139837310238E-3</v>
      </c>
      <c r="C175">
        <v>-8.2700697089579615E-3</v>
      </c>
      <c r="D175">
        <v>-2.6582451089620103E-2</v>
      </c>
      <c r="E175">
        <v>-2.6922419733668875E-2</v>
      </c>
    </row>
    <row r="176" spans="1:5" x14ac:dyDescent="0.35">
      <c r="A176" t="s">
        <v>189</v>
      </c>
      <c r="B176">
        <v>-9.0287497010503939E-3</v>
      </c>
      <c r="C176">
        <v>-9.3739165814076316E-3</v>
      </c>
      <c r="D176">
        <v>-1.4943415782298139E-2</v>
      </c>
      <c r="E176">
        <v>-1.5696561265320957E-2</v>
      </c>
    </row>
    <row r="177" spans="1:5" x14ac:dyDescent="0.35">
      <c r="A177" t="s">
        <v>190</v>
      </c>
      <c r="B177">
        <v>-2.6530317572078584E-2</v>
      </c>
      <c r="C177">
        <v>-2.6764699185710571E-2</v>
      </c>
      <c r="D177">
        <v>-2.134488042356579E-2</v>
      </c>
      <c r="E177">
        <v>-2.1614134721195572E-2</v>
      </c>
    </row>
    <row r="178" spans="1:5" x14ac:dyDescent="0.35">
      <c r="A178" t="s">
        <v>191</v>
      </c>
      <c r="B178">
        <v>-1.005945307641669E-2</v>
      </c>
      <c r="C178">
        <v>-1.0154592828842063E-2</v>
      </c>
      <c r="D178">
        <v>-1.9730118565861349E-2</v>
      </c>
      <c r="E178">
        <v>-2.022944958509322E-2</v>
      </c>
    </row>
    <row r="179" spans="1:5" x14ac:dyDescent="0.35">
      <c r="A179" t="s">
        <v>192</v>
      </c>
      <c r="B179">
        <v>-1.4779041445549552E-2</v>
      </c>
      <c r="C179">
        <v>-1.4854335393235715E-2</v>
      </c>
      <c r="D179">
        <v>-1.282303056523698E-2</v>
      </c>
      <c r="E179">
        <v>-1.3259250656276532E-2</v>
      </c>
    </row>
    <row r="180" spans="1:5" x14ac:dyDescent="0.35">
      <c r="A180" t="s">
        <v>193</v>
      </c>
      <c r="B180">
        <v>-1.7405009217700992E-2</v>
      </c>
      <c r="C180">
        <v>-1.8595331209465559E-2</v>
      </c>
      <c r="D180">
        <v>-2.5733731976738936E-2</v>
      </c>
      <c r="E180">
        <v>-2.7284606395605732E-2</v>
      </c>
    </row>
    <row r="181" spans="1:5" x14ac:dyDescent="0.35">
      <c r="A181" t="s">
        <v>194</v>
      </c>
      <c r="B181">
        <v>-8.6884602460397427E-3</v>
      </c>
      <c r="C181">
        <v>-1.6126070754262346E-2</v>
      </c>
      <c r="D181">
        <v>-1.160008431681674E-2</v>
      </c>
      <c r="E181">
        <v>-1.2296641281544432E-2</v>
      </c>
    </row>
    <row r="182" spans="1:5" x14ac:dyDescent="0.35">
      <c r="A182" t="s">
        <v>195</v>
      </c>
      <c r="B182">
        <v>-9.7687297349150111E-3</v>
      </c>
      <c r="C182">
        <v>-9.97498576976894E-3</v>
      </c>
      <c r="D182">
        <v>-1.4111598089777232E-2</v>
      </c>
      <c r="E182">
        <v>-1.5200640460058805E-2</v>
      </c>
    </row>
    <row r="183" spans="1:5" x14ac:dyDescent="0.35">
      <c r="A183" t="s">
        <v>196</v>
      </c>
      <c r="B183">
        <v>-6.8207445376446286E-3</v>
      </c>
      <c r="C183">
        <v>-6.9221224483339344E-3</v>
      </c>
      <c r="D183">
        <v>-1.2039032977539173E-2</v>
      </c>
      <c r="E183">
        <v>-1.2053225025490076E-2</v>
      </c>
    </row>
    <row r="184" spans="1:5" x14ac:dyDescent="0.35">
      <c r="A184" t="s">
        <v>197</v>
      </c>
      <c r="B184">
        <v>-1.609682345717069E-2</v>
      </c>
      <c r="C184">
        <v>-1.6175277860324348E-2</v>
      </c>
      <c r="D184">
        <v>-1.8413016915298366E-2</v>
      </c>
      <c r="E184">
        <v>-1.8685114841037381E-2</v>
      </c>
    </row>
    <row r="185" spans="1:5" x14ac:dyDescent="0.35">
      <c r="A185" t="s">
        <v>198</v>
      </c>
      <c r="B185">
        <v>-5.5448664705390817E-2</v>
      </c>
      <c r="C185">
        <v>-6.0774609119216297E-2</v>
      </c>
      <c r="D185">
        <v>-4.4660229616703899E-2</v>
      </c>
      <c r="E185">
        <v>-4.8992797774612858E-2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41343-F922-4802-ABE1-E476414EBB23}">
  <dimension ref="A1:D185"/>
  <sheetViews>
    <sheetView workbookViewId="0">
      <selection sqref="A1:D185"/>
    </sheetView>
  </sheetViews>
  <sheetFormatPr baseColWidth="10" defaultRowHeight="14.5" x14ac:dyDescent="0.35"/>
  <cols>
    <col min="4" max="4" width="12.6328125" bestFit="1" customWidth="1"/>
  </cols>
  <sheetData>
    <row r="1" spans="1:4" x14ac:dyDescent="0.35">
      <c r="A1" s="3" t="s">
        <v>204</v>
      </c>
      <c r="B1" t="s">
        <v>212</v>
      </c>
      <c r="C1" t="s">
        <v>220</v>
      </c>
      <c r="D1" t="s">
        <v>339</v>
      </c>
    </row>
    <row r="2" spans="1:4" x14ac:dyDescent="0.35">
      <c r="A2" s="2" t="s">
        <v>15</v>
      </c>
      <c r="B2">
        <v>147.0803791304256</v>
      </c>
      <c r="C2">
        <v>37.116689999999998</v>
      </c>
      <c r="D2">
        <v>142.0035492802493</v>
      </c>
    </row>
    <row r="3" spans="1:4" x14ac:dyDescent="0.35">
      <c r="A3" s="2" t="s">
        <v>16</v>
      </c>
      <c r="B3">
        <v>171.11748379552878</v>
      </c>
      <c r="C3">
        <v>33.141820000000003</v>
      </c>
      <c r="D3">
        <v>136.73906173204071</v>
      </c>
    </row>
    <row r="4" spans="1:4" x14ac:dyDescent="0.35">
      <c r="A4" s="2" t="s">
        <v>17</v>
      </c>
      <c r="B4">
        <v>169.56921673538247</v>
      </c>
      <c r="C4">
        <v>27.876359999999998</v>
      </c>
      <c r="D4">
        <v>137.83829759075431</v>
      </c>
    </row>
    <row r="5" spans="1:4" x14ac:dyDescent="0.35">
      <c r="A5" s="2" t="s">
        <v>18</v>
      </c>
      <c r="B5">
        <v>152.00736059535694</v>
      </c>
      <c r="C5">
        <v>38.34281</v>
      </c>
      <c r="D5">
        <v>152.7844741201373</v>
      </c>
    </row>
    <row r="6" spans="1:4" x14ac:dyDescent="0.35">
      <c r="A6" s="2" t="s">
        <v>19</v>
      </c>
      <c r="B6">
        <v>368.2284460521463</v>
      </c>
      <c r="C6">
        <v>42.291849999999997</v>
      </c>
      <c r="D6">
        <v>203.305241297669</v>
      </c>
    </row>
    <row r="7" spans="1:4" x14ac:dyDescent="0.35">
      <c r="A7" s="2" t="s">
        <v>20</v>
      </c>
      <c r="B7">
        <v>135.45886657506682</v>
      </c>
      <c r="C7">
        <v>42.061239999999998</v>
      </c>
      <c r="D7">
        <v>171.40265474116359</v>
      </c>
    </row>
    <row r="8" spans="1:4" x14ac:dyDescent="0.35">
      <c r="A8" s="2" t="s">
        <v>21</v>
      </c>
      <c r="B8">
        <v>187.11679620988335</v>
      </c>
      <c r="C8">
        <v>35.439799999999998</v>
      </c>
      <c r="D8">
        <v>186.5552341452198</v>
      </c>
    </row>
    <row r="9" spans="1:4" x14ac:dyDescent="0.35">
      <c r="A9" s="2" t="s">
        <v>22</v>
      </c>
      <c r="B9">
        <v>170.77811211563909</v>
      </c>
      <c r="C9">
        <v>37.272030000000001</v>
      </c>
      <c r="D9">
        <v>172.81605534694799</v>
      </c>
    </row>
    <row r="10" spans="1:4" x14ac:dyDescent="0.35">
      <c r="A10" s="2" t="s">
        <v>23</v>
      </c>
      <c r="B10">
        <v>214.52643368357181</v>
      </c>
      <c r="C10">
        <v>35.565089999999998</v>
      </c>
      <c r="D10">
        <v>161.69014823445701</v>
      </c>
    </row>
    <row r="11" spans="1:4" x14ac:dyDescent="0.35">
      <c r="A11" s="2" t="s">
        <v>24</v>
      </c>
      <c r="B11">
        <v>309.01094125472378</v>
      </c>
      <c r="C11">
        <v>32.5473</v>
      </c>
      <c r="D11">
        <v>186.14112465740769</v>
      </c>
    </row>
    <row r="12" spans="1:4" x14ac:dyDescent="0.35">
      <c r="A12" s="2" t="s">
        <v>25</v>
      </c>
      <c r="B12">
        <v>152.43801128102848</v>
      </c>
      <c r="C12">
        <v>40.515819999999998</v>
      </c>
      <c r="D12">
        <v>172.68817491475599</v>
      </c>
    </row>
    <row r="13" spans="1:4" x14ac:dyDescent="0.35">
      <c r="A13" s="2" t="s">
        <v>26</v>
      </c>
      <c r="B13">
        <v>311.90800715942743</v>
      </c>
      <c r="C13">
        <v>31.72045</v>
      </c>
      <c r="D13">
        <v>183.07599232967101</v>
      </c>
    </row>
    <row r="14" spans="1:4" x14ac:dyDescent="0.35">
      <c r="A14" s="2" t="s">
        <v>27</v>
      </c>
      <c r="B14">
        <v>162.46417461815372</v>
      </c>
      <c r="C14">
        <v>31.13862</v>
      </c>
      <c r="D14">
        <v>143.031739552131</v>
      </c>
    </row>
    <row r="15" spans="1:4" x14ac:dyDescent="0.35">
      <c r="A15" s="2" t="s">
        <v>28</v>
      </c>
      <c r="B15">
        <v>210.0111903468607</v>
      </c>
      <c r="C15">
        <v>31.327290000000001</v>
      </c>
      <c r="D15">
        <v>122.4457903905477</v>
      </c>
    </row>
    <row r="16" spans="1:4" x14ac:dyDescent="0.35">
      <c r="A16" s="2" t="s">
        <v>29</v>
      </c>
      <c r="B16">
        <v>271.07414381300066</v>
      </c>
      <c r="C16">
        <v>31.331520000000001</v>
      </c>
      <c r="D16">
        <v>154.40152075271001</v>
      </c>
    </row>
    <row r="17" spans="1:4" x14ac:dyDescent="0.35">
      <c r="A17" s="2" t="s">
        <v>30</v>
      </c>
      <c r="B17">
        <v>241.78795016043958</v>
      </c>
      <c r="C17">
        <v>27.39622</v>
      </c>
      <c r="D17">
        <v>145.50860544685099</v>
      </c>
    </row>
    <row r="18" spans="1:4" x14ac:dyDescent="0.35">
      <c r="A18" s="2" t="s">
        <v>31</v>
      </c>
      <c r="B18">
        <v>164.03363825314077</v>
      </c>
      <c r="C18">
        <v>29.241160000000001</v>
      </c>
      <c r="D18">
        <v>134.21507639235449</v>
      </c>
    </row>
    <row r="19" spans="1:4" x14ac:dyDescent="0.35">
      <c r="A19" s="2" t="s">
        <v>32</v>
      </c>
      <c r="B19">
        <v>228.37820428264607</v>
      </c>
      <c r="C19">
        <v>31.286750000000001</v>
      </c>
      <c r="D19">
        <v>168.2958940040441</v>
      </c>
    </row>
    <row r="20" spans="1:4" x14ac:dyDescent="0.35">
      <c r="A20" s="2" t="s">
        <v>33</v>
      </c>
      <c r="B20">
        <v>211.36402454797417</v>
      </c>
      <c r="C20">
        <v>39.728549999999998</v>
      </c>
      <c r="D20">
        <v>183.40234123443241</v>
      </c>
    </row>
    <row r="21" spans="1:4" x14ac:dyDescent="0.35">
      <c r="A21" s="4" t="s">
        <v>34</v>
      </c>
      <c r="B21">
        <v>256.70832615054053</v>
      </c>
      <c r="C21">
        <v>51.370930000000001</v>
      </c>
      <c r="D21">
        <v>230.29893866600091</v>
      </c>
    </row>
    <row r="22" spans="1:4" x14ac:dyDescent="0.35">
      <c r="A22" s="2" t="s">
        <v>35</v>
      </c>
      <c r="B22">
        <v>312.2534632145842</v>
      </c>
      <c r="C22">
        <v>62.779389999999999</v>
      </c>
      <c r="D22">
        <v>280.05812897200673</v>
      </c>
    </row>
    <row r="23" spans="1:4" x14ac:dyDescent="0.35">
      <c r="A23" s="2" t="s">
        <v>36</v>
      </c>
      <c r="B23">
        <v>298.85209459124127</v>
      </c>
      <c r="C23">
        <v>48.978070000000002</v>
      </c>
      <c r="D23">
        <v>241.75185227888929</v>
      </c>
    </row>
    <row r="24" spans="1:4" x14ac:dyDescent="0.35">
      <c r="A24" s="2" t="s">
        <v>37</v>
      </c>
      <c r="B24">
        <v>361.36985406003123</v>
      </c>
      <c r="C24">
        <v>49.869079999999997</v>
      </c>
      <c r="D24">
        <v>304.60021869478697</v>
      </c>
    </row>
    <row r="25" spans="1:4" x14ac:dyDescent="0.35">
      <c r="A25" s="2" t="s">
        <v>38</v>
      </c>
      <c r="B25">
        <v>283.25138728551804</v>
      </c>
      <c r="C25">
        <v>41.6721</v>
      </c>
      <c r="D25">
        <v>228.8715918129833</v>
      </c>
    </row>
    <row r="26" spans="1:4" x14ac:dyDescent="0.35">
      <c r="A26" s="2" t="s">
        <v>39</v>
      </c>
      <c r="B26">
        <v>289.3977719458548</v>
      </c>
      <c r="C26">
        <v>34.387320000000003</v>
      </c>
      <c r="D26">
        <v>216.73444719591211</v>
      </c>
    </row>
    <row r="27" spans="1:4" x14ac:dyDescent="0.35">
      <c r="A27" s="2" t="s">
        <v>40</v>
      </c>
      <c r="B27">
        <v>299.14963243652801</v>
      </c>
      <c r="C27">
        <v>31.961829999999999</v>
      </c>
      <c r="D27">
        <v>193.44435697001859</v>
      </c>
    </row>
    <row r="28" spans="1:4" x14ac:dyDescent="0.35">
      <c r="A28" s="2" t="s">
        <v>41</v>
      </c>
      <c r="B28">
        <v>219.13884320323302</v>
      </c>
      <c r="C28">
        <v>30.058730000000001</v>
      </c>
      <c r="D28">
        <v>177.49268584752809</v>
      </c>
    </row>
    <row r="29" spans="1:4" x14ac:dyDescent="0.35">
      <c r="A29" s="2" t="s">
        <v>42</v>
      </c>
      <c r="B29">
        <v>330.94551775743366</v>
      </c>
      <c r="C29">
        <v>35.65361</v>
      </c>
      <c r="D29">
        <v>216.9958607004088</v>
      </c>
    </row>
    <row r="30" spans="1:4" x14ac:dyDescent="0.35">
      <c r="A30" s="2" t="s">
        <v>43</v>
      </c>
      <c r="B30">
        <v>313.97367466007552</v>
      </c>
      <c r="C30">
        <v>43.20946</v>
      </c>
      <c r="D30">
        <v>234.75578479958429</v>
      </c>
    </row>
    <row r="31" spans="1:4" x14ac:dyDescent="0.35">
      <c r="A31" s="2" t="s">
        <v>44</v>
      </c>
      <c r="B31">
        <v>380.179149625006</v>
      </c>
      <c r="C31">
        <v>31.559560000000001</v>
      </c>
      <c r="D31">
        <v>244.5021132895522</v>
      </c>
    </row>
    <row r="32" spans="1:4" x14ac:dyDescent="0.35">
      <c r="A32" s="2" t="s">
        <v>45</v>
      </c>
      <c r="B32">
        <v>241.55753384834023</v>
      </c>
      <c r="C32">
        <v>34.46763</v>
      </c>
      <c r="D32">
        <v>206.98157479408221</v>
      </c>
    </row>
    <row r="33" spans="1:4" x14ac:dyDescent="0.35">
      <c r="A33" s="2" t="s">
        <v>46</v>
      </c>
      <c r="B33">
        <v>144.79932603116598</v>
      </c>
      <c r="C33">
        <v>32.31174</v>
      </c>
      <c r="D33">
        <v>150.67718058006821</v>
      </c>
    </row>
    <row r="34" spans="1:4" x14ac:dyDescent="0.35">
      <c r="A34" s="2" t="s">
        <v>47</v>
      </c>
      <c r="B34">
        <v>243.70951788540611</v>
      </c>
      <c r="C34">
        <v>30.108720000000002</v>
      </c>
      <c r="D34">
        <v>209.91194545201409</v>
      </c>
    </row>
    <row r="35" spans="1:4" x14ac:dyDescent="0.35">
      <c r="A35" s="2" t="s">
        <v>48</v>
      </c>
      <c r="B35">
        <v>284.00884266923134</v>
      </c>
      <c r="C35">
        <v>28.809349999999998</v>
      </c>
      <c r="D35">
        <v>219.0826642935229</v>
      </c>
    </row>
    <row r="36" spans="1:4" x14ac:dyDescent="0.35">
      <c r="A36" s="2" t="s">
        <v>49</v>
      </c>
      <c r="B36">
        <v>332.82085591141697</v>
      </c>
      <c r="C36">
        <v>21.524550000000001</v>
      </c>
      <c r="D36">
        <v>233.56139975801409</v>
      </c>
    </row>
    <row r="37" spans="1:4" x14ac:dyDescent="0.35">
      <c r="A37" s="2" t="s">
        <v>50</v>
      </c>
      <c r="B37">
        <v>270.13153587961523</v>
      </c>
      <c r="C37">
        <v>28.233470000000001</v>
      </c>
      <c r="D37">
        <v>215.66848774760479</v>
      </c>
    </row>
    <row r="38" spans="1:4" x14ac:dyDescent="0.35">
      <c r="A38" s="2" t="s">
        <v>51</v>
      </c>
      <c r="B38">
        <v>318.23907242314988</v>
      </c>
      <c r="C38">
        <v>22.603100000000001</v>
      </c>
      <c r="D38">
        <v>239.8154277226607</v>
      </c>
    </row>
    <row r="39" spans="1:4" x14ac:dyDescent="0.35">
      <c r="A39" s="2" t="s">
        <v>52</v>
      </c>
      <c r="B39">
        <v>242.87602873705944</v>
      </c>
      <c r="C39">
        <v>27.480319999999999</v>
      </c>
      <c r="D39">
        <v>194.16609890778329</v>
      </c>
    </row>
    <row r="40" spans="1:4" x14ac:dyDescent="0.35">
      <c r="A40" s="2" t="s">
        <v>53</v>
      </c>
      <c r="B40">
        <v>259.25508865141768</v>
      </c>
      <c r="C40">
        <v>26.790800000000001</v>
      </c>
      <c r="D40">
        <v>245.34692642281851</v>
      </c>
    </row>
    <row r="41" spans="1:4" x14ac:dyDescent="0.35">
      <c r="A41" s="4" t="s">
        <v>54</v>
      </c>
      <c r="B41">
        <v>300.53115516508069</v>
      </c>
      <c r="C41">
        <v>26.659420000000001</v>
      </c>
      <c r="D41">
        <v>205.6240806474562</v>
      </c>
    </row>
    <row r="42" spans="1:4" x14ac:dyDescent="0.35">
      <c r="A42" s="2" t="s">
        <v>55</v>
      </c>
      <c r="B42">
        <v>256.80840638676483</v>
      </c>
      <c r="C42">
        <v>25.429390000000001</v>
      </c>
      <c r="D42">
        <v>139.13820787523281</v>
      </c>
    </row>
    <row r="43" spans="1:4" x14ac:dyDescent="0.35">
      <c r="A43" s="2" t="s">
        <v>56</v>
      </c>
      <c r="B43">
        <v>293.78504489705801</v>
      </c>
      <c r="C43">
        <v>28.373660000000001</v>
      </c>
      <c r="D43">
        <v>177.5346382997794</v>
      </c>
    </row>
    <row r="44" spans="1:4" x14ac:dyDescent="0.35">
      <c r="A44" s="2" t="s">
        <v>57</v>
      </c>
      <c r="B44">
        <v>215.33032213845243</v>
      </c>
      <c r="C44">
        <v>25.309899999999999</v>
      </c>
      <c r="D44">
        <v>166.71268487217301</v>
      </c>
    </row>
    <row r="45" spans="1:4" x14ac:dyDescent="0.35">
      <c r="A45" s="2" t="s">
        <v>58</v>
      </c>
      <c r="B45">
        <v>143.93038420054069</v>
      </c>
      <c r="C45">
        <v>31.001010000000001</v>
      </c>
      <c r="D45">
        <v>146.03975283431501</v>
      </c>
    </row>
    <row r="46" spans="1:4" x14ac:dyDescent="0.35">
      <c r="A46" s="2" t="s">
        <v>59</v>
      </c>
      <c r="B46">
        <v>244.41394531322689</v>
      </c>
      <c r="C46">
        <v>26.318200000000001</v>
      </c>
      <c r="D46">
        <v>179.70526924503361</v>
      </c>
    </row>
    <row r="47" spans="1:4" x14ac:dyDescent="0.35">
      <c r="A47" s="2" t="s">
        <v>60</v>
      </c>
      <c r="B47">
        <v>287.16964626793174</v>
      </c>
      <c r="C47">
        <v>21.606089999999998</v>
      </c>
      <c r="D47">
        <v>210.52538327276761</v>
      </c>
    </row>
    <row r="48" spans="1:4" x14ac:dyDescent="0.35">
      <c r="A48" s="2" t="s">
        <v>61</v>
      </c>
      <c r="B48">
        <v>185.95941067801243</v>
      </c>
      <c r="C48">
        <v>19.903759999999998</v>
      </c>
      <c r="D48">
        <v>156.7050729389839</v>
      </c>
    </row>
    <row r="49" spans="1:4" x14ac:dyDescent="0.35">
      <c r="A49" s="2" t="s">
        <v>62</v>
      </c>
      <c r="B49">
        <v>223.97088347115911</v>
      </c>
      <c r="C49">
        <v>23.81176</v>
      </c>
      <c r="D49">
        <v>157.9986187013059</v>
      </c>
    </row>
    <row r="50" spans="1:4" x14ac:dyDescent="0.35">
      <c r="A50" s="2" t="s">
        <v>63</v>
      </c>
      <c r="B50">
        <v>221.41379781909825</v>
      </c>
      <c r="C50">
        <v>29.466290000000001</v>
      </c>
      <c r="D50">
        <v>154.50244119736209</v>
      </c>
    </row>
    <row r="51" spans="1:4" x14ac:dyDescent="0.35">
      <c r="A51" s="2" t="s">
        <v>64</v>
      </c>
      <c r="B51">
        <v>139.96909575683688</v>
      </c>
      <c r="C51">
        <v>23.15146</v>
      </c>
      <c r="D51">
        <v>148.43661517279051</v>
      </c>
    </row>
    <row r="52" spans="1:4" x14ac:dyDescent="0.35">
      <c r="A52" s="2" t="s">
        <v>65</v>
      </c>
      <c r="B52">
        <v>221.99613301032355</v>
      </c>
      <c r="C52">
        <v>24.326720000000002</v>
      </c>
      <c r="D52">
        <v>156.84341058816099</v>
      </c>
    </row>
    <row r="53" spans="1:4" x14ac:dyDescent="0.35">
      <c r="A53" s="2" t="s">
        <v>66</v>
      </c>
      <c r="B53">
        <v>175.99145203390418</v>
      </c>
      <c r="C53">
        <v>23.671060000000001</v>
      </c>
      <c r="D53">
        <v>116.4854881185059</v>
      </c>
    </row>
    <row r="54" spans="1:4" x14ac:dyDescent="0.35">
      <c r="A54" s="2" t="s">
        <v>67</v>
      </c>
      <c r="B54">
        <v>188.4292174258124</v>
      </c>
      <c r="C54">
        <v>21.531639999999999</v>
      </c>
      <c r="D54">
        <v>146.29191394003399</v>
      </c>
    </row>
    <row r="55" spans="1:4" x14ac:dyDescent="0.35">
      <c r="A55" s="2" t="s">
        <v>68</v>
      </c>
      <c r="B55">
        <v>159.18368478189558</v>
      </c>
      <c r="C55">
        <v>20.90326</v>
      </c>
      <c r="D55">
        <v>111.7961041819876</v>
      </c>
    </row>
    <row r="56" spans="1:4" x14ac:dyDescent="0.35">
      <c r="A56" s="2" t="s">
        <v>69</v>
      </c>
      <c r="B56">
        <v>148.74221221423838</v>
      </c>
      <c r="C56">
        <v>25.594930000000002</v>
      </c>
      <c r="D56">
        <v>119.93393142531581</v>
      </c>
    </row>
    <row r="57" spans="1:4" x14ac:dyDescent="0.35">
      <c r="A57" s="2" t="s">
        <v>70</v>
      </c>
      <c r="B57">
        <v>132.2171910892462</v>
      </c>
      <c r="C57">
        <v>22.59468</v>
      </c>
      <c r="D57">
        <v>133.31536542855019</v>
      </c>
    </row>
    <row r="58" spans="1:4" x14ac:dyDescent="0.35">
      <c r="A58" s="2" t="s">
        <v>71</v>
      </c>
      <c r="B58">
        <v>242.48573933225873</v>
      </c>
      <c r="C58">
        <v>22.544530000000002</v>
      </c>
      <c r="D58">
        <v>190.2155758158398</v>
      </c>
    </row>
    <row r="59" spans="1:4" x14ac:dyDescent="0.35">
      <c r="A59" s="2" t="s">
        <v>72</v>
      </c>
      <c r="B59">
        <v>208.56677898899778</v>
      </c>
      <c r="C59">
        <v>25.459479999999999</v>
      </c>
      <c r="D59">
        <v>150.03065004641181</v>
      </c>
    </row>
    <row r="60" spans="1:4" x14ac:dyDescent="0.35">
      <c r="A60" s="2" t="s">
        <v>73</v>
      </c>
      <c r="B60">
        <v>195.18889530636216</v>
      </c>
      <c r="C60">
        <v>22.414459999999998</v>
      </c>
      <c r="D60">
        <v>152.42488503605949</v>
      </c>
    </row>
    <row r="61" spans="1:4" x14ac:dyDescent="0.35">
      <c r="A61" s="2" t="s">
        <v>74</v>
      </c>
      <c r="B61">
        <v>261.02572967315598</v>
      </c>
      <c r="C61">
        <v>31.836269999999999</v>
      </c>
      <c r="D61">
        <v>176.02394952841291</v>
      </c>
    </row>
    <row r="62" spans="1:4" x14ac:dyDescent="0.35">
      <c r="A62" s="2" t="s">
        <v>75</v>
      </c>
      <c r="B62">
        <v>178.69872223041321</v>
      </c>
      <c r="C62">
        <v>27.916350000000001</v>
      </c>
      <c r="D62">
        <v>168.98523150851301</v>
      </c>
    </row>
    <row r="63" spans="1:4" x14ac:dyDescent="0.35">
      <c r="A63" s="2" t="s">
        <v>76</v>
      </c>
      <c r="B63">
        <v>238.49512555528176</v>
      </c>
      <c r="C63">
        <v>19.87426</v>
      </c>
      <c r="D63">
        <v>155.0936499384687</v>
      </c>
    </row>
    <row r="64" spans="1:4" x14ac:dyDescent="0.35">
      <c r="A64" s="4" t="s">
        <v>77</v>
      </c>
      <c r="B64">
        <v>174.1975846514905</v>
      </c>
      <c r="C64">
        <v>22.636510000000001</v>
      </c>
      <c r="D64">
        <v>131.74544154371591</v>
      </c>
    </row>
    <row r="65" spans="1:4" x14ac:dyDescent="0.35">
      <c r="A65" s="2" t="s">
        <v>78</v>
      </c>
      <c r="B65">
        <v>211.13492266079632</v>
      </c>
      <c r="C65">
        <v>27.152229999999999</v>
      </c>
      <c r="D65">
        <v>147.3209557246465</v>
      </c>
    </row>
    <row r="66" spans="1:4" x14ac:dyDescent="0.35">
      <c r="A66" s="2" t="s">
        <v>79</v>
      </c>
      <c r="B66">
        <v>197.79857959569753</v>
      </c>
      <c r="C66">
        <v>25.82891</v>
      </c>
      <c r="D66">
        <v>165.58476790569989</v>
      </c>
    </row>
    <row r="67" spans="1:4" x14ac:dyDescent="0.35">
      <c r="A67" s="2" t="s">
        <v>80</v>
      </c>
      <c r="B67">
        <v>303.52773213219677</v>
      </c>
      <c r="C67">
        <v>36.032110000000003</v>
      </c>
      <c r="D67">
        <v>193.94799415623851</v>
      </c>
    </row>
    <row r="68" spans="1:4" x14ac:dyDescent="0.35">
      <c r="A68" s="2" t="s">
        <v>81</v>
      </c>
      <c r="B68">
        <v>314.76036810583815</v>
      </c>
      <c r="C68">
        <v>21.222370000000002</v>
      </c>
      <c r="D68">
        <v>184.48752828003671</v>
      </c>
    </row>
    <row r="69" spans="1:4" x14ac:dyDescent="0.35">
      <c r="A69" s="2" t="s">
        <v>82</v>
      </c>
      <c r="B69">
        <v>171.73944490131768</v>
      </c>
      <c r="C69">
        <v>34.812840000000001</v>
      </c>
      <c r="D69">
        <v>143.71115737196769</v>
      </c>
    </row>
    <row r="70" spans="1:4" x14ac:dyDescent="0.35">
      <c r="A70" s="2" t="s">
        <v>83</v>
      </c>
      <c r="B70">
        <v>263.03016007190877</v>
      </c>
      <c r="C70">
        <v>35.833730000000003</v>
      </c>
      <c r="D70">
        <v>194.4608296129615</v>
      </c>
    </row>
    <row r="71" spans="1:4" x14ac:dyDescent="0.35">
      <c r="A71" s="2" t="s">
        <v>84</v>
      </c>
      <c r="B71">
        <v>231.93368590502911</v>
      </c>
      <c r="C71">
        <v>22.42923</v>
      </c>
      <c r="D71">
        <v>164.83113568653121</v>
      </c>
    </row>
    <row r="72" spans="1:4" x14ac:dyDescent="0.35">
      <c r="A72" s="2" t="s">
        <v>85</v>
      </c>
      <c r="B72">
        <v>200.97588143856777</v>
      </c>
      <c r="C72">
        <v>24.974720000000001</v>
      </c>
      <c r="D72">
        <v>164.40215380835161</v>
      </c>
    </row>
    <row r="73" spans="1:4" x14ac:dyDescent="0.35">
      <c r="A73" s="2" t="s">
        <v>86</v>
      </c>
      <c r="B73">
        <v>206.39484953514801</v>
      </c>
      <c r="C73">
        <v>24.7791</v>
      </c>
      <c r="D73">
        <v>147.41887678646981</v>
      </c>
    </row>
    <row r="74" spans="1:4" x14ac:dyDescent="0.35">
      <c r="A74" s="2" t="s">
        <v>87</v>
      </c>
      <c r="B74">
        <v>241.4245361712679</v>
      </c>
      <c r="C74">
        <v>29.697890000000001</v>
      </c>
      <c r="D74">
        <v>209.74028951753121</v>
      </c>
    </row>
    <row r="75" spans="1:4" x14ac:dyDescent="0.35">
      <c r="A75" s="2" t="s">
        <v>88</v>
      </c>
      <c r="B75">
        <v>324.04653568126793</v>
      </c>
      <c r="C75">
        <v>32.331159999999997</v>
      </c>
      <c r="D75">
        <v>227.79281321280649</v>
      </c>
    </row>
    <row r="76" spans="1:4" x14ac:dyDescent="0.35">
      <c r="A76" s="2" t="s">
        <v>89</v>
      </c>
      <c r="B76">
        <v>253.68586333993335</v>
      </c>
      <c r="C76">
        <v>26.686969999999999</v>
      </c>
      <c r="D76">
        <v>227.75331195412139</v>
      </c>
    </row>
    <row r="77" spans="1:4" x14ac:dyDescent="0.35">
      <c r="A77" s="2" t="s">
        <v>90</v>
      </c>
      <c r="B77">
        <v>216.33028088042593</v>
      </c>
      <c r="C77">
        <v>27.493749999999999</v>
      </c>
      <c r="D77">
        <v>207.01124635917679</v>
      </c>
    </row>
    <row r="78" spans="1:4" x14ac:dyDescent="0.35">
      <c r="A78" s="2" t="s">
        <v>91</v>
      </c>
      <c r="B78">
        <v>241.11566495964757</v>
      </c>
      <c r="C78">
        <v>24.633790000000001</v>
      </c>
      <c r="D78">
        <v>198.46472106973911</v>
      </c>
    </row>
    <row r="79" spans="1:4" x14ac:dyDescent="0.35">
      <c r="A79" s="2" t="s">
        <v>92</v>
      </c>
      <c r="B79">
        <v>444.34198268649033</v>
      </c>
      <c r="C79">
        <v>28.874510000000001</v>
      </c>
      <c r="D79">
        <v>433.27750238569359</v>
      </c>
    </row>
    <row r="80" spans="1:4" x14ac:dyDescent="0.35">
      <c r="A80" s="2" t="s">
        <v>93</v>
      </c>
      <c r="B80">
        <v>410.00738279337259</v>
      </c>
      <c r="C80">
        <v>22.58746</v>
      </c>
      <c r="D80">
        <v>424.37717636390562</v>
      </c>
    </row>
    <row r="81" spans="1:4" x14ac:dyDescent="0.35">
      <c r="A81" s="2" t="s">
        <v>94</v>
      </c>
      <c r="B81">
        <v>178.72028205561639</v>
      </c>
      <c r="C81">
        <v>21.665040000000001</v>
      </c>
      <c r="D81">
        <v>213.3665896751825</v>
      </c>
    </row>
    <row r="82" spans="1:4" x14ac:dyDescent="0.35">
      <c r="A82" s="2" t="s">
        <v>95</v>
      </c>
      <c r="B82">
        <v>291.67300951647849</v>
      </c>
      <c r="C82">
        <v>22.19697</v>
      </c>
      <c r="D82">
        <v>232.69800073798029</v>
      </c>
    </row>
    <row r="83" spans="1:4" x14ac:dyDescent="0.35">
      <c r="A83" s="2" t="s">
        <v>96</v>
      </c>
      <c r="B83">
        <v>256.62360697508524</v>
      </c>
      <c r="C83">
        <v>23.51004</v>
      </c>
      <c r="D83">
        <v>241.63064001934231</v>
      </c>
    </row>
    <row r="84" spans="1:4" x14ac:dyDescent="0.35">
      <c r="A84" s="4" t="s">
        <v>97</v>
      </c>
      <c r="B84">
        <v>448.59508317810725</v>
      </c>
      <c r="C84">
        <v>22.72129</v>
      </c>
      <c r="D84">
        <v>392.83105687937842</v>
      </c>
    </row>
    <row r="85" spans="1:4" x14ac:dyDescent="0.35">
      <c r="A85" s="2" t="s">
        <v>98</v>
      </c>
      <c r="B85">
        <v>408.26754699437186</v>
      </c>
      <c r="C85">
        <v>19.114329999999999</v>
      </c>
      <c r="D85">
        <v>288.428468257909</v>
      </c>
    </row>
    <row r="86" spans="1:4" x14ac:dyDescent="0.35">
      <c r="A86" s="2" t="s">
        <v>99</v>
      </c>
      <c r="B86">
        <v>462.96556552285955</v>
      </c>
      <c r="C86">
        <v>18.729869999999998</v>
      </c>
      <c r="D86">
        <v>320.0237906961496</v>
      </c>
    </row>
    <row r="87" spans="1:4" x14ac:dyDescent="0.35">
      <c r="A87" s="2" t="s">
        <v>100</v>
      </c>
      <c r="B87">
        <v>379.42595357595764</v>
      </c>
      <c r="C87">
        <v>17.275020000000001</v>
      </c>
      <c r="D87">
        <v>237.06755874679001</v>
      </c>
    </row>
    <row r="88" spans="1:4" x14ac:dyDescent="0.35">
      <c r="A88" s="2" t="s">
        <v>101</v>
      </c>
      <c r="B88">
        <v>521.56415059869596</v>
      </c>
      <c r="C88">
        <v>17.673690000000001</v>
      </c>
      <c r="D88">
        <v>267.06935055935969</v>
      </c>
    </row>
    <row r="89" spans="1:4" x14ac:dyDescent="0.35">
      <c r="A89" s="2" t="s">
        <v>102</v>
      </c>
      <c r="B89">
        <v>574.6331443928085</v>
      </c>
      <c r="C89">
        <v>18.585660000000001</v>
      </c>
      <c r="D89">
        <v>249.21890413907721</v>
      </c>
    </row>
    <row r="90" spans="1:4" x14ac:dyDescent="0.35">
      <c r="A90" s="2" t="s">
        <v>103</v>
      </c>
      <c r="B90">
        <v>288.26044389781725</v>
      </c>
      <c r="C90">
        <v>16.354109999999999</v>
      </c>
      <c r="D90">
        <v>197.58968123250321</v>
      </c>
    </row>
    <row r="91" spans="1:4" x14ac:dyDescent="0.35">
      <c r="A91" s="2" t="s">
        <v>104</v>
      </c>
      <c r="B91">
        <v>308.56528601007835</v>
      </c>
      <c r="C91">
        <v>19.691189999999999</v>
      </c>
      <c r="D91">
        <v>274.39018072218693</v>
      </c>
    </row>
    <row r="92" spans="1:4" x14ac:dyDescent="0.35">
      <c r="A92" s="2" t="s">
        <v>105</v>
      </c>
      <c r="B92">
        <v>176.46953211285751</v>
      </c>
      <c r="C92">
        <v>16.421189999999999</v>
      </c>
      <c r="D92">
        <v>181.4152257718481</v>
      </c>
    </row>
    <row r="93" spans="1:4" x14ac:dyDescent="0.35">
      <c r="A93" s="2" t="s">
        <v>106</v>
      </c>
      <c r="B93">
        <v>164.0532893047378</v>
      </c>
      <c r="C93">
        <v>18.572019999999998</v>
      </c>
      <c r="D93">
        <v>149.7086481866219</v>
      </c>
    </row>
    <row r="94" spans="1:4" x14ac:dyDescent="0.35">
      <c r="A94" s="2" t="s">
        <v>107</v>
      </c>
      <c r="B94">
        <v>256.47821175850652</v>
      </c>
      <c r="C94">
        <v>14.306179999999999</v>
      </c>
      <c r="D94">
        <v>205.76640680752621</v>
      </c>
    </row>
    <row r="95" spans="1:4" x14ac:dyDescent="0.35">
      <c r="A95" s="2" t="s">
        <v>108</v>
      </c>
      <c r="B95">
        <v>227.00538712978212</v>
      </c>
      <c r="C95">
        <v>13.96176</v>
      </c>
      <c r="D95">
        <v>227.2336150414811</v>
      </c>
    </row>
    <row r="96" spans="1:4" x14ac:dyDescent="0.35">
      <c r="A96" s="2" t="s">
        <v>109</v>
      </c>
      <c r="B96">
        <v>251.36940607972903</v>
      </c>
      <c r="C96">
        <v>16.018129999999999</v>
      </c>
      <c r="D96">
        <v>229.71335895759839</v>
      </c>
    </row>
    <row r="97" spans="1:4" x14ac:dyDescent="0.35">
      <c r="A97" s="2" t="s">
        <v>110</v>
      </c>
      <c r="B97">
        <v>194.63212824866446</v>
      </c>
      <c r="C97">
        <v>16.243410000000001</v>
      </c>
      <c r="D97">
        <v>173.39306620735519</v>
      </c>
    </row>
    <row r="98" spans="1:4" x14ac:dyDescent="0.35">
      <c r="A98" s="2" t="s">
        <v>111</v>
      </c>
      <c r="B98">
        <v>221.13756884827956</v>
      </c>
      <c r="C98">
        <v>18.826599999999999</v>
      </c>
      <c r="D98">
        <v>196.43604370769481</v>
      </c>
    </row>
    <row r="99" spans="1:4" x14ac:dyDescent="0.35">
      <c r="A99" s="2" t="s">
        <v>112</v>
      </c>
      <c r="B99">
        <v>192.03058706445086</v>
      </c>
      <c r="C99">
        <v>21.97644</v>
      </c>
      <c r="D99">
        <v>135.16370732840801</v>
      </c>
    </row>
    <row r="100" spans="1:4" x14ac:dyDescent="0.35">
      <c r="A100" s="2" t="s">
        <v>113</v>
      </c>
      <c r="B100">
        <v>195.57213916032086</v>
      </c>
      <c r="C100">
        <v>21.431080000000001</v>
      </c>
      <c r="D100">
        <v>175.5761707346424</v>
      </c>
    </row>
    <row r="101" spans="1:4" x14ac:dyDescent="0.35">
      <c r="A101" s="2" t="s">
        <v>114</v>
      </c>
      <c r="B101">
        <v>187.3611054188672</v>
      </c>
      <c r="C101">
        <v>16.597010000000001</v>
      </c>
      <c r="D101">
        <v>150.18455097286261</v>
      </c>
    </row>
    <row r="102" spans="1:4" x14ac:dyDescent="0.35">
      <c r="A102" s="2" t="s">
        <v>115</v>
      </c>
      <c r="B102">
        <v>303.05390794963159</v>
      </c>
      <c r="C102">
        <v>20.604800000000001</v>
      </c>
      <c r="D102">
        <v>224.51605913140091</v>
      </c>
    </row>
    <row r="103" spans="1:4" x14ac:dyDescent="0.35">
      <c r="A103" s="4" t="s">
        <v>116</v>
      </c>
      <c r="B103">
        <v>331.26207526335889</v>
      </c>
      <c r="C103">
        <v>19.422699999999999</v>
      </c>
      <c r="D103">
        <v>233.2118870724486</v>
      </c>
    </row>
    <row r="104" spans="1:4" x14ac:dyDescent="0.35">
      <c r="A104" s="2" t="s">
        <v>117</v>
      </c>
      <c r="B104">
        <v>239.72984200414407</v>
      </c>
      <c r="C104">
        <v>14.70101</v>
      </c>
      <c r="D104">
        <v>208.27210377024551</v>
      </c>
    </row>
    <row r="105" spans="1:4" x14ac:dyDescent="0.35">
      <c r="A105" s="2" t="s">
        <v>118</v>
      </c>
      <c r="B105">
        <v>184.52116526124601</v>
      </c>
      <c r="C105">
        <v>18.127970000000001</v>
      </c>
      <c r="D105">
        <v>166.83115869788239</v>
      </c>
    </row>
    <row r="106" spans="1:4" x14ac:dyDescent="0.35">
      <c r="A106" s="2" t="s">
        <v>119</v>
      </c>
      <c r="B106">
        <v>230.68047445655253</v>
      </c>
      <c r="C106">
        <v>17.146560000000001</v>
      </c>
      <c r="D106">
        <v>204.80448588168059</v>
      </c>
    </row>
    <row r="107" spans="1:4" x14ac:dyDescent="0.35">
      <c r="A107" s="2" t="s">
        <v>120</v>
      </c>
      <c r="B107">
        <v>302.29285278472776</v>
      </c>
      <c r="C107">
        <v>22.955480000000001</v>
      </c>
      <c r="D107">
        <v>246.06096914626829</v>
      </c>
    </row>
    <row r="108" spans="1:4" x14ac:dyDescent="0.35">
      <c r="A108" s="2" t="s">
        <v>121</v>
      </c>
      <c r="B108">
        <v>274.4578971469461</v>
      </c>
      <c r="C108">
        <v>20.9254</v>
      </c>
      <c r="D108">
        <v>231.17001285809201</v>
      </c>
    </row>
    <row r="109" spans="1:4" x14ac:dyDescent="0.35">
      <c r="A109" s="2" t="s">
        <v>122</v>
      </c>
      <c r="B109">
        <v>339.57651506767587</v>
      </c>
      <c r="C109">
        <v>27.303149999999999</v>
      </c>
      <c r="D109">
        <v>275.70744930836941</v>
      </c>
    </row>
    <row r="110" spans="1:4" x14ac:dyDescent="0.35">
      <c r="A110" s="2" t="s">
        <v>123</v>
      </c>
      <c r="B110">
        <v>363.04773960850827</v>
      </c>
      <c r="C110">
        <v>17.303930000000001</v>
      </c>
      <c r="D110">
        <v>247.6771075795003</v>
      </c>
    </row>
    <row r="111" spans="1:4" x14ac:dyDescent="0.35">
      <c r="A111" s="2" t="s">
        <v>124</v>
      </c>
      <c r="B111">
        <v>267.58360147209589</v>
      </c>
      <c r="C111">
        <v>15.46541</v>
      </c>
      <c r="D111">
        <v>230.15161133934939</v>
      </c>
    </row>
    <row r="112" spans="1:4" x14ac:dyDescent="0.35">
      <c r="A112" s="2" t="s">
        <v>125</v>
      </c>
      <c r="B112">
        <v>238.68934661793918</v>
      </c>
      <c r="C112">
        <v>17.139849999999999</v>
      </c>
      <c r="D112">
        <v>229.38423691143069</v>
      </c>
    </row>
    <row r="113" spans="1:4" x14ac:dyDescent="0.35">
      <c r="A113" s="2" t="s">
        <v>126</v>
      </c>
      <c r="B113">
        <v>206.50388062079429</v>
      </c>
      <c r="C113">
        <v>14.876429999999999</v>
      </c>
      <c r="D113">
        <v>214.20435254183221</v>
      </c>
    </row>
    <row r="114" spans="1:4" x14ac:dyDescent="0.35">
      <c r="A114" s="2" t="s">
        <v>127</v>
      </c>
      <c r="B114">
        <v>159.84600990325475</v>
      </c>
      <c r="C114">
        <v>19.446210000000001</v>
      </c>
      <c r="D114">
        <v>196.30671412545729</v>
      </c>
    </row>
    <row r="115" spans="1:4" x14ac:dyDescent="0.35">
      <c r="A115" s="2" t="s">
        <v>128</v>
      </c>
      <c r="B115">
        <v>244.02554738596822</v>
      </c>
      <c r="C115">
        <v>15.600680000000001</v>
      </c>
      <c r="D115">
        <v>205.54045832206211</v>
      </c>
    </row>
    <row r="116" spans="1:4" x14ac:dyDescent="0.35">
      <c r="A116" s="2" t="s">
        <v>129</v>
      </c>
      <c r="B116">
        <v>269.49666850731074</v>
      </c>
      <c r="C116">
        <v>16.014189999999999</v>
      </c>
      <c r="D116">
        <v>229.73694189139209</v>
      </c>
    </row>
    <row r="117" spans="1:4" x14ac:dyDescent="0.35">
      <c r="A117" s="2" t="s">
        <v>130</v>
      </c>
      <c r="B117">
        <v>287.83403539137691</v>
      </c>
      <c r="C117">
        <v>19.413709999999998</v>
      </c>
      <c r="D117">
        <v>277.04245299049319</v>
      </c>
    </row>
    <row r="118" spans="1:4" x14ac:dyDescent="0.35">
      <c r="A118" s="2" t="s">
        <v>131</v>
      </c>
      <c r="B118">
        <v>275.04957630281075</v>
      </c>
      <c r="C118">
        <v>17.257490000000001</v>
      </c>
      <c r="D118">
        <v>245.14055719128439</v>
      </c>
    </row>
    <row r="119" spans="1:4" x14ac:dyDescent="0.35">
      <c r="A119" s="2" t="s">
        <v>132</v>
      </c>
      <c r="B119">
        <v>267.70970959194938</v>
      </c>
      <c r="C119">
        <v>15.372450000000001</v>
      </c>
      <c r="D119">
        <v>250.56588909400429</v>
      </c>
    </row>
    <row r="120" spans="1:4" x14ac:dyDescent="0.35">
      <c r="A120" s="2" t="s">
        <v>133</v>
      </c>
      <c r="B120">
        <v>246.59494175379996</v>
      </c>
      <c r="C120">
        <v>14.51248</v>
      </c>
      <c r="D120">
        <v>222.5956768580173</v>
      </c>
    </row>
    <row r="121" spans="1:4" x14ac:dyDescent="0.35">
      <c r="A121" s="2" t="s">
        <v>134</v>
      </c>
      <c r="B121">
        <v>244.38810811946939</v>
      </c>
      <c r="C121">
        <v>15.644729999999999</v>
      </c>
      <c r="D121">
        <v>235.98632458243841</v>
      </c>
    </row>
    <row r="122" spans="1:4" x14ac:dyDescent="0.35">
      <c r="A122" s="2" t="s">
        <v>135</v>
      </c>
      <c r="B122">
        <v>254.2695921323031</v>
      </c>
      <c r="C122">
        <v>19.012</v>
      </c>
      <c r="D122">
        <v>199.22175605420739</v>
      </c>
    </row>
    <row r="123" spans="1:4" x14ac:dyDescent="0.35">
      <c r="A123" s="2" t="s">
        <v>136</v>
      </c>
      <c r="B123">
        <v>238.52343111851852</v>
      </c>
      <c r="C123">
        <v>46.46481</v>
      </c>
      <c r="D123">
        <v>204.8352861057827</v>
      </c>
    </row>
    <row r="124" spans="1:4" x14ac:dyDescent="0.35">
      <c r="A124" s="2" t="s">
        <v>137</v>
      </c>
      <c r="B124">
        <v>367.15702042734057</v>
      </c>
      <c r="C124">
        <v>53.310940000000002</v>
      </c>
      <c r="D124">
        <v>361.36888340919091</v>
      </c>
    </row>
    <row r="125" spans="1:4" x14ac:dyDescent="0.35">
      <c r="A125" s="4" t="s">
        <v>138</v>
      </c>
      <c r="B125">
        <v>320.16271113798314</v>
      </c>
      <c r="C125">
        <v>37.087910000000001</v>
      </c>
      <c r="D125">
        <v>297.8985112529889</v>
      </c>
    </row>
    <row r="126" spans="1:4" x14ac:dyDescent="0.35">
      <c r="A126" s="2" t="s">
        <v>139</v>
      </c>
      <c r="B126">
        <v>305.83698185179964</v>
      </c>
      <c r="C126">
        <v>34.543970000000002</v>
      </c>
      <c r="D126">
        <v>282.24843542371627</v>
      </c>
    </row>
    <row r="127" spans="1:4" x14ac:dyDescent="0.35">
      <c r="A127" s="2" t="s">
        <v>140</v>
      </c>
      <c r="B127">
        <v>321.69084543949418</v>
      </c>
      <c r="C127">
        <v>35.660429999999998</v>
      </c>
      <c r="D127">
        <v>247.64983749308041</v>
      </c>
    </row>
    <row r="128" spans="1:4" x14ac:dyDescent="0.35">
      <c r="A128" s="2" t="s">
        <v>141</v>
      </c>
      <c r="B128">
        <v>242.34147139316002</v>
      </c>
      <c r="C128">
        <v>31.437750000000001</v>
      </c>
      <c r="D128">
        <v>248.82285634494741</v>
      </c>
    </row>
    <row r="129" spans="1:4" x14ac:dyDescent="0.35">
      <c r="A129" s="2" t="s">
        <v>142</v>
      </c>
      <c r="B129">
        <v>202.95086660733247</v>
      </c>
      <c r="C129">
        <v>31.91592</v>
      </c>
      <c r="D129">
        <v>213.09035734302009</v>
      </c>
    </row>
    <row r="130" spans="1:4" x14ac:dyDescent="0.35">
      <c r="A130" s="2" t="s">
        <v>143</v>
      </c>
      <c r="B130">
        <v>432.69126146881229</v>
      </c>
      <c r="C130">
        <v>30.5473</v>
      </c>
      <c r="D130">
        <v>278.59220990379168</v>
      </c>
    </row>
    <row r="131" spans="1:4" x14ac:dyDescent="0.35">
      <c r="A131" s="2" t="s">
        <v>144</v>
      </c>
      <c r="B131">
        <v>358.26840748688517</v>
      </c>
      <c r="C131">
        <v>41.165349999999997</v>
      </c>
      <c r="D131">
        <v>311.58250125114739</v>
      </c>
    </row>
    <row r="132" spans="1:4" x14ac:dyDescent="0.35">
      <c r="A132" s="2" t="s">
        <v>145</v>
      </c>
      <c r="B132">
        <v>403.88629274722911</v>
      </c>
      <c r="C132">
        <v>27.392469999999999</v>
      </c>
      <c r="D132">
        <v>328.15251761613177</v>
      </c>
    </row>
    <row r="133" spans="1:4" x14ac:dyDescent="0.35">
      <c r="A133" s="2" t="s">
        <v>146</v>
      </c>
      <c r="B133">
        <v>257.26733611001026</v>
      </c>
      <c r="C133">
        <v>28.718160000000001</v>
      </c>
      <c r="D133">
        <v>208.95865353686119</v>
      </c>
    </row>
    <row r="134" spans="1:4" x14ac:dyDescent="0.35">
      <c r="A134" s="2" t="s">
        <v>147</v>
      </c>
      <c r="B134">
        <v>276.37227437364749</v>
      </c>
      <c r="C134">
        <v>35.192749999999997</v>
      </c>
      <c r="D134">
        <v>231.37864017033399</v>
      </c>
    </row>
    <row r="135" spans="1:4" x14ac:dyDescent="0.35">
      <c r="A135" s="2" t="s">
        <v>148</v>
      </c>
      <c r="B135">
        <v>226.43034071822746</v>
      </c>
      <c r="C135">
        <v>32.450749999999999</v>
      </c>
      <c r="D135">
        <v>185.27866737722249</v>
      </c>
    </row>
    <row r="136" spans="1:4" x14ac:dyDescent="0.35">
      <c r="A136" s="2" t="s">
        <v>149</v>
      </c>
      <c r="B136">
        <v>258.44635817598612</v>
      </c>
      <c r="C136">
        <v>21.119689999999999</v>
      </c>
      <c r="D136">
        <v>217.46619140350981</v>
      </c>
    </row>
    <row r="137" spans="1:4" x14ac:dyDescent="0.35">
      <c r="A137" s="2" t="s">
        <v>150</v>
      </c>
      <c r="B137">
        <v>186.40504730622686</v>
      </c>
      <c r="C137">
        <v>24.81278</v>
      </c>
      <c r="D137">
        <v>179.65824161896421</v>
      </c>
    </row>
    <row r="138" spans="1:4" x14ac:dyDescent="0.35">
      <c r="A138" s="2" t="s">
        <v>151</v>
      </c>
      <c r="B138">
        <v>210.55606779907308</v>
      </c>
      <c r="C138">
        <v>23.353159999999999</v>
      </c>
      <c r="D138">
        <v>141.38605551092519</v>
      </c>
    </row>
    <row r="139" spans="1:4" x14ac:dyDescent="0.35">
      <c r="A139" s="2" t="s">
        <v>152</v>
      </c>
      <c r="B139">
        <v>219.50012853823208</v>
      </c>
      <c r="C139">
        <v>21.54729</v>
      </c>
      <c r="D139">
        <v>152.61494307954041</v>
      </c>
    </row>
    <row r="140" spans="1:4" x14ac:dyDescent="0.35">
      <c r="A140" s="2" t="s">
        <v>153</v>
      </c>
      <c r="B140">
        <v>251.80142479657709</v>
      </c>
      <c r="C140">
        <v>24.831800000000001</v>
      </c>
      <c r="D140">
        <v>197.37941503594669</v>
      </c>
    </row>
    <row r="141" spans="1:4" x14ac:dyDescent="0.35">
      <c r="A141" s="2" t="s">
        <v>154</v>
      </c>
      <c r="B141">
        <v>231.69912169473648</v>
      </c>
      <c r="C141">
        <v>22.156310000000001</v>
      </c>
      <c r="D141">
        <v>187.20578192390559</v>
      </c>
    </row>
    <row r="142" spans="1:4" x14ac:dyDescent="0.35">
      <c r="A142" s="2" t="s">
        <v>155</v>
      </c>
      <c r="B142">
        <v>236.94298770083844</v>
      </c>
      <c r="C142">
        <v>26.89424</v>
      </c>
      <c r="D142">
        <v>206.7285426497219</v>
      </c>
    </row>
    <row r="143" spans="1:4" x14ac:dyDescent="0.35">
      <c r="A143" s="2" t="s">
        <v>156</v>
      </c>
      <c r="B143">
        <v>270.22984285598051</v>
      </c>
      <c r="C143">
        <v>20.327559999999998</v>
      </c>
      <c r="D143">
        <v>198.51041934374271</v>
      </c>
    </row>
    <row r="144" spans="1:4" x14ac:dyDescent="0.35">
      <c r="A144" s="2" t="s">
        <v>157</v>
      </c>
      <c r="B144">
        <v>310.0813528559587</v>
      </c>
      <c r="C144">
        <v>34.009799999999998</v>
      </c>
      <c r="D144">
        <v>246.6082671136009</v>
      </c>
    </row>
    <row r="145" spans="1:4" x14ac:dyDescent="0.35">
      <c r="A145" s="2" t="s">
        <v>158</v>
      </c>
      <c r="B145">
        <v>331.31548153447523</v>
      </c>
      <c r="C145">
        <v>21.801400000000001</v>
      </c>
      <c r="D145">
        <v>298.15950991405771</v>
      </c>
    </row>
    <row r="146" spans="1:4" x14ac:dyDescent="0.35">
      <c r="A146" s="2" t="s">
        <v>159</v>
      </c>
      <c r="B146">
        <v>313.78810575904663</v>
      </c>
      <c r="C146">
        <v>30.300719999999998</v>
      </c>
      <c r="D146">
        <v>264.63418837091302</v>
      </c>
    </row>
    <row r="147" spans="1:4" x14ac:dyDescent="0.35">
      <c r="A147" s="4" t="s">
        <v>160</v>
      </c>
      <c r="B147">
        <v>298.90660377280608</v>
      </c>
      <c r="C147">
        <v>39.545810000000003</v>
      </c>
      <c r="D147">
        <v>220.46790953760549</v>
      </c>
    </row>
    <row r="148" spans="1:4" x14ac:dyDescent="0.35">
      <c r="A148" s="2" t="s">
        <v>161</v>
      </c>
      <c r="B148">
        <v>429.93556753498171</v>
      </c>
      <c r="C148">
        <v>32.1265</v>
      </c>
      <c r="D148">
        <v>392.01202062601737</v>
      </c>
    </row>
    <row r="149" spans="1:4" x14ac:dyDescent="0.35">
      <c r="A149" s="2" t="s">
        <v>162</v>
      </c>
      <c r="B149">
        <v>322.84143605889113</v>
      </c>
      <c r="C149">
        <v>32.462649999999996</v>
      </c>
      <c r="D149">
        <v>334.66899897430778</v>
      </c>
    </row>
    <row r="150" spans="1:4" x14ac:dyDescent="0.35">
      <c r="A150" s="2" t="s">
        <v>163</v>
      </c>
      <c r="B150">
        <v>380.59057264289402</v>
      </c>
      <c r="C150">
        <v>27.09723</v>
      </c>
      <c r="D150">
        <v>328.47521370860733</v>
      </c>
    </row>
    <row r="151" spans="1:4" x14ac:dyDescent="0.35">
      <c r="A151" s="2" t="s">
        <v>164</v>
      </c>
      <c r="B151">
        <v>420.58772539895682</v>
      </c>
      <c r="C151">
        <v>31.218789999999998</v>
      </c>
      <c r="D151">
        <v>332.62825287477051</v>
      </c>
    </row>
    <row r="152" spans="1:4" x14ac:dyDescent="0.35">
      <c r="A152" s="2" t="s">
        <v>165</v>
      </c>
      <c r="B152">
        <v>495.31645192190723</v>
      </c>
      <c r="C152">
        <v>22.744309999999999</v>
      </c>
      <c r="D152">
        <v>403.90579160227668</v>
      </c>
    </row>
    <row r="153" spans="1:4" x14ac:dyDescent="0.35">
      <c r="A153" s="2" t="s">
        <v>166</v>
      </c>
      <c r="B153">
        <v>231.0219656497317</v>
      </c>
      <c r="C153">
        <v>28.096</v>
      </c>
      <c r="D153">
        <v>327.9154084879612</v>
      </c>
    </row>
    <row r="154" spans="1:4" x14ac:dyDescent="0.35">
      <c r="A154" s="2" t="s">
        <v>167</v>
      </c>
      <c r="B154">
        <v>255.82427560784171</v>
      </c>
      <c r="C154">
        <v>30.064309999999999</v>
      </c>
      <c r="D154">
        <v>396.80379258297671</v>
      </c>
    </row>
    <row r="155" spans="1:4" x14ac:dyDescent="0.35">
      <c r="A155" s="2" t="s">
        <v>168</v>
      </c>
      <c r="B155">
        <v>372.27650760470925</v>
      </c>
      <c r="C155">
        <v>24.54992</v>
      </c>
      <c r="D155">
        <v>418.6188409032506</v>
      </c>
    </row>
    <row r="156" spans="1:4" x14ac:dyDescent="0.35">
      <c r="A156" s="2" t="s">
        <v>169</v>
      </c>
      <c r="B156">
        <v>302.97606816447041</v>
      </c>
      <c r="C156">
        <v>21.878530000000001</v>
      </c>
      <c r="D156">
        <v>357.08667995320258</v>
      </c>
    </row>
    <row r="157" spans="1:4" x14ac:dyDescent="0.35">
      <c r="A157" s="2" t="s">
        <v>170</v>
      </c>
      <c r="B157">
        <v>261.96710254782568</v>
      </c>
      <c r="C157">
        <v>22.371210000000001</v>
      </c>
      <c r="D157">
        <v>279.64709656385492</v>
      </c>
    </row>
    <row r="158" spans="1:4" x14ac:dyDescent="0.35">
      <c r="A158" s="2" t="s">
        <v>171</v>
      </c>
      <c r="B158">
        <v>296.32166507942077</v>
      </c>
      <c r="C158">
        <v>20.17446</v>
      </c>
      <c r="D158">
        <v>281.77821148914558</v>
      </c>
    </row>
    <row r="159" spans="1:4" x14ac:dyDescent="0.35">
      <c r="A159" s="2" t="s">
        <v>172</v>
      </c>
      <c r="B159">
        <v>327.79795855688673</v>
      </c>
      <c r="C159">
        <v>20.68244</v>
      </c>
      <c r="D159">
        <v>272.40224655944382</v>
      </c>
    </row>
    <row r="160" spans="1:4" x14ac:dyDescent="0.35">
      <c r="A160" s="2" t="s">
        <v>173</v>
      </c>
      <c r="B160">
        <v>382.92593225825669</v>
      </c>
      <c r="C160">
        <v>21.1126</v>
      </c>
      <c r="D160">
        <v>324.77326277549543</v>
      </c>
    </row>
    <row r="161" spans="1:4" x14ac:dyDescent="0.35">
      <c r="A161" s="2" t="s">
        <v>174</v>
      </c>
      <c r="B161">
        <v>269.84014918480949</v>
      </c>
      <c r="C161">
        <v>19.22747</v>
      </c>
      <c r="D161">
        <v>244.2315767835783</v>
      </c>
    </row>
    <row r="162" spans="1:4" x14ac:dyDescent="0.35">
      <c r="A162" s="2" t="s">
        <v>175</v>
      </c>
      <c r="B162">
        <v>295.31020944796518</v>
      </c>
      <c r="C162">
        <v>21.256530000000001</v>
      </c>
      <c r="D162">
        <v>265.50803347151941</v>
      </c>
    </row>
    <row r="163" spans="1:4" x14ac:dyDescent="0.35">
      <c r="A163" s="2" t="s">
        <v>176</v>
      </c>
      <c r="B163">
        <v>214.01936472039787</v>
      </c>
      <c r="C163">
        <v>14.863659999999999</v>
      </c>
      <c r="D163">
        <v>247.21465129276041</v>
      </c>
    </row>
    <row r="164" spans="1:4" x14ac:dyDescent="0.35">
      <c r="A164" s="2" t="s">
        <v>177</v>
      </c>
      <c r="B164">
        <v>236.53628761213605</v>
      </c>
      <c r="C164">
        <v>17.860399999999998</v>
      </c>
      <c r="D164">
        <v>263.57202642090579</v>
      </c>
    </row>
    <row r="165" spans="1:4" x14ac:dyDescent="0.35">
      <c r="A165" s="2" t="s">
        <v>178</v>
      </c>
      <c r="B165">
        <v>152.65545620310249</v>
      </c>
      <c r="C165">
        <v>17.411549999999998</v>
      </c>
      <c r="D165">
        <v>287.96255833338051</v>
      </c>
    </row>
    <row r="166" spans="1:4" x14ac:dyDescent="0.35">
      <c r="A166" s="2" t="s">
        <v>179</v>
      </c>
      <c r="B166">
        <v>243.34775610542962</v>
      </c>
      <c r="C166">
        <v>18.48019</v>
      </c>
      <c r="D166">
        <v>319.51198978815512</v>
      </c>
    </row>
    <row r="167" spans="1:4" x14ac:dyDescent="0.35">
      <c r="A167" s="2" t="s">
        <v>180</v>
      </c>
      <c r="B167">
        <v>261.82448721556221</v>
      </c>
      <c r="C167">
        <v>20.840789999999998</v>
      </c>
      <c r="D167">
        <v>314.21689548603541</v>
      </c>
    </row>
    <row r="168" spans="1:4" x14ac:dyDescent="0.35">
      <c r="A168" s="4" t="s">
        <v>181</v>
      </c>
      <c r="B168">
        <v>282.45585540805524</v>
      </c>
      <c r="C168">
        <v>15.04454</v>
      </c>
      <c r="D168">
        <v>315.77124051096638</v>
      </c>
    </row>
    <row r="169" spans="1:4" x14ac:dyDescent="0.35">
      <c r="A169" s="2" t="s">
        <v>182</v>
      </c>
      <c r="B169">
        <v>321.28587054361736</v>
      </c>
      <c r="C169">
        <v>15.01905</v>
      </c>
      <c r="D169">
        <v>281.71081860893759</v>
      </c>
    </row>
    <row r="170" spans="1:4" x14ac:dyDescent="0.35">
      <c r="A170" s="2" t="s">
        <v>183</v>
      </c>
      <c r="B170">
        <v>274.02961157927189</v>
      </c>
      <c r="C170">
        <v>16.078399999999998</v>
      </c>
      <c r="D170">
        <v>323.41010587681882</v>
      </c>
    </row>
    <row r="171" spans="1:4" x14ac:dyDescent="0.35">
      <c r="A171" s="2" t="s">
        <v>184</v>
      </c>
      <c r="B171">
        <v>243.01897814370966</v>
      </c>
      <c r="C171">
        <v>14.885859999999999</v>
      </c>
      <c r="D171">
        <v>276.9823379691897</v>
      </c>
    </row>
    <row r="172" spans="1:4" x14ac:dyDescent="0.35">
      <c r="A172" s="2" t="s">
        <v>185</v>
      </c>
      <c r="B172">
        <v>187.76199681044591</v>
      </c>
      <c r="C172">
        <v>14.443</v>
      </c>
      <c r="D172">
        <v>231.31777719185541</v>
      </c>
    </row>
    <row r="173" spans="1:4" x14ac:dyDescent="0.35">
      <c r="A173" s="2" t="s">
        <v>186</v>
      </c>
      <c r="B173">
        <v>169.77211747515921</v>
      </c>
      <c r="C173">
        <v>16.62208</v>
      </c>
      <c r="D173">
        <v>268.17149670882719</v>
      </c>
    </row>
    <row r="174" spans="1:4" x14ac:dyDescent="0.35">
      <c r="A174" s="2" t="s">
        <v>187</v>
      </c>
      <c r="B174">
        <v>304.44627414088876</v>
      </c>
      <c r="C174">
        <v>15.33592</v>
      </c>
      <c r="D174">
        <v>290.83528480079718</v>
      </c>
    </row>
    <row r="175" spans="1:4" x14ac:dyDescent="0.35">
      <c r="A175" s="2" t="s">
        <v>188</v>
      </c>
      <c r="B175">
        <v>409.27206139861443</v>
      </c>
      <c r="C175">
        <v>19.606960000000001</v>
      </c>
      <c r="D175">
        <v>327.50626111508882</v>
      </c>
    </row>
    <row r="176" spans="1:4" x14ac:dyDescent="0.35">
      <c r="A176" s="2" t="s">
        <v>189</v>
      </c>
      <c r="B176">
        <v>543.93255638476398</v>
      </c>
      <c r="C176">
        <v>17.017040000000001</v>
      </c>
      <c r="D176">
        <v>361.85378688628492</v>
      </c>
    </row>
    <row r="177" spans="1:4" x14ac:dyDescent="0.35">
      <c r="A177" s="2" t="s">
        <v>190</v>
      </c>
      <c r="B177">
        <v>370.78547045325695</v>
      </c>
      <c r="C177">
        <v>16.872800000000002</v>
      </c>
      <c r="D177">
        <v>263.42824659395421</v>
      </c>
    </row>
    <row r="178" spans="1:4" x14ac:dyDescent="0.35">
      <c r="A178" s="2" t="s">
        <v>191</v>
      </c>
      <c r="B178">
        <v>436.40558079951768</v>
      </c>
      <c r="C178">
        <v>20.138529999999999</v>
      </c>
      <c r="D178">
        <v>345.05095744927468</v>
      </c>
    </row>
    <row r="179" spans="1:4" x14ac:dyDescent="0.35">
      <c r="A179" s="2" t="s">
        <v>192</v>
      </c>
      <c r="B179">
        <v>322.28924141525732</v>
      </c>
      <c r="C179">
        <v>23.603339999999999</v>
      </c>
      <c r="D179">
        <v>392.07715221506533</v>
      </c>
    </row>
    <row r="180" spans="1:4" x14ac:dyDescent="0.35">
      <c r="A180" s="2" t="s">
        <v>193</v>
      </c>
      <c r="B180">
        <v>486.84426373762193</v>
      </c>
      <c r="C180">
        <v>17.92407</v>
      </c>
      <c r="D180">
        <v>479.98872647593782</v>
      </c>
    </row>
    <row r="181" spans="1:4" x14ac:dyDescent="0.35">
      <c r="A181" s="2" t="s">
        <v>194</v>
      </c>
      <c r="B181">
        <v>567.70885241349777</v>
      </c>
      <c r="C181">
        <v>17.672920000000001</v>
      </c>
      <c r="D181">
        <v>484.41530853193439</v>
      </c>
    </row>
    <row r="182" spans="1:4" x14ac:dyDescent="0.35">
      <c r="A182" s="2" t="s">
        <v>195</v>
      </c>
      <c r="B182">
        <v>563.13894380467332</v>
      </c>
      <c r="C182">
        <v>16.003240000000002</v>
      </c>
      <c r="D182">
        <v>479.9040246452613</v>
      </c>
    </row>
    <row r="183" spans="1:4" x14ac:dyDescent="0.35">
      <c r="A183" s="2" t="s">
        <v>196</v>
      </c>
      <c r="B183">
        <v>382.71304270809446</v>
      </c>
      <c r="C183">
        <v>19.36608</v>
      </c>
      <c r="D183">
        <v>396.80714648574678</v>
      </c>
    </row>
    <row r="184" spans="1:4" x14ac:dyDescent="0.35">
      <c r="A184" s="2" t="s">
        <v>197</v>
      </c>
      <c r="B184">
        <v>536.66051366771819</v>
      </c>
      <c r="C184">
        <v>23.943390000000001</v>
      </c>
      <c r="D184">
        <v>576.93663061457903</v>
      </c>
    </row>
    <row r="185" spans="1:4" x14ac:dyDescent="0.35">
      <c r="A185" s="2" t="s">
        <v>198</v>
      </c>
      <c r="B185">
        <v>619.74813667375247</v>
      </c>
      <c r="D185">
        <v>776.64013667105291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A800-1EA5-439D-8FB8-1563752320B4}">
  <dimension ref="A1:R185"/>
  <sheetViews>
    <sheetView topLeftCell="E1" zoomScale="70" zoomScaleNormal="70" workbookViewId="0">
      <selection activeCell="F2" sqref="F2:R18"/>
    </sheetView>
  </sheetViews>
  <sheetFormatPr baseColWidth="10" defaultRowHeight="14.5" x14ac:dyDescent="0.35"/>
  <sheetData>
    <row r="1" spans="1:18" x14ac:dyDescent="0.35">
      <c r="A1" t="s">
        <v>204</v>
      </c>
      <c r="B1" t="s">
        <v>201</v>
      </c>
    </row>
    <row r="2" spans="1:18" x14ac:dyDescent="0.35">
      <c r="A2" t="s">
        <v>15</v>
      </c>
      <c r="B2">
        <v>-2.0336729056880932E-2</v>
      </c>
      <c r="F2" t="s">
        <v>352</v>
      </c>
      <c r="G2" t="s">
        <v>340</v>
      </c>
      <c r="H2" t="s">
        <v>341</v>
      </c>
      <c r="I2" t="s">
        <v>342</v>
      </c>
      <c r="J2" t="s">
        <v>343</v>
      </c>
      <c r="K2" t="s">
        <v>344</v>
      </c>
      <c r="L2" t="s">
        <v>345</v>
      </c>
      <c r="M2" t="s">
        <v>346</v>
      </c>
      <c r="N2" t="s">
        <v>347</v>
      </c>
      <c r="O2" t="s">
        <v>348</v>
      </c>
      <c r="P2" t="s">
        <v>349</v>
      </c>
      <c r="Q2" t="s">
        <v>350</v>
      </c>
      <c r="R2" t="s">
        <v>351</v>
      </c>
    </row>
    <row r="3" spans="1:18" x14ac:dyDescent="0.35">
      <c r="A3" t="s">
        <v>16</v>
      </c>
      <c r="B3">
        <v>-3.4269566290219183E-2</v>
      </c>
      <c r="F3">
        <v>2010</v>
      </c>
      <c r="G3">
        <v>-2.0336729056880932E-2</v>
      </c>
      <c r="H3">
        <v>-3.4269566290219183E-2</v>
      </c>
      <c r="I3">
        <v>-8.4661261850900536E-3</v>
      </c>
      <c r="J3">
        <v>-3.8004846188281927E-2</v>
      </c>
      <c r="K3">
        <v>-4.707360932319523E-2</v>
      </c>
      <c r="L3">
        <v>-3.9150335322432027E-2</v>
      </c>
      <c r="M3">
        <v>-2.9274168669556733E-2</v>
      </c>
      <c r="N3">
        <v>-2.7114253636236076E-2</v>
      </c>
      <c r="O3">
        <v>-1.2832338512792035E-2</v>
      </c>
      <c r="P3">
        <v>-1.132795769592598E-2</v>
      </c>
      <c r="Q3">
        <v>-2.6443264581158508E-2</v>
      </c>
      <c r="R3">
        <v>-1.0305707371435753E-2</v>
      </c>
    </row>
    <row r="4" spans="1:18" x14ac:dyDescent="0.35">
      <c r="A4" t="s">
        <v>17</v>
      </c>
      <c r="B4">
        <v>-8.4661261850900536E-3</v>
      </c>
      <c r="F4">
        <v>2011</v>
      </c>
      <c r="G4">
        <v>-1.6457913987091954E-2</v>
      </c>
      <c r="H4">
        <v>-1.4327233562842762E-2</v>
      </c>
      <c r="I4">
        <v>-2.4814054352751337E-2</v>
      </c>
      <c r="J4">
        <v>-1.6732208654312124E-2</v>
      </c>
      <c r="K4">
        <v>-2.0837406582410203E-2</v>
      </c>
      <c r="L4">
        <v>-2.14239835266338E-2</v>
      </c>
      <c r="M4">
        <v>-2.6779706177487126E-2</v>
      </c>
      <c r="N4">
        <v>-5.6319181825641898E-2</v>
      </c>
      <c r="O4">
        <v>-5.3113488410767698E-2</v>
      </c>
      <c r="P4">
        <v>-3.1532432900251157E-2</v>
      </c>
      <c r="Q4">
        <v>-5.2216252947196111E-2</v>
      </c>
      <c r="R4">
        <v>-3.3504564942862101E-2</v>
      </c>
    </row>
    <row r="5" spans="1:18" x14ac:dyDescent="0.35">
      <c r="A5" t="s">
        <v>18</v>
      </c>
      <c r="B5">
        <v>-3.8004846188281927E-2</v>
      </c>
      <c r="F5">
        <v>2012</v>
      </c>
      <c r="G5">
        <v>-1.6129326141021562E-2</v>
      </c>
      <c r="H5">
        <v>-1.4396004318346818E-2</v>
      </c>
      <c r="I5">
        <v>-3.3373314924004499E-2</v>
      </c>
      <c r="J5">
        <v>-3.1271812338847065E-2</v>
      </c>
      <c r="K5">
        <v>-2.6219616998057749E-2</v>
      </c>
      <c r="L5">
        <v>-2.2662580288914502E-2</v>
      </c>
      <c r="M5">
        <v>-2.8182989868335707E-2</v>
      </c>
      <c r="N5">
        <v>-2.5952457346496434E-2</v>
      </c>
      <c r="O5">
        <v>-2.8385548096617124E-2</v>
      </c>
      <c r="P5">
        <v>-2.0768026566525859E-2</v>
      </c>
      <c r="Q5">
        <v>-1.8946896556114985E-2</v>
      </c>
      <c r="R5">
        <v>-4.1254685425178191E-3</v>
      </c>
    </row>
    <row r="6" spans="1:18" x14ac:dyDescent="0.35">
      <c r="A6" t="s">
        <v>19</v>
      </c>
      <c r="B6">
        <v>-4.707360932319523E-2</v>
      </c>
      <c r="F6">
        <v>2013</v>
      </c>
      <c r="G6">
        <v>-8.4879116646800774E-3</v>
      </c>
      <c r="H6">
        <v>-3.0397571610741508E-2</v>
      </c>
      <c r="I6">
        <v>-1.432391876474772E-2</v>
      </c>
      <c r="J6">
        <v>-2.3084926181806416E-2</v>
      </c>
      <c r="K6">
        <v>-2.0848406792171783E-2</v>
      </c>
      <c r="L6">
        <v>-3.6337597783142793E-2</v>
      </c>
      <c r="M6">
        <v>-1.3912197474813376E-2</v>
      </c>
      <c r="N6">
        <v>-2.4491852845788486E-2</v>
      </c>
      <c r="O6">
        <v>-1.0163371117737199E-2</v>
      </c>
      <c r="P6">
        <v>-8.9871217197841444E-3</v>
      </c>
      <c r="Q6">
        <v>-1.0961877718603623E-2</v>
      </c>
      <c r="R6">
        <v>-1.46592439942264E-2</v>
      </c>
    </row>
    <row r="7" spans="1:18" x14ac:dyDescent="0.35">
      <c r="A7" t="s">
        <v>20</v>
      </c>
      <c r="B7">
        <v>-3.9150335322432027E-2</v>
      </c>
      <c r="F7">
        <v>2014</v>
      </c>
      <c r="G7">
        <v>-2.5771281865536601E-2</v>
      </c>
      <c r="H7">
        <v>-1.3513205758608782E-2</v>
      </c>
      <c r="I7">
        <v>-2.5623609343980495E-2</v>
      </c>
      <c r="J7">
        <v>-1.0866228218783172E-2</v>
      </c>
      <c r="K7">
        <v>-1.2544360374955973E-2</v>
      </c>
      <c r="L7">
        <v>-1.2447152868096664E-2</v>
      </c>
      <c r="M7">
        <v>-1.7754226828496301E-2</v>
      </c>
      <c r="N7">
        <v>-1.3715712376760555E-2</v>
      </c>
      <c r="O7">
        <v>-1.8069081766253305E-2</v>
      </c>
      <c r="P7">
        <v>-3.5729336462158201E-2</v>
      </c>
      <c r="Q7">
        <v>-1.5334103291984208E-2</v>
      </c>
      <c r="R7">
        <v>-2.8060136410409907E-2</v>
      </c>
    </row>
    <row r="8" spans="1:18" x14ac:dyDescent="0.35">
      <c r="A8" t="s">
        <v>21</v>
      </c>
      <c r="B8">
        <v>-2.9274168669556733E-2</v>
      </c>
      <c r="F8">
        <v>2015</v>
      </c>
      <c r="G8">
        <v>-3.2255911250920817E-2</v>
      </c>
      <c r="H8">
        <v>-8.2986339475316067E-3</v>
      </c>
      <c r="I8">
        <v>-1.3003866772554676E-2</v>
      </c>
      <c r="J8">
        <v>-2.5844006638714705E-2</v>
      </c>
      <c r="K8">
        <v>-1.6128775006962581E-2</v>
      </c>
      <c r="L8">
        <v>-3.5073726973218151E-2</v>
      </c>
      <c r="M8">
        <v>-2.5384108675679643E-2</v>
      </c>
      <c r="N8">
        <v>-5.3917623451203163E-2</v>
      </c>
      <c r="O8">
        <v>-3.3971744225686822E-2</v>
      </c>
      <c r="P8">
        <v>-1.0190603850198803E-2</v>
      </c>
      <c r="Q8">
        <v>-1.9066124523442141E-2</v>
      </c>
      <c r="R8">
        <v>-3.6440425968209698E-2</v>
      </c>
    </row>
    <row r="9" spans="1:18" x14ac:dyDescent="0.35">
      <c r="A9" t="s">
        <v>22</v>
      </c>
      <c r="B9">
        <v>-2.7114253636236076E-2</v>
      </c>
      <c r="F9">
        <v>2016</v>
      </c>
      <c r="G9">
        <v>-3.5016256072653913E-2</v>
      </c>
      <c r="H9">
        <v>-4.0462108374438061E-2</v>
      </c>
      <c r="I9">
        <v>-2.1107582289084003E-2</v>
      </c>
      <c r="J9">
        <v>-2.7929996211006593E-2</v>
      </c>
      <c r="K9">
        <v>-1.2948797777806009E-2</v>
      </c>
      <c r="L9">
        <v>-7.5791126580524795E-2</v>
      </c>
      <c r="M9">
        <v>-1.8748859970345748E-2</v>
      </c>
      <c r="N9">
        <v>-1.7688183357138988E-2</v>
      </c>
      <c r="O9">
        <v>-1.723618067114336E-2</v>
      </c>
      <c r="P9">
        <v>-1.0531166511490823E-2</v>
      </c>
      <c r="Q9">
        <v>-1.2026495175146442E-2</v>
      </c>
      <c r="R9">
        <v>-7.2228843330862146E-3</v>
      </c>
    </row>
    <row r="10" spans="1:18" x14ac:dyDescent="0.35">
      <c r="A10" t="s">
        <v>23</v>
      </c>
      <c r="B10">
        <v>-1.2832338512792035E-2</v>
      </c>
      <c r="F10">
        <v>2017</v>
      </c>
      <c r="G10">
        <v>-1.1172087232804823E-2</v>
      </c>
      <c r="H10">
        <v>-9.8390008237079704E-3</v>
      </c>
      <c r="I10">
        <v>-4.9856448985589495E-3</v>
      </c>
      <c r="J10">
        <v>-8.5057569615325929E-3</v>
      </c>
      <c r="K10">
        <v>-1.5720651179697176E-2</v>
      </c>
      <c r="L10">
        <v>-1.8443526227991652E-2</v>
      </c>
      <c r="M10">
        <v>-1.5324059763377898E-2</v>
      </c>
      <c r="N10">
        <v>-1.4271152408980239E-2</v>
      </c>
      <c r="O10">
        <v>-3.7367483267682954E-3</v>
      </c>
      <c r="P10">
        <v>-3.6923573264383293E-3</v>
      </c>
      <c r="Q10">
        <v>-1.1044565267704184E-2</v>
      </c>
      <c r="R10">
        <v>-1.0458780722333909E-2</v>
      </c>
    </row>
    <row r="11" spans="1:18" x14ac:dyDescent="0.35">
      <c r="A11" t="s">
        <v>24</v>
      </c>
      <c r="B11">
        <v>-1.132795769592598E-2</v>
      </c>
      <c r="F11">
        <v>2018</v>
      </c>
      <c r="G11">
        <v>-8.4826012059609681E-3</v>
      </c>
      <c r="H11">
        <v>-2.3556662960803824E-2</v>
      </c>
      <c r="I11">
        <v>-2.3210105376039264E-2</v>
      </c>
      <c r="J11">
        <v>-5.680174256341858E-3</v>
      </c>
      <c r="K11">
        <v>-1.903230404986065E-2</v>
      </c>
      <c r="L11">
        <v>-1.8566202851668306E-2</v>
      </c>
      <c r="M11">
        <v>-1.39979061444802E-2</v>
      </c>
      <c r="N11">
        <v>-1.5747419851308436E-2</v>
      </c>
      <c r="O11">
        <v>-1.5441382891928885E-2</v>
      </c>
      <c r="P11">
        <v>-2.1049441118132589E-2</v>
      </c>
      <c r="Q11">
        <v>-1.1794956505468317E-2</v>
      </c>
      <c r="R11">
        <v>-2.323212758707055E-2</v>
      </c>
    </row>
    <row r="12" spans="1:18" x14ac:dyDescent="0.35">
      <c r="A12" t="s">
        <v>25</v>
      </c>
      <c r="B12">
        <v>-2.6443264581158508E-2</v>
      </c>
      <c r="F12">
        <v>2019</v>
      </c>
      <c r="G12">
        <v>-1.5377103427565509E-2</v>
      </c>
      <c r="H12">
        <v>-1.7890047150503064E-2</v>
      </c>
      <c r="I12">
        <v>-1.9213583905713327E-2</v>
      </c>
      <c r="J12">
        <v>-6.3242318003971345E-3</v>
      </c>
      <c r="K12">
        <v>-2.7551640999170911E-2</v>
      </c>
      <c r="L12">
        <v>-6.2188551560369565E-3</v>
      </c>
      <c r="M12">
        <v>-1.448919925741741E-2</v>
      </c>
      <c r="N12">
        <v>-3.5645049506053073E-2</v>
      </c>
      <c r="O12">
        <v>-1.048827921005931E-2</v>
      </c>
      <c r="P12">
        <v>-2.910887483056887E-2</v>
      </c>
      <c r="Q12">
        <v>-3.4078626866513705E-3</v>
      </c>
      <c r="R12">
        <v>-1.1826890944555853E-2</v>
      </c>
    </row>
    <row r="13" spans="1:18" x14ac:dyDescent="0.35">
      <c r="A13" t="s">
        <v>26</v>
      </c>
      <c r="B13">
        <v>-1.0305707371435753E-2</v>
      </c>
      <c r="F13">
        <v>2020</v>
      </c>
      <c r="G13">
        <v>-2.5168839272424449E-2</v>
      </c>
      <c r="H13">
        <v>-3.9951835301447948E-2</v>
      </c>
      <c r="I13">
        <v>-1.9213583905713327E-2</v>
      </c>
      <c r="J13">
        <v>-4.3642572522058228E-2</v>
      </c>
      <c r="K13">
        <v>-3.1095129761731108E-2</v>
      </c>
      <c r="L13">
        <v>-4.6343586004043549E-2</v>
      </c>
      <c r="M13">
        <v>-2.0349874727559957E-2</v>
      </c>
      <c r="N13">
        <v>-1.5755158456661873E-2</v>
      </c>
      <c r="O13">
        <v>-3.4791446240900109E-2</v>
      </c>
      <c r="P13">
        <v>-3.2358472717817222E-2</v>
      </c>
      <c r="Q13">
        <v>-1.5196326846536313E-2</v>
      </c>
      <c r="R13">
        <v>-2.4632283431022903E-2</v>
      </c>
    </row>
    <row r="14" spans="1:18" x14ac:dyDescent="0.35">
      <c r="A14" t="s">
        <v>27</v>
      </c>
      <c r="B14">
        <v>-1.6457913987091954E-2</v>
      </c>
      <c r="F14">
        <v>2021</v>
      </c>
      <c r="G14">
        <v>-2.0176568681320516E-2</v>
      </c>
      <c r="H14">
        <v>-1.366960263420983E-2</v>
      </c>
      <c r="I14">
        <v>-1.0253829265843492E-2</v>
      </c>
      <c r="J14">
        <v>-2.0325416922513821E-2</v>
      </c>
      <c r="K14">
        <v>-1.5090355303305793E-2</v>
      </c>
      <c r="L14">
        <v>-1.3948073088709064E-2</v>
      </c>
      <c r="M14">
        <v>-2.4912782472225073E-2</v>
      </c>
      <c r="N14">
        <v>-2.2934037970873011E-2</v>
      </c>
      <c r="O14">
        <v>-2.1293546279128051E-2</v>
      </c>
      <c r="P14">
        <v>-1.226567870458053E-2</v>
      </c>
      <c r="Q14">
        <v>-4.2650141976235789E-2</v>
      </c>
      <c r="R14">
        <v>-1.2593000551130882E-2</v>
      </c>
    </row>
    <row r="15" spans="1:18" x14ac:dyDescent="0.35">
      <c r="A15" t="s">
        <v>28</v>
      </c>
      <c r="B15">
        <v>-1.4327233562842762E-2</v>
      </c>
      <c r="F15">
        <v>2022</v>
      </c>
      <c r="G15">
        <v>-3.9389263051264514E-2</v>
      </c>
      <c r="H15">
        <v>-3.823829323963087E-2</v>
      </c>
      <c r="I15">
        <v>-4.8781989291811809E-2</v>
      </c>
      <c r="J15">
        <v>-2.2319277956140197E-2</v>
      </c>
      <c r="K15">
        <v>-2.6874458100596247E-2</v>
      </c>
      <c r="L15">
        <v>-2.7284529305505279E-2</v>
      </c>
      <c r="M15">
        <v>-2.5889333217377072E-2</v>
      </c>
      <c r="N15">
        <v>-1.806656536875657E-2</v>
      </c>
      <c r="O15">
        <v>-2.2669059047100662E-2</v>
      </c>
      <c r="P15">
        <v>-1.1497698516980541E-2</v>
      </c>
      <c r="Q15">
        <v>-7.988368608429261E-3</v>
      </c>
      <c r="R15">
        <v>-3.0587958201092117E-2</v>
      </c>
    </row>
    <row r="16" spans="1:18" x14ac:dyDescent="0.35">
      <c r="A16" t="s">
        <v>29</v>
      </c>
      <c r="B16">
        <v>-2.4814054352751337E-2</v>
      </c>
      <c r="F16">
        <v>2023</v>
      </c>
      <c r="G16">
        <v>-1.7422586016895333E-2</v>
      </c>
      <c r="H16">
        <v>-1.7724244824588495E-2</v>
      </c>
      <c r="I16">
        <v>-3.5066730072093016E-2</v>
      </c>
      <c r="J16">
        <v>-6.0540704021819622E-3</v>
      </c>
      <c r="K16">
        <v>-1.7040349071112567E-2</v>
      </c>
      <c r="L16">
        <v>-1.0072269213682651E-2</v>
      </c>
      <c r="M16">
        <v>-2.9944001474593689E-2</v>
      </c>
      <c r="N16">
        <v>-1.2667442176381346E-2</v>
      </c>
      <c r="O16">
        <v>-1.5867532554346812E-2</v>
      </c>
      <c r="P16">
        <v>-1.5160106940520723E-2</v>
      </c>
      <c r="Q16">
        <v>-9.0989548439909078E-3</v>
      </c>
      <c r="R16">
        <v>-4.853395180486832E-3</v>
      </c>
    </row>
    <row r="17" spans="1:18" x14ac:dyDescent="0.35">
      <c r="A17" t="s">
        <v>30</v>
      </c>
      <c r="B17">
        <v>-1.6732208654312124E-2</v>
      </c>
      <c r="F17">
        <v>2024</v>
      </c>
      <c r="G17">
        <v>-1.5155402868096008E-2</v>
      </c>
      <c r="H17">
        <v>-8.8708316425560735E-3</v>
      </c>
      <c r="I17">
        <v>-4.7732062458561032E-3</v>
      </c>
      <c r="J17">
        <v>-1.3787309741056181E-2</v>
      </c>
      <c r="K17">
        <v>-1.5027787264717825E-2</v>
      </c>
      <c r="L17">
        <v>-2.6582451089620103E-2</v>
      </c>
      <c r="M17">
        <v>-1.4943415782298139E-2</v>
      </c>
      <c r="N17">
        <v>-2.134488042356579E-2</v>
      </c>
      <c r="O17">
        <v>-1.9730118565861349E-2</v>
      </c>
      <c r="P17">
        <v>-1.282303056523698E-2</v>
      </c>
      <c r="Q17">
        <v>-2.5733731976738936E-2</v>
      </c>
      <c r="R17">
        <v>-1.160008431681674E-2</v>
      </c>
    </row>
    <row r="18" spans="1:18" x14ac:dyDescent="0.35">
      <c r="A18" t="s">
        <v>31</v>
      </c>
      <c r="B18">
        <v>-2.0837406582410203E-2</v>
      </c>
      <c r="F18">
        <v>2025</v>
      </c>
      <c r="G18">
        <v>-1.4111598089777232E-2</v>
      </c>
      <c r="H18">
        <v>-1.2039032977539173E-2</v>
      </c>
      <c r="I18">
        <v>-1.8413016915298366E-2</v>
      </c>
      <c r="J18">
        <v>-4.4660229616703899E-2</v>
      </c>
    </row>
    <row r="19" spans="1:18" x14ac:dyDescent="0.35">
      <c r="A19" t="s">
        <v>32</v>
      </c>
      <c r="B19">
        <v>-2.14239835266338E-2</v>
      </c>
    </row>
    <row r="20" spans="1:18" x14ac:dyDescent="0.35">
      <c r="A20" t="s">
        <v>33</v>
      </c>
      <c r="B20">
        <v>-2.6779706177487126E-2</v>
      </c>
    </row>
    <row r="21" spans="1:18" x14ac:dyDescent="0.35">
      <c r="A21" t="s">
        <v>34</v>
      </c>
      <c r="B21">
        <v>-5.6319181825641898E-2</v>
      </c>
    </row>
    <row r="22" spans="1:18" x14ac:dyDescent="0.35">
      <c r="A22" t="s">
        <v>35</v>
      </c>
      <c r="B22">
        <v>-5.3113488410767698E-2</v>
      </c>
    </row>
    <row r="23" spans="1:18" x14ac:dyDescent="0.35">
      <c r="A23" t="s">
        <v>36</v>
      </c>
      <c r="B23">
        <v>-3.1532432900251157E-2</v>
      </c>
    </row>
    <row r="24" spans="1:18" x14ac:dyDescent="0.35">
      <c r="A24" t="s">
        <v>37</v>
      </c>
      <c r="B24">
        <v>-5.2216252947196111E-2</v>
      </c>
    </row>
    <row r="25" spans="1:18" x14ac:dyDescent="0.35">
      <c r="A25" t="s">
        <v>38</v>
      </c>
      <c r="B25">
        <v>-3.3504564942862101E-2</v>
      </c>
    </row>
    <row r="26" spans="1:18" x14ac:dyDescent="0.35">
      <c r="A26" t="s">
        <v>39</v>
      </c>
      <c r="B26">
        <v>-1.6129326141021562E-2</v>
      </c>
    </row>
    <row r="27" spans="1:18" x14ac:dyDescent="0.35">
      <c r="A27" t="s">
        <v>40</v>
      </c>
      <c r="B27">
        <v>-1.4396004318346818E-2</v>
      </c>
    </row>
    <row r="28" spans="1:18" x14ac:dyDescent="0.35">
      <c r="A28" t="s">
        <v>41</v>
      </c>
      <c r="B28">
        <v>-3.3373314924004499E-2</v>
      </c>
    </row>
    <row r="29" spans="1:18" x14ac:dyDescent="0.35">
      <c r="A29" t="s">
        <v>42</v>
      </c>
      <c r="B29">
        <v>-3.1271812338847065E-2</v>
      </c>
    </row>
    <row r="30" spans="1:18" x14ac:dyDescent="0.35">
      <c r="A30" t="s">
        <v>43</v>
      </c>
      <c r="B30">
        <v>-2.6219616998057749E-2</v>
      </c>
    </row>
    <row r="31" spans="1:18" x14ac:dyDescent="0.35">
      <c r="A31" t="s">
        <v>44</v>
      </c>
      <c r="B31">
        <v>-2.2662580288914502E-2</v>
      </c>
    </row>
    <row r="32" spans="1:18" x14ac:dyDescent="0.35">
      <c r="A32" t="s">
        <v>45</v>
      </c>
      <c r="B32">
        <v>-2.8182989868335707E-2</v>
      </c>
    </row>
    <row r="33" spans="1:2" x14ac:dyDescent="0.35">
      <c r="A33" t="s">
        <v>46</v>
      </c>
      <c r="B33">
        <v>-2.5952457346496434E-2</v>
      </c>
    </row>
    <row r="34" spans="1:2" x14ac:dyDescent="0.35">
      <c r="A34" t="s">
        <v>47</v>
      </c>
      <c r="B34">
        <v>-2.8385548096617124E-2</v>
      </c>
    </row>
    <row r="35" spans="1:2" x14ac:dyDescent="0.35">
      <c r="A35" t="s">
        <v>48</v>
      </c>
      <c r="B35">
        <v>-2.0768026566525859E-2</v>
      </c>
    </row>
    <row r="36" spans="1:2" x14ac:dyDescent="0.35">
      <c r="A36" t="s">
        <v>49</v>
      </c>
      <c r="B36">
        <v>-1.8946896556114985E-2</v>
      </c>
    </row>
    <row r="37" spans="1:2" x14ac:dyDescent="0.35">
      <c r="A37" t="s">
        <v>50</v>
      </c>
      <c r="B37">
        <v>-4.1254685425178191E-3</v>
      </c>
    </row>
    <row r="38" spans="1:2" x14ac:dyDescent="0.35">
      <c r="A38" t="s">
        <v>51</v>
      </c>
      <c r="B38">
        <v>-8.4879116646800774E-3</v>
      </c>
    </row>
    <row r="39" spans="1:2" x14ac:dyDescent="0.35">
      <c r="A39" t="s">
        <v>52</v>
      </c>
      <c r="B39">
        <v>-3.0397571610741508E-2</v>
      </c>
    </row>
    <row r="40" spans="1:2" x14ac:dyDescent="0.35">
      <c r="A40" t="s">
        <v>53</v>
      </c>
      <c r="B40">
        <v>-1.432391876474772E-2</v>
      </c>
    </row>
    <row r="41" spans="1:2" x14ac:dyDescent="0.35">
      <c r="A41" t="s">
        <v>54</v>
      </c>
      <c r="B41">
        <v>-2.3084926181806416E-2</v>
      </c>
    </row>
    <row r="42" spans="1:2" x14ac:dyDescent="0.35">
      <c r="A42" t="s">
        <v>55</v>
      </c>
      <c r="B42">
        <v>-2.0848406792171783E-2</v>
      </c>
    </row>
    <row r="43" spans="1:2" x14ac:dyDescent="0.35">
      <c r="A43" t="s">
        <v>56</v>
      </c>
      <c r="B43">
        <v>-3.6337597783142793E-2</v>
      </c>
    </row>
    <row r="44" spans="1:2" x14ac:dyDescent="0.35">
      <c r="A44" t="s">
        <v>57</v>
      </c>
      <c r="B44">
        <v>-1.3912197474813376E-2</v>
      </c>
    </row>
    <row r="45" spans="1:2" x14ac:dyDescent="0.35">
      <c r="A45" t="s">
        <v>58</v>
      </c>
      <c r="B45">
        <v>-2.4491852845788486E-2</v>
      </c>
    </row>
    <row r="46" spans="1:2" x14ac:dyDescent="0.35">
      <c r="A46" t="s">
        <v>59</v>
      </c>
      <c r="B46">
        <v>-1.0163371117737199E-2</v>
      </c>
    </row>
    <row r="47" spans="1:2" x14ac:dyDescent="0.35">
      <c r="A47" t="s">
        <v>60</v>
      </c>
      <c r="B47">
        <v>-8.9871217197841444E-3</v>
      </c>
    </row>
    <row r="48" spans="1:2" x14ac:dyDescent="0.35">
      <c r="A48" t="s">
        <v>61</v>
      </c>
      <c r="B48">
        <v>-1.0961877718603623E-2</v>
      </c>
    </row>
    <row r="49" spans="1:2" x14ac:dyDescent="0.35">
      <c r="A49" t="s">
        <v>62</v>
      </c>
      <c r="B49">
        <v>-1.46592439942264E-2</v>
      </c>
    </row>
    <row r="50" spans="1:2" x14ac:dyDescent="0.35">
      <c r="A50" t="s">
        <v>63</v>
      </c>
      <c r="B50">
        <v>-2.5771281865536601E-2</v>
      </c>
    </row>
    <row r="51" spans="1:2" x14ac:dyDescent="0.35">
      <c r="A51" t="s">
        <v>64</v>
      </c>
      <c r="B51">
        <v>-1.3513205758608782E-2</v>
      </c>
    </row>
    <row r="52" spans="1:2" x14ac:dyDescent="0.35">
      <c r="A52" t="s">
        <v>65</v>
      </c>
      <c r="B52">
        <v>-2.5623609343980495E-2</v>
      </c>
    </row>
    <row r="53" spans="1:2" x14ac:dyDescent="0.35">
      <c r="A53" t="s">
        <v>66</v>
      </c>
      <c r="B53">
        <v>-1.0866228218783172E-2</v>
      </c>
    </row>
    <row r="54" spans="1:2" x14ac:dyDescent="0.35">
      <c r="A54" t="s">
        <v>67</v>
      </c>
      <c r="B54">
        <v>-1.2544360374955973E-2</v>
      </c>
    </row>
    <row r="55" spans="1:2" x14ac:dyDescent="0.35">
      <c r="A55" t="s">
        <v>68</v>
      </c>
      <c r="B55">
        <v>-1.2447152868096664E-2</v>
      </c>
    </row>
    <row r="56" spans="1:2" x14ac:dyDescent="0.35">
      <c r="A56" t="s">
        <v>69</v>
      </c>
      <c r="B56">
        <v>-1.7754226828496301E-2</v>
      </c>
    </row>
    <row r="57" spans="1:2" x14ac:dyDescent="0.35">
      <c r="A57" t="s">
        <v>70</v>
      </c>
      <c r="B57">
        <v>-1.3715712376760555E-2</v>
      </c>
    </row>
    <row r="58" spans="1:2" x14ac:dyDescent="0.35">
      <c r="A58" t="s">
        <v>71</v>
      </c>
      <c r="B58">
        <v>-1.8069081766253305E-2</v>
      </c>
    </row>
    <row r="59" spans="1:2" x14ac:dyDescent="0.35">
      <c r="A59" t="s">
        <v>72</v>
      </c>
      <c r="B59">
        <v>-3.5729336462158201E-2</v>
      </c>
    </row>
    <row r="60" spans="1:2" x14ac:dyDescent="0.35">
      <c r="A60" t="s">
        <v>73</v>
      </c>
      <c r="B60">
        <v>-1.5334103291984208E-2</v>
      </c>
    </row>
    <row r="61" spans="1:2" x14ac:dyDescent="0.35">
      <c r="A61" t="s">
        <v>74</v>
      </c>
      <c r="B61">
        <v>-2.8060136410409907E-2</v>
      </c>
    </row>
    <row r="62" spans="1:2" x14ac:dyDescent="0.35">
      <c r="A62" t="s">
        <v>75</v>
      </c>
      <c r="B62">
        <v>-3.2255911250920817E-2</v>
      </c>
    </row>
    <row r="63" spans="1:2" x14ac:dyDescent="0.35">
      <c r="A63" t="s">
        <v>76</v>
      </c>
      <c r="B63">
        <v>-8.2986339475316067E-3</v>
      </c>
    </row>
    <row r="64" spans="1:2" x14ac:dyDescent="0.35">
      <c r="A64" t="s">
        <v>77</v>
      </c>
      <c r="B64">
        <v>-1.3003866772554676E-2</v>
      </c>
    </row>
    <row r="65" spans="1:2" x14ac:dyDescent="0.35">
      <c r="A65" t="s">
        <v>78</v>
      </c>
      <c r="B65">
        <v>-2.5844006638714705E-2</v>
      </c>
    </row>
    <row r="66" spans="1:2" x14ac:dyDescent="0.35">
      <c r="A66" t="s">
        <v>79</v>
      </c>
      <c r="B66">
        <v>-1.6128775006962581E-2</v>
      </c>
    </row>
    <row r="67" spans="1:2" x14ac:dyDescent="0.35">
      <c r="A67" t="s">
        <v>80</v>
      </c>
      <c r="B67">
        <v>-3.5073726973218151E-2</v>
      </c>
    </row>
    <row r="68" spans="1:2" x14ac:dyDescent="0.35">
      <c r="A68" t="s">
        <v>81</v>
      </c>
      <c r="B68">
        <v>-2.5384108675679643E-2</v>
      </c>
    </row>
    <row r="69" spans="1:2" x14ac:dyDescent="0.35">
      <c r="A69" t="s">
        <v>82</v>
      </c>
      <c r="B69">
        <v>-5.3917623451203163E-2</v>
      </c>
    </row>
    <row r="70" spans="1:2" x14ac:dyDescent="0.35">
      <c r="A70" t="s">
        <v>83</v>
      </c>
      <c r="B70">
        <v>-3.3971744225686822E-2</v>
      </c>
    </row>
    <row r="71" spans="1:2" x14ac:dyDescent="0.35">
      <c r="A71" t="s">
        <v>84</v>
      </c>
      <c r="B71">
        <v>-1.0190603850198803E-2</v>
      </c>
    </row>
    <row r="72" spans="1:2" x14ac:dyDescent="0.35">
      <c r="A72" t="s">
        <v>85</v>
      </c>
      <c r="B72">
        <v>-1.9066124523442141E-2</v>
      </c>
    </row>
    <row r="73" spans="1:2" x14ac:dyDescent="0.35">
      <c r="A73" t="s">
        <v>86</v>
      </c>
      <c r="B73">
        <v>-3.6440425968209698E-2</v>
      </c>
    </row>
    <row r="74" spans="1:2" x14ac:dyDescent="0.35">
      <c r="A74" t="s">
        <v>87</v>
      </c>
      <c r="B74">
        <v>-3.5016256072653913E-2</v>
      </c>
    </row>
    <row r="75" spans="1:2" x14ac:dyDescent="0.35">
      <c r="A75" t="s">
        <v>88</v>
      </c>
      <c r="B75">
        <v>-4.0462108374438061E-2</v>
      </c>
    </row>
    <row r="76" spans="1:2" x14ac:dyDescent="0.35">
      <c r="A76" t="s">
        <v>89</v>
      </c>
      <c r="B76">
        <v>-2.1107582289084003E-2</v>
      </c>
    </row>
    <row r="77" spans="1:2" x14ac:dyDescent="0.35">
      <c r="A77" t="s">
        <v>90</v>
      </c>
      <c r="B77">
        <v>-2.7929996211006593E-2</v>
      </c>
    </row>
    <row r="78" spans="1:2" x14ac:dyDescent="0.35">
      <c r="A78" t="s">
        <v>91</v>
      </c>
      <c r="B78">
        <v>-1.2948797777806009E-2</v>
      </c>
    </row>
    <row r="79" spans="1:2" x14ac:dyDescent="0.35">
      <c r="A79" t="s">
        <v>92</v>
      </c>
      <c r="B79">
        <v>-7.5791126580524795E-2</v>
      </c>
    </row>
    <row r="80" spans="1:2" x14ac:dyDescent="0.35">
      <c r="A80" t="s">
        <v>93</v>
      </c>
      <c r="B80">
        <v>-1.8748859970345748E-2</v>
      </c>
    </row>
    <row r="81" spans="1:2" x14ac:dyDescent="0.35">
      <c r="A81" t="s">
        <v>94</v>
      </c>
      <c r="B81">
        <v>-1.7688183357138988E-2</v>
      </c>
    </row>
    <row r="82" spans="1:2" x14ac:dyDescent="0.35">
      <c r="A82" t="s">
        <v>95</v>
      </c>
      <c r="B82">
        <v>-1.723618067114336E-2</v>
      </c>
    </row>
    <row r="83" spans="1:2" x14ac:dyDescent="0.35">
      <c r="A83" t="s">
        <v>96</v>
      </c>
      <c r="B83">
        <v>-1.0531166511490823E-2</v>
      </c>
    </row>
    <row r="84" spans="1:2" x14ac:dyDescent="0.35">
      <c r="A84" t="s">
        <v>97</v>
      </c>
      <c r="B84">
        <v>-1.2026495175146442E-2</v>
      </c>
    </row>
    <row r="85" spans="1:2" x14ac:dyDescent="0.35">
      <c r="A85" t="s">
        <v>98</v>
      </c>
      <c r="B85">
        <v>-7.2228843330862146E-3</v>
      </c>
    </row>
    <row r="86" spans="1:2" x14ac:dyDescent="0.35">
      <c r="A86" t="s">
        <v>99</v>
      </c>
      <c r="B86">
        <v>-1.1172087232804823E-2</v>
      </c>
    </row>
    <row r="87" spans="1:2" x14ac:dyDescent="0.35">
      <c r="A87" t="s">
        <v>100</v>
      </c>
      <c r="B87">
        <v>-9.8390008237079704E-3</v>
      </c>
    </row>
    <row r="88" spans="1:2" x14ac:dyDescent="0.35">
      <c r="A88" t="s">
        <v>101</v>
      </c>
      <c r="B88">
        <v>-4.9856448985589495E-3</v>
      </c>
    </row>
    <row r="89" spans="1:2" x14ac:dyDescent="0.35">
      <c r="A89" t="s">
        <v>102</v>
      </c>
      <c r="B89">
        <v>-8.5057569615325929E-3</v>
      </c>
    </row>
    <row r="90" spans="1:2" x14ac:dyDescent="0.35">
      <c r="A90" t="s">
        <v>103</v>
      </c>
      <c r="B90">
        <v>-1.5720651179697176E-2</v>
      </c>
    </row>
    <row r="91" spans="1:2" x14ac:dyDescent="0.35">
      <c r="A91" t="s">
        <v>104</v>
      </c>
      <c r="B91">
        <v>-1.8443526227991652E-2</v>
      </c>
    </row>
    <row r="92" spans="1:2" x14ac:dyDescent="0.35">
      <c r="A92" t="s">
        <v>105</v>
      </c>
      <c r="B92">
        <v>-1.5324059763377898E-2</v>
      </c>
    </row>
    <row r="93" spans="1:2" x14ac:dyDescent="0.35">
      <c r="A93" t="s">
        <v>106</v>
      </c>
      <c r="B93">
        <v>-1.4271152408980239E-2</v>
      </c>
    </row>
    <row r="94" spans="1:2" x14ac:dyDescent="0.35">
      <c r="A94" t="s">
        <v>107</v>
      </c>
      <c r="B94">
        <v>-3.7367483267682954E-3</v>
      </c>
    </row>
    <row r="95" spans="1:2" x14ac:dyDescent="0.35">
      <c r="A95" t="s">
        <v>108</v>
      </c>
      <c r="B95">
        <v>-3.6923573264383293E-3</v>
      </c>
    </row>
    <row r="96" spans="1:2" x14ac:dyDescent="0.35">
      <c r="A96" t="s">
        <v>109</v>
      </c>
      <c r="B96">
        <v>-1.1044565267704184E-2</v>
      </c>
    </row>
    <row r="97" spans="1:2" x14ac:dyDescent="0.35">
      <c r="A97" t="s">
        <v>110</v>
      </c>
      <c r="B97">
        <v>-1.0458780722333909E-2</v>
      </c>
    </row>
    <row r="98" spans="1:2" x14ac:dyDescent="0.35">
      <c r="A98" t="s">
        <v>111</v>
      </c>
      <c r="B98">
        <v>-8.4826012059609681E-3</v>
      </c>
    </row>
    <row r="99" spans="1:2" x14ac:dyDescent="0.35">
      <c r="A99" t="s">
        <v>112</v>
      </c>
      <c r="B99">
        <v>-2.3556662960803824E-2</v>
      </c>
    </row>
    <row r="100" spans="1:2" x14ac:dyDescent="0.35">
      <c r="A100" t="s">
        <v>113</v>
      </c>
      <c r="B100">
        <v>-2.3210105376039264E-2</v>
      </c>
    </row>
    <row r="101" spans="1:2" x14ac:dyDescent="0.35">
      <c r="A101" t="s">
        <v>114</v>
      </c>
      <c r="B101">
        <v>-5.680174256341858E-3</v>
      </c>
    </row>
    <row r="102" spans="1:2" x14ac:dyDescent="0.35">
      <c r="A102" t="s">
        <v>115</v>
      </c>
      <c r="B102">
        <v>-1.903230404986065E-2</v>
      </c>
    </row>
    <row r="103" spans="1:2" x14ac:dyDescent="0.35">
      <c r="A103" t="s">
        <v>116</v>
      </c>
      <c r="B103">
        <v>-1.8566202851668306E-2</v>
      </c>
    </row>
    <row r="104" spans="1:2" x14ac:dyDescent="0.35">
      <c r="A104" t="s">
        <v>117</v>
      </c>
      <c r="B104">
        <v>-1.39979061444802E-2</v>
      </c>
    </row>
    <row r="105" spans="1:2" x14ac:dyDescent="0.35">
      <c r="A105" t="s">
        <v>118</v>
      </c>
      <c r="B105">
        <v>-1.5747419851308436E-2</v>
      </c>
    </row>
    <row r="106" spans="1:2" x14ac:dyDescent="0.35">
      <c r="A106" t="s">
        <v>119</v>
      </c>
      <c r="B106">
        <v>-1.5441382891928885E-2</v>
      </c>
    </row>
    <row r="107" spans="1:2" x14ac:dyDescent="0.35">
      <c r="A107" t="s">
        <v>120</v>
      </c>
      <c r="B107">
        <v>-2.1049441118132589E-2</v>
      </c>
    </row>
    <row r="108" spans="1:2" x14ac:dyDescent="0.35">
      <c r="A108" t="s">
        <v>121</v>
      </c>
      <c r="B108">
        <v>-1.1794956505468317E-2</v>
      </c>
    </row>
    <row r="109" spans="1:2" x14ac:dyDescent="0.35">
      <c r="A109" t="s">
        <v>122</v>
      </c>
      <c r="B109">
        <v>-2.323212758707055E-2</v>
      </c>
    </row>
    <row r="110" spans="1:2" x14ac:dyDescent="0.35">
      <c r="A110" t="s">
        <v>123</v>
      </c>
      <c r="B110">
        <v>-1.5377103427565509E-2</v>
      </c>
    </row>
    <row r="111" spans="1:2" x14ac:dyDescent="0.35">
      <c r="A111" t="s">
        <v>124</v>
      </c>
      <c r="B111">
        <v>-1.7890047150503064E-2</v>
      </c>
    </row>
    <row r="112" spans="1:2" x14ac:dyDescent="0.35">
      <c r="A112" t="s">
        <v>125</v>
      </c>
      <c r="B112">
        <v>-1.9213583905713327E-2</v>
      </c>
    </row>
    <row r="113" spans="1:2" x14ac:dyDescent="0.35">
      <c r="A113" t="s">
        <v>126</v>
      </c>
      <c r="B113">
        <v>-6.3242318003971345E-3</v>
      </c>
    </row>
    <row r="114" spans="1:2" x14ac:dyDescent="0.35">
      <c r="A114" t="s">
        <v>127</v>
      </c>
      <c r="B114">
        <v>-2.7551640999170911E-2</v>
      </c>
    </row>
    <row r="115" spans="1:2" x14ac:dyDescent="0.35">
      <c r="A115" t="s">
        <v>128</v>
      </c>
      <c r="B115">
        <v>-6.2188551560369565E-3</v>
      </c>
    </row>
    <row r="116" spans="1:2" x14ac:dyDescent="0.35">
      <c r="A116" t="s">
        <v>129</v>
      </c>
      <c r="B116">
        <v>-1.448919925741741E-2</v>
      </c>
    </row>
    <row r="117" spans="1:2" x14ac:dyDescent="0.35">
      <c r="A117" t="s">
        <v>130</v>
      </c>
      <c r="B117">
        <v>-3.5645049506053073E-2</v>
      </c>
    </row>
    <row r="118" spans="1:2" x14ac:dyDescent="0.35">
      <c r="A118" t="s">
        <v>131</v>
      </c>
      <c r="B118">
        <v>-1.048827921005931E-2</v>
      </c>
    </row>
    <row r="119" spans="1:2" x14ac:dyDescent="0.35">
      <c r="A119" t="s">
        <v>132</v>
      </c>
      <c r="B119">
        <v>-2.910887483056887E-2</v>
      </c>
    </row>
    <row r="120" spans="1:2" x14ac:dyDescent="0.35">
      <c r="A120" t="s">
        <v>133</v>
      </c>
      <c r="B120">
        <v>-3.4078626866513705E-3</v>
      </c>
    </row>
    <row r="121" spans="1:2" x14ac:dyDescent="0.35">
      <c r="A121" t="s">
        <v>134</v>
      </c>
      <c r="B121">
        <v>-1.1826890944555853E-2</v>
      </c>
    </row>
    <row r="122" spans="1:2" x14ac:dyDescent="0.35">
      <c r="A122" t="s">
        <v>135</v>
      </c>
      <c r="B122">
        <v>-2.5168839272424449E-2</v>
      </c>
    </row>
    <row r="123" spans="1:2" x14ac:dyDescent="0.35">
      <c r="A123" t="s">
        <v>136</v>
      </c>
      <c r="B123">
        <v>-3.9951835301447948E-2</v>
      </c>
    </row>
    <row r="124" spans="1:2" x14ac:dyDescent="0.35">
      <c r="A124" t="s">
        <v>137</v>
      </c>
      <c r="B124">
        <v>-1.9213583905713327E-2</v>
      </c>
    </row>
    <row r="125" spans="1:2" x14ac:dyDescent="0.35">
      <c r="A125" t="s">
        <v>138</v>
      </c>
      <c r="B125">
        <v>-4.3642572522058228E-2</v>
      </c>
    </row>
    <row r="126" spans="1:2" x14ac:dyDescent="0.35">
      <c r="A126" t="s">
        <v>139</v>
      </c>
      <c r="B126">
        <v>-3.1095129761731108E-2</v>
      </c>
    </row>
    <row r="127" spans="1:2" x14ac:dyDescent="0.35">
      <c r="A127" t="s">
        <v>140</v>
      </c>
      <c r="B127">
        <v>-4.6343586004043549E-2</v>
      </c>
    </row>
    <row r="128" spans="1:2" x14ac:dyDescent="0.35">
      <c r="A128" t="s">
        <v>141</v>
      </c>
      <c r="B128">
        <v>-2.0349874727559957E-2</v>
      </c>
    </row>
    <row r="129" spans="1:2" x14ac:dyDescent="0.35">
      <c r="A129" t="s">
        <v>142</v>
      </c>
      <c r="B129">
        <v>-1.5755158456661873E-2</v>
      </c>
    </row>
    <row r="130" spans="1:2" x14ac:dyDescent="0.35">
      <c r="A130" t="s">
        <v>143</v>
      </c>
      <c r="B130">
        <v>-3.4791446240900109E-2</v>
      </c>
    </row>
    <row r="131" spans="1:2" x14ac:dyDescent="0.35">
      <c r="A131" t="s">
        <v>144</v>
      </c>
      <c r="B131">
        <v>-3.2358472717817222E-2</v>
      </c>
    </row>
    <row r="132" spans="1:2" x14ac:dyDescent="0.35">
      <c r="A132" t="s">
        <v>145</v>
      </c>
      <c r="B132">
        <v>-1.5196326846536313E-2</v>
      </c>
    </row>
    <row r="133" spans="1:2" x14ac:dyDescent="0.35">
      <c r="A133" t="s">
        <v>146</v>
      </c>
      <c r="B133">
        <v>-2.4632283431022903E-2</v>
      </c>
    </row>
    <row r="134" spans="1:2" x14ac:dyDescent="0.35">
      <c r="A134" t="s">
        <v>147</v>
      </c>
      <c r="B134">
        <v>-2.0176568681320516E-2</v>
      </c>
    </row>
    <row r="135" spans="1:2" x14ac:dyDescent="0.35">
      <c r="A135" t="s">
        <v>148</v>
      </c>
      <c r="B135">
        <v>-1.366960263420983E-2</v>
      </c>
    </row>
    <row r="136" spans="1:2" x14ac:dyDescent="0.35">
      <c r="A136" t="s">
        <v>149</v>
      </c>
      <c r="B136">
        <v>-1.0253829265843492E-2</v>
      </c>
    </row>
    <row r="137" spans="1:2" x14ac:dyDescent="0.35">
      <c r="A137" t="s">
        <v>150</v>
      </c>
      <c r="B137">
        <v>-2.0325416922513821E-2</v>
      </c>
    </row>
    <row r="138" spans="1:2" x14ac:dyDescent="0.35">
      <c r="A138" t="s">
        <v>151</v>
      </c>
      <c r="B138">
        <v>-1.5090355303305793E-2</v>
      </c>
    </row>
    <row r="139" spans="1:2" x14ac:dyDescent="0.35">
      <c r="A139" t="s">
        <v>152</v>
      </c>
      <c r="B139">
        <v>-1.3948073088709064E-2</v>
      </c>
    </row>
    <row r="140" spans="1:2" x14ac:dyDescent="0.35">
      <c r="A140" t="s">
        <v>153</v>
      </c>
      <c r="B140">
        <v>-2.4912782472225073E-2</v>
      </c>
    </row>
    <row r="141" spans="1:2" x14ac:dyDescent="0.35">
      <c r="A141" t="s">
        <v>154</v>
      </c>
      <c r="B141">
        <v>-2.2934037970873011E-2</v>
      </c>
    </row>
    <row r="142" spans="1:2" x14ac:dyDescent="0.35">
      <c r="A142" t="s">
        <v>155</v>
      </c>
      <c r="B142">
        <v>-2.1293546279128051E-2</v>
      </c>
    </row>
    <row r="143" spans="1:2" x14ac:dyDescent="0.35">
      <c r="A143" t="s">
        <v>156</v>
      </c>
      <c r="B143">
        <v>-1.226567870458053E-2</v>
      </c>
    </row>
    <row r="144" spans="1:2" x14ac:dyDescent="0.35">
      <c r="A144" t="s">
        <v>157</v>
      </c>
      <c r="B144">
        <v>-4.2650141976235789E-2</v>
      </c>
    </row>
    <row r="145" spans="1:2" x14ac:dyDescent="0.35">
      <c r="A145" t="s">
        <v>158</v>
      </c>
      <c r="B145">
        <v>-1.2593000551130882E-2</v>
      </c>
    </row>
    <row r="146" spans="1:2" x14ac:dyDescent="0.35">
      <c r="A146" t="s">
        <v>159</v>
      </c>
      <c r="B146">
        <v>-3.9389263051264514E-2</v>
      </c>
    </row>
    <row r="147" spans="1:2" x14ac:dyDescent="0.35">
      <c r="A147" t="s">
        <v>160</v>
      </c>
      <c r="B147">
        <v>-3.823829323963087E-2</v>
      </c>
    </row>
    <row r="148" spans="1:2" x14ac:dyDescent="0.35">
      <c r="A148" t="s">
        <v>161</v>
      </c>
      <c r="B148">
        <v>-4.8781989291811809E-2</v>
      </c>
    </row>
    <row r="149" spans="1:2" x14ac:dyDescent="0.35">
      <c r="A149" t="s">
        <v>162</v>
      </c>
      <c r="B149">
        <v>-2.2319277956140197E-2</v>
      </c>
    </row>
    <row r="150" spans="1:2" x14ac:dyDescent="0.35">
      <c r="A150" t="s">
        <v>163</v>
      </c>
      <c r="B150">
        <v>-2.6874458100596247E-2</v>
      </c>
    </row>
    <row r="151" spans="1:2" x14ac:dyDescent="0.35">
      <c r="A151" t="s">
        <v>164</v>
      </c>
      <c r="B151">
        <v>-2.7284529305505279E-2</v>
      </c>
    </row>
    <row r="152" spans="1:2" x14ac:dyDescent="0.35">
      <c r="A152" t="s">
        <v>165</v>
      </c>
      <c r="B152">
        <v>-2.5889333217377072E-2</v>
      </c>
    </row>
    <row r="153" spans="1:2" x14ac:dyDescent="0.35">
      <c r="A153" t="s">
        <v>166</v>
      </c>
      <c r="B153">
        <v>-1.806656536875657E-2</v>
      </c>
    </row>
    <row r="154" spans="1:2" x14ac:dyDescent="0.35">
      <c r="A154" t="s">
        <v>167</v>
      </c>
      <c r="B154">
        <v>-2.2669059047100662E-2</v>
      </c>
    </row>
    <row r="155" spans="1:2" x14ac:dyDescent="0.35">
      <c r="A155" t="s">
        <v>168</v>
      </c>
      <c r="B155">
        <v>-1.1497698516980541E-2</v>
      </c>
    </row>
    <row r="156" spans="1:2" x14ac:dyDescent="0.35">
      <c r="A156" t="s">
        <v>169</v>
      </c>
      <c r="B156">
        <v>-7.988368608429261E-3</v>
      </c>
    </row>
    <row r="157" spans="1:2" x14ac:dyDescent="0.35">
      <c r="A157" t="s">
        <v>170</v>
      </c>
      <c r="B157">
        <v>-3.0587958201092117E-2</v>
      </c>
    </row>
    <row r="158" spans="1:2" x14ac:dyDescent="0.35">
      <c r="A158" t="s">
        <v>171</v>
      </c>
      <c r="B158">
        <v>-1.7422586016895333E-2</v>
      </c>
    </row>
    <row r="159" spans="1:2" x14ac:dyDescent="0.35">
      <c r="A159" t="s">
        <v>172</v>
      </c>
      <c r="B159">
        <v>-1.7724244824588495E-2</v>
      </c>
    </row>
    <row r="160" spans="1:2" x14ac:dyDescent="0.35">
      <c r="A160" t="s">
        <v>173</v>
      </c>
      <c r="B160">
        <v>-3.5066730072093016E-2</v>
      </c>
    </row>
    <row r="161" spans="1:2" x14ac:dyDescent="0.35">
      <c r="A161" t="s">
        <v>174</v>
      </c>
      <c r="B161">
        <v>-6.0540704021819622E-3</v>
      </c>
    </row>
    <row r="162" spans="1:2" x14ac:dyDescent="0.35">
      <c r="A162" t="s">
        <v>175</v>
      </c>
      <c r="B162">
        <v>-1.7040349071112567E-2</v>
      </c>
    </row>
    <row r="163" spans="1:2" x14ac:dyDescent="0.35">
      <c r="A163" t="s">
        <v>176</v>
      </c>
      <c r="B163">
        <v>-1.0072269213682651E-2</v>
      </c>
    </row>
    <row r="164" spans="1:2" x14ac:dyDescent="0.35">
      <c r="A164" t="s">
        <v>177</v>
      </c>
      <c r="B164">
        <v>-2.9944001474593689E-2</v>
      </c>
    </row>
    <row r="165" spans="1:2" x14ac:dyDescent="0.35">
      <c r="A165" t="s">
        <v>178</v>
      </c>
      <c r="B165">
        <v>-1.2667442176381346E-2</v>
      </c>
    </row>
    <row r="166" spans="1:2" x14ac:dyDescent="0.35">
      <c r="A166" t="s">
        <v>179</v>
      </c>
      <c r="B166">
        <v>-1.5867532554346812E-2</v>
      </c>
    </row>
    <row r="167" spans="1:2" x14ac:dyDescent="0.35">
      <c r="A167" t="s">
        <v>180</v>
      </c>
      <c r="B167">
        <v>-1.5160106940520723E-2</v>
      </c>
    </row>
    <row r="168" spans="1:2" x14ac:dyDescent="0.35">
      <c r="A168" t="s">
        <v>181</v>
      </c>
      <c r="B168">
        <v>-9.0989548439909078E-3</v>
      </c>
    </row>
    <row r="169" spans="1:2" x14ac:dyDescent="0.35">
      <c r="A169" t="s">
        <v>182</v>
      </c>
      <c r="B169">
        <v>-4.853395180486832E-3</v>
      </c>
    </row>
    <row r="170" spans="1:2" x14ac:dyDescent="0.35">
      <c r="A170" t="s">
        <v>183</v>
      </c>
      <c r="B170">
        <v>-1.5155402868096008E-2</v>
      </c>
    </row>
    <row r="171" spans="1:2" x14ac:dyDescent="0.35">
      <c r="A171" t="s">
        <v>184</v>
      </c>
      <c r="B171">
        <v>-8.8708316425560735E-3</v>
      </c>
    </row>
    <row r="172" spans="1:2" x14ac:dyDescent="0.35">
      <c r="A172" t="s">
        <v>185</v>
      </c>
      <c r="B172">
        <v>-4.7732062458561032E-3</v>
      </c>
    </row>
    <row r="173" spans="1:2" x14ac:dyDescent="0.35">
      <c r="A173" t="s">
        <v>186</v>
      </c>
      <c r="B173">
        <v>-1.3787309741056181E-2</v>
      </c>
    </row>
    <row r="174" spans="1:2" x14ac:dyDescent="0.35">
      <c r="A174" t="s">
        <v>187</v>
      </c>
      <c r="B174">
        <v>-1.5027787264717825E-2</v>
      </c>
    </row>
    <row r="175" spans="1:2" x14ac:dyDescent="0.35">
      <c r="A175" t="s">
        <v>188</v>
      </c>
      <c r="B175">
        <v>-2.6582451089620103E-2</v>
      </c>
    </row>
    <row r="176" spans="1:2" x14ac:dyDescent="0.35">
      <c r="A176" t="s">
        <v>189</v>
      </c>
      <c r="B176">
        <v>-1.4943415782298139E-2</v>
      </c>
    </row>
    <row r="177" spans="1:2" x14ac:dyDescent="0.35">
      <c r="A177" t="s">
        <v>190</v>
      </c>
      <c r="B177">
        <v>-2.134488042356579E-2</v>
      </c>
    </row>
    <row r="178" spans="1:2" x14ac:dyDescent="0.35">
      <c r="A178" t="s">
        <v>191</v>
      </c>
      <c r="B178">
        <v>-1.9730118565861349E-2</v>
      </c>
    </row>
    <row r="179" spans="1:2" x14ac:dyDescent="0.35">
      <c r="A179" t="s">
        <v>192</v>
      </c>
      <c r="B179">
        <v>-1.282303056523698E-2</v>
      </c>
    </row>
    <row r="180" spans="1:2" x14ac:dyDescent="0.35">
      <c r="A180" t="s">
        <v>193</v>
      </c>
      <c r="B180">
        <v>-2.5733731976738936E-2</v>
      </c>
    </row>
    <row r="181" spans="1:2" x14ac:dyDescent="0.35">
      <c r="A181" t="s">
        <v>194</v>
      </c>
      <c r="B181">
        <v>-1.160008431681674E-2</v>
      </c>
    </row>
    <row r="182" spans="1:2" x14ac:dyDescent="0.35">
      <c r="A182" t="s">
        <v>195</v>
      </c>
      <c r="B182">
        <v>-1.4111598089777232E-2</v>
      </c>
    </row>
    <row r="183" spans="1:2" x14ac:dyDescent="0.35">
      <c r="A183" t="s">
        <v>196</v>
      </c>
      <c r="B183">
        <v>-1.2039032977539173E-2</v>
      </c>
    </row>
    <row r="184" spans="1:2" x14ac:dyDescent="0.35">
      <c r="A184" t="s">
        <v>197</v>
      </c>
      <c r="B184">
        <v>-1.8413016915298366E-2</v>
      </c>
    </row>
    <row r="185" spans="1:2" x14ac:dyDescent="0.35">
      <c r="A185" t="s">
        <v>198</v>
      </c>
      <c r="B185">
        <v>-4.4660229616703899E-2</v>
      </c>
    </row>
  </sheetData>
  <phoneticPr fontId="24" type="noConversion"/>
  <conditionalFormatting sqref="G2:R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92D05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18</vt:i4>
      </vt:variant>
    </vt:vector>
  </HeadingPairs>
  <TitlesOfParts>
    <vt:vector size="18" baseType="lpstr">
      <vt:lpstr>Data Bloomberg</vt:lpstr>
      <vt:lpstr>Data VIX &amp; V2X Bloomberg</vt:lpstr>
      <vt:lpstr>Clean Data</vt:lpstr>
      <vt:lpstr>Computing yields</vt:lpstr>
      <vt:lpstr>CAC France</vt:lpstr>
      <vt:lpstr>DAX Germany</vt:lpstr>
      <vt:lpstr>IBEX Spain</vt:lpstr>
      <vt:lpstr>FTSEMIB Italy </vt:lpstr>
      <vt:lpstr>SXSE eurostoxx</vt:lpstr>
      <vt:lpstr>UKX UK</vt:lpstr>
      <vt:lpstr>Correlation and regression</vt:lpstr>
      <vt:lpstr>Tableaux</vt:lpstr>
      <vt:lpstr>Variables presentation</vt:lpstr>
      <vt:lpstr>Overview statistical CAC 40 </vt:lpstr>
      <vt:lpstr>Feuil3</vt:lpstr>
      <vt:lpstr>Feuil6</vt:lpstr>
      <vt:lpstr>Feuil4</vt:lpstr>
      <vt:lpstr>Feuil5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Constance Berraute</cp:lastModifiedBy>
  <dcterms:created xsi:type="dcterms:W3CDTF">2013-04-03T15:49:21Z</dcterms:created>
  <dcterms:modified xsi:type="dcterms:W3CDTF">2025-06-30T14:53:43Z</dcterms:modified>
</cp:coreProperties>
</file>